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2.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3.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4.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5.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6.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7.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8.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9.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0.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1.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2.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3.xml" ContentType="application/vnd.openxmlformats-officedocument.themeOverride+xml"/>
  <Override PartName="/xl/drawings/drawing3.xml" ContentType="application/vnd.openxmlformats-officedocument.drawingml.chartshape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4.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5.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26.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24226"/>
  <mc:AlternateContent xmlns:mc="http://schemas.openxmlformats.org/markup-compatibility/2006">
    <mc:Choice Requires="x15">
      <x15ac:absPath xmlns:x15ac="http://schemas.microsoft.com/office/spreadsheetml/2010/11/ac" url="https://globalvale-my.sharepoint.com/personal/uziel_junior_vale_com/Documents/Desktop/"/>
    </mc:Choice>
  </mc:AlternateContent>
  <xr:revisionPtr revIDLastSave="2" documentId="8_{59506D29-4281-4F9A-8FE8-F38D35287AAD}" xr6:coauthVersionLast="47" xr6:coauthVersionMax="47" xr10:uidLastSave="{297BC308-628D-4712-9E95-C8F1446932CA}"/>
  <bookViews>
    <workbookView xWindow="20370" yWindow="-105" windowWidth="20640" windowHeight="11040" tabRatio="853" xr2:uid="{B84D17A1-551F-4B3A-B911-691D76D93B3A}"/>
  </bookViews>
  <sheets>
    <sheet name="Report Consolidado Semanal" sheetId="4" r:id="rId1"/>
    <sheet name="Gráficos" sheetId="14" r:id="rId2"/>
    <sheet name="Quadros" sheetId="15" r:id="rId3"/>
    <sheet name="Report Pacote 0405" sheetId="11" r:id="rId4"/>
    <sheet name="Report Pacote 06" sheetId="9" r:id="rId5"/>
    <sheet name="Report Pacote 07" sheetId="10" r:id="rId6"/>
    <sheet name="Report Pacote 07-08" sheetId="12" r:id="rId7"/>
    <sheet name="Bases" sheetId="13" r:id="rId8"/>
  </sheets>
  <definedNames>
    <definedName name="__123Graph_A" hidden="1">#REF!</definedName>
    <definedName name="__123Graph_X" hidden="1">#REF!</definedName>
    <definedName name="_1__123Graph_ACHART_1" hidden="1">#REF!</definedName>
    <definedName name="_10__123Graph_ACHART_18" hidden="1">#REF!</definedName>
    <definedName name="_100__123Graph_FCHART_17" hidden="1">#REF!</definedName>
    <definedName name="_101__123Graph_FCHART_18" hidden="1">#REF!</definedName>
    <definedName name="_102__123Graph_FCHART_19" hidden="1">#REF!</definedName>
    <definedName name="_103__123Graph_FCHART_20" hidden="1">#REF!</definedName>
    <definedName name="_104__123Graph_FCHART_21" hidden="1">#REF!</definedName>
    <definedName name="_105__123Graph_FCHART_22" hidden="1">#REF!</definedName>
    <definedName name="_106__123Graph_FCHART_23" hidden="1">#REF!</definedName>
    <definedName name="_107__123Graph_FCHART_9" hidden="1">#REF!</definedName>
    <definedName name="_108__123Graph_LBL_ACHART_2" hidden="1">#REF!</definedName>
    <definedName name="_109__123Graph_LBL_ACHART_3" hidden="1">#REF!</definedName>
    <definedName name="_11__123Graph_ACHART_19" hidden="1">#REF!</definedName>
    <definedName name="_110__123Graph_LBL_ACHART_7" hidden="1">#REF!</definedName>
    <definedName name="_111__123Graph_LBL_ACHART_8" hidden="1">#REF!</definedName>
    <definedName name="_112__123Graph_LBL_ACHART_9" hidden="1">#REF!</definedName>
    <definedName name="_113__123Graph_LBL_BCHART_10" hidden="1">#REF!</definedName>
    <definedName name="_114__123Graph_LBL_BCHART_13" hidden="1">#REF!</definedName>
    <definedName name="_115__123Graph_LBL_BCHART_14" hidden="1">#REF!</definedName>
    <definedName name="_116__123Graph_LBL_BCHART_15" hidden="1">#REF!</definedName>
    <definedName name="_117__123Graph_LBL_BCHART_16" hidden="1">#REF!</definedName>
    <definedName name="_118__123Graph_LBL_BCHART_17" hidden="1">#REF!</definedName>
    <definedName name="_119__123Graph_LBL_BCHART_18" hidden="1">#REF!</definedName>
    <definedName name="_12__123Graph_ACHART_2" hidden="1">#REF!</definedName>
    <definedName name="_120__123Graph_LBL_BCHART_19" hidden="1">#REF!</definedName>
    <definedName name="_121__123Graph_LBL_BCHART_2" hidden="1">#REF!</definedName>
    <definedName name="_122__123Graph_LBL_BCHART_20" hidden="1">#REF!</definedName>
    <definedName name="_123__123Graph_LBL_BCHART_21" hidden="1">#REF!</definedName>
    <definedName name="_124__123Graph_LBL_BCHART_22" hidden="1">#REF!</definedName>
    <definedName name="_125__123Graph_LBL_BCHART_23" hidden="1">#REF!</definedName>
    <definedName name="_126__123Graph_LBL_BCHART_3" hidden="1">#REF!</definedName>
    <definedName name="_127__123Graph_LBL_DCHART_10" hidden="1">#REF!</definedName>
    <definedName name="_128__123Graph_LBL_DCHART_13" hidden="1">#REF!</definedName>
    <definedName name="_129__123Graph_LBL_DCHART_14" hidden="1">#REF!</definedName>
    <definedName name="_13__123Graph_ACHART_20" hidden="1">#REF!</definedName>
    <definedName name="_130__123Graph_LBL_DCHART_15" hidden="1">#REF!</definedName>
    <definedName name="_131__123Graph_LBL_DCHART_16" hidden="1">#REF!</definedName>
    <definedName name="_132__123Graph_LBL_DCHART_17" hidden="1">#REF!</definedName>
    <definedName name="_133__123Graph_LBL_DCHART_18" hidden="1">#REF!</definedName>
    <definedName name="_134__123Graph_LBL_DCHART_19" hidden="1">#REF!</definedName>
    <definedName name="_135__123Graph_LBL_DCHART_20" hidden="1">#REF!</definedName>
    <definedName name="_136__123Graph_LBL_DCHART_21" hidden="1">#REF!</definedName>
    <definedName name="_137__123Graph_LBL_DCHART_22" hidden="1">#REF!</definedName>
    <definedName name="_138__123Graph_LBL_DCHART_23" hidden="1">#REF!</definedName>
    <definedName name="_139__123Graph_XCHART_1" hidden="1">#REF!</definedName>
    <definedName name="_14__123Graph_ACHART_21" hidden="1">#REF!</definedName>
    <definedName name="_140__123Graph_XCHART_3" hidden="1">#REF!</definedName>
    <definedName name="_141__123Graph_XCHART_6" hidden="1">#REF!</definedName>
    <definedName name="_142__123Graph_XCHART_8" hidden="1">#REF!</definedName>
    <definedName name="_143__123Graph_XCHART_9" hidden="1">#REF!</definedName>
    <definedName name="_15__123Graph_ACHART_22" hidden="1">#REF!</definedName>
    <definedName name="_16__123Graph_ACHART_23" hidden="1">#REF!</definedName>
    <definedName name="_17__123Graph_ACHART_25" hidden="1">#REF!</definedName>
    <definedName name="_18__123Graph_ACHART_27" hidden="1">#REF!</definedName>
    <definedName name="_19__123Graph_ACHART_29" hidden="1">#REF!</definedName>
    <definedName name="_2__123Graph_ACHART_10" hidden="1">#REF!</definedName>
    <definedName name="_20__123Graph_ACHART_3" hidden="1">#REF!</definedName>
    <definedName name="_21__123Graph_ACHART_31" hidden="1">#REF!</definedName>
    <definedName name="_22__123Graph_ACHART_33" hidden="1">#REF!</definedName>
    <definedName name="_23__123Graph_ACHART_35" hidden="1">#REF!</definedName>
    <definedName name="_24__123Graph_ACHART_37" hidden="1">#REF!</definedName>
    <definedName name="_25__123Graph_ACHART_39" hidden="1">#REF!</definedName>
    <definedName name="_26__123Graph_ACHART_4" hidden="1">#REF!</definedName>
    <definedName name="_27__123Graph_ACHART_41" hidden="1">#REF!</definedName>
    <definedName name="_28__123Graph_ACHART_43" hidden="1">#REF!</definedName>
    <definedName name="_29__123Graph_ACHART_45" hidden="1">#REF!</definedName>
    <definedName name="_3__123Graph_ACHART_11" hidden="1">#REF!</definedName>
    <definedName name="_30__123Graph_ACHART_5" hidden="1">#REF!</definedName>
    <definedName name="_31__123Graph_ACHART_6" hidden="1">#REF!</definedName>
    <definedName name="_32__123Graph_ACHART_7" hidden="1">#REF!</definedName>
    <definedName name="_33__123Graph_ACHART_8" hidden="1">#REF!</definedName>
    <definedName name="_34__123Graph_ACHART_9" hidden="1">#REF!</definedName>
    <definedName name="_35__123Graph_BCHART_1" hidden="1">#REF!</definedName>
    <definedName name="_36__123Graph_BCHART_10" hidden="1">#REF!</definedName>
    <definedName name="_37__123Graph_BCHART_13" hidden="1">#REF!</definedName>
    <definedName name="_38__123Graph_BCHART_14" hidden="1">#REF!</definedName>
    <definedName name="_39__123Graph_BCHART_15" hidden="1">#REF!</definedName>
    <definedName name="_4__123Graph_ACHART_12" hidden="1">#REF!</definedName>
    <definedName name="_40__123Graph_BCHART_16" hidden="1">#REF!</definedName>
    <definedName name="_41__123Graph_BCHART_17" hidden="1">#REF!</definedName>
    <definedName name="_42__123Graph_BCHART_18" hidden="1">#REF!</definedName>
    <definedName name="_43__123Graph_BCHART_19" hidden="1">#REF!</definedName>
    <definedName name="_44__123Graph_BCHART_2" hidden="1">#REF!</definedName>
    <definedName name="_45__123Graph_BCHART_20" hidden="1">#REF!</definedName>
    <definedName name="_46__123Graph_BCHART_21" hidden="1">#REF!</definedName>
    <definedName name="_47__123Graph_BCHART_22" hidden="1">#REF!</definedName>
    <definedName name="_48__123Graph_BCHART_23" hidden="1">#REF!</definedName>
    <definedName name="_49__123Graph_BCHART_3" hidden="1">#REF!</definedName>
    <definedName name="_5__123Graph_ACHART_13" hidden="1">#REF!</definedName>
    <definedName name="_50__123Graph_BCHART_6" hidden="1">#REF!</definedName>
    <definedName name="_51__123Graph_BCHART_9" hidden="1">#REF!</definedName>
    <definedName name="_52__123Graph_CCHART_1" hidden="1">#REF!</definedName>
    <definedName name="_53__123Graph_CCHART_10" hidden="1">#REF!</definedName>
    <definedName name="_54__123Graph_CCHART_13" hidden="1">#REF!</definedName>
    <definedName name="_55__123Graph_CCHART_14" hidden="1">#REF!</definedName>
    <definedName name="_56__123Graph_CCHART_15" hidden="1">#REF!</definedName>
    <definedName name="_57__123Graph_CCHART_16" hidden="1">#REF!</definedName>
    <definedName name="_58__123Graph_CCHART_17" hidden="1">#REF!</definedName>
    <definedName name="_59__123Graph_CCHART_18" hidden="1">#REF!</definedName>
    <definedName name="_6__123Graph_ACHART_14" hidden="1">#REF!</definedName>
    <definedName name="_60__123Graph_CCHART_19" hidden="1">#REF!</definedName>
    <definedName name="_61__123Graph_CCHART_20" hidden="1">#REF!</definedName>
    <definedName name="_62__123Graph_CCHART_21" hidden="1">#REF!</definedName>
    <definedName name="_63__123Graph_CCHART_22" hidden="1">#REF!</definedName>
    <definedName name="_64__123Graph_CCHART_23" hidden="1">#REF!</definedName>
    <definedName name="_65__123Graph_CCHART_6" hidden="1">#REF!</definedName>
    <definedName name="_66__123Graph_CCHART_9" hidden="1">#REF!</definedName>
    <definedName name="_67__123Graph_DCHART_1" hidden="1">#REF!</definedName>
    <definedName name="_68__123Graph_DCHART_10" hidden="1">#REF!</definedName>
    <definedName name="_69__123Graph_DCHART_13" hidden="1">#REF!</definedName>
    <definedName name="_7__123Graph_ACHART_15" hidden="1">#REF!</definedName>
    <definedName name="_70__123Graph_DCHART_14" hidden="1">#REF!</definedName>
    <definedName name="_71__123Graph_DCHART_15" hidden="1">#REF!</definedName>
    <definedName name="_72__123Graph_DCHART_16" hidden="1">#REF!</definedName>
    <definedName name="_73__123Graph_DCHART_17" hidden="1">#REF!</definedName>
    <definedName name="_74__123Graph_DCHART_18" hidden="1">#REF!</definedName>
    <definedName name="_75__123Graph_DCHART_19" hidden="1">#REF!</definedName>
    <definedName name="_76__123Graph_DCHART_20" hidden="1">#REF!</definedName>
    <definedName name="_77__123Graph_DCHART_21" hidden="1">#REF!</definedName>
    <definedName name="_78__123Graph_DCHART_22" hidden="1">#REF!</definedName>
    <definedName name="_79__123Graph_DCHART_23" hidden="1">#REF!</definedName>
    <definedName name="_8__123Graph_ACHART_16" hidden="1">#REF!</definedName>
    <definedName name="_80__123Graph_DCHART_6" hidden="1">#REF!</definedName>
    <definedName name="_81__123Graph_DCHART_9" hidden="1">#REF!</definedName>
    <definedName name="_82__123Graph_ECHART_10" hidden="1">#REF!</definedName>
    <definedName name="_83__123Graph_ECHART_13" hidden="1">#REF!</definedName>
    <definedName name="_84__123Graph_ECHART_14" hidden="1">#REF!</definedName>
    <definedName name="_85__123Graph_ECHART_15" hidden="1">#REF!</definedName>
    <definedName name="_86__123Graph_ECHART_16" hidden="1">#REF!</definedName>
    <definedName name="_87__123Graph_ECHART_17" hidden="1">#REF!</definedName>
    <definedName name="_88__123Graph_ECHART_18" hidden="1">#REF!</definedName>
    <definedName name="_89__123Graph_ECHART_19" hidden="1">#REF!</definedName>
    <definedName name="_9__123Graph_ACHART_17" hidden="1">#REF!</definedName>
    <definedName name="_90__123Graph_ECHART_20" hidden="1">#REF!</definedName>
    <definedName name="_91__123Graph_ECHART_21" hidden="1">#REF!</definedName>
    <definedName name="_92__123Graph_ECHART_22" hidden="1">#REF!</definedName>
    <definedName name="_93__123Graph_ECHART_23" hidden="1">#REF!</definedName>
    <definedName name="_94__123Graph_ECHART_9" hidden="1">#REF!</definedName>
    <definedName name="_95__123Graph_FCHART_10" hidden="1">#REF!</definedName>
    <definedName name="_96__123Graph_FCHART_13" hidden="1">#REF!</definedName>
    <definedName name="_97__123Graph_FCHART_14" hidden="1">#REF!</definedName>
    <definedName name="_98__123Graph_FCHART_15" hidden="1">#REF!</definedName>
    <definedName name="_99__123Graph_FCHART_16" hidden="1">#REF!</definedName>
    <definedName name="_Fill" hidden="1">#REF!</definedName>
    <definedName name="_xlnm._FilterDatabase" localSheetId="0" hidden="1">'Report Consolidado Semanal'!$A$8:$BD$91</definedName>
    <definedName name="_xlnm._FilterDatabase" localSheetId="3" hidden="1">'Report Pacote 0405'!$A$8:$D$3517</definedName>
    <definedName name="_Key1" hidden="1">#REF!</definedName>
    <definedName name="_Key2" hidden="1">#REF!</definedName>
    <definedName name="_Order1" hidden="1">0</definedName>
    <definedName name="_Order2" hidden="1">255</definedName>
    <definedName name="_Sort" hidden="1">#REF!</definedName>
    <definedName name="_xlnm.Print_Area" localSheetId="1">Quadros!$F$4:$W$32</definedName>
    <definedName name="_xlnm.Print_Area" localSheetId="0">'Report Consolidado Semanal'!$C$2:$AZ$91</definedName>
    <definedName name="Causa">#REF!</definedName>
    <definedName name="CC">#REF!</definedName>
    <definedName name="Comp_Auxil">#REF!</definedName>
    <definedName name="COMPOSIÇÃO">#REF!</definedName>
    <definedName name="encarregado">#REF!</definedName>
    <definedName name="EQUIPAMENTO">#REF!</definedName>
    <definedName name="FILL" hidden="1">#REF!</definedName>
    <definedName name="função">#REF!</definedName>
    <definedName name="FUNCIONARIO">#REF!</definedName>
    <definedName name="INSUMP">#REF!</definedName>
    <definedName name="KEY" hidden="1">#REF!</definedName>
    <definedName name="LOCAIS">#REF!</definedName>
    <definedName name="MATERIAL">#REF!</definedName>
    <definedName name="MO">#REF!</definedName>
    <definedName name="MVP_05">#REF!</definedName>
    <definedName name="NUMER_COMPOSIÇÃO">#REF!</definedName>
    <definedName name="Panilha_Resumo">#REF!</definedName>
    <definedName name="ppp" hidden="1">#REF!</definedName>
    <definedName name="REGISTRO">#REF!</definedName>
    <definedName name="SEMANA">#REF!</definedName>
    <definedName name="TUNEL_0">#REF!+#REF!</definedName>
    <definedName name="TURNO">#REF!</definedName>
    <definedName name="UP_1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1" l="1"/>
  <c r="V62" i="10"/>
  <c r="G62" i="10"/>
  <c r="V60" i="10"/>
  <c r="G60" i="10"/>
  <c r="W59" i="10"/>
  <c r="W58" i="10"/>
  <c r="R58" i="10"/>
  <c r="G58" i="10"/>
  <c r="W57" i="10"/>
  <c r="R56" i="10"/>
  <c r="W56" i="10" s="1"/>
  <c r="G56" i="10"/>
  <c r="W55" i="10"/>
  <c r="W54" i="10"/>
  <c r="G54" i="10"/>
  <c r="W53" i="10"/>
  <c r="W52" i="10"/>
  <c r="G52" i="10"/>
  <c r="W51" i="10"/>
  <c r="W50" i="10"/>
  <c r="R50" i="10"/>
  <c r="G50" i="10"/>
  <c r="S49" i="10"/>
  <c r="R49" i="10"/>
  <c r="Q49" i="10"/>
  <c r="P49" i="10"/>
  <c r="O49" i="10"/>
  <c r="N49" i="10"/>
  <c r="M49" i="10"/>
  <c r="AL48" i="10"/>
  <c r="S48" i="10"/>
  <c r="R48" i="10"/>
  <c r="Q48" i="10"/>
  <c r="P48" i="10"/>
  <c r="O48" i="10"/>
  <c r="N48" i="10"/>
  <c r="M48" i="10"/>
  <c r="G48" i="10"/>
  <c r="W45" i="10"/>
  <c r="G45" i="10"/>
  <c r="W43" i="10"/>
  <c r="G43" i="10"/>
  <c r="W41" i="10"/>
  <c r="G41" i="10"/>
  <c r="AL39" i="10"/>
  <c r="S39" i="10"/>
  <c r="R39" i="10"/>
  <c r="Q39" i="10"/>
  <c r="P39" i="10"/>
  <c r="O39" i="10"/>
  <c r="N39" i="10"/>
  <c r="M39" i="10"/>
  <c r="G39" i="10"/>
  <c r="W38" i="10"/>
  <c r="W37" i="10"/>
  <c r="G37" i="10"/>
  <c r="M34" i="10"/>
  <c r="W35" i="10"/>
  <c r="AL33" i="10"/>
  <c r="S33" i="10"/>
  <c r="R33" i="10"/>
  <c r="Q33" i="10"/>
  <c r="P33" i="10"/>
  <c r="O33" i="10"/>
  <c r="N33" i="10"/>
  <c r="M33" i="10"/>
  <c r="G33" i="10"/>
  <c r="M26" i="10"/>
  <c r="W31" i="10"/>
  <c r="G31" i="10"/>
  <c r="W30" i="10"/>
  <c r="AA25" i="10"/>
  <c r="W29" i="10"/>
  <c r="G29" i="10"/>
  <c r="W28" i="10"/>
  <c r="W27" i="10"/>
  <c r="G27" i="10"/>
  <c r="S25" i="10"/>
  <c r="R25" i="10"/>
  <c r="Q25" i="10"/>
  <c r="P25" i="10"/>
  <c r="O25" i="10"/>
  <c r="N25" i="10"/>
  <c r="M25" i="10"/>
  <c r="G25" i="10"/>
  <c r="M18" i="10"/>
  <c r="W23" i="10"/>
  <c r="G23" i="10"/>
  <c r="W21" i="10"/>
  <c r="G21" i="10"/>
  <c r="W19" i="10"/>
  <c r="G19" i="10"/>
  <c r="AL17" i="10"/>
  <c r="S17" i="10"/>
  <c r="R17" i="10"/>
  <c r="Q17" i="10"/>
  <c r="P17" i="10"/>
  <c r="O17" i="10"/>
  <c r="N17" i="10"/>
  <c r="M17" i="10"/>
  <c r="G17" i="10"/>
  <c r="G15" i="10"/>
  <c r="G13" i="10"/>
  <c r="G11" i="10"/>
  <c r="S10" i="10"/>
  <c r="R10" i="10"/>
  <c r="Q10" i="10"/>
  <c r="P10" i="10"/>
  <c r="O10" i="10"/>
  <c r="N10" i="10"/>
  <c r="M10" i="10"/>
  <c r="AL9" i="10"/>
  <c r="S9" i="10"/>
  <c r="R9" i="10"/>
  <c r="Q9" i="10"/>
  <c r="P9" i="10"/>
  <c r="O9" i="10"/>
  <c r="N9" i="10"/>
  <c r="M9" i="10"/>
  <c r="G9" i="10"/>
  <c r="N7" i="10"/>
  <c r="K7" i="10"/>
  <c r="K6" i="10" s="1"/>
  <c r="W6" i="10"/>
  <c r="N6" i="10"/>
  <c r="M6" i="10"/>
  <c r="AC4" i="10"/>
  <c r="G4" i="10"/>
  <c r="M40" i="10" l="1"/>
  <c r="U6" i="10"/>
  <c r="AM23" i="10"/>
  <c r="AA33" i="10"/>
  <c r="AA17" i="10"/>
  <c r="N18" i="10"/>
  <c r="AA48" i="10"/>
  <c r="J13" i="10"/>
  <c r="W39" i="10"/>
  <c r="O7" i="10"/>
  <c r="O26" i="10" s="1"/>
  <c r="N34" i="10"/>
  <c r="W25" i="10"/>
  <c r="J24" i="10"/>
  <c r="W49" i="10"/>
  <c r="J33" i="10"/>
  <c r="AB31" i="10"/>
  <c r="AB54" i="10"/>
  <c r="AB23" i="10"/>
  <c r="AB13" i="10"/>
  <c r="AB60" i="10"/>
  <c r="AB58" i="10"/>
  <c r="AB52" i="10"/>
  <c r="AB29" i="10"/>
  <c r="AB21" i="10"/>
  <c r="AB37" i="10"/>
  <c r="AJ15" i="10"/>
  <c r="J23" i="10"/>
  <c r="W33" i="10"/>
  <c r="J36" i="10"/>
  <c r="J49" i="10"/>
  <c r="J63" i="10"/>
  <c r="J60" i="10"/>
  <c r="J41" i="10"/>
  <c r="AM21" i="10"/>
  <c r="J55" i="10"/>
  <c r="J52" i="10"/>
  <c r="J39" i="10"/>
  <c r="J29" i="10"/>
  <c r="J21" i="10"/>
  <c r="J14" i="10"/>
  <c r="K13" i="10" s="1"/>
  <c r="J11" i="10"/>
  <c r="J30" i="10"/>
  <c r="J62" i="10"/>
  <c r="J58" i="10"/>
  <c r="J59" i="10"/>
  <c r="J53" i="10"/>
  <c r="J37" i="10"/>
  <c r="J20" i="10"/>
  <c r="J17" i="10"/>
  <c r="J12" i="10"/>
  <c r="J61" i="10"/>
  <c r="J56" i="10"/>
  <c r="J51" i="10"/>
  <c r="J48" i="10"/>
  <c r="J38" i="10"/>
  <c r="AM31" i="10"/>
  <c r="J28" i="10"/>
  <c r="J25" i="10"/>
  <c r="J15" i="10"/>
  <c r="J9" i="10"/>
  <c r="J10" i="10"/>
  <c r="J16" i="10"/>
  <c r="J19" i="10"/>
  <c r="J22" i="10"/>
  <c r="AB27" i="10"/>
  <c r="J31" i="10"/>
  <c r="J35" i="10"/>
  <c r="AB56" i="10"/>
  <c r="AL25" i="10"/>
  <c r="J50" i="10"/>
  <c r="J57" i="10"/>
  <c r="AM15" i="10"/>
  <c r="AG15" i="10"/>
  <c r="P7" i="10"/>
  <c r="O34" i="10"/>
  <c r="G7" i="10"/>
  <c r="O6" i="10"/>
  <c r="AA9" i="10"/>
  <c r="J27" i="10"/>
  <c r="J34" i="10"/>
  <c r="AB15" i="10"/>
  <c r="W17" i="10"/>
  <c r="W48" i="10"/>
  <c r="J54" i="10"/>
  <c r="AB62" i="10"/>
  <c r="J43" i="10"/>
  <c r="J45" i="10"/>
  <c r="N26" i="10"/>
  <c r="J26" i="10" s="1"/>
  <c r="K48" i="10" l="1"/>
  <c r="K56" i="10"/>
  <c r="AJ23" i="10"/>
  <c r="AG23" i="10"/>
  <c r="K23" i="10"/>
  <c r="AI39" i="10"/>
  <c r="K19" i="10"/>
  <c r="K58" i="10"/>
  <c r="K15" i="10"/>
  <c r="K60" i="10"/>
  <c r="J32" i="10"/>
  <c r="K31" i="10" s="1"/>
  <c r="K35" i="10"/>
  <c r="K33" i="10"/>
  <c r="AI25" i="10"/>
  <c r="K21" i="10"/>
  <c r="K11" i="10"/>
  <c r="AI9" i="10"/>
  <c r="O18" i="10"/>
  <c r="K37" i="10"/>
  <c r="AI33" i="10"/>
  <c r="AB35" i="10"/>
  <c r="Z33" i="10"/>
  <c r="AB33" i="10" s="1"/>
  <c r="AI48" i="10"/>
  <c r="K62" i="10"/>
  <c r="AG37" i="10"/>
  <c r="AM37" i="10"/>
  <c r="AJ37" i="10"/>
  <c r="AJ29" i="10"/>
  <c r="AG29" i="10"/>
  <c r="AB19" i="10"/>
  <c r="Z17" i="10"/>
  <c r="AB17" i="10" s="1"/>
  <c r="AJ13" i="10"/>
  <c r="AG13" i="10"/>
  <c r="AM13" i="10"/>
  <c r="AM29" i="10"/>
  <c r="AJ35" i="10"/>
  <c r="AG35" i="10"/>
  <c r="AD33" i="10"/>
  <c r="AM35" i="10"/>
  <c r="J18" i="10"/>
  <c r="K17" i="10" s="1"/>
  <c r="AG50" i="10"/>
  <c r="AD48" i="10"/>
  <c r="AM50" i="10"/>
  <c r="AJ50" i="10"/>
  <c r="K29" i="10"/>
  <c r="AG19" i="10"/>
  <c r="AD17" i="10"/>
  <c r="AM19" i="10"/>
  <c r="AM17" i="10" s="1"/>
  <c r="AJ19" i="10"/>
  <c r="P34" i="10"/>
  <c r="P6" i="10"/>
  <c r="Q7" i="10"/>
  <c r="AM52" i="10"/>
  <c r="AJ52" i="10"/>
  <c r="AG52" i="10"/>
  <c r="AM45" i="10"/>
  <c r="AJ45" i="10"/>
  <c r="AG45" i="10"/>
  <c r="AB41" i="10"/>
  <c r="Z39" i="10"/>
  <c r="AB45" i="10"/>
  <c r="AM54" i="10"/>
  <c r="AJ54" i="10"/>
  <c r="AG54" i="10"/>
  <c r="K25" i="10"/>
  <c r="AG58" i="10"/>
  <c r="AM58" i="10"/>
  <c r="AJ58" i="10"/>
  <c r="Z9" i="10"/>
  <c r="AB9" i="10" s="1"/>
  <c r="Z48" i="10"/>
  <c r="AB48" i="10" s="1"/>
  <c r="AB50" i="10"/>
  <c r="AM43" i="10"/>
  <c r="AJ43" i="10"/>
  <c r="AG43" i="10"/>
  <c r="AD39" i="10"/>
  <c r="AM41" i="10"/>
  <c r="AG41" i="10"/>
  <c r="AJ41" i="10"/>
  <c r="K9" i="10"/>
  <c r="K27" i="10"/>
  <c r="AJ27" i="10"/>
  <c r="AG27" i="10"/>
  <c r="AD25" i="10"/>
  <c r="AM27" i="10"/>
  <c r="K52" i="10"/>
  <c r="K54" i="10"/>
  <c r="AM60" i="10"/>
  <c r="AJ60" i="10"/>
  <c r="AA39" i="10"/>
  <c r="Z25" i="10"/>
  <c r="AB25" i="10" s="1"/>
  <c r="AJ31" i="10"/>
  <c r="AG31" i="10"/>
  <c r="AM56" i="10"/>
  <c r="AJ56" i="10"/>
  <c r="AG56" i="10"/>
  <c r="AI17" i="10"/>
  <c r="AB43" i="10"/>
  <c r="K50" i="10"/>
  <c r="AM62" i="10"/>
  <c r="AJ62" i="10"/>
  <c r="AJ21" i="10"/>
  <c r="AG21" i="10"/>
  <c r="AJ11" i="10"/>
  <c r="AD9" i="10"/>
  <c r="AM11" i="10"/>
  <c r="AM9" i="10" s="1"/>
  <c r="AG11" i="10"/>
  <c r="AB11" i="10"/>
  <c r="AM39" i="10" l="1"/>
  <c r="AM25" i="10"/>
  <c r="AM33" i="10"/>
  <c r="AB39" i="10"/>
  <c r="AB7" i="10" s="1"/>
  <c r="P26" i="10"/>
  <c r="AJ33" i="10"/>
  <c r="AG33" i="10"/>
  <c r="AJ25" i="10"/>
  <c r="AG25" i="10"/>
  <c r="AG39" i="10"/>
  <c r="AJ39" i="10"/>
  <c r="AG9" i="10"/>
  <c r="AJ9" i="10"/>
  <c r="P18" i="10"/>
  <c r="AM48" i="10"/>
  <c r="AJ17" i="10"/>
  <c r="AG17" i="10"/>
  <c r="AJ48" i="10"/>
  <c r="AG48" i="10"/>
  <c r="Q26" i="10"/>
  <c r="R7" i="10"/>
  <c r="Q6" i="10"/>
  <c r="R34" i="10" l="1"/>
  <c r="R6" i="10"/>
  <c r="S7" i="10"/>
  <c r="U25" i="10" s="1"/>
  <c r="U15" i="10"/>
  <c r="W15" i="10" s="1"/>
  <c r="U49" i="10"/>
  <c r="U24" i="10"/>
  <c r="U31" i="10"/>
  <c r="U59" i="10"/>
  <c r="Q18" i="10"/>
  <c r="Q34" i="10"/>
  <c r="U17" i="10"/>
  <c r="U45" i="10" l="1"/>
  <c r="U30" i="10"/>
  <c r="U35" i="10"/>
  <c r="U27" i="10"/>
  <c r="U28" i="10"/>
  <c r="U39" i="10"/>
  <c r="U48" i="10"/>
  <c r="V48" i="10" s="1"/>
  <c r="U23" i="10"/>
  <c r="V23" i="10" s="1"/>
  <c r="U53" i="10"/>
  <c r="U51" i="10"/>
  <c r="U18" i="10"/>
  <c r="V17" i="10" s="1"/>
  <c r="U26" i="10"/>
  <c r="V25" i="10" s="1"/>
  <c r="U38" i="10"/>
  <c r="U33" i="10"/>
  <c r="U14" i="10"/>
  <c r="W14" i="10" s="1"/>
  <c r="U16" i="10"/>
  <c r="W16" i="10" s="1"/>
  <c r="U22" i="10"/>
  <c r="U20" i="10"/>
  <c r="U58" i="10"/>
  <c r="V58" i="10" s="1"/>
  <c r="U34" i="10"/>
  <c r="U32" i="10"/>
  <c r="V31" i="10" s="1"/>
  <c r="U29" i="10"/>
  <c r="S26" i="10"/>
  <c r="W26" i="10" s="1"/>
  <c r="W24" i="10"/>
  <c r="W22" i="10"/>
  <c r="S34" i="10"/>
  <c r="W34" i="10" s="1"/>
  <c r="S6" i="10"/>
  <c r="U41" i="10"/>
  <c r="U50" i="10"/>
  <c r="U37" i="10"/>
  <c r="U56" i="10"/>
  <c r="U9" i="10"/>
  <c r="U36" i="10"/>
  <c r="U19" i="10"/>
  <c r="U12" i="10"/>
  <c r="U43" i="10"/>
  <c r="U10" i="10"/>
  <c r="W10" i="10" s="1"/>
  <c r="U13" i="10"/>
  <c r="W13" i="10" s="1"/>
  <c r="U55" i="10"/>
  <c r="U52" i="10"/>
  <c r="U11" i="10"/>
  <c r="W11" i="10" s="1"/>
  <c r="U54" i="10"/>
  <c r="U57" i="10"/>
  <c r="U21" i="10"/>
  <c r="R26" i="10"/>
  <c r="R18" i="10"/>
  <c r="V52" i="10" l="1"/>
  <c r="V35" i="10"/>
  <c r="V50" i="10"/>
  <c r="V27" i="10"/>
  <c r="V15" i="10"/>
  <c r="V29" i="10"/>
  <c r="V33" i="10"/>
  <c r="V37" i="10"/>
  <c r="V13" i="10"/>
  <c r="W36" i="10"/>
  <c r="V19" i="10"/>
  <c r="W32" i="10"/>
  <c r="V21" i="10"/>
  <c r="V56" i="10"/>
  <c r="V9" i="10"/>
  <c r="W9" i="10"/>
  <c r="W12" i="10"/>
  <c r="V11" i="10"/>
  <c r="V54" i="10"/>
  <c r="S18" i="10"/>
  <c r="W18" i="10" s="1"/>
  <c r="W20" i="10"/>
  <c r="Y17" i="10" l="1"/>
  <c r="Y25" i="10"/>
  <c r="Y48" i="10"/>
  <c r="Y33" i="10" l="1"/>
  <c r="Y9" i="10"/>
  <c r="Y39" i="10"/>
  <c r="J46" i="10" l="1"/>
  <c r="K45" i="10" s="1"/>
  <c r="U46" i="10"/>
  <c r="V45" i="10" s="1"/>
  <c r="J42" i="10"/>
  <c r="K41" i="10" s="1"/>
  <c r="N40" i="10"/>
  <c r="U42" i="10"/>
  <c r="V41" i="10" s="1"/>
  <c r="J44" i="10"/>
  <c r="K43" i="10" s="1"/>
  <c r="U44" i="10"/>
  <c r="V43" i="10" s="1"/>
  <c r="O40" i="10" l="1"/>
  <c r="J40" i="10"/>
  <c r="K39" i="10" s="1"/>
  <c r="U40" i="10"/>
  <c r="V39" i="10" s="1"/>
  <c r="V7" i="10" s="1"/>
  <c r="P40" i="10" l="1"/>
  <c r="Q40" i="10" l="1"/>
  <c r="R40" i="10" l="1"/>
  <c r="W42" i="10"/>
  <c r="W44" i="10"/>
  <c r="W46" i="10"/>
  <c r="S40" i="10" l="1"/>
  <c r="W40" i="10" s="1"/>
  <c r="AL626" i="9" l="1"/>
  <c r="AK626" i="9"/>
  <c r="AK616" i="9" s="1"/>
  <c r="AJ626" i="9"/>
  <c r="AI626" i="9"/>
  <c r="AI616" i="9" s="1"/>
  <c r="AH626" i="9"/>
  <c r="AG626" i="9"/>
  <c r="AG622" i="9" s="1"/>
  <c r="Y626" i="9"/>
  <c r="X626" i="9"/>
  <c r="W626" i="9"/>
  <c r="V626" i="9"/>
  <c r="P626" i="9"/>
  <c r="O626" i="9"/>
  <c r="N626" i="9"/>
  <c r="M626" i="9"/>
  <c r="L626" i="9"/>
  <c r="K626" i="9"/>
  <c r="BI625" i="9"/>
  <c r="BH625" i="9"/>
  <c r="BG625" i="9"/>
  <c r="BF625" i="9"/>
  <c r="BE625" i="9"/>
  <c r="BD625" i="9"/>
  <c r="BD621" i="9" s="1"/>
  <c r="BD617" i="9" s="1"/>
  <c r="BC625" i="9"/>
  <c r="AX625" i="9"/>
  <c r="AW625" i="9"/>
  <c r="AV625" i="9"/>
  <c r="AU625" i="9"/>
  <c r="AT625" i="9"/>
  <c r="AT621" i="9" s="1"/>
  <c r="AT617" i="9" s="1"/>
  <c r="AS625" i="9"/>
  <c r="AS621" i="9" s="1"/>
  <c r="AS617" i="9" s="1"/>
  <c r="AR625" i="9"/>
  <c r="AR621" i="9" s="1"/>
  <c r="AR617" i="9" s="1"/>
  <c r="AL625" i="9"/>
  <c r="AL621" i="9" s="1"/>
  <c r="AK625" i="9"/>
  <c r="AJ625" i="9"/>
  <c r="AI625" i="9"/>
  <c r="AH625" i="9"/>
  <c r="AG625" i="9"/>
  <c r="AA625" i="9"/>
  <c r="AA595" i="9" s="1"/>
  <c r="Z625" i="9"/>
  <c r="Z595" i="9" s="1"/>
  <c r="Y625" i="9"/>
  <c r="Y595" i="9" s="1"/>
  <c r="X625" i="9"/>
  <c r="X595" i="9" s="1"/>
  <c r="W625" i="9"/>
  <c r="W595" i="9" s="1"/>
  <c r="V625" i="9"/>
  <c r="V595" i="9" s="1"/>
  <c r="P625" i="9"/>
  <c r="P595" i="9" s="1"/>
  <c r="O625" i="9"/>
  <c r="O595" i="9" s="1"/>
  <c r="N625" i="9"/>
  <c r="N595" i="9" s="1"/>
  <c r="M625" i="9"/>
  <c r="M595" i="9" s="1"/>
  <c r="L625" i="9"/>
  <c r="L595" i="9" s="1"/>
  <c r="K625" i="9"/>
  <c r="BW623" i="9"/>
  <c r="BP623" i="9"/>
  <c r="AL622" i="9"/>
  <c r="AL618" i="9" s="1"/>
  <c r="BQ621" i="9"/>
  <c r="BC621" i="9"/>
  <c r="BC617" i="9" s="1"/>
  <c r="AW621" i="9"/>
  <c r="AW617" i="9" s="1"/>
  <c r="AV621" i="9"/>
  <c r="AV617" i="9" s="1"/>
  <c r="AU621" i="9"/>
  <c r="AU617" i="9" s="1"/>
  <c r="CB619" i="9"/>
  <c r="BW619" i="9"/>
  <c r="BP619" i="9"/>
  <c r="AH618" i="9"/>
  <c r="BQ617" i="9"/>
  <c r="AL616" i="9"/>
  <c r="CB615" i="9"/>
  <c r="BY615" i="9"/>
  <c r="BW615" i="9"/>
  <c r="BP615" i="9"/>
  <c r="BQ615" i="9" s="1"/>
  <c r="BH615" i="9"/>
  <c r="BG615" i="9"/>
  <c r="BF615" i="9"/>
  <c r="BE615" i="9"/>
  <c r="BD615" i="9"/>
  <c r="BC615" i="9"/>
  <c r="AW615" i="9"/>
  <c r="AV615" i="9"/>
  <c r="AU615" i="9"/>
  <c r="AT615" i="9"/>
  <c r="AS615" i="9"/>
  <c r="AR615" i="9"/>
  <c r="BW613" i="9"/>
  <c r="BP613" i="9"/>
  <c r="BW611" i="9"/>
  <c r="BP611" i="9"/>
  <c r="BW609" i="9"/>
  <c r="BP609" i="9"/>
  <c r="BW607" i="9"/>
  <c r="BP607" i="9"/>
  <c r="BQ607" i="9"/>
  <c r="BW605" i="9"/>
  <c r="BP605" i="9"/>
  <c r="BQ605" i="9"/>
  <c r="BW603" i="9"/>
  <c r="BP603" i="9"/>
  <c r="BQ603" i="9"/>
  <c r="BW601" i="9"/>
  <c r="BP601" i="9"/>
  <c r="BW599" i="9"/>
  <c r="BP599" i="9"/>
  <c r="BW597" i="9"/>
  <c r="BP597" i="9"/>
  <c r="AL596" i="9"/>
  <c r="AK596" i="9"/>
  <c r="AJ596" i="9"/>
  <c r="AI596" i="9"/>
  <c r="AH596" i="9"/>
  <c r="AG596" i="9"/>
  <c r="AA596" i="9"/>
  <c r="Z596" i="9"/>
  <c r="Y596" i="9"/>
  <c r="X596" i="9"/>
  <c r="W596" i="9"/>
  <c r="V596" i="9"/>
  <c r="P596" i="9"/>
  <c r="O596" i="9"/>
  <c r="N596" i="9"/>
  <c r="M596" i="9"/>
  <c r="L596" i="9"/>
  <c r="K596" i="9"/>
  <c r="CB595" i="9"/>
  <c r="BY595" i="9"/>
  <c r="BW595" i="9"/>
  <c r="BI595" i="9"/>
  <c r="BH595" i="9"/>
  <c r="BG595" i="9"/>
  <c r="BF595" i="9"/>
  <c r="BE595" i="9"/>
  <c r="BD595" i="9"/>
  <c r="BC595" i="9"/>
  <c r="AX595" i="9"/>
  <c r="AW595" i="9"/>
  <c r="AV595" i="9"/>
  <c r="AU595" i="9"/>
  <c r="AT595" i="9"/>
  <c r="AS595" i="9"/>
  <c r="AR595" i="9"/>
  <c r="AL595" i="9"/>
  <c r="AK595" i="9"/>
  <c r="AJ595" i="9"/>
  <c r="AI595" i="9"/>
  <c r="AH595" i="9"/>
  <c r="AG595" i="9"/>
  <c r="AL594" i="9"/>
  <c r="AK594" i="9"/>
  <c r="AJ594" i="9"/>
  <c r="AI594" i="9"/>
  <c r="AH594" i="9"/>
  <c r="AG594" i="9"/>
  <c r="AA594" i="9"/>
  <c r="Z594" i="9"/>
  <c r="Y594" i="9"/>
  <c r="X594" i="9"/>
  <c r="W594" i="9"/>
  <c r="V594" i="9"/>
  <c r="P594" i="9"/>
  <c r="O594" i="9"/>
  <c r="N594" i="9"/>
  <c r="M594" i="9"/>
  <c r="L594" i="9"/>
  <c r="K594" i="9"/>
  <c r="CB593" i="9"/>
  <c r="BY593" i="9"/>
  <c r="BW593" i="9"/>
  <c r="BH593" i="9"/>
  <c r="BG593" i="9"/>
  <c r="BF593" i="9"/>
  <c r="BE593" i="9"/>
  <c r="BD593" i="9"/>
  <c r="BC593" i="9"/>
  <c r="AW593" i="9"/>
  <c r="AV593" i="9"/>
  <c r="AU593" i="9"/>
  <c r="AT593" i="9"/>
  <c r="AS593" i="9"/>
  <c r="AR593" i="9"/>
  <c r="AL593" i="9"/>
  <c r="AK593" i="9"/>
  <c r="AJ593" i="9"/>
  <c r="AI593" i="9"/>
  <c r="AH593" i="9"/>
  <c r="AG593" i="9"/>
  <c r="AA593" i="9"/>
  <c r="Z593" i="9"/>
  <c r="Y593" i="9"/>
  <c r="X593" i="9"/>
  <c r="W593" i="9"/>
  <c r="V593" i="9"/>
  <c r="P593" i="9"/>
  <c r="O593" i="9"/>
  <c r="N593" i="9"/>
  <c r="M593" i="9"/>
  <c r="L593" i="9"/>
  <c r="K593" i="9"/>
  <c r="AM592" i="9"/>
  <c r="AB592" i="9"/>
  <c r="Q592" i="9"/>
  <c r="BW591" i="9"/>
  <c r="BQ591" i="9"/>
  <c r="CB588" i="9"/>
  <c r="BW588" i="9"/>
  <c r="BP588" i="9"/>
  <c r="S587" i="9"/>
  <c r="T586" i="9" s="1"/>
  <c r="BP586" i="9"/>
  <c r="BQ586" i="9"/>
  <c r="S586" i="9"/>
  <c r="S585" i="9"/>
  <c r="BP584" i="9"/>
  <c r="BQ584" i="9" s="1"/>
  <c r="T584" i="9"/>
  <c r="S584" i="9"/>
  <c r="S583" i="9"/>
  <c r="BP582" i="9"/>
  <c r="S582" i="9"/>
  <c r="S581" i="9"/>
  <c r="BP580" i="9"/>
  <c r="S580" i="9"/>
  <c r="S579" i="9"/>
  <c r="BP578" i="9"/>
  <c r="S578" i="9"/>
  <c r="S577" i="9"/>
  <c r="BP576" i="9"/>
  <c r="BQ576" i="9" s="1"/>
  <c r="S576" i="9"/>
  <c r="AZ575" i="9"/>
  <c r="BA574" i="9" s="1"/>
  <c r="S575" i="9"/>
  <c r="BP574" i="9"/>
  <c r="AZ574" i="9"/>
  <c r="S574" i="9"/>
  <c r="AZ573" i="9"/>
  <c r="S573" i="9"/>
  <c r="BP572" i="9"/>
  <c r="AZ572" i="9"/>
  <c r="S572" i="9"/>
  <c r="AZ571" i="9"/>
  <c r="S571" i="9"/>
  <c r="BP570" i="9"/>
  <c r="AZ570" i="9"/>
  <c r="S570" i="9"/>
  <c r="AZ569" i="9"/>
  <c r="BA568" i="9" s="1"/>
  <c r="S569" i="9"/>
  <c r="BP568" i="9"/>
  <c r="AZ568" i="9"/>
  <c r="S568" i="9"/>
  <c r="AZ567" i="9"/>
  <c r="S567" i="9"/>
  <c r="BP566" i="9"/>
  <c r="AZ566" i="9"/>
  <c r="S566" i="9"/>
  <c r="S565" i="9"/>
  <c r="BP564" i="9"/>
  <c r="S564" i="9"/>
  <c r="S563" i="9"/>
  <c r="BP562" i="9"/>
  <c r="BQ562" i="9"/>
  <c r="S562" i="9"/>
  <c r="S561" i="9"/>
  <c r="BP560" i="9"/>
  <c r="S560" i="9"/>
  <c r="S559" i="9"/>
  <c r="BQ558" i="9"/>
  <c r="BP558" i="9"/>
  <c r="S558" i="9"/>
  <c r="S557" i="9"/>
  <c r="BP556" i="9"/>
  <c r="S556" i="9"/>
  <c r="S555" i="9"/>
  <c r="BP554" i="9"/>
  <c r="T554" i="9"/>
  <c r="S554" i="9"/>
  <c r="S553" i="9"/>
  <c r="BP552" i="9"/>
  <c r="S552" i="9"/>
  <c r="S551" i="9"/>
  <c r="BP550" i="9"/>
  <c r="S550" i="9"/>
  <c r="S549" i="9"/>
  <c r="BP548" i="9"/>
  <c r="S548" i="9"/>
  <c r="S547" i="9"/>
  <c r="BP546" i="9"/>
  <c r="S546" i="9"/>
  <c r="T546" i="9" s="1"/>
  <c r="S545" i="9"/>
  <c r="T544" i="9" s="1"/>
  <c r="BP544" i="9"/>
  <c r="S544" i="9"/>
  <c r="S543" i="9"/>
  <c r="BP542" i="9"/>
  <c r="S542" i="9"/>
  <c r="S541" i="9"/>
  <c r="BP540" i="9"/>
  <c r="S540" i="9"/>
  <c r="S539" i="9"/>
  <c r="BP538" i="9"/>
  <c r="S538" i="9"/>
  <c r="S537" i="9"/>
  <c r="BP536" i="9"/>
  <c r="S536" i="9"/>
  <c r="S535" i="9"/>
  <c r="BP534" i="9"/>
  <c r="S534" i="9"/>
  <c r="S533" i="9"/>
  <c r="BP532" i="9"/>
  <c r="S532" i="9"/>
  <c r="BH531" i="9"/>
  <c r="BG531" i="9"/>
  <c r="BF531" i="9"/>
  <c r="BE531" i="9"/>
  <c r="BD531" i="9"/>
  <c r="BC531" i="9"/>
  <c r="AW531" i="9"/>
  <c r="AV531" i="9"/>
  <c r="AU531" i="9"/>
  <c r="AT531" i="9"/>
  <c r="AS531" i="9"/>
  <c r="AR531" i="9"/>
  <c r="AL531" i="9"/>
  <c r="AK531" i="9"/>
  <c r="AJ531" i="9"/>
  <c r="AI531" i="9"/>
  <c r="AH531" i="9"/>
  <c r="AG531" i="9"/>
  <c r="AA531" i="9"/>
  <c r="Z531" i="9"/>
  <c r="Y531" i="9"/>
  <c r="X531" i="9"/>
  <c r="W531" i="9"/>
  <c r="V531" i="9"/>
  <c r="Q531" i="9"/>
  <c r="P531" i="9"/>
  <c r="O531" i="9"/>
  <c r="N531" i="9"/>
  <c r="M531" i="9"/>
  <c r="L531" i="9"/>
  <c r="K531" i="9"/>
  <c r="BH530" i="9"/>
  <c r="BG530" i="9"/>
  <c r="BF530" i="9"/>
  <c r="BE530" i="9"/>
  <c r="BD530" i="9"/>
  <c r="BC530" i="9"/>
  <c r="AW530" i="9"/>
  <c r="AV530" i="9"/>
  <c r="AU530" i="9"/>
  <c r="AT530" i="9"/>
  <c r="AT502" i="9" s="1"/>
  <c r="AS530" i="9"/>
  <c r="AR530" i="9"/>
  <c r="AR502" i="9" s="1"/>
  <c r="AL530" i="9"/>
  <c r="AK530" i="9"/>
  <c r="AJ530" i="9"/>
  <c r="AI530" i="9"/>
  <c r="AH530" i="9"/>
  <c r="AG530" i="9"/>
  <c r="AA530" i="9"/>
  <c r="Z530" i="9"/>
  <c r="Y530" i="9"/>
  <c r="X530" i="9"/>
  <c r="W530" i="9"/>
  <c r="V530" i="9"/>
  <c r="P530" i="9"/>
  <c r="O530" i="9"/>
  <c r="N530" i="9"/>
  <c r="M530" i="9"/>
  <c r="L530" i="9"/>
  <c r="K530" i="9"/>
  <c r="S529" i="9"/>
  <c r="BP528" i="9"/>
  <c r="BQ528" i="9"/>
  <c r="S528" i="9"/>
  <c r="T528" i="9" s="1"/>
  <c r="S527" i="9"/>
  <c r="T526" i="9" s="1"/>
  <c r="BP526" i="9"/>
  <c r="BQ526" i="9"/>
  <c r="S526" i="9"/>
  <c r="S525" i="9"/>
  <c r="BP524" i="9"/>
  <c r="BQ524" i="9"/>
  <c r="S524" i="9"/>
  <c r="S523" i="9"/>
  <c r="T522" i="9" s="1"/>
  <c r="BP522" i="9"/>
  <c r="BQ522" i="9"/>
  <c r="S522" i="9"/>
  <c r="S521" i="9"/>
  <c r="BP520" i="9"/>
  <c r="S520" i="9"/>
  <c r="S519" i="9"/>
  <c r="BP518" i="9"/>
  <c r="S518" i="9"/>
  <c r="S517" i="9"/>
  <c r="BP516" i="9"/>
  <c r="BQ516" i="9"/>
  <c r="S516" i="9"/>
  <c r="S515" i="9"/>
  <c r="BP514" i="9"/>
  <c r="BQ514" i="9" s="1"/>
  <c r="S514" i="9"/>
  <c r="S513" i="9"/>
  <c r="BP512" i="9"/>
  <c r="S512" i="9"/>
  <c r="T512" i="9" s="1"/>
  <c r="S511" i="9"/>
  <c r="BP510" i="9"/>
  <c r="S510" i="9"/>
  <c r="T510" i="9" s="1"/>
  <c r="S509" i="9"/>
  <c r="BP508" i="9"/>
  <c r="T508" i="9"/>
  <c r="S508" i="9"/>
  <c r="S507" i="9"/>
  <c r="BP506" i="9"/>
  <c r="S506" i="9"/>
  <c r="S505" i="9"/>
  <c r="T504" i="9" s="1"/>
  <c r="BP504" i="9"/>
  <c r="BQ504" i="9" s="1"/>
  <c r="S504" i="9"/>
  <c r="BI503" i="9"/>
  <c r="BH503" i="9"/>
  <c r="BG503" i="9"/>
  <c r="BF503" i="9"/>
  <c r="BE503" i="9"/>
  <c r="BD503" i="9"/>
  <c r="BC503" i="9"/>
  <c r="AW503" i="9"/>
  <c r="AV503" i="9"/>
  <c r="AU503" i="9"/>
  <c r="AT503" i="9"/>
  <c r="AS503" i="9"/>
  <c r="AR503" i="9"/>
  <c r="AL503" i="9"/>
  <c r="AK503" i="9"/>
  <c r="AJ503" i="9"/>
  <c r="AI503" i="9"/>
  <c r="AH503" i="9"/>
  <c r="AG503" i="9"/>
  <c r="AA503" i="9"/>
  <c r="Z503" i="9"/>
  <c r="Y503" i="9"/>
  <c r="X503" i="9"/>
  <c r="W503" i="9"/>
  <c r="V503" i="9"/>
  <c r="Q503" i="9"/>
  <c r="P503" i="9"/>
  <c r="O503" i="9"/>
  <c r="N503" i="9"/>
  <c r="M503" i="9"/>
  <c r="L503" i="9"/>
  <c r="K503" i="9"/>
  <c r="BI502" i="9"/>
  <c r="BH502" i="9"/>
  <c r="BG502" i="9"/>
  <c r="BF502" i="9"/>
  <c r="BE502" i="9"/>
  <c r="BD502" i="9"/>
  <c r="BC502" i="9"/>
  <c r="AW502" i="9"/>
  <c r="AV502" i="9"/>
  <c r="AU502" i="9"/>
  <c r="AS502" i="9"/>
  <c r="AL502" i="9"/>
  <c r="AK502" i="9"/>
  <c r="AJ502" i="9"/>
  <c r="AI502" i="9"/>
  <c r="AH502" i="9"/>
  <c r="AG502" i="9"/>
  <c r="AA502" i="9"/>
  <c r="Z502" i="9"/>
  <c r="Y502" i="9"/>
  <c r="X502" i="9"/>
  <c r="W502" i="9"/>
  <c r="V502" i="9"/>
  <c r="P502" i="9"/>
  <c r="O502" i="9"/>
  <c r="N502" i="9"/>
  <c r="M502" i="9"/>
  <c r="L502" i="9"/>
  <c r="K502" i="9"/>
  <c r="AZ501" i="9"/>
  <c r="S501" i="9"/>
  <c r="BW500" i="9"/>
  <c r="BP500" i="9"/>
  <c r="AZ500" i="9"/>
  <c r="S500" i="9"/>
  <c r="AZ499" i="9"/>
  <c r="BA498" i="9" s="1"/>
  <c r="S499" i="9"/>
  <c r="BW498" i="9"/>
  <c r="BP498" i="9"/>
  <c r="BQ498" i="9"/>
  <c r="AZ498" i="9"/>
  <c r="S498" i="9"/>
  <c r="AZ497" i="9"/>
  <c r="S497" i="9"/>
  <c r="BW496" i="9"/>
  <c r="BP496" i="9"/>
  <c r="AZ496" i="9"/>
  <c r="S496" i="9"/>
  <c r="AZ495" i="9"/>
  <c r="BA494" i="9" s="1"/>
  <c r="S495" i="9"/>
  <c r="BW494" i="9"/>
  <c r="BP494" i="9"/>
  <c r="AZ494" i="9"/>
  <c r="S494" i="9"/>
  <c r="T494" i="9" s="1"/>
  <c r="AZ493" i="9"/>
  <c r="BA492" i="9" s="1"/>
  <c r="S493" i="9"/>
  <c r="BW492" i="9"/>
  <c r="BP492" i="9"/>
  <c r="AZ492" i="9"/>
  <c r="S492" i="9"/>
  <c r="AZ491" i="9"/>
  <c r="S491" i="9"/>
  <c r="BW490" i="9"/>
  <c r="BP490" i="9"/>
  <c r="AZ490" i="9"/>
  <c r="S490" i="9"/>
  <c r="AA489" i="9"/>
  <c r="Z489" i="9"/>
  <c r="Y489" i="9"/>
  <c r="X489" i="9"/>
  <c r="W489" i="9"/>
  <c r="V489" i="9"/>
  <c r="Q489" i="9"/>
  <c r="P489" i="9"/>
  <c r="O489" i="9"/>
  <c r="N489" i="9"/>
  <c r="M489" i="9"/>
  <c r="L489" i="9"/>
  <c r="K489" i="9"/>
  <c r="CB488" i="9"/>
  <c r="BY488" i="9"/>
  <c r="BW488" i="9"/>
  <c r="AA488" i="9"/>
  <c r="Z488" i="9"/>
  <c r="Y488" i="9"/>
  <c r="X488" i="9"/>
  <c r="W488" i="9"/>
  <c r="V488" i="9"/>
  <c r="P488" i="9"/>
  <c r="O488" i="9"/>
  <c r="N488" i="9"/>
  <c r="M488" i="9"/>
  <c r="L488" i="9"/>
  <c r="K488" i="9"/>
  <c r="AZ487" i="9"/>
  <c r="S487" i="9"/>
  <c r="T486" i="9" s="1"/>
  <c r="BP486" i="9"/>
  <c r="AZ486" i="9"/>
  <c r="S486" i="9"/>
  <c r="AZ485" i="9"/>
  <c r="BA484" i="9" s="1"/>
  <c r="S485" i="9"/>
  <c r="T484" i="9" s="1"/>
  <c r="BP484" i="9"/>
  <c r="AZ484" i="9"/>
  <c r="S484" i="9"/>
  <c r="AZ483" i="9"/>
  <c r="S483" i="9"/>
  <c r="T482" i="9" s="1"/>
  <c r="BP482" i="9"/>
  <c r="BA482" i="9"/>
  <c r="AZ482" i="9"/>
  <c r="S482" i="9"/>
  <c r="AZ481" i="9"/>
  <c r="BA480" i="9" s="1"/>
  <c r="S481" i="9"/>
  <c r="T480" i="9" s="1"/>
  <c r="BP480" i="9"/>
  <c r="AZ480" i="9"/>
  <c r="S480" i="9"/>
  <c r="S479" i="9"/>
  <c r="BP478" i="9"/>
  <c r="S478" i="9"/>
  <c r="S477" i="9"/>
  <c r="BP476" i="9"/>
  <c r="S476" i="9"/>
  <c r="S475" i="9"/>
  <c r="T474" i="9" s="1"/>
  <c r="BP474" i="9"/>
  <c r="S474" i="9"/>
  <c r="S473" i="9"/>
  <c r="BP472" i="9"/>
  <c r="S472" i="9"/>
  <c r="BP470" i="9"/>
  <c r="BQ468" i="9"/>
  <c r="BP468" i="9"/>
  <c r="BP466" i="9"/>
  <c r="BQ466" i="9"/>
  <c r="BP464" i="9"/>
  <c r="BP462" i="9"/>
  <c r="BH461" i="9"/>
  <c r="BG461" i="9"/>
  <c r="BF461" i="9"/>
  <c r="BE461" i="9"/>
  <c r="BD461" i="9"/>
  <c r="BC461" i="9"/>
  <c r="AX461" i="9"/>
  <c r="AW461" i="9"/>
  <c r="AV461" i="9"/>
  <c r="AU461" i="9"/>
  <c r="AT461" i="9"/>
  <c r="AS461" i="9"/>
  <c r="AR461" i="9"/>
  <c r="AL461" i="9"/>
  <c r="AK461" i="9"/>
  <c r="AI461" i="9"/>
  <c r="AH461" i="9"/>
  <c r="AG461" i="9"/>
  <c r="AG431" i="9" s="1"/>
  <c r="AB461" i="9"/>
  <c r="AB433" i="9" s="1"/>
  <c r="AA461" i="9"/>
  <c r="Z461" i="9"/>
  <c r="Y461" i="9"/>
  <c r="X461" i="9"/>
  <c r="X431" i="9" s="1"/>
  <c r="W461" i="9"/>
  <c r="V461" i="9"/>
  <c r="Q461" i="9"/>
  <c r="Q433" i="9" s="1"/>
  <c r="P461" i="9"/>
  <c r="O461" i="9"/>
  <c r="N461" i="9"/>
  <c r="M461" i="9"/>
  <c r="L461" i="9"/>
  <c r="K461" i="9"/>
  <c r="BH460" i="9"/>
  <c r="BG460" i="9"/>
  <c r="BF460" i="9"/>
  <c r="BE460" i="9"/>
  <c r="BD460" i="9"/>
  <c r="BC460" i="9"/>
  <c r="AW460" i="9"/>
  <c r="AV460" i="9"/>
  <c r="AU460" i="9"/>
  <c r="AT460" i="9"/>
  <c r="AS460" i="9"/>
  <c r="AR460" i="9"/>
  <c r="AL460" i="9"/>
  <c r="AK460" i="9"/>
  <c r="AJ460" i="9"/>
  <c r="AI460" i="9"/>
  <c r="AH460" i="9"/>
  <c r="AG460" i="9"/>
  <c r="AB460" i="9"/>
  <c r="AA460" i="9"/>
  <c r="Z460" i="9"/>
  <c r="Y460" i="9"/>
  <c r="Y430" i="9" s="1"/>
  <c r="X460" i="9"/>
  <c r="W460" i="9"/>
  <c r="V460" i="9"/>
  <c r="Q460" i="9"/>
  <c r="P460" i="9"/>
  <c r="O460" i="9"/>
  <c r="N460" i="9"/>
  <c r="M460" i="9"/>
  <c r="L460" i="9"/>
  <c r="K460" i="9"/>
  <c r="S459" i="9"/>
  <c r="T458" i="9" s="1"/>
  <c r="BP458" i="9"/>
  <c r="S458" i="9"/>
  <c r="I458" i="9"/>
  <c r="S457" i="9"/>
  <c r="T456" i="9" s="1"/>
  <c r="BP456" i="9"/>
  <c r="S456" i="9"/>
  <c r="I456" i="9"/>
  <c r="BP454" i="9"/>
  <c r="I454" i="9"/>
  <c r="BP452" i="9"/>
  <c r="I452" i="9"/>
  <c r="BP450" i="9"/>
  <c r="I450" i="9"/>
  <c r="BP448" i="9"/>
  <c r="I448" i="9"/>
  <c r="BP446" i="9"/>
  <c r="I446" i="9"/>
  <c r="BP444" i="9"/>
  <c r="I444" i="9"/>
  <c r="BP442" i="9"/>
  <c r="I442" i="9"/>
  <c r="BP440" i="9"/>
  <c r="I440" i="9"/>
  <c r="BP438" i="9"/>
  <c r="BP432" i="9" s="1"/>
  <c r="I438" i="9"/>
  <c r="BP436" i="9"/>
  <c r="I436" i="9"/>
  <c r="BP434" i="9"/>
  <c r="I434" i="9"/>
  <c r="BH433" i="9"/>
  <c r="BG433" i="9"/>
  <c r="BF433" i="9"/>
  <c r="BE433" i="9"/>
  <c r="BE431" i="9" s="1"/>
  <c r="BD433" i="9"/>
  <c r="BC433" i="9"/>
  <c r="AW433" i="9"/>
  <c r="AW431" i="9" s="1"/>
  <c r="AV433" i="9"/>
  <c r="AV431" i="9" s="1"/>
  <c r="AU433" i="9"/>
  <c r="AT433" i="9"/>
  <c r="AS433" i="9"/>
  <c r="AS431" i="9" s="1"/>
  <c r="AR433" i="9"/>
  <c r="AR431" i="9" s="1"/>
  <c r="AL433" i="9"/>
  <c r="AK433" i="9"/>
  <c r="AJ433" i="9"/>
  <c r="AI433" i="9"/>
  <c r="AI431" i="9" s="1"/>
  <c r="AH433" i="9"/>
  <c r="AG433" i="9"/>
  <c r="AA433" i="9"/>
  <c r="AA431" i="9" s="1"/>
  <c r="Z433" i="9"/>
  <c r="Z431" i="9" s="1"/>
  <c r="Y433" i="9"/>
  <c r="X433" i="9"/>
  <c r="W433" i="9"/>
  <c r="V433" i="9"/>
  <c r="P433" i="9"/>
  <c r="O433" i="9"/>
  <c r="O431" i="9" s="1"/>
  <c r="N433" i="9"/>
  <c r="N431" i="9" s="1"/>
  <c r="M433" i="9"/>
  <c r="L433" i="9"/>
  <c r="L431" i="9" s="1"/>
  <c r="K433" i="9"/>
  <c r="BH432" i="9"/>
  <c r="BH430" i="9" s="1"/>
  <c r="BG432" i="9"/>
  <c r="BF432" i="9"/>
  <c r="BE432" i="9"/>
  <c r="BE430" i="9" s="1"/>
  <c r="BD432" i="9"/>
  <c r="BD430" i="9" s="1"/>
  <c r="BC432" i="9"/>
  <c r="AW432" i="9"/>
  <c r="AV432" i="9"/>
  <c r="AU432" i="9"/>
  <c r="AT432" i="9"/>
  <c r="AS432" i="9"/>
  <c r="AR432" i="9"/>
  <c r="AL432" i="9"/>
  <c r="AK432" i="9"/>
  <c r="AJ432" i="9"/>
  <c r="AI432" i="9"/>
  <c r="AI430" i="9" s="1"/>
  <c r="AH432" i="9"/>
  <c r="AH430" i="9" s="1"/>
  <c r="AG432" i="9"/>
  <c r="AB432" i="9"/>
  <c r="AA432" i="9"/>
  <c r="Z432" i="9"/>
  <c r="Z430" i="9" s="1"/>
  <c r="Y432" i="9"/>
  <c r="X432" i="9"/>
  <c r="W432" i="9"/>
  <c r="W430" i="9" s="1"/>
  <c r="V432" i="9"/>
  <c r="Q432" i="9"/>
  <c r="P432" i="9"/>
  <c r="O432" i="9"/>
  <c r="O430" i="9" s="1"/>
  <c r="N432" i="9"/>
  <c r="M432" i="9"/>
  <c r="L432" i="9"/>
  <c r="K432" i="9"/>
  <c r="K430" i="9" s="1"/>
  <c r="V431" i="9"/>
  <c r="BX430" i="9"/>
  <c r="BO430" i="9"/>
  <c r="BN430" i="9"/>
  <c r="AX429" i="9"/>
  <c r="AM429" i="9"/>
  <c r="AB429" i="9"/>
  <c r="BW428" i="9"/>
  <c r="BQ428" i="9"/>
  <c r="AX428" i="9"/>
  <c r="AM428" i="9"/>
  <c r="AB428" i="9"/>
  <c r="BP425" i="9"/>
  <c r="BQ425" i="9" s="1"/>
  <c r="BQ423" i="9"/>
  <c r="BP423" i="9"/>
  <c r="CB423" i="9" s="1"/>
  <c r="BW421" i="9"/>
  <c r="BP421" i="9"/>
  <c r="BW419" i="9"/>
  <c r="BP419" i="9"/>
  <c r="BQ419" i="9"/>
  <c r="BP417" i="9"/>
  <c r="BQ417" i="9" s="1"/>
  <c r="CB415" i="9"/>
  <c r="BY415" i="9"/>
  <c r="BW415" i="9"/>
  <c r="BP415" i="9"/>
  <c r="CB413" i="9"/>
  <c r="BY413" i="9"/>
  <c r="BW413" i="9"/>
  <c r="BP413" i="9"/>
  <c r="BP411" i="9"/>
  <c r="BQ411" i="9" s="1"/>
  <c r="CB409" i="9"/>
  <c r="BW409" i="9"/>
  <c r="BP409" i="9"/>
  <c r="CB407" i="9"/>
  <c r="BW407" i="9"/>
  <c r="BP407" i="9"/>
  <c r="BP405" i="9"/>
  <c r="BQ405" i="9" s="1"/>
  <c r="BY403" i="9"/>
  <c r="BW403" i="9"/>
  <c r="BP403" i="9"/>
  <c r="BQ403" i="9"/>
  <c r="BY401" i="9"/>
  <c r="BW401" i="9"/>
  <c r="BP401" i="9"/>
  <c r="BQ401" i="9"/>
  <c r="BW399" i="9"/>
  <c r="BP399" i="9"/>
  <c r="BW397" i="9"/>
  <c r="BP397" i="9"/>
  <c r="BU395" i="9"/>
  <c r="BY395" i="9" s="1"/>
  <c r="BP395" i="9"/>
  <c r="BQ395" i="9" s="1"/>
  <c r="BW393" i="9"/>
  <c r="BQ393" i="9"/>
  <c r="CB390" i="9"/>
  <c r="BW390" i="9"/>
  <c r="BP390" i="9"/>
  <c r="BQ390" i="9"/>
  <c r="CB388" i="9"/>
  <c r="BW388" i="9"/>
  <c r="BP388" i="9"/>
  <c r="CB386" i="9"/>
  <c r="BY386" i="9"/>
  <c r="BW386" i="9"/>
  <c r="BQ386" i="9"/>
  <c r="S385" i="9"/>
  <c r="CB384" i="9"/>
  <c r="BW384" i="9"/>
  <c r="BQ384" i="9"/>
  <c r="T384" i="9"/>
  <c r="S384" i="9"/>
  <c r="S383" i="9"/>
  <c r="CB382" i="9"/>
  <c r="BW382" i="9"/>
  <c r="BQ382" i="9"/>
  <c r="S382" i="9"/>
  <c r="T382" i="9" s="1"/>
  <c r="S381" i="9"/>
  <c r="T380" i="9" s="1"/>
  <c r="CB380" i="9"/>
  <c r="BW380" i="9"/>
  <c r="BQ380" i="9"/>
  <c r="S380" i="9"/>
  <c r="S379" i="9"/>
  <c r="CB378" i="9"/>
  <c r="BW378" i="9"/>
  <c r="BQ378" i="9"/>
  <c r="S378" i="9"/>
  <c r="S377" i="9"/>
  <c r="CB376" i="9"/>
  <c r="BW376" i="9"/>
  <c r="BQ376" i="9"/>
  <c r="S376" i="9"/>
  <c r="S375" i="9"/>
  <c r="T374" i="9" s="1"/>
  <c r="CB374" i="9"/>
  <c r="BW374" i="9"/>
  <c r="BQ374" i="9"/>
  <c r="S374" i="9"/>
  <c r="CB372" i="9"/>
  <c r="BY372" i="9"/>
  <c r="BW372" i="9"/>
  <c r="BQ372" i="9"/>
  <c r="BI372" i="9"/>
  <c r="BI358" i="9" s="1"/>
  <c r="Q372" i="9"/>
  <c r="Q358" i="9" s="1"/>
  <c r="S371" i="9"/>
  <c r="CB370" i="9"/>
  <c r="BW370" i="9"/>
  <c r="BP370" i="9"/>
  <c r="BQ370" i="9" s="1"/>
  <c r="S370" i="9"/>
  <c r="S369" i="9"/>
  <c r="T368" i="9" s="1"/>
  <c r="CB368" i="9"/>
  <c r="BW368" i="9"/>
  <c r="BP368" i="9"/>
  <c r="BQ368" i="9" s="1"/>
  <c r="S368" i="9"/>
  <c r="CB366" i="9"/>
  <c r="BW366" i="9"/>
  <c r="BP366" i="9"/>
  <c r="BQ366" i="9" s="1"/>
  <c r="S365" i="9"/>
  <c r="CB364" i="9"/>
  <c r="BW364" i="9"/>
  <c r="BP364" i="9"/>
  <c r="BQ364" i="9" s="1"/>
  <c r="S364" i="9"/>
  <c r="CB362" i="9"/>
  <c r="BW362" i="9"/>
  <c r="BP362" i="9"/>
  <c r="BQ362" i="9" s="1"/>
  <c r="S361" i="9"/>
  <c r="CB360" i="9"/>
  <c r="BW360" i="9"/>
  <c r="BP360" i="9"/>
  <c r="BQ360" i="9" s="1"/>
  <c r="S360" i="9"/>
  <c r="T360" i="9" s="1"/>
  <c r="BI359" i="9"/>
  <c r="CB358" i="9"/>
  <c r="BY358" i="9"/>
  <c r="BW358" i="9"/>
  <c r="BQ358" i="9"/>
  <c r="BP358" i="9"/>
  <c r="BK357" i="9"/>
  <c r="BL356" i="9" s="1"/>
  <c r="AZ357" i="9"/>
  <c r="S357" i="9"/>
  <c r="CB356" i="9"/>
  <c r="BW356" i="9"/>
  <c r="BP356" i="9"/>
  <c r="BQ356" i="9" s="1"/>
  <c r="BK356" i="9"/>
  <c r="AZ356" i="9"/>
  <c r="T356" i="9"/>
  <c r="S356" i="9"/>
  <c r="BK355" i="9"/>
  <c r="AZ355" i="9"/>
  <c r="BA354" i="9" s="1"/>
  <c r="S355" i="9"/>
  <c r="T354" i="9" s="1"/>
  <c r="CB354" i="9"/>
  <c r="BW354" i="9"/>
  <c r="BP354" i="9"/>
  <c r="BQ354" i="9" s="1"/>
  <c r="BL354" i="9"/>
  <c r="BK354" i="9"/>
  <c r="AZ354" i="9"/>
  <c r="S354" i="9"/>
  <c r="BK353" i="9"/>
  <c r="AZ353" i="9"/>
  <c r="S353" i="9"/>
  <c r="T352" i="9" s="1"/>
  <c r="CB352" i="9"/>
  <c r="BW352" i="9"/>
  <c r="BP352" i="9"/>
  <c r="BQ352" i="9" s="1"/>
  <c r="BK352" i="9"/>
  <c r="AZ352" i="9"/>
  <c r="S352" i="9"/>
  <c r="BI351" i="9"/>
  <c r="BI317" i="9" s="1"/>
  <c r="AX351" i="9"/>
  <c r="AX315" i="9" s="1"/>
  <c r="AM351" i="9"/>
  <c r="AM315" i="9" s="1"/>
  <c r="Q351" i="9"/>
  <c r="CB350" i="9"/>
  <c r="BY350" i="9"/>
  <c r="BW350" i="9"/>
  <c r="BQ350" i="9"/>
  <c r="BI350" i="9"/>
  <c r="AX350" i="9"/>
  <c r="AX314" i="9" s="1"/>
  <c r="AM350" i="9"/>
  <c r="AM316" i="9" s="1"/>
  <c r="Q350" i="9"/>
  <c r="CB348" i="9"/>
  <c r="BW348" i="9"/>
  <c r="BP348" i="9"/>
  <c r="CB346" i="9"/>
  <c r="BW346" i="9"/>
  <c r="BP346" i="9"/>
  <c r="CB344" i="9"/>
  <c r="BW344" i="9"/>
  <c r="BP344" i="9"/>
  <c r="CB342" i="9"/>
  <c r="BW342" i="9"/>
  <c r="BP342" i="9"/>
  <c r="BH341" i="9"/>
  <c r="BG341" i="9"/>
  <c r="BF341" i="9"/>
  <c r="BE341" i="9"/>
  <c r="BD341" i="9"/>
  <c r="BC341" i="9"/>
  <c r="AW341" i="9"/>
  <c r="AV341" i="9"/>
  <c r="AU341" i="9"/>
  <c r="AT341" i="9"/>
  <c r="AS341" i="9"/>
  <c r="AR341" i="9"/>
  <c r="AL341" i="9"/>
  <c r="AK341" i="9"/>
  <c r="AJ341" i="9"/>
  <c r="AI341" i="9"/>
  <c r="AH341" i="9"/>
  <c r="AG341" i="9"/>
  <c r="AA341" i="9"/>
  <c r="Z341" i="9"/>
  <c r="Y341" i="9"/>
  <c r="X341" i="9"/>
  <c r="W341" i="9"/>
  <c r="V341" i="9"/>
  <c r="CB340" i="9"/>
  <c r="BY340" i="9"/>
  <c r="BW340" i="9"/>
  <c r="BQ340" i="9"/>
  <c r="BH340" i="9"/>
  <c r="BG340" i="9"/>
  <c r="BF340" i="9"/>
  <c r="BE340" i="9"/>
  <c r="BD340" i="9"/>
  <c r="BC340" i="9"/>
  <c r="AW340" i="9"/>
  <c r="AV340" i="9"/>
  <c r="AU340" i="9"/>
  <c r="AT340" i="9"/>
  <c r="AS340" i="9"/>
  <c r="AR340" i="9"/>
  <c r="AL340" i="9"/>
  <c r="AK340" i="9"/>
  <c r="AJ340" i="9"/>
  <c r="AI340" i="9"/>
  <c r="AH340" i="9"/>
  <c r="AG340" i="9"/>
  <c r="AA340" i="9"/>
  <c r="Z340" i="9"/>
  <c r="Y340" i="9"/>
  <c r="X340" i="9"/>
  <c r="W340" i="9"/>
  <c r="V340" i="9"/>
  <c r="CB338" i="9"/>
  <c r="BW338" i="9"/>
  <c r="BQ338" i="9"/>
  <c r="CB336" i="9"/>
  <c r="BW336" i="9"/>
  <c r="BQ336" i="9"/>
  <c r="CB334" i="9"/>
  <c r="BW334" i="9"/>
  <c r="BQ334" i="9"/>
  <c r="BH333" i="9"/>
  <c r="BG333" i="9"/>
  <c r="BF333" i="9"/>
  <c r="BE333" i="9"/>
  <c r="BD333" i="9"/>
  <c r="BC333" i="9"/>
  <c r="AW333" i="9"/>
  <c r="AV333" i="9"/>
  <c r="AU333" i="9"/>
  <c r="AT333" i="9"/>
  <c r="AS333" i="9"/>
  <c r="AR333" i="9"/>
  <c r="AL333" i="9"/>
  <c r="AK333" i="9"/>
  <c r="AJ333" i="9"/>
  <c r="AI333" i="9"/>
  <c r="AH333" i="9"/>
  <c r="AG333" i="9"/>
  <c r="AB333" i="9"/>
  <c r="AA333" i="9"/>
  <c r="Z333" i="9"/>
  <c r="Y333" i="9"/>
  <c r="X333" i="9"/>
  <c r="W333" i="9"/>
  <c r="V333" i="9"/>
  <c r="CB332" i="9"/>
  <c r="BY332" i="9"/>
  <c r="BW332" i="9"/>
  <c r="BQ332" i="9"/>
  <c r="BH332" i="9"/>
  <c r="BG332" i="9"/>
  <c r="BF332" i="9"/>
  <c r="BE332" i="9"/>
  <c r="BD332" i="9"/>
  <c r="BC332" i="9"/>
  <c r="AW332" i="9"/>
  <c r="AV332" i="9"/>
  <c r="AU332" i="9"/>
  <c r="AT332" i="9"/>
  <c r="AS332" i="9"/>
  <c r="AR332" i="9"/>
  <c r="AL332" i="9"/>
  <c r="AK332" i="9"/>
  <c r="AJ332" i="9"/>
  <c r="AI332" i="9"/>
  <c r="AH332" i="9"/>
  <c r="AG332" i="9"/>
  <c r="AB332" i="9"/>
  <c r="AA332" i="9"/>
  <c r="Z332" i="9"/>
  <c r="Y332" i="9"/>
  <c r="X332" i="9"/>
  <c r="W332" i="9"/>
  <c r="V332" i="9"/>
  <c r="CB330" i="9"/>
  <c r="BW330" i="9"/>
  <c r="BQ330" i="9"/>
  <c r="CB328" i="9"/>
  <c r="BW328" i="9"/>
  <c r="BQ328" i="9"/>
  <c r="CB326" i="9"/>
  <c r="BW326" i="9"/>
  <c r="BQ326" i="9"/>
  <c r="CB324" i="9"/>
  <c r="BW324" i="9"/>
  <c r="BQ324" i="9"/>
  <c r="BI323" i="9"/>
  <c r="BH323" i="9"/>
  <c r="BG323" i="9"/>
  <c r="BF323" i="9"/>
  <c r="BE323" i="9"/>
  <c r="BD323" i="9"/>
  <c r="BC323" i="9"/>
  <c r="AX323" i="9"/>
  <c r="AW323" i="9"/>
  <c r="AV323" i="9"/>
  <c r="AU323" i="9"/>
  <c r="AT323" i="9"/>
  <c r="AS323" i="9"/>
  <c r="AR323" i="9"/>
  <c r="AM323" i="9"/>
  <c r="AL323" i="9"/>
  <c r="AK323" i="9"/>
  <c r="AJ323" i="9"/>
  <c r="AI323" i="9"/>
  <c r="AH323" i="9"/>
  <c r="AG323" i="9"/>
  <c r="AA323" i="9"/>
  <c r="Z323" i="9"/>
  <c r="Y323" i="9"/>
  <c r="X323" i="9"/>
  <c r="W323" i="9"/>
  <c r="V323" i="9"/>
  <c r="CB322" i="9"/>
  <c r="BY322" i="9"/>
  <c r="BW322" i="9"/>
  <c r="BQ322" i="9"/>
  <c r="BI322" i="9"/>
  <c r="BH322" i="9"/>
  <c r="BG322" i="9"/>
  <c r="BF322" i="9"/>
  <c r="BE322" i="9"/>
  <c r="BD322" i="9"/>
  <c r="BC322" i="9"/>
  <c r="AX322" i="9"/>
  <c r="AW322" i="9"/>
  <c r="AV322" i="9"/>
  <c r="AU322" i="9"/>
  <c r="AT322" i="9"/>
  <c r="AS322" i="9"/>
  <c r="AR322" i="9"/>
  <c r="AL322" i="9"/>
  <c r="AK322" i="9"/>
  <c r="AJ322" i="9"/>
  <c r="AI322" i="9"/>
  <c r="AH322" i="9"/>
  <c r="AG322" i="9"/>
  <c r="AA322" i="9"/>
  <c r="Z322" i="9"/>
  <c r="Y322" i="9"/>
  <c r="X322" i="9"/>
  <c r="W322" i="9"/>
  <c r="V322" i="9"/>
  <c r="BW320" i="9"/>
  <c r="BP320" i="9"/>
  <c r="BW318" i="9"/>
  <c r="BP318" i="9"/>
  <c r="AM317" i="9"/>
  <c r="AB317" i="9"/>
  <c r="CB316" i="9"/>
  <c r="BY316" i="9"/>
  <c r="BW316" i="9"/>
  <c r="BQ316" i="9"/>
  <c r="AB316" i="9"/>
  <c r="BI315" i="9"/>
  <c r="AB315" i="9"/>
  <c r="Q315" i="9"/>
  <c r="BW314" i="9"/>
  <c r="BQ314" i="9"/>
  <c r="BI314" i="9"/>
  <c r="AB314" i="9"/>
  <c r="Q314" i="9"/>
  <c r="BU310" i="9"/>
  <c r="CB310" i="9" s="1"/>
  <c r="BP310" i="9"/>
  <c r="BP307" i="9"/>
  <c r="BP304" i="9"/>
  <c r="BQ304" i="9"/>
  <c r="CB299" i="9"/>
  <c r="BP299" i="9"/>
  <c r="BP296" i="9"/>
  <c r="BQ296" i="9" s="1"/>
  <c r="BQ294" i="9"/>
  <c r="BP294" i="9"/>
  <c r="BP292" i="9"/>
  <c r="BQ292" i="9" s="1"/>
  <c r="BP290" i="9"/>
  <c r="BQ290" i="9" s="1"/>
  <c r="BP288" i="9"/>
  <c r="BQ288" i="9" s="1"/>
  <c r="BQ286" i="9"/>
  <c r="BP286" i="9"/>
  <c r="BP284" i="9"/>
  <c r="BQ284" i="9" s="1"/>
  <c r="BP282" i="9"/>
  <c r="BQ282" i="9" s="1"/>
  <c r="S281" i="9"/>
  <c r="BP280" i="9"/>
  <c r="BQ280" i="9"/>
  <c r="S280" i="9"/>
  <c r="BI279" i="9"/>
  <c r="BH279" i="9"/>
  <c r="BG279" i="9"/>
  <c r="BF279" i="9"/>
  <c r="BE279" i="9"/>
  <c r="BD279" i="9"/>
  <c r="BC279" i="9"/>
  <c r="AX279" i="9"/>
  <c r="AW279" i="9"/>
  <c r="AV279" i="9"/>
  <c r="AU279" i="9"/>
  <c r="AT279" i="9"/>
  <c r="AS279" i="9"/>
  <c r="AR279" i="9"/>
  <c r="AM279" i="9"/>
  <c r="AL279" i="9"/>
  <c r="AK279" i="9"/>
  <c r="AJ279" i="9"/>
  <c r="AI279" i="9"/>
  <c r="AH279" i="9"/>
  <c r="AG279" i="9"/>
  <c r="AB279" i="9"/>
  <c r="AA279" i="9"/>
  <c r="Z279" i="9"/>
  <c r="Y279" i="9"/>
  <c r="X279" i="9"/>
  <c r="W279" i="9"/>
  <c r="V279" i="9"/>
  <c r="Q279" i="9"/>
  <c r="P279" i="9"/>
  <c r="O279" i="9"/>
  <c r="N279" i="9"/>
  <c r="M279" i="9"/>
  <c r="L279" i="9"/>
  <c r="K279" i="9"/>
  <c r="CA278" i="9"/>
  <c r="BI278" i="9"/>
  <c r="BH278" i="9"/>
  <c r="BG278" i="9"/>
  <c r="BF278" i="9"/>
  <c r="BE278" i="9"/>
  <c r="BD278" i="9"/>
  <c r="BC278" i="9"/>
  <c r="AX278" i="9"/>
  <c r="AW278" i="9"/>
  <c r="AV278" i="9"/>
  <c r="AU278" i="9"/>
  <c r="AT278" i="9"/>
  <c r="AS278" i="9"/>
  <c r="AR278" i="9"/>
  <c r="AM278" i="9"/>
  <c r="AL278" i="9"/>
  <c r="AK278" i="9"/>
  <c r="AJ278" i="9"/>
  <c r="AI278" i="9"/>
  <c r="AH278" i="9"/>
  <c r="AG278" i="9"/>
  <c r="AB278" i="9"/>
  <c r="AA278" i="9"/>
  <c r="Z278" i="9"/>
  <c r="Y278" i="9"/>
  <c r="X278" i="9"/>
  <c r="W278" i="9"/>
  <c r="V278" i="9"/>
  <c r="Q278" i="9"/>
  <c r="P278" i="9"/>
  <c r="O278" i="9"/>
  <c r="N278" i="9"/>
  <c r="M278" i="9"/>
  <c r="L278" i="9"/>
  <c r="K278" i="9"/>
  <c r="BP275" i="9"/>
  <c r="BP273" i="9"/>
  <c r="BP271" i="9"/>
  <c r="BP269" i="9"/>
  <c r="BP267" i="9"/>
  <c r="BQ267" i="9"/>
  <c r="BP265" i="9"/>
  <c r="BP263" i="9"/>
  <c r="BP261" i="9"/>
  <c r="BQ261" i="9"/>
  <c r="BP259" i="9"/>
  <c r="BP257" i="9"/>
  <c r="BP255" i="9"/>
  <c r="BP253" i="9"/>
  <c r="BP251" i="9"/>
  <c r="BP249" i="9"/>
  <c r="BP247" i="9"/>
  <c r="BP245" i="9"/>
  <c r="BP243" i="9"/>
  <c r="BP241" i="9"/>
  <c r="BP239" i="9"/>
  <c r="BP237" i="9"/>
  <c r="BP235" i="9"/>
  <c r="BI234" i="9"/>
  <c r="BI230" i="9" s="1"/>
  <c r="BH234" i="9"/>
  <c r="BG234" i="9"/>
  <c r="BF234" i="9"/>
  <c r="BF230" i="9" s="1"/>
  <c r="BE234" i="9"/>
  <c r="BE230" i="9" s="1"/>
  <c r="BD234" i="9"/>
  <c r="BD230" i="9" s="1"/>
  <c r="BC234" i="9"/>
  <c r="BC230" i="9" s="1"/>
  <c r="AX234" i="9"/>
  <c r="AX230" i="9" s="1"/>
  <c r="AW234" i="9"/>
  <c r="AW230" i="9" s="1"/>
  <c r="AV234" i="9"/>
  <c r="AV230" i="9" s="1"/>
  <c r="AU234" i="9"/>
  <c r="AT234" i="9"/>
  <c r="AT230" i="9" s="1"/>
  <c r="AS234" i="9"/>
  <c r="AS230" i="9" s="1"/>
  <c r="AR234" i="9"/>
  <c r="AR230" i="9" s="1"/>
  <c r="AM234" i="9"/>
  <c r="AL234" i="9"/>
  <c r="AK234" i="9"/>
  <c r="AK230" i="9" s="1"/>
  <c r="AJ234" i="9"/>
  <c r="AI234" i="9"/>
  <c r="AH234" i="9"/>
  <c r="AH230" i="9" s="1"/>
  <c r="AG234" i="9"/>
  <c r="AG230" i="9" s="1"/>
  <c r="AB234" i="9"/>
  <c r="AB230" i="9" s="1"/>
  <c r="AA234" i="9"/>
  <c r="Z234" i="9"/>
  <c r="Z230" i="9" s="1"/>
  <c r="Y234" i="9"/>
  <c r="X234" i="9"/>
  <c r="X230" i="9" s="1"/>
  <c r="W234" i="9"/>
  <c r="W230" i="9" s="1"/>
  <c r="V234" i="9"/>
  <c r="V230" i="9" s="1"/>
  <c r="Q234" i="9"/>
  <c r="Q230" i="9" s="1"/>
  <c r="Q226" i="9" s="1"/>
  <c r="P234" i="9"/>
  <c r="O234" i="9"/>
  <c r="O230" i="9" s="1"/>
  <c r="N234" i="9"/>
  <c r="M234" i="9"/>
  <c r="L234" i="9"/>
  <c r="L230" i="9" s="1"/>
  <c r="K234" i="9"/>
  <c r="K230" i="9" s="1"/>
  <c r="BI233" i="9"/>
  <c r="BI229" i="9" s="1"/>
  <c r="BH233" i="9"/>
  <c r="BH229" i="9" s="1"/>
  <c r="BG233" i="9"/>
  <c r="BG229" i="9" s="1"/>
  <c r="BF233" i="9"/>
  <c r="BF229" i="9" s="1"/>
  <c r="BE233" i="9"/>
  <c r="BD233" i="9"/>
  <c r="BD229" i="9" s="1"/>
  <c r="BC233" i="9"/>
  <c r="AX233" i="9"/>
  <c r="AX229" i="9" s="1"/>
  <c r="AW233" i="9"/>
  <c r="AW229" i="9" s="1"/>
  <c r="AV233" i="9"/>
  <c r="AV229" i="9" s="1"/>
  <c r="AU233" i="9"/>
  <c r="AU229" i="9" s="1"/>
  <c r="AT233" i="9"/>
  <c r="AT229" i="9" s="1"/>
  <c r="AS233" i="9"/>
  <c r="AR233" i="9"/>
  <c r="AR229" i="9" s="1"/>
  <c r="AM233" i="9"/>
  <c r="AM229" i="9" s="1"/>
  <c r="AL233" i="9"/>
  <c r="AL229" i="9" s="1"/>
  <c r="AK233" i="9"/>
  <c r="AK229" i="9" s="1"/>
  <c r="AJ233" i="9"/>
  <c r="AJ229" i="9" s="1"/>
  <c r="AI233" i="9"/>
  <c r="AH233" i="9"/>
  <c r="AH229" i="9" s="1"/>
  <c r="AG233" i="9"/>
  <c r="AB233" i="9"/>
  <c r="AB229" i="9" s="1"/>
  <c r="AA233" i="9"/>
  <c r="AA229" i="9" s="1"/>
  <c r="Z233" i="9"/>
  <c r="Z229" i="9" s="1"/>
  <c r="Y233" i="9"/>
  <c r="X233" i="9"/>
  <c r="X229" i="9" s="1"/>
  <c r="W233" i="9"/>
  <c r="V233" i="9"/>
  <c r="Q233" i="9"/>
  <c r="Q229" i="9" s="1"/>
  <c r="P233" i="9"/>
  <c r="P229" i="9" s="1"/>
  <c r="O233" i="9"/>
  <c r="O229" i="9" s="1"/>
  <c r="N233" i="9"/>
  <c r="N229" i="9" s="1"/>
  <c r="M233" i="9"/>
  <c r="L233" i="9"/>
  <c r="L229" i="9" s="1"/>
  <c r="K233" i="9"/>
  <c r="K229" i="9" s="1"/>
  <c r="BH230" i="9"/>
  <c r="AU230" i="9"/>
  <c r="M230" i="9"/>
  <c r="V229" i="9"/>
  <c r="AB227" i="9"/>
  <c r="BS226" i="9"/>
  <c r="BP222" i="9"/>
  <c r="BP220" i="9"/>
  <c r="BP218" i="9"/>
  <c r="BQ218" i="9"/>
  <c r="BP216" i="9"/>
  <c r="BQ216" i="9"/>
  <c r="BP214" i="9"/>
  <c r="BP212" i="9"/>
  <c r="BH211" i="9" a="1"/>
  <c r="BH211" i="9" s="1"/>
  <c r="BH181" i="9" s="1"/>
  <c r="BG211" i="9"/>
  <c r="BG181" i="9" s="1"/>
  <c r="BG211" i="9" a="1"/>
  <c r="BF211" i="9" a="1"/>
  <c r="BF211" i="9" s="1"/>
  <c r="BE211" i="9" a="1"/>
  <c r="BE211" i="9" s="1"/>
  <c r="BE181" i="9" s="1"/>
  <c r="BD211" i="9" a="1"/>
  <c r="BD211" i="9" s="1"/>
  <c r="BC211" i="9" a="1"/>
  <c r="BC211" i="9" s="1"/>
  <c r="BC181" i="9" s="1"/>
  <c r="AW211" i="9" a="1"/>
  <c r="AW211" i="9" s="1"/>
  <c r="AW181" i="9" s="1"/>
  <c r="AV211" i="9" a="1"/>
  <c r="AV211" i="9" s="1"/>
  <c r="AU211" i="9" a="1"/>
  <c r="AU211" i="9" s="1"/>
  <c r="AU181" i="9" s="1"/>
  <c r="AT211" i="9" a="1"/>
  <c r="AT211" i="9" s="1"/>
  <c r="AS211" i="9" a="1"/>
  <c r="AS211" i="9" s="1"/>
  <c r="AS181" i="9" s="1"/>
  <c r="AR211" i="9"/>
  <c r="AR211" i="9" a="1"/>
  <c r="AL211" i="9" a="1"/>
  <c r="AL211" i="9" s="1"/>
  <c r="AK211" i="9" a="1"/>
  <c r="AK211" i="9" s="1"/>
  <c r="AK181" i="9" s="1"/>
  <c r="AJ211" i="9" a="1"/>
  <c r="AJ211" i="9" s="1"/>
  <c r="AJ181" i="9" s="1"/>
  <c r="AI211" i="9" a="1"/>
  <c r="AI211" i="9" s="1"/>
  <c r="AI181" i="9" s="1"/>
  <c r="AH211" i="9" a="1"/>
  <c r="AH211" i="9" s="1"/>
  <c r="AG211" i="9" a="1"/>
  <c r="AG211" i="9" s="1"/>
  <c r="AG181" i="9" s="1"/>
  <c r="AA211" i="9" a="1"/>
  <c r="AA211" i="9" s="1"/>
  <c r="AA181" i="9" s="1"/>
  <c r="Z211" i="9" a="1"/>
  <c r="Z211" i="9" s="1"/>
  <c r="Z181" i="9" s="1"/>
  <c r="Y211" i="9" a="1"/>
  <c r="Y211" i="9" s="1"/>
  <c r="Y181" i="9" s="1"/>
  <c r="X211" i="9" a="1"/>
  <c r="X211" i="9" s="1"/>
  <c r="X181" i="9" s="1"/>
  <c r="W211" i="9" a="1"/>
  <c r="W211" i="9" s="1"/>
  <c r="W181" i="9" s="1"/>
  <c r="V211" i="9" a="1"/>
  <c r="V211" i="9" s="1"/>
  <c r="P211" i="9" a="1"/>
  <c r="P211" i="9" s="1"/>
  <c r="O211" i="9" a="1"/>
  <c r="O211" i="9" s="1"/>
  <c r="O181" i="9" s="1"/>
  <c r="N211" i="9" a="1"/>
  <c r="N211" i="9" s="1"/>
  <c r="N181" i="9" s="1"/>
  <c r="M211" i="9" a="1"/>
  <c r="M211" i="9" s="1"/>
  <c r="M181" i="9" s="1"/>
  <c r="L211" i="9" a="1"/>
  <c r="L211" i="9" s="1"/>
  <c r="K211" i="9" a="1"/>
  <c r="K211" i="9" s="1"/>
  <c r="BH210" i="9" a="1"/>
  <c r="BH210" i="9" s="1"/>
  <c r="BG210" i="9" a="1"/>
  <c r="BG210" i="9" s="1"/>
  <c r="BG180" i="9" s="1"/>
  <c r="BF210" i="9" a="1"/>
  <c r="BF210" i="9" s="1"/>
  <c r="BE210" i="9" a="1"/>
  <c r="BE210" i="9" s="1"/>
  <c r="BE180" i="9" s="1"/>
  <c r="BD210" i="9" a="1"/>
  <c r="BD210" i="9" s="1"/>
  <c r="BC210" i="9"/>
  <c r="BC180" i="9" s="1"/>
  <c r="BC210" i="9" a="1"/>
  <c r="AW210" i="9" a="1"/>
  <c r="AW210" i="9" s="1"/>
  <c r="AW180" i="9" s="1"/>
  <c r="AV210" i="9" a="1"/>
  <c r="AV210" i="9" s="1"/>
  <c r="AV180" i="9" s="1"/>
  <c r="AU210" i="9" a="1"/>
  <c r="AU210" i="9" s="1"/>
  <c r="AU180" i="9" s="1"/>
  <c r="AT210" i="9" a="1"/>
  <c r="AT210" i="9" s="1"/>
  <c r="AT180" i="9" s="1"/>
  <c r="AS210" i="9"/>
  <c r="AS210" i="9" a="1"/>
  <c r="AR210" i="9" a="1"/>
  <c r="AR210" i="9" s="1"/>
  <c r="AR180" i="9" s="1"/>
  <c r="AL210" i="9" a="1"/>
  <c r="AL210" i="9" s="1"/>
  <c r="AL180" i="9" s="1"/>
  <c r="AK210" i="9"/>
  <c r="AK180" i="9" s="1"/>
  <c r="AK210" i="9" a="1"/>
  <c r="AJ210" i="9" a="1"/>
  <c r="AJ210" i="9" s="1"/>
  <c r="AJ180" i="9" s="1"/>
  <c r="AI210" i="9" a="1"/>
  <c r="AI210" i="9" s="1"/>
  <c r="AI180" i="9" s="1"/>
  <c r="AH210" i="9" a="1"/>
  <c r="AH210" i="9" s="1"/>
  <c r="AH180" i="9" s="1"/>
  <c r="AG210" i="9" a="1"/>
  <c r="AG210" i="9" s="1"/>
  <c r="AG180" i="9" s="1"/>
  <c r="AB210" i="9" a="1"/>
  <c r="AB210" i="9" s="1"/>
  <c r="AB180" i="9" s="1"/>
  <c r="AA210" i="9" a="1"/>
  <c r="AA210" i="9" s="1"/>
  <c r="Z210" i="9" a="1"/>
  <c r="Z210" i="9" s="1"/>
  <c r="Y210" i="9" a="1"/>
  <c r="Y210" i="9" s="1"/>
  <c r="X210" i="9" a="1"/>
  <c r="X210" i="9" s="1"/>
  <c r="X180" i="9" s="1"/>
  <c r="W210" i="9" a="1"/>
  <c r="W210" i="9" s="1"/>
  <c r="W180" i="9" s="1"/>
  <c r="V210" i="9"/>
  <c r="V180" i="9" s="1"/>
  <c r="V210" i="9" a="1"/>
  <c r="P210" i="9" a="1"/>
  <c r="P210" i="9" s="1"/>
  <c r="O210" i="9" a="1"/>
  <c r="O210" i="9" s="1"/>
  <c r="O180" i="9" s="1"/>
  <c r="N210" i="9" a="1"/>
  <c r="N210" i="9" s="1"/>
  <c r="N180" i="9" s="1"/>
  <c r="M210" i="9" a="1"/>
  <c r="M210" i="9" s="1"/>
  <c r="M180" i="9" s="1"/>
  <c r="L210" i="9" a="1"/>
  <c r="L210" i="9" s="1"/>
  <c r="L180" i="9" s="1"/>
  <c r="K210" i="9" a="1"/>
  <c r="K210" i="9" s="1"/>
  <c r="BP208" i="9"/>
  <c r="BP206" i="9"/>
  <c r="BP204" i="9"/>
  <c r="BP202" i="9"/>
  <c r="BI201" i="9"/>
  <c r="BI227" i="9" s="1"/>
  <c r="BH201" i="9"/>
  <c r="BG201" i="9"/>
  <c r="BF201" i="9"/>
  <c r="BE201" i="9"/>
  <c r="BD201" i="9"/>
  <c r="BC201" i="9"/>
  <c r="AX201" i="9"/>
  <c r="AX227" i="9" s="1"/>
  <c r="AW201" i="9"/>
  <c r="AV201" i="9"/>
  <c r="AU201" i="9"/>
  <c r="AT201" i="9"/>
  <c r="AS201" i="9"/>
  <c r="AR201" i="9"/>
  <c r="AL201" i="9"/>
  <c r="AK201" i="9"/>
  <c r="AJ201" i="9"/>
  <c r="AI201" i="9"/>
  <c r="AH201" i="9"/>
  <c r="AG201" i="9"/>
  <c r="AB201" i="9"/>
  <c r="AA201" i="9"/>
  <c r="Z201" i="9"/>
  <c r="Y201" i="9"/>
  <c r="X201" i="9"/>
  <c r="W201" i="9"/>
  <c r="V201" i="9"/>
  <c r="P201" i="9"/>
  <c r="O201" i="9"/>
  <c r="N201" i="9"/>
  <c r="M201" i="9"/>
  <c r="L201" i="9"/>
  <c r="K201" i="9"/>
  <c r="BI200" i="9"/>
  <c r="BH200" i="9"/>
  <c r="BG200" i="9"/>
  <c r="BF200" i="9"/>
  <c r="BE200" i="9"/>
  <c r="BD200" i="9"/>
  <c r="BC200" i="9"/>
  <c r="AX200" i="9"/>
  <c r="AW200" i="9"/>
  <c r="AV200" i="9"/>
  <c r="AU200" i="9"/>
  <c r="AT200" i="9"/>
  <c r="AS200" i="9"/>
  <c r="AR200" i="9"/>
  <c r="AM200" i="9"/>
  <c r="AL200" i="9"/>
  <c r="AK200" i="9"/>
  <c r="AJ200" i="9"/>
  <c r="AI200" i="9"/>
  <c r="AH200" i="9"/>
  <c r="AG200" i="9"/>
  <c r="AB200" i="9"/>
  <c r="AA200" i="9"/>
  <c r="Z200" i="9"/>
  <c r="Y200" i="9"/>
  <c r="X200" i="9"/>
  <c r="W200" i="9"/>
  <c r="V200" i="9"/>
  <c r="P200" i="9"/>
  <c r="O200" i="9"/>
  <c r="N200" i="9"/>
  <c r="M200" i="9"/>
  <c r="L200" i="9"/>
  <c r="K200" i="9"/>
  <c r="BP198" i="9"/>
  <c r="BP196" i="9"/>
  <c r="BQ196" i="9"/>
  <c r="BP194" i="9"/>
  <c r="BH193" i="9"/>
  <c r="BG193" i="9"/>
  <c r="BF193" i="9"/>
  <c r="BE193" i="9"/>
  <c r="BD193" i="9"/>
  <c r="BC193" i="9"/>
  <c r="AW193" i="9"/>
  <c r="AV193" i="9"/>
  <c r="AU193" i="9"/>
  <c r="AT193" i="9"/>
  <c r="AS193" i="9"/>
  <c r="AR193" i="9"/>
  <c r="AA193" i="9"/>
  <c r="Z193" i="9"/>
  <c r="Y193" i="9"/>
  <c r="X193" i="9"/>
  <c r="W193" i="9"/>
  <c r="V193" i="9"/>
  <c r="P193" i="9"/>
  <c r="O193" i="9"/>
  <c r="N193" i="9"/>
  <c r="M193" i="9"/>
  <c r="L193" i="9"/>
  <c r="K193" i="9"/>
  <c r="BG192" i="9"/>
  <c r="BF192" i="9"/>
  <c r="BE192" i="9"/>
  <c r="BD192" i="9"/>
  <c r="BC192" i="9"/>
  <c r="AW192" i="9"/>
  <c r="AV192" i="9"/>
  <c r="AU192" i="9"/>
  <c r="AT192" i="9"/>
  <c r="AS192" i="9"/>
  <c r="AR192" i="9"/>
  <c r="AA192" i="9"/>
  <c r="Z192" i="9"/>
  <c r="Y192" i="9"/>
  <c r="X192" i="9"/>
  <c r="W192" i="9"/>
  <c r="V192" i="9"/>
  <c r="O192" i="9"/>
  <c r="N192" i="9"/>
  <c r="M192" i="9"/>
  <c r="L192" i="9"/>
  <c r="K192" i="9"/>
  <c r="BP190" i="9"/>
  <c r="BQ190" i="9"/>
  <c r="BP188" i="9"/>
  <c r="BQ188" i="9"/>
  <c r="BP186" i="9"/>
  <c r="BP184" i="9"/>
  <c r="BP182" i="9" s="1"/>
  <c r="BH183" i="9"/>
  <c r="BG183" i="9"/>
  <c r="BF183" i="9"/>
  <c r="BE183" i="9"/>
  <c r="BD183" i="9"/>
  <c r="BC183" i="9"/>
  <c r="AW183" i="9"/>
  <c r="AV183" i="9"/>
  <c r="AU183" i="9"/>
  <c r="AT183" i="9"/>
  <c r="AS183" i="9"/>
  <c r="AR183" i="9"/>
  <c r="AA183" i="9"/>
  <c r="Z183" i="9"/>
  <c r="Y183" i="9"/>
  <c r="X183" i="9"/>
  <c r="W183" i="9"/>
  <c r="V183" i="9"/>
  <c r="P183" i="9"/>
  <c r="O183" i="9"/>
  <c r="N183" i="9"/>
  <c r="M183" i="9"/>
  <c r="L183" i="9"/>
  <c r="K183" i="9"/>
  <c r="BH182" i="9"/>
  <c r="BG182" i="9"/>
  <c r="BF182" i="9"/>
  <c r="BE182" i="9"/>
  <c r="BD182" i="9"/>
  <c r="BC182" i="9"/>
  <c r="AW182" i="9"/>
  <c r="AV182" i="9"/>
  <c r="AU182" i="9"/>
  <c r="AT182" i="9"/>
  <c r="AS182" i="9"/>
  <c r="AR182" i="9"/>
  <c r="AA182" i="9"/>
  <c r="Z182" i="9"/>
  <c r="Y182" i="9"/>
  <c r="X182" i="9"/>
  <c r="W182" i="9"/>
  <c r="V182" i="9"/>
  <c r="P182" i="9"/>
  <c r="O182" i="9"/>
  <c r="N182" i="9"/>
  <c r="M182" i="9"/>
  <c r="L182" i="9"/>
  <c r="K182" i="9"/>
  <c r="BF181" i="9"/>
  <c r="BD181" i="9"/>
  <c r="AV181" i="9"/>
  <c r="AT181" i="9"/>
  <c r="AR181" i="9"/>
  <c r="AL181" i="9"/>
  <c r="AH181" i="9"/>
  <c r="V181" i="9"/>
  <c r="P181" i="9"/>
  <c r="L181" i="9"/>
  <c r="BI180" i="9"/>
  <c r="BH180" i="9"/>
  <c r="BF180" i="9"/>
  <c r="BD180" i="9"/>
  <c r="AX180" i="9"/>
  <c r="AS180" i="9"/>
  <c r="AM180" i="9"/>
  <c r="AA180" i="9"/>
  <c r="Z180" i="9"/>
  <c r="Y180" i="9"/>
  <c r="Q180" i="9"/>
  <c r="P180" i="9"/>
  <c r="BP176" i="9"/>
  <c r="BP174" i="9"/>
  <c r="BP172" i="9"/>
  <c r="BP170" i="9"/>
  <c r="BI169" i="9" a="1"/>
  <c r="BI169" i="9" s="1"/>
  <c r="BH169" i="9" a="1"/>
  <c r="BH169" i="9" s="1"/>
  <c r="BH141" i="9" s="1"/>
  <c r="BG169" i="9" a="1"/>
  <c r="BG169" i="9" s="1"/>
  <c r="BG141" i="9" s="1"/>
  <c r="BF169" i="9" a="1"/>
  <c r="BF169" i="9" s="1"/>
  <c r="BF141" i="9" s="1"/>
  <c r="BF138" i="9" s="1"/>
  <c r="BE169" i="9" a="1"/>
  <c r="BE169" i="9" s="1"/>
  <c r="BE141" i="9" s="1"/>
  <c r="BD169" i="9" a="1"/>
  <c r="BD169" i="9" s="1"/>
  <c r="BD141" i="9" s="1"/>
  <c r="BC169" i="9" a="1"/>
  <c r="BC169" i="9" s="1"/>
  <c r="BC141" i="9" s="1"/>
  <c r="AX169" i="9"/>
  <c r="AX169" i="9" a="1"/>
  <c r="AW169" i="9" a="1"/>
  <c r="AW169" i="9" s="1"/>
  <c r="AW141" i="9" s="1"/>
  <c r="AV169" i="9" a="1"/>
  <c r="AV169" i="9" s="1"/>
  <c r="AV141" i="9" s="1"/>
  <c r="AU169" i="9" a="1"/>
  <c r="AU169" i="9" s="1"/>
  <c r="AU141" i="9" s="1"/>
  <c r="AT169" i="9" a="1"/>
  <c r="AT169" i="9" s="1"/>
  <c r="AT141" i="9" s="1"/>
  <c r="AS169" i="9" a="1"/>
  <c r="AS169" i="9" s="1"/>
  <c r="AS141" i="9" s="1"/>
  <c r="AR169" i="9" a="1"/>
  <c r="AR169" i="9" s="1"/>
  <c r="AR141" i="9" s="1"/>
  <c r="AM169" i="9"/>
  <c r="AM141" i="9" s="1"/>
  <c r="AM169" i="9" a="1"/>
  <c r="AL169" i="9" a="1"/>
  <c r="AL169" i="9" s="1"/>
  <c r="AL141" i="9" s="1"/>
  <c r="AK169" i="9" a="1"/>
  <c r="AK169" i="9" s="1"/>
  <c r="AK141" i="9" s="1"/>
  <c r="AJ169" i="9" a="1"/>
  <c r="AJ169" i="9" s="1"/>
  <c r="AJ141" i="9" s="1"/>
  <c r="AJ138" i="9" s="1"/>
  <c r="AI169" i="9" a="1"/>
  <c r="AI169" i="9" s="1"/>
  <c r="AI141" i="9" s="1"/>
  <c r="AI138" i="9" s="1"/>
  <c r="AH169" i="9" a="1"/>
  <c r="AH169" i="9" s="1"/>
  <c r="AH141" i="9" s="1"/>
  <c r="AH138" i="9" s="1"/>
  <c r="AG169" i="9" a="1"/>
  <c r="AG169" i="9" s="1"/>
  <c r="AG141" i="9" s="1"/>
  <c r="AB169" i="9" a="1"/>
  <c r="AB169" i="9" s="1"/>
  <c r="AB141" i="9" s="1"/>
  <c r="AA169" i="9" a="1"/>
  <c r="AA169" i="9" s="1"/>
  <c r="AA141" i="9" s="1"/>
  <c r="AA138" i="9" s="1"/>
  <c r="Z169" i="9" a="1"/>
  <c r="Z169" i="9" s="1"/>
  <c r="Z141" i="9" s="1"/>
  <c r="Y169" i="9" a="1"/>
  <c r="Y169" i="9" s="1"/>
  <c r="X169" i="9" a="1"/>
  <c r="X169" i="9" s="1"/>
  <c r="X141" i="9" s="1"/>
  <c r="W169" i="9" a="1"/>
  <c r="W169" i="9" s="1"/>
  <c r="W141" i="9" s="1"/>
  <c r="W138" i="9" s="1"/>
  <c r="V169" i="9" a="1"/>
  <c r="V169" i="9" s="1"/>
  <c r="V141" i="9" s="1"/>
  <c r="V138" i="9" s="1"/>
  <c r="Q169" i="9" a="1"/>
  <c r="Q169" i="9" s="1"/>
  <c r="Q141" i="9" s="1"/>
  <c r="P169" i="9" a="1"/>
  <c r="P169" i="9" s="1"/>
  <c r="P141" i="9" s="1"/>
  <c r="P138" i="9" s="1"/>
  <c r="O169" i="9" a="1"/>
  <c r="O169" i="9" s="1"/>
  <c r="O141" i="9" s="1"/>
  <c r="N169" i="9" a="1"/>
  <c r="N169" i="9" s="1"/>
  <c r="M169" i="9" a="1"/>
  <c r="M169" i="9" s="1"/>
  <c r="M141" i="9" s="1"/>
  <c r="L169" i="9" a="1"/>
  <c r="L169" i="9" s="1"/>
  <c r="L141" i="9" s="1"/>
  <c r="K169" i="9" a="1"/>
  <c r="K169" i="9" s="1"/>
  <c r="K141" i="9" s="1"/>
  <c r="BH168" i="9" a="1"/>
  <c r="BH168" i="9" s="1"/>
  <c r="BH140" i="9" s="1"/>
  <c r="BG168" i="9" a="1"/>
  <c r="BG168" i="9" s="1"/>
  <c r="BG140" i="9" s="1"/>
  <c r="BG137" i="9" s="1"/>
  <c r="BF168" i="9" a="1"/>
  <c r="BF168" i="9" s="1"/>
  <c r="BF140" i="9" s="1"/>
  <c r="BF137" i="9" s="1"/>
  <c r="BE168" i="9" a="1"/>
  <c r="BE168" i="9" s="1"/>
  <c r="BE140" i="9" s="1"/>
  <c r="BD168" i="9" a="1"/>
  <c r="BD168" i="9" s="1"/>
  <c r="BD140" i="9" s="1"/>
  <c r="BC168" i="9" a="1"/>
  <c r="BC168" i="9" s="1"/>
  <c r="BC140" i="9" s="1"/>
  <c r="AW168" i="9" a="1"/>
  <c r="AW168" i="9" s="1"/>
  <c r="AW140" i="9" s="1"/>
  <c r="AV168" i="9" a="1"/>
  <c r="AV168" i="9" s="1"/>
  <c r="AV140" i="9" s="1"/>
  <c r="AV137" i="9" s="1"/>
  <c r="AU168" i="9" a="1"/>
  <c r="AU168" i="9" s="1"/>
  <c r="AU140" i="9" s="1"/>
  <c r="AT168" i="9" a="1"/>
  <c r="AT168" i="9" s="1"/>
  <c r="AT140" i="9" s="1"/>
  <c r="AS168" i="9" a="1"/>
  <c r="AS168" i="9" s="1"/>
  <c r="AS140" i="9" s="1"/>
  <c r="AR168" i="9" a="1"/>
  <c r="AR168" i="9" s="1"/>
  <c r="AR140" i="9" s="1"/>
  <c r="AL168" i="9" a="1"/>
  <c r="AL168" i="9" s="1"/>
  <c r="AL140" i="9" s="1"/>
  <c r="AK168" i="9" a="1"/>
  <c r="AK168" i="9" s="1"/>
  <c r="AK140" i="9" s="1"/>
  <c r="AJ168" i="9" a="1"/>
  <c r="AJ168" i="9" s="1"/>
  <c r="AJ140" i="9" s="1"/>
  <c r="AI168" i="9" a="1"/>
  <c r="AI168" i="9" s="1"/>
  <c r="AI140" i="9" s="1"/>
  <c r="AH168" i="9" a="1"/>
  <c r="AH168" i="9" s="1"/>
  <c r="AG168" i="9" a="1"/>
  <c r="AG168" i="9" s="1"/>
  <c r="AG140" i="9" s="1"/>
  <c r="AG137" i="9" s="1"/>
  <c r="AA168" i="9" a="1"/>
  <c r="AA168" i="9" s="1"/>
  <c r="AA140" i="9" s="1"/>
  <c r="AA137" i="9" s="1"/>
  <c r="Z168" i="9" a="1"/>
  <c r="Z168" i="9" s="1"/>
  <c r="Z140" i="9" s="1"/>
  <c r="Y168" i="9" a="1"/>
  <c r="Y168" i="9" s="1"/>
  <c r="Y140" i="9" s="1"/>
  <c r="X168" i="9" a="1"/>
  <c r="X168" i="9" s="1"/>
  <c r="X140" i="9" s="1"/>
  <c r="W168" i="9" a="1"/>
  <c r="W168" i="9" s="1"/>
  <c r="W140" i="9" s="1"/>
  <c r="V168" i="9" a="1"/>
  <c r="V168" i="9" s="1"/>
  <c r="V140" i="9" s="1"/>
  <c r="P168" i="9" a="1"/>
  <c r="P168" i="9" s="1"/>
  <c r="P140" i="9" s="1"/>
  <c r="O168" i="9" a="1"/>
  <c r="O168" i="9" s="1"/>
  <c r="O140" i="9" s="1"/>
  <c r="O137" i="9" s="1"/>
  <c r="N168" i="9" a="1"/>
  <c r="N168" i="9" s="1"/>
  <c r="N140" i="9" s="1"/>
  <c r="N137" i="9" s="1"/>
  <c r="M168" i="9"/>
  <c r="M140" i="9" s="1"/>
  <c r="M137" i="9" s="1"/>
  <c r="M168" i="9" a="1"/>
  <c r="L168" i="9" a="1"/>
  <c r="L168" i="9" s="1"/>
  <c r="L140" i="9" s="1"/>
  <c r="K168" i="9" a="1"/>
  <c r="K168" i="9" s="1"/>
  <c r="BP166" i="9"/>
  <c r="BP164" i="9"/>
  <c r="BP158" i="9" s="1"/>
  <c r="BP162" i="9"/>
  <c r="BP160" i="9"/>
  <c r="BQ160" i="9"/>
  <c r="BH159" i="9"/>
  <c r="BG159" i="9"/>
  <c r="BF159" i="9"/>
  <c r="BE159" i="9"/>
  <c r="BE227" i="9" s="1"/>
  <c r="BD159" i="9"/>
  <c r="BD227" i="9" s="1"/>
  <c r="BC159" i="9"/>
  <c r="AW159" i="9"/>
  <c r="AW227" i="9" s="1"/>
  <c r="AV159" i="9"/>
  <c r="AV227" i="9" s="1"/>
  <c r="AU159" i="9"/>
  <c r="AT159" i="9"/>
  <c r="AS159" i="9"/>
  <c r="AR159" i="9"/>
  <c r="AR227" i="9" s="1"/>
  <c r="AL159" i="9"/>
  <c r="AL227" i="9" s="1"/>
  <c r="AK159" i="9"/>
  <c r="AJ159" i="9"/>
  <c r="AJ227" i="9" s="1"/>
  <c r="AI159" i="9"/>
  <c r="AH159" i="9"/>
  <c r="AG159" i="9"/>
  <c r="AA159" i="9"/>
  <c r="Z159" i="9"/>
  <c r="Z227" i="9" s="1"/>
  <c r="Y159" i="9"/>
  <c r="X159" i="9"/>
  <c r="X227" i="9" s="1"/>
  <c r="W159" i="9"/>
  <c r="W227" i="9" s="1"/>
  <c r="V159" i="9"/>
  <c r="V227" i="9" s="1"/>
  <c r="P159" i="9"/>
  <c r="P227" i="9" s="1"/>
  <c r="O159" i="9"/>
  <c r="N159" i="9"/>
  <c r="N227" i="9" s="1"/>
  <c r="M159" i="9"/>
  <c r="M227" i="9" s="1"/>
  <c r="L159" i="9"/>
  <c r="K159" i="9"/>
  <c r="K227" i="9" s="1"/>
  <c r="BI158" i="9"/>
  <c r="BI226" i="9" s="1"/>
  <c r="BH158" i="9"/>
  <c r="BH226" i="9" s="1"/>
  <c r="BG158" i="9"/>
  <c r="BF158" i="9"/>
  <c r="BF226" i="9" s="1"/>
  <c r="BE158" i="9"/>
  <c r="BE226" i="9" s="1"/>
  <c r="BD158" i="9"/>
  <c r="BD226" i="9" s="1"/>
  <c r="BC158" i="9"/>
  <c r="AX158" i="9"/>
  <c r="AW158" i="9"/>
  <c r="AW226" i="9" s="1"/>
  <c r="AV158" i="9"/>
  <c r="AV226" i="9" s="1"/>
  <c r="AU158" i="9"/>
  <c r="AU226" i="9" s="1"/>
  <c r="AT158" i="9"/>
  <c r="AT226" i="9" s="1"/>
  <c r="AS158" i="9"/>
  <c r="AS226" i="9" s="1"/>
  <c r="AR158" i="9"/>
  <c r="AR226" i="9" s="1"/>
  <c r="AM158" i="9"/>
  <c r="AL158" i="9"/>
  <c r="AK158" i="9"/>
  <c r="AK226" i="9" s="1"/>
  <c r="AJ158" i="9"/>
  <c r="AJ226" i="9" s="1"/>
  <c r="AI158" i="9"/>
  <c r="AI226" i="9" s="1"/>
  <c r="AH158" i="9"/>
  <c r="AH226" i="9" s="1"/>
  <c r="AG158" i="9"/>
  <c r="AG226" i="9" s="1"/>
  <c r="AB158" i="9"/>
  <c r="AB226" i="9" s="1"/>
  <c r="AA158" i="9"/>
  <c r="Z158" i="9"/>
  <c r="Y158" i="9"/>
  <c r="X158" i="9"/>
  <c r="X226" i="9" s="1"/>
  <c r="W158" i="9"/>
  <c r="W226" i="9" s="1"/>
  <c r="V158" i="9"/>
  <c r="Q158" i="9"/>
  <c r="P158" i="9"/>
  <c r="O158" i="9"/>
  <c r="N158" i="9"/>
  <c r="M158" i="9"/>
  <c r="L158" i="9"/>
  <c r="K158" i="9"/>
  <c r="BP156" i="9"/>
  <c r="BQ156" i="9"/>
  <c r="BP154" i="9"/>
  <c r="BQ154" i="9"/>
  <c r="BP152" i="9"/>
  <c r="BH151" i="9" a="1"/>
  <c r="BH151" i="9" s="1"/>
  <c r="BG151" i="9" a="1"/>
  <c r="BG151" i="9" s="1"/>
  <c r="BF151" i="9" a="1"/>
  <c r="BF151" i="9" s="1"/>
  <c r="BE151" i="9" a="1"/>
  <c r="BE151" i="9" s="1"/>
  <c r="BD151" i="9" a="1"/>
  <c r="BD151" i="9" s="1"/>
  <c r="BC151" i="9" a="1"/>
  <c r="BC151" i="9" s="1"/>
  <c r="AW151" i="9" a="1"/>
  <c r="AW151" i="9" s="1"/>
  <c r="AV151" i="9" a="1"/>
  <c r="AV151" i="9" s="1"/>
  <c r="AU151" i="9" a="1"/>
  <c r="AU151" i="9" s="1"/>
  <c r="AT151" i="9" a="1"/>
  <c r="AT151" i="9" s="1"/>
  <c r="AS151" i="9" a="1"/>
  <c r="AS151" i="9" s="1"/>
  <c r="AR151" i="9" a="1"/>
  <c r="AR151" i="9" s="1"/>
  <c r="AL151" i="9" a="1"/>
  <c r="AL151" i="9" s="1"/>
  <c r="AK151" i="9" a="1"/>
  <c r="AK151" i="9" s="1"/>
  <c r="AJ151" i="9" a="1"/>
  <c r="AJ151" i="9" s="1"/>
  <c r="AI151" i="9" a="1"/>
  <c r="AI151" i="9" s="1"/>
  <c r="AH151" i="9" a="1"/>
  <c r="AH151" i="9" s="1"/>
  <c r="AG151" i="9" a="1"/>
  <c r="AG151" i="9" s="1"/>
  <c r="AA151" i="9" a="1"/>
  <c r="AA151" i="9" s="1"/>
  <c r="Z151" i="9" a="1"/>
  <c r="Z151" i="9" s="1"/>
  <c r="Y151" i="9" a="1"/>
  <c r="Y151" i="9" s="1"/>
  <c r="X151" i="9" a="1"/>
  <c r="X151" i="9" s="1"/>
  <c r="W151" i="9" a="1"/>
  <c r="W151" i="9" s="1"/>
  <c r="V151" i="9" a="1"/>
  <c r="V151" i="9" s="1"/>
  <c r="P151" i="9" a="1"/>
  <c r="P151" i="9" s="1"/>
  <c r="O151" i="9" a="1"/>
  <c r="O151" i="9" s="1"/>
  <c r="N151" i="9" a="1"/>
  <c r="N151" i="9" s="1"/>
  <c r="M151" i="9" a="1"/>
  <c r="M151" i="9" s="1"/>
  <c r="L151" i="9" a="1"/>
  <c r="L151" i="9" s="1"/>
  <c r="K151" i="9" a="1"/>
  <c r="K151" i="9" s="1"/>
  <c r="BH150" i="9" a="1"/>
  <c r="BH150" i="9" s="1"/>
  <c r="BG150" i="9" a="1"/>
  <c r="BG150" i="9" s="1"/>
  <c r="BF150" i="9" a="1"/>
  <c r="BF150" i="9" s="1"/>
  <c r="BE150" i="9" a="1"/>
  <c r="BE150" i="9" s="1"/>
  <c r="BD150" i="9" a="1"/>
  <c r="BD150" i="9" s="1"/>
  <c r="BC150" i="9" a="1"/>
  <c r="BC150" i="9" s="1"/>
  <c r="AW150" i="9" a="1"/>
  <c r="AW150" i="9" s="1"/>
  <c r="AV150" i="9" a="1"/>
  <c r="AV150" i="9" s="1"/>
  <c r="AU150" i="9" a="1"/>
  <c r="AU150" i="9" s="1"/>
  <c r="AT150" i="9" a="1"/>
  <c r="AT150" i="9" s="1"/>
  <c r="AS150" i="9" a="1"/>
  <c r="AS150" i="9" s="1"/>
  <c r="AR150" i="9" a="1"/>
  <c r="AR150" i="9" s="1"/>
  <c r="AL150" i="9" a="1"/>
  <c r="AL150" i="9" s="1"/>
  <c r="AK150" i="9" a="1"/>
  <c r="AK150" i="9" s="1"/>
  <c r="AJ150" i="9" a="1"/>
  <c r="AJ150" i="9" s="1"/>
  <c r="AI150" i="9" a="1"/>
  <c r="AI150" i="9" s="1"/>
  <c r="AH150" i="9" a="1"/>
  <c r="AH150" i="9" s="1"/>
  <c r="AG150" i="9" a="1"/>
  <c r="AG150" i="9" s="1"/>
  <c r="AA150" i="9" a="1"/>
  <c r="AA150" i="9" s="1"/>
  <c r="Z150" i="9" a="1"/>
  <c r="Z150" i="9" s="1"/>
  <c r="Y150" i="9" a="1"/>
  <c r="Y150" i="9" s="1"/>
  <c r="X150" i="9" a="1"/>
  <c r="X150" i="9" s="1"/>
  <c r="W150" i="9" a="1"/>
  <c r="W150" i="9" s="1"/>
  <c r="V150" i="9" a="1"/>
  <c r="V150" i="9" s="1"/>
  <c r="P150" i="9" a="1"/>
  <c r="P150" i="9" s="1"/>
  <c r="O150" i="9" a="1"/>
  <c r="O150" i="9" s="1"/>
  <c r="N150" i="9" a="1"/>
  <c r="N150" i="9" s="1"/>
  <c r="M150" i="9" a="1"/>
  <c r="M150" i="9" s="1"/>
  <c r="L150" i="9" a="1"/>
  <c r="L150" i="9" s="1"/>
  <c r="K150" i="9" a="1"/>
  <c r="K150" i="9" s="1"/>
  <c r="BP148" i="9"/>
  <c r="BP146" i="9"/>
  <c r="BP144" i="9"/>
  <c r="BH143" i="9" a="1"/>
  <c r="BH143" i="9" s="1"/>
  <c r="BG143" i="9" a="1"/>
  <c r="BG143" i="9" s="1"/>
  <c r="BF143" i="9" a="1"/>
  <c r="BF143" i="9" s="1"/>
  <c r="BE143" i="9" a="1"/>
  <c r="BE143" i="9" s="1"/>
  <c r="BD143" i="9" a="1"/>
  <c r="BD143" i="9" s="1"/>
  <c r="BC143" i="9" a="1"/>
  <c r="BC143" i="9" s="1"/>
  <c r="AW143" i="9" a="1"/>
  <c r="AW143" i="9" s="1"/>
  <c r="AV143" i="9" a="1"/>
  <c r="AV143" i="9" s="1"/>
  <c r="AU143" i="9" a="1"/>
  <c r="AU143" i="9" s="1"/>
  <c r="AT143" i="9" a="1"/>
  <c r="AT143" i="9" s="1"/>
  <c r="AS143" i="9" a="1"/>
  <c r="AS143" i="9" s="1"/>
  <c r="AR143" i="9" a="1"/>
  <c r="AR143" i="9" s="1"/>
  <c r="AL143" i="9" a="1"/>
  <c r="AL143" i="9" s="1"/>
  <c r="AK143" i="9" a="1"/>
  <c r="AK143" i="9" s="1"/>
  <c r="AJ143" i="9" a="1"/>
  <c r="AJ143" i="9" s="1"/>
  <c r="AI143" i="9" a="1"/>
  <c r="AI143" i="9" s="1"/>
  <c r="AH143" i="9" a="1"/>
  <c r="AH143" i="9" s="1"/>
  <c r="AG143" i="9" a="1"/>
  <c r="AG143" i="9" s="1"/>
  <c r="AA143" i="9" a="1"/>
  <c r="AA143" i="9" s="1"/>
  <c r="Z143" i="9" a="1"/>
  <c r="Z143" i="9" s="1"/>
  <c r="Y143" i="9" a="1"/>
  <c r="Y143" i="9" s="1"/>
  <c r="X143" i="9" a="1"/>
  <c r="X143" i="9" s="1"/>
  <c r="W143" i="9" a="1"/>
  <c r="W143" i="9" s="1"/>
  <c r="V143" i="9" a="1"/>
  <c r="V143" i="9" s="1"/>
  <c r="P143" i="9" a="1"/>
  <c r="P143" i="9" s="1"/>
  <c r="O143" i="9" a="1"/>
  <c r="O143" i="9" s="1"/>
  <c r="N143" i="9" a="1"/>
  <c r="N143" i="9" s="1"/>
  <c r="M143" i="9" a="1"/>
  <c r="M143" i="9" s="1"/>
  <c r="L143" i="9" a="1"/>
  <c r="L143" i="9" s="1"/>
  <c r="K143" i="9" a="1"/>
  <c r="K143" i="9" s="1"/>
  <c r="BH142" i="9" a="1"/>
  <c r="BH142" i="9" s="1"/>
  <c r="BG142" i="9" a="1"/>
  <c r="BG142" i="9" s="1"/>
  <c r="BF142" i="9" a="1"/>
  <c r="BF142" i="9" s="1"/>
  <c r="BE142" i="9" a="1"/>
  <c r="BE142" i="9" s="1"/>
  <c r="BD142" i="9" a="1"/>
  <c r="BD142" i="9" s="1"/>
  <c r="BC142" i="9" a="1"/>
  <c r="BC142" i="9" s="1"/>
  <c r="AW142" i="9" a="1"/>
  <c r="AW142" i="9" s="1"/>
  <c r="AV142" i="9" a="1"/>
  <c r="AV142" i="9" s="1"/>
  <c r="AU142" i="9" a="1"/>
  <c r="AU142" i="9" s="1"/>
  <c r="AT142" i="9" a="1"/>
  <c r="AT142" i="9" s="1"/>
  <c r="AS142" i="9" a="1"/>
  <c r="AS142" i="9" s="1"/>
  <c r="AR142" i="9" a="1"/>
  <c r="AR142" i="9" s="1"/>
  <c r="AL142" i="9" a="1"/>
  <c r="AL142" i="9" s="1"/>
  <c r="AK142" i="9" a="1"/>
  <c r="AK142" i="9" s="1"/>
  <c r="AJ142" i="9" a="1"/>
  <c r="AJ142" i="9" s="1"/>
  <c r="AI142" i="9" a="1"/>
  <c r="AI142" i="9" s="1"/>
  <c r="AH142" i="9" a="1"/>
  <c r="AH142" i="9" s="1"/>
  <c r="AG142" i="9" a="1"/>
  <c r="AG142" i="9" s="1"/>
  <c r="AA142" i="9" a="1"/>
  <c r="AA142" i="9" s="1"/>
  <c r="Z142" i="9" a="1"/>
  <c r="Z142" i="9" s="1"/>
  <c r="Y142" i="9" a="1"/>
  <c r="Y142" i="9" s="1"/>
  <c r="X142" i="9" a="1"/>
  <c r="X142" i="9" s="1"/>
  <c r="W142" i="9" a="1"/>
  <c r="W142" i="9" s="1"/>
  <c r="V142" i="9" a="1"/>
  <c r="V142" i="9" s="1"/>
  <c r="P142" i="9" a="1"/>
  <c r="P142" i="9" s="1"/>
  <c r="O142" i="9" a="1"/>
  <c r="O142" i="9" s="1"/>
  <c r="N142" i="9" a="1"/>
  <c r="N142" i="9" s="1"/>
  <c r="M142" i="9" a="1"/>
  <c r="M142" i="9" s="1"/>
  <c r="L142" i="9" a="1"/>
  <c r="L142" i="9" s="1"/>
  <c r="K142" i="9" a="1"/>
  <c r="K142" i="9" s="1"/>
  <c r="Y141" i="9"/>
  <c r="N141" i="9"/>
  <c r="N138" i="9" s="1"/>
  <c r="AM140" i="9"/>
  <c r="AH140" i="9"/>
  <c r="AH137" i="9" s="1"/>
  <c r="AB140" i="9"/>
  <c r="Q140" i="9"/>
  <c r="Q137" i="9" s="1"/>
  <c r="BI138" i="9"/>
  <c r="BI134" i="9" s="1"/>
  <c r="AX138" i="9"/>
  <c r="AX134" i="9" s="1"/>
  <c r="AB138" i="9"/>
  <c r="Q138" i="9"/>
  <c r="BS137" i="9"/>
  <c r="BI137" i="9"/>
  <c r="BC137" i="9"/>
  <c r="AX137" i="9"/>
  <c r="BI135" i="9"/>
  <c r="AX135" i="9"/>
  <c r="AM135" i="9"/>
  <c r="BS134" i="9"/>
  <c r="AM134" i="9"/>
  <c r="BP131" i="9"/>
  <c r="BP129" i="9"/>
  <c r="BS127" i="9"/>
  <c r="BP127" i="9"/>
  <c r="BQ127" i="9"/>
  <c r="BP125" i="9"/>
  <c r="BP123" i="9"/>
  <c r="BP121" i="9"/>
  <c r="BI120" i="9"/>
  <c r="BH120" i="9"/>
  <c r="BG120" i="9"/>
  <c r="BF120" i="9"/>
  <c r="BE120" i="9"/>
  <c r="BD120" i="9"/>
  <c r="BC120" i="9"/>
  <c r="AX120" i="9"/>
  <c r="AW120" i="9"/>
  <c r="AV120" i="9"/>
  <c r="AU120" i="9"/>
  <c r="AT120" i="9"/>
  <c r="AS120" i="9"/>
  <c r="AR120" i="9"/>
  <c r="AM120" i="9"/>
  <c r="AL120" i="9"/>
  <c r="AK120" i="9"/>
  <c r="AJ120" i="9"/>
  <c r="AI120" i="9"/>
  <c r="AH120" i="9"/>
  <c r="AG120" i="9"/>
  <c r="AB120" i="9"/>
  <c r="AA120" i="9"/>
  <c r="Z120" i="9"/>
  <c r="Y120" i="9"/>
  <c r="X120" i="9"/>
  <c r="W120" i="9"/>
  <c r="V120" i="9"/>
  <c r="Q120" i="9"/>
  <c r="P120" i="9"/>
  <c r="O120" i="9"/>
  <c r="N120" i="9"/>
  <c r="M120" i="9"/>
  <c r="L120" i="9"/>
  <c r="K120" i="9"/>
  <c r="BS119" i="9"/>
  <c r="BI119" i="9"/>
  <c r="BH119" i="9"/>
  <c r="BG119" i="9"/>
  <c r="BF119" i="9"/>
  <c r="BE119" i="9"/>
  <c r="BD119" i="9"/>
  <c r="BC119" i="9"/>
  <c r="AX119" i="9"/>
  <c r="AW119" i="9"/>
  <c r="AV119" i="9"/>
  <c r="AU119" i="9"/>
  <c r="AT119" i="9"/>
  <c r="AS119" i="9"/>
  <c r="AR119" i="9"/>
  <c r="AM119" i="9"/>
  <c r="AL119" i="9"/>
  <c r="AK119" i="9"/>
  <c r="AJ119" i="9"/>
  <c r="AI119" i="9"/>
  <c r="AH119" i="9"/>
  <c r="AG119" i="9"/>
  <c r="AB119" i="9"/>
  <c r="AA119" i="9"/>
  <c r="Z119" i="9"/>
  <c r="Y119" i="9"/>
  <c r="X119" i="9"/>
  <c r="W119" i="9"/>
  <c r="V119" i="9"/>
  <c r="Q119" i="9"/>
  <c r="P119" i="9"/>
  <c r="O119" i="9"/>
  <c r="N119" i="9"/>
  <c r="M119" i="9"/>
  <c r="L119" i="9"/>
  <c r="K119" i="9"/>
  <c r="BP115" i="9"/>
  <c r="BP113" i="9" s="1"/>
  <c r="BN113" i="9"/>
  <c r="BI114" i="9"/>
  <c r="BH114" i="9"/>
  <c r="BG114" i="9"/>
  <c r="BF114" i="9"/>
  <c r="BE114" i="9"/>
  <c r="BD114" i="9"/>
  <c r="BC114" i="9"/>
  <c r="AX114" i="9"/>
  <c r="AW114" i="9"/>
  <c r="AV114" i="9"/>
  <c r="AU114" i="9"/>
  <c r="AT114" i="9"/>
  <c r="AS114" i="9"/>
  <c r="AR114" i="9"/>
  <c r="AM114" i="9"/>
  <c r="AL114" i="9"/>
  <c r="AK114" i="9"/>
  <c r="AJ114" i="9"/>
  <c r="AI114" i="9"/>
  <c r="AH114" i="9"/>
  <c r="AG114" i="9"/>
  <c r="AB114" i="9"/>
  <c r="AA114" i="9"/>
  <c r="Z114" i="9"/>
  <c r="Y114" i="9"/>
  <c r="X114" i="9"/>
  <c r="W114" i="9"/>
  <c r="V114" i="9"/>
  <c r="Q114" i="9"/>
  <c r="P114" i="9"/>
  <c r="O114" i="9"/>
  <c r="N114" i="9"/>
  <c r="M114" i="9"/>
  <c r="L114" i="9"/>
  <c r="K114" i="9"/>
  <c r="CA113" i="9"/>
  <c r="BX113" i="9"/>
  <c r="BS113" i="9"/>
  <c r="BI113" i="9"/>
  <c r="BH113" i="9"/>
  <c r="BG113" i="9"/>
  <c r="BF113" i="9"/>
  <c r="BE113" i="9"/>
  <c r="BD113" i="9"/>
  <c r="BC113" i="9"/>
  <c r="AX113" i="9"/>
  <c r="AW113" i="9"/>
  <c r="AV113" i="9"/>
  <c r="AU113" i="9"/>
  <c r="AT113" i="9"/>
  <c r="AS113" i="9"/>
  <c r="AR113" i="9"/>
  <c r="AM113" i="9"/>
  <c r="AL113" i="9"/>
  <c r="AK113" i="9"/>
  <c r="AJ113" i="9"/>
  <c r="AI113" i="9"/>
  <c r="AH113" i="9"/>
  <c r="AG113" i="9"/>
  <c r="AB113" i="9"/>
  <c r="AA113" i="9"/>
  <c r="Z113" i="9"/>
  <c r="Y113" i="9"/>
  <c r="X113" i="9"/>
  <c r="W113" i="9"/>
  <c r="V113" i="9"/>
  <c r="Q113" i="9"/>
  <c r="P113" i="9"/>
  <c r="O113" i="9"/>
  <c r="N113" i="9"/>
  <c r="M113" i="9"/>
  <c r="L113" i="9"/>
  <c r="K113" i="9"/>
  <c r="BP109" i="9"/>
  <c r="BQ109" i="9"/>
  <c r="AP109" i="9"/>
  <c r="BP107" i="9"/>
  <c r="BQ107" i="9"/>
  <c r="AP107" i="9"/>
  <c r="BP105" i="9"/>
  <c r="AP105" i="9"/>
  <c r="BP103" i="9"/>
  <c r="AP103" i="9"/>
  <c r="BP101" i="9"/>
  <c r="BQ101" i="9"/>
  <c r="AP101" i="9"/>
  <c r="BP99" i="9"/>
  <c r="BQ99" i="9"/>
  <c r="AP99" i="9"/>
  <c r="BP97" i="9"/>
  <c r="AP97" i="9"/>
  <c r="BP95" i="9"/>
  <c r="AP95" i="9"/>
  <c r="BI94" i="9"/>
  <c r="BH94" i="9"/>
  <c r="BG94" i="9"/>
  <c r="BF94" i="9"/>
  <c r="BE94" i="9"/>
  <c r="BD94" i="9"/>
  <c r="BC94" i="9"/>
  <c r="AX94" i="9"/>
  <c r="AW94" i="9"/>
  <c r="AV94" i="9"/>
  <c r="AU94" i="9"/>
  <c r="AT94" i="9"/>
  <c r="AS94" i="9"/>
  <c r="AR94" i="9"/>
  <c r="AM94" i="9"/>
  <c r="AL94" i="9"/>
  <c r="AK94" i="9"/>
  <c r="AJ94" i="9"/>
  <c r="AI94" i="9"/>
  <c r="AH94" i="9"/>
  <c r="AG94" i="9"/>
  <c r="AG74" i="9" s="1"/>
  <c r="AB94" i="9"/>
  <c r="AA94" i="9"/>
  <c r="Z94" i="9"/>
  <c r="Y94" i="9"/>
  <c r="X94" i="9"/>
  <c r="W94" i="9"/>
  <c r="V94" i="9"/>
  <c r="Q94" i="9"/>
  <c r="P94" i="9"/>
  <c r="O94" i="9"/>
  <c r="N94" i="9"/>
  <c r="M94" i="9"/>
  <c r="L94" i="9"/>
  <c r="K94" i="9"/>
  <c r="BS93" i="9"/>
  <c r="BI93" i="9"/>
  <c r="BI73" i="9" s="1"/>
  <c r="BH93" i="9"/>
  <c r="BG93" i="9"/>
  <c r="BF93" i="9"/>
  <c r="BE93" i="9"/>
  <c r="BD93" i="9"/>
  <c r="BC93" i="9"/>
  <c r="AX93" i="9"/>
  <c r="AW93" i="9"/>
  <c r="AV93" i="9"/>
  <c r="AU93" i="9"/>
  <c r="AT93" i="9"/>
  <c r="AS93" i="9"/>
  <c r="AR93" i="9"/>
  <c r="AM93" i="9"/>
  <c r="AL93" i="9"/>
  <c r="AK93" i="9"/>
  <c r="AJ93" i="9"/>
  <c r="AI93" i="9"/>
  <c r="AH93" i="9"/>
  <c r="AG93" i="9"/>
  <c r="AB93" i="9"/>
  <c r="AA93" i="9"/>
  <c r="Z93" i="9"/>
  <c r="Y93" i="9"/>
  <c r="X93" i="9"/>
  <c r="W93" i="9"/>
  <c r="V93" i="9"/>
  <c r="Q93" i="9"/>
  <c r="P93" i="9"/>
  <c r="O93" i="9"/>
  <c r="N93" i="9"/>
  <c r="M93" i="9"/>
  <c r="L93" i="9"/>
  <c r="K93" i="9"/>
  <c r="BP89" i="9"/>
  <c r="BQ89" i="9" s="1"/>
  <c r="S88" i="9"/>
  <c r="BP87" i="9"/>
  <c r="S87" i="9"/>
  <c r="S86" i="9"/>
  <c r="BP85" i="9"/>
  <c r="S85" i="9"/>
  <c r="S84" i="9"/>
  <c r="BP83" i="9"/>
  <c r="BQ83" i="9"/>
  <c r="S83" i="9"/>
  <c r="S82" i="9"/>
  <c r="BP81" i="9"/>
  <c r="S81" i="9"/>
  <c r="T81" i="9" s="1"/>
  <c r="S80" i="9"/>
  <c r="BP79" i="9"/>
  <c r="S79" i="9"/>
  <c r="BI78" i="9"/>
  <c r="BH78" i="9"/>
  <c r="BH74" i="9" s="1"/>
  <c r="BG78" i="9"/>
  <c r="BF78" i="9"/>
  <c r="BE78" i="9"/>
  <c r="BD78" i="9"/>
  <c r="BC78" i="9"/>
  <c r="AX78" i="9"/>
  <c r="AW78" i="9"/>
  <c r="AV78" i="9"/>
  <c r="AV74" i="9" s="1"/>
  <c r="AU78" i="9"/>
  <c r="AT78" i="9"/>
  <c r="AS78" i="9"/>
  <c r="AR78" i="9"/>
  <c r="AM78" i="9"/>
  <c r="AL78" i="9"/>
  <c r="AK78" i="9"/>
  <c r="AJ78" i="9"/>
  <c r="AI78" i="9"/>
  <c r="AH78" i="9"/>
  <c r="AG78" i="9"/>
  <c r="AB78" i="9"/>
  <c r="AA78" i="9"/>
  <c r="Z78" i="9"/>
  <c r="Y78" i="9"/>
  <c r="X78" i="9"/>
  <c r="X74" i="9" s="1"/>
  <c r="W78" i="9"/>
  <c r="V78" i="9"/>
  <c r="Q78" i="9"/>
  <c r="P78" i="9"/>
  <c r="O78" i="9"/>
  <c r="N78" i="9"/>
  <c r="M78" i="9"/>
  <c r="L78" i="9"/>
  <c r="L74" i="9" s="1"/>
  <c r="K78" i="9"/>
  <c r="BS77" i="9"/>
  <c r="BI77" i="9"/>
  <c r="BH77" i="9"/>
  <c r="BG77" i="9"/>
  <c r="BF77" i="9"/>
  <c r="BE77" i="9"/>
  <c r="BE73" i="9" s="1"/>
  <c r="BD77" i="9"/>
  <c r="BD73" i="9" s="1"/>
  <c r="BC77" i="9"/>
  <c r="AX77" i="9"/>
  <c r="AW77" i="9"/>
  <c r="AV77" i="9"/>
  <c r="AU77" i="9"/>
  <c r="AT77" i="9"/>
  <c r="AS77" i="9"/>
  <c r="AS73" i="9" s="1"/>
  <c r="AR77" i="9"/>
  <c r="AR73" i="9" s="1"/>
  <c r="AM77" i="9"/>
  <c r="AL77" i="9"/>
  <c r="AK77" i="9"/>
  <c r="AJ77" i="9"/>
  <c r="AJ73" i="9" s="1"/>
  <c r="AI77" i="9"/>
  <c r="AH77" i="9"/>
  <c r="AG77" i="9"/>
  <c r="AB77" i="9"/>
  <c r="AB73" i="9" s="1"/>
  <c r="AA77" i="9"/>
  <c r="Z77" i="9"/>
  <c r="Z73" i="9" s="1"/>
  <c r="Y77" i="9"/>
  <c r="X77" i="9"/>
  <c r="W77" i="9"/>
  <c r="V77" i="9"/>
  <c r="Q77" i="9"/>
  <c r="Q73" i="9" s="1"/>
  <c r="P77" i="9"/>
  <c r="O77" i="9"/>
  <c r="N77" i="9"/>
  <c r="M77" i="9"/>
  <c r="L77" i="9"/>
  <c r="L73" i="9" s="1"/>
  <c r="K77" i="9"/>
  <c r="AW74" i="9"/>
  <c r="AI74" i="9"/>
  <c r="BH73" i="9"/>
  <c r="AX73" i="9"/>
  <c r="BP69" i="9"/>
  <c r="CA67" i="9"/>
  <c r="BS67" i="9"/>
  <c r="BP67" i="9"/>
  <c r="BQ67" i="9"/>
  <c r="BP65" i="9"/>
  <c r="BP63" i="9"/>
  <c r="BQ63" i="9"/>
  <c r="BP61" i="9"/>
  <c r="BP59" i="9"/>
  <c r="BQ59" i="9"/>
  <c r="BP57" i="9"/>
  <c r="BP55" i="9"/>
  <c r="BQ55" i="9"/>
  <c r="BP53" i="9"/>
  <c r="BP51" i="9"/>
  <c r="BQ51" i="9"/>
  <c r="BP49" i="9"/>
  <c r="BI48" i="9"/>
  <c r="BH48" i="9"/>
  <c r="BG48" i="9"/>
  <c r="BF48" i="9"/>
  <c r="BE48" i="9"/>
  <c r="BD48" i="9"/>
  <c r="BC48" i="9"/>
  <c r="AX48" i="9"/>
  <c r="AW48" i="9"/>
  <c r="AV48" i="9"/>
  <c r="AU48" i="9"/>
  <c r="AT48" i="9"/>
  <c r="AS48" i="9"/>
  <c r="AR48" i="9"/>
  <c r="AM48" i="9"/>
  <c r="AL48" i="9"/>
  <c r="AK48" i="9"/>
  <c r="AJ48" i="9"/>
  <c r="AI48" i="9"/>
  <c r="AH48" i="9"/>
  <c r="AG48" i="9"/>
  <c r="AG10" i="9" s="1"/>
  <c r="AB48" i="9"/>
  <c r="AA48" i="9"/>
  <c r="Z48" i="9"/>
  <c r="Y48" i="9"/>
  <c r="X48" i="9"/>
  <c r="W48" i="9"/>
  <c r="V48" i="9"/>
  <c r="Q48" i="9"/>
  <c r="P48" i="9"/>
  <c r="O48" i="9"/>
  <c r="N48" i="9"/>
  <c r="M48" i="9"/>
  <c r="L48" i="9"/>
  <c r="K48" i="9"/>
  <c r="CA47" i="9"/>
  <c r="BS47" i="9"/>
  <c r="BI47" i="9"/>
  <c r="BH47" i="9"/>
  <c r="BG47" i="9"/>
  <c r="BF47" i="9"/>
  <c r="BE47" i="9"/>
  <c r="BD47" i="9"/>
  <c r="BC47" i="9"/>
  <c r="AX47" i="9"/>
  <c r="AW47" i="9"/>
  <c r="AV47" i="9"/>
  <c r="AU47" i="9"/>
  <c r="AT47" i="9"/>
  <c r="AS47" i="9"/>
  <c r="AR47" i="9"/>
  <c r="AM47" i="9"/>
  <c r="AL47" i="9"/>
  <c r="AK47" i="9"/>
  <c r="AJ47" i="9"/>
  <c r="AI47" i="9"/>
  <c r="AH47" i="9"/>
  <c r="AG47" i="9"/>
  <c r="AB47" i="9"/>
  <c r="AA47" i="9"/>
  <c r="Z47" i="9"/>
  <c r="Y47" i="9"/>
  <c r="X47" i="9"/>
  <c r="W47" i="9"/>
  <c r="V47" i="9"/>
  <c r="Q47" i="9"/>
  <c r="P47" i="9"/>
  <c r="O47" i="9"/>
  <c r="N47" i="9"/>
  <c r="M47" i="9"/>
  <c r="L47" i="9"/>
  <c r="K47" i="9"/>
  <c r="BP43" i="9"/>
  <c r="BP41" i="9"/>
  <c r="BQ41" i="9" s="1"/>
  <c r="BP39" i="9"/>
  <c r="BQ39" i="9"/>
  <c r="BP37" i="9"/>
  <c r="BQ37" i="9"/>
  <c r="BH36" i="9"/>
  <c r="BG36" i="9"/>
  <c r="BF36" i="9"/>
  <c r="BE36" i="9"/>
  <c r="BD36" i="9"/>
  <c r="BC36" i="9"/>
  <c r="AW36" i="9"/>
  <c r="AV36" i="9"/>
  <c r="AU36" i="9"/>
  <c r="AT36" i="9"/>
  <c r="AS36" i="9"/>
  <c r="AR36" i="9"/>
  <c r="AM36" i="9"/>
  <c r="AL36" i="9"/>
  <c r="AK36" i="9"/>
  <c r="AJ36" i="9"/>
  <c r="AI36" i="9"/>
  <c r="AH36" i="9"/>
  <c r="AG36" i="9"/>
  <c r="AA36" i="9"/>
  <c r="Z36" i="9"/>
  <c r="Y36" i="9"/>
  <c r="X36" i="9"/>
  <c r="W36" i="9"/>
  <c r="V36" i="9"/>
  <c r="Q36" i="9"/>
  <c r="P36" i="9"/>
  <c r="O36" i="9"/>
  <c r="N36" i="9"/>
  <c r="M36" i="9"/>
  <c r="L36" i="9"/>
  <c r="K36" i="9"/>
  <c r="CA35" i="9"/>
  <c r="BS35" i="9"/>
  <c r="BH35" i="9"/>
  <c r="BG35" i="9"/>
  <c r="BF35" i="9"/>
  <c r="BE35" i="9"/>
  <c r="BD35" i="9"/>
  <c r="BD9" i="9" s="1"/>
  <c r="BC35" i="9"/>
  <c r="AW35" i="9"/>
  <c r="AV35" i="9"/>
  <c r="AU35" i="9"/>
  <c r="AT35" i="9"/>
  <c r="AS35" i="9"/>
  <c r="AR35" i="9"/>
  <c r="AM35" i="9"/>
  <c r="AL35" i="9"/>
  <c r="AK35" i="9"/>
  <c r="AJ35" i="9"/>
  <c r="AI35" i="9"/>
  <c r="AH35" i="9"/>
  <c r="AG35" i="9"/>
  <c r="AA35" i="9"/>
  <c r="Z35" i="9"/>
  <c r="Y35" i="9"/>
  <c r="X35" i="9"/>
  <c r="W35" i="9"/>
  <c r="V35" i="9"/>
  <c r="Q35" i="9"/>
  <c r="P35" i="9"/>
  <c r="O35" i="9"/>
  <c r="N35" i="9"/>
  <c r="M35" i="9"/>
  <c r="L35" i="9"/>
  <c r="K35" i="9"/>
  <c r="BP31" i="9"/>
  <c r="BP29" i="9"/>
  <c r="BS27" i="9"/>
  <c r="BP27" i="9"/>
  <c r="BQ27" i="9"/>
  <c r="S26" i="9"/>
  <c r="BP25" i="9"/>
  <c r="S25" i="9"/>
  <c r="S24" i="9"/>
  <c r="BP23" i="9"/>
  <c r="BQ23" i="9"/>
  <c r="S23" i="9"/>
  <c r="S22" i="9"/>
  <c r="CA21" i="9"/>
  <c r="BP21" i="9"/>
  <c r="BQ21" i="9"/>
  <c r="S21" i="9"/>
  <c r="T21" i="9" s="1"/>
  <c r="S20" i="9"/>
  <c r="CA19" i="9"/>
  <c r="BP19" i="9"/>
  <c r="S19" i="9"/>
  <c r="S18" i="9"/>
  <c r="CA17" i="9"/>
  <c r="BP17" i="9"/>
  <c r="BQ17" i="9"/>
  <c r="S17" i="9"/>
  <c r="S16" i="9"/>
  <c r="CA15" i="9"/>
  <c r="BP15" i="9"/>
  <c r="BQ15" i="9"/>
  <c r="S15" i="9"/>
  <c r="T15" i="9" s="1"/>
  <c r="BI14" i="9"/>
  <c r="BH14" i="9"/>
  <c r="BG14" i="9"/>
  <c r="BF14" i="9"/>
  <c r="BE14" i="9"/>
  <c r="BD14" i="9"/>
  <c r="BC14" i="9"/>
  <c r="BC10" i="9" s="1"/>
  <c r="AX14" i="9"/>
  <c r="AX10" i="9" s="1"/>
  <c r="AW14" i="9"/>
  <c r="AW10" i="9" s="1"/>
  <c r="AV14" i="9"/>
  <c r="AU14" i="9"/>
  <c r="AT14" i="9"/>
  <c r="AS14" i="9"/>
  <c r="AR14" i="9"/>
  <c r="AR10" i="9" s="1"/>
  <c r="AM14" i="9"/>
  <c r="AM10" i="9" s="1"/>
  <c r="AL14" i="9"/>
  <c r="AL10" i="9" s="1"/>
  <c r="AK14" i="9"/>
  <c r="AJ14" i="9"/>
  <c r="AI14" i="9"/>
  <c r="AH14" i="9"/>
  <c r="AG14" i="9"/>
  <c r="AB14" i="9"/>
  <c r="AA14" i="9"/>
  <c r="AA10" i="9" s="1"/>
  <c r="Z14" i="9"/>
  <c r="Z10" i="9" s="1"/>
  <c r="Y14" i="9"/>
  <c r="X14" i="9"/>
  <c r="W14" i="9"/>
  <c r="V14" i="9"/>
  <c r="Q14" i="9"/>
  <c r="P14" i="9"/>
  <c r="O14" i="9"/>
  <c r="O10" i="9" s="1"/>
  <c r="N14" i="9"/>
  <c r="N10" i="9" s="1"/>
  <c r="M14" i="9"/>
  <c r="M10" i="9" s="1"/>
  <c r="L14" i="9"/>
  <c r="K14" i="9"/>
  <c r="BI13" i="9"/>
  <c r="BH13" i="9"/>
  <c r="BG13" i="9"/>
  <c r="BG9" i="9" s="1"/>
  <c r="BF13" i="9"/>
  <c r="BF9" i="9" s="1"/>
  <c r="BE13" i="9"/>
  <c r="BD13" i="9"/>
  <c r="BC13" i="9"/>
  <c r="AX13" i="9"/>
  <c r="AW13" i="9"/>
  <c r="AV13" i="9"/>
  <c r="AV9" i="9" s="1"/>
  <c r="AU13" i="9"/>
  <c r="AU9" i="9" s="1"/>
  <c r="AT13" i="9"/>
  <c r="AT9" i="9" s="1"/>
  <c r="AS13" i="9"/>
  <c r="AR13" i="9"/>
  <c r="AM13" i="9"/>
  <c r="AL13" i="9"/>
  <c r="AK13" i="9"/>
  <c r="AJ13" i="9"/>
  <c r="AJ9" i="9" s="1"/>
  <c r="AI13" i="9"/>
  <c r="AI9" i="9" s="1"/>
  <c r="AH13" i="9"/>
  <c r="AH9" i="9" s="1"/>
  <c r="AG13" i="9"/>
  <c r="AB13" i="9"/>
  <c r="AA13" i="9"/>
  <c r="AA9" i="9" s="1"/>
  <c r="Z13" i="9"/>
  <c r="Z9" i="9" s="1"/>
  <c r="Y13" i="9"/>
  <c r="Y9" i="9" s="1"/>
  <c r="X13" i="9"/>
  <c r="X9" i="9" s="1"/>
  <c r="W13" i="9"/>
  <c r="W9" i="9" s="1"/>
  <c r="V13" i="9"/>
  <c r="Q13" i="9"/>
  <c r="P13" i="9"/>
  <c r="O13" i="9"/>
  <c r="N13" i="9"/>
  <c r="M13" i="9"/>
  <c r="L13" i="9"/>
  <c r="L9" i="9" s="1"/>
  <c r="K13" i="9"/>
  <c r="BI10" i="9"/>
  <c r="V10" i="9"/>
  <c r="Q10" i="9"/>
  <c r="P10" i="9"/>
  <c r="BT9" i="9"/>
  <c r="AR9" i="9"/>
  <c r="AK9" i="9"/>
  <c r="AB9" i="9"/>
  <c r="P9" i="9"/>
  <c r="O9" i="9"/>
  <c r="N9" i="9"/>
  <c r="M9" i="9"/>
  <c r="L7" i="9"/>
  <c r="BK6" i="9"/>
  <c r="AZ6" i="9"/>
  <c r="AO6" i="9"/>
  <c r="AD6" i="9"/>
  <c r="S6" i="9"/>
  <c r="K6" i="9"/>
  <c r="I6" i="9"/>
  <c r="K4" i="9"/>
  <c r="BQ25" i="9" l="1"/>
  <c r="BQ65" i="9"/>
  <c r="T79" i="9"/>
  <c r="BQ103" i="9"/>
  <c r="O73" i="9"/>
  <c r="BC73" i="9"/>
  <c r="BC74" i="9"/>
  <c r="BQ115" i="9"/>
  <c r="Y138" i="9"/>
  <c r="AH227" i="9"/>
  <c r="AU227" i="9"/>
  <c r="BH227" i="9"/>
  <c r="O138" i="9"/>
  <c r="BQ204" i="9"/>
  <c r="T472" i="9"/>
  <c r="M431" i="9"/>
  <c r="BQ568" i="9"/>
  <c r="P73" i="9"/>
  <c r="T364" i="9"/>
  <c r="T558" i="9"/>
  <c r="BA570" i="9"/>
  <c r="AT137" i="9"/>
  <c r="AG138" i="9"/>
  <c r="BW310" i="9"/>
  <c r="P430" i="9"/>
  <c r="BF430" i="9"/>
  <c r="AT431" i="9"/>
  <c r="BG431" i="9"/>
  <c r="T476" i="9"/>
  <c r="T492" i="9"/>
  <c r="BA500" i="9"/>
  <c r="BE10" i="9"/>
  <c r="AL9" i="9"/>
  <c r="BC9" i="9"/>
  <c r="W10" i="9"/>
  <c r="BQ69" i="9"/>
  <c r="BF73" i="9"/>
  <c r="AV73" i="9"/>
  <c r="P74" i="9"/>
  <c r="AR74" i="9"/>
  <c r="V74" i="9"/>
  <c r="BQ146" i="9"/>
  <c r="BQ166" i="9"/>
  <c r="AU137" i="9"/>
  <c r="BQ222" i="9"/>
  <c r="BQ271" i="9"/>
  <c r="BQ344" i="9"/>
  <c r="BL352" i="9"/>
  <c r="BQ421" i="9"/>
  <c r="AH431" i="9"/>
  <c r="AU431" i="9"/>
  <c r="BH431" i="9"/>
  <c r="P431" i="9"/>
  <c r="T490" i="9"/>
  <c r="BQ500" i="9"/>
  <c r="BQ506" i="9"/>
  <c r="T538" i="9"/>
  <c r="BQ542" i="9"/>
  <c r="T19" i="9"/>
  <c r="AM9" i="9"/>
  <c r="BP200" i="9"/>
  <c r="BQ462" i="9"/>
  <c r="AU430" i="9"/>
  <c r="T542" i="9"/>
  <c r="K10" i="9"/>
  <c r="BQ43" i="9"/>
  <c r="BP77" i="9"/>
  <c r="BQ77" i="9" s="1"/>
  <c r="W137" i="9"/>
  <c r="AJ137" i="9"/>
  <c r="L138" i="9"/>
  <c r="BQ546" i="9"/>
  <c r="BQ550" i="9"/>
  <c r="BQ560" i="9"/>
  <c r="BQ572" i="9"/>
  <c r="AW9" i="9"/>
  <c r="AB10" i="9"/>
  <c r="W73" i="9"/>
  <c r="AI73" i="9"/>
  <c r="AU73" i="9"/>
  <c r="AI137" i="9"/>
  <c r="T23" i="9"/>
  <c r="Q9" i="9"/>
  <c r="AG9" i="9"/>
  <c r="BE9" i="9"/>
  <c r="L10" i="9"/>
  <c r="X10" i="9"/>
  <c r="AJ10" i="9"/>
  <c r="AV10" i="9"/>
  <c r="BH10" i="9"/>
  <c r="BQ19" i="9"/>
  <c r="T25" i="9"/>
  <c r="BQ31" i="9"/>
  <c r="M73" i="9"/>
  <c r="Y73" i="9"/>
  <c r="AK73" i="9"/>
  <c r="AW73" i="9"/>
  <c r="T87" i="9"/>
  <c r="M74" i="9"/>
  <c r="BO119" i="9"/>
  <c r="BQ152" i="9"/>
  <c r="K226" i="9"/>
  <c r="L137" i="9"/>
  <c r="AK138" i="9"/>
  <c r="AV138" i="9"/>
  <c r="BQ208" i="9"/>
  <c r="BQ214" i="9"/>
  <c r="BQ241" i="9"/>
  <c r="BQ257" i="9"/>
  <c r="AM314" i="9"/>
  <c r="BQ342" i="9"/>
  <c r="BQ399" i="9"/>
  <c r="BQ413" i="9"/>
  <c r="L430" i="9"/>
  <c r="X430" i="9"/>
  <c r="AJ430" i="9"/>
  <c r="AK431" i="9"/>
  <c r="BC431" i="9"/>
  <c r="N430" i="9"/>
  <c r="BQ464" i="9"/>
  <c r="BP488" i="9"/>
  <c r="BQ488" i="9" s="1"/>
  <c r="T496" i="9"/>
  <c r="T500" i="9"/>
  <c r="V430" i="9"/>
  <c r="AW430" i="9"/>
  <c r="T518" i="9"/>
  <c r="T572" i="9"/>
  <c r="T582" i="9"/>
  <c r="V9" i="9"/>
  <c r="AK10" i="9"/>
  <c r="BN47" i="9"/>
  <c r="BQ85" i="9"/>
  <c r="AL73" i="9"/>
  <c r="BP150" i="9"/>
  <c r="L226" i="9"/>
  <c r="Y137" i="9"/>
  <c r="BD137" i="9"/>
  <c r="Z138" i="9"/>
  <c r="AL138" i="9"/>
  <c r="AW138" i="9"/>
  <c r="BQ186" i="9"/>
  <c r="BQ194" i="9"/>
  <c r="T280" i="9"/>
  <c r="BA356" i="9"/>
  <c r="T378" i="9"/>
  <c r="BQ409" i="9"/>
  <c r="AL431" i="9"/>
  <c r="T536" i="9"/>
  <c r="BQ544" i="9"/>
  <c r="BQ570" i="9"/>
  <c r="BQ611" i="9"/>
  <c r="AG229" i="9"/>
  <c r="AS229" i="9"/>
  <c r="BE229" i="9"/>
  <c r="AI230" i="9"/>
  <c r="BP233" i="9"/>
  <c r="BQ251" i="9"/>
  <c r="BQ243" i="9"/>
  <c r="BQ259" i="9"/>
  <c r="BQ269" i="9"/>
  <c r="BG226" i="9"/>
  <c r="V226" i="9"/>
  <c r="S200" i="9"/>
  <c r="T200" i="9" s="1"/>
  <c r="P226" i="9"/>
  <c r="AK227" i="9"/>
  <c r="BC227" i="9"/>
  <c r="AS430" i="9"/>
  <c r="X137" i="9"/>
  <c r="O227" i="9"/>
  <c r="BC226" i="9"/>
  <c r="BQ158" i="9"/>
  <c r="BQ164" i="9"/>
  <c r="AV430" i="9"/>
  <c r="BP142" i="9"/>
  <c r="BQ142" i="9" s="1"/>
  <c r="AT74" i="9"/>
  <c r="V73" i="9"/>
  <c r="N74" i="9"/>
  <c r="AL74" i="9"/>
  <c r="BF74" i="9"/>
  <c r="K74" i="9"/>
  <c r="AG73" i="9"/>
  <c r="AR430" i="9"/>
  <c r="BX35" i="9"/>
  <c r="O74" i="9"/>
  <c r="AA74" i="9"/>
  <c r="AM74" i="9"/>
  <c r="BC138" i="9"/>
  <c r="AS138" i="9"/>
  <c r="BN77" i="9"/>
  <c r="BH9" i="9"/>
  <c r="AS10" i="9"/>
  <c r="N73" i="9"/>
  <c r="AB74" i="9"/>
  <c r="BD74" i="9"/>
  <c r="BQ79" i="9"/>
  <c r="BQ129" i="9"/>
  <c r="BD138" i="9"/>
  <c r="M226" i="9"/>
  <c r="M138" i="9"/>
  <c r="X138" i="9"/>
  <c r="AT138" i="9"/>
  <c r="BS13" i="9"/>
  <c r="BF10" i="9"/>
  <c r="BP9" i="9" s="1"/>
  <c r="BQ9" i="9" s="1"/>
  <c r="BQ29" i="9"/>
  <c r="K9" i="9"/>
  <c r="AH10" i="9"/>
  <c r="AT10" i="9"/>
  <c r="BQ57" i="9"/>
  <c r="BQ61" i="9"/>
  <c r="AA73" i="9"/>
  <c r="AM73" i="9"/>
  <c r="Q74" i="9"/>
  <c r="AS74" i="9"/>
  <c r="BE74" i="9"/>
  <c r="T83" i="9"/>
  <c r="AJ74" i="9"/>
  <c r="P137" i="9"/>
  <c r="BG138" i="9"/>
  <c r="BQ162" i="9"/>
  <c r="V137" i="9"/>
  <c r="BP168" i="9"/>
  <c r="AS9" i="9"/>
  <c r="AU10" i="9"/>
  <c r="BG10" i="9"/>
  <c r="AI10" i="9"/>
  <c r="AH74" i="9"/>
  <c r="BQ97" i="9"/>
  <c r="BQ200" i="9"/>
  <c r="BQ123" i="9"/>
  <c r="BP192" i="9"/>
  <c r="BQ192" i="9" s="1"/>
  <c r="Y10" i="9"/>
  <c r="AH73" i="9"/>
  <c r="AT73" i="9"/>
  <c r="BN93" i="9"/>
  <c r="BP119" i="9"/>
  <c r="BQ119" i="9" s="1"/>
  <c r="BE137" i="9"/>
  <c r="BQ233" i="9"/>
  <c r="AJ230" i="9"/>
  <c r="BH138" i="9"/>
  <c r="BQ176" i="9"/>
  <c r="BA352" i="9"/>
  <c r="BD10" i="9"/>
  <c r="BP47" i="9"/>
  <c r="BP35" i="9" s="1"/>
  <c r="X73" i="9"/>
  <c r="Z74" i="9"/>
  <c r="AX74" i="9"/>
  <c r="T85" i="9"/>
  <c r="BQ87" i="9"/>
  <c r="BN119" i="9"/>
  <c r="AL137" i="9"/>
  <c r="AR138" i="9"/>
  <c r="BQ299" i="9"/>
  <c r="P230" i="9"/>
  <c r="T370" i="9"/>
  <c r="T376" i="9"/>
  <c r="BG73" i="9"/>
  <c r="AK74" i="9"/>
  <c r="BI74" i="9"/>
  <c r="Y74" i="9"/>
  <c r="BP93" i="9"/>
  <c r="Z137" i="9"/>
  <c r="N226" i="9"/>
  <c r="Z226" i="9"/>
  <c r="AL226" i="9"/>
  <c r="AX226" i="9"/>
  <c r="AS227" i="9"/>
  <c r="BF227" i="9"/>
  <c r="AR137" i="9"/>
  <c r="S201" i="9"/>
  <c r="BC229" i="9"/>
  <c r="AX317" i="9"/>
  <c r="K431" i="9"/>
  <c r="W431" i="9"/>
  <c r="BQ456" i="9"/>
  <c r="T478" i="9"/>
  <c r="T498" i="9"/>
  <c r="BP502" i="9"/>
  <c r="BQ502" i="9" s="1"/>
  <c r="BQ508" i="9"/>
  <c r="BA566" i="9"/>
  <c r="T574" i="9"/>
  <c r="T576" i="9"/>
  <c r="BQ599" i="9"/>
  <c r="BP134" i="9"/>
  <c r="BQ134" i="9" s="1"/>
  <c r="AU138" i="9"/>
  <c r="BQ144" i="9"/>
  <c r="BQ148" i="9"/>
  <c r="O226" i="9"/>
  <c r="AA226" i="9"/>
  <c r="AM226" i="9"/>
  <c r="AG227" i="9"/>
  <c r="AT227" i="9"/>
  <c r="BG227" i="9"/>
  <c r="AS137" i="9"/>
  <c r="BQ172" i="9"/>
  <c r="BQ184" i="9"/>
  <c r="Y226" i="9"/>
  <c r="BQ202" i="9"/>
  <c r="BQ206" i="9"/>
  <c r="BP210" i="9"/>
  <c r="BP180" i="9" s="1"/>
  <c r="BQ180" i="9" s="1"/>
  <c r="BQ255" i="9"/>
  <c r="BQ265" i="9"/>
  <c r="BQ348" i="9"/>
  <c r="M430" i="9"/>
  <c r="AK430" i="9"/>
  <c r="BC430" i="9"/>
  <c r="AJ431" i="9"/>
  <c r="BA486" i="9"/>
  <c r="BA490" i="9"/>
  <c r="BA496" i="9"/>
  <c r="T520" i="9"/>
  <c r="T548" i="9"/>
  <c r="T568" i="9"/>
  <c r="BQ613" i="9"/>
  <c r="AI622" i="9"/>
  <c r="AI618" i="9" s="1"/>
  <c r="AL430" i="9"/>
  <c r="Y431" i="9"/>
  <c r="BQ454" i="9"/>
  <c r="BQ494" i="9"/>
  <c r="BQ520" i="9"/>
  <c r="T534" i="9"/>
  <c r="T556" i="9"/>
  <c r="BQ609" i="9"/>
  <c r="AK622" i="9"/>
  <c r="AK618" i="9" s="1"/>
  <c r="BQ397" i="9"/>
  <c r="AA430" i="9"/>
  <c r="BD431" i="9"/>
  <c r="BQ472" i="9"/>
  <c r="T532" i="9"/>
  <c r="T566" i="9"/>
  <c r="BQ588" i="9"/>
  <c r="BQ597" i="9"/>
  <c r="BQ619" i="9"/>
  <c r="W229" i="9"/>
  <c r="AI229" i="9"/>
  <c r="Y230" i="9"/>
  <c r="BQ388" i="9"/>
  <c r="T540" i="9"/>
  <c r="BQ220" i="9"/>
  <c r="BQ247" i="9"/>
  <c r="S278" i="9"/>
  <c r="N230" i="9"/>
  <c r="AL230" i="9"/>
  <c r="BQ407" i="9"/>
  <c r="BU423" i="9"/>
  <c r="BY423" i="9" s="1"/>
  <c r="AG430" i="9"/>
  <c r="AT430" i="9"/>
  <c r="BG430" i="9"/>
  <c r="BF431" i="9"/>
  <c r="T514" i="9"/>
  <c r="BQ532" i="9"/>
  <c r="BQ540" i="9"/>
  <c r="T550" i="9"/>
  <c r="W74" i="9"/>
  <c r="BG74" i="9"/>
  <c r="AU74" i="9"/>
  <c r="BQ150" i="9"/>
  <c r="L227" i="9"/>
  <c r="Y227" i="9"/>
  <c r="AK137" i="9"/>
  <c r="AW137" i="9"/>
  <c r="BH137" i="9"/>
  <c r="BE138" i="9"/>
  <c r="BQ170" i="9"/>
  <c r="S192" i="9"/>
  <c r="S193" i="9"/>
  <c r="T192" i="9" s="1"/>
  <c r="BQ198" i="9"/>
  <c r="BQ212" i="9"/>
  <c r="BG230" i="9"/>
  <c r="BQ253" i="9"/>
  <c r="BQ273" i="9"/>
  <c r="M229" i="9"/>
  <c r="Y229" i="9"/>
  <c r="AA230" i="9"/>
  <c r="BQ320" i="9"/>
  <c r="BQ470" i="9"/>
  <c r="BQ578" i="9"/>
  <c r="BP13" i="9"/>
  <c r="BQ13" i="9" s="1"/>
  <c r="T17" i="9"/>
  <c r="BO47" i="9"/>
  <c r="K73" i="9"/>
  <c r="BQ81" i="9"/>
  <c r="BQ49" i="9"/>
  <c r="CA13" i="9"/>
  <c r="BQ95" i="9"/>
  <c r="BO93" i="9"/>
  <c r="BQ93" i="9" s="1"/>
  <c r="L6" i="9"/>
  <c r="M7" i="9"/>
  <c r="BQ53" i="9"/>
  <c r="BQ168" i="9"/>
  <c r="BP140" i="9"/>
  <c r="BQ140" i="9" s="1"/>
  <c r="BQ121" i="9"/>
  <c r="K140" i="9"/>
  <c r="BQ105" i="9"/>
  <c r="BQ125" i="9"/>
  <c r="BQ113" i="9"/>
  <c r="BQ131" i="9"/>
  <c r="AI227" i="9"/>
  <c r="K180" i="9"/>
  <c r="BQ174" i="9"/>
  <c r="BQ182" i="9"/>
  <c r="K181" i="9"/>
  <c r="K138" i="9" s="1"/>
  <c r="AA227" i="9"/>
  <c r="BQ239" i="9"/>
  <c r="BQ245" i="9"/>
  <c r="BQ263" i="9"/>
  <c r="BQ235" i="9"/>
  <c r="BQ237" i="9"/>
  <c r="BQ249" i="9"/>
  <c r="BP278" i="9"/>
  <c r="BQ278" i="9" s="1"/>
  <c r="BQ307" i="9"/>
  <c r="BQ275" i="9"/>
  <c r="BQ310" i="9"/>
  <c r="S279" i="9"/>
  <c r="BQ318" i="9"/>
  <c r="BQ346" i="9"/>
  <c r="CB395" i="9"/>
  <c r="BW395" i="9"/>
  <c r="BQ415" i="9"/>
  <c r="BQ432" i="9"/>
  <c r="BQ444" i="9"/>
  <c r="BQ446" i="9"/>
  <c r="BQ436" i="9"/>
  <c r="BQ440" i="9"/>
  <c r="BQ434" i="9"/>
  <c r="BQ438" i="9"/>
  <c r="BQ442" i="9"/>
  <c r="BQ450" i="9"/>
  <c r="BQ474" i="9"/>
  <c r="BP460" i="9"/>
  <c r="BQ460" i="9" s="1"/>
  <c r="BQ452" i="9"/>
  <c r="BQ448" i="9"/>
  <c r="BQ490" i="9"/>
  <c r="BQ492" i="9"/>
  <c r="BQ458" i="9"/>
  <c r="BQ496" i="9"/>
  <c r="T516" i="9"/>
  <c r="BQ534" i="9"/>
  <c r="BQ536" i="9"/>
  <c r="BQ554" i="9"/>
  <c r="BQ552" i="9"/>
  <c r="BQ510" i="9"/>
  <c r="BQ518" i="9"/>
  <c r="T506" i="9"/>
  <c r="BQ512" i="9"/>
  <c r="T524" i="9"/>
  <c r="BQ538" i="9"/>
  <c r="BQ564" i="9"/>
  <c r="T578" i="9"/>
  <c r="K595" i="9"/>
  <c r="T552" i="9"/>
  <c r="BQ556" i="9"/>
  <c r="BQ582" i="9"/>
  <c r="BP530" i="9"/>
  <c r="BQ530" i="9" s="1"/>
  <c r="T562" i="9"/>
  <c r="BQ566" i="9"/>
  <c r="BQ580" i="9"/>
  <c r="T560" i="9"/>
  <c r="T580" i="9"/>
  <c r="BQ548" i="9"/>
  <c r="BA572" i="9"/>
  <c r="T564" i="9"/>
  <c r="BQ601" i="9"/>
  <c r="BQ623" i="9"/>
  <c r="BP625" i="9"/>
  <c r="BQ625" i="9" s="1"/>
  <c r="BP595" i="9"/>
  <c r="BQ595" i="9" s="1"/>
  <c r="BP593" i="9"/>
  <c r="BQ593" i="9" s="1"/>
  <c r="AJ616" i="9"/>
  <c r="AJ622" i="9"/>
  <c r="AJ618" i="9" s="1"/>
  <c r="T570" i="9"/>
  <c r="BQ574" i="9"/>
  <c r="BP229" i="9" l="1"/>
  <c r="BQ229" i="9" s="1"/>
  <c r="BP73" i="9"/>
  <c r="BQ73" i="9" s="1"/>
  <c r="BP137" i="9"/>
  <c r="BQ137" i="9" s="1"/>
  <c r="BW423" i="9"/>
  <c r="BQ210" i="9"/>
  <c r="T278" i="9"/>
  <c r="K137" i="9"/>
  <c r="N7" i="9"/>
  <c r="M6" i="9"/>
  <c r="BQ47" i="9"/>
  <c r="BQ35" i="9"/>
  <c r="BP430" i="9"/>
  <c r="BQ430" i="9" s="1"/>
  <c r="O7" i="9" l="1"/>
  <c r="N6" i="9"/>
  <c r="P7" i="9" l="1"/>
  <c r="O6" i="9"/>
  <c r="BY601" i="9" l="1"/>
  <c r="BY599" i="9"/>
  <c r="BY588" i="9"/>
  <c r="BY613" i="9"/>
  <c r="BY597" i="9"/>
  <c r="BY611" i="9"/>
  <c r="BY619" i="9"/>
  <c r="BY605" i="9"/>
  <c r="BY607" i="9"/>
  <c r="BY623" i="9"/>
  <c r="BY603" i="9"/>
  <c r="BY609" i="9"/>
  <c r="BY591" i="9"/>
  <c r="BY492" i="9"/>
  <c r="BQ486" i="9"/>
  <c r="BQ478" i="9"/>
  <c r="BQ480" i="9"/>
  <c r="BY490" i="9"/>
  <c r="BQ476" i="9"/>
  <c r="BY500" i="9"/>
  <c r="BY498" i="9"/>
  <c r="BY496" i="9"/>
  <c r="BQ482" i="9"/>
  <c r="BY494" i="9"/>
  <c r="BQ484" i="9"/>
  <c r="BY421" i="9"/>
  <c r="BY428" i="9"/>
  <c r="BY407" i="9"/>
  <c r="BY397" i="9"/>
  <c r="BY376" i="9"/>
  <c r="BY399" i="9"/>
  <c r="BY390" i="9"/>
  <c r="BY380" i="9"/>
  <c r="BY419" i="9"/>
  <c r="BY378" i="9"/>
  <c r="BY368" i="9"/>
  <c r="BY374" i="9"/>
  <c r="BY362" i="9"/>
  <c r="BY356" i="9"/>
  <c r="BY354" i="9"/>
  <c r="BY352" i="9"/>
  <c r="BY346" i="9"/>
  <c r="BY328" i="9"/>
  <c r="BY384" i="9"/>
  <c r="BY364" i="9"/>
  <c r="BY330" i="9"/>
  <c r="BY393" i="9"/>
  <c r="BY370" i="9"/>
  <c r="BY344" i="9"/>
  <c r="BY334" i="9"/>
  <c r="BY314" i="9"/>
  <c r="BY409" i="9"/>
  <c r="BY388" i="9"/>
  <c r="BY382" i="9"/>
  <c r="BY366" i="9"/>
  <c r="BY336" i="9"/>
  <c r="BY348" i="9"/>
  <c r="BY342" i="9"/>
  <c r="BY318" i="9"/>
  <c r="BY310" i="9"/>
  <c r="BY360" i="9"/>
  <c r="BY326" i="9"/>
  <c r="BY338" i="9"/>
  <c r="BY324" i="9"/>
  <c r="BY320" i="9"/>
  <c r="BX278" i="9"/>
  <c r="BX93" i="9"/>
  <c r="Q7" i="9"/>
  <c r="S101" i="9" s="1"/>
  <c r="P6" i="9"/>
  <c r="S398" i="9"/>
  <c r="S67" i="9"/>
  <c r="S432" i="9"/>
  <c r="S50" i="9"/>
  <c r="S173" i="9"/>
  <c r="S36" i="9"/>
  <c r="S252" i="9"/>
  <c r="S52" i="9"/>
  <c r="S138" i="9"/>
  <c r="S54" i="9"/>
  <c r="S14" i="9"/>
  <c r="S406" i="9" l="1"/>
  <c r="S531" i="9"/>
  <c r="S268" i="9"/>
  <c r="S159" i="9"/>
  <c r="S328" i="9"/>
  <c r="S236" i="9"/>
  <c r="S262" i="9"/>
  <c r="S399" i="9"/>
  <c r="S220" i="9"/>
  <c r="S359" i="9"/>
  <c r="S241" i="9"/>
  <c r="S222" i="9"/>
  <c r="S295" i="9"/>
  <c r="S435" i="9"/>
  <c r="S441" i="9"/>
  <c r="S176" i="9"/>
  <c r="S195" i="9"/>
  <c r="S396" i="9"/>
  <c r="S404" i="9"/>
  <c r="S56" i="9"/>
  <c r="S40" i="9"/>
  <c r="S274" i="9"/>
  <c r="S142" i="9"/>
  <c r="S116" i="9"/>
  <c r="S502" i="9"/>
  <c r="S401" i="9"/>
  <c r="S600" i="9"/>
  <c r="S227" i="9"/>
  <c r="S394" i="9"/>
  <c r="S255" i="9"/>
  <c r="S98" i="9"/>
  <c r="S247" i="9"/>
  <c r="S120" i="9"/>
  <c r="S316" i="9"/>
  <c r="S438" i="9"/>
  <c r="S300" i="9"/>
  <c r="S428" i="9"/>
  <c r="S189" i="9"/>
  <c r="S170" i="9"/>
  <c r="S431" i="9"/>
  <c r="S163" i="9"/>
  <c r="S229" i="9"/>
  <c r="S440" i="9"/>
  <c r="S263" i="9"/>
  <c r="S130" i="9"/>
  <c r="S271" i="9"/>
  <c r="S143" i="9"/>
  <c r="S430" i="9"/>
  <c r="S103" i="9"/>
  <c r="S186" i="9"/>
  <c r="S53" i="9"/>
  <c r="T53" i="9" s="1"/>
  <c r="S395" i="9"/>
  <c r="S114" i="9"/>
  <c r="S244" i="9"/>
  <c r="S321" i="9"/>
  <c r="S460" i="9"/>
  <c r="S345" i="9"/>
  <c r="S275" i="9"/>
  <c r="S342" i="9"/>
  <c r="S612" i="9"/>
  <c r="S146" i="9"/>
  <c r="S204" i="9"/>
  <c r="S216" i="9"/>
  <c r="S387" i="9"/>
  <c r="BX13" i="9"/>
  <c r="S165" i="9"/>
  <c r="S96" i="9"/>
  <c r="S403" i="9"/>
  <c r="S412" i="9"/>
  <c r="S272" i="9"/>
  <c r="S70" i="9"/>
  <c r="S217" i="9"/>
  <c r="S160" i="9"/>
  <c r="S99" i="9"/>
  <c r="S624" i="9"/>
  <c r="S13" i="9"/>
  <c r="T13" i="9" s="1"/>
  <c r="S421" i="9"/>
  <c r="S171" i="9"/>
  <c r="S226" i="9"/>
  <c r="S625" i="9"/>
  <c r="S254" i="9"/>
  <c r="S35" i="9"/>
  <c r="T35" i="9" s="1"/>
  <c r="S489" i="9"/>
  <c r="S168" i="9"/>
  <c r="S318" i="9"/>
  <c r="S213" i="9"/>
  <c r="S164" i="9"/>
  <c r="S290" i="9"/>
  <c r="S123" i="9"/>
  <c r="S29" i="9"/>
  <c r="S420" i="9"/>
  <c r="S197" i="9"/>
  <c r="S182" i="9"/>
  <c r="S174" i="9"/>
  <c r="S466" i="9"/>
  <c r="S124" i="9"/>
  <c r="S39" i="9"/>
  <c r="S144" i="9"/>
  <c r="S158" i="9"/>
  <c r="S605" i="9"/>
  <c r="S167" i="9"/>
  <c r="S162" i="9"/>
  <c r="S402" i="9"/>
  <c r="S276" i="9"/>
  <c r="S468" i="9"/>
  <c r="S471" i="9"/>
  <c r="S439" i="9"/>
  <c r="S125" i="9"/>
  <c r="S135" i="9"/>
  <c r="S28" i="9"/>
  <c r="S102" i="9"/>
  <c r="S503" i="9"/>
  <c r="S215" i="9"/>
  <c r="S115" i="9"/>
  <c r="V7" i="9"/>
  <c r="Q6" i="9"/>
  <c r="S451" i="9"/>
  <c r="S246" i="9"/>
  <c r="S27" i="9"/>
  <c r="S49" i="9"/>
  <c r="T49" i="9" s="1"/>
  <c r="S147" i="9"/>
  <c r="S177" i="9"/>
  <c r="S443" i="9"/>
  <c r="S324" i="9"/>
  <c r="S413" i="9"/>
  <c r="S599" i="9"/>
  <c r="S339" i="9"/>
  <c r="S260" i="9"/>
  <c r="S65" i="9"/>
  <c r="S595" i="9"/>
  <c r="S218" i="9"/>
  <c r="S264" i="9"/>
  <c r="S621" i="9"/>
  <c r="S157" i="9"/>
  <c r="S346" i="9"/>
  <c r="S448" i="9"/>
  <c r="S42" i="9"/>
  <c r="S319" i="9"/>
  <c r="S245" i="9"/>
  <c r="S598" i="9"/>
  <c r="S467" i="9"/>
  <c r="S410" i="9"/>
  <c r="S210" i="9"/>
  <c r="S307" i="9"/>
  <c r="S266" i="9"/>
  <c r="S134" i="9"/>
  <c r="S436" i="9"/>
  <c r="S287" i="9"/>
  <c r="S588" i="9"/>
  <c r="S455" i="9"/>
  <c r="S108" i="9"/>
  <c r="S325" i="9"/>
  <c r="S338" i="9"/>
  <c r="S333" i="9"/>
  <c r="S233" i="9"/>
  <c r="S305" i="9"/>
  <c r="S282" i="9"/>
  <c r="S614" i="9"/>
  <c r="S429" i="9"/>
  <c r="S100" i="9"/>
  <c r="S447" i="9"/>
  <c r="S265" i="9"/>
  <c r="S454" i="9"/>
  <c r="S110" i="9"/>
  <c r="S183" i="9"/>
  <c r="S286" i="9"/>
  <c r="S597" i="9"/>
  <c r="S615" i="9"/>
  <c r="S60" i="9"/>
  <c r="S418" i="9"/>
  <c r="S619" i="9"/>
  <c r="S326" i="9"/>
  <c r="S445" i="9"/>
  <c r="S344" i="9"/>
  <c r="S289" i="9"/>
  <c r="S188" i="9"/>
  <c r="S592" i="9"/>
  <c r="S69" i="9"/>
  <c r="S77" i="9"/>
  <c r="S180" i="9"/>
  <c r="S308" i="9"/>
  <c r="S234" i="9"/>
  <c r="S187" i="9"/>
  <c r="S426" i="9"/>
  <c r="S617" i="9"/>
  <c r="S336" i="9"/>
  <c r="S251" i="9"/>
  <c r="T251" i="9" s="1"/>
  <c r="S607" i="9"/>
  <c r="S261" i="9"/>
  <c r="S122" i="9"/>
  <c r="S620" i="9"/>
  <c r="S350" i="9"/>
  <c r="S347" i="9"/>
  <c r="S348" i="9"/>
  <c r="S203" i="9"/>
  <c r="S340" i="9"/>
  <c r="S89" i="9"/>
  <c r="S331" i="9"/>
  <c r="S239" i="9"/>
  <c r="S104" i="9"/>
  <c r="S464" i="9"/>
  <c r="S400" i="9"/>
  <c r="S32" i="9"/>
  <c r="S190" i="9"/>
  <c r="S31" i="9"/>
  <c r="S199" i="9"/>
  <c r="S235" i="9"/>
  <c r="S90" i="9"/>
  <c r="S408" i="9"/>
  <c r="S465" i="9"/>
  <c r="S283" i="9"/>
  <c r="S616" i="9"/>
  <c r="S148" i="9"/>
  <c r="S463" i="9"/>
  <c r="S237" i="9"/>
  <c r="S73" i="9"/>
  <c r="S292" i="9"/>
  <c r="S414" i="9"/>
  <c r="S304" i="9"/>
  <c r="S291" i="9"/>
  <c r="S330" i="9"/>
  <c r="S373" i="9"/>
  <c r="S145" i="9"/>
  <c r="S249" i="9"/>
  <c r="S107" i="9"/>
  <c r="S151" i="9"/>
  <c r="S9" i="9"/>
  <c r="S196" i="9"/>
  <c r="S63" i="9"/>
  <c r="S212" i="9"/>
  <c r="S358" i="9"/>
  <c r="S109" i="9"/>
  <c r="S152" i="9"/>
  <c r="S166" i="9"/>
  <c r="S288" i="9"/>
  <c r="S132" i="9"/>
  <c r="S422" i="9"/>
  <c r="S191" i="9"/>
  <c r="S390" i="9"/>
  <c r="S589" i="9"/>
  <c r="S450" i="9"/>
  <c r="S453" i="9"/>
  <c r="S391" i="9"/>
  <c r="S618" i="9"/>
  <c r="S198" i="9"/>
  <c r="S206" i="9"/>
  <c r="S593" i="9"/>
  <c r="S415" i="9"/>
  <c r="S43" i="9"/>
  <c r="S258" i="9"/>
  <c r="S462" i="9"/>
  <c r="S97" i="9"/>
  <c r="S141" i="9"/>
  <c r="S337" i="9"/>
  <c r="S294" i="9"/>
  <c r="T294" i="9" s="1"/>
  <c r="S293" i="9"/>
  <c r="S253" i="9"/>
  <c r="S603" i="9"/>
  <c r="S93" i="9"/>
  <c r="S55" i="9"/>
  <c r="T55" i="9" s="1"/>
  <c r="S606" i="9"/>
  <c r="S608" i="9"/>
  <c r="S317" i="9"/>
  <c r="S150" i="9"/>
  <c r="S202" i="9"/>
  <c r="S284" i="9"/>
  <c r="S423" i="9"/>
  <c r="S38" i="9"/>
  <c r="S416" i="9"/>
  <c r="S223" i="9"/>
  <c r="S626" i="9"/>
  <c r="S94" i="9"/>
  <c r="S341" i="9"/>
  <c r="S419" i="9"/>
  <c r="S184" i="9"/>
  <c r="S609" i="9"/>
  <c r="S322" i="9"/>
  <c r="S207" i="9"/>
  <c r="T206" i="9" s="1"/>
  <c r="S153" i="9"/>
  <c r="S78" i="9"/>
  <c r="S424" i="9"/>
  <c r="S169" i="9"/>
  <c r="S74" i="9"/>
  <c r="S127" i="9"/>
  <c r="S296" i="9"/>
  <c r="S611" i="9"/>
  <c r="S185" i="9"/>
  <c r="S530" i="9"/>
  <c r="T530" i="9" s="1"/>
  <c r="S41" i="9"/>
  <c r="S372" i="9"/>
  <c r="S405" i="9"/>
  <c r="T405" i="9" s="1"/>
  <c r="S155" i="9"/>
  <c r="S299" i="9"/>
  <c r="S327" i="9"/>
  <c r="S47" i="9"/>
  <c r="S156" i="9"/>
  <c r="S469" i="9"/>
  <c r="S131" i="9"/>
  <c r="S335" i="9"/>
  <c r="S243" i="9"/>
  <c r="S604" i="9"/>
  <c r="S393" i="9"/>
  <c r="S37" i="9"/>
  <c r="S437" i="9"/>
  <c r="S273" i="9"/>
  <c r="S613" i="9"/>
  <c r="S66" i="9"/>
  <c r="S310" i="9"/>
  <c r="S121" i="9"/>
  <c r="S269" i="9"/>
  <c r="S623" i="9"/>
  <c r="S259" i="9"/>
  <c r="S461" i="9"/>
  <c r="S334" i="9"/>
  <c r="S257" i="9"/>
  <c r="S594" i="9"/>
  <c r="S149" i="9"/>
  <c r="T148" i="9" s="1"/>
  <c r="S343" i="9"/>
  <c r="S256" i="9"/>
  <c r="S488" i="9"/>
  <c r="S601" i="9"/>
  <c r="S205" i="9"/>
  <c r="S470" i="9"/>
  <c r="S128" i="9"/>
  <c r="S129" i="9"/>
  <c r="S449" i="9"/>
  <c r="S219" i="9"/>
  <c r="S230" i="9"/>
  <c r="T229" i="9" s="1"/>
  <c r="S329" i="9"/>
  <c r="S126" i="9"/>
  <c r="S59" i="9"/>
  <c r="S181" i="9"/>
  <c r="S315" i="9"/>
  <c r="S95" i="9"/>
  <c r="S221" i="9"/>
  <c r="S10" i="9"/>
  <c r="S442" i="9"/>
  <c r="S57" i="9"/>
  <c r="S314" i="9"/>
  <c r="S161" i="9"/>
  <c r="T160" i="9" s="1"/>
  <c r="S105" i="9"/>
  <c r="S61" i="9"/>
  <c r="S311" i="9"/>
  <c r="S30" i="9"/>
  <c r="S172" i="9"/>
  <c r="T172" i="9" s="1"/>
  <c r="S119" i="9"/>
  <c r="T119" i="9" s="1"/>
  <c r="S434" i="9"/>
  <c r="S591" i="9"/>
  <c r="S417" i="9"/>
  <c r="S596" i="9"/>
  <c r="S62" i="9"/>
  <c r="S285" i="9"/>
  <c r="S425" i="9"/>
  <c r="S68" i="9"/>
  <c r="S388" i="9"/>
  <c r="S240" i="9"/>
  <c r="S610" i="9"/>
  <c r="S452" i="9"/>
  <c r="S44" i="9"/>
  <c r="S409" i="9"/>
  <c r="S444" i="9"/>
  <c r="S242" i="9"/>
  <c r="S214" i="9"/>
  <c r="S270" i="9"/>
  <c r="S433" i="9"/>
  <c r="S386" i="9"/>
  <c r="S137" i="9"/>
  <c r="T137" i="9" s="1"/>
  <c r="S323" i="9"/>
  <c r="S622" i="9"/>
  <c r="S238" i="9"/>
  <c r="S208" i="9"/>
  <c r="S51" i="9"/>
  <c r="T51" i="9" s="1"/>
  <c r="S297" i="9"/>
  <c r="S248" i="9"/>
  <c r="S154" i="9"/>
  <c r="S267" i="9"/>
  <c r="T267" i="9" s="1"/>
  <c r="S407" i="9"/>
  <c r="S332" i="9"/>
  <c r="S175" i="9"/>
  <c r="S349" i="9"/>
  <c r="BX77" i="9"/>
  <c r="S211" i="9"/>
  <c r="S209" i="9"/>
  <c r="S446" i="9"/>
  <c r="S389" i="9"/>
  <c r="S140" i="9"/>
  <c r="S411" i="9"/>
  <c r="S113" i="9"/>
  <c r="S320" i="9"/>
  <c r="S194" i="9"/>
  <c r="T194" i="9" s="1"/>
  <c r="S397" i="9"/>
  <c r="T397" i="9" s="1"/>
  <c r="S602" i="9"/>
  <c r="S64" i="9"/>
  <c r="S351" i="9"/>
  <c r="S58" i="9"/>
  <c r="S106" i="9"/>
  <c r="S48" i="9"/>
  <c r="S250" i="9"/>
  <c r="T344" i="9" l="1"/>
  <c r="T158" i="9"/>
  <c r="T316" i="9"/>
  <c r="T186" i="9"/>
  <c r="T235" i="9"/>
  <c r="T226" i="9"/>
  <c r="T328" i="9"/>
  <c r="T358" i="9"/>
  <c r="T261" i="9"/>
  <c r="T440" i="9"/>
  <c r="T386" i="9"/>
  <c r="T399" i="9"/>
  <c r="T430" i="9"/>
  <c r="T176" i="9"/>
  <c r="T115" i="9"/>
  <c r="T350" i="9"/>
  <c r="T415" i="9"/>
  <c r="T466" i="9"/>
  <c r="T413" i="9"/>
  <c r="T464" i="9"/>
  <c r="T113" i="9"/>
  <c r="T220" i="9"/>
  <c r="T611" i="9"/>
  <c r="T222" i="9"/>
  <c r="T299" i="9"/>
  <c r="T273" i="9"/>
  <c r="T146" i="9"/>
  <c r="T142" i="9"/>
  <c r="T428" i="9"/>
  <c r="T393" i="9"/>
  <c r="T204" i="9"/>
  <c r="T129" i="9"/>
  <c r="T421" i="9"/>
  <c r="T174" i="9"/>
  <c r="T340" i="9"/>
  <c r="T310" i="9"/>
  <c r="T326" i="9"/>
  <c r="T607" i="9"/>
  <c r="T609" i="9"/>
  <c r="T468" i="9"/>
  <c r="T346" i="9"/>
  <c r="T403" i="9"/>
  <c r="T342" i="9"/>
  <c r="T599" i="9"/>
  <c r="T593" i="9"/>
  <c r="T601" i="9"/>
  <c r="T188" i="9"/>
  <c r="T152" i="9"/>
  <c r="T595" i="9"/>
  <c r="T336" i="9"/>
  <c r="T320" i="9"/>
  <c r="T605" i="9"/>
  <c r="T395" i="9"/>
  <c r="T243" i="9"/>
  <c r="T162" i="9"/>
  <c r="T434" i="9"/>
  <c r="T134" i="9"/>
  <c r="T318" i="9"/>
  <c r="T214" i="9"/>
  <c r="T170" i="9"/>
  <c r="T388" i="9"/>
  <c r="T423" i="9"/>
  <c r="T407" i="9"/>
  <c r="T588" i="9"/>
  <c r="T324" i="9"/>
  <c r="T401" i="9"/>
  <c r="T218" i="9"/>
  <c r="T184" i="9"/>
  <c r="T144" i="9"/>
  <c r="T619" i="9"/>
  <c r="T623" i="9"/>
  <c r="T613" i="9"/>
  <c r="T156" i="9"/>
  <c r="T97" i="9"/>
  <c r="T216" i="9"/>
  <c r="T9" i="9"/>
  <c r="T417" i="9"/>
  <c r="T61" i="9"/>
  <c r="T448" i="9"/>
  <c r="T93" i="9"/>
  <c r="T292" i="9"/>
  <c r="T452" i="9"/>
  <c r="T190" i="9"/>
  <c r="T89" i="9"/>
  <c r="T31" i="9"/>
  <c r="T425" i="9"/>
  <c r="T182" i="9"/>
  <c r="T332" i="9"/>
  <c r="T41" i="9"/>
  <c r="T259" i="9"/>
  <c r="T196" i="9"/>
  <c r="T69" i="9"/>
  <c r="T63" i="9"/>
  <c r="T67" i="9"/>
  <c r="T460" i="9"/>
  <c r="T121" i="9"/>
  <c r="T442" i="9"/>
  <c r="T123" i="9"/>
  <c r="T57" i="9"/>
  <c r="T127" i="9"/>
  <c r="T65" i="9"/>
  <c r="T154" i="9"/>
  <c r="T131" i="9"/>
  <c r="T462" i="9"/>
  <c r="T202" i="9"/>
  <c r="T446" i="9"/>
  <c r="T286" i="9"/>
  <c r="T263" i="9"/>
  <c r="T338" i="9"/>
  <c r="T502" i="9"/>
  <c r="T275" i="9"/>
  <c r="T419" i="9"/>
  <c r="T488" i="9"/>
  <c r="T249" i="9"/>
  <c r="T269" i="9"/>
  <c r="T125" i="9"/>
  <c r="T470" i="9"/>
  <c r="T603" i="9"/>
  <c r="T257" i="9"/>
  <c r="T198" i="9"/>
  <c r="T59" i="9"/>
  <c r="T109" i="9"/>
  <c r="T99" i="9"/>
  <c r="T304" i="9"/>
  <c r="T265" i="9"/>
  <c r="T597" i="9"/>
  <c r="T101" i="9"/>
  <c r="T212" i="9"/>
  <c r="T271" i="9"/>
  <c r="T95" i="9"/>
  <c r="T436" i="9"/>
  <c r="T77" i="9"/>
  <c r="T288" i="9"/>
  <c r="T450" i="9"/>
  <c r="T47" i="9"/>
  <c r="T348" i="9"/>
  <c r="T296" i="9"/>
  <c r="T237" i="9"/>
  <c r="T432" i="9"/>
  <c r="T241" i="9"/>
  <c r="T239" i="9"/>
  <c r="T314" i="9"/>
  <c r="T73" i="9"/>
  <c r="T625" i="9"/>
  <c r="T140" i="9"/>
  <c r="T372" i="9"/>
  <c r="T615" i="9"/>
  <c r="T233" i="9"/>
  <c r="T107" i="9"/>
  <c r="T307" i="9"/>
  <c r="W7" i="9"/>
  <c r="V4" i="9"/>
  <c r="V6" i="9"/>
  <c r="T438" i="9"/>
  <c r="T164" i="9"/>
  <c r="T454" i="9"/>
  <c r="T255" i="9"/>
  <c r="T282" i="9"/>
  <c r="T103" i="9"/>
  <c r="T208" i="9"/>
  <c r="T621" i="9"/>
  <c r="T284" i="9"/>
  <c r="T29" i="9"/>
  <c r="T168" i="9"/>
  <c r="T617" i="9"/>
  <c r="T150" i="9"/>
  <c r="T444" i="9"/>
  <c r="T409" i="9"/>
  <c r="T27" i="9"/>
  <c r="T166" i="9"/>
  <c r="T411" i="9"/>
  <c r="T180" i="9"/>
  <c r="T591" i="9"/>
  <c r="T105" i="9"/>
  <c r="T210" i="9"/>
  <c r="T247" i="9"/>
  <c r="T322" i="9"/>
  <c r="T43" i="9"/>
  <c r="T334" i="9"/>
  <c r="T390" i="9"/>
  <c r="T290" i="9"/>
  <c r="T330" i="9"/>
  <c r="T245" i="9"/>
  <c r="T253" i="9"/>
  <c r="W6" i="9" l="1"/>
  <c r="X7" i="9"/>
  <c r="Y7" i="9" l="1"/>
  <c r="X6" i="9"/>
  <c r="Z7" i="9" l="1"/>
  <c r="Y6" i="9"/>
  <c r="Z6" i="9" l="1"/>
  <c r="AA7" i="9"/>
  <c r="AA6" i="9" l="1"/>
  <c r="AB7" i="9"/>
  <c r="AD332" i="9" s="1"/>
  <c r="AD322" i="9"/>
  <c r="AD183" i="9"/>
  <c r="AD210" i="9"/>
  <c r="AD534" i="9"/>
  <c r="AD200" i="9"/>
  <c r="AD292" i="9"/>
  <c r="AD265" i="9"/>
  <c r="AD520" i="9"/>
  <c r="AD393" i="9"/>
  <c r="AD585" i="9"/>
  <c r="AD128" i="9"/>
  <c r="AD156" i="9"/>
  <c r="AD115" i="9"/>
  <c r="AD350" i="9"/>
  <c r="AD285" i="9"/>
  <c r="AD160" i="9"/>
  <c r="AD398" i="9"/>
  <c r="AD624" i="9"/>
  <c r="AD512" i="9"/>
  <c r="AD96" i="9"/>
  <c r="AD50" i="9"/>
  <c r="AD213" i="9"/>
  <c r="AD524" i="9"/>
  <c r="AD587" i="9"/>
  <c r="AD411" i="9"/>
  <c r="AD451" i="9"/>
  <c r="AD281" i="9"/>
  <c r="AD553" i="9"/>
  <c r="AD62" i="9"/>
  <c r="AD295" i="9"/>
  <c r="AD38" i="9"/>
  <c r="AD113" i="9"/>
  <c r="AD30" i="9"/>
  <c r="AD601" i="9"/>
  <c r="AD363" i="9"/>
  <c r="AD174" i="9"/>
  <c r="AD173" i="9"/>
  <c r="AD457" i="9"/>
  <c r="AD383" i="9"/>
  <c r="AD86" i="9"/>
  <c r="AD69" i="9"/>
  <c r="AD358" i="9"/>
  <c r="AD27" i="9"/>
  <c r="AD536" i="9"/>
  <c r="AD376" i="9"/>
  <c r="AD316" i="9"/>
  <c r="AD578" i="9"/>
  <c r="AD489" i="9"/>
  <c r="AD258" i="9"/>
  <c r="AD217" i="9"/>
  <c r="AD468" i="9"/>
  <c r="AD229" i="9"/>
  <c r="AD496" i="9"/>
  <c r="AD518" i="9"/>
  <c r="AD116" i="9"/>
  <c r="AD549" i="9"/>
  <c r="AD454" i="9"/>
  <c r="AD476" i="9"/>
  <c r="AD386" i="9"/>
  <c r="AD234" i="9"/>
  <c r="AD452" i="9"/>
  <c r="AD238" i="9"/>
  <c r="AD22" i="9"/>
  <c r="AD441" i="9"/>
  <c r="AD226" i="9"/>
  <c r="AD261" i="9"/>
  <c r="AD461" i="9"/>
  <c r="AD162" i="9"/>
  <c r="AD554" i="9"/>
  <c r="AD276" i="9"/>
  <c r="AD28" i="9"/>
  <c r="AD613" i="9"/>
  <c r="AD615" i="9"/>
  <c r="AD484" i="9"/>
  <c r="AD54" i="9"/>
  <c r="AD199" i="9"/>
  <c r="AD264" i="9"/>
  <c r="AD237" i="9"/>
  <c r="AD204" i="9"/>
  <c r="AD335" i="9"/>
  <c r="AD591" i="9"/>
  <c r="AD595" i="9"/>
  <c r="AD588" i="9"/>
  <c r="AD333" i="9"/>
  <c r="AD525" i="9"/>
  <c r="AD184" i="9"/>
  <c r="AD475" i="9"/>
  <c r="AD471" i="9"/>
  <c r="AD284" i="9"/>
  <c r="AD67" i="9"/>
  <c r="AD616" i="9"/>
  <c r="AE615" i="9" s="1"/>
  <c r="AD370" i="9"/>
  <c r="AD250" i="9"/>
  <c r="AD577" i="9"/>
  <c r="AD479" i="9"/>
  <c r="AD165" i="9"/>
  <c r="AD380" i="9"/>
  <c r="AD342" i="9"/>
  <c r="AD171" i="9"/>
  <c r="AD429" i="9"/>
  <c r="AD473" i="9"/>
  <c r="AD150" i="9"/>
  <c r="AD172" i="9"/>
  <c r="AD455" i="9"/>
  <c r="AD294" i="9"/>
  <c r="AD168" i="9"/>
  <c r="AD368" i="9"/>
  <c r="AD403" i="9"/>
  <c r="AD103" i="9"/>
  <c r="AD158" i="9"/>
  <c r="AD408" i="9"/>
  <c r="AD119" i="9"/>
  <c r="AD460" i="9"/>
  <c r="AD278" i="9"/>
  <c r="AD127" i="9"/>
  <c r="AD164" i="9"/>
  <c r="AD137" i="9"/>
  <c r="AD378" i="9"/>
  <c r="AD482" i="9"/>
  <c r="AD220" i="9"/>
  <c r="AD147" i="9"/>
  <c r="AD469" i="9"/>
  <c r="AD186" i="9"/>
  <c r="AD552" i="9"/>
  <c r="AD419" i="9"/>
  <c r="AD121" i="9"/>
  <c r="AD93" i="9"/>
  <c r="AD374" i="9"/>
  <c r="AD282" i="9"/>
  <c r="AD20" i="9"/>
  <c r="AD348" i="9"/>
  <c r="AD291" i="9"/>
  <c r="AD573" i="9"/>
  <c r="AD569" i="9"/>
  <c r="AD344" i="9"/>
  <c r="AD16" i="9"/>
  <c r="AD583" i="9"/>
  <c r="AD260" i="9"/>
  <c r="AD353" i="9"/>
  <c r="AD567" i="9"/>
  <c r="AD82" i="9"/>
  <c r="AD515" i="9"/>
  <c r="AD606" i="9"/>
  <c r="AD508" i="9"/>
  <c r="AD266" i="9"/>
  <c r="AD500" i="9"/>
  <c r="AD556" i="9"/>
  <c r="AD331" i="9"/>
  <c r="AD486" i="9"/>
  <c r="AD564" i="9"/>
  <c r="AD334" i="9"/>
  <c r="AD197" i="9"/>
  <c r="AD433" i="9"/>
  <c r="AD420" i="9"/>
  <c r="AD181" i="9"/>
  <c r="AD426" i="9"/>
  <c r="AD43" i="9"/>
  <c r="AD373" i="9"/>
  <c r="AD140" i="9"/>
  <c r="AD51" i="9"/>
  <c r="AD143" i="9"/>
  <c r="AD80" i="9"/>
  <c r="AD297" i="9"/>
  <c r="AD563" i="9"/>
  <c r="AD209" i="9"/>
  <c r="AD221" i="9"/>
  <c r="AD589" i="9"/>
  <c r="AE588" i="9" s="1"/>
  <c r="AD341" i="9"/>
  <c r="AD212" i="9"/>
  <c r="AD399" i="9"/>
  <c r="AD413" i="9"/>
  <c r="AD608" i="9"/>
  <c r="AD185" i="9"/>
  <c r="AD40" i="9"/>
  <c r="AD236" i="9"/>
  <c r="AD58" i="9"/>
  <c r="AD404" i="9"/>
  <c r="AD263" i="9"/>
  <c r="AD203" i="9"/>
  <c r="AD541" i="9"/>
  <c r="AD253" i="9"/>
  <c r="AD603" i="9"/>
  <c r="AD483" i="9"/>
  <c r="AD245" i="9"/>
  <c r="AD586" i="9"/>
  <c r="AD29" i="9"/>
  <c r="AD458" i="9"/>
  <c r="AD157" i="9"/>
  <c r="AD485" i="9"/>
  <c r="AD453" i="9"/>
  <c r="AD255" i="9"/>
  <c r="AD123" i="9"/>
  <c r="AD450" i="9"/>
  <c r="AD114" i="9"/>
  <c r="AD148" i="9"/>
  <c r="AD598" i="9"/>
  <c r="AD379" i="9"/>
  <c r="AD68" i="9"/>
  <c r="AD286" i="9"/>
  <c r="AD562" i="9"/>
  <c r="AD555" i="9"/>
  <c r="AD223" i="9"/>
  <c r="AD384" i="9"/>
  <c r="AD510" i="9"/>
  <c r="AD105" i="9"/>
  <c r="AD492" i="9"/>
  <c r="AD422" i="9"/>
  <c r="AD219" i="9"/>
  <c r="AD582" i="9"/>
  <c r="AD526" i="9"/>
  <c r="AD299" i="9"/>
  <c r="AD10" i="9"/>
  <c r="AD612" i="9"/>
  <c r="AD349" i="9"/>
  <c r="AD97" i="9"/>
  <c r="AD196" i="9"/>
  <c r="AD339" i="9"/>
  <c r="AD41" i="9"/>
  <c r="AD593" i="9"/>
  <c r="AD487" i="9"/>
  <c r="AD163" i="9"/>
  <c r="AD63" i="9"/>
  <c r="AD560" i="9"/>
  <c r="AD329" i="9"/>
  <c r="AD26" i="9"/>
  <c r="AD570" i="9"/>
  <c r="AD400" i="9"/>
  <c r="AD32" i="9"/>
  <c r="AD605" i="9"/>
  <c r="AD318" i="9"/>
  <c r="AD611" i="9"/>
  <c r="AD596" i="9"/>
  <c r="AD269" i="9"/>
  <c r="AD246" i="9"/>
  <c r="AD545" i="9"/>
  <c r="AD364" i="9"/>
  <c r="AD537" i="9"/>
  <c r="AD99" i="9"/>
  <c r="AD352" i="9"/>
  <c r="AD326" i="9"/>
  <c r="AD102" i="9"/>
  <c r="AD130" i="9"/>
  <c r="AD502" i="9"/>
  <c r="AD249" i="9"/>
  <c r="AD94" i="9"/>
  <c r="AD495" i="9"/>
  <c r="AD233" i="9"/>
  <c r="AD36" i="9"/>
  <c r="AD604" i="9"/>
  <c r="AD311" i="9"/>
  <c r="AD126" i="9"/>
  <c r="AD614" i="9"/>
  <c r="AD414" i="9"/>
  <c r="AD216" i="9"/>
  <c r="AD145" i="9"/>
  <c r="AD465" i="9"/>
  <c r="AD135" i="9"/>
  <c r="AD528" i="9"/>
  <c r="AD527" i="9"/>
  <c r="AD280" i="9"/>
  <c r="AD513" i="9"/>
  <c r="AD509" i="9"/>
  <c r="AD343" i="9"/>
  <c r="AD95" i="9"/>
  <c r="AD620" i="9"/>
  <c r="AD362" i="9"/>
  <c r="AD55" i="9"/>
  <c r="AD546" i="9"/>
  <c r="AD141" i="9"/>
  <c r="AD227" i="9"/>
  <c r="AD494" i="9"/>
  <c r="AD501" i="9"/>
  <c r="AD207" i="9"/>
  <c r="AD388" i="9"/>
  <c r="AD517" i="9"/>
  <c r="AD300" i="9"/>
  <c r="AD446" i="9"/>
  <c r="AD481" i="9"/>
  <c r="AD241" i="9"/>
  <c r="AD558" i="9"/>
  <c r="AD57" i="9"/>
  <c r="AD445" i="9"/>
  <c r="AD507" i="9"/>
  <c r="AD382" i="9"/>
  <c r="AD39" i="9"/>
  <c r="AD579" i="9"/>
  <c r="AD317" i="9"/>
  <c r="AD17" i="9"/>
  <c r="AD535" i="9"/>
  <c r="AD239" i="9"/>
  <c r="AD287" i="9"/>
  <c r="AD464" i="9"/>
  <c r="AD576" i="9"/>
  <c r="AD257" i="9"/>
  <c r="AD153" i="9"/>
  <c r="AD416" i="9"/>
  <c r="AD161" i="9"/>
  <c r="AD366" i="9"/>
  <c r="AD405" i="9"/>
  <c r="AD205" i="9"/>
  <c r="AD581" i="9"/>
  <c r="AD361" i="9"/>
  <c r="AD109" i="9"/>
  <c r="AD19" i="9"/>
  <c r="AD599" i="9"/>
  <c r="AD617" i="9"/>
  <c r="AD49" i="9"/>
  <c r="AD98" i="9"/>
  <c r="AD401" i="9"/>
  <c r="AD70" i="9"/>
  <c r="AD144" i="9"/>
  <c r="AD449" i="9"/>
  <c r="AD101" i="9"/>
  <c r="AD215" i="9"/>
  <c r="AD389" i="9"/>
  <c r="AD206" i="9"/>
  <c r="AD355" i="9"/>
  <c r="AD431" i="9"/>
  <c r="AD132" i="9"/>
  <c r="AD283" i="9"/>
  <c r="AD443" i="9"/>
  <c r="AD367" i="9"/>
  <c r="AE366" i="9" s="1"/>
  <c r="AD248" i="9"/>
  <c r="AD37" i="9"/>
  <c r="AD491" i="9"/>
  <c r="AD571" i="9"/>
  <c r="AD439" i="9"/>
  <c r="AD120" i="9"/>
  <c r="AD533" i="9"/>
  <c r="AD78" i="9"/>
  <c r="AD442" i="9"/>
  <c r="AD104" i="9"/>
  <c r="AD268" i="9"/>
  <c r="AD327" i="9"/>
  <c r="AD187" i="9"/>
  <c r="AD375" i="9"/>
  <c r="AE374" i="9" s="1"/>
  <c r="AD474" i="9"/>
  <c r="AD290" i="9"/>
  <c r="AD551" i="9"/>
  <c r="AD548" i="9"/>
  <c r="AD574" i="9"/>
  <c r="AD267" i="9"/>
  <c r="AD142" i="9"/>
  <c r="AD436" i="9"/>
  <c r="AD64" i="9"/>
  <c r="AD565" i="9"/>
  <c r="AD356" i="9"/>
  <c r="AD182" i="9"/>
  <c r="AD381" i="9"/>
  <c r="AD412" i="9"/>
  <c r="AD74" i="9"/>
  <c r="AD293" i="9"/>
  <c r="AD18" i="9"/>
  <c r="AD275" i="9"/>
  <c r="AD81" i="9"/>
  <c r="AD607" i="9"/>
  <c r="AD296" i="9"/>
  <c r="AD35" i="9"/>
  <c r="AD521" i="9"/>
  <c r="AD428" i="9"/>
  <c r="AD14" i="9"/>
  <c r="AD529" i="9"/>
  <c r="AD314" i="9"/>
  <c r="AD88" i="9"/>
  <c r="AD480" i="9"/>
  <c r="AD592" i="9"/>
  <c r="AE591" i="9" s="1"/>
  <c r="AD423" i="9"/>
  <c r="AD437" i="9"/>
  <c r="AD60" i="9"/>
  <c r="AD254" i="9"/>
  <c r="AD328" i="9"/>
  <c r="AD87" i="9"/>
  <c r="AD189" i="9"/>
  <c r="AD308" i="9"/>
  <c r="AD56" i="9"/>
  <c r="AD516" i="9"/>
  <c r="AD83" i="9"/>
  <c r="AD106" i="9"/>
  <c r="AD561" i="9"/>
  <c r="AD531" i="9"/>
  <c r="AD198" i="9"/>
  <c r="AD424" i="9"/>
  <c r="AD538" i="9"/>
  <c r="AD259" i="9"/>
  <c r="AD170" i="9"/>
  <c r="AD407" i="9"/>
  <c r="AD177" i="9"/>
  <c r="AD505" i="9"/>
  <c r="AD377" i="9"/>
  <c r="AE376" i="9" s="1"/>
  <c r="AD345" i="9"/>
  <c r="AD169" i="9"/>
  <c r="AD550" i="9"/>
  <c r="AD467" i="9"/>
  <c r="AD159" i="9"/>
  <c r="AD456" i="9"/>
  <c r="AD557" i="9"/>
  <c r="AD175" i="9"/>
  <c r="AD523" i="9"/>
  <c r="AD488" i="9"/>
  <c r="AD448" i="9"/>
  <c r="AD66" i="9"/>
  <c r="AD192" i="9"/>
  <c r="AD511" i="9"/>
  <c r="AD272" i="9"/>
  <c r="AD110" i="9"/>
  <c r="AD315" i="9"/>
  <c r="AE314" i="9" s="1"/>
  <c r="AD84" i="9"/>
  <c r="AD194" i="9"/>
  <c r="AD24" i="9"/>
  <c r="AD417" i="9"/>
  <c r="AD256" i="9"/>
  <c r="AD214" i="9"/>
  <c r="AD594" i="9"/>
  <c r="AE593" i="9" s="1"/>
  <c r="AD347" i="9"/>
  <c r="AD108" i="9"/>
  <c r="AD622" i="9"/>
  <c r="AD52" i="9"/>
  <c r="AD387" i="9"/>
  <c r="AE386" i="9" s="1"/>
  <c r="AD478" i="9"/>
  <c r="AD372" i="9"/>
  <c r="AD73" i="9"/>
  <c r="AD42" i="9"/>
  <c r="AD410" i="9"/>
  <c r="AD149" i="9"/>
  <c r="AD59" i="9"/>
  <c r="AD498" i="9"/>
  <c r="AD131" i="9"/>
  <c r="AD470" i="9"/>
  <c r="AD371" i="9"/>
  <c r="AD305" i="9"/>
  <c r="AD146" i="9"/>
  <c r="AD394" i="9"/>
  <c r="AD395" i="9"/>
  <c r="AD21" i="9"/>
  <c r="AD618" i="9"/>
  <c r="AD459" i="9"/>
  <c r="AD44" i="9"/>
  <c r="AD65" i="9"/>
  <c r="AD391" i="9"/>
  <c r="AD440" i="9"/>
  <c r="AD493" i="9"/>
  <c r="AD472" i="9"/>
  <c r="AD122" i="9"/>
  <c r="AD490" i="9"/>
  <c r="AD125" i="9"/>
  <c r="AD572" i="9"/>
  <c r="AD418" i="9"/>
  <c r="AD190" i="9"/>
  <c r="AD497" i="9"/>
  <c r="AD369" i="9"/>
  <c r="AD134" i="9"/>
  <c r="AD626" i="9"/>
  <c r="AD539" i="9"/>
  <c r="AD421" i="9"/>
  <c r="AD31" i="9"/>
  <c r="AD568" i="9"/>
  <c r="AD252" i="9"/>
  <c r="AD85" i="9"/>
  <c r="AD575" i="9"/>
  <c r="AD321" i="9"/>
  <c r="AD530" i="9"/>
  <c r="AD463" i="9"/>
  <c r="AD240" i="9"/>
  <c r="AD152" i="9"/>
  <c r="AD48" i="9"/>
  <c r="AD602" i="9"/>
  <c r="AE601" i="9" s="1"/>
  <c r="AD202" i="9"/>
  <c r="AD242" i="9"/>
  <c r="AD584" i="9"/>
  <c r="AD208" i="9"/>
  <c r="AD23" i="9"/>
  <c r="AD600" i="9"/>
  <c r="AD235" i="9"/>
  <c r="AD435" i="9"/>
  <c r="AD540" i="9"/>
  <c r="AD274" i="9"/>
  <c r="AD396" i="9"/>
  <c r="AE395" i="9" s="1"/>
  <c r="AD222" i="9"/>
  <c r="AD247" i="9"/>
  <c r="AD154" i="9"/>
  <c r="AD462" i="9"/>
  <c r="AD542" i="9"/>
  <c r="AD243" i="9"/>
  <c r="AD447" i="9"/>
  <c r="AD503" i="9"/>
  <c r="AE502" i="9" s="1"/>
  <c r="AD273" i="9"/>
  <c r="AD360" i="9"/>
  <c r="AD385" i="9"/>
  <c r="AD304" i="9"/>
  <c r="AD430" i="9"/>
  <c r="AE344" i="9" l="1"/>
  <c r="AE423" i="9"/>
  <c r="AE380" i="9"/>
  <c r="AE494" i="9"/>
  <c r="AE348" i="9"/>
  <c r="AE326" i="9"/>
  <c r="AE613" i="9"/>
  <c r="AE388" i="9"/>
  <c r="AE399" i="9"/>
  <c r="AE500" i="9"/>
  <c r="AE595" i="9"/>
  <c r="AE342" i="9"/>
  <c r="AE599" i="9"/>
  <c r="AE413" i="9"/>
  <c r="AE368" i="9"/>
  <c r="AE384" i="9"/>
  <c r="AE428" i="9"/>
  <c r="AE419" i="9"/>
  <c r="AE496" i="9"/>
  <c r="AE492" i="9"/>
  <c r="AE316" i="9"/>
  <c r="AE458" i="9"/>
  <c r="AE103" i="9"/>
  <c r="AE299" i="9"/>
  <c r="AE486" i="9"/>
  <c r="AE540" i="9"/>
  <c r="AE198" i="9"/>
  <c r="AE127" i="9"/>
  <c r="AE574" i="9"/>
  <c r="AE121" i="9"/>
  <c r="AE617" i="9"/>
  <c r="AE255" i="9"/>
  <c r="AE510" i="9"/>
  <c r="AE560" i="9"/>
  <c r="AE550" i="9"/>
  <c r="AE247" i="9"/>
  <c r="AE286" i="9"/>
  <c r="AE516" i="9"/>
  <c r="AE526" i="9"/>
  <c r="AE125" i="9"/>
  <c r="AE202" i="9"/>
  <c r="AE296" i="9"/>
  <c r="AE352" i="9"/>
  <c r="AE170" i="9"/>
  <c r="AE460" i="9"/>
  <c r="AE362" i="9"/>
  <c r="AD559" i="9"/>
  <c r="AD195" i="9"/>
  <c r="AD310" i="9"/>
  <c r="AE310" i="9" s="1"/>
  <c r="AD79" i="9"/>
  <c r="AE79" i="9" s="1"/>
  <c r="AD320" i="9"/>
  <c r="AE320" i="9" s="1"/>
  <c r="AD444" i="9"/>
  <c r="AE444" i="9" s="1"/>
  <c r="AD167" i="9"/>
  <c r="AD406" i="9"/>
  <c r="AD155" i="9"/>
  <c r="AD610" i="9"/>
  <c r="AD522" i="9"/>
  <c r="AE522" i="9" s="1"/>
  <c r="AD438" i="9"/>
  <c r="AE438" i="9" s="1"/>
  <c r="AD566" i="9"/>
  <c r="AE566" i="9" s="1"/>
  <c r="AD191" i="9"/>
  <c r="AE530" i="9"/>
  <c r="AE290" i="9"/>
  <c r="AE233" i="9"/>
  <c r="AE284" i="9"/>
  <c r="AE158" i="9"/>
  <c r="AE105" i="9"/>
  <c r="AE253" i="9"/>
  <c r="AE528" i="9"/>
  <c r="AE564" i="9"/>
  <c r="AE214" i="9"/>
  <c r="AE245" i="9"/>
  <c r="AE222" i="9"/>
  <c r="AE113" i="9"/>
  <c r="AE259" i="9"/>
  <c r="AE19" i="9"/>
  <c r="AE468" i="9"/>
  <c r="AE216" i="9"/>
  <c r="AD289" i="9"/>
  <c r="AD415" i="9"/>
  <c r="AE415" i="9" s="1"/>
  <c r="AD519" i="9"/>
  <c r="AD124" i="9"/>
  <c r="AD340" i="9"/>
  <c r="AE340" i="9" s="1"/>
  <c r="AD597" i="9"/>
  <c r="AE597" i="9" s="1"/>
  <c r="AD180" i="9"/>
  <c r="AE180" i="9" s="1"/>
  <c r="AD129" i="9"/>
  <c r="AE129" i="9" s="1"/>
  <c r="AD337" i="9"/>
  <c r="AD230" i="9"/>
  <c r="AD434" i="9"/>
  <c r="AE434" i="9" s="1"/>
  <c r="AD330" i="9"/>
  <c r="AE330" i="9" s="1"/>
  <c r="AE332" i="9"/>
  <c r="AE51" i="9"/>
  <c r="AE23" i="9"/>
  <c r="AE65" i="9"/>
  <c r="AE59" i="9"/>
  <c r="AE17" i="9"/>
  <c r="AE63" i="9"/>
  <c r="AE442" i="9"/>
  <c r="AE160" i="9"/>
  <c r="AE534" i="9"/>
  <c r="AE206" i="9"/>
  <c r="AE134" i="9"/>
  <c r="AE603" i="9"/>
  <c r="AE101" i="9"/>
  <c r="AE554" i="9"/>
  <c r="AE403" i="9"/>
  <c r="AE142" i="9"/>
  <c r="AE265" i="9"/>
  <c r="AE582" i="9"/>
  <c r="AE146" i="9"/>
  <c r="AE257" i="9"/>
  <c r="AD543" i="9"/>
  <c r="AD354" i="9"/>
  <c r="AE354" i="9" s="1"/>
  <c r="AD609" i="9"/>
  <c r="AD270" i="9"/>
  <c r="AD338" i="9"/>
  <c r="AE338" i="9" s="1"/>
  <c r="AD25" i="9"/>
  <c r="AE25" i="9" s="1"/>
  <c r="AD90" i="9"/>
  <c r="AD547" i="9"/>
  <c r="AD188" i="9"/>
  <c r="AE188" i="9" s="1"/>
  <c r="AD514" i="9"/>
  <c r="AE514" i="9" s="1"/>
  <c r="AD625" i="9"/>
  <c r="AE625" i="9" s="1"/>
  <c r="AD244" i="9"/>
  <c r="AD621" i="9"/>
  <c r="AE621" i="9" s="1"/>
  <c r="AD402" i="9"/>
  <c r="AE401" i="9" s="1"/>
  <c r="AD580" i="9"/>
  <c r="AE580" i="9" s="1"/>
  <c r="AE273" i="9"/>
  <c r="AE87" i="9"/>
  <c r="AE97" i="9"/>
  <c r="AE562" i="9"/>
  <c r="AE393" i="9"/>
  <c r="AE148" i="9"/>
  <c r="AE436" i="9"/>
  <c r="AE292" i="9"/>
  <c r="AE119" i="9"/>
  <c r="AE282" i="9"/>
  <c r="AE448" i="9"/>
  <c r="AE464" i="9"/>
  <c r="AE35" i="9"/>
  <c r="AE328" i="9"/>
  <c r="AE57" i="9"/>
  <c r="AE196" i="9"/>
  <c r="AE454" i="9"/>
  <c r="AE164" i="9"/>
  <c r="AE470" i="9"/>
  <c r="AE334" i="9"/>
  <c r="AE440" i="9"/>
  <c r="AE548" i="9"/>
  <c r="AE488" i="9"/>
  <c r="AE85" i="9"/>
  <c r="AE29" i="9"/>
  <c r="AD619" i="9"/>
  <c r="AE619" i="9" s="1"/>
  <c r="AD89" i="9"/>
  <c r="AD477" i="9"/>
  <c r="AD100" i="9"/>
  <c r="AD271" i="9"/>
  <c r="AE271" i="9" s="1"/>
  <c r="AD324" i="9"/>
  <c r="AD251" i="9"/>
  <c r="AE251" i="9" s="1"/>
  <c r="AD432" i="9"/>
  <c r="AE432" i="9" s="1"/>
  <c r="AD506" i="9"/>
  <c r="AE506" i="9" s="1"/>
  <c r="AD623" i="9"/>
  <c r="AE623" i="9" s="1"/>
  <c r="AD532" i="9"/>
  <c r="AE532" i="9" s="1"/>
  <c r="AD107" i="9"/>
  <c r="AE107" i="9" s="1"/>
  <c r="AD176" i="9"/>
  <c r="AE176" i="9" s="1"/>
  <c r="AD9" i="9"/>
  <c r="AE9" i="9" s="1"/>
  <c r="AE556" i="9"/>
  <c r="AE31" i="9"/>
  <c r="AE450" i="9"/>
  <c r="AE239" i="9"/>
  <c r="AE417" i="9"/>
  <c r="AE83" i="9"/>
  <c r="AE168" i="9"/>
  <c r="AE55" i="9"/>
  <c r="AE520" i="9"/>
  <c r="AE73" i="9"/>
  <c r="AE186" i="9"/>
  <c r="AE131" i="9"/>
  <c r="AE152" i="9"/>
  <c r="AE144" i="9"/>
  <c r="AE421" i="9"/>
  <c r="AE482" i="9"/>
  <c r="AE235" i="9"/>
  <c r="AE605" i="9"/>
  <c r="AE407" i="9"/>
  <c r="AE478" i="9"/>
  <c r="AE474" i="9"/>
  <c r="AE27" i="9"/>
  <c r="AE21" i="9"/>
  <c r="AE115" i="9"/>
  <c r="AE382" i="9"/>
  <c r="AD365" i="9"/>
  <c r="AE364" i="9" s="1"/>
  <c r="AD319" i="9"/>
  <c r="AE318" i="9" s="1"/>
  <c r="AD325" i="9"/>
  <c r="AD323" i="9"/>
  <c r="AE322" i="9" s="1"/>
  <c r="AD151" i="9"/>
  <c r="AD390" i="9"/>
  <c r="AE390" i="9" s="1"/>
  <c r="AD544" i="9"/>
  <c r="AE544" i="9" s="1"/>
  <c r="AD61" i="9"/>
  <c r="AE61" i="9" s="1"/>
  <c r="AD466" i="9"/>
  <c r="AE466" i="9" s="1"/>
  <c r="AD307" i="9"/>
  <c r="AE307" i="9" s="1"/>
  <c r="AD288" i="9"/>
  <c r="AD504" i="9"/>
  <c r="AE504" i="9" s="1"/>
  <c r="AD357" i="9"/>
  <c r="AE356" i="9" s="1"/>
  <c r="AD425" i="9"/>
  <c r="AE425" i="9" s="1"/>
  <c r="AE446" i="9"/>
  <c r="AE204" i="9"/>
  <c r="AE156" i="9"/>
  <c r="AE49" i="9"/>
  <c r="AE462" i="9"/>
  <c r="AE304" i="9"/>
  <c r="AE41" i="9"/>
  <c r="AE411" i="9"/>
  <c r="AE570" i="9"/>
  <c r="AE430" i="9"/>
  <c r="AE69" i="9"/>
  <c r="AE360" i="9"/>
  <c r="AE578" i="9"/>
  <c r="AE480" i="9"/>
  <c r="AE226" i="9"/>
  <c r="AE508" i="9"/>
  <c r="AE67" i="9"/>
  <c r="AE452" i="9"/>
  <c r="AE39" i="9"/>
  <c r="AE220" i="9"/>
  <c r="AE372" i="9"/>
  <c r="AE568" i="9"/>
  <c r="AE576" i="9"/>
  <c r="AE275" i="9"/>
  <c r="AE237" i="9"/>
  <c r="AE456" i="9"/>
  <c r="AE552" i="9"/>
  <c r="AE586" i="9"/>
  <c r="AE212" i="9"/>
  <c r="AE95" i="9"/>
  <c r="AE584" i="9"/>
  <c r="AE182" i="9"/>
  <c r="AB6" i="9"/>
  <c r="AG7" i="9"/>
  <c r="AD211" i="9"/>
  <c r="AD193" i="9"/>
  <c r="AD359" i="9"/>
  <c r="AE358" i="9" s="1"/>
  <c r="AD351" i="9"/>
  <c r="AE350" i="9" s="1"/>
  <c r="AD15" i="9"/>
  <c r="AE15" i="9" s="1"/>
  <c r="AD77" i="9"/>
  <c r="AE77" i="9" s="1"/>
  <c r="AD53" i="9"/>
  <c r="AE53" i="9" s="1"/>
  <c r="AE241" i="9"/>
  <c r="AE607" i="9"/>
  <c r="AE294" i="9"/>
  <c r="AE538" i="9"/>
  <c r="AE43" i="9"/>
  <c r="AE370" i="9"/>
  <c r="AE109" i="9"/>
  <c r="AE174" i="9"/>
  <c r="AE267" i="9"/>
  <c r="AE490" i="9"/>
  <c r="AE140" i="9"/>
  <c r="AE512" i="9"/>
  <c r="AE93" i="9"/>
  <c r="AE536" i="9"/>
  <c r="AE162" i="9"/>
  <c r="AE611" i="9"/>
  <c r="AE378" i="9"/>
  <c r="AE484" i="9"/>
  <c r="AE184" i="9"/>
  <c r="AE208" i="9"/>
  <c r="AE81" i="9"/>
  <c r="AE572" i="9"/>
  <c r="AE472" i="9"/>
  <c r="AE249" i="9"/>
  <c r="AE524" i="9"/>
  <c r="AE263" i="9"/>
  <c r="AE172" i="9"/>
  <c r="AE37" i="9"/>
  <c r="AE280" i="9"/>
  <c r="AD47" i="9"/>
  <c r="AE47" i="9" s="1"/>
  <c r="AD409" i="9"/>
  <c r="AE409" i="9" s="1"/>
  <c r="AD166" i="9"/>
  <c r="AD336" i="9"/>
  <c r="AD397" i="9"/>
  <c r="AE397" i="9" s="1"/>
  <c r="AD138" i="9"/>
  <c r="AD346" i="9"/>
  <c r="AE346" i="9" s="1"/>
  <c r="AD13" i="9"/>
  <c r="AE13" i="9" s="1"/>
  <c r="AD262" i="9"/>
  <c r="AD218" i="9"/>
  <c r="AE218" i="9" s="1"/>
  <c r="AD279" i="9"/>
  <c r="AD499" i="9"/>
  <c r="AE498" i="9" s="1"/>
  <c r="AE324" i="9" l="1"/>
  <c r="AE150" i="9"/>
  <c r="AE243" i="9"/>
  <c r="AE269" i="9"/>
  <c r="AE518" i="9"/>
  <c r="AE609" i="9"/>
  <c r="AE194" i="9"/>
  <c r="AE192" i="9"/>
  <c r="AE229" i="9"/>
  <c r="AE154" i="9"/>
  <c r="AE558" i="9"/>
  <c r="AE123" i="9"/>
  <c r="AE137" i="9"/>
  <c r="AE336" i="9"/>
  <c r="AE288" i="9"/>
  <c r="AE405" i="9"/>
  <c r="AE210" i="9"/>
  <c r="AE99" i="9"/>
  <c r="AE542" i="9"/>
  <c r="AE166" i="9"/>
  <c r="AE261" i="9"/>
  <c r="I4" i="9"/>
  <c r="AH7" i="9"/>
  <c r="AG4" i="9"/>
  <c r="AG6" i="9"/>
  <c r="AE476" i="9"/>
  <c r="AE546" i="9"/>
  <c r="AE190" i="9"/>
  <c r="AE278" i="9"/>
  <c r="AE89" i="9"/>
  <c r="AH6" i="9" l="1"/>
  <c r="AI7" i="9"/>
  <c r="AI6" i="9" l="1"/>
  <c r="AJ7" i="9"/>
  <c r="AK7" i="9" l="1"/>
  <c r="AJ6" i="9"/>
  <c r="AL7" i="9" l="1"/>
  <c r="AK6" i="9"/>
  <c r="AL6" i="9" l="1"/>
  <c r="AM7" i="9"/>
  <c r="AO617" i="9"/>
  <c r="AO454" i="9"/>
  <c r="AO500" i="9"/>
  <c r="AO539" i="9"/>
  <c r="AO493" i="9"/>
  <c r="AO496" i="9"/>
  <c r="AO477" i="9"/>
  <c r="AO481" i="9"/>
  <c r="AO488" i="9"/>
  <c r="AO559" i="9"/>
  <c r="AO419" i="9"/>
  <c r="AO404" i="9"/>
  <c r="AO399" i="9"/>
  <c r="AO483" i="9"/>
  <c r="AO465" i="9"/>
  <c r="AO322" i="9"/>
  <c r="AO274" i="9"/>
  <c r="AO291" i="9"/>
  <c r="AO357" i="9"/>
  <c r="AO350" i="9"/>
  <c r="AO494" i="9"/>
  <c r="AO237" i="9"/>
  <c r="AO191" i="9"/>
  <c r="AO292" i="9"/>
  <c r="AO296" i="9"/>
  <c r="AO505" i="9"/>
  <c r="AO621" i="9"/>
  <c r="AO568" i="9"/>
  <c r="AO545" i="9"/>
  <c r="AO57" i="9"/>
  <c r="AO623" i="9"/>
  <c r="AO464" i="9"/>
  <c r="AO447" i="9"/>
  <c r="AO449" i="9"/>
  <c r="AO558" i="9"/>
  <c r="AO525" i="9"/>
  <c r="AO499" i="9"/>
  <c r="AO318" i="9"/>
  <c r="AO335" i="9"/>
  <c r="AO342" i="9"/>
  <c r="AO310" i="9"/>
  <c r="AO459" i="9"/>
  <c r="AO192" i="9"/>
  <c r="AO486" i="9"/>
  <c r="AO229" i="9"/>
  <c r="AO373" i="9"/>
  <c r="AO355" i="9"/>
  <c r="AO293" i="9"/>
  <c r="AO519" i="9"/>
  <c r="AO390" i="9"/>
  <c r="AO251" i="9"/>
  <c r="AO596" i="9"/>
  <c r="AO484" i="9"/>
  <c r="AO579" i="9"/>
  <c r="AO593" i="9"/>
  <c r="AO531" i="9"/>
  <c r="AO476" i="9"/>
  <c r="AO540" i="9"/>
  <c r="AO602" i="9"/>
  <c r="AO591" i="9"/>
  <c r="AO537" i="9"/>
  <c r="AO510" i="9"/>
  <c r="AO512" i="9"/>
  <c r="AO550" i="9"/>
  <c r="AO555" i="9"/>
  <c r="AO440" i="9"/>
  <c r="AO353" i="9"/>
  <c r="AO330" i="9"/>
  <c r="AO408" i="9"/>
  <c r="AO415" i="9"/>
  <c r="AO614" i="9"/>
  <c r="AO288" i="9"/>
  <c r="AO372" i="9"/>
  <c r="AO340" i="9"/>
  <c r="AO401" i="9"/>
  <c r="AO560" i="9"/>
  <c r="AO88" i="9"/>
  <c r="AO64" i="9"/>
  <c r="AO153" i="9"/>
  <c r="AO168" i="9"/>
  <c r="AO304" i="9"/>
  <c r="AO576" i="9"/>
  <c r="AO508" i="9"/>
  <c r="AO592" i="9"/>
  <c r="AP591" i="9" s="1"/>
  <c r="AO546" i="9"/>
  <c r="AO533" i="9"/>
  <c r="AO366" i="9"/>
  <c r="AO378" i="9"/>
  <c r="AO337" i="9"/>
  <c r="AO395" i="9"/>
  <c r="AO348" i="9"/>
  <c r="AO522" i="9"/>
  <c r="AO200" i="9"/>
  <c r="AO452" i="9"/>
  <c r="AO376" i="9"/>
  <c r="AO423" i="9"/>
  <c r="AO152" i="9"/>
  <c r="AO585" i="9"/>
  <c r="AO141" i="9"/>
  <c r="AO161" i="9"/>
  <c r="AO615" i="9"/>
  <c r="AO599" i="9"/>
  <c r="AO89" i="9"/>
  <c r="AO258" i="9"/>
  <c r="AO65" i="9"/>
  <c r="AO597" i="9"/>
  <c r="AO604" i="9"/>
  <c r="AO94" i="9"/>
  <c r="AO333" i="9"/>
  <c r="AO613" i="9"/>
  <c r="AO532" i="9"/>
  <c r="AO520" i="9"/>
  <c r="AO618" i="9"/>
  <c r="AP617" i="9" s="1"/>
  <c r="AO565" i="9"/>
  <c r="AO446" i="9"/>
  <c r="AO398" i="9"/>
  <c r="AO458" i="9"/>
  <c r="AO524" i="9"/>
  <c r="AO469" i="9"/>
  <c r="AO369" i="9"/>
  <c r="AO327" i="9"/>
  <c r="AO382" i="9"/>
  <c r="AO478" i="9"/>
  <c r="AO416" i="9"/>
  <c r="AO598" i="9"/>
  <c r="AO127" i="9"/>
  <c r="AO155" i="9"/>
  <c r="AO197" i="9"/>
  <c r="AO207" i="9"/>
  <c r="AO430" i="9"/>
  <c r="AO567" i="9"/>
  <c r="AO543" i="9"/>
  <c r="AO549" i="9"/>
  <c r="AO116" i="9"/>
  <c r="AO619" i="9"/>
  <c r="AO379" i="9"/>
  <c r="AO384" i="9"/>
  <c r="AO410" i="9"/>
  <c r="AO249" i="9"/>
  <c r="AO467" i="9"/>
  <c r="AO516" i="9"/>
  <c r="AO220" i="9"/>
  <c r="AO241" i="9"/>
  <c r="AO551" i="9"/>
  <c r="AO601" i="9"/>
  <c r="AO233" i="9"/>
  <c r="AO217" i="9"/>
  <c r="AO70" i="9"/>
  <c r="AO198" i="9"/>
  <c r="AO234" i="9"/>
  <c r="AO170" i="9"/>
  <c r="AO321" i="9"/>
  <c r="AO196" i="9"/>
  <c r="AO164" i="9"/>
  <c r="AO206" i="9"/>
  <c r="AO186" i="9"/>
  <c r="AO370" i="9"/>
  <c r="AO37" i="9"/>
  <c r="AO603" i="9"/>
  <c r="AO605" i="9"/>
  <c r="AO84" i="9"/>
  <c r="AO377" i="9"/>
  <c r="AO574" i="9"/>
  <c r="AO492" i="9"/>
  <c r="AO544" i="9"/>
  <c r="AO528" i="9"/>
  <c r="AO553" i="9"/>
  <c r="AO504" i="9"/>
  <c r="AO428" i="9"/>
  <c r="AO411" i="9"/>
  <c r="AO523" i="9"/>
  <c r="AO518" i="9"/>
  <c r="AO386" i="9"/>
  <c r="AO187" i="9"/>
  <c r="AO255" i="9"/>
  <c r="AO236" i="9"/>
  <c r="AO254" i="9"/>
  <c r="AO479" i="9"/>
  <c r="AO56" i="9"/>
  <c r="AO77" i="9"/>
  <c r="AO156" i="9"/>
  <c r="AO195" i="9"/>
  <c r="AO421" i="9"/>
  <c r="AO441" i="9"/>
  <c r="AO472" i="9"/>
  <c r="AO456" i="9"/>
  <c r="AO538" i="9"/>
  <c r="AO497" i="9"/>
  <c r="AO132" i="9"/>
  <c r="AO144" i="9"/>
  <c r="AO137" i="9"/>
  <c r="AO414" i="9"/>
  <c r="AO422" i="9"/>
  <c r="AO429" i="9"/>
  <c r="AO471" i="9"/>
  <c r="AO432" i="9"/>
  <c r="AO266" i="9"/>
  <c r="AO212" i="9"/>
  <c r="AO205" i="9"/>
  <c r="AO278" i="9"/>
  <c r="AO211" i="9"/>
  <c r="AO426" i="9"/>
  <c r="AO199" i="9"/>
  <c r="AO180" i="9"/>
  <c r="AO295" i="9"/>
  <c r="AO282" i="9"/>
  <c r="AO436" i="9"/>
  <c r="AO163" i="9"/>
  <c r="AO174" i="9"/>
  <c r="AO183" i="9"/>
  <c r="AO157" i="9"/>
  <c r="AO352" i="9"/>
  <c r="AO582" i="9"/>
  <c r="AO586" i="9"/>
  <c r="AO529" i="9"/>
  <c r="AO606" i="9"/>
  <c r="AP605" i="9" s="1"/>
  <c r="AO580" i="9"/>
  <c r="AO569" i="9"/>
  <c r="AO503" i="9"/>
  <c r="AO473" i="9"/>
  <c r="AO534" i="9"/>
  <c r="AO498" i="9"/>
  <c r="AO283" i="9"/>
  <c r="AO324" i="9"/>
  <c r="AO264" i="9"/>
  <c r="AO391" i="9"/>
  <c r="AP390" i="9" s="1"/>
  <c r="AO320" i="9"/>
  <c r="AO556" i="9"/>
  <c r="AO151" i="9"/>
  <c r="AO143" i="9"/>
  <c r="AO265" i="9"/>
  <c r="AO222" i="9"/>
  <c r="AO433" i="9"/>
  <c r="AO487" i="9"/>
  <c r="AO577" i="9"/>
  <c r="AO526" i="9"/>
  <c r="AO557" i="9"/>
  <c r="AO542" i="9"/>
  <c r="AO126" i="9"/>
  <c r="AO403" i="9"/>
  <c r="AO307" i="9"/>
  <c r="AO297" i="9"/>
  <c r="AO400" i="9"/>
  <c r="AO361" i="9"/>
  <c r="AO226" i="9"/>
  <c r="AO334" i="9"/>
  <c r="AO290" i="9"/>
  <c r="AO275" i="9"/>
  <c r="AO344" i="9"/>
  <c r="AO240" i="9"/>
  <c r="AO485" i="9"/>
  <c r="AO300" i="9"/>
  <c r="AO246" i="9"/>
  <c r="AO385" i="9"/>
  <c r="AP384" i="9" s="1"/>
  <c r="AO272" i="9"/>
  <c r="AO515" i="9"/>
  <c r="AO247" i="9"/>
  <c r="AO257" i="9"/>
  <c r="AO250" i="9"/>
  <c r="AO276" i="9"/>
  <c r="AO445" i="9"/>
  <c r="AO82" i="9"/>
  <c r="AO583" i="9"/>
  <c r="AO182" i="9"/>
  <c r="AO160" i="9"/>
  <c r="AO244" i="9"/>
  <c r="AO588" i="9"/>
  <c r="AO521" i="9"/>
  <c r="AO578" i="9"/>
  <c r="AO61" i="9"/>
  <c r="AO611" i="9"/>
  <c r="AO439" i="9"/>
  <c r="AO362" i="9"/>
  <c r="AO374" i="9"/>
  <c r="AO413" i="9"/>
  <c r="AO424" i="9"/>
  <c r="AO566" i="9"/>
  <c r="AO230" i="9"/>
  <c r="AO259" i="9"/>
  <c r="AO268" i="9"/>
  <c r="AO319" i="9"/>
  <c r="AO475" i="9"/>
  <c r="AO587" i="9"/>
  <c r="AO610" i="9"/>
  <c r="AO625" i="9"/>
  <c r="AO58" i="9"/>
  <c r="AO326" i="9"/>
  <c r="AO49" i="9"/>
  <c r="AO581" i="9"/>
  <c r="AO624" i="9"/>
  <c r="AO607" i="9"/>
  <c r="AO239" i="9"/>
  <c r="AO213" i="9"/>
  <c r="AO444" i="9"/>
  <c r="AO269" i="9"/>
  <c r="AO455" i="9"/>
  <c r="AO332" i="9"/>
  <c r="AO365" i="9"/>
  <c r="AO412" i="9"/>
  <c r="AO425" i="9"/>
  <c r="AO552" i="9"/>
  <c r="AO363" i="9"/>
  <c r="AO311" i="9"/>
  <c r="AO387" i="9"/>
  <c r="AO397" i="9"/>
  <c r="AO541" i="9"/>
  <c r="AO242" i="9"/>
  <c r="AO284" i="9"/>
  <c r="AO315" i="9"/>
  <c r="AO388" i="9"/>
  <c r="AO502" i="9"/>
  <c r="AO167" i="9"/>
  <c r="AO158" i="9"/>
  <c r="AO221" i="9"/>
  <c r="AO253" i="9"/>
  <c r="AO325" i="9"/>
  <c r="AO30" i="9"/>
  <c r="AO129" i="9"/>
  <c r="AO173" i="9"/>
  <c r="AO121" i="9"/>
  <c r="AO305" i="9"/>
  <c r="AP304" i="9" s="1"/>
  <c r="AO501" i="9"/>
  <c r="AO480" i="9"/>
  <c r="AO450" i="9"/>
  <c r="AO474" i="9"/>
  <c r="AO466" i="9"/>
  <c r="AO612" i="9"/>
  <c r="AP611" i="9" s="1"/>
  <c r="AO260" i="9"/>
  <c r="AO338" i="9"/>
  <c r="AO381" i="9"/>
  <c r="AO364" i="9"/>
  <c r="AO554" i="9"/>
  <c r="AO62" i="9"/>
  <c r="AO85" i="9"/>
  <c r="AO147" i="9"/>
  <c r="AO204" i="9"/>
  <c r="AO407" i="9"/>
  <c r="AO271" i="9"/>
  <c r="AO616" i="9"/>
  <c r="AO134" i="9"/>
  <c r="AO406" i="9"/>
  <c r="AO482" i="9"/>
  <c r="AO547" i="9"/>
  <c r="AO130" i="9"/>
  <c r="AO536" i="9"/>
  <c r="AO457" i="9"/>
  <c r="AO418" i="9"/>
  <c r="AP500" i="9" l="1"/>
  <c r="AP597" i="9"/>
  <c r="AP372" i="9"/>
  <c r="AP411" i="9"/>
  <c r="AP623" i="9"/>
  <c r="AP362" i="9"/>
  <c r="AP310" i="9"/>
  <c r="AP324" i="9"/>
  <c r="AP423" i="9"/>
  <c r="AP378" i="9"/>
  <c r="AP332" i="9"/>
  <c r="AP407" i="9"/>
  <c r="AP492" i="9"/>
  <c r="AP428" i="9"/>
  <c r="AP57" i="9"/>
  <c r="AP556" i="9"/>
  <c r="AP265" i="9"/>
  <c r="AP520" i="9"/>
  <c r="AP275" i="9"/>
  <c r="AP472" i="9"/>
  <c r="AP496" i="9"/>
  <c r="AP466" i="9"/>
  <c r="AP542" i="9"/>
  <c r="AP415" i="9"/>
  <c r="AP397" i="9"/>
  <c r="AP160" i="9"/>
  <c r="AP524" i="9"/>
  <c r="AP403" i="9"/>
  <c r="AP538" i="9"/>
  <c r="AP482" i="9"/>
  <c r="AP615" i="9"/>
  <c r="AP241" i="9"/>
  <c r="AP586" i="9"/>
  <c r="AP249" i="9"/>
  <c r="AP484" i="9"/>
  <c r="AP399" i="9"/>
  <c r="AP576" i="9"/>
  <c r="AP502" i="9"/>
  <c r="AP156" i="9"/>
  <c r="AP198" i="9"/>
  <c r="AP522" i="9"/>
  <c r="AP566" i="9"/>
  <c r="AP603" i="9"/>
  <c r="AP352" i="9"/>
  <c r="AP601" i="9"/>
  <c r="AP61" i="9"/>
  <c r="AP212" i="9"/>
  <c r="AP498" i="9"/>
  <c r="AP456" i="9"/>
  <c r="AP220" i="9"/>
  <c r="AP540" i="9"/>
  <c r="AP364" i="9"/>
  <c r="AP474" i="9"/>
  <c r="AP239" i="9"/>
  <c r="AP296" i="9"/>
  <c r="AP486" i="9"/>
  <c r="AP568" i="9"/>
  <c r="AP182" i="9"/>
  <c r="AP425" i="9"/>
  <c r="AP478" i="9"/>
  <c r="AP376" i="9"/>
  <c r="AP458" i="9"/>
  <c r="AP504" i="9"/>
  <c r="AP290" i="9"/>
  <c r="AP558" i="9"/>
  <c r="AP186" i="9"/>
  <c r="AP532" i="9"/>
  <c r="AP578" i="9"/>
  <c r="AP536" i="9"/>
  <c r="AP580" i="9"/>
  <c r="AP318" i="9"/>
  <c r="AP432" i="9"/>
  <c r="AP421" i="9"/>
  <c r="AP253" i="9"/>
  <c r="AP206" i="9"/>
  <c r="AP326" i="9"/>
  <c r="AP554" i="9"/>
  <c r="AP518" i="9"/>
  <c r="AP446" i="9"/>
  <c r="AP229" i="9"/>
  <c r="AP233" i="9"/>
  <c r="AP444" i="9"/>
  <c r="AP544" i="9"/>
  <c r="AP129" i="9"/>
  <c r="AP259" i="9"/>
  <c r="AP386" i="9"/>
  <c r="AP454" i="9"/>
  <c r="AP413" i="9"/>
  <c r="AP440" i="9"/>
  <c r="AP320" i="9"/>
  <c r="AP550" i="9"/>
  <c r="AP196" i="9"/>
  <c r="AP257" i="9"/>
  <c r="AP292" i="9"/>
  <c r="AP480" i="9"/>
  <c r="AM6" i="9"/>
  <c r="AR7" i="9"/>
  <c r="AO394" i="9"/>
  <c r="AO351" i="9"/>
  <c r="AP350" i="9" s="1"/>
  <c r="AO393" i="9"/>
  <c r="AO626" i="9"/>
  <c r="AP625" i="9" s="1"/>
  <c r="AO548" i="9"/>
  <c r="AP548" i="9" s="1"/>
  <c r="AO13" i="9"/>
  <c r="AO87" i="9"/>
  <c r="AP87" i="9" s="1"/>
  <c r="AO317" i="9"/>
  <c r="AO208" i="9"/>
  <c r="AO79" i="9"/>
  <c r="AO461" i="9"/>
  <c r="AO256" i="9"/>
  <c r="AO83" i="9"/>
  <c r="AP83" i="9" s="1"/>
  <c r="AO218" i="9"/>
  <c r="AO171" i="9"/>
  <c r="AO530" i="9"/>
  <c r="AP530" i="9" s="1"/>
  <c r="AO73" i="9"/>
  <c r="AO140" i="9"/>
  <c r="AP140" i="9" s="1"/>
  <c r="AO210" i="9"/>
  <c r="AP210" i="9" s="1"/>
  <c r="AO285" i="9"/>
  <c r="AO150" i="9"/>
  <c r="AP150" i="9" s="1"/>
  <c r="AO10" i="9"/>
  <c r="AO620" i="9"/>
  <c r="AP619" i="9" s="1"/>
  <c r="AO289" i="9"/>
  <c r="AO63" i="9"/>
  <c r="AP63" i="9" s="1"/>
  <c r="AO51" i="9"/>
  <c r="AO462" i="9"/>
  <c r="AO124" i="9"/>
  <c r="AO491" i="9"/>
  <c r="AO245" i="9"/>
  <c r="AP245" i="9" s="1"/>
  <c r="AO193" i="9"/>
  <c r="AO281" i="9"/>
  <c r="AO286" i="9"/>
  <c r="AO360" i="9"/>
  <c r="AP360" i="9" s="1"/>
  <c r="AO354" i="9"/>
  <c r="AP354" i="9" s="1"/>
  <c r="AO54" i="9"/>
  <c r="AO69" i="9"/>
  <c r="AP69" i="9" s="1"/>
  <c r="AO280" i="9"/>
  <c r="AO514" i="9"/>
  <c r="AP514" i="9" s="1"/>
  <c r="AO185" i="9"/>
  <c r="AO589" i="9"/>
  <c r="AP588" i="9" s="1"/>
  <c r="AO331" i="9"/>
  <c r="AP330" i="9" s="1"/>
  <c r="AO343" i="9"/>
  <c r="AP342" i="9" s="1"/>
  <c r="AO294" i="9"/>
  <c r="AP294" i="9" s="1"/>
  <c r="AO15" i="9"/>
  <c r="AO68" i="9"/>
  <c r="AO308" i="9"/>
  <c r="AO243" i="9"/>
  <c r="AP243" i="9" s="1"/>
  <c r="AO52" i="9"/>
  <c r="AO608" i="9"/>
  <c r="AP607" i="9" s="1"/>
  <c r="AO175" i="9"/>
  <c r="AO44" i="9"/>
  <c r="AO435" i="9"/>
  <c r="AO48" i="9"/>
  <c r="AO188" i="9"/>
  <c r="AO67" i="9"/>
  <c r="AO431" i="9"/>
  <c r="AP430" i="9" s="1"/>
  <c r="AO66" i="9"/>
  <c r="AO81" i="9"/>
  <c r="AP81" i="9" s="1"/>
  <c r="AO115" i="9"/>
  <c r="AP115" i="9" s="1"/>
  <c r="AO18" i="9"/>
  <c r="AO9" i="9"/>
  <c r="AO16" i="9"/>
  <c r="AO120" i="9"/>
  <c r="AO463" i="9"/>
  <c r="AO235" i="9"/>
  <c r="AP235" i="9" s="1"/>
  <c r="AO299" i="9"/>
  <c r="AP299" i="9" s="1"/>
  <c r="AO21" i="9"/>
  <c r="AO396" i="9"/>
  <c r="AP395" i="9" s="1"/>
  <c r="AO216" i="9"/>
  <c r="AP216" i="9" s="1"/>
  <c r="AO214" i="9"/>
  <c r="AO39" i="9"/>
  <c r="AO434" i="9"/>
  <c r="AO119" i="9"/>
  <c r="AO154" i="9"/>
  <c r="AP154" i="9" s="1"/>
  <c r="AO90" i="9"/>
  <c r="AO437" i="9"/>
  <c r="AO131" i="9"/>
  <c r="AP131" i="9" s="1"/>
  <c r="AO93" i="9"/>
  <c r="AP93" i="9" s="1"/>
  <c r="AO572" i="9"/>
  <c r="AO262" i="9"/>
  <c r="AO509" i="9"/>
  <c r="AO138" i="9"/>
  <c r="AO570" i="9"/>
  <c r="AO263" i="9"/>
  <c r="AP263" i="9" s="1"/>
  <c r="AO209" i="9"/>
  <c r="AO358" i="9"/>
  <c r="AO27" i="9"/>
  <c r="AO564" i="9"/>
  <c r="AP564" i="9" s="1"/>
  <c r="AO25" i="9"/>
  <c r="AO453" i="9"/>
  <c r="AO448" i="9"/>
  <c r="AP448" i="9" s="1"/>
  <c r="AO14" i="9"/>
  <c r="AO252" i="9"/>
  <c r="AO17" i="9"/>
  <c r="AO261" i="9"/>
  <c r="AO41" i="9"/>
  <c r="AO176" i="9"/>
  <c r="AO562" i="9"/>
  <c r="AO146" i="9"/>
  <c r="AP146" i="9" s="1"/>
  <c r="AO36" i="9"/>
  <c r="AO125" i="9"/>
  <c r="AP125" i="9" s="1"/>
  <c r="AO535" i="9"/>
  <c r="AO314" i="9"/>
  <c r="AP314" i="9" s="1"/>
  <c r="AO31" i="9"/>
  <c r="AO162" i="9"/>
  <c r="AP162" i="9" s="1"/>
  <c r="AO584" i="9"/>
  <c r="AP584" i="9" s="1"/>
  <c r="AO405" i="9"/>
  <c r="AP405" i="9" s="1"/>
  <c r="AO38" i="9"/>
  <c r="AO20" i="9"/>
  <c r="AO323" i="9"/>
  <c r="AP322" i="9" s="1"/>
  <c r="AO122" i="9"/>
  <c r="AO375" i="9"/>
  <c r="AP374" i="9" s="1"/>
  <c r="AO40" i="9"/>
  <c r="AO287" i="9"/>
  <c r="AO128" i="9"/>
  <c r="AO55" i="9"/>
  <c r="AP55" i="9" s="1"/>
  <c r="AO145" i="9"/>
  <c r="AO527" i="9"/>
  <c r="AO417" i="9"/>
  <c r="AP417" i="9" s="1"/>
  <c r="AO35" i="9"/>
  <c r="AO59" i="9"/>
  <c r="AO74" i="9"/>
  <c r="AO409" i="9"/>
  <c r="AP409" i="9" s="1"/>
  <c r="AO507" i="9"/>
  <c r="AO203" i="9"/>
  <c r="AO389" i="9"/>
  <c r="AP388" i="9" s="1"/>
  <c r="AO29" i="9"/>
  <c r="AP29" i="9" s="1"/>
  <c r="AO495" i="9"/>
  <c r="AP494" i="9" s="1"/>
  <c r="AO113" i="9"/>
  <c r="AO279" i="9"/>
  <c r="AO575" i="9"/>
  <c r="AO367" i="9"/>
  <c r="AP366" i="9" s="1"/>
  <c r="AO26" i="9"/>
  <c r="AO383" i="9"/>
  <c r="AP382" i="9" s="1"/>
  <c r="AO177" i="9"/>
  <c r="AO561" i="9"/>
  <c r="AO53" i="9"/>
  <c r="AO347" i="9"/>
  <c r="AO201" i="9"/>
  <c r="AP200" i="9" s="1"/>
  <c r="AO219" i="9"/>
  <c r="AO460" i="9"/>
  <c r="AO32" i="9"/>
  <c r="AO511" i="9"/>
  <c r="AO189" i="9"/>
  <c r="AO442" i="9"/>
  <c r="AO22" i="9"/>
  <c r="AO563" i="9"/>
  <c r="AO356" i="9"/>
  <c r="AP356" i="9" s="1"/>
  <c r="AO148" i="9"/>
  <c r="AO346" i="9"/>
  <c r="AO248" i="9"/>
  <c r="AO142" i="9"/>
  <c r="AP142" i="9" s="1"/>
  <c r="AO345" i="9"/>
  <c r="AP344" i="9" s="1"/>
  <c r="AO47" i="9"/>
  <c r="AO149" i="9"/>
  <c r="AO184" i="9"/>
  <c r="AO19" i="9"/>
  <c r="AO470" i="9"/>
  <c r="AP470" i="9" s="1"/>
  <c r="AO438" i="9"/>
  <c r="AP438" i="9" s="1"/>
  <c r="AO402" i="9"/>
  <c r="AP401" i="9" s="1"/>
  <c r="AO42" i="9"/>
  <c r="AO506" i="9"/>
  <c r="AO43" i="9"/>
  <c r="AO490" i="9"/>
  <c r="AO194" i="9"/>
  <c r="AP194" i="9" s="1"/>
  <c r="AO571" i="9"/>
  <c r="AO169" i="9"/>
  <c r="AO451" i="9"/>
  <c r="AO80" i="9"/>
  <c r="AO573" i="9"/>
  <c r="AO336" i="9"/>
  <c r="AP336" i="9" s="1"/>
  <c r="AO123" i="9"/>
  <c r="AO609" i="9"/>
  <c r="AP609" i="9" s="1"/>
  <c r="AO489" i="9"/>
  <c r="AP488" i="9" s="1"/>
  <c r="AO273" i="9"/>
  <c r="AP273" i="9" s="1"/>
  <c r="AO135" i="9"/>
  <c r="AO513" i="9"/>
  <c r="AO443" i="9"/>
  <c r="AO223" i="9"/>
  <c r="AO380" i="9"/>
  <c r="AP380" i="9" s="1"/>
  <c r="AO60" i="9"/>
  <c r="AO114" i="9"/>
  <c r="AO339" i="9"/>
  <c r="AP338" i="9" s="1"/>
  <c r="AO270" i="9"/>
  <c r="AO594" i="9"/>
  <c r="AP593" i="9" s="1"/>
  <c r="AO159" i="9"/>
  <c r="AO328" i="9"/>
  <c r="AO86" i="9"/>
  <c r="AO238" i="9"/>
  <c r="AO341" i="9"/>
  <c r="AP340" i="9" s="1"/>
  <c r="AO28" i="9"/>
  <c r="AO50" i="9"/>
  <c r="AO227" i="9"/>
  <c r="AO267" i="9"/>
  <c r="AP267" i="9" s="1"/>
  <c r="AO181" i="9"/>
  <c r="AO622" i="9"/>
  <c r="AP621" i="9" s="1"/>
  <c r="AO517" i="9"/>
  <c r="AO78" i="9"/>
  <c r="AO165" i="9"/>
  <c r="AO595" i="9"/>
  <c r="AP595" i="9" s="1"/>
  <c r="AO468" i="9"/>
  <c r="AP468" i="9" s="1"/>
  <c r="AO600" i="9"/>
  <c r="AP599" i="9" s="1"/>
  <c r="AO166" i="9"/>
  <c r="AP166" i="9" s="1"/>
  <c r="AO371" i="9"/>
  <c r="AP370" i="9" s="1"/>
  <c r="AO329" i="9"/>
  <c r="AO368" i="9"/>
  <c r="AP368" i="9" s="1"/>
  <c r="AO202" i="9"/>
  <c r="AO359" i="9"/>
  <c r="AO316" i="9"/>
  <c r="AO215" i="9"/>
  <c r="AO23" i="9"/>
  <c r="AO24" i="9"/>
  <c r="AO172" i="9"/>
  <c r="AP172" i="9" s="1"/>
  <c r="AO420" i="9"/>
  <c r="AP419" i="9" s="1"/>
  <c r="AO349" i="9"/>
  <c r="AP348" i="9" s="1"/>
  <c r="AO190" i="9"/>
  <c r="AP190" i="9" s="1"/>
  <c r="AP546" i="9"/>
  <c r="AP582" i="9"/>
  <c r="AP271" i="9"/>
  <c r="AP282" i="9"/>
  <c r="AP528" i="9"/>
  <c r="AP204" i="9"/>
  <c r="AP552" i="9"/>
  <c r="AP152" i="9"/>
  <c r="AP613" i="9"/>
  <c r="AP334" i="9"/>
  <c r="AP464" i="9"/>
  <c r="AP476" i="9"/>
  <c r="AP358" i="9" l="1"/>
  <c r="AP346" i="9"/>
  <c r="AP328" i="9"/>
  <c r="AP158" i="9"/>
  <c r="AP21" i="9"/>
  <c r="AP41" i="9"/>
  <c r="AP49" i="9"/>
  <c r="AP269" i="9"/>
  <c r="AP134" i="9"/>
  <c r="AP450" i="9"/>
  <c r="AP188" i="9"/>
  <c r="AP560" i="9"/>
  <c r="AP261" i="9"/>
  <c r="AP462" i="9"/>
  <c r="AP51" i="9"/>
  <c r="AP393" i="9"/>
  <c r="AP174" i="9"/>
  <c r="AP512" i="9"/>
  <c r="AP508" i="9"/>
  <c r="AP164" i="9"/>
  <c r="AP27" i="9"/>
  <c r="AP168" i="9"/>
  <c r="AP247" i="9"/>
  <c r="AP510" i="9"/>
  <c r="AP176" i="9"/>
  <c r="AP121" i="9"/>
  <c r="AP119" i="9"/>
  <c r="AP184" i="9"/>
  <c r="AP280" i="9"/>
  <c r="AP288" i="9"/>
  <c r="AP316" i="9"/>
  <c r="AS7" i="9"/>
  <c r="AR4" i="9"/>
  <c r="AR6" i="9"/>
  <c r="AP572" i="9"/>
  <c r="AP73" i="9"/>
  <c r="AP226" i="9"/>
  <c r="AP65" i="9"/>
  <c r="AP31" i="9"/>
  <c r="AP526" i="9"/>
  <c r="AP534" i="9"/>
  <c r="AP15" i="9"/>
  <c r="AP307" i="9"/>
  <c r="AP192" i="9"/>
  <c r="AP170" i="9"/>
  <c r="AP442" i="9"/>
  <c r="AP278" i="9"/>
  <c r="AP452" i="9"/>
  <c r="AP79" i="9"/>
  <c r="AP77" i="9"/>
  <c r="AP516" i="9"/>
  <c r="AP237" i="9"/>
  <c r="AP59" i="9"/>
  <c r="AP25" i="9"/>
  <c r="AP202" i="9"/>
  <c r="AP144" i="9"/>
  <c r="AP19" i="9"/>
  <c r="AP251" i="9"/>
  <c r="AP208" i="9"/>
  <c r="AP47" i="9"/>
  <c r="AP67" i="9"/>
  <c r="AP9" i="9"/>
  <c r="AP214" i="9"/>
  <c r="AP286" i="9"/>
  <c r="AP460" i="9"/>
  <c r="AP39" i="9"/>
  <c r="AP570" i="9"/>
  <c r="AP23" i="9"/>
  <c r="AP85" i="9"/>
  <c r="AP218" i="9"/>
  <c r="AP506" i="9"/>
  <c r="AP37" i="9"/>
  <c r="AP35" i="9"/>
  <c r="AP13" i="9"/>
  <c r="AP436" i="9"/>
  <c r="AP17" i="9"/>
  <c r="AP434" i="9"/>
  <c r="AP490" i="9"/>
  <c r="AP137" i="9"/>
  <c r="AP113" i="9"/>
  <c r="AP180" i="9"/>
  <c r="AP222" i="9"/>
  <c r="AP148" i="9"/>
  <c r="AP562" i="9"/>
  <c r="AP574" i="9"/>
  <c r="AP127" i="9"/>
  <c r="AP89" i="9"/>
  <c r="AP43" i="9"/>
  <c r="AP53" i="9"/>
  <c r="AP123" i="9"/>
  <c r="AP284" i="9"/>
  <c r="AP255" i="9"/>
  <c r="AS6" i="9" l="1"/>
  <c r="AT7" i="9"/>
  <c r="AU7" i="9" l="1"/>
  <c r="AT6" i="9"/>
  <c r="AU6" i="9" l="1"/>
  <c r="AV7" i="9"/>
  <c r="AW7" i="9" l="1"/>
  <c r="AV6" i="9"/>
  <c r="AX7" i="9" l="1"/>
  <c r="AW6" i="9"/>
  <c r="AZ208" i="9"/>
  <c r="AZ62" i="9"/>
  <c r="AZ252" i="9"/>
  <c r="AZ140" i="9"/>
  <c r="AZ209" i="9"/>
  <c r="AZ240" i="9"/>
  <c r="AZ237" i="9"/>
  <c r="AZ250" i="9"/>
  <c r="AZ376" i="9"/>
  <c r="AZ253" i="9"/>
  <c r="AZ300" i="9"/>
  <c r="AZ276" i="9"/>
  <c r="AZ197" i="9"/>
  <c r="AZ203" i="9"/>
  <c r="AZ553" i="9"/>
  <c r="AZ444" i="9"/>
  <c r="AZ260" i="9"/>
  <c r="AZ579" i="9"/>
  <c r="AZ258" i="9"/>
  <c r="AZ259" i="9"/>
  <c r="AZ193" i="9"/>
  <c r="AZ380" i="9"/>
  <c r="AZ314" i="9"/>
  <c r="AZ474" i="9"/>
  <c r="AZ602" i="9"/>
  <c r="AZ610" i="9"/>
  <c r="AZ296" i="9"/>
  <c r="AZ181" i="9"/>
  <c r="AZ158" i="9"/>
  <c r="AZ594" i="9"/>
  <c r="AZ529" i="9"/>
  <c r="AZ325" i="9"/>
  <c r="AZ175" i="9"/>
  <c r="AZ515" i="9"/>
  <c r="AZ317" i="9"/>
  <c r="AZ243" i="9"/>
  <c r="AZ511" i="9"/>
  <c r="AZ416" i="9"/>
  <c r="AZ171" i="9"/>
  <c r="AZ439" i="9"/>
  <c r="AZ333" i="9"/>
  <c r="AZ190" i="9"/>
  <c r="AZ268" i="9"/>
  <c r="AZ204" i="9"/>
  <c r="AZ184" i="9"/>
  <c r="AZ284" i="9"/>
  <c r="AZ506" i="9"/>
  <c r="AZ245" i="9"/>
  <c r="AZ556" i="9"/>
  <c r="AZ47" i="9"/>
  <c r="AZ526" i="9"/>
  <c r="AZ84" i="9"/>
  <c r="AZ187" i="9"/>
  <c r="AZ207" i="9"/>
  <c r="AZ599" i="9"/>
  <c r="AZ430" i="9"/>
  <c r="AZ331" i="9"/>
  <c r="AZ438" i="9"/>
  <c r="AZ365" i="9"/>
  <c r="AZ328" i="9"/>
  <c r="AZ362" i="9"/>
  <c r="AZ318" i="9"/>
  <c r="AZ387" i="9"/>
  <c r="AZ509" i="9"/>
  <c r="AZ418" i="9"/>
  <c r="AZ116" i="9"/>
  <c r="AZ557" i="9"/>
  <c r="AZ441" i="9"/>
  <c r="AZ608" i="9"/>
  <c r="AZ342" i="9"/>
  <c r="AZ271" i="9"/>
  <c r="AZ405" i="9"/>
  <c r="AZ191" i="9"/>
  <c r="AZ79" i="9"/>
  <c r="AZ327" i="9"/>
  <c r="AZ74" i="9"/>
  <c r="AZ57" i="9"/>
  <c r="AZ612" i="9"/>
  <c r="AZ295" i="9"/>
  <c r="AZ475" i="9"/>
  <c r="AZ461" i="9"/>
  <c r="AZ434" i="9"/>
  <c r="AZ456" i="9"/>
  <c r="AZ401" i="9"/>
  <c r="AZ366" i="9"/>
  <c r="AZ322" i="9"/>
  <c r="AZ425" i="9"/>
  <c r="AZ336" i="9"/>
  <c r="AZ292" i="9"/>
  <c r="AZ596" i="9"/>
  <c r="AZ510" i="9"/>
  <c r="AZ379" i="9"/>
  <c r="AZ559" i="9"/>
  <c r="AZ382" i="9"/>
  <c r="AZ343" i="9"/>
  <c r="AZ407" i="9"/>
  <c r="AZ242" i="9"/>
  <c r="AZ212" i="9"/>
  <c r="AZ435" i="9"/>
  <c r="AZ324" i="9"/>
  <c r="AZ582" i="9"/>
  <c r="AZ478" i="9"/>
  <c r="AZ77" i="9"/>
  <c r="AZ200" i="9"/>
  <c r="AZ235" i="9"/>
  <c r="AZ266" i="9"/>
  <c r="AZ223" i="9"/>
  <c r="AZ390" i="9"/>
  <c r="AZ531" i="9"/>
  <c r="AZ462" i="9"/>
  <c r="AZ389" i="9"/>
  <c r="AZ512" i="9"/>
  <c r="AZ428" i="9"/>
  <c r="AZ196" i="9"/>
  <c r="AZ535" i="9"/>
  <c r="AZ460" i="9"/>
  <c r="AZ122" i="9"/>
  <c r="AZ52" i="9"/>
  <c r="AZ598" i="9"/>
  <c r="AZ99" i="9"/>
  <c r="AZ584" i="9"/>
  <c r="AZ143" i="9"/>
  <c r="AZ455" i="9"/>
  <c r="AZ391" i="9"/>
  <c r="AZ378" i="9"/>
  <c r="AZ222" i="9"/>
  <c r="AZ108" i="9"/>
  <c r="AZ370" i="9"/>
  <c r="AZ160" i="9"/>
  <c r="AZ560" i="9"/>
  <c r="AZ244" i="9"/>
  <c r="AZ406" i="9"/>
  <c r="AZ141" i="9"/>
  <c r="AZ396" i="9"/>
  <c r="AZ56" i="9"/>
  <c r="AZ48" i="9"/>
  <c r="AZ504" i="9"/>
  <c r="AZ384" i="9"/>
  <c r="AZ95" i="9"/>
  <c r="AZ591" i="9"/>
  <c r="AZ532" i="9"/>
  <c r="AZ198" i="9"/>
  <c r="AZ516" i="9"/>
  <c r="AZ25" i="9"/>
  <c r="AZ561" i="9"/>
  <c r="AZ502" i="9"/>
  <c r="AZ518" i="9"/>
  <c r="AZ177" i="9"/>
  <c r="AZ397" i="9"/>
  <c r="AZ145" i="9"/>
  <c r="AZ448" i="9"/>
  <c r="AZ619" i="9"/>
  <c r="AZ457" i="9"/>
  <c r="AZ360" i="9"/>
  <c r="AZ541" i="9"/>
  <c r="AZ80" i="9"/>
  <c r="AZ96" i="9"/>
  <c r="AZ528" i="9"/>
  <c r="AZ442" i="9"/>
  <c r="AZ519" i="9"/>
  <c r="AZ472" i="9"/>
  <c r="AZ134" i="9"/>
  <c r="AZ106" i="9"/>
  <c r="AZ603" i="9"/>
  <c r="AZ78" i="9"/>
  <c r="AZ20" i="9"/>
  <c r="AZ587" i="9"/>
  <c r="AZ538" i="9"/>
  <c r="AZ54" i="9"/>
  <c r="AZ578" i="9"/>
  <c r="AZ234" i="9"/>
  <c r="AZ233" i="9"/>
  <c r="AZ620" i="9"/>
  <c r="AZ183" i="9"/>
  <c r="AZ386" i="9"/>
  <c r="AZ381" i="9"/>
  <c r="AZ589" i="9"/>
  <c r="AZ524" i="9"/>
  <c r="AZ22" i="9"/>
  <c r="AZ270" i="9"/>
  <c r="AZ144" i="9"/>
  <c r="AZ558" i="9"/>
  <c r="AZ219" i="9"/>
  <c r="AZ341" i="9"/>
  <c r="AZ127" i="9"/>
  <c r="AZ286" i="9"/>
  <c r="AZ85" i="9"/>
  <c r="BA619" i="9" l="1"/>
  <c r="BA95" i="9"/>
  <c r="BA380" i="9"/>
  <c r="BA342" i="9"/>
  <c r="BA518" i="9"/>
  <c r="BA222" i="9"/>
  <c r="BA434" i="9"/>
  <c r="BA386" i="9"/>
  <c r="BA438" i="9"/>
  <c r="BA208" i="9"/>
  <c r="BA47" i="9"/>
  <c r="BA378" i="9"/>
  <c r="BA324" i="9"/>
  <c r="BA578" i="9"/>
  <c r="BA243" i="9"/>
  <c r="BA558" i="9"/>
  <c r="BA144" i="9"/>
  <c r="BA528" i="9"/>
  <c r="BA259" i="9"/>
  <c r="BA560" i="9"/>
  <c r="BA77" i="9"/>
  <c r="BA233" i="9"/>
  <c r="BA79" i="9"/>
  <c r="BA140" i="9"/>
  <c r="BA460" i="9"/>
  <c r="BA556" i="9"/>
  <c r="BA510" i="9"/>
  <c r="BA405" i="9"/>
  <c r="BA456" i="9"/>
  <c r="BA474" i="9"/>
  <c r="BA390" i="9"/>
  <c r="BU121" i="9"/>
  <c r="BA190" i="9"/>
  <c r="BA196" i="9"/>
  <c r="AX6" i="9"/>
  <c r="BC7" i="9"/>
  <c r="AZ82" i="9"/>
  <c r="AZ229" i="9"/>
  <c r="AZ159" i="9"/>
  <c r="AZ520" i="9"/>
  <c r="AZ94" i="9"/>
  <c r="AZ32" i="9"/>
  <c r="AZ282" i="9"/>
  <c r="AZ227" i="9"/>
  <c r="AZ93" i="9"/>
  <c r="AZ89" i="9"/>
  <c r="AZ169" i="9"/>
  <c r="AZ153" i="9"/>
  <c r="AZ67" i="9"/>
  <c r="AZ30" i="9"/>
  <c r="AZ104" i="9"/>
  <c r="AZ624" i="9"/>
  <c r="AZ601" i="9"/>
  <c r="BA601" i="9" s="1"/>
  <c r="AZ564" i="9"/>
  <c r="AZ443" i="9"/>
  <c r="AZ607" i="9"/>
  <c r="BA607" i="9" s="1"/>
  <c r="AZ402" i="9"/>
  <c r="BA401" i="9" s="1"/>
  <c r="AZ239" i="9"/>
  <c r="BA239" i="9" s="1"/>
  <c r="AZ107" i="9"/>
  <c r="BA107" i="9" s="1"/>
  <c r="AZ308" i="9"/>
  <c r="AZ477" i="9"/>
  <c r="AZ68" i="9"/>
  <c r="AZ459" i="9"/>
  <c r="AZ321" i="9"/>
  <c r="AZ330" i="9"/>
  <c r="BA330" i="9" s="1"/>
  <c r="AZ375" i="9"/>
  <c r="AZ332" i="9"/>
  <c r="BA332" i="9" s="1"/>
  <c r="AZ10" i="9"/>
  <c r="AZ199" i="9"/>
  <c r="AZ421" i="9"/>
  <c r="AZ547" i="9"/>
  <c r="AZ290" i="9"/>
  <c r="AZ98" i="9"/>
  <c r="AZ437" i="9"/>
  <c r="AZ374" i="9"/>
  <c r="AZ476" i="9"/>
  <c r="AZ388" i="9"/>
  <c r="BA388" i="9" s="1"/>
  <c r="AZ148" i="9"/>
  <c r="AZ246" i="9"/>
  <c r="AZ548" i="9"/>
  <c r="AZ420" i="9"/>
  <c r="AZ625" i="9"/>
  <c r="AZ315" i="9"/>
  <c r="BA314" i="9" s="1"/>
  <c r="AZ195" i="9"/>
  <c r="AZ81" i="9"/>
  <c r="AZ555" i="9"/>
  <c r="AZ334" i="9"/>
  <c r="AZ372" i="9"/>
  <c r="AZ363" i="9"/>
  <c r="BA362" i="9" s="1"/>
  <c r="AZ393" i="9"/>
  <c r="AZ60" i="9"/>
  <c r="AZ432" i="9"/>
  <c r="AZ31" i="9"/>
  <c r="AZ542" i="9"/>
  <c r="AZ114" i="9"/>
  <c r="AZ97" i="9"/>
  <c r="AZ294" i="9"/>
  <c r="BA294" i="9" s="1"/>
  <c r="AZ186" i="9"/>
  <c r="BA186" i="9" s="1"/>
  <c r="AZ21" i="9"/>
  <c r="BA21" i="9" s="1"/>
  <c r="AZ102" i="9"/>
  <c r="AZ593" i="9"/>
  <c r="BA593" i="9" s="1"/>
  <c r="AZ213" i="9"/>
  <c r="AZ523" i="9"/>
  <c r="AZ66" i="9"/>
  <c r="AZ371" i="9"/>
  <c r="BA370" i="9" s="1"/>
  <c r="AZ615" i="9"/>
  <c r="AZ58" i="9"/>
  <c r="AZ125" i="9"/>
  <c r="AZ15" i="9"/>
  <c r="AZ539" i="9"/>
  <c r="AZ454" i="9"/>
  <c r="BA454" i="9" s="1"/>
  <c r="AZ508" i="9"/>
  <c r="BA508" i="9" s="1"/>
  <c r="AZ13" i="9"/>
  <c r="AZ230" i="9"/>
  <c r="AZ534" i="9"/>
  <c r="BA534" i="9" s="1"/>
  <c r="AZ41" i="9"/>
  <c r="AZ329" i="9"/>
  <c r="BA328" i="9" s="1"/>
  <c r="AZ24" i="9"/>
  <c r="AZ280" i="9"/>
  <c r="AZ415" i="9"/>
  <c r="BA415" i="9" s="1"/>
  <c r="AZ289" i="9"/>
  <c r="AZ600" i="9"/>
  <c r="BA599" i="9" s="1"/>
  <c r="AZ192" i="9"/>
  <c r="BA192" i="9" s="1"/>
  <c r="AZ417" i="9"/>
  <c r="BA417" i="9" s="1"/>
  <c r="AZ51" i="9"/>
  <c r="BA51" i="9" s="1"/>
  <c r="AZ404" i="9"/>
  <c r="AZ129" i="9"/>
  <c r="AZ580" i="9"/>
  <c r="AZ194" i="9"/>
  <c r="AZ101" i="9"/>
  <c r="AZ278" i="9"/>
  <c r="AZ452" i="9"/>
  <c r="AZ377" i="9"/>
  <c r="BA376" i="9" s="1"/>
  <c r="AZ264" i="9"/>
  <c r="AZ436" i="9"/>
  <c r="AZ156" i="9"/>
  <c r="AZ59" i="9"/>
  <c r="AZ248" i="9"/>
  <c r="AZ210" i="9"/>
  <c r="AZ174" i="9"/>
  <c r="BA174" i="9" s="1"/>
  <c r="AZ137" i="9"/>
  <c r="AZ505" i="9"/>
  <c r="AZ458" i="9"/>
  <c r="AZ40" i="9"/>
  <c r="AZ88" i="9"/>
  <c r="AZ105" i="9"/>
  <c r="BA105" i="9" s="1"/>
  <c r="AZ316" i="9"/>
  <c r="BA316" i="9" s="1"/>
  <c r="AZ288" i="9"/>
  <c r="AZ173" i="9"/>
  <c r="AZ218" i="9"/>
  <c r="BA218" i="9" s="1"/>
  <c r="AZ220" i="9"/>
  <c r="AZ130" i="9"/>
  <c r="AZ142" i="9"/>
  <c r="BA142" i="9" s="1"/>
  <c r="AZ216" i="9"/>
  <c r="AZ43" i="9"/>
  <c r="AZ265" i="9"/>
  <c r="BA265" i="9" s="1"/>
  <c r="AZ28" i="9"/>
  <c r="AZ412" i="9"/>
  <c r="AZ449" i="9"/>
  <c r="AZ138" i="9"/>
  <c r="AZ540" i="9"/>
  <c r="BA540" i="9" s="1"/>
  <c r="AZ424" i="9"/>
  <c r="AZ132" i="9"/>
  <c r="AZ251" i="9"/>
  <c r="BA251" i="9" s="1"/>
  <c r="AZ464" i="9"/>
  <c r="AZ150" i="9"/>
  <c r="AZ403" i="9"/>
  <c r="AZ163" i="9"/>
  <c r="AZ513" i="9"/>
  <c r="AZ103" i="9"/>
  <c r="AZ411" i="9"/>
  <c r="AZ17" i="9"/>
  <c r="AZ423" i="9"/>
  <c r="AZ185" i="9"/>
  <c r="AZ445" i="9"/>
  <c r="AZ151" i="9"/>
  <c r="AZ154" i="9"/>
  <c r="AZ440" i="9"/>
  <c r="BA440" i="9" s="1"/>
  <c r="AZ255" i="9"/>
  <c r="AZ563" i="9"/>
  <c r="AZ349" i="9"/>
  <c r="AZ261" i="9"/>
  <c r="AZ65" i="9"/>
  <c r="AZ323" i="9"/>
  <c r="BA322" i="9" s="1"/>
  <c r="AZ623" i="9"/>
  <c r="AZ14" i="9"/>
  <c r="AZ283" i="9"/>
  <c r="AZ38" i="9"/>
  <c r="AZ64" i="9"/>
  <c r="AZ164" i="9"/>
  <c r="AZ123" i="9"/>
  <c r="AZ226" i="9"/>
  <c r="AZ273" i="9"/>
  <c r="AZ215" i="9"/>
  <c r="AZ44" i="9"/>
  <c r="AZ86" i="9"/>
  <c r="AZ339" i="9"/>
  <c r="AZ281" i="9"/>
  <c r="AZ565" i="9"/>
  <c r="AZ113" i="9"/>
  <c r="AZ431" i="9"/>
  <c r="AZ161" i="9"/>
  <c r="AZ254" i="9"/>
  <c r="AZ269" i="9"/>
  <c r="BA269" i="9" s="1"/>
  <c r="AZ55" i="9"/>
  <c r="BA55" i="9" s="1"/>
  <c r="AZ545" i="9"/>
  <c r="AZ468" i="9"/>
  <c r="AZ536" i="9"/>
  <c r="AZ399" i="9"/>
  <c r="AZ577" i="9"/>
  <c r="AZ319" i="9"/>
  <c r="BA318" i="9" s="1"/>
  <c r="AZ338" i="9"/>
  <c r="AZ359" i="9"/>
  <c r="AZ49" i="9"/>
  <c r="AZ279" i="9"/>
  <c r="AZ470" i="9"/>
  <c r="AZ299" i="9"/>
  <c r="BA299" i="9" s="1"/>
  <c r="AZ124" i="9"/>
  <c r="AZ87" i="9"/>
  <c r="AZ214" i="9"/>
  <c r="AZ275" i="9"/>
  <c r="BA275" i="9" s="1"/>
  <c r="AZ611" i="9"/>
  <c r="BA611" i="9" s="1"/>
  <c r="AZ583" i="9"/>
  <c r="AZ285" i="9"/>
  <c r="AZ618" i="9"/>
  <c r="AZ128" i="9"/>
  <c r="AZ450" i="9"/>
  <c r="AZ211" i="9"/>
  <c r="AZ514" i="9"/>
  <c r="BA514" i="9" s="1"/>
  <c r="AZ617" i="9"/>
  <c r="AZ115" i="9"/>
  <c r="BA115" i="9" s="1"/>
  <c r="AZ221" i="9"/>
  <c r="AZ544" i="9"/>
  <c r="AZ621" i="9"/>
  <c r="AZ369" i="9"/>
  <c r="AZ383" i="9"/>
  <c r="BA382" i="9" s="1"/>
  <c r="AZ27" i="9"/>
  <c r="AZ585" i="9"/>
  <c r="AZ346" i="9"/>
  <c r="AZ588" i="9"/>
  <c r="BA588" i="9" s="1"/>
  <c r="AZ166" i="9"/>
  <c r="AZ121" i="9"/>
  <c r="BA121" i="9" s="1"/>
  <c r="AZ162" i="9"/>
  <c r="AZ247" i="9"/>
  <c r="AZ471" i="9"/>
  <c r="AZ453" i="9"/>
  <c r="AZ168" i="9"/>
  <c r="AZ100" i="9"/>
  <c r="BA99" i="9" s="1"/>
  <c r="AZ606" i="9"/>
  <c r="AZ337" i="9"/>
  <c r="BA336" i="9" s="1"/>
  <c r="AZ368" i="9"/>
  <c r="AZ135" i="9"/>
  <c r="AZ50" i="9"/>
  <c r="AZ503" i="9"/>
  <c r="AZ626" i="9"/>
  <c r="AZ463" i="9"/>
  <c r="AZ446" i="9"/>
  <c r="AZ576" i="9"/>
  <c r="AZ549" i="9"/>
  <c r="AZ521" i="9"/>
  <c r="AZ188" i="9"/>
  <c r="AZ525" i="9"/>
  <c r="AZ433" i="9"/>
  <c r="AZ447" i="9"/>
  <c r="AZ394" i="9"/>
  <c r="AZ311" i="9"/>
  <c r="AZ272" i="9"/>
  <c r="AZ61" i="9"/>
  <c r="BA61" i="9" s="1"/>
  <c r="AZ238" i="9"/>
  <c r="AZ419" i="9"/>
  <c r="AZ297" i="9"/>
  <c r="AZ63" i="9"/>
  <c r="AZ23" i="9"/>
  <c r="AZ473" i="9"/>
  <c r="AZ182" i="9"/>
  <c r="BA182" i="9" s="1"/>
  <c r="AZ373" i="9"/>
  <c r="AZ147" i="9"/>
  <c r="AZ451" i="9"/>
  <c r="AZ167" i="9"/>
  <c r="AZ413" i="9"/>
  <c r="AZ70" i="9"/>
  <c r="AZ217" i="9"/>
  <c r="AZ622" i="9"/>
  <c r="AZ26" i="9"/>
  <c r="AZ465" i="9"/>
  <c r="AZ367" i="9"/>
  <c r="BA366" i="9" s="1"/>
  <c r="AZ69" i="9"/>
  <c r="AZ586" i="9"/>
  <c r="BA586" i="9" s="1"/>
  <c r="AZ120" i="9"/>
  <c r="AZ543" i="9"/>
  <c r="AZ110" i="9"/>
  <c r="AZ344" i="9"/>
  <c r="AZ595" i="9"/>
  <c r="BA595" i="9" s="1"/>
  <c r="AZ206" i="9"/>
  <c r="BA206" i="9" s="1"/>
  <c r="AZ256" i="9"/>
  <c r="AZ119" i="9"/>
  <c r="AZ530" i="9"/>
  <c r="BA530" i="9" s="1"/>
  <c r="AZ263" i="9"/>
  <c r="AZ172" i="9"/>
  <c r="AZ36" i="9"/>
  <c r="AZ533" i="9"/>
  <c r="AZ348" i="9"/>
  <c r="AZ358" i="9"/>
  <c r="AZ165" i="9"/>
  <c r="AZ35" i="9"/>
  <c r="AZ527" i="9"/>
  <c r="AZ597" i="9"/>
  <c r="BA597" i="9" s="1"/>
  <c r="AZ522" i="9"/>
  <c r="AZ18" i="9"/>
  <c r="AZ293" i="9"/>
  <c r="AZ562" i="9"/>
  <c r="AZ385" i="9"/>
  <c r="BA384" i="9" s="1"/>
  <c r="AZ16" i="9"/>
  <c r="AZ202" i="9"/>
  <c r="BA202" i="9" s="1"/>
  <c r="AZ345" i="9"/>
  <c r="AZ347" i="9"/>
  <c r="AZ408" i="9"/>
  <c r="BA407" i="9" s="1"/>
  <c r="AZ489" i="9"/>
  <c r="AZ176" i="9"/>
  <c r="BA176" i="9" s="1"/>
  <c r="AZ335" i="9"/>
  <c r="AZ409" i="9"/>
  <c r="AZ262" i="9"/>
  <c r="AZ274" i="9"/>
  <c r="AZ305" i="9"/>
  <c r="AZ592" i="9"/>
  <c r="BA591" i="9" s="1"/>
  <c r="AZ400" i="9"/>
  <c r="AZ550" i="9"/>
  <c r="AZ554" i="9"/>
  <c r="AZ39" i="9"/>
  <c r="AZ546" i="9"/>
  <c r="AZ201" i="9"/>
  <c r="BA200" i="9" s="1"/>
  <c r="AZ152" i="9"/>
  <c r="AZ422" i="9"/>
  <c r="AZ180" i="9"/>
  <c r="BA180" i="9" s="1"/>
  <c r="AZ517" i="9"/>
  <c r="AZ83" i="9"/>
  <c r="BA83" i="9" s="1"/>
  <c r="AZ257" i="9"/>
  <c r="BA257" i="9" s="1"/>
  <c r="AZ613" i="9"/>
  <c r="AZ53" i="9"/>
  <c r="BA53" i="9" s="1"/>
  <c r="AZ466" i="9"/>
  <c r="AZ170" i="9"/>
  <c r="BA170" i="9" s="1"/>
  <c r="AZ604" i="9"/>
  <c r="BA603" i="9" s="1"/>
  <c r="AZ267" i="9"/>
  <c r="BA267" i="9" s="1"/>
  <c r="AZ42" i="9"/>
  <c r="AZ149" i="9"/>
  <c r="AZ304" i="9"/>
  <c r="AZ249" i="9"/>
  <c r="BA249" i="9" s="1"/>
  <c r="AZ551" i="9"/>
  <c r="AZ189" i="9"/>
  <c r="AZ479" i="9"/>
  <c r="AZ19" i="9"/>
  <c r="BA19" i="9" s="1"/>
  <c r="AZ507" i="9"/>
  <c r="AZ155" i="9"/>
  <c r="AZ9" i="9"/>
  <c r="AZ340" i="9"/>
  <c r="BA340" i="9" s="1"/>
  <c r="AZ414" i="9"/>
  <c r="AZ469" i="9"/>
  <c r="AZ552" i="9"/>
  <c r="BA552" i="9" s="1"/>
  <c r="AZ131" i="9"/>
  <c r="AZ205" i="9"/>
  <c r="AZ609" i="9"/>
  <c r="BA609" i="9" s="1"/>
  <c r="AZ146" i="9"/>
  <c r="AZ236" i="9"/>
  <c r="AZ29" i="9"/>
  <c r="AZ426" i="9"/>
  <c r="AZ410" i="9"/>
  <c r="AZ361" i="9"/>
  <c r="BA360" i="9" s="1"/>
  <c r="AZ37" i="9"/>
  <c r="AZ241" i="9"/>
  <c r="BA241" i="9" s="1"/>
  <c r="AZ320" i="9"/>
  <c r="AZ307" i="9"/>
  <c r="AZ429" i="9"/>
  <c r="BA428" i="9" s="1"/>
  <c r="AZ291" i="9"/>
  <c r="AZ395" i="9"/>
  <c r="BA395" i="9" s="1"/>
  <c r="AZ287" i="9"/>
  <c r="AZ581" i="9"/>
  <c r="AZ616" i="9"/>
  <c r="AZ326" i="9"/>
  <c r="BA326" i="9" s="1"/>
  <c r="AZ109" i="9"/>
  <c r="AZ364" i="9"/>
  <c r="BA364" i="9" s="1"/>
  <c r="AZ614" i="9"/>
  <c r="AZ310" i="9"/>
  <c r="AZ157" i="9"/>
  <c r="AZ488" i="9"/>
  <c r="AZ126" i="9"/>
  <c r="AZ605" i="9"/>
  <c r="AZ90" i="9"/>
  <c r="AZ73" i="9"/>
  <c r="BA73" i="9" s="1"/>
  <c r="AZ537" i="9"/>
  <c r="AZ467" i="9"/>
  <c r="AZ351" i="9"/>
  <c r="AZ398" i="9"/>
  <c r="BA397" i="9" s="1"/>
  <c r="AZ350" i="9"/>
  <c r="BA421" i="9" l="1"/>
  <c r="BA334" i="9"/>
  <c r="BA346" i="9"/>
  <c r="BA413" i="9"/>
  <c r="BA372" i="9"/>
  <c r="BA423" i="9"/>
  <c r="BA409" i="9"/>
  <c r="BA399" i="9"/>
  <c r="BA97" i="9"/>
  <c r="BA613" i="9"/>
  <c r="BA9" i="9"/>
  <c r="BA344" i="9"/>
  <c r="BA310" i="9"/>
  <c r="BA338" i="9"/>
  <c r="BA284" i="9"/>
  <c r="BA229" i="9"/>
  <c r="BA255" i="9"/>
  <c r="BA436" i="9"/>
  <c r="BA81" i="9"/>
  <c r="BA125" i="9"/>
  <c r="BU125" i="9"/>
  <c r="BA615" i="9"/>
  <c r="BA488" i="9"/>
  <c r="BA292" i="9"/>
  <c r="BA166" i="9"/>
  <c r="BA296" i="9"/>
  <c r="BA393" i="9"/>
  <c r="BA544" i="9"/>
  <c r="BA280" i="9"/>
  <c r="BA444" i="9"/>
  <c r="BA162" i="9"/>
  <c r="BA504" i="9"/>
  <c r="BA263" i="9"/>
  <c r="BA403" i="9"/>
  <c r="BA65" i="9"/>
  <c r="BA419" i="9"/>
  <c r="BA307" i="9"/>
  <c r="BA623" i="9"/>
  <c r="BA226" i="9"/>
  <c r="BC4" i="9"/>
  <c r="BD7" i="9"/>
  <c r="BC6" i="9"/>
  <c r="BA164" i="9"/>
  <c r="BA220" i="9"/>
  <c r="BA67" i="9"/>
  <c r="BA235" i="9"/>
  <c r="BA134" i="9"/>
  <c r="BW121" i="9"/>
  <c r="BY121" i="9"/>
  <c r="BA580" i="9"/>
  <c r="BA154" i="9"/>
  <c r="BA304" i="9"/>
  <c r="BA17" i="9"/>
  <c r="BA532" i="9"/>
  <c r="BA450" i="9"/>
  <c r="BA446" i="9"/>
  <c r="BA358" i="9"/>
  <c r="BA184" i="9"/>
  <c r="BA172" i="9"/>
  <c r="BA522" i="9"/>
  <c r="BA113" i="9"/>
  <c r="BA374" i="9"/>
  <c r="BA103" i="9"/>
  <c r="BA89" i="9"/>
  <c r="BA452" i="9"/>
  <c r="BA198" i="9"/>
  <c r="BA550" i="9"/>
  <c r="BA470" i="9"/>
  <c r="BA582" i="9"/>
  <c r="BA27" i="9"/>
  <c r="BA476" i="9"/>
  <c r="BA350" i="9"/>
  <c r="BA156" i="9"/>
  <c r="BA286" i="9"/>
  <c r="BA204" i="9"/>
  <c r="BA506" i="9"/>
  <c r="BA148" i="9"/>
  <c r="BA273" i="9"/>
  <c r="BA35" i="9"/>
  <c r="BA464" i="9"/>
  <c r="BA146" i="9"/>
  <c r="BA462" i="9"/>
  <c r="BA605" i="9"/>
  <c r="BA368" i="9"/>
  <c r="BA210" i="9"/>
  <c r="BA85" i="9"/>
  <c r="BA63" i="9"/>
  <c r="BA348" i="9"/>
  <c r="BA137" i="9"/>
  <c r="BA23" i="9"/>
  <c r="BA538" i="9"/>
  <c r="BA212" i="9"/>
  <c r="BA245" i="9"/>
  <c r="BA29" i="9"/>
  <c r="BA31" i="9"/>
  <c r="BA520" i="9"/>
  <c r="BA466" i="9"/>
  <c r="BA41" i="9"/>
  <c r="BA261" i="9"/>
  <c r="BA25" i="9"/>
  <c r="BA237" i="9"/>
  <c r="BA432" i="9"/>
  <c r="BA625" i="9"/>
  <c r="BA253" i="9"/>
  <c r="BA43" i="9"/>
  <c r="BA37" i="9"/>
  <c r="BA562" i="9"/>
  <c r="BA448" i="9"/>
  <c r="BA554" i="9"/>
  <c r="BA546" i="9"/>
  <c r="BA93" i="9"/>
  <c r="BA69" i="9"/>
  <c r="BA49" i="9"/>
  <c r="BA39" i="9"/>
  <c r="BA548" i="9"/>
  <c r="BA278" i="9"/>
  <c r="BA150" i="9"/>
  <c r="BA536" i="9"/>
  <c r="BA478" i="9"/>
  <c r="BA526" i="9"/>
  <c r="BA109" i="9"/>
  <c r="BA621" i="9"/>
  <c r="BA524" i="9"/>
  <c r="BA502" i="9"/>
  <c r="BA127" i="9"/>
  <c r="BU127" i="9"/>
  <c r="BA123" i="9"/>
  <c r="BU123" i="9"/>
  <c r="BA576" i="9"/>
  <c r="BA160" i="9"/>
  <c r="BA214" i="9"/>
  <c r="BA282" i="9"/>
  <c r="BA411" i="9"/>
  <c r="BA129" i="9"/>
  <c r="BU129" i="9"/>
  <c r="BA247" i="9"/>
  <c r="BA101" i="9"/>
  <c r="BA320" i="9"/>
  <c r="BA152" i="9"/>
  <c r="BA119" i="9"/>
  <c r="BA584" i="9"/>
  <c r="BA564" i="9"/>
  <c r="BA512" i="9"/>
  <c r="BA290" i="9"/>
  <c r="BA425" i="9"/>
  <c r="BA468" i="9"/>
  <c r="BA188" i="9"/>
  <c r="BA516" i="9"/>
  <c r="BA15" i="9"/>
  <c r="BA542" i="9"/>
  <c r="BA216" i="9"/>
  <c r="BA472" i="9"/>
  <c r="BA271" i="9"/>
  <c r="BA617" i="9"/>
  <c r="BA430" i="9"/>
  <c r="BA13" i="9"/>
  <c r="BA131" i="9"/>
  <c r="BU131" i="9"/>
  <c r="BA87" i="9"/>
  <c r="BA288" i="9"/>
  <c r="BA57" i="9"/>
  <c r="BA59" i="9"/>
  <c r="BA194" i="9"/>
  <c r="BA458" i="9"/>
  <c r="BA442" i="9"/>
  <c r="BA168" i="9"/>
  <c r="BA158" i="9"/>
  <c r="BW129" i="9" l="1"/>
  <c r="BY129" i="9"/>
  <c r="BD6" i="9"/>
  <c r="BE7" i="9"/>
  <c r="BW125" i="9"/>
  <c r="BY125" i="9"/>
  <c r="BY123" i="9"/>
  <c r="BW123" i="9"/>
  <c r="BY131" i="9"/>
  <c r="BW131" i="9"/>
  <c r="BY127" i="9"/>
  <c r="BW127" i="9"/>
  <c r="BF7" i="9" l="1"/>
  <c r="BE6" i="9"/>
  <c r="BG7" i="9" l="1"/>
  <c r="BF6" i="9"/>
  <c r="BG6" i="9" l="1"/>
  <c r="BH7" i="9"/>
  <c r="BI7" i="9" l="1"/>
  <c r="BH6" i="9"/>
  <c r="BK398" i="9"/>
  <c r="BK183" i="9"/>
  <c r="BK305" i="9"/>
  <c r="BK199" i="9"/>
  <c r="BK484" i="9"/>
  <c r="BK77" i="9"/>
  <c r="BK525" i="9"/>
  <c r="BK254" i="9"/>
  <c r="BK80" i="9"/>
  <c r="BK394" i="9"/>
  <c r="BK140" i="9"/>
  <c r="BK622" i="9"/>
  <c r="BK431" i="9"/>
  <c r="BK263" i="9"/>
  <c r="BK489" i="9"/>
  <c r="BK410" i="9"/>
  <c r="BK86" i="9"/>
  <c r="BK446" i="9"/>
  <c r="BK186" i="9"/>
  <c r="BK128" i="9"/>
  <c r="BK482" i="9"/>
  <c r="BK256" i="9"/>
  <c r="BK134" i="9"/>
  <c r="BK539" i="9"/>
  <c r="BK220" i="9"/>
  <c r="BK596" i="9"/>
  <c r="BK591" i="9"/>
  <c r="BK460" i="9"/>
  <c r="BK514" i="9"/>
  <c r="BK472" i="9"/>
  <c r="BK210" i="9"/>
  <c r="BK469" i="9"/>
  <c r="BK16" i="9"/>
  <c r="BK212" i="9"/>
  <c r="BK476" i="9"/>
  <c r="BK227" i="9"/>
  <c r="BK623" i="9"/>
  <c r="BK147" i="9"/>
  <c r="BK480" i="9"/>
  <c r="BK259" i="9"/>
  <c r="BK504" i="9"/>
  <c r="BK156" i="9"/>
  <c r="BK569" i="9"/>
  <c r="BK141" i="9"/>
  <c r="BK283" i="9"/>
  <c r="BK270" i="9"/>
  <c r="H618" i="9"/>
  <c r="BK396" i="9"/>
  <c r="BK99" i="9"/>
  <c r="BK457" i="9"/>
  <c r="BK370" i="9"/>
  <c r="BK570" i="9"/>
  <c r="BK421" i="9"/>
  <c r="BK202" i="9"/>
  <c r="BK28" i="9"/>
  <c r="BK550" i="9"/>
  <c r="BK223" i="9"/>
  <c r="BK85" i="9"/>
  <c r="BK265" i="9"/>
  <c r="BK173" i="9"/>
  <c r="BK135" i="9"/>
  <c r="BK518" i="9"/>
  <c r="BK401" i="9"/>
  <c r="BK473" i="9"/>
  <c r="BK174" i="9"/>
  <c r="BK351" i="9"/>
  <c r="BK391" i="9"/>
  <c r="BK57" i="9"/>
  <c r="BK576" i="9"/>
  <c r="BK399" i="9"/>
  <c r="BK216" i="9"/>
  <c r="BK358" i="9"/>
  <c r="BK300" i="9"/>
  <c r="BK408" i="9"/>
  <c r="BK464" i="9"/>
  <c r="BK268" i="9"/>
  <c r="BK198" i="9"/>
  <c r="BK78" i="9"/>
  <c r="BK390" i="9"/>
  <c r="BK541" i="9"/>
  <c r="BK350" i="9"/>
  <c r="BK49" i="9"/>
  <c r="BK521" i="9"/>
  <c r="BK332" i="9"/>
  <c r="BK509" i="9"/>
  <c r="BK443" i="9"/>
  <c r="BK626" i="9"/>
  <c r="BK74" i="9"/>
  <c r="BK258" i="9"/>
  <c r="BK211" i="9"/>
  <c r="BK527" i="9"/>
  <c r="BK169" i="9"/>
  <c r="BK110" i="9"/>
  <c r="BK402" i="9"/>
  <c r="BK276" i="9"/>
  <c r="BK341" i="9"/>
  <c r="BK534" i="9"/>
  <c r="BK244" i="9"/>
  <c r="BK513" i="9"/>
  <c r="BK450" i="9"/>
  <c r="BK159" i="9"/>
  <c r="BK151" i="9"/>
  <c r="BK79" i="9"/>
  <c r="BK104" i="9"/>
  <c r="BK171" i="9"/>
  <c r="BK68" i="9"/>
  <c r="BK51" i="9"/>
  <c r="BK316" i="9"/>
  <c r="BK553" i="9"/>
  <c r="BK456" i="9"/>
  <c r="BK565" i="9"/>
  <c r="BK308" i="9"/>
  <c r="BK83" i="9"/>
  <c r="BK465" i="9"/>
  <c r="BK162" i="9"/>
  <c r="BK522" i="9"/>
  <c r="BK438" i="9"/>
  <c r="H223" i="9"/>
  <c r="BK573" i="9"/>
  <c r="BK479" i="9"/>
  <c r="BK240" i="9"/>
  <c r="BK31" i="9"/>
  <c r="BK543" i="9"/>
  <c r="BK463" i="9"/>
  <c r="BK19" i="9"/>
  <c r="BK153" i="9"/>
  <c r="BK511" i="9"/>
  <c r="BK285" i="9"/>
  <c r="BK20" i="9"/>
  <c r="BK124" i="9"/>
  <c r="BK621" i="9"/>
  <c r="BK281" i="9"/>
  <c r="BK119" i="9"/>
  <c r="BK528" i="9"/>
  <c r="BK27" i="9"/>
  <c r="BK475" i="9"/>
  <c r="BK365" i="9"/>
  <c r="BK537" i="9"/>
  <c r="BK508" i="9"/>
  <c r="BK498" i="9"/>
  <c r="BK415" i="9"/>
  <c r="BK505" i="9"/>
  <c r="BK478" i="9"/>
  <c r="BK620" i="9"/>
  <c r="BK241" i="9"/>
  <c r="BK60" i="9"/>
  <c r="BK447" i="9"/>
  <c r="BK165" i="9"/>
  <c r="BK555" i="9"/>
  <c r="BK405" i="9"/>
  <c r="BK176" i="9"/>
  <c r="BK434" i="9"/>
  <c r="BK362" i="9"/>
  <c r="BK249" i="9"/>
  <c r="BK121" i="9"/>
  <c r="BK535" i="9"/>
  <c r="BK458" i="9"/>
  <c r="BK195" i="9"/>
  <c r="BK400" i="9"/>
  <c r="BK217" i="9"/>
  <c r="BK32" i="9"/>
  <c r="BK38" i="9"/>
  <c r="BK462" i="9"/>
  <c r="BK247" i="9"/>
  <c r="BK452" i="9"/>
  <c r="BK468" i="9"/>
  <c r="BK122" i="9"/>
  <c r="BK314" i="9"/>
  <c r="BK404" i="9"/>
  <c r="BK109" i="9"/>
  <c r="BK63" i="9"/>
  <c r="BK73" i="9"/>
  <c r="BK544" i="9"/>
  <c r="BK389" i="9"/>
  <c r="BK188" i="9"/>
  <c r="BK177" i="9"/>
  <c r="BK558" i="9"/>
  <c r="BK42" i="9"/>
  <c r="BK624" i="9"/>
  <c r="BK436" i="9"/>
  <c r="BK236" i="9"/>
  <c r="BK25" i="9"/>
  <c r="BK288" i="9"/>
  <c r="BK142" i="9"/>
  <c r="BK546" i="9"/>
  <c r="BK43" i="9"/>
  <c r="BK40" i="9"/>
  <c r="BK467" i="9"/>
  <c r="BK59" i="9"/>
  <c r="BK41" i="9"/>
  <c r="BK524" i="9"/>
  <c r="BK286" i="9"/>
  <c r="BK203" i="9"/>
  <c r="BK549" i="9"/>
  <c r="BK67" i="9"/>
  <c r="BK168" i="9"/>
  <c r="BK108" i="9"/>
  <c r="BK502" i="9"/>
  <c r="BK411" i="9"/>
  <c r="BK412" i="9"/>
  <c r="H221" i="9"/>
  <c r="BL401" i="9" l="1"/>
  <c r="BL623" i="9"/>
  <c r="BL390" i="9"/>
  <c r="BL399" i="9"/>
  <c r="BU194" i="9"/>
  <c r="BL504" i="9"/>
  <c r="BU504" i="9"/>
  <c r="BU152" i="9"/>
  <c r="BU150" i="9"/>
  <c r="BU442" i="9"/>
  <c r="BL77" i="9"/>
  <c r="BU77" i="9"/>
  <c r="BU269" i="9"/>
  <c r="BU146" i="9"/>
  <c r="BU255" i="9"/>
  <c r="BU107" i="9"/>
  <c r="BU235" i="9"/>
  <c r="BU554" i="9"/>
  <c r="BU552" i="9"/>
  <c r="BU158" i="9"/>
  <c r="BL109" i="9"/>
  <c r="BU109" i="9"/>
  <c r="BL508" i="9"/>
  <c r="BU508" i="9"/>
  <c r="BL134" i="9"/>
  <c r="BU134" i="9"/>
  <c r="BU282" i="9"/>
  <c r="BU430" i="9"/>
  <c r="BU466" i="9"/>
  <c r="BL534" i="9"/>
  <c r="BU534" i="9"/>
  <c r="BU164" i="9"/>
  <c r="BU280" i="9"/>
  <c r="BL462" i="9"/>
  <c r="BU462" i="9"/>
  <c r="BL168" i="9"/>
  <c r="BU168" i="9"/>
  <c r="BU267" i="9"/>
  <c r="BU172" i="9"/>
  <c r="BL140" i="9"/>
  <c r="BU140" i="9"/>
  <c r="BU226" i="9"/>
  <c r="BL621" i="9"/>
  <c r="BU621" i="9"/>
  <c r="BL198" i="9"/>
  <c r="BU198" i="9"/>
  <c r="BU39" i="9"/>
  <c r="BL446" i="9"/>
  <c r="BU446" i="9"/>
  <c r="BU542" i="9"/>
  <c r="BU512" i="9"/>
  <c r="BU526" i="9"/>
  <c r="BU520" i="9"/>
  <c r="BU568" i="9"/>
  <c r="BU304" i="9"/>
  <c r="BU548" i="9"/>
  <c r="BL41" i="9"/>
  <c r="BU41" i="9"/>
  <c r="BU37" i="9"/>
  <c r="BL59" i="9"/>
  <c r="BU59" i="9"/>
  <c r="BU536" i="9"/>
  <c r="BL464" i="9"/>
  <c r="BU464" i="9"/>
  <c r="BL67" i="9"/>
  <c r="BU67" i="9"/>
  <c r="BU243" i="9"/>
  <c r="BL210" i="9"/>
  <c r="BU210" i="9"/>
  <c r="BL350" i="9"/>
  <c r="BL456" i="9"/>
  <c r="BU456" i="9"/>
  <c r="BU182" i="9"/>
  <c r="BL202" i="9"/>
  <c r="BU202" i="9"/>
  <c r="BL31" i="9"/>
  <c r="BU31" i="9"/>
  <c r="BL19" i="9"/>
  <c r="BU19" i="9"/>
  <c r="BU239" i="9"/>
  <c r="BU170" i="9"/>
  <c r="BU257" i="9"/>
  <c r="BU299" i="9"/>
  <c r="BU222" i="9"/>
  <c r="BU15" i="9"/>
  <c r="BL85" i="9"/>
  <c r="BU85" i="9"/>
  <c r="BL79" i="9"/>
  <c r="BU79" i="9"/>
  <c r="BL176" i="9"/>
  <c r="BU176" i="9"/>
  <c r="BL216" i="9"/>
  <c r="BU216" i="9"/>
  <c r="BU474" i="9"/>
  <c r="BU284" i="9"/>
  <c r="BL478" i="9"/>
  <c r="BU478" i="9"/>
  <c r="BU307" i="9"/>
  <c r="BU103" i="9"/>
  <c r="BL73" i="9"/>
  <c r="BU73" i="9"/>
  <c r="BU540" i="9"/>
  <c r="BL472" i="9"/>
  <c r="BU472" i="9"/>
  <c r="BL468" i="9"/>
  <c r="BU468" i="9"/>
  <c r="BU538" i="9"/>
  <c r="BU253" i="9"/>
  <c r="BL411" i="9"/>
  <c r="BU411" i="9"/>
  <c r="BL121" i="9"/>
  <c r="BU510" i="9"/>
  <c r="BU572" i="9"/>
  <c r="BU564" i="9"/>
  <c r="BU275" i="9"/>
  <c r="BU625" i="9"/>
  <c r="BL27" i="9"/>
  <c r="BU27" i="9"/>
  <c r="BL524" i="9"/>
  <c r="BU524" i="9"/>
  <c r="BI6" i="9"/>
  <c r="H214" i="9"/>
  <c r="H181" i="9"/>
  <c r="H210" i="9"/>
  <c r="H349" i="9"/>
  <c r="H260" i="9"/>
  <c r="H624" i="9"/>
  <c r="H94" i="9"/>
  <c r="H297" i="9"/>
  <c r="H276" i="9"/>
  <c r="H146" i="9"/>
  <c r="H480" i="9"/>
  <c r="H168" i="9"/>
  <c r="H613" i="9"/>
  <c r="H158" i="9"/>
  <c r="H331" i="9"/>
  <c r="H515" i="9"/>
  <c r="H59" i="9"/>
  <c r="H489" i="9"/>
  <c r="H172" i="9"/>
  <c r="H540" i="9"/>
  <c r="H64" i="9"/>
  <c r="H22" i="9"/>
  <c r="H186" i="9"/>
  <c r="H171" i="9"/>
  <c r="H358" i="9"/>
  <c r="H503" i="9"/>
  <c r="H206" i="9"/>
  <c r="H128" i="9"/>
  <c r="H21" i="9"/>
  <c r="I21" i="9" s="1"/>
  <c r="H499" i="9"/>
  <c r="H424" i="9"/>
  <c r="H520" i="9"/>
  <c r="H402" i="9"/>
  <c r="H48" i="9"/>
  <c r="H529" i="9"/>
  <c r="BK598" i="9"/>
  <c r="H605" i="9"/>
  <c r="H130" i="9"/>
  <c r="H233" i="9"/>
  <c r="H568" i="9"/>
  <c r="H38" i="9"/>
  <c r="H411" i="9"/>
  <c r="H492" i="9"/>
  <c r="H511" i="9"/>
  <c r="BK597" i="9"/>
  <c r="H285" i="9"/>
  <c r="BK609" i="9"/>
  <c r="H205" i="9"/>
  <c r="H428" i="9"/>
  <c r="H377" i="9"/>
  <c r="H307" i="9"/>
  <c r="H509" i="9"/>
  <c r="H498" i="9"/>
  <c r="H554" i="9"/>
  <c r="H398" i="9"/>
  <c r="H126" i="9"/>
  <c r="H399" i="9"/>
  <c r="H166" i="9"/>
  <c r="H254" i="9"/>
  <c r="H32" i="9"/>
  <c r="H576" i="9"/>
  <c r="H188" i="9"/>
  <c r="H391" i="9"/>
  <c r="H249" i="9"/>
  <c r="H606" i="9"/>
  <c r="I605" i="9" s="1"/>
  <c r="H165" i="9"/>
  <c r="H547" i="9"/>
  <c r="H191" i="9"/>
  <c r="H70" i="9"/>
  <c r="H37" i="9"/>
  <c r="H291" i="9"/>
  <c r="H109" i="9"/>
  <c r="H504" i="9"/>
  <c r="H35" i="9"/>
  <c r="H625" i="9"/>
  <c r="H115" i="9"/>
  <c r="H467" i="9"/>
  <c r="H255" i="9"/>
  <c r="H583" i="9"/>
  <c r="H537" i="9"/>
  <c r="H49" i="9"/>
  <c r="H239" i="9"/>
  <c r="H329" i="9"/>
  <c r="H192" i="9"/>
  <c r="H63" i="9"/>
  <c r="I63" i="9" s="1"/>
  <c r="H565" i="9"/>
  <c r="H122" i="9"/>
  <c r="H393" i="9"/>
  <c r="H169" i="9"/>
  <c r="H558" i="9"/>
  <c r="H518" i="9"/>
  <c r="H415" i="9"/>
  <c r="H19" i="9"/>
  <c r="H570" i="9"/>
  <c r="H330" i="9"/>
  <c r="H593" i="9"/>
  <c r="H147" i="9"/>
  <c r="H379" i="9"/>
  <c r="H487" i="9"/>
  <c r="H339" i="9"/>
  <c r="H68" i="9"/>
  <c r="H238" i="9"/>
  <c r="H508" i="9"/>
  <c r="H430" i="9"/>
  <c r="H326" i="9"/>
  <c r="H250" i="9"/>
  <c r="H66" i="9"/>
  <c r="H203" i="9"/>
  <c r="H173" i="9"/>
  <c r="H199" i="9"/>
  <c r="H525" i="9"/>
  <c r="H460" i="9"/>
  <c r="H556" i="9"/>
  <c r="H200" i="9"/>
  <c r="H466" i="9"/>
  <c r="H493" i="9"/>
  <c r="I492" i="9" s="1"/>
  <c r="H387" i="9"/>
  <c r="H389" i="9"/>
  <c r="H356" i="9"/>
  <c r="H375" i="9"/>
  <c r="BK603" i="9"/>
  <c r="H300" i="9"/>
  <c r="H336" i="9"/>
  <c r="H89" i="9"/>
  <c r="H354" i="9"/>
  <c r="H539" i="9"/>
  <c r="H608" i="9"/>
  <c r="H197" i="9"/>
  <c r="H95" i="9"/>
  <c r="BK607" i="9"/>
  <c r="H320" i="9"/>
  <c r="H409" i="9"/>
  <c r="H77" i="9"/>
  <c r="H28" i="9"/>
  <c r="H289" i="9"/>
  <c r="H382" i="9"/>
  <c r="H468" i="9"/>
  <c r="H219" i="9"/>
  <c r="H351" i="9"/>
  <c r="H528" i="9"/>
  <c r="H494" i="9"/>
  <c r="H425" i="9"/>
  <c r="H325" i="9"/>
  <c r="H588" i="9"/>
  <c r="H47" i="9"/>
  <c r="I47" i="9" s="1"/>
  <c r="H14" i="9"/>
  <c r="H310" i="9"/>
  <c r="H308" i="9"/>
  <c r="I307" i="9" s="1"/>
  <c r="H247" i="9"/>
  <c r="H337" i="9"/>
  <c r="I336" i="9" s="1"/>
  <c r="H182" i="9"/>
  <c r="H83" i="9"/>
  <c r="H603" i="9"/>
  <c r="H81" i="9"/>
  <c r="H368" i="9"/>
  <c r="H506" i="9"/>
  <c r="H327" i="9"/>
  <c r="H24" i="9"/>
  <c r="BK604" i="9"/>
  <c r="H127" i="9"/>
  <c r="I127" i="9" s="1"/>
  <c r="H338" i="9"/>
  <c r="H295" i="9"/>
  <c r="H142" i="9"/>
  <c r="H497" i="9"/>
  <c r="H502" i="9"/>
  <c r="H422" i="9"/>
  <c r="H177" i="9"/>
  <c r="H184" i="9"/>
  <c r="H262" i="9"/>
  <c r="H477" i="9"/>
  <c r="H322" i="9"/>
  <c r="BK601" i="9"/>
  <c r="H124" i="9"/>
  <c r="H90" i="9"/>
  <c r="H311" i="9"/>
  <c r="I310" i="9" s="1"/>
  <c r="H15" i="9"/>
  <c r="H105" i="9"/>
  <c r="H104" i="9"/>
  <c r="H346" i="9"/>
  <c r="H67" i="9"/>
  <c r="I67" i="9" s="1"/>
  <c r="H376" i="9"/>
  <c r="H280" i="9"/>
  <c r="H244" i="9"/>
  <c r="H386" i="9"/>
  <c r="H163" i="9"/>
  <c r="H170" i="9"/>
  <c r="H296" i="9"/>
  <c r="H557" i="9"/>
  <c r="H360" i="9"/>
  <c r="H264" i="9"/>
  <c r="H543" i="9"/>
  <c r="H246" i="9"/>
  <c r="H332" i="9"/>
  <c r="H162" i="9"/>
  <c r="H256" i="9"/>
  <c r="H400" i="9"/>
  <c r="I399" i="9" s="1"/>
  <c r="H155" i="9"/>
  <c r="BK602" i="9"/>
  <c r="H108" i="9"/>
  <c r="H478" i="9"/>
  <c r="H555" i="9"/>
  <c r="I554" i="9" s="1"/>
  <c r="H559" i="9"/>
  <c r="I558" i="9" s="1"/>
  <c r="H536" i="9"/>
  <c r="H550" i="9"/>
  <c r="H385" i="9"/>
  <c r="H344" i="9"/>
  <c r="H25" i="9"/>
  <c r="H362" i="9"/>
  <c r="H512" i="9"/>
  <c r="H413" i="9"/>
  <c r="H129" i="9"/>
  <c r="I129" i="9" s="1"/>
  <c r="H486" i="9"/>
  <c r="H282" i="9"/>
  <c r="H410" i="9"/>
  <c r="I409" i="9" s="1"/>
  <c r="H194" i="9"/>
  <c r="H20" i="9"/>
  <c r="H216" i="9"/>
  <c r="H84" i="9"/>
  <c r="H160" i="9"/>
  <c r="H267" i="9"/>
  <c r="H253" i="9"/>
  <c r="I253" i="9" s="1"/>
  <c r="H292" i="9"/>
  <c r="H532" i="9"/>
  <c r="H29" i="9"/>
  <c r="H65" i="9"/>
  <c r="I65" i="9" s="1"/>
  <c r="H397" i="9"/>
  <c r="H131" i="9"/>
  <c r="H553" i="9"/>
  <c r="H323" i="9"/>
  <c r="I322" i="9" s="1"/>
  <c r="H103" i="9"/>
  <c r="H257" i="9"/>
  <c r="H544" i="9"/>
  <c r="H373" i="9"/>
  <c r="H562" i="9"/>
  <c r="H591" i="9"/>
  <c r="H207" i="9"/>
  <c r="BK610" i="9"/>
  <c r="H23" i="9"/>
  <c r="I23" i="9" s="1"/>
  <c r="H548" i="9"/>
  <c r="H526" i="9"/>
  <c r="H366" i="9"/>
  <c r="H417" i="9"/>
  <c r="H18" i="9"/>
  <c r="H564" i="9"/>
  <c r="H469" i="9"/>
  <c r="I468" i="9" s="1"/>
  <c r="H42" i="9"/>
  <c r="H159" i="9"/>
  <c r="H472" i="9"/>
  <c r="H234" i="9"/>
  <c r="H167" i="9"/>
  <c r="H266" i="9"/>
  <c r="H318" i="9"/>
  <c r="H98" i="9"/>
  <c r="H335" i="9"/>
  <c r="H284" i="9"/>
  <c r="H572" i="9"/>
  <c r="H470" i="9"/>
  <c r="H317" i="9"/>
  <c r="H278" i="9"/>
  <c r="H174" i="9"/>
  <c r="H202" i="9"/>
  <c r="H328" i="9"/>
  <c r="H364" i="9"/>
  <c r="H87" i="9"/>
  <c r="H343" i="9"/>
  <c r="H390" i="9"/>
  <c r="H53" i="9"/>
  <c r="H271" i="9"/>
  <c r="H471" i="9"/>
  <c r="H241" i="9"/>
  <c r="H401" i="9"/>
  <c r="H567" i="9"/>
  <c r="H345" i="9"/>
  <c r="I344" i="9" s="1"/>
  <c r="H395" i="9"/>
  <c r="H507" i="9"/>
  <c r="I506" i="9" s="1"/>
  <c r="H153" i="9"/>
  <c r="H240" i="9"/>
  <c r="H505" i="9"/>
  <c r="I504" i="9" s="1"/>
  <c r="H614" i="9"/>
  <c r="I613" i="9" s="1"/>
  <c r="H581" i="9"/>
  <c r="H579" i="9"/>
  <c r="H597" i="9"/>
  <c r="H582" i="9"/>
  <c r="H500" i="9"/>
  <c r="H137" i="9"/>
  <c r="H611" i="9"/>
  <c r="H50" i="9"/>
  <c r="H157" i="9"/>
  <c r="H367" i="9"/>
  <c r="I366" i="9" s="1"/>
  <c r="H531" i="9"/>
  <c r="H592" i="9"/>
  <c r="I591" i="9" s="1"/>
  <c r="H293" i="9"/>
  <c r="I292" i="9" s="1"/>
  <c r="H279" i="9"/>
  <c r="I278" i="9" s="1"/>
  <c r="H113" i="9"/>
  <c r="H10" i="9"/>
  <c r="H595" i="9"/>
  <c r="H601" i="9"/>
  <c r="H578" i="9"/>
  <c r="H218" i="9"/>
  <c r="I218" i="9" s="1"/>
  <c r="H275" i="9"/>
  <c r="I275" i="9" s="1"/>
  <c r="H612" i="9"/>
  <c r="I611" i="9" s="1"/>
  <c r="H138" i="9"/>
  <c r="H600" i="9"/>
  <c r="H414" i="9"/>
  <c r="H123" i="9"/>
  <c r="I123" i="9" s="1"/>
  <c r="H229" i="9"/>
  <c r="H237" i="9"/>
  <c r="H156" i="9"/>
  <c r="H359" i="9"/>
  <c r="I358" i="9" s="1"/>
  <c r="H355" i="9"/>
  <c r="I354" i="9" s="1"/>
  <c r="H519" i="9"/>
  <c r="I518" i="9" s="1"/>
  <c r="H56" i="9"/>
  <c r="H521" i="9"/>
  <c r="I520" i="9" s="1"/>
  <c r="H350" i="9"/>
  <c r="H57" i="9"/>
  <c r="H530" i="9"/>
  <c r="H236" i="9"/>
  <c r="H491" i="9"/>
  <c r="H27" i="9"/>
  <c r="I27" i="9" s="1"/>
  <c r="H119" i="9"/>
  <c r="H36" i="9"/>
  <c r="H273" i="9"/>
  <c r="H523" i="9"/>
  <c r="H616" i="9"/>
  <c r="H154" i="9"/>
  <c r="I154" i="9" s="1"/>
  <c r="H100" i="9"/>
  <c r="H363" i="9"/>
  <c r="I362" i="9" s="1"/>
  <c r="BK612" i="9"/>
  <c r="H542" i="9"/>
  <c r="H132" i="9"/>
  <c r="H333" i="9"/>
  <c r="I332" i="9" s="1"/>
  <c r="H272" i="9"/>
  <c r="H604" i="9"/>
  <c r="I603" i="9" s="1"/>
  <c r="H13" i="9"/>
  <c r="I13" i="9" s="1"/>
  <c r="H619" i="9"/>
  <c r="H265" i="9"/>
  <c r="I265" i="9" s="1"/>
  <c r="H69" i="9"/>
  <c r="I69" i="9" s="1"/>
  <c r="H419" i="9"/>
  <c r="H261" i="9"/>
  <c r="I261" i="9" s="1"/>
  <c r="H406" i="9"/>
  <c r="H294" i="9"/>
  <c r="H121" i="9"/>
  <c r="I121" i="9" s="1"/>
  <c r="H462" i="9"/>
  <c r="H475" i="9"/>
  <c r="H407" i="9"/>
  <c r="H461" i="9"/>
  <c r="I460" i="9" s="1"/>
  <c r="H73" i="9"/>
  <c r="H134" i="9"/>
  <c r="H342" i="9"/>
  <c r="BK600" i="9"/>
  <c r="H16" i="9"/>
  <c r="H44" i="9"/>
  <c r="H599" i="9"/>
  <c r="H501" i="9"/>
  <c r="I500" i="9" s="1"/>
  <c r="H546" i="9"/>
  <c r="H290" i="9"/>
  <c r="H483" i="9"/>
  <c r="H101" i="9"/>
  <c r="H623" i="9"/>
  <c r="H412" i="9"/>
  <c r="I411" i="9" s="1"/>
  <c r="H524" i="9"/>
  <c r="H93" i="9"/>
  <c r="I93" i="9" s="1"/>
  <c r="H281" i="9"/>
  <c r="I280" i="9" s="1"/>
  <c r="H60" i="9"/>
  <c r="H211" i="9"/>
  <c r="H248" i="9"/>
  <c r="H396" i="9"/>
  <c r="I395" i="9" s="1"/>
  <c r="H208" i="9"/>
  <c r="H490" i="9"/>
  <c r="H140" i="9"/>
  <c r="H97" i="9"/>
  <c r="I97" i="9" s="1"/>
  <c r="H215" i="9"/>
  <c r="H39" i="9"/>
  <c r="H545" i="9"/>
  <c r="I544" i="9" s="1"/>
  <c r="H61" i="9"/>
  <c r="H552" i="9"/>
  <c r="H144" i="9"/>
  <c r="H230" i="9"/>
  <c r="H263" i="9"/>
  <c r="H135" i="9"/>
  <c r="H607" i="9"/>
  <c r="H86" i="9"/>
  <c r="H180" i="9"/>
  <c r="I180" i="9" s="1"/>
  <c r="H431" i="9"/>
  <c r="I430" i="9" s="1"/>
  <c r="H287" i="9"/>
  <c r="BK608" i="9"/>
  <c r="BL607" i="9" s="1"/>
  <c r="H369" i="9"/>
  <c r="I368" i="9" s="1"/>
  <c r="H404" i="9"/>
  <c r="H586" i="9"/>
  <c r="H426" i="9"/>
  <c r="I425" i="9" s="1"/>
  <c r="H176" i="9"/>
  <c r="I176" i="9" s="1"/>
  <c r="BK599" i="9"/>
  <c r="H52" i="9"/>
  <c r="H161" i="9"/>
  <c r="H148" i="9"/>
  <c r="H610" i="9"/>
  <c r="H371" i="9"/>
  <c r="H569" i="9"/>
  <c r="I568" i="9" s="1"/>
  <c r="H384" i="9"/>
  <c r="H78" i="9"/>
  <c r="H201" i="9"/>
  <c r="H268" i="9"/>
  <c r="H560" i="9"/>
  <c r="H243" i="9"/>
  <c r="I243" i="9" s="1"/>
  <c r="H609" i="9"/>
  <c r="H74" i="9"/>
  <c r="H79" i="9"/>
  <c r="H535" i="9"/>
  <c r="H589" i="9"/>
  <c r="I588" i="9" s="1"/>
  <c r="H187" i="9"/>
  <c r="H463" i="9"/>
  <c r="I462" i="9" s="1"/>
  <c r="H151" i="9"/>
  <c r="H563" i="9"/>
  <c r="I562" i="9" s="1"/>
  <c r="H374" i="9"/>
  <c r="H352" i="9"/>
  <c r="H242" i="9"/>
  <c r="H164" i="9"/>
  <c r="I164" i="9" s="1"/>
  <c r="H259" i="9"/>
  <c r="I259" i="9" s="1"/>
  <c r="H316" i="9"/>
  <c r="H193" i="9"/>
  <c r="H196" i="9"/>
  <c r="BK611" i="9"/>
  <c r="H55" i="9"/>
  <c r="I55" i="9" s="1"/>
  <c r="H580" i="9"/>
  <c r="H510" i="9"/>
  <c r="H204" i="9"/>
  <c r="H288" i="9"/>
  <c r="H299" i="9"/>
  <c r="H405" i="9"/>
  <c r="H464" i="9"/>
  <c r="H209" i="9"/>
  <c r="H334" i="9"/>
  <c r="H30" i="9"/>
  <c r="H324" i="9"/>
  <c r="H485" i="9"/>
  <c r="H361" i="9"/>
  <c r="I360" i="9" s="1"/>
  <c r="H43" i="9"/>
  <c r="I43" i="9" s="1"/>
  <c r="H496" i="9"/>
  <c r="H145" i="9"/>
  <c r="H473" i="9"/>
  <c r="I472" i="9" s="1"/>
  <c r="H185" i="9"/>
  <c r="H321" i="9"/>
  <c r="I320" i="9" s="1"/>
  <c r="H286" i="9"/>
  <c r="H251" i="9"/>
  <c r="H488" i="9"/>
  <c r="H226" i="9"/>
  <c r="H584" i="9"/>
  <c r="H341" i="9"/>
  <c r="H270" i="9"/>
  <c r="H245" i="9"/>
  <c r="H408" i="9"/>
  <c r="I407" i="9" s="1"/>
  <c r="H31" i="9"/>
  <c r="I31" i="9" s="1"/>
  <c r="H365" i="9"/>
  <c r="I364" i="9" s="1"/>
  <c r="H125" i="9"/>
  <c r="I125" i="9" s="1"/>
  <c r="H213" i="9"/>
  <c r="H107" i="9"/>
  <c r="I107" i="9" s="1"/>
  <c r="H58" i="9"/>
  <c r="H573" i="9"/>
  <c r="I572" i="9" s="1"/>
  <c r="H114" i="9"/>
  <c r="H482" i="9"/>
  <c r="H465" i="9"/>
  <c r="I464" i="9" s="1"/>
  <c r="H538" i="9"/>
  <c r="H305" i="9"/>
  <c r="H380" i="9"/>
  <c r="H212" i="9"/>
  <c r="H227" i="9"/>
  <c r="H274" i="9"/>
  <c r="H106" i="9"/>
  <c r="H80" i="9"/>
  <c r="H102" i="9"/>
  <c r="H585" i="9"/>
  <c r="I584" i="9" s="1"/>
  <c r="H534" i="9"/>
  <c r="H476" i="9"/>
  <c r="H120" i="9"/>
  <c r="H319" i="9"/>
  <c r="I318" i="9" s="1"/>
  <c r="H432" i="9"/>
  <c r="H571" i="9"/>
  <c r="I570" i="9" s="1"/>
  <c r="H314" i="9"/>
  <c r="H54" i="9"/>
  <c r="H421" i="9"/>
  <c r="H190" i="9"/>
  <c r="I190" i="9" s="1"/>
  <c r="H527" i="9"/>
  <c r="I526" i="9" s="1"/>
  <c r="H357" i="9"/>
  <c r="I356" i="9" s="1"/>
  <c r="H517" i="9"/>
  <c r="H370" i="9"/>
  <c r="H549" i="9"/>
  <c r="I548" i="9" s="1"/>
  <c r="H175" i="9"/>
  <c r="H615" i="9"/>
  <c r="H348" i="9"/>
  <c r="H347" i="9"/>
  <c r="I346" i="9" s="1"/>
  <c r="H481" i="9"/>
  <c r="I480" i="9" s="1"/>
  <c r="H217" i="9"/>
  <c r="H574" i="9"/>
  <c r="H596" i="9"/>
  <c r="I595" i="9" s="1"/>
  <c r="H381" i="9"/>
  <c r="I380" i="9" s="1"/>
  <c r="H235" i="9"/>
  <c r="I235" i="9" s="1"/>
  <c r="H577" i="9"/>
  <c r="I576" i="9" s="1"/>
  <c r="H41" i="9"/>
  <c r="I41" i="9" s="1"/>
  <c r="H383" i="9"/>
  <c r="I382" i="9" s="1"/>
  <c r="H388" i="9"/>
  <c r="H340" i="9"/>
  <c r="H99" i="9"/>
  <c r="I99" i="9" s="1"/>
  <c r="BK605" i="9"/>
  <c r="H17" i="9"/>
  <c r="I17" i="9" s="1"/>
  <c r="H96" i="9"/>
  <c r="H258" i="9"/>
  <c r="H587" i="9"/>
  <c r="I586" i="9" s="1"/>
  <c r="H429" i="9"/>
  <c r="I428" i="9" s="1"/>
  <c r="H82" i="9"/>
  <c r="H304" i="9"/>
  <c r="H152" i="9"/>
  <c r="I152" i="9" s="1"/>
  <c r="H189" i="9"/>
  <c r="H143" i="9"/>
  <c r="H315" i="9"/>
  <c r="I314" i="9" s="1"/>
  <c r="H516" i="9"/>
  <c r="H116" i="9"/>
  <c r="BK614" i="9"/>
  <c r="H522" i="9"/>
  <c r="H575" i="9"/>
  <c r="I574" i="9" s="1"/>
  <c r="H269" i="9"/>
  <c r="H353" i="9"/>
  <c r="I352" i="9" s="1"/>
  <c r="H626" i="9"/>
  <c r="H418" i="9"/>
  <c r="I417" i="9" s="1"/>
  <c r="H141" i="9"/>
  <c r="H474" i="9"/>
  <c r="H378" i="9"/>
  <c r="H51" i="9"/>
  <c r="I51" i="9" s="1"/>
  <c r="H533" i="9"/>
  <c r="I532" i="9" s="1"/>
  <c r="H420" i="9"/>
  <c r="I419" i="9" s="1"/>
  <c r="H183" i="9"/>
  <c r="H149" i="9"/>
  <c r="H566" i="9"/>
  <c r="H594" i="9"/>
  <c r="I593" i="9" s="1"/>
  <c r="H150" i="9"/>
  <c r="I150" i="9" s="1"/>
  <c r="H433" i="9"/>
  <c r="I432" i="9" s="1"/>
  <c r="H85" i="9"/>
  <c r="I85" i="9" s="1"/>
  <c r="H484" i="9"/>
  <c r="H416" i="9"/>
  <c r="I415" i="9" s="1"/>
  <c r="H62" i="9"/>
  <c r="H495" i="9"/>
  <c r="I494" i="9" s="1"/>
  <c r="H40" i="9"/>
  <c r="H88" i="9"/>
  <c r="H561" i="9"/>
  <c r="I560" i="9" s="1"/>
  <c r="H551" i="9"/>
  <c r="I550" i="9" s="1"/>
  <c r="H513" i="9"/>
  <c r="I512" i="9" s="1"/>
  <c r="H423" i="9"/>
  <c r="H252" i="9"/>
  <c r="H195" i="9"/>
  <c r="BK606" i="9"/>
  <c r="H198" i="9"/>
  <c r="I198" i="9" s="1"/>
  <c r="H372" i="9"/>
  <c r="H598" i="9"/>
  <c r="I597" i="9" s="1"/>
  <c r="H9" i="9"/>
  <c r="I9" i="9" s="1"/>
  <c r="H26" i="9"/>
  <c r="H110" i="9"/>
  <c r="H479" i="9"/>
  <c r="I478" i="9" s="1"/>
  <c r="H620" i="9"/>
  <c r="I619" i="9" s="1"/>
  <c r="H283" i="9"/>
  <c r="I282" i="9" s="1"/>
  <c r="H394" i="9"/>
  <c r="I393" i="9" s="1"/>
  <c r="H602" i="9"/>
  <c r="I601" i="9" s="1"/>
  <c r="H514" i="9"/>
  <c r="BK613" i="9"/>
  <c r="H541" i="9"/>
  <c r="I540" i="9" s="1"/>
  <c r="H403" i="9"/>
  <c r="BK579" i="9"/>
  <c r="BK377" i="9"/>
  <c r="BK338" i="9"/>
  <c r="BK385" i="9"/>
  <c r="BK582" i="9"/>
  <c r="BK383" i="9"/>
  <c r="BK326" i="9"/>
  <c r="BK320" i="9"/>
  <c r="BK339" i="9"/>
  <c r="BK344" i="9"/>
  <c r="BK318" i="9"/>
  <c r="BK374" i="9"/>
  <c r="BK319" i="9"/>
  <c r="BK384" i="9"/>
  <c r="BK375" i="9"/>
  <c r="BK347" i="9"/>
  <c r="BK584" i="9"/>
  <c r="BK325" i="9"/>
  <c r="BK345" i="9"/>
  <c r="BK381" i="9"/>
  <c r="BK378" i="9"/>
  <c r="BK328" i="9"/>
  <c r="BK587" i="9"/>
  <c r="BK330" i="9"/>
  <c r="BK379" i="9"/>
  <c r="BK337" i="9"/>
  <c r="BK331" i="9"/>
  <c r="BK376" i="9"/>
  <c r="BK586" i="9"/>
  <c r="BK324" i="9"/>
  <c r="BK329" i="9"/>
  <c r="BK583" i="9"/>
  <c r="BK342" i="9"/>
  <c r="BK327" i="9"/>
  <c r="BK321" i="9"/>
  <c r="BL320" i="9" s="1"/>
  <c r="BK349" i="9"/>
  <c r="BK334" i="9"/>
  <c r="BK380" i="9"/>
  <c r="BK585" i="9"/>
  <c r="BK578" i="9"/>
  <c r="BK581" i="9"/>
  <c r="BK335" i="9"/>
  <c r="BK580" i="9"/>
  <c r="BK348" i="9"/>
  <c r="BK343" i="9"/>
  <c r="BK346" i="9"/>
  <c r="BK336" i="9"/>
  <c r="BK382" i="9"/>
  <c r="BK242" i="9"/>
  <c r="BK14" i="9"/>
  <c r="BK619" i="9"/>
  <c r="BL619" i="9" s="1"/>
  <c r="BK26" i="9"/>
  <c r="BK532" i="9"/>
  <c r="BK246" i="9"/>
  <c r="BK477" i="9"/>
  <c r="BK166" i="9"/>
  <c r="BK360" i="9"/>
  <c r="BK307" i="9"/>
  <c r="BL307" i="9" s="1"/>
  <c r="BK566" i="9"/>
  <c r="BK441" i="9"/>
  <c r="BK144" i="9"/>
  <c r="BK93" i="9"/>
  <c r="BK96" i="9"/>
  <c r="BK361" i="9"/>
  <c r="BK243" i="9"/>
  <c r="BL243" i="9" s="1"/>
  <c r="BK540" i="9"/>
  <c r="BL540" i="9" s="1"/>
  <c r="BK418" i="9"/>
  <c r="BK94" i="9"/>
  <c r="BK237" i="9"/>
  <c r="BK131" i="9"/>
  <c r="BK493" i="9"/>
  <c r="BK266" i="9"/>
  <c r="BK453" i="9"/>
  <c r="BK395" i="9"/>
  <c r="BL395" i="9" s="1"/>
  <c r="BK592" i="9"/>
  <c r="BL591" i="9" s="1"/>
  <c r="BK455" i="9"/>
  <c r="BK485" i="9"/>
  <c r="BK56" i="9"/>
  <c r="BK275" i="9"/>
  <c r="BL275" i="9" s="1"/>
  <c r="BK531" i="9"/>
  <c r="BK187" i="9"/>
  <c r="BK292" i="9"/>
  <c r="BK559" i="9"/>
  <c r="BK369" i="9"/>
  <c r="BK209" i="9"/>
  <c r="BK490" i="9"/>
  <c r="BK245" i="9"/>
  <c r="BK501" i="9"/>
  <c r="BK192" i="9"/>
  <c r="BK294" i="9"/>
  <c r="BK444" i="9"/>
  <c r="BK424" i="9"/>
  <c r="BK333" i="9"/>
  <c r="BL332" i="9" s="1"/>
  <c r="BK279" i="9"/>
  <c r="BK107" i="9"/>
  <c r="BL107" i="9" s="1"/>
  <c r="BK257" i="9"/>
  <c r="BL257" i="9" s="1"/>
  <c r="BK61" i="9"/>
  <c r="BK519" i="9"/>
  <c r="BK386" i="9"/>
  <c r="BK129" i="9"/>
  <c r="BK37" i="9"/>
  <c r="BL37" i="9" s="1"/>
  <c r="BK471" i="9"/>
  <c r="BK561" i="9"/>
  <c r="BK366" i="9"/>
  <c r="BK29" i="9"/>
  <c r="BK267" i="9"/>
  <c r="BL267" i="9" s="1"/>
  <c r="BK250" i="9"/>
  <c r="BK215" i="9"/>
  <c r="BK448" i="9"/>
  <c r="BK54" i="9"/>
  <c r="BK368" i="9"/>
  <c r="BK563" i="9"/>
  <c r="BK190" i="9"/>
  <c r="BK454" i="9"/>
  <c r="BK499" i="9"/>
  <c r="BL498" i="9" s="1"/>
  <c r="BK426" i="9"/>
  <c r="BK491" i="9"/>
  <c r="BK98" i="9"/>
  <c r="BK387" i="9"/>
  <c r="BK442" i="9"/>
  <c r="BL442" i="9" s="1"/>
  <c r="BK388" i="9"/>
  <c r="BL388" i="9" s="1"/>
  <c r="BK18" i="9"/>
  <c r="BK282" i="9"/>
  <c r="BL282" i="9" s="1"/>
  <c r="BK429" i="9"/>
  <c r="BK280" i="9"/>
  <c r="BL280" i="9" s="1"/>
  <c r="BK413" i="9"/>
  <c r="BK207" i="9"/>
  <c r="BK95" i="9"/>
  <c r="BK575" i="9"/>
  <c r="BK234" i="9"/>
  <c r="BK90" i="9"/>
  <c r="BK44" i="9"/>
  <c r="BK114" i="9"/>
  <c r="BK50" i="9"/>
  <c r="BK459" i="9"/>
  <c r="BK127" i="9"/>
  <c r="BL127" i="9" s="1"/>
  <c r="BK200" i="9"/>
  <c r="BK157" i="9"/>
  <c r="BK497" i="9"/>
  <c r="BK483" i="9"/>
  <c r="BK451" i="9"/>
  <c r="BK500" i="9"/>
  <c r="H220" i="9"/>
  <c r="I220" i="9" s="1"/>
  <c r="BK58" i="9"/>
  <c r="BK62" i="9"/>
  <c r="BK311" i="9"/>
  <c r="BK261" i="9"/>
  <c r="BK53" i="9"/>
  <c r="BK172" i="9"/>
  <c r="BL172" i="9" s="1"/>
  <c r="BK562" i="9"/>
  <c r="BK371" i="9"/>
  <c r="BL370" i="9" s="1"/>
  <c r="BK180" i="9"/>
  <c r="BK113" i="9"/>
  <c r="BK488" i="9"/>
  <c r="BL488" i="9" s="1"/>
  <c r="BK517" i="9"/>
  <c r="BK163" i="9"/>
  <c r="BK17" i="9"/>
  <c r="BK507" i="9"/>
  <c r="BK205" i="9"/>
  <c r="BK262" i="9"/>
  <c r="BK617" i="9"/>
  <c r="BK542" i="9"/>
  <c r="BL542" i="9" s="1"/>
  <c r="BK100" i="9"/>
  <c r="BK88" i="9"/>
  <c r="BK433" i="9"/>
  <c r="BK533" i="9"/>
  <c r="BK297" i="9"/>
  <c r="BK218" i="9"/>
  <c r="BK474" i="9"/>
  <c r="BL474" i="9" s="1"/>
  <c r="BK55" i="9"/>
  <c r="BK21" i="9"/>
  <c r="BK310" i="9"/>
  <c r="BK496" i="9"/>
  <c r="BK149" i="9"/>
  <c r="BK164" i="9"/>
  <c r="BL164" i="9" s="1"/>
  <c r="BK23" i="9"/>
  <c r="BK403" i="9"/>
  <c r="BL403" i="9" s="1"/>
  <c r="BK567" i="9"/>
  <c r="BK315" i="9"/>
  <c r="BL314" i="9" s="1"/>
  <c r="BK248" i="9"/>
  <c r="BK547" i="9"/>
  <c r="BK152" i="9"/>
  <c r="BL152" i="9" s="1"/>
  <c r="BK409" i="9"/>
  <c r="BL409" i="9" s="1"/>
  <c r="BK564" i="9"/>
  <c r="BL564" i="9" s="1"/>
  <c r="BK548" i="9"/>
  <c r="BL548" i="9" s="1"/>
  <c r="BK449" i="9"/>
  <c r="BK340" i="9"/>
  <c r="BL340" i="9" s="1"/>
  <c r="BK290" i="9"/>
  <c r="BK221" i="9"/>
  <c r="BK84" i="9"/>
  <c r="BK461" i="9"/>
  <c r="BK196" i="9"/>
  <c r="BK197" i="9"/>
  <c r="BK24" i="9"/>
  <c r="BK48" i="9"/>
  <c r="BK588" i="9"/>
  <c r="BK194" i="9"/>
  <c r="BL194" i="9" s="1"/>
  <c r="BK35" i="9"/>
  <c r="BK233" i="9"/>
  <c r="BK116" i="9"/>
  <c r="BK417" i="9"/>
  <c r="BK69" i="9"/>
  <c r="BK422" i="9"/>
  <c r="BL421" i="9" s="1"/>
  <c r="BK235" i="9"/>
  <c r="BL235" i="9" s="1"/>
  <c r="BK102" i="9"/>
  <c r="BK425" i="9"/>
  <c r="BK222" i="9"/>
  <c r="BL222" i="9" s="1"/>
  <c r="BK230" i="9"/>
  <c r="BK440" i="9"/>
  <c r="BK36" i="9"/>
  <c r="H617" i="9"/>
  <c r="I617" i="9" s="1"/>
  <c r="BK191" i="9"/>
  <c r="BK138" i="9"/>
  <c r="BK625" i="9"/>
  <c r="BL625" i="9" s="1"/>
  <c r="BK181" i="9"/>
  <c r="BK273" i="9"/>
  <c r="BK284" i="9"/>
  <c r="BL284" i="9" s="1"/>
  <c r="BK494" i="9"/>
  <c r="BK10" i="9"/>
  <c r="BK143" i="9"/>
  <c r="BK432" i="9"/>
  <c r="BK615" i="9"/>
  <c r="BK64" i="9"/>
  <c r="BK13" i="9"/>
  <c r="BK170" i="9"/>
  <c r="BL170" i="9" s="1"/>
  <c r="BK595" i="9"/>
  <c r="BL595" i="9" s="1"/>
  <c r="BK70" i="9"/>
  <c r="BK359" i="9"/>
  <c r="BL358" i="9" s="1"/>
  <c r="BK486" i="9"/>
  <c r="BK132" i="9"/>
  <c r="BL131" i="9" s="1"/>
  <c r="BK253" i="9"/>
  <c r="BL253" i="9" s="1"/>
  <c r="BK39" i="9"/>
  <c r="BL39" i="9" s="1"/>
  <c r="BK516" i="9"/>
  <c r="BK593" i="9"/>
  <c r="BK219" i="9"/>
  <c r="BK154" i="9"/>
  <c r="BK125" i="9"/>
  <c r="BK520" i="9"/>
  <c r="BL520" i="9" s="1"/>
  <c r="BK105" i="9"/>
  <c r="BK510" i="9"/>
  <c r="BL510" i="9" s="1"/>
  <c r="BK296" i="9"/>
  <c r="BK481" i="9"/>
  <c r="BK206" i="9"/>
  <c r="BK145" i="9"/>
  <c r="BK430" i="9"/>
  <c r="BL430" i="9" s="1"/>
  <c r="BK495" i="9"/>
  <c r="BK437" i="9"/>
  <c r="BK372" i="9"/>
  <c r="BK445" i="9"/>
  <c r="BK167" i="9"/>
  <c r="BK214" i="9"/>
  <c r="BK189" i="9"/>
  <c r="BK364" i="9"/>
  <c r="BL364" i="9" s="1"/>
  <c r="BK89" i="9"/>
  <c r="BK536" i="9"/>
  <c r="BL536" i="9" s="1"/>
  <c r="BK184" i="9"/>
  <c r="BK616" i="9"/>
  <c r="BK269" i="9"/>
  <c r="BL269" i="9" s="1"/>
  <c r="BK373" i="9"/>
  <c r="BK81" i="9"/>
  <c r="BK272" i="9"/>
  <c r="BK289" i="9"/>
  <c r="BK161" i="9"/>
  <c r="BK414" i="9"/>
  <c r="BK618" i="9"/>
  <c r="BK492" i="9"/>
  <c r="BK229" i="9"/>
  <c r="BK271" i="9"/>
  <c r="BK193" i="9"/>
  <c r="BK120" i="9"/>
  <c r="BK287" i="9"/>
  <c r="BK322" i="9"/>
  <c r="BK293" i="9"/>
  <c r="BK572" i="9"/>
  <c r="BL572" i="9" s="1"/>
  <c r="BK251" i="9"/>
  <c r="BK201" i="9"/>
  <c r="BK538" i="9"/>
  <c r="BL538" i="9" s="1"/>
  <c r="BK274" i="9"/>
  <c r="BK291" i="9"/>
  <c r="BK30" i="9"/>
  <c r="BK66" i="9"/>
  <c r="BK87" i="9"/>
  <c r="BK238" i="9"/>
  <c r="BK101" i="9"/>
  <c r="BK367" i="9"/>
  <c r="BK571" i="9"/>
  <c r="BK470" i="9"/>
  <c r="BK47" i="9"/>
  <c r="BK487" i="9"/>
  <c r="BK554" i="9"/>
  <c r="BL554" i="9" s="1"/>
  <c r="BK420" i="9"/>
  <c r="BK439" i="9"/>
  <c r="BK428" i="9"/>
  <c r="BK252" i="9"/>
  <c r="BK185" i="9"/>
  <c r="BK317" i="9"/>
  <c r="BL316" i="9" s="1"/>
  <c r="BK65" i="9"/>
  <c r="BK526" i="9"/>
  <c r="BL526" i="9" s="1"/>
  <c r="BK226" i="9"/>
  <c r="BL226" i="9" s="1"/>
  <c r="BK577" i="9"/>
  <c r="BK560" i="9"/>
  <c r="BK406" i="9"/>
  <c r="BK407" i="9"/>
  <c r="BL407" i="9" s="1"/>
  <c r="BK278" i="9"/>
  <c r="BK515" i="9"/>
  <c r="BK148" i="9"/>
  <c r="BK130" i="9"/>
  <c r="BK126" i="9"/>
  <c r="BK137" i="9"/>
  <c r="BK363" i="9"/>
  <c r="BL362" i="9" s="1"/>
  <c r="BK594" i="9"/>
  <c r="BK150" i="9"/>
  <c r="BL150" i="9" s="1"/>
  <c r="BK556" i="9"/>
  <c r="BK512" i="9"/>
  <c r="BL512" i="9" s="1"/>
  <c r="BK295" i="9"/>
  <c r="BK158" i="9"/>
  <c r="BL158" i="9" s="1"/>
  <c r="BK568" i="9"/>
  <c r="BL568" i="9" s="1"/>
  <c r="H621" i="9"/>
  <c r="BK103" i="9"/>
  <c r="BL103" i="9" s="1"/>
  <c r="BK589" i="9"/>
  <c r="BK146" i="9"/>
  <c r="BL146" i="9" s="1"/>
  <c r="H222" i="9"/>
  <c r="I222" i="9" s="1"/>
  <c r="BK523" i="9"/>
  <c r="BK503" i="9"/>
  <c r="BK574" i="9"/>
  <c r="H622" i="9"/>
  <c r="I621" i="9" s="1"/>
  <c r="BK557" i="9"/>
  <c r="BK204" i="9"/>
  <c r="BK393" i="9"/>
  <c r="BL393" i="9" s="1"/>
  <c r="BK435" i="9"/>
  <c r="BK323" i="9"/>
  <c r="BL322" i="9" s="1"/>
  <c r="BK466" i="9"/>
  <c r="BL466" i="9" s="1"/>
  <c r="BK239" i="9"/>
  <c r="BL239" i="9" s="1"/>
  <c r="BK106" i="9"/>
  <c r="BK52" i="9"/>
  <c r="BK260" i="9"/>
  <c r="BK255" i="9"/>
  <c r="BL255" i="9" s="1"/>
  <c r="BK416" i="9"/>
  <c r="BL415" i="9" s="1"/>
  <c r="BK175" i="9"/>
  <c r="BK304" i="9"/>
  <c r="BL304" i="9" s="1"/>
  <c r="BK545" i="9"/>
  <c r="BK123" i="9"/>
  <c r="BL123" i="9" s="1"/>
  <c r="BK155" i="9"/>
  <c r="BK22" i="9"/>
  <c r="BK397" i="9"/>
  <c r="BL397" i="9" s="1"/>
  <c r="BK115" i="9"/>
  <c r="BK419" i="9"/>
  <c r="BK213" i="9"/>
  <c r="BK264" i="9"/>
  <c r="BK208" i="9"/>
  <c r="BK506" i="9"/>
  <c r="BK160" i="9"/>
  <c r="BK82" i="9"/>
  <c r="BK423" i="9"/>
  <c r="BK551" i="9"/>
  <c r="BK15" i="9"/>
  <c r="BL15" i="9" s="1"/>
  <c r="BK530" i="9"/>
  <c r="BK529" i="9"/>
  <c r="BK97" i="9"/>
  <c r="BK552" i="9"/>
  <c r="BL552" i="9" s="1"/>
  <c r="BK9" i="9"/>
  <c r="BK299" i="9"/>
  <c r="BL299" i="9" s="1"/>
  <c r="BK182" i="9"/>
  <c r="BL182" i="9" s="1"/>
  <c r="BL366" i="9" l="1"/>
  <c r="BL200" i="9"/>
  <c r="I212" i="9"/>
  <c r="I286" i="9"/>
  <c r="I263" i="9"/>
  <c r="I237" i="9"/>
  <c r="I245" i="9"/>
  <c r="I204" i="9"/>
  <c r="I196" i="9"/>
  <c r="I170" i="9"/>
  <c r="BL342" i="9"/>
  <c r="BL605" i="9"/>
  <c r="BL609" i="9"/>
  <c r="BL318" i="9"/>
  <c r="BL326" i="9"/>
  <c r="I625" i="9"/>
  <c r="BL129" i="9"/>
  <c r="BL588" i="9"/>
  <c r="BL360" i="9"/>
  <c r="BL593" i="9"/>
  <c r="BL494" i="9"/>
  <c r="BL344" i="9"/>
  <c r="BL601" i="9"/>
  <c r="BL368" i="9"/>
  <c r="I269" i="9"/>
  <c r="BL372" i="9"/>
  <c r="BL330" i="9"/>
  <c r="BL382" i="9"/>
  <c r="I530" i="9"/>
  <c r="I162" i="9"/>
  <c r="BL405" i="9"/>
  <c r="BU405" i="9"/>
  <c r="BL83" i="9"/>
  <c r="BU83" i="9"/>
  <c r="BL148" i="9"/>
  <c r="BU148" i="9"/>
  <c r="BL532" i="9"/>
  <c r="BU532" i="9"/>
  <c r="BL506" i="9"/>
  <c r="BU506" i="9"/>
  <c r="BL49" i="9"/>
  <c r="BU49" i="9"/>
  <c r="BL97" i="9"/>
  <c r="BU97" i="9"/>
  <c r="BL53" i="9"/>
  <c r="BU53" i="9"/>
  <c r="BL470" i="9"/>
  <c r="BU470" i="9"/>
  <c r="BL278" i="9"/>
  <c r="BU278" i="9"/>
  <c r="BL55" i="9"/>
  <c r="BU55" i="9"/>
  <c r="BL245" i="9"/>
  <c r="BU245" i="9"/>
  <c r="I140" i="9"/>
  <c r="I273" i="9"/>
  <c r="I229" i="9"/>
  <c r="I316" i="9"/>
  <c r="I476" i="9"/>
  <c r="I294" i="9"/>
  <c r="I81" i="9"/>
  <c r="I299" i="9"/>
  <c r="I200" i="9"/>
  <c r="I378" i="9"/>
  <c r="I239" i="9"/>
  <c r="I35" i="9"/>
  <c r="I166" i="9"/>
  <c r="I376" i="9"/>
  <c r="I502" i="9"/>
  <c r="I488" i="9"/>
  <c r="I146" i="9"/>
  <c r="BW540" i="9"/>
  <c r="BY540" i="9"/>
  <c r="BY216" i="9"/>
  <c r="BW216" i="9"/>
  <c r="BW31" i="9"/>
  <c r="CB31" i="9"/>
  <c r="BY31" i="9"/>
  <c r="CB59" i="9"/>
  <c r="BW59" i="9"/>
  <c r="BY59" i="9"/>
  <c r="BW304" i="9"/>
  <c r="CB304" i="9"/>
  <c r="BY304" i="9"/>
  <c r="BY512" i="9"/>
  <c r="BW512" i="9"/>
  <c r="BY198" i="9"/>
  <c r="BW198" i="9"/>
  <c r="BL119" i="9"/>
  <c r="BU119" i="9"/>
  <c r="BL101" i="9"/>
  <c r="BU101" i="9"/>
  <c r="BL220" i="9"/>
  <c r="BU220" i="9"/>
  <c r="BL546" i="9"/>
  <c r="BU546" i="9"/>
  <c r="BL432" i="9"/>
  <c r="BU432" i="9"/>
  <c r="BL450" i="9"/>
  <c r="BU450" i="9"/>
  <c r="BL113" i="9"/>
  <c r="BU113" i="9"/>
  <c r="BL490" i="9"/>
  <c r="BL208" i="9"/>
  <c r="BU208" i="9"/>
  <c r="BL484" i="9"/>
  <c r="BU484" i="9"/>
  <c r="I144" i="9"/>
  <c r="I578" i="9"/>
  <c r="I342" i="9"/>
  <c r="I372" i="9"/>
  <c r="I216" i="9"/>
  <c r="I105" i="9"/>
  <c r="I95" i="9"/>
  <c r="I49" i="9"/>
  <c r="I401" i="9"/>
  <c r="I59" i="9"/>
  <c r="I214" i="9"/>
  <c r="BW625" i="9"/>
  <c r="CB625" i="9"/>
  <c r="BY625" i="9"/>
  <c r="BW510" i="9"/>
  <c r="BY510" i="9"/>
  <c r="BY538" i="9"/>
  <c r="BW538" i="9"/>
  <c r="BW478" i="9"/>
  <c r="BY478" i="9"/>
  <c r="BW15" i="9"/>
  <c r="BY15" i="9"/>
  <c r="CB15" i="9"/>
  <c r="BY170" i="9"/>
  <c r="BW170" i="9"/>
  <c r="BY456" i="9"/>
  <c r="BW456" i="9"/>
  <c r="BY67" i="9"/>
  <c r="BW67" i="9"/>
  <c r="BY172" i="9"/>
  <c r="BW172" i="9"/>
  <c r="BY280" i="9"/>
  <c r="BW280" i="9"/>
  <c r="CB430" i="9"/>
  <c r="BY430" i="9"/>
  <c r="BW430" i="9"/>
  <c r="BW109" i="9"/>
  <c r="CB109" i="9"/>
  <c r="BY109" i="9"/>
  <c r="BY235" i="9"/>
  <c r="BW235" i="9"/>
  <c r="BY269" i="9"/>
  <c r="BW269" i="9"/>
  <c r="BW152" i="9"/>
  <c r="BY152" i="9"/>
  <c r="BL251" i="9"/>
  <c r="BU251" i="9"/>
  <c r="BL125" i="9"/>
  <c r="BL576" i="9"/>
  <c r="BU576" i="9"/>
  <c r="BL438" i="9"/>
  <c r="BU438" i="9"/>
  <c r="BL188" i="9"/>
  <c r="BU188" i="9"/>
  <c r="BL144" i="9"/>
  <c r="BU144" i="9"/>
  <c r="BL142" i="9"/>
  <c r="BU142" i="9"/>
  <c r="BL190" i="9"/>
  <c r="BU190" i="9"/>
  <c r="BL247" i="9"/>
  <c r="BU247" i="9"/>
  <c r="BL87" i="9"/>
  <c r="BU87" i="9"/>
  <c r="BL162" i="9"/>
  <c r="BU162" i="9"/>
  <c r="BL482" i="9"/>
  <c r="BU482" i="9"/>
  <c r="BL43" i="9"/>
  <c r="BU43" i="9"/>
  <c r="BL428" i="9"/>
  <c r="BL425" i="9"/>
  <c r="BU425" i="9"/>
  <c r="BL214" i="9"/>
  <c r="BU214" i="9"/>
  <c r="BL423" i="9"/>
  <c r="BL454" i="9"/>
  <c r="BU454" i="9"/>
  <c r="BL93" i="9"/>
  <c r="BU93" i="9"/>
  <c r="BL440" i="9"/>
  <c r="BU440" i="9"/>
  <c r="BL25" i="9"/>
  <c r="BU25" i="9"/>
  <c r="BL348" i="9"/>
  <c r="BL380" i="9"/>
  <c r="BL384" i="9"/>
  <c r="I340" i="9"/>
  <c r="I534" i="9"/>
  <c r="I208" i="9"/>
  <c r="I474" i="9"/>
  <c r="BL611" i="9"/>
  <c r="I119" i="9"/>
  <c r="I413" i="9"/>
  <c r="I580" i="9"/>
  <c r="I566" i="9"/>
  <c r="I87" i="9"/>
  <c r="I29" i="9"/>
  <c r="I15" i="9"/>
  <c r="I184" i="9"/>
  <c r="I83" i="9"/>
  <c r="I374" i="9"/>
  <c r="I536" i="9"/>
  <c r="I109" i="9"/>
  <c r="I249" i="9"/>
  <c r="I514" i="9"/>
  <c r="I296" i="9"/>
  <c r="BW73" i="9"/>
  <c r="CB73" i="9"/>
  <c r="BY73" i="9"/>
  <c r="BY176" i="9"/>
  <c r="BW176" i="9"/>
  <c r="CB37" i="9"/>
  <c r="BY37" i="9"/>
  <c r="BW37" i="9"/>
  <c r="BW568" i="9"/>
  <c r="BY568" i="9"/>
  <c r="BY542" i="9"/>
  <c r="BW542" i="9"/>
  <c r="BW621" i="9"/>
  <c r="CB621" i="9"/>
  <c r="BY621" i="9"/>
  <c r="BL419" i="9"/>
  <c r="BL218" i="9"/>
  <c r="BU218" i="9"/>
  <c r="BL69" i="9"/>
  <c r="BU69" i="9"/>
  <c r="BL9" i="9"/>
  <c r="BU9" i="9"/>
  <c r="BL47" i="9"/>
  <c r="BU47" i="9"/>
  <c r="BL99" i="9"/>
  <c r="BU99" i="9"/>
  <c r="BL516" i="9"/>
  <c r="BU516" i="9"/>
  <c r="BL496" i="9"/>
  <c r="BL89" i="9"/>
  <c r="BU89" i="9"/>
  <c r="BL249" i="9"/>
  <c r="BU249" i="9"/>
  <c r="BL558" i="9"/>
  <c r="BU558" i="9"/>
  <c r="BL417" i="9"/>
  <c r="BU417" i="9"/>
  <c r="I304" i="9"/>
  <c r="I79" i="9"/>
  <c r="I61" i="9"/>
  <c r="I599" i="9"/>
  <c r="I257" i="9"/>
  <c r="I194" i="9"/>
  <c r="I25" i="9"/>
  <c r="I542" i="9"/>
  <c r="BL603" i="9"/>
  <c r="I182" i="9"/>
  <c r="I324" i="9"/>
  <c r="I288" i="9"/>
  <c r="I607" i="9"/>
  <c r="I524" i="9"/>
  <c r="I582" i="9"/>
  <c r="I290" i="9"/>
  <c r="I390" i="9"/>
  <c r="I397" i="9"/>
  <c r="I233" i="9"/>
  <c r="I423" i="9"/>
  <c r="I186" i="9"/>
  <c r="I330" i="9"/>
  <c r="BY524" i="9"/>
  <c r="BW524" i="9"/>
  <c r="BY275" i="9"/>
  <c r="BW275" i="9"/>
  <c r="BW468" i="9"/>
  <c r="BY468" i="9"/>
  <c r="BY284" i="9"/>
  <c r="BW284" i="9"/>
  <c r="BY222" i="9"/>
  <c r="BW222" i="9"/>
  <c r="BY239" i="9"/>
  <c r="BW239" i="9"/>
  <c r="BY202" i="9"/>
  <c r="BW202" i="9"/>
  <c r="BY464" i="9"/>
  <c r="BW464" i="9"/>
  <c r="BY267" i="9"/>
  <c r="BW267" i="9"/>
  <c r="BY164" i="9"/>
  <c r="BW164" i="9"/>
  <c r="BW282" i="9"/>
  <c r="BY282" i="9"/>
  <c r="BW158" i="9"/>
  <c r="BY158" i="9"/>
  <c r="CB107" i="9"/>
  <c r="BY107" i="9"/>
  <c r="BW107" i="9"/>
  <c r="BY77" i="9"/>
  <c r="BW77" i="9"/>
  <c r="BY504" i="9"/>
  <c r="BW504" i="9"/>
  <c r="BL105" i="9"/>
  <c r="BU105" i="9"/>
  <c r="BL273" i="9"/>
  <c r="BU273" i="9"/>
  <c r="BL522" i="9"/>
  <c r="BU522" i="9"/>
  <c r="BL294" i="9"/>
  <c r="BU294" i="9"/>
  <c r="BL434" i="9"/>
  <c r="BU434" i="9"/>
  <c r="BL166" i="9"/>
  <c r="BU166" i="9"/>
  <c r="BL480" i="9"/>
  <c r="BU480" i="9"/>
  <c r="BL35" i="9"/>
  <c r="BU35" i="9"/>
  <c r="BL23" i="9"/>
  <c r="BU23" i="9"/>
  <c r="BL448" i="9"/>
  <c r="BU448" i="9"/>
  <c r="BL566" i="9"/>
  <c r="BU566" i="9"/>
  <c r="BL310" i="9"/>
  <c r="BL156" i="9"/>
  <c r="BU156" i="9"/>
  <c r="BL233" i="9"/>
  <c r="BU233" i="9"/>
  <c r="BL17" i="9"/>
  <c r="BU17" i="9"/>
  <c r="BL518" i="9"/>
  <c r="BU518" i="9"/>
  <c r="BL13" i="9"/>
  <c r="BU13" i="9"/>
  <c r="BL334" i="9"/>
  <c r="BL336" i="9"/>
  <c r="BL324" i="9"/>
  <c r="BL376" i="9"/>
  <c r="I226" i="9"/>
  <c r="I101" i="9"/>
  <c r="BL599" i="9"/>
  <c r="I490" i="9"/>
  <c r="I113" i="9"/>
  <c r="I241" i="9"/>
  <c r="I334" i="9"/>
  <c r="I103" i="9"/>
  <c r="I421" i="9"/>
  <c r="I538" i="9"/>
  <c r="I388" i="9"/>
  <c r="I564" i="9"/>
  <c r="I255" i="9"/>
  <c r="I188" i="9"/>
  <c r="I284" i="9"/>
  <c r="I498" i="9"/>
  <c r="I158" i="9"/>
  <c r="I623" i="9"/>
  <c r="BY411" i="9"/>
  <c r="CB411" i="9"/>
  <c r="BW411" i="9"/>
  <c r="BY41" i="9"/>
  <c r="BW41" i="9"/>
  <c r="CB41" i="9"/>
  <c r="BY520" i="9"/>
  <c r="BW520" i="9"/>
  <c r="BY446" i="9"/>
  <c r="BW446" i="9"/>
  <c r="BL288" i="9"/>
  <c r="BU288" i="9"/>
  <c r="BL263" i="9"/>
  <c r="BU263" i="9"/>
  <c r="BL271" i="9"/>
  <c r="BU271" i="9"/>
  <c r="BL212" i="9"/>
  <c r="BU212" i="9"/>
  <c r="BL174" i="9"/>
  <c r="BU174" i="9"/>
  <c r="BL237" i="9"/>
  <c r="BU237" i="9"/>
  <c r="BL81" i="9"/>
  <c r="BU81" i="9"/>
  <c r="BL514" i="9"/>
  <c r="BU514" i="9"/>
  <c r="BL486" i="9"/>
  <c r="BU486" i="9"/>
  <c r="BL65" i="9"/>
  <c r="BU65" i="9"/>
  <c r="BL292" i="9"/>
  <c r="BU292" i="9"/>
  <c r="BL617" i="9"/>
  <c r="BU617" i="9"/>
  <c r="BL615" i="9"/>
  <c r="BL444" i="9"/>
  <c r="BU444" i="9"/>
  <c r="BL196" i="9"/>
  <c r="BU196" i="9"/>
  <c r="BL61" i="9"/>
  <c r="BU61" i="9"/>
  <c r="BL574" i="9"/>
  <c r="BU574" i="9"/>
  <c r="BL186" i="9"/>
  <c r="BU186" i="9"/>
  <c r="BL452" i="9"/>
  <c r="BU452" i="9"/>
  <c r="BL241" i="9"/>
  <c r="BU241" i="9"/>
  <c r="BL580" i="9"/>
  <c r="BU580" i="9"/>
  <c r="BL378" i="9"/>
  <c r="BL338" i="9"/>
  <c r="BL578" i="9"/>
  <c r="BU578" i="9"/>
  <c r="BL613" i="9"/>
  <c r="I370" i="9"/>
  <c r="I482" i="9"/>
  <c r="I137" i="9"/>
  <c r="I470" i="9"/>
  <c r="I202" i="9"/>
  <c r="AM201" i="9"/>
  <c r="Q201" i="9"/>
  <c r="I384" i="9"/>
  <c r="I326" i="9"/>
  <c r="I247" i="9"/>
  <c r="I77" i="9"/>
  <c r="I386" i="9"/>
  <c r="I19" i="9"/>
  <c r="I466" i="9"/>
  <c r="BY564" i="9"/>
  <c r="BW564" i="9"/>
  <c r="CB103" i="9"/>
  <c r="BY103" i="9"/>
  <c r="BW103" i="9"/>
  <c r="BW474" i="9"/>
  <c r="BY474" i="9"/>
  <c r="BY79" i="9"/>
  <c r="BW79" i="9"/>
  <c r="CA79" i="9"/>
  <c r="BW299" i="9"/>
  <c r="BY299" i="9"/>
  <c r="BY19" i="9"/>
  <c r="BW19" i="9"/>
  <c r="CB19" i="9"/>
  <c r="BY182" i="9"/>
  <c r="BW182" i="9"/>
  <c r="BY210" i="9"/>
  <c r="BW210" i="9"/>
  <c r="BW226" i="9"/>
  <c r="BY226" i="9"/>
  <c r="CB226" i="9"/>
  <c r="BY168" i="9"/>
  <c r="BW168" i="9"/>
  <c r="CB168" i="9"/>
  <c r="BY534" i="9"/>
  <c r="BW534" i="9"/>
  <c r="CB134" i="9"/>
  <c r="BW134" i="9"/>
  <c r="BY134" i="9"/>
  <c r="BY552" i="9"/>
  <c r="BW552" i="9"/>
  <c r="BY255" i="9"/>
  <c r="BW255" i="9"/>
  <c r="BY442" i="9"/>
  <c r="BW442" i="9"/>
  <c r="BY194" i="9"/>
  <c r="BW194" i="9"/>
  <c r="BL528" i="9"/>
  <c r="BU528" i="9"/>
  <c r="BL570" i="9"/>
  <c r="BU570" i="9"/>
  <c r="BL192" i="9"/>
  <c r="BU192" i="9"/>
  <c r="BL502" i="9"/>
  <c r="BU502" i="9"/>
  <c r="BL21" i="9"/>
  <c r="BU21" i="9"/>
  <c r="BL259" i="9"/>
  <c r="BU259" i="9"/>
  <c r="BL29" i="9"/>
  <c r="BU29" i="9"/>
  <c r="BL413" i="9"/>
  <c r="BL229" i="9"/>
  <c r="BU229" i="9"/>
  <c r="BL115" i="9"/>
  <c r="BU115" i="9"/>
  <c r="BL261" i="9"/>
  <c r="BU261" i="9"/>
  <c r="BL57" i="9"/>
  <c r="BU57" i="9"/>
  <c r="BL562" i="9"/>
  <c r="BU562" i="9"/>
  <c r="BL500" i="9"/>
  <c r="BL530" i="9"/>
  <c r="BU530" i="9"/>
  <c r="BL265" i="9"/>
  <c r="BU265" i="9"/>
  <c r="BL582" i="9"/>
  <c r="BU582" i="9"/>
  <c r="BL346" i="9"/>
  <c r="I516" i="9"/>
  <c r="I251" i="9"/>
  <c r="I609" i="9"/>
  <c r="I403" i="9"/>
  <c r="I134" i="9"/>
  <c r="I405" i="9"/>
  <c r="I615" i="9"/>
  <c r="I156" i="9"/>
  <c r="I271" i="9"/>
  <c r="I174" i="9"/>
  <c r="I552" i="9"/>
  <c r="I267" i="9"/>
  <c r="I556" i="9"/>
  <c r="I496" i="9"/>
  <c r="I89" i="9"/>
  <c r="I338" i="9"/>
  <c r="I192" i="9"/>
  <c r="I115" i="9"/>
  <c r="I508" i="9"/>
  <c r="I510" i="9"/>
  <c r="BL597" i="9"/>
  <c r="I168" i="9"/>
  <c r="I348" i="9"/>
  <c r="BY253" i="9"/>
  <c r="BW253" i="9"/>
  <c r="BY472" i="9"/>
  <c r="BW472" i="9"/>
  <c r="BY536" i="9"/>
  <c r="BW536" i="9"/>
  <c r="BW548" i="9"/>
  <c r="BY548" i="9"/>
  <c r="BW526" i="9"/>
  <c r="BY526" i="9"/>
  <c r="BY39" i="9"/>
  <c r="CB39" i="9"/>
  <c r="BW39" i="9"/>
  <c r="BL544" i="9"/>
  <c r="BU544" i="9"/>
  <c r="BL137" i="9"/>
  <c r="BU137" i="9"/>
  <c r="BL550" i="9"/>
  <c r="BU550" i="9"/>
  <c r="BL154" i="9"/>
  <c r="BU154" i="9"/>
  <c r="BL51" i="9"/>
  <c r="BU51" i="9"/>
  <c r="BL556" i="9"/>
  <c r="BU556" i="9"/>
  <c r="BL184" i="9"/>
  <c r="BU184" i="9"/>
  <c r="BL290" i="9"/>
  <c r="BU290" i="9"/>
  <c r="BL286" i="9"/>
  <c r="BU286" i="9"/>
  <c r="BL160" i="9"/>
  <c r="BU160" i="9"/>
  <c r="BL436" i="9"/>
  <c r="BU436" i="9"/>
  <c r="BL63" i="9"/>
  <c r="BU63" i="9"/>
  <c r="BL180" i="9"/>
  <c r="BU180" i="9"/>
  <c r="BL460" i="9"/>
  <c r="BU460" i="9"/>
  <c r="BL296" i="9"/>
  <c r="BU296" i="9"/>
  <c r="BL204" i="9"/>
  <c r="BU204" i="9"/>
  <c r="BL458" i="9"/>
  <c r="BU458" i="9"/>
  <c r="BL206" i="9"/>
  <c r="BU206" i="9"/>
  <c r="BL386" i="9"/>
  <c r="BL560" i="9"/>
  <c r="BU560" i="9"/>
  <c r="BL492" i="9"/>
  <c r="BL95" i="9"/>
  <c r="BU95" i="9"/>
  <c r="BL476" i="9"/>
  <c r="BU476" i="9"/>
  <c r="BL584" i="9"/>
  <c r="BU584" i="9"/>
  <c r="BL328" i="9"/>
  <c r="BL586" i="9"/>
  <c r="BU586" i="9"/>
  <c r="BL374" i="9"/>
  <c r="I484" i="9"/>
  <c r="I148" i="9"/>
  <c r="I73" i="9"/>
  <c r="I522" i="9"/>
  <c r="I57" i="9"/>
  <c r="I53" i="9"/>
  <c r="I131" i="9"/>
  <c r="I160" i="9"/>
  <c r="I142" i="9"/>
  <c r="I350" i="9"/>
  <c r="I486" i="9"/>
  <c r="I328" i="9"/>
  <c r="I546" i="9"/>
  <c r="I528" i="9"/>
  <c r="I206" i="9"/>
  <c r="I172" i="9"/>
  <c r="I210" i="9"/>
  <c r="CB27" i="9"/>
  <c r="BY27" i="9"/>
  <c r="BW27" i="9"/>
  <c r="BW572" i="9"/>
  <c r="BY572" i="9"/>
  <c r="BW307" i="9"/>
  <c r="BY307" i="9"/>
  <c r="CA85" i="9"/>
  <c r="CB85" i="9" s="1"/>
  <c r="BY85" i="9"/>
  <c r="BW85" i="9"/>
  <c r="BY257" i="9"/>
  <c r="BW257" i="9"/>
  <c r="BY243" i="9"/>
  <c r="BW243" i="9"/>
  <c r="CB140" i="9"/>
  <c r="BY140" i="9"/>
  <c r="BW140" i="9"/>
  <c r="BW462" i="9"/>
  <c r="BY462" i="9"/>
  <c r="BY466" i="9"/>
  <c r="BW466" i="9"/>
  <c r="BW508" i="9"/>
  <c r="BY508" i="9"/>
  <c r="BW554" i="9"/>
  <c r="BY554" i="9"/>
  <c r="BW146" i="9"/>
  <c r="BY146" i="9"/>
  <c r="BY150" i="9"/>
  <c r="BW150" i="9"/>
  <c r="BW21" i="9" l="1"/>
  <c r="BY21" i="9"/>
  <c r="CB21" i="9"/>
  <c r="BY528" i="9"/>
  <c r="BW528" i="9"/>
  <c r="AM227" i="9"/>
  <c r="BP226" i="9" s="1"/>
  <c r="BQ226" i="9" s="1"/>
  <c r="AD201" i="9"/>
  <c r="CB65" i="9"/>
  <c r="BW65" i="9"/>
  <c r="BY65" i="9"/>
  <c r="BY237" i="9"/>
  <c r="BW237" i="9"/>
  <c r="BY263" i="9"/>
  <c r="BW263" i="9"/>
  <c r="BW17" i="9"/>
  <c r="BY17" i="9"/>
  <c r="CB17" i="9"/>
  <c r="CA89" i="9"/>
  <c r="CB89" i="9" s="1"/>
  <c r="BY89" i="9"/>
  <c r="BW89" i="9"/>
  <c r="BY440" i="9"/>
  <c r="BW440" i="9"/>
  <c r="BY162" i="9"/>
  <c r="BW162" i="9"/>
  <c r="BY142" i="9"/>
  <c r="BW142" i="9"/>
  <c r="BY576" i="9"/>
  <c r="BW576" i="9"/>
  <c r="BY113" i="9"/>
  <c r="BW113" i="9"/>
  <c r="CB113" i="9"/>
  <c r="BY220" i="9"/>
  <c r="BW220" i="9"/>
  <c r="BY245" i="9"/>
  <c r="BW245" i="9"/>
  <c r="BW53" i="9"/>
  <c r="CB53" i="9"/>
  <c r="BY53" i="9"/>
  <c r="BW532" i="9"/>
  <c r="BY532" i="9"/>
  <c r="BY476" i="9"/>
  <c r="BW476" i="9"/>
  <c r="BW206" i="9"/>
  <c r="BY206" i="9"/>
  <c r="BY460" i="9"/>
  <c r="CB460" i="9"/>
  <c r="BW460" i="9"/>
  <c r="BY160" i="9"/>
  <c r="BW160" i="9"/>
  <c r="BY556" i="9"/>
  <c r="BW556" i="9"/>
  <c r="BY137" i="9"/>
  <c r="BW137" i="9"/>
  <c r="CB137" i="9"/>
  <c r="BW562" i="9"/>
  <c r="BY562" i="9"/>
  <c r="BW229" i="9"/>
  <c r="BY229" i="9"/>
  <c r="CB229" i="9"/>
  <c r="BY186" i="9"/>
  <c r="BW186" i="9"/>
  <c r="BW444" i="9"/>
  <c r="BY444" i="9"/>
  <c r="BY448" i="9"/>
  <c r="BW448" i="9"/>
  <c r="BY166" i="9"/>
  <c r="BW166" i="9"/>
  <c r="BY273" i="9"/>
  <c r="BW273" i="9"/>
  <c r="BY9" i="9"/>
  <c r="BW9" i="9"/>
  <c r="CB9" i="9"/>
  <c r="BY425" i="9"/>
  <c r="BW425" i="9"/>
  <c r="CB425" i="9"/>
  <c r="BY582" i="9"/>
  <c r="BW582" i="9"/>
  <c r="CB502" i="9"/>
  <c r="BY502" i="9"/>
  <c r="BW502" i="9"/>
  <c r="BY486" i="9"/>
  <c r="BW486" i="9"/>
  <c r="BY174" i="9"/>
  <c r="BW174" i="9"/>
  <c r="BW288" i="9"/>
  <c r="BY288" i="9"/>
  <c r="BY233" i="9"/>
  <c r="BW233" i="9"/>
  <c r="CB233" i="9"/>
  <c r="BW417" i="9"/>
  <c r="CB417" i="9"/>
  <c r="BY417" i="9"/>
  <c r="CB93" i="9"/>
  <c r="BY93" i="9"/>
  <c r="BW93" i="9"/>
  <c r="CA87" i="9"/>
  <c r="CB87" i="9" s="1"/>
  <c r="BY87" i="9"/>
  <c r="BW87" i="9"/>
  <c r="BY144" i="9"/>
  <c r="BW144" i="9"/>
  <c r="BY450" i="9"/>
  <c r="BW450" i="9"/>
  <c r="BY101" i="9"/>
  <c r="BW101" i="9"/>
  <c r="BY55" i="9"/>
  <c r="BW55" i="9"/>
  <c r="CB55" i="9"/>
  <c r="BY97" i="9"/>
  <c r="BW97" i="9"/>
  <c r="BY148" i="9"/>
  <c r="BW148" i="9"/>
  <c r="BW95" i="9"/>
  <c r="CB95" i="9"/>
  <c r="BY95" i="9"/>
  <c r="BW458" i="9"/>
  <c r="BY458" i="9"/>
  <c r="BW180" i="9"/>
  <c r="CB180" i="9"/>
  <c r="BY180" i="9"/>
  <c r="BW286" i="9"/>
  <c r="BY286" i="9"/>
  <c r="CB51" i="9"/>
  <c r="BW51" i="9"/>
  <c r="BY51" i="9"/>
  <c r="BY544" i="9"/>
  <c r="BW544" i="9"/>
  <c r="CB57" i="9"/>
  <c r="BW57" i="9"/>
  <c r="BY57" i="9"/>
  <c r="BW580" i="9"/>
  <c r="BY580" i="9"/>
  <c r="BY574" i="9"/>
  <c r="BW574" i="9"/>
  <c r="BY23" i="9"/>
  <c r="CB23" i="9"/>
  <c r="BW23" i="9"/>
  <c r="BY434" i="9"/>
  <c r="BW434" i="9"/>
  <c r="BY105" i="9"/>
  <c r="BW105" i="9"/>
  <c r="CB105" i="9"/>
  <c r="BY516" i="9"/>
  <c r="BW516" i="9"/>
  <c r="BY69" i="9"/>
  <c r="BW69" i="9"/>
  <c r="BY251" i="9"/>
  <c r="BW251" i="9"/>
  <c r="BW484" i="9"/>
  <c r="BY484" i="9"/>
  <c r="BY586" i="9"/>
  <c r="BW586" i="9"/>
  <c r="BY265" i="9"/>
  <c r="BW265" i="9"/>
  <c r="BW29" i="9"/>
  <c r="CB29" i="9"/>
  <c r="BY29" i="9"/>
  <c r="BW192" i="9"/>
  <c r="BY192" i="9"/>
  <c r="CB617" i="9"/>
  <c r="BW617" i="9"/>
  <c r="BY617" i="9"/>
  <c r="BY514" i="9"/>
  <c r="BW514" i="9"/>
  <c r="BY212" i="9"/>
  <c r="BW212" i="9"/>
  <c r="BY13" i="9"/>
  <c r="BW13" i="9"/>
  <c r="CB13" i="9"/>
  <c r="BY156" i="9"/>
  <c r="BW156" i="9"/>
  <c r="BY558" i="9"/>
  <c r="BW558" i="9"/>
  <c r="BY454" i="9"/>
  <c r="BW454" i="9"/>
  <c r="BY43" i="9"/>
  <c r="CB43" i="9"/>
  <c r="BW43" i="9"/>
  <c r="BY247" i="9"/>
  <c r="BW247" i="9"/>
  <c r="BY188" i="9"/>
  <c r="BW188" i="9"/>
  <c r="BW432" i="9"/>
  <c r="CB432" i="9"/>
  <c r="BY432" i="9"/>
  <c r="CB119" i="9"/>
  <c r="BW119" i="9"/>
  <c r="BY119" i="9"/>
  <c r="BY278" i="9"/>
  <c r="BW278" i="9"/>
  <c r="CB278" i="9"/>
  <c r="CB49" i="9"/>
  <c r="BY49" i="9"/>
  <c r="BW49" i="9"/>
  <c r="BW83" i="9"/>
  <c r="CA83" i="9"/>
  <c r="CB83" i="9" s="1"/>
  <c r="BY83" i="9"/>
  <c r="BW204" i="9"/>
  <c r="BY204" i="9"/>
  <c r="BY63" i="9"/>
  <c r="BW63" i="9"/>
  <c r="CB63" i="9"/>
  <c r="BY290" i="9"/>
  <c r="BW290" i="9"/>
  <c r="BY154" i="9"/>
  <c r="BW154" i="9"/>
  <c r="BY261" i="9"/>
  <c r="BW261" i="9"/>
  <c r="BY241" i="9"/>
  <c r="BW241" i="9"/>
  <c r="BW61" i="9"/>
  <c r="CB61" i="9"/>
  <c r="BY61" i="9"/>
  <c r="CB35" i="9"/>
  <c r="BY35" i="9"/>
  <c r="BW35" i="9"/>
  <c r="BW294" i="9"/>
  <c r="BY294" i="9"/>
  <c r="BY99" i="9"/>
  <c r="BW99" i="9"/>
  <c r="BY218" i="9"/>
  <c r="BW218" i="9"/>
  <c r="CB67" i="9"/>
  <c r="BW208" i="9"/>
  <c r="BY208" i="9"/>
  <c r="BY560" i="9"/>
  <c r="BW560" i="9"/>
  <c r="BY530" i="9"/>
  <c r="BW530" i="9"/>
  <c r="CB530" i="9"/>
  <c r="BY259" i="9"/>
  <c r="BW259" i="9"/>
  <c r="BY570" i="9"/>
  <c r="BW570" i="9"/>
  <c r="CB79" i="9"/>
  <c r="BW292" i="9"/>
  <c r="BY292" i="9"/>
  <c r="CA81" i="9"/>
  <c r="CB81" i="9" s="1"/>
  <c r="BY81" i="9"/>
  <c r="BW81" i="9"/>
  <c r="BY271" i="9"/>
  <c r="BW271" i="9"/>
  <c r="BW518" i="9"/>
  <c r="BY518" i="9"/>
  <c r="BY249" i="9"/>
  <c r="BW249" i="9"/>
  <c r="BW25" i="9"/>
  <c r="CB25" i="9"/>
  <c r="BY25" i="9"/>
  <c r="BY482" i="9"/>
  <c r="BW482" i="9"/>
  <c r="BY190" i="9"/>
  <c r="BW190" i="9"/>
  <c r="BY438" i="9"/>
  <c r="BW438" i="9"/>
  <c r="BW546" i="9"/>
  <c r="BY546" i="9"/>
  <c r="BY470" i="9"/>
  <c r="BW470" i="9"/>
  <c r="BY506" i="9"/>
  <c r="BW506" i="9"/>
  <c r="BY405" i="9"/>
  <c r="BW405" i="9"/>
  <c r="CB405" i="9"/>
  <c r="BW584" i="9"/>
  <c r="BY584" i="9"/>
  <c r="BY296" i="9"/>
  <c r="BW296" i="9"/>
  <c r="BW436" i="9"/>
  <c r="BY436" i="9"/>
  <c r="BY184" i="9"/>
  <c r="BW184" i="9"/>
  <c r="BW550" i="9"/>
  <c r="BY550" i="9"/>
  <c r="BW115" i="9"/>
  <c r="BY115" i="9"/>
  <c r="CB115" i="9"/>
  <c r="BY578" i="9"/>
  <c r="BW578" i="9"/>
  <c r="BW452" i="9"/>
  <c r="BY452" i="9"/>
  <c r="BW196" i="9"/>
  <c r="BY196" i="9"/>
  <c r="BW566" i="9"/>
  <c r="BY566" i="9"/>
  <c r="BW480" i="9"/>
  <c r="BY480" i="9"/>
  <c r="BY522" i="9"/>
  <c r="BW522" i="9"/>
  <c r="BY47" i="9"/>
  <c r="BW47" i="9"/>
  <c r="BW214" i="9"/>
  <c r="BY214" i="9"/>
  <c r="AE200" i="9" l="1"/>
  <c r="BU200" i="9"/>
  <c r="CA77" i="9"/>
  <c r="CB77" i="9" s="1"/>
  <c r="CB47" i="9"/>
  <c r="BY200" i="9" l="1"/>
  <c r="BW200" i="9"/>
  <c r="H129" i="12" l="1"/>
  <c r="D129" i="12"/>
  <c r="H127" i="12"/>
  <c r="D127" i="12"/>
  <c r="H125" i="12"/>
  <c r="D125" i="12"/>
  <c r="H123" i="12"/>
  <c r="D123" i="12"/>
  <c r="H121" i="12"/>
  <c r="D121" i="12"/>
  <c r="BW118" i="12"/>
  <c r="D118" i="12"/>
  <c r="BR116" i="12"/>
  <c r="D116" i="12"/>
  <c r="BW114" i="12"/>
  <c r="D114" i="12"/>
  <c r="BT112" i="12"/>
  <c r="BW112" i="12"/>
  <c r="D112" i="12"/>
  <c r="BT110" i="12"/>
  <c r="D110" i="12"/>
  <c r="BH107" i="12"/>
  <c r="BG107" i="12"/>
  <c r="BF107" i="12"/>
  <c r="BE107" i="12"/>
  <c r="BC107" i="12"/>
  <c r="BB107" i="12"/>
  <c r="AZ107" i="12"/>
  <c r="AY107" i="12"/>
  <c r="AX107" i="12"/>
  <c r="AW107" i="12"/>
  <c r="AU107" i="12"/>
  <c r="AT107" i="12"/>
  <c r="AR107" i="12"/>
  <c r="AQ107" i="12"/>
  <c r="AP107" i="12"/>
  <c r="AO107" i="12"/>
  <c r="AM107" i="12"/>
  <c r="AL107" i="12"/>
  <c r="AJ107" i="12"/>
  <c r="AI107" i="12"/>
  <c r="AH107" i="12"/>
  <c r="AG107" i="12"/>
  <c r="AE107" i="12"/>
  <c r="AD107" i="12"/>
  <c r="AB107" i="12"/>
  <c r="AA107" i="12"/>
  <c r="Z107" i="12"/>
  <c r="Y107" i="12"/>
  <c r="W107" i="12"/>
  <c r="V107" i="12"/>
  <c r="T107" i="12"/>
  <c r="S107" i="12"/>
  <c r="R107" i="12"/>
  <c r="Q107" i="12"/>
  <c r="O107" i="12"/>
  <c r="N107" i="12"/>
  <c r="BV106" i="12"/>
  <c r="BH106" i="12"/>
  <c r="BG106" i="12"/>
  <c r="BF106" i="12"/>
  <c r="BE106" i="12"/>
  <c r="BD106" i="12"/>
  <c r="BC106" i="12"/>
  <c r="BB106" i="12"/>
  <c r="AZ106" i="12"/>
  <c r="AY106" i="12"/>
  <c r="AX106" i="12"/>
  <c r="AW106" i="12"/>
  <c r="AV106" i="12"/>
  <c r="AU106" i="12"/>
  <c r="AT106" i="12"/>
  <c r="AR106" i="12"/>
  <c r="AQ106" i="12"/>
  <c r="AP106" i="12"/>
  <c r="AO106" i="12"/>
  <c r="AN106" i="12"/>
  <c r="AM106" i="12"/>
  <c r="AL106" i="12"/>
  <c r="AJ106" i="12"/>
  <c r="AI106" i="12"/>
  <c r="AH106" i="12"/>
  <c r="AG106" i="12"/>
  <c r="AF106" i="12"/>
  <c r="AE106" i="12"/>
  <c r="AD106" i="12"/>
  <c r="AB106" i="12"/>
  <c r="AA106" i="12"/>
  <c r="Z106" i="12"/>
  <c r="Y106" i="12"/>
  <c r="X106" i="12"/>
  <c r="W106" i="12"/>
  <c r="V106" i="12"/>
  <c r="T106" i="12"/>
  <c r="S106" i="12"/>
  <c r="R106" i="12"/>
  <c r="Q106" i="12"/>
  <c r="P106" i="12"/>
  <c r="O106" i="12"/>
  <c r="N106" i="12"/>
  <c r="D102" i="12"/>
  <c r="D100" i="12"/>
  <c r="O99" i="12"/>
  <c r="BW90" i="12"/>
  <c r="D98" i="12"/>
  <c r="D96" i="12"/>
  <c r="BG91" i="12"/>
  <c r="AZ91" i="12"/>
  <c r="AY91" i="12"/>
  <c r="AJ91" i="12"/>
  <c r="T91" i="12"/>
  <c r="BV90" i="12"/>
  <c r="D94" i="12"/>
  <c r="BH91" i="12"/>
  <c r="BF91" i="12"/>
  <c r="BE91" i="12"/>
  <c r="BD91" i="12"/>
  <c r="BC91" i="12"/>
  <c r="BB91" i="12"/>
  <c r="AX91" i="12"/>
  <c r="AW91" i="12"/>
  <c r="AU91" i="12"/>
  <c r="AT91" i="12"/>
  <c r="AR91" i="12"/>
  <c r="AQ91" i="12"/>
  <c r="AP91" i="12"/>
  <c r="AO91" i="12"/>
  <c r="AM91" i="12"/>
  <c r="AL91" i="12"/>
  <c r="AI91" i="12"/>
  <c r="AH91" i="12"/>
  <c r="AG91" i="12"/>
  <c r="AE91" i="12"/>
  <c r="AD91" i="12"/>
  <c r="AB91" i="12"/>
  <c r="AA91" i="12"/>
  <c r="Z91" i="12"/>
  <c r="Y91" i="12"/>
  <c r="X91" i="12"/>
  <c r="W91" i="12"/>
  <c r="V91" i="12"/>
  <c r="S91" i="12"/>
  <c r="R91" i="12"/>
  <c r="Q91" i="12"/>
  <c r="O91" i="12"/>
  <c r="N91" i="12"/>
  <c r="BS90" i="12"/>
  <c r="BH90" i="12"/>
  <c r="BG90" i="12"/>
  <c r="BF90" i="12"/>
  <c r="BE90" i="12"/>
  <c r="BD90" i="12"/>
  <c r="BC90" i="12"/>
  <c r="BB90" i="12"/>
  <c r="AZ90" i="12"/>
  <c r="AY90" i="12"/>
  <c r="AX90" i="12"/>
  <c r="AW90" i="12"/>
  <c r="AV90" i="12"/>
  <c r="AU90" i="12"/>
  <c r="AT90" i="12"/>
  <c r="AR90" i="12"/>
  <c r="AQ90" i="12"/>
  <c r="AP90" i="12"/>
  <c r="AO90" i="12"/>
  <c r="AN90" i="12"/>
  <c r="AM90" i="12"/>
  <c r="AL90" i="12"/>
  <c r="AJ90" i="12"/>
  <c r="AI90" i="12"/>
  <c r="AH90" i="12"/>
  <c r="AG90" i="12"/>
  <c r="AF90" i="12"/>
  <c r="AE90" i="12"/>
  <c r="AD90" i="12"/>
  <c r="AB90" i="12"/>
  <c r="AA90" i="12"/>
  <c r="Z90" i="12"/>
  <c r="Y90" i="12"/>
  <c r="X90" i="12"/>
  <c r="W90" i="12"/>
  <c r="V90" i="12"/>
  <c r="T90" i="12"/>
  <c r="S90" i="12"/>
  <c r="R90" i="12"/>
  <c r="Q90" i="12"/>
  <c r="P90" i="12"/>
  <c r="O90" i="12"/>
  <c r="N90" i="12"/>
  <c r="BT86" i="12"/>
  <c r="D86" i="12"/>
  <c r="D84" i="12"/>
  <c r="AU75" i="12"/>
  <c r="AL75" i="12"/>
  <c r="BS74" i="12"/>
  <c r="AX74" i="12"/>
  <c r="AN74" i="12"/>
  <c r="D82" i="12"/>
  <c r="BG75" i="12"/>
  <c r="BF75" i="12"/>
  <c r="AB75" i="12"/>
  <c r="BO74" i="12"/>
  <c r="AT74" i="12"/>
  <c r="AL74" i="12"/>
  <c r="X74" i="12"/>
  <c r="D80" i="12"/>
  <c r="AX75" i="12"/>
  <c r="AW75" i="12"/>
  <c r="AO75" i="12"/>
  <c r="AN75" i="12"/>
  <c r="AF75" i="12"/>
  <c r="AE75" i="12"/>
  <c r="AD75" i="12"/>
  <c r="W75" i="12"/>
  <c r="V75" i="12"/>
  <c r="S75" i="12"/>
  <c r="N75" i="12"/>
  <c r="BW74" i="12"/>
  <c r="BG74" i="12"/>
  <c r="BF74" i="12"/>
  <c r="AW74" i="12"/>
  <c r="AU74" i="12"/>
  <c r="AQ74" i="12"/>
  <c r="AM74" i="12"/>
  <c r="AI74" i="12"/>
  <c r="AG74" i="12"/>
  <c r="AF74" i="12"/>
  <c r="AE74" i="12"/>
  <c r="W74" i="12"/>
  <c r="V74" i="12"/>
  <c r="D78" i="12"/>
  <c r="BH75" i="12"/>
  <c r="BE75" i="12"/>
  <c r="BD75" i="12"/>
  <c r="BC75" i="12"/>
  <c r="BB75" i="12"/>
  <c r="AZ75" i="12"/>
  <c r="AY75" i="12"/>
  <c r="AV75" i="12"/>
  <c r="AT75" i="12"/>
  <c r="AR75" i="12"/>
  <c r="AQ75" i="12"/>
  <c r="AP75" i="12"/>
  <c r="AM75" i="12"/>
  <c r="AJ75" i="12"/>
  <c r="AI75" i="12"/>
  <c r="AH75" i="12"/>
  <c r="AG75" i="12"/>
  <c r="AA75" i="12"/>
  <c r="Z75" i="12"/>
  <c r="Y75" i="12"/>
  <c r="X75" i="12"/>
  <c r="T75" i="12"/>
  <c r="R75" i="12"/>
  <c r="Q75" i="12"/>
  <c r="P75" i="12"/>
  <c r="O75" i="12"/>
  <c r="BV74" i="12"/>
  <c r="BH74" i="12"/>
  <c r="BE74" i="12"/>
  <c r="BC74" i="12"/>
  <c r="BB74" i="12"/>
  <c r="AZ74" i="12"/>
  <c r="AY74" i="12"/>
  <c r="AV74" i="12"/>
  <c r="AR74" i="12"/>
  <c r="AP74" i="12"/>
  <c r="AJ74" i="12"/>
  <c r="AH74" i="12"/>
  <c r="AD74" i="12"/>
  <c r="AB74" i="12"/>
  <c r="AA74" i="12"/>
  <c r="Z74" i="12"/>
  <c r="Y74" i="12"/>
  <c r="T74" i="12"/>
  <c r="S74" i="12"/>
  <c r="R74" i="12"/>
  <c r="Q74" i="12"/>
  <c r="P74" i="12"/>
  <c r="O74" i="12"/>
  <c r="N74" i="12"/>
  <c r="D69" i="12"/>
  <c r="BO57" i="12"/>
  <c r="D67" i="12"/>
  <c r="D65" i="12"/>
  <c r="T58" i="12"/>
  <c r="D63" i="12"/>
  <c r="BW57" i="12"/>
  <c r="BV57" i="12"/>
  <c r="BS57" i="12"/>
  <c r="D61" i="12"/>
  <c r="AB58" i="12"/>
  <c r="N58" i="12"/>
  <c r="BH57" i="12"/>
  <c r="AZ57" i="12"/>
  <c r="AR57" i="12"/>
  <c r="AJ57" i="12"/>
  <c r="AB57" i="12"/>
  <c r="T57" i="12"/>
  <c r="S57" i="12"/>
  <c r="R57" i="12"/>
  <c r="Q57" i="12"/>
  <c r="P57" i="12"/>
  <c r="O57" i="12"/>
  <c r="N57" i="12"/>
  <c r="AV42" i="12"/>
  <c r="Z42" i="12"/>
  <c r="BW53" i="12"/>
  <c r="D53" i="12"/>
  <c r="AA42" i="12"/>
  <c r="Q42" i="12"/>
  <c r="AY35" i="12"/>
  <c r="AY25" i="12" s="1"/>
  <c r="AE35" i="12"/>
  <c r="D51" i="12"/>
  <c r="BG42" i="12"/>
  <c r="AX42" i="12"/>
  <c r="AO42" i="12"/>
  <c r="AF42" i="12"/>
  <c r="W42" i="12"/>
  <c r="N42" i="12"/>
  <c r="BW49" i="12"/>
  <c r="BF41" i="12"/>
  <c r="AL41" i="12"/>
  <c r="Z41" i="12"/>
  <c r="D49" i="12"/>
  <c r="BD42" i="12"/>
  <c r="AU42" i="12"/>
  <c r="AL42" i="12"/>
  <c r="AB42" i="12"/>
  <c r="S42" i="12"/>
  <c r="BW47" i="12"/>
  <c r="BC41" i="12"/>
  <c r="AQ41" i="12"/>
  <c r="W41" i="12"/>
  <c r="D47" i="12"/>
  <c r="BH42" i="12"/>
  <c r="AZ42" i="12"/>
  <c r="AY42" i="12"/>
  <c r="AQ42" i="12"/>
  <c r="AP42" i="12"/>
  <c r="AM42" i="12"/>
  <c r="AH42" i="12"/>
  <c r="AG42" i="12"/>
  <c r="AD42" i="12"/>
  <c r="Y42" i="12"/>
  <c r="X42" i="12"/>
  <c r="T42" i="12"/>
  <c r="P42" i="12"/>
  <c r="O42" i="12"/>
  <c r="BW45" i="12"/>
  <c r="BS41" i="12"/>
  <c r="BO41" i="12"/>
  <c r="BD41" i="12"/>
  <c r="AY41" i="12"/>
  <c r="AX41" i="12"/>
  <c r="AT41" i="12"/>
  <c r="AH41" i="12"/>
  <c r="AG41" i="12"/>
  <c r="AD41" i="12"/>
  <c r="Y41" i="12"/>
  <c r="X41" i="12"/>
  <c r="D45" i="12"/>
  <c r="BF42" i="12"/>
  <c r="BE42" i="12"/>
  <c r="BC42" i="12"/>
  <c r="BB42" i="12"/>
  <c r="AW42" i="12"/>
  <c r="AT42" i="12"/>
  <c r="AR42" i="12"/>
  <c r="AN42" i="12"/>
  <c r="AJ42" i="12"/>
  <c r="AI42" i="12"/>
  <c r="AE42" i="12"/>
  <c r="V42" i="12"/>
  <c r="R42" i="12"/>
  <c r="BH41" i="12"/>
  <c r="BG41" i="12"/>
  <c r="BE41" i="12"/>
  <c r="BB41" i="12"/>
  <c r="AZ41" i="12"/>
  <c r="AW41" i="12"/>
  <c r="AU41" i="12"/>
  <c r="AR41" i="12"/>
  <c r="AP41" i="12"/>
  <c r="AN41" i="12"/>
  <c r="AM41" i="12"/>
  <c r="AJ41" i="12"/>
  <c r="AI41" i="12"/>
  <c r="AF41" i="12"/>
  <c r="AE41" i="12"/>
  <c r="AB41" i="12"/>
  <c r="AA41" i="12"/>
  <c r="V41" i="12"/>
  <c r="T41" i="12"/>
  <c r="S41" i="12"/>
  <c r="R41" i="12"/>
  <c r="Q41" i="12"/>
  <c r="P41" i="12"/>
  <c r="O41" i="12"/>
  <c r="N41" i="12"/>
  <c r="BV37" i="12"/>
  <c r="BW37" i="12" s="1"/>
  <c r="BS37" i="12"/>
  <c r="BG37" i="12"/>
  <c r="BF37" i="12"/>
  <c r="BE37" i="12"/>
  <c r="BD37" i="12"/>
  <c r="BC37" i="12"/>
  <c r="BB37" i="12"/>
  <c r="AY37" i="12"/>
  <c r="AX37" i="12"/>
  <c r="AW37" i="12"/>
  <c r="AV37" i="12"/>
  <c r="AU37" i="12"/>
  <c r="AT37" i="12"/>
  <c r="AQ37" i="12"/>
  <c r="AP37" i="12"/>
  <c r="AO37" i="12"/>
  <c r="AN37" i="12"/>
  <c r="AM37" i="12"/>
  <c r="AL37" i="12"/>
  <c r="D37" i="12"/>
  <c r="BS35" i="12"/>
  <c r="BG35" i="12"/>
  <c r="BF35" i="12"/>
  <c r="BE35" i="12"/>
  <c r="BD35" i="12"/>
  <c r="BC35" i="12"/>
  <c r="BB35" i="12"/>
  <c r="AX35" i="12"/>
  <c r="AW35" i="12"/>
  <c r="AV35" i="12"/>
  <c r="AU35" i="12"/>
  <c r="AT35" i="12"/>
  <c r="AQ35" i="12"/>
  <c r="AP35" i="12"/>
  <c r="AN35" i="12"/>
  <c r="AM35" i="12"/>
  <c r="AL35" i="12"/>
  <c r="AI35" i="12"/>
  <c r="AH35" i="12"/>
  <c r="AH25" i="12" s="1"/>
  <c r="AG35" i="12"/>
  <c r="AF35" i="12"/>
  <c r="AD35" i="12"/>
  <c r="D35" i="12"/>
  <c r="BV33" i="12"/>
  <c r="BS33" i="12"/>
  <c r="BG33" i="12"/>
  <c r="BF33" i="12"/>
  <c r="BE33" i="12"/>
  <c r="BD33" i="12"/>
  <c r="BC33" i="12"/>
  <c r="BB33" i="12"/>
  <c r="AY33" i="12"/>
  <c r="AX33" i="12"/>
  <c r="AW33" i="12"/>
  <c r="AV33" i="12"/>
  <c r="AU33" i="12"/>
  <c r="AT33" i="12"/>
  <c r="AQ33" i="12"/>
  <c r="AP33" i="12"/>
  <c r="AO33" i="12"/>
  <c r="AN33" i="12"/>
  <c r="AM33" i="12"/>
  <c r="AL33" i="12"/>
  <c r="AI33" i="12"/>
  <c r="AH33" i="12"/>
  <c r="AG33" i="12"/>
  <c r="AF33" i="12"/>
  <c r="AE33" i="12"/>
  <c r="AD33" i="12"/>
  <c r="D33" i="12"/>
  <c r="BG26" i="12"/>
  <c r="BB26" i="12"/>
  <c r="AX26" i="12"/>
  <c r="AR26" i="12"/>
  <c r="AO26" i="12"/>
  <c r="AI26" i="12"/>
  <c r="AF26" i="12"/>
  <c r="Z26" i="12"/>
  <c r="Q26" i="12"/>
  <c r="BV31" i="12"/>
  <c r="BW31" i="12" s="1"/>
  <c r="BS31" i="12"/>
  <c r="BG31" i="12"/>
  <c r="BF31" i="12"/>
  <c r="BE31" i="12"/>
  <c r="BD31" i="12"/>
  <c r="BC31" i="12"/>
  <c r="BB31" i="12"/>
  <c r="AY31" i="12"/>
  <c r="AX31" i="12"/>
  <c r="AW31" i="12"/>
  <c r="AV31" i="12"/>
  <c r="AU31" i="12"/>
  <c r="AT31" i="12"/>
  <c r="AQ31" i="12"/>
  <c r="AP31" i="12"/>
  <c r="AO31" i="12"/>
  <c r="AN31" i="12"/>
  <c r="AM31" i="12"/>
  <c r="AL31" i="12"/>
  <c r="AI31" i="12"/>
  <c r="AH31" i="12"/>
  <c r="AG31" i="12"/>
  <c r="AF31" i="12"/>
  <c r="AE31" i="12"/>
  <c r="AD31" i="12"/>
  <c r="Z25" i="12"/>
  <c r="D31" i="12"/>
  <c r="BF26" i="12"/>
  <c r="BD26" i="12"/>
  <c r="AW26" i="12"/>
  <c r="AU26" i="12"/>
  <c r="AN26" i="12"/>
  <c r="AL26" i="12"/>
  <c r="AE26" i="12"/>
  <c r="AB26" i="12"/>
  <c r="X26" i="12"/>
  <c r="W26" i="12"/>
  <c r="V26" i="12"/>
  <c r="S26" i="12"/>
  <c r="O26" i="12"/>
  <c r="N26" i="12"/>
  <c r="BV29" i="12"/>
  <c r="BS29" i="12"/>
  <c r="BO25" i="12"/>
  <c r="BG29" i="12"/>
  <c r="BF29" i="12"/>
  <c r="BE29" i="12"/>
  <c r="BE25" i="12" s="1"/>
  <c r="BD29" i="12"/>
  <c r="BC29" i="12"/>
  <c r="BB29" i="12"/>
  <c r="AY29" i="12"/>
  <c r="AX29" i="12"/>
  <c r="AW29" i="12"/>
  <c r="AW25" i="12" s="1"/>
  <c r="AV29" i="12"/>
  <c r="AU29" i="12"/>
  <c r="AU25" i="12" s="1"/>
  <c r="AT29" i="12"/>
  <c r="AQ29" i="12"/>
  <c r="AP29" i="12"/>
  <c r="AO29" i="12"/>
  <c r="AN29" i="12"/>
  <c r="AM29" i="12"/>
  <c r="AL29" i="12"/>
  <c r="AI29" i="12"/>
  <c r="AI25" i="12" s="1"/>
  <c r="AH29" i="12"/>
  <c r="AG29" i="12"/>
  <c r="AF29" i="12"/>
  <c r="AE29" i="12"/>
  <c r="AD29" i="12"/>
  <c r="X25" i="12"/>
  <c r="W25" i="12"/>
  <c r="D29" i="12"/>
  <c r="BH26" i="12"/>
  <c r="BE26" i="12"/>
  <c r="BC26" i="12"/>
  <c r="AZ26" i="12"/>
  <c r="AY26" i="12"/>
  <c r="AV26" i="12"/>
  <c r="AT26" i="12"/>
  <c r="AQ26" i="12"/>
  <c r="AP26" i="12"/>
  <c r="AM26" i="12"/>
  <c r="AJ26" i="12"/>
  <c r="AH26" i="12"/>
  <c r="AG26" i="12"/>
  <c r="AD26" i="12"/>
  <c r="AA26" i="12"/>
  <c r="Y26" i="12"/>
  <c r="T26" i="12"/>
  <c r="R26" i="12"/>
  <c r="P26" i="12"/>
  <c r="BH25" i="12"/>
  <c r="BC25" i="12"/>
  <c r="AZ25" i="12"/>
  <c r="AR25" i="12"/>
  <c r="AQ25" i="12"/>
  <c r="AJ25" i="12"/>
  <c r="AE25" i="12"/>
  <c r="AB25" i="12"/>
  <c r="AA25" i="12"/>
  <c r="Y25" i="12"/>
  <c r="V25" i="12"/>
  <c r="T25" i="12"/>
  <c r="S25" i="12"/>
  <c r="R25" i="12"/>
  <c r="Q25" i="12"/>
  <c r="P25" i="12"/>
  <c r="O25" i="12"/>
  <c r="N25" i="12"/>
  <c r="W9" i="12"/>
  <c r="D21" i="12"/>
  <c r="N10" i="12"/>
  <c r="BF9" i="12"/>
  <c r="AA9" i="12"/>
  <c r="D19" i="12"/>
  <c r="AB10" i="12"/>
  <c r="T10" i="12"/>
  <c r="BO9" i="12"/>
  <c r="BD9" i="12"/>
  <c r="BC9" i="12"/>
  <c r="AW9" i="12"/>
  <c r="D17" i="12"/>
  <c r="AJ10" i="12"/>
  <c r="BW9" i="12"/>
  <c r="AN9" i="12"/>
  <c r="AF9" i="12"/>
  <c r="AE9" i="12"/>
  <c r="V9" i="12"/>
  <c r="D15" i="12"/>
  <c r="BH10" i="12"/>
  <c r="AZ10" i="12"/>
  <c r="BV9" i="12"/>
  <c r="BS9" i="12"/>
  <c r="BB9" i="12"/>
  <c r="AI9" i="12"/>
  <c r="AH9" i="12"/>
  <c r="Z9" i="12"/>
  <c r="Y9" i="12"/>
  <c r="X9" i="12"/>
  <c r="D13" i="12"/>
  <c r="BG9" i="12"/>
  <c r="BE9" i="12"/>
  <c r="AY9" i="12"/>
  <c r="AX9" i="12"/>
  <c r="AV9" i="12"/>
  <c r="AU9" i="12"/>
  <c r="AT9" i="12"/>
  <c r="AP9" i="12"/>
  <c r="AO9" i="12"/>
  <c r="AM9" i="12"/>
  <c r="AL9" i="12"/>
  <c r="AG9" i="12"/>
  <c r="AD9" i="12"/>
  <c r="S9" i="12"/>
  <c r="R9" i="12"/>
  <c r="Q9" i="12"/>
  <c r="P9" i="12"/>
  <c r="O9" i="12"/>
  <c r="N9" i="12"/>
  <c r="O7" i="12"/>
  <c r="L7" i="12"/>
  <c r="N6" i="12"/>
  <c r="AI4" i="12"/>
  <c r="AQ4" i="12" s="1"/>
  <c r="AY4" i="12" s="1"/>
  <c r="BG4" i="12" s="1"/>
  <c r="AX25" i="12" l="1"/>
  <c r="AT25" i="12"/>
  <c r="BD25" i="12"/>
  <c r="AP25" i="12"/>
  <c r="BB25" i="12"/>
  <c r="AM25" i="12"/>
  <c r="BG25" i="12"/>
  <c r="AD25" i="12"/>
  <c r="BW33" i="12"/>
  <c r="BW29" i="12"/>
  <c r="AL25" i="12"/>
  <c r="AV25" i="12"/>
  <c r="BF25" i="12"/>
  <c r="AF25" i="12"/>
  <c r="AG25" i="12"/>
  <c r="AN25" i="12"/>
  <c r="L6" i="12"/>
  <c r="O58" i="12"/>
  <c r="P7" i="12"/>
  <c r="AR10" i="12"/>
  <c r="O6" i="12"/>
  <c r="BJ6" i="12"/>
  <c r="AQ9" i="12"/>
  <c r="BS25" i="12"/>
  <c r="AV41" i="12"/>
  <c r="AO41" i="12"/>
  <c r="AO35" i="12"/>
  <c r="AO25" i="12" s="1"/>
  <c r="BV41" i="12"/>
  <c r="BW51" i="12"/>
  <c r="BW41" i="12" s="1"/>
  <c r="BV35" i="12"/>
  <c r="BW35" i="12" s="1"/>
  <c r="AO74" i="12"/>
  <c r="BD74" i="12"/>
  <c r="BO90" i="12"/>
  <c r="BO106" i="12"/>
  <c r="BT118" i="12"/>
  <c r="BV25" i="12" l="1"/>
  <c r="BW25" i="12"/>
  <c r="P58" i="12"/>
  <c r="Q7" i="12"/>
  <c r="P6" i="12"/>
  <c r="O10" i="12"/>
  <c r="Q58" i="12" l="1"/>
  <c r="Q6" i="12"/>
  <c r="R7" i="12"/>
  <c r="P10" i="12"/>
  <c r="R58" i="12" l="1"/>
  <c r="R6" i="12"/>
  <c r="S7" i="12"/>
  <c r="Q10" i="12"/>
  <c r="S58" i="12" l="1"/>
  <c r="T7" i="12"/>
  <c r="S6" i="12"/>
  <c r="R10" i="12"/>
  <c r="V7" i="12" l="1"/>
  <c r="T9" i="12"/>
  <c r="T6" i="12"/>
  <c r="S10" i="12"/>
  <c r="V58" i="12" l="1"/>
  <c r="V6" i="12"/>
  <c r="W7" i="12"/>
  <c r="V10" i="12" l="1"/>
  <c r="W58" i="12"/>
  <c r="W57" i="12"/>
  <c r="X7" i="12"/>
  <c r="W6" i="12"/>
  <c r="V57" i="12"/>
  <c r="X58" i="12" l="1"/>
  <c r="Y7" i="12"/>
  <c r="X10" i="12"/>
  <c r="X6" i="12"/>
  <c r="W10" i="12"/>
  <c r="X57" i="12" l="1"/>
  <c r="Y58" i="12"/>
  <c r="Z7" i="12"/>
  <c r="Y6" i="12"/>
  <c r="Y10" i="12"/>
  <c r="Z58" i="12" l="1"/>
  <c r="Z6" i="12"/>
  <c r="AA7" i="12"/>
  <c r="Y57" i="12"/>
  <c r="AA58" i="12" l="1"/>
  <c r="AA10" i="12"/>
  <c r="AA6" i="12"/>
  <c r="AB7" i="12"/>
  <c r="BJ127" i="12"/>
  <c r="BJ126" i="12"/>
  <c r="K125" i="12"/>
  <c r="BJ130" i="12"/>
  <c r="Z57" i="12"/>
  <c r="Z10" i="12"/>
  <c r="AA57" i="12" l="1"/>
  <c r="AB9" i="12"/>
  <c r="AB6" i="12"/>
  <c r="AD7" i="12"/>
  <c r="K129" i="12"/>
  <c r="K126" i="12"/>
  <c r="L125" i="12" s="1"/>
  <c r="BJ129" i="12"/>
  <c r="BK129" i="12" s="1"/>
  <c r="BJ128" i="12"/>
  <c r="BK127" i="12" s="1"/>
  <c r="K130" i="12"/>
  <c r="K128" i="12"/>
  <c r="K127" i="12"/>
  <c r="BJ125" i="12"/>
  <c r="BK125" i="12" s="1"/>
  <c r="AD58" i="12" l="1"/>
  <c r="AE7" i="12"/>
  <c r="AD6" i="12"/>
  <c r="L129" i="12"/>
  <c r="L127" i="12"/>
  <c r="AE58" i="12" l="1"/>
  <c r="AE57" i="12"/>
  <c r="AE6" i="12"/>
  <c r="AF7" i="12"/>
  <c r="AD57" i="12"/>
  <c r="AD10" i="12"/>
  <c r="AF58" i="12" l="1"/>
  <c r="AF57" i="12"/>
  <c r="AF10" i="12"/>
  <c r="AF6" i="12"/>
  <c r="AG7" i="12"/>
  <c r="AE10" i="12"/>
  <c r="AG58" i="12" l="1"/>
  <c r="AH7" i="12"/>
  <c r="AG10" i="12"/>
  <c r="AG6" i="12"/>
  <c r="AH58" i="12" l="1"/>
  <c r="AI7" i="12"/>
  <c r="AH10" i="12"/>
  <c r="AH6" i="12"/>
  <c r="AG57" i="12"/>
  <c r="AI58" i="12" l="1"/>
  <c r="AI6" i="12"/>
  <c r="AJ7" i="12"/>
  <c r="AH57" i="12"/>
  <c r="AJ9" i="12" l="1"/>
  <c r="AL7" i="12"/>
  <c r="AJ6" i="12"/>
  <c r="AI57" i="12"/>
  <c r="AI10" i="12"/>
  <c r="AL58" i="12" l="1"/>
  <c r="AL10" i="12"/>
  <c r="AM7" i="12"/>
  <c r="AL6" i="12"/>
  <c r="AM58" i="12" l="1"/>
  <c r="AN7" i="12"/>
  <c r="AM6" i="12"/>
  <c r="AL57" i="12"/>
  <c r="AN58" i="12" l="1"/>
  <c r="AN6" i="12"/>
  <c r="AO7" i="12"/>
  <c r="AM57" i="12"/>
  <c r="AM10" i="12"/>
  <c r="AN57" i="12" l="1"/>
  <c r="AO58" i="12"/>
  <c r="AO10" i="12"/>
  <c r="AO6" i="12"/>
  <c r="AP7" i="12"/>
  <c r="AN10" i="12"/>
  <c r="AO57" i="12" l="1"/>
  <c r="AP58" i="12"/>
  <c r="AR58" i="12"/>
  <c r="AP57" i="12"/>
  <c r="AQ7" i="12"/>
  <c r="AP6" i="12"/>
  <c r="AP10" i="12" l="1"/>
  <c r="AQ58" i="12"/>
  <c r="AQ57" i="12"/>
  <c r="AR7" i="12"/>
  <c r="AQ6" i="12"/>
  <c r="AQ10" i="12" l="1"/>
  <c r="AR6" i="12"/>
  <c r="AT7" i="12"/>
  <c r="AR9" i="12"/>
  <c r="AT58" i="12" l="1"/>
  <c r="AT6" i="12"/>
  <c r="AU7" i="12"/>
  <c r="AT57" i="12" l="1"/>
  <c r="AU58" i="12"/>
  <c r="AU57" i="12"/>
  <c r="AU6" i="12"/>
  <c r="AV7" i="12"/>
  <c r="AT10" i="12"/>
  <c r="AV58" i="12" l="1"/>
  <c r="AW7" i="12"/>
  <c r="AV10" i="12"/>
  <c r="AV6" i="12"/>
  <c r="AU10" i="12"/>
  <c r="AV57" i="12" l="1"/>
  <c r="AW58" i="12"/>
  <c r="AW6" i="12"/>
  <c r="AX7" i="12"/>
  <c r="AW10" i="12" l="1"/>
  <c r="AW57" i="12"/>
  <c r="AX58" i="12"/>
  <c r="AZ58" i="12"/>
  <c r="AX10" i="12"/>
  <c r="AY7" i="12"/>
  <c r="AX6" i="12"/>
  <c r="AX57" i="12" l="1"/>
  <c r="AY58" i="12"/>
  <c r="AY57" i="12"/>
  <c r="AZ7" i="12"/>
  <c r="AY6" i="12"/>
  <c r="AY10" i="12" l="1"/>
  <c r="BB7" i="12"/>
  <c r="AZ9" i="12"/>
  <c r="AZ6" i="12"/>
  <c r="BB58" i="12" l="1"/>
  <c r="BB10" i="12"/>
  <c r="BB6" i="12"/>
  <c r="BC7" i="12"/>
  <c r="BB57" i="12" l="1"/>
  <c r="BC58" i="12"/>
  <c r="BC10" i="12"/>
  <c r="BD7" i="12"/>
  <c r="BC6" i="12"/>
  <c r="BC57" i="12" l="1"/>
  <c r="BD58" i="12"/>
  <c r="BD6" i="12"/>
  <c r="BE7" i="12"/>
  <c r="BD57" i="12" l="1"/>
  <c r="BE58" i="12"/>
  <c r="BF7" i="12"/>
  <c r="BE6" i="12"/>
  <c r="BD10" i="12"/>
  <c r="BE57" i="12" l="1"/>
  <c r="BE10" i="12"/>
  <c r="BF58" i="12"/>
  <c r="BH58" i="12"/>
  <c r="BF6" i="12"/>
  <c r="BG7" i="12"/>
  <c r="BG58" i="12" l="1"/>
  <c r="BG6" i="12"/>
  <c r="BG10" i="12"/>
  <c r="BH7" i="12"/>
  <c r="BF57" i="12"/>
  <c r="BF10" i="12"/>
  <c r="BG57" i="12" l="1"/>
  <c r="BH9" i="12"/>
  <c r="BH6" i="12"/>
  <c r="K110" i="12" a="1"/>
  <c r="K110" i="12" s="1"/>
  <c r="K94" i="12" a="1"/>
  <c r="K94" i="12" s="1"/>
  <c r="K10" i="12" a="1"/>
  <c r="K10" i="12" s="1"/>
  <c r="K30" i="12" a="1"/>
  <c r="K30" i="12" s="1"/>
  <c r="K13" i="12" a="1"/>
  <c r="K13" i="12" s="1"/>
  <c r="K61" i="12" a="1"/>
  <c r="K61" i="12" s="1"/>
  <c r="K14" i="12" a="1"/>
  <c r="K14" i="12" s="1"/>
  <c r="K111" i="12" a="1"/>
  <c r="K111" i="12" s="1"/>
  <c r="K81" i="12" a="1"/>
  <c r="K81" i="12" s="1"/>
  <c r="K45" i="12" a="1"/>
  <c r="K45" i="12" s="1"/>
  <c r="BJ97" i="12"/>
  <c r="BJ15" i="12"/>
  <c r="BJ114" i="12"/>
  <c r="K38" i="12" a="1"/>
  <c r="K38" i="12" s="1"/>
  <c r="K49" i="12" a="1"/>
  <c r="K49" i="12" s="1"/>
  <c r="K106" i="12" a="1"/>
  <c r="K106" i="12" s="1"/>
  <c r="K32" i="12" a="1"/>
  <c r="K32" i="12" s="1"/>
  <c r="BJ65" i="12"/>
  <c r="K112" i="12" a="1"/>
  <c r="K112" i="12" s="1"/>
  <c r="K52" i="12" a="1"/>
  <c r="K52" i="12" s="1"/>
  <c r="K114" i="12" a="1"/>
  <c r="K114" i="12" s="1"/>
  <c r="BJ37" i="12"/>
  <c r="BJ78" i="12"/>
  <c r="K16" i="12" a="1"/>
  <c r="K16" i="12" s="1"/>
  <c r="K17" i="12" a="1"/>
  <c r="K17" i="12" s="1"/>
  <c r="BJ64" i="12"/>
  <c r="K19" i="12" a="1"/>
  <c r="K19" i="12" s="1"/>
  <c r="K37" i="12" a="1"/>
  <c r="K37" i="12" s="1"/>
  <c r="BJ32" i="12"/>
  <c r="BJ34" i="12"/>
  <c r="K95" i="12" a="1"/>
  <c r="K95" i="12" s="1"/>
  <c r="K25" i="12" a="1"/>
  <c r="K25" i="12" s="1"/>
  <c r="BT84" i="12"/>
  <c r="K15" i="12" a="1"/>
  <c r="K15" i="12" s="1"/>
  <c r="BJ29" i="12"/>
  <c r="K118" i="12" a="1"/>
  <c r="K118" i="12" s="1"/>
  <c r="K86" i="12" a="1"/>
  <c r="K86" i="12" s="1"/>
  <c r="BJ33" i="12"/>
  <c r="BJ98" i="12"/>
  <c r="K70" i="12" a="1"/>
  <c r="K70" i="12" s="1"/>
  <c r="BJ63" i="12"/>
  <c r="BJ112" i="12"/>
  <c r="K79" i="12" a="1"/>
  <c r="K79" i="12" s="1"/>
  <c r="K65" i="12" a="1"/>
  <c r="K65" i="12" s="1"/>
  <c r="BJ10" i="12"/>
  <c r="K91" i="12" a="1"/>
  <c r="K91" i="12" s="1"/>
  <c r="K53" i="12" a="1"/>
  <c r="K53" i="12" s="1"/>
  <c r="BJ26" i="12"/>
  <c r="K33" i="12" a="1"/>
  <c r="K33" i="12" s="1"/>
  <c r="BJ94" i="12"/>
  <c r="BT96" i="12"/>
  <c r="BJ100" i="12"/>
  <c r="BJ31" i="12"/>
  <c r="BJ80" i="12"/>
  <c r="K96" i="12" a="1"/>
  <c r="K96" i="12" s="1"/>
  <c r="K78" i="12" a="1"/>
  <c r="K78" i="12" s="1"/>
  <c r="BJ117" i="12"/>
  <c r="BJ115" i="12"/>
  <c r="BJ70" i="12"/>
  <c r="BJ57" i="12"/>
  <c r="K83" i="12" a="1"/>
  <c r="K83" i="12" s="1"/>
  <c r="BJ48" i="12"/>
  <c r="K98" i="12" a="1"/>
  <c r="K98" i="12" s="1"/>
  <c r="BJ85" i="12"/>
  <c r="K21" i="12" a="1"/>
  <c r="K21" i="12" s="1"/>
  <c r="BJ16" i="12"/>
  <c r="K41" i="12" a="1"/>
  <c r="K41" i="12" s="1"/>
  <c r="K66" i="12" a="1"/>
  <c r="K66" i="12" s="1"/>
  <c r="L65" i="12" s="1"/>
  <c r="BJ79" i="12"/>
  <c r="BK78" i="12" s="1"/>
  <c r="K58" i="12" a="1"/>
  <c r="K58" i="12" s="1"/>
  <c r="BJ87" i="12"/>
  <c r="K99" i="12" a="1"/>
  <c r="K99" i="12" s="1"/>
  <c r="BJ58" i="12"/>
  <c r="BJ84" i="12"/>
  <c r="BJ74" i="12"/>
  <c r="BJ96" i="12"/>
  <c r="K80" i="12" a="1"/>
  <c r="K80" i="12" s="1"/>
  <c r="BJ90" i="12"/>
  <c r="BJ75" i="12"/>
  <c r="BJ95" i="12"/>
  <c r="K107" i="12" a="1"/>
  <c r="K107" i="12" s="1"/>
  <c r="BJ25" i="12"/>
  <c r="K48" i="12" a="1"/>
  <c r="K48" i="12" s="1"/>
  <c r="BJ42" i="12"/>
  <c r="K26" i="12" a="1"/>
  <c r="K26" i="12" s="1"/>
  <c r="L25" i="12" s="1"/>
  <c r="K97" i="12" a="1"/>
  <c r="K97" i="12" s="1"/>
  <c r="K34" i="12" a="1"/>
  <c r="K34" i="12" s="1"/>
  <c r="K35" i="12" a="1"/>
  <c r="K35" i="12" s="1"/>
  <c r="K101" i="12" a="1"/>
  <c r="K101" i="12" s="1"/>
  <c r="K9" i="12" a="1"/>
  <c r="K9" i="12" s="1"/>
  <c r="K84" i="12" a="1"/>
  <c r="K84" i="12" s="1"/>
  <c r="BJ99" i="12"/>
  <c r="BK98" i="12" s="1"/>
  <c r="K36" i="12" a="1"/>
  <c r="K36" i="12" s="1"/>
  <c r="L35" i="12" s="1"/>
  <c r="BJ106" i="12"/>
  <c r="K51" i="12" a="1"/>
  <c r="K51" i="12" s="1"/>
  <c r="BJ14" i="12"/>
  <c r="BJ45" i="12"/>
  <c r="BJ22" i="12"/>
  <c r="BJ9" i="12"/>
  <c r="BJ119" i="12"/>
  <c r="BJ66" i="12"/>
  <c r="BK65" i="12" s="1"/>
  <c r="K67" i="12" a="1"/>
  <c r="K67" i="12" s="1"/>
  <c r="BJ107" i="12"/>
  <c r="BJ61" i="12"/>
  <c r="BJ111" i="12"/>
  <c r="K18" i="12" a="1"/>
  <c r="K18" i="12" s="1"/>
  <c r="BJ47" i="12"/>
  <c r="K119" i="12" a="1"/>
  <c r="K119" i="12" s="1"/>
  <c r="BJ102" i="12"/>
  <c r="K85" i="12" a="1"/>
  <c r="K85" i="12" s="1"/>
  <c r="K64" i="12" a="1"/>
  <c r="K64" i="12" s="1"/>
  <c r="K117" i="12" a="1"/>
  <c r="K117" i="12" s="1"/>
  <c r="BJ18" i="12"/>
  <c r="BJ69" i="12"/>
  <c r="BJ83" i="12"/>
  <c r="K29" i="12" a="1"/>
  <c r="K29" i="12" s="1"/>
  <c r="BJ17" i="12"/>
  <c r="K82" i="12" a="1"/>
  <c r="K82" i="12" s="1"/>
  <c r="BJ67" i="12"/>
  <c r="BJ13" i="12"/>
  <c r="K103" i="12" a="1"/>
  <c r="K103" i="12" s="1"/>
  <c r="K74" i="12" a="1"/>
  <c r="K74" i="12" s="1"/>
  <c r="BJ118" i="12"/>
  <c r="K90" i="12" a="1"/>
  <c r="K90" i="12" s="1"/>
  <c r="BT80" i="12"/>
  <c r="BJ49" i="12"/>
  <c r="BJ86" i="12"/>
  <c r="K31" i="12" a="1"/>
  <c r="K31" i="12" s="1"/>
  <c r="K116" i="12" a="1"/>
  <c r="K116" i="12" s="1"/>
  <c r="K100" i="12" a="1"/>
  <c r="K100" i="12" s="1"/>
  <c r="BJ52" i="12"/>
  <c r="BJ116" i="12"/>
  <c r="K113" i="12" a="1"/>
  <c r="K113" i="12" s="1"/>
  <c r="BJ113" i="12"/>
  <c r="BJ36" i="12"/>
  <c r="BJ82" i="12"/>
  <c r="BJ110" i="12"/>
  <c r="BJ21" i="12"/>
  <c r="BJ50" i="12"/>
  <c r="BJ35" i="12"/>
  <c r="BJ41" i="12"/>
  <c r="K50" i="12" a="1"/>
  <c r="K50" i="12" s="1"/>
  <c r="L49" i="12" s="1"/>
  <c r="BJ38" i="12"/>
  <c r="BK37" i="12" s="1"/>
  <c r="BT102" i="12"/>
  <c r="K57" i="12" a="1"/>
  <c r="K57" i="12" s="1"/>
  <c r="BJ101" i="12"/>
  <c r="K42" i="12" a="1"/>
  <c r="K42" i="12" s="1"/>
  <c r="L41" i="12" s="1"/>
  <c r="BJ30" i="12"/>
  <c r="K75" i="12" a="1"/>
  <c r="K75" i="12" s="1"/>
  <c r="BJ20" i="12"/>
  <c r="K62" i="12" a="1"/>
  <c r="K62" i="12" s="1"/>
  <c r="L61" i="12" s="1"/>
  <c r="K54" i="12" a="1"/>
  <c r="K54" i="12" s="1"/>
  <c r="L53" i="12" s="1"/>
  <c r="BJ46" i="12"/>
  <c r="BK45" i="12" s="1"/>
  <c r="BJ103" i="12"/>
  <c r="BJ62" i="12"/>
  <c r="L4" i="12"/>
  <c r="H4" i="12" s="1"/>
  <c r="K69" i="12" a="1"/>
  <c r="K69" i="12" s="1"/>
  <c r="BJ51" i="12"/>
  <c r="K115" i="12" a="1"/>
  <c r="K115" i="12" s="1"/>
  <c r="BJ91" i="12"/>
  <c r="K46" i="12" a="1"/>
  <c r="K46" i="12" s="1"/>
  <c r="K87" i="12" a="1"/>
  <c r="K87" i="12" s="1"/>
  <c r="BT82" i="12"/>
  <c r="K47" i="12" a="1"/>
  <c r="K47" i="12" s="1"/>
  <c r="BJ68" i="12"/>
  <c r="BK67" i="12" s="1"/>
  <c r="BJ81" i="12"/>
  <c r="BK80" i="12" s="1"/>
  <c r="K68" i="12" a="1"/>
  <c r="K68" i="12" s="1"/>
  <c r="K63" i="12" a="1"/>
  <c r="K63" i="12" s="1"/>
  <c r="K102" i="12" a="1"/>
  <c r="K102" i="12" s="1"/>
  <c r="BJ54" i="12"/>
  <c r="BJ53" i="12"/>
  <c r="K20" i="12" a="1"/>
  <c r="K20" i="12" s="1"/>
  <c r="BM90" i="12"/>
  <c r="K22" i="12" a="1"/>
  <c r="K22" i="12" s="1"/>
  <c r="BJ19" i="12"/>
  <c r="BP21" i="12"/>
  <c r="BT17" i="12"/>
  <c r="BT98" i="12"/>
  <c r="BT69" i="12"/>
  <c r="BP51" i="12"/>
  <c r="BP33" i="12"/>
  <c r="BP80" i="12"/>
  <c r="BP84" i="12"/>
  <c r="BP35" i="12"/>
  <c r="BT65" i="12"/>
  <c r="BP86" i="12"/>
  <c r="BP102" i="12"/>
  <c r="BP19" i="12"/>
  <c r="BT19" i="12"/>
  <c r="BP98" i="12"/>
  <c r="BP69" i="12"/>
  <c r="BP118" i="12"/>
  <c r="BP53" i="12"/>
  <c r="BT67" i="12"/>
  <c r="BT100" i="12"/>
  <c r="BP67" i="12"/>
  <c r="BP47" i="12"/>
  <c r="BP15" i="12"/>
  <c r="BP49" i="12"/>
  <c r="BT63" i="12"/>
  <c r="BP116" i="12"/>
  <c r="BP37" i="12"/>
  <c r="BT15" i="12"/>
  <c r="BP114" i="12"/>
  <c r="BP112" i="12"/>
  <c r="BP100" i="12"/>
  <c r="BP82" i="12"/>
  <c r="BP31" i="12"/>
  <c r="BP63" i="12"/>
  <c r="BP96" i="12"/>
  <c r="BP65" i="12"/>
  <c r="BP17" i="12"/>
  <c r="BT21" i="12"/>
  <c r="L45" i="12" l="1"/>
  <c r="L106" i="12"/>
  <c r="BK61" i="12"/>
  <c r="L21" i="12"/>
  <c r="L118" i="12"/>
  <c r="L94" i="12"/>
  <c r="BK112" i="12"/>
  <c r="L17" i="12"/>
  <c r="L33" i="12"/>
  <c r="L96" i="12"/>
  <c r="L74" i="12"/>
  <c r="L112" i="12"/>
  <c r="L19" i="12"/>
  <c r="BK29" i="12"/>
  <c r="BK94" i="12"/>
  <c r="BK15" i="12"/>
  <c r="BK100" i="12"/>
  <c r="L110" i="12"/>
  <c r="L67" i="12"/>
  <c r="BK90" i="12"/>
  <c r="L114" i="12"/>
  <c r="BK35" i="12"/>
  <c r="BK106" i="12"/>
  <c r="BK74" i="12"/>
  <c r="L84" i="12"/>
  <c r="L86" i="12"/>
  <c r="BK114" i="12"/>
  <c r="BK110" i="12"/>
  <c r="BK57" i="12"/>
  <c r="BK102" i="12"/>
  <c r="L116" i="12"/>
  <c r="L98" i="12"/>
  <c r="BK19" i="12"/>
  <c r="BK33" i="12"/>
  <c r="BW116" i="12"/>
  <c r="BW106" i="12" s="1"/>
  <c r="BT116" i="12"/>
  <c r="BS106" i="12"/>
  <c r="BN106" i="12"/>
  <c r="BP106" i="12" s="1"/>
  <c r="BP110" i="12"/>
  <c r="BK49" i="12"/>
  <c r="L100" i="12"/>
  <c r="L31" i="12"/>
  <c r="BR41" i="12"/>
  <c r="BT45" i="12"/>
  <c r="BR29" i="12"/>
  <c r="BT53" i="12"/>
  <c r="BR37" i="12"/>
  <c r="BT37" i="12" s="1"/>
  <c r="BN25" i="12"/>
  <c r="BP25" i="12" s="1"/>
  <c r="BP29" i="12"/>
  <c r="BK51" i="12"/>
  <c r="BK82" i="12"/>
  <c r="BK69" i="12"/>
  <c r="L90" i="12"/>
  <c r="L69" i="12"/>
  <c r="L80" i="12"/>
  <c r="BN90" i="12"/>
  <c r="BP90" i="12" s="1"/>
  <c r="BP94" i="12"/>
  <c r="BN57" i="12"/>
  <c r="BP57" i="12" s="1"/>
  <c r="BP61" i="12"/>
  <c r="BT61" i="12"/>
  <c r="BR57" i="12"/>
  <c r="BT114" i="12"/>
  <c r="BR106" i="12"/>
  <c r="BK118" i="12"/>
  <c r="BK9" i="12"/>
  <c r="BK63" i="12"/>
  <c r="BR9" i="12"/>
  <c r="BT13" i="12"/>
  <c r="BN9" i="12"/>
  <c r="BP9" i="12" s="1"/>
  <c r="BP13" i="12"/>
  <c r="BR90" i="12"/>
  <c r="BT94" i="12"/>
  <c r="BR74" i="12"/>
  <c r="BT78" i="12"/>
  <c r="L102" i="12"/>
  <c r="BK17" i="12"/>
  <c r="BM25" i="12"/>
  <c r="BM74" i="12"/>
  <c r="BK116" i="12"/>
  <c r="L51" i="12"/>
  <c r="L37" i="12"/>
  <c r="L13" i="12"/>
  <c r="BR35" i="12"/>
  <c r="BT35" i="12" s="1"/>
  <c r="BT51" i="12"/>
  <c r="BK86" i="12"/>
  <c r="BK84" i="12"/>
  <c r="BN41" i="12"/>
  <c r="BP41" i="12" s="1"/>
  <c r="BP45" i="12"/>
  <c r="BR31" i="12"/>
  <c r="BT31" i="12" s="1"/>
  <c r="BT47" i="12"/>
  <c r="BK53" i="12"/>
  <c r="G112" i="12"/>
  <c r="G81" i="12"/>
  <c r="G116" i="12"/>
  <c r="G82" i="12"/>
  <c r="G65" i="12"/>
  <c r="G117" i="12"/>
  <c r="G113" i="12"/>
  <c r="G110" i="12"/>
  <c r="G103" i="12"/>
  <c r="G102" i="12"/>
  <c r="G97" i="12"/>
  <c r="G96" i="12"/>
  <c r="G91" i="12"/>
  <c r="G84" i="12"/>
  <c r="G64" i="12"/>
  <c r="G107" i="12"/>
  <c r="G83" i="12"/>
  <c r="G90" i="12"/>
  <c r="G85" i="12"/>
  <c r="G75" i="12"/>
  <c r="G118" i="12"/>
  <c r="G114" i="12"/>
  <c r="G111" i="12"/>
  <c r="G106" i="12"/>
  <c r="G99" i="12"/>
  <c r="G98" i="12"/>
  <c r="G86" i="12"/>
  <c r="G115" i="12"/>
  <c r="G69" i="12"/>
  <c r="G49" i="12"/>
  <c r="G100" i="12"/>
  <c r="G68" i="12"/>
  <c r="G58" i="12"/>
  <c r="G42" i="12"/>
  <c r="G101" i="12"/>
  <c r="G50" i="12"/>
  <c r="G45" i="12"/>
  <c r="G35" i="12"/>
  <c r="G119" i="12"/>
  <c r="G87" i="12"/>
  <c r="G61" i="12"/>
  <c r="G57" i="12"/>
  <c r="G51" i="12"/>
  <c r="G41" i="12"/>
  <c r="G94" i="12"/>
  <c r="G74" i="12"/>
  <c r="G67" i="12"/>
  <c r="G63" i="12"/>
  <c r="G54" i="12"/>
  <c r="G53" i="12"/>
  <c r="G46" i="12"/>
  <c r="G38" i="12"/>
  <c r="G37" i="12"/>
  <c r="G36" i="12"/>
  <c r="G95" i="12"/>
  <c r="G70" i="12"/>
  <c r="G62" i="12"/>
  <c r="H61" i="12" s="1"/>
  <c r="G52" i="12"/>
  <c r="G47" i="12"/>
  <c r="G78" i="12"/>
  <c r="G80" i="12"/>
  <c r="G79" i="12"/>
  <c r="G66" i="12"/>
  <c r="G48" i="12"/>
  <c r="G32" i="12"/>
  <c r="G21" i="12"/>
  <c r="G14" i="12"/>
  <c r="G26" i="12"/>
  <c r="G16" i="12"/>
  <c r="H7" i="12"/>
  <c r="G34" i="12"/>
  <c r="G33" i="12"/>
  <c r="G25" i="12"/>
  <c r="G31" i="12"/>
  <c r="G19" i="12"/>
  <c r="G9" i="12"/>
  <c r="G15" i="12"/>
  <c r="H6" i="12"/>
  <c r="G20" i="12"/>
  <c r="G22" i="12"/>
  <c r="G29" i="12"/>
  <c r="G13" i="12"/>
  <c r="G17" i="12"/>
  <c r="G30" i="12"/>
  <c r="G18" i="12"/>
  <c r="G10" i="12"/>
  <c r="L63" i="12"/>
  <c r="BK21" i="12"/>
  <c r="BK41" i="12"/>
  <c r="L57" i="12"/>
  <c r="L78" i="12"/>
  <c r="BK31" i="12"/>
  <c r="L15" i="12"/>
  <c r="BM57" i="12"/>
  <c r="BR33" i="12"/>
  <c r="BT33" i="12" s="1"/>
  <c r="BT49" i="12"/>
  <c r="L47" i="12"/>
  <c r="BK47" i="12"/>
  <c r="BM106" i="12"/>
  <c r="BM9" i="12"/>
  <c r="BM41" i="12"/>
  <c r="L29" i="12"/>
  <c r="BN74" i="12"/>
  <c r="BP74" i="12" s="1"/>
  <c r="BP78" i="12"/>
  <c r="BK13" i="12"/>
  <c r="L82" i="12"/>
  <c r="BK25" i="12"/>
  <c r="BK96" i="12"/>
  <c r="L9" i="12"/>
  <c r="H17" i="12" l="1"/>
  <c r="H90" i="12"/>
  <c r="H33" i="12"/>
  <c r="H110" i="12"/>
  <c r="H51" i="12"/>
  <c r="H82" i="12"/>
  <c r="H69" i="12"/>
  <c r="H19" i="12"/>
  <c r="H65" i="12"/>
  <c r="H112" i="12"/>
  <c r="H9" i="12"/>
  <c r="H78" i="12"/>
  <c r="H116" i="12"/>
  <c r="H35" i="12"/>
  <c r="H45" i="12"/>
  <c r="H84" i="12"/>
  <c r="H96" i="12"/>
  <c r="H41" i="12"/>
  <c r="H94" i="12"/>
  <c r="H118" i="12"/>
  <c r="H63" i="12"/>
  <c r="D74" i="12"/>
  <c r="BT74" i="12"/>
  <c r="H15" i="12"/>
  <c r="H29" i="12"/>
  <c r="H25" i="12"/>
  <c r="H37" i="12"/>
  <c r="H49" i="12"/>
  <c r="H114" i="12"/>
  <c r="H74" i="12"/>
  <c r="BT90" i="12"/>
  <c r="D90" i="12"/>
  <c r="H13" i="12"/>
  <c r="H100" i="12"/>
  <c r="H80" i="12"/>
  <c r="BT57" i="12"/>
  <c r="D57" i="12"/>
  <c r="BR25" i="12"/>
  <c r="BT29" i="12"/>
  <c r="BT106" i="12"/>
  <c r="D106" i="12"/>
  <c r="H31" i="12"/>
  <c r="H53" i="12"/>
  <c r="H57" i="12"/>
  <c r="H98" i="12"/>
  <c r="H102" i="12"/>
  <c r="H21" i="12"/>
  <c r="H47" i="12"/>
  <c r="H86" i="12"/>
  <c r="H67" i="12"/>
  <c r="H106" i="12"/>
  <c r="BT9" i="12"/>
  <c r="D9" i="12"/>
  <c r="BT41" i="12"/>
  <c r="D41" i="12"/>
  <c r="D25" i="12" l="1"/>
  <c r="BT25" i="12"/>
  <c r="AW3508" i="11" l="1"/>
  <c r="AW3509" i="11" s="1"/>
  <c r="AW3510" i="11"/>
  <c r="AW3511" i="11" s="1"/>
  <c r="AW3512" i="11"/>
  <c r="AW3513" i="11" s="1"/>
  <c r="AW3514" i="11"/>
  <c r="AW3515" i="11" s="1"/>
  <c r="AW981" i="11"/>
  <c r="AW982" i="11" s="1"/>
  <c r="AW983" i="11"/>
  <c r="AW984" i="11" s="1"/>
  <c r="AW985" i="11"/>
  <c r="AW986" i="11" s="1"/>
  <c r="AW987" i="11"/>
  <c r="AW988" i="11" s="1"/>
  <c r="AW989" i="11"/>
  <c r="AW990" i="11" s="1"/>
  <c r="AW991" i="11" s="1"/>
  <c r="AW992" i="11" s="1"/>
  <c r="AD3514" i="11"/>
  <c r="A3514" i="11"/>
  <c r="A3515" i="11" s="1"/>
  <c r="AD3512" i="11"/>
  <c r="A3512" i="11"/>
  <c r="A3513" i="11" s="1"/>
  <c r="AD3510" i="11"/>
  <c r="A3510" i="11"/>
  <c r="A3511" i="11" s="1"/>
  <c r="AD3508" i="11"/>
  <c r="A3508" i="11"/>
  <c r="A3509" i="11" s="1"/>
  <c r="N3506" i="11"/>
  <c r="J3506" i="11"/>
  <c r="N3503" i="11"/>
  <c r="J3503" i="11"/>
  <c r="AD3499" i="11"/>
  <c r="A3499" i="11"/>
  <c r="A3500" i="11" s="1"/>
  <c r="AD3497" i="11"/>
  <c r="A3497" i="11"/>
  <c r="A3498" i="11" s="1"/>
  <c r="AD3495" i="11"/>
  <c r="A3495" i="11"/>
  <c r="A3496" i="11" s="1"/>
  <c r="AD3493" i="11"/>
  <c r="A3493" i="11"/>
  <c r="A3494" i="11" s="1"/>
  <c r="AD3491" i="11"/>
  <c r="A3491" i="11"/>
  <c r="A3492" i="11" s="1"/>
  <c r="N3489" i="11"/>
  <c r="J3489" i="11"/>
  <c r="AD3486" i="11"/>
  <c r="J3486" i="11"/>
  <c r="A3486" i="11"/>
  <c r="A3487" i="11" s="1"/>
  <c r="AD3484" i="11"/>
  <c r="J3484" i="11"/>
  <c r="A3484" i="11"/>
  <c r="A3485" i="11" s="1"/>
  <c r="AD3482" i="11"/>
  <c r="J3482" i="11"/>
  <c r="A3482" i="11"/>
  <c r="A3483" i="11" s="1"/>
  <c r="AD3480" i="11"/>
  <c r="J3480" i="11"/>
  <c r="A3480" i="11"/>
  <c r="A3481" i="11" s="1"/>
  <c r="AD3478" i="11"/>
  <c r="J3478" i="11"/>
  <c r="A3478" i="11"/>
  <c r="A3479" i="11" s="1"/>
  <c r="AD3476" i="11"/>
  <c r="J3476" i="11"/>
  <c r="A3476" i="11"/>
  <c r="A3477" i="11" s="1"/>
  <c r="AD3474" i="11"/>
  <c r="J3474" i="11"/>
  <c r="A3474" i="11"/>
  <c r="A3475" i="11" s="1"/>
  <c r="AD3472" i="11"/>
  <c r="J3472" i="11"/>
  <c r="A3472" i="11"/>
  <c r="A3473" i="11" s="1"/>
  <c r="AD3470" i="11"/>
  <c r="J3470" i="11"/>
  <c r="A3470" i="11"/>
  <c r="A3471" i="11" s="1"/>
  <c r="AD3468" i="11"/>
  <c r="J3468" i="11"/>
  <c r="A3468" i="11"/>
  <c r="A3469" i="11" s="1"/>
  <c r="AD3466" i="11"/>
  <c r="J3466" i="11"/>
  <c r="A3466" i="11"/>
  <c r="A3467" i="11" s="1"/>
  <c r="AD3464" i="11"/>
  <c r="J3464" i="11"/>
  <c r="A3464" i="11"/>
  <c r="A3465" i="11" s="1"/>
  <c r="AD3462" i="11"/>
  <c r="J3462" i="11"/>
  <c r="A3462" i="11"/>
  <c r="A3463" i="11" s="1"/>
  <c r="AD3460" i="11"/>
  <c r="J3460" i="11"/>
  <c r="A3460" i="11"/>
  <c r="A3461" i="11" s="1"/>
  <c r="AD3458" i="11"/>
  <c r="J3458" i="11"/>
  <c r="A3458" i="11"/>
  <c r="A3459" i="11" s="1"/>
  <c r="AD3456" i="11"/>
  <c r="J3456" i="11"/>
  <c r="A3456" i="11"/>
  <c r="A3457" i="11" s="1"/>
  <c r="AD3454" i="11"/>
  <c r="J3454" i="11"/>
  <c r="A3454" i="11"/>
  <c r="A3455" i="11" s="1"/>
  <c r="AD3452" i="11"/>
  <c r="J3452" i="11"/>
  <c r="A3452" i="11"/>
  <c r="A3453" i="11" s="1"/>
  <c r="AD3450" i="11"/>
  <c r="J3450" i="11"/>
  <c r="A3450" i="11"/>
  <c r="A3451" i="11" s="1"/>
  <c r="AD3448" i="11"/>
  <c r="J3448" i="11"/>
  <c r="A3448" i="11"/>
  <c r="A3449" i="11" s="1"/>
  <c r="AD3446" i="11"/>
  <c r="J3446" i="11"/>
  <c r="A3446" i="11"/>
  <c r="A3447" i="11" s="1"/>
  <c r="AD3444" i="11"/>
  <c r="J3444" i="11"/>
  <c r="A3444" i="11"/>
  <c r="A3445" i="11" s="1"/>
  <c r="AD3442" i="11"/>
  <c r="J3442" i="11"/>
  <c r="A3442" i="11"/>
  <c r="A3443" i="11" s="1"/>
  <c r="AD3440" i="11"/>
  <c r="J3440" i="11"/>
  <c r="A3440" i="11"/>
  <c r="A3441" i="11" s="1"/>
  <c r="AD3438" i="11"/>
  <c r="J3438" i="11"/>
  <c r="A3438" i="11"/>
  <c r="A3439" i="11" s="1"/>
  <c r="AD3436" i="11"/>
  <c r="J3436" i="11"/>
  <c r="A3436" i="11"/>
  <c r="A3437" i="11" s="1"/>
  <c r="AD3434" i="11"/>
  <c r="J3434" i="11"/>
  <c r="A3434" i="11"/>
  <c r="A3435" i="11" s="1"/>
  <c r="AD3432" i="11"/>
  <c r="J3432" i="11"/>
  <c r="A3432" i="11"/>
  <c r="A3433" i="11" s="1"/>
  <c r="AD3430" i="11"/>
  <c r="J3430" i="11"/>
  <c r="A3430" i="11"/>
  <c r="A3431" i="11" s="1"/>
  <c r="AD3428" i="11"/>
  <c r="J3428" i="11"/>
  <c r="A3428" i="11"/>
  <c r="A3429" i="11" s="1"/>
  <c r="AD3426" i="11"/>
  <c r="J3426" i="11"/>
  <c r="A3426" i="11"/>
  <c r="A3427" i="11" s="1"/>
  <c r="AD3424" i="11"/>
  <c r="J3424" i="11"/>
  <c r="A3424" i="11"/>
  <c r="A3425" i="11" s="1"/>
  <c r="AD3422" i="11"/>
  <c r="J3422" i="11"/>
  <c r="A3422" i="11"/>
  <c r="A3423" i="11" s="1"/>
  <c r="AD3420" i="11"/>
  <c r="J3420" i="11"/>
  <c r="A3420" i="11"/>
  <c r="A3421" i="11" s="1"/>
  <c r="AD3418" i="11"/>
  <c r="J3418" i="11"/>
  <c r="A3418" i="11"/>
  <c r="A3419" i="11" s="1"/>
  <c r="N3416" i="11"/>
  <c r="J3416" i="11"/>
  <c r="AD3413" i="11"/>
  <c r="J3413" i="11"/>
  <c r="A3413" i="11"/>
  <c r="A3414" i="11" s="1"/>
  <c r="AD3411" i="11"/>
  <c r="J3411" i="11"/>
  <c r="A3411" i="11"/>
  <c r="A3412" i="11" s="1"/>
  <c r="AD3409" i="11"/>
  <c r="J3409" i="11"/>
  <c r="A3409" i="11"/>
  <c r="A3410" i="11" s="1"/>
  <c r="AD3407" i="11"/>
  <c r="J3407" i="11"/>
  <c r="A3407" i="11"/>
  <c r="A3408" i="11" s="1"/>
  <c r="AD3405" i="11"/>
  <c r="J3405" i="11"/>
  <c r="A3405" i="11"/>
  <c r="A3406" i="11" s="1"/>
  <c r="AD3403" i="11"/>
  <c r="J3403" i="11"/>
  <c r="A3403" i="11"/>
  <c r="A3404" i="11" s="1"/>
  <c r="AD3401" i="11"/>
  <c r="J3401" i="11"/>
  <c r="A3401" i="11"/>
  <c r="A3402" i="11" s="1"/>
  <c r="AD3399" i="11"/>
  <c r="J3399" i="11"/>
  <c r="A3399" i="11"/>
  <c r="A3400" i="11" s="1"/>
  <c r="AD3397" i="11"/>
  <c r="J3397" i="11"/>
  <c r="A3397" i="11"/>
  <c r="A3398" i="11" s="1"/>
  <c r="AD3395" i="11"/>
  <c r="J3395" i="11"/>
  <c r="A3395" i="11"/>
  <c r="A3396" i="11" s="1"/>
  <c r="AD3393" i="11"/>
  <c r="J3393" i="11"/>
  <c r="A3393" i="11"/>
  <c r="A3394" i="11" s="1"/>
  <c r="AD3391" i="11"/>
  <c r="J3391" i="11"/>
  <c r="A3391" i="11"/>
  <c r="A3392" i="11" s="1"/>
  <c r="AD3389" i="11"/>
  <c r="J3389" i="11"/>
  <c r="A3389" i="11"/>
  <c r="A3390" i="11" s="1"/>
  <c r="AD3387" i="11"/>
  <c r="J3387" i="11"/>
  <c r="A3387" i="11"/>
  <c r="A3388" i="11" s="1"/>
  <c r="AD3385" i="11"/>
  <c r="J3385" i="11"/>
  <c r="A3385" i="11"/>
  <c r="A3386" i="11" s="1"/>
  <c r="AD3383" i="11"/>
  <c r="J3383" i="11"/>
  <c r="A3383" i="11"/>
  <c r="A3384" i="11" s="1"/>
  <c r="N3381" i="11"/>
  <c r="J3381" i="11"/>
  <c r="N3377" i="11"/>
  <c r="J3377" i="11"/>
  <c r="J3373" i="11"/>
  <c r="A3373" i="11"/>
  <c r="A3374" i="11" s="1"/>
  <c r="J3371" i="11"/>
  <c r="A3371" i="11"/>
  <c r="A3372" i="11" s="1"/>
  <c r="J3369" i="11"/>
  <c r="A3369" i="11"/>
  <c r="A3370" i="11" s="1"/>
  <c r="J3367" i="11"/>
  <c r="A3367" i="11"/>
  <c r="A3368" i="11" s="1"/>
  <c r="AD3362" i="11"/>
  <c r="J3362" i="11"/>
  <c r="A3362" i="11"/>
  <c r="A3363" i="11" s="1"/>
  <c r="AD3360" i="11"/>
  <c r="J3360" i="11"/>
  <c r="A3360" i="11"/>
  <c r="A3361" i="11" s="1"/>
  <c r="AD3358" i="11"/>
  <c r="J3358" i="11"/>
  <c r="A3358" i="11"/>
  <c r="A3359" i="11" s="1"/>
  <c r="AD3356" i="11"/>
  <c r="J3356" i="11"/>
  <c r="A3356" i="11"/>
  <c r="A3357" i="11" s="1"/>
  <c r="AD3354" i="11"/>
  <c r="J3354" i="11"/>
  <c r="A3354" i="11"/>
  <c r="A3355" i="11" s="1"/>
  <c r="AD3352" i="11"/>
  <c r="J3352" i="11"/>
  <c r="A3352" i="11"/>
  <c r="A3353" i="11" s="1"/>
  <c r="AD3347" i="11"/>
  <c r="J3347" i="11"/>
  <c r="A3347" i="11"/>
  <c r="A3348" i="11" s="1"/>
  <c r="AD3345" i="11"/>
  <c r="J3345" i="11"/>
  <c r="A3345" i="11"/>
  <c r="A3346" i="11" s="1"/>
  <c r="AD3343" i="11"/>
  <c r="J3343" i="11"/>
  <c r="A3343" i="11"/>
  <c r="A3344" i="11" s="1"/>
  <c r="AD3341" i="11"/>
  <c r="J3341" i="11"/>
  <c r="A3341" i="11"/>
  <c r="A3342" i="11" s="1"/>
  <c r="AD3339" i="11"/>
  <c r="J3339" i="11"/>
  <c r="A3339" i="11"/>
  <c r="A3340" i="11" s="1"/>
  <c r="AD3337" i="11"/>
  <c r="J3337" i="11"/>
  <c r="A3337" i="11"/>
  <c r="A3338" i="11" s="1"/>
  <c r="AD3335" i="11"/>
  <c r="J3335" i="11"/>
  <c r="A3335" i="11"/>
  <c r="A3336" i="11" s="1"/>
  <c r="AD3333" i="11"/>
  <c r="J3333" i="11"/>
  <c r="A3333" i="11"/>
  <c r="A3334" i="11" s="1"/>
  <c r="AD3331" i="11"/>
  <c r="J3331" i="11"/>
  <c r="A3331" i="11"/>
  <c r="A3332" i="11" s="1"/>
  <c r="AH3309" i="11"/>
  <c r="AI3309" i="11"/>
  <c r="AG3309" i="11"/>
  <c r="AF3309" i="11"/>
  <c r="AO3289" i="11"/>
  <c r="AI3289" i="11"/>
  <c r="AG3289" i="11"/>
  <c r="AF3289" i="11"/>
  <c r="AA3277" i="11"/>
  <c r="AJ3277" i="11"/>
  <c r="AI3277" i="11"/>
  <c r="AG3277" i="11"/>
  <c r="AF3277" i="11"/>
  <c r="AO3252" i="11"/>
  <c r="AA3252" i="11"/>
  <c r="V3253" i="11"/>
  <c r="AJ3252" i="11"/>
  <c r="AI3252" i="11"/>
  <c r="AG3252" i="11"/>
  <c r="AF3252" i="11"/>
  <c r="AO3228" i="11"/>
  <c r="AA3228" i="11"/>
  <c r="V3229" i="11"/>
  <c r="AJ3228" i="11"/>
  <c r="AI3228" i="11"/>
  <c r="AG3228" i="11"/>
  <c r="AF3228" i="11"/>
  <c r="J3219" i="11"/>
  <c r="J3193" i="11"/>
  <c r="AJ3151" i="11"/>
  <c r="AI3151" i="11"/>
  <c r="AG3151" i="11"/>
  <c r="AF3151" i="11"/>
  <c r="AJ3101" i="11"/>
  <c r="AI3101" i="11"/>
  <c r="AG3101" i="11"/>
  <c r="AF3101" i="11"/>
  <c r="V3064" i="11"/>
  <c r="AJ3063" i="11"/>
  <c r="AI3063" i="11"/>
  <c r="AG3063" i="11"/>
  <c r="AF3063" i="11"/>
  <c r="J3052" i="11"/>
  <c r="J3048" i="11"/>
  <c r="J3032" i="11"/>
  <c r="J3028" i="11"/>
  <c r="V2961" i="11"/>
  <c r="AJ2960" i="11"/>
  <c r="AI2960" i="11"/>
  <c r="AG2960" i="11"/>
  <c r="AF2960" i="11"/>
  <c r="J2956" i="11"/>
  <c r="J2934" i="11"/>
  <c r="J2928" i="11"/>
  <c r="V2857" i="11"/>
  <c r="AJ2856" i="11"/>
  <c r="AI2856" i="11"/>
  <c r="AG2856" i="11"/>
  <c r="AF2856" i="11"/>
  <c r="AJ2814" i="11"/>
  <c r="AI2814" i="11"/>
  <c r="AG2814" i="11"/>
  <c r="AF2814" i="11"/>
  <c r="AJ2764" i="11"/>
  <c r="AI2764" i="11"/>
  <c r="AG2764" i="11"/>
  <c r="AF2764" i="11"/>
  <c r="AJ2738" i="11"/>
  <c r="AI2738" i="11"/>
  <c r="AG2738" i="11"/>
  <c r="AF2738" i="11"/>
  <c r="AA2672" i="11"/>
  <c r="AJ2672" i="11"/>
  <c r="AI2672" i="11"/>
  <c r="AG2672" i="11"/>
  <c r="AF2672" i="11"/>
  <c r="AJ2609" i="11"/>
  <c r="AI2609" i="11"/>
  <c r="AG2609" i="11"/>
  <c r="AF2609" i="11"/>
  <c r="I2564" i="11"/>
  <c r="AI2563" i="11"/>
  <c r="AG2563" i="11"/>
  <c r="AF2563" i="11"/>
  <c r="AI2537" i="11"/>
  <c r="AG2537" i="11"/>
  <c r="AF2537" i="11"/>
  <c r="AI2527" i="11"/>
  <c r="AG2527" i="11"/>
  <c r="AF2527" i="11"/>
  <c r="AJ2457" i="11"/>
  <c r="AI2457" i="11"/>
  <c r="AG2457" i="11"/>
  <c r="AF2457" i="11"/>
  <c r="AJ2405" i="11"/>
  <c r="AI2405" i="11"/>
  <c r="AG2405" i="11"/>
  <c r="AF2405" i="11"/>
  <c r="V2402" i="11"/>
  <c r="V2401" i="11"/>
  <c r="J2397" i="11"/>
  <c r="I2394" i="11"/>
  <c r="AI2393" i="11"/>
  <c r="AG2393" i="11"/>
  <c r="AF2393" i="11"/>
  <c r="AJ2379" i="11"/>
  <c r="AJ2375" i="11" s="1"/>
  <c r="AI2379" i="11"/>
  <c r="AG2379" i="11"/>
  <c r="AF2379" i="11"/>
  <c r="AO2359" i="11"/>
  <c r="AA2359" i="11"/>
  <c r="AI2359" i="11"/>
  <c r="AG2359" i="11"/>
  <c r="AF2359" i="11"/>
  <c r="AO2345" i="11"/>
  <c r="AI2345" i="11"/>
  <c r="AG2345" i="11"/>
  <c r="AF2345" i="11"/>
  <c r="AI2333" i="11"/>
  <c r="AG2333" i="11"/>
  <c r="AF2333" i="11"/>
  <c r="AI2320" i="11"/>
  <c r="AG2320" i="11"/>
  <c r="AF2320" i="11"/>
  <c r="J2315" i="11"/>
  <c r="J2313" i="11"/>
  <c r="J2299" i="11"/>
  <c r="AJ2295" i="11"/>
  <c r="AJ2291" i="11" s="1"/>
  <c r="AI2295" i="11"/>
  <c r="AG2295" i="11"/>
  <c r="AF2295" i="11"/>
  <c r="Y2237" i="11"/>
  <c r="Y2235" i="11"/>
  <c r="Y2233" i="11"/>
  <c r="Y2231" i="11"/>
  <c r="Y2229" i="11"/>
  <c r="Y2227" i="11"/>
  <c r="Y2225" i="11"/>
  <c r="Y2223" i="11"/>
  <c r="Y2221" i="11"/>
  <c r="Y2219" i="11"/>
  <c r="Y2217" i="11"/>
  <c r="Y2215" i="11"/>
  <c r="V2214" i="11"/>
  <c r="AJ2213" i="11"/>
  <c r="AI2213" i="11"/>
  <c r="AG2213" i="11"/>
  <c r="AF2213" i="11"/>
  <c r="Y2209" i="11"/>
  <c r="Y2207" i="11"/>
  <c r="Y2205" i="11"/>
  <c r="Y2203" i="11"/>
  <c r="Y2201" i="11"/>
  <c r="Y2199" i="11"/>
  <c r="Y2197" i="11"/>
  <c r="Y2195" i="11"/>
  <c r="Y2193" i="11"/>
  <c r="Y2191" i="11"/>
  <c r="Y2189" i="11"/>
  <c r="Y2187" i="11"/>
  <c r="Y2185" i="11"/>
  <c r="Y2183" i="11"/>
  <c r="Y2181" i="11"/>
  <c r="Y2179" i="11"/>
  <c r="Y2177" i="11"/>
  <c r="Y2175" i="11"/>
  <c r="Y2173" i="11"/>
  <c r="Y2171" i="11"/>
  <c r="Y2169" i="11"/>
  <c r="Y2167" i="11"/>
  <c r="Y2165" i="11"/>
  <c r="Y2163" i="11"/>
  <c r="Y2161" i="11"/>
  <c r="Y2159" i="11"/>
  <c r="Y2157" i="11"/>
  <c r="Y2155" i="11"/>
  <c r="Y2153" i="11"/>
  <c r="Y2151" i="11"/>
  <c r="Y2149" i="11"/>
  <c r="Y2147" i="11"/>
  <c r="Y2145" i="11"/>
  <c r="Y2143" i="11"/>
  <c r="Y2141" i="11"/>
  <c r="Y2139" i="11"/>
  <c r="Y2137" i="11"/>
  <c r="Y2135" i="11"/>
  <c r="Y2133" i="11"/>
  <c r="Y2131" i="11"/>
  <c r="Y2129" i="11"/>
  <c r="AJ2127" i="11"/>
  <c r="AI2127" i="11"/>
  <c r="AG2127" i="11"/>
  <c r="AF2127" i="11"/>
  <c r="Y2124" i="11"/>
  <c r="Y2122" i="11"/>
  <c r="Y2120" i="11"/>
  <c r="Y2118" i="11"/>
  <c r="Y2116" i="11"/>
  <c r="Y2114" i="11"/>
  <c r="Y2112" i="11"/>
  <c r="Y2110" i="11"/>
  <c r="Y2108" i="11"/>
  <c r="Y2106" i="11"/>
  <c r="Y2104" i="11"/>
  <c r="Y2102" i="11"/>
  <c r="Y2100" i="11"/>
  <c r="Y2098" i="11"/>
  <c r="Y2096" i="11"/>
  <c r="Y2094" i="11"/>
  <c r="Y2092" i="11"/>
  <c r="Y2090" i="11"/>
  <c r="Y2088" i="11"/>
  <c r="AO2084" i="11"/>
  <c r="Y2086" i="11"/>
  <c r="V2085" i="11"/>
  <c r="AJ2084" i="11"/>
  <c r="AI2084" i="11"/>
  <c r="AG2084" i="11"/>
  <c r="AF2084" i="11"/>
  <c r="V1999" i="11"/>
  <c r="AJ1998" i="11"/>
  <c r="AI1998" i="11"/>
  <c r="AG1998" i="11"/>
  <c r="AF1998" i="11"/>
  <c r="AF1911" i="11"/>
  <c r="V1908" i="11"/>
  <c r="AJ1907" i="11"/>
  <c r="AI1907" i="11"/>
  <c r="AG1907" i="11"/>
  <c r="Y1898" i="11"/>
  <c r="Y1896" i="11"/>
  <c r="Y1894" i="11"/>
  <c r="Y1892" i="11"/>
  <c r="Y1890" i="11"/>
  <c r="Y1888" i="11"/>
  <c r="Y1886" i="11"/>
  <c r="Y1884" i="11"/>
  <c r="X1883" i="11"/>
  <c r="AJ1882" i="11"/>
  <c r="AI1882" i="11"/>
  <c r="AG1882" i="11"/>
  <c r="AF1882" i="11"/>
  <c r="X1882" i="11"/>
  <c r="Y1878" i="11"/>
  <c r="Y1876" i="11"/>
  <c r="Y1874" i="11"/>
  <c r="Y1872" i="11"/>
  <c r="Y1870" i="11"/>
  <c r="Y1868" i="11"/>
  <c r="Y1866" i="11"/>
  <c r="Y1864" i="11"/>
  <c r="Y1862" i="11"/>
  <c r="AJ1860" i="11"/>
  <c r="AI1860" i="11"/>
  <c r="AG1860" i="11"/>
  <c r="AF1860" i="11"/>
  <c r="Y1857" i="11"/>
  <c r="Y1855" i="11"/>
  <c r="Y1851" i="11"/>
  <c r="P1848" i="11"/>
  <c r="AJ1847" i="11"/>
  <c r="AI1847" i="11"/>
  <c r="AG1847" i="11"/>
  <c r="AF1847" i="11"/>
  <c r="Y1844" i="11"/>
  <c r="Y1842" i="11"/>
  <c r="Y1840" i="11"/>
  <c r="Y1838" i="11"/>
  <c r="Y1836" i="11"/>
  <c r="Y1834" i="11"/>
  <c r="Y1832" i="11"/>
  <c r="Y1830" i="11"/>
  <c r="Y1828" i="11"/>
  <c r="Y1826" i="11"/>
  <c r="Y1824" i="11"/>
  <c r="Y1822" i="11"/>
  <c r="Y1820" i="11"/>
  <c r="Y1818" i="11"/>
  <c r="Y1816" i="11"/>
  <c r="Y1814" i="11"/>
  <c r="Y1812" i="11"/>
  <c r="Y1810" i="11"/>
  <c r="AJ1806" i="11"/>
  <c r="AI1806" i="11"/>
  <c r="AG1806" i="11"/>
  <c r="AF1806" i="11"/>
  <c r="P1773" i="11"/>
  <c r="AJ1773" i="11"/>
  <c r="AI1773" i="11"/>
  <c r="AG1773" i="11"/>
  <c r="AF1773" i="11"/>
  <c r="AJ1698" i="11"/>
  <c r="AI1698" i="11"/>
  <c r="AG1698" i="11"/>
  <c r="AF1698" i="11"/>
  <c r="AA1630" i="11"/>
  <c r="AJ1630" i="11"/>
  <c r="AI1630" i="11"/>
  <c r="AG1630" i="11"/>
  <c r="AF1630" i="11"/>
  <c r="AO1617" i="11"/>
  <c r="AJ1617" i="11"/>
  <c r="AI1617" i="11"/>
  <c r="AG1617" i="11"/>
  <c r="AF1617" i="11"/>
  <c r="J1613" i="11"/>
  <c r="AJ1531" i="11"/>
  <c r="AI1531" i="11"/>
  <c r="AG1531" i="11"/>
  <c r="AF1531" i="11"/>
  <c r="V1449" i="11"/>
  <c r="AJ1448" i="11"/>
  <c r="AI1448" i="11"/>
  <c r="AG1448" i="11"/>
  <c r="AF1448" i="11"/>
  <c r="AJ1362" i="11"/>
  <c r="AI1362" i="11"/>
  <c r="AG1362" i="11"/>
  <c r="AF1362" i="11"/>
  <c r="AJ1199" i="11"/>
  <c r="AI1199" i="11"/>
  <c r="AG1199" i="11"/>
  <c r="AF1199" i="11"/>
  <c r="AJ1128" i="11"/>
  <c r="AI1128" i="11"/>
  <c r="AG1128" i="11"/>
  <c r="AF1128" i="11"/>
  <c r="AJ1085" i="11"/>
  <c r="AI1085" i="11"/>
  <c r="AG1085" i="11"/>
  <c r="AF1085" i="11"/>
  <c r="J1082" i="11"/>
  <c r="AJ1020" i="11"/>
  <c r="AI1020" i="11"/>
  <c r="AG1020" i="11"/>
  <c r="AF1020" i="11"/>
  <c r="AJ997" i="11"/>
  <c r="AJ994" i="11" s="1"/>
  <c r="AI997" i="11"/>
  <c r="AG997" i="11"/>
  <c r="AF997" i="11"/>
  <c r="V995" i="11"/>
  <c r="V994" i="11"/>
  <c r="U972" i="11"/>
  <c r="T972" i="11"/>
  <c r="S972" i="11"/>
  <c r="R972" i="11"/>
  <c r="Q972" i="11"/>
  <c r="P972" i="11"/>
  <c r="AJ971" i="11"/>
  <c r="AI971" i="11"/>
  <c r="AH971" i="11"/>
  <c r="AG971" i="11"/>
  <c r="AF971" i="11"/>
  <c r="U942" i="11"/>
  <c r="T942" i="11"/>
  <c r="S942" i="11"/>
  <c r="R942" i="11"/>
  <c r="Q942" i="11"/>
  <c r="P942" i="11"/>
  <c r="AJ941" i="11"/>
  <c r="AI941" i="11"/>
  <c r="AH941" i="11"/>
  <c r="AG941" i="11"/>
  <c r="AF941" i="11"/>
  <c r="P924" i="11"/>
  <c r="U925" i="11"/>
  <c r="T925" i="11"/>
  <c r="S925" i="11"/>
  <c r="R925" i="11"/>
  <c r="Q925" i="11"/>
  <c r="P925" i="11"/>
  <c r="AO924" i="11"/>
  <c r="AJ924" i="11"/>
  <c r="AI924" i="11"/>
  <c r="AH924" i="11"/>
  <c r="AG924" i="11"/>
  <c r="AF924" i="11"/>
  <c r="AJ886" i="11"/>
  <c r="AI886" i="11"/>
  <c r="AH886" i="11"/>
  <c r="AG886" i="11"/>
  <c r="AF886" i="11"/>
  <c r="J875" i="11"/>
  <c r="J853" i="11"/>
  <c r="AJ851" i="11"/>
  <c r="AI851" i="11"/>
  <c r="AG851" i="11"/>
  <c r="AG848" i="11" s="1"/>
  <c r="AF851" i="11"/>
  <c r="J843" i="11"/>
  <c r="AJ781" i="11"/>
  <c r="AI781" i="11"/>
  <c r="AG781" i="11"/>
  <c r="AF781" i="11"/>
  <c r="AJ703" i="11"/>
  <c r="AI703" i="11"/>
  <c r="AG703" i="11"/>
  <c r="AF703" i="11"/>
  <c r="AJ670" i="11"/>
  <c r="AJ652" i="11" s="1"/>
  <c r="AA652" i="11"/>
  <c r="AI652" i="11"/>
  <c r="AG652" i="11"/>
  <c r="AF652" i="11"/>
  <c r="AJ533" i="11"/>
  <c r="AI533" i="11"/>
  <c r="AG533" i="11"/>
  <c r="AF533" i="11"/>
  <c r="J518" i="11"/>
  <c r="AJ412" i="11"/>
  <c r="AI412" i="11"/>
  <c r="AG412" i="11"/>
  <c r="AF412" i="11"/>
  <c r="P405" i="11"/>
  <c r="I405" i="11"/>
  <c r="AB404" i="11"/>
  <c r="I404" i="11"/>
  <c r="AO404" i="11"/>
  <c r="AL404" i="11"/>
  <c r="AJ404" i="11"/>
  <c r="AI404" i="11"/>
  <c r="AG404" i="11"/>
  <c r="AF404" i="11"/>
  <c r="AA404" i="11"/>
  <c r="U404" i="11"/>
  <c r="T404" i="11"/>
  <c r="S404" i="11"/>
  <c r="R404" i="11"/>
  <c r="Q404" i="11"/>
  <c r="P404" i="11"/>
  <c r="P396" i="11"/>
  <c r="I396" i="11"/>
  <c r="AL395" i="11"/>
  <c r="AB395" i="11"/>
  <c r="AA395" i="11"/>
  <c r="P395" i="11"/>
  <c r="AO395" i="11"/>
  <c r="AJ395" i="11"/>
  <c r="AI395" i="11"/>
  <c r="AG395" i="11"/>
  <c r="AF395" i="11"/>
  <c r="I395" i="11"/>
  <c r="J388" i="11"/>
  <c r="AJ380" i="11"/>
  <c r="AI380" i="11"/>
  <c r="AG380" i="11"/>
  <c r="AF380" i="11"/>
  <c r="J377" i="11"/>
  <c r="I370" i="11"/>
  <c r="AH369" i="11"/>
  <c r="AA369" i="11"/>
  <c r="AJ369" i="11"/>
  <c r="AI369" i="11"/>
  <c r="AG369" i="11"/>
  <c r="AG365" i="11" s="1"/>
  <c r="AF369" i="11"/>
  <c r="V366" i="11"/>
  <c r="V365" i="11"/>
  <c r="J362" i="11"/>
  <c r="AJ310" i="11"/>
  <c r="AI310" i="11"/>
  <c r="AG310" i="11"/>
  <c r="AF310" i="11"/>
  <c r="J306" i="11"/>
  <c r="J304" i="11"/>
  <c r="J294" i="11"/>
  <c r="J290" i="11"/>
  <c r="J286" i="11"/>
  <c r="AA232" i="11"/>
  <c r="AJ232" i="11"/>
  <c r="AI232" i="11"/>
  <c r="AG232" i="11"/>
  <c r="AF232" i="11"/>
  <c r="J210" i="11"/>
  <c r="J206" i="11"/>
  <c r="J202" i="11"/>
  <c r="AJ176" i="11"/>
  <c r="AI176" i="11"/>
  <c r="AG176" i="11"/>
  <c r="AF176" i="11"/>
  <c r="AJ102" i="11"/>
  <c r="AI102" i="11"/>
  <c r="AG102" i="11"/>
  <c r="AF102" i="11"/>
  <c r="AJ14" i="11"/>
  <c r="AI14" i="11"/>
  <c r="AG14" i="11"/>
  <c r="AF14" i="11"/>
  <c r="Q8" i="11"/>
  <c r="N8" i="11" s="1"/>
  <c r="AH7" i="11"/>
  <c r="P7" i="11"/>
  <c r="AI1125" i="11" l="1"/>
  <c r="AI1770" i="11"/>
  <c r="AG2401" i="11"/>
  <c r="AI10" i="11"/>
  <c r="AF994" i="11"/>
  <c r="AJ3224" i="11"/>
  <c r="AI1903" i="11"/>
  <c r="AJ10" i="11"/>
  <c r="AI848" i="11"/>
  <c r="AG1445" i="11"/>
  <c r="AF2291" i="11"/>
  <c r="AF3224" i="11"/>
  <c r="AI409" i="11"/>
  <c r="Q7" i="11"/>
  <c r="AJ2605" i="11"/>
  <c r="V2853" i="11"/>
  <c r="AG1903" i="11"/>
  <c r="X7" i="11"/>
  <c r="M35" i="11"/>
  <c r="M27" i="11"/>
  <c r="AI994" i="11"/>
  <c r="AG2375" i="11"/>
  <c r="AI365" i="11"/>
  <c r="AI1445" i="11"/>
  <c r="AI1442" i="11" s="1"/>
  <c r="AI2375" i="11"/>
  <c r="AI2401" i="11"/>
  <c r="AJ365" i="11"/>
  <c r="AG409" i="11"/>
  <c r="AJ1445" i="11"/>
  <c r="AJ1770" i="11"/>
  <c r="AF2852" i="11"/>
  <c r="AJ1903" i="11"/>
  <c r="AF2375" i="11"/>
  <c r="Y1882" i="11"/>
  <c r="AJ1125" i="11"/>
  <c r="AG1770" i="11"/>
  <c r="AF2605" i="11"/>
  <c r="AJ2852" i="11"/>
  <c r="AG10" i="11"/>
  <c r="AF2401" i="11"/>
  <c r="V3225" i="11"/>
  <c r="AA703" i="11"/>
  <c r="AO886" i="11"/>
  <c r="P1085" i="11"/>
  <c r="AA1448" i="11"/>
  <c r="P1883" i="11"/>
  <c r="AJ409" i="11"/>
  <c r="AA1847" i="11"/>
  <c r="M43" i="11"/>
  <c r="M141" i="11"/>
  <c r="M51" i="11"/>
  <c r="M109" i="11"/>
  <c r="AH703" i="11"/>
  <c r="P1847" i="11"/>
  <c r="AH412" i="11"/>
  <c r="AA1362" i="11"/>
  <c r="P2815" i="11"/>
  <c r="M24" i="11"/>
  <c r="M55" i="11"/>
  <c r="M36" i="11"/>
  <c r="M142" i="11"/>
  <c r="M185" i="11"/>
  <c r="AC2" i="11"/>
  <c r="AB7" i="11" s="1"/>
  <c r="R8" i="11"/>
  <c r="S8" i="11" s="1"/>
  <c r="M16" i="11"/>
  <c r="J78" i="11"/>
  <c r="I1021" i="11"/>
  <c r="AA1199" i="11"/>
  <c r="M57" i="11"/>
  <c r="AO232" i="11"/>
  <c r="N7" i="11"/>
  <c r="M19" i="11"/>
  <c r="M211" i="11"/>
  <c r="M329" i="11"/>
  <c r="AO971" i="11"/>
  <c r="AH1020" i="11"/>
  <c r="AO1128" i="11"/>
  <c r="AH1199" i="11"/>
  <c r="AA2764" i="11"/>
  <c r="AA997" i="11"/>
  <c r="P1363" i="11"/>
  <c r="AA2405" i="11"/>
  <c r="P2610" i="11"/>
  <c r="J224" i="11"/>
  <c r="P653" i="11"/>
  <c r="P1699" i="11"/>
  <c r="P1861" i="11"/>
  <c r="J2389" i="11"/>
  <c r="J694" i="11"/>
  <c r="AA971" i="11"/>
  <c r="P1448" i="11"/>
  <c r="AA1860" i="11"/>
  <c r="P1882" i="11"/>
  <c r="P1908" i="11"/>
  <c r="AI2291" i="11"/>
  <c r="J354" i="11"/>
  <c r="AO703" i="11"/>
  <c r="AG994" i="11"/>
  <c r="AO997" i="11"/>
  <c r="P1631" i="11"/>
  <c r="P1774" i="11"/>
  <c r="P2458" i="11"/>
  <c r="AO2537" i="11"/>
  <c r="AP2537" i="11" s="1"/>
  <c r="P2538" i="11"/>
  <c r="J96" i="11"/>
  <c r="J288" i="11"/>
  <c r="J296" i="11"/>
  <c r="AA380" i="11"/>
  <c r="AA365" i="11" s="1"/>
  <c r="AF409" i="11"/>
  <c r="J696" i="11"/>
  <c r="AJ848" i="11"/>
  <c r="AF1445" i="11"/>
  <c r="P1449" i="11"/>
  <c r="AA1531" i="11"/>
  <c r="J88" i="11"/>
  <c r="AF365" i="11"/>
  <c r="J520" i="11"/>
  <c r="P704" i="11"/>
  <c r="J845" i="11"/>
  <c r="J938" i="11"/>
  <c r="AG1125" i="11"/>
  <c r="P1618" i="11"/>
  <c r="AA2333" i="11"/>
  <c r="AO2457" i="11"/>
  <c r="AO2527" i="11"/>
  <c r="P2528" i="11"/>
  <c r="P2814" i="11"/>
  <c r="AG2291" i="11"/>
  <c r="P2346" i="11"/>
  <c r="J2371" i="11"/>
  <c r="AA2379" i="11"/>
  <c r="AI2605" i="11"/>
  <c r="I2673" i="11"/>
  <c r="AO2960" i="11"/>
  <c r="J3207" i="11"/>
  <c r="J3060" i="11"/>
  <c r="AA886" i="11"/>
  <c r="AA1085" i="11"/>
  <c r="P1086" i="11"/>
  <c r="AA1128" i="11"/>
  <c r="P1200" i="11"/>
  <c r="AO1531" i="11"/>
  <c r="J1690" i="11"/>
  <c r="J1692" i="11"/>
  <c r="AF1770" i="11"/>
  <c r="V1904" i="11"/>
  <c r="AO2127" i="11"/>
  <c r="P2128" i="11"/>
  <c r="J2330" i="11"/>
  <c r="AO2764" i="11"/>
  <c r="I2815" i="11"/>
  <c r="J2904" i="11"/>
  <c r="AA3101" i="11"/>
  <c r="AG3224" i="11"/>
  <c r="AA2213" i="11"/>
  <c r="P2295" i="11"/>
  <c r="P2673" i="11"/>
  <c r="AA2738" i="11"/>
  <c r="AG2852" i="11"/>
  <c r="P2960" i="11"/>
  <c r="AI3224" i="11"/>
  <c r="AF1125" i="11"/>
  <c r="P1532" i="11"/>
  <c r="J2279" i="11"/>
  <c r="J2281" i="11"/>
  <c r="J2283" i="11"/>
  <c r="AJ2401" i="11"/>
  <c r="J2451" i="11"/>
  <c r="AA2457" i="11"/>
  <c r="P2564" i="11"/>
  <c r="AA2814" i="11"/>
  <c r="AI2852" i="11"/>
  <c r="P3252" i="11"/>
  <c r="J3221" i="11"/>
  <c r="AA3309" i="11"/>
  <c r="J222" i="11"/>
  <c r="J284" i="11"/>
  <c r="J647" i="11"/>
  <c r="J767" i="11"/>
  <c r="P1129" i="11"/>
  <c r="J84" i="11"/>
  <c r="J214" i="11"/>
  <c r="J300" i="11"/>
  <c r="J530" i="11"/>
  <c r="J835" i="11"/>
  <c r="AH1847" i="11"/>
  <c r="J160" i="11"/>
  <c r="J342" i="11"/>
  <c r="J769" i="11"/>
  <c r="I852" i="11"/>
  <c r="J2080" i="11"/>
  <c r="J2924" i="11"/>
  <c r="J3197" i="11"/>
  <c r="J226" i="11"/>
  <c r="J302" i="11"/>
  <c r="J522" i="11"/>
  <c r="J688" i="11"/>
  <c r="J1121" i="11"/>
  <c r="J1766" i="11"/>
  <c r="J2898" i="11"/>
  <c r="J2936" i="11"/>
  <c r="I3229" i="11"/>
  <c r="P3253" i="11"/>
  <c r="J399" i="11"/>
  <c r="J839" i="11"/>
  <c r="J2317" i="11"/>
  <c r="J92" i="11"/>
  <c r="J524" i="11"/>
  <c r="J831" i="11"/>
  <c r="J967" i="11"/>
  <c r="P2334" i="11"/>
  <c r="J2938" i="11"/>
  <c r="J3213" i="11"/>
  <c r="J82" i="11"/>
  <c r="J282" i="11"/>
  <c r="AA310" i="11"/>
  <c r="J692" i="11"/>
  <c r="J773" i="11"/>
  <c r="J841" i="11"/>
  <c r="J1842" i="11"/>
  <c r="J1844" i="11"/>
  <c r="J2205" i="11"/>
  <c r="J2207" i="11"/>
  <c r="J2930" i="11"/>
  <c r="J3042" i="11"/>
  <c r="J298" i="11"/>
  <c r="J406" i="11"/>
  <c r="J526" i="11"/>
  <c r="J528" i="11"/>
  <c r="J833" i="11"/>
  <c r="J1993" i="11"/>
  <c r="J1995" i="11"/>
  <c r="J2209" i="11"/>
  <c r="J2285" i="11"/>
  <c r="AO2295" i="11"/>
  <c r="J2902" i="11"/>
  <c r="J2920" i="11"/>
  <c r="J2932" i="11"/>
  <c r="J208" i="11"/>
  <c r="J216" i="11"/>
  <c r="P370" i="11"/>
  <c r="J395" i="11"/>
  <c r="J348" i="11"/>
  <c r="P381" i="11"/>
  <c r="J86" i="11"/>
  <c r="P15" i="11"/>
  <c r="J72" i="11"/>
  <c r="J76" i="11"/>
  <c r="J200" i="11"/>
  <c r="J218" i="11"/>
  <c r="J292" i="11"/>
  <c r="J344" i="11"/>
  <c r="J356" i="11"/>
  <c r="J80" i="11"/>
  <c r="I233" i="11"/>
  <c r="I311" i="11"/>
  <c r="J350" i="11"/>
  <c r="AH102" i="11"/>
  <c r="P311" i="11"/>
  <c r="J358" i="11"/>
  <c r="AH380" i="11"/>
  <c r="J98" i="11"/>
  <c r="P233" i="11"/>
  <c r="J346" i="11"/>
  <c r="J352" i="11"/>
  <c r="AA14" i="11"/>
  <c r="J94" i="11"/>
  <c r="J340" i="11"/>
  <c r="J360" i="11"/>
  <c r="J777" i="11"/>
  <c r="J765" i="11"/>
  <c r="J404" i="11"/>
  <c r="AH404" i="11"/>
  <c r="J700" i="11"/>
  <c r="J771" i="11"/>
  <c r="J837" i="11"/>
  <c r="J775" i="11"/>
  <c r="I1449" i="11"/>
  <c r="AO781" i="11"/>
  <c r="J883" i="11"/>
  <c r="P887" i="11"/>
  <c r="I925" i="11"/>
  <c r="I1129" i="11"/>
  <c r="J991" i="11"/>
  <c r="I1363" i="11"/>
  <c r="J1627" i="11"/>
  <c r="J1434" i="11"/>
  <c r="AH1617" i="11"/>
  <c r="J1694" i="11"/>
  <c r="I1699" i="11"/>
  <c r="I1908" i="11"/>
  <c r="J1803" i="11"/>
  <c r="AH1998" i="11"/>
  <c r="I1807" i="11"/>
  <c r="J2287" i="11"/>
  <c r="J1801" i="11"/>
  <c r="AA2295" i="11"/>
  <c r="P2296" i="11"/>
  <c r="P2321" i="11"/>
  <c r="J2311" i="11"/>
  <c r="P2380" i="11"/>
  <c r="I2321" i="11"/>
  <c r="AH2405" i="11"/>
  <c r="AA2320" i="11"/>
  <c r="J2453" i="11"/>
  <c r="J2523" i="11"/>
  <c r="P2857" i="11"/>
  <c r="J2926" i="11"/>
  <c r="J2900" i="11"/>
  <c r="J3030" i="11"/>
  <c r="J2922" i="11"/>
  <c r="J3050" i="11"/>
  <c r="J3034" i="11"/>
  <c r="AH3101" i="11"/>
  <c r="J3046" i="11"/>
  <c r="J3054" i="11"/>
  <c r="AH3151" i="11"/>
  <c r="P3102" i="11"/>
  <c r="AH3228" i="11"/>
  <c r="J3191" i="11"/>
  <c r="I3310" i="11"/>
  <c r="P2961" i="11"/>
  <c r="I3253" i="11"/>
  <c r="J3044" i="11"/>
  <c r="J3217" i="11"/>
  <c r="P3278" i="11"/>
  <c r="J3195" i="11"/>
  <c r="P3290" i="11"/>
  <c r="J3209" i="11"/>
  <c r="AH3277" i="11"/>
  <c r="J3211" i="11"/>
  <c r="J3215" i="11"/>
  <c r="P3229" i="11"/>
  <c r="P3310" i="11"/>
  <c r="P176" i="11"/>
  <c r="M376" i="11"/>
  <c r="AH395" i="11"/>
  <c r="M415" i="11"/>
  <c r="P14" i="11"/>
  <c r="M20" i="11"/>
  <c r="M28" i="11"/>
  <c r="M44" i="11"/>
  <c r="M52" i="11"/>
  <c r="M60" i="11"/>
  <c r="M64" i="11"/>
  <c r="M84" i="11"/>
  <c r="J90" i="11"/>
  <c r="AO380" i="11"/>
  <c r="I413" i="11"/>
  <c r="AO412" i="11"/>
  <c r="R1618" i="11"/>
  <c r="R1617" i="11"/>
  <c r="R405" i="11"/>
  <c r="AH14" i="11"/>
  <c r="I15" i="11"/>
  <c r="P232" i="11"/>
  <c r="M65" i="11"/>
  <c r="M78" i="11"/>
  <c r="P102" i="11"/>
  <c r="M104" i="11"/>
  <c r="AA102" i="11"/>
  <c r="M110" i="11"/>
  <c r="M124" i="11"/>
  <c r="M3368" i="11"/>
  <c r="M3515" i="11"/>
  <c r="M3513" i="11"/>
  <c r="M3511" i="11"/>
  <c r="M3509" i="11"/>
  <c r="M3487" i="11"/>
  <c r="M3484" i="11"/>
  <c r="M3479" i="11"/>
  <c r="M3476" i="11"/>
  <c r="M3471" i="11"/>
  <c r="M3468" i="11"/>
  <c r="M3463" i="11"/>
  <c r="M3460" i="11"/>
  <c r="M3455" i="11"/>
  <c r="M3452" i="11"/>
  <c r="M3447" i="11"/>
  <c r="M3444" i="11"/>
  <c r="M3439" i="11"/>
  <c r="M3436" i="11"/>
  <c r="M3431" i="11"/>
  <c r="M3428" i="11"/>
  <c r="M3423" i="11"/>
  <c r="M3420" i="11"/>
  <c r="M3414" i="11"/>
  <c r="N3413" i="11" s="1"/>
  <c r="M3411" i="11"/>
  <c r="M3406" i="11"/>
  <c r="M3403" i="11"/>
  <c r="M3398" i="11"/>
  <c r="M3395" i="11"/>
  <c r="M3390" i="11"/>
  <c r="M3387" i="11"/>
  <c r="M3371" i="11"/>
  <c r="M3362" i="11"/>
  <c r="M3357" i="11"/>
  <c r="M3354" i="11"/>
  <c r="M3346" i="11"/>
  <c r="M3343" i="11"/>
  <c r="M3338" i="11"/>
  <c r="M3335" i="11"/>
  <c r="M3372" i="11"/>
  <c r="M3485" i="11"/>
  <c r="M3482" i="11"/>
  <c r="M3477" i="11"/>
  <c r="M3474" i="11"/>
  <c r="M3469" i="11"/>
  <c r="M3466" i="11"/>
  <c r="M3461" i="11"/>
  <c r="M3458" i="11"/>
  <c r="M3453" i="11"/>
  <c r="M3450" i="11"/>
  <c r="M3445" i="11"/>
  <c r="M3442" i="11"/>
  <c r="M3437" i="11"/>
  <c r="M3434" i="11"/>
  <c r="M3429" i="11"/>
  <c r="M3426" i="11"/>
  <c r="M3421" i="11"/>
  <c r="M3418" i="11"/>
  <c r="M3412" i="11"/>
  <c r="M3409" i="11"/>
  <c r="M3404" i="11"/>
  <c r="M3401" i="11"/>
  <c r="M3396" i="11"/>
  <c r="M3393" i="11"/>
  <c r="M3388" i="11"/>
  <c r="M3385" i="11"/>
  <c r="M3363" i="11"/>
  <c r="M3360" i="11"/>
  <c r="M3355" i="11"/>
  <c r="M3352" i="11"/>
  <c r="M3344" i="11"/>
  <c r="M3341" i="11"/>
  <c r="M3336" i="11"/>
  <c r="M3333" i="11"/>
  <c r="M3499" i="11"/>
  <c r="M3497" i="11"/>
  <c r="M3495" i="11"/>
  <c r="M3493" i="11"/>
  <c r="M3491" i="11"/>
  <c r="M3369" i="11"/>
  <c r="M3483" i="11"/>
  <c r="M3480" i="11"/>
  <c r="M3475" i="11"/>
  <c r="M3472" i="11"/>
  <c r="M3467" i="11"/>
  <c r="M3464" i="11"/>
  <c r="M3459" i="11"/>
  <c r="M3456" i="11"/>
  <c r="M3451" i="11"/>
  <c r="M3448" i="11"/>
  <c r="M3443" i="11"/>
  <c r="M3440" i="11"/>
  <c r="M3435" i="11"/>
  <c r="M3432" i="11"/>
  <c r="M3427" i="11"/>
  <c r="M3424" i="11"/>
  <c r="M3419" i="11"/>
  <c r="M3410" i="11"/>
  <c r="M3407" i="11"/>
  <c r="M3402" i="11"/>
  <c r="M3399" i="11"/>
  <c r="M3394" i="11"/>
  <c r="M3391" i="11"/>
  <c r="M3386" i="11"/>
  <c r="M3383" i="11"/>
  <c r="M3370" i="11"/>
  <c r="M3361" i="11"/>
  <c r="M3358" i="11"/>
  <c r="M3353" i="11"/>
  <c r="M3347" i="11"/>
  <c r="M3342" i="11"/>
  <c r="M3339" i="11"/>
  <c r="M3334" i="11"/>
  <c r="M3331" i="11"/>
  <c r="M3514" i="11"/>
  <c r="M3512" i="11"/>
  <c r="M3510" i="11"/>
  <c r="M3508" i="11"/>
  <c r="M3373" i="11"/>
  <c r="M3492" i="11"/>
  <c r="M3481" i="11"/>
  <c r="M3438" i="11"/>
  <c r="M3389" i="11"/>
  <c r="M3318" i="11"/>
  <c r="M3446" i="11"/>
  <c r="M3425" i="11"/>
  <c r="M3397" i="11"/>
  <c r="M3345" i="11"/>
  <c r="M3496" i="11"/>
  <c r="M3454" i="11"/>
  <c r="M3433" i="11"/>
  <c r="M3405" i="11"/>
  <c r="M3384" i="11"/>
  <c r="M3374" i="11"/>
  <c r="M3348" i="11"/>
  <c r="M3312" i="11"/>
  <c r="M3291" i="11"/>
  <c r="M3462" i="11"/>
  <c r="M3441" i="11"/>
  <c r="M3413" i="11"/>
  <c r="M3392" i="11"/>
  <c r="M3500" i="11"/>
  <c r="M3470" i="11"/>
  <c r="M3449" i="11"/>
  <c r="M3400" i="11"/>
  <c r="M3367" i="11"/>
  <c r="M3356" i="11"/>
  <c r="M3332" i="11"/>
  <c r="M3494" i="11"/>
  <c r="M3478" i="11"/>
  <c r="M3457" i="11"/>
  <c r="M3408" i="11"/>
  <c r="M3301" i="11"/>
  <c r="M3486" i="11"/>
  <c r="M3465" i="11"/>
  <c r="M3422" i="11"/>
  <c r="M3359" i="11"/>
  <c r="M3337" i="11"/>
  <c r="M3430" i="11"/>
  <c r="M3340" i="11"/>
  <c r="N3339" i="11" s="1"/>
  <c r="M3270" i="11"/>
  <c r="M3498" i="11"/>
  <c r="M3473" i="11"/>
  <c r="N3472" i="11" s="1"/>
  <c r="M3234" i="11"/>
  <c r="M3232" i="11"/>
  <c r="M3233" i="11"/>
  <c r="M3209" i="11"/>
  <c r="M3205" i="11"/>
  <c r="M3187" i="11"/>
  <c r="M3199" i="11"/>
  <c r="M3183" i="11"/>
  <c r="M3169" i="11"/>
  <c r="M3139" i="11"/>
  <c r="M3185" i="11"/>
  <c r="M3159" i="11"/>
  <c r="M3125" i="11"/>
  <c r="M3049" i="11"/>
  <c r="M2996" i="11"/>
  <c r="M3010" i="11"/>
  <c r="M3060" i="11"/>
  <c r="M2956" i="11"/>
  <c r="M2950" i="11"/>
  <c r="M2888" i="11"/>
  <c r="M2932" i="11"/>
  <c r="M2942" i="11"/>
  <c r="M2928" i="11"/>
  <c r="M2954" i="11"/>
  <c r="M2839" i="11"/>
  <c r="M2828" i="11"/>
  <c r="M2823" i="11"/>
  <c r="M2868" i="11"/>
  <c r="M2845" i="11"/>
  <c r="M2826" i="11"/>
  <c r="M2821" i="11"/>
  <c r="M2892" i="11"/>
  <c r="M2886" i="11"/>
  <c r="M2864" i="11"/>
  <c r="M2784" i="11"/>
  <c r="M2777" i="11"/>
  <c r="M2816" i="11"/>
  <c r="M2751" i="11"/>
  <c r="M2791" i="11"/>
  <c r="M2767" i="11"/>
  <c r="M2746" i="11"/>
  <c r="M2702" i="11"/>
  <c r="M2752" i="11"/>
  <c r="M2747" i="11"/>
  <c r="M2623" i="11"/>
  <c r="M2593" i="11"/>
  <c r="M2588" i="11"/>
  <c r="M2714" i="11"/>
  <c r="M2544" i="11"/>
  <c r="M2524" i="11"/>
  <c r="M2506" i="11"/>
  <c r="M2654" i="11"/>
  <c r="M2539" i="11"/>
  <c r="M2512" i="11"/>
  <c r="M2643" i="11"/>
  <c r="M2515" i="11"/>
  <c r="M2614" i="11"/>
  <c r="M2505" i="11"/>
  <c r="M2469" i="11"/>
  <c r="M2586" i="11"/>
  <c r="M2466" i="11"/>
  <c r="M2422" i="11"/>
  <c r="M2463" i="11"/>
  <c r="M2389" i="11"/>
  <c r="M2227" i="11"/>
  <c r="M2285" i="11"/>
  <c r="M2279" i="11"/>
  <c r="M2261" i="11"/>
  <c r="M2179" i="11"/>
  <c r="M2371" i="11"/>
  <c r="M2283" i="11"/>
  <c r="M2287" i="11"/>
  <c r="M2299" i="11"/>
  <c r="M2281" i="11"/>
  <c r="M2205" i="11"/>
  <c r="M2169" i="11"/>
  <c r="M2159" i="11"/>
  <c r="M2260" i="11"/>
  <c r="M2187" i="11"/>
  <c r="M2385" i="11"/>
  <c r="M2209" i="11"/>
  <c r="M2207" i="11"/>
  <c r="M2183" i="11"/>
  <c r="M2155" i="11"/>
  <c r="M1993" i="11"/>
  <c r="M2067" i="11"/>
  <c r="M2025" i="11"/>
  <c r="M2023" i="11"/>
  <c r="M1958" i="11"/>
  <c r="M1995" i="11"/>
  <c r="M2080" i="11"/>
  <c r="M1916" i="11"/>
  <c r="M1844" i="11"/>
  <c r="M1842" i="11"/>
  <c r="M1714" i="11"/>
  <c r="M1803" i="11"/>
  <c r="M1651" i="11"/>
  <c r="M1739" i="11"/>
  <c r="M1693" i="11"/>
  <c r="M1692" i="11"/>
  <c r="M1801" i="11"/>
  <c r="M1687" i="11"/>
  <c r="M1694" i="11"/>
  <c r="M1451" i="11"/>
  <c r="M1613" i="11"/>
  <c r="M1653" i="11"/>
  <c r="M1690" i="11"/>
  <c r="M1482" i="11"/>
  <c r="M1241" i="11"/>
  <c r="M1306" i="11"/>
  <c r="M1302" i="11"/>
  <c r="M1304" i="11"/>
  <c r="M986" i="11"/>
  <c r="M978" i="11"/>
  <c r="M937" i="11"/>
  <c r="M929" i="11"/>
  <c r="M1105" i="11"/>
  <c r="M992" i="11"/>
  <c r="M984" i="11"/>
  <c r="M976" i="11"/>
  <c r="M935" i="11"/>
  <c r="M927" i="11"/>
  <c r="M1119" i="11"/>
  <c r="M990" i="11"/>
  <c r="M982" i="11"/>
  <c r="M974" i="11"/>
  <c r="M1180" i="11"/>
  <c r="M1148" i="11"/>
  <c r="M931" i="11"/>
  <c r="M988" i="11"/>
  <c r="M964" i="11"/>
  <c r="M956" i="11"/>
  <c r="M948" i="11"/>
  <c r="M968" i="11"/>
  <c r="M960" i="11"/>
  <c r="M952" i="11"/>
  <c r="M944" i="11"/>
  <c r="M980" i="11"/>
  <c r="M939" i="11"/>
  <c r="M933" i="11"/>
  <c r="M661" i="11"/>
  <c r="M962" i="11"/>
  <c r="M954" i="11"/>
  <c r="M946" i="11"/>
  <c r="M966" i="11"/>
  <c r="M958" i="11"/>
  <c r="M950" i="11"/>
  <c r="M401" i="11"/>
  <c r="M395" i="11" s="1"/>
  <c r="M631" i="11"/>
  <c r="M585" i="11"/>
  <c r="M469" i="11"/>
  <c r="M429" i="11"/>
  <c r="M418" i="11"/>
  <c r="M599" i="11"/>
  <c r="M698" i="11"/>
  <c r="M614" i="11"/>
  <c r="M241" i="11"/>
  <c r="M165" i="11"/>
  <c r="M160" i="11"/>
  <c r="M155" i="11"/>
  <c r="M152" i="11"/>
  <c r="M147" i="11"/>
  <c r="M144" i="11"/>
  <c r="M420" i="11"/>
  <c r="M348" i="11"/>
  <c r="M343" i="11"/>
  <c r="M332" i="11"/>
  <c r="M319" i="11"/>
  <c r="M222" i="11"/>
  <c r="M209" i="11"/>
  <c r="M201" i="11"/>
  <c r="M193" i="11"/>
  <c r="M236" i="11"/>
  <c r="M158" i="11"/>
  <c r="M150" i="11"/>
  <c r="M362" i="11"/>
  <c r="M346" i="11"/>
  <c r="M322" i="11"/>
  <c r="M228" i="11"/>
  <c r="M220" i="11"/>
  <c r="M183" i="11"/>
  <c r="M172" i="11"/>
  <c r="M95" i="11"/>
  <c r="M79" i="11"/>
  <c r="N78" i="11" s="1"/>
  <c r="M74" i="11"/>
  <c r="M69" i="11"/>
  <c r="M66" i="11"/>
  <c r="M61" i="11"/>
  <c r="M58" i="11"/>
  <c r="M406" i="11"/>
  <c r="M404" i="11" s="1"/>
  <c r="M63" i="11"/>
  <c r="M94" i="11"/>
  <c r="M130" i="11"/>
  <c r="M136" i="11"/>
  <c r="AO176" i="11"/>
  <c r="AH310" i="11"/>
  <c r="P369" i="11"/>
  <c r="R395" i="11"/>
  <c r="P533" i="11"/>
  <c r="M3314" i="11"/>
  <c r="M3322" i="11"/>
  <c r="M3299" i="11"/>
  <c r="M3292" i="11"/>
  <c r="M3283" i="11"/>
  <c r="M3315" i="11"/>
  <c r="M3306" i="11"/>
  <c r="M3304" i="11"/>
  <c r="M3295" i="11"/>
  <c r="M3302" i="11"/>
  <c r="M3293" i="11"/>
  <c r="M3300" i="11"/>
  <c r="M3255" i="11"/>
  <c r="M3316" i="11"/>
  <c r="M3298" i="11"/>
  <c r="M3267" i="11"/>
  <c r="M3282" i="11"/>
  <c r="M3280" i="11"/>
  <c r="M3284" i="11"/>
  <c r="M3275" i="11"/>
  <c r="M3237" i="11"/>
  <c r="M3218" i="11"/>
  <c r="M3257" i="11"/>
  <c r="M3256" i="11"/>
  <c r="M3235" i="11"/>
  <c r="M3258" i="11"/>
  <c r="M3248" i="11"/>
  <c r="M3214" i="11"/>
  <c r="M3231" i="11"/>
  <c r="M3219" i="11"/>
  <c r="M3212" i="11"/>
  <c r="M3247" i="11"/>
  <c r="M3241" i="11"/>
  <c r="M3222" i="11"/>
  <c r="M3273" i="11"/>
  <c r="M3220" i="11"/>
  <c r="M3201" i="11"/>
  <c r="M3194" i="11"/>
  <c r="M3178" i="11"/>
  <c r="M3192" i="11"/>
  <c r="M3206" i="11"/>
  <c r="M3197" i="11"/>
  <c r="M3190" i="11"/>
  <c r="M3181" i="11"/>
  <c r="M3204" i="11"/>
  <c r="M3188" i="11"/>
  <c r="M3210" i="11"/>
  <c r="M3180" i="11"/>
  <c r="M3165" i="11"/>
  <c r="M3196" i="11"/>
  <c r="M3176" i="11"/>
  <c r="M3217" i="11"/>
  <c r="M3184" i="11"/>
  <c r="M3174" i="11"/>
  <c r="M3170" i="11"/>
  <c r="N3169" i="11" s="1"/>
  <c r="M3154" i="11"/>
  <c r="M3193" i="11"/>
  <c r="M3168" i="11"/>
  <c r="M3198" i="11"/>
  <c r="M3166" i="11"/>
  <c r="M3153" i="11"/>
  <c r="M3189" i="11"/>
  <c r="M3182" i="11"/>
  <c r="M3186" i="11"/>
  <c r="M3148" i="11"/>
  <c r="M3177" i="11"/>
  <c r="M3175" i="11"/>
  <c r="M3163" i="11"/>
  <c r="M3145" i="11"/>
  <c r="M3143" i="11"/>
  <c r="M3136" i="11"/>
  <c r="M3134" i="11"/>
  <c r="M3132" i="11"/>
  <c r="M3130" i="11"/>
  <c r="M3121" i="11"/>
  <c r="M3124" i="11"/>
  <c r="M3157" i="11"/>
  <c r="M3146" i="11"/>
  <c r="M3129" i="11"/>
  <c r="M3122" i="11"/>
  <c r="M3106" i="11"/>
  <c r="M3092" i="11"/>
  <c r="M3162" i="11"/>
  <c r="M3127" i="11"/>
  <c r="M3120" i="11"/>
  <c r="M3097" i="11"/>
  <c r="M3118" i="11"/>
  <c r="M3119" i="11"/>
  <c r="M3109" i="11"/>
  <c r="M3141" i="11"/>
  <c r="M3065" i="11"/>
  <c r="M3093" i="11"/>
  <c r="M3078" i="11"/>
  <c r="M3054" i="11"/>
  <c r="M3047" i="11"/>
  <c r="M3110" i="11"/>
  <c r="M3108" i="11"/>
  <c r="M3096" i="11"/>
  <c r="M3068" i="11"/>
  <c r="M3052" i="11"/>
  <c r="M3045" i="11"/>
  <c r="M3144" i="11"/>
  <c r="N3143" i="11" s="1"/>
  <c r="M3094" i="11"/>
  <c r="M3043" i="11"/>
  <c r="M3034" i="11"/>
  <c r="M3116" i="11"/>
  <c r="M3086" i="11"/>
  <c r="M3123" i="11"/>
  <c r="M3117" i="11"/>
  <c r="M3088" i="11"/>
  <c r="M3070" i="11"/>
  <c r="M3061" i="11"/>
  <c r="N3060" i="11" s="1"/>
  <c r="M3055" i="11"/>
  <c r="M3023" i="11"/>
  <c r="M3098" i="11"/>
  <c r="M3053" i="11"/>
  <c r="N3052" i="11" s="1"/>
  <c r="M3044" i="11"/>
  <c r="M3020" i="11"/>
  <c r="M3013" i="11"/>
  <c r="M3004" i="11"/>
  <c r="M2997" i="11"/>
  <c r="M2981" i="11"/>
  <c r="M2972" i="11"/>
  <c r="M3085" i="11"/>
  <c r="M3069" i="11"/>
  <c r="M3018" i="11"/>
  <c r="M3011" i="11"/>
  <c r="M3002" i="11"/>
  <c r="M2995" i="11"/>
  <c r="M3126" i="11"/>
  <c r="M3032" i="11"/>
  <c r="M3024" i="11"/>
  <c r="M3021" i="11"/>
  <c r="M3019" i="11"/>
  <c r="M3003" i="11"/>
  <c r="M2987" i="11"/>
  <c r="M2978" i="11"/>
  <c r="M3107" i="11"/>
  <c r="M3081" i="11"/>
  <c r="M3057" i="11"/>
  <c r="M3035" i="11"/>
  <c r="M2991" i="11"/>
  <c r="M2970" i="11"/>
  <c r="M3103" i="11"/>
  <c r="M3037" i="11"/>
  <c r="M3000" i="11"/>
  <c r="M2940" i="11"/>
  <c r="M3072" i="11"/>
  <c r="M3022" i="11"/>
  <c r="M3006" i="11"/>
  <c r="M2993" i="11"/>
  <c r="M2985" i="11"/>
  <c r="M3058" i="11"/>
  <c r="M3041" i="11"/>
  <c r="M3033" i="11"/>
  <c r="M2999" i="11"/>
  <c r="M2983" i="11"/>
  <c r="M2982" i="11"/>
  <c r="M2963" i="11"/>
  <c r="M3031" i="11"/>
  <c r="M3014" i="11"/>
  <c r="M3007" i="11"/>
  <c r="M2969" i="11"/>
  <c r="M2955" i="11"/>
  <c r="M3066" i="11"/>
  <c r="M3059" i="11"/>
  <c r="M3028" i="11"/>
  <c r="M3009" i="11"/>
  <c r="M3001" i="11"/>
  <c r="M2990" i="11"/>
  <c r="M2979" i="11"/>
  <c r="M3016" i="11"/>
  <c r="M2944" i="11"/>
  <c r="M2935" i="11"/>
  <c r="M2921" i="11"/>
  <c r="M2912" i="11"/>
  <c r="M2905" i="11"/>
  <c r="M2889" i="11"/>
  <c r="M2880" i="11"/>
  <c r="M2975" i="11"/>
  <c r="M2926" i="11"/>
  <c r="M2919" i="11"/>
  <c r="M2943" i="11"/>
  <c r="M2924" i="11"/>
  <c r="M2917" i="11"/>
  <c r="M2901" i="11"/>
  <c r="M3005" i="11"/>
  <c r="M2947" i="11"/>
  <c r="M2931" i="11"/>
  <c r="M2922" i="11"/>
  <c r="M2915" i="11"/>
  <c r="M2899" i="11"/>
  <c r="M2890" i="11"/>
  <c r="M2938" i="11"/>
  <c r="M2929" i="11"/>
  <c r="M2904" i="11"/>
  <c r="M2881" i="11"/>
  <c r="M3025" i="11"/>
  <c r="M3015" i="11"/>
  <c r="M2992" i="11"/>
  <c r="M2965" i="11"/>
  <c r="M2939" i="11"/>
  <c r="M2918" i="11"/>
  <c r="M2902" i="11"/>
  <c r="M2895" i="11"/>
  <c r="M2946" i="11"/>
  <c r="M2925" i="11"/>
  <c r="M2878" i="11"/>
  <c r="M2877" i="11"/>
  <c r="M2870" i="11"/>
  <c r="M3079" i="11"/>
  <c r="M2893" i="11"/>
  <c r="M2891" i="11"/>
  <c r="M2859" i="11"/>
  <c r="M2848" i="11"/>
  <c r="M2840" i="11"/>
  <c r="M2832" i="11"/>
  <c r="M2829" i="11"/>
  <c r="M2824" i="11"/>
  <c r="M2900" i="11"/>
  <c r="M2795" i="11"/>
  <c r="M2875" i="11"/>
  <c r="M2869" i="11"/>
  <c r="M2862" i="11"/>
  <c r="M2846" i="11"/>
  <c r="M2830" i="11"/>
  <c r="M2827" i="11"/>
  <c r="M2822" i="11"/>
  <c r="M2884" i="11"/>
  <c r="M2866" i="11"/>
  <c r="M2860" i="11"/>
  <c r="M2804" i="11"/>
  <c r="M2883" i="11"/>
  <c r="M2858" i="11"/>
  <c r="M2849" i="11"/>
  <c r="M2923" i="11"/>
  <c r="M2810" i="11"/>
  <c r="M2966" i="11"/>
  <c r="M2807" i="11"/>
  <c r="M2772" i="11"/>
  <c r="M2769" i="11"/>
  <c r="M2735" i="11"/>
  <c r="M2722" i="11"/>
  <c r="M2719" i="11"/>
  <c r="M2711" i="11"/>
  <c r="M2876" i="11"/>
  <c r="M2841" i="11"/>
  <c r="M2833" i="11"/>
  <c r="M2825" i="11"/>
  <c r="M2805" i="11"/>
  <c r="M2799" i="11"/>
  <c r="M2759" i="11"/>
  <c r="M2754" i="11"/>
  <c r="M2820" i="11"/>
  <c r="M2802" i="11"/>
  <c r="M2783" i="11"/>
  <c r="M2770" i="11"/>
  <c r="M2728" i="11"/>
  <c r="M2757" i="11"/>
  <c r="M2744" i="11"/>
  <c r="M2741" i="11"/>
  <c r="M2834" i="11"/>
  <c r="M2789" i="11"/>
  <c r="M2776" i="11"/>
  <c r="M2773" i="11"/>
  <c r="M2768" i="11"/>
  <c r="M2726" i="11"/>
  <c r="M2723" i="11"/>
  <c r="M2865" i="11"/>
  <c r="M2797" i="11"/>
  <c r="M2758" i="11"/>
  <c r="M2750" i="11"/>
  <c r="M2742" i="11"/>
  <c r="M2847" i="11"/>
  <c r="M2800" i="11"/>
  <c r="M2787" i="11"/>
  <c r="M2782" i="11"/>
  <c r="M2774" i="11"/>
  <c r="M2771" i="11"/>
  <c r="M2766" i="11"/>
  <c r="M2732" i="11"/>
  <c r="M2729" i="11"/>
  <c r="M2700" i="11"/>
  <c r="M2694" i="11"/>
  <c r="M2686" i="11"/>
  <c r="M2715" i="11"/>
  <c r="M2669" i="11"/>
  <c r="M2666" i="11"/>
  <c r="M2661" i="11"/>
  <c r="M2653" i="11"/>
  <c r="M2650" i="11"/>
  <c r="M2642" i="11"/>
  <c r="M2637" i="11"/>
  <c r="M2634" i="11"/>
  <c r="M2629" i="11"/>
  <c r="M2626" i="11"/>
  <c r="M2599" i="11"/>
  <c r="M2596" i="11"/>
  <c r="M2591" i="11"/>
  <c r="M2706" i="11"/>
  <c r="M2697" i="11"/>
  <c r="M2689" i="11"/>
  <c r="M2684" i="11"/>
  <c r="M2704" i="11"/>
  <c r="M2667" i="11"/>
  <c r="M2664" i="11"/>
  <c r="M2659" i="11"/>
  <c r="M2656" i="11"/>
  <c r="M2640" i="11"/>
  <c r="M2632" i="11"/>
  <c r="M2627" i="11"/>
  <c r="M2611" i="11"/>
  <c r="M2602" i="11"/>
  <c r="M2753" i="11"/>
  <c r="M2707" i="11"/>
  <c r="M2705" i="11"/>
  <c r="M2699" i="11"/>
  <c r="M2695" i="11"/>
  <c r="M2679" i="11"/>
  <c r="M2674" i="11"/>
  <c r="M2740" i="11"/>
  <c r="M2709" i="11"/>
  <c r="M2703" i="11"/>
  <c r="M2698" i="11"/>
  <c r="M2696" i="11"/>
  <c r="M2685" i="11"/>
  <c r="M2680" i="11"/>
  <c r="M2677" i="11"/>
  <c r="M2808" i="11"/>
  <c r="M2701" i="11"/>
  <c r="M2630" i="11"/>
  <c r="M2584" i="11"/>
  <c r="M2560" i="11"/>
  <c r="M2558" i="11"/>
  <c r="M2553" i="11"/>
  <c r="M2550" i="11"/>
  <c r="M2542" i="11"/>
  <c r="M2507" i="11"/>
  <c r="M2504" i="11"/>
  <c r="M2488" i="11"/>
  <c r="M2483" i="11"/>
  <c r="M2480" i="11"/>
  <c r="M2472" i="11"/>
  <c r="M2657" i="11"/>
  <c r="M2578" i="11"/>
  <c r="M2575" i="11"/>
  <c r="M2569" i="11"/>
  <c r="M2652" i="11"/>
  <c r="M2638" i="11"/>
  <c r="M2574" i="11"/>
  <c r="M2570" i="11"/>
  <c r="M2567" i="11"/>
  <c r="M2548" i="11"/>
  <c r="M2543" i="11"/>
  <c r="M2540" i="11"/>
  <c r="M2533" i="11"/>
  <c r="M2530" i="11"/>
  <c r="M2521" i="11"/>
  <c r="M2502" i="11"/>
  <c r="M2497" i="11"/>
  <c r="M2494" i="11"/>
  <c r="M2486" i="11"/>
  <c r="M2481" i="11"/>
  <c r="M2478" i="11"/>
  <c r="M2662" i="11"/>
  <c r="M2655" i="11"/>
  <c r="M2592" i="11"/>
  <c r="M2579" i="11"/>
  <c r="M2568" i="11"/>
  <c r="M2665" i="11"/>
  <c r="M2639" i="11"/>
  <c r="M2633" i="11"/>
  <c r="M2598" i="11"/>
  <c r="M2549" i="11"/>
  <c r="M2546" i="11"/>
  <c r="M2531" i="11"/>
  <c r="M2503" i="11"/>
  <c r="M2500" i="11"/>
  <c r="M2492" i="11"/>
  <c r="M2660" i="11"/>
  <c r="M2620" i="11"/>
  <c r="M2600" i="11"/>
  <c r="M2576" i="11"/>
  <c r="M2573" i="11"/>
  <c r="M2670" i="11"/>
  <c r="M2641" i="11"/>
  <c r="M2615" i="11"/>
  <c r="M2572" i="11"/>
  <c r="M2522" i="11"/>
  <c r="M2509" i="11"/>
  <c r="M2498" i="11"/>
  <c r="M2493" i="11"/>
  <c r="M2490" i="11"/>
  <c r="M2477" i="11"/>
  <c r="M2474" i="11"/>
  <c r="M2476" i="11"/>
  <c r="M2467" i="11"/>
  <c r="M2437" i="11"/>
  <c r="M2434" i="11"/>
  <c r="M2429" i="11"/>
  <c r="M2426" i="11"/>
  <c r="M2418" i="11"/>
  <c r="M2454" i="11"/>
  <c r="M2453" i="11"/>
  <c r="M2644" i="11"/>
  <c r="M2448" i="11"/>
  <c r="M2443" i="11"/>
  <c r="M2601" i="11"/>
  <c r="M2459" i="11"/>
  <c r="M2446" i="11"/>
  <c r="M2441" i="11"/>
  <c r="M2438" i="11"/>
  <c r="M2471" i="11"/>
  <c r="M2460" i="11"/>
  <c r="M2447" i="11"/>
  <c r="M2428" i="11"/>
  <c r="M2423" i="11"/>
  <c r="M2420" i="11"/>
  <c r="M2628" i="11"/>
  <c r="M2409" i="11"/>
  <c r="M2415" i="11"/>
  <c r="M2395" i="11"/>
  <c r="M2487" i="11"/>
  <c r="M2484" i="11"/>
  <c r="M2416" i="11"/>
  <c r="M2411" i="11"/>
  <c r="M2440" i="11"/>
  <c r="M2419" i="11"/>
  <c r="M2398" i="11"/>
  <c r="M2368" i="11"/>
  <c r="M2363" i="11"/>
  <c r="M2353" i="11"/>
  <c r="M2331" i="11"/>
  <c r="M2323" i="11"/>
  <c r="M2317" i="11"/>
  <c r="M2432" i="11"/>
  <c r="M2348" i="11"/>
  <c r="M2341" i="11"/>
  <c r="M2338" i="11"/>
  <c r="M2329" i="11"/>
  <c r="M2324" i="11"/>
  <c r="M2397" i="11"/>
  <c r="M2383" i="11"/>
  <c r="M2306" i="11"/>
  <c r="M2304" i="11"/>
  <c r="M2275" i="11"/>
  <c r="M2268" i="11"/>
  <c r="M2259" i="11"/>
  <c r="M2252" i="11"/>
  <c r="M2243" i="11"/>
  <c r="M2226" i="11"/>
  <c r="M2355" i="11"/>
  <c r="M2352" i="11"/>
  <c r="M2318" i="11"/>
  <c r="M2313" i="11"/>
  <c r="M2302" i="11"/>
  <c r="M2298" i="11"/>
  <c r="M2257" i="11"/>
  <c r="M2250" i="11"/>
  <c r="M2241" i="11"/>
  <c r="M2237" i="11"/>
  <c r="M2228" i="11"/>
  <c r="M2221" i="11"/>
  <c r="M2190" i="11"/>
  <c r="M2174" i="11"/>
  <c r="M2167" i="11"/>
  <c r="M2264" i="11"/>
  <c r="M2248" i="11"/>
  <c r="M2239" i="11"/>
  <c r="M2230" i="11"/>
  <c r="M2223" i="11"/>
  <c r="M2218" i="11"/>
  <c r="M2201" i="11"/>
  <c r="M2192" i="11"/>
  <c r="M2185" i="11"/>
  <c r="M2176" i="11"/>
  <c r="M2160" i="11"/>
  <c r="M2370" i="11"/>
  <c r="M2349" i="11"/>
  <c r="M2328" i="11"/>
  <c r="M2300" i="11"/>
  <c r="N2299" i="11" s="1"/>
  <c r="M2278" i="11"/>
  <c r="M2269" i="11"/>
  <c r="M2262" i="11"/>
  <c r="M2253" i="11"/>
  <c r="M2232" i="11"/>
  <c r="M2194" i="11"/>
  <c r="M2178" i="11"/>
  <c r="M2171" i="11"/>
  <c r="M2339" i="11"/>
  <c r="M2337" i="11"/>
  <c r="M2310" i="11"/>
  <c r="M2307" i="11"/>
  <c r="M2267" i="11"/>
  <c r="M2251" i="11"/>
  <c r="M2244" i="11"/>
  <c r="M2234" i="11"/>
  <c r="M2196" i="11"/>
  <c r="M2180" i="11"/>
  <c r="M2173" i="11"/>
  <c r="M2364" i="11"/>
  <c r="M2327" i="11"/>
  <c r="M2316" i="11"/>
  <c r="M2286" i="11"/>
  <c r="M2277" i="11"/>
  <c r="M2270" i="11"/>
  <c r="M2254" i="11"/>
  <c r="M2282" i="11"/>
  <c r="M2240" i="11"/>
  <c r="M2222" i="11"/>
  <c r="M2220" i="11"/>
  <c r="M2208" i="11"/>
  <c r="M2198" i="11"/>
  <c r="M2188" i="11"/>
  <c r="M2186" i="11"/>
  <c r="M2162" i="11"/>
  <c r="M2146" i="11"/>
  <c r="M2139" i="11"/>
  <c r="M2121" i="11"/>
  <c r="M2105" i="11"/>
  <c r="M2098" i="11"/>
  <c r="M2089" i="11"/>
  <c r="M2075" i="11"/>
  <c r="M2066" i="11"/>
  <c r="M2312" i="11"/>
  <c r="M2229" i="11"/>
  <c r="M2184" i="11"/>
  <c r="M2177" i="11"/>
  <c r="M2175" i="11"/>
  <c r="M2166" i="11"/>
  <c r="M2165" i="11"/>
  <c r="M2161" i="11"/>
  <c r="M2152" i="11"/>
  <c r="M2148" i="11"/>
  <c r="M2141" i="11"/>
  <c r="M2132" i="11"/>
  <c r="M2123" i="11"/>
  <c r="M2107" i="11"/>
  <c r="M2100" i="11"/>
  <c r="M2091" i="11"/>
  <c r="M2309" i="11"/>
  <c r="M2297" i="11"/>
  <c r="M2224" i="11"/>
  <c r="M2219" i="11"/>
  <c r="M2217" i="11"/>
  <c r="M2182" i="11"/>
  <c r="M2172" i="11"/>
  <c r="M2170" i="11"/>
  <c r="M2151" i="11"/>
  <c r="M2134" i="11"/>
  <c r="M2125" i="11"/>
  <c r="M2118" i="11"/>
  <c r="M2109" i="11"/>
  <c r="M2102" i="11"/>
  <c r="M2093" i="11"/>
  <c r="M2086" i="11"/>
  <c r="M2062" i="11"/>
  <c r="M2336" i="11"/>
  <c r="M2231" i="11"/>
  <c r="M2206" i="11"/>
  <c r="M2156" i="11"/>
  <c r="M2145" i="11"/>
  <c r="M2136" i="11"/>
  <c r="M2120" i="11"/>
  <c r="M2111" i="11"/>
  <c r="M2104" i="11"/>
  <c r="M2095" i="11"/>
  <c r="M2088" i="11"/>
  <c r="M2069" i="11"/>
  <c r="M2365" i="11"/>
  <c r="M2242" i="11"/>
  <c r="M2236" i="11"/>
  <c r="M2164" i="11"/>
  <c r="M2150" i="11"/>
  <c r="M2147" i="11"/>
  <c r="M2138" i="11"/>
  <c r="M2131" i="11"/>
  <c r="M2122" i="11"/>
  <c r="M2113" i="11"/>
  <c r="M2097" i="11"/>
  <c r="M2090" i="11"/>
  <c r="M2081" i="11"/>
  <c r="M2074" i="11"/>
  <c r="M2210" i="11"/>
  <c r="M2204" i="11"/>
  <c r="M2202" i="11"/>
  <c r="M2195" i="11"/>
  <c r="M2181" i="11"/>
  <c r="M2163" i="11"/>
  <c r="M2154" i="11"/>
  <c r="M2142" i="11"/>
  <c r="M2135" i="11"/>
  <c r="M2117" i="11"/>
  <c r="M2110" i="11"/>
  <c r="M2101" i="11"/>
  <c r="M2238" i="11"/>
  <c r="M2200" i="11"/>
  <c r="M2191" i="11"/>
  <c r="M2168" i="11"/>
  <c r="M2099" i="11"/>
  <c r="M2057" i="11"/>
  <c r="M2052" i="11"/>
  <c r="M2049" i="11"/>
  <c r="M2039" i="11"/>
  <c r="M2027" i="11"/>
  <c r="M2018" i="11"/>
  <c r="M2011" i="11"/>
  <c r="M1980" i="11"/>
  <c r="M1962" i="11"/>
  <c r="M1946" i="11"/>
  <c r="M1921" i="11"/>
  <c r="M2158" i="11"/>
  <c r="M2133" i="11"/>
  <c r="M2108" i="11"/>
  <c r="M2048" i="11"/>
  <c r="M2016" i="11"/>
  <c r="M2002" i="11"/>
  <c r="M1978" i="11"/>
  <c r="M1967" i="11"/>
  <c r="M1944" i="11"/>
  <c r="M2193" i="11"/>
  <c r="M2096" i="11"/>
  <c r="M2077" i="11"/>
  <c r="M2032" i="11"/>
  <c r="M2030" i="11"/>
  <c r="M2014" i="11"/>
  <c r="M2009" i="11"/>
  <c r="M1992" i="11"/>
  <c r="M1949" i="11"/>
  <c r="M1942" i="11"/>
  <c r="M1933" i="11"/>
  <c r="M1926" i="11"/>
  <c r="M2140" i="11"/>
  <c r="M2115" i="11"/>
  <c r="M2103" i="11"/>
  <c r="M2065" i="11"/>
  <c r="M2061" i="11"/>
  <c r="M2051" i="11"/>
  <c r="M2045" i="11"/>
  <c r="M2038" i="11"/>
  <c r="M2012" i="11"/>
  <c r="M2007" i="11"/>
  <c r="M1990" i="11"/>
  <c r="M1981" i="11"/>
  <c r="M1974" i="11"/>
  <c r="M1963" i="11"/>
  <c r="M1940" i="11"/>
  <c r="M1931" i="11"/>
  <c r="M1924" i="11"/>
  <c r="M2149" i="11"/>
  <c r="M2124" i="11"/>
  <c r="M2068" i="11"/>
  <c r="M2041" i="11"/>
  <c r="M2035" i="11"/>
  <c r="M2026" i="11"/>
  <c r="M2019" i="11"/>
  <c r="M2005" i="11"/>
  <c r="M1988" i="11"/>
  <c r="M1972" i="11"/>
  <c r="M1961" i="11"/>
  <c r="M1945" i="11"/>
  <c r="M2137" i="11"/>
  <c r="M2112" i="11"/>
  <c r="M2047" i="11"/>
  <c r="M2024" i="11"/>
  <c r="M1977" i="11"/>
  <c r="M1970" i="11"/>
  <c r="M1968" i="11"/>
  <c r="M1959" i="11"/>
  <c r="M2144" i="11"/>
  <c r="M2119" i="11"/>
  <c r="M2092" i="11"/>
  <c r="M2073" i="11"/>
  <c r="M2056" i="11"/>
  <c r="M2053" i="11"/>
  <c r="M2031" i="11"/>
  <c r="M2022" i="11"/>
  <c r="M2015" i="11"/>
  <c r="M2008" i="11"/>
  <c r="M1957" i="11"/>
  <c r="M1950" i="11"/>
  <c r="M1941" i="11"/>
  <c r="M1919" i="11"/>
  <c r="M1912" i="11"/>
  <c r="M1891" i="11"/>
  <c r="M1884" i="11"/>
  <c r="M1874" i="11"/>
  <c r="M1865" i="11"/>
  <c r="M1856" i="11"/>
  <c r="M1852" i="11"/>
  <c r="M1850" i="11"/>
  <c r="M1835" i="11"/>
  <c r="M1830" i="11"/>
  <c r="M1821" i="11"/>
  <c r="M1994" i="11"/>
  <c r="M1939" i="11"/>
  <c r="M1893" i="11"/>
  <c r="M1886" i="11"/>
  <c r="M1876" i="11"/>
  <c r="M1867" i="11"/>
  <c r="M1858" i="11"/>
  <c r="M1837" i="11"/>
  <c r="M1823" i="11"/>
  <c r="M2006" i="11"/>
  <c r="M1922" i="11"/>
  <c r="M1914" i="11"/>
  <c r="M1895" i="11"/>
  <c r="M1888" i="11"/>
  <c r="M1869" i="11"/>
  <c r="M1862" i="11"/>
  <c r="M1839" i="11"/>
  <c r="M1832" i="11"/>
  <c r="M1825" i="11"/>
  <c r="M1818" i="11"/>
  <c r="M1897" i="11"/>
  <c r="M1890" i="11"/>
  <c r="M1871" i="11"/>
  <c r="M1864" i="11"/>
  <c r="M1845" i="11"/>
  <c r="M1841" i="11"/>
  <c r="M1834" i="11"/>
  <c r="M1827" i="11"/>
  <c r="M1820" i="11"/>
  <c r="M1811" i="11"/>
  <c r="M1899" i="11"/>
  <c r="M1892" i="11"/>
  <c r="M1873" i="11"/>
  <c r="M1866" i="11"/>
  <c r="M1857" i="11"/>
  <c r="M1853" i="11"/>
  <c r="M2013" i="11"/>
  <c r="M1920" i="11"/>
  <c r="M1875" i="11"/>
  <c r="M1868" i="11"/>
  <c r="M1838" i="11"/>
  <c r="M1824" i="11"/>
  <c r="M1815" i="11"/>
  <c r="M2029" i="11"/>
  <c r="M1932" i="11"/>
  <c r="M1915" i="11"/>
  <c r="M1896" i="11"/>
  <c r="M1887" i="11"/>
  <c r="M1877" i="11"/>
  <c r="M1831" i="11"/>
  <c r="M1798" i="11"/>
  <c r="M1795" i="11"/>
  <c r="M1794" i="11"/>
  <c r="M1792" i="11"/>
  <c r="M1784" i="11"/>
  <c r="M1750" i="11"/>
  <c r="M1747" i="11"/>
  <c r="M1742" i="11"/>
  <c r="M1726" i="11"/>
  <c r="M1718" i="11"/>
  <c r="M1715" i="11"/>
  <c r="M1710" i="11"/>
  <c r="M1707" i="11"/>
  <c r="M1964" i="11"/>
  <c r="M1955" i="11"/>
  <c r="M1826" i="11"/>
  <c r="M1813" i="11"/>
  <c r="M1790" i="11"/>
  <c r="M1689" i="11"/>
  <c r="M1676" i="11"/>
  <c r="M1660" i="11"/>
  <c r="M1657" i="11"/>
  <c r="M1649" i="11"/>
  <c r="M1644" i="11"/>
  <c r="M1863" i="11"/>
  <c r="M1788" i="11"/>
  <c r="M1777" i="11"/>
  <c r="M1765" i="11"/>
  <c r="M1745" i="11"/>
  <c r="M1740" i="11"/>
  <c r="M1732" i="11"/>
  <c r="M1721" i="11"/>
  <c r="M1713" i="11"/>
  <c r="M1898" i="11"/>
  <c r="M1822" i="11"/>
  <c r="M1814" i="11"/>
  <c r="M1759" i="11"/>
  <c r="M1682" i="11"/>
  <c r="M1679" i="11"/>
  <c r="M1658" i="11"/>
  <c r="M1655" i="11"/>
  <c r="M1634" i="11"/>
  <c r="M1889" i="11"/>
  <c r="M1879" i="11"/>
  <c r="M1836" i="11"/>
  <c r="M1833" i="11"/>
  <c r="M1828" i="11"/>
  <c r="M1796" i="11"/>
  <c r="M1785" i="11"/>
  <c r="M1758" i="11"/>
  <c r="M1751" i="11"/>
  <c r="M1746" i="11"/>
  <c r="M1730" i="11"/>
  <c r="M1727" i="11"/>
  <c r="M1719" i="11"/>
  <c r="M1711" i="11"/>
  <c r="M1706" i="11"/>
  <c r="M1982" i="11"/>
  <c r="M1793" i="11"/>
  <c r="M1779" i="11"/>
  <c r="M1685" i="11"/>
  <c r="M1680" i="11"/>
  <c r="M1677" i="11"/>
  <c r="M1669" i="11"/>
  <c r="M1648" i="11"/>
  <c r="M1645" i="11"/>
  <c r="M1640" i="11"/>
  <c r="M1637" i="11"/>
  <c r="M1602" i="11"/>
  <c r="M1597" i="11"/>
  <c r="M1872" i="11"/>
  <c r="M1829" i="11"/>
  <c r="M1810" i="11"/>
  <c r="M1782" i="11"/>
  <c r="M1760" i="11"/>
  <c r="M1752" i="11"/>
  <c r="M1749" i="11"/>
  <c r="M1744" i="11"/>
  <c r="M1736" i="11"/>
  <c r="M1725" i="11"/>
  <c r="M1720" i="11"/>
  <c r="M1712" i="11"/>
  <c r="M1709" i="11"/>
  <c r="M1704" i="11"/>
  <c r="M1622" i="11"/>
  <c r="M1819" i="11"/>
  <c r="M1817" i="11"/>
  <c r="M1781" i="11"/>
  <c r="M1587" i="11"/>
  <c r="M1584" i="11"/>
  <c r="M1579" i="11"/>
  <c r="M1576" i="11"/>
  <c r="M1563" i="11"/>
  <c r="M1555" i="11"/>
  <c r="M1552" i="11"/>
  <c r="M1527" i="11"/>
  <c r="M1518" i="11"/>
  <c r="M1479" i="11"/>
  <c r="M1470" i="11"/>
  <c r="M1463" i="11"/>
  <c r="M1454" i="11"/>
  <c r="M1430" i="11"/>
  <c r="M1427" i="11"/>
  <c r="M1419" i="11"/>
  <c r="M1414" i="11"/>
  <c r="M1406" i="11"/>
  <c r="M1403" i="11"/>
  <c r="M1398" i="11"/>
  <c r="M1387" i="11"/>
  <c r="M1382" i="11"/>
  <c r="M1379" i="11"/>
  <c r="M1374" i="11"/>
  <c r="M1371" i="11"/>
  <c r="M1627" i="11"/>
  <c r="M1624" i="11"/>
  <c r="M1612" i="11"/>
  <c r="M1609" i="11"/>
  <c r="M1542" i="11"/>
  <c r="M1537" i="11"/>
  <c r="M1534" i="11"/>
  <c r="M1525" i="11"/>
  <c r="M1516" i="11"/>
  <c r="M1509" i="11"/>
  <c r="M1477" i="11"/>
  <c r="M1789" i="11"/>
  <c r="M1686" i="11"/>
  <c r="M1593" i="11"/>
  <c r="M1585" i="11"/>
  <c r="M1582" i="11"/>
  <c r="M1577" i="11"/>
  <c r="M1574" i="11"/>
  <c r="M1561" i="11"/>
  <c r="M1558" i="11"/>
  <c r="M1553" i="11"/>
  <c r="M1475" i="11"/>
  <c r="M1466" i="11"/>
  <c r="M1683" i="11"/>
  <c r="M1654" i="11"/>
  <c r="M1643" i="11"/>
  <c r="M1604" i="11"/>
  <c r="M1548" i="11"/>
  <c r="M1543" i="11"/>
  <c r="M1540" i="11"/>
  <c r="M1521" i="11"/>
  <c r="M1512" i="11"/>
  <c r="M1791" i="11"/>
  <c r="M1705" i="11"/>
  <c r="M1591" i="11"/>
  <c r="M1588" i="11"/>
  <c r="M1580" i="11"/>
  <c r="M1575" i="11"/>
  <c r="M1559" i="11"/>
  <c r="M1556" i="11"/>
  <c r="M1519" i="11"/>
  <c r="M1510" i="11"/>
  <c r="M1478" i="11"/>
  <c r="M1471" i="11"/>
  <c r="M1462" i="11"/>
  <c r="M1455" i="11"/>
  <c r="M1434" i="11"/>
  <c r="M1418" i="11"/>
  <c r="M1415" i="11"/>
  <c r="M1407" i="11"/>
  <c r="M1386" i="11"/>
  <c r="M1378" i="11"/>
  <c r="M1375" i="11"/>
  <c r="M1367" i="11"/>
  <c r="M1646" i="11"/>
  <c r="M1635" i="11"/>
  <c r="M1608" i="11"/>
  <c r="M1606" i="11"/>
  <c r="M1596" i="11"/>
  <c r="M1517" i="11"/>
  <c r="M1508" i="11"/>
  <c r="M1501" i="11"/>
  <c r="M1476" i="11"/>
  <c r="M1469" i="11"/>
  <c r="M1460" i="11"/>
  <c r="M1453" i="11"/>
  <c r="M1360" i="11"/>
  <c r="M1355" i="11"/>
  <c r="M1352" i="11"/>
  <c r="M1339" i="11"/>
  <c r="M1336" i="11"/>
  <c r="M1328" i="11"/>
  <c r="M1323" i="11"/>
  <c r="M1589" i="11"/>
  <c r="M1586" i="11"/>
  <c r="M1578" i="11"/>
  <c r="M1573" i="11"/>
  <c r="M1557" i="11"/>
  <c r="M1515" i="11"/>
  <c r="M1506" i="11"/>
  <c r="M1499" i="11"/>
  <c r="M1474" i="11"/>
  <c r="M1467" i="11"/>
  <c r="M1458" i="11"/>
  <c r="M1437" i="11"/>
  <c r="M1429" i="11"/>
  <c r="M1421" i="11"/>
  <c r="M1416" i="11"/>
  <c r="M1413" i="11"/>
  <c r="M1408" i="11"/>
  <c r="M1405" i="11"/>
  <c r="M1389" i="11"/>
  <c r="M1384" i="11"/>
  <c r="M1381" i="11"/>
  <c r="M1376" i="11"/>
  <c r="M1373" i="11"/>
  <c r="M1670" i="11"/>
  <c r="M1626" i="11"/>
  <c r="M1539" i="11"/>
  <c r="M1536" i="11"/>
  <c r="M1520" i="11"/>
  <c r="M1354" i="11"/>
  <c r="M1318" i="11"/>
  <c r="M1316" i="11"/>
  <c r="M1513" i="11"/>
  <c r="M1428" i="11"/>
  <c r="M1417" i="11"/>
  <c r="M1412" i="11"/>
  <c r="M1401" i="11"/>
  <c r="M1364" i="11"/>
  <c r="M1350" i="11"/>
  <c r="M1348" i="11"/>
  <c r="M1337" i="11"/>
  <c r="M1309" i="11"/>
  <c r="M1301" i="11"/>
  <c r="M1293" i="11"/>
  <c r="M1290" i="11"/>
  <c r="M1274" i="11"/>
  <c r="M1269" i="11"/>
  <c r="M1266" i="11"/>
  <c r="M1261" i="11"/>
  <c r="M1250" i="11"/>
  <c r="M1245" i="11"/>
  <c r="M1242" i="11"/>
  <c r="M1237" i="11"/>
  <c r="M1229" i="11"/>
  <c r="M1359" i="11"/>
  <c r="M1356" i="11"/>
  <c r="M1345" i="11"/>
  <c r="M1340" i="11"/>
  <c r="M1330" i="11"/>
  <c r="M1480" i="11"/>
  <c r="M1353" i="11"/>
  <c r="M1343" i="11"/>
  <c r="M1329" i="11"/>
  <c r="M1307" i="11"/>
  <c r="M1299" i="11"/>
  <c r="M1291" i="11"/>
  <c r="M1288" i="11"/>
  <c r="M1272" i="11"/>
  <c r="M1267" i="11"/>
  <c r="M1264" i="11"/>
  <c r="M1259" i="11"/>
  <c r="M1256" i="11"/>
  <c r="M1248" i="11"/>
  <c r="M1489" i="11"/>
  <c r="M1481" i="11"/>
  <c r="M1456" i="11"/>
  <c r="M1341" i="11"/>
  <c r="M1326" i="11"/>
  <c r="M1324" i="11"/>
  <c r="M1192" i="11"/>
  <c r="M1189" i="11"/>
  <c r="M1333" i="11"/>
  <c r="M1303" i="11"/>
  <c r="M1300" i="11"/>
  <c r="M1292" i="11"/>
  <c r="M1287" i="11"/>
  <c r="M1271" i="11"/>
  <c r="M1268" i="11"/>
  <c r="M1260" i="11"/>
  <c r="M1255" i="11"/>
  <c r="M1247" i="11"/>
  <c r="M1244" i="11"/>
  <c r="M1239" i="11"/>
  <c r="M1236" i="11"/>
  <c r="M1465" i="11"/>
  <c r="M1372" i="11"/>
  <c r="M1310" i="11"/>
  <c r="M1207" i="11"/>
  <c r="M1191" i="11"/>
  <c r="M1182" i="11"/>
  <c r="M1171" i="11"/>
  <c r="M1166" i="11"/>
  <c r="M1163" i="11"/>
  <c r="M1158" i="11"/>
  <c r="M1155" i="11"/>
  <c r="M1139" i="11"/>
  <c r="M1134" i="11"/>
  <c r="M1116" i="11"/>
  <c r="M1100" i="11"/>
  <c r="M1095" i="11"/>
  <c r="M1092" i="11"/>
  <c r="M1060" i="11"/>
  <c r="M1049" i="11"/>
  <c r="M1041" i="11"/>
  <c r="M1034" i="11"/>
  <c r="M1409" i="11"/>
  <c r="M1332" i="11"/>
  <c r="M1240" i="11"/>
  <c r="M1238" i="11"/>
  <c r="M1227" i="11"/>
  <c r="M1216" i="11"/>
  <c r="M1210" i="11"/>
  <c r="M1081" i="11"/>
  <c r="M1068" i="11"/>
  <c r="M1065" i="11"/>
  <c r="M1018" i="11"/>
  <c r="M1013" i="11"/>
  <c r="M1010" i="11"/>
  <c r="M1388" i="11"/>
  <c r="M1322" i="11"/>
  <c r="M1265" i="11"/>
  <c r="M1222" i="11"/>
  <c r="M1221" i="11"/>
  <c r="M1215" i="11"/>
  <c r="M1204" i="11"/>
  <c r="M1195" i="11"/>
  <c r="M1188" i="11"/>
  <c r="M1177" i="11"/>
  <c r="M1172" i="11"/>
  <c r="M1169" i="11"/>
  <c r="M1164" i="11"/>
  <c r="M1156" i="11"/>
  <c r="M1145" i="11"/>
  <c r="M1140" i="11"/>
  <c r="M1109" i="11"/>
  <c r="M1106" i="11"/>
  <c r="M1101" i="11"/>
  <c r="M1098" i="11"/>
  <c r="M1047" i="11"/>
  <c r="M1042" i="11"/>
  <c r="M1039" i="11"/>
  <c r="M985" i="11"/>
  <c r="M1473" i="11"/>
  <c r="M1377" i="11"/>
  <c r="M1228" i="11"/>
  <c r="M1218" i="11"/>
  <c r="M1209" i="11"/>
  <c r="M1079" i="11"/>
  <c r="M1074" i="11"/>
  <c r="M1071" i="11"/>
  <c r="M1063" i="11"/>
  <c r="M1008" i="11"/>
  <c r="M1003" i="11"/>
  <c r="M1001" i="11"/>
  <c r="M951" i="11"/>
  <c r="M1425" i="11"/>
  <c r="M1281" i="11"/>
  <c r="M1233" i="11"/>
  <c r="M1225" i="11"/>
  <c r="M1212" i="11"/>
  <c r="M1183" i="11"/>
  <c r="M1178" i="11"/>
  <c r="M1175" i="11"/>
  <c r="M1170" i="11"/>
  <c r="M1167" i="11"/>
  <c r="M1162" i="11"/>
  <c r="M1159" i="11"/>
  <c r="M1146" i="11"/>
  <c r="M1143" i="11"/>
  <c r="M1138" i="11"/>
  <c r="M1135" i="11"/>
  <c r="M1130" i="11"/>
  <c r="M1107" i="11"/>
  <c r="M1104" i="11"/>
  <c r="M1056" i="11"/>
  <c r="M1048" i="11"/>
  <c r="M1045" i="11"/>
  <c r="M1040" i="11"/>
  <c r="M1037" i="11"/>
  <c r="M1025" i="11"/>
  <c r="M1217" i="11"/>
  <c r="M1211" i="11"/>
  <c r="M1194" i="11"/>
  <c r="M1080" i="11"/>
  <c r="M1069" i="11"/>
  <c r="M1064" i="11"/>
  <c r="M1017" i="11"/>
  <c r="M1393" i="11"/>
  <c r="M1297" i="11"/>
  <c r="M1294" i="11"/>
  <c r="M1249" i="11"/>
  <c r="M1232" i="11"/>
  <c r="M1231" i="11"/>
  <c r="M1223" i="11"/>
  <c r="M1220" i="11"/>
  <c r="M1205" i="11"/>
  <c r="M1184" i="11"/>
  <c r="M1181" i="11"/>
  <c r="M1457" i="11"/>
  <c r="M1334" i="11"/>
  <c r="M1273" i="11"/>
  <c r="M1270" i="11"/>
  <c r="M1219" i="11"/>
  <c r="M1214" i="11"/>
  <c r="M1087" i="11"/>
  <c r="M1083" i="11"/>
  <c r="M1070" i="11"/>
  <c r="M1031" i="11"/>
  <c r="M1160" i="11"/>
  <c r="M1038" i="11"/>
  <c r="M914" i="11"/>
  <c r="M844" i="11"/>
  <c r="M839" i="11"/>
  <c r="M836" i="11"/>
  <c r="M831" i="11"/>
  <c r="M775" i="11"/>
  <c r="M772" i="11"/>
  <c r="M756" i="11"/>
  <c r="M751" i="11"/>
  <c r="M740" i="11"/>
  <c r="M724" i="11"/>
  <c r="M719" i="11"/>
  <c r="M716" i="11"/>
  <c r="M711" i="11"/>
  <c r="M1097" i="11"/>
  <c r="M973" i="11"/>
  <c r="M965" i="11"/>
  <c r="M949" i="11"/>
  <c r="M912" i="11"/>
  <c r="M896" i="11"/>
  <c r="M859" i="11"/>
  <c r="M813" i="11"/>
  <c r="M810" i="11"/>
  <c r="M805" i="11"/>
  <c r="M786" i="11"/>
  <c r="M701" i="11"/>
  <c r="M696" i="11"/>
  <c r="M693" i="11"/>
  <c r="M688" i="11"/>
  <c r="M685" i="11"/>
  <c r="M645" i="11"/>
  <c r="M642" i="11"/>
  <c r="M637" i="11"/>
  <c r="M634" i="11"/>
  <c r="M629" i="11"/>
  <c r="M1062" i="11"/>
  <c r="M1033" i="11"/>
  <c r="M983" i="11"/>
  <c r="M910" i="11"/>
  <c r="M875" i="11"/>
  <c r="M837" i="11"/>
  <c r="M834" i="11"/>
  <c r="M778" i="11"/>
  <c r="M765" i="11"/>
  <c r="M762" i="11"/>
  <c r="M754" i="11"/>
  <c r="M749" i="11"/>
  <c r="M733" i="11"/>
  <c r="M730" i="11"/>
  <c r="M1165" i="11"/>
  <c r="M1149" i="11"/>
  <c r="M1023" i="11"/>
  <c r="M892" i="11"/>
  <c r="M865" i="11"/>
  <c r="M857" i="11"/>
  <c r="M827" i="11"/>
  <c r="M816" i="11"/>
  <c r="M811" i="11"/>
  <c r="M808" i="11"/>
  <c r="M803" i="11"/>
  <c r="M800" i="11"/>
  <c r="M1136" i="11"/>
  <c r="M1094" i="11"/>
  <c r="M1054" i="11"/>
  <c r="M1026" i="11"/>
  <c r="M989" i="11"/>
  <c r="M979" i="11"/>
  <c r="M881" i="11"/>
  <c r="M843" i="11"/>
  <c r="M840" i="11"/>
  <c r="M835" i="11"/>
  <c r="M832" i="11"/>
  <c r="M768" i="11"/>
  <c r="M763" i="11"/>
  <c r="M752" i="11"/>
  <c r="M747" i="11"/>
  <c r="M744" i="11"/>
  <c r="M731" i="11"/>
  <c r="M728" i="11"/>
  <c r="M723" i="11"/>
  <c r="M720" i="11"/>
  <c r="M670" i="11"/>
  <c r="M667" i="11"/>
  <c r="M662" i="11"/>
  <c r="M659" i="11"/>
  <c r="M654" i="11"/>
  <c r="M1141" i="11"/>
  <c r="M1007" i="11"/>
  <c r="M963" i="11"/>
  <c r="M955" i="11"/>
  <c r="M934" i="11"/>
  <c r="M930" i="11"/>
  <c r="M904" i="11"/>
  <c r="M871" i="11"/>
  <c r="M863" i="11"/>
  <c r="M825" i="11"/>
  <c r="M822" i="11"/>
  <c r="M814" i="11"/>
  <c r="M809" i="11"/>
  <c r="M806" i="11"/>
  <c r="M798" i="11"/>
  <c r="M793" i="11"/>
  <c r="M790" i="11"/>
  <c r="M1118" i="11"/>
  <c r="M1046" i="11"/>
  <c r="M1015" i="11"/>
  <c r="M1004" i="11"/>
  <c r="M918" i="11"/>
  <c r="M902" i="11"/>
  <c r="M846" i="11"/>
  <c r="M838" i="11"/>
  <c r="M833" i="11"/>
  <c r="M830" i="11"/>
  <c r="M777" i="11"/>
  <c r="M774" i="11"/>
  <c r="M758" i="11"/>
  <c r="M753" i="11"/>
  <c r="M742" i="11"/>
  <c r="M726" i="11"/>
  <c r="M721" i="11"/>
  <c r="M710" i="11"/>
  <c r="M660" i="11"/>
  <c r="M657" i="11"/>
  <c r="M648" i="11"/>
  <c r="M796" i="11"/>
  <c r="M682" i="11"/>
  <c r="M673" i="11"/>
  <c r="M655" i="11"/>
  <c r="M650" i="11"/>
  <c r="M646" i="11"/>
  <c r="M525" i="11"/>
  <c r="M520" i="11"/>
  <c r="Q396" i="11"/>
  <c r="M397" i="11"/>
  <c r="M1133" i="11"/>
  <c r="M675" i="11"/>
  <c r="M626" i="11"/>
  <c r="M621" i="11"/>
  <c r="M618" i="11"/>
  <c r="M602" i="11"/>
  <c r="M597" i="11"/>
  <c r="M594" i="11"/>
  <c r="M589" i="11"/>
  <c r="M578" i="11"/>
  <c r="M570" i="11"/>
  <c r="M565" i="11"/>
  <c r="M562" i="11"/>
  <c r="M557" i="11"/>
  <c r="M546" i="11"/>
  <c r="M515" i="11"/>
  <c r="M510" i="11"/>
  <c r="M507" i="11"/>
  <c r="M502" i="11"/>
  <c r="M486" i="11"/>
  <c r="M483" i="11"/>
  <c r="M475" i="11"/>
  <c r="M462" i="11"/>
  <c r="M454" i="11"/>
  <c r="M451" i="11"/>
  <c r="M446" i="11"/>
  <c r="M443" i="11"/>
  <c r="M435" i="11"/>
  <c r="M419" i="11"/>
  <c r="N418" i="11" s="1"/>
  <c r="M414" i="11"/>
  <c r="Q405" i="11"/>
  <c r="M638" i="11"/>
  <c r="M632" i="11"/>
  <c r="M630" i="11"/>
  <c r="M531" i="11"/>
  <c r="M627" i="11"/>
  <c r="M624" i="11"/>
  <c r="M619" i="11"/>
  <c r="M608" i="11"/>
  <c r="M603" i="11"/>
  <c r="M595" i="11"/>
  <c r="M592" i="11"/>
  <c r="M584" i="11"/>
  <c r="M568" i="11"/>
  <c r="M563" i="11"/>
  <c r="M560" i="11"/>
  <c r="M555" i="11"/>
  <c r="M552" i="11"/>
  <c r="M544" i="11"/>
  <c r="M539" i="11"/>
  <c r="M536" i="11"/>
  <c r="M516" i="11"/>
  <c r="M513" i="11"/>
  <c r="M508" i="11"/>
  <c r="M505" i="11"/>
  <c r="M497" i="11"/>
  <c r="M492" i="11"/>
  <c r="M489" i="11"/>
  <c r="M484" i="11"/>
  <c r="M481" i="11"/>
  <c r="M452" i="11"/>
  <c r="M449" i="11"/>
  <c r="M900" i="11"/>
  <c r="M861" i="11"/>
  <c r="M791" i="11"/>
  <c r="M663" i="11"/>
  <c r="M647" i="11"/>
  <c r="M641" i="11"/>
  <c r="M636" i="11"/>
  <c r="M633" i="11"/>
  <c r="M530" i="11"/>
  <c r="M527" i="11"/>
  <c r="M1012" i="11"/>
  <c r="M804" i="11"/>
  <c r="M658" i="11"/>
  <c r="M640" i="11"/>
  <c r="M623" i="11"/>
  <c r="M604" i="11"/>
  <c r="M596" i="11"/>
  <c r="M591" i="11"/>
  <c r="M588" i="11"/>
  <c r="M572" i="11"/>
  <c r="M567" i="11"/>
  <c r="M559" i="11"/>
  <c r="M556" i="11"/>
  <c r="M540" i="11"/>
  <c r="M535" i="11"/>
  <c r="M517" i="11"/>
  <c r="M512" i="11"/>
  <c r="M496" i="11"/>
  <c r="M493" i="11"/>
  <c r="M828" i="11"/>
  <c r="M593" i="11"/>
  <c r="M558" i="11"/>
  <c r="M433" i="11"/>
  <c r="M431" i="11"/>
  <c r="M392" i="11"/>
  <c r="M387" i="11"/>
  <c r="M306" i="11"/>
  <c r="M298" i="11"/>
  <c r="M295" i="11"/>
  <c r="M290" i="11"/>
  <c r="M287" i="11"/>
  <c r="M274" i="11"/>
  <c r="M266" i="11"/>
  <c r="M263" i="11"/>
  <c r="M258" i="11"/>
  <c r="M255" i="11"/>
  <c r="M242" i="11"/>
  <c r="M234" i="11"/>
  <c r="M161" i="11"/>
  <c r="M145" i="11"/>
  <c r="M691" i="11"/>
  <c r="M601" i="11"/>
  <c r="M561" i="11"/>
  <c r="M487" i="11"/>
  <c r="N486" i="11" s="1"/>
  <c r="M479" i="11"/>
  <c r="M472" i="11"/>
  <c r="M471" i="11"/>
  <c r="M464" i="11"/>
  <c r="M455" i="11"/>
  <c r="M447" i="11"/>
  <c r="M440" i="11"/>
  <c r="M439" i="11"/>
  <c r="M425" i="11"/>
  <c r="M417" i="11"/>
  <c r="M375" i="11"/>
  <c r="M357" i="11"/>
  <c r="M349" i="11"/>
  <c r="M344" i="11"/>
  <c r="M333" i="11"/>
  <c r="M328" i="11"/>
  <c r="M325" i="11"/>
  <c r="M320" i="11"/>
  <c r="M226" i="11"/>
  <c r="M215" i="11"/>
  <c r="M207" i="11"/>
  <c r="M671" i="11"/>
  <c r="M609" i="11"/>
  <c r="M590" i="11"/>
  <c r="M553" i="11"/>
  <c r="M542" i="11"/>
  <c r="M529" i="11"/>
  <c r="M389" i="11"/>
  <c r="M304" i="11"/>
  <c r="M301" i="11"/>
  <c r="M285" i="11"/>
  <c r="M272" i="11"/>
  <c r="M269" i="11"/>
  <c r="M253" i="11"/>
  <c r="M248" i="11"/>
  <c r="M240" i="11"/>
  <c r="M237" i="11"/>
  <c r="M151" i="11"/>
  <c r="M807" i="11"/>
  <c r="M644" i="11"/>
  <c r="M400" i="11"/>
  <c r="M398" i="11"/>
  <c r="M388" i="11"/>
  <c r="M378" i="11"/>
  <c r="M373" i="11"/>
  <c r="M363" i="11"/>
  <c r="M355" i="11"/>
  <c r="M339" i="11"/>
  <c r="M331" i="11"/>
  <c r="M315" i="11"/>
  <c r="M229" i="11"/>
  <c r="M224" i="11"/>
  <c r="M221" i="11"/>
  <c r="M216" i="11"/>
  <c r="M205" i="11"/>
  <c r="M197" i="11"/>
  <c r="M192" i="11"/>
  <c r="M189" i="11"/>
  <c r="M91" i="11"/>
  <c r="M75" i="11"/>
  <c r="M869" i="11"/>
  <c r="M625" i="11"/>
  <c r="M606" i="11"/>
  <c r="M537" i="11"/>
  <c r="M506" i="11"/>
  <c r="M485" i="11"/>
  <c r="M461" i="11"/>
  <c r="M453" i="11"/>
  <c r="M445" i="11"/>
  <c r="M391" i="11"/>
  <c r="M299" i="11"/>
  <c r="M294" i="11"/>
  <c r="M286" i="11"/>
  <c r="M283" i="11"/>
  <c r="M270" i="11"/>
  <c r="M267" i="11"/>
  <c r="M262" i="11"/>
  <c r="M254" i="11"/>
  <c r="M238" i="11"/>
  <c r="M173" i="11"/>
  <c r="M699" i="11"/>
  <c r="M692" i="11"/>
  <c r="M482" i="11"/>
  <c r="M466" i="11"/>
  <c r="M458" i="11"/>
  <c r="M450" i="11"/>
  <c r="M399" i="11"/>
  <c r="M390" i="11"/>
  <c r="M305" i="11"/>
  <c r="M300" i="11"/>
  <c r="M289" i="11"/>
  <c r="M284" i="11"/>
  <c r="M273" i="11"/>
  <c r="M268" i="11"/>
  <c r="M17" i="11"/>
  <c r="N16" i="11" s="1"/>
  <c r="M18" i="11"/>
  <c r="M22" i="11"/>
  <c r="M25" i="11"/>
  <c r="M30" i="11"/>
  <c r="M33" i="11"/>
  <c r="M38" i="11"/>
  <c r="M41" i="11"/>
  <c r="M46" i="11"/>
  <c r="M47" i="11"/>
  <c r="M49" i="11"/>
  <c r="M50" i="11"/>
  <c r="M54" i="11"/>
  <c r="M56" i="11"/>
  <c r="M68" i="11"/>
  <c r="M97" i="11"/>
  <c r="M106" i="11"/>
  <c r="M107" i="11"/>
  <c r="M113" i="11"/>
  <c r="M119" i="11"/>
  <c r="M139" i="11"/>
  <c r="M149" i="11"/>
  <c r="M219" i="11"/>
  <c r="AH232" i="11"/>
  <c r="P310" i="11"/>
  <c r="M338" i="11"/>
  <c r="I381" i="11"/>
  <c r="M666" i="11"/>
  <c r="M683" i="11"/>
  <c r="M71" i="11"/>
  <c r="M73" i="11"/>
  <c r="M82" i="11"/>
  <c r="M85" i="11"/>
  <c r="M112" i="11"/>
  <c r="M118" i="11"/>
  <c r="M125" i="11"/>
  <c r="M128" i="11"/>
  <c r="M134" i="11"/>
  <c r="M166" i="11"/>
  <c r="M167" i="11"/>
  <c r="M168" i="11"/>
  <c r="M169" i="11"/>
  <c r="AA176" i="11"/>
  <c r="I177" i="11"/>
  <c r="J204" i="11"/>
  <c r="M227" i="11"/>
  <c r="M252" i="11"/>
  <c r="M335" i="11"/>
  <c r="M342" i="11"/>
  <c r="M345" i="11"/>
  <c r="M347" i="11"/>
  <c r="N346" i="11" s="1"/>
  <c r="M393" i="11"/>
  <c r="M416" i="11"/>
  <c r="M426" i="11"/>
  <c r="M457" i="11"/>
  <c r="M460" i="11"/>
  <c r="M511" i="11"/>
  <c r="M92" i="11"/>
  <c r="AO102" i="11"/>
  <c r="M143" i="11"/>
  <c r="M180" i="11"/>
  <c r="M182" i="11"/>
  <c r="M184" i="11"/>
  <c r="M196" i="11"/>
  <c r="M198" i="11"/>
  <c r="J212" i="11"/>
  <c r="M321" i="11"/>
  <c r="AO369" i="11"/>
  <c r="P380" i="11"/>
  <c r="P412" i="11"/>
  <c r="M494" i="11"/>
  <c r="I998" i="11"/>
  <c r="AO14" i="11"/>
  <c r="M83" i="11"/>
  <c r="M99" i="11"/>
  <c r="P103" i="11"/>
  <c r="M108" i="11"/>
  <c r="M114" i="11"/>
  <c r="M117" i="11"/>
  <c r="M120" i="11"/>
  <c r="M126" i="11"/>
  <c r="M140" i="11"/>
  <c r="P177" i="11"/>
  <c r="M195" i="11"/>
  <c r="M202" i="11"/>
  <c r="M206" i="11"/>
  <c r="M213" i="11"/>
  <c r="J220" i="11"/>
  <c r="M313" i="11"/>
  <c r="M316" i="11"/>
  <c r="M330" i="11"/>
  <c r="M360" i="11"/>
  <c r="M361" i="11"/>
  <c r="I366" i="11"/>
  <c r="M377" i="11"/>
  <c r="M423" i="11"/>
  <c r="M465" i="11"/>
  <c r="M478" i="11"/>
  <c r="M664" i="11"/>
  <c r="M21" i="11"/>
  <c r="M26" i="11"/>
  <c r="M29" i="11"/>
  <c r="M34" i="11"/>
  <c r="M37" i="11"/>
  <c r="M42" i="11"/>
  <c r="N42" i="11" s="1"/>
  <c r="M45" i="11"/>
  <c r="M53" i="11"/>
  <c r="N52" i="11" s="1"/>
  <c r="M72" i="11"/>
  <c r="M77" i="11"/>
  <c r="M80" i="11"/>
  <c r="M86" i="11"/>
  <c r="M88" i="11"/>
  <c r="M89" i="11"/>
  <c r="M93" i="11"/>
  <c r="N92" i="11" s="1"/>
  <c r="M96" i="11"/>
  <c r="I103" i="11"/>
  <c r="M111" i="11"/>
  <c r="M116" i="11"/>
  <c r="M122" i="11"/>
  <c r="M129" i="11"/>
  <c r="M135" i="11"/>
  <c r="M137" i="11"/>
  <c r="M146" i="11"/>
  <c r="M156" i="11"/>
  <c r="M157" i="11"/>
  <c r="M163" i="11"/>
  <c r="AH176" i="11"/>
  <c r="M191" i="11"/>
  <c r="M200" i="11"/>
  <c r="M203" i="11"/>
  <c r="M210" i="11"/>
  <c r="N210" i="11" s="1"/>
  <c r="M212" i="11"/>
  <c r="J228" i="11"/>
  <c r="M334" i="11"/>
  <c r="M337" i="11"/>
  <c r="M353" i="11"/>
  <c r="M374" i="11"/>
  <c r="M385" i="11"/>
  <c r="AH533" i="11"/>
  <c r="P413" i="11"/>
  <c r="AO652" i="11"/>
  <c r="AO310" i="11"/>
  <c r="J401" i="11"/>
  <c r="I534" i="11"/>
  <c r="AO533" i="11"/>
  <c r="P781" i="11"/>
  <c r="AH851" i="11"/>
  <c r="AH848" i="11" s="1"/>
  <c r="AA412" i="11"/>
  <c r="P534" i="11"/>
  <c r="AA533" i="11"/>
  <c r="AH652" i="11"/>
  <c r="J690" i="11"/>
  <c r="J698" i="11"/>
  <c r="P782" i="11"/>
  <c r="I887" i="11"/>
  <c r="P652" i="11"/>
  <c r="I782" i="11"/>
  <c r="AO851" i="11"/>
  <c r="P1020" i="11"/>
  <c r="AA851" i="11"/>
  <c r="AH781" i="11"/>
  <c r="AA924" i="11"/>
  <c r="P941" i="11"/>
  <c r="P971" i="11"/>
  <c r="I653" i="11"/>
  <c r="AF848" i="11"/>
  <c r="P886" i="11"/>
  <c r="I704" i="11"/>
  <c r="P703" i="11"/>
  <c r="AA781" i="11"/>
  <c r="P851" i="11"/>
  <c r="P852" i="11"/>
  <c r="AO941" i="11"/>
  <c r="P998" i="11"/>
  <c r="I972" i="11"/>
  <c r="AA941" i="11"/>
  <c r="P997" i="11"/>
  <c r="P1021" i="11"/>
  <c r="AO1085" i="11"/>
  <c r="AH997" i="11"/>
  <c r="AH1085" i="11"/>
  <c r="P1199" i="11"/>
  <c r="I942" i="11"/>
  <c r="J1119" i="11"/>
  <c r="AA1020" i="11"/>
  <c r="I1086" i="11"/>
  <c r="P1128" i="11"/>
  <c r="I1200" i="11"/>
  <c r="AH1128" i="11"/>
  <c r="AO1020" i="11"/>
  <c r="AH1362" i="11"/>
  <c r="AO1199" i="11"/>
  <c r="P1362" i="11"/>
  <c r="P1531" i="11"/>
  <c r="AO1362" i="11"/>
  <c r="AO1448" i="11"/>
  <c r="AH1448" i="11"/>
  <c r="AH1531" i="11"/>
  <c r="I1532" i="11"/>
  <c r="AA1617" i="11"/>
  <c r="AO1630" i="11"/>
  <c r="P1617" i="11"/>
  <c r="I1618" i="11"/>
  <c r="I1631" i="11"/>
  <c r="AH1698" i="11"/>
  <c r="AH1882" i="11"/>
  <c r="AH1860" i="11"/>
  <c r="P1630" i="11"/>
  <c r="P1698" i="11"/>
  <c r="AO1773" i="11"/>
  <c r="AH1806" i="11"/>
  <c r="AH1773" i="11"/>
  <c r="AA1698" i="11"/>
  <c r="AA1773" i="11"/>
  <c r="AH1630" i="11"/>
  <c r="P1860" i="11"/>
  <c r="AO1698" i="11"/>
  <c r="P1807" i="11"/>
  <c r="J1840" i="11"/>
  <c r="AO1847" i="11"/>
  <c r="AO1860" i="11"/>
  <c r="AH1907" i="11"/>
  <c r="P1907" i="11"/>
  <c r="AO1907" i="11"/>
  <c r="AA1882" i="11"/>
  <c r="AA1907" i="11"/>
  <c r="I1774" i="11"/>
  <c r="I1883" i="11"/>
  <c r="P2127" i="11"/>
  <c r="P1806" i="11"/>
  <c r="AA1806" i="11"/>
  <c r="I1999" i="11"/>
  <c r="I1848" i="11"/>
  <c r="P1999" i="11"/>
  <c r="AA1998" i="11"/>
  <c r="I1861" i="11"/>
  <c r="AO1882" i="11"/>
  <c r="AO1998" i="11"/>
  <c r="AO1806" i="11"/>
  <c r="AF1907" i="11"/>
  <c r="AF1903" i="11" s="1"/>
  <c r="AH2127" i="11"/>
  <c r="P1998" i="11"/>
  <c r="AA2127" i="11"/>
  <c r="P2084" i="11"/>
  <c r="I2128" i="11"/>
  <c r="P2085" i="11"/>
  <c r="AO2213" i="11"/>
  <c r="AH2213" i="11"/>
  <c r="I2085" i="11"/>
  <c r="P2359" i="11"/>
  <c r="P2379" i="11"/>
  <c r="AA2084" i="11"/>
  <c r="P2320" i="11"/>
  <c r="I2346" i="11"/>
  <c r="I2214" i="11"/>
  <c r="AH2084" i="11"/>
  <c r="P2213" i="11"/>
  <c r="AH2379" i="11"/>
  <c r="P2214" i="11"/>
  <c r="AH2295" i="11"/>
  <c r="P2393" i="11"/>
  <c r="AH2333" i="11"/>
  <c r="P2333" i="11"/>
  <c r="AH2393" i="11"/>
  <c r="I2360" i="11"/>
  <c r="I2296" i="11"/>
  <c r="AH2320" i="11"/>
  <c r="P2360" i="11"/>
  <c r="AO2379" i="11"/>
  <c r="AO2333" i="11"/>
  <c r="P2345" i="11"/>
  <c r="AA2345" i="11"/>
  <c r="P2406" i="11"/>
  <c r="AO2320" i="11"/>
  <c r="AH2345" i="11"/>
  <c r="AH2359" i="11"/>
  <c r="P2405" i="11"/>
  <c r="I2334" i="11"/>
  <c r="I2380" i="11"/>
  <c r="AA2393" i="11"/>
  <c r="P2394" i="11"/>
  <c r="I2406" i="11"/>
  <c r="AH2672" i="11"/>
  <c r="AO2393" i="11"/>
  <c r="AO2405" i="11"/>
  <c r="P2457" i="11"/>
  <c r="AH2609" i="11"/>
  <c r="P2563" i="11"/>
  <c r="P2527" i="11"/>
  <c r="AH2563" i="11"/>
  <c r="AH2457" i="11"/>
  <c r="P2537" i="11"/>
  <c r="AA2563" i="11"/>
  <c r="AO2563" i="11"/>
  <c r="AO2609" i="11"/>
  <c r="I2458" i="11"/>
  <c r="I2528" i="11"/>
  <c r="I2538" i="11"/>
  <c r="AG2605" i="11"/>
  <c r="AH2527" i="11"/>
  <c r="AH2537" i="11"/>
  <c r="P2672" i="11"/>
  <c r="AA2609" i="11"/>
  <c r="AA2527" i="11"/>
  <c r="AA2537" i="11"/>
  <c r="AH2764" i="11"/>
  <c r="P2609" i="11"/>
  <c r="AH2738" i="11"/>
  <c r="I2610" i="11"/>
  <c r="AO2672" i="11"/>
  <c r="P2764" i="11"/>
  <c r="AO2856" i="11"/>
  <c r="P2765" i="11"/>
  <c r="AH2814" i="11"/>
  <c r="AO2738" i="11"/>
  <c r="P2738" i="11"/>
  <c r="I2765" i="11"/>
  <c r="P2856" i="11"/>
  <c r="AA2856" i="11"/>
  <c r="AO2814" i="11"/>
  <c r="J2954" i="11"/>
  <c r="AH2856" i="11"/>
  <c r="I2857" i="11"/>
  <c r="I2961" i="11"/>
  <c r="AH2960" i="11"/>
  <c r="AA2960" i="11"/>
  <c r="P3063" i="11"/>
  <c r="AO3063" i="11"/>
  <c r="I3064" i="11"/>
  <c r="J3036" i="11"/>
  <c r="AH3063" i="11"/>
  <c r="AA3063" i="11"/>
  <c r="AO3101" i="11"/>
  <c r="J3040" i="11"/>
  <c r="P3101" i="11"/>
  <c r="I3152" i="11"/>
  <c r="I3102" i="11"/>
  <c r="P3064" i="11"/>
  <c r="P3152" i="11"/>
  <c r="AO3151" i="11"/>
  <c r="AA3151" i="11"/>
  <c r="P3151" i="11"/>
  <c r="P3228" i="11"/>
  <c r="I3290" i="11"/>
  <c r="AH3252" i="11"/>
  <c r="P3277" i="11"/>
  <c r="I3278" i="11"/>
  <c r="P3309" i="11"/>
  <c r="AA3289" i="11"/>
  <c r="AA3224" i="11" s="1"/>
  <c r="AO3277" i="11"/>
  <c r="AO3309" i="11"/>
  <c r="AH3289" i="11"/>
  <c r="P3289" i="11"/>
  <c r="N2171" i="11" l="1"/>
  <c r="AG1442" i="11"/>
  <c r="N1466" i="11"/>
  <c r="N1158" i="11"/>
  <c r="N1414" i="11"/>
  <c r="N1518" i="11"/>
  <c r="N2201" i="11"/>
  <c r="N2828" i="11"/>
  <c r="N2207" i="11"/>
  <c r="N2285" i="11"/>
  <c r="N2832" i="11"/>
  <c r="N3109" i="11"/>
  <c r="N3399" i="11"/>
  <c r="AA994" i="11"/>
  <c r="N2599" i="11"/>
  <c r="N3407" i="11"/>
  <c r="N362" i="11"/>
  <c r="N662" i="11"/>
  <c r="N2880" i="11"/>
  <c r="N60" i="11"/>
  <c r="N184" i="11"/>
  <c r="N454" i="11"/>
  <c r="N2030" i="11"/>
  <c r="N2281" i="11"/>
  <c r="N2659" i="11"/>
  <c r="N144" i="11"/>
  <c r="N2706" i="11"/>
  <c r="AH1125" i="11"/>
  <c r="N2752" i="11"/>
  <c r="N24" i="11"/>
  <c r="N698" i="11"/>
  <c r="N64" i="11"/>
  <c r="AH365" i="11"/>
  <c r="N140" i="11"/>
  <c r="N2118" i="11"/>
  <c r="N3014" i="11"/>
  <c r="N3452" i="11"/>
  <c r="N2080" i="11"/>
  <c r="N3024" i="11"/>
  <c r="N3193" i="11"/>
  <c r="N3478" i="11"/>
  <c r="AF1442" i="11"/>
  <c r="N1241" i="11"/>
  <c r="N2159" i="11"/>
  <c r="N34" i="11"/>
  <c r="N220" i="11"/>
  <c r="N236" i="11"/>
  <c r="N348" i="11"/>
  <c r="N631" i="11"/>
  <c r="N1480" i="11"/>
  <c r="N2261" i="11"/>
  <c r="AA2375" i="11"/>
  <c r="AO1125" i="11"/>
  <c r="N36" i="11"/>
  <c r="N56" i="11"/>
  <c r="N3391" i="11"/>
  <c r="N110" i="11"/>
  <c r="N26" i="11"/>
  <c r="N108" i="11"/>
  <c r="N54" i="11"/>
  <c r="N2846" i="11"/>
  <c r="N20" i="11"/>
  <c r="AO365" i="11"/>
  <c r="N124" i="11"/>
  <c r="N50" i="11"/>
  <c r="N2141" i="11"/>
  <c r="N3371" i="11"/>
  <c r="AA2291" i="11"/>
  <c r="N3356" i="11"/>
  <c r="N298" i="11"/>
  <c r="N332" i="11"/>
  <c r="N3480" i="11"/>
  <c r="N3418" i="11"/>
  <c r="N3482" i="11"/>
  <c r="AO994" i="11"/>
  <c r="N3448" i="11"/>
  <c r="N3385" i="11"/>
  <c r="AJ1442" i="11"/>
  <c r="AA1445" i="11"/>
  <c r="N28" i="11"/>
  <c r="N1339" i="11"/>
  <c r="N2627" i="11"/>
  <c r="N2848" i="11"/>
  <c r="N1692" i="11"/>
  <c r="N160" i="11"/>
  <c r="N2804" i="11"/>
  <c r="N3403" i="11"/>
  <c r="N3468" i="11"/>
  <c r="P2376" i="11"/>
  <c r="N1180" i="11"/>
  <c r="N2669" i="11"/>
  <c r="N1828" i="11"/>
  <c r="AA1125" i="11"/>
  <c r="AH994" i="11"/>
  <c r="N1704" i="11"/>
  <c r="N1750" i="11"/>
  <c r="N1888" i="11"/>
  <c r="N3283" i="11"/>
  <c r="AC7" i="11"/>
  <c r="P3225" i="11"/>
  <c r="N2437" i="11"/>
  <c r="P2402" i="11"/>
  <c r="P1445" i="11"/>
  <c r="N460" i="11"/>
  <c r="N1062" i="11"/>
  <c r="N1781" i="11"/>
  <c r="N1945" i="11"/>
  <c r="N2165" i="11"/>
  <c r="N2269" i="11"/>
  <c r="N2900" i="11"/>
  <c r="N3352" i="11"/>
  <c r="N3434" i="11"/>
  <c r="N3466" i="11"/>
  <c r="N392" i="11"/>
  <c r="N1267" i="11"/>
  <c r="N1555" i="11"/>
  <c r="N1921" i="11"/>
  <c r="N3331" i="11"/>
  <c r="AO3224" i="11"/>
  <c r="AA2605" i="11"/>
  <c r="N304" i="11"/>
  <c r="N1830" i="11"/>
  <c r="N2483" i="11"/>
  <c r="N3432" i="11"/>
  <c r="N44" i="11"/>
  <c r="N18" i="11"/>
  <c r="N589" i="11"/>
  <c r="N827" i="11"/>
  <c r="N645" i="11"/>
  <c r="N1239" i="11"/>
  <c r="N1454" i="11"/>
  <c r="N1876" i="11"/>
  <c r="N1844" i="11"/>
  <c r="N1993" i="11"/>
  <c r="P1446" i="11"/>
  <c r="N1866" i="11"/>
  <c r="N1834" i="11"/>
  <c r="N2090" i="11"/>
  <c r="N2477" i="11"/>
  <c r="N2655" i="11"/>
  <c r="N2641" i="11"/>
  <c r="N1915" i="11"/>
  <c r="N2776" i="11"/>
  <c r="N1977" i="11"/>
  <c r="N388" i="11"/>
  <c r="N1211" i="11"/>
  <c r="N1209" i="11"/>
  <c r="N1138" i="11"/>
  <c r="N1573" i="11"/>
  <c r="N1793" i="11"/>
  <c r="N2052" i="11"/>
  <c r="N2102" i="11"/>
  <c r="N2048" i="11"/>
  <c r="N2074" i="11"/>
  <c r="N3197" i="11"/>
  <c r="N2505" i="11"/>
  <c r="N142" i="11"/>
  <c r="N1194" i="11"/>
  <c r="N1265" i="11"/>
  <c r="N2251" i="11"/>
  <c r="N112" i="11"/>
  <c r="N399" i="11"/>
  <c r="N512" i="11"/>
  <c r="N623" i="11"/>
  <c r="N1418" i="11"/>
  <c r="N2549" i="11"/>
  <c r="N2022" i="11"/>
  <c r="N136" i="11"/>
  <c r="N567" i="11"/>
  <c r="N1428" i="11"/>
  <c r="N1539" i="11"/>
  <c r="N1474" i="11"/>
  <c r="N1718" i="11"/>
  <c r="N1838" i="11"/>
  <c r="N2219" i="11"/>
  <c r="N2924" i="11"/>
  <c r="N2024" i="11"/>
  <c r="N1064" i="11"/>
  <c r="N2014" i="11"/>
  <c r="N1941" i="11"/>
  <c r="N2229" i="11"/>
  <c r="M2393" i="11"/>
  <c r="N2918" i="11"/>
  <c r="N2990" i="11"/>
  <c r="P2292" i="11"/>
  <c r="N128" i="11"/>
  <c r="N334" i="11"/>
  <c r="N1217" i="11"/>
  <c r="N1299" i="11"/>
  <c r="N1557" i="11"/>
  <c r="N2397" i="11"/>
  <c r="N2698" i="11"/>
  <c r="N2864" i="11"/>
  <c r="N660" i="11"/>
  <c r="N833" i="11"/>
  <c r="N633" i="11"/>
  <c r="N647" i="11"/>
  <c r="Q369" i="11"/>
  <c r="N1038" i="11"/>
  <c r="N1412" i="11"/>
  <c r="N1832" i="11"/>
  <c r="AO2852" i="11"/>
  <c r="N96" i="11"/>
  <c r="N196" i="11"/>
  <c r="N294" i="11"/>
  <c r="N1070" i="11"/>
  <c r="N1105" i="11"/>
  <c r="N1714" i="11"/>
  <c r="N1746" i="11"/>
  <c r="N1892" i="11"/>
  <c r="N2149" i="11"/>
  <c r="N2191" i="11"/>
  <c r="N2173" i="11"/>
  <c r="N2317" i="11"/>
  <c r="N2601" i="11"/>
  <c r="N2826" i="11"/>
  <c r="N3205" i="11"/>
  <c r="N2066" i="11"/>
  <c r="N2259" i="11"/>
  <c r="N1676" i="11"/>
  <c r="N2243" i="11"/>
  <c r="AO1903" i="11"/>
  <c r="N88" i="11"/>
  <c r="N118" i="11"/>
  <c r="N252" i="11"/>
  <c r="N284" i="11"/>
  <c r="N603" i="11"/>
  <c r="N637" i="11"/>
  <c r="N601" i="11"/>
  <c r="N837" i="11"/>
  <c r="N805" i="11"/>
  <c r="N1068" i="11"/>
  <c r="N1007" i="11"/>
  <c r="N1170" i="11"/>
  <c r="N1271" i="11"/>
  <c r="N1981" i="11"/>
  <c r="N1744" i="11"/>
  <c r="N1898" i="11"/>
  <c r="N1868" i="11"/>
  <c r="N2237" i="11"/>
  <c r="N2193" i="11"/>
  <c r="N2750" i="11"/>
  <c r="N206" i="11"/>
  <c r="N595" i="11"/>
  <c r="N1293" i="11"/>
  <c r="N1162" i="11"/>
  <c r="N1644" i="11"/>
  <c r="N2575" i="11"/>
  <c r="N2633" i="11"/>
  <c r="N168" i="11"/>
  <c r="N843" i="11"/>
  <c r="Q1200" i="11"/>
  <c r="N1931" i="11"/>
  <c r="N1874" i="11"/>
  <c r="N1896" i="11"/>
  <c r="N1822" i="11"/>
  <c r="N2133" i="11"/>
  <c r="N2185" i="11"/>
  <c r="N2217" i="11"/>
  <c r="N3022" i="11"/>
  <c r="AH409" i="11"/>
  <c r="N484" i="11"/>
  <c r="N813" i="11"/>
  <c r="N1456" i="11"/>
  <c r="N1376" i="11"/>
  <c r="N1048" i="11"/>
  <c r="N1309" i="11"/>
  <c r="N1323" i="11"/>
  <c r="N1249" i="11"/>
  <c r="N1353" i="11"/>
  <c r="N1795" i="11"/>
  <c r="N1720" i="11"/>
  <c r="N1836" i="11"/>
  <c r="N2139" i="11"/>
  <c r="N510" i="11"/>
  <c r="N390" i="11"/>
  <c r="N1140" i="11"/>
  <c r="N777" i="11"/>
  <c r="N1710" i="11"/>
  <c r="N1857" i="11"/>
  <c r="N1864" i="11"/>
  <c r="N2120" i="11"/>
  <c r="N2231" i="11"/>
  <c r="N2521" i="11"/>
  <c r="N2567" i="11"/>
  <c r="N330" i="11"/>
  <c r="N268" i="11"/>
  <c r="N591" i="11"/>
  <c r="N1255" i="11"/>
  <c r="N1287" i="11"/>
  <c r="N1789" i="11"/>
  <c r="N1824" i="11"/>
  <c r="N1820" i="11"/>
  <c r="N452" i="11"/>
  <c r="N212" i="11"/>
  <c r="N300" i="11"/>
  <c r="N831" i="11"/>
  <c r="AO2291" i="11"/>
  <c r="P995" i="11"/>
  <c r="N202" i="11"/>
  <c r="N106" i="11"/>
  <c r="N46" i="11"/>
  <c r="N74" i="11"/>
  <c r="N254" i="11"/>
  <c r="N286" i="11"/>
  <c r="N530" i="11"/>
  <c r="N506" i="11"/>
  <c r="N719" i="11"/>
  <c r="N751" i="11"/>
  <c r="N753" i="11"/>
  <c r="N1269" i="11"/>
  <c r="N1134" i="11"/>
  <c r="N1166" i="11"/>
  <c r="N1577" i="11"/>
  <c r="N1406" i="11"/>
  <c r="N1648" i="11"/>
  <c r="N1814" i="11"/>
  <c r="N2026" i="11"/>
  <c r="N2227" i="11"/>
  <c r="N2337" i="11"/>
  <c r="N2447" i="11"/>
  <c r="N2591" i="11"/>
  <c r="N2471" i="11"/>
  <c r="N2702" i="11"/>
  <c r="N2653" i="11"/>
  <c r="N2112" i="11"/>
  <c r="N2122" i="11"/>
  <c r="N2195" i="11"/>
  <c r="N2700" i="11"/>
  <c r="N2938" i="11"/>
  <c r="N3358" i="11"/>
  <c r="N3383" i="11"/>
  <c r="N2824" i="11"/>
  <c r="N2942" i="11"/>
  <c r="N2978" i="11"/>
  <c r="N3032" i="11"/>
  <c r="N3165" i="11"/>
  <c r="N3175" i="11"/>
  <c r="N3299" i="11"/>
  <c r="N2098" i="11"/>
  <c r="N2241" i="11"/>
  <c r="N2205" i="11"/>
  <c r="N2169" i="11"/>
  <c r="N2328" i="11"/>
  <c r="N2728" i="11"/>
  <c r="N3002" i="11"/>
  <c r="N3125" i="11"/>
  <c r="N3093" i="11"/>
  <c r="N3185" i="11"/>
  <c r="N3177" i="11"/>
  <c r="N182" i="11"/>
  <c r="N240" i="11"/>
  <c r="N3360" i="11"/>
  <c r="N3442" i="11"/>
  <c r="N3362" i="11"/>
  <c r="N3444" i="11"/>
  <c r="N2876" i="11"/>
  <c r="N2928" i="11"/>
  <c r="N3107" i="11"/>
  <c r="N3181" i="11"/>
  <c r="N3209" i="11"/>
  <c r="N3189" i="11"/>
  <c r="N3232" i="11"/>
  <c r="N3409" i="11"/>
  <c r="N3438" i="11"/>
  <c r="N2209" i="11"/>
  <c r="N2124" i="11"/>
  <c r="N2888" i="11"/>
  <c r="N3010" i="11"/>
  <c r="N3183" i="11"/>
  <c r="N3219" i="11"/>
  <c r="N3456" i="11"/>
  <c r="N3343" i="11"/>
  <c r="N3428" i="11"/>
  <c r="R1020" i="11"/>
  <c r="R102" i="11"/>
  <c r="R3152" i="11"/>
  <c r="R2764" i="11"/>
  <c r="R2672" i="11"/>
  <c r="R7" i="11"/>
  <c r="R232" i="11"/>
  <c r="R103" i="11"/>
  <c r="R3290" i="11"/>
  <c r="R3151" i="11"/>
  <c r="R2295" i="11"/>
  <c r="R2321" i="11"/>
  <c r="R1882" i="11"/>
  <c r="R15" i="11"/>
  <c r="R3229" i="11"/>
  <c r="R2857" i="11"/>
  <c r="R2537" i="11"/>
  <c r="R3310" i="11"/>
  <c r="R534" i="11"/>
  <c r="R3101" i="11"/>
  <c r="R2961" i="11"/>
  <c r="R2814" i="11"/>
  <c r="R2765" i="11"/>
  <c r="R2739" i="11" s="1"/>
  <c r="R2457" i="11"/>
  <c r="R2405" i="11"/>
  <c r="R2214" i="11"/>
  <c r="R1848" i="11"/>
  <c r="R2673" i="11"/>
  <c r="R2856" i="11"/>
  <c r="R2610" i="11"/>
  <c r="R1907" i="11"/>
  <c r="R2564" i="11"/>
  <c r="R2360" i="11"/>
  <c r="R2213" i="11"/>
  <c r="R1999" i="11"/>
  <c r="R1807" i="11"/>
  <c r="N3373" i="11"/>
  <c r="N3424" i="11"/>
  <c r="N3393" i="11"/>
  <c r="N3389" i="11"/>
  <c r="N3486" i="11"/>
  <c r="R310" i="11"/>
  <c r="R2406" i="11"/>
  <c r="R2127" i="11"/>
  <c r="P1126" i="11"/>
  <c r="AH3224" i="11"/>
  <c r="I1126" i="11"/>
  <c r="Q3310" i="11"/>
  <c r="P2375" i="11"/>
  <c r="AA10" i="11"/>
  <c r="AO2375" i="11"/>
  <c r="R3278" i="11"/>
  <c r="AH2852" i="11"/>
  <c r="R381" i="11"/>
  <c r="P366" i="11"/>
  <c r="N1182" i="11"/>
  <c r="I3225" i="11"/>
  <c r="P1904" i="11"/>
  <c r="M59" i="11"/>
  <c r="N58" i="11" s="1"/>
  <c r="M239" i="11"/>
  <c r="N238" i="11" s="1"/>
  <c r="M318" i="11"/>
  <c r="N318" i="11" s="1"/>
  <c r="M31" i="11"/>
  <c r="N30" i="11" s="1"/>
  <c r="N1575" i="11"/>
  <c r="N2137" i="11"/>
  <c r="M583" i="11"/>
  <c r="N555" i="11"/>
  <c r="M687" i="11"/>
  <c r="M1113" i="11"/>
  <c r="N1164" i="11"/>
  <c r="N3018" i="11"/>
  <c r="N3065" i="11"/>
  <c r="P2853" i="11"/>
  <c r="AH2605" i="11"/>
  <c r="I2376" i="11"/>
  <c r="P2291" i="11"/>
  <c r="AH1770" i="11"/>
  <c r="AO1445" i="11"/>
  <c r="AO848" i="11"/>
  <c r="M356" i="11"/>
  <c r="N356" i="11" s="1"/>
  <c r="M131" i="11"/>
  <c r="N130" i="11" s="1"/>
  <c r="Q103" i="11"/>
  <c r="M105" i="11"/>
  <c r="M566" i="11"/>
  <c r="N565" i="11" s="1"/>
  <c r="M521" i="11"/>
  <c r="N520" i="11" s="1"/>
  <c r="N172" i="11"/>
  <c r="M170" i="11"/>
  <c r="M121" i="11"/>
  <c r="N120" i="11" s="1"/>
  <c r="N1333" i="11"/>
  <c r="N1080" i="11"/>
  <c r="N1634" i="11"/>
  <c r="N1386" i="11"/>
  <c r="N1712" i="11"/>
  <c r="N2135" i="11"/>
  <c r="N2661" i="11"/>
  <c r="N2573" i="11"/>
  <c r="M354" i="11"/>
  <c r="N354" i="11" s="1"/>
  <c r="N416" i="11"/>
  <c r="M217" i="11"/>
  <c r="N216" i="11" s="1"/>
  <c r="M491" i="11"/>
  <c r="N641" i="11"/>
  <c r="M746" i="11"/>
  <c r="M826" i="11"/>
  <c r="N825" i="11" s="1"/>
  <c r="M1142" i="11"/>
  <c r="N1142" i="11" s="1"/>
  <c r="M1230" i="11"/>
  <c r="N1229" i="11" s="1"/>
  <c r="N1476" i="11"/>
  <c r="N1237" i="11"/>
  <c r="M1610" i="11"/>
  <c r="N1609" i="11" s="1"/>
  <c r="N1758" i="11"/>
  <c r="M1619" i="11"/>
  <c r="N1963" i="11"/>
  <c r="M2203" i="11"/>
  <c r="N2203" i="11" s="1"/>
  <c r="M2325" i="11"/>
  <c r="N2324" i="11" s="1"/>
  <c r="M2651" i="11"/>
  <c r="N2651" i="11" s="1"/>
  <c r="N2543" i="11"/>
  <c r="N397" i="11"/>
  <c r="M424" i="11"/>
  <c r="N424" i="11" s="1"/>
  <c r="M218" i="11"/>
  <c r="N218" i="11" s="1"/>
  <c r="M271" i="11"/>
  <c r="N270" i="11" s="1"/>
  <c r="M434" i="11"/>
  <c r="N434" i="11" s="1"/>
  <c r="M575" i="11"/>
  <c r="M579" i="11"/>
  <c r="M427" i="11"/>
  <c r="N426" i="11" s="1"/>
  <c r="M676" i="11"/>
  <c r="M665" i="11"/>
  <c r="N664" i="11" s="1"/>
  <c r="M729" i="11"/>
  <c r="N729" i="11" s="1"/>
  <c r="M761" i="11"/>
  <c r="N761" i="11" s="1"/>
  <c r="M841" i="11"/>
  <c r="Q886" i="11"/>
  <c r="M888" i="11"/>
  <c r="M736" i="11"/>
  <c r="M890" i="11"/>
  <c r="Q782" i="11"/>
  <c r="M908" i="11"/>
  <c r="Q704" i="11"/>
  <c r="M706" i="11"/>
  <c r="M738" i="11"/>
  <c r="M770" i="11"/>
  <c r="M883" i="11"/>
  <c r="M672" i="11"/>
  <c r="N672" i="11" s="1"/>
  <c r="M818" i="11"/>
  <c r="M920" i="11"/>
  <c r="M759" i="11"/>
  <c r="M1342" i="11"/>
  <c r="N1341" i="11" s="1"/>
  <c r="M1072" i="11"/>
  <c r="M1112" i="11"/>
  <c r="M1151" i="11"/>
  <c r="Q941" i="11"/>
  <c r="M943" i="11"/>
  <c r="N943" i="11" s="1"/>
  <c r="M1011" i="11"/>
  <c r="N1011" i="11" s="1"/>
  <c r="M1114" i="11"/>
  <c r="M1153" i="11"/>
  <c r="M1185" i="11"/>
  <c r="N1184" i="11" s="1"/>
  <c r="Q1020" i="11"/>
  <c r="M1022" i="11"/>
  <c r="M1090" i="11"/>
  <c r="M1286" i="11"/>
  <c r="M1044" i="11"/>
  <c r="N1044" i="11" s="1"/>
  <c r="M1174" i="11"/>
  <c r="N1174" i="11" s="1"/>
  <c r="M1243" i="11"/>
  <c r="N1243" i="11" s="1"/>
  <c r="M1276" i="11"/>
  <c r="M1308" i="11"/>
  <c r="N1307" i="11" s="1"/>
  <c r="M1197" i="11"/>
  <c r="M1505" i="11"/>
  <c r="M1488" i="11"/>
  <c r="N1488" i="11" s="1"/>
  <c r="M1277" i="11"/>
  <c r="M1369" i="11"/>
  <c r="M1544" i="11"/>
  <c r="N1543" i="11" s="1"/>
  <c r="M1799" i="11"/>
  <c r="M1392" i="11"/>
  <c r="M1483" i="11"/>
  <c r="N1482" i="11" s="1"/>
  <c r="M1538" i="11"/>
  <c r="N1537" i="11" s="1"/>
  <c r="M1487" i="11"/>
  <c r="M1564" i="11"/>
  <c r="N1563" i="11" s="1"/>
  <c r="M1621" i="11"/>
  <c r="N1621" i="11" s="1"/>
  <c r="M1491" i="11"/>
  <c r="M1566" i="11"/>
  <c r="M1599" i="11"/>
  <c r="M1662" i="11"/>
  <c r="M1390" i="11"/>
  <c r="M1422" i="11"/>
  <c r="M1486" i="11"/>
  <c r="M1560" i="11"/>
  <c r="N1559" i="11" s="1"/>
  <c r="M1592" i="11"/>
  <c r="N1591" i="11" s="1"/>
  <c r="M1728" i="11"/>
  <c r="M1605" i="11"/>
  <c r="M1656" i="11"/>
  <c r="N1656" i="11" s="1"/>
  <c r="M1688" i="11"/>
  <c r="N1688" i="11" s="1"/>
  <c r="M1703" i="11"/>
  <c r="M1663" i="11"/>
  <c r="M1764" i="11"/>
  <c r="Q1631" i="11"/>
  <c r="Q1618" i="11"/>
  <c r="M1620" i="11"/>
  <c r="M1723" i="11"/>
  <c r="M1923" i="11"/>
  <c r="N1923" i="11" s="1"/>
  <c r="M1878" i="11"/>
  <c r="M1927" i="11"/>
  <c r="M1854" i="11"/>
  <c r="N1853" i="11" s="1"/>
  <c r="M1928" i="11"/>
  <c r="M1966" i="11"/>
  <c r="M1986" i="11"/>
  <c r="M2044" i="11"/>
  <c r="N2044" i="11" s="1"/>
  <c r="M2021" i="11"/>
  <c r="M1951" i="11"/>
  <c r="M2033" i="11"/>
  <c r="N2032" i="11" s="1"/>
  <c r="M1930" i="11"/>
  <c r="M2265" i="11"/>
  <c r="N2163" i="11"/>
  <c r="M2071" i="11"/>
  <c r="N2223" i="11"/>
  <c r="M2116" i="11"/>
  <c r="N2116" i="11" s="1"/>
  <c r="M2034" i="11"/>
  <c r="N2034" i="11" s="1"/>
  <c r="M2311" i="11"/>
  <c r="N2311" i="11" s="1"/>
  <c r="Q2379" i="11"/>
  <c r="M2381" i="11"/>
  <c r="M2390" i="11"/>
  <c r="N2389" i="11" s="1"/>
  <c r="M2284" i="11"/>
  <c r="N2283" i="11" s="1"/>
  <c r="M2308" i="11"/>
  <c r="N2307" i="11" s="1"/>
  <c r="M2356" i="11"/>
  <c r="N2355" i="11" s="1"/>
  <c r="M2417" i="11"/>
  <c r="N2417" i="11" s="1"/>
  <c r="M2431" i="11"/>
  <c r="N2431" i="11" s="1"/>
  <c r="M2425" i="11"/>
  <c r="M2468" i="11"/>
  <c r="N2467" i="11" s="1"/>
  <c r="M2442" i="11"/>
  <c r="N2441" i="11" s="1"/>
  <c r="M2482" i="11"/>
  <c r="N2481" i="11" s="1"/>
  <c r="M2514" i="11"/>
  <c r="M2547" i="11"/>
  <c r="N2547" i="11" s="1"/>
  <c r="M2649" i="11"/>
  <c r="N2649" i="11" s="1"/>
  <c r="M2508" i="11"/>
  <c r="N2507" i="11" s="1"/>
  <c r="M2554" i="11"/>
  <c r="N2553" i="11" s="1"/>
  <c r="M2710" i="11"/>
  <c r="M2510" i="11"/>
  <c r="N2509" i="11" s="1"/>
  <c r="M2590" i="11"/>
  <c r="N2487" i="11"/>
  <c r="M2520" i="11"/>
  <c r="M2668" i="11"/>
  <c r="N2667" i="11" s="1"/>
  <c r="M2688" i="11"/>
  <c r="N2688" i="11" s="1"/>
  <c r="M2616" i="11"/>
  <c r="N2615" i="11" s="1"/>
  <c r="M2648" i="11"/>
  <c r="M2748" i="11"/>
  <c r="M2716" i="11"/>
  <c r="M2613" i="11"/>
  <c r="N2613" i="11" s="1"/>
  <c r="M2645" i="11"/>
  <c r="M2779" i="11"/>
  <c r="M2731" i="11"/>
  <c r="M2792" i="11"/>
  <c r="M2842" i="11"/>
  <c r="M2760" i="11"/>
  <c r="M2775" i="11"/>
  <c r="N2774" i="11" s="1"/>
  <c r="M2836" i="11"/>
  <c r="M2780" i="11"/>
  <c r="M2882" i="11"/>
  <c r="N2882" i="11" s="1"/>
  <c r="M2887" i="11"/>
  <c r="N2886" i="11" s="1"/>
  <c r="M2835" i="11"/>
  <c r="N2834" i="11" s="1"/>
  <c r="M2907" i="11"/>
  <c r="M2837" i="11"/>
  <c r="M2973" i="11"/>
  <c r="N2972" i="11" s="1"/>
  <c r="M2934" i="11"/>
  <c r="N2934" i="11" s="1"/>
  <c r="M2927" i="11"/>
  <c r="N2926" i="11" s="1"/>
  <c r="M2897" i="11"/>
  <c r="M2933" i="11"/>
  <c r="N2932" i="11" s="1"/>
  <c r="M2948" i="11"/>
  <c r="M2896" i="11"/>
  <c r="Q3064" i="11"/>
  <c r="M3008" i="11"/>
  <c r="M2949" i="11"/>
  <c r="M2984" i="11"/>
  <c r="N2984" i="11" s="1"/>
  <c r="M2988" i="11"/>
  <c r="M3056" i="11"/>
  <c r="N3056" i="11" s="1"/>
  <c r="M3135" i="11"/>
  <c r="N3135" i="11" s="1"/>
  <c r="M3105" i="11"/>
  <c r="N3105" i="11" s="1"/>
  <c r="M3158" i="11"/>
  <c r="N3157" i="11" s="1"/>
  <c r="M3140" i="11"/>
  <c r="N3139" i="11" s="1"/>
  <c r="M3167" i="11"/>
  <c r="N3167" i="11" s="1"/>
  <c r="M3203" i="11"/>
  <c r="N3203" i="11" s="1"/>
  <c r="M3195" i="11"/>
  <c r="N3195" i="11" s="1"/>
  <c r="Q3228" i="11"/>
  <c r="M3230" i="11"/>
  <c r="N3230" i="11" s="1"/>
  <c r="M3243" i="11"/>
  <c r="M3238" i="11"/>
  <c r="Q3278" i="11"/>
  <c r="M3274" i="11"/>
  <c r="N3274" i="11" s="1"/>
  <c r="Q3309" i="11"/>
  <c r="M3317" i="11"/>
  <c r="N3317" i="11" s="1"/>
  <c r="M681" i="11"/>
  <c r="M279" i="11"/>
  <c r="M574" i="11"/>
  <c r="M1006" i="11"/>
  <c r="M737" i="11"/>
  <c r="M788" i="11"/>
  <c r="N973" i="11"/>
  <c r="M972" i="11"/>
  <c r="M1102" i="11"/>
  <c r="N1101" i="11" s="1"/>
  <c r="N1378" i="11"/>
  <c r="N1587" i="11"/>
  <c r="N1416" i="11"/>
  <c r="M1507" i="11"/>
  <c r="N1506" i="11" s="1"/>
  <c r="M1762" i="11"/>
  <c r="N1682" i="11"/>
  <c r="N1826" i="11"/>
  <c r="M1947" i="11"/>
  <c r="M2465" i="11"/>
  <c r="M2436" i="11"/>
  <c r="N2637" i="11"/>
  <c r="N2722" i="11"/>
  <c r="M2718" i="11"/>
  <c r="N2718" i="11" s="1"/>
  <c r="M2964" i="11"/>
  <c r="N2964" i="11" s="1"/>
  <c r="M2803" i="11"/>
  <c r="N2802" i="11" s="1"/>
  <c r="N2890" i="11"/>
  <c r="N2822" i="11"/>
  <c r="M2872" i="11"/>
  <c r="N3085" i="11"/>
  <c r="M3071" i="11"/>
  <c r="N3071" i="11" s="1"/>
  <c r="M3156" i="11"/>
  <c r="M739" i="11"/>
  <c r="N739" i="11" s="1"/>
  <c r="M771" i="11"/>
  <c r="M787" i="11"/>
  <c r="M936" i="11"/>
  <c r="M709" i="11"/>
  <c r="N709" i="11" s="1"/>
  <c r="M741" i="11"/>
  <c r="N741" i="11" s="1"/>
  <c r="M773" i="11"/>
  <c r="N773" i="11" s="1"/>
  <c r="M894" i="11"/>
  <c r="M1144" i="11"/>
  <c r="N1144" i="11" s="1"/>
  <c r="M677" i="11"/>
  <c r="M789" i="11"/>
  <c r="N789" i="11" s="1"/>
  <c r="Q924" i="11"/>
  <c r="M926" i="11"/>
  <c r="N926" i="11" s="1"/>
  <c r="M732" i="11"/>
  <c r="N731" i="11" s="1"/>
  <c r="M764" i="11"/>
  <c r="N763" i="11" s="1"/>
  <c r="M877" i="11"/>
  <c r="M1036" i="11"/>
  <c r="N1036" i="11" s="1"/>
  <c r="M1224" i="11"/>
  <c r="N1223" i="11" s="1"/>
  <c r="M1009" i="11"/>
  <c r="N1009" i="11" s="1"/>
  <c r="M1077" i="11"/>
  <c r="M1257" i="11"/>
  <c r="M1115" i="11"/>
  <c r="M1154" i="11"/>
  <c r="N1154" i="11" s="1"/>
  <c r="M1186" i="11"/>
  <c r="M1082" i="11"/>
  <c r="N1082" i="11" s="1"/>
  <c r="M1117" i="11"/>
  <c r="N1117" i="11" s="1"/>
  <c r="M1235" i="11"/>
  <c r="N1235" i="11" s="1"/>
  <c r="M961" i="11"/>
  <c r="M1029" i="11"/>
  <c r="M1190" i="11"/>
  <c r="N1190" i="11" s="1"/>
  <c r="M1289" i="11"/>
  <c r="N1289" i="11" s="1"/>
  <c r="M1108" i="11"/>
  <c r="N1107" i="11" s="1"/>
  <c r="M1147" i="11"/>
  <c r="N1146" i="11" s="1"/>
  <c r="M1179" i="11"/>
  <c r="N1178" i="11" s="1"/>
  <c r="M1279" i="11"/>
  <c r="M1311" i="11"/>
  <c r="N1247" i="11"/>
  <c r="M1280" i="11"/>
  <c r="M1312" i="11"/>
  <c r="M1282" i="11"/>
  <c r="N1281" i="11" s="1"/>
  <c r="M1314" i="11"/>
  <c r="M1380" i="11"/>
  <c r="N1380" i="11" s="1"/>
  <c r="Q1448" i="11"/>
  <c r="M1450" i="11"/>
  <c r="Q1363" i="11"/>
  <c r="M1365" i="11"/>
  <c r="M1490" i="11"/>
  <c r="M1565" i="11"/>
  <c r="Q1617" i="11"/>
  <c r="M1347" i="11"/>
  <c r="N1347" i="11" s="1"/>
  <c r="M1485" i="11"/>
  <c r="M1394" i="11"/>
  <c r="M1426" i="11"/>
  <c r="N1426" i="11" s="1"/>
  <c r="M1494" i="11"/>
  <c r="M1567" i="11"/>
  <c r="Q1698" i="11"/>
  <c r="M1700" i="11"/>
  <c r="M1535" i="11"/>
  <c r="N1535" i="11" s="1"/>
  <c r="M1611" i="11"/>
  <c r="N1611" i="11" s="1"/>
  <c r="M1493" i="11"/>
  <c r="M1395" i="11"/>
  <c r="M1595" i="11"/>
  <c r="N1595" i="11" s="1"/>
  <c r="Q1699" i="11"/>
  <c r="M1701" i="11"/>
  <c r="M1733" i="11"/>
  <c r="N1732" i="11" s="1"/>
  <c r="Q1774" i="11"/>
  <c r="M1661" i="11"/>
  <c r="N1660" i="11" s="1"/>
  <c r="M1691" i="11"/>
  <c r="N1690" i="11" s="1"/>
  <c r="M1738" i="11"/>
  <c r="N1738" i="11" s="1"/>
  <c r="M1753" i="11"/>
  <c r="N1752" i="11" s="1"/>
  <c r="M1636" i="11"/>
  <c r="N1636" i="11" s="1"/>
  <c r="M1668" i="11"/>
  <c r="N1668" i="11" s="1"/>
  <c r="M1623" i="11"/>
  <c r="N1623" i="11" s="1"/>
  <c r="M1757" i="11"/>
  <c r="Q1883" i="11"/>
  <c r="M1885" i="11"/>
  <c r="Q1847" i="11"/>
  <c r="M1849" i="11"/>
  <c r="M1948" i="11"/>
  <c r="M1913" i="11"/>
  <c r="N1913" i="11" s="1"/>
  <c r="M1975" i="11"/>
  <c r="M2233" i="11"/>
  <c r="M2028" i="11"/>
  <c r="N2028" i="11" s="1"/>
  <c r="M1976" i="11"/>
  <c r="M1960" i="11"/>
  <c r="N1959" i="11" s="1"/>
  <c r="M2036" i="11"/>
  <c r="M1937" i="11"/>
  <c r="M2004" i="11"/>
  <c r="N2004" i="11" s="1"/>
  <c r="N2056" i="11"/>
  <c r="M2274" i="11"/>
  <c r="M2197" i="11"/>
  <c r="N2197" i="11" s="1"/>
  <c r="M2078" i="11"/>
  <c r="M2143" i="11"/>
  <c r="N2143" i="11" s="1"/>
  <c r="N2187" i="11"/>
  <c r="Q2360" i="11"/>
  <c r="M2362" i="11"/>
  <c r="M2276" i="11"/>
  <c r="N2275" i="11" s="1"/>
  <c r="M2225" i="11"/>
  <c r="N2225" i="11" s="1"/>
  <c r="M2303" i="11"/>
  <c r="N2303" i="11" s="1"/>
  <c r="M2153" i="11"/>
  <c r="N2153" i="11" s="1"/>
  <c r="M2199" i="11"/>
  <c r="M2266" i="11"/>
  <c r="Q2380" i="11"/>
  <c r="M2382" i="11"/>
  <c r="M2280" i="11"/>
  <c r="N2279" i="11" s="1"/>
  <c r="M2314" i="11"/>
  <c r="N2313" i="11" s="1"/>
  <c r="Q2359" i="11"/>
  <c r="M2361" i="11"/>
  <c r="Q2333" i="11"/>
  <c r="M2335" i="11"/>
  <c r="M2333" i="11" s="1"/>
  <c r="Q2406" i="11"/>
  <c r="M2413" i="11"/>
  <c r="M2424" i="11"/>
  <c r="N2423" i="11" s="1"/>
  <c r="M2430" i="11"/>
  <c r="N2429" i="11" s="1"/>
  <c r="M2461" i="11"/>
  <c r="M2473" i="11"/>
  <c r="M2470" i="11"/>
  <c r="N2469" i="11" s="1"/>
  <c r="M2445" i="11"/>
  <c r="N2445" i="11" s="1"/>
  <c r="M2485" i="11"/>
  <c r="N2485" i="11" s="1"/>
  <c r="M2517" i="11"/>
  <c r="M2552" i="11"/>
  <c r="M2663" i="11"/>
  <c r="N2663" i="11" s="1"/>
  <c r="M2557" i="11"/>
  <c r="N2557" i="11" s="1"/>
  <c r="M2513" i="11"/>
  <c r="M2551" i="11"/>
  <c r="M2625" i="11"/>
  <c r="N2625" i="11" s="1"/>
  <c r="M2693" i="11"/>
  <c r="M2713" i="11"/>
  <c r="M2619" i="11"/>
  <c r="N2619" i="11" s="1"/>
  <c r="M2676" i="11"/>
  <c r="M2761" i="11"/>
  <c r="M2618" i="11"/>
  <c r="Q2673" i="11"/>
  <c r="M2675" i="11"/>
  <c r="M2755" i="11"/>
  <c r="N2754" i="11" s="1"/>
  <c r="M2734" i="11"/>
  <c r="M2794" i="11"/>
  <c r="N2794" i="11" s="1"/>
  <c r="M2863" i="11"/>
  <c r="N2862" i="11" s="1"/>
  <c r="M2717" i="11"/>
  <c r="Q2815" i="11"/>
  <c r="M2879" i="11"/>
  <c r="N2878" i="11" s="1"/>
  <c r="M2838" i="11"/>
  <c r="M2909" i="11"/>
  <c r="M2937" i="11"/>
  <c r="M2951" i="11"/>
  <c r="N2950" i="11" s="1"/>
  <c r="N2904" i="11"/>
  <c r="M2977" i="11"/>
  <c r="M3012" i="11"/>
  <c r="N3012" i="11" s="1"/>
  <c r="M3017" i="11"/>
  <c r="N3016" i="11" s="1"/>
  <c r="M2957" i="11"/>
  <c r="N2956" i="11" s="1"/>
  <c r="M2986" i="11"/>
  <c r="N2986" i="11" s="1"/>
  <c r="M3048" i="11"/>
  <c r="M3029" i="11"/>
  <c r="N3028" i="11" s="1"/>
  <c r="N2996" i="11"/>
  <c r="M3030" i="11"/>
  <c r="N3030" i="11" s="1"/>
  <c r="M3073" i="11"/>
  <c r="M3077" i="11"/>
  <c r="N3077" i="11" s="1"/>
  <c r="Q3063" i="11"/>
  <c r="M3138" i="11"/>
  <c r="M3067" i="11"/>
  <c r="M3137" i="11"/>
  <c r="M3114" i="11"/>
  <c r="M3171" i="11"/>
  <c r="M3213" i="11"/>
  <c r="N3213" i="11" s="1"/>
  <c r="M3172" i="11"/>
  <c r="M3207" i="11"/>
  <c r="M3239" i="11"/>
  <c r="M3245" i="11"/>
  <c r="N3234" i="11"/>
  <c r="M3249" i="11"/>
  <c r="N3248" i="11" s="1"/>
  <c r="M3260" i="11"/>
  <c r="M3271" i="11"/>
  <c r="N3270" i="11" s="1"/>
  <c r="M3313" i="11"/>
  <c r="N3313" i="11" s="1"/>
  <c r="M3319" i="11"/>
  <c r="M3321" i="11"/>
  <c r="N3321" i="11" s="1"/>
  <c r="N150" i="11"/>
  <c r="N272" i="11"/>
  <c r="M456" i="11"/>
  <c r="N456" i="11" s="1"/>
  <c r="M819" i="11"/>
  <c r="M906" i="11"/>
  <c r="M1103" i="11"/>
  <c r="N1103" i="11" s="1"/>
  <c r="M1202" i="11"/>
  <c r="M1254" i="11"/>
  <c r="N1516" i="11"/>
  <c r="M1666" i="11"/>
  <c r="M1391" i="11"/>
  <c r="M1545" i="11"/>
  <c r="M1397" i="11"/>
  <c r="M1594" i="11"/>
  <c r="N1593" i="11" s="1"/>
  <c r="M1735" i="11"/>
  <c r="N1764" i="11"/>
  <c r="M1665" i="11"/>
  <c r="M1778" i="11"/>
  <c r="N1777" i="11" s="1"/>
  <c r="M1936" i="11"/>
  <c r="M1952" i="11"/>
  <c r="M1956" i="11"/>
  <c r="N1955" i="11" s="1"/>
  <c r="M2076" i="11"/>
  <c r="N2076" i="11" s="1"/>
  <c r="M2037" i="11"/>
  <c r="N2297" i="11"/>
  <c r="N2309" i="11"/>
  <c r="M2330" i="11"/>
  <c r="N2330" i="11" s="1"/>
  <c r="M2491" i="11"/>
  <c r="N2491" i="11" s="1"/>
  <c r="M2532" i="11"/>
  <c r="N2531" i="11" s="1"/>
  <c r="N2665" i="11"/>
  <c r="N2740" i="11"/>
  <c r="M2817" i="11"/>
  <c r="M2871" i="11"/>
  <c r="N2870" i="11" s="1"/>
  <c r="N3054" i="11"/>
  <c r="N3121" i="11"/>
  <c r="M3091" i="11"/>
  <c r="M3160" i="11"/>
  <c r="N3159" i="11" s="1"/>
  <c r="M3200" i="11"/>
  <c r="N3199" i="11" s="1"/>
  <c r="M3244" i="11"/>
  <c r="R14" i="11"/>
  <c r="N692" i="11"/>
  <c r="P1771" i="11"/>
  <c r="Q370" i="11"/>
  <c r="M372" i="11"/>
  <c r="M448" i="11"/>
  <c r="N448" i="11" s="1"/>
  <c r="M480" i="11"/>
  <c r="M694" i="11"/>
  <c r="M607" i="11"/>
  <c r="N607" i="11" s="1"/>
  <c r="M656" i="11"/>
  <c r="M547" i="11"/>
  <c r="M678" i="11"/>
  <c r="M541" i="11"/>
  <c r="N541" i="11" s="1"/>
  <c r="P1903" i="11"/>
  <c r="M275" i="11"/>
  <c r="N274" i="11" s="1"/>
  <c r="M503" i="11"/>
  <c r="N502" i="11" s="1"/>
  <c r="M799" i="11"/>
  <c r="M441" i="11"/>
  <c r="N440" i="11" s="1"/>
  <c r="M610" i="11"/>
  <c r="N609" i="11" s="1"/>
  <c r="M528" i="11"/>
  <c r="N528" i="11" s="1"/>
  <c r="M265" i="11"/>
  <c r="M246" i="11"/>
  <c r="M67" i="11"/>
  <c r="N66" i="11" s="1"/>
  <c r="M341" i="11"/>
  <c r="Q703" i="11"/>
  <c r="M785" i="11"/>
  <c r="N785" i="11" s="1"/>
  <c r="M1614" i="11"/>
  <c r="N1613" i="11" s="1"/>
  <c r="M1502" i="11"/>
  <c r="M1607" i="11"/>
  <c r="N1607" i="11" s="1"/>
  <c r="M1743" i="11"/>
  <c r="N1742" i="11" s="1"/>
  <c r="M1804" i="11"/>
  <c r="N1803" i="11" s="1"/>
  <c r="M1671" i="11"/>
  <c r="N1670" i="11" s="1"/>
  <c r="M1797" i="11"/>
  <c r="M1724" i="11"/>
  <c r="M1756" i="11"/>
  <c r="M1641" i="11"/>
  <c r="N1640" i="11" s="1"/>
  <c r="M1673" i="11"/>
  <c r="M1787" i="11"/>
  <c r="N1787" i="11" s="1"/>
  <c r="Q1773" i="11"/>
  <c r="M1775" i="11"/>
  <c r="M1870" i="11"/>
  <c r="N1870" i="11" s="1"/>
  <c r="M1894" i="11"/>
  <c r="M1882" i="11" s="1"/>
  <c r="M2020" i="11"/>
  <c r="M1918" i="11"/>
  <c r="M1984" i="11"/>
  <c r="M2157" i="11"/>
  <c r="N2157" i="11" s="1"/>
  <c r="M2010" i="11"/>
  <c r="N2010" i="11" s="1"/>
  <c r="M1929" i="11"/>
  <c r="M2072" i="11"/>
  <c r="M1917" i="11"/>
  <c r="M1983" i="11"/>
  <c r="M2054" i="11"/>
  <c r="M2042" i="11"/>
  <c r="Q2085" i="11"/>
  <c r="M2087" i="11"/>
  <c r="N2155" i="11"/>
  <c r="Q2084" i="11"/>
  <c r="N2131" i="11"/>
  <c r="M2245" i="11"/>
  <c r="Q2394" i="11"/>
  <c r="M2396" i="11"/>
  <c r="Q2213" i="11"/>
  <c r="M2215" i="11"/>
  <c r="M2288" i="11"/>
  <c r="N2287" i="11" s="1"/>
  <c r="M2386" i="11"/>
  <c r="N2385" i="11" s="1"/>
  <c r="M2305" i="11"/>
  <c r="N2305" i="11" s="1"/>
  <c r="M2342" i="11"/>
  <c r="N2341" i="11" s="1"/>
  <c r="Q2214" i="11"/>
  <c r="M2216" i="11"/>
  <c r="M2273" i="11"/>
  <c r="M2340" i="11"/>
  <c r="N2339" i="11" s="1"/>
  <c r="M2412" i="11"/>
  <c r="N2411" i="11" s="1"/>
  <c r="M2427" i="11"/>
  <c r="N2427" i="11" s="1"/>
  <c r="M2435" i="11"/>
  <c r="M2439" i="11"/>
  <c r="N2439" i="11" s="1"/>
  <c r="M2433" i="11"/>
  <c r="N2433" i="11" s="1"/>
  <c r="M2464" i="11"/>
  <c r="N2463" i="11" s="1"/>
  <c r="M2479" i="11"/>
  <c r="N2479" i="11" s="1"/>
  <c r="M2450" i="11"/>
  <c r="M2646" i="11"/>
  <c r="M2518" i="11"/>
  <c r="M2556" i="11"/>
  <c r="M2631" i="11"/>
  <c r="N2631" i="11" s="1"/>
  <c r="M2636" i="11"/>
  <c r="M2496" i="11"/>
  <c r="M2585" i="11"/>
  <c r="N2585" i="11" s="1"/>
  <c r="M2712" i="11"/>
  <c r="M2687" i="11"/>
  <c r="N2686" i="11" s="1"/>
  <c r="M2624" i="11"/>
  <c r="N2623" i="11" s="1"/>
  <c r="M2681" i="11"/>
  <c r="N2680" i="11" s="1"/>
  <c r="M2621" i="11"/>
  <c r="M2678" i="11"/>
  <c r="N2678" i="11" s="1"/>
  <c r="M2818" i="11"/>
  <c r="M2720" i="11"/>
  <c r="N2782" i="11"/>
  <c r="M2743" i="11"/>
  <c r="N2742" i="11" s="1"/>
  <c r="M2727" i="11"/>
  <c r="N2726" i="11" s="1"/>
  <c r="N2922" i="11"/>
  <c r="M2916" i="11"/>
  <c r="N2916" i="11" s="1"/>
  <c r="M2843" i="11"/>
  <c r="M2806" i="11"/>
  <c r="N2806" i="11" s="1"/>
  <c r="M2914" i="11"/>
  <c r="N2914" i="11" s="1"/>
  <c r="M2861" i="11"/>
  <c r="N2860" i="11" s="1"/>
  <c r="M2913" i="11"/>
  <c r="N2912" i="11" s="1"/>
  <c r="M2906" i="11"/>
  <c r="M2885" i="11"/>
  <c r="N2884" i="11" s="1"/>
  <c r="M3075" i="11"/>
  <c r="M2945" i="11"/>
  <c r="N2944" i="11" s="1"/>
  <c r="M2976" i="11"/>
  <c r="M2994" i="11"/>
  <c r="N2994" i="11" s="1"/>
  <c r="M3051" i="11"/>
  <c r="M3038" i="11"/>
  <c r="M3133" i="11"/>
  <c r="M3080" i="11"/>
  <c r="N3079" i="11" s="1"/>
  <c r="M3089" i="11"/>
  <c r="M3084" i="11"/>
  <c r="M3164" i="11"/>
  <c r="N3163" i="11" s="1"/>
  <c r="M3076" i="11"/>
  <c r="N3145" i="11"/>
  <c r="M3173" i="11"/>
  <c r="M3147" i="11"/>
  <c r="N3147" i="11" s="1"/>
  <c r="M3211" i="11"/>
  <c r="N3211" i="11" s="1"/>
  <c r="M3208" i="11"/>
  <c r="Q3252" i="11"/>
  <c r="M3254" i="11"/>
  <c r="N3254" i="11" s="1"/>
  <c r="M3242" i="11"/>
  <c r="M3259" i="11"/>
  <c r="N3258" i="11" s="1"/>
  <c r="M3263" i="11"/>
  <c r="M3269" i="11"/>
  <c r="M3297" i="11"/>
  <c r="N3297" i="11" s="1"/>
  <c r="M3285" i="11"/>
  <c r="M3320" i="11"/>
  <c r="M3310" i="11" s="1"/>
  <c r="M223" i="11"/>
  <c r="N222" i="11" s="1"/>
  <c r="N446" i="11"/>
  <c r="M247" i="11"/>
  <c r="N200" i="11"/>
  <c r="N839" i="11"/>
  <c r="N670" i="11"/>
  <c r="N803" i="11"/>
  <c r="M707" i="11"/>
  <c r="N989" i="11"/>
  <c r="M1358" i="11"/>
  <c r="M1208" i="11"/>
  <c r="N1207" i="11" s="1"/>
  <c r="N1219" i="11"/>
  <c r="M1424" i="11"/>
  <c r="N1424" i="11" s="1"/>
  <c r="M1284" i="11"/>
  <c r="M1338" i="11"/>
  <c r="N1337" i="11" s="1"/>
  <c r="M1484" i="11"/>
  <c r="M1433" i="11"/>
  <c r="N1706" i="11"/>
  <c r="M1748" i="11"/>
  <c r="N1748" i="11" s="1"/>
  <c r="M1786" i="11"/>
  <c r="N1785" i="11" s="1"/>
  <c r="M1843" i="11"/>
  <c r="N1842" i="11" s="1"/>
  <c r="M1840" i="11"/>
  <c r="N1840" i="11" s="1"/>
  <c r="M1996" i="11"/>
  <c r="N1995" i="11" s="1"/>
  <c r="N2068" i="11"/>
  <c r="N2167" i="11"/>
  <c r="M2043" i="11"/>
  <c r="M2050" i="11"/>
  <c r="N2050" i="11" s="1"/>
  <c r="M2114" i="11"/>
  <c r="N2114" i="11" s="1"/>
  <c r="M2070" i="11"/>
  <c r="M2058" i="11"/>
  <c r="N2177" i="11"/>
  <c r="M2301" i="11"/>
  <c r="N2301" i="11" s="1"/>
  <c r="M2452" i="11"/>
  <c r="N2473" i="11"/>
  <c r="M2511" i="11"/>
  <c r="N2511" i="11" s="1"/>
  <c r="M2682" i="11"/>
  <c r="N2766" i="11"/>
  <c r="M2721" i="11"/>
  <c r="M2941" i="11"/>
  <c r="N2940" i="11" s="1"/>
  <c r="N3006" i="11"/>
  <c r="M3074" i="11"/>
  <c r="N3073" i="11" s="1"/>
  <c r="M3087" i="11"/>
  <c r="N3087" i="11" s="1"/>
  <c r="N3117" i="11"/>
  <c r="M3202" i="11"/>
  <c r="N3201" i="11" s="1"/>
  <c r="M3221" i="11"/>
  <c r="M3216" i="11"/>
  <c r="M3311" i="11"/>
  <c r="N3311" i="11" s="1"/>
  <c r="N3462" i="11"/>
  <c r="M350" i="11"/>
  <c r="M154" i="11"/>
  <c r="N154" i="11" s="1"/>
  <c r="M686" i="11"/>
  <c r="M303" i="11"/>
  <c r="M611" i="11"/>
  <c r="M605" i="11"/>
  <c r="N605" i="11" s="1"/>
  <c r="I2739" i="11"/>
  <c r="I2606" i="11" s="1"/>
  <c r="M260" i="11"/>
  <c r="M442" i="11"/>
  <c r="N442" i="11" s="1"/>
  <c r="M208" i="11"/>
  <c r="M159" i="11"/>
  <c r="N158" i="11" s="1"/>
  <c r="M612" i="11"/>
  <c r="M690" i="11"/>
  <c r="N690" i="11" s="1"/>
  <c r="M522" i="11"/>
  <c r="M916" i="11"/>
  <c r="I2853" i="11"/>
  <c r="M249" i="11"/>
  <c r="N248" i="11" s="1"/>
  <c r="Q15" i="11"/>
  <c r="M23" i="11"/>
  <c r="N22" i="11" s="1"/>
  <c r="M278" i="11"/>
  <c r="M488" i="11"/>
  <c r="Q102" i="11"/>
  <c r="M504" i="11"/>
  <c r="N504" i="11" s="1"/>
  <c r="M523" i="11"/>
  <c r="M628" i="11"/>
  <c r="N627" i="11" s="1"/>
  <c r="M824" i="11"/>
  <c r="M977" i="11"/>
  <c r="N977" i="11" s="1"/>
  <c r="M794" i="11"/>
  <c r="N793" i="11" s="1"/>
  <c r="M735" i="11"/>
  <c r="M1067" i="11"/>
  <c r="M1014" i="11"/>
  <c r="N1013" i="11" s="1"/>
  <c r="M1061" i="11"/>
  <c r="N1060" i="11" s="1"/>
  <c r="M1027" i="11"/>
  <c r="N1026" i="11" s="1"/>
  <c r="M1436" i="11"/>
  <c r="N1436" i="11" s="1"/>
  <c r="M1032" i="11"/>
  <c r="N1032" i="11" s="1"/>
  <c r="M1111" i="11"/>
  <c r="M1313" i="11"/>
  <c r="M1315" i="11"/>
  <c r="N1315" i="11" s="1"/>
  <c r="M1472" i="11"/>
  <c r="N1472" i="11" s="1"/>
  <c r="M1325" i="11"/>
  <c r="N1325" i="11" s="1"/>
  <c r="M1385" i="11"/>
  <c r="N1384" i="11" s="1"/>
  <c r="M1357" i="11"/>
  <c r="M1368" i="11"/>
  <c r="M1400" i="11"/>
  <c r="N1400" i="11" s="1"/>
  <c r="M1320" i="11"/>
  <c r="M288" i="11"/>
  <c r="N288" i="11" s="1"/>
  <c r="M581" i="11"/>
  <c r="M622" i="11"/>
  <c r="N621" i="11" s="1"/>
  <c r="N1231" i="11"/>
  <c r="M1528" i="11"/>
  <c r="M1562" i="11"/>
  <c r="N1561" i="11" s="1"/>
  <c r="R781" i="11"/>
  <c r="M123" i="11"/>
  <c r="N122" i="11" s="1"/>
  <c r="M292" i="11"/>
  <c r="M577" i="11"/>
  <c r="N577" i="11" s="1"/>
  <c r="M307" i="11"/>
  <c r="N306" i="11" s="1"/>
  <c r="M62" i="11"/>
  <c r="N62" i="11" s="1"/>
  <c r="M261" i="11"/>
  <c r="M548" i="11"/>
  <c r="N547" i="11" s="1"/>
  <c r="M473" i="11"/>
  <c r="N472" i="11" s="1"/>
  <c r="M734" i="11"/>
  <c r="N733" i="11" s="1"/>
  <c r="M297" i="11"/>
  <c r="M598" i="11"/>
  <c r="N597" i="11" s="1"/>
  <c r="M264" i="11"/>
  <c r="M296" i="11"/>
  <c r="M194" i="11"/>
  <c r="M695" i="11"/>
  <c r="M587" i="11"/>
  <c r="N587" i="11" s="1"/>
  <c r="M499" i="11"/>
  <c r="M613" i="11"/>
  <c r="N613" i="11" s="1"/>
  <c r="M714" i="11"/>
  <c r="M1120" i="11"/>
  <c r="N1119" i="11" s="1"/>
  <c r="Q1086" i="11"/>
  <c r="M1246" i="11"/>
  <c r="N1245" i="11" s="1"/>
  <c r="M1459" i="11"/>
  <c r="N1458" i="11" s="1"/>
  <c r="M1570" i="11"/>
  <c r="M1492" i="11"/>
  <c r="M1399" i="11"/>
  <c r="N1398" i="11" s="1"/>
  <c r="M1500" i="11"/>
  <c r="N1500" i="11" s="1"/>
  <c r="Q1630" i="11"/>
  <c r="M421" i="11"/>
  <c r="N420" i="11" s="1"/>
  <c r="M90" i="11"/>
  <c r="N90" i="11" s="1"/>
  <c r="M459" i="11"/>
  <c r="N458" i="11" s="1"/>
  <c r="M712" i="11"/>
  <c r="N711" i="11" s="1"/>
  <c r="M1053" i="11"/>
  <c r="M1161" i="11"/>
  <c r="N1160" i="11" s="1"/>
  <c r="M1496" i="11"/>
  <c r="M1603" i="11"/>
  <c r="N1603" i="11" s="1"/>
  <c r="M1989" i="11"/>
  <c r="N1989" i="11" s="1"/>
  <c r="R1449" i="11"/>
  <c r="R1532" i="11"/>
  <c r="I410" i="11"/>
  <c r="M39" i="11"/>
  <c r="N38" i="11" s="1"/>
  <c r="P3224" i="11"/>
  <c r="I995" i="11"/>
  <c r="M432" i="11"/>
  <c r="N432" i="11" s="1"/>
  <c r="M477" i="11"/>
  <c r="M162" i="11"/>
  <c r="N162" i="11" s="1"/>
  <c r="M519" i="11"/>
  <c r="M500" i="11"/>
  <c r="M815" i="11"/>
  <c r="N815" i="11" s="1"/>
  <c r="M573" i="11"/>
  <c r="I1446" i="11"/>
  <c r="M314" i="11"/>
  <c r="M323" i="11"/>
  <c r="N322" i="11" s="1"/>
  <c r="M545" i="11"/>
  <c r="N545" i="11" s="1"/>
  <c r="M336" i="11"/>
  <c r="N336" i="11" s="1"/>
  <c r="M580" i="11"/>
  <c r="N579" i="11" s="1"/>
  <c r="P2605" i="11"/>
  <c r="P848" i="11"/>
  <c r="M181" i="11"/>
  <c r="N180" i="11" s="1"/>
  <c r="M358" i="11"/>
  <c r="M164" i="11"/>
  <c r="N164" i="11" s="1"/>
  <c r="M384" i="11"/>
  <c r="N384" i="11" s="1"/>
  <c r="M551" i="11"/>
  <c r="N551" i="11" s="1"/>
  <c r="M615" i="11"/>
  <c r="M444" i="11"/>
  <c r="N444" i="11" s="1"/>
  <c r="M684" i="11"/>
  <c r="N684" i="11" s="1"/>
  <c r="M792" i="11"/>
  <c r="N791" i="11" s="1"/>
  <c r="M680" i="11"/>
  <c r="M932" i="11"/>
  <c r="N932" i="11" s="1"/>
  <c r="M898" i="11"/>
  <c r="Q998" i="11"/>
  <c r="M1052" i="11"/>
  <c r="M1252" i="11"/>
  <c r="M1251" i="11"/>
  <c r="M1285" i="11"/>
  <c r="M1432" i="11"/>
  <c r="M1503" i="11"/>
  <c r="M1695" i="11"/>
  <c r="N1694" i="11" s="1"/>
  <c r="N480" i="11"/>
  <c r="M674" i="11"/>
  <c r="N674" i="11" s="1"/>
  <c r="M821" i="11"/>
  <c r="N821" i="11" s="1"/>
  <c r="M705" i="11"/>
  <c r="M1088" i="11"/>
  <c r="M1569" i="11"/>
  <c r="M1848" i="11"/>
  <c r="N1849" i="11"/>
  <c r="N2233" i="11"/>
  <c r="N2425" i="11"/>
  <c r="N2459" i="11"/>
  <c r="N2838" i="11"/>
  <c r="N3004" i="11"/>
  <c r="N3153" i="11"/>
  <c r="AA2401" i="11"/>
  <c r="I1771" i="11"/>
  <c r="M436" i="11"/>
  <c r="N1097" i="11"/>
  <c r="N2493" i="11"/>
  <c r="N2734" i="11"/>
  <c r="N557" i="11"/>
  <c r="M501" i="11"/>
  <c r="M784" i="11"/>
  <c r="M767" i="11"/>
  <c r="N767" i="11" s="1"/>
  <c r="M1122" i="11"/>
  <c r="M1568" i="11"/>
  <c r="M1639" i="11"/>
  <c r="M2003" i="11"/>
  <c r="N2002" i="11" s="1"/>
  <c r="M1755" i="11"/>
  <c r="M1802" i="11"/>
  <c r="N1801" i="11" s="1"/>
  <c r="M1979" i="11"/>
  <c r="N1979" i="11" s="1"/>
  <c r="M2249" i="11"/>
  <c r="N2249" i="11" s="1"/>
  <c r="R851" i="11"/>
  <c r="AH2401" i="11"/>
  <c r="N559" i="11"/>
  <c r="M468" i="11"/>
  <c r="N468" i="11" s="1"/>
  <c r="N226" i="11"/>
  <c r="M127" i="11"/>
  <c r="N126" i="11" s="1"/>
  <c r="N377" i="11"/>
  <c r="N488" i="11"/>
  <c r="N535" i="11"/>
  <c r="N629" i="11"/>
  <c r="N2108" i="11"/>
  <c r="N2151" i="11"/>
  <c r="N2145" i="11"/>
  <c r="N2363" i="11"/>
  <c r="N2569" i="11"/>
  <c r="N2629" i="11"/>
  <c r="N2676" i="11"/>
  <c r="N2768" i="11"/>
  <c r="N2868" i="11"/>
  <c r="N3123" i="11"/>
  <c r="N3301" i="11"/>
  <c r="M326" i="11"/>
  <c r="M256" i="11"/>
  <c r="N478" i="11"/>
  <c r="N262" i="11"/>
  <c r="M302" i="11"/>
  <c r="M518" i="11"/>
  <c r="M543" i="11"/>
  <c r="N543" i="11" s="1"/>
  <c r="N809" i="11"/>
  <c r="M879" i="11"/>
  <c r="N951" i="11"/>
  <c r="M766" i="11"/>
  <c r="N765" i="11" s="1"/>
  <c r="M1016" i="11"/>
  <c r="N1015" i="11" s="1"/>
  <c r="M1055" i="11"/>
  <c r="N1054" i="11" s="1"/>
  <c r="M1000" i="11"/>
  <c r="M1059" i="11"/>
  <c r="M1275" i="11"/>
  <c r="M1504" i="11"/>
  <c r="M1546" i="11"/>
  <c r="M1423" i="11"/>
  <c r="M1498" i="11"/>
  <c r="N1498" i="11" s="1"/>
  <c r="M1572" i="11"/>
  <c r="M1541" i="11"/>
  <c r="N1541" i="11" s="1"/>
  <c r="M1716" i="11"/>
  <c r="M1633" i="11"/>
  <c r="M1731" i="11"/>
  <c r="N1730" i="11" s="1"/>
  <c r="N1890" i="11"/>
  <c r="M1861" i="11"/>
  <c r="N1862" i="11"/>
  <c r="N2072" i="11"/>
  <c r="M2189" i="11"/>
  <c r="N2189" i="11" s="1"/>
  <c r="N2100" i="11"/>
  <c r="M2384" i="11"/>
  <c r="N2383" i="11" s="1"/>
  <c r="M2366" i="11"/>
  <c r="N2365" i="11" s="1"/>
  <c r="M2272" i="11"/>
  <c r="M2408" i="11"/>
  <c r="N2419" i="11"/>
  <c r="M2516" i="11"/>
  <c r="N2515" i="11" s="1"/>
  <c r="M2577" i="11"/>
  <c r="N2577" i="11" s="1"/>
  <c r="M2581" i="11"/>
  <c r="M2580" i="11"/>
  <c r="N2579" i="11" s="1"/>
  <c r="N2704" i="11"/>
  <c r="M2778" i="11"/>
  <c r="M2724" i="11"/>
  <c r="M2785" i="11"/>
  <c r="N2784" i="11" s="1"/>
  <c r="M2844" i="11"/>
  <c r="N2844" i="11" s="1"/>
  <c r="M2903" i="11"/>
  <c r="N2902" i="11" s="1"/>
  <c r="M2936" i="11"/>
  <c r="M3039" i="11"/>
  <c r="N3038" i="11" s="1"/>
  <c r="M476" i="11"/>
  <c r="M171" i="11"/>
  <c r="M293" i="11"/>
  <c r="M490" i="11"/>
  <c r="N583" i="11"/>
  <c r="M668" i="11"/>
  <c r="M514" i="11"/>
  <c r="M467" i="11"/>
  <c r="N466" i="11" s="1"/>
  <c r="M549" i="11"/>
  <c r="M928" i="11"/>
  <c r="N928" i="11" s="1"/>
  <c r="M769" i="11"/>
  <c r="M817" i="11"/>
  <c r="M776" i="11"/>
  <c r="N775" i="11" s="1"/>
  <c r="M1168" i="11"/>
  <c r="N1168" i="11" s="1"/>
  <c r="M1157" i="11"/>
  <c r="N1156" i="11" s="1"/>
  <c r="M1404" i="11"/>
  <c r="N1404" i="11" s="1"/>
  <c r="M1058" i="11"/>
  <c r="M1193" i="11"/>
  <c r="N1192" i="11" s="1"/>
  <c r="Q1199" i="11"/>
  <c r="M1201" i="11"/>
  <c r="M1150" i="11"/>
  <c r="M1283" i="11"/>
  <c r="M1253" i="11"/>
  <c r="M1431" i="11"/>
  <c r="N1430" i="11" s="1"/>
  <c r="M1550" i="11"/>
  <c r="M1366" i="11"/>
  <c r="N1366" i="11" s="1"/>
  <c r="I1904" i="11"/>
  <c r="M190" i="11"/>
  <c r="N190" i="11" s="1"/>
  <c r="M244" i="11"/>
  <c r="N682" i="11"/>
  <c r="M186" i="11"/>
  <c r="M351" i="11"/>
  <c r="M727" i="11"/>
  <c r="N727" i="11" s="1"/>
  <c r="M1043" i="11"/>
  <c r="N1042" i="11" s="1"/>
  <c r="M1628" i="11"/>
  <c r="N1627" i="11" s="1"/>
  <c r="N2104" i="11"/>
  <c r="N3008" i="11"/>
  <c r="P2401" i="11"/>
  <c r="AO1770" i="11"/>
  <c r="M327" i="11"/>
  <c r="M243" i="11"/>
  <c r="N242" i="11" s="1"/>
  <c r="M148" i="11"/>
  <c r="N148" i="11" s="1"/>
  <c r="M386" i="11"/>
  <c r="N386" i="11" s="1"/>
  <c r="M87" i="11"/>
  <c r="N86" i="11" s="1"/>
  <c r="M430" i="11"/>
  <c r="N430" i="11" s="1"/>
  <c r="M371" i="11"/>
  <c r="M369" i="11" s="1"/>
  <c r="M495" i="11"/>
  <c r="N494" i="11" s="1"/>
  <c r="M953" i="11"/>
  <c r="N953" i="11" s="1"/>
  <c r="M1625" i="11"/>
  <c r="N1625" i="11" s="1"/>
  <c r="M1664" i="11"/>
  <c r="M1776" i="11"/>
  <c r="N1967" i="11"/>
  <c r="M2079" i="11"/>
  <c r="N2078" i="11" s="1"/>
  <c r="N3097" i="11"/>
  <c r="AA2852" i="11"/>
  <c r="P2739" i="11"/>
  <c r="N338" i="11"/>
  <c r="N134" i="11"/>
  <c r="N194" i="11"/>
  <c r="R176" i="11"/>
  <c r="N654" i="11"/>
  <c r="N807" i="11"/>
  <c r="N1188" i="11"/>
  <c r="N1470" i="11"/>
  <c r="N1818" i="11"/>
  <c r="N1726" i="11"/>
  <c r="N1654" i="11"/>
  <c r="N2161" i="11"/>
  <c r="N2539" i="11"/>
  <c r="N2758" i="11"/>
  <c r="N2892" i="11"/>
  <c r="N344" i="11"/>
  <c r="M133" i="11"/>
  <c r="N266" i="11"/>
  <c r="M616" i="11"/>
  <c r="N373" i="11"/>
  <c r="M257" i="11"/>
  <c r="N516" i="11"/>
  <c r="N658" i="11"/>
  <c r="N799" i="11"/>
  <c r="M1050" i="11"/>
  <c r="N771" i="11"/>
  <c r="M959" i="11"/>
  <c r="N959" i="11" s="1"/>
  <c r="N1115" i="11"/>
  <c r="M1176" i="11"/>
  <c r="N1176" i="11" s="1"/>
  <c r="M1344" i="11"/>
  <c r="N1343" i="11" s="1"/>
  <c r="M1305" i="11"/>
  <c r="N1305" i="11" s="1"/>
  <c r="N1359" i="11"/>
  <c r="M1319" i="11"/>
  <c r="M1547" i="11"/>
  <c r="N1547" i="11" s="1"/>
  <c r="M1495" i="11"/>
  <c r="N1494" i="11" s="1"/>
  <c r="M1598" i="11"/>
  <c r="N1597" i="11" s="1"/>
  <c r="M1766" i="11"/>
  <c r="M1632" i="11"/>
  <c r="M1667" i="11"/>
  <c r="N1724" i="11"/>
  <c r="M1965" i="11"/>
  <c r="M1987" i="11"/>
  <c r="N1987" i="11" s="1"/>
  <c r="M2046" i="11"/>
  <c r="N2046" i="11" s="1"/>
  <c r="M2055" i="11"/>
  <c r="N2199" i="11"/>
  <c r="M2106" i="11"/>
  <c r="N2106" i="11" s="1"/>
  <c r="N2175" i="11"/>
  <c r="M2263" i="11"/>
  <c r="N2263" i="11" s="1"/>
  <c r="N2253" i="11"/>
  <c r="N2221" i="11"/>
  <c r="N2465" i="11"/>
  <c r="M2523" i="11"/>
  <c r="N2523" i="11" s="1"/>
  <c r="M2555" i="11"/>
  <c r="M2582" i="11"/>
  <c r="N2643" i="11"/>
  <c r="N2746" i="11"/>
  <c r="M2798" i="11"/>
  <c r="N2798" i="11" s="1"/>
  <c r="M2788" i="11"/>
  <c r="N2788" i="11" s="1"/>
  <c r="M2756" i="11"/>
  <c r="M2738" i="11" s="1"/>
  <c r="M2910" i="11"/>
  <c r="M2967" i="11"/>
  <c r="N2966" i="11" s="1"/>
  <c r="M2968" i="11"/>
  <c r="N2968" i="11" s="1"/>
  <c r="M3050" i="11"/>
  <c r="N3133" i="11"/>
  <c r="N3221" i="11"/>
  <c r="M3262" i="11"/>
  <c r="I11" i="11"/>
  <c r="R2084" i="11"/>
  <c r="R3289" i="11"/>
  <c r="N375" i="11"/>
  <c r="N314" i="11"/>
  <c r="Q413" i="11"/>
  <c r="Q1128" i="11"/>
  <c r="N1372" i="11"/>
  <c r="N1508" i="11"/>
  <c r="M1938" i="11"/>
  <c r="N2092" i="11"/>
  <c r="N2183" i="11"/>
  <c r="Q2128" i="11"/>
  <c r="Q2320" i="11"/>
  <c r="M2235" i="11"/>
  <c r="N2235" i="11" s="1"/>
  <c r="Q2564" i="11"/>
  <c r="N2772" i="11"/>
  <c r="Q2814" i="11"/>
  <c r="M2952" i="11"/>
  <c r="N3129" i="11"/>
  <c r="Q3152" i="11"/>
  <c r="M3286" i="11"/>
  <c r="M586" i="11"/>
  <c r="N585" i="11" s="1"/>
  <c r="M717" i="11"/>
  <c r="M867" i="11"/>
  <c r="M1132" i="11"/>
  <c r="N1132" i="11" s="1"/>
  <c r="N723" i="11"/>
  <c r="M812" i="11"/>
  <c r="N811" i="11" s="1"/>
  <c r="M1093" i="11"/>
  <c r="N1093" i="11" s="1"/>
  <c r="M715" i="11"/>
  <c r="N715" i="11" s="1"/>
  <c r="M750" i="11"/>
  <c r="N749" i="11" s="1"/>
  <c r="M1030" i="11"/>
  <c r="N1030" i="11" s="1"/>
  <c r="N1017" i="11"/>
  <c r="M2017" i="11"/>
  <c r="N2016" i="11" s="1"/>
  <c r="N2006" i="11"/>
  <c r="N1957" i="11"/>
  <c r="N2012" i="11"/>
  <c r="N1949" i="11"/>
  <c r="M2130" i="11"/>
  <c r="M2421" i="11"/>
  <c r="N2421" i="11" s="1"/>
  <c r="M2495" i="11"/>
  <c r="M2612" i="11"/>
  <c r="N2684" i="11"/>
  <c r="M2725" i="11"/>
  <c r="M2790" i="11"/>
  <c r="N2790" i="11" s="1"/>
  <c r="N2858" i="11"/>
  <c r="M3083" i="11"/>
  <c r="M3026" i="11"/>
  <c r="N3069" i="11"/>
  <c r="M2971" i="11"/>
  <c r="N2970" i="11" s="1"/>
  <c r="N3091" i="11"/>
  <c r="N3000" i="11"/>
  <c r="N3058" i="11"/>
  <c r="M3266" i="11"/>
  <c r="N3266" i="11" s="1"/>
  <c r="N3397" i="11"/>
  <c r="R369" i="11"/>
  <c r="R1021" i="11"/>
  <c r="R941" i="11"/>
  <c r="R1883" i="11"/>
  <c r="R2380" i="11"/>
  <c r="M422" i="11"/>
  <c r="N422" i="11" s="1"/>
  <c r="P409" i="11"/>
  <c r="Q310" i="11"/>
  <c r="M1600" i="11"/>
  <c r="N1599" i="11" s="1"/>
  <c r="Q1807" i="11"/>
  <c r="Q1908" i="11"/>
  <c r="M1953" i="11"/>
  <c r="Q2295" i="11"/>
  <c r="Q2296" i="11"/>
  <c r="Q2563" i="11"/>
  <c r="P365" i="11"/>
  <c r="M153" i="11"/>
  <c r="N152" i="11" s="1"/>
  <c r="M643" i="11"/>
  <c r="N643" i="11" s="1"/>
  <c r="N539" i="11"/>
  <c r="N961" i="11"/>
  <c r="M938" i="11"/>
  <c r="N938" i="11" s="1"/>
  <c r="M967" i="11"/>
  <c r="N967" i="11" s="1"/>
  <c r="N955" i="11"/>
  <c r="M1296" i="11"/>
  <c r="N934" i="11"/>
  <c r="M991" i="11"/>
  <c r="N991" i="11" s="1"/>
  <c r="M1091" i="11"/>
  <c r="N1091" i="11" s="1"/>
  <c r="N1148" i="11"/>
  <c r="M1278" i="11"/>
  <c r="N1273" i="11"/>
  <c r="M1551" i="11"/>
  <c r="N1551" i="11" s="1"/>
  <c r="N1374" i="11"/>
  <c r="M1396" i="11"/>
  <c r="M1327" i="11"/>
  <c r="N1327" i="11" s="1"/>
  <c r="M1452" i="11"/>
  <c r="N1452" i="11" s="1"/>
  <c r="N1520" i="11"/>
  <c r="M1402" i="11"/>
  <c r="N1402" i="11" s="1"/>
  <c r="M1583" i="11"/>
  <c r="N1583" i="11" s="1"/>
  <c r="M1684" i="11"/>
  <c r="N1684" i="11" s="1"/>
  <c r="M1800" i="11"/>
  <c r="N1799" i="11" s="1"/>
  <c r="M1729" i="11"/>
  <c r="N1728" i="11" s="1"/>
  <c r="M1638" i="11"/>
  <c r="N1791" i="11"/>
  <c r="N1939" i="11"/>
  <c r="M1808" i="11"/>
  <c r="M1991" i="11"/>
  <c r="N1991" i="11" s="1"/>
  <c r="M2258" i="11"/>
  <c r="N2257" i="11" s="1"/>
  <c r="M2354" i="11"/>
  <c r="N2353" i="11" s="1"/>
  <c r="N2267" i="11"/>
  <c r="N2239" i="11"/>
  <c r="M2583" i="11"/>
  <c r="N2583" i="11" s="1"/>
  <c r="M2589" i="11"/>
  <c r="M2683" i="11"/>
  <c r="N2682" i="11" s="1"/>
  <c r="M2587" i="11"/>
  <c r="N2587" i="11" s="1"/>
  <c r="N2770" i="11"/>
  <c r="N3173" i="11"/>
  <c r="M3191" i="11"/>
  <c r="N3191" i="11" s="1"/>
  <c r="AH10" i="11"/>
  <c r="R233" i="11"/>
  <c r="R703" i="11"/>
  <c r="R1085" i="11"/>
  <c r="R1128" i="11"/>
  <c r="R998" i="11"/>
  <c r="I2402" i="11"/>
  <c r="AH2291" i="11"/>
  <c r="P1770" i="11"/>
  <c r="P994" i="11"/>
  <c r="AA848" i="11"/>
  <c r="AA409" i="11"/>
  <c r="P410" i="11"/>
  <c r="N464" i="11"/>
  <c r="N116" i="11"/>
  <c r="P11" i="11"/>
  <c r="M402" i="11"/>
  <c r="M251" i="11"/>
  <c r="Q176" i="11"/>
  <c r="M178" i="11"/>
  <c r="Q781" i="11"/>
  <c r="Q652" i="11"/>
  <c r="Q1021" i="11"/>
  <c r="Q997" i="11"/>
  <c r="N1215" i="11"/>
  <c r="N1408" i="11"/>
  <c r="N1259" i="11"/>
  <c r="N1291" i="11"/>
  <c r="M1349" i="11"/>
  <c r="N1349" i="11" s="1"/>
  <c r="N1512" i="11"/>
  <c r="Q1449" i="11"/>
  <c r="N1886" i="11"/>
  <c r="Q1882" i="11"/>
  <c r="Q1999" i="11"/>
  <c r="M2001" i="11"/>
  <c r="Q1998" i="11"/>
  <c r="M2000" i="11"/>
  <c r="M1985" i="11"/>
  <c r="Q2527" i="11"/>
  <c r="Q2528" i="11"/>
  <c r="N2503" i="11"/>
  <c r="M2545" i="11"/>
  <c r="N2545" i="11" s="1"/>
  <c r="N2694" i="11"/>
  <c r="M2980" i="11"/>
  <c r="N2980" i="11" s="1"/>
  <c r="Q2857" i="11"/>
  <c r="M3027" i="11"/>
  <c r="N2954" i="11"/>
  <c r="Q2961" i="11"/>
  <c r="M3095" i="11"/>
  <c r="N3095" i="11" s="1"/>
  <c r="Q3102" i="11"/>
  <c r="M3104" i="11"/>
  <c r="M259" i="11"/>
  <c r="N258" i="11" s="1"/>
  <c r="M291" i="11"/>
  <c r="N290" i="11" s="1"/>
  <c r="M245" i="11"/>
  <c r="N244" i="11" s="1"/>
  <c r="M277" i="11"/>
  <c r="M697" i="11"/>
  <c r="N696" i="11" s="1"/>
  <c r="M463" i="11"/>
  <c r="N462" i="11" s="1"/>
  <c r="M324" i="11"/>
  <c r="N324" i="11" s="1"/>
  <c r="M340" i="11"/>
  <c r="M383" i="11"/>
  <c r="M600" i="11"/>
  <c r="N599" i="11" s="1"/>
  <c r="M474" i="11"/>
  <c r="N474" i="11" s="1"/>
  <c r="M509" i="11"/>
  <c r="N508" i="11" s="1"/>
  <c r="M617" i="11"/>
  <c r="N617" i="11" s="1"/>
  <c r="M873" i="11"/>
  <c r="M757" i="11"/>
  <c r="N757" i="11" s="1"/>
  <c r="M845" i="11"/>
  <c r="N845" i="11" s="1"/>
  <c r="M829" i="11"/>
  <c r="N829" i="11" s="1"/>
  <c r="M975" i="11"/>
  <c r="M708" i="11"/>
  <c r="N707" i="11" s="1"/>
  <c r="M745" i="11"/>
  <c r="M679" i="11"/>
  <c r="M855" i="11"/>
  <c r="N963" i="11"/>
  <c r="M1024" i="11"/>
  <c r="N1024" i="11" s="1"/>
  <c r="M1005" i="11"/>
  <c r="M1002" i="11"/>
  <c r="N1001" i="11" s="1"/>
  <c r="M1073" i="11"/>
  <c r="M981" i="11"/>
  <c r="N981" i="11" s="1"/>
  <c r="M1057" i="11"/>
  <c r="N1056" i="11" s="1"/>
  <c r="M1121" i="11"/>
  <c r="N985" i="11"/>
  <c r="M1089" i="11"/>
  <c r="M1110" i="11"/>
  <c r="N1109" i="11" s="1"/>
  <c r="M1262" i="11"/>
  <c r="N1261" i="11" s="1"/>
  <c r="M1317" i="11"/>
  <c r="N1317" i="11" s="1"/>
  <c r="M1435" i="11"/>
  <c r="N1434" i="11" s="1"/>
  <c r="M1196" i="11"/>
  <c r="M1258" i="11"/>
  <c r="M1295" i="11"/>
  <c r="M1346" i="11"/>
  <c r="N1345" i="11" s="1"/>
  <c r="M1523" i="11"/>
  <c r="M1511" i="11"/>
  <c r="N1510" i="11" s="1"/>
  <c r="M1524" i="11"/>
  <c r="N1524" i="11" s="1"/>
  <c r="M1647" i="11"/>
  <c r="N1646" i="11" s="1"/>
  <c r="M1851" i="11"/>
  <c r="N1851" i="11" s="1"/>
  <c r="M1672" i="11"/>
  <c r="M1717" i="11"/>
  <c r="M1754" i="11"/>
  <c r="M1943" i="11"/>
  <c r="N1943" i="11" s="1"/>
  <c r="M2059" i="11"/>
  <c r="M2255" i="11"/>
  <c r="M2063" i="11"/>
  <c r="N2062" i="11" s="1"/>
  <c r="M2369" i="11"/>
  <c r="N2369" i="11" s="1"/>
  <c r="M2387" i="11"/>
  <c r="M2444" i="11"/>
  <c r="N2443" i="11" s="1"/>
  <c r="M2489" i="11"/>
  <c r="N2489" i="11" s="1"/>
  <c r="M2594" i="11"/>
  <c r="N2593" i="11" s="1"/>
  <c r="M2534" i="11"/>
  <c r="N2533" i="11" s="1"/>
  <c r="M2622" i="11"/>
  <c r="M2708" i="11"/>
  <c r="N2708" i="11" s="1"/>
  <c r="M2801" i="11"/>
  <c r="N2800" i="11" s="1"/>
  <c r="M2690" i="11"/>
  <c r="M2781" i="11"/>
  <c r="M2749" i="11"/>
  <c r="N2748" i="11" s="1"/>
  <c r="M2730" i="11"/>
  <c r="M2974" i="11"/>
  <c r="N2974" i="11" s="1"/>
  <c r="M2920" i="11"/>
  <c r="N2920" i="11" s="1"/>
  <c r="M3036" i="11"/>
  <c r="N3036" i="11" s="1"/>
  <c r="M3046" i="11"/>
  <c r="N3046" i="11" s="1"/>
  <c r="M3082" i="11"/>
  <c r="N3081" i="11" s="1"/>
  <c r="M3155" i="11"/>
  <c r="M3179" i="11"/>
  <c r="N3179" i="11" s="1"/>
  <c r="M3161" i="11"/>
  <c r="N3161" i="11" s="1"/>
  <c r="M3240" i="11"/>
  <c r="N3240" i="11" s="1"/>
  <c r="M3236" i="11"/>
  <c r="N3236" i="11" s="1"/>
  <c r="M3265" i="11"/>
  <c r="M3264" i="11"/>
  <c r="M3296" i="11"/>
  <c r="N3295" i="11" s="1"/>
  <c r="N3333" i="11"/>
  <c r="N3337" i="11"/>
  <c r="N3422" i="11"/>
  <c r="N3367" i="11"/>
  <c r="M352" i="11"/>
  <c r="N352" i="11" s="1"/>
  <c r="M76" i="11"/>
  <c r="N76" i="11" s="1"/>
  <c r="AO2605" i="11"/>
  <c r="N72" i="11"/>
  <c r="Q534" i="11"/>
  <c r="Q412" i="11"/>
  <c r="N561" i="11"/>
  <c r="N593" i="11"/>
  <c r="N625" i="11"/>
  <c r="Q1129" i="11"/>
  <c r="N1605" i="11"/>
  <c r="Q1806" i="11"/>
  <c r="N1872" i="11"/>
  <c r="N2008" i="11"/>
  <c r="Q2345" i="11"/>
  <c r="Q2393" i="11"/>
  <c r="Q2458" i="11"/>
  <c r="M3142" i="11"/>
  <c r="N3141" i="11" s="1"/>
  <c r="N3044" i="11"/>
  <c r="N496" i="11"/>
  <c r="M795" i="11"/>
  <c r="N795" i="11" s="1"/>
  <c r="N68" i="11"/>
  <c r="N94" i="11"/>
  <c r="M199" i="11"/>
  <c r="N198" i="11" s="1"/>
  <c r="M428" i="11"/>
  <c r="N428" i="11" s="1"/>
  <c r="N192" i="11"/>
  <c r="N208" i="11"/>
  <c r="M225" i="11"/>
  <c r="N224" i="11" s="1"/>
  <c r="M550" i="11"/>
  <c r="M582" i="11"/>
  <c r="N581" i="11" s="1"/>
  <c r="M526" i="11"/>
  <c r="N526" i="11" s="1"/>
  <c r="M554" i="11"/>
  <c r="N553" i="11" s="1"/>
  <c r="M689" i="11"/>
  <c r="N688" i="11" s="1"/>
  <c r="M437" i="11"/>
  <c r="N492" i="11"/>
  <c r="N666" i="11"/>
  <c r="M987" i="11"/>
  <c r="N987" i="11" s="1"/>
  <c r="M748" i="11"/>
  <c r="N747" i="11" s="1"/>
  <c r="N835" i="11"/>
  <c r="M700" i="11"/>
  <c r="N700" i="11" s="1"/>
  <c r="M718" i="11"/>
  <c r="N717" i="11" s="1"/>
  <c r="M755" i="11"/>
  <c r="N755" i="11" s="1"/>
  <c r="N930" i="11"/>
  <c r="M1035" i="11"/>
  <c r="N1034" i="11" s="1"/>
  <c r="M1206" i="11"/>
  <c r="N1205" i="11" s="1"/>
  <c r="M1226" i="11"/>
  <c r="N1225" i="11" s="1"/>
  <c r="N1046" i="11"/>
  <c r="N1040" i="11"/>
  <c r="N1003" i="11"/>
  <c r="N1022" i="11"/>
  <c r="M1173" i="11"/>
  <c r="N1172" i="11" s="1"/>
  <c r="N1301" i="11"/>
  <c r="M1461" i="11"/>
  <c r="N1460" i="11" s="1"/>
  <c r="M1514" i="11"/>
  <c r="N1514" i="11" s="1"/>
  <c r="N1579" i="11"/>
  <c r="N1329" i="11"/>
  <c r="M1571" i="11"/>
  <c r="N1478" i="11"/>
  <c r="M1370" i="11"/>
  <c r="N1450" i="11"/>
  <c r="M1526" i="11"/>
  <c r="N1526" i="11" s="1"/>
  <c r="N1585" i="11"/>
  <c r="M1652" i="11"/>
  <c r="N1652" i="11" s="1"/>
  <c r="N1686" i="11"/>
  <c r="M1734" i="11"/>
  <c r="M1678" i="11"/>
  <c r="N1678" i="11" s="1"/>
  <c r="M1675" i="11"/>
  <c r="M1763" i="11"/>
  <c r="M1809" i="11"/>
  <c r="M1812" i="11"/>
  <c r="N1812" i="11" s="1"/>
  <c r="M1969" i="11"/>
  <c r="N1969" i="11" s="1"/>
  <c r="M1925" i="11"/>
  <c r="N1925" i="11" s="1"/>
  <c r="M2064" i="11"/>
  <c r="N2064" i="11" s="1"/>
  <c r="M2040" i="11"/>
  <c r="N2040" i="11" s="1"/>
  <c r="N2147" i="11"/>
  <c r="M2246" i="11"/>
  <c r="M2347" i="11"/>
  <c r="N2347" i="11" s="1"/>
  <c r="M2367" i="11"/>
  <c r="N2367" i="11" s="1"/>
  <c r="M2462" i="11"/>
  <c r="M2451" i="11"/>
  <c r="M2475" i="11"/>
  <c r="N2475" i="11" s="1"/>
  <c r="N2639" i="11"/>
  <c r="M2597" i="11"/>
  <c r="N2597" i="11" s="1"/>
  <c r="M2501" i="11"/>
  <c r="N2501" i="11" s="1"/>
  <c r="N2497" i="11"/>
  <c r="M2519" i="11"/>
  <c r="M2692" i="11"/>
  <c r="M2658" i="11"/>
  <c r="N2657" i="11" s="1"/>
  <c r="M2617" i="11"/>
  <c r="N2840" i="11"/>
  <c r="M2793" i="11"/>
  <c r="M2745" i="11"/>
  <c r="N2744" i="11" s="1"/>
  <c r="M2809" i="11"/>
  <c r="N2808" i="11" s="1"/>
  <c r="M2811" i="11"/>
  <c r="N2810" i="11" s="1"/>
  <c r="M2831" i="11"/>
  <c r="N2830" i="11" s="1"/>
  <c r="N2982" i="11"/>
  <c r="N2946" i="11"/>
  <c r="N2992" i="11"/>
  <c r="M2989" i="11"/>
  <c r="N2988" i="11" s="1"/>
  <c r="M3042" i="11"/>
  <c r="N3042" i="11" s="1"/>
  <c r="M3090" i="11"/>
  <c r="N3048" i="11"/>
  <c r="M3112" i="11"/>
  <c r="M3246" i="11"/>
  <c r="N3246" i="11" s="1"/>
  <c r="M3272" i="11"/>
  <c r="N3272" i="11" s="1"/>
  <c r="N3256" i="11"/>
  <c r="N3291" i="11"/>
  <c r="M3294" i="11"/>
  <c r="N3293" i="11" s="1"/>
  <c r="N3426" i="11"/>
  <c r="N3450" i="11"/>
  <c r="N3354" i="11"/>
  <c r="N3411" i="11"/>
  <c r="N3436" i="11"/>
  <c r="N3460" i="11"/>
  <c r="N3446" i="11"/>
  <c r="R177" i="11"/>
  <c r="R311" i="11"/>
  <c r="R370" i="11"/>
  <c r="R971" i="11"/>
  <c r="R1129" i="11"/>
  <c r="R2393" i="11"/>
  <c r="M81" i="11"/>
  <c r="N80" i="11" s="1"/>
  <c r="Q14" i="11"/>
  <c r="AH1903" i="11"/>
  <c r="AH1445" i="11"/>
  <c r="P849" i="11"/>
  <c r="AO409" i="11"/>
  <c r="N156" i="11"/>
  <c r="M470" i="11"/>
  <c r="N470" i="11" s="1"/>
  <c r="Q381" i="11"/>
  <c r="Q380" i="11"/>
  <c r="M1078" i="11"/>
  <c r="N1078" i="11" s="1"/>
  <c r="M1331" i="11"/>
  <c r="N1331" i="11" s="1"/>
  <c r="N1462" i="11"/>
  <c r="N2038" i="11"/>
  <c r="Q2334" i="11"/>
  <c r="N2181" i="11"/>
  <c r="Q2610" i="11"/>
  <c r="Q2764" i="11"/>
  <c r="AA1903" i="11"/>
  <c r="P1125" i="11"/>
  <c r="N320" i="11"/>
  <c r="M138" i="11"/>
  <c r="N138" i="11" s="1"/>
  <c r="M115" i="11"/>
  <c r="N114" i="11" s="1"/>
  <c r="N228" i="11"/>
  <c r="Q533" i="11"/>
  <c r="Q851" i="11"/>
  <c r="M853" i="11"/>
  <c r="N482" i="11"/>
  <c r="Q1532" i="11"/>
  <c r="Q1860" i="11"/>
  <c r="Q1848" i="11"/>
  <c r="M2060" i="11"/>
  <c r="N2060" i="11" s="1"/>
  <c r="Q2127" i="11"/>
  <c r="M2256" i="11"/>
  <c r="N2088" i="11"/>
  <c r="Q2346" i="11"/>
  <c r="Q2321" i="11"/>
  <c r="Q2537" i="11"/>
  <c r="Q2538" i="11"/>
  <c r="M2647" i="11"/>
  <c r="Q2738" i="11"/>
  <c r="N2696" i="11"/>
  <c r="Q2765" i="11"/>
  <c r="Q2739" i="11" s="1"/>
  <c r="Q2856" i="11"/>
  <c r="Q2960" i="11"/>
  <c r="Q3101" i="11"/>
  <c r="N3020" i="11"/>
  <c r="M3128" i="11"/>
  <c r="N3127" i="11" s="1"/>
  <c r="N3119" i="11"/>
  <c r="Q3151" i="11"/>
  <c r="Q3289" i="11"/>
  <c r="N3217" i="11"/>
  <c r="Q3277" i="11"/>
  <c r="N3315" i="11"/>
  <c r="Q3290" i="11"/>
  <c r="M280" i="11"/>
  <c r="M382" i="11"/>
  <c r="M250" i="11"/>
  <c r="M282" i="11"/>
  <c r="N282" i="11" s="1"/>
  <c r="M276" i="11"/>
  <c r="N342" i="11"/>
  <c r="M359" i="11"/>
  <c r="N358" i="11" s="1"/>
  <c r="N146" i="11"/>
  <c r="M281" i="11"/>
  <c r="N280" i="11" s="1"/>
  <c r="M538" i="11"/>
  <c r="N537" i="11" s="1"/>
  <c r="M635" i="11"/>
  <c r="N635" i="11" s="1"/>
  <c r="M564" i="11"/>
  <c r="N563" i="11" s="1"/>
  <c r="M620" i="11"/>
  <c r="N619" i="11" s="1"/>
  <c r="M524" i="11"/>
  <c r="N524" i="11" s="1"/>
  <c r="M1096" i="11"/>
  <c r="N1095" i="11" s="1"/>
  <c r="M725" i="11"/>
  <c r="N725" i="11" s="1"/>
  <c r="M760" i="11"/>
  <c r="N965" i="11"/>
  <c r="M797" i="11"/>
  <c r="N797" i="11" s="1"/>
  <c r="M649" i="11"/>
  <c r="N649" i="11" s="1"/>
  <c r="M669" i="11"/>
  <c r="M722" i="11"/>
  <c r="N721" i="11" s="1"/>
  <c r="M842" i="11"/>
  <c r="M783" i="11"/>
  <c r="M802" i="11"/>
  <c r="M713" i="11"/>
  <c r="M801" i="11"/>
  <c r="M1203" i="11"/>
  <c r="N1203" i="11" s="1"/>
  <c r="M1234" i="11"/>
  <c r="N1233" i="11" s="1"/>
  <c r="M1076" i="11"/>
  <c r="N1221" i="11"/>
  <c r="M947" i="11"/>
  <c r="N947" i="11" s="1"/>
  <c r="N975" i="11"/>
  <c r="M1131" i="11"/>
  <c r="M1152" i="11"/>
  <c r="M1187" i="11"/>
  <c r="M957" i="11"/>
  <c r="N957" i="11" s="1"/>
  <c r="M1028" i="11"/>
  <c r="M1075" i="11"/>
  <c r="N1074" i="11" s="1"/>
  <c r="N1303" i="11"/>
  <c r="M1051" i="11"/>
  <c r="N1050" i="11" s="1"/>
  <c r="M1263" i="11"/>
  <c r="N1263" i="11" s="1"/>
  <c r="M1298" i="11"/>
  <c r="N1297" i="11" s="1"/>
  <c r="M1464" i="11"/>
  <c r="N1464" i="11" s="1"/>
  <c r="M1383" i="11"/>
  <c r="N1382" i="11" s="1"/>
  <c r="M1420" i="11"/>
  <c r="N1420" i="11" s="1"/>
  <c r="M1351" i="11"/>
  <c r="N1351" i="11" s="1"/>
  <c r="M1468" i="11"/>
  <c r="N1468" i="11" s="1"/>
  <c r="M1642" i="11"/>
  <c r="N1642" i="11" s="1"/>
  <c r="M1590" i="11"/>
  <c r="N1589" i="11" s="1"/>
  <c r="N1919" i="11"/>
  <c r="M1522" i="11"/>
  <c r="M1581" i="11"/>
  <c r="N1581" i="11" s="1"/>
  <c r="M1529" i="11"/>
  <c r="M1549" i="11"/>
  <c r="M1761" i="11"/>
  <c r="N1760" i="11" s="1"/>
  <c r="M1410" i="11"/>
  <c r="M1708" i="11"/>
  <c r="N1708" i="11" s="1"/>
  <c r="M1601" i="11"/>
  <c r="N1601" i="11" s="1"/>
  <c r="M1737" i="11"/>
  <c r="N1736" i="11" s="1"/>
  <c r="N1797" i="11"/>
  <c r="M1659" i="11"/>
  <c r="N1658" i="11" s="1"/>
  <c r="M1722" i="11"/>
  <c r="N1810" i="11"/>
  <c r="M1910" i="11"/>
  <c r="M1911" i="11"/>
  <c r="N1911" i="11" s="1"/>
  <c r="M1954" i="11"/>
  <c r="N2018" i="11"/>
  <c r="M1973" i="11"/>
  <c r="N1973" i="11" s="1"/>
  <c r="N1961" i="11"/>
  <c r="N2110" i="11"/>
  <c r="M2129" i="11"/>
  <c r="M2372" i="11"/>
  <c r="N2371" i="11" s="1"/>
  <c r="M2414" i="11"/>
  <c r="M2247" i="11"/>
  <c r="N2247" i="11" s="1"/>
  <c r="M2388" i="11"/>
  <c r="M2315" i="11"/>
  <c r="N2315" i="11" s="1"/>
  <c r="M2322" i="11"/>
  <c r="M2410" i="11"/>
  <c r="N2409" i="11" s="1"/>
  <c r="M2449" i="11"/>
  <c r="M2559" i="11"/>
  <c r="N2559" i="11" s="1"/>
  <c r="M2499" i="11"/>
  <c r="N2499" i="11" s="1"/>
  <c r="M2571" i="11"/>
  <c r="N2571" i="11" s="1"/>
  <c r="N2453" i="11"/>
  <c r="M2565" i="11"/>
  <c r="M2541" i="11"/>
  <c r="N2541" i="11" s="1"/>
  <c r="M2691" i="11"/>
  <c r="M2786" i="11"/>
  <c r="N2786" i="11" s="1"/>
  <c r="M2733" i="11"/>
  <c r="N2732" i="11" s="1"/>
  <c r="M2796" i="11"/>
  <c r="N2796" i="11" s="1"/>
  <c r="M2911" i="11"/>
  <c r="M2873" i="11"/>
  <c r="M2908" i="11"/>
  <c r="N2820" i="11"/>
  <c r="M2894" i="11"/>
  <c r="N2894" i="11" s="1"/>
  <c r="M2930" i="11"/>
  <c r="N2930" i="11" s="1"/>
  <c r="M3040" i="11"/>
  <c r="N3040" i="11" s="1"/>
  <c r="M2962" i="11"/>
  <c r="N3034" i="11"/>
  <c r="M3111" i="11"/>
  <c r="M3131" i="11"/>
  <c r="N3131" i="11" s="1"/>
  <c r="M3261" i="11"/>
  <c r="M3281" i="11"/>
  <c r="N3281" i="11" s="1"/>
  <c r="N3369" i="11"/>
  <c r="N3401" i="11"/>
  <c r="N3474" i="11"/>
  <c r="N3484" i="11"/>
  <c r="R412" i="11"/>
  <c r="R380" i="11"/>
  <c r="R886" i="11"/>
  <c r="R1199" i="11"/>
  <c r="R1200" i="11"/>
  <c r="R1086" i="11"/>
  <c r="R1362" i="11"/>
  <c r="R1773" i="11"/>
  <c r="R1699" i="11"/>
  <c r="R1774" i="11"/>
  <c r="R1630" i="11"/>
  <c r="R2527" i="11"/>
  <c r="P10" i="11"/>
  <c r="M312" i="11"/>
  <c r="N312" i="11" s="1"/>
  <c r="AO2401" i="11"/>
  <c r="Q177" i="11"/>
  <c r="M438" i="11"/>
  <c r="N438" i="11" s="1"/>
  <c r="N360" i="11"/>
  <c r="N450" i="11"/>
  <c r="N514" i="11"/>
  <c r="Q653" i="11"/>
  <c r="N1227" i="11"/>
  <c r="M1213" i="11"/>
  <c r="N1213" i="11" s="1"/>
  <c r="Q1907" i="11"/>
  <c r="M1909" i="11"/>
  <c r="P2852" i="11"/>
  <c r="I2292" i="11"/>
  <c r="AH2375" i="11"/>
  <c r="AA1770" i="11"/>
  <c r="I849" i="11"/>
  <c r="N82" i="11"/>
  <c r="AO10" i="11"/>
  <c r="M179" i="11"/>
  <c r="M187" i="11"/>
  <c r="N186" i="11" s="1"/>
  <c r="N166" i="11"/>
  <c r="M98" i="11"/>
  <c r="N98" i="11" s="1"/>
  <c r="N84" i="11"/>
  <c r="M132" i="11"/>
  <c r="Q233" i="11"/>
  <c r="M235" i="11"/>
  <c r="Q232" i="11"/>
  <c r="Q971" i="11"/>
  <c r="Q1085" i="11"/>
  <c r="N1392" i="11"/>
  <c r="N1355" i="11"/>
  <c r="Q1362" i="11"/>
  <c r="N1388" i="11"/>
  <c r="Q1531" i="11"/>
  <c r="Q1861" i="11"/>
  <c r="N2096" i="11"/>
  <c r="N2179" i="11"/>
  <c r="N2277" i="11"/>
  <c r="Q2405" i="11"/>
  <c r="M2351" i="11"/>
  <c r="N2351" i="11" s="1"/>
  <c r="M2326" i="11"/>
  <c r="N2326" i="11" s="1"/>
  <c r="N2415" i="11"/>
  <c r="Q2457" i="11"/>
  <c r="Q2672" i="11"/>
  <c r="Q2609" i="11"/>
  <c r="N2714" i="11"/>
  <c r="M2953" i="11"/>
  <c r="N3067" i="11"/>
  <c r="N3187" i="11"/>
  <c r="Q3229" i="11"/>
  <c r="Q3253" i="11"/>
  <c r="M576" i="11"/>
  <c r="M188" i="11"/>
  <c r="N188" i="11" s="1"/>
  <c r="M204" i="11"/>
  <c r="N204" i="11" s="1"/>
  <c r="M317" i="11"/>
  <c r="N316" i="11" s="1"/>
  <c r="M214" i="11"/>
  <c r="N214" i="11" s="1"/>
  <c r="M407" i="11"/>
  <c r="M571" i="11"/>
  <c r="N571" i="11" s="1"/>
  <c r="M999" i="11"/>
  <c r="M639" i="11"/>
  <c r="N639" i="11" s="1"/>
  <c r="M498" i="11"/>
  <c r="M569" i="11"/>
  <c r="N569" i="11" s="1"/>
  <c r="M945" i="11"/>
  <c r="N945" i="11" s="1"/>
  <c r="M743" i="11"/>
  <c r="N743" i="11" s="1"/>
  <c r="M823" i="11"/>
  <c r="N979" i="11"/>
  <c r="M942" i="11"/>
  <c r="M820" i="11"/>
  <c r="M1066" i="11"/>
  <c r="M1137" i="11"/>
  <c r="N1136" i="11" s="1"/>
  <c r="N983" i="11"/>
  <c r="M1099" i="11"/>
  <c r="N1099" i="11" s="1"/>
  <c r="M1411" i="11"/>
  <c r="M1321" i="11"/>
  <c r="N1321" i="11" s="1"/>
  <c r="M1935" i="11"/>
  <c r="M1335" i="11"/>
  <c r="N1335" i="11" s="1"/>
  <c r="M1674" i="11"/>
  <c r="M1650" i="11"/>
  <c r="N1650" i="11" s="1"/>
  <c r="M1497" i="11"/>
  <c r="M1533" i="11"/>
  <c r="M1767" i="11"/>
  <c r="M1554" i="11"/>
  <c r="N1553" i="11" s="1"/>
  <c r="M1780" i="11"/>
  <c r="N1779" i="11" s="1"/>
  <c r="M1783" i="11"/>
  <c r="N1783" i="11" s="1"/>
  <c r="M1702" i="11"/>
  <c r="M1681" i="11"/>
  <c r="N1680" i="11" s="1"/>
  <c r="M1855" i="11"/>
  <c r="N1855" i="11" s="1"/>
  <c r="M1741" i="11"/>
  <c r="N1740" i="11" s="1"/>
  <c r="M1816" i="11"/>
  <c r="N1816" i="11" s="1"/>
  <c r="M1971" i="11"/>
  <c r="N1971" i="11" s="1"/>
  <c r="M1934" i="11"/>
  <c r="N1933" i="11" s="1"/>
  <c r="M2271" i="11"/>
  <c r="M2094" i="11"/>
  <c r="N2094" i="11" s="1"/>
  <c r="M2350" i="11"/>
  <c r="N2349" i="11" s="1"/>
  <c r="M2407" i="11"/>
  <c r="M2566" i="11"/>
  <c r="M2529" i="11"/>
  <c r="M2527" i="11" s="1"/>
  <c r="M2635" i="11"/>
  <c r="M2595" i="11"/>
  <c r="N2595" i="11" s="1"/>
  <c r="M2819" i="11"/>
  <c r="M2874" i="11"/>
  <c r="M2867" i="11"/>
  <c r="N2866" i="11" s="1"/>
  <c r="M2898" i="11"/>
  <c r="N2898" i="11" s="1"/>
  <c r="M2998" i="11"/>
  <c r="N2998" i="11" s="1"/>
  <c r="M3115" i="11"/>
  <c r="N3115" i="11" s="1"/>
  <c r="M3113" i="11"/>
  <c r="M3279" i="11"/>
  <c r="M3215" i="11"/>
  <c r="M3268" i="11"/>
  <c r="M3303" i="11"/>
  <c r="M3305" i="11"/>
  <c r="N3305" i="11" s="1"/>
  <c r="N3440" i="11"/>
  <c r="N3341" i="11"/>
  <c r="N3335" i="11"/>
  <c r="N3395" i="11"/>
  <c r="N3420" i="11"/>
  <c r="N3430" i="11"/>
  <c r="N3454" i="11"/>
  <c r="R533" i="11"/>
  <c r="R413" i="11"/>
  <c r="R652" i="11"/>
  <c r="M70" i="11"/>
  <c r="N70" i="11" s="1"/>
  <c r="Q311" i="11"/>
  <c r="R396" i="11"/>
  <c r="R924" i="11"/>
  <c r="R2379" i="11"/>
  <c r="R2394" i="11"/>
  <c r="R997" i="11"/>
  <c r="R1861" i="11"/>
  <c r="R2346" i="11"/>
  <c r="R2345" i="11"/>
  <c r="R3253" i="11"/>
  <c r="Q395" i="11"/>
  <c r="M32" i="11"/>
  <c r="N414" i="11"/>
  <c r="N949" i="11"/>
  <c r="M925" i="11"/>
  <c r="N936" i="11"/>
  <c r="N3464" i="11"/>
  <c r="N3347" i="11"/>
  <c r="N3458" i="11"/>
  <c r="N3387" i="11"/>
  <c r="N3476" i="11"/>
  <c r="N3345" i="11"/>
  <c r="N3405" i="11"/>
  <c r="N3470" i="11"/>
  <c r="S3278" i="11"/>
  <c r="S2321" i="11"/>
  <c r="S2393" i="11"/>
  <c r="S924" i="11"/>
  <c r="S381" i="11"/>
  <c r="S405" i="11"/>
  <c r="T8" i="11"/>
  <c r="S7" i="11"/>
  <c r="R653" i="11"/>
  <c r="R782" i="11"/>
  <c r="R1363" i="11"/>
  <c r="R1531" i="11"/>
  <c r="R1448" i="11"/>
  <c r="R1631" i="11"/>
  <c r="R1998" i="11"/>
  <c r="R2528" i="11"/>
  <c r="R2609" i="11"/>
  <c r="R3102" i="11"/>
  <c r="M40" i="11"/>
  <c r="N40" i="11" s="1"/>
  <c r="N328" i="11"/>
  <c r="R704" i="11"/>
  <c r="R1698" i="11"/>
  <c r="R1908" i="11"/>
  <c r="R1860" i="11"/>
  <c r="R2128" i="11"/>
  <c r="R2085" i="11"/>
  <c r="R2296" i="11"/>
  <c r="R2334" i="11"/>
  <c r="R2359" i="11"/>
  <c r="R2458" i="11"/>
  <c r="R2538" i="11"/>
  <c r="R2738" i="11"/>
  <c r="R2815" i="11"/>
  <c r="R3064" i="11"/>
  <c r="R3228" i="11"/>
  <c r="R3252" i="11"/>
  <c r="R3309" i="11"/>
  <c r="M48" i="11"/>
  <c r="N48" i="11" s="1"/>
  <c r="N2245" i="11" l="1"/>
  <c r="N1762" i="11"/>
  <c r="N676" i="11"/>
  <c r="N292" i="11"/>
  <c r="N3260" i="11"/>
  <c r="N3285" i="11"/>
  <c r="N1502" i="11"/>
  <c r="N246" i="11"/>
  <c r="N3089" i="11"/>
  <c r="N1937" i="11"/>
  <c r="M2538" i="11"/>
  <c r="N2724" i="11"/>
  <c r="N2461" i="11"/>
  <c r="N2842" i="11"/>
  <c r="N2058" i="11"/>
  <c r="M653" i="11"/>
  <c r="N652" i="11" s="1"/>
  <c r="N2387" i="11"/>
  <c r="N2910" i="11"/>
  <c r="M413" i="11"/>
  <c r="N2720" i="11"/>
  <c r="N3026" i="11"/>
  <c r="M2609" i="11"/>
  <c r="M2672" i="11"/>
  <c r="N1927" i="11"/>
  <c r="N2273" i="11"/>
  <c r="N2621" i="11"/>
  <c r="N1072" i="11"/>
  <c r="N2335" i="11"/>
  <c r="N2551" i="11"/>
  <c r="N1277" i="11"/>
  <c r="N1666" i="11"/>
  <c r="N326" i="11"/>
  <c r="N1390" i="11"/>
  <c r="N1947" i="11"/>
  <c r="N1311" i="11"/>
  <c r="M1860" i="11"/>
  <c r="N1860" i="11" s="1"/>
  <c r="N1486" i="11"/>
  <c r="R11" i="11"/>
  <c r="N2413" i="11"/>
  <c r="N1545" i="11"/>
  <c r="N2042" i="11"/>
  <c r="N1394" i="11"/>
  <c r="M1085" i="11"/>
  <c r="N819" i="11"/>
  <c r="N694" i="11"/>
  <c r="M652" i="11"/>
  <c r="N2836" i="11"/>
  <c r="N575" i="11"/>
  <c r="N759" i="11"/>
  <c r="N611" i="11"/>
  <c r="N3075" i="11"/>
  <c r="N2036" i="11"/>
  <c r="M2764" i="11"/>
  <c r="R1445" i="11"/>
  <c r="R994" i="11"/>
  <c r="N1766" i="11"/>
  <c r="M997" i="11"/>
  <c r="N2690" i="11"/>
  <c r="N2710" i="11"/>
  <c r="M1362" i="11"/>
  <c r="M3151" i="11"/>
  <c r="N2780" i="11"/>
  <c r="N1716" i="11"/>
  <c r="N2054" i="11"/>
  <c r="M232" i="11"/>
  <c r="N500" i="11"/>
  <c r="N2517" i="11"/>
  <c r="N1983" i="11"/>
  <c r="N2976" i="11"/>
  <c r="N2716" i="11"/>
  <c r="N2760" i="11"/>
  <c r="N1975" i="11"/>
  <c r="N2020" i="11"/>
  <c r="R3063" i="11"/>
  <c r="R1806" i="11"/>
  <c r="S102" i="11"/>
  <c r="S2085" i="11"/>
  <c r="S2379" i="11"/>
  <c r="S2458" i="11"/>
  <c r="S2405" i="11"/>
  <c r="S2814" i="11"/>
  <c r="M3101" i="11"/>
  <c r="M2127" i="11"/>
  <c r="N801" i="11"/>
  <c r="M380" i="11"/>
  <c r="N1257" i="11"/>
  <c r="R1125" i="11"/>
  <c r="M2321" i="11"/>
  <c r="R2320" i="11"/>
  <c r="M2405" i="11"/>
  <c r="N1496" i="11"/>
  <c r="N2255" i="11"/>
  <c r="M851" i="11"/>
  <c r="N678" i="11"/>
  <c r="N656" i="11"/>
  <c r="N522" i="11"/>
  <c r="N2645" i="11"/>
  <c r="N1894" i="11"/>
  <c r="N3244" i="11"/>
  <c r="M3063" i="11"/>
  <c r="R3277" i="11"/>
  <c r="R2375" i="11"/>
  <c r="M3289" i="11"/>
  <c r="N2872" i="11"/>
  <c r="N1528" i="11"/>
  <c r="N841" i="11"/>
  <c r="N2792" i="11"/>
  <c r="N549" i="11"/>
  <c r="N3264" i="11"/>
  <c r="N1878" i="11"/>
  <c r="N256" i="11"/>
  <c r="N350" i="11"/>
  <c r="N170" i="11"/>
  <c r="N1251" i="11"/>
  <c r="N1951" i="11"/>
  <c r="N3238" i="11"/>
  <c r="N3137" i="11"/>
  <c r="N1313" i="11"/>
  <c r="M2856" i="11"/>
  <c r="M102" i="11"/>
  <c r="M2814" i="11"/>
  <c r="R2563" i="11"/>
  <c r="R2401" i="11" s="1"/>
  <c r="M14" i="11"/>
  <c r="N2818" i="11"/>
  <c r="N1186" i="11"/>
  <c r="N668" i="11"/>
  <c r="N436" i="11"/>
  <c r="N3171" i="11"/>
  <c r="R2333" i="11"/>
  <c r="R2291" i="11" s="1"/>
  <c r="M3277" i="11"/>
  <c r="N2952" i="11"/>
  <c r="Q1903" i="11"/>
  <c r="N1953" i="11"/>
  <c r="N1522" i="11"/>
  <c r="M971" i="11"/>
  <c r="N971" i="11" s="1"/>
  <c r="N2581" i="11"/>
  <c r="M2334" i="11"/>
  <c r="N2333" i="11" s="1"/>
  <c r="N1422" i="11"/>
  <c r="N260" i="11"/>
  <c r="N3207" i="11"/>
  <c r="N2265" i="11"/>
  <c r="N1662" i="11"/>
  <c r="N1113" i="11"/>
  <c r="R1847" i="11"/>
  <c r="R2960" i="11"/>
  <c r="S2394" i="11"/>
  <c r="S1129" i="11"/>
  <c r="Q365" i="11"/>
  <c r="S370" i="11"/>
  <c r="S177" i="11"/>
  <c r="S1021" i="11"/>
  <c r="S782" i="11"/>
  <c r="S704" i="11"/>
  <c r="S1631" i="11"/>
  <c r="S1699" i="11"/>
  <c r="S1630" i="11"/>
  <c r="S1617" i="11"/>
  <c r="S1806" i="11"/>
  <c r="S2375" i="11"/>
  <c r="S2380" i="11"/>
  <c r="R2606" i="11"/>
  <c r="M2564" i="11"/>
  <c r="N2565" i="11"/>
  <c r="M233" i="11"/>
  <c r="N234" i="11"/>
  <c r="Q10" i="11"/>
  <c r="R1903" i="11"/>
  <c r="Q1126" i="11"/>
  <c r="Q1904" i="11"/>
  <c r="Q1125" i="11"/>
  <c r="N1632" i="11"/>
  <c r="M1631" i="11"/>
  <c r="M1128" i="11"/>
  <c r="M2961" i="11"/>
  <c r="N3050" i="11"/>
  <c r="N2635" i="11"/>
  <c r="Q1770" i="11"/>
  <c r="N340" i="11"/>
  <c r="N371" i="11"/>
  <c r="M370" i="11"/>
  <c r="M2295" i="11"/>
  <c r="N1734" i="11"/>
  <c r="Q2402" i="11"/>
  <c r="N2361" i="11"/>
  <c r="M2360" i="11"/>
  <c r="M924" i="11"/>
  <c r="N924" i="11" s="1"/>
  <c r="M2528" i="11"/>
  <c r="N2527" i="11" s="1"/>
  <c r="M3228" i="11"/>
  <c r="N1965" i="11"/>
  <c r="N1089" i="11"/>
  <c r="Q848" i="11"/>
  <c r="N490" i="11"/>
  <c r="N104" i="11"/>
  <c r="M103" i="11"/>
  <c r="S103" i="11"/>
  <c r="S380" i="11"/>
  <c r="S369" i="11"/>
  <c r="S781" i="11"/>
  <c r="S1085" i="11"/>
  <c r="S1363" i="11"/>
  <c r="S1807" i="11"/>
  <c r="S2333" i="11"/>
  <c r="S2457" i="11"/>
  <c r="S2563" i="11"/>
  <c r="S3152" i="11"/>
  <c r="M1531" i="11"/>
  <c r="M2320" i="11"/>
  <c r="N2320" i="11" s="1"/>
  <c r="M311" i="11"/>
  <c r="AH1442" i="11"/>
  <c r="R1126" i="11"/>
  <c r="M3290" i="11"/>
  <c r="N1808" i="11"/>
  <c r="M1807" i="11"/>
  <c r="Q410" i="11"/>
  <c r="N2322" i="11"/>
  <c r="M1532" i="11"/>
  <c r="P2606" i="11"/>
  <c r="M365" i="11"/>
  <c r="M1199" i="11"/>
  <c r="N2407" i="11"/>
  <c r="M2406" i="11"/>
  <c r="N1571" i="11"/>
  <c r="N1058" i="11"/>
  <c r="N1638" i="11"/>
  <c r="N783" i="11"/>
  <c r="M782" i="11"/>
  <c r="M2458" i="11"/>
  <c r="M703" i="11"/>
  <c r="N476" i="11"/>
  <c r="R1446" i="11"/>
  <c r="N1283" i="11"/>
  <c r="M2394" i="11"/>
  <c r="N2393" i="11" s="1"/>
  <c r="N2395" i="11"/>
  <c r="N1917" i="11"/>
  <c r="Q366" i="11"/>
  <c r="M2296" i="11"/>
  <c r="N2712" i="11"/>
  <c r="N1884" i="11"/>
  <c r="M1883" i="11"/>
  <c r="N1882" i="11" s="1"/>
  <c r="N1700" i="11"/>
  <c r="M1699" i="11"/>
  <c r="N1279" i="11"/>
  <c r="N2529" i="11"/>
  <c r="Q3224" i="11"/>
  <c r="N2778" i="11"/>
  <c r="M2379" i="11"/>
  <c r="M2375" i="11" s="1"/>
  <c r="N1152" i="11"/>
  <c r="N1111" i="11"/>
  <c r="M3064" i="11"/>
  <c r="S534" i="11"/>
  <c r="S998" i="11"/>
  <c r="S941" i="11"/>
  <c r="S997" i="11"/>
  <c r="S1448" i="11"/>
  <c r="S2127" i="11"/>
  <c r="S1999" i="11"/>
  <c r="S2320" i="11"/>
  <c r="S2564" i="11"/>
  <c r="S2528" i="11"/>
  <c r="S3310" i="11"/>
  <c r="Q2605" i="11"/>
  <c r="N2874" i="11"/>
  <c r="Q2606" i="11"/>
  <c r="M15" i="11"/>
  <c r="N3111" i="11"/>
  <c r="Q409" i="11"/>
  <c r="M1999" i="11"/>
  <c r="N2000" i="11"/>
  <c r="M2857" i="11"/>
  <c r="M2610" i="11"/>
  <c r="N2611" i="11"/>
  <c r="M2128" i="11"/>
  <c r="N2129" i="11"/>
  <c r="N1533" i="11"/>
  <c r="M3229" i="11"/>
  <c r="N2271" i="11"/>
  <c r="N1567" i="11"/>
  <c r="N1066" i="11"/>
  <c r="N302" i="11"/>
  <c r="N1935" i="11"/>
  <c r="N1396" i="11"/>
  <c r="N2936" i="11"/>
  <c r="N3155" i="11"/>
  <c r="N1005" i="11"/>
  <c r="N680" i="11"/>
  <c r="Q2375" i="11"/>
  <c r="N1929" i="11"/>
  <c r="N1619" i="11"/>
  <c r="M1618" i="11"/>
  <c r="N1702" i="11"/>
  <c r="M1020" i="11"/>
  <c r="N817" i="11"/>
  <c r="N735" i="11"/>
  <c r="N1370" i="11"/>
  <c r="R2605" i="11"/>
  <c r="S395" i="11"/>
  <c r="S1848" i="11"/>
  <c r="S2213" i="11"/>
  <c r="S2334" i="11"/>
  <c r="S3063" i="11"/>
  <c r="S3277" i="11"/>
  <c r="R410" i="11"/>
  <c r="N406" i="11"/>
  <c r="M405" i="11"/>
  <c r="N404" i="11" s="1"/>
  <c r="Q2401" i="11"/>
  <c r="R848" i="11"/>
  <c r="Q2852" i="11"/>
  <c r="R366" i="11"/>
  <c r="M1449" i="11"/>
  <c r="Q1446" i="11"/>
  <c r="M2457" i="11"/>
  <c r="M1630" i="11"/>
  <c r="N1549" i="11"/>
  <c r="M534" i="11"/>
  <c r="I1443" i="11"/>
  <c r="N498" i="11"/>
  <c r="N2451" i="11"/>
  <c r="N3319" i="11"/>
  <c r="N2692" i="11"/>
  <c r="M1448" i="11"/>
  <c r="N2435" i="11"/>
  <c r="N2948" i="11"/>
  <c r="N2519" i="11"/>
  <c r="N1368" i="11"/>
  <c r="N1275" i="11"/>
  <c r="N769" i="11"/>
  <c r="M1617" i="11"/>
  <c r="N745" i="11"/>
  <c r="S15" i="11"/>
  <c r="R1904" i="11"/>
  <c r="S310" i="11"/>
  <c r="T2528" i="11"/>
  <c r="T2393" i="11"/>
  <c r="T395" i="11"/>
  <c r="T396" i="11"/>
  <c r="T405" i="11"/>
  <c r="U8" i="11"/>
  <c r="T7" i="11"/>
  <c r="S176" i="11"/>
  <c r="S396" i="11"/>
  <c r="S366" i="11" s="1"/>
  <c r="S533" i="11"/>
  <c r="S851" i="11"/>
  <c r="S1532" i="11"/>
  <c r="S1449" i="11"/>
  <c r="S1531" i="11"/>
  <c r="S1618" i="11"/>
  <c r="S1907" i="11"/>
  <c r="S2359" i="11"/>
  <c r="S2610" i="11"/>
  <c r="S2538" i="11"/>
  <c r="S2673" i="11"/>
  <c r="S2857" i="11"/>
  <c r="S2856" i="11"/>
  <c r="S3064" i="11"/>
  <c r="M310" i="11"/>
  <c r="R1771" i="11"/>
  <c r="M3253" i="11"/>
  <c r="N1674" i="11"/>
  <c r="M3102" i="11"/>
  <c r="N3103" i="11"/>
  <c r="M176" i="11"/>
  <c r="R365" i="11"/>
  <c r="M2537" i="11"/>
  <c r="N2537" i="11" s="1"/>
  <c r="N1121" i="11"/>
  <c r="M3152" i="11"/>
  <c r="N3151" i="11" s="1"/>
  <c r="N713" i="11"/>
  <c r="N296" i="11"/>
  <c r="N823" i="11"/>
  <c r="M3309" i="11"/>
  <c r="N3309" i="11" s="1"/>
  <c r="N1432" i="11"/>
  <c r="N3083" i="11"/>
  <c r="N2555" i="11"/>
  <c r="M2214" i="11"/>
  <c r="N2215" i="11"/>
  <c r="M2085" i="11"/>
  <c r="N2086" i="11"/>
  <c r="N1672" i="11"/>
  <c r="N2816" i="11"/>
  <c r="M2815" i="11"/>
  <c r="N2908" i="11"/>
  <c r="N1565" i="11"/>
  <c r="M941" i="11"/>
  <c r="N941" i="11" s="1"/>
  <c r="M2084" i="11"/>
  <c r="S412" i="11"/>
  <c r="S652" i="11"/>
  <c r="S653" i="11"/>
  <c r="S1020" i="11"/>
  <c r="S1086" i="11"/>
  <c r="S1861" i="11"/>
  <c r="S1882" i="11"/>
  <c r="S1908" i="11"/>
  <c r="S2128" i="11"/>
  <c r="S2214" i="11"/>
  <c r="S2296" i="11"/>
  <c r="S2360" i="11"/>
  <c r="S2345" i="11"/>
  <c r="S2527" i="11"/>
  <c r="S3102" i="11"/>
  <c r="S3101" i="11"/>
  <c r="S3151" i="11"/>
  <c r="S3228" i="11"/>
  <c r="S3252" i="11"/>
  <c r="S3290" i="11"/>
  <c r="N1410" i="11"/>
  <c r="R409" i="11"/>
  <c r="M1806" i="11"/>
  <c r="Q2292" i="11"/>
  <c r="N615" i="11"/>
  <c r="M533" i="11"/>
  <c r="N1775" i="11"/>
  <c r="M1774" i="11"/>
  <c r="M998" i="11"/>
  <c r="N999" i="11"/>
  <c r="N3279" i="11"/>
  <c r="N518" i="11"/>
  <c r="N1052" i="11"/>
  <c r="Q11" i="11"/>
  <c r="N3303" i="11"/>
  <c r="N3268" i="11"/>
  <c r="M3252" i="11"/>
  <c r="R10" i="11"/>
  <c r="N1253" i="11"/>
  <c r="M2673" i="11"/>
  <c r="N2674" i="11"/>
  <c r="M2359" i="11"/>
  <c r="N2381" i="11"/>
  <c r="M2380" i="11"/>
  <c r="M1847" i="11"/>
  <c r="N1847" i="11" s="1"/>
  <c r="N1756" i="11"/>
  <c r="N1492" i="11"/>
  <c r="M1698" i="11"/>
  <c r="Q1445" i="11"/>
  <c r="N1028" i="11"/>
  <c r="N573" i="11"/>
  <c r="N3242" i="11"/>
  <c r="N1504" i="11"/>
  <c r="N737" i="11"/>
  <c r="N2756" i="11"/>
  <c r="AO1442" i="11"/>
  <c r="N686" i="11"/>
  <c r="S413" i="11"/>
  <c r="S233" i="11"/>
  <c r="S971" i="11"/>
  <c r="S703" i="11"/>
  <c r="S1199" i="11"/>
  <c r="S1773" i="11"/>
  <c r="S1883" i="11"/>
  <c r="S1847" i="11"/>
  <c r="S1998" i="11"/>
  <c r="S2537" i="11"/>
  <c r="S2609" i="11"/>
  <c r="S2738" i="11"/>
  <c r="S2764" i="11"/>
  <c r="S2961" i="11"/>
  <c r="S3229" i="11"/>
  <c r="S3253" i="11"/>
  <c r="N32" i="11"/>
  <c r="N178" i="11"/>
  <c r="M177" i="11"/>
  <c r="M2960" i="11"/>
  <c r="M2563" i="11"/>
  <c r="M412" i="11"/>
  <c r="R3225" i="11"/>
  <c r="M381" i="11"/>
  <c r="N380" i="11" s="1"/>
  <c r="N382" i="11"/>
  <c r="N250" i="11"/>
  <c r="R2853" i="11"/>
  <c r="M3278" i="11"/>
  <c r="N1754" i="11"/>
  <c r="N1569" i="11"/>
  <c r="N3215" i="11"/>
  <c r="M2765" i="11"/>
  <c r="N2764" i="11" s="1"/>
  <c r="N1357" i="11"/>
  <c r="N2495" i="11"/>
  <c r="P1443" i="11"/>
  <c r="N1664" i="11"/>
  <c r="N1201" i="11"/>
  <c r="M1200" i="11"/>
  <c r="N1199" i="11" s="1"/>
  <c r="Q1771" i="11"/>
  <c r="N1484" i="11"/>
  <c r="N1076" i="11"/>
  <c r="N787" i="11"/>
  <c r="N2896" i="11"/>
  <c r="N2589" i="11"/>
  <c r="N2070" i="11"/>
  <c r="N1490" i="11"/>
  <c r="N1285" i="11"/>
  <c r="M886" i="11"/>
  <c r="R3224" i="11"/>
  <c r="S311" i="11"/>
  <c r="R2292" i="11"/>
  <c r="S14" i="11"/>
  <c r="S232" i="11"/>
  <c r="S886" i="11"/>
  <c r="S1200" i="11"/>
  <c r="S1128" i="11"/>
  <c r="S1362" i="11"/>
  <c r="S1698" i="11"/>
  <c r="S1774" i="11"/>
  <c r="S1860" i="11"/>
  <c r="S2084" i="11"/>
  <c r="S2295" i="11"/>
  <c r="S2346" i="11"/>
  <c r="S2406" i="11"/>
  <c r="S2672" i="11"/>
  <c r="S2765" i="11"/>
  <c r="S2739" i="11" s="1"/>
  <c r="S2815" i="11"/>
  <c r="S2960" i="11"/>
  <c r="S3289" i="11"/>
  <c r="S3309" i="11"/>
  <c r="R2402" i="11"/>
  <c r="M994" i="11"/>
  <c r="Q3225" i="11"/>
  <c r="M1907" i="11"/>
  <c r="N1909" i="11"/>
  <c r="M1908" i="11"/>
  <c r="M1129" i="11"/>
  <c r="N1130" i="11"/>
  <c r="M781" i="11"/>
  <c r="M2345" i="11"/>
  <c r="M1021" i="11"/>
  <c r="N276" i="11"/>
  <c r="Q2853" i="11"/>
  <c r="M1998" i="11"/>
  <c r="Q994" i="11"/>
  <c r="N401" i="11"/>
  <c r="M396" i="11"/>
  <c r="N395" i="11" s="1"/>
  <c r="R995" i="11"/>
  <c r="N1295" i="11"/>
  <c r="Q2291" i="11"/>
  <c r="R2376" i="11"/>
  <c r="M2346" i="11"/>
  <c r="N132" i="11"/>
  <c r="P1442" i="11"/>
  <c r="N1087" i="11"/>
  <c r="M1086" i="11"/>
  <c r="Q995" i="11"/>
  <c r="N1319" i="11"/>
  <c r="N2962" i="11"/>
  <c r="N3262" i="11"/>
  <c r="N2449" i="11"/>
  <c r="M2213" i="11"/>
  <c r="M1773" i="11"/>
  <c r="N264" i="11"/>
  <c r="N3113" i="11"/>
  <c r="N2617" i="11"/>
  <c r="Q2376" i="11"/>
  <c r="N1364" i="11"/>
  <c r="M1363" i="11"/>
  <c r="N278" i="11"/>
  <c r="N2906" i="11"/>
  <c r="N2730" i="11"/>
  <c r="N2647" i="11"/>
  <c r="N2513" i="11"/>
  <c r="N1985" i="11"/>
  <c r="N1722" i="11"/>
  <c r="N1196" i="11"/>
  <c r="N1150" i="11"/>
  <c r="N705" i="11"/>
  <c r="M704" i="11"/>
  <c r="N703" i="11" s="1"/>
  <c r="N2127" i="11" l="1"/>
  <c r="R1770" i="11"/>
  <c r="R1442" i="11" s="1"/>
  <c r="N102" i="11"/>
  <c r="N2814" i="11"/>
  <c r="N232" i="11"/>
  <c r="R2852" i="11"/>
  <c r="N1531" i="11"/>
  <c r="N3101" i="11"/>
  <c r="N3277" i="11"/>
  <c r="N3289" i="11"/>
  <c r="N2672" i="11"/>
  <c r="S410" i="11"/>
  <c r="M2605" i="11"/>
  <c r="N3063" i="11"/>
  <c r="S1126" i="11"/>
  <c r="N1362" i="11"/>
  <c r="M2852" i="11"/>
  <c r="N2345" i="11"/>
  <c r="T3277" i="11"/>
  <c r="T2359" i="11"/>
  <c r="T2345" i="11"/>
  <c r="M410" i="11"/>
  <c r="M10" i="11"/>
  <c r="T3253" i="11"/>
  <c r="T1085" i="11"/>
  <c r="T1630" i="11"/>
  <c r="T1847" i="11"/>
  <c r="T3151" i="11"/>
  <c r="N1630" i="11"/>
  <c r="N2084" i="11"/>
  <c r="S2401" i="11"/>
  <c r="S2376" i="11"/>
  <c r="T2360" i="11"/>
  <c r="N3252" i="11"/>
  <c r="T370" i="11"/>
  <c r="T2321" i="11"/>
  <c r="T2394" i="11"/>
  <c r="S2291" i="11"/>
  <c r="T1698" i="11"/>
  <c r="T3102" i="11"/>
  <c r="T3229" i="11"/>
  <c r="M2401" i="11"/>
  <c r="Q1442" i="11"/>
  <c r="T703" i="11"/>
  <c r="T1199" i="11"/>
  <c r="T1363" i="11"/>
  <c r="T1532" i="11"/>
  <c r="T1618" i="11"/>
  <c r="T1882" i="11"/>
  <c r="T1999" i="11"/>
  <c r="T2320" i="11"/>
  <c r="T2333" i="11"/>
  <c r="T2458" i="11"/>
  <c r="T2857" i="11"/>
  <c r="N533" i="11"/>
  <c r="N1448" i="11"/>
  <c r="M1446" i="11"/>
  <c r="S1445" i="11"/>
  <c r="N781" i="11"/>
  <c r="S365" i="11"/>
  <c r="T1806" i="11"/>
  <c r="N176" i="11"/>
  <c r="S2853" i="11"/>
  <c r="T102" i="11"/>
  <c r="T413" i="11"/>
  <c r="T534" i="11"/>
  <c r="T924" i="11"/>
  <c r="T1883" i="11"/>
  <c r="T1907" i="11"/>
  <c r="T2127" i="11"/>
  <c r="T2673" i="11"/>
  <c r="T2765" i="11"/>
  <c r="T2739" i="11" s="1"/>
  <c r="T3064" i="11"/>
  <c r="T3310" i="11"/>
  <c r="S994" i="11"/>
  <c r="M2292" i="11"/>
  <c r="N2295" i="11"/>
  <c r="N1806" i="11"/>
  <c r="N310" i="11"/>
  <c r="M2291" i="11"/>
  <c r="T2406" i="11"/>
  <c r="S1903" i="11"/>
  <c r="M409" i="11"/>
  <c r="M2376" i="11"/>
  <c r="N2375" i="11" s="1"/>
  <c r="N2379" i="11"/>
  <c r="T14" i="11"/>
  <c r="M1770" i="11"/>
  <c r="S10" i="11"/>
  <c r="S2605" i="11"/>
  <c r="S1770" i="11"/>
  <c r="N1773" i="11"/>
  <c r="M1771" i="11"/>
  <c r="N2213" i="11"/>
  <c r="S2852" i="11"/>
  <c r="S1446" i="11"/>
  <c r="U3277" i="11"/>
  <c r="A3060" i="11"/>
  <c r="A3061" i="11" s="1"/>
  <c r="A2954" i="11"/>
  <c r="A2955" i="11" s="1"/>
  <c r="A2956" i="11"/>
  <c r="A2957" i="11" s="1"/>
  <c r="U2394" i="11"/>
  <c r="A2287" i="11"/>
  <c r="A2288" i="11" s="1"/>
  <c r="A2281" i="11"/>
  <c r="A2282" i="11" s="1"/>
  <c r="A2209" i="11"/>
  <c r="A2210" i="11" s="1"/>
  <c r="A2207" i="11"/>
  <c r="A2208" i="11" s="1"/>
  <c r="A2285" i="11"/>
  <c r="A2286" i="11" s="1"/>
  <c r="A2205" i="11"/>
  <c r="A2206" i="11" s="1"/>
  <c r="A2279" i="11"/>
  <c r="A2280" i="11" s="1"/>
  <c r="A2283" i="11"/>
  <c r="A2284" i="11" s="1"/>
  <c r="A2080" i="11"/>
  <c r="A2081" i="11" s="1"/>
  <c r="A1995" i="11"/>
  <c r="A1996" i="11" s="1"/>
  <c r="A1993" i="11"/>
  <c r="A1994" i="11" s="1"/>
  <c r="A1844" i="11"/>
  <c r="A1845" i="11" s="1"/>
  <c r="A1842" i="11"/>
  <c r="A1843" i="11" s="1"/>
  <c r="U395" i="11"/>
  <c r="U396" i="11"/>
  <c r="U405" i="11"/>
  <c r="V8" i="11"/>
  <c r="X1134" i="11" s="1"/>
  <c r="U7" i="11"/>
  <c r="T176" i="11"/>
  <c r="T310" i="11"/>
  <c r="T381" i="11"/>
  <c r="T366" i="11" s="1"/>
  <c r="T704" i="11"/>
  <c r="T971" i="11"/>
  <c r="T782" i="11"/>
  <c r="T1807" i="11"/>
  <c r="T2814" i="11"/>
  <c r="T3252" i="11"/>
  <c r="T3289" i="11"/>
  <c r="X1499" i="11"/>
  <c r="X1449" i="11"/>
  <c r="N1617" i="11"/>
  <c r="X2552" i="11"/>
  <c r="X616" i="11"/>
  <c r="X1681" i="11"/>
  <c r="X1256" i="11"/>
  <c r="X3092" i="11"/>
  <c r="N1698" i="11"/>
  <c r="X2965" i="11"/>
  <c r="X462" i="11"/>
  <c r="X1017" i="11"/>
  <c r="X1407" i="11"/>
  <c r="X2074" i="11"/>
  <c r="X1847" i="11"/>
  <c r="X509" i="11"/>
  <c r="X1349" i="11"/>
  <c r="X2446" i="11"/>
  <c r="N2563" i="11"/>
  <c r="S1904" i="11"/>
  <c r="T533" i="11"/>
  <c r="T998" i="11"/>
  <c r="T941" i="11"/>
  <c r="T1129" i="11"/>
  <c r="T1773" i="11"/>
  <c r="T1908" i="11"/>
  <c r="T2128" i="11"/>
  <c r="T2295" i="11"/>
  <c r="T2291" i="11" s="1"/>
  <c r="T2380" i="11"/>
  <c r="T2376" i="11" s="1"/>
  <c r="T2405" i="11"/>
  <c r="T2563" i="11"/>
  <c r="T2738" i="11"/>
  <c r="T2960" i="11"/>
  <c r="T3101" i="11"/>
  <c r="T3063" i="11"/>
  <c r="X687" i="11"/>
  <c r="X2079" i="11"/>
  <c r="X3173" i="11"/>
  <c r="X3272" i="11"/>
  <c r="Q1443" i="11"/>
  <c r="X1206" i="11"/>
  <c r="X282" i="11"/>
  <c r="X2036" i="11"/>
  <c r="X2745" i="11"/>
  <c r="X568" i="11"/>
  <c r="N3228" i="11"/>
  <c r="M3225" i="11"/>
  <c r="X1684" i="11"/>
  <c r="X1350" i="11"/>
  <c r="S995" i="11"/>
  <c r="X1142" i="11"/>
  <c r="X3017" i="11"/>
  <c r="X370" i="11"/>
  <c r="X1708" i="11"/>
  <c r="X1938" i="11"/>
  <c r="X1714" i="11"/>
  <c r="X635" i="11"/>
  <c r="M3224" i="11"/>
  <c r="X2968" i="11"/>
  <c r="X2618" i="11"/>
  <c r="M366" i="11"/>
  <c r="N365" i="11" s="1"/>
  <c r="N369" i="11"/>
  <c r="X488" i="11"/>
  <c r="X264" i="11"/>
  <c r="X1383" i="11"/>
  <c r="X2686" i="11"/>
  <c r="X1807" i="11"/>
  <c r="T412" i="11"/>
  <c r="T380" i="11"/>
  <c r="S2292" i="11"/>
  <c r="T653" i="11"/>
  <c r="T886" i="11"/>
  <c r="T997" i="11"/>
  <c r="T1020" i="11"/>
  <c r="T1200" i="11"/>
  <c r="T1531" i="11"/>
  <c r="T1362" i="11"/>
  <c r="T1617" i="11"/>
  <c r="T1699" i="11"/>
  <c r="T1774" i="11"/>
  <c r="T1860" i="11"/>
  <c r="T2334" i="11"/>
  <c r="T2564" i="11"/>
  <c r="T2610" i="11"/>
  <c r="T2815" i="11"/>
  <c r="T3228" i="11"/>
  <c r="T3278" i="11"/>
  <c r="T3309" i="11"/>
  <c r="X871" i="11"/>
  <c r="X1282" i="11"/>
  <c r="X2272" i="11"/>
  <c r="X1323" i="11"/>
  <c r="X1298" i="11"/>
  <c r="X1928" i="11"/>
  <c r="X605" i="11"/>
  <c r="X3157" i="11"/>
  <c r="X1402" i="11"/>
  <c r="N1998" i="11"/>
  <c r="X1007" i="11"/>
  <c r="X1965" i="11"/>
  <c r="X2314" i="11"/>
  <c r="X1583" i="11"/>
  <c r="X1212" i="11"/>
  <c r="X2395" i="11"/>
  <c r="X356" i="11"/>
  <c r="X3205" i="11"/>
  <c r="N2359" i="11"/>
  <c r="X162" i="11"/>
  <c r="X1749" i="11"/>
  <c r="X2447" i="11"/>
  <c r="X2320" i="11"/>
  <c r="X997" i="11"/>
  <c r="T1128" i="11"/>
  <c r="S848" i="11"/>
  <c r="T233" i="11"/>
  <c r="N1128" i="11"/>
  <c r="M1126" i="11"/>
  <c r="M848" i="11"/>
  <c r="X2292" i="11"/>
  <c r="S409" i="11"/>
  <c r="M1903" i="11"/>
  <c r="S2402" i="11"/>
  <c r="M2739" i="11"/>
  <c r="N2738" i="11" s="1"/>
  <c r="S3225" i="11"/>
  <c r="M995" i="11"/>
  <c r="N994" i="11" s="1"/>
  <c r="N412" i="11"/>
  <c r="S2606" i="11"/>
  <c r="T232" i="11"/>
  <c r="T781" i="11"/>
  <c r="T851" i="11"/>
  <c r="T1021" i="11"/>
  <c r="T1449" i="11"/>
  <c r="T1848" i="11"/>
  <c r="T1861" i="11"/>
  <c r="T1998" i="11"/>
  <c r="T2084" i="11"/>
  <c r="T2213" i="11"/>
  <c r="T2346" i="11"/>
  <c r="T2379" i="11"/>
  <c r="T2375" i="11" s="1"/>
  <c r="T2609" i="11"/>
  <c r="T2457" i="11"/>
  <c r="T2527" i="11"/>
  <c r="T2856" i="11"/>
  <c r="T2764" i="11"/>
  <c r="T3152" i="11"/>
  <c r="T3290" i="11"/>
  <c r="S11" i="11"/>
  <c r="M1445" i="11"/>
  <c r="X2717" i="11"/>
  <c r="X330" i="11"/>
  <c r="X1649" i="11"/>
  <c r="X2015" i="11"/>
  <c r="X1599" i="11"/>
  <c r="X333" i="11"/>
  <c r="X450" i="11"/>
  <c r="X674" i="11"/>
  <c r="N2609" i="11"/>
  <c r="X2353" i="11"/>
  <c r="X2495" i="11"/>
  <c r="X1090" i="11"/>
  <c r="X694" i="11"/>
  <c r="X1929" i="11"/>
  <c r="X1717" i="11"/>
  <c r="X3154" i="11"/>
  <c r="X115" i="11"/>
  <c r="X2301" i="11"/>
  <c r="X3080" i="11"/>
  <c r="N2960" i="11"/>
  <c r="M1125" i="11"/>
  <c r="X1848" i="11"/>
  <c r="X2397" i="11"/>
  <c r="T311" i="11"/>
  <c r="M1904" i="11"/>
  <c r="N1907" i="11"/>
  <c r="S1771" i="11"/>
  <c r="S1125" i="11"/>
  <c r="S3224" i="11"/>
  <c r="T103" i="11"/>
  <c r="T15" i="11"/>
  <c r="T369" i="11"/>
  <c r="T177" i="11"/>
  <c r="T652" i="11"/>
  <c r="T1086" i="11"/>
  <c r="T1448" i="11"/>
  <c r="T1631" i="11"/>
  <c r="T2085" i="11"/>
  <c r="T2214" i="11"/>
  <c r="T2296" i="11"/>
  <c r="T2538" i="11"/>
  <c r="T2537" i="11"/>
  <c r="T2672" i="11"/>
  <c r="T2961" i="11"/>
  <c r="X1474" i="11"/>
  <c r="X3023" i="11"/>
  <c r="X715" i="11"/>
  <c r="X2251" i="11"/>
  <c r="X2558" i="11"/>
  <c r="X131" i="11"/>
  <c r="X2670" i="11"/>
  <c r="X3048" i="11"/>
  <c r="X3155" i="11"/>
  <c r="X963" i="11"/>
  <c r="M2853" i="11"/>
  <c r="N2856" i="11"/>
  <c r="N14" i="11"/>
  <c r="M11" i="11"/>
  <c r="N10" i="11" s="1"/>
  <c r="X177" i="11"/>
  <c r="X2953" i="11"/>
  <c r="X2600" i="11"/>
  <c r="X695" i="11"/>
  <c r="R1443" i="11"/>
  <c r="N2457" i="11"/>
  <c r="N2405" i="11"/>
  <c r="M2402" i="11"/>
  <c r="X2985" i="11"/>
  <c r="X328" i="11"/>
  <c r="X2381" i="11"/>
  <c r="X2450" i="11"/>
  <c r="X3164" i="11"/>
  <c r="X1942" i="11"/>
  <c r="X2875" i="11"/>
  <c r="X758" i="11"/>
  <c r="X2977" i="11" l="1"/>
  <c r="X579" i="11"/>
  <c r="Y1847" i="11"/>
  <c r="X2713" i="11"/>
  <c r="X1936" i="11"/>
  <c r="T1125" i="11"/>
  <c r="N409" i="11"/>
  <c r="N2401" i="11"/>
  <c r="N1903" i="11"/>
  <c r="M1442" i="11"/>
  <c r="X552" i="11"/>
  <c r="N2852" i="11"/>
  <c r="X1573" i="11"/>
  <c r="X1186" i="11"/>
  <c r="N1770" i="11"/>
  <c r="X554" i="11"/>
  <c r="X217" i="11"/>
  <c r="X1966" i="11"/>
  <c r="Y1965" i="11" s="1"/>
  <c r="X2384" i="11"/>
  <c r="X2528" i="11"/>
  <c r="X2284" i="11"/>
  <c r="X1710" i="11"/>
  <c r="X1562" i="11"/>
  <c r="X320" i="11"/>
  <c r="X529" i="11"/>
  <c r="X682" i="11"/>
  <c r="X3043" i="11"/>
  <c r="X1182" i="11"/>
  <c r="X213" i="11"/>
  <c r="X2076" i="11"/>
  <c r="X649" i="11"/>
  <c r="X3049" i="11"/>
  <c r="Y3048" i="11" s="1"/>
  <c r="X375" i="11"/>
  <c r="X151" i="11"/>
  <c r="X2028" i="11"/>
  <c r="X1669" i="11"/>
  <c r="X1937" i="11"/>
  <c r="Y1937" i="11" s="1"/>
  <c r="X1001" i="11"/>
  <c r="X2636" i="11"/>
  <c r="X2443" i="11"/>
  <c r="X1554" i="11"/>
  <c r="X1325" i="11"/>
  <c r="X815" i="11"/>
  <c r="X1052" i="11"/>
  <c r="X1051" i="11"/>
  <c r="X1161" i="11"/>
  <c r="X477" i="11"/>
  <c r="X1555" i="11"/>
  <c r="X391" i="11"/>
  <c r="X20" i="11"/>
  <c r="A2219" i="11"/>
  <c r="A2220" i="11" s="1"/>
  <c r="X122" i="11"/>
  <c r="X2987" i="11"/>
  <c r="X2695" i="11"/>
  <c r="X1174" i="11"/>
  <c r="X2408" i="11"/>
  <c r="X1280" i="11"/>
  <c r="X2905" i="11"/>
  <c r="X271" i="11"/>
  <c r="X2940" i="11"/>
  <c r="X1320" i="11"/>
  <c r="X34" i="11"/>
  <c r="X3273" i="11"/>
  <c r="Y3272" i="11" s="1"/>
  <c r="X1297" i="11"/>
  <c r="Y1297" i="11" s="1"/>
  <c r="X725" i="11"/>
  <c r="X2831" i="11"/>
  <c r="X441" i="11"/>
  <c r="X784" i="11"/>
  <c r="X1799" i="11"/>
  <c r="X87" i="11"/>
  <c r="X2490" i="11"/>
  <c r="X324" i="11"/>
  <c r="X1332" i="11"/>
  <c r="X2755" i="11"/>
  <c r="T409" i="11"/>
  <c r="X314" i="11"/>
  <c r="X1312" i="11"/>
  <c r="X1672" i="11"/>
  <c r="X1628" i="11"/>
  <c r="X2527" i="11"/>
  <c r="Y2527" i="11" s="1"/>
  <c r="X2214" i="11"/>
  <c r="X81" i="11"/>
  <c r="X3091" i="11"/>
  <c r="Y3091" i="11" s="1"/>
  <c r="X2908" i="11"/>
  <c r="X2923" i="11"/>
  <c r="X2416" i="11"/>
  <c r="X1756" i="11"/>
  <c r="X395" i="11"/>
  <c r="X1399" i="11"/>
  <c r="X918" i="11"/>
  <c r="X1313" i="11"/>
  <c r="X167" i="11"/>
  <c r="U1908" i="11"/>
  <c r="U2393" i="11"/>
  <c r="U3278" i="11"/>
  <c r="X1330" i="11"/>
  <c r="X836" i="11"/>
  <c r="X91" i="11"/>
  <c r="X1122" i="11"/>
  <c r="X2427" i="11"/>
  <c r="X3282" i="11"/>
  <c r="X2712" i="11"/>
  <c r="X1532" i="11"/>
  <c r="X2259" i="11"/>
  <c r="X2070" i="11"/>
  <c r="X1404" i="11"/>
  <c r="X1721" i="11"/>
  <c r="X656" i="11"/>
  <c r="X2880" i="11"/>
  <c r="X1275" i="11"/>
  <c r="U2765" i="11"/>
  <c r="U851" i="11"/>
  <c r="X1144" i="11"/>
  <c r="X438" i="11"/>
  <c r="X680" i="11"/>
  <c r="X1632" i="11"/>
  <c r="X2870" i="11"/>
  <c r="X2995" i="11"/>
  <c r="X178" i="11"/>
  <c r="X1140" i="11"/>
  <c r="X906" i="11"/>
  <c r="X2653" i="11"/>
  <c r="X3146" i="11"/>
  <c r="X613" i="11"/>
  <c r="X1482" i="11"/>
  <c r="X2643" i="11"/>
  <c r="X1422" i="11"/>
  <c r="X1115" i="11"/>
  <c r="X943" i="11"/>
  <c r="X1908" i="11"/>
  <c r="X1279" i="11"/>
  <c r="X1741" i="11"/>
  <c r="X2360" i="11"/>
  <c r="X1644" i="11"/>
  <c r="X2003" i="11"/>
  <c r="X3286" i="11"/>
  <c r="X2756" i="11"/>
  <c r="X1168" i="11"/>
  <c r="X354" i="11"/>
  <c r="X2703" i="11"/>
  <c r="X154" i="11"/>
  <c r="X1729" i="11"/>
  <c r="X1059" i="11"/>
  <c r="X1187" i="11"/>
  <c r="Y1186" i="11" s="1"/>
  <c r="X3225" i="11"/>
  <c r="X1046" i="11"/>
  <c r="X3317" i="11"/>
  <c r="X760" i="11"/>
  <c r="X2425" i="11"/>
  <c r="X1917" i="11"/>
  <c r="X1527" i="11"/>
  <c r="X1400" i="11"/>
  <c r="T2605" i="11"/>
  <c r="T1446" i="11"/>
  <c r="X2460" i="11"/>
  <c r="X2304" i="11"/>
  <c r="X2533" i="11"/>
  <c r="X2681" i="11"/>
  <c r="X3296" i="11"/>
  <c r="X1082" i="11"/>
  <c r="X1517" i="11"/>
  <c r="T1771" i="11"/>
  <c r="X1767" i="11"/>
  <c r="X1711" i="11"/>
  <c r="Y1710" i="11" s="1"/>
  <c r="X1207" i="11"/>
  <c r="X2023" i="11"/>
  <c r="N3224" i="11"/>
  <c r="X2520" i="11"/>
  <c r="X1659" i="11"/>
  <c r="X1324" i="11"/>
  <c r="Y1323" i="11" s="1"/>
  <c r="X2878" i="11"/>
  <c r="X427" i="11"/>
  <c r="X573" i="11"/>
  <c r="X2771" i="11"/>
  <c r="X787" i="11"/>
  <c r="X3261" i="11"/>
  <c r="U2214" i="11"/>
  <c r="U2320" i="11"/>
  <c r="T1445" i="11"/>
  <c r="X1354" i="11"/>
  <c r="X2775" i="11"/>
  <c r="X1253" i="11"/>
  <c r="X3311" i="11"/>
  <c r="X734" i="11"/>
  <c r="X1260" i="11"/>
  <c r="X2656" i="11"/>
  <c r="X769" i="11"/>
  <c r="X2731" i="11"/>
  <c r="X802" i="11"/>
  <c r="X1620" i="11"/>
  <c r="X2801" i="11"/>
  <c r="X1947" i="11"/>
  <c r="X180" i="11"/>
  <c r="X3026" i="11"/>
  <c r="X2778" i="11"/>
  <c r="X2633" i="11"/>
  <c r="X3239" i="11"/>
  <c r="X248" i="11"/>
  <c r="X2616" i="11"/>
  <c r="X1695" i="11"/>
  <c r="X1787" i="11"/>
  <c r="X1546" i="11"/>
  <c r="X2068" i="11"/>
  <c r="X1664" i="11"/>
  <c r="X1544" i="11"/>
  <c r="X199" i="11"/>
  <c r="X540" i="11"/>
  <c r="X1638" i="11"/>
  <c r="X2409" i="11"/>
  <c r="X1110" i="11"/>
  <c r="X1760" i="11"/>
  <c r="X428" i="11"/>
  <c r="U2738" i="11"/>
  <c r="U2673" i="11"/>
  <c r="T2852" i="11"/>
  <c r="T365" i="11"/>
  <c r="U2380" i="11"/>
  <c r="U2376" i="11" s="1"/>
  <c r="U370" i="11"/>
  <c r="U2296" i="11"/>
  <c r="U3152" i="11"/>
  <c r="U3229" i="11"/>
  <c r="T848" i="11"/>
  <c r="A3321" i="11"/>
  <c r="A3322" i="11" s="1"/>
  <c r="A3317" i="11"/>
  <c r="A3318" i="11" s="1"/>
  <c r="A3299" i="11"/>
  <c r="A3300" i="11" s="1"/>
  <c r="A3313" i="11"/>
  <c r="A3314" i="11" s="1"/>
  <c r="A3311" i="11"/>
  <c r="A3312" i="11" s="1"/>
  <c r="A3279" i="11"/>
  <c r="A3280" i="11" s="1"/>
  <c r="A3293" i="11"/>
  <c r="A3294" i="11" s="1"/>
  <c r="A3305" i="11"/>
  <c r="A3306" i="11" s="1"/>
  <c r="A3303" i="11"/>
  <c r="A3304" i="11" s="1"/>
  <c r="A3274" i="11"/>
  <c r="A3275" i="11" s="1"/>
  <c r="A3272" i="11"/>
  <c r="A3273" i="11" s="1"/>
  <c r="A3256" i="11"/>
  <c r="A3257" i="11" s="1"/>
  <c r="A3283" i="11"/>
  <c r="A3284" i="11" s="1"/>
  <c r="A3268" i="11"/>
  <c r="A3269" i="11" s="1"/>
  <c r="A3264" i="11"/>
  <c r="A3265" i="11" s="1"/>
  <c r="A3262" i="11"/>
  <c r="A3263" i="11" s="1"/>
  <c r="A3238" i="11"/>
  <c r="A3239" i="11" s="1"/>
  <c r="A3217" i="11"/>
  <c r="A3218" i="11" s="1"/>
  <c r="A3232" i="11"/>
  <c r="A3233" i="11" s="1"/>
  <c r="A3191" i="11"/>
  <c r="A3192" i="11" s="1"/>
  <c r="A3175" i="11"/>
  <c r="A3176" i="11" s="1"/>
  <c r="A3209" i="11"/>
  <c r="A3210" i="11" s="1"/>
  <c r="A3203" i="11"/>
  <c r="A3204" i="11" s="1"/>
  <c r="A3199" i="11"/>
  <c r="A3200" i="11" s="1"/>
  <c r="A3161" i="11"/>
  <c r="A3162" i="11" s="1"/>
  <c r="A3201" i="11"/>
  <c r="A3202" i="11" s="1"/>
  <c r="A3187" i="11"/>
  <c r="A3188" i="11" s="1"/>
  <c r="A3171" i="11"/>
  <c r="A3172" i="11" s="1"/>
  <c r="A3185" i="11"/>
  <c r="A3186" i="11" s="1"/>
  <c r="A3159" i="11"/>
  <c r="A3160" i="11" s="1"/>
  <c r="A3167" i="11"/>
  <c r="A3168" i="11" s="1"/>
  <c r="A3143" i="11"/>
  <c r="A3144" i="11" s="1"/>
  <c r="A3147" i="11"/>
  <c r="A3148" i="11" s="1"/>
  <c r="A3139" i="11"/>
  <c r="A3140" i="11" s="1"/>
  <c r="A3145" i="11"/>
  <c r="A3146" i="11" s="1"/>
  <c r="A3127" i="11"/>
  <c r="A3128" i="11" s="1"/>
  <c r="A3109" i="11"/>
  <c r="A3110" i="11" s="1"/>
  <c r="A3079" i="11"/>
  <c r="A3080" i="11" s="1"/>
  <c r="A3058" i="11"/>
  <c r="A3059" i="11" s="1"/>
  <c r="A3123" i="11"/>
  <c r="A3124" i="11" s="1"/>
  <c r="A3121" i="11"/>
  <c r="A3122" i="11" s="1"/>
  <c r="A3113" i="11"/>
  <c r="A3114" i="11" s="1"/>
  <c r="A3115" i="11"/>
  <c r="A3116" i="11" s="1"/>
  <c r="A3071" i="11"/>
  <c r="A3072" i="11" s="1"/>
  <c r="A3131" i="11"/>
  <c r="A3132" i="11" s="1"/>
  <c r="A3133" i="11"/>
  <c r="A3134" i="11" s="1"/>
  <c r="A3083" i="11"/>
  <c r="A3084" i="11" s="1"/>
  <c r="A3030" i="11"/>
  <c r="A3031" i="11" s="1"/>
  <c r="A3097" i="11"/>
  <c r="A3098" i="11" s="1"/>
  <c r="A3085" i="11"/>
  <c r="A3086" i="11" s="1"/>
  <c r="A3026" i="11"/>
  <c r="A3027" i="11" s="1"/>
  <c r="A3040" i="11"/>
  <c r="A3041" i="11" s="1"/>
  <c r="A3038" i="11"/>
  <c r="A3039" i="11" s="1"/>
  <c r="A3014" i="11"/>
  <c r="A3015" i="11" s="1"/>
  <c r="A2998" i="11"/>
  <c r="A2999" i="11" s="1"/>
  <c r="A3069" i="11"/>
  <c r="A3070" i="11" s="1"/>
  <c r="A3006" i="11"/>
  <c r="A3007" i="11" s="1"/>
  <c r="A3087" i="11"/>
  <c r="A3088" i="11" s="1"/>
  <c r="A3075" i="11"/>
  <c r="A3076" i="11" s="1"/>
  <c r="A3056" i="11"/>
  <c r="A3057" i="11" s="1"/>
  <c r="A2996" i="11"/>
  <c r="A2997" i="11" s="1"/>
  <c r="A2970" i="11"/>
  <c r="A2971" i="11" s="1"/>
  <c r="A2986" i="11"/>
  <c r="A2987" i="11" s="1"/>
  <c r="A2952" i="11"/>
  <c r="A2953" i="11" s="1"/>
  <c r="A2936" i="11"/>
  <c r="A2937" i="11" s="1"/>
  <c r="A3004" i="11"/>
  <c r="A3005" i="11" s="1"/>
  <c r="A2972" i="11"/>
  <c r="A2973" i="11" s="1"/>
  <c r="A3054" i="11"/>
  <c r="A3055" i="11" s="1"/>
  <c r="A3012" i="11"/>
  <c r="A3013" i="11" s="1"/>
  <c r="A2994" i="11"/>
  <c r="A2995" i="11" s="1"/>
  <c r="A2964" i="11"/>
  <c r="A2965" i="11" s="1"/>
  <c r="A2946" i="11"/>
  <c r="A2947" i="11" s="1"/>
  <c r="A3034" i="11"/>
  <c r="A3035" i="11" s="1"/>
  <c r="A2974" i="11"/>
  <c r="A2975" i="11" s="1"/>
  <c r="A2892" i="11"/>
  <c r="A2893" i="11" s="1"/>
  <c r="A2942" i="11"/>
  <c r="A2943" i="11" s="1"/>
  <c r="A2920" i="11"/>
  <c r="A2921" i="11" s="1"/>
  <c r="A2888" i="11"/>
  <c r="A2889" i="11" s="1"/>
  <c r="A2902" i="11"/>
  <c r="A2903" i="11" s="1"/>
  <c r="A2886" i="11"/>
  <c r="A2887" i="11" s="1"/>
  <c r="A2932" i="11"/>
  <c r="A2933" i="11" s="1"/>
  <c r="A2980" i="11"/>
  <c r="A2981" i="11" s="1"/>
  <c r="A2938" i="11"/>
  <c r="A2939" i="11" s="1"/>
  <c r="A2914" i="11"/>
  <c r="A2915" i="11" s="1"/>
  <c r="A2898" i="11"/>
  <c r="A2899" i="11" s="1"/>
  <c r="A2978" i="11"/>
  <c r="A2979" i="11" s="1"/>
  <c r="A3020" i="11"/>
  <c r="A3021" i="11" s="1"/>
  <c r="A2896" i="11"/>
  <c r="A2897" i="11" s="1"/>
  <c r="A2878" i="11"/>
  <c r="A2879" i="11" s="1"/>
  <c r="A2874" i="11"/>
  <c r="A2875" i="11" s="1"/>
  <c r="A2860" i="11"/>
  <c r="A2861" i="11" s="1"/>
  <c r="A2846" i="11"/>
  <c r="A2847" i="11" s="1"/>
  <c r="A2838" i="11"/>
  <c r="A2839" i="11" s="1"/>
  <c r="A2830" i="11"/>
  <c r="A2831" i="11" s="1"/>
  <c r="A2926" i="11"/>
  <c r="A2927" i="11" s="1"/>
  <c r="A2872" i="11"/>
  <c r="A2873" i="11" s="1"/>
  <c r="A2866" i="11"/>
  <c r="A2867" i="11" s="1"/>
  <c r="A2804" i="11"/>
  <c r="A2805" i="11" s="1"/>
  <c r="A2844" i="11"/>
  <c r="A2845" i="11" s="1"/>
  <c r="A2880" i="11"/>
  <c r="A2881" i="11" s="1"/>
  <c r="A2868" i="11"/>
  <c r="A2869" i="11" s="1"/>
  <c r="A2934" i="11"/>
  <c r="A2935" i="11" s="1"/>
  <c r="A2890" i="11"/>
  <c r="A2891" i="11" s="1"/>
  <c r="A2842" i="11"/>
  <c r="A2843" i="11" s="1"/>
  <c r="A2808" i="11"/>
  <c r="A2809" i="11" s="1"/>
  <c r="A2786" i="11"/>
  <c r="A2787" i="11" s="1"/>
  <c r="A2778" i="11"/>
  <c r="A2779" i="11" s="1"/>
  <c r="A2720" i="11"/>
  <c r="A2721" i="11" s="1"/>
  <c r="A2712" i="11"/>
  <c r="A2713" i="11" s="1"/>
  <c r="A2760" i="11"/>
  <c r="A2761" i="11" s="1"/>
  <c r="A2752" i="11"/>
  <c r="A2753" i="11" s="1"/>
  <c r="A2784" i="11"/>
  <c r="A2785" i="11" s="1"/>
  <c r="A2768" i="11"/>
  <c r="A2769" i="11" s="1"/>
  <c r="A2734" i="11"/>
  <c r="A2735" i="11" s="1"/>
  <c r="A2726" i="11"/>
  <c r="A2727" i="11" s="1"/>
  <c r="A2718" i="11"/>
  <c r="A2719" i="11" s="1"/>
  <c r="A2750" i="11"/>
  <c r="A2751" i="11" s="1"/>
  <c r="A2742" i="11"/>
  <c r="A2743" i="11" s="1"/>
  <c r="A2782" i="11"/>
  <c r="A2783" i="11" s="1"/>
  <c r="A2740" i="11"/>
  <c r="A2741" i="11" s="1"/>
  <c r="A2798" i="11"/>
  <c r="A2799" i="11" s="1"/>
  <c r="A2756" i="11"/>
  <c r="A2757" i="11" s="1"/>
  <c r="A2724" i="11"/>
  <c r="A2725" i="11" s="1"/>
  <c r="A2692" i="11"/>
  <c r="A2693" i="11" s="1"/>
  <c r="A2684" i="11"/>
  <c r="A2685" i="11" s="1"/>
  <c r="A2706" i="11"/>
  <c r="A2707" i="11" s="1"/>
  <c r="A2667" i="11"/>
  <c r="A2668" i="11" s="1"/>
  <c r="A2659" i="11"/>
  <c r="A2660" i="11" s="1"/>
  <c r="A2611" i="11"/>
  <c r="A2612" i="11" s="1"/>
  <c r="A2597" i="11"/>
  <c r="A2598" i="11" s="1"/>
  <c r="A2730" i="11"/>
  <c r="A2731" i="11" s="1"/>
  <c r="A2722" i="11"/>
  <c r="A2723" i="11" s="1"/>
  <c r="A2690" i="11"/>
  <c r="A2691" i="11" s="1"/>
  <c r="A2682" i="11"/>
  <c r="A2683" i="11" s="1"/>
  <c r="A2657" i="11"/>
  <c r="A2658" i="11" s="1"/>
  <c r="A2655" i="11"/>
  <c r="A2656" i="11" s="1"/>
  <c r="A2780" i="11"/>
  <c r="A2781" i="11" s="1"/>
  <c r="A2754" i="11"/>
  <c r="A2755" i="11" s="1"/>
  <c r="A2716" i="11"/>
  <c r="A2717" i="11" s="1"/>
  <c r="A2513" i="11"/>
  <c r="A2514" i="11" s="1"/>
  <c r="A2625" i="11"/>
  <c r="A2626" i="11" s="1"/>
  <c r="A2533" i="11"/>
  <c r="A2534" i="11" s="1"/>
  <c r="A2505" i="11"/>
  <c r="A2506" i="11" s="1"/>
  <c r="A2633" i="11"/>
  <c r="A2634" i="11" s="1"/>
  <c r="A2571" i="11"/>
  <c r="A2572" i="11" s="1"/>
  <c r="A2549" i="11"/>
  <c r="A2550" i="11" s="1"/>
  <c r="A2541" i="11"/>
  <c r="A2542" i="11" s="1"/>
  <c r="A2531" i="11"/>
  <c r="A2532" i="11" s="1"/>
  <c r="A2519" i="11"/>
  <c r="A2520" i="11" s="1"/>
  <c r="A2511" i="11"/>
  <c r="A2512" i="11" s="1"/>
  <c r="A2686" i="11"/>
  <c r="A2687" i="11" s="1"/>
  <c r="A2680" i="11"/>
  <c r="A2681" i="11" s="1"/>
  <c r="A2509" i="11"/>
  <c r="A2510" i="11" s="1"/>
  <c r="A2501" i="11"/>
  <c r="A2502" i="11" s="1"/>
  <c r="A2595" i="11"/>
  <c r="A2596" i="11" s="1"/>
  <c r="A2443" i="11"/>
  <c r="A2444" i="11" s="1"/>
  <c r="A2427" i="11"/>
  <c r="A2428" i="11" s="1"/>
  <c r="A2419" i="11"/>
  <c r="A2420" i="11" s="1"/>
  <c r="A2617" i="11"/>
  <c r="A2618" i="11" s="1"/>
  <c r="A2491" i="11"/>
  <c r="A2492" i="11" s="1"/>
  <c r="A2451" i="11"/>
  <c r="A2452" i="11" s="1"/>
  <c r="A2417" i="11"/>
  <c r="A2418" i="11" s="1"/>
  <c r="A2423" i="11"/>
  <c r="A2424" i="11" s="1"/>
  <c r="A2499" i="11"/>
  <c r="A2500" i="11" s="1"/>
  <c r="A2473" i="11"/>
  <c r="A2474" i="11" s="1"/>
  <c r="A2467" i="11"/>
  <c r="A2468" i="11" s="1"/>
  <c r="A2553" i="11"/>
  <c r="A2554" i="11" s="1"/>
  <c r="A2447" i="11"/>
  <c r="A2448" i="11" s="1"/>
  <c r="A2439" i="11"/>
  <c r="A2440" i="11" s="1"/>
  <c r="A2453" i="11"/>
  <c r="A2454" i="11" s="1"/>
  <c r="A2429" i="11"/>
  <c r="A2430" i="11" s="1"/>
  <c r="A2431" i="11"/>
  <c r="A2432" i="11" s="1"/>
  <c r="A2407" i="11"/>
  <c r="A2408" i="11" s="1"/>
  <c r="A2349" i="11"/>
  <c r="A2350" i="11" s="1"/>
  <c r="A2545" i="11"/>
  <c r="A2546" i="11" s="1"/>
  <c r="A2367" i="11"/>
  <c r="A2368" i="11" s="1"/>
  <c r="A2271" i="11"/>
  <c r="A2272" i="11" s="1"/>
  <c r="A2239" i="11"/>
  <c r="A2240" i="11" s="1"/>
  <c r="A2253" i="11"/>
  <c r="A2254" i="11" s="1"/>
  <c r="A2171" i="11"/>
  <c r="A2172" i="11" s="1"/>
  <c r="A2267" i="11"/>
  <c r="A2268" i="11" s="1"/>
  <c r="A2251" i="11"/>
  <c r="A2252" i="11" s="1"/>
  <c r="A2173" i="11"/>
  <c r="A2174" i="11" s="1"/>
  <c r="A2337" i="11"/>
  <c r="A2338" i="11" s="1"/>
  <c r="A2229" i="11"/>
  <c r="A2230" i="11" s="1"/>
  <c r="A2347" i="11"/>
  <c r="A2348" i="11" s="1"/>
  <c r="A2305" i="11"/>
  <c r="A2306" i="11" s="1"/>
  <c r="A2301" i="11"/>
  <c r="A2302" i="11" s="1"/>
  <c r="A2263" i="11"/>
  <c r="A2264" i="11" s="1"/>
  <c r="A2247" i="11"/>
  <c r="A2248" i="11" s="1"/>
  <c r="A2231" i="11"/>
  <c r="A2232" i="11" s="1"/>
  <c r="A2177" i="11"/>
  <c r="A2178" i="11" s="1"/>
  <c r="A2351" i="11"/>
  <c r="A2352" i="11" s="1"/>
  <c r="A2324" i="11"/>
  <c r="A2325" i="11" s="1"/>
  <c r="A2317" i="11"/>
  <c r="A2318" i="11" s="1"/>
  <c r="A2341" i="11"/>
  <c r="A2342" i="11" s="1"/>
  <c r="A2233" i="11"/>
  <c r="A2234" i="11" s="1"/>
  <c r="A2181" i="11"/>
  <c r="A2182" i="11" s="1"/>
  <c r="A2161" i="11"/>
  <c r="A2162" i="11" s="1"/>
  <c r="A2118" i="11"/>
  <c r="A2119" i="11" s="1"/>
  <c r="A2102" i="11"/>
  <c r="A2103" i="11" s="1"/>
  <c r="A2078" i="11"/>
  <c r="A2079" i="11" s="1"/>
  <c r="A2062" i="11"/>
  <c r="A2063" i="11" s="1"/>
  <c r="A2046" i="11"/>
  <c r="A2047" i="11" s="1"/>
  <c r="V2380" i="11"/>
  <c r="A2245" i="11"/>
  <c r="A2246" i="11" s="1"/>
  <c r="A2151" i="11"/>
  <c r="A2152" i="11" s="1"/>
  <c r="A2129" i="11"/>
  <c r="A2130" i="11" s="1"/>
  <c r="A2104" i="11"/>
  <c r="A2105" i="11" s="1"/>
  <c r="A2088" i="11"/>
  <c r="A2089" i="11" s="1"/>
  <c r="A2179" i="11"/>
  <c r="A2180" i="11" s="1"/>
  <c r="A2131" i="11"/>
  <c r="A2132" i="11" s="1"/>
  <c r="A2122" i="11"/>
  <c r="A2123" i="11" s="1"/>
  <c r="A2201" i="11"/>
  <c r="A2202" i="11" s="1"/>
  <c r="A2159" i="11"/>
  <c r="A2160" i="11" s="1"/>
  <c r="A2124" i="11"/>
  <c r="A2125" i="11" s="1"/>
  <c r="A2108" i="11"/>
  <c r="A2109" i="11" s="1"/>
  <c r="A2092" i="11"/>
  <c r="A2093" i="11" s="1"/>
  <c r="A2315" i="11"/>
  <c r="A2316" i="11" s="1"/>
  <c r="A2277" i="11"/>
  <c r="A2278" i="11" s="1"/>
  <c r="A2167" i="11"/>
  <c r="A2168" i="11" s="1"/>
  <c r="A2110" i="11"/>
  <c r="A2111" i="11" s="1"/>
  <c r="A2094" i="11"/>
  <c r="A2095" i="11" s="1"/>
  <c r="A2070" i="11"/>
  <c r="A2071" i="11" s="1"/>
  <c r="A2259" i="11"/>
  <c r="A2260" i="11" s="1"/>
  <c r="A2197" i="11"/>
  <c r="A2198" i="11" s="1"/>
  <c r="A2139" i="11"/>
  <c r="A2140" i="11" s="1"/>
  <c r="A2114" i="11"/>
  <c r="A2115" i="11" s="1"/>
  <c r="A2098" i="11"/>
  <c r="A2099" i="11" s="1"/>
  <c r="A2275" i="11"/>
  <c r="A2276" i="11" s="1"/>
  <c r="A2042" i="11"/>
  <c r="A2043" i="11" s="1"/>
  <c r="A2036" i="11"/>
  <c r="A2037" i="11" s="1"/>
  <c r="A2014" i="11"/>
  <c r="A2015" i="11" s="1"/>
  <c r="A2000" i="11"/>
  <c r="A2001" i="11" s="1"/>
  <c r="A1949" i="11"/>
  <c r="A1950" i="11" s="1"/>
  <c r="A2221" i="11"/>
  <c r="A2222" i="11" s="1"/>
  <c r="A2064" i="11"/>
  <c r="A2065" i="11" s="1"/>
  <c r="A2060" i="11"/>
  <c r="A2061" i="11" s="1"/>
  <c r="A2054" i="11"/>
  <c r="A2055" i="11" s="1"/>
  <c r="A1981" i="11"/>
  <c r="A1982" i="11" s="1"/>
  <c r="A1947" i="11"/>
  <c r="A1948" i="11" s="1"/>
  <c r="A2199" i="11"/>
  <c r="A2200" i="11" s="1"/>
  <c r="A2100" i="11"/>
  <c r="A2101" i="11" s="1"/>
  <c r="A1945" i="11"/>
  <c r="A1946" i="11" s="1"/>
  <c r="A1913" i="11"/>
  <c r="A1914" i="11" s="1"/>
  <c r="A2010" i="11"/>
  <c r="A2011" i="11" s="1"/>
  <c r="A1943" i="11"/>
  <c r="A1944" i="11" s="1"/>
  <c r="A2243" i="11"/>
  <c r="A2244" i="11" s="1"/>
  <c r="A2022" i="11"/>
  <c r="A2023" i="11" s="1"/>
  <c r="A1957" i="11"/>
  <c r="A1958" i="11" s="1"/>
  <c r="A2141" i="11"/>
  <c r="A2142" i="11" s="1"/>
  <c r="A2034" i="11"/>
  <c r="A2035" i="11" s="1"/>
  <c r="A2163" i="11"/>
  <c r="A2164" i="11" s="1"/>
  <c r="A2068" i="11"/>
  <c r="A2069" i="11" s="1"/>
  <c r="A2018" i="11"/>
  <c r="A2019" i="11" s="1"/>
  <c r="A2004" i="11"/>
  <c r="A2005" i="11" s="1"/>
  <c r="A1987" i="11"/>
  <c r="A1988" i="11" s="1"/>
  <c r="A1971" i="11"/>
  <c r="A1972" i="11" s="1"/>
  <c r="A1969" i="11"/>
  <c r="A1970" i="11" s="1"/>
  <c r="A1953" i="11"/>
  <c r="A1954" i="11" s="1"/>
  <c r="A1937" i="11"/>
  <c r="A1938" i="11" s="1"/>
  <c r="A1921" i="11"/>
  <c r="A1922" i="11" s="1"/>
  <c r="A2056" i="11"/>
  <c r="A2057" i="11" s="1"/>
  <c r="A1832" i="11"/>
  <c r="A1833" i="11" s="1"/>
  <c r="A2016" i="11"/>
  <c r="A2017" i="11" s="1"/>
  <c r="A1951" i="11"/>
  <c r="A1952" i="11" s="1"/>
  <c r="A1890" i="11"/>
  <c r="A1891" i="11" s="1"/>
  <c r="A1855" i="11"/>
  <c r="A1856" i="11" s="1"/>
  <c r="A1851" i="11"/>
  <c r="A1852" i="11" s="1"/>
  <c r="A2183" i="11"/>
  <c r="A2184" i="11" s="1"/>
  <c r="A1866" i="11"/>
  <c r="A1867" i="11" s="1"/>
  <c r="A1857" i="11"/>
  <c r="A1858" i="11" s="1"/>
  <c r="A1853" i="11"/>
  <c r="A1854" i="11" s="1"/>
  <c r="A1849" i="11"/>
  <c r="A1850" i="11" s="1"/>
  <c r="A1836" i="11"/>
  <c r="A1837" i="11" s="1"/>
  <c r="A1822" i="11"/>
  <c r="A1823" i="11" s="1"/>
  <c r="A1985" i="11"/>
  <c r="A1986" i="11" s="1"/>
  <c r="A1919" i="11"/>
  <c r="A1920" i="11" s="1"/>
  <c r="A1868" i="11"/>
  <c r="A1869" i="11" s="1"/>
  <c r="A1838" i="11"/>
  <c r="A1839" i="11" s="1"/>
  <c r="A1824" i="11"/>
  <c r="A1825" i="11" s="1"/>
  <c r="A1896" i="11"/>
  <c r="A1897" i="11" s="1"/>
  <c r="A1870" i="11"/>
  <c r="A1871" i="11" s="1"/>
  <c r="A1812" i="11"/>
  <c r="A1813" i="11" s="1"/>
  <c r="A1808" i="11"/>
  <c r="A1809" i="11" s="1"/>
  <c r="A1925" i="11"/>
  <c r="A1926" i="11" s="1"/>
  <c r="A1874" i="11"/>
  <c r="A1875" i="11" s="1"/>
  <c r="A1830" i="11"/>
  <c r="A1831" i="11" s="1"/>
  <c r="A1694" i="11"/>
  <c r="A1695" i="11" s="1"/>
  <c r="A1690" i="11"/>
  <c r="A1691" i="11" s="1"/>
  <c r="A1810" i="11"/>
  <c r="A1811" i="11" s="1"/>
  <c r="A1748" i="11"/>
  <c r="A1749" i="11" s="1"/>
  <c r="A1740" i="11"/>
  <c r="A1741" i="11" s="1"/>
  <c r="A1724" i="11"/>
  <c r="A1725" i="11" s="1"/>
  <c r="A1716" i="11"/>
  <c r="A1717" i="11" s="1"/>
  <c r="A1708" i="11"/>
  <c r="A1709" i="11" s="1"/>
  <c r="A1762" i="11"/>
  <c r="A1763" i="11" s="1"/>
  <c r="A1738" i="11"/>
  <c r="A1739" i="11" s="1"/>
  <c r="A1722" i="11"/>
  <c r="A1723" i="11" s="1"/>
  <c r="A2002" i="11"/>
  <c r="A2003" i="11" s="1"/>
  <c r="A1915" i="11"/>
  <c r="A1916" i="11" s="1"/>
  <c r="A1816" i="11"/>
  <c r="A1817" i="11" s="1"/>
  <c r="A1801" i="11"/>
  <c r="A1802" i="11" s="1"/>
  <c r="A1783" i="11"/>
  <c r="A1784" i="11" s="1"/>
  <c r="A1756" i="11"/>
  <c r="A1757" i="11" s="1"/>
  <c r="A1692" i="11"/>
  <c r="A1693" i="11" s="1"/>
  <c r="A1680" i="11"/>
  <c r="A1681" i="11" s="1"/>
  <c r="A1826" i="11"/>
  <c r="A1827" i="11" s="1"/>
  <c r="A1814" i="11"/>
  <c r="A1815" i="11" s="1"/>
  <c r="A1752" i="11"/>
  <c r="A1753" i="11" s="1"/>
  <c r="A1744" i="11"/>
  <c r="A1745" i="11" s="1"/>
  <c r="A1736" i="11"/>
  <c r="A1737" i="11" s="1"/>
  <c r="A1728" i="11"/>
  <c r="A1729" i="11" s="1"/>
  <c r="A1720" i="11"/>
  <c r="A1721" i="11" s="1"/>
  <c r="A1704" i="11"/>
  <c r="A1705" i="11" s="1"/>
  <c r="A1603" i="11"/>
  <c r="A1604" i="11" s="1"/>
  <c r="A1886" i="11"/>
  <c r="A1887" i="11" s="1"/>
  <c r="A1787" i="11"/>
  <c r="A1788" i="11" s="1"/>
  <c r="A1764" i="11"/>
  <c r="A1765" i="11" s="1"/>
  <c r="A1686" i="11"/>
  <c r="A1687" i="11" s="1"/>
  <c r="A1678" i="11"/>
  <c r="A1679" i="11" s="1"/>
  <c r="A1662" i="11"/>
  <c r="A1663" i="11" s="1"/>
  <c r="A1654" i="11"/>
  <c r="A1655" i="11" s="1"/>
  <c r="A1646" i="11"/>
  <c r="A1647" i="11" s="1"/>
  <c r="A1611" i="11"/>
  <c r="A1612" i="11" s="1"/>
  <c r="A1674" i="11"/>
  <c r="A1675" i="11" s="1"/>
  <c r="A1672" i="11"/>
  <c r="A1673" i="11" s="1"/>
  <c r="A1640" i="11"/>
  <c r="A1641" i="11" s="1"/>
  <c r="A1613" i="11"/>
  <c r="A1614" i="11" s="1"/>
  <c r="A1514" i="11"/>
  <c r="A1515" i="11" s="1"/>
  <c r="A1642" i="11"/>
  <c r="A1643" i="11" s="1"/>
  <c r="A1607" i="11"/>
  <c r="A1608" i="11" s="1"/>
  <c r="A1593" i="11"/>
  <c r="A1594" i="11" s="1"/>
  <c r="A1577" i="11"/>
  <c r="A1578" i="11" s="1"/>
  <c r="A1553" i="11"/>
  <c r="A1554" i="11" s="1"/>
  <c r="A1496" i="11"/>
  <c r="A1497" i="11" s="1"/>
  <c r="A1682" i="11"/>
  <c r="A1683" i="11" s="1"/>
  <c r="A1526" i="11"/>
  <c r="A1527" i="11" s="1"/>
  <c r="A1510" i="11"/>
  <c r="A1511" i="11" s="1"/>
  <c r="A1494" i="11"/>
  <c r="A1495" i="11" s="1"/>
  <c r="A1478" i="11"/>
  <c r="A1479" i="11" s="1"/>
  <c r="A1718" i="11"/>
  <c r="A1719" i="11" s="1"/>
  <c r="A1666" i="11"/>
  <c r="A1667" i="11" s="1"/>
  <c r="A1634" i="11"/>
  <c r="A1635" i="11" s="1"/>
  <c r="A1609" i="11"/>
  <c r="A1610" i="11" s="1"/>
  <c r="A1599" i="11"/>
  <c r="A1600" i="11" s="1"/>
  <c r="A1591" i="11"/>
  <c r="A1592" i="11" s="1"/>
  <c r="A1575" i="11"/>
  <c r="A1576" i="11" s="1"/>
  <c r="A1551" i="11"/>
  <c r="A1552" i="11" s="1"/>
  <c r="A1779" i="11"/>
  <c r="A1780" i="11" s="1"/>
  <c r="A1742" i="11"/>
  <c r="A1743" i="11" s="1"/>
  <c r="A1656" i="11"/>
  <c r="A1657" i="11" s="1"/>
  <c r="A1474" i="11"/>
  <c r="A1475" i="11" s="1"/>
  <c r="A1702" i="11"/>
  <c r="A1703" i="11" s="1"/>
  <c r="A1658" i="11"/>
  <c r="A1659" i="11" s="1"/>
  <c r="A1589" i="11"/>
  <c r="A1590" i="11" s="1"/>
  <c r="A1565" i="11"/>
  <c r="A1566" i="11" s="1"/>
  <c r="A1557" i="11"/>
  <c r="A1558" i="11" s="1"/>
  <c r="A1456" i="11"/>
  <c r="A1457" i="11" s="1"/>
  <c r="A1400" i="11"/>
  <c r="A1401" i="11" s="1"/>
  <c r="A1376" i="11"/>
  <c r="A1377" i="11" s="1"/>
  <c r="A1726" i="11"/>
  <c r="A1727" i="11" s="1"/>
  <c r="A1623" i="11"/>
  <c r="A1624" i="11" s="1"/>
  <c r="A1547" i="11"/>
  <c r="A1548" i="11" s="1"/>
  <c r="A1539" i="11"/>
  <c r="A1540" i="11" s="1"/>
  <c r="A1502" i="11"/>
  <c r="A1503" i="11" s="1"/>
  <c r="A1486" i="11"/>
  <c r="A1487" i="11" s="1"/>
  <c r="A1470" i="11"/>
  <c r="A1471" i="11" s="1"/>
  <c r="A1454" i="11"/>
  <c r="A1455" i="11" s="1"/>
  <c r="A1374" i="11"/>
  <c r="A1375" i="11" s="1"/>
  <c r="A1353" i="11"/>
  <c r="A1354" i="11" s="1"/>
  <c r="A1621" i="11"/>
  <c r="A1622" i="11" s="1"/>
  <c r="A1579" i="11"/>
  <c r="A1580" i="11" s="1"/>
  <c r="A1571" i="11"/>
  <c r="A1572" i="11" s="1"/>
  <c r="A1436" i="11"/>
  <c r="A1437" i="11" s="1"/>
  <c r="A1410" i="11"/>
  <c r="A1411" i="11" s="1"/>
  <c r="A1404" i="11"/>
  <c r="A1405" i="11" s="1"/>
  <c r="A1394" i="11"/>
  <c r="A1395" i="11" s="1"/>
  <c r="A1388" i="11"/>
  <c r="A1389" i="11" s="1"/>
  <c r="A1372" i="11"/>
  <c r="A1373" i="11" s="1"/>
  <c r="A1347" i="11"/>
  <c r="A1348" i="11" s="1"/>
  <c r="A1301" i="11"/>
  <c r="A1302" i="11" s="1"/>
  <c r="A1464" i="11"/>
  <c r="A1465" i="11" s="1"/>
  <c r="A1327" i="11"/>
  <c r="A1328" i="11" s="1"/>
  <c r="A1430" i="11"/>
  <c r="A1431" i="11" s="1"/>
  <c r="A1382" i="11"/>
  <c r="A1383" i="11" s="1"/>
  <c r="A1366" i="11"/>
  <c r="A1367" i="11" s="1"/>
  <c r="A1275" i="11"/>
  <c r="A1276" i="11" s="1"/>
  <c r="A1251" i="11"/>
  <c r="A1252" i="11" s="1"/>
  <c r="A1337" i="11"/>
  <c r="A1338" i="11" s="1"/>
  <c r="A1434" i="11"/>
  <c r="A1435" i="11" s="1"/>
  <c r="A1412" i="11"/>
  <c r="A1413" i="11" s="1"/>
  <c r="A1396" i="11"/>
  <c r="A1397" i="11" s="1"/>
  <c r="A1508" i="11"/>
  <c r="A1509" i="11" s="1"/>
  <c r="A1460" i="11"/>
  <c r="A1461" i="11" s="1"/>
  <c r="A1422" i="11"/>
  <c r="A1423" i="11" s="1"/>
  <c r="A1390" i="11"/>
  <c r="A1391" i="11" s="1"/>
  <c r="A1319" i="11"/>
  <c r="A1320" i="11" s="1"/>
  <c r="A1271" i="11"/>
  <c r="A1272" i="11" s="1"/>
  <c r="A1207" i="11"/>
  <c r="A1208" i="11" s="1"/>
  <c r="A1349" i="11"/>
  <c r="A1350" i="11" s="1"/>
  <c r="A1321" i="11"/>
  <c r="A1322" i="11" s="1"/>
  <c r="A1269" i="11"/>
  <c r="A1270" i="11" s="1"/>
  <c r="A1273" i="11"/>
  <c r="A1274" i="11" s="1"/>
  <c r="A1249" i="11"/>
  <c r="A1250" i="11" s="1"/>
  <c r="A1180" i="11"/>
  <c r="A1181" i="11" s="1"/>
  <c r="A1313" i="11"/>
  <c r="A1314" i="11" s="1"/>
  <c r="A1233" i="11"/>
  <c r="A1234" i="11" s="1"/>
  <c r="A1225" i="11"/>
  <c r="A1226" i="11" s="1"/>
  <c r="A1148" i="11"/>
  <c r="A1149" i="11" s="1"/>
  <c r="A1132" i="11"/>
  <c r="A1133" i="11" s="1"/>
  <c r="A1117" i="11"/>
  <c r="A1118" i="11" s="1"/>
  <c r="A1074" i="11"/>
  <c r="A1075" i="11" s="1"/>
  <c r="A1050" i="11"/>
  <c r="A1051" i="11" s="1"/>
  <c r="A951" i="11"/>
  <c r="A952" i="11" s="1"/>
  <c r="A943" i="11"/>
  <c r="A944" i="11" s="1"/>
  <c r="A1289" i="11"/>
  <c r="A1290" i="11" s="1"/>
  <c r="A1188" i="11"/>
  <c r="A1189" i="11" s="1"/>
  <c r="A1186" i="11"/>
  <c r="A1187" i="11" s="1"/>
  <c r="A1082" i="11"/>
  <c r="A1083" i="11" s="1"/>
  <c r="A1048" i="11"/>
  <c r="A1049" i="11" s="1"/>
  <c r="A1030" i="11"/>
  <c r="A1031" i="11" s="1"/>
  <c r="A983" i="11"/>
  <c r="A984" i="11" s="1"/>
  <c r="A1329" i="11"/>
  <c r="A1330" i="11" s="1"/>
  <c r="A1243" i="11"/>
  <c r="A1244" i="11" s="1"/>
  <c r="A1235" i="11"/>
  <c r="A1236" i="11" s="1"/>
  <c r="A1190" i="11"/>
  <c r="A1191" i="11" s="1"/>
  <c r="A1178" i="11"/>
  <c r="A1179" i="11" s="1"/>
  <c r="A1154" i="11"/>
  <c r="A1155" i="11" s="1"/>
  <c r="A1138" i="11"/>
  <c r="A1139" i="11" s="1"/>
  <c r="A1107" i="11"/>
  <c r="A1108" i="11" s="1"/>
  <c r="A1040" i="11"/>
  <c r="A1041" i="11" s="1"/>
  <c r="A965" i="11"/>
  <c r="A966" i="11" s="1"/>
  <c r="A957" i="11"/>
  <c r="A958" i="11" s="1"/>
  <c r="A949" i="11"/>
  <c r="A950" i="11" s="1"/>
  <c r="A1370" i="11"/>
  <c r="A1371" i="11" s="1"/>
  <c r="A1080" i="11"/>
  <c r="A1081" i="11" s="1"/>
  <c r="A1072" i="11"/>
  <c r="A1073" i="11" s="1"/>
  <c r="A1064" i="11"/>
  <c r="A1065" i="11" s="1"/>
  <c r="A1317" i="11"/>
  <c r="A1318" i="11" s="1"/>
  <c r="A1237" i="11"/>
  <c r="A1238" i="11" s="1"/>
  <c r="A1184" i="11"/>
  <c r="A1185" i="11" s="1"/>
  <c r="A1152" i="11"/>
  <c r="A1153" i="11" s="1"/>
  <c r="A1113" i="11"/>
  <c r="A1114" i="11" s="1"/>
  <c r="A1046" i="11"/>
  <c r="A1047" i="11" s="1"/>
  <c r="A1468" i="11"/>
  <c r="A1469" i="11" s="1"/>
  <c r="A1257" i="11"/>
  <c r="A1258" i="11" s="1"/>
  <c r="A1229" i="11"/>
  <c r="A1230" i="11" s="1"/>
  <c r="A1203" i="11"/>
  <c r="A1204" i="11" s="1"/>
  <c r="A1315" i="11"/>
  <c r="A1316" i="11" s="1"/>
  <c r="A1297" i="11"/>
  <c r="A1298" i="11" s="1"/>
  <c r="A1227" i="11"/>
  <c r="A1228" i="11" s="1"/>
  <c r="A1213" i="11"/>
  <c r="A1214" i="11" s="1"/>
  <c r="A1182" i="11"/>
  <c r="A1183" i="11" s="1"/>
  <c r="A1174" i="11"/>
  <c r="A1175" i="11" s="1"/>
  <c r="A1119" i="11"/>
  <c r="A1120" i="11" s="1"/>
  <c r="A1070" i="11"/>
  <c r="A1071" i="11" s="1"/>
  <c r="A989" i="11"/>
  <c r="A990" i="11" s="1"/>
  <c r="A928" i="11"/>
  <c r="A929" i="11" s="1"/>
  <c r="A813" i="11"/>
  <c r="A814" i="11" s="1"/>
  <c r="A981" i="11"/>
  <c r="A982" i="11" s="1"/>
  <c r="A938" i="11"/>
  <c r="A939" i="11" s="1"/>
  <c r="A932" i="11"/>
  <c r="A933" i="11" s="1"/>
  <c r="A773" i="11"/>
  <c r="A774" i="11" s="1"/>
  <c r="A765" i="11"/>
  <c r="A766" i="11" s="1"/>
  <c r="A749" i="11"/>
  <c r="A750" i="11" s="1"/>
  <c r="A733" i="11"/>
  <c r="A734" i="11" s="1"/>
  <c r="A709" i="11"/>
  <c r="A710" i="11" s="1"/>
  <c r="A926" i="11"/>
  <c r="A927" i="11" s="1"/>
  <c r="A811" i="11"/>
  <c r="A812" i="11" s="1"/>
  <c r="A803" i="11"/>
  <c r="A804" i="11" s="1"/>
  <c r="A787" i="11"/>
  <c r="A788" i="11" s="1"/>
  <c r="A1007" i="11"/>
  <c r="A1008" i="11" s="1"/>
  <c r="A985" i="11"/>
  <c r="A986" i="11" s="1"/>
  <c r="A961" i="11"/>
  <c r="A962" i="11" s="1"/>
  <c r="A953" i="11"/>
  <c r="A954" i="11" s="1"/>
  <c r="A945" i="11"/>
  <c r="A946" i="11" s="1"/>
  <c r="A771" i="11"/>
  <c r="A772" i="11" s="1"/>
  <c r="A755" i="11"/>
  <c r="A756" i="11" s="1"/>
  <c r="A739" i="11"/>
  <c r="A740" i="11" s="1"/>
  <c r="A723" i="11"/>
  <c r="A724" i="11" s="1"/>
  <c r="A715" i="11"/>
  <c r="A716" i="11" s="1"/>
  <c r="A987" i="11"/>
  <c r="A988" i="11" s="1"/>
  <c r="A975" i="11"/>
  <c r="A976" i="11" s="1"/>
  <c r="A936" i="11"/>
  <c r="A937" i="11" s="1"/>
  <c r="A825" i="11"/>
  <c r="A826" i="11" s="1"/>
  <c r="A817" i="11"/>
  <c r="A818" i="11" s="1"/>
  <c r="A809" i="11"/>
  <c r="A810" i="11" s="1"/>
  <c r="A801" i="11"/>
  <c r="A802" i="11" s="1"/>
  <c r="A793" i="11"/>
  <c r="A794" i="11" s="1"/>
  <c r="A785" i="11"/>
  <c r="A786" i="11" s="1"/>
  <c r="A700" i="11"/>
  <c r="A701" i="11" s="1"/>
  <c r="A692" i="11"/>
  <c r="A693" i="11" s="1"/>
  <c r="A641" i="11"/>
  <c r="A642" i="11" s="1"/>
  <c r="A1001" i="11"/>
  <c r="A1002" i="11" s="1"/>
  <c r="A977" i="11"/>
  <c r="A978" i="11" s="1"/>
  <c r="A955" i="11"/>
  <c r="A956" i="11" s="1"/>
  <c r="A930" i="11"/>
  <c r="A931" i="11" s="1"/>
  <c r="A833" i="11"/>
  <c r="A834" i="11" s="1"/>
  <c r="A769" i="11"/>
  <c r="A770" i="11" s="1"/>
  <c r="A753" i="11"/>
  <c r="A754" i="11" s="1"/>
  <c r="A1015" i="11"/>
  <c r="A1016" i="11" s="1"/>
  <c r="A1009" i="11"/>
  <c r="A1010" i="11" s="1"/>
  <c r="A979" i="11"/>
  <c r="A980" i="11" s="1"/>
  <c r="A934" i="11"/>
  <c r="A935" i="11" s="1"/>
  <c r="A823" i="11"/>
  <c r="A824" i="11" s="1"/>
  <c r="A799" i="11"/>
  <c r="A800" i="11" s="1"/>
  <c r="A690" i="11"/>
  <c r="A691" i="11" s="1"/>
  <c r="A674" i="11"/>
  <c r="A675" i="11" s="1"/>
  <c r="A759" i="11"/>
  <c r="A760" i="11" s="1"/>
  <c r="A668" i="11"/>
  <c r="A669" i="11" s="1"/>
  <c r="A633" i="11"/>
  <c r="A634" i="11" s="1"/>
  <c r="A621" i="11"/>
  <c r="A622" i="11" s="1"/>
  <c r="A581" i="11"/>
  <c r="A582" i="11" s="1"/>
  <c r="A557" i="11"/>
  <c r="A558" i="11" s="1"/>
  <c r="A510" i="11"/>
  <c r="A511" i="11" s="1"/>
  <c r="A422" i="11"/>
  <c r="A423" i="11" s="1"/>
  <c r="A767" i="11"/>
  <c r="A768" i="11" s="1"/>
  <c r="A670" i="11"/>
  <c r="A671" i="11" s="1"/>
  <c r="A643" i="11"/>
  <c r="A644" i="11" s="1"/>
  <c r="A635" i="11"/>
  <c r="A636" i="11" s="1"/>
  <c r="A1078" i="11"/>
  <c r="A1079" i="11" s="1"/>
  <c r="A775" i="11"/>
  <c r="A776" i="11" s="1"/>
  <c r="A660" i="11"/>
  <c r="A661" i="11" s="1"/>
  <c r="A619" i="11"/>
  <c r="A620" i="11" s="1"/>
  <c r="A611" i="11"/>
  <c r="A612" i="11" s="1"/>
  <c r="A587" i="11"/>
  <c r="A588" i="11" s="1"/>
  <c r="A563" i="11"/>
  <c r="A564" i="11" s="1"/>
  <c r="A555" i="11"/>
  <c r="A556" i="11" s="1"/>
  <c r="A547" i="11"/>
  <c r="A548" i="11" s="1"/>
  <c r="A508" i="11"/>
  <c r="A509" i="11" s="1"/>
  <c r="A839" i="11"/>
  <c r="A840" i="11" s="1"/>
  <c r="A524" i="11"/>
  <c r="A525" i="11" s="1"/>
  <c r="A831" i="11"/>
  <c r="A832" i="11" s="1"/>
  <c r="A751" i="11"/>
  <c r="A752" i="11" s="1"/>
  <c r="A719" i="11"/>
  <c r="A720" i="11" s="1"/>
  <c r="A629" i="11"/>
  <c r="A630" i="11" s="1"/>
  <c r="A591" i="11"/>
  <c r="A592" i="11" s="1"/>
  <c r="A583" i="11"/>
  <c r="A584" i="11" s="1"/>
  <c r="A567" i="11"/>
  <c r="A568" i="11" s="1"/>
  <c r="A559" i="11"/>
  <c r="A560" i="11" s="1"/>
  <c r="A504" i="11"/>
  <c r="A505" i="11" s="1"/>
  <c r="A711" i="11"/>
  <c r="A712" i="11" s="1"/>
  <c r="A658" i="11"/>
  <c r="A659" i="11" s="1"/>
  <c r="A528" i="11"/>
  <c r="A529" i="11" s="1"/>
  <c r="A520" i="11"/>
  <c r="A521" i="11" s="1"/>
  <c r="A352" i="11"/>
  <c r="A353" i="11" s="1"/>
  <c r="A344" i="11"/>
  <c r="A345" i="11" s="1"/>
  <c r="A336" i="11"/>
  <c r="A337" i="11" s="1"/>
  <c r="A210" i="11"/>
  <c r="A211" i="11" s="1"/>
  <c r="A593" i="11"/>
  <c r="A594" i="11" s="1"/>
  <c r="A569" i="11"/>
  <c r="A570" i="11" s="1"/>
  <c r="A514" i="11"/>
  <c r="A515" i="11" s="1"/>
  <c r="A492" i="11"/>
  <c r="A493" i="11" s="1"/>
  <c r="A484" i="11"/>
  <c r="A485" i="11" s="1"/>
  <c r="A476" i="11"/>
  <c r="A477" i="11" s="1"/>
  <c r="A460" i="11"/>
  <c r="A461" i="11" s="1"/>
  <c r="A436" i="11"/>
  <c r="A437" i="11" s="1"/>
  <c r="A428" i="11"/>
  <c r="A429" i="11" s="1"/>
  <c r="A384" i="11"/>
  <c r="A385" i="11" s="1"/>
  <c r="A304" i="11"/>
  <c r="A305" i="11" s="1"/>
  <c r="A264" i="11"/>
  <c r="A256" i="11"/>
  <c r="A248" i="11"/>
  <c r="A240" i="11"/>
  <c r="A649" i="11"/>
  <c r="A650" i="11" s="1"/>
  <c r="A601" i="11"/>
  <c r="A602" i="11" s="1"/>
  <c r="A474" i="11"/>
  <c r="A475" i="11" s="1"/>
  <c r="A466" i="11"/>
  <c r="A467" i="11" s="1"/>
  <c r="A458" i="11"/>
  <c r="A459" i="11" s="1"/>
  <c r="A450" i="11"/>
  <c r="A451" i="11" s="1"/>
  <c r="A358" i="11"/>
  <c r="A359" i="11" s="1"/>
  <c r="A350" i="11"/>
  <c r="A351" i="11" s="1"/>
  <c r="A334" i="11"/>
  <c r="A335" i="11" s="1"/>
  <c r="A269" i="11"/>
  <c r="A216" i="11"/>
  <c r="A217" i="11" s="1"/>
  <c r="A208" i="11"/>
  <c r="A209" i="11" s="1"/>
  <c r="A192" i="11"/>
  <c r="A193" i="11" s="1"/>
  <c r="A672" i="11"/>
  <c r="A673" i="11" s="1"/>
  <c r="A666" i="11"/>
  <c r="A667" i="11" s="1"/>
  <c r="A609" i="11"/>
  <c r="A610" i="11" s="1"/>
  <c r="A386" i="11"/>
  <c r="A387" i="11" s="1"/>
  <c r="A315" i="11"/>
  <c r="A302" i="11"/>
  <c r="A303" i="11" s="1"/>
  <c r="A294" i="11"/>
  <c r="A295" i="11" s="1"/>
  <c r="A278" i="11"/>
  <c r="A279" i="11" s="1"/>
  <c r="A238" i="11"/>
  <c r="A160" i="11"/>
  <c r="A161" i="11" s="1"/>
  <c r="A152" i="11"/>
  <c r="A153" i="11" s="1"/>
  <c r="A144" i="11"/>
  <c r="A145" i="11" s="1"/>
  <c r="A80" i="11"/>
  <c r="A81" i="11" s="1"/>
  <c r="A607" i="11"/>
  <c r="A608" i="11" s="1"/>
  <c r="A545" i="11"/>
  <c r="A546" i="11" s="1"/>
  <c r="A498" i="11"/>
  <c r="A499" i="11" s="1"/>
  <c r="A340" i="11"/>
  <c r="A341" i="11" s="1"/>
  <c r="A332" i="11"/>
  <c r="A333" i="11" s="1"/>
  <c r="A324" i="11"/>
  <c r="A316" i="11"/>
  <c r="A259" i="11"/>
  <c r="A198" i="11"/>
  <c r="A199" i="11" s="1"/>
  <c r="A190" i="11"/>
  <c r="A191" i="11" s="1"/>
  <c r="A182" i="11"/>
  <c r="A183" i="11" s="1"/>
  <c r="A424" i="11"/>
  <c r="A425" i="11" s="1"/>
  <c r="A416" i="11"/>
  <c r="A417" i="11" s="1"/>
  <c r="A330" i="11"/>
  <c r="A331" i="11" s="1"/>
  <c r="A327" i="11"/>
  <c r="A313" i="11"/>
  <c r="A148" i="11"/>
  <c r="A149" i="11" s="1"/>
  <c r="A86" i="11"/>
  <c r="A87" i="11" s="1"/>
  <c r="A686" i="11"/>
  <c r="A687" i="11" s="1"/>
  <c r="A250" i="11"/>
  <c r="A140" i="11"/>
  <c r="A141" i="11" s="1"/>
  <c r="A76" i="11"/>
  <c r="A77" i="11" s="1"/>
  <c r="A44" i="11"/>
  <c r="A45" i="11" s="1"/>
  <c r="A36" i="11"/>
  <c r="A37" i="11" s="1"/>
  <c r="A68" i="11"/>
  <c r="A69" i="11" s="1"/>
  <c r="A321" i="11"/>
  <c r="A300" i="11"/>
  <c r="A301" i="11" s="1"/>
  <c r="A292" i="11"/>
  <c r="A293" i="11" s="1"/>
  <c r="A284" i="11"/>
  <c r="A285" i="11" s="1"/>
  <c r="A58" i="11"/>
  <c r="A59" i="11" s="1"/>
  <c r="A500" i="11"/>
  <c r="A501" i="11" s="1"/>
  <c r="A241" i="11"/>
  <c r="A142" i="11"/>
  <c r="A143" i="11" s="1"/>
  <c r="A94" i="11"/>
  <c r="A95" i="11" s="1"/>
  <c r="A78" i="11"/>
  <c r="A79" i="11" s="1"/>
  <c r="A60" i="11"/>
  <c r="A61" i="11" s="1"/>
  <c r="A397" i="11"/>
  <c r="A398" i="11" s="1"/>
  <c r="A236" i="11"/>
  <c r="A170" i="11"/>
  <c r="A171" i="11" s="1"/>
  <c r="A84" i="11"/>
  <c r="A85" i="11" s="1"/>
  <c r="A72" i="11"/>
  <c r="A73" i="11" s="1"/>
  <c r="A48" i="11"/>
  <c r="A49" i="11" s="1"/>
  <c r="A32" i="11"/>
  <c r="A33" i="11" s="1"/>
  <c r="A188" i="11"/>
  <c r="A189" i="11" s="1"/>
  <c r="A74" i="11"/>
  <c r="A75" i="11" s="1"/>
  <c r="A26" i="11"/>
  <c r="A27" i="11" s="1"/>
  <c r="A124" i="11"/>
  <c r="A125" i="11" s="1"/>
  <c r="A70" i="11"/>
  <c r="A71" i="11" s="1"/>
  <c r="A46" i="11"/>
  <c r="A47" i="11" s="1"/>
  <c r="A38" i="11"/>
  <c r="A39" i="11" s="1"/>
  <c r="V7" i="11"/>
  <c r="A426" i="11"/>
  <c r="A427" i="11" s="1"/>
  <c r="A329" i="11"/>
  <c r="A306" i="11"/>
  <c r="A307" i="11" s="1"/>
  <c r="A298" i="11"/>
  <c r="A299" i="11" s="1"/>
  <c r="A290" i="11"/>
  <c r="A291" i="11" s="1"/>
  <c r="A282" i="11"/>
  <c r="A283" i="11" s="1"/>
  <c r="A249" i="11"/>
  <c r="A212" i="11"/>
  <c r="A213" i="11" s="1"/>
  <c r="A180" i="11"/>
  <c r="A181" i="11" s="1"/>
  <c r="V176" i="11"/>
  <c r="A164" i="11"/>
  <c r="A165" i="11" s="1"/>
  <c r="A138" i="11"/>
  <c r="A139" i="11" s="1"/>
  <c r="A106" i="11"/>
  <c r="A107" i="11" s="1"/>
  <c r="A729" i="11"/>
  <c r="A730" i="11" s="1"/>
  <c r="A537" i="11"/>
  <c r="A538" i="11" s="1"/>
  <c r="X652" i="11"/>
  <c r="X1199" i="11"/>
  <c r="X3504" i="11"/>
  <c r="X3438" i="11"/>
  <c r="X2954" i="11"/>
  <c r="X3485" i="11"/>
  <c r="X3405" i="11"/>
  <c r="X1613" i="11"/>
  <c r="X986" i="11"/>
  <c r="X92" i="11"/>
  <c r="X60" i="11"/>
  <c r="X3372" i="11"/>
  <c r="X3394" i="11"/>
  <c r="X3428" i="11"/>
  <c r="X2889" i="11"/>
  <c r="X2714" i="11"/>
  <c r="X2041" i="11"/>
  <c r="X1539" i="11"/>
  <c r="X1041" i="11"/>
  <c r="X667" i="11"/>
  <c r="X158" i="11"/>
  <c r="X33" i="11"/>
  <c r="X129" i="11"/>
  <c r="X3398" i="11"/>
  <c r="X3386" i="11"/>
  <c r="X3267" i="11"/>
  <c r="X3115" i="11"/>
  <c r="X2726" i="11"/>
  <c r="X2632" i="11"/>
  <c r="X2323" i="11"/>
  <c r="X2006" i="11"/>
  <c r="X1758" i="11"/>
  <c r="X1386" i="11"/>
  <c r="X1415" i="11"/>
  <c r="X1189" i="11"/>
  <c r="X839" i="11"/>
  <c r="X418" i="11"/>
  <c r="X925" i="11"/>
  <c r="X287" i="11"/>
  <c r="X108" i="11"/>
  <c r="X3463" i="11"/>
  <c r="X3470" i="11"/>
  <c r="X119" i="11"/>
  <c r="X94" i="11"/>
  <c r="X3219" i="11"/>
  <c r="X2874" i="11"/>
  <c r="Y2874" i="11" s="1"/>
  <c r="X2426" i="11"/>
  <c r="X1745" i="11"/>
  <c r="X1477" i="11"/>
  <c r="X1387" i="11"/>
  <c r="X1211" i="11"/>
  <c r="Y1211" i="11" s="1"/>
  <c r="X828" i="11"/>
  <c r="X733" i="11"/>
  <c r="X273" i="11"/>
  <c r="X107" i="11"/>
  <c r="X3466" i="11"/>
  <c r="X3443" i="11"/>
  <c r="X3258" i="11"/>
  <c r="X3188" i="11"/>
  <c r="X2694" i="11"/>
  <c r="Y2694" i="11" s="1"/>
  <c r="X2483" i="11"/>
  <c r="X1972" i="11"/>
  <c r="X1148" i="11"/>
  <c r="X675" i="11"/>
  <c r="Y674" i="11" s="1"/>
  <c r="X146" i="11"/>
  <c r="X3473" i="11"/>
  <c r="X2982" i="11"/>
  <c r="X2699" i="11"/>
  <c r="X2252" i="11"/>
  <c r="Y2251" i="11" s="1"/>
  <c r="X1694" i="11"/>
  <c r="X1371" i="11"/>
  <c r="X825" i="11"/>
  <c r="X640" i="11"/>
  <c r="X414" i="11"/>
  <c r="X235" i="11"/>
  <c r="X3230" i="11"/>
  <c r="X2438" i="11"/>
  <c r="X1272" i="11"/>
  <c r="X446" i="11"/>
  <c r="X3392" i="11"/>
  <c r="X2963" i="11"/>
  <c r="X1970" i="11"/>
  <c r="X536" i="11"/>
  <c r="X313" i="11"/>
  <c r="X3403" i="11"/>
  <c r="X2901" i="11"/>
  <c r="X2669" i="11"/>
  <c r="X2370" i="11"/>
  <c r="X1933" i="11"/>
  <c r="X1931" i="11"/>
  <c r="X1178" i="11"/>
  <c r="X756" i="11"/>
  <c r="X254" i="11"/>
  <c r="X253" i="11"/>
  <c r="X200" i="11"/>
  <c r="X3312" i="11"/>
  <c r="X2782" i="11"/>
  <c r="X1992" i="11"/>
  <c r="X956" i="11"/>
  <c r="X3214" i="11"/>
  <c r="X2553" i="11"/>
  <c r="X285" i="11"/>
  <c r="X373" i="11"/>
  <c r="X2000" i="11"/>
  <c r="X286" i="11"/>
  <c r="X2573" i="11"/>
  <c r="X753" i="11"/>
  <c r="X345" i="11"/>
  <c r="X3384" i="11"/>
  <c r="X3212" i="11"/>
  <c r="X2728" i="11"/>
  <c r="X2434" i="11"/>
  <c r="X1648" i="11"/>
  <c r="Y1648" i="11" s="1"/>
  <c r="X1552" i="11"/>
  <c r="X1158" i="11"/>
  <c r="X588" i="11"/>
  <c r="X646" i="11"/>
  <c r="X3434" i="11"/>
  <c r="X3299" i="11"/>
  <c r="X3040" i="11"/>
  <c r="X2506" i="11"/>
  <c r="X1944" i="11"/>
  <c r="X1509" i="11"/>
  <c r="X1215" i="11"/>
  <c r="X650" i="11"/>
  <c r="Y649" i="11" s="1"/>
  <c r="X639" i="11"/>
  <c r="X3458" i="11"/>
  <c r="X3178" i="11"/>
  <c r="X2544" i="11"/>
  <c r="X2307" i="11"/>
  <c r="X1604" i="11"/>
  <c r="X1291" i="11"/>
  <c r="X1063" i="11"/>
  <c r="X599" i="11"/>
  <c r="X422" i="11"/>
  <c r="X3338" i="11"/>
  <c r="X3181" i="11"/>
  <c r="X2938" i="11"/>
  <c r="X2644" i="11"/>
  <c r="Y2643" i="11" s="1"/>
  <c r="X2630" i="11"/>
  <c r="X1584" i="11"/>
  <c r="Y1583" i="11" s="1"/>
  <c r="X1337" i="11"/>
  <c r="X659" i="11"/>
  <c r="X571" i="11"/>
  <c r="X478" i="11"/>
  <c r="X55" i="11"/>
  <c r="X3176" i="11"/>
  <c r="X2569" i="11"/>
  <c r="X763" i="11"/>
  <c r="X53" i="11"/>
  <c r="X3253" i="11"/>
  <c r="X2256" i="11"/>
  <c r="X1408" i="11"/>
  <c r="X1732" i="11"/>
  <c r="X3110" i="11"/>
  <c r="X2814" i="11"/>
  <c r="X2240" i="11"/>
  <c r="X173" i="11"/>
  <c r="X268" i="11"/>
  <c r="X3199" i="11"/>
  <c r="X1682" i="11"/>
  <c r="X258" i="11"/>
  <c r="X684" i="11"/>
  <c r="X620" i="11"/>
  <c r="X2444" i="11"/>
  <c r="X612" i="11"/>
  <c r="X619" i="11"/>
  <c r="X2843" i="11"/>
  <c r="X3138" i="11"/>
  <c r="X2517" i="11"/>
  <c r="X1661" i="11"/>
  <c r="X1188" i="11"/>
  <c r="X2949" i="11"/>
  <c r="X2356" i="11"/>
  <c r="X1603" i="11"/>
  <c r="X759" i="11"/>
  <c r="Y759" i="11" s="1"/>
  <c r="X2286" i="11"/>
  <c r="X1176" i="11"/>
  <c r="X1910" i="11"/>
  <c r="X881" i="11"/>
  <c r="X2893" i="11"/>
  <c r="X3101" i="11"/>
  <c r="X2597" i="11"/>
  <c r="X2635" i="11"/>
  <c r="X1421" i="11"/>
  <c r="X1169" i="11"/>
  <c r="X1784" i="11"/>
  <c r="X1911" i="11"/>
  <c r="X2702" i="11"/>
  <c r="Y2702" i="11" s="1"/>
  <c r="X281" i="11"/>
  <c r="X443" i="11"/>
  <c r="X795" i="11"/>
  <c r="X1490" i="11"/>
  <c r="X1331" i="11"/>
  <c r="Y1331" i="11" s="1"/>
  <c r="X2394" i="11"/>
  <c r="X1370" i="11"/>
  <c r="X62" i="11"/>
  <c r="X824" i="11"/>
  <c r="X1545" i="11"/>
  <c r="X2943" i="11"/>
  <c r="X2245" i="11"/>
  <c r="X480" i="11"/>
  <c r="X3271" i="11"/>
  <c r="X1960" i="11"/>
  <c r="X1448" i="11"/>
  <c r="Y1448" i="11" s="1"/>
  <c r="X677" i="11"/>
  <c r="X3006" i="11"/>
  <c r="X2265" i="11"/>
  <c r="X1050" i="11"/>
  <c r="X527" i="11"/>
  <c r="X2042" i="11"/>
  <c r="X2657" i="11"/>
  <c r="X3268" i="11"/>
  <c r="X2346" i="11"/>
  <c r="X2489" i="11"/>
  <c r="X564" i="11"/>
  <c r="X3265" i="11"/>
  <c r="X2598" i="11"/>
  <c r="X543" i="11"/>
  <c r="X1431" i="11"/>
  <c r="X3189" i="11"/>
  <c r="X1035" i="11"/>
  <c r="X75" i="11"/>
  <c r="X384" i="11"/>
  <c r="X708" i="11"/>
  <c r="X1782" i="11"/>
  <c r="X2885" i="11"/>
  <c r="X2011" i="11"/>
  <c r="X3065" i="11"/>
  <c r="X2413" i="11"/>
  <c r="X1774" i="11"/>
  <c r="X2679" i="11"/>
  <c r="X3018" i="11"/>
  <c r="X2311" i="11"/>
  <c r="X672" i="11"/>
  <c r="X2642" i="11"/>
  <c r="X826" i="11"/>
  <c r="X574" i="11"/>
  <c r="Y573" i="11" s="1"/>
  <c r="X2538" i="11"/>
  <c r="X1040" i="11"/>
  <c r="X1131" i="11"/>
  <c r="X1456" i="11"/>
  <c r="X2564" i="11"/>
  <c r="X1935" i="11"/>
  <c r="X2638" i="11"/>
  <c r="X467" i="11"/>
  <c r="X1677" i="11"/>
  <c r="X291" i="11"/>
  <c r="X679" i="11"/>
  <c r="X580" i="11"/>
  <c r="Y579" i="11" s="1"/>
  <c r="X307" i="11"/>
  <c r="X522" i="11"/>
  <c r="X3202" i="11"/>
  <c r="X1202" i="11"/>
  <c r="X2619" i="11"/>
  <c r="X2032" i="11"/>
  <c r="X1380" i="11"/>
  <c r="X1987" i="11"/>
  <c r="X1487" i="11"/>
  <c r="X2900" i="11"/>
  <c r="X2291" i="11"/>
  <c r="Y2291" i="11" s="1"/>
  <c r="X583" i="11"/>
  <c r="X3515" i="11"/>
  <c r="X1801" i="11"/>
  <c r="X3491" i="11"/>
  <c r="X343" i="11"/>
  <c r="X3430" i="11"/>
  <c r="X1803" i="11"/>
  <c r="X183" i="11"/>
  <c r="X3337" i="11"/>
  <c r="X2540" i="11"/>
  <c r="X1513" i="11"/>
  <c r="X912" i="11"/>
  <c r="X50" i="11"/>
  <c r="X484" i="11"/>
  <c r="X2326" i="11"/>
  <c r="X1106" i="11"/>
  <c r="X433" i="11"/>
  <c r="X2932" i="11"/>
  <c r="X642" i="11"/>
  <c r="X2891" i="11"/>
  <c r="X989" i="11"/>
  <c r="X72" i="11"/>
  <c r="X124" i="11"/>
  <c r="X439" i="11"/>
  <c r="X2550" i="11"/>
  <c r="X1171" i="11"/>
  <c r="X460" i="11"/>
  <c r="X790" i="11"/>
  <c r="X2522" i="11"/>
  <c r="X857" i="11"/>
  <c r="X2684" i="11"/>
  <c r="X1045" i="11"/>
  <c r="X3055" i="11"/>
  <c r="X1588" i="11"/>
  <c r="X3389" i="11"/>
  <c r="X1388" i="11"/>
  <c r="X479" i="11"/>
  <c r="X2849" i="11"/>
  <c r="X1101" i="11"/>
  <c r="X3439" i="11"/>
  <c r="X2856" i="11"/>
  <c r="X1351" i="11"/>
  <c r="X1574" i="11"/>
  <c r="X3161" i="11"/>
  <c r="X2276" i="11"/>
  <c r="X676" i="11"/>
  <c r="X594" i="11"/>
  <c r="X1922" i="11"/>
  <c r="X196" i="11"/>
  <c r="X1512" i="11"/>
  <c r="X3170" i="11"/>
  <c r="X421" i="11"/>
  <c r="X2722" i="11"/>
  <c r="X1147" i="11"/>
  <c r="X2593" i="11"/>
  <c r="X1066" i="11"/>
  <c r="X2379" i="11"/>
  <c r="X2313" i="11"/>
  <c r="X548" i="11"/>
  <c r="X1797" i="11"/>
  <c r="X2836" i="11"/>
  <c r="X1521" i="11"/>
  <c r="X2834" i="11"/>
  <c r="X2481" i="11"/>
  <c r="X359" i="11"/>
  <c r="X2743" i="11"/>
  <c r="X2359" i="11"/>
  <c r="X2613" i="11"/>
  <c r="X459" i="11"/>
  <c r="X3471" i="11"/>
  <c r="X1707" i="11"/>
  <c r="X144" i="11"/>
  <c r="X3232" i="11"/>
  <c r="X2704" i="11"/>
  <c r="X2789" i="11"/>
  <c r="X109" i="11"/>
  <c r="X342" i="11"/>
  <c r="X1379" i="11"/>
  <c r="X2001" i="11"/>
  <c r="X2698" i="11"/>
  <c r="X1508" i="11"/>
  <c r="X2047" i="11"/>
  <c r="X2578" i="11"/>
  <c r="X3316" i="11"/>
  <c r="X728" i="11"/>
  <c r="X2734" i="11"/>
  <c r="X2029" i="11"/>
  <c r="Y2028" i="11" s="1"/>
  <c r="X767" i="11"/>
  <c r="X2551" i="11"/>
  <c r="Y2551" i="11" s="1"/>
  <c r="X2503" i="11"/>
  <c r="X2998" i="11"/>
  <c r="X2063" i="11"/>
  <c r="X541" i="11"/>
  <c r="X2308" i="11"/>
  <c r="X653" i="11"/>
  <c r="X1116" i="11"/>
  <c r="X3033" i="11"/>
  <c r="X2390" i="11"/>
  <c r="X382" i="11"/>
  <c r="X2368" i="11"/>
  <c r="X628" i="11"/>
  <c r="X3004" i="11"/>
  <c r="X746" i="11"/>
  <c r="X534" i="11"/>
  <c r="X3152" i="11"/>
  <c r="X2333" i="11"/>
  <c r="X3309" i="11"/>
  <c r="X78" i="11"/>
  <c r="X19" i="11"/>
  <c r="X3429" i="11"/>
  <c r="X3413" i="11"/>
  <c r="X2283" i="11"/>
  <c r="X972" i="11"/>
  <c r="X3412" i="11"/>
  <c r="X3457" i="11"/>
  <c r="X948" i="11"/>
  <c r="X165" i="11"/>
  <c r="X64" i="11"/>
  <c r="X135" i="11"/>
  <c r="X3477" i="11"/>
  <c r="X3514" i="11"/>
  <c r="X3371" i="11"/>
  <c r="X2928" i="11"/>
  <c r="X2545" i="11"/>
  <c r="X2024" i="11"/>
  <c r="X1425" i="11"/>
  <c r="X984" i="11"/>
  <c r="X982" i="11"/>
  <c r="X362" i="11"/>
  <c r="X221" i="11"/>
  <c r="X210" i="11"/>
  <c r="X3426" i="11"/>
  <c r="X3512" i="11"/>
  <c r="X3255" i="11"/>
  <c r="X3021" i="11"/>
  <c r="X2774" i="11"/>
  <c r="X2711" i="11"/>
  <c r="X2282" i="11"/>
  <c r="X1962" i="11"/>
  <c r="X1792" i="11"/>
  <c r="X1524" i="11"/>
  <c r="X1292" i="11"/>
  <c r="X952" i="11"/>
  <c r="X796" i="11"/>
  <c r="X754" i="11"/>
  <c r="X683" i="11"/>
  <c r="X255" i="11"/>
  <c r="X120" i="11"/>
  <c r="X3401" i="11"/>
  <c r="X3397" i="11"/>
  <c r="X939" i="11"/>
  <c r="X211" i="11"/>
  <c r="X3407" i="11"/>
  <c r="X3153" i="11"/>
  <c r="Y3153" i="11" s="1"/>
  <c r="X2829" i="11"/>
  <c r="X2278" i="11"/>
  <c r="X1685" i="11"/>
  <c r="Y1684" i="11" s="1"/>
  <c r="X1417" i="11"/>
  <c r="X1451" i="11"/>
  <c r="X1160" i="11"/>
  <c r="Y1160" i="11" s="1"/>
  <c r="X869" i="11"/>
  <c r="X892" i="11"/>
  <c r="X241" i="11"/>
  <c r="X378" i="11"/>
  <c r="X3442" i="11"/>
  <c r="X3508" i="11"/>
  <c r="X3234" i="11"/>
  <c r="X3052" i="11"/>
  <c r="X2747" i="11"/>
  <c r="X2371" i="11"/>
  <c r="X1068" i="11"/>
  <c r="X401" i="11"/>
  <c r="X696" i="11"/>
  <c r="X3511" i="11"/>
  <c r="X3220" i="11"/>
  <c r="X2944" i="11"/>
  <c r="X2592" i="11"/>
  <c r="X2253" i="11"/>
  <c r="X1791" i="11"/>
  <c r="X1287" i="11"/>
  <c r="X633" i="11"/>
  <c r="X475" i="11"/>
  <c r="X349" i="11"/>
  <c r="X331" i="11"/>
  <c r="Y330" i="11" s="1"/>
  <c r="X3022" i="11"/>
  <c r="Y3022" i="11" s="1"/>
  <c r="X2241" i="11"/>
  <c r="X43" i="11"/>
  <c r="X3310" i="11"/>
  <c r="X2983" i="11"/>
  <c r="X1993" i="11"/>
  <c r="X449" i="11"/>
  <c r="X3509" i="11"/>
  <c r="X3460" i="11"/>
  <c r="X2892" i="11"/>
  <c r="X2524" i="11"/>
  <c r="X2336" i="11"/>
  <c r="X1915" i="11"/>
  <c r="X1516" i="11"/>
  <c r="Y1516" i="11" s="1"/>
  <c r="X1064" i="11"/>
  <c r="X934" i="11"/>
  <c r="X152" i="11"/>
  <c r="X447" i="11"/>
  <c r="Y446" i="11" s="1"/>
  <c r="X592" i="11"/>
  <c r="X3163" i="11"/>
  <c r="Y3163" i="11" s="1"/>
  <c r="X2757" i="11"/>
  <c r="Y2756" i="11" s="1"/>
  <c r="X1914" i="11"/>
  <c r="X710" i="11"/>
  <c r="X3120" i="11"/>
  <c r="X1676" i="11"/>
  <c r="X329" i="11"/>
  <c r="Y328" i="11" s="1"/>
  <c r="X2682" i="11"/>
  <c r="X1790" i="11"/>
  <c r="X316" i="11"/>
  <c r="X1924" i="11"/>
  <c r="X946" i="11"/>
  <c r="X334" i="11"/>
  <c r="X3318" i="11"/>
  <c r="X3165" i="11"/>
  <c r="X2660" i="11"/>
  <c r="X2298" i="11"/>
  <c r="X1747" i="11"/>
  <c r="X1520" i="11"/>
  <c r="X747" i="11"/>
  <c r="X931" i="11"/>
  <c r="X237" i="11"/>
  <c r="X3333" i="11"/>
  <c r="X3275" i="11"/>
  <c r="X2823" i="11"/>
  <c r="X2471" i="11"/>
  <c r="X2081" i="11"/>
  <c r="X1393" i="11"/>
  <c r="X1033" i="11"/>
  <c r="X711" i="11"/>
  <c r="X198" i="11"/>
  <c r="Y198" i="11" s="1"/>
  <c r="X3329" i="11"/>
  <c r="X3130" i="11"/>
  <c r="X2667" i="11"/>
  <c r="X2261" i="11"/>
  <c r="X1434" i="11"/>
  <c r="X1238" i="11"/>
  <c r="X559" i="11"/>
  <c r="X419" i="11"/>
  <c r="X3482" i="11"/>
  <c r="X3122" i="11"/>
  <c r="X2924" i="11"/>
  <c r="X2595" i="11"/>
  <c r="X2407" i="11"/>
  <c r="X1579" i="11"/>
  <c r="X1181" i="11"/>
  <c r="X772" i="11"/>
  <c r="X691" i="11"/>
  <c r="X662" i="11"/>
  <c r="X267" i="11"/>
  <c r="X216" i="11"/>
  <c r="Y216" i="11" s="1"/>
  <c r="X2996" i="11"/>
  <c r="X2244" i="11"/>
  <c r="X716" i="11"/>
  <c r="Y715" i="11" s="1"/>
  <c r="X2685" i="11"/>
  <c r="X1678" i="11"/>
  <c r="X2049" i="11"/>
  <c r="X3215" i="11"/>
  <c r="X1216" i="11"/>
  <c r="X1204" i="11"/>
  <c r="X1606" i="11"/>
  <c r="X1501" i="11"/>
  <c r="X1795" i="11"/>
  <c r="X1550" i="11"/>
  <c r="X2899" i="11"/>
  <c r="X1525" i="11"/>
  <c r="Y1524" i="11" s="1"/>
  <c r="X848" i="11"/>
  <c r="X1571" i="11"/>
  <c r="X485" i="11"/>
  <c r="X170" i="11"/>
  <c r="X2678" i="11"/>
  <c r="X3030" i="11"/>
  <c r="X2470" i="11"/>
  <c r="X1493" i="11"/>
  <c r="X1208" i="11"/>
  <c r="X2964" i="11"/>
  <c r="Y2964" i="11" s="1"/>
  <c r="X2044" i="11"/>
  <c r="X1538" i="11"/>
  <c r="X770" i="11"/>
  <c r="X1916" i="11"/>
  <c r="X2594" i="11"/>
  <c r="X587" i="11"/>
  <c r="X2824" i="11"/>
  <c r="X2348" i="11"/>
  <c r="X1405" i="11"/>
  <c r="X804" i="11"/>
  <c r="X1299" i="11"/>
  <c r="X720" i="11"/>
  <c r="X1070" i="11"/>
  <c r="X468" i="11"/>
  <c r="X2463" i="11"/>
  <c r="X2084" i="11"/>
  <c r="X326" i="11"/>
  <c r="X186" i="11"/>
  <c r="X1296" i="11"/>
  <c r="X505" i="11"/>
  <c r="X914" i="11"/>
  <c r="X3126" i="11"/>
  <c r="X2727" i="11"/>
  <c r="X2072" i="11"/>
  <c r="X3207" i="11"/>
  <c r="X1956" i="11"/>
  <c r="X1496" i="11"/>
  <c r="X771" i="11"/>
  <c r="X2897" i="11"/>
  <c r="X2037" i="11"/>
  <c r="Y2036" i="11" s="1"/>
  <c r="X1342" i="11"/>
  <c r="X2942" i="11"/>
  <c r="X1284" i="11"/>
  <c r="X2504" i="11"/>
  <c r="X2700" i="11"/>
  <c r="X2035" i="11"/>
  <c r="X2039" i="11"/>
  <c r="X3037" i="11"/>
  <c r="X2498" i="11"/>
  <c r="X389" i="11"/>
  <c r="X2128" i="11"/>
  <c r="X2972" i="11"/>
  <c r="X3041" i="11"/>
  <c r="X1157" i="11"/>
  <c r="X2733" i="11"/>
  <c r="X805" i="11"/>
  <c r="X2609" i="11"/>
  <c r="X1319" i="11"/>
  <c r="X1472" i="11"/>
  <c r="X2914" i="11"/>
  <c r="X2053" i="11"/>
  <c r="X3005" i="11"/>
  <c r="X1495" i="11"/>
  <c r="X2355" i="11"/>
  <c r="X1564" i="11"/>
  <c r="X738" i="11"/>
  <c r="X2454" i="11"/>
  <c r="X821" i="11"/>
  <c r="X2803" i="11"/>
  <c r="X3295" i="11"/>
  <c r="X3229" i="11"/>
  <c r="X1481" i="11"/>
  <c r="X2372" i="11"/>
  <c r="X596" i="11"/>
  <c r="X3194" i="11"/>
  <c r="X3240" i="11"/>
  <c r="X513" i="11"/>
  <c r="X1800" i="11"/>
  <c r="X1094" i="11"/>
  <c r="X2005" i="11"/>
  <c r="X1563" i="11"/>
  <c r="X1551" i="11"/>
  <c r="X1617" i="11"/>
  <c r="X951" i="11"/>
  <c r="X2930" i="11"/>
  <c r="X442" i="11"/>
  <c r="X3051" i="11"/>
  <c r="X2342" i="11"/>
  <c r="X528" i="11"/>
  <c r="Y528" i="11" s="1"/>
  <c r="X1156" i="11"/>
  <c r="X2485" i="11"/>
  <c r="X1108" i="11"/>
  <c r="X3278" i="11"/>
  <c r="X2887" i="11"/>
  <c r="X1344" i="11"/>
  <c r="X2708" i="11"/>
  <c r="X1932" i="11"/>
  <c r="Y1931" i="11" s="1"/>
  <c r="X2910" i="11"/>
  <c r="X147" i="11"/>
  <c r="X3404" i="11"/>
  <c r="Y3403" i="11" s="1"/>
  <c r="X3183" i="11"/>
  <c r="X2515" i="11"/>
  <c r="X1406" i="11"/>
  <c r="Y1406" i="11" s="1"/>
  <c r="X660" i="11"/>
  <c r="X346" i="11"/>
  <c r="X38" i="11"/>
  <c r="X3367" i="11"/>
  <c r="X2975" i="11"/>
  <c r="X2480" i="11"/>
  <c r="X1995" i="11"/>
  <c r="X1576" i="11"/>
  <c r="X1184" i="11"/>
  <c r="X1167" i="11"/>
  <c r="X688" i="11"/>
  <c r="X557" i="11"/>
  <c r="X3461" i="11"/>
  <c r="X222" i="11"/>
  <c r="X3370" i="11"/>
  <c r="X2791" i="11"/>
  <c r="X1478" i="11"/>
  <c r="X1191" i="11"/>
  <c r="X810" i="11"/>
  <c r="X319" i="11"/>
  <c r="X70" i="11"/>
  <c r="X3446" i="11"/>
  <c r="X2955" i="11"/>
  <c r="X1301" i="11"/>
  <c r="X567" i="11"/>
  <c r="Y567" i="11" s="1"/>
  <c r="X3330" i="11"/>
  <c r="X3020" i="11"/>
  <c r="X2318" i="11"/>
  <c r="X721" i="11"/>
  <c r="X301" i="11"/>
  <c r="X83" i="11"/>
  <c r="X2013" i="11"/>
  <c r="X227" i="11"/>
  <c r="X2753" i="11"/>
  <c r="X204" i="11"/>
  <c r="X3304" i="11"/>
  <c r="X2751" i="11"/>
  <c r="X2254" i="11"/>
  <c r="X1372" i="11"/>
  <c r="X299" i="11"/>
  <c r="X3121" i="11"/>
  <c r="X1653" i="11"/>
  <c r="X3077" i="11"/>
  <c r="X137" i="11"/>
  <c r="X1533" i="11"/>
  <c r="X1912" i="11"/>
  <c r="X192" i="11"/>
  <c r="X3059" i="11"/>
  <c r="X2285" i="11"/>
  <c r="X1642" i="11"/>
  <c r="X507" i="11"/>
  <c r="X3355" i="11"/>
  <c r="X3257" i="11"/>
  <c r="X2659" i="11"/>
  <c r="X1475" i="11"/>
  <c r="Y1474" i="11" s="1"/>
  <c r="X983" i="11"/>
  <c r="X3497" i="11"/>
  <c r="X2575" i="11"/>
  <c r="X1322" i="11"/>
  <c r="X742" i="11"/>
  <c r="X269" i="11"/>
  <c r="X3072" i="11"/>
  <c r="X2615" i="11"/>
  <c r="Y2615" i="11" s="1"/>
  <c r="X2026" i="11"/>
  <c r="X1136" i="11"/>
  <c r="X609" i="11"/>
  <c r="X344" i="11"/>
  <c r="X3015" i="11"/>
  <c r="X807" i="11"/>
  <c r="X1783" i="11"/>
  <c r="X1788" i="11"/>
  <c r="Y1787" i="11" s="1"/>
  <c r="X212" i="11"/>
  <c r="X1054" i="11"/>
  <c r="X1597" i="11"/>
  <c r="X2249" i="11"/>
  <c r="X627" i="11"/>
  <c r="X1630" i="11"/>
  <c r="X369" i="11"/>
  <c r="X1724" i="11"/>
  <c r="X2361" i="11"/>
  <c r="X894" i="11"/>
  <c r="X1854" i="11"/>
  <c r="X761" i="11"/>
  <c r="X1580" i="11"/>
  <c r="X2519" i="11"/>
  <c r="X1195" i="11"/>
  <c r="X949" i="11"/>
  <c r="X2267" i="11"/>
  <c r="X244" i="11"/>
  <c r="X1278" i="11"/>
  <c r="X336" i="11"/>
  <c r="X2329" i="11"/>
  <c r="X238" i="11"/>
  <c r="X1673" i="11"/>
  <c r="Y1672" i="11" s="1"/>
  <c r="X3171" i="11"/>
  <c r="X2760" i="11"/>
  <c r="X1486" i="11"/>
  <c r="X2351" i="11"/>
  <c r="X1725" i="11"/>
  <c r="X1076" i="11"/>
  <c r="X2931" i="11"/>
  <c r="X410" i="11"/>
  <c r="X1612" i="11"/>
  <c r="X840" i="11"/>
  <c r="X519" i="11"/>
  <c r="X1061" i="11"/>
  <c r="X2884" i="11"/>
  <c r="X2382" i="11"/>
  <c r="Y2381" i="11" s="1"/>
  <c r="X2837" i="11"/>
  <c r="X1197" i="11"/>
  <c r="X2990" i="11"/>
  <c r="X357" i="11"/>
  <c r="Y356" i="11" s="1"/>
  <c r="X1223" i="11"/>
  <c r="X1719" i="11"/>
  <c r="X2690" i="11"/>
  <c r="X288" i="11"/>
  <c r="X1738" i="11"/>
  <c r="X1927" i="11"/>
  <c r="Y1927" i="11" s="1"/>
  <c r="X888" i="11"/>
  <c r="X1209" i="11"/>
  <c r="X3494" i="11"/>
  <c r="X3336" i="11"/>
  <c r="X2661" i="11"/>
  <c r="X990" i="11"/>
  <c r="X3469" i="11"/>
  <c r="X2827" i="11"/>
  <c r="X1793" i="11"/>
  <c r="X465" i="11"/>
  <c r="X228" i="11"/>
  <c r="X2799" i="11"/>
  <c r="X1259" i="11"/>
  <c r="Y1259" i="11" s="1"/>
  <c r="X393" i="11"/>
  <c r="X3177" i="11"/>
  <c r="X999" i="11"/>
  <c r="X3209" i="11"/>
  <c r="X1378" i="11"/>
  <c r="X645" i="11"/>
  <c r="X954" i="11"/>
  <c r="X1602" i="11"/>
  <c r="X2795" i="11"/>
  <c r="X1300" i="11"/>
  <c r="X116" i="11"/>
  <c r="X1413" i="11"/>
  <c r="X114" i="11"/>
  <c r="Y114" i="11" s="1"/>
  <c r="X1715" i="11"/>
  <c r="Y1714" i="11" s="1"/>
  <c r="X3108" i="11"/>
  <c r="X1519" i="11"/>
  <c r="X3472" i="11"/>
  <c r="X1683" i="11"/>
  <c r="X191" i="11"/>
  <c r="X1945" i="11"/>
  <c r="X539" i="11"/>
  <c r="X2800" i="11"/>
  <c r="X992" i="11"/>
  <c r="X49" i="11"/>
  <c r="X512" i="11"/>
  <c r="X1267" i="11"/>
  <c r="X2388" i="11"/>
  <c r="X1734" i="11"/>
  <c r="X1590" i="11"/>
  <c r="X1343" i="11"/>
  <c r="X463" i="11"/>
  <c r="Y462" i="11" s="1"/>
  <c r="X2479" i="11"/>
  <c r="X814" i="11"/>
  <c r="X1505" i="11"/>
  <c r="X405" i="11"/>
  <c r="X692" i="11"/>
  <c r="X2581" i="11"/>
  <c r="X514" i="11"/>
  <c r="X252" i="11"/>
  <c r="X2585" i="11"/>
  <c r="X670" i="11"/>
  <c r="X2449" i="11"/>
  <c r="Y2449" i="11" s="1"/>
  <c r="X457" i="11"/>
  <c r="X148" i="11"/>
  <c r="X2815" i="11"/>
  <c r="X1986" i="11"/>
  <c r="X1401" i="11"/>
  <c r="X1750" i="11"/>
  <c r="X2857" i="11"/>
  <c r="X586" i="11"/>
  <c r="X998" i="11"/>
  <c r="Y997" i="11" s="1"/>
  <c r="X1983" i="11"/>
  <c r="X1611" i="11"/>
  <c r="X1591" i="11"/>
  <c r="X2888" i="11"/>
  <c r="X353" i="11"/>
  <c r="X3014" i="11"/>
  <c r="X1175" i="11"/>
  <c r="Y1174" i="11" s="1"/>
  <c r="X1692" i="11"/>
  <c r="X1689" i="11"/>
  <c r="X3357" i="11"/>
  <c r="X236" i="11"/>
  <c r="X726" i="11"/>
  <c r="Y725" i="11" s="1"/>
  <c r="X338" i="11"/>
  <c r="X2647" i="11"/>
  <c r="X589" i="11"/>
  <c r="X112" i="11"/>
  <c r="X2741" i="11"/>
  <c r="X136" i="11"/>
  <c r="X863" i="11"/>
  <c r="X1098" i="11"/>
  <c r="X1510" i="11"/>
  <c r="X2689" i="11"/>
  <c r="X1934" i="11"/>
  <c r="X2040" i="11"/>
  <c r="X2009" i="11"/>
  <c r="X1968" i="11"/>
  <c r="X3038" i="11"/>
  <c r="X732" i="11"/>
  <c r="X234" i="11"/>
  <c r="X300" i="11"/>
  <c r="X3105" i="11"/>
  <c r="X1614" i="11"/>
  <c r="X52" i="11"/>
  <c r="X2725" i="11"/>
  <c r="X487" i="11"/>
  <c r="X2896" i="11"/>
  <c r="X130" i="11"/>
  <c r="Y130" i="11" s="1"/>
  <c r="X3369" i="11"/>
  <c r="X3356" i="11"/>
  <c r="X2281" i="11"/>
  <c r="X28" i="11"/>
  <c r="X3344" i="11"/>
  <c r="X3374" i="11"/>
  <c r="X935" i="11"/>
  <c r="X126" i="11"/>
  <c r="X202" i="11"/>
  <c r="X3454" i="11"/>
  <c r="X2868" i="11"/>
  <c r="X1985" i="11"/>
  <c r="X1047" i="11"/>
  <c r="X376" i="11"/>
  <c r="Y375" i="11" s="1"/>
  <c r="X3341" i="11"/>
  <c r="X3184" i="11"/>
  <c r="X2759" i="11"/>
  <c r="X2312" i="11"/>
  <c r="X1657" i="11"/>
  <c r="X1236" i="11"/>
  <c r="X973" i="11"/>
  <c r="X516" i="11"/>
  <c r="X452" i="11"/>
  <c r="X3496" i="11"/>
  <c r="X163" i="11"/>
  <c r="Y162" i="11" s="1"/>
  <c r="X3125" i="11"/>
  <c r="X2248" i="11"/>
  <c r="X1382" i="11"/>
  <c r="Y1382" i="11" s="1"/>
  <c r="X1145" i="11"/>
  <c r="Y1144" i="11" s="1"/>
  <c r="X3360" i="11"/>
  <c r="X3231" i="11"/>
  <c r="X2474" i="11"/>
  <c r="X2302" i="11"/>
  <c r="Y2301" i="11" s="1"/>
  <c r="X454" i="11"/>
  <c r="X3233" i="11"/>
  <c r="X2509" i="11"/>
  <c r="X1578" i="11"/>
  <c r="X1341" i="11"/>
  <c r="X647" i="11"/>
  <c r="X2935" i="11"/>
  <c r="X3281" i="11"/>
  <c r="X1670" i="11"/>
  <c r="X3393" i="11"/>
  <c r="X2576" i="11"/>
  <c r="X1921" i="11"/>
  <c r="X1269" i="11"/>
  <c r="X150" i="11"/>
  <c r="Y150" i="11" s="1"/>
  <c r="X321" i="11"/>
  <c r="X2507" i="11"/>
  <c r="X933" i="11"/>
  <c r="X1321" i="11"/>
  <c r="X2701" i="11"/>
  <c r="X111" i="11"/>
  <c r="X1172" i="11"/>
  <c r="X3303" i="11"/>
  <c r="X2666" i="11"/>
  <c r="X1779" i="11"/>
  <c r="X945" i="11"/>
  <c r="X531" i="11"/>
  <c r="X2797" i="11"/>
  <c r="X1850" i="11"/>
  <c r="X1012" i="11"/>
  <c r="X220" i="11"/>
  <c r="X2866" i="11"/>
  <c r="X2389" i="11"/>
  <c r="X1146" i="11"/>
  <c r="X606" i="11"/>
  <c r="Y605" i="11" s="1"/>
  <c r="X3495" i="11"/>
  <c r="X2820" i="11"/>
  <c r="X1414" i="11"/>
  <c r="X1003" i="11"/>
  <c r="X161" i="11"/>
  <c r="X251" i="11"/>
  <c r="X1971" i="11"/>
  <c r="X2268" i="11"/>
  <c r="X2847" i="11"/>
  <c r="X752" i="11"/>
  <c r="X3204" i="11"/>
  <c r="X1193" i="11"/>
  <c r="X1453" i="11"/>
  <c r="X243" i="11"/>
  <c r="X1203" i="11"/>
  <c r="X3320" i="11"/>
  <c r="X2951" i="11"/>
  <c r="X1535" i="11"/>
  <c r="X2973" i="11"/>
  <c r="X1369" i="11"/>
  <c r="X1651" i="11"/>
  <c r="X164" i="11"/>
  <c r="X1463" i="11"/>
  <c r="X1720" i="11"/>
  <c r="X820" i="11"/>
  <c r="X783" i="11"/>
  <c r="Y783" i="11" s="1"/>
  <c r="X3166" i="11"/>
  <c r="X1955" i="11"/>
  <c r="X2401" i="11"/>
  <c r="X1088" i="11"/>
  <c r="X153" i="11"/>
  <c r="Y152" i="11" s="1"/>
  <c r="X306" i="11"/>
  <c r="X2624" i="11"/>
  <c r="X3031" i="11"/>
  <c r="X2424" i="11"/>
  <c r="X1311" i="11"/>
  <c r="X2872" i="11"/>
  <c r="X622" i="11"/>
  <c r="X2858" i="11"/>
  <c r="X1273" i="11"/>
  <c r="X1679" i="11"/>
  <c r="Y1678" i="11" s="1"/>
  <c r="X2740" i="11"/>
  <c r="X490" i="11"/>
  <c r="X2541" i="11"/>
  <c r="X2017" i="11"/>
  <c r="X296" i="11"/>
  <c r="X816" i="11"/>
  <c r="X1775" i="11"/>
  <c r="X2838" i="11"/>
  <c r="X1700" i="11"/>
  <c r="X2055" i="11"/>
  <c r="X1964" i="11"/>
  <c r="X2383" i="11"/>
  <c r="Y2383" i="11" s="1"/>
  <c r="X2325" i="11"/>
  <c r="X3098" i="11"/>
  <c r="X197" i="11"/>
  <c r="X1961" i="11"/>
  <c r="X3003" i="11"/>
  <c r="X1002" i="11"/>
  <c r="Y1001" i="11" s="1"/>
  <c r="X1381" i="11"/>
  <c r="X2067" i="11"/>
  <c r="X2945" i="11"/>
  <c r="Y2944" i="11" s="1"/>
  <c r="X799" i="11"/>
  <c r="X2473" i="11"/>
  <c r="X1077" i="11"/>
  <c r="X1358" i="11"/>
  <c r="X2466" i="11"/>
  <c r="X1619" i="11"/>
  <c r="Y1619" i="11" s="1"/>
  <c r="X3499" i="11"/>
  <c r="X3387" i="11"/>
  <c r="X140" i="11"/>
  <c r="X3104" i="11"/>
  <c r="X1537" i="11"/>
  <c r="X182" i="11"/>
  <c r="X3024" i="11"/>
  <c r="X2016" i="11"/>
  <c r="X966" i="11"/>
  <c r="X3425" i="11"/>
  <c r="X3422" i="11"/>
  <c r="X1418" i="11"/>
  <c r="X602" i="11"/>
  <c r="X3492" i="11"/>
  <c r="X2662" i="11"/>
  <c r="X304" i="11"/>
  <c r="X1959" i="11"/>
  <c r="X603" i="11"/>
  <c r="X1751" i="11"/>
  <c r="X2767" i="11"/>
  <c r="X3168" i="11"/>
  <c r="X2019" i="11"/>
  <c r="X377" i="11"/>
  <c r="X2654" i="11"/>
  <c r="Y2653" i="11" s="1"/>
  <c r="X1162" i="11"/>
  <c r="X168" i="11"/>
  <c r="X3292" i="11"/>
  <c r="X1609" i="11"/>
  <c r="X283" i="11"/>
  <c r="Y282" i="11" s="1"/>
  <c r="X2497" i="11"/>
  <c r="X806" i="11"/>
  <c r="X2529" i="11"/>
  <c r="X900" i="11"/>
  <c r="X3054" i="11"/>
  <c r="X1585" i="11"/>
  <c r="X322" i="11"/>
  <c r="X1794" i="11"/>
  <c r="X1759" i="11"/>
  <c r="X1309" i="11"/>
  <c r="X686" i="11"/>
  <c r="Y686" i="11" s="1"/>
  <c r="X289" i="11"/>
  <c r="X2805" i="11"/>
  <c r="X1274" i="11"/>
  <c r="X855" i="11"/>
  <c r="X2048" i="11"/>
  <c r="X1244" i="11"/>
  <c r="X2492" i="11"/>
  <c r="X611" i="11"/>
  <c r="X2986" i="11"/>
  <c r="Y2986" i="11" s="1"/>
  <c r="X2792" i="11"/>
  <c r="X2567" i="11"/>
  <c r="X469" i="11"/>
  <c r="X2664" i="11"/>
  <c r="X1130" i="11"/>
  <c r="X171" i="11"/>
  <c r="X841" i="11"/>
  <c r="X2758" i="11"/>
  <c r="X2303" i="11"/>
  <c r="Y2303" i="11" s="1"/>
  <c r="X1243" i="11"/>
  <c r="X1394" i="11"/>
  <c r="X2499" i="11"/>
  <c r="X658" i="11"/>
  <c r="X975" i="11"/>
  <c r="X3063" i="11"/>
  <c r="X926" i="11"/>
  <c r="X223" i="11"/>
  <c r="Y222" i="11" s="1"/>
  <c r="X3385" i="11"/>
  <c r="X3342" i="11"/>
  <c r="X3409" i="11"/>
  <c r="X585" i="11"/>
  <c r="X3475" i="11"/>
  <c r="X1389" i="11"/>
  <c r="X73" i="11"/>
  <c r="X2339" i="11"/>
  <c r="X138" i="11"/>
  <c r="X2352" i="11"/>
  <c r="X486" i="11"/>
  <c r="X2007" i="11"/>
  <c r="X1742" i="11"/>
  <c r="X968" i="11"/>
  <c r="X3016" i="11"/>
  <c r="Y3016" i="11" s="1"/>
  <c r="X630" i="11"/>
  <c r="X201" i="11"/>
  <c r="X3210" i="11"/>
  <c r="X3069" i="11"/>
  <c r="X2680" i="11"/>
  <c r="Y2680" i="11" s="1"/>
  <c r="X2952" i="11"/>
  <c r="Y2952" i="11" s="1"/>
  <c r="X655" i="11"/>
  <c r="X1608" i="11"/>
  <c r="X293" i="11"/>
  <c r="X1250" i="11"/>
  <c r="X1254" i="11"/>
  <c r="Y1253" i="11" s="1"/>
  <c r="X2247" i="11"/>
  <c r="X2811" i="11"/>
  <c r="X2246" i="11"/>
  <c r="X2863" i="11"/>
  <c r="X1231" i="11"/>
  <c r="X3284" i="11"/>
  <c r="X1549" i="11"/>
  <c r="X936" i="11"/>
  <c r="X1006" i="11"/>
  <c r="X2075" i="11"/>
  <c r="Y2074" i="11" s="1"/>
  <c r="X1943" i="11"/>
  <c r="X1457" i="11"/>
  <c r="X920" i="11"/>
  <c r="X2127" i="11"/>
  <c r="X2405" i="11"/>
  <c r="X56" i="11"/>
  <c r="X21" i="11"/>
  <c r="X2859" i="11"/>
  <c r="X978" i="11"/>
  <c r="X35" i="11"/>
  <c r="Y34" i="11" s="1"/>
  <c r="X3196" i="11"/>
  <c r="X2277" i="11"/>
  <c r="X1460" i="11"/>
  <c r="X570" i="11"/>
  <c r="X3388" i="11"/>
  <c r="X3081" i="11"/>
  <c r="X1548" i="11"/>
  <c r="X962" i="11"/>
  <c r="X3453" i="11"/>
  <c r="X2080" i="11"/>
  <c r="X3352" i="11"/>
  <c r="X2570" i="11"/>
  <c r="X987" i="11"/>
  <c r="X2898" i="11"/>
  <c r="X3218" i="11"/>
  <c r="X3437" i="11"/>
  <c r="X2364" i="11"/>
  <c r="X604" i="11"/>
  <c r="Y603" i="11" s="1"/>
  <c r="X3118" i="11"/>
  <c r="X3116" i="11"/>
  <c r="X965" i="11"/>
  <c r="X3423" i="11"/>
  <c r="X1982" i="11"/>
  <c r="X698" i="11"/>
  <c r="X2766" i="11"/>
  <c r="X1139" i="11"/>
  <c r="X2826" i="11"/>
  <c r="X944" i="11"/>
  <c r="Y943" i="11" s="1"/>
  <c r="X3383" i="11"/>
  <c r="X1909" i="11"/>
  <c r="X572" i="11"/>
  <c r="X2999" i="11"/>
  <c r="Y2998" i="11" s="1"/>
  <c r="X1214" i="11"/>
  <c r="X432" i="11"/>
  <c r="X3269" i="11"/>
  <c r="X1494" i="11"/>
  <c r="X1762" i="11"/>
  <c r="X2523" i="11"/>
  <c r="X751" i="11"/>
  <c r="X176" i="11"/>
  <c r="Y176" i="11" s="1"/>
  <c r="X867" i="11"/>
  <c r="X1572" i="11"/>
  <c r="X1743" i="11"/>
  <c r="X1566" i="11"/>
  <c r="X2436" i="11"/>
  <c r="X1410" i="11"/>
  <c r="X829" i="11"/>
  <c r="X1523" i="11"/>
  <c r="X644" i="11"/>
  <c r="X1262" i="11"/>
  <c r="X3263" i="11"/>
  <c r="X270" i="11"/>
  <c r="X788" i="11"/>
  <c r="Y787" i="11" s="1"/>
  <c r="X3198" i="11"/>
  <c r="X1534" i="11"/>
  <c r="X437" i="11"/>
  <c r="X1294" i="11"/>
  <c r="X1290" i="11"/>
  <c r="X678" i="11"/>
  <c r="X3129" i="11"/>
  <c r="X729" i="11"/>
  <c r="X3332" i="11"/>
  <c r="X1690" i="11"/>
  <c r="X45" i="11"/>
  <c r="X2309" i="11"/>
  <c r="X193" i="11"/>
  <c r="Y192" i="11" s="1"/>
  <c r="X3143" i="11"/>
  <c r="X1561" i="11"/>
  <c r="X54" i="11"/>
  <c r="X2918" i="11"/>
  <c r="X305" i="11"/>
  <c r="X2530" i="11"/>
  <c r="Y2529" i="11" s="1"/>
  <c r="X2338" i="11"/>
  <c r="X2574" i="11"/>
  <c r="Y2573" i="11" s="1"/>
  <c r="X3444" i="11"/>
  <c r="X558" i="11"/>
  <c r="X2770" i="11"/>
  <c r="Y2770" i="11" s="1"/>
  <c r="X3462" i="11"/>
  <c r="X348" i="11"/>
  <c r="X562" i="11"/>
  <c r="X387" i="11"/>
  <c r="X985" i="11"/>
  <c r="X853" i="11"/>
  <c r="X2861" i="11"/>
  <c r="X157" i="11"/>
  <c r="X3009" i="11"/>
  <c r="X1020" i="11"/>
  <c r="X2340" i="11"/>
  <c r="X2988" i="11"/>
  <c r="X2730" i="11"/>
  <c r="Y2730" i="11" s="1"/>
  <c r="X435" i="11"/>
  <c r="X2366" i="11"/>
  <c r="X1688" i="11"/>
  <c r="X1647" i="11"/>
  <c r="X1473" i="11"/>
  <c r="X979" i="11"/>
  <c r="X546" i="11"/>
  <c r="X971" i="11"/>
  <c r="X1362" i="11"/>
  <c r="X3455" i="11"/>
  <c r="X3456" i="11"/>
  <c r="X3433" i="11"/>
  <c r="X976" i="11"/>
  <c r="Y975" i="11" s="1"/>
  <c r="X166" i="11"/>
  <c r="Y166" i="11" s="1"/>
  <c r="X3483" i="11"/>
  <c r="Y3482" i="11" s="1"/>
  <c r="X3395" i="11"/>
  <c r="X406" i="11"/>
  <c r="X360" i="11"/>
  <c r="X16" i="11"/>
  <c r="X3464" i="11"/>
  <c r="X3500" i="11"/>
  <c r="X3088" i="11"/>
  <c r="X2732" i="11"/>
  <c r="X2428" i="11"/>
  <c r="Y2427" i="11" s="1"/>
  <c r="X1744" i="11"/>
  <c r="X1364" i="11"/>
  <c r="X980" i="11"/>
  <c r="X614" i="11"/>
  <c r="Y613" i="11" s="1"/>
  <c r="X95" i="11"/>
  <c r="X77" i="11"/>
  <c r="X352" i="11"/>
  <c r="X3396" i="11"/>
  <c r="X3498" i="11"/>
  <c r="X3201" i="11"/>
  <c r="X2925" i="11"/>
  <c r="Y2924" i="11" s="1"/>
  <c r="X2862" i="11"/>
  <c r="X2494" i="11"/>
  <c r="X2065" i="11"/>
  <c r="X2014" i="11"/>
  <c r="Y2014" i="11" s="1"/>
  <c r="X1713" i="11"/>
  <c r="X1587" i="11"/>
  <c r="X1356" i="11"/>
  <c r="X942" i="11"/>
  <c r="X1042" i="11"/>
  <c r="X845" i="11"/>
  <c r="X535" i="11"/>
  <c r="X294" i="11"/>
  <c r="X399" i="11"/>
  <c r="X89" i="11"/>
  <c r="X3480" i="11"/>
  <c r="X3335" i="11"/>
  <c r="X66" i="11"/>
  <c r="X132" i="11"/>
  <c r="X3408" i="11"/>
  <c r="X3035" i="11"/>
  <c r="X2830" i="11"/>
  <c r="X2052" i="11"/>
  <c r="X1515" i="11"/>
  <c r="X1593" i="11"/>
  <c r="X1221" i="11"/>
  <c r="X1060" i="11"/>
  <c r="X515" i="11"/>
  <c r="Y514" i="11" s="1"/>
  <c r="X284" i="11"/>
  <c r="X544" i="11"/>
  <c r="X3378" i="11"/>
  <c r="X3468" i="11"/>
  <c r="X3206" i="11"/>
  <c r="Y3205" i="11" s="1"/>
  <c r="X2841" i="11"/>
  <c r="X2512" i="11"/>
  <c r="X2066" i="11"/>
  <c r="X835" i="11"/>
  <c r="Y835" i="11" s="1"/>
  <c r="X155" i="11"/>
  <c r="X272" i="11"/>
  <c r="X3445" i="11"/>
  <c r="X3141" i="11"/>
  <c r="X2902" i="11"/>
  <c r="X2472" i="11"/>
  <c r="Y2471" i="11" s="1"/>
  <c r="X2027" i="11"/>
  <c r="X1467" i="11"/>
  <c r="X1081" i="11"/>
  <c r="X823" i="11"/>
  <c r="X332" i="11"/>
  <c r="X471" i="11"/>
  <c r="X42" i="11"/>
  <c r="X2719" i="11"/>
  <c r="X1575" i="11"/>
  <c r="X396" i="11"/>
  <c r="X149" i="11"/>
  <c r="X3221" i="11"/>
  <c r="X2625" i="11"/>
  <c r="X671" i="11"/>
  <c r="X404" i="11"/>
  <c r="X3419" i="11"/>
  <c r="X3109" i="11"/>
  <c r="X2744" i="11"/>
  <c r="Y2744" i="11" s="1"/>
  <c r="X2611" i="11"/>
  <c r="X2341" i="11"/>
  <c r="X1686" i="11"/>
  <c r="X1249" i="11"/>
  <c r="X950" i="11"/>
  <c r="X569" i="11"/>
  <c r="X317" i="11"/>
  <c r="Y316" i="11" s="1"/>
  <c r="X30" i="11"/>
  <c r="X3418" i="11"/>
  <c r="X3011" i="11"/>
  <c r="X2411" i="11"/>
  <c r="X1558" i="11"/>
  <c r="X472" i="11"/>
  <c r="X3010" i="11"/>
  <c r="X1213" i="11"/>
  <c r="X219" i="11"/>
  <c r="X2560" i="11"/>
  <c r="X1069" i="11"/>
  <c r="X118" i="11"/>
  <c r="X1271" i="11"/>
  <c r="X461" i="11"/>
  <c r="X3363" i="11"/>
  <c r="X3283" i="11"/>
  <c r="X2895" i="11"/>
  <c r="X2502" i="11"/>
  <c r="X1980" i="11"/>
  <c r="X1559" i="11"/>
  <c r="X1306" i="11"/>
  <c r="X542" i="11"/>
  <c r="X184" i="11"/>
  <c r="X3486" i="11"/>
  <c r="X3097" i="11"/>
  <c r="X2723" i="11"/>
  <c r="X2429" i="11"/>
  <c r="X1712" i="11"/>
  <c r="X1553" i="11"/>
  <c r="Y1553" i="11" s="1"/>
  <c r="X1015" i="11"/>
  <c r="X625" i="11"/>
  <c r="X61" i="11"/>
  <c r="X3345" i="11"/>
  <c r="X2784" i="11"/>
  <c r="X2637" i="11"/>
  <c r="X2018" i="11"/>
  <c r="X1480" i="11"/>
  <c r="X1194" i="11"/>
  <c r="X832" i="11"/>
  <c r="X402" i="11"/>
  <c r="X398" i="11"/>
  <c r="X3339" i="11"/>
  <c r="X3057" i="11"/>
  <c r="X2876" i="11"/>
  <c r="X2715" i="11"/>
  <c r="Y2714" i="11" s="1"/>
  <c r="X1680" i="11"/>
  <c r="Y1680" i="11" s="1"/>
  <c r="X1428" i="11"/>
  <c r="X1010" i="11"/>
  <c r="X859" i="11"/>
  <c r="X429" i="11"/>
  <c r="Y428" i="11" s="1"/>
  <c r="X188" i="11"/>
  <c r="X315" i="11"/>
  <c r="Y314" i="11" s="1"/>
  <c r="X3400" i="11"/>
  <c r="X2839" i="11"/>
  <c r="X1645" i="11"/>
  <c r="Y1644" i="11" s="1"/>
  <c r="X590" i="11"/>
  <c r="X2571" i="11"/>
  <c r="X638" i="11"/>
  <c r="X873" i="11"/>
  <c r="X2867" i="11"/>
  <c r="X1234" i="11"/>
  <c r="X1435" i="11"/>
  <c r="X1235" i="11"/>
  <c r="X1095" i="11"/>
  <c r="X621" i="11"/>
  <c r="X817" i="11"/>
  <c r="X3264" i="11"/>
  <c r="X1039" i="11"/>
  <c r="X1327" i="11"/>
  <c r="X2793" i="11"/>
  <c r="X1654" i="11"/>
  <c r="X2721" i="11"/>
  <c r="X2043" i="11"/>
  <c r="X1541" i="11"/>
  <c r="X3079" i="11"/>
  <c r="Y3079" i="11" s="1"/>
  <c r="X2688" i="11"/>
  <c r="X1716" i="11"/>
  <c r="Y1716" i="11" s="1"/>
  <c r="X1044" i="11"/>
  <c r="X1705" i="11"/>
  <c r="X1008" i="11"/>
  <c r="Y1007" i="11" s="1"/>
  <c r="X59" i="11"/>
  <c r="X1117" i="11"/>
  <c r="X276" i="11"/>
  <c r="X2852" i="11"/>
  <c r="X1227" i="11"/>
  <c r="X2769" i="11"/>
  <c r="X666" i="11"/>
  <c r="X3237" i="11"/>
  <c r="X3102" i="11"/>
  <c r="X902" i="11"/>
  <c r="X1141" i="11"/>
  <c r="X1237" i="11"/>
  <c r="X3266" i="11"/>
  <c r="X2612" i="11"/>
  <c r="X582" i="11"/>
  <c r="X1367" i="11"/>
  <c r="X1492" i="11"/>
  <c r="X1357" i="11"/>
  <c r="X2556" i="11"/>
  <c r="X246" i="11"/>
  <c r="X1430" i="11"/>
  <c r="X2941" i="11"/>
  <c r="Y2940" i="11" s="1"/>
  <c r="X1776" i="11"/>
  <c r="X3274" i="11"/>
  <c r="X2645" i="11"/>
  <c r="X1476" i="11"/>
  <c r="X575" i="11"/>
  <c r="X1798" i="11"/>
  <c r="X1360" i="11"/>
  <c r="X1569" i="11"/>
  <c r="X32" i="11"/>
  <c r="X1318" i="11"/>
  <c r="X2316" i="11"/>
  <c r="X2873" i="11"/>
  <c r="X2270" i="11"/>
  <c r="X1119" i="11"/>
  <c r="X2297" i="11"/>
  <c r="X2030" i="11"/>
  <c r="X1556" i="11"/>
  <c r="X3236" i="11"/>
  <c r="X3133" i="11"/>
  <c r="X2064" i="11"/>
  <c r="X1503" i="11"/>
  <c r="X3096" i="11"/>
  <c r="X88" i="11"/>
  <c r="X495" i="11"/>
  <c r="X3254" i="11"/>
  <c r="X1736" i="11"/>
  <c r="X2673" i="11"/>
  <c r="X1849" i="11"/>
  <c r="X1029" i="11"/>
  <c r="X3280" i="11"/>
  <c r="X1755" i="11"/>
  <c r="X218" i="11"/>
  <c r="X1100" i="11"/>
  <c r="X257" i="11"/>
  <c r="X1016" i="11"/>
  <c r="X1373" i="11"/>
  <c r="Y1372" i="11" s="1"/>
  <c r="X1622" i="11"/>
  <c r="X3094" i="11"/>
  <c r="X97" i="11"/>
  <c r="X822" i="11"/>
  <c r="X2250" i="11"/>
  <c r="X2448" i="11"/>
  <c r="Y2447" i="11" s="1"/>
  <c r="X518" i="11"/>
  <c r="X2821" i="11"/>
  <c r="X143" i="11"/>
  <c r="X3025" i="11"/>
  <c r="X637" i="11"/>
  <c r="X932" i="11"/>
  <c r="X991" i="11"/>
  <c r="X1766" i="11"/>
  <c r="X2787" i="11"/>
  <c r="X448" i="11"/>
  <c r="X3029" i="11"/>
  <c r="X1426" i="11"/>
  <c r="X773" i="11"/>
  <c r="X3074" i="11"/>
  <c r="X1633" i="11"/>
  <c r="Y1632" i="11" s="1"/>
  <c r="X1286" i="11"/>
  <c r="X424" i="11"/>
  <c r="X697" i="11"/>
  <c r="Y696" i="11" s="1"/>
  <c r="X2532" i="11"/>
  <c r="X2718" i="11"/>
  <c r="X3487" i="11"/>
  <c r="X3340" i="11"/>
  <c r="X134" i="11"/>
  <c r="X3479" i="11"/>
  <c r="X3449" i="11"/>
  <c r="X2674" i="11"/>
  <c r="X1693" i="11"/>
  <c r="X1302" i="11"/>
  <c r="X385" i="11"/>
  <c r="Y384" i="11" s="1"/>
  <c r="X347" i="11"/>
  <c r="X3391" i="11"/>
  <c r="X3174" i="11"/>
  <c r="Y3173" i="11" s="1"/>
  <c r="X2922" i="11"/>
  <c r="Y2922" i="11" s="1"/>
  <c r="X1949" i="11"/>
  <c r="X1454" i="11"/>
  <c r="X1071" i="11"/>
  <c r="X262" i="11"/>
  <c r="X489" i="11"/>
  <c r="Y488" i="11" s="1"/>
  <c r="X2279" i="11"/>
  <c r="X26" i="11"/>
  <c r="X3034" i="11"/>
  <c r="X1940" i="11"/>
  <c r="X1336" i="11"/>
  <c r="X1261" i="11"/>
  <c r="X497" i="11"/>
  <c r="X3503" i="11"/>
  <c r="X3190" i="11"/>
  <c r="X2477" i="11"/>
  <c r="X793" i="11"/>
  <c r="X139" i="11"/>
  <c r="X3134" i="11"/>
  <c r="X2337" i="11"/>
  <c r="X1264" i="11"/>
  <c r="X214" i="11"/>
  <c r="X57" i="11"/>
  <c r="X1674" i="11"/>
  <c r="X3431" i="11"/>
  <c r="X2487" i="11"/>
  <c r="X3465" i="11"/>
  <c r="X2641" i="11"/>
  <c r="X2262" i="11"/>
  <c r="X1328" i="11"/>
  <c r="X466" i="11"/>
  <c r="X85" i="11"/>
  <c r="X2904" i="11"/>
  <c r="X1317" i="11"/>
  <c r="X3013" i="11"/>
  <c r="X96" i="11"/>
  <c r="X762" i="11"/>
  <c r="X1155" i="11"/>
  <c r="X3448" i="11"/>
  <c r="X2802" i="11"/>
  <c r="X1953" i="11"/>
  <c r="X1416" i="11"/>
  <c r="X416" i="11"/>
  <c r="X3302" i="11"/>
  <c r="X2677" i="11"/>
  <c r="X1660" i="11"/>
  <c r="X1353" i="11"/>
  <c r="Y1353" i="11" s="1"/>
  <c r="X431" i="11"/>
  <c r="X2869" i="11"/>
  <c r="X1228" i="11"/>
  <c r="X643" i="11"/>
  <c r="X47" i="11"/>
  <c r="X3060" i="11"/>
  <c r="X2599" i="11"/>
  <c r="Y2599" i="11" s="1"/>
  <c r="X1464" i="11"/>
  <c r="X800" i="11"/>
  <c r="X79" i="11"/>
  <c r="X3348" i="11"/>
  <c r="X1489" i="11"/>
  <c r="X3290" i="11"/>
  <c r="X2531" i="11"/>
  <c r="X1149" i="11"/>
  <c r="X549" i="11"/>
  <c r="X957" i="11"/>
  <c r="X292" i="11"/>
  <c r="X2979" i="11"/>
  <c r="X2486" i="11"/>
  <c r="X1114" i="11"/>
  <c r="X493" i="11"/>
  <c r="X681" i="11"/>
  <c r="X10" i="11"/>
  <c r="X626" i="11"/>
  <c r="X3027" i="11"/>
  <c r="X2591" i="11"/>
  <c r="X953" i="11"/>
  <c r="X2658" i="11"/>
  <c r="X2420" i="11"/>
  <c r="X1057" i="11"/>
  <c r="X1111" i="11"/>
  <c r="X2555" i="11"/>
  <c r="X2748" i="11"/>
  <c r="X2650" i="11"/>
  <c r="X595" i="11"/>
  <c r="X1239" i="11"/>
  <c r="X1646" i="11"/>
  <c r="X2589" i="11"/>
  <c r="X1722" i="11"/>
  <c r="X1506" i="11"/>
  <c r="X205" i="11"/>
  <c r="X2518" i="11"/>
  <c r="X3245" i="11"/>
  <c r="X1757" i="11"/>
  <c r="X3243" i="11"/>
  <c r="X1665" i="11"/>
  <c r="Y1664" i="11" s="1"/>
  <c r="X3314" i="11"/>
  <c r="X615" i="11"/>
  <c r="Y615" i="11" s="1"/>
  <c r="X1334" i="11"/>
  <c r="X2754" i="11"/>
  <c r="X3142" i="11"/>
  <c r="Y3141" i="11" s="1"/>
  <c r="X2310" i="11"/>
  <c r="X3306" i="11"/>
  <c r="X1352" i="11"/>
  <c r="X755" i="11"/>
  <c r="X930" i="11"/>
  <c r="X1570" i="11"/>
  <c r="X1315" i="11"/>
  <c r="X2621" i="11"/>
  <c r="X2844" i="11"/>
  <c r="X1485" i="11"/>
  <c r="X3032" i="11"/>
  <c r="X1728" i="11"/>
  <c r="X39" i="11"/>
  <c r="X1338" i="11"/>
  <c r="X3402" i="11"/>
  <c r="Y3401" i="11" s="1"/>
  <c r="X2956" i="11"/>
  <c r="X41" i="11"/>
  <c r="X3406" i="11"/>
  <c r="Y3405" i="11" s="1"/>
  <c r="X3476" i="11"/>
  <c r="X2652" i="11"/>
  <c r="X1781" i="11"/>
  <c r="X128" i="11"/>
  <c r="X24" i="11"/>
  <c r="X3293" i="11"/>
  <c r="X2810" i="11"/>
  <c r="X1920" i="11"/>
  <c r="X1740" i="11"/>
  <c r="Y1740" i="11" s="1"/>
  <c r="X1048" i="11"/>
  <c r="X464" i="11"/>
  <c r="X25" i="11"/>
  <c r="X3373" i="11"/>
  <c r="X46" i="11"/>
  <c r="X3452" i="11"/>
  <c r="X2437" i="11"/>
  <c r="X1582" i="11"/>
  <c r="X1074" i="11"/>
  <c r="X597" i="11"/>
  <c r="X3447" i="11"/>
  <c r="Y3446" i="11" s="1"/>
  <c r="X3301" i="11"/>
  <c r="X2628" i="11"/>
  <c r="X2025" i="11"/>
  <c r="Y2024" i="11" s="1"/>
  <c r="X673" i="11"/>
  <c r="X3377" i="11"/>
  <c r="X2864" i="11"/>
  <c r="X1926" i="11"/>
  <c r="X988" i="11"/>
  <c r="Y987" i="11" s="1"/>
  <c r="X263" i="11"/>
  <c r="X2493" i="11"/>
  <c r="X295" i="11"/>
  <c r="X3061" i="11"/>
  <c r="X875" i="11"/>
  <c r="X3305" i="11"/>
  <c r="X2579" i="11"/>
  <c r="X1941" i="11"/>
  <c r="Y1941" i="11" s="1"/>
  <c r="X1340" i="11"/>
  <c r="X426" i="11"/>
  <c r="Y426" i="11" s="1"/>
  <c r="X3399" i="11"/>
  <c r="X2363" i="11"/>
  <c r="X420" i="11"/>
  <c r="X553" i="11"/>
  <c r="X2349" i="11"/>
  <c r="X2877" i="11"/>
  <c r="X22" i="11"/>
  <c r="X3222" i="11"/>
  <c r="Y3221" i="11" s="1"/>
  <c r="X2422" i="11"/>
  <c r="X1479" i="11"/>
  <c r="X423" i="11"/>
  <c r="X3354" i="11"/>
  <c r="X2626" i="11"/>
  <c r="X1624" i="11"/>
  <c r="X1034" i="11"/>
  <c r="X337" i="11"/>
  <c r="X2822" i="11"/>
  <c r="X1730" i="11"/>
  <c r="X537" i="11"/>
  <c r="X104" i="11"/>
  <c r="X3000" i="11"/>
  <c r="X2572" i="11"/>
  <c r="Y2571" i="11" s="1"/>
  <c r="X1265" i="11"/>
  <c r="X58" i="11"/>
  <c r="X1241" i="11"/>
  <c r="X2772" i="11"/>
  <c r="X3241" i="11"/>
  <c r="X2432" i="11"/>
  <c r="X2640" i="11"/>
  <c r="X803" i="11"/>
  <c r="X1675" i="11"/>
  <c r="X226" i="11"/>
  <c r="X2967" i="11"/>
  <c r="X1595" i="11"/>
  <c r="X1668" i="11"/>
  <c r="Y1668" i="11" s="1"/>
  <c r="X1951" i="11"/>
  <c r="X1390" i="11"/>
  <c r="X2828" i="11"/>
  <c r="X521" i="11"/>
  <c r="X3217" i="11"/>
  <c r="X311" i="11"/>
  <c r="X381" i="11"/>
  <c r="X2917" i="11"/>
  <c r="X2969" i="11"/>
  <c r="Y2968" i="11" s="1"/>
  <c r="X3131" i="11"/>
  <c r="X3132" i="11"/>
  <c r="X2275" i="11"/>
  <c r="X127" i="11"/>
  <c r="X2683" i="11"/>
  <c r="X1027" i="11"/>
  <c r="X3084" i="11"/>
  <c r="X275" i="11"/>
  <c r="X2330" i="11"/>
  <c r="X1036" i="11"/>
  <c r="X3071" i="11"/>
  <c r="X2554" i="11"/>
  <c r="X2324" i="11"/>
  <c r="X538" i="11"/>
  <c r="X3162" i="11"/>
  <c r="X3186" i="11"/>
  <c r="X451" i="11"/>
  <c r="Y450" i="11" s="1"/>
  <c r="X601" i="11"/>
  <c r="X1465" i="11"/>
  <c r="X1498" i="11"/>
  <c r="Y1498" i="11" s="1"/>
  <c r="X1104" i="11"/>
  <c r="X1310" i="11"/>
  <c r="Y1309" i="11" s="1"/>
  <c r="X1000" i="11"/>
  <c r="X797" i="11"/>
  <c r="X2435" i="11"/>
  <c r="X607" i="11"/>
  <c r="X1636" i="11"/>
  <c r="X3203" i="11"/>
  <c r="X1764" i="11"/>
  <c r="X215" i="11"/>
  <c r="X1594" i="11"/>
  <c r="X1220" i="11"/>
  <c r="X2709" i="11"/>
  <c r="Y2708" i="11" s="1"/>
  <c r="X1170" i="11"/>
  <c r="X3082" i="11"/>
  <c r="X1150" i="11"/>
  <c r="X555" i="11"/>
  <c r="X1032" i="11"/>
  <c r="X2687" i="11"/>
  <c r="Y2686" i="11" s="1"/>
  <c r="X2794" i="11"/>
  <c r="X3008" i="11"/>
  <c r="X1662" i="11"/>
  <c r="X1080" i="11"/>
  <c r="X1102" i="11"/>
  <c r="X1233" i="11"/>
  <c r="X3427" i="11"/>
  <c r="X481" i="11"/>
  <c r="X2453" i="11"/>
  <c r="X723" i="11"/>
  <c r="X229" i="11"/>
  <c r="Y228" i="11" s="1"/>
  <c r="X960" i="11"/>
  <c r="X1589" i="11"/>
  <c r="X1384" i="11"/>
  <c r="X2629" i="11"/>
  <c r="X3315" i="11"/>
  <c r="X266" i="11"/>
  <c r="X1226" i="11"/>
  <c r="X916" i="11"/>
  <c r="X1326" i="11"/>
  <c r="X3136" i="11"/>
  <c r="X2947" i="11"/>
  <c r="X792" i="11"/>
  <c r="X3321" i="11"/>
  <c r="X955" i="11"/>
  <c r="X1522" i="11"/>
  <c r="X1771" i="11"/>
  <c r="X1043" i="11"/>
  <c r="X2602" i="11"/>
  <c r="X3083" i="11"/>
  <c r="X3252" i="11"/>
  <c r="X2071" i="11"/>
  <c r="Y2070" i="11" s="1"/>
  <c r="X782" i="11"/>
  <c r="X3277" i="11"/>
  <c r="X2537" i="11"/>
  <c r="X3289" i="11"/>
  <c r="X3151" i="11"/>
  <c r="X2393" i="11"/>
  <c r="X491" i="11"/>
  <c r="Y490" i="11" s="1"/>
  <c r="X2738" i="11"/>
  <c r="X3390" i="11"/>
  <c r="X3467" i="11"/>
  <c r="Y3466" i="11" s="1"/>
  <c r="X3359" i="11"/>
  <c r="X3410" i="11"/>
  <c r="Y3409" i="11" s="1"/>
  <c r="X927" i="11"/>
  <c r="X51" i="11"/>
  <c r="X3440" i="11"/>
  <c r="X2980" i="11"/>
  <c r="X2385" i="11"/>
  <c r="X69" i="11"/>
  <c r="X44" i="11"/>
  <c r="X3441" i="11"/>
  <c r="X2929" i="11"/>
  <c r="X2440" i="11"/>
  <c r="X2073" i="11"/>
  <c r="X1596" i="11"/>
  <c r="X1133" i="11"/>
  <c r="X483" i="11"/>
  <c r="X392" i="11"/>
  <c r="X3451" i="11"/>
  <c r="X17" i="11"/>
  <c r="Y16" i="11" s="1"/>
  <c r="X3368" i="11"/>
  <c r="X2441" i="11"/>
  <c r="X1658" i="11"/>
  <c r="Y1658" i="11" s="1"/>
  <c r="X1165" i="11"/>
  <c r="X661" i="11"/>
  <c r="X701" i="11"/>
  <c r="X36" i="11"/>
  <c r="X3291" i="11"/>
  <c r="X2665" i="11"/>
  <c r="X2022" i="11"/>
  <c r="Y2022" i="11" s="1"/>
  <c r="X335" i="11"/>
  <c r="X3493" i="11"/>
  <c r="X2883" i="11"/>
  <c r="X2002" i="11"/>
  <c r="Y2002" i="11" s="1"/>
  <c r="X1650" i="11"/>
  <c r="X113" i="11"/>
  <c r="X2773" i="11"/>
  <c r="X618" i="11"/>
  <c r="X3103" i="11"/>
  <c r="X929" i="11"/>
  <c r="X29" i="11"/>
  <c r="X3127" i="11"/>
  <c r="X2476" i="11"/>
  <c r="X1789" i="11"/>
  <c r="X1242" i="11"/>
  <c r="Y1241" i="11" s="1"/>
  <c r="X207" i="11"/>
  <c r="X3421" i="11"/>
  <c r="X2398" i="11"/>
  <c r="Y2397" i="11" s="1"/>
  <c r="X172" i="11"/>
  <c r="X749" i="11"/>
  <c r="X2500" i="11"/>
  <c r="Y2499" i="11" s="1"/>
  <c r="X18" i="11"/>
  <c r="X492" i="11"/>
  <c r="X3411" i="11"/>
  <c r="X2546" i="11"/>
  <c r="X1462" i="11"/>
  <c r="X861" i="11"/>
  <c r="X185" i="11"/>
  <c r="X3001" i="11"/>
  <c r="X2243" i="11"/>
  <c r="X1329" i="11"/>
  <c r="X445" i="11"/>
  <c r="X3279" i="11"/>
  <c r="X2543" i="11"/>
  <c r="X1974" i="11"/>
  <c r="X1087" i="11"/>
  <c r="X827" i="11"/>
  <c r="X3435" i="11"/>
  <c r="Y3434" i="11" s="1"/>
  <c r="X2846" i="11"/>
  <c r="X1655" i="11"/>
  <c r="X958" i="11"/>
  <c r="X631" i="11"/>
  <c r="X417" i="11"/>
  <c r="X2833" i="11"/>
  <c r="X510" i="11"/>
  <c r="X1409" i="11"/>
  <c r="X808" i="11"/>
  <c r="X1092" i="11"/>
  <c r="X453" i="11"/>
  <c r="X3179" i="11"/>
  <c r="X2786" i="11"/>
  <c r="X2634" i="11"/>
  <c r="Y2633" i="11" s="1"/>
  <c r="X689" i="11"/>
  <c r="X2306" i="11"/>
  <c r="X2976" i="11"/>
  <c r="Y2976" i="11" s="1"/>
  <c r="X2676" i="11"/>
  <c r="X2046" i="11"/>
  <c r="X1565" i="11"/>
  <c r="X2710" i="11"/>
  <c r="X1560" i="11"/>
  <c r="X3107" i="11"/>
  <c r="X2871" i="11"/>
  <c r="Y2870" i="11" s="1"/>
  <c r="X250" i="11"/>
  <c r="X938" i="11"/>
  <c r="X693" i="11"/>
  <c r="X3085" i="11"/>
  <c r="X1770" i="11"/>
  <c r="X1143" i="11"/>
  <c r="Y1142" i="11" s="1"/>
  <c r="X3195" i="11"/>
  <c r="X339" i="11"/>
  <c r="X714" i="11"/>
  <c r="X3073" i="11"/>
  <c r="X3211" i="11"/>
  <c r="X501" i="11"/>
  <c r="X2909" i="11"/>
  <c r="Y2908" i="11" s="1"/>
  <c r="X1257" i="11"/>
  <c r="X1392" i="11"/>
  <c r="X1304" i="11"/>
  <c r="X1055" i="11"/>
  <c r="Y1054" i="11" s="1"/>
  <c r="X142" i="11"/>
  <c r="X1138" i="11"/>
  <c r="X1411" i="11"/>
  <c r="X1217" i="11"/>
  <c r="X1137" i="11"/>
  <c r="X2056" i="11"/>
  <c r="X1345" i="11"/>
  <c r="X1542" i="11"/>
  <c r="X1504" i="11"/>
  <c r="X2971" i="11"/>
  <c r="X3076" i="11"/>
  <c r="X581" i="11"/>
  <c r="X2491" i="11"/>
  <c r="X1154" i="11"/>
  <c r="X2547" i="11"/>
  <c r="X1305" i="11"/>
  <c r="X724" i="11"/>
  <c r="X2890" i="11"/>
  <c r="X1335" i="11"/>
  <c r="X3113" i="11"/>
  <c r="X1458" i="11"/>
  <c r="X1455" i="11"/>
  <c r="X2749" i="11"/>
  <c r="X3285" i="11"/>
  <c r="X1641" i="11"/>
  <c r="X3192" i="11"/>
  <c r="X2380" i="11"/>
  <c r="X819" i="11"/>
  <c r="X2590" i="11"/>
  <c r="X351" i="11"/>
  <c r="X1731" i="11"/>
  <c r="X3450" i="11"/>
  <c r="X3484" i="11"/>
  <c r="X3414" i="11"/>
  <c r="X3334" i="11"/>
  <c r="X608" i="11"/>
  <c r="X3358" i="11"/>
  <c r="X2993" i="11"/>
  <c r="X2327" i="11"/>
  <c r="X1192" i="11"/>
  <c r="X209" i="11"/>
  <c r="X361" i="11"/>
  <c r="X3331" i="11"/>
  <c r="X3144" i="11"/>
  <c r="X2639" i="11"/>
  <c r="X2415" i="11"/>
  <c r="Y2415" i="11" s="1"/>
  <c r="X1919" i="11"/>
  <c r="X1626" i="11"/>
  <c r="X1005" i="11"/>
  <c r="X937" i="11"/>
  <c r="X160" i="11"/>
  <c r="X106" i="11"/>
  <c r="X2287" i="11"/>
  <c r="X37" i="11"/>
  <c r="Y36" i="11" s="1"/>
  <c r="X2970" i="11"/>
  <c r="X2012" i="11"/>
  <c r="X1268" i="11"/>
  <c r="X1107" i="11"/>
  <c r="X390" i="11"/>
  <c r="Y390" i="11" s="1"/>
  <c r="X3432" i="11"/>
  <c r="X3175" i="11"/>
  <c r="X2586" i="11"/>
  <c r="X425" i="11"/>
  <c r="X3145" i="11"/>
  <c r="X2317" i="11"/>
  <c r="X1374" i="11"/>
  <c r="X743" i="11"/>
  <c r="X203" i="11"/>
  <c r="X93" i="11"/>
  <c r="Y92" i="11" s="1"/>
  <c r="X1270" i="11"/>
  <c r="Y1269" i="11" s="1"/>
  <c r="X3424" i="11"/>
  <c r="X2584" i="11"/>
  <c r="X169" i="11"/>
  <c r="X2966" i="11"/>
  <c r="X2697" i="11"/>
  <c r="X1637" i="11"/>
  <c r="X964" i="11"/>
  <c r="Y963" i="11" s="1"/>
  <c r="X74" i="11"/>
  <c r="X240" i="11"/>
  <c r="X2860" i="11"/>
  <c r="X1232" i="11"/>
  <c r="X2991" i="11"/>
  <c r="X350" i="11"/>
  <c r="X498" i="11"/>
  <c r="X1205" i="11"/>
  <c r="Y1205" i="11" s="1"/>
  <c r="X3353" i="11"/>
  <c r="X2848" i="11"/>
  <c r="X1958" i="11"/>
  <c r="X1777" i="11"/>
  <c r="X791" i="11"/>
  <c r="X363" i="11"/>
  <c r="X3002" i="11"/>
  <c r="X2061" i="11"/>
  <c r="X1281" i="11"/>
  <c r="Y1281" i="11" s="1"/>
  <c r="X3248" i="11"/>
  <c r="X2419" i="11"/>
  <c r="X1303" i="11"/>
  <c r="X1177" i="11"/>
  <c r="X415" i="11"/>
  <c r="Y414" i="11" s="1"/>
  <c r="X3481" i="11"/>
  <c r="Y3480" i="11" s="1"/>
  <c r="X2735" i="11"/>
  <c r="X1727" i="11"/>
  <c r="X830" i="11"/>
  <c r="X440" i="11"/>
  <c r="X99" i="11"/>
  <c r="X3270" i="11"/>
  <c r="X2707" i="11"/>
  <c r="X1543" i="11"/>
  <c r="X657" i="11"/>
  <c r="Y656" i="11" s="1"/>
  <c r="X2242" i="11"/>
  <c r="X1004" i="11"/>
  <c r="X2354" i="11"/>
  <c r="Y2353" i="11" s="1"/>
  <c r="X2451" i="11"/>
  <c r="X664" i="11"/>
  <c r="X123" i="11"/>
  <c r="Y122" i="11" s="1"/>
  <c r="X2750" i="11"/>
  <c r="X2288" i="11"/>
  <c r="X2693" i="11"/>
  <c r="X1450" i="11"/>
  <c r="X2442" i="11"/>
  <c r="X2271" i="11"/>
  <c r="Y2271" i="11" s="1"/>
  <c r="X407" i="11"/>
  <c r="X3119" i="11"/>
  <c r="X2588" i="11"/>
  <c r="X3187" i="11"/>
  <c r="X833" i="11"/>
  <c r="X2387" i="11"/>
  <c r="X2367" i="11"/>
  <c r="X1285" i="11"/>
  <c r="X297" i="11"/>
  <c r="X2946" i="11"/>
  <c r="X2464" i="11"/>
  <c r="Y2463" i="11" s="1"/>
  <c r="X663" i="11"/>
  <c r="X2817" i="11"/>
  <c r="X1702" i="11"/>
  <c r="X2077" i="11"/>
  <c r="Y2076" i="11" s="1"/>
  <c r="X1466" i="11"/>
  <c r="X809" i="11"/>
  <c r="X2059" i="11"/>
  <c r="X3089" i="11"/>
  <c r="X3172" i="11"/>
  <c r="X2513" i="11"/>
  <c r="X2465" i="11"/>
  <c r="X1151" i="11"/>
  <c r="X1183" i="11"/>
  <c r="Y1182" i="11" s="1"/>
  <c r="X1996" i="11"/>
  <c r="X1925" i="11"/>
  <c r="X2881" i="11"/>
  <c r="X2919" i="11"/>
  <c r="X1437" i="11"/>
  <c r="X1031" i="11"/>
  <c r="X2255" i="11"/>
  <c r="X181" i="11"/>
  <c r="Y180" i="11" s="1"/>
  <c r="X476" i="11"/>
  <c r="X1704" i="11"/>
  <c r="X2978" i="11"/>
  <c r="X2362" i="11"/>
  <c r="X766" i="11"/>
  <c r="X1200" i="11"/>
  <c r="Y1199" i="11" s="1"/>
  <c r="X105" i="11"/>
  <c r="X1507" i="11"/>
  <c r="X3478" i="11"/>
  <c r="X3474" i="11"/>
  <c r="X1105" i="11"/>
  <c r="X3298" i="11"/>
  <c r="X1957" i="11"/>
  <c r="X561" i="11"/>
  <c r="X76" i="11"/>
  <c r="X1083" i="11"/>
  <c r="X3343" i="11"/>
  <c r="X63" i="11"/>
  <c r="X765" i="11"/>
  <c r="X3068" i="11"/>
  <c r="X2469" i="11"/>
  <c r="X3362" i="11"/>
  <c r="X2299" i="11"/>
  <c r="X2423" i="11"/>
  <c r="X3436" i="11"/>
  <c r="X3346" i="11"/>
  <c r="X482" i="11"/>
  <c r="X1225" i="11"/>
  <c r="X1240" i="11"/>
  <c r="X2321" i="11"/>
  <c r="Y2320" i="11" s="1"/>
  <c r="X718" i="11"/>
  <c r="X1427" i="11"/>
  <c r="X1072" i="11"/>
  <c r="X1346" i="11"/>
  <c r="X735" i="11"/>
  <c r="X2004" i="11"/>
  <c r="X2768" i="11"/>
  <c r="X3047" i="11"/>
  <c r="X778" i="11"/>
  <c r="X388" i="11"/>
  <c r="X812" i="11"/>
  <c r="X2764" i="11"/>
  <c r="X1806" i="11"/>
  <c r="Y1806" i="11" s="1"/>
  <c r="X1860" i="11"/>
  <c r="X781" i="11"/>
  <c r="X2345" i="11"/>
  <c r="X71" i="11"/>
  <c r="X2623" i="11"/>
  <c r="X813" i="11"/>
  <c r="X2776" i="11"/>
  <c r="X1293" i="11"/>
  <c r="X3510" i="11"/>
  <c r="X1518" i="11"/>
  <c r="X3347" i="11"/>
  <c r="X730" i="11"/>
  <c r="X1376" i="11"/>
  <c r="X3361" i="11"/>
  <c r="Y3360" i="11" s="1"/>
  <c r="X1978" i="11"/>
  <c r="X2845" i="11"/>
  <c r="X811" i="11"/>
  <c r="X1746" i="11"/>
  <c r="X2804" i="11"/>
  <c r="X3182" i="11"/>
  <c r="X3513" i="11"/>
  <c r="Y3512" i="11" s="1"/>
  <c r="X648" i="11"/>
  <c r="X3086" i="11"/>
  <c r="Y3085" i="11" s="1"/>
  <c r="X2431" i="11"/>
  <c r="X1780" i="11"/>
  <c r="X2568" i="11"/>
  <c r="X179" i="11"/>
  <c r="Y178" i="11" s="1"/>
  <c r="X189" i="11"/>
  <c r="X444" i="11"/>
  <c r="X2663" i="11"/>
  <c r="X566" i="11"/>
  <c r="X2334" i="11"/>
  <c r="X1058" i="11"/>
  <c r="X2496" i="11"/>
  <c r="Y2495" i="11" s="1"/>
  <c r="X1491" i="11"/>
  <c r="X533" i="11"/>
  <c r="X2085" i="11"/>
  <c r="X3064" i="11"/>
  <c r="X1998" i="11"/>
  <c r="X2563" i="11"/>
  <c r="X1999" i="11"/>
  <c r="X851" i="11"/>
  <c r="X310" i="11"/>
  <c r="X1229" i="11"/>
  <c r="X312" i="11"/>
  <c r="X502" i="11"/>
  <c r="X685" i="11"/>
  <c r="X2746" i="11"/>
  <c r="X325" i="11"/>
  <c r="X959" i="11"/>
  <c r="X2315" i="11"/>
  <c r="X842" i="11"/>
  <c r="X879" i="11"/>
  <c r="X2258" i="11"/>
  <c r="X1461" i="11"/>
  <c r="X159" i="11"/>
  <c r="X3147" i="11"/>
  <c r="X1097" i="11"/>
  <c r="X1733" i="11"/>
  <c r="X786" i="11"/>
  <c r="X2907" i="11"/>
  <c r="X2417" i="11"/>
  <c r="X1656" i="11"/>
  <c r="X1112" i="11"/>
  <c r="Y1111" i="11" s="1"/>
  <c r="X2057" i="11"/>
  <c r="X225" i="11"/>
  <c r="X1907" i="11"/>
  <c r="X2263" i="11"/>
  <c r="X3053" i="11"/>
  <c r="X1085" i="11"/>
  <c r="X3042" i="11"/>
  <c r="X2269" i="11"/>
  <c r="X617" i="11"/>
  <c r="X717" i="11"/>
  <c r="X745" i="11"/>
  <c r="X530" i="11"/>
  <c r="X413" i="11"/>
  <c r="X133" i="11"/>
  <c r="X2865" i="11"/>
  <c r="Y2864" i="11" s="1"/>
  <c r="X600" i="11"/>
  <c r="X3247" i="11"/>
  <c r="X3224" i="11"/>
  <c r="Y3224" i="11" s="1"/>
  <c r="X1086" i="11"/>
  <c r="X1258" i="11"/>
  <c r="X260" i="11"/>
  <c r="X1159" i="11"/>
  <c r="X2058" i="11"/>
  <c r="X265" i="11"/>
  <c r="Y264" i="11" s="1"/>
  <c r="X400" i="11"/>
  <c r="X1314" i="11"/>
  <c r="X1248" i="11"/>
  <c r="X2021" i="11"/>
  <c r="X1483" i="11"/>
  <c r="X3148" i="11"/>
  <c r="X1062" i="11"/>
  <c r="X31" i="11"/>
  <c r="X1975" i="11"/>
  <c r="X3159" i="11"/>
  <c r="X641" i="11"/>
  <c r="X1586" i="11"/>
  <c r="X831" i="11"/>
  <c r="X2974" i="11"/>
  <c r="X3169" i="11"/>
  <c r="X1021" i="11"/>
  <c r="X3124" i="11"/>
  <c r="X2796" i="11"/>
  <c r="X1166" i="11"/>
  <c r="X327" i="11"/>
  <c r="X1366" i="11"/>
  <c r="X1666" i="11"/>
  <c r="X1526" i="11"/>
  <c r="X898" i="11"/>
  <c r="X2467" i="11"/>
  <c r="X598" i="11"/>
  <c r="X1436" i="11"/>
  <c r="X1277" i="11"/>
  <c r="X3075" i="11"/>
  <c r="X2396" i="11"/>
  <c r="Y2395" i="11" s="1"/>
  <c r="X547" i="11"/>
  <c r="X3160" i="11"/>
  <c r="X2280" i="11"/>
  <c r="Y2279" i="11" s="1"/>
  <c r="X1567" i="11"/>
  <c r="X2840" i="11"/>
  <c r="X2933" i="11"/>
  <c r="Y2932" i="11" s="1"/>
  <c r="X1605" i="11"/>
  <c r="X1011" i="11"/>
  <c r="X2478" i="11"/>
  <c r="X121" i="11"/>
  <c r="X1230" i="11"/>
  <c r="X2062" i="11"/>
  <c r="X2369" i="11"/>
  <c r="X3044" i="11"/>
  <c r="X1164" i="11"/>
  <c r="X102" i="11"/>
  <c r="X2961" i="11"/>
  <c r="X1514" i="11"/>
  <c r="X2622" i="11"/>
  <c r="X1853" i="11"/>
  <c r="X1939" i="11"/>
  <c r="X2410" i="11"/>
  <c r="Y2409" i="11" s="1"/>
  <c r="X290" i="11"/>
  <c r="X1396" i="11"/>
  <c r="X323" i="11"/>
  <c r="X340" i="11"/>
  <c r="X2559" i="11"/>
  <c r="X504" i="11"/>
  <c r="X456" i="11"/>
  <c r="X2818" i="11"/>
  <c r="X1804" i="11"/>
  <c r="X2937" i="11"/>
  <c r="X1634" i="11"/>
  <c r="X764" i="11"/>
  <c r="X3158" i="11"/>
  <c r="Y3157" i="11" s="1"/>
  <c r="X2649" i="11"/>
  <c r="X436" i="11"/>
  <c r="X1977" i="11"/>
  <c r="X2050" i="11"/>
  <c r="X1979" i="11"/>
  <c r="X3420" i="11"/>
  <c r="X3459" i="11"/>
  <c r="Y3458" i="11" s="1"/>
  <c r="X1635" i="11"/>
  <c r="X654" i="11"/>
  <c r="X141" i="11"/>
  <c r="X731" i="11"/>
  <c r="X3070" i="11"/>
  <c r="Y3069" i="11" s="1"/>
  <c r="X3028" i="11"/>
  <c r="X125" i="11"/>
  <c r="X974" i="11"/>
  <c r="X1470" i="11"/>
  <c r="X1065" i="11"/>
  <c r="X117" i="11"/>
  <c r="X629" i="11"/>
  <c r="X1419" i="11"/>
  <c r="X1765" i="11"/>
  <c r="X2705" i="11"/>
  <c r="Y2704" i="11" s="1"/>
  <c r="X27" i="11"/>
  <c r="Y26" i="11" s="1"/>
  <c r="X2539" i="11"/>
  <c r="X1030" i="11"/>
  <c r="X1796" i="11"/>
  <c r="Y1795" i="11" s="1"/>
  <c r="X1502" i="11"/>
  <c r="X2816" i="11"/>
  <c r="X2960" i="11"/>
  <c r="X2328" i="11"/>
  <c r="X3114" i="11"/>
  <c r="X2832" i="11"/>
  <c r="X1412" i="11"/>
  <c r="X2605" i="11"/>
  <c r="X2274" i="11"/>
  <c r="A346" i="11"/>
  <c r="A347" i="11" s="1"/>
  <c r="A296" i="11"/>
  <c r="A297" i="11" s="1"/>
  <c r="A1160" i="11"/>
  <c r="A1161" i="11" s="1"/>
  <c r="U232" i="11"/>
  <c r="X2911" i="11"/>
  <c r="X636" i="11"/>
  <c r="Y635" i="11" s="1"/>
  <c r="X610" i="11"/>
  <c r="X1625" i="11"/>
  <c r="X1601" i="11"/>
  <c r="X1967" i="11"/>
  <c r="X1359" i="11"/>
  <c r="X578" i="11"/>
  <c r="X877" i="11"/>
  <c r="X2934" i="11"/>
  <c r="X1861" i="11"/>
  <c r="X1785" i="11"/>
  <c r="X705" i="11"/>
  <c r="X1568" i="11"/>
  <c r="X2819" i="11"/>
  <c r="X259" i="11"/>
  <c r="X496" i="11"/>
  <c r="X890" i="11"/>
  <c r="X3095" i="11"/>
  <c r="X1706" i="11"/>
  <c r="X2335" i="11"/>
  <c r="X103" i="11"/>
  <c r="X1038" i="11"/>
  <c r="X2936" i="11"/>
  <c r="X737" i="11"/>
  <c r="X2675" i="11"/>
  <c r="Y2674" i="11" s="1"/>
  <c r="X556" i="11"/>
  <c r="X2033" i="11"/>
  <c r="N1125" i="11"/>
  <c r="X412" i="11"/>
  <c r="X506" i="11"/>
  <c r="X1763" i="11"/>
  <c r="X1365" i="11"/>
  <c r="X1639" i="11"/>
  <c r="X1981" i="11"/>
  <c r="X474" i="11"/>
  <c r="X1691" i="11"/>
  <c r="Y1690" i="11" s="1"/>
  <c r="X455" i="11"/>
  <c r="X2577" i="11"/>
  <c r="X1391" i="11"/>
  <c r="X1577" i="11"/>
  <c r="X500" i="11"/>
  <c r="X3117" i="11"/>
  <c r="T3224" i="11"/>
  <c r="X1023" i="11"/>
  <c r="X668" i="11"/>
  <c r="X2906" i="11"/>
  <c r="X1752" i="11"/>
  <c r="X3007" i="11"/>
  <c r="X1255" i="11"/>
  <c r="Y1255" i="11" s="1"/>
  <c r="X2266" i="11"/>
  <c r="Y2265" i="11" s="1"/>
  <c r="X740" i="11"/>
  <c r="X3297" i="11"/>
  <c r="X2505" i="11"/>
  <c r="X1355" i="11"/>
  <c r="X1073" i="11"/>
  <c r="X1245" i="11"/>
  <c r="X1429" i="11"/>
  <c r="X3294" i="11"/>
  <c r="X3167" i="11"/>
  <c r="X3193" i="11"/>
  <c r="X2742" i="11"/>
  <c r="X3191" i="11"/>
  <c r="X520" i="11"/>
  <c r="X584" i="11"/>
  <c r="X1288" i="11"/>
  <c r="X3140" i="11"/>
  <c r="X3139" i="11"/>
  <c r="X206" i="11"/>
  <c r="X2631" i="11"/>
  <c r="X1703" i="11"/>
  <c r="X48" i="11"/>
  <c r="A166" i="11"/>
  <c r="A167" i="11" s="1"/>
  <c r="U233" i="11"/>
  <c r="A235" i="11"/>
  <c r="A631" i="11"/>
  <c r="A632" i="11" s="1"/>
  <c r="A526" i="11"/>
  <c r="A527" i="11" s="1"/>
  <c r="U886" i="11"/>
  <c r="U652" i="11"/>
  <c r="A654" i="11"/>
  <c r="A655" i="11" s="1"/>
  <c r="A805" i="11"/>
  <c r="A806" i="11" s="1"/>
  <c r="U1085" i="11"/>
  <c r="U1362" i="11"/>
  <c r="A1364" i="11"/>
  <c r="A1365" i="11" s="1"/>
  <c r="A1056" i="11"/>
  <c r="A1057" i="11" s="1"/>
  <c r="U997" i="11"/>
  <c r="A1066" i="11"/>
  <c r="A1067" i="11" s="1"/>
  <c r="A1428" i="11"/>
  <c r="A1429" i="11" s="1"/>
  <c r="U1020" i="11"/>
  <c r="A1022" i="11"/>
  <c r="A1023" i="11" s="1"/>
  <c r="A1520" i="11"/>
  <c r="A1521" i="11" s="1"/>
  <c r="A1484" i="11"/>
  <c r="A1485" i="11" s="1"/>
  <c r="A1777" i="11"/>
  <c r="A1778" i="11" s="1"/>
  <c r="A1799" i="11"/>
  <c r="A1800" i="11" s="1"/>
  <c r="A1927" i="11"/>
  <c r="A1928" i="11" s="1"/>
  <c r="U1847" i="11"/>
  <c r="A1820" i="11"/>
  <c r="A1821" i="11" s="1"/>
  <c r="A1888" i="11"/>
  <c r="A1889" i="11" s="1"/>
  <c r="A1876" i="11"/>
  <c r="A1877" i="11" s="1"/>
  <c r="A1975" i="11"/>
  <c r="A1976" i="11" s="1"/>
  <c r="A2217" i="11"/>
  <c r="A2218" i="11" s="1"/>
  <c r="A1967" i="11"/>
  <c r="A1968" i="11" s="1"/>
  <c r="A2133" i="11"/>
  <c r="A2134" i="11" s="1"/>
  <c r="A2328" i="11"/>
  <c r="A2329" i="11" s="1"/>
  <c r="A2261" i="11"/>
  <c r="A2262" i="11" s="1"/>
  <c r="A2339" i="11"/>
  <c r="A2340" i="11" s="1"/>
  <c r="A2203" i="11"/>
  <c r="A2204" i="11" s="1"/>
  <c r="A2241" i="11"/>
  <c r="A2242" i="11" s="1"/>
  <c r="A2369" i="11"/>
  <c r="A2370" i="11" s="1"/>
  <c r="U2334" i="11"/>
  <c r="A2415" i="11"/>
  <c r="A2416" i="11" s="1"/>
  <c r="U2406" i="11"/>
  <c r="A2463" i="11"/>
  <c r="A2464" i="11" s="1"/>
  <c r="A2471" i="11"/>
  <c r="A2472" i="11" s="1"/>
  <c r="A2601" i="11"/>
  <c r="A2602" i="11" s="1"/>
  <c r="A2593" i="11"/>
  <c r="A2594" i="11" s="1"/>
  <c r="A2619" i="11"/>
  <c r="A2620" i="11" s="1"/>
  <c r="A2676" i="11"/>
  <c r="A2677" i="11" s="1"/>
  <c r="A2758" i="11"/>
  <c r="A2759" i="11" s="1"/>
  <c r="A2810" i="11"/>
  <c r="A2811" i="11" s="1"/>
  <c r="A2910" i="11"/>
  <c r="A2911" i="11" s="1"/>
  <c r="A2930" i="11"/>
  <c r="A2931" i="11" s="1"/>
  <c r="A2984" i="11"/>
  <c r="A2985" i="11" s="1"/>
  <c r="A2966" i="11"/>
  <c r="A2967" i="11" s="1"/>
  <c r="A3016" i="11"/>
  <c r="A3017" i="11" s="1"/>
  <c r="A3077" i="11"/>
  <c r="A3078" i="11" s="1"/>
  <c r="U3063" i="11"/>
  <c r="A3193" i="11"/>
  <c r="A3194" i="11" s="1"/>
  <c r="A3179" i="11"/>
  <c r="A3180" i="11" s="1"/>
  <c r="A3215" i="11"/>
  <c r="A3216" i="11" s="1"/>
  <c r="A3258" i="11"/>
  <c r="A3259" i="11" s="1"/>
  <c r="A3248" i="11"/>
  <c r="A3249" i="11" s="1"/>
  <c r="U3290" i="11"/>
  <c r="U3309" i="11"/>
  <c r="X2376" i="11"/>
  <c r="A1087" i="11"/>
  <c r="A1088" i="11" s="1"/>
  <c r="X526" i="11"/>
  <c r="X249" i="11"/>
  <c r="Y248" i="11" s="1"/>
  <c r="X2300" i="11"/>
  <c r="X2549" i="11"/>
  <c r="X2739" i="11"/>
  <c r="X2488" i="11"/>
  <c r="X2798" i="11"/>
  <c r="X1809" i="11"/>
  <c r="X1307" i="11"/>
  <c r="X2445" i="11"/>
  <c r="Y2445" i="11" s="1"/>
  <c r="X239" i="11"/>
  <c r="X1028" i="11"/>
  <c r="X473" i="11"/>
  <c r="X2716" i="11"/>
  <c r="Y2716" i="11" s="1"/>
  <c r="X68" i="11"/>
  <c r="X1196" i="11"/>
  <c r="X1607" i="11"/>
  <c r="X1185" i="11"/>
  <c r="X98" i="11"/>
  <c r="X700" i="11"/>
  <c r="X341" i="11"/>
  <c r="X1423" i="11"/>
  <c r="X896" i="11"/>
  <c r="X190" i="11"/>
  <c r="X2994" i="11"/>
  <c r="Y2994" i="11" s="1"/>
  <c r="X3078" i="11"/>
  <c r="N1445" i="11"/>
  <c r="M1443" i="11"/>
  <c r="X1283" i="11"/>
  <c r="X846" i="11"/>
  <c r="Y845" i="11" s="1"/>
  <c r="X736" i="11"/>
  <c r="X409" i="11"/>
  <c r="A999" i="11"/>
  <c r="A1000" i="11" s="1"/>
  <c r="Y2800" i="11"/>
  <c r="T11" i="11"/>
  <c r="A420" i="11"/>
  <c r="A421" i="11" s="1"/>
  <c r="U310" i="11"/>
  <c r="A312" i="11"/>
  <c r="U653" i="11"/>
  <c r="A843" i="11"/>
  <c r="A844" i="11" s="1"/>
  <c r="U1086" i="11"/>
  <c r="A1215" i="11"/>
  <c r="A1216" i="11" s="1"/>
  <c r="A1042" i="11"/>
  <c r="A1043" i="11" s="1"/>
  <c r="A1101" i="11"/>
  <c r="A1102" i="11" s="1"/>
  <c r="A1172" i="11"/>
  <c r="A1173" i="11" s="1"/>
  <c r="A1032" i="11"/>
  <c r="A1033" i="11" s="1"/>
  <c r="A1060" i="11"/>
  <c r="A1061" i="11" s="1"/>
  <c r="A1158" i="11"/>
  <c r="A1159" i="11" s="1"/>
  <c r="A1287" i="11"/>
  <c r="A1288" i="11" s="1"/>
  <c r="A1472" i="11"/>
  <c r="A1473" i="11" s="1"/>
  <c r="A1504" i="11"/>
  <c r="A1505" i="11" s="1"/>
  <c r="A1524" i="11"/>
  <c r="A1525" i="11" s="1"/>
  <c r="A1378" i="11"/>
  <c r="A1379" i="11" s="1"/>
  <c r="A1638" i="11"/>
  <c r="A1639" i="11" s="1"/>
  <c r="A1466" i="11"/>
  <c r="A1467" i="11" s="1"/>
  <c r="A1585" i="11"/>
  <c r="A1586" i="11" s="1"/>
  <c r="U1698" i="11"/>
  <c r="A1597" i="11"/>
  <c r="A1598" i="11" s="1"/>
  <c r="A1648" i="11"/>
  <c r="A1649" i="11" s="1"/>
  <c r="A1746" i="11"/>
  <c r="A1747" i="11" s="1"/>
  <c r="U1848" i="11"/>
  <c r="A1818" i="11"/>
  <c r="A1819" i="11" s="1"/>
  <c r="U1883" i="11"/>
  <c r="A1991" i="11"/>
  <c r="A1992" i="11" s="1"/>
  <c r="A2032" i="11"/>
  <c r="A2033" i="11" s="1"/>
  <c r="A1929" i="11"/>
  <c r="A1930" i="11" s="1"/>
  <c r="A2026" i="11"/>
  <c r="A2027" i="11" s="1"/>
  <c r="A2106" i="11"/>
  <c r="A2107" i="11" s="1"/>
  <c r="A1931" i="11"/>
  <c r="A1932" i="11" s="1"/>
  <c r="A2112" i="11"/>
  <c r="A2113" i="11" s="1"/>
  <c r="A2135" i="11"/>
  <c r="A2136" i="11" s="1"/>
  <c r="A2058" i="11"/>
  <c r="A2059" i="11" s="1"/>
  <c r="A2189" i="11"/>
  <c r="A2190" i="11" s="1"/>
  <c r="U2085" i="11"/>
  <c r="A2145" i="11"/>
  <c r="A2146" i="11" s="1"/>
  <c r="A2116" i="11"/>
  <c r="A2117" i="11" s="1"/>
  <c r="A2195" i="11"/>
  <c r="A2196" i="11" s="1"/>
  <c r="U2379" i="11"/>
  <c r="U2375" i="11" s="1"/>
  <c r="A2381" i="11"/>
  <c r="A2382" i="11" s="1"/>
  <c r="U2213" i="11"/>
  <c r="A2187" i="11"/>
  <c r="A2188" i="11" s="1"/>
  <c r="A2269" i="11"/>
  <c r="A2270" i="11" s="1"/>
  <c r="A2383" i="11"/>
  <c r="A2384" i="11" s="1"/>
  <c r="A2421" i="11"/>
  <c r="A2422" i="11" s="1"/>
  <c r="A2517" i="11"/>
  <c r="A2518" i="11" s="1"/>
  <c r="A2567" i="11"/>
  <c r="A2568" i="11" s="1"/>
  <c r="U2672" i="11"/>
  <c r="A2674" i="11"/>
  <c r="A2675" i="11" s="1"/>
  <c r="A2728" i="11"/>
  <c r="A2729" i="11" s="1"/>
  <c r="A2800" i="11"/>
  <c r="A2801" i="11" s="1"/>
  <c r="A2822" i="11"/>
  <c r="A2823" i="11" s="1"/>
  <c r="A2862" i="11"/>
  <c r="A2863" i="11" s="1"/>
  <c r="U2814" i="11"/>
  <c r="A3048" i="11"/>
  <c r="A3049" i="11" s="1"/>
  <c r="A2906" i="11"/>
  <c r="A2907" i="11" s="1"/>
  <c r="A2950" i="11"/>
  <c r="A2951" i="11" s="1"/>
  <c r="A3028" i="11"/>
  <c r="A3029" i="11" s="1"/>
  <c r="A2988" i="11"/>
  <c r="A2989" i="11" s="1"/>
  <c r="A3050" i="11"/>
  <c r="A3051" i="11" s="1"/>
  <c r="A3052" i="11"/>
  <c r="A3053" i="11" s="1"/>
  <c r="A3095" i="11"/>
  <c r="A3096" i="11" s="1"/>
  <c r="A3141" i="11"/>
  <c r="A3142" i="11" s="1"/>
  <c r="A3129" i="11"/>
  <c r="A3130" i="11" s="1"/>
  <c r="A3157" i="11"/>
  <c r="A3158" i="11" s="1"/>
  <c r="A3319" i="11"/>
  <c r="A3320" i="11" s="1"/>
  <c r="A3244" i="11"/>
  <c r="A3245" i="11" s="1"/>
  <c r="A3301" i="11"/>
  <c r="A3302" i="11" s="1"/>
  <c r="T10" i="11"/>
  <c r="X517" i="11"/>
  <c r="Y516" i="11" s="1"/>
  <c r="X2783" i="11"/>
  <c r="Y2782" i="11" s="1"/>
  <c r="X709" i="11"/>
  <c r="X2984" i="11"/>
  <c r="Y2984" i="11" s="1"/>
  <c r="X624" i="11"/>
  <c r="X967" i="11"/>
  <c r="X1671" i="11"/>
  <c r="X2034" i="11"/>
  <c r="X3045" i="11"/>
  <c r="X2989" i="11"/>
  <c r="X1120" i="11"/>
  <c r="X1778" i="11"/>
  <c r="X1547" i="11"/>
  <c r="X2926" i="11"/>
  <c r="X1067" i="11"/>
  <c r="X1528" i="11"/>
  <c r="X1420" i="11"/>
  <c r="X355" i="11"/>
  <c r="X2452" i="11"/>
  <c r="Y2451" i="11" s="1"/>
  <c r="X3123" i="11"/>
  <c r="X3128" i="11"/>
  <c r="X3213" i="11"/>
  <c r="X1988" i="11"/>
  <c r="X768" i="11"/>
  <c r="X2060" i="11"/>
  <c r="X2010" i="11"/>
  <c r="X2386" i="11"/>
  <c r="Y2385" i="11" s="1"/>
  <c r="X1180" i="11"/>
  <c r="X2475" i="11"/>
  <c r="X2788" i="11"/>
  <c r="X2260" i="11"/>
  <c r="X1126" i="11"/>
  <c r="A2086" i="11"/>
  <c r="A2087" i="11" s="1"/>
  <c r="Y1728" i="11"/>
  <c r="Y369" i="11"/>
  <c r="X707" i="11"/>
  <c r="X704" i="11"/>
  <c r="X2501" i="11"/>
  <c r="X576" i="11"/>
  <c r="X776" i="11"/>
  <c r="X1592" i="11"/>
  <c r="Y1591" i="11" s="1"/>
  <c r="X1113" i="11"/>
  <c r="X1443" i="11"/>
  <c r="X372" i="11"/>
  <c r="X2516" i="11"/>
  <c r="Y2515" i="11" s="1"/>
  <c r="X2950" i="11"/>
  <c r="X3039" i="11"/>
  <c r="Y3038" i="11" s="1"/>
  <c r="M2606" i="11"/>
  <c r="N2605" i="11" s="1"/>
  <c r="X2078" i="11"/>
  <c r="Y2078" i="11" s="1"/>
  <c r="X1973" i="11"/>
  <c r="X2992" i="11"/>
  <c r="X274" i="11"/>
  <c r="X706" i="11"/>
  <c r="X2521" i="11"/>
  <c r="X2347" i="11"/>
  <c r="X1918" i="11"/>
  <c r="Y1917" i="11" s="1"/>
  <c r="X1640" i="11"/>
  <c r="X2835" i="11"/>
  <c r="X995" i="11"/>
  <c r="X3106" i="11"/>
  <c r="X1969" i="11"/>
  <c r="X1118" i="11"/>
  <c r="X110" i="11"/>
  <c r="X1739" i="11"/>
  <c r="X2020" i="11"/>
  <c r="T1904" i="11"/>
  <c r="X1152" i="11"/>
  <c r="X719" i="11"/>
  <c r="X523" i="11"/>
  <c r="X1497" i="11"/>
  <c r="Y1496" i="11" s="1"/>
  <c r="X2825" i="11"/>
  <c r="X2414" i="11"/>
  <c r="X2912" i="11"/>
  <c r="X1129" i="11"/>
  <c r="X2406" i="11"/>
  <c r="X623" i="11"/>
  <c r="X3319" i="11"/>
  <c r="X3036" i="11"/>
  <c r="X2054" i="11"/>
  <c r="X1163" i="11"/>
  <c r="X1667" i="11"/>
  <c r="X1128" i="11"/>
  <c r="X1347" i="11"/>
  <c r="X2915" i="11"/>
  <c r="X1009" i="11"/>
  <c r="X690" i="11"/>
  <c r="X1289" i="11"/>
  <c r="X2421" i="11"/>
  <c r="X2997" i="11"/>
  <c r="X1442" i="11"/>
  <c r="X2706" i="11"/>
  <c r="X3244" i="11"/>
  <c r="X577" i="11"/>
  <c r="X703" i="11"/>
  <c r="T2606" i="11"/>
  <c r="X1808" i="11"/>
  <c r="X1488" i="11"/>
  <c r="X2921" i="11"/>
  <c r="X3050" i="11"/>
  <c r="X2651" i="11"/>
  <c r="X1078" i="11"/>
  <c r="X1079" i="11"/>
  <c r="X1723" i="11"/>
  <c r="Y1722" i="11" s="1"/>
  <c r="X1511" i="11"/>
  <c r="X2620" i="11"/>
  <c r="X1484" i="11"/>
  <c r="X3180" i="11"/>
  <c r="X2601" i="11"/>
  <c r="X3208" i="11"/>
  <c r="X669" i="11"/>
  <c r="X1121" i="11"/>
  <c r="X2038" i="11"/>
  <c r="X318" i="11"/>
  <c r="X40" i="11"/>
  <c r="U176" i="11"/>
  <c r="A488" i="11"/>
  <c r="A489" i="11" s="1"/>
  <c r="A438" i="11"/>
  <c r="A439" i="11" s="1"/>
  <c r="U703" i="11"/>
  <c r="A837" i="11"/>
  <c r="A838" i="11" s="1"/>
  <c r="A645" i="11"/>
  <c r="A646" i="11" s="1"/>
  <c r="U1128" i="11"/>
  <c r="A1162" i="11"/>
  <c r="A1163" i="11" s="1"/>
  <c r="U1363" i="11"/>
  <c r="A1003" i="11"/>
  <c r="A1004" i="11" s="1"/>
  <c r="A1192" i="11"/>
  <c r="A1193" i="11" s="1"/>
  <c r="A1490" i="11"/>
  <c r="A1491" i="11" s="1"/>
  <c r="A1339" i="11"/>
  <c r="A1340" i="11" s="1"/>
  <c r="U1531" i="11"/>
  <c r="A1533" i="11"/>
  <c r="A1534" i="11" s="1"/>
  <c r="A1462" i="11"/>
  <c r="A1463" i="11" s="1"/>
  <c r="A1583" i="11"/>
  <c r="A1584" i="11" s="1"/>
  <c r="A1670" i="11"/>
  <c r="A1671" i="11" s="1"/>
  <c r="A1500" i="11"/>
  <c r="A1501" i="11" s="1"/>
  <c r="A1406" i="11"/>
  <c r="A1407" i="11" s="1"/>
  <c r="A1518" i="11"/>
  <c r="A1519" i="11" s="1"/>
  <c r="A1676" i="11"/>
  <c r="A1677" i="11" s="1"/>
  <c r="U1773" i="11"/>
  <c r="A1710" i="11"/>
  <c r="A1711" i="11" s="1"/>
  <c r="A1892" i="11"/>
  <c r="A1893" i="11" s="1"/>
  <c r="A1834" i="11"/>
  <c r="A1835" i="11" s="1"/>
  <c r="A1959" i="11"/>
  <c r="A1960" i="11" s="1"/>
  <c r="A2038" i="11"/>
  <c r="A2039" i="11" s="1"/>
  <c r="A2012" i="11"/>
  <c r="A2013" i="11" s="1"/>
  <c r="A2155" i="11"/>
  <c r="A2156" i="11" s="1"/>
  <c r="A2096" i="11"/>
  <c r="A2097" i="11" s="1"/>
  <c r="A2149" i="11"/>
  <c r="A2150" i="11" s="1"/>
  <c r="A2074" i="11"/>
  <c r="A2075" i="11" s="1"/>
  <c r="U2128" i="11"/>
  <c r="A2191" i="11"/>
  <c r="A2192" i="11" s="1"/>
  <c r="A2225" i="11"/>
  <c r="A2226" i="11" s="1"/>
  <c r="A2257" i="11"/>
  <c r="A2258" i="11" s="1"/>
  <c r="U2458" i="11"/>
  <c r="A2649" i="11"/>
  <c r="A2650" i="11" s="1"/>
  <c r="A2641" i="11"/>
  <c r="A2642" i="11" s="1"/>
  <c r="A2696" i="11"/>
  <c r="A2697" i="11" s="1"/>
  <c r="A2589" i="11"/>
  <c r="A2590" i="11" s="1"/>
  <c r="A2627" i="11"/>
  <c r="A2628" i="11" s="1"/>
  <c r="U2815" i="11"/>
  <c r="A3036" i="11"/>
  <c r="A3037" i="11" s="1"/>
  <c r="A2908" i="11"/>
  <c r="A2909" i="11" s="1"/>
  <c r="U2961" i="11"/>
  <c r="A2962" i="11"/>
  <c r="A2963" i="11" s="1"/>
  <c r="A3032" i="11"/>
  <c r="A3033" i="11" s="1"/>
  <c r="A2968" i="11"/>
  <c r="A2969" i="11" s="1"/>
  <c r="A3010" i="11"/>
  <c r="A3011" i="11" s="1"/>
  <c r="A3002" i="11"/>
  <c r="A3003" i="11" s="1"/>
  <c r="U3064" i="11"/>
  <c r="U3101" i="11"/>
  <c r="A3103" i="11"/>
  <c r="A3104" i="11" s="1"/>
  <c r="A3067" i="11"/>
  <c r="A3068" i="11" s="1"/>
  <c r="A3155" i="11"/>
  <c r="A3156" i="11" s="1"/>
  <c r="A3236" i="11"/>
  <c r="A3237" i="11" s="1"/>
  <c r="U3310" i="11"/>
  <c r="X2458" i="11"/>
  <c r="X2781" i="11"/>
  <c r="X2724" i="11"/>
  <c r="X2514" i="11"/>
  <c r="X3322" i="11"/>
  <c r="X1621" i="11"/>
  <c r="X298" i="11"/>
  <c r="X2655" i="11"/>
  <c r="X560" i="11"/>
  <c r="X904" i="11"/>
  <c r="X2962" i="11"/>
  <c r="X801" i="11"/>
  <c r="X2913" i="11"/>
  <c r="Y2912" i="11" s="1"/>
  <c r="X2981" i="11"/>
  <c r="X458" i="11"/>
  <c r="X1251" i="11"/>
  <c r="X1753" i="11"/>
  <c r="X1018" i="11"/>
  <c r="Y1017" i="11" s="1"/>
  <c r="X1295" i="11"/>
  <c r="X3111" i="11"/>
  <c r="X2879" i="11"/>
  <c r="X1222" i="11"/>
  <c r="X1266" i="11"/>
  <c r="X1652" i="11"/>
  <c r="X3249" i="11"/>
  <c r="X2433" i="11"/>
  <c r="X187" i="11"/>
  <c r="X1989" i="11"/>
  <c r="X2806" i="11"/>
  <c r="X2402" i="11"/>
  <c r="Y2669" i="11"/>
  <c r="U103" i="11"/>
  <c r="X3197" i="11"/>
  <c r="X3260" i="11"/>
  <c r="X3246" i="11"/>
  <c r="X1903" i="11"/>
  <c r="X2807" i="11"/>
  <c r="X2720" i="11"/>
  <c r="X2264" i="11"/>
  <c r="X2785" i="11"/>
  <c r="X1210" i="11"/>
  <c r="X2957" i="11"/>
  <c r="X3256" i="11"/>
  <c r="X1786" i="11"/>
  <c r="X358" i="11"/>
  <c r="X1469" i="11"/>
  <c r="X303" i="11"/>
  <c r="X1103" i="11"/>
  <c r="X3056" i="11"/>
  <c r="X3235" i="11"/>
  <c r="X2239" i="11"/>
  <c r="X924" i="11"/>
  <c r="X371" i="11"/>
  <c r="X908" i="11"/>
  <c r="X1368" i="11"/>
  <c r="X1013" i="11"/>
  <c r="X1984" i="11"/>
  <c r="Y1983" i="11" s="1"/>
  <c r="X2668" i="11"/>
  <c r="Y2667" i="11" s="1"/>
  <c r="X280" i="11"/>
  <c r="X741" i="11"/>
  <c r="X2439" i="11"/>
  <c r="X1446" i="11"/>
  <c r="X1179" i="11"/>
  <c r="X838" i="11"/>
  <c r="X278" i="11"/>
  <c r="X2508" i="11"/>
  <c r="Y2507" i="11" s="1"/>
  <c r="X2606" i="11"/>
  <c r="X2948" i="11"/>
  <c r="X550" i="11"/>
  <c r="Y549" i="11" s="1"/>
  <c r="X2510" i="11"/>
  <c r="X3019" i="11"/>
  <c r="X818" i="11"/>
  <c r="X86" i="11"/>
  <c r="Y86" i="11" s="1"/>
  <c r="X511" i="11"/>
  <c r="X1377" i="11"/>
  <c r="X593" i="11"/>
  <c r="X1397" i="11"/>
  <c r="X1333" i="11"/>
  <c r="X1053" i="11"/>
  <c r="Y1052" i="11" s="1"/>
  <c r="X1737" i="11"/>
  <c r="X494" i="11"/>
  <c r="X1433" i="11"/>
  <c r="X261" i="11"/>
  <c r="X82" i="11"/>
  <c r="X470" i="11"/>
  <c r="X1990" i="11"/>
  <c r="X3300" i="11"/>
  <c r="Y3299" i="11" s="1"/>
  <c r="X1627" i="11"/>
  <c r="X1246" i="11"/>
  <c r="X2350" i="11"/>
  <c r="X2484" i="11"/>
  <c r="Y2483" i="11" s="1"/>
  <c r="X1754" i="11"/>
  <c r="X981" i="11"/>
  <c r="X2548" i="11"/>
  <c r="X2777" i="11"/>
  <c r="X2462" i="11"/>
  <c r="X1923" i="11"/>
  <c r="X1403" i="11"/>
  <c r="Y1402" i="11" s="1"/>
  <c r="X1954" i="11"/>
  <c r="X1014" i="11"/>
  <c r="X1531" i="11"/>
  <c r="X67" i="11"/>
  <c r="X1252" i="11"/>
  <c r="X2780" i="11"/>
  <c r="T1770" i="11"/>
  <c r="X1093" i="11"/>
  <c r="X775" i="11"/>
  <c r="A116" i="11"/>
  <c r="A117" i="11" s="1"/>
  <c r="A947" i="11"/>
  <c r="A948" i="11" s="1"/>
  <c r="U311" i="11"/>
  <c r="X3185" i="11"/>
  <c r="X1173" i="11"/>
  <c r="Y1172" i="11" s="1"/>
  <c r="X1395" i="11"/>
  <c r="Y1394" i="11" s="1"/>
  <c r="X3156" i="11"/>
  <c r="Y3155" i="11" s="1"/>
  <c r="X2418" i="11"/>
  <c r="X2461" i="11"/>
  <c r="X2008" i="11"/>
  <c r="X713" i="11"/>
  <c r="X748" i="11"/>
  <c r="X3137" i="11"/>
  <c r="X1946" i="11"/>
  <c r="X3058" i="11"/>
  <c r="X245" i="11"/>
  <c r="X789" i="11"/>
  <c r="X3093" i="11"/>
  <c r="X1687" i="11"/>
  <c r="Y1686" i="11" s="1"/>
  <c r="X1500" i="11"/>
  <c r="X739" i="11"/>
  <c r="X2459" i="11"/>
  <c r="X1247" i="11"/>
  <c r="X3216" i="11"/>
  <c r="Y3215" i="11" s="1"/>
  <c r="X565" i="11"/>
  <c r="X23" i="11"/>
  <c r="X2779" i="11"/>
  <c r="Y2778" i="11" s="1"/>
  <c r="X224" i="11"/>
  <c r="X525" i="11"/>
  <c r="X2646" i="11"/>
  <c r="X1109" i="11"/>
  <c r="X1316" i="11"/>
  <c r="X3046" i="11"/>
  <c r="X794" i="11"/>
  <c r="X2648" i="11"/>
  <c r="X302" i="11"/>
  <c r="X1385" i="11"/>
  <c r="X1735" i="11"/>
  <c r="X2365" i="11"/>
  <c r="X374" i="11"/>
  <c r="Y373" i="11" s="1"/>
  <c r="X2761" i="11"/>
  <c r="X247" i="11"/>
  <c r="X1468" i="11"/>
  <c r="X3242" i="11"/>
  <c r="X1022" i="11"/>
  <c r="X2808" i="11"/>
  <c r="X1025" i="11"/>
  <c r="X665" i="11"/>
  <c r="X2542" i="11"/>
  <c r="X928" i="11"/>
  <c r="X2842" i="11"/>
  <c r="X2257" i="11"/>
  <c r="X591" i="11"/>
  <c r="X3112" i="11"/>
  <c r="X2557" i="11"/>
  <c r="X1709" i="11"/>
  <c r="Y1708" i="11" s="1"/>
  <c r="X194" i="11"/>
  <c r="X1618" i="11"/>
  <c r="T1126" i="11"/>
  <c r="X1581" i="11"/>
  <c r="X242" i="11"/>
  <c r="X2916" i="11"/>
  <c r="X1308" i="11"/>
  <c r="X1529" i="11"/>
  <c r="X524" i="11"/>
  <c r="X2305" i="11"/>
  <c r="X844" i="11"/>
  <c r="X1219" i="11"/>
  <c r="X2809" i="11"/>
  <c r="X2412" i="11"/>
  <c r="Y2411" i="11" s="1"/>
  <c r="X1276" i="11"/>
  <c r="Y1275" i="11" s="1"/>
  <c r="X947" i="11"/>
  <c r="X3313" i="11"/>
  <c r="X1610" i="11"/>
  <c r="Y1609" i="11" s="1"/>
  <c r="X65" i="11"/>
  <c r="U177" i="11"/>
  <c r="U380" i="11"/>
  <c r="A320" i="11"/>
  <c r="U782" i="11"/>
  <c r="U533" i="11"/>
  <c r="U704" i="11"/>
  <c r="A763" i="11"/>
  <c r="A764" i="11" s="1"/>
  <c r="A1026" i="11"/>
  <c r="A1027" i="11" s="1"/>
  <c r="A725" i="11"/>
  <c r="A726" i="11" s="1"/>
  <c r="A757" i="11"/>
  <c r="A758" i="11" s="1"/>
  <c r="A1452" i="11"/>
  <c r="A1453" i="11" s="1"/>
  <c r="U1448" i="11"/>
  <c r="A1450" i="11"/>
  <c r="A1451" i="11" s="1"/>
  <c r="U1129" i="11"/>
  <c r="U1200" i="11"/>
  <c r="A1221" i="11"/>
  <c r="A1222" i="11" s="1"/>
  <c r="A1293" i="11"/>
  <c r="A1294" i="11" s="1"/>
  <c r="A1506" i="11"/>
  <c r="A1507" i="11" s="1"/>
  <c r="A1573" i="11"/>
  <c r="A1574" i="11" s="1"/>
  <c r="A1476" i="11"/>
  <c r="A1477" i="11" s="1"/>
  <c r="U1532" i="11"/>
  <c r="A1386" i="11"/>
  <c r="A1387" i="11" s="1"/>
  <c r="A1418" i="11"/>
  <c r="A1419" i="11" s="1"/>
  <c r="A1512" i="11"/>
  <c r="A1513" i="11" s="1"/>
  <c r="A1482" i="11"/>
  <c r="A1483" i="11" s="1"/>
  <c r="A1561" i="11"/>
  <c r="A1562" i="11" s="1"/>
  <c r="A1516" i="11"/>
  <c r="A1517" i="11" s="1"/>
  <c r="U1618" i="11"/>
  <c r="A1828" i="11"/>
  <c r="A1829" i="11" s="1"/>
  <c r="A1789" i="11"/>
  <c r="A1790" i="11" s="1"/>
  <c r="A1894" i="11"/>
  <c r="A1895" i="11" s="1"/>
  <c r="A1911" i="11"/>
  <c r="A1912" i="11" s="1"/>
  <c r="A1923" i="11"/>
  <c r="A1924" i="11" s="1"/>
  <c r="A1941" i="11"/>
  <c r="A1942" i="11" s="1"/>
  <c r="A2008" i="11"/>
  <c r="A2009" i="11" s="1"/>
  <c r="A2044" i="11"/>
  <c r="A2045" i="11" s="1"/>
  <c r="A1965" i="11"/>
  <c r="A1966" i="11" s="1"/>
  <c r="A2030" i="11"/>
  <c r="A2031" i="11" s="1"/>
  <c r="A2052" i="11"/>
  <c r="A2053" i="11" s="1"/>
  <c r="A2157" i="11"/>
  <c r="A2158" i="11" s="1"/>
  <c r="A2249" i="11"/>
  <c r="A2250" i="11" s="1"/>
  <c r="A2227" i="11"/>
  <c r="A2228" i="11" s="1"/>
  <c r="A2237" i="11"/>
  <c r="A2238" i="11" s="1"/>
  <c r="A2235" i="11"/>
  <c r="A2236" i="11" s="1"/>
  <c r="A2389" i="11"/>
  <c r="A2390" i="11" s="1"/>
  <c r="A2493" i="11"/>
  <c r="A2494" i="11" s="1"/>
  <c r="U2527" i="11"/>
  <c r="A2529" i="11"/>
  <c r="A2530" i="11" s="1"/>
  <c r="A2503" i="11"/>
  <c r="A2504" i="11" s="1"/>
  <c r="A2575" i="11"/>
  <c r="A2576" i="11" s="1"/>
  <c r="A2665" i="11"/>
  <c r="A2666" i="11" s="1"/>
  <c r="A2475" i="11"/>
  <c r="A2476" i="11" s="1"/>
  <c r="A2629" i="11"/>
  <c r="A2630" i="11" s="1"/>
  <c r="A2770" i="11"/>
  <c r="A2771" i="11" s="1"/>
  <c r="A2884" i="11"/>
  <c r="A2885" i="11" s="1"/>
  <c r="A2772" i="11"/>
  <c r="A2773" i="11" s="1"/>
  <c r="A2820" i="11"/>
  <c r="A2821" i="11" s="1"/>
  <c r="A2824" i="11"/>
  <c r="A2825" i="11" s="1"/>
  <c r="A2948" i="11"/>
  <c r="A2949" i="11" s="1"/>
  <c r="A2922" i="11"/>
  <c r="A2923" i="11" s="1"/>
  <c r="A2990" i="11"/>
  <c r="A2991" i="11" s="1"/>
  <c r="A3000" i="11"/>
  <c r="A3001" i="11" s="1"/>
  <c r="A3119" i="11"/>
  <c r="A3120" i="11" s="1"/>
  <c r="A3044" i="11"/>
  <c r="A3045" i="11" s="1"/>
  <c r="A3091" i="11"/>
  <c r="A3092" i="11" s="1"/>
  <c r="A3081" i="11"/>
  <c r="A3082" i="11" s="1"/>
  <c r="U3151" i="11"/>
  <c r="A3153" i="11"/>
  <c r="A3154" i="11" s="1"/>
  <c r="A3105" i="11"/>
  <c r="A3106" i="11" s="1"/>
  <c r="A3205" i="11"/>
  <c r="A3206" i="11" s="1"/>
  <c r="A3195" i="11"/>
  <c r="A3196" i="11" s="1"/>
  <c r="A3213" i="11"/>
  <c r="A3214" i="11" s="1"/>
  <c r="A3246" i="11"/>
  <c r="A3247" i="11" s="1"/>
  <c r="A3221" i="11"/>
  <c r="A3222" i="11" s="1"/>
  <c r="U3252" i="11"/>
  <c r="A3281" i="11"/>
  <c r="A3282" i="11" s="1"/>
  <c r="X1348" i="11"/>
  <c r="X1263" i="11"/>
  <c r="X1773" i="11"/>
  <c r="X1631" i="11"/>
  <c r="X757" i="11"/>
  <c r="Y757" i="11" s="1"/>
  <c r="N2291" i="11"/>
  <c r="X883" i="11"/>
  <c r="X1471" i="11"/>
  <c r="X2614" i="11"/>
  <c r="X2696" i="11"/>
  <c r="X3135" i="11"/>
  <c r="X2672" i="11"/>
  <c r="X2691" i="11"/>
  <c r="X1994" i="11"/>
  <c r="X1904" i="11"/>
  <c r="Y1903" i="11" s="1"/>
  <c r="T1903" i="11"/>
  <c r="X1024" i="11"/>
  <c r="X2617" i="11"/>
  <c r="Y2617" i="11" s="1"/>
  <c r="X961" i="11"/>
  <c r="X699" i="11"/>
  <c r="X1091" i="11"/>
  <c r="X798" i="11"/>
  <c r="Y797" i="11" s="1"/>
  <c r="X1913" i="11"/>
  <c r="X634" i="11"/>
  <c r="Y633" i="11" s="1"/>
  <c r="X397" i="11"/>
  <c r="X383" i="11"/>
  <c r="X2430" i="11"/>
  <c r="X3262" i="11"/>
  <c r="X563" i="11"/>
  <c r="X1398" i="11"/>
  <c r="Y1398" i="11" s="1"/>
  <c r="X3012" i="11"/>
  <c r="X3200" i="11"/>
  <c r="Y3199" i="11" s="1"/>
  <c r="X551" i="11"/>
  <c r="X2511" i="11"/>
  <c r="X84" i="11"/>
  <c r="A206" i="11"/>
  <c r="A207" i="11" s="1"/>
  <c r="A585" i="11"/>
  <c r="A586" i="11" s="1"/>
  <c r="U14" i="11"/>
  <c r="U381" i="11"/>
  <c r="U534" i="11"/>
  <c r="A627" i="11"/>
  <c r="A628" i="11" s="1"/>
  <c r="U412" i="11"/>
  <c r="A414" i="11"/>
  <c r="A415" i="11" s="1"/>
  <c r="A597" i="11"/>
  <c r="A598" i="11" s="1"/>
  <c r="A745" i="11"/>
  <c r="A746" i="11" s="1"/>
  <c r="A827" i="11"/>
  <c r="A828" i="11" s="1"/>
  <c r="U924" i="11"/>
  <c r="A991" i="11"/>
  <c r="A992" i="11" s="1"/>
  <c r="A1480" i="11"/>
  <c r="A1481" i="11" s="1"/>
  <c r="A1194" i="11"/>
  <c r="A1195" i="11" s="1"/>
  <c r="A1028" i="11"/>
  <c r="A1029" i="11" s="1"/>
  <c r="A1089" i="11"/>
  <c r="A1090" i="11" s="1"/>
  <c r="U941" i="11"/>
  <c r="A1345" i="11"/>
  <c r="A1346" i="11" s="1"/>
  <c r="U1699" i="11"/>
  <c r="A1559" i="11"/>
  <c r="A1560" i="11" s="1"/>
  <c r="A1555" i="11"/>
  <c r="A1556" i="11" s="1"/>
  <c r="A1587" i="11"/>
  <c r="A1588" i="11" s="1"/>
  <c r="U1806" i="11"/>
  <c r="U1860" i="11"/>
  <c r="A1862" i="11"/>
  <c r="A1863" i="11" s="1"/>
  <c r="A2006" i="11"/>
  <c r="A2007" i="11" s="1"/>
  <c r="U1882" i="11"/>
  <c r="A1884" i="11"/>
  <c r="A1885" i="11" s="1"/>
  <c r="A1977" i="11"/>
  <c r="A1978" i="11" s="1"/>
  <c r="A1961" i="11"/>
  <c r="A1962" i="11" s="1"/>
  <c r="A1935" i="11"/>
  <c r="A1936" i="11" s="1"/>
  <c r="A2175" i="11"/>
  <c r="A2176" i="11" s="1"/>
  <c r="A2143" i="11"/>
  <c r="A2144" i="11" s="1"/>
  <c r="A2050" i="11"/>
  <c r="A2051" i="11" s="1"/>
  <c r="A2137" i="11"/>
  <c r="A2138" i="11" s="1"/>
  <c r="A2309" i="11"/>
  <c r="A2310" i="11" s="1"/>
  <c r="A2273" i="11"/>
  <c r="A2274" i="11" s="1"/>
  <c r="U2457" i="11"/>
  <c r="A2441" i="11"/>
  <c r="A2442" i="11" s="1"/>
  <c r="U2528" i="11"/>
  <c r="A2704" i="11"/>
  <c r="A2705" i="11" s="1"/>
  <c r="A2792" i="11"/>
  <c r="A2793" i="11" s="1"/>
  <c r="A2828" i="11"/>
  <c r="A2829" i="11" s="1"/>
  <c r="U2856" i="11"/>
  <c r="A2858" i="11"/>
  <c r="A2859" i="11" s="1"/>
  <c r="A2924" i="11"/>
  <c r="A2925" i="11" s="1"/>
  <c r="A3008" i="11"/>
  <c r="A3009" i="11" s="1"/>
  <c r="A2940" i="11"/>
  <c r="A2941" i="11" s="1"/>
  <c r="A2982" i="11"/>
  <c r="A2983" i="11" s="1"/>
  <c r="A3018" i="11"/>
  <c r="A3019" i="11" s="1"/>
  <c r="A3117" i="11"/>
  <c r="A3118" i="11" s="1"/>
  <c r="U3102" i="11"/>
  <c r="A3111" i="11"/>
  <c r="A3112" i="11" s="1"/>
  <c r="A3169" i="11"/>
  <c r="A3170" i="11" s="1"/>
  <c r="A3211" i="11"/>
  <c r="A3212" i="11" s="1"/>
  <c r="A3183" i="11"/>
  <c r="A3184" i="11" s="1"/>
  <c r="A3219" i="11"/>
  <c r="A3220" i="11" s="1"/>
  <c r="A3240" i="11"/>
  <c r="A3241" i="11" s="1"/>
  <c r="U3289" i="11"/>
  <c r="A3291" i="11"/>
  <c r="A3292" i="11" s="1"/>
  <c r="X1135" i="11"/>
  <c r="Y1134" i="11" s="1"/>
  <c r="X727" i="11"/>
  <c r="X434" i="11"/>
  <c r="X1452" i="11"/>
  <c r="X545" i="11"/>
  <c r="X2939" i="11"/>
  <c r="X1339" i="11"/>
  <c r="X2610" i="11"/>
  <c r="X380" i="11"/>
  <c r="X3087" i="11"/>
  <c r="X2482" i="11"/>
  <c r="X2729" i="11"/>
  <c r="Y2728" i="11" s="1"/>
  <c r="X750" i="11"/>
  <c r="X3067" i="11"/>
  <c r="X1190" i="11"/>
  <c r="X777" i="11"/>
  <c r="X2045" i="11"/>
  <c r="X1643" i="11"/>
  <c r="X2903" i="11"/>
  <c r="X837" i="11"/>
  <c r="X1363" i="11"/>
  <c r="X279" i="11"/>
  <c r="X1037" i="11"/>
  <c r="X1598" i="11"/>
  <c r="X1701" i="11"/>
  <c r="X2322" i="11"/>
  <c r="X1026" i="11"/>
  <c r="X430" i="11"/>
  <c r="X1952" i="11"/>
  <c r="T2853" i="11"/>
  <c r="X2375" i="11"/>
  <c r="X11" i="11"/>
  <c r="A2816" i="11"/>
  <c r="A2817" i="11" s="1"/>
  <c r="Y694" i="11"/>
  <c r="T2292" i="11"/>
  <c r="Y332" i="11"/>
  <c r="T994" i="11"/>
  <c r="Y1349" i="11"/>
  <c r="T2401" i="11"/>
  <c r="T995" i="11"/>
  <c r="Y2712" i="11"/>
  <c r="U15" i="11"/>
  <c r="U102" i="11"/>
  <c r="A104" i="11"/>
  <c r="A105" i="11" s="1"/>
  <c r="U369" i="11"/>
  <c r="A496" i="11"/>
  <c r="A497" i="11" s="1"/>
  <c r="U413" i="11"/>
  <c r="A707" i="11"/>
  <c r="A708" i="11" s="1"/>
  <c r="A1488" i="11"/>
  <c r="A1489" i="11" s="1"/>
  <c r="A1209" i="11"/>
  <c r="A1210" i="11" s="1"/>
  <c r="U1449" i="11"/>
  <c r="A1239" i="11"/>
  <c r="A1240" i="11" s="1"/>
  <c r="A1303" i="11"/>
  <c r="A1304" i="11" s="1"/>
  <c r="A1259" i="11"/>
  <c r="A1260" i="11" s="1"/>
  <c r="A1291" i="11"/>
  <c r="A1292" i="11" s="1"/>
  <c r="A1458" i="11"/>
  <c r="A1459" i="11" s="1"/>
  <c r="A1581" i="11"/>
  <c r="A1582" i="11" s="1"/>
  <c r="A1492" i="11"/>
  <c r="A1493" i="11" s="1"/>
  <c r="U1630" i="11"/>
  <c r="U1807" i="11"/>
  <c r="A1803" i="11"/>
  <c r="A1804" i="11" s="1"/>
  <c r="U1907" i="11"/>
  <c r="A1909" i="11"/>
  <c r="A1910" i="11" s="1"/>
  <c r="A1955" i="11"/>
  <c r="A1956" i="11" s="1"/>
  <c r="U1861" i="11"/>
  <c r="A2020" i="11"/>
  <c r="A2021" i="11" s="1"/>
  <c r="A1898" i="11"/>
  <c r="A1899" i="11" s="1"/>
  <c r="A1963" i="11"/>
  <c r="A1964" i="11" s="1"/>
  <c r="A2028" i="11"/>
  <c r="A2029" i="11" s="1"/>
  <c r="A1917" i="11"/>
  <c r="A1918" i="11" s="1"/>
  <c r="A1983" i="11"/>
  <c r="A1984" i="11" s="1"/>
  <c r="A2072" i="11"/>
  <c r="A2073" i="11" s="1"/>
  <c r="A2090" i="11"/>
  <c r="A2091" i="11" s="1"/>
  <c r="A2153" i="11"/>
  <c r="A2154" i="11" s="1"/>
  <c r="A2385" i="11"/>
  <c r="A2386" i="11" s="1"/>
  <c r="A2066" i="11"/>
  <c r="A2067" i="11" s="1"/>
  <c r="A2223" i="11"/>
  <c r="A2224" i="11" s="1"/>
  <c r="A2185" i="11"/>
  <c r="A2186" i="11" s="1"/>
  <c r="U2405" i="11"/>
  <c r="U2563" i="11"/>
  <c r="U2537" i="11"/>
  <c r="A2539" i="11"/>
  <c r="A2540" i="11" s="1"/>
  <c r="A2521" i="11"/>
  <c r="A2522" i="11" s="1"/>
  <c r="U2564" i="11"/>
  <c r="A2708" i="11"/>
  <c r="A2709" i="11" s="1"/>
  <c r="A2599" i="11"/>
  <c r="A2600" i="11" s="1"/>
  <c r="A2732" i="11"/>
  <c r="A2733" i="11" s="1"/>
  <c r="A2790" i="11"/>
  <c r="A2791" i="11" s="1"/>
  <c r="A2802" i="11"/>
  <c r="A2803" i="11" s="1"/>
  <c r="A2714" i="11"/>
  <c r="A2715" i="11" s="1"/>
  <c r="A2836" i="11"/>
  <c r="A2837" i="11" s="1"/>
  <c r="U2857" i="11"/>
  <c r="A2894" i="11"/>
  <c r="A2895" i="11" s="1"/>
  <c r="A2864" i="11"/>
  <c r="A2865" i="11" s="1"/>
  <c r="A2912" i="11"/>
  <c r="A2913" i="11" s="1"/>
  <c r="A2992" i="11"/>
  <c r="A2993" i="11" s="1"/>
  <c r="A3073" i="11"/>
  <c r="A3074" i="11" s="1"/>
  <c r="A3089" i="11"/>
  <c r="A3090" i="11" s="1"/>
  <c r="A3107" i="11"/>
  <c r="A3108" i="11" s="1"/>
  <c r="A3163" i="11"/>
  <c r="A3164" i="11" s="1"/>
  <c r="A3177" i="11"/>
  <c r="A3178" i="11" s="1"/>
  <c r="A3207" i="11"/>
  <c r="A3208" i="11" s="1"/>
  <c r="A3181" i="11"/>
  <c r="A3182" i="11" s="1"/>
  <c r="U3253" i="11"/>
  <c r="A3297" i="11"/>
  <c r="A3298" i="11" s="1"/>
  <c r="X1600" i="11"/>
  <c r="Y1599" i="11" s="1"/>
  <c r="X1432" i="11"/>
  <c r="X2582" i="11"/>
  <c r="X2069" i="11"/>
  <c r="X1096" i="11"/>
  <c r="X90" i="11"/>
  <c r="X1976" i="11"/>
  <c r="X2051" i="11"/>
  <c r="X1099" i="11"/>
  <c r="X2587" i="11"/>
  <c r="X2273" i="11"/>
  <c r="X1748" i="11"/>
  <c r="Y1748" i="11" s="1"/>
  <c r="X1536" i="11"/>
  <c r="X941" i="11"/>
  <c r="X1948" i="11"/>
  <c r="X2752" i="11"/>
  <c r="X2213" i="11"/>
  <c r="Y2213" i="11" s="1"/>
  <c r="X2927" i="11"/>
  <c r="X2565" i="11"/>
  <c r="X1459" i="11"/>
  <c r="X1540" i="11"/>
  <c r="S1442" i="11"/>
  <c r="X1761" i="11"/>
  <c r="Y1760" i="11" s="1"/>
  <c r="X145" i="11"/>
  <c r="X3066" i="11"/>
  <c r="X2457" i="11"/>
  <c r="X2583" i="11"/>
  <c r="X1132" i="11"/>
  <c r="X1224" i="11"/>
  <c r="T3225" i="11"/>
  <c r="Y440" i="11"/>
  <c r="A530" i="11"/>
  <c r="A531" i="11" s="1"/>
  <c r="U781" i="11"/>
  <c r="A783" i="11"/>
  <c r="A784" i="11" s="1"/>
  <c r="A539" i="11"/>
  <c r="A540" i="11" s="1"/>
  <c r="A603" i="11"/>
  <c r="A604" i="11" s="1"/>
  <c r="U971" i="11"/>
  <c r="A973" i="11"/>
  <c r="A974" i="11" s="1"/>
  <c r="A1136" i="11"/>
  <c r="A1137" i="11" s="1"/>
  <c r="A1062" i="11"/>
  <c r="A1063" i="11" s="1"/>
  <c r="U998" i="11"/>
  <c r="A959" i="11"/>
  <c r="A960" i="11" s="1"/>
  <c r="A1522" i="11"/>
  <c r="A1523" i="11" s="1"/>
  <c r="A1323" i="11"/>
  <c r="A1324" i="11" s="1"/>
  <c r="A1355" i="11"/>
  <c r="A1356" i="11" s="1"/>
  <c r="A1549" i="11"/>
  <c r="A1550" i="11" s="1"/>
  <c r="A1528" i="11"/>
  <c r="A1529" i="11" s="1"/>
  <c r="A1498" i="11"/>
  <c r="A1499" i="11" s="1"/>
  <c r="A1760" i="11"/>
  <c r="A1761" i="11" s="1"/>
  <c r="U1631" i="11"/>
  <c r="A1872" i="11"/>
  <c r="A1873" i="11" s="1"/>
  <c r="A1840" i="11"/>
  <c r="A1841" i="11" s="1"/>
  <c r="A1732" i="11"/>
  <c r="A1733" i="11" s="1"/>
  <c r="A1989" i="11"/>
  <c r="A1990" i="11" s="1"/>
  <c r="A1973" i="11"/>
  <c r="A1974" i="11" s="1"/>
  <c r="A1864" i="11"/>
  <c r="A1865" i="11" s="1"/>
  <c r="A1979" i="11"/>
  <c r="A1980" i="11" s="1"/>
  <c r="A2048" i="11"/>
  <c r="A2049" i="11" s="1"/>
  <c r="A1933" i="11"/>
  <c r="A1934" i="11" s="1"/>
  <c r="U1998" i="11"/>
  <c r="A2120" i="11"/>
  <c r="A2121" i="11" s="1"/>
  <c r="A2193" i="11"/>
  <c r="A2194" i="11" s="1"/>
  <c r="U2084" i="11"/>
  <c r="A2265" i="11"/>
  <c r="A2266" i="11" s="1"/>
  <c r="A2169" i="11"/>
  <c r="A2170" i="11" s="1"/>
  <c r="U2346" i="11"/>
  <c r="A2365" i="11"/>
  <c r="A2366" i="11" s="1"/>
  <c r="U2359" i="11"/>
  <c r="A2361" i="11"/>
  <c r="A2362" i="11" s="1"/>
  <c r="A2449" i="11"/>
  <c r="A2450" i="11" s="1"/>
  <c r="U2538" i="11"/>
  <c r="A2623" i="11"/>
  <c r="A2624" i="11" s="1"/>
  <c r="A2569" i="11"/>
  <c r="A2570" i="11" s="1"/>
  <c r="A2559" i="11"/>
  <c r="A2560" i="11" s="1"/>
  <c r="U2609" i="11"/>
  <c r="A2643" i="11"/>
  <c r="A2644" i="11" s="1"/>
  <c r="U2739" i="11"/>
  <c r="A2870" i="11"/>
  <c r="A2871" i="11" s="1"/>
  <c r="A2918" i="11"/>
  <c r="A2919" i="11" s="1"/>
  <c r="U2960" i="11"/>
  <c r="A3022" i="11"/>
  <c r="A3023" i="11" s="1"/>
  <c r="A3093" i="11"/>
  <c r="A3094" i="11" s="1"/>
  <c r="A3125" i="11"/>
  <c r="A3126" i="11" s="1"/>
  <c r="A3165" i="11"/>
  <c r="A3166" i="11" s="1"/>
  <c r="U3228" i="11"/>
  <c r="A3230" i="11"/>
  <c r="A3231" i="11" s="1"/>
  <c r="A3234" i="11"/>
  <c r="A3235" i="11" s="1"/>
  <c r="A3266" i="11"/>
  <c r="A3267" i="11" s="1"/>
  <c r="A3270" i="11"/>
  <c r="A3271" i="11" s="1"/>
  <c r="A3260" i="11"/>
  <c r="A3261" i="11" s="1"/>
  <c r="A3295" i="11"/>
  <c r="A3296" i="11" s="1"/>
  <c r="A3315" i="11"/>
  <c r="A3316" i="11" s="1"/>
  <c r="S1443" i="11"/>
  <c r="A1700" i="11"/>
  <c r="A1701" i="11" s="1"/>
  <c r="T2402" i="11"/>
  <c r="X508" i="11"/>
  <c r="Y508" i="11" s="1"/>
  <c r="X3228" i="11"/>
  <c r="X1623" i="11"/>
  <c r="X1075" i="11"/>
  <c r="Y1074" i="11" s="1"/>
  <c r="X1218" i="11"/>
  <c r="X2627" i="11"/>
  <c r="X1802" i="11"/>
  <c r="Y1801" i="11" s="1"/>
  <c r="X785" i="11"/>
  <c r="X865" i="11"/>
  <c r="X277" i="11"/>
  <c r="X503" i="11"/>
  <c r="X256" i="11"/>
  <c r="X2920" i="11"/>
  <c r="X886" i="11"/>
  <c r="X1056" i="11"/>
  <c r="A401" i="11"/>
  <c r="A402" i="11" s="1"/>
  <c r="X1201" i="11"/>
  <c r="X3259" i="11"/>
  <c r="X2468" i="11"/>
  <c r="X195" i="11"/>
  <c r="Y194" i="11" s="1"/>
  <c r="X1950" i="11"/>
  <c r="X1991" i="11"/>
  <c r="X2882" i="11"/>
  <c r="X2566" i="11"/>
  <c r="Y2565" i="11" s="1"/>
  <c r="X2886" i="11"/>
  <c r="X499" i="11"/>
  <c r="X2331" i="11"/>
  <c r="X2692" i="11"/>
  <c r="X2596" i="11"/>
  <c r="X3090" i="11"/>
  <c r="X3238" i="11"/>
  <c r="Y2557" i="11"/>
  <c r="Y1561" i="11"/>
  <c r="Y3281" i="11"/>
  <c r="Y2313" i="11"/>
  <c r="A647" i="11"/>
  <c r="A648" i="11" s="1"/>
  <c r="A963" i="11"/>
  <c r="A964" i="11" s="1"/>
  <c r="A835" i="11"/>
  <c r="A836" i="11" s="1"/>
  <c r="A967" i="11"/>
  <c r="A968" i="11" s="1"/>
  <c r="A1241" i="11"/>
  <c r="A1242" i="11" s="1"/>
  <c r="U1021" i="11"/>
  <c r="A1093" i="11"/>
  <c r="A1094" i="11" s="1"/>
  <c r="U1199" i="11"/>
  <c r="A1247" i="11"/>
  <c r="A1248" i="11" s="1"/>
  <c r="A1267" i="11"/>
  <c r="A1268" i="11" s="1"/>
  <c r="A1416" i="11"/>
  <c r="A1417" i="11" s="1"/>
  <c r="U1617" i="11"/>
  <c r="A1619" i="11"/>
  <c r="A1620" i="11" s="1"/>
  <c r="A1712" i="11"/>
  <c r="A1713" i="11" s="1"/>
  <c r="A1758" i="11"/>
  <c r="A1759" i="11" s="1"/>
  <c r="A1939" i="11"/>
  <c r="A1940" i="11" s="1"/>
  <c r="U1774" i="11"/>
  <c r="A1878" i="11"/>
  <c r="A1879" i="11" s="1"/>
  <c r="A2147" i="11"/>
  <c r="A2148" i="11" s="1"/>
  <c r="A2040" i="11"/>
  <c r="A2041" i="11" s="1"/>
  <c r="A2024" i="11"/>
  <c r="A2025" i="11" s="1"/>
  <c r="U1999" i="11"/>
  <c r="A2076" i="11"/>
  <c r="A2077" i="11" s="1"/>
  <c r="U2127" i="11"/>
  <c r="A2165" i="11"/>
  <c r="A2166" i="11" s="1"/>
  <c r="U2295" i="11"/>
  <c r="U2345" i="11"/>
  <c r="A2255" i="11"/>
  <c r="A2256" i="11" s="1"/>
  <c r="U2321" i="11"/>
  <c r="U2360" i="11"/>
  <c r="U2333" i="11"/>
  <c r="U2610" i="11"/>
  <c r="U2764" i="11"/>
  <c r="A2796" i="11"/>
  <c r="A2797" i="11" s="1"/>
  <c r="A2900" i="11"/>
  <c r="A2901" i="11" s="1"/>
  <c r="A2744" i="11"/>
  <c r="A2745" i="11" s="1"/>
  <c r="A2916" i="11"/>
  <c r="A2917" i="11" s="1"/>
  <c r="A2882" i="11"/>
  <c r="A2883" i="11" s="1"/>
  <c r="A2840" i="11"/>
  <c r="A2841" i="11" s="1"/>
  <c r="A2904" i="11"/>
  <c r="A2905" i="11" s="1"/>
  <c r="A2876" i="11"/>
  <c r="A2877" i="11" s="1"/>
  <c r="A2944" i="11"/>
  <c r="A2945" i="11" s="1"/>
  <c r="A2976" i="11"/>
  <c r="A2977" i="11" s="1"/>
  <c r="A2928" i="11"/>
  <c r="A2929" i="11" s="1"/>
  <c r="A3024" i="11"/>
  <c r="A3025" i="11" s="1"/>
  <c r="A3042" i="11"/>
  <c r="A3043" i="11" s="1"/>
  <c r="A3046" i="11"/>
  <c r="A3047" i="11" s="1"/>
  <c r="A3137" i="11"/>
  <c r="A3138" i="11" s="1"/>
  <c r="A3135" i="11"/>
  <c r="A3136" i="11" s="1"/>
  <c r="A3173" i="11"/>
  <c r="A3174" i="11" s="1"/>
  <c r="A3189" i="11"/>
  <c r="A3190" i="11" s="1"/>
  <c r="A3197" i="11"/>
  <c r="A3198" i="11" s="1"/>
  <c r="A3242" i="11"/>
  <c r="A3243" i="11" s="1"/>
  <c r="A3285" i="11"/>
  <c r="A3286" i="11" s="1"/>
  <c r="A1201" i="11"/>
  <c r="A1202" i="11" s="1"/>
  <c r="X843" i="11"/>
  <c r="X2790" i="11"/>
  <c r="X1049" i="11"/>
  <c r="Y1048" i="11" s="1"/>
  <c r="X712" i="11"/>
  <c r="X1089" i="11"/>
  <c r="Y1089" i="11" s="1"/>
  <c r="X386" i="11"/>
  <c r="X2031" i="11"/>
  <c r="X1375" i="11"/>
  <c r="X834" i="11"/>
  <c r="X744" i="11"/>
  <c r="Y743" i="11" s="1"/>
  <c r="X1557" i="11"/>
  <c r="X80" i="11"/>
  <c r="X2894" i="11"/>
  <c r="X910" i="11"/>
  <c r="T410" i="11"/>
  <c r="X2765" i="11"/>
  <c r="X2534" i="11"/>
  <c r="X2580" i="11"/>
  <c r="X1663" i="11"/>
  <c r="X1718" i="11"/>
  <c r="X1726" i="11"/>
  <c r="X208" i="11"/>
  <c r="X1930" i="11"/>
  <c r="Y1929" i="11" s="1"/>
  <c r="X156" i="11"/>
  <c r="X722" i="11"/>
  <c r="X1963" i="11"/>
  <c r="X1153" i="11"/>
  <c r="X1125" i="11"/>
  <c r="X632" i="11"/>
  <c r="Y631" i="11" s="1"/>
  <c r="X977" i="11"/>
  <c r="X1424" i="11"/>
  <c r="X1445" i="11"/>
  <c r="A2215" i="11"/>
  <c r="A2216" i="11" s="1"/>
  <c r="X994" i="11"/>
  <c r="X774" i="11"/>
  <c r="X2853" i="11"/>
  <c r="Y1464" i="11" l="1"/>
  <c r="Y1935" i="11"/>
  <c r="Y1762" i="11"/>
  <c r="Y1627" i="11"/>
  <c r="Y3260" i="11"/>
  <c r="U3225" i="11"/>
  <c r="Y1545" i="11"/>
  <c r="Y2579" i="11"/>
  <c r="Y90" i="11"/>
  <c r="T1443" i="11"/>
  <c r="Y1168" i="11"/>
  <c r="Y1046" i="11"/>
  <c r="Y20" i="11"/>
  <c r="U366" i="11"/>
  <c r="Y1109" i="11"/>
  <c r="Y2349" i="11"/>
  <c r="Y2824" i="11"/>
  <c r="N1442" i="11"/>
  <c r="Y682" i="11"/>
  <c r="Y1907" i="11"/>
  <c r="Y1730" i="11"/>
  <c r="Y1311" i="11"/>
  <c r="Y1736" i="11"/>
  <c r="Y2655" i="11"/>
  <c r="Y3000" i="11"/>
  <c r="Y1325" i="11"/>
  <c r="Y1674" i="11"/>
  <c r="Y262" i="11"/>
  <c r="Y2754" i="11"/>
  <c r="Y543" i="11"/>
  <c r="Y2830" i="11"/>
  <c r="Y1404" i="11"/>
  <c r="Y484" i="11"/>
  <c r="Y3508" i="11"/>
  <c r="Y438" i="11"/>
  <c r="Y80" i="11"/>
  <c r="Y2734" i="11"/>
  <c r="Y3131" i="11"/>
  <c r="Y3026" i="11"/>
  <c r="Y2904" i="11"/>
  <c r="Y3430" i="11"/>
  <c r="Y2042" i="11"/>
  <c r="Y72" i="11"/>
  <c r="Y270" i="11"/>
  <c r="Y1313" i="11"/>
  <c r="Y154" i="11"/>
  <c r="Y2774" i="11"/>
  <c r="Y2283" i="11"/>
  <c r="Y2880" i="11"/>
  <c r="Y1543" i="11"/>
  <c r="Y1207" i="11"/>
  <c r="Y551" i="11"/>
  <c r="Y2878" i="11"/>
  <c r="Y2834" i="11"/>
  <c r="Y3042" i="11"/>
  <c r="Y1152" i="11"/>
  <c r="Y1347" i="11"/>
  <c r="Y801" i="11"/>
  <c r="Y354" i="11"/>
  <c r="Y212" i="11"/>
  <c r="Y1050" i="11"/>
  <c r="Y2068" i="11"/>
  <c r="Y2429" i="11"/>
  <c r="Y2413" i="11"/>
  <c r="Y1738" i="11"/>
  <c r="Y1482" i="11"/>
  <c r="Y1799" i="11"/>
  <c r="Y2359" i="11"/>
  <c r="Y1573" i="11"/>
  <c r="Y1319" i="11"/>
  <c r="Y2533" i="11"/>
  <c r="Y3238" i="11"/>
  <c r="Y2645" i="11"/>
  <c r="Y2459" i="11"/>
  <c r="Y1245" i="11"/>
  <c r="Y1121" i="11"/>
  <c r="Y2425" i="11"/>
  <c r="T1442" i="11"/>
  <c r="Y1209" i="11"/>
  <c r="Y412" i="11"/>
  <c r="Y1082" i="11"/>
  <c r="Y214" i="11"/>
  <c r="Y537" i="11"/>
  <c r="Y3305" i="11"/>
  <c r="Y1374" i="11"/>
  <c r="Y1947" i="11"/>
  <c r="Y668" i="11"/>
  <c r="Y3181" i="11"/>
  <c r="Y3285" i="11"/>
  <c r="Y1329" i="11"/>
  <c r="Y1070" i="11"/>
  <c r="Y1301" i="11"/>
  <c r="Y2267" i="11"/>
  <c r="Y3018" i="11"/>
  <c r="Y2259" i="11"/>
  <c r="Y1408" i="11"/>
  <c r="Y3464" i="11"/>
  <c r="Y1140" i="11"/>
  <c r="Y1933" i="11"/>
  <c r="Y2519" i="11"/>
  <c r="Y1694" i="11"/>
  <c r="Y1535" i="11"/>
  <c r="Y2902" i="11"/>
  <c r="Y1287" i="11"/>
  <c r="Y1638" i="11"/>
  <c r="Y2820" i="11"/>
  <c r="Y1115" i="11"/>
  <c r="Y2443" i="11"/>
  <c r="Y733" i="11"/>
  <c r="Y324" i="11"/>
  <c r="Y662" i="11"/>
  <c r="Y2589" i="11"/>
  <c r="Y395" i="11"/>
  <c r="Y3452" i="11"/>
  <c r="Y320" i="11"/>
  <c r="Y2407" i="11"/>
  <c r="Y652" i="11"/>
  <c r="Y1700" i="11"/>
  <c r="Y120" i="11"/>
  <c r="Y401" i="11"/>
  <c r="Y2026" i="11"/>
  <c r="Y1400" i="11"/>
  <c r="Y553" i="11"/>
  <c r="Y1555" i="11"/>
  <c r="Y478" i="11"/>
  <c r="Y1386" i="11"/>
  <c r="Y30" i="11"/>
  <c r="Y1766" i="11"/>
  <c r="Y3230" i="11"/>
  <c r="Y2726" i="11"/>
  <c r="Y1215" i="11"/>
  <c r="Y1291" i="11"/>
  <c r="Y2690" i="11"/>
  <c r="Y1510" i="11"/>
  <c r="Y1162" i="11"/>
  <c r="Y2960" i="11"/>
  <c r="Y2988" i="11"/>
  <c r="Y680" i="11"/>
  <c r="Y1803" i="11"/>
  <c r="Y2084" i="11"/>
  <c r="Y3399" i="11"/>
  <c r="Y3391" i="11"/>
  <c r="Y522" i="11"/>
  <c r="Y3145" i="11"/>
  <c r="Y1720" i="11"/>
  <c r="Y769" i="11"/>
  <c r="Y1953" i="11"/>
  <c r="Y1860" i="11"/>
  <c r="Y424" i="11"/>
  <c r="Y2326" i="11"/>
  <c r="Y2748" i="11"/>
  <c r="Y338" i="11"/>
  <c r="Y1101" i="11"/>
  <c r="Y126" i="11"/>
  <c r="Y336" i="11"/>
  <c r="Y1750" i="11"/>
  <c r="Y815" i="11"/>
  <c r="Y3317" i="11"/>
  <c r="Y1307" i="11"/>
  <c r="Y3234" i="11"/>
  <c r="Y3077" i="11"/>
  <c r="Y2585" i="11"/>
  <c r="Y2992" i="11"/>
  <c r="Y2475" i="11"/>
  <c r="Y1571" i="11"/>
  <c r="Y1138" i="11"/>
  <c r="Y292" i="11"/>
  <c r="Y621" i="11"/>
  <c r="Y1087" i="11"/>
  <c r="Y1032" i="11"/>
  <c r="Y930" i="11"/>
  <c r="Y1432" i="11"/>
  <c r="Y510" i="11"/>
  <c r="Y555" i="11"/>
  <c r="Y1247" i="11"/>
  <c r="Y1303" i="11"/>
  <c r="Y2305" i="11"/>
  <c r="Y112" i="11"/>
  <c r="Y2553" i="11"/>
  <c r="Y3244" i="11"/>
  <c r="Y2485" i="11"/>
  <c r="Y1488" i="11"/>
  <c r="Y3133" i="11"/>
  <c r="Y1335" i="11"/>
  <c r="Y142" i="11"/>
  <c r="Y1621" i="11"/>
  <c r="Y1028" i="11"/>
  <c r="Y2269" i="11"/>
  <c r="Y2555" i="11"/>
  <c r="Y3268" i="11"/>
  <c r="Y1273" i="11"/>
  <c r="Y3097" i="11"/>
  <c r="Y1462" i="11"/>
  <c r="Y585" i="11"/>
  <c r="Y1504" i="11"/>
  <c r="Y1299" i="11"/>
  <c r="Y2930" i="11"/>
  <c r="Y1500" i="11"/>
  <c r="Y236" i="11"/>
  <c r="Y2591" i="11"/>
  <c r="Y2746" i="11"/>
  <c r="Y2710" i="11"/>
  <c r="Y3032" i="11"/>
  <c r="Y676" i="11"/>
  <c r="Y1261" i="11"/>
  <c r="Y629" i="11"/>
  <c r="Y2324" i="11"/>
  <c r="Y1237" i="11"/>
  <c r="Y2631" i="11"/>
  <c r="Y1384" i="11"/>
  <c r="Y524" i="11"/>
  <c r="Y2461" i="11"/>
  <c r="Y837" i="11"/>
  <c r="Y2513" i="11"/>
  <c r="Y1364" i="11"/>
  <c r="Y2060" i="11"/>
  <c r="Y1559" i="11"/>
  <c r="Y1623" i="11"/>
  <c r="Y2876" i="11"/>
  <c r="Y2363" i="11"/>
  <c r="Y965" i="11"/>
  <c r="Y1452" i="11"/>
  <c r="Y160" i="11"/>
  <c r="Y3183" i="11"/>
  <c r="Y809" i="11"/>
  <c r="Y1251" i="11"/>
  <c r="Y1973" i="11"/>
  <c r="Y2625" i="11"/>
  <c r="Y76" i="11"/>
  <c r="Y2862" i="11"/>
  <c r="Y1192" i="11"/>
  <c r="Y1060" i="11"/>
  <c r="Y1277" i="11"/>
  <c r="Y1652" i="11"/>
  <c r="Y2371" i="11"/>
  <c r="Y2497" i="11"/>
  <c r="Y1341" i="11"/>
  <c r="Y1603" i="11"/>
  <c r="Y955" i="11"/>
  <c r="Y118" i="11"/>
  <c r="Y1188" i="11"/>
  <c r="Y2926" i="11"/>
  <c r="Y1119" i="11"/>
  <c r="Y322" i="11"/>
  <c r="Y565" i="11"/>
  <c r="Y1977" i="11"/>
  <c r="Y2706" i="11"/>
  <c r="Y56" i="11"/>
  <c r="Y1775" i="11"/>
  <c r="Y2718" i="11"/>
  <c r="Y2597" i="11"/>
  <c r="Y246" i="11"/>
  <c r="Y1078" i="11"/>
  <c r="Y1764" i="11"/>
  <c r="Y936" i="11"/>
  <c r="Y360" i="11"/>
  <c r="Y422" i="11"/>
  <c r="Y1148" i="11"/>
  <c r="Y2006" i="11"/>
  <c r="Y3044" i="11"/>
  <c r="Y1418" i="11"/>
  <c r="Y2906" i="11"/>
  <c r="Y98" i="11"/>
  <c r="Y3242" i="11"/>
  <c r="Y2419" i="11"/>
  <c r="Y1754" i="11"/>
  <c r="Y1359" i="11"/>
  <c r="Y1233" i="11"/>
  <c r="Y2700" i="11"/>
  <c r="Y2740" i="11"/>
  <c r="Y1915" i="11"/>
  <c r="Y2577" i="11"/>
  <c r="Y1512" i="11"/>
  <c r="Y2678" i="11"/>
  <c r="Y2255" i="11"/>
  <c r="Y3295" i="11"/>
  <c r="Y1058" i="11"/>
  <c r="Y1531" i="11"/>
  <c r="Y2635" i="11"/>
  <c r="Y2956" i="11"/>
  <c r="Y575" i="11"/>
  <c r="Y138" i="11"/>
  <c r="U1771" i="11"/>
  <c r="Y1339" i="11"/>
  <c r="Y2649" i="11"/>
  <c r="Y583" i="11"/>
  <c r="Y24" i="11"/>
  <c r="Y1337" i="11"/>
  <c r="Y3034" i="11"/>
  <c r="Y545" i="11"/>
  <c r="Y386" i="11"/>
  <c r="Y1293" i="11"/>
  <c r="Y643" i="11"/>
  <c r="Y3195" i="11"/>
  <c r="Y1607" i="11"/>
  <c r="Y288" i="11"/>
  <c r="Y2016" i="11"/>
  <c r="Y595" i="11"/>
  <c r="Y737" i="11"/>
  <c r="Y388" i="11"/>
  <c r="Y448" i="11"/>
  <c r="Y3219" i="11"/>
  <c r="A130" i="11"/>
  <c r="A131" i="11" s="1"/>
  <c r="A228" i="11"/>
  <c r="A229" i="11" s="1"/>
  <c r="A815" i="11"/>
  <c r="A816" i="11" s="1"/>
  <c r="A761" i="11"/>
  <c r="A762" i="11" s="1"/>
  <c r="A1217" i="11"/>
  <c r="A1218" i="11" s="1"/>
  <c r="A1156" i="11"/>
  <c r="A1157" i="11" s="1"/>
  <c r="A1650" i="11"/>
  <c r="A1651" i="11" s="1"/>
  <c r="A1384" i="11"/>
  <c r="A1385" i="11" s="1"/>
  <c r="A1535" i="11"/>
  <c r="A1536" i="11" s="1"/>
  <c r="A2469" i="11"/>
  <c r="A2470" i="11" s="1"/>
  <c r="Y3347" i="11"/>
  <c r="Y2804" i="11"/>
  <c r="Y2832" i="11"/>
  <c r="Y833" i="11"/>
  <c r="Y817" i="11"/>
  <c r="Y2784" i="11"/>
  <c r="Y3159" i="11"/>
  <c r="Y599" i="11"/>
  <c r="Y2587" i="11"/>
  <c r="Y1636" i="11"/>
  <c r="Y3143" i="11"/>
  <c r="Y3407" i="11"/>
  <c r="Y654" i="11"/>
  <c r="Y1718" i="11"/>
  <c r="Y1190" i="11"/>
  <c r="Y3428" i="11"/>
  <c r="Y535" i="11"/>
  <c r="Y3187" i="11"/>
  <c r="A42" i="11"/>
  <c r="A43" i="11" s="1"/>
  <c r="A272" i="11"/>
  <c r="A273" i="11" s="1"/>
  <c r="A218" i="11"/>
  <c r="A219" i="11" s="1"/>
  <c r="A579" i="11"/>
  <c r="A580" i="11" s="1"/>
  <c r="A819" i="11"/>
  <c r="A820" i="11" s="1"/>
  <c r="A1414" i="11"/>
  <c r="A1415" i="11" s="1"/>
  <c r="A1664" i="11"/>
  <c r="A1665" i="11" s="1"/>
  <c r="Y775" i="11"/>
  <c r="Y3291" i="11"/>
  <c r="Y823" i="11"/>
  <c r="Y1117" i="11"/>
  <c r="Y1362" i="11"/>
  <c r="Y763" i="11"/>
  <c r="Y202" i="11"/>
  <c r="Y3236" i="11"/>
  <c r="Y2064" i="11"/>
  <c r="Y44" i="11"/>
  <c r="Y961" i="11"/>
  <c r="A110" i="11"/>
  <c r="A111" i="11" s="1"/>
  <c r="Y2595" i="11"/>
  <c r="Y144" i="11"/>
  <c r="Y2050" i="11"/>
  <c r="Y747" i="11"/>
  <c r="Y3248" i="11"/>
  <c r="Y371" i="11"/>
  <c r="Y2487" i="11"/>
  <c r="Y124" i="11"/>
  <c r="Y1460" i="11"/>
  <c r="Y3345" i="11"/>
  <c r="Y62" i="11"/>
  <c r="X1698" i="11"/>
  <c r="Y362" i="11"/>
  <c r="Y2696" i="11"/>
  <c r="Y3389" i="11"/>
  <c r="Y781" i="11"/>
  <c r="Y274" i="11"/>
  <c r="Y2431" i="11"/>
  <c r="Y3189" i="11"/>
  <c r="Y2249" i="11"/>
  <c r="Y581" i="11"/>
  <c r="Y831" i="11"/>
  <c r="Y3362" i="11"/>
  <c r="Y3418" i="11"/>
  <c r="Y2493" i="11"/>
  <c r="Y94" i="11"/>
  <c r="Y3499" i="11"/>
  <c r="Y1472" i="11"/>
  <c r="Y304" i="11"/>
  <c r="Y1533" i="11"/>
  <c r="Y571" i="11"/>
  <c r="Y3217" i="11"/>
  <c r="Y1547" i="11"/>
  <c r="Y977" i="11"/>
  <c r="Y170" i="11"/>
  <c r="Y2661" i="11"/>
  <c r="Y2972" i="11"/>
  <c r="Y3493" i="11"/>
  <c r="Y518" i="11"/>
  <c r="Y226" i="11"/>
  <c r="Y2341" i="11"/>
  <c r="Y2004" i="11"/>
  <c r="Y1492" i="11"/>
  <c r="Y458" i="11"/>
  <c r="Y2275" i="11"/>
  <c r="Y2521" i="11"/>
  <c r="Y342" i="11"/>
  <c r="Y1781" i="11"/>
  <c r="Y526" i="11"/>
  <c r="Y54" i="11"/>
  <c r="Y1943" i="11"/>
  <c r="Y3472" i="11"/>
  <c r="Y1414" i="11"/>
  <c r="A490" i="11"/>
  <c r="A491" i="11" s="1"/>
  <c r="A246" i="11"/>
  <c r="A224" i="11"/>
  <c r="A225" i="11" s="1"/>
  <c r="A373" i="11"/>
  <c r="A374" i="11" s="1"/>
  <c r="A561" i="11"/>
  <c r="A562" i="11" s="1"/>
  <c r="A516" i="11"/>
  <c r="A517" i="11" s="1"/>
  <c r="A1144" i="11"/>
  <c r="A1145" i="11" s="1"/>
  <c r="A1335" i="11"/>
  <c r="A1336" i="11" s="1"/>
  <c r="A1563" i="11"/>
  <c r="A1564" i="11" s="1"/>
  <c r="A1750" i="11"/>
  <c r="A1751" i="11" s="1"/>
  <c r="A2445" i="11"/>
  <c r="A2446" i="11" s="1"/>
  <c r="A2555" i="11"/>
  <c r="A2556" i="11" s="1"/>
  <c r="A2694" i="11"/>
  <c r="A2695" i="11" s="1"/>
  <c r="Y1180" i="11"/>
  <c r="Y3065" i="11"/>
  <c r="Y1470" i="11"/>
  <c r="Y2375" i="11"/>
  <c r="Y1225" i="11"/>
  <c r="Y2639" i="11"/>
  <c r="Y561" i="11"/>
  <c r="Y436" i="11"/>
  <c r="Y967" i="11"/>
  <c r="Y1853" i="11"/>
  <c r="Y1166" i="11"/>
  <c r="Y1508" i="11"/>
  <c r="A204" i="11"/>
  <c r="A205" i="11" s="1"/>
  <c r="U1904" i="11"/>
  <c r="Y1949" i="11"/>
  <c r="Y1217" i="11"/>
  <c r="Y1752" i="11"/>
  <c r="Y2457" i="11"/>
  <c r="Y2914" i="11"/>
  <c r="Y767" i="11"/>
  <c r="Y1422" i="11"/>
  <c r="U994" i="11"/>
  <c r="Y1702" i="11"/>
  <c r="Y2477" i="11"/>
  <c r="Y1526" i="11"/>
  <c r="Y684" i="11"/>
  <c r="Y1345" i="11"/>
  <c r="Y1975" i="11"/>
  <c r="Y2481" i="11"/>
  <c r="Y1993" i="11"/>
  <c r="Y64" i="11"/>
  <c r="Y2647" i="11"/>
  <c r="Y3179" i="11"/>
  <c r="Y2405" i="11"/>
  <c r="Y1066" i="11"/>
  <c r="Y340" i="11"/>
  <c r="Y1567" i="11"/>
  <c r="Y2936" i="11"/>
  <c r="Y3147" i="11"/>
  <c r="Y132" i="11"/>
  <c r="Y647" i="11"/>
  <c r="Y811" i="11"/>
  <c r="Y476" i="11"/>
  <c r="Y1995" i="11"/>
  <c r="Y296" i="11"/>
  <c r="Y406" i="11"/>
  <c r="Y2990" i="11"/>
  <c r="Y3413" i="11"/>
  <c r="Y452" i="11"/>
  <c r="Y957" i="11"/>
  <c r="Y1595" i="11"/>
  <c r="Y1593" i="11"/>
  <c r="Y3083" i="11"/>
  <c r="Y2916" i="11"/>
  <c r="Y3240" i="11"/>
  <c r="Y346" i="11"/>
  <c r="Y3339" i="11"/>
  <c r="Y3073" i="11"/>
  <c r="Y821" i="11"/>
  <c r="Y494" i="11"/>
  <c r="Y2611" i="11"/>
  <c r="Y2768" i="11"/>
  <c r="Y2792" i="11"/>
  <c r="Y1434" i="11"/>
  <c r="Y2838" i="11"/>
  <c r="Y541" i="11"/>
  <c r="Y460" i="11"/>
  <c r="Y949" i="11"/>
  <c r="Y2840" i="11"/>
  <c r="Y2810" i="11"/>
  <c r="Y1758" i="11"/>
  <c r="Y3030" i="11"/>
  <c r="Y3343" i="11"/>
  <c r="Y2724" i="11"/>
  <c r="Y1967" i="11"/>
  <c r="Y3356" i="11"/>
  <c r="Y2814" i="11"/>
  <c r="Y1589" i="11"/>
  <c r="Y539" i="11"/>
  <c r="Y464" i="11"/>
  <c r="Y3058" i="11"/>
  <c r="Y298" i="11"/>
  <c r="Y2012" i="11"/>
  <c r="Y1343" i="11"/>
  <c r="Y3050" i="11"/>
  <c r="Y1494" i="11"/>
  <c r="Y2896" i="11"/>
  <c r="Y2593" i="11"/>
  <c r="Y947" i="11"/>
  <c r="Y2367" i="11"/>
  <c r="Y2062" i="11"/>
  <c r="Y3315" i="11"/>
  <c r="Y108" i="11"/>
  <c r="Y420" i="11"/>
  <c r="Y789" i="11"/>
  <c r="Y2890" i="11"/>
  <c r="Y678" i="11"/>
  <c r="Y1130" i="11"/>
  <c r="Y707" i="11"/>
  <c r="Y3264" i="11"/>
  <c r="Y2543" i="11"/>
  <c r="Y2505" i="11"/>
  <c r="Y639" i="11"/>
  <c r="Y3442" i="11"/>
  <c r="Y1476" i="11"/>
  <c r="Y3462" i="11"/>
  <c r="A625" i="11"/>
  <c r="A626" i="11" s="1"/>
  <c r="A254" i="11"/>
  <c r="A717" i="11"/>
  <c r="A718" i="11" s="1"/>
  <c r="A1305" i="11"/>
  <c r="A1306" i="11" s="1"/>
  <c r="A1091" i="11"/>
  <c r="A1092" i="11" s="1"/>
  <c r="A1109" i="11"/>
  <c r="A1110" i="11" s="1"/>
  <c r="A1420" i="11"/>
  <c r="A1421" i="11" s="1"/>
  <c r="A1601" i="11"/>
  <c r="A1602" i="11" s="1"/>
  <c r="A2465" i="11"/>
  <c r="A2466" i="11" s="1"/>
  <c r="A2748" i="11"/>
  <c r="A2749" i="11" s="1"/>
  <c r="A2806" i="11"/>
  <c r="A2807" i="11" s="1"/>
  <c r="Y721" i="11"/>
  <c r="Y2808" i="11"/>
  <c r="Y2467" i="11"/>
  <c r="Y793" i="11"/>
  <c r="Y1506" i="11"/>
  <c r="Y761" i="11"/>
  <c r="Y1263" i="11"/>
  <c r="Y3486" i="11"/>
  <c r="Y670" i="11"/>
  <c r="Y1076" i="11"/>
  <c r="Y2008" i="11"/>
  <c r="Y1688" i="11"/>
  <c r="Y1412" i="11"/>
  <c r="Y3004" i="11"/>
  <c r="Y1961" i="11"/>
  <c r="Y2788" i="11"/>
  <c r="Y2369" i="11"/>
  <c r="Y1744" i="11"/>
  <c r="A452" i="11"/>
  <c r="A453" i="11" s="1"/>
  <c r="A678" i="11"/>
  <c r="A679" i="11" s="1"/>
  <c r="A731" i="11"/>
  <c r="A732" i="11" s="1"/>
  <c r="A2581" i="11"/>
  <c r="A2582" i="11" s="1"/>
  <c r="A2651" i="11"/>
  <c r="A2652" i="11" s="1"/>
  <c r="Y3352" i="11"/>
  <c r="Y1454" i="11"/>
  <c r="Y1939" i="11"/>
  <c r="Y1289" i="11"/>
  <c r="Y3424" i="11"/>
  <c r="Y186" i="11"/>
  <c r="Y399" i="11"/>
  <c r="Y3207" i="11"/>
  <c r="Y1617" i="11"/>
  <c r="Y3052" i="11"/>
  <c r="Y672" i="11"/>
  <c r="Y1484" i="11"/>
  <c r="Y2676" i="11"/>
  <c r="Y2261" i="11"/>
  <c r="Y496" i="11"/>
  <c r="Y1557" i="11"/>
  <c r="Y470" i="11"/>
  <c r="Y240" i="11"/>
  <c r="Y254" i="11"/>
  <c r="Y3456" i="11"/>
  <c r="Y641" i="11"/>
  <c r="Y3337" i="11"/>
  <c r="Y3311" i="11"/>
  <c r="Y276" i="11"/>
  <c r="Y1095" i="11"/>
  <c r="Y1630" i="11"/>
  <c r="Y2541" i="11"/>
  <c r="Y238" i="11"/>
  <c r="Y2032" i="11"/>
  <c r="Y2273" i="11"/>
  <c r="Y2020" i="11"/>
  <c r="Y1257" i="11"/>
  <c r="Y785" i="11"/>
  <c r="Y841" i="11"/>
  <c r="Y188" i="11"/>
  <c r="Y729" i="11"/>
  <c r="Y70" i="11"/>
  <c r="Y717" i="11"/>
  <c r="Y1150" i="11"/>
  <c r="Y1541" i="11"/>
  <c r="Y713" i="11"/>
  <c r="Y807" i="11"/>
  <c r="Y2772" i="11"/>
  <c r="Y2439" i="11"/>
  <c r="Y2682" i="11"/>
  <c r="Y40" i="11"/>
  <c r="Y2309" i="11"/>
  <c r="Y1756" i="11"/>
  <c r="Y2657" i="11"/>
  <c r="Y1113" i="11"/>
  <c r="Y46" i="11"/>
  <c r="Y3024" i="11"/>
  <c r="Y3093" i="11"/>
  <c r="Y3279" i="11"/>
  <c r="Y1038" i="11"/>
  <c r="Y2866" i="11"/>
  <c r="Y3444" i="11"/>
  <c r="Y557" i="11"/>
  <c r="Y2569" i="11"/>
  <c r="Y3341" i="11"/>
  <c r="Y3103" i="11"/>
  <c r="Y196" i="11"/>
  <c r="Y3319" i="11"/>
  <c r="Y530" i="11"/>
  <c r="Y3232" i="11"/>
  <c r="Y2247" i="11"/>
  <c r="Y1613" i="11"/>
  <c r="Y456" i="11"/>
  <c r="Y2387" i="11"/>
  <c r="Y2826" i="11"/>
  <c r="Y3071" i="11"/>
  <c r="Y1911" i="11"/>
  <c r="Y2684" i="11"/>
  <c r="Y418" i="11"/>
  <c r="Y220" i="11"/>
  <c r="Y3411" i="11"/>
  <c r="Y2046" i="11"/>
  <c r="Y2742" i="11"/>
  <c r="Y1587" i="11"/>
  <c r="Y2539" i="11"/>
  <c r="Y2537" i="11"/>
  <c r="Y1773" i="11"/>
  <c r="Y74" i="11"/>
  <c r="Y2489" i="11"/>
  <c r="Y442" i="11"/>
  <c r="Y658" i="11"/>
  <c r="Y1370" i="11"/>
  <c r="A158" i="11"/>
  <c r="A159" i="11" s="1"/>
  <c r="A132" i="11"/>
  <c r="A133" i="11" s="1"/>
  <c r="A40" i="11"/>
  <c r="A41" i="11" s="1"/>
  <c r="A319" i="11"/>
  <c r="A791" i="11"/>
  <c r="A792" i="11" s="1"/>
  <c r="A737" i="11"/>
  <c r="A738" i="11" s="1"/>
  <c r="A1245" i="11"/>
  <c r="A1246" i="11" s="1"/>
  <c r="A1299" i="11"/>
  <c r="A1300" i="11" s="1"/>
  <c r="A1351" i="11"/>
  <c r="A1352" i="11" s="1"/>
  <c r="A1426" i="11"/>
  <c r="A1427" i="11" s="1"/>
  <c r="A1424" i="11"/>
  <c r="A1425" i="11" s="1"/>
  <c r="A2353" i="11"/>
  <c r="A2354" i="11" s="1"/>
  <c r="A2788" i="11"/>
  <c r="A2789" i="11" s="1"/>
  <c r="A2776" i="11"/>
  <c r="A2777" i="11" s="1"/>
  <c r="Y1279" i="11"/>
  <c r="A743" i="11"/>
  <c r="A744" i="11" s="1"/>
  <c r="A128" i="11"/>
  <c r="A129" i="11" s="1"/>
  <c r="A390" i="11"/>
  <c r="A391" i="11" s="1"/>
  <c r="A637" i="11"/>
  <c r="A638" i="11" s="1"/>
  <c r="A623" i="11"/>
  <c r="A624" i="11" s="1"/>
  <c r="A795" i="11"/>
  <c r="A796" i="11" s="1"/>
  <c r="A1281" i="11"/>
  <c r="A1282" i="11" s="1"/>
  <c r="A1730" i="11"/>
  <c r="A1731" i="11" s="1"/>
  <c r="A2387" i="11"/>
  <c r="A2388" i="11" s="1"/>
  <c r="A2515" i="11"/>
  <c r="A2516" i="11" s="1"/>
  <c r="A2459" i="11"/>
  <c r="A2460" i="11" s="1"/>
  <c r="A2615" i="11"/>
  <c r="A2616" i="11" s="1"/>
  <c r="Y2856" i="11"/>
  <c r="Y3063" i="11"/>
  <c r="Y10" i="11"/>
  <c r="Y3151" i="11"/>
  <c r="Y3289" i="11"/>
  <c r="X366" i="11"/>
  <c r="A265" i="11"/>
  <c r="U2292" i="11"/>
  <c r="Y3228" i="11"/>
  <c r="A267" i="11"/>
  <c r="U3224" i="11"/>
  <c r="Y2379" i="11"/>
  <c r="Y3101" i="11"/>
  <c r="Y1125" i="11"/>
  <c r="U2853" i="11"/>
  <c r="A257" i="11"/>
  <c r="A243" i="11"/>
  <c r="A261" i="11"/>
  <c r="A263" i="11"/>
  <c r="V2394" i="11"/>
  <c r="V2376" i="11" s="1"/>
  <c r="U1446" i="11"/>
  <c r="A64" i="11"/>
  <c r="A65" i="11" s="1"/>
  <c r="A66" i="11"/>
  <c r="A67" i="11" s="1"/>
  <c r="A322" i="11"/>
  <c r="A323" i="11" s="1"/>
  <c r="A434" i="11"/>
  <c r="A435" i="11" s="1"/>
  <c r="A506" i="11"/>
  <c r="A507" i="11" s="1"/>
  <c r="A317" i="11"/>
  <c r="A468" i="11"/>
  <c r="A469" i="11" s="1"/>
  <c r="A194" i="11"/>
  <c r="A195" i="11" s="1"/>
  <c r="A328" i="11"/>
  <c r="A432" i="11"/>
  <c r="A433" i="11" s="1"/>
  <c r="A486" i="11"/>
  <c r="A487" i="11" s="1"/>
  <c r="A747" i="11"/>
  <c r="A748" i="11" s="1"/>
  <c r="A664" i="11"/>
  <c r="A665" i="11" s="1"/>
  <c r="A741" i="11"/>
  <c r="A742" i="11" s="1"/>
  <c r="A1036" i="11"/>
  <c r="A1037" i="11" s="1"/>
  <c r="A1111" i="11"/>
  <c r="A1112" i="11" s="1"/>
  <c r="A1038" i="11"/>
  <c r="A1039" i="11" s="1"/>
  <c r="A1105" i="11"/>
  <c r="A1106" i="11" s="1"/>
  <c r="A1176" i="11"/>
  <c r="A1177" i="11" s="1"/>
  <c r="A1115" i="11"/>
  <c r="A1116" i="11" s="1"/>
  <c r="A1140" i="11"/>
  <c r="A1141" i="11" s="1"/>
  <c r="A1013" i="11"/>
  <c r="A1014" i="11" s="1"/>
  <c r="A1307" i="11"/>
  <c r="A1308" i="11" s="1"/>
  <c r="A1333" i="11"/>
  <c r="A1334" i="11" s="1"/>
  <c r="A1368" i="11"/>
  <c r="A1369" i="11" s="1"/>
  <c r="A1432" i="11"/>
  <c r="A1433" i="11" s="1"/>
  <c r="A1734" i="11"/>
  <c r="A1735" i="11" s="1"/>
  <c r="A1660" i="11"/>
  <c r="A1661" i="11" s="1"/>
  <c r="V2084" i="11"/>
  <c r="A2335" i="11"/>
  <c r="A2336" i="11" s="1"/>
  <c r="A2355" i="11"/>
  <c r="A2356" i="11" s="1"/>
  <c r="V2393" i="11"/>
  <c r="A2395" i="11"/>
  <c r="A2396" i="11" s="1"/>
  <c r="A2523" i="11"/>
  <c r="A2524" i="11" s="1"/>
  <c r="A2700" i="11"/>
  <c r="A2701" i="11" s="1"/>
  <c r="A2645" i="11"/>
  <c r="A2646" i="11" s="1"/>
  <c r="V3063" i="11"/>
  <c r="A3065" i="11"/>
  <c r="A3066" i="11" s="1"/>
  <c r="Y1022" i="11"/>
  <c r="Y2828" i="11"/>
  <c r="Y3393" i="11"/>
  <c r="U365" i="11"/>
  <c r="Y1642" i="11"/>
  <c r="U1770" i="11"/>
  <c r="AC3367" i="11"/>
  <c r="AD3367" i="11" s="1"/>
  <c r="Y3367" i="11"/>
  <c r="Y3087" i="11"/>
  <c r="Y2337" i="11"/>
  <c r="Y932" i="11"/>
  <c r="Y1235" i="11"/>
  <c r="Y2752" i="11"/>
  <c r="Y1563" i="11"/>
  <c r="Y2347" i="11"/>
  <c r="Y1605" i="11"/>
  <c r="Y2243" i="11"/>
  <c r="Y1420" i="11"/>
  <c r="Y2285" i="11"/>
  <c r="Y3137" i="11"/>
  <c r="Y1551" i="11"/>
  <c r="Y1991" i="11"/>
  <c r="Y1969" i="11"/>
  <c r="Y666" i="11"/>
  <c r="AC3371" i="11"/>
  <c r="AD3371" i="11" s="1"/>
  <c r="Y3371" i="11"/>
  <c r="V14" i="11"/>
  <c r="A18" i="11"/>
  <c r="A19" i="11" s="1"/>
  <c r="A98" i="11"/>
  <c r="A99" i="11" s="1"/>
  <c r="V232" i="11"/>
  <c r="A20" i="11"/>
  <c r="A21" i="11" s="1"/>
  <c r="A251" i="11"/>
  <c r="V533" i="11"/>
  <c r="A136" i="11"/>
  <c r="A137" i="11" s="1"/>
  <c r="A286" i="11"/>
  <c r="A287" i="11" s="1"/>
  <c r="A200" i="11"/>
  <c r="A201" i="11" s="1"/>
  <c r="A342" i="11"/>
  <c r="A343" i="11" s="1"/>
  <c r="A442" i="11"/>
  <c r="A443" i="11" s="1"/>
  <c r="A522" i="11"/>
  <c r="A523" i="11" s="1"/>
  <c r="A325" i="11"/>
  <c r="A202" i="11"/>
  <c r="A203" i="11" s="1"/>
  <c r="A440" i="11"/>
  <c r="A441" i="11" s="1"/>
  <c r="A430" i="11"/>
  <c r="A431" i="11" s="1"/>
  <c r="A494" i="11"/>
  <c r="A495" i="11" s="1"/>
  <c r="A565" i="11"/>
  <c r="A566" i="11" s="1"/>
  <c r="A713" i="11"/>
  <c r="A714" i="11" s="1"/>
  <c r="A807" i="11"/>
  <c r="A808" i="11" s="1"/>
  <c r="A1017" i="11"/>
  <c r="A1018" i="11" s="1"/>
  <c r="A1044" i="11"/>
  <c r="A1045" i="11" s="1"/>
  <c r="A1034" i="11"/>
  <c r="A1035" i="11" s="1"/>
  <c r="A1311" i="11"/>
  <c r="A1312" i="11" s="1"/>
  <c r="A1277" i="11"/>
  <c r="A1278" i="11" s="1"/>
  <c r="A1567" i="11"/>
  <c r="A1568" i="11" s="1"/>
  <c r="A1359" i="11"/>
  <c r="A1360" i="11" s="1"/>
  <c r="A1537" i="11"/>
  <c r="A1538" i="11" s="1"/>
  <c r="A1595" i="11"/>
  <c r="A1596" i="11" s="1"/>
  <c r="A1688" i="11"/>
  <c r="A1689" i="11" s="1"/>
  <c r="A1795" i="11"/>
  <c r="A1796" i="11" s="1"/>
  <c r="A1668" i="11"/>
  <c r="A1669" i="11" s="1"/>
  <c r="A1781" i="11"/>
  <c r="A1782" i="11" s="1"/>
  <c r="A1785" i="11"/>
  <c r="A1786" i="11" s="1"/>
  <c r="V1998" i="11"/>
  <c r="A2307" i="11"/>
  <c r="A2308" i="11" s="1"/>
  <c r="A2311" i="11"/>
  <c r="A2312" i="11" s="1"/>
  <c r="A2397" i="11"/>
  <c r="A2398" i="11" s="1"/>
  <c r="A2425" i="11"/>
  <c r="A2426" i="11" s="1"/>
  <c r="A2461" i="11"/>
  <c r="A2462" i="11" s="1"/>
  <c r="A2479" i="11"/>
  <c r="A2480" i="11" s="1"/>
  <c r="V2610" i="11"/>
  <c r="V2606" i="11" s="1"/>
  <c r="A2583" i="11"/>
  <c r="A2584" i="11" s="1"/>
  <c r="A2653" i="11"/>
  <c r="A2654" i="11" s="1"/>
  <c r="A2848" i="11"/>
  <c r="A2849" i="11" s="1"/>
  <c r="V3252" i="11"/>
  <c r="A3254" i="11"/>
  <c r="A3255" i="11" s="1"/>
  <c r="Y3283" i="11"/>
  <c r="Y1158" i="11"/>
  <c r="X14" i="11"/>
  <c r="Y2780" i="11"/>
  <c r="Y1219" i="11"/>
  <c r="Y3095" i="11"/>
  <c r="Y242" i="11"/>
  <c r="Y1656" i="11"/>
  <c r="Y839" i="11"/>
  <c r="Y1480" i="11"/>
  <c r="Y3036" i="11"/>
  <c r="Y1203" i="11"/>
  <c r="Y3119" i="11"/>
  <c r="Y2281" i="11"/>
  <c r="Y2389" i="11"/>
  <c r="Y547" i="11"/>
  <c r="Y3169" i="11"/>
  <c r="Y290" i="11"/>
  <c r="Y563" i="11"/>
  <c r="Y2942" i="11"/>
  <c r="Y2842" i="11"/>
  <c r="Y2962" i="11"/>
  <c r="Y1040" i="11"/>
  <c r="V310" i="11"/>
  <c r="A28" i="11"/>
  <c r="A29" i="11" s="1"/>
  <c r="A134" i="11"/>
  <c r="A135" i="11" s="1"/>
  <c r="A114" i="11"/>
  <c r="A115" i="11" s="1"/>
  <c r="A338" i="11"/>
  <c r="A339" i="11" s="1"/>
  <c r="V652" i="11"/>
  <c r="A448" i="11"/>
  <c r="A449" i="11" s="1"/>
  <c r="A512" i="11"/>
  <c r="A513" i="11" s="1"/>
  <c r="A575" i="11"/>
  <c r="A576" i="11" s="1"/>
  <c r="A571" i="11"/>
  <c r="A572" i="11" s="1"/>
  <c r="A518" i="11"/>
  <c r="A519" i="11" s="1"/>
  <c r="A502" i="11"/>
  <c r="A503" i="11" s="1"/>
  <c r="A573" i="11"/>
  <c r="A574" i="11" s="1"/>
  <c r="A727" i="11"/>
  <c r="A728" i="11" s="1"/>
  <c r="A682" i="11"/>
  <c r="A683" i="11" s="1"/>
  <c r="V703" i="11"/>
  <c r="A705" i="11"/>
  <c r="A706" i="11" s="1"/>
  <c r="A821" i="11"/>
  <c r="A822" i="11" s="1"/>
  <c r="A1052" i="11"/>
  <c r="A1053" i="11" s="1"/>
  <c r="A1134" i="11"/>
  <c r="A1135" i="11" s="1"/>
  <c r="A1054" i="11"/>
  <c r="A1055" i="11" s="1"/>
  <c r="A1121" i="11"/>
  <c r="A1122" i="11" s="1"/>
  <c r="V1363" i="11"/>
  <c r="V1126" i="11" s="1"/>
  <c r="A1130" i="11"/>
  <c r="A1131" i="11" s="1"/>
  <c r="A1255" i="11"/>
  <c r="A1256" i="11" s="1"/>
  <c r="A1398" i="11"/>
  <c r="A1399" i="11" s="1"/>
  <c r="A1343" i="11"/>
  <c r="A1344" i="11" s="1"/>
  <c r="A1285" i="11"/>
  <c r="A1286" i="11" s="1"/>
  <c r="V1631" i="11"/>
  <c r="A1632" i="11"/>
  <c r="A1633" i="11" s="1"/>
  <c r="V1362" i="11"/>
  <c r="V1125" i="11" s="1"/>
  <c r="A1545" i="11"/>
  <c r="A1546" i="11" s="1"/>
  <c r="A1793" i="11"/>
  <c r="A1794" i="11" s="1"/>
  <c r="A2363" i="11"/>
  <c r="A2364" i="11" s="1"/>
  <c r="A2433" i="11"/>
  <c r="A2434" i="11" s="1"/>
  <c r="A2507" i="11"/>
  <c r="A2508" i="11" s="1"/>
  <c r="A2579" i="11"/>
  <c r="A2580" i="11" s="1"/>
  <c r="A2487" i="11"/>
  <c r="A2488" i="11" s="1"/>
  <c r="A2557" i="11"/>
  <c r="A2558" i="11" s="1"/>
  <c r="A2481" i="11"/>
  <c r="A2482" i="11" s="1"/>
  <c r="A2543" i="11"/>
  <c r="A2544" i="11" s="1"/>
  <c r="A2688" i="11"/>
  <c r="A2689" i="11" s="1"/>
  <c r="A2631" i="11"/>
  <c r="A2632" i="11" s="1"/>
  <c r="A2591" i="11"/>
  <c r="A2592" i="11" s="1"/>
  <c r="A2661" i="11"/>
  <c r="A2662" i="11" s="1"/>
  <c r="A2794" i="11"/>
  <c r="A2795" i="11" s="1"/>
  <c r="V3228" i="11"/>
  <c r="Y843" i="11"/>
  <c r="Y609" i="11"/>
  <c r="Y3436" i="11"/>
  <c r="Y250" i="11"/>
  <c r="Y1597" i="11"/>
  <c r="Y703" i="11"/>
  <c r="Y2738" i="11"/>
  <c r="Y1426" i="11"/>
  <c r="Y184" i="11"/>
  <c r="Y3450" i="11"/>
  <c r="Y791" i="11"/>
  <c r="Y999" i="11"/>
  <c r="Y2978" i="11"/>
  <c r="Y2531" i="11"/>
  <c r="Y1502" i="11"/>
  <c r="Y2665" i="11"/>
  <c r="Y2311" i="11"/>
  <c r="Y945" i="11"/>
  <c r="Y2433" i="11"/>
  <c r="Y3266" i="11"/>
  <c r="A456" i="11"/>
  <c r="A457" i="11" s="1"/>
  <c r="A446" i="11"/>
  <c r="A447" i="11" s="1"/>
  <c r="A829" i="11"/>
  <c r="A830" i="11" s="1"/>
  <c r="A688" i="11"/>
  <c r="A689" i="11" s="1"/>
  <c r="A1142" i="11"/>
  <c r="A1143" i="11" s="1"/>
  <c r="A1146" i="11"/>
  <c r="A1147" i="11" s="1"/>
  <c r="A1164" i="11"/>
  <c r="A1165" i="11" s="1"/>
  <c r="A1196" i="11"/>
  <c r="A1197" i="11" s="1"/>
  <c r="A1263" i="11"/>
  <c r="A1264" i="11" s="1"/>
  <c r="A1402" i="11"/>
  <c r="A1403" i="11" s="1"/>
  <c r="A1325" i="11"/>
  <c r="A1326" i="11" s="1"/>
  <c r="A1357" i="11"/>
  <c r="A1358" i="11" s="1"/>
  <c r="A1392" i="11"/>
  <c r="A1393" i="11" s="1"/>
  <c r="V1773" i="11"/>
  <c r="V1770" i="11" s="1"/>
  <c r="A1543" i="11"/>
  <c r="A1544" i="11" s="1"/>
  <c r="A1605" i="11"/>
  <c r="A1606" i="11" s="1"/>
  <c r="A1625" i="11"/>
  <c r="A1626" i="11" s="1"/>
  <c r="V1618" i="11"/>
  <c r="A1754" i="11"/>
  <c r="A1755" i="11" s="1"/>
  <c r="A1684" i="11"/>
  <c r="A1685" i="11" s="1"/>
  <c r="A1797" i="11"/>
  <c r="A1798" i="11" s="1"/>
  <c r="V1907" i="11"/>
  <c r="A2299" i="11"/>
  <c r="A2300" i="11" s="1"/>
  <c r="A2313" i="11"/>
  <c r="A2314" i="11" s="1"/>
  <c r="V2295" i="11"/>
  <c r="V2291" i="11" s="1"/>
  <c r="A2330" i="11"/>
  <c r="A2331" i="11" s="1"/>
  <c r="A2413" i="11"/>
  <c r="A2414" i="11" s="1"/>
  <c r="A2477" i="11"/>
  <c r="A2478" i="11" s="1"/>
  <c r="A2547" i="11"/>
  <c r="A2548" i="11" s="1"/>
  <c r="A2587" i="11"/>
  <c r="A2588" i="11" s="1"/>
  <c r="A2495" i="11"/>
  <c r="A2496" i="11" s="1"/>
  <c r="A2489" i="11"/>
  <c r="A2490" i="11" s="1"/>
  <c r="A2551" i="11"/>
  <c r="A2552" i="11" s="1"/>
  <c r="A2678" i="11"/>
  <c r="A2679" i="11" s="1"/>
  <c r="A2639" i="11"/>
  <c r="A2640" i="11" s="1"/>
  <c r="A2669" i="11"/>
  <c r="A2670" i="11" s="1"/>
  <c r="A2766" i="11"/>
  <c r="A2767" i="11" s="1"/>
  <c r="A2818" i="11"/>
  <c r="A2819" i="11" s="1"/>
  <c r="Y3089" i="11"/>
  <c r="U1903" i="11"/>
  <c r="Y3301" i="11"/>
  <c r="Y1213" i="11"/>
  <c r="Y3293" i="11"/>
  <c r="Y1176" i="11"/>
  <c r="Y1522" i="11"/>
  <c r="Y2030" i="11"/>
  <c r="U2852" i="11"/>
  <c r="Y559" i="11"/>
  <c r="Y1136" i="11"/>
  <c r="Y480" i="11"/>
  <c r="Y2517" i="11"/>
  <c r="Y1227" i="11"/>
  <c r="Y1797" i="11"/>
  <c r="Y1388" i="11"/>
  <c r="Y2790" i="11"/>
  <c r="Y1093" i="11"/>
  <c r="Y3514" i="11"/>
  <c r="Y2330" i="11"/>
  <c r="Y698" i="11"/>
  <c r="Y2547" i="11"/>
  <c r="Y1468" i="11"/>
  <c r="Y1085" i="11"/>
  <c r="Y777" i="11"/>
  <c r="Y2441" i="11"/>
  <c r="Y1231" i="11"/>
  <c r="Y168" i="11"/>
  <c r="Y416" i="11"/>
  <c r="Y28" i="11"/>
  <c r="Y700" i="11"/>
  <c r="Y3440" i="11"/>
  <c r="Y926" i="11"/>
  <c r="Y2946" i="11"/>
  <c r="Y3426" i="11"/>
  <c r="Y1026" i="11"/>
  <c r="Y380" i="11"/>
  <c r="Y1581" i="11"/>
  <c r="Y1569" i="11"/>
  <c r="Y1333" i="11"/>
  <c r="Y204" i="11"/>
  <c r="Y78" i="11"/>
  <c r="Y2868" i="11"/>
  <c r="Y2872" i="11"/>
  <c r="Y3056" i="11"/>
  <c r="Y941" i="11"/>
  <c r="Y979" i="11"/>
  <c r="Y3432" i="11"/>
  <c r="Y1646" i="11"/>
  <c r="Y3008" i="11"/>
  <c r="Y3331" i="11"/>
  <c r="Y3197" i="11"/>
  <c r="Y3422" i="11"/>
  <c r="Y2858" i="11"/>
  <c r="Y3474" i="11"/>
  <c r="Y2491" i="11"/>
  <c r="Y805" i="11"/>
  <c r="Y1380" i="11"/>
  <c r="Y1963" i="11"/>
  <c r="Y1368" i="11"/>
  <c r="Y2934" i="11"/>
  <c r="Y2473" i="11"/>
  <c r="Y2758" i="11"/>
  <c r="Y2688" i="11"/>
  <c r="Y813" i="11"/>
  <c r="Y2794" i="11"/>
  <c r="Y392" i="11"/>
  <c r="Y3468" i="11"/>
  <c r="Y1196" i="11"/>
  <c r="Y409" i="11"/>
  <c r="Y1194" i="11"/>
  <c r="X365" i="11"/>
  <c r="Y82" i="11"/>
  <c r="Y2954" i="11"/>
  <c r="AC3369" i="11"/>
  <c r="AD3369" i="11" s="1"/>
  <c r="Y3369" i="11"/>
  <c r="Y2886" i="11"/>
  <c r="Y1156" i="11"/>
  <c r="Y2034" i="11"/>
  <c r="Y2469" i="11"/>
  <c r="Y266" i="11"/>
  <c r="Y2080" i="11"/>
  <c r="Y1923" i="11"/>
  <c r="Y1913" i="11"/>
  <c r="Y348" i="11"/>
  <c r="Y1450" i="11"/>
  <c r="Y938" i="11"/>
  <c r="Y795" i="11"/>
  <c r="Y981" i="11"/>
  <c r="Y3476" i="11"/>
  <c r="Y533" i="11"/>
  <c r="Y358" i="11"/>
  <c r="Y3054" i="11"/>
  <c r="Y2549" i="11"/>
  <c r="Y432" i="11"/>
  <c r="Y1201" i="11"/>
  <c r="Y466" i="11"/>
  <c r="Y1034" i="11"/>
  <c r="Y2345" i="11"/>
  <c r="Y280" i="11"/>
  <c r="Y2355" i="11"/>
  <c r="Y611" i="11"/>
  <c r="Y172" i="11"/>
  <c r="Y52" i="11"/>
  <c r="Y106" i="11"/>
  <c r="Y3385" i="11"/>
  <c r="Y2040" i="11"/>
  <c r="Y985" i="11"/>
  <c r="A16" i="11"/>
  <c r="A17" i="11" s="1"/>
  <c r="A220" i="11"/>
  <c r="A221" i="11" s="1"/>
  <c r="A154" i="11"/>
  <c r="A155" i="11" s="1"/>
  <c r="A50" i="11"/>
  <c r="A51" i="11" s="1"/>
  <c r="A252" i="11"/>
  <c r="A122" i="11"/>
  <c r="A123" i="11" s="1"/>
  <c r="A92" i="11"/>
  <c r="A93" i="11" s="1"/>
  <c r="V412" i="11"/>
  <c r="A354" i="11"/>
  <c r="A355" i="11" s="1"/>
  <c r="A348" i="11"/>
  <c r="A349" i="11" s="1"/>
  <c r="A617" i="11"/>
  <c r="A618" i="11" s="1"/>
  <c r="A96" i="11"/>
  <c r="A97" i="11" s="1"/>
  <c r="A280" i="11"/>
  <c r="A281" i="11" s="1"/>
  <c r="A226" i="11"/>
  <c r="A227" i="11" s="1"/>
  <c r="A360" i="11"/>
  <c r="A361" i="11" s="1"/>
  <c r="A464" i="11"/>
  <c r="A465" i="11" s="1"/>
  <c r="A662" i="11"/>
  <c r="A663" i="11" s="1"/>
  <c r="A406" i="11"/>
  <c r="A407" i="11" s="1"/>
  <c r="A454" i="11"/>
  <c r="A455" i="11" s="1"/>
  <c r="A589" i="11"/>
  <c r="A590" i="11" s="1"/>
  <c r="A698" i="11"/>
  <c r="A699" i="11" s="1"/>
  <c r="A777" i="11"/>
  <c r="A778" i="11" s="1"/>
  <c r="A841" i="11"/>
  <c r="A842" i="11" s="1"/>
  <c r="A696" i="11"/>
  <c r="A697" i="11" s="1"/>
  <c r="A1150" i="11"/>
  <c r="A1151" i="11" s="1"/>
  <c r="V1531" i="11"/>
  <c r="V1448" i="11"/>
  <c r="A1627" i="11"/>
  <c r="A1628" i="11" s="1"/>
  <c r="V2296" i="11"/>
  <c r="V2292" i="11" s="1"/>
  <c r="A2297" i="11"/>
  <c r="A2298" i="11" s="1"/>
  <c r="A2409" i="11"/>
  <c r="A2410" i="11" s="1"/>
  <c r="A2437" i="11"/>
  <c r="A2438" i="11" s="1"/>
  <c r="A2411" i="11"/>
  <c r="A2412" i="11" s="1"/>
  <c r="A2485" i="11"/>
  <c r="A2486" i="11" s="1"/>
  <c r="A2497" i="11"/>
  <c r="A2498" i="11" s="1"/>
  <c r="A2577" i="11"/>
  <c r="A2578" i="11" s="1"/>
  <c r="A2647" i="11"/>
  <c r="A2648" i="11" s="1"/>
  <c r="A2565" i="11"/>
  <c r="A2566" i="11" s="1"/>
  <c r="A2635" i="11"/>
  <c r="A2636" i="11" s="1"/>
  <c r="V2609" i="11"/>
  <c r="V2605" i="11" s="1"/>
  <c r="A2613" i="11"/>
  <c r="A2614" i="11" s="1"/>
  <c r="A2774" i="11"/>
  <c r="A2775" i="11" s="1"/>
  <c r="A2746" i="11"/>
  <c r="A2747" i="11" s="1"/>
  <c r="A2826" i="11"/>
  <c r="A2827" i="11" s="1"/>
  <c r="Y492" i="11"/>
  <c r="Y1704" i="11"/>
  <c r="X1699" i="11"/>
  <c r="Y1698" i="11" s="1"/>
  <c r="Y739" i="11"/>
  <c r="Y2257" i="11"/>
  <c r="X2295" i="11"/>
  <c r="Y3139" i="11"/>
  <c r="Y688" i="11"/>
  <c r="Y3185" i="11"/>
  <c r="Y3012" i="11"/>
  <c r="Y190" i="11"/>
  <c r="Y302" i="11"/>
  <c r="Y705" i="11"/>
  <c r="Y472" i="11"/>
  <c r="Y326" i="11"/>
  <c r="Y607" i="11"/>
  <c r="Y1692" i="11"/>
  <c r="Y2245" i="11"/>
  <c r="Y1650" i="11"/>
  <c r="Y1611" i="11"/>
  <c r="Y1575" i="11"/>
  <c r="Y3125" i="11"/>
  <c r="Y709" i="11"/>
  <c r="Y971" i="11"/>
  <c r="U11" i="11"/>
  <c r="U10" i="11"/>
  <c r="Y2760" i="11"/>
  <c r="Y1989" i="11"/>
  <c r="Y1445" i="11"/>
  <c r="Y1987" i="11"/>
  <c r="U848" i="11"/>
  <c r="Y3006" i="11"/>
  <c r="Y2910" i="11"/>
  <c r="Y116" i="11"/>
  <c r="Y1732" i="11"/>
  <c r="Y104" i="11"/>
  <c r="U2291" i="11"/>
  <c r="Y498" i="11"/>
  <c r="Y3258" i="11"/>
  <c r="U2605" i="11"/>
  <c r="U995" i="11"/>
  <c r="Y1458" i="11"/>
  <c r="U410" i="11"/>
  <c r="Y278" i="11"/>
  <c r="Y2938" i="11"/>
  <c r="Y1528" i="11"/>
  <c r="Y664" i="11"/>
  <c r="Y1315" i="11"/>
  <c r="Y244" i="11"/>
  <c r="Y2417" i="11"/>
  <c r="Y1396" i="11"/>
  <c r="Y1265" i="11"/>
  <c r="U1125" i="11"/>
  <c r="Y994" i="11"/>
  <c r="Y1442" i="11"/>
  <c r="Y2299" i="11"/>
  <c r="Y1072" i="11"/>
  <c r="Y1390" i="11"/>
  <c r="Y258" i="11"/>
  <c r="Y577" i="11"/>
  <c r="A234" i="11"/>
  <c r="Y1064" i="11"/>
  <c r="Y597" i="11"/>
  <c r="Y224" i="11"/>
  <c r="Y2567" i="11"/>
  <c r="Y3046" i="11"/>
  <c r="Y1030" i="11"/>
  <c r="Y1003" i="11"/>
  <c r="Y829" i="11"/>
  <c r="Y1957" i="11"/>
  <c r="Y2583" i="11"/>
  <c r="Y3333" i="11"/>
  <c r="Y3075" i="11"/>
  <c r="Y1410" i="11"/>
  <c r="Y500" i="11"/>
  <c r="Y928" i="11"/>
  <c r="Y2882" i="11"/>
  <c r="Y660" i="11"/>
  <c r="Y482" i="11"/>
  <c r="Y2601" i="11"/>
  <c r="Y3135" i="11"/>
  <c r="Y1103" i="11"/>
  <c r="Y310" i="11"/>
  <c r="Y2966" i="11"/>
  <c r="Y1478" i="11"/>
  <c r="Y3060" i="11"/>
  <c r="Y2651" i="11"/>
  <c r="Y38" i="11"/>
  <c r="Y625" i="11"/>
  <c r="Y799" i="11"/>
  <c r="Y430" i="11"/>
  <c r="Y84" i="11"/>
  <c r="Y3448" i="11"/>
  <c r="Y2786" i="11"/>
  <c r="Y1015" i="11"/>
  <c r="Y2672" i="11"/>
  <c r="Y637" i="11"/>
  <c r="Y2722" i="11"/>
  <c r="Y1979" i="11"/>
  <c r="Y1068" i="11"/>
  <c r="Y3010" i="11"/>
  <c r="Y1514" i="11"/>
  <c r="Y1355" i="11"/>
  <c r="Y156" i="11"/>
  <c r="Y2435" i="11"/>
  <c r="Y3387" i="11"/>
  <c r="Y1005" i="11"/>
  <c r="Y1243" i="11"/>
  <c r="Y2018" i="11"/>
  <c r="Y3491" i="11"/>
  <c r="Y2465" i="11"/>
  <c r="Y2054" i="11"/>
  <c r="Y2423" i="11"/>
  <c r="Y3165" i="11"/>
  <c r="Y3203" i="11"/>
  <c r="Y1011" i="11"/>
  <c r="Y3495" i="11"/>
  <c r="X232" i="11"/>
  <c r="Y352" i="11"/>
  <c r="Y48" i="11"/>
  <c r="Y1518" i="11"/>
  <c r="Y1601" i="11"/>
  <c r="Y989" i="11"/>
  <c r="Y2836" i="11"/>
  <c r="Y268" i="11"/>
  <c r="Y3256" i="11"/>
  <c r="Y2253" i="11"/>
  <c r="Y300" i="11"/>
  <c r="Y2479" i="11"/>
  <c r="Y3277" i="11"/>
  <c r="Y512" i="11"/>
  <c r="Y2802" i="11"/>
  <c r="Y2052" i="11"/>
  <c r="Y3040" i="11"/>
  <c r="Y504" i="11"/>
  <c r="Y719" i="11"/>
  <c r="Y2898" i="11"/>
  <c r="Y2048" i="11"/>
  <c r="Y3121" i="11"/>
  <c r="Y1746" i="11"/>
  <c r="Y2982" i="11"/>
  <c r="Y474" i="11"/>
  <c r="Y3510" i="11"/>
  <c r="Y1416" i="11"/>
  <c r="Y951" i="11"/>
  <c r="Y3020" i="11"/>
  <c r="Y983" i="11"/>
  <c r="Y134" i="11"/>
  <c r="Y745" i="11"/>
  <c r="Y2000" i="11"/>
  <c r="Y1921" i="11"/>
  <c r="Y3438" i="11"/>
  <c r="Y1044" i="11"/>
  <c r="Y1105" i="11"/>
  <c r="Y182" i="11"/>
  <c r="Y3201" i="11"/>
  <c r="Y2637" i="11"/>
  <c r="Y825" i="11"/>
  <c r="Y2892" i="11"/>
  <c r="Y2948" i="11"/>
  <c r="Y2239" i="11"/>
  <c r="Y3211" i="11"/>
  <c r="Y284" i="11"/>
  <c r="Y252" i="11"/>
  <c r="Y2900" i="11"/>
  <c r="Y1271" i="11"/>
  <c r="Y1971" i="11"/>
  <c r="Y272" i="11"/>
  <c r="Y286" i="11"/>
  <c r="Y3397" i="11"/>
  <c r="A146" i="11"/>
  <c r="A147" i="11" s="1"/>
  <c r="A258" i="11"/>
  <c r="A22" i="11"/>
  <c r="A23" i="11" s="1"/>
  <c r="A126" i="11"/>
  <c r="A127" i="11" s="1"/>
  <c r="A24" i="11"/>
  <c r="A25" i="11" s="1"/>
  <c r="A118" i="11"/>
  <c r="A119" i="11" s="1"/>
  <c r="V233" i="11"/>
  <c r="A260" i="11"/>
  <c r="A399" i="11"/>
  <c r="A400" i="11" s="1"/>
  <c r="A52" i="11"/>
  <c r="A53" i="11" s="1"/>
  <c r="A418" i="11"/>
  <c r="A419" i="11" s="1"/>
  <c r="A150" i="11"/>
  <c r="A151" i="11" s="1"/>
  <c r="A362" i="11"/>
  <c r="A363" i="11" s="1"/>
  <c r="A214" i="11"/>
  <c r="A215" i="11" s="1"/>
  <c r="A356" i="11"/>
  <c r="A357" i="11" s="1"/>
  <c r="V103" i="11"/>
  <c r="A392" i="11"/>
  <c r="A393" i="11" s="1"/>
  <c r="A237" i="11"/>
  <c r="A288" i="11"/>
  <c r="A289" i="11" s="1"/>
  <c r="A444" i="11"/>
  <c r="A445" i="11" s="1"/>
  <c r="A239" i="11"/>
  <c r="A375" i="11"/>
  <c r="A376" i="11" s="1"/>
  <c r="A680" i="11"/>
  <c r="A681" i="11" s="1"/>
  <c r="A472" i="11"/>
  <c r="A473" i="11" s="1"/>
  <c r="V534" i="11"/>
  <c r="A535" i="11"/>
  <c r="A536" i="11" s="1"/>
  <c r="A599" i="11"/>
  <c r="A600" i="11" s="1"/>
  <c r="V704" i="11"/>
  <c r="A595" i="11"/>
  <c r="A596" i="11" s="1"/>
  <c r="A721" i="11"/>
  <c r="A722" i="11" s="1"/>
  <c r="A462" i="11"/>
  <c r="A463" i="11" s="1"/>
  <c r="A639" i="11"/>
  <c r="A640" i="11" s="1"/>
  <c r="V781" i="11"/>
  <c r="V851" i="11"/>
  <c r="V848" i="11" s="1"/>
  <c r="A694" i="11"/>
  <c r="A695" i="11" s="1"/>
  <c r="A845" i="11"/>
  <c r="A846" i="11" s="1"/>
  <c r="A1068" i="11"/>
  <c r="A1069" i="11" s="1"/>
  <c r="A1205" i="11"/>
  <c r="A1206" i="11" s="1"/>
  <c r="A1279" i="11"/>
  <c r="A1280" i="11" s="1"/>
  <c r="A1283" i="11"/>
  <c r="A1284" i="11" s="1"/>
  <c r="A1341" i="11"/>
  <c r="A1342" i="11" s="1"/>
  <c r="A1309" i="11"/>
  <c r="A1310" i="11" s="1"/>
  <c r="A1408" i="11"/>
  <c r="A1409" i="11" s="1"/>
  <c r="V1532" i="11"/>
  <c r="V1617" i="11"/>
  <c r="A1791" i="11"/>
  <c r="A1792" i="11" s="1"/>
  <c r="V1630" i="11"/>
  <c r="A1706" i="11"/>
  <c r="A1707" i="11" s="1"/>
  <c r="A1636" i="11"/>
  <c r="A1637" i="11" s="1"/>
  <c r="A2585" i="11"/>
  <c r="A2586" i="11" s="1"/>
  <c r="A2573" i="11"/>
  <c r="A2574" i="11" s="1"/>
  <c r="A2621" i="11"/>
  <c r="A2622" i="11" s="1"/>
  <c r="A2834" i="11"/>
  <c r="A2835" i="11" s="1"/>
  <c r="Y1808" i="11"/>
  <c r="Y1791" i="11"/>
  <c r="Y735" i="11"/>
  <c r="Y2058" i="11"/>
  <c r="Y2044" i="11"/>
  <c r="Y350" i="11"/>
  <c r="Y1925" i="11"/>
  <c r="Y1456" i="11"/>
  <c r="Y22" i="11"/>
  <c r="U2402" i="11"/>
  <c r="Y1585" i="11"/>
  <c r="Y50" i="11"/>
  <c r="Y1981" i="11"/>
  <c r="Y2066" i="11"/>
  <c r="Y1682" i="11"/>
  <c r="Y2732" i="11"/>
  <c r="Y210" i="11"/>
  <c r="Y3177" i="11"/>
  <c r="Y1223" i="11"/>
  <c r="Y1036" i="11"/>
  <c r="U1126" i="11"/>
  <c r="Y2509" i="11"/>
  <c r="Y2263" i="11"/>
  <c r="Y1670" i="11"/>
  <c r="Y140" i="11"/>
  <c r="Y1490" i="11"/>
  <c r="Y2852" i="11"/>
  <c r="Y711" i="11"/>
  <c r="Y2581" i="11"/>
  <c r="U2401" i="11"/>
  <c r="Y1951" i="11"/>
  <c r="Y749" i="11"/>
  <c r="Y382" i="11"/>
  <c r="U1445" i="11"/>
  <c r="Y1024" i="11"/>
  <c r="Y1013" i="11"/>
  <c r="Y1785" i="11"/>
  <c r="Y2806" i="11"/>
  <c r="Y2401" i="11"/>
  <c r="Y1221" i="11"/>
  <c r="Y2980" i="11"/>
  <c r="Y2920" i="11"/>
  <c r="Y1128" i="11"/>
  <c r="Y3127" i="11"/>
  <c r="Y623" i="11"/>
  <c r="Y1184" i="11"/>
  <c r="Y2818" i="11"/>
  <c r="Y1634" i="11"/>
  <c r="Y2621" i="11"/>
  <c r="Y1229" i="11"/>
  <c r="Y3123" i="11"/>
  <c r="Y3246" i="11"/>
  <c r="Y2056" i="11"/>
  <c r="Y1998" i="11"/>
  <c r="Y1779" i="11"/>
  <c r="Y1239" i="11"/>
  <c r="Y765" i="11"/>
  <c r="Y1436" i="11"/>
  <c r="Y2816" i="11"/>
  <c r="Y2692" i="11"/>
  <c r="Y2241" i="11"/>
  <c r="Y1726" i="11"/>
  <c r="Y1267" i="11"/>
  <c r="Y208" i="11"/>
  <c r="Y3191" i="11"/>
  <c r="Y2970" i="11"/>
  <c r="Y692" i="11"/>
  <c r="Y2545" i="11"/>
  <c r="Y3420" i="11"/>
  <c r="Y1164" i="11"/>
  <c r="Y68" i="11"/>
  <c r="Y1042" i="11"/>
  <c r="Y959" i="11"/>
  <c r="Y2421" i="11"/>
  <c r="Y294" i="11"/>
  <c r="Y1919" i="11"/>
  <c r="Y3313" i="11"/>
  <c r="Y3478" i="11"/>
  <c r="Y1285" i="11"/>
  <c r="Y256" i="11"/>
  <c r="Y2315" i="11"/>
  <c r="Y58" i="11"/>
  <c r="Y397" i="11"/>
  <c r="Y2501" i="11"/>
  <c r="Y2559" i="11"/>
  <c r="Y148" i="11"/>
  <c r="Y1080" i="11"/>
  <c r="Y88" i="11"/>
  <c r="Y3497" i="11"/>
  <c r="Y3454" i="11"/>
  <c r="Y2365" i="11"/>
  <c r="Y2860" i="11"/>
  <c r="Y1565" i="11"/>
  <c r="Y3115" i="11"/>
  <c r="Y569" i="11"/>
  <c r="Y3209" i="11"/>
  <c r="Y2351" i="11"/>
  <c r="Y2663" i="11"/>
  <c r="Y1793" i="11"/>
  <c r="Y3167" i="11"/>
  <c r="Y601" i="11"/>
  <c r="Y1357" i="11"/>
  <c r="Y3002" i="11"/>
  <c r="Y751" i="11"/>
  <c r="Y1849" i="11"/>
  <c r="Y110" i="11"/>
  <c r="Y934" i="11"/>
  <c r="Y731" i="11"/>
  <c r="Y1097" i="11"/>
  <c r="Y991" i="11"/>
  <c r="Y3107" i="11"/>
  <c r="Y953" i="11"/>
  <c r="Y2798" i="11"/>
  <c r="Y2328" i="11"/>
  <c r="Y1579" i="11"/>
  <c r="Y3014" i="11"/>
  <c r="Y741" i="11"/>
  <c r="Y3354" i="11"/>
  <c r="Y136" i="11"/>
  <c r="Y2750" i="11"/>
  <c r="Y3460" i="11"/>
  <c r="Y2974" i="11"/>
  <c r="Y1107" i="11"/>
  <c r="Y2503" i="11"/>
  <c r="Y1955" i="11"/>
  <c r="Y1295" i="11"/>
  <c r="Y1549" i="11"/>
  <c r="Y690" i="11"/>
  <c r="Y3129" i="11"/>
  <c r="Y2822" i="11"/>
  <c r="Y2297" i="11"/>
  <c r="X2296" i="11"/>
  <c r="Y1789" i="11"/>
  <c r="Y2335" i="11"/>
  <c r="Y3309" i="11"/>
  <c r="Y3254" i="11"/>
  <c r="Y1424" i="11"/>
  <c r="Y2307" i="11"/>
  <c r="Y1378" i="11"/>
  <c r="Y1706" i="11"/>
  <c r="Y593" i="11"/>
  <c r="Y2641" i="11"/>
  <c r="Y2010" i="11"/>
  <c r="Y1430" i="11"/>
  <c r="Y1959" i="11"/>
  <c r="Y619" i="11"/>
  <c r="Y1062" i="11"/>
  <c r="Y645" i="11"/>
  <c r="Y3383" i="11"/>
  <c r="Y2437" i="11"/>
  <c r="Y924" i="11"/>
  <c r="Y128" i="11"/>
  <c r="Y2888" i="11"/>
  <c r="A242" i="11"/>
  <c r="A156" i="11"/>
  <c r="A157" i="11" s="1"/>
  <c r="A266" i="11"/>
  <c r="V15" i="11"/>
  <c r="A90" i="11"/>
  <c r="A91" i="11" s="1"/>
  <c r="A30" i="11"/>
  <c r="A31" i="11" s="1"/>
  <c r="A88" i="11"/>
  <c r="A89" i="11" s="1"/>
  <c r="A268" i="11"/>
  <c r="A577" i="11"/>
  <c r="A578" i="11" s="1"/>
  <c r="A54" i="11"/>
  <c r="A55" i="11" s="1"/>
  <c r="V102" i="11"/>
  <c r="A377" i="11"/>
  <c r="A378" i="11" s="1"/>
  <c r="A222" i="11"/>
  <c r="A223" i="11" s="1"/>
  <c r="A371" i="11"/>
  <c r="A372" i="11" s="1"/>
  <c r="A112" i="11"/>
  <c r="A113" i="11" s="1"/>
  <c r="A262" i="11"/>
  <c r="A162" i="11"/>
  <c r="A163" i="11" s="1"/>
  <c r="A318" i="11"/>
  <c r="A482" i="11"/>
  <c r="A483" i="11" s="1"/>
  <c r="V177" i="11"/>
  <c r="A178" i="11"/>
  <c r="A179" i="11" s="1"/>
  <c r="A247" i="11"/>
  <c r="V311" i="11"/>
  <c r="A382" i="11"/>
  <c r="A383" i="11" s="1"/>
  <c r="A480" i="11"/>
  <c r="A481" i="11" s="1"/>
  <c r="A543" i="11"/>
  <c r="A544" i="11" s="1"/>
  <c r="A735" i="11"/>
  <c r="A736" i="11" s="1"/>
  <c r="A388" i="11"/>
  <c r="A389" i="11" s="1"/>
  <c r="A470" i="11"/>
  <c r="A471" i="11" s="1"/>
  <c r="A541" i="11"/>
  <c r="A542" i="11" s="1"/>
  <c r="A605" i="11"/>
  <c r="A606" i="11" s="1"/>
  <c r="V782" i="11"/>
  <c r="A676" i="11"/>
  <c r="A677" i="11" s="1"/>
  <c r="A789" i="11"/>
  <c r="A790" i="11" s="1"/>
  <c r="A1024" i="11"/>
  <c r="A1025" i="11" s="1"/>
  <c r="A1095" i="11"/>
  <c r="A1096" i="11" s="1"/>
  <c r="A1166" i="11"/>
  <c r="A1167" i="11" s="1"/>
  <c r="A1099" i="11"/>
  <c r="A1100" i="11" s="1"/>
  <c r="A1170" i="11"/>
  <c r="A1171" i="11" s="1"/>
  <c r="A1265" i="11"/>
  <c r="A1266" i="11" s="1"/>
  <c r="A1011" i="11"/>
  <c r="A1012" i="11" s="1"/>
  <c r="A1076" i="11"/>
  <c r="A1077" i="11" s="1"/>
  <c r="A1223" i="11"/>
  <c r="A1224" i="11" s="1"/>
  <c r="A1380" i="11"/>
  <c r="A1381" i="11" s="1"/>
  <c r="A1253" i="11"/>
  <c r="A1254" i="11" s="1"/>
  <c r="A1541" i="11"/>
  <c r="A1542" i="11" s="1"/>
  <c r="A1569" i="11"/>
  <c r="A1570" i="11" s="1"/>
  <c r="A1714" i="11"/>
  <c r="A1715" i="11" s="1"/>
  <c r="V1774" i="11"/>
  <c r="V1771" i="11" s="1"/>
  <c r="A1775" i="11"/>
  <c r="A1776" i="11" s="1"/>
  <c r="V1699" i="11"/>
  <c r="A1644" i="11"/>
  <c r="A1645" i="11" s="1"/>
  <c r="V1698" i="11"/>
  <c r="A2303" i="11"/>
  <c r="A2304" i="11" s="1"/>
  <c r="A2326" i="11"/>
  <c r="A2327" i="11" s="1"/>
  <c r="V2213" i="11"/>
  <c r="A2322" i="11"/>
  <c r="A2323" i="11" s="1"/>
  <c r="A2663" i="11"/>
  <c r="A2664" i="11" s="1"/>
  <c r="A2702" i="11"/>
  <c r="A2703" i="11" s="1"/>
  <c r="V2856" i="11"/>
  <c r="X233" i="11"/>
  <c r="Y234" i="11"/>
  <c r="Y2072" i="11"/>
  <c r="Y96" i="11"/>
  <c r="Y2511" i="11"/>
  <c r="Y2764" i="11"/>
  <c r="Y2339" i="11"/>
  <c r="Y404" i="11"/>
  <c r="U2606" i="11"/>
  <c r="Y2609" i="11"/>
  <c r="Y2776" i="11"/>
  <c r="Y1178" i="11"/>
  <c r="Y1428" i="11"/>
  <c r="Y2928" i="11"/>
  <c r="Y3161" i="11"/>
  <c r="Y3028" i="11"/>
  <c r="Y1305" i="11"/>
  <c r="Y2038" i="11"/>
  <c r="Y1392" i="11"/>
  <c r="Y753" i="11"/>
  <c r="Y1170" i="11"/>
  <c r="Y1676" i="11"/>
  <c r="Y3252" i="11"/>
  <c r="Y502" i="11"/>
  <c r="Y1539" i="11"/>
  <c r="Y66" i="11"/>
  <c r="Y3105" i="11"/>
  <c r="Y773" i="11"/>
  <c r="Y1662" i="11"/>
  <c r="U409" i="11"/>
  <c r="Y2613" i="11"/>
  <c r="Y3111" i="11"/>
  <c r="Y1734" i="11"/>
  <c r="Y1945" i="11"/>
  <c r="Y260" i="11"/>
  <c r="Y1376" i="11"/>
  <c r="Y2605" i="11"/>
  <c r="Y3321" i="11"/>
  <c r="Y2619" i="11"/>
  <c r="Y2996" i="11"/>
  <c r="Y1666" i="11"/>
  <c r="Y1777" i="11"/>
  <c r="Y454" i="11"/>
  <c r="Y102" i="11"/>
  <c r="Y3113" i="11"/>
  <c r="Y973" i="11"/>
  <c r="Y1020" i="11"/>
  <c r="Y158" i="11"/>
  <c r="Y2333" i="11"/>
  <c r="Y2844" i="11"/>
  <c r="Y3067" i="11"/>
  <c r="Y3297" i="11"/>
  <c r="Y2361" i="11"/>
  <c r="Y2918" i="11"/>
  <c r="Y3171" i="11"/>
  <c r="Y2287" i="11"/>
  <c r="Y1625" i="11"/>
  <c r="Y1640" i="11"/>
  <c r="Y723" i="11"/>
  <c r="Y1091" i="11"/>
  <c r="Y1654" i="11"/>
  <c r="Y444" i="11"/>
  <c r="Y206" i="11"/>
  <c r="Y617" i="11"/>
  <c r="Y334" i="11"/>
  <c r="Y1132" i="11"/>
  <c r="Y3358" i="11"/>
  <c r="Y1770" i="11"/>
  <c r="Y3081" i="11"/>
  <c r="Y520" i="11"/>
  <c r="Y2627" i="11"/>
  <c r="Y1351" i="11"/>
  <c r="Y1056" i="11"/>
  <c r="Y1154" i="11"/>
  <c r="Y1327" i="11"/>
  <c r="Y1099" i="11"/>
  <c r="Y1317" i="11"/>
  <c r="Y1366" i="11"/>
  <c r="Y2720" i="11"/>
  <c r="Y589" i="11"/>
  <c r="Y1009" i="11"/>
  <c r="Y60" i="11"/>
  <c r="Y2894" i="11"/>
  <c r="Y218" i="11"/>
  <c r="Y1466" i="11"/>
  <c r="Y1712" i="11"/>
  <c r="Y3395" i="11"/>
  <c r="Y434" i="11"/>
  <c r="Y3262" i="11"/>
  <c r="Y1742" i="11"/>
  <c r="Y3117" i="11"/>
  <c r="Y1249" i="11"/>
  <c r="Y200" i="11"/>
  <c r="Y468" i="11"/>
  <c r="Y2766" i="11"/>
  <c r="Y2623" i="11"/>
  <c r="Y819" i="11"/>
  <c r="Y2950" i="11"/>
  <c r="Y2846" i="11"/>
  <c r="Y2796" i="11"/>
  <c r="Y2575" i="11"/>
  <c r="Y1577" i="11"/>
  <c r="AC3373" i="11"/>
  <c r="AD3373" i="11" s="1"/>
  <c r="Y3373" i="11"/>
  <c r="Y486" i="11"/>
  <c r="Y1985" i="11"/>
  <c r="Y3335" i="11"/>
  <c r="Y1724" i="11"/>
  <c r="Y1321" i="11"/>
  <c r="Y506" i="11"/>
  <c r="Y3303" i="11"/>
  <c r="Y2317" i="11"/>
  <c r="Y318" i="11"/>
  <c r="Y146" i="11"/>
  <c r="Y3193" i="11"/>
  <c r="Y2453" i="11"/>
  <c r="Y2127" i="11"/>
  <c r="Y1283" i="11"/>
  <c r="Y803" i="11"/>
  <c r="Y1537" i="11"/>
  <c r="Y771" i="11"/>
  <c r="Y3274" i="11"/>
  <c r="Y2659" i="11"/>
  <c r="Y591" i="11"/>
  <c r="Y2523" i="11"/>
  <c r="Y42" i="11"/>
  <c r="Y377" i="11"/>
  <c r="Y2277" i="11"/>
  <c r="Y164" i="11"/>
  <c r="Y18" i="11"/>
  <c r="X15" i="11"/>
  <c r="Y627" i="11"/>
  <c r="Y727" i="11"/>
  <c r="Y3470" i="11"/>
  <c r="Y1520" i="11"/>
  <c r="Y1146" i="11"/>
  <c r="Y2848" i="11"/>
  <c r="Y1486" i="11"/>
  <c r="Y306" i="11"/>
  <c r="Y2563" i="11"/>
  <c r="Y2884" i="11"/>
  <c r="Y3270" i="11"/>
  <c r="Y2393" i="11"/>
  <c r="Y1783" i="11"/>
  <c r="Y1909" i="11"/>
  <c r="Y1660" i="11"/>
  <c r="Y3109" i="11"/>
  <c r="Y3175" i="11"/>
  <c r="Y2629" i="11"/>
  <c r="Y587" i="11"/>
  <c r="Y344" i="11"/>
  <c r="Y3213" i="11"/>
  <c r="Y755" i="11"/>
  <c r="Y312" i="11"/>
  <c r="Y2698" i="11"/>
  <c r="Y827" i="11"/>
  <c r="Y2322" i="11"/>
  <c r="Y32" i="11"/>
  <c r="Y3484" i="11"/>
  <c r="A244" i="11"/>
  <c r="A245" i="11" s="1"/>
  <c r="A274" i="11"/>
  <c r="A275" i="11" s="1"/>
  <c r="A34" i="11"/>
  <c r="A35" i="11" s="1"/>
  <c r="A62" i="11"/>
  <c r="A63" i="11" s="1"/>
  <c r="A82" i="11"/>
  <c r="A83" i="11" s="1"/>
  <c r="A276" i="11"/>
  <c r="A277" i="11" s="1"/>
  <c r="V653" i="11"/>
  <c r="A56" i="11"/>
  <c r="A57" i="11" s="1"/>
  <c r="A108" i="11"/>
  <c r="A109" i="11" s="1"/>
  <c r="A168" i="11"/>
  <c r="A169" i="11" s="1"/>
  <c r="A196" i="11"/>
  <c r="A197" i="11" s="1"/>
  <c r="A314" i="11"/>
  <c r="A120" i="11"/>
  <c r="A121" i="11" s="1"/>
  <c r="A270" i="11"/>
  <c r="A271" i="11" s="1"/>
  <c r="A553" i="11"/>
  <c r="A554" i="11" s="1"/>
  <c r="A184" i="11"/>
  <c r="A185" i="11" s="1"/>
  <c r="A253" i="11"/>
  <c r="A326" i="11"/>
  <c r="A186" i="11"/>
  <c r="A187" i="11" s="1"/>
  <c r="A255" i="11"/>
  <c r="A551" i="11"/>
  <c r="A552" i="11" s="1"/>
  <c r="A615" i="11"/>
  <c r="A616" i="11" s="1"/>
  <c r="V413" i="11"/>
  <c r="A478" i="11"/>
  <c r="A479" i="11" s="1"/>
  <c r="A549" i="11"/>
  <c r="A550" i="11" s="1"/>
  <c r="A613" i="11"/>
  <c r="A614" i="11" s="1"/>
  <c r="A684" i="11"/>
  <c r="A685" i="11" s="1"/>
  <c r="A656" i="11"/>
  <c r="A657" i="11" s="1"/>
  <c r="A797" i="11"/>
  <c r="A798" i="11" s="1"/>
  <c r="A1103" i="11"/>
  <c r="A1104" i="11" s="1"/>
  <c r="A1097" i="11"/>
  <c r="A1098" i="11" s="1"/>
  <c r="A1168" i="11"/>
  <c r="A1169" i="11" s="1"/>
  <c r="A1219" i="11"/>
  <c r="A1220" i="11" s="1"/>
  <c r="A1058" i="11"/>
  <c r="A1059" i="11" s="1"/>
  <c r="A1005" i="11"/>
  <c r="A1006" i="11" s="1"/>
  <c r="A1211" i="11"/>
  <c r="A1212" i="11" s="1"/>
  <c r="A1231" i="11"/>
  <c r="A1232" i="11" s="1"/>
  <c r="A1295" i="11"/>
  <c r="A1296" i="11" s="1"/>
  <c r="A1261" i="11"/>
  <c r="A1262" i="11" s="1"/>
  <c r="A1331" i="11"/>
  <c r="A1332" i="11" s="1"/>
  <c r="A1652" i="11"/>
  <c r="A1653" i="11" s="1"/>
  <c r="A1766" i="11"/>
  <c r="A1767" i="11" s="1"/>
  <c r="V2379" i="11"/>
  <c r="A2371" i="11"/>
  <c r="A2372" i="11" s="1"/>
  <c r="A2483" i="11"/>
  <c r="A2484" i="11" s="1"/>
  <c r="A2435" i="11"/>
  <c r="A2436" i="11" s="1"/>
  <c r="A2637" i="11"/>
  <c r="A2638" i="11" s="1"/>
  <c r="A2698" i="11"/>
  <c r="A2699" i="11" s="1"/>
  <c r="A2710" i="11"/>
  <c r="A2711" i="11" s="1"/>
  <c r="A2832" i="11"/>
  <c r="A2833" i="11" s="1"/>
  <c r="V2960" i="11"/>
  <c r="Y365" i="11" l="1"/>
  <c r="V2375" i="11"/>
  <c r="U1442" i="11"/>
  <c r="Y232" i="11"/>
  <c r="Y14" i="11"/>
  <c r="U1443" i="11"/>
  <c r="V410" i="11"/>
  <c r="V3224" i="11"/>
  <c r="Y2295" i="11"/>
  <c r="V11" i="11"/>
  <c r="V1446" i="11"/>
  <c r="V1443" i="11" s="1"/>
  <c r="V1445" i="11"/>
  <c r="V1903" i="11"/>
  <c r="V10" i="11"/>
  <c r="V2852" i="11"/>
  <c r="V409" i="11"/>
  <c r="V1442" i="11" l="1"/>
  <c r="M856" i="11" l="1"/>
  <c r="N855" i="11" s="1"/>
  <c r="X856" i="11"/>
  <c r="Y855" i="11" s="1"/>
  <c r="M905" i="11"/>
  <c r="N904" i="11" s="1"/>
  <c r="X905" i="11"/>
  <c r="Y904" i="11" s="1"/>
  <c r="M917" i="11"/>
  <c r="N916" i="11" s="1"/>
  <c r="X917" i="11"/>
  <c r="Y916" i="11" s="1"/>
  <c r="M874" i="11"/>
  <c r="N873" i="11" s="1"/>
  <c r="X874" i="11"/>
  <c r="Y873" i="11" s="1"/>
  <c r="M899" i="11"/>
  <c r="N898" i="11" s="1"/>
  <c r="X899" i="11"/>
  <c r="Y898" i="11" s="1"/>
  <c r="M921" i="11"/>
  <c r="N920" i="11" s="1"/>
  <c r="X921" i="11"/>
  <c r="Y920" i="11" s="1"/>
  <c r="M919" i="11"/>
  <c r="N918" i="11" s="1"/>
  <c r="X919" i="11"/>
  <c r="Y918" i="11" s="1"/>
  <c r="M909" i="11"/>
  <c r="N908" i="11" s="1"/>
  <c r="X909" i="11"/>
  <c r="Y908" i="11" s="1"/>
  <c r="M901" i="11"/>
  <c r="N900" i="11" s="1"/>
  <c r="X901" i="11"/>
  <c r="Y900" i="11" s="1"/>
  <c r="M913" i="11"/>
  <c r="N912" i="11" s="1"/>
  <c r="X913" i="11"/>
  <c r="Y912" i="11" s="1"/>
  <c r="M860" i="11"/>
  <c r="N859" i="11" s="1"/>
  <c r="X860" i="11"/>
  <c r="Y859" i="11" s="1"/>
  <c r="M866" i="11"/>
  <c r="N865" i="11" s="1"/>
  <c r="X866" i="11"/>
  <c r="Y865" i="11" s="1"/>
  <c r="M870" i="11"/>
  <c r="N869" i="11" s="1"/>
  <c r="X870" i="11"/>
  <c r="Y869" i="11" s="1"/>
  <c r="M854" i="11"/>
  <c r="Q852" i="11"/>
  <c r="X852" i="11" s="1"/>
  <c r="Y851" i="11" s="1"/>
  <c r="X854" i="11"/>
  <c r="Y853" i="11" s="1"/>
  <c r="M880" i="11"/>
  <c r="N879" i="11" s="1"/>
  <c r="X880" i="11"/>
  <c r="Y879" i="11" s="1"/>
  <c r="M876" i="11"/>
  <c r="N875" i="11" s="1"/>
  <c r="X876" i="11"/>
  <c r="Y875" i="11" s="1"/>
  <c r="M903" i="11"/>
  <c r="N902" i="11" s="1"/>
  <c r="X903" i="11"/>
  <c r="Y902" i="11" s="1"/>
  <c r="M878" i="11"/>
  <c r="N877" i="11" s="1"/>
  <c r="X878" i="11"/>
  <c r="Y877" i="11" s="1"/>
  <c r="M884" i="11"/>
  <c r="N883" i="11" s="1"/>
  <c r="X884" i="11"/>
  <c r="Y883" i="11" s="1"/>
  <c r="M911" i="11"/>
  <c r="N910" i="11" s="1"/>
  <c r="X911" i="11"/>
  <c r="Y910" i="11" s="1"/>
  <c r="M858" i="11"/>
  <c r="N857" i="11" s="1"/>
  <c r="X858" i="11"/>
  <c r="Y857" i="11" s="1"/>
  <c r="M891" i="11"/>
  <c r="N890" i="11" s="1"/>
  <c r="X891" i="11"/>
  <c r="Y890" i="11" s="1"/>
  <c r="M862" i="11"/>
  <c r="N861" i="11" s="1"/>
  <c r="X862" i="11"/>
  <c r="Y861" i="11" s="1"/>
  <c r="M882" i="11"/>
  <c r="N881" i="11" s="1"/>
  <c r="X882" i="11"/>
  <c r="Y881" i="11" s="1"/>
  <c r="M872" i="11"/>
  <c r="N871" i="11" s="1"/>
  <c r="X872" i="11"/>
  <c r="Y871" i="11" s="1"/>
  <c r="M907" i="11"/>
  <c r="N906" i="11" s="1"/>
  <c r="X907" i="11"/>
  <c r="Y906" i="11" s="1"/>
  <c r="M864" i="11"/>
  <c r="N863" i="11" s="1"/>
  <c r="X864" i="11"/>
  <c r="Y863" i="11" s="1"/>
  <c r="M889" i="11"/>
  <c r="Q887" i="11"/>
  <c r="X889" i="11"/>
  <c r="Y888" i="11" s="1"/>
  <c r="M868" i="11"/>
  <c r="N867" i="11" s="1"/>
  <c r="X868" i="11"/>
  <c r="Y867" i="11" s="1"/>
  <c r="M895" i="11"/>
  <c r="N894" i="11" s="1"/>
  <c r="X895" i="11"/>
  <c r="Y894" i="11" s="1"/>
  <c r="M915" i="11"/>
  <c r="N914" i="11" s="1"/>
  <c r="X915" i="11"/>
  <c r="Y914" i="11" s="1"/>
  <c r="M893" i="11"/>
  <c r="N892" i="11" s="1"/>
  <c r="X893" i="11"/>
  <c r="Y892" i="11" s="1"/>
  <c r="M897" i="11"/>
  <c r="N896" i="11" s="1"/>
  <c r="X897" i="11"/>
  <c r="Y896" i="11" s="1"/>
  <c r="Q849" i="11" l="1"/>
  <c r="X849" i="11" s="1"/>
  <c r="Y848" i="11" s="1"/>
  <c r="X887" i="11"/>
  <c r="Y886" i="11" s="1"/>
  <c r="N888" i="11"/>
  <c r="M887" i="11"/>
  <c r="N853" i="11"/>
  <c r="M852" i="11"/>
  <c r="N851" i="11" s="1"/>
  <c r="M849" i="11" l="1"/>
  <c r="N848" i="11" s="1"/>
  <c r="N886" i="11"/>
  <c r="J3313" i="11" l="1"/>
  <c r="J3183" i="11"/>
  <c r="J3155" i="11"/>
  <c r="J3141" i="11"/>
  <c r="J3006" i="11"/>
  <c r="J1591" i="11"/>
  <c r="J1508" i="11"/>
  <c r="J1563" i="11"/>
  <c r="J1734" i="11"/>
  <c r="J1722" i="11"/>
  <c r="J1704" i="11"/>
  <c r="J1670" i="11"/>
  <c r="J1656" i="11"/>
  <c r="J2249" i="11"/>
  <c r="J2964" i="11"/>
  <c r="J2173" i="11"/>
  <c r="J1987" i="11"/>
  <c r="J2171" i="11"/>
  <c r="J2064" i="11"/>
  <c r="J2110" i="11"/>
  <c r="J1937" i="11"/>
  <c r="J2167" i="11"/>
  <c r="J1953" i="11"/>
  <c r="J2241" i="11"/>
  <c r="J1927" i="11"/>
  <c r="J2106" i="11"/>
  <c r="J1919" i="11"/>
  <c r="J2221" i="11"/>
  <c r="J1915" i="11"/>
  <c r="J2151" i="11"/>
  <c r="J1913" i="11"/>
  <c r="J3167" i="11"/>
  <c r="J1674" i="11"/>
  <c r="J1543" i="11"/>
  <c r="J3159" i="11"/>
  <c r="J1672" i="11"/>
  <c r="J1814" i="11"/>
  <c r="J3145" i="11"/>
  <c r="J1662" i="11"/>
  <c r="J3016" i="11"/>
  <c r="J3129" i="11"/>
  <c r="J1640" i="11"/>
  <c r="J2998" i="11"/>
  <c r="J3125" i="11"/>
  <c r="J1896" i="11"/>
  <c r="J2996" i="11"/>
  <c r="J3081" i="11"/>
  <c r="J2992" i="11"/>
  <c r="J3069" i="11"/>
  <c r="J2986" i="11"/>
  <c r="J2112" i="11"/>
  <c r="J2982" i="11"/>
  <c r="J3177" i="11"/>
  <c r="J2253" i="11"/>
  <c r="J1724" i="11"/>
  <c r="J1911" i="11"/>
  <c r="J1781" i="11"/>
  <c r="J3165" i="11"/>
  <c r="J2177" i="11"/>
  <c r="J1720" i="11"/>
  <c r="J3002" i="11"/>
  <c r="J1935" i="11"/>
  <c r="J3131" i="11"/>
  <c r="J2247" i="11"/>
  <c r="J1668" i="11"/>
  <c r="J2984" i="11"/>
  <c r="J1522" i="11"/>
  <c r="J1828" i="11"/>
  <c r="J1569" i="11"/>
  <c r="J2008" i="11"/>
  <c r="J2862" i="11"/>
  <c r="J3026" i="11"/>
  <c r="J1621" i="11"/>
  <c r="J1746" i="11"/>
  <c r="J2227" i="11"/>
  <c r="J2118" i="11"/>
  <c r="J3111" i="11"/>
  <c r="J3185" i="11"/>
  <c r="J2381" i="11"/>
  <c r="J158" i="11"/>
  <c r="J1834" i="11"/>
  <c r="J1571" i="11"/>
  <c r="J2012" i="11"/>
  <c r="J2864" i="11"/>
  <c r="J2912" i="11"/>
  <c r="J1642" i="11"/>
  <c r="J1748" i="11"/>
  <c r="J2231" i="11"/>
  <c r="J2181" i="11"/>
  <c r="J3115" i="11"/>
  <c r="J3187" i="11"/>
  <c r="J1836" i="11"/>
  <c r="J1581" i="11"/>
  <c r="J2874" i="11"/>
  <c r="J2914" i="11"/>
  <c r="J1646" i="11"/>
  <c r="J1752" i="11"/>
  <c r="J2233" i="11"/>
  <c r="J2193" i="11"/>
  <c r="J3117" i="11"/>
  <c r="J3093" i="11"/>
  <c r="J855" i="11"/>
  <c r="J1585" i="11"/>
  <c r="J2022" i="11"/>
  <c r="J2878" i="11"/>
  <c r="J1130" i="11"/>
  <c r="J1648" i="11"/>
  <c r="J1754" i="11"/>
  <c r="J2235" i="11"/>
  <c r="J2261" i="11"/>
  <c r="J3121" i="11"/>
  <c r="J386" i="11"/>
  <c r="J1838" i="11"/>
  <c r="J1504" i="11"/>
  <c r="J2038" i="11"/>
  <c r="J2884" i="11"/>
  <c r="J2940" i="11"/>
  <c r="J1654" i="11"/>
  <c r="J1684" i="11"/>
  <c r="J2239" i="11"/>
  <c r="J2263" i="11"/>
  <c r="J3123" i="11"/>
  <c r="J2385" i="11"/>
  <c r="J871" i="11"/>
  <c r="J1589" i="11"/>
  <c r="J2042" i="11"/>
  <c r="J2970" i="11"/>
  <c r="J1851" i="11"/>
  <c r="J1658" i="11"/>
  <c r="J1758" i="11"/>
  <c r="J2163" i="11"/>
  <c r="J2269" i="11"/>
  <c r="J3127" i="11"/>
  <c r="J3203" i="11"/>
  <c r="J877" i="11"/>
  <c r="J1492" i="11"/>
  <c r="J1933" i="11"/>
  <c r="J2050" i="11"/>
  <c r="J3000" i="11"/>
  <c r="J1894" i="11"/>
  <c r="J1706" i="11"/>
  <c r="J2175" i="11"/>
  <c r="J3161" i="11"/>
  <c r="J1793" i="11"/>
  <c r="J1553" i="11"/>
  <c r="J1945" i="11"/>
  <c r="J1898" i="11"/>
  <c r="J1726" i="11"/>
  <c r="J2217" i="11"/>
  <c r="J2255" i="11"/>
  <c r="J3071" i="11"/>
  <c r="J3179" i="11"/>
  <c r="J3321" i="11"/>
  <c r="J1810" i="11"/>
  <c r="J1555" i="11"/>
  <c r="J1947" i="11"/>
  <c r="J2068" i="11"/>
  <c r="J3014" i="11"/>
  <c r="J1688" i="11"/>
  <c r="J1728" i="11"/>
  <c r="J2219" i="11"/>
  <c r="J2257" i="11"/>
  <c r="J3073" i="11"/>
  <c r="J3181" i="11"/>
  <c r="J1822" i="11"/>
  <c r="J1565" i="11"/>
  <c r="J1957" i="11"/>
  <c r="J3018" i="11"/>
  <c r="J1738" i="11"/>
  <c r="J2223" i="11"/>
  <c r="J2114" i="11"/>
  <c r="J3107" i="11"/>
  <c r="J3087" i="11"/>
  <c r="J1826" i="11"/>
  <c r="J1567" i="11"/>
  <c r="J2006" i="11"/>
  <c r="J3022" i="11"/>
  <c r="J1702" i="11"/>
  <c r="J1740" i="11"/>
  <c r="J2225" i="11"/>
  <c r="J2116" i="11"/>
  <c r="J3109" i="11"/>
  <c r="J2149" i="11"/>
  <c r="J1857" i="11"/>
  <c r="J2058" i="11"/>
  <c r="J1541" i="11"/>
  <c r="J2143" i="11"/>
  <c r="J1855" i="11"/>
  <c r="J649" i="11"/>
  <c r="J2056" i="11"/>
  <c r="J1496" i="11"/>
  <c r="J3299" i="11"/>
  <c r="J2275" i="11"/>
  <c r="J2104" i="11"/>
  <c r="J1890" i="11"/>
  <c r="J1977" i="11"/>
  <c r="J1480" i="11"/>
  <c r="J2203" i="11"/>
  <c r="J2102" i="11"/>
  <c r="J1888" i="11"/>
  <c r="J1973" i="11"/>
  <c r="J1464" i="11"/>
  <c r="J3285" i="11"/>
  <c r="J2273" i="11"/>
  <c r="J2100" i="11"/>
  <c r="J1872" i="11"/>
  <c r="J1971" i="11"/>
  <c r="J1603" i="11"/>
  <c r="J3281" i="11"/>
  <c r="J2271" i="11"/>
  <c r="J2088" i="11"/>
  <c r="J1870" i="11"/>
  <c r="J2952" i="11"/>
  <c r="J1967" i="11"/>
  <c r="J1535" i="11"/>
  <c r="J3279" i="11"/>
  <c r="J2201" i="11"/>
  <c r="J1866" i="11"/>
  <c r="J1965" i="11"/>
  <c r="J1456" i="11"/>
  <c r="J3205" i="11"/>
  <c r="J2197" i="11"/>
  <c r="J1760" i="11"/>
  <c r="J1864" i="11"/>
  <c r="J1963" i="11"/>
  <c r="J3201" i="11"/>
  <c r="J2267" i="11"/>
  <c r="J1686" i="11"/>
  <c r="J2040" i="11"/>
  <c r="J1797" i="11"/>
  <c r="J3315" i="11"/>
  <c r="J3091" i="11"/>
  <c r="J3119" i="11"/>
  <c r="J2195" i="11"/>
  <c r="J2169" i="11"/>
  <c r="J2145" i="11"/>
  <c r="J1678" i="11"/>
  <c r="J1625" i="11"/>
  <c r="J1117" i="11"/>
  <c r="J2910" i="11"/>
  <c r="J1931" i="11"/>
  <c r="J1549" i="11"/>
  <c r="J1824" i="11"/>
  <c r="J865" i="11"/>
  <c r="J3297" i="11"/>
  <c r="J3173" i="11"/>
  <c r="J2191" i="11"/>
  <c r="J2161" i="11"/>
  <c r="J2098" i="11"/>
  <c r="J1712" i="11"/>
  <c r="J1636" i="11"/>
  <c r="J2896" i="11"/>
  <c r="J2860" i="11"/>
  <c r="J2036" i="11"/>
  <c r="J1518" i="11"/>
  <c r="J1476" i="11"/>
  <c r="J1779" i="11"/>
  <c r="J863" i="11"/>
  <c r="J3295" i="11"/>
  <c r="J3171" i="11"/>
  <c r="J3085" i="11"/>
  <c r="J2187" i="11"/>
  <c r="J2155" i="11"/>
  <c r="J2096" i="11"/>
  <c r="J1710" i="11"/>
  <c r="J2892" i="11"/>
  <c r="J2034" i="11"/>
  <c r="J1528" i="11"/>
  <c r="J1472" i="11"/>
  <c r="J861" i="11"/>
  <c r="J3293" i="11"/>
  <c r="J3169" i="11"/>
  <c r="J3083" i="11"/>
  <c r="J2185" i="11"/>
  <c r="J2108" i="11"/>
  <c r="J2092" i="11"/>
  <c r="J1708" i="11"/>
  <c r="J2074" i="11"/>
  <c r="J2024" i="11"/>
  <c r="J1597" i="11"/>
  <c r="J1466" i="11"/>
  <c r="J1777" i="11"/>
  <c r="J879" i="11"/>
  <c r="J3199" i="11"/>
  <c r="J3157" i="11"/>
  <c r="J3079" i="11"/>
  <c r="J2189" i="11"/>
  <c r="J2245" i="11"/>
  <c r="J2147" i="11"/>
  <c r="J1742" i="11"/>
  <c r="J1660" i="11"/>
  <c r="J1853" i="11"/>
  <c r="J2918" i="11"/>
  <c r="J2988" i="11"/>
  <c r="J2066" i="11"/>
  <c r="J2018" i="11"/>
  <c r="J1490" i="11"/>
  <c r="J1816" i="11"/>
  <c r="J869" i="11"/>
  <c r="J3319" i="11"/>
  <c r="J3089" i="11"/>
  <c r="J3139" i="11"/>
  <c r="J2124" i="11"/>
  <c r="J2159" i="11"/>
  <c r="J2135" i="11"/>
  <c r="J1732" i="11"/>
  <c r="J1652" i="11"/>
  <c r="J2908" i="11"/>
  <c r="J2980" i="11"/>
  <c r="J2054" i="11"/>
  <c r="J1512" i="11"/>
  <c r="J1470" i="11"/>
  <c r="J1789" i="11"/>
  <c r="J867" i="11"/>
  <c r="J3317" i="11"/>
  <c r="J3189" i="11"/>
  <c r="J3137" i="11"/>
  <c r="J2122" i="11"/>
  <c r="J2157" i="11"/>
  <c r="J2133" i="11"/>
  <c r="J1680" i="11"/>
  <c r="J1650" i="11"/>
  <c r="J1884" i="11"/>
  <c r="J2906" i="11"/>
  <c r="J2974" i="11"/>
  <c r="J2052" i="11"/>
  <c r="J1959" i="11"/>
  <c r="J1510" i="11"/>
  <c r="J1468" i="11"/>
  <c r="J1785" i="11"/>
  <c r="J873" i="11"/>
  <c r="J3133" i="11"/>
  <c r="J3067" i="11"/>
  <c r="J2199" i="11"/>
  <c r="J2120" i="11"/>
  <c r="J1638" i="11"/>
  <c r="J397" i="11"/>
  <c r="J3038" i="11"/>
  <c r="J3008" i="11"/>
  <c r="J2886" i="11"/>
  <c r="J2870" i="11"/>
  <c r="J2076" i="11"/>
  <c r="J1975" i="11"/>
  <c r="J1961" i="11"/>
  <c r="J1599" i="11"/>
  <c r="J1460" i="11"/>
  <c r="J1795" i="11"/>
  <c r="J1830" i="11"/>
  <c r="J1605" i="11"/>
  <c r="J1478" i="11"/>
  <c r="J1500" i="11"/>
  <c r="J1818" i="11"/>
  <c r="J1537" i="11"/>
  <c r="J1539" i="11"/>
  <c r="J1561" i="11"/>
  <c r="J1583" i="11"/>
  <c r="J1593" i="11"/>
  <c r="J1579" i="11"/>
  <c r="J1516" i="11"/>
  <c r="J1923" i="11"/>
  <c r="J1943" i="11"/>
  <c r="J2004" i="11"/>
  <c r="J2026" i="11"/>
  <c r="J2048" i="11"/>
  <c r="J1979" i="11"/>
  <c r="J1983" i="11"/>
  <c r="J2872" i="11"/>
  <c r="J2968" i="11"/>
  <c r="J2990" i="11"/>
  <c r="J3024" i="11"/>
  <c r="J3056" i="11"/>
  <c r="J1820" i="11"/>
  <c r="J1832" i="11"/>
  <c r="J1601" i="11"/>
  <c r="J1524" i="11"/>
  <c r="J1462" i="11"/>
  <c r="J1474" i="11"/>
  <c r="J1486" i="11"/>
  <c r="J1498" i="11"/>
  <c r="J1545" i="11"/>
  <c r="J1506" i="11"/>
  <c r="J1559" i="11"/>
  <c r="J1791" i="11"/>
  <c r="J1484" i="11"/>
  <c r="J1547" i="11"/>
  <c r="J1587" i="11"/>
  <c r="J1969" i="11"/>
  <c r="J1981" i="11"/>
  <c r="J2060" i="11"/>
  <c r="J1985" i="11"/>
  <c r="J1989" i="11"/>
  <c r="J2868" i="11"/>
  <c r="J2880" i="11"/>
  <c r="J2966" i="11"/>
  <c r="J2978" i="11"/>
  <c r="J1876" i="11"/>
  <c r="J1634" i="11"/>
  <c r="J1644" i="11"/>
  <c r="J1666" i="11"/>
  <c r="J1714" i="11"/>
  <c r="J1730" i="11"/>
  <c r="J1750" i="11"/>
  <c r="J2131" i="11"/>
  <c r="J2153" i="11"/>
  <c r="J2237" i="11"/>
  <c r="J2243" i="11"/>
  <c r="J2251" i="11"/>
  <c r="J2179" i="11"/>
  <c r="J2265" i="11"/>
  <c r="J3075" i="11"/>
  <c r="J3113" i="11"/>
  <c r="J3135" i="11"/>
  <c r="J16" i="11"/>
  <c r="J1458" i="11"/>
  <c r="J1607" i="11"/>
  <c r="J1488" i="11"/>
  <c r="J1551" i="11"/>
  <c r="J1577" i="11"/>
  <c r="J1520" i="11"/>
  <c r="J1917" i="11"/>
  <c r="J1929" i="11"/>
  <c r="J1941" i="11"/>
  <c r="J1951" i="11"/>
  <c r="J2002" i="11"/>
  <c r="J2014" i="11"/>
  <c r="J1783" i="11"/>
  <c r="J1812" i="11"/>
  <c r="J1557" i="11"/>
  <c r="J2016" i="11"/>
  <c r="J2876" i="11"/>
  <c r="J2976" i="11"/>
  <c r="J3004" i="11"/>
  <c r="J3020" i="11"/>
  <c r="J3058" i="11"/>
  <c r="J3268" i="11"/>
  <c r="J1874" i="11"/>
  <c r="J1892" i="11"/>
  <c r="J1454" i="11"/>
  <c r="J1573" i="11"/>
  <c r="J1611" i="11"/>
  <c r="J1949" i="11"/>
  <c r="J2030" i="11"/>
  <c r="J2062" i="11"/>
  <c r="J2070" i="11"/>
  <c r="J1799" i="11"/>
  <c r="J1494" i="11"/>
  <c r="J1595" i="11"/>
  <c r="J1925" i="11"/>
  <c r="J2032" i="11"/>
  <c r="J2072" i="11"/>
  <c r="J1787" i="11"/>
  <c r="J2046" i="11"/>
  <c r="J2866" i="11"/>
  <c r="J2994" i="11"/>
  <c r="J2894" i="11"/>
  <c r="J1762" i="11"/>
  <c r="J1716" i="11"/>
  <c r="J1676" i="11"/>
  <c r="J1682" i="11"/>
  <c r="J1744" i="11"/>
  <c r="J1756" i="11"/>
  <c r="J2094" i="11"/>
  <c r="J2129" i="11"/>
  <c r="J2141" i="11"/>
  <c r="J3175" i="11"/>
  <c r="J3143" i="11"/>
  <c r="J3077" i="11"/>
  <c r="J2183" i="11"/>
  <c r="J2165" i="11"/>
  <c r="J2229" i="11"/>
  <c r="J2090" i="11"/>
  <c r="J1736" i="11"/>
  <c r="J1718" i="11"/>
  <c r="J1878" i="11"/>
  <c r="J1868" i="11"/>
  <c r="J2916" i="11"/>
  <c r="J2028" i="11"/>
  <c r="J2010" i="11"/>
  <c r="J1921" i="11"/>
  <c r="J1514" i="11"/>
  <c r="J1526" i="11"/>
  <c r="J1502" i="11"/>
  <c r="J1482" i="11"/>
  <c r="J881" i="11"/>
  <c r="J859" i="11"/>
  <c r="J3147" i="11"/>
  <c r="J3163" i="11"/>
  <c r="J3105" i="11"/>
  <c r="J2259" i="11"/>
  <c r="J2139" i="11"/>
  <c r="J1664" i="11"/>
  <c r="J2972" i="11"/>
  <c r="J2882" i="11"/>
  <c r="J2044" i="11"/>
  <c r="J1955" i="11"/>
  <c r="J1939" i="11"/>
  <c r="J1452" i="11"/>
  <c r="J751" i="11" l="1"/>
  <c r="J601" i="11"/>
  <c r="J2557" i="11"/>
  <c r="J543" i="11"/>
  <c r="J1609" i="11"/>
  <c r="J1575" i="11"/>
  <c r="J254" i="11"/>
  <c r="J1323" i="11"/>
  <c r="J1623" i="11"/>
  <c r="J1013" i="11"/>
  <c r="J1418" i="11"/>
  <c r="J2848" i="11"/>
  <c r="J799" i="11"/>
  <c r="J3258" i="11"/>
  <c r="J1414" i="11"/>
  <c r="J1233" i="11"/>
  <c r="J676" i="11"/>
  <c r="J246" i="11"/>
  <c r="J52" i="11"/>
  <c r="J553" i="11"/>
  <c r="J24" i="11"/>
  <c r="J454" i="11"/>
  <c r="J1056" i="11"/>
  <c r="J1376" i="11"/>
  <c r="J2824" i="11"/>
  <c r="J757" i="11"/>
  <c r="J192" i="11"/>
  <c r="J2078" i="11"/>
  <c r="J595" i="11"/>
  <c r="J134" i="11"/>
  <c r="J1368" i="11"/>
  <c r="J1138" i="11"/>
  <c r="J2661" i="11"/>
  <c r="J426" i="11"/>
  <c r="J627" i="11"/>
  <c r="J432" i="11"/>
  <c r="J2663" i="11"/>
  <c r="J1072" i="11"/>
  <c r="J3301" i="11"/>
  <c r="J2479" i="11"/>
  <c r="J56" i="11"/>
  <c r="J2651" i="11"/>
  <c r="J1297" i="11"/>
  <c r="J2507" i="11"/>
  <c r="J270" i="11"/>
  <c r="J1009" i="11"/>
  <c r="J3065" i="11"/>
  <c r="J3244" i="11"/>
  <c r="J1335" i="11"/>
  <c r="J2517" i="11"/>
  <c r="J2722" i="11"/>
  <c r="J1099" i="11"/>
  <c r="J2728" i="11"/>
  <c r="J330" i="11"/>
  <c r="J1101" i="11"/>
  <c r="J2730" i="11"/>
  <c r="J272" i="11"/>
  <c r="J1105" i="11"/>
  <c r="J198" i="11"/>
  <c r="J725" i="11"/>
  <c r="J731" i="11"/>
  <c r="J733" i="11"/>
  <c r="J801" i="11"/>
  <c r="J803" i="11"/>
  <c r="J1156" i="11"/>
  <c r="J1341" i="11"/>
  <c r="J569" i="11"/>
  <c r="J1374" i="11"/>
  <c r="J759" i="11"/>
  <c r="J2732" i="11"/>
  <c r="J981" i="11"/>
  <c r="J660" i="11"/>
  <c r="J633" i="11"/>
  <c r="J1420" i="11"/>
  <c r="J2796" i="11"/>
  <c r="J2946" i="11"/>
  <c r="J1132" i="11"/>
  <c r="J2337" i="11"/>
  <c r="J2483" i="11"/>
  <c r="J248" i="11"/>
  <c r="J508" i="11"/>
  <c r="J999" i="11"/>
  <c r="J2020" i="11"/>
  <c r="J2840" i="11"/>
  <c r="J707" i="11"/>
  <c r="J914" i="11"/>
  <c r="J785" i="11"/>
  <c r="J2511" i="11"/>
  <c r="J2431" i="11"/>
  <c r="J2788" i="11"/>
  <c r="J961" i="11"/>
  <c r="J438" i="11"/>
  <c r="J2744" i="11"/>
  <c r="J639" i="11"/>
  <c r="J2441" i="11"/>
  <c r="J2828" i="11"/>
  <c r="J1231" i="11"/>
  <c r="J2465" i="11"/>
  <c r="J2601" i="11"/>
  <c r="J587" i="11"/>
  <c r="J658" i="11"/>
  <c r="J1394" i="11"/>
  <c r="J1186" i="11"/>
  <c r="J2834" i="11"/>
  <c r="J797" i="11"/>
  <c r="J2942" i="11"/>
  <c r="J2655" i="11"/>
  <c r="J60" i="11"/>
  <c r="J1343" i="11"/>
  <c r="J1178" i="11"/>
  <c r="J805" i="11"/>
  <c r="J126" i="11"/>
  <c r="J460" i="11"/>
  <c r="J2631" i="11"/>
  <c r="J516" i="11"/>
  <c r="J1034" i="11"/>
  <c r="J2786" i="11"/>
  <c r="J747" i="11"/>
  <c r="J318" i="11"/>
  <c r="J468" i="11"/>
  <c r="J48" i="11"/>
  <c r="J1307" i="11"/>
  <c r="J2836" i="11"/>
  <c r="J737" i="11"/>
  <c r="J3272" i="11"/>
  <c r="J2649" i="11"/>
  <c r="J2718" i="11"/>
  <c r="J2734" i="11"/>
  <c r="J605" i="11"/>
  <c r="J390" i="11"/>
  <c r="J2726" i="11"/>
  <c r="J672" i="11"/>
  <c r="J2499" i="11"/>
  <c r="J474" i="11"/>
  <c r="J3270" i="11"/>
  <c r="J1357" i="11"/>
  <c r="J723" i="11"/>
  <c r="J1097" i="11"/>
  <c r="J943" i="11"/>
  <c r="J336" i="11"/>
  <c r="J1026" i="11"/>
  <c r="J789" i="11"/>
  <c r="J1619" i="11"/>
  <c r="J1808" i="11"/>
  <c r="I1806" i="11"/>
  <c r="J1806" i="11" s="1"/>
  <c r="J793" i="11"/>
  <c r="I1630" i="11"/>
  <c r="J1630" i="11" s="1"/>
  <c r="J1632" i="11"/>
  <c r="J2297" i="11"/>
  <c r="J727" i="11"/>
  <c r="J670" i="11"/>
  <c r="J916" i="11"/>
  <c r="J1146" i="11"/>
  <c r="J1148" i="11"/>
  <c r="J1152" i="11"/>
  <c r="J1154" i="11"/>
  <c r="J1337" i="11"/>
  <c r="J476" i="11"/>
  <c r="J2696" i="11"/>
  <c r="J2559" i="11"/>
  <c r="J1225" i="11"/>
  <c r="J985" i="11"/>
  <c r="J668" i="11"/>
  <c r="J641" i="11"/>
  <c r="J2353" i="11"/>
  <c r="J2429" i="11"/>
  <c r="J3242" i="11"/>
  <c r="J645" i="11"/>
  <c r="J1321" i="11"/>
  <c r="J2533" i="11"/>
  <c r="I2127" i="11"/>
  <c r="J2127" i="11" s="1"/>
  <c r="J2137" i="11"/>
  <c r="J684" i="11"/>
  <c r="J2694" i="11"/>
  <c r="J1038" i="11"/>
  <c r="J686" i="11"/>
  <c r="I851" i="11"/>
  <c r="J851" i="11" s="1"/>
  <c r="J857" i="11"/>
  <c r="J1111" i="11"/>
  <c r="J373" i="11"/>
  <c r="J1386" i="11"/>
  <c r="J753" i="11"/>
  <c r="J2367" i="11"/>
  <c r="J2475" i="11"/>
  <c r="J244" i="11"/>
  <c r="J494" i="11"/>
  <c r="J2505" i="11"/>
  <c r="J2802" i="11"/>
  <c r="J1091" i="11"/>
  <c r="J2449" i="11"/>
  <c r="J2806" i="11"/>
  <c r="J28" i="11"/>
  <c r="J252" i="11"/>
  <c r="J2324" i="11"/>
  <c r="J1416" i="11"/>
  <c r="J2355" i="11"/>
  <c r="J2309" i="11"/>
  <c r="J1048" i="11"/>
  <c r="J955" i="11"/>
  <c r="J1251" i="11"/>
  <c r="J2445" i="11"/>
  <c r="J486" i="11"/>
  <c r="J2421" i="11"/>
  <c r="J623" i="11"/>
  <c r="J2615" i="11"/>
  <c r="J180" i="11"/>
  <c r="J1261" i="11"/>
  <c r="J2487" i="11"/>
  <c r="J603" i="11"/>
  <c r="J717" i="11"/>
  <c r="J1339" i="11"/>
  <c r="J1052" i="11"/>
  <c r="J1382" i="11"/>
  <c r="J2784" i="11"/>
  <c r="J711" i="11"/>
  <c r="J506" i="11"/>
  <c r="J619" i="11"/>
  <c r="J1331" i="11"/>
  <c r="J1164" i="11"/>
  <c r="J735" i="11"/>
  <c r="J565" i="11"/>
  <c r="J504" i="11"/>
  <c r="J1003" i="11"/>
  <c r="J1313" i="11"/>
  <c r="J2780" i="11"/>
  <c r="J196" i="11"/>
  <c r="J236" i="11"/>
  <c r="J456" i="11"/>
  <c r="J1285" i="11"/>
  <c r="J2808" i="11"/>
  <c r="J787" i="11"/>
  <c r="J3234" i="11"/>
  <c r="J2637" i="11"/>
  <c r="J2669" i="11"/>
  <c r="J142" i="11"/>
  <c r="I1448" i="11"/>
  <c r="J1450" i="11"/>
  <c r="J2714" i="11"/>
  <c r="J434" i="11"/>
  <c r="J152" i="11"/>
  <c r="J2832" i="11"/>
  <c r="J1764" i="11"/>
  <c r="J2513" i="11"/>
  <c r="J334" i="11"/>
  <c r="J1005" i="11"/>
  <c r="J2567" i="11"/>
  <c r="J680" i="11"/>
  <c r="I1882" i="11"/>
  <c r="J1882" i="11" s="1"/>
  <c r="J1886" i="11"/>
  <c r="J795" i="11"/>
  <c r="J1074" i="11"/>
  <c r="J813" i="11"/>
  <c r="J815" i="11"/>
  <c r="J817" i="11"/>
  <c r="J2748" i="11"/>
  <c r="J2407" i="11"/>
  <c r="J1402" i="11"/>
  <c r="J1406" i="11"/>
  <c r="J1327" i="11"/>
  <c r="J1329" i="11"/>
  <c r="J1333" i="11"/>
  <c r="J567" i="11"/>
  <c r="J2690" i="11"/>
  <c r="J2555" i="11"/>
  <c r="J3266" i="11"/>
  <c r="J2423" i="11"/>
  <c r="J2830" i="11"/>
  <c r="J2433" i="11"/>
  <c r="I1698" i="11"/>
  <c r="J1698" i="11" s="1"/>
  <c r="J1700" i="11"/>
  <c r="J238" i="11"/>
  <c r="J581" i="11"/>
  <c r="J896" i="11"/>
  <c r="J1017" i="11"/>
  <c r="J66" i="11"/>
  <c r="J1205" i="11"/>
  <c r="J965" i="11"/>
  <c r="J2503" i="11"/>
  <c r="J462" i="11"/>
  <c r="J1404" i="11"/>
  <c r="J2549" i="11"/>
  <c r="J715" i="11"/>
  <c r="J2635" i="11"/>
  <c r="J1001" i="11"/>
  <c r="J156" i="11"/>
  <c r="J1239" i="11"/>
  <c r="J2541" i="11"/>
  <c r="J709" i="11"/>
  <c r="J484" i="11"/>
  <c r="J904" i="11"/>
  <c r="J1107" i="11"/>
  <c r="J154" i="11"/>
  <c r="J264" i="11"/>
  <c r="J2497" i="11"/>
  <c r="J2798" i="11"/>
  <c r="J1315" i="11"/>
  <c r="J957" i="11"/>
  <c r="J1269" i="11"/>
  <c r="J585" i="11"/>
  <c r="J662" i="11"/>
  <c r="J458" i="11"/>
  <c r="J2750" i="11"/>
  <c r="J2702" i="11"/>
  <c r="J106" i="11"/>
  <c r="J1271" i="11"/>
  <c r="J150" i="11"/>
  <c r="J1247" i="11"/>
  <c r="J2657" i="11"/>
  <c r="J194" i="11"/>
  <c r="J1432" i="11"/>
  <c r="J2363" i="11"/>
  <c r="J2659" i="11"/>
  <c r="J741" i="11"/>
  <c r="J1030" i="11"/>
  <c r="I3277" i="11"/>
  <c r="J3277" i="11" s="1"/>
  <c r="J3283" i="11"/>
  <c r="J1040" i="11"/>
  <c r="J1303" i="11"/>
  <c r="J2772" i="11"/>
  <c r="J597" i="11"/>
  <c r="J549" i="11"/>
  <c r="J2653" i="11"/>
  <c r="J1196" i="11"/>
  <c r="J2844" i="11"/>
  <c r="J721" i="11"/>
  <c r="J146" i="11"/>
  <c r="J551" i="11"/>
  <c r="J472" i="11"/>
  <c r="J1355" i="11"/>
  <c r="J1301" i="11"/>
  <c r="J2794" i="11"/>
  <c r="J3246" i="11"/>
  <c r="J635" i="11"/>
  <c r="J384" i="11"/>
  <c r="J637" i="11"/>
  <c r="J1263" i="11"/>
  <c r="J2776" i="11"/>
  <c r="J656" i="11"/>
  <c r="J2724" i="11"/>
  <c r="J2625" i="11"/>
  <c r="J120" i="11"/>
  <c r="J2611" i="11"/>
  <c r="J36" i="11"/>
  <c r="J2692" i="11"/>
  <c r="J591" i="11"/>
  <c r="J64" i="11"/>
  <c r="J1158" i="11"/>
  <c r="J719" i="11"/>
  <c r="J2587" i="11"/>
  <c r="J418" i="11"/>
  <c r="J2000" i="11"/>
  <c r="J2774" i="11"/>
  <c r="J2589" i="11"/>
  <c r="J144" i="11"/>
  <c r="J749" i="11"/>
  <c r="J951" i="11"/>
  <c r="J2467" i="11"/>
  <c r="J2820" i="11"/>
  <c r="J2469" i="11"/>
  <c r="J2822" i="11"/>
  <c r="J2471" i="11"/>
  <c r="J2846" i="11"/>
  <c r="J2489" i="11"/>
  <c r="I1847" i="11"/>
  <c r="J1847" i="11" s="1"/>
  <c r="J1849" i="11"/>
  <c r="J422" i="11"/>
  <c r="J428" i="11"/>
  <c r="J440" i="11"/>
  <c r="J561" i="11"/>
  <c r="J2686" i="11"/>
  <c r="J2581" i="11"/>
  <c r="J3305" i="11"/>
  <c r="J761" i="11"/>
  <c r="J900" i="11"/>
  <c r="J1066" i="11"/>
  <c r="J70" i="11"/>
  <c r="J1349" i="11"/>
  <c r="J2782" i="11"/>
  <c r="J2417" i="11"/>
  <c r="J3238" i="11"/>
  <c r="J470" i="11"/>
  <c r="J1255" i="11"/>
  <c r="J932" i="11"/>
  <c r="J2485" i="11"/>
  <c r="J250" i="11"/>
  <c r="J583" i="11"/>
  <c r="J3095" i="11"/>
  <c r="J1396" i="11"/>
  <c r="J2842" i="11"/>
  <c r="J2369" i="11"/>
  <c r="J2477" i="11"/>
  <c r="J316" i="11"/>
  <c r="J498" i="11"/>
  <c r="J1428" i="11"/>
  <c r="J2752" i="11"/>
  <c r="J1295" i="11"/>
  <c r="J62" i="11"/>
  <c r="J1093" i="11"/>
  <c r="J2716" i="11"/>
  <c r="J2491" i="11"/>
  <c r="J2790" i="11"/>
  <c r="J20" i="11"/>
  <c r="J975" i="11"/>
  <c r="J2303" i="11"/>
  <c r="J1351" i="11"/>
  <c r="J2349" i="11"/>
  <c r="J888" i="11"/>
  <c r="J1050" i="11"/>
  <c r="J114" i="11"/>
  <c r="J791" i="11"/>
  <c r="J1115" i="11"/>
  <c r="J2328" i="11"/>
  <c r="J2301" i="11"/>
  <c r="J2519" i="11"/>
  <c r="J936" i="11"/>
  <c r="J1170" i="11"/>
  <c r="J1058" i="11"/>
  <c r="J2383" i="11"/>
  <c r="J1028" i="11"/>
  <c r="J1249" i="11"/>
  <c r="J2758" i="11"/>
  <c r="J280" i="11"/>
  <c r="J40" i="11"/>
  <c r="J444" i="11"/>
  <c r="J571" i="11"/>
  <c r="J1392" i="11"/>
  <c r="J2818" i="11"/>
  <c r="J664" i="11"/>
  <c r="J666" i="11"/>
  <c r="J2720" i="11"/>
  <c r="J74" i="11"/>
  <c r="J375" i="11"/>
  <c r="J452" i="11"/>
  <c r="J1347" i="11"/>
  <c r="J1289" i="11"/>
  <c r="J2768" i="11"/>
  <c r="J274" i="11"/>
  <c r="J392" i="11"/>
  <c r="J22" i="11"/>
  <c r="J625" i="11"/>
  <c r="J1241" i="11"/>
  <c r="J2760" i="11"/>
  <c r="J2712" i="11"/>
  <c r="J2613" i="11"/>
  <c r="J2667" i="11"/>
  <c r="J492" i="11"/>
  <c r="J138" i="11"/>
  <c r="J1203" i="11"/>
  <c r="J906" i="11"/>
  <c r="J136" i="11"/>
  <c r="J678" i="11"/>
  <c r="J490" i="11"/>
  <c r="J1140" i="11"/>
  <c r="J2307" i="11"/>
  <c r="J448" i="11"/>
  <c r="J2800" i="11"/>
  <c r="J2543" i="11"/>
  <c r="J1176" i="11"/>
  <c r="J44" i="11"/>
  <c r="J1180" i="11"/>
  <c r="J2447" i="11"/>
  <c r="J50" i="11"/>
  <c r="J1184" i="11"/>
  <c r="J2521" i="11"/>
  <c r="J148" i="11"/>
  <c r="J1213" i="11"/>
  <c r="J2639" i="11"/>
  <c r="J2571" i="11"/>
  <c r="J2647" i="11"/>
  <c r="J2575" i="11"/>
  <c r="J2678" i="11"/>
  <c r="J2215" i="11"/>
  <c r="I2213" i="11"/>
  <c r="J2213" i="11" s="1"/>
  <c r="J2553" i="11"/>
  <c r="J2680" i="11"/>
  <c r="J2577" i="11"/>
  <c r="J2682" i="11"/>
  <c r="J2579" i="11"/>
  <c r="J3264" i="11"/>
  <c r="J2419" i="11"/>
  <c r="J1174" i="11"/>
  <c r="J987" i="11"/>
  <c r="J1424" i="11"/>
  <c r="J1366" i="11"/>
  <c r="J2591" i="11"/>
  <c r="J2706" i="11"/>
  <c r="J910" i="11"/>
  <c r="J1062" i="11"/>
  <c r="J124" i="11"/>
  <c r="J1144" i="11"/>
  <c r="J1113" i="11"/>
  <c r="J1243" i="11"/>
  <c r="J819" i="11"/>
  <c r="J2627" i="11"/>
  <c r="J908" i="11"/>
  <c r="J1078" i="11"/>
  <c r="J1080" i="11"/>
  <c r="J1380" i="11"/>
  <c r="J1267" i="11"/>
  <c r="J1089" i="11"/>
  <c r="J617" i="11"/>
  <c r="J977" i="11"/>
  <c r="J1064" i="11"/>
  <c r="J2501" i="11"/>
  <c r="J1209" i="11"/>
  <c r="J32" i="11"/>
  <c r="J278" i="11"/>
  <c r="J420" i="11"/>
  <c r="J674" i="11"/>
  <c r="J450" i="11"/>
  <c r="J2756" i="11"/>
  <c r="J1273" i="11"/>
  <c r="J260" i="11"/>
  <c r="J807" i="11"/>
  <c r="J963" i="11"/>
  <c r="J1215" i="11"/>
  <c r="J1068" i="11"/>
  <c r="J1007" i="11"/>
  <c r="J1223" i="11"/>
  <c r="J825" i="11"/>
  <c r="J328" i="11"/>
  <c r="J371" i="11"/>
  <c r="J545" i="11"/>
  <c r="J1378" i="11"/>
  <c r="J2770" i="11"/>
  <c r="J2619" i="11"/>
  <c r="J130" i="11"/>
  <c r="J2704" i="11"/>
  <c r="J54" i="11"/>
  <c r="J2277" i="11"/>
  <c r="J2086" i="11"/>
  <c r="I2084" i="11"/>
  <c r="I1860" i="11"/>
  <c r="J1860" i="11" s="1"/>
  <c r="J1862" i="11"/>
  <c r="J1325" i="11"/>
  <c r="J1277" i="11"/>
  <c r="J2754" i="11"/>
  <c r="J332" i="11"/>
  <c r="J46" i="11"/>
  <c r="J442" i="11"/>
  <c r="J1219" i="11"/>
  <c r="J266" i="11"/>
  <c r="J3012" i="11"/>
  <c r="J2700" i="11"/>
  <c r="J466" i="11"/>
  <c r="J132" i="11"/>
  <c r="J112" i="11"/>
  <c r="J1775" i="11"/>
  <c r="I1773" i="11"/>
  <c r="J2645" i="11"/>
  <c r="J577" i="11"/>
  <c r="J122" i="11"/>
  <c r="J188" i="11"/>
  <c r="J1235" i="11"/>
  <c r="J414" i="11"/>
  <c r="J2792" i="11"/>
  <c r="J2326" i="11"/>
  <c r="J611" i="11"/>
  <c r="J1221" i="11"/>
  <c r="J502" i="11"/>
  <c r="J1150" i="11"/>
  <c r="J918" i="11"/>
  <c r="J2597" i="11"/>
  <c r="J464" i="11"/>
  <c r="J1275" i="11"/>
  <c r="J2339" i="11"/>
  <c r="J555" i="11"/>
  <c r="J2858" i="11"/>
  <c r="J1279" i="11"/>
  <c r="J2341" i="11"/>
  <c r="J557" i="11"/>
  <c r="J1283" i="11"/>
  <c r="J930" i="11"/>
  <c r="J575" i="11"/>
  <c r="J2962" i="11"/>
  <c r="J1317" i="11"/>
  <c r="J953" i="11"/>
  <c r="I1531" i="11"/>
  <c r="J1531" i="11" s="1"/>
  <c r="J1533" i="11"/>
  <c r="J3291" i="11"/>
  <c r="J3236" i="11"/>
  <c r="J2415" i="11"/>
  <c r="J1412" i="11"/>
  <c r="J2365" i="11"/>
  <c r="J2437" i="11"/>
  <c r="J242" i="11"/>
  <c r="J480" i="11"/>
  <c r="J1372" i="11"/>
  <c r="J1207" i="11"/>
  <c r="J979" i="11"/>
  <c r="J2515" i="11"/>
  <c r="J621" i="11"/>
  <c r="J3303" i="11"/>
  <c r="J1408" i="11"/>
  <c r="J2746" i="11"/>
  <c r="J2641" i="11"/>
  <c r="J1032" i="11"/>
  <c r="J18" i="11"/>
  <c r="J2545" i="11"/>
  <c r="J320" i="11"/>
  <c r="J500" i="11"/>
  <c r="I2393" i="11"/>
  <c r="J2393" i="11" s="1"/>
  <c r="J2395" i="11"/>
  <c r="J1436" i="11"/>
  <c r="J1227" i="11"/>
  <c r="J1044" i="11"/>
  <c r="J607" i="11"/>
  <c r="J959" i="11"/>
  <c r="J1309" i="11"/>
  <c r="J2305" i="11"/>
  <c r="J1042" i="11"/>
  <c r="J934" i="11"/>
  <c r="J898" i="11"/>
  <c r="J1054" i="11"/>
  <c r="J2585" i="11"/>
  <c r="J3230" i="11"/>
  <c r="J892" i="11"/>
  <c r="J745" i="11"/>
  <c r="J1909" i="11"/>
  <c r="J38" i="11"/>
  <c r="J539" i="11"/>
  <c r="J1430" i="11"/>
  <c r="J1299" i="11"/>
  <c r="J821" i="11"/>
  <c r="J268" i="11"/>
  <c r="J563" i="11"/>
  <c r="J68" i="11"/>
  <c r="J2617" i="11"/>
  <c r="J140" i="11"/>
  <c r="J1103" i="11"/>
  <c r="J1400" i="11"/>
  <c r="J1265" i="11"/>
  <c r="J2742" i="11"/>
  <c r="J324" i="11"/>
  <c r="J573" i="11"/>
  <c r="J1190" i="11"/>
  <c r="J1182" i="11"/>
  <c r="J755" i="11"/>
  <c r="J262" i="11"/>
  <c r="J2688" i="11"/>
  <c r="J512" i="11"/>
  <c r="J116" i="11"/>
  <c r="J2623" i="11"/>
  <c r="J478" i="11"/>
  <c r="J436" i="11"/>
  <c r="J190" i="11"/>
  <c r="J1281" i="11"/>
  <c r="J2413" i="11"/>
  <c r="J26" i="11"/>
  <c r="J482" i="11"/>
  <c r="J1136" i="11"/>
  <c r="J2665" i="11"/>
  <c r="J1305" i="11"/>
  <c r="J2463" i="11"/>
  <c r="J631" i="11"/>
  <c r="J1237" i="11"/>
  <c r="J589" i="11"/>
  <c r="J2890" i="11"/>
  <c r="J1188" i="11"/>
  <c r="J989" i="11"/>
  <c r="J593" i="11"/>
  <c r="J1192" i="11"/>
  <c r="J928" i="11"/>
  <c r="J599" i="11"/>
  <c r="J1194" i="11"/>
  <c r="J3103" i="11"/>
  <c r="I3101" i="11"/>
  <c r="J3101" i="11" s="1"/>
  <c r="J2531" i="11"/>
  <c r="J446" i="11"/>
  <c r="J1345" i="11"/>
  <c r="J2569" i="11"/>
  <c r="J3232" i="11"/>
  <c r="J2411" i="11"/>
  <c r="J809" i="11"/>
  <c r="J1172" i="11"/>
  <c r="J579" i="11"/>
  <c r="J902" i="11"/>
  <c r="J1076" i="11"/>
  <c r="J1211" i="11"/>
  <c r="J2804" i="11"/>
  <c r="J2351" i="11"/>
  <c r="J2427" i="11"/>
  <c r="J3240" i="11"/>
  <c r="J643" i="11"/>
  <c r="J1291" i="11"/>
  <c r="J2573" i="11"/>
  <c r="J729" i="11"/>
  <c r="J416" i="11"/>
  <c r="J3097" i="11"/>
  <c r="J1398" i="11"/>
  <c r="J827" i="11"/>
  <c r="J2481" i="11"/>
  <c r="J58" i="11"/>
  <c r="J1384" i="11"/>
  <c r="J2838" i="11"/>
  <c r="J514" i="11"/>
  <c r="J949" i="11"/>
  <c r="J1060" i="11"/>
  <c r="J2495" i="11"/>
  <c r="J2778" i="11"/>
  <c r="J983" i="11"/>
  <c r="J186" i="11"/>
  <c r="J338" i="11"/>
  <c r="J430" i="11"/>
  <c r="J829" i="11"/>
  <c r="J613" i="11"/>
  <c r="J1287" i="11"/>
  <c r="J322" i="11"/>
  <c r="J1168" i="11"/>
  <c r="J424" i="11"/>
  <c r="J2810" i="11"/>
  <c r="J2551" i="11"/>
  <c r="J42" i="11"/>
  <c r="J240" i="11"/>
  <c r="J1293" i="11"/>
  <c r="I3151" i="11"/>
  <c r="J3151" i="11" s="1"/>
  <c r="J3153" i="11"/>
  <c r="J1070" i="11"/>
  <c r="J1422" i="11"/>
  <c r="J1142" i="11"/>
  <c r="J3248" i="11"/>
  <c r="J2708" i="11"/>
  <c r="J118" i="11"/>
  <c r="J34" i="11"/>
  <c r="J1353" i="11"/>
  <c r="J1259" i="11"/>
  <c r="J763" i="11"/>
  <c r="J326" i="11"/>
  <c r="J2633" i="11"/>
  <c r="J128" i="11"/>
  <c r="J1015" i="11"/>
  <c r="J1388" i="11"/>
  <c r="J1253" i="11"/>
  <c r="J823" i="11"/>
  <c r="J256" i="11"/>
  <c r="J615" i="11"/>
  <c r="J537" i="11"/>
  <c r="J1390" i="11"/>
  <c r="J1160" i="11"/>
  <c r="J682" i="11"/>
  <c r="J182" i="11"/>
  <c r="J2676" i="11"/>
  <c r="J559" i="11"/>
  <c r="J547" i="11"/>
  <c r="J629" i="11"/>
  <c r="J314" i="11"/>
  <c r="J1311" i="11"/>
  <c r="J2435" i="11"/>
  <c r="J609" i="11"/>
  <c r="J1217" i="11"/>
  <c r="J2439" i="11"/>
  <c r="J3274" i="11"/>
  <c r="J1359" i="11"/>
  <c r="J2509" i="11"/>
  <c r="J2684" i="11"/>
  <c r="J1319" i="11"/>
  <c r="J2473" i="11"/>
  <c r="J488" i="11"/>
  <c r="J3256" i="11"/>
  <c r="J1011" i="11"/>
  <c r="J2593" i="11"/>
  <c r="J496" i="11"/>
  <c r="J3260" i="11"/>
  <c r="J2595" i="11"/>
  <c r="J2621" i="11"/>
  <c r="J3262" i="11"/>
  <c r="J1024" i="11"/>
  <c r="J2599" i="11"/>
  <c r="J2643" i="11"/>
  <c r="J184" i="11"/>
  <c r="J1046" i="11"/>
  <c r="J2944" i="11"/>
  <c r="J2948" i="11"/>
  <c r="J2950" i="11"/>
  <c r="J2461" i="11"/>
  <c r="J2409" i="11"/>
  <c r="J739" i="11"/>
  <c r="J1162" i="11"/>
  <c r="J1410" i="11"/>
  <c r="J2698" i="11"/>
  <c r="J2583" i="11"/>
  <c r="J1426" i="11"/>
  <c r="J1991" i="11"/>
  <c r="J2826" i="11"/>
  <c r="J811" i="11"/>
  <c r="J2710" i="11"/>
  <c r="J894" i="11"/>
  <c r="J1095" i="11"/>
  <c r="J2888" i="11"/>
  <c r="J1166" i="11"/>
  <c r="J2493" i="11"/>
  <c r="J258" i="11"/>
  <c r="J541" i="11"/>
  <c r="J1245" i="11"/>
  <c r="J2547" i="11"/>
  <c r="J713" i="11"/>
  <c r="J2629" i="11"/>
  <c r="J1109" i="11"/>
  <c r="J110" i="11"/>
  <c r="J1229" i="11"/>
  <c r="J743" i="11"/>
  <c r="J3010" i="11"/>
  <c r="J890" i="11"/>
  <c r="J2443" i="11"/>
  <c r="J1257" i="11"/>
  <c r="J2387" i="11"/>
  <c r="J1370" i="11"/>
  <c r="J920" i="11"/>
  <c r="J1036" i="11"/>
  <c r="J947" i="11"/>
  <c r="J2425" i="11"/>
  <c r="J30" i="11"/>
  <c r="J510" i="11"/>
  <c r="J276" i="11"/>
  <c r="J108" i="11"/>
  <c r="I3289" i="11" l="1"/>
  <c r="J3289" i="11" s="1"/>
  <c r="J2361" i="11"/>
  <c r="I2359" i="11"/>
  <c r="J2359" i="11" s="1"/>
  <c r="I2457" i="11"/>
  <c r="J2457" i="11" s="1"/>
  <c r="J2459" i="11"/>
  <c r="J1022" i="11"/>
  <c r="I1020" i="11"/>
  <c r="J1020" i="11" s="1"/>
  <c r="I102" i="11"/>
  <c r="J102" i="11" s="1"/>
  <c r="J104" i="11"/>
  <c r="I2738" i="11"/>
  <c r="J2738" i="11" s="1"/>
  <c r="J2740" i="11"/>
  <c r="I2405" i="11"/>
  <c r="J1448" i="11"/>
  <c r="I3063" i="11"/>
  <c r="J3063" i="11" s="1"/>
  <c r="J783" i="11"/>
  <c r="I781" i="11"/>
  <c r="J781" i="11" s="1"/>
  <c r="I2537" i="11"/>
  <c r="J2537" i="11" s="1"/>
  <c r="J2539" i="11"/>
  <c r="I14" i="11"/>
  <c r="I886" i="11"/>
  <c r="J912" i="11"/>
  <c r="I2345" i="11"/>
  <c r="J2345" i="11" s="1"/>
  <c r="J2347" i="11"/>
  <c r="J382" i="11"/>
  <c r="I380" i="11"/>
  <c r="J380" i="11" s="1"/>
  <c r="J1201" i="11"/>
  <c r="I1199" i="11"/>
  <c r="J1199" i="11" s="1"/>
  <c r="J2335" i="11"/>
  <c r="I2333" i="11"/>
  <c r="J2333" i="11" s="1"/>
  <c r="I3228" i="11"/>
  <c r="J1773" i="11"/>
  <c r="I1770" i="11"/>
  <c r="J2084" i="11"/>
  <c r="I1998" i="11"/>
  <c r="J1998" i="11" s="1"/>
  <c r="I1907" i="11"/>
  <c r="J1907" i="11" s="1"/>
  <c r="I703" i="11"/>
  <c r="J703" i="11" s="1"/>
  <c r="J705" i="11"/>
  <c r="I3309" i="11"/>
  <c r="J3309" i="11" s="1"/>
  <c r="J3311" i="11"/>
  <c r="J2322" i="11"/>
  <c r="I2320" i="11"/>
  <c r="J2320" i="11" s="1"/>
  <c r="I1085" i="11"/>
  <c r="J1085" i="11" s="1"/>
  <c r="J1087" i="11"/>
  <c r="I924" i="11"/>
  <c r="J924" i="11" s="1"/>
  <c r="J926" i="11"/>
  <c r="I2563" i="11"/>
  <c r="J2563" i="11" s="1"/>
  <c r="J2565" i="11"/>
  <c r="I2672" i="11"/>
  <c r="J2672" i="11" s="1"/>
  <c r="J2674" i="11"/>
  <c r="I941" i="11"/>
  <c r="J941" i="11" s="1"/>
  <c r="J945" i="11"/>
  <c r="J3254" i="11"/>
  <c r="I3252" i="11"/>
  <c r="J3252" i="11" s="1"/>
  <c r="J178" i="11"/>
  <c r="I176" i="11"/>
  <c r="J176" i="11" s="1"/>
  <c r="J2766" i="11"/>
  <c r="I2764" i="11"/>
  <c r="J2764" i="11" s="1"/>
  <c r="I2379" i="11"/>
  <c r="I2527" i="11"/>
  <c r="J2527" i="11" s="1"/>
  <c r="J2529" i="11"/>
  <c r="I2856" i="11"/>
  <c r="I369" i="11"/>
  <c r="J535" i="11"/>
  <c r="I533" i="11"/>
  <c r="J533" i="11" s="1"/>
  <c r="I2814" i="11"/>
  <c r="J2814" i="11" s="1"/>
  <c r="J2816" i="11"/>
  <c r="I2609" i="11"/>
  <c r="I1128" i="11"/>
  <c r="J1134" i="11"/>
  <c r="J1364" i="11"/>
  <c r="I1362" i="11"/>
  <c r="J1362" i="11" s="1"/>
  <c r="J312" i="11"/>
  <c r="I310" i="11"/>
  <c r="J310" i="11" s="1"/>
  <c r="I232" i="11"/>
  <c r="J232" i="11" s="1"/>
  <c r="J234" i="11"/>
  <c r="J973" i="11"/>
  <c r="I971" i="11"/>
  <c r="J971" i="11" s="1"/>
  <c r="J654" i="11"/>
  <c r="I652" i="11"/>
  <c r="J652" i="11" s="1"/>
  <c r="I2960" i="11"/>
  <c r="J2960" i="11" s="1"/>
  <c r="I412" i="11"/>
  <c r="I2295" i="11"/>
  <c r="I1617" i="11"/>
  <c r="J1617" i="11" s="1"/>
  <c r="I997" i="11"/>
  <c r="I365" i="11" l="1"/>
  <c r="J365" i="11" s="1"/>
  <c r="J369" i="11"/>
  <c r="I2852" i="11"/>
  <c r="J2852" i="11" s="1"/>
  <c r="J2856" i="11"/>
  <c r="I3224" i="11"/>
  <c r="J3224" i="11" s="1"/>
  <c r="J3228" i="11"/>
  <c r="I994" i="11"/>
  <c r="J994" i="11" s="1"/>
  <c r="J997" i="11"/>
  <c r="J1128" i="11"/>
  <c r="I1125" i="11"/>
  <c r="J1125" i="11" s="1"/>
  <c r="I2605" i="11"/>
  <c r="J2605" i="11" s="1"/>
  <c r="J2609" i="11"/>
  <c r="I848" i="11"/>
  <c r="J848" i="11" s="1"/>
  <c r="J886" i="11"/>
  <c r="I2291" i="11"/>
  <c r="J2291" i="11" s="1"/>
  <c r="J2295" i="11"/>
  <c r="I2375" i="11"/>
  <c r="J2375" i="11" s="1"/>
  <c r="J2379" i="11"/>
  <c r="I10" i="11"/>
  <c r="J10" i="11" s="1"/>
  <c r="J14" i="11"/>
  <c r="I1445" i="11"/>
  <c r="J1445" i="11" s="1"/>
  <c r="I409" i="11"/>
  <c r="J409" i="11" s="1"/>
  <c r="J412" i="11"/>
  <c r="J2405" i="11"/>
  <c r="I2401" i="11"/>
  <c r="J2401" i="11" s="1"/>
  <c r="I1903" i="11"/>
  <c r="J1903" i="11" s="1"/>
  <c r="J1770" i="11"/>
  <c r="I1442" i="11" l="1"/>
  <c r="J1442" i="11" s="1"/>
  <c r="R852" i="11" l="1"/>
  <c r="R887" i="11"/>
  <c r="R849" i="11" l="1"/>
  <c r="S852" i="11"/>
  <c r="S887" i="11"/>
  <c r="AB941" i="11"/>
  <c r="S849" i="11" l="1"/>
  <c r="AB2333" i="11"/>
  <c r="AB1362" i="11"/>
  <c r="AB851" i="11"/>
  <c r="AB1998" i="11"/>
  <c r="AB2856" i="11"/>
  <c r="AB2537" i="11"/>
  <c r="AB2320" i="11"/>
  <c r="AB2084" i="11"/>
  <c r="AB2814" i="11"/>
  <c r="AB1085" i="11"/>
  <c r="AB703" i="11"/>
  <c r="AB2379" i="11"/>
  <c r="AB533" i="11"/>
  <c r="AB3309" i="11"/>
  <c r="AB1448" i="11"/>
  <c r="AB2738" i="11"/>
  <c r="AB2563" i="11"/>
  <c r="AB886" i="11"/>
  <c r="AB2764" i="11"/>
  <c r="AB3063" i="11"/>
  <c r="AB2295" i="11"/>
  <c r="AB3277" i="11"/>
  <c r="AB3101" i="11"/>
  <c r="AB2457" i="11"/>
  <c r="AB1128" i="11"/>
  <c r="AB3228" i="11"/>
  <c r="AB2213" i="11"/>
  <c r="AB1698" i="11"/>
  <c r="AB1617" i="11"/>
  <c r="AB2527" i="11"/>
  <c r="AB2672" i="11"/>
  <c r="AB232" i="11"/>
  <c r="AB310" i="11"/>
  <c r="AB102" i="11"/>
  <c r="AB2393" i="11"/>
  <c r="AB2359" i="11"/>
  <c r="AB2960" i="11"/>
  <c r="AB3289" i="11"/>
  <c r="AB1630" i="11"/>
  <c r="AB380" i="11"/>
  <c r="AB1847" i="11"/>
  <c r="AB1806" i="11"/>
  <c r="AB412" i="11"/>
  <c r="AB924" i="11"/>
  <c r="AB1199" i="11"/>
  <c r="AB997" i="11"/>
  <c r="AB176" i="11"/>
  <c r="AB1860" i="11"/>
  <c r="AB971" i="11"/>
  <c r="AB1531" i="11"/>
  <c r="AB2405" i="11"/>
  <c r="AB3151" i="11"/>
  <c r="T852" i="11"/>
  <c r="AB2609" i="11"/>
  <c r="AB2127" i="11"/>
  <c r="AB369" i="11"/>
  <c r="AB2345" i="11"/>
  <c r="AB1773" i="11"/>
  <c r="AB781" i="11"/>
  <c r="AB1882" i="11"/>
  <c r="AB3252" i="11"/>
  <c r="AB14" i="11"/>
  <c r="T887" i="11"/>
  <c r="AB2605" i="11" l="1"/>
  <c r="AB2401" i="11"/>
  <c r="AB652" i="11"/>
  <c r="AB409" i="11" s="1"/>
  <c r="AB2291" i="11"/>
  <c r="AB10" i="11"/>
  <c r="AB848" i="11"/>
  <c r="AB1020" i="11"/>
  <c r="AB994" i="11" s="1"/>
  <c r="AB1907" i="11"/>
  <c r="AB1903" i="11" s="1"/>
  <c r="T849" i="11"/>
  <c r="AB365" i="11"/>
  <c r="AB1770" i="11"/>
  <c r="AB1445" i="11"/>
  <c r="AB2852" i="11"/>
  <c r="AB3224" i="11"/>
  <c r="U852" i="11"/>
  <c r="U887" i="11"/>
  <c r="AB1125" i="11"/>
  <c r="AB2375" i="11"/>
  <c r="A883" i="11"/>
  <c r="A884" i="11" s="1"/>
  <c r="A879" i="11"/>
  <c r="A880" i="11" s="1"/>
  <c r="A859" i="11"/>
  <c r="A860" i="11" s="1"/>
  <c r="A918" i="11"/>
  <c r="A919" i="11" s="1"/>
  <c r="A916" i="11"/>
  <c r="A917" i="11" s="1"/>
  <c r="A914" i="11"/>
  <c r="A915" i="11" s="1"/>
  <c r="A906" i="11"/>
  <c r="A907" i="11" s="1"/>
  <c r="A871" i="11"/>
  <c r="A872" i="11" s="1"/>
  <c r="A869" i="11"/>
  <c r="A870" i="11" s="1"/>
  <c r="A896" i="11"/>
  <c r="A897" i="11" s="1"/>
  <c r="A888" i="11"/>
  <c r="A889" i="11" s="1"/>
  <c r="A881" i="11"/>
  <c r="A882" i="11" s="1"/>
  <c r="A910" i="11"/>
  <c r="A911" i="11" s="1"/>
  <c r="A875" i="11"/>
  <c r="A876" i="11" s="1"/>
  <c r="A865" i="11"/>
  <c r="A866" i="11" s="1"/>
  <c r="A894" i="11"/>
  <c r="A895" i="11" s="1"/>
  <c r="A855" i="11"/>
  <c r="A856" i="11" s="1"/>
  <c r="A853" i="11"/>
  <c r="A854" i="11" s="1"/>
  <c r="A908" i="11"/>
  <c r="A909" i="11" s="1"/>
  <c r="A912" i="11"/>
  <c r="A913" i="11" s="1"/>
  <c r="A857" i="11"/>
  <c r="A858" i="11" s="1"/>
  <c r="A920" i="11"/>
  <c r="A921" i="11" s="1"/>
  <c r="A904" i="11"/>
  <c r="A905" i="11" s="1"/>
  <c r="A902" i="11"/>
  <c r="A903" i="11" s="1"/>
  <c r="A900" i="11"/>
  <c r="A901" i="11" s="1"/>
  <c r="A898" i="11"/>
  <c r="A899" i="11" s="1"/>
  <c r="A863" i="11"/>
  <c r="A864" i="11" s="1"/>
  <c r="A892" i="11"/>
  <c r="A893" i="11" s="1"/>
  <c r="A867" i="11"/>
  <c r="A868" i="11" s="1"/>
  <c r="A890" i="11"/>
  <c r="A891" i="11" s="1"/>
  <c r="A873" i="11"/>
  <c r="A874" i="11" s="1"/>
  <c r="A861" i="11"/>
  <c r="A862" i="11" s="1"/>
  <c r="AB1442" i="11" l="1"/>
  <c r="V852" i="11"/>
  <c r="V849" i="11" s="1"/>
  <c r="A877" i="11"/>
  <c r="A878" i="11" s="1"/>
  <c r="AK649" i="11"/>
  <c r="AK647" i="11"/>
  <c r="U849" i="11"/>
  <c r="AK386" i="11" l="1"/>
  <c r="AD386" i="11"/>
  <c r="AK124" i="11"/>
  <c r="AD124" i="11"/>
  <c r="AK264" i="11"/>
  <c r="AD264" i="11"/>
  <c r="AD375" i="11"/>
  <c r="AK375" i="11"/>
  <c r="AD178" i="11"/>
  <c r="AK178" i="11"/>
  <c r="AC176" i="11"/>
  <c r="AD176" i="11" s="1"/>
  <c r="AK48" i="11"/>
  <c r="AP48" i="11" s="1"/>
  <c r="AD48" i="11"/>
  <c r="AD144" i="11"/>
  <c r="AK144" i="11"/>
  <c r="AD202" i="11"/>
  <c r="AK202" i="11"/>
  <c r="AD288" i="11"/>
  <c r="AK288" i="11"/>
  <c r="AD399" i="11"/>
  <c r="AK399" i="11"/>
  <c r="AD216" i="11"/>
  <c r="AK216" i="11"/>
  <c r="AC369" i="11"/>
  <c r="AK371" i="11"/>
  <c r="AD371" i="11"/>
  <c r="AD58" i="11"/>
  <c r="AK58" i="11"/>
  <c r="AD180" i="11"/>
  <c r="AK180" i="11"/>
  <c r="AK286" i="11"/>
  <c r="AD286" i="11"/>
  <c r="AK597" i="11"/>
  <c r="AD597" i="11"/>
  <c r="AD74" i="11"/>
  <c r="AK74" i="11"/>
  <c r="AD186" i="11"/>
  <c r="AK186" i="11"/>
  <c r="AK70" i="11"/>
  <c r="AD70" i="11"/>
  <c r="AD76" i="11"/>
  <c r="AK76" i="11"/>
  <c r="AD196" i="11"/>
  <c r="AK196" i="11"/>
  <c r="AK318" i="11"/>
  <c r="AD318" i="11"/>
  <c r="AD448" i="11"/>
  <c r="AK448" i="11"/>
  <c r="AK561" i="11"/>
  <c r="AD561" i="11"/>
  <c r="AK965" i="11"/>
  <c r="AD965" i="11"/>
  <c r="AD492" i="11"/>
  <c r="AK492" i="11"/>
  <c r="AK430" i="11"/>
  <c r="AP430" i="11" s="1"/>
  <c r="AD430" i="11"/>
  <c r="AK539" i="11"/>
  <c r="AD539" i="11"/>
  <c r="AD446" i="11"/>
  <c r="AK446" i="11"/>
  <c r="AD416" i="11"/>
  <c r="AK416" i="11"/>
  <c r="AD518" i="11"/>
  <c r="AK518" i="11"/>
  <c r="AC395" i="11"/>
  <c r="AD395" i="11" s="1"/>
  <c r="AD401" i="11"/>
  <c r="AK401" i="11"/>
  <c r="AK635" i="11"/>
  <c r="AD635" i="11"/>
  <c r="AD462" i="11"/>
  <c r="AK462" i="11"/>
  <c r="AK593" i="11"/>
  <c r="AD593" i="11"/>
  <c r="AK508" i="11"/>
  <c r="AD508" i="11"/>
  <c r="AK619" i="11"/>
  <c r="AD619" i="11"/>
  <c r="AD799" i="11"/>
  <c r="AK799" i="11"/>
  <c r="AK1545" i="11"/>
  <c r="AD1545" i="11"/>
  <c r="AD767" i="11"/>
  <c r="AK767" i="11"/>
  <c r="AD1317" i="11"/>
  <c r="AK1317" i="11"/>
  <c r="AD749" i="11"/>
  <c r="AK749" i="11"/>
  <c r="AD928" i="11"/>
  <c r="AK928" i="11"/>
  <c r="AK545" i="11"/>
  <c r="AD545" i="11"/>
  <c r="AK674" i="11"/>
  <c r="AD674" i="11"/>
  <c r="AK761" i="11"/>
  <c r="AD761" i="11"/>
  <c r="AK863" i="11"/>
  <c r="AD863" i="11"/>
  <c r="AK603" i="11"/>
  <c r="AD603" i="11"/>
  <c r="AK723" i="11"/>
  <c r="AD723" i="11"/>
  <c r="AD926" i="11"/>
  <c r="AC924" i="11"/>
  <c r="AD924" i="11" s="1"/>
  <c r="AK926" i="11"/>
  <c r="AK727" i="11"/>
  <c r="AD727" i="11"/>
  <c r="AD936" i="11"/>
  <c r="AK936" i="11"/>
  <c r="AC886" i="11"/>
  <c r="AD886" i="11" s="1"/>
  <c r="AK888" i="11"/>
  <c r="AD888" i="11"/>
  <c r="AD1044" i="11"/>
  <c r="AK1044" i="11"/>
  <c r="AD859" i="11"/>
  <c r="AK859" i="11"/>
  <c r="AK920" i="11"/>
  <c r="AD920" i="11"/>
  <c r="AD1119" i="11"/>
  <c r="AK1119" i="11"/>
  <c r="AK906" i="11"/>
  <c r="AD906" i="11"/>
  <c r="AK983" i="11"/>
  <c r="AD983" i="11"/>
  <c r="AD1148" i="11"/>
  <c r="AK1148" i="11"/>
  <c r="AD1062" i="11"/>
  <c r="AK1062" i="11"/>
  <c r="AK1337" i="11"/>
  <c r="AD1337" i="11"/>
  <c r="AD875" i="11"/>
  <c r="AK875" i="11"/>
  <c r="AK1064" i="11"/>
  <c r="AD1064" i="11"/>
  <c r="AD1172" i="11"/>
  <c r="AK1172" i="11"/>
  <c r="AK1372" i="11"/>
  <c r="AD1372" i="11"/>
  <c r="AK910" i="11"/>
  <c r="AD910" i="11"/>
  <c r="AK1036" i="11"/>
  <c r="AD1036" i="11"/>
  <c r="AD1115" i="11"/>
  <c r="AK1115" i="11"/>
  <c r="AD1209" i="11"/>
  <c r="AK1209" i="11"/>
  <c r="AK1327" i="11"/>
  <c r="AD1327" i="11"/>
  <c r="AD1541" i="11"/>
  <c r="AK1541" i="11"/>
  <c r="AD1101" i="11"/>
  <c r="AK1101" i="11"/>
  <c r="AD1170" i="11"/>
  <c r="AK1170" i="11"/>
  <c r="AK1261" i="11"/>
  <c r="AD1261" i="11"/>
  <c r="AK1394" i="11"/>
  <c r="AD1394" i="11"/>
  <c r="AD1117" i="11"/>
  <c r="AK1117" i="11"/>
  <c r="AD1295" i="11"/>
  <c r="AK1295" i="11"/>
  <c r="AD1414" i="11"/>
  <c r="AK1414" i="11"/>
  <c r="AD1353" i="11"/>
  <c r="AK1353" i="11"/>
  <c r="AK1007" i="11"/>
  <c r="AD1007" i="11"/>
  <c r="AD1217" i="11"/>
  <c r="AK1217" i="11"/>
  <c r="AK1313" i="11"/>
  <c r="AD1313" i="11"/>
  <c r="AK1496" i="11"/>
  <c r="AD1496" i="11"/>
  <c r="AD1464" i="11"/>
  <c r="AK1464" i="11"/>
  <c r="AD1779" i="11"/>
  <c r="AK1779" i="11"/>
  <c r="AD1652" i="11"/>
  <c r="AK1652" i="11"/>
  <c r="AK1476" i="11"/>
  <c r="AD1476" i="11"/>
  <c r="AD1621" i="11"/>
  <c r="AK1621" i="11"/>
  <c r="AD1726" i="11"/>
  <c r="AK1726" i="11"/>
  <c r="AD2116" i="11"/>
  <c r="AK2116" i="11"/>
  <c r="AK1573" i="11"/>
  <c r="AD1573" i="11"/>
  <c r="AD1682" i="11"/>
  <c r="AK1682" i="11"/>
  <c r="AD1561" i="11"/>
  <c r="AK1561" i="11"/>
  <c r="AD1816" i="11"/>
  <c r="AK1816" i="11"/>
  <c r="AD1700" i="11"/>
  <c r="AC1698" i="11"/>
  <c r="AD1698" i="11" s="1"/>
  <c r="AK1700" i="11"/>
  <c r="AK1376" i="11"/>
  <c r="AD1376" i="11"/>
  <c r="AD1474" i="11"/>
  <c r="AK1474" i="11"/>
  <c r="AK1609" i="11"/>
  <c r="AD1609" i="11"/>
  <c r="AK1512" i="11"/>
  <c r="AD1512" i="11"/>
  <c r="AK1634" i="11"/>
  <c r="AD1634" i="11"/>
  <c r="AK1746" i="11"/>
  <c r="AD1746" i="11"/>
  <c r="AD1688" i="11"/>
  <c r="AK1688" i="11"/>
  <c r="AK1756" i="11"/>
  <c r="AD1756" i="11"/>
  <c r="AD1927" i="11"/>
  <c r="AK1927" i="11"/>
  <c r="AD2060" i="11"/>
  <c r="AK2060" i="11"/>
  <c r="AD1896" i="11"/>
  <c r="AK1896" i="11"/>
  <c r="AD2303" i="11"/>
  <c r="AK2303" i="11"/>
  <c r="AD1840" i="11"/>
  <c r="AK1840" i="11"/>
  <c r="AD1959" i="11"/>
  <c r="AK1959" i="11"/>
  <c r="AD1803" i="11"/>
  <c r="AK1803" i="11"/>
  <c r="AD2006" i="11"/>
  <c r="AK2006" i="11"/>
  <c r="AC1847" i="11"/>
  <c r="AD1847" i="11" s="1"/>
  <c r="AD1849" i="11"/>
  <c r="AK1849" i="11"/>
  <c r="AD1955" i="11"/>
  <c r="AK1955" i="11"/>
  <c r="AK1876" i="11"/>
  <c r="AD1876" i="11"/>
  <c r="AD1995" i="11"/>
  <c r="AK1995" i="11"/>
  <c r="AD1812" i="11"/>
  <c r="AK1812" i="11"/>
  <c r="AD1917" i="11"/>
  <c r="AK1917" i="11"/>
  <c r="AK2024" i="11"/>
  <c r="AD2024" i="11"/>
  <c r="AD2064" i="11"/>
  <c r="AK2064" i="11"/>
  <c r="AK2225" i="11"/>
  <c r="AD2225" i="11"/>
  <c r="AC2320" i="11"/>
  <c r="AD2320" i="11" s="1"/>
  <c r="AK2322" i="11"/>
  <c r="AD2322" i="11"/>
  <c r="AK2151" i="11"/>
  <c r="AD2151" i="11"/>
  <c r="AK2207" i="11"/>
  <c r="AD2207" i="11"/>
  <c r="AD2545" i="11"/>
  <c r="AK2545" i="11"/>
  <c r="AD2169" i="11"/>
  <c r="AK2169" i="11"/>
  <c r="AP2169" i="11" s="1"/>
  <c r="AK2353" i="11"/>
  <c r="AD2353" i="11"/>
  <c r="AD2112" i="11"/>
  <c r="AK2112" i="11"/>
  <c r="AD2233" i="11"/>
  <c r="AK2233" i="11"/>
  <c r="AK2541" i="11"/>
  <c r="AD2541" i="11"/>
  <c r="AK2096" i="11"/>
  <c r="AD2096" i="11"/>
  <c r="AK2187" i="11"/>
  <c r="AD2187" i="11"/>
  <c r="AD2283" i="11"/>
  <c r="AK2283" i="11"/>
  <c r="AD2361" i="11"/>
  <c r="AK2361" i="11"/>
  <c r="AK2155" i="11"/>
  <c r="AD2155" i="11"/>
  <c r="AK2279" i="11"/>
  <c r="AD2279" i="11"/>
  <c r="AD2473" i="11"/>
  <c r="AK2473" i="11"/>
  <c r="AD2330" i="11"/>
  <c r="AK2330" i="11"/>
  <c r="AD2704" i="11"/>
  <c r="AK2704" i="11"/>
  <c r="AK2702" i="11"/>
  <c r="AD2702" i="11"/>
  <c r="AD2647" i="11"/>
  <c r="AK2647" i="11"/>
  <c r="AD2483" i="11"/>
  <c r="AK2483" i="11"/>
  <c r="AD2435" i="11"/>
  <c r="AK2435" i="11"/>
  <c r="AD2443" i="11"/>
  <c r="AK2443" i="11"/>
  <c r="AK2730" i="11"/>
  <c r="AD2730" i="11"/>
  <c r="AD2523" i="11"/>
  <c r="AK2523" i="11"/>
  <c r="AD2633" i="11"/>
  <c r="AK2633" i="11"/>
  <c r="AD2595" i="11"/>
  <c r="AK2595" i="11"/>
  <c r="AK2505" i="11"/>
  <c r="AD2505" i="11"/>
  <c r="AK2565" i="11"/>
  <c r="AC2563" i="11"/>
  <c r="AD2565" i="11"/>
  <c r="AD2657" i="11"/>
  <c r="AK2657" i="11"/>
  <c r="AD2611" i="11"/>
  <c r="AK2611" i="11"/>
  <c r="AC2609" i="11"/>
  <c r="AD2591" i="11"/>
  <c r="AK2591" i="11"/>
  <c r="AD2784" i="11"/>
  <c r="AK2784" i="11"/>
  <c r="AC2738" i="11"/>
  <c r="AD2738" i="11" s="1"/>
  <c r="AK2740" i="11"/>
  <c r="AD2740" i="11"/>
  <c r="AD2726" i="11"/>
  <c r="AK2726" i="11"/>
  <c r="AD2884" i="11"/>
  <c r="AK2884" i="11"/>
  <c r="AD2716" i="11"/>
  <c r="AK2716" i="11"/>
  <c r="AK2752" i="11"/>
  <c r="AP2752" i="11" s="1"/>
  <c r="AD2752" i="11"/>
  <c r="AD2906" i="11"/>
  <c r="AK2906" i="11"/>
  <c r="AD2724" i="11"/>
  <c r="AK2724" i="11"/>
  <c r="AD2788" i="11"/>
  <c r="AK2788" i="11"/>
  <c r="AK2744" i="11"/>
  <c r="AD2744" i="11"/>
  <c r="AD2890" i="11"/>
  <c r="AK2890" i="11"/>
  <c r="AD2848" i="11"/>
  <c r="AK2848" i="11"/>
  <c r="AD3004" i="11"/>
  <c r="AK3004" i="11"/>
  <c r="AD2892" i="11"/>
  <c r="AK2892" i="11"/>
  <c r="AD2898" i="11"/>
  <c r="AK2898" i="11"/>
  <c r="AD3105" i="11"/>
  <c r="AK3105" i="11"/>
  <c r="AD3058" i="11"/>
  <c r="AK3058" i="11"/>
  <c r="AK2964" i="11"/>
  <c r="AD2964" i="11"/>
  <c r="AD3113" i="11"/>
  <c r="AK3113" i="11"/>
  <c r="AD3073" i="11"/>
  <c r="AK3073" i="11"/>
  <c r="AK2988" i="11"/>
  <c r="AD2988" i="11"/>
  <c r="AD3067" i="11"/>
  <c r="AK3067" i="11"/>
  <c r="AK2972" i="11"/>
  <c r="AD2972" i="11"/>
  <c r="AK3139" i="11"/>
  <c r="AD3139" i="11"/>
  <c r="AK3305" i="11"/>
  <c r="AD3305" i="11"/>
  <c r="AD3189" i="11"/>
  <c r="AK3189" i="11"/>
  <c r="AK3297" i="11"/>
  <c r="AD3297" i="11"/>
  <c r="AD3159" i="11"/>
  <c r="AK3159" i="11"/>
  <c r="AD3313" i="11"/>
  <c r="AK3313" i="11"/>
  <c r="AD3195" i="11"/>
  <c r="AK3195" i="11"/>
  <c r="AK3191" i="11"/>
  <c r="AD3191" i="11"/>
  <c r="AD3274" i="11"/>
  <c r="AK3274" i="11"/>
  <c r="AK3177" i="11"/>
  <c r="AD3177" i="11"/>
  <c r="AD3121" i="11"/>
  <c r="AK3121" i="11"/>
  <c r="AD3213" i="11"/>
  <c r="AK3213" i="11"/>
  <c r="AD188" i="11"/>
  <c r="AK188" i="11"/>
  <c r="AD152" i="11"/>
  <c r="AK152" i="11"/>
  <c r="AD128" i="11"/>
  <c r="AK128" i="11"/>
  <c r="AK270" i="11"/>
  <c r="AD270" i="11"/>
  <c r="AK444" i="11"/>
  <c r="AD444" i="11"/>
  <c r="AD206" i="11"/>
  <c r="AK206" i="11"/>
  <c r="AK60" i="11"/>
  <c r="AD60" i="11"/>
  <c r="AK150" i="11"/>
  <c r="AD150" i="11"/>
  <c r="AD224" i="11"/>
  <c r="AK224" i="11"/>
  <c r="AK294" i="11"/>
  <c r="AD294" i="11"/>
  <c r="AK458" i="11"/>
  <c r="AD458" i="11"/>
  <c r="AD220" i="11"/>
  <c r="AK220" i="11"/>
  <c r="AD377" i="11"/>
  <c r="AK377" i="11"/>
  <c r="AK86" i="11"/>
  <c r="AD86" i="11"/>
  <c r="AD192" i="11"/>
  <c r="AK192" i="11"/>
  <c r="AD306" i="11"/>
  <c r="AK306" i="11"/>
  <c r="AD26" i="11"/>
  <c r="AK26" i="11"/>
  <c r="AD110" i="11"/>
  <c r="AK110" i="11"/>
  <c r="AD212" i="11"/>
  <c r="AK212" i="11"/>
  <c r="AD92" i="11"/>
  <c r="AK92" i="11"/>
  <c r="AD88" i="11"/>
  <c r="AK88" i="11"/>
  <c r="AK240" i="11"/>
  <c r="AD240" i="11"/>
  <c r="AK324" i="11"/>
  <c r="AD324" i="11"/>
  <c r="AD498" i="11"/>
  <c r="AK498" i="11"/>
  <c r="AK571" i="11"/>
  <c r="AD571" i="11"/>
  <c r="AD384" i="11"/>
  <c r="AK384" i="11"/>
  <c r="AK500" i="11"/>
  <c r="AD500" i="11"/>
  <c r="AK436" i="11"/>
  <c r="AD436" i="11"/>
  <c r="AK581" i="11"/>
  <c r="AP581" i="11" s="1"/>
  <c r="AD581" i="11"/>
  <c r="AK482" i="11"/>
  <c r="AD482" i="11"/>
  <c r="AD420" i="11"/>
  <c r="AK420" i="11"/>
  <c r="AD535" i="11"/>
  <c r="AK535" i="11"/>
  <c r="AC533" i="11"/>
  <c r="AD533" i="11" s="1"/>
  <c r="AD432" i="11"/>
  <c r="AK432" i="11"/>
  <c r="AD684" i="11"/>
  <c r="AK684" i="11"/>
  <c r="AD472" i="11"/>
  <c r="AK472" i="11"/>
  <c r="AK595" i="11"/>
  <c r="AD595" i="11"/>
  <c r="AK514" i="11"/>
  <c r="AD514" i="11"/>
  <c r="AP649" i="11"/>
  <c r="AK811" i="11"/>
  <c r="AD811" i="11"/>
  <c r="AD1547" i="11"/>
  <c r="AK1547" i="11"/>
  <c r="AK777" i="11"/>
  <c r="AD777" i="11"/>
  <c r="AK627" i="11"/>
  <c r="AD627" i="11"/>
  <c r="AK753" i="11"/>
  <c r="AD753" i="11"/>
  <c r="AK1011" i="11"/>
  <c r="AP1011" i="11" s="1"/>
  <c r="AD1011" i="11"/>
  <c r="AD551" i="11"/>
  <c r="AK551" i="11"/>
  <c r="AD688" i="11"/>
  <c r="AK688" i="11"/>
  <c r="AK771" i="11"/>
  <c r="AD771" i="11"/>
  <c r="AK961" i="11"/>
  <c r="AD961" i="11"/>
  <c r="AD629" i="11"/>
  <c r="AK629" i="11"/>
  <c r="AD751" i="11"/>
  <c r="AK751" i="11"/>
  <c r="AD1066" i="11"/>
  <c r="AK1066" i="11"/>
  <c r="AK747" i="11"/>
  <c r="AD747" i="11"/>
  <c r="AK957" i="11"/>
  <c r="AD957" i="11"/>
  <c r="AK898" i="11"/>
  <c r="AD898" i="11"/>
  <c r="AD1095" i="11"/>
  <c r="AK1095" i="11"/>
  <c r="AD869" i="11"/>
  <c r="AK869" i="11"/>
  <c r="AK943" i="11"/>
  <c r="AC941" i="11"/>
  <c r="AD941" i="11" s="1"/>
  <c r="AD943" i="11"/>
  <c r="AD1146" i="11"/>
  <c r="AK1146" i="11"/>
  <c r="AD908" i="11"/>
  <c r="AK908" i="11"/>
  <c r="AK987" i="11"/>
  <c r="AD987" i="11"/>
  <c r="AK1229" i="11"/>
  <c r="AD1229" i="11"/>
  <c r="AD1074" i="11"/>
  <c r="AK1074" i="11"/>
  <c r="AD1345" i="11"/>
  <c r="AK1345" i="11"/>
  <c r="AD881" i="11"/>
  <c r="AK881" i="11"/>
  <c r="AD1099" i="11"/>
  <c r="AK1099" i="11"/>
  <c r="AD1174" i="11"/>
  <c r="AK1174" i="11"/>
  <c r="AD1382" i="11"/>
  <c r="AK1382" i="11"/>
  <c r="AD934" i="11"/>
  <c r="AK934" i="11"/>
  <c r="AD1042" i="11"/>
  <c r="AK1042" i="11"/>
  <c r="AD1138" i="11"/>
  <c r="AK1138" i="11"/>
  <c r="AK1237" i="11"/>
  <c r="AD1237" i="11"/>
  <c r="AC1362" i="11"/>
  <c r="AD1362" i="11" s="1"/>
  <c r="AK1364" i="11"/>
  <c r="AD1364" i="11"/>
  <c r="AK1543" i="11"/>
  <c r="AD1543" i="11"/>
  <c r="AD1105" i="11"/>
  <c r="AK1105" i="11"/>
  <c r="AD1178" i="11"/>
  <c r="AK1178" i="11"/>
  <c r="AK1285" i="11"/>
  <c r="AP1285" i="11" s="1"/>
  <c r="AD1285" i="11"/>
  <c r="AD1398" i="11"/>
  <c r="AK1398" i="11"/>
  <c r="AD1140" i="11"/>
  <c r="AK1140" i="11"/>
  <c r="AK1301" i="11"/>
  <c r="AD1301" i="11"/>
  <c r="AD1430" i="11"/>
  <c r="AK1430" i="11"/>
  <c r="AD1359" i="11"/>
  <c r="AK1359" i="11"/>
  <c r="AK1030" i="11"/>
  <c r="AD1030" i="11"/>
  <c r="AD1231" i="11"/>
  <c r="AK1231" i="11"/>
  <c r="AP1231" i="11" s="1"/>
  <c r="AD1325" i="11"/>
  <c r="AK1325" i="11"/>
  <c r="AK1283" i="11"/>
  <c r="AD1283" i="11"/>
  <c r="AD1478" i="11"/>
  <c r="AK1478" i="11"/>
  <c r="AD1486" i="11"/>
  <c r="AK1486" i="11"/>
  <c r="AD1690" i="11"/>
  <c r="AK1690" i="11"/>
  <c r="AK1490" i="11"/>
  <c r="AD1490" i="11"/>
  <c r="AK1632" i="11"/>
  <c r="AD1632" i="11"/>
  <c r="AC1630" i="11"/>
  <c r="AD1630" i="11" s="1"/>
  <c r="AD1742" i="11"/>
  <c r="AK1742" i="11"/>
  <c r="AK1500" i="11"/>
  <c r="AD1500" i="11"/>
  <c r="AD1591" i="11"/>
  <c r="AK1591" i="11"/>
  <c r="AD1686" i="11"/>
  <c r="AK1686" i="11"/>
  <c r="AK1565" i="11"/>
  <c r="AD1565" i="11"/>
  <c r="AK1557" i="11"/>
  <c r="AD1557" i="11"/>
  <c r="AD1734" i="11"/>
  <c r="AK1734" i="11"/>
  <c r="AD1396" i="11"/>
  <c r="AK1396" i="11"/>
  <c r="AK1488" i="11"/>
  <c r="AD1488" i="11"/>
  <c r="AD1613" i="11"/>
  <c r="AK1613" i="11"/>
  <c r="AD1520" i="11"/>
  <c r="AK1520" i="11"/>
  <c r="AK1640" i="11"/>
  <c r="AD1640" i="11"/>
  <c r="AD1752" i="11"/>
  <c r="AK1752" i="11"/>
  <c r="AD1708" i="11"/>
  <c r="AK1708" i="11"/>
  <c r="AK1789" i="11"/>
  <c r="AD1789" i="11"/>
  <c r="AD1931" i="11"/>
  <c r="AK1931" i="11"/>
  <c r="AK2171" i="11"/>
  <c r="AD2171" i="11"/>
  <c r="AD1941" i="11"/>
  <c r="AK1941" i="11"/>
  <c r="AD1795" i="11"/>
  <c r="AK1795" i="11"/>
  <c r="AD1851" i="11"/>
  <c r="AK1851" i="11"/>
  <c r="AD1967" i="11"/>
  <c r="AK1967" i="11"/>
  <c r="AK1818" i="11"/>
  <c r="AD1818" i="11"/>
  <c r="AD2020" i="11"/>
  <c r="AK2020" i="11"/>
  <c r="AD1855" i="11"/>
  <c r="AK1855" i="11"/>
  <c r="AD2002" i="11"/>
  <c r="AK2002" i="11"/>
  <c r="AK1898" i="11"/>
  <c r="AD1898" i="11"/>
  <c r="AD2030" i="11"/>
  <c r="AK2030" i="11"/>
  <c r="AD1826" i="11"/>
  <c r="AK1826" i="11"/>
  <c r="AD1939" i="11"/>
  <c r="AK1939" i="11"/>
  <c r="AD2090" i="11"/>
  <c r="AK2090" i="11"/>
  <c r="AD2110" i="11"/>
  <c r="AK2110" i="11"/>
  <c r="AK2237" i="11"/>
  <c r="AD2237" i="11"/>
  <c r="AD2335" i="11"/>
  <c r="AK2335" i="11"/>
  <c r="AD2153" i="11"/>
  <c r="AK2153" i="11"/>
  <c r="AD2219" i="11"/>
  <c r="AK2219" i="11"/>
  <c r="AK2022" i="11"/>
  <c r="AD2022" i="11"/>
  <c r="AK2235" i="11"/>
  <c r="AD2235" i="11"/>
  <c r="AD2387" i="11"/>
  <c r="AK2387" i="11"/>
  <c r="AK2124" i="11"/>
  <c r="AD2124" i="11"/>
  <c r="AD2265" i="11"/>
  <c r="AK2265" i="11"/>
  <c r="AK2557" i="11"/>
  <c r="AD2557" i="11"/>
  <c r="AK2108" i="11"/>
  <c r="AD2108" i="11"/>
  <c r="AK2191" i="11"/>
  <c r="AD2191" i="11"/>
  <c r="AC2295" i="11"/>
  <c r="AD2297" i="11"/>
  <c r="AK2297" i="11"/>
  <c r="AD2485" i="11"/>
  <c r="AK2485" i="11"/>
  <c r="AD2181" i="11"/>
  <c r="AK2181" i="11"/>
  <c r="AD2301" i="11"/>
  <c r="AK2301" i="11"/>
  <c r="AD2479" i="11"/>
  <c r="AK2479" i="11"/>
  <c r="AC2393" i="11"/>
  <c r="AD2393" i="11" s="1"/>
  <c r="AK2395" i="11"/>
  <c r="AD2395" i="11"/>
  <c r="AK2710" i="11"/>
  <c r="AD2710" i="11"/>
  <c r="AD2299" i="11"/>
  <c r="AK2299" i="11"/>
  <c r="AK2413" i="11"/>
  <c r="AD2413" i="11"/>
  <c r="AD2501" i="11"/>
  <c r="AK2501" i="11"/>
  <c r="AD2461" i="11"/>
  <c r="AK2461" i="11"/>
  <c r="AD2447" i="11"/>
  <c r="AK2447" i="11"/>
  <c r="AD2445" i="11"/>
  <c r="AK2445" i="11"/>
  <c r="AD2569" i="11"/>
  <c r="AK2569" i="11"/>
  <c r="AD2639" i="11"/>
  <c r="AK2639" i="11"/>
  <c r="AD2641" i="11"/>
  <c r="AK2641" i="11"/>
  <c r="AD2509" i="11"/>
  <c r="AK2509" i="11"/>
  <c r="AD2571" i="11"/>
  <c r="AK2571" i="11"/>
  <c r="AK2667" i="11"/>
  <c r="AD2667" i="11"/>
  <c r="AD2617" i="11"/>
  <c r="AK2617" i="11"/>
  <c r="AK2597" i="11"/>
  <c r="AD2597" i="11"/>
  <c r="AD2519" i="11"/>
  <c r="AK2519" i="11"/>
  <c r="AD2770" i="11"/>
  <c r="AK2770" i="11"/>
  <c r="AC2764" i="11"/>
  <c r="AD2764" i="11" s="1"/>
  <c r="AD2766" i="11"/>
  <c r="AK2766" i="11"/>
  <c r="AK2828" i="11"/>
  <c r="AD2828" i="11"/>
  <c r="AD2746" i="11"/>
  <c r="AK2746" i="11"/>
  <c r="AD2756" i="11"/>
  <c r="AK2756" i="11"/>
  <c r="AD2910" i="11"/>
  <c r="AK2910" i="11"/>
  <c r="AD2732" i="11"/>
  <c r="AK2732" i="11"/>
  <c r="AD2792" i="11"/>
  <c r="AK2792" i="11"/>
  <c r="AD2748" i="11"/>
  <c r="AK2748" i="11"/>
  <c r="AD2900" i="11"/>
  <c r="AK2900" i="11"/>
  <c r="AD2862" i="11"/>
  <c r="AK2862" i="11"/>
  <c r="AD3069" i="11"/>
  <c r="AK3069" i="11"/>
  <c r="AD2908" i="11"/>
  <c r="AK2908" i="11"/>
  <c r="AK2904" i="11"/>
  <c r="AD2904" i="11"/>
  <c r="AK3248" i="11"/>
  <c r="AD3248" i="11"/>
  <c r="AK3077" i="11"/>
  <c r="AD3077" i="11"/>
  <c r="AD2978" i="11"/>
  <c r="AK2978" i="11"/>
  <c r="AK3175" i="11"/>
  <c r="AD3175" i="11"/>
  <c r="AK3179" i="11"/>
  <c r="AP3179" i="11" s="1"/>
  <c r="AD3179" i="11"/>
  <c r="AK2998" i="11"/>
  <c r="AD2998" i="11"/>
  <c r="AD3071" i="11"/>
  <c r="AK3071" i="11"/>
  <c r="AD2980" i="11"/>
  <c r="AK2980" i="11"/>
  <c r="AK3145" i="11"/>
  <c r="AP3145" i="11" s="1"/>
  <c r="AD3145" i="11"/>
  <c r="AK3079" i="11"/>
  <c r="AD3079" i="11"/>
  <c r="AD3197" i="11"/>
  <c r="AK3197" i="11"/>
  <c r="AD3301" i="11"/>
  <c r="AK3301" i="11"/>
  <c r="AD3173" i="11"/>
  <c r="AK3173" i="11"/>
  <c r="AD3085" i="11"/>
  <c r="AK3085" i="11"/>
  <c r="AD3211" i="11"/>
  <c r="AK3211" i="11"/>
  <c r="AK3203" i="11"/>
  <c r="AD3203" i="11"/>
  <c r="AK3279" i="11"/>
  <c r="AD3279" i="11"/>
  <c r="AC3277" i="11"/>
  <c r="AD3277" i="11" s="1"/>
  <c r="AD3187" i="11"/>
  <c r="AK3187" i="11"/>
  <c r="AK3125" i="11"/>
  <c r="AD3125" i="11"/>
  <c r="AD3234" i="11"/>
  <c r="AK3234" i="11"/>
  <c r="AD218" i="11"/>
  <c r="AK218" i="11"/>
  <c r="AK22" i="11"/>
  <c r="AD22" i="11"/>
  <c r="AD166" i="11"/>
  <c r="AK166" i="11"/>
  <c r="AK290" i="11"/>
  <c r="AD290" i="11"/>
  <c r="AD28" i="11"/>
  <c r="AK28" i="11"/>
  <c r="AD214" i="11"/>
  <c r="AK214" i="11"/>
  <c r="AD90" i="11"/>
  <c r="AK90" i="11"/>
  <c r="AD154" i="11"/>
  <c r="AK154" i="11"/>
  <c r="AD228" i="11"/>
  <c r="AK228" i="11"/>
  <c r="AD314" i="11"/>
  <c r="AK314" i="11"/>
  <c r="AD80" i="11"/>
  <c r="AK80" i="11"/>
  <c r="AD236" i="11"/>
  <c r="AK236" i="11"/>
  <c r="AD382" i="11"/>
  <c r="AK382" i="11"/>
  <c r="AC380" i="11"/>
  <c r="AD380" i="11" s="1"/>
  <c r="AD160" i="11"/>
  <c r="AK160" i="11"/>
  <c r="AD200" i="11"/>
  <c r="AK200" i="11"/>
  <c r="AK316" i="11"/>
  <c r="AD316" i="11"/>
  <c r="AD98" i="11"/>
  <c r="AK98" i="11"/>
  <c r="AD56" i="11"/>
  <c r="AK56" i="11"/>
  <c r="AD234" i="11"/>
  <c r="AC232" i="11"/>
  <c r="AD232" i="11" s="1"/>
  <c r="AK234" i="11"/>
  <c r="AK140" i="11"/>
  <c r="AD140" i="11"/>
  <c r="AK94" i="11"/>
  <c r="AD94" i="11"/>
  <c r="AD246" i="11"/>
  <c r="AK246" i="11"/>
  <c r="AD330" i="11"/>
  <c r="AK330" i="11"/>
  <c r="AD414" i="11"/>
  <c r="AK414" i="11"/>
  <c r="AC412" i="11"/>
  <c r="AK577" i="11"/>
  <c r="AD577" i="11"/>
  <c r="AD388" i="11"/>
  <c r="AK388" i="11"/>
  <c r="AK506" i="11"/>
  <c r="AD506" i="11"/>
  <c r="AD440" i="11"/>
  <c r="AK440" i="11"/>
  <c r="AK585" i="11"/>
  <c r="AD585" i="11"/>
  <c r="AK621" i="11"/>
  <c r="AP621" i="11" s="1"/>
  <c r="AD621" i="11"/>
  <c r="AD426" i="11"/>
  <c r="AK426" i="11"/>
  <c r="AD541" i="11"/>
  <c r="AK541" i="11"/>
  <c r="AD478" i="11"/>
  <c r="AK478" i="11"/>
  <c r="AK686" i="11"/>
  <c r="AD686" i="11"/>
  <c r="AD512" i="11"/>
  <c r="AK512" i="11"/>
  <c r="AD623" i="11"/>
  <c r="AK623" i="11"/>
  <c r="AK520" i="11"/>
  <c r="AD520" i="11"/>
  <c r="AK672" i="11"/>
  <c r="AD672" i="11"/>
  <c r="AK819" i="11"/>
  <c r="AD819" i="11"/>
  <c r="AD682" i="11"/>
  <c r="AK682" i="11"/>
  <c r="AD789" i="11"/>
  <c r="AK789" i="11"/>
  <c r="AK637" i="11"/>
  <c r="AD637" i="11"/>
  <c r="AC781" i="11"/>
  <c r="AD781" i="11" s="1"/>
  <c r="AK783" i="11"/>
  <c r="AD783" i="11"/>
  <c r="AD1058" i="11"/>
  <c r="AK1058" i="11"/>
  <c r="AK573" i="11"/>
  <c r="AD573" i="11"/>
  <c r="AD694" i="11"/>
  <c r="AK694" i="11"/>
  <c r="AD807" i="11"/>
  <c r="AK807" i="11"/>
  <c r="AD1091" i="11"/>
  <c r="AK1091" i="11"/>
  <c r="AD639" i="11"/>
  <c r="AK639" i="11"/>
  <c r="AD765" i="11"/>
  <c r="AK765" i="11"/>
  <c r="AK607" i="11"/>
  <c r="AD607" i="11"/>
  <c r="AK759" i="11"/>
  <c r="AD759" i="11"/>
  <c r="AD1052" i="11"/>
  <c r="AK1052" i="11"/>
  <c r="AK904" i="11"/>
  <c r="AD904" i="11"/>
  <c r="AD1223" i="11"/>
  <c r="AK1223" i="11"/>
  <c r="AP1223" i="11" s="1"/>
  <c r="AK871" i="11"/>
  <c r="AD871" i="11"/>
  <c r="AK959" i="11"/>
  <c r="AD959" i="11"/>
  <c r="AK1227" i="11"/>
  <c r="AD1227" i="11"/>
  <c r="AD916" i="11"/>
  <c r="AK916" i="11"/>
  <c r="AK1005" i="11"/>
  <c r="AD1005" i="11"/>
  <c r="AD1279" i="11"/>
  <c r="AK1279" i="11"/>
  <c r="AD1107" i="11"/>
  <c r="AK1107" i="11"/>
  <c r="AK1347" i="11"/>
  <c r="AD1347" i="11"/>
  <c r="AD894" i="11"/>
  <c r="AK894" i="11"/>
  <c r="AD1109" i="11"/>
  <c r="AK1109" i="11"/>
  <c r="AD1180" i="11"/>
  <c r="AK1180" i="11"/>
  <c r="AK1422" i="11"/>
  <c r="AD1422" i="11"/>
  <c r="AK951" i="11"/>
  <c r="AD951" i="11"/>
  <c r="AK1089" i="11"/>
  <c r="AD1089" i="11"/>
  <c r="AD1154" i="11"/>
  <c r="AK1154" i="11"/>
  <c r="AK1241" i="11"/>
  <c r="AD1241" i="11"/>
  <c r="AD1368" i="11"/>
  <c r="AK1368" i="11"/>
  <c r="AD1553" i="11"/>
  <c r="AK1553" i="11"/>
  <c r="AD1111" i="11"/>
  <c r="AK1111" i="11"/>
  <c r="AD1186" i="11"/>
  <c r="AK1186" i="11"/>
  <c r="AD1319" i="11"/>
  <c r="AK1319" i="11"/>
  <c r="AK1410" i="11"/>
  <c r="AD1410" i="11"/>
  <c r="AD1156" i="11"/>
  <c r="AK1156" i="11"/>
  <c r="AK1307" i="11"/>
  <c r="AD1307" i="11"/>
  <c r="AD1450" i="11"/>
  <c r="AK1450" i="11"/>
  <c r="AC1448" i="11"/>
  <c r="AD1418" i="11"/>
  <c r="AK1418" i="11"/>
  <c r="AD1048" i="11"/>
  <c r="AK1048" i="11"/>
  <c r="AK1235" i="11"/>
  <c r="AD1235" i="11"/>
  <c r="AK1331" i="11"/>
  <c r="AD1331" i="11"/>
  <c r="AD1287" i="11"/>
  <c r="AK1287" i="11"/>
  <c r="AK1498" i="11"/>
  <c r="AD1498" i="11"/>
  <c r="AK1508" i="11"/>
  <c r="AD1508" i="11"/>
  <c r="AD1704" i="11"/>
  <c r="AK1704" i="11"/>
  <c r="AK1504" i="11"/>
  <c r="AD1504" i="11"/>
  <c r="AD1636" i="11"/>
  <c r="AK1636" i="11"/>
  <c r="AD1762" i="11"/>
  <c r="AK1762" i="11"/>
  <c r="AD1510" i="11"/>
  <c r="AK1510" i="11"/>
  <c r="AK1595" i="11"/>
  <c r="AD1595" i="11"/>
  <c r="AD1692" i="11"/>
  <c r="AK1692" i="11"/>
  <c r="AD1583" i="11"/>
  <c r="AK1583" i="11"/>
  <c r="AD1575" i="11"/>
  <c r="AK1575" i="11"/>
  <c r="AD1750" i="11"/>
  <c r="AK1750" i="11"/>
  <c r="AD1400" i="11"/>
  <c r="AK1400" i="11"/>
  <c r="AK1506" i="11"/>
  <c r="AD1506" i="11"/>
  <c r="AD1646" i="11"/>
  <c r="AK1646" i="11"/>
  <c r="AD1533" i="11"/>
  <c r="AK1533" i="11"/>
  <c r="AD1650" i="11"/>
  <c r="AK1650" i="11"/>
  <c r="AD1775" i="11"/>
  <c r="AC1773" i="11"/>
  <c r="AK1775" i="11"/>
  <c r="AK1712" i="11"/>
  <c r="AD1712" i="11"/>
  <c r="AD1799" i="11"/>
  <c r="AK1799" i="11"/>
  <c r="AK1945" i="11"/>
  <c r="AD1945" i="11"/>
  <c r="AK1777" i="11"/>
  <c r="AD1777" i="11"/>
  <c r="AD1979" i="11"/>
  <c r="AK1979" i="11"/>
  <c r="AC1806" i="11"/>
  <c r="AD1806" i="11" s="1"/>
  <c r="AD1808" i="11"/>
  <c r="AK1808" i="11"/>
  <c r="AD1857" i="11"/>
  <c r="AK1857" i="11"/>
  <c r="AK1975" i="11"/>
  <c r="AD1975" i="11"/>
  <c r="AK1878" i="11"/>
  <c r="AD1878" i="11"/>
  <c r="AK2028" i="11"/>
  <c r="AD2028" i="11"/>
  <c r="AK1862" i="11"/>
  <c r="AD1862" i="11"/>
  <c r="AC1860" i="11"/>
  <c r="AD1860" i="11" s="1"/>
  <c r="AK2012" i="11"/>
  <c r="AD2012" i="11"/>
  <c r="AD1925" i="11"/>
  <c r="AK1925" i="11"/>
  <c r="AD2056" i="11"/>
  <c r="AK2056" i="11"/>
  <c r="AD1830" i="11"/>
  <c r="AK1830" i="11"/>
  <c r="AP1830" i="11" s="1"/>
  <c r="AD1961" i="11"/>
  <c r="AK1961" i="11"/>
  <c r="AD2165" i="11"/>
  <c r="AK2165" i="11"/>
  <c r="AK2120" i="11"/>
  <c r="AD2120" i="11"/>
  <c r="AK2241" i="11"/>
  <c r="AD2241" i="11"/>
  <c r="AC2333" i="11"/>
  <c r="AD2333" i="11" s="1"/>
  <c r="AK2337" i="11"/>
  <c r="AD2337" i="11"/>
  <c r="AD2159" i="11"/>
  <c r="AK2159" i="11"/>
  <c r="AD2229" i="11"/>
  <c r="AK2229" i="11"/>
  <c r="AD2036" i="11"/>
  <c r="AK2036" i="11"/>
  <c r="AD2245" i="11"/>
  <c r="AK2245" i="11"/>
  <c r="AD2465" i="11"/>
  <c r="AK2465" i="11"/>
  <c r="AD2135" i="11"/>
  <c r="AK2135" i="11"/>
  <c r="AD2277" i="11"/>
  <c r="AK2277" i="11"/>
  <c r="AD2040" i="11"/>
  <c r="AK2040" i="11"/>
  <c r="AK2129" i="11"/>
  <c r="AC2127" i="11"/>
  <c r="AD2127" i="11" s="1"/>
  <c r="AD2129" i="11"/>
  <c r="AK2195" i="11"/>
  <c r="AD2195" i="11"/>
  <c r="AK2341" i="11"/>
  <c r="AP2341" i="11" s="1"/>
  <c r="AD2341" i="11"/>
  <c r="AC2672" i="11"/>
  <c r="AD2672" i="11" s="1"/>
  <c r="AD2674" i="11"/>
  <c r="AK2674" i="11"/>
  <c r="AD2209" i="11"/>
  <c r="AK2209" i="11"/>
  <c r="AD2307" i="11"/>
  <c r="AK2307" i="11"/>
  <c r="AK2497" i="11"/>
  <c r="AD2497" i="11"/>
  <c r="AD2411" i="11"/>
  <c r="AK2411" i="11"/>
  <c r="AD2441" i="11"/>
  <c r="AK2441" i="11"/>
  <c r="AK2313" i="11"/>
  <c r="AD2313" i="11"/>
  <c r="AD2419" i="11"/>
  <c r="AK2419" i="11"/>
  <c r="AK2551" i="11"/>
  <c r="AD2551" i="11"/>
  <c r="AD2529" i="11"/>
  <c r="AK2529" i="11"/>
  <c r="AC2527" i="11"/>
  <c r="AD2527" i="11" s="1"/>
  <c r="AK2471" i="11"/>
  <c r="AD2471" i="11"/>
  <c r="AD2463" i="11"/>
  <c r="AK2463" i="11"/>
  <c r="AD2575" i="11"/>
  <c r="AK2575" i="11"/>
  <c r="AD2692" i="11"/>
  <c r="AK2692" i="11"/>
  <c r="AD2655" i="11"/>
  <c r="AK2655" i="11"/>
  <c r="AD2517" i="11"/>
  <c r="AK2517" i="11"/>
  <c r="AD2577" i="11"/>
  <c r="AK2577" i="11"/>
  <c r="AK2678" i="11"/>
  <c r="AD2678" i="11"/>
  <c r="AK2643" i="11"/>
  <c r="AD2643" i="11"/>
  <c r="AD2625" i="11"/>
  <c r="AK2625" i="11"/>
  <c r="AD2613" i="11"/>
  <c r="AK2613" i="11"/>
  <c r="AK2772" i="11"/>
  <c r="AD2772" i="11"/>
  <c r="AD2790" i="11"/>
  <c r="AK2790" i="11"/>
  <c r="AK2836" i="11"/>
  <c r="AD2836" i="11"/>
  <c r="AC2814" i="11"/>
  <c r="AD2814" i="11" s="1"/>
  <c r="AD2820" i="11"/>
  <c r="AK2820" i="11"/>
  <c r="AK2780" i="11"/>
  <c r="AD2780" i="11"/>
  <c r="AD2920" i="11"/>
  <c r="AK2920" i="11"/>
  <c r="AK2742" i="11"/>
  <c r="AD2742" i="11"/>
  <c r="AD2800" i="11"/>
  <c r="AK2800" i="11"/>
  <c r="AD2782" i="11"/>
  <c r="AK2782" i="11"/>
  <c r="AD2914" i="11"/>
  <c r="AK2914" i="11"/>
  <c r="AD2876" i="11"/>
  <c r="AK2876" i="11"/>
  <c r="AK2916" i="11"/>
  <c r="AD2916" i="11"/>
  <c r="AD2912" i="11"/>
  <c r="AK2912" i="11"/>
  <c r="AD2924" i="11"/>
  <c r="AK2924" i="11"/>
  <c r="AK2968" i="11"/>
  <c r="AD2968" i="11"/>
  <c r="AD3087" i="11"/>
  <c r="AK3087" i="11"/>
  <c r="AD2986" i="11"/>
  <c r="AK2986" i="11"/>
  <c r="AD3281" i="11"/>
  <c r="AK3281" i="11"/>
  <c r="AD3044" i="11"/>
  <c r="AK3044" i="11"/>
  <c r="AK3014" i="11"/>
  <c r="AD3014" i="11"/>
  <c r="AK3081" i="11"/>
  <c r="AD3081" i="11"/>
  <c r="AD2994" i="11"/>
  <c r="AK2994" i="11"/>
  <c r="AD3209" i="11"/>
  <c r="AK3209" i="11"/>
  <c r="AK3083" i="11"/>
  <c r="AD3083" i="11"/>
  <c r="AD3201" i="11"/>
  <c r="AK3201" i="11"/>
  <c r="AD3317" i="11"/>
  <c r="AK3317" i="11"/>
  <c r="AK3181" i="11"/>
  <c r="AD3181" i="11"/>
  <c r="AK3089" i="11"/>
  <c r="AD3089" i="11"/>
  <c r="AD3311" i="11"/>
  <c r="AC3309" i="11"/>
  <c r="AD3309" i="11" s="1"/>
  <c r="AK3311" i="11"/>
  <c r="AD3207" i="11"/>
  <c r="AK3207" i="11"/>
  <c r="AD3283" i="11"/>
  <c r="AK3283" i="11"/>
  <c r="AD3217" i="11"/>
  <c r="AK3217" i="11"/>
  <c r="AD3171" i="11"/>
  <c r="AK3171" i="11"/>
  <c r="AK3272" i="11"/>
  <c r="AD3272" i="11"/>
  <c r="AK252" i="11"/>
  <c r="AD252" i="11"/>
  <c r="AD34" i="11"/>
  <c r="AK34" i="11"/>
  <c r="AD210" i="11"/>
  <c r="AK210" i="11"/>
  <c r="AK296" i="11"/>
  <c r="AD296" i="11"/>
  <c r="AD78" i="11"/>
  <c r="AK78" i="11"/>
  <c r="AK276" i="11"/>
  <c r="AD276" i="11"/>
  <c r="AD120" i="11"/>
  <c r="AK120" i="11"/>
  <c r="AD170" i="11"/>
  <c r="AK170" i="11"/>
  <c r="AK244" i="11"/>
  <c r="AD244" i="11"/>
  <c r="AD320" i="11"/>
  <c r="AK320" i="11"/>
  <c r="AD84" i="11"/>
  <c r="AK84" i="11"/>
  <c r="AK268" i="11"/>
  <c r="AD268" i="11"/>
  <c r="AK50" i="11"/>
  <c r="AD50" i="11"/>
  <c r="AD46" i="11"/>
  <c r="AK46" i="11"/>
  <c r="AD204" i="11"/>
  <c r="AK204" i="11"/>
  <c r="AD322" i="11"/>
  <c r="AK322" i="11"/>
  <c r="AK106" i="11"/>
  <c r="AD106" i="11"/>
  <c r="AD126" i="11"/>
  <c r="AK126" i="11"/>
  <c r="AD242" i="11"/>
  <c r="AK242" i="11"/>
  <c r="AD30" i="11"/>
  <c r="AK30" i="11"/>
  <c r="AD96" i="11"/>
  <c r="AK96" i="11"/>
  <c r="AK266" i="11"/>
  <c r="AD266" i="11"/>
  <c r="AD336" i="11"/>
  <c r="AK336" i="11"/>
  <c r="AD418" i="11"/>
  <c r="AK418" i="11"/>
  <c r="AK656" i="11"/>
  <c r="AD656" i="11"/>
  <c r="AD424" i="11"/>
  <c r="AK424" i="11"/>
  <c r="AK516" i="11"/>
  <c r="AD516" i="11"/>
  <c r="AK460" i="11"/>
  <c r="AD460" i="11"/>
  <c r="AD615" i="11"/>
  <c r="AK615" i="11"/>
  <c r="AD633" i="11"/>
  <c r="AK633" i="11"/>
  <c r="AK442" i="11"/>
  <c r="AD442" i="11"/>
  <c r="AD733" i="11"/>
  <c r="AK733" i="11"/>
  <c r="AD496" i="11"/>
  <c r="AK496" i="11"/>
  <c r="AD743" i="11"/>
  <c r="AK743" i="11"/>
  <c r="AD524" i="11"/>
  <c r="AK524" i="11"/>
  <c r="AK654" i="11"/>
  <c r="AC652" i="11"/>
  <c r="AD652" i="11" s="1"/>
  <c r="AD654" i="11"/>
  <c r="AD543" i="11"/>
  <c r="AK543" i="11"/>
  <c r="AK678" i="11"/>
  <c r="AD678" i="11"/>
  <c r="AD835" i="11"/>
  <c r="AK835" i="11"/>
  <c r="AK692" i="11"/>
  <c r="AD692" i="11"/>
  <c r="AD813" i="11"/>
  <c r="AK813" i="11"/>
  <c r="AK643" i="11"/>
  <c r="AD643" i="11"/>
  <c r="AK795" i="11"/>
  <c r="AD795" i="11"/>
  <c r="AK474" i="11"/>
  <c r="AD474" i="11"/>
  <c r="AD591" i="11"/>
  <c r="AK591" i="11"/>
  <c r="AD700" i="11"/>
  <c r="AK700" i="11"/>
  <c r="AK829" i="11"/>
  <c r="AD829" i="11"/>
  <c r="AK553" i="11"/>
  <c r="AD553" i="11"/>
  <c r="AK645" i="11"/>
  <c r="AD645" i="11"/>
  <c r="AD791" i="11"/>
  <c r="AK791" i="11"/>
  <c r="AK611" i="11"/>
  <c r="AD611" i="11"/>
  <c r="AK769" i="11"/>
  <c r="AD769" i="11"/>
  <c r="AK1136" i="11"/>
  <c r="AD1136" i="11"/>
  <c r="AK938" i="11"/>
  <c r="AD938" i="11"/>
  <c r="AK1273" i="11"/>
  <c r="AD1273" i="11"/>
  <c r="AK890" i="11"/>
  <c r="AD890" i="11"/>
  <c r="AK981" i="11"/>
  <c r="AD981" i="11"/>
  <c r="AK1293" i="11"/>
  <c r="AP1293" i="11" s="1"/>
  <c r="AD1293" i="11"/>
  <c r="AD918" i="11"/>
  <c r="AK918" i="11"/>
  <c r="AK1009" i="11"/>
  <c r="AD1009" i="11"/>
  <c r="AK1281" i="11"/>
  <c r="AD1281" i="11"/>
  <c r="AD1213" i="11"/>
  <c r="AK1213" i="11"/>
  <c r="AD1386" i="11"/>
  <c r="AK1386" i="11"/>
  <c r="AK932" i="11"/>
  <c r="AD932" i="11"/>
  <c r="AD1130" i="11"/>
  <c r="AK1130" i="11"/>
  <c r="AC1128" i="11"/>
  <c r="AD1182" i="11"/>
  <c r="AK1182" i="11"/>
  <c r="AD815" i="11"/>
  <c r="AK815" i="11"/>
  <c r="AK967" i="11"/>
  <c r="AD967" i="11"/>
  <c r="AD1132" i="11"/>
  <c r="AK1132" i="11"/>
  <c r="AD1160" i="11"/>
  <c r="AK1160" i="11"/>
  <c r="AK1265" i="11"/>
  <c r="AD1265" i="11"/>
  <c r="AK1378" i="11"/>
  <c r="AD1378" i="11"/>
  <c r="AD1555" i="11"/>
  <c r="AK1555" i="11"/>
  <c r="AD1121" i="11"/>
  <c r="AK1121" i="11"/>
  <c r="AD1194" i="11"/>
  <c r="AK1194" i="11"/>
  <c r="AK1323" i="11"/>
  <c r="AD1323" i="11"/>
  <c r="AD1428" i="11"/>
  <c r="AK1428" i="11"/>
  <c r="AD1211" i="11"/>
  <c r="AK1211" i="11"/>
  <c r="AD1311" i="11"/>
  <c r="AK1311" i="11"/>
  <c r="AK1460" i="11"/>
  <c r="AD1460" i="11"/>
  <c r="AK1424" i="11"/>
  <c r="AD1424" i="11"/>
  <c r="AD1070" i="11"/>
  <c r="AK1070" i="11"/>
  <c r="AK1247" i="11"/>
  <c r="AD1247" i="11"/>
  <c r="AD1343" i="11"/>
  <c r="AK1343" i="11"/>
  <c r="AD1303" i="11"/>
  <c r="AK1303" i="11"/>
  <c r="AD1502" i="11"/>
  <c r="AK1502" i="11"/>
  <c r="AK1516" i="11"/>
  <c r="AD1516" i="11"/>
  <c r="AK1720" i="11"/>
  <c r="AD1720" i="11"/>
  <c r="AD1535" i="11"/>
  <c r="AK1535" i="11"/>
  <c r="AK1648" i="11"/>
  <c r="AD1648" i="11"/>
  <c r="AD1793" i="11"/>
  <c r="AK1793" i="11"/>
  <c r="AD1518" i="11"/>
  <c r="AK1518" i="11"/>
  <c r="AK1599" i="11"/>
  <c r="AD1599" i="11"/>
  <c r="AD1706" i="11"/>
  <c r="AK1706" i="11"/>
  <c r="AD1587" i="11"/>
  <c r="AK1587" i="11"/>
  <c r="AD1579" i="11"/>
  <c r="AK1579" i="11"/>
  <c r="AK1785" i="11"/>
  <c r="AD1785" i="11"/>
  <c r="AK1404" i="11"/>
  <c r="AD1404" i="11"/>
  <c r="AD1528" i="11"/>
  <c r="AK1528" i="11"/>
  <c r="AD1654" i="11"/>
  <c r="AK1654" i="11"/>
  <c r="AK1537" i="11"/>
  <c r="AD1537" i="11"/>
  <c r="AD1662" i="11"/>
  <c r="AK1662" i="11"/>
  <c r="AD1781" i="11"/>
  <c r="AK1781" i="11"/>
  <c r="AD1716" i="11"/>
  <c r="AK1716" i="11"/>
  <c r="AD1844" i="11"/>
  <c r="AK1844" i="11"/>
  <c r="AK1949" i="11"/>
  <c r="AD1949" i="11"/>
  <c r="AD1783" i="11"/>
  <c r="AK1783" i="11"/>
  <c r="AD1983" i="11"/>
  <c r="AK1983" i="11"/>
  <c r="AD1814" i="11"/>
  <c r="AK1814" i="11"/>
  <c r="AK1886" i="11"/>
  <c r="AD1886" i="11"/>
  <c r="AK2034" i="11"/>
  <c r="AD2034" i="11"/>
  <c r="AD1919" i="11"/>
  <c r="AK1919" i="11"/>
  <c r="AK2074" i="11"/>
  <c r="AD2074" i="11"/>
  <c r="AD1872" i="11"/>
  <c r="AK1872" i="11"/>
  <c r="AD2046" i="11"/>
  <c r="AK2046" i="11"/>
  <c r="AD1929" i="11"/>
  <c r="AK1929" i="11"/>
  <c r="AD2106" i="11"/>
  <c r="AK2106" i="11"/>
  <c r="AK1838" i="11"/>
  <c r="AD1838" i="11"/>
  <c r="AD1965" i="11"/>
  <c r="AK1965" i="11"/>
  <c r="AD2185" i="11"/>
  <c r="AK2185" i="11"/>
  <c r="AD2122" i="11"/>
  <c r="AK2122" i="11"/>
  <c r="AD2253" i="11"/>
  <c r="AK2253" i="11"/>
  <c r="AC2359" i="11"/>
  <c r="AD2359" i="11" s="1"/>
  <c r="AK2367" i="11"/>
  <c r="AD2367" i="11"/>
  <c r="AD2163" i="11"/>
  <c r="AK2163" i="11"/>
  <c r="AD2269" i="11"/>
  <c r="AK2269" i="11"/>
  <c r="AK2050" i="11"/>
  <c r="AD2050" i="11"/>
  <c r="AK2249" i="11"/>
  <c r="AD2249" i="11"/>
  <c r="AD2014" i="11"/>
  <c r="AK2014" i="11"/>
  <c r="AK2145" i="11"/>
  <c r="AD2145" i="11"/>
  <c r="AK2287" i="11"/>
  <c r="AD2287" i="11"/>
  <c r="AD2052" i="11"/>
  <c r="AK2052" i="11"/>
  <c r="AD2131" i="11"/>
  <c r="AK2131" i="11"/>
  <c r="AD2201" i="11"/>
  <c r="AK2201" i="11"/>
  <c r="AD2227" i="11"/>
  <c r="AK2227" i="11"/>
  <c r="AD2086" i="11"/>
  <c r="AK2086" i="11"/>
  <c r="AC2084" i="11"/>
  <c r="AD2084" i="11" s="1"/>
  <c r="AK2221" i="11"/>
  <c r="AD2221" i="11"/>
  <c r="AK2351" i="11"/>
  <c r="AD2351" i="11"/>
  <c r="AK2511" i="11"/>
  <c r="AD2511" i="11"/>
  <c r="AK2417" i="11"/>
  <c r="AD2417" i="11"/>
  <c r="AD2459" i="11"/>
  <c r="AK2459" i="11"/>
  <c r="AC2457" i="11"/>
  <c r="AD2457" i="11" s="1"/>
  <c r="AK2324" i="11"/>
  <c r="AD2324" i="11"/>
  <c r="AD2423" i="11"/>
  <c r="AK2423" i="11"/>
  <c r="AD2680" i="11"/>
  <c r="AK2680" i="11"/>
  <c r="AD2539" i="11"/>
  <c r="AK2539" i="11"/>
  <c r="AC2537" i="11"/>
  <c r="AD2537" i="11" s="1"/>
  <c r="AD2493" i="11"/>
  <c r="AK2493" i="11"/>
  <c r="AD2475" i="11"/>
  <c r="AK2475" i="11"/>
  <c r="AD2581" i="11"/>
  <c r="AK2581" i="11"/>
  <c r="AK2760" i="11"/>
  <c r="AP2760" i="11" s="1"/>
  <c r="AD2760" i="11"/>
  <c r="AD2665" i="11"/>
  <c r="AK2665" i="11"/>
  <c r="AK2521" i="11"/>
  <c r="AD2521" i="11"/>
  <c r="AK2601" i="11"/>
  <c r="AD2601" i="11"/>
  <c r="AD2682" i="11"/>
  <c r="AK2682" i="11"/>
  <c r="AK2531" i="11"/>
  <c r="AD2531" i="11"/>
  <c r="AD2637" i="11"/>
  <c r="AK2637" i="11"/>
  <c r="AD2619" i="11"/>
  <c r="AK2619" i="11"/>
  <c r="AD2776" i="11"/>
  <c r="AK2776" i="11"/>
  <c r="AD2794" i="11"/>
  <c r="AK2794" i="11"/>
  <c r="AD2870" i="11"/>
  <c r="AK2870" i="11"/>
  <c r="AK2846" i="11"/>
  <c r="AD2846" i="11"/>
  <c r="AD2786" i="11"/>
  <c r="AK2786" i="11"/>
  <c r="AD2928" i="11"/>
  <c r="AK2928" i="11"/>
  <c r="AD2774" i="11"/>
  <c r="AK2774" i="11"/>
  <c r="AD2824" i="11"/>
  <c r="AK2824" i="11"/>
  <c r="AK2810" i="11"/>
  <c r="AD2810" i="11"/>
  <c r="AK2932" i="11"/>
  <c r="AD2932" i="11"/>
  <c r="AD2896" i="11"/>
  <c r="AK2896" i="11"/>
  <c r="AD2940" i="11"/>
  <c r="AK2940" i="11"/>
  <c r="AK2918" i="11"/>
  <c r="AD2918" i="11"/>
  <c r="AD2942" i="11"/>
  <c r="AK2942" i="11"/>
  <c r="AD2974" i="11"/>
  <c r="AK2974" i="11"/>
  <c r="AD3109" i="11"/>
  <c r="AK3109" i="11"/>
  <c r="AD2990" i="11"/>
  <c r="AK2990" i="11"/>
  <c r="AK2888" i="11"/>
  <c r="AD2888" i="11"/>
  <c r="AK3052" i="11"/>
  <c r="AD3052" i="11"/>
  <c r="AK3018" i="11"/>
  <c r="AD3018" i="11"/>
  <c r="AD3095" i="11"/>
  <c r="AK3095" i="11"/>
  <c r="AK3006" i="11"/>
  <c r="AD3006" i="11"/>
  <c r="AK3042" i="11"/>
  <c r="AD3042" i="11"/>
  <c r="AD3093" i="11"/>
  <c r="AK3093" i="11"/>
  <c r="AK3205" i="11"/>
  <c r="AD3205" i="11"/>
  <c r="AD3097" i="11"/>
  <c r="AK3097" i="11"/>
  <c r="AD3215" i="11"/>
  <c r="AK3215" i="11"/>
  <c r="AD3115" i="11"/>
  <c r="AK3115" i="11"/>
  <c r="AD3319" i="11"/>
  <c r="AK3319" i="11"/>
  <c r="AD3221" i="11"/>
  <c r="AK3221" i="11"/>
  <c r="AD3303" i="11"/>
  <c r="AK3303" i="11"/>
  <c r="AD3238" i="11"/>
  <c r="AK3238" i="11"/>
  <c r="AD3183" i="11"/>
  <c r="AK3183" i="11"/>
  <c r="AD3285" i="11"/>
  <c r="AK3285" i="11"/>
  <c r="AD284" i="11"/>
  <c r="AK284" i="11"/>
  <c r="AD36" i="11"/>
  <c r="AK36" i="11"/>
  <c r="AK222" i="11"/>
  <c r="AD222" i="11"/>
  <c r="AK302" i="11"/>
  <c r="AD302" i="11"/>
  <c r="AD112" i="11"/>
  <c r="AK112" i="11"/>
  <c r="AD332" i="11"/>
  <c r="AK332" i="11"/>
  <c r="AD136" i="11"/>
  <c r="AK136" i="11"/>
  <c r="AK182" i="11"/>
  <c r="AD182" i="11"/>
  <c r="AD250" i="11"/>
  <c r="AK250" i="11"/>
  <c r="AK340" i="11"/>
  <c r="AD340" i="11"/>
  <c r="AD116" i="11"/>
  <c r="AK116" i="11"/>
  <c r="AK300" i="11"/>
  <c r="AD300" i="11"/>
  <c r="AD72" i="11"/>
  <c r="AK72" i="11"/>
  <c r="AD108" i="11"/>
  <c r="AK108" i="11"/>
  <c r="AD248" i="11"/>
  <c r="AK248" i="11"/>
  <c r="AK342" i="11"/>
  <c r="AD342" i="11"/>
  <c r="AK32" i="11"/>
  <c r="AD32" i="11"/>
  <c r="AD130" i="11"/>
  <c r="AK130" i="11"/>
  <c r="AK260" i="11"/>
  <c r="AD260" i="11"/>
  <c r="AC14" i="11"/>
  <c r="AK16" i="11"/>
  <c r="AD16" i="11"/>
  <c r="AK138" i="11"/>
  <c r="AD138" i="11"/>
  <c r="AK272" i="11"/>
  <c r="AD272" i="11"/>
  <c r="AK356" i="11"/>
  <c r="AD356" i="11"/>
  <c r="AD454" i="11"/>
  <c r="AK454" i="11"/>
  <c r="AD658" i="11"/>
  <c r="AK658" i="11"/>
  <c r="AK450" i="11"/>
  <c r="AD450" i="11"/>
  <c r="AK605" i="11"/>
  <c r="AP605" i="11" s="1"/>
  <c r="AD605" i="11"/>
  <c r="AD464" i="11"/>
  <c r="AK464" i="11"/>
  <c r="AP647" i="11"/>
  <c r="AM647" i="11"/>
  <c r="AK664" i="11"/>
  <c r="AD664" i="11"/>
  <c r="AK452" i="11"/>
  <c r="AD452" i="11"/>
  <c r="AK739" i="11"/>
  <c r="AD739" i="11"/>
  <c r="AD567" i="11"/>
  <c r="AK567" i="11"/>
  <c r="AD797" i="11"/>
  <c r="AK797" i="11"/>
  <c r="AD530" i="11"/>
  <c r="AK530" i="11"/>
  <c r="AD641" i="11"/>
  <c r="AK641" i="11"/>
  <c r="AD549" i="11"/>
  <c r="AK549" i="11"/>
  <c r="AK705" i="11"/>
  <c r="AC703" i="11"/>
  <c r="AD703" i="11" s="1"/>
  <c r="AD705" i="11"/>
  <c r="AD877" i="11"/>
  <c r="AK877" i="11"/>
  <c r="AD698" i="11"/>
  <c r="AK698" i="11"/>
  <c r="AK896" i="11"/>
  <c r="AD896" i="11"/>
  <c r="AD662" i="11"/>
  <c r="AK662" i="11"/>
  <c r="AD801" i="11"/>
  <c r="AK801" i="11"/>
  <c r="AK484" i="11"/>
  <c r="AD484" i="11"/>
  <c r="AK609" i="11"/>
  <c r="AD609" i="11"/>
  <c r="AK715" i="11"/>
  <c r="AD715" i="11"/>
  <c r="AK841" i="11"/>
  <c r="AD841" i="11"/>
  <c r="AK563" i="11"/>
  <c r="AD563" i="11"/>
  <c r="AD676" i="11"/>
  <c r="AK676" i="11"/>
  <c r="AK803" i="11"/>
  <c r="AD803" i="11"/>
  <c r="AK617" i="11"/>
  <c r="AD617" i="11"/>
  <c r="AD817" i="11"/>
  <c r="AK817" i="11"/>
  <c r="AD1142" i="11"/>
  <c r="AK1142" i="11"/>
  <c r="AK1001" i="11"/>
  <c r="AD1001" i="11"/>
  <c r="AK1355" i="11"/>
  <c r="AD1355" i="11"/>
  <c r="AD892" i="11"/>
  <c r="AK892" i="11"/>
  <c r="AD985" i="11"/>
  <c r="AK985" i="11"/>
  <c r="AK1299" i="11"/>
  <c r="AD1299" i="11"/>
  <c r="AK930" i="11"/>
  <c r="AD930" i="11"/>
  <c r="AD1034" i="11"/>
  <c r="AK1034" i="11"/>
  <c r="AK1289" i="11"/>
  <c r="AD1289" i="11"/>
  <c r="AD1233" i="11"/>
  <c r="AK1233" i="11"/>
  <c r="AK1388" i="11"/>
  <c r="AD1388" i="11"/>
  <c r="AK999" i="11"/>
  <c r="AC997" i="11"/>
  <c r="AD999" i="11"/>
  <c r="AD1152" i="11"/>
  <c r="AK1152" i="11"/>
  <c r="AD1188" i="11"/>
  <c r="AK1188" i="11"/>
  <c r="AK827" i="11"/>
  <c r="AD827" i="11"/>
  <c r="AC971" i="11"/>
  <c r="AD971" i="11" s="1"/>
  <c r="AD973" i="11"/>
  <c r="AK973" i="11"/>
  <c r="AK1192" i="11"/>
  <c r="AD1192" i="11"/>
  <c r="AD1168" i="11"/>
  <c r="AK1168" i="11"/>
  <c r="AK1269" i="11"/>
  <c r="AD1269" i="11"/>
  <c r="AD1412" i="11"/>
  <c r="AK1412" i="11"/>
  <c r="AD1619" i="11"/>
  <c r="AC1617" i="11"/>
  <c r="AD1617" i="11" s="1"/>
  <c r="AK1619" i="11"/>
  <c r="AD1134" i="11"/>
  <c r="AK1134" i="11"/>
  <c r="AD1205" i="11"/>
  <c r="AK1205" i="11"/>
  <c r="AK1329" i="11"/>
  <c r="AD1329" i="11"/>
  <c r="AD1434" i="11"/>
  <c r="AK1434" i="11"/>
  <c r="AK1215" i="11"/>
  <c r="AD1215" i="11"/>
  <c r="AK1339" i="11"/>
  <c r="AD1339" i="11"/>
  <c r="AK1492" i="11"/>
  <c r="AD1492" i="11"/>
  <c r="AD1470" i="11"/>
  <c r="AK1470" i="11"/>
  <c r="AK1076" i="11"/>
  <c r="AD1076" i="11"/>
  <c r="AK1251" i="11"/>
  <c r="AD1251" i="11"/>
  <c r="AD1349" i="11"/>
  <c r="AK1349" i="11"/>
  <c r="AD1321" i="11"/>
  <c r="AK1321" i="11"/>
  <c r="AD1593" i="11"/>
  <c r="AK1593" i="11"/>
  <c r="AD1585" i="11"/>
  <c r="AK1585" i="11"/>
  <c r="AD1732" i="11"/>
  <c r="AK1732" i="11"/>
  <c r="AC1531" i="11"/>
  <c r="AD1531" i="11" s="1"/>
  <c r="AK1539" i="11"/>
  <c r="AD1539" i="11"/>
  <c r="AK1658" i="11"/>
  <c r="AD1658" i="11"/>
  <c r="AK1921" i="11"/>
  <c r="AD1921" i="11"/>
  <c r="AD1522" i="11"/>
  <c r="AK1522" i="11"/>
  <c r="AK1607" i="11"/>
  <c r="AD1607" i="11"/>
  <c r="AK1722" i="11"/>
  <c r="AD1722" i="11"/>
  <c r="AD1627" i="11"/>
  <c r="AK1627" i="11"/>
  <c r="AD1623" i="11"/>
  <c r="AK1623" i="11"/>
  <c r="AD1935" i="11"/>
  <c r="AK1935" i="11"/>
  <c r="AD1426" i="11"/>
  <c r="AK1426" i="11"/>
  <c r="AD1567" i="11"/>
  <c r="AK1567" i="11"/>
  <c r="AD1680" i="11"/>
  <c r="AK1680" i="11"/>
  <c r="AK1551" i="11"/>
  <c r="AP1551" i="11" s="1"/>
  <c r="AD1551" i="11"/>
  <c r="AK1666" i="11"/>
  <c r="AD1666" i="11"/>
  <c r="AD2381" i="11"/>
  <c r="AK2381" i="11"/>
  <c r="AC2379" i="11"/>
  <c r="AD1724" i="11"/>
  <c r="AK1724" i="11"/>
  <c r="AD1864" i="11"/>
  <c r="AK1864" i="11"/>
  <c r="AK1953" i="11"/>
  <c r="AD1953" i="11"/>
  <c r="AD1801" i="11"/>
  <c r="AK1801" i="11"/>
  <c r="AD1987" i="11"/>
  <c r="AK1987" i="11"/>
  <c r="AD1824" i="11"/>
  <c r="AK1824" i="11"/>
  <c r="AC1907" i="11"/>
  <c r="AK1909" i="11"/>
  <c r="AD1909" i="11"/>
  <c r="AD2072" i="11"/>
  <c r="AK2072" i="11"/>
  <c r="AK1933" i="11"/>
  <c r="AD1933" i="11"/>
  <c r="AK2078" i="11"/>
  <c r="AD2078" i="11"/>
  <c r="AD1890" i="11"/>
  <c r="AK1890" i="11"/>
  <c r="AK2133" i="11"/>
  <c r="AD2133" i="11"/>
  <c r="AD1947" i="11"/>
  <c r="AK1947" i="11"/>
  <c r="AD2259" i="11"/>
  <c r="AK2259" i="11"/>
  <c r="AK1842" i="11"/>
  <c r="AD1842" i="11"/>
  <c r="AD1969" i="11"/>
  <c r="AK1969" i="11"/>
  <c r="AP1969" i="11" s="1"/>
  <c r="AD2193" i="11"/>
  <c r="AK2193" i="11"/>
  <c r="AK2141" i="11"/>
  <c r="AD2141" i="11"/>
  <c r="AK2263" i="11"/>
  <c r="AD2263" i="11"/>
  <c r="AD2371" i="11"/>
  <c r="AK2371" i="11"/>
  <c r="AK2175" i="11"/>
  <c r="AD2175" i="11"/>
  <c r="AD2281" i="11"/>
  <c r="AK2281" i="11"/>
  <c r="AD2058" i="11"/>
  <c r="AK2058" i="11"/>
  <c r="AK2257" i="11"/>
  <c r="AD2257" i="11"/>
  <c r="AK2018" i="11"/>
  <c r="AD2018" i="11"/>
  <c r="AD2147" i="11"/>
  <c r="AK2147" i="11"/>
  <c r="AD2315" i="11"/>
  <c r="AK2315" i="11"/>
  <c r="AK2066" i="11"/>
  <c r="AD2066" i="11"/>
  <c r="AD2157" i="11"/>
  <c r="AK2157" i="11"/>
  <c r="AD2205" i="11"/>
  <c r="AK2205" i="11"/>
  <c r="AK2251" i="11"/>
  <c r="AD2251" i="11"/>
  <c r="AK2100" i="11"/>
  <c r="AD2100" i="11"/>
  <c r="AD2231" i="11"/>
  <c r="AK2231" i="11"/>
  <c r="AK2802" i="11"/>
  <c r="AD2802" i="11"/>
  <c r="AD2515" i="11"/>
  <c r="AK2515" i="11"/>
  <c r="AK2437" i="11"/>
  <c r="AD2437" i="11"/>
  <c r="AD2467" i="11"/>
  <c r="AK2467" i="11"/>
  <c r="AK2339" i="11"/>
  <c r="AD2339" i="11"/>
  <c r="AD2427" i="11"/>
  <c r="AK2427" i="11"/>
  <c r="AD2328" i="11"/>
  <c r="AK2328" i="11"/>
  <c r="AD2587" i="11"/>
  <c r="AK2587" i="11"/>
  <c r="AD2555" i="11"/>
  <c r="AK2555" i="11"/>
  <c r="AD2491" i="11"/>
  <c r="AK2491" i="11"/>
  <c r="AD2593" i="11"/>
  <c r="AK2593" i="11"/>
  <c r="AD2880" i="11"/>
  <c r="AK2880" i="11"/>
  <c r="AD2754" i="11"/>
  <c r="AK2754" i="11"/>
  <c r="AK2543" i="11"/>
  <c r="AD2543" i="11"/>
  <c r="AD2623" i="11"/>
  <c r="AK2623" i="11"/>
  <c r="AD2714" i="11"/>
  <c r="AK2714" i="11"/>
  <c r="AD2547" i="11"/>
  <c r="AK2547" i="11"/>
  <c r="AK2651" i="11"/>
  <c r="AD2651" i="11"/>
  <c r="AD2631" i="11"/>
  <c r="AK2631" i="11"/>
  <c r="AD2778" i="11"/>
  <c r="AK2778" i="11"/>
  <c r="AK2806" i="11"/>
  <c r="AD2806" i="11"/>
  <c r="AD2886" i="11"/>
  <c r="AK2886" i="11"/>
  <c r="AD2694" i="11"/>
  <c r="AK2694" i="11"/>
  <c r="AK2808" i="11"/>
  <c r="AD2808" i="11"/>
  <c r="AD3022" i="11"/>
  <c r="AK3022" i="11"/>
  <c r="AD2796" i="11"/>
  <c r="AK2796" i="11"/>
  <c r="AD2872" i="11"/>
  <c r="AK2872" i="11"/>
  <c r="AD2832" i="11"/>
  <c r="AK2832" i="11"/>
  <c r="AK3002" i="11"/>
  <c r="AD3002" i="11"/>
  <c r="AK2902" i="11"/>
  <c r="AD2902" i="11"/>
  <c r="AK2956" i="11"/>
  <c r="AD2956" i="11"/>
  <c r="AK2984" i="11"/>
  <c r="AD2984" i="11"/>
  <c r="AD2948" i="11"/>
  <c r="AK2948" i="11"/>
  <c r="AD3000" i="11"/>
  <c r="AK3000" i="11"/>
  <c r="AD3117" i="11"/>
  <c r="AK3117" i="11"/>
  <c r="AK2996" i="11"/>
  <c r="AD2996" i="11"/>
  <c r="AD2930" i="11"/>
  <c r="AK2930" i="11"/>
  <c r="AD3056" i="11"/>
  <c r="AK3056" i="11"/>
  <c r="AK3030" i="11"/>
  <c r="AD3030" i="11"/>
  <c r="AK3193" i="11"/>
  <c r="AD3193" i="11"/>
  <c r="AD3010" i="11"/>
  <c r="AK3010" i="11"/>
  <c r="AD3054" i="11"/>
  <c r="AK3054" i="11"/>
  <c r="AD3107" i="11"/>
  <c r="AK3107" i="11"/>
  <c r="AK3219" i="11"/>
  <c r="AD3219" i="11"/>
  <c r="AK3103" i="11"/>
  <c r="AC3101" i="11"/>
  <c r="AD3101" i="11" s="1"/>
  <c r="AD3103" i="11"/>
  <c r="AD3236" i="11"/>
  <c r="AK3236" i="11"/>
  <c r="AD3119" i="11"/>
  <c r="AK3119" i="11"/>
  <c r="AK3111" i="11"/>
  <c r="AD3111" i="11"/>
  <c r="AD3232" i="11"/>
  <c r="AK3232" i="11"/>
  <c r="AD3129" i="11"/>
  <c r="AK3129" i="11"/>
  <c r="AD3258" i="11"/>
  <c r="AK3258" i="11"/>
  <c r="AD3199" i="11"/>
  <c r="AK3199" i="11"/>
  <c r="AK3291" i="11"/>
  <c r="AD3291" i="11"/>
  <c r="AC3289" i="11"/>
  <c r="AD3289" i="11" s="1"/>
  <c r="AD312" i="11"/>
  <c r="AK312" i="11"/>
  <c r="AC310" i="11"/>
  <c r="AD310" i="11" s="1"/>
  <c r="AD42" i="11"/>
  <c r="AK42" i="11"/>
  <c r="AD226" i="11"/>
  <c r="AK226" i="11"/>
  <c r="AK326" i="11"/>
  <c r="AD326" i="11"/>
  <c r="AK132" i="11"/>
  <c r="AD132" i="11"/>
  <c r="AD428" i="11"/>
  <c r="AK428" i="11"/>
  <c r="AK24" i="11"/>
  <c r="AD24" i="11"/>
  <c r="AD190" i="11"/>
  <c r="AK190" i="11"/>
  <c r="AD256" i="11"/>
  <c r="AK256" i="11"/>
  <c r="AD346" i="11"/>
  <c r="AK346" i="11"/>
  <c r="AK158" i="11"/>
  <c r="AD158" i="11"/>
  <c r="AD328" i="11"/>
  <c r="AK328" i="11"/>
  <c r="AD18" i="11"/>
  <c r="AK18" i="11"/>
  <c r="AD114" i="11"/>
  <c r="AK114" i="11"/>
  <c r="AK254" i="11"/>
  <c r="AD254" i="11"/>
  <c r="AD354" i="11"/>
  <c r="AK354" i="11"/>
  <c r="AK54" i="11"/>
  <c r="AD54" i="11"/>
  <c r="AD134" i="11"/>
  <c r="AK134" i="11"/>
  <c r="AK292" i="11"/>
  <c r="AD292" i="11"/>
  <c r="AD52" i="11"/>
  <c r="AK52" i="11"/>
  <c r="AK146" i="11"/>
  <c r="AD146" i="11"/>
  <c r="AK278" i="11"/>
  <c r="AD278" i="11"/>
  <c r="AD362" i="11"/>
  <c r="AK362" i="11"/>
  <c r="AD526" i="11"/>
  <c r="AK526" i="11"/>
  <c r="AD660" i="11"/>
  <c r="AK660" i="11"/>
  <c r="AK476" i="11"/>
  <c r="AD476" i="11"/>
  <c r="AD690" i="11"/>
  <c r="AK690" i="11"/>
  <c r="AD470" i="11"/>
  <c r="AK470" i="11"/>
  <c r="AK737" i="11"/>
  <c r="AD737" i="11"/>
  <c r="AD666" i="11"/>
  <c r="AK666" i="11"/>
  <c r="AD456" i="11"/>
  <c r="AK456" i="11"/>
  <c r="AD805" i="11"/>
  <c r="AK805" i="11"/>
  <c r="AD575" i="11"/>
  <c r="AK575" i="11"/>
  <c r="AD825" i="11"/>
  <c r="AK825" i="11"/>
  <c r="AK537" i="11"/>
  <c r="AD537" i="11"/>
  <c r="AK755" i="11"/>
  <c r="AD755" i="11"/>
  <c r="AK555" i="11"/>
  <c r="AD555" i="11"/>
  <c r="AK721" i="11"/>
  <c r="AD721" i="11"/>
  <c r="AK955" i="11"/>
  <c r="AD955" i="11"/>
  <c r="AK731" i="11"/>
  <c r="AD731" i="11"/>
  <c r="AK979" i="11"/>
  <c r="AD979" i="11"/>
  <c r="AK709" i="11"/>
  <c r="AD709" i="11"/>
  <c r="AD821" i="11"/>
  <c r="AK821" i="11"/>
  <c r="AD488" i="11"/>
  <c r="AK488" i="11"/>
  <c r="AK613" i="11"/>
  <c r="AD613" i="11"/>
  <c r="AK719" i="11"/>
  <c r="AD719" i="11"/>
  <c r="AK945" i="11"/>
  <c r="AD945" i="11"/>
  <c r="AK569" i="11"/>
  <c r="AD569" i="11"/>
  <c r="AK680" i="11"/>
  <c r="AD680" i="11"/>
  <c r="AD809" i="11"/>
  <c r="AK809" i="11"/>
  <c r="AK625" i="11"/>
  <c r="AD625" i="11"/>
  <c r="AK949" i="11"/>
  <c r="AD949" i="11"/>
  <c r="AD1196" i="11"/>
  <c r="AK1196" i="11"/>
  <c r="AK1015" i="11"/>
  <c r="AD1015" i="11"/>
  <c r="AK1408" i="11"/>
  <c r="AD1408" i="11"/>
  <c r="AD900" i="11"/>
  <c r="AK900" i="11"/>
  <c r="AD1038" i="11"/>
  <c r="AK1038" i="11"/>
  <c r="AD1432" i="11"/>
  <c r="AK1432" i="11"/>
  <c r="AK947" i="11"/>
  <c r="AD947" i="11"/>
  <c r="AD1040" i="11"/>
  <c r="AK1040" i="11"/>
  <c r="AK1017" i="11"/>
  <c r="AD1017" i="11"/>
  <c r="AD1243" i="11"/>
  <c r="AK1243" i="11"/>
  <c r="AK1392" i="11"/>
  <c r="AD1392" i="11"/>
  <c r="AD1013" i="11"/>
  <c r="AK1013" i="11"/>
  <c r="AD1158" i="11"/>
  <c r="AK1158" i="11"/>
  <c r="AD1201" i="11"/>
  <c r="AK1201" i="11"/>
  <c r="AC1199" i="11"/>
  <c r="AD1199" i="11" s="1"/>
  <c r="AK837" i="11"/>
  <c r="AD837" i="11"/>
  <c r="AD975" i="11"/>
  <c r="AK975" i="11"/>
  <c r="AK1245" i="11"/>
  <c r="AD1245" i="11"/>
  <c r="AD1176" i="11"/>
  <c r="AK1176" i="11"/>
  <c r="AK1275" i="11"/>
  <c r="AD1275" i="11"/>
  <c r="AD1416" i="11"/>
  <c r="AK1416" i="11"/>
  <c r="AK1072" i="11"/>
  <c r="AD1072" i="11"/>
  <c r="AD1144" i="11"/>
  <c r="AK1144" i="11"/>
  <c r="AK1221" i="11"/>
  <c r="AD1221" i="11"/>
  <c r="AD1351" i="11"/>
  <c r="AK1351" i="11"/>
  <c r="AK1468" i="11"/>
  <c r="AD1468" i="11"/>
  <c r="AK1267" i="11"/>
  <c r="AD1267" i="11"/>
  <c r="AD1366" i="11"/>
  <c r="AK1366" i="11"/>
  <c r="AD1494" i="11"/>
  <c r="AK1494" i="11"/>
  <c r="AK1482" i="11"/>
  <c r="AD1482" i="11"/>
  <c r="AD1097" i="11"/>
  <c r="AK1097" i="11"/>
  <c r="AK1259" i="11"/>
  <c r="AD1259" i="11"/>
  <c r="AD1370" i="11"/>
  <c r="AK1370" i="11"/>
  <c r="AK1406" i="11"/>
  <c r="AD1406" i="11"/>
  <c r="AK1684" i="11"/>
  <c r="AD1684" i="11"/>
  <c r="AK1589" i="11"/>
  <c r="AD1589" i="11"/>
  <c r="AK1754" i="11"/>
  <c r="AD1754" i="11"/>
  <c r="AD1577" i="11"/>
  <c r="AK1577" i="11"/>
  <c r="AK1664" i="11"/>
  <c r="AD1664" i="11"/>
  <c r="AK1957" i="11"/>
  <c r="AD1957" i="11"/>
  <c r="AD1526" i="11"/>
  <c r="AK1526" i="11"/>
  <c r="AK1611" i="11"/>
  <c r="AD1611" i="11"/>
  <c r="AK1738" i="11"/>
  <c r="AD1738" i="11"/>
  <c r="AD1642" i="11"/>
  <c r="AK1642" i="11"/>
  <c r="AD1638" i="11"/>
  <c r="AK1638" i="11"/>
  <c r="AK2000" i="11"/>
  <c r="AD2000" i="11"/>
  <c r="AC1998" i="11"/>
  <c r="AD1998" i="11" s="1"/>
  <c r="AD1452" i="11"/>
  <c r="AK1452" i="11"/>
  <c r="AD1571" i="11"/>
  <c r="AK1571" i="11"/>
  <c r="AK1730" i="11"/>
  <c r="AD1730" i="11"/>
  <c r="AD1559" i="11"/>
  <c r="AK1559" i="11"/>
  <c r="AK1676" i="11"/>
  <c r="AD1676" i="11"/>
  <c r="AD1656" i="11"/>
  <c r="AK1656" i="11"/>
  <c r="AD1736" i="11"/>
  <c r="AK1736" i="11"/>
  <c r="AK1870" i="11"/>
  <c r="AD1870" i="11"/>
  <c r="AK1991" i="11"/>
  <c r="AD1991" i="11"/>
  <c r="AD1820" i="11"/>
  <c r="AK1820" i="11"/>
  <c r="AK2010" i="11"/>
  <c r="AD2010" i="11"/>
  <c r="AD1828" i="11"/>
  <c r="AK1828" i="11"/>
  <c r="AK1915" i="11"/>
  <c r="AD1915" i="11"/>
  <c r="AK2104" i="11"/>
  <c r="AD2104" i="11"/>
  <c r="AD1963" i="11"/>
  <c r="AK1963" i="11"/>
  <c r="AK2088" i="11"/>
  <c r="AD2088" i="11"/>
  <c r="AK1894" i="11"/>
  <c r="AD1894" i="11"/>
  <c r="AD2139" i="11"/>
  <c r="AK2139" i="11"/>
  <c r="AD1951" i="11"/>
  <c r="AK1951" i="11"/>
  <c r="AD1787" i="11"/>
  <c r="AK1787" i="11"/>
  <c r="AD1853" i="11"/>
  <c r="AK1853" i="11"/>
  <c r="AD1981" i="11"/>
  <c r="AK1981" i="11"/>
  <c r="AD2275" i="11"/>
  <c r="AK2275" i="11"/>
  <c r="AD2143" i="11"/>
  <c r="AK2143" i="11"/>
  <c r="AK2285" i="11"/>
  <c r="AD2285" i="11"/>
  <c r="AD2383" i="11"/>
  <c r="AK2383" i="11"/>
  <c r="AK2179" i="11"/>
  <c r="AD2179" i="11"/>
  <c r="AK2363" i="11"/>
  <c r="AD2363" i="11"/>
  <c r="AD2062" i="11"/>
  <c r="AK2062" i="11"/>
  <c r="AK2273" i="11"/>
  <c r="AD2273" i="11"/>
  <c r="AK2044" i="11"/>
  <c r="AD2044" i="11"/>
  <c r="AK2183" i="11"/>
  <c r="AD2183" i="11"/>
  <c r="AD2347" i="11"/>
  <c r="AC2345" i="11"/>
  <c r="AD2345" i="11" s="1"/>
  <c r="AK2347" i="11"/>
  <c r="AD2076" i="11"/>
  <c r="AK2076" i="11"/>
  <c r="AK2167" i="11"/>
  <c r="AD2167" i="11"/>
  <c r="AD2217" i="11"/>
  <c r="AK2217" i="11"/>
  <c r="AK2255" i="11"/>
  <c r="AD2255" i="11"/>
  <c r="AD2102" i="11"/>
  <c r="AK2102" i="11"/>
  <c r="AD2243" i="11"/>
  <c r="AK2243" i="11"/>
  <c r="AD2425" i="11"/>
  <c r="AK2425" i="11"/>
  <c r="AK2533" i="11"/>
  <c r="AD2533" i="11"/>
  <c r="AK2453" i="11"/>
  <c r="AD2453" i="11"/>
  <c r="AK2481" i="11"/>
  <c r="AD2481" i="11"/>
  <c r="AD2365" i="11"/>
  <c r="AK2365" i="11"/>
  <c r="AD2451" i="11"/>
  <c r="AK2451" i="11"/>
  <c r="AD2349" i="11"/>
  <c r="AK2349" i="11"/>
  <c r="AD2615" i="11"/>
  <c r="AK2615" i="11"/>
  <c r="AD2676" i="11"/>
  <c r="AK2676" i="11"/>
  <c r="AK2495" i="11"/>
  <c r="AD2495" i="11"/>
  <c r="AD2599" i="11"/>
  <c r="AK2599" i="11"/>
  <c r="AD2513" i="11"/>
  <c r="AK2513" i="11"/>
  <c r="AD2798" i="11"/>
  <c r="AK2798" i="11"/>
  <c r="AK2549" i="11"/>
  <c r="AD2549" i="11"/>
  <c r="AD2629" i="11"/>
  <c r="AK2629" i="11"/>
  <c r="AK2750" i="11"/>
  <c r="AD2750" i="11"/>
  <c r="AK2567" i="11"/>
  <c r="AD2567" i="11"/>
  <c r="AK2659" i="11"/>
  <c r="AD2659" i="11"/>
  <c r="AK2645" i="11"/>
  <c r="AD2645" i="11"/>
  <c r="AD2834" i="11"/>
  <c r="AK2834" i="11"/>
  <c r="AD2818" i="11"/>
  <c r="AK2818" i="11"/>
  <c r="AD2926" i="11"/>
  <c r="AK2926" i="11"/>
  <c r="AD2698" i="11"/>
  <c r="AK2698" i="11"/>
  <c r="AK2830" i="11"/>
  <c r="AD2830" i="11"/>
  <c r="AD2663" i="11"/>
  <c r="AK2663" i="11"/>
  <c r="AD2840" i="11"/>
  <c r="AK2840" i="11"/>
  <c r="AD2874" i="11"/>
  <c r="AK2874" i="11"/>
  <c r="AK2866" i="11"/>
  <c r="AD2866" i="11"/>
  <c r="AK3020" i="11"/>
  <c r="AD3020" i="11"/>
  <c r="AK2936" i="11"/>
  <c r="AD2936" i="11"/>
  <c r="AK2804" i="11"/>
  <c r="AP2804" i="11" s="1"/>
  <c r="AD2804" i="11"/>
  <c r="AD2992" i="11"/>
  <c r="AK2992" i="11"/>
  <c r="AD3036" i="11"/>
  <c r="AK3036" i="11"/>
  <c r="AD3012" i="11"/>
  <c r="AK3012" i="11"/>
  <c r="AD3163" i="11"/>
  <c r="AK3163" i="11"/>
  <c r="AD3028" i="11"/>
  <c r="AK3028" i="11"/>
  <c r="AD2982" i="11"/>
  <c r="AK2982" i="11"/>
  <c r="AD3091" i="11"/>
  <c r="AK3091" i="11"/>
  <c r="AD3034" i="11"/>
  <c r="AK3034" i="11"/>
  <c r="AK3256" i="11"/>
  <c r="AD3256" i="11"/>
  <c r="AD3024" i="11"/>
  <c r="AK3024" i="11"/>
  <c r="AK3065" i="11"/>
  <c r="AD3065" i="11"/>
  <c r="AC3063" i="11"/>
  <c r="AD3063" i="11" s="1"/>
  <c r="AK3127" i="11"/>
  <c r="AD3127" i="11"/>
  <c r="AK3230" i="11"/>
  <c r="AD3230" i="11"/>
  <c r="AC3228" i="11"/>
  <c r="AD3123" i="11"/>
  <c r="AK3123" i="11"/>
  <c r="AD3240" i="11"/>
  <c r="AK3240" i="11"/>
  <c r="AD3137" i="11"/>
  <c r="AK3137" i="11"/>
  <c r="AK3133" i="11"/>
  <c r="AD3133" i="11"/>
  <c r="AK3246" i="11"/>
  <c r="AD3246" i="11"/>
  <c r="AK3143" i="11"/>
  <c r="AD3143" i="11"/>
  <c r="AD3295" i="11"/>
  <c r="AK3295" i="11"/>
  <c r="AD3242" i="11"/>
  <c r="AK3242" i="11"/>
  <c r="AD344" i="11"/>
  <c r="AK344" i="11"/>
  <c r="AD44" i="11"/>
  <c r="AK44" i="11"/>
  <c r="AK238" i="11"/>
  <c r="AD238" i="11"/>
  <c r="AD338" i="11"/>
  <c r="AK338" i="11"/>
  <c r="AD156" i="11"/>
  <c r="AK156" i="11"/>
  <c r="AD490" i="11"/>
  <c r="AK490" i="11"/>
  <c r="AD66" i="11"/>
  <c r="AK66" i="11"/>
  <c r="AD194" i="11"/>
  <c r="AK194" i="11"/>
  <c r="AK262" i="11"/>
  <c r="AD262" i="11"/>
  <c r="AD352" i="11"/>
  <c r="AK352" i="11"/>
  <c r="AD142" i="11"/>
  <c r="AK142" i="11"/>
  <c r="AK334" i="11"/>
  <c r="AD334" i="11"/>
  <c r="AD20" i="11"/>
  <c r="AK20" i="11"/>
  <c r="AD118" i="11"/>
  <c r="AK118" i="11"/>
  <c r="AD274" i="11"/>
  <c r="AK274" i="11"/>
  <c r="AC404" i="11"/>
  <c r="AD404" i="11" s="1"/>
  <c r="AD406" i="11"/>
  <c r="AK406" i="11"/>
  <c r="AD122" i="11"/>
  <c r="AK122" i="11"/>
  <c r="AD172" i="11"/>
  <c r="AK172" i="11"/>
  <c r="AD348" i="11"/>
  <c r="AK348" i="11"/>
  <c r="AD64" i="11"/>
  <c r="AK64" i="11"/>
  <c r="AK162" i="11"/>
  <c r="AD162" i="11"/>
  <c r="AD298" i="11"/>
  <c r="AK298" i="11"/>
  <c r="AK397" i="11"/>
  <c r="AD397" i="11"/>
  <c r="AK547" i="11"/>
  <c r="AD547" i="11"/>
  <c r="AD717" i="11"/>
  <c r="AK717" i="11"/>
  <c r="AD480" i="11"/>
  <c r="AK480" i="11"/>
  <c r="AK711" i="11"/>
  <c r="AD711" i="11"/>
  <c r="AD522" i="11"/>
  <c r="AK522" i="11"/>
  <c r="AD775" i="11"/>
  <c r="AK775" i="11"/>
  <c r="AD831" i="11"/>
  <c r="AK831" i="11"/>
  <c r="AK466" i="11"/>
  <c r="AD466" i="11"/>
  <c r="AK839" i="11"/>
  <c r="AD839" i="11"/>
  <c r="AD583" i="11"/>
  <c r="AK583" i="11"/>
  <c r="AD422" i="11"/>
  <c r="AK422" i="11"/>
  <c r="AD557" i="11"/>
  <c r="AK557" i="11"/>
  <c r="AP557" i="11" s="1"/>
  <c r="AD793" i="11"/>
  <c r="AK793" i="11"/>
  <c r="AK565" i="11"/>
  <c r="AD565" i="11"/>
  <c r="AK763" i="11"/>
  <c r="AD763" i="11"/>
  <c r="AD1050" i="11"/>
  <c r="AK1050" i="11"/>
  <c r="AD741" i="11"/>
  <c r="AK741" i="11"/>
  <c r="AK1028" i="11"/>
  <c r="AD1028" i="11"/>
  <c r="AD725" i="11"/>
  <c r="AK725" i="11"/>
  <c r="AD861" i="11"/>
  <c r="AK861" i="11"/>
  <c r="AD504" i="11"/>
  <c r="AK504" i="11"/>
  <c r="AD631" i="11"/>
  <c r="AK631" i="11"/>
  <c r="AK729" i="11"/>
  <c r="AD729" i="11"/>
  <c r="AD1093" i="11"/>
  <c r="AK1093" i="11"/>
  <c r="AK579" i="11"/>
  <c r="AD579" i="11"/>
  <c r="AK696" i="11"/>
  <c r="AD696" i="11"/>
  <c r="AD823" i="11"/>
  <c r="AK823" i="11"/>
  <c r="AK668" i="11"/>
  <c r="AD668" i="11"/>
  <c r="AK1203" i="11"/>
  <c r="AD1203" i="11"/>
  <c r="AD1263" i="11"/>
  <c r="AK1263" i="11"/>
  <c r="AC1020" i="11"/>
  <c r="AD1020" i="11" s="1"/>
  <c r="AD1024" i="11"/>
  <c r="AK1024" i="11"/>
  <c r="AK833" i="11"/>
  <c r="AD833" i="11"/>
  <c r="AK902" i="11"/>
  <c r="AD902" i="11"/>
  <c r="AD1060" i="11"/>
  <c r="AK1060" i="11"/>
  <c r="AK873" i="11"/>
  <c r="AD873" i="11"/>
  <c r="AK953" i="11"/>
  <c r="AD953" i="11"/>
  <c r="AD1054" i="11"/>
  <c r="AK1054" i="11"/>
  <c r="AD1046" i="11"/>
  <c r="AK1046" i="11"/>
  <c r="AD1255" i="11"/>
  <c r="AK1255" i="11"/>
  <c r="AD1402" i="11"/>
  <c r="AK1402" i="11"/>
  <c r="AD1022" i="11"/>
  <c r="AK1022" i="11"/>
  <c r="AD1164" i="11"/>
  <c r="AK1164" i="11"/>
  <c r="AD1219" i="11"/>
  <c r="AK1219" i="11"/>
  <c r="AK853" i="11"/>
  <c r="AD853" i="11"/>
  <c r="AC851" i="11"/>
  <c r="AD977" i="11"/>
  <c r="AK977" i="11"/>
  <c r="AK1315" i="11"/>
  <c r="AD1315" i="11"/>
  <c r="AD1184" i="11"/>
  <c r="AK1184" i="11"/>
  <c r="AK1305" i="11"/>
  <c r="AD1305" i="11"/>
  <c r="AK1420" i="11"/>
  <c r="AD1420" i="11"/>
  <c r="AD1078" i="11"/>
  <c r="AK1078" i="11"/>
  <c r="AD1150" i="11"/>
  <c r="AK1150" i="11"/>
  <c r="AD1225" i="11"/>
  <c r="AK1225" i="11"/>
  <c r="AD1357" i="11"/>
  <c r="AK1357" i="11"/>
  <c r="AD1480" i="11"/>
  <c r="AK1480" i="11"/>
  <c r="AD1271" i="11"/>
  <c r="AK1271" i="11"/>
  <c r="AD1384" i="11"/>
  <c r="AK1384" i="11"/>
  <c r="AD1524" i="11"/>
  <c r="AK1524" i="11"/>
  <c r="AD989" i="11"/>
  <c r="AK989" i="11"/>
  <c r="AD1103" i="11"/>
  <c r="AK1103" i="11"/>
  <c r="AK1277" i="11"/>
  <c r="AD1277" i="11"/>
  <c r="AD1380" i="11"/>
  <c r="AK1380" i="11"/>
  <c r="AK1436" i="11"/>
  <c r="AD1436" i="11"/>
  <c r="AK1714" i="11"/>
  <c r="AD1714" i="11"/>
  <c r="AD1625" i="11"/>
  <c r="AK1625" i="11"/>
  <c r="AD1456" i="11"/>
  <c r="AK1456" i="11"/>
  <c r="AK1581" i="11"/>
  <c r="AD1581" i="11"/>
  <c r="AD1668" i="11"/>
  <c r="AK1668" i="11"/>
  <c r="AD1973" i="11"/>
  <c r="AK1973" i="11"/>
  <c r="AD1549" i="11"/>
  <c r="AK1549" i="11"/>
  <c r="AD1670" i="11"/>
  <c r="AK1670" i="11"/>
  <c r="AD1766" i="11"/>
  <c r="AK1766" i="11"/>
  <c r="AD1728" i="11"/>
  <c r="AK1728" i="11"/>
  <c r="AD1672" i="11"/>
  <c r="AK1672" i="11"/>
  <c r="AK2004" i="11"/>
  <c r="AD2004" i="11"/>
  <c r="AD1458" i="11"/>
  <c r="AK1458" i="11"/>
  <c r="AK1597" i="11"/>
  <c r="AD1597" i="11"/>
  <c r="AK1758" i="11"/>
  <c r="AD1758" i="11"/>
  <c r="AD1563" i="11"/>
  <c r="AK1563" i="11"/>
  <c r="AD1702" i="11"/>
  <c r="AK1702" i="11"/>
  <c r="AK1660" i="11"/>
  <c r="AD1660" i="11"/>
  <c r="AD1740" i="11"/>
  <c r="AK1740" i="11"/>
  <c r="AK1888" i="11"/>
  <c r="AD1888" i="11"/>
  <c r="AD2016" i="11"/>
  <c r="AK2016" i="11"/>
  <c r="AK1868" i="11"/>
  <c r="AD1868" i="11"/>
  <c r="AK2032" i="11"/>
  <c r="AD2032" i="11"/>
  <c r="AK1832" i="11"/>
  <c r="AD1832" i="11"/>
  <c r="AD1923" i="11"/>
  <c r="AK1923" i="11"/>
  <c r="AD2118" i="11"/>
  <c r="AK2118" i="11"/>
  <c r="AK1971" i="11"/>
  <c r="AD1971" i="11"/>
  <c r="AD2161" i="11"/>
  <c r="AK2161" i="11"/>
  <c r="AD1913" i="11"/>
  <c r="AK1913" i="11"/>
  <c r="AK2429" i="11"/>
  <c r="AD2429" i="11"/>
  <c r="AK1977" i="11"/>
  <c r="AD1977" i="11"/>
  <c r="AD1797" i="11"/>
  <c r="AK1797" i="11"/>
  <c r="AD1884" i="11"/>
  <c r="AC1882" i="11"/>
  <c r="AD1882" i="11" s="1"/>
  <c r="AK1884" i="11"/>
  <c r="AD1985" i="11"/>
  <c r="AK1985" i="11"/>
  <c r="AK2042" i="11"/>
  <c r="AD2042" i="11"/>
  <c r="AK2199" i="11"/>
  <c r="AD2199" i="11"/>
  <c r="AK2309" i="11"/>
  <c r="AD2309" i="11"/>
  <c r="AD2421" i="11"/>
  <c r="AK2421" i="11"/>
  <c r="AK2189" i="11"/>
  <c r="AD2189" i="11"/>
  <c r="AD2385" i="11"/>
  <c r="AK2385" i="11"/>
  <c r="AK2070" i="11"/>
  <c r="AD2070" i="11"/>
  <c r="AK2305" i="11"/>
  <c r="AD2305" i="11"/>
  <c r="AK2048" i="11"/>
  <c r="AD2048" i="11"/>
  <c r="AD2197" i="11"/>
  <c r="AK2197" i="11"/>
  <c r="AK2389" i="11"/>
  <c r="AD2389" i="11"/>
  <c r="AD2080" i="11"/>
  <c r="AK2080" i="11"/>
  <c r="AK2173" i="11"/>
  <c r="AD2173" i="11"/>
  <c r="AK2239" i="11"/>
  <c r="AD2239" i="11"/>
  <c r="AK2267" i="11"/>
  <c r="AD2267" i="11"/>
  <c r="AK2137" i="11"/>
  <c r="AD2137" i="11"/>
  <c r="AK2247" i="11"/>
  <c r="AD2247" i="11"/>
  <c r="AD2433" i="11"/>
  <c r="AK2433" i="11"/>
  <c r="AD2734" i="11"/>
  <c r="AK2734" i="11"/>
  <c r="AD2653" i="11"/>
  <c r="AK2653" i="11"/>
  <c r="AK2487" i="11"/>
  <c r="AD2487" i="11"/>
  <c r="AC2405" i="11"/>
  <c r="AD2405" i="11" s="1"/>
  <c r="AK2407" i="11"/>
  <c r="AD2407" i="11"/>
  <c r="AK2469" i="11"/>
  <c r="AD2469" i="11"/>
  <c r="AK2369" i="11"/>
  <c r="AD2369" i="11"/>
  <c r="AD2409" i="11"/>
  <c r="AK2409" i="11"/>
  <c r="AD2718" i="11"/>
  <c r="AK2718" i="11"/>
  <c r="AD2499" i="11"/>
  <c r="AK2499" i="11"/>
  <c r="AD2621" i="11"/>
  <c r="AK2621" i="11"/>
  <c r="AD2583" i="11"/>
  <c r="AK2583" i="11"/>
  <c r="AD2816" i="11"/>
  <c r="AK2816" i="11"/>
  <c r="AK2553" i="11"/>
  <c r="AD2553" i="11"/>
  <c r="AK2635" i="11"/>
  <c r="AD2635" i="11"/>
  <c r="AD2860" i="11"/>
  <c r="AK2860" i="11"/>
  <c r="AD2573" i="11"/>
  <c r="AK2573" i="11"/>
  <c r="AK2669" i="11"/>
  <c r="AD2669" i="11"/>
  <c r="AD2684" i="11"/>
  <c r="AK2684" i="11"/>
  <c r="AD2696" i="11"/>
  <c r="AK2696" i="11"/>
  <c r="AD2826" i="11"/>
  <c r="AK2826" i="11"/>
  <c r="AD2952" i="11"/>
  <c r="AK2952" i="11"/>
  <c r="AD2708" i="11"/>
  <c r="AK2708" i="11"/>
  <c r="AK2864" i="11"/>
  <c r="AD2864" i="11"/>
  <c r="AD2690" i="11"/>
  <c r="AK2690" i="11"/>
  <c r="AK2758" i="11"/>
  <c r="AD2758" i="11"/>
  <c r="AD2922" i="11"/>
  <c r="AK2922" i="11"/>
  <c r="AD2938" i="11"/>
  <c r="AK2938" i="11"/>
  <c r="AK2822" i="11"/>
  <c r="AD2822" i="11"/>
  <c r="AK2946" i="11"/>
  <c r="AD2946" i="11"/>
  <c r="AC2856" i="11"/>
  <c r="AD2856" i="11" s="1"/>
  <c r="AK2858" i="11"/>
  <c r="AD2858" i="11"/>
  <c r="AK2878" i="11"/>
  <c r="AD2878" i="11"/>
  <c r="AD2934" i="11"/>
  <c r="AK2934" i="11"/>
  <c r="AD3016" i="11"/>
  <c r="AK3016" i="11"/>
  <c r="AD3167" i="11"/>
  <c r="AK3167" i="11"/>
  <c r="AD3040" i="11"/>
  <c r="AK3040" i="11"/>
  <c r="AD3008" i="11"/>
  <c r="AK3008" i="11"/>
  <c r="AK2954" i="11"/>
  <c r="AD2954" i="11"/>
  <c r="AD3038" i="11"/>
  <c r="AK3038" i="11"/>
  <c r="AD3260" i="11"/>
  <c r="AK3260" i="11"/>
  <c r="AD3046" i="11"/>
  <c r="AK3046" i="11"/>
  <c r="AD3075" i="11"/>
  <c r="AK3075" i="11"/>
  <c r="AD3135" i="11"/>
  <c r="AK3135" i="11"/>
  <c r="AD3244" i="11"/>
  <c r="AK3244" i="11"/>
  <c r="AD3141" i="11"/>
  <c r="AK3141" i="11"/>
  <c r="AD3262" i="11"/>
  <c r="AK3262" i="11"/>
  <c r="AD3147" i="11"/>
  <c r="AK3147" i="11"/>
  <c r="AK3161" i="11"/>
  <c r="AP3161" i="11" s="1"/>
  <c r="AD3161" i="11"/>
  <c r="AC3252" i="11"/>
  <c r="AD3252" i="11" s="1"/>
  <c r="AD3254" i="11"/>
  <c r="AK3254" i="11"/>
  <c r="AD3153" i="11"/>
  <c r="AK3153" i="11"/>
  <c r="AC3151" i="11"/>
  <c r="AD3151" i="11" s="1"/>
  <c r="AD3299" i="11"/>
  <c r="AK3299" i="11"/>
  <c r="AD3264" i="11"/>
  <c r="AK3264" i="11"/>
  <c r="AD350" i="11"/>
  <c r="AK350" i="11"/>
  <c r="AK82" i="11"/>
  <c r="AD82" i="11"/>
  <c r="AK258" i="11"/>
  <c r="AD258" i="11"/>
  <c r="AD358" i="11"/>
  <c r="AK358" i="11"/>
  <c r="AD164" i="11"/>
  <c r="AK164" i="11"/>
  <c r="AK62" i="11"/>
  <c r="AP62" i="11" s="1"/>
  <c r="AD62" i="11"/>
  <c r="AD104" i="11"/>
  <c r="AC102" i="11"/>
  <c r="AD102" i="11" s="1"/>
  <c r="AK104" i="11"/>
  <c r="AK198" i="11"/>
  <c r="AD198" i="11"/>
  <c r="AD282" i="11"/>
  <c r="AK282" i="11"/>
  <c r="AD390" i="11"/>
  <c r="AK390" i="11"/>
  <c r="AD208" i="11"/>
  <c r="AK208" i="11"/>
  <c r="AD360" i="11"/>
  <c r="AK360" i="11"/>
  <c r="AK40" i="11"/>
  <c r="AD40" i="11"/>
  <c r="AK148" i="11"/>
  <c r="AD148" i="11"/>
  <c r="AD280" i="11"/>
  <c r="AK280" i="11"/>
  <c r="AK468" i="11"/>
  <c r="AD468" i="11"/>
  <c r="AD38" i="11"/>
  <c r="AK38" i="11"/>
  <c r="AD184" i="11"/>
  <c r="AK184" i="11"/>
  <c r="AK373" i="11"/>
  <c r="AD373" i="11"/>
  <c r="AD68" i="11"/>
  <c r="AK68" i="11"/>
  <c r="AD168" i="11"/>
  <c r="AK168" i="11"/>
  <c r="AD304" i="11"/>
  <c r="AK304" i="11"/>
  <c r="AD434" i="11"/>
  <c r="AK434" i="11"/>
  <c r="AD559" i="11"/>
  <c r="AK559" i="11"/>
  <c r="AK787" i="11"/>
  <c r="AD787" i="11"/>
  <c r="AD486" i="11"/>
  <c r="AK486" i="11"/>
  <c r="AD785" i="11"/>
  <c r="AK785" i="11"/>
  <c r="AD528" i="11"/>
  <c r="AK528" i="11"/>
  <c r="AD843" i="11"/>
  <c r="AK843" i="11"/>
  <c r="AK1239" i="11"/>
  <c r="AD1239" i="11"/>
  <c r="AD502" i="11"/>
  <c r="AK502" i="11"/>
  <c r="AD392" i="11"/>
  <c r="AK392" i="11"/>
  <c r="AK601" i="11"/>
  <c r="AD601" i="11"/>
  <c r="AD438" i="11"/>
  <c r="AK438" i="11"/>
  <c r="AK589" i="11"/>
  <c r="AD589" i="11"/>
  <c r="AK494" i="11"/>
  <c r="AD494" i="11"/>
  <c r="AK587" i="11"/>
  <c r="AD587" i="11"/>
  <c r="AK773" i="11"/>
  <c r="AD773" i="11"/>
  <c r="AD1113" i="11"/>
  <c r="AK1113" i="11"/>
  <c r="AK745" i="11"/>
  <c r="AD745" i="11"/>
  <c r="AK1080" i="11"/>
  <c r="AD1080" i="11"/>
  <c r="AK735" i="11"/>
  <c r="AD735" i="11"/>
  <c r="AD867" i="11"/>
  <c r="AK867" i="11"/>
  <c r="AD510" i="11"/>
  <c r="AK510" i="11"/>
  <c r="AD670" i="11"/>
  <c r="AK670" i="11"/>
  <c r="AD757" i="11"/>
  <c r="AK757" i="11"/>
  <c r="AK1249" i="11"/>
  <c r="AD1249" i="11"/>
  <c r="AD599" i="11"/>
  <c r="AK599" i="11"/>
  <c r="AK707" i="11"/>
  <c r="AD707" i="11"/>
  <c r="AK857" i="11"/>
  <c r="AD857" i="11"/>
  <c r="AK713" i="11"/>
  <c r="AD713" i="11"/>
  <c r="AK912" i="11"/>
  <c r="AD912" i="11"/>
  <c r="AD883" i="11"/>
  <c r="AK883" i="11"/>
  <c r="AD1032" i="11"/>
  <c r="AK1032" i="11"/>
  <c r="AK845" i="11"/>
  <c r="AD845" i="11"/>
  <c r="AK914" i="11"/>
  <c r="AD914" i="11"/>
  <c r="AD1087" i="11"/>
  <c r="AK1087" i="11"/>
  <c r="AC1085" i="11"/>
  <c r="AD1085" i="11" s="1"/>
  <c r="AK879" i="11"/>
  <c r="AD879" i="11"/>
  <c r="AK963" i="11"/>
  <c r="AD963" i="11"/>
  <c r="AK1068" i="11"/>
  <c r="AD1068" i="11"/>
  <c r="AD1056" i="11"/>
  <c r="AK1056" i="11"/>
  <c r="AK1257" i="11"/>
  <c r="AD1257" i="11"/>
  <c r="AD865" i="11"/>
  <c r="AK865" i="11"/>
  <c r="AD1026" i="11"/>
  <c r="AK1026" i="11"/>
  <c r="AD1166" i="11"/>
  <c r="AK1166" i="11"/>
  <c r="AD1341" i="11"/>
  <c r="AK1341" i="11"/>
  <c r="AK855" i="11"/>
  <c r="AD855" i="11"/>
  <c r="AK1003" i="11"/>
  <c r="AD1003" i="11"/>
  <c r="AD1333" i="11"/>
  <c r="AK1333" i="11"/>
  <c r="AK1190" i="11"/>
  <c r="AD1190" i="11"/>
  <c r="AK1309" i="11"/>
  <c r="AD1309" i="11"/>
  <c r="AD1466" i="11"/>
  <c r="AK1466" i="11"/>
  <c r="AK1082" i="11"/>
  <c r="AD1082" i="11"/>
  <c r="AD1162" i="11"/>
  <c r="AK1162" i="11"/>
  <c r="AK1253" i="11"/>
  <c r="AD1253" i="11"/>
  <c r="AK1374" i="11"/>
  <c r="AD1374" i="11"/>
  <c r="AD1514" i="11"/>
  <c r="AK1514" i="11"/>
  <c r="AK1291" i="11"/>
  <c r="AD1291" i="11"/>
  <c r="AK1390" i="11"/>
  <c r="AD1390" i="11"/>
  <c r="AD1335" i="11"/>
  <c r="AK1335" i="11"/>
  <c r="AK991" i="11"/>
  <c r="AD991" i="11"/>
  <c r="AD1207" i="11"/>
  <c r="AK1207" i="11"/>
  <c r="AK1297" i="11"/>
  <c r="AD1297" i="11"/>
  <c r="AK1484" i="11"/>
  <c r="AD1484" i="11"/>
  <c r="AK1454" i="11"/>
  <c r="AD1454" i="11"/>
  <c r="AK1760" i="11"/>
  <c r="AD1760" i="11"/>
  <c r="AK1644" i="11"/>
  <c r="AD1644" i="11"/>
  <c r="AD1472" i="11"/>
  <c r="AK1472" i="11"/>
  <c r="AK1603" i="11"/>
  <c r="AD1603" i="11"/>
  <c r="AD1710" i="11"/>
  <c r="AK1710" i="11"/>
  <c r="AD2038" i="11"/>
  <c r="AK2038" i="11"/>
  <c r="AD1569" i="11"/>
  <c r="AK1569" i="11"/>
  <c r="AD1678" i="11"/>
  <c r="AK1678" i="11"/>
  <c r="AD1834" i="11"/>
  <c r="AK1834" i="11"/>
  <c r="AK1744" i="11"/>
  <c r="AD1744" i="11"/>
  <c r="AD1694" i="11"/>
  <c r="AK1694" i="11"/>
  <c r="AD2068" i="11"/>
  <c r="AK2068" i="11"/>
  <c r="AD1462" i="11"/>
  <c r="AK1462" i="11"/>
  <c r="AD1605" i="11"/>
  <c r="AK1605" i="11"/>
  <c r="AD1764" i="11"/>
  <c r="AK1764" i="11"/>
  <c r="AD1601" i="11"/>
  <c r="AK1601" i="11"/>
  <c r="AD1718" i="11"/>
  <c r="AK1718" i="11"/>
  <c r="AK1674" i="11"/>
  <c r="AP1674" i="11" s="1"/>
  <c r="AD1674" i="11"/>
  <c r="AK1748" i="11"/>
  <c r="AD1748" i="11"/>
  <c r="AD1892" i="11"/>
  <c r="AK1892" i="11"/>
  <c r="AD2026" i="11"/>
  <c r="AK2026" i="11"/>
  <c r="AD1874" i="11"/>
  <c r="AK1874" i="11"/>
  <c r="AD2094" i="11"/>
  <c r="AK2094" i="11"/>
  <c r="AD1836" i="11"/>
  <c r="AK1836" i="11"/>
  <c r="AK1937" i="11"/>
  <c r="AD1937" i="11"/>
  <c r="AD1791" i="11"/>
  <c r="AK1791" i="11"/>
  <c r="AP1791" i="11" s="1"/>
  <c r="AD1993" i="11"/>
  <c r="AK1993" i="11"/>
  <c r="AD1822" i="11"/>
  <c r="AK1822" i="11"/>
  <c r="AD1943" i="11"/>
  <c r="AK1943" i="11"/>
  <c r="AD1866" i="11"/>
  <c r="AK1866" i="11"/>
  <c r="AD1989" i="11"/>
  <c r="AK1989" i="11"/>
  <c r="AK1810" i="11"/>
  <c r="AD1810" i="11"/>
  <c r="AD1911" i="11"/>
  <c r="AK1911" i="11"/>
  <c r="AK2008" i="11"/>
  <c r="AD2008" i="11"/>
  <c r="AK2054" i="11"/>
  <c r="AD2054" i="11"/>
  <c r="AD2215" i="11"/>
  <c r="AC2213" i="11"/>
  <c r="AD2213" i="11" s="1"/>
  <c r="AK2215" i="11"/>
  <c r="AD2317" i="11"/>
  <c r="AK2317" i="11"/>
  <c r="AK2661" i="11"/>
  <c r="AD2661" i="11"/>
  <c r="AK2203" i="11"/>
  <c r="AD2203" i="11"/>
  <c r="AD2507" i="11"/>
  <c r="AK2507" i="11"/>
  <c r="AD2114" i="11"/>
  <c r="AK2114" i="11"/>
  <c r="AD2311" i="11"/>
  <c r="AK2311" i="11"/>
  <c r="AD2098" i="11"/>
  <c r="AK2098" i="11"/>
  <c r="AD2223" i="11"/>
  <c r="AK2223" i="11"/>
  <c r="AP2223" i="11" s="1"/>
  <c r="AD2415" i="11"/>
  <c r="AK2415" i="11"/>
  <c r="AK2092" i="11"/>
  <c r="AD2092" i="11"/>
  <c r="AD2177" i="11"/>
  <c r="AK2177" i="11"/>
  <c r="AD2261" i="11"/>
  <c r="AK2261" i="11"/>
  <c r="AD2355" i="11"/>
  <c r="AK2355" i="11"/>
  <c r="AD2149" i="11"/>
  <c r="AK2149" i="11"/>
  <c r="AK2271" i="11"/>
  <c r="AP2271" i="11" s="1"/>
  <c r="AD2271" i="11"/>
  <c r="AD2449" i="11"/>
  <c r="AK2449" i="11"/>
  <c r="AD2326" i="11"/>
  <c r="AK2326" i="11"/>
  <c r="AD2686" i="11"/>
  <c r="AK2686" i="11"/>
  <c r="AK2489" i="11"/>
  <c r="AD2489" i="11"/>
  <c r="AD2431" i="11"/>
  <c r="AK2431" i="11"/>
  <c r="AD2477" i="11"/>
  <c r="AK2477" i="11"/>
  <c r="AD2397" i="11"/>
  <c r="AK2397" i="11"/>
  <c r="AD2439" i="11"/>
  <c r="AK2439" i="11"/>
  <c r="AK2722" i="11"/>
  <c r="AD2722" i="11"/>
  <c r="AK2503" i="11"/>
  <c r="AD2503" i="11"/>
  <c r="AD2627" i="11"/>
  <c r="AK2627" i="11"/>
  <c r="AD2589" i="11"/>
  <c r="AK2589" i="11"/>
  <c r="AD2842" i="11"/>
  <c r="AK2842" i="11"/>
  <c r="AD2559" i="11"/>
  <c r="AK2559" i="11"/>
  <c r="AD2649" i="11"/>
  <c r="AK2649" i="11"/>
  <c r="AD2585" i="11"/>
  <c r="AK2585" i="11"/>
  <c r="AD2579" i="11"/>
  <c r="AK2579" i="11"/>
  <c r="AD2688" i="11"/>
  <c r="AK2688" i="11"/>
  <c r="AD2700" i="11"/>
  <c r="AK2700" i="11"/>
  <c r="AD2706" i="11"/>
  <c r="AK2706" i="11"/>
  <c r="AK2844" i="11"/>
  <c r="AD2844" i="11"/>
  <c r="AD2712" i="11"/>
  <c r="AK2712" i="11"/>
  <c r="AD2728" i="11"/>
  <c r="AK2728" i="11"/>
  <c r="AD2894" i="11"/>
  <c r="AK2894" i="11"/>
  <c r="AD2720" i="11"/>
  <c r="AK2720" i="11"/>
  <c r="AD2768" i="11"/>
  <c r="AK2768" i="11"/>
  <c r="AD2944" i="11"/>
  <c r="AK2944" i="11"/>
  <c r="AC2960" i="11"/>
  <c r="AD2962" i="11"/>
  <c r="AK2962" i="11"/>
  <c r="AK2838" i="11"/>
  <c r="AD2838" i="11"/>
  <c r="AD2970" i="11"/>
  <c r="AK2970" i="11"/>
  <c r="AD2868" i="11"/>
  <c r="AK2868" i="11"/>
  <c r="AK2882" i="11"/>
  <c r="AD2882" i="11"/>
  <c r="AK2950" i="11"/>
  <c r="AD2950" i="11"/>
  <c r="AK3032" i="11"/>
  <c r="AD3032" i="11"/>
  <c r="AK3268" i="11"/>
  <c r="AD3268" i="11"/>
  <c r="AK3048" i="11"/>
  <c r="AD3048" i="11"/>
  <c r="AK3026" i="11"/>
  <c r="AD3026" i="11"/>
  <c r="AD2976" i="11"/>
  <c r="AK2976" i="11"/>
  <c r="AD3060" i="11"/>
  <c r="AK3060" i="11"/>
  <c r="AD2966" i="11"/>
  <c r="AK2966" i="11"/>
  <c r="AD3050" i="11"/>
  <c r="AK3050" i="11"/>
  <c r="AD3131" i="11"/>
  <c r="AK3131" i="11"/>
  <c r="AD3185" i="11"/>
  <c r="AK3185" i="11"/>
  <c r="AK3293" i="11"/>
  <c r="AD3293" i="11"/>
  <c r="AK3155" i="11"/>
  <c r="AD3155" i="11"/>
  <c r="AD3266" i="11"/>
  <c r="AK3266" i="11"/>
  <c r="AD3169" i="11"/>
  <c r="AK3169" i="11"/>
  <c r="AD3165" i="11"/>
  <c r="AK3165" i="11"/>
  <c r="AD3270" i="11"/>
  <c r="AK3270" i="11"/>
  <c r="AK3157" i="11"/>
  <c r="AD3157" i="11"/>
  <c r="AK3321" i="11"/>
  <c r="AP3321" i="11" s="1"/>
  <c r="AD3321" i="11"/>
  <c r="AK3315" i="11"/>
  <c r="AD3315" i="11"/>
  <c r="AM2804" i="11"/>
  <c r="AM3145" i="11"/>
  <c r="AM430" i="11"/>
  <c r="AM1223" i="11"/>
  <c r="AM3321" i="11"/>
  <c r="AM3179" i="11"/>
  <c r="AM1231" i="11"/>
  <c r="AM2760" i="11"/>
  <c r="AM649" i="11"/>
  <c r="AM1674" i="11"/>
  <c r="AM2341" i="11"/>
  <c r="AM3161" i="11"/>
  <c r="AM1791" i="11"/>
  <c r="AM1285" i="11"/>
  <c r="AM2223" i="11"/>
  <c r="AM557" i="11"/>
  <c r="AM2271" i="11" l="1"/>
  <c r="AM2752" i="11"/>
  <c r="AM1293" i="11"/>
  <c r="AL2084" i="11"/>
  <c r="AM605" i="11"/>
  <c r="AM1011" i="11"/>
  <c r="AL3151" i="11"/>
  <c r="AM581" i="11"/>
  <c r="AL1630" i="11"/>
  <c r="AL2345" i="11"/>
  <c r="AL2537" i="11"/>
  <c r="AM70" i="11"/>
  <c r="AM68" i="11"/>
  <c r="AM3268" i="11"/>
  <c r="AP3268" i="11"/>
  <c r="AP2944" i="11"/>
  <c r="AM2728" i="11"/>
  <c r="AP2728" i="11"/>
  <c r="AM2700" i="11"/>
  <c r="AP2700" i="11"/>
  <c r="AM2649" i="11"/>
  <c r="AP2649" i="11"/>
  <c r="AP2627" i="11"/>
  <c r="AM2627" i="11"/>
  <c r="AM2397" i="11"/>
  <c r="AP2397" i="11"/>
  <c r="AM2686" i="11"/>
  <c r="AP2686" i="11"/>
  <c r="AM2149" i="11"/>
  <c r="AP2149" i="11"/>
  <c r="AM2311" i="11"/>
  <c r="AP2311" i="11"/>
  <c r="AP2054" i="11"/>
  <c r="AM2054" i="11"/>
  <c r="AM1748" i="11"/>
  <c r="AP1748" i="11"/>
  <c r="AM1484" i="11"/>
  <c r="AP1484" i="11"/>
  <c r="AM1374" i="11"/>
  <c r="AP1374" i="11"/>
  <c r="AM1003" i="11"/>
  <c r="AP1003" i="11"/>
  <c r="AM1068" i="11"/>
  <c r="AP1068" i="11"/>
  <c r="AM599" i="11"/>
  <c r="AP599" i="11"/>
  <c r="AP510" i="11"/>
  <c r="AM392" i="11"/>
  <c r="AP392" i="11"/>
  <c r="AM528" i="11"/>
  <c r="AP528" i="11"/>
  <c r="AM559" i="11"/>
  <c r="AP559" i="11"/>
  <c r="AP68" i="11"/>
  <c r="AP360" i="11"/>
  <c r="AM360" i="11"/>
  <c r="AM3254" i="11"/>
  <c r="AP3254" i="11"/>
  <c r="AK3252" i="11"/>
  <c r="AM2954" i="11"/>
  <c r="AP2954" i="11"/>
  <c r="AM2952" i="11"/>
  <c r="AP2952" i="11"/>
  <c r="AM2499" i="11"/>
  <c r="AP2499" i="11"/>
  <c r="AP2137" i="11"/>
  <c r="AM2137" i="11"/>
  <c r="AM2305" i="11"/>
  <c r="AP2305" i="11"/>
  <c r="AM2118" i="11"/>
  <c r="AP2118" i="11"/>
  <c r="AM1728" i="11"/>
  <c r="AP1728" i="11"/>
  <c r="AM1973" i="11"/>
  <c r="AP1973" i="11"/>
  <c r="AM1625" i="11"/>
  <c r="AP1625" i="11"/>
  <c r="AM1384" i="11"/>
  <c r="AP1384" i="11"/>
  <c r="AM1225" i="11"/>
  <c r="AP1225" i="11"/>
  <c r="AD851" i="11"/>
  <c r="AC848" i="11"/>
  <c r="AD848" i="11" s="1"/>
  <c r="AP902" i="11"/>
  <c r="AM902" i="11"/>
  <c r="AM504" i="11"/>
  <c r="AP504" i="11"/>
  <c r="AM741" i="11"/>
  <c r="AP741" i="11"/>
  <c r="AM793" i="11"/>
  <c r="AP793" i="11"/>
  <c r="AM522" i="11"/>
  <c r="AP522" i="11"/>
  <c r="AP64" i="11"/>
  <c r="AP406" i="11"/>
  <c r="AP404" i="11" s="1"/>
  <c r="AM406" i="11"/>
  <c r="AK404" i="11"/>
  <c r="AM404" i="11" s="1"/>
  <c r="AM262" i="11"/>
  <c r="AP262" i="11"/>
  <c r="AP3246" i="11"/>
  <c r="AM3246" i="11"/>
  <c r="AP3065" i="11"/>
  <c r="AM3065" i="11"/>
  <c r="AM2936" i="11"/>
  <c r="AP2936" i="11"/>
  <c r="AM2659" i="11"/>
  <c r="AP2659" i="11"/>
  <c r="AP2549" i="11"/>
  <c r="AM2549" i="11"/>
  <c r="AM2495" i="11"/>
  <c r="AP2495" i="11"/>
  <c r="AM2533" i="11"/>
  <c r="AP2533" i="11"/>
  <c r="AM2255" i="11"/>
  <c r="AP2255" i="11"/>
  <c r="AP2062" i="11"/>
  <c r="AM2062" i="11"/>
  <c r="AP1853" i="11"/>
  <c r="AM1853" i="11"/>
  <c r="AM1452" i="11"/>
  <c r="AP1452" i="11"/>
  <c r="AM1957" i="11"/>
  <c r="AP1957" i="11"/>
  <c r="AP1589" i="11"/>
  <c r="AM1589" i="11"/>
  <c r="AM1259" i="11"/>
  <c r="AP1259" i="11"/>
  <c r="AM1221" i="11"/>
  <c r="AP1221" i="11"/>
  <c r="AM1275" i="11"/>
  <c r="AP1275" i="11"/>
  <c r="AM837" i="11"/>
  <c r="AP837" i="11"/>
  <c r="AM821" i="11"/>
  <c r="AP821" i="11"/>
  <c r="AM456" i="11"/>
  <c r="AP456" i="11"/>
  <c r="AP690" i="11"/>
  <c r="AM690" i="11"/>
  <c r="AM362" i="11"/>
  <c r="AP362" i="11"/>
  <c r="AM226" i="11"/>
  <c r="AP226" i="11"/>
  <c r="AM3232" i="11"/>
  <c r="AP3232" i="11"/>
  <c r="AM2902" i="11"/>
  <c r="AP2902" i="11"/>
  <c r="AP2651" i="11"/>
  <c r="AM2651" i="11"/>
  <c r="AM2543" i="11"/>
  <c r="AP2543" i="11"/>
  <c r="AM2251" i="11"/>
  <c r="AP2251" i="11"/>
  <c r="AP2263" i="11"/>
  <c r="AM2263" i="11"/>
  <c r="AP1842" i="11"/>
  <c r="AM1842" i="11"/>
  <c r="AM1909" i="11"/>
  <c r="AP1909" i="11"/>
  <c r="AK1907" i="11"/>
  <c r="AP1921" i="11"/>
  <c r="AM1921" i="11"/>
  <c r="AP1585" i="11"/>
  <c r="AM1585" i="11"/>
  <c r="AP1205" i="11"/>
  <c r="AM1205" i="11"/>
  <c r="AM1289" i="11"/>
  <c r="AP1289" i="11"/>
  <c r="AM609" i="11"/>
  <c r="AP609" i="11"/>
  <c r="AM896" i="11"/>
  <c r="AP896" i="11"/>
  <c r="AP549" i="11"/>
  <c r="AM549" i="11"/>
  <c r="AP567" i="11"/>
  <c r="AM567" i="11"/>
  <c r="AP658" i="11"/>
  <c r="AM658" i="11"/>
  <c r="AM340" i="11"/>
  <c r="AP340" i="11"/>
  <c r="AM3018" i="11"/>
  <c r="AP3018" i="11"/>
  <c r="AP2846" i="11"/>
  <c r="AM2846" i="11"/>
  <c r="AM2601" i="11"/>
  <c r="AP2601" i="11"/>
  <c r="AM2680" i="11"/>
  <c r="AP2680" i="11"/>
  <c r="AM2221" i="11"/>
  <c r="AP2221" i="11"/>
  <c r="AP2131" i="11"/>
  <c r="AM2131" i="11"/>
  <c r="AM2014" i="11"/>
  <c r="AP2014" i="11"/>
  <c r="AP2163" i="11"/>
  <c r="AM2163" i="11"/>
  <c r="AP2074" i="11"/>
  <c r="AM2074" i="11"/>
  <c r="AM1537" i="11"/>
  <c r="AP1537" i="11"/>
  <c r="AM1785" i="11"/>
  <c r="AP1785" i="11"/>
  <c r="AP1599" i="11"/>
  <c r="AM1599" i="11"/>
  <c r="AP1424" i="11"/>
  <c r="AM1424" i="11"/>
  <c r="AM1130" i="11"/>
  <c r="AP1130" i="11"/>
  <c r="AK1128" i="11"/>
  <c r="AP591" i="11"/>
  <c r="AM813" i="11"/>
  <c r="AP813" i="11"/>
  <c r="AM543" i="11"/>
  <c r="AP543" i="11"/>
  <c r="AM266" i="11"/>
  <c r="AP266" i="11"/>
  <c r="AM276" i="11"/>
  <c r="AP276" i="11"/>
  <c r="AM3087" i="11"/>
  <c r="AP3087" i="11"/>
  <c r="AP2800" i="11"/>
  <c r="AM2800" i="11"/>
  <c r="AM2820" i="11"/>
  <c r="AP2820" i="11"/>
  <c r="AM2772" i="11"/>
  <c r="AP2772" i="11"/>
  <c r="AM2678" i="11"/>
  <c r="AP2678" i="11"/>
  <c r="AP2529" i="11"/>
  <c r="AK2527" i="11"/>
  <c r="AM2529" i="11"/>
  <c r="AM2441" i="11"/>
  <c r="AP2441" i="11"/>
  <c r="AM2209" i="11"/>
  <c r="AP2209" i="11"/>
  <c r="AM2195" i="11"/>
  <c r="AP2195" i="11"/>
  <c r="AM2135" i="11"/>
  <c r="AP2135" i="11"/>
  <c r="AM2229" i="11"/>
  <c r="AP2229" i="11"/>
  <c r="AM2241" i="11"/>
  <c r="AP2241" i="11"/>
  <c r="AM1857" i="11"/>
  <c r="AP1857" i="11"/>
  <c r="AM1777" i="11"/>
  <c r="AP1777" i="11"/>
  <c r="AD1773" i="11"/>
  <c r="AC1770" i="11"/>
  <c r="AD1770" i="11" s="1"/>
  <c r="AM1583" i="11"/>
  <c r="AP1583" i="11"/>
  <c r="AM1762" i="11"/>
  <c r="AP1762" i="11"/>
  <c r="AP951" i="11"/>
  <c r="AM1005" i="11"/>
  <c r="AP1005" i="11"/>
  <c r="AM871" i="11"/>
  <c r="AP871" i="11"/>
  <c r="AM759" i="11"/>
  <c r="AP759" i="11"/>
  <c r="AP682" i="11"/>
  <c r="AM682" i="11"/>
  <c r="AP623" i="11"/>
  <c r="AM623" i="11"/>
  <c r="AP541" i="11"/>
  <c r="AM541" i="11"/>
  <c r="AM440" i="11"/>
  <c r="AP440" i="11"/>
  <c r="AD412" i="11"/>
  <c r="AC409" i="11"/>
  <c r="AD409" i="11" s="1"/>
  <c r="AM94" i="11"/>
  <c r="AP94" i="11"/>
  <c r="AP98" i="11"/>
  <c r="AM98" i="11"/>
  <c r="AP22" i="11"/>
  <c r="AM3085" i="11"/>
  <c r="AP3085" i="11"/>
  <c r="AM3069" i="11"/>
  <c r="AP3069" i="11"/>
  <c r="AP2792" i="11"/>
  <c r="AM2792" i="11"/>
  <c r="AP2746" i="11"/>
  <c r="AM2746" i="11"/>
  <c r="AM2667" i="11"/>
  <c r="AP2667" i="11"/>
  <c r="AM2710" i="11"/>
  <c r="AP2710" i="11"/>
  <c r="AM2181" i="11"/>
  <c r="AP2181" i="11"/>
  <c r="AM2191" i="11"/>
  <c r="AP2191" i="11"/>
  <c r="AM2124" i="11"/>
  <c r="AP2124" i="11"/>
  <c r="AM1789" i="11"/>
  <c r="AP1789" i="11"/>
  <c r="AM1359" i="11"/>
  <c r="AP1359" i="11"/>
  <c r="AP1398" i="11"/>
  <c r="AM1398" i="11"/>
  <c r="AM751" i="11"/>
  <c r="AP751" i="11"/>
  <c r="AP688" i="11"/>
  <c r="AM688" i="11"/>
  <c r="AM684" i="11"/>
  <c r="AP684" i="11"/>
  <c r="AM500" i="11"/>
  <c r="AP500" i="11"/>
  <c r="AM324" i="11"/>
  <c r="AP324" i="11"/>
  <c r="AM458" i="11"/>
  <c r="AP458" i="11"/>
  <c r="AP60" i="11"/>
  <c r="AM2964" i="11"/>
  <c r="AP2964" i="11"/>
  <c r="AP2744" i="11"/>
  <c r="AM2744" i="11"/>
  <c r="AP2740" i="11"/>
  <c r="AM2740" i="11"/>
  <c r="AK2738" i="11"/>
  <c r="AM2595" i="11"/>
  <c r="AP2595" i="11"/>
  <c r="AM2443" i="11"/>
  <c r="AP2443" i="11"/>
  <c r="AP2112" i="11"/>
  <c r="AM2112" i="11"/>
  <c r="AP2225" i="11"/>
  <c r="AM2225" i="11"/>
  <c r="AM1840" i="11"/>
  <c r="AP1840" i="11"/>
  <c r="AM1927" i="11"/>
  <c r="AP1927" i="11"/>
  <c r="AM1372" i="11"/>
  <c r="AP1372" i="11"/>
  <c r="AM1337" i="11"/>
  <c r="AP1337" i="11"/>
  <c r="AM906" i="11"/>
  <c r="AP906" i="11"/>
  <c r="AK924" i="11"/>
  <c r="AP926" i="11"/>
  <c r="AM863" i="11"/>
  <c r="AP863" i="11"/>
  <c r="AM1545" i="11"/>
  <c r="AP1545" i="11"/>
  <c r="AP593" i="11"/>
  <c r="AM593" i="11"/>
  <c r="AP518" i="11"/>
  <c r="AM448" i="11"/>
  <c r="AP448" i="11"/>
  <c r="AD369" i="11"/>
  <c r="AC365" i="11"/>
  <c r="AD365" i="11" s="1"/>
  <c r="AM375" i="11"/>
  <c r="AP375" i="11"/>
  <c r="AL2609" i="11"/>
  <c r="AL3309" i="11"/>
  <c r="AL3289" i="11"/>
  <c r="AM2169" i="11"/>
  <c r="AL1199" i="11"/>
  <c r="AM474" i="11"/>
  <c r="AL2393" i="11"/>
  <c r="AL2333" i="11"/>
  <c r="AL2960" i="11"/>
  <c r="AM48" i="11"/>
  <c r="AM72" i="11"/>
  <c r="AM3266" i="11"/>
  <c r="AP3266" i="11"/>
  <c r="AP3131" i="11"/>
  <c r="AM3131" i="11"/>
  <c r="AP2976" i="11"/>
  <c r="AM2976" i="11"/>
  <c r="AM2970" i="11"/>
  <c r="AP2970" i="11"/>
  <c r="AM2092" i="11"/>
  <c r="AP2092" i="11"/>
  <c r="AM2661" i="11"/>
  <c r="AP2661" i="11"/>
  <c r="AM1866" i="11"/>
  <c r="AP1866" i="11"/>
  <c r="AM1874" i="11"/>
  <c r="AP1874" i="11"/>
  <c r="AM1605" i="11"/>
  <c r="AP1605" i="11"/>
  <c r="AM2038" i="11"/>
  <c r="AP2038" i="11"/>
  <c r="AM865" i="11"/>
  <c r="AP865" i="11"/>
  <c r="AP914" i="11"/>
  <c r="AM914" i="11"/>
  <c r="AM912" i="11"/>
  <c r="AP912" i="11"/>
  <c r="AM745" i="11"/>
  <c r="AP745" i="11"/>
  <c r="AM494" i="11"/>
  <c r="AP494" i="11"/>
  <c r="AP468" i="11"/>
  <c r="AP198" i="11"/>
  <c r="AM198" i="11"/>
  <c r="AM358" i="11"/>
  <c r="AP358" i="11"/>
  <c r="AP3264" i="11"/>
  <c r="AP3141" i="11"/>
  <c r="AM3141" i="11"/>
  <c r="AM3046" i="11"/>
  <c r="AP3046" i="11"/>
  <c r="AP3008" i="11"/>
  <c r="AM3008" i="11"/>
  <c r="AP2934" i="11"/>
  <c r="AM2934" i="11"/>
  <c r="AM2946" i="11"/>
  <c r="AP2946" i="11"/>
  <c r="AM2758" i="11"/>
  <c r="AP2758" i="11"/>
  <c r="AM2669" i="11"/>
  <c r="AP2669" i="11"/>
  <c r="AM2553" i="11"/>
  <c r="AP2553" i="11"/>
  <c r="AM2469" i="11"/>
  <c r="AP2469" i="11"/>
  <c r="AP2734" i="11"/>
  <c r="AM2734" i="11"/>
  <c r="AP1884" i="11"/>
  <c r="AM1884" i="11"/>
  <c r="AK1882" i="11"/>
  <c r="AM2429" i="11"/>
  <c r="AP2429" i="11"/>
  <c r="AM1868" i="11"/>
  <c r="AP1868" i="11"/>
  <c r="AP1660" i="11"/>
  <c r="AM1660" i="11"/>
  <c r="AP1597" i="11"/>
  <c r="AM1597" i="11"/>
  <c r="AP1277" i="11"/>
  <c r="AM1277" i="11"/>
  <c r="AM1305" i="11"/>
  <c r="AP1305" i="11"/>
  <c r="AM1402" i="11"/>
  <c r="AP1402" i="11"/>
  <c r="AP1203" i="11"/>
  <c r="AM1203" i="11"/>
  <c r="AP579" i="11"/>
  <c r="AP839" i="11"/>
  <c r="AM839" i="11"/>
  <c r="AM547" i="11"/>
  <c r="AP547" i="11"/>
  <c r="AP194" i="11"/>
  <c r="AM194" i="11"/>
  <c r="AM338" i="11"/>
  <c r="AP338" i="11"/>
  <c r="AP3242" i="11"/>
  <c r="AM3242" i="11"/>
  <c r="AC3224" i="11"/>
  <c r="AD3224" i="11" s="1"/>
  <c r="AD3228" i="11"/>
  <c r="AP3024" i="11"/>
  <c r="AP2982" i="11"/>
  <c r="AM2982" i="11"/>
  <c r="AM3036" i="11"/>
  <c r="AP3036" i="11"/>
  <c r="AM2663" i="11"/>
  <c r="AP2663" i="11"/>
  <c r="AM2818" i="11"/>
  <c r="AP2818" i="11"/>
  <c r="AP2798" i="11"/>
  <c r="AM2798" i="11"/>
  <c r="AM2676" i="11"/>
  <c r="AP2676" i="11"/>
  <c r="AM2365" i="11"/>
  <c r="AP2365" i="11"/>
  <c r="AM2425" i="11"/>
  <c r="AP2425" i="11"/>
  <c r="AM2217" i="11"/>
  <c r="AP2217" i="11"/>
  <c r="AM2285" i="11"/>
  <c r="AP2285" i="11"/>
  <c r="AM1894" i="11"/>
  <c r="AP1894" i="11"/>
  <c r="AP1915" i="11"/>
  <c r="AM1915" i="11"/>
  <c r="AM1991" i="11"/>
  <c r="AP1991" i="11"/>
  <c r="AM1676" i="11"/>
  <c r="AP1676" i="11"/>
  <c r="AM1097" i="11"/>
  <c r="AP1097" i="11"/>
  <c r="AM1144" i="11"/>
  <c r="AP1144" i="11"/>
  <c r="AM1176" i="11"/>
  <c r="AP1176" i="11"/>
  <c r="AP1392" i="11"/>
  <c r="AM1392" i="11"/>
  <c r="AP947" i="11"/>
  <c r="AP1408" i="11"/>
  <c r="AM1408" i="11"/>
  <c r="AM625" i="11"/>
  <c r="AP625" i="11"/>
  <c r="AP945" i="11"/>
  <c r="AP955" i="11"/>
  <c r="AM537" i="11"/>
  <c r="AP537" i="11"/>
  <c r="AM292" i="11"/>
  <c r="AP292" i="11"/>
  <c r="AP254" i="11"/>
  <c r="AM254" i="11"/>
  <c r="AM158" i="11"/>
  <c r="AP158" i="11"/>
  <c r="AP24" i="11"/>
  <c r="AK3289" i="11"/>
  <c r="AP3291" i="11"/>
  <c r="AM3291" i="11"/>
  <c r="AM3010" i="11"/>
  <c r="AP3010" i="11"/>
  <c r="AM2930" i="11"/>
  <c r="AP2930" i="11"/>
  <c r="AM2948" i="11"/>
  <c r="AP2948" i="11"/>
  <c r="AM3022" i="11"/>
  <c r="AP3022" i="11"/>
  <c r="AM2547" i="11"/>
  <c r="AP2547" i="11"/>
  <c r="AP2754" i="11"/>
  <c r="AM2754" i="11"/>
  <c r="AM2555" i="11"/>
  <c r="AP2555" i="11"/>
  <c r="AM2205" i="11"/>
  <c r="AP2205" i="11"/>
  <c r="AM2147" i="11"/>
  <c r="AP2147" i="11"/>
  <c r="AM2281" i="11"/>
  <c r="AP2281" i="11"/>
  <c r="AM2259" i="11"/>
  <c r="AP2259" i="11"/>
  <c r="AD1907" i="11"/>
  <c r="AC1903" i="11"/>
  <c r="AD1903" i="11" s="1"/>
  <c r="AP1953" i="11"/>
  <c r="AM1953" i="11"/>
  <c r="AM1426" i="11"/>
  <c r="AP1426" i="11"/>
  <c r="AM1251" i="11"/>
  <c r="AP1251" i="11"/>
  <c r="AM1339" i="11"/>
  <c r="AP1339" i="11"/>
  <c r="AC994" i="11"/>
  <c r="AD994" i="11" s="1"/>
  <c r="AD997" i="11"/>
  <c r="AM1034" i="11"/>
  <c r="AP1034" i="11"/>
  <c r="AM892" i="11"/>
  <c r="AP892" i="11"/>
  <c r="AM817" i="11"/>
  <c r="AP817" i="11"/>
  <c r="AP698" i="11"/>
  <c r="AM698" i="11"/>
  <c r="AM138" i="11"/>
  <c r="AP138" i="11"/>
  <c r="AP72" i="11"/>
  <c r="AP250" i="11"/>
  <c r="AM250" i="11"/>
  <c r="AM112" i="11"/>
  <c r="AP112" i="11"/>
  <c r="AM284" i="11"/>
  <c r="AP284" i="11"/>
  <c r="AP3303" i="11"/>
  <c r="AM3303" i="11"/>
  <c r="AM3215" i="11"/>
  <c r="AP3215" i="11"/>
  <c r="AM2974" i="11"/>
  <c r="AP2974" i="11"/>
  <c r="AM2896" i="11"/>
  <c r="AP2896" i="11"/>
  <c r="AM2774" i="11"/>
  <c r="AP2774" i="11"/>
  <c r="AM2870" i="11"/>
  <c r="AP2870" i="11"/>
  <c r="AM2637" i="11"/>
  <c r="AP2637" i="11"/>
  <c r="AP2475" i="11"/>
  <c r="AM2475" i="11"/>
  <c r="AM2185" i="11"/>
  <c r="AP2185" i="11"/>
  <c r="AM1929" i="11"/>
  <c r="AP1929" i="11"/>
  <c r="AP1919" i="11"/>
  <c r="AP1983" i="11"/>
  <c r="AM1716" i="11"/>
  <c r="AP1716" i="11"/>
  <c r="AM1654" i="11"/>
  <c r="AP1654" i="11"/>
  <c r="AM1579" i="11"/>
  <c r="AP1579" i="11"/>
  <c r="AM1518" i="11"/>
  <c r="AP1518" i="11"/>
  <c r="AM1343" i="11"/>
  <c r="AP1343" i="11"/>
  <c r="AM1281" i="11"/>
  <c r="AP1281" i="11"/>
  <c r="AP981" i="11"/>
  <c r="AM1136" i="11"/>
  <c r="AP1136" i="11"/>
  <c r="AP645" i="11"/>
  <c r="AM645" i="11"/>
  <c r="AM496" i="11"/>
  <c r="AP496" i="11"/>
  <c r="AP615" i="11"/>
  <c r="AM615" i="11"/>
  <c r="AP96" i="11"/>
  <c r="AM96" i="11"/>
  <c r="AP78" i="11"/>
  <c r="AM78" i="11"/>
  <c r="AP3283" i="11"/>
  <c r="AM3283" i="11"/>
  <c r="AM3089" i="11"/>
  <c r="AP3089" i="11"/>
  <c r="AM3083" i="11"/>
  <c r="AP3083" i="11"/>
  <c r="AP3014" i="11"/>
  <c r="AM3014" i="11"/>
  <c r="AM2916" i="11"/>
  <c r="AP2916" i="11"/>
  <c r="AM2613" i="11"/>
  <c r="AP2613" i="11"/>
  <c r="AP2577" i="11"/>
  <c r="AM2577" i="11"/>
  <c r="AM2575" i="11"/>
  <c r="AP2575" i="11"/>
  <c r="AP2056" i="11"/>
  <c r="AM2056" i="11"/>
  <c r="AP1862" i="11"/>
  <c r="AM1862" i="11"/>
  <c r="AK1860" i="11"/>
  <c r="AM1506" i="11"/>
  <c r="AP1506" i="11"/>
  <c r="AM1508" i="11"/>
  <c r="AP1508" i="11"/>
  <c r="AM1235" i="11"/>
  <c r="AP1235" i="11"/>
  <c r="AM1186" i="11"/>
  <c r="AP1186" i="11"/>
  <c r="AP916" i="11"/>
  <c r="AM916" i="11"/>
  <c r="AP807" i="11"/>
  <c r="AM807" i="11"/>
  <c r="AM414" i="11"/>
  <c r="AP414" i="11"/>
  <c r="AK412" i="11"/>
  <c r="AM382" i="11"/>
  <c r="AP382" i="11"/>
  <c r="AK380" i="11"/>
  <c r="AM228" i="11"/>
  <c r="AP228" i="11"/>
  <c r="AP28" i="11"/>
  <c r="AP218" i="11"/>
  <c r="AM218" i="11"/>
  <c r="AK3063" i="11"/>
  <c r="AM3079" i="11"/>
  <c r="AP3079" i="11"/>
  <c r="AP2998" i="11"/>
  <c r="AM2998" i="11"/>
  <c r="AM3077" i="11"/>
  <c r="AP3077" i="11"/>
  <c r="AM2519" i="11"/>
  <c r="AP2519" i="11"/>
  <c r="AM2571" i="11"/>
  <c r="AP2571" i="11"/>
  <c r="AM2569" i="11"/>
  <c r="AP2569" i="11"/>
  <c r="AM2501" i="11"/>
  <c r="AP2501" i="11"/>
  <c r="AP2387" i="11"/>
  <c r="AP2153" i="11"/>
  <c r="AM2153" i="11"/>
  <c r="AM2090" i="11"/>
  <c r="AP2090" i="11"/>
  <c r="AM1941" i="11"/>
  <c r="AP1941" i="11"/>
  <c r="AM1708" i="11"/>
  <c r="AP1708" i="11"/>
  <c r="AM1613" i="11"/>
  <c r="AP1613" i="11"/>
  <c r="AM1490" i="11"/>
  <c r="AP1490" i="11"/>
  <c r="AM1283" i="11"/>
  <c r="AP1283" i="11"/>
  <c r="AM1543" i="11"/>
  <c r="AP1543" i="11"/>
  <c r="AP1042" i="11"/>
  <c r="AM1042" i="11"/>
  <c r="AM1099" i="11"/>
  <c r="AP1099" i="11"/>
  <c r="AP898" i="11"/>
  <c r="AM898" i="11"/>
  <c r="AM627" i="11"/>
  <c r="AP627" i="11"/>
  <c r="AP384" i="11"/>
  <c r="AM384" i="11"/>
  <c r="AP110" i="11"/>
  <c r="AM206" i="11"/>
  <c r="AP206" i="11"/>
  <c r="AP152" i="11"/>
  <c r="AM152" i="11"/>
  <c r="AP3313" i="11"/>
  <c r="AM3313" i="11"/>
  <c r="AM3058" i="11"/>
  <c r="AP3058" i="11"/>
  <c r="AM3004" i="11"/>
  <c r="AP3004" i="11"/>
  <c r="AM2788" i="11"/>
  <c r="AP2788" i="11"/>
  <c r="AM2716" i="11"/>
  <c r="AP2716" i="11"/>
  <c r="AM2657" i="11"/>
  <c r="AP2657" i="11"/>
  <c r="AM2702" i="11"/>
  <c r="AP2702" i="11"/>
  <c r="AM2279" i="11"/>
  <c r="AP2279" i="11"/>
  <c r="AP2187" i="11"/>
  <c r="AM2187" i="11"/>
  <c r="AM2207" i="11"/>
  <c r="AP2207" i="11"/>
  <c r="AP2064" i="11"/>
  <c r="AM2064" i="11"/>
  <c r="AP1995" i="11"/>
  <c r="AM1995" i="11"/>
  <c r="AM1634" i="11"/>
  <c r="AP1634" i="11"/>
  <c r="AP1376" i="11"/>
  <c r="AM1376" i="11"/>
  <c r="AP1682" i="11"/>
  <c r="AM1682" i="11"/>
  <c r="AM1621" i="11"/>
  <c r="AP1621" i="11"/>
  <c r="AP1464" i="11"/>
  <c r="AM1464" i="11"/>
  <c r="AM1117" i="11"/>
  <c r="AP1117" i="11"/>
  <c r="AM1101" i="11"/>
  <c r="AP1101" i="11"/>
  <c r="AM1115" i="11"/>
  <c r="AP1115" i="11"/>
  <c r="AP1172" i="11"/>
  <c r="AM1172" i="11"/>
  <c r="AM1062" i="11"/>
  <c r="AP1062" i="11"/>
  <c r="AM1119" i="11"/>
  <c r="AP1119" i="11"/>
  <c r="AP749" i="11"/>
  <c r="AM749" i="11"/>
  <c r="AM799" i="11"/>
  <c r="AP799" i="11"/>
  <c r="AP462" i="11"/>
  <c r="AP70" i="11"/>
  <c r="AP286" i="11"/>
  <c r="AM286" i="11"/>
  <c r="AM216" i="11"/>
  <c r="AP216" i="11"/>
  <c r="AP144" i="11"/>
  <c r="AM144" i="11"/>
  <c r="AL2359" i="11"/>
  <c r="AL2764" i="11"/>
  <c r="AL3063" i="11"/>
  <c r="AM140" i="11"/>
  <c r="AM947" i="11"/>
  <c r="AL2320" i="11"/>
  <c r="AM62" i="11"/>
  <c r="AM22" i="11"/>
  <c r="AM52" i="11"/>
  <c r="AM24" i="11"/>
  <c r="AM3157" i="11"/>
  <c r="AP3157" i="11"/>
  <c r="AM3032" i="11"/>
  <c r="AP3032" i="11"/>
  <c r="AP2768" i="11"/>
  <c r="AM2768" i="11"/>
  <c r="AM2712" i="11"/>
  <c r="AP2712" i="11"/>
  <c r="AM2688" i="11"/>
  <c r="AP2688" i="11"/>
  <c r="AP2559" i="11"/>
  <c r="AM2559" i="11"/>
  <c r="AM2477" i="11"/>
  <c r="AP2477" i="11"/>
  <c r="AM2326" i="11"/>
  <c r="AP2326" i="11"/>
  <c r="AP2355" i="11"/>
  <c r="AM2355" i="11"/>
  <c r="AM2415" i="11"/>
  <c r="AP2415" i="11"/>
  <c r="AM2114" i="11"/>
  <c r="AP2114" i="11"/>
  <c r="AP2317" i="11"/>
  <c r="AM2317" i="11"/>
  <c r="AM2008" i="11"/>
  <c r="AP2008" i="11"/>
  <c r="AM1744" i="11"/>
  <c r="AP1744" i="11"/>
  <c r="AP1644" i="11"/>
  <c r="AM1644" i="11"/>
  <c r="AM1297" i="11"/>
  <c r="AP1297" i="11"/>
  <c r="AM1390" i="11"/>
  <c r="AP1390" i="11"/>
  <c r="AP1253" i="11"/>
  <c r="AM1253" i="11"/>
  <c r="AP1309" i="11"/>
  <c r="AM1309" i="11"/>
  <c r="AM855" i="11"/>
  <c r="AP855" i="11"/>
  <c r="AP963" i="11"/>
  <c r="AP867" i="11"/>
  <c r="AM867" i="11"/>
  <c r="AM1113" i="11"/>
  <c r="AP1113" i="11"/>
  <c r="AP502" i="11"/>
  <c r="AM502" i="11"/>
  <c r="AM785" i="11"/>
  <c r="AP785" i="11"/>
  <c r="AM434" i="11"/>
  <c r="AP434" i="11"/>
  <c r="AM280" i="11"/>
  <c r="AP280" i="11"/>
  <c r="AP208" i="11"/>
  <c r="AM208" i="11"/>
  <c r="AP104" i="11"/>
  <c r="AK102" i="11"/>
  <c r="AP2690" i="11"/>
  <c r="AM2690" i="11"/>
  <c r="AP2826" i="11"/>
  <c r="AM2826" i="11"/>
  <c r="AP2573" i="11"/>
  <c r="AM2573" i="11"/>
  <c r="AM2816" i="11"/>
  <c r="AK2814" i="11"/>
  <c r="AP2816" i="11"/>
  <c r="AP2718" i="11"/>
  <c r="AM2718" i="11"/>
  <c r="AM2267" i="11"/>
  <c r="AP2267" i="11"/>
  <c r="AP2389" i="11"/>
  <c r="AM2389" i="11"/>
  <c r="AM2070" i="11"/>
  <c r="AP2070" i="11"/>
  <c r="AM2309" i="11"/>
  <c r="AP2309" i="11"/>
  <c r="AM1913" i="11"/>
  <c r="AP1913" i="11"/>
  <c r="AM1923" i="11"/>
  <c r="AP1923" i="11"/>
  <c r="AM2016" i="11"/>
  <c r="AP2016" i="11"/>
  <c r="AM1702" i="11"/>
  <c r="AP1702" i="11"/>
  <c r="AM1458" i="11"/>
  <c r="AP1458" i="11"/>
  <c r="AP1766" i="11"/>
  <c r="AM1766" i="11"/>
  <c r="AP1668" i="11"/>
  <c r="AM1668" i="11"/>
  <c r="AM1103" i="11"/>
  <c r="AP1103" i="11"/>
  <c r="AP1271" i="11"/>
  <c r="AM1271" i="11"/>
  <c r="AM1150" i="11"/>
  <c r="AP1150" i="11"/>
  <c r="AM1184" i="11"/>
  <c r="AP1184" i="11"/>
  <c r="AP853" i="11"/>
  <c r="AM853" i="11"/>
  <c r="AK851" i="11"/>
  <c r="AP953" i="11"/>
  <c r="AM833" i="11"/>
  <c r="AP833" i="11"/>
  <c r="AM1093" i="11"/>
  <c r="AP1093" i="11"/>
  <c r="AP861" i="11"/>
  <c r="AM861" i="11"/>
  <c r="AP1050" i="11"/>
  <c r="AM1050" i="11"/>
  <c r="AM348" i="11"/>
  <c r="AP348" i="11"/>
  <c r="AM334" i="11"/>
  <c r="AP334" i="11"/>
  <c r="AM3133" i="11"/>
  <c r="AP3133" i="11"/>
  <c r="AP3020" i="11"/>
  <c r="AM3020" i="11"/>
  <c r="AM2567" i="11"/>
  <c r="AP2567" i="11"/>
  <c r="AM2143" i="11"/>
  <c r="AP2143" i="11"/>
  <c r="AM1787" i="11"/>
  <c r="AP1787" i="11"/>
  <c r="AM1828" i="11"/>
  <c r="AP1828" i="11"/>
  <c r="AM1559" i="11"/>
  <c r="AP1559" i="11"/>
  <c r="AM1738" i="11"/>
  <c r="AP1738" i="11"/>
  <c r="AM1664" i="11"/>
  <c r="AP1664" i="11"/>
  <c r="AM1684" i="11"/>
  <c r="AP1684" i="11"/>
  <c r="AM1267" i="11"/>
  <c r="AP1267" i="11"/>
  <c r="AP1201" i="11"/>
  <c r="AM1201" i="11"/>
  <c r="AK1199" i="11"/>
  <c r="AM1243" i="11"/>
  <c r="AP1243" i="11"/>
  <c r="AM1432" i="11"/>
  <c r="AP1432" i="11"/>
  <c r="AM809" i="11"/>
  <c r="AP809" i="11"/>
  <c r="AM825" i="11"/>
  <c r="AP825" i="11"/>
  <c r="AM666" i="11"/>
  <c r="AP666" i="11"/>
  <c r="AP134" i="11"/>
  <c r="AP114" i="11"/>
  <c r="AM346" i="11"/>
  <c r="AP346" i="11"/>
  <c r="AM428" i="11"/>
  <c r="AP428" i="11"/>
  <c r="AP42" i="11"/>
  <c r="AP3199" i="11"/>
  <c r="AM3199" i="11"/>
  <c r="AM3103" i="11"/>
  <c r="AP3103" i="11"/>
  <c r="AK3101" i="11"/>
  <c r="AP3002" i="11"/>
  <c r="AM3002" i="11"/>
  <c r="AP2806" i="11"/>
  <c r="AM2806" i="11"/>
  <c r="AM2339" i="11"/>
  <c r="AP2339" i="11"/>
  <c r="AM2802" i="11"/>
  <c r="AP2802" i="11"/>
  <c r="AP2141" i="11"/>
  <c r="AM2141" i="11"/>
  <c r="AM2078" i="11"/>
  <c r="AP2078" i="11"/>
  <c r="AM1824" i="11"/>
  <c r="AP1824" i="11"/>
  <c r="AM1864" i="11"/>
  <c r="AP1864" i="11"/>
  <c r="AM1666" i="11"/>
  <c r="AP1666" i="11"/>
  <c r="AM1722" i="11"/>
  <c r="AP1722" i="11"/>
  <c r="AM1658" i="11"/>
  <c r="AP1658" i="11"/>
  <c r="AP1593" i="11"/>
  <c r="AM1593" i="11"/>
  <c r="AM1134" i="11"/>
  <c r="AP1134" i="11"/>
  <c r="AP1269" i="11"/>
  <c r="AM1269" i="11"/>
  <c r="AP999" i="11"/>
  <c r="AM999" i="11"/>
  <c r="AK997" i="11"/>
  <c r="AM563" i="11"/>
  <c r="AP563" i="11"/>
  <c r="AM484" i="11"/>
  <c r="AP484" i="11"/>
  <c r="AM641" i="11"/>
  <c r="AP641" i="11"/>
  <c r="AM464" i="11"/>
  <c r="AP464" i="11"/>
  <c r="AP454" i="11"/>
  <c r="AM454" i="11"/>
  <c r="AP32" i="11"/>
  <c r="AM3042" i="11"/>
  <c r="AP3042" i="11"/>
  <c r="AP3052" i="11"/>
  <c r="AM3052" i="11"/>
  <c r="AM2521" i="11"/>
  <c r="AP2521" i="11"/>
  <c r="AP2423" i="11"/>
  <c r="AM2423" i="11"/>
  <c r="AM2417" i="11"/>
  <c r="AP2417" i="11"/>
  <c r="AM2086" i="11"/>
  <c r="AP2086" i="11"/>
  <c r="AK2084" i="11"/>
  <c r="AM2084" i="11" s="1"/>
  <c r="AM2052" i="11"/>
  <c r="AP2052" i="11"/>
  <c r="AM1720" i="11"/>
  <c r="AP1720" i="11"/>
  <c r="AM1460" i="11"/>
  <c r="AP1460" i="11"/>
  <c r="AP1323" i="11"/>
  <c r="AM1323" i="11"/>
  <c r="AM1378" i="11"/>
  <c r="AP1378" i="11"/>
  <c r="AM967" i="11"/>
  <c r="AP967" i="11"/>
  <c r="AM656" i="11"/>
  <c r="AP656" i="11"/>
  <c r="AP106" i="11"/>
  <c r="AP50" i="11"/>
  <c r="AM244" i="11"/>
  <c r="AP244" i="11"/>
  <c r="AM252" i="11"/>
  <c r="AP252" i="11"/>
  <c r="AM3209" i="11"/>
  <c r="AP3209" i="11"/>
  <c r="AM3044" i="11"/>
  <c r="AP3044" i="11"/>
  <c r="AP2876" i="11"/>
  <c r="AM2876" i="11"/>
  <c r="AM2411" i="11"/>
  <c r="AP2411" i="11"/>
  <c r="AM2674" i="11"/>
  <c r="AP2674" i="11"/>
  <c r="AK2672" i="11"/>
  <c r="AM2465" i="11"/>
  <c r="AP2465" i="11"/>
  <c r="AM2159" i="11"/>
  <c r="AP2159" i="11"/>
  <c r="AP2120" i="11"/>
  <c r="AM2120" i="11"/>
  <c r="AM1808" i="11"/>
  <c r="AP1808" i="11"/>
  <c r="AK1806" i="11"/>
  <c r="AP1945" i="11"/>
  <c r="AM1945" i="11"/>
  <c r="AM1650" i="11"/>
  <c r="AP1650" i="11"/>
  <c r="AM1400" i="11"/>
  <c r="AP1400" i="11"/>
  <c r="AM1692" i="11"/>
  <c r="AP1692" i="11"/>
  <c r="AP1636" i="11"/>
  <c r="AM1636" i="11"/>
  <c r="AM1048" i="11"/>
  <c r="AP1048" i="11"/>
  <c r="AM1307" i="11"/>
  <c r="AP1307" i="11"/>
  <c r="AM1241" i="11"/>
  <c r="AP1241" i="11"/>
  <c r="AM1422" i="11"/>
  <c r="AP1422" i="11"/>
  <c r="AM1347" i="11"/>
  <c r="AP1347" i="11"/>
  <c r="AP607" i="11"/>
  <c r="AM607" i="11"/>
  <c r="AP783" i="11"/>
  <c r="AM783" i="11"/>
  <c r="AK781" i="11"/>
  <c r="AM512" i="11"/>
  <c r="AP512" i="11"/>
  <c r="AM426" i="11"/>
  <c r="AP426" i="11"/>
  <c r="AP140" i="11"/>
  <c r="AM3173" i="11"/>
  <c r="AP3173" i="11"/>
  <c r="AP2862" i="11"/>
  <c r="AM2862" i="11"/>
  <c r="AM2732" i="11"/>
  <c r="AP2732" i="11"/>
  <c r="AK2393" i="11"/>
  <c r="AP2395" i="11"/>
  <c r="AM2395" i="11"/>
  <c r="AM2485" i="11"/>
  <c r="AP2485" i="11"/>
  <c r="AM2108" i="11"/>
  <c r="AP2108" i="11"/>
  <c r="AP1898" i="11"/>
  <c r="AM1898" i="11"/>
  <c r="AP1818" i="11"/>
  <c r="AM1818" i="11"/>
  <c r="AP1557" i="11"/>
  <c r="AM1557" i="11"/>
  <c r="AM1500" i="11"/>
  <c r="AP1500" i="11"/>
  <c r="AM1690" i="11"/>
  <c r="AP1690" i="11"/>
  <c r="AP1325" i="11"/>
  <c r="AM1325" i="11"/>
  <c r="AP1430" i="11"/>
  <c r="AM1430" i="11"/>
  <c r="AM1229" i="11"/>
  <c r="AP1229" i="11"/>
  <c r="AM629" i="11"/>
  <c r="AP629" i="11"/>
  <c r="AM551" i="11"/>
  <c r="AP551" i="11"/>
  <c r="AP432" i="11"/>
  <c r="AM432" i="11"/>
  <c r="AM482" i="11"/>
  <c r="AP482" i="11"/>
  <c r="AM240" i="11"/>
  <c r="AP240" i="11"/>
  <c r="AP86" i="11"/>
  <c r="AM86" i="11"/>
  <c r="AM294" i="11"/>
  <c r="AP294" i="11"/>
  <c r="AM3177" i="11"/>
  <c r="AP3177" i="11"/>
  <c r="AP3305" i="11"/>
  <c r="AM3305" i="11"/>
  <c r="AP2988" i="11"/>
  <c r="AM2988" i="11"/>
  <c r="AP2784" i="11"/>
  <c r="AM2784" i="11"/>
  <c r="AM2633" i="11"/>
  <c r="AP2633" i="11"/>
  <c r="AM2435" i="11"/>
  <c r="AP2435" i="11"/>
  <c r="AM2704" i="11"/>
  <c r="AP2704" i="11"/>
  <c r="AM2006" i="11"/>
  <c r="AP2006" i="11"/>
  <c r="AM2303" i="11"/>
  <c r="AP2303" i="11"/>
  <c r="AK1698" i="11"/>
  <c r="AM1700" i="11"/>
  <c r="AP1700" i="11"/>
  <c r="AP1007" i="11"/>
  <c r="AM1007" i="11"/>
  <c r="AK886" i="11"/>
  <c r="AP888" i="11"/>
  <c r="AM888" i="11"/>
  <c r="AM761" i="11"/>
  <c r="AP761" i="11"/>
  <c r="AM416" i="11"/>
  <c r="AP416" i="11"/>
  <c r="AM492" i="11"/>
  <c r="AP492" i="11"/>
  <c r="AP186" i="11"/>
  <c r="AM186" i="11"/>
  <c r="AM180" i="11"/>
  <c r="AP180" i="11"/>
  <c r="AL3252" i="11"/>
  <c r="AL232" i="11"/>
  <c r="AM128" i="11"/>
  <c r="AM926" i="11"/>
  <c r="AL3228" i="11"/>
  <c r="AM476" i="11"/>
  <c r="AM1080" i="11"/>
  <c r="AL1847" i="11"/>
  <c r="AM462" i="11"/>
  <c r="AM106" i="11"/>
  <c r="AM510" i="11"/>
  <c r="AL310" i="11"/>
  <c r="AL1362" i="11"/>
  <c r="AL2672" i="11"/>
  <c r="AM1611" i="11"/>
  <c r="AL369" i="11"/>
  <c r="AM28" i="11"/>
  <c r="AP3270" i="11"/>
  <c r="AM3270" i="11"/>
  <c r="AP3050" i="11"/>
  <c r="AM3050" i="11"/>
  <c r="AM2503" i="11"/>
  <c r="AP2503" i="11"/>
  <c r="AM1911" i="11"/>
  <c r="AP1911" i="11"/>
  <c r="AM1943" i="11"/>
  <c r="AP1943" i="11"/>
  <c r="AP2026" i="11"/>
  <c r="AM2026" i="11"/>
  <c r="AP1718" i="11"/>
  <c r="AM1718" i="11"/>
  <c r="AM1462" i="11"/>
  <c r="AP1462" i="11"/>
  <c r="AM1834" i="11"/>
  <c r="AP1834" i="11"/>
  <c r="AM1710" i="11"/>
  <c r="AP1710" i="11"/>
  <c r="AM1207" i="11"/>
  <c r="AP1207" i="11"/>
  <c r="AM1162" i="11"/>
  <c r="AP1162" i="11"/>
  <c r="AP1341" i="11"/>
  <c r="AM1341" i="11"/>
  <c r="AM845" i="11"/>
  <c r="AP845" i="11"/>
  <c r="AM713" i="11"/>
  <c r="AP713" i="11"/>
  <c r="AM1249" i="11"/>
  <c r="AP1249" i="11"/>
  <c r="AM589" i="11"/>
  <c r="AP589" i="11"/>
  <c r="AM373" i="11"/>
  <c r="AP373" i="11"/>
  <c r="AM3299" i="11"/>
  <c r="AP3299" i="11"/>
  <c r="AP3244" i="11"/>
  <c r="AM3244" i="11"/>
  <c r="AP3260" i="11"/>
  <c r="AM3260" i="11"/>
  <c r="AM3040" i="11"/>
  <c r="AP3040" i="11"/>
  <c r="AM2822" i="11"/>
  <c r="AP2822" i="11"/>
  <c r="AK2405" i="11"/>
  <c r="AM2407" i="11"/>
  <c r="AP2407" i="11"/>
  <c r="AP2433" i="11"/>
  <c r="AM2433" i="11"/>
  <c r="AM2197" i="11"/>
  <c r="AP2197" i="11"/>
  <c r="AM2385" i="11"/>
  <c r="AP2385" i="11"/>
  <c r="AP1714" i="11"/>
  <c r="AM1219" i="11"/>
  <c r="AP1219" i="11"/>
  <c r="AP1255" i="11"/>
  <c r="AM1255" i="11"/>
  <c r="AM1024" i="11"/>
  <c r="AP1024" i="11"/>
  <c r="AP668" i="11"/>
  <c r="AM668" i="11"/>
  <c r="AM466" i="11"/>
  <c r="AP466" i="11"/>
  <c r="AM711" i="11"/>
  <c r="AP711" i="11"/>
  <c r="AP397" i="11"/>
  <c r="AP274" i="11"/>
  <c r="AM274" i="11"/>
  <c r="AP142" i="11"/>
  <c r="AP66" i="11"/>
  <c r="AM3295" i="11"/>
  <c r="AP3295" i="11"/>
  <c r="AM3137" i="11"/>
  <c r="AP3137" i="11"/>
  <c r="AP3230" i="11"/>
  <c r="AK3228" i="11"/>
  <c r="AM3230" i="11"/>
  <c r="AM3028" i="11"/>
  <c r="AP3028" i="11"/>
  <c r="AM2992" i="11"/>
  <c r="AP2992" i="11"/>
  <c r="AM2834" i="11"/>
  <c r="AP2834" i="11"/>
  <c r="AM2513" i="11"/>
  <c r="AP2513" i="11"/>
  <c r="AM2615" i="11"/>
  <c r="AP2615" i="11"/>
  <c r="AP2243" i="11"/>
  <c r="AM2243" i="11"/>
  <c r="AM2183" i="11"/>
  <c r="AP2183" i="11"/>
  <c r="AP2363" i="11"/>
  <c r="AM2363" i="11"/>
  <c r="AM2088" i="11"/>
  <c r="AP2088" i="11"/>
  <c r="AP1870" i="11"/>
  <c r="AM1870" i="11"/>
  <c r="AP1577" i="11"/>
  <c r="AM1577" i="11"/>
  <c r="AP1015" i="11"/>
  <c r="AM1015" i="11"/>
  <c r="AM719" i="11"/>
  <c r="AP719" i="11"/>
  <c r="AP709" i="11"/>
  <c r="AM709" i="11"/>
  <c r="AM721" i="11"/>
  <c r="AP721" i="11"/>
  <c r="AP476" i="11"/>
  <c r="AP278" i="11"/>
  <c r="AM278" i="11"/>
  <c r="AP3111" i="11"/>
  <c r="AM3111" i="11"/>
  <c r="AM2832" i="11"/>
  <c r="AP2832" i="11"/>
  <c r="AM2778" i="11"/>
  <c r="AP2778" i="11"/>
  <c r="AM2714" i="11"/>
  <c r="AP2714" i="11"/>
  <c r="AP2880" i="11"/>
  <c r="AM2880" i="11"/>
  <c r="AM2587" i="11"/>
  <c r="AP2587" i="11"/>
  <c r="AM2467" i="11"/>
  <c r="AP2467" i="11"/>
  <c r="AP2231" i="11"/>
  <c r="AM2231" i="11"/>
  <c r="AM2157" i="11"/>
  <c r="AP2157" i="11"/>
  <c r="AP2193" i="11"/>
  <c r="AM2193" i="11"/>
  <c r="AM1947" i="11"/>
  <c r="AP1947" i="11"/>
  <c r="AM1935" i="11"/>
  <c r="AP1935" i="11"/>
  <c r="AP1076" i="11"/>
  <c r="AM1076" i="11"/>
  <c r="AM1215" i="11"/>
  <c r="AP1215" i="11"/>
  <c r="AM1168" i="11"/>
  <c r="AP1168" i="11"/>
  <c r="AP827" i="11"/>
  <c r="AM827" i="11"/>
  <c r="AM801" i="11"/>
  <c r="AP801" i="11"/>
  <c r="AP877" i="11"/>
  <c r="AM877" i="11"/>
  <c r="AP739" i="11"/>
  <c r="AM739" i="11"/>
  <c r="AM16" i="11"/>
  <c r="AP16" i="11"/>
  <c r="AK14" i="11"/>
  <c r="AM3285" i="11"/>
  <c r="AP3285" i="11"/>
  <c r="AM3221" i="11"/>
  <c r="AP3221" i="11"/>
  <c r="AM3097" i="11"/>
  <c r="AP3097" i="11"/>
  <c r="AM2942" i="11"/>
  <c r="AP2942" i="11"/>
  <c r="AM2928" i="11"/>
  <c r="AP2928" i="11"/>
  <c r="AM2794" i="11"/>
  <c r="AP2794" i="11"/>
  <c r="AM2665" i="11"/>
  <c r="AP2665" i="11"/>
  <c r="AM2493" i="11"/>
  <c r="AP2493" i="11"/>
  <c r="AM2249" i="11"/>
  <c r="AP2249" i="11"/>
  <c r="AP2367" i="11"/>
  <c r="AM2367" i="11"/>
  <c r="AM1965" i="11"/>
  <c r="AP1965" i="11"/>
  <c r="AP2046" i="11"/>
  <c r="AM2046" i="11"/>
  <c r="AM1783" i="11"/>
  <c r="AP1783" i="11"/>
  <c r="AM1781" i="11"/>
  <c r="AP1781" i="11"/>
  <c r="AM1528" i="11"/>
  <c r="AP1528" i="11"/>
  <c r="AM1587" i="11"/>
  <c r="AP1587" i="11"/>
  <c r="AM1793" i="11"/>
  <c r="AP1793" i="11"/>
  <c r="AP1311" i="11"/>
  <c r="AM1311" i="11"/>
  <c r="AP1194" i="11"/>
  <c r="AM1194" i="11"/>
  <c r="AP815" i="11"/>
  <c r="AM815" i="11"/>
  <c r="AM932" i="11"/>
  <c r="AP932" i="11"/>
  <c r="AM1009" i="11"/>
  <c r="AP1009" i="11"/>
  <c r="AM890" i="11"/>
  <c r="AP890" i="11"/>
  <c r="AM769" i="11"/>
  <c r="AP769" i="11"/>
  <c r="AM553" i="11"/>
  <c r="AP553" i="11"/>
  <c r="AP474" i="11"/>
  <c r="AM692" i="11"/>
  <c r="AP692" i="11"/>
  <c r="AP733" i="11"/>
  <c r="AM733" i="11"/>
  <c r="AM418" i="11"/>
  <c r="AP418" i="11"/>
  <c r="AP30" i="11"/>
  <c r="AM322" i="11"/>
  <c r="AP322" i="11"/>
  <c r="AM170" i="11"/>
  <c r="AP170" i="11"/>
  <c r="AM3207" i="11"/>
  <c r="AP3207" i="11"/>
  <c r="AM3181" i="11"/>
  <c r="AP3181" i="11"/>
  <c r="AP2968" i="11"/>
  <c r="AM2968" i="11"/>
  <c r="AM2742" i="11"/>
  <c r="AP2742" i="11"/>
  <c r="AM2625" i="11"/>
  <c r="AP2625" i="11"/>
  <c r="AM2517" i="11"/>
  <c r="AP2517" i="11"/>
  <c r="AM2463" i="11"/>
  <c r="AP2463" i="11"/>
  <c r="AM2551" i="11"/>
  <c r="AP2551" i="11"/>
  <c r="AP2129" i="11"/>
  <c r="AM2129" i="11"/>
  <c r="AK2127" i="11"/>
  <c r="AP2165" i="11"/>
  <c r="AM2165" i="11"/>
  <c r="AP1925" i="11"/>
  <c r="AM1925" i="11"/>
  <c r="AP2028" i="11"/>
  <c r="AM2028" i="11"/>
  <c r="AM1799" i="11"/>
  <c r="AP1799" i="11"/>
  <c r="AM1498" i="11"/>
  <c r="AP1498" i="11"/>
  <c r="AM1156" i="11"/>
  <c r="AP1156" i="11"/>
  <c r="AM1111" i="11"/>
  <c r="AP1111" i="11"/>
  <c r="AM1154" i="11"/>
  <c r="AP1154" i="11"/>
  <c r="AM1180" i="11"/>
  <c r="AP1180" i="11"/>
  <c r="AM1107" i="11"/>
  <c r="AP1107" i="11"/>
  <c r="AM765" i="11"/>
  <c r="AP765" i="11"/>
  <c r="AP694" i="11"/>
  <c r="AM694" i="11"/>
  <c r="AM819" i="11"/>
  <c r="AP819" i="11"/>
  <c r="AM506" i="11"/>
  <c r="AP506" i="11"/>
  <c r="AM330" i="11"/>
  <c r="AP330" i="11"/>
  <c r="AM234" i="11"/>
  <c r="AP234" i="11"/>
  <c r="AK232" i="11"/>
  <c r="AM316" i="11"/>
  <c r="AP316" i="11"/>
  <c r="AM236" i="11"/>
  <c r="AP236" i="11"/>
  <c r="AM154" i="11"/>
  <c r="AP154" i="11"/>
  <c r="AM3234" i="11"/>
  <c r="AP3234" i="11"/>
  <c r="AK3277" i="11"/>
  <c r="AM3279" i="11"/>
  <c r="AP3279" i="11"/>
  <c r="AM3248" i="11"/>
  <c r="AP3248" i="11"/>
  <c r="AM2828" i="11"/>
  <c r="AP2828" i="11"/>
  <c r="AM2509" i="11"/>
  <c r="AP2509" i="11"/>
  <c r="AM2445" i="11"/>
  <c r="AP2445" i="11"/>
  <c r="AM2335" i="11"/>
  <c r="AK2333" i="11"/>
  <c r="AM2333" i="11" s="1"/>
  <c r="AP2335" i="11"/>
  <c r="AM1939" i="11"/>
  <c r="AP1939" i="11"/>
  <c r="AM2002" i="11"/>
  <c r="AP2002" i="11"/>
  <c r="AM1967" i="11"/>
  <c r="AP1967" i="11"/>
  <c r="AM1752" i="11"/>
  <c r="AP1752" i="11"/>
  <c r="AP1742" i="11"/>
  <c r="AM1742" i="11"/>
  <c r="AK1362" i="11"/>
  <c r="AM1364" i="11"/>
  <c r="AP1364" i="11"/>
  <c r="AM934" i="11"/>
  <c r="AP934" i="11"/>
  <c r="AP881" i="11"/>
  <c r="AM881" i="11"/>
  <c r="AM943" i="11"/>
  <c r="AP943" i="11"/>
  <c r="AK941" i="11"/>
  <c r="AP957" i="11"/>
  <c r="AM777" i="11"/>
  <c r="AP777" i="11"/>
  <c r="AM514" i="11"/>
  <c r="AP514" i="11"/>
  <c r="AM88" i="11"/>
  <c r="AP88" i="11"/>
  <c r="AP26" i="11"/>
  <c r="AM26" i="11"/>
  <c r="AM377" i="11"/>
  <c r="AP377" i="11"/>
  <c r="AM224" i="11"/>
  <c r="AP224" i="11"/>
  <c r="AM188" i="11"/>
  <c r="AP188" i="11"/>
  <c r="AM3274" i="11"/>
  <c r="AP3274" i="11"/>
  <c r="AM3159" i="11"/>
  <c r="AP3159" i="11"/>
  <c r="AM3073" i="11"/>
  <c r="AP3073" i="11"/>
  <c r="AP3105" i="11"/>
  <c r="AM3105" i="11"/>
  <c r="AM2848" i="11"/>
  <c r="AP2848" i="11"/>
  <c r="AM2724" i="11"/>
  <c r="AP2724" i="11"/>
  <c r="AP2884" i="11"/>
  <c r="AM2884" i="11"/>
  <c r="AM2155" i="11"/>
  <c r="AP2155" i="11"/>
  <c r="AP2096" i="11"/>
  <c r="AM2096" i="11"/>
  <c r="AM2353" i="11"/>
  <c r="AP2353" i="11"/>
  <c r="AM2151" i="11"/>
  <c r="AP2151" i="11"/>
  <c r="AP1756" i="11"/>
  <c r="AM1756" i="11"/>
  <c r="AP1512" i="11"/>
  <c r="AM1512" i="11"/>
  <c r="AM1353" i="11"/>
  <c r="AP1353" i="11"/>
  <c r="AM1541" i="11"/>
  <c r="AP1541" i="11"/>
  <c r="AP1148" i="11"/>
  <c r="AM1148" i="11"/>
  <c r="AM1317" i="11"/>
  <c r="AP1317" i="11"/>
  <c r="AP318" i="11"/>
  <c r="AM318" i="11"/>
  <c r="AP399" i="11"/>
  <c r="AM399" i="11"/>
  <c r="AM264" i="11"/>
  <c r="AP264" i="11"/>
  <c r="AL1128" i="11"/>
  <c r="AM951" i="11"/>
  <c r="AL1806" i="11"/>
  <c r="AM591" i="11"/>
  <c r="AL2527" i="11"/>
  <c r="AM124" i="11"/>
  <c r="AM150" i="11"/>
  <c r="AM955" i="11"/>
  <c r="AL1085" i="11"/>
  <c r="AM134" i="11"/>
  <c r="AM1983" i="11"/>
  <c r="AM472" i="11"/>
  <c r="AL2213" i="11"/>
  <c r="AM981" i="11"/>
  <c r="AM959" i="11"/>
  <c r="AM104" i="11"/>
  <c r="AL886" i="11"/>
  <c r="AM987" i="11"/>
  <c r="AL3101" i="11"/>
  <c r="AM961" i="11"/>
  <c r="AL2457" i="11"/>
  <c r="AM30" i="11"/>
  <c r="AM3155" i="11"/>
  <c r="AP3155" i="11"/>
  <c r="AM3026" i="11"/>
  <c r="AP3026" i="11"/>
  <c r="AP2950" i="11"/>
  <c r="AM2950" i="11"/>
  <c r="AP2838" i="11"/>
  <c r="AM2838" i="11"/>
  <c r="AM2720" i="11"/>
  <c r="AP2720" i="11"/>
  <c r="AM2579" i="11"/>
  <c r="AP2579" i="11"/>
  <c r="AP2842" i="11"/>
  <c r="AM2842" i="11"/>
  <c r="AP2431" i="11"/>
  <c r="AM2431" i="11"/>
  <c r="AM2449" i="11"/>
  <c r="AP2449" i="11"/>
  <c r="AP2261" i="11"/>
  <c r="AM2261" i="11"/>
  <c r="AP2507" i="11"/>
  <c r="AM2507" i="11"/>
  <c r="AP2215" i="11"/>
  <c r="AK2213" i="11"/>
  <c r="AM2215" i="11"/>
  <c r="AM1937" i="11"/>
  <c r="AP1937" i="11"/>
  <c r="AP1760" i="11"/>
  <c r="AM1760" i="11"/>
  <c r="AM1291" i="11"/>
  <c r="AP1291" i="11"/>
  <c r="AM1190" i="11"/>
  <c r="AP1190" i="11"/>
  <c r="AM1257" i="11"/>
  <c r="AP1257" i="11"/>
  <c r="AM879" i="11"/>
  <c r="AP879" i="11"/>
  <c r="AP1032" i="11"/>
  <c r="AM1032" i="11"/>
  <c r="AM757" i="11"/>
  <c r="AP757" i="11"/>
  <c r="AP438" i="11"/>
  <c r="AM438" i="11"/>
  <c r="AP486" i="11"/>
  <c r="AM486" i="11"/>
  <c r="AM304" i="11"/>
  <c r="AP304" i="11"/>
  <c r="AP184" i="11"/>
  <c r="AM390" i="11"/>
  <c r="AP390" i="11"/>
  <c r="AP258" i="11"/>
  <c r="AM2878" i="11"/>
  <c r="AP2878" i="11"/>
  <c r="AP2938" i="11"/>
  <c r="AM2938" i="11"/>
  <c r="AP2696" i="11"/>
  <c r="AM2696" i="11"/>
  <c r="AP2860" i="11"/>
  <c r="AM2860" i="11"/>
  <c r="AM2583" i="11"/>
  <c r="AP2583" i="11"/>
  <c r="AP2409" i="11"/>
  <c r="AM2409" i="11"/>
  <c r="AM2239" i="11"/>
  <c r="AP2239" i="11"/>
  <c r="AM2199" i="11"/>
  <c r="AP2199" i="11"/>
  <c r="AM1797" i="11"/>
  <c r="AP1797" i="11"/>
  <c r="AM2161" i="11"/>
  <c r="AP2161" i="11"/>
  <c r="AM1563" i="11"/>
  <c r="AP1563" i="11"/>
  <c r="AM1670" i="11"/>
  <c r="AP1670" i="11"/>
  <c r="AP989" i="11"/>
  <c r="AP1480" i="11"/>
  <c r="AM1480" i="11"/>
  <c r="AM1078" i="11"/>
  <c r="AP1078" i="11"/>
  <c r="AP873" i="11"/>
  <c r="AM873" i="11"/>
  <c r="AM823" i="11"/>
  <c r="AP823" i="11"/>
  <c r="AP725" i="11"/>
  <c r="AM725" i="11"/>
  <c r="AM422" i="11"/>
  <c r="AP422" i="11"/>
  <c r="AP831" i="11"/>
  <c r="AM831" i="11"/>
  <c r="AM480" i="11"/>
  <c r="AP480" i="11"/>
  <c r="AP298" i="11"/>
  <c r="AM298" i="11"/>
  <c r="AM172" i="11"/>
  <c r="AP172" i="11"/>
  <c r="AP238" i="11"/>
  <c r="AM238" i="11"/>
  <c r="AM3256" i="11"/>
  <c r="AP3256" i="11"/>
  <c r="AM2866" i="11"/>
  <c r="AP2866" i="11"/>
  <c r="AP2830" i="11"/>
  <c r="AM2830" i="11"/>
  <c r="AM2750" i="11"/>
  <c r="AP2750" i="11"/>
  <c r="AM2481" i="11"/>
  <c r="AP2481" i="11"/>
  <c r="AP2167" i="11"/>
  <c r="AM2167" i="11"/>
  <c r="AM2275" i="11"/>
  <c r="AP2275" i="11"/>
  <c r="AM1951" i="11"/>
  <c r="AP1951" i="11"/>
  <c r="AM1963" i="11"/>
  <c r="AP1963" i="11"/>
  <c r="AM1736" i="11"/>
  <c r="AP1736" i="11"/>
  <c r="AP2000" i="11"/>
  <c r="AM2000" i="11"/>
  <c r="AK1998" i="11"/>
  <c r="AP1611" i="11"/>
  <c r="AM1406" i="11"/>
  <c r="AP1406" i="11"/>
  <c r="AM1482" i="11"/>
  <c r="AP1482" i="11"/>
  <c r="AM1468" i="11"/>
  <c r="AP1468" i="11"/>
  <c r="AM1072" i="11"/>
  <c r="AP1072" i="11"/>
  <c r="AM1245" i="11"/>
  <c r="AP1245" i="11"/>
  <c r="AM1158" i="11"/>
  <c r="AP1158" i="11"/>
  <c r="AP1038" i="11"/>
  <c r="AM1038" i="11"/>
  <c r="AM1196" i="11"/>
  <c r="AP1196" i="11"/>
  <c r="AP575" i="11"/>
  <c r="AM575" i="11"/>
  <c r="AP660" i="11"/>
  <c r="AM660" i="11"/>
  <c r="AP18" i="11"/>
  <c r="AM256" i="11"/>
  <c r="AP256" i="11"/>
  <c r="AP3258" i="11"/>
  <c r="AM3258" i="11"/>
  <c r="AM3119" i="11"/>
  <c r="AP3119" i="11"/>
  <c r="AM3219" i="11"/>
  <c r="AP3219" i="11"/>
  <c r="AM3193" i="11"/>
  <c r="AP3193" i="11"/>
  <c r="AM2996" i="11"/>
  <c r="AP2996" i="11"/>
  <c r="AM2984" i="11"/>
  <c r="AP2984" i="11"/>
  <c r="AP2808" i="11"/>
  <c r="AM2808" i="11"/>
  <c r="AP2018" i="11"/>
  <c r="AM2175" i="11"/>
  <c r="AP2175" i="11"/>
  <c r="AM1933" i="11"/>
  <c r="AP1933" i="11"/>
  <c r="AP1987" i="11"/>
  <c r="AM1987" i="11"/>
  <c r="AM1724" i="11"/>
  <c r="AP1724" i="11"/>
  <c r="AP1607" i="11"/>
  <c r="AM1607" i="11"/>
  <c r="AP1539" i="11"/>
  <c r="AM1539" i="11"/>
  <c r="AP1321" i="11"/>
  <c r="AM1321" i="11"/>
  <c r="AM1470" i="11"/>
  <c r="AP1470" i="11"/>
  <c r="AM1434" i="11"/>
  <c r="AP1434" i="11"/>
  <c r="AP1619" i="11"/>
  <c r="AK1617" i="11"/>
  <c r="AM1619" i="11"/>
  <c r="AM1188" i="11"/>
  <c r="AP1188" i="11"/>
  <c r="AM1388" i="11"/>
  <c r="AP1388" i="11"/>
  <c r="AM930" i="11"/>
  <c r="AP930" i="11"/>
  <c r="AM1355" i="11"/>
  <c r="AP1355" i="11"/>
  <c r="AM617" i="11"/>
  <c r="AP617" i="11"/>
  <c r="AM841" i="11"/>
  <c r="AP841" i="11"/>
  <c r="AM530" i="11"/>
  <c r="AP530" i="11"/>
  <c r="AD14" i="11"/>
  <c r="AC10" i="11"/>
  <c r="AD10" i="11" s="1"/>
  <c r="AM342" i="11"/>
  <c r="AP342" i="11"/>
  <c r="AM300" i="11"/>
  <c r="AP300" i="11"/>
  <c r="AM182" i="11"/>
  <c r="AP182" i="11"/>
  <c r="AP302" i="11"/>
  <c r="AM302" i="11"/>
  <c r="AP3006" i="11"/>
  <c r="AM3006" i="11"/>
  <c r="AM2888" i="11"/>
  <c r="AP2888" i="11"/>
  <c r="AM2932" i="11"/>
  <c r="AP2932" i="11"/>
  <c r="AP2531" i="11"/>
  <c r="AM2531" i="11"/>
  <c r="AM2511" i="11"/>
  <c r="AP2511" i="11"/>
  <c r="AM2227" i="11"/>
  <c r="AP2227" i="11"/>
  <c r="AM2034" i="11"/>
  <c r="AP2034" i="11"/>
  <c r="AM1516" i="11"/>
  <c r="AP1516" i="11"/>
  <c r="AP1247" i="11"/>
  <c r="AM1247" i="11"/>
  <c r="AM1265" i="11"/>
  <c r="AP1265" i="11"/>
  <c r="AM1386" i="11"/>
  <c r="AP1386" i="11"/>
  <c r="AM918" i="11"/>
  <c r="AP918" i="11"/>
  <c r="AP835" i="11"/>
  <c r="AM835" i="11"/>
  <c r="AP654" i="11"/>
  <c r="AM654" i="11"/>
  <c r="AK652" i="11"/>
  <c r="AM460" i="11"/>
  <c r="AP460" i="11"/>
  <c r="AM268" i="11"/>
  <c r="AP268" i="11"/>
  <c r="AM296" i="11"/>
  <c r="AP296" i="11"/>
  <c r="AM3272" i="11"/>
  <c r="AP3272" i="11"/>
  <c r="AP3317" i="11"/>
  <c r="AM3317" i="11"/>
  <c r="AP2994" i="11"/>
  <c r="AM2994" i="11"/>
  <c r="AP3281" i="11"/>
  <c r="AM3281" i="11"/>
  <c r="AM2924" i="11"/>
  <c r="AP2924" i="11"/>
  <c r="AM2914" i="11"/>
  <c r="AP2914" i="11"/>
  <c r="AP2920" i="11"/>
  <c r="AM2920" i="11"/>
  <c r="AM2836" i="11"/>
  <c r="AP2836" i="11"/>
  <c r="AM2419" i="11"/>
  <c r="AP2419" i="11"/>
  <c r="AP2040" i="11"/>
  <c r="AM2040" i="11"/>
  <c r="AP2245" i="11"/>
  <c r="AM2245" i="11"/>
  <c r="AM1533" i="11"/>
  <c r="AP1533" i="11"/>
  <c r="AK1531" i="11"/>
  <c r="AM1750" i="11"/>
  <c r="AP1750" i="11"/>
  <c r="AP1287" i="11"/>
  <c r="AM1287" i="11"/>
  <c r="AM1418" i="11"/>
  <c r="AP1418" i="11"/>
  <c r="AP1227" i="11"/>
  <c r="AM1227" i="11"/>
  <c r="AM904" i="11"/>
  <c r="AP904" i="11"/>
  <c r="AM388" i="11"/>
  <c r="AP388" i="11"/>
  <c r="AM200" i="11"/>
  <c r="AP200" i="11"/>
  <c r="AM290" i="11"/>
  <c r="AP290" i="11"/>
  <c r="AP3301" i="11"/>
  <c r="AM3301" i="11"/>
  <c r="AM2980" i="11"/>
  <c r="AP2980" i="11"/>
  <c r="AP2900" i="11"/>
  <c r="AM2900" i="11"/>
  <c r="AM2910" i="11"/>
  <c r="AP2910" i="11"/>
  <c r="AP2766" i="11"/>
  <c r="AM2766" i="11"/>
  <c r="AK2764" i="11"/>
  <c r="AM2764" i="11" s="1"/>
  <c r="AP2597" i="11"/>
  <c r="AM2597" i="11"/>
  <c r="AM2413" i="11"/>
  <c r="AP2413" i="11"/>
  <c r="AM2479" i="11"/>
  <c r="AP2479" i="11"/>
  <c r="AP2297" i="11"/>
  <c r="AM2297" i="11"/>
  <c r="AK2295" i="11"/>
  <c r="AP2557" i="11"/>
  <c r="AM2557" i="11"/>
  <c r="AP2235" i="11"/>
  <c r="AM2235" i="11"/>
  <c r="AP2171" i="11"/>
  <c r="AM2171" i="11"/>
  <c r="AP1488" i="11"/>
  <c r="AM1488" i="11"/>
  <c r="AM1565" i="11"/>
  <c r="AP1565" i="11"/>
  <c r="AM1486" i="11"/>
  <c r="AP1486" i="11"/>
  <c r="AM1178" i="11"/>
  <c r="AP1178" i="11"/>
  <c r="AP987" i="11"/>
  <c r="AP869" i="11"/>
  <c r="AM869" i="11"/>
  <c r="AP1547" i="11"/>
  <c r="AM1547" i="11"/>
  <c r="AP571" i="11"/>
  <c r="AM444" i="11"/>
  <c r="AP444" i="11"/>
  <c r="AM3139" i="11"/>
  <c r="AP3139" i="11"/>
  <c r="AM2591" i="11"/>
  <c r="AP2591" i="11"/>
  <c r="AC2401" i="11"/>
  <c r="AD2401" i="11" s="1"/>
  <c r="AD2563" i="11"/>
  <c r="AP2523" i="11"/>
  <c r="AM2523" i="11"/>
  <c r="AP2483" i="11"/>
  <c r="AM2483" i="11"/>
  <c r="AM2330" i="11"/>
  <c r="AP2330" i="11"/>
  <c r="AM2361" i="11"/>
  <c r="AP2361" i="11"/>
  <c r="AK2359" i="11"/>
  <c r="AM2024" i="11"/>
  <c r="AP2024" i="11"/>
  <c r="AP1876" i="11"/>
  <c r="AM1876" i="11"/>
  <c r="AM1803" i="11"/>
  <c r="AP1803" i="11"/>
  <c r="AP1896" i="11"/>
  <c r="AM1896" i="11"/>
  <c r="AM1688" i="11"/>
  <c r="AP1688" i="11"/>
  <c r="AP1573" i="11"/>
  <c r="AM1573" i="11"/>
  <c r="AM1476" i="11"/>
  <c r="AP1476" i="11"/>
  <c r="AP1496" i="11"/>
  <c r="AM1496" i="11"/>
  <c r="AM1394" i="11"/>
  <c r="AP1394" i="11"/>
  <c r="AP1036" i="11"/>
  <c r="AM1036" i="11"/>
  <c r="AM1064" i="11"/>
  <c r="AP1064" i="11"/>
  <c r="AP920" i="11"/>
  <c r="AM920" i="11"/>
  <c r="AP936" i="11"/>
  <c r="AM936" i="11"/>
  <c r="AP723" i="11"/>
  <c r="AM723" i="11"/>
  <c r="AM674" i="11"/>
  <c r="AP674" i="11"/>
  <c r="AM619" i="11"/>
  <c r="AP619" i="11"/>
  <c r="AP635" i="11"/>
  <c r="AM635" i="11"/>
  <c r="AM446" i="11"/>
  <c r="AP446" i="11"/>
  <c r="AM196" i="11"/>
  <c r="AP196" i="11"/>
  <c r="AP74" i="11"/>
  <c r="AM58" i="11"/>
  <c r="AP58" i="11"/>
  <c r="AL703" i="11"/>
  <c r="AL851" i="11"/>
  <c r="AM621" i="11"/>
  <c r="AL1882" i="11"/>
  <c r="AL997" i="11"/>
  <c r="AM2387" i="11"/>
  <c r="AM120" i="11"/>
  <c r="AM114" i="11"/>
  <c r="AL2563" i="11"/>
  <c r="AL1531" i="11"/>
  <c r="AL1860" i="11"/>
  <c r="AL652" i="11"/>
  <c r="AM397" i="11"/>
  <c r="AL1773" i="11"/>
  <c r="AM110" i="11"/>
  <c r="AM983" i="11"/>
  <c r="AL176" i="11"/>
  <c r="AL1698" i="11"/>
  <c r="AL2127" i="11"/>
  <c r="AM957" i="11"/>
  <c r="AL2295" i="11"/>
  <c r="AM2018" i="11"/>
  <c r="AM32" i="11"/>
  <c r="AM50" i="11"/>
  <c r="AM34" i="11"/>
  <c r="AM74" i="11"/>
  <c r="AM60" i="11"/>
  <c r="AM18" i="11"/>
  <c r="AM3165" i="11"/>
  <c r="AP3165" i="11"/>
  <c r="AM2966" i="11"/>
  <c r="AP2966" i="11"/>
  <c r="AM2962" i="11"/>
  <c r="AK2960" i="11"/>
  <c r="AP2962" i="11"/>
  <c r="AM2844" i="11"/>
  <c r="AP2844" i="11"/>
  <c r="AM2722" i="11"/>
  <c r="AP2722" i="11"/>
  <c r="AM1822" i="11"/>
  <c r="AP1822" i="11"/>
  <c r="AM1836" i="11"/>
  <c r="AP1836" i="11"/>
  <c r="AM1892" i="11"/>
  <c r="AP1892" i="11"/>
  <c r="AM1601" i="11"/>
  <c r="AP1601" i="11"/>
  <c r="AM2068" i="11"/>
  <c r="AP2068" i="11"/>
  <c r="AP1678" i="11"/>
  <c r="AM1678" i="11"/>
  <c r="AP1514" i="11"/>
  <c r="AM1333" i="11"/>
  <c r="AP1333" i="11"/>
  <c r="AM1166" i="11"/>
  <c r="AP1166" i="11"/>
  <c r="AM1056" i="11"/>
  <c r="AP1056" i="11"/>
  <c r="AM857" i="11"/>
  <c r="AP857" i="11"/>
  <c r="AM735" i="11"/>
  <c r="AP735" i="11"/>
  <c r="AM773" i="11"/>
  <c r="AP773" i="11"/>
  <c r="AM1239" i="11"/>
  <c r="AP1239" i="11"/>
  <c r="AP148" i="11"/>
  <c r="AP3147" i="11"/>
  <c r="AM3147" i="11"/>
  <c r="AM3135" i="11"/>
  <c r="AP3135" i="11"/>
  <c r="AP3038" i="11"/>
  <c r="AM3038" i="11"/>
  <c r="AM3167" i="11"/>
  <c r="AP3167" i="11"/>
  <c r="AM2864" i="11"/>
  <c r="AP2864" i="11"/>
  <c r="AP1832" i="11"/>
  <c r="AM1832" i="11"/>
  <c r="AP1888" i="11"/>
  <c r="AM1888" i="11"/>
  <c r="AP2004" i="11"/>
  <c r="AM2004" i="11"/>
  <c r="AP1581" i="11"/>
  <c r="AM1581" i="11"/>
  <c r="AP1436" i="11"/>
  <c r="AM1436" i="11"/>
  <c r="AM1315" i="11"/>
  <c r="AP1315" i="11"/>
  <c r="AP1164" i="11"/>
  <c r="AM1164" i="11"/>
  <c r="AP1046" i="11"/>
  <c r="AM1046" i="11"/>
  <c r="AM1060" i="11"/>
  <c r="AP1060" i="11"/>
  <c r="AM729" i="11"/>
  <c r="AP729" i="11"/>
  <c r="AP763" i="11"/>
  <c r="AM763" i="11"/>
  <c r="AP118" i="11"/>
  <c r="AM352" i="11"/>
  <c r="AP352" i="11"/>
  <c r="AM490" i="11"/>
  <c r="AP490" i="11"/>
  <c r="AP44" i="11"/>
  <c r="AM3240" i="11"/>
  <c r="AP3240" i="11"/>
  <c r="AM3127" i="11"/>
  <c r="AP3127" i="11"/>
  <c r="AP3034" i="11"/>
  <c r="AM3034" i="11"/>
  <c r="AM3163" i="11"/>
  <c r="AP3163" i="11"/>
  <c r="AM2874" i="11"/>
  <c r="AP2874" i="11"/>
  <c r="AM2698" i="11"/>
  <c r="AP2698" i="11"/>
  <c r="AM2629" i="11"/>
  <c r="AP2629" i="11"/>
  <c r="AM2599" i="11"/>
  <c r="AP2599" i="11"/>
  <c r="AM2349" i="11"/>
  <c r="AP2349" i="11"/>
  <c r="AP2102" i="11"/>
  <c r="AM2102" i="11"/>
  <c r="AP2076" i="11"/>
  <c r="AM2076" i="11"/>
  <c r="AM2044" i="11"/>
  <c r="AP2044" i="11"/>
  <c r="AM2179" i="11"/>
  <c r="AP2179" i="11"/>
  <c r="AP2010" i="11"/>
  <c r="AM2010" i="11"/>
  <c r="AM1730" i="11"/>
  <c r="AP1730" i="11"/>
  <c r="AM1638" i="11"/>
  <c r="AP1638" i="11"/>
  <c r="AM1526" i="11"/>
  <c r="AP1526" i="11"/>
  <c r="AM1370" i="11"/>
  <c r="AP1370" i="11"/>
  <c r="AM1494" i="11"/>
  <c r="AP1494" i="11"/>
  <c r="AM1351" i="11"/>
  <c r="AP1351" i="11"/>
  <c r="AM1416" i="11"/>
  <c r="AP1416" i="11"/>
  <c r="AM975" i="11"/>
  <c r="AP975" i="11"/>
  <c r="AM1017" i="11"/>
  <c r="AP1017" i="11"/>
  <c r="AP680" i="11"/>
  <c r="AM680" i="11"/>
  <c r="AP613" i="11"/>
  <c r="AM613" i="11"/>
  <c r="AP979" i="11"/>
  <c r="AM979" i="11"/>
  <c r="AM555" i="11"/>
  <c r="AP555" i="11"/>
  <c r="AM737" i="11"/>
  <c r="AP737" i="11"/>
  <c r="AM146" i="11"/>
  <c r="AP146" i="11"/>
  <c r="AM54" i="11"/>
  <c r="AP54" i="11"/>
  <c r="AP132" i="11"/>
  <c r="AP312" i="11"/>
  <c r="AM312" i="11"/>
  <c r="AK310" i="11"/>
  <c r="AM3107" i="11"/>
  <c r="AP3107" i="11"/>
  <c r="AP3117" i="11"/>
  <c r="AM3117" i="11"/>
  <c r="AP2872" i="11"/>
  <c r="AM2694" i="11"/>
  <c r="AP2694" i="11"/>
  <c r="AM2631" i="11"/>
  <c r="AP2631" i="11"/>
  <c r="AP2623" i="11"/>
  <c r="AM2623" i="11"/>
  <c r="AM2593" i="11"/>
  <c r="AP2593" i="11"/>
  <c r="AP2328" i="11"/>
  <c r="AM2328" i="11"/>
  <c r="AP2371" i="11"/>
  <c r="AM2371" i="11"/>
  <c r="AM2072" i="11"/>
  <c r="AP2072" i="11"/>
  <c r="AM1680" i="11"/>
  <c r="AP1680" i="11"/>
  <c r="AM1623" i="11"/>
  <c r="AP1623" i="11"/>
  <c r="AM1522" i="11"/>
  <c r="AP1522" i="11"/>
  <c r="AM1233" i="11"/>
  <c r="AP1233" i="11"/>
  <c r="AM662" i="11"/>
  <c r="AP662" i="11"/>
  <c r="AM452" i="11"/>
  <c r="AP452" i="11"/>
  <c r="AM356" i="11"/>
  <c r="AP356" i="11"/>
  <c r="AM248" i="11"/>
  <c r="AP248" i="11"/>
  <c r="AM116" i="11"/>
  <c r="AP116" i="11"/>
  <c r="AP136" i="11"/>
  <c r="AP3183" i="11"/>
  <c r="AM3183" i="11"/>
  <c r="AM3319" i="11"/>
  <c r="AP3319" i="11"/>
  <c r="AM3095" i="11"/>
  <c r="AP3095" i="11"/>
  <c r="AP2990" i="11"/>
  <c r="AM2990" i="11"/>
  <c r="AM2786" i="11"/>
  <c r="AP2786" i="11"/>
  <c r="AP2776" i="11"/>
  <c r="AM2776" i="11"/>
  <c r="AM2682" i="11"/>
  <c r="AP2682" i="11"/>
  <c r="AP2324" i="11"/>
  <c r="AP2287" i="11"/>
  <c r="AM2287" i="11"/>
  <c r="AM2050" i="11"/>
  <c r="AP2050" i="11"/>
  <c r="AP2253" i="11"/>
  <c r="AP1872" i="11"/>
  <c r="AM1872" i="11"/>
  <c r="AM1662" i="11"/>
  <c r="AP1662" i="11"/>
  <c r="AM1706" i="11"/>
  <c r="AP1706" i="11"/>
  <c r="AM1502" i="11"/>
  <c r="AP1502" i="11"/>
  <c r="AP1070" i="11"/>
  <c r="AM1070" i="11"/>
  <c r="AP1211" i="11"/>
  <c r="AM1211" i="11"/>
  <c r="AM1121" i="11"/>
  <c r="AP1121" i="11"/>
  <c r="AM1160" i="11"/>
  <c r="AP1160" i="11"/>
  <c r="AM1182" i="11"/>
  <c r="AP1182" i="11"/>
  <c r="AM1273" i="11"/>
  <c r="AP1273" i="11"/>
  <c r="AM611" i="11"/>
  <c r="AP611" i="11"/>
  <c r="AP829" i="11"/>
  <c r="AM795" i="11"/>
  <c r="AP795" i="11"/>
  <c r="AP524" i="11"/>
  <c r="AM524" i="11"/>
  <c r="AP336" i="11"/>
  <c r="AM336" i="11"/>
  <c r="AM242" i="11"/>
  <c r="AP242" i="11"/>
  <c r="AM204" i="11"/>
  <c r="AP204" i="11"/>
  <c r="AM84" i="11"/>
  <c r="AP84" i="11"/>
  <c r="AP120" i="11"/>
  <c r="AP210" i="11"/>
  <c r="AM210" i="11"/>
  <c r="AM3171" i="11"/>
  <c r="AP3171" i="11"/>
  <c r="AM3311" i="11"/>
  <c r="AP3311" i="11"/>
  <c r="AK3309" i="11"/>
  <c r="AM3309" i="11" s="1"/>
  <c r="AM2790" i="11"/>
  <c r="AP2790" i="11"/>
  <c r="AM2655" i="11"/>
  <c r="AP2655" i="11"/>
  <c r="AM2497" i="11"/>
  <c r="AP2497" i="11"/>
  <c r="AP2337" i="11"/>
  <c r="AM2337" i="11"/>
  <c r="AP1961" i="11"/>
  <c r="AM1961" i="11"/>
  <c r="AP1878" i="11"/>
  <c r="AM1878" i="11"/>
  <c r="AM1979" i="11"/>
  <c r="AP1979" i="11"/>
  <c r="AM1595" i="11"/>
  <c r="AP1595" i="11"/>
  <c r="AP1504" i="11"/>
  <c r="AM1504" i="11"/>
  <c r="AP1553" i="11"/>
  <c r="AM1553" i="11"/>
  <c r="AM1109" i="11"/>
  <c r="AP1109" i="11"/>
  <c r="AM1279" i="11"/>
  <c r="AP1279" i="11"/>
  <c r="AM1052" i="11"/>
  <c r="AP1052" i="11"/>
  <c r="AM639" i="11"/>
  <c r="AP639" i="11"/>
  <c r="AM637" i="11"/>
  <c r="AP637" i="11"/>
  <c r="AP672" i="11"/>
  <c r="AM672" i="11"/>
  <c r="AP686" i="11"/>
  <c r="AM686" i="11"/>
  <c r="AP246" i="11"/>
  <c r="AM246" i="11"/>
  <c r="AM80" i="11"/>
  <c r="AP80" i="11"/>
  <c r="AM90" i="11"/>
  <c r="AP90" i="11"/>
  <c r="AP166" i="11"/>
  <c r="AM166" i="11"/>
  <c r="AM3203" i="11"/>
  <c r="AP3203" i="11"/>
  <c r="AP3175" i="11"/>
  <c r="AM3175" i="11"/>
  <c r="AM2904" i="11"/>
  <c r="AP2904" i="11"/>
  <c r="AM2617" i="11"/>
  <c r="AP2617" i="11"/>
  <c r="AM2641" i="11"/>
  <c r="AP2641" i="11"/>
  <c r="AP2447" i="11"/>
  <c r="AM2447" i="11"/>
  <c r="AM2299" i="11"/>
  <c r="AP2299" i="11"/>
  <c r="AM2265" i="11"/>
  <c r="AP2265" i="11"/>
  <c r="AM1826" i="11"/>
  <c r="AP1826" i="11"/>
  <c r="AP1855" i="11"/>
  <c r="AM1855" i="11"/>
  <c r="AP1851" i="11"/>
  <c r="AM1851" i="11"/>
  <c r="AP1931" i="11"/>
  <c r="AM1931" i="11"/>
  <c r="AM1396" i="11"/>
  <c r="AP1396" i="11"/>
  <c r="AP1686" i="11"/>
  <c r="AM1686" i="11"/>
  <c r="AP1301" i="11"/>
  <c r="AM1301" i="11"/>
  <c r="AP1382" i="11"/>
  <c r="AM1382" i="11"/>
  <c r="AM1345" i="11"/>
  <c r="AP1345" i="11"/>
  <c r="AM908" i="11"/>
  <c r="AP908" i="11"/>
  <c r="AP747" i="11"/>
  <c r="AM747" i="11"/>
  <c r="AP961" i="11"/>
  <c r="AM595" i="11"/>
  <c r="AP595" i="11"/>
  <c r="AP535" i="11"/>
  <c r="AK533" i="11"/>
  <c r="AM535" i="11"/>
  <c r="AM498" i="11"/>
  <c r="AP498" i="11"/>
  <c r="AP92" i="11"/>
  <c r="AM92" i="11"/>
  <c r="AP306" i="11"/>
  <c r="AM306" i="11"/>
  <c r="AM220" i="11"/>
  <c r="AP220" i="11"/>
  <c r="AM3213" i="11"/>
  <c r="AP3213" i="11"/>
  <c r="AM3113" i="11"/>
  <c r="AP3113" i="11"/>
  <c r="AM2898" i="11"/>
  <c r="AP2898" i="11"/>
  <c r="AM2890" i="11"/>
  <c r="AP2890" i="11"/>
  <c r="AM2906" i="11"/>
  <c r="AP2906" i="11"/>
  <c r="AM2726" i="11"/>
  <c r="AP2726" i="11"/>
  <c r="AK2563" i="11"/>
  <c r="AM2563" i="11" s="1"/>
  <c r="AP2565" i="11"/>
  <c r="AM2565" i="11"/>
  <c r="AP2541" i="11"/>
  <c r="AM2541" i="11"/>
  <c r="AK2320" i="11"/>
  <c r="AP2322" i="11"/>
  <c r="AM2322" i="11"/>
  <c r="AM1917" i="11"/>
  <c r="AP1917" i="11"/>
  <c r="AM1955" i="11"/>
  <c r="AP1955" i="11"/>
  <c r="AM1609" i="11"/>
  <c r="AP1609" i="11"/>
  <c r="AM1816" i="11"/>
  <c r="AP1816" i="11"/>
  <c r="AP2116" i="11"/>
  <c r="AM2116" i="11"/>
  <c r="AP1652" i="11"/>
  <c r="AM1652" i="11"/>
  <c r="AP1414" i="11"/>
  <c r="AM1414" i="11"/>
  <c r="AM875" i="11"/>
  <c r="AP875" i="11"/>
  <c r="AP859" i="11"/>
  <c r="AM859" i="11"/>
  <c r="AP767" i="11"/>
  <c r="AM767" i="11"/>
  <c r="AP401" i="11"/>
  <c r="AP395" i="11" s="1"/>
  <c r="AM401" i="11"/>
  <c r="AK395" i="11"/>
  <c r="AM395" i="11" s="1"/>
  <c r="AM965" i="11"/>
  <c r="AP965" i="11"/>
  <c r="AM288" i="11"/>
  <c r="AP288" i="11"/>
  <c r="AP124" i="11"/>
  <c r="AL924" i="11"/>
  <c r="AM579" i="11"/>
  <c r="AM2944" i="11"/>
  <c r="AM2918" i="11"/>
  <c r="AL2814" i="11"/>
  <c r="AL1448" i="11"/>
  <c r="AM126" i="11"/>
  <c r="AM945" i="11"/>
  <c r="AM1919" i="11"/>
  <c r="AL1617" i="11"/>
  <c r="AM142" i="11"/>
  <c r="AL3277" i="11"/>
  <c r="AM829" i="11"/>
  <c r="AL380" i="11"/>
  <c r="AM989" i="11"/>
  <c r="AM156" i="11"/>
  <c r="AM963" i="11"/>
  <c r="AM132" i="11"/>
  <c r="AM40" i="11"/>
  <c r="AM44" i="11"/>
  <c r="AM20" i="11"/>
  <c r="AM42" i="11"/>
  <c r="AP3315" i="11"/>
  <c r="AM3315" i="11"/>
  <c r="AM3293" i="11"/>
  <c r="AP3293" i="11"/>
  <c r="AM3048" i="11"/>
  <c r="AP3048" i="11"/>
  <c r="AM2882" i="11"/>
  <c r="AP2882" i="11"/>
  <c r="AM2894" i="11"/>
  <c r="AP2894" i="11"/>
  <c r="AM2706" i="11"/>
  <c r="AP2706" i="11"/>
  <c r="AM2585" i="11"/>
  <c r="AP2585" i="11"/>
  <c r="AP2589" i="11"/>
  <c r="AM2589" i="11"/>
  <c r="AM2439" i="11"/>
  <c r="AP2439" i="11"/>
  <c r="AM2177" i="11"/>
  <c r="AP2177" i="11"/>
  <c r="AP2098" i="11"/>
  <c r="AM2098" i="11"/>
  <c r="AM1810" i="11"/>
  <c r="AP1810" i="11"/>
  <c r="AP1603" i="11"/>
  <c r="AM1603" i="11"/>
  <c r="AM1454" i="11"/>
  <c r="AP1454" i="11"/>
  <c r="AM991" i="11"/>
  <c r="AP991" i="11"/>
  <c r="AM1082" i="11"/>
  <c r="AP1082" i="11"/>
  <c r="AM1087" i="11"/>
  <c r="AP1087" i="11"/>
  <c r="AK1085" i="11"/>
  <c r="AM1085" i="11" s="1"/>
  <c r="AM883" i="11"/>
  <c r="AP883" i="11"/>
  <c r="AM670" i="11"/>
  <c r="AP670" i="11"/>
  <c r="AP843" i="11"/>
  <c r="AM843" i="11"/>
  <c r="AP168" i="11"/>
  <c r="AM168" i="11"/>
  <c r="AP38" i="11"/>
  <c r="AP282" i="11"/>
  <c r="AM282" i="11"/>
  <c r="AP82" i="11"/>
  <c r="AM82" i="11"/>
  <c r="AM3153" i="11"/>
  <c r="AP3153" i="11"/>
  <c r="AK3151" i="11"/>
  <c r="AM3151" i="11" s="1"/>
  <c r="AM2858" i="11"/>
  <c r="AP2858" i="11"/>
  <c r="AK2856" i="11"/>
  <c r="AM2922" i="11"/>
  <c r="AP2922" i="11"/>
  <c r="AP2708" i="11"/>
  <c r="AM2708" i="11"/>
  <c r="AM2684" i="11"/>
  <c r="AP2684" i="11"/>
  <c r="AM2621" i="11"/>
  <c r="AP2621" i="11"/>
  <c r="AM2487" i="11"/>
  <c r="AP2487" i="11"/>
  <c r="AM2247" i="11"/>
  <c r="AP2247" i="11"/>
  <c r="AP2173" i="11"/>
  <c r="AM2173" i="11"/>
  <c r="AP2048" i="11"/>
  <c r="AM2048" i="11"/>
  <c r="AP2189" i="11"/>
  <c r="AM2189" i="11"/>
  <c r="AM2042" i="11"/>
  <c r="AP2042" i="11"/>
  <c r="AM1740" i="11"/>
  <c r="AP1740" i="11"/>
  <c r="AM1672" i="11"/>
  <c r="AP1672" i="11"/>
  <c r="AM1549" i="11"/>
  <c r="AP1549" i="11"/>
  <c r="AM1456" i="11"/>
  <c r="AP1456" i="11"/>
  <c r="AM1380" i="11"/>
  <c r="AP1380" i="11"/>
  <c r="AM1524" i="11"/>
  <c r="AP1524" i="11"/>
  <c r="AM1357" i="11"/>
  <c r="AP1357" i="11"/>
  <c r="AM977" i="11"/>
  <c r="AP977" i="11"/>
  <c r="AP1263" i="11"/>
  <c r="AM1263" i="11"/>
  <c r="AM631" i="11"/>
  <c r="AP631" i="11"/>
  <c r="AP583" i="11"/>
  <c r="AM583" i="11"/>
  <c r="AP775" i="11"/>
  <c r="AM775" i="11"/>
  <c r="AP717" i="11"/>
  <c r="AM717" i="11"/>
  <c r="AM122" i="11"/>
  <c r="AP122" i="11"/>
  <c r="AM3143" i="11"/>
  <c r="AP3143" i="11"/>
  <c r="AP2645" i="11"/>
  <c r="AM2645" i="11"/>
  <c r="AM2453" i="11"/>
  <c r="AP2453" i="11"/>
  <c r="AM2383" i="11"/>
  <c r="AP2383" i="11"/>
  <c r="AM1981" i="11"/>
  <c r="AP1981" i="11"/>
  <c r="AM2139" i="11"/>
  <c r="AP2139" i="11"/>
  <c r="AM1820" i="11"/>
  <c r="AP1820" i="11"/>
  <c r="AM1656" i="11"/>
  <c r="AP1656" i="11"/>
  <c r="AM1571" i="11"/>
  <c r="AP1571" i="11"/>
  <c r="AM1754" i="11"/>
  <c r="AP1754" i="11"/>
  <c r="AM1013" i="11"/>
  <c r="AP1013" i="11"/>
  <c r="AM1040" i="11"/>
  <c r="AP1040" i="11"/>
  <c r="AP900" i="11"/>
  <c r="AM900" i="11"/>
  <c r="AM488" i="11"/>
  <c r="AP488" i="11"/>
  <c r="AM805" i="11"/>
  <c r="AP805" i="11"/>
  <c r="AM470" i="11"/>
  <c r="AP470" i="11"/>
  <c r="AM526" i="11"/>
  <c r="AP526" i="11"/>
  <c r="AP52" i="11"/>
  <c r="AM354" i="11"/>
  <c r="AP354" i="11"/>
  <c r="AM328" i="11"/>
  <c r="AP328" i="11"/>
  <c r="AM190" i="11"/>
  <c r="AP190" i="11"/>
  <c r="AM3129" i="11"/>
  <c r="AP3129" i="11"/>
  <c r="AM3236" i="11"/>
  <c r="AP3236" i="11"/>
  <c r="AM3030" i="11"/>
  <c r="AP3030" i="11"/>
  <c r="AM2956" i="11"/>
  <c r="AP2956" i="11"/>
  <c r="AM2437" i="11"/>
  <c r="AP2437" i="11"/>
  <c r="AP2100" i="11"/>
  <c r="AM2100" i="11"/>
  <c r="AM2066" i="11"/>
  <c r="AP2066" i="11"/>
  <c r="AM2257" i="11"/>
  <c r="AP2257" i="11"/>
  <c r="AM2133" i="11"/>
  <c r="AP2133" i="11"/>
  <c r="AM1801" i="11"/>
  <c r="AP1801" i="11"/>
  <c r="AD2379" i="11"/>
  <c r="AC2375" i="11"/>
  <c r="AD2375" i="11" s="1"/>
  <c r="AM1732" i="11"/>
  <c r="AP1732" i="11"/>
  <c r="AM1349" i="11"/>
  <c r="AP1349" i="11"/>
  <c r="AP1192" i="11"/>
  <c r="AM1192" i="11"/>
  <c r="AM1152" i="11"/>
  <c r="AP1152" i="11"/>
  <c r="AM1299" i="11"/>
  <c r="AP1299" i="11"/>
  <c r="AP1001" i="11"/>
  <c r="AM1001" i="11"/>
  <c r="AM803" i="11"/>
  <c r="AP803" i="11"/>
  <c r="AP715" i="11"/>
  <c r="AM715" i="11"/>
  <c r="AM797" i="11"/>
  <c r="AP797" i="11"/>
  <c r="AM260" i="11"/>
  <c r="AP260" i="11"/>
  <c r="AM222" i="11"/>
  <c r="AP222" i="11"/>
  <c r="AP3205" i="11"/>
  <c r="AM3205" i="11"/>
  <c r="AP2918" i="11"/>
  <c r="AM2810" i="11"/>
  <c r="AP2810" i="11"/>
  <c r="AP2539" i="11"/>
  <c r="AM2539" i="11"/>
  <c r="AK2537" i="11"/>
  <c r="AM2351" i="11"/>
  <c r="AP2351" i="11"/>
  <c r="AM2201" i="11"/>
  <c r="AP2201" i="11"/>
  <c r="AM2269" i="11"/>
  <c r="AP2269" i="11"/>
  <c r="AM1838" i="11"/>
  <c r="AP1838" i="11"/>
  <c r="AM1886" i="11"/>
  <c r="AP1886" i="11"/>
  <c r="AM1949" i="11"/>
  <c r="AP1949" i="11"/>
  <c r="AP1404" i="11"/>
  <c r="AM1404" i="11"/>
  <c r="AM1648" i="11"/>
  <c r="AP1648" i="11"/>
  <c r="AM1213" i="11"/>
  <c r="AP1213" i="11"/>
  <c r="AP791" i="11"/>
  <c r="AM791" i="11"/>
  <c r="AM700" i="11"/>
  <c r="AP700" i="11"/>
  <c r="AM442" i="11"/>
  <c r="AP442" i="11"/>
  <c r="AM516" i="11"/>
  <c r="AP516" i="11"/>
  <c r="AP3201" i="11"/>
  <c r="AM3201" i="11"/>
  <c r="AM2986" i="11"/>
  <c r="AP2986" i="11"/>
  <c r="AM2912" i="11"/>
  <c r="AP2912" i="11"/>
  <c r="AM2782" i="11"/>
  <c r="AP2782" i="11"/>
  <c r="AM2643" i="11"/>
  <c r="AP2643" i="11"/>
  <c r="AM2471" i="11"/>
  <c r="AP2471" i="11"/>
  <c r="AP2307" i="11"/>
  <c r="AM2307" i="11"/>
  <c r="AM2277" i="11"/>
  <c r="AP2277" i="11"/>
  <c r="AM2036" i="11"/>
  <c r="AP2036" i="11"/>
  <c r="AP2012" i="11"/>
  <c r="AM2012" i="11"/>
  <c r="AM1712" i="11"/>
  <c r="AP1712" i="11"/>
  <c r="AM1646" i="11"/>
  <c r="AP1646" i="11"/>
  <c r="AM1575" i="11"/>
  <c r="AP1575" i="11"/>
  <c r="AM1510" i="11"/>
  <c r="AP1510" i="11"/>
  <c r="AM1704" i="11"/>
  <c r="AP1704" i="11"/>
  <c r="AC1445" i="11"/>
  <c r="AD1448" i="11"/>
  <c r="AM1410" i="11"/>
  <c r="AP1410" i="11"/>
  <c r="AM1089" i="11"/>
  <c r="AP1089" i="11"/>
  <c r="AP959" i="11"/>
  <c r="AP573" i="11"/>
  <c r="AM789" i="11"/>
  <c r="AP789" i="11"/>
  <c r="AP478" i="11"/>
  <c r="AM478" i="11"/>
  <c r="AP56" i="11"/>
  <c r="AM56" i="11"/>
  <c r="AM160" i="11"/>
  <c r="AP160" i="11"/>
  <c r="AP3125" i="11"/>
  <c r="AM3125" i="11"/>
  <c r="AM3211" i="11"/>
  <c r="AP3211" i="11"/>
  <c r="AM3197" i="11"/>
  <c r="AP3197" i="11"/>
  <c r="AM3071" i="11"/>
  <c r="AP3071" i="11"/>
  <c r="AM2978" i="11"/>
  <c r="AP2978" i="11"/>
  <c r="AM2908" i="11"/>
  <c r="AP2908" i="11"/>
  <c r="AM2748" i="11"/>
  <c r="AP2748" i="11"/>
  <c r="AP2756" i="11"/>
  <c r="AM2756" i="11"/>
  <c r="AM2301" i="11"/>
  <c r="AP2301" i="11"/>
  <c r="AD2295" i="11"/>
  <c r="AC2291" i="11"/>
  <c r="AD2291" i="11" s="1"/>
  <c r="AM2022" i="11"/>
  <c r="AP2022" i="11"/>
  <c r="AM2237" i="11"/>
  <c r="AP2237" i="11"/>
  <c r="AM1640" i="11"/>
  <c r="AP1640" i="11"/>
  <c r="AM1478" i="11"/>
  <c r="AP1478" i="11"/>
  <c r="AP1140" i="11"/>
  <c r="AM1140" i="11"/>
  <c r="AM1105" i="11"/>
  <c r="AP1105" i="11"/>
  <c r="AM1237" i="11"/>
  <c r="AP1237" i="11"/>
  <c r="AM1095" i="11"/>
  <c r="AP1095" i="11"/>
  <c r="AM1066" i="11"/>
  <c r="AP1066" i="11"/>
  <c r="AP472" i="11"/>
  <c r="AM436" i="11"/>
  <c r="AP436" i="11"/>
  <c r="AP150" i="11"/>
  <c r="AP270" i="11"/>
  <c r="AM270" i="11"/>
  <c r="AM3191" i="11"/>
  <c r="AP3191" i="11"/>
  <c r="AP3297" i="11"/>
  <c r="AM3297" i="11"/>
  <c r="AM2972" i="11"/>
  <c r="AP2972" i="11"/>
  <c r="AD2609" i="11"/>
  <c r="AC2605" i="11"/>
  <c r="AD2605" i="11" s="1"/>
  <c r="AM2647" i="11"/>
  <c r="AP2647" i="11"/>
  <c r="AM2473" i="11"/>
  <c r="AP2473" i="11"/>
  <c r="AM2283" i="11"/>
  <c r="AP2283" i="11"/>
  <c r="AM2233" i="11"/>
  <c r="AP2233" i="11"/>
  <c r="AM2545" i="11"/>
  <c r="AP2545" i="11"/>
  <c r="AM1959" i="11"/>
  <c r="AP1959" i="11"/>
  <c r="AM2060" i="11"/>
  <c r="AP2060" i="11"/>
  <c r="AM1474" i="11"/>
  <c r="AP1474" i="11"/>
  <c r="AM1313" i="11"/>
  <c r="AP1313" i="11"/>
  <c r="AP1261" i="11"/>
  <c r="AM1261" i="11"/>
  <c r="AM1327" i="11"/>
  <c r="AP1327" i="11"/>
  <c r="AM910" i="11"/>
  <c r="AP910" i="11"/>
  <c r="AP983" i="11"/>
  <c r="AM603" i="11"/>
  <c r="AP603" i="11"/>
  <c r="AM545" i="11"/>
  <c r="AP545" i="11"/>
  <c r="AM508" i="11"/>
  <c r="AP508" i="11"/>
  <c r="AP76" i="11"/>
  <c r="AM76" i="11"/>
  <c r="AM178" i="11"/>
  <c r="AP178" i="11"/>
  <c r="AK176" i="11"/>
  <c r="AL412" i="11"/>
  <c r="AM136" i="11"/>
  <c r="AM148" i="11"/>
  <c r="AM518" i="11"/>
  <c r="AM569" i="11"/>
  <c r="AM949" i="11"/>
  <c r="AM953" i="11"/>
  <c r="AL2738" i="11"/>
  <c r="AL2405" i="11"/>
  <c r="AM571" i="11"/>
  <c r="AM573" i="11"/>
  <c r="AM118" i="11"/>
  <c r="AM64" i="11"/>
  <c r="AM66" i="11"/>
  <c r="AM38" i="11"/>
  <c r="AM3169" i="11"/>
  <c r="AP3169" i="11"/>
  <c r="AP3185" i="11"/>
  <c r="AM3185" i="11"/>
  <c r="AM3060" i="11"/>
  <c r="AP3060" i="11"/>
  <c r="AM2868" i="11"/>
  <c r="AP2868" i="11"/>
  <c r="AC2852" i="11"/>
  <c r="AD2852" i="11" s="1"/>
  <c r="AD2960" i="11"/>
  <c r="AM2489" i="11"/>
  <c r="AP2489" i="11"/>
  <c r="AP2203" i="11"/>
  <c r="AM2203" i="11"/>
  <c r="AM1989" i="11"/>
  <c r="AP1989" i="11"/>
  <c r="AM1993" i="11"/>
  <c r="AP1993" i="11"/>
  <c r="AM2094" i="11"/>
  <c r="AP2094" i="11"/>
  <c r="AP1764" i="11"/>
  <c r="AM1764" i="11"/>
  <c r="AM1694" i="11"/>
  <c r="AP1694" i="11"/>
  <c r="AP1569" i="11"/>
  <c r="AM1569" i="11"/>
  <c r="AK1448" i="11"/>
  <c r="AP1472" i="11"/>
  <c r="AM1472" i="11"/>
  <c r="AM1335" i="11"/>
  <c r="AP1335" i="11"/>
  <c r="AM1466" i="11"/>
  <c r="AP1466" i="11"/>
  <c r="AP1026" i="11"/>
  <c r="AM1026" i="11"/>
  <c r="AP707" i="11"/>
  <c r="AM707" i="11"/>
  <c r="AP1080" i="11"/>
  <c r="AM587" i="11"/>
  <c r="AP587" i="11"/>
  <c r="AM601" i="11"/>
  <c r="AP601" i="11"/>
  <c r="AP787" i="11"/>
  <c r="AM787" i="11"/>
  <c r="AP40" i="11"/>
  <c r="AM164" i="11"/>
  <c r="AP164" i="11"/>
  <c r="AP350" i="11"/>
  <c r="AM350" i="11"/>
  <c r="AM3262" i="11"/>
  <c r="AP3262" i="11"/>
  <c r="AM3075" i="11"/>
  <c r="AP3075" i="11"/>
  <c r="AM3016" i="11"/>
  <c r="AP3016" i="11"/>
  <c r="AM2635" i="11"/>
  <c r="AP2635" i="11"/>
  <c r="AM2369" i="11"/>
  <c r="AP2369" i="11"/>
  <c r="AM2653" i="11"/>
  <c r="AP2653" i="11"/>
  <c r="AP2080" i="11"/>
  <c r="AM2080" i="11"/>
  <c r="AM2421" i="11"/>
  <c r="AP2421" i="11"/>
  <c r="AM1985" i="11"/>
  <c r="AP1985" i="11"/>
  <c r="AM1977" i="11"/>
  <c r="AP1977" i="11"/>
  <c r="AP1971" i="11"/>
  <c r="AM1971" i="11"/>
  <c r="AM2032" i="11"/>
  <c r="AP2032" i="11"/>
  <c r="AM1758" i="11"/>
  <c r="AP1758" i="11"/>
  <c r="AP1420" i="11"/>
  <c r="AM1420" i="11"/>
  <c r="AP1022" i="11"/>
  <c r="AM1022" i="11"/>
  <c r="AK1020" i="11"/>
  <c r="AM1054" i="11"/>
  <c r="AP1054" i="11"/>
  <c r="AP696" i="11"/>
  <c r="AM696" i="11"/>
  <c r="AM1028" i="11"/>
  <c r="AP1028" i="11"/>
  <c r="AP565" i="11"/>
  <c r="AM565" i="11"/>
  <c r="AM162" i="11"/>
  <c r="AP162" i="11"/>
  <c r="AP20" i="11"/>
  <c r="AP156" i="11"/>
  <c r="AP344" i="11"/>
  <c r="AM344" i="11"/>
  <c r="AM3123" i="11"/>
  <c r="AP3123" i="11"/>
  <c r="AM3091" i="11"/>
  <c r="AP3091" i="11"/>
  <c r="AM3012" i="11"/>
  <c r="AP3012" i="11"/>
  <c r="AM2840" i="11"/>
  <c r="AP2840" i="11"/>
  <c r="AM2926" i="11"/>
  <c r="AP2926" i="11"/>
  <c r="AP2451" i="11"/>
  <c r="AM2451" i="11"/>
  <c r="AM2347" i="11"/>
  <c r="AK2345" i="11"/>
  <c r="AM2345" i="11" s="1"/>
  <c r="AP2347" i="11"/>
  <c r="AP2273" i="11"/>
  <c r="AM2273" i="11"/>
  <c r="AP2104" i="11"/>
  <c r="AM2104" i="11"/>
  <c r="AP1642" i="11"/>
  <c r="AM1642" i="11"/>
  <c r="AP1366" i="11"/>
  <c r="AM1366" i="11"/>
  <c r="AP949" i="11"/>
  <c r="AP569" i="11"/>
  <c r="AP731" i="11"/>
  <c r="AM731" i="11"/>
  <c r="AM755" i="11"/>
  <c r="AP755" i="11"/>
  <c r="AM326" i="11"/>
  <c r="AP326" i="11"/>
  <c r="AM3054" i="11"/>
  <c r="AP3054" i="11"/>
  <c r="AM3056" i="11"/>
  <c r="AP3056" i="11"/>
  <c r="AM3000" i="11"/>
  <c r="AP3000" i="11"/>
  <c r="AP2796" i="11"/>
  <c r="AM2796" i="11"/>
  <c r="AM2886" i="11"/>
  <c r="AP2886" i="11"/>
  <c r="AM2491" i="11"/>
  <c r="AP2491" i="11"/>
  <c r="AM2427" i="11"/>
  <c r="AP2427" i="11"/>
  <c r="AP2515" i="11"/>
  <c r="AM2515" i="11"/>
  <c r="AM2315" i="11"/>
  <c r="AP2315" i="11"/>
  <c r="AM2058" i="11"/>
  <c r="AP2058" i="11"/>
  <c r="AP1890" i="11"/>
  <c r="AM1890" i="11"/>
  <c r="AP2381" i="11"/>
  <c r="AM2381" i="11"/>
  <c r="AK2379" i="11"/>
  <c r="AM1567" i="11"/>
  <c r="AP1567" i="11"/>
  <c r="AM1627" i="11"/>
  <c r="AP1627" i="11"/>
  <c r="AM1492" i="11"/>
  <c r="AP1492" i="11"/>
  <c r="AM1329" i="11"/>
  <c r="AP1329" i="11"/>
  <c r="AM1412" i="11"/>
  <c r="AP1412" i="11"/>
  <c r="AK971" i="11"/>
  <c r="AP973" i="11"/>
  <c r="AM973" i="11"/>
  <c r="AP985" i="11"/>
  <c r="AM985" i="11"/>
  <c r="AM1142" i="11"/>
  <c r="AP1142" i="11"/>
  <c r="AM676" i="11"/>
  <c r="AP676" i="11"/>
  <c r="AP705" i="11"/>
  <c r="AM705" i="11"/>
  <c r="AK703" i="11"/>
  <c r="AP664" i="11"/>
  <c r="AM664" i="11"/>
  <c r="AM450" i="11"/>
  <c r="AP450" i="11"/>
  <c r="AM272" i="11"/>
  <c r="AP272" i="11"/>
  <c r="AM130" i="11"/>
  <c r="AP130" i="11"/>
  <c r="AM108" i="11"/>
  <c r="AP108" i="11"/>
  <c r="AM332" i="11"/>
  <c r="AP332" i="11"/>
  <c r="AM36" i="11"/>
  <c r="AP36" i="11"/>
  <c r="AP3238" i="11"/>
  <c r="AM3238" i="11"/>
  <c r="AM3115" i="11"/>
  <c r="AP3115" i="11"/>
  <c r="AM3093" i="11"/>
  <c r="AP3093" i="11"/>
  <c r="AM3109" i="11"/>
  <c r="AP3109" i="11"/>
  <c r="AM2940" i="11"/>
  <c r="AP2940" i="11"/>
  <c r="AM2824" i="11"/>
  <c r="AP2824" i="11"/>
  <c r="AM2619" i="11"/>
  <c r="AP2619" i="11"/>
  <c r="AM2581" i="11"/>
  <c r="AP2581" i="11"/>
  <c r="AP2459" i="11"/>
  <c r="AM2459" i="11"/>
  <c r="AK2457" i="11"/>
  <c r="AP2145" i="11"/>
  <c r="AM2145" i="11"/>
  <c r="AM2122" i="11"/>
  <c r="AP2122" i="11"/>
  <c r="AM2106" i="11"/>
  <c r="AP2106" i="11"/>
  <c r="AM1814" i="11"/>
  <c r="AP1814" i="11"/>
  <c r="AP1844" i="11"/>
  <c r="AM1844" i="11"/>
  <c r="AM1535" i="11"/>
  <c r="AP1535" i="11"/>
  <c r="AM1303" i="11"/>
  <c r="AP1303" i="11"/>
  <c r="AM1428" i="11"/>
  <c r="AP1428" i="11"/>
  <c r="AM1555" i="11"/>
  <c r="AP1555" i="11"/>
  <c r="AM1132" i="11"/>
  <c r="AP1132" i="11"/>
  <c r="AC1125" i="11"/>
  <c r="AD1125" i="11" s="1"/>
  <c r="AD1128" i="11"/>
  <c r="AM938" i="11"/>
  <c r="AP938" i="11"/>
  <c r="AM643" i="11"/>
  <c r="AP643" i="11"/>
  <c r="AM678" i="11"/>
  <c r="AP678" i="11"/>
  <c r="AM743" i="11"/>
  <c r="AP743" i="11"/>
  <c r="AM633" i="11"/>
  <c r="AP633" i="11"/>
  <c r="AM424" i="11"/>
  <c r="AP424" i="11"/>
  <c r="AP126" i="11"/>
  <c r="AM46" i="11"/>
  <c r="AP46" i="11"/>
  <c r="AM320" i="11"/>
  <c r="AP320" i="11"/>
  <c r="AP34" i="11"/>
  <c r="AM3217" i="11"/>
  <c r="AP3217" i="11"/>
  <c r="AM3081" i="11"/>
  <c r="AP3081" i="11"/>
  <c r="AM2780" i="11"/>
  <c r="AP2780" i="11"/>
  <c r="AM2692" i="11"/>
  <c r="AP2692" i="11"/>
  <c r="AM2313" i="11"/>
  <c r="AP2313" i="11"/>
  <c r="AM1975" i="11"/>
  <c r="AP1975" i="11"/>
  <c r="AP1775" i="11"/>
  <c r="AK1773" i="11"/>
  <c r="AM1775" i="11"/>
  <c r="AM1331" i="11"/>
  <c r="AP1331" i="11"/>
  <c r="AM1450" i="11"/>
  <c r="AP1450" i="11"/>
  <c r="AM1319" i="11"/>
  <c r="AP1319" i="11"/>
  <c r="AM1368" i="11"/>
  <c r="AP1368" i="11"/>
  <c r="AP894" i="11"/>
  <c r="AM894" i="11"/>
  <c r="AM1091" i="11"/>
  <c r="AP1091" i="11"/>
  <c r="AP1058" i="11"/>
  <c r="AM1058" i="11"/>
  <c r="AM520" i="11"/>
  <c r="AP520" i="11"/>
  <c r="AM585" i="11"/>
  <c r="AP585" i="11"/>
  <c r="AP577" i="11"/>
  <c r="AM577" i="11"/>
  <c r="AM314" i="11"/>
  <c r="AP314" i="11"/>
  <c r="AM214" i="11"/>
  <c r="AP214" i="11"/>
  <c r="AM3187" i="11"/>
  <c r="AP3187" i="11"/>
  <c r="AM2770" i="11"/>
  <c r="AP2770" i="11"/>
  <c r="AM2639" i="11"/>
  <c r="AP2639" i="11"/>
  <c r="AP2461" i="11"/>
  <c r="AM2461" i="11"/>
  <c r="AM2219" i="11"/>
  <c r="AP2219" i="11"/>
  <c r="AM2110" i="11"/>
  <c r="AP2110" i="11"/>
  <c r="AM2030" i="11"/>
  <c r="AP2030" i="11"/>
  <c r="AM2020" i="11"/>
  <c r="AP2020" i="11"/>
  <c r="AM1795" i="11"/>
  <c r="AP1795" i="11"/>
  <c r="AP1520" i="11"/>
  <c r="AM1520" i="11"/>
  <c r="AP1734" i="11"/>
  <c r="AM1734" i="11"/>
  <c r="AM1591" i="11"/>
  <c r="AP1591" i="11"/>
  <c r="AM1632" i="11"/>
  <c r="AP1632" i="11"/>
  <c r="AK1630" i="11"/>
  <c r="AM1030" i="11"/>
  <c r="AP1030" i="11"/>
  <c r="AM1138" i="11"/>
  <c r="AP1138" i="11"/>
  <c r="AM1174" i="11"/>
  <c r="AP1174" i="11"/>
  <c r="AM1074" i="11"/>
  <c r="AP1074" i="11"/>
  <c r="AM1146" i="11"/>
  <c r="AP1146" i="11"/>
  <c r="AP771" i="11"/>
  <c r="AM771" i="11"/>
  <c r="AM753" i="11"/>
  <c r="AP753" i="11"/>
  <c r="AM811" i="11"/>
  <c r="AP811" i="11"/>
  <c r="AM420" i="11"/>
  <c r="AP420" i="11"/>
  <c r="AM212" i="11"/>
  <c r="AP212" i="11"/>
  <c r="AM192" i="11"/>
  <c r="AP192" i="11"/>
  <c r="AP128" i="11"/>
  <c r="AM3121" i="11"/>
  <c r="AP3121" i="11"/>
  <c r="AP3195" i="11"/>
  <c r="AM3195" i="11"/>
  <c r="AM3189" i="11"/>
  <c r="AP3189" i="11"/>
  <c r="AP3067" i="11"/>
  <c r="AM3067" i="11"/>
  <c r="AP2892" i="11"/>
  <c r="AM2892" i="11"/>
  <c r="AM2611" i="11"/>
  <c r="AP2611" i="11"/>
  <c r="AK2609" i="11"/>
  <c r="AM2505" i="11"/>
  <c r="AP2505" i="11"/>
  <c r="AM2730" i="11"/>
  <c r="AP2730" i="11"/>
  <c r="AP1812" i="11"/>
  <c r="AM1812" i="11"/>
  <c r="AM1849" i="11"/>
  <c r="AP1849" i="11"/>
  <c r="AK1847" i="11"/>
  <c r="AM1746" i="11"/>
  <c r="AP1746" i="11"/>
  <c r="AP1561" i="11"/>
  <c r="AM1561" i="11"/>
  <c r="AP1726" i="11"/>
  <c r="AM1726" i="11"/>
  <c r="AP1779" i="11"/>
  <c r="AM1779" i="11"/>
  <c r="AM1217" i="11"/>
  <c r="AP1217" i="11"/>
  <c r="AM1295" i="11"/>
  <c r="AP1295" i="11"/>
  <c r="AM1170" i="11"/>
  <c r="AP1170" i="11"/>
  <c r="AM1209" i="11"/>
  <c r="AP1209" i="11"/>
  <c r="AM1044" i="11"/>
  <c r="AP1044" i="11"/>
  <c r="AM727" i="11"/>
  <c r="AP727" i="11"/>
  <c r="AP928" i="11"/>
  <c r="AM539" i="11"/>
  <c r="AP539" i="11"/>
  <c r="AM561" i="11"/>
  <c r="AP561" i="11"/>
  <c r="AP597" i="11"/>
  <c r="AM597" i="11"/>
  <c r="AP371" i="11"/>
  <c r="AK369" i="11"/>
  <c r="AM371" i="11"/>
  <c r="AP202" i="11"/>
  <c r="AM202" i="11"/>
  <c r="AM386" i="11"/>
  <c r="AP386" i="11"/>
  <c r="AM1847" i="11" l="1"/>
  <c r="AP2379" i="11"/>
  <c r="AM1630" i="11"/>
  <c r="AM3289" i="11"/>
  <c r="AM2359" i="11"/>
  <c r="AM2537" i="11"/>
  <c r="AP2457" i="11"/>
  <c r="AM310" i="11"/>
  <c r="AL2856" i="11"/>
  <c r="AM2856" i="11" s="1"/>
  <c r="AM2872" i="11"/>
  <c r="AP380" i="11"/>
  <c r="AM1199" i="11"/>
  <c r="AM652" i="11"/>
  <c r="AM258" i="11"/>
  <c r="AP3252" i="11"/>
  <c r="AM1531" i="11"/>
  <c r="AL1445" i="11"/>
  <c r="AP2333" i="11"/>
  <c r="AM184" i="11"/>
  <c r="AL1998" i="11"/>
  <c r="AM1998" i="11" s="1"/>
  <c r="AL1125" i="11"/>
  <c r="AL2379" i="11"/>
  <c r="AL2375" i="11" s="1"/>
  <c r="AP2609" i="11"/>
  <c r="AP2563" i="11"/>
  <c r="AM2253" i="11"/>
  <c r="AP1998" i="11"/>
  <c r="AM1362" i="11"/>
  <c r="AM2393" i="11"/>
  <c r="AL2291" i="11"/>
  <c r="AP2213" i="11"/>
  <c r="AL781" i="11"/>
  <c r="AM781" i="11" s="1"/>
  <c r="AM1698" i="11"/>
  <c r="AP2084" i="11"/>
  <c r="AK994" i="11"/>
  <c r="AM997" i="11"/>
  <c r="AP3289" i="11"/>
  <c r="AM468" i="11"/>
  <c r="AK1770" i="11"/>
  <c r="AM1773" i="11"/>
  <c r="AM2457" i="11"/>
  <c r="AM1448" i="11"/>
  <c r="AK1445" i="11"/>
  <c r="AL2401" i="11"/>
  <c r="AP533" i="11"/>
  <c r="AP369" i="11"/>
  <c r="AM928" i="11"/>
  <c r="AM703" i="11"/>
  <c r="AM2324" i="11"/>
  <c r="AP1531" i="11"/>
  <c r="AL1020" i="11"/>
  <c r="AM1020" i="11" s="1"/>
  <c r="AM1714" i="11"/>
  <c r="AL365" i="11"/>
  <c r="AP851" i="11"/>
  <c r="AL941" i="11"/>
  <c r="AP3063" i="11"/>
  <c r="AP2345" i="11"/>
  <c r="AM176" i="11"/>
  <c r="AP3151" i="11"/>
  <c r="AP310" i="11"/>
  <c r="AM1514" i="11"/>
  <c r="AP3101" i="11"/>
  <c r="AP232" i="11"/>
  <c r="AK10" i="11"/>
  <c r="AP1860" i="11"/>
  <c r="AM2405" i="11"/>
  <c r="AK2401" i="11"/>
  <c r="AP886" i="11"/>
  <c r="AP1199" i="11"/>
  <c r="AP2814" i="11"/>
  <c r="AP1448" i="11"/>
  <c r="AM380" i="11"/>
  <c r="AP1128" i="11"/>
  <c r="AM1882" i="11"/>
  <c r="AM3264" i="11"/>
  <c r="AM2738" i="11"/>
  <c r="AP703" i="11"/>
  <c r="AP971" i="11"/>
  <c r="AP1020" i="11"/>
  <c r="AP176" i="11"/>
  <c r="AP1085" i="11"/>
  <c r="AP2320" i="11"/>
  <c r="AP2960" i="11"/>
  <c r="AP1362" i="11"/>
  <c r="AP3277" i="11"/>
  <c r="AM886" i="11"/>
  <c r="AM2814" i="11"/>
  <c r="AM3063" i="11"/>
  <c r="AM3024" i="11"/>
  <c r="AL14" i="11"/>
  <c r="AM14" i="11" s="1"/>
  <c r="AL2605" i="11"/>
  <c r="AM3252" i="11"/>
  <c r="AL971" i="11"/>
  <c r="AM971" i="11" s="1"/>
  <c r="AM2320" i="11"/>
  <c r="AM2960" i="11"/>
  <c r="AL1907" i="11"/>
  <c r="AK2291" i="11"/>
  <c r="AM2295" i="11"/>
  <c r="AL533" i="11"/>
  <c r="AM1860" i="11"/>
  <c r="AP1882" i="11"/>
  <c r="AP2738" i="11"/>
  <c r="AM1128" i="11"/>
  <c r="AK1125" i="11"/>
  <c r="AP2527" i="11"/>
  <c r="AP14" i="11"/>
  <c r="AM1617" i="11"/>
  <c r="AM3277" i="11"/>
  <c r="AL3224" i="11"/>
  <c r="AP997" i="11"/>
  <c r="AM1806" i="11"/>
  <c r="AM412" i="11"/>
  <c r="AP102" i="11"/>
  <c r="AP941" i="11"/>
  <c r="AP2127" i="11"/>
  <c r="AK1903" i="11"/>
  <c r="AC1442" i="11"/>
  <c r="AD1442" i="11" s="1"/>
  <c r="AD1445" i="11"/>
  <c r="AK2852" i="11"/>
  <c r="AP3309" i="11"/>
  <c r="AL1770" i="11"/>
  <c r="AP2359" i="11"/>
  <c r="AP2295" i="11"/>
  <c r="AP1617" i="11"/>
  <c r="AL102" i="11"/>
  <c r="AM102" i="11" s="1"/>
  <c r="AM232" i="11"/>
  <c r="AM3228" i="11"/>
  <c r="AK3224" i="11"/>
  <c r="AP1698" i="11"/>
  <c r="AP781" i="11"/>
  <c r="AP1806" i="11"/>
  <c r="AM2672" i="11"/>
  <c r="AP412" i="11"/>
  <c r="AP652" i="11"/>
  <c r="AP924" i="11"/>
  <c r="AM2527" i="11"/>
  <c r="AP1907" i="11"/>
  <c r="AP2393" i="11"/>
  <c r="AP2375" i="11" s="1"/>
  <c r="AM369" i="11"/>
  <c r="AK365" i="11"/>
  <c r="AP1847" i="11"/>
  <c r="AK2605" i="11"/>
  <c r="AM2609" i="11"/>
  <c r="AK2375" i="11"/>
  <c r="AK409" i="11"/>
  <c r="AP2856" i="11"/>
  <c r="AP2405" i="11"/>
  <c r="AM2213" i="11"/>
  <c r="AM2127" i="11"/>
  <c r="AP2672" i="11"/>
  <c r="AM3101" i="11"/>
  <c r="AP1773" i="11"/>
  <c r="AM851" i="11"/>
  <c r="AK848" i="11"/>
  <c r="AP1630" i="11"/>
  <c r="AP3228" i="11"/>
  <c r="AM924" i="11"/>
  <c r="AP2764" i="11"/>
  <c r="AP365" i="11" l="1"/>
  <c r="AP1903" i="11"/>
  <c r="AM2375" i="11"/>
  <c r="AM3224" i="11"/>
  <c r="AL2852" i="11"/>
  <c r="AM2852" i="11" s="1"/>
  <c r="AM1125" i="11"/>
  <c r="AM2291" i="11"/>
  <c r="AM365" i="11"/>
  <c r="AL409" i="11"/>
  <c r="AM409" i="11" s="1"/>
  <c r="AM2401" i="11"/>
  <c r="AL1903" i="11"/>
  <c r="AL1442" i="11" s="1"/>
  <c r="AM2379" i="11"/>
  <c r="AP2401" i="11"/>
  <c r="AP2291" i="11"/>
  <c r="AP1770" i="11"/>
  <c r="AM1907" i="11"/>
  <c r="AL994" i="11"/>
  <c r="AM994" i="11" s="1"/>
  <c r="AL848" i="11"/>
  <c r="AM848" i="11" s="1"/>
  <c r="AP2605" i="11"/>
  <c r="AP1125" i="11"/>
  <c r="AM533" i="11"/>
  <c r="AP409" i="11"/>
  <c r="AP2852" i="11"/>
  <c r="AP848" i="11"/>
  <c r="AP10" i="11"/>
  <c r="AM1770" i="11"/>
  <c r="AL10" i="11"/>
  <c r="AM10" i="11" s="1"/>
  <c r="AM2605" i="11"/>
  <c r="AM941" i="11"/>
  <c r="AP994" i="11"/>
  <c r="AP3224" i="11"/>
  <c r="AP1445" i="11"/>
  <c r="AK1442" i="11"/>
  <c r="AM1445" i="11"/>
  <c r="AP1442" i="11" l="1"/>
  <c r="AM1903" i="11"/>
  <c r="AM1442" i="11"/>
  <c r="AU109" i="4" l="1"/>
  <c r="AR109" i="4"/>
  <c r="AW3224" i="11" l="1"/>
  <c r="AW3225" i="11" s="1"/>
  <c r="AW3226" i="11" s="1"/>
  <c r="AW3227" i="11" s="1"/>
  <c r="AW3145" i="11"/>
  <c r="AW3146" i="11" s="1"/>
  <c r="AW3141" i="11"/>
  <c r="AW3142" i="11" s="1"/>
  <c r="AW3143" i="11" s="1"/>
  <c r="AW3144" i="11" s="1"/>
  <c r="AW3139" i="11"/>
  <c r="AW3140" i="11" s="1"/>
  <c r="AW3137" i="11"/>
  <c r="AW3138" i="11" s="1"/>
  <c r="AW3135" i="11"/>
  <c r="AW3136" i="11" s="1"/>
  <c r="AW2840" i="11"/>
  <c r="AW2841" i="11" s="1"/>
  <c r="AW2842" i="11"/>
  <c r="AW2843" i="11" s="1"/>
  <c r="AW2844" i="11" s="1"/>
  <c r="AW2845" i="11" s="1"/>
  <c r="AW2846" i="11"/>
  <c r="AW1531" i="11"/>
  <c r="AW1532" i="11" s="1"/>
  <c r="AW1533" i="11"/>
  <c r="AW1534" i="11" s="1"/>
  <c r="AW1535" i="11"/>
  <c r="AW2847" i="11" l="1"/>
  <c r="AW2848" i="11" s="1"/>
  <c r="AW2849" i="11" s="1"/>
  <c r="AW2850" i="11" s="1"/>
  <c r="AW2851" i="11" s="1"/>
  <c r="AW3506" i="11"/>
  <c r="AW3507" i="11" s="1"/>
  <c r="AW3497" i="11"/>
  <c r="AW3498" i="11" s="1"/>
  <c r="AW3499" i="11" s="1"/>
  <c r="AW3500" i="11" s="1"/>
  <c r="AW3501" i="11" s="1"/>
  <c r="AW3502" i="11" s="1"/>
  <c r="AW3503" i="11" s="1"/>
  <c r="AW3504" i="11" s="1"/>
  <c r="AW3505" i="11" s="1"/>
  <c r="H14" i="15"/>
  <c r="J14" i="15"/>
  <c r="K14" i="15"/>
  <c r="L14" i="15"/>
  <c r="J15" i="15"/>
  <c r="K15" i="15"/>
  <c r="L15" i="15"/>
  <c r="H17" i="15"/>
  <c r="J17" i="15"/>
  <c r="K17" i="15"/>
  <c r="L17" i="15"/>
  <c r="J18" i="15"/>
  <c r="K18" i="15"/>
  <c r="L18" i="15"/>
  <c r="H20" i="15"/>
  <c r="J20" i="15"/>
  <c r="K20" i="15"/>
  <c r="L20" i="15"/>
  <c r="J21" i="15"/>
  <c r="K21" i="15"/>
  <c r="L21" i="15"/>
  <c r="N17" i="15" l="1"/>
  <c r="N18" i="15"/>
  <c r="N21" i="15"/>
  <c r="N15" i="15"/>
  <c r="N20" i="15"/>
  <c r="N14" i="15"/>
  <c r="Q89" i="4" l="1"/>
  <c r="M89" i="4"/>
  <c r="I89" i="4"/>
  <c r="Q85" i="4"/>
  <c r="M85" i="4"/>
  <c r="I85" i="4"/>
  <c r="Q81" i="4"/>
  <c r="M81" i="4"/>
  <c r="I81" i="4"/>
  <c r="Q77" i="4"/>
  <c r="M77" i="4"/>
  <c r="I77" i="4"/>
  <c r="Q73" i="4"/>
  <c r="M73" i="4"/>
  <c r="I73" i="4"/>
  <c r="Q65" i="4"/>
  <c r="M65" i="4"/>
  <c r="I65" i="4"/>
  <c r="Q61" i="4"/>
  <c r="M61" i="4"/>
  <c r="I61" i="4"/>
  <c r="Q57" i="4"/>
  <c r="M57" i="4"/>
  <c r="I57" i="4"/>
  <c r="Q53" i="4"/>
  <c r="M53" i="4"/>
  <c r="I53" i="4"/>
  <c r="L50" i="4"/>
  <c r="Q49" i="4"/>
  <c r="L49" i="4"/>
  <c r="M49" i="4" s="1"/>
  <c r="I49" i="4"/>
  <c r="Q45" i="4"/>
  <c r="M45" i="4"/>
  <c r="I45" i="4"/>
  <c r="Q41" i="4"/>
  <c r="M41" i="4"/>
  <c r="I41" i="4"/>
  <c r="Q37" i="4"/>
  <c r="M37" i="4"/>
  <c r="I37" i="4"/>
  <c r="Q33" i="4"/>
  <c r="M33" i="4"/>
  <c r="I33" i="4"/>
  <c r="L30" i="4"/>
  <c r="Q29" i="4"/>
  <c r="L29" i="4"/>
  <c r="I29" i="4"/>
  <c r="Q25" i="4"/>
  <c r="M25" i="4"/>
  <c r="I25" i="4"/>
  <c r="Q21" i="4"/>
  <c r="M21" i="4"/>
  <c r="I21" i="4"/>
  <c r="Q17" i="4"/>
  <c r="M17" i="4"/>
  <c r="I17" i="4"/>
  <c r="Q13" i="4"/>
  <c r="M13" i="4"/>
  <c r="I13" i="4"/>
  <c r="Q9" i="4"/>
  <c r="M9" i="4"/>
  <c r="I9" i="4"/>
  <c r="M29" i="4" l="1"/>
  <c r="Y29" i="15"/>
  <c r="AW14" i="11"/>
  <c r="AW15" i="11" s="1"/>
  <c r="AW16" i="11"/>
  <c r="AW17" i="11" s="1"/>
  <c r="AW18" i="11"/>
  <c r="AW19" i="11" s="1"/>
  <c r="AW20" i="11"/>
  <c r="AW21" i="11" s="1"/>
  <c r="AW22" i="11"/>
  <c r="AW23" i="11" s="1"/>
  <c r="AW24" i="11"/>
  <c r="AW25" i="11" s="1"/>
  <c r="AW26" i="11"/>
  <c r="AW27" i="11" s="1"/>
  <c r="AW28" i="11"/>
  <c r="AW29" i="11" s="1"/>
  <c r="AW30" i="11"/>
  <c r="AW31" i="11" s="1"/>
  <c r="AW32" i="11"/>
  <c r="AW33" i="11" s="1"/>
  <c r="AW34" i="11"/>
  <c r="AW35" i="11" s="1"/>
  <c r="AW36" i="11"/>
  <c r="AW37" i="11" s="1"/>
  <c r="AW38" i="11"/>
  <c r="AW39" i="11" s="1"/>
  <c r="AW40" i="11"/>
  <c r="AW41" i="11" s="1"/>
  <c r="AW42" i="11"/>
  <c r="AW43" i="11" s="1"/>
  <c r="AW44" i="11"/>
  <c r="AW45" i="11" s="1"/>
  <c r="AW46" i="11"/>
  <c r="AW47" i="11" s="1"/>
  <c r="AW48" i="11"/>
  <c r="AW49" i="11" s="1"/>
  <c r="AW50" i="11"/>
  <c r="AW51" i="11" s="1"/>
  <c r="AW52" i="11"/>
  <c r="AW53" i="11" s="1"/>
  <c r="AW54" i="11"/>
  <c r="AW55" i="11" s="1"/>
  <c r="AW56" i="11"/>
  <c r="AW57" i="11" s="1"/>
  <c r="AW58" i="11"/>
  <c r="AW59" i="11" s="1"/>
  <c r="AW60" i="11"/>
  <c r="AW61" i="11" s="1"/>
  <c r="AW62" i="11"/>
  <c r="AW63" i="11" s="1"/>
  <c r="AW64" i="11"/>
  <c r="AW65" i="11" s="1"/>
  <c r="AW66" i="11"/>
  <c r="AW67" i="11" s="1"/>
  <c r="AW68" i="11"/>
  <c r="AW69" i="11" s="1"/>
  <c r="AW70" i="11"/>
  <c r="AW71" i="11" s="1"/>
  <c r="AW72" i="11"/>
  <c r="AW73" i="11" s="1"/>
  <c r="AW74" i="11"/>
  <c r="AW75" i="11" s="1"/>
  <c r="AW76" i="11"/>
  <c r="AW77" i="11" s="1"/>
  <c r="AW78" i="11"/>
  <c r="AW79" i="11" s="1"/>
  <c r="AW80" i="11"/>
  <c r="AW81" i="11" s="1"/>
  <c r="AW82" i="11"/>
  <c r="AW83" i="11" s="1"/>
  <c r="AW84" i="11"/>
  <c r="AW85" i="11" s="1"/>
  <c r="AW86" i="11"/>
  <c r="AW87" i="11" s="1"/>
  <c r="AW88" i="11"/>
  <c r="AW89" i="11" s="1"/>
  <c r="AW90" i="11"/>
  <c r="AW91" i="11" s="1"/>
  <c r="AW92" i="11"/>
  <c r="AW93" i="11" s="1"/>
  <c r="AW94" i="11"/>
  <c r="AW95" i="11" s="1"/>
  <c r="AW96" i="11"/>
  <c r="AW97" i="11" s="1"/>
  <c r="AW98" i="11"/>
  <c r="AW99" i="11" s="1"/>
  <c r="AW100" i="11" s="1"/>
  <c r="AW101" i="11" s="1"/>
  <c r="AW102" i="11"/>
  <c r="AW103" i="11" s="1"/>
  <c r="AW104" i="11"/>
  <c r="AW105" i="11" s="1"/>
  <c r="AW106" i="11"/>
  <c r="AW107" i="11" s="1"/>
  <c r="AW108" i="11"/>
  <c r="AW109" i="11" s="1"/>
  <c r="AW110" i="11"/>
  <c r="AW111" i="11" s="1"/>
  <c r="AW112" i="11"/>
  <c r="AW113" i="11" s="1"/>
  <c r="AW114" i="11"/>
  <c r="AW115" i="11" s="1"/>
  <c r="AW116" i="11"/>
  <c r="AW117" i="11" s="1"/>
  <c r="AW118" i="11"/>
  <c r="AW119" i="11" s="1"/>
  <c r="AW120" i="11"/>
  <c r="AW121" i="11" s="1"/>
  <c r="AW122" i="11"/>
  <c r="AW123" i="11" s="1"/>
  <c r="AW124" i="11"/>
  <c r="AW125" i="11" s="1"/>
  <c r="AW126" i="11"/>
  <c r="AW127" i="11" s="1"/>
  <c r="AW128" i="11"/>
  <c r="AW129" i="11" s="1"/>
  <c r="AW130" i="11"/>
  <c r="AW131" i="11" s="1"/>
  <c r="AW132" i="11"/>
  <c r="AW133" i="11" s="1"/>
  <c r="AW134" i="11"/>
  <c r="AW135" i="11" s="1"/>
  <c r="AW136" i="11"/>
  <c r="AW137" i="11" s="1"/>
  <c r="AW138" i="11"/>
  <c r="AW139" i="11" s="1"/>
  <c r="AW140" i="11"/>
  <c r="AW141" i="11" s="1"/>
  <c r="AW142" i="11"/>
  <c r="AW143" i="11" s="1"/>
  <c r="AW144" i="11"/>
  <c r="AW145" i="11" s="1"/>
  <c r="AW146" i="11"/>
  <c r="AW147" i="11" s="1"/>
  <c r="AW148" i="11"/>
  <c r="AW149" i="11" s="1"/>
  <c r="AW150" i="11"/>
  <c r="AW151" i="11" s="1"/>
  <c r="AW152" i="11"/>
  <c r="AW153" i="11" s="1"/>
  <c r="AW154" i="11"/>
  <c r="AW155" i="11" s="1"/>
  <c r="AW156" i="11"/>
  <c r="AW157" i="11" s="1"/>
  <c r="AW158" i="11"/>
  <c r="AW159" i="11" s="1"/>
  <c r="AW160" i="11"/>
  <c r="AW161" i="11" s="1"/>
  <c r="AW162" i="11"/>
  <c r="AW163" i="11" s="1"/>
  <c r="AW164" i="11"/>
  <c r="AW165" i="11" s="1"/>
  <c r="AW166" i="11"/>
  <c r="AW167" i="11" s="1"/>
  <c r="AW168" i="11"/>
  <c r="AW169" i="11" s="1"/>
  <c r="AW170" i="11"/>
  <c r="AW171" i="11" s="1"/>
  <c r="AW172" i="11" s="1"/>
  <c r="AW173" i="11" s="1"/>
  <c r="AW174" i="11" s="1"/>
  <c r="AW175" i="11" s="1"/>
  <c r="AW176" i="11"/>
  <c r="AW177" i="11" s="1"/>
  <c r="AW178" i="11"/>
  <c r="AW179" i="11" s="1"/>
  <c r="AW180" i="11"/>
  <c r="AW181" i="11" s="1"/>
  <c r="AW182" i="11"/>
  <c r="AW183" i="11" s="1"/>
  <c r="AW184" i="11"/>
  <c r="AW185" i="11" s="1"/>
  <c r="AW186" i="11"/>
  <c r="AW187" i="11" s="1"/>
  <c r="AW188" i="11"/>
  <c r="AW189" i="11" s="1"/>
  <c r="AW190" i="11"/>
  <c r="AW191" i="11" s="1"/>
  <c r="AW192" i="11"/>
  <c r="AW193" i="11" s="1"/>
  <c r="AW194" i="11"/>
  <c r="AW195" i="11" s="1"/>
  <c r="AW196" i="11"/>
  <c r="AW197" i="11" s="1"/>
  <c r="AW198" i="11"/>
  <c r="AW199" i="11" s="1"/>
  <c r="AW200" i="11"/>
  <c r="AW201" i="11" s="1"/>
  <c r="AW202" i="11"/>
  <c r="AW203" i="11" s="1"/>
  <c r="AW204" i="11"/>
  <c r="AW205" i="11" s="1"/>
  <c r="AW206" i="11"/>
  <c r="AW207" i="11" s="1"/>
  <c r="AW208" i="11"/>
  <c r="AW209" i="11" s="1"/>
  <c r="AW210" i="11"/>
  <c r="AW211" i="11" s="1"/>
  <c r="AW212" i="11"/>
  <c r="AW213" i="11" s="1"/>
  <c r="AW214" i="11"/>
  <c r="AW215" i="11" s="1"/>
  <c r="AW216" i="11"/>
  <c r="AW217" i="11" s="1"/>
  <c r="AW218" i="11"/>
  <c r="AW219" i="11" s="1"/>
  <c r="AW220" i="11"/>
  <c r="AW221" i="11" s="1"/>
  <c r="AW222" i="11"/>
  <c r="AW223" i="11" s="1"/>
  <c r="AW224" i="11"/>
  <c r="AW225" i="11" s="1"/>
  <c r="AW226" i="11"/>
  <c r="AW227" i="11" s="1"/>
  <c r="AW228" i="11"/>
  <c r="AW229" i="11" s="1"/>
  <c r="AW230" i="11" s="1"/>
  <c r="AW231" i="11" s="1"/>
  <c r="AW232" i="11"/>
  <c r="AW233" i="11" s="1"/>
  <c r="AW234" i="11"/>
  <c r="AW235" i="11" s="1"/>
  <c r="AW236" i="11"/>
  <c r="AW237" i="11" s="1"/>
  <c r="AW238" i="11"/>
  <c r="AW239" i="11" s="1"/>
  <c r="AW240" i="11"/>
  <c r="AW241" i="11" s="1"/>
  <c r="AW242" i="11"/>
  <c r="AW243" i="11" s="1"/>
  <c r="AW244" i="11"/>
  <c r="AW245" i="11" s="1"/>
  <c r="AW246" i="11"/>
  <c r="AW247" i="11" s="1"/>
  <c r="AW248" i="11"/>
  <c r="AW249" i="11" s="1"/>
  <c r="AW250" i="11"/>
  <c r="AW251" i="11" s="1"/>
  <c r="AW252" i="11"/>
  <c r="AW253" i="11" s="1"/>
  <c r="AW254" i="11"/>
  <c r="AW255" i="11" s="1"/>
  <c r="AW256" i="11"/>
  <c r="AW257" i="11" s="1"/>
  <c r="AW258" i="11"/>
  <c r="AW259" i="11" s="1"/>
  <c r="AW260" i="11"/>
  <c r="AW261" i="11" s="1"/>
  <c r="AW262" i="11"/>
  <c r="AW263" i="11" s="1"/>
  <c r="AW264" i="11"/>
  <c r="AW265" i="11" s="1"/>
  <c r="AW266" i="11"/>
  <c r="AW267" i="11" s="1"/>
  <c r="AW268" i="11"/>
  <c r="AW269" i="11" s="1"/>
  <c r="AW270" i="11"/>
  <c r="AW271" i="11" s="1"/>
  <c r="AW272" i="11"/>
  <c r="AW273" i="11" s="1"/>
  <c r="AW274" i="11"/>
  <c r="AW275" i="11" s="1"/>
  <c r="AW276" i="11"/>
  <c r="AW277" i="11" s="1"/>
  <c r="AW278" i="11"/>
  <c r="AW279" i="11" s="1"/>
  <c r="AW280" i="11"/>
  <c r="AW281" i="11" s="1"/>
  <c r="AW282" i="11"/>
  <c r="AW283" i="11" s="1"/>
  <c r="AW284" i="11"/>
  <c r="AW285" i="11" s="1"/>
  <c r="AW286" i="11"/>
  <c r="AW287" i="11" s="1"/>
  <c r="AW288" i="11"/>
  <c r="AW289" i="11" s="1"/>
  <c r="AW290" i="11"/>
  <c r="AW291" i="11" s="1"/>
  <c r="AW292" i="11"/>
  <c r="AW293" i="11" s="1"/>
  <c r="AW294" i="11"/>
  <c r="AW295" i="11" s="1"/>
  <c r="AW296" i="11"/>
  <c r="AW297" i="11" s="1"/>
  <c r="AW298" i="11"/>
  <c r="AW299" i="11" s="1"/>
  <c r="AW300" i="11"/>
  <c r="AW301" i="11" s="1"/>
  <c r="AW302" i="11"/>
  <c r="AW303" i="11" s="1"/>
  <c r="AW304" i="11"/>
  <c r="AW305" i="11" s="1"/>
  <c r="AW306" i="11" s="1"/>
  <c r="AW307" i="11" s="1"/>
  <c r="AW308" i="11" s="1"/>
  <c r="AW309" i="11" s="1"/>
  <c r="AW310" i="11"/>
  <c r="AW311" i="11" s="1"/>
  <c r="AW312" i="11"/>
  <c r="AW313" i="11" s="1"/>
  <c r="AW314" i="11"/>
  <c r="AW315" i="11" s="1"/>
  <c r="AW316" i="11"/>
  <c r="AW317" i="11" s="1"/>
  <c r="AW318" i="11"/>
  <c r="AW319" i="11" s="1"/>
  <c r="AW320" i="11"/>
  <c r="AW321" i="11" s="1"/>
  <c r="AW322" i="11"/>
  <c r="AW323" i="11" s="1"/>
  <c r="AW324" i="11"/>
  <c r="AW325" i="11" s="1"/>
  <c r="AW326" i="11"/>
  <c r="AW327" i="11" s="1"/>
  <c r="AW328" i="11"/>
  <c r="AW329" i="11" s="1"/>
  <c r="AW330" i="11"/>
  <c r="AW331" i="11" s="1"/>
  <c r="AW332" i="11"/>
  <c r="AW333" i="11" s="1"/>
  <c r="AW334" i="11"/>
  <c r="AW335" i="11" s="1"/>
  <c r="AW336" i="11"/>
  <c r="AW337" i="11" s="1"/>
  <c r="AW338" i="11"/>
  <c r="AW339" i="11" s="1"/>
  <c r="AW340" i="11"/>
  <c r="AW341" i="11" s="1"/>
  <c r="AW342" i="11"/>
  <c r="AW343" i="11" s="1"/>
  <c r="AW344" i="11"/>
  <c r="AW345" i="11" s="1"/>
  <c r="AW346" i="11"/>
  <c r="AW347" i="11" s="1"/>
  <c r="AW348" i="11"/>
  <c r="AW349" i="11" s="1"/>
  <c r="AW350" i="11"/>
  <c r="AW351" i="11" s="1"/>
  <c r="AW352" i="11"/>
  <c r="AW353" i="11" s="1"/>
  <c r="AW354" i="11"/>
  <c r="AW355" i="11" s="1"/>
  <c r="AW356" i="11"/>
  <c r="AW357" i="11" s="1"/>
  <c r="AW358" i="11"/>
  <c r="AW359" i="11" s="1"/>
  <c r="AW360" i="11"/>
  <c r="AW361" i="11" s="1"/>
  <c r="AW362" i="11" s="1"/>
  <c r="AW3211" i="11"/>
  <c r="AW3212" i="11" s="1"/>
  <c r="AW3213" i="11"/>
  <c r="AW3214" i="11" s="1"/>
  <c r="AW3203" i="11"/>
  <c r="AW3204" i="11" s="1"/>
  <c r="AW3205" i="11"/>
  <c r="AW3206" i="11" s="1"/>
  <c r="AW3207" i="11"/>
  <c r="AW3208" i="11" s="1"/>
  <c r="AW3209" i="11"/>
  <c r="AW3210" i="11" s="1"/>
  <c r="AJ21" i="14" l="1"/>
  <c r="AJ15" i="14"/>
  <c r="Y14" i="15"/>
  <c r="Y17" i="15"/>
  <c r="Y20" i="15"/>
  <c r="Y23" i="15"/>
  <c r="AG24" i="14"/>
  <c r="K192" i="14" l="1"/>
  <c r="N192" i="14" s="1"/>
  <c r="J192" i="14"/>
  <c r="L192" i="14" s="1"/>
  <c r="I192" i="14"/>
  <c r="K190" i="14"/>
  <c r="N190" i="14" s="1"/>
  <c r="J190" i="14"/>
  <c r="L190" i="14" s="1"/>
  <c r="I190" i="14"/>
  <c r="K188" i="14"/>
  <c r="N188" i="14" s="1"/>
  <c r="J188" i="14"/>
  <c r="L188" i="14" s="1"/>
  <c r="I188" i="14"/>
  <c r="K186" i="14"/>
  <c r="N186" i="14" s="1"/>
  <c r="J186" i="14"/>
  <c r="L186" i="14" s="1"/>
  <c r="I186" i="14"/>
  <c r="K184" i="14"/>
  <c r="N184" i="14" s="1"/>
  <c r="J184" i="14"/>
  <c r="L184" i="14" s="1"/>
  <c r="I184" i="14"/>
  <c r="K182" i="14"/>
  <c r="N182" i="14" s="1"/>
  <c r="J182" i="14"/>
  <c r="L182" i="14" s="1"/>
  <c r="I182" i="14"/>
  <c r="K180" i="14"/>
  <c r="N180" i="14" s="1"/>
  <c r="J180" i="14"/>
  <c r="L180" i="14" s="1"/>
  <c r="I180" i="14"/>
  <c r="K168" i="14"/>
  <c r="N168" i="14" s="1"/>
  <c r="J168" i="14"/>
  <c r="L168" i="14" s="1"/>
  <c r="B194" i="14"/>
  <c r="AY11" i="10" l="1"/>
  <c r="AY12" i="10" s="1"/>
  <c r="AY13" i="10"/>
  <c r="AY14" i="10" s="1"/>
  <c r="AY15" i="10"/>
  <c r="AY16" i="10" s="1"/>
  <c r="AY17" i="10"/>
  <c r="AY18" i="10" s="1"/>
  <c r="AY19" i="10"/>
  <c r="AY20" i="10" s="1"/>
  <c r="AY21" i="10"/>
  <c r="AY22" i="10" s="1"/>
  <c r="AY23" i="10"/>
  <c r="AY24" i="10" s="1"/>
  <c r="AY25" i="10"/>
  <c r="AY26" i="10" s="1"/>
  <c r="AY27" i="10"/>
  <c r="AY28" i="10" s="1"/>
  <c r="AY29" i="10"/>
  <c r="AY30" i="10" s="1"/>
  <c r="AY31" i="10"/>
  <c r="AY32" i="10" s="1"/>
  <c r="AY33" i="10"/>
  <c r="AY34" i="10" s="1"/>
  <c r="AY35" i="10"/>
  <c r="AY36" i="10" s="1"/>
  <c r="AY37" i="10"/>
  <c r="AY38" i="10" s="1"/>
  <c r="AY39" i="10"/>
  <c r="AY40" i="10" s="1"/>
  <c r="AY41" i="10"/>
  <c r="AY42" i="10" s="1"/>
  <c r="AY43" i="10"/>
  <c r="AY44" i="10" s="1"/>
  <c r="AY45" i="10"/>
  <c r="AY46" i="10" s="1"/>
  <c r="AY47" i="10" s="1"/>
  <c r="AY48" i="10"/>
  <c r="AY49" i="10" s="1"/>
  <c r="AY50" i="10"/>
  <c r="AY51" i="10" s="1"/>
  <c r="AY52" i="10"/>
  <c r="AY53" i="10" s="1"/>
  <c r="AY54" i="10"/>
  <c r="AY55" i="10" s="1"/>
  <c r="AY56" i="10"/>
  <c r="AY57" i="10" s="1"/>
  <c r="AY58" i="10"/>
  <c r="AY59" i="10" s="1"/>
  <c r="AY60" i="10"/>
  <c r="AY61" i="10" s="1"/>
  <c r="AY62" i="10"/>
  <c r="AY63" i="10" s="1"/>
  <c r="U109" i="4" l="1"/>
  <c r="Q109" i="4"/>
  <c r="M109" i="4"/>
  <c r="I109" i="4"/>
  <c r="U105" i="4"/>
  <c r="Q105" i="4"/>
  <c r="M105" i="4"/>
  <c r="I105" i="4"/>
  <c r="U101" i="4"/>
  <c r="Q101" i="4"/>
  <c r="M101" i="4"/>
  <c r="I101" i="4"/>
  <c r="U97" i="4"/>
  <c r="Q97" i="4"/>
  <c r="M97" i="4"/>
  <c r="I97" i="4"/>
  <c r="P94" i="4"/>
  <c r="U93" i="4"/>
  <c r="P93" i="4"/>
  <c r="M93" i="4"/>
  <c r="I93" i="4"/>
  <c r="Q93" i="4" l="1"/>
  <c r="AW837" i="11" l="1"/>
  <c r="AW838" i="11" s="1"/>
  <c r="AW839" i="11" s="1"/>
  <c r="AW840" i="11" s="1"/>
  <c r="AW841" i="11" s="1"/>
  <c r="AW842" i="11" s="1"/>
  <c r="AW843" i="11" s="1"/>
  <c r="AW844" i="11" s="1"/>
  <c r="AW845" i="11" s="1"/>
  <c r="AW846" i="11" s="1"/>
  <c r="AW847" i="11" s="1"/>
  <c r="AW848" i="11" s="1"/>
  <c r="AW849" i="11" s="1"/>
  <c r="AW850" i="11" s="1"/>
  <c r="AW851" i="11"/>
  <c r="AW852" i="11" s="1"/>
  <c r="AW853" i="11"/>
  <c r="AW854" i="11" s="1"/>
  <c r="AW855" i="11"/>
  <c r="AW856" i="11" s="1"/>
  <c r="AW857" i="11"/>
  <c r="AW858" i="11" s="1"/>
  <c r="AW859" i="11"/>
  <c r="AW860" i="11" s="1"/>
  <c r="AW861" i="11"/>
  <c r="AW862" i="11" s="1"/>
  <c r="AW863" i="11"/>
  <c r="AW864" i="11" s="1"/>
  <c r="AW865" i="11"/>
  <c r="AW866" i="11" s="1"/>
  <c r="AW867" i="11"/>
  <c r="AW868" i="11" s="1"/>
  <c r="AW869" i="11" s="1"/>
  <c r="AW870" i="11" s="1"/>
  <c r="AW871" i="11" s="1"/>
  <c r="AW872" i="11" s="1"/>
  <c r="AW873" i="11" s="1"/>
  <c r="AW874" i="11" s="1"/>
  <c r="AW875" i="11" s="1"/>
  <c r="AW876" i="11" s="1"/>
  <c r="AW877" i="11" s="1"/>
  <c r="AW878" i="11" s="1"/>
  <c r="AW879" i="11" s="1"/>
  <c r="AW880" i="11" s="1"/>
  <c r="AW881" i="11" s="1"/>
  <c r="AW882" i="11" s="1"/>
  <c r="AW883" i="11" s="1"/>
  <c r="AW884" i="11" s="1"/>
  <c r="AW885" i="11" s="1"/>
  <c r="AW886" i="11"/>
  <c r="AW887" i="11" s="1"/>
  <c r="AW888" i="11"/>
  <c r="AW889" i="11" s="1"/>
  <c r="AW890" i="11"/>
  <c r="AW891" i="11" s="1"/>
  <c r="AW892" i="11"/>
  <c r="AW893" i="11" s="1"/>
  <c r="AW894" i="11"/>
  <c r="AW895" i="11" s="1"/>
  <c r="AW896" i="11"/>
  <c r="AW897" i="11" s="1"/>
  <c r="AW898" i="11"/>
  <c r="AW899" i="11" s="1"/>
  <c r="AW900" i="11"/>
  <c r="AW901" i="11" s="1"/>
  <c r="AW902" i="11"/>
  <c r="AW903" i="11" s="1"/>
  <c r="AW904" i="11"/>
  <c r="AW905" i="11" s="1"/>
  <c r="AW906" i="11"/>
  <c r="AW907" i="11" s="1"/>
  <c r="AW908" i="11" s="1"/>
  <c r="AW909" i="11" s="1"/>
  <c r="AW910" i="11"/>
  <c r="AW911" i="11" s="1"/>
  <c r="AW912" i="11"/>
  <c r="AW913" i="11" s="1"/>
  <c r="AW914" i="11" s="1"/>
  <c r="AW915" i="11" s="1"/>
  <c r="AW916" i="11"/>
  <c r="AW917" i="11" s="1"/>
  <c r="AW918" i="11" s="1"/>
  <c r="AW919" i="11" s="1"/>
  <c r="AW920" i="11"/>
  <c r="AW921" i="11" s="1"/>
  <c r="AW922" i="11"/>
  <c r="AW923" i="11" s="1"/>
  <c r="AW924" i="11" s="1"/>
  <c r="AW925" i="11" s="1"/>
  <c r="AW926" i="11" s="1"/>
  <c r="AW927" i="11" s="1"/>
  <c r="AW928" i="11" s="1"/>
  <c r="AW929" i="11" s="1"/>
  <c r="AW930" i="11" s="1"/>
  <c r="AW931" i="11" s="1"/>
  <c r="AW932" i="11" s="1"/>
  <c r="AW933" i="11" s="1"/>
  <c r="AW934" i="11" s="1"/>
  <c r="AW935" i="11" s="1"/>
  <c r="AW936" i="11" s="1"/>
  <c r="AW937" i="11" s="1"/>
  <c r="AW938" i="11" s="1"/>
  <c r="AW939" i="11" s="1"/>
  <c r="AW940" i="11" s="1"/>
  <c r="AW941" i="11"/>
  <c r="AW942" i="11" s="1"/>
  <c r="AW943" i="11"/>
  <c r="AW944" i="11" s="1"/>
  <c r="AW945" i="11"/>
  <c r="AW946" i="11" s="1"/>
  <c r="AW947" i="11"/>
  <c r="AW948" i="11" s="1"/>
  <c r="AW949" i="11"/>
  <c r="AW950" i="11" s="1"/>
  <c r="AW951" i="11"/>
  <c r="AW952" i="11" s="1"/>
  <c r="AW953" i="11"/>
  <c r="AW954" i="11" s="1"/>
  <c r="AW955" i="11" s="1"/>
  <c r="AW956" i="11" s="1"/>
  <c r="AW957" i="11"/>
  <c r="AW958" i="11" s="1"/>
  <c r="AW959" i="11"/>
  <c r="AW960" i="11" s="1"/>
  <c r="AW961" i="11" s="1"/>
  <c r="AW962" i="11" s="1"/>
  <c r="AW963" i="11"/>
  <c r="AW964" i="11" s="1"/>
  <c r="AW965" i="11" s="1"/>
  <c r="AW966" i="11" s="1"/>
  <c r="AW967" i="11"/>
  <c r="AW968" i="11" s="1"/>
  <c r="AW969" i="11" s="1"/>
  <c r="AW970" i="11" s="1"/>
  <c r="AW971" i="11"/>
  <c r="AW972" i="11" s="1"/>
  <c r="AW973" i="11"/>
  <c r="AW974" i="11" s="1"/>
  <c r="AW975" i="11"/>
  <c r="AW976" i="11" s="1"/>
  <c r="AW977" i="11" s="1"/>
  <c r="AW978" i="11" s="1"/>
  <c r="AW979" i="11" s="1"/>
  <c r="AW980" i="11" s="1"/>
  <c r="AW993" i="11" s="1"/>
  <c r="AW994" i="11" s="1"/>
  <c r="AW995" i="11" s="1"/>
  <c r="AW996" i="11" s="1"/>
  <c r="AW997" i="11"/>
  <c r="AW998" i="11" s="1"/>
  <c r="AW999" i="11"/>
  <c r="AW1000" i="11" s="1"/>
  <c r="AW1001" i="11"/>
  <c r="AW1002" i="11" s="1"/>
  <c r="AW1003" i="11"/>
  <c r="AW1004" i="11" s="1"/>
  <c r="AW1005" i="11" s="1"/>
  <c r="AW1006" i="11" s="1"/>
  <c r="AW1007" i="11" s="1"/>
  <c r="AW1008" i="11" s="1"/>
  <c r="AW1009" i="11" s="1"/>
  <c r="AW1010" i="11" s="1"/>
  <c r="AW1011" i="11" s="1"/>
  <c r="AW1012" i="11" s="1"/>
  <c r="AW1013" i="11" s="1"/>
  <c r="AW1014" i="11" s="1"/>
  <c r="AW1015" i="11" s="1"/>
  <c r="AW1016" i="11" s="1"/>
  <c r="AW1017" i="11" s="1"/>
  <c r="AW1018" i="11" s="1"/>
  <c r="AW1019" i="11" s="1"/>
  <c r="AW1020" i="11"/>
  <c r="AW1021" i="11" s="1"/>
  <c r="AW1022" i="11"/>
  <c r="AW1023" i="11" s="1"/>
  <c r="AW1024" i="11"/>
  <c r="AW1025" i="11" s="1"/>
  <c r="AW1026" i="11"/>
  <c r="AW1027" i="11" s="1"/>
  <c r="AW1028" i="11"/>
  <c r="AW1029" i="11" s="1"/>
  <c r="AW1030" i="11"/>
  <c r="AW1031" i="11" s="1"/>
  <c r="AW1032" i="11"/>
  <c r="AW1033" i="11" s="1"/>
  <c r="AW1034" i="11"/>
  <c r="AW1035" i="11" s="1"/>
  <c r="AW1036" i="11"/>
  <c r="AW1037" i="11" s="1"/>
  <c r="AW1038" i="11"/>
  <c r="AW1039" i="11" s="1"/>
  <c r="AW1040" i="11"/>
  <c r="AW1041" i="11" s="1"/>
  <c r="AW1042" i="11"/>
  <c r="AW1043" i="11" s="1"/>
  <c r="AW1044" i="11"/>
  <c r="AW1045" i="11" s="1"/>
  <c r="AW1046" i="11"/>
  <c r="AW1047" i="11" s="1"/>
  <c r="AW1048" i="11"/>
  <c r="AW1049" i="11" s="1"/>
  <c r="AW1050" i="11"/>
  <c r="AW1051" i="11" s="1"/>
  <c r="AW1052" i="11"/>
  <c r="AW1053" i="11" s="1"/>
  <c r="AW1054" i="11"/>
  <c r="AW1055" i="11" s="1"/>
  <c r="AW1056" i="11"/>
  <c r="AW1057" i="11" s="1"/>
  <c r="AW1058" i="11"/>
  <c r="AW1059" i="11" s="1"/>
  <c r="AW1060" i="11"/>
  <c r="AW1061" i="11" s="1"/>
  <c r="AW1062" i="11"/>
  <c r="AW1063" i="11" s="1"/>
  <c r="AW1064" i="11"/>
  <c r="AW1065" i="11" s="1"/>
  <c r="AW1066" i="11"/>
  <c r="AW1067" i="11" s="1"/>
  <c r="AW1068" i="11" s="1"/>
  <c r="AW1069" i="11" s="1"/>
  <c r="AW1070" i="11" s="1"/>
  <c r="AW1071" i="11" s="1"/>
  <c r="AW1072" i="11" s="1"/>
  <c r="AW1073" i="11" s="1"/>
  <c r="AW1074" i="11" s="1"/>
  <c r="AW1075" i="11" s="1"/>
  <c r="AW1076" i="11" s="1"/>
  <c r="AW1077" i="11" s="1"/>
  <c r="AW1078" i="11" s="1"/>
  <c r="AW1079" i="11" s="1"/>
  <c r="AW1080" i="11" s="1"/>
  <c r="AW1081" i="11" s="1"/>
  <c r="AW1082" i="11" s="1"/>
  <c r="AW1083" i="11" s="1"/>
  <c r="AW1084" i="11" s="1"/>
  <c r="AW1085" i="11"/>
  <c r="AW1086" i="11" s="1"/>
  <c r="AW1087" i="11"/>
  <c r="AW1088" i="11" s="1"/>
  <c r="AW1089" i="11"/>
  <c r="AW1090" i="11" s="1"/>
  <c r="AW1091" i="11"/>
  <c r="AW1092" i="11" s="1"/>
  <c r="AW1093" i="11"/>
  <c r="AW1094" i="11" s="1"/>
  <c r="AW1095" i="11"/>
  <c r="AW1096" i="11" s="1"/>
  <c r="AW1097" i="11"/>
  <c r="AW1098" i="11" s="1"/>
  <c r="AW1099" i="11"/>
  <c r="AW1100" i="11" s="1"/>
  <c r="AW1101" i="11"/>
  <c r="AW1102" i="11" s="1"/>
  <c r="AW1103" i="11"/>
  <c r="AW1104" i="11" s="1"/>
  <c r="AW1105" i="11"/>
  <c r="AW1106" i="11" s="1"/>
  <c r="AW1107" i="11" s="1"/>
  <c r="AW1108" i="11" s="1"/>
  <c r="AW1109" i="11"/>
  <c r="AW1110" i="11" s="1"/>
  <c r="AW1111" i="11" s="1"/>
  <c r="AW1112" i="11" s="1"/>
  <c r="AW1113" i="11" s="1"/>
  <c r="AW1114" i="11" s="1"/>
  <c r="AW1115" i="11" s="1"/>
  <c r="AW1116" i="11" s="1"/>
  <c r="AW1117" i="11" s="1"/>
  <c r="AW1118" i="11" s="1"/>
  <c r="AW1119" i="11" s="1"/>
  <c r="AW1120" i="11" s="1"/>
  <c r="AW1121" i="11" s="1"/>
  <c r="AW1122" i="11" s="1"/>
  <c r="AW1123" i="11" s="1"/>
  <c r="AW1124" i="11" s="1"/>
  <c r="AW1125" i="11" s="1"/>
  <c r="AW1126" i="11" s="1"/>
  <c r="AW1127" i="11" s="1"/>
  <c r="AW1128" i="11"/>
  <c r="AW1129" i="11" s="1"/>
  <c r="AW1130" i="11"/>
  <c r="AW1131" i="11" s="1"/>
  <c r="AW1132" i="11"/>
  <c r="AW1133" i="11" s="1"/>
  <c r="AW1134" i="11"/>
  <c r="AW1135" i="11" s="1"/>
  <c r="AW1136" i="11"/>
  <c r="AW1137" i="11" s="1"/>
  <c r="AW1138" i="11"/>
  <c r="AW1139" i="11" s="1"/>
  <c r="AW1140" i="11"/>
  <c r="AW1141" i="11" s="1"/>
  <c r="AW1142" i="11"/>
  <c r="AW1143" i="11" s="1"/>
  <c r="AW1144" i="11"/>
  <c r="AW1145" i="11" s="1"/>
  <c r="AW1146" i="11"/>
  <c r="AW1147" i="11" s="1"/>
  <c r="AW1148" i="11"/>
  <c r="AW1149" i="11" s="1"/>
  <c r="AW1150" i="11"/>
  <c r="AW1151" i="11" s="1"/>
  <c r="AW1152" i="11"/>
  <c r="AW1153" i="11" s="1"/>
  <c r="AW1154" i="11"/>
  <c r="AW1155" i="11" s="1"/>
  <c r="AW1156" i="11"/>
  <c r="AW1157" i="11" s="1"/>
  <c r="AW1158" i="11"/>
  <c r="AW1159" i="11" s="1"/>
  <c r="AW1160" i="11"/>
  <c r="AW1161" i="11" s="1"/>
  <c r="AW1162" i="11"/>
  <c r="AW1163" i="11" s="1"/>
  <c r="AW1164" i="11"/>
  <c r="AW1165" i="11" s="1"/>
  <c r="AW1166" i="11"/>
  <c r="AW1167" i="11" s="1"/>
  <c r="AW1168" i="11"/>
  <c r="AW1169" i="11" s="1"/>
  <c r="AW1170" i="11"/>
  <c r="AW1171" i="11" s="1"/>
  <c r="AW1172" i="11"/>
  <c r="AW1173" i="11" s="1"/>
  <c r="AW1174" i="11"/>
  <c r="AW1175" i="11" s="1"/>
  <c r="AW1176" i="11"/>
  <c r="AW1177" i="11" s="1"/>
  <c r="AW1178" i="11"/>
  <c r="AW1179" i="11" s="1"/>
  <c r="AW1180" i="11"/>
  <c r="AW1181" i="11" s="1"/>
  <c r="AW1182" i="11" s="1"/>
  <c r="AW1183" i="11" s="1"/>
  <c r="AW1184" i="11" s="1"/>
  <c r="AW1185" i="11" s="1"/>
  <c r="AW1186" i="11" s="1"/>
  <c r="AW1187" i="11" s="1"/>
  <c r="AW1188" i="11" s="1"/>
  <c r="AW1189" i="11" s="1"/>
  <c r="AW1190" i="11" s="1"/>
  <c r="AW1191" i="11" s="1"/>
  <c r="AW1192" i="11" s="1"/>
  <c r="AW1193" i="11" s="1"/>
  <c r="AW1194" i="11" s="1"/>
  <c r="AW1195" i="11" s="1"/>
  <c r="AW1196" i="11" s="1"/>
  <c r="AW1197" i="11" s="1"/>
  <c r="AW1198" i="11" s="1"/>
  <c r="AW1199" i="11"/>
  <c r="AW1200" i="11" s="1"/>
  <c r="AW1201" i="11"/>
  <c r="AW1202" i="11" s="1"/>
  <c r="AW1203" i="11"/>
  <c r="AW1204" i="11" s="1"/>
  <c r="AW1205" i="11"/>
  <c r="AW1206" i="11" s="1"/>
  <c r="AW1207" i="11"/>
  <c r="AW1208" i="11" s="1"/>
  <c r="AW1209" i="11"/>
  <c r="AW1210" i="11" s="1"/>
  <c r="AW1211" i="11"/>
  <c r="AW1212" i="11" s="1"/>
  <c r="AW1213" i="11"/>
  <c r="AW1214" i="11" s="1"/>
  <c r="AW1215" i="11"/>
  <c r="AW1216" i="11" s="1"/>
  <c r="AW1217" i="11"/>
  <c r="AW1218" i="11" s="1"/>
  <c r="AW1219" i="11"/>
  <c r="AW1220" i="11" s="1"/>
  <c r="AW1221" i="11"/>
  <c r="AW1222" i="11" s="1"/>
  <c r="AW1223" i="11"/>
  <c r="AW1224" i="11" s="1"/>
  <c r="AW1225" i="11"/>
  <c r="AW1226" i="11" s="1"/>
  <c r="AW1227" i="11"/>
  <c r="AW1228" i="11" s="1"/>
  <c r="AW1229" i="11"/>
  <c r="AW1230" i="11" s="1"/>
  <c r="AW1231" i="11"/>
  <c r="AW1232" i="11" s="1"/>
  <c r="AW1233" i="11"/>
  <c r="AW1234" i="11" s="1"/>
  <c r="AW1235" i="11"/>
  <c r="AW1236" i="11" s="1"/>
  <c r="AW1237" i="11"/>
  <c r="AW1238" i="11" s="1"/>
  <c r="AW1239" i="11"/>
  <c r="AW1240" i="11" s="1"/>
  <c r="AW1241" i="11"/>
  <c r="AW1242" i="11" s="1"/>
  <c r="AW1243" i="11"/>
  <c r="AW1244" i="11" s="1"/>
  <c r="AW1245" i="11"/>
  <c r="AW1246" i="11" s="1"/>
  <c r="AW1247" i="11"/>
  <c r="AW1248" i="11" s="1"/>
  <c r="AW1249" i="11"/>
  <c r="AW1250" i="11" s="1"/>
  <c r="AW1251" i="11"/>
  <c r="AW1252" i="11" s="1"/>
  <c r="AW1253" i="11"/>
  <c r="AW1254" i="11" s="1"/>
  <c r="AW1255" i="11"/>
  <c r="AW1256" i="11" s="1"/>
  <c r="AW1257" i="11"/>
  <c r="AW1258" i="11" s="1"/>
  <c r="AW1259" i="11"/>
  <c r="AW1260" i="11" s="1"/>
  <c r="AW1261" i="11"/>
  <c r="AW1262" i="11" s="1"/>
  <c r="AW1263" i="11"/>
  <c r="AW1264" i="11" s="1"/>
  <c r="AW1265" i="11"/>
  <c r="AW1266" i="11" s="1"/>
  <c r="AW1267" i="11"/>
  <c r="AW1268" i="11" s="1"/>
  <c r="AW1269" i="11"/>
  <c r="AW1270" i="11" s="1"/>
  <c r="AW1271" i="11"/>
  <c r="AW1272" i="11" s="1"/>
  <c r="AW1273" i="11"/>
  <c r="AW1274" i="11" s="1"/>
  <c r="AW1275" i="11"/>
  <c r="AW1276" i="11" s="1"/>
  <c r="AW1277" i="11"/>
  <c r="AW1278" i="11" s="1"/>
  <c r="AW1279" i="11"/>
  <c r="AW1280" i="11" s="1"/>
  <c r="AW1281" i="11"/>
  <c r="AW1282" i="11" s="1"/>
  <c r="AW1283" i="11"/>
  <c r="AW1284" i="11" s="1"/>
  <c r="AW1285" i="11"/>
  <c r="AW1286" i="11" s="1"/>
  <c r="AW1287" i="11"/>
  <c r="AW1288" i="11" s="1"/>
  <c r="AW1289" i="11"/>
  <c r="AW1290" i="11" s="1"/>
  <c r="AW1291" i="11"/>
  <c r="AW1292" i="11" s="1"/>
  <c r="AW1293" i="11"/>
  <c r="AW1294" i="11" s="1"/>
  <c r="AW1295" i="11"/>
  <c r="AW1296" i="11" s="1"/>
  <c r="AW1297" i="11"/>
  <c r="AW1298" i="11" s="1"/>
  <c r="AW1299" i="11"/>
  <c r="AW1300" i="11" s="1"/>
  <c r="AW1301" i="11"/>
  <c r="AW1302" i="11" s="1"/>
  <c r="AW1303" i="11"/>
  <c r="AW1304" i="11" s="1"/>
  <c r="AW1305" i="11"/>
  <c r="AW1306" i="11" s="1"/>
  <c r="AW1307" i="11"/>
  <c r="AW1308" i="11" s="1"/>
  <c r="AW1309" i="11"/>
  <c r="AW1310" i="11" s="1"/>
  <c r="AW1311" i="11"/>
  <c r="AW1312" i="11" s="1"/>
  <c r="AW1313" i="11"/>
  <c r="AW1314" i="11" s="1"/>
  <c r="AW1315" i="11"/>
  <c r="AW1316" i="11" s="1"/>
  <c r="AW1317" i="11"/>
  <c r="AW1318" i="11" s="1"/>
  <c r="AW1319" i="11"/>
  <c r="AW1320" i="11" s="1"/>
  <c r="AW1321" i="11"/>
  <c r="AW1322" i="11" s="1"/>
  <c r="AW1323" i="11"/>
  <c r="AW1324" i="11" s="1"/>
  <c r="AW1325" i="11"/>
  <c r="AW1326" i="11" s="1"/>
  <c r="AW1327" i="11"/>
  <c r="AW1328" i="11" s="1"/>
  <c r="AW1329" i="11"/>
  <c r="AW1330" i="11" s="1"/>
  <c r="AW1331" i="11"/>
  <c r="AW1332" i="11" s="1"/>
  <c r="AW1333" i="11"/>
  <c r="AW1334" i="11" s="1"/>
  <c r="AW1335" i="11"/>
  <c r="AW1336" i="11" s="1"/>
  <c r="AW1337" i="11"/>
  <c r="AW1338" i="11" s="1"/>
  <c r="AW1339" i="11"/>
  <c r="AW1340" i="11" s="1"/>
  <c r="AW1341" i="11"/>
  <c r="AW1342" i="11" s="1"/>
  <c r="AW1343" i="11"/>
  <c r="AW1344" i="11" s="1"/>
  <c r="AW1345" i="11" s="1"/>
  <c r="AW1346" i="11" s="1"/>
  <c r="AW1347" i="11" s="1"/>
  <c r="AW1348" i="11" s="1"/>
  <c r="AW1349" i="11" s="1"/>
  <c r="AW1350" i="11" s="1"/>
  <c r="AW1351" i="11" s="1"/>
  <c r="AW1352" i="11" s="1"/>
  <c r="AW1353" i="11" s="1"/>
  <c r="AW1354" i="11" s="1"/>
  <c r="AW1355" i="11" s="1"/>
  <c r="AW1356" i="11" s="1"/>
  <c r="AW1357" i="11" s="1"/>
  <c r="AW1358" i="11" s="1"/>
  <c r="AW1359" i="11" s="1"/>
  <c r="AW1360" i="11" s="1"/>
  <c r="AW1361" i="11" s="1"/>
  <c r="AW1362" i="11"/>
  <c r="AW1363" i="11" s="1"/>
  <c r="AW1364" i="11"/>
  <c r="AW1365" i="11" s="1"/>
  <c r="AW1366" i="11"/>
  <c r="AW1367" i="11" s="1"/>
  <c r="AW1368" i="11"/>
  <c r="AW1369" i="11" s="1"/>
  <c r="AW1370" i="11"/>
  <c r="AW1371" i="11" s="1"/>
  <c r="AW1372" i="11"/>
  <c r="AW1373" i="11" s="1"/>
  <c r="AW1374" i="11"/>
  <c r="AW1375" i="11" s="1"/>
  <c r="AW1376" i="11"/>
  <c r="AW1377" i="11" s="1"/>
  <c r="AW1378" i="11"/>
  <c r="AW1379" i="11" s="1"/>
  <c r="AW1380" i="11"/>
  <c r="AW1381" i="11" s="1"/>
  <c r="AW1382" i="11"/>
  <c r="AW1383" i="11" s="1"/>
  <c r="AW1384" i="11"/>
  <c r="AW1385" i="11" s="1"/>
  <c r="AW1386" i="11"/>
  <c r="AW1387" i="11" s="1"/>
  <c r="AW1388" i="11"/>
  <c r="AW1389" i="11" s="1"/>
  <c r="AW1390" i="11"/>
  <c r="AW1391" i="11" s="1"/>
  <c r="AW1392" i="11"/>
  <c r="AW1393" i="11" s="1"/>
  <c r="AW1394" i="11"/>
  <c r="AW1395" i="11" s="1"/>
  <c r="AW1396" i="11"/>
  <c r="AW1397" i="11" s="1"/>
  <c r="AW1398" i="11"/>
  <c r="AW1399" i="11" s="1"/>
  <c r="AW1400" i="11"/>
  <c r="AW1401" i="11" s="1"/>
  <c r="AW1402" i="11"/>
  <c r="AW1403" i="11" s="1"/>
  <c r="AW1404" i="11"/>
  <c r="AW1405" i="11" s="1"/>
  <c r="AW1406" i="11"/>
  <c r="AW1407" i="11" s="1"/>
  <c r="AW1408" i="11"/>
  <c r="AW1409" i="11" s="1"/>
  <c r="AW1410" i="11"/>
  <c r="AW1411" i="11" s="1"/>
  <c r="AW1412" i="11"/>
  <c r="AW1413" i="11" s="1"/>
  <c r="AW1414" i="11"/>
  <c r="AW1415" i="11" s="1"/>
  <c r="AW1416" i="11"/>
  <c r="AW1417" i="11" s="1"/>
  <c r="AW1418" i="11"/>
  <c r="AW1419" i="11" s="1"/>
  <c r="AW1420" i="11"/>
  <c r="AW1421" i="11" s="1"/>
  <c r="AW1422" i="11" s="1"/>
  <c r="AW1423" i="11" s="1"/>
  <c r="AW1424" i="11" s="1"/>
  <c r="AW1425" i="11" s="1"/>
  <c r="AW1426" i="11"/>
  <c r="AW1427" i="11" s="1"/>
  <c r="AW1428" i="11" s="1"/>
  <c r="AW1429" i="11" s="1"/>
  <c r="AW1430" i="11" s="1"/>
  <c r="AW1431" i="11" s="1"/>
  <c r="AW1432" i="11" s="1"/>
  <c r="AW1433" i="11" s="1"/>
  <c r="AW1434" i="11" s="1"/>
  <c r="AW1435" i="11" s="1"/>
  <c r="AW1436" i="11" s="1"/>
  <c r="AW1437" i="11" s="1"/>
  <c r="AW1438" i="11" s="1"/>
  <c r="AW1439" i="11" s="1"/>
  <c r="AW1440" i="11" s="1"/>
  <c r="AW1441" i="11" s="1"/>
  <c r="AW1442" i="11"/>
  <c r="AW1443" i="11" s="1"/>
  <c r="AW1444" i="11" s="1"/>
  <c r="AW1445" i="11" s="1"/>
  <c r="AW1446" i="11" s="1"/>
  <c r="AW1447" i="11" s="1"/>
  <c r="AW1448" i="11"/>
  <c r="AW1449" i="11" s="1"/>
  <c r="AW1450" i="11"/>
  <c r="AW1451" i="11" s="1"/>
  <c r="AW1452" i="11"/>
  <c r="AW1453" i="11" s="1"/>
  <c r="AW1454" i="11"/>
  <c r="AW1455" i="11" s="1"/>
  <c r="AW1456" i="11"/>
  <c r="AW1457" i="11" s="1"/>
  <c r="AW1458" i="11"/>
  <c r="AW1459" i="11" s="1"/>
  <c r="AW1460" i="11"/>
  <c r="AW1461" i="11" s="1"/>
  <c r="AW1462" i="11"/>
  <c r="AW1463" i="11" s="1"/>
  <c r="AW1464" i="11"/>
  <c r="AW1465" i="11" s="1"/>
  <c r="AW1466" i="11"/>
  <c r="AW1467" i="11" s="1"/>
  <c r="AW1468" i="11"/>
  <c r="AW1469" i="11" s="1"/>
  <c r="AW1470" i="11"/>
  <c r="AW1471" i="11" s="1"/>
  <c r="AW1472" i="11"/>
  <c r="AW1473" i="11" s="1"/>
  <c r="AW1474" i="11"/>
  <c r="AW1475" i="11" s="1"/>
  <c r="AW1476" i="11"/>
  <c r="AW1477" i="11" s="1"/>
  <c r="AW1478" i="11"/>
  <c r="AW1479" i="11" s="1"/>
  <c r="AW1480" i="11"/>
  <c r="AW1481" i="11" s="1"/>
  <c r="AW1482" i="11"/>
  <c r="AW1483" i="11" s="1"/>
  <c r="AW1484" i="11"/>
  <c r="AW1485" i="11" s="1"/>
  <c r="AW1486" i="11"/>
  <c r="AW1487" i="11" s="1"/>
  <c r="AW1488" i="11"/>
  <c r="AW1489" i="11" s="1"/>
  <c r="AW1490" i="11"/>
  <c r="AW1491" i="11" s="1"/>
  <c r="AW1492" i="11"/>
  <c r="AW1493" i="11" s="1"/>
  <c r="AW1494" i="11"/>
  <c r="AW1495" i="11" s="1"/>
  <c r="AW1496" i="11"/>
  <c r="AW1497" i="11" s="1"/>
  <c r="AW1498" i="11"/>
  <c r="AW1499" i="11" s="1"/>
  <c r="AW1500" i="11"/>
  <c r="AW1501" i="11" s="1"/>
  <c r="AW1502" i="11"/>
  <c r="AW1503" i="11" s="1"/>
  <c r="AW1504" i="11"/>
  <c r="AW1505" i="11" s="1"/>
  <c r="AW1506" i="11"/>
  <c r="AW1507" i="11" s="1"/>
  <c r="AW1508" i="11"/>
  <c r="AW1509" i="11" s="1"/>
  <c r="AW1510" i="11"/>
  <c r="AW1511" i="11" s="1"/>
  <c r="AW1512" i="11"/>
  <c r="AW1513" i="11" s="1"/>
  <c r="AW1514" i="11" s="1"/>
  <c r="AW1515" i="11" s="1"/>
  <c r="AW1516" i="11" s="1"/>
  <c r="AW1517" i="11" s="1"/>
  <c r="AW1518" i="11" s="1"/>
  <c r="AW1519" i="11" s="1"/>
  <c r="AW1520" i="11" s="1"/>
  <c r="AW1521" i="11" s="1"/>
  <c r="AW1522" i="11" s="1"/>
  <c r="AW1523" i="11" s="1"/>
  <c r="AW1524" i="11" s="1"/>
  <c r="AW1525" i="11" s="1"/>
  <c r="AW1526" i="11" s="1"/>
  <c r="AW1527" i="11" s="1"/>
  <c r="AW1528" i="11" s="1"/>
  <c r="AW1529" i="11" s="1"/>
  <c r="AW1530" i="11" s="1"/>
  <c r="AW1536" i="11"/>
  <c r="AW1537" i="11"/>
  <c r="AW1538" i="11" s="1"/>
  <c r="AW1539" i="11"/>
  <c r="AW1540" i="11" s="1"/>
  <c r="AW1541" i="11"/>
  <c r="AW1542" i="11" s="1"/>
  <c r="AW1543" i="11"/>
  <c r="AW1544" i="11" s="1"/>
  <c r="AW1545" i="11"/>
  <c r="AW1546" i="11" s="1"/>
  <c r="AW1547" i="11"/>
  <c r="AW1548" i="11" s="1"/>
  <c r="AW1549" i="11"/>
  <c r="AW1550" i="11" s="1"/>
  <c r="AW1551" i="11"/>
  <c r="AW1552" i="11" s="1"/>
  <c r="AW1553" i="11"/>
  <c r="AW1554" i="11" s="1"/>
  <c r="AW1555" i="11"/>
  <c r="AW1556" i="11" s="1"/>
  <c r="AW1557" i="11"/>
  <c r="AW1558" i="11" s="1"/>
  <c r="AW1559" i="11"/>
  <c r="AW1560" i="11" s="1"/>
  <c r="AW1561" i="11"/>
  <c r="AW1562" i="11" s="1"/>
  <c r="AW1563" i="11"/>
  <c r="AW1564" i="11" s="1"/>
  <c r="AW1565" i="11"/>
  <c r="AW1566" i="11" s="1"/>
  <c r="AW1567" i="11"/>
  <c r="AW1568" i="11" s="1"/>
  <c r="AW1569" i="11"/>
  <c r="AW1570" i="11" s="1"/>
  <c r="AW1571" i="11"/>
  <c r="AW1572" i="11" s="1"/>
  <c r="AW1573" i="11"/>
  <c r="AW1574" i="11" s="1"/>
  <c r="AW1575" i="11"/>
  <c r="AW1576" i="11" s="1"/>
  <c r="AW1577" i="11"/>
  <c r="AW1578" i="11" s="1"/>
  <c r="AW1579" i="11"/>
  <c r="AW1580" i="11" s="1"/>
  <c r="AW1581" i="11"/>
  <c r="AW1582" i="11" s="1"/>
  <c r="AW1583" i="11"/>
  <c r="AW1584" i="11" s="1"/>
  <c r="AW1585" i="11"/>
  <c r="AW1586" i="11" s="1"/>
  <c r="AW1587" i="11"/>
  <c r="AW1588" i="11" s="1"/>
  <c r="AW1589" i="11"/>
  <c r="AW1590" i="11" s="1"/>
  <c r="AW1591" i="11"/>
  <c r="AW1592" i="11" s="1"/>
  <c r="AW1593" i="11"/>
  <c r="AW1594" i="11" s="1"/>
  <c r="AW1595" i="11"/>
  <c r="AW1596" i="11" s="1"/>
  <c r="AW1597" i="11"/>
  <c r="AW1598" i="11" s="1"/>
  <c r="AW1599" i="11" s="1"/>
  <c r="AW1600" i="11" s="1"/>
  <c r="AW1601" i="11"/>
  <c r="AW1602" i="11" s="1"/>
  <c r="AW1603" i="11"/>
  <c r="AW1604" i="11" s="1"/>
  <c r="AW1605" i="11" s="1"/>
  <c r="AW1606" i="11" s="1"/>
  <c r="AW1607" i="11" s="1"/>
  <c r="AW1608" i="11" s="1"/>
  <c r="AW1609" i="11" s="1"/>
  <c r="AW1610" i="11" s="1"/>
  <c r="AW1611" i="11" s="1"/>
  <c r="AW1612" i="11" s="1"/>
  <c r="AW1613" i="11" s="1"/>
  <c r="AW1614" i="11" s="1"/>
  <c r="AW1615" i="11" s="1"/>
  <c r="AW1616" i="11" s="1"/>
  <c r="AW1617" i="11" s="1"/>
  <c r="AW1618" i="11" s="1"/>
  <c r="AW1619" i="11" s="1"/>
  <c r="AW1620" i="11" s="1"/>
  <c r="AW1621" i="11" s="1"/>
  <c r="AW1622" i="11" s="1"/>
  <c r="AW1623" i="11" s="1"/>
  <c r="AW1624" i="11" s="1"/>
  <c r="AW1625" i="11" s="1"/>
  <c r="AW1626" i="11" s="1"/>
  <c r="AW1627" i="11" s="1"/>
  <c r="AW1628" i="11" s="1"/>
  <c r="AW1629" i="11" s="1"/>
  <c r="AW1630" i="11"/>
  <c r="AW1631" i="11" s="1"/>
  <c r="AW1632" i="11"/>
  <c r="AW1633" i="11" s="1"/>
  <c r="AW1634" i="11"/>
  <c r="AW1635" i="11" s="1"/>
  <c r="AW1636" i="11"/>
  <c r="AW1637" i="11" s="1"/>
  <c r="AW1638" i="11"/>
  <c r="AW1639" i="11" s="1"/>
  <c r="AW1640" i="11"/>
  <c r="AW1641" i="11" s="1"/>
  <c r="AW1642" i="11"/>
  <c r="AW1643" i="11" s="1"/>
  <c r="AW1644" i="11"/>
  <c r="AW1645" i="11" s="1"/>
  <c r="AW1646" i="11"/>
  <c r="AW1647" i="11" s="1"/>
  <c r="AW1648" i="11"/>
  <c r="AW1649" i="11" s="1"/>
  <c r="AW1650" i="11"/>
  <c r="AW1651" i="11" s="1"/>
  <c r="AW1652" i="11"/>
  <c r="AW1653" i="11" s="1"/>
  <c r="AW1654" i="11"/>
  <c r="AW1655" i="11" s="1"/>
  <c r="AW1656" i="11"/>
  <c r="AW1657" i="11" s="1"/>
  <c r="AW1658" i="11"/>
  <c r="AW1659" i="11" s="1"/>
  <c r="AW1660" i="11"/>
  <c r="AW1661" i="11" s="1"/>
  <c r="AW1662" i="11"/>
  <c r="AW1663" i="11" s="1"/>
  <c r="AW1664" i="11"/>
  <c r="AW1665" i="11" s="1"/>
  <c r="AW1666" i="11"/>
  <c r="AW1667" i="11" s="1"/>
  <c r="AW1668" i="11"/>
  <c r="AW1669" i="11" s="1"/>
  <c r="AW1670" i="11"/>
  <c r="AW1671" i="11" s="1"/>
  <c r="AW1672" i="11"/>
  <c r="AW1673" i="11" s="1"/>
  <c r="AW1674" i="11"/>
  <c r="AW1675" i="11" s="1"/>
  <c r="AW1676" i="11"/>
  <c r="AW1677" i="11" s="1"/>
  <c r="AW1678" i="11" s="1"/>
  <c r="AW1679" i="11" s="1"/>
  <c r="AW1680" i="11"/>
  <c r="AW1681" i="11" s="1"/>
  <c r="AW1682" i="11"/>
  <c r="AW1683" i="11" s="1"/>
  <c r="AW1684" i="11" s="1"/>
  <c r="AW1685" i="11" s="1"/>
  <c r="AW1686" i="11" s="1"/>
  <c r="AW1687" i="11" s="1"/>
  <c r="AW1688" i="11"/>
  <c r="AW1689" i="11" s="1"/>
  <c r="AW1690" i="11" s="1"/>
  <c r="AW1691" i="11" s="1"/>
  <c r="AW1692" i="11"/>
  <c r="AW1693" i="11" s="1"/>
  <c r="AW1694" i="11"/>
  <c r="AW1695" i="11" s="1"/>
  <c r="AW1696" i="11" s="1"/>
  <c r="AW1697" i="11" s="1"/>
  <c r="AW1698" i="11"/>
  <c r="AW1699" i="11" s="1"/>
  <c r="AW1700" i="11"/>
  <c r="AW1701" i="11" s="1"/>
  <c r="AW1702" i="11"/>
  <c r="AW1703" i="11" s="1"/>
  <c r="AW1704" i="11"/>
  <c r="AW1705" i="11" s="1"/>
  <c r="AW1706" i="11"/>
  <c r="AW1707" i="11" s="1"/>
  <c r="AW1708" i="11"/>
  <c r="AW1709" i="11" s="1"/>
  <c r="AW1710" i="11"/>
  <c r="AW1711" i="11" s="1"/>
  <c r="AW1712" i="11"/>
  <c r="AW1713" i="11" s="1"/>
  <c r="AW1714" i="11"/>
  <c r="AW1715" i="11" s="1"/>
  <c r="AW1716" i="11"/>
  <c r="AW1717" i="11" s="1"/>
  <c r="AW1718" i="11"/>
  <c r="AW1719" i="11" s="1"/>
  <c r="AW1720" i="11"/>
  <c r="AW1721" i="11" s="1"/>
  <c r="AW1722" i="11"/>
  <c r="AW1723" i="11" s="1"/>
  <c r="AW1724" i="11"/>
  <c r="AW1725" i="11" s="1"/>
  <c r="AW1726" i="11"/>
  <c r="AW1727" i="11" s="1"/>
  <c r="AW1728" i="11"/>
  <c r="AW1729" i="11" s="1"/>
  <c r="AW1730" i="11"/>
  <c r="AW1731" i="11" s="1"/>
  <c r="AW1732" i="11"/>
  <c r="AW1733" i="11" s="1"/>
  <c r="AW1734" i="11"/>
  <c r="AW1735" i="11" s="1"/>
  <c r="AW1736" i="11"/>
  <c r="AW1737" i="11" s="1"/>
  <c r="AW1738" i="11"/>
  <c r="AW1739" i="11" s="1"/>
  <c r="AW1740" i="11"/>
  <c r="AW1741" i="11" s="1"/>
  <c r="AW1742" i="11"/>
  <c r="AW1743" i="11" s="1"/>
  <c r="AW1744" i="11"/>
  <c r="AW1745" i="11" s="1"/>
  <c r="AW1746" i="11"/>
  <c r="AW1747" i="11" s="1"/>
  <c r="AW1748" i="11"/>
  <c r="AW1749" i="11" s="1"/>
  <c r="AW1750" i="11" s="1"/>
  <c r="AW1751" i="11" s="1"/>
  <c r="AW1752" i="11"/>
  <c r="AW1753" i="11" s="1"/>
  <c r="AW1754" i="11" s="1"/>
  <c r="AW1755" i="11" s="1"/>
  <c r="AW1756" i="11" s="1"/>
  <c r="AW1757" i="11" s="1"/>
  <c r="AW1758" i="11" s="1"/>
  <c r="AW1759" i="11" s="1"/>
  <c r="AW1760" i="11" s="1"/>
  <c r="AW1761" i="11" s="1"/>
  <c r="AW1762" i="11" s="1"/>
  <c r="AW1763" i="11" s="1"/>
  <c r="AW1764" i="11" s="1"/>
  <c r="AW1765" i="11" s="1"/>
  <c r="AW1766" i="11" s="1"/>
  <c r="AW1767" i="11" s="1"/>
  <c r="AW1768" i="11" s="1"/>
  <c r="AW1769" i="11" s="1"/>
  <c r="AW1770" i="11" s="1"/>
  <c r="AW1771" i="11" s="1"/>
  <c r="AW1772" i="11" s="1"/>
  <c r="AW1773" i="11"/>
  <c r="AW1774" i="11" s="1"/>
  <c r="AW1775" i="11"/>
  <c r="AW1776" i="11" s="1"/>
  <c r="AW1777" i="11"/>
  <c r="AW1778" i="11" s="1"/>
  <c r="AW1779" i="11"/>
  <c r="AW1780" i="11" s="1"/>
  <c r="AW1781" i="11"/>
  <c r="AW1782" i="11" s="1"/>
  <c r="AW1783" i="11"/>
  <c r="AW1784" i="11" s="1"/>
  <c r="AW1785" i="11"/>
  <c r="AW1786" i="11" s="1"/>
  <c r="AW1787" i="11" s="1"/>
  <c r="AW1788" i="11" s="1"/>
  <c r="AW1789" i="11" s="1"/>
  <c r="AW1790" i="11" s="1"/>
  <c r="AW1791" i="11" s="1"/>
  <c r="AW1792" i="11" s="1"/>
  <c r="AW1793" i="11" s="1"/>
  <c r="AW1794" i="11" s="1"/>
  <c r="AW1795" i="11" s="1"/>
  <c r="AW1796" i="11" s="1"/>
  <c r="AW1797" i="11" s="1"/>
  <c r="AW1798" i="11" s="1"/>
  <c r="AW1799" i="11" s="1"/>
  <c r="AW1800" i="11" s="1"/>
  <c r="AW1801" i="11" s="1"/>
  <c r="AW1802" i="11" s="1"/>
  <c r="AW1803" i="11" s="1"/>
  <c r="AW1804" i="11" s="1"/>
  <c r="AW1805" i="11" s="1"/>
  <c r="AW1806" i="11"/>
  <c r="AW1807" i="11" s="1"/>
  <c r="AW1808" i="11"/>
  <c r="AW1809" i="11" s="1"/>
  <c r="AW1810" i="11"/>
  <c r="AW1811" i="11" s="1"/>
  <c r="AW1812" i="11"/>
  <c r="AW1813" i="11" s="1"/>
  <c r="AW1814" i="11"/>
  <c r="AW1815" i="11" s="1"/>
  <c r="AW1816" i="11"/>
  <c r="AW1817" i="11" s="1"/>
  <c r="AW1818" i="11"/>
  <c r="AW1819" i="11" s="1"/>
  <c r="AW1820" i="11"/>
  <c r="AW1821" i="11" s="1"/>
  <c r="AW1822" i="11"/>
  <c r="AW1823" i="11" s="1"/>
  <c r="AW1824" i="11"/>
  <c r="AW1825" i="11" s="1"/>
  <c r="AW1826" i="11"/>
  <c r="AW1827" i="11" s="1"/>
  <c r="AW1828" i="11" s="1"/>
  <c r="AW1829" i="11" s="1"/>
  <c r="AW1830" i="11" s="1"/>
  <c r="AW1831" i="11" s="1"/>
  <c r="AW1832" i="11" s="1"/>
  <c r="AW1833" i="11" s="1"/>
  <c r="AW1834" i="11" s="1"/>
  <c r="AW1835" i="11" s="1"/>
  <c r="AW1836" i="11" s="1"/>
  <c r="AW1837" i="11" s="1"/>
  <c r="AW1838" i="11" s="1"/>
  <c r="AW1839" i="11" s="1"/>
  <c r="AW1840" i="11" s="1"/>
  <c r="AW1841" i="11" s="1"/>
  <c r="AW1842" i="11" s="1"/>
  <c r="AW1843" i="11" s="1"/>
  <c r="AW1844" i="11" s="1"/>
  <c r="AW1845" i="11" s="1"/>
  <c r="AW1846" i="11" s="1"/>
  <c r="AW1847" i="11" s="1"/>
  <c r="AW1848" i="11" s="1"/>
  <c r="AW1849" i="11" s="1"/>
  <c r="AW1850" i="11" s="1"/>
  <c r="AW1851" i="11" s="1"/>
  <c r="AW1852" i="11" s="1"/>
  <c r="AW1853" i="11" s="1"/>
  <c r="AW1854" i="11" s="1"/>
  <c r="AW1855" i="11" s="1"/>
  <c r="AW1856" i="11" s="1"/>
  <c r="AW1857" i="11" s="1"/>
  <c r="AW1858" i="11" s="1"/>
  <c r="AW1859" i="11" s="1"/>
  <c r="AW1860" i="11"/>
  <c r="AW1861" i="11" s="1"/>
  <c r="AW1862" i="11" s="1"/>
  <c r="AW1863" i="11" s="1"/>
  <c r="AW1864" i="11"/>
  <c r="AW1865" i="11" s="1"/>
  <c r="AW1866" i="11"/>
  <c r="AW1867" i="11" s="1"/>
  <c r="AW1868" i="11" s="1"/>
  <c r="AW1869" i="11" s="1"/>
  <c r="AW1870" i="11" s="1"/>
  <c r="AW1871" i="11" s="1"/>
  <c r="AW1872" i="11"/>
  <c r="AW1873" i="11" s="1"/>
  <c r="AW1874" i="11" s="1"/>
  <c r="AW1875" i="11" s="1"/>
  <c r="AW1876" i="11"/>
  <c r="AW1877" i="11" s="1"/>
  <c r="AW1878" i="11"/>
  <c r="AW1879" i="11" s="1"/>
  <c r="AW1880" i="11" s="1"/>
  <c r="AW1881" i="11" s="1"/>
  <c r="AW1882" i="11" s="1"/>
  <c r="AW1883" i="11" s="1"/>
  <c r="AW1884" i="11" s="1"/>
  <c r="AW1885" i="11" s="1"/>
  <c r="AW1886" i="11" s="1"/>
  <c r="AW1887" i="11" s="1"/>
  <c r="AW1888" i="11" s="1"/>
  <c r="AW1889" i="11" s="1"/>
  <c r="AW1890" i="11" s="1"/>
  <c r="AW1891" i="11" s="1"/>
  <c r="AW1892" i="11" s="1"/>
  <c r="AW1893" i="11" s="1"/>
  <c r="AW1894" i="11" s="1"/>
  <c r="AW1895" i="11" s="1"/>
  <c r="AW1896" i="11" s="1"/>
  <c r="AW1897" i="11" s="1"/>
  <c r="AW1898" i="11" s="1"/>
  <c r="AW1899" i="11" s="1"/>
  <c r="AW1900" i="11" s="1"/>
  <c r="AW1901" i="11" s="1"/>
  <c r="AW1902" i="11" s="1"/>
  <c r="AW1903" i="11"/>
  <c r="AW1904" i="11" s="1"/>
  <c r="AW1905" i="11" s="1"/>
  <c r="AW1906" i="11" s="1"/>
  <c r="AW1907" i="11"/>
  <c r="AW1908" i="11" s="1"/>
  <c r="AW1909" i="11"/>
  <c r="AW1910" i="11" s="1"/>
  <c r="AW1911" i="11"/>
  <c r="AW1912" i="11" s="1"/>
  <c r="AW1913" i="11"/>
  <c r="AW1914" i="11" s="1"/>
  <c r="AW1915" i="11"/>
  <c r="AW1916" i="11" s="1"/>
  <c r="AW1917" i="11"/>
  <c r="AW1918" i="11" s="1"/>
  <c r="AW1919" i="11"/>
  <c r="AW1920" i="11" s="1"/>
  <c r="AW1921" i="11"/>
  <c r="AW1922" i="11" s="1"/>
  <c r="AW1923" i="11"/>
  <c r="AW1924" i="11" s="1"/>
  <c r="AW1925" i="11"/>
  <c r="AW1926" i="11" s="1"/>
  <c r="AW1927" i="11"/>
  <c r="AW1928" i="11" s="1"/>
  <c r="AW1929" i="11"/>
  <c r="AW1930" i="11" s="1"/>
  <c r="AW1931" i="11"/>
  <c r="AW1932" i="11" s="1"/>
  <c r="AW1933" i="11"/>
  <c r="AW1934" i="11" s="1"/>
  <c r="AW1935" i="11"/>
  <c r="AW1936" i="11" s="1"/>
  <c r="AW1937" i="11"/>
  <c r="AW1938" i="11" s="1"/>
  <c r="AW1939" i="11"/>
  <c r="AW1940" i="11" s="1"/>
  <c r="AW1941" i="11"/>
  <c r="AW1942" i="11" s="1"/>
  <c r="AW1943" i="11"/>
  <c r="AW1944" i="11" s="1"/>
  <c r="AW1945" i="11"/>
  <c r="AW1946" i="11" s="1"/>
  <c r="AW1947" i="11"/>
  <c r="AW1948" i="11" s="1"/>
  <c r="AW1949" i="11"/>
  <c r="AW1950" i="11" s="1"/>
  <c r="AW1951" i="11"/>
  <c r="AW1952" i="11" s="1"/>
  <c r="AW1953" i="11"/>
  <c r="AW1954" i="11" s="1"/>
  <c r="AW1955" i="11"/>
  <c r="AW1956" i="11" s="1"/>
  <c r="AW1957" i="11"/>
  <c r="AW1958" i="11" s="1"/>
  <c r="AW1959" i="11"/>
  <c r="AW1960" i="11" s="1"/>
  <c r="AW1961" i="11"/>
  <c r="AW1962" i="11" s="1"/>
  <c r="AW1963" i="11"/>
  <c r="AW1964" i="11" s="1"/>
  <c r="AW1965" i="11"/>
  <c r="AW1966" i="11" s="1"/>
  <c r="AW1967" i="11"/>
  <c r="AW1968" i="11" s="1"/>
  <c r="AW1969" i="11"/>
  <c r="AW1970" i="11" s="1"/>
  <c r="AW1971" i="11"/>
  <c r="AW1972" i="11" s="1"/>
  <c r="AW1973" i="11"/>
  <c r="AW1974" i="11" s="1"/>
  <c r="AW1975" i="11"/>
  <c r="AW1976" i="11" s="1"/>
  <c r="AW1977" i="11" s="1"/>
  <c r="AW1978" i="11" s="1"/>
  <c r="AW1979" i="11" s="1"/>
  <c r="AW1980" i="11" s="1"/>
  <c r="AW1981" i="11" s="1"/>
  <c r="AW1982" i="11" s="1"/>
  <c r="AW1983" i="11" s="1"/>
  <c r="AW1984" i="11" s="1"/>
  <c r="AW1985" i="11" s="1"/>
  <c r="AW1986" i="11" s="1"/>
  <c r="AW1987" i="11" s="1"/>
  <c r="AW1988" i="11" s="1"/>
  <c r="AW1989" i="11" s="1"/>
  <c r="AW1990" i="11" s="1"/>
  <c r="AW1991" i="11" s="1"/>
  <c r="AW1992" i="11" s="1"/>
  <c r="AW1993" i="11" s="1"/>
  <c r="AW1994" i="11" s="1"/>
  <c r="AW1995" i="11" s="1"/>
  <c r="AW1996" i="11" s="1"/>
  <c r="AW1997" i="11" s="1"/>
  <c r="AW1998" i="11"/>
  <c r="AW1999" i="11" s="1"/>
  <c r="AW2000" i="11"/>
  <c r="AW2001" i="11" s="1"/>
  <c r="AW2002" i="11"/>
  <c r="AW2003" i="11" s="1"/>
  <c r="AW2004" i="11"/>
  <c r="AW2005" i="11" s="1"/>
  <c r="AW2006" i="11"/>
  <c r="AW2007" i="11" s="1"/>
  <c r="AW2008" i="11"/>
  <c r="AW2009" i="11" s="1"/>
  <c r="AW2010" i="11"/>
  <c r="AW2011" i="11" s="1"/>
  <c r="AW2012" i="11"/>
  <c r="AW2013" i="11" s="1"/>
  <c r="AW2014" i="11"/>
  <c r="AW2015" i="11" s="1"/>
  <c r="AW2016" i="11"/>
  <c r="AW2017" i="11" s="1"/>
  <c r="AW2018" i="11"/>
  <c r="AW2019" i="11" s="1"/>
  <c r="AW2020" i="11"/>
  <c r="AW2021" i="11" s="1"/>
  <c r="AW2022" i="11"/>
  <c r="AW2023" i="11" s="1"/>
  <c r="AW2024" i="11"/>
  <c r="AW2025" i="11" s="1"/>
  <c r="AW2026" i="11"/>
  <c r="AW2027" i="11" s="1"/>
  <c r="AW2028" i="11"/>
  <c r="AW2029" i="11" s="1"/>
  <c r="AW2030" i="11"/>
  <c r="AW2031" i="11" s="1"/>
  <c r="AW2032" i="11"/>
  <c r="AW2033" i="11" s="1"/>
  <c r="AW2034" i="11"/>
  <c r="AW2035" i="11" s="1"/>
  <c r="AW2036" i="11"/>
  <c r="AW2037" i="11" s="1"/>
  <c r="AW2038" i="11"/>
  <c r="AW2039" i="11" s="1"/>
  <c r="AW2040" i="11"/>
  <c r="AW2041" i="11" s="1"/>
  <c r="AW2042" i="11"/>
  <c r="AW2043" i="11" s="1"/>
  <c r="AW2044" i="11"/>
  <c r="AW2045" i="11" s="1"/>
  <c r="AW2046" i="11"/>
  <c r="AW2047" i="11" s="1"/>
  <c r="AW2048" i="11"/>
  <c r="AW2049" i="11" s="1"/>
  <c r="AW2050" i="11"/>
  <c r="AW2051" i="11" s="1"/>
  <c r="AW2052" i="11"/>
  <c r="AW2053" i="11" s="1"/>
  <c r="AW2054" i="11"/>
  <c r="AW2055" i="11" s="1"/>
  <c r="AW2056" i="11"/>
  <c r="AW2057" i="11" s="1"/>
  <c r="AW2058" i="11"/>
  <c r="AW2059" i="11" s="1"/>
  <c r="AW2060" i="11"/>
  <c r="AW2061" i="11" s="1"/>
  <c r="AW2062" i="11"/>
  <c r="AW2063" i="11" s="1"/>
  <c r="AW2064" i="11" s="1"/>
  <c r="AW2065" i="11" s="1"/>
  <c r="AW2066" i="11"/>
  <c r="AW2067" i="11" s="1"/>
  <c r="AW2068" i="11"/>
  <c r="AW2069" i="11" s="1"/>
  <c r="AW2070" i="11" s="1"/>
  <c r="AW2071" i="11" s="1"/>
  <c r="AW2072" i="11" s="1"/>
  <c r="AW2073" i="11" s="1"/>
  <c r="AW2074" i="11"/>
  <c r="AW2075" i="11" s="1"/>
  <c r="AW2076" i="11" s="1"/>
  <c r="AW2077" i="11" s="1"/>
  <c r="AW2078" i="11"/>
  <c r="AW2079" i="11" s="1"/>
  <c r="AW2080" i="11"/>
  <c r="AW2081" i="11" s="1"/>
  <c r="AW2082" i="11" s="1"/>
  <c r="AW2083" i="11" s="1"/>
  <c r="AW2084" i="11"/>
  <c r="AW2085" i="11" s="1"/>
  <c r="AW2086" i="11"/>
  <c r="AW2087" i="11" s="1"/>
  <c r="AW2088" i="11"/>
  <c r="AW2089" i="11" s="1"/>
  <c r="AW2090" i="11"/>
  <c r="AW2091" i="11" s="1"/>
  <c r="AW2092" i="11"/>
  <c r="AW2093" i="11" s="1"/>
  <c r="AW2094" i="11"/>
  <c r="AW2095" i="11" s="1"/>
  <c r="AW2096" i="11"/>
  <c r="AW2097" i="11" s="1"/>
  <c r="AW2098" i="11"/>
  <c r="AW2099" i="11" s="1"/>
  <c r="AW2100" i="11"/>
  <c r="AW2101" i="11" s="1"/>
  <c r="AW2102" i="11"/>
  <c r="AW2103" i="11" s="1"/>
  <c r="AW2104" i="11"/>
  <c r="AW2105" i="11" s="1"/>
  <c r="AW2106" i="11"/>
  <c r="AW2107" i="11" s="1"/>
  <c r="AW2108" i="11" s="1"/>
  <c r="AW2109" i="11" s="1"/>
  <c r="AW2110" i="11" s="1"/>
  <c r="AW2111" i="11" s="1"/>
  <c r="AW2112" i="11" s="1"/>
  <c r="AW2113" i="11" s="1"/>
  <c r="AW2114" i="11" s="1"/>
  <c r="AW2115" i="11" s="1"/>
  <c r="AW2116" i="11" s="1"/>
  <c r="AW2117" i="11" s="1"/>
  <c r="AW2118" i="11" s="1"/>
  <c r="AW2119" i="11" s="1"/>
  <c r="AW2120" i="11" s="1"/>
  <c r="AW2121" i="11" s="1"/>
  <c r="AW2122" i="11" s="1"/>
  <c r="AW2123" i="11" s="1"/>
  <c r="AW2124" i="11" s="1"/>
  <c r="AW2125" i="11" s="1"/>
  <c r="AW2126" i="11" s="1"/>
  <c r="AW2127" i="11"/>
  <c r="AW2128" i="11" s="1"/>
  <c r="AW2129" i="11"/>
  <c r="AW2130" i="11" s="1"/>
  <c r="AW2131" i="11"/>
  <c r="AW2132" i="11" s="1"/>
  <c r="AW2133" i="11"/>
  <c r="AW2134" i="11" s="1"/>
  <c r="AW2135" i="11"/>
  <c r="AW2136" i="11" s="1"/>
  <c r="AW2137" i="11"/>
  <c r="AW2138" i="11" s="1"/>
  <c r="AW2139" i="11"/>
  <c r="AW2140" i="11" s="1"/>
  <c r="AW2141" i="11"/>
  <c r="AW2142" i="11" s="1"/>
  <c r="AW2143" i="11"/>
  <c r="AW2144" i="11" s="1"/>
  <c r="AW2145" i="11"/>
  <c r="AW2146" i="11" s="1"/>
  <c r="AW2147" i="11"/>
  <c r="AW2148" i="11" s="1"/>
  <c r="AW2149" i="11"/>
  <c r="AW2150" i="11" s="1"/>
  <c r="AW2151" i="11"/>
  <c r="AW2152" i="11" s="1"/>
  <c r="AW2153" i="11"/>
  <c r="AW2154" i="11" s="1"/>
  <c r="AW2155" i="11"/>
  <c r="AW2156" i="11" s="1"/>
  <c r="AW2157" i="11"/>
  <c r="AW2158" i="11" s="1"/>
  <c r="AW2159" i="11"/>
  <c r="AW2160" i="11" s="1"/>
  <c r="AW2161" i="11"/>
  <c r="AW2162" i="11" s="1"/>
  <c r="AW2163" i="11"/>
  <c r="AW2164" i="11" s="1"/>
  <c r="AW2165" i="11"/>
  <c r="AW2166" i="11" s="1"/>
  <c r="AW2167" i="11"/>
  <c r="AW2168" i="11" s="1"/>
  <c r="AW2169" i="11"/>
  <c r="AW2170" i="11" s="1"/>
  <c r="AW2171" i="11"/>
  <c r="AW2172" i="11" s="1"/>
  <c r="AW2173" i="11"/>
  <c r="AW2174" i="11" s="1"/>
  <c r="AW2175" i="11"/>
  <c r="AW2176" i="11" s="1"/>
  <c r="AW2177" i="11"/>
  <c r="AW2178" i="11" s="1"/>
  <c r="AW2179" i="11"/>
  <c r="AW2180" i="11" s="1"/>
  <c r="AW2181" i="11"/>
  <c r="AW2182" i="11" s="1"/>
  <c r="AW2183" i="11"/>
  <c r="AW2184" i="11" s="1"/>
  <c r="AW2185" i="11"/>
  <c r="AW2186" i="11" s="1"/>
  <c r="AW2187" i="11"/>
  <c r="AW2188" i="11" s="1"/>
  <c r="AW2189" i="11"/>
  <c r="AW2190" i="11" s="1"/>
  <c r="AW2191" i="11"/>
  <c r="AW2192" i="11" s="1"/>
  <c r="AW2193" i="11" s="1"/>
  <c r="AW2194" i="11" s="1"/>
  <c r="AW2195" i="11"/>
  <c r="AW2196" i="11" s="1"/>
  <c r="AW2197" i="11"/>
  <c r="AW2198" i="11" s="1"/>
  <c r="AW2199" i="11" s="1"/>
  <c r="AW2200" i="11" s="1"/>
  <c r="AW2201" i="11" s="1"/>
  <c r="AW2202" i="11" s="1"/>
  <c r="AW2203" i="11"/>
  <c r="AW2204" i="11" s="1"/>
  <c r="AW2205" i="11" s="1"/>
  <c r="AW2206" i="11" s="1"/>
  <c r="AW2207" i="11"/>
  <c r="AW2208" i="11" s="1"/>
  <c r="AW2209" i="11"/>
  <c r="AW2210" i="11" s="1"/>
  <c r="AW2211" i="11" s="1"/>
  <c r="AW2212" i="11" s="1"/>
  <c r="AW2213" i="11"/>
  <c r="AW2214" i="11" s="1"/>
  <c r="AW2215" i="11"/>
  <c r="AW2216" i="11" s="1"/>
  <c r="AW2217" i="11"/>
  <c r="AW2218" i="11" s="1"/>
  <c r="AW2219" i="11"/>
  <c r="AW2220" i="11" s="1"/>
  <c r="AW2221" i="11"/>
  <c r="AW2222" i="11" s="1"/>
  <c r="AW2223" i="11"/>
  <c r="AW2224" i="11" s="1"/>
  <c r="AW2225" i="11"/>
  <c r="AW2226" i="11" s="1"/>
  <c r="AW2227" i="11"/>
  <c r="AW2228" i="11" s="1"/>
  <c r="AW2229" i="11"/>
  <c r="AW2230" i="11" s="1"/>
  <c r="AW2231" i="11"/>
  <c r="AW2232" i="11" s="1"/>
  <c r="AW2233" i="11"/>
  <c r="AW2234" i="11" s="1"/>
  <c r="AW2235" i="11"/>
  <c r="AW2236" i="11" s="1"/>
  <c r="AW2237" i="11"/>
  <c r="AW2238" i="11" s="1"/>
  <c r="AW2239" i="11"/>
  <c r="AW2240" i="11" s="1"/>
  <c r="AW2241" i="11"/>
  <c r="AW2242" i="11" s="1"/>
  <c r="AW2243" i="11"/>
  <c r="AW2244" i="11" s="1"/>
  <c r="AW2245" i="11"/>
  <c r="AW2246" i="11" s="1"/>
  <c r="AW2247" i="11"/>
  <c r="AW2248" i="11" s="1"/>
  <c r="AW2249" i="11"/>
  <c r="AW2250" i="11" s="1"/>
  <c r="AW2251" i="11"/>
  <c r="AW2252" i="11" s="1"/>
  <c r="AW2253" i="11"/>
  <c r="AW2254" i="11" s="1"/>
  <c r="AW2255" i="11"/>
  <c r="AW2256" i="11" s="1"/>
  <c r="AW2257" i="11"/>
  <c r="AW2258" i="11" s="1"/>
  <c r="AW2259" i="11"/>
  <c r="AW2260" i="11" s="1"/>
  <c r="AW2261" i="11"/>
  <c r="AW2262" i="11" s="1"/>
  <c r="AW2263" i="11"/>
  <c r="AW2264" i="11" s="1"/>
  <c r="AW2265" i="11"/>
  <c r="AW2266" i="11" s="1"/>
  <c r="AW2267" i="11" s="1"/>
  <c r="AW2268" i="11" s="1"/>
  <c r="AW2269" i="11" s="1"/>
  <c r="AW2270" i="11" s="1"/>
  <c r="AW2271" i="11"/>
  <c r="AW2272" i="11" s="1"/>
  <c r="AW2273" i="11" s="1"/>
  <c r="AW2274" i="11" s="1"/>
  <c r="AW2275" i="11" s="1"/>
  <c r="AW2276" i="11" s="1"/>
  <c r="AW2277" i="11" s="1"/>
  <c r="AW2278" i="11" s="1"/>
  <c r="AW2279" i="11" s="1"/>
  <c r="AW2280" i="11" s="1"/>
  <c r="AW2281" i="11"/>
  <c r="AW2282" i="11" s="1"/>
  <c r="AW2283" i="11" s="1"/>
  <c r="AW2284" i="11" s="1"/>
  <c r="AW2285" i="11"/>
  <c r="AW2286" i="11" s="1"/>
  <c r="AW2287" i="11" s="1"/>
  <c r="AW2288" i="11" s="1"/>
  <c r="AW2289" i="11" s="1"/>
  <c r="AW2290" i="11" s="1"/>
  <c r="AW2291" i="11"/>
  <c r="AW2292" i="11" s="1"/>
  <c r="AW2293" i="11" s="1"/>
  <c r="AW2294" i="11" s="1"/>
  <c r="AW2295" i="11"/>
  <c r="AW2296" i="11" s="1"/>
  <c r="AW2297" i="11"/>
  <c r="AW2298" i="11" s="1"/>
  <c r="AW2299" i="11" s="1"/>
  <c r="AW2300" i="11" s="1"/>
  <c r="AW2301" i="11" s="1"/>
  <c r="AW2302" i="11" s="1"/>
  <c r="AW2303" i="11" s="1"/>
  <c r="AW2304" i="11" s="1"/>
  <c r="AW2305" i="11" s="1"/>
  <c r="AW2306" i="11" s="1"/>
  <c r="AW2307" i="11" s="1"/>
  <c r="AW2308" i="11" s="1"/>
  <c r="AW2309" i="11" s="1"/>
  <c r="AW2310" i="11" s="1"/>
  <c r="AW2311" i="11" s="1"/>
  <c r="AW2312" i="11" s="1"/>
  <c r="AW2313" i="11" s="1"/>
  <c r="AW2314" i="11" s="1"/>
  <c r="AW2315" i="11" s="1"/>
  <c r="AW2316" i="11" s="1"/>
  <c r="AW2317" i="11" s="1"/>
  <c r="AW2318" i="11" s="1"/>
  <c r="AW2319" i="11" s="1"/>
  <c r="AW2320" i="11" s="1"/>
  <c r="AW2321" i="11" s="1"/>
  <c r="AW2322" i="11" s="1"/>
  <c r="AW2323" i="11" s="1"/>
  <c r="AW2324" i="11" s="1"/>
  <c r="AW2325" i="11" s="1"/>
  <c r="AW2326" i="11" s="1"/>
  <c r="AW2327" i="11" s="1"/>
  <c r="AW2328" i="11" s="1"/>
  <c r="AW2329" i="11" s="1"/>
  <c r="AW2330" i="11" s="1"/>
  <c r="AW2331" i="11" s="1"/>
  <c r="AW2332" i="11" s="1"/>
  <c r="AW2333" i="11"/>
  <c r="AW2334" i="11" s="1"/>
  <c r="AW2335" i="11" s="1"/>
  <c r="AW2336" i="11" s="1"/>
  <c r="AW2337" i="11" s="1"/>
  <c r="AW2338" i="11" s="1"/>
  <c r="AW2339" i="11"/>
  <c r="AW2340" i="11" s="1"/>
  <c r="AW2341" i="11"/>
  <c r="AW2342" i="11" s="1"/>
  <c r="AW2343" i="11" s="1"/>
  <c r="AW2344" i="11" s="1"/>
  <c r="AW2345" i="11"/>
  <c r="AW2346" i="11" s="1"/>
  <c r="AW2347" i="11"/>
  <c r="AW2348" i="11" s="1"/>
  <c r="AW2349" i="11" s="1"/>
  <c r="AW2350" i="11" s="1"/>
  <c r="AW2351" i="11" s="1"/>
  <c r="AW2352" i="11" s="1"/>
  <c r="AW2353" i="11" s="1"/>
  <c r="AW2354" i="11" s="1"/>
  <c r="AW2355" i="11"/>
  <c r="AW2356" i="11" s="1"/>
  <c r="AW2357" i="11" s="1"/>
  <c r="AW2358" i="11" s="1"/>
  <c r="AW2359" i="11" s="1"/>
  <c r="AW2360" i="11" s="1"/>
  <c r="AW2361" i="11"/>
  <c r="AW2362" i="11" s="1"/>
  <c r="AW2363" i="11" s="1"/>
  <c r="AW2364" i="11" s="1"/>
  <c r="AW2365" i="11" s="1"/>
  <c r="AW2366" i="11" s="1"/>
  <c r="AW2367" i="11" s="1"/>
  <c r="AW2368" i="11" s="1"/>
  <c r="AW2369" i="11" s="1"/>
  <c r="AW2370" i="11" s="1"/>
  <c r="AW2371" i="11" s="1"/>
  <c r="AW2372" i="11" s="1"/>
  <c r="AW2373" i="11" s="1"/>
  <c r="AW2374" i="11" s="1"/>
  <c r="AW2375" i="11" s="1"/>
  <c r="AW2376" i="11" s="1"/>
  <c r="AW2377" i="11" s="1"/>
  <c r="AW2378" i="11" s="1"/>
  <c r="AW2379" i="11" s="1"/>
  <c r="AW2380" i="11" s="1"/>
  <c r="AW2381" i="11" s="1"/>
  <c r="AW2382" i="11" s="1"/>
  <c r="AW2383" i="11" s="1"/>
  <c r="AW2384" i="11" s="1"/>
  <c r="AW2385" i="11" s="1"/>
  <c r="AW2386" i="11" s="1"/>
  <c r="AW2387" i="11"/>
  <c r="AW2388" i="11" s="1"/>
  <c r="AW2389" i="11" s="1"/>
  <c r="AW2390" i="11" s="1"/>
  <c r="AW2391" i="11" s="1"/>
  <c r="AW2392" i="11" s="1"/>
  <c r="AW2393" i="11" s="1"/>
  <c r="AW2394" i="11" s="1"/>
  <c r="AW2395" i="11" s="1"/>
  <c r="AW2396" i="11" s="1"/>
  <c r="AW2397" i="11" s="1"/>
  <c r="AW2398" i="11" s="1"/>
  <c r="AW2399" i="11" s="1"/>
  <c r="AW2400" i="11" s="1"/>
  <c r="AW2401" i="11"/>
  <c r="AW2402" i="11" s="1"/>
  <c r="AW2403" i="11" s="1"/>
  <c r="AW2404" i="11" s="1"/>
  <c r="AW2405" i="11"/>
  <c r="AW2406" i="11" s="1"/>
  <c r="AW2407" i="11"/>
  <c r="AW2408" i="11" s="1"/>
  <c r="AW2409" i="11"/>
  <c r="AW2410" i="11" s="1"/>
  <c r="AW2411" i="11"/>
  <c r="AW2412" i="11" s="1"/>
  <c r="AW2413" i="11"/>
  <c r="AW2414" i="11" s="1"/>
  <c r="AW2415" i="11"/>
  <c r="AW2416" i="11" s="1"/>
  <c r="AW2417" i="11"/>
  <c r="AW2418" i="11" s="1"/>
  <c r="AW2419" i="11"/>
  <c r="AW2420" i="11" s="1"/>
  <c r="AW2421" i="11"/>
  <c r="AW2422" i="11" s="1"/>
  <c r="AW2423" i="11"/>
  <c r="AW2424" i="11" s="1"/>
  <c r="AW2425" i="11"/>
  <c r="AW2426" i="11" s="1"/>
  <c r="AW2427" i="11"/>
  <c r="AW2428" i="11" s="1"/>
  <c r="AW2429" i="11"/>
  <c r="AW2430" i="11" s="1"/>
  <c r="AW2431" i="11"/>
  <c r="AW2432" i="11" s="1"/>
  <c r="AW2433" i="11"/>
  <c r="AW2434" i="11" s="1"/>
  <c r="AW2435" i="11" s="1"/>
  <c r="AW2436" i="11" s="1"/>
  <c r="AW2437" i="11"/>
  <c r="AW2438" i="11" s="1"/>
  <c r="AW2439" i="11"/>
  <c r="AW2440" i="11" s="1"/>
  <c r="AW2441" i="11" s="1"/>
  <c r="AW2442" i="11" s="1"/>
  <c r="AW2443" i="11"/>
  <c r="AW2444" i="11" s="1"/>
  <c r="AW2445" i="11"/>
  <c r="AW2446" i="11" s="1"/>
  <c r="AW2447" i="11" s="1"/>
  <c r="AW2448" i="11" s="1"/>
  <c r="AW2449" i="11" s="1"/>
  <c r="AW2450" i="11" s="1"/>
  <c r="AW2451" i="11"/>
  <c r="AW2452" i="11" s="1"/>
  <c r="AW2453" i="11"/>
  <c r="AW2454" i="11" s="1"/>
  <c r="AW2455" i="11" s="1"/>
  <c r="AW2456" i="11" s="1"/>
  <c r="AW2457" i="11"/>
  <c r="AW2458" i="11" s="1"/>
  <c r="AW2459" i="11"/>
  <c r="AW2460" i="11" s="1"/>
  <c r="AW2461" i="11"/>
  <c r="AW2462" i="11" s="1"/>
  <c r="AW2463" i="11"/>
  <c r="AW2464" i="11" s="1"/>
  <c r="AW2465" i="11"/>
  <c r="AW2466" i="11" s="1"/>
  <c r="AW2467" i="11"/>
  <c r="AW2468" i="11" s="1"/>
  <c r="AW2469" i="11"/>
  <c r="AW2470" i="11" s="1"/>
  <c r="AW2471" i="11"/>
  <c r="AW2472" i="11" s="1"/>
  <c r="AW2473" i="11"/>
  <c r="AW2474" i="11" s="1"/>
  <c r="AW2475" i="11"/>
  <c r="AW2476" i="11" s="1"/>
  <c r="AW2477" i="11"/>
  <c r="AW2478" i="11" s="1"/>
  <c r="AW2479" i="11"/>
  <c r="AW2480" i="11" s="1"/>
  <c r="AW2481" i="11"/>
  <c r="AW2482" i="11" s="1"/>
  <c r="AW2483" i="11"/>
  <c r="AW2484" i="11" s="1"/>
  <c r="AW2485" i="11"/>
  <c r="AW2486" i="11" s="1"/>
  <c r="AW2487" i="11"/>
  <c r="AW2488" i="11" s="1"/>
  <c r="AW2489" i="11"/>
  <c r="AW2490" i="11" s="1"/>
  <c r="AW2491" i="11"/>
  <c r="AW2492" i="11" s="1"/>
  <c r="AW2493" i="11"/>
  <c r="AW2494" i="11" s="1"/>
  <c r="AW2495" i="11"/>
  <c r="AW2496" i="11" s="1"/>
  <c r="AW2497" i="11"/>
  <c r="AW2498" i="11" s="1"/>
  <c r="AW2499" i="11"/>
  <c r="AW2500" i="11" s="1"/>
  <c r="AW2501" i="11"/>
  <c r="AW2502" i="11" s="1"/>
  <c r="AW2503" i="11"/>
  <c r="AW2504" i="11" s="1"/>
  <c r="AW2505" i="11" s="1"/>
  <c r="AW2506" i="11" s="1"/>
  <c r="AW2507" i="11"/>
  <c r="AW2508" i="11" s="1"/>
  <c r="AW2509" i="11"/>
  <c r="AW2510" i="11" s="1"/>
  <c r="AW2511" i="11" s="1"/>
  <c r="AW2512" i="11" s="1"/>
  <c r="AW2513" i="11"/>
  <c r="AW2514" i="11" s="1"/>
  <c r="AW2515" i="11" s="1"/>
  <c r="AW2516" i="11" s="1"/>
  <c r="AW2517" i="11" s="1"/>
  <c r="AW2518" i="11" s="1"/>
  <c r="AW2519" i="11" s="1"/>
  <c r="AW2520" i="11" s="1"/>
  <c r="AW2521" i="11" s="1"/>
  <c r="AW2522" i="11" s="1"/>
  <c r="AW2523" i="11"/>
  <c r="AW2524" i="11" s="1"/>
  <c r="AW2525" i="11" s="1"/>
  <c r="AW2526" i="11" s="1"/>
  <c r="AW2527" i="11" s="1"/>
  <c r="AW2528" i="11" s="1"/>
  <c r="AW2529" i="11" s="1"/>
  <c r="AW2530" i="11" s="1"/>
  <c r="AW2531" i="11"/>
  <c r="AW2532" i="11" s="1"/>
  <c r="AW2533" i="11"/>
  <c r="AW2534" i="11" s="1"/>
  <c r="AW2535" i="11" s="1"/>
  <c r="AW2536" i="11" s="1"/>
  <c r="AW2537" i="11"/>
  <c r="AW2538" i="11" s="1"/>
  <c r="AW2539" i="11"/>
  <c r="AW2540" i="11" s="1"/>
  <c r="AW2541" i="11" s="1"/>
  <c r="AW2542" i="11" s="1"/>
  <c r="AW2543" i="11"/>
  <c r="AW2544" i="11" s="1"/>
  <c r="AW2545" i="11"/>
  <c r="AW2546" i="11" s="1"/>
  <c r="AW2547" i="11" s="1"/>
  <c r="AW2548" i="11" s="1"/>
  <c r="AW2549" i="11"/>
  <c r="AW2550" i="11" s="1"/>
  <c r="AW2551" i="11"/>
  <c r="AW2552" i="11" s="1"/>
  <c r="AW2553" i="11" s="1"/>
  <c r="AW2554" i="11" s="1"/>
  <c r="AW2555" i="11" s="1"/>
  <c r="AW2556" i="11" s="1"/>
  <c r="AW2557" i="11"/>
  <c r="AW2558" i="11" s="1"/>
  <c r="AW2559" i="11"/>
  <c r="AW2560" i="11" s="1"/>
  <c r="AW2561" i="11" s="1"/>
  <c r="AW2562" i="11" s="1"/>
  <c r="AW2563" i="11"/>
  <c r="AW2564" i="11" s="1"/>
  <c r="AW2565" i="11"/>
  <c r="AW2566" i="11" s="1"/>
  <c r="AW2567" i="11"/>
  <c r="AW2568" i="11" s="1"/>
  <c r="AW2569" i="11"/>
  <c r="AW2570" i="11" s="1"/>
  <c r="AW2571" i="11"/>
  <c r="AW2572" i="11" s="1"/>
  <c r="AW2573" i="11"/>
  <c r="AW2574" i="11" s="1"/>
  <c r="AW2575" i="11"/>
  <c r="AW2576" i="11" s="1"/>
  <c r="AW2577" i="11"/>
  <c r="AW2578" i="11" s="1"/>
  <c r="AW2579" i="11"/>
  <c r="AW2580" i="11" s="1"/>
  <c r="AW2581" i="11"/>
  <c r="AW2582" i="11" s="1"/>
  <c r="AW2583" i="11" s="1"/>
  <c r="AW2584" i="11" s="1"/>
  <c r="AW2585" i="11"/>
  <c r="AW2586" i="11" s="1"/>
  <c r="AW2587" i="11" s="1"/>
  <c r="AW2588" i="11" s="1"/>
  <c r="AW2589" i="11" s="1"/>
  <c r="AW2590" i="11" s="1"/>
  <c r="AW2591" i="11"/>
  <c r="AW2592" i="11" s="1"/>
  <c r="AW2593" i="11" s="1"/>
  <c r="AW2594" i="11" s="1"/>
  <c r="AW2595" i="11" s="1"/>
  <c r="AW2596" i="11" s="1"/>
  <c r="AW2597" i="11" s="1"/>
  <c r="AW2598" i="11" s="1"/>
  <c r="AW2599" i="11" s="1"/>
  <c r="AW2600" i="11" s="1"/>
  <c r="AW2601" i="11" s="1"/>
  <c r="AW2602" i="11" s="1"/>
  <c r="AW2603" i="11" s="1"/>
  <c r="AW2604" i="11" s="1"/>
  <c r="AW2605" i="11"/>
  <c r="AW2606" i="11" s="1"/>
  <c r="AW2607" i="11" s="1"/>
  <c r="AW2608" i="11" s="1"/>
  <c r="AW2609" i="11"/>
  <c r="AW2610" i="11" s="1"/>
  <c r="AW2611" i="11"/>
  <c r="AW2612" i="11" s="1"/>
  <c r="AW2613" i="11"/>
  <c r="AW2614" i="11" s="1"/>
  <c r="AW2615" i="11"/>
  <c r="AW2616" i="11" s="1"/>
  <c r="AW2617" i="11"/>
  <c r="AW2618" i="11" s="1"/>
  <c r="AW2619" i="11"/>
  <c r="AW2620" i="11" s="1"/>
  <c r="AW2621" i="11"/>
  <c r="AW2622" i="11" s="1"/>
  <c r="AW2623" i="11"/>
  <c r="AW2624" i="11" s="1"/>
  <c r="AW2625" i="11"/>
  <c r="AW2626" i="11" s="1"/>
  <c r="AW2627" i="11"/>
  <c r="AW2628" i="11" s="1"/>
  <c r="AW2629" i="11"/>
  <c r="AW2630" i="11" s="1"/>
  <c r="AW2631" i="11"/>
  <c r="AW2632" i="11" s="1"/>
  <c r="AW2633" i="11"/>
  <c r="AW2634" i="11" s="1"/>
  <c r="AW2635" i="11"/>
  <c r="AW2636" i="11" s="1"/>
  <c r="AW2637" i="11"/>
  <c r="AW2638" i="11" s="1"/>
  <c r="AW2639" i="11"/>
  <c r="AW2640" i="11" s="1"/>
  <c r="AW2641" i="11"/>
  <c r="AW2642" i="11" s="1"/>
  <c r="AW2643" i="11"/>
  <c r="AW2644" i="11" s="1"/>
  <c r="AW2645" i="11"/>
  <c r="AW2646" i="11" s="1"/>
  <c r="AW2647" i="11"/>
  <c r="AW2648" i="11" s="1"/>
  <c r="AW2649" i="11"/>
  <c r="AW2650" i="11" s="1"/>
  <c r="AW2651" i="11" s="1"/>
  <c r="AW2652" i="11" s="1"/>
  <c r="AW2653" i="11" s="1"/>
  <c r="AW2654" i="11" s="1"/>
  <c r="AW2655" i="11" s="1"/>
  <c r="AW2656" i="11" s="1"/>
  <c r="AW2657" i="11" s="1"/>
  <c r="AW2658" i="11" s="1"/>
  <c r="AW2659" i="11" s="1"/>
  <c r="AW2660" i="11" s="1"/>
  <c r="AW2661" i="11" s="1"/>
  <c r="AW2662" i="11" s="1"/>
  <c r="AW2663" i="11" s="1"/>
  <c r="AW2664" i="11" s="1"/>
  <c r="AW2665" i="11" s="1"/>
  <c r="AW2666" i="11" s="1"/>
  <c r="AW2667" i="11" s="1"/>
  <c r="AW2668" i="11" s="1"/>
  <c r="AW2669" i="11" s="1"/>
  <c r="AW2670" i="11" s="1"/>
  <c r="AW2671" i="11" s="1"/>
  <c r="AW2672" i="11"/>
  <c r="AW2673" i="11" s="1"/>
  <c r="AW2674" i="11"/>
  <c r="AW2675" i="11" s="1"/>
  <c r="AW2676" i="11"/>
  <c r="AW2677" i="11" s="1"/>
  <c r="AW2678" i="11"/>
  <c r="AW2679" i="11" s="1"/>
  <c r="AW2680" i="11"/>
  <c r="AW2681" i="11" s="1"/>
  <c r="AW2682" i="11"/>
  <c r="AW2683" i="11" s="1"/>
  <c r="AW2684" i="11"/>
  <c r="AW2685" i="11" s="1"/>
  <c r="AW2686" i="11"/>
  <c r="AW2687" i="11" s="1"/>
  <c r="AW2688" i="11"/>
  <c r="AW2689" i="11" s="1"/>
  <c r="AW2690" i="11"/>
  <c r="AW2691" i="11" s="1"/>
  <c r="AW2692" i="11"/>
  <c r="AW2693" i="11" s="1"/>
  <c r="AW2694" i="11"/>
  <c r="AW2695" i="11" s="1"/>
  <c r="AW2696" i="11"/>
  <c r="AW2697" i="11" s="1"/>
  <c r="AW2698" i="11"/>
  <c r="AW2699" i="11" s="1"/>
  <c r="AW2700" i="11"/>
  <c r="AW2701" i="11" s="1"/>
  <c r="AW2702" i="11"/>
  <c r="AW2703" i="11" s="1"/>
  <c r="AW2704" i="11"/>
  <c r="AW2705" i="11" s="1"/>
  <c r="AW2706" i="11"/>
  <c r="AW2707" i="11" s="1"/>
  <c r="AW2708" i="11"/>
  <c r="AW2709" i="11" s="1"/>
  <c r="AW2710" i="11"/>
  <c r="AW2711" i="11" s="1"/>
  <c r="AW2712" i="11"/>
  <c r="AW2713" i="11" s="1"/>
  <c r="AW2714" i="11"/>
  <c r="AW2715" i="11" s="1"/>
  <c r="AW2716" i="11" s="1"/>
  <c r="AW2717" i="11" s="1"/>
  <c r="AW2718" i="11"/>
  <c r="AW2719" i="11" s="1"/>
  <c r="AW2720" i="11"/>
  <c r="AW2721" i="11" s="1"/>
  <c r="AW2722" i="11" s="1"/>
  <c r="AW2723" i="11" s="1"/>
  <c r="AW2724" i="11"/>
  <c r="AW2725" i="11" s="1"/>
  <c r="AW2726" i="11"/>
  <c r="AW2727" i="11" s="1"/>
  <c r="AW2728" i="11" s="1"/>
  <c r="AW2729" i="11" s="1"/>
  <c r="AW2730" i="11" s="1"/>
  <c r="AW2731" i="11" s="1"/>
  <c r="AW2732" i="11"/>
  <c r="AW2733" i="11" s="1"/>
  <c r="AW2734" i="11"/>
  <c r="AW2735" i="11" s="1"/>
  <c r="AW2736" i="11" s="1"/>
  <c r="AW2737" i="11" s="1"/>
  <c r="AW2738" i="11"/>
  <c r="AW2739" i="11" s="1"/>
  <c r="AW2740" i="11"/>
  <c r="AW2741" i="11" s="1"/>
  <c r="AW2742" i="11" s="1"/>
  <c r="AW2743" i="11" s="1"/>
  <c r="AW2744" i="11"/>
  <c r="AW2745" i="11" s="1"/>
  <c r="AW2746" i="11"/>
  <c r="AW2747" i="11" s="1"/>
  <c r="AW2748" i="11" s="1"/>
  <c r="AW2749" i="11" s="1"/>
  <c r="AW2750" i="11"/>
  <c r="AW2751" i="11" s="1"/>
  <c r="AW2752" i="11"/>
  <c r="AW2753" i="11" s="1"/>
  <c r="AW2754" i="11" s="1"/>
  <c r="AW2755" i="11" s="1"/>
  <c r="AW2756" i="11" s="1"/>
  <c r="AW2757" i="11" s="1"/>
  <c r="AW2758" i="11"/>
  <c r="AW2759" i="11" s="1"/>
  <c r="AW2760" i="11"/>
  <c r="AW2761" i="11" s="1"/>
  <c r="AW2762" i="11" s="1"/>
  <c r="AW2763" i="11" s="1"/>
  <c r="AW2764" i="11"/>
  <c r="AW2765" i="11" s="1"/>
  <c r="AW2766" i="11"/>
  <c r="AW2767" i="11" s="1"/>
  <c r="AW2768" i="11"/>
  <c r="AW2769" i="11" s="1"/>
  <c r="AW2770" i="11"/>
  <c r="AW2771" i="11" s="1"/>
  <c r="AW2772" i="11"/>
  <c r="AW2773" i="11" s="1"/>
  <c r="AW2774" i="11"/>
  <c r="AW2775" i="11" s="1"/>
  <c r="AW2776" i="11"/>
  <c r="AW2777" i="11" s="1"/>
  <c r="AW2778" i="11"/>
  <c r="AW2779" i="11" s="1"/>
  <c r="AW2780" i="11"/>
  <c r="AW2781" i="11" s="1"/>
  <c r="AW2782" i="11"/>
  <c r="AW2783" i="11" s="1"/>
  <c r="AW2784" i="11"/>
  <c r="AW2785" i="11" s="1"/>
  <c r="AW2786" i="11"/>
  <c r="AW2787" i="11" s="1"/>
  <c r="AW2788" i="11"/>
  <c r="AW2789" i="11" s="1"/>
  <c r="AW2790" i="11"/>
  <c r="AW2791" i="11" s="1"/>
  <c r="AW2792" i="11" s="1"/>
  <c r="AW2793" i="11" s="1"/>
  <c r="AW2794" i="11"/>
  <c r="AW2795" i="11" s="1"/>
  <c r="AW2796" i="11"/>
  <c r="AW2797" i="11" s="1"/>
  <c r="AW2798" i="11" s="1"/>
  <c r="AW2799" i="11" s="1"/>
  <c r="AW2800" i="11"/>
  <c r="AW2801" i="11" s="1"/>
  <c r="AW2802" i="11"/>
  <c r="AW2803" i="11" s="1"/>
  <c r="AW2804" i="11" s="1"/>
  <c r="AW2805" i="11" s="1"/>
  <c r="AW2806" i="11" s="1"/>
  <c r="AW2807" i="11" s="1"/>
  <c r="AW2808" i="11"/>
  <c r="AW2809" i="11" s="1"/>
  <c r="AW2810" i="11"/>
  <c r="AW2811" i="11" s="1"/>
  <c r="AW2812" i="11" s="1"/>
  <c r="AW2813" i="11" s="1"/>
  <c r="AW2814" i="11"/>
  <c r="AW2815" i="11" s="1"/>
  <c r="AW2816" i="11"/>
  <c r="AW2817" i="11" s="1"/>
  <c r="AW2818" i="11"/>
  <c r="AW2819" i="11" s="1"/>
  <c r="AW2820" i="11"/>
  <c r="AW2821" i="11" s="1"/>
  <c r="AW2822" i="11"/>
  <c r="AW2823" i="11" s="1"/>
  <c r="AW2824" i="11"/>
  <c r="AW2825" i="11" s="1"/>
  <c r="AW2826" i="11"/>
  <c r="AW2827" i="11" s="1"/>
  <c r="AW2828" i="11"/>
  <c r="AW2829" i="11" s="1"/>
  <c r="AW2830" i="11" s="1"/>
  <c r="AW2831" i="11" s="1"/>
  <c r="AW2832" i="11"/>
  <c r="AW2833" i="11" s="1"/>
  <c r="AW2834" i="11" s="1"/>
  <c r="AW2835" i="11" s="1"/>
  <c r="AW2836" i="11" s="1"/>
  <c r="AW2837" i="11" s="1"/>
  <c r="AW2838" i="11"/>
  <c r="AW2839" i="11" s="1"/>
  <c r="AW2852" i="11"/>
  <c r="AW2853" i="11" s="1"/>
  <c r="AW2854" i="11" s="1"/>
  <c r="AW2855" i="11" s="1"/>
  <c r="AW2856" i="11"/>
  <c r="AW2857" i="11" s="1"/>
  <c r="AW2858" i="11"/>
  <c r="AW2859" i="11" s="1"/>
  <c r="AW2860" i="11"/>
  <c r="AW2861" i="11" s="1"/>
  <c r="AW2862" i="11"/>
  <c r="AW2863" i="11" s="1"/>
  <c r="AW2864" i="11"/>
  <c r="AW2865" i="11" s="1"/>
  <c r="AW2866" i="11"/>
  <c r="AW2867" i="11" s="1"/>
  <c r="AW2868" i="11"/>
  <c r="AW2869" i="11" s="1"/>
  <c r="AW2870" i="11"/>
  <c r="AW2871" i="11" s="1"/>
  <c r="AW2872" i="11"/>
  <c r="AW2873" i="11" s="1"/>
  <c r="AW2874" i="11"/>
  <c r="AW2875" i="11" s="1"/>
  <c r="AW2876" i="11"/>
  <c r="AW2877" i="11" s="1"/>
  <c r="AW2878" i="11"/>
  <c r="AW2879" i="11" s="1"/>
  <c r="AW2880" i="11"/>
  <c r="AW2881" i="11" s="1"/>
  <c r="AW2882" i="11"/>
  <c r="AW2883" i="11" s="1"/>
  <c r="AW2884" i="11"/>
  <c r="AW2885" i="11" s="1"/>
  <c r="AW2886" i="11"/>
  <c r="AW2887" i="11" s="1"/>
  <c r="AW2888" i="11"/>
  <c r="AW2889" i="11" s="1"/>
  <c r="AW2890" i="11"/>
  <c r="AW2891" i="11" s="1"/>
  <c r="AW2892" i="11"/>
  <c r="AW2893" i="11" s="1"/>
  <c r="AW2894" i="11"/>
  <c r="AW2895" i="11" s="1"/>
  <c r="AW2896" i="11"/>
  <c r="AW2897" i="11" s="1"/>
  <c r="AW2898" i="11"/>
  <c r="AW2899" i="11" s="1"/>
  <c r="AW2900" i="11"/>
  <c r="AW2901" i="11" s="1"/>
  <c r="AW2902" i="11"/>
  <c r="AW2903" i="11" s="1"/>
  <c r="AW2904" i="11"/>
  <c r="AW2905" i="11" s="1"/>
  <c r="AW2906" i="11"/>
  <c r="AW2907" i="11" s="1"/>
  <c r="AW2908" i="11"/>
  <c r="AW2909" i="11" s="1"/>
  <c r="AW2910" i="11"/>
  <c r="AW2911" i="11" s="1"/>
  <c r="AW2912" i="11"/>
  <c r="AW2913" i="11" s="1"/>
  <c r="AW2914" i="11"/>
  <c r="AW2915" i="11" s="1"/>
  <c r="AW2916" i="11"/>
  <c r="AW2917" i="11" s="1"/>
  <c r="AW2918" i="11"/>
  <c r="AW2919" i="11" s="1"/>
  <c r="AW2920" i="11"/>
  <c r="AW2921" i="11" s="1"/>
  <c r="AW2922" i="11"/>
  <c r="AW2923" i="11" s="1"/>
  <c r="AW2924" i="11"/>
  <c r="AW2925" i="11" s="1"/>
  <c r="AW2926" i="11"/>
  <c r="AW2927" i="11" s="1"/>
  <c r="AW2928" i="11"/>
  <c r="AW2929" i="11" s="1"/>
  <c r="AW2930" i="11"/>
  <c r="AW2931" i="11" s="1"/>
  <c r="AW2932" i="11"/>
  <c r="AW2933" i="11" s="1"/>
  <c r="AW2934" i="11"/>
  <c r="AW2935" i="11" s="1"/>
  <c r="AW2936" i="11"/>
  <c r="AW2937" i="11" s="1"/>
  <c r="AW2938" i="11" s="1"/>
  <c r="AW2939" i="11" s="1"/>
  <c r="AW2940" i="11"/>
  <c r="AW2941" i="11" s="1"/>
  <c r="AW2942" i="11"/>
  <c r="AW2943" i="11" s="1"/>
  <c r="AW2944" i="11" s="1"/>
  <c r="AW2945" i="11" s="1"/>
  <c r="AW2946" i="11"/>
  <c r="AW2947" i="11" s="1"/>
  <c r="AW2948" i="11"/>
  <c r="AW2949" i="11" s="1"/>
  <c r="AW2950" i="11" s="1"/>
  <c r="AW2951" i="11" s="1"/>
  <c r="AW2952" i="11" s="1"/>
  <c r="AW2953" i="11" s="1"/>
  <c r="AW2954" i="11"/>
  <c r="AW2955" i="11" s="1"/>
  <c r="AW2956" i="11"/>
  <c r="AW2957" i="11" s="1"/>
  <c r="AW2958" i="11" s="1"/>
  <c r="AW2959" i="11" s="1"/>
  <c r="AW2960" i="11"/>
  <c r="AW2961" i="11" s="1"/>
  <c r="AW2962" i="11"/>
  <c r="AW2963" i="11" s="1"/>
  <c r="AW2964" i="11"/>
  <c r="AW2965" i="11" s="1"/>
  <c r="AW2966" i="11"/>
  <c r="AW2967" i="11" s="1"/>
  <c r="AW2968" i="11"/>
  <c r="AW2969" i="11" s="1"/>
  <c r="AW2970" i="11"/>
  <c r="AW2971" i="11" s="1"/>
  <c r="AW2972" i="11"/>
  <c r="AW2973" i="11" s="1"/>
  <c r="AW2974" i="11"/>
  <c r="AW2975" i="11" s="1"/>
  <c r="AW2976" i="11"/>
  <c r="AW2977" i="11" s="1"/>
  <c r="AW2978" i="11"/>
  <c r="AW2979" i="11" s="1"/>
  <c r="AW2980" i="11"/>
  <c r="AW2981" i="11" s="1"/>
  <c r="AW2982" i="11"/>
  <c r="AW2983" i="11" s="1"/>
  <c r="AW2984" i="11"/>
  <c r="AW2985" i="11" s="1"/>
  <c r="AW2986" i="11"/>
  <c r="AW2987" i="11" s="1"/>
  <c r="AW2988" i="11"/>
  <c r="AW2989" i="11" s="1"/>
  <c r="AW2990" i="11"/>
  <c r="AW2991" i="11" s="1"/>
  <c r="AW2992" i="11"/>
  <c r="AW2993" i="11" s="1"/>
  <c r="AW2994" i="11"/>
  <c r="AW2995" i="11" s="1"/>
  <c r="AW2996" i="11"/>
  <c r="AW2997" i="11" s="1"/>
  <c r="AW2998" i="11"/>
  <c r="AW2999" i="11" s="1"/>
  <c r="AW3000" i="11"/>
  <c r="AW3001" i="11" s="1"/>
  <c r="AW3002" i="11"/>
  <c r="AW3003" i="11" s="1"/>
  <c r="AW3004" i="11"/>
  <c r="AW3005" i="11" s="1"/>
  <c r="AW3006" i="11"/>
  <c r="AW3007" i="11" s="1"/>
  <c r="AW3008" i="11"/>
  <c r="AW3009" i="11" s="1"/>
  <c r="AW3010" i="11"/>
  <c r="AW3011" i="11" s="1"/>
  <c r="AW3012" i="11"/>
  <c r="AW3013" i="11" s="1"/>
  <c r="AW3014" i="11"/>
  <c r="AW3015" i="11" s="1"/>
  <c r="AW3016" i="11"/>
  <c r="AW3017" i="11" s="1"/>
  <c r="AW3018" i="11"/>
  <c r="AW3019" i="11" s="1"/>
  <c r="AW3020" i="11"/>
  <c r="AW3021" i="11" s="1"/>
  <c r="AW3022" i="11"/>
  <c r="AW3023" i="11" s="1"/>
  <c r="AW3024" i="11"/>
  <c r="AW3025" i="11" s="1"/>
  <c r="AW3026" i="11"/>
  <c r="AW3027" i="11" s="1"/>
  <c r="AW3028" i="11"/>
  <c r="AW3029" i="11" s="1"/>
  <c r="AW3030" i="11"/>
  <c r="AW3031" i="11" s="1"/>
  <c r="AW3032" i="11"/>
  <c r="AW3033" i="11" s="1"/>
  <c r="AW3034" i="11"/>
  <c r="AW3035" i="11" s="1"/>
  <c r="AW3036" i="11"/>
  <c r="AW3037" i="11" s="1"/>
  <c r="AW3038" i="11"/>
  <c r="AW3039" i="11" s="1"/>
  <c r="AW3040" i="11"/>
  <c r="AW3041" i="11" s="1"/>
  <c r="AW3042" i="11" s="1"/>
  <c r="AW3043" i="11" s="1"/>
  <c r="AW3044" i="11" s="1"/>
  <c r="AW3045" i="11" s="1"/>
  <c r="AW3046" i="11" s="1"/>
  <c r="AW3047" i="11" s="1"/>
  <c r="AW3048" i="11" s="1"/>
  <c r="AW3049" i="11" s="1"/>
  <c r="AW3050" i="11" s="1"/>
  <c r="AW3051" i="11" s="1"/>
  <c r="AW3052" i="11" s="1"/>
  <c r="AW3053" i="11" s="1"/>
  <c r="AW3054" i="11" s="1"/>
  <c r="AW3055" i="11" s="1"/>
  <c r="AW3056" i="11" s="1"/>
  <c r="AW3057" i="11" s="1"/>
  <c r="AW3058" i="11" s="1"/>
  <c r="AW3059" i="11" s="1"/>
  <c r="AW3060" i="11" s="1"/>
  <c r="AW3061" i="11" s="1"/>
  <c r="AW3062" i="11" s="1"/>
  <c r="AW3063" i="11"/>
  <c r="AW3064" i="11" s="1"/>
  <c r="AW3065" i="11"/>
  <c r="AW3066" i="11" s="1"/>
  <c r="AW3067" i="11"/>
  <c r="AW3068" i="11" s="1"/>
  <c r="AW3069" i="11"/>
  <c r="AW3070" i="11" s="1"/>
  <c r="AW3071" i="11"/>
  <c r="AW3072" i="11" s="1"/>
  <c r="AW3073" i="11"/>
  <c r="AW3074" i="11" s="1"/>
  <c r="AW3075" i="11"/>
  <c r="AW3076" i="11" s="1"/>
  <c r="AW3077" i="11"/>
  <c r="AW3078" i="11" s="1"/>
  <c r="AW3079" i="11" s="1"/>
  <c r="AW3080" i="11" s="1"/>
  <c r="AW3081" i="11"/>
  <c r="AW3082" i="11" s="1"/>
  <c r="AW3083" i="11"/>
  <c r="AW3084" i="11" s="1"/>
  <c r="AW3085" i="11" s="1"/>
  <c r="AW3086" i="11" s="1"/>
  <c r="AW3087" i="11"/>
  <c r="AW3088" i="11" s="1"/>
  <c r="AW3089" i="11"/>
  <c r="AW3090" i="11" s="1"/>
  <c r="AW3091" i="11" s="1"/>
  <c r="AW3092" i="11" s="1"/>
  <c r="AW3093" i="11" s="1"/>
  <c r="AW3094" i="11" s="1"/>
  <c r="AW3095" i="11"/>
  <c r="AW3096" i="11" s="1"/>
  <c r="AW3097" i="11"/>
  <c r="AW3098" i="11" s="1"/>
  <c r="AW3099" i="11" s="1"/>
  <c r="AW3100" i="11" s="1"/>
  <c r="AW3101" i="11"/>
  <c r="AW3102" i="11" s="1"/>
  <c r="AW3103" i="11"/>
  <c r="AW3104" i="11" s="1"/>
  <c r="AW3105" i="11"/>
  <c r="AW3106" i="11" s="1"/>
  <c r="AW3107" i="11"/>
  <c r="AW3108" i="11" s="1"/>
  <c r="AW3109" i="11"/>
  <c r="AW3110" i="11" s="1"/>
  <c r="AW3111" i="11"/>
  <c r="AW3112" i="11" s="1"/>
  <c r="AW3113" i="11"/>
  <c r="AW3114" i="11" s="1"/>
  <c r="AW3115" i="11"/>
  <c r="AW3116" i="11" s="1"/>
  <c r="AW3117" i="11"/>
  <c r="AW3118" i="11" s="1"/>
  <c r="AW3119" i="11"/>
  <c r="AW3120" i="11" s="1"/>
  <c r="AW3121" i="11"/>
  <c r="AW3122" i="11" s="1"/>
  <c r="AW3123" i="11"/>
  <c r="AW3124" i="11" s="1"/>
  <c r="AW3125" i="11"/>
  <c r="AW3126" i="11" s="1"/>
  <c r="AW3127" i="11"/>
  <c r="AW3128" i="11" s="1"/>
  <c r="AW3129" i="11" s="1"/>
  <c r="AW3130" i="11" s="1"/>
  <c r="AW3131" i="11"/>
  <c r="AW3132" i="11" s="1"/>
  <c r="AW3133" i="11"/>
  <c r="AW3134" i="11" s="1"/>
  <c r="AW3147" i="11"/>
  <c r="AW3148" i="11" s="1"/>
  <c r="AW3149" i="11" s="1"/>
  <c r="AW3150" i="11" s="1"/>
  <c r="AW3151" i="11"/>
  <c r="AW3152" i="11" s="1"/>
  <c r="AW3153" i="11"/>
  <c r="AW3154" i="11" s="1"/>
  <c r="AW3155" i="11"/>
  <c r="AW3156" i="11" s="1"/>
  <c r="AW3157" i="11"/>
  <c r="AW3158" i="11" s="1"/>
  <c r="AW3159" i="11"/>
  <c r="AW3160" i="11" s="1"/>
  <c r="AW3161" i="11"/>
  <c r="AW3162" i="11" s="1"/>
  <c r="AW3163" i="11"/>
  <c r="AW3164" i="11" s="1"/>
  <c r="AW3165" i="11"/>
  <c r="AW3166" i="11" s="1"/>
  <c r="AW3167" i="11"/>
  <c r="AW3168" i="11" s="1"/>
  <c r="AW3169" i="11"/>
  <c r="AW3170" i="11" s="1"/>
  <c r="AW3171" i="11"/>
  <c r="AW3172" i="11" s="1"/>
  <c r="AW3173" i="11"/>
  <c r="AW3174" i="11" s="1"/>
  <c r="AW3175" i="11"/>
  <c r="AW3176" i="11" s="1"/>
  <c r="AW3177" i="11"/>
  <c r="AW3178" i="11" s="1"/>
  <c r="AW3179" i="11"/>
  <c r="AW3180" i="11" s="1"/>
  <c r="AW3181" i="11"/>
  <c r="AW3182" i="11" s="1"/>
  <c r="AW3183" i="11"/>
  <c r="AW3184" i="11" s="1"/>
  <c r="AW3185" i="11"/>
  <c r="AW3186" i="11" s="1"/>
  <c r="AW3187" i="11"/>
  <c r="AW3188" i="11" s="1"/>
  <c r="AW3189" i="11"/>
  <c r="AW3190" i="11" s="1"/>
  <c r="AW3191" i="11"/>
  <c r="AW3192" i="11" s="1"/>
  <c r="AW3193" i="11"/>
  <c r="AW3194" i="11" s="1"/>
  <c r="AW3195" i="11"/>
  <c r="AW3196" i="11" s="1"/>
  <c r="AW3197" i="11"/>
  <c r="AW3198" i="11" s="1"/>
  <c r="AW3199" i="11"/>
  <c r="AW3200" i="11" s="1"/>
  <c r="AW3201" i="11"/>
  <c r="AW3202" i="11" s="1"/>
  <c r="AW3215" i="11"/>
  <c r="AW3216" i="11" s="1"/>
  <c r="AW3217" i="11" s="1"/>
  <c r="AW3218" i="11" s="1"/>
  <c r="AW3219" i="11" s="1"/>
  <c r="AW3220" i="11" s="1"/>
  <c r="AW3221" i="11" s="1"/>
  <c r="AW3222" i="11" s="1"/>
  <c r="AW3223" i="11" s="1"/>
  <c r="AW3228" i="11"/>
  <c r="AW3229" i="11" s="1"/>
  <c r="AW3230" i="11" s="1"/>
  <c r="AW3231" i="11" s="1"/>
  <c r="AW3232" i="11"/>
  <c r="AW3233" i="11" s="1"/>
  <c r="AW3234" i="11"/>
  <c r="AW3235" i="11" s="1"/>
  <c r="AW3236" i="11" s="1"/>
  <c r="AW3237" i="11" s="1"/>
  <c r="AW3238" i="11"/>
  <c r="AW3239" i="11" s="1"/>
  <c r="AW3240" i="11"/>
  <c r="AW3241" i="11" s="1"/>
  <c r="AW3242" i="11" s="1"/>
  <c r="AW3243" i="11" s="1"/>
  <c r="AW3244" i="11" s="1"/>
  <c r="AW3245" i="11" s="1"/>
  <c r="AW3246" i="11"/>
  <c r="AW3247" i="11" s="1"/>
  <c r="AW3248" i="11"/>
  <c r="AW3249" i="11" s="1"/>
  <c r="AW3250" i="11" s="1"/>
  <c r="AW3251" i="11" s="1"/>
  <c r="AW3252" i="11"/>
  <c r="AW3253" i="11" s="1"/>
  <c r="AW3254" i="11"/>
  <c r="AW3255" i="11" s="1"/>
  <c r="AW3256" i="11" s="1"/>
  <c r="AW3257" i="11" s="1"/>
  <c r="AW3258" i="11" s="1"/>
  <c r="AW3259" i="11" s="1"/>
  <c r="AW3260" i="11" s="1"/>
  <c r="AW3261" i="11" s="1"/>
  <c r="AW3262" i="11" s="1"/>
  <c r="AW3263" i="11" s="1"/>
  <c r="AW3264" i="11" s="1"/>
  <c r="AW3265" i="11" s="1"/>
  <c r="AW3266" i="11" s="1"/>
  <c r="AW3267" i="11" s="1"/>
  <c r="AW3268" i="11" s="1"/>
  <c r="AW3269" i="11" s="1"/>
  <c r="AW3270" i="11" s="1"/>
  <c r="AW3271" i="11" s="1"/>
  <c r="AW3272" i="11" s="1"/>
  <c r="AW3273" i="11" s="1"/>
  <c r="AW3274" i="11" s="1"/>
  <c r="AW3275" i="11" s="1"/>
  <c r="AW3276" i="11" s="1"/>
  <c r="AW3277" i="11"/>
  <c r="AW3278" i="11" s="1"/>
  <c r="AW3279" i="11" s="1"/>
  <c r="AW3280" i="11" s="1"/>
  <c r="AW3281" i="11" s="1"/>
  <c r="AW3282" i="11" s="1"/>
  <c r="AW3283" i="11"/>
  <c r="AW3284" i="11" s="1"/>
  <c r="AW3285" i="11"/>
  <c r="AW3286" i="11" s="1"/>
  <c r="AW3287" i="11" s="1"/>
  <c r="AW3288" i="11" s="1"/>
  <c r="AW3289" i="11"/>
  <c r="AW3290" i="11" s="1"/>
  <c r="AW3291" i="11"/>
  <c r="AW3292" i="11" s="1"/>
  <c r="AW3293" i="11" s="1"/>
  <c r="AW3294" i="11" s="1"/>
  <c r="AW3295" i="11"/>
  <c r="AW3296" i="11" s="1"/>
  <c r="AW3297" i="11"/>
  <c r="AW3298" i="11" s="1"/>
  <c r="AW3299" i="11" s="1"/>
  <c r="AW3300" i="11" s="1"/>
  <c r="AW3301" i="11" s="1"/>
  <c r="AW3302" i="11" s="1"/>
  <c r="AW3303" i="11" s="1"/>
  <c r="AW3304" i="11" s="1"/>
  <c r="AW3305" i="11"/>
  <c r="AW3306" i="11" s="1"/>
  <c r="AW3307" i="11" s="1"/>
  <c r="AW3308" i="11" s="1"/>
  <c r="AW3309" i="11" s="1"/>
  <c r="AW3310" i="11" s="1"/>
  <c r="AW3311" i="11"/>
  <c r="AW3312" i="11" s="1"/>
  <c r="AW3313" i="11" s="1"/>
  <c r="AW3314" i="11" s="1"/>
  <c r="AW3315" i="11" s="1"/>
  <c r="AW3316" i="11" s="1"/>
  <c r="AW3317" i="11" s="1"/>
  <c r="AW3318" i="11" s="1"/>
  <c r="AW3319" i="11" s="1"/>
  <c r="AW3320" i="11" s="1"/>
  <c r="AW3321" i="11" s="1"/>
  <c r="AW3322" i="11" s="1"/>
  <c r="AW3323" i="11" s="1"/>
  <c r="AW3324" i="11" s="1"/>
  <c r="AW3325" i="11" s="1"/>
  <c r="AW3326" i="11" s="1"/>
  <c r="AW3327" i="11" s="1"/>
  <c r="AW3328" i="11" s="1"/>
  <c r="AW3329" i="11" s="1"/>
  <c r="AW3330" i="11" s="1"/>
  <c r="AW3331" i="11" s="1"/>
  <c r="AW3332" i="11" s="1"/>
  <c r="AW3333" i="11" s="1"/>
  <c r="AW3334" i="11" s="1"/>
  <c r="AW3335" i="11" s="1"/>
  <c r="AW3336" i="11" s="1"/>
  <c r="AW3337" i="11" s="1"/>
  <c r="AW3338" i="11" s="1"/>
  <c r="AW3339" i="11" s="1"/>
  <c r="AW3340" i="11" s="1"/>
  <c r="AW3341" i="11" s="1"/>
  <c r="AW3342" i="11" s="1"/>
  <c r="AW3343" i="11" s="1"/>
  <c r="AW3344" i="11" s="1"/>
  <c r="AW3345" i="11" s="1"/>
  <c r="AW3346" i="11" s="1"/>
  <c r="AW3347" i="11" s="1"/>
  <c r="AW3348" i="11" s="1"/>
  <c r="AW3349" i="11" s="1"/>
  <c r="AW3350" i="11" s="1"/>
  <c r="AW3351" i="11" s="1"/>
  <c r="AW3352" i="11" s="1"/>
  <c r="AW3353" i="11" s="1"/>
  <c r="AW3354" i="11" s="1"/>
  <c r="AW3355" i="11" s="1"/>
  <c r="AW3356" i="11" s="1"/>
  <c r="AW3357" i="11" s="1"/>
  <c r="AW3358" i="11" s="1"/>
  <c r="AW3359" i="11" s="1"/>
  <c r="AW3360" i="11" s="1"/>
  <c r="AW3361" i="11" s="1"/>
  <c r="AW3362" i="11" s="1"/>
  <c r="AW3363" i="11" s="1"/>
  <c r="AW3364" i="11" s="1"/>
  <c r="AW3365" i="11" s="1"/>
  <c r="AW3366" i="11" s="1"/>
  <c r="AW3367" i="11"/>
  <c r="AW3368" i="11" s="1"/>
  <c r="AW3369" i="11" s="1"/>
  <c r="AW3370" i="11" s="1"/>
  <c r="AW3371" i="11"/>
  <c r="AW3372" i="11" s="1"/>
  <c r="AW3373" i="11" s="1"/>
  <c r="AW3374" i="11" s="1"/>
  <c r="AW3375" i="11" s="1"/>
  <c r="AW3376" i="11" s="1"/>
  <c r="AW3377" i="11"/>
  <c r="AW3378" i="11" s="1"/>
  <c r="AW3379" i="11" s="1"/>
  <c r="AW3380" i="11" s="1"/>
  <c r="AW3381" i="11"/>
  <c r="AW3382" i="11" s="1"/>
  <c r="AW3383" i="11"/>
  <c r="AW3384" i="11" s="1"/>
  <c r="AW3385" i="11"/>
  <c r="AW3386" i="11" s="1"/>
  <c r="AW3387" i="11"/>
  <c r="AW3388" i="11" s="1"/>
  <c r="AW3389" i="11" s="1"/>
  <c r="AW3390" i="11" s="1"/>
  <c r="AW3391" i="11" s="1"/>
  <c r="AW3392" i="11" s="1"/>
  <c r="AW3393" i="11" s="1"/>
  <c r="AW3394" i="11" s="1"/>
  <c r="AW3395" i="11" s="1"/>
  <c r="AW3396" i="11" s="1"/>
  <c r="AW3397" i="11" s="1"/>
  <c r="AW3398" i="11" s="1"/>
  <c r="AW3399" i="11" s="1"/>
  <c r="AW3400" i="11" s="1"/>
  <c r="AW3401" i="11" s="1"/>
  <c r="AW3402" i="11" s="1"/>
  <c r="AW3403" i="11" s="1"/>
  <c r="AW3404" i="11" s="1"/>
  <c r="AW3405" i="11" s="1"/>
  <c r="AW3406" i="11" s="1"/>
  <c r="AW3407" i="11" s="1"/>
  <c r="AW3408" i="11" s="1"/>
  <c r="AW3409" i="11" s="1"/>
  <c r="AW3410" i="11" s="1"/>
  <c r="AW3411" i="11" s="1"/>
  <c r="AW3412" i="11" s="1"/>
  <c r="AW3413" i="11" s="1"/>
  <c r="AW3414" i="11" s="1"/>
  <c r="AW3415" i="11" s="1"/>
  <c r="AW3416" i="11"/>
  <c r="AW3417" i="11" s="1"/>
  <c r="AW3418" i="11"/>
  <c r="AW3419" i="11" s="1"/>
  <c r="AW3420" i="11"/>
  <c r="AW3421" i="11" s="1"/>
  <c r="AW3422" i="11"/>
  <c r="AW3423" i="11" s="1"/>
  <c r="AW3424" i="11"/>
  <c r="AW3425" i="11" s="1"/>
  <c r="AW3426" i="11"/>
  <c r="AW3427" i="11" s="1"/>
  <c r="AW3428" i="11"/>
  <c r="AW3429" i="11" s="1"/>
  <c r="AW3430" i="11"/>
  <c r="AW3431" i="11" s="1"/>
  <c r="AW3432" i="11"/>
  <c r="AW3433" i="11" s="1"/>
  <c r="AW3434" i="11"/>
  <c r="AW3435" i="11" s="1"/>
  <c r="AW3436" i="11"/>
  <c r="AW3437" i="11" s="1"/>
  <c r="AW3438" i="11"/>
  <c r="AW3439" i="11" s="1"/>
  <c r="AW3440" i="11"/>
  <c r="AW3441" i="11" s="1"/>
  <c r="AW3442" i="11"/>
  <c r="AW3443" i="11" s="1"/>
  <c r="AW3444" i="11"/>
  <c r="AW3445" i="11" s="1"/>
  <c r="AW3446" i="11"/>
  <c r="AW3447" i="11" s="1"/>
  <c r="AW3448" i="11" s="1"/>
  <c r="AW3449" i="11" s="1"/>
  <c r="AW3450" i="11" s="1"/>
  <c r="AW3451" i="11" s="1"/>
  <c r="AW3452" i="11" s="1"/>
  <c r="AW3453" i="11" s="1"/>
  <c r="AW3454" i="11" s="1"/>
  <c r="AW3455" i="11" s="1"/>
  <c r="AW3456" i="11" s="1"/>
  <c r="AW3457" i="11" s="1"/>
  <c r="AW3458" i="11" s="1"/>
  <c r="AW3459" i="11" s="1"/>
  <c r="AW3460" i="11" s="1"/>
  <c r="AW3461" i="11" s="1"/>
  <c r="AW3462" i="11" s="1"/>
  <c r="AW3463" i="11" s="1"/>
  <c r="AW3464" i="11" s="1"/>
  <c r="AW3465" i="11" s="1"/>
  <c r="AW3466" i="11" s="1"/>
  <c r="AW3467" i="11" s="1"/>
  <c r="AW3468" i="11" s="1"/>
  <c r="AW3469" i="11" s="1"/>
  <c r="AW3470" i="11" s="1"/>
  <c r="AW3471" i="11" s="1"/>
  <c r="AW3472" i="11" s="1"/>
  <c r="AW3473" i="11" s="1"/>
  <c r="AW3474" i="11" s="1"/>
  <c r="AW3475" i="11" s="1"/>
  <c r="AW3476" i="11" s="1"/>
  <c r="AW3477" i="11" s="1"/>
  <c r="AW3478" i="11" s="1"/>
  <c r="AW3479" i="11" s="1"/>
  <c r="AW3480" i="11" s="1"/>
  <c r="AW3481" i="11" s="1"/>
  <c r="AW3482" i="11" s="1"/>
  <c r="AW3483" i="11" s="1"/>
  <c r="AW3484" i="11" s="1"/>
  <c r="AW3485" i="11" s="1"/>
  <c r="AW3486" i="11" s="1"/>
  <c r="AW3487" i="11" s="1"/>
  <c r="AW3488" i="11" s="1"/>
  <c r="AW3489" i="11" s="1"/>
  <c r="AW3490" i="11" s="1"/>
  <c r="AW3491" i="11" s="1"/>
  <c r="AW3492" i="11" s="1"/>
  <c r="AW3493" i="11" s="1"/>
  <c r="AW3494" i="11" s="1"/>
  <c r="AW3495" i="11" s="1"/>
  <c r="AW3496" i="11" s="1"/>
  <c r="CH233" i="9" l="1"/>
  <c r="CH234" i="9" s="1"/>
  <c r="CH235" i="9"/>
  <c r="CH236" i="9" s="1"/>
  <c r="CH237" i="9"/>
  <c r="CH238" i="9" s="1"/>
  <c r="CH239" i="9"/>
  <c r="CH240" i="9" s="1"/>
  <c r="CH241" i="9"/>
  <c r="CH242" i="9" s="1"/>
  <c r="CH243" i="9"/>
  <c r="CH244" i="9" s="1"/>
  <c r="CH245" i="9"/>
  <c r="CH246" i="9" s="1"/>
  <c r="CH247" i="9"/>
  <c r="CH248" i="9" s="1"/>
  <c r="CH249" i="9"/>
  <c r="CH250" i="9" s="1"/>
  <c r="CH251" i="9"/>
  <c r="CH252" i="9" s="1"/>
  <c r="CH253" i="9"/>
  <c r="CH254" i="9" s="1"/>
  <c r="CH255" i="9"/>
  <c r="CH256" i="9" s="1"/>
  <c r="CH257" i="9"/>
  <c r="CH258" i="9" s="1"/>
  <c r="CH259" i="9"/>
  <c r="CH260" i="9" s="1"/>
  <c r="CH261" i="9"/>
  <c r="CH262" i="9" s="1"/>
  <c r="CH263" i="9"/>
  <c r="CH264" i="9" s="1"/>
  <c r="CH265" i="9"/>
  <c r="CH266" i="9" s="1"/>
  <c r="CH267" i="9"/>
  <c r="CH268" i="9" s="1"/>
  <c r="CH269" i="9"/>
  <c r="CH270" i="9" s="1"/>
  <c r="CH271" i="9"/>
  <c r="CH272" i="9" s="1"/>
  <c r="CH273" i="9"/>
  <c r="CH274" i="9" s="1"/>
  <c r="CH275" i="9"/>
  <c r="CH276" i="9" s="1"/>
  <c r="CH277" i="9" s="1"/>
  <c r="CH278" i="9"/>
  <c r="CH279" i="9" s="1"/>
  <c r="CH280" i="9"/>
  <c r="CH281" i="9" s="1"/>
  <c r="CH282" i="9"/>
  <c r="CH283" i="9" s="1"/>
  <c r="CH284" i="9"/>
  <c r="CH285" i="9" s="1"/>
  <c r="CH286" i="9"/>
  <c r="CH287" i="9" s="1"/>
  <c r="CH288" i="9"/>
  <c r="CH289" i="9" s="1"/>
  <c r="CH290" i="9"/>
  <c r="CH291" i="9" s="1"/>
  <c r="CH292" i="9"/>
  <c r="CH293" i="9" s="1"/>
  <c r="CH294" i="9"/>
  <c r="CH295" i="9" s="1"/>
  <c r="CH296" i="9"/>
  <c r="CH297" i="9" s="1"/>
  <c r="CH298" i="9" s="1"/>
  <c r="CH299" i="9"/>
  <c r="CD6" i="9"/>
  <c r="CH300" i="9" l="1"/>
  <c r="CD180" i="9"/>
  <c r="CD315" i="9"/>
  <c r="CD188" i="9"/>
  <c r="CD314" i="9"/>
  <c r="CD398" i="9"/>
  <c r="CD185" i="9"/>
  <c r="CD186" i="9"/>
  <c r="CD200" i="9"/>
  <c r="CD182" i="9"/>
  <c r="CD215" i="9"/>
  <c r="CD396" i="9" l="1"/>
  <c r="CD192" i="9"/>
  <c r="CD195" i="9"/>
  <c r="CD190" i="9"/>
  <c r="CD197" i="9"/>
  <c r="CD206" i="9"/>
  <c r="CD209" i="9"/>
  <c r="CD211" i="9"/>
  <c r="CD391" i="9"/>
  <c r="CD189" i="9"/>
  <c r="CD397" i="9"/>
  <c r="CD187" i="9"/>
  <c r="CD219" i="9"/>
  <c r="CD399" i="9"/>
  <c r="CD217" i="9"/>
  <c r="CD392" i="9"/>
  <c r="CD389" i="9"/>
  <c r="CD311" i="9"/>
  <c r="CD213" i="9"/>
  <c r="CD207" i="9"/>
  <c r="CD216" i="9"/>
  <c r="CD184" i="9"/>
  <c r="CD205" i="9"/>
  <c r="CD183" i="9"/>
  <c r="CD310" i="9"/>
  <c r="CD393" i="9"/>
  <c r="CD222" i="9"/>
  <c r="CD203" i="9"/>
  <c r="CD198" i="9"/>
  <c r="CD199" i="9"/>
  <c r="CD395" i="9"/>
  <c r="CD388" i="9"/>
  <c r="CD202" i="9"/>
  <c r="CD194" i="9"/>
  <c r="CD313" i="9"/>
  <c r="CD394" i="9"/>
  <c r="CD309" i="9"/>
  <c r="CD390" i="9"/>
  <c r="CD221" i="9"/>
  <c r="CD220" i="9"/>
  <c r="CD204" i="9"/>
  <c r="CD193" i="9"/>
  <c r="CD223" i="9"/>
  <c r="CD196" i="9"/>
  <c r="CD308" i="9"/>
  <c r="CD312" i="9"/>
  <c r="CD214" i="9"/>
  <c r="CD181" i="9"/>
  <c r="CD218" i="9"/>
  <c r="CD191" i="9"/>
  <c r="CD210" i="9"/>
  <c r="CD212" i="9"/>
  <c r="CD208" i="9"/>
  <c r="CD105" i="9" l="1"/>
  <c r="CD142" i="9"/>
  <c r="CD556" i="9"/>
  <c r="CD260" i="9"/>
  <c r="CD486" i="9"/>
  <c r="CD241" i="9"/>
  <c r="CD229" i="9"/>
  <c r="CD525" i="9"/>
  <c r="CD174" i="9"/>
  <c r="CD377" i="9"/>
  <c r="CD479" i="9"/>
  <c r="CD300" i="9"/>
  <c r="CD407" i="9"/>
  <c r="CD345" i="9"/>
  <c r="CD15" i="9"/>
  <c r="CD324" i="9"/>
  <c r="CD128" i="9"/>
  <c r="CD509" i="9"/>
  <c r="CD551" i="9"/>
  <c r="CD226" i="9"/>
  <c r="CD155" i="9"/>
  <c r="CD254" i="9"/>
  <c r="CD364" i="9"/>
  <c r="CD274" i="9"/>
  <c r="CD488" i="9"/>
  <c r="CD561" i="9"/>
  <c r="CD353" i="9"/>
  <c r="CD262" i="9"/>
  <c r="CD519" i="9"/>
  <c r="CD555" i="9"/>
  <c r="CD170" i="9"/>
  <c r="CD559" i="9"/>
  <c r="CD431" i="9"/>
  <c r="CD477" i="9"/>
  <c r="CD574" i="9"/>
  <c r="CD459" i="9"/>
  <c r="CD349" i="9"/>
  <c r="CD330" i="9"/>
  <c r="CD576" i="9"/>
  <c r="CD304" i="9"/>
  <c r="CD539" i="9"/>
  <c r="CD135" i="9"/>
  <c r="CD240" i="9"/>
  <c r="CD264" i="9"/>
  <c r="CD243" i="9"/>
  <c r="CD154" i="9"/>
  <c r="CD523" i="9"/>
  <c r="CD456" i="9"/>
  <c r="CD513" i="9"/>
  <c r="CD175" i="9"/>
  <c r="CD383" i="9"/>
  <c r="CD413" i="9"/>
  <c r="CD176" i="9"/>
  <c r="CD602" i="9"/>
  <c r="CD480" i="9"/>
  <c r="CD164" i="9"/>
  <c r="CD119" i="9"/>
  <c r="CD344" i="9"/>
  <c r="CD367" i="9"/>
  <c r="CD447" i="9"/>
  <c r="CD482" i="9"/>
  <c r="CD375" i="9"/>
  <c r="CD286" i="9"/>
  <c r="CD497" i="9"/>
  <c r="CD468" i="9"/>
  <c r="CD421" i="9"/>
  <c r="CD457" i="9"/>
  <c r="CD289" i="9"/>
  <c r="CD453" i="9"/>
  <c r="CD62" i="9"/>
  <c r="CD348" i="9"/>
  <c r="CD462" i="9"/>
  <c r="CD61" i="9"/>
  <c r="CD103" i="9"/>
  <c r="CD374" i="9"/>
  <c r="CD342" i="9"/>
  <c r="CD246" i="9"/>
  <c r="CD269" i="9"/>
  <c r="CD428" i="9"/>
  <c r="CD487" i="9"/>
  <c r="CD594" i="9"/>
  <c r="CD552" i="9"/>
  <c r="CD156" i="9"/>
  <c r="CD429" i="9"/>
  <c r="CD419" i="9"/>
  <c r="CD411" i="9"/>
  <c r="CD145" i="9"/>
  <c r="CD414" i="9"/>
  <c r="CD494" i="9"/>
  <c r="CD435" i="9"/>
  <c r="CD503" i="9"/>
  <c r="CD531" i="9"/>
  <c r="CD616" i="9"/>
  <c r="CD575" i="9"/>
  <c r="CD27" i="9"/>
  <c r="CD444" i="9"/>
  <c r="CD146" i="9"/>
  <c r="CD569" i="9"/>
  <c r="CD527" i="9"/>
  <c r="CD287" i="9"/>
  <c r="CD410" i="9"/>
  <c r="CD305" i="9"/>
  <c r="CD98" i="9"/>
  <c r="CD48" i="9"/>
  <c r="CD427" i="9"/>
  <c r="CD153" i="9"/>
  <c r="CD52" i="9"/>
  <c r="CD341" i="9"/>
  <c r="CD20" i="9"/>
  <c r="CD359" i="9"/>
  <c r="CD598" i="9"/>
  <c r="CD340" i="9"/>
  <c r="CD74" i="9"/>
  <c r="CD334" i="9"/>
  <c r="CD320" i="9"/>
  <c r="CD587" i="9"/>
  <c r="CD80" i="9"/>
  <c r="CD130" i="9"/>
  <c r="CD32" i="9"/>
  <c r="CD134" i="9"/>
  <c r="CD123" i="9"/>
  <c r="CD346" i="9"/>
  <c r="CD369" i="9"/>
  <c r="CD511" i="9"/>
  <c r="CD476" i="9"/>
  <c r="CD247" i="9"/>
  <c r="CD474" i="9"/>
  <c r="CD245" i="9"/>
  <c r="CD585" i="9"/>
  <c r="CD489" i="9"/>
  <c r="CD296" i="9"/>
  <c r="CD234" i="9"/>
  <c r="CD493" i="9"/>
  <c r="CD160" i="9"/>
  <c r="CD484" i="9"/>
  <c r="CD97" i="9"/>
  <c r="CD412" i="9"/>
  <c r="CD578" i="9"/>
  <c r="CD547" i="9"/>
  <c r="CD59" i="9"/>
  <c r="CD31" i="9"/>
  <c r="CD110" i="9"/>
  <c r="CD18" i="9"/>
  <c r="CD29" i="9"/>
  <c r="CD403" i="9"/>
  <c r="CD607" i="9"/>
  <c r="CD517" i="9"/>
  <c r="CD167" i="9"/>
  <c r="CD53" i="9"/>
  <c r="CD422" i="9"/>
  <c r="CD338" i="9"/>
  <c r="CD423" i="9"/>
  <c r="CD386" i="9"/>
  <c r="CD516" i="9"/>
  <c r="CD532" i="9"/>
  <c r="CD163" i="9"/>
  <c r="CD252" i="9"/>
  <c r="CD337" i="9"/>
  <c r="CD492" i="9"/>
  <c r="CD151" i="9"/>
  <c r="CD292" i="9"/>
  <c r="CD362" i="9"/>
  <c r="CD546" i="9"/>
  <c r="CD84" i="9"/>
  <c r="CD591" i="9"/>
  <c r="CD595" i="9"/>
  <c r="CD408" i="9"/>
  <c r="CD250" i="9"/>
  <c r="CD51" i="9"/>
  <c r="CD77" i="9"/>
  <c r="CD244" i="9"/>
  <c r="CD550" i="9"/>
  <c r="CD50" i="9"/>
  <c r="CD331" i="9"/>
  <c r="CD577" i="9"/>
  <c r="CD95" i="9"/>
  <c r="CD405" i="9"/>
  <c r="CD93" i="9"/>
  <c r="CD355" i="9"/>
  <c r="CD41" i="9"/>
  <c r="CD321" i="9"/>
  <c r="CD67" i="9"/>
  <c r="CD35" i="9"/>
  <c r="CD436" i="9"/>
  <c r="CD268" i="9"/>
  <c r="CD558" i="9"/>
  <c r="CD610" i="9"/>
  <c r="CD323" i="9"/>
  <c r="CD122" i="9"/>
  <c r="CD483" i="9"/>
  <c r="CD371" i="9"/>
  <c r="CD512" i="9"/>
  <c r="CD620" i="9"/>
  <c r="CD357" i="9"/>
  <c r="CD437" i="9"/>
  <c r="CD272" i="9"/>
  <c r="CD360" i="9"/>
  <c r="CD582" i="9"/>
  <c r="CD258" i="9"/>
  <c r="CD276" i="9"/>
  <c r="CD514" i="9"/>
  <c r="CD373" i="9"/>
  <c r="CD263" i="9"/>
  <c r="CD171" i="9"/>
  <c r="CD467" i="9"/>
  <c r="CD347" i="9"/>
  <c r="CD55" i="9"/>
  <c r="CD90" i="9"/>
  <c r="CD166" i="9"/>
  <c r="CD261" i="9"/>
  <c r="CD358" i="9"/>
  <c r="CD127" i="9"/>
  <c r="CD478" i="9"/>
  <c r="CD528" i="9"/>
  <c r="CD281" i="9"/>
  <c r="CD508" i="9"/>
  <c r="CD158" i="9"/>
  <c r="CD126" i="9"/>
  <c r="CD455" i="9"/>
  <c r="CD333" i="9"/>
  <c r="CD565" i="9"/>
  <c r="CD294" i="9"/>
  <c r="CD66" i="9"/>
  <c r="CD102" i="9"/>
  <c r="CD567" i="9"/>
  <c r="CD249" i="9"/>
  <c r="CD443" i="9"/>
  <c r="CD79" i="9"/>
  <c r="CD544" i="9"/>
  <c r="CD378" i="9"/>
  <c r="CD589" i="9"/>
  <c r="CD236" i="9"/>
  <c r="CD613" i="9"/>
  <c r="CD568" i="9"/>
  <c r="CD352" i="9"/>
  <c r="CD150" i="9"/>
  <c r="CD273" i="9"/>
  <c r="CD502" i="9"/>
  <c r="CD100" i="9"/>
  <c r="CD566" i="9"/>
  <c r="CD605" i="9"/>
  <c r="CD370" i="9"/>
  <c r="CD54" i="9"/>
  <c r="CD464" i="9"/>
  <c r="CD491" i="9"/>
  <c r="CD530" i="9"/>
  <c r="CD572" i="9"/>
  <c r="CD418" i="9"/>
  <c r="CD251" i="9"/>
  <c r="CD116" i="9"/>
  <c r="CD168" i="9"/>
  <c r="CD469" i="9"/>
  <c r="CD299" i="9" l="1"/>
  <c r="CD361" i="9"/>
  <c r="CD137" i="9"/>
  <c r="CD65" i="9"/>
  <c r="CD588" i="9"/>
  <c r="CD606" i="9"/>
  <c r="CD43" i="9"/>
  <c r="CD40" i="9"/>
  <c r="CD579" i="9"/>
  <c r="CD253" i="9"/>
  <c r="CD441" i="9"/>
  <c r="CD25" i="9"/>
  <c r="CD501" i="9"/>
  <c r="CD94" i="9"/>
  <c r="CD121" i="9"/>
  <c r="CD141" i="9"/>
  <c r="CD13" i="9"/>
  <c r="CD101" i="9"/>
  <c r="CD68" i="9"/>
  <c r="CD401" i="9"/>
  <c r="CD581" i="9"/>
  <c r="CD533" i="9"/>
  <c r="CD417" i="9"/>
  <c r="CD365" i="9"/>
  <c r="CD522" i="9"/>
  <c r="CD460" i="9"/>
  <c r="CD23" i="9"/>
  <c r="CD520" i="9"/>
  <c r="CD593" i="9"/>
  <c r="CD265" i="9"/>
  <c r="CD239" i="9"/>
  <c r="CD88" i="9"/>
  <c r="CD526" i="9"/>
  <c r="CD57" i="9"/>
  <c r="CD543" i="9"/>
  <c r="CD366" i="9"/>
  <c r="CD293" i="9"/>
  <c r="CD580" i="9"/>
  <c r="CD542" i="9"/>
  <c r="CD504" i="9"/>
  <c r="CD295" i="9"/>
  <c r="CD376" i="9"/>
  <c r="CD336" i="9"/>
  <c r="CD270" i="9"/>
  <c r="CD242" i="9"/>
  <c r="CD73" i="9"/>
  <c r="CD96" i="9"/>
  <c r="CD385" i="9"/>
  <c r="CD368" i="9"/>
  <c r="CD17" i="9"/>
  <c r="CD47" i="9"/>
  <c r="CD498" i="9"/>
  <c r="CD524" i="9"/>
  <c r="CD21" i="9"/>
  <c r="CD238" i="9"/>
  <c r="CD36" i="9"/>
  <c r="CD424" i="9"/>
  <c r="CD470" i="9"/>
  <c r="CD22" i="9"/>
  <c r="CD449" i="9"/>
  <c r="CD404" i="9"/>
  <c r="CD440" i="9"/>
  <c r="CD372" i="9"/>
  <c r="CD548" i="9"/>
  <c r="CD297" i="9"/>
  <c r="CD162" i="9"/>
  <c r="CD332" i="9"/>
  <c r="CD257" i="9"/>
  <c r="CD485" i="9"/>
  <c r="CD505" i="9"/>
  <c r="CD472" i="9"/>
  <c r="CD125" i="9"/>
  <c r="CD570" i="9"/>
  <c r="CD285" i="9"/>
  <c r="CD113" i="9"/>
  <c r="CD271" i="9"/>
  <c r="CD81" i="9"/>
  <c r="CD173" i="9"/>
  <c r="CD560" i="9"/>
  <c r="CD454" i="9"/>
  <c r="CD433" i="9"/>
  <c r="CD267" i="9"/>
  <c r="CD536" i="9"/>
  <c r="CD157" i="9"/>
  <c r="CD351" i="9"/>
  <c r="CD42" i="9"/>
  <c r="CD26" i="9"/>
  <c r="CD499" i="9"/>
  <c r="CD275" i="9"/>
  <c r="CD596" i="9"/>
  <c r="CD24" i="9"/>
  <c r="CD452" i="9"/>
  <c r="CD506" i="9"/>
  <c r="CD78" i="9"/>
  <c r="CD233" i="9"/>
  <c r="CD177" i="9"/>
  <c r="CD149" i="9"/>
  <c r="CD148" i="9"/>
  <c r="CD143" i="9"/>
  <c r="CD49" i="9"/>
  <c r="CD537" i="9"/>
  <c r="CD553" i="9"/>
  <c r="CD82" i="9"/>
  <c r="CD248" i="9"/>
  <c r="CD83" i="9"/>
  <c r="CD471" i="9"/>
  <c r="CD490" i="9"/>
  <c r="CD379" i="9"/>
  <c r="CD584" i="9"/>
  <c r="CD481" i="9"/>
  <c r="CD282" i="9"/>
  <c r="CD235" i="9"/>
  <c r="CD161" i="9"/>
  <c r="CD432" i="9"/>
  <c r="CD255" i="9"/>
  <c r="CD540" i="9"/>
  <c r="CD291" i="9"/>
  <c r="CD64" i="9"/>
  <c r="CD466" i="9"/>
  <c r="CD529" i="9"/>
  <c r="CD615" i="9"/>
  <c r="CD284" i="9"/>
  <c r="CD430" i="9"/>
  <c r="CD363" i="9"/>
  <c r="CD350" i="9"/>
  <c r="CD85" i="9"/>
  <c r="CD534" i="9"/>
  <c r="CD159" i="9"/>
  <c r="CD426" i="9"/>
  <c r="CD58" i="9"/>
  <c r="CD473" i="9"/>
  <c r="CD445" i="9"/>
  <c r="CD438" i="9"/>
  <c r="CD9" i="9"/>
  <c r="CD461" i="9"/>
  <c r="CD601" i="9"/>
  <c r="CD434" i="9"/>
  <c r="CD600" i="9"/>
  <c r="CD557" i="9"/>
  <c r="CD535" i="9"/>
  <c r="CD129" i="9"/>
  <c r="CD140" i="9"/>
  <c r="CD409" i="9"/>
  <c r="CD339" i="9"/>
  <c r="CD619" i="9"/>
  <c r="CD39" i="9"/>
  <c r="CD115" i="9"/>
  <c r="CD583" i="9"/>
  <c r="CD30" i="9"/>
  <c r="CD538" i="9"/>
  <c r="CD554" i="9"/>
  <c r="CD266" i="9"/>
  <c r="CD463" i="9"/>
  <c r="CD500" i="9"/>
  <c r="CD609" i="9"/>
  <c r="CD16" i="9"/>
  <c r="CD19" i="9"/>
  <c r="CD10" i="9"/>
  <c r="CD604" i="9"/>
  <c r="CD28" i="9"/>
  <c r="CD614" i="9"/>
  <c r="CD279" i="9"/>
  <c r="CD496" i="9"/>
  <c r="CD450" i="9"/>
  <c r="CD60" i="9"/>
  <c r="CD132" i="9"/>
  <c r="CD172" i="9"/>
  <c r="CD70" i="9"/>
  <c r="CD138" i="9"/>
  <c r="CD89" i="9"/>
  <c r="CD571" i="9"/>
  <c r="CD144" i="9"/>
  <c r="CD465" i="9"/>
  <c r="CD329" i="9"/>
  <c r="CD327" i="9"/>
  <c r="CD599" i="9"/>
  <c r="CD415" i="9"/>
  <c r="CD106" i="9"/>
  <c r="CD63" i="9"/>
  <c r="CD608" i="9"/>
  <c r="CD230" i="9"/>
  <c r="CD448" i="9"/>
  <c r="CD290" i="9"/>
  <c r="CD109" i="9"/>
  <c r="CD416" i="9"/>
  <c r="CD131" i="9"/>
  <c r="CD402" i="9"/>
  <c r="CD38" i="9"/>
  <c r="CD280" i="9"/>
  <c r="CD562" i="9"/>
  <c r="CD495" i="9"/>
  <c r="CD37" i="9"/>
  <c r="CD259" i="9"/>
  <c r="CD510" i="9"/>
  <c r="CD425" i="9"/>
  <c r="CD104" i="9"/>
  <c r="CD69" i="9"/>
  <c r="CD507" i="9"/>
  <c r="CD458" i="9"/>
  <c r="CD420" i="9"/>
  <c r="CD283" i="9"/>
  <c r="CD597" i="9"/>
  <c r="CD169" i="9"/>
  <c r="CD328" i="9"/>
  <c r="CD343" i="9"/>
  <c r="CD521" i="9"/>
  <c r="CD592" i="9"/>
  <c r="CD564" i="9"/>
  <c r="CD518" i="9"/>
  <c r="CD446" i="9"/>
  <c r="CD381" i="9"/>
  <c r="CD87" i="9"/>
  <c r="CD120" i="9"/>
  <c r="CD14" i="9"/>
  <c r="CD563" i="9"/>
  <c r="CD278" i="9"/>
  <c r="CD549" i="9"/>
  <c r="CD603" i="9"/>
  <c r="CD237" i="9"/>
  <c r="CD541" i="9"/>
  <c r="CD515" i="9"/>
  <c r="CD108" i="9"/>
  <c r="CD227" i="9"/>
  <c r="CD44" i="9"/>
  <c r="CD147" i="9"/>
  <c r="CD86" i="9"/>
  <c r="CD384" i="9"/>
  <c r="CD107" i="9"/>
  <c r="CD56" i="9"/>
  <c r="CD442" i="9"/>
  <c r="CD114" i="9"/>
  <c r="CD380" i="9"/>
  <c r="CD400" i="9"/>
  <c r="CD586" i="9"/>
  <c r="CD124" i="9"/>
  <c r="CD382" i="9"/>
  <c r="CD99" i="9"/>
  <c r="CD256" i="9"/>
  <c r="CD611" i="9"/>
  <c r="CD356" i="9"/>
  <c r="CD475" i="9"/>
  <c r="CD612" i="9"/>
  <c r="CD545" i="9"/>
  <c r="CD152" i="9"/>
  <c r="CD387" i="9"/>
  <c r="CD288" i="9"/>
  <c r="CD451" i="9"/>
  <c r="CD354" i="9"/>
  <c r="CD165" i="9"/>
  <c r="CD573" i="9"/>
  <c r="CD617" i="9" l="1"/>
  <c r="CD618" i="9"/>
  <c r="CD201" i="9" l="1"/>
  <c r="K29" i="13" l="1"/>
  <c r="J29" i="13"/>
  <c r="I29" i="13"/>
  <c r="H29" i="13"/>
  <c r="F29" i="13"/>
  <c r="E29" i="13"/>
  <c r="D29" i="13"/>
  <c r="C29" i="13"/>
  <c r="K26" i="13"/>
  <c r="J26" i="13"/>
  <c r="F26" i="13"/>
  <c r="E26" i="13"/>
  <c r="K23" i="13"/>
  <c r="J23" i="13"/>
  <c r="F23" i="13"/>
  <c r="E23" i="13"/>
  <c r="K13" i="13"/>
  <c r="J13" i="13"/>
  <c r="I13" i="13"/>
  <c r="H13" i="13"/>
  <c r="F13" i="13"/>
  <c r="E13" i="13"/>
  <c r="D13" i="13"/>
  <c r="C13" i="13"/>
  <c r="K10" i="13"/>
  <c r="J10" i="13"/>
  <c r="F10" i="13"/>
  <c r="E10" i="13"/>
  <c r="K7" i="13"/>
  <c r="J7" i="13"/>
  <c r="F7" i="13"/>
  <c r="E7" i="13"/>
  <c r="CB118" i="12"/>
  <c r="CB119" i="12" s="1"/>
  <c r="CB120" i="12" s="1"/>
  <c r="CB116" i="12"/>
  <c r="CB117" i="12" s="1"/>
  <c r="CB114" i="12"/>
  <c r="CB115" i="12" s="1"/>
  <c r="CB112" i="12"/>
  <c r="CB113" i="12" s="1"/>
  <c r="CB110" i="12"/>
  <c r="CB111" i="12" s="1"/>
  <c r="CB106" i="12"/>
  <c r="CB107" i="12" s="1"/>
  <c r="CB108" i="12" s="1"/>
  <c r="CB109" i="12" s="1"/>
  <c r="CB102" i="12"/>
  <c r="CB103" i="12" s="1"/>
  <c r="CB104" i="12" s="1"/>
  <c r="CB105" i="12" s="1"/>
  <c r="CB100" i="12"/>
  <c r="CB101" i="12" s="1"/>
  <c r="CB98" i="12"/>
  <c r="CB99" i="12" s="1"/>
  <c r="CB96" i="12"/>
  <c r="CB97" i="12" s="1"/>
  <c r="CB94" i="12"/>
  <c r="CB95" i="12" s="1"/>
  <c r="CB90" i="12"/>
  <c r="CB91" i="12" s="1"/>
  <c r="CB92" i="12" s="1"/>
  <c r="CB93" i="12" s="1"/>
  <c r="CB86" i="12"/>
  <c r="CB87" i="12" s="1"/>
  <c r="CB88" i="12" s="1"/>
  <c r="CB89" i="12" s="1"/>
  <c r="CB84" i="12"/>
  <c r="CB85" i="12" s="1"/>
  <c r="CB82" i="12"/>
  <c r="CB83" i="12" s="1"/>
  <c r="CB80" i="12"/>
  <c r="CB81" i="12" s="1"/>
  <c r="CB78" i="12"/>
  <c r="CB79" i="12" s="1"/>
  <c r="CB74" i="12"/>
  <c r="CB75" i="12" s="1"/>
  <c r="CB76" i="12" s="1"/>
  <c r="CB77" i="12" s="1"/>
  <c r="CB69" i="12"/>
  <c r="CB70" i="12" s="1"/>
  <c r="CB71" i="12" s="1"/>
  <c r="CB67" i="12"/>
  <c r="CB68" i="12" s="1"/>
  <c r="CB65" i="12"/>
  <c r="CB66" i="12" s="1"/>
  <c r="CB63" i="12"/>
  <c r="CB64" i="12" s="1"/>
  <c r="CB61" i="12"/>
  <c r="CB62" i="12" s="1"/>
  <c r="CB57" i="12"/>
  <c r="CB58" i="12" s="1"/>
  <c r="CB59" i="12" s="1"/>
  <c r="CB60" i="12" s="1"/>
  <c r="CB53" i="12"/>
  <c r="CB54" i="12" s="1"/>
  <c r="CB55" i="12" s="1"/>
  <c r="CB56" i="12" s="1"/>
  <c r="CB51" i="12"/>
  <c r="CB52" i="12" s="1"/>
  <c r="CB49" i="12"/>
  <c r="CB50" i="12" s="1"/>
  <c r="CB47" i="12"/>
  <c r="CB48" i="12" s="1"/>
  <c r="CB45" i="12"/>
  <c r="CB46" i="12" s="1"/>
  <c r="CB41" i="12"/>
  <c r="CB42" i="12" s="1"/>
  <c r="CB43" i="12" s="1"/>
  <c r="CB44" i="12" s="1"/>
  <c r="CB37" i="12"/>
  <c r="CB38" i="12" s="1"/>
  <c r="CB39" i="12" s="1"/>
  <c r="CB40" i="12" s="1"/>
  <c r="CB35" i="12"/>
  <c r="CB36" i="12" s="1"/>
  <c r="CB33" i="12"/>
  <c r="CB34" i="12" s="1"/>
  <c r="CB31" i="12"/>
  <c r="CB32" i="12" s="1"/>
  <c r="CB29" i="12"/>
  <c r="CB30" i="12" s="1"/>
  <c r="CB25" i="12"/>
  <c r="CB26" i="12" s="1"/>
  <c r="CB27" i="12" s="1"/>
  <c r="CB28" i="12" s="1"/>
  <c r="CB21" i="12"/>
  <c r="CB22" i="12" s="1"/>
  <c r="CB23" i="12" s="1"/>
  <c r="CB24" i="12" s="1"/>
  <c r="CB19" i="12"/>
  <c r="CB20" i="12" s="1"/>
  <c r="CB17" i="12"/>
  <c r="CB18" i="12" s="1"/>
  <c r="CB15" i="12"/>
  <c r="CB16" i="12" s="1"/>
  <c r="CB13" i="12"/>
  <c r="CB14" i="12" s="1"/>
  <c r="CB9" i="12"/>
  <c r="CB10" i="12" s="1"/>
  <c r="CB11" i="12" s="1"/>
  <c r="CB12" i="12" s="1"/>
  <c r="CB7" i="12"/>
  <c r="AT46" i="10"/>
  <c r="AT45" i="10"/>
  <c r="AS45" i="10"/>
  <c r="AT44" i="10"/>
  <c r="AT43" i="10"/>
  <c r="AS43" i="10"/>
  <c r="AR43" i="10"/>
  <c r="AT42" i="10"/>
  <c r="AT41" i="10"/>
  <c r="AS41" i="10"/>
  <c r="AR41" i="10"/>
  <c r="AT38" i="10"/>
  <c r="AT37" i="10"/>
  <c r="AT36" i="10"/>
  <c r="AT35" i="10"/>
  <c r="AT32" i="10"/>
  <c r="AT31" i="10"/>
  <c r="AT30" i="10"/>
  <c r="AT29" i="10"/>
  <c r="AT28" i="10"/>
  <c r="AT27" i="10"/>
  <c r="AT24" i="10"/>
  <c r="AT23" i="10"/>
  <c r="AT22" i="10"/>
  <c r="AT21" i="10"/>
  <c r="AT20" i="10"/>
  <c r="AT19" i="10"/>
  <c r="AT16" i="10"/>
  <c r="AT15" i="10"/>
  <c r="AT14" i="10"/>
  <c r="AT13" i="10"/>
  <c r="AT12" i="10"/>
  <c r="AT11" i="10"/>
  <c r="AY9" i="10"/>
  <c r="CH591" i="9"/>
  <c r="CH592" i="9" s="1"/>
  <c r="CH593" i="9" s="1"/>
  <c r="CH594" i="9" s="1"/>
  <c r="CH595" i="9" s="1"/>
  <c r="CH596" i="9" s="1"/>
  <c r="CH597" i="9" s="1"/>
  <c r="CH598" i="9" s="1"/>
  <c r="CH320" i="9"/>
  <c r="CH321" i="9" s="1"/>
  <c r="CH322" i="9" s="1"/>
  <c r="CH323" i="9" s="1"/>
  <c r="CH324" i="9" s="1"/>
  <c r="CH325" i="9" s="1"/>
  <c r="CH326" i="9" s="1"/>
  <c r="CH327" i="9" s="1"/>
  <c r="CH328" i="9" s="1"/>
  <c r="CH329" i="9" s="1"/>
  <c r="CH330" i="9" s="1"/>
  <c r="CH331" i="9" s="1"/>
  <c r="CH332" i="9" s="1"/>
  <c r="CH333" i="9" s="1"/>
  <c r="CH334" i="9" s="1"/>
  <c r="CH336" i="9" s="1"/>
  <c r="CH337" i="9" s="1"/>
  <c r="CH338" i="9" s="1"/>
  <c r="CH339" i="9" s="1"/>
  <c r="CH340" i="9" s="1"/>
  <c r="CH341" i="9" s="1"/>
  <c r="CH342" i="9" s="1"/>
  <c r="CH343" i="9" s="1"/>
  <c r="CH344" i="9" s="1"/>
  <c r="CH345" i="9" s="1"/>
  <c r="CH346" i="9" s="1"/>
  <c r="CH347" i="9" s="1"/>
  <c r="CH348" i="9" s="1"/>
  <c r="CH349" i="9" s="1"/>
  <c r="CH350" i="9" s="1"/>
  <c r="CH351" i="9" s="1"/>
  <c r="CH352" i="9" s="1"/>
  <c r="CH353" i="9" s="1"/>
  <c r="CH354" i="9" s="1"/>
  <c r="CH355" i="9" s="1"/>
  <c r="CH356" i="9" s="1"/>
  <c r="CH357" i="9" s="1"/>
  <c r="CH358" i="9" s="1"/>
  <c r="CH359" i="9" s="1"/>
  <c r="CH360" i="9" s="1"/>
  <c r="CH361" i="9" s="1"/>
  <c r="CH362" i="9" s="1"/>
  <c r="CH363" i="9" s="1"/>
  <c r="CH364" i="9" s="1"/>
  <c r="CH365" i="9" s="1"/>
  <c r="CH366" i="9" s="1"/>
  <c r="CH367" i="9" s="1"/>
  <c r="CH368" i="9" s="1"/>
  <c r="CH369" i="9" s="1"/>
  <c r="CH370" i="9" s="1"/>
  <c r="CH371" i="9" s="1"/>
  <c r="CH372" i="9" s="1"/>
  <c r="CH373" i="9" s="1"/>
  <c r="CH374" i="9" s="1"/>
  <c r="CH375" i="9" s="1"/>
  <c r="CH376" i="9" s="1"/>
  <c r="CH377" i="9" s="1"/>
  <c r="CH378" i="9" s="1"/>
  <c r="CH379" i="9" s="1"/>
  <c r="CH380" i="9" s="1"/>
  <c r="CH381" i="9" s="1"/>
  <c r="CH382" i="9" s="1"/>
  <c r="CH383" i="9" s="1"/>
  <c r="CH384" i="9" s="1"/>
  <c r="CH385" i="9" s="1"/>
  <c r="CH386" i="9" s="1"/>
  <c r="CH387" i="9" s="1"/>
  <c r="CH388" i="9" s="1"/>
  <c r="CH389" i="9" s="1"/>
  <c r="CH390" i="9" s="1"/>
  <c r="CH391" i="9" s="1"/>
  <c r="CH392" i="9" s="1"/>
  <c r="CH393" i="9" s="1"/>
  <c r="CH394" i="9" s="1"/>
  <c r="CH395" i="9" s="1"/>
  <c r="CH396" i="9" s="1"/>
  <c r="CH397" i="9" s="1"/>
  <c r="CH398" i="9" s="1"/>
  <c r="CH399" i="9" s="1"/>
  <c r="CH400" i="9" s="1"/>
  <c r="CH401" i="9" s="1"/>
  <c r="CH402" i="9" s="1"/>
  <c r="CH403" i="9" s="1"/>
  <c r="CH404" i="9" s="1"/>
  <c r="CH405" i="9" s="1"/>
  <c r="CH406" i="9" s="1"/>
  <c r="CH407" i="9" s="1"/>
  <c r="CH408" i="9" s="1"/>
  <c r="CH409" i="9" s="1"/>
  <c r="CH410" i="9" s="1"/>
  <c r="CH411" i="9" s="1"/>
  <c r="CH412" i="9" s="1"/>
  <c r="CH413" i="9" s="1"/>
  <c r="CH414" i="9" s="1"/>
  <c r="CH415" i="9" s="1"/>
  <c r="CH416" i="9" s="1"/>
  <c r="CH417" i="9" s="1"/>
  <c r="CH418" i="9" s="1"/>
  <c r="CH419" i="9" s="1"/>
  <c r="CH420" i="9" s="1"/>
  <c r="CH421" i="9" s="1"/>
  <c r="CH422" i="9" s="1"/>
  <c r="CH423" i="9" s="1"/>
  <c r="CH424" i="9" s="1"/>
  <c r="CH425" i="9" s="1"/>
  <c r="CH426" i="9" s="1"/>
  <c r="CH427" i="9" s="1"/>
  <c r="CH428" i="9" s="1"/>
  <c r="CH429" i="9" s="1"/>
  <c r="CH430" i="9" s="1"/>
  <c r="CH431" i="9" s="1"/>
  <c r="CH432" i="9" s="1"/>
  <c r="CH433" i="9" s="1"/>
  <c r="CH434" i="9" s="1"/>
  <c r="CH435" i="9" s="1"/>
  <c r="CH436" i="9" s="1"/>
  <c r="CH437" i="9" s="1"/>
  <c r="CH438" i="9" s="1"/>
  <c r="CH439" i="9" s="1"/>
  <c r="CH440" i="9" s="1"/>
  <c r="CH441" i="9" s="1"/>
  <c r="CH442" i="9" s="1"/>
  <c r="CH443" i="9" s="1"/>
  <c r="CH444" i="9" s="1"/>
  <c r="CH445" i="9" s="1"/>
  <c r="CH446" i="9" s="1"/>
  <c r="CH447" i="9" s="1"/>
  <c r="CH448" i="9" s="1"/>
  <c r="CH449" i="9" s="1"/>
  <c r="CH450" i="9" s="1"/>
  <c r="CH451" i="9" s="1"/>
  <c r="CH452" i="9" s="1"/>
  <c r="CH453" i="9" s="1"/>
  <c r="CH454" i="9" s="1"/>
  <c r="CH455" i="9" s="1"/>
  <c r="CH456" i="9" s="1"/>
  <c r="CH457" i="9" s="1"/>
  <c r="CH458" i="9" s="1"/>
  <c r="CH459" i="9" s="1"/>
  <c r="CH460" i="9" s="1"/>
  <c r="CH461" i="9" s="1"/>
  <c r="CH462" i="9" s="1"/>
  <c r="CH463" i="9" s="1"/>
  <c r="CH464" i="9" s="1"/>
  <c r="CH465" i="9" s="1"/>
  <c r="CH466" i="9" s="1"/>
  <c r="CH467" i="9" s="1"/>
  <c r="CH468" i="9" s="1"/>
  <c r="CH469" i="9" s="1"/>
  <c r="CH470" i="9" s="1"/>
  <c r="CH471" i="9" s="1"/>
  <c r="CH472" i="9" s="1"/>
  <c r="CH473" i="9" s="1"/>
  <c r="CH474" i="9" s="1"/>
  <c r="CH475" i="9" s="1"/>
  <c r="CH476" i="9" s="1"/>
  <c r="CH477" i="9" s="1"/>
  <c r="CH478" i="9" s="1"/>
  <c r="CH479" i="9" s="1"/>
  <c r="CH480" i="9" s="1"/>
  <c r="CH481" i="9" s="1"/>
  <c r="CH482" i="9" s="1"/>
  <c r="CH483" i="9" s="1"/>
  <c r="CH484" i="9" s="1"/>
  <c r="CH485" i="9" s="1"/>
  <c r="CH486" i="9" s="1"/>
  <c r="CH487" i="9" s="1"/>
  <c r="CH488" i="9" s="1"/>
  <c r="CH489" i="9" s="1"/>
  <c r="CH490" i="9" s="1"/>
  <c r="CH491" i="9" s="1"/>
  <c r="CH492" i="9" s="1"/>
  <c r="CH493" i="9" s="1"/>
  <c r="CH494" i="9" s="1"/>
  <c r="CH495" i="9" s="1"/>
  <c r="CH496" i="9" s="1"/>
  <c r="CH497" i="9" s="1"/>
  <c r="CH498" i="9" s="1"/>
  <c r="CH499" i="9" s="1"/>
  <c r="CH500" i="9" s="1"/>
  <c r="CH501" i="9" s="1"/>
  <c r="CH502" i="9" s="1"/>
  <c r="CH503" i="9" s="1"/>
  <c r="CH504" i="9" s="1"/>
  <c r="CH505" i="9" s="1"/>
  <c r="CH506" i="9" s="1"/>
  <c r="CH507" i="9" s="1"/>
  <c r="CH508" i="9" s="1"/>
  <c r="CH509" i="9" s="1"/>
  <c r="CH510" i="9" s="1"/>
  <c r="CH511" i="9" s="1"/>
  <c r="CH512" i="9" s="1"/>
  <c r="CH513" i="9" s="1"/>
  <c r="CH514" i="9" s="1"/>
  <c r="CH515" i="9" s="1"/>
  <c r="CH516" i="9" s="1"/>
  <c r="CH517" i="9" s="1"/>
  <c r="CH518" i="9" s="1"/>
  <c r="CH519" i="9" s="1"/>
  <c r="CH520" i="9" s="1"/>
  <c r="CH521" i="9" s="1"/>
  <c r="CH522" i="9" s="1"/>
  <c r="CH523" i="9" s="1"/>
  <c r="CH524" i="9" s="1"/>
  <c r="CH525" i="9" s="1"/>
  <c r="CH526" i="9" s="1"/>
  <c r="CH527" i="9" s="1"/>
  <c r="CH528" i="9" s="1"/>
  <c r="CH529" i="9" s="1"/>
  <c r="CH530" i="9" s="1"/>
  <c r="CH531" i="9" s="1"/>
  <c r="CH532" i="9" s="1"/>
  <c r="CH533" i="9" s="1"/>
  <c r="CH534" i="9" s="1"/>
  <c r="CH535" i="9" s="1"/>
  <c r="CH536" i="9" s="1"/>
  <c r="CH537" i="9" s="1"/>
  <c r="CH538" i="9" s="1"/>
  <c r="CH539" i="9" s="1"/>
  <c r="CH540" i="9" s="1"/>
  <c r="CH541" i="9" s="1"/>
  <c r="CH542" i="9" s="1"/>
  <c r="CH543" i="9" s="1"/>
  <c r="CH544" i="9" s="1"/>
  <c r="CH545" i="9" s="1"/>
  <c r="CH546" i="9" s="1"/>
  <c r="CH547" i="9" s="1"/>
  <c r="CH548" i="9" s="1"/>
  <c r="CH549" i="9" s="1"/>
  <c r="CH550" i="9" s="1"/>
  <c r="CH551" i="9" s="1"/>
  <c r="CH552" i="9" s="1"/>
  <c r="CH553" i="9" s="1"/>
  <c r="CH554" i="9" s="1"/>
  <c r="CH555" i="9" s="1"/>
  <c r="CH556" i="9" s="1"/>
  <c r="CH557" i="9" s="1"/>
  <c r="CH558" i="9" s="1"/>
  <c r="CH559" i="9" s="1"/>
  <c r="CH560" i="9" s="1"/>
  <c r="CH561" i="9" s="1"/>
  <c r="CH562" i="9" s="1"/>
  <c r="CH563" i="9" s="1"/>
  <c r="CH564" i="9" s="1"/>
  <c r="CH565" i="9" s="1"/>
  <c r="CH566" i="9" s="1"/>
  <c r="CH567" i="9" s="1"/>
  <c r="CH568" i="9" s="1"/>
  <c r="CH569" i="9" s="1"/>
  <c r="CH570" i="9" s="1"/>
  <c r="CH571" i="9" s="1"/>
  <c r="CH572" i="9" s="1"/>
  <c r="CH573" i="9" s="1"/>
  <c r="CH574" i="9" s="1"/>
  <c r="CH575" i="9" s="1"/>
  <c r="CH576" i="9" s="1"/>
  <c r="CH577" i="9" s="1"/>
  <c r="CH578" i="9" s="1"/>
  <c r="CH579" i="9" s="1"/>
  <c r="CH580" i="9" s="1"/>
  <c r="CH581" i="9" s="1"/>
  <c r="CH582" i="9" s="1"/>
  <c r="CH583" i="9" s="1"/>
  <c r="CH584" i="9" s="1"/>
  <c r="CH585" i="9" s="1"/>
  <c r="CH586" i="9" s="1"/>
  <c r="CH587" i="9" s="1"/>
  <c r="CH588" i="9" s="1"/>
  <c r="CH589" i="9" s="1"/>
  <c r="CH590" i="9" s="1"/>
  <c r="CH304" i="9"/>
  <c r="CH301" i="9"/>
  <c r="CH229" i="9"/>
  <c r="CH230" i="9" s="1"/>
  <c r="CH231" i="9" s="1"/>
  <c r="CH232" i="9" s="1"/>
  <c r="CH226" i="9"/>
  <c r="CH227" i="9" s="1"/>
  <c r="CH228" i="9" s="1"/>
  <c r="CH216" i="9"/>
  <c r="CH217" i="9" s="1"/>
  <c r="CH218" i="9" s="1"/>
  <c r="CH219" i="9" s="1"/>
  <c r="CH220" i="9" s="1"/>
  <c r="CH221" i="9" s="1"/>
  <c r="CH222" i="9" s="1"/>
  <c r="CH223" i="9" s="1"/>
  <c r="CH224" i="9" s="1"/>
  <c r="CH225" i="9" s="1"/>
  <c r="CH214" i="9"/>
  <c r="CH215" i="9" s="1"/>
  <c r="CH212" i="9"/>
  <c r="CH213" i="9" s="1"/>
  <c r="CH210" i="9"/>
  <c r="CH211" i="9" s="1"/>
  <c r="CH204" i="9"/>
  <c r="CH205" i="9" s="1"/>
  <c r="CH206" i="9" s="1"/>
  <c r="CH202" i="9"/>
  <c r="CH203" i="9" s="1"/>
  <c r="CH200" i="9"/>
  <c r="CH201" i="9" s="1"/>
  <c r="CH198" i="9"/>
  <c r="CH199" i="9" s="1"/>
  <c r="CH196" i="9"/>
  <c r="CH197" i="9" s="1"/>
  <c r="CH194" i="9"/>
  <c r="CH195" i="9" s="1"/>
  <c r="CH192" i="9"/>
  <c r="CH193" i="9" s="1"/>
  <c r="CH184" i="9"/>
  <c r="CH185" i="9" s="1"/>
  <c r="CH186" i="9" s="1"/>
  <c r="CH187" i="9" s="1"/>
  <c r="CH188" i="9" s="1"/>
  <c r="CH189" i="9" s="1"/>
  <c r="CH190" i="9" s="1"/>
  <c r="CH191" i="9" s="1"/>
  <c r="CH182" i="9"/>
  <c r="CH183" i="9" s="1"/>
  <c r="CH180" i="9"/>
  <c r="CH181" i="9" s="1"/>
  <c r="CH172" i="9"/>
  <c r="CH173" i="9" s="1"/>
  <c r="CH174" i="9" s="1"/>
  <c r="CH175" i="9" s="1"/>
  <c r="CH176" i="9" s="1"/>
  <c r="CH177" i="9" s="1"/>
  <c r="CH178" i="9" s="1"/>
  <c r="CH179" i="9" s="1"/>
  <c r="CH170" i="9"/>
  <c r="CH171" i="9" s="1"/>
  <c r="CH168" i="9"/>
  <c r="CH169" i="9" s="1"/>
  <c r="CH164" i="9"/>
  <c r="CH165" i="9" s="1"/>
  <c r="CH166" i="9" s="1"/>
  <c r="CH167" i="9" s="1"/>
  <c r="CH162" i="9"/>
  <c r="CH163" i="9" s="1"/>
  <c r="CH160" i="9"/>
  <c r="CH161" i="9" s="1"/>
  <c r="CH158" i="9"/>
  <c r="CH159" i="9" s="1"/>
  <c r="CH156" i="9"/>
  <c r="CH157" i="9" s="1"/>
  <c r="CH154" i="9"/>
  <c r="CH155" i="9" s="1"/>
  <c r="CH152" i="9"/>
  <c r="CH153" i="9" s="1"/>
  <c r="CH150" i="9"/>
  <c r="CH151" i="9" s="1"/>
  <c r="CH148" i="9"/>
  <c r="CH149" i="9" s="1"/>
  <c r="CH146" i="9"/>
  <c r="CH147" i="9" s="1"/>
  <c r="CH144" i="9"/>
  <c r="CH145" i="9" s="1"/>
  <c r="CH142" i="9"/>
  <c r="CH143" i="9" s="1"/>
  <c r="CH140" i="9"/>
  <c r="CH141" i="9" s="1"/>
  <c r="CH137" i="9"/>
  <c r="CH138" i="9" s="1"/>
  <c r="CH139" i="9" s="1"/>
  <c r="CH134" i="9"/>
  <c r="CH135" i="9" s="1"/>
  <c r="CH136" i="9" s="1"/>
  <c r="CH131" i="9"/>
  <c r="CH132" i="9" s="1"/>
  <c r="CH133" i="9" s="1"/>
  <c r="CH129" i="9"/>
  <c r="CH130" i="9" s="1"/>
  <c r="CH127" i="9"/>
  <c r="CH128" i="9" s="1"/>
  <c r="CH125" i="9"/>
  <c r="CH126" i="9" s="1"/>
  <c r="CH123" i="9"/>
  <c r="CH124" i="9" s="1"/>
  <c r="CH121" i="9"/>
  <c r="CH122" i="9" s="1"/>
  <c r="CH119" i="9"/>
  <c r="CH120" i="9" s="1"/>
  <c r="CH115" i="9"/>
  <c r="CH116" i="9" s="1"/>
  <c r="CH117" i="9" s="1"/>
  <c r="CH118" i="9" s="1"/>
  <c r="CH113" i="9"/>
  <c r="CH114" i="9" s="1"/>
  <c r="CH109" i="9"/>
  <c r="CH110" i="9" s="1"/>
  <c r="CH111" i="9" s="1"/>
  <c r="CH112" i="9" s="1"/>
  <c r="CH107" i="9"/>
  <c r="CH108" i="9" s="1"/>
  <c r="CH105" i="9"/>
  <c r="CH106" i="9" s="1"/>
  <c r="CH103" i="9"/>
  <c r="CH104" i="9" s="1"/>
  <c r="CH101" i="9"/>
  <c r="CH102" i="9" s="1"/>
  <c r="CH99" i="9"/>
  <c r="CH100" i="9" s="1"/>
  <c r="CH97" i="9"/>
  <c r="CH98" i="9" s="1"/>
  <c r="CH95" i="9"/>
  <c r="CH96" i="9" s="1"/>
  <c r="CH93" i="9"/>
  <c r="CH94" i="9" s="1"/>
  <c r="CH89" i="9"/>
  <c r="CH90" i="9" s="1"/>
  <c r="CH91" i="9" s="1"/>
  <c r="CH92" i="9" s="1"/>
  <c r="CH87" i="9"/>
  <c r="CH88" i="9" s="1"/>
  <c r="CH85" i="9"/>
  <c r="CH86" i="9" s="1"/>
  <c r="CH83" i="9"/>
  <c r="CH84" i="9" s="1"/>
  <c r="CH81" i="9"/>
  <c r="CH82" i="9" s="1"/>
  <c r="CH79" i="9"/>
  <c r="CH80" i="9" s="1"/>
  <c r="CH77" i="9"/>
  <c r="CH78" i="9" s="1"/>
  <c r="CH73" i="9"/>
  <c r="CH74" i="9" s="1"/>
  <c r="CH75" i="9" s="1"/>
  <c r="CH76" i="9" s="1"/>
  <c r="CH69" i="9"/>
  <c r="CH70" i="9" s="1"/>
  <c r="CH71" i="9" s="1"/>
  <c r="CH72" i="9" s="1"/>
  <c r="CH67" i="9"/>
  <c r="CH68" i="9" s="1"/>
  <c r="CH65" i="9"/>
  <c r="CH66" i="9" s="1"/>
  <c r="CH63" i="9"/>
  <c r="CH64" i="9" s="1"/>
  <c r="CH61" i="9"/>
  <c r="CH62" i="9" s="1"/>
  <c r="CH59" i="9"/>
  <c r="CH60" i="9" s="1"/>
  <c r="CH57" i="9"/>
  <c r="CH58" i="9" s="1"/>
  <c r="CH55" i="9"/>
  <c r="CH56" i="9" s="1"/>
  <c r="CH53" i="9"/>
  <c r="CH54" i="9" s="1"/>
  <c r="CH51" i="9"/>
  <c r="CH52" i="9" s="1"/>
  <c r="CH49" i="9"/>
  <c r="CH50" i="9" s="1"/>
  <c r="CH47" i="9"/>
  <c r="CH48" i="9" s="1"/>
  <c r="CH43" i="9"/>
  <c r="CH44" i="9" s="1"/>
  <c r="CH45" i="9" s="1"/>
  <c r="CH46" i="9" s="1"/>
  <c r="CH41" i="9"/>
  <c r="CH42" i="9" s="1"/>
  <c r="CH39" i="9"/>
  <c r="CH40" i="9" s="1"/>
  <c r="CH37" i="9"/>
  <c r="CH38" i="9" s="1"/>
  <c r="CH35" i="9"/>
  <c r="CH36" i="9" s="1"/>
  <c r="CH31" i="9"/>
  <c r="CH32" i="9" s="1"/>
  <c r="CH33" i="9" s="1"/>
  <c r="CH34" i="9" s="1"/>
  <c r="CH29" i="9"/>
  <c r="CH30" i="9" s="1"/>
  <c r="CH27" i="9"/>
  <c r="CH28" i="9" s="1"/>
  <c r="CH25" i="9"/>
  <c r="CH26" i="9" s="1"/>
  <c r="CH23" i="9"/>
  <c r="CH24" i="9" s="1"/>
  <c r="CH21" i="9"/>
  <c r="CH22" i="9" s="1"/>
  <c r="CH19" i="9"/>
  <c r="CH20" i="9" s="1"/>
  <c r="CH17" i="9"/>
  <c r="CH15" i="9"/>
  <c r="CH16" i="9" s="1"/>
  <c r="CH13" i="9"/>
  <c r="CH14" i="9" s="1"/>
  <c r="CH9" i="9"/>
  <c r="AW831" i="11"/>
  <c r="AW832" i="11" s="1"/>
  <c r="AW833" i="11" s="1"/>
  <c r="AW834" i="11" s="1"/>
  <c r="AW835" i="11" s="1"/>
  <c r="AW836" i="11" s="1"/>
  <c r="AW823" i="11"/>
  <c r="AW824" i="11" s="1"/>
  <c r="AW825" i="11" s="1"/>
  <c r="AW826" i="11" s="1"/>
  <c r="AW827" i="11" s="1"/>
  <c r="AW828" i="11" s="1"/>
  <c r="AW829" i="11" s="1"/>
  <c r="AW830" i="11" s="1"/>
  <c r="AW817" i="11"/>
  <c r="AW818" i="11" s="1"/>
  <c r="AW819" i="11" s="1"/>
  <c r="AW820" i="11" s="1"/>
  <c r="AW821" i="11" s="1"/>
  <c r="AW822" i="11" s="1"/>
  <c r="AW815" i="11"/>
  <c r="AW816" i="11" s="1"/>
  <c r="AW813" i="11"/>
  <c r="AW814" i="11" s="1"/>
  <c r="AW811" i="11"/>
  <c r="AW812" i="11" s="1"/>
  <c r="AW809" i="11"/>
  <c r="AW810" i="11" s="1"/>
  <c r="AW807" i="11"/>
  <c r="AW808" i="11" s="1"/>
  <c r="AW805" i="11"/>
  <c r="AW806" i="11" s="1"/>
  <c r="AW803" i="11"/>
  <c r="AW804" i="11" s="1"/>
  <c r="AW801" i="11"/>
  <c r="AW802" i="11" s="1"/>
  <c r="AW799" i="11"/>
  <c r="AW800" i="11" s="1"/>
  <c r="AW797" i="11"/>
  <c r="AW798" i="11" s="1"/>
  <c r="AW795" i="11"/>
  <c r="AW796" i="11" s="1"/>
  <c r="AW793" i="11"/>
  <c r="AW794" i="11" s="1"/>
  <c r="AW791" i="11"/>
  <c r="AW792" i="11" s="1"/>
  <c r="AW789" i="11"/>
  <c r="AW790" i="11" s="1"/>
  <c r="AW787" i="11"/>
  <c r="AW788" i="11" s="1"/>
  <c r="AW785" i="11"/>
  <c r="AW786" i="11" s="1"/>
  <c r="AW783" i="11"/>
  <c r="AW784" i="11" s="1"/>
  <c r="AW781" i="11"/>
  <c r="AW782" i="11" s="1"/>
  <c r="AW777" i="11"/>
  <c r="AW778" i="11" s="1"/>
  <c r="AW779" i="11" s="1"/>
  <c r="AW780" i="11" s="1"/>
  <c r="AW773" i="11"/>
  <c r="AW774" i="11" s="1"/>
  <c r="AW775" i="11" s="1"/>
  <c r="AW776" i="11" s="1"/>
  <c r="AW769" i="11"/>
  <c r="AW770" i="11" s="1"/>
  <c r="AW771" i="11" s="1"/>
  <c r="AW772" i="11" s="1"/>
  <c r="AW767" i="11"/>
  <c r="AW768" i="11" s="1"/>
  <c r="AW763" i="11"/>
  <c r="AW764" i="11" s="1"/>
  <c r="AW765" i="11" s="1"/>
  <c r="AW766" i="11" s="1"/>
  <c r="AW757" i="11"/>
  <c r="AW758" i="11" s="1"/>
  <c r="AW759" i="11" s="1"/>
  <c r="AW760" i="11" s="1"/>
  <c r="AW761" i="11" s="1"/>
  <c r="AW762" i="11" s="1"/>
  <c r="AW755" i="11"/>
  <c r="AW756" i="11" s="1"/>
  <c r="AW751" i="11"/>
  <c r="AW752" i="11" s="1"/>
  <c r="AW753" i="11" s="1"/>
  <c r="AW754" i="11" s="1"/>
  <c r="AW749" i="11"/>
  <c r="AW750" i="11" s="1"/>
  <c r="AW747" i="11"/>
  <c r="AW748" i="11" s="1"/>
  <c r="AW745" i="11"/>
  <c r="AW746" i="11" s="1"/>
  <c r="AW743" i="11"/>
  <c r="AW744" i="11" s="1"/>
  <c r="AW741" i="11"/>
  <c r="AW742" i="11" s="1"/>
  <c r="AW739" i="11"/>
  <c r="AW740" i="11" s="1"/>
  <c r="AW737" i="11"/>
  <c r="AW738" i="11" s="1"/>
  <c r="AW735" i="11"/>
  <c r="AW736" i="11" s="1"/>
  <c r="AW733" i="11"/>
  <c r="AW734" i="11" s="1"/>
  <c r="AW731" i="11"/>
  <c r="AW732" i="11" s="1"/>
  <c r="AW729" i="11"/>
  <c r="AW730" i="11" s="1"/>
  <c r="AW727" i="11"/>
  <c r="AW728" i="11" s="1"/>
  <c r="AW725" i="11"/>
  <c r="AW726" i="11" s="1"/>
  <c r="AW723" i="11"/>
  <c r="AW724" i="11" s="1"/>
  <c r="AW721" i="11"/>
  <c r="AW722" i="11" s="1"/>
  <c r="AW719" i="11"/>
  <c r="AW720" i="11" s="1"/>
  <c r="AW717" i="11"/>
  <c r="AW718" i="11" s="1"/>
  <c r="AW715" i="11"/>
  <c r="AW716" i="11" s="1"/>
  <c r="AW713" i="11"/>
  <c r="AW714" i="11" s="1"/>
  <c r="AW711" i="11"/>
  <c r="AW712" i="11" s="1"/>
  <c r="AW709" i="11"/>
  <c r="AW710" i="11" s="1"/>
  <c r="AW707" i="11"/>
  <c r="AW708" i="11" s="1"/>
  <c r="AW705" i="11"/>
  <c r="AW706" i="11" s="1"/>
  <c r="AW703" i="11"/>
  <c r="AW704" i="11" s="1"/>
  <c r="AW678" i="11"/>
  <c r="AW679" i="11" s="1"/>
  <c r="AW680" i="11" s="1"/>
  <c r="AW681" i="11" s="1"/>
  <c r="AW682" i="11" s="1"/>
  <c r="AW683" i="11" s="1"/>
  <c r="AW684" i="11" s="1"/>
  <c r="AW685" i="11" s="1"/>
  <c r="AW686" i="11" s="1"/>
  <c r="AW687" i="11" s="1"/>
  <c r="AW688" i="11" s="1"/>
  <c r="AW689" i="11" s="1"/>
  <c r="AW690" i="11" s="1"/>
  <c r="AW691" i="11" s="1"/>
  <c r="AW692" i="11" s="1"/>
  <c r="AW693" i="11" s="1"/>
  <c r="AW694" i="11" s="1"/>
  <c r="AW695" i="11" s="1"/>
  <c r="AW696" i="11" s="1"/>
  <c r="AW697" i="11" s="1"/>
  <c r="AW698" i="11" s="1"/>
  <c r="AW699" i="11" s="1"/>
  <c r="AW700" i="11" s="1"/>
  <c r="AW701" i="11" s="1"/>
  <c r="AW702" i="11" s="1"/>
  <c r="AW676" i="11"/>
  <c r="AW677" i="11" s="1"/>
  <c r="AW674" i="11"/>
  <c r="AW675" i="11" s="1"/>
  <c r="AW672" i="11"/>
  <c r="AW673" i="11" s="1"/>
  <c r="AW670" i="11"/>
  <c r="AW671" i="11" s="1"/>
  <c r="AW668" i="11"/>
  <c r="AW669" i="11" s="1"/>
  <c r="AW666" i="11"/>
  <c r="AW667" i="11" s="1"/>
  <c r="AW664" i="11"/>
  <c r="AW665" i="11" s="1"/>
  <c r="AW662" i="11"/>
  <c r="AW663" i="11" s="1"/>
  <c r="AW660" i="11"/>
  <c r="AW661" i="11" s="1"/>
  <c r="AW658" i="11"/>
  <c r="AW659" i="11" s="1"/>
  <c r="AW656" i="11"/>
  <c r="AW657" i="11" s="1"/>
  <c r="AW654" i="11"/>
  <c r="AW655" i="11" s="1"/>
  <c r="AW652" i="11"/>
  <c r="AW653" i="11" s="1"/>
  <c r="AW633" i="11"/>
  <c r="AW634" i="11" s="1"/>
  <c r="AW635" i="11" s="1"/>
  <c r="AW636" i="11" s="1"/>
  <c r="AW637" i="11" s="1"/>
  <c r="AW638" i="11" s="1"/>
  <c r="AW639" i="11" s="1"/>
  <c r="AW640" i="11" s="1"/>
  <c r="AW641" i="11" s="1"/>
  <c r="AW642" i="11" s="1"/>
  <c r="AW643" i="11" s="1"/>
  <c r="AW644" i="11" s="1"/>
  <c r="AW645" i="11" s="1"/>
  <c r="AW646" i="11" s="1"/>
  <c r="AW647" i="11" s="1"/>
  <c r="AW648" i="11" s="1"/>
  <c r="AW649" i="11" s="1"/>
  <c r="AW650" i="11" s="1"/>
  <c r="AW651" i="11" s="1"/>
  <c r="AW631" i="11"/>
  <c r="AW632" i="11" s="1"/>
  <c r="AW629" i="11"/>
  <c r="AW630" i="11" s="1"/>
  <c r="AW627" i="11"/>
  <c r="AW628" i="11" s="1"/>
  <c r="AW625" i="11"/>
  <c r="AW626" i="11" s="1"/>
  <c r="AW623" i="11"/>
  <c r="AW624" i="11" s="1"/>
  <c r="AW621" i="11"/>
  <c r="AW622" i="11" s="1"/>
  <c r="AW619" i="11"/>
  <c r="AW620" i="11" s="1"/>
  <c r="AW617" i="11"/>
  <c r="AW618" i="11" s="1"/>
  <c r="AW615" i="11"/>
  <c r="AW616" i="11" s="1"/>
  <c r="AW613" i="11"/>
  <c r="AW614" i="11" s="1"/>
  <c r="AW611" i="11"/>
  <c r="AW612" i="11" s="1"/>
  <c r="AW609" i="11"/>
  <c r="AW610" i="11" s="1"/>
  <c r="AW607" i="11"/>
  <c r="AW608" i="11" s="1"/>
  <c r="AW605" i="11"/>
  <c r="AW606" i="11" s="1"/>
  <c r="AW603" i="11"/>
  <c r="AW604" i="11" s="1"/>
  <c r="AW601" i="11"/>
  <c r="AW602" i="11" s="1"/>
  <c r="AW599" i="11"/>
  <c r="AW600" i="11" s="1"/>
  <c r="AW597" i="11"/>
  <c r="AW598" i="11" s="1"/>
  <c r="AW595" i="11"/>
  <c r="AW596" i="11" s="1"/>
  <c r="AW593" i="11"/>
  <c r="AW594" i="11" s="1"/>
  <c r="AW591" i="11"/>
  <c r="AW592" i="11" s="1"/>
  <c r="AW589" i="11"/>
  <c r="AW590" i="11" s="1"/>
  <c r="AW587" i="11"/>
  <c r="AW588" i="11" s="1"/>
  <c r="AW585" i="11"/>
  <c r="AW586" i="11" s="1"/>
  <c r="AW583" i="11"/>
  <c r="AW584" i="11" s="1"/>
  <c r="AW581" i="11"/>
  <c r="AW582" i="11" s="1"/>
  <c r="AW579" i="11"/>
  <c r="AW580" i="11" s="1"/>
  <c r="AW577" i="11"/>
  <c r="AW578" i="11" s="1"/>
  <c r="AW575" i="11"/>
  <c r="AW576" i="11" s="1"/>
  <c r="AW573" i="11"/>
  <c r="AW574" i="11" s="1"/>
  <c r="AW571" i="11"/>
  <c r="AW572" i="11" s="1"/>
  <c r="AW569" i="11"/>
  <c r="AW570" i="11" s="1"/>
  <c r="AW567" i="11"/>
  <c r="AW568" i="11" s="1"/>
  <c r="AW565" i="11"/>
  <c r="AW566" i="11" s="1"/>
  <c r="AW563" i="11"/>
  <c r="AW564" i="11" s="1"/>
  <c r="AW561" i="11"/>
  <c r="AW562" i="11" s="1"/>
  <c r="AW559" i="11"/>
  <c r="AW560" i="11" s="1"/>
  <c r="AW557" i="11"/>
  <c r="AW558" i="11" s="1"/>
  <c r="AW555" i="11"/>
  <c r="AW556" i="11" s="1"/>
  <c r="AW553" i="11"/>
  <c r="AW554" i="11" s="1"/>
  <c r="AW551" i="11"/>
  <c r="AW552" i="11" s="1"/>
  <c r="AW549" i="11"/>
  <c r="AW550" i="11" s="1"/>
  <c r="AW547" i="11"/>
  <c r="AW548" i="11" s="1"/>
  <c r="AW545" i="11"/>
  <c r="AW546" i="11" s="1"/>
  <c r="AW543" i="11"/>
  <c r="AW544" i="11" s="1"/>
  <c r="AW541" i="11"/>
  <c r="AW542" i="11" s="1"/>
  <c r="AW539" i="11"/>
  <c r="AW540" i="11" s="1"/>
  <c r="AW537" i="11"/>
  <c r="AW538" i="11" s="1"/>
  <c r="AW535" i="11"/>
  <c r="AW536" i="11" s="1"/>
  <c r="AW533" i="11"/>
  <c r="AW534" i="11" s="1"/>
  <c r="AW514" i="11"/>
  <c r="AW515" i="11" s="1"/>
  <c r="AW516" i="11" s="1"/>
  <c r="AW517" i="11" s="1"/>
  <c r="AW518" i="11" s="1"/>
  <c r="AW519" i="11" s="1"/>
  <c r="AW520" i="11" s="1"/>
  <c r="AW521" i="11" s="1"/>
  <c r="AW522" i="11" s="1"/>
  <c r="AW523" i="11" s="1"/>
  <c r="AW524" i="11" s="1"/>
  <c r="AW525" i="11" s="1"/>
  <c r="AW526" i="11" s="1"/>
  <c r="AW527" i="11" s="1"/>
  <c r="AW528" i="11" s="1"/>
  <c r="AW529" i="11" s="1"/>
  <c r="AW530" i="11" s="1"/>
  <c r="AW531" i="11" s="1"/>
  <c r="AW532" i="11" s="1"/>
  <c r="AW512" i="11"/>
  <c r="AW513" i="11" s="1"/>
  <c r="AW510" i="11"/>
  <c r="AW511" i="11" s="1"/>
  <c r="AW508" i="11"/>
  <c r="AW509" i="11" s="1"/>
  <c r="AW506" i="11"/>
  <c r="AW507" i="11" s="1"/>
  <c r="AW504" i="11"/>
  <c r="AW505" i="11" s="1"/>
  <c r="AW502" i="11"/>
  <c r="AW503" i="11" s="1"/>
  <c r="AW500" i="11"/>
  <c r="AW501" i="11" s="1"/>
  <c r="AW498" i="11"/>
  <c r="AW499" i="11" s="1"/>
  <c r="AW496" i="11"/>
  <c r="AW497" i="11" s="1"/>
  <c r="AW494" i="11"/>
  <c r="AW495" i="11" s="1"/>
  <c r="AW492" i="11"/>
  <c r="AW493" i="11" s="1"/>
  <c r="AW490" i="11"/>
  <c r="AW491" i="11" s="1"/>
  <c r="AW488" i="11"/>
  <c r="AW489" i="11" s="1"/>
  <c r="AW486" i="11"/>
  <c r="AW487" i="11" s="1"/>
  <c r="AW484" i="11"/>
  <c r="AW485" i="11" s="1"/>
  <c r="AW482" i="11"/>
  <c r="AW483" i="11" s="1"/>
  <c r="AW480" i="11"/>
  <c r="AW481" i="11" s="1"/>
  <c r="AW478" i="11"/>
  <c r="AW479" i="11" s="1"/>
  <c r="AW476" i="11"/>
  <c r="AW477" i="11" s="1"/>
  <c r="AW474" i="11"/>
  <c r="AW475" i="11" s="1"/>
  <c r="AW472" i="11"/>
  <c r="AW473" i="11" s="1"/>
  <c r="AW470" i="11"/>
  <c r="AW471" i="11" s="1"/>
  <c r="AW468" i="11"/>
  <c r="AW469" i="11" s="1"/>
  <c r="AW466" i="11"/>
  <c r="AW467" i="11" s="1"/>
  <c r="AW464" i="11"/>
  <c r="AW465" i="11" s="1"/>
  <c r="AW462" i="11"/>
  <c r="AW463" i="11" s="1"/>
  <c r="AW460" i="11"/>
  <c r="AW461" i="11" s="1"/>
  <c r="AW458" i="11"/>
  <c r="AW459" i="11" s="1"/>
  <c r="AW456" i="11"/>
  <c r="AW457" i="11" s="1"/>
  <c r="AW454" i="11"/>
  <c r="AW455" i="11" s="1"/>
  <c r="AW452" i="11"/>
  <c r="AW453" i="11" s="1"/>
  <c r="AW450" i="11"/>
  <c r="AW451" i="11" s="1"/>
  <c r="AW448" i="11"/>
  <c r="AW449" i="11" s="1"/>
  <c r="AW446" i="11"/>
  <c r="AW447" i="11" s="1"/>
  <c r="AW444" i="11"/>
  <c r="AW445" i="11" s="1"/>
  <c r="AW442" i="11"/>
  <c r="AW443" i="11" s="1"/>
  <c r="AW440" i="11"/>
  <c r="AW441" i="11" s="1"/>
  <c r="AW438" i="11"/>
  <c r="AW439" i="11" s="1"/>
  <c r="AW436" i="11"/>
  <c r="AW437" i="11" s="1"/>
  <c r="AW434" i="11"/>
  <c r="AW435" i="11" s="1"/>
  <c r="AW432" i="11"/>
  <c r="AW433" i="11" s="1"/>
  <c r="AW430" i="11"/>
  <c r="AW431" i="11" s="1"/>
  <c r="AW428" i="11"/>
  <c r="AW429" i="11" s="1"/>
  <c r="AW426" i="11"/>
  <c r="AW427" i="11" s="1"/>
  <c r="AW424" i="11"/>
  <c r="AW425" i="11" s="1"/>
  <c r="AW422" i="11"/>
  <c r="AW423" i="11" s="1"/>
  <c r="AW420" i="11"/>
  <c r="AW421" i="11" s="1"/>
  <c r="AW418" i="11"/>
  <c r="AW419" i="11" s="1"/>
  <c r="AW416" i="11"/>
  <c r="AW417" i="11" s="1"/>
  <c r="AW414" i="11"/>
  <c r="AW415" i="11" s="1"/>
  <c r="AW412" i="11"/>
  <c r="AW413" i="11" s="1"/>
  <c r="AW404" i="11"/>
  <c r="AW405" i="11" s="1"/>
  <c r="AW406" i="11" s="1"/>
  <c r="AW407" i="11" s="1"/>
  <c r="AW408" i="11" s="1"/>
  <c r="AW409" i="11" s="1"/>
  <c r="AW410" i="11" s="1"/>
  <c r="AW411" i="11" s="1"/>
  <c r="AW380" i="11"/>
  <c r="AW381" i="11" s="1"/>
  <c r="AW382" i="11" s="1"/>
  <c r="AW383" i="11" s="1"/>
  <c r="AW384" i="11" s="1"/>
  <c r="AW385" i="11" s="1"/>
  <c r="AW386" i="11" s="1"/>
  <c r="AW387" i="11" s="1"/>
  <c r="AW388" i="11" s="1"/>
  <c r="AW389" i="11" s="1"/>
  <c r="AW390" i="11" s="1"/>
  <c r="AW391" i="11" s="1"/>
  <c r="AW392" i="11" s="1"/>
  <c r="AW393" i="11" s="1"/>
  <c r="AW394" i="11" s="1"/>
  <c r="AW395" i="11" s="1"/>
  <c r="AW396" i="11" s="1"/>
  <c r="AW397" i="11" s="1"/>
  <c r="AW398" i="11" s="1"/>
  <c r="AW399" i="11" s="1"/>
  <c r="AW400" i="11" s="1"/>
  <c r="AW401" i="11" s="1"/>
  <c r="AW402" i="11" s="1"/>
  <c r="AW403" i="11" s="1"/>
  <c r="AW363" i="11"/>
  <c r="AW364" i="11" s="1"/>
  <c r="AW365" i="11" s="1"/>
  <c r="AW366" i="11" s="1"/>
  <c r="AW367" i="11" s="1"/>
  <c r="AW368" i="11" s="1"/>
  <c r="AW369" i="11" s="1"/>
  <c r="AW370" i="11" s="1"/>
  <c r="AW371" i="11" s="1"/>
  <c r="AW372" i="11" s="1"/>
  <c r="AW373" i="11" s="1"/>
  <c r="AW374" i="11" s="1"/>
  <c r="AW375" i="11" s="1"/>
  <c r="AW376" i="11" s="1"/>
  <c r="AW377" i="11" s="1"/>
  <c r="AW378" i="11" s="1"/>
  <c r="AW379" i="11" s="1"/>
  <c r="AQ207" i="11"/>
  <c r="AW10" i="11"/>
  <c r="AW11" i="11" s="1"/>
  <c r="AW12" i="11" s="1"/>
  <c r="AW13" i="11" s="1"/>
  <c r="AV10" i="11"/>
  <c r="AW9" i="11"/>
  <c r="AV9" i="11"/>
  <c r="N32" i="15"/>
  <c r="N29" i="15"/>
  <c r="D26" i="15"/>
  <c r="W24" i="15"/>
  <c r="F114" i="14" s="1"/>
  <c r="V24" i="15"/>
  <c r="F111" i="14" s="1"/>
  <c r="L24" i="15"/>
  <c r="F96" i="14" s="1"/>
  <c r="K24" i="15"/>
  <c r="F93" i="14" s="1"/>
  <c r="J24" i="15"/>
  <c r="F90" i="14" s="1"/>
  <c r="W23" i="15"/>
  <c r="F113" i="14" s="1"/>
  <c r="V23" i="15"/>
  <c r="F110" i="14" s="1"/>
  <c r="U23" i="15"/>
  <c r="L23" i="15"/>
  <c r="F95" i="14" s="1"/>
  <c r="K23" i="15"/>
  <c r="J23" i="15"/>
  <c r="F89" i="14" s="1"/>
  <c r="H23" i="15"/>
  <c r="S23" i="15" s="1"/>
  <c r="W21" i="15"/>
  <c r="V21" i="15"/>
  <c r="G111" i="14" s="1"/>
  <c r="U21" i="15"/>
  <c r="G96" i="14"/>
  <c r="G90" i="14"/>
  <c r="W20" i="15"/>
  <c r="G113" i="14" s="1"/>
  <c r="V20" i="15"/>
  <c r="G110" i="14" s="1"/>
  <c r="U20" i="15"/>
  <c r="G107" i="14" s="1"/>
  <c r="G95" i="14"/>
  <c r="G92" i="14"/>
  <c r="G89" i="14"/>
  <c r="S20" i="15"/>
  <c r="W18" i="15"/>
  <c r="H114" i="14" s="1"/>
  <c r="V18" i="15"/>
  <c r="H111" i="14" s="1"/>
  <c r="U18" i="15"/>
  <c r="H96" i="14"/>
  <c r="H93" i="14"/>
  <c r="W17" i="15"/>
  <c r="H113" i="14" s="1"/>
  <c r="V17" i="15"/>
  <c r="H110" i="14" s="1"/>
  <c r="U17" i="15"/>
  <c r="H107" i="14" s="1"/>
  <c r="H95" i="14"/>
  <c r="H92" i="14"/>
  <c r="H89" i="14"/>
  <c r="S17" i="15"/>
  <c r="W15" i="15"/>
  <c r="I114" i="14" s="1"/>
  <c r="V15" i="15"/>
  <c r="I111" i="14" s="1"/>
  <c r="U15" i="15"/>
  <c r="I96" i="14"/>
  <c r="I93" i="14"/>
  <c r="I90" i="14"/>
  <c r="W14" i="15"/>
  <c r="V14" i="15"/>
  <c r="U14" i="15"/>
  <c r="I107" i="14" s="1"/>
  <c r="I95" i="14"/>
  <c r="I92" i="14"/>
  <c r="I89" i="14"/>
  <c r="I86" i="14"/>
  <c r="I137" i="14" s="1"/>
  <c r="I166" i="14" a="1"/>
  <c r="I166" i="14" s="1"/>
  <c r="F166" i="14" a="1"/>
  <c r="F166" i="14" s="1"/>
  <c r="I153" i="14"/>
  <c r="H153" i="14"/>
  <c r="G153" i="14"/>
  <c r="F153" i="14"/>
  <c r="I152" i="14"/>
  <c r="H152" i="14"/>
  <c r="G152" i="14"/>
  <c r="F152" i="14"/>
  <c r="I150" i="14"/>
  <c r="H150" i="14"/>
  <c r="G150" i="14"/>
  <c r="F150" i="14"/>
  <c r="I149" i="14"/>
  <c r="H149" i="14"/>
  <c r="G149" i="14"/>
  <c r="F149" i="14"/>
  <c r="I147" i="14"/>
  <c r="H147" i="14"/>
  <c r="G147" i="14"/>
  <c r="F147" i="14"/>
  <c r="I146" i="14"/>
  <c r="H146" i="14"/>
  <c r="G146" i="14"/>
  <c r="F146" i="14"/>
  <c r="I144" i="14"/>
  <c r="H144" i="14"/>
  <c r="G144" i="14"/>
  <c r="F144" i="14"/>
  <c r="I143" i="14"/>
  <c r="H143" i="14"/>
  <c r="G143" i="14"/>
  <c r="F143" i="14"/>
  <c r="I141" i="14"/>
  <c r="H141" i="14"/>
  <c r="G141" i="14"/>
  <c r="F141" i="14"/>
  <c r="I140" i="14"/>
  <c r="H140" i="14"/>
  <c r="G140" i="14"/>
  <c r="F140" i="14"/>
  <c r="I138" i="14"/>
  <c r="H138" i="14"/>
  <c r="G138" i="14"/>
  <c r="F138" i="14"/>
  <c r="G114" i="14"/>
  <c r="I113" i="14"/>
  <c r="D68" i="14"/>
  <c r="T66" i="14"/>
  <c r="D56" i="14"/>
  <c r="U55" i="14"/>
  <c r="R24" i="14"/>
  <c r="D7" i="14"/>
  <c r="D9" i="14" s="1"/>
  <c r="AB7" i="4"/>
  <c r="BW6" i="4"/>
  <c r="BV6" i="4"/>
  <c r="AA6" i="4"/>
  <c r="Y6" i="4"/>
  <c r="BV4" i="4"/>
  <c r="D4" i="4"/>
  <c r="A2" i="15" a="1"/>
  <c r="I156" i="14" l="1"/>
  <c r="Y15" i="15"/>
  <c r="AC7" i="4"/>
  <c r="AC6" i="4" s="1"/>
  <c r="H156" i="14"/>
  <c r="Y21" i="15"/>
  <c r="Y18" i="15"/>
  <c r="G156" i="14"/>
  <c r="F156" i="14"/>
  <c r="AY10" i="10"/>
  <c r="AC89" i="4" s="1"/>
  <c r="AP28" i="14" s="1"/>
  <c r="CB8" i="12"/>
  <c r="AL110" i="4" s="1"/>
  <c r="AB110" i="4"/>
  <c r="S14" i="15"/>
  <c r="AQ77" i="4"/>
  <c r="G172" i="14" s="1" a="1"/>
  <c r="G172" i="14" s="1"/>
  <c r="AB73" i="4"/>
  <c r="AO7" i="14" s="1"/>
  <c r="AD89" i="4"/>
  <c r="AQ28" i="14" s="1"/>
  <c r="AB6" i="4"/>
  <c r="F86" i="14"/>
  <c r="F104" i="14" s="1"/>
  <c r="G86" i="14"/>
  <c r="G104" i="14" s="1"/>
  <c r="H86" i="14"/>
  <c r="H137" i="14" s="1"/>
  <c r="I110" i="14"/>
  <c r="F107" i="14"/>
  <c r="N23" i="15"/>
  <c r="G108" i="14"/>
  <c r="D6" i="15"/>
  <c r="H108" i="14"/>
  <c r="I108" i="14"/>
  <c r="G93" i="14"/>
  <c r="F92" i="14"/>
  <c r="N24" i="15"/>
  <c r="H90" i="14"/>
  <c r="I104" i="14"/>
  <c r="AV11" i="11"/>
  <c r="CB72" i="12"/>
  <c r="CB73" i="12" s="1"/>
  <c r="CH305" i="9"/>
  <c r="CH306" i="9" s="1"/>
  <c r="CH307" i="9" s="1"/>
  <c r="CH308" i="9" s="1"/>
  <c r="CH309" i="9" s="1"/>
  <c r="CH310" i="9" s="1"/>
  <c r="CH311" i="9" s="1"/>
  <c r="CH312" i="9" s="1"/>
  <c r="CH313" i="9" s="1"/>
  <c r="CH314" i="9" s="1"/>
  <c r="CH315" i="9" s="1"/>
  <c r="CH316" i="9" s="1"/>
  <c r="CH317" i="9" s="1"/>
  <c r="CH318" i="9" s="1"/>
  <c r="CH319" i="9" s="1"/>
  <c r="CH302" i="9"/>
  <c r="CH303" i="9" s="1"/>
  <c r="CH207" i="9"/>
  <c r="CH208" i="9" s="1"/>
  <c r="CH209" i="9" s="1"/>
  <c r="CH10" i="9"/>
  <c r="A2" i="15"/>
  <c r="D4" i="15" s="1"/>
  <c r="AC36" i="15" s="1"/>
  <c r="CH18" i="9"/>
  <c r="AC81" i="4" l="1"/>
  <c r="AP19" i="14" s="1"/>
  <c r="AC78" i="4"/>
  <c r="AP15" i="14" s="1"/>
  <c r="AD81" i="4"/>
  <c r="AQ19" i="14" s="1"/>
  <c r="AT89" i="4"/>
  <c r="F178" i="14" s="1" a="1"/>
  <c r="F178" i="14" s="1"/>
  <c r="AT85" i="4"/>
  <c r="F176" i="14" s="1" a="1"/>
  <c r="AD78" i="4"/>
  <c r="AQ15" i="14" s="1"/>
  <c r="AA81" i="4"/>
  <c r="AN19" i="14" s="1"/>
  <c r="AB81" i="4"/>
  <c r="AO19" i="14" s="1"/>
  <c r="AE81" i="4"/>
  <c r="AR19" i="14" s="1"/>
  <c r="AG86" i="4"/>
  <c r="AF89" i="4"/>
  <c r="AS28" i="14" s="1"/>
  <c r="AM81" i="4"/>
  <c r="AG38" i="15" s="1"/>
  <c r="AQ81" i="4"/>
  <c r="G174" i="14" s="1" a="1"/>
  <c r="G174" i="14" s="1"/>
  <c r="AA85" i="4"/>
  <c r="AN24" i="14" s="1"/>
  <c r="AM77" i="4"/>
  <c r="AF38" i="15" s="1"/>
  <c r="AC82" i="4"/>
  <c r="AP21" i="14" s="1"/>
  <c r="AB77" i="4"/>
  <c r="AO13" i="14" s="1"/>
  <c r="AA86" i="4"/>
  <c r="AN25" i="14" s="1"/>
  <c r="AF85" i="4"/>
  <c r="AS24" i="14" s="1"/>
  <c r="AK85" i="4"/>
  <c r="AH36" i="15" s="1"/>
  <c r="AG85" i="4"/>
  <c r="AB82" i="4"/>
  <c r="AO21" i="14" s="1"/>
  <c r="AK81" i="4"/>
  <c r="AG36" i="15" s="1"/>
  <c r="AE82" i="4"/>
  <c r="AR21" i="14" s="1"/>
  <c r="AF66" i="4"/>
  <c r="AV12" i="11"/>
  <c r="AV13" i="11" s="1"/>
  <c r="AV14" i="11" s="1"/>
  <c r="AE45" i="4"/>
  <c r="AE66" i="4"/>
  <c r="AE46" i="4"/>
  <c r="AC66" i="4"/>
  <c r="AA45" i="4"/>
  <c r="AF25" i="4"/>
  <c r="AE25" i="4"/>
  <c r="AD65" i="4"/>
  <c r="AA25" i="4"/>
  <c r="AA66" i="4"/>
  <c r="AG46" i="4"/>
  <c r="AF45" i="4"/>
  <c r="AG66" i="4"/>
  <c r="AD45" i="4"/>
  <c r="AG26" i="4"/>
  <c r="AE65" i="4"/>
  <c r="AD26" i="4"/>
  <c r="AB26" i="4"/>
  <c r="AA26" i="4"/>
  <c r="AF46" i="4"/>
  <c r="AF65" i="4"/>
  <c r="AC46" i="4"/>
  <c r="AB45" i="4"/>
  <c r="AA65" i="4"/>
  <c r="AF26" i="4"/>
  <c r="AD66" i="4"/>
  <c r="AC25" i="4"/>
  <c r="AB65" i="4"/>
  <c r="AA46" i="4"/>
  <c r="AE26" i="4"/>
  <c r="AC45" i="4"/>
  <c r="AB46" i="4"/>
  <c r="AG25" i="4"/>
  <c r="AC26" i="4"/>
  <c r="AB66" i="4"/>
  <c r="AG45" i="4"/>
  <c r="AD46" i="4"/>
  <c r="AD25" i="4"/>
  <c r="AC65" i="4"/>
  <c r="AB25" i="4"/>
  <c r="AG65" i="4"/>
  <c r="AD7" i="4"/>
  <c r="AM73" i="4"/>
  <c r="AE38" i="15" s="1"/>
  <c r="AE74" i="4"/>
  <c r="AR9" i="14" s="1"/>
  <c r="AA90" i="4"/>
  <c r="AN29" i="14" s="1"/>
  <c r="AD82" i="4"/>
  <c r="AQ21" i="14" s="1"/>
  <c r="AP81" i="4"/>
  <c r="AC85" i="4"/>
  <c r="AP24" i="14" s="1"/>
  <c r="AB90" i="4"/>
  <c r="AO29" i="14" s="1"/>
  <c r="AU85" i="4"/>
  <c r="I176" i="14" s="1" a="1"/>
  <c r="I176" i="14" s="1"/>
  <c r="AC77" i="4"/>
  <c r="AP13" i="14" s="1"/>
  <c r="AE73" i="4"/>
  <c r="AR7" i="14" s="1"/>
  <c r="AF90" i="4"/>
  <c r="AS29" i="14" s="1"/>
  <c r="AC74" i="4"/>
  <c r="AP9" i="14" s="1"/>
  <c r="AA78" i="4"/>
  <c r="AN15" i="14" s="1"/>
  <c r="AB85" i="4"/>
  <c r="AO24" i="14" s="1"/>
  <c r="AE89" i="4"/>
  <c r="AR28" i="14" s="1"/>
  <c r="AE78" i="4"/>
  <c r="AR15" i="14" s="1"/>
  <c r="AT73" i="4"/>
  <c r="AC73" i="4"/>
  <c r="AP7" i="14" s="1"/>
  <c r="AE85" i="4"/>
  <c r="AR24" i="14" s="1"/>
  <c r="AG90" i="4"/>
  <c r="AD73" i="4"/>
  <c r="AQ7" i="14" s="1"/>
  <c r="AB86" i="4"/>
  <c r="AO25" i="14" s="1"/>
  <c r="AG74" i="4"/>
  <c r="AC86" i="4"/>
  <c r="AP25" i="14" s="1"/>
  <c r="AF73" i="4"/>
  <c r="AS7" i="14" s="1"/>
  <c r="AM85" i="4"/>
  <c r="AH38" i="15" s="1"/>
  <c r="AG73" i="4"/>
  <c r="AP85" i="4"/>
  <c r="AT81" i="4"/>
  <c r="F174" i="14" s="1" a="1"/>
  <c r="F174" i="14" s="1"/>
  <c r="AD74" i="4"/>
  <c r="AQ9" i="14" s="1"/>
  <c r="AA77" i="4"/>
  <c r="AN13" i="14" s="1"/>
  <c r="AU81" i="4"/>
  <c r="I174" i="14" s="1" a="1"/>
  <c r="I174" i="14" s="1"/>
  <c r="AF74" i="4"/>
  <c r="AS9" i="14" s="1"/>
  <c r="AG89" i="4"/>
  <c r="AD77" i="4"/>
  <c r="AQ13" i="14" s="1"/>
  <c r="AK89" i="4"/>
  <c r="AI36" i="15" s="1"/>
  <c r="AE77" i="4"/>
  <c r="AR13" i="14" s="1"/>
  <c r="AD86" i="4"/>
  <c r="AQ25" i="14" s="1"/>
  <c r="AA74" i="4"/>
  <c r="AN9" i="14" s="1"/>
  <c r="AE86" i="4"/>
  <c r="AR25" i="14" s="1"/>
  <c r="AD85" i="4"/>
  <c r="AQ24" i="14" s="1"/>
  <c r="AT77" i="4"/>
  <c r="F172" i="14" s="1" a="1"/>
  <c r="F172" i="14" s="1"/>
  <c r="J172" i="14" s="1"/>
  <c r="L172" i="14" s="1"/>
  <c r="AF77" i="4"/>
  <c r="AS13" i="14" s="1"/>
  <c r="AB89" i="4"/>
  <c r="AO28" i="14" s="1"/>
  <c r="AE90" i="4"/>
  <c r="AR29" i="14" s="1"/>
  <c r="AA89" i="4"/>
  <c r="AN28" i="14" s="1"/>
  <c r="AA82" i="4"/>
  <c r="AN21" i="14" s="1"/>
  <c r="AA73" i="4"/>
  <c r="AN7" i="14" s="1"/>
  <c r="AP77" i="4"/>
  <c r="AR77" i="4" s="1"/>
  <c r="AK77" i="4"/>
  <c r="AF36" i="15" s="1"/>
  <c r="AF40" i="15" s="1"/>
  <c r="AF78" i="4"/>
  <c r="AS15" i="14" s="1"/>
  <c r="AB78" i="4"/>
  <c r="AO15" i="14" s="1"/>
  <c r="AG78" i="4"/>
  <c r="AC90" i="4"/>
  <c r="AP29" i="14" s="1"/>
  <c r="AU77" i="4"/>
  <c r="I172" i="14" s="1" a="1"/>
  <c r="I172" i="14" s="1"/>
  <c r="AD90" i="4"/>
  <c r="AQ29" i="14" s="1"/>
  <c r="AP73" i="4"/>
  <c r="AF82" i="4"/>
  <c r="AS21" i="14" s="1"/>
  <c r="AG77" i="4"/>
  <c r="AQ73" i="4"/>
  <c r="G170" i="14" s="1" a="1"/>
  <c r="G170" i="14" s="1"/>
  <c r="AH40" i="15"/>
  <c r="AG40" i="15"/>
  <c r="AL45" i="4"/>
  <c r="AP45" i="4"/>
  <c r="AU45" i="4"/>
  <c r="AT45" i="4"/>
  <c r="AU25" i="4"/>
  <c r="G63" i="14" s="1"/>
  <c r="AT25" i="4"/>
  <c r="F63" i="14" s="1"/>
  <c r="AC38" i="15"/>
  <c r="AC40" i="15" s="1"/>
  <c r="AG82" i="4"/>
  <c r="AU73" i="4"/>
  <c r="I170" i="14" s="1" a="1"/>
  <c r="I170" i="14" s="1"/>
  <c r="AQ89" i="4"/>
  <c r="G178" i="14" s="1" a="1"/>
  <c r="G178" i="14" s="1"/>
  <c r="J178" i="14" s="1"/>
  <c r="L178" i="14" s="1"/>
  <c r="AA110" i="4"/>
  <c r="AK65" i="4"/>
  <c r="W36" i="15" s="1"/>
  <c r="AQ65" i="4"/>
  <c r="AM65" i="4"/>
  <c r="W38" i="15" s="1"/>
  <c r="AQ26" i="4"/>
  <c r="AL65" i="4"/>
  <c r="AD17" i="14" s="1"/>
  <c r="AW85" i="4"/>
  <c r="AH6" i="15" s="1"/>
  <c r="AN23" i="14" s="1"/>
  <c r="AO23" i="14" s="1"/>
  <c r="AP23" i="14" s="1"/>
  <c r="AQ23" i="14" s="1"/>
  <c r="AR23" i="14" s="1"/>
  <c r="AS23" i="14" s="1"/>
  <c r="AW81" i="4"/>
  <c r="AG6" i="15" s="1"/>
  <c r="AN17" i="14" s="1"/>
  <c r="AO17" i="14" s="1"/>
  <c r="AP17" i="14" s="1"/>
  <c r="AQ17" i="14" s="1"/>
  <c r="AR17" i="14" s="1"/>
  <c r="AS17" i="14" s="1"/>
  <c r="AY81" i="4"/>
  <c r="AG10" i="15" s="1"/>
  <c r="AP66" i="4"/>
  <c r="AQ46" i="4"/>
  <c r="AP65" i="4"/>
  <c r="AQ45" i="4"/>
  <c r="AQ66" i="4"/>
  <c r="AL25" i="4"/>
  <c r="AK45" i="4"/>
  <c r="AW45" i="4" s="1"/>
  <c r="AP25" i="4"/>
  <c r="AT65" i="4"/>
  <c r="AM25" i="4"/>
  <c r="AX25" i="4" s="1"/>
  <c r="AM110" i="4"/>
  <c r="AE110" i="4"/>
  <c r="AK110" i="4"/>
  <c r="AM109" i="4"/>
  <c r="AX109" i="4" s="1"/>
  <c r="AA109" i="4"/>
  <c r="AK25" i="4"/>
  <c r="AP46" i="4"/>
  <c r="AP26" i="4"/>
  <c r="AF109" i="4"/>
  <c r="AK73" i="4"/>
  <c r="AQ85" i="4"/>
  <c r="G176" i="14" s="1" a="1"/>
  <c r="G176" i="14" s="1"/>
  <c r="AB74" i="4"/>
  <c r="AO9" i="14" s="1"/>
  <c r="AF86" i="4"/>
  <c r="AS25" i="14" s="1"/>
  <c r="AG81" i="4"/>
  <c r="AF81" i="4"/>
  <c r="AS19" i="14" s="1"/>
  <c r="F170" i="14" a="1"/>
  <c r="F170" i="14" s="1"/>
  <c r="H8" i="15"/>
  <c r="AM8" i="15"/>
  <c r="AC8" i="15"/>
  <c r="S8" i="15"/>
  <c r="AC110" i="4"/>
  <c r="AG109" i="4"/>
  <c r="AC109" i="4"/>
  <c r="AD110" i="4"/>
  <c r="AF110" i="4"/>
  <c r="AD109" i="4"/>
  <c r="AU65" i="4"/>
  <c r="AQ25" i="4"/>
  <c r="AM45" i="4"/>
  <c r="L31" i="15" s="1"/>
  <c r="AK109" i="4"/>
  <c r="AW109" i="4" s="1"/>
  <c r="AB109" i="4"/>
  <c r="AG110" i="4"/>
  <c r="AL109" i="4"/>
  <c r="AE109" i="4"/>
  <c r="AM6" i="15"/>
  <c r="S6" i="15"/>
  <c r="AC6" i="15"/>
  <c r="H6" i="15"/>
  <c r="G137" i="14"/>
  <c r="H104" i="14"/>
  <c r="H177" i="14"/>
  <c r="F176" i="14"/>
  <c r="H176" i="14" s="1"/>
  <c r="F137" i="14"/>
  <c r="AE7" i="4"/>
  <c r="AD6" i="4"/>
  <c r="H28" i="15"/>
  <c r="D83" i="14"/>
  <c r="CH11" i="9"/>
  <c r="AW65" i="4"/>
  <c r="J174" i="14" l="1"/>
  <c r="L174" i="14" s="1"/>
  <c r="AR81" i="4"/>
  <c r="AN31" i="14"/>
  <c r="AV15" i="11"/>
  <c r="H173" i="14"/>
  <c r="H174" i="14"/>
  <c r="N174" i="14" s="1"/>
  <c r="AW89" i="4"/>
  <c r="AI6" i="15" s="1"/>
  <c r="AN27" i="14" s="1"/>
  <c r="AO27" i="14" s="1"/>
  <c r="AP27" i="14" s="1"/>
  <c r="AQ27" i="14" s="1"/>
  <c r="AR27" i="14" s="1"/>
  <c r="AS27" i="14" s="1"/>
  <c r="AR73" i="4"/>
  <c r="AQ31" i="14"/>
  <c r="W28" i="15"/>
  <c r="L28" i="15"/>
  <c r="W31" i="15"/>
  <c r="H21" i="14"/>
  <c r="AR31" i="14"/>
  <c r="AP31" i="14"/>
  <c r="AY85" i="4"/>
  <c r="AH10" i="15" s="1"/>
  <c r="H172" i="14"/>
  <c r="K172" i="14" s="1"/>
  <c r="N172" i="14" s="1"/>
  <c r="AO31" i="14"/>
  <c r="AW77" i="4"/>
  <c r="AF6" i="15" s="1"/>
  <c r="AN11" i="14" s="1"/>
  <c r="AO11" i="14" s="1"/>
  <c r="AP11" i="14" s="1"/>
  <c r="AQ11" i="14" s="1"/>
  <c r="AR11" i="14" s="1"/>
  <c r="AS11" i="14" s="1"/>
  <c r="H175" i="14"/>
  <c r="AY77" i="4"/>
  <c r="AS31" i="14"/>
  <c r="AW73" i="4"/>
  <c r="AE6" i="15" s="1"/>
  <c r="AN5" i="14" s="1"/>
  <c r="AE36" i="15"/>
  <c r="AE40" i="15" s="1"/>
  <c r="K21" i="14"/>
  <c r="J19" i="14"/>
  <c r="G19" i="14"/>
  <c r="H19" i="14"/>
  <c r="I19" i="14"/>
  <c r="L19" i="14"/>
  <c r="Y19" i="14"/>
  <c r="AR45" i="4"/>
  <c r="AC17" i="14"/>
  <c r="Q17" i="14"/>
  <c r="I21" i="14"/>
  <c r="L21" i="14"/>
  <c r="AX65" i="4"/>
  <c r="AR65" i="4"/>
  <c r="W21" i="14"/>
  <c r="W19" i="14"/>
  <c r="AR25" i="4"/>
  <c r="U19" i="14"/>
  <c r="K19" i="14"/>
  <c r="AE17" i="14"/>
  <c r="T19" i="14"/>
  <c r="BC65" i="4"/>
  <c r="X19" i="14"/>
  <c r="Y21" i="14"/>
  <c r="U21" i="14"/>
  <c r="AN109" i="4"/>
  <c r="X21" i="14"/>
  <c r="V21" i="14"/>
  <c r="V19" i="14"/>
  <c r="T21" i="14"/>
  <c r="K176" i="14"/>
  <c r="N176" i="14" s="1"/>
  <c r="W6" i="15"/>
  <c r="T17" i="14" s="1"/>
  <c r="U17" i="14" s="1"/>
  <c r="V17" i="14" s="1"/>
  <c r="W17" i="14" s="1"/>
  <c r="X17" i="14" s="1"/>
  <c r="Y17" i="14" s="1"/>
  <c r="AY65" i="4"/>
  <c r="F75" i="14"/>
  <c r="AN65" i="4"/>
  <c r="AN25" i="4"/>
  <c r="G21" i="14"/>
  <c r="J21" i="14"/>
  <c r="L36" i="15"/>
  <c r="AY73" i="4"/>
  <c r="G194" i="14"/>
  <c r="H170" i="14"/>
  <c r="K170" i="14" s="1"/>
  <c r="N170" i="14" s="1"/>
  <c r="F194" i="14"/>
  <c r="AW25" i="4"/>
  <c r="L6" i="15" s="1"/>
  <c r="G17" i="14" s="1"/>
  <c r="H17" i="14" s="1"/>
  <c r="I17" i="14" s="1"/>
  <c r="J17" i="14" s="1"/>
  <c r="K17" i="14" s="1"/>
  <c r="L17" i="14" s="1"/>
  <c r="P17" i="14"/>
  <c r="AY25" i="4"/>
  <c r="AY109" i="4"/>
  <c r="R17" i="14"/>
  <c r="L38" i="15"/>
  <c r="AX45" i="4"/>
  <c r="L8" i="15" s="1"/>
  <c r="AN45" i="4"/>
  <c r="AR85" i="4"/>
  <c r="J170" i="14"/>
  <c r="L170" i="14" s="1"/>
  <c r="AA106" i="4"/>
  <c r="AG106" i="4"/>
  <c r="AY45" i="4"/>
  <c r="G75" i="14"/>
  <c r="BB65" i="4"/>
  <c r="J176" i="14"/>
  <c r="L176" i="14" s="1"/>
  <c r="S28" i="15"/>
  <c r="H31" i="15"/>
  <c r="AE6" i="4"/>
  <c r="AF7" i="4"/>
  <c r="H38" i="15"/>
  <c r="S38" i="15" s="1"/>
  <c r="W40" i="15"/>
  <c r="I63" i="14"/>
  <c r="H63" i="14"/>
  <c r="CH12" i="9"/>
  <c r="AB42" i="4" s="1"/>
  <c r="AL21" i="4"/>
  <c r="H36" i="15"/>
  <c r="AE22" i="4" l="1"/>
  <c r="AC61" i="4"/>
  <c r="AA21" i="4"/>
  <c r="AG21" i="4"/>
  <c r="X41" i="4"/>
  <c r="AC105" i="4"/>
  <c r="X42" i="4"/>
  <c r="AF62" i="4"/>
  <c r="AC62" i="4"/>
  <c r="AC41" i="4"/>
  <c r="AB41" i="4"/>
  <c r="AF22" i="4"/>
  <c r="AB21" i="4"/>
  <c r="AC21" i="4"/>
  <c r="AD42" i="4"/>
  <c r="AD62" i="4"/>
  <c r="W15" i="14" s="1"/>
  <c r="AE62" i="4"/>
  <c r="AA41" i="4"/>
  <c r="AD61" i="4"/>
  <c r="W13" i="14" s="1"/>
  <c r="AB22" i="4"/>
  <c r="AA22" i="4"/>
  <c r="AD21" i="4"/>
  <c r="AE42" i="4"/>
  <c r="AB61" i="4"/>
  <c r="AF21" i="4"/>
  <c r="AF42" i="4"/>
  <c r="AA61" i="4"/>
  <c r="AG62" i="4"/>
  <c r="AA42" i="4"/>
  <c r="AB62" i="4"/>
  <c r="U15" i="14" s="1"/>
  <c r="AA62" i="4"/>
  <c r="T15" i="14" s="1"/>
  <c r="AE41" i="4"/>
  <c r="AE61" i="4"/>
  <c r="X13" i="14" s="1"/>
  <c r="AV16" i="11"/>
  <c r="AV17" i="11" s="1"/>
  <c r="AV18" i="11" s="1"/>
  <c r="AV19" i="11" s="1"/>
  <c r="AV20" i="11" s="1"/>
  <c r="AV21" i="11" s="1"/>
  <c r="AV22" i="11" s="1"/>
  <c r="AV23" i="11" s="1"/>
  <c r="AV24" i="11" s="1"/>
  <c r="AV25" i="11" s="1"/>
  <c r="AV26" i="11" s="1"/>
  <c r="AV27" i="11" s="1"/>
  <c r="AV28" i="11" s="1"/>
  <c r="AV29" i="11" s="1"/>
  <c r="AV30" i="11" s="1"/>
  <c r="AV31" i="11" s="1"/>
  <c r="AV32" i="11" s="1"/>
  <c r="AV33" i="11" s="1"/>
  <c r="AV34" i="11" s="1"/>
  <c r="AV35" i="11" s="1"/>
  <c r="AV36" i="11" s="1"/>
  <c r="AV37" i="11" s="1"/>
  <c r="AV38" i="11" s="1"/>
  <c r="AV39" i="11" s="1"/>
  <c r="AV40" i="11" s="1"/>
  <c r="AV41" i="11" s="1"/>
  <c r="AV42" i="11" s="1"/>
  <c r="AV43" i="11" s="1"/>
  <c r="AV44" i="11" s="1"/>
  <c r="AV45" i="11" s="1"/>
  <c r="AV46" i="11" s="1"/>
  <c r="AV47" i="11" s="1"/>
  <c r="AV48" i="11" s="1"/>
  <c r="AV49" i="11" s="1"/>
  <c r="AV50" i="11" s="1"/>
  <c r="AV51" i="11" s="1"/>
  <c r="AV52" i="11" s="1"/>
  <c r="AV53" i="11" s="1"/>
  <c r="AV54" i="11" s="1"/>
  <c r="AV55" i="11" s="1"/>
  <c r="AV56" i="11" s="1"/>
  <c r="AV57" i="11" s="1"/>
  <c r="AV58" i="11" s="1"/>
  <c r="AV59" i="11" s="1"/>
  <c r="AV60" i="11" s="1"/>
  <c r="AV61" i="11" s="1"/>
  <c r="AV62" i="11" s="1"/>
  <c r="AV63" i="11" s="1"/>
  <c r="AV64" i="11" s="1"/>
  <c r="AV65" i="11" s="1"/>
  <c r="AV66" i="11" s="1"/>
  <c r="AV67" i="11" s="1"/>
  <c r="AV68" i="11" s="1"/>
  <c r="AV69" i="11" s="1"/>
  <c r="AV70" i="11" s="1"/>
  <c r="AV71" i="11" s="1"/>
  <c r="AV72" i="11" s="1"/>
  <c r="AV73" i="11" s="1"/>
  <c r="AV74" i="11" s="1"/>
  <c r="AV75" i="11" s="1"/>
  <c r="AV76" i="11" s="1"/>
  <c r="AV77" i="11" s="1"/>
  <c r="AV78" i="11" s="1"/>
  <c r="AV79" i="11" s="1"/>
  <c r="AV80" i="11" s="1"/>
  <c r="AV81" i="11" s="1"/>
  <c r="AV82" i="11" s="1"/>
  <c r="AV83" i="11" s="1"/>
  <c r="AV84" i="11" s="1"/>
  <c r="AV85" i="11" s="1"/>
  <c r="AV86" i="11" s="1"/>
  <c r="AV87" i="11" s="1"/>
  <c r="AV88" i="11" s="1"/>
  <c r="AV89" i="11" s="1"/>
  <c r="AV90" i="11" s="1"/>
  <c r="AV91" i="11" s="1"/>
  <c r="AV92" i="11" s="1"/>
  <c r="AV93" i="11" s="1"/>
  <c r="AV94" i="11" s="1"/>
  <c r="AV95" i="11" s="1"/>
  <c r="AV96" i="11" s="1"/>
  <c r="AV97" i="11" s="1"/>
  <c r="AV98" i="11" s="1"/>
  <c r="AV99" i="11" s="1"/>
  <c r="AV100" i="11" s="1"/>
  <c r="AV101" i="11" s="1"/>
  <c r="AV102" i="11" s="1"/>
  <c r="AV103" i="11" s="1"/>
  <c r="AV104" i="11" s="1"/>
  <c r="AV105" i="11" s="1"/>
  <c r="AV106" i="11" s="1"/>
  <c r="AV107" i="11" s="1"/>
  <c r="AV108" i="11" s="1"/>
  <c r="AV109" i="11" s="1"/>
  <c r="AV110" i="11" s="1"/>
  <c r="AV111" i="11" s="1"/>
  <c r="AV112" i="11" s="1"/>
  <c r="AV113" i="11" s="1"/>
  <c r="AV114" i="11" s="1"/>
  <c r="AV115" i="11" s="1"/>
  <c r="AV116" i="11" s="1"/>
  <c r="AV117" i="11" s="1"/>
  <c r="AV118" i="11" s="1"/>
  <c r="AV119" i="11" s="1"/>
  <c r="AV120" i="11" s="1"/>
  <c r="AV121" i="11" s="1"/>
  <c r="AV122" i="11" s="1"/>
  <c r="AV123" i="11" s="1"/>
  <c r="AV124" i="11" s="1"/>
  <c r="AV125" i="11" s="1"/>
  <c r="AV126" i="11" s="1"/>
  <c r="AV127" i="11" s="1"/>
  <c r="AV128" i="11" s="1"/>
  <c r="AV129" i="11" s="1"/>
  <c r="AV130" i="11" s="1"/>
  <c r="AV131" i="11" s="1"/>
  <c r="AV132" i="11" s="1"/>
  <c r="AV133" i="11" s="1"/>
  <c r="AV134" i="11" s="1"/>
  <c r="AV135" i="11" s="1"/>
  <c r="AV136" i="11" s="1"/>
  <c r="AV137" i="11" s="1"/>
  <c r="AV138" i="11" s="1"/>
  <c r="AV139" i="11" s="1"/>
  <c r="AV140" i="11" s="1"/>
  <c r="AV141" i="11" s="1"/>
  <c r="AV142" i="11" s="1"/>
  <c r="AV143" i="11" s="1"/>
  <c r="AV144" i="11" s="1"/>
  <c r="AV145" i="11" s="1"/>
  <c r="AV146" i="11" s="1"/>
  <c r="AV147" i="11" s="1"/>
  <c r="AV148" i="11" s="1"/>
  <c r="AV149" i="11" s="1"/>
  <c r="AV150" i="11" s="1"/>
  <c r="AV151" i="11" s="1"/>
  <c r="AV152" i="11" s="1"/>
  <c r="AV153" i="11" s="1"/>
  <c r="AV154" i="11" s="1"/>
  <c r="AV155" i="11" s="1"/>
  <c r="AV156" i="11" s="1"/>
  <c r="AV157" i="11" s="1"/>
  <c r="AV158" i="11" s="1"/>
  <c r="AV159" i="11" s="1"/>
  <c r="AV160" i="11" s="1"/>
  <c r="AV161" i="11" s="1"/>
  <c r="AV162" i="11" s="1"/>
  <c r="AV163" i="11" s="1"/>
  <c r="AV164" i="11" s="1"/>
  <c r="AV165" i="11" s="1"/>
  <c r="AV166" i="11" s="1"/>
  <c r="AV167" i="11" s="1"/>
  <c r="AV168" i="11" s="1"/>
  <c r="AV169" i="11" s="1"/>
  <c r="AV170" i="11" s="1"/>
  <c r="AV171" i="11" s="1"/>
  <c r="AV172" i="11" s="1"/>
  <c r="AV173" i="11" s="1"/>
  <c r="AV174" i="11" s="1"/>
  <c r="AV175" i="11" s="1"/>
  <c r="AV176" i="11" s="1"/>
  <c r="AU105" i="4"/>
  <c r="AF61" i="4"/>
  <c r="Y13" i="14" s="1"/>
  <c r="AG61" i="4"/>
  <c r="AG41" i="4"/>
  <c r="AD41" i="4"/>
  <c r="AG22" i="4"/>
  <c r="AF41" i="4"/>
  <c r="AC42" i="4"/>
  <c r="AC22" i="4"/>
  <c r="AG42" i="4"/>
  <c r="AD22" i="4"/>
  <c r="AE21" i="4"/>
  <c r="AN32" i="14"/>
  <c r="AN33" i="14" s="1"/>
  <c r="AO5" i="14"/>
  <c r="AO32" i="14" s="1"/>
  <c r="AO33" i="14" s="1"/>
  <c r="W8" i="15"/>
  <c r="L194" i="14"/>
  <c r="H75" i="14"/>
  <c r="J194" i="14"/>
  <c r="L40" i="15"/>
  <c r="AK61" i="4"/>
  <c r="AW61" i="4" s="1"/>
  <c r="I75" i="14"/>
  <c r="AT105" i="4"/>
  <c r="AK105" i="4"/>
  <c r="AW105" i="4" s="1"/>
  <c r="AM105" i="4"/>
  <c r="AX105" i="4" s="1"/>
  <c r="AB105" i="4"/>
  <c r="AD105" i="4"/>
  <c r="AA105" i="4"/>
  <c r="AF106" i="4"/>
  <c r="AQ105" i="4"/>
  <c r="AG105" i="4"/>
  <c r="AB106" i="4"/>
  <c r="AF105" i="4"/>
  <c r="AL61" i="4"/>
  <c r="AD11" i="14" s="1"/>
  <c r="AL105" i="4"/>
  <c r="AP105" i="4"/>
  <c r="AC106" i="4"/>
  <c r="AE105" i="4"/>
  <c r="AD106" i="4"/>
  <c r="AE106" i="4"/>
  <c r="AK41" i="4"/>
  <c r="AW41" i="4" s="1"/>
  <c r="AQ41" i="4"/>
  <c r="AT61" i="4"/>
  <c r="F73" i="14" s="1"/>
  <c r="AM41" i="4"/>
  <c r="AX41" i="4" s="1"/>
  <c r="AP21" i="4"/>
  <c r="AU61" i="4"/>
  <c r="AQ21" i="4"/>
  <c r="AT41" i="4"/>
  <c r="AP61" i="4"/>
  <c r="AM61" i="4"/>
  <c r="AE11" i="14" s="1"/>
  <c r="AT21" i="4"/>
  <c r="F61" i="14" s="1"/>
  <c r="AU21" i="4"/>
  <c r="X15" i="14"/>
  <c r="AM21" i="4"/>
  <c r="AN21" i="4" s="1"/>
  <c r="AL41" i="4"/>
  <c r="Q11" i="14" s="1"/>
  <c r="AK21" i="4"/>
  <c r="AU41" i="4"/>
  <c r="AG7" i="4"/>
  <c r="X86" i="4" s="1"/>
  <c r="AF6" i="4"/>
  <c r="AP41" i="4"/>
  <c r="AQ61" i="4"/>
  <c r="N17" i="14"/>
  <c r="AA17" i="14"/>
  <c r="S36" i="15"/>
  <c r="S40" i="15" s="1"/>
  <c r="H40" i="15"/>
  <c r="Y41" i="4" l="1"/>
  <c r="H13" i="14"/>
  <c r="AV177" i="11"/>
  <c r="AP5" i="14"/>
  <c r="AP32" i="14" s="1"/>
  <c r="AP33" i="14" s="1"/>
  <c r="X77" i="4"/>
  <c r="X22" i="4"/>
  <c r="X73" i="4"/>
  <c r="X62" i="4"/>
  <c r="X89" i="4"/>
  <c r="X21" i="4"/>
  <c r="X65" i="4"/>
  <c r="X90" i="4"/>
  <c r="X82" i="4"/>
  <c r="AH85" i="4"/>
  <c r="X78" i="4"/>
  <c r="X46" i="4"/>
  <c r="X26" i="4"/>
  <c r="X74" i="4"/>
  <c r="X25" i="4"/>
  <c r="X85" i="4"/>
  <c r="Y85" i="4" s="1"/>
  <c r="X61" i="4"/>
  <c r="X81" i="4"/>
  <c r="X45" i="4"/>
  <c r="X66" i="4"/>
  <c r="AH77" i="4"/>
  <c r="AH45" i="4"/>
  <c r="X105" i="4"/>
  <c r="X109" i="4"/>
  <c r="AH110" i="4"/>
  <c r="AH109" i="4"/>
  <c r="X110" i="4"/>
  <c r="AH73" i="4"/>
  <c r="AH81" i="4"/>
  <c r="AH66" i="4"/>
  <c r="AA21" i="14" s="1"/>
  <c r="AH26" i="4"/>
  <c r="AH86" i="4"/>
  <c r="AH82" i="4"/>
  <c r="AH78" i="4"/>
  <c r="K36" i="15"/>
  <c r="AN105" i="4"/>
  <c r="AY105" i="4"/>
  <c r="AH105" i="4"/>
  <c r="AR105" i="4"/>
  <c r="X106" i="4"/>
  <c r="AH106" i="4"/>
  <c r="V13" i="14"/>
  <c r="V15" i="14"/>
  <c r="V36" i="15"/>
  <c r="AC11" i="14"/>
  <c r="L13" i="14"/>
  <c r="AH41" i="4"/>
  <c r="AH65" i="4"/>
  <c r="AA19" i="14" s="1"/>
  <c r="AY61" i="4"/>
  <c r="K28" i="15"/>
  <c r="AN61" i="4"/>
  <c r="AX21" i="4"/>
  <c r="K8" i="15" s="1"/>
  <c r="AH42" i="4"/>
  <c r="AH21" i="4"/>
  <c r="J15" i="14"/>
  <c r="G13" i="14"/>
  <c r="AH61" i="4"/>
  <c r="AA13" i="14" s="1"/>
  <c r="R11" i="14"/>
  <c r="K38" i="15"/>
  <c r="K31" i="15"/>
  <c r="AY41" i="4"/>
  <c r="AW21" i="4"/>
  <c r="K6" i="15" s="1"/>
  <c r="AX61" i="4"/>
  <c r="V8" i="15" s="1"/>
  <c r="P11" i="14"/>
  <c r="V38" i="15"/>
  <c r="AY21" i="4"/>
  <c r="H15" i="14"/>
  <c r="V31" i="15"/>
  <c r="V28" i="15" s="1"/>
  <c r="T13" i="14"/>
  <c r="AH46" i="4"/>
  <c r="AH62" i="4"/>
  <c r="AA15" i="14" s="1"/>
  <c r="AG6" i="4"/>
  <c r="AH25" i="4"/>
  <c r="AH89" i="4"/>
  <c r="AH74" i="4"/>
  <c r="AH90" i="4"/>
  <c r="Y15" i="14"/>
  <c r="I13" i="14"/>
  <c r="K15" i="14"/>
  <c r="V6" i="15"/>
  <c r="J13" i="14"/>
  <c r="L15" i="14"/>
  <c r="U13" i="14"/>
  <c r="AN41" i="4"/>
  <c r="I15" i="14"/>
  <c r="K13" i="14"/>
  <c r="AH22" i="4"/>
  <c r="G15" i="14"/>
  <c r="AI85" i="4" l="1"/>
  <c r="Y73" i="4"/>
  <c r="Y61" i="4"/>
  <c r="AV178" i="11"/>
  <c r="AV179" i="11" s="1"/>
  <c r="AV180" i="11" s="1"/>
  <c r="AV181" i="11" s="1"/>
  <c r="AV182" i="11" s="1"/>
  <c r="AV183" i="11" s="1"/>
  <c r="AV184" i="11" s="1"/>
  <c r="AV185" i="11" s="1"/>
  <c r="AV186" i="11" s="1"/>
  <c r="AV187" i="11" s="1"/>
  <c r="AV188" i="11" s="1"/>
  <c r="AV189" i="11" s="1"/>
  <c r="AV190" i="11" s="1"/>
  <c r="AV191" i="11" s="1"/>
  <c r="AV192" i="11" s="1"/>
  <c r="AV193" i="11" s="1"/>
  <c r="AV194" i="11" s="1"/>
  <c r="AV195" i="11" s="1"/>
  <c r="AV196" i="11" s="1"/>
  <c r="AV197" i="11" s="1"/>
  <c r="AV198" i="11" s="1"/>
  <c r="AV199" i="11" s="1"/>
  <c r="AV200" i="11" s="1"/>
  <c r="AV201" i="11" s="1"/>
  <c r="AV202" i="11" s="1"/>
  <c r="AV203" i="11" s="1"/>
  <c r="AV204" i="11" s="1"/>
  <c r="AV205" i="11" s="1"/>
  <c r="AV206" i="11" s="1"/>
  <c r="AV207" i="11" s="1"/>
  <c r="AV208" i="11" s="1"/>
  <c r="AV209" i="11" s="1"/>
  <c r="AV210" i="11" s="1"/>
  <c r="AV211" i="11" s="1"/>
  <c r="AV212" i="11" s="1"/>
  <c r="AV213" i="11" s="1"/>
  <c r="AV214" i="11" s="1"/>
  <c r="AV215" i="11" s="1"/>
  <c r="AV216" i="11" s="1"/>
  <c r="AV217" i="11" s="1"/>
  <c r="AV218" i="11" s="1"/>
  <c r="AV219" i="11" s="1"/>
  <c r="AV220" i="11" s="1"/>
  <c r="AV221" i="11" s="1"/>
  <c r="AV222" i="11" s="1"/>
  <c r="AV223" i="11" s="1"/>
  <c r="AV224" i="11" s="1"/>
  <c r="AV225" i="11" s="1"/>
  <c r="AV226" i="11" s="1"/>
  <c r="AV227" i="11" s="1"/>
  <c r="AV228" i="11" s="1"/>
  <c r="AV229" i="11" s="1"/>
  <c r="AV230" i="11" s="1"/>
  <c r="AV231" i="11" s="1"/>
  <c r="AV232" i="11" s="1"/>
  <c r="Y81" i="4"/>
  <c r="Y65" i="4"/>
  <c r="Y25" i="4"/>
  <c r="N21" i="14"/>
  <c r="Y45" i="4"/>
  <c r="AI73" i="4"/>
  <c r="AQ5" i="14"/>
  <c r="AQ32" i="14" s="1"/>
  <c r="AQ33" i="14" s="1"/>
  <c r="Y77" i="4"/>
  <c r="Y89" i="4"/>
  <c r="Y21" i="4"/>
  <c r="AI77" i="4"/>
  <c r="AI109" i="4"/>
  <c r="Y105" i="4"/>
  <c r="AI81" i="4"/>
  <c r="Y109" i="4"/>
  <c r="K40" i="15"/>
  <c r="AI105" i="4"/>
  <c r="AI65" i="4"/>
  <c r="V40" i="15"/>
  <c r="N13" i="14"/>
  <c r="AI41" i="4"/>
  <c r="AI45" i="4"/>
  <c r="AI61" i="4"/>
  <c r="AI89" i="4"/>
  <c r="N19" i="14"/>
  <c r="AI25" i="4"/>
  <c r="G11" i="14"/>
  <c r="AI21" i="4"/>
  <c r="N15" i="14"/>
  <c r="T11" i="14"/>
  <c r="AV233" i="11" l="1"/>
  <c r="AV234" i="11" s="1"/>
  <c r="AV235" i="11" s="1"/>
  <c r="AV236" i="11" s="1"/>
  <c r="AV237" i="11" s="1"/>
  <c r="AV238" i="11" s="1"/>
  <c r="AV239" i="11" s="1"/>
  <c r="AV240" i="11" s="1"/>
  <c r="AV241" i="11" s="1"/>
  <c r="AV242" i="11" s="1"/>
  <c r="AV243" i="11" s="1"/>
  <c r="AV244" i="11" s="1"/>
  <c r="AV245" i="11" s="1"/>
  <c r="AV246" i="11" s="1"/>
  <c r="AV247" i="11" s="1"/>
  <c r="AV248" i="11" s="1"/>
  <c r="AV249" i="11" s="1"/>
  <c r="AV250" i="11" s="1"/>
  <c r="AV251" i="11" s="1"/>
  <c r="AV252" i="11" s="1"/>
  <c r="AV253" i="11" s="1"/>
  <c r="AV254" i="11" s="1"/>
  <c r="AV255" i="11" s="1"/>
  <c r="AV256" i="11" s="1"/>
  <c r="AV257" i="11" s="1"/>
  <c r="AV258" i="11" s="1"/>
  <c r="AV259" i="11" s="1"/>
  <c r="AV260" i="11" s="1"/>
  <c r="AV261" i="11" s="1"/>
  <c r="AV262" i="11" s="1"/>
  <c r="AV263" i="11" s="1"/>
  <c r="AV264" i="11" s="1"/>
  <c r="AV265" i="11" s="1"/>
  <c r="AV266" i="11" s="1"/>
  <c r="AV267" i="11" s="1"/>
  <c r="AV268" i="11" s="1"/>
  <c r="AV269" i="11" s="1"/>
  <c r="AV270" i="11" s="1"/>
  <c r="AV271" i="11" s="1"/>
  <c r="AV272" i="11" s="1"/>
  <c r="AV273" i="11" s="1"/>
  <c r="AV274" i="11" s="1"/>
  <c r="AV275" i="11" s="1"/>
  <c r="AV276" i="11" s="1"/>
  <c r="AV277" i="11" s="1"/>
  <c r="AV278" i="11" s="1"/>
  <c r="AV279" i="11" s="1"/>
  <c r="AV280" i="11" s="1"/>
  <c r="AV281" i="11" s="1"/>
  <c r="AV282" i="11" s="1"/>
  <c r="AV283" i="11" s="1"/>
  <c r="AV284" i="11" s="1"/>
  <c r="AV285" i="11" s="1"/>
  <c r="AV286" i="11" s="1"/>
  <c r="AV287" i="11" s="1"/>
  <c r="AV288" i="11" s="1"/>
  <c r="AV289" i="11" s="1"/>
  <c r="AV290" i="11" s="1"/>
  <c r="AV291" i="11" s="1"/>
  <c r="AV292" i="11" s="1"/>
  <c r="AV293" i="11" s="1"/>
  <c r="AV294" i="11" s="1"/>
  <c r="AV295" i="11" s="1"/>
  <c r="AV296" i="11" s="1"/>
  <c r="AV297" i="11" s="1"/>
  <c r="AV298" i="11" s="1"/>
  <c r="AV299" i="11" s="1"/>
  <c r="AV300" i="11" s="1"/>
  <c r="AV301" i="11" s="1"/>
  <c r="AV302" i="11" s="1"/>
  <c r="AV303" i="11" s="1"/>
  <c r="AV304" i="11" s="1"/>
  <c r="AV305" i="11" s="1"/>
  <c r="AV306" i="11" s="1"/>
  <c r="AV307" i="11" s="1"/>
  <c r="AV308" i="11" s="1"/>
  <c r="AV309" i="11" s="1"/>
  <c r="AV310" i="11" s="1"/>
  <c r="AV311" i="11" s="1"/>
  <c r="AV312" i="11" s="1"/>
  <c r="AV313" i="11" s="1"/>
  <c r="AV314" i="11" s="1"/>
  <c r="AV315" i="11" s="1"/>
  <c r="AV316" i="11" s="1"/>
  <c r="AV317" i="11" s="1"/>
  <c r="AV318" i="11" s="1"/>
  <c r="AV319" i="11" s="1"/>
  <c r="AV320" i="11" s="1"/>
  <c r="AV321" i="11" s="1"/>
  <c r="AV322" i="11" s="1"/>
  <c r="AV323" i="11" s="1"/>
  <c r="AV324" i="11" s="1"/>
  <c r="AV325" i="11" s="1"/>
  <c r="AV326" i="11" s="1"/>
  <c r="AV327" i="11" s="1"/>
  <c r="AV328" i="11" s="1"/>
  <c r="AV329" i="11" s="1"/>
  <c r="AV330" i="11" s="1"/>
  <c r="AV331" i="11" s="1"/>
  <c r="AV332" i="11" s="1"/>
  <c r="AV333" i="11" s="1"/>
  <c r="AV334" i="11" s="1"/>
  <c r="AV335" i="11" s="1"/>
  <c r="AV336" i="11" s="1"/>
  <c r="AV337" i="11" s="1"/>
  <c r="AV338" i="11" s="1"/>
  <c r="AV339" i="11" s="1"/>
  <c r="AV340" i="11" s="1"/>
  <c r="AV341" i="11" s="1"/>
  <c r="AV342" i="11" s="1"/>
  <c r="AV343" i="11" s="1"/>
  <c r="AV344" i="11" s="1"/>
  <c r="AV345" i="11" s="1"/>
  <c r="AV346" i="11" s="1"/>
  <c r="AV347" i="11" s="1"/>
  <c r="AV348" i="11" s="1"/>
  <c r="AV349" i="11" s="1"/>
  <c r="AV350" i="11" s="1"/>
  <c r="AV351" i="11" s="1"/>
  <c r="AV352" i="11" s="1"/>
  <c r="AV353" i="11" s="1"/>
  <c r="AV354" i="11" s="1"/>
  <c r="AV355" i="11" s="1"/>
  <c r="AV356" i="11" s="1"/>
  <c r="AV357" i="11" s="1"/>
  <c r="AV358" i="11" s="1"/>
  <c r="AV359" i="11" s="1"/>
  <c r="AV360" i="11" s="1"/>
  <c r="AV361" i="11" s="1"/>
  <c r="AV362" i="11" s="1"/>
  <c r="AR5" i="14"/>
  <c r="AR32" i="14" s="1"/>
  <c r="AR33" i="14" s="1"/>
  <c r="H11" i="14"/>
  <c r="I11" i="14" s="1"/>
  <c r="J11" i="14" s="1"/>
  <c r="K11" i="14" s="1"/>
  <c r="L11" i="14" s="1"/>
  <c r="U11" i="14"/>
  <c r="V11" i="14" s="1"/>
  <c r="W11" i="14" s="1"/>
  <c r="X11" i="14" s="1"/>
  <c r="Y11" i="14" s="1"/>
  <c r="AS5" i="14" l="1"/>
  <c r="AS32" i="14" s="1"/>
  <c r="AS33" i="14" s="1"/>
  <c r="N11" i="14"/>
  <c r="AA11" i="14"/>
  <c r="AR61" i="4" l="1"/>
  <c r="G73" i="14"/>
  <c r="BC61" i="4"/>
  <c r="BB61" i="4"/>
  <c r="G61" i="14" l="1"/>
  <c r="AR21" i="4"/>
  <c r="AR41" i="4"/>
  <c r="I73" i="14"/>
  <c r="H73" i="14"/>
  <c r="I61" i="14" l="1"/>
  <c r="H61" i="14"/>
  <c r="AV363" i="11" l="1"/>
  <c r="AV364" i="11" l="1"/>
  <c r="AV365" i="11" l="1"/>
  <c r="AV366" i="11" s="1"/>
  <c r="AV367" i="11" s="1"/>
  <c r="AV368" i="11" l="1"/>
  <c r="AV369" i="11" l="1"/>
  <c r="AV370" i="11" s="1"/>
  <c r="AV371" i="11" s="1"/>
  <c r="AV372" i="11" s="1"/>
  <c r="AV373" i="11" s="1"/>
  <c r="AV374" i="11" s="1"/>
  <c r="AV375" i="11" s="1"/>
  <c r="AV376" i="11" s="1"/>
  <c r="AV377" i="11" s="1"/>
  <c r="AV378" i="11" s="1"/>
  <c r="AV379" i="11" s="1"/>
  <c r="AV380" i="11" s="1"/>
  <c r="AV381" i="11" s="1"/>
  <c r="AV382" i="11" s="1"/>
  <c r="AV383" i="11" s="1"/>
  <c r="AV384" i="11" s="1"/>
  <c r="AV385" i="11" s="1"/>
  <c r="AV386" i="11" s="1"/>
  <c r="AV387" i="11" s="1"/>
  <c r="AV388" i="11" s="1"/>
  <c r="AV389" i="11" s="1"/>
  <c r="AV390" i="11" s="1"/>
  <c r="AV391" i="11" s="1"/>
  <c r="AV392" i="11" s="1"/>
  <c r="AV393" i="11" s="1"/>
  <c r="AV394" i="11" l="1"/>
  <c r="AV395" i="11" l="1"/>
  <c r="AV396" i="11" s="1"/>
  <c r="AV397" i="11" s="1"/>
  <c r="AV398" i="11" s="1"/>
  <c r="AV399" i="11" s="1"/>
  <c r="AV400" i="11" s="1"/>
  <c r="AV401" i="11" s="1"/>
  <c r="AV402" i="11" s="1"/>
  <c r="AV403" i="11" l="1"/>
  <c r="AV404" i="11" s="1"/>
  <c r="AV405" i="11" s="1"/>
  <c r="AV406" i="11" l="1"/>
  <c r="AV407" i="11" s="1"/>
  <c r="AV408" i="11" s="1"/>
  <c r="AV409" i="11" s="1"/>
  <c r="AV410" i="11" s="1"/>
  <c r="AV411" i="11" l="1"/>
  <c r="AV412" i="11" l="1"/>
  <c r="AV413" i="11" s="1"/>
  <c r="AV414" i="11" s="1"/>
  <c r="AV415" i="11" s="1"/>
  <c r="AV416" i="11" s="1"/>
  <c r="AV417" i="11" s="1"/>
  <c r="AV418" i="11" s="1"/>
  <c r="AV419" i="11" s="1"/>
  <c r="AV420" i="11" s="1"/>
  <c r="AV421" i="11" s="1"/>
  <c r="AV422" i="11" s="1"/>
  <c r="AV423" i="11" s="1"/>
  <c r="AV424" i="11" s="1"/>
  <c r="AV425" i="11" s="1"/>
  <c r="AV426" i="11" s="1"/>
  <c r="AV427" i="11" s="1"/>
  <c r="AV428" i="11" s="1"/>
  <c r="AV429" i="11" s="1"/>
  <c r="AV430" i="11" s="1"/>
  <c r="AV431" i="11" s="1"/>
  <c r="AV432" i="11" s="1"/>
  <c r="AV433" i="11" s="1"/>
  <c r="AV434" i="11" s="1"/>
  <c r="AV435" i="11" s="1"/>
  <c r="AV436" i="11" s="1"/>
  <c r="AV437" i="11" s="1"/>
  <c r="AV438" i="11" s="1"/>
  <c r="AV439" i="11" s="1"/>
  <c r="AV440" i="11" s="1"/>
  <c r="AV441" i="11" s="1"/>
  <c r="AV442" i="11" s="1"/>
  <c r="AV443" i="11" s="1"/>
  <c r="AV444" i="11" s="1"/>
  <c r="AV445" i="11" s="1"/>
  <c r="AV446" i="11" s="1"/>
  <c r="AV447" i="11" s="1"/>
  <c r="AV448" i="11" s="1"/>
  <c r="AV449" i="11" s="1"/>
  <c r="AV450" i="11" s="1"/>
  <c r="AV451" i="11" s="1"/>
  <c r="AV452" i="11" s="1"/>
  <c r="AV453" i="11" s="1"/>
  <c r="AV454" i="11" s="1"/>
  <c r="AV455" i="11" s="1"/>
  <c r="AV456" i="11" s="1"/>
  <c r="AV457" i="11" s="1"/>
  <c r="AV458" i="11" s="1"/>
  <c r="AV459" i="11" s="1"/>
  <c r="AV460" i="11" s="1"/>
  <c r="AV461" i="11" s="1"/>
  <c r="AV462" i="11" s="1"/>
  <c r="AV463" i="11" s="1"/>
  <c r="AV464" i="11" s="1"/>
  <c r="AV465" i="11" s="1"/>
  <c r="AV466" i="11" s="1"/>
  <c r="AV467" i="11" s="1"/>
  <c r="AV468" i="11" s="1"/>
  <c r="AV469" i="11" s="1"/>
  <c r="AV470" i="11" s="1"/>
  <c r="AV471" i="11" s="1"/>
  <c r="AV472" i="11" s="1"/>
  <c r="AV473" i="11" s="1"/>
  <c r="AV474" i="11" s="1"/>
  <c r="AV475" i="11" s="1"/>
  <c r="AV476" i="11" s="1"/>
  <c r="AV477" i="11" s="1"/>
  <c r="AV478" i="11" s="1"/>
  <c r="AV479" i="11" s="1"/>
  <c r="AV480" i="11" s="1"/>
  <c r="AV481" i="11" s="1"/>
  <c r="AV482" i="11" s="1"/>
  <c r="AV483" i="11" s="1"/>
  <c r="AV484" i="11" s="1"/>
  <c r="AV485" i="11" s="1"/>
  <c r="AV486" i="11" s="1"/>
  <c r="AV487" i="11" s="1"/>
  <c r="AV488" i="11" s="1"/>
  <c r="AV489" i="11" s="1"/>
  <c r="AV490" i="11" s="1"/>
  <c r="AV491" i="11" s="1"/>
  <c r="AV492" i="11" s="1"/>
  <c r="AV493" i="11" s="1"/>
  <c r="AV494" i="11" s="1"/>
  <c r="AV495" i="11" s="1"/>
  <c r="AV496" i="11" s="1"/>
  <c r="AV497" i="11" s="1"/>
  <c r="AV498" i="11" s="1"/>
  <c r="AV499" i="11" s="1"/>
  <c r="AV500" i="11" s="1"/>
  <c r="AV501" i="11" s="1"/>
  <c r="AV502" i="11" s="1"/>
  <c r="AV503" i="11" s="1"/>
  <c r="AV504" i="11" s="1"/>
  <c r="AV505" i="11" s="1"/>
  <c r="AV506" i="11" s="1"/>
  <c r="AV507" i="11" s="1"/>
  <c r="AV508" i="11" s="1"/>
  <c r="AV509" i="11" s="1"/>
  <c r="AV510" i="11" s="1"/>
  <c r="AV511" i="11" s="1"/>
  <c r="AV512" i="11" s="1"/>
  <c r="AV513" i="11" s="1"/>
  <c r="AV514" i="11" s="1"/>
  <c r="AV515" i="11" s="1"/>
  <c r="AV516" i="11" s="1"/>
  <c r="AV517" i="11" s="1"/>
  <c r="AV518" i="11" s="1"/>
  <c r="AV519" i="11" s="1"/>
  <c r="AV520" i="11" s="1"/>
  <c r="AV521" i="11" s="1"/>
  <c r="AV522" i="11" s="1"/>
  <c r="AV523" i="11" s="1"/>
  <c r="AV524" i="11" s="1"/>
  <c r="AV525" i="11" s="1"/>
  <c r="AV526" i="11" s="1"/>
  <c r="AV527" i="11" s="1"/>
  <c r="AV528" i="11" s="1"/>
  <c r="AV529" i="11" s="1"/>
  <c r="AV530" i="11" s="1"/>
  <c r="AV531" i="11" s="1"/>
  <c r="AV532" i="11" s="1"/>
  <c r="AV533" i="11" s="1"/>
  <c r="AV534" i="11" s="1"/>
  <c r="AV535" i="11" s="1"/>
  <c r="AV536" i="11" s="1"/>
  <c r="AV537" i="11" s="1"/>
  <c r="AV538" i="11" s="1"/>
  <c r="AV539" i="11" s="1"/>
  <c r="AV540" i="11" s="1"/>
  <c r="AV541" i="11" s="1"/>
  <c r="AV542" i="11" s="1"/>
  <c r="AV543" i="11" s="1"/>
  <c r="AV544" i="11" s="1"/>
  <c r="AV545" i="11" s="1"/>
  <c r="AV546" i="11" s="1"/>
  <c r="AV547" i="11" s="1"/>
  <c r="AV548" i="11" s="1"/>
  <c r="AV549" i="11" s="1"/>
  <c r="AV550" i="11" s="1"/>
  <c r="AV551" i="11" s="1"/>
  <c r="AV552" i="11" s="1"/>
  <c r="AV553" i="11" s="1"/>
  <c r="AV554" i="11" s="1"/>
  <c r="AV555" i="11" s="1"/>
  <c r="AV556" i="11" s="1"/>
  <c r="AV557" i="11" s="1"/>
  <c r="AV558" i="11" s="1"/>
  <c r="AV559" i="11" s="1"/>
  <c r="AV560" i="11" s="1"/>
  <c r="AV561" i="11" s="1"/>
  <c r="AV562" i="11" s="1"/>
  <c r="AV563" i="11" s="1"/>
  <c r="AV564" i="11" s="1"/>
  <c r="AV565" i="11" s="1"/>
  <c r="AV566" i="11" s="1"/>
  <c r="AV567" i="11" s="1"/>
  <c r="AV568" i="11" s="1"/>
  <c r="AV569" i="11" s="1"/>
  <c r="AV570" i="11" s="1"/>
  <c r="AV571" i="11" s="1"/>
  <c r="AV572" i="11" s="1"/>
  <c r="AV573" i="11" s="1"/>
  <c r="AV574" i="11" s="1"/>
  <c r="AV575" i="11" s="1"/>
  <c r="AV576" i="11" s="1"/>
  <c r="AV577" i="11" s="1"/>
  <c r="AV578" i="11" s="1"/>
  <c r="AV579" i="11" s="1"/>
  <c r="AV580" i="11" s="1"/>
  <c r="AV581" i="11" s="1"/>
  <c r="AV582" i="11" s="1"/>
  <c r="AV583" i="11" s="1"/>
  <c r="AV584" i="11" s="1"/>
  <c r="AV585" i="11" s="1"/>
  <c r="AV586" i="11" s="1"/>
  <c r="AV587" i="11" s="1"/>
  <c r="AV588" i="11" s="1"/>
  <c r="AV589" i="11" s="1"/>
  <c r="AV590" i="11" s="1"/>
  <c r="AV591" i="11" s="1"/>
  <c r="AV592" i="11" s="1"/>
  <c r="AV593" i="11" s="1"/>
  <c r="AV594" i="11" s="1"/>
  <c r="AV595" i="11" s="1"/>
  <c r="AV596" i="11" s="1"/>
  <c r="AV597" i="11" s="1"/>
  <c r="AV598" i="11" s="1"/>
  <c r="AV599" i="11" s="1"/>
  <c r="AV600" i="11" s="1"/>
  <c r="AV601" i="11" s="1"/>
  <c r="AV602" i="11" s="1"/>
  <c r="AV603" i="11" s="1"/>
  <c r="AV604" i="11" s="1"/>
  <c r="AV605" i="11" s="1"/>
  <c r="AV606" i="11" s="1"/>
  <c r="AV607" i="11" s="1"/>
  <c r="AV608" i="11" s="1"/>
  <c r="AV609" i="11" s="1"/>
  <c r="AV610" i="11" s="1"/>
  <c r="AV611" i="11" s="1"/>
  <c r="AV612" i="11" s="1"/>
  <c r="AV613" i="11" s="1"/>
  <c r="AV614" i="11" s="1"/>
  <c r="AV615" i="11" s="1"/>
  <c r="AV616" i="11" s="1"/>
  <c r="AV617" i="11" s="1"/>
  <c r="AV618" i="11" s="1"/>
  <c r="AV619" i="11" s="1"/>
  <c r="AV620" i="11" s="1"/>
  <c r="AV621" i="11" s="1"/>
  <c r="AV622" i="11" s="1"/>
  <c r="AV623" i="11" s="1"/>
  <c r="AV624" i="11" s="1"/>
  <c r="AV625" i="11" s="1"/>
  <c r="AV626" i="11" s="1"/>
  <c r="AV627" i="11" s="1"/>
  <c r="AV628" i="11" s="1"/>
  <c r="AV629" i="11" s="1"/>
  <c r="AV630" i="11" s="1"/>
  <c r="AV631" i="11" s="1"/>
  <c r="AV632" i="11" s="1"/>
  <c r="AV633" i="11" s="1"/>
  <c r="AV634" i="11" s="1"/>
  <c r="AV635" i="11" s="1"/>
  <c r="AV636" i="11" s="1"/>
  <c r="AV637" i="11" s="1"/>
  <c r="AV638" i="11" s="1"/>
  <c r="AV639" i="11" s="1"/>
  <c r="AV640" i="11" s="1"/>
  <c r="AV641" i="11" s="1"/>
  <c r="AV642" i="11" s="1"/>
  <c r="AV643" i="11" s="1"/>
  <c r="AV644" i="11" s="1"/>
  <c r="AV645" i="11" s="1"/>
  <c r="AV646" i="11" s="1"/>
  <c r="AV647" i="11" s="1"/>
  <c r="AV648" i="11" s="1"/>
  <c r="AV649" i="11" s="1"/>
  <c r="AV650" i="11" s="1"/>
  <c r="AV651" i="11" l="1"/>
  <c r="AV652" i="11" l="1"/>
  <c r="AV653" i="11" s="1"/>
  <c r="AV654" i="11" s="1"/>
  <c r="AV655" i="11" s="1"/>
  <c r="AV656" i="11" s="1"/>
  <c r="AV657" i="11" s="1"/>
  <c r="AV658" i="11" s="1"/>
  <c r="AV659" i="11" s="1"/>
  <c r="AV660" i="11" s="1"/>
  <c r="AV661" i="11" s="1"/>
  <c r="AV662" i="11" s="1"/>
  <c r="AV663" i="11" s="1"/>
  <c r="AV664" i="11" s="1"/>
  <c r="AV665" i="11" s="1"/>
  <c r="AV666" i="11" s="1"/>
  <c r="AV667" i="11" s="1"/>
  <c r="AV668" i="11" s="1"/>
  <c r="AV669" i="11" s="1"/>
  <c r="AV670" i="11" s="1"/>
  <c r="AV671" i="11" s="1"/>
  <c r="AV672" i="11" s="1"/>
  <c r="AV673" i="11" s="1"/>
  <c r="AV674" i="11" s="1"/>
  <c r="AV675" i="11" s="1"/>
  <c r="AV676" i="11" s="1"/>
  <c r="AV677" i="11" s="1"/>
  <c r="AV678" i="11" s="1"/>
  <c r="AV679" i="11" s="1"/>
  <c r="AV680" i="11" s="1"/>
  <c r="AV681" i="11" s="1"/>
  <c r="AV682" i="11" s="1"/>
  <c r="AV683" i="11" s="1"/>
  <c r="AV684" i="11" s="1"/>
  <c r="AV685" i="11" s="1"/>
  <c r="AV686" i="11" s="1"/>
  <c r="AV687" i="11" s="1"/>
  <c r="AV688" i="11" s="1"/>
  <c r="AV689" i="11" s="1"/>
  <c r="AV690" i="11" s="1"/>
  <c r="AV691" i="11" s="1"/>
  <c r="AV692" i="11" s="1"/>
  <c r="AV693" i="11" s="1"/>
  <c r="AV694" i="11" s="1"/>
  <c r="AV695" i="11" s="1"/>
  <c r="AV696" i="11" s="1"/>
  <c r="AV697" i="11" s="1"/>
  <c r="AV698" i="11" s="1"/>
  <c r="AV699" i="11" s="1"/>
  <c r="AV700" i="11" s="1"/>
  <c r="AV701" i="11" s="1"/>
  <c r="AV702" i="11" l="1"/>
  <c r="AV703" i="11" s="1"/>
  <c r="AV704" i="11" s="1"/>
  <c r="AV705" i="11" s="1"/>
  <c r="AV706" i="11" s="1"/>
  <c r="AV707" i="11" s="1"/>
  <c r="AV708" i="11" s="1"/>
  <c r="AV709" i="11" s="1"/>
  <c r="AV710" i="11" s="1"/>
  <c r="AV711" i="11" s="1"/>
  <c r="AV712" i="11" s="1"/>
  <c r="AV713" i="11" s="1"/>
  <c r="AV714" i="11" s="1"/>
  <c r="AV715" i="11" s="1"/>
  <c r="AV716" i="11" s="1"/>
  <c r="AV717" i="11" s="1"/>
  <c r="AV718" i="11" s="1"/>
  <c r="AV719" i="11" s="1"/>
  <c r="AV720" i="11" s="1"/>
  <c r="AV721" i="11" s="1"/>
  <c r="AV722" i="11" s="1"/>
  <c r="AV723" i="11" s="1"/>
  <c r="AV724" i="11" s="1"/>
  <c r="AV725" i="11" s="1"/>
  <c r="AV726" i="11" s="1"/>
  <c r="AV727" i="11" s="1"/>
  <c r="AV728" i="11" s="1"/>
  <c r="AV729" i="11" s="1"/>
  <c r="AV730" i="11" s="1"/>
  <c r="AV731" i="11" s="1"/>
  <c r="AV732" i="11" s="1"/>
  <c r="AV733" i="11" s="1"/>
  <c r="AV734" i="11" s="1"/>
  <c r="AV735" i="11" s="1"/>
  <c r="AV736" i="11" s="1"/>
  <c r="AV737" i="11" s="1"/>
  <c r="AV738" i="11" s="1"/>
  <c r="AV739" i="11" s="1"/>
  <c r="AV740" i="11" s="1"/>
  <c r="AV741" i="11" s="1"/>
  <c r="AV742" i="11" s="1"/>
  <c r="AV743" i="11" s="1"/>
  <c r="AV744" i="11" s="1"/>
  <c r="AV745" i="11" s="1"/>
  <c r="AV746" i="11" s="1"/>
  <c r="AV747" i="11" s="1"/>
  <c r="AV748" i="11" s="1"/>
  <c r="AV749" i="11" s="1"/>
  <c r="AV750" i="11" s="1"/>
  <c r="AV751" i="11" s="1"/>
  <c r="AV752" i="11" s="1"/>
  <c r="AV753" i="11" s="1"/>
  <c r="AV754" i="11" s="1"/>
  <c r="AV755" i="11" s="1"/>
  <c r="AV756" i="11" s="1"/>
  <c r="AV757" i="11" s="1"/>
  <c r="AV758" i="11" s="1"/>
  <c r="AV759" i="11" s="1"/>
  <c r="AV760" i="11" s="1"/>
  <c r="AV761" i="11" s="1"/>
  <c r="AV762" i="11" s="1"/>
  <c r="AV763" i="11" s="1"/>
  <c r="AV764" i="11" s="1"/>
  <c r="AV765" i="11" s="1"/>
  <c r="AV766" i="11" s="1"/>
  <c r="AV767" i="11" s="1"/>
  <c r="AV768" i="11" s="1"/>
  <c r="AV769" i="11" s="1"/>
  <c r="AV770" i="11" s="1"/>
  <c r="AV771" i="11" s="1"/>
  <c r="AV772" i="11" s="1"/>
  <c r="AV773" i="11" s="1"/>
  <c r="AV774" i="11" s="1"/>
  <c r="AV775" i="11" s="1"/>
  <c r="AV776" i="11" s="1"/>
  <c r="AV777" i="11" s="1"/>
  <c r="AV778" i="11" s="1"/>
  <c r="AV779" i="11" s="1"/>
  <c r="AV780" i="11" s="1"/>
  <c r="AV781" i="11" s="1"/>
  <c r="AV782" i="11" s="1"/>
  <c r="AV783" i="11" s="1"/>
  <c r="AV784" i="11" s="1"/>
  <c r="AV785" i="11" s="1"/>
  <c r="AV786" i="11" s="1"/>
  <c r="AV787" i="11" s="1"/>
  <c r="AV788" i="11" s="1"/>
  <c r="AV789" i="11" s="1"/>
  <c r="AV790" i="11" s="1"/>
  <c r="AV791" i="11" s="1"/>
  <c r="AV792" i="11" s="1"/>
  <c r="AV793" i="11" s="1"/>
  <c r="AV794" i="11" s="1"/>
  <c r="AV795" i="11" s="1"/>
  <c r="AV796" i="11" s="1"/>
  <c r="AV797" i="11" s="1"/>
  <c r="AV798" i="11" s="1"/>
  <c r="AV799" i="11" s="1"/>
  <c r="AV800" i="11" s="1"/>
  <c r="AV801" i="11" s="1"/>
  <c r="AV802" i="11" s="1"/>
  <c r="AV803" i="11" s="1"/>
  <c r="AV804" i="11" s="1"/>
  <c r="AV805" i="11" s="1"/>
  <c r="AV806" i="11" s="1"/>
  <c r="AV807" i="11" s="1"/>
  <c r="AV808" i="11" s="1"/>
  <c r="AV809" i="11" s="1"/>
  <c r="AV810" i="11" s="1"/>
  <c r="AV811" i="11" s="1"/>
  <c r="AV812" i="11" s="1"/>
  <c r="AV813" i="11" s="1"/>
  <c r="AV814" i="11" s="1"/>
  <c r="AV815" i="11" s="1"/>
  <c r="AV816" i="11" s="1"/>
  <c r="AV817" i="11" s="1"/>
  <c r="AV818" i="11" s="1"/>
  <c r="AV819" i="11" s="1"/>
  <c r="AV820" i="11" s="1"/>
  <c r="AV821" i="11" s="1"/>
  <c r="AV822" i="11" s="1"/>
  <c r="AV823" i="11" s="1"/>
  <c r="AV824" i="11" s="1"/>
  <c r="AV825" i="11" s="1"/>
  <c r="AV826" i="11" s="1"/>
  <c r="AV827" i="11" s="1"/>
  <c r="AV828" i="11" s="1"/>
  <c r="AV829" i="11" s="1"/>
  <c r="AV830" i="11" s="1"/>
  <c r="AV831" i="11" s="1"/>
  <c r="AV832" i="11" s="1"/>
  <c r="AV833" i="11" s="1"/>
  <c r="AV834" i="11" s="1"/>
  <c r="AV835" i="11" s="1"/>
  <c r="AV836" i="11" s="1"/>
  <c r="AV837" i="11" s="1"/>
  <c r="AV838" i="11" s="1"/>
  <c r="AV839" i="11" s="1"/>
  <c r="AV840" i="11" l="1"/>
  <c r="AV841" i="11" s="1"/>
  <c r="AV842" i="11" s="1"/>
  <c r="AV843" i="11" s="1"/>
  <c r="AV844" i="11" s="1"/>
  <c r="AV845" i="11" s="1"/>
  <c r="AV846" i="11" s="1"/>
  <c r="AV847" i="11" s="1"/>
  <c r="AV848" i="11" s="1"/>
  <c r="AV849" i="11" s="1"/>
  <c r="AV850" i="11" s="1"/>
  <c r="AV851" i="11" s="1"/>
  <c r="AV852" i="11" s="1"/>
  <c r="AV853" i="11" s="1"/>
  <c r="AV854" i="11" s="1"/>
  <c r="AV855" i="11" s="1"/>
  <c r="AV856" i="11" s="1"/>
  <c r="AV857" i="11" s="1"/>
  <c r="AV858" i="11" s="1"/>
  <c r="AV859" i="11" s="1"/>
  <c r="AV860" i="11" s="1"/>
  <c r="AV861" i="11" s="1"/>
  <c r="AV862" i="11" s="1"/>
  <c r="AV863" i="11" s="1"/>
  <c r="AV864" i="11" s="1"/>
  <c r="AV865" i="11" s="1"/>
  <c r="AV866" i="11" s="1"/>
  <c r="AV867" i="11" s="1"/>
  <c r="AV868" i="11" s="1"/>
  <c r="AV869" i="11" s="1"/>
  <c r="AV870" i="11" s="1"/>
  <c r="AV871" i="11" s="1"/>
  <c r="AV872" i="11" s="1"/>
  <c r="AV873" i="11" s="1"/>
  <c r="AV874" i="11" s="1"/>
  <c r="AV875" i="11" s="1"/>
  <c r="AV876" i="11" s="1"/>
  <c r="AV877" i="11" s="1"/>
  <c r="AV878" i="11" s="1"/>
  <c r="AV879" i="11" s="1"/>
  <c r="AV880" i="11" s="1"/>
  <c r="AV881" i="11" s="1"/>
  <c r="AV882" i="11" s="1"/>
  <c r="AV883" i="11" s="1"/>
  <c r="AV884" i="11" s="1"/>
  <c r="AV885" i="11" s="1"/>
  <c r="AV886" i="11" s="1"/>
  <c r="AV887" i="11" s="1"/>
  <c r="AV888" i="11" s="1"/>
  <c r="AV889" i="11" s="1"/>
  <c r="AV890" i="11" s="1"/>
  <c r="AV891" i="11" s="1"/>
  <c r="AV892" i="11" s="1"/>
  <c r="AV893" i="11" s="1"/>
  <c r="AV894" i="11" s="1"/>
  <c r="AV895" i="11" s="1"/>
  <c r="AV896" i="11" s="1"/>
  <c r="AV897" i="11" s="1"/>
  <c r="AV898" i="11" s="1"/>
  <c r="AV899" i="11" s="1"/>
  <c r="AV900" i="11" s="1"/>
  <c r="AV901" i="11" s="1"/>
  <c r="AV902" i="11" s="1"/>
  <c r="AV903" i="11" s="1"/>
  <c r="AV904" i="11" s="1"/>
  <c r="AV905" i="11" s="1"/>
  <c r="AV906" i="11" s="1"/>
  <c r="AV907" i="11" s="1"/>
  <c r="AV908" i="11" s="1"/>
  <c r="AV909" i="11" s="1"/>
  <c r="AV910" i="11" s="1"/>
  <c r="AV911" i="11" s="1"/>
  <c r="AV912" i="11" s="1"/>
  <c r="AV913" i="11" s="1"/>
  <c r="AV914" i="11" s="1"/>
  <c r="AV915" i="11" s="1"/>
  <c r="AV916" i="11" s="1"/>
  <c r="AV917" i="11" s="1"/>
  <c r="AV918" i="11" s="1"/>
  <c r="AV919" i="11" s="1"/>
  <c r="AV920" i="11" s="1"/>
  <c r="AV921" i="11" s="1"/>
  <c r="AV922" i="11" l="1"/>
  <c r="AV923" i="11" s="1"/>
  <c r="AV924" i="11" s="1"/>
  <c r="AV925" i="11" s="1"/>
  <c r="AV926" i="11" s="1"/>
  <c r="AV927" i="11" s="1"/>
  <c r="AV928" i="11" s="1"/>
  <c r="AV929" i="11" s="1"/>
  <c r="AV930" i="11" s="1"/>
  <c r="AV931" i="11" s="1"/>
  <c r="AV932" i="11" s="1"/>
  <c r="AV933" i="11" s="1"/>
  <c r="AV934" i="11" s="1"/>
  <c r="AV935" i="11" s="1"/>
  <c r="AV936" i="11" s="1"/>
  <c r="AV937" i="11" s="1"/>
  <c r="AV938" i="11" s="1"/>
  <c r="AV939" i="11" s="1"/>
  <c r="AV940" i="11" s="1"/>
  <c r="AV941" i="11" s="1"/>
  <c r="AV942" i="11" s="1"/>
  <c r="AV943" i="11" s="1"/>
  <c r="AV944" i="11" s="1"/>
  <c r="AV945" i="11" s="1"/>
  <c r="AV946" i="11" s="1"/>
  <c r="AV947" i="11" s="1"/>
  <c r="AV948" i="11" s="1"/>
  <c r="AV949" i="11" s="1"/>
  <c r="AV950" i="11" s="1"/>
  <c r="AV951" i="11" s="1"/>
  <c r="AV952" i="11" s="1"/>
  <c r="AV953" i="11" s="1"/>
  <c r="AV954" i="11" s="1"/>
  <c r="AV955" i="11" s="1"/>
  <c r="AV956" i="11" s="1"/>
  <c r="AV957" i="11" s="1"/>
  <c r="AV958" i="11" s="1"/>
  <c r="AV959" i="11" s="1"/>
  <c r="AV960" i="11" s="1"/>
  <c r="AV961" i="11" s="1"/>
  <c r="AV962" i="11" s="1"/>
  <c r="AV963" i="11" s="1"/>
  <c r="AV964" i="11" s="1"/>
  <c r="AV965" i="11" s="1"/>
  <c r="AV966" i="11" s="1"/>
  <c r="AV967" i="11" s="1"/>
  <c r="AV968" i="11" s="1"/>
  <c r="AV969" i="11" s="1"/>
  <c r="AV970" i="11" s="1"/>
  <c r="AV971" i="11" s="1"/>
  <c r="AV972" i="11" s="1"/>
  <c r="AV973" i="11" s="1"/>
  <c r="AV974" i="11" s="1"/>
  <c r="AV975" i="11" s="1"/>
  <c r="AV976" i="11" s="1"/>
  <c r="AV977" i="11" l="1"/>
  <c r="AV978" i="11" s="1"/>
  <c r="AV979" i="11" s="1"/>
  <c r="AV980" i="11" s="1"/>
  <c r="AV981" i="11" l="1"/>
  <c r="AV982" i="11" s="1"/>
  <c r="AV983" i="11" s="1"/>
  <c r="AV984" i="11" s="1"/>
  <c r="AV985" i="11" s="1"/>
  <c r="AV986" i="11" s="1"/>
  <c r="AV987" i="11" s="1"/>
  <c r="AV988" i="11" s="1"/>
  <c r="AV989" i="11" s="1"/>
  <c r="AV990" i="11" s="1"/>
  <c r="AV991" i="11" s="1"/>
  <c r="AV992" i="11" s="1"/>
  <c r="AV993" i="11" s="1"/>
  <c r="AV994" i="11" s="1"/>
  <c r="AV995" i="11" s="1"/>
  <c r="AV996" i="11" s="1"/>
  <c r="AV997" i="11" s="1"/>
  <c r="AV998" i="11" s="1"/>
  <c r="AV999" i="11" s="1"/>
  <c r="AV1000" i="11" s="1"/>
  <c r="AV1001" i="11" s="1"/>
  <c r="AV1002" i="11" s="1"/>
  <c r="AV1003" i="11" s="1"/>
  <c r="AV1004" i="11" s="1"/>
  <c r="AV1005" i="11" s="1"/>
  <c r="AV1006" i="11" s="1"/>
  <c r="AV1007" i="11" s="1"/>
  <c r="AV1008" i="11" s="1"/>
  <c r="AV1009" i="11" s="1"/>
  <c r="AV1010" i="11" s="1"/>
  <c r="AV1011" i="11" s="1"/>
  <c r="AV1012" i="11" s="1"/>
  <c r="AV1013" i="11" s="1"/>
  <c r="AV1014" i="11" s="1"/>
  <c r="AV1015" i="11" s="1"/>
  <c r="AV1016" i="11" s="1"/>
  <c r="AV1017" i="11" s="1"/>
  <c r="AV1018" i="11" s="1"/>
  <c r="AV1019" i="11" s="1"/>
  <c r="AV1020" i="11" s="1"/>
  <c r="AV1021" i="11" s="1"/>
  <c r="AV1022" i="11" s="1"/>
  <c r="AV1023" i="11" s="1"/>
  <c r="AV1024" i="11" s="1"/>
  <c r="AV1025" i="11" s="1"/>
  <c r="AV1026" i="11" s="1"/>
  <c r="AV1027" i="11" s="1"/>
  <c r="AV1028" i="11" s="1"/>
  <c r="AV1029" i="11" s="1"/>
  <c r="AV1030" i="11" s="1"/>
  <c r="AV1031" i="11" s="1"/>
  <c r="AV1032" i="11" s="1"/>
  <c r="AV1033" i="11" s="1"/>
  <c r="AV1034" i="11" s="1"/>
  <c r="AV1035" i="11" s="1"/>
  <c r="AV1036" i="11" s="1"/>
  <c r="AV1037" i="11" s="1"/>
  <c r="AV1038" i="11" s="1"/>
  <c r="AV1039" i="11" s="1"/>
  <c r="AV1040" i="11" s="1"/>
  <c r="AV1041" i="11" s="1"/>
  <c r="AV1042" i="11" s="1"/>
  <c r="AV1043" i="11" s="1"/>
  <c r="AV1044" i="11" s="1"/>
  <c r="AV1045" i="11" s="1"/>
  <c r="AV1046" i="11" s="1"/>
  <c r="AV1047" i="11" s="1"/>
  <c r="AV1048" i="11" s="1"/>
  <c r="AV1049" i="11" s="1"/>
  <c r="AV1050" i="11" s="1"/>
  <c r="AV1051" i="11" s="1"/>
  <c r="AV1052" i="11" s="1"/>
  <c r="AV1053" i="11" s="1"/>
  <c r="AV1054" i="11" s="1"/>
  <c r="AV1055" i="11" s="1"/>
  <c r="AV1056" i="11" s="1"/>
  <c r="AV1057" i="11" s="1"/>
  <c r="AV1058" i="11" s="1"/>
  <c r="AV1059" i="11" s="1"/>
  <c r="AV1060" i="11" s="1"/>
  <c r="AV1061" i="11" s="1"/>
  <c r="AV1062" i="11" s="1"/>
  <c r="AV1063" i="11" s="1"/>
  <c r="AV1064" i="11" s="1"/>
  <c r="AV1065" i="11" s="1"/>
  <c r="AV1066" i="11" s="1"/>
  <c r="AV1067" i="11" s="1"/>
  <c r="AV1068" i="11" s="1"/>
  <c r="AV1069" i="11" s="1"/>
  <c r="AV1070" i="11" s="1"/>
  <c r="AV1071" i="11" s="1"/>
  <c r="AV1072" i="11" s="1"/>
  <c r="AV1073" i="11" s="1"/>
  <c r="AV1074" i="11" s="1"/>
  <c r="AV1075" i="11" s="1"/>
  <c r="AV1076" i="11" s="1"/>
  <c r="AV1077" i="11" s="1"/>
  <c r="AV1078" i="11" s="1"/>
  <c r="AV1079" i="11" s="1"/>
  <c r="AV1080" i="11" s="1"/>
  <c r="AV1081" i="11" s="1"/>
  <c r="AV1082" i="11" s="1"/>
  <c r="AV1083" i="11" s="1"/>
  <c r="AV1084" i="11" s="1"/>
  <c r="AV1085" i="11" s="1"/>
  <c r="AV1086" i="11" s="1"/>
  <c r="AV1087" i="11" s="1"/>
  <c r="AV1088" i="11" s="1"/>
  <c r="AV1089" i="11" s="1"/>
  <c r="AV1090" i="11" s="1"/>
  <c r="AV1091" i="11" s="1"/>
  <c r="AV1092" i="11" s="1"/>
  <c r="AV1093" i="11" s="1"/>
  <c r="AV1094" i="11" s="1"/>
  <c r="AV1095" i="11" s="1"/>
  <c r="AV1096" i="11" s="1"/>
  <c r="AV1097" i="11" s="1"/>
  <c r="AV1098" i="11" s="1"/>
  <c r="AV1099" i="11" s="1"/>
  <c r="AV1100" i="11" s="1"/>
  <c r="AV1101" i="11" s="1"/>
  <c r="AV1102" i="11" s="1"/>
  <c r="AV1103" i="11" s="1"/>
  <c r="AV1104" i="11" s="1"/>
  <c r="AV1105" i="11" s="1"/>
  <c r="AV1106" i="11" l="1"/>
  <c r="AV1107" i="11" s="1"/>
  <c r="AV1108" i="11" l="1"/>
  <c r="AV1109" i="11" l="1"/>
  <c r="AV1110" i="11" l="1"/>
  <c r="AV1111" i="11" l="1"/>
  <c r="AV1112" i="11" s="1"/>
  <c r="AV1113" i="11" s="1"/>
  <c r="AV1114" i="11" s="1"/>
  <c r="AV1115" i="11" s="1"/>
  <c r="AV1116" i="11" s="1"/>
  <c r="AV1117" i="11" s="1"/>
  <c r="AV1118" i="11" s="1"/>
  <c r="AV1119" i="11" s="1"/>
  <c r="AV1120" i="11" s="1"/>
  <c r="AV1121" i="11" s="1"/>
  <c r="AV1122" i="11" s="1"/>
  <c r="AV1123" i="11" s="1"/>
  <c r="AV1124" i="11" s="1"/>
  <c r="AV1125" i="11" s="1"/>
  <c r="AV1126" i="11" s="1"/>
  <c r="AV1127" i="11" s="1"/>
  <c r="AV1128" i="11" s="1"/>
  <c r="AV1129" i="11" s="1"/>
  <c r="AV1130" i="11" s="1"/>
  <c r="AV1131" i="11" s="1"/>
  <c r="AV1132" i="11" s="1"/>
  <c r="AV1133" i="11" s="1"/>
  <c r="AV1134" i="11" s="1"/>
  <c r="AV1135" i="11" s="1"/>
  <c r="AV1136" i="11" s="1"/>
  <c r="AV1137" i="11" s="1"/>
  <c r="AV1138" i="11" s="1"/>
  <c r="AV1139" i="11" s="1"/>
  <c r="AV1140" i="11" s="1"/>
  <c r="AV1141" i="11" s="1"/>
  <c r="AV1142" i="11" s="1"/>
  <c r="AV1143" i="11" s="1"/>
  <c r="AV1144" i="11" s="1"/>
  <c r="AV1145" i="11" s="1"/>
  <c r="AV1146" i="11" s="1"/>
  <c r="AV1147" i="11" s="1"/>
  <c r="AV1148" i="11" s="1"/>
  <c r="AV1149" i="11" s="1"/>
  <c r="AV1150" i="11" s="1"/>
  <c r="AV1151" i="11" s="1"/>
  <c r="AV1152" i="11" s="1"/>
  <c r="AV1153" i="11" s="1"/>
  <c r="AV1154" i="11" s="1"/>
  <c r="AV1155" i="11" s="1"/>
  <c r="AV1156" i="11" s="1"/>
  <c r="AV1157" i="11" s="1"/>
  <c r="AV1158" i="11" s="1"/>
  <c r="AV1159" i="11" s="1"/>
  <c r="AV1160" i="11" s="1"/>
  <c r="AV1161" i="11" s="1"/>
  <c r="AV1162" i="11" s="1"/>
  <c r="AV1163" i="11" s="1"/>
  <c r="AV1164" i="11" s="1"/>
  <c r="AV1165" i="11" s="1"/>
  <c r="AV1166" i="11" s="1"/>
  <c r="AV1167" i="11" s="1"/>
  <c r="AV1168" i="11" s="1"/>
  <c r="AV1169" i="11" s="1"/>
  <c r="AV1170" i="11" s="1"/>
  <c r="AV1171" i="11" s="1"/>
  <c r="AV1172" i="11" s="1"/>
  <c r="AV1173" i="11" s="1"/>
  <c r="AV1174" i="11" s="1"/>
  <c r="AV1175" i="11" s="1"/>
  <c r="AV1176" i="11" s="1"/>
  <c r="AV1177" i="11" s="1"/>
  <c r="AV1178" i="11" s="1"/>
  <c r="AV1179" i="11" s="1"/>
  <c r="AV1180" i="11" s="1"/>
  <c r="AV1181" i="11" s="1"/>
  <c r="AV1182" i="11" s="1"/>
  <c r="AV1183" i="11" s="1"/>
  <c r="AV1184" i="11" s="1"/>
  <c r="AV1185" i="11" s="1"/>
  <c r="AV1186" i="11" s="1"/>
  <c r="AV1187" i="11" s="1"/>
  <c r="AV1188" i="11" s="1"/>
  <c r="AV1189" i="11" s="1"/>
  <c r="AV1190" i="11" s="1"/>
  <c r="AV1191" i="11" s="1"/>
  <c r="AV1192" i="11" s="1"/>
  <c r="AV1193" i="11" s="1"/>
  <c r="AV1194" i="11" s="1"/>
  <c r="AV1195" i="11" s="1"/>
  <c r="AV1196" i="11" s="1"/>
  <c r="AV1197" i="11" s="1"/>
  <c r="AV1198" i="11" s="1"/>
  <c r="AV1199" i="11" s="1"/>
  <c r="AV1200" i="11" s="1"/>
  <c r="AV1201" i="11" s="1"/>
  <c r="AV1202" i="11" s="1"/>
  <c r="AV1203" i="11" s="1"/>
  <c r="AV1204" i="11" s="1"/>
  <c r="AV1205" i="11" s="1"/>
  <c r="AV1206" i="11" s="1"/>
  <c r="AV1207" i="11" s="1"/>
  <c r="AV1208" i="11" s="1"/>
  <c r="AV1209" i="11" s="1"/>
  <c r="AV1210" i="11" s="1"/>
  <c r="AV1211" i="11" s="1"/>
  <c r="AV1212" i="11" s="1"/>
  <c r="AV1213" i="11" s="1"/>
  <c r="AV1214" i="11" s="1"/>
  <c r="AV1215" i="11" s="1"/>
  <c r="AV1216" i="11" s="1"/>
  <c r="AV1217" i="11" s="1"/>
  <c r="AV1218" i="11" s="1"/>
  <c r="AV1219" i="11" s="1"/>
  <c r="AV1220" i="11" s="1"/>
  <c r="AV1221" i="11" s="1"/>
  <c r="AV1222" i="11" s="1"/>
  <c r="AV1223" i="11" s="1"/>
  <c r="AV1224" i="11" s="1"/>
  <c r="AV1225" i="11" s="1"/>
  <c r="AV1226" i="11" s="1"/>
  <c r="AV1227" i="11" s="1"/>
  <c r="AV1228" i="11" s="1"/>
  <c r="AV1229" i="11" s="1"/>
  <c r="AV1230" i="11" s="1"/>
  <c r="AV1231" i="11" s="1"/>
  <c r="AV1232" i="11" s="1"/>
  <c r="AV1233" i="11" s="1"/>
  <c r="AV1234" i="11" s="1"/>
  <c r="AV1235" i="11" s="1"/>
  <c r="AV1236" i="11" s="1"/>
  <c r="AV1237" i="11" s="1"/>
  <c r="AV1238" i="11" s="1"/>
  <c r="AV1239" i="11" s="1"/>
  <c r="AV1240" i="11" s="1"/>
  <c r="AV1241" i="11" s="1"/>
  <c r="AV1242" i="11" s="1"/>
  <c r="AV1243" i="11" s="1"/>
  <c r="AV1244" i="11" s="1"/>
  <c r="AV1245" i="11" s="1"/>
  <c r="AV1246" i="11" s="1"/>
  <c r="AV1247" i="11" s="1"/>
  <c r="AV1248" i="11" s="1"/>
  <c r="AV1249" i="11" s="1"/>
  <c r="AV1250" i="11" s="1"/>
  <c r="AV1251" i="11" s="1"/>
  <c r="AV1252" i="11" s="1"/>
  <c r="AV1253" i="11" s="1"/>
  <c r="AV1254" i="11" s="1"/>
  <c r="AV1255" i="11" s="1"/>
  <c r="AV1256" i="11" s="1"/>
  <c r="AV1257" i="11" s="1"/>
  <c r="AV1258" i="11" s="1"/>
  <c r="AV1259" i="11" s="1"/>
  <c r="AV1260" i="11" s="1"/>
  <c r="AV1261" i="11" s="1"/>
  <c r="AV1262" i="11" s="1"/>
  <c r="AV1263" i="11" s="1"/>
  <c r="AV1264" i="11" s="1"/>
  <c r="AV1265" i="11" s="1"/>
  <c r="AV1266" i="11" s="1"/>
  <c r="AV1267" i="11" s="1"/>
  <c r="AV1268" i="11" s="1"/>
  <c r="AV1269" i="11" s="1"/>
  <c r="AV1270" i="11" s="1"/>
  <c r="AV1271" i="11" s="1"/>
  <c r="AV1272" i="11" s="1"/>
  <c r="AV1273" i="11" s="1"/>
  <c r="AV1274" i="11" s="1"/>
  <c r="AV1275" i="11" s="1"/>
  <c r="AV1276" i="11" s="1"/>
  <c r="AV1277" i="11" s="1"/>
  <c r="AV1278" i="11" s="1"/>
  <c r="AV1279" i="11" s="1"/>
  <c r="AV1280" i="11" s="1"/>
  <c r="AV1281" i="11" s="1"/>
  <c r="AV1282" i="11" s="1"/>
  <c r="AV1283" i="11" s="1"/>
  <c r="AV1284" i="11" s="1"/>
  <c r="AV1285" i="11" s="1"/>
  <c r="AV1286" i="11" s="1"/>
  <c r="AV1287" i="11" s="1"/>
  <c r="AV1288" i="11" s="1"/>
  <c r="AV1289" i="11" s="1"/>
  <c r="AV1290" i="11" s="1"/>
  <c r="AV1291" i="11" s="1"/>
  <c r="AV1292" i="11" s="1"/>
  <c r="AV1293" i="11" s="1"/>
  <c r="AV1294" i="11" s="1"/>
  <c r="AV1295" i="11" s="1"/>
  <c r="AV1296" i="11" s="1"/>
  <c r="AV1297" i="11" s="1"/>
  <c r="AV1298" i="11" s="1"/>
  <c r="AV1299" i="11" s="1"/>
  <c r="AV1300" i="11" s="1"/>
  <c r="AV1301" i="11" s="1"/>
  <c r="AV1302" i="11" s="1"/>
  <c r="AV1303" i="11" s="1"/>
  <c r="AV1304" i="11" s="1"/>
  <c r="AV1305" i="11" s="1"/>
  <c r="AV1306" i="11" s="1"/>
  <c r="AV1307" i="11" s="1"/>
  <c r="AV1308" i="11" s="1"/>
  <c r="AV1309" i="11" s="1"/>
  <c r="AV1310" i="11" s="1"/>
  <c r="AV1311" i="11" s="1"/>
  <c r="AV1312" i="11" s="1"/>
  <c r="AV1313" i="11" s="1"/>
  <c r="AV1314" i="11" s="1"/>
  <c r="AV1315" i="11" s="1"/>
  <c r="AV1316" i="11" s="1"/>
  <c r="AV1317" i="11" s="1"/>
  <c r="AV1318" i="11" s="1"/>
  <c r="AV1319" i="11" s="1"/>
  <c r="AV1320" i="11" s="1"/>
  <c r="AV1321" i="11" s="1"/>
  <c r="AV1322" i="11" s="1"/>
  <c r="AV1323" i="11" s="1"/>
  <c r="AV1324" i="11" s="1"/>
  <c r="AV1325" i="11" s="1"/>
  <c r="AV1326" i="11" s="1"/>
  <c r="AV1327" i="11" s="1"/>
  <c r="AV1328" i="11" s="1"/>
  <c r="AV1329" i="11" s="1"/>
  <c r="AV1330" i="11" s="1"/>
  <c r="AV1331" i="11" s="1"/>
  <c r="AV1332" i="11" s="1"/>
  <c r="AV1333" i="11" s="1"/>
  <c r="AV1334" i="11" s="1"/>
  <c r="AV1335" i="11" s="1"/>
  <c r="AV1336" i="11" s="1"/>
  <c r="AV1337" i="11" s="1"/>
  <c r="AV1338" i="11" s="1"/>
  <c r="AV1339" i="11" s="1"/>
  <c r="AV1340" i="11" s="1"/>
  <c r="AV1341" i="11" s="1"/>
  <c r="AV1342" i="11" l="1"/>
  <c r="AV1343" i="11" s="1"/>
  <c r="AV1344" i="11" s="1"/>
  <c r="AV1345" i="11" s="1"/>
  <c r="AV1346" i="11" s="1"/>
  <c r="AV1347" i="11" s="1"/>
  <c r="AV1348" i="11" s="1"/>
  <c r="AV1349" i="11" s="1"/>
  <c r="AV1350" i="11" s="1"/>
  <c r="AV1351" i="11" s="1"/>
  <c r="AV1352" i="11" s="1"/>
  <c r="AV1353" i="11" s="1"/>
  <c r="AV1354" i="11" s="1"/>
  <c r="AV1355" i="11" s="1"/>
  <c r="AV1356" i="11" s="1"/>
  <c r="AV1357" i="11" s="1"/>
  <c r="AV1358" i="11" s="1"/>
  <c r="AV1359" i="11" s="1"/>
  <c r="AV1360" i="11" s="1"/>
  <c r="AV1361" i="11" s="1"/>
  <c r="AV1362" i="11" s="1"/>
  <c r="AV1363" i="11" s="1"/>
  <c r="AV1364" i="11" s="1"/>
  <c r="AV1365" i="11" s="1"/>
  <c r="AV1366" i="11" s="1"/>
  <c r="AV1367" i="11" s="1"/>
  <c r="AV1368" i="11" s="1"/>
  <c r="AV1369" i="11" s="1"/>
  <c r="AV1370" i="11" s="1"/>
  <c r="AV1371" i="11" s="1"/>
  <c r="AV1372" i="11" s="1"/>
  <c r="AV1373" i="11" s="1"/>
  <c r="AV1374" i="11" s="1"/>
  <c r="AV1375" i="11" s="1"/>
  <c r="AV1376" i="11" s="1"/>
  <c r="AV1377" i="11" s="1"/>
  <c r="AV1378" i="11" s="1"/>
  <c r="AV1379" i="11" s="1"/>
  <c r="AV1380" i="11" s="1"/>
  <c r="AV1381" i="11" s="1"/>
  <c r="AV1382" i="11" s="1"/>
  <c r="AV1383" i="11" s="1"/>
  <c r="AV1384" i="11" s="1"/>
  <c r="AV1385" i="11" s="1"/>
  <c r="AV1386" i="11" s="1"/>
  <c r="AV1387" i="11" s="1"/>
  <c r="AV1388" i="11" s="1"/>
  <c r="AV1389" i="11" s="1"/>
  <c r="AV1390" i="11" s="1"/>
  <c r="AV1391" i="11" s="1"/>
  <c r="AV1392" i="11" s="1"/>
  <c r="AV1393" i="11" s="1"/>
  <c r="AV1394" i="11" s="1"/>
  <c r="AV1395" i="11" s="1"/>
  <c r="AV1396" i="11" s="1"/>
  <c r="AV1397" i="11" s="1"/>
  <c r="AV1398" i="11" s="1"/>
  <c r="AV1399" i="11" s="1"/>
  <c r="AV1400" i="11" s="1"/>
  <c r="AV1401" i="11" s="1"/>
  <c r="AV1402" i="11" s="1"/>
  <c r="AV1403" i="11" s="1"/>
  <c r="AV1404" i="11" s="1"/>
  <c r="AV1405" i="11" s="1"/>
  <c r="AV1406" i="11" s="1"/>
  <c r="AV1407" i="11" s="1"/>
  <c r="AV1408" i="11" s="1"/>
  <c r="AV1409" i="11" s="1"/>
  <c r="AV1410" i="11" s="1"/>
  <c r="AV1411" i="11" s="1"/>
  <c r="AV1412" i="11" s="1"/>
  <c r="AV1413" i="11" s="1"/>
  <c r="AV1414" i="11" s="1"/>
  <c r="AV1415" i="11" s="1"/>
  <c r="AV1416" i="11" s="1"/>
  <c r="AV1417" i="11" s="1"/>
  <c r="AV1418" i="11" s="1"/>
  <c r="AV1419" i="11" s="1"/>
  <c r="AV1420" i="11" s="1"/>
  <c r="AV1421" i="11" s="1"/>
  <c r="AV1422" i="11" s="1"/>
  <c r="AV1423" i="11" s="1"/>
  <c r="AV1424" i="11" s="1"/>
  <c r="AV1425" i="11" s="1"/>
  <c r="AV1426" i="11" s="1"/>
  <c r="AV1427" i="11" l="1"/>
  <c r="AV1428" i="11" l="1"/>
  <c r="AV1429" i="11" s="1"/>
  <c r="AV1430" i="11" s="1"/>
  <c r="AV1431" i="11" s="1"/>
  <c r="AV1432" i="11" s="1"/>
  <c r="AV1433" i="11" s="1"/>
  <c r="AV1434" i="11" s="1"/>
  <c r="AV1435" i="11" s="1"/>
  <c r="AV1436" i="11" s="1"/>
  <c r="AV1437" i="11" s="1"/>
  <c r="AV1438" i="11" s="1"/>
  <c r="AV1439" i="11" s="1"/>
  <c r="AV1440" i="11" s="1"/>
  <c r="AV1441" i="11" s="1"/>
  <c r="AV1442" i="11" l="1"/>
  <c r="AV1443" i="11" s="1"/>
  <c r="AV1444" i="11" s="1"/>
  <c r="AV1445" i="11" s="1"/>
  <c r="AV1446" i="11" s="1"/>
  <c r="AV1447" i="11" s="1"/>
  <c r="AV1448" i="11" s="1"/>
  <c r="AV1449" i="11" s="1"/>
  <c r="AV1450" i="11" s="1"/>
  <c r="AV1451" i="11" s="1"/>
  <c r="AV1452" i="11" s="1"/>
  <c r="AV1453" i="11" s="1"/>
  <c r="AV1454" i="11" s="1"/>
  <c r="AV1455" i="11" s="1"/>
  <c r="AV1456" i="11" s="1"/>
  <c r="AV1457" i="11" s="1"/>
  <c r="AV1458" i="11" s="1"/>
  <c r="AV1459" i="11" s="1"/>
  <c r="AV1460" i="11" s="1"/>
  <c r="AV1461" i="11" s="1"/>
  <c r="AV1462" i="11" s="1"/>
  <c r="AV1463" i="11" s="1"/>
  <c r="AV1464" i="11" s="1"/>
  <c r="AV1465" i="11" s="1"/>
  <c r="AV1466" i="11" s="1"/>
  <c r="AV1467" i="11" s="1"/>
  <c r="AV1468" i="11" s="1"/>
  <c r="AV1469" i="11" s="1"/>
  <c r="AV1470" i="11" s="1"/>
  <c r="AV1471" i="11" s="1"/>
  <c r="AV1472" i="11" s="1"/>
  <c r="AV1473" i="11" s="1"/>
  <c r="AV1474" i="11" s="1"/>
  <c r="AV1475" i="11" s="1"/>
  <c r="AV1476" i="11" s="1"/>
  <c r="AV1477" i="11" s="1"/>
  <c r="AV1478" i="11" s="1"/>
  <c r="AV1479" i="11" s="1"/>
  <c r="AV1480" i="11" s="1"/>
  <c r="AV1481" i="11" s="1"/>
  <c r="AV1482" i="11" s="1"/>
  <c r="AV1483" i="11" s="1"/>
  <c r="AV1484" i="11" s="1"/>
  <c r="AV1485" i="11" s="1"/>
  <c r="AV1486" i="11" s="1"/>
  <c r="AV1487" i="11" s="1"/>
  <c r="AV1488" i="11" s="1"/>
  <c r="AV1489" i="11" s="1"/>
  <c r="AV1490" i="11" s="1"/>
  <c r="AV1491" i="11" s="1"/>
  <c r="AV1492" i="11" s="1"/>
  <c r="AV1493" i="11" s="1"/>
  <c r="AV1494" i="11" s="1"/>
  <c r="AV1495" i="11" s="1"/>
  <c r="AV1496" i="11" s="1"/>
  <c r="AV1497" i="11" s="1"/>
  <c r="AV1498" i="11" s="1"/>
  <c r="AV1499" i="11" s="1"/>
  <c r="AV1500" i="11" s="1"/>
  <c r="AV1501" i="11" s="1"/>
  <c r="AV1502" i="11" s="1"/>
  <c r="AV1503" i="11" s="1"/>
  <c r="AV1504" i="11" s="1"/>
  <c r="AV1505" i="11" s="1"/>
  <c r="AV1506" i="11" s="1"/>
  <c r="AV1507" i="11" s="1"/>
  <c r="AV1508" i="11" s="1"/>
  <c r="AV1509" i="11" s="1"/>
  <c r="AV1510" i="11" s="1"/>
  <c r="AV1511" i="11" s="1"/>
  <c r="AV1512" i="11" s="1"/>
  <c r="AV1513" i="11" s="1"/>
  <c r="AV1514" i="11" s="1"/>
  <c r="AV1515" i="11" s="1"/>
  <c r="AV1516" i="11" s="1"/>
  <c r="AV1517" i="11" s="1"/>
  <c r="AV1518" i="11" s="1"/>
  <c r="AV1519" i="11" s="1"/>
  <c r="AV1520" i="11" s="1"/>
  <c r="AV1521" i="11" s="1"/>
  <c r="AV1522" i="11" s="1"/>
  <c r="AV1523" i="11" l="1"/>
  <c r="AV1524" i="11" s="1"/>
  <c r="AV1525" i="11" s="1"/>
  <c r="AV1526" i="11" s="1"/>
  <c r="AV1527" i="11" s="1"/>
  <c r="AV1528" i="11" s="1"/>
  <c r="AV1529" i="11" s="1"/>
  <c r="AV1530" i="11" s="1"/>
  <c r="AV1531" i="11" s="1"/>
  <c r="AV1532" i="11" s="1"/>
  <c r="AV1533" i="11" s="1"/>
  <c r="AV1534" i="11" s="1"/>
  <c r="AV1535" i="11" s="1"/>
  <c r="AV1536" i="11" s="1"/>
  <c r="AV1537" i="11" s="1"/>
  <c r="AV1538" i="11" s="1"/>
  <c r="AV1539" i="11" s="1"/>
  <c r="AV1540" i="11" s="1"/>
  <c r="AV1541" i="11" s="1"/>
  <c r="AV1542" i="11" s="1"/>
  <c r="AV1543" i="11" s="1"/>
  <c r="AV1544" i="11" s="1"/>
  <c r="AV1545" i="11" s="1"/>
  <c r="AV1546" i="11" s="1"/>
  <c r="AV1547" i="11" s="1"/>
  <c r="AV1548" i="11" s="1"/>
  <c r="AV1549" i="11" s="1"/>
  <c r="AV1550" i="11" s="1"/>
  <c r="AV1551" i="11" s="1"/>
  <c r="AV1552" i="11" s="1"/>
  <c r="AV1553" i="11" s="1"/>
  <c r="AV1554" i="11" s="1"/>
  <c r="AV1555" i="11" s="1"/>
  <c r="AV1556" i="11" s="1"/>
  <c r="AV1557" i="11" s="1"/>
  <c r="AV1558" i="11" s="1"/>
  <c r="AV1559" i="11" s="1"/>
  <c r="AV1560" i="11" s="1"/>
  <c r="AV1561" i="11" s="1"/>
  <c r="AV1562" i="11" s="1"/>
  <c r="AV1563" i="11" s="1"/>
  <c r="AV1564" i="11" s="1"/>
  <c r="AV1565" i="11" s="1"/>
  <c r="AV1566" i="11" s="1"/>
  <c r="AV1567" i="11" s="1"/>
  <c r="AV1568" i="11" s="1"/>
  <c r="AV1569" i="11" s="1"/>
  <c r="AV1570" i="11" s="1"/>
  <c r="AV1571" i="11" s="1"/>
  <c r="AV1572" i="11" s="1"/>
  <c r="AV1573" i="11" s="1"/>
  <c r="AV1574" i="11" s="1"/>
  <c r="AV1575" i="11" s="1"/>
  <c r="AV1576" i="11" s="1"/>
  <c r="AV1577" i="11" s="1"/>
  <c r="AV1578" i="11" s="1"/>
  <c r="AV1579" i="11" s="1"/>
  <c r="AV1580" i="11" s="1"/>
  <c r="AV1581" i="11" s="1"/>
  <c r="AV1582" i="11" s="1"/>
  <c r="AV1583" i="11" s="1"/>
  <c r="AV1584" i="11" s="1"/>
  <c r="AV1585" i="11" s="1"/>
  <c r="AV1586" i="11" s="1"/>
  <c r="AV1587" i="11" s="1"/>
  <c r="AV1588" i="11" s="1"/>
  <c r="AV1589" i="11" s="1"/>
  <c r="AV1590" i="11" s="1"/>
  <c r="AV1591" i="11" s="1"/>
  <c r="AV1592" i="11" s="1"/>
  <c r="AV1593" i="11" s="1"/>
  <c r="AV1594" i="11" s="1"/>
  <c r="AV1595" i="11" s="1"/>
  <c r="AV1596" i="11" s="1"/>
  <c r="AV1597" i="11" l="1"/>
  <c r="AV1598" i="11" s="1"/>
  <c r="AV1599" i="11" s="1"/>
  <c r="AV1600" i="11" s="1"/>
  <c r="AV1601" i="11" s="1"/>
  <c r="AV1602" i="11" s="1"/>
  <c r="AV1603" i="11" s="1"/>
  <c r="AV1604" i="11" s="1"/>
  <c r="AV1605" i="11" s="1"/>
  <c r="AV1606" i="11" s="1"/>
  <c r="AV1607" i="11" l="1"/>
  <c r="AV1608" i="11" s="1"/>
  <c r="AV1609" i="11" s="1"/>
  <c r="AV1610" i="11" s="1"/>
  <c r="AV1611" i="11" s="1"/>
  <c r="AV1612" i="11" s="1"/>
  <c r="AV1613" i="11" s="1"/>
  <c r="AV1614" i="11" s="1"/>
  <c r="AV1615" i="11" s="1"/>
  <c r="AV1616" i="11" s="1"/>
  <c r="AV1617" i="11" s="1"/>
  <c r="AV1618" i="11" s="1"/>
  <c r="AV1619" i="11" s="1"/>
  <c r="AV1620" i="11" s="1"/>
  <c r="AV1621" i="11" s="1"/>
  <c r="AV1622" i="11" s="1"/>
  <c r="AV1623" i="11" s="1"/>
  <c r="AV1624" i="11" s="1"/>
  <c r="AV1625" i="11" s="1"/>
  <c r="AV1626" i="11" s="1"/>
  <c r="AV1627" i="11" s="1"/>
  <c r="AV1628" i="11" s="1"/>
  <c r="AV1629" i="11" s="1"/>
  <c r="AV1630" i="11" s="1"/>
  <c r="AV1631" i="11" s="1"/>
  <c r="AV1632" i="11" s="1"/>
  <c r="AV1633" i="11" s="1"/>
  <c r="AV1634" i="11" s="1"/>
  <c r="AV1635" i="11" s="1"/>
  <c r="AV1636" i="11" s="1"/>
  <c r="AV1637" i="11" s="1"/>
  <c r="AV1638" i="11" s="1"/>
  <c r="AV1639" i="11" s="1"/>
  <c r="AV1640" i="11" s="1"/>
  <c r="AV1641" i="11" s="1"/>
  <c r="AV1642" i="11" s="1"/>
  <c r="AV1643" i="11" s="1"/>
  <c r="AV1644" i="11" s="1"/>
  <c r="AV1645" i="11" s="1"/>
  <c r="AV1646" i="11" s="1"/>
  <c r="AV1647" i="11" s="1"/>
  <c r="AV1648" i="11" s="1"/>
  <c r="AV1649" i="11" s="1"/>
  <c r="AV1650" i="11" s="1"/>
  <c r="AV1651" i="11" s="1"/>
  <c r="AV1652" i="11" s="1"/>
  <c r="AV1653" i="11" s="1"/>
  <c r="AV1654" i="11" s="1"/>
  <c r="AV1655" i="11" s="1"/>
  <c r="AV1656" i="11" s="1"/>
  <c r="AV1657" i="11" s="1"/>
  <c r="AV1658" i="11" s="1"/>
  <c r="AV1659" i="11" s="1"/>
  <c r="AV1660" i="11" s="1"/>
  <c r="AV1661" i="11" s="1"/>
  <c r="AV1662" i="11" s="1"/>
  <c r="AV1663" i="11" s="1"/>
  <c r="AV1664" i="11" s="1"/>
  <c r="AV1665" i="11" s="1"/>
  <c r="AV1666" i="11" s="1"/>
  <c r="AV1667" i="11" s="1"/>
  <c r="AV1668" i="11" s="1"/>
  <c r="AV1669" i="11" s="1"/>
  <c r="AV1670" i="11" s="1"/>
  <c r="AV1671" i="11" s="1"/>
  <c r="AV1672" i="11" s="1"/>
  <c r="AV1673" i="11" s="1"/>
  <c r="AV1674" i="11" s="1"/>
  <c r="AV1675" i="11" s="1"/>
  <c r="AV1676" i="11" s="1"/>
  <c r="AV1677" i="11" s="1"/>
  <c r="AV1678" i="11" s="1"/>
  <c r="AV1679" i="11" s="1"/>
  <c r="AV1680" i="11" s="1"/>
  <c r="AV1681" i="11" s="1"/>
  <c r="AV1682" i="11" s="1"/>
  <c r="AV1683" i="11" s="1"/>
  <c r="AV1684" i="11" s="1"/>
  <c r="AV1685" i="11" s="1"/>
  <c r="AV1686" i="11" s="1"/>
  <c r="AV1687" i="11" s="1"/>
  <c r="AV1688" i="11" s="1"/>
  <c r="AV1689" i="11" s="1"/>
  <c r="AV1690" i="11" s="1"/>
  <c r="AV1691" i="11" s="1"/>
  <c r="AV1692" i="11" s="1"/>
  <c r="AV1693" i="11" s="1"/>
  <c r="AV1694" i="11" s="1"/>
  <c r="AV1695" i="11" s="1"/>
  <c r="AV1696" i="11" s="1"/>
  <c r="AV1697" i="11" s="1"/>
  <c r="AV1698" i="11" s="1"/>
  <c r="AV1699" i="11" s="1"/>
  <c r="AV1700" i="11" s="1"/>
  <c r="AV1701" i="11" s="1"/>
  <c r="AV1702" i="11" s="1"/>
  <c r="AV1703" i="11" s="1"/>
  <c r="AV1704" i="11" s="1"/>
  <c r="AV1705" i="11" s="1"/>
  <c r="AV1706" i="11" s="1"/>
  <c r="AV1707" i="11" s="1"/>
  <c r="AV1708" i="11" s="1"/>
  <c r="AV1709" i="11" s="1"/>
  <c r="AV1710" i="11" s="1"/>
  <c r="AV1711" i="11" s="1"/>
  <c r="AV1712" i="11" s="1"/>
  <c r="AV1713" i="11" s="1"/>
  <c r="AV1714" i="11" s="1"/>
  <c r="AV1715" i="11" s="1"/>
  <c r="AV1716" i="11" s="1"/>
  <c r="AV1717" i="11" s="1"/>
  <c r="AV1718" i="11" s="1"/>
  <c r="AV1719" i="11" s="1"/>
  <c r="AV1720" i="11" s="1"/>
  <c r="AV1721" i="11" s="1"/>
  <c r="AV1722" i="11" s="1"/>
  <c r="AV1723" i="11" s="1"/>
  <c r="AV1724" i="11" s="1"/>
  <c r="AV1725" i="11" s="1"/>
  <c r="AV1726" i="11" s="1"/>
  <c r="AV1727" i="11" s="1"/>
  <c r="AV1728" i="11" s="1"/>
  <c r="AV1729" i="11" s="1"/>
  <c r="AV1730" i="11" s="1"/>
  <c r="AV1731" i="11" s="1"/>
  <c r="AV1732" i="11" s="1"/>
  <c r="AV1733" i="11" s="1"/>
  <c r="AV1734" i="11" s="1"/>
  <c r="AV1735" i="11" s="1"/>
  <c r="AV1736" i="11" s="1"/>
  <c r="AV1737" i="11" s="1"/>
  <c r="AV1738" i="11" s="1"/>
  <c r="AV1739" i="11" s="1"/>
  <c r="AV1740" i="11" s="1"/>
  <c r="AV1741" i="11" s="1"/>
  <c r="AV1742" i="11" s="1"/>
  <c r="AV1743" i="11" s="1"/>
  <c r="AV1744" i="11" s="1"/>
  <c r="AV1745" i="11" s="1"/>
  <c r="AV1746" i="11" s="1"/>
  <c r="AV1747" i="11" s="1"/>
  <c r="AV1748" i="11" s="1"/>
  <c r="AV1749" i="11" s="1"/>
  <c r="AV1750" i="11" l="1"/>
  <c r="AV1751" i="11" l="1"/>
  <c r="AV1752" i="11" s="1"/>
  <c r="AV1753" i="11" s="1"/>
  <c r="AV1754" i="11" s="1"/>
  <c r="AV1755" i="11" s="1"/>
  <c r="AV1756" i="11" s="1"/>
  <c r="AV1757" i="11" s="1"/>
  <c r="AV1758" i="11" s="1"/>
  <c r="AV1759" i="11" s="1"/>
  <c r="AV1760" i="11" s="1"/>
  <c r="AV1761" i="11" s="1"/>
  <c r="AV1762" i="11" s="1"/>
  <c r="AV1763" i="11" s="1"/>
  <c r="AV1764" i="11" s="1"/>
  <c r="AV1765" i="11" s="1"/>
  <c r="AV1766" i="11" s="1"/>
  <c r="AV1767" i="11" s="1"/>
  <c r="AV1768" i="11" s="1"/>
  <c r="AV1769" i="11" s="1"/>
  <c r="AV1770" i="11" s="1"/>
  <c r="AV1771" i="11" s="1"/>
  <c r="AV1772" i="11" s="1"/>
  <c r="AV1773" i="11" s="1"/>
  <c r="AV1774" i="11" s="1"/>
  <c r="AV1775" i="11" s="1"/>
  <c r="AV1776" i="11" s="1"/>
  <c r="AV1777" i="11" s="1"/>
  <c r="AV1778" i="11" s="1"/>
  <c r="AV1779" i="11" s="1"/>
  <c r="AV1780" i="11" s="1"/>
  <c r="AV1781" i="11" s="1"/>
  <c r="AV1782" i="11" s="1"/>
  <c r="AV1783" i="11" l="1"/>
  <c r="AV1784" i="11" s="1"/>
  <c r="AV1785" i="11" s="1"/>
  <c r="AV1786" i="11" s="1"/>
  <c r="AV1787" i="11" s="1"/>
  <c r="AV1788" i="11" s="1"/>
  <c r="AV1789" i="11" s="1"/>
  <c r="AV1790" i="11" s="1"/>
  <c r="AV1791" i="11" s="1"/>
  <c r="AV1792" i="11" s="1"/>
  <c r="AV1793" i="11" s="1"/>
  <c r="AV1794" i="11" s="1"/>
  <c r="AV1795" i="11" s="1"/>
  <c r="AV1796" i="11" s="1"/>
  <c r="AV1797" i="11" s="1"/>
  <c r="AV1798" i="11" s="1"/>
  <c r="AV1799" i="11" s="1"/>
  <c r="AV1800" i="11" s="1"/>
  <c r="AV1801" i="11" s="1"/>
  <c r="AV1802" i="11" s="1"/>
  <c r="AV1803" i="11" s="1"/>
  <c r="AV1804" i="11" s="1"/>
  <c r="AV1805" i="11" s="1"/>
  <c r="AV1806" i="11" s="1"/>
  <c r="AV1807" i="11" s="1"/>
  <c r="AV1808" i="11" s="1"/>
  <c r="AV1809" i="11" s="1"/>
  <c r="AV1810" i="11" s="1"/>
  <c r="AV1811" i="11" s="1"/>
  <c r="AV1812" i="11" s="1"/>
  <c r="AV1813" i="11" s="1"/>
  <c r="AV1814" i="11" s="1"/>
  <c r="AV1815" i="11" s="1"/>
  <c r="AV1816" i="11" s="1"/>
  <c r="AV1817" i="11" s="1"/>
  <c r="AV1818" i="11" s="1"/>
  <c r="AV1819" i="11" s="1"/>
  <c r="AV1820" i="11" s="1"/>
  <c r="AV1821" i="11" s="1"/>
  <c r="AV1822" i="11" s="1"/>
  <c r="AV1823" i="11" s="1"/>
  <c r="AV1824" i="11" l="1"/>
  <c r="AV1825" i="11" l="1"/>
  <c r="AV1826" i="11" s="1"/>
  <c r="AV1827" i="11" s="1"/>
  <c r="AV1828" i="11" s="1"/>
  <c r="AV1829" i="11" s="1"/>
  <c r="AV1830" i="11" s="1"/>
  <c r="AV1831" i="11" s="1"/>
  <c r="AV1832" i="11" s="1"/>
  <c r="AV1833" i="11" s="1"/>
  <c r="AV1834" i="11" s="1"/>
  <c r="AV1835" i="11" s="1"/>
  <c r="AV1836" i="11" s="1"/>
  <c r="AV1837" i="11" l="1"/>
  <c r="AV1838" i="11" s="1"/>
  <c r="AV1839" i="11" s="1"/>
  <c r="AV1840" i="11" s="1"/>
  <c r="AV1841" i="11" s="1"/>
  <c r="AV1842" i="11" s="1"/>
  <c r="AV1843" i="11" s="1"/>
  <c r="AV1844" i="11" s="1"/>
  <c r="AV1845" i="11" s="1"/>
  <c r="AV1846" i="11" s="1"/>
  <c r="AV1847" i="11" s="1"/>
  <c r="AV1848" i="11" s="1"/>
  <c r="AV1849" i="11" s="1"/>
  <c r="AV1850" i="11" s="1"/>
  <c r="AV1851" i="11" s="1"/>
  <c r="AV1852" i="11" s="1"/>
  <c r="AV1853" i="11" s="1"/>
  <c r="AV1854" i="11" s="1"/>
  <c r="AV1855" i="11" s="1"/>
  <c r="AV1856" i="11" s="1"/>
  <c r="AV1857" i="11" s="1"/>
  <c r="AV1858" i="11" s="1"/>
  <c r="AV1859" i="11" s="1"/>
  <c r="AV1860" i="11" s="1"/>
  <c r="AV1861" i="11" s="1"/>
  <c r="AV1862" i="11" s="1"/>
  <c r="AV1863" i="11" s="1"/>
  <c r="AV1864" i="11" s="1"/>
  <c r="AV1865" i="11" s="1"/>
  <c r="AV1866" i="11" s="1"/>
  <c r="AV1867" i="11" s="1"/>
  <c r="AV1868" i="11" s="1"/>
  <c r="AV1869" i="11" s="1"/>
  <c r="AV1870" i="11" s="1"/>
  <c r="AV1871" i="11" s="1"/>
  <c r="AV1872" i="11" s="1"/>
  <c r="AV1873" i="11" s="1"/>
  <c r="AV1874" i="11" s="1"/>
  <c r="AV1875" i="11" s="1"/>
  <c r="AV1876" i="11" s="1"/>
  <c r="AV1877" i="11" s="1"/>
  <c r="AV1878" i="11" s="1"/>
  <c r="AV1879" i="11" s="1"/>
  <c r="AV1880" i="11" s="1"/>
  <c r="AV1881" i="11" s="1"/>
  <c r="AV1882" i="11" s="1"/>
  <c r="AV1883" i="11" s="1"/>
  <c r="AV1884" i="11" l="1"/>
  <c r="AV1885" i="11" l="1"/>
  <c r="AV1886" i="11" s="1"/>
  <c r="AV1887" i="11" s="1"/>
  <c r="AV1888" i="11" s="1"/>
  <c r="AV1889" i="11" s="1"/>
  <c r="AV1890" i="11" s="1"/>
  <c r="AV1891" i="11" s="1"/>
  <c r="AV1892" i="11" s="1"/>
  <c r="AV1893" i="11" s="1"/>
  <c r="AV1894" i="11" s="1"/>
  <c r="AV1895" i="11" s="1"/>
  <c r="AV1896" i="11" s="1"/>
  <c r="AV1897" i="11" s="1"/>
  <c r="AV1898" i="11" s="1"/>
  <c r="AV1899" i="11" s="1"/>
  <c r="AV1900" i="11" s="1"/>
  <c r="AV1901" i="11" s="1"/>
  <c r="AV1902" i="11" s="1"/>
  <c r="AV1903" i="11" s="1"/>
  <c r="AV1904" i="11" s="1"/>
  <c r="AV1905" i="11" s="1"/>
  <c r="AV1906" i="11" s="1"/>
  <c r="AV1907" i="11" s="1"/>
  <c r="AV1908" i="11" s="1"/>
  <c r="AV1909" i="11" s="1"/>
  <c r="AV1910" i="11" s="1"/>
  <c r="AV1911" i="11" s="1"/>
  <c r="AV1912" i="11" s="1"/>
  <c r="AV1913" i="11" s="1"/>
  <c r="AV1914" i="11" s="1"/>
  <c r="AV1915" i="11" s="1"/>
  <c r="AV1916" i="11" s="1"/>
  <c r="AV1917" i="11" s="1"/>
  <c r="AV1918" i="11" s="1"/>
  <c r="AV1919" i="11" s="1"/>
  <c r="AV1920" i="11" s="1"/>
  <c r="AV1921" i="11" s="1"/>
  <c r="AV1922" i="11" s="1"/>
  <c r="AV1923" i="11" s="1"/>
  <c r="AV1924" i="11" s="1"/>
  <c r="AV1925" i="11" s="1"/>
  <c r="AV1926" i="11" s="1"/>
  <c r="AV1927" i="11" s="1"/>
  <c r="AV1928" i="11" s="1"/>
  <c r="AV1929" i="11" s="1"/>
  <c r="AV1930" i="11" s="1"/>
  <c r="AV1931" i="11" s="1"/>
  <c r="AV1932" i="11" s="1"/>
  <c r="AV1933" i="11" s="1"/>
  <c r="AV1934" i="11" s="1"/>
  <c r="AV1935" i="11" s="1"/>
  <c r="AV1936" i="11" s="1"/>
  <c r="AV1937" i="11" s="1"/>
  <c r="AV1938" i="11" s="1"/>
  <c r="AV1939" i="11" s="1"/>
  <c r="AV1940" i="11" s="1"/>
  <c r="AV1941" i="11" s="1"/>
  <c r="AV1942" i="11" s="1"/>
  <c r="AV1943" i="11" s="1"/>
  <c r="AV1944" i="11" s="1"/>
  <c r="AV1945" i="11" s="1"/>
  <c r="AV1946" i="11" s="1"/>
  <c r="AV1947" i="11" s="1"/>
  <c r="AV1948" i="11" s="1"/>
  <c r="AV1949" i="11" s="1"/>
  <c r="AV1950" i="11" s="1"/>
  <c r="AV1951" i="11" s="1"/>
  <c r="AV1952" i="11" s="1"/>
  <c r="AV1953" i="11" s="1"/>
  <c r="AV1954" i="11" s="1"/>
  <c r="AV1955" i="11" s="1"/>
  <c r="AV1956" i="11" s="1"/>
  <c r="AV1957" i="11" s="1"/>
  <c r="AV1958" i="11" s="1"/>
  <c r="AV1959" i="11" s="1"/>
  <c r="AV1960" i="11" s="1"/>
  <c r="AV1961" i="11" s="1"/>
  <c r="AV1962" i="11" s="1"/>
  <c r="AV1963" i="11" s="1"/>
  <c r="AV1964" i="11" s="1"/>
  <c r="AV1965" i="11" s="1"/>
  <c r="AV1966" i="11" s="1"/>
  <c r="AV1967" i="11" s="1"/>
  <c r="AV1968" i="11" s="1"/>
  <c r="AV1969" i="11" s="1"/>
  <c r="AV1970" i="11" s="1"/>
  <c r="AV1971" i="11" s="1"/>
  <c r="AV1972" i="11" s="1"/>
  <c r="AV1973" i="11" s="1"/>
  <c r="AV1974" i="11" s="1"/>
  <c r="AV1975" i="11" l="1"/>
  <c r="AV1976" i="11" s="1"/>
  <c r="AV1977" i="11" s="1"/>
  <c r="AV1978" i="11" s="1"/>
  <c r="AV1979" i="11" s="1"/>
  <c r="AV1980" i="11" s="1"/>
  <c r="AV1981" i="11" s="1"/>
  <c r="AV1982" i="11" s="1"/>
  <c r="AV1983" i="11" s="1"/>
  <c r="AV1984" i="11" s="1"/>
  <c r="AV1985" i="11" s="1"/>
  <c r="AV1986" i="11" s="1"/>
  <c r="AV1987" i="11" s="1"/>
  <c r="AV1988" i="11" s="1"/>
  <c r="AV1989" i="11" s="1"/>
  <c r="AV1990" i="11" s="1"/>
  <c r="AV1991" i="11" s="1"/>
  <c r="AV1992" i="11" s="1"/>
  <c r="AV1993" i="11" s="1"/>
  <c r="AV1994" i="11" s="1"/>
  <c r="AV1995" i="11" s="1"/>
  <c r="AV1996" i="11" s="1"/>
  <c r="AV1997" i="11" s="1"/>
  <c r="AV1998" i="11" s="1"/>
  <c r="AV1999" i="11" s="1"/>
  <c r="AV2000" i="11" s="1"/>
  <c r="AV2001" i="11" s="1"/>
  <c r="AV2002" i="11" s="1"/>
  <c r="AV2003" i="11" s="1"/>
  <c r="AV2004" i="11" s="1"/>
  <c r="AV2005" i="11" s="1"/>
  <c r="AV2006" i="11" s="1"/>
  <c r="AV2007" i="11" s="1"/>
  <c r="AV2008" i="11" s="1"/>
  <c r="AV2009" i="11" s="1"/>
  <c r="AV2010" i="11" s="1"/>
  <c r="AV2011" i="11" s="1"/>
  <c r="AV2012" i="11" s="1"/>
  <c r="AV2013" i="11" s="1"/>
  <c r="AV2014" i="11" s="1"/>
  <c r="AV2015" i="11" s="1"/>
  <c r="AV2016" i="11" s="1"/>
  <c r="AV2017" i="11" s="1"/>
  <c r="AV2018" i="11" s="1"/>
  <c r="AV2019" i="11" s="1"/>
  <c r="AV2020" i="11" s="1"/>
  <c r="AV2021" i="11" s="1"/>
  <c r="AV2022" i="11" s="1"/>
  <c r="AV2023" i="11" s="1"/>
  <c r="AV2024" i="11" s="1"/>
  <c r="AV2025" i="11" s="1"/>
  <c r="AV2026" i="11" s="1"/>
  <c r="AV2027" i="11" s="1"/>
  <c r="AV2028" i="11" s="1"/>
  <c r="AV2029" i="11" s="1"/>
  <c r="AV2030" i="11" s="1"/>
  <c r="AV2031" i="11" s="1"/>
  <c r="AV2032" i="11" s="1"/>
  <c r="AV2033" i="11" s="1"/>
  <c r="AV2034" i="11" s="1"/>
  <c r="AV2035" i="11" s="1"/>
  <c r="AV2036" i="11" s="1"/>
  <c r="AV2037" i="11" s="1"/>
  <c r="AV2038" i="11" s="1"/>
  <c r="AV2039" i="11" s="1"/>
  <c r="AV2040" i="11" s="1"/>
  <c r="AV2041" i="11" s="1"/>
  <c r="AV2042" i="11" s="1"/>
  <c r="AV2043" i="11" s="1"/>
  <c r="AV2044" i="11" s="1"/>
  <c r="AV2045" i="11" s="1"/>
  <c r="AV2046" i="11" s="1"/>
  <c r="AV2047" i="11" s="1"/>
  <c r="AV2048" i="11" s="1"/>
  <c r="AV2049" i="11" s="1"/>
  <c r="AV2050" i="11" s="1"/>
  <c r="AV2051" i="11" s="1"/>
  <c r="AV2052" i="11" s="1"/>
  <c r="AV2053" i="11" s="1"/>
  <c r="AV2054" i="11" s="1"/>
  <c r="AV2055" i="11" s="1"/>
  <c r="AV2056" i="11" s="1"/>
  <c r="AV2057" i="11" s="1"/>
  <c r="AV2058" i="11" s="1"/>
  <c r="AV2059" i="11" s="1"/>
  <c r="AV2060" i="11" s="1"/>
  <c r="AV2061" i="11" l="1"/>
  <c r="AV2062" i="11" l="1"/>
  <c r="AV2063" i="11" s="1"/>
  <c r="AV2064" i="11" s="1"/>
  <c r="AV2065" i="11" s="1"/>
  <c r="AV2066" i="11" s="1"/>
  <c r="AV2067" i="11" s="1"/>
  <c r="AV2068" i="11" s="1"/>
  <c r="AV2069" i="11" s="1"/>
  <c r="AV2070" i="11" s="1"/>
  <c r="AV2071" i="11" s="1"/>
  <c r="AV2072" i="11" s="1"/>
  <c r="AV2073" i="11" s="1"/>
  <c r="AV2074" i="11" s="1"/>
  <c r="AV2075" i="11" s="1"/>
  <c r="AV2076" i="11" s="1"/>
  <c r="AV2077" i="11" s="1"/>
  <c r="AV2078" i="11" s="1"/>
  <c r="AV2079" i="11" s="1"/>
  <c r="AV2080" i="11" s="1"/>
  <c r="AV2081" i="11" s="1"/>
  <c r="AV2082" i="11" s="1"/>
  <c r="AV2083" i="11" s="1"/>
  <c r="AV2084" i="11" s="1"/>
  <c r="AV2085" i="11" s="1"/>
  <c r="AV2086" i="11" s="1"/>
  <c r="AV2087" i="11" s="1"/>
  <c r="AV2088" i="11" s="1"/>
  <c r="AV2089" i="11" s="1"/>
  <c r="AV2090" i="11" s="1"/>
  <c r="AV2091" i="11" s="1"/>
  <c r="AV2092" i="11" s="1"/>
  <c r="AV2093" i="11" s="1"/>
  <c r="AV2094" i="11" s="1"/>
  <c r="AV2095" i="11" s="1"/>
  <c r="AV2096" i="11" s="1"/>
  <c r="AV2097" i="11" s="1"/>
  <c r="AV2098" i="11" s="1"/>
  <c r="AV2099" i="11" s="1"/>
  <c r="AV2100" i="11" s="1"/>
  <c r="AV2101" i="11" s="1"/>
  <c r="AV2102" i="11" s="1"/>
  <c r="AV2103" i="11" s="1"/>
  <c r="AV2104" i="11" l="1"/>
  <c r="AV2105" i="11" s="1"/>
  <c r="AV2106" i="11" s="1"/>
  <c r="AV2107" i="11" s="1"/>
  <c r="AV2108" i="11" s="1"/>
  <c r="AV2109" i="11" s="1"/>
  <c r="AV2110" i="11" s="1"/>
  <c r="AV2111" i="11" s="1"/>
  <c r="AV2112" i="11" s="1"/>
  <c r="AV2113" i="11" s="1"/>
  <c r="AV2114" i="11" s="1"/>
  <c r="AV2115" i="11" s="1"/>
  <c r="AV2116" i="11" s="1"/>
  <c r="AV2117" i="11" s="1"/>
  <c r="AV2118" i="11" s="1"/>
  <c r="AV2119" i="11" s="1"/>
  <c r="AV2120" i="11" s="1"/>
  <c r="AV2121" i="11" s="1"/>
  <c r="AV2122" i="11" s="1"/>
  <c r="AV2123" i="11" s="1"/>
  <c r="AV2124" i="11" s="1"/>
  <c r="AV2125" i="11" s="1"/>
  <c r="AV2126" i="11" s="1"/>
  <c r="AV2127" i="11" s="1"/>
  <c r="AV2128" i="11" s="1"/>
  <c r="AV2129" i="11" s="1"/>
  <c r="AV2130" i="11" s="1"/>
  <c r="AV2131" i="11" s="1"/>
  <c r="AV2132" i="11" s="1"/>
  <c r="AV2133" i="11" s="1"/>
  <c r="AV2134" i="11" s="1"/>
  <c r="AV2135" i="11" s="1"/>
  <c r="AV2136" i="11" s="1"/>
  <c r="AV2137" i="11" s="1"/>
  <c r="AV2138" i="11" s="1"/>
  <c r="AV2139" i="11" s="1"/>
  <c r="AV2140" i="11" s="1"/>
  <c r="AV2141" i="11" s="1"/>
  <c r="AV2142" i="11" s="1"/>
  <c r="AV2143" i="11" s="1"/>
  <c r="AV2144" i="11" s="1"/>
  <c r="AV2145" i="11" s="1"/>
  <c r="AV2146" i="11" s="1"/>
  <c r="AV2147" i="11" s="1"/>
  <c r="AV2148" i="11" s="1"/>
  <c r="AV2149" i="11" s="1"/>
  <c r="AV2150" i="11" s="1"/>
  <c r="AV2151" i="11" s="1"/>
  <c r="AV2152" i="11" s="1"/>
  <c r="AV2153" i="11" s="1"/>
  <c r="AV2154" i="11" s="1"/>
  <c r="AV2155" i="11" s="1"/>
  <c r="AV2156" i="11" s="1"/>
  <c r="AV2157" i="11" s="1"/>
  <c r="AV2158" i="11" s="1"/>
  <c r="AV2159" i="11" s="1"/>
  <c r="AV2160" i="11" s="1"/>
  <c r="AV2161" i="11" s="1"/>
  <c r="AV2162" i="11" s="1"/>
  <c r="AV2163" i="11" s="1"/>
  <c r="AV2164" i="11" s="1"/>
  <c r="AV2165" i="11" s="1"/>
  <c r="AV2166" i="11" s="1"/>
  <c r="AV2167" i="11" s="1"/>
  <c r="AV2168" i="11" s="1"/>
  <c r="AV2169" i="11" s="1"/>
  <c r="AV2170" i="11" s="1"/>
  <c r="AV2171" i="11" s="1"/>
  <c r="AV2172" i="11" s="1"/>
  <c r="AV2173" i="11" s="1"/>
  <c r="AV2174" i="11" s="1"/>
  <c r="AV2175" i="11" s="1"/>
  <c r="AV2176" i="11" s="1"/>
  <c r="AV2177" i="11" s="1"/>
  <c r="AV2178" i="11" s="1"/>
  <c r="AV2179" i="11" s="1"/>
  <c r="AV2180" i="11" s="1"/>
  <c r="AV2181" i="11" s="1"/>
  <c r="AV2182" i="11" s="1"/>
  <c r="AV2183" i="11" s="1"/>
  <c r="AV2184" i="11" s="1"/>
  <c r="AV2185" i="11" s="1"/>
  <c r="AV2186" i="11" s="1"/>
  <c r="AV2187" i="11" s="1"/>
  <c r="AV2188" i="11" s="1"/>
  <c r="AV2189" i="11" s="1"/>
  <c r="AV2190" i="11" s="1"/>
  <c r="AV2191" i="11" s="1"/>
  <c r="AV2192" i="11" s="1"/>
  <c r="AV2193" i="11" s="1"/>
  <c r="AV2194" i="11" s="1"/>
  <c r="AV2195" i="11" s="1"/>
  <c r="AV2196" i="11" s="1"/>
  <c r="AV2197" i="11" s="1"/>
  <c r="AV2198" i="11" s="1"/>
  <c r="AV2199" i="11" s="1"/>
  <c r="AV2200" i="11" s="1"/>
  <c r="AV2201" i="11" s="1"/>
  <c r="AV2202" i="11" s="1"/>
  <c r="AV2203" i="11" s="1"/>
  <c r="AV2204" i="11" s="1"/>
  <c r="AV2205" i="11" s="1"/>
  <c r="AV2206" i="11" s="1"/>
  <c r="AV2207" i="11" s="1"/>
  <c r="AV2208" i="11" s="1"/>
  <c r="AV2209" i="11" s="1"/>
  <c r="AV2210" i="11" s="1"/>
  <c r="AV2211" i="11" s="1"/>
  <c r="AV2212" i="11" s="1"/>
  <c r="AV2213" i="11" s="1"/>
  <c r="AV2214" i="11" s="1"/>
  <c r="AV2215" i="11" s="1"/>
  <c r="AV2216" i="11" s="1"/>
  <c r="AV2217" i="11" s="1"/>
  <c r="AV2218" i="11" s="1"/>
  <c r="AV2219" i="11" s="1"/>
  <c r="AV2220" i="11" s="1"/>
  <c r="AV2221" i="11" s="1"/>
  <c r="AV2222" i="11" s="1"/>
  <c r="AV2223" i="11" s="1"/>
  <c r="AV2224" i="11" s="1"/>
  <c r="AV2225" i="11" s="1"/>
  <c r="AV2226" i="11" s="1"/>
  <c r="AV2227" i="11" s="1"/>
  <c r="AV2228" i="11" s="1"/>
  <c r="AV2229" i="11" s="1"/>
  <c r="AV2230" i="11" s="1"/>
  <c r="AV2231" i="11" s="1"/>
  <c r="AV2232" i="11" s="1"/>
  <c r="AV2233" i="11" s="1"/>
  <c r="AV2234" i="11" s="1"/>
  <c r="AV2235" i="11" s="1"/>
  <c r="AV2236" i="11" s="1"/>
  <c r="AV2237" i="11" s="1"/>
  <c r="AV2238" i="11" s="1"/>
  <c r="AV2239" i="11" s="1"/>
  <c r="AV2240" i="11" s="1"/>
  <c r="AV2241" i="11" s="1"/>
  <c r="AV2242" i="11" s="1"/>
  <c r="AV2243" i="11" s="1"/>
  <c r="AV2244" i="11" s="1"/>
  <c r="AV2245" i="11" s="1"/>
  <c r="AV2246" i="11" s="1"/>
  <c r="AV2247" i="11" s="1"/>
  <c r="AV2248" i="11" s="1"/>
  <c r="AV2249" i="11" s="1"/>
  <c r="AV2250" i="11" s="1"/>
  <c r="AV2251" i="11" s="1"/>
  <c r="AV2252" i="11" s="1"/>
  <c r="AV2253" i="11" s="1"/>
  <c r="AV2254" i="11" s="1"/>
  <c r="AV2255" i="11" s="1"/>
  <c r="AV2256" i="11" s="1"/>
  <c r="AV2257" i="11" s="1"/>
  <c r="AV2258" i="11" s="1"/>
  <c r="AV2259" i="11" s="1"/>
  <c r="AV2260" i="11" s="1"/>
  <c r="AV2261" i="11" s="1"/>
  <c r="AV2262" i="11" s="1"/>
  <c r="AV2263" i="11" s="1"/>
  <c r="AV2264" i="11" s="1"/>
  <c r="AV2265" i="11" s="1"/>
  <c r="AV2266" i="11" s="1"/>
  <c r="AV2267" i="11" s="1"/>
  <c r="AV2268" i="11" s="1"/>
  <c r="AV2269" i="11" s="1"/>
  <c r="AV2270" i="11" l="1"/>
  <c r="AV2271" i="11" l="1"/>
  <c r="AV2272" i="11" s="1"/>
  <c r="AV2273" i="11" s="1"/>
  <c r="AV2274" i="11" s="1"/>
  <c r="AV2275" i="11" s="1"/>
  <c r="AV2276" i="11" s="1"/>
  <c r="AV2277" i="11" s="1"/>
  <c r="AV2278" i="11" s="1"/>
  <c r="AV2279" i="11" s="1"/>
  <c r="AV2280" i="11" s="1"/>
  <c r="AV2281" i="11" s="1"/>
  <c r="AV2282" i="11" s="1"/>
  <c r="AV2283" i="11" s="1"/>
  <c r="AV2284" i="11" s="1"/>
  <c r="AV2285" i="11" s="1"/>
  <c r="AV2286" i="11" s="1"/>
  <c r="AV2287" i="11" s="1"/>
  <c r="AV2288" i="11" s="1"/>
  <c r="AV2289" i="11" s="1"/>
  <c r="AV2290" i="11" s="1"/>
  <c r="AV2291" i="11" s="1"/>
  <c r="AV2292" i="11" s="1"/>
  <c r="AV2293" i="11" s="1"/>
  <c r="AV2294" i="11" s="1"/>
  <c r="AV2295" i="11" l="1"/>
  <c r="AV2296" i="11" s="1"/>
  <c r="AV2297" i="11" s="1"/>
  <c r="AV2298" i="11" s="1"/>
  <c r="AV2299" i="11" s="1"/>
  <c r="AV2300" i="11" s="1"/>
  <c r="AV2301" i="11" s="1"/>
  <c r="AV2302" i="11" s="1"/>
  <c r="AV2303" i="11" s="1"/>
  <c r="AV2304" i="11" s="1"/>
  <c r="AV2305" i="11" s="1"/>
  <c r="AV2306" i="11" s="1"/>
  <c r="AV2307" i="11" s="1"/>
  <c r="AV2308" i="11" l="1"/>
  <c r="AV2309" i="11" l="1"/>
  <c r="AV2310" i="11" s="1"/>
  <c r="AV2311" i="11" s="1"/>
  <c r="AV2312" i="11" s="1"/>
  <c r="AV2313" i="11" s="1"/>
  <c r="AV2314" i="11" s="1"/>
  <c r="AV2315" i="11" s="1"/>
  <c r="AV2316" i="11" s="1"/>
  <c r="AV2317" i="11" s="1"/>
  <c r="AV2318" i="11" s="1"/>
  <c r="AV2319" i="11" s="1"/>
  <c r="AV2320" i="11" l="1"/>
  <c r="AV2321" i="11" s="1"/>
  <c r="AV2322" i="11" s="1"/>
  <c r="AV2323" i="11" s="1"/>
  <c r="AV2324" i="11" s="1"/>
  <c r="AV2325" i="11" s="1"/>
  <c r="AV2326" i="11" s="1"/>
  <c r="AV2327" i="11" s="1"/>
  <c r="AV2328" i="11" s="1"/>
  <c r="AV2329" i="11" s="1"/>
  <c r="AV2330" i="11" s="1"/>
  <c r="AV2331" i="11" s="1"/>
  <c r="AV2332" i="11" s="1"/>
  <c r="AV2333" i="11" s="1"/>
  <c r="AV2334" i="11" s="1"/>
  <c r="AV2335" i="11" s="1"/>
  <c r="AV2336" i="11" s="1"/>
  <c r="AV2337" i="11" s="1"/>
  <c r="AV2338" i="11" s="1"/>
  <c r="AV2339" i="11" s="1"/>
  <c r="AV2340" i="11" s="1"/>
  <c r="AV2341" i="11" s="1"/>
  <c r="AV2342" i="11" s="1"/>
  <c r="AV2343" i="11" s="1"/>
  <c r="AV2344" i="11" s="1"/>
  <c r="AV2345" i="11" s="1"/>
  <c r="AV2346" i="11" s="1"/>
  <c r="AV2347" i="11" s="1"/>
  <c r="AV2348" i="11" s="1"/>
  <c r="AV2349" i="11" s="1"/>
  <c r="AV2350" i="11" s="1"/>
  <c r="AV2351" i="11" s="1"/>
  <c r="AV2352" i="11" s="1"/>
  <c r="AV2353" i="11" s="1"/>
  <c r="AV2354" i="11" l="1"/>
  <c r="AV2355" i="11" l="1"/>
  <c r="AV2356" i="11" l="1"/>
  <c r="AV2357" i="11" l="1"/>
  <c r="AV2358" i="11" s="1"/>
  <c r="AV2359" i="11" s="1"/>
  <c r="AV2360" i="11" l="1"/>
  <c r="AV2361" i="11" l="1"/>
  <c r="AV2362" i="11" l="1"/>
  <c r="AV2363" i="11" s="1"/>
  <c r="AV2364" i="11" s="1"/>
  <c r="AV2365" i="11" s="1"/>
  <c r="AV2366" i="11" s="1"/>
  <c r="AV2367" i="11" s="1"/>
  <c r="AV2368" i="11" s="1"/>
  <c r="AV2369" i="11" s="1"/>
  <c r="AV2370" i="11" s="1"/>
  <c r="AV2371" i="11" s="1"/>
  <c r="AV2372" i="11" s="1"/>
  <c r="AV2373" i="11" s="1"/>
  <c r="AV2374" i="11" l="1"/>
  <c r="AV2375" i="11" s="1"/>
  <c r="AV2376" i="11" s="1"/>
  <c r="AV2377" i="11" s="1"/>
  <c r="AV2378" i="11" s="1"/>
  <c r="AV2379" i="11" s="1"/>
  <c r="AV2380" i="11" s="1"/>
  <c r="AV2381" i="11" s="1"/>
  <c r="AV2382" i="11" s="1"/>
  <c r="AV2383" i="11" s="1"/>
  <c r="AV2384" i="11" s="1"/>
  <c r="AV2385" i="11" s="1"/>
  <c r="AV2386" i="11" l="1"/>
  <c r="AV2387" i="11" s="1"/>
  <c r="AV2388" i="11" s="1"/>
  <c r="AV2389" i="11" s="1"/>
  <c r="AV2390" i="11" s="1"/>
  <c r="AV2391" i="11" s="1"/>
  <c r="AV2392" i="11" s="1"/>
  <c r="AV2393" i="11" s="1"/>
  <c r="AV2394" i="11" s="1"/>
  <c r="AV2395" i="11" s="1"/>
  <c r="AV2396" i="11" s="1"/>
  <c r="AV2397" i="11" s="1"/>
  <c r="AV2398" i="11" s="1"/>
  <c r="AV2399" i="11" s="1"/>
  <c r="AV2400" i="11" s="1"/>
  <c r="AV2401" i="11" s="1"/>
  <c r="AV2402" i="11" s="1"/>
  <c r="AV2403" i="11" s="1"/>
  <c r="AV2404" i="11" s="1"/>
  <c r="AV2405" i="11" s="1"/>
  <c r="AV2406" i="11" s="1"/>
  <c r="AV2407" i="11" s="1"/>
  <c r="AV2408" i="11" s="1"/>
  <c r="AV2409" i="11" s="1"/>
  <c r="AV2410" i="11" s="1"/>
  <c r="AV2411" i="11" s="1"/>
  <c r="AV2412" i="11" s="1"/>
  <c r="AV2413" i="11" s="1"/>
  <c r="AV2414" i="11" s="1"/>
  <c r="AV2415" i="11" s="1"/>
  <c r="AV2416" i="11" s="1"/>
  <c r="AV2417" i="11" s="1"/>
  <c r="AV2418" i="11" s="1"/>
  <c r="AV2419" i="11" s="1"/>
  <c r="AV2420" i="11" s="1"/>
  <c r="AV2421" i="11" s="1"/>
  <c r="AV2422" i="11" s="1"/>
  <c r="AV2423" i="11" s="1"/>
  <c r="AV2424" i="11" s="1"/>
  <c r="AV2425" i="11" s="1"/>
  <c r="AV2426" i="11" s="1"/>
  <c r="AV2427" i="11" s="1"/>
  <c r="AV2428" i="11" s="1"/>
  <c r="AV2429" i="11" s="1"/>
  <c r="AV2430" i="11" s="1"/>
  <c r="AV2431" i="11" s="1"/>
  <c r="AV2432" i="11" s="1"/>
  <c r="AV2433" i="11" s="1"/>
  <c r="AV2434" i="11" s="1"/>
  <c r="AV2435" i="11" s="1"/>
  <c r="AV2436" i="11" s="1"/>
  <c r="AV2437" i="11" s="1"/>
  <c r="AV2438" i="11" s="1"/>
  <c r="AV2439" i="11" s="1"/>
  <c r="AV2440" i="11" s="1"/>
  <c r="AV2441" i="11" s="1"/>
  <c r="AV2442" i="11" s="1"/>
  <c r="AV2443" i="11" s="1"/>
  <c r="AV2444" i="11" s="1"/>
  <c r="AV2445" i="11" s="1"/>
  <c r="AV2446" i="11" s="1"/>
  <c r="AV2447" i="11" s="1"/>
  <c r="AV2448" i="11" s="1"/>
  <c r="AV2449" i="11" s="1"/>
  <c r="AV2450" i="11" s="1"/>
  <c r="AV2451" i="11" s="1"/>
  <c r="AV2452" i="11" s="1"/>
  <c r="AV2453" i="11" s="1"/>
  <c r="AV2454" i="11" s="1"/>
  <c r="AV2455" i="11" s="1"/>
  <c r="AV2456" i="11" s="1"/>
  <c r="AV2457" i="11" s="1"/>
  <c r="AV2458" i="11" s="1"/>
  <c r="AV2459" i="11" s="1"/>
  <c r="AV2460" i="11" s="1"/>
  <c r="AV2461" i="11" s="1"/>
  <c r="AV2462" i="11" s="1"/>
  <c r="AV2463" i="11" s="1"/>
  <c r="AV2464" i="11" s="1"/>
  <c r="AV2465" i="11" s="1"/>
  <c r="AV2466" i="11" s="1"/>
  <c r="AV2467" i="11" s="1"/>
  <c r="AV2468" i="11" s="1"/>
  <c r="AV2469" i="11" s="1"/>
  <c r="AV2470" i="11" s="1"/>
  <c r="AV2471" i="11" s="1"/>
  <c r="AV2472" i="11" s="1"/>
  <c r="AV2473" i="11" s="1"/>
  <c r="AV2474" i="11" s="1"/>
  <c r="AV2475" i="11" s="1"/>
  <c r="AV2476" i="11" s="1"/>
  <c r="AV2477" i="11" s="1"/>
  <c r="AV2478" i="11" s="1"/>
  <c r="AV2479" i="11" s="1"/>
  <c r="AV2480" i="11" s="1"/>
  <c r="AV2481" i="11" s="1"/>
  <c r="AV2482" i="11" s="1"/>
  <c r="AV2483" i="11" s="1"/>
  <c r="AV2484" i="11" s="1"/>
  <c r="AV2485" i="11" s="1"/>
  <c r="AV2486" i="11" s="1"/>
  <c r="AV2487" i="11" s="1"/>
  <c r="AV2488" i="11" s="1"/>
  <c r="AV2489" i="11" s="1"/>
  <c r="AV2490" i="11" s="1"/>
  <c r="AV2491" i="11" s="1"/>
  <c r="AV2492" i="11" s="1"/>
  <c r="AV2493" i="11" s="1"/>
  <c r="AV2494" i="11" s="1"/>
  <c r="AV2495" i="11" s="1"/>
  <c r="AV2496" i="11" s="1"/>
  <c r="AV2497" i="11" s="1"/>
  <c r="AV2498" i="11" s="1"/>
  <c r="AV2499" i="11" s="1"/>
  <c r="AV2500" i="11" s="1"/>
  <c r="AV2501" i="11" s="1"/>
  <c r="AV2502" i="11" s="1"/>
  <c r="AV2503" i="11" s="1"/>
  <c r="AV2504" i="11" s="1"/>
  <c r="AV2505" i="11" s="1"/>
  <c r="AV2506" i="11" s="1"/>
  <c r="AV2507" i="11" s="1"/>
  <c r="AV2508" i="11" l="1"/>
  <c r="AV2509" i="11" l="1"/>
  <c r="AV2510" i="11" s="1"/>
  <c r="AV2511" i="11" s="1"/>
  <c r="AV2512" i="11" s="1"/>
  <c r="AV2513" i="11" s="1"/>
  <c r="AV2514" i="11" s="1"/>
  <c r="AV2515" i="11" s="1"/>
  <c r="AV2516" i="11" s="1"/>
  <c r="AV2517" i="11" s="1"/>
  <c r="AV2518" i="11" l="1"/>
  <c r="AV2519" i="11" s="1"/>
  <c r="AV2520" i="11" s="1"/>
  <c r="AV2521" i="11" s="1"/>
  <c r="AV2522" i="11" s="1"/>
  <c r="AV2523" i="11" s="1"/>
  <c r="AV2524" i="11" s="1"/>
  <c r="AV2525" i="11" s="1"/>
  <c r="AV2526" i="11" s="1"/>
  <c r="AV2527" i="11" s="1"/>
  <c r="AV2528" i="11" s="1"/>
  <c r="AV2529" i="11" s="1"/>
  <c r="AV2530" i="11" s="1"/>
  <c r="AV2531" i="11" s="1"/>
  <c r="AV2532" i="11" s="1"/>
  <c r="AV2533" i="11" s="1"/>
  <c r="AV2534" i="11" s="1"/>
  <c r="AV2535" i="11" s="1"/>
  <c r="AV2536" i="11" s="1"/>
  <c r="AV2537" i="11" s="1"/>
  <c r="AV2538" i="11" s="1"/>
  <c r="AV2539" i="11" s="1"/>
  <c r="AV2540" i="11" s="1"/>
  <c r="AV2541" i="11" s="1"/>
  <c r="AV2542" i="11" s="1"/>
  <c r="AV2543" i="11" s="1"/>
  <c r="AV2544" i="11" s="1"/>
  <c r="AV2545" i="11" s="1"/>
  <c r="AV2546" i="11" s="1"/>
  <c r="AV2547" i="11" s="1"/>
  <c r="AV2548" i="11" s="1"/>
  <c r="AV2549" i="11" s="1"/>
  <c r="AV2550" i="11" s="1"/>
  <c r="AV2551" i="11" s="1"/>
  <c r="AV2552" i="11" s="1"/>
  <c r="AV2553" i="11" s="1"/>
  <c r="AV2554" i="11" s="1"/>
  <c r="AV2555" i="11" s="1"/>
  <c r="AV2556" i="11" s="1"/>
  <c r="AV2557" i="11" s="1"/>
  <c r="AV2558" i="11" s="1"/>
  <c r="AV2559" i="11" s="1"/>
  <c r="AV2560" i="11" s="1"/>
  <c r="AV2561" i="11" s="1"/>
  <c r="AV2562" i="11" s="1"/>
  <c r="AV2563" i="11" s="1"/>
  <c r="AV2564" i="11" s="1"/>
  <c r="AV2565" i="11" s="1"/>
  <c r="AV2566" i="11" s="1"/>
  <c r="AV2567" i="11" s="1"/>
  <c r="AV2568" i="11" s="1"/>
  <c r="AV2569" i="11" s="1"/>
  <c r="AV2570" i="11" s="1"/>
  <c r="AV2571" i="11" s="1"/>
  <c r="AV2572" i="11" s="1"/>
  <c r="AV2573" i="11" s="1"/>
  <c r="AV2574" i="11" s="1"/>
  <c r="AV2575" i="11" s="1"/>
  <c r="AV2576" i="11" s="1"/>
  <c r="AV2577" i="11" s="1"/>
  <c r="AV2578" i="11" s="1"/>
  <c r="AV2579" i="11" s="1"/>
  <c r="AV2580" i="11" s="1"/>
  <c r="AV2581" i="11" s="1"/>
  <c r="AV2582" i="11" s="1"/>
  <c r="AV2583" i="11" s="1"/>
  <c r="AV2584" i="11" s="1"/>
  <c r="AV2585" i="11" s="1"/>
  <c r="AV2586" i="11" s="1"/>
  <c r="AV2587" i="11" s="1"/>
  <c r="AV2588" i="11" s="1"/>
  <c r="AV2589" i="11" s="1"/>
  <c r="AM89" i="4"/>
  <c r="AY89" i="4" l="1"/>
  <c r="AI10" i="15" s="1"/>
  <c r="AI38" i="15"/>
  <c r="AI40" i="15" s="1"/>
  <c r="AV2590" i="11"/>
  <c r="AR45" i="10"/>
  <c r="AV2591" i="11" l="1"/>
  <c r="AV2592" i="11" s="1"/>
  <c r="AV2593" i="11" s="1"/>
  <c r="AV2594" i="11" s="1"/>
  <c r="AV2595" i="11" s="1"/>
  <c r="AV2596" i="11" s="1"/>
  <c r="AV2597" i="11" s="1"/>
  <c r="AV2598" i="11" s="1"/>
  <c r="AV2599" i="11" s="1"/>
  <c r="AV2600" i="11" s="1"/>
  <c r="AV2601" i="11" s="1"/>
  <c r="AV2602" i="11" s="1"/>
  <c r="AV2603" i="11" s="1"/>
  <c r="AV2604" i="11" s="1"/>
  <c r="AV2605" i="11" s="1"/>
  <c r="AV2606" i="11" s="1"/>
  <c r="AV2607" i="11" s="1"/>
  <c r="AV2608" i="11" s="1"/>
  <c r="AV2609" i="11" s="1"/>
  <c r="AV2610" i="11" s="1"/>
  <c r="AV2611" i="11" s="1"/>
  <c r="AV2612" i="11" s="1"/>
  <c r="AV2613" i="11" s="1"/>
  <c r="AV2614" i="11" s="1"/>
  <c r="AV2615" i="11" s="1"/>
  <c r="AV2616" i="11" s="1"/>
  <c r="AV2617" i="11" s="1"/>
  <c r="AV2618" i="11" s="1"/>
  <c r="AV2619" i="11" s="1"/>
  <c r="AV2620" i="11" s="1"/>
  <c r="AV2621" i="11" s="1"/>
  <c r="AV2622" i="11" s="1"/>
  <c r="AV2623" i="11" s="1"/>
  <c r="AV2624" i="11" s="1"/>
  <c r="AV2625" i="11" s="1"/>
  <c r="AV2626" i="11" s="1"/>
  <c r="AV2627" i="11" s="1"/>
  <c r="AV2628" i="11" s="1"/>
  <c r="AV2629" i="11" s="1"/>
  <c r="AV2630" i="11" s="1"/>
  <c r="AV2631" i="11" s="1"/>
  <c r="AV2632" i="11" s="1"/>
  <c r="AV2633" i="11" s="1"/>
  <c r="AV2634" i="11" s="1"/>
  <c r="AV2635" i="11" s="1"/>
  <c r="AV2636" i="11" s="1"/>
  <c r="AV2637" i="11" s="1"/>
  <c r="AV2638" i="11" s="1"/>
  <c r="AV2639" i="11" s="1"/>
  <c r="AV2640" i="11" s="1"/>
  <c r="AV2641" i="11" s="1"/>
  <c r="AV2642" i="11" s="1"/>
  <c r="AV2643" i="11" s="1"/>
  <c r="AV2644" i="11" s="1"/>
  <c r="AV2645" i="11" s="1"/>
  <c r="AV2646" i="11" s="1"/>
  <c r="AV2647" i="11" s="1"/>
  <c r="AV2648" i="11" s="1"/>
  <c r="AV2649" i="11" s="1"/>
  <c r="AV2650" i="11" s="1"/>
  <c r="AV2651" i="11" s="1"/>
  <c r="AV2652" i="11" s="1"/>
  <c r="AL81" i="4"/>
  <c r="AU89" i="4"/>
  <c r="AL77" i="4"/>
  <c r="AL73" i="4"/>
  <c r="AX73" i="4" s="1"/>
  <c r="AE8" i="15" s="1"/>
  <c r="AL85" i="4"/>
  <c r="AP89" i="4"/>
  <c r="AL89" i="4"/>
  <c r="AN89" i="4" l="1"/>
  <c r="AX89" i="4"/>
  <c r="AI8" i="15" s="1"/>
  <c r="AN85" i="4"/>
  <c r="AX85" i="4"/>
  <c r="AH8" i="15" s="1"/>
  <c r="AN81" i="4"/>
  <c r="AX81" i="4"/>
  <c r="AG8" i="15" s="1"/>
  <c r="AN77" i="4"/>
  <c r="AX77" i="4"/>
  <c r="AF8" i="15" s="1"/>
  <c r="I178" i="14" a="1"/>
  <c r="I178" i="14" s="1"/>
  <c r="AN73" i="4"/>
  <c r="AR89" i="4"/>
  <c r="AV2653" i="11"/>
  <c r="AV2654" i="11" s="1"/>
  <c r="AV2655" i="11" s="1"/>
  <c r="AV2656" i="11" s="1"/>
  <c r="AV2657" i="11" s="1"/>
  <c r="AV2658" i="11" s="1"/>
  <c r="AV2659" i="11" s="1"/>
  <c r="AV2660" i="11" s="1"/>
  <c r="AV2661" i="11" s="1"/>
  <c r="AV2662" i="11" s="1"/>
  <c r="AV2663" i="11" s="1"/>
  <c r="AV2664" i="11" s="1"/>
  <c r="AV2665" i="11" s="1"/>
  <c r="AV2666" i="11" s="1"/>
  <c r="AV2667" i="11" s="1"/>
  <c r="AV2668" i="11" s="1"/>
  <c r="AV2669" i="11" s="1"/>
  <c r="AV2670" i="11" s="1"/>
  <c r="AV2671" i="11" s="1"/>
  <c r="AV2672" i="11" s="1"/>
  <c r="AV2673" i="11" s="1"/>
  <c r="AV2674" i="11" s="1"/>
  <c r="AV2675" i="11" s="1"/>
  <c r="AV2676" i="11" s="1"/>
  <c r="AV2677" i="11" s="1"/>
  <c r="AV2678" i="11" s="1"/>
  <c r="AV2679" i="11" s="1"/>
  <c r="AV2680" i="11" s="1"/>
  <c r="AV2681" i="11" s="1"/>
  <c r="AV2682" i="11" s="1"/>
  <c r="AV2683" i="11" s="1"/>
  <c r="AV2684" i="11" s="1"/>
  <c r="AV2685" i="11" s="1"/>
  <c r="AV2686" i="11" s="1"/>
  <c r="AV2687" i="11" s="1"/>
  <c r="AV2688" i="11" s="1"/>
  <c r="AV2689" i="11" s="1"/>
  <c r="AV2690" i="11" s="1"/>
  <c r="AV2691" i="11" s="1"/>
  <c r="AV2692" i="11" s="1"/>
  <c r="AV2693" i="11" s="1"/>
  <c r="AV2694" i="11" s="1"/>
  <c r="AV2695" i="11" s="1"/>
  <c r="AV2696" i="11" s="1"/>
  <c r="AV2697" i="11" s="1"/>
  <c r="AV2698" i="11" s="1"/>
  <c r="AV2699" i="11" s="1"/>
  <c r="AV2700" i="11" s="1"/>
  <c r="AV2701" i="11" s="1"/>
  <c r="AV2702" i="11" s="1"/>
  <c r="AV2703" i="11" s="1"/>
  <c r="AV2704" i="11" s="1"/>
  <c r="AV2705" i="11" s="1"/>
  <c r="AV2706" i="11" s="1"/>
  <c r="AV2707" i="11" s="1"/>
  <c r="AV2708" i="11" s="1"/>
  <c r="AV2709" i="11" s="1"/>
  <c r="AV2710" i="11" s="1"/>
  <c r="AV2711" i="11" s="1"/>
  <c r="AV2712" i="11" s="1"/>
  <c r="AV2713" i="11" s="1"/>
  <c r="AV2714" i="11" s="1"/>
  <c r="AV2715" i="11" s="1"/>
  <c r="AV2716" i="11" s="1"/>
  <c r="AV2717" i="11" s="1"/>
  <c r="AV2718" i="11" s="1"/>
  <c r="H178" i="14" l="1"/>
  <c r="H194" i="14" s="1"/>
  <c r="K194" i="14" s="1"/>
  <c r="I194" i="14"/>
  <c r="AV2719" i="11"/>
  <c r="N178" i="14" l="1"/>
  <c r="N194" i="14" s="1"/>
  <c r="AV2720" i="11"/>
  <c r="AV2721" i="11" s="1"/>
  <c r="AV2722" i="11" s="1"/>
  <c r="AV2723" i="11" s="1"/>
  <c r="AV2724" i="11" s="1"/>
  <c r="AV2725" i="11" s="1"/>
  <c r="AV2726" i="11" s="1"/>
  <c r="AV2727" i="11" s="1"/>
  <c r="AV2728" i="11" s="1"/>
  <c r="AV2729" i="11" s="1"/>
  <c r="AV2730" i="11" s="1"/>
  <c r="AV2731" i="11" s="1"/>
  <c r="AV2732" i="11" s="1"/>
  <c r="AV2733" i="11" s="1"/>
  <c r="AV2734" i="11" s="1"/>
  <c r="AV2735" i="11" s="1"/>
  <c r="AV2736" i="11" s="1"/>
  <c r="AV2737" i="11" s="1"/>
  <c r="AV2738" i="11" s="1"/>
  <c r="AV2739" i="11" s="1"/>
  <c r="AV2740" i="11" s="1"/>
  <c r="AV2741" i="11" s="1"/>
  <c r="AV2742" i="11" s="1"/>
  <c r="AV2743" i="11" s="1"/>
  <c r="AV2744" i="11" s="1"/>
  <c r="AV2745" i="11" l="1"/>
  <c r="AV2746" i="11" s="1"/>
  <c r="AV2747" i="11" s="1"/>
  <c r="AV2748" i="11" s="1"/>
  <c r="AV2749" i="11" s="1"/>
  <c r="AV2750" i="11" s="1"/>
  <c r="AV2751" i="11" s="1"/>
  <c r="AV2752" i="11" s="1"/>
  <c r="AV2753" i="11" s="1"/>
  <c r="AV2754" i="11" s="1"/>
  <c r="AV2755" i="11" s="1"/>
  <c r="AV2756" i="11" s="1"/>
  <c r="AV2757" i="11" s="1"/>
  <c r="AV2758" i="11" s="1"/>
  <c r="AV2759" i="11" s="1"/>
  <c r="AV2760" i="11" s="1"/>
  <c r="AV2761" i="11" s="1"/>
  <c r="AV2762" i="11" s="1"/>
  <c r="AV2763" i="11" s="1"/>
  <c r="AV2764" i="11" s="1"/>
  <c r="AV2765" i="11" s="1"/>
  <c r="AV2766" i="11" s="1"/>
  <c r="AV2767" i="11" s="1"/>
  <c r="AV2768" i="11" s="1"/>
  <c r="AV2769" i="11" s="1"/>
  <c r="AV2770" i="11" s="1"/>
  <c r="AV2771" i="11" s="1"/>
  <c r="AV2772" i="11" s="1"/>
  <c r="AV2773" i="11" s="1"/>
  <c r="AV2774" i="11" s="1"/>
  <c r="AV2775" i="11" s="1"/>
  <c r="AV2776" i="11" s="1"/>
  <c r="AV2777" i="11" s="1"/>
  <c r="AV2778" i="11" s="1"/>
  <c r="AV2779" i="11" s="1"/>
  <c r="AV2780" i="11" s="1"/>
  <c r="AV2781" i="11" s="1"/>
  <c r="AV2782" i="11" s="1"/>
  <c r="AV2783" i="11" s="1"/>
  <c r="AV2784" i="11" s="1"/>
  <c r="AV2785" i="11" s="1"/>
  <c r="AV2786" i="11" s="1"/>
  <c r="AV2787" i="11" s="1"/>
  <c r="AV2788" i="11" s="1"/>
  <c r="AV2789" i="11" s="1"/>
  <c r="AV2790" i="11" s="1"/>
  <c r="AV2791" i="11" s="1"/>
  <c r="AV2792" i="11" s="1"/>
  <c r="AV2793" i="11" s="1"/>
  <c r="AV2794" i="11" s="1"/>
  <c r="AV2795" i="11" s="1"/>
  <c r="AV2796" i="11" s="1"/>
  <c r="AV2797" i="11" s="1"/>
  <c r="AV2798" i="11" s="1"/>
  <c r="AV2799" i="11" s="1"/>
  <c r="AV2800" i="11" s="1"/>
  <c r="AV2801" i="11" s="1"/>
  <c r="AV2802" i="11" s="1"/>
  <c r="AV2803" i="11" s="1"/>
  <c r="AV2804" i="11" s="1"/>
  <c r="AV2805" i="11" s="1"/>
  <c r="AV2806" i="11" s="1"/>
  <c r="AV2807" i="11" s="1"/>
  <c r="AV2808" i="11" s="1"/>
  <c r="AV2809" i="11" s="1"/>
  <c r="AV2810" i="11" s="1"/>
  <c r="AV2811" i="11" s="1"/>
  <c r="AV2812" i="11" s="1"/>
  <c r="AV2813" i="11" s="1"/>
  <c r="AV2814" i="11" s="1"/>
  <c r="AV2815" i="11" s="1"/>
  <c r="AV2816" i="11" s="1"/>
  <c r="AV2817" i="11" s="1"/>
  <c r="AV2818" i="11" s="1"/>
  <c r="AV2819" i="11" s="1"/>
  <c r="AV2820" i="11" s="1"/>
  <c r="AV2821" i="11" s="1"/>
  <c r="AV2822" i="11" s="1"/>
  <c r="AV2823" i="11" s="1"/>
  <c r="AV2824" i="11" s="1"/>
  <c r="AV2825" i="11" s="1"/>
  <c r="AV2826" i="11" s="1"/>
  <c r="AV2827" i="11" s="1"/>
  <c r="AV2828" i="11" s="1"/>
  <c r="AV2829" i="11" s="1"/>
  <c r="AV2830" i="11" s="1"/>
  <c r="AV2831" i="11" s="1"/>
  <c r="AV2832" i="11" s="1"/>
  <c r="AV2833" i="11" s="1"/>
  <c r="AV2834" i="11" s="1"/>
  <c r="AV2835" i="11" s="1"/>
  <c r="AV2836" i="11" s="1"/>
  <c r="AV2837" i="11" l="1"/>
  <c r="AV2838" i="11" l="1"/>
  <c r="AV2839" i="11" s="1"/>
  <c r="AV2840" i="11" s="1"/>
  <c r="AV2841" i="11" s="1"/>
  <c r="AV2842" i="11" s="1"/>
  <c r="AV2843" i="11" s="1"/>
  <c r="AV2844" i="11" s="1"/>
  <c r="AV2845" i="11" s="1"/>
  <c r="AV2846" i="11" s="1"/>
  <c r="AV2847" i="11" s="1"/>
  <c r="AV2848" i="11" s="1"/>
  <c r="AV2849" i="11" s="1"/>
  <c r="AV2850" i="11" s="1"/>
  <c r="AV2851" i="11" s="1"/>
  <c r="AV2852" i="11" s="1"/>
  <c r="AV2853" i="11" s="1"/>
  <c r="AV2854" i="11" s="1"/>
  <c r="AV2855" i="11" s="1"/>
  <c r="AV2856" i="11" s="1"/>
  <c r="AV2857" i="11" s="1"/>
  <c r="AV2858" i="11" s="1"/>
  <c r="AV2859" i="11" s="1"/>
  <c r="AV2860" i="11" s="1"/>
  <c r="AV2861" i="11" s="1"/>
  <c r="AV2862" i="11" s="1"/>
  <c r="AV2863" i="11" s="1"/>
  <c r="AV2864" i="11" s="1"/>
  <c r="AV2865" i="11" s="1"/>
  <c r="AV2866" i="11" s="1"/>
  <c r="AV2867" i="11" s="1"/>
  <c r="AV2868" i="11" s="1"/>
  <c r="AV2869" i="11" s="1"/>
  <c r="AV2870" i="11" s="1"/>
  <c r="AV2871" i="11" s="1"/>
  <c r="AV2872" i="11" s="1"/>
  <c r="AV2873" i="11" s="1"/>
  <c r="AV2874" i="11" s="1"/>
  <c r="AV2875" i="11" s="1"/>
  <c r="AV2876" i="11" s="1"/>
  <c r="AV2877" i="11" s="1"/>
  <c r="AV2878" i="11" s="1"/>
  <c r="AV2879" i="11" s="1"/>
  <c r="AV2880" i="11" s="1"/>
  <c r="AV2881" i="11" s="1"/>
  <c r="AV2882" i="11" s="1"/>
  <c r="AV2883" i="11" s="1"/>
  <c r="AV2884" i="11" s="1"/>
  <c r="AV2885" i="11" s="1"/>
  <c r="AV2886" i="11" s="1"/>
  <c r="AV2887" i="11" s="1"/>
  <c r="AV2888" i="11" s="1"/>
  <c r="AV2889" i="11" s="1"/>
  <c r="AV2890" i="11" s="1"/>
  <c r="AV2891" i="11" s="1"/>
  <c r="AV2892" i="11" s="1"/>
  <c r="AV2893" i="11" s="1"/>
  <c r="AV2894" i="11" s="1"/>
  <c r="AV2895" i="11" s="1"/>
  <c r="AV2896" i="11" s="1"/>
  <c r="AV2897" i="11" s="1"/>
  <c r="AV2898" i="11" s="1"/>
  <c r="AV2899" i="11" s="1"/>
  <c r="AV2900" i="11" s="1"/>
  <c r="AV2901" i="11" s="1"/>
  <c r="AV2902" i="11" s="1"/>
  <c r="AV2903" i="11" s="1"/>
  <c r="AV2904" i="11" s="1"/>
  <c r="AV2905" i="11" s="1"/>
  <c r="AV2906" i="11" s="1"/>
  <c r="AV2907" i="11" s="1"/>
  <c r="AV2908" i="11" s="1"/>
  <c r="AV2909" i="11" s="1"/>
  <c r="AV2910" i="11" s="1"/>
  <c r="AV2911" i="11" s="1"/>
  <c r="AV2912" i="11" s="1"/>
  <c r="AV2913" i="11" s="1"/>
  <c r="AV2914" i="11" s="1"/>
  <c r="AV2915" i="11" s="1"/>
  <c r="AV2916" i="11" s="1"/>
  <c r="AV2917" i="11" s="1"/>
  <c r="AV2918" i="11" s="1"/>
  <c r="AV2919" i="11" s="1"/>
  <c r="AV2920" i="11" s="1"/>
  <c r="AV2921" i="11" s="1"/>
  <c r="AV2922" i="11" s="1"/>
  <c r="AV2923" i="11" s="1"/>
  <c r="AV2924" i="11" s="1"/>
  <c r="AV2925" i="11" s="1"/>
  <c r="AV2926" i="11" s="1"/>
  <c r="AV2927" i="11" s="1"/>
  <c r="AV2928" i="11" s="1"/>
  <c r="AV2929" i="11" s="1"/>
  <c r="AV2930" i="11" s="1"/>
  <c r="AV2931" i="11" s="1"/>
  <c r="AV2932" i="11" s="1"/>
  <c r="AV2933" i="11" s="1"/>
  <c r="AV2934" i="11" s="1"/>
  <c r="AV2935" i="11" s="1"/>
  <c r="AV2936" i="11" s="1"/>
  <c r="AV2937" i="11" s="1"/>
  <c r="AV2938" i="11" s="1"/>
  <c r="AV2939" i="11" s="1"/>
  <c r="AV2940" i="11" s="1"/>
  <c r="AV2941" i="11" l="1"/>
  <c r="AV2942" i="11" s="1"/>
  <c r="AV2943" i="11" s="1"/>
  <c r="AV2944" i="11" s="1"/>
  <c r="AV2945" i="11" s="1"/>
  <c r="AV2946" i="11" s="1"/>
  <c r="AV2947" i="11" s="1"/>
  <c r="AV2948" i="11" s="1"/>
  <c r="AV2949" i="11" s="1"/>
  <c r="AV2950" i="11" s="1"/>
  <c r="AV2951" i="11" s="1"/>
  <c r="AV2952" i="11" s="1"/>
  <c r="AV2953" i="11" s="1"/>
  <c r="AV2954" i="11" s="1"/>
  <c r="AV2955" i="11" s="1"/>
  <c r="AV2956" i="11" s="1"/>
  <c r="AV2957" i="11" s="1"/>
  <c r="AV2958" i="11" s="1"/>
  <c r="AV2959" i="11" s="1"/>
  <c r="AV2960" i="11" s="1"/>
  <c r="AV2961" i="11" s="1"/>
  <c r="AV2962" i="11" s="1"/>
  <c r="AV2963" i="11" s="1"/>
  <c r="AV2964" i="11" s="1"/>
  <c r="AV2965" i="11" s="1"/>
  <c r="AV2966" i="11" s="1"/>
  <c r="AV2967" i="11" s="1"/>
  <c r="AV2968" i="11" s="1"/>
  <c r="AV2969" i="11" s="1"/>
  <c r="AV2970" i="11" s="1"/>
  <c r="AV2971" i="11" s="1"/>
  <c r="AV2972" i="11" s="1"/>
  <c r="AV2973" i="11" s="1"/>
  <c r="AV2974" i="11" s="1"/>
  <c r="AV2975" i="11" s="1"/>
  <c r="AV2976" i="11" s="1"/>
  <c r="AV2977" i="11" s="1"/>
  <c r="AV2978" i="11" s="1"/>
  <c r="AV2979" i="11" s="1"/>
  <c r="AV2980" i="11" s="1"/>
  <c r="AV2981" i="11" s="1"/>
  <c r="AV2982" i="11" s="1"/>
  <c r="AV2983" i="11" s="1"/>
  <c r="AV2984" i="11" s="1"/>
  <c r="AV2985" i="11" s="1"/>
  <c r="AV2986" i="11" s="1"/>
  <c r="AV2987" i="11" s="1"/>
  <c r="AV2988" i="11" s="1"/>
  <c r="AV2989" i="11" s="1"/>
  <c r="AV2990" i="11" s="1"/>
  <c r="AV2991" i="11" s="1"/>
  <c r="AV2992" i="11" s="1"/>
  <c r="AV2993" i="11" s="1"/>
  <c r="AV2994" i="11" s="1"/>
  <c r="AV2995" i="11" s="1"/>
  <c r="AV2996" i="11" s="1"/>
  <c r="AV2997" i="11" s="1"/>
  <c r="AV2998" i="11" s="1"/>
  <c r="AV2999" i="11" s="1"/>
  <c r="AV3000" i="11" s="1"/>
  <c r="AV3001" i="11" s="1"/>
  <c r="AV3002" i="11" s="1"/>
  <c r="AV3003" i="11" s="1"/>
  <c r="AV3004" i="11" s="1"/>
  <c r="AV3005" i="11" s="1"/>
  <c r="AV3006" i="11" s="1"/>
  <c r="AV3007" i="11" s="1"/>
  <c r="AV3008" i="11" s="1"/>
  <c r="AV3009" i="11" s="1"/>
  <c r="AV3010" i="11" s="1"/>
  <c r="AV3011" i="11" s="1"/>
  <c r="AV3012" i="11" s="1"/>
  <c r="AV3013" i="11" s="1"/>
  <c r="AV3014" i="11" s="1"/>
  <c r="AV3015" i="11" s="1"/>
  <c r="AV3016" i="11" s="1"/>
  <c r="AV3017" i="11" s="1"/>
  <c r="AV3018" i="11" s="1"/>
  <c r="AV3019" i="11" s="1"/>
  <c r="AV3020" i="11" s="1"/>
  <c r="AV3021" i="11" s="1"/>
  <c r="AV3022" i="11" s="1"/>
  <c r="AV3023" i="11" s="1"/>
  <c r="AV3024" i="11" s="1"/>
  <c r="AV3025" i="11" s="1"/>
  <c r="AV3026" i="11" s="1"/>
  <c r="AV3027" i="11" s="1"/>
  <c r="AV3028" i="11" s="1"/>
  <c r="AV3029" i="11" s="1"/>
  <c r="AV3030" i="11" s="1"/>
  <c r="AV3031" i="11" s="1"/>
  <c r="AV3032" i="11" s="1"/>
  <c r="AV3033" i="11" s="1"/>
  <c r="AV3034" i="11" s="1"/>
  <c r="AV3035" i="11" s="1"/>
  <c r="AV3036" i="11" s="1"/>
  <c r="AV3037" i="11" s="1"/>
  <c r="AV3038" i="11" s="1"/>
  <c r="AV3039" i="11" s="1"/>
  <c r="AV3040" i="11" s="1"/>
  <c r="AV3041" i="11" s="1"/>
  <c r="AV3042" i="11" s="1"/>
  <c r="AV3043" i="11" s="1"/>
  <c r="AV3044" i="11" l="1"/>
  <c r="AV3045" i="11" l="1"/>
  <c r="AV3046" i="11" s="1"/>
  <c r="AV3047" i="11" s="1"/>
  <c r="AV3048" i="11" s="1"/>
  <c r="AV3049" i="11" s="1"/>
  <c r="AV3050" i="11" s="1"/>
  <c r="AV3051" i="11" s="1"/>
  <c r="AV3052" i="11" s="1"/>
  <c r="AV3053" i="11" s="1"/>
  <c r="AV3054" i="11" s="1"/>
  <c r="AV3055" i="11" s="1"/>
  <c r="AV3056" i="11" s="1"/>
  <c r="AV3057" i="11" s="1"/>
  <c r="AV3058" i="11" s="1"/>
  <c r="AV3059" i="11" s="1"/>
  <c r="AV3060" i="11" s="1"/>
  <c r="AV3061" i="11" s="1"/>
  <c r="AV3062" i="11" s="1"/>
  <c r="AV3063" i="11" s="1"/>
  <c r="AV3064" i="11" s="1"/>
  <c r="AV3065" i="11" s="1"/>
  <c r="AV3066" i="11" s="1"/>
  <c r="AV3067" i="11" s="1"/>
  <c r="AV3068" i="11" s="1"/>
  <c r="AV3069" i="11" s="1"/>
  <c r="AV3070" i="11" s="1"/>
  <c r="AV3071" i="11" s="1"/>
  <c r="AV3072" i="11" s="1"/>
  <c r="AV3073" i="11" s="1"/>
  <c r="AV3074" i="11" s="1"/>
  <c r="AV3075" i="11" s="1"/>
  <c r="AV3076" i="11" s="1"/>
  <c r="AV3077" i="11" s="1"/>
  <c r="AV3078" i="11" s="1"/>
  <c r="AV3079" i="11" s="1"/>
  <c r="AV3080" i="11" s="1"/>
  <c r="AV3081" i="11" s="1"/>
  <c r="AV3082" i="11" l="1"/>
  <c r="AV3083" i="11" s="1"/>
  <c r="AV3084" i="11" s="1"/>
  <c r="AV3085" i="11" s="1"/>
  <c r="AV3086" i="11" s="1"/>
  <c r="AV3087" i="11" s="1"/>
  <c r="AV3088" i="11" s="1"/>
  <c r="AV3089" i="11" s="1"/>
  <c r="AV3090" i="11" s="1"/>
  <c r="AV3091" i="11" s="1"/>
  <c r="AV3092" i="11" s="1"/>
  <c r="AV3093" i="11" s="1"/>
  <c r="AV3094" i="11" s="1"/>
  <c r="AV3095" i="11" s="1"/>
  <c r="AV3096" i="11" s="1"/>
  <c r="AV3097" i="11" s="1"/>
  <c r="AV3098" i="11" s="1"/>
  <c r="AV3099" i="11" s="1"/>
  <c r="AV3100" i="11" s="1"/>
  <c r="AV3101" i="11" s="1"/>
  <c r="AV3102" i="11" s="1"/>
  <c r="AV3103" i="11" s="1"/>
  <c r="AV3104" i="11" s="1"/>
  <c r="AV3105" i="11" s="1"/>
  <c r="AV3106" i="11" s="1"/>
  <c r="AV3107" i="11" s="1"/>
  <c r="AV3108" i="11" s="1"/>
  <c r="AV3109" i="11" s="1"/>
  <c r="AV3110" i="11" s="1"/>
  <c r="AV3111" i="11" s="1"/>
  <c r="AV3112" i="11" s="1"/>
  <c r="AV3113" i="11" s="1"/>
  <c r="AV3114" i="11" s="1"/>
  <c r="AV3115" i="11" s="1"/>
  <c r="AV3116" i="11" s="1"/>
  <c r="AV3117" i="11" s="1"/>
  <c r="AV3118" i="11" s="1"/>
  <c r="AV3119" i="11" s="1"/>
  <c r="AV3120" i="11" s="1"/>
  <c r="AV3121" i="11" s="1"/>
  <c r="AV3122" i="11" s="1"/>
  <c r="AV3123" i="11" s="1"/>
  <c r="AV3124" i="11" s="1"/>
  <c r="AV3125" i="11" s="1"/>
  <c r="AV3126" i="11" s="1"/>
  <c r="AV3127" i="11" s="1"/>
  <c r="AV3128" i="11" s="1"/>
  <c r="AV3129" i="11" s="1"/>
  <c r="AV3130" i="11" s="1"/>
  <c r="AV3131" i="11" s="1"/>
  <c r="AV3132" i="11" s="1"/>
  <c r="AV3133" i="11" s="1"/>
  <c r="AV3134" i="11" s="1"/>
  <c r="AV3135" i="11" l="1"/>
  <c r="AV3136" i="11" s="1"/>
  <c r="AV3137" i="11" s="1"/>
  <c r="AV3138" i="11" s="1"/>
  <c r="AV3139" i="11" s="1"/>
  <c r="AV3140" i="11" s="1"/>
  <c r="AV3141" i="11" s="1"/>
  <c r="AV3142" i="11" s="1"/>
  <c r="AV3143" i="11" s="1"/>
  <c r="AV3144" i="11" s="1"/>
  <c r="AV3145" i="11" s="1"/>
  <c r="AV3146" i="11" s="1"/>
  <c r="AV3147" i="11" s="1"/>
  <c r="AV3148" i="11" s="1"/>
  <c r="AV3149" i="11" s="1"/>
  <c r="AV3150" i="11" s="1"/>
  <c r="AV3151" i="11" s="1"/>
  <c r="AV3152" i="11" s="1"/>
  <c r="AV3153" i="11" s="1"/>
  <c r="AV3154" i="11" s="1"/>
  <c r="AV3155" i="11" s="1"/>
  <c r="AV3156" i="11" s="1"/>
  <c r="AV3157" i="11" s="1"/>
  <c r="AV3158" i="11" s="1"/>
  <c r="AV3159" i="11" s="1"/>
  <c r="AV3160" i="11" s="1"/>
  <c r="AV3161" i="11" s="1"/>
  <c r="AV3162" i="11" s="1"/>
  <c r="AV3163" i="11" s="1"/>
  <c r="AV3164" i="11" s="1"/>
  <c r="AV3165" i="11" s="1"/>
  <c r="AV3166" i="11" s="1"/>
  <c r="AV3167" i="11" s="1"/>
  <c r="AV3168" i="11" s="1"/>
  <c r="AV3169" i="11" s="1"/>
  <c r="AV3170" i="11" s="1"/>
  <c r="AV3171" i="11" s="1"/>
  <c r="AV3172" i="11" s="1"/>
  <c r="AV3173" i="11" s="1"/>
  <c r="AV3174" i="11" s="1"/>
  <c r="AV3175" i="11" s="1"/>
  <c r="AV3176" i="11" s="1"/>
  <c r="AV3177" i="11" s="1"/>
  <c r="AV3178" i="11" s="1"/>
  <c r="AV3179" i="11" s="1"/>
  <c r="AV3180" i="11" s="1"/>
  <c r="AV3181" i="11" s="1"/>
  <c r="AV3182" i="11" s="1"/>
  <c r="AV3183" i="11" s="1"/>
  <c r="AV3184" i="11" s="1"/>
  <c r="AV3185" i="11" s="1"/>
  <c r="AV3186" i="11" s="1"/>
  <c r="AV3187" i="11" s="1"/>
  <c r="AV3188" i="11" s="1"/>
  <c r="AV3189" i="11" s="1"/>
  <c r="AV3190" i="11" s="1"/>
  <c r="AV3191" i="11" s="1"/>
  <c r="AV3192" i="11" s="1"/>
  <c r="AV3193" i="11" s="1"/>
  <c r="AV3194" i="11" s="1"/>
  <c r="AV3195" i="11" s="1"/>
  <c r="AV3196" i="11" s="1"/>
  <c r="AV3197" i="11" s="1"/>
  <c r="AV3198" i="11" s="1"/>
  <c r="AV3199" i="11" s="1"/>
  <c r="AV3200" i="11" s="1"/>
  <c r="AV3201" i="11" s="1"/>
  <c r="AV3202" i="11" s="1"/>
  <c r="AV3203" i="11" s="1"/>
  <c r="AV3204" i="11" s="1"/>
  <c r="AV3205" i="11" s="1"/>
  <c r="AV3206" i="11" s="1"/>
  <c r="AV3207" i="11" s="1"/>
  <c r="AV3208" i="11" s="1"/>
  <c r="AV3209" i="11" s="1"/>
  <c r="AV3210" i="11" s="1"/>
  <c r="AV3211" i="11" s="1"/>
  <c r="AV3212" i="11" s="1"/>
  <c r="AV3213" i="11" s="1"/>
  <c r="AV3214" i="11" s="1"/>
  <c r="AV3215" i="11" s="1"/>
  <c r="AV3216" i="11" s="1"/>
  <c r="AV3217" i="11" s="1"/>
  <c r="AV3218" i="11" l="1"/>
  <c r="AV3219" i="11" s="1"/>
  <c r="AV3220" i="11" s="1"/>
  <c r="AV3221" i="11" s="1"/>
  <c r="AV3222" i="11" s="1"/>
  <c r="AV3223" i="11" s="1"/>
  <c r="AV3224" i="11" s="1"/>
  <c r="AV3225" i="11" s="1"/>
  <c r="AV3226" i="11" s="1"/>
  <c r="AV3227" i="11" s="1"/>
  <c r="AV3228" i="11" s="1"/>
  <c r="AV3229" i="11" s="1"/>
  <c r="AV3230" i="11" s="1"/>
  <c r="AV3231" i="11" s="1"/>
  <c r="AV3232" i="11" s="1"/>
  <c r="AV3233" i="11" s="1"/>
  <c r="AV3234" i="11" l="1"/>
  <c r="AV3235" i="11" l="1"/>
  <c r="AV3236" i="11" l="1"/>
  <c r="AV3237" i="11" l="1"/>
  <c r="AV3238" i="11" l="1"/>
  <c r="AV3239" i="11" l="1"/>
  <c r="AV3240" i="11" l="1"/>
  <c r="AV3241" i="11" l="1"/>
  <c r="AV3242" i="11" l="1"/>
  <c r="AV3243" i="11" l="1"/>
  <c r="AV3244" i="11" l="1"/>
  <c r="AV3245" i="11" l="1"/>
  <c r="AV3246" i="11" l="1"/>
  <c r="AV3247" i="11" l="1"/>
  <c r="AV3248" i="11" l="1"/>
  <c r="AV3249" i="11" l="1"/>
  <c r="AV3250" i="11" l="1"/>
  <c r="AV3251" i="11" l="1"/>
  <c r="AV3252" i="11" l="1"/>
  <c r="AV3253" i="11" l="1"/>
  <c r="AV3254" i="11" l="1"/>
  <c r="AV3255" i="11" l="1"/>
  <c r="AV3256" i="11" l="1"/>
  <c r="AV3257" i="11" l="1"/>
  <c r="AV3258" i="11" l="1"/>
  <c r="AV3259" i="11" l="1"/>
  <c r="AV3260" i="11" l="1"/>
  <c r="AV3261" i="11" l="1"/>
  <c r="AV3262" i="11" l="1"/>
  <c r="AV3263" i="11" l="1"/>
  <c r="AV3264" i="11" s="1"/>
  <c r="AV3265" i="11" l="1"/>
  <c r="AV3266" i="11" l="1"/>
  <c r="AV3267" i="11" l="1"/>
  <c r="AV3268" i="11" l="1"/>
  <c r="AV3269" i="11" l="1"/>
  <c r="AV3270" i="11" l="1"/>
  <c r="AV3271" i="11" s="1"/>
  <c r="AV3272" i="11" s="1"/>
  <c r="AV3273" i="11" s="1"/>
  <c r="AV3274" i="11" s="1"/>
  <c r="AV3275" i="11" s="1"/>
  <c r="AV3276" i="11" s="1"/>
  <c r="AV3277" i="11" s="1"/>
  <c r="AV3278" i="11" s="1"/>
  <c r="AV3279" i="11" s="1"/>
  <c r="AV3280" i="11" s="1"/>
  <c r="AV3281" i="11" s="1"/>
  <c r="AV3282" i="11" s="1"/>
  <c r="AV3283" i="11" s="1"/>
  <c r="AV3284" i="11" s="1"/>
  <c r="AV3285" i="11" s="1"/>
  <c r="AV3286" i="11" s="1"/>
  <c r="AV3287" i="11" s="1"/>
  <c r="AV3288" i="11" s="1"/>
  <c r="AV3289" i="11" s="1"/>
  <c r="AV3290" i="11" s="1"/>
  <c r="AV3291" i="11" s="1"/>
  <c r="AV3292" i="11" s="1"/>
  <c r="AV3293" i="11" s="1"/>
  <c r="AV3294" i="11" s="1"/>
  <c r="AV3295" i="11" s="1"/>
  <c r="AV3296" i="11" l="1"/>
  <c r="AV3297" i="11" l="1"/>
  <c r="AV3298" i="11" s="1"/>
  <c r="AV3299" i="11" s="1"/>
  <c r="AV3300" i="11" s="1"/>
  <c r="AV3301" i="11" s="1"/>
  <c r="AV3302" i="11" s="1"/>
  <c r="AV3303" i="11" s="1"/>
  <c r="AV3304" i="11" s="1"/>
  <c r="AV3305" i="11" s="1"/>
  <c r="AV3306" i="11" l="1"/>
  <c r="AV3307" i="11" s="1"/>
  <c r="AV3308" i="11" s="1"/>
  <c r="AV3309" i="11" s="1"/>
  <c r="AV3310" i="11" s="1"/>
  <c r="AV3311" i="11" s="1"/>
  <c r="AV3312" i="11" l="1"/>
  <c r="AV3313" i="11" l="1"/>
  <c r="AV3314" i="11" l="1"/>
  <c r="AV3315" i="11" l="1"/>
  <c r="AV3316" i="11" l="1"/>
  <c r="AV3317" i="11" l="1"/>
  <c r="AV3318" i="11" s="1"/>
  <c r="AV3319" i="11" l="1"/>
  <c r="AV3320" i="11" l="1"/>
  <c r="AV3321" i="11" l="1"/>
  <c r="AV3322" i="11" l="1"/>
  <c r="AV3323" i="11" l="1"/>
  <c r="AV3324" i="11" l="1"/>
  <c r="AV3325" i="11" l="1"/>
  <c r="AV3326" i="11" l="1"/>
  <c r="AV3327" i="11" l="1"/>
  <c r="AV3328" i="11" l="1"/>
  <c r="AV3329" i="11" l="1"/>
  <c r="AV3330" i="11" l="1"/>
  <c r="AV3331" i="11" l="1"/>
  <c r="AV3332" i="11" l="1"/>
  <c r="AV3333" i="11" s="1"/>
  <c r="AV3334" i="11" l="1"/>
  <c r="AV3335" i="11" l="1"/>
  <c r="AV3336" i="11" l="1"/>
  <c r="AV3337" i="11" l="1"/>
  <c r="AV3338" i="11" l="1"/>
  <c r="AV3339" i="11" l="1"/>
  <c r="AV3340" i="11" l="1"/>
  <c r="AV3341" i="11" l="1"/>
  <c r="AV3342" i="11" l="1"/>
  <c r="AV3343" i="11" l="1"/>
  <c r="AV3344" i="11" l="1"/>
  <c r="AV3345" i="11" l="1"/>
  <c r="AV3346" i="11" l="1"/>
  <c r="AV3347" i="11" l="1"/>
  <c r="AV3348" i="11" s="1"/>
  <c r="AV3349" i="11" l="1"/>
  <c r="AV3350" i="11" l="1"/>
  <c r="AV3351" i="11" l="1"/>
  <c r="AV3352" i="11" l="1"/>
  <c r="AV3353" i="11" l="1"/>
  <c r="AV3354" i="11" l="1"/>
  <c r="AV3355" i="11" l="1"/>
  <c r="AV3356" i="11" l="1"/>
  <c r="AV3357" i="11" l="1"/>
  <c r="AV3358" i="11" l="1"/>
  <c r="AV3359" i="11" l="1"/>
  <c r="AV3360" i="11" l="1"/>
  <c r="AV3361" i="11" l="1"/>
  <c r="AV3362" i="11" l="1"/>
  <c r="AV3363" i="11" l="1"/>
  <c r="AV3364" i="11" l="1"/>
  <c r="AV3365" i="11" l="1"/>
  <c r="AV3366" i="11" l="1"/>
  <c r="AV3367" i="11" l="1"/>
  <c r="AV3368" i="11" l="1"/>
  <c r="AV3369" i="11" s="1"/>
  <c r="AV3370" i="11" s="1"/>
  <c r="AV3371" i="11" s="1"/>
  <c r="AV3372" i="11" s="1"/>
  <c r="AV3373" i="11" s="1"/>
  <c r="AV3374" i="11" s="1"/>
  <c r="AV3375" i="11" s="1"/>
  <c r="AV3376" i="11" s="1"/>
  <c r="AV3377" i="11" s="1"/>
  <c r="AV3378" i="11" s="1"/>
  <c r="AV3379" i="11" s="1"/>
  <c r="AV3380" i="11" s="1"/>
  <c r="AV3381" i="11" s="1"/>
  <c r="AV3382" i="11" s="1"/>
  <c r="AV3383" i="11" s="1"/>
  <c r="AV3384" i="11" s="1"/>
  <c r="AV3385" i="11" s="1"/>
  <c r="AV3386" i="11" s="1"/>
  <c r="AV3387" i="11" s="1"/>
  <c r="AV3388" i="11" s="1"/>
  <c r="AV3389" i="11" s="1"/>
  <c r="AV3390" i="11" l="1"/>
  <c r="AV3391" i="11" l="1"/>
  <c r="AV3392" i="11" l="1"/>
  <c r="AV3393" i="11" l="1"/>
  <c r="AV3394" i="11" s="1"/>
  <c r="AV3395" i="11" s="1"/>
  <c r="AV3396" i="11" s="1"/>
  <c r="AV3397" i="11" s="1"/>
  <c r="AV3398" i="11" s="1"/>
  <c r="AV3399" i="11" s="1"/>
  <c r="AV3400" i="11" s="1"/>
  <c r="AV3401" i="11" s="1"/>
  <c r="AV3402" i="11" s="1"/>
  <c r="AV3403" i="11" s="1"/>
  <c r="AV3404" i="11" s="1"/>
  <c r="AV3405" i="11" s="1"/>
  <c r="AV3406" i="11" s="1"/>
  <c r="AV3407" i="11" s="1"/>
  <c r="AV3408" i="11" s="1"/>
  <c r="AV3409" i="11" s="1"/>
  <c r="AV3410" i="11" s="1"/>
  <c r="AV3411" i="11" l="1"/>
  <c r="AV3412" i="11" s="1"/>
  <c r="AV3413" i="11" s="1"/>
  <c r="AV3414" i="11" s="1"/>
  <c r="AV3415" i="11" s="1"/>
  <c r="AV3416" i="11" s="1"/>
  <c r="AV3417" i="11" s="1"/>
  <c r="AV3418" i="11" s="1"/>
  <c r="AV3419" i="11" s="1"/>
  <c r="AV3420" i="11" s="1"/>
  <c r="AV3421" i="11" s="1"/>
  <c r="AV3422" i="11" s="1"/>
  <c r="AV3423" i="11" s="1"/>
  <c r="AV3424" i="11" s="1"/>
  <c r="AV3425" i="11" s="1"/>
  <c r="AV3426" i="11" s="1"/>
  <c r="AV3427" i="11" s="1"/>
  <c r="AV3428" i="11" s="1"/>
  <c r="AV3429" i="11" s="1"/>
  <c r="AV3430" i="11" s="1"/>
  <c r="AV3431" i="11" s="1"/>
  <c r="AV3432" i="11" s="1"/>
  <c r="AV3433" i="11" s="1"/>
  <c r="AV3434" i="11" s="1"/>
  <c r="AV3435" i="11" s="1"/>
  <c r="AV3436" i="11" s="1"/>
  <c r="AV3437" i="11" s="1"/>
  <c r="AV3438" i="11" s="1"/>
  <c r="AV3439" i="11" s="1"/>
  <c r="AV3440" i="11" s="1"/>
  <c r="AV3441" i="11" s="1"/>
  <c r="AV3442" i="11" s="1"/>
  <c r="AV3443" i="11" s="1"/>
  <c r="AV3444" i="11" s="1"/>
  <c r="AV3445" i="11" s="1"/>
  <c r="AV3446" i="11" s="1"/>
  <c r="AV3447" i="11" s="1"/>
  <c r="AV3448" i="11" s="1"/>
  <c r="AV3449" i="11" s="1"/>
  <c r="AV3450" i="11" s="1"/>
  <c r="AV3451" i="11" s="1"/>
  <c r="AV3452" i="11" s="1"/>
  <c r="AV3453" i="11" s="1"/>
  <c r="AV3454" i="11" s="1"/>
  <c r="AV3455" i="11" s="1"/>
  <c r="AV3456" i="11" s="1"/>
  <c r="AV3457" i="11" s="1"/>
  <c r="AV3458" i="11" s="1"/>
  <c r="AV3459" i="11" s="1"/>
  <c r="AV3460" i="11" s="1"/>
  <c r="AV3461" i="11" s="1"/>
  <c r="AV3462" i="11" s="1"/>
  <c r="AV3463" i="11" s="1"/>
  <c r="AV3464" i="11" s="1"/>
  <c r="AV3465" i="11" s="1"/>
  <c r="AV3466" i="11" s="1"/>
  <c r="AV3467" i="11" s="1"/>
  <c r="AV3468" i="11" s="1"/>
  <c r="AV3469" i="11" s="1"/>
  <c r="AV3470" i="11" s="1"/>
  <c r="AV3471" i="11" s="1"/>
  <c r="AV3472" i="11" s="1"/>
  <c r="AV3473" i="11" s="1"/>
  <c r="AV3474" i="11" s="1"/>
  <c r="AV3475" i="11" l="1"/>
  <c r="AV3476" i="11" l="1"/>
  <c r="AV3477" i="11" l="1"/>
  <c r="AV3478" i="11" l="1"/>
  <c r="AV3479" i="11" s="1"/>
  <c r="AV3480" i="11" l="1"/>
  <c r="AV3481" i="11" l="1"/>
  <c r="AV3482" i="11" s="1"/>
  <c r="AV3483" i="11" s="1"/>
  <c r="AV3484" i="11" s="1"/>
  <c r="AV3485" i="11" l="1"/>
  <c r="AV3486" i="11" l="1"/>
  <c r="AV3487" i="11" l="1"/>
  <c r="AV3488" i="11" l="1"/>
  <c r="AV3489" i="11" l="1"/>
  <c r="AV3490" i="11" l="1"/>
  <c r="AV3491" i="11" l="1"/>
  <c r="AV3492" i="11" l="1"/>
  <c r="AV3493" i="11" l="1"/>
  <c r="AV3494" i="11" l="1"/>
  <c r="AV3495" i="11" l="1"/>
  <c r="AV3496" i="11" s="1"/>
  <c r="AV3497" i="11" s="1"/>
  <c r="AV3498" i="11" l="1"/>
  <c r="U24" i="15"/>
  <c r="AV3499" i="11" l="1"/>
  <c r="Y24" i="15"/>
  <c r="F108" i="14"/>
  <c r="AV3500" i="11" l="1"/>
  <c r="AV3501" i="11" l="1"/>
  <c r="AV3502" i="11" l="1"/>
  <c r="AV3503" i="11" s="1"/>
  <c r="AV3504" i="11" l="1"/>
  <c r="AV3505" i="11" l="1"/>
  <c r="AV3506" i="11" l="1"/>
  <c r="AV3507" i="11" s="1"/>
  <c r="AV3508" i="11" s="1"/>
  <c r="AV3509" i="11" s="1"/>
  <c r="AV3510" i="11" s="1"/>
  <c r="AV3511" i="11" s="1"/>
  <c r="AV3512" i="11" s="1"/>
  <c r="AV3513" i="11" s="1"/>
  <c r="AV3514" i="11" s="1"/>
  <c r="AV3515" i="11" s="1"/>
  <c r="AK53" i="4" l="1"/>
  <c r="AC53" i="4"/>
  <c r="AD37" i="4"/>
  <c r="AB97" i="4"/>
  <c r="AB57" i="4"/>
  <c r="AA53" i="4"/>
  <c r="AG34" i="4" l="1"/>
  <c r="AC102" i="4"/>
  <c r="AE101" i="4"/>
  <c r="AG101" i="4"/>
  <c r="AF101" i="4"/>
  <c r="AD101" i="4"/>
  <c r="AH101" i="4"/>
  <c r="AC101" i="4"/>
  <c r="AA101" i="4"/>
  <c r="AB101" i="4"/>
  <c r="AG102" i="4"/>
  <c r="AA102" i="4"/>
  <c r="AE102" i="4"/>
  <c r="AB102" i="4"/>
  <c r="AF102" i="4"/>
  <c r="AT101" i="4"/>
  <c r="AU101" i="4"/>
  <c r="AD102" i="4"/>
  <c r="AH102" i="4"/>
  <c r="AM101" i="4"/>
  <c r="AX101" i="4" s="1"/>
  <c r="AT17" i="4"/>
  <c r="AE37" i="4"/>
  <c r="AG97" i="4"/>
  <c r="AG37" i="4"/>
  <c r="AA57" i="4"/>
  <c r="AH57" i="4" s="1"/>
  <c r="AK101" i="4"/>
  <c r="AW101" i="4" s="1"/>
  <c r="AK17" i="4"/>
  <c r="AW17" i="4" s="1"/>
  <c r="AL101" i="4"/>
  <c r="AC37" i="4"/>
  <c r="AB37" i="4"/>
  <c r="AK57" i="4"/>
  <c r="AW57" i="4" s="1"/>
  <c r="AT13" i="4"/>
  <c r="AA17" i="4"/>
  <c r="AA33" i="4"/>
  <c r="AT97" i="4"/>
  <c r="AA97" i="4"/>
  <c r="X97" i="4" s="1"/>
  <c r="AB13" i="4"/>
  <c r="AC13" i="4"/>
  <c r="AE53" i="4"/>
  <c r="AA37" i="4"/>
  <c r="AT57" i="4"/>
  <c r="AC97" i="4"/>
  <c r="AF37" i="4"/>
  <c r="AF13" i="4"/>
  <c r="AC33" i="4"/>
  <c r="AG13" i="4"/>
  <c r="AE13" i="4"/>
  <c r="AA58" i="4"/>
  <c r="AB17" i="4"/>
  <c r="AT37" i="4"/>
  <c r="AG57" i="4"/>
  <c r="AQ101" i="4"/>
  <c r="AE33" i="4"/>
  <c r="AD57" i="4"/>
  <c r="AK97" i="4"/>
  <c r="AW97" i="4" s="1"/>
  <c r="AB33" i="4"/>
  <c r="AA13" i="4"/>
  <c r="AG33" i="4"/>
  <c r="AC57" i="4"/>
  <c r="V7" i="14" s="1"/>
  <c r="AF53" i="4"/>
  <c r="AK13" i="4"/>
  <c r="AW13" i="4" s="1"/>
  <c r="AK33" i="4"/>
  <c r="AC34" i="4"/>
  <c r="AC17" i="4"/>
  <c r="AF18" i="4"/>
  <c r="AB14" i="4"/>
  <c r="AB53" i="4"/>
  <c r="U7" i="14" s="1"/>
  <c r="AD17" i="4"/>
  <c r="AP101" i="4"/>
  <c r="AT53" i="4"/>
  <c r="AD98" i="4"/>
  <c r="AF98" i="4"/>
  <c r="AD53" i="4"/>
  <c r="AB93" i="4"/>
  <c r="AT33" i="4"/>
  <c r="AB34" i="4"/>
  <c r="AG17" i="4"/>
  <c r="AD13" i="4"/>
  <c r="AD33" i="4"/>
  <c r="AD29" i="4" s="1"/>
  <c r="AF33" i="4"/>
  <c r="AK37" i="4"/>
  <c r="AW37" i="4" s="1"/>
  <c r="AB38" i="4"/>
  <c r="AF57" i="4"/>
  <c r="AF97" i="4"/>
  <c r="AE57" i="4"/>
  <c r="AD97" i="4"/>
  <c r="AE17" i="4"/>
  <c r="AF17" i="4"/>
  <c r="AG53" i="4"/>
  <c r="AA14" i="4"/>
  <c r="AE97" i="4"/>
  <c r="AF34" i="4"/>
  <c r="AD54" i="4"/>
  <c r="AG98" i="4"/>
  <c r="AA54" i="4"/>
  <c r="AB18" i="4"/>
  <c r="AB54" i="4"/>
  <c r="AG14" i="4"/>
  <c r="AE34" i="4"/>
  <c r="AE38" i="4"/>
  <c r="AE58" i="4"/>
  <c r="AA38" i="4"/>
  <c r="AD58" i="4"/>
  <c r="AF54" i="4"/>
  <c r="AE14" i="4"/>
  <c r="AC58" i="4"/>
  <c r="AC54" i="4"/>
  <c r="AD14" i="4"/>
  <c r="AB98" i="4"/>
  <c r="AG38" i="4"/>
  <c r="AG54" i="4"/>
  <c r="AA98" i="4"/>
  <c r="AF38" i="4"/>
  <c r="AD38" i="4"/>
  <c r="AC98" i="4"/>
  <c r="AE18" i="4"/>
  <c r="AE98" i="4"/>
  <c r="AG18" i="4"/>
  <c r="AF58" i="4"/>
  <c r="AB58" i="4"/>
  <c r="AC38" i="4"/>
  <c r="AF14" i="4"/>
  <c r="AD18" i="4"/>
  <c r="AE54" i="4"/>
  <c r="AG58" i="4"/>
  <c r="AA18" i="4"/>
  <c r="AC18" i="4"/>
  <c r="AA34" i="4"/>
  <c r="AD34" i="4"/>
  <c r="AC14" i="4"/>
  <c r="AW53" i="4"/>
  <c r="AH53" i="4" l="1"/>
  <c r="AA7" i="14" s="1"/>
  <c r="X53" i="4"/>
  <c r="X37" i="4"/>
  <c r="AH58" i="4"/>
  <c r="AI57" i="4" s="1"/>
  <c r="AH33" i="4"/>
  <c r="X17" i="4"/>
  <c r="AG30" i="4"/>
  <c r="AH17" i="4"/>
  <c r="AD49" i="4"/>
  <c r="W7" i="14"/>
  <c r="AC9" i="4"/>
  <c r="AK9" i="4"/>
  <c r="AB49" i="4"/>
  <c r="X33" i="4"/>
  <c r="X7" i="14"/>
  <c r="AC93" i="4"/>
  <c r="Y7" i="14"/>
  <c r="U36" i="15"/>
  <c r="Y36" i="15" s="1"/>
  <c r="AK49" i="4"/>
  <c r="AC5" i="14" a="1"/>
  <c r="AC5" i="14" s="1"/>
  <c r="AG93" i="4"/>
  <c r="AT93" i="4"/>
  <c r="F71" i="14" a="1"/>
  <c r="F71" i="14" s="1"/>
  <c r="AH97" i="4"/>
  <c r="AK93" i="4"/>
  <c r="AG9" i="4"/>
  <c r="AG29" i="4"/>
  <c r="AF29" i="4"/>
  <c r="P5" i="14"/>
  <c r="AH37" i="4"/>
  <c r="AA29" i="4"/>
  <c r="AY101" i="4"/>
  <c r="AN101" i="4"/>
  <c r="AF93" i="4"/>
  <c r="AD93" i="4"/>
  <c r="X58" i="4"/>
  <c r="X57" i="4"/>
  <c r="AC49" i="4"/>
  <c r="AA49" i="4"/>
  <c r="T7" i="14"/>
  <c r="AB29" i="4"/>
  <c r="G7" i="14"/>
  <c r="AT29" i="4"/>
  <c r="X13" i="4"/>
  <c r="AA9" i="4"/>
  <c r="AH13" i="4"/>
  <c r="AC29" i="4"/>
  <c r="AE29" i="4"/>
  <c r="J36" i="15"/>
  <c r="N36" i="15" s="1"/>
  <c r="AT9" i="4"/>
  <c r="AT49" i="4"/>
  <c r="AE94" i="4"/>
  <c r="AG49" i="4"/>
  <c r="L7" i="14"/>
  <c r="AR101" i="4"/>
  <c r="K7" i="14"/>
  <c r="AE49" i="4"/>
  <c r="AA93" i="4"/>
  <c r="AH93" i="4" s="1"/>
  <c r="F59" i="14"/>
  <c r="X101" i="4"/>
  <c r="X93" i="4" s="1"/>
  <c r="AE9" i="4"/>
  <c r="J7" i="14"/>
  <c r="AB9" i="4"/>
  <c r="AD94" i="4"/>
  <c r="H7" i="14"/>
  <c r="BW4" i="4" s="1"/>
  <c r="I7" i="14"/>
  <c r="AC30" i="4"/>
  <c r="AE93" i="4"/>
  <c r="AF94" i="4"/>
  <c r="AF49" i="4"/>
  <c r="AB30" i="4"/>
  <c r="AF9" i="4"/>
  <c r="AD30" i="4"/>
  <c r="AK29" i="4"/>
  <c r="AW33" i="4"/>
  <c r="AW29" i="4" s="1"/>
  <c r="X14" i="4"/>
  <c r="AH14" i="4"/>
  <c r="AD9" i="4"/>
  <c r="AE50" i="4"/>
  <c r="X9" i="14"/>
  <c r="AG50" i="4"/>
  <c r="AB10" i="4"/>
  <c r="H9" i="14"/>
  <c r="AH38" i="4"/>
  <c r="X38" i="4"/>
  <c r="AH54" i="4"/>
  <c r="AA50" i="4"/>
  <c r="X54" i="4"/>
  <c r="T9" i="14"/>
  <c r="L9" i="14"/>
  <c r="AF10" i="4"/>
  <c r="AC94" i="4"/>
  <c r="AB94" i="4"/>
  <c r="AG94" i="4"/>
  <c r="AC10" i="4"/>
  <c r="I9" i="14"/>
  <c r="J9" i="14"/>
  <c r="AD10" i="4"/>
  <c r="AD50" i="4"/>
  <c r="W9" i="14"/>
  <c r="AC50" i="4"/>
  <c r="V9" i="14"/>
  <c r="AE30" i="4"/>
  <c r="AF30" i="4"/>
  <c r="AA30" i="4"/>
  <c r="X34" i="4"/>
  <c r="AH34" i="4"/>
  <c r="AH98" i="4"/>
  <c r="X98" i="4"/>
  <c r="Y97" i="4" s="1"/>
  <c r="AA94" i="4"/>
  <c r="AE10" i="4"/>
  <c r="K9" i="14"/>
  <c r="AG10" i="4"/>
  <c r="AA10" i="4"/>
  <c r="AH18" i="4"/>
  <c r="X18" i="4"/>
  <c r="G9" i="14"/>
  <c r="X102" i="4"/>
  <c r="AI101" i="4"/>
  <c r="Y9" i="14"/>
  <c r="AF50" i="4"/>
  <c r="AB50" i="4"/>
  <c r="U9" i="14"/>
  <c r="AW93" i="4"/>
  <c r="AW9" i="4"/>
  <c r="U6" i="15"/>
  <c r="AW49" i="4"/>
  <c r="X49" i="4" l="1"/>
  <c r="Y37" i="4"/>
  <c r="AA9" i="14"/>
  <c r="AH30" i="4"/>
  <c r="X29" i="4"/>
  <c r="AI33" i="4"/>
  <c r="AH49" i="4"/>
  <c r="AH94" i="4"/>
  <c r="AI93" i="4" s="1"/>
  <c r="AH29" i="4"/>
  <c r="X9" i="4"/>
  <c r="AH50" i="4"/>
  <c r="AH9" i="4"/>
  <c r="AI97" i="4"/>
  <c r="N7" i="14"/>
  <c r="AI37" i="4"/>
  <c r="Y57" i="4"/>
  <c r="AI13" i="4"/>
  <c r="X50" i="4"/>
  <c r="Y13" i="4"/>
  <c r="Y101" i="4"/>
  <c r="N9" i="14"/>
  <c r="J6" i="15"/>
  <c r="G5" i="14" s="1"/>
  <c r="H5" i="14" s="1"/>
  <c r="I5" i="14" s="1"/>
  <c r="J5" i="14" s="1"/>
  <c r="K5" i="14" s="1"/>
  <c r="L5" i="14" s="1"/>
  <c r="N5" i="14" s="1"/>
  <c r="O5" i="14" s="1"/>
  <c r="Y53" i="4"/>
  <c r="AI53" i="4"/>
  <c r="X94" i="4"/>
  <c r="Y93" i="4" s="1"/>
  <c r="AI17" i="4"/>
  <c r="X30" i="4"/>
  <c r="Y33" i="4"/>
  <c r="X10" i="4"/>
  <c r="Y17" i="4"/>
  <c r="AH10" i="4"/>
  <c r="D8" i="15"/>
  <c r="Y6" i="15"/>
  <c r="T5" i="14"/>
  <c r="U5" i="14" s="1"/>
  <c r="V5" i="14" s="1"/>
  <c r="W5" i="14" s="1"/>
  <c r="X5" i="14" s="1"/>
  <c r="Y5" i="14" s="1"/>
  <c r="AA5" i="14" s="1"/>
  <c r="AL57" i="4"/>
  <c r="AL97" i="4"/>
  <c r="AL93" i="4" s="1"/>
  <c r="AL53" i="4"/>
  <c r="AL17" i="4"/>
  <c r="Y49" i="4" l="1"/>
  <c r="AI29" i="4"/>
  <c r="Y29" i="4"/>
  <c r="Y9" i="4"/>
  <c r="AI49" i="4"/>
  <c r="AI9" i="4"/>
  <c r="N6" i="15"/>
  <c r="J10" i="15"/>
  <c r="S10" i="15"/>
  <c r="H10" i="15"/>
  <c r="AM10" i="15"/>
  <c r="L10" i="15"/>
  <c r="AF10" i="15"/>
  <c r="AE10" i="15"/>
  <c r="K10" i="15"/>
  <c r="AC10" i="15"/>
  <c r="V10" i="15"/>
  <c r="W10" i="15"/>
  <c r="U10" i="15"/>
  <c r="AD5" i="14" a="1"/>
  <c r="AD5" i="14" s="1"/>
  <c r="AL49" i="4"/>
  <c r="AL13" i="4"/>
  <c r="AL9" i="4" s="1"/>
  <c r="AL33" i="4"/>
  <c r="AL37" i="4"/>
  <c r="Y10" i="15" l="1"/>
  <c r="N10" i="15"/>
  <c r="Q5" i="14"/>
  <c r="AL29" i="4"/>
  <c r="AM97" i="4" l="1"/>
  <c r="AM53" i="4"/>
  <c r="AM57" i="4"/>
  <c r="AM17" i="4"/>
  <c r="AN17" i="4" s="1"/>
  <c r="AP53" i="4"/>
  <c r="AM37" i="4"/>
  <c r="AN37" i="4" s="1"/>
  <c r="AM13" i="4"/>
  <c r="AM33" i="4"/>
  <c r="AP57" i="4" l="1"/>
  <c r="AP49" i="4" s="1"/>
  <c r="AP97" i="4"/>
  <c r="AQ97" i="4"/>
  <c r="AQ93" i="4" s="1"/>
  <c r="AX53" i="4"/>
  <c r="AN53" i="4"/>
  <c r="AY53" i="4"/>
  <c r="AX97" i="4"/>
  <c r="AX93" i="4" s="1"/>
  <c r="AN97" i="4"/>
  <c r="AM93" i="4"/>
  <c r="AY97" i="4"/>
  <c r="AX57" i="4"/>
  <c r="AN57" i="4"/>
  <c r="U38" i="15"/>
  <c r="AM49" i="4"/>
  <c r="U31" i="15"/>
  <c r="AY57" i="4"/>
  <c r="AE5" i="14" a="1"/>
  <c r="AE5" i="14" s="1"/>
  <c r="AY17" i="4"/>
  <c r="AX17" i="4"/>
  <c r="AQ473" i="11"/>
  <c r="AP17" i="4"/>
  <c r="AQ37" i="4"/>
  <c r="AX33" i="4"/>
  <c r="AM29" i="4"/>
  <c r="AY33" i="4"/>
  <c r="J31" i="15"/>
  <c r="N31" i="15" s="1"/>
  <c r="AN33" i="4"/>
  <c r="AP33" i="4"/>
  <c r="AP13" i="4"/>
  <c r="AU13" i="4"/>
  <c r="J28" i="15"/>
  <c r="N28" i="15" s="1"/>
  <c r="AN13" i="4"/>
  <c r="J38" i="15"/>
  <c r="R5" i="14"/>
  <c r="BU4" i="4"/>
  <c r="AY13" i="4"/>
  <c r="AX13" i="4"/>
  <c r="AM9" i="4"/>
  <c r="AP37" i="4"/>
  <c r="AX37" i="4"/>
  <c r="AY37" i="4"/>
  <c r="AQ13" i="4"/>
  <c r="AQ17" i="4"/>
  <c r="AU37" i="4" l="1"/>
  <c r="AU53" i="4"/>
  <c r="BB53" i="4" s="1"/>
  <c r="AQ57" i="4"/>
  <c r="AR57" i="4" s="1"/>
  <c r="AY93" i="4"/>
  <c r="AN93" i="4"/>
  <c r="AQ53" i="4"/>
  <c r="AR97" i="4"/>
  <c r="AP93" i="4"/>
  <c r="AR93" i="4" s="1"/>
  <c r="AU57" i="4"/>
  <c r="AU97" i="4"/>
  <c r="AQ33" i="4"/>
  <c r="AR33" i="4" s="1"/>
  <c r="Y31" i="15"/>
  <c r="U28" i="15"/>
  <c r="Y28" i="15" s="1"/>
  <c r="AY49" i="4"/>
  <c r="AN49" i="4"/>
  <c r="Y38" i="15"/>
  <c r="Y40" i="15" s="1"/>
  <c r="U40" i="15"/>
  <c r="AX49" i="4"/>
  <c r="U8" i="15"/>
  <c r="Y8" i="15" s="1"/>
  <c r="AU33" i="4"/>
  <c r="AR17" i="4"/>
  <c r="AU17" i="4"/>
  <c r="AU9" i="4" s="1"/>
  <c r="AR37" i="4"/>
  <c r="AQ9" i="4"/>
  <c r="AR13" i="4"/>
  <c r="AP9" i="4"/>
  <c r="AX29" i="4"/>
  <c r="AY9" i="4"/>
  <c r="AN9" i="4"/>
  <c r="AX9" i="4"/>
  <c r="J8" i="15"/>
  <c r="N8" i="15" s="1"/>
  <c r="N38" i="15"/>
  <c r="N40" i="15" s="1"/>
  <c r="J40" i="15"/>
  <c r="BU6" i="4" s="1"/>
  <c r="AP29" i="4"/>
  <c r="AN29" i="4"/>
  <c r="AY29" i="4"/>
  <c r="AU29" i="4" l="1"/>
  <c r="AU93" i="4"/>
  <c r="BC53" i="4"/>
  <c r="BC57" i="4"/>
  <c r="BB57" i="4"/>
  <c r="G71" i="14" a="1"/>
  <c r="G71" i="14" s="1"/>
  <c r="AR53" i="4"/>
  <c r="AQ49" i="4"/>
  <c r="AR49" i="4" s="1"/>
  <c r="AQ29" i="4"/>
  <c r="AR29" i="4" s="1"/>
  <c r="AU49" i="4"/>
  <c r="G59" i="14"/>
  <c r="H59" i="14" s="1"/>
  <c r="AR9" i="4"/>
  <c r="I71" i="14" l="1"/>
  <c r="H71" i="14"/>
  <c r="I5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tc={4D74B043-6C26-40E2-A73C-F53C740AEE0B}</author>
  </authors>
  <commentList>
    <comment ref="B180" authorId="0" shapeId="0" xr:uid="{4D74B043-6C26-40E2-A73C-F53C740AEE0B}">
      <text>
        <t>[Threaded comment]
Your version of Excel allows you to read this threaded comment; however, any edits to it will get removed if the file is opened in a newer version of Excel. Learn more: https://go.microsoft.com/fwlink/?linkid=870924
Comment:
    Considerando PF + PG</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<sst xmlns="http://schemas.openxmlformats.org/spreadsheetml/2006/main" count="18318" uniqueCount="4231">
  <si>
    <t/>
  </si>
  <si>
    <r>
      <t xml:space="preserve">Terraplanagem </t>
    </r>
    <r>
      <rPr>
        <b/>
        <sz val="10"/>
        <color theme="0"/>
        <rFont val="Calibri"/>
        <family val="2"/>
        <scheme val="minor"/>
      </rPr>
      <t>(C+A)</t>
    </r>
    <r>
      <rPr>
        <b/>
        <sz val="11"/>
        <color theme="0"/>
        <rFont val="Calibri"/>
        <family val="2"/>
        <scheme val="minor"/>
      </rPr>
      <t xml:space="preserve">
</t>
    </r>
    <r>
      <rPr>
        <b/>
        <sz val="12"/>
        <color theme="0"/>
        <rFont val="Calibri"/>
        <family val="2"/>
        <scheme val="minor"/>
      </rPr>
      <t>Média m³/d</t>
    </r>
  </si>
  <si>
    <t>PCTE 4/5</t>
  </si>
  <si>
    <t>PCTE 06</t>
  </si>
  <si>
    <t>PCTE 7/8</t>
  </si>
  <si>
    <r>
      <t xml:space="preserve">ACOMPANHAMENTO SEMANAL </t>
    </r>
    <r>
      <rPr>
        <b/>
        <sz val="14"/>
        <color theme="0"/>
        <rFont val="Calibri"/>
        <family val="2"/>
        <scheme val="minor"/>
      </rPr>
      <t>15 a 21/06</t>
    </r>
  </si>
  <si>
    <r>
      <t xml:space="preserve">ACOMPANHAMENTO SEMANAL </t>
    </r>
    <r>
      <rPr>
        <b/>
        <sz val="14"/>
        <color theme="0"/>
        <rFont val="Calibri"/>
        <family val="2"/>
        <scheme val="minor"/>
      </rPr>
      <t>22 a 28/06</t>
    </r>
  </si>
  <si>
    <r>
      <t xml:space="preserve">ACOMPANHAMENTO SEMANAL </t>
    </r>
    <r>
      <rPr>
        <b/>
        <sz val="14"/>
        <color theme="0"/>
        <rFont val="Calibri"/>
        <family val="2"/>
        <scheme val="minor"/>
      </rPr>
      <t>29 a 05/07</t>
    </r>
  </si>
  <si>
    <r>
      <t xml:space="preserve">ACOMPANHAMENTO SEMANAL </t>
    </r>
    <r>
      <rPr>
        <b/>
        <sz val="14"/>
        <color theme="0"/>
        <rFont val="Calibri"/>
        <family val="2"/>
        <scheme val="minor"/>
      </rPr>
      <t>06 a 12/07</t>
    </r>
  </si>
  <si>
    <t>ACOMPANHAMENTO
 DIÁRIO</t>
  </si>
  <si>
    <t>ACOMPANHAMENTO SEMANAL</t>
  </si>
  <si>
    <t>META MENSAL JUNHO/26
(Cronograma Corrente)</t>
  </si>
  <si>
    <t>ACUMULADO BASELINE</t>
  </si>
  <si>
    <t>ESCOPO CONTRATUAL</t>
  </si>
  <si>
    <r>
      <t xml:space="preserve">MÉDIA DIÁRIA </t>
    </r>
    <r>
      <rPr>
        <b/>
        <sz val="14"/>
        <color theme="0"/>
        <rFont val="Calibri"/>
        <family val="2"/>
        <scheme val="minor"/>
      </rPr>
      <t>(un/dia)</t>
    </r>
  </si>
  <si>
    <t xml:space="preserve">Média PLANEJADA
MÊS </t>
  </si>
  <si>
    <t>ATIVIDADE</t>
  </si>
  <si>
    <t>UN</t>
  </si>
  <si>
    <t>P | R</t>
  </si>
  <si>
    <t>QUANT.</t>
  </si>
  <si>
    <t>ADERÊN.</t>
  </si>
  <si>
    <t>PRODUÇÃO 
DO DIA</t>
  </si>
  <si>
    <t>TOTAL SEMANA</t>
  </si>
  <si>
    <t>ADERÊN
CIA</t>
  </si>
  <si>
    <t>PLANEJADO
MÊS</t>
  </si>
  <si>
    <t>PLANEJADO
ATÉ A DATA</t>
  </si>
  <si>
    <t>REAL MÊS</t>
  </si>
  <si>
    <t>REAL
ACUMULADO</t>
  </si>
  <si>
    <t xml:space="preserve"> PREVISTO
ACUMUL. BL</t>
  </si>
  <si>
    <t>QUANT. TOTAL</t>
  </si>
  <si>
    <t>SALDO</t>
  </si>
  <si>
    <t>MÉDIA 
PLANEJADA</t>
  </si>
  <si>
    <t>MÉDIA 
REAL MÊS</t>
  </si>
  <si>
    <t>MÉDIA 
NECESSÁRIA</t>
  </si>
  <si>
    <t xml:space="preserve"> </t>
  </si>
  <si>
    <r>
      <t>Escavação 1</t>
    </r>
    <r>
      <rPr>
        <b/>
        <sz val="14"/>
        <color theme="1"/>
        <rFont val="Vale Sans"/>
        <family val="2"/>
      </rPr>
      <t>ª e 2ª</t>
    </r>
    <r>
      <rPr>
        <b/>
        <sz val="14"/>
        <color theme="1"/>
        <rFont val="Calibri"/>
        <family val="2"/>
        <scheme val="minor"/>
      </rPr>
      <t xml:space="preserve"> categoria</t>
    </r>
  </si>
  <si>
    <t>m³</t>
  </si>
  <si>
    <t>P</t>
  </si>
  <si>
    <t>R</t>
  </si>
  <si>
    <t>Pacote 04 - Segmento 2.2B- Km 104+500 a Km 116+400</t>
  </si>
  <si>
    <r>
      <t>Pacote 04 -</t>
    </r>
    <r>
      <rPr>
        <sz val="9"/>
        <color theme="1"/>
        <rFont val="Calibri"/>
        <family val="2"/>
        <scheme val="minor"/>
      </rPr>
      <t xml:space="preserve"> km 104+500 a 131+260</t>
    </r>
  </si>
  <si>
    <t>Pacote 04 - Segmento 2.3 - Km 116+517 a 131+241</t>
  </si>
  <si>
    <t>Pacote 05 - Segmento 2.4 - Km 131+260 a  Km 138+000</t>
  </si>
  <si>
    <r>
      <t>Pacote 05 -</t>
    </r>
    <r>
      <rPr>
        <sz val="9"/>
        <color theme="1"/>
        <rFont val="Calibri"/>
        <family val="2"/>
        <scheme val="minor"/>
      </rPr>
      <t xml:space="preserve"> km 131+260 a 167+300</t>
    </r>
  </si>
  <si>
    <t>Pacote 05 - Segmento 2.5 - 138+160 a 153+420</t>
  </si>
  <si>
    <t>Pacote 05 - Segmento 3.1 - 153+000 a 167+400</t>
  </si>
  <si>
    <r>
      <t>Pacote 06 -</t>
    </r>
    <r>
      <rPr>
        <sz val="9"/>
        <rFont val="Calibri"/>
        <family val="2"/>
        <scheme val="minor"/>
      </rPr>
      <t xml:space="preserve"> km 167+300 0 a 225+000</t>
    </r>
  </si>
  <si>
    <t>Corte</t>
  </si>
  <si>
    <r>
      <t>Pacote 07/08 -</t>
    </r>
    <r>
      <rPr>
        <sz val="9"/>
        <color theme="1"/>
        <rFont val="Calibri"/>
        <family val="2"/>
        <scheme val="minor"/>
      </rPr>
      <t xml:space="preserve"> km 227+200 a 292+260</t>
    </r>
  </si>
  <si>
    <t xml:space="preserve">Aterro e compactação </t>
  </si>
  <si>
    <t>Aterro</t>
  </si>
  <si>
    <t>Drenagem Superficial</t>
  </si>
  <si>
    <t>m</t>
  </si>
  <si>
    <t>saldo</t>
  </si>
  <si>
    <t>necess 5</t>
  </si>
  <si>
    <t>Drenagem superficial</t>
  </si>
  <si>
    <t>Ponte sobre o Rio Araguaia</t>
  </si>
  <si>
    <t>Pilares</t>
  </si>
  <si>
    <t>Etapas</t>
  </si>
  <si>
    <t>Travessa</t>
  </si>
  <si>
    <t>Aduelas</t>
  </si>
  <si>
    <t xml:space="preserve">Vigas Pré Moldadas </t>
  </si>
  <si>
    <t>Und</t>
  </si>
  <si>
    <t>Pré moldados</t>
  </si>
  <si>
    <t>DSH / DHP - Drenos Sub-Horizontal e Horizontal Profundo</t>
  </si>
  <si>
    <t>ORIGEM</t>
  </si>
  <si>
    <t>seg</t>
  </si>
  <si>
    <t>ter</t>
  </si>
  <si>
    <t>qua</t>
  </si>
  <si>
    <t>qui</t>
  </si>
  <si>
    <t>sex</t>
  </si>
  <si>
    <t>sáb</t>
  </si>
  <si>
    <t>SEMANA</t>
  </si>
  <si>
    <t>M</t>
  </si>
  <si>
    <t>Meta</t>
  </si>
  <si>
    <t xml:space="preserve">Previsto </t>
  </si>
  <si>
    <t>Realizado</t>
  </si>
  <si>
    <t>Travessas</t>
  </si>
  <si>
    <t>Peso</t>
  </si>
  <si>
    <r>
      <t>Terraplanagem - Corte + Aterro -</t>
    </r>
    <r>
      <rPr>
        <b/>
        <sz val="10"/>
        <color theme="1" tint="0.249977111117893"/>
        <rFont val="Vale Sans"/>
        <family val="2"/>
      </rPr>
      <t xml:space="preserve"> </t>
    </r>
    <r>
      <rPr>
        <b/>
        <sz val="12"/>
        <color theme="1" tint="0.249977111117893"/>
        <rFont val="Vale Sans"/>
        <family val="2"/>
      </rPr>
      <t>(x1000.m³)</t>
    </r>
  </si>
  <si>
    <r>
      <t>Drenagem Superficial</t>
    </r>
    <r>
      <rPr>
        <b/>
        <sz val="10"/>
        <color theme="1" tint="0.249977111117893"/>
        <rFont val="Vale Sans"/>
        <family val="2"/>
      </rPr>
      <t xml:space="preserve"> </t>
    </r>
    <r>
      <rPr>
        <sz val="20"/>
        <color theme="1" tint="0.249977111117893"/>
        <rFont val="Vale Sans"/>
        <family val="2"/>
      </rPr>
      <t>(m)</t>
    </r>
  </si>
  <si>
    <t>Real acumulado dia</t>
  </si>
  <si>
    <t>Meta acumulado dia</t>
  </si>
  <si>
    <t>Aderência meta</t>
  </si>
  <si>
    <r>
      <t>Terraplanagem - Corte + Aterro -</t>
    </r>
    <r>
      <rPr>
        <b/>
        <sz val="10"/>
        <rFont val="Vale Sans"/>
        <family val="2"/>
      </rPr>
      <t xml:space="preserve"> </t>
    </r>
    <r>
      <rPr>
        <b/>
        <sz val="12"/>
        <rFont val="Vale Sans"/>
        <family val="2"/>
      </rPr>
      <t>(x1000.m³)</t>
    </r>
  </si>
  <si>
    <t>Quant. total</t>
  </si>
  <si>
    <t>Saldo</t>
  </si>
  <si>
    <t>Quant. 
Total %</t>
  </si>
  <si>
    <t>Saldo
Total %</t>
  </si>
  <si>
    <r>
      <t>Drenagem Superficial</t>
    </r>
    <r>
      <rPr>
        <b/>
        <sz val="10"/>
        <rFont val="Vale Sans"/>
        <family val="2"/>
      </rPr>
      <t xml:space="preserve"> </t>
    </r>
    <r>
      <rPr>
        <sz val="20"/>
        <rFont val="Vale Sans"/>
        <family val="2"/>
      </rPr>
      <t>(m)</t>
    </r>
  </si>
  <si>
    <t>Pacote 4/5</t>
  </si>
  <si>
    <t>Pacote 06</t>
  </si>
  <si>
    <t>Pacote 7/8</t>
  </si>
  <si>
    <t>Produção total - Terraplangem (S-1 a S-4)</t>
  </si>
  <si>
    <t>S-1</t>
  </si>
  <si>
    <t>S-2</t>
  </si>
  <si>
    <t>S-3</t>
  </si>
  <si>
    <t>S-4</t>
  </si>
  <si>
    <t>Produção total - Drenagem Superficial (S-1 a S-4)</t>
  </si>
  <si>
    <t xml:space="preserve">Aderência </t>
  </si>
  <si>
    <t>Atividade</t>
  </si>
  <si>
    <t>Previsto</t>
  </si>
  <si>
    <t>Executado</t>
  </si>
  <si>
    <t>%Previsto</t>
  </si>
  <si>
    <t>% Executado</t>
  </si>
  <si>
    <t>% Contribuição Prevista</t>
  </si>
  <si>
    <t>% Contribuição executada</t>
  </si>
  <si>
    <t>Blocos</t>
  </si>
  <si>
    <t xml:space="preserve">Vigas 
Pré-Moldadas </t>
  </si>
  <si>
    <t>Pré-moldados</t>
  </si>
  <si>
    <t>Encontros</t>
  </si>
  <si>
    <t>Instalação de Aparelho de Apoio</t>
  </si>
  <si>
    <t xml:space="preserve">Execução de Vigas Longarinas </t>
  </si>
  <si>
    <t xml:space="preserve">Execução de Vigas Transversinas </t>
  </si>
  <si>
    <t xml:space="preserve">Lançamento de pré-moldados </t>
  </si>
  <si>
    <t>Lajes in-loco</t>
  </si>
  <si>
    <t xml:space="preserve">Instalação de Guarda-Corpo </t>
  </si>
  <si>
    <t>TOTAL</t>
  </si>
  <si>
    <t>Historico das Últimas semanas de Produção</t>
  </si>
  <si>
    <t>Dias mês</t>
  </si>
  <si>
    <t>Terraplanagem (C+A)
Média m³/d</t>
  </si>
  <si>
    <t>Dias</t>
  </si>
  <si>
    <t>REG 02</t>
  </si>
  <si>
    <t>Drenag Superficial
Média m/d</t>
  </si>
  <si>
    <t>Ponte do Araguaia
Média m/d</t>
  </si>
  <si>
    <t>DSH / DHP 
Média m/d</t>
  </si>
  <si>
    <t>Dias reais</t>
  </si>
  <si>
    <r>
      <t xml:space="preserve">Média PLANEJADA
</t>
    </r>
    <r>
      <rPr>
        <b/>
        <sz val="10"/>
        <color theme="0"/>
        <rFont val="Calibri"/>
        <family val="2"/>
        <scheme val="minor"/>
      </rPr>
      <t>MÊS</t>
    </r>
    <r>
      <rPr>
        <sz val="10"/>
        <color theme="0"/>
        <rFont val="Calibri"/>
        <family val="2"/>
        <scheme val="minor"/>
      </rPr>
      <t xml:space="preserve"> </t>
    </r>
  </si>
  <si>
    <t>Média
Planejada MÊS</t>
  </si>
  <si>
    <t>Semana</t>
  </si>
  <si>
    <r>
      <t xml:space="preserve">Média ACUMUL
 </t>
    </r>
    <r>
      <rPr>
        <b/>
        <sz val="10"/>
        <color theme="0"/>
        <rFont val="Calibri"/>
        <family val="2"/>
        <scheme val="minor"/>
      </rPr>
      <t>MÊS</t>
    </r>
  </si>
  <si>
    <t>Média
Acumulada MÊS</t>
  </si>
  <si>
    <r>
      <t xml:space="preserve">Média  ACUMUL
</t>
    </r>
    <r>
      <rPr>
        <b/>
        <sz val="10"/>
        <color theme="0"/>
        <rFont val="Calibri"/>
        <family val="2"/>
        <scheme val="minor"/>
      </rPr>
      <t>SEMANA</t>
    </r>
  </si>
  <si>
    <t>Média
Acumulada SEMANA</t>
  </si>
  <si>
    <t xml:space="preserve">Produção total S-4 </t>
  </si>
  <si>
    <t>Produção total S-4</t>
  </si>
  <si>
    <t>Produção total S-3</t>
  </si>
  <si>
    <t xml:space="preserve">Produção total S-2 </t>
  </si>
  <si>
    <t>Produção total S-1</t>
  </si>
  <si>
    <t>dias mês</t>
  </si>
  <si>
    <r>
      <rPr>
        <b/>
        <sz val="11"/>
        <color theme="0"/>
        <rFont val="Calibri"/>
        <family val="2"/>
        <scheme val="minor"/>
      </rPr>
      <t>Produtiv. Escavação</t>
    </r>
    <r>
      <rPr>
        <b/>
        <sz val="10"/>
        <color theme="0"/>
        <rFont val="Calibri"/>
        <family val="2"/>
        <scheme val="minor"/>
      </rPr>
      <t xml:space="preserve">
m³/escavad/dia</t>
    </r>
  </si>
  <si>
    <r>
      <rPr>
        <b/>
        <sz val="12"/>
        <color theme="0"/>
        <rFont val="Calibri"/>
        <family val="2"/>
        <scheme val="minor"/>
      </rPr>
      <t>Produtuv Drenagem</t>
    </r>
    <r>
      <rPr>
        <b/>
        <sz val="11"/>
        <color theme="0"/>
        <rFont val="Calibri"/>
        <family val="2"/>
        <scheme val="minor"/>
      </rPr>
      <t xml:space="preserve">
m/homem/dia</t>
    </r>
  </si>
  <si>
    <t>Quant. Escavadeiras:</t>
  </si>
  <si>
    <t>Efetivo mobilizado para drenagem</t>
  </si>
  <si>
    <r>
      <rPr>
        <b/>
        <sz val="11"/>
        <color theme="0"/>
        <rFont val="Calibri"/>
        <family val="2"/>
        <scheme val="minor"/>
      </rPr>
      <t>Produtiv. Aterro</t>
    </r>
    <r>
      <rPr>
        <b/>
        <sz val="10"/>
        <color theme="0"/>
        <rFont val="Calibri"/>
        <family val="2"/>
        <scheme val="minor"/>
      </rPr>
      <t xml:space="preserve">
m³/rolo/dia</t>
    </r>
  </si>
  <si>
    <t>Produção mês</t>
  </si>
  <si>
    <t>Quant. Rolo Compactadores:</t>
  </si>
  <si>
    <t>Avanço de Produção
Terraplanagem</t>
  </si>
  <si>
    <t>Avanço de Produção
Drenagem Superficilal</t>
  </si>
  <si>
    <t>Avanço de Produção Ponte do Araguaia</t>
  </si>
  <si>
    <t>Meta mês</t>
  </si>
  <si>
    <t>Acumulado</t>
  </si>
  <si>
    <t>Avanço</t>
  </si>
  <si>
    <t>REPORT DIÁRIO</t>
  </si>
  <si>
    <t>Aterro e compactação</t>
  </si>
  <si>
    <t>PACOTES 04 E 05</t>
  </si>
  <si>
    <t>ACOMPANHAMENTO MENSAL
(Cronograma Corrente*)</t>
  </si>
  <si>
    <t>ACUMULADO</t>
  </si>
  <si>
    <t>ESCOPO</t>
  </si>
  <si>
    <t>,</t>
  </si>
  <si>
    <t>UM</t>
  </si>
  <si>
    <t>PRODUÇÃO 
S-1</t>
  </si>
  <si>
    <t>ADERÊNCIA
S-1</t>
  </si>
  <si>
    <t>ADERÊNCIA</t>
  </si>
  <si>
    <t xml:space="preserve">META MÊS </t>
  </si>
  <si>
    <t>PROD. ACUM. BM 12 MARÇO</t>
  </si>
  <si>
    <t>BM 13 ABRIL (11/04)</t>
  </si>
  <si>
    <t>BM 14 MAIO (11/05)</t>
  </si>
  <si>
    <t>BM 15 JUNHO (13/06</t>
  </si>
  <si>
    <t xml:space="preserve"> PREVISTO
ACUMUL. BL01</t>
  </si>
  <si>
    <t>Escavação 3ª categor</t>
  </si>
  <si>
    <t>Exibir S/N</t>
  </si>
  <si>
    <t>ID exclusiva</t>
  </si>
  <si>
    <t>ID CRON.</t>
  </si>
  <si>
    <t>COD. ATIVO - PROD</t>
  </si>
  <si>
    <t>Escavação 1ª e 2ª categoria</t>
  </si>
  <si>
    <t>x</t>
  </si>
  <si>
    <t>2.1.4.1.1.6.1</t>
  </si>
  <si>
    <t>2.2-C06</t>
  </si>
  <si>
    <t xml:space="preserve">   Seg. 2.2-C06 - Acabamentos em talude do Corte</t>
  </si>
  <si>
    <t>2.1.4.1.1.2.1</t>
  </si>
  <si>
    <t>2.2-C02</t>
  </si>
  <si>
    <t xml:space="preserve">   Seg. 2.2-C02 - Escavação, carga e transporte de material 1ª/2ª categoria</t>
  </si>
  <si>
    <t>2.1.4.1.1.3.1</t>
  </si>
  <si>
    <t>2.2-C03</t>
  </si>
  <si>
    <t xml:space="preserve">   Seg. 2.2-C03 - Escavação, carga e transporte de material 1ª/2ª categoria</t>
  </si>
  <si>
    <t>2.1.4.1.1.4.1.1</t>
  </si>
  <si>
    <t>2.2-C04</t>
  </si>
  <si>
    <t xml:space="preserve">   Seg. 2.2-C04-B01 - Escavação, carga e transporte de material 1ª/2ª categoria</t>
  </si>
  <si>
    <t>2.1.4.1.1.4.3.2</t>
  </si>
  <si>
    <t>2.1.4.1.1.5.1</t>
  </si>
  <si>
    <t>2.2-C05</t>
  </si>
  <si>
    <t xml:space="preserve">   Seg. 2.2-C05 - Escavação, carga e transporte de material 1ª/2ª categoria</t>
  </si>
  <si>
    <t>2.1.4.1.1.7.1</t>
  </si>
  <si>
    <t>2.2-C07</t>
  </si>
  <si>
    <t xml:space="preserve">   Seg. 2.2-C07 - Escavação, carga e transporte de material 1ª/2ª categoria</t>
  </si>
  <si>
    <t>2.1.4.1.1.8.1</t>
  </si>
  <si>
    <t>2.2-C08</t>
  </si>
  <si>
    <t xml:space="preserve">   Seg. 2.2-C08 - Escavação, carga e transporte de material 1ª/2ª categoria</t>
  </si>
  <si>
    <t>2.1.4.1.1.9.1</t>
  </si>
  <si>
    <t>2.2-C09</t>
  </si>
  <si>
    <t xml:space="preserve">   Seg. 2.2-C09 - Escavação, carga e transporte de material 1ª/2ª categoria</t>
  </si>
  <si>
    <t>2.1.4.1.1.10.1</t>
  </si>
  <si>
    <t>2.2-C10</t>
  </si>
  <si>
    <t xml:space="preserve">   Seg. 2.2-C10 - Escavação, carga e transporte de material 1ª categoria</t>
  </si>
  <si>
    <t>2.1.4.1.1.11.1</t>
  </si>
  <si>
    <t>2.2-C11</t>
  </si>
  <si>
    <t xml:space="preserve">   Seg. 2.2-C11 - Escavação, carga e transporte de material 1ª categoria</t>
  </si>
  <si>
    <t>2.1.4.1.1.13.1</t>
  </si>
  <si>
    <t>2.2-C12</t>
  </si>
  <si>
    <t xml:space="preserve">   Seg. 2.2-C12 - Escavação, carga e transporte de material 1ª/2ª categoria</t>
  </si>
  <si>
    <t>2.1.4.1.1.14.4</t>
  </si>
  <si>
    <t>2.2-C13</t>
  </si>
  <si>
    <t xml:space="preserve">   Seg. 2.2-C13 - Escavação, carga e transporte de material 1ª/2ª categoria</t>
  </si>
  <si>
    <t>2.1.4.1.1.15.1</t>
  </si>
  <si>
    <t>2.2-C14</t>
  </si>
  <si>
    <t xml:space="preserve">   Seg. 2.2-C14 - Acabamentos em talude do Corte - Seg.2.2B C 14</t>
  </si>
  <si>
    <t>2.1.4.1.1.16.1</t>
  </si>
  <si>
    <t>2.2-C15</t>
  </si>
  <si>
    <t xml:space="preserve">   Seg. 2.2-C15 - Escavação, carga e transporte de material 1ª categoria</t>
  </si>
  <si>
    <t>2.2.1.1.1.5.1</t>
  </si>
  <si>
    <t>2.2-AC.114+740</t>
  </si>
  <si>
    <t xml:space="preserve">   Escavação, carga e transporte de material 1ª/2ª categoria - Seg.2.2B acesso km114+740</t>
  </si>
  <si>
    <t>2.2.1.1.1.4.1</t>
  </si>
  <si>
    <t>2.2-AC.114+460</t>
  </si>
  <si>
    <t xml:space="preserve">   Escavação, carga e transporte de material 1ª/2ª categoria - Seg.2.2B acesso km114+460</t>
  </si>
  <si>
    <t>2.2.1.1.1.1.1</t>
  </si>
  <si>
    <t>2.2-AC.106+190</t>
  </si>
  <si>
    <t xml:space="preserve">   Escavação, carga e transporte de material 1ª/2ª categoria - Seg.2.2B acesso km 106+190</t>
  </si>
  <si>
    <t>2.2.1.1.1.2.1</t>
  </si>
  <si>
    <t>2.2-AC.108+540</t>
  </si>
  <si>
    <t xml:space="preserve">   Escavação, carga e transporte de material 1ª/2ª categoria - Seg.2.2B acesso km 108+540</t>
  </si>
  <si>
    <t>2.2.1.1.1.3.1</t>
  </si>
  <si>
    <t>2.2-AC.110+035</t>
  </si>
  <si>
    <t xml:space="preserve">   Escavação, carga e transporte de material 1ª/2ª categoria - Seg.2.2B acesso km 110+035</t>
  </si>
  <si>
    <t>2.1.4.1.1.12.1</t>
  </si>
  <si>
    <t>2.2-CX. EMPRÉSTIMO</t>
  </si>
  <si>
    <t xml:space="preserve">   Seg. 2.2-Caixa de empréstimo - Escavação, carga e transporte de material 1ª/2ª categoria</t>
  </si>
  <si>
    <t>2.4.1.1.1</t>
  </si>
  <si>
    <t>2.2-Sump</t>
  </si>
  <si>
    <t xml:space="preserve">   Sump 2.2B</t>
  </si>
  <si>
    <t>2.4.1.1.3</t>
  </si>
  <si>
    <t>2.2-Bacia de captaçãoA01</t>
  </si>
  <si>
    <t xml:space="preserve">   Escavação bacia de captação Aterro A-01 - Seg. 2.2B</t>
  </si>
  <si>
    <t>2.3.3.1.1.1.1</t>
  </si>
  <si>
    <t>Desvio GO-156</t>
  </si>
  <si>
    <t xml:space="preserve">   Escavação, carga e transporte de material 1ª/2ª categoria</t>
  </si>
  <si>
    <t>2.1.4.1.1.4.1.2</t>
  </si>
  <si>
    <t>2.2-C04R</t>
  </si>
  <si>
    <t xml:space="preserve">   Escavação, carga, transporte, descarga e espalhamento de solo de 1ª /2ª categoria para Retaludamento - C04</t>
  </si>
  <si>
    <t>2.1.4.1.1.5.2</t>
  </si>
  <si>
    <t>2.2-C05R</t>
  </si>
  <si>
    <t xml:space="preserve">   Escavação, carga, transporte, descarga e espalhamento de solo de 1ª /2ª categoria para Retaludamento</t>
  </si>
  <si>
    <t>2.1.4.1.1.13.4</t>
  </si>
  <si>
    <t>2.2-C12R</t>
  </si>
  <si>
    <t>2.1.4.1.1.14.9</t>
  </si>
  <si>
    <t>2.2-C13R</t>
  </si>
  <si>
    <t xml:space="preserve">   Escavação, carga, transporte, descarga e espalhamento de solo de 1ª /2ª categoria para Retaludamento - C13</t>
  </si>
  <si>
    <t>2.1.4.1.1.7.3</t>
  </si>
  <si>
    <t>2.2-C07R</t>
  </si>
  <si>
    <t xml:space="preserve">   Escavação, carga, transporte, descarga e espalhamento de solo de 1ª /2ª categoria para Retaludamento - C07</t>
  </si>
  <si>
    <t>2.2.1.1.1.6.1</t>
  </si>
  <si>
    <t>2.2-C13ACESSO</t>
  </si>
  <si>
    <t>Escavação, carga e transporte de material 1ª/2ª categoria - Seg.2.2B acesso km 115+606</t>
  </si>
  <si>
    <t>2.3.3.2.1.1.1</t>
  </si>
  <si>
    <t>GO-156</t>
  </si>
  <si>
    <t>novo</t>
  </si>
  <si>
    <t>2.2-C12ADMP</t>
  </si>
  <si>
    <t>ADMP  Corte 12</t>
  </si>
  <si>
    <t>2.2-C04ADMP</t>
  </si>
  <si>
    <t>ADMP  Corte 4</t>
  </si>
  <si>
    <t>2.2-C09ADMP</t>
  </si>
  <si>
    <t>ADMP  Corte 9</t>
  </si>
  <si>
    <t>2.2-A13</t>
  </si>
  <si>
    <t>Escavação Aterro 13 - Solo  mole</t>
  </si>
  <si>
    <t>2.2-A06</t>
  </si>
  <si>
    <t>Escavação Aterro 06 - Solo  mole</t>
  </si>
  <si>
    <t>2.2-A08AL</t>
  </si>
  <si>
    <t>Escavação Aterro 08 - Alargamento</t>
  </si>
  <si>
    <t>2.2-A01</t>
  </si>
  <si>
    <t>Escavação Aterro 01</t>
  </si>
  <si>
    <t>2.2-C04ACESSO</t>
  </si>
  <si>
    <t>Acesso região do Corte 04</t>
  </si>
  <si>
    <t>2.2-C11R</t>
  </si>
  <si>
    <t>Retaludamento Corte 11</t>
  </si>
  <si>
    <t>2.2-A14ADMP</t>
  </si>
  <si>
    <t>ADMP Aterro 14</t>
  </si>
  <si>
    <t>2.2-A12SOB</t>
  </si>
  <si>
    <t xml:space="preserve">   Escavação, carga e transporte de material 1ª/2ª categoria - A12</t>
  </si>
  <si>
    <t>2.2-A13SOB</t>
  </si>
  <si>
    <t xml:space="preserve">   Escavação, carga e transporte de material 1ª/2ª categoria - A13</t>
  </si>
  <si>
    <t>2.1.4.1.2.3.1</t>
  </si>
  <si>
    <t>2.3-C03</t>
  </si>
  <si>
    <t>Seg. 2.3-C03 - Escavação, carga e transporte de material 1ª/2ª categoria</t>
  </si>
  <si>
    <t>2.1.4.1.2.5.4</t>
  </si>
  <si>
    <t>2.3-C05R</t>
  </si>
  <si>
    <t>Escavação, carga, transporte, descarga e espalhamento de solo de 1ª /2ª categoria para Retaludamento</t>
  </si>
  <si>
    <t>2.1.4.1.2.8.1.1</t>
  </si>
  <si>
    <t>2.3-C08</t>
  </si>
  <si>
    <t xml:space="preserve">Seg. 2.3-C08-B01 - Escavação, carga e transporte de material 1ª/2ª categoria </t>
  </si>
  <si>
    <t>2.2.1.1.2.1.1</t>
  </si>
  <si>
    <t>2.3-AC.118+158</t>
  </si>
  <si>
    <t xml:space="preserve">   Escavação, carga e transporte de material 1ª/2ª categoria - Seg.2.3 acesso km 118+158</t>
  </si>
  <si>
    <t>2.2.1.1.2.2.1</t>
  </si>
  <si>
    <t>2.3-AC.120+026</t>
  </si>
  <si>
    <t xml:space="preserve">   Escavação, carga e transporte de material 1ª/2ª categoria - Seg.2.3 acesso km 120+026</t>
  </si>
  <si>
    <t>2.2.1.1.2.5.1</t>
  </si>
  <si>
    <t>2.3-AC.125+596</t>
  </si>
  <si>
    <t xml:space="preserve">   Escavação, carga e transporte de material 1ª/2ª categoria - Seg.2.3 acesso km 126+595</t>
  </si>
  <si>
    <t>2.2.1.1.2.7.1</t>
  </si>
  <si>
    <t>2.3-AC.129+151</t>
  </si>
  <si>
    <t xml:space="preserve">   Escavação, carga e transporte de material 1ª/2ª categoria - Seg.2.3 acesso km 129+151</t>
  </si>
  <si>
    <t>2.3.4.1.1.1.1</t>
  </si>
  <si>
    <t>2.3-DESVIO GO-336</t>
  </si>
  <si>
    <t>2.1.4.1.2.1.1</t>
  </si>
  <si>
    <t>2.3-C01</t>
  </si>
  <si>
    <t xml:space="preserve">   Seg. 2.3-C01 - Escavação, carga e transporte de material 1ª/2ª categoria</t>
  </si>
  <si>
    <t>2.1.4.1.2.2.1</t>
  </si>
  <si>
    <t>2.3-C02</t>
  </si>
  <si>
    <t xml:space="preserve">   Seg. 2.3-C02 - Escavação, carga e transporte de material 1ª/2ª categoria</t>
  </si>
  <si>
    <t>2.1.4.1.2.4.1</t>
  </si>
  <si>
    <t>2.3-C04</t>
  </si>
  <si>
    <t xml:space="preserve">   Seg. 2.3-C04 - Escavação, carga e transporte de material 1ª/2ª categoria </t>
  </si>
  <si>
    <t>2.1.4.1.2.5.1</t>
  </si>
  <si>
    <t>2.3-C05</t>
  </si>
  <si>
    <t xml:space="preserve">   Seg. 2.3-C05 - Escavação, carga e transporte de material 1ª/2ª categoria </t>
  </si>
  <si>
    <t>2.1.4.1.2.6.1</t>
  </si>
  <si>
    <t>2.3-C06</t>
  </si>
  <si>
    <t xml:space="preserve">   Seg. 2.3-C06 - Escavação, carga e transporte de material 1ª categoria</t>
  </si>
  <si>
    <t>2.1.4.1.2.7.1</t>
  </si>
  <si>
    <t>2.3-C07</t>
  </si>
  <si>
    <t xml:space="preserve">   Seg. 2.3-C07 - Escavação, carga e transporte de material 1ª categoria </t>
  </si>
  <si>
    <t>2.1.4.1.2.11.1</t>
  </si>
  <si>
    <t>2.3-C10</t>
  </si>
  <si>
    <t xml:space="preserve">   Seg. 2.3-C10 - Escavação, carga e transporte de material 1ª/2ª categoria</t>
  </si>
  <si>
    <t>2.1.4.1.2.8.1.13</t>
  </si>
  <si>
    <t>2.3-C08R</t>
  </si>
  <si>
    <t>2.1.4.1.2.14.1</t>
  </si>
  <si>
    <t>2.3-C12</t>
  </si>
  <si>
    <t xml:space="preserve">   Seg. 2.3-C12 - Escavação, carga e transporte de material 1ª/2ª categoria</t>
  </si>
  <si>
    <t>2.1.4.1.2.15.1</t>
  </si>
  <si>
    <t>2.3-C13</t>
  </si>
  <si>
    <t xml:space="preserve">   Seg. 2.3-C13 - Escavação, carga e transporte de material 1ª/2ª categoria</t>
  </si>
  <si>
    <t>2.1.4.1.2.16.1</t>
  </si>
  <si>
    <t>2.3-C14</t>
  </si>
  <si>
    <t xml:space="preserve">   Seg. 2.3-C14 - Escavação, carga e transporte de material 1ª/2ª categoria</t>
  </si>
  <si>
    <t>2.1.4.1.2.10.1</t>
  </si>
  <si>
    <t>2.3-C09</t>
  </si>
  <si>
    <t xml:space="preserve">   Seg. 2.3-C09 - Escavação, carga e transporte de material 1ª/2ª categoria</t>
  </si>
  <si>
    <t>2.1.4.1.2.12.1</t>
  </si>
  <si>
    <t>2.3-CX. EMPRÉSTIMO</t>
  </si>
  <si>
    <t xml:space="preserve">   Seg. 2.3-Caixa de empréstimo - Escavação, carga e transporte de material 1ª/2ª categoria</t>
  </si>
  <si>
    <t>2.1.4.1.2.3.2</t>
  </si>
  <si>
    <t>2.3-C03R</t>
  </si>
  <si>
    <t>2.1.4.1.2.4.4</t>
  </si>
  <si>
    <t>2.3-C04R</t>
  </si>
  <si>
    <t>2.1.4.1.2.13.1</t>
  </si>
  <si>
    <t>2.3-C11</t>
  </si>
  <si>
    <t xml:space="preserve">   Seg. 2.3-C11 - Escavação, carga e transporte de material 1ª/2ª categoria</t>
  </si>
  <si>
    <t>2.2.1.1.2.4.1</t>
  </si>
  <si>
    <t>2.3-AC.124+433</t>
  </si>
  <si>
    <t xml:space="preserve">   Escavação, carga e transporte de material 1ª/2ª categoria - Seg.2.3 acesso km 124+433</t>
  </si>
  <si>
    <t>2.2.1.1.2.6.1</t>
  </si>
  <si>
    <t>2.3-AC.128+747</t>
  </si>
  <si>
    <t xml:space="preserve">   Escavação, carga e transporte de material 1ª/2ª categoria - Seg.2.3 acesso km 128+747</t>
  </si>
  <si>
    <t>2.3.4.2.1.1.1</t>
  </si>
  <si>
    <t>2.3- Recomposição GO-336</t>
  </si>
  <si>
    <t>2.4.1.1.2</t>
  </si>
  <si>
    <t>2.3-Sump</t>
  </si>
  <si>
    <t xml:space="preserve">   Sump 2.3</t>
  </si>
  <si>
    <t>2.3-A17</t>
  </si>
  <si>
    <t xml:space="preserve">   Escavação, carga e transporte de material 1ª/2ª categoria - Aterro 17</t>
  </si>
  <si>
    <t>2.3-A06ACESSO</t>
  </si>
  <si>
    <t xml:space="preserve">   Escavação, carga e transporte de material 1ª/2ª categoria - melhoria de acesso</t>
  </si>
  <si>
    <t>2.3-ADMP-C08</t>
  </si>
  <si>
    <t xml:space="preserve">   Escavação, carga e transporte de material 1ª/2ª categoria - ADMP Corte 08</t>
  </si>
  <si>
    <t>2.3-A09R</t>
  </si>
  <si>
    <t xml:space="preserve">   Escavação, carga e transporte de material 1ª/2ª categoria - Retaludamento A09</t>
  </si>
  <si>
    <t>2.3-C07R</t>
  </si>
  <si>
    <t xml:space="preserve">   Escavação, carga e transporte de material 1ª/2ª categoria - Retaludamento Corte 07</t>
  </si>
  <si>
    <t xml:space="preserve">   Escavação, carga e transporte de material 1ª/2ª categoria - Canal km 122/124/125</t>
  </si>
  <si>
    <t>3.1.6.1.1.1.1</t>
  </si>
  <si>
    <t>2.4-C04</t>
  </si>
  <si>
    <t xml:space="preserve">   Escavação, carga e transporte de material 1ª/2ª categoria - Seg.2.4 C 04</t>
  </si>
  <si>
    <t>3.1.6.1.1.2.1</t>
  </si>
  <si>
    <t>2.4-C05</t>
  </si>
  <si>
    <t xml:space="preserve">   Escavação, carga e transporte de material 1ª/2ª categoria - Seg.2.4 C 05</t>
  </si>
  <si>
    <t>3.1.6.1.1.3.1</t>
  </si>
  <si>
    <t>2.4-C06</t>
  </si>
  <si>
    <t xml:space="preserve">   Escavação, carga e transporte de material 1ª/2ª categoria - Seg.2.4 C 06</t>
  </si>
  <si>
    <t>3.2.1.1.1.1.1</t>
  </si>
  <si>
    <t>2.4-AC.132+000</t>
  </si>
  <si>
    <t xml:space="preserve">   Escavação, carga e transporte de material 1ª/2ª categoria - Seg.2.4 acesso km 132+00</t>
  </si>
  <si>
    <t>3.2.1.1.1.2.1</t>
  </si>
  <si>
    <t>2.4-AC.137+500</t>
  </si>
  <si>
    <t xml:space="preserve">   Escavação, carga e transporte de material 1ª/2ª categoria - Seg.2.4 acesso km 137+500</t>
  </si>
  <si>
    <t>3.3.4.1.1.1.1</t>
  </si>
  <si>
    <t>2.4-CÓRREGO BARREIRO</t>
  </si>
  <si>
    <t>3.1.6.1.1.4.1</t>
  </si>
  <si>
    <t>2.4-C07</t>
  </si>
  <si>
    <t xml:space="preserve">   Escavação, carga e transporte de material 1ª/2ª categoria - Seg.2.4 C 07</t>
  </si>
  <si>
    <t>3.1.6.1.1.5.1</t>
  </si>
  <si>
    <t>2.4-C08</t>
  </si>
  <si>
    <t xml:space="preserve">   Escavação, carga e transporte de material 1ª/2ª categoria - Seg.2.4 C 08</t>
  </si>
  <si>
    <t>3.2.1.1.1.3.1</t>
  </si>
  <si>
    <t>2.4-CX. EMPRÉSTIMO</t>
  </si>
  <si>
    <t xml:space="preserve">   Escavação, carga e transporte de material 1ª/2ª categoria - Seg.2.4 RSM-02</t>
  </si>
  <si>
    <t>3.2.1.1.1.3.2</t>
  </si>
  <si>
    <t>2.4-ADMP01</t>
  </si>
  <si>
    <t xml:space="preserve">   Escavação, carga e transporte de material 1ª/2ª categoria - Seg.2.4 ADMP-01 - km 134+820 a 134+940</t>
  </si>
  <si>
    <t>3.2.1.1.1.3.3</t>
  </si>
  <si>
    <t>2.4-C05ADMP</t>
  </si>
  <si>
    <t xml:space="preserve">   Escavação, carga e transporte de material 1ª/2ª categoria - Seg.2.4 ADMP-02 - km 135+380 a 135+480</t>
  </si>
  <si>
    <t>3.4.1.1.1.1</t>
  </si>
  <si>
    <t>2.4-Saldo Remanescente</t>
  </si>
  <si>
    <t xml:space="preserve">   Saldo remanescente seg.2.4 - Escavação, carga e transporte de material 1ª/2ª categoria</t>
  </si>
  <si>
    <t>-</t>
  </si>
  <si>
    <t>2.4-C06AL</t>
  </si>
  <si>
    <t>Alargamento Corte 06</t>
  </si>
  <si>
    <t>2.4-A01AL</t>
  </si>
  <si>
    <t>Alargamento Aterro 01</t>
  </si>
  <si>
    <t>2.4-A01</t>
  </si>
  <si>
    <t>Plataforma Aterro 01 (Recompactação do A01)</t>
  </si>
  <si>
    <t>2.4-A03AL</t>
  </si>
  <si>
    <t>Alargamento Aterro 03</t>
  </si>
  <si>
    <t>2.4-A03</t>
  </si>
  <si>
    <t>Aterro 03 - Remoção de material saturado</t>
  </si>
  <si>
    <t>2.4-A06AL</t>
  </si>
  <si>
    <t>Alargamento Aterro 06</t>
  </si>
  <si>
    <t>2.4-C08AL</t>
  </si>
  <si>
    <t>Alargamento Corte 08</t>
  </si>
  <si>
    <t>ADMP - Região do Corte 05</t>
  </si>
  <si>
    <t>2.4-A03ADMP</t>
  </si>
  <si>
    <t>Aterro 03 - ADMP</t>
  </si>
  <si>
    <t>2.4-A02</t>
  </si>
  <si>
    <t>Escavação, carga e transporte de material 1ª/2ª categoria - Aterro 02</t>
  </si>
  <si>
    <t>2.4-A06</t>
  </si>
  <si>
    <t>Escavação, carga e transporte de material 1ª/2ª categoria - Aterro 06</t>
  </si>
  <si>
    <t>2.4-A05</t>
  </si>
  <si>
    <t>Escavação, carga e transporte de material 1ª/2ª categoria - Aterro 05</t>
  </si>
  <si>
    <t>ATERRO-PCT 05</t>
  </si>
  <si>
    <t>Escavação, carga e transporte de material 1ª/2ª categoria -Caixa de Empréstimo Pacote 04</t>
  </si>
  <si>
    <t>2.4-C05AL</t>
  </si>
  <si>
    <t>Alargamento Corte 05</t>
  </si>
  <si>
    <t>3.2.1.1.2.1.2</t>
  </si>
  <si>
    <t>2.5-AC.139+200</t>
  </si>
  <si>
    <t xml:space="preserve">   Escavação, carga e transporte de material 1ª/2ª categoria - Seg.2.5 acesso km 139+200</t>
  </si>
  <si>
    <t>3.2.1.1.2.2.1</t>
  </si>
  <si>
    <t>2.5-AC.141+800</t>
  </si>
  <si>
    <t xml:space="preserve">   Escavação, carga e transporte de material 1ª/2ª categoria - Seg.2.5 acesso km 141+800</t>
  </si>
  <si>
    <t>3.2.1.1.2.3.1</t>
  </si>
  <si>
    <t>2.5-AC.144+540</t>
  </si>
  <si>
    <t xml:space="preserve">   Escavação, carga e transporte de material 1ª/2ª categoria - Seg.2.5 acesso km 144+540</t>
  </si>
  <si>
    <t>3.2.1.1.2.4.1</t>
  </si>
  <si>
    <t>2.5-AC.147+200</t>
  </si>
  <si>
    <t xml:space="preserve">   Escavação, carga e transporte de material 1ª/2ª categoria - Seg.2.5 acesso km 147+200</t>
  </si>
  <si>
    <t>3.2.1.1.2.5.1</t>
  </si>
  <si>
    <t>2.5-AC.149+600</t>
  </si>
  <si>
    <t xml:space="preserve">   Escavação, carga e transporte de material 1ª/2ª categoria - Seg.2.5 acesso km 149+600</t>
  </si>
  <si>
    <t>3.2.1.1.2.6.1</t>
  </si>
  <si>
    <t>2.5-AC.151+700</t>
  </si>
  <si>
    <t xml:space="preserve">   Escavação, carga e transporte de material 1ª/2ª categoria - Seg.2.5 acesso km 151+700</t>
  </si>
  <si>
    <t>3.1.6.1.2.1.1</t>
  </si>
  <si>
    <t>2.5-C01</t>
  </si>
  <si>
    <t xml:space="preserve">   Escavação, carga e transporte de material 1ª/2ª categoria - Seg.2.5 C 01</t>
  </si>
  <si>
    <t>3.1.6.1.2.2.1</t>
  </si>
  <si>
    <t>2.5-C02</t>
  </si>
  <si>
    <t xml:space="preserve">   Escavação, carga e transporte de material 1ª/2ª categoria - Seg.2.5 C 02</t>
  </si>
  <si>
    <t>3.1.6.1.2.3.1</t>
  </si>
  <si>
    <t>2.5-C03</t>
  </si>
  <si>
    <t xml:space="preserve">   Escavação, carga e transporte de material 1ª/2ª categoria - Seg.2.5 C 03</t>
  </si>
  <si>
    <t>3.1.6.1.2.4.3</t>
  </si>
  <si>
    <t>2.5-C04</t>
  </si>
  <si>
    <t xml:space="preserve">   Escavação, carga e transporte de material 1ª/2ª categoria - Seg.2.5 C 04</t>
  </si>
  <si>
    <t>3.1.6.1.2.5.1</t>
  </si>
  <si>
    <t>2.5-C05</t>
  </si>
  <si>
    <t xml:space="preserve">   Escavação, carga e transporte de material 1ª/2ª categoria - Seg.2.5 C 05</t>
  </si>
  <si>
    <t>3.1.6.1.2.6.1</t>
  </si>
  <si>
    <t>2.5-C07</t>
  </si>
  <si>
    <t xml:space="preserve">   Escavação, carga e transporte de material 1ª/2ª categoria - Seg.2.5 C 07</t>
  </si>
  <si>
    <t>3.1.6.1.2.7.1</t>
  </si>
  <si>
    <t>2.5-C08</t>
  </si>
  <si>
    <t xml:space="preserve">   Escavação, carga e transporte de material 1ª/2ª categoria - Seg.2.5 C 08</t>
  </si>
  <si>
    <t>3.1.6.1.2.9.1</t>
  </si>
  <si>
    <t>2.5-C10</t>
  </si>
  <si>
    <t xml:space="preserve">   Escavação, carga e transporte de material 1ª/2ª categoria - Seg.2.5 C 10</t>
  </si>
  <si>
    <t>3.1.6.1.2.10.1</t>
  </si>
  <si>
    <t>2.5-C11</t>
  </si>
  <si>
    <t xml:space="preserve">   Escavação, carga e transporte de material 1ª/2ª categoria - Seg.2.5 C 11</t>
  </si>
  <si>
    <t>3.1.6.1.2.11.1</t>
  </si>
  <si>
    <t>2.5-C12</t>
  </si>
  <si>
    <t xml:space="preserve">   Escavação, carga e transporte de material 1ª/2ª categoria - Seg.2.5 C 12</t>
  </si>
  <si>
    <t>3.1.6.1.2.5.2</t>
  </si>
  <si>
    <t>2.5-C05AL</t>
  </si>
  <si>
    <t xml:space="preserve">   Alargamento - Escavação, carga e transporte de material 1ª/2ª categoria - Seg.2.5 C 05</t>
  </si>
  <si>
    <t>3.1.6.1.2.6.2</t>
  </si>
  <si>
    <t>2.5-C07AL</t>
  </si>
  <si>
    <t xml:space="preserve">   Alargamento - Escavação, carga e transporte de material 1ª/2ª categoria - Seg.2.5 C 07</t>
  </si>
  <si>
    <t>3.1.6.1.2.7.2</t>
  </si>
  <si>
    <t>2.5-C08AL</t>
  </si>
  <si>
    <t xml:space="preserve">   Alargamento - Escavação, carga e transporte de material 1ª/2ª categoria - Seg.2.5 C 08</t>
  </si>
  <si>
    <t>3.1.6.1.2.8.3</t>
  </si>
  <si>
    <t>2.5-C09</t>
  </si>
  <si>
    <t xml:space="preserve">   Escavação, carga e transporte de material 1ª/2ª categoria - Seg.2.5 C 09</t>
  </si>
  <si>
    <t>3.1.6.1.2.9.2</t>
  </si>
  <si>
    <t>2.5-C10AL</t>
  </si>
  <si>
    <t xml:space="preserve">   Alargamento - Escavação, carga e transporte de material 1ª/2ª categoria - Seg.2.5 C 10</t>
  </si>
  <si>
    <t>3.1.6.1.2.10.2</t>
  </si>
  <si>
    <t>2.5-C11AL</t>
  </si>
  <si>
    <t xml:space="preserve">   Alargamento - Escavação, carga e transporte de material 1ª/2ª categoria - Seg.2.5 C 11</t>
  </si>
  <si>
    <t>3.1.6.1.2.11.2</t>
  </si>
  <si>
    <t>2.5-C12AL</t>
  </si>
  <si>
    <t xml:space="preserve">   Alargamento - Escavação, carga e transporte de material 1ª/2ª categoria - Seg.2.5 C 12</t>
  </si>
  <si>
    <t>3.2.1.1.2.7.1</t>
  </si>
  <si>
    <t>2.5-CX. EMPRÉSTIMO</t>
  </si>
  <si>
    <t xml:space="preserve">   Escavação, carga e transporte de material 1ª/2ª categoria - Seg.2.5</t>
  </si>
  <si>
    <t>3.4.1.1.1.2</t>
  </si>
  <si>
    <t xml:space="preserve">   Saldo remanescente seg.2.5 - Escavação, carga e transporte de material 1ª/2ª categoria</t>
  </si>
  <si>
    <t>2.5-A11</t>
  </si>
  <si>
    <t xml:space="preserve">   Escavação, carga e transporte de material 1ª/2ª categoria  - Aterro 11</t>
  </si>
  <si>
    <t>2.5-A13</t>
  </si>
  <si>
    <t xml:space="preserve">   Escavação, carga e transporte de material 1ª/2ª categoria  - Aterro  13</t>
  </si>
  <si>
    <t>2.5-C01AL</t>
  </si>
  <si>
    <t xml:space="preserve">   Escavação, carga e transporte de material 1ª/2ª categoria  - Corte 1 - Alargamento</t>
  </si>
  <si>
    <t>2.5-A04</t>
  </si>
  <si>
    <t xml:space="preserve">   Escavação, carga e transporte de material 1ª/2ª categoria  - Aterro 04</t>
  </si>
  <si>
    <t>2.5-A07ACESSO</t>
  </si>
  <si>
    <t xml:space="preserve">   Escavação, carga e transporte de material 1ª/2ª categoria  - Aterro 07(Acesso)</t>
  </si>
  <si>
    <t>2.5-A07</t>
  </si>
  <si>
    <t xml:space="preserve">   Escavação, carga e transporte de material 1ª/2ª categoria  - Aterro 07</t>
  </si>
  <si>
    <t>2.5-A10</t>
  </si>
  <si>
    <t xml:space="preserve">   Escavação, carga e transporte de material 1ª/2ª categoria  - Aterro 10</t>
  </si>
  <si>
    <t>2.5-A06</t>
  </si>
  <si>
    <t xml:space="preserve">   Escavação, carga e transporte de material 1ª/2ª categoria  - Aterro 06</t>
  </si>
  <si>
    <t>2.5-A03</t>
  </si>
  <si>
    <t xml:space="preserve">   Escavação, carga e transporte de material 1ª/2ª categoria  - Aterro 03</t>
  </si>
  <si>
    <t>2.5-A09</t>
  </si>
  <si>
    <t xml:space="preserve">   Escavação, carga e transporte de material 1ª/2ª categoria  - Aterro 09</t>
  </si>
  <si>
    <t>2.5-C02AL</t>
  </si>
  <si>
    <t xml:space="preserve">   Escavação, carga e transporte de material 1ª/2ª categoria  - Corte 05 - ADMP</t>
  </si>
  <si>
    <t>2.5-C05ADMP</t>
  </si>
  <si>
    <t>3.1.6.1.3.3.1</t>
  </si>
  <si>
    <t>3.1-C03</t>
  </si>
  <si>
    <t xml:space="preserve">   Escavação, carga e transporte de material 1ª/2ª categoria - Seg.3.1 C 03</t>
  </si>
  <si>
    <t>3.1.6.1.3.5.1</t>
  </si>
  <si>
    <t>3.1-C05</t>
  </si>
  <si>
    <t xml:space="preserve">   Escavação, carga e transporte de material 1ª/2ª categoria - Seg.3.1 C 05</t>
  </si>
  <si>
    <t>3.2.1.1.3.1.1</t>
  </si>
  <si>
    <t>3.1-AC. 154+755</t>
  </si>
  <si>
    <t xml:space="preserve">   Escavação, carga e transporte de material 1ª/2ª categoria - Seg.3.1 acesso km 154+755</t>
  </si>
  <si>
    <t>3.2.1.1.3.2.1</t>
  </si>
  <si>
    <t>3.1-AC. 159+900</t>
  </si>
  <si>
    <t xml:space="preserve">   Escavação, carga e transporte de material 1ª/2ª categoria - Seg.3.1 acesso km 159+900</t>
  </si>
  <si>
    <t>3.2.1.1.3.3.1</t>
  </si>
  <si>
    <t>3.1-C08ACESSO</t>
  </si>
  <si>
    <t xml:space="preserve">   Escavação, carga e transporte de material 1ª/2ª categoria - Seg.3.1 acesso km 165+850</t>
  </si>
  <si>
    <t>3.1.6.1.3.1.1</t>
  </si>
  <si>
    <t>3.1-C01</t>
  </si>
  <si>
    <t xml:space="preserve">   Escavação, carga e transporte de material 1ª/2ª categoria - Seg.3.1 C 01</t>
  </si>
  <si>
    <t>3.1.6.1.3.2.1</t>
  </si>
  <si>
    <t>3.1-C02</t>
  </si>
  <si>
    <t xml:space="preserve">   Escavação, carga e transporte de material 1ª/2ª categoria - Seg.3.1 C 02</t>
  </si>
  <si>
    <t>3.1.6.1.3.4.1</t>
  </si>
  <si>
    <t>3.1-C04</t>
  </si>
  <si>
    <t xml:space="preserve">   Escavação, carga e transporte de material 1ª/2ª categoria - Seg.3.1 C 04</t>
  </si>
  <si>
    <t>3.1.6.1.3.6.1</t>
  </si>
  <si>
    <t>3.1-C06</t>
  </si>
  <si>
    <t xml:space="preserve">   Escavação, carga e transporte de material 1ª/2ª categoria - Seg.3.1 C 06</t>
  </si>
  <si>
    <t>3.1.6.1.3.7.1</t>
  </si>
  <si>
    <t>3.1-C07</t>
  </si>
  <si>
    <t xml:space="preserve">   Escavação, carga e transporte de material 1ª/2ª categoria - Seg.3.1 C 07</t>
  </si>
  <si>
    <t>3.1.6.1.3.8.1</t>
  </si>
  <si>
    <t>3.1-C08</t>
  </si>
  <si>
    <t xml:space="preserve">   Escavação, carga e transporte de material 1ª/2ª categoria - Seg.3.1 C 08</t>
  </si>
  <si>
    <t>3.3.4.2.2.1.1</t>
  </si>
  <si>
    <t>3.1-DESVIO GO-164</t>
  </si>
  <si>
    <t>3.1.6.1.3.1.2</t>
  </si>
  <si>
    <t>3.1-C01AL</t>
  </si>
  <si>
    <t xml:space="preserve">   Alargamento - Escavação, carga e transporte de material 1ª/2ª categoria - Seg.3.1 C 01</t>
  </si>
  <si>
    <t>3.3.5.1.1.2.1</t>
  </si>
  <si>
    <t>3.1-INTERSEÇÃO GO-164</t>
  </si>
  <si>
    <t>3.1-C08ADMP</t>
  </si>
  <si>
    <t>3.1-A09</t>
  </si>
  <si>
    <t xml:space="preserve">   Escavação, carga e transporte de material 1ª/2ª categoria - Seg.3.1 C A09</t>
  </si>
  <si>
    <t>3.4.1.1.1.3</t>
  </si>
  <si>
    <t xml:space="preserve">   Saldo remanescente seg.3.1 - Escavação, carga e transporte de material 1ª/2ª categoria</t>
  </si>
  <si>
    <t>3.1-A10</t>
  </si>
  <si>
    <t>Corte da rodovia</t>
  </si>
  <si>
    <t>3.1-A01</t>
  </si>
  <si>
    <t>Aterro 01 -    Escavação, carga e transporte de material 1ª/2ª categoria</t>
  </si>
  <si>
    <t>3.1-A10ADMP</t>
  </si>
  <si>
    <t>Aterro 10 -    Escavação, carga e transporte de material 1ª/2ª categoria(ADMP)</t>
  </si>
  <si>
    <t>3.1-C02ADMP</t>
  </si>
  <si>
    <t>Corte 02 -    Escavação, carga e transporte de material 1ª/2ª categoria(ADMP)</t>
  </si>
  <si>
    <t>3.1-A02</t>
  </si>
  <si>
    <t>Aterro 02 - Remoção de Solo mole</t>
  </si>
  <si>
    <t>3.1-A03</t>
  </si>
  <si>
    <t>Aterro 03 -    Escavação, carga e transporte de material 1ª/2ª categoria</t>
  </si>
  <si>
    <t>3.1-A11</t>
  </si>
  <si>
    <t>Aterro 11 - Remoção de Solo</t>
  </si>
  <si>
    <t>3.1-A04</t>
  </si>
  <si>
    <t>Aterro 04 - Remoção de Solo mole</t>
  </si>
  <si>
    <t>3.1-CX. EMPRÉSTIMO</t>
  </si>
  <si>
    <t>3.1- Caixa de Empréstimo</t>
  </si>
  <si>
    <r>
      <t>Escavação 3</t>
    </r>
    <r>
      <rPr>
        <b/>
        <sz val="14"/>
        <color theme="1"/>
        <rFont val="Vale Sans"/>
        <family val="2"/>
      </rPr>
      <t>ª</t>
    </r>
    <r>
      <rPr>
        <b/>
        <sz val="14"/>
        <color theme="1"/>
        <rFont val="Calibri"/>
        <family val="2"/>
        <scheme val="minor"/>
      </rPr>
      <t xml:space="preserve"> categoria</t>
    </r>
  </si>
  <si>
    <t>2.1.4.1.1.4.3.3</t>
  </si>
  <si>
    <t xml:space="preserve">   Seg. 2.2-C04 - Escavação, carga e transporte de material 3ª categoria</t>
  </si>
  <si>
    <t>2.1.4.1.1.7.2</t>
  </si>
  <si>
    <t xml:space="preserve">   Seg. 2.2-C07 - Escavação, carga e transporte de material 3ª categoria</t>
  </si>
  <si>
    <t>2.1.4.1.1.14.5</t>
  </si>
  <si>
    <t xml:space="preserve">   Seg. 2.2-C13 - Escavação, carga e transporte de material 3ª categoria</t>
  </si>
  <si>
    <t>2.1.4.1.2.4.2</t>
  </si>
  <si>
    <t xml:space="preserve">   Seg. 2.3-C04 - Escavação, carga e transporte de material 3ª categoria</t>
  </si>
  <si>
    <t>2.1.4.1.2.5.2</t>
  </si>
  <si>
    <t xml:space="preserve">   Seg. 2.3-C05 - Escavação, carga e transporte de material 3ª categoria</t>
  </si>
  <si>
    <t>2.1.4.1.2.8.2.5</t>
  </si>
  <si>
    <t xml:space="preserve">   Seg. 2.3-C08-Plataforma - Escavação, carga e transporte de material 3ª categoria </t>
  </si>
  <si>
    <t>2.3-C08ADMP</t>
  </si>
  <si>
    <t xml:space="preserve">   Seg. 2.3-C08 ADMP</t>
  </si>
  <si>
    <t>2.3.4.6.1.1.3</t>
  </si>
  <si>
    <t>Desvio GO-336</t>
  </si>
  <si>
    <t xml:space="preserve">   Perfuração / Desmonte de rocha / Limpeza (3ª categoria) - ETAPA 01</t>
  </si>
  <si>
    <t>2.3-Desvio GO-336</t>
  </si>
  <si>
    <t>2.3.4.6.1.1.5</t>
  </si>
  <si>
    <t xml:space="preserve">   Perfuração / Desmonte de rocha / Limpeza (3ª categoria) - ETAPA 02</t>
  </si>
  <si>
    <t>3.1.6.1.1.2.2</t>
  </si>
  <si>
    <t xml:space="preserve">   Escavação, carga e transporte de material 3ª categoria - Seg.2.4 C 05</t>
  </si>
  <si>
    <t>NOVO</t>
  </si>
  <si>
    <t xml:space="preserve">   Escavação, carga e transporte de material 3ª categoria - Aterro 01</t>
  </si>
  <si>
    <t>2.4-A01ADMP</t>
  </si>
  <si>
    <t xml:space="preserve">   Escavação, carga e transporte de material 3ª categoria - Seg.2.5 C 01</t>
  </si>
  <si>
    <t>2.1.4.2.1.1.1</t>
  </si>
  <si>
    <t>2.2-A01CA</t>
  </si>
  <si>
    <t xml:space="preserve">   Seg. 2.2-CA 01- Execução de aterro compactado - CA-01 (PN a 95%)</t>
  </si>
  <si>
    <t>2.1.4.2.1.1.2</t>
  </si>
  <si>
    <t>2.2-A01CF</t>
  </si>
  <si>
    <t xml:space="preserve">   Seg. 2.2-CA 01- Camada Final de Aterro - CF-A-01 (PN a 100%)</t>
  </si>
  <si>
    <t>2.1.4.2.1.2.1</t>
  </si>
  <si>
    <t>2.2-A02CA</t>
  </si>
  <si>
    <t xml:space="preserve">   Seg. 2.2-CA 02 - Execução de aterro compactado - CA-02 (PN a 95%)</t>
  </si>
  <si>
    <t>2.1.4.2.1.2.2</t>
  </si>
  <si>
    <t>2.2-A02CF</t>
  </si>
  <si>
    <t xml:space="preserve">   Seg. 2.2-CA 02 - Camada Final de Aterro - CF-A-02 (PN a 100%)</t>
  </si>
  <si>
    <t>2.1.4.2.1.4.1</t>
  </si>
  <si>
    <t>2.2-A04CA</t>
  </si>
  <si>
    <t xml:space="preserve">   Seg. 2.2-CA 04 - Execução de aterro compactado - CA-04 (PN a 95%)</t>
  </si>
  <si>
    <t>2.1.4.2.1.4.2</t>
  </si>
  <si>
    <t>2.2-A04CF</t>
  </si>
  <si>
    <t xml:space="preserve">   Seg. 2.2-CA 04 - Camada Final de Aterro - CF-A-04 (PN a 100%)</t>
  </si>
  <si>
    <t>2.1.4.2.1.5.1</t>
  </si>
  <si>
    <t>2.2-A05CA</t>
  </si>
  <si>
    <t xml:space="preserve">   Seg. 2.2-A05 - Execução de aterro compactado - CA-05 (PN a 95%)</t>
  </si>
  <si>
    <t>2.1.4.2.1.6.1</t>
  </si>
  <si>
    <t>2.2-A06CA</t>
  </si>
  <si>
    <t xml:space="preserve">   Seg. 2.2-CA 06 - Execução de aterro compactado - CA-06 (PN a 95%)</t>
  </si>
  <si>
    <t>2.1.4.2.1.6.2</t>
  </si>
  <si>
    <t>2.2-A06CF</t>
  </si>
  <si>
    <t xml:space="preserve">   Seg. 2.2-CA 06 - Camada Final de Aterro - CF-A-06 (PN a 100%)</t>
  </si>
  <si>
    <t>2.1.4.2.1.7.1</t>
  </si>
  <si>
    <t>2.2-A07CA</t>
  </si>
  <si>
    <t xml:space="preserve">   Seg. 2.2-CA 07 - Execução de aterro compactado - CA-07 (PN a 95%)</t>
  </si>
  <si>
    <t>2.1.4.2.1.7.2</t>
  </si>
  <si>
    <t>2.2-A07CF</t>
  </si>
  <si>
    <t xml:space="preserve">   Seg. 2.2-CA 07 - Camada Final de Aterro - CF-A-07 (PN a 100%)</t>
  </si>
  <si>
    <t>2.1.4.2.1.8.1</t>
  </si>
  <si>
    <t>2.2-A08CA</t>
  </si>
  <si>
    <t xml:space="preserve">   Seg. 2.2-CA 08 - Execução de aterro compactado - CA-08 (PN a 95%)</t>
  </si>
  <si>
    <t>2.1.4.2.1.8.2</t>
  </si>
  <si>
    <t xml:space="preserve">   Seg. 2.2-CA 08 - Camada Final de Aterro - CF-A-08 (PN a 100%)</t>
  </si>
  <si>
    <t>2.1.4.2.1.9.1</t>
  </si>
  <si>
    <t>2.2-A09CA</t>
  </si>
  <si>
    <t xml:space="preserve">   Seg. 2.2-CA 09 - Execução de aterro compactado - CA-09 (PN a 95%)</t>
  </si>
  <si>
    <t>2.1.4.2.1.9.2</t>
  </si>
  <si>
    <t>2.2-A09CF</t>
  </si>
  <si>
    <t xml:space="preserve">   Seg. 2.2-CA 09 - Camada Final de Aterro - CF-A-09 (PN a 100%)</t>
  </si>
  <si>
    <t>2.1.4.2.1.10.1</t>
  </si>
  <si>
    <t>2.2-A10CA</t>
  </si>
  <si>
    <t xml:space="preserve">   Seg. 2.2-CA 10 - Execução de aterro compactado - CA-10 (PN a 95%)</t>
  </si>
  <si>
    <t>2.1.4.2.1.10.2</t>
  </si>
  <si>
    <t>2.2-A10CF</t>
  </si>
  <si>
    <t xml:space="preserve">   Seg. 2.2-CA 10 - Camada Final de Aterro - CF-A-10 (PN a 100%)</t>
  </si>
  <si>
    <t>2.1.4.2.1.11.1</t>
  </si>
  <si>
    <t>2.2-A11CA</t>
  </si>
  <si>
    <t xml:space="preserve">   Seg. 2.2-CA 11 - Execução de aterro compactado - CA-11 (PN a 95%)</t>
  </si>
  <si>
    <t>2.1.4.2.1.11.2</t>
  </si>
  <si>
    <t>2.2-A11CF</t>
  </si>
  <si>
    <t xml:space="preserve">   Seg. 2.2-CA 11 - Camada Final de Aterro - CF-A-11 (PN a 100%)</t>
  </si>
  <si>
    <t>2.1.4.2.1.12.1</t>
  </si>
  <si>
    <t>2.2-A12CA</t>
  </si>
  <si>
    <t xml:space="preserve">   Seg. 2.2-CA 12 - Execução de aterro compactado - CA-12 (PN a 95%)</t>
  </si>
  <si>
    <t>2.1.4.2.1.12.2</t>
  </si>
  <si>
    <t>2.2-A12CF</t>
  </si>
  <si>
    <t xml:space="preserve">   Seg. 2.2-CA 12 - Camada Final de Aterro - CF-A-12 (PN a 100%)</t>
  </si>
  <si>
    <t>2.1.4.2.1.13.1</t>
  </si>
  <si>
    <t>2.2-A13CA</t>
  </si>
  <si>
    <t xml:space="preserve">   Seg. 2.2-CA 13 - Execução de aterro compactado - CA-13 (PN a 95%)</t>
  </si>
  <si>
    <t>2.1.4.2.1.13.2</t>
  </si>
  <si>
    <t>2.2-A13CF</t>
  </si>
  <si>
    <t xml:space="preserve">   Seg. 2.2-CA 13 - Camada Final de Aterro - CF-A-13 (PN a 100%)</t>
  </si>
  <si>
    <t>2.1.4.2.1.14.1</t>
  </si>
  <si>
    <t>2.2-A14CA</t>
  </si>
  <si>
    <t xml:space="preserve">   Seg. 2.2-CA 14 - Execução de aterro compactado - CA-14 (PN a 95%)</t>
  </si>
  <si>
    <t>2.1.4.2.1.14.2</t>
  </si>
  <si>
    <t>2.2-A14CF</t>
  </si>
  <si>
    <t xml:space="preserve">   Seg. 2.2-CA 14 - Camada Final de Aterro - CF-A-14 (PN a 100%)</t>
  </si>
  <si>
    <t>2.1.4.2.1.15.1</t>
  </si>
  <si>
    <t>2.2-A15CA</t>
  </si>
  <si>
    <t xml:space="preserve">   Seg. 2.2-CA 15 - Execução de aterro compactado - CA-15 (PN a 95%)</t>
  </si>
  <si>
    <t>2.1.4.2.1.15.2</t>
  </si>
  <si>
    <t>2.2-A15CF</t>
  </si>
  <si>
    <t xml:space="preserve">   Seg. 2.2-CA 15 - Camada Final de Aterro - CF-A-15 (PN a 100%)</t>
  </si>
  <si>
    <t>2.2.1.1.1.1.2</t>
  </si>
  <si>
    <t>2.2-AC. KM 106+190</t>
  </si>
  <si>
    <t xml:space="preserve">   Excecução de aterro compactado - Seg.2.2b acesso km 106+190</t>
  </si>
  <si>
    <t>2.2.1.1.1.2.2</t>
  </si>
  <si>
    <t>2.2-A06ATERRO DE ACESSO</t>
  </si>
  <si>
    <t xml:space="preserve">   Excecução de aterro compactado - Seg.2.2B acesso km 108+540</t>
  </si>
  <si>
    <t>2.2.1.1.1.3.2</t>
  </si>
  <si>
    <t>2.2-AC. KM 110+035</t>
  </si>
  <si>
    <t xml:space="preserve">   Excecução de aterro compactado - Seg.2.2B acesso km 110+035</t>
  </si>
  <si>
    <t>2.2.1.1.1.4.2</t>
  </si>
  <si>
    <t>2.2-AC. KM 114+460</t>
  </si>
  <si>
    <t xml:space="preserve">   Excecução de aterro compactado - Seg.2.2B acesso km114+460</t>
  </si>
  <si>
    <t>2.2.1.1.1.5.2</t>
  </si>
  <si>
    <t>2.2-AC. KM 114+740</t>
  </si>
  <si>
    <t xml:space="preserve">   Excecução de aterro compactado - Seg.2.2B acesso km114+740</t>
  </si>
  <si>
    <t>2.2.1.1.1.6.2</t>
  </si>
  <si>
    <t>2.2-AC. KM 115+606</t>
  </si>
  <si>
    <t xml:space="preserve">   Excecução de aterro compactado - Seg.2.2B acesso km 115+606</t>
  </si>
  <si>
    <t>2.1.4.2.1.16.1</t>
  </si>
  <si>
    <t>2.2-C02CF</t>
  </si>
  <si>
    <t xml:space="preserve">   Recomposição Camada Final de Aterro (PN a 100%) - Seg.2.2B C02</t>
  </si>
  <si>
    <t>2.1.4.2.1.17.1</t>
  </si>
  <si>
    <t>2.2-C03CF</t>
  </si>
  <si>
    <t xml:space="preserve">   Recomposição Camada Final de Aterro (PN a 100%) - Seg.2.2B C03</t>
  </si>
  <si>
    <t>2.1.4.2.1.18.1</t>
  </si>
  <si>
    <t>2.2-C04CF</t>
  </si>
  <si>
    <t xml:space="preserve">   Recomposição Camada Final de Aterro (PN a 100%) - Seg.2.2B C04 - 1° Trecho</t>
  </si>
  <si>
    <t>2.1.4.2.1.19.1</t>
  </si>
  <si>
    <t>2.2-C05CF</t>
  </si>
  <si>
    <t xml:space="preserve">   Recomposição Camada Final de Aterro (PN a 100%) - Seg.2.2B C05</t>
  </si>
  <si>
    <t>2.4.1.2.4.1</t>
  </si>
  <si>
    <t>2.2-C06CF</t>
  </si>
  <si>
    <t xml:space="preserve">   Recomposição Camada Final de Aterro (PN a 100%) - Seg.2.2B C06</t>
  </si>
  <si>
    <t>2.1.4.2.1.20.1</t>
  </si>
  <si>
    <t>2.2-C07CF</t>
  </si>
  <si>
    <t xml:space="preserve">   Recomposição Camada Final de Aterro (PN a 100%) - Seg.2.2B C07</t>
  </si>
  <si>
    <t>2.1.4.2.1.21.1</t>
  </si>
  <si>
    <t>2.2-C08CF</t>
  </si>
  <si>
    <t xml:space="preserve">   Recomposição Camada Final de Aterro (PN a 100%) - Seg.2.2B C08</t>
  </si>
  <si>
    <t>2.1.4.2.1.22.1</t>
  </si>
  <si>
    <t>2.2-C09CF</t>
  </si>
  <si>
    <t xml:space="preserve">   Recomposição Camada Final de Aterro (PN a 100%) - Seg.2.2B C09</t>
  </si>
  <si>
    <t>2.4.1.2.4.3</t>
  </si>
  <si>
    <t>2.1.4.2.1.23.1</t>
  </si>
  <si>
    <t>2.2-C10CF</t>
  </si>
  <si>
    <t xml:space="preserve">   Recomposição Camada Final de Aterro (PN a 100%) - Seg.2.2B C10</t>
  </si>
  <si>
    <t>2.1.4.2.1.24.1</t>
  </si>
  <si>
    <t>2.2-C11CF</t>
  </si>
  <si>
    <t xml:space="preserve">   Recomposição Camada Final de Aterro (PN a 100%) - Seg.2.2B C11</t>
  </si>
  <si>
    <t>2.1.4.2.1.25.1</t>
  </si>
  <si>
    <t>2.2-C12CF</t>
  </si>
  <si>
    <t xml:space="preserve">   Recomposição Camada Final de Aterro (PN a 100%) - Seg.2.2B C12</t>
  </si>
  <si>
    <t>2.1.4.2.1.26.1</t>
  </si>
  <si>
    <t>2.2-C13CF</t>
  </si>
  <si>
    <t xml:space="preserve">   Recomposição Camada Final de Aterro (PN a 100%) - Seg.2.2B C13</t>
  </si>
  <si>
    <t>2.4.1.2.4.2</t>
  </si>
  <si>
    <t>2.2-C14CF</t>
  </si>
  <si>
    <t xml:space="preserve">   Recomposição Camada Final de Aterro (PN a 100%) - Seg.2.2B C14</t>
  </si>
  <si>
    <t>2.1.4.2.1.27.1</t>
  </si>
  <si>
    <t>2.2-C15CF</t>
  </si>
  <si>
    <t xml:space="preserve">   Recomposição Camada Final de Aterro (PN a 100%) - Seg.2.2B C15</t>
  </si>
  <si>
    <t>2.4.1.2.2.1</t>
  </si>
  <si>
    <t>2.2-Recomposição GO-156</t>
  </si>
  <si>
    <t xml:space="preserve">   Execução de aterro compactado - GO-156 KM 106+985,23</t>
  </si>
  <si>
    <t>2.4.1.2.3.1</t>
  </si>
  <si>
    <t>2.2-CNP</t>
  </si>
  <si>
    <t xml:space="preserve">   Tratamento 1ª camada pós CNP - Seg. 2.2B</t>
  </si>
  <si>
    <t>2.1.4.2.1.3.1</t>
  </si>
  <si>
    <t>2.2-A03</t>
  </si>
  <si>
    <t xml:space="preserve">   Seg. 2.2-CA 03 - Camada Final de Aterro - CF-A-03 (PN a 100%)</t>
  </si>
  <si>
    <t>2.1.4.2.1.5.2</t>
  </si>
  <si>
    <t>2.2-A05</t>
  </si>
  <si>
    <t xml:space="preserve">   Seg. 2.2-A05 - Camada Final de Aterro - CF-A-05 (PN a 100%)</t>
  </si>
  <si>
    <t>2.4.1.2.3.4</t>
  </si>
  <si>
    <t>Aterro 3ª</t>
  </si>
  <si>
    <t xml:space="preserve">   Aterro 3ª categoria</t>
  </si>
  <si>
    <t>2.2-C04CA</t>
  </si>
  <si>
    <t>Aterro lateral PI GO-156/Troca de solo</t>
  </si>
  <si>
    <t>2.2-C04ATERRO DE ACESSO</t>
  </si>
  <si>
    <t>Sub-base GO-156</t>
  </si>
  <si>
    <t>2.2-A12ATERRO DE ACESSO</t>
  </si>
  <si>
    <t>Aterro de acesso - km 112</t>
  </si>
  <si>
    <t>2.2-C13ATERRO DE ACESSO</t>
  </si>
  <si>
    <t>Seg. 2.2-CA 13 - Execução de aterro compactado - (PN a 95%) Acesso comunidade 110+660 a 110+920</t>
  </si>
  <si>
    <t>2.2-C05CA</t>
  </si>
  <si>
    <t>Corte 05 - Corpo de aterro</t>
  </si>
  <si>
    <t>2.2-C13CA</t>
  </si>
  <si>
    <t>Corte 13 - Corpo de aterro</t>
  </si>
  <si>
    <t>2.2.1.1.2.1.2</t>
  </si>
  <si>
    <t xml:space="preserve">   Excecução de aterro compactado - Seg.2.3 acesso km 118+158</t>
  </si>
  <si>
    <t>2.2.1.1.2.2.2</t>
  </si>
  <si>
    <t xml:space="preserve">   Excecução de aterro compactado - Seg.2.3 acesso km 120+026</t>
  </si>
  <si>
    <t>2.2.1.1.2.5.2</t>
  </si>
  <si>
    <t>2.3-AC.126+595</t>
  </si>
  <si>
    <t xml:space="preserve">   Excecução de aterro compactado - Seg.2.3 acesso km 126+595</t>
  </si>
  <si>
    <t>2.2.1.1.2.7.2</t>
  </si>
  <si>
    <t xml:space="preserve">   Excecução de aterro compactado - Seg.2.3 acesso km 129+151</t>
  </si>
  <si>
    <t>2.1.4.2.2.1.1</t>
  </si>
  <si>
    <t>2.3-A01CA</t>
  </si>
  <si>
    <t xml:space="preserve">   Seg. 2.3-CA 01- Execução de aterro compactado - CA-01 (PN a 95%)</t>
  </si>
  <si>
    <t>2.1.4.2.2.3.1</t>
  </si>
  <si>
    <t>2.3-A03CA</t>
  </si>
  <si>
    <t xml:space="preserve">   Seg. 2.3-CA 03- Execução de aterro compactado - CA-03 (PN a 95%)</t>
  </si>
  <si>
    <t>2.1.4.2.2.4.1</t>
  </si>
  <si>
    <t>2.3-A04CA</t>
  </si>
  <si>
    <t xml:space="preserve">   Seg. 2.3-CA 04- Execução de aterro compactado - CA-04 (PN a 95%)</t>
  </si>
  <si>
    <t>2.1.4.2.2.5.1</t>
  </si>
  <si>
    <t>2.3-A05CA</t>
  </si>
  <si>
    <t xml:space="preserve">   Seg. 2.3- CA 05- Execução de aterro compactado - CA-05 (PN a 95%)</t>
  </si>
  <si>
    <t>2.1.4.2.2.6.2</t>
  </si>
  <si>
    <t>2.3-A06CA</t>
  </si>
  <si>
    <t xml:space="preserve">   Seg. 2.3- CA 06- Execução de aterro compactado - CA-06 (PN a 95%)</t>
  </si>
  <si>
    <t>2.1.4.2.2.7.1</t>
  </si>
  <si>
    <t>2.3-A07CA</t>
  </si>
  <si>
    <t xml:space="preserve">   Seg. 2.3- CA 07- Execução de aterro compactado - CA-07 (PN a 95%)</t>
  </si>
  <si>
    <t>2.1.4.2.2.2.1</t>
  </si>
  <si>
    <t>2.3-A02CA</t>
  </si>
  <si>
    <t xml:space="preserve">   Seg. 2.3-CA 02- Execução de aterro compactado - CA-02 (PN a 95%)</t>
  </si>
  <si>
    <t>2.1.4.2.2.12.2</t>
  </si>
  <si>
    <t>2.3-A12CA</t>
  </si>
  <si>
    <t xml:space="preserve">   Seg. 2.3-CA 12- Execução de aterro compactado - CA-12 (PN a 95%)</t>
  </si>
  <si>
    <t>2.1.4.2.2.13.1</t>
  </si>
  <si>
    <t>2.3-A13CA</t>
  </si>
  <si>
    <t xml:space="preserve">   Seg. 2.3-CA 13- Execução de aterro compactado - CA-13 (PN a 95%)</t>
  </si>
  <si>
    <t>2.1.4.2.2.14.2</t>
  </si>
  <si>
    <t>2.3-A14CA</t>
  </si>
  <si>
    <t xml:space="preserve">   Seg. 2.3-CA 14- Execução de aterro compactado - CA-14 (PN a 95%)</t>
  </si>
  <si>
    <t>2.1.4.2.2.15.2</t>
  </si>
  <si>
    <t>2.3-A15CA</t>
  </si>
  <si>
    <t xml:space="preserve">   Seg. 2.3-CA 15- Execução de aterro compactado - CA-15 (PN a 95%)</t>
  </si>
  <si>
    <t>2.1.4.2.2.16.2</t>
  </si>
  <si>
    <t>2.3-A16CA</t>
  </si>
  <si>
    <t xml:space="preserve">   Seg. 2.3-CA 16- Execução de aterro compactado - CA-16 (PN a 95%)</t>
  </si>
  <si>
    <t>2.1.4.2.2.17.1</t>
  </si>
  <si>
    <t>2.3-A17CA</t>
  </si>
  <si>
    <t xml:space="preserve">   Seg. 2.3-CA 17- Execução de aterro compactado - CA-17 (PN a 95%)</t>
  </si>
  <si>
    <t>2.1.4.2.2.8.1</t>
  </si>
  <si>
    <t>2.3-A08CA</t>
  </si>
  <si>
    <t xml:space="preserve">   Seg. 2.3- CA 08- Execução de aterro compactado - CA-08 (PN a 95%)</t>
  </si>
  <si>
    <t>2.1.4.2.2.9.1</t>
  </si>
  <si>
    <t>2.3-A09CA</t>
  </si>
  <si>
    <t xml:space="preserve">   Seg. 2.3- CA 09- Execução de aterro compactado - CA-09 (PN a 95%)</t>
  </si>
  <si>
    <t>2.1.4.2.2.10.1</t>
  </si>
  <si>
    <t>2.3-A10CA</t>
  </si>
  <si>
    <t xml:space="preserve">   Seg. 2.3- CA 10- Execução de aterro compactado - CA-10 (PN a 95%)</t>
  </si>
  <si>
    <t>2.1.4.2.2.11.1</t>
  </si>
  <si>
    <t>2.3-A11CA</t>
  </si>
  <si>
    <t xml:space="preserve">   Seg. 2.3- CA 11- Execução de aterro compactado - CA-11 (PN a 95%)</t>
  </si>
  <si>
    <t>2.4.1.2.1.2</t>
  </si>
  <si>
    <t>2.3-CANAL KM 125</t>
  </si>
  <si>
    <t xml:space="preserve">   Execução de aterro compactado - Seg. 2.3 CANAL-KM 125</t>
  </si>
  <si>
    <t>2.4.1.2.1.1</t>
  </si>
  <si>
    <t>2.2-CANAL KM 122</t>
  </si>
  <si>
    <t xml:space="preserve">   Execução de aterro compactado - Seg. 2.3 CANAL-KM 122</t>
  </si>
  <si>
    <t>2.4.1.2.2.2</t>
  </si>
  <si>
    <t>2.3-GO-336</t>
  </si>
  <si>
    <t xml:space="preserve">   Execução de aterro compactado - GO-336 KM 123+340</t>
  </si>
  <si>
    <t>2.1.4.2.2.30.1</t>
  </si>
  <si>
    <t>2.3-C14CF</t>
  </si>
  <si>
    <t xml:space="preserve">   Recomposição Camada Final de Aterro (PN a 100%) - Seg.2.3 C14</t>
  </si>
  <si>
    <t>2.1.4.2.2.22.1</t>
  </si>
  <si>
    <t>2.3-C05CF</t>
  </si>
  <si>
    <t xml:space="preserve">   Recomposição Camada Final de Aterro (PN a 100%) - Seg.2.3 C05</t>
  </si>
  <si>
    <t>2.1.4.2.2.23.1</t>
  </si>
  <si>
    <t>2.3-C06CF</t>
  </si>
  <si>
    <t xml:space="preserve">   Recomposição Camada Final de Aterro (PN a 100%) - Seg.2.3 C06</t>
  </si>
  <si>
    <t>2.1.4.2.2.24.1</t>
  </si>
  <si>
    <t>2.3-C07CF</t>
  </si>
  <si>
    <t xml:space="preserve">   Recomposição Camada Final de Aterro (PN a 100%) - Seg.2.3 C07</t>
  </si>
  <si>
    <t>2.1.4.2.2.25.1</t>
  </si>
  <si>
    <t>2.3-C08CF</t>
  </si>
  <si>
    <t xml:space="preserve">   Recomposição Camada Final de Aterro (PN a 100%) - Seg.2.3 C08</t>
  </si>
  <si>
    <t>2.1.4.2.2.26.1</t>
  </si>
  <si>
    <t>2.3-C10CF</t>
  </si>
  <si>
    <t xml:space="preserve">   Recomposição Camada Final de Aterro (PN a 100%) - Seg.2.3 C10</t>
  </si>
  <si>
    <t>2.1.4.2.2.27.1</t>
  </si>
  <si>
    <t>2.3-C11CF</t>
  </si>
  <si>
    <t xml:space="preserve">   Recomposição Camada Final de Aterro (PN a 100%) - Seg.2.3 C11</t>
  </si>
  <si>
    <t>2.1.4.2.2.28.1</t>
  </si>
  <si>
    <t>2.3-C12CF</t>
  </si>
  <si>
    <t xml:space="preserve">   Recomposição Camada Final de Aterro (PN a 100%) - Seg.2.3 C12</t>
  </si>
  <si>
    <t>2.1.4.2.2.29.1</t>
  </si>
  <si>
    <t>2.3-C13CF</t>
  </si>
  <si>
    <t xml:space="preserve">   Recomposição Camada Final de Aterro (PN a 100%) - Seg.2.3 C13</t>
  </si>
  <si>
    <t>2.1.4.2.2.1.2</t>
  </si>
  <si>
    <t>2.3-A01CF</t>
  </si>
  <si>
    <t xml:space="preserve">   Seg. 2.3-CA 01- Camada Final de Aterro - CF-A-01 (PN a 100%)</t>
  </si>
  <si>
    <t>2.1.4.2.2.2.2</t>
  </si>
  <si>
    <t>2.3-A02CF</t>
  </si>
  <si>
    <t xml:space="preserve">   Seg. 2.3-CA 02- Camada Final de Aterro - CF-A-02 (PN a 100%)</t>
  </si>
  <si>
    <t>2.1.4.2.2.3.2</t>
  </si>
  <si>
    <t>2.3-A03CF</t>
  </si>
  <si>
    <t xml:space="preserve">   Seg. 2.3-CA 03- Camada Final de Aterro - CF-A-03 (PN a 100%)</t>
  </si>
  <si>
    <t>2.1.4.2.2.4.2</t>
  </si>
  <si>
    <t>2.3-A04CF</t>
  </si>
  <si>
    <t xml:space="preserve">   Seg. 2.3-CA 04- Camada Final de Aterro - CF-A-04 (PN a 100%)</t>
  </si>
  <si>
    <t>2.1.4.2.2.5.2</t>
  </si>
  <si>
    <t>2.3-A05CF</t>
  </si>
  <si>
    <t xml:space="preserve">   Seg. 2.3- CA 05- Camada Final de Aterro - CF-A-05 (PN a 100%)</t>
  </si>
  <si>
    <t>2.1.4.2.2.6.3</t>
  </si>
  <si>
    <t>2.3-A06CF</t>
  </si>
  <si>
    <t xml:space="preserve">   Seg. 2.3- CA 06- Camada Final de Aterro - CF-A-06 (PN a 100%)</t>
  </si>
  <si>
    <t>2.1.4.2.2.7.2</t>
  </si>
  <si>
    <t>2.3-A07CF</t>
  </si>
  <si>
    <t xml:space="preserve">   Seg. 2.3- CA 07- Camada Final de Aterro - CF-A-07 (PN a 100%)</t>
  </si>
  <si>
    <t>2.1.4.2.2.9.2</t>
  </si>
  <si>
    <t>2.3-A09CF</t>
  </si>
  <si>
    <t xml:space="preserve">   Seg. 2.3- CA 09- Camada Final de Aterro - CF-A-09 (PN a 100%)</t>
  </si>
  <si>
    <t>2.3-A09</t>
  </si>
  <si>
    <t>2.1.4.2.2.10.2</t>
  </si>
  <si>
    <t>2.3-A10CF</t>
  </si>
  <si>
    <t xml:space="preserve">   Seg. 2.3-CA 10- Camada Final de Aterro - CF-A-10 (PN a 100%)</t>
  </si>
  <si>
    <t>2.1.4.2.2.8.2</t>
  </si>
  <si>
    <t>2.3-A08CF</t>
  </si>
  <si>
    <t xml:space="preserve">   Seg. 2.3- CA 08- Camada Final de Aterro - CF-A-08 (PN a 100%)</t>
  </si>
  <si>
    <t>2.1.4.2.2.11.2</t>
  </si>
  <si>
    <t>2.3-A11CF</t>
  </si>
  <si>
    <t xml:space="preserve">   Seg. 2.3-CA 11- Camada Final de Aterro - CF-A-11 (PN a 100%)</t>
  </si>
  <si>
    <t>2.1.4.2.2.12.3</t>
  </si>
  <si>
    <t>2.3-A12CF</t>
  </si>
  <si>
    <t xml:space="preserve">   Seg. 2.3-CA 12- Camada Final de Aterro - CF-A-12 (PN a 100%)</t>
  </si>
  <si>
    <t>2.1.4.2.2.13.2</t>
  </si>
  <si>
    <t>2.3-A13CF</t>
  </si>
  <si>
    <t xml:space="preserve">   Seg. 2.3-CA 13- Camada Final de Aterro - CF-A-13 (PN a 100%)</t>
  </si>
  <si>
    <t>2.1.4.2.2.14.3</t>
  </si>
  <si>
    <t>2.3-A14CF</t>
  </si>
  <si>
    <t xml:space="preserve">   Seg. 2.3-CA 14- Camada Final de Aterro - CF-A-14 (PN a 100%)</t>
  </si>
  <si>
    <t>2.1.4.2.2.15.3</t>
  </si>
  <si>
    <t>2.3-A15CF</t>
  </si>
  <si>
    <t xml:space="preserve">   Seg. 2.3-CA 15- Camada Final de Aterro - CF-A-15 (PN a 100%)</t>
  </si>
  <si>
    <t>2.1.4.2.2.16.3</t>
  </si>
  <si>
    <t>2.3-A16CF</t>
  </si>
  <si>
    <t xml:space="preserve">   Seg. 2.3-CA 16- Camada Final de Aterro - CF-A-16 (PN a 100%)</t>
  </si>
  <si>
    <t>2.1.4.2.2.17.2</t>
  </si>
  <si>
    <t>2.3-A17CF</t>
  </si>
  <si>
    <t xml:space="preserve">   Seg. 2.3-CA 17- Camada Final de Aterro - CF-A-17 (PN a 100%)</t>
  </si>
  <si>
    <t>2.1.4.2.2.18.1</t>
  </si>
  <si>
    <t>2.3-C01CF</t>
  </si>
  <si>
    <t xml:space="preserve">   Recomposição Camada Final de Aterro (PN a 100%) - Seg.2.3 C01</t>
  </si>
  <si>
    <t>2.1.4.2.2.19.1</t>
  </si>
  <si>
    <t>2.3-C02CF</t>
  </si>
  <si>
    <t xml:space="preserve">   Recomposição Camada Final de Aterro (PN a 100%) - Seg.2.3 C02</t>
  </si>
  <si>
    <t>2.1.4.2.2.20.1</t>
  </si>
  <si>
    <t>2.3-C03CF</t>
  </si>
  <si>
    <t xml:space="preserve">   Recomposição Camada Final de Aterro (PN a 100%) - Seg.2.3 C03</t>
  </si>
  <si>
    <t>2.1.4.2.2.21.1</t>
  </si>
  <si>
    <t>2.3-C04CF</t>
  </si>
  <si>
    <t xml:space="preserve">   Recomposição Camada Final de Aterro (PN a 100%) - Seg.2.3 C04</t>
  </si>
  <si>
    <t>2.4.1.2.3.3</t>
  </si>
  <si>
    <t>AterroErodido</t>
  </si>
  <si>
    <t xml:space="preserve">   Aterro Erodidos - Saldo remanescente</t>
  </si>
  <si>
    <t>2.4.1.2.3.2</t>
  </si>
  <si>
    <t>2.3-CNP</t>
  </si>
  <si>
    <t xml:space="preserve">   Tratamento 1ª camada pós CNP - Seg. 2.3</t>
  </si>
  <si>
    <t>2.3-C04CA</t>
  </si>
  <si>
    <t>Corpo de aterro - Corte 04</t>
  </si>
  <si>
    <t>AT.ESCALONADO</t>
  </si>
  <si>
    <t xml:space="preserve">   Aterro escalonado - Pacotes 04 e 05</t>
  </si>
  <si>
    <t>3.2.1.1.1.1.2</t>
  </si>
  <si>
    <t>2.4-AC. KM 132</t>
  </si>
  <si>
    <t xml:space="preserve">   Execução de aterro compactado - Seg.2.4 acesso km 132+000</t>
  </si>
  <si>
    <t>3.2.1.1.1.2.2</t>
  </si>
  <si>
    <t>2.4-AC. KM 137+500</t>
  </si>
  <si>
    <t xml:space="preserve">   Execução de aterro compactado - Seg.2.4 acesso km 137+500</t>
  </si>
  <si>
    <t>3.1.6.2.1.2.1</t>
  </si>
  <si>
    <t>2.4-A02CA</t>
  </si>
  <si>
    <t xml:space="preserve">   Execução de aterro compactado (PN a 95%) - Seg.2.4 CA 02</t>
  </si>
  <si>
    <t>3.1.6.2.1.3.2</t>
  </si>
  <si>
    <t>2.4-A03CA</t>
  </si>
  <si>
    <t xml:space="preserve">   Execução de aterro compactado (PN a 95%) - Seg.2.4 CA 03</t>
  </si>
  <si>
    <t>3.1.6.2.1.4.2</t>
  </si>
  <si>
    <t>2.4-A04CA</t>
  </si>
  <si>
    <t xml:space="preserve">   Execução de aterro compactado (PN a 95%) - Seg.2.4 CA 04</t>
  </si>
  <si>
    <t>3.1.6.2.1.5.1</t>
  </si>
  <si>
    <t>2.4-C04CA</t>
  </si>
  <si>
    <t>2.4-A05CA</t>
  </si>
  <si>
    <t xml:space="preserve">   Execução de aterro compactado (PN a 95%) - Seg.2.4 CA 05</t>
  </si>
  <si>
    <t>3.1.6.2.1.6.1</t>
  </si>
  <si>
    <t>2.4-A06CA</t>
  </si>
  <si>
    <t xml:space="preserve">   Execução de aterro compactado (PN a 95%) - Seg.2.4 CA 06</t>
  </si>
  <si>
    <t>3.1.6.2.1.1.5</t>
  </si>
  <si>
    <t>2.4-A01CA</t>
  </si>
  <si>
    <t xml:space="preserve">   Execução de aterro compactado (PN a 95%) - Seg.2.4 CA 01 - A/B</t>
  </si>
  <si>
    <t>2.4-A01CF</t>
  </si>
  <si>
    <t xml:space="preserve">   Camada Final de Aterro (PN a 100%) - Seg.2.4 CA 01</t>
  </si>
  <si>
    <t>3.1.6.2.1.2.2</t>
  </si>
  <si>
    <t>2.4-A02CF</t>
  </si>
  <si>
    <t xml:space="preserve">   Camada Final de Aterro (PN a 100%) - Seg.2.4 CA 02</t>
  </si>
  <si>
    <t>3.1.6.2.1.3.3</t>
  </si>
  <si>
    <t>2.4-A03CF</t>
  </si>
  <si>
    <t xml:space="preserve">   Camada Final de Aterro (PN a 100%) - Seg.2.4 CA 03</t>
  </si>
  <si>
    <t>3.1.6.2.1.4.3</t>
  </si>
  <si>
    <t>2.4-A04CF</t>
  </si>
  <si>
    <t xml:space="preserve">   Camada Final de Aterro (PN a 100%) - Seg.2.4 CA 04</t>
  </si>
  <si>
    <t>3.1.6.2.1.5.2</t>
  </si>
  <si>
    <t>2.4-A05CF</t>
  </si>
  <si>
    <t xml:space="preserve">   Camada Final de Aterro (PN a 100%) - Seg.2.4 CA 05</t>
  </si>
  <si>
    <t>3.1.6.2.1.6.2</t>
  </si>
  <si>
    <t>2.4-A06CF</t>
  </si>
  <si>
    <t xml:space="preserve">   Camada Final de Aterro (PN a 100%) - Seg.2.4 CA 06</t>
  </si>
  <si>
    <t>3.4.1.1.1.4.4</t>
  </si>
  <si>
    <t>PÓS-CCA</t>
  </si>
  <si>
    <t xml:space="preserve">   Tratamento 1ª Camada Pós CCA - Pacotes 04 e 05</t>
  </si>
  <si>
    <t>3.4.1.1.1.4.6</t>
  </si>
  <si>
    <t>CF REFORÇO</t>
  </si>
  <si>
    <t xml:space="preserve">   Camada Final de Aterro (PN a 100%) - Reforço de cortes - Pacotes 04 e 05</t>
  </si>
  <si>
    <t>2.4-C05CA</t>
  </si>
  <si>
    <t>2.4-C04CF</t>
  </si>
  <si>
    <t xml:space="preserve">   Camada Final de Aterro (PN a 100%) - Corte 04</t>
  </si>
  <si>
    <t xml:space="preserve">   Camada Final de Aterro (PN a 100%) - Corte 05</t>
  </si>
  <si>
    <t>3.4.1.1.1.4.1</t>
  </si>
  <si>
    <t xml:space="preserve">   Saldo remanescente seg.2.4 - Execução de aterro compactado (PN a 95%) - Corpo de aterro</t>
  </si>
  <si>
    <t>Troca de solo - Aterro 01</t>
  </si>
  <si>
    <t>2.4-A01ATERRO DE ACESSO</t>
  </si>
  <si>
    <t>2.5-C02CA</t>
  </si>
  <si>
    <t>Corpo de aterro - Corte 02</t>
  </si>
  <si>
    <t>2.4-C08CA</t>
  </si>
  <si>
    <t>Corpo de aterro - Corte 08</t>
  </si>
  <si>
    <t>2.4-C06CA</t>
  </si>
  <si>
    <t>Corpo de aterro - Corte 06</t>
  </si>
  <si>
    <t>3.1.6.2.2.1.1</t>
  </si>
  <si>
    <t>2.5-A01CA</t>
  </si>
  <si>
    <t xml:space="preserve">   Execução de aterro compactado (PN a 95%) - Seg.2.5 CA 01</t>
  </si>
  <si>
    <t>3.1.6.2.2.2.4</t>
  </si>
  <si>
    <t>2.5-A03CA</t>
  </si>
  <si>
    <t xml:space="preserve">   Execução de aterro compactado (PN a 95%) - Seg.2.5 CA 03</t>
  </si>
  <si>
    <t>3.1.6.2.2.3.3</t>
  </si>
  <si>
    <t>2.5-A04CA</t>
  </si>
  <si>
    <t xml:space="preserve">   Execução de aterro compactado (PN a 95%) - Seg.2.5 CA 04</t>
  </si>
  <si>
    <t>3.1.6.2.2.4.2</t>
  </si>
  <si>
    <t>2.5-A05CA</t>
  </si>
  <si>
    <t xml:space="preserve">   Execução de aterro compactado (PN a 95%) - Seg.2.5 CA 05</t>
  </si>
  <si>
    <t>3.1.6.2.2.5.2</t>
  </si>
  <si>
    <t>2.5-A06CA</t>
  </si>
  <si>
    <t xml:space="preserve">   Execução de aterro compactado (PN a 95%) - Seg.2.5 CA 06</t>
  </si>
  <si>
    <t>3.1.6.2.2.6.2</t>
  </si>
  <si>
    <t>2.5-A07CA</t>
  </si>
  <si>
    <t xml:space="preserve">   Execução de aterro compactado (PN a 95%) - Seg.2.5 CA 07</t>
  </si>
  <si>
    <t>3.1.6.2.2.7.1</t>
  </si>
  <si>
    <t>2.5-A08CA</t>
  </si>
  <si>
    <t xml:space="preserve">   Execução de aterro compactado (PN a 95%) - Seg.2.5 CA 08</t>
  </si>
  <si>
    <t>3.1.6.2.2.8.3</t>
  </si>
  <si>
    <t>2.5-A09CA</t>
  </si>
  <si>
    <t xml:space="preserve">   Execução de aterro compactado (PN a 95%) - Seg.2.5 CA 09</t>
  </si>
  <si>
    <t>3.1.6.2.2.9.2</t>
  </si>
  <si>
    <t>2.5-A10CA</t>
  </si>
  <si>
    <t xml:space="preserve">   Execução de aterro compactado (PN a 95%) - Seg.2.5 CA 10</t>
  </si>
  <si>
    <t>3.1.6.2.2.10.4</t>
  </si>
  <si>
    <t>2.5-A11CA</t>
  </si>
  <si>
    <t xml:space="preserve">   Execução de aterro compactado (PN a 95%) - Seg.2.5 CA 11</t>
  </si>
  <si>
    <t>3.1.6.2.2.12.2</t>
  </si>
  <si>
    <t>2.5-A13CA</t>
  </si>
  <si>
    <t xml:space="preserve">   Execução de aterro compactado (PN a 95%) - Seg.2.5 CA 13</t>
  </si>
  <si>
    <t>3.2.1.1.2.1.3</t>
  </si>
  <si>
    <t>2.5-AC. KM 139+200</t>
  </si>
  <si>
    <t xml:space="preserve">   Execução de aterro compactado - Seg.2.5 acesso km 139+200</t>
  </si>
  <si>
    <t>3.2.1.1.2.2.2</t>
  </si>
  <si>
    <t>2.5-AC. KM 141+800</t>
  </si>
  <si>
    <t xml:space="preserve">   Execução de aterro compactado - Seg.2.5 acesso km 141+800</t>
  </si>
  <si>
    <t>3.2.1.1.2.3.2</t>
  </si>
  <si>
    <t>2.5-AC. KM 141+540</t>
  </si>
  <si>
    <t xml:space="preserve">   Execução de aterro compactado - Seg.2.5 acesso km 144+540</t>
  </si>
  <si>
    <t>3.2.1.1.2.4.2</t>
  </si>
  <si>
    <t>2.5-AC. KM 147+200</t>
  </si>
  <si>
    <t xml:space="preserve">   Execução de aterro compactado - Seg.2.5 acesso km 147+200</t>
  </si>
  <si>
    <t>3.2.1.1.2.5.2</t>
  </si>
  <si>
    <t>2.5-AC. KM 149+600</t>
  </si>
  <si>
    <t xml:space="preserve">   Execução de aterro compactado - Seg.2.5 acesso km 149+600</t>
  </si>
  <si>
    <t>3.2.1.1.2.6.2</t>
  </si>
  <si>
    <t>2.5-AC.KM 151+700</t>
  </si>
  <si>
    <t xml:space="preserve">   Execução de aterro compactado - Seg.2.5 acesso km 151+700</t>
  </si>
  <si>
    <t>3.1.6.2.2.11.1</t>
  </si>
  <si>
    <t>2.5-A12CA</t>
  </si>
  <si>
    <t xml:space="preserve">   Execução de aterro compactado (PN a 95%) - Seg.2.5 CA 12</t>
  </si>
  <si>
    <t>3.1.6.2.2.1.2</t>
  </si>
  <si>
    <t>2.5-A01CF</t>
  </si>
  <si>
    <t xml:space="preserve">   Camada Final de Aterro (PN a 100%) - Seg.2.5 CA 01</t>
  </si>
  <si>
    <t>3.1.6.2.2.4.3</t>
  </si>
  <si>
    <t>2.5-A05CF</t>
  </si>
  <si>
    <t xml:space="preserve">   Camada Final de Aterro (PN a 100%) - Seg.2.5 CA 05</t>
  </si>
  <si>
    <t>3.1.6.2.2.5.3</t>
  </si>
  <si>
    <t>2.5-A06CF</t>
  </si>
  <si>
    <t xml:space="preserve">   Camada Final de Aterro (PN a 100%) - Seg.2.5 CA 06</t>
  </si>
  <si>
    <t>3.1.6.2.2.6.3</t>
  </si>
  <si>
    <t>2.5-A07CF</t>
  </si>
  <si>
    <t xml:space="preserve">   Camada Final de Aterro (PN a 100%) - Seg.2.5 CA 07</t>
  </si>
  <si>
    <t>3.1.6.2.2.7.2</t>
  </si>
  <si>
    <t>2.5-A08CF</t>
  </si>
  <si>
    <t xml:space="preserve">   Camada Final de Aterro (PN a 100%) - Seg.2.5 CA 08</t>
  </si>
  <si>
    <t>3.1.6.2.2.8.4</t>
  </si>
  <si>
    <t>2.5-A09CF</t>
  </si>
  <si>
    <t xml:space="preserve">   Camada Final de Aterro (PN a 100%) - Seg.2.5 CA 09</t>
  </si>
  <si>
    <t>3.1.6.2.2.9.3</t>
  </si>
  <si>
    <t>2.5-A10CF</t>
  </si>
  <si>
    <t xml:space="preserve">   Camada Final de Aterro (PN a 100%) - Seg.2.5 CA 10</t>
  </si>
  <si>
    <t>3.1.6.2.2.11.2</t>
  </si>
  <si>
    <t>2.5-A12CF</t>
  </si>
  <si>
    <t xml:space="preserve">   Camada Final de Aterro (PN a 100%) - Seg.2.5 CA 12</t>
  </si>
  <si>
    <t>3.1.6.2.2.12.3</t>
  </si>
  <si>
    <t>2.5-A13CF</t>
  </si>
  <si>
    <t xml:space="preserve">   Camada Final de Aterro (PN a 100%) - Seg.2.5 CA 13</t>
  </si>
  <si>
    <t>3.1.6.2.2.2.5</t>
  </si>
  <si>
    <t>2.5-A03CF</t>
  </si>
  <si>
    <t xml:space="preserve">   Camada Final de Aterro (PN a 100%) - Seg.2.5 CA 03</t>
  </si>
  <si>
    <t>3.1.6.2.2.3.5</t>
  </si>
  <si>
    <t>2.5-A04CF</t>
  </si>
  <si>
    <t xml:space="preserve">   Camada Final de Aterro (PN a 100%) - Seg.2.5 CA 04</t>
  </si>
  <si>
    <t>3.1.6.2.2.10.5</t>
  </si>
  <si>
    <t xml:space="preserve">   Camada Final de Aterro (PN a 100%) - Seg.2.5 CA 11</t>
  </si>
  <si>
    <t>3.4.1.1.1.4.2</t>
  </si>
  <si>
    <t xml:space="preserve">   Saldo remanescente seg.2.5 - Execução de aterro compactado (PN a 95%) - Corpo de aterro</t>
  </si>
  <si>
    <t>2.5-C01CA</t>
  </si>
  <si>
    <t xml:space="preserve">   Execução de aterro compactado (PN a 95%) - Seg.2.5 C 01</t>
  </si>
  <si>
    <t>2.5-C09CA</t>
  </si>
  <si>
    <t xml:space="preserve">   Execução de aterro compactado (PN a 95%) - Seg.2.5 C 09</t>
  </si>
  <si>
    <t>2.5-C12CA</t>
  </si>
  <si>
    <t xml:space="preserve">   Execução de aterro compactado (PN a 95%) - Seg.2.5 C 10</t>
  </si>
  <si>
    <t>2.5-C10CA</t>
  </si>
  <si>
    <t>2.5-A13ATERRO DE ACESSO</t>
  </si>
  <si>
    <t>ACESSO 0+260 A 0+320</t>
  </si>
  <si>
    <t>2.5-A11ATERRO DE ACESSO</t>
  </si>
  <si>
    <t>3.3.4.1.2.1.1</t>
  </si>
  <si>
    <t xml:space="preserve">   Execução de aterro compactado</t>
  </si>
  <si>
    <t>3.1.6.2.3.9.1</t>
  </si>
  <si>
    <t>3.1-A10CA</t>
  </si>
  <si>
    <t xml:space="preserve">   Execução de aterro compactado (PN a 95%) - Seg.3.1 CA 10</t>
  </si>
  <si>
    <t>3.1.6.2.3.1.2</t>
  </si>
  <si>
    <t>3.1-A02CA</t>
  </si>
  <si>
    <t xml:space="preserve">   Execução de aterro compactado (PN a 95%) - Seg.3.1CA 02</t>
  </si>
  <si>
    <t>3.1.6.2.3.2.2</t>
  </si>
  <si>
    <t>3.1-A03CA</t>
  </si>
  <si>
    <t xml:space="preserve">   Execução de aterro compactado (PN a 95%) - Seg.3.1 CA 03</t>
  </si>
  <si>
    <t>3.1.6.2.3.3.3</t>
  </si>
  <si>
    <t>3.1-A04CA</t>
  </si>
  <si>
    <t xml:space="preserve">   Execução de aterro compactado (PN a 95%) - Seg.3.1 CA 04</t>
  </si>
  <si>
    <t>3.1.6.2.3.4.2</t>
  </si>
  <si>
    <t>3.1-A05CA</t>
  </si>
  <si>
    <t xml:space="preserve">   Execução de aterro compactado (PN a 95%) - Seg.3.1 CA 05</t>
  </si>
  <si>
    <t>3.1.6.2.3.5.3</t>
  </si>
  <si>
    <t>3.1-A06CA</t>
  </si>
  <si>
    <t xml:space="preserve">   Execução de aterro compactado (PN a 95%) - Seg.3.1 CA 06</t>
  </si>
  <si>
    <t>3.1.6.2.3.6.3</t>
  </si>
  <si>
    <t>3.1-A07CA</t>
  </si>
  <si>
    <t xml:space="preserve">   Execução de aterro compactado (PN a 95%) - Seg.3.1 CA 07</t>
  </si>
  <si>
    <t>3.2.1.1.3.1.2</t>
  </si>
  <si>
    <t>3.1-AC. KM 154+755</t>
  </si>
  <si>
    <t xml:space="preserve">   Execução de aterro compactado- Seg.3.1 acesso km 154+755</t>
  </si>
  <si>
    <t>3.2.1.1.3.2.2</t>
  </si>
  <si>
    <t>3.1-AC. KM 159+900</t>
  </si>
  <si>
    <t xml:space="preserve">   Execução de aterro compactado- Seg.3.1 acesso km 159+900</t>
  </si>
  <si>
    <t>3.2.1.1.3.3.2</t>
  </si>
  <si>
    <t>3.1-AC. KM 165+850</t>
  </si>
  <si>
    <t xml:space="preserve">   Execução de aterro compactado- Seg.3.1 acesso km 165+850</t>
  </si>
  <si>
    <t>3.1.6.2.3.7.1</t>
  </si>
  <si>
    <t>3.1-A08CA</t>
  </si>
  <si>
    <t xml:space="preserve">   Execução de aterro compactado (PN a 95%) - Seg.3.1 CA 08</t>
  </si>
  <si>
    <t>3.1.6.2.3.8.1</t>
  </si>
  <si>
    <t>3.1-A09CA</t>
  </si>
  <si>
    <t xml:space="preserve">   Execução de aterro compactado (PN a 95%) - Seg.3.1 CA 09</t>
  </si>
  <si>
    <t>3.3.4.2.3.1.1</t>
  </si>
  <si>
    <t>3.1-Recomposição GO-164</t>
  </si>
  <si>
    <t xml:space="preserve">   Execução de aterro compactado - CA-01 (PN a 95%)</t>
  </si>
  <si>
    <t>3.1.6.2.3.9.2</t>
  </si>
  <si>
    <t>3.1-A10CF</t>
  </si>
  <si>
    <t xml:space="preserve">   Camada Final de Aterro (PN a 100%) -Seg.3.1 CA 10</t>
  </si>
  <si>
    <t>3.1.6.2.3.1.3</t>
  </si>
  <si>
    <t>3.1-A02CF</t>
  </si>
  <si>
    <t xml:space="preserve">   Camada Final de Aterro (PN a 100%) - Seg.3.1 CA 02</t>
  </si>
  <si>
    <t>3.1.6.2.3.2.3</t>
  </si>
  <si>
    <t>3.1-A03CF</t>
  </si>
  <si>
    <t xml:space="preserve">   Camada Final de Aterro (PN a 100%) - Seg.3.1 CA 03</t>
  </si>
  <si>
    <t>3.1.6.2.3.3.4</t>
  </si>
  <si>
    <t>3.1-A04CF</t>
  </si>
  <si>
    <t xml:space="preserve">   Camada Final de Aterro (PN a 100%) - Seg.3.1 CA 04</t>
  </si>
  <si>
    <t>3.1.6.2.3.4.3</t>
  </si>
  <si>
    <t>3.1-A05CF</t>
  </si>
  <si>
    <t xml:space="preserve">   Camada Final de Aterro (PN a 100%) - Seg.3.1 CA 05</t>
  </si>
  <si>
    <t>3.1.6.2.3.5.4</t>
  </si>
  <si>
    <t>3.1-A06CF</t>
  </si>
  <si>
    <t xml:space="preserve">   Camada Final de Aterro (PN a 100%) - Seg.3.1 CA 06</t>
  </si>
  <si>
    <t>3.1.6.2.3.6.4</t>
  </si>
  <si>
    <t>3.1-A07CF</t>
  </si>
  <si>
    <t xml:space="preserve">   Camada Final de Aterro (PN a 100%) - Seg.3.1 CA 07</t>
  </si>
  <si>
    <t>3.1.6.2.3.7.2</t>
  </si>
  <si>
    <t>3.1-A08CF</t>
  </si>
  <si>
    <t xml:space="preserve">   Camada Final de Aterro (PN a 100%) - Seg.3.1 CA 08</t>
  </si>
  <si>
    <t>3.1.6.2.3.8.2</t>
  </si>
  <si>
    <t>3.1-A09CF</t>
  </si>
  <si>
    <t xml:space="preserve">   Camada Final de Aterro (PN a 100%) - Seg.3.1 CA 09</t>
  </si>
  <si>
    <t>3.3.5.1.2.3.1</t>
  </si>
  <si>
    <t>Interseção GO-164</t>
  </si>
  <si>
    <t xml:space="preserve">   Execução de aterro compactado (PN a 95%) - Corpo de aterro</t>
  </si>
  <si>
    <t>3.1-C08ATERRO DE ACESSO</t>
  </si>
  <si>
    <t>3.4.1.1.1.4.3</t>
  </si>
  <si>
    <t xml:space="preserve">   Saldo remanescente seg.3.1 - Execução de aterro compactado (PN a 95%) - Corpo de aterro</t>
  </si>
  <si>
    <t>3.4.1.1.1.4.7</t>
  </si>
  <si>
    <t xml:space="preserve">   Saldo remascente geral</t>
  </si>
  <si>
    <t>3.1-C08CA</t>
  </si>
  <si>
    <t>Interseção - Bueiro da alça do pátio</t>
  </si>
  <si>
    <t>3.1-C02CA</t>
  </si>
  <si>
    <t>Corpo de Aterro - Corte 01 (Reforço de Subleito)</t>
  </si>
  <si>
    <t>3.1-C08CF</t>
  </si>
  <si>
    <t>Corpo de Aterro - Corte 08</t>
  </si>
  <si>
    <t>3.1-C03ADME</t>
  </si>
  <si>
    <t>ADME - Corte 3</t>
  </si>
  <si>
    <t>3.1-C01ATERRO DE ACESSO</t>
  </si>
  <si>
    <t>Corpo de Aterro - Corte 01</t>
  </si>
  <si>
    <t>3.1-C07CA</t>
  </si>
  <si>
    <t>Corpo de Aterro - Corte 07</t>
  </si>
  <si>
    <t>Sobrelargura</t>
  </si>
  <si>
    <t>2.1.4.4.1.1.1</t>
  </si>
  <si>
    <t>Ponte Rio Vermelho</t>
  </si>
  <si>
    <t xml:space="preserve">   Remoção de sobrelargura - E2 - Aterro 01 - Rio Vermelho</t>
  </si>
  <si>
    <t>2.1.4.4.1.2.1</t>
  </si>
  <si>
    <t>2.2-A02</t>
  </si>
  <si>
    <t xml:space="preserve">   Remoção de sobrelargura</t>
  </si>
  <si>
    <t>2.1.4.4.1.3.1</t>
  </si>
  <si>
    <t>2.1.4.4.1.4.1</t>
  </si>
  <si>
    <t>2.2-A04</t>
  </si>
  <si>
    <t>2.1.4.4.1.5.1</t>
  </si>
  <si>
    <t>2.1.4.4.1.6.1</t>
  </si>
  <si>
    <t>2.1.4.4.1.7.1</t>
  </si>
  <si>
    <t>2.2-A07</t>
  </si>
  <si>
    <t>2.1.4.4.1.8.1</t>
  </si>
  <si>
    <t>2.2-A08</t>
  </si>
  <si>
    <t>2.1.4.4.1.9.1</t>
  </si>
  <si>
    <t>2.2-A09</t>
  </si>
  <si>
    <t>2.1.4.4.1.10.1</t>
  </si>
  <si>
    <t>2.2-A10</t>
  </si>
  <si>
    <t>2.1.4.4.1.11.1</t>
  </si>
  <si>
    <t>2.2-A11</t>
  </si>
  <si>
    <t>2.1.4.4.1.12.1</t>
  </si>
  <si>
    <t>2.2-A12</t>
  </si>
  <si>
    <t xml:space="preserve">   Remoção de sobrelargura - Aterro 12</t>
  </si>
  <si>
    <t>2.1.4.4.1.13.1</t>
  </si>
  <si>
    <t xml:space="preserve">   Remoção de sobrelargura - Aterro 13</t>
  </si>
  <si>
    <t>2.1.4.4.1.14.1</t>
  </si>
  <si>
    <t>2.2-A14</t>
  </si>
  <si>
    <t>2.1.4.4.1.15.1</t>
  </si>
  <si>
    <t>2.2-A15</t>
  </si>
  <si>
    <t>2.1.4.4.2.1.1</t>
  </si>
  <si>
    <t>2.3-A01</t>
  </si>
  <si>
    <t>2.1.4.4.2.2.1</t>
  </si>
  <si>
    <t>2.3-A02</t>
  </si>
  <si>
    <t>2.1.4.4.2.3.1</t>
  </si>
  <si>
    <t>2.3-A03</t>
  </si>
  <si>
    <t>2.1.4.4.2.4.1</t>
  </si>
  <si>
    <t>2.3-A04</t>
  </si>
  <si>
    <t>2.1.4.4.2.5.1</t>
  </si>
  <si>
    <t>2.3-A05</t>
  </si>
  <si>
    <t>2.1.4.4.2.6.1</t>
  </si>
  <si>
    <t>2.3-A06</t>
  </si>
  <si>
    <t>2.1.4.4.2.7.1</t>
  </si>
  <si>
    <t>2.3-A07</t>
  </si>
  <si>
    <t>2.1.4.4.2.8.1</t>
  </si>
  <si>
    <t>2.3-A08</t>
  </si>
  <si>
    <t>2.1.4.4.2.9.1</t>
  </si>
  <si>
    <t>2.1.4.4.2.10.1</t>
  </si>
  <si>
    <t>2.3-A10</t>
  </si>
  <si>
    <t>2.1.4.4.2.11.1</t>
  </si>
  <si>
    <t>2.3-A11</t>
  </si>
  <si>
    <t>2.1.4.4.2.12.1</t>
  </si>
  <si>
    <t>2.3-A12</t>
  </si>
  <si>
    <t>2.1.4.4.2.13.1</t>
  </si>
  <si>
    <t>2.3-A13</t>
  </si>
  <si>
    <t>2.1.4.4.2.14.1</t>
  </si>
  <si>
    <t>2.3-A14</t>
  </si>
  <si>
    <t>2.1.4.4.2.15.1</t>
  </si>
  <si>
    <t>2.3-A15</t>
  </si>
  <si>
    <t>2.1.4.4.2.16.1</t>
  </si>
  <si>
    <t>2.3-A16</t>
  </si>
  <si>
    <t>2.1.4.4.2.17.1</t>
  </si>
  <si>
    <t>3.1.6.4.1.1.1</t>
  </si>
  <si>
    <t>3.1.6.4.1.2.1</t>
  </si>
  <si>
    <t>3.1.6.4.1.3.1</t>
  </si>
  <si>
    <t>3.1.6.4.1.4.1</t>
  </si>
  <si>
    <t>2.4-A04</t>
  </si>
  <si>
    <t>3.1.6.4.1.5.1</t>
  </si>
  <si>
    <t>3.1.6.4.1.6.1</t>
  </si>
  <si>
    <t>3.1.6.4.2.1.1</t>
  </si>
  <si>
    <t>2.5-A01</t>
  </si>
  <si>
    <t>3.1.6.4.2.2.1</t>
  </si>
  <si>
    <t>3.1.6.4.2.3.1</t>
  </si>
  <si>
    <t>3.1.6.4.2.4.1</t>
  </si>
  <si>
    <t>2.5-A05</t>
  </si>
  <si>
    <t>3.1.6.4.2.5.1</t>
  </si>
  <si>
    <t>3.1.6.4.2.6.1</t>
  </si>
  <si>
    <t>3.1.6.4.2.7.1</t>
  </si>
  <si>
    <t>2.5-A08</t>
  </si>
  <si>
    <t>3.1.6.4.2.8.1</t>
  </si>
  <si>
    <t>3.1.6.4.2.9.1</t>
  </si>
  <si>
    <t>3.1.6.4.2.10.1</t>
  </si>
  <si>
    <t>3.1.6.4.2.11.1</t>
  </si>
  <si>
    <t>2.5-A12</t>
  </si>
  <si>
    <t>3.1.6.4.2.12.1</t>
  </si>
  <si>
    <t>---</t>
  </si>
  <si>
    <t>3.1.6.4.3.1.1</t>
  </si>
  <si>
    <t>3.1.6.4.3.2.1</t>
  </si>
  <si>
    <t>3.1.6.4.3.3.1</t>
  </si>
  <si>
    <t>3.1.6.4.3.4.1</t>
  </si>
  <si>
    <t>3.1-A05</t>
  </si>
  <si>
    <t>3.1.6.4.3.5.1</t>
  </si>
  <si>
    <t>3.1-A06</t>
  </si>
  <si>
    <t>3.1.6.4.3.6.1</t>
  </si>
  <si>
    <t>3.1-A07</t>
  </si>
  <si>
    <t>3.1.6.4.3.7.1</t>
  </si>
  <si>
    <t>3.1-A08</t>
  </si>
  <si>
    <t>3.1.6.4.3.8.1</t>
  </si>
  <si>
    <t>3.1.6.4.3.9.1</t>
  </si>
  <si>
    <r>
      <t xml:space="preserve">OAC - </t>
    </r>
    <r>
      <rPr>
        <sz val="14"/>
        <color theme="1"/>
        <rFont val="Calibri"/>
        <family val="2"/>
        <scheme val="minor"/>
      </rPr>
      <t>Obra de Arte Corrente</t>
    </r>
    <r>
      <rPr>
        <b/>
        <sz val="14"/>
        <color theme="1"/>
        <rFont val="Calibri"/>
        <family val="2"/>
        <scheme val="minor"/>
      </rPr>
      <t xml:space="preserve"> - Corpo</t>
    </r>
  </si>
  <si>
    <t>3.1.7.1.1.4.1</t>
  </si>
  <si>
    <t>2.4-BDT PEAD DN 1,20m - km 133+019 - Aterro A1 - Bueiro de PEAD</t>
  </si>
  <si>
    <t>3.1.7.1.1.6.1</t>
  </si>
  <si>
    <t>2.4-BTCC 3,00x3,00 - Km 133+870 - Aterro A1 - Bueiro de Concreto</t>
  </si>
  <si>
    <t>3.1.7.1.1.8.2</t>
  </si>
  <si>
    <t>2.4-BDCC 2,50x2,00 - km 134+743- Aterro A1 - Bueiro de concreto</t>
  </si>
  <si>
    <t>3.1.7.1.1.11.2</t>
  </si>
  <si>
    <t>2.4-BDCC 2,50x2,00 - km 136+287- Aterro A1 - Bueiro de concreto</t>
  </si>
  <si>
    <t>3.1.7.1.1.12.3</t>
  </si>
  <si>
    <t>2.4-BDT PEAD DN 1,20m - km 136+635 - Aterro A4 - Bueiro de PEAD</t>
  </si>
  <si>
    <t>3.1.7.1.1.13.3</t>
  </si>
  <si>
    <t>2.4-BDT PEAD DN 1,20m - km 136+844 - Aterro A5 - Bueiro de PEAD</t>
  </si>
  <si>
    <t>3.1.7.1.1.14.2</t>
  </si>
  <si>
    <t>2.4-PG BSCC 2,5 0x 2,50m - km 137+450 - Aterro A6 - Bueiro de Concreto</t>
  </si>
  <si>
    <t>3.2.1.2.1.1.2</t>
  </si>
  <si>
    <t>2.4-BST PEAD DN 0,80m - Km 0+254 - acesso km 132+060 LD - Bueiro de PEAD</t>
  </si>
  <si>
    <t>3.2.1.2.1.2.2</t>
  </si>
  <si>
    <t>2.4-BST PEAD DN 0,80m - Km 0+292 - acesso acesso km 132+060 LE - Bueiro de PEAD</t>
  </si>
  <si>
    <t>3.2.1.2.1.3.3</t>
  </si>
  <si>
    <t>2.4-BST PEAD DN 0,80m - Km 0+153 - acesso km 137+500 LD - Bueiro de PEAD</t>
  </si>
  <si>
    <t>3.1.7.1.2.6.1</t>
  </si>
  <si>
    <t>2.5-BDCC 2,50 x 2,50 m - Km 140+572 - Aterro A4 - Bueiro de Concreto</t>
  </si>
  <si>
    <t>3.1.7.1.2.9.1</t>
  </si>
  <si>
    <t>2.5-PG BSCC 2,5 x 2,5 m - Km 141+880 - Aterro A6 - Bueiro de Concreto</t>
  </si>
  <si>
    <t>3.1.7.1.2.13.1</t>
  </si>
  <si>
    <t>2.5-BSCC 1,50 x 1,50 m - Km 143+530 BSCC - Aterro A7 - Bueiro de Concreto</t>
  </si>
  <si>
    <t>3.1.7.1.2.18.3</t>
  </si>
  <si>
    <t>2.5-PG BSCC 3,0 x 3,0 m - Km 144+610 - Aterro A8 - Bueiro de Concreto</t>
  </si>
  <si>
    <t>3.1.7.1.2.19.3</t>
  </si>
  <si>
    <t>2.5-PG BSCC 3,0 x 3,0 m - Km 145+180 - Aterro A9 - Bueiro de Concreto</t>
  </si>
  <si>
    <t>3.1.7.1.2.20.1</t>
  </si>
  <si>
    <t>2.5-BSCC 2,50 x 2,50 m - Km 145+308 - Aterro A9 - Bueiro de Concreto</t>
  </si>
  <si>
    <t>3.1.7.1.2.21.1</t>
  </si>
  <si>
    <t>2.5-BSCC 2,0 x 2,0 m - Km 145+556 - Aterro A9 - Bueiro de Concreto</t>
  </si>
  <si>
    <t>3.1.7.1.2.23.3</t>
  </si>
  <si>
    <t>2.5-BSCC-2,00x1,50 m - km 149+185 - Bueiro de Concreto - Aterro 10</t>
  </si>
  <si>
    <t>3.1.7.1.2.24.2</t>
  </si>
  <si>
    <t>2.5-PG BSCC 3,0 x 3,0m - km 149+260 - Aterro A10 - Bueiro de Concreto</t>
  </si>
  <si>
    <t>3.1.7.1.2.25.4</t>
  </si>
  <si>
    <t>2.5-BSCC2,0 x 2,0m - km 149+411 - Aterro A10 - Bueiro de Concreto</t>
  </si>
  <si>
    <t>3.1.7.1.2.26.3</t>
  </si>
  <si>
    <t>2.5-PG BSCC 3,0 x 3,0m - km 150+110 - Aterro A11 - Bueiro de Concreto</t>
  </si>
  <si>
    <t>3.1.7.1.2.27.3</t>
  </si>
  <si>
    <t>2.5-BDT PEAD DN 1,20m - km 150+153 - Aterro A11- Bueiro de PEAD</t>
  </si>
  <si>
    <t>3.1.7.1.2.28.3</t>
  </si>
  <si>
    <t>2.5-BDT PEAD DN 1,20m - km 150+368 - Aterro A11- Bueiro de PEAD</t>
  </si>
  <si>
    <t>3.1.7.1.2.29.3</t>
  </si>
  <si>
    <t>2.5-BDT PEAD DN 1,20m - km 150+612 - Aterro A11- Bueiro de PEAD</t>
  </si>
  <si>
    <t>3.1.7.1.2.30.3</t>
  </si>
  <si>
    <t>2.5-PG BSCC 3,0 x 3,0m - km 150+650 - Aterro A11 - Bueiro de Concreto</t>
  </si>
  <si>
    <t>3.1.7.1.2.31.4</t>
  </si>
  <si>
    <t>2.5-BSTC DN 1,20m - Km 151+074 - Aterro A12 - Bueiro de Concreto</t>
  </si>
  <si>
    <t>3.1.7.1.2.32.3</t>
  </si>
  <si>
    <t>2.5-BST PEAD DN 1,20m - Km 151+407 - Aterro A13 - Bueiro de PEAD</t>
  </si>
  <si>
    <t>3.1.7.1.2.34.4</t>
  </si>
  <si>
    <t>2.5-BSCC 3,50 x 3,50 m - Km 152+800 -Aterro A13 - Bueiro de Concreto</t>
  </si>
  <si>
    <t>3.1.7.1.2.35.3</t>
  </si>
  <si>
    <t>2.5-PG BSCC 2,5 x 2,5 m - Km 152+920- Aterro A13 - Bueiro de Concreto</t>
  </si>
  <si>
    <t>3.1.7.1.2.36.3</t>
  </si>
  <si>
    <t>2.5-BDT PEAD DN 1,20m - km 153+189 - Aterro A13 - Bueiro de PEAD</t>
  </si>
  <si>
    <t>3.1.7.1.2.37.3</t>
  </si>
  <si>
    <t>2.5-BDT PEAD DN 1,0m - km 153+306 - Aterro A13 - Bueiro de PEAD</t>
  </si>
  <si>
    <t>3.2.1.2.2.1.4</t>
  </si>
  <si>
    <t>2.5-BSTC DN 0,80m - Km 0+253 - acesso km 139+190 LD - Bueiro de Concreto</t>
  </si>
  <si>
    <t>3.2.1.2.2.2.3</t>
  </si>
  <si>
    <t>2.5-BST PEAD DN 1,0m - Km 0+331 - acesso km 139+190 LE - Bueiro de PEAD</t>
  </si>
  <si>
    <t>3.2.1.2.2.3.4</t>
  </si>
  <si>
    <t>2.5-BSTC DN 1,0m - Km 0+185 - acesso km 144+540 LE - Bueiro de Concreto</t>
  </si>
  <si>
    <t>3.2.1.2.2.4.4</t>
  </si>
  <si>
    <t>2.5-BSTC DN 1,0m - Km 0+242 - acesso km 144+540 LD - Bueiro de Concreto</t>
  </si>
  <si>
    <t>3.2.1.2.2.6.2</t>
  </si>
  <si>
    <t>2.5-BST PEAD DN 0,80m - Km 0+280 - acesso km 149+600 LE - Bueiro de PEAD</t>
  </si>
  <si>
    <t>3.2.1.2.2.5.4</t>
  </si>
  <si>
    <t>2.5-BSTC DN 0,80 m - Km 0+762 - acesso km 147+195 LE - Bueiro de Concreto</t>
  </si>
  <si>
    <t>3.2.1.2.2.7.3</t>
  </si>
  <si>
    <t>2.5-BST PEAD DN 0,80m - Km 0+414 - acesso km 151+700 LD - Bueiro de PEAD</t>
  </si>
  <si>
    <t>3.1.7.1.2.33.3</t>
  </si>
  <si>
    <t>2.5-BSCC 2,00 x 2,00 - Km 152+340 - Aterro A13 - Bueiro de Concreto</t>
  </si>
  <si>
    <t>2.5-BDCC 2,50 x 2,50 m - Km 143+255 - Aterro A7- Bueiro de Concreto</t>
  </si>
  <si>
    <t>Montagem de BSCC 1,50x1,50  -  KM_144+588</t>
  </si>
  <si>
    <t>3.1.7.1.3.6.3</t>
  </si>
  <si>
    <t>3.1-PG BSCC 3,0 x 3,0m - km 158+725 - Aterro A4 - Bueiro de Concreto</t>
  </si>
  <si>
    <t>3.1.7.1.3.7.4</t>
  </si>
  <si>
    <t>3.1-BTCC 3,00x3,00 - Km 158+964 - Aterro A4 - Bueiro de Concreto</t>
  </si>
  <si>
    <t>3.1.7.1.3.8.4</t>
  </si>
  <si>
    <t>3.1-BSCC 3,0 x 250m - Km 159+871 - Aterro A5 - Bueiro de Concreto</t>
  </si>
  <si>
    <t>3.1.7.1.3.9.3</t>
  </si>
  <si>
    <t>3.1-PG BSCC 2,50 x 2,50 m - Km 161+705 - Aterro A6 - Bueiro de Concreto</t>
  </si>
  <si>
    <t>3.1.7.1.3.10.3</t>
  </si>
  <si>
    <t>3.1-BSCC 3,50 x 3,50m - Km 161+789 - Aterro A6 - Bueiro de Concreto</t>
  </si>
  <si>
    <t>3.1.7.1.3.11.4</t>
  </si>
  <si>
    <t>3.1-BSCC 3,50 x 350m - Km 163+518 - Aterro A7 - Bueiro de Concreto</t>
  </si>
  <si>
    <t>3.2.1.2.3.1.4</t>
  </si>
  <si>
    <t>3.1-BSCC 1,50 x 1,50 m - Km 0+034 - acesso km 154+757 LE - Bueiro de Concreto</t>
  </si>
  <si>
    <t>3.2.1.2.3.2.4</t>
  </si>
  <si>
    <t>3.1-BDTC DN 1,0m - Km 0+399 - acesso km 154+757 LE - Bueiro de Concreto</t>
  </si>
  <si>
    <t>3.2.1.2.3.3.4</t>
  </si>
  <si>
    <t>3.1-BSTC DN 1,2m - Km 0+436 - acesso km 154+757 LD - Bueiro de Concreto</t>
  </si>
  <si>
    <t>3.2.1.2.3.4.4</t>
  </si>
  <si>
    <t>3.1-BSTC DN 1,0m - Km 0+260 - acesso km 154+757 LD - Bueiro de Concreto</t>
  </si>
  <si>
    <t>3.2.1.2.3.5.4</t>
  </si>
  <si>
    <t>3.1-BSTC DN 0,80m - Km 0+133 - acesso km 159+940 LD - Bueiro de Concreto</t>
  </si>
  <si>
    <t>3.1.7.1.3.1.1</t>
  </si>
  <si>
    <t>3.1-BST PEAD DN 1,0m - km 153+731 - Aterro A2 - Bueiro de PEAD</t>
  </si>
  <si>
    <t>3.1.7.1.3.2.1</t>
  </si>
  <si>
    <t>3.1-PF 2,50x2,00 Km 153+780- Aterro A2 - Bueiro de Concreto</t>
  </si>
  <si>
    <t>3.3.5.3.1.3</t>
  </si>
  <si>
    <t>BSTC 0,80m - CONEXÃO 3 - PATIO GO-164 - km 0+352</t>
  </si>
  <si>
    <t>3.3.5.3.2.3</t>
  </si>
  <si>
    <t>BSTC 0,80m - RETORNO 1 - PATIO GO-164 - km 0+47</t>
  </si>
  <si>
    <t>3.3.5.3.3.3</t>
  </si>
  <si>
    <t>BSTC 0,80m - CONEXÃO 1 - PATIO GO-164 - km 0+641</t>
  </si>
  <si>
    <t>BDCC no Km 155+722 - Aterro 03</t>
  </si>
  <si>
    <t>X</t>
  </si>
  <si>
    <t>Montagem de PG no Km 155+670</t>
  </si>
  <si>
    <r>
      <t xml:space="preserve">OAC - </t>
    </r>
    <r>
      <rPr>
        <sz val="14"/>
        <color theme="1"/>
        <rFont val="Calibri"/>
        <family val="2"/>
        <scheme val="minor"/>
      </rPr>
      <t>Obra de Arte Corrente</t>
    </r>
    <r>
      <rPr>
        <b/>
        <sz val="14"/>
        <color theme="1"/>
        <rFont val="Calibri"/>
        <family val="2"/>
        <scheme val="minor"/>
      </rPr>
      <t xml:space="preserve"> - Alas</t>
    </r>
  </si>
  <si>
    <t>und</t>
  </si>
  <si>
    <t>3.1.7.1.1.1.1</t>
  </si>
  <si>
    <t>2.4-BSCC 2,00x1,50 - Km 131+733 - Aterro 1 - Bueiro de Concreto</t>
  </si>
  <si>
    <t>2.4-BSCC 2,00x1,50 - Km 131+733 - Aterro 1 - Bueiro de Concreto - LD</t>
  </si>
  <si>
    <t>Montante</t>
  </si>
  <si>
    <t>3.1.7.1.1.1.2</t>
  </si>
  <si>
    <t>2.4-BSCC 2,00x1,50 - Km 131+733 - Aterro 1 - Bueiro de Concreto - LE</t>
  </si>
  <si>
    <t>Jusante</t>
  </si>
  <si>
    <t>3.1.7.1.1.2.1</t>
  </si>
  <si>
    <t>2.4-PGF - BCC - 2,50x2,50 - Km 131+940 - Aterro A1-Bueiro de Concreto</t>
  </si>
  <si>
    <t>2.4-PGF - BCC - 2,50x2,50 - Km 131+940 - Aterro A1-Bueiro de Concreto - LE</t>
  </si>
  <si>
    <t>3.1.7.1.1.2.2</t>
  </si>
  <si>
    <t>2.4-PGF - BCC - 2,50x2,50 - Km 131+940 - Aterro A1-Bueiro de Concreto - LD</t>
  </si>
  <si>
    <t>3.1.7.1.1.3.1</t>
  </si>
  <si>
    <t>2.4-BSCC BSCC 2,50x2,00 - Km 132+428 - Aterro A1 - Bueiro de Concreto</t>
  </si>
  <si>
    <t>2.4-BSCC BSCC 2,50x2,00 - Km 132+428 - Aterro A1 - Bueiro de Concreto - LE</t>
  </si>
  <si>
    <t>3.1.7.1.1.3.2</t>
  </si>
  <si>
    <t>2.4-BSCC BSCC 2,50x2,00 - Km 132+428 - Aterro A1 - Bueiro de Concreto - LD</t>
  </si>
  <si>
    <t>3.1.7.1.1.4.2</t>
  </si>
  <si>
    <t>2.4-BDT PEAD DN 1,20m - km 133+019 - Aterro A1 - Bueiro de PEAD - LE</t>
  </si>
  <si>
    <t>3.1.7.1.1.4.3</t>
  </si>
  <si>
    <t>2.4-BDT PEAD DN 1,20m - km 133+019 - Aterro A1 - Bueiro de PEAD - LD</t>
  </si>
  <si>
    <t>3.1.7.1.1.5.1</t>
  </si>
  <si>
    <t>2.4-PG BSCC 2,50 x 2,50m - km 133+555 - Aterro A1- Bueiro de Concreto</t>
  </si>
  <si>
    <t>2.4-PG BSCC 2,50 x 2,50m - km 133+555 - Aterro A1- Bueiro de Concreto - LE</t>
  </si>
  <si>
    <t>3.1.7.1.1.5.2</t>
  </si>
  <si>
    <t>2.4-PG BSCC 2,50 x 2,50m - km 133+555 - Aterro A1- Bueiro de Concreto - LD</t>
  </si>
  <si>
    <t>3.1.7.1.1.6.2</t>
  </si>
  <si>
    <t>2.4-BTCC 3,00x3,00 - Km 133+870 - Aterro A1 - Bueiro de Concreto - LE</t>
  </si>
  <si>
    <t>3.1.7.1.1.6.3</t>
  </si>
  <si>
    <t>2.4-BTCC 3,00x3,00 - Km 133+870 - Aterro A1 - Bueiro de Concreto - LD</t>
  </si>
  <si>
    <t>3.1.7.1.1.7.1</t>
  </si>
  <si>
    <t>2.4-BSCC-2,00x2,00 m - km 134+322 - Bueiro de Concreto - Aterro 01 C = 64,0m</t>
  </si>
  <si>
    <t>2.4-BSCC-2,00x2,00 m - km 134+322 - Bueiro de Concreto - Aterro 01 C = 64,0m - LE</t>
  </si>
  <si>
    <t>3.1.7.1.1.7.2</t>
  </si>
  <si>
    <t>2.4-BSCC-2,00x2,00 m - km 134+322 - Bueiro de Concreto - Aterro 01 C = 64,0m - LD</t>
  </si>
  <si>
    <t>3.1.7.1.1.8.3</t>
  </si>
  <si>
    <t>2.4-BDCC 2,50x2,00 - km 134+743- Aterro A1 - Bueiro de concreto - LE</t>
  </si>
  <si>
    <t>3.1.7.1.1.8.4</t>
  </si>
  <si>
    <t>2.4-BDCC 2,50x2,00 - km 134+743- Aterro A1 - Bueiro de concreto - LD</t>
  </si>
  <si>
    <t>3.1.7.1.1.10.1</t>
  </si>
  <si>
    <t>2.4-BSCC BSCC 2,00x2,00 - Km 135+537 - Aterro A1 - Bueiro de Concreto</t>
  </si>
  <si>
    <t>2.4-BSCC BSCC 2,00x2,00 - Km 135+537 - Aterro A1 - Bueiro de Concreto - LE</t>
  </si>
  <si>
    <t>3.1.7.1.1.10.2</t>
  </si>
  <si>
    <t>2.4-BSCC BSCC 2,00x2,00 - Km 135+537 - Aterro A1 - Bueiro de Concreto - LD</t>
  </si>
  <si>
    <t>3.1.7.1.1.11.3</t>
  </si>
  <si>
    <t>2.4-BDCC 2,50x2,00 - km 136+287- Aterro A1 - Bueiro de concreto - LE</t>
  </si>
  <si>
    <t>3.1.7.1.1.11.4</t>
  </si>
  <si>
    <t>2.4-BDCC 2,50x2,00 - km 136+287- Aterro A1 - Bueiro de concreto - LD</t>
  </si>
  <si>
    <t>3.1.7.1.1.12.4</t>
  </si>
  <si>
    <t>2.4-BDT PEAD DN 1,20m - km 136+635 - Aterro A4 - Bueiro de PEAD - LE</t>
  </si>
  <si>
    <t>3.1.7.1.1.12.5</t>
  </si>
  <si>
    <t>2.4-BDT PEAD DN 1,20m - km 136+635 - Aterro A4 - Bueiro de PEAD - LD</t>
  </si>
  <si>
    <t>3.1.7.1.1.13.4</t>
  </si>
  <si>
    <t>2.4-BDT PEAD DN 1,20m - km 136+844 - Aterro A5 - Bueiro de PEAD - LE</t>
  </si>
  <si>
    <t>3.1.7.1.1.13.5</t>
  </si>
  <si>
    <t>2.4-BDT PEAD DN 1,20m - km 136+844 - Aterro A5 - Bueiro de PEAD - LD</t>
  </si>
  <si>
    <t>3.1.7.1.1.14.3</t>
  </si>
  <si>
    <t>2.4-PG BSCC 2,5 0x 2,50m - km 137+450 - Aterro A6 - Bueiro de Concreto - LE</t>
  </si>
  <si>
    <t>3.1.7.1.1.14.4</t>
  </si>
  <si>
    <t>2.4-PG BSCC 2,5 0x 2,50m - km 137+450 - Aterro A6 - Bueiro de Concreto - LD</t>
  </si>
  <si>
    <t>3.1.7.1.1.15.2</t>
  </si>
  <si>
    <t>2.4-BSCC 1,50x1,50m - Km 137+821 - Aterro A6 - Bueiro de Concreto</t>
  </si>
  <si>
    <t>2.4-BSCC 1,50x1,50m - Km 137+821 - Aterro A6 - Bueiro de Concreto - LE</t>
  </si>
  <si>
    <t>3.1.7.1.1.15.3</t>
  </si>
  <si>
    <t>2.4-BSCC 1,50x1,50m - Km 137+821 - Aterro A6 - Bueiro de Concreto - LD</t>
  </si>
  <si>
    <t>3.2.1.2.1.1.3</t>
  </si>
  <si>
    <t>2.4-BST PEAD DN 0,80m - Km 0+254 - acesso km 132+060 LD - Bueiro de PEAD - LE</t>
  </si>
  <si>
    <t>3.2.1.2.1.1.4</t>
  </si>
  <si>
    <t>2.4-BST PEAD DN 0,80m - Km 0+254 - acesso km 132+060 LD - Bueiro de PEAD - LD</t>
  </si>
  <si>
    <t>3.2.1.2.1.2.3</t>
  </si>
  <si>
    <t>2.4-BST PEAD DN 0,80m - Km 0+292 - acesso acesso km 132+060 LE - Bueiro de PEAD - LE</t>
  </si>
  <si>
    <t>3.2.1.2.1.2.4</t>
  </si>
  <si>
    <t>2.4-BST PEAD DN 0,80m - Km 0+292 - acesso acesso km 132+060 LE - Bueiro de PEAD - LD</t>
  </si>
  <si>
    <t>3.2.1.2.1.3.4</t>
  </si>
  <si>
    <t>2.4-BST PEAD DN 0,80m - Km 0+153 - acesso km 137+500 LD - Bueiro de PEAD - LE</t>
  </si>
  <si>
    <t>3.2.1.2.1.3.5</t>
  </si>
  <si>
    <t>2.4-BST PEAD DN 0,80m - Km 0+153 - acesso km 137+500 LD - Bueiro de PEAD - LD</t>
  </si>
  <si>
    <t>3.1.7.1.2.2.1</t>
  </si>
  <si>
    <t>2.5-PG BSCC 2,50 x 2,50 - km 138+555 - Aterro A1 - Bueiro de Concreto</t>
  </si>
  <si>
    <t>2.5-PG BSCC 2,50 x 2,50 - km 138+555 - Aterro A1 - Bueiro de Concreto - LE</t>
  </si>
  <si>
    <t>3.1.7.1.2.2.2</t>
  </si>
  <si>
    <t>2.5-PG BSCC 2,50 x 2,50 - km 138+555 - Aterro A1 - Bueiro de Concreto - LD</t>
  </si>
  <si>
    <t>3.1.7.1.2.3.1</t>
  </si>
  <si>
    <t>2.5-BDCC 2,50x2,50 m - Km 139+337 - Aterro A3 - Bueiro de Concreto</t>
  </si>
  <si>
    <t>2.5-BDCC 2,50x2,50 m - Km 139+337 - Aterro A3 - Bueiro de Concreto - LE</t>
  </si>
  <si>
    <t>3.1.7.1.2.3.2</t>
  </si>
  <si>
    <t>2.5-BDCC 2,50x2,50 m - Km 139+337 - Aterro A3 - Bueiro de Concreto - LD</t>
  </si>
  <si>
    <t>3.1.7.1.2.4.1</t>
  </si>
  <si>
    <t>2.5-BDT PEAD DN 1,20m - km 139+661 - Aterro A3 - Bueiro de PEAD</t>
  </si>
  <si>
    <t>2.5-BDT PEAD DN 1,20m - km 139+661 - Aterro A3 - Bueiro de PEAD - LE</t>
  </si>
  <si>
    <t>3.1.7.1.2.4.2</t>
  </si>
  <si>
    <t>2.5-BDT PEAD DN 1,20m - km 139+661 - Aterro A3 - Bueiro de PEAD - LD</t>
  </si>
  <si>
    <t>3.1.7.1.2.5.1</t>
  </si>
  <si>
    <t>2.5-PG BSCC 2,50 x 2,50m - km 140+350 - Aterro A4 - Bueiro de Concreto</t>
  </si>
  <si>
    <t>2.5-PG BSCC 2,50 x 2,50m - km 140+350 - Aterro A4 - Bueiro de Concreto - LE</t>
  </si>
  <si>
    <t>3.1.7.1.2.5.2</t>
  </si>
  <si>
    <t>2.5-PG BSCC 2,50 x 2,50m - km 140+350 - Aterro A4 - Bueiro de Concreto - LD</t>
  </si>
  <si>
    <t>3.1.7.1.2.6.2</t>
  </si>
  <si>
    <t>2.5-BDCC 2,50 x 2,50 m - Km 140+572 - Aterro A4 - Bueiro de Concreto - LE</t>
  </si>
  <si>
    <t>3.1.7.1.2.6.3</t>
  </si>
  <si>
    <t>2.5-BDCC 2,50 x 2,50 m - Km 140+572 - Aterro A4 - Bueiro de Concreto - LD</t>
  </si>
  <si>
    <t>3.1.7.1.2.8.1</t>
  </si>
  <si>
    <t>2.5-BSCC 2,50 x 2,0 m - Km 141+234 - Aterro A5 - Bueiro de Concreto</t>
  </si>
  <si>
    <t>2.5-BSCC 2,50 x 2,0 m - Km 141+234 - Aterro A5 - Bueiro de Concreto - LE</t>
  </si>
  <si>
    <t>3.1.7.1.2.8.2</t>
  </si>
  <si>
    <t>2.5-BSCC 2,50 x 2,0 m - Km 141+234 - Aterro A5 - Bueiro de Concreto - LD</t>
  </si>
  <si>
    <t>3.1.7.1.2.9.2</t>
  </si>
  <si>
    <t>2.5-PG BSCC 2,5 x 2,5 m - Km 141+880 - Aterro A6 - Bueiro de Concreto - LE</t>
  </si>
  <si>
    <t>3.1.7.1.2.9.3</t>
  </si>
  <si>
    <t>2.5-PG BSCC 2,5 x 2,5 m - Km 141+880 - Aterro A6 - Bueiro de Concreto - LD</t>
  </si>
  <si>
    <t>3.1.7.1.2.10.1</t>
  </si>
  <si>
    <t>2.5-BDCC 2,50 x 2,50 m - Km 142+107 - Aterro A6 - Bueiro de Concreto</t>
  </si>
  <si>
    <t>2.5-BDCC 2,50 x 2,50 m - Km 142+107 - Aterro A6 - Bueiro de Concreto - LE</t>
  </si>
  <si>
    <t>3.1.7.1.2.10.2</t>
  </si>
  <si>
    <t>2.5-BDCC 2,50 x 2,50 m - Km 142+107 - Aterro A6 - Bueiro de Concreto - LD</t>
  </si>
  <si>
    <t>3.1.7.1.2.11.1</t>
  </si>
  <si>
    <t>2.5-PG BSCC 2,5 x 2,5 m - Km 143+017 - Aterro A6 - Bueiro de Concreto</t>
  </si>
  <si>
    <t>2.5-PG BSCC 2,5 x 2,5 m - Km 143+017 - Aterro A6 - Bueiro de Concreto - LE</t>
  </si>
  <si>
    <t>3.1.7.1.2.11.2</t>
  </si>
  <si>
    <t>2.5-PG BSCC 2,5 x 2,5 m - Km 143+017 - Aterro A6 - Bueiro de Concreto - LD</t>
  </si>
  <si>
    <t>3.1.7.1.2.12.1</t>
  </si>
  <si>
    <t>2.5-BDCC 2,50 x 2,50 m - Km 143+255 - Aterro A7- Bueiro de Concreto - LE</t>
  </si>
  <si>
    <t>3.1.7.1.2.12.2</t>
  </si>
  <si>
    <t>2.5-BDCC 2,50 x 2,50 m - Km 143+255 - Aterro A7- Bueiro de Concreto - LD</t>
  </si>
  <si>
    <t>3.1.7.1.2.13.2</t>
  </si>
  <si>
    <t>2.5-BSCC 1,50 x 1,50 m - Km 143+530 BSCC - Aterro A7 - Bueiro de Concreto - LE</t>
  </si>
  <si>
    <t>3.1.7.1.2.13.3</t>
  </si>
  <si>
    <t>2.5-BSCC 1,50 x 1,50 m - Km 143+530 BSCC - Aterro A7 - Bueiro de Concreto - LD</t>
  </si>
  <si>
    <t>3.1.7.1.2.14.1</t>
  </si>
  <si>
    <t>2.5-BDCC 2,0 x 2,0 m - Km 143+707 - Aterro A7 - Bueiro de Concreto</t>
  </si>
  <si>
    <t>2.5-BDCC 2,0 x 2,0 m - Km 143+707 - Aterro A7 - Bueiro de Concreto - LE</t>
  </si>
  <si>
    <t>3.1.7.1.2.14.2</t>
  </si>
  <si>
    <t>2.5-BDCC 2,0 x 2,0 m - Km 143+707 - Aterro A7 - Bueiro de Concreto - LD</t>
  </si>
  <si>
    <t>3.1.7.1.2.17.1</t>
  </si>
  <si>
    <t>2.5-BSCC 1,50 x 1,50 m - Km 144+589 - Aterro A8 - Bueiro de Concreto</t>
  </si>
  <si>
    <t>2.5-BSCC 1,50 x 1,50 m - Km 144+589 - Aterro A8 - Bueiro de Concreto - LE</t>
  </si>
  <si>
    <t>3.1.7.1.2.17.2</t>
  </si>
  <si>
    <t>2.5-BSCC 1,50 x 1,50 m - Km 144+589 - Aterro A8 - Bueiro de Concreto - LD</t>
  </si>
  <si>
    <t>3.1.7.1.2.18.4</t>
  </si>
  <si>
    <t>2.5-PG BSCC 3,0 x 3,0 m - Km 144+610 - Aterro A8 - Bueiro de Concreto - LE</t>
  </si>
  <si>
    <t>3.1.7.1.2.18.5</t>
  </si>
  <si>
    <t>2.5-PG BSCC 3,0 x 3,0 m - Km 144+610 - Aterro A8 - Bueiro de Concreto - LD</t>
  </si>
  <si>
    <t>3.1.7.1.2.19.4</t>
  </si>
  <si>
    <t>2.5-PG BSCC 3,0 x 3,0 m - Km 145+180 - Aterro A9 - Bueiro de Concreto - LE</t>
  </si>
  <si>
    <t>3.1.7.1.2.19.5</t>
  </si>
  <si>
    <t>2.5-PG BSCC 3,0 x 3,0 m - Km 145+180 - Aterro A9 - Bueiro de Concreto - LD</t>
  </si>
  <si>
    <t>3.1.7.1.2.20.2</t>
  </si>
  <si>
    <t>2.5-BSCC 2,50 x 2,50 m - Km 145+308 - Aterro A9 - Bueiro de Concreto - LE</t>
  </si>
  <si>
    <t>3.1.7.1.2.20.3</t>
  </si>
  <si>
    <t xml:space="preserve">2.5-BSCC 2,50 x 2,50 m - Km 145+308 - Aterro A9 - Bueiro de Concreto- LD </t>
  </si>
  <si>
    <t>3.1.7.1.2.21.2</t>
  </si>
  <si>
    <t>2.5-BSCC 2,0 x 2,0 m - Km 145+556 - Aterro A9 - Bueiro de Concreto - LE</t>
  </si>
  <si>
    <t>3.1.7.1.2.21.3</t>
  </si>
  <si>
    <t>2.5-BSCC 2,0 x 2,0 m - Km 145+556 - Aterro A9 - Bueiro de Concreto - LD</t>
  </si>
  <si>
    <t>3.1.7.1.2.23.4</t>
  </si>
  <si>
    <t>2.5-BSCC-2,00x1,50 m - km 149+185 - Bueiro de Concreto - Aterro 10 - LE</t>
  </si>
  <si>
    <t>3.1.7.1.2.23.5</t>
  </si>
  <si>
    <t>2.5-BSCC-2,00x1,50 m - km 149+185 - Bueiro de Concreto - Aterro 10 - LD</t>
  </si>
  <si>
    <t>3.1.7.1.2.24.3</t>
  </si>
  <si>
    <t>2.5-PG BSCC 3,0 x 3,0m - km 149+260 - Aterro A10 - Bueiro de Concreto - LE</t>
  </si>
  <si>
    <t>3.1.7.1.2.24.4</t>
  </si>
  <si>
    <t>2.5-PG BSCC 3,0 x 3,0m - km 149+260 - Aterro A10 - Bueiro de Concreto - LD</t>
  </si>
  <si>
    <t>3.1.7.1.2.25.5</t>
  </si>
  <si>
    <t>2.5-BSCC2,0 x 2,0m - km 149+411 - Aterro A10 - Bueiro de Concreto - LE</t>
  </si>
  <si>
    <t>3.1.7.1.2.25.6</t>
  </si>
  <si>
    <t>2.5-BSCC2,0 x 2,0m - km 149+411 - Aterro A10 - Bueiro de Concreto - LD</t>
  </si>
  <si>
    <t>3.1.7.1.2.26.4</t>
  </si>
  <si>
    <t>2.5-PG BSCC 3,0 x 3,0m - km 150+110 - Aterro A11 - Bueiro de Concreto - LE</t>
  </si>
  <si>
    <t>3.1.7.1.2.26.5</t>
  </si>
  <si>
    <t>2.5-PG BSCC 3,0 x 3,0m - km 150+110 - Aterro A11 - Bueiro de Concreto - LD</t>
  </si>
  <si>
    <t>3.1.7.1.2.27.4</t>
  </si>
  <si>
    <t>2.5-BDT PEAD DN 1,20m - km 150+153 - Aterro A11- Bueiro de PEAD - LE</t>
  </si>
  <si>
    <t>3.1.7.1.2.27.5</t>
  </si>
  <si>
    <t>2.5-BDT PEAD DN 1,20m - km 150+153 - Aterro A11- Bueiro de PEAD - LD</t>
  </si>
  <si>
    <t>3.1.7.1.2.28.4</t>
  </si>
  <si>
    <t>2.5-BDT PEAD DN 1,20m - km 150+368 - Aterro A11- Bueiro de PEAD - LE</t>
  </si>
  <si>
    <t>3.1.7.1.2.28.5</t>
  </si>
  <si>
    <t>2.5-BDT PEAD DN 1,20m - km 150+368 - Aterro A11- Bueiro de PEAD - LD</t>
  </si>
  <si>
    <t>3.1.7.1.2.29.4</t>
  </si>
  <si>
    <t>2.5-BDT PEAD DN 1,20m - km 150+612 - Aterro A11- Bueiro de PEAD - LE</t>
  </si>
  <si>
    <t>3.1.7.1.2.29.5</t>
  </si>
  <si>
    <t>2.5-BDT PEAD DN 1,20m - km 150+612 - Aterro A11- Bueiro de PEAD - LD</t>
  </si>
  <si>
    <t>3.1.7.1.2.30.4</t>
  </si>
  <si>
    <t>2.5-PG BSCC 3,0 x 3,0m - km 150+650 - Aterro A11 - Bueiro de Concreto - LE</t>
  </si>
  <si>
    <t>3.1.7.1.2.30.5</t>
  </si>
  <si>
    <t>2.5-PG BSCC 3,0 x 3,0m - km 150+650 - Aterro A11 - Bueiro de Concreto - LD</t>
  </si>
  <si>
    <t>3.1.7.1.2.31.5</t>
  </si>
  <si>
    <t>2.5-A12-BSTC DN 1,20m - Km 151+074 - Aterro A12 - Bueiro de Concreto</t>
  </si>
  <si>
    <t>2.5-A12-BSTC DN 1,20m - Km 151+074 - Aterro A12 - Bueiro de Concreto - LE</t>
  </si>
  <si>
    <t>3.1.7.1.2.31.6</t>
  </si>
  <si>
    <t>2.5-A12-BSTC DN 1,20m - Km 151+074 - Aterro A12 - Bueiro de Concreto - LD</t>
  </si>
  <si>
    <t>3.1.7.1.2.32.4</t>
  </si>
  <si>
    <t>2.5-BST PEAD DN 1,20m - Km 151+407 - Aterro A13 - Bueiro de PEAD - LE</t>
  </si>
  <si>
    <t>3.1.7.1.2.32.5</t>
  </si>
  <si>
    <t>2.5-BST PEAD DN 1,20m - Km 151+407 - Aterro A13 - Bueiro de PEAD - LD</t>
  </si>
  <si>
    <t>3.1.7.1.2.34.5</t>
  </si>
  <si>
    <t>2.5-BSCC 3,50 x 3,50 m - Km 152+800 -Aterro A13 - Bueiro de Concreto - LE</t>
  </si>
  <si>
    <t>3.1.7.1.2.34.6</t>
  </si>
  <si>
    <t>2.5-BSCC 3,50 x 3,50 m - Km 152+800 -Aterro A13 - Bueiro de Concreto - LD</t>
  </si>
  <si>
    <t>3.1.7.1.2.35.4</t>
  </si>
  <si>
    <t>2.5-PG BSCC 2,5 x 2,5 m - Km 152+920- Aterro A13 - Bueiro de Concreto - LE</t>
  </si>
  <si>
    <t>3.1.7.1.2.35.5</t>
  </si>
  <si>
    <t>2.5-PG BSCC 2,5 x 2,5 m - Km 152+920- Aterro A13 - Bueiro de Concreto - LD</t>
  </si>
  <si>
    <t>3.1.7.1.2.36.4</t>
  </si>
  <si>
    <t>2.5-BDT PEAD DN 1,20m - km 153+189 - Aterro A13 - Bueiro de PEAD - LE</t>
  </si>
  <si>
    <t>3.1.7.1.2.36.5</t>
  </si>
  <si>
    <t>2.5-BDT PEAD DN 1,20m - km 153+189 - Aterro A13 - Bueiro de PEAD - LD</t>
  </si>
  <si>
    <t>3.1.7.1.2.37.4</t>
  </si>
  <si>
    <t>2.5-BDT PEAD DN 1,0m - km 153+306 - Aterro A13 - Bueiro de PEAD - LE</t>
  </si>
  <si>
    <t>3.1.7.1.2.37.5</t>
  </si>
  <si>
    <t xml:space="preserve">2.5-BDT PEAD DN 1,0m - km 153+306 - Aterro A13 - Bueiro de PEAD- LD </t>
  </si>
  <si>
    <t>3.2.1.2.2.2.4</t>
  </si>
  <si>
    <t xml:space="preserve">2.5-BST PEAD DN 1,0m - Km 0+331 - acesso km 139+190 LE - Bueiro de PEAD- LE </t>
  </si>
  <si>
    <t>3.2.1.2.2.2.5</t>
  </si>
  <si>
    <t>2.5-BST PEAD DN 1,0m - Km 0+331 - acesso km 139+190 LE - Bueiro de PEAD - LD</t>
  </si>
  <si>
    <t>3.2.1.2.2.3.5</t>
  </si>
  <si>
    <t>2.5-BSTC DN 1,0m - Km 0+185 - acesso km 144+540 LE - Bueiro de Concreto - LE</t>
  </si>
  <si>
    <t>3.2.1.2.2.3.6</t>
  </si>
  <si>
    <t>2.5-BSTC DN 1,0m - Km 0+185 - acesso km 144+540 LE - Bueiro de Concreto - LD</t>
  </si>
  <si>
    <t>3.2.1.2.2.4.5</t>
  </si>
  <si>
    <t>2.5-BSTC DN 1,0m - Km 0+242 - acesso km 144+540 LD - Bueiro de Concreto - LE</t>
  </si>
  <si>
    <t>3.2.1.2.2.4.6</t>
  </si>
  <si>
    <t>2.5-BSTC DN 1,0m - Km 0+242 - acesso km 144+540 LD - Bueiro de Concreto - LD</t>
  </si>
  <si>
    <t>3.2.1.2.2.6.3</t>
  </si>
  <si>
    <t>2.5-BST PEAD DN 0,80m - Km 0+280 - acesso km 149+600 LE - Bueiro de PEAD - LE</t>
  </si>
  <si>
    <t>3.2.1.2.2.6.4</t>
  </si>
  <si>
    <t>2.5-BST PEAD DN 0,80m - Km 0+280 - acesso km 149+600 LE - Bueiro de PEAD - LD</t>
  </si>
  <si>
    <t>3.2.1.2.2.5.5</t>
  </si>
  <si>
    <t>2.5-BSTC DN 0,80 m - Km 0+762 - acesso km 147+195 LE - Bueiro de Concreto - LE</t>
  </si>
  <si>
    <t>3.2.1.2.2.5.6</t>
  </si>
  <si>
    <t>2.5-BSTC DN 0,80 m - Km 0+762 - acesso km 147+195 LE - Bueiro de Concreto - LD</t>
  </si>
  <si>
    <t>3.2.1.2.2.7.4</t>
  </si>
  <si>
    <t>2.5-BST PEAD DN 0,80m - Km 0+414 - acesso km 151+700 LD - Bueiro de PEAD - LE</t>
  </si>
  <si>
    <t>3.2.1.2.2.7.5</t>
  </si>
  <si>
    <t>2.5-BST PEAD DN 0,80m - Km 0+414 - acesso km 151+700 LD - Bueiro de PEAD - LD</t>
  </si>
  <si>
    <t>3.1.7.1.2.1.1</t>
  </si>
  <si>
    <t>2.5-BDT PEAD DN 1,20m - km 138+496 - Aterro A1 - Bueiro de PEAD</t>
  </si>
  <si>
    <t>2.5-BDT PEAD DN 1,20m - km 138+496 - Aterro A1 - Bueiro de PEAD - LE</t>
  </si>
  <si>
    <t>3.1.7.1.2.1.2</t>
  </si>
  <si>
    <t>2.5-BDT PEAD DN 1,20m - km 138+496 - Aterro A1 - Bueiro de PEAD - LD</t>
  </si>
  <si>
    <t>3.1.7.1.2.33.4</t>
  </si>
  <si>
    <t>2.5-BSCC 2,00 x 2,00 - Km 152+340 - Aterro A13 - Bueiro de Concreto - LE</t>
  </si>
  <si>
    <t>3.1.7.1.2.33.5</t>
  </si>
  <si>
    <t>2.5-BSCC 2,00 x 2,00 - Km 152+340 - Aterro A13 - Bueiro de Concreto - LD</t>
  </si>
  <si>
    <t>3.2.1.2.2.1.5</t>
  </si>
  <si>
    <t>2.5-BSTC DN 0,80m - Km 0+253 - acesso km 139+190 LD - Bueiro de Concreto - LE</t>
  </si>
  <si>
    <t>3.2.1.2.2.1.6</t>
  </si>
  <si>
    <t>2.5-BSTC DN 0,80m - Km 0+253 - acesso km 139+190 LD - Bueiro de Concreto - LD</t>
  </si>
  <si>
    <t>3.1.7.1.3.1.2</t>
  </si>
  <si>
    <t>3.1-BST PEAD DN 1,0m - km 153+731 - Aterro A2 - Bueiro de PEAD - LE</t>
  </si>
  <si>
    <t>3.1.7.1.3.1.3</t>
  </si>
  <si>
    <t>3.1-BST PEAD DN 1,0m - km 153+731 - Aterro A2 - Bueiro de PEAD - LD</t>
  </si>
  <si>
    <t>3.1.7.1.3.2.2</t>
  </si>
  <si>
    <t>3.1-PF 2,50x2,00 Km 153+780- Aterro A2 - Bueiro de Concreto - LE</t>
  </si>
  <si>
    <t>3.1.7.1.3.2.3</t>
  </si>
  <si>
    <t>3.1-PF 2,50x2,00 Km 153+780- Aterro A2 - Bueiro de Concreto - LD</t>
  </si>
  <si>
    <t>3.1.7.1.3.3.1</t>
  </si>
  <si>
    <t>3.1-BSCC 2,0 x 1,50 m - Km 153+896 - Aterro A2 - Bueiro de Concreto</t>
  </si>
  <si>
    <t>3.1-BSCC 2,0 x 1,50 m - Km 153+896 - Aterro A2 - Bueiro de Concreto - LE</t>
  </si>
  <si>
    <t>3.1.7.1.3.3.2</t>
  </si>
  <si>
    <t>3.1-BSCC 2,0 x 1,50 m - Km 153+896 - Aterro A2 - Bueiro de Concreto - LD</t>
  </si>
  <si>
    <t>3.1.7.1.3.4.1</t>
  </si>
  <si>
    <t>3.1-BDCC 2,0 x 1,50 m - Km 154+372 - Aterro A2 - Bueiro de Concreto</t>
  </si>
  <si>
    <t>3.1-BDCC 2,0 x 1,50 m - Km 154+372 - Aterro A2 - Bueiro de Concreto - LE</t>
  </si>
  <si>
    <t>3.1.7.1.3.4.2</t>
  </si>
  <si>
    <t>3.1-BDCC 2,0 x 1,50 m - Km 154+372 - Aterro A2 - Bueiro de Concreto - LD</t>
  </si>
  <si>
    <t>3.1.7.1.3.5.1</t>
  </si>
  <si>
    <t>3.1-BDCC 2,50 x 2,50 m - Km 155+722 -Aterro A3 - Bueiro de Concreto</t>
  </si>
  <si>
    <t>3.1-BDCC 2,50 x 2,50 m - Km 155+722 -Aterro A3 - Bueiro de Concreto - LE</t>
  </si>
  <si>
    <t>3.1.7.1.3.5.2</t>
  </si>
  <si>
    <t>3.1-BDCC 2,50 x 2,50 m - Km 155+722 -Aterro A3 - Bueiro de Concreto - LD</t>
  </si>
  <si>
    <t>3.1.7.1.3.6.4</t>
  </si>
  <si>
    <t>3.1-PG BSCC 3,0 x 3,0m - km 158+725 - Aterro A4 - Bueiro de Concreto - LE</t>
  </si>
  <si>
    <t>3.1.7.1.3.6.5</t>
  </si>
  <si>
    <t>3.1-PG BSCC 3,0 x 3,0m - km 158+725 - Aterro A4 - Bueiro de Concreto - LD</t>
  </si>
  <si>
    <t>3.1.7.1.3.7.5</t>
  </si>
  <si>
    <t>3.1-BTCC 3,00x3,00 - Km 158+964 - Aterro A4 - Bueiro de Concreto - LE</t>
  </si>
  <si>
    <t>3.1.7.1.3.7.6</t>
  </si>
  <si>
    <t>3.1-BTCC 3,00x3,00 - Km 158+964 - Aterro A4 - Bueiro de Concreto - LD</t>
  </si>
  <si>
    <t>3.1.7.1.3.8.5</t>
  </si>
  <si>
    <t>3.1-BSCC 3,0 x 250m - Km 159+871 - Aterro A5 - Bueiro de Concreto - LE</t>
  </si>
  <si>
    <t>3.1.7.1.3.8.6</t>
  </si>
  <si>
    <t>3.1-BSCC 3,0 x 250m - Km 159+871 - Aterro A5 - Bueiro de Concreto - LD</t>
  </si>
  <si>
    <t>3.1.7.1.3.9.4</t>
  </si>
  <si>
    <t>3.1-PG BSCC 2,50 x 2,50 m - Km 161+705 - Aterro A6 - Bueiro de Concreto - LE</t>
  </si>
  <si>
    <t>3.1.7.1.3.9.5</t>
  </si>
  <si>
    <t>3.1-PG BSCC 2,50 x 2,50 m - Km 161+705 - Aterro A6 - Bueiro de Concreto - LD</t>
  </si>
  <si>
    <t>3.1.7.1.3.10.4</t>
  </si>
  <si>
    <t>3.1-BSCC 3,50 x 3,50m - Km 161+789 - Aterro A6 - Bueiro de Concreto - LE</t>
  </si>
  <si>
    <t>3.1.7.1.3.10.5</t>
  </si>
  <si>
    <t>3.1-BSCC 3,50 x 3,50m - Km 161+789 - Aterro A6 - Bueiro de Concreto - LD</t>
  </si>
  <si>
    <t>3.1.7.1.3.11.5</t>
  </si>
  <si>
    <t>3.1-BSCC 3,50 x 350m - Km 163+518 - Aterro A7 - Bueiro de Concreto - LE</t>
  </si>
  <si>
    <t>3.1.7.1.3.11.6</t>
  </si>
  <si>
    <t>3.1-BSCC 3,50 x 350m - Km 163+518 - Aterro A7 - Bueiro de Concreto - LD</t>
  </si>
  <si>
    <t>3.2.1.2.3.1.5</t>
  </si>
  <si>
    <t>3.1-BSCC 1,50 x 1,50 m - Km 0+034 - acesso km 154+757 LE - Bueiro de Concreto - LE</t>
  </si>
  <si>
    <t>3.2.1.2.3.1.6</t>
  </si>
  <si>
    <t>3.1-BSCC 1,50 x 1,50 m - Km 0+034 - acesso km 154+757 LE - Bueiro de Concreto - LD</t>
  </si>
  <si>
    <t>3.2.1.2.3.2.5</t>
  </si>
  <si>
    <t>3.1-BDTC DN 1,0m - Km 0+399 - acesso km 154+757 LE - Bueiro de Concreto - LE</t>
  </si>
  <si>
    <t>3.2.1.2.3.3.5</t>
  </si>
  <si>
    <t>3.1-BSTC DN 1,2m - Km 0+436 - acesso km 154+757 LD - Bueiro de Concreto - LE</t>
  </si>
  <si>
    <t>3.2.1.2.3.4.5</t>
  </si>
  <si>
    <t>3.1-BSTC DN 1,0m - Km 0+260 - acesso km 154+757 LD - Bueiro de Concreto - LD</t>
  </si>
  <si>
    <t>3.2.1.2.3.5.5</t>
  </si>
  <si>
    <t>3.1-BSTC DN 0,80m - Km 0+133 - acesso km 159+940 LD - Bueiro de Concreto - LE</t>
  </si>
  <si>
    <t>3.2.1.2.3.5.6</t>
  </si>
  <si>
    <t>3.1-BSTC DN 0,80m - Km 0+133 - acesso km 159+940 LD - Bueiro de Concreto - LD</t>
  </si>
  <si>
    <t>3.2.1.2.3.2.6</t>
  </si>
  <si>
    <t>3.1-BDTC DN 1,0m - Km 0+399 - acesso km 154+757 LE - Bueiro de Concreto - LD</t>
  </si>
  <si>
    <t>3.2.1.2.3.3.6</t>
  </si>
  <si>
    <t>3.1-BSTC DN 1,2m - Km 0+436 - acesso km 154+757 LD - Bueiro de Concreto - LD</t>
  </si>
  <si>
    <t>3.3.5.3.1.5</t>
  </si>
  <si>
    <t>BSTC 0,80m - CONEXÃO 3 - PATIO GO-164 - km 0+352 - LE</t>
  </si>
  <si>
    <t>3.3.5.3.1.4</t>
  </si>
  <si>
    <t xml:space="preserve">BSTC 0,80m - CONEXÃO 3 - PATIO GO-164 - km 0+352- LD </t>
  </si>
  <si>
    <t>3.3.5.3.2.4</t>
  </si>
  <si>
    <t>BSTC 0,80m - RETORNO 1 - PATIO GO-164 - km 0+47 - LD</t>
  </si>
  <si>
    <t>3.3.5.3.2.5</t>
  </si>
  <si>
    <t>BSTC 0,80m - RETORNO 1 - PATIO GO-164 - km 0+47 - LE</t>
  </si>
  <si>
    <t>'''''''</t>
  </si>
  <si>
    <t>3.3.5.3.3.4</t>
  </si>
  <si>
    <t>BSTC 0,80m - CONEXÃO 1 - PATIO GO-164 - km 0+641 - LD</t>
  </si>
  <si>
    <t>3.3.5.3.3.5</t>
  </si>
  <si>
    <t>BSTC 0,80m - CONEXÃO 1 - PATIO GO-164 - km 0+641 - LE</t>
  </si>
  <si>
    <t>Drenagem Superficial - Sarjeta</t>
  </si>
  <si>
    <t>2.3.3.1.3.1.1</t>
  </si>
  <si>
    <t>2.2-DESVIO GO-156</t>
  </si>
  <si>
    <t xml:space="preserve">   Construção de sarjeta trapezoidal de corte</t>
  </si>
  <si>
    <t>2.1.5.2.1.15.1</t>
  </si>
  <si>
    <t>2.2-A02E</t>
  </si>
  <si>
    <t xml:space="preserve">   Seg. 2.2-A01 - Drenagem Superficial - Sarjeta de aterro (Km 104+500 a 105+040)</t>
  </si>
  <si>
    <t>2.1.5.2.1.18.1</t>
  </si>
  <si>
    <t xml:space="preserve">   Seg. 2.2-A04 - Drenagem Superficial - Sarjeta de aterro (Km 105+980 a 106+200)</t>
  </si>
  <si>
    <t>2.1.5.2.1.19.1</t>
  </si>
  <si>
    <t xml:space="preserve">   Seg. 2.2-A05-B01 - Drenagem Superficial - Sarjeta de aterro (Km 107+420 a 107+700)</t>
  </si>
  <si>
    <t>2.1.5.2.1.20.1</t>
  </si>
  <si>
    <t xml:space="preserve">   Seg. 2.2-A06 - Drenagem Superficial - Sarjeta de aterro (Km 108+120 a 108+540)</t>
  </si>
  <si>
    <t>2.3.3.2.3.1.1</t>
  </si>
  <si>
    <t>2.2 - Recomposição GO-156</t>
  </si>
  <si>
    <t>2.1.5.2.1.1.1</t>
  </si>
  <si>
    <t xml:space="preserve">   Seg. 2.2-C02 - Drenagem Superficial - Sarjeta de corte (Km 105+208 a 105+560) Manual</t>
  </si>
  <si>
    <t>2.1.5.2.1.2.1</t>
  </si>
  <si>
    <t xml:space="preserve">   Seg. 2.2-C03 - Drenagem Superficial - Sarjeta de corte (Km 105+620 a 105+960)</t>
  </si>
  <si>
    <t>2.1.5.2.1.4.1</t>
  </si>
  <si>
    <t xml:space="preserve">   Seg. 2.2-C05 - Drenagem Superficial - Sarjeta de corte (Km 107+720 a 107+800)</t>
  </si>
  <si>
    <t>2.1.5.2.1.5.1</t>
  </si>
  <si>
    <t xml:space="preserve">   Seg. 2.2-C06 - Drenagem Superficial - Sarjeta de corte (Km 108+360 a 108+400)</t>
  </si>
  <si>
    <t>2.1.5.2.1.7.1</t>
  </si>
  <si>
    <t xml:space="preserve">   Seg. 2.2-C08 - Drenagem Superficial - Sarjeta de corte (km 109+280 a 109+440)</t>
  </si>
  <si>
    <t>2.1.5.2.1.8.1</t>
  </si>
  <si>
    <t xml:space="preserve">   Seg. 2.2-C09 - Drenagem Superficial - Sarjeta de corte (Km 109+590 a 109+990 e 110+040 a 110+840)</t>
  </si>
  <si>
    <t>2.1.5.2.1.9.1</t>
  </si>
  <si>
    <t xml:space="preserve">   Seg. 2.2-C10-B01 - Drenagem Superficial - Sarjeta de corte (Km 111+240 a 111+620)</t>
  </si>
  <si>
    <t>2.1.5.2.1.10.1</t>
  </si>
  <si>
    <t xml:space="preserve">   Seg. 2.2-C11-B01 - Drenagem Superficial - Sarjeta de corte (Km 112+020 a 112+420)</t>
  </si>
  <si>
    <t>2.1.5.2.1.11.2</t>
  </si>
  <si>
    <t xml:space="preserve">   Seg. 2.2-C12 - Drenagem Superficial - Sarjeta de corte (Km 113+280 a 114+300) Manual</t>
  </si>
  <si>
    <t>2.1.5.2.1.12.1</t>
  </si>
  <si>
    <t xml:space="preserve">   Seg. 2.2-C13 - Drenagem Superficial - Sarjeta de corte (Km 114+980 a 115+800)</t>
  </si>
  <si>
    <t>2.1.5.2.1.14.1</t>
  </si>
  <si>
    <t xml:space="preserve">   Seg. 2.2-C15 - Drenagem Superficial - Sarjeta de corte (Km 116+120 a 116+240)</t>
  </si>
  <si>
    <t>2.1.5.2.1.16.1</t>
  </si>
  <si>
    <t xml:space="preserve">   Seg. 2.2-A02- Drenagem Superficial - Sarjeta de aterro (Km 105+120 a 105+270)</t>
  </si>
  <si>
    <t>2.1.5.2.1.21.1</t>
  </si>
  <si>
    <t xml:space="preserve">   Seg. 2.2-A07 - Drenagem Superficial - Sarjeta de aterro (Km 109+200 a 109+280)</t>
  </si>
  <si>
    <t>2.1.5.2.1.22.1</t>
  </si>
  <si>
    <t xml:space="preserve">   Seg. 2.2-A08 - Drenagem Superficial - Sarjeta de aterro (Km 109+440 a 109+580)</t>
  </si>
  <si>
    <t>2.1.5.2.1.23.1</t>
  </si>
  <si>
    <t xml:space="preserve">   Seg. 2.2-A09 - Drenagem Superficial - Sarjeta de aterro (Km 110+000 a 110+040)</t>
  </si>
  <si>
    <t>2.1.5.2.1.24.1</t>
  </si>
  <si>
    <t xml:space="preserve">   Seg. 2.2-A10 - Drenagem Superficial - Sarjeta de aterro (Km 110+880 a 111+220)</t>
  </si>
  <si>
    <t>2.1.5.2.1.25.1</t>
  </si>
  <si>
    <t xml:space="preserve">   Seg. 2.2-A11-B01 - Drenagem Superficial - Sarjeta de aterro (Km 111+640 a 112+000)</t>
  </si>
  <si>
    <t>2.1.5.2.1.26.1</t>
  </si>
  <si>
    <t xml:space="preserve">   Seg. 2.2-A12 - Drenagem Superficial -Sarjeta de aterro (Km 112+410 a 113+280)</t>
  </si>
  <si>
    <t>2.1.5.2.1.27.1</t>
  </si>
  <si>
    <t xml:space="preserve">   Seg. 2.2-A13 - Drenagem Superficial - Sarjeta de aterro (Km 114+320 a 114+940)</t>
  </si>
  <si>
    <t>2.1.5.2.1.28.1</t>
  </si>
  <si>
    <t xml:space="preserve">   Seg. 2.2-A14-B01 - Drenagem Superficial - Sarjeta de aterro (Km 115+820 a 116+020)</t>
  </si>
  <si>
    <t>2.1.5.2.1.29.1</t>
  </si>
  <si>
    <t xml:space="preserve">   Seg. 2.2-A15-B01 - Drenagem Superficial - Sarjeta de aterro (Km 116+260 a 116+460)</t>
  </si>
  <si>
    <t>2.2.1.3.1.1.1</t>
  </si>
  <si>
    <t xml:space="preserve">   Seg. 2.2-A04-Acesso - Drenagem Superficial - Sarjeta de corte (Km 106+190)</t>
  </si>
  <si>
    <t>2.2.1.3.1.2.1</t>
  </si>
  <si>
    <t>2.2-AC. KM 108+540</t>
  </si>
  <si>
    <t xml:space="preserve">   Seg. 2.2-A06-Acesso - Drenagem Superficial - Sarjeta de corte (Km 108+540)</t>
  </si>
  <si>
    <t>2.2.1.3.1.3.1</t>
  </si>
  <si>
    <t>2.2- AC. KM 110+035</t>
  </si>
  <si>
    <t xml:space="preserve">   Seg. 2.2-A09-Acesso - Drenagem Superficial - Sarjeta de corte (Km 110+035)</t>
  </si>
  <si>
    <t>2.2.1.3.1.5.1</t>
  </si>
  <si>
    <t>ACESSO 114+740</t>
  </si>
  <si>
    <t xml:space="preserve">   Seg. 2.2-A13-Acesso - Drenagem Superficial - Sarjeta de corte (Km 114+740)</t>
  </si>
  <si>
    <t>2.2.1.3.1.6.1</t>
  </si>
  <si>
    <t>2.2-AC. KM 115+600</t>
  </si>
  <si>
    <t xml:space="preserve">   Seg. 2.2-C13-Acesso - Drenagem Superficial - Sarjeta de corte (Km 115+600)</t>
  </si>
  <si>
    <t>2.1.5.2.1.3.3.5</t>
  </si>
  <si>
    <t xml:space="preserve">   Seg. 2.2-C04-Plataforma - Drenagem Superficial - Sarjeta de corte (Manual)</t>
  </si>
  <si>
    <t>2.1.5.2.1.3.3.6</t>
  </si>
  <si>
    <t>2.2-C04E</t>
  </si>
  <si>
    <t xml:space="preserve">   Seg. 2.2-C04-Plataforma - Drenagem Superficial - Sarjeta de corte (Extrusada)</t>
  </si>
  <si>
    <t>2.1.5.2.1.6.2</t>
  </si>
  <si>
    <t xml:space="preserve">   Seg. 2.2-C07 - Drenagem Superficial - Sarjeta de corte (Km 108+560 a 109+200) Manual</t>
  </si>
  <si>
    <t>2.1.5.2.1.6.1</t>
  </si>
  <si>
    <t>2.2-C07E</t>
  </si>
  <si>
    <t xml:space="preserve">   Seg. 2.2-C07 - Drenagem Superficial - Sarjeta de corte (Km 108+560 a 109+200) Extrusada</t>
  </si>
  <si>
    <t>2.1.5.2.1.11.1</t>
  </si>
  <si>
    <t>2.2-C12E</t>
  </si>
  <si>
    <t xml:space="preserve">   Seg. 2.2-C12 - Drenagem Superficial - Sarjeta de corte (Km 113+280 a 114+300) Extrusada</t>
  </si>
  <si>
    <t>2.3.3.2.3.2.1</t>
  </si>
  <si>
    <t>Construção de sarjeta trapezoidal de aterro</t>
  </si>
  <si>
    <t>2.2.1.3.1.4.1</t>
  </si>
  <si>
    <t>2.2-AC. KM 114+450</t>
  </si>
  <si>
    <t>Seg. 2.2-A13-Acesso - Drenagem Superficial - Sarjeta de corte (Km 114+450)</t>
  </si>
  <si>
    <t>2.3.3.2.3.3.1</t>
  </si>
  <si>
    <t>2.3.4.1.4.4.1</t>
  </si>
  <si>
    <t xml:space="preserve">   Construção de sarjeta de corte</t>
  </si>
  <si>
    <t>2.3.4.3.1.1.1</t>
  </si>
  <si>
    <t>2.3 - Recomposição GO-336</t>
  </si>
  <si>
    <t>2.1.5.2.2.23.1</t>
  </si>
  <si>
    <t xml:space="preserve">   Seg. 2.3-A12 - Drenagem Superficial - Sarjeta de aterro (Km 124+620 a 125+180)</t>
  </si>
  <si>
    <t>2.1.5.2.2.1.1</t>
  </si>
  <si>
    <t xml:space="preserve">   Seg. 2.3-C01 - Drenagem Superficial - Sarjeta de corte (Km 116+680 a 116+940)</t>
  </si>
  <si>
    <t>2.1.5.2.2.2.1</t>
  </si>
  <si>
    <t xml:space="preserve">   Seg. 2.3-C02 - Drenagem Superficial - Sarjeta de corte (Km 118+680 a 118+180)</t>
  </si>
  <si>
    <t>2.1.5.2.2.3.1</t>
  </si>
  <si>
    <t xml:space="preserve">   Seg. 2.3-C03 - Drenagem Superficial -Sarjeta de corte (Km 118+300 a 118+500)</t>
  </si>
  <si>
    <t>2.1.5.2.2.4.1</t>
  </si>
  <si>
    <t xml:space="preserve">   Seg. 2.3-C04 - Drenagem Superficial - Sarjeta de corte (Km 118+580 a 120+020)</t>
  </si>
  <si>
    <t>2.1.5.2.2.5.1</t>
  </si>
  <si>
    <t xml:space="preserve">   Seg. 2.3-C05 - Drenagem Superficial - Sarjeta de corte (Km 120+240 a 120+900)</t>
  </si>
  <si>
    <t>2.1.5.2.2.6.1</t>
  </si>
  <si>
    <t xml:space="preserve">   Seg. 2.3-C06-B01 - Drenagem Superficial - Sarjeta de corte (Km 121+560 a 121+660)</t>
  </si>
  <si>
    <t>2.1.5.2.2.7.1</t>
  </si>
  <si>
    <t xml:space="preserve">   Seg. 2.3-C07 - Drenagem Superficial - Sarjeta de corte (Km 121+700 a 122+200)</t>
  </si>
  <si>
    <t>2.1.5.2.2.9.1</t>
  </si>
  <si>
    <t xml:space="preserve">   Seg. 2.3-C09 - Drenagem Superficial - Sarjeta de corte (Km 124+700 a 124+760)</t>
  </si>
  <si>
    <t>2.1.5.2.2.10.1</t>
  </si>
  <si>
    <t xml:space="preserve">   Seg. 2.3-C10 - Drenagem Superficial - Sarjeta de corte (Km 125+160 a 125+640)</t>
  </si>
  <si>
    <t>2.1.5.2.2.12.1</t>
  </si>
  <si>
    <t xml:space="preserve">   Seg. 2.3-C12 - Drenagem Superficial - Sarjeta de corte (Km 126+480 a 126+620)</t>
  </si>
  <si>
    <t>2.1.5.2.2.13.1</t>
  </si>
  <si>
    <t xml:space="preserve">   Seg. 2.3-C13 - Drenagem Superficial - Sarjeta de corte (Km 127+340 a 127+540)</t>
  </si>
  <si>
    <t>2.1.5.2.2.14.1</t>
  </si>
  <si>
    <t xml:space="preserve">   Seg. 2.3-C14 - Drenagem Superficial - Sarjeta de corte (Km 127+980 a 128+300)</t>
  </si>
  <si>
    <t>2.1.5.2.2.15.1</t>
  </si>
  <si>
    <t xml:space="preserve">   Seg. 2.3-A01 - Drenagem Superficial - Sarjeta de aterro (Km 116+540 a 116+680)</t>
  </si>
  <si>
    <t>2.1.5.2.2.16.1</t>
  </si>
  <si>
    <t xml:space="preserve">   Seg. 2.3-A02 - Drenagem Superficial - Sarjeta de aterro (Km 116+940 a 118+020)</t>
  </si>
  <si>
    <t>2.1.5.2.2.17.1</t>
  </si>
  <si>
    <t xml:space="preserve">   Seg. 2.3-A03 - Drenagem Superficial - Sarjeta de aterro (Km 118+180 a 118+280)</t>
  </si>
  <si>
    <t>2.1.5.2.2.18.1</t>
  </si>
  <si>
    <t xml:space="preserve">   Seg. 2.3-A04 - Drenagem Superficial - Sarjeta de aterro (Km 118+500 a 118+580)</t>
  </si>
  <si>
    <t>2.1.5.2.2.19.1</t>
  </si>
  <si>
    <t xml:space="preserve">   Seg. 2.3-A05 - Drenagem Superficial - Sarjeta de aterro (Km 120+040 a 120+320)</t>
  </si>
  <si>
    <t>2.1.5.2.2.20.1</t>
  </si>
  <si>
    <t xml:space="preserve">   Seg. 2.3-A06 - Drenagem Superficial - Sarjeta de aterro (Km 120+920 a 121+560)</t>
  </si>
  <si>
    <t>2.1.5.2.2.21.1</t>
  </si>
  <si>
    <t xml:space="preserve">   Seg. 2.3-A07 - Drenagem Superficial - Sarjeta de aterro (Km 121+660 a 121+700)</t>
  </si>
  <si>
    <t>2.1.5.2.2.22.2</t>
  </si>
  <si>
    <t xml:space="preserve">   Seg. 2.3-A11 - Drenagem Superficial - Sarjeta de aterro (Km 124+400 ao 124+460)</t>
  </si>
  <si>
    <t>2.1.5.2.2.24.1</t>
  </si>
  <si>
    <t xml:space="preserve">   Seg. 2.3-A13 - Drenagem Superficial - Sarjeta de aterro (Km 125+640 a 125+960)</t>
  </si>
  <si>
    <t>2.1.5.2.2.25.1</t>
  </si>
  <si>
    <t xml:space="preserve">   Seg. 2.3-A14 - Drenagem Superficial - Sarjeta de aterro (Km 126+360 a 126+500)</t>
  </si>
  <si>
    <t>2.1.5.2.2.26.1</t>
  </si>
  <si>
    <t xml:space="preserve">   Seg. 2.3-A15 - Drenagem Superficial - Sarjeta de aterro (Km 126+620 a 127+440)</t>
  </si>
  <si>
    <t>2.1.5.2.2.27.1</t>
  </si>
  <si>
    <t xml:space="preserve">   Seg. 2.3-A16 - Drenagem Superficial - Sarjeta de aterro (Km 127+540 a 127+980)</t>
  </si>
  <si>
    <t>2.1.5.2.2.28.1</t>
  </si>
  <si>
    <t xml:space="preserve">   Seg. 2.3-A17-B02 - Drenagem Superficial - Sarjeta de aterro (Km 128+320 a 131+241)</t>
  </si>
  <si>
    <t>2.2.1.3.2.1.1</t>
  </si>
  <si>
    <t>2.3-AC.118+175</t>
  </si>
  <si>
    <t xml:space="preserve">   Seg. 2.3-C02-Acesso - Drenagem Superficial - Sarjeta de corte (Km 118+175)</t>
  </si>
  <si>
    <t>2.2.1.3.2.2.1</t>
  </si>
  <si>
    <t>2.3-AC.120+040</t>
  </si>
  <si>
    <t xml:space="preserve">   Seg. 2.3-C04-Acesso - Drenagem Superficial - Sarjeta de corte</t>
  </si>
  <si>
    <t>2.2.1.3.2.4.1</t>
  </si>
  <si>
    <t>2.3-AC.126+600</t>
  </si>
  <si>
    <t xml:space="preserve">   Seg. 2.3-C12-Acesso - Drenagem Superficial - Sarjeta de corte / aterro</t>
  </si>
  <si>
    <t>2.2.1.3.2.5.1</t>
  </si>
  <si>
    <t>2.3-AC.128+740</t>
  </si>
  <si>
    <t xml:space="preserve">   Seg. 2.3-A17-Acesso - Drenagem Superficial - Sarjeta de corte (Km 128+740)</t>
  </si>
  <si>
    <t>2.2.1.3.2.6.1</t>
  </si>
  <si>
    <t>2.3-AC.129+160</t>
  </si>
  <si>
    <t xml:space="preserve">   Seg. 2.3-A17-Acesso - Drenagem Superficial - Sarjeta de corte / aterro</t>
  </si>
  <si>
    <t>2.2.1.3.2.3.2</t>
  </si>
  <si>
    <t>2.3-AC.123+603</t>
  </si>
  <si>
    <t xml:space="preserve">   Seg. 2.3-C08-Acesso - Drenagem Superficial - Sarjeta de corte</t>
  </si>
  <si>
    <t>2.3.4.1.4.2.1</t>
  </si>
  <si>
    <t>2.3.4.3.1.2.1</t>
  </si>
  <si>
    <t>2.3.4.3.1.3.1</t>
  </si>
  <si>
    <t>2.3.4.1.4.1.1</t>
  </si>
  <si>
    <t>2.1.5.2.2.8.2.3</t>
  </si>
  <si>
    <t xml:space="preserve">   Seg. 2.3-C08-Plataforma - Drenagem Superficial - Sarjeta de corte</t>
  </si>
  <si>
    <t>Ação de alinhamento para correção das quantidades acumuladas</t>
  </si>
  <si>
    <t>3.2.1.3.1.1.1</t>
  </si>
  <si>
    <t>2.4-AC.132+060</t>
  </si>
  <si>
    <t xml:space="preserve">   Seg. 2.4-Acesso A01 - Drenagem Superficial - Sarjeta de Corte (Manual)</t>
  </si>
  <si>
    <t>3.1.7.2.1.2.1</t>
  </si>
  <si>
    <t xml:space="preserve">   Seg. 2.4-C05 - Drenagem Superficial - Sarjeta de corte (Manual)</t>
  </si>
  <si>
    <t>3.1.7.2.1.6.1</t>
  </si>
  <si>
    <t>2.4-A01E</t>
  </si>
  <si>
    <t xml:space="preserve">   Seg. 2.4-A01 - Drenagem Superficial - Sarjeta de aterro (Extrusada)</t>
  </si>
  <si>
    <t>3.1.7.2.1.11.1</t>
  </si>
  <si>
    <t xml:space="preserve">   Seg. 2.4-A06 - Drenagem Superficial - Sarjeta de aterro (Manual)</t>
  </si>
  <si>
    <t xml:space="preserve">   Seg. 2.4-A01 - Drenagem Superficial - Sarjeta de aterro - (Manual)</t>
  </si>
  <si>
    <t>3.2.1.3.2.1.1</t>
  </si>
  <si>
    <t>2.5-AC.139+190</t>
  </si>
  <si>
    <t xml:space="preserve">   Seg. 2.5-Acesso C01 - Drenagem Superficial - Sarjeta de Corte (Manual)</t>
  </si>
  <si>
    <t>3.2.1.3.2.2.1</t>
  </si>
  <si>
    <t xml:space="preserve">   Seg. 2.5-Acesso C04 - Sarjeta de Corte (Manual)</t>
  </si>
  <si>
    <t>3.2.1.3.2.3.1</t>
  </si>
  <si>
    <t xml:space="preserve">   Seg. 2.5-Acesso C07 - Drenagem Superficial - Sarjeta de Corte (Manual)</t>
  </si>
  <si>
    <t>3.2.1.3.2.5.1</t>
  </si>
  <si>
    <t xml:space="preserve">   Seg. 2.5-Acesso A10 - Drenagem Superficial - Sarjeta de corte (Manual)</t>
  </si>
  <si>
    <t>3.2.1.3.2.6.1</t>
  </si>
  <si>
    <t xml:space="preserve">   Seg. 2.5-Acesso A13 - Drenagem Superficial - Sarjeta de corte (Manual)</t>
  </si>
  <si>
    <t>3.1.7.2.2.1.1</t>
  </si>
  <si>
    <t xml:space="preserve">   Seg. 2.5-C01 - Drenagem Superficial - Sarjeta de Corte (Manual)</t>
  </si>
  <si>
    <t>3.1.7.2.2.3.1</t>
  </si>
  <si>
    <t xml:space="preserve">   Seg. 2.5-C03 - Drenagem Superficial - Sarjeta de Corte (Manual)</t>
  </si>
  <si>
    <t>3.1.7.2.2.4.1</t>
  </si>
  <si>
    <t xml:space="preserve">   Seg. 2.5-C04 - Drenagem Superficial - Sarjeta de Corte (Manual)</t>
  </si>
  <si>
    <t>3.1.7.2.2.5.1</t>
  </si>
  <si>
    <t xml:space="preserve">   Seg. 2.5-C05 - Drenagem Superficial - Sarjeta de Corte (Manual)</t>
  </si>
  <si>
    <t>3.1.7.2.2.6.1</t>
  </si>
  <si>
    <t>2.5-C07E</t>
  </si>
  <si>
    <t xml:space="preserve">   Seg. 2.5-C07 - Drenagem Superficial - Sarjeta de Corte (Extrusada)</t>
  </si>
  <si>
    <t>3.1.7.2.2.8.7</t>
  </si>
  <si>
    <t>2.5-C09E</t>
  </si>
  <si>
    <t xml:space="preserve">   Seg. 2.5-C09 - Drenagem Superficial - Sarjeta de Corte (Extrusada)</t>
  </si>
  <si>
    <t>3.1.7.2.2.9.1</t>
  </si>
  <si>
    <t>2.5-C10E</t>
  </si>
  <si>
    <t xml:space="preserve">   Seg. 2.5-C10 - Drenagem Superficial - Execução de sarjeta (Extrusada)</t>
  </si>
  <si>
    <t>3.1.7.2.2.10.2</t>
  </si>
  <si>
    <t>2.5-C11E</t>
  </si>
  <si>
    <t xml:space="preserve">   Seg. 2.5-C11 - Drenagem Superficial - Sarjeta de Corte (Extrusada)</t>
  </si>
  <si>
    <t>3.1.7.2.2.11.2</t>
  </si>
  <si>
    <t>2.5-C12E</t>
  </si>
  <si>
    <t xml:space="preserve">   Seg. 2.5-C12 - Drenagem Superficial - Sarjeta de Corte (Extrusada)</t>
  </si>
  <si>
    <t>3.1.7.2.2.12.1</t>
  </si>
  <si>
    <t>2.5-A01E</t>
  </si>
  <si>
    <t xml:space="preserve">   Seg. 2.5-A01 - Drenagem Superficial - Sarjeta de aterro (Extrusada)</t>
  </si>
  <si>
    <t>3.1.7.2.2.13.1</t>
  </si>
  <si>
    <t>2.5-A03E</t>
  </si>
  <si>
    <t xml:space="preserve">   Seg. 2.5-A03 - Drenagem Superficial - Execução de sarjeta (Extrusada)</t>
  </si>
  <si>
    <t>3.1.7.2.2.14.1</t>
  </si>
  <si>
    <t>2.5-A04E</t>
  </si>
  <si>
    <t xml:space="preserve">   Seg. 2.5-A04 - Drenagem Superficial - Sarjeta de aterro (Extrusada)</t>
  </si>
  <si>
    <t>3.1.7.2.2.16.1</t>
  </si>
  <si>
    <t>2.5-A06E</t>
  </si>
  <si>
    <t xml:space="preserve">   Seg. 2.5-A06 - Drenagem Superficial - Sarjeta de aterro (Extrusada)</t>
  </si>
  <si>
    <t>3.1.7.2.2.17.1</t>
  </si>
  <si>
    <t>2.5-A07E</t>
  </si>
  <si>
    <t xml:space="preserve">   Seg. 2.5-A07 - Drenagem Superficial - Sarjeta de aterro (Extrusada)</t>
  </si>
  <si>
    <t>3.1.7.2.2.19.1</t>
  </si>
  <si>
    <t>2.5-A09E</t>
  </si>
  <si>
    <t xml:space="preserve">   Seg. 2.5-A09 - Drenagem Superficial - Sarjeta de aterro (Extrusada)</t>
  </si>
  <si>
    <t>3.1.7.2.2.21.1</t>
  </si>
  <si>
    <t xml:space="preserve">   Seg. 2.5-A11 - Drenagem Superficial - Sarjeta de aterro (Manual)</t>
  </si>
  <si>
    <t>3.1.7.2.2.23.1</t>
  </si>
  <si>
    <t>2.5-A13E</t>
  </si>
  <si>
    <t xml:space="preserve">   Seg. 2.5-A13 - Drenagem Superficial - Sarjeta de aterro (Extrusada)</t>
  </si>
  <si>
    <t>3.1.7.2.2.20.1</t>
  </si>
  <si>
    <t>2.5-A10E</t>
  </si>
  <si>
    <t xml:space="preserve">   Seg. 2.5-A10 - Drenagem Superficial - Sarjeta de aterro (Extrusada)</t>
  </si>
  <si>
    <t>3.1.7.2.2.8.6</t>
  </si>
  <si>
    <t xml:space="preserve">   Seg. 2.5-C09 - Drenagem Superficial - Sarjeta de Corte (Manual)</t>
  </si>
  <si>
    <t>3.1.7.2.2.7.1</t>
  </si>
  <si>
    <t xml:space="preserve">   Seg. 2.5-C08- Drenagem Superficial - Sarjeta de corte (Manual)</t>
  </si>
  <si>
    <t>3.1.7.2.2.8.8</t>
  </si>
  <si>
    <t>2.5-C09SRCA</t>
  </si>
  <si>
    <t xml:space="preserve">   Seg. 2.5-C09 - Drenagem Superficial - Sarjeta de Corte (SRCA - PRÉ MOLD.)</t>
  </si>
  <si>
    <t>3.1.7.2.2.4.2</t>
  </si>
  <si>
    <t>2.5-C04E</t>
  </si>
  <si>
    <t xml:space="preserve">   Seg. 2.5-C04 - Drenagem Superficial - Sarjeta de Corte (Extrusada)</t>
  </si>
  <si>
    <t>3.1.7.2.2.5.2</t>
  </si>
  <si>
    <t>2.5-C05E</t>
  </si>
  <si>
    <t xml:space="preserve">   Seg. 2.5-C05 - Drenagem Superficial - Sarjeta de Corte (Extrusada)</t>
  </si>
  <si>
    <t>3.2.1.3.2.4.1</t>
  </si>
  <si>
    <t xml:space="preserve">   Seg. 2.5-Acesso C09 - Drenagem Superficial - Sarjeta de corte (Manual)</t>
  </si>
  <si>
    <t>3.2.1.3.3.3.1</t>
  </si>
  <si>
    <t>3.1-AC.165+850</t>
  </si>
  <si>
    <t xml:space="preserve">   Seg. 3.1-Acesso A10 - Sarjeta de corte (Manual)</t>
  </si>
  <si>
    <t>3.3.4.1.3.1.1</t>
  </si>
  <si>
    <t>Desvio GO-164</t>
  </si>
  <si>
    <t>3.1.7.2.3.1.1</t>
  </si>
  <si>
    <t>3.1-C01E</t>
  </si>
  <si>
    <t xml:space="preserve">   Seg. 3.1-C01 - Drenagem Superficial - Sarjeta de corte (Extrusada)</t>
  </si>
  <si>
    <t>3.1.7.2.3.3.1</t>
  </si>
  <si>
    <t xml:space="preserve">   Seg. 3.1-C03 - Drenagem Superficial - Sarjeta de corte (Manual)</t>
  </si>
  <si>
    <t>3.1.7.2.3.5.1</t>
  </si>
  <si>
    <t xml:space="preserve">   Seg. 3.1-C05 - Drenagem Superficial - Sarjeta de corte (Manual)</t>
  </si>
  <si>
    <t>3.1.7.2.3.6.1</t>
  </si>
  <si>
    <t xml:space="preserve">   Seg. 3.1-C06 - Drenagem Superficial - Sarjeta de corte (Manual)</t>
  </si>
  <si>
    <t>3.1.7.2.3.7.1</t>
  </si>
  <si>
    <t xml:space="preserve">   Seg. 3.1-C07 - Drenagem Superficial - Sarjeta de corte (Manual)</t>
  </si>
  <si>
    <t>3.1.7.2.3.8.1</t>
  </si>
  <si>
    <t>3.1-C06E</t>
  </si>
  <si>
    <t xml:space="preserve">   Seg. 3.1-C08 - Drenagem Superficial - Sarjeta de corte (Extrusada)</t>
  </si>
  <si>
    <t>3.1.7.2.3.10.1</t>
  </si>
  <si>
    <t xml:space="preserve">   Seg. 3.1-A02 - Drenagem Superficial - Sarjeta de aterro (Manual)</t>
  </si>
  <si>
    <t>3.1.7.2.3.12.1</t>
  </si>
  <si>
    <t xml:space="preserve">   Seg. 3.1-A04 - Drenagem Superficial - Sarjeta de aterro (Manual)</t>
  </si>
  <si>
    <t>3.1.7.2.3.13.1</t>
  </si>
  <si>
    <t>3.1-A05E</t>
  </si>
  <si>
    <t xml:space="preserve">   Seg. 3.1-A05 - Drenagem Superficial - Sarjeta de aterro (Extrusada)</t>
  </si>
  <si>
    <t>3.1.7.2.3.14.1</t>
  </si>
  <si>
    <t>3.1-A06E</t>
  </si>
  <si>
    <t xml:space="preserve">   Seg. 3.1-A06 - Drenagem Superficial - Sarjeta de aterro (Extrusada)</t>
  </si>
  <si>
    <t>3.1.7.2.3.15.1</t>
  </si>
  <si>
    <t xml:space="preserve">   Seg. 3.1-A07 - Drenagem Superficial - Execução de sarjeta (Manual)</t>
  </si>
  <si>
    <t>3.2.1.3.3.1.1</t>
  </si>
  <si>
    <t>3.1-AC.154+757</t>
  </si>
  <si>
    <t xml:space="preserve">   Seg. 3.1-Acesso A02 - Drenagem Superficial - Sarjetas de corte (Manual)</t>
  </si>
  <si>
    <t>3.2.1.3.3.5.1</t>
  </si>
  <si>
    <t>3.1-ADME03</t>
  </si>
  <si>
    <t xml:space="preserve">   Seg. 3.1- ADME 03 - Drenagem Superficial - Sarjeta de Aterro (Manual)</t>
  </si>
  <si>
    <t>3.1.7.2.3.9.1</t>
  </si>
  <si>
    <t xml:space="preserve">   Seg. 3.1-A01 - Drenagem Superficial - Sarjeta de corte (Manual)</t>
  </si>
  <si>
    <t>3.2.1.3.3.7.1</t>
  </si>
  <si>
    <t>3.1-ADME05</t>
  </si>
  <si>
    <t xml:space="preserve">   Seg. 3.1-ADME 05 - Drenagem Superficial - Sarjeta (Manual)</t>
  </si>
  <si>
    <t>3.1.7.2.3.2.2</t>
  </si>
  <si>
    <t xml:space="preserve">   Seg. 3.1-C02 - Drenagem Superficial - Sarjeta de corte (Manual)</t>
  </si>
  <si>
    <t>3.1.7.2.3.4.1</t>
  </si>
  <si>
    <t xml:space="preserve">   Seg. 3.1-C04 - Drenagem Superficial - Sarjeta de corte (Manual)</t>
  </si>
  <si>
    <t>3.1.7.2.3.5.2</t>
  </si>
  <si>
    <t>3.1-C05E</t>
  </si>
  <si>
    <t xml:space="preserve">   Seg. 3.1-C05 - Drenagem Superficial - Sarjeta de corte (Extrusada)</t>
  </si>
  <si>
    <t>3.1.7.2.3.7.2</t>
  </si>
  <si>
    <t>3.1-C07E</t>
  </si>
  <si>
    <t xml:space="preserve">   Seg. 3.1-C07 - Drenagem Superficial - Sarjeta de corte (Extrusada)</t>
  </si>
  <si>
    <t>3.1.7.2.3.12.2</t>
  </si>
  <si>
    <t>3.1-A04E</t>
  </si>
  <si>
    <t xml:space="preserve">   Seg. 3.1-A04 - Drenagem Superficial - Sarjeta de aterro (Extrusada)</t>
  </si>
  <si>
    <t>3.2.1.3.3.6.1</t>
  </si>
  <si>
    <t>3.1-ADME04</t>
  </si>
  <si>
    <t xml:space="preserve">   Seg. 3.1- ADME 04 - Drenagem Superficial - Sarjeta de Aterro (Manual)</t>
  </si>
  <si>
    <t>3.2.1.3.3.4.1</t>
  </si>
  <si>
    <t>3.1-ADME1-2</t>
  </si>
  <si>
    <t xml:space="preserve">   Seg. 3.1-ADME 1-2 - Sarjeta de Aterro (Manual)</t>
  </si>
  <si>
    <t>3.2.1.3.3.9.1</t>
  </si>
  <si>
    <t>3.1-ADME07</t>
  </si>
  <si>
    <t xml:space="preserve">   Seg. 3.1-ADME 07 - Drenagem Superficial - Sarjeta de Aterro (Manual)</t>
  </si>
  <si>
    <t>3.2.1.3.3.10.1</t>
  </si>
  <si>
    <t>3.1-ADME08</t>
  </si>
  <si>
    <t xml:space="preserve">   Seg. 3.1-ADME 08 - Drenagem Superficial - Sarjeta (Manual)</t>
  </si>
  <si>
    <t>3.2.1.3.3.11.1</t>
  </si>
  <si>
    <t>3.1-ADME10</t>
  </si>
  <si>
    <t xml:space="preserve">   Seg. 3.1-ADME 10 - Drenagem Superficial - Sarjeta (Manual)</t>
  </si>
  <si>
    <t>3.2.1.3.3.12.1</t>
  </si>
  <si>
    <t>3.1-ADME11</t>
  </si>
  <si>
    <t xml:space="preserve">   Seg. 3.1-ADME 11 - Drenagem Superficial - Sarjeta (Manual)</t>
  </si>
  <si>
    <t>3.2.1.3.3.13.1</t>
  </si>
  <si>
    <t>3.1-ADME12</t>
  </si>
  <si>
    <t xml:space="preserve">   Seg. 3.1-ADME 12 - Drenagem Superficial - Sarjeta (Manual)</t>
  </si>
  <si>
    <t>3.1.7.2.3.1.2</t>
  </si>
  <si>
    <t xml:space="preserve">   Seg. 3.1-C01 - Drenagem Superficial - Sarjeta de corte (Manual)</t>
  </si>
  <si>
    <t>3.3.4.3.1</t>
  </si>
  <si>
    <t xml:space="preserve">   Construção de sarjeta de aterro</t>
  </si>
  <si>
    <t>3.1.7.2.3.2.1</t>
  </si>
  <si>
    <t>3.1-C02E</t>
  </si>
  <si>
    <t xml:space="preserve">   Seg. 3.1-C02 - Drenagem Superficial - Sarjeta de corte (Extrusada)</t>
  </si>
  <si>
    <t>3.3.5.2.1.1</t>
  </si>
  <si>
    <t>ACESSO DO PÁTIO 164</t>
  </si>
  <si>
    <t xml:space="preserve">   Construção de sarjeta - Interseção GO-164</t>
  </si>
  <si>
    <t>3.3.5.2.2.1</t>
  </si>
  <si>
    <t>ACESSO DO PÁTIO 165</t>
  </si>
  <si>
    <t>Drenagem Superficial - Canaleta</t>
  </si>
  <si>
    <t>2.1.5.2.1.15.3</t>
  </si>
  <si>
    <t xml:space="preserve">   Seg. 2.2-A01 - Drenagem Superficial - Canaleta de banqueta de aterro (Km 104+500 a 105+040)</t>
  </si>
  <si>
    <t>2.1.5.2.1.19.3</t>
  </si>
  <si>
    <t xml:space="preserve">   Seg. 2.2-A05-B01 - Drenagem Superficial - Canaleta de banqueta de aterro (Km 107+420 a 107+700)</t>
  </si>
  <si>
    <t>2.1.5.2.1.1.3</t>
  </si>
  <si>
    <t xml:space="preserve">   Seg. 2.2-C02 - Drenagem Superficial - Canaleta de banqueta de corte (Km 105+208 a 105+560)</t>
  </si>
  <si>
    <t>2.1.5.2.1.4.3</t>
  </si>
  <si>
    <t xml:space="preserve">   Seg. 2.2-C05 - Drenagem Superficial - Canaleta de banqueta de corte (Km 107+720 a 107+800)</t>
  </si>
  <si>
    <t>2.1.5.2.1.6.4</t>
  </si>
  <si>
    <t xml:space="preserve">   Seg. 2.2-C07 - Drenagem Superficial - Canaleta de banqueta de corte (Km 108+560 a 109+200)</t>
  </si>
  <si>
    <t>2.1.5.2.1.8.3</t>
  </si>
  <si>
    <t xml:space="preserve">   Seg. 2.2-C09-B01 - Drenagem Superficial - Canaleta de banqueta de corte (Km 109+990 a 110+040)</t>
  </si>
  <si>
    <t>2.1.5.2.1.10.3</t>
  </si>
  <si>
    <t xml:space="preserve">   Seg. 2.2-C11 - Drenagem Superficial - Canaleta de banqueta de corte (Km 112+020 a 112+420)</t>
  </si>
  <si>
    <t>2.1.5.2.1.11.4</t>
  </si>
  <si>
    <t xml:space="preserve">   Seg. 2.2-C12 - Drenagem Superficial - Canaleta de banqueta de corte (Km 113+280 a 114+300)</t>
  </si>
  <si>
    <t>2.1.5.2.1.12.3</t>
  </si>
  <si>
    <t xml:space="preserve">   Seg. 2.2-C13 - Drenagem Superficial - Canaleta de banqueta de corte (Km 114+980 a 115+800)</t>
  </si>
  <si>
    <t>2.1.5.2.1.16.3</t>
  </si>
  <si>
    <t xml:space="preserve">   Seg. 2.2-A02 - Drenagem Superficial - Canaleta de banqueta de aterro (Km 105+120 a 105+270)</t>
  </si>
  <si>
    <t>2.1.5.2.1.26.3</t>
  </si>
  <si>
    <t xml:space="preserve">   Seg. 2.2-A12 - Drenagem Superficial - Canaleta de banqueta de aterro (Km 112+410 a 113+280)</t>
  </si>
  <si>
    <t>2.1.5.2.1.20.3</t>
  </si>
  <si>
    <t xml:space="preserve">   Seg. 2.2-A06-B01 - Drenagem Superficial - Canaleta de banqueta de aterro (Km 108+120 a 108+540)</t>
  </si>
  <si>
    <t>2.1.5.2.1.3.1.2</t>
  </si>
  <si>
    <t xml:space="preserve">   Seg. 2.2-C04-B01 - Drenagem Superficial - Canaleta de banqueta de corte </t>
  </si>
  <si>
    <t>ACESSO 110+035</t>
  </si>
  <si>
    <t>Seg. 2.2 - Acesso 110+035</t>
  </si>
  <si>
    <t>2.3.4.3.1.1.2</t>
  </si>
  <si>
    <t>GO-336</t>
  </si>
  <si>
    <t xml:space="preserve">   Canaleta de banqueta de corte</t>
  </si>
  <si>
    <t>2.1.5.2.2.4.3</t>
  </si>
  <si>
    <t xml:space="preserve">   Seg. 2.3-C04 - Drenagem Superficial - Canaleta de banqueta de aterro (Km 118+580 a 120+020)</t>
  </si>
  <si>
    <t>2.1.5.2.2.5.3</t>
  </si>
  <si>
    <t xml:space="preserve">   Seg. 2.3-C05 - Drenagem Superficial - Canaleta de banqueta de corte (Km 120+240 a 120+900)</t>
  </si>
  <si>
    <t>2.1.5.2.2.7.3</t>
  </si>
  <si>
    <t xml:space="preserve">   Seg. 2.3-C07 - Drenagem Superficial - Canaleta de banqueta de corte (Km 121+700 a 122+200)</t>
  </si>
  <si>
    <t>2.1.5.2.2.10.3</t>
  </si>
  <si>
    <t xml:space="preserve">   Seg. 2.3-C10 - Drenagem Superficial - Canaleta de banqueta de corte (Km 125+160 a 125+640)</t>
  </si>
  <si>
    <t>2.1.5.2.2.11.2</t>
  </si>
  <si>
    <t xml:space="preserve">   Seg. 2.3-C11- Drenagem Superficial - Canaleta de banqueta de corte (Km 125+960 a 126+360)</t>
  </si>
  <si>
    <t>2.1.5.2.2.14.3</t>
  </si>
  <si>
    <t xml:space="preserve">   Seg. 2.3-C14 - Drenagem Superficial - Canaleta de banqueta de corte (Km 127+980 a 128+300)</t>
  </si>
  <si>
    <t>2.1.5.2.2.20.3</t>
  </si>
  <si>
    <t xml:space="preserve">   Seg. 2.3-A06 - Drenagem Superficial - Canaleta de banqueta de aterro (Km 120+920 a 121+560)</t>
  </si>
  <si>
    <t>2.1.5.2.2.23.3</t>
  </si>
  <si>
    <t xml:space="preserve">   Seg. 2.3-A12 - Drenagem Superficial -Canaleta de banqueta de aterro (Km 124+620 a 125+180)</t>
  </si>
  <si>
    <t>2.1.5.2.2.24.3</t>
  </si>
  <si>
    <t xml:space="preserve">   Seg. 2.3-A13 - Drenagem Superficial - Canaleta de banqueta de aterro (Km 125+640 a 125+960)</t>
  </si>
  <si>
    <t>2.1.5.2.2.25.3</t>
  </si>
  <si>
    <t xml:space="preserve">   Seg. 2.3-A14 - Drenagem Superficial - Canaleta de banqueta de aterro (Km 126+360 a 126+500)</t>
  </si>
  <si>
    <t>2.1.5.2.2.26.3</t>
  </si>
  <si>
    <t xml:space="preserve">   Seg. 2.3-A15 - Drenagem Superficial - Canaleta de banqueta de aterro (Km 126+620 a 127+440)</t>
  </si>
  <si>
    <t>2.1.5.2.2.27.3</t>
  </si>
  <si>
    <t xml:space="preserve">   Seg. 2.3-A16 - Drenagem Superficial - Canaleta de banqueta de aterro (Km 127+540 a 127+980)</t>
  </si>
  <si>
    <t>2.1.5.2.2.28.3</t>
  </si>
  <si>
    <t xml:space="preserve">   Seg. 2.3-A17 - Drenagem Superficial - Canaleta de banqueta de aterro (Km 128+320 a 131+241)</t>
  </si>
  <si>
    <t>2.2.1.3.2.6.3</t>
  </si>
  <si>
    <t>ACESSO 129+160</t>
  </si>
  <si>
    <t xml:space="preserve">   Seg. 2.3-A17-Acesso - Drenagem Superficial - Canaleta de banqueta de aterro</t>
  </si>
  <si>
    <t>2.1.5.2.2.8.1.2</t>
  </si>
  <si>
    <t xml:space="preserve">   Seg. 2.3-C08- Drenagem Superficial - Canaleta de banqueta de corte</t>
  </si>
  <si>
    <t xml:space="preserve">   Seg. 2.3-A04- Drenagem Superficial - Canaleta</t>
  </si>
  <si>
    <t xml:space="preserve">   Seg. 2.3-C12- Drenagem Superficial - Canaleta</t>
  </si>
  <si>
    <t>3.1.7.2.1.6.4</t>
  </si>
  <si>
    <t xml:space="preserve">   Seg. 2.4-A01 - Drenagem Superficial - Canaleta de banqueta de aterro (Manual)</t>
  </si>
  <si>
    <t>3.1.7.2.1.11.3</t>
  </si>
  <si>
    <t xml:space="preserve">   Seg. 2.4-A06 - Drenagem Superficial - Canaleta de banqueta de aterro (Manual)</t>
  </si>
  <si>
    <t>3.1.7.2.1.2.4</t>
  </si>
  <si>
    <t xml:space="preserve">   Seg. 2.4-C05 - Drenagem Superficial - Canaleta de banqueta de corte (Manual)</t>
  </si>
  <si>
    <t>3.2.1.3.1.1.3</t>
  </si>
  <si>
    <t xml:space="preserve">   Seg. 2.4-Acesso A01 - Drenagem Superficial - Canaleta de banqueta de aterro (Manual)</t>
  </si>
  <si>
    <t>3.1.7.2.1.6.5</t>
  </si>
  <si>
    <t xml:space="preserve">   Seg. 2.4-A01 - Drenagem Superficial - Canaleta de banqueta de aterro (Extrusada)</t>
  </si>
  <si>
    <t>3.1.7.2.2.8.1</t>
  </si>
  <si>
    <t xml:space="preserve">   Seg. 2.5-C09 - Drenagem Superficial - Canaleta de banqueta de corte (Manual)</t>
  </si>
  <si>
    <t>3.1.7.2.2.12.3</t>
  </si>
  <si>
    <t xml:space="preserve">   Seg. 2.5-A01 - Drenagem Superficial - Canaleta de banqueta de aterro (Manual)</t>
  </si>
  <si>
    <t>3.1.7.2.2.14.3</t>
  </si>
  <si>
    <t xml:space="preserve">   Seg. 2.5-A04 - Drenagem Superficial - Canaleta de banqueta de aterro (Extrusada)</t>
  </si>
  <si>
    <t>3.1.7.2.2.16.3</t>
  </si>
  <si>
    <t xml:space="preserve">   Seg. 2.5-A06 - Drenagem Superficial - Canaleta de banqueta de aterro (Extrusada)</t>
  </si>
  <si>
    <t>3.1.7.2.2.17.3</t>
  </si>
  <si>
    <t xml:space="preserve">   Seg. 2.5-A07 - Drenagem Superficial - Canaleta de banqueta de aterro (Extrusada)</t>
  </si>
  <si>
    <t>3.1.7.2.2.19.4</t>
  </si>
  <si>
    <t xml:space="preserve">   Seg. 2.5-A09 - Drenagem Superficial - Canaleta de banqueta de aterro (Manual)</t>
  </si>
  <si>
    <t>3.1.7.2.2.23.4</t>
  </si>
  <si>
    <t xml:space="preserve">   Seg. 2.5-A13 - Drenagem Superficial - Canaleta de banqueta de aterro (Manual)</t>
  </si>
  <si>
    <t>3.1.7.2.2.1.2</t>
  </si>
  <si>
    <t xml:space="preserve">   Seg. 2.5-C01 - Drenagem Superficial - Canaleta de banqueta de corte (Manual)</t>
  </si>
  <si>
    <t>3.1.7.2.2.8.2</t>
  </si>
  <si>
    <t xml:space="preserve">   Seg. 2.5-C09 - Drenagem Superficial - Canaleta de banqueta de corte (Extrusada)</t>
  </si>
  <si>
    <t>3.1.7.2.3.2.5</t>
  </si>
  <si>
    <t xml:space="preserve">   Seg. 3.1-C02 - Drenagem Superficial - Canaleta de banqueta de corte (Manual)</t>
  </si>
  <si>
    <t>3.1.7.2.3.4.3</t>
  </si>
  <si>
    <t xml:space="preserve">   Seg. 3.1-C04 - Drenagem Superficial - Canaleta de banqueta de corte (Manual)</t>
  </si>
  <si>
    <t>3.1.7.2.3.7.3</t>
  </si>
  <si>
    <t xml:space="preserve">   Seg. 3.1-C07 - Drenagem Superficial - Canaleta de banqueta de corte (Manual)</t>
  </si>
  <si>
    <t>3.1.7.2.3.15.3</t>
  </si>
  <si>
    <t xml:space="preserve">   Seg. 3.1-A07 - Drenagem Superficial - Canaleta de banqueta de aterro (Manual)</t>
  </si>
  <si>
    <t>3.1.7.2.3.3.2</t>
  </si>
  <si>
    <t xml:space="preserve">   Seg. 3.1-C03 - Drenagem Superficial - Canaleta de banqueta de corte (Manual)</t>
  </si>
  <si>
    <t>3.1.7.2.3.5.4</t>
  </si>
  <si>
    <t xml:space="preserve">   Seg. 3.1-C05 - Drenagem Superficial - Canaleta de banqueta de corte (Manual)</t>
  </si>
  <si>
    <t>3.2.1.3.3.1.2</t>
  </si>
  <si>
    <t xml:space="preserve">   Seg. 3.1-Acesso A02 - Drenagem Superficial - Canaleta (Manual)</t>
  </si>
  <si>
    <t>3.3.4.3.2</t>
  </si>
  <si>
    <t>3.1 - Recomposição GO-164</t>
  </si>
  <si>
    <t>Drenagem Superficial - Valeta</t>
  </si>
  <si>
    <t>2.1.5.2.1.15.2</t>
  </si>
  <si>
    <t xml:space="preserve">   Seg. 2.2-A01 - Drenagem Superficial - Valetas de proteção de aterro (Km 104+500 a 105+040)</t>
  </si>
  <si>
    <t>2.1.5.2.1.16.2</t>
  </si>
  <si>
    <t xml:space="preserve">   Seg. 2.2-A02 - Drenagem Superficial - Valetas de proteção de aterro (Km 105+120 a 105+270)</t>
  </si>
  <si>
    <t>2.1.5.2.1.18.2</t>
  </si>
  <si>
    <t xml:space="preserve">   Seg. 2.2-A04 - Drenagem Superficial - Valetas de proteção de aterro (Km 105+980 a 106+200)</t>
  </si>
  <si>
    <t>2.1.5.2.1.19.2</t>
  </si>
  <si>
    <t xml:space="preserve">   Seg. 2.2-A05-B01 - Drenagem Superficial - Valetas de proteção de aterro (Km 107+420 a 107+700)</t>
  </si>
  <si>
    <t>2.1.5.2.1.20.2</t>
  </si>
  <si>
    <t xml:space="preserve">   Seg. 2.2-A06 - Drenagem Superficial - Valetas de proteção de aterro (Km 108+120 a 108+540)</t>
  </si>
  <si>
    <t>2.1.5.2.1.3.1.1</t>
  </si>
  <si>
    <t xml:space="preserve">   Seg. 2.2-C04-B01 - Drenagem Superficial - Valetas de proteção de corte </t>
  </si>
  <si>
    <t>2.1.5.2.1.1.2</t>
  </si>
  <si>
    <t xml:space="preserve">   Seg. 2.2-C02 - Drenagem Superficial - Valetas de proteção de corte (Km 105+208 a 105+560)</t>
  </si>
  <si>
    <t>2.1.5.2.1.2.2</t>
  </si>
  <si>
    <t xml:space="preserve">   Seg. 2.2-C03 - Drenagem Superficial - Valetas de proteção de corte (Km 105+620 a 105+960)</t>
  </si>
  <si>
    <t>2.1.5.2.1.4.2</t>
  </si>
  <si>
    <t xml:space="preserve">   Seg. 2.2-C05 - Drenagem Superficial - Valetas de proteção de corte (Km 107+720 a 107+800)</t>
  </si>
  <si>
    <t>2.1.5.2.1.5.2</t>
  </si>
  <si>
    <t xml:space="preserve">   Seg. 2.2-C06 - Drenagem Superficial - Valetas de proteção de corte (Km 108+360 a 108+400)</t>
  </si>
  <si>
    <t>2.1.5.2.1.6.3</t>
  </si>
  <si>
    <t xml:space="preserve">   Seg. 2.2-C07 - Drenagem Superficial - Valetas de proteção de corte (Km 108+560 a 109+200)</t>
  </si>
  <si>
    <t>2.1.5.2.1.7.2</t>
  </si>
  <si>
    <t xml:space="preserve">   Seg. 2.2-C08 - Drenagem Superficial - Valetas de proteção de corte (km 109+280 a 109+440)</t>
  </si>
  <si>
    <t>2.1.5.2.1.8.2</t>
  </si>
  <si>
    <t xml:space="preserve">   Seg. 2.2-C09 - Drenagem Superficial - Valetas de proteção de corte (Km 109+590 a 109+990 e 110+040 a 110+840)</t>
  </si>
  <si>
    <t>2.1.5.2.1.9.2</t>
  </si>
  <si>
    <t xml:space="preserve">   Seg. 2.2-C10-B01 - Drenagem Superficial - Valetas de proteção de corte (Km 111+240 a 111+620)</t>
  </si>
  <si>
    <t>2.1.5.2.1.10.2</t>
  </si>
  <si>
    <t xml:space="preserve">   Seg. 2.2-C11-B01 - Drenagem Superficial - Valetas de proteção de corte (Km 112+020 a 112+420)</t>
  </si>
  <si>
    <t>2.1.5.2.1.11.3</t>
  </si>
  <si>
    <t xml:space="preserve">   Seg. 2.2-C12 - Drenagem Superficial - Valetas de proteção de corte (Km 113+280 a 114+300)</t>
  </si>
  <si>
    <t>2.1.5.2.1.12.2</t>
  </si>
  <si>
    <t xml:space="preserve">   Seg. 2.2-C13 - Drenagem Superficial - Valetas de proteção de corte (Km 114+980 a 115+800)</t>
  </si>
  <si>
    <t>2.1.5.2.1.21.2</t>
  </si>
  <si>
    <t xml:space="preserve">   Seg. 2.2-A07 - Drenagem Superficial - Valetas de proteção de aterro (Km 109+200 a 109+280)</t>
  </si>
  <si>
    <t>2.1.5.2.1.22.2</t>
  </si>
  <si>
    <t xml:space="preserve">   Seg. 2.2-A08 - Drenagem Superficial - Valetas de proteção de aterro (Km 109+440 a 109+580)</t>
  </si>
  <si>
    <t>2.1.5.2.1.23.2</t>
  </si>
  <si>
    <t xml:space="preserve">   Seg. 2.2-A09 - Drenagem Superficial - Valetas de proteção de aterro (Km 110+000 a 110+040)</t>
  </si>
  <si>
    <t>2.1.5.2.1.24.2</t>
  </si>
  <si>
    <t xml:space="preserve">   Seg. 2.2-A10 - Drenagem Superficial - Valetas de proteção de aterro (Km 110+880 a 111+220)</t>
  </si>
  <si>
    <t>2.1.5.2.1.25.2</t>
  </si>
  <si>
    <t xml:space="preserve">   Seg. 2.2-A11-B01 - Drenagem Superficial - Valetas de proteção de aterro (Km 111+640 a 112+000)</t>
  </si>
  <si>
    <t>2.1.5.2.1.26.2</t>
  </si>
  <si>
    <t xml:space="preserve">   Seg. 2.2-A12 - Drenagem Superficial - Valetas de proteção de aterro (Km 112+410 a 113+280)</t>
  </si>
  <si>
    <t>2.1.5.2.1.27.2</t>
  </si>
  <si>
    <t xml:space="preserve">   Seg. 2.2-A13 - Drenagem Superficial - Valetas de proteção de aterro (Km 114+320 a 114+940)</t>
  </si>
  <si>
    <t>2.1.5.2.1.28.2</t>
  </si>
  <si>
    <t xml:space="preserve">   Seg. 2.2-A14-B01 - Drenagem Superficial - Valetas de proteção de aterro (Km 115+820 a 116+020)</t>
  </si>
  <si>
    <t>2.1.5.2.1.29.2</t>
  </si>
  <si>
    <t xml:space="preserve">   Seg. 2.2-A15-B01 - Drenagem Superficial - Valetas de proteção de aterro (Km 116+260 a 116+460)</t>
  </si>
  <si>
    <t>2.2.1.3.1.1.2</t>
  </si>
  <si>
    <t>Acesso 106+190</t>
  </si>
  <si>
    <t xml:space="preserve">   Seg. 2.2-A04-Acesso - Drenagem Superficial - Valetas de proteção de Aterro (Km 106+190)</t>
  </si>
  <si>
    <t>2.2.1.3.1.2.2</t>
  </si>
  <si>
    <t>Acesso 108+540</t>
  </si>
  <si>
    <t xml:space="preserve">   Seg. 2.2-A06-Acesso - Drenagem Superficial - Valetas de proteção de aterro (Km 108+540)</t>
  </si>
  <si>
    <t>2.2.1.3.1.3.2</t>
  </si>
  <si>
    <t>Acesso 110+035</t>
  </si>
  <si>
    <t xml:space="preserve">   Seg. 2.2-A09-Acesso - Drenagem Superficial - Valeta de proteção de aterro (Km 110+035)</t>
  </si>
  <si>
    <t>2.2.1.3.1.4.3</t>
  </si>
  <si>
    <t>Acesso 114+450</t>
  </si>
  <si>
    <t xml:space="preserve">   Seg. 2.2-A13-Acesso - Drenagem Superficial - Valeta de proteção de corte</t>
  </si>
  <si>
    <t>2.2.1.3.1.5.3</t>
  </si>
  <si>
    <t>2.2.1.3.1.6.2</t>
  </si>
  <si>
    <t>ACESSO 115+600</t>
  </si>
  <si>
    <t xml:space="preserve">   Seg. 2.2-C13-Acesso - Drenagem Superficial - Valeta de proteção de aterro</t>
  </si>
  <si>
    <t>2.2.1.3.1.7.1</t>
  </si>
  <si>
    <t>2.2-ADME02</t>
  </si>
  <si>
    <t xml:space="preserve">   Seg. 2.2-ADME-02 - Drenagem Superficial - Valeta de proteção de aterro</t>
  </si>
  <si>
    <t>2.2.1.3.1.8.1</t>
  </si>
  <si>
    <t>2.2-ADME03</t>
  </si>
  <si>
    <t xml:space="preserve">   Seg. 2.2-ADME-03 - Drenagem Superficial - Valeta de proteção de aterro</t>
  </si>
  <si>
    <t>2.2.1.3.1.9.1</t>
  </si>
  <si>
    <t>2.2-ADME04</t>
  </si>
  <si>
    <t xml:space="preserve">   Seg. 2.2-ADME-04 - Drenagem Superficial - Valeta de proteção de aterro</t>
  </si>
  <si>
    <t>2.2.1.3.1.10.1</t>
  </si>
  <si>
    <t>2.2-ADME05</t>
  </si>
  <si>
    <t xml:space="preserve">   Seg. 2.2-ADME-05 - Drenagem Superficial - Valeta de proteção de aterro</t>
  </si>
  <si>
    <t>2.2.1.3.1.11.1</t>
  </si>
  <si>
    <t>2.2-ADME06</t>
  </si>
  <si>
    <t xml:space="preserve">   Seg. 2.2-ADME-06 - Drenagem Superficial - Valeta de proteção de aterro</t>
  </si>
  <si>
    <t>2.3.3.1.3.1.2</t>
  </si>
  <si>
    <t xml:space="preserve">   Construção de valeta de proteção de corte</t>
  </si>
  <si>
    <t>2.3.3.2.3.1.2</t>
  </si>
  <si>
    <t>Recomposição GO-156</t>
  </si>
  <si>
    <t>2.1.5.2.1.17.1</t>
  </si>
  <si>
    <t xml:space="preserve">   Seg. 2.2-A03 - Drenagem Superficial - Valetas de proteção de aterro (Km 105+555 a 105+600)</t>
  </si>
  <si>
    <t>2.1.5.2.1.13.1</t>
  </si>
  <si>
    <t xml:space="preserve">   Seg. 2.2-C14 - Drenagem Superficial - Valetas de proteção de corte (Km 116+020 a 116+060)</t>
  </si>
  <si>
    <t>2.1.5.2.1.14.2</t>
  </si>
  <si>
    <t xml:space="preserve">   Seg. 2.2-C15 - Drenagem Superficial - Valetas de proteção de corte (Km 116+120 a 116+240)</t>
  </si>
  <si>
    <t>ACESSO 112+240</t>
  </si>
  <si>
    <t>Acesso  km 112+240</t>
  </si>
  <si>
    <t>2.1.5.2.2.1.2</t>
  </si>
  <si>
    <t xml:space="preserve">   Seg. 2.3-C01 - Drenagem Superficial - Valetas de proteção de corte (Km 116+680 a 116+940)</t>
  </si>
  <si>
    <t>2.1.5.2.2.4.2</t>
  </si>
  <si>
    <t xml:space="preserve">   Seg. 2.3-C04 - Drenagem Superficial - Valetas de proteção de aterro (Km 118+580 a 120+020)</t>
  </si>
  <si>
    <t>2.1.5.2.2.5.2</t>
  </si>
  <si>
    <t xml:space="preserve">   Seg. 2.3-C05 - Drenagem Superficial - Valetas de proteção de corte (Km 120+240 a 120+900)</t>
  </si>
  <si>
    <t>2.1.5.2.2.6.2</t>
  </si>
  <si>
    <t xml:space="preserve">   Seg. 2.3-C06-B01 - Drenagem Superficial - Valetas de proteção de corte (Km 121+560 a 121+660)</t>
  </si>
  <si>
    <t>2.1.5.2.2.7.2</t>
  </si>
  <si>
    <t xml:space="preserve">   Seg. 2.3-C07 - Drenagem Superficial - Valetas de proteção de corte (Km 121+700 a 122+200)</t>
  </si>
  <si>
    <t>2.1.5.2.2.8.1.1</t>
  </si>
  <si>
    <t xml:space="preserve">   Seg. 2.3-C08 - Drenagem Superficial - Valetas de proteção de corte</t>
  </si>
  <si>
    <t>2.1.5.2.2.9.2</t>
  </si>
  <si>
    <t xml:space="preserve">   Seg. 2.3-C09 - Drenagem Superficial - Valetas de proteção de corte (Km 124+700 a 124+760)</t>
  </si>
  <si>
    <t>2.1.5.2.2.10.2</t>
  </si>
  <si>
    <t xml:space="preserve">   Seg. 2.3-C10 - Drenagem Superficial - Valetas de proteção de corte (Km 125+160 a 125+640)</t>
  </si>
  <si>
    <t>2.1.5.2.2.11.1</t>
  </si>
  <si>
    <t xml:space="preserve">   Seg. 2.3-C11- Drenagem Superficial - Valetas de corte (Km 125+960 a 126+360)</t>
  </si>
  <si>
    <t>2.1.5.2.2.13.2</t>
  </si>
  <si>
    <t xml:space="preserve">   Seg. 2.3-C13 - Drenagem Superficial - Valetas de proteção de corte (Km 127+340 a 127+540)</t>
  </si>
  <si>
    <t>2.1.5.2.2.14.2</t>
  </si>
  <si>
    <t xml:space="preserve">   Seg. 2.3-C14 - Drenagem Superficial - Valetas de proteção de aterro (Km 127+980 a 128+300)</t>
  </si>
  <si>
    <t>2.1.5.2.2.15.2</t>
  </si>
  <si>
    <t xml:space="preserve">   Seg. 2.3-A01 - Drenagem Superficial - Valetas de proteção de aterro (Km 116+540 a 116+680)</t>
  </si>
  <si>
    <t>2.1.5.2.2.16.2</t>
  </si>
  <si>
    <t xml:space="preserve">   Seg. 2.3-A02 - Drenagem Superficial - Valetas de proteção de aterro (Km 116+940 a 118+020)</t>
  </si>
  <si>
    <t>2.1.5.2.2.17.2</t>
  </si>
  <si>
    <t xml:space="preserve">   Seg. 2.3-A03 - Drenagem Superficial - Valetas de proteção de aterro (Km 118+180 a 118+280)</t>
  </si>
  <si>
    <t>2.1.5.2.2.18.2</t>
  </si>
  <si>
    <t xml:space="preserve">   Seg. 2.3-A04 - Drenagem Superficial - Valetas de proteção de aterro (Km 118+500 a 118+580)</t>
  </si>
  <si>
    <t>2.1.5.2.2.19.2</t>
  </si>
  <si>
    <t xml:space="preserve">   Seg. 2.3-A05 - Drenagem Superficial - Valetas de proteção de aterro (Km 120+040 a 120+320)</t>
  </si>
  <si>
    <t>2.1.5.2.2.20.2</t>
  </si>
  <si>
    <t xml:space="preserve">   Seg. 2.3-A06 - Drenagem Superficial - Valetas de proteção de aterro (Km 120+920 a 121+560)</t>
  </si>
  <si>
    <t>2.1.5.2.2.21.2</t>
  </si>
  <si>
    <t xml:space="preserve">   Seg. 2.3-A07 - Drenagem Superficial - Valetas de proteção de aterro (Km 121+660 a 121+700)</t>
  </si>
  <si>
    <t>2.1.5.2.2.22.1</t>
  </si>
  <si>
    <t xml:space="preserve">   Seg. 2.3-A11 - Drenagem Superficial - Valeta de aterro (Km 124+400 ao 124+460)</t>
  </si>
  <si>
    <t>2.1.5.2.2.23.2</t>
  </si>
  <si>
    <t xml:space="preserve">   Seg. 2.3-A12 - Drenagem Superficial - Valetas de proteção de aterro (Km 124+620 a 125+180)</t>
  </si>
  <si>
    <t>2.1.5.2.2.24.2</t>
  </si>
  <si>
    <t xml:space="preserve">   Seg. 2.3-A13 - Drenagem Superficial - Valetas de proteção de aterro (Km 125+640 a 125+960)</t>
  </si>
  <si>
    <t>2.1.5.2.2.25.2</t>
  </si>
  <si>
    <t xml:space="preserve">   Seg. 2.3-A14 - Drenagem Superficial - Valetas de proteção de aterro (Km 126+360 a 126+500)</t>
  </si>
  <si>
    <t>2.1.5.2.2.26.2</t>
  </si>
  <si>
    <t xml:space="preserve">   Seg. 2.3-A15 - Drenagem Superficial - Valetas de proteção de aterro (Km 126+620 a 127+440)</t>
  </si>
  <si>
    <t>2.1.5.2.2.27.2</t>
  </si>
  <si>
    <t xml:space="preserve">   Seg. 2.3-A16 - Drenagem Superficial - Valetas de proteção de aterro (Km 127+540 a 127+980)</t>
  </si>
  <si>
    <t>2.1.5.2.2.28.2</t>
  </si>
  <si>
    <t xml:space="preserve">   Seg. 2.3-A17-B01 - Drenagem Superficial - Valetas de proteção de aterro (Km 128+320 a 131+241)</t>
  </si>
  <si>
    <t>2.2.1.3.2.1.2</t>
  </si>
  <si>
    <t>Acesso - km 118+175</t>
  </si>
  <si>
    <t xml:space="preserve">   Seg. 2.3-C02-Acesso - Drenagem Superficial - Valeta de proteção de aterro / corte</t>
  </si>
  <si>
    <t>2.2.1.3.2.4.2</t>
  </si>
  <si>
    <t>Acesso - km 126+600</t>
  </si>
  <si>
    <t xml:space="preserve">   Seg. 2.3-C12-Acesso - Drenagem Superficial - Valeta de proteção de aterro</t>
  </si>
  <si>
    <t>2.2.1.3.2.6.2</t>
  </si>
  <si>
    <t xml:space="preserve">   Seg. 2.3-A17-Acesso - Drenagem Superficial - Valeta de proteção de aterro / corte</t>
  </si>
  <si>
    <t>2.2.1.3.2.7.1</t>
  </si>
  <si>
    <t>Canal - km 123+524,9 a 122+779,9 - Região do Corte 08</t>
  </si>
  <si>
    <t xml:space="preserve">   Seg. 2.3-C08-Acesso - Drenagem Superficial - Valeta de proteção de aterro</t>
  </si>
  <si>
    <t>2.2.1.3.2.8.1</t>
  </si>
  <si>
    <t>2.3-ADME01</t>
  </si>
  <si>
    <t xml:space="preserve">   Seg. 2.3-ADME-01 - Drenagem Superficial - Valeta de proteção de aterro</t>
  </si>
  <si>
    <t>2.2.1.3.2.9.1</t>
  </si>
  <si>
    <t>2.3-ADME02</t>
  </si>
  <si>
    <t xml:space="preserve">   Seg. 2.3-ADME-02 - Drenagem Superficial - Valeta de proteção de aterro</t>
  </si>
  <si>
    <t>2.2.1.3.2.10.1</t>
  </si>
  <si>
    <t>2.3-ADME03</t>
  </si>
  <si>
    <t xml:space="preserve">   Seg. 2.3-ADME-03 - Drenagem Superficial - Valeta de proteção de aterro</t>
  </si>
  <si>
    <t>2.2.1.3.2.11.1</t>
  </si>
  <si>
    <t>2.3-ADME04</t>
  </si>
  <si>
    <t xml:space="preserve">   Seg. 2.3-ADME-04 - Drenagem Superficial - Valeta de proteção de aterro</t>
  </si>
  <si>
    <t>2.2.1.3.2.12.1</t>
  </si>
  <si>
    <t>2.3-ADME05</t>
  </si>
  <si>
    <t xml:space="preserve">   Seg. 2.3-ADME-05 - Drenagem Superficial - Valeta de proteção de aterro</t>
  </si>
  <si>
    <t>2.3.4.1.4.1.2</t>
  </si>
  <si>
    <t>2.3.4.1.4.4.2</t>
  </si>
  <si>
    <t>2.3.4.3.1.1.3</t>
  </si>
  <si>
    <t>2.2.1.3.2.5.2</t>
  </si>
  <si>
    <t>ACESSO 128+740</t>
  </si>
  <si>
    <t xml:space="preserve">   Seg. 2.3-A17-Acesso - Drenagem Superficial - Valeta de proteção de aterro / corte (Km 128+740)</t>
  </si>
  <si>
    <t>2.2.1.3.2.3.1</t>
  </si>
  <si>
    <t xml:space="preserve">Acesso - km 123+603 </t>
  </si>
  <si>
    <t xml:space="preserve">   Seg. 2.3-C08-Acesso - Drenagem Superficial - Valeta de proteção de corte</t>
  </si>
  <si>
    <t>2.2.1.3.2.2.2</t>
  </si>
  <si>
    <t>Acesso - km 120+040</t>
  </si>
  <si>
    <t xml:space="preserve">   Seg. 2.3-C04-Acesso - Drenagem Superficial - Valeta de proteção de aterro</t>
  </si>
  <si>
    <t>3.1.7.2.1.1.1</t>
  </si>
  <si>
    <t xml:space="preserve">   Seg. 2.4-C04 - Drenagem Superficial - Valetas de proteção de corte (Manual)</t>
  </si>
  <si>
    <t>3.1.7.2.1.3.1</t>
  </si>
  <si>
    <t xml:space="preserve">   Seg. 2.4-C06 - Drenagem Superficial - Valetas de proteção de corte (Manual)</t>
  </si>
  <si>
    <t>3.1.7.2.1.4.1</t>
  </si>
  <si>
    <t xml:space="preserve">   Seg. 2.4-C07 - Drenagem Superficial - Valetas de proteção de corte (Extrusada)</t>
  </si>
  <si>
    <t>3.1.7.2.1.5.1</t>
  </si>
  <si>
    <t xml:space="preserve">   Seg. 2.4-C08 - Drenagem Superficial - Valetas de proteção de corte (Manual)</t>
  </si>
  <si>
    <t>3.1.7.2.1.6.2</t>
  </si>
  <si>
    <t xml:space="preserve">   Seg. 2.4-A01 - Drenagem Superficial - Valetas de proteção de aterro (Manual)</t>
  </si>
  <si>
    <t>3.1.7.2.1.7.1</t>
  </si>
  <si>
    <t xml:space="preserve">   Seg. 2.4-A02 - Drenagem Superficial - Valetas de proteção de aterro (Manual)</t>
  </si>
  <si>
    <t>3.1.7.2.1.8.1</t>
  </si>
  <si>
    <t xml:space="preserve">   Seg. 2.4-A03 - Drenagem Superficial - Valetas de proteção de aterro (Manual)</t>
  </si>
  <si>
    <t>3.1.7.2.1.9.1</t>
  </si>
  <si>
    <t xml:space="preserve">   Seg. 2.4-A04 - Drenagem Superficial - Valetas de proteção de aterro (Manual)</t>
  </si>
  <si>
    <t>3.1.7.2.1.10.1</t>
  </si>
  <si>
    <t xml:space="preserve">   Seg. 2.4-A05 - Drenagem Superficial - Valetas de proteção de aterro (Manual)</t>
  </si>
  <si>
    <t>3.1.7.2.1.11.2</t>
  </si>
  <si>
    <t xml:space="preserve">   Seg. 2.4-A06 - Drenagem Superficial - Valetas de proteção de aterro (Manual)</t>
  </si>
  <si>
    <t>3.2.1.3.1.1.2</t>
  </si>
  <si>
    <t xml:space="preserve">   Seg. 2.4-Acesso A01 - Drenagem Superficial - Valetas de proteção de aterro (Manual)</t>
  </si>
  <si>
    <t>3.2.1.3.1.2.1</t>
  </si>
  <si>
    <t xml:space="preserve">   Seg. 2.4-Acesso A06 - Drenagem Superficial - Valetas de proteção de aterro (Manual)</t>
  </si>
  <si>
    <t>3.1.7.2.1.2.2</t>
  </si>
  <si>
    <t xml:space="preserve">   Seg. 2.4-C05 - Drenagem Superficial - Valetas de proteção de corte (Manual)</t>
  </si>
  <si>
    <t>3.1.7.2.1.1.2</t>
  </si>
  <si>
    <t>2.4-C04E</t>
  </si>
  <si>
    <t xml:space="preserve">   Seg. 2.4-C04 - Drenagem Superficial - Valetas de proteção de corte (Extrusada)</t>
  </si>
  <si>
    <t>3.1.7.2.1.2.3</t>
  </si>
  <si>
    <t>2.4-C05E</t>
  </si>
  <si>
    <t xml:space="preserve">   Seg. 2.4-C05 - Drenagem Superficial - Valetas de proteção de corte (Extrusada)</t>
  </si>
  <si>
    <t>3.1.7.2.1.3.2</t>
  </si>
  <si>
    <t>2.4-C06E</t>
  </si>
  <si>
    <t xml:space="preserve">   Seg. 2.4-C06 - Drenagem Superficial - Valetas de proteção de corte (Extrusada)</t>
  </si>
  <si>
    <t>3.1.7.2.1.5.2</t>
  </si>
  <si>
    <t>2.4-C08E</t>
  </si>
  <si>
    <t xml:space="preserve">   Seg. 2.4-C08 - Drenagem Superficial - Valetas de proteção de corte (Extrusada)</t>
  </si>
  <si>
    <t>3.1.7.2.1.6.3</t>
  </si>
  <si>
    <t xml:space="preserve">   Seg. 2.4-A01 - Drenagem Superficial - Valetas de proteção de aterro (Extrusada)</t>
  </si>
  <si>
    <t>3.1.7.2.1.7.2</t>
  </si>
  <si>
    <t>2.4-A02E</t>
  </si>
  <si>
    <t xml:space="preserve">   Seg. 2.4-A02 - Drenagem Superficial - Valetas de proteção de aterro (Extrusada)</t>
  </si>
  <si>
    <t>3.1.7.2.1.8.2</t>
  </si>
  <si>
    <t>2.4-A03E</t>
  </si>
  <si>
    <t xml:space="preserve">   Seg. 2.4-A03 - Drenagem Superficial - Valetas de proteção de aterro (Extrusada)</t>
  </si>
  <si>
    <t>3.1.7.2.2.1.3</t>
  </si>
  <si>
    <t xml:space="preserve">   Seg. 2.5-C01 - Drenagem Superficial - Valetas de proteção de corte (Extrusada)</t>
  </si>
  <si>
    <t>3.1.7.2.2.2.1</t>
  </si>
  <si>
    <t xml:space="preserve">   Seg. 2.5-C02 - Drenagem Superficial - Valetas de proteção de corte (Manual)</t>
  </si>
  <si>
    <t>3.1.7.2.2.12.2</t>
  </si>
  <si>
    <t xml:space="preserve">   Seg. 2.5-A01 - Drenagem Superficial - Valetas de proteção de aterro (Manual)</t>
  </si>
  <si>
    <t>3.1.7.2.2.13.2</t>
  </si>
  <si>
    <t xml:space="preserve">   Seg. 2.5-A03 - Drenagem Superficial - Valetas de proteção de aterro (Manual)</t>
  </si>
  <si>
    <t>3.1.7.2.2.15.1</t>
  </si>
  <si>
    <t xml:space="preserve">   Seg. 2.5-A05 - Drenagem Superficial - Valetas de proteção de aterro (Extrusada)</t>
  </si>
  <si>
    <t>3.1.7.2.2.16.2</t>
  </si>
  <si>
    <t xml:space="preserve">   Seg. 2.5-A06 - Drenagem Superficial - Valetas de proteção de aterro (Extrusada)</t>
  </si>
  <si>
    <t>3.1.7.2.2.17.2</t>
  </si>
  <si>
    <t xml:space="preserve">   Seg. 2.5-A07 - Drenagem Superficial - Valetas de proteção de aterro (Extrusada)</t>
  </si>
  <si>
    <t>3.1.7.2.2.18.1</t>
  </si>
  <si>
    <t xml:space="preserve">   Seg. 2.5-A08 - Drenagem Superficial - Valetas de proteção de aterro (Extrusada)</t>
  </si>
  <si>
    <t>3.1.7.2.2.19.2</t>
  </si>
  <si>
    <t xml:space="preserve">   Seg. 2.5-A09 - Drenagem Superficial - Valetas de proteção de aterro (Manual)</t>
  </si>
  <si>
    <t>3.1.7.2.2.20.2</t>
  </si>
  <si>
    <t xml:space="preserve">   Seg. 2.5-A10 - Drenagem Superficial - Valetas de proteção de aterro (Extrusada)</t>
  </si>
  <si>
    <t>3.1.7.2.2.21.2</t>
  </si>
  <si>
    <t xml:space="preserve">   Seg. 2.5-A11 - Drenagem Superficial - Valetas de proteção de aterro (Extrusada)</t>
  </si>
  <si>
    <t>3.1.7.2.2.22.1</t>
  </si>
  <si>
    <t xml:space="preserve">   Seg. 2.5-A12 - Drenagem Superficial - Valetas de proteção de aterro (Extrusada)</t>
  </si>
  <si>
    <t>3.1.7.2.2.23.2</t>
  </si>
  <si>
    <t xml:space="preserve">   Seg. 2.5-A13 - Drenagem Superficial - Valetas de proteção de aterro (Extrusada)</t>
  </si>
  <si>
    <t>3.2.1.3.2.1.2</t>
  </si>
  <si>
    <t xml:space="preserve">   Seg. 2.5-Acesso C01 - Drenagem Superficial - Valetas de proteção de aterro/corte (Manual)</t>
  </si>
  <si>
    <t>3.2.1.3.2.2.2</t>
  </si>
  <si>
    <t xml:space="preserve">   Seg. 2.5-Acesso C04 - Drenagem Superficial - Valetas de proteção de aterro (Manual)</t>
  </si>
  <si>
    <t>3.2.1.3.2.3.2</t>
  </si>
  <si>
    <t xml:space="preserve">   Seg. 2.5-Acesso C07 - Drenagem Superficial - Valetas de proteção de aterro/corte (Manual)</t>
  </si>
  <si>
    <t>3.2.1.3.2.4.2</t>
  </si>
  <si>
    <t xml:space="preserve">   Seg. 2.5-Acesso C09 - Drenagem Superficial - Valetas de proteção de aterro (Manual)</t>
  </si>
  <si>
    <t>3.2.1.3.2.5.2</t>
  </si>
  <si>
    <t xml:space="preserve">   Seg. 2.5-Acesso A10 - Drenagem Superficial - Valetas de proteção de aterro/corte (Manual)</t>
  </si>
  <si>
    <t>3.2.1.3.2.6.2</t>
  </si>
  <si>
    <t xml:space="preserve">   Seg. 2.5-Acesso A13 - Drenagem Superficial - Valetas de proteção de aterro/corte (Manual)</t>
  </si>
  <si>
    <t>3.1.7.2.2.7.2</t>
  </si>
  <si>
    <t>2.5-C08E</t>
  </si>
  <si>
    <t xml:space="preserve">   Seg. 2.5-C08 - Drenagem Superficial - Valetas de proteção de corte (Extrusada)</t>
  </si>
  <si>
    <t>3.1.7.2.2.3.2</t>
  </si>
  <si>
    <t xml:space="preserve">   Seg. 2.5-C03 - Drenagem Superficial - Valetas de proteção de corte (Manual)</t>
  </si>
  <si>
    <t>3.1.7.2.2.9.3</t>
  </si>
  <si>
    <t xml:space="preserve">   Seg. 2.5-C10 - Drenagem Superficial - Valetas de proteção de corte (Extrusada)</t>
  </si>
  <si>
    <t>3.1.7.2.2.10.1</t>
  </si>
  <si>
    <t xml:space="preserve">   Seg. 2.5-C11 - Drenagem Superficial - Valetas de proteção de corte (Extrusada)</t>
  </si>
  <si>
    <t>3.1.7.2.2.11.1</t>
  </si>
  <si>
    <t xml:space="preserve">   Seg. 2.5-C12 - Drenagem Superficial - Valetas de proteção de corte (Extrusada)</t>
  </si>
  <si>
    <t>3.1.7.2.2.14.2</t>
  </si>
  <si>
    <t xml:space="preserve">   Seg. 2.5-A04 - Drenagem Superficial - Valetas de proteção de aterro (Manual)</t>
  </si>
  <si>
    <t>3.1.7.2.2.2.2</t>
  </si>
  <si>
    <t>2.5-C02E</t>
  </si>
  <si>
    <t xml:space="preserve">   Seg. 2.5-C02 - Drenagem Superficial - Valetas de proteção de corte (Extrusada)</t>
  </si>
  <si>
    <t>3.1.7.2.2.5.4</t>
  </si>
  <si>
    <t xml:space="preserve">   Seg. 2.5-C05 - Drenagem Superficial - Valetas de proteção de corte (Extrusada)</t>
  </si>
  <si>
    <t>3.1.7.2.2.4.4</t>
  </si>
  <si>
    <t xml:space="preserve">   Seg. 2.5-C04 - Drenagem Superficial - Valetas de proteção de corte (Extrusada)</t>
  </si>
  <si>
    <t>3.1.7.2.2.8.4</t>
  </si>
  <si>
    <t xml:space="preserve">   Seg. 2.5-C09 - Drenagem Superficial - Valetas de proteção de corte (Extrusada)</t>
  </si>
  <si>
    <t>3.1.7.2.2.13.3</t>
  </si>
  <si>
    <t xml:space="preserve">   Seg. 2.5-A03 - Drenagem Superficial - Valetas de proteção de aterro (Extrusada)</t>
  </si>
  <si>
    <t>3.1.7.2.2.19.3</t>
  </si>
  <si>
    <t xml:space="preserve">   Seg. 2.5-A09 - Drenagem Superficial - Valetas de proteção de aterro (Extrusada)</t>
  </si>
  <si>
    <t>3.1.7.2.2.20.3</t>
  </si>
  <si>
    <t xml:space="preserve">   Seg. 2.5-A10 - Drenagem Superficial - Valetas de proteção de aterro (Manual)</t>
  </si>
  <si>
    <t>3.1.7.2.2.23.3</t>
  </si>
  <si>
    <t xml:space="preserve">   Seg. 2.5-A13 - Drenagem Superficial - Valetas de proteção de aterro (Manual)</t>
  </si>
  <si>
    <t>3.1.7.2.2.9.2</t>
  </si>
  <si>
    <t xml:space="preserve">   Seg. 2.5-C10 - Drenagem Superficial - Valetas de proteção de corte (Manual)</t>
  </si>
  <si>
    <t>3.1.7.2.2.4.3</t>
  </si>
  <si>
    <t xml:space="preserve">   Seg. 2.5-C04 - Drenagem Superficial - Valetas de proteção de corte (Manual)</t>
  </si>
  <si>
    <t>3.1.7.2.2.5.3</t>
  </si>
  <si>
    <t xml:space="preserve">   Seg. 2.5-C05 - Drenagem Superficial - Valetas de proteção de corte (Manual)</t>
  </si>
  <si>
    <t>3.1.7.2.2.6.2</t>
  </si>
  <si>
    <t xml:space="preserve">   Seg. 2.5-C07 - Drenagem Superficial - Valetas de proteção de corte (Extrusada)</t>
  </si>
  <si>
    <t>3.1.7.2.2.8.3</t>
  </si>
  <si>
    <t xml:space="preserve">   Seg. 2.5-C09 - Drenagem Superficial - Valetas de proteção de corte (Manual)</t>
  </si>
  <si>
    <t>2.5-A04e</t>
  </si>
  <si>
    <t>Seg. 2.5 - Aterro 04 - Valeta Extrusada</t>
  </si>
  <si>
    <t>2.5-C03E</t>
  </si>
  <si>
    <t>Seg. 2.5 - Corte 03 - Valeta Extrusada</t>
  </si>
  <si>
    <t>Seg. 2.5 - Aterro 07 - Valeta Manual</t>
  </si>
  <si>
    <t>3.3.4.1.3.1.2</t>
  </si>
  <si>
    <t>DESVIO GO-164</t>
  </si>
  <si>
    <t>3.1.7.2.3.2.3</t>
  </si>
  <si>
    <t xml:space="preserve">   Seg. 3.1-C02 - Drenagem Superficial - Valetas de proteção de corte (Extrusada)</t>
  </si>
  <si>
    <t>3.1.7.2.3.4.2</t>
  </si>
  <si>
    <t xml:space="preserve">   Seg. 3.1-C04 - Drenagem Superficial - Valetas de proteção de corte (Extrusada)</t>
  </si>
  <si>
    <t>3.1.7.2.3.5.3</t>
  </si>
  <si>
    <t xml:space="preserve">   Seg. 3.1-C05 - Drenagem Superficial - Valetas de proteção de corte (Extrusada)</t>
  </si>
  <si>
    <t>3.1.7.2.3.7.4</t>
  </si>
  <si>
    <t xml:space="preserve">   Seg. 3.1-C07 - Drenagem Superficial - Valetas de proteção de corte (Manual)</t>
  </si>
  <si>
    <t>3.1.7.2.3.8.2</t>
  </si>
  <si>
    <t>3.1-C08e</t>
  </si>
  <si>
    <t xml:space="preserve">   Seg. 3.1-C08 - Drenagem Superficial - Valetas de proteção de corte (Extrusada)</t>
  </si>
  <si>
    <t>3.1.7.2.3.10.2</t>
  </si>
  <si>
    <t>3.1-A02E</t>
  </si>
  <si>
    <t xml:space="preserve">   Seg. 3.1-A02 - Drenagem Superficial - Valetas de proteção de aterro (Extrusada)</t>
  </si>
  <si>
    <t>3.1.7.2.3.12.4</t>
  </si>
  <si>
    <t xml:space="preserve">   Seg. 3.1-A04 - Drenagem Superficial - Valetas de proteção de aterro (Extrusada)</t>
  </si>
  <si>
    <t>3.1.7.2.3.13.2</t>
  </si>
  <si>
    <t xml:space="preserve">   Seg. 3.1-A05 - Drenagem Superficial - Valetas de proteção de aterro (Manual)</t>
  </si>
  <si>
    <t>3.1.7.2.3.14.2</t>
  </si>
  <si>
    <t xml:space="preserve">   Seg. 3.1-A06 - Drenagem Superficial - Valetas de proteção de aterro (Manual)</t>
  </si>
  <si>
    <t>3.1.7.2.3.15.2</t>
  </si>
  <si>
    <t>3.1-A07E</t>
  </si>
  <si>
    <t xml:space="preserve">   Seg. 3.1-A07 - Drenagem Superficial - Valetas de proteção de aterro (Extrusada)</t>
  </si>
  <si>
    <t>3.1.7.2.3.16.1</t>
  </si>
  <si>
    <t xml:space="preserve">   Seg. 3.1-A08 - Drenagem Superficial - Valetas de proteção de aterro (Manual)</t>
  </si>
  <si>
    <t>3.1.7.2.3.17.1</t>
  </si>
  <si>
    <t>3.1-A11E</t>
  </si>
  <si>
    <t xml:space="preserve">   Seg. 3.1-A10 - Drenagem Superficial - Valetas de proteção de aterro (Extrusada)</t>
  </si>
  <si>
    <t>3.2.1.3.3.1.3</t>
  </si>
  <si>
    <t>ACESSO 154+757</t>
  </si>
  <si>
    <t xml:space="preserve">   Seg. 3.1-Acesso A02 - Drenagem Superficial - Valetas de proteção de corte (Manual)</t>
  </si>
  <si>
    <t>3.2.1.3.3.2.1</t>
  </si>
  <si>
    <t>ACESSO 159+900</t>
  </si>
  <si>
    <t xml:space="preserve">   Seg. 3.1-Acesso C03 - Drenagem Superficial - Valetas de proteção de corte (Manual)</t>
  </si>
  <si>
    <t>3.2.1.3.3.6.2</t>
  </si>
  <si>
    <t xml:space="preserve">   Seg. 3.1-ADME 04 - Drenagem Superficial - Valetas de proteção de aterro (Manual)</t>
  </si>
  <si>
    <t>3.2.1.3.3.7.2</t>
  </si>
  <si>
    <t xml:space="preserve">   Seg. 3.1-ADME 05 - Drenagem Superficial - Valetas de proteção de aterro (Manual)</t>
  </si>
  <si>
    <t>3.1.7.2.3.3.3</t>
  </si>
  <si>
    <t>3.1-C03E</t>
  </si>
  <si>
    <t xml:space="preserve">   Seg. 3.1-C03 - Drenagem Superficial - Valetas de proteção de corte (Extrusada)</t>
  </si>
  <si>
    <t>3.1.7.2.3.6.2</t>
  </si>
  <si>
    <t xml:space="preserve">   Seg. 3.1-C06 - Drenagem Superficial - Valetas de proteção de corte (Manual)</t>
  </si>
  <si>
    <t>3.1.7.2.3.9.2</t>
  </si>
  <si>
    <t xml:space="preserve">   Seg. 3.1-A01 - Drenagem Superficial - Valetas de proteção de aterro (Manual)</t>
  </si>
  <si>
    <t>3.2.1.3.3.8.1</t>
  </si>
  <si>
    <t>3.1-ADMEE06</t>
  </si>
  <si>
    <t xml:space="preserve">   Seg. 3.1-ADME 06 - Drenagem Superficial - Valetas de proteção de aterro (Manual)</t>
  </si>
  <si>
    <t>3.2.1.3.3.12.2</t>
  </si>
  <si>
    <t xml:space="preserve">   Seg. 3.1-ADME 11 - Drenagem Superficial - Valetas de proteção de aterro</t>
  </si>
  <si>
    <t>3.1.7.2.3.1.3</t>
  </si>
  <si>
    <t xml:space="preserve">   Seg. 3.1-C01 - Drenagem Superficial - Valetas de proteção de corte (Extrusada)</t>
  </si>
  <si>
    <t>3.1.7.2.3.2.4</t>
  </si>
  <si>
    <t xml:space="preserve">   Seg. 3.1-C02 - Drenagem Superficial - Valetas de proteção de corte (Manual)</t>
  </si>
  <si>
    <t>3.1.7.2.3.7.5</t>
  </si>
  <si>
    <t xml:space="preserve">   Seg. 3.1-C07 - Drenagem Superficial - Valetas de proteção de corte (Extrusada)</t>
  </si>
  <si>
    <t>3.1.7.2.3.11.2</t>
  </si>
  <si>
    <t>3.1-A03E</t>
  </si>
  <si>
    <t xml:space="preserve">   Seg. 3.1-A03 - Drenagem Superficial - Valetas de proteção de aterro (Extrusada)</t>
  </si>
  <si>
    <t>3.1.7.2.3.11.1</t>
  </si>
  <si>
    <t xml:space="preserve">   Seg. 3.1-A03 - Drenagem Superficial - Valetas de proteção de aterro (Manual)</t>
  </si>
  <si>
    <t>3.1.7.2.3.16.2</t>
  </si>
  <si>
    <t>3.1-A08E</t>
  </si>
  <si>
    <t xml:space="preserve">   Seg. 3.1-A08 - Drenagem Superficial - Valetas de proteção de aterro (Extrusada)</t>
  </si>
  <si>
    <t>3.1.7.2.3.12.3</t>
  </si>
  <si>
    <t xml:space="preserve">   Seg. 3.1-A04 - Drenagem Superficial - Valetas de proteção de aterro (Manual)</t>
  </si>
  <si>
    <t>3.2.1.3.3.4.2</t>
  </si>
  <si>
    <t xml:space="preserve">   Seg. 3.1-ADME 1-2 - Drenagem Superficial - Valetas de proteção de aterro (Manual)</t>
  </si>
  <si>
    <t>3.3.4.3.3</t>
  </si>
  <si>
    <t xml:space="preserve">   Construção de valeta de proteção de aterro</t>
  </si>
  <si>
    <t xml:space="preserve">   Construção de valeta</t>
  </si>
  <si>
    <t>Seg.3.1 -Corte 3 - Valeta Manual</t>
  </si>
  <si>
    <t>Seg.3.1 -Corte 01 - Valeta Manual</t>
  </si>
  <si>
    <t>Seg.3.1 -Corte 05 - Valeta Manual</t>
  </si>
  <si>
    <t>Seg.3.1 -Aterro 07 - Valeta Manual</t>
  </si>
  <si>
    <t>Seg.3.1 -Aterro 02 - Valeta Manual</t>
  </si>
  <si>
    <r>
      <t xml:space="preserve">DPS - </t>
    </r>
    <r>
      <rPr>
        <sz val="14"/>
        <color theme="1"/>
        <rFont val="Calibri"/>
        <family val="2"/>
        <scheme val="minor"/>
      </rPr>
      <t>Dreno Longitudinal Profundo</t>
    </r>
  </si>
  <si>
    <t>2.1.4.1.1.14.7</t>
  </si>
  <si>
    <t xml:space="preserve">   Seg. 2.2-C13 - Dreno de transição - DPS 06-A1 - DPS 04-B1 - Seg.2.2B C 13</t>
  </si>
  <si>
    <t xml:space="preserve">   Seg. 2.2-C07-Plataforma - Dreno Longitudinal Profo</t>
  </si>
  <si>
    <t>2.1.4.1.1.4.2.5</t>
  </si>
  <si>
    <t xml:space="preserve">   Seg. 2.2-C04-Plataforma - Dreno Longitudinal Profo - DPS 03-B1</t>
  </si>
  <si>
    <t>2.1.4.1.1.14.8</t>
  </si>
  <si>
    <t xml:space="preserve">   Seg. 2.2-C13 - Dreno Longitudinal Profo - DPS 03-B1 - Seg.2.2B C 13</t>
  </si>
  <si>
    <t>2.1.4.1.1.5.4</t>
  </si>
  <si>
    <t xml:space="preserve">   Seg. 2.2-C05- Dreno Longitudinal Profo - DPS 03-B1 - Seg.2.2B C05</t>
  </si>
  <si>
    <t>2.1.4.1.1.11.2</t>
  </si>
  <si>
    <t xml:space="preserve">   Seg. 2.2-C11- Dreno Longitudinal Profo - DPS 03-B1 - Seg.2.2B C 11</t>
  </si>
  <si>
    <t>2.1.4.1.1.13.3</t>
  </si>
  <si>
    <t xml:space="preserve">   Seg. 2.2-C12 - Dreno Longitudinal Profo - DPS 03-B1 - Seg.2.2B C 12</t>
  </si>
  <si>
    <t>Seg.2.2B - Aterro 03 - Km 105+550 a Km 105+600</t>
  </si>
  <si>
    <t>Seg.2.2B - Aterro 07 - Km 109+200 a Km 109+320</t>
  </si>
  <si>
    <t>Seg.2.2B - Aterro 08 - Km 109+440 a Km 109+600</t>
  </si>
  <si>
    <t>Seg.2.2B - Corte 09 - Km 109+600 a Km 109+980</t>
  </si>
  <si>
    <t>2.1.4.1.2.5.3</t>
  </si>
  <si>
    <t xml:space="preserve">   Seg. 2.3-C05 - Dreno Longitudinal Profo - DPS 03-B1- Seg.2.3 C 05 </t>
  </si>
  <si>
    <t>2.1.4.1.2.8.2.7</t>
  </si>
  <si>
    <t xml:space="preserve">   Seg. 2.3-C08-Plataforma - Dreno Longitudinal Profo - DPS 03-B1</t>
  </si>
  <si>
    <t>2.3.4.3.1.1.7</t>
  </si>
  <si>
    <t xml:space="preserve">   Dreno Longitudinal Profo - DPS 03- GO 336 (1000+280 a 1000+725 / 1001+180 a 1001+745)</t>
  </si>
  <si>
    <t>2.1.4.1.2.4.3</t>
  </si>
  <si>
    <t xml:space="preserve">   Seg.2.3 C 04 - Dreno Longitudinal Profo - DPS 06-A1 - DPS 04-B1 </t>
  </si>
  <si>
    <t>3.1.6.1.1.1.2</t>
  </si>
  <si>
    <t xml:space="preserve">   Dreno Longitudinal Profo - DPS 03-B1- Seg.2.4 C 04</t>
  </si>
  <si>
    <t>3.1.6.1.1.2.4</t>
  </si>
  <si>
    <t xml:space="preserve">   Dreno Longitudinal Profo - DPS 04/06 - Seg.2.4 C 05</t>
  </si>
  <si>
    <t>3.1.6.1.1.3.3</t>
  </si>
  <si>
    <t xml:space="preserve">   Dreno Longitudinal Profo - DPS 03-B1- Seg.2.4 C 06</t>
  </si>
  <si>
    <t>3.1.6.1.1.5.3</t>
  </si>
  <si>
    <t xml:space="preserve">   Dreno Longitudinal Profo - DPS 03-B1- Seg.2.4 C 08</t>
  </si>
  <si>
    <t>3.1.6.1.2.1.2</t>
  </si>
  <si>
    <t xml:space="preserve">   Dreno Longitudinal Profo - DPS 03-B1- Seg.2.5 C 01</t>
  </si>
  <si>
    <t>3.1.6.1.2.4.5</t>
  </si>
  <si>
    <t xml:space="preserve">   Dreno Longitudinal Profo - DPS 03-B1 Seg.2.5 C 04</t>
  </si>
  <si>
    <t>3.1.6.1.2.5.3</t>
  </si>
  <si>
    <t xml:space="preserve">   Dreno Longitudinal Profo - DPS 03-B1- Seg.2.5 C 05</t>
  </si>
  <si>
    <t>3.1.6.1.2.7.4</t>
  </si>
  <si>
    <t xml:space="preserve">   Dreno Longitudinal Profo - DPS 03-B1- Seg.2.5 C 08</t>
  </si>
  <si>
    <t>3.1.6.1.2.8.5</t>
  </si>
  <si>
    <t xml:space="preserve">   Dreno Longitudinal Profo - DPS 03-B1- Seg.2.5 C 09_Plataforma</t>
  </si>
  <si>
    <t>3.1.6.1.3.2.3</t>
  </si>
  <si>
    <t xml:space="preserve">   Dreno Longitudinal Profo - DPS 03-B1- Seg.3.1 C 02</t>
  </si>
  <si>
    <t>3.1.6.1.3.3.2</t>
  </si>
  <si>
    <t xml:space="preserve">   Dreno Longitudinal Profo - DPS 03-B1- Seg.3.1 C 03</t>
  </si>
  <si>
    <t>3.1.6.1.3.4.3</t>
  </si>
  <si>
    <t xml:space="preserve">   Dreno Longitudinal Profo - DPS 03-B1- Seg.3.1 C 04</t>
  </si>
  <si>
    <t>3.1.6.1.3.5.2</t>
  </si>
  <si>
    <t xml:space="preserve">   Dreno Longitudinal Profo - DPS 03-B1- Seg.3.1 C 05</t>
  </si>
  <si>
    <t>3.1.6.1.3.7.3</t>
  </si>
  <si>
    <t xml:space="preserve">   Dreno Longitudinal Profo - DPS 03-B1- Seg.3.1 C 07</t>
  </si>
  <si>
    <t>Desvio da GO-164</t>
  </si>
  <si>
    <r>
      <t xml:space="preserve">DSH / DHP - </t>
    </r>
    <r>
      <rPr>
        <sz val="14"/>
        <color theme="1"/>
        <rFont val="Calibri"/>
        <family val="2"/>
        <scheme val="minor"/>
      </rPr>
      <t>Drenos Sub-Horizontal e Horizontal Profundo</t>
    </r>
  </si>
  <si>
    <t>2.1.4.1.1.13.2</t>
  </si>
  <si>
    <t xml:space="preserve">   Seg. 2.2-C12 - Instalação de DSH01 - Seg.2.2B C 12</t>
  </si>
  <si>
    <t>2.1.4.1.1.14.6</t>
  </si>
  <si>
    <t xml:space="preserve">   Seg. 2.2-C13 - Instalação de DSH01 - Seg.2.2B C 13</t>
  </si>
  <si>
    <t>2.1.4.1.1.5.3</t>
  </si>
  <si>
    <t xml:space="preserve">   Seg. 2.2-C05 - Instalação de DSH01 - Seg.2.2B C05</t>
  </si>
  <si>
    <t>2.1.4.1.1.4.2.3</t>
  </si>
  <si>
    <t xml:space="preserve">   Instalação de DSH01 - Seg.2.2 C 04_Plataforma</t>
  </si>
  <si>
    <t>2.1.4.1.2.8.1.10</t>
  </si>
  <si>
    <t xml:space="preserve">   Seg. 2.3-C08-Plataforma- Instalação de DSH01 - Seg.2.3 C 08 </t>
  </si>
  <si>
    <t>2.3.4.3.1.1.8</t>
  </si>
  <si>
    <t>GO 336</t>
  </si>
  <si>
    <t>Instalação de DSH01 - Seg.2.3 GO 336</t>
  </si>
  <si>
    <t>Descida D'Água  (Escavação / lançamento / concretagem)</t>
  </si>
  <si>
    <t>2.1.5.1.1.4.1</t>
  </si>
  <si>
    <t>2.2-BST PEAD DN 1,0m - Km 106+021</t>
  </si>
  <si>
    <t xml:space="preserve">   Seg. 2.2-A04-OAC - Descida DDA 04, L=3,80m</t>
  </si>
  <si>
    <t>2.1.5.2.1.20.5</t>
  </si>
  <si>
    <t xml:space="preserve">   Seg. 2.2-A06 - Drenagem Superficial - Descida d´água (Km 108+120 a 108+540)</t>
  </si>
  <si>
    <t>2.1.5.2.1.15.5</t>
  </si>
  <si>
    <t xml:space="preserve">   Seg. 2.2-A01 - Drenagem Superficial - Descida d´água (Km 104+500 a 105+040)</t>
  </si>
  <si>
    <t>2.1.5.2.1.18.5</t>
  </si>
  <si>
    <t xml:space="preserve">   Seg. 2.2-A04 - Drenagem Superficial - Descida d´água (Km 105+980 a 106+200)</t>
  </si>
  <si>
    <t>2.1.5.2.1.19.5</t>
  </si>
  <si>
    <t xml:space="preserve">   Seg. 2.2-A05 - Drenagem Superficial - Descida d´água (Km 107+420 a 107+700)</t>
  </si>
  <si>
    <t>2.1.5.2.1.3.1.4</t>
  </si>
  <si>
    <t xml:space="preserve">   Seg. 2.2-C04-B01 - Drenagem Superficial - Descida D´água</t>
  </si>
  <si>
    <t>2.1.5.2.1.2.4</t>
  </si>
  <si>
    <t xml:space="preserve">   Seg. 2.2-C03 - Drenagem Superficial - Descida d´água (Km 105+620 a 105+960)</t>
  </si>
  <si>
    <t>2.1.5.2.1.6.6</t>
  </si>
  <si>
    <t xml:space="preserve">   Seg. 2.2-C07 - Drenagem Superficial - Descida d´água (Km 108+560 a 109+200)</t>
  </si>
  <si>
    <t>2.1.5.2.1.16.5</t>
  </si>
  <si>
    <t xml:space="preserve">   Seg. 2.2-A02 - Drenagem Superficial - Descida d´água (Km 105+120 a 105+270)</t>
  </si>
  <si>
    <t>2.1.5.2.1.21.4</t>
  </si>
  <si>
    <t xml:space="preserve">   Seg. 2.2-A07 - Drenagem Superficial - Descida d´água (Km 109+200 a 109+280)</t>
  </si>
  <si>
    <t>2.1.5.2.1.22.4</t>
  </si>
  <si>
    <t xml:space="preserve">   Seg. 2.2-A08 - Drenagem Superficial - Descida d´água (Km 109+440 a 109+580)</t>
  </si>
  <si>
    <t>2.1.5.2.1.24.4</t>
  </si>
  <si>
    <t xml:space="preserve">   Seg. 2.2-A10 - Drenagem Superficial - Descida d´água (Km 110+880 a 111+220)</t>
  </si>
  <si>
    <t>2.1.5.2.1.25.4</t>
  </si>
  <si>
    <t xml:space="preserve">   Seg. 2.2-A11 - Drenagem Superficial - Descida d´água (Km 111+640 a 112+000)</t>
  </si>
  <si>
    <t>2.1.5.2.1.26.5</t>
  </si>
  <si>
    <t xml:space="preserve">   Seg. 2.2-A12 - Drenagem Superficial - Descida d´água (Km 112+440 a 113+280)</t>
  </si>
  <si>
    <t>2.1.5.2.1.27.4</t>
  </si>
  <si>
    <t xml:space="preserve">   Seg. 2.2-A13 - Drenagem Superficial - Descida d´água (Km 114+320 a 114+940)</t>
  </si>
  <si>
    <t>2.1.5.2.1.28.4</t>
  </si>
  <si>
    <t xml:space="preserve">   Seg. 2.2-A14 - Drenagem Superficial - Descida d´água (Km 115+820 a 116+020)</t>
  </si>
  <si>
    <t>2.1.5.2.1.29.4</t>
  </si>
  <si>
    <t xml:space="preserve">   Seg. 2.2-A15-B01 - Drenagem Superficial - Descida d´água (Km 116+260 a 116+460)</t>
  </si>
  <si>
    <t>2.2.1.2.1.4.4</t>
  </si>
  <si>
    <t>2.2-AC.</t>
  </si>
  <si>
    <t xml:space="preserve">   Seg. 2.2-C09-Acesso-OAC - Descida d'água - LE - DDA-04(L=2,70m)</t>
  </si>
  <si>
    <t>2.3.3.2.3.2.3</t>
  </si>
  <si>
    <t>2.2-GO-156</t>
  </si>
  <si>
    <t xml:space="preserve">   Construção de descida d'água (Km 1000+375 a 1000+420)</t>
  </si>
  <si>
    <t>2.1.5.1.1.10.3</t>
  </si>
  <si>
    <t>2.2-BDT PEAD DN 1,20m - km 109+216</t>
  </si>
  <si>
    <t xml:space="preserve">   Seg. 2.2-A07-OAC -Descida DDA-6 L=3,5</t>
  </si>
  <si>
    <t>2.2.1.3.1.3.5</t>
  </si>
  <si>
    <t>2.2-AC. 110+035</t>
  </si>
  <si>
    <t xml:space="preserve">   Seg. 2.2-A09-Acesso - Drenagem Superficial - Descida D´água (Km 110+035)</t>
  </si>
  <si>
    <t>ACESSO 114+474</t>
  </si>
  <si>
    <t xml:space="preserve">   Seg. 2.2-A13-Acesso - Drenagem Superficial - Descida D´água</t>
  </si>
  <si>
    <t>2.2 - Acesso - Km- 114+740</t>
  </si>
  <si>
    <t xml:space="preserve">   Seg. 2.2-C09- Drenagem Superficial - Descida D´água</t>
  </si>
  <si>
    <t>2.2-a03</t>
  </si>
  <si>
    <t xml:space="preserve">   Seg. 2.2-A09- Drenagem Superficial - Descida D´água</t>
  </si>
  <si>
    <t>2.1.5.1.2.25.3</t>
  </si>
  <si>
    <t>2.3-BSCC 2,5 x 2,5 m - Km 125+785</t>
  </si>
  <si>
    <t xml:space="preserve">   Seg. 2.3-A13-OAC - Descida DDAB-3-esc. 20º -VALEC L=3,00m</t>
  </si>
  <si>
    <t>2.1.5.1.2.14.1</t>
  </si>
  <si>
    <t xml:space="preserve">2.3-BSTC DN 1,2m - Km 121+275 </t>
  </si>
  <si>
    <t xml:space="preserve">   Seg. 2.3-A06-OAC -Descida DDA 05 L=2,70m</t>
  </si>
  <si>
    <t>2.1.5.2.2.4.6</t>
  </si>
  <si>
    <t xml:space="preserve">   Seg. 2.3-C04 - Drenagem Superficial - Descida d´água (Km 118+580 a 120+020)</t>
  </si>
  <si>
    <t>2.1.5.2.2.5.5</t>
  </si>
  <si>
    <t xml:space="preserve">   Seg. 2.3-C05 - Drenagem Superficial - Descida d´água (Km 120+240 a 120+900)</t>
  </si>
  <si>
    <t>2.1.5.2.2.7.5</t>
  </si>
  <si>
    <t xml:space="preserve">   Seg. 2.3-C07 - Drenagem Superficial - Descida d´água (Km 121+700 a 122+200)</t>
  </si>
  <si>
    <t>2.1.5.2.2.10.5</t>
  </si>
  <si>
    <t xml:space="preserve">   Seg. 2.3-C10 - Drenagem Superficial - Descida d´água (Km 125+160 a 125+640)</t>
  </si>
  <si>
    <t>2.1.5.2.2.15.4</t>
  </si>
  <si>
    <t xml:space="preserve">   Seg. 2.3-A01 - Drenagem Superficial - Descida d´água (Km 116+540 a 116+680)</t>
  </si>
  <si>
    <t>2.1.5.2.2.16.4</t>
  </si>
  <si>
    <t xml:space="preserve">   Seg. 2.3-A02 - Drenagem Superficial - Descida d´água (Km 116+940 a 118+020)</t>
  </si>
  <si>
    <t>2.1.5.2.2.17.4</t>
  </si>
  <si>
    <t xml:space="preserve">   Seg. 2.3-A03 - Drenagem Superficial - Descida d´água (Km 118+180 a 118+280)</t>
  </si>
  <si>
    <t>2.1.5.2.2.18.3</t>
  </si>
  <si>
    <t xml:space="preserve">   Seg. 2.3-A04 - Drenagem Superficial - Descida D´água (Km 118+500 a 118+580)</t>
  </si>
  <si>
    <t>2.1.5.2.2.19.4</t>
  </si>
  <si>
    <t xml:space="preserve">   Seg. 2.3-A05 - Drenagem Superficial - Descida D´água (Km 120+040 a 120+320)</t>
  </si>
  <si>
    <t>2.1.5.2.2.20.5</t>
  </si>
  <si>
    <t xml:space="preserve">   Seg. 2.3-A06 - Drenagem Superficial - Descida d´água (Km 120+920 a 121+560)</t>
  </si>
  <si>
    <t>2.1.5.2.2.21.4</t>
  </si>
  <si>
    <t xml:space="preserve">   Seg. 2.3-A07 - Drenagem Superficial - Descida d´água (Km 121+660 a 121+700)</t>
  </si>
  <si>
    <t>2.1.5.2.2.22.4</t>
  </si>
  <si>
    <t xml:space="preserve">   Seg. 2.3-A11 - Drenagem Superficial - Descida d´água (Km 124+400 ao 124+460)</t>
  </si>
  <si>
    <t>2.1.5.2.2.23.5</t>
  </si>
  <si>
    <t xml:space="preserve">   Seg. 2.3-A12 - Drenagem Superficial - Descida d´água (Km 124+620 a 125+180)</t>
  </si>
  <si>
    <t>2.1.5.2.2.24.5</t>
  </si>
  <si>
    <t xml:space="preserve">   Seg. 2.3-A13 - Drenagem Superficial - Descida D´água (Km 125+640 a 125+960)</t>
  </si>
  <si>
    <t>2.1.5.2.2.25.5</t>
  </si>
  <si>
    <t xml:space="preserve">   Seg. 2.3-A14 - Drenagem Superficial - Descida d´água (Km 126+360 a 126+500)</t>
  </si>
  <si>
    <t>2.1.5.2.2.26.5</t>
  </si>
  <si>
    <t xml:space="preserve">   Seg. 2.3-A15 - Drenagem Superficial - Descida d´água (Km 126+620 a 127+440)</t>
  </si>
  <si>
    <t>2.1.5.2.2.27.5</t>
  </si>
  <si>
    <t xml:space="preserve">   Seg. 2.3-A16 - Drenagem Superficial - Descida d´água (Km 127+540 a 127+980)</t>
  </si>
  <si>
    <t>2.1.5.2.2.28.5</t>
  </si>
  <si>
    <t xml:space="preserve">   Seg. 2.3-A17 - Drenagem Superficial - Descida d´água (Km 128+320 a 131+241)</t>
  </si>
  <si>
    <t>2.2.1.3.2.4.4</t>
  </si>
  <si>
    <t>2.3-AC.</t>
  </si>
  <si>
    <t xml:space="preserve">   Seg. 2.3-C12-Acesso - Drenagem Superficial - Execução de descida d'água</t>
  </si>
  <si>
    <t>2.2.1.3.2.6.5</t>
  </si>
  <si>
    <t xml:space="preserve">   Seg. 2.3-A17-Acesso - Drenagem Superficial - Execução de descida d'água</t>
  </si>
  <si>
    <t>2.1.5.1.2.23.1</t>
  </si>
  <si>
    <t>2.3-BSCC 2,5 x 2,0 - Km 124+636</t>
  </si>
  <si>
    <t xml:space="preserve">   Seg. 2.3-A12-OAC - Descida DDA 06 L=1,00m</t>
  </si>
  <si>
    <t>2.1.5.1.2.24.2</t>
  </si>
  <si>
    <t xml:space="preserve">2.3-BSTC DN 1,2m - Km 125+087 </t>
  </si>
  <si>
    <t xml:space="preserve">   Seg. 2.3-A12-OAC -Descida DDA 05 L=2,70m - LD</t>
  </si>
  <si>
    <t>2.1.5.1.2.26.5</t>
  </si>
  <si>
    <t>2.3-BST PEAD DN 1,2m - Km 126+421</t>
  </si>
  <si>
    <t xml:space="preserve">   Seg. 2.3-A12-OAC - Descida DDA 05 L=5,00m</t>
  </si>
  <si>
    <t>2.1.5.1.2.29.2</t>
  </si>
  <si>
    <t>2.3-BDTC DN 1,0m - Km 127+034</t>
  </si>
  <si>
    <t xml:space="preserve">   Seg. 2.3-A15-OAC - Descida DDA 06 L=1,5m</t>
  </si>
  <si>
    <t>2.1.5.2.1.8.6</t>
  </si>
  <si>
    <t xml:space="preserve">   Seg. 2.3-C09 - Drenagem Superficial - Descida d´água (Km 109+590 a 109+990 e 110+040 a 110+840)</t>
  </si>
  <si>
    <t>2.1.5.2.2.3.3</t>
  </si>
  <si>
    <t xml:space="preserve">   Seg. 2.3-C03 - Drenagem Superficial - Descida d´água (Km 118+300 a 118+500)</t>
  </si>
  <si>
    <t>2.1.5.2.2.8.1.5</t>
  </si>
  <si>
    <t xml:space="preserve">   Seg. 2.3-C08-Plataforma - Drenagem Superficial - Descida D´água</t>
  </si>
  <si>
    <t>2.3.4.3.1.1.5</t>
  </si>
  <si>
    <t>2.3- GO-336</t>
  </si>
  <si>
    <t xml:space="preserve">   Construção de descida d'agua</t>
  </si>
  <si>
    <t>2.1.5.2.2.8.2.4</t>
  </si>
  <si>
    <t>2.4.2.3</t>
  </si>
  <si>
    <t>2.3</t>
  </si>
  <si>
    <t xml:space="preserve">   Saldo remanescente - Descida d'água</t>
  </si>
  <si>
    <t>Item de correção de acumulado - Bm</t>
  </si>
  <si>
    <t>3.1.7.2.1.6.7</t>
  </si>
  <si>
    <t xml:space="preserve">   Seg. 2.4-A01 - Drenagem Superficial - Descida D´água</t>
  </si>
  <si>
    <t>3.1.7.2.1.11.5</t>
  </si>
  <si>
    <t xml:space="preserve">   Seg. 2.4-A06 - Drenagem Superficial - Descida D´água</t>
  </si>
  <si>
    <t>3.1.7.1.1.8.5</t>
  </si>
  <si>
    <t>2.4-BDCC 2,50x2,00 - km 134+743</t>
  </si>
  <si>
    <t xml:space="preserve">   Descida DDAB-4 L=2,20m</t>
  </si>
  <si>
    <t>3.1.7.2.2.12.5</t>
  </si>
  <si>
    <t xml:space="preserve">   Seg. 2.5-A01 - Drenagem Superficial - Descida D´água</t>
  </si>
  <si>
    <t>3.1.7.2.2.13.5</t>
  </si>
  <si>
    <t xml:space="preserve">   Seg. 2.5-A03 - Drenagem Superficial - Descida D´água</t>
  </si>
  <si>
    <t>3.1.7.2.2.14.5</t>
  </si>
  <si>
    <t xml:space="preserve">   Seg. 2.5-A04 - Drenagem Superficial - Descida D´água</t>
  </si>
  <si>
    <t>3.1.7.2.2.16.5</t>
  </si>
  <si>
    <t xml:space="preserve">   Seg.2.5-A06 - Drenagem Superficial - Descida D´água</t>
  </si>
  <si>
    <t>3.1.7.2.2.17.7</t>
  </si>
  <si>
    <t>2.5--A07</t>
  </si>
  <si>
    <t xml:space="preserve">   Seg.2.5-A07 - Drenagem Superficial - Descida D´água</t>
  </si>
  <si>
    <t>3.1.7.2.2.21.5</t>
  </si>
  <si>
    <t xml:space="preserve">   Seg.2.5-A11 - Drenagem Superficial - Descida D´água</t>
  </si>
  <si>
    <t>3.1.7.2.2.23.6</t>
  </si>
  <si>
    <t xml:space="preserve">   Seg.2.5-A13 - Drenagem Superficial - Descida D´água</t>
  </si>
  <si>
    <t>3.2.1.3.2.3.4</t>
  </si>
  <si>
    <t>2.5-AC.144</t>
  </si>
  <si>
    <t xml:space="preserve">   Seg. 2.5- Acesso Km 144 - C07 - Drenagem Superficial - Descida D´água</t>
  </si>
  <si>
    <t>3.1.7.2.2.8.10</t>
  </si>
  <si>
    <t xml:space="preserve">   Seg. 2.5-C09 - Drenagem Superficial - Descida D´água</t>
  </si>
  <si>
    <t>3.1.7.2.2.19.6</t>
  </si>
  <si>
    <t xml:space="preserve">   Seg.2.5-A09 - Drenagem Superficial - Descida D´água</t>
  </si>
  <si>
    <t>3.1.7.2.2.20.6</t>
  </si>
  <si>
    <t xml:space="preserve">   Seg.2.5-A10 - Drenagem Superficial - Descida D´água</t>
  </si>
  <si>
    <t>3.4.1.2.2</t>
  </si>
  <si>
    <t>3.1</t>
  </si>
  <si>
    <t>3.1.7.2.3.10.5</t>
  </si>
  <si>
    <t xml:space="preserve">   Seg. 3.1-A02 - Drenagem Superficial - Descida D´água</t>
  </si>
  <si>
    <t>3.1.7.2.3.11.4</t>
  </si>
  <si>
    <t xml:space="preserve">   Seg. 3.1-A03 - Drenagem Superficial - Descida D´água</t>
  </si>
  <si>
    <t>3.1.7.2.3.12.6</t>
  </si>
  <si>
    <t xml:space="preserve">   Seg. 3.1-A04 - Drenagem Superficial - Descida D´água</t>
  </si>
  <si>
    <t>3.1.7.2.3.13.4</t>
  </si>
  <si>
    <t xml:space="preserve">   Seg. 3.1-A05 - Drenagem Superficial - Descida D´água</t>
  </si>
  <si>
    <t>3.1.7.2.3.15.5</t>
  </si>
  <si>
    <t xml:space="preserve">   Seg. 3.1-A07 - Drenagem Superficial - Descida D´água</t>
  </si>
  <si>
    <t>3.2.1.3.3.4.4</t>
  </si>
  <si>
    <t xml:space="preserve">   Seg. 3.1- ADME 1 e 2 - Drenagem Superficial - Descida D´água</t>
  </si>
  <si>
    <t>3.2.1.3.3.5.3</t>
  </si>
  <si>
    <t xml:space="preserve">   Seg. 3.1- ADME 03 - Drenagem Superficial - Descida D´água</t>
  </si>
  <si>
    <t>3.2.1.3.3.6.4</t>
  </si>
  <si>
    <t xml:space="preserve">   Seg. 3.1- ADME 04 - Drenagem Superficial - Descida D´água</t>
  </si>
  <si>
    <t>3.1.7.2.3.7.10</t>
  </si>
  <si>
    <t xml:space="preserve">   Seg. 3.1-C07 - Drenagem Superficial - Descida D´água</t>
  </si>
  <si>
    <t>3.1.7.2.3.9.4</t>
  </si>
  <si>
    <t xml:space="preserve">   Seg.3.1-A01 - Drenagem Superficial - Descida D´água</t>
  </si>
  <si>
    <t>3.1.7.2.3.14.5</t>
  </si>
  <si>
    <t xml:space="preserve">   Seg.3.1-A06 - Drenagem Superficial - Descida D´água</t>
  </si>
  <si>
    <t>3.2.1.3.3.7.4</t>
  </si>
  <si>
    <t xml:space="preserve">   Seg. 3.1- ADME 05 - Drenagem Superficial - Descida D´água</t>
  </si>
  <si>
    <t>3.2.1.3.3.9.3</t>
  </si>
  <si>
    <t xml:space="preserve">   Seg. 3.1- ADME 07 - Drenagem Superficial - Descida D´água</t>
  </si>
  <si>
    <t>3.2.1.3.3.10.3</t>
  </si>
  <si>
    <t xml:space="preserve">   Seg. 3.1- ADME 08 - Drenagem Superficial - Descida D´água</t>
  </si>
  <si>
    <t>3.2.1.3.3.11.3</t>
  </si>
  <si>
    <t xml:space="preserve">   Seg. 3.1- ADME 10 - Drenagem Superficial - Descida D´água</t>
  </si>
  <si>
    <t>3.2.1.3.3.12.4</t>
  </si>
  <si>
    <t xml:space="preserve">   Seg. 3.1- ADME 11 - Drenagem Superficial - Descida D´água</t>
  </si>
  <si>
    <t>3.2.1.3.3.13.3</t>
  </si>
  <si>
    <t xml:space="preserve">   Seg. 3.1- ADME 12 - Drenagem Superficial - Descida D´água</t>
  </si>
  <si>
    <t>3.3.4.3.5</t>
  </si>
  <si>
    <t>3.1- RECOMPOSIÇÃO GO-164</t>
  </si>
  <si>
    <t>Sublastro</t>
  </si>
  <si>
    <t>2.1.4.3.1.1.1</t>
  </si>
  <si>
    <t>2.2-C01SBL</t>
  </si>
  <si>
    <t xml:space="preserve">   Seg. 2.2-C01-Execução de sublastro</t>
  </si>
  <si>
    <t>2.1.4.3.1.2.1</t>
  </si>
  <si>
    <t>2.2-A01SBL</t>
  </si>
  <si>
    <t xml:space="preserve">   Seg. 2.2-A01-Execução de sublastro</t>
  </si>
  <si>
    <t>2.1.4.3.1.3.1</t>
  </si>
  <si>
    <t>2.2-A02SBL</t>
  </si>
  <si>
    <t xml:space="preserve">   Seg. 2.2-A02-Execução de sublastro</t>
  </si>
  <si>
    <t>2.1.4.3.1.4.1</t>
  </si>
  <si>
    <t>2.2-C02SBL</t>
  </si>
  <si>
    <t xml:space="preserve">   Seg. 2.2-C02-Execução de sublastro</t>
  </si>
  <si>
    <t>2.1.4.3.1.5.1</t>
  </si>
  <si>
    <t>2.2-A03SBL</t>
  </si>
  <si>
    <t xml:space="preserve">   Seg. 2.2-A03-Execução de sublastro</t>
  </si>
  <si>
    <t>2.1.4.3.1.6.1</t>
  </si>
  <si>
    <t>2.2-C03SBL</t>
  </si>
  <si>
    <t xml:space="preserve">   Seg. 2.2-C03-Execução de sublastro</t>
  </si>
  <si>
    <t>2.1.4.3.1.7.1</t>
  </si>
  <si>
    <t>2.2-A04SBL</t>
  </si>
  <si>
    <t xml:space="preserve">   Seg. 2.2-A04-Execução de sublastro</t>
  </si>
  <si>
    <t>2.1.4.3.1.8.1</t>
  </si>
  <si>
    <t>2.2-C04SBL</t>
  </si>
  <si>
    <t xml:space="preserve">   Seg. 2.2-C04-Execução de sublastro - 1° Trecho</t>
  </si>
  <si>
    <t>2.1.4.3.1.9.1</t>
  </si>
  <si>
    <t>2.2-A05SBL</t>
  </si>
  <si>
    <t xml:space="preserve">   Seg. 2.2-A05-Execução de sublastro</t>
  </si>
  <si>
    <t>2.1.4.3.1.10.1</t>
  </si>
  <si>
    <t>2.2-C05SBL</t>
  </si>
  <si>
    <t xml:space="preserve">   Seg. 2.2-C05-Execução de sublastro</t>
  </si>
  <si>
    <t>2.1.4.3.1.12.1</t>
  </si>
  <si>
    <t>2.2-C06SBL</t>
  </si>
  <si>
    <t xml:space="preserve">   Seg. 2.2-C06-Execução de sublastro</t>
  </si>
  <si>
    <t>2.1.4.3.1.11.1</t>
  </si>
  <si>
    <t>2.2-A06SBL</t>
  </si>
  <si>
    <t xml:space="preserve">   Seg. 2.2-A06-Execução de sublastro</t>
  </si>
  <si>
    <t>2.1.4.3.1.13.1</t>
  </si>
  <si>
    <t>2.2-C07SBL</t>
  </si>
  <si>
    <t xml:space="preserve">   Seg. 2.2-C07-Execução de sublastro</t>
  </si>
  <si>
    <t>2.1.4.3.1.14.1</t>
  </si>
  <si>
    <t>2.2-A07SBL</t>
  </si>
  <si>
    <t xml:space="preserve">   Seg. 2.2-A07-Execução de sublastro</t>
  </si>
  <si>
    <t>2.1.4.3.1.15.1</t>
  </si>
  <si>
    <t>2.2-C08SBL</t>
  </si>
  <si>
    <t xml:space="preserve">   Seg. 2.2-C08-Execução de sublastro</t>
  </si>
  <si>
    <t>2.1.4.3.1.16.1</t>
  </si>
  <si>
    <t>2.2-A08SBL</t>
  </si>
  <si>
    <t xml:space="preserve">   Seg. 2.2-A08-Execução de sublastro</t>
  </si>
  <si>
    <t>2.1.4.3.1.17.1</t>
  </si>
  <si>
    <t>2.2-C09SBL</t>
  </si>
  <si>
    <t xml:space="preserve">   Seg. 2.2-C09-Execução de sublastro</t>
  </si>
  <si>
    <t>2.1.4.3.1.18.1</t>
  </si>
  <si>
    <t>2.2-A09SBL</t>
  </si>
  <si>
    <t xml:space="preserve">   Seg. 2.2-A09-Execução de sublastro</t>
  </si>
  <si>
    <t>2.1.4.3.1.19.1</t>
  </si>
  <si>
    <t>2.2-A10SBL</t>
  </si>
  <si>
    <t xml:space="preserve">   Seg. 2.2-A10-Execução de sublastro</t>
  </si>
  <si>
    <t>2.1.4.3.1.20.1</t>
  </si>
  <si>
    <t>2.2-C10SBL</t>
  </si>
  <si>
    <t xml:space="preserve">   Seg. 2.2-C10-Execução de sublastro</t>
  </si>
  <si>
    <t>2.1.4.3.1.21.1</t>
  </si>
  <si>
    <t>2.2-A11SBL</t>
  </si>
  <si>
    <t xml:space="preserve">   Seg. 2.2-A11-Execução de sublastro</t>
  </si>
  <si>
    <t>2.1.4.3.1.22.1</t>
  </si>
  <si>
    <t>2.2-C11SBL</t>
  </si>
  <si>
    <t xml:space="preserve">   Seg. 2.2-C11-Execução de sublastro</t>
  </si>
  <si>
    <t>2.1.4.3.1.23.1</t>
  </si>
  <si>
    <t>2.2-A12SBL</t>
  </si>
  <si>
    <t xml:space="preserve">   Seg. 2.2-A12-Execução de sublastro</t>
  </si>
  <si>
    <t>2.1.4.3.1.24.1</t>
  </si>
  <si>
    <t>2.2-C12SBL</t>
  </si>
  <si>
    <t xml:space="preserve">   Seg. 2.2-C12-Execução de sublastro</t>
  </si>
  <si>
    <t>2.1.4.3.1.25.1</t>
  </si>
  <si>
    <t>2.2-A13SBL</t>
  </si>
  <si>
    <t xml:space="preserve">   Seg. 2.2-A13-Execução de sublastro</t>
  </si>
  <si>
    <t>2.1.4.3.1.26.1</t>
  </si>
  <si>
    <t>2.2-C13SBL</t>
  </si>
  <si>
    <t xml:space="preserve">   Seg. 2.2-C13-Execução de sublastro</t>
  </si>
  <si>
    <t>2.1.4.3.1.27.1</t>
  </si>
  <si>
    <t>2.2-A14SBL</t>
  </si>
  <si>
    <t xml:space="preserve">   Seg. 2.2-A14-Execução de sublastro</t>
  </si>
  <si>
    <t>2.1.4.3.1.28.1</t>
  </si>
  <si>
    <t xml:space="preserve">   Seg. 2.2-C14-Execução de sublastro</t>
  </si>
  <si>
    <t>2.1.4.3.1.29.1</t>
  </si>
  <si>
    <t>2.2-C15SBL</t>
  </si>
  <si>
    <t xml:space="preserve">   Seg. 2.2-C15-Execução de sublastro</t>
  </si>
  <si>
    <t>2.1.4.3.1.30.1</t>
  </si>
  <si>
    <t>2.2-A15SBL</t>
  </si>
  <si>
    <t xml:space="preserve">   Seg. 2.2-A15-Execução de sublastro</t>
  </si>
  <si>
    <t>2.1.4.3.2.1.1</t>
  </si>
  <si>
    <t>2.3-C01SBL</t>
  </si>
  <si>
    <t xml:space="preserve">   Seg. 2.3-C01 - Execução de sublastro</t>
  </si>
  <si>
    <t>2.1.4.3.2.4.1</t>
  </si>
  <si>
    <t>2.3-A02SBL</t>
  </si>
  <si>
    <t xml:space="preserve">   Seg. 2.3-A02 - Execução de sublastro</t>
  </si>
  <si>
    <t>2.1.4.3.2.3.1</t>
  </si>
  <si>
    <t>2.3-C02SBL</t>
  </si>
  <si>
    <t xml:space="preserve">   Seg. 2.3-C02 - Execução de sublastro</t>
  </si>
  <si>
    <t>2.1.4.3.2.6.1</t>
  </si>
  <si>
    <t>2.3-A03SBL</t>
  </si>
  <si>
    <t xml:space="preserve">   Seg. 2.3-A03 - Execução de sublastro</t>
  </si>
  <si>
    <t>2.1.4.3.2.5.1</t>
  </si>
  <si>
    <t>2.3-C03SBL</t>
  </si>
  <si>
    <t xml:space="preserve">   Seg. 2.3-C03 - Execução de sublastro</t>
  </si>
  <si>
    <t>2.1.4.3.2.8.1</t>
  </si>
  <si>
    <t>2.3-A04SBL</t>
  </si>
  <si>
    <t xml:space="preserve">   Seg. 2.3-A04 - Execução de sublastro</t>
  </si>
  <si>
    <t>2.1.4.3.2.7.1</t>
  </si>
  <si>
    <t>2.3-C04SBL</t>
  </si>
  <si>
    <t xml:space="preserve">   Seg. 2.3-C04 - Execução de sublastro</t>
  </si>
  <si>
    <t>2.1.4.3.2.10.1</t>
  </si>
  <si>
    <t>2.3-A05SBL</t>
  </si>
  <si>
    <t xml:space="preserve">   Seg. 2.3-A05 - Execução de sublastro</t>
  </si>
  <si>
    <t>2.1.4.3.2.9.1</t>
  </si>
  <si>
    <t>2.3-C05SBL</t>
  </si>
  <si>
    <t xml:space="preserve">   Seg. 2.3-C05 - Execução de sublastro</t>
  </si>
  <si>
    <t>2.1.4.3.2.12.1</t>
  </si>
  <si>
    <t>2.3-A06SBL</t>
  </si>
  <si>
    <t xml:space="preserve">   Seg. 2.3-A06 - Execução de sublastro</t>
  </si>
  <si>
    <t>2.1.4.3.2.11.1</t>
  </si>
  <si>
    <t>2.3-C06SBL</t>
  </si>
  <si>
    <t xml:space="preserve">   Seg. 2.3-C06 - Execução de sublastro</t>
  </si>
  <si>
    <t>2.1.4.3.2.14.1</t>
  </si>
  <si>
    <t>2.3-A07SBL</t>
  </si>
  <si>
    <t xml:space="preserve">   Seg. 2.3-A07 - Execução de sublastro</t>
  </si>
  <si>
    <t>2.1.4.3.2.13.1</t>
  </si>
  <si>
    <t>2.3-C07SBL</t>
  </si>
  <si>
    <t xml:space="preserve">   Seg. 2.3-C07 - Execução de sublastro</t>
  </si>
  <si>
    <t>2.1.4.3.2.16.1</t>
  </si>
  <si>
    <t>2.3-A08SBL</t>
  </si>
  <si>
    <t xml:space="preserve">   Seg. 2.3-A08-Execução de sublastro</t>
  </si>
  <si>
    <t>2.1.4.3.2.18.1</t>
  </si>
  <si>
    <t>2.3-A09SBL</t>
  </si>
  <si>
    <t xml:space="preserve">   Seg. 2.3-A09-Execução de sublastro</t>
  </si>
  <si>
    <t>2.1.4.3.2.22.1</t>
  </si>
  <si>
    <t>2.3-A11SBL</t>
  </si>
  <si>
    <t xml:space="preserve">   Seg. 2.3-A11 - Execução de sublastro</t>
  </si>
  <si>
    <t>2.1.4.3.2.24.1</t>
  </si>
  <si>
    <t>2.3A12SBL</t>
  </si>
  <si>
    <t xml:space="preserve">   Seg. 2.3-A12-Execução de sublastro</t>
  </si>
  <si>
    <t>2.1.4.3.2.26.1</t>
  </si>
  <si>
    <t>2.3-A13SBL</t>
  </si>
  <si>
    <t xml:space="preserve">   Seg. 2.3-A13 - Execução de sublastro</t>
  </si>
  <si>
    <t>2.1.4.3.2.28.1</t>
  </si>
  <si>
    <t>2.3-A14SBL</t>
  </si>
  <si>
    <t xml:space="preserve">   Seg. 2.3-A14 - Execução de sublastro</t>
  </si>
  <si>
    <t>2.1.4.3.2.29.1</t>
  </si>
  <si>
    <t>2.3-A15SBL</t>
  </si>
  <si>
    <t xml:space="preserve">   Seg. 2.3-A15 - Execução de sublastro</t>
  </si>
  <si>
    <t>2.1.4.3.2.17.1</t>
  </si>
  <si>
    <t>2.3-C09SBL</t>
  </si>
  <si>
    <t xml:space="preserve">   Seg. 2.3-C09-Execução de sublastro</t>
  </si>
  <si>
    <t>2.1.4.3.2.19.1</t>
  </si>
  <si>
    <t>2.3-C10SBL</t>
  </si>
  <si>
    <t xml:space="preserve">   Seg. 2.3-C10 - Execução de sublastro</t>
  </si>
  <si>
    <t>2.1.4.3.2.20.1</t>
  </si>
  <si>
    <t>2.3-A10SBL</t>
  </si>
  <si>
    <t xml:space="preserve">   Seg. 2.3-A10 - Execução de sublastro</t>
  </si>
  <si>
    <t>2.1.4.3.2.21.1</t>
  </si>
  <si>
    <t>2.3-C11SBL</t>
  </si>
  <si>
    <t xml:space="preserve">   Seg. 2.3-C11 - Execução de sublastro</t>
  </si>
  <si>
    <t>2.1.4.3.2.23.1</t>
  </si>
  <si>
    <t>2.3-C12SBL</t>
  </si>
  <si>
    <t xml:space="preserve">   Seg. 2.3-C12-Execução de sublastro</t>
  </si>
  <si>
    <t>2.1.4.3.2.25.1</t>
  </si>
  <si>
    <t>2.3-C13SBL</t>
  </si>
  <si>
    <t xml:space="preserve">   Seg. 2.3-C13 - Execução de sublastro</t>
  </si>
  <si>
    <t>2.1.4.3.2.27.1</t>
  </si>
  <si>
    <t>2.3-C14SBL</t>
  </si>
  <si>
    <t xml:space="preserve">   Seg. 2.3-C14 - Execução de sublastro</t>
  </si>
  <si>
    <t>2.1.4.3.2.30.1</t>
  </si>
  <si>
    <t>2.3-A16SBL</t>
  </si>
  <si>
    <t xml:space="preserve">   Seg. 2.3-A16 - Execução de sublastro</t>
  </si>
  <si>
    <t>2.1.4.3.2.31.1</t>
  </si>
  <si>
    <t>2.3-A17SBL</t>
  </si>
  <si>
    <t xml:space="preserve">   Seg. 2.3-A17 - Execução de sublastro</t>
  </si>
  <si>
    <t>2.1.4.3.2.2.1</t>
  </si>
  <si>
    <t>2.3-A01SBL</t>
  </si>
  <si>
    <t xml:space="preserve">   Seg. 2.3-A01 - Execução de sublastro</t>
  </si>
  <si>
    <t>2.1.4.3.2.15.1</t>
  </si>
  <si>
    <t>2.3-C08SBL</t>
  </si>
  <si>
    <t xml:space="preserve">   Seg. 2.3-C08 - Execução de sublastro</t>
  </si>
  <si>
    <t>3.1.6.3.1.11.1</t>
  </si>
  <si>
    <t>2.4-C08SBL</t>
  </si>
  <si>
    <t xml:space="preserve">   Execução de sublastro - Seg.2.4 C 08</t>
  </si>
  <si>
    <t>3.1.6.3.1.1.1</t>
  </si>
  <si>
    <t>2.4-A01SBL</t>
  </si>
  <si>
    <t xml:space="preserve">   Execução de sublastro - Seg.2.4 CA 01</t>
  </si>
  <si>
    <t>3.1.6.3.1.2.1</t>
  </si>
  <si>
    <t>2.4-A02SBL</t>
  </si>
  <si>
    <t xml:space="preserve">   Execução de sublastro - Seg.2.4 CA 02</t>
  </si>
  <si>
    <t>3.1.6.3.1.3.1</t>
  </si>
  <si>
    <t>2.4-A03SBL</t>
  </si>
  <si>
    <t xml:space="preserve">   Execução de sublastro - Seg.2.4 CA 03</t>
  </si>
  <si>
    <t>3.1.6.3.1.4.1</t>
  </si>
  <si>
    <t>2.4-C04SBL</t>
  </si>
  <si>
    <t xml:space="preserve">   Execução de sublastro - Seg.2.4 C 04</t>
  </si>
  <si>
    <t>3.1.6.3.1.5.1</t>
  </si>
  <si>
    <t>2.4-A04SBL</t>
  </si>
  <si>
    <t xml:space="preserve">   Execução de sublastro - Seg.2.4 CA 04</t>
  </si>
  <si>
    <t>3.1.6.3.1.6.1</t>
  </si>
  <si>
    <t>2.4-C05SBL</t>
  </si>
  <si>
    <t xml:space="preserve">   Execução de sublastro - Seg.2.4 C 05</t>
  </si>
  <si>
    <t>3.1.6.3.1.7.1</t>
  </si>
  <si>
    <t>2.4-A05SBL</t>
  </si>
  <si>
    <t xml:space="preserve">   Execução de sublastro - Seg.2.4 CA 05</t>
  </si>
  <si>
    <t>3.1.6.3.1.8.1</t>
  </si>
  <si>
    <t>2.4-C06SBL</t>
  </si>
  <si>
    <t xml:space="preserve">   Execução de sublastro - Seg.2.4 C 06</t>
  </si>
  <si>
    <t>3.1.6.3.1.9.1</t>
  </si>
  <si>
    <t>2.4-A06SBL</t>
  </si>
  <si>
    <t xml:space="preserve">   Execução de sublastro - Seg.2.4 CA 06</t>
  </si>
  <si>
    <t>3.1.6.3.1.10.1</t>
  </si>
  <si>
    <t>2.4-C07SBL</t>
  </si>
  <si>
    <t xml:space="preserve">   Execução de sublastro - Seg.2.4 C 07</t>
  </si>
  <si>
    <t>3.1.6.3.2.1.1</t>
  </si>
  <si>
    <t>2.5-C01SBL</t>
  </si>
  <si>
    <t xml:space="preserve">   Execução de sublastro - Seg.2.5 C 01</t>
  </si>
  <si>
    <t>3.1.6.3.2.3.1</t>
  </si>
  <si>
    <t>2.5-C02SBL</t>
  </si>
  <si>
    <t xml:space="preserve">   Execução de sublastro - Seg.2.5 C 02</t>
  </si>
  <si>
    <t>3.1.6.3.2.4.1</t>
  </si>
  <si>
    <t>2.5-C03SBL</t>
  </si>
  <si>
    <t xml:space="preserve">   Execução de sublastro - Seg.2.5 C 03</t>
  </si>
  <si>
    <t>3.1.6.3.2.6.1</t>
  </si>
  <si>
    <t>2.5-C04SBL</t>
  </si>
  <si>
    <t xml:space="preserve">   Execução de sublastro - Seg.2.5 C 04</t>
  </si>
  <si>
    <t>3.1.6.3.2.8.1</t>
  </si>
  <si>
    <t>2.5-C05SBL</t>
  </si>
  <si>
    <t xml:space="preserve">   Execução de sublastro - Seg.2.5 C 05</t>
  </si>
  <si>
    <t>3.1.6.3.2.11.1</t>
  </si>
  <si>
    <t>2.5-C07SBL</t>
  </si>
  <si>
    <t xml:space="preserve">   Execução de sublastro - Seg.2.5 C 07</t>
  </si>
  <si>
    <t>3.1.6.3.2.13.1</t>
  </si>
  <si>
    <t>2.5-C08SBL</t>
  </si>
  <si>
    <t xml:space="preserve">   Execução de sublastro - Seg.2.5 C 08</t>
  </si>
  <si>
    <t>3.1.6.3.2.15.1</t>
  </si>
  <si>
    <t>2.5-C09SBL</t>
  </si>
  <si>
    <t xml:space="preserve">   Execução de sublastro - Seg.2.5 C 09</t>
  </si>
  <si>
    <t>3.1.6.3.2.17.1</t>
  </si>
  <si>
    <t>2.5-C10SBL</t>
  </si>
  <si>
    <t xml:space="preserve">   Execução de sublastro - Seg.2.5 C 10</t>
  </si>
  <si>
    <t>3.1.6.3.2.19.1</t>
  </si>
  <si>
    <t>2.5-C11SBL</t>
  </si>
  <si>
    <t xml:space="preserve">   Execução de sublastro - Seg.2.5 C 11</t>
  </si>
  <si>
    <t>3.1.6.3.2.21.1</t>
  </si>
  <si>
    <t>2.5-C12SBL</t>
  </si>
  <si>
    <t xml:space="preserve">   Execução de sublastro - Seg.2.5 C 12</t>
  </si>
  <si>
    <t>3.1.6.3.2.2.1</t>
  </si>
  <si>
    <t>2.5-A01SBL</t>
  </si>
  <si>
    <t xml:space="preserve">   Execução de sublastro - Seg.2.5 CA 01</t>
  </si>
  <si>
    <t>3.1.6.3.2.5.1</t>
  </si>
  <si>
    <t>2.5-A03SBL</t>
  </si>
  <si>
    <t xml:space="preserve">   Execução de sublastro - Seg.2.5 CA 03</t>
  </si>
  <si>
    <t>3.1.6.3.2.7.1</t>
  </si>
  <si>
    <t>2.5-A04SBL</t>
  </si>
  <si>
    <t xml:space="preserve">   Execução de sublastro - Seg.2.5 CA 04</t>
  </si>
  <si>
    <t>3.1.6.3.2.9.1</t>
  </si>
  <si>
    <t>2.5-A05SBL</t>
  </si>
  <si>
    <t xml:space="preserve">   Execução de sublastro - Seg.2.5 CA 05</t>
  </si>
  <si>
    <t>3.1.6.3.2.10.1</t>
  </si>
  <si>
    <t>2.5-A06SBL</t>
  </si>
  <si>
    <t xml:space="preserve">   Execução de sublastro - Seg.2.5 CA 06</t>
  </si>
  <si>
    <t>3.1.6.3.2.12.1</t>
  </si>
  <si>
    <t>2.5-A07SBL</t>
  </si>
  <si>
    <t xml:space="preserve">   Execução de sublastro - Seg.2.5 CA 07</t>
  </si>
  <si>
    <t>3.1.6.3.2.14.1</t>
  </si>
  <si>
    <t>2.5-A08SBL</t>
  </si>
  <si>
    <t xml:space="preserve">   Execução de sublastro - Seg.2.5 CA 08</t>
  </si>
  <si>
    <t>3.1.6.3.2.16.1</t>
  </si>
  <si>
    <t>2.5-A09SBL</t>
  </si>
  <si>
    <t xml:space="preserve">   Execução de sublastro - Seg.2.5 CA 09</t>
  </si>
  <si>
    <t>3.1.6.3.2.18.1</t>
  </si>
  <si>
    <t>2.5-A10SBL</t>
  </si>
  <si>
    <t xml:space="preserve">   Execução de sublastro - Seg.2.5 CA 10</t>
  </si>
  <si>
    <t>3.1.6.3.2.20.1</t>
  </si>
  <si>
    <t>2.5-A11SBL</t>
  </si>
  <si>
    <t xml:space="preserve">   Execução de sublastro - Seg.2.5 CA 11</t>
  </si>
  <si>
    <t>3.1.6.3.2.22.1</t>
  </si>
  <si>
    <t>2.5-A12SBL</t>
  </si>
  <si>
    <t xml:space="preserve">   Execução de sublastro - Seg.2.5 CA 12</t>
  </si>
  <si>
    <t>3.1.6.3.2.23.1</t>
  </si>
  <si>
    <t>2.5-A13SBL</t>
  </si>
  <si>
    <t xml:space="preserve">   Execução de sublastro - Seg.2.5 CA 13</t>
  </si>
  <si>
    <t>3.1.6.3.3.1.1</t>
  </si>
  <si>
    <t>3.1C01SBL</t>
  </si>
  <si>
    <t xml:space="preserve">   Execução de sublastro - Seg.3.1 C 01</t>
  </si>
  <si>
    <t>3.1.6.3.3.2.1</t>
  </si>
  <si>
    <t>3.1C02SBL</t>
  </si>
  <si>
    <t xml:space="preserve">   Execução de sublastro - Seg.3.1 C 02</t>
  </si>
  <si>
    <t>3.1.6.3.3.3.1</t>
  </si>
  <si>
    <t>3.1A02SBL</t>
  </si>
  <si>
    <t xml:space="preserve">   Execução de sublastro - Seg.3.1 CA 02</t>
  </si>
  <si>
    <t>3.1.6.3.3.4.1</t>
  </si>
  <si>
    <t>3.1C03SBL</t>
  </si>
  <si>
    <t xml:space="preserve">   Execução de sublastro - Seg.3.1 C 03</t>
  </si>
  <si>
    <t>3.1.6.3.3.5.1</t>
  </si>
  <si>
    <t>3.1A03SBL</t>
  </si>
  <si>
    <t xml:space="preserve">   Execução de sublastro - Seg.3.1 CA 03</t>
  </si>
  <si>
    <t>3.1.6.3.3.6.1</t>
  </si>
  <si>
    <t>3.1C04SBL</t>
  </si>
  <si>
    <t xml:space="preserve">   Execução de sublastro - Seg.3.1 C 04</t>
  </si>
  <si>
    <t>3.1.6.3.3.7.1</t>
  </si>
  <si>
    <t>3.1A04SBL</t>
  </si>
  <si>
    <t xml:space="preserve">   Execução de sublastro - Seg.3.1 CA 04</t>
  </si>
  <si>
    <t>3.1.6.3.3.8.1</t>
  </si>
  <si>
    <t>3.1C05SBL</t>
  </si>
  <si>
    <t xml:space="preserve">   Execução de sublastro - Seg.3.1 C 05</t>
  </si>
  <si>
    <t>3.1.6.3.3.9.1</t>
  </si>
  <si>
    <t>3.1A05SBL</t>
  </si>
  <si>
    <t xml:space="preserve">   Execução de sublastro - Seg.3.1 CA 05</t>
  </si>
  <si>
    <t>3.1.6.3.3.10.1</t>
  </si>
  <si>
    <t>3.1C06SBL</t>
  </si>
  <si>
    <t xml:space="preserve">   Execução de sublastro - Seg.3.1 C 06</t>
  </si>
  <si>
    <t>3.1.6.3.3.11.1</t>
  </si>
  <si>
    <t>3.1A07SBL</t>
  </si>
  <si>
    <t xml:space="preserve">   Execução de sublastro - Seg.3.1 CA 06</t>
  </si>
  <si>
    <t>3.1.6.3.3.12.1</t>
  </si>
  <si>
    <t>3.1C07SBL</t>
  </si>
  <si>
    <t xml:space="preserve">   Execução de sublastro - Seg.3.1 C 07</t>
  </si>
  <si>
    <t>3.1.6.3.3.13.1</t>
  </si>
  <si>
    <t xml:space="preserve">   Execução de sublastro - Seg.3.1 CA 07</t>
  </si>
  <si>
    <t>3.1.6.3.3.14.1</t>
  </si>
  <si>
    <t>3.1C08SBL</t>
  </si>
  <si>
    <t xml:space="preserve">   Execução de sublastro - Seg.3.1 C 08</t>
  </si>
  <si>
    <t>3.1.6.3.3.15.1</t>
  </si>
  <si>
    <t>3.1A08SBL</t>
  </si>
  <si>
    <t xml:space="preserve">   Execução de sublastro - Seg.3.1 CA 08</t>
  </si>
  <si>
    <t>3.1.6.3.3.16.1</t>
  </si>
  <si>
    <t>3.1A09SBL</t>
  </si>
  <si>
    <t xml:space="preserve">   Execução de sublastro - Seg.3.1 CA 09</t>
  </si>
  <si>
    <t>3.1.6.3.3.17.1</t>
  </si>
  <si>
    <t>3.1A10SBL</t>
  </si>
  <si>
    <t xml:space="preserve">   Execução de sublastro - Seg.3.1 CA 10</t>
  </si>
  <si>
    <t>Revegetação - Hidrossemeadura</t>
  </si>
  <si>
    <t>m²</t>
  </si>
  <si>
    <t>2.1.7.1.1.6.1</t>
  </si>
  <si>
    <t>2.2-C08H</t>
  </si>
  <si>
    <t xml:space="preserve">   Seg. 2.2-C08-Revestimento vegetal por hidrossemeadura</t>
  </si>
  <si>
    <t>2.1.7.1.1.7.1</t>
  </si>
  <si>
    <t>2.2-C09H</t>
  </si>
  <si>
    <t xml:space="preserve">   Seg. 2.2-C09-Revestimento vegetal por hidrossemeadura</t>
  </si>
  <si>
    <t>2.1.7.1.1.10.1</t>
  </si>
  <si>
    <t>2.2-C12H</t>
  </si>
  <si>
    <t xml:space="preserve">   Seg. 2.2-C12-Revestimento vegetal por hidrossemeadura</t>
  </si>
  <si>
    <t>2.1.7.1.1.11.1</t>
  </si>
  <si>
    <t>2.2-C13H</t>
  </si>
  <si>
    <t xml:space="preserve">   Seg. 2.2-C13-Revestimento vegetal por hidrossemeadura</t>
  </si>
  <si>
    <t>2.1.7.1.1.12.1</t>
  </si>
  <si>
    <t>2.2-C15H</t>
  </si>
  <si>
    <t xml:space="preserve">   Seg. 2.2-C15-Revestimento vegetal por hidrossemeadura</t>
  </si>
  <si>
    <t>2.1.7.1.1.18.1</t>
  </si>
  <si>
    <t>2.2.-AC.108+540H</t>
  </si>
  <si>
    <t xml:space="preserve">   Seg. 2.2-A06-Acesso - Revestimento vegetal por hidrossemeadura</t>
  </si>
  <si>
    <t>2.1.7.1.1.19.1</t>
  </si>
  <si>
    <t>2.2-A07H</t>
  </si>
  <si>
    <t xml:space="preserve">   Seg. 2.2-A07-Revestimento vegetal por hidrossemeadura</t>
  </si>
  <si>
    <t>2.1.7.1.1.20.1</t>
  </si>
  <si>
    <t>2.2A08H</t>
  </si>
  <si>
    <t xml:space="preserve">   Seg. 2.2-A08-Revestimento vegetal por hidrossemeadura</t>
  </si>
  <si>
    <t>2.1.7.1.1.21.1</t>
  </si>
  <si>
    <t>2.2-A09H</t>
  </si>
  <si>
    <t xml:space="preserve">   Seg. 2.2-A09-Revestimento vegetal por hidrossemeadura</t>
  </si>
  <si>
    <t>2.1.7.1.1.22.1</t>
  </si>
  <si>
    <t>2.2A10H</t>
  </si>
  <si>
    <t xml:space="preserve">   Seg. 2.2-A10-Revestimento vegetal por hidrossemeadura</t>
  </si>
  <si>
    <t>2.1.7.1.1.23.1</t>
  </si>
  <si>
    <t>2.2A11H</t>
  </si>
  <si>
    <t xml:space="preserve">   Seg. 2.2-A11-Revestimento vegetal por hidrossemeadura</t>
  </si>
  <si>
    <t>2.1.7.1.1.24.1</t>
  </si>
  <si>
    <t>2.2-A12H</t>
  </si>
  <si>
    <t xml:space="preserve">   Seg. 2.2-A12-Revestimento vegetal por hidrossemeadura</t>
  </si>
  <si>
    <t>2.1.7.1.1.25.1</t>
  </si>
  <si>
    <t>2.2A-13H</t>
  </si>
  <si>
    <t xml:space="preserve">   Seg. 2.2-A13-Revestimento vegetal por hidrossemeadura</t>
  </si>
  <si>
    <t>2.1.7.1.1.26.1</t>
  </si>
  <si>
    <t>2.2A14H</t>
  </si>
  <si>
    <t xml:space="preserve">   Seg. 2.2-A14-Revestimento vegetal por hidrossemeadura</t>
  </si>
  <si>
    <t>2.1.7.1.1.27.1</t>
  </si>
  <si>
    <t>2.2A15H</t>
  </si>
  <si>
    <t xml:space="preserve">   Seg. 2.2-A15-Revestimento vegetal por hidrossemeadura</t>
  </si>
  <si>
    <t>2.2.1.5.1.2.1</t>
  </si>
  <si>
    <t>2.2-AC.108+080H</t>
  </si>
  <si>
    <t>2.2.1.5.1.3.1</t>
  </si>
  <si>
    <t>2.2-AC.110+035H</t>
  </si>
  <si>
    <t xml:space="preserve">   Seg. 2.2-C09-Acesso - Revestimento vegetal por hidrossemeadura</t>
  </si>
  <si>
    <t>2.2.1.5.1.4.1</t>
  </si>
  <si>
    <t>2.2-AC.114+460H</t>
  </si>
  <si>
    <t xml:space="preserve">   Seg. 2.2-A13-Acesso - Revestimento vegetal por hidrossemeadura</t>
  </si>
  <si>
    <t>2.2.1.5.1.5.1</t>
  </si>
  <si>
    <t>2.2-AC.115+610H</t>
  </si>
  <si>
    <t xml:space="preserve">   Seg. 2.2-A14-Acesso - Revestimento vegetal por hidrossemeadura</t>
  </si>
  <si>
    <t>2.2.1.5.1.6.1</t>
  </si>
  <si>
    <t>2.2-ADME01H</t>
  </si>
  <si>
    <t xml:space="preserve">   Seg. 2.2-ADME01-Revestimento vegetal por hidrossemeadura</t>
  </si>
  <si>
    <t>2.2.1.5.1.7.1</t>
  </si>
  <si>
    <t>2.2-ADME02H</t>
  </si>
  <si>
    <t xml:space="preserve">   Seg. 2.2-ADME02 - Revestimento vegetal por hidrossemeadura</t>
  </si>
  <si>
    <t>2.2.1.5.1.8.1</t>
  </si>
  <si>
    <t>2.2-ADME03H</t>
  </si>
  <si>
    <t xml:space="preserve">   Seg. 2.2-ADME03 - Revestimento vegetal por hidrossemeadura</t>
  </si>
  <si>
    <t>2.2.1.5.1.9.1</t>
  </si>
  <si>
    <t>2.2-ADME04H</t>
  </si>
  <si>
    <t xml:space="preserve">   Seg. 2.2-ADME04 - Revestimento vegetal por hidrossemeadura</t>
  </si>
  <si>
    <t>2.2.1.5.1.10.1</t>
  </si>
  <si>
    <t>2.2-ADME06H</t>
  </si>
  <si>
    <t xml:space="preserve">   Seg. 2.2-ADME06 - Revestimento vegetal por hidrossemeadura</t>
  </si>
  <si>
    <t>2.1.7.1.1.5.1</t>
  </si>
  <si>
    <t>2.2-C07H</t>
  </si>
  <si>
    <t xml:space="preserve">   Seg. 2.2-C07 - Revestimento vegetal por hidrossemeadura</t>
  </si>
  <si>
    <t>2.1.7.1.1.13.1</t>
  </si>
  <si>
    <t>2.2-A01H</t>
  </si>
  <si>
    <t xml:space="preserve">   Seg. 2.2-A01-Revestimento vegetal por hidrossemeadura</t>
  </si>
  <si>
    <t>2.1.7.1.1.14.1</t>
  </si>
  <si>
    <t>2.2-A02H</t>
  </si>
  <si>
    <t xml:space="preserve">   Seg. 2.2-A02-Revestimento vegetal por hidrossemeadura</t>
  </si>
  <si>
    <t>2.1.7.1.1.15.1</t>
  </si>
  <si>
    <t>2.2-A03H</t>
  </si>
  <si>
    <t xml:space="preserve">   Seg. 2.2-A03-Revestimento vegetal por hidrossemeadura</t>
  </si>
  <si>
    <t>2.1.7.1.1.16.1</t>
  </si>
  <si>
    <t>2.2-A04H</t>
  </si>
  <si>
    <t xml:space="preserve">   Seg. 2.2-A04-Revestimento vegetal por hidrossemeadura</t>
  </si>
  <si>
    <t>2.1.7.1.1.17.1</t>
  </si>
  <si>
    <t>2.2-A05H</t>
  </si>
  <si>
    <t xml:space="preserve">   Seg. 2.2-A05-Revestimento vegetal por hidrossemeadura</t>
  </si>
  <si>
    <t>2.3.3.5.3.1.1</t>
  </si>
  <si>
    <t>2.2-C04H</t>
  </si>
  <si>
    <t xml:space="preserve">   Revestimento vegetal por hidrossemeadura</t>
  </si>
  <si>
    <t>2.2.1.5.1.11.1</t>
  </si>
  <si>
    <t>2.2-ADME109H</t>
  </si>
  <si>
    <t xml:space="preserve">   Seg. 2.2-ADME - Revestimento vegetal por hidrossemeadura</t>
  </si>
  <si>
    <t>2.2.1.5.1.12.1</t>
  </si>
  <si>
    <t>2.2-ADME109+900H</t>
  </si>
  <si>
    <t>2.2.1.5.1.13.1</t>
  </si>
  <si>
    <t>2.2-AE02H</t>
  </si>
  <si>
    <t xml:space="preserve">   Seg. 2.2-AE02 - Revestimento vegetal por hidrossemeadura</t>
  </si>
  <si>
    <t>2.2.1.5.1.14.1</t>
  </si>
  <si>
    <t>2.2-AE03H</t>
  </si>
  <si>
    <t xml:space="preserve">   Seg. 2.2-AE03 - Revestimento vegetal por hidrossemeadura</t>
  </si>
  <si>
    <t>2.2.1.5.1.15.1</t>
  </si>
  <si>
    <t>2.2-AE04H</t>
  </si>
  <si>
    <t xml:space="preserve">   Seg. 2.2-AE04 - Revestimento vegetal por hidrossemeadura</t>
  </si>
  <si>
    <t>2.2.1.5.1.16.1</t>
  </si>
  <si>
    <t>2.2-AE05H</t>
  </si>
  <si>
    <t xml:space="preserve">   Seg. 2.2-AE05 - Revestimento vegetal por hidrossemeadura</t>
  </si>
  <si>
    <t>2.2.1.5.1.17.1</t>
  </si>
  <si>
    <t>2.2-AE06H</t>
  </si>
  <si>
    <t xml:space="preserve">   Seg. 2.2-AE06 - Revestimento vegetal por hidrossemeadura</t>
  </si>
  <si>
    <t>2.2.1.5.1.18.1</t>
  </si>
  <si>
    <t>2.2-AE07H</t>
  </si>
  <si>
    <t xml:space="preserve">   Seg. 2.2-AE07 - Revestimento vegetal por hidrossemeadura</t>
  </si>
  <si>
    <t>2.2.1.5.1.19.1</t>
  </si>
  <si>
    <t>2.2-AE08H</t>
  </si>
  <si>
    <t xml:space="preserve">   Seg. 2.2-AE08 - Revestimento vegetal por hidrossemeadura</t>
  </si>
  <si>
    <t>2.4.3.3</t>
  </si>
  <si>
    <t>2.2-AE01H</t>
  </si>
  <si>
    <t xml:space="preserve">   AE 01 -Seg. 2.2B km 112+200 - Revestimento vegetal por hidrossemeadura</t>
  </si>
  <si>
    <t>2.1.7.1.1.1.1</t>
  </si>
  <si>
    <t>2.2-C02H</t>
  </si>
  <si>
    <t xml:space="preserve">   Seg. 2.2-C02-Revestimento vegetal por hidrossemeadura</t>
  </si>
  <si>
    <t>2.1.7.1.1.2.1</t>
  </si>
  <si>
    <t>2.2-C03H</t>
  </si>
  <si>
    <t xml:space="preserve">   Seg. 2.2-C03-Revestimento vegetal por hidrossemeadura</t>
  </si>
  <si>
    <t>2.1.7.1.1.3.1</t>
  </si>
  <si>
    <t xml:space="preserve">   Seg. 2.2-C04-Revestimento vegetal por hidrossemeadura</t>
  </si>
  <si>
    <t>2.1.7.1.1.4.1</t>
  </si>
  <si>
    <t>2.2-C05H</t>
  </si>
  <si>
    <t xml:space="preserve">   Seg. 2.2-C05-Revestimento vegetal por hidrossemeadura</t>
  </si>
  <si>
    <t>2.1.7.1.1.8.1</t>
  </si>
  <si>
    <t>2.2-C10H</t>
  </si>
  <si>
    <t xml:space="preserve">   Seg. 2.2-C10-Revestimento vegetal por hidrossemeadura</t>
  </si>
  <si>
    <t>2.1.7.1.1.9.1</t>
  </si>
  <si>
    <t>2.2-C11H</t>
  </si>
  <si>
    <t xml:space="preserve">   Seg. 2.2-C11-Revestimento vegetal por hidrossemeadura</t>
  </si>
  <si>
    <t>2.2.1.5.1.1.1</t>
  </si>
  <si>
    <t>2.2-AC.106+190H</t>
  </si>
  <si>
    <t xml:space="preserve">   Seg. 2.2-A04-Acesso - Revestimento vegetal por hidrossemeadura</t>
  </si>
  <si>
    <t>Heliponto</t>
  </si>
  <si>
    <t>2.2-A06H</t>
  </si>
  <si>
    <t xml:space="preserve">   Seg. 2.2-A06-Revestimento vegetal por hidrossemeadura</t>
  </si>
  <si>
    <t>2.1.7.1.2.1.1</t>
  </si>
  <si>
    <t>2.3-C01H</t>
  </si>
  <si>
    <t xml:space="preserve">   Seg. 2.3-C01-Revestimento vegetal por hidrossemeadura</t>
  </si>
  <si>
    <t>2.1.7.1.2.2.1</t>
  </si>
  <si>
    <t>2.3-C02H</t>
  </si>
  <si>
    <t xml:space="preserve">   Seg. 2.3-C02-Revestimento vegetal por hidrossemeadura</t>
  </si>
  <si>
    <t>2.1.7.1.2.3.1</t>
  </si>
  <si>
    <t>2.3-C03H</t>
  </si>
  <si>
    <t xml:space="preserve">   Seg. 2.3-C03-Revestimento vegetal por hidrossemeadura</t>
  </si>
  <si>
    <t>2.1.7.1.2.4.1</t>
  </si>
  <si>
    <t>2.3-C04H</t>
  </si>
  <si>
    <t xml:space="preserve">   Seg. 2.3-C04-Revestimento vegetal por hidrossemeadura</t>
  </si>
  <si>
    <t>2.1.7.1.2.5.1</t>
  </si>
  <si>
    <t>2.3-C05H</t>
  </si>
  <si>
    <t xml:space="preserve">   Seg. 2.3-C05-Revestimento vegetal por hidrossemeadura</t>
  </si>
  <si>
    <t>2.1.7.1.2.6.1</t>
  </si>
  <si>
    <t>2.3-C06H</t>
  </si>
  <si>
    <t xml:space="preserve">   Seg. 2.3-C06-Revestimento vegetal por hidrossemeadura</t>
  </si>
  <si>
    <t>2.1.7.1.2.7.1</t>
  </si>
  <si>
    <t>2.3-C07H</t>
  </si>
  <si>
    <t xml:space="preserve">   Seg. 2.3-C07-Revestimento vegetal por hidrossemeadura</t>
  </si>
  <si>
    <t>2.1.7.1.2.8.1</t>
  </si>
  <si>
    <t xml:space="preserve">   Seg. 2.3-C08-Revestimento vegetal por hidrossemeadura</t>
  </si>
  <si>
    <t>2.1.7.1.2.9.1</t>
  </si>
  <si>
    <t>2.3-C09H</t>
  </si>
  <si>
    <t xml:space="preserve">   Seg. 2.3-C09-Revestimento vegetal por hidrossemeadura</t>
  </si>
  <si>
    <t>2.1.7.1.2.10.1</t>
  </si>
  <si>
    <t>2.3-C10H</t>
  </si>
  <si>
    <t xml:space="preserve">   Seg. 2.3-C10-Revestimento vegetal por hidrossemeadura</t>
  </si>
  <si>
    <t>2.1.7.1.2.11.1</t>
  </si>
  <si>
    <t>2.3-C11H</t>
  </si>
  <si>
    <t xml:space="preserve">   Seg. 2.3-C11-Revestimento vegetal por hidrossemeadura</t>
  </si>
  <si>
    <t>2.1.7.1.2.12.1</t>
  </si>
  <si>
    <t>2.3-C12H</t>
  </si>
  <si>
    <t xml:space="preserve">   Seg. 2.3-C12-Revestimento vegetal por hidrossemeadura</t>
  </si>
  <si>
    <t>2.1.7.1.2.13.1</t>
  </si>
  <si>
    <t>2.3-C13H</t>
  </si>
  <si>
    <t xml:space="preserve">   Seg. 2.3-C13-Revestimento vegetal por hidrossemeadura</t>
  </si>
  <si>
    <t>2.1.7.1.2.14.1</t>
  </si>
  <si>
    <t>2.3-C14H</t>
  </si>
  <si>
    <t xml:space="preserve">   Seg. 2.3-C14-Revestimento vegetal por hidrossemeadura</t>
  </si>
  <si>
    <t>2.1.7.1.2.15.1</t>
  </si>
  <si>
    <t>2.3-A01H</t>
  </si>
  <si>
    <t xml:space="preserve">   Seg. 2.3-A01-Revestimento vegetal por hidrossemeadura</t>
  </si>
  <si>
    <t>2.1.7.1.2.16.1</t>
  </si>
  <si>
    <t>2.3-A02H</t>
  </si>
  <si>
    <t xml:space="preserve">   Seg. 2.3-A02-Revestimento vegetal por hidrossemeadura</t>
  </si>
  <si>
    <t>2.1.7.1.2.17.1</t>
  </si>
  <si>
    <t>2.3-A03H</t>
  </si>
  <si>
    <t xml:space="preserve">   Seg. 2.3-A03-Revestimento vegetal por hidrossemeadura</t>
  </si>
  <si>
    <t>2.1.7.1.2.18.1</t>
  </si>
  <si>
    <t>2.3-A04H</t>
  </si>
  <si>
    <t xml:space="preserve">   Seg. 2.3-A04-Revestimento vegetal por hidrossemeadura</t>
  </si>
  <si>
    <t>2.1.7.1.2.19.1</t>
  </si>
  <si>
    <t>2.3-A05H</t>
  </si>
  <si>
    <t xml:space="preserve">   Seg. 2.3-A05-Revestimento vegetal por hidrossemeadura</t>
  </si>
  <si>
    <t>2.1.7.1.2.20.1</t>
  </si>
  <si>
    <t>2.3-A06H</t>
  </si>
  <si>
    <t xml:space="preserve">   Seg. 2.3-A06-Revestimento vegetal por hidrossemeadura</t>
  </si>
  <si>
    <t>2.1.7.1.2.21.1</t>
  </si>
  <si>
    <t>2.3-A07H</t>
  </si>
  <si>
    <t xml:space="preserve">   Seg. 2.3-A07-Revestimento vegetal por hidrossemeadura</t>
  </si>
  <si>
    <t>2.1.7.1.2.23.1</t>
  </si>
  <si>
    <t>2.3-A13H</t>
  </si>
  <si>
    <t xml:space="preserve">   Seg. 2.3-A13-Revestimento vegetal por hidrossemeadura</t>
  </si>
  <si>
    <t>2.1.7.1.2.24.1</t>
  </si>
  <si>
    <t>2.3-A14H</t>
  </si>
  <si>
    <t xml:space="preserve">   Seg. 2.3-A14-Revestimento vegetal por hidrossemeadura</t>
  </si>
  <si>
    <t>2.1.7.1.2.25.1</t>
  </si>
  <si>
    <t>2.3-A15H</t>
  </si>
  <si>
    <t xml:space="preserve">   Seg. 2.3-A15-Revestimento vegetal por hidrossemeadura</t>
  </si>
  <si>
    <t>2.1.7.1.2.26.1</t>
  </si>
  <si>
    <t>2.3-A16H</t>
  </si>
  <si>
    <t xml:space="preserve">   Seg. 2.3-A16-Revestimento vegetal por hidrossemeadura</t>
  </si>
  <si>
    <t>2.1.7.1.2.27.1</t>
  </si>
  <si>
    <t>2.3-A17H</t>
  </si>
  <si>
    <t xml:space="preserve">   Seg. 2.3-A17-Revestimento vegetal por hidrossemeadura</t>
  </si>
  <si>
    <t>2.2.1.5.2.1.1</t>
  </si>
  <si>
    <t>2.3-AC.118+175H</t>
  </si>
  <si>
    <t xml:space="preserve">   Seg. 2.3-C02-Acesso - Revestimento vegetal por hidrossemeadura</t>
  </si>
  <si>
    <t>2.2.1.5.2.2.1</t>
  </si>
  <si>
    <t>2.3-AC.120+040H</t>
  </si>
  <si>
    <t xml:space="preserve">   Seg. 2.3-C04-Acesso - Revestimento vegetal por hidrossemeadura</t>
  </si>
  <si>
    <t>2.2.1.5.2.3.1</t>
  </si>
  <si>
    <t>2.3-AC.123+605H</t>
  </si>
  <si>
    <t xml:space="preserve">   Seg. 2.3-C08-Acesso - Revestimento vegetal por hidrossemeadura</t>
  </si>
  <si>
    <t>2.2.1.5.2.4.1</t>
  </si>
  <si>
    <t>2.3-AC.126+600H</t>
  </si>
  <si>
    <t xml:space="preserve">   Seg. 2.3-C12-Acesso - Revestimento vegetal por hidrossemeadura</t>
  </si>
  <si>
    <t>2.2.1.5.2.5.1</t>
  </si>
  <si>
    <t>2.3-AC.128+740H</t>
  </si>
  <si>
    <t xml:space="preserve">   Seg. 2.3-A17-Acesso - Revestimento vegetal por hidrossemeadura</t>
  </si>
  <si>
    <t>2.2.1.5.2.6.1</t>
  </si>
  <si>
    <t>2.3-AC.129+160H</t>
  </si>
  <si>
    <t>2.2.1.5.2.7.1</t>
  </si>
  <si>
    <t>2.3-ADME 11A/11BH</t>
  </si>
  <si>
    <t xml:space="preserve">   Seg. 2.3-ADME -11A/11B - Revestimento vegetal por hidrossemeadura</t>
  </si>
  <si>
    <t>2.2.1.5.2.8.1</t>
  </si>
  <si>
    <t>2.3-ADME10H</t>
  </si>
  <si>
    <t xml:space="preserve">   Seg. 2.3-ADME-10 - Revestimento vegetal por hidrossemeadura</t>
  </si>
  <si>
    <t>2.2.1.5.2.9.1</t>
  </si>
  <si>
    <t>2.3-ADME04H</t>
  </si>
  <si>
    <t xml:space="preserve">   Seg. 2.3-ADME-04 - Revestimento vegetal por hidrossemeadura</t>
  </si>
  <si>
    <t>2.2.1.5.2.10.1</t>
  </si>
  <si>
    <t>2.3-ADME 8AH</t>
  </si>
  <si>
    <t xml:space="preserve">   Seg. 2.3-ADME -8A - Revestimento vegetal por hidrossemeadura</t>
  </si>
  <si>
    <t>2.2.1.5.2.11.1</t>
  </si>
  <si>
    <t>2.3-ADME-8BH</t>
  </si>
  <si>
    <t xml:space="preserve">   Seg. 2.3-ADME-8B - Revestimento vegetal por hidrossemeadura</t>
  </si>
  <si>
    <t>2.2.1.5.2.12.1</t>
  </si>
  <si>
    <t>2.3-ADME-09AH</t>
  </si>
  <si>
    <t xml:space="preserve">   Seg. 2.3-ADME-09A - Revestimento vegetal por hidrossemeadura</t>
  </si>
  <si>
    <t>2.3.4.6.3.2.1</t>
  </si>
  <si>
    <t>2.3-C08H</t>
  </si>
  <si>
    <t>2.2.1.5.2.13.1</t>
  </si>
  <si>
    <t>2.3-ADME09BH</t>
  </si>
  <si>
    <t xml:space="preserve">   Seg. 2.3-ADME-09B - Revestimento vegetal por hidrossemeadura</t>
  </si>
  <si>
    <t>2.2.1.5.2.14.1</t>
  </si>
  <si>
    <t>2.3-ADME09DH</t>
  </si>
  <si>
    <t xml:space="preserve">   Seg. 2.3-ADME-09D - Revestimento vegetal por hidrossemeadura</t>
  </si>
  <si>
    <t>2.2.1.5.2.15.1</t>
  </si>
  <si>
    <t>2.3-AE01H</t>
  </si>
  <si>
    <t xml:space="preserve">   Seg. 2.3-AE01 - Revestimento vegetal por hidrossemeadura</t>
  </si>
  <si>
    <t>2.2.1.5.2.16.1</t>
  </si>
  <si>
    <t>2.3-AE02H</t>
  </si>
  <si>
    <t xml:space="preserve">   Seg. 2.3-AE02 - Revestimento vegetal por hidrossemeadura</t>
  </si>
  <si>
    <t>2.2.1.5.2.17.1</t>
  </si>
  <si>
    <t>2.3-AE03H</t>
  </si>
  <si>
    <t xml:space="preserve">   Seg. 2.3-AE03 - Revestimento vegetal por hidrossemeadura</t>
  </si>
  <si>
    <t>2.2.1.5.2.18.1</t>
  </si>
  <si>
    <t>2.3-AE04H</t>
  </si>
  <si>
    <t xml:space="preserve">   Seg. 2.3-AE04 - Revestimento vegetal por hidrossemeadura</t>
  </si>
  <si>
    <t>2.2.1.5.2.19.1</t>
  </si>
  <si>
    <t>2.3-AE05H</t>
  </si>
  <si>
    <t xml:space="preserve">   Seg. 2.3-AE05 - Revestimento vegetal por hidrossemeadura</t>
  </si>
  <si>
    <t>2.4.3.1</t>
  </si>
  <si>
    <t>2.3-ADME123+900H</t>
  </si>
  <si>
    <t xml:space="preserve">   ADME 123+900 - Revestimento vegetal por hidrossemeadura</t>
  </si>
  <si>
    <t>2.4.3.2</t>
  </si>
  <si>
    <t>2.3-Canais km 123/km 124/km 125H</t>
  </si>
  <si>
    <t xml:space="preserve">   Seg. 2.3 - Canais km 123/km 124/km 125 - Revestimento vegetal por hidrossemeadura</t>
  </si>
  <si>
    <t>2.1.7.1.2.22.1</t>
  </si>
  <si>
    <t>2.3-A12H</t>
  </si>
  <si>
    <t xml:space="preserve">   Seg. 2.3-A12-Revestimento vegetal por hidrossemeadura</t>
  </si>
  <si>
    <t>Ajuste para medição em item de Hidrossemeadura sem coveamento</t>
  </si>
  <si>
    <t>3.1.8.1.1.1.1</t>
  </si>
  <si>
    <t>2.4-C04H</t>
  </si>
  <si>
    <t>3.1.8.1.1.2.1</t>
  </si>
  <si>
    <t>2.4-C05H</t>
  </si>
  <si>
    <t>3.1.8.1.1.3.1</t>
  </si>
  <si>
    <t>2.4-C06H</t>
  </si>
  <si>
    <t>3.1.8.1.1.4.1</t>
  </si>
  <si>
    <t>2.4-C07H</t>
  </si>
  <si>
    <t>3.1.8.1.1.5.1</t>
  </si>
  <si>
    <t>2.4-C08H</t>
  </si>
  <si>
    <t>3.1.8.1.1.6.1</t>
  </si>
  <si>
    <t>2.4-A01H</t>
  </si>
  <si>
    <t>3.1.8.1.1.7.1</t>
  </si>
  <si>
    <t>2.4-A02H</t>
  </si>
  <si>
    <t>3.1.8.1.1.8.1</t>
  </si>
  <si>
    <t>2.4-A03H</t>
  </si>
  <si>
    <t>3.1.8.1.1.9.1</t>
  </si>
  <si>
    <t>2.4-A04H</t>
  </si>
  <si>
    <t>3.1.8.1.1.10.1</t>
  </si>
  <si>
    <t>2.4-A05H</t>
  </si>
  <si>
    <t>3.1.8.1.1.11.1</t>
  </si>
  <si>
    <t>2.4-A06H</t>
  </si>
  <si>
    <t>3.2.1.5.1.1.1</t>
  </si>
  <si>
    <t>2.4-AC.132+060H</t>
  </si>
  <si>
    <t>3.2.1.5.1.2.1</t>
  </si>
  <si>
    <t>2.4-AC.PN.137+500H</t>
  </si>
  <si>
    <t>2.4-AC.PN.139+200H</t>
  </si>
  <si>
    <t>2.4-AC.PN.144+540H</t>
  </si>
  <si>
    <t>2.4-AC.PN.147+200H</t>
  </si>
  <si>
    <t>2.4-AC.PN.149+900H</t>
  </si>
  <si>
    <t>3.1.8.1.2.1.1</t>
  </si>
  <si>
    <t>2.5-C01H</t>
  </si>
  <si>
    <t>3.1.8.1.2.2.1</t>
  </si>
  <si>
    <t>2.5-C02H</t>
  </si>
  <si>
    <t>3.1.8.1.2.3.1</t>
  </si>
  <si>
    <t>2.5-C03H</t>
  </si>
  <si>
    <t>3.1.8.1.2.4.1</t>
  </si>
  <si>
    <t>2.5-C04H</t>
  </si>
  <si>
    <t>3.1.8.1.2.5.1</t>
  </si>
  <si>
    <t>2.5-C05H</t>
  </si>
  <si>
    <t>3.1.8.1.2.6.1</t>
  </si>
  <si>
    <t>2.5-C07H</t>
  </si>
  <si>
    <t>3.1.8.1.2.7.1</t>
  </si>
  <si>
    <t>2.5-C08H</t>
  </si>
  <si>
    <t>3.1.8.1.2.8.1</t>
  </si>
  <si>
    <t>2.5-C09H</t>
  </si>
  <si>
    <t>3.1.8.1.2.9.1</t>
  </si>
  <si>
    <t>2.5-C10H</t>
  </si>
  <si>
    <t>3.1.8.1.2.10.1</t>
  </si>
  <si>
    <t>2.5-C11H</t>
  </si>
  <si>
    <t>3.1.8.1.2.12.1</t>
  </si>
  <si>
    <t>2.5-A01H</t>
  </si>
  <si>
    <t>3.1.8.1.2.13.1</t>
  </si>
  <si>
    <t>2.5-A03H</t>
  </si>
  <si>
    <t>3.1.8.1.2.14.1</t>
  </si>
  <si>
    <t>2.5-A04H</t>
  </si>
  <si>
    <t>3.1.8.1.2.15.1</t>
  </si>
  <si>
    <t>2.5-A05H</t>
  </si>
  <si>
    <t>3.1.8.1.2.16.1</t>
  </si>
  <si>
    <t>2.5-A06H</t>
  </si>
  <si>
    <t>3.1.8.1.2.17.1</t>
  </si>
  <si>
    <t>2.5-A07H</t>
  </si>
  <si>
    <t>3.1.8.1.2.18.1</t>
  </si>
  <si>
    <t>2.5-A08H</t>
  </si>
  <si>
    <t>3.1.8.1.2.19.1</t>
  </si>
  <si>
    <t>2.5-A09H</t>
  </si>
  <si>
    <t>3.1.8.1.2.20.1</t>
  </si>
  <si>
    <t>2.5-A10H</t>
  </si>
  <si>
    <t>3.1.8.1.2.21.1</t>
  </si>
  <si>
    <t>2.5-A11H</t>
  </si>
  <si>
    <t>3.1.8.1.2.22.1</t>
  </si>
  <si>
    <t>2.5-A12H</t>
  </si>
  <si>
    <t>3.1.8.1.2.23.1</t>
  </si>
  <si>
    <t>2.5-A13H</t>
  </si>
  <si>
    <t>3.1.8.1.2.11.1</t>
  </si>
  <si>
    <t>2.5-C12H</t>
  </si>
  <si>
    <t>3.3.4.6.4.1.1</t>
  </si>
  <si>
    <t>3.1-GO-164H</t>
  </si>
  <si>
    <t>3.1.8.1.3.1.1</t>
  </si>
  <si>
    <t>3.1-C01H</t>
  </si>
  <si>
    <t>3.1.8.1.3.2.1</t>
  </si>
  <si>
    <t>3.1-C02H</t>
  </si>
  <si>
    <t>3.1.8.1.3.3.1</t>
  </si>
  <si>
    <t>3.1-C03H</t>
  </si>
  <si>
    <t>3.1.8.1.3.4.1</t>
  </si>
  <si>
    <t>3.1-C04H</t>
  </si>
  <si>
    <t>3.1.8.1.3.5.1</t>
  </si>
  <si>
    <t>3.1-C05H</t>
  </si>
  <si>
    <t>3.1.8.1.3.7.1</t>
  </si>
  <si>
    <t>3.1-C07H</t>
  </si>
  <si>
    <t>3.1.8.1.3.8.1</t>
  </si>
  <si>
    <t>3.1-C08H</t>
  </si>
  <si>
    <t>3.1.8.1.3.9.1</t>
  </si>
  <si>
    <t>3.1-A02H</t>
  </si>
  <si>
    <t>3.1.8.1.3.11.1</t>
  </si>
  <si>
    <t>3.1-A04H</t>
  </si>
  <si>
    <t>3.1.8.1.3.12.1</t>
  </si>
  <si>
    <t>3.1-A05H</t>
  </si>
  <si>
    <t>3.1.8.1.3.13.1</t>
  </si>
  <si>
    <t>3.1-A06H</t>
  </si>
  <si>
    <t>3.1.8.1.3.14.1</t>
  </si>
  <si>
    <t>3.1-A07H</t>
  </si>
  <si>
    <t>3.1.8.1.3.15.1</t>
  </si>
  <si>
    <t>3.1-A08H</t>
  </si>
  <si>
    <t>3.1.8.1.3.16.1</t>
  </si>
  <si>
    <t>3.1-A09H</t>
  </si>
  <si>
    <t>3.1.8.1.3.17.1</t>
  </si>
  <si>
    <t>3.1-A10H</t>
  </si>
  <si>
    <t>3.2.1.5.3.1.1</t>
  </si>
  <si>
    <t>3.1-AC.PN.154+760H</t>
  </si>
  <si>
    <t>3.2.1.5.3.2.1</t>
  </si>
  <si>
    <t>3.1-AC.PN.159+940H</t>
  </si>
  <si>
    <t>3.2.1.5.3.4.1</t>
  </si>
  <si>
    <t>3.1-AC.PN.165+850H</t>
  </si>
  <si>
    <t>3.2.1.5.3.5.1</t>
  </si>
  <si>
    <t>3.1-ADME156+705H</t>
  </si>
  <si>
    <t>3.2.1.5.3.6.1</t>
  </si>
  <si>
    <t>3.1-ADME159+080H</t>
  </si>
  <si>
    <t>3.2.1.5.3.16.1</t>
  </si>
  <si>
    <t>3.1-ADME04H</t>
  </si>
  <si>
    <t>3.2.1.5.3.13.1</t>
  </si>
  <si>
    <t>3.1-ADME05H</t>
  </si>
  <si>
    <t>3.3.5.6.1.1</t>
  </si>
  <si>
    <t>INTERSEÇÃO GO-164H</t>
  </si>
  <si>
    <t>3.1.8.1.3.10.1</t>
  </si>
  <si>
    <t>3.1-A03H</t>
  </si>
  <si>
    <t>3.1.8.1.3.6.1</t>
  </si>
  <si>
    <t>3.1-C06H</t>
  </si>
  <si>
    <t>3.2.1.5.3.3.1</t>
  </si>
  <si>
    <t>3.1-AC.160+140</t>
  </si>
  <si>
    <t>3.2.1.5.3.7.1</t>
  </si>
  <si>
    <t>3.1-ADME01H</t>
  </si>
  <si>
    <t>3.2.1.5.3.8.1</t>
  </si>
  <si>
    <t>3.1-ADME11H</t>
  </si>
  <si>
    <t>3.2.1.5.3.9.1</t>
  </si>
  <si>
    <t>3.1-ADME03H</t>
  </si>
  <si>
    <t>3.2.1.5.3.10.1</t>
  </si>
  <si>
    <t>3.1-ADME07H</t>
  </si>
  <si>
    <t>3.2.1.5.3.11.1</t>
  </si>
  <si>
    <t>3.1-ADME12H</t>
  </si>
  <si>
    <t>3.2.1.5.3.12.1</t>
  </si>
  <si>
    <t>3.1-ADME08H</t>
  </si>
  <si>
    <t>3.2.1.5.3.14.1</t>
  </si>
  <si>
    <t>3.1-ADME09H</t>
  </si>
  <si>
    <t>3.2.1.5.3.15.1</t>
  </si>
  <si>
    <t>3.1-ADME10H</t>
  </si>
  <si>
    <t>Revegetação - Biomanta</t>
  </si>
  <si>
    <t>2.3.3.5.3.1.2</t>
  </si>
  <si>
    <t>2.2-C04B</t>
  </si>
  <si>
    <t xml:space="preserve">   Aplicação de biomanta</t>
  </si>
  <si>
    <t>2.1.7.1.1.5.2</t>
  </si>
  <si>
    <t>2.2-C07B</t>
  </si>
  <si>
    <t xml:space="preserve">   Seg. 2.2-C07 - Aplicação de biomanta + hidrossemeadura</t>
  </si>
  <si>
    <t>2.1.7.1.1.9.2</t>
  </si>
  <si>
    <t>2.2-C11B</t>
  </si>
  <si>
    <t xml:space="preserve">   Seg. 2.2-C11-Aplicação de biomanta + hidrossemeadura</t>
  </si>
  <si>
    <t>2.1.7.1.1.10.2</t>
  </si>
  <si>
    <t>2.2-C12B</t>
  </si>
  <si>
    <t xml:space="preserve">   Seg. 2.2-C12-Aplicação de biomanta + hidrossemeadura</t>
  </si>
  <si>
    <t>2.1.7.1.1.11.2</t>
  </si>
  <si>
    <t>2.2-C13B</t>
  </si>
  <si>
    <t xml:space="preserve">   Seg. 2.2-C13-Aplicação de biomanta + hidrossemeadura</t>
  </si>
  <si>
    <t>2.1.7.1.1.1.2</t>
  </si>
  <si>
    <t>2.2-C02B</t>
  </si>
  <si>
    <t xml:space="preserve">   Seg. 2.2-C02-Aplicação de biomanta + hidrossemeadura</t>
  </si>
  <si>
    <t>2.1.7.1.1.3.2</t>
  </si>
  <si>
    <t xml:space="preserve">   Seg. 2.2-C04-Aplicação de biomanta + hidrossemeadura</t>
  </si>
  <si>
    <t>2.1.7.1.1.4.2</t>
  </si>
  <si>
    <t>2.2-C05B</t>
  </si>
  <si>
    <t xml:space="preserve">   Seg. 2.2-C05-Aplicação de biomanta + hidrossemeadura</t>
  </si>
  <si>
    <t>2.1.7.1.1.7.2</t>
  </si>
  <si>
    <t>2.2-C09B</t>
  </si>
  <si>
    <t xml:space="preserve">   Seg. 2.2-C09-Aplicação de biomanta + hidrossemeadura</t>
  </si>
  <si>
    <t>2.1.7.1.1.8.2</t>
  </si>
  <si>
    <t>2.2-C10B</t>
  </si>
  <si>
    <t xml:space="preserve">   Seg. 2.2-C10-Aplicação de biomanta + hidrossemeadura</t>
  </si>
  <si>
    <t>2.3.4.6.3.1.1</t>
  </si>
  <si>
    <t>2.3-C08B</t>
  </si>
  <si>
    <t xml:space="preserve">   Aplicação de biomanta - GO-336</t>
  </si>
  <si>
    <t>2.1.7.1.2.3.2</t>
  </si>
  <si>
    <t>2.3-C03B</t>
  </si>
  <si>
    <t xml:space="preserve">   Seg. 2.3-C03-Aplicação de biomanta + hidrossemeadura</t>
  </si>
  <si>
    <t>2.1.7.1.2.4.2</t>
  </si>
  <si>
    <t>2.3-C04B</t>
  </si>
  <si>
    <t xml:space="preserve">   Seg. 2.3-C04-Aplicação de biomanta + hidrossemeadura</t>
  </si>
  <si>
    <t>2.1.7.1.2.5.2</t>
  </si>
  <si>
    <t>2.3-C05B</t>
  </si>
  <si>
    <t xml:space="preserve">   Seg. 2.3-C05-Aplicação de biomanta + hidrossemeadura</t>
  </si>
  <si>
    <t>2.1.7.1.2.6.2</t>
  </si>
  <si>
    <t>2.3-C06B</t>
  </si>
  <si>
    <t xml:space="preserve">   Seg. 2.3-C06-Aplicação de biomanta + hidrossemeadura</t>
  </si>
  <si>
    <t>2.1.7.1.2.7.2</t>
  </si>
  <si>
    <t xml:space="preserve">   Seg. 2.3-C07-Aplicação de biomanta + hidrossemeadura</t>
  </si>
  <si>
    <t>2.1.7.1.2.8.2</t>
  </si>
  <si>
    <t xml:space="preserve">   Seg. 2.3-C08-Aplicação de biomanta + hidrossemeadura</t>
  </si>
  <si>
    <t>2.1.7.1.2.9.2</t>
  </si>
  <si>
    <t>2.3-C09B</t>
  </si>
  <si>
    <t xml:space="preserve">   Seg. 2.3-C09-Aplicação de biomanta + hidrossemeadura</t>
  </si>
  <si>
    <t>2.1.7.1.2.10.2</t>
  </si>
  <si>
    <t>2.3-C10B</t>
  </si>
  <si>
    <t xml:space="preserve">   Seg. 2.3-C10-Aplicação de biomanta + hidrossemeadura</t>
  </si>
  <si>
    <t>2.1.7.1.2.11.2</t>
  </si>
  <si>
    <t>2.3-C11B</t>
  </si>
  <si>
    <t xml:space="preserve">   Seg. 2.3-C11-Aplicação de biomanta + hidrossemeadura</t>
  </si>
  <si>
    <t>2.1.7.1.2.14.2</t>
  </si>
  <si>
    <t>2.3-C14B</t>
  </si>
  <si>
    <t xml:space="preserve">   Seg. 2.3-C14-Aplicação de biomanta + hidrossemeadura</t>
  </si>
  <si>
    <t>3.1.8.1.1.1.2</t>
  </si>
  <si>
    <t>2.4-C04B</t>
  </si>
  <si>
    <t>3.1.8.1.1.2.2</t>
  </si>
  <si>
    <t>2.4-C05B</t>
  </si>
  <si>
    <t>3.1.8.1.1.3.2</t>
  </si>
  <si>
    <t>2.4-C06B</t>
  </si>
  <si>
    <t>3.1.8.1.1.5.2</t>
  </si>
  <si>
    <t>2.4-C08B</t>
  </si>
  <si>
    <t>3.1.8.1.2.1.2</t>
  </si>
  <si>
    <t>2.5-C01B</t>
  </si>
  <si>
    <t>3.1.8.1.2.2.2</t>
  </si>
  <si>
    <t>2.5-C02B</t>
  </si>
  <si>
    <t>3.1.8.1.2.3.2</t>
  </si>
  <si>
    <t>2.5-C03B</t>
  </si>
  <si>
    <t>3.1.8.1.2.4.2</t>
  </si>
  <si>
    <t>2.5-C04B</t>
  </si>
  <si>
    <t>3.1.8.1.2.6.2</t>
  </si>
  <si>
    <t>2.5-C07B</t>
  </si>
  <si>
    <t>3.1.8.1.2.7.2</t>
  </si>
  <si>
    <t>2.5-C08B</t>
  </si>
  <si>
    <t>3.1.8.1.2.8.2</t>
  </si>
  <si>
    <t>2.5-C09B</t>
  </si>
  <si>
    <t>3.1.8.1.2.9.2</t>
  </si>
  <si>
    <t>2.5-C10B</t>
  </si>
  <si>
    <t>3.1.8.1.3.1.2</t>
  </si>
  <si>
    <t>3.1-C01B</t>
  </si>
  <si>
    <t>3.1.8.1.3.2.2</t>
  </si>
  <si>
    <t>3.1-C02B</t>
  </si>
  <si>
    <t>3.1.8.1.3.3.2</t>
  </si>
  <si>
    <t>3.1-C03B</t>
  </si>
  <si>
    <t>3.1.8.1.3.4.2</t>
  </si>
  <si>
    <t>3.1-C04B</t>
  </si>
  <si>
    <t>3.1.8.1.3.5.2</t>
  </si>
  <si>
    <t>3.1-C05B</t>
  </si>
  <si>
    <t>3.1.8.1.3.7.2</t>
  </si>
  <si>
    <t>3.1-C07B</t>
  </si>
  <si>
    <r>
      <t xml:space="preserve">PI - </t>
    </r>
    <r>
      <rPr>
        <sz val="14"/>
        <color theme="1"/>
        <rFont val="Calibri"/>
        <family val="2"/>
        <scheme val="minor"/>
      </rPr>
      <t>Passagem Inferior</t>
    </r>
  </si>
  <si>
    <t>PI GO-156 - Km 000+410 a Km 000+428</t>
  </si>
  <si>
    <t>Reaterro Superior</t>
  </si>
  <si>
    <t>Regularização do subleito</t>
  </si>
  <si>
    <t>Sub-base de solo estabilizado</t>
  </si>
  <si>
    <t>Base de Brita Graduada</t>
  </si>
  <si>
    <t>Imprimação</t>
  </si>
  <si>
    <t>Aplicação de CBUQ</t>
  </si>
  <si>
    <t>Instalação de placas de sinalização</t>
  </si>
  <si>
    <t>Execução de Pintura de faixa</t>
  </si>
  <si>
    <t>Instalação de defensa metálica e ancoragem</t>
  </si>
  <si>
    <t>PI GO-336 - Km 1000+709 a Km 1000+726</t>
  </si>
  <si>
    <t>Laje Superior - Execução de cimbramento</t>
  </si>
  <si>
    <t>Desmontagem de andaime externo</t>
  </si>
  <si>
    <t>Dreno Lateral</t>
  </si>
  <si>
    <t>Reaterro lateral</t>
  </si>
  <si>
    <t>Execução de armação e fôrma - Platibanda/Mureta</t>
  </si>
  <si>
    <t>Pavimentação da Recomposição - Regularização de subleito</t>
  </si>
  <si>
    <t>PI GO-164 - Km 167+240 a Km 167+280</t>
  </si>
  <si>
    <t>Laje Inferior - Fundação - Regularização de fundo</t>
  </si>
  <si>
    <t>um</t>
  </si>
  <si>
    <t>Laje Inferior - Montagem de formas</t>
  </si>
  <si>
    <t>Laje Inferior - Montagem de armação</t>
  </si>
  <si>
    <t>Laje Inferior - Aplicação de concreto de regularização</t>
  </si>
  <si>
    <r>
      <t xml:space="preserve">OAE - </t>
    </r>
    <r>
      <rPr>
        <sz val="14"/>
        <color theme="1"/>
        <rFont val="Calibri"/>
        <family val="2"/>
        <scheme val="minor"/>
      </rPr>
      <t>Obra de Arte Especial</t>
    </r>
  </si>
  <si>
    <t>Ponte Rio Santa Maria - Km 131+181 a Km 131+387</t>
  </si>
  <si>
    <t>Vão 01 (entre E01 e P1) - Instalação de Canaletas Pré-moldadas</t>
  </si>
  <si>
    <t>Vão 02 (entre P1 e P2) - Instalação de Canaletas Pré-moldadas</t>
  </si>
  <si>
    <t>Vão 03 (entre P2 e P3) - Instalação de Canaletas Pré-moldadas</t>
  </si>
  <si>
    <t>Vão 04 (entre P3 e P4) - Instalação de Canaletas Pré-moldadas</t>
  </si>
  <si>
    <t>Vão 02 (entre P1 e P2) - Instalação das tampas</t>
  </si>
  <si>
    <t>Vão 03 (entre P2 e P3) - Instalação das tampas</t>
  </si>
  <si>
    <t>Vão 04 (entre P3 e P4) - Instalação das tampas</t>
  </si>
  <si>
    <t>Vão 05 (entre P4 e P5) - Instalação das tampas</t>
  </si>
  <si>
    <t>Vão 02 (entre P1 e P2) - Instalação de guarda corpo</t>
  </si>
  <si>
    <t>Vão 04 (entre P3 e P4) - Instalação de guarda corpo</t>
  </si>
  <si>
    <t>Vão 05 (entre E01 e P1) - Instalação de guarda corpo</t>
  </si>
  <si>
    <t>Bloco - Execução de armação (Encontro E02)</t>
  </si>
  <si>
    <t>Bloco - Montagem de Formas e Escoramento (Encontro E02)</t>
  </si>
  <si>
    <t>Bloco - Aplicação de concreto estrutural (Encontro E02)</t>
  </si>
  <si>
    <t>Bloco - Aplicação de grout (Encontro E02 MÍSULA)</t>
  </si>
  <si>
    <t>Bloco - Instalação de aparelhos de apoio (Encontro E02 MÍSULA)</t>
  </si>
  <si>
    <t>Ponte Córrego Barreiro - Km 137+977 a Km 138+215</t>
  </si>
  <si>
    <t>Pilar 1 - Arrasamento de cabeça de estacas</t>
  </si>
  <si>
    <t>Pilar 1 - Execução de ensaio PIT/PDA</t>
  </si>
  <si>
    <t>Pilar 2 - Arrasamento de cabeça de estacas</t>
  </si>
  <si>
    <t>Pilar 2 - Execução de armação</t>
  </si>
  <si>
    <t>Pilar 2 - Execução de ensaio PIT/PDA</t>
  </si>
  <si>
    <t>Pilar 6 - Arrasamento de cabeça de estacas</t>
  </si>
  <si>
    <t>Pilar 6 - PIT / PDA</t>
  </si>
  <si>
    <t>Encontro E01 - Arrasamento de cabeça de estacas</t>
  </si>
  <si>
    <t>Encontro E1 - PIT / PDA</t>
  </si>
  <si>
    <t>Encontro E2 - Arrasamento de cabeça de estacas</t>
  </si>
  <si>
    <t>Encontro E2  - PIT / PDA</t>
  </si>
  <si>
    <t>Bloco de Apoio P2 - Execução de armação - 1ª etapa</t>
  </si>
  <si>
    <t>Bloco de Apoio P2 - Montagem de Andaime</t>
  </si>
  <si>
    <t>Bloco de Apoio P2 -Montagem de formas e escoramento - 1ª etapa</t>
  </si>
  <si>
    <t>Bloco de Apoio P2 -Aplicação de concreto estrutural</t>
  </si>
  <si>
    <t>Bloco de Apoio P5 - Montagem de formas e escoramento</t>
  </si>
  <si>
    <t>Bloco de Apoio P5 - Aplicação de concreto estrutural</t>
  </si>
  <si>
    <t>Pilar P05 - Execução de armação - Base</t>
  </si>
  <si>
    <t>Pilar P05 -Montagem de formas e escoramento - Base</t>
  </si>
  <si>
    <t>Pilar P05 - Aplicação de concreto estrutural - Base</t>
  </si>
  <si>
    <t>Pilar P05 - Execução de armação - 1ª etapa</t>
  </si>
  <si>
    <t>Pilar P05 -Montagem de formas e escoramento - 1ª etapa</t>
  </si>
  <si>
    <t>Pilar P05 - Aplicação de concreto estrutural - 1ª etapa</t>
  </si>
  <si>
    <t>Pilar P04 - Execução de armação - Base</t>
  </si>
  <si>
    <t>Pilar P04 -Montagem de formas e escoramento - Base</t>
  </si>
  <si>
    <t>Pilar P04 - Execução de armação - 1ª etapa</t>
  </si>
  <si>
    <t>Pilar P04 -Montagem de formas e escoramento - 1ª etapa</t>
  </si>
  <si>
    <t>Pilar P04 - Aplicação de concreto estrutural - base</t>
  </si>
  <si>
    <t>Pilar P04 - Aplicação de concreto estrutural - 1ª etapa</t>
  </si>
  <si>
    <t>Bloco de Apoio P3 - Aplicação de concreto de regularização</t>
  </si>
  <si>
    <t>Bloco de Apoio P3 - Execução de armação</t>
  </si>
  <si>
    <t>Bloco de Apoio P3 -Montagem de Andaime</t>
  </si>
  <si>
    <t>Bloco de Apoio P3 -Montagem de formas e escoramento 1° etapa</t>
  </si>
  <si>
    <t>Bloco de Apoio P3 - Aplicação de concreto estrutural</t>
  </si>
  <si>
    <t>Bloco de Apoio P1/P2/E01 - Emissão de Relatório PIT/PDA e liberação ATO</t>
  </si>
  <si>
    <t>Ponte Rio Crixás Mirim - Km 154+671 a Km 154+813</t>
  </si>
  <si>
    <t>Arrasamento de cabeça de estacas (E02)</t>
  </si>
  <si>
    <t>Execução de PIT/PDA  (E01)</t>
  </si>
  <si>
    <t>Bloco E01- Execução de armação</t>
  </si>
  <si>
    <t>Bloco E01- Montagem de formas e escoramento</t>
  </si>
  <si>
    <t>Bloco E01 - Aplicação de concreto estrutural</t>
  </si>
  <si>
    <t>Obras Complementares</t>
  </si>
  <si>
    <t>Interseção de Acesso ao Pátio GO-164 - Km 167+300 ao Km 202+700</t>
  </si>
  <si>
    <t>Concreto Asfáltico Usinado a Quente (CBUQ)</t>
  </si>
  <si>
    <t>Instalação de tacha refletiva tipo SH-TRP</t>
  </si>
  <si>
    <t>PACOTE 06</t>
  </si>
  <si>
    <t>ACOMPANHAMENTO MENSAL
(Cronograma Corrente)</t>
  </si>
  <si>
    <t>ACUMULADO
PERÍODO BM ANTERIOR</t>
  </si>
  <si>
    <t>BL-01
Previsto</t>
  </si>
  <si>
    <t>BL-01
Aderência</t>
  </si>
  <si>
    <t xml:space="preserve"> PREVISTO
ACUMUL. BL02</t>
  </si>
  <si>
    <t>WBS: ESCAVAÇÃO 1º CATEGORIA</t>
  </si>
  <si>
    <r>
      <t>Escavação 1</t>
    </r>
    <r>
      <rPr>
        <b/>
        <sz val="12"/>
        <color theme="1"/>
        <rFont val="Vale Sans"/>
        <family val="2"/>
      </rPr>
      <t>ª e 2ª</t>
    </r>
    <r>
      <rPr>
        <b/>
        <sz val="12"/>
        <color theme="1"/>
        <rFont val="Calibri"/>
        <family val="2"/>
        <scheme val="minor"/>
      </rPr>
      <t xml:space="preserve"> categoria</t>
    </r>
  </si>
  <si>
    <t>WBS: SEGMENTO 3.2 ESCAVAÇAO</t>
  </si>
  <si>
    <r>
      <t>Segmento 3.2 -</t>
    </r>
    <r>
      <rPr>
        <sz val="9"/>
        <color theme="1"/>
        <rFont val="Calibri"/>
        <family val="2"/>
        <scheme val="minor"/>
      </rPr>
      <t xml:space="preserve"> km 167+300 a 202+700</t>
    </r>
  </si>
  <si>
    <t>Corte 1</t>
  </si>
  <si>
    <t>Corte 2</t>
  </si>
  <si>
    <t>Corte 3</t>
  </si>
  <si>
    <t>Corte 4</t>
  </si>
  <si>
    <t>FICO19090.2</t>
  </si>
  <si>
    <r>
      <t>Corte 5 -</t>
    </r>
    <r>
      <rPr>
        <i/>
        <sz val="9"/>
        <color theme="1"/>
        <rFont val="Calibri"/>
        <family val="2"/>
        <scheme val="minor"/>
      </rPr>
      <t xml:space="preserve"> km 177+620 a 178+980 </t>
    </r>
  </si>
  <si>
    <t>FICO19130.1</t>
  </si>
  <si>
    <r>
      <t>Corte 6 -</t>
    </r>
    <r>
      <rPr>
        <i/>
        <sz val="9"/>
        <color theme="1"/>
        <rFont val="Calibri"/>
        <family val="2"/>
        <scheme val="minor"/>
      </rPr>
      <t xml:space="preserve"> Km 179+140 a 180+760 </t>
    </r>
  </si>
  <si>
    <t>WBS: Triângulo de Reversão Km 170+400</t>
  </si>
  <si>
    <t>Triangulo de reversão - Km 170+400</t>
  </si>
  <si>
    <t>A9550</t>
  </si>
  <si>
    <t>Caixa CX 200 - Km 200+000</t>
  </si>
  <si>
    <t>A9560.1</t>
  </si>
  <si>
    <t>Corte 06 - Rebaixamento de solo da estaca  179+146 a 180+746</t>
  </si>
  <si>
    <t>WBS: SEGMENTO 3.3  ESCAVAÇAO</t>
  </si>
  <si>
    <r>
      <t>Segmento 3.3 -</t>
    </r>
    <r>
      <rPr>
        <sz val="9"/>
        <color theme="1"/>
        <rFont val="Calibri"/>
        <family val="2"/>
        <scheme val="minor"/>
      </rPr>
      <t xml:space="preserve"> km 202+700 a 225+000</t>
    </r>
  </si>
  <si>
    <t>A10730.2</t>
  </si>
  <si>
    <t>A10720</t>
  </si>
  <si>
    <t>A10690.1</t>
  </si>
  <si>
    <r>
      <t>Corte 03</t>
    </r>
    <r>
      <rPr>
        <i/>
        <sz val="9"/>
        <color theme="1"/>
        <rFont val="Calibri"/>
        <family val="2"/>
        <scheme val="minor"/>
      </rPr>
      <t xml:space="preserve"> - km 216+400 a 220+000</t>
    </r>
  </si>
  <si>
    <t>A10710.1</t>
  </si>
  <si>
    <r>
      <t>Corte 04 -</t>
    </r>
    <r>
      <rPr>
        <i/>
        <sz val="9"/>
        <color theme="1"/>
        <rFont val="Calibri"/>
        <family val="2"/>
        <scheme val="minor"/>
      </rPr>
      <t xml:space="preserve"> km 222+180 a 222+280</t>
    </r>
  </si>
  <si>
    <t>WBS: Corte CX01, CX02, CX03 e CX04</t>
  </si>
  <si>
    <t>Cortes Fora do Ativo/ AE</t>
  </si>
  <si>
    <t>FICO18320</t>
  </si>
  <si>
    <t xml:space="preserve">Aterro 06 - Km 181+000 
(Acabamento sobrelargura) </t>
  </si>
  <si>
    <t>A10760.1</t>
  </si>
  <si>
    <t>CX-01 - km 204+080 a 204+520</t>
  </si>
  <si>
    <t>A10780.1</t>
  </si>
  <si>
    <t>CX-02 - km 211+840 a 212+120</t>
  </si>
  <si>
    <t>A10840</t>
  </si>
  <si>
    <t>CX-03-LE - km 211+840 a 212+120</t>
  </si>
  <si>
    <t>A10860</t>
  </si>
  <si>
    <t>CX-04-LD - km 211+840 a 212+120</t>
  </si>
  <si>
    <t>WBS: Corte Remoção ( km 204+230 a km 212+900 )</t>
  </si>
  <si>
    <t>Corte Remoção ( km 204+230 a km 212+900 )</t>
  </si>
  <si>
    <t>AE</t>
  </si>
  <si>
    <t>JAZIDA DE CASCALHO</t>
  </si>
  <si>
    <t>WBS: Corte PNs + CL</t>
  </si>
  <si>
    <t>Corte PNs + CL</t>
  </si>
  <si>
    <t>Acumulado de cortes - AE até BM22 + REMOÇÃO DE SOLO</t>
  </si>
  <si>
    <t>CX 03</t>
  </si>
  <si>
    <t>WBS: ATERRO</t>
  </si>
  <si>
    <t xml:space="preserve">Aterro e Compactação </t>
  </si>
  <si>
    <t>WBS: SEGMENTO 3.2</t>
  </si>
  <si>
    <t>Aterro 01</t>
  </si>
  <si>
    <t>Aterro 02</t>
  </si>
  <si>
    <t>Aterro 03</t>
  </si>
  <si>
    <t>Aterro 04</t>
  </si>
  <si>
    <t>Aterro 05</t>
  </si>
  <si>
    <t>FICO18660</t>
  </si>
  <si>
    <t>Aterro 06</t>
  </si>
  <si>
    <t>WBS: SEGMENTO 3.3</t>
  </si>
  <si>
    <t>A11110.1</t>
  </si>
  <si>
    <t>Aterro 3 - Km 203+500 a 211+780</t>
  </si>
  <si>
    <t>Aterro  4</t>
  </si>
  <si>
    <t xml:space="preserve">Aterro  5 </t>
  </si>
  <si>
    <t>Aterro  6</t>
  </si>
  <si>
    <t>A11040</t>
  </si>
  <si>
    <t>Aterro 7 - km 214+420 a 225+000</t>
  </si>
  <si>
    <t>zw</t>
  </si>
  <si>
    <t>Aterro 8 - km 214+420 a 225+000</t>
  </si>
  <si>
    <t>A11030.2</t>
  </si>
  <si>
    <t>Aterro 9 - km 214+420 a 225+000</t>
  </si>
  <si>
    <t>A11070</t>
  </si>
  <si>
    <t>Execução da PN</t>
  </si>
  <si>
    <t>WBS: COMPACTAÇÃO DE ATERRO</t>
  </si>
  <si>
    <r>
      <t>Segmento 3A1 -</t>
    </r>
    <r>
      <rPr>
        <sz val="9"/>
        <color theme="1"/>
        <rFont val="Calibri"/>
        <family val="2"/>
        <scheme val="minor"/>
      </rPr>
      <t xml:space="preserve"> km 225+000 a 226+620 </t>
    </r>
  </si>
  <si>
    <t>38.1</t>
  </si>
  <si>
    <t xml:space="preserve">Aterro 1 - km 225+000 a 226+620 </t>
  </si>
  <si>
    <t>Aterros Fora do Ativo/Complemento</t>
  </si>
  <si>
    <t>Aterro compactado (Subleito corte 04 e corte 05 e 06)</t>
  </si>
  <si>
    <t>Aterro - alargamento PN (Km 181+422, 184+380, 190+460, 198+009, 200+560)</t>
  </si>
  <si>
    <t>A12640</t>
  </si>
  <si>
    <t xml:space="preserve"> ADME 03/04 - Km 170+000
(Estoque provisóri0)</t>
  </si>
  <si>
    <t xml:space="preserve">Acumulado BM 22 - Fator de Correção </t>
  </si>
  <si>
    <t xml:space="preserve">Aterro do viaduto </t>
  </si>
  <si>
    <t>Reaterro de Bueiros e PiFA's</t>
  </si>
  <si>
    <t>ATERRO E COMPACTAÇÃO- SUBLASTRO</t>
  </si>
  <si>
    <t>WBS: OBRAS DE ARTE CORRENTES</t>
  </si>
  <si>
    <r>
      <t xml:space="preserve">OAC - </t>
    </r>
    <r>
      <rPr>
        <sz val="12"/>
        <color theme="1"/>
        <rFont val="Calibri"/>
        <family val="2"/>
        <scheme val="minor"/>
      </rPr>
      <t>Obra de Arte Corrente</t>
    </r>
  </si>
  <si>
    <t xml:space="preserve">BUEIROS </t>
  </si>
  <si>
    <t xml:space="preserve">BUEIROS - TRATAMENTO DE FUNDAÇÕES </t>
  </si>
  <si>
    <t>BSCC - KM 224+286</t>
  </si>
  <si>
    <t>BDCC - KM 212+900</t>
  </si>
  <si>
    <t>BDCC - KM 210+900</t>
  </si>
  <si>
    <t>BUEIROS - CONCRETAGEM DO BERÇO</t>
  </si>
  <si>
    <t>BUEIROS - ASSENTAMENTO DE ADUELAS</t>
  </si>
  <si>
    <t>IMP652</t>
  </si>
  <si>
    <t>BDCC- 215+736</t>
  </si>
  <si>
    <t>IMP734</t>
  </si>
  <si>
    <t>IMP705</t>
  </si>
  <si>
    <t>BUEIROS - MONTAGEM DAS ALAS</t>
  </si>
  <si>
    <t xml:space="preserve">PASSAGEM DE GADO </t>
  </si>
  <si>
    <t xml:space="preserve">PASSAGEM DE GADO - TRATAMENTO DE FUNDAÇÕES </t>
  </si>
  <si>
    <t>%</t>
  </si>
  <si>
    <t>PG BSCC - KM 210+160</t>
  </si>
  <si>
    <t>PASSAGEM DE GADO - CONCRETAGEM DO BERÇO</t>
  </si>
  <si>
    <t>PF BSCC - KM 226+000 (parcial)</t>
  </si>
  <si>
    <t>PF BSCC - KM 225+080 (parcial)</t>
  </si>
  <si>
    <t>PASSAGEM DE GADO - ASSENTAMENTO DE ADUELAS</t>
  </si>
  <si>
    <t>IMP683</t>
  </si>
  <si>
    <t>PF BSCC - KM 226+000</t>
  </si>
  <si>
    <t>PF BSCC - KM 225+080</t>
  </si>
  <si>
    <t>PASSAGEM DE GADO - MONTAGEM DAS ALAS</t>
  </si>
  <si>
    <t>PG BSCC- 215+040</t>
  </si>
  <si>
    <r>
      <t xml:space="preserve">OAC - </t>
    </r>
    <r>
      <rPr>
        <sz val="12"/>
        <color theme="1"/>
        <rFont val="Calibri"/>
        <family val="2"/>
        <scheme val="minor"/>
      </rPr>
      <t>Obra de Arte Corrente</t>
    </r>
    <r>
      <rPr>
        <b/>
        <sz val="12"/>
        <color theme="1"/>
        <rFont val="Calibri"/>
        <family val="2"/>
        <scheme val="minor"/>
      </rPr>
      <t xml:space="preserve"> (Assentamento)</t>
    </r>
  </si>
  <si>
    <t>WBS: DRENAGEM SUPERFICIAL E DRENO PROFUNDO</t>
  </si>
  <si>
    <t>WBS: SEGMENTO 3.2 Drenagem</t>
  </si>
  <si>
    <t>Segmento 3.2 - km 167+300 a 202+700</t>
  </si>
  <si>
    <t>IMP7058</t>
  </si>
  <si>
    <t>Aterro 2 - Km 171 + 180 a 173+720 (Banqueta- CZB 01 e 03)</t>
  </si>
  <si>
    <t>IMP7065.2</t>
  </si>
  <si>
    <r>
      <t xml:space="preserve">Corte 2 -  Km 169+940 a 171+180
(Banqueta) - </t>
    </r>
    <r>
      <rPr>
        <i/>
        <sz val="10"/>
        <color theme="1"/>
        <rFont val="Calibri"/>
        <family val="2"/>
        <scheme val="minor"/>
      </rPr>
      <t>(Valeta de aterro - VPC 01, 02, 04 e 05)</t>
    </r>
  </si>
  <si>
    <t>IMP7074.2</t>
  </si>
  <si>
    <t>Aterro 3 - Km 174 + 100 a 175+000
(Canaleta de aterro - CZB 01)</t>
  </si>
  <si>
    <t>IMP7086.2</t>
  </si>
  <si>
    <t>Aterro 3 - Km 174 + 100 a 175+000
(Valeta de aterro - VPC 01)</t>
  </si>
  <si>
    <t>IMP7015</t>
  </si>
  <si>
    <t>Corte 1 - Km 167+300 a 169+820
(Sarjeta de corte - VPC 15)</t>
  </si>
  <si>
    <t>IMP7004</t>
  </si>
  <si>
    <t>Corte 1 - Km 167+300 a 169+820
(Sarjeta de corte - VPC 07)</t>
  </si>
  <si>
    <t>IMP7230</t>
  </si>
  <si>
    <t>Aterro 06 - Km 190+360 a 190+440
(Sarjeta de aterro - SZA 02)</t>
  </si>
  <si>
    <t>Aterro 06 - VPC 07, VPC 10)</t>
  </si>
  <si>
    <t>IMP7034</t>
  </si>
  <si>
    <t>Corte 02 - Km 169+940 a 171+180 (Sarjeta de corte - VPC 01, VPC 04 e VPC 05)</t>
  </si>
  <si>
    <t>Corte 02 - Km 169+940 a 171+180 (SZC 04)</t>
  </si>
  <si>
    <t>vpc 13</t>
  </si>
  <si>
    <t>ADME - Km 174+100 (Sarjeta de aterro VPA - 04)</t>
  </si>
  <si>
    <t>Acesso - VPC 01 e 04</t>
  </si>
  <si>
    <t>Acesso - PN's 175 e 177 (STC - 06, 07 e 08)</t>
  </si>
  <si>
    <t>Acesso - PN 173 (STA)</t>
  </si>
  <si>
    <t>Acesso - PN 181+422 (STA 01)</t>
  </si>
  <si>
    <t>Acesso - PN 184+390 (STA 01)</t>
  </si>
  <si>
    <t>Acesso - KM 177+600</t>
  </si>
  <si>
    <t>Corte 05 - Km 177+611 a 177+860 (Sarjeta de corte - SZC 02 e SZC 03)</t>
  </si>
  <si>
    <t>Corte 07 - SZC 06, SZC 04</t>
  </si>
  <si>
    <t>Corte 04 - Km 175+130 a 176+009  (VPC 10, VPC 01 e VPC 04)</t>
  </si>
  <si>
    <t>WBS: SEGMENTO 3.3 Drenagem</t>
  </si>
  <si>
    <t>Segmento 3.3 - km 202+700 a 225+000</t>
  </si>
  <si>
    <t>WBS: CORTE 3 :: ( km 216+400 a km 220+000 )</t>
  </si>
  <si>
    <t>Aterro 07 - Km 214+640 a 216+080 (Valeta aterro - VPC 01, 02, 06 e 07)</t>
  </si>
  <si>
    <t>Aterro 08 - Km 219+200 a 220+400 
(Valeta de aterro - VPC 05)</t>
  </si>
  <si>
    <t>Aterro 08 - Km 219+200 a 220+400 
(Sarjeta - VLA)</t>
  </si>
  <si>
    <t>Aterro 07 - Km 214+640 a 216+080 - (Sarjeta de aterro - SZA 02)</t>
  </si>
  <si>
    <t>Corte 04 - Km 221+495 a 221+980  (Canaleta de banqueta - CZB 02)</t>
  </si>
  <si>
    <t>Corte 03 - Km 217+400 a 218+400 (Canaleta de banqueta - CZB 02/03)</t>
  </si>
  <si>
    <t>Corte 02 - Km 212+950 a 213+400 (Sarjeta de corte - VPC 10 e 11 )</t>
  </si>
  <si>
    <t>Km 220+600 a 222+400 VPA</t>
  </si>
  <si>
    <t>Fator de correção - Acumulado ate BM22</t>
  </si>
  <si>
    <t>WBS: DRENO PROFUNDO 3.2</t>
  </si>
  <si>
    <r>
      <t xml:space="preserve">DPS - </t>
    </r>
    <r>
      <rPr>
        <sz val="12"/>
        <color theme="1"/>
        <rFont val="Calibri"/>
        <family val="2"/>
        <scheme val="minor"/>
      </rPr>
      <t>Dreno Longitudinal Profundo</t>
    </r>
  </si>
  <si>
    <r>
      <t xml:space="preserve">DSH / DHP - </t>
    </r>
    <r>
      <rPr>
        <sz val="12"/>
        <color theme="1"/>
        <rFont val="Calibri"/>
        <family val="2"/>
        <scheme val="minor"/>
      </rPr>
      <t>Drenos Sub-Horizontal e Horizontal Profundo</t>
    </r>
  </si>
  <si>
    <t>TT1027</t>
  </si>
  <si>
    <r>
      <t xml:space="preserve">Supressão Vegetal
</t>
    </r>
    <r>
      <rPr>
        <i/>
        <sz val="10"/>
        <color theme="1"/>
        <rFont val="Calibri"/>
        <family val="2"/>
        <scheme val="minor"/>
      </rPr>
      <t>CX de Emp. +  215+400/ 220+950/ 225+780 ao 226+500</t>
    </r>
  </si>
  <si>
    <r>
      <t>m</t>
    </r>
    <r>
      <rPr>
        <b/>
        <sz val="10"/>
        <color theme="1"/>
        <rFont val="Calibri"/>
        <family val="2"/>
        <scheme val="minor"/>
      </rPr>
      <t>²</t>
    </r>
  </si>
  <si>
    <t>OAE - Obra de Arte Especial</t>
  </si>
  <si>
    <r>
      <t xml:space="preserve">Viaduto J&amp;F- </t>
    </r>
    <r>
      <rPr>
        <sz val="11"/>
        <color theme="1"/>
        <rFont val="Calibri"/>
        <family val="2"/>
        <scheme val="minor"/>
      </rPr>
      <t>km 212+260</t>
    </r>
  </si>
  <si>
    <t>BLOCOS DE APOIO</t>
  </si>
  <si>
    <t>Execução de concreto magro</t>
  </si>
  <si>
    <t>A5210</t>
  </si>
  <si>
    <t>Arrasamento de Estacas</t>
  </si>
  <si>
    <t xml:space="preserve">Armação dos Blocos </t>
  </si>
  <si>
    <t>BLOCO P3</t>
  </si>
  <si>
    <t>BLOCO P4</t>
  </si>
  <si>
    <t>BLOCO P5</t>
  </si>
  <si>
    <t>BLOCO P6</t>
  </si>
  <si>
    <t xml:space="preserve">Forma dos Blocos </t>
  </si>
  <si>
    <t xml:space="preserve">Concretagem dos Blocos </t>
  </si>
  <si>
    <t>BLOCOS DE ENCONTRO</t>
  </si>
  <si>
    <t xml:space="preserve">Concretagem dos blocos </t>
  </si>
  <si>
    <t>PLINTOS</t>
  </si>
  <si>
    <t>P1 - CONCRETAGEM</t>
  </si>
  <si>
    <t>P2 - CONCRETAGEM</t>
  </si>
  <si>
    <t xml:space="preserve">P3 - CONCRETAGEM </t>
  </si>
  <si>
    <t>P4 - CONCRETAGEM</t>
  </si>
  <si>
    <t xml:space="preserve">P5 - CONCRETAGEM </t>
  </si>
  <si>
    <t xml:space="preserve">P6 - CONCRETAGEM </t>
  </si>
  <si>
    <t>PILARES</t>
  </si>
  <si>
    <t xml:space="preserve">Armação  </t>
  </si>
  <si>
    <t>E2</t>
  </si>
  <si>
    <t xml:space="preserve">Forma  </t>
  </si>
  <si>
    <t xml:space="preserve">Concretagem   </t>
  </si>
  <si>
    <t>TRAVESSA</t>
  </si>
  <si>
    <t>TRAVESSA - E1 (Magro+Arm.+For.+Concreto)</t>
  </si>
  <si>
    <t>TRAVESSA - E2 (Magro+Arm.+For.+Concreto)</t>
  </si>
  <si>
    <r>
      <t xml:space="preserve">Viaduto J&amp;F- </t>
    </r>
    <r>
      <rPr>
        <sz val="11"/>
        <color theme="1"/>
        <rFont val="Calibri"/>
        <family val="2"/>
        <scheme val="minor"/>
      </rPr>
      <t>km 216+836</t>
    </r>
  </si>
  <si>
    <t>Pilares
(Concretagem)</t>
  </si>
  <si>
    <t xml:space="preserve">Pilar E2
ATERRRO </t>
  </si>
  <si>
    <t>P1 - POSICIONAMENTO DOS TUBOS METÁLICOS</t>
  </si>
  <si>
    <t xml:space="preserve">P2 - POSICIONAMENTO DOS TUBOS METÁLICOS </t>
  </si>
  <si>
    <t>TRAVESSA - E1 (Armação + Forma + Concreto)</t>
  </si>
  <si>
    <t>TRAVESSA - E2 (Armação + Forma + Concreto)</t>
  </si>
  <si>
    <t>PAREDES E ALAS</t>
  </si>
  <si>
    <t>PAREDES E ALAS - E1 (Armação + Forma + Concreto)</t>
  </si>
  <si>
    <t>PAREDES E ALAS - E2 (Armação + Forma + Concreto)</t>
  </si>
  <si>
    <t>LAJES (FABRICAÇÃO)</t>
  </si>
  <si>
    <t>LAJE 2.1 - FORMA</t>
  </si>
  <si>
    <t>LAJE 2.1 - ARMAÇÃO</t>
  </si>
  <si>
    <t xml:space="preserve">LAJE 2.1 - CONCRETAGEM </t>
  </si>
  <si>
    <t xml:space="preserve">VIGAS METÁLICAS </t>
  </si>
  <si>
    <t>OAE - Ponte sobre o Rio Peixe III</t>
  </si>
  <si>
    <t xml:space="preserve">ESTACAS </t>
  </si>
  <si>
    <t>ESTACAS E1</t>
  </si>
  <si>
    <t>E1 - Execução de estaca EE1.01</t>
  </si>
  <si>
    <t>E1 - Execução de estaca EE1.02</t>
  </si>
  <si>
    <t>E1 - Execução de estaca EE1.03</t>
  </si>
  <si>
    <t>E1 - Execução de estaca EE1.04</t>
  </si>
  <si>
    <t>E1 - Execução de estaca EE1.05</t>
  </si>
  <si>
    <t>E1 - Execução de estaca EE1.11</t>
  </si>
  <si>
    <t>E1 - Execução de estaca EE1.07</t>
  </si>
  <si>
    <t>E1 - Execução de estaca EE1.06</t>
  </si>
  <si>
    <t>E1 - Execução de estaca EE1.09</t>
  </si>
  <si>
    <t>E1 - Execução de estaca EE1.13</t>
  </si>
  <si>
    <t>E1 - Execução de estaca EE1.10</t>
  </si>
  <si>
    <t>E1 - Execução de estaca EE1.14</t>
  </si>
  <si>
    <t>E1 - Execução de estaca EE1.12</t>
  </si>
  <si>
    <t>ESTACAS E2</t>
  </si>
  <si>
    <t>E2 - Execução de estaca EE2.09</t>
  </si>
  <si>
    <t>E2 - Execução de estaca EE2.10</t>
  </si>
  <si>
    <t>E2 - Execução de estaca EE2.02</t>
  </si>
  <si>
    <t>E2 - Execução de estaca EE2.06</t>
  </si>
  <si>
    <t>E2 - Execução de estaca EE2.14</t>
  </si>
  <si>
    <t>E2 - Execução de estaca EE2.08</t>
  </si>
  <si>
    <t>E2 - Execução de estaca EE2.11</t>
  </si>
  <si>
    <t>E2 - Execução de estaca EE2.07</t>
  </si>
  <si>
    <t>E2 - Execução de estaca EE2.01</t>
  </si>
  <si>
    <t>E2 - Execução de estaca EE2.03</t>
  </si>
  <si>
    <t>E2 - Execução de estaca EE2.04</t>
  </si>
  <si>
    <t>E2 - Execução de estaca EE2.13</t>
  </si>
  <si>
    <t>E2 - Execução de estaca EE2.12</t>
  </si>
  <si>
    <t>ESTACAS P1</t>
  </si>
  <si>
    <t>P1 - Execução de estaca EP1.06</t>
  </si>
  <si>
    <t>P1 - Execução de estaca EP1.10</t>
  </si>
  <si>
    <t>P1 - Execução de estaca EP1.22</t>
  </si>
  <si>
    <t>ESTACAS P2</t>
  </si>
  <si>
    <t>P2 - Execução da estaca EP2.12</t>
  </si>
  <si>
    <t>P2 - Execução da estaca EP2.15</t>
  </si>
  <si>
    <t>P2 - Execução da estaca EP2.06</t>
  </si>
  <si>
    <t>P2 - Execução da estaca EP2.01</t>
  </si>
  <si>
    <t>P2 - Execução da estaca EP2.02</t>
  </si>
  <si>
    <t>P2 - Execução da estaca EP2.03</t>
  </si>
  <si>
    <t>P2 - Execução da estaca EP2.04</t>
  </si>
  <si>
    <t>P2 - Execução da estaca EP2.05</t>
  </si>
  <si>
    <t>P2 - Execução da estaca EP2.19</t>
  </si>
  <si>
    <t>P2 - Execução da estaca EP2.08</t>
  </si>
  <si>
    <t>P2 - Execução da estaca EP2.17</t>
  </si>
  <si>
    <t>P2 - Execução da estaca EP2.16</t>
  </si>
  <si>
    <t>P2 - Execução da estaca EP2.18</t>
  </si>
  <si>
    <t>ESTACAS P3</t>
  </si>
  <si>
    <t>P3 - Execução da estaca EP3.01</t>
  </si>
  <si>
    <t>P3 - Execução da estaca EP3.02</t>
  </si>
  <si>
    <t>P3 - Execução da estaca EP3.09</t>
  </si>
  <si>
    <t>P3 - Execução da estaca EP3.08</t>
  </si>
  <si>
    <t>P3 - Execução da estaca EP3.03</t>
  </si>
  <si>
    <t>P3 - Execução da estaca EP3.05</t>
  </si>
  <si>
    <t>P3 - Execução da estaca EP3.06</t>
  </si>
  <si>
    <t>P3 - Execução da estaca EP3.07</t>
  </si>
  <si>
    <t>P3 - Execução da estaca EP3.13</t>
  </si>
  <si>
    <t>P3 - Execução da estaca EP3.14</t>
  </si>
  <si>
    <t>P3 - Execução da estaca EP3.15</t>
  </si>
  <si>
    <t>P3 - Execução da estaca EP3.16</t>
  </si>
  <si>
    <t>P3 - Execução da estaca EP3.17</t>
  </si>
  <si>
    <t>P3 - Execução da estaca EP3.18</t>
  </si>
  <si>
    <t>P3 - Execução da estaca EP3.19</t>
  </si>
  <si>
    <t>P3 - Execução da estaca EP3.20</t>
  </si>
  <si>
    <t>BLOCOS ENCONTROS</t>
  </si>
  <si>
    <t>Concreto Magro</t>
  </si>
  <si>
    <t xml:space="preserve">Posicionamento da aramação </t>
  </si>
  <si>
    <t xml:space="preserve">Montagem da Forma </t>
  </si>
  <si>
    <t xml:space="preserve">Concretagem </t>
  </si>
  <si>
    <t>BLOCOS P1</t>
  </si>
  <si>
    <t>ENCONTROS</t>
  </si>
  <si>
    <t>OAE - Ponte sobre o Rio Preto</t>
  </si>
  <si>
    <t>WBS: ESTACAS</t>
  </si>
  <si>
    <t>ESTACAS - E2</t>
  </si>
  <si>
    <t>E2 - Execução de estaca EE2.15</t>
  </si>
  <si>
    <t>E2 - Execução de estaca EE2.16</t>
  </si>
  <si>
    <t>E2 - Execução de estaca EE2.17</t>
  </si>
  <si>
    <t>ARMAÇÃO</t>
  </si>
  <si>
    <t>E2 - ARMAÇÃO</t>
  </si>
  <si>
    <t xml:space="preserve">FORMA </t>
  </si>
  <si>
    <t>E2 - FORMA</t>
  </si>
  <si>
    <t>VIGAS METÁLICAS</t>
  </si>
  <si>
    <t>ACOMPANHAMENTO MENSAL
(Real + Tendência)</t>
  </si>
  <si>
    <t>Unid.</t>
  </si>
  <si>
    <t>PRODUÇÃO DA SEMANA</t>
  </si>
  <si>
    <t>Aderência</t>
  </si>
  <si>
    <t>PRODUÇÃO DO DIA</t>
  </si>
  <si>
    <t>Planejado mês</t>
  </si>
  <si>
    <t>Planejado até a data</t>
  </si>
  <si>
    <t>Real mês</t>
  </si>
  <si>
    <t>REAL</t>
  </si>
  <si>
    <t>BL-00
Previsto</t>
  </si>
  <si>
    <t>BL-00
Aderência</t>
  </si>
  <si>
    <t>QTD. PROJETO</t>
  </si>
  <si>
    <t>Gerência responsável</t>
  </si>
  <si>
    <t>TOTAL SEMANA
(até 00/01)</t>
  </si>
  <si>
    <t xml:space="preserve">Gustavo Magalhães </t>
  </si>
  <si>
    <t>Blocos (Etapas) - Lado Goiás</t>
  </si>
  <si>
    <t>Uni</t>
  </si>
  <si>
    <t>Blocos (Etapas) - Balanço Sucessivo</t>
  </si>
  <si>
    <t>Blocos (Etapas) - Lado Mato Grosso</t>
  </si>
  <si>
    <t>Pilares - Lado Goiás</t>
  </si>
  <si>
    <t>Etapa</t>
  </si>
  <si>
    <t>Pilares - Balanço Sucessivo</t>
  </si>
  <si>
    <t>Pilares - Lado Mato Grosso</t>
  </si>
  <si>
    <t>Travessas - Lado Goiás</t>
  </si>
  <si>
    <t>Travessas - Balanço Sucessivo</t>
  </si>
  <si>
    <t>Travessas - Lado Mato Grosso</t>
  </si>
  <si>
    <t>Fabricação de Vigas</t>
  </si>
  <si>
    <t>Fabricação de Vigas - In loco</t>
  </si>
  <si>
    <t>Lajes Pré-moldadas</t>
  </si>
  <si>
    <t>Canaletas</t>
  </si>
  <si>
    <t>Tampas</t>
  </si>
  <si>
    <t>Aduela de Disparo</t>
  </si>
  <si>
    <t>Aduela AP-03 AD0E</t>
  </si>
  <si>
    <t>Aduela AP-03 AD0D</t>
  </si>
  <si>
    <t>Aduela AP-04 AD0E</t>
  </si>
  <si>
    <t>Aduela AP-04 AD0D</t>
  </si>
  <si>
    <t>Aduela</t>
  </si>
  <si>
    <t>Aduela Fechamento</t>
  </si>
  <si>
    <t>SEMANA 04</t>
  </si>
  <si>
    <t>SEMANA 01</t>
  </si>
  <si>
    <t>SEMANA 02</t>
  </si>
  <si>
    <t>SEMANA 03</t>
  </si>
  <si>
    <t>SEMANA 05</t>
  </si>
  <si>
    <t>Resumo Semanal</t>
  </si>
  <si>
    <t>Resumo Mensal</t>
  </si>
  <si>
    <t>Resumo Total</t>
  </si>
  <si>
    <t>Mês</t>
  </si>
  <si>
    <t>JUNHO</t>
  </si>
  <si>
    <t>JULHO</t>
  </si>
  <si>
    <t>PACOTE 08</t>
  </si>
  <si>
    <t>Acompanhamento Semanal</t>
  </si>
  <si>
    <t>UND</t>
  </si>
  <si>
    <t>Delta - BL02</t>
  </si>
  <si>
    <t>PRODUÇÃO DA SEMANA ANTERIOR</t>
  </si>
  <si>
    <t>PLANEJADO MÊS</t>
  </si>
  <si>
    <t>PLANEJADO ATÉ A DATA</t>
  </si>
  <si>
    <r>
      <t xml:space="preserve">PREVISTO  ACUMUL. BL-02 (em avanço) 
</t>
    </r>
    <r>
      <rPr>
        <b/>
        <sz val="16"/>
        <color theme="0"/>
        <rFont val="Calibri"/>
        <family val="2"/>
      </rPr>
      <t>até a data</t>
    </r>
  </si>
  <si>
    <t>Supressão/Limpeza</t>
  </si>
  <si>
    <t xml:space="preserve">Seg. 3.A2 - Supressão/limpeza </t>
  </si>
  <si>
    <t>Seg. 4.1 - Supressão/limpeza</t>
  </si>
  <si>
    <t>Seg. 4.2 - Supressão/limpeza</t>
  </si>
  <si>
    <t>Seg. 4.3 - Supressão/limpeza</t>
  </si>
  <si>
    <t>Seg. 4.4 - Supressão/limpeza</t>
  </si>
  <si>
    <t>Seg. 3.A2 - Corte</t>
  </si>
  <si>
    <t>Seg. 4.1  - Corte</t>
  </si>
  <si>
    <t>Seg. 4.2  - Corte</t>
  </si>
  <si>
    <t>Seg. 4.3  - Corte</t>
  </si>
  <si>
    <t>Seg. 4.4  - Corte</t>
  </si>
  <si>
    <t>Seg. 3.A2 - Aterro</t>
  </si>
  <si>
    <t>Seg. 4.1  - Aterro</t>
  </si>
  <si>
    <t>Seg. 4.2  - Aterro</t>
  </si>
  <si>
    <t>Seg. 4.3  - Aterro</t>
  </si>
  <si>
    <t>Seg. 4.4  - Aterro</t>
  </si>
  <si>
    <t>Cerca Definitiva</t>
  </si>
  <si>
    <t>Seg. 3.A2 - Cerca Definitiva</t>
  </si>
  <si>
    <t>Seg. 4.1 - Cerca Definitiva</t>
  </si>
  <si>
    <t>Seg. 4.2 - Cerca Definitiva</t>
  </si>
  <si>
    <t>Seg. 4.3 - Cerca Definitiva</t>
  </si>
  <si>
    <t>Seg. 4.4 - Cerca Definitiva</t>
  </si>
  <si>
    <t>Seg. 3.A2 - Drenagem superficial</t>
  </si>
  <si>
    <t>Seg. 4.1  - Drenagem superficial</t>
  </si>
  <si>
    <t>Seg. 4.2  - Drenagem superficial</t>
  </si>
  <si>
    <t>Seg. 4.3  - Drenagem superficial</t>
  </si>
  <si>
    <t>Seg. 4.4  - Drenagem superficial</t>
  </si>
  <si>
    <t>Montagem Bueiro</t>
  </si>
  <si>
    <t>Seg. 3.A2 - Montagem Bueiro</t>
  </si>
  <si>
    <t>Seg. 4.1 - Montagem Bueiro</t>
  </si>
  <si>
    <t>Seg. 4.2 - Montagem Bueiro</t>
  </si>
  <si>
    <t>Seg. 4.3 - Montagem Bueiro</t>
  </si>
  <si>
    <t>Seg. 4.4 - Montagem Bueiro</t>
  </si>
  <si>
    <t>Alas</t>
  </si>
  <si>
    <t>Seg. 3.A2 - Alas</t>
  </si>
  <si>
    <t>Seg. 4.1 - Alas</t>
  </si>
  <si>
    <t>Seg. 4.2 - Alas</t>
  </si>
  <si>
    <t>Seg. 4.3 - Alas</t>
  </si>
  <si>
    <t>Seg. 4.4 - Alas</t>
  </si>
  <si>
    <t>Seg. 3.A2 - Drenagem plataforma</t>
  </si>
  <si>
    <t>Seg. 4.1  - Drenagem plataforma</t>
  </si>
  <si>
    <t>Seg. 4.2  - Drenagem plataforma</t>
  </si>
  <si>
    <t>Seg. 4.3  - Drenagem plataforma</t>
  </si>
  <si>
    <t>Seg. 4.4  - Drenagem plataforma</t>
  </si>
  <si>
    <t>META MENSAL MAIO/26</t>
  </si>
  <si>
    <t>PLANEJADO</t>
  </si>
  <si>
    <t>DELTA</t>
  </si>
  <si>
    <t>Soma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</si>
</sst>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R$&quot;\ * #,##0.00_-;\-&quot;R$&quot;\ * #,##0.00_-;_-&quot;R$&quot;\ * &quot;-&quot;??_-;_-@_-"/>
    <numFmt numFmtId="165" formatCode="_-* #,##0.00_-;\-* #,##0.00_-;_-* &quot;-&quot;??_-;_-@_-"/>
    <numFmt numFmtId="166" formatCode="d/m;@"/>
    <numFmt numFmtId="167" formatCode="d/m/yy;@"/>
    <numFmt numFmtId="168" formatCode="ddd\,\ dd/mm/yyyy"/>
    <numFmt numFmtId="169" formatCode="#,##0.00\ ;&quot; (&quot;#,##0.00\);&quot; -&quot;#\ ;@\ "/>
    <numFmt numFmtId="170" formatCode="&quot;Atual.&quot;dd/mm"/>
    <numFmt numFmtId="171" formatCode="&quot;Regional 02    |   Atualização&quot;\ dd/mm"/>
    <numFmt numFmtId="172" formatCode="#,##0.000"/>
    <numFmt numFmtId="173" formatCode="#,##0.0"/>
    <numFmt numFmtId="174" formatCode="_-* #,##0_-;\-* #,##0_-;_-* &quot;-&quot;??_-;_-@_-"/>
    <numFmt numFmtId="175" formatCode="0.0"/>
    <numFmt numFmtId="176" formatCode="_-* #,##0.0_-;\-* #,##0.0_-;_-* &quot;-&quot;??_-;_-@_-"/>
    <numFmt numFmtId="177" formatCode="&quot;At. &quot;dd/mm"/>
  </numFmts>
  <fonts count="15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
      <sz val="8"/>
      <color theme="1"/>
      <name val="Calibri"/>
      <family val="2"/>
      <scheme val="minor"/>
    </font>
    <font>
      <sz val="16"/>
      <color theme="0"/>
      <name val="Calibri"/>
      <family val="2"/>
      <scheme val="minor"/>
    </font>
    <font>
      <sz val="11"/>
      <color theme="0" tint="-0.14999847407452621"/>
      <name val="Calibri"/>
      <family val="2"/>
      <scheme val="minor"/>
    </font>
    <font>
      <b/>
      <sz val="10"/>
      <color theme="0"/>
      <name val="Calibri"/>
      <family val="2"/>
      <scheme val="minor"/>
    </font>
    <font>
      <b/>
      <sz val="9"/>
      <color theme="0"/>
      <name val="Calibri"/>
      <family val="2"/>
      <scheme val="minor"/>
    </font>
    <font>
      <b/>
      <sz val="8"/>
      <color theme="0"/>
      <name val="Calibri"/>
      <family val="2"/>
      <scheme val="minor"/>
    </font>
    <font>
      <sz val="10"/>
      <color theme="1"/>
      <name val="Calibri"/>
      <family val="2"/>
      <scheme val="minor"/>
    </font>
    <font>
      <b/>
      <sz val="10"/>
      <color theme="9" tint="-0.249977111117893"/>
      <name val="Calibri"/>
      <family val="2"/>
      <scheme val="minor"/>
    </font>
    <font>
      <i/>
      <sz val="11"/>
      <color theme="1"/>
      <name val="Calibri"/>
      <family val="2"/>
      <scheme val="minor"/>
    </font>
    <font>
      <b/>
      <sz val="14"/>
      <name val="Calibri"/>
      <family val="2"/>
      <scheme val="minor"/>
    </font>
    <font>
      <b/>
      <sz val="14"/>
      <color theme="0" tint="-4.9989318521683403E-2"/>
      <name val="Calibri"/>
      <family val="2"/>
      <scheme val="minor"/>
    </font>
    <font>
      <b/>
      <sz val="9"/>
      <color theme="0" tint="-4.9989318521683403E-2"/>
      <name val="Calibri"/>
      <family val="2"/>
      <scheme val="minor"/>
    </font>
    <font>
      <sz val="14"/>
      <color theme="0" tint="-4.9989318521683403E-2"/>
      <name val="Calibri"/>
      <family val="2"/>
      <scheme val="minor"/>
    </font>
    <font>
      <b/>
      <sz val="12"/>
      <color theme="1"/>
      <name val="Calibri"/>
      <family val="2"/>
      <scheme val="minor"/>
    </font>
    <font>
      <b/>
      <sz val="12"/>
      <color theme="1"/>
      <name val="Vale Sans"/>
      <family val="2"/>
    </font>
    <font>
      <sz val="9"/>
      <color theme="1"/>
      <name val="Calibri"/>
      <family val="2"/>
      <scheme val="minor"/>
    </font>
    <font>
      <sz val="12"/>
      <color theme="1"/>
      <name val="Calibri"/>
      <family val="2"/>
      <scheme val="minor"/>
    </font>
    <font>
      <b/>
      <sz val="12"/>
      <color theme="3" tint="-0.499984740745262"/>
      <name val="Calibri"/>
      <family val="2"/>
      <scheme val="minor"/>
    </font>
    <font>
      <b/>
      <sz val="12"/>
      <color theme="5" tint="-0.499984740745262"/>
      <name val="Calibri"/>
      <family val="2"/>
      <scheme val="minor"/>
    </font>
    <font>
      <b/>
      <sz val="12"/>
      <color theme="9" tint="-0.249977111117893"/>
      <name val="Calibri"/>
      <family val="2"/>
      <scheme val="minor"/>
    </font>
    <font>
      <sz val="10"/>
      <color theme="3" tint="-0.499984740745262"/>
      <name val="Calibri"/>
      <family val="2"/>
      <scheme val="minor"/>
    </font>
    <font>
      <sz val="10"/>
      <color theme="9" tint="-0.249977111117893"/>
      <name val="Calibri"/>
      <family val="2"/>
      <scheme val="minor"/>
    </font>
    <font>
      <b/>
      <sz val="10"/>
      <color theme="1"/>
      <name val="Calibri"/>
      <family val="2"/>
      <scheme val="minor"/>
    </font>
    <font>
      <i/>
      <sz val="9"/>
      <color theme="1"/>
      <name val="Calibri"/>
      <family val="2"/>
      <scheme val="minor"/>
    </font>
    <font>
      <b/>
      <sz val="20"/>
      <name val="Calibri"/>
      <family val="2"/>
      <scheme val="minor"/>
    </font>
    <font>
      <sz val="11"/>
      <color indexed="8"/>
      <name val="Calibri"/>
      <family val="2"/>
    </font>
    <font>
      <b/>
      <sz val="12"/>
      <color theme="0" tint="-4.9989318521683403E-2"/>
      <name val="Calibri"/>
      <family val="2"/>
      <scheme val="minor"/>
    </font>
    <font>
      <b/>
      <sz val="11"/>
      <color theme="0"/>
      <name val="Calibri"/>
      <family val="2"/>
      <scheme val="minor"/>
    </font>
    <font>
      <sz val="10"/>
      <color theme="0"/>
      <name val="Calibri"/>
      <family val="2"/>
      <scheme val="minor"/>
    </font>
    <font>
      <i/>
      <sz val="10"/>
      <color theme="1"/>
      <name val="Calibri"/>
      <family val="2"/>
      <scheme val="minor"/>
    </font>
    <font>
      <b/>
      <sz val="14"/>
      <color theme="0"/>
      <name val="Calibri"/>
      <family val="2"/>
      <scheme val="minor"/>
    </font>
    <font>
      <sz val="10"/>
      <name val="Arial"/>
      <family val="2"/>
    </font>
    <font>
      <sz val="10"/>
      <color theme="1"/>
      <name val="Arial Nova Cond"/>
      <family val="2"/>
    </font>
    <font>
      <sz val="10"/>
      <color theme="1"/>
      <name val="Arial"/>
      <family val="2"/>
    </font>
    <font>
      <sz val="11"/>
      <name val="Calibri"/>
      <family val="2"/>
    </font>
    <font>
      <b/>
      <sz val="22"/>
      <color theme="1" tint="0.34998626667073579"/>
      <name val="Cambria"/>
      <family val="2"/>
      <scheme val="major"/>
    </font>
    <font>
      <sz val="10"/>
      <name val="Mangal"/>
      <family val="2"/>
    </font>
    <font>
      <b/>
      <sz val="11"/>
      <name val="Calibri"/>
      <family val="2"/>
      <scheme val="minor"/>
    </font>
    <font>
      <sz val="11"/>
      <color theme="1"/>
      <name val="Calibri"/>
      <family val="2"/>
    </font>
    <font>
      <b/>
      <sz val="12"/>
      <color theme="0"/>
      <name val="Calibri"/>
      <family val="2"/>
      <scheme val="minor"/>
    </font>
    <font>
      <sz val="8"/>
      <color theme="0"/>
      <name val="Calibri"/>
      <family val="2"/>
      <scheme val="minor"/>
    </font>
    <font>
      <sz val="12"/>
      <color theme="0"/>
      <name val="Calibri"/>
      <family val="2"/>
      <scheme val="minor"/>
    </font>
    <font>
      <b/>
      <sz val="12"/>
      <name val="Calibri"/>
      <family val="2"/>
      <scheme val="minor"/>
    </font>
    <font>
      <b/>
      <sz val="12"/>
      <color rgb="FFF89B32"/>
      <name val="Calibri"/>
      <family val="2"/>
      <scheme val="minor"/>
    </font>
    <font>
      <b/>
      <sz val="11"/>
      <color rgb="FFF89B32"/>
      <name val="Calibri"/>
      <family val="2"/>
      <scheme val="minor"/>
    </font>
    <font>
      <sz val="11"/>
      <color rgb="FFF89B32"/>
      <name val="Calibri"/>
      <family val="2"/>
      <scheme val="minor"/>
    </font>
    <font>
      <i/>
      <sz val="11"/>
      <name val="Calibri"/>
      <family val="2"/>
      <scheme val="minor"/>
    </font>
    <font>
      <sz val="12"/>
      <name val="Calibri"/>
      <family val="2"/>
      <scheme val="minor"/>
    </font>
    <font>
      <sz val="11"/>
      <color rgb="FFFF9933"/>
      <name val="Calibri"/>
      <family val="2"/>
      <scheme val="minor"/>
    </font>
    <font>
      <b/>
      <sz val="11"/>
      <color rgb="FFFF0000"/>
      <name val="Calibri"/>
      <family val="2"/>
      <scheme val="minor"/>
    </font>
    <font>
      <b/>
      <sz val="18"/>
      <color theme="0"/>
      <name val="Calibri"/>
      <family val="2"/>
      <scheme val="minor"/>
    </font>
    <font>
      <sz val="11"/>
      <name val="Calibri"/>
      <family val="2"/>
      <scheme val="minor"/>
    </font>
    <font>
      <b/>
      <sz val="10"/>
      <name val="Calibri"/>
      <family val="2"/>
      <scheme val="minor"/>
    </font>
    <font>
      <b/>
      <sz val="11"/>
      <color theme="9"/>
      <name val="Calibri"/>
      <family val="2"/>
      <scheme val="minor"/>
    </font>
    <font>
      <b/>
      <sz val="10"/>
      <color theme="9"/>
      <name val="Calibri"/>
      <family val="2"/>
      <scheme val="minor"/>
    </font>
    <font>
      <sz val="11"/>
      <color theme="9"/>
      <name val="Calibri"/>
      <family val="2"/>
      <scheme val="minor"/>
    </font>
    <font>
      <b/>
      <sz val="10"/>
      <color rgb="FF0070C0"/>
      <name val="Calibri"/>
      <family val="2"/>
      <scheme val="minor"/>
    </font>
    <font>
      <b/>
      <sz val="11"/>
      <color rgb="FF0070C0"/>
      <name val="Calibri"/>
      <family val="2"/>
      <scheme val="minor"/>
    </font>
    <font>
      <b/>
      <sz val="11"/>
      <color theme="9" tint="-0.249977111117893"/>
      <name val="Calibri"/>
      <family val="2"/>
      <scheme val="minor"/>
    </font>
    <font>
      <sz val="11"/>
      <color theme="0" tint="-0.34998626667073579"/>
      <name val="Calibri"/>
      <family val="2"/>
      <scheme val="minor"/>
    </font>
    <font>
      <sz val="11"/>
      <color theme="0" tint="-0.249977111117893"/>
      <name val="Calibri"/>
      <family val="2"/>
      <scheme val="minor"/>
    </font>
    <font>
      <sz val="12"/>
      <color theme="0" tint="-0.34998626667073579"/>
      <name val="Calibri"/>
      <family val="2"/>
      <scheme val="minor"/>
    </font>
    <font>
      <sz val="9"/>
      <name val="Calibri"/>
      <family val="2"/>
      <scheme val="minor"/>
    </font>
    <font>
      <sz val="11"/>
      <color theme="0"/>
      <name val="Calibri"/>
      <family val="2"/>
    </font>
    <font>
      <b/>
      <sz val="12"/>
      <color rgb="FFFF9933"/>
      <name val="Calibri"/>
      <family val="2"/>
      <scheme val="minor"/>
    </font>
    <font>
      <b/>
      <i/>
      <sz val="14"/>
      <color theme="0"/>
      <name val="Calibri"/>
      <family val="2"/>
      <scheme val="minor"/>
    </font>
    <font>
      <b/>
      <i/>
      <sz val="11"/>
      <color theme="0"/>
      <name val="Calibri"/>
      <family val="2"/>
      <scheme val="minor"/>
    </font>
    <font>
      <b/>
      <i/>
      <sz val="11"/>
      <name val="Calibri"/>
      <family val="2"/>
      <scheme val="minor"/>
    </font>
    <font>
      <b/>
      <i/>
      <sz val="11"/>
      <color theme="1"/>
      <name val="Calibri"/>
      <family val="2"/>
      <scheme val="minor"/>
    </font>
    <font>
      <b/>
      <sz val="14"/>
      <color theme="0"/>
      <name val="Calibri"/>
      <family val="2"/>
    </font>
    <font>
      <sz val="14"/>
      <color theme="0"/>
      <name val="Calibri"/>
      <family val="2"/>
    </font>
    <font>
      <b/>
      <sz val="10"/>
      <color theme="0"/>
      <name val="Calibri"/>
      <family val="2"/>
    </font>
    <font>
      <b/>
      <sz val="11"/>
      <color theme="0"/>
      <name val="Calibri"/>
      <family val="2"/>
    </font>
    <font>
      <b/>
      <sz val="11"/>
      <color theme="1"/>
      <name val="Calibri"/>
      <family val="2"/>
    </font>
    <font>
      <sz val="11"/>
      <color rgb="FFFF0000"/>
      <name val="Calibri"/>
      <family val="2"/>
    </font>
    <font>
      <b/>
      <sz val="12"/>
      <name val="Calibri"/>
      <family val="2"/>
    </font>
    <font>
      <sz val="12"/>
      <name val="Calibri"/>
      <family val="2"/>
    </font>
    <font>
      <b/>
      <sz val="12"/>
      <color theme="5"/>
      <name val="Calibri"/>
      <family val="2"/>
    </font>
    <font>
      <i/>
      <sz val="12"/>
      <name val="Calibri"/>
      <family val="2"/>
    </font>
    <font>
      <sz val="12"/>
      <color theme="5"/>
      <name val="Calibri"/>
      <family val="2"/>
    </font>
    <font>
      <i/>
      <sz val="12"/>
      <color theme="1"/>
      <name val="Calibri"/>
      <family val="2"/>
    </font>
    <font>
      <b/>
      <sz val="12"/>
      <color theme="1"/>
      <name val="Calibri"/>
      <family val="2"/>
    </font>
    <font>
      <sz val="12"/>
      <color theme="1"/>
      <name val="Calibri"/>
      <family val="2"/>
    </font>
    <font>
      <i/>
      <sz val="11"/>
      <color theme="0"/>
      <name val="Calibri"/>
      <family val="2"/>
    </font>
    <font>
      <b/>
      <sz val="16"/>
      <color theme="1"/>
      <name val="Calibri"/>
      <family val="2"/>
      <scheme val="minor"/>
    </font>
    <font>
      <b/>
      <sz val="22"/>
      <name val="Calibri"/>
      <family val="2"/>
      <scheme val="minor"/>
    </font>
    <font>
      <i/>
      <sz val="11"/>
      <color rgb="FF000000"/>
      <name val="Calibri"/>
      <family val="2"/>
      <scheme val="minor"/>
    </font>
    <font>
      <i/>
      <sz val="11"/>
      <color rgb="FF000000"/>
      <name val="Calibri"/>
      <family val="2"/>
    </font>
    <font>
      <b/>
      <sz val="14"/>
      <name val="Calibri"/>
      <family val="2"/>
    </font>
    <font>
      <b/>
      <sz val="20"/>
      <name val="Calibri"/>
      <family val="2"/>
    </font>
    <font>
      <b/>
      <sz val="14"/>
      <color theme="0" tint="-4.9989318521683403E-2"/>
      <name val="Calibri"/>
      <family val="2"/>
    </font>
    <font>
      <b/>
      <sz val="12"/>
      <color theme="0" tint="-4.9989318521683403E-2"/>
      <name val="Calibri"/>
      <family val="2"/>
    </font>
    <font>
      <b/>
      <sz val="9"/>
      <color theme="0" tint="-4.9989318521683403E-2"/>
      <name val="Calibri"/>
      <family val="2"/>
    </font>
    <font>
      <b/>
      <sz val="12"/>
      <color rgb="FFFF0000"/>
      <name val="Calibri"/>
      <family val="2"/>
      <scheme val="minor"/>
    </font>
    <font>
      <b/>
      <sz val="14"/>
      <color theme="1"/>
      <name val="Calibri"/>
      <family val="2"/>
      <scheme val="minor"/>
    </font>
    <font>
      <b/>
      <sz val="14"/>
      <color theme="1"/>
      <name val="Vale Sans"/>
      <family val="2"/>
    </font>
    <font>
      <sz val="12"/>
      <color rgb="FFC00000"/>
      <name val="Calibri"/>
      <family val="2"/>
      <scheme val="minor"/>
    </font>
    <font>
      <sz val="11"/>
      <color rgb="FFC00000"/>
      <name val="Calibri"/>
      <family val="2"/>
      <scheme val="minor"/>
    </font>
    <font>
      <b/>
      <sz val="12"/>
      <color rgb="FFC00000"/>
      <name val="Calibri"/>
      <family val="2"/>
      <scheme val="minor"/>
    </font>
    <font>
      <sz val="14"/>
      <color theme="1"/>
      <name val="Calibri"/>
      <family val="2"/>
      <scheme val="minor"/>
    </font>
    <font>
      <b/>
      <sz val="13"/>
      <color theme="1"/>
      <name val="Calibri"/>
      <family val="2"/>
      <scheme val="minor"/>
    </font>
    <font>
      <sz val="13"/>
      <color theme="1"/>
      <name val="Calibri"/>
      <family val="2"/>
      <scheme val="minor"/>
    </font>
    <font>
      <sz val="20"/>
      <color theme="1" tint="0.249977111117893"/>
      <name val="Vale Sans"/>
      <family val="2"/>
    </font>
    <font>
      <b/>
      <sz val="10"/>
      <color theme="1" tint="0.249977111117893"/>
      <name val="Vale Sans"/>
      <family val="2"/>
    </font>
    <font>
      <b/>
      <sz val="12"/>
      <color theme="1" tint="0.249977111117893"/>
      <name val="Vale Sans"/>
      <family val="2"/>
    </font>
    <font>
      <b/>
      <sz val="11"/>
      <color theme="1" tint="0.249977111117893"/>
      <name val="Calibri"/>
      <family val="2"/>
      <scheme val="minor"/>
    </font>
    <font>
      <sz val="8"/>
      <name val="Calibri"/>
      <family val="2"/>
      <scheme val="minor"/>
    </font>
    <font>
      <sz val="8"/>
      <color theme="0"/>
      <name val="Tahoma"/>
      <family val="2"/>
    </font>
    <font>
      <b/>
      <u/>
      <sz val="11"/>
      <name val="Calibri"/>
      <family val="2"/>
    </font>
    <font>
      <b/>
      <u/>
      <sz val="11"/>
      <color theme="1"/>
      <name val="Calibri"/>
      <family val="2"/>
    </font>
    <font>
      <b/>
      <sz val="16"/>
      <color theme="0" tint="-4.9989318521683403E-2"/>
      <name val="Calibri"/>
      <family val="2"/>
      <scheme val="minor"/>
    </font>
    <font>
      <sz val="16"/>
      <color theme="1"/>
      <name val="Calibri"/>
      <family val="2"/>
      <scheme val="minor"/>
    </font>
    <font>
      <sz val="16"/>
      <color theme="0" tint="-4.9989318521683403E-2"/>
      <name val="Calibri"/>
      <family val="2"/>
      <scheme val="minor"/>
    </font>
    <font>
      <sz val="16"/>
      <color theme="0" tint="-0.14999847407452621"/>
      <name val="Calibri"/>
      <family val="2"/>
      <scheme val="minor"/>
    </font>
    <font>
      <sz val="14"/>
      <color theme="0" tint="-0.14999847407452621"/>
      <name val="Calibri"/>
      <family val="2"/>
      <scheme val="minor"/>
    </font>
    <font>
      <sz val="14"/>
      <color theme="0" tint="-0.34998626667073579"/>
      <name val="Calibri"/>
      <family val="2"/>
      <scheme val="minor"/>
    </font>
    <font>
      <b/>
      <sz val="14"/>
      <color theme="3" tint="-0.499984740745262"/>
      <name val="Calibri"/>
      <family val="2"/>
      <scheme val="minor"/>
    </font>
    <font>
      <b/>
      <sz val="14"/>
      <color theme="9" tint="-0.249977111117893"/>
      <name val="Calibri"/>
      <family val="2"/>
      <scheme val="minor"/>
    </font>
    <font>
      <sz val="14"/>
      <name val="Calibri"/>
      <family val="2"/>
      <scheme val="minor"/>
    </font>
    <font>
      <sz val="14"/>
      <color theme="3" tint="-0.499984740745262"/>
      <name val="Calibri"/>
      <family val="2"/>
      <scheme val="minor"/>
    </font>
    <font>
      <sz val="14"/>
      <color theme="9" tint="-0.249977111117893"/>
      <name val="Calibri"/>
      <family val="2"/>
      <scheme val="minor"/>
    </font>
    <font>
      <i/>
      <sz val="16"/>
      <color theme="1"/>
      <name val="Calibri"/>
      <family val="2"/>
      <scheme val="minor"/>
    </font>
    <font>
      <i/>
      <sz val="16"/>
      <name val="Calibri"/>
      <family val="2"/>
      <scheme val="minor"/>
    </font>
    <font>
      <i/>
      <sz val="14"/>
      <color rgb="FF000000"/>
      <name val="Calibri"/>
      <family val="2"/>
      <scheme val="minor"/>
    </font>
    <font>
      <i/>
      <sz val="14"/>
      <color rgb="FF000000"/>
      <name val="Calibri"/>
      <family val="2"/>
    </font>
    <font>
      <sz val="16"/>
      <name val="Calibri"/>
      <family val="2"/>
      <scheme val="minor"/>
    </font>
    <font>
      <i/>
      <sz val="11"/>
      <color theme="0" tint="-0.14999847407452621"/>
      <name val="Calibri"/>
      <family val="2"/>
      <scheme val="minor"/>
    </font>
    <font>
      <i/>
      <sz val="11"/>
      <color theme="0" tint="-0.34998626667073579"/>
      <name val="Calibri"/>
      <family val="2"/>
      <scheme val="minor"/>
    </font>
    <font>
      <sz val="14"/>
      <color rgb="FFFF0000"/>
      <name val="Calibri"/>
      <family val="2"/>
      <scheme val="minor"/>
    </font>
    <font>
      <b/>
      <sz val="16"/>
      <color theme="3" tint="-0.499984740745262"/>
      <name val="Calibri"/>
      <family val="2"/>
      <scheme val="minor"/>
    </font>
    <font>
      <b/>
      <sz val="16"/>
      <name val="Calibri"/>
      <family val="2"/>
      <scheme val="minor"/>
    </font>
    <font>
      <b/>
      <sz val="16"/>
      <color theme="9" tint="-0.249977111117893"/>
      <name val="Calibri"/>
      <family val="2"/>
      <scheme val="minor"/>
    </font>
    <font>
      <b/>
      <sz val="16"/>
      <color theme="0"/>
      <name val="Calibri"/>
      <family val="2"/>
    </font>
    <font>
      <i/>
      <sz val="12"/>
      <name val="Calibri"/>
      <family val="2"/>
      <scheme val="minor"/>
    </font>
    <font>
      <sz val="12"/>
      <color theme="3" tint="-0.499984740745262"/>
      <name val="Calibri"/>
      <family val="2"/>
      <scheme val="minor"/>
    </font>
    <font>
      <sz val="12"/>
      <color theme="9" tint="-0.249977111117893"/>
      <name val="Calibri"/>
      <family val="2"/>
      <scheme val="minor"/>
    </font>
    <font>
      <sz val="12"/>
      <color theme="0" tint="-0.14999847407452621"/>
      <name val="Calibri"/>
      <family val="2"/>
      <scheme val="minor"/>
    </font>
    <font>
      <b/>
      <sz val="14"/>
      <color theme="0" tint="-0.34998626667073579"/>
      <name val="Calibri"/>
      <family val="2"/>
      <scheme val="minor"/>
    </font>
    <font>
      <sz val="16"/>
      <color theme="0" tint="-0.34998626667073579"/>
      <name val="Calibri"/>
      <family val="2"/>
      <scheme val="minor"/>
    </font>
    <font>
      <i/>
      <sz val="12"/>
      <color theme="1"/>
      <name val="Calibri"/>
      <family val="2"/>
      <scheme val="minor"/>
    </font>
    <font>
      <sz val="20"/>
      <name val="Vale Sans"/>
      <family val="2"/>
    </font>
    <font>
      <b/>
      <sz val="10"/>
      <name val="Vale Sans"/>
      <family val="2"/>
    </font>
    <font>
      <b/>
      <sz val="12"/>
      <name val="Vale Sans"/>
      <family val="2"/>
    </font>
    <font>
      <sz val="10"/>
      <color theme="1"/>
      <name val="Calibri"/>
      <family val="2"/>
    </font>
  </fonts>
  <fills count="4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499984740745262"/>
        <bgColor indexed="64"/>
      </patternFill>
    </fill>
    <fill>
      <patternFill patternType="solid">
        <fgColor rgb="FF3578BC"/>
        <bgColor indexed="64"/>
      </patternFill>
    </fill>
    <fill>
      <patternFill patternType="solid">
        <fgColor rgb="FFF89B32"/>
        <bgColor indexed="64"/>
      </patternFill>
    </fill>
    <fill>
      <patternFill patternType="solid">
        <fgColor rgb="FF007E7A"/>
        <bgColor indexed="64"/>
      </patternFill>
    </fill>
    <fill>
      <patternFill patternType="solid">
        <fgColor rgb="FF02233F"/>
        <bgColor indexed="64"/>
      </patternFill>
    </fill>
    <fill>
      <patternFill patternType="solid">
        <fgColor rgb="FFC2C2C2"/>
        <bgColor indexed="64"/>
      </patternFill>
    </fill>
    <fill>
      <patternFill patternType="solid">
        <fgColor rgb="FFD21242"/>
        <bgColor indexed="64"/>
      </patternFill>
    </fill>
    <fill>
      <patternFill patternType="solid">
        <fgColor theme="0" tint="-0.499984740745262"/>
        <bgColor indexed="64"/>
      </patternFill>
    </fill>
    <fill>
      <patternFill patternType="solid">
        <fgColor theme="0" tint="-0.14999847407452621"/>
        <bgColor indexed="65"/>
      </patternFill>
    </fill>
    <fill>
      <patternFill patternType="solid">
        <fgColor rgb="FFFFC000"/>
        <bgColor indexed="64"/>
      </patternFill>
    </fill>
    <fill>
      <patternFill patternType="solid">
        <fgColor theme="3" tint="-0.249977111117893"/>
        <bgColor indexed="64"/>
      </patternFill>
    </fill>
    <fill>
      <patternFill patternType="solid">
        <fgColor theme="9" tint="-0.499984740745262"/>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3"/>
        <bgColor indexed="64"/>
      </patternFill>
    </fill>
    <fill>
      <patternFill patternType="solid">
        <fgColor theme="0" tint="-0.34998626667073579"/>
        <bgColor indexed="64"/>
      </patternFill>
    </fill>
    <fill>
      <patternFill patternType="solid">
        <fgColor rgb="FF7030A0"/>
        <bgColor indexed="64"/>
      </patternFill>
    </fill>
    <fill>
      <patternFill patternType="solid">
        <fgColor rgb="FFFFFF00"/>
        <bgColor indexed="64"/>
      </patternFill>
    </fill>
    <fill>
      <patternFill patternType="solid">
        <fgColor theme="2"/>
        <bgColor indexed="64"/>
      </patternFill>
    </fill>
    <fill>
      <patternFill patternType="solid">
        <fgColor rgb="FFFFFFFF"/>
        <bgColor indexed="64"/>
      </patternFill>
    </fill>
    <fill>
      <patternFill patternType="solid">
        <fgColor theme="9" tint="-0.249977111117893"/>
        <bgColor indexed="64"/>
      </patternFill>
    </fill>
    <fill>
      <patternFill patternType="solid">
        <fgColor rgb="FFC00000"/>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97"/>
        <bgColor indexed="64"/>
      </patternFill>
    </fill>
    <fill>
      <patternFill patternType="solid">
        <fgColor theme="6" tint="0.59999389629810485"/>
        <bgColor indexed="64"/>
      </patternFill>
    </fill>
    <fill>
      <patternFill patternType="solid">
        <fgColor rgb="FFFF9966"/>
        <bgColor indexed="64"/>
      </patternFill>
    </fill>
    <fill>
      <patternFill patternType="solid">
        <fgColor theme="5" tint="0.59999389629810485"/>
        <bgColor indexed="64"/>
      </patternFill>
    </fill>
    <fill>
      <patternFill patternType="solid">
        <fgColor rgb="FFFFFFCC"/>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8"/>
        <bgColor indexed="64"/>
      </patternFill>
    </fill>
    <fill>
      <patternFill patternType="solid">
        <fgColor theme="7"/>
        <bgColor indexed="64"/>
      </patternFill>
    </fill>
  </fills>
  <borders count="9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77111117893"/>
      </left>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left>
      <right style="thin">
        <color theme="0" tint="-0.249977111117893"/>
      </right>
      <top style="thin">
        <color theme="0"/>
      </top>
      <bottom/>
      <diagonal/>
    </border>
    <border>
      <left style="thin">
        <color theme="0"/>
      </left>
      <right style="thin">
        <color theme="0" tint="-0.249977111117893"/>
      </right>
      <top/>
      <bottom style="thin">
        <color theme="0"/>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medium">
        <color theme="0" tint="-0.14996795556505021"/>
      </top>
      <bottom style="medium">
        <color theme="0" tint="-0.14996795556505021"/>
      </bottom>
      <diagonal/>
    </border>
    <border>
      <left/>
      <right style="thin">
        <color theme="0" tint="-0.249977111117893"/>
      </right>
      <top/>
      <bottom/>
      <diagonal/>
    </border>
    <border>
      <left style="thin">
        <color theme="0" tint="-0.249977111117893"/>
      </left>
      <right style="thin">
        <color theme="0" tint="-0.249977111117893"/>
      </right>
      <top style="thin">
        <color theme="0" tint="-0.249977111117893"/>
      </top>
      <bottom style="dotted">
        <color theme="0" tint="-0.249977111117893"/>
      </bottom>
      <diagonal/>
    </border>
    <border>
      <left style="thin">
        <color theme="0" tint="-0.249977111117893"/>
      </left>
      <right style="thin">
        <color theme="0" tint="-0.249977111117893"/>
      </right>
      <top style="dotted">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2" tint="-9.9978637043366805E-2"/>
      </bottom>
      <diagonal/>
    </border>
    <border>
      <left style="medium">
        <color theme="0" tint="-0.249977111117893"/>
      </left>
      <right style="thin">
        <color theme="0" tint="-0.34998626667073579"/>
      </right>
      <top style="medium">
        <color theme="0" tint="-0.249977111117893"/>
      </top>
      <bottom style="thin">
        <color theme="0" tint="-0.34998626667073579"/>
      </bottom>
      <diagonal/>
    </border>
    <border>
      <left style="thin">
        <color theme="0" tint="-0.34998626667073579"/>
      </left>
      <right style="medium">
        <color theme="0" tint="-0.249977111117893"/>
      </right>
      <top style="medium">
        <color theme="0" tint="-0.249977111117893"/>
      </top>
      <bottom style="thin">
        <color theme="0" tint="-0.34998626667073579"/>
      </bottom>
      <diagonal/>
    </border>
    <border>
      <left style="medium">
        <color theme="0" tint="-0.249977111117893"/>
      </left>
      <right style="thin">
        <color theme="0" tint="-0.34998626667073579"/>
      </right>
      <top style="medium">
        <color theme="0" tint="-0.249977111117893"/>
      </top>
      <bottom/>
      <diagonal/>
    </border>
    <border>
      <left style="medium">
        <color theme="0" tint="-0.249977111117893"/>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249977111117893"/>
      </right>
      <top style="thin">
        <color theme="0" tint="-0.34998626667073579"/>
      </top>
      <bottom style="thin">
        <color theme="0" tint="-0.34998626667073579"/>
      </bottom>
      <diagonal/>
    </border>
    <border>
      <left style="medium">
        <color theme="0" tint="-0.249977111117893"/>
      </left>
      <right style="thin">
        <color theme="0" tint="-0.34998626667073579"/>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dashDot">
        <color theme="5" tint="0.59999389629810485"/>
      </left>
      <right style="dashDot">
        <color theme="5" tint="0.59999389629810485"/>
      </right>
      <top style="dashDot">
        <color theme="5" tint="0.59999389629810485"/>
      </top>
      <bottom style="dashDot">
        <color theme="5" tint="0.59999389629810485"/>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rgb="FFB1BBCC"/>
      </left>
      <right style="thin">
        <color rgb="FFB1BBCC"/>
      </right>
      <top style="thin">
        <color rgb="FFB1BBCC"/>
      </top>
      <bottom style="thin">
        <color rgb="FFB1BBCC"/>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style="thin">
        <color theme="0" tint="-0.249977111117893"/>
      </right>
      <top style="thin">
        <color theme="0" tint="-0.499984740745262"/>
      </top>
      <bottom/>
      <diagonal/>
    </border>
    <border>
      <left style="thin">
        <color theme="0" tint="-0.499984740745262"/>
      </left>
      <right style="thin">
        <color theme="0" tint="-0.249977111117893"/>
      </right>
      <top style="thin">
        <color theme="0" tint="-0.249977111117893"/>
      </top>
      <bottom/>
      <diagonal/>
    </border>
    <border>
      <left style="thin">
        <color theme="0" tint="-0.499984740745262"/>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style="thin">
        <color theme="0" tint="-0.249977111117893"/>
      </left>
      <right/>
      <top/>
      <bottom style="thin">
        <color theme="0" tint="-0.249977111117893"/>
      </bottom>
      <diagonal/>
    </border>
    <border>
      <left style="thin">
        <color theme="0" tint="-0.249977111117893"/>
      </left>
      <right/>
      <top/>
      <bottom/>
      <diagonal/>
    </border>
    <border>
      <left style="thin">
        <color theme="0" tint="-0.499984740745262"/>
      </left>
      <right style="thin">
        <color theme="0" tint="-0.249977111117893"/>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top/>
      <bottom/>
      <diagonal/>
    </border>
    <border>
      <left/>
      <right style="thin">
        <color theme="0" tint="-0.499984740745262"/>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theme="0" tint="-0.34998626667073579"/>
      </bottom>
      <diagonal/>
    </border>
    <border>
      <left/>
      <right/>
      <top/>
      <bottom style="medium">
        <color theme="0" tint="-0.499984740745262"/>
      </bottom>
      <diagonal/>
    </border>
    <border>
      <left style="medium">
        <color theme="0" tint="-0.249977111117893"/>
      </left>
      <right style="thin">
        <color theme="0" tint="-0.249977111117893"/>
      </right>
      <top style="thin">
        <color theme="0" tint="-0.249977111117893"/>
      </top>
      <bottom/>
      <diagonal/>
    </border>
    <border>
      <left style="thin">
        <color theme="0" tint="-0.249977111117893"/>
      </left>
      <right style="medium">
        <color theme="0" tint="-0.249977111117893"/>
      </right>
      <top style="thin">
        <color theme="0" tint="-0.249977111117893"/>
      </top>
      <bottom/>
      <diagonal/>
    </border>
    <border>
      <left style="thin">
        <color theme="0" tint="-0.499984740745262"/>
      </left>
      <right style="thin">
        <color theme="0" tint="-0.14996795556505021"/>
      </right>
      <top style="thin">
        <color theme="0" tint="-0.499984740745262"/>
      </top>
      <bottom/>
      <diagonal/>
    </border>
    <border>
      <left style="thin">
        <color theme="0" tint="-0.499984740745262"/>
      </left>
      <right style="thin">
        <color theme="0" tint="-0.14996795556505021"/>
      </right>
      <top/>
      <bottom style="thin">
        <color theme="0" tint="-0.499984740745262"/>
      </bottom>
      <diagonal/>
    </border>
    <border>
      <left/>
      <right/>
      <top style="thin">
        <color theme="0" tint="-0.499984740745262"/>
      </top>
      <bottom/>
      <diagonal/>
    </border>
    <border>
      <left/>
      <right/>
      <top style="thin">
        <color theme="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249977111117893"/>
      </left>
      <right/>
      <top style="medium">
        <color indexed="64"/>
      </top>
      <bottom style="medium">
        <color indexed="64"/>
      </bottom>
      <diagonal/>
    </border>
    <border>
      <left/>
      <right style="thin">
        <color theme="0" tint="-0.249977111117893"/>
      </right>
      <top style="medium">
        <color indexed="64"/>
      </top>
      <bottom style="medium">
        <color indexed="64"/>
      </bottom>
      <diagonal/>
    </border>
    <border>
      <left style="thin">
        <color theme="0" tint="-0.249977111117893"/>
      </left>
      <right style="thin">
        <color theme="0" tint="-0.249977111117893"/>
      </right>
      <top style="medium">
        <color indexed="64"/>
      </top>
      <bottom style="medium">
        <color indexed="64"/>
      </bottom>
      <diagonal/>
    </border>
    <border>
      <left style="medium">
        <color indexed="64"/>
      </left>
      <right style="thin">
        <color theme="0" tint="-0.249977111117893"/>
      </right>
      <top style="medium">
        <color indexed="64"/>
      </top>
      <bottom style="medium">
        <color indexed="64"/>
      </bottom>
      <diagonal/>
    </border>
    <border>
      <left style="thin">
        <color theme="0" tint="-0.249977111117893"/>
      </left>
      <right style="medium">
        <color indexed="64"/>
      </right>
      <top style="medium">
        <color indexed="64"/>
      </top>
      <bottom style="medium">
        <color indexed="64"/>
      </bottom>
      <diagonal/>
    </border>
    <border>
      <left style="medium">
        <color indexed="64"/>
      </left>
      <right style="thin">
        <color theme="0" tint="-0.249977111117893"/>
      </right>
      <top style="medium">
        <color indexed="64"/>
      </top>
      <bottom style="thin">
        <color theme="0" tint="-0.249977111117893"/>
      </bottom>
      <diagonal/>
    </border>
    <border>
      <left style="thin">
        <color theme="0" tint="-0.34998626667073579"/>
      </left>
      <right style="thin">
        <color theme="0" tint="-0.34998626667073579"/>
      </right>
      <top style="medium">
        <color indexed="64"/>
      </top>
      <bottom/>
      <diagonal/>
    </border>
    <border>
      <left/>
      <right style="thin">
        <color theme="0" tint="-0.249977111117893"/>
      </right>
      <top style="medium">
        <color indexed="64"/>
      </top>
      <bottom/>
      <diagonal/>
    </border>
    <border>
      <left style="thin">
        <color theme="0" tint="-0.249977111117893"/>
      </left>
      <right/>
      <top style="medium">
        <color indexed="64"/>
      </top>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left>
      <right style="thin">
        <color theme="0"/>
      </right>
      <top style="medium">
        <color indexed="64"/>
      </top>
      <bottom style="thin">
        <color theme="0"/>
      </bottom>
      <diagonal/>
    </border>
    <border>
      <left style="thin">
        <color theme="0" tint="-0.249977111117893"/>
      </left>
      <right style="thin">
        <color theme="0" tint="-0.249977111117893"/>
      </right>
      <top style="medium">
        <color indexed="64"/>
      </top>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34998626667073579"/>
      </left>
      <right style="thin">
        <color theme="0" tint="-0.34998626667073579"/>
      </right>
      <top/>
      <bottom style="medium">
        <color indexed="64"/>
      </bottom>
      <diagonal/>
    </border>
    <border>
      <left/>
      <right style="thin">
        <color theme="0" tint="-0.249977111117893"/>
      </right>
      <top/>
      <bottom style="medium">
        <color indexed="64"/>
      </bottom>
      <diagonal/>
    </border>
    <border>
      <left style="thin">
        <color theme="0" tint="-0.249977111117893"/>
      </left>
      <right/>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left>
      <right style="thin">
        <color theme="0"/>
      </right>
      <top style="thin">
        <color theme="0"/>
      </top>
      <bottom style="medium">
        <color indexed="64"/>
      </bottom>
      <diagonal/>
    </border>
    <border>
      <left style="thin">
        <color theme="0" tint="-0.249977111117893"/>
      </left>
      <right style="thin">
        <color theme="0" tint="-0.249977111117893"/>
      </right>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style="thin">
        <color theme="0" tint="-0.249977111117893"/>
      </left>
      <right style="thin">
        <color theme="0" tint="-0.249977111117893"/>
      </right>
      <top/>
      <bottom style="medium">
        <color theme="0" tint="-0.14996795556505021"/>
      </bottom>
      <diagonal/>
    </border>
  </borders>
  <cellStyleXfs count="53">
    <xf numFmtId="0" fontId="0" fillId="0" borderId="0"/>
    <xf numFmtId="9" fontId="1" fillId="0" borderId="0" applyFont="0" applyFill="0" applyBorder="0" applyAlignment="0" applyProtection="0"/>
    <xf numFmtId="9" fontId="31" fillId="0" borderId="0" applyFont="0" applyFill="0" applyBorder="0" applyAlignment="0" applyProtection="0"/>
    <xf numFmtId="167" fontId="1" fillId="0" borderId="19" applyFill="0">
      <alignment horizontal="center" vertical="center"/>
    </xf>
    <xf numFmtId="168" fontId="1" fillId="0" borderId="3">
      <alignment horizontal="center" vertical="center"/>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19" applyFill="0">
      <alignment horizontal="center" vertical="center"/>
    </xf>
    <xf numFmtId="0" fontId="37" fillId="0" borderId="0"/>
    <xf numFmtId="0" fontId="1" fillId="0" borderId="0"/>
    <xf numFmtId="0" fontId="37" fillId="0" borderId="0"/>
    <xf numFmtId="0" fontId="38" fillId="0" borderId="0"/>
    <xf numFmtId="0" fontId="39" fillId="0" borderId="0"/>
    <xf numFmtId="0" fontId="40" fillId="0" borderId="0"/>
    <xf numFmtId="0" fontId="1" fillId="0" borderId="19" applyFill="0">
      <alignment horizontal="left" vertical="center" indent="2"/>
    </xf>
    <xf numFmtId="0" fontId="1" fillId="0" borderId="0" applyNumberFormat="0" applyFill="0" applyProtection="0">
      <alignment horizontal="right" indent="1"/>
    </xf>
    <xf numFmtId="0" fontId="41" fillId="0" borderId="0" applyNumberFormat="0" applyFill="0" applyBorder="0" applyAlignment="0" applyProtection="0"/>
    <xf numFmtId="169" fontId="42" fillId="0" borderId="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4" fillId="0" borderId="0"/>
    <xf numFmtId="0" fontId="37" fillId="0" borderId="0"/>
    <xf numFmtId="165" fontId="1" fillId="0" borderId="0" applyFont="0" applyFill="0" applyBorder="0" applyAlignment="0" applyProtection="0"/>
    <xf numFmtId="165" fontId="39" fillId="0" borderId="0" applyFont="0" applyFill="0" applyBorder="0" applyAlignment="0" applyProtection="0"/>
    <xf numFmtId="165" fontId="37" fillId="0" borderId="0" applyFont="0" applyFill="0" applyBorder="0" applyAlignment="0" applyProtection="0"/>
    <xf numFmtId="165" fontId="1" fillId="0" borderId="0" applyFont="0" applyFill="0" applyBorder="0" applyAlignment="0" applyProtection="0"/>
    <xf numFmtId="165" fontId="39" fillId="0" borderId="0" applyFont="0" applyFill="0" applyBorder="0" applyAlignment="0" applyProtection="0"/>
    <xf numFmtId="165" fontId="37"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9" fillId="0" borderId="0" applyFont="0" applyFill="0" applyBorder="0" applyAlignment="0" applyProtection="0"/>
    <xf numFmtId="165" fontId="37"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9" fillId="0" borderId="0" applyFont="0" applyFill="0" applyBorder="0" applyAlignment="0" applyProtection="0"/>
    <xf numFmtId="165" fontId="37"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cellStyleXfs>
  <cellXfs count="1324">
    <xf numFmtId="0" fontId="0" fillId="0" borderId="0" xfId="0"/>
    <xf numFmtId="0" fontId="0" fillId="2" borderId="0" xfId="0" applyFill="1"/>
    <xf numFmtId="0" fontId="0" fillId="3" borderId="0" xfId="0" applyFill="1" applyAlignment="1">
      <alignment vertical="center"/>
    </xf>
    <xf numFmtId="0" fontId="0" fillId="3" borderId="0" xfId="0" applyFill="1"/>
    <xf numFmtId="0" fontId="0" fillId="4" borderId="0" xfId="0" applyFill="1"/>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2" borderId="0" xfId="0" applyFill="1" applyAlignment="1">
      <alignment horizontal="center" vertical="center"/>
    </xf>
    <xf numFmtId="0" fontId="6" fillId="2" borderId="0" xfId="0" applyFont="1" applyFill="1"/>
    <xf numFmtId="0" fontId="0" fillId="2" borderId="0" xfId="0" applyFill="1" applyAlignment="1">
      <alignment vertical="center"/>
    </xf>
    <xf numFmtId="14" fontId="0" fillId="2" borderId="0" xfId="0" applyNumberFormat="1" applyFill="1" applyAlignment="1">
      <alignment horizontal="center"/>
    </xf>
    <xf numFmtId="14" fontId="8" fillId="2" borderId="0" xfId="0" applyNumberFormat="1" applyFont="1" applyFill="1" applyAlignment="1">
      <alignment horizontal="center"/>
    </xf>
    <xf numFmtId="14" fontId="4" fillId="2" borderId="0" xfId="0" applyNumberFormat="1" applyFont="1" applyFill="1" applyAlignment="1">
      <alignment horizontal="center"/>
    </xf>
    <xf numFmtId="0" fontId="6" fillId="3" borderId="0" xfId="0" applyFont="1" applyFill="1"/>
    <xf numFmtId="0" fontId="0" fillId="0" borderId="0" xfId="0" applyAlignment="1">
      <alignment vertical="center"/>
    </xf>
    <xf numFmtId="0" fontId="6" fillId="0" borderId="0" xfId="0" applyFont="1"/>
    <xf numFmtId="0" fontId="2" fillId="3" borderId="0" xfId="0" applyFont="1" applyFill="1"/>
    <xf numFmtId="0" fontId="0" fillId="3" borderId="0" xfId="0" applyFill="1" applyAlignment="1">
      <alignment horizontal="center"/>
    </xf>
    <xf numFmtId="0" fontId="13" fillId="4" borderId="1" xfId="0" applyFont="1" applyFill="1" applyBorder="1" applyAlignment="1">
      <alignment horizontal="center" vertical="center" wrapText="1"/>
    </xf>
    <xf numFmtId="0" fontId="0" fillId="4" borderId="0" xfId="0" applyFill="1" applyAlignment="1">
      <alignment vertical="center"/>
    </xf>
    <xf numFmtId="0" fontId="18" fillId="6" borderId="0" xfId="0" applyFont="1" applyFill="1" applyAlignment="1">
      <alignment horizontal="center" vertical="center"/>
    </xf>
    <xf numFmtId="0" fontId="17" fillId="6" borderId="3" xfId="0" applyFont="1" applyFill="1" applyBorder="1" applyAlignment="1">
      <alignment horizontal="center" vertical="center" wrapText="1"/>
    </xf>
    <xf numFmtId="166" fontId="17" fillId="6" borderId="3"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166" fontId="11" fillId="6" borderId="1" xfId="0" applyNumberFormat="1" applyFont="1" applyFill="1" applyBorder="1" applyAlignment="1">
      <alignment horizontal="center" vertical="center" wrapText="1"/>
    </xf>
    <xf numFmtId="0" fontId="4" fillId="6" borderId="0" xfId="0" applyFont="1" applyFill="1" applyAlignment="1">
      <alignment horizontal="centerContinuous" vertical="center" wrapText="1"/>
    </xf>
    <xf numFmtId="0" fontId="0" fillId="6" borderId="0" xfId="0" applyFill="1" applyAlignment="1">
      <alignment horizontal="centerContinuous"/>
    </xf>
    <xf numFmtId="0" fontId="5" fillId="7" borderId="0" xfId="0" applyFont="1" applyFill="1" applyAlignment="1">
      <alignment horizontal="centerContinuous" vertical="center" wrapText="1"/>
    </xf>
    <xf numFmtId="0" fontId="0" fillId="7" borderId="0" xfId="0" applyFill="1" applyAlignment="1">
      <alignment horizontal="centerContinuous"/>
    </xf>
    <xf numFmtId="0" fontId="5" fillId="8" borderId="0" xfId="0" applyFont="1" applyFill="1" applyAlignment="1">
      <alignment horizontal="centerContinuous" vertical="center"/>
    </xf>
    <xf numFmtId="0" fontId="7" fillId="8" borderId="0" xfId="0" applyFont="1" applyFill="1" applyAlignment="1">
      <alignment horizontal="centerContinuous" vertical="center"/>
    </xf>
    <xf numFmtId="1" fontId="5" fillId="9" borderId="0" xfId="0" applyNumberFormat="1" applyFont="1" applyFill="1" applyAlignment="1">
      <alignment horizontal="centerContinuous" vertical="center"/>
    </xf>
    <xf numFmtId="0" fontId="5" fillId="9" borderId="0" xfId="0" applyFont="1" applyFill="1" applyAlignment="1">
      <alignment horizontal="centerContinuous" vertical="center"/>
    </xf>
    <xf numFmtId="3" fontId="0" fillId="3" borderId="0" xfId="0" applyNumberFormat="1" applyFill="1"/>
    <xf numFmtId="3" fontId="3" fillId="3" borderId="0" xfId="0" applyNumberFormat="1" applyFont="1" applyFill="1"/>
    <xf numFmtId="3" fontId="0" fillId="3" borderId="0" xfId="0" applyNumberFormat="1" applyFill="1" applyAlignment="1">
      <alignment horizontal="center" vertical="center"/>
    </xf>
    <xf numFmtId="0" fontId="15" fillId="10" borderId="0" xfId="0" applyFont="1" applyFill="1" applyAlignment="1">
      <alignment horizontal="centerContinuous" vertical="center"/>
    </xf>
    <xf numFmtId="0" fontId="15" fillId="10" borderId="0" xfId="0" applyFont="1" applyFill="1" applyAlignment="1">
      <alignment vertical="center"/>
    </xf>
    <xf numFmtId="0" fontId="22" fillId="3" borderId="0" xfId="0" applyFont="1" applyFill="1" applyAlignment="1">
      <alignment vertical="center"/>
    </xf>
    <xf numFmtId="0" fontId="23" fillId="4" borderId="1" xfId="0" applyFont="1" applyFill="1" applyBorder="1" applyAlignment="1">
      <alignment horizontal="center" vertical="center" wrapText="1"/>
    </xf>
    <xf numFmtId="3" fontId="24" fillId="4" borderId="1" xfId="0" applyNumberFormat="1" applyFont="1" applyFill="1" applyBorder="1" applyAlignment="1">
      <alignment horizontal="center" vertical="center"/>
    </xf>
    <xf numFmtId="3" fontId="19" fillId="4" borderId="1" xfId="0" applyNumberFormat="1" applyFont="1" applyFill="1" applyBorder="1" applyAlignment="1">
      <alignment horizontal="center" vertical="center"/>
    </xf>
    <xf numFmtId="0" fontId="22" fillId="0" borderId="0" xfId="0" applyFont="1" applyAlignment="1">
      <alignment vertical="center"/>
    </xf>
    <xf numFmtId="0" fontId="25" fillId="4" borderId="1" xfId="0" applyFont="1" applyFill="1" applyBorder="1" applyAlignment="1">
      <alignment horizontal="center" vertical="center" wrapText="1"/>
    </xf>
    <xf numFmtId="3" fontId="0" fillId="2" borderId="0" xfId="0" applyNumberFormat="1" applyFill="1" applyAlignment="1">
      <alignment horizontal="center" vertical="center"/>
    </xf>
    <xf numFmtId="3" fontId="4" fillId="6" borderId="0" xfId="0" applyNumberFormat="1" applyFont="1" applyFill="1" applyAlignment="1">
      <alignment horizontal="centerContinuous" vertical="center" wrapText="1"/>
    </xf>
    <xf numFmtId="3" fontId="0" fillId="0" borderId="0" xfId="0" applyNumberFormat="1" applyAlignment="1">
      <alignment horizontal="center" vertical="center"/>
    </xf>
    <xf numFmtId="0" fontId="26" fillId="4"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5" fillId="6" borderId="0" xfId="0" applyFont="1" applyFill="1" applyAlignment="1">
      <alignment horizontal="centerContinuous" vertical="center" wrapText="1"/>
    </xf>
    <xf numFmtId="3" fontId="0" fillId="2" borderId="1" xfId="0" applyNumberFormat="1" applyFill="1" applyBorder="1" applyAlignment="1">
      <alignment horizontal="center" vertical="center"/>
    </xf>
    <xf numFmtId="0" fontId="26"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3" fontId="0" fillId="2" borderId="0" xfId="0" applyNumberFormat="1" applyFill="1"/>
    <xf numFmtId="3" fontId="18" fillId="6" borderId="0" xfId="0" applyNumberFormat="1" applyFont="1" applyFill="1" applyAlignment="1">
      <alignment horizontal="center" vertical="center"/>
    </xf>
    <xf numFmtId="3" fontId="3" fillId="0" borderId="0" xfId="0" applyNumberFormat="1" applyFont="1"/>
    <xf numFmtId="3" fontId="0" fillId="0" borderId="0" xfId="0" applyNumberFormat="1"/>
    <xf numFmtId="0" fontId="3" fillId="0" borderId="0" xfId="0" applyFont="1"/>
    <xf numFmtId="3" fontId="19" fillId="4" borderId="14" xfId="0" applyNumberFormat="1" applyFont="1" applyFill="1" applyBorder="1" applyAlignment="1">
      <alignment horizontal="center" vertical="center"/>
    </xf>
    <xf numFmtId="3" fontId="19" fillId="0" borderId="16" xfId="0" applyNumberFormat="1" applyFont="1" applyBorder="1" applyAlignment="1">
      <alignment horizontal="center" vertical="center"/>
    </xf>
    <xf numFmtId="0" fontId="4" fillId="0" borderId="0" xfId="0" applyFont="1"/>
    <xf numFmtId="170" fontId="4" fillId="6" borderId="0" xfId="0" applyNumberFormat="1" applyFont="1" applyFill="1" applyAlignment="1">
      <alignment horizontal="centerContinuous" vertical="center"/>
    </xf>
    <xf numFmtId="0" fontId="4" fillId="2" borderId="0" xfId="0" applyFont="1" applyFill="1"/>
    <xf numFmtId="0" fontId="4" fillId="10" borderId="0" xfId="0" applyFont="1" applyFill="1"/>
    <xf numFmtId="1" fontId="18" fillId="6" borderId="0" xfId="0" applyNumberFormat="1" applyFont="1" applyFill="1" applyAlignment="1">
      <alignment horizontal="center" vertical="center"/>
    </xf>
    <xf numFmtId="0" fontId="46" fillId="2" borderId="0" xfId="0" applyFont="1" applyFill="1"/>
    <xf numFmtId="0" fontId="46" fillId="3" borderId="0" xfId="0" applyFont="1" applyFill="1"/>
    <xf numFmtId="0" fontId="4" fillId="3" borderId="0" xfId="0" applyFont="1" applyFill="1"/>
    <xf numFmtId="0" fontId="47" fillId="3" borderId="0" xfId="0" applyFont="1" applyFill="1" applyAlignment="1">
      <alignment vertical="center"/>
    </xf>
    <xf numFmtId="3" fontId="48" fillId="4" borderId="1" xfId="0" applyNumberFormat="1" applyFont="1" applyFill="1" applyBorder="1" applyAlignment="1">
      <alignment horizontal="center" vertical="center"/>
    </xf>
    <xf numFmtId="3" fontId="49" fillId="4" borderId="1" xfId="0" applyNumberFormat="1" applyFont="1" applyFill="1" applyBorder="1" applyAlignment="1">
      <alignment horizontal="center" vertical="center"/>
    </xf>
    <xf numFmtId="0" fontId="4" fillId="4" borderId="0" xfId="0" applyFont="1" applyFill="1" applyAlignment="1">
      <alignment vertical="center"/>
    </xf>
    <xf numFmtId="0" fontId="4" fillId="3" borderId="0" xfId="0" applyFont="1" applyFill="1" applyAlignment="1">
      <alignment vertical="center"/>
    </xf>
    <xf numFmtId="3" fontId="50" fillId="2" borderId="1" xfId="0" applyNumberFormat="1" applyFont="1" applyFill="1" applyBorder="1" applyAlignment="1">
      <alignment horizontal="center" vertical="center"/>
    </xf>
    <xf numFmtId="3" fontId="51" fillId="0" borderId="1" xfId="0" applyNumberFormat="1" applyFont="1" applyBorder="1" applyAlignment="1">
      <alignment horizontal="center" vertical="center"/>
    </xf>
    <xf numFmtId="4" fontId="51" fillId="0" borderId="1" xfId="0" applyNumberFormat="1" applyFont="1" applyBorder="1" applyAlignment="1">
      <alignment horizontal="center" vertical="center"/>
    </xf>
    <xf numFmtId="1" fontId="0" fillId="0" borderId="0" xfId="0" applyNumberFormat="1" applyAlignment="1">
      <alignment vertical="center"/>
    </xf>
    <xf numFmtId="3" fontId="51" fillId="2" borderId="1" xfId="0" applyNumberFormat="1" applyFont="1" applyFill="1" applyBorder="1" applyAlignment="1">
      <alignment horizontal="center" vertical="center"/>
    </xf>
    <xf numFmtId="1" fontId="0" fillId="2" borderId="1" xfId="0" applyNumberFormat="1" applyFill="1" applyBorder="1" applyAlignment="1">
      <alignment horizontal="center" vertical="center"/>
    </xf>
    <xf numFmtId="0" fontId="0" fillId="3" borderId="16" xfId="0" applyFill="1" applyBorder="1" applyAlignment="1">
      <alignment vertical="center"/>
    </xf>
    <xf numFmtId="3" fontId="54" fillId="2" borderId="1" xfId="0" applyNumberFormat="1" applyFont="1" applyFill="1" applyBorder="1" applyAlignment="1">
      <alignment horizontal="center" vertical="center"/>
    </xf>
    <xf numFmtId="1" fontId="51" fillId="2" borderId="1" xfId="0" applyNumberFormat="1" applyFont="1" applyFill="1" applyBorder="1" applyAlignment="1">
      <alignment horizontal="center" vertical="center"/>
    </xf>
    <xf numFmtId="3" fontId="3" fillId="2" borderId="1" xfId="0" applyNumberFormat="1" applyFont="1" applyFill="1" applyBorder="1" applyAlignment="1">
      <alignment horizontal="center" vertical="center"/>
    </xf>
    <xf numFmtId="3" fontId="50" fillId="0" borderId="1" xfId="0" applyNumberFormat="1" applyFont="1" applyBorder="1" applyAlignment="1">
      <alignment horizontal="center" vertical="center"/>
    </xf>
    <xf numFmtId="3" fontId="54" fillId="0" borderId="1" xfId="0" applyNumberFormat="1" applyFont="1" applyBorder="1" applyAlignment="1">
      <alignment horizontal="center" vertical="center"/>
    </xf>
    <xf numFmtId="3" fontId="0" fillId="4" borderId="14" xfId="0" applyNumberFormat="1" applyFill="1" applyBorder="1" applyAlignment="1">
      <alignment horizontal="center" vertical="center"/>
    </xf>
    <xf numFmtId="0" fontId="36" fillId="5" borderId="0" xfId="0" applyFont="1" applyFill="1" applyAlignment="1">
      <alignment horizontal="centerContinuous" vertical="center"/>
    </xf>
    <xf numFmtId="0" fontId="36" fillId="5" borderId="0" xfId="0" quotePrefix="1" applyFont="1" applyFill="1" applyAlignment="1">
      <alignment horizontal="center" vertical="center"/>
    </xf>
    <xf numFmtId="0" fontId="4" fillId="15" borderId="0" xfId="0" applyFont="1" applyFill="1" applyAlignment="1">
      <alignment horizontal="centerContinuous" vertical="center" wrapText="1"/>
    </xf>
    <xf numFmtId="9" fontId="43" fillId="2" borderId="4" xfId="1" applyFont="1" applyFill="1" applyBorder="1" applyAlignment="1">
      <alignment horizontal="center" vertical="center"/>
    </xf>
    <xf numFmtId="0" fontId="3" fillId="3" borderId="0" xfId="0" applyFont="1" applyFill="1"/>
    <xf numFmtId="0" fontId="57" fillId="4" borderId="0" xfId="0" applyFont="1" applyFill="1" applyAlignment="1">
      <alignment vertical="center"/>
    </xf>
    <xf numFmtId="0" fontId="57" fillId="3" borderId="0" xfId="0" applyFont="1" applyFill="1" applyAlignment="1">
      <alignment vertical="center"/>
    </xf>
    <xf numFmtId="0" fontId="58" fillId="2" borderId="1" xfId="0" applyFont="1" applyFill="1" applyBorder="1" applyAlignment="1">
      <alignment horizontal="center" vertical="center" wrapText="1"/>
    </xf>
    <xf numFmtId="1" fontId="43" fillId="2" borderId="1" xfId="0" applyNumberFormat="1" applyFont="1" applyFill="1" applyBorder="1" applyAlignment="1">
      <alignment horizontal="center" vertical="center"/>
    </xf>
    <xf numFmtId="1" fontId="59" fillId="2" borderId="1" xfId="0" applyNumberFormat="1" applyFont="1" applyFill="1" applyBorder="1" applyAlignment="1">
      <alignment horizontal="center" vertical="center"/>
    </xf>
    <xf numFmtId="0" fontId="57" fillId="0" borderId="0" xfId="0" applyFont="1" applyAlignment="1">
      <alignment vertical="center"/>
    </xf>
    <xf numFmtId="0" fontId="62" fillId="4" borderId="1" xfId="0" applyFont="1" applyFill="1" applyBorder="1" applyAlignment="1">
      <alignment horizontal="center" vertical="center" wrapText="1"/>
    </xf>
    <xf numFmtId="1" fontId="6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1" fontId="59" fillId="4" borderId="1" xfId="0" applyNumberFormat="1" applyFont="1" applyFill="1" applyBorder="1" applyAlignment="1">
      <alignment horizontal="center" vertical="center"/>
    </xf>
    <xf numFmtId="1" fontId="64" fillId="4" borderId="1" xfId="0" applyNumberFormat="1" applyFont="1" applyFill="1" applyBorder="1" applyAlignment="1">
      <alignment horizontal="center" vertical="center"/>
    </xf>
    <xf numFmtId="0" fontId="0" fillId="0" borderId="0" xfId="0" applyAlignment="1">
      <alignment horizontal="left"/>
    </xf>
    <xf numFmtId="0" fontId="6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wrapText="1"/>
    </xf>
    <xf numFmtId="1" fontId="64" fillId="2" borderId="1" xfId="0" applyNumberFormat="1" applyFont="1" applyFill="1" applyBorder="1" applyAlignment="1">
      <alignment horizontal="center" vertical="center"/>
    </xf>
    <xf numFmtId="0" fontId="12" fillId="3" borderId="0" xfId="0" applyFont="1" applyFill="1"/>
    <xf numFmtId="0" fontId="65" fillId="0" borderId="0" xfId="0" applyFont="1"/>
    <xf numFmtId="0" fontId="66" fillId="0" borderId="0" xfId="0" applyFont="1"/>
    <xf numFmtId="14" fontId="66" fillId="0" borderId="0" xfId="0" applyNumberFormat="1" applyFont="1"/>
    <xf numFmtId="0" fontId="15" fillId="4" borderId="0" xfId="0" applyFont="1" applyFill="1" applyAlignment="1">
      <alignment horizontal="centerContinuous" vertical="center"/>
    </xf>
    <xf numFmtId="0" fontId="30" fillId="4" borderId="0" xfId="0" applyFont="1" applyFill="1" applyAlignment="1">
      <alignment horizontal="centerContinuous" vertical="center"/>
    </xf>
    <xf numFmtId="3" fontId="15" fillId="4" borderId="0" xfId="0" applyNumberFormat="1" applyFont="1" applyFill="1" applyAlignment="1">
      <alignment horizontal="centerContinuous" vertical="center"/>
    </xf>
    <xf numFmtId="0" fontId="15" fillId="4" borderId="0" xfId="0" applyFont="1" applyFill="1" applyAlignment="1">
      <alignment vertical="center"/>
    </xf>
    <xf numFmtId="0" fontId="65" fillId="3" borderId="0" xfId="0" applyFont="1" applyFill="1"/>
    <xf numFmtId="0" fontId="67" fillId="3" borderId="20" xfId="0" applyFont="1" applyFill="1" applyBorder="1" applyAlignment="1">
      <alignment horizontal="center" vertical="center"/>
    </xf>
    <xf numFmtId="3" fontId="57" fillId="3" borderId="0" xfId="0" applyNumberFormat="1" applyFont="1" applyFill="1" applyAlignment="1">
      <alignment horizontal="center" vertical="center"/>
    </xf>
    <xf numFmtId="0" fontId="65" fillId="3" borderId="20" xfId="0" applyFont="1" applyFill="1" applyBorder="1" applyAlignment="1">
      <alignment horizontal="center" vertical="center"/>
    </xf>
    <xf numFmtId="3" fontId="57" fillId="4" borderId="1" xfId="0" applyNumberFormat="1" applyFont="1" applyFill="1" applyBorder="1" applyAlignment="1">
      <alignment horizontal="center" vertical="center"/>
    </xf>
    <xf numFmtId="0" fontId="65" fillId="4" borderId="0" xfId="0" applyFont="1" applyFill="1" applyAlignment="1">
      <alignment vertical="center"/>
    </xf>
    <xf numFmtId="0" fontId="65" fillId="3" borderId="0" xfId="0" applyFont="1" applyFill="1" applyAlignment="1">
      <alignment vertical="center"/>
    </xf>
    <xf numFmtId="0" fontId="67" fillId="3" borderId="0" xfId="0" applyFont="1" applyFill="1" applyAlignment="1">
      <alignment vertical="center"/>
    </xf>
    <xf numFmtId="3" fontId="0" fillId="3" borderId="13" xfId="0" applyNumberFormat="1" applyFill="1" applyBorder="1"/>
    <xf numFmtId="3" fontId="57" fillId="0" borderId="1" xfId="0" applyNumberFormat="1" applyFont="1" applyBorder="1" applyAlignment="1">
      <alignment horizontal="center" vertical="center"/>
    </xf>
    <xf numFmtId="3" fontId="57" fillId="2" borderId="1" xfId="0" applyNumberFormat="1" applyFont="1" applyFill="1" applyBorder="1" applyAlignment="1">
      <alignment horizontal="center" vertical="center"/>
    </xf>
    <xf numFmtId="0" fontId="2" fillId="3" borderId="0" xfId="0" applyFont="1" applyFill="1" applyAlignment="1">
      <alignment vertical="center"/>
    </xf>
    <xf numFmtId="0" fontId="57" fillId="0" borderId="0" xfId="0" applyFont="1" applyAlignment="1">
      <alignment horizontal="center" vertical="center"/>
    </xf>
    <xf numFmtId="0" fontId="12" fillId="0" borderId="0" xfId="0" applyFont="1"/>
    <xf numFmtId="0" fontId="12" fillId="0" borderId="0" xfId="0" applyFont="1" applyAlignment="1">
      <alignment horizontal="center"/>
    </xf>
    <xf numFmtId="0" fontId="4" fillId="4" borderId="0" xfId="0" applyFont="1" applyFill="1" applyAlignment="1">
      <alignment horizontal="center" vertical="center"/>
    </xf>
    <xf numFmtId="0" fontId="6" fillId="0" borderId="0" xfId="0" applyFont="1" applyAlignment="1">
      <alignment vertical="center"/>
    </xf>
    <xf numFmtId="0" fontId="6" fillId="4" borderId="0" xfId="0" applyFont="1" applyFill="1" applyAlignment="1">
      <alignment vertical="center"/>
    </xf>
    <xf numFmtId="0" fontId="0" fillId="0" borderId="30" xfId="0" applyBorder="1" applyAlignment="1">
      <alignment vertical="center"/>
    </xf>
    <xf numFmtId="0" fontId="0" fillId="0" borderId="31" xfId="0" applyBorder="1" applyAlignment="1">
      <alignment horizontal="center" vertical="center"/>
    </xf>
    <xf numFmtId="3" fontId="0" fillId="0" borderId="31" xfId="0" applyNumberFormat="1" applyBorder="1" applyAlignment="1">
      <alignment horizontal="center" vertical="center"/>
    </xf>
    <xf numFmtId="4" fontId="0" fillId="4" borderId="0" xfId="0" applyNumberFormat="1" applyFill="1" applyAlignment="1">
      <alignment vertical="center"/>
    </xf>
    <xf numFmtId="3" fontId="22" fillId="0" borderId="0" xfId="0" applyNumberFormat="1" applyFont="1" applyAlignment="1">
      <alignment vertical="center"/>
    </xf>
    <xf numFmtId="3" fontId="70" fillId="4" borderId="1" xfId="0" applyNumberFormat="1" applyFont="1" applyFill="1" applyBorder="1" applyAlignment="1">
      <alignment horizontal="center" vertical="center"/>
    </xf>
    <xf numFmtId="0" fontId="14" fillId="0" borderId="0" xfId="0" applyFont="1" applyAlignment="1">
      <alignment horizontal="center"/>
    </xf>
    <xf numFmtId="0" fontId="71" fillId="5" borderId="0" xfId="0" quotePrefix="1" applyFont="1" applyFill="1" applyAlignment="1">
      <alignment horizontal="center" vertical="center"/>
    </xf>
    <xf numFmtId="0" fontId="14" fillId="2" borderId="0" xfId="0" applyFont="1" applyFill="1" applyAlignment="1">
      <alignment horizontal="center" vertical="center"/>
    </xf>
    <xf numFmtId="9" fontId="0" fillId="4" borderId="0" xfId="0" applyNumberFormat="1" applyFill="1" applyAlignment="1">
      <alignment vertical="center"/>
    </xf>
    <xf numFmtId="14" fontId="66" fillId="4" borderId="33" xfId="0" applyNumberFormat="1" applyFont="1" applyFill="1" applyBorder="1"/>
    <xf numFmtId="0" fontId="15" fillId="4" borderId="0" xfId="0" applyFont="1" applyFill="1" applyAlignment="1">
      <alignment horizontal="left" vertical="center"/>
    </xf>
    <xf numFmtId="0" fontId="65" fillId="14" borderId="20" xfId="0" applyFont="1" applyFill="1" applyBorder="1" applyAlignment="1">
      <alignment horizontal="center" vertical="center"/>
    </xf>
    <xf numFmtId="3" fontId="53" fillId="4" borderId="2" xfId="2" applyNumberFormat="1" applyFont="1" applyFill="1" applyBorder="1" applyAlignment="1">
      <alignment horizontal="center" vertical="center" wrapText="1"/>
    </xf>
    <xf numFmtId="0" fontId="15" fillId="4" borderId="0" xfId="0" applyFont="1" applyFill="1" applyAlignment="1">
      <alignment horizontal="center" vertical="center"/>
    </xf>
    <xf numFmtId="0" fontId="65" fillId="0" borderId="20" xfId="0" applyFont="1" applyBorder="1" applyAlignment="1">
      <alignment horizontal="center" vertical="center"/>
    </xf>
    <xf numFmtId="0" fontId="65" fillId="0" borderId="0" xfId="0" applyFont="1" applyAlignment="1">
      <alignment vertical="center"/>
    </xf>
    <xf numFmtId="0" fontId="67" fillId="0" borderId="0" xfId="0" applyFont="1" applyAlignment="1">
      <alignment vertical="center"/>
    </xf>
    <xf numFmtId="173" fontId="50" fillId="2" borderId="1" xfId="0" applyNumberFormat="1" applyFont="1" applyFill="1" applyBorder="1" applyAlignment="1">
      <alignment horizontal="center" vertical="center"/>
    </xf>
    <xf numFmtId="0" fontId="75" fillId="5" borderId="13" xfId="0" applyFont="1" applyFill="1" applyBorder="1" applyAlignment="1">
      <alignment vertical="center"/>
    </xf>
    <xf numFmtId="0" fontId="44" fillId="3" borderId="0" xfId="0" applyFont="1" applyFill="1"/>
    <xf numFmtId="0" fontId="44" fillId="0" borderId="0" xfId="0" applyFont="1" applyAlignment="1">
      <alignment horizontal="center"/>
    </xf>
    <xf numFmtId="0" fontId="40" fillId="3" borderId="0" xfId="0" applyFont="1" applyFill="1" applyAlignment="1">
      <alignment vertical="center"/>
    </xf>
    <xf numFmtId="3" fontId="40" fillId="3" borderId="0" xfId="0" applyNumberFormat="1" applyFont="1" applyFill="1" applyAlignment="1">
      <alignment vertical="center"/>
    </xf>
    <xf numFmtId="0" fontId="44" fillId="2" borderId="0" xfId="0" applyFont="1" applyFill="1" applyAlignment="1">
      <alignment vertical="center"/>
    </xf>
    <xf numFmtId="0" fontId="44" fillId="2" borderId="0" xfId="0" applyFont="1" applyFill="1" applyAlignment="1">
      <alignment horizontal="center" vertical="center"/>
    </xf>
    <xf numFmtId="0" fontId="44" fillId="2" borderId="0" xfId="0" applyFont="1" applyFill="1" applyAlignment="1">
      <alignment horizontal="center"/>
    </xf>
    <xf numFmtId="14" fontId="40" fillId="3" borderId="0" xfId="0" applyNumberFormat="1" applyFont="1" applyFill="1" applyAlignment="1">
      <alignment vertical="center"/>
    </xf>
    <xf numFmtId="0" fontId="44" fillId="3" borderId="0" xfId="0" applyFont="1" applyFill="1" applyAlignment="1">
      <alignment horizontal="center"/>
    </xf>
    <xf numFmtId="3" fontId="79" fillId="3" borderId="0" xfId="0" applyNumberFormat="1" applyFont="1" applyFill="1"/>
    <xf numFmtId="3" fontId="44" fillId="3" borderId="0" xfId="0" applyNumberFormat="1" applyFont="1" applyFill="1"/>
    <xf numFmtId="0" fontId="44" fillId="3" borderId="0" xfId="0" applyFont="1" applyFill="1" applyAlignment="1">
      <alignment horizontal="center" vertical="center"/>
    </xf>
    <xf numFmtId="3" fontId="44" fillId="3" borderId="0" xfId="0" applyNumberFormat="1" applyFont="1" applyFill="1" applyAlignment="1">
      <alignment horizontal="center" vertical="center"/>
    </xf>
    <xf numFmtId="3" fontId="80" fillId="3" borderId="0" xfId="0" applyNumberFormat="1" applyFont="1" applyFill="1"/>
    <xf numFmtId="0" fontId="82" fillId="3" borderId="0" xfId="0" applyFont="1" applyFill="1" applyAlignment="1">
      <alignment vertical="center"/>
    </xf>
    <xf numFmtId="3" fontId="82" fillId="3" borderId="0" xfId="0" applyNumberFormat="1" applyFont="1" applyFill="1" applyAlignment="1">
      <alignment vertical="center"/>
    </xf>
    <xf numFmtId="0" fontId="82" fillId="3" borderId="0" xfId="0" applyFont="1" applyFill="1"/>
    <xf numFmtId="0" fontId="81" fillId="3" borderId="0" xfId="0" applyFont="1" applyFill="1" applyAlignment="1">
      <alignment horizontal="center" vertical="center"/>
    </xf>
    <xf numFmtId="0" fontId="81" fillId="3" borderId="0" xfId="0" applyFont="1" applyFill="1" applyAlignment="1">
      <alignment horizontal="center" vertical="center" wrapText="1"/>
    </xf>
    <xf numFmtId="3" fontId="81" fillId="3" borderId="0" xfId="0" applyNumberFormat="1" applyFont="1" applyFill="1" applyAlignment="1">
      <alignment horizontal="center" vertical="center" wrapText="1"/>
    </xf>
    <xf numFmtId="3" fontId="81" fillId="3" borderId="0" xfId="0" applyNumberFormat="1" applyFont="1" applyFill="1" applyAlignment="1">
      <alignment horizontal="center" vertical="center"/>
    </xf>
    <xf numFmtId="0" fontId="82" fillId="23" borderId="34" xfId="0" applyFont="1" applyFill="1" applyBorder="1" applyAlignment="1">
      <alignment horizontal="center" vertical="center" wrapText="1"/>
    </xf>
    <xf numFmtId="3" fontId="82" fillId="23" borderId="34" xfId="0" applyNumberFormat="1" applyFont="1" applyFill="1" applyBorder="1" applyAlignment="1">
      <alignment horizontal="center" vertical="center" wrapText="1"/>
    </xf>
    <xf numFmtId="0" fontId="85" fillId="23" borderId="34" xfId="0" applyFont="1" applyFill="1" applyBorder="1" applyAlignment="1">
      <alignment horizontal="center" vertical="center" wrapText="1"/>
    </xf>
    <xf numFmtId="3" fontId="85" fillId="23" borderId="34" xfId="0" applyNumberFormat="1" applyFont="1" applyFill="1" applyBorder="1" applyAlignment="1">
      <alignment horizontal="center" vertical="center" wrapText="1"/>
    </xf>
    <xf numFmtId="3" fontId="82" fillId="23" borderId="34" xfId="0" applyNumberFormat="1" applyFont="1" applyFill="1" applyBorder="1" applyAlignment="1">
      <alignment horizontal="right" vertical="center"/>
    </xf>
    <xf numFmtId="0" fontId="84" fillId="3" borderId="0" xfId="0" applyFont="1" applyFill="1" applyAlignment="1">
      <alignment horizontal="center" vertical="center"/>
    </xf>
    <xf numFmtId="174" fontId="82" fillId="3" borderId="0" xfId="35" applyNumberFormat="1" applyFont="1" applyFill="1" applyAlignment="1">
      <alignment vertical="center"/>
    </xf>
    <xf numFmtId="174" fontId="88" fillId="3" borderId="0" xfId="35" applyNumberFormat="1" applyFont="1" applyFill="1" applyAlignment="1">
      <alignment vertical="center"/>
    </xf>
    <xf numFmtId="174" fontId="88" fillId="23" borderId="34" xfId="35" applyNumberFormat="1" applyFont="1" applyFill="1" applyBorder="1" applyAlignment="1">
      <alignment horizontal="center" vertical="center" wrapText="1"/>
    </xf>
    <xf numFmtId="174" fontId="85" fillId="23" borderId="34" xfId="35" applyNumberFormat="1" applyFont="1" applyFill="1" applyBorder="1" applyAlignment="1">
      <alignment horizontal="center" vertical="center" wrapText="1"/>
    </xf>
    <xf numFmtId="0" fontId="88" fillId="3" borderId="0" xfId="0" applyFont="1" applyFill="1" applyAlignment="1">
      <alignment vertical="center"/>
    </xf>
    <xf numFmtId="3" fontId="88" fillId="3" borderId="0" xfId="0" applyNumberFormat="1" applyFont="1" applyFill="1" applyAlignment="1">
      <alignment vertical="center"/>
    </xf>
    <xf numFmtId="0" fontId="88" fillId="23" borderId="34" xfId="0" applyFont="1" applyFill="1" applyBorder="1" applyAlignment="1">
      <alignment horizontal="center" vertical="center" wrapText="1"/>
    </xf>
    <xf numFmtId="3" fontId="88" fillId="23" borderId="34" xfId="0" applyNumberFormat="1" applyFont="1" applyFill="1" applyBorder="1" applyAlignment="1">
      <alignment horizontal="center" vertical="center" wrapText="1"/>
    </xf>
    <xf numFmtId="0" fontId="88" fillId="4" borderId="0" xfId="0" applyFont="1" applyFill="1" applyAlignment="1">
      <alignment vertical="center"/>
    </xf>
    <xf numFmtId="165" fontId="88" fillId="23" borderId="34" xfId="35" applyFont="1" applyFill="1" applyBorder="1" applyAlignment="1">
      <alignment horizontal="center" vertical="center"/>
    </xf>
    <xf numFmtId="0" fontId="88" fillId="3" borderId="34" xfId="0" applyFont="1" applyFill="1" applyBorder="1" applyAlignment="1">
      <alignment vertical="center"/>
    </xf>
    <xf numFmtId="0" fontId="89" fillId="4" borderId="0" xfId="0" applyFont="1" applyFill="1" applyAlignment="1">
      <alignment vertical="center"/>
    </xf>
    <xf numFmtId="0" fontId="89" fillId="4" borderId="0" xfId="0" applyFont="1" applyFill="1" applyAlignment="1">
      <alignment horizontal="center" vertical="center"/>
    </xf>
    <xf numFmtId="0" fontId="69" fillId="4" borderId="0" xfId="0" applyFont="1" applyFill="1" applyAlignment="1">
      <alignment vertical="center"/>
    </xf>
    <xf numFmtId="0" fontId="77" fillId="4" borderId="0" xfId="0" applyFont="1" applyFill="1" applyAlignment="1">
      <alignment horizontal="center" vertical="center" wrapText="1"/>
    </xf>
    <xf numFmtId="3" fontId="69" fillId="4" borderId="0" xfId="0" applyNumberFormat="1" applyFont="1" applyFill="1" applyAlignment="1">
      <alignment horizontal="center" vertical="center"/>
    </xf>
    <xf numFmtId="3" fontId="69" fillId="4" borderId="0" xfId="0" applyNumberFormat="1" applyFont="1" applyFill="1" applyAlignment="1">
      <alignment vertical="center"/>
    </xf>
    <xf numFmtId="3" fontId="77" fillId="4" borderId="0" xfId="0" applyNumberFormat="1" applyFont="1" applyFill="1" applyAlignment="1">
      <alignment horizontal="center" vertical="center" wrapText="1"/>
    </xf>
    <xf numFmtId="3" fontId="78" fillId="4" borderId="0" xfId="0" applyNumberFormat="1" applyFont="1" applyFill="1" applyAlignment="1">
      <alignment horizontal="center" vertical="center"/>
    </xf>
    <xf numFmtId="0" fontId="44" fillId="0" borderId="0" xfId="0" applyFont="1" applyAlignment="1">
      <alignment vertical="center"/>
    </xf>
    <xf numFmtId="0" fontId="44" fillId="0" borderId="0" xfId="0" applyFont="1" applyAlignment="1">
      <alignment horizontal="center" vertical="center"/>
    </xf>
    <xf numFmtId="0" fontId="44" fillId="0" borderId="0" xfId="0" applyFont="1"/>
    <xf numFmtId="3" fontId="44" fillId="0" borderId="0" xfId="0" applyNumberFormat="1" applyFont="1"/>
    <xf numFmtId="3" fontId="44" fillId="4" borderId="0" xfId="0" applyNumberFormat="1" applyFont="1" applyFill="1"/>
    <xf numFmtId="0" fontId="44" fillId="4" borderId="0" xfId="0" applyFont="1" applyFill="1"/>
    <xf numFmtId="0" fontId="44" fillId="4" borderId="0" xfId="0" applyFont="1" applyFill="1" applyAlignment="1">
      <alignment horizontal="center" vertical="center"/>
    </xf>
    <xf numFmtId="3" fontId="44" fillId="0" borderId="0" xfId="0" applyNumberFormat="1" applyFont="1" applyAlignment="1">
      <alignment horizontal="center" vertical="center"/>
    </xf>
    <xf numFmtId="0" fontId="8" fillId="0" borderId="0" xfId="0" applyFont="1" applyAlignment="1">
      <alignment horizontal="center"/>
    </xf>
    <xf numFmtId="0" fontId="90" fillId="0" borderId="0" xfId="0" applyFont="1"/>
    <xf numFmtId="0" fontId="91" fillId="4" borderId="0" xfId="0" applyFont="1" applyFill="1" applyAlignment="1">
      <alignment horizontal="left" vertical="center"/>
    </xf>
    <xf numFmtId="0" fontId="92" fillId="24" borderId="37" xfId="0" applyFont="1" applyFill="1" applyBorder="1" applyAlignment="1">
      <alignment vertical="center" wrapText="1"/>
    </xf>
    <xf numFmtId="0" fontId="93" fillId="24" borderId="37" xfId="0" applyFont="1" applyFill="1" applyBorder="1" applyAlignment="1">
      <alignment vertical="center" wrapText="1"/>
    </xf>
    <xf numFmtId="3" fontId="99" fillId="4" borderId="1" xfId="0" applyNumberFormat="1" applyFont="1" applyFill="1" applyBorder="1" applyAlignment="1">
      <alignment horizontal="center" vertical="center"/>
    </xf>
    <xf numFmtId="0" fontId="3" fillId="3" borderId="0" xfId="0" applyFont="1" applyFill="1" applyAlignment="1">
      <alignment vertical="center"/>
    </xf>
    <xf numFmtId="3" fontId="3" fillId="3" borderId="0" xfId="0" applyNumberFormat="1" applyFont="1" applyFill="1" applyAlignment="1">
      <alignment horizontal="center" vertical="center"/>
    </xf>
    <xf numFmtId="0" fontId="47" fillId="14" borderId="0" xfId="0" applyFont="1" applyFill="1" applyAlignment="1">
      <alignment horizontal="center" vertical="center"/>
    </xf>
    <xf numFmtId="0" fontId="5" fillId="14" borderId="0" xfId="0" applyFont="1" applyFill="1" applyAlignment="1">
      <alignment horizontal="center" vertical="center"/>
    </xf>
    <xf numFmtId="0" fontId="22" fillId="2" borderId="0" xfId="0" applyFont="1" applyFill="1"/>
    <xf numFmtId="0" fontId="6" fillId="0" borderId="0" xfId="0" applyFont="1" applyAlignment="1">
      <alignment horizontal="center" vertical="center"/>
    </xf>
    <xf numFmtId="0" fontId="22" fillId="3" borderId="0" xfId="0" applyFont="1" applyFill="1"/>
    <xf numFmtId="3" fontId="22" fillId="3" borderId="0" xfId="0" applyNumberFormat="1" applyFont="1" applyFill="1"/>
    <xf numFmtId="0" fontId="33" fillId="6" borderId="32" xfId="0" applyFont="1" applyFill="1" applyBorder="1" applyAlignment="1">
      <alignment horizontal="center" vertical="center" wrapText="1"/>
    </xf>
    <xf numFmtId="3" fontId="22" fillId="0" borderId="38" xfId="0" applyNumberFormat="1" applyFont="1" applyBorder="1" applyAlignment="1">
      <alignment horizontal="center" vertical="center"/>
    </xf>
    <xf numFmtId="3" fontId="22" fillId="0" borderId="39" xfId="0" applyNumberFormat="1" applyFont="1" applyBorder="1" applyAlignment="1">
      <alignment horizontal="center" vertical="center"/>
    </xf>
    <xf numFmtId="0" fontId="9" fillId="6" borderId="40" xfId="0" applyFont="1" applyFill="1" applyBorder="1" applyAlignment="1">
      <alignment horizontal="center" vertical="center" wrapText="1"/>
    </xf>
    <xf numFmtId="3" fontId="0" fillId="0" borderId="0" xfId="0" applyNumberFormat="1" applyAlignment="1">
      <alignment horizontal="center"/>
    </xf>
    <xf numFmtId="0" fontId="0" fillId="3" borderId="0" xfId="0" applyFill="1" applyAlignment="1">
      <alignment horizontal="right"/>
    </xf>
    <xf numFmtId="2" fontId="15" fillId="10" borderId="0" xfId="0" applyNumberFormat="1" applyFont="1" applyFill="1" applyAlignment="1">
      <alignment horizontal="right" vertical="center"/>
    </xf>
    <xf numFmtId="0" fontId="0" fillId="2" borderId="0" xfId="0" applyFill="1" applyAlignment="1">
      <alignment horizontal="right"/>
    </xf>
    <xf numFmtId="14" fontId="4" fillId="2" borderId="0" xfId="0" applyNumberFormat="1" applyFont="1" applyFill="1" applyAlignment="1">
      <alignment horizontal="right"/>
    </xf>
    <xf numFmtId="0" fontId="0" fillId="0" borderId="0" xfId="0" applyAlignment="1">
      <alignment horizontal="right"/>
    </xf>
    <xf numFmtId="0" fontId="15" fillId="10" borderId="0" xfId="0" applyFont="1" applyFill="1" applyAlignment="1">
      <alignment horizontal="right" vertical="center"/>
    </xf>
    <xf numFmtId="3" fontId="22" fillId="0" borderId="45" xfId="0" applyNumberFormat="1" applyFont="1" applyBorder="1" applyAlignment="1">
      <alignment horizontal="center" vertical="center"/>
    </xf>
    <xf numFmtId="3" fontId="19" fillId="4" borderId="0" xfId="0" applyNumberFormat="1" applyFont="1" applyFill="1" applyAlignment="1">
      <alignment horizontal="center" vertical="center"/>
    </xf>
    <xf numFmtId="9" fontId="19" fillId="4" borderId="0" xfId="1" applyFont="1" applyFill="1" applyBorder="1" applyAlignment="1">
      <alignment horizontal="center" vertical="center"/>
    </xf>
    <xf numFmtId="3" fontId="19" fillId="0" borderId="0" xfId="0" applyNumberFormat="1" applyFont="1" applyAlignment="1">
      <alignment horizontal="center" vertical="center"/>
    </xf>
    <xf numFmtId="0" fontId="103" fillId="0" borderId="0" xfId="0" applyFont="1"/>
    <xf numFmtId="0" fontId="5" fillId="8" borderId="0" xfId="0" applyFont="1" applyFill="1" applyAlignment="1">
      <alignment vertical="center"/>
    </xf>
    <xf numFmtId="3" fontId="53" fillId="4" borderId="5" xfId="2" applyNumberFormat="1" applyFont="1" applyFill="1" applyBorder="1" applyAlignment="1">
      <alignment horizontal="center" vertical="center" wrapText="1"/>
    </xf>
    <xf numFmtId="0" fontId="15" fillId="10" borderId="0" xfId="0" applyFont="1" applyFill="1" applyAlignment="1">
      <alignment horizontal="center" vertical="center"/>
    </xf>
    <xf numFmtId="4" fontId="88" fillId="23" borderId="34" xfId="35" applyNumberFormat="1" applyFont="1" applyFill="1" applyBorder="1" applyAlignment="1">
      <alignment horizontal="center" vertical="center"/>
    </xf>
    <xf numFmtId="0" fontId="47" fillId="6" borderId="0" xfId="0" applyFont="1" applyFill="1" applyAlignment="1">
      <alignment horizontal="centerContinuous" vertical="center" wrapText="1"/>
    </xf>
    <xf numFmtId="0" fontId="45" fillId="15" borderId="42" xfId="0" applyFont="1" applyFill="1" applyBorder="1" applyAlignment="1">
      <alignment horizontal="center" vertical="center"/>
    </xf>
    <xf numFmtId="0" fontId="45" fillId="25" borderId="43" xfId="0" applyFont="1" applyFill="1" applyBorder="1" applyAlignment="1">
      <alignment horizontal="center" vertical="center"/>
    </xf>
    <xf numFmtId="0" fontId="45" fillId="26" borderId="44" xfId="0" applyFont="1" applyFill="1" applyBorder="1" applyAlignment="1">
      <alignment horizontal="center" vertical="center"/>
    </xf>
    <xf numFmtId="0" fontId="33" fillId="27" borderId="32" xfId="0" applyFont="1" applyFill="1" applyBorder="1" applyAlignment="1">
      <alignment horizontal="center" vertical="center" wrapText="1"/>
    </xf>
    <xf numFmtId="0" fontId="9" fillId="27" borderId="40" xfId="0" applyFont="1" applyFill="1" applyBorder="1" applyAlignment="1">
      <alignment horizontal="center" vertical="center" wrapText="1"/>
    </xf>
    <xf numFmtId="3" fontId="105" fillId="3" borderId="0" xfId="0" applyNumberFormat="1" applyFont="1" applyFill="1"/>
    <xf numFmtId="3" fontId="100" fillId="3" borderId="0" xfId="0" applyNumberFormat="1" applyFont="1" applyFill="1"/>
    <xf numFmtId="3" fontId="107" fillId="3" borderId="0" xfId="0" applyNumberFormat="1" applyFont="1" applyFill="1"/>
    <xf numFmtId="4" fontId="0" fillId="0" borderId="1" xfId="0" applyNumberFormat="1" applyBorder="1" applyAlignment="1">
      <alignment horizontal="center" vertical="center"/>
    </xf>
    <xf numFmtId="4" fontId="0" fillId="3" borderId="0" xfId="0" applyNumberFormat="1" applyFill="1" applyAlignment="1">
      <alignment vertical="center"/>
    </xf>
    <xf numFmtId="4" fontId="0" fillId="4" borderId="1" xfId="0" applyNumberFormat="1" applyFill="1" applyBorder="1" applyAlignment="1">
      <alignment horizontal="center" vertical="center"/>
    </xf>
    <xf numFmtId="3" fontId="54" fillId="0" borderId="1" xfId="0" quotePrefix="1" applyNumberFormat="1" applyFont="1" applyBorder="1" applyAlignment="1">
      <alignment horizontal="center" vertical="center"/>
    </xf>
    <xf numFmtId="176" fontId="88" fillId="23" borderId="34" xfId="35" applyNumberFormat="1" applyFont="1" applyFill="1" applyBorder="1" applyAlignment="1">
      <alignment horizontal="center" vertical="center"/>
    </xf>
    <xf numFmtId="3" fontId="22" fillId="0" borderId="50" xfId="0" applyNumberFormat="1" applyFont="1" applyBorder="1" applyAlignment="1">
      <alignment horizontal="center" vertical="center"/>
    </xf>
    <xf numFmtId="3" fontId="81" fillId="3" borderId="0" xfId="0" applyNumberFormat="1" applyFont="1" applyFill="1" applyAlignment="1">
      <alignment horizontal="right" vertical="center"/>
    </xf>
    <xf numFmtId="14" fontId="4" fillId="0" borderId="0" xfId="0" applyNumberFormat="1" applyFont="1"/>
    <xf numFmtId="173" fontId="0" fillId="4" borderId="1" xfId="0" applyNumberFormat="1" applyFill="1" applyBorder="1" applyAlignment="1">
      <alignment horizontal="center" vertical="center"/>
    </xf>
    <xf numFmtId="3" fontId="15" fillId="4" borderId="0" xfId="0" applyNumberFormat="1" applyFont="1" applyFill="1" applyAlignment="1">
      <alignment vertical="center"/>
    </xf>
    <xf numFmtId="0" fontId="9" fillId="6" borderId="41" xfId="0" applyFont="1" applyFill="1" applyBorder="1" applyAlignment="1">
      <alignment horizontal="center" vertical="center" wrapText="1"/>
    </xf>
    <xf numFmtId="4" fontId="22" fillId="0" borderId="38" xfId="0" applyNumberFormat="1" applyFont="1" applyBorder="1" applyAlignment="1">
      <alignment horizontal="center" vertical="center"/>
    </xf>
    <xf numFmtId="0" fontId="22" fillId="3" borderId="0" xfId="0" applyFont="1" applyFill="1" applyAlignment="1">
      <alignment horizontal="center"/>
    </xf>
    <xf numFmtId="0" fontId="22" fillId="0" borderId="0" xfId="0" applyFont="1" applyAlignment="1">
      <alignment horizontal="center" vertical="center"/>
    </xf>
    <xf numFmtId="3" fontId="22" fillId="0" borderId="32" xfId="0" applyNumberFormat="1" applyFont="1" applyBorder="1" applyAlignment="1">
      <alignment horizontal="center" vertical="center"/>
    </xf>
    <xf numFmtId="0" fontId="6" fillId="3" borderId="0" xfId="0" applyFont="1" applyFill="1" applyAlignment="1">
      <alignment horizontal="center"/>
    </xf>
    <xf numFmtId="0" fontId="9" fillId="27" borderId="32" xfId="0" applyFont="1" applyFill="1" applyBorder="1" applyAlignment="1">
      <alignment horizontal="center" vertical="center" wrapText="1"/>
    </xf>
    <xf numFmtId="0" fontId="34" fillId="27" borderId="32" xfId="0" applyFont="1" applyFill="1" applyBorder="1" applyAlignment="1">
      <alignment horizontal="center" vertical="center" wrapText="1"/>
    </xf>
    <xf numFmtId="0" fontId="9" fillId="28" borderId="50" xfId="0" applyFont="1" applyFill="1" applyBorder="1" applyAlignment="1">
      <alignment horizontal="center" vertical="center" wrapText="1"/>
    </xf>
    <xf numFmtId="0" fontId="0" fillId="0" borderId="54" xfId="0" applyBorder="1" applyAlignment="1">
      <alignment horizontal="center"/>
    </xf>
    <xf numFmtId="0" fontId="33" fillId="6" borderId="50" xfId="0" applyFont="1" applyFill="1" applyBorder="1" applyAlignment="1">
      <alignment horizontal="center" vertical="center" wrapText="1"/>
    </xf>
    <xf numFmtId="3" fontId="0" fillId="0" borderId="32" xfId="0" applyNumberFormat="1" applyBorder="1" applyAlignment="1">
      <alignment horizontal="center" vertical="center"/>
    </xf>
    <xf numFmtId="0" fontId="65" fillId="22" borderId="20" xfId="0" applyFont="1" applyFill="1" applyBorder="1" applyAlignment="1">
      <alignment horizontal="center" vertical="center"/>
    </xf>
    <xf numFmtId="0" fontId="0" fillId="22" borderId="0" xfId="0" applyFill="1"/>
    <xf numFmtId="0" fontId="9" fillId="5" borderId="0" xfId="0" applyFont="1" applyFill="1" applyAlignment="1">
      <alignment horizontal="center" vertical="center" wrapText="1"/>
    </xf>
    <xf numFmtId="0" fontId="43" fillId="4" borderId="0" xfId="0" applyFont="1" applyFill="1" applyAlignment="1">
      <alignment horizontal="center" vertical="center"/>
    </xf>
    <xf numFmtId="0" fontId="43" fillId="2" borderId="0" xfId="0" applyFont="1" applyFill="1" applyAlignment="1">
      <alignment horizontal="center" vertical="center"/>
    </xf>
    <xf numFmtId="0" fontId="14" fillId="4" borderId="0" xfId="0" applyFont="1" applyFill="1" applyAlignment="1">
      <alignment horizontal="center" vertical="center"/>
    </xf>
    <xf numFmtId="0" fontId="14" fillId="0" borderId="0" xfId="0" applyFont="1" applyAlignment="1">
      <alignment horizontal="center" vertical="center"/>
    </xf>
    <xf numFmtId="0" fontId="3" fillId="4" borderId="0" xfId="0" applyFont="1" applyFill="1" applyAlignment="1">
      <alignment horizontal="center" vertical="center"/>
    </xf>
    <xf numFmtId="0" fontId="3" fillId="2" borderId="0" xfId="0" applyFont="1" applyFill="1" applyAlignment="1">
      <alignment horizontal="center" vertical="center"/>
    </xf>
    <xf numFmtId="9" fontId="3" fillId="0" borderId="32" xfId="0" applyNumberFormat="1" applyFont="1" applyBorder="1" applyAlignment="1">
      <alignment horizontal="center" vertical="center"/>
    </xf>
    <xf numFmtId="0" fontId="3" fillId="0" borderId="0" xfId="0" applyFont="1" applyAlignment="1">
      <alignment horizontal="center" vertical="center"/>
    </xf>
    <xf numFmtId="9" fontId="19" fillId="0" borderId="32" xfId="0" applyNumberFormat="1" applyFont="1" applyBorder="1" applyAlignment="1">
      <alignment horizontal="center" vertical="center"/>
    </xf>
    <xf numFmtId="0" fontId="45" fillId="8" borderId="0" xfId="0" applyFont="1" applyFill="1" applyAlignment="1">
      <alignment horizontal="center" vertical="center"/>
    </xf>
    <xf numFmtId="0" fontId="45" fillId="27" borderId="32" xfId="0" applyFont="1" applyFill="1" applyBorder="1" applyAlignment="1">
      <alignment horizontal="center" vertical="center" wrapText="1"/>
    </xf>
    <xf numFmtId="0" fontId="45" fillId="6" borderId="32" xfId="0" applyFont="1" applyFill="1" applyBorder="1" applyAlignment="1">
      <alignment horizontal="center" vertical="center" wrapText="1"/>
    </xf>
    <xf numFmtId="10" fontId="0" fillId="0" borderId="0" xfId="0" applyNumberFormat="1" applyAlignment="1">
      <alignment horizontal="center"/>
    </xf>
    <xf numFmtId="175" fontId="0" fillId="0" borderId="0" xfId="0" applyNumberFormat="1" applyAlignment="1">
      <alignment horizontal="center" vertical="center"/>
    </xf>
    <xf numFmtId="0" fontId="36" fillId="5" borderId="0" xfId="0" applyFont="1" applyFill="1" applyAlignment="1">
      <alignment vertical="center"/>
    </xf>
    <xf numFmtId="0" fontId="5" fillId="5" borderId="0" xfId="0" applyFont="1" applyFill="1" applyAlignment="1">
      <alignment horizontal="center" vertical="center"/>
    </xf>
    <xf numFmtId="16" fontId="6" fillId="2" borderId="0" xfId="0" applyNumberFormat="1" applyFont="1" applyFill="1"/>
    <xf numFmtId="0" fontId="11" fillId="15" borderId="1" xfId="0" applyFont="1" applyFill="1" applyBorder="1" applyAlignment="1">
      <alignment horizontal="center" vertical="center" wrapText="1"/>
    </xf>
    <xf numFmtId="0" fontId="9" fillId="19" borderId="4" xfId="0" applyFont="1" applyFill="1" applyBorder="1" applyAlignment="1">
      <alignment horizontal="center" vertical="center" wrapText="1"/>
    </xf>
    <xf numFmtId="166" fontId="10" fillId="5" borderId="3" xfId="0" applyNumberFormat="1" applyFont="1" applyFill="1" applyBorder="1" applyAlignment="1">
      <alignment horizontal="center" vertical="center" wrapText="1"/>
    </xf>
    <xf numFmtId="166" fontId="11" fillId="18" borderId="1" xfId="0" applyNumberFormat="1" applyFont="1" applyFill="1" applyBorder="1" applyAlignment="1">
      <alignment horizontal="center" vertical="center" wrapText="1"/>
    </xf>
    <xf numFmtId="0" fontId="57" fillId="2" borderId="0" xfId="0" applyFont="1" applyFill="1" applyAlignment="1">
      <alignment vertical="center"/>
    </xf>
    <xf numFmtId="0" fontId="60" fillId="2" borderId="1" xfId="0" applyFont="1" applyFill="1" applyBorder="1" applyAlignment="1">
      <alignment horizontal="center" vertical="center" wrapText="1"/>
    </xf>
    <xf numFmtId="0" fontId="61" fillId="3" borderId="0" xfId="0" applyFont="1" applyFill="1" applyAlignment="1">
      <alignment vertical="center"/>
    </xf>
    <xf numFmtId="1" fontId="63" fillId="3" borderId="21" xfId="0" applyNumberFormat="1" applyFont="1" applyFill="1" applyBorder="1" applyAlignment="1">
      <alignment horizontal="center" vertical="center"/>
    </xf>
    <xf numFmtId="1" fontId="63" fillId="3" borderId="1" xfId="0" applyNumberFormat="1" applyFont="1" applyFill="1" applyBorder="1" applyAlignment="1">
      <alignment horizontal="center" vertical="center"/>
    </xf>
    <xf numFmtId="0" fontId="60" fillId="4" borderId="1" xfId="0" applyFont="1" applyFill="1" applyBorder="1" applyAlignment="1">
      <alignment horizontal="center" vertical="center" wrapText="1"/>
    </xf>
    <xf numFmtId="1" fontId="64" fillId="0" borderId="22" xfId="0" applyNumberFormat="1" applyFont="1" applyBorder="1" applyAlignment="1">
      <alignment horizontal="center" vertical="center"/>
    </xf>
    <xf numFmtId="1" fontId="61" fillId="4" borderId="1" xfId="0" applyNumberFormat="1" applyFont="1" applyFill="1" applyBorder="1" applyAlignment="1">
      <alignment horizontal="center" vertical="center"/>
    </xf>
    <xf numFmtId="1" fontId="55" fillId="3" borderId="21" xfId="0" applyNumberFormat="1" applyFont="1" applyFill="1" applyBorder="1" applyAlignment="1">
      <alignment horizontal="center" vertical="center"/>
    </xf>
    <xf numFmtId="1" fontId="3" fillId="3" borderId="1" xfId="0" applyNumberFormat="1" applyFont="1" applyFill="1" applyBorder="1" applyAlignment="1">
      <alignment horizontal="center" vertical="center"/>
    </xf>
    <xf numFmtId="1" fontId="43" fillId="3" borderId="1" xfId="0" applyNumberFormat="1" applyFont="1" applyFill="1" applyBorder="1" applyAlignment="1">
      <alignment horizontal="center" vertical="center"/>
    </xf>
    <xf numFmtId="1" fontId="59" fillId="0" borderId="22" xfId="0" applyNumberFormat="1" applyFont="1" applyBorder="1" applyAlignment="1">
      <alignment horizontal="center" vertical="center"/>
    </xf>
    <xf numFmtId="175" fontId="63" fillId="3" borderId="21" xfId="0" applyNumberFormat="1" applyFont="1" applyFill="1" applyBorder="1" applyAlignment="1">
      <alignment horizontal="center" vertical="center"/>
    </xf>
    <xf numFmtId="2" fontId="63" fillId="3" borderId="21" xfId="0" applyNumberFormat="1" applyFont="1" applyFill="1" applyBorder="1" applyAlignment="1">
      <alignment horizontal="center" vertical="center"/>
    </xf>
    <xf numFmtId="2" fontId="59" fillId="0" borderId="22" xfId="0" applyNumberFormat="1" applyFont="1" applyBorder="1" applyAlignment="1">
      <alignment horizontal="center" vertical="center"/>
    </xf>
    <xf numFmtId="2" fontId="3" fillId="3" borderId="1" xfId="0" applyNumberFormat="1" applyFont="1" applyFill="1" applyBorder="1" applyAlignment="1">
      <alignment horizontal="center" vertical="center"/>
    </xf>
    <xf numFmtId="2" fontId="59" fillId="4" borderId="1" xfId="0" applyNumberFormat="1" applyFont="1" applyFill="1" applyBorder="1" applyAlignment="1">
      <alignment horizontal="center" vertical="center"/>
    </xf>
    <xf numFmtId="175" fontId="43" fillId="2" borderId="1" xfId="0" applyNumberFormat="1" applyFont="1" applyFill="1" applyBorder="1" applyAlignment="1">
      <alignment horizontal="center" vertical="center"/>
    </xf>
    <xf numFmtId="175" fontId="59" fillId="2" borderId="1" xfId="0" applyNumberFormat="1" applyFont="1" applyFill="1" applyBorder="1" applyAlignment="1">
      <alignment horizontal="center" vertical="center"/>
    </xf>
    <xf numFmtId="2" fontId="43" fillId="2" borderId="1" xfId="0" applyNumberFormat="1" applyFont="1" applyFill="1" applyBorder="1" applyAlignment="1">
      <alignment horizontal="center" vertical="center"/>
    </xf>
    <xf numFmtId="2" fontId="59" fillId="2" borderId="1" xfId="0" applyNumberFormat="1" applyFont="1" applyFill="1" applyBorder="1" applyAlignment="1">
      <alignment horizontal="center" vertical="center"/>
    </xf>
    <xf numFmtId="2" fontId="64" fillId="0" borderId="22" xfId="0" applyNumberFormat="1" applyFont="1" applyBorder="1" applyAlignment="1">
      <alignment horizontal="center" vertical="center"/>
    </xf>
    <xf numFmtId="2" fontId="3" fillId="2" borderId="1" xfId="0" applyNumberFormat="1" applyFont="1" applyFill="1" applyBorder="1" applyAlignment="1">
      <alignment horizontal="center" vertical="center"/>
    </xf>
    <xf numFmtId="2" fontId="43" fillId="3" borderId="1" xfId="0" applyNumberFormat="1" applyFont="1" applyFill="1" applyBorder="1" applyAlignment="1">
      <alignment horizontal="center" vertical="center"/>
    </xf>
    <xf numFmtId="175" fontId="64" fillId="0" borderId="22" xfId="0" applyNumberFormat="1" applyFont="1" applyBorder="1" applyAlignment="1">
      <alignment horizontal="center" vertical="center"/>
    </xf>
    <xf numFmtId="0" fontId="3" fillId="2" borderId="0" xfId="0" applyFont="1" applyFill="1"/>
    <xf numFmtId="0" fontId="36" fillId="5" borderId="0" xfId="0" applyFont="1" applyFill="1" applyAlignment="1">
      <alignment horizontal="center" vertical="center"/>
    </xf>
    <xf numFmtId="2" fontId="0" fillId="4" borderId="1" xfId="0" applyNumberFormat="1" applyFill="1" applyBorder="1" applyAlignment="1">
      <alignment horizontal="center" vertical="center"/>
    </xf>
    <xf numFmtId="3" fontId="22" fillId="29" borderId="32" xfId="0" applyNumberFormat="1" applyFont="1" applyFill="1" applyBorder="1" applyAlignment="1">
      <alignment horizontal="center" vertical="center"/>
    </xf>
    <xf numFmtId="174" fontId="22" fillId="29" borderId="32" xfId="35" applyNumberFormat="1" applyFont="1" applyFill="1" applyBorder="1" applyAlignment="1">
      <alignment horizontal="center" vertical="center"/>
    </xf>
    <xf numFmtId="3" fontId="22" fillId="30" borderId="32" xfId="0" applyNumberFormat="1" applyFont="1" applyFill="1" applyBorder="1" applyAlignment="1">
      <alignment horizontal="center" vertical="center"/>
    </xf>
    <xf numFmtId="174" fontId="22" fillId="30" borderId="32" xfId="35" applyNumberFormat="1" applyFont="1" applyFill="1" applyBorder="1" applyAlignment="1">
      <alignment horizontal="center" vertical="center"/>
    </xf>
    <xf numFmtId="3" fontId="22" fillId="31" borderId="32" xfId="0" applyNumberFormat="1" applyFont="1" applyFill="1" applyBorder="1" applyAlignment="1">
      <alignment horizontal="center" vertical="center"/>
    </xf>
    <xf numFmtId="174" fontId="22" fillId="31" borderId="32" xfId="35" applyNumberFormat="1" applyFont="1" applyFill="1" applyBorder="1" applyAlignment="1">
      <alignment horizontal="center" vertical="center"/>
    </xf>
    <xf numFmtId="176" fontId="22" fillId="29" borderId="32" xfId="35" applyNumberFormat="1" applyFont="1" applyFill="1" applyBorder="1" applyAlignment="1">
      <alignment horizontal="center" vertical="center"/>
    </xf>
    <xf numFmtId="176" fontId="0" fillId="0" borderId="0" xfId="0" applyNumberFormat="1" applyAlignment="1">
      <alignment horizontal="center" vertical="center"/>
    </xf>
    <xf numFmtId="176" fontId="0" fillId="0" borderId="0" xfId="0" applyNumberFormat="1" applyAlignment="1">
      <alignment horizontal="center"/>
    </xf>
    <xf numFmtId="176" fontId="0" fillId="3" borderId="0" xfId="0" applyNumberFormat="1" applyFill="1" applyAlignment="1">
      <alignment horizontal="center"/>
    </xf>
    <xf numFmtId="176" fontId="22" fillId="30" borderId="32" xfId="35" applyNumberFormat="1" applyFont="1" applyFill="1" applyBorder="1" applyAlignment="1">
      <alignment horizontal="center" vertical="center"/>
    </xf>
    <xf numFmtId="176" fontId="6" fillId="0" borderId="0" xfId="0" applyNumberFormat="1" applyFont="1" applyAlignment="1">
      <alignment horizontal="center" vertical="center"/>
    </xf>
    <xf numFmtId="176" fontId="22" fillId="31" borderId="32" xfId="35" applyNumberFormat="1" applyFont="1" applyFill="1" applyBorder="1" applyAlignment="1">
      <alignment horizontal="center" vertical="center"/>
    </xf>
    <xf numFmtId="174" fontId="0" fillId="0" borderId="0" xfId="35" applyNumberFormat="1" applyFont="1" applyAlignment="1">
      <alignment horizontal="center" vertical="center"/>
    </xf>
    <xf numFmtId="174" fontId="0" fillId="0" borderId="0" xfId="35" applyNumberFormat="1" applyFont="1" applyAlignment="1">
      <alignment horizontal="center"/>
    </xf>
    <xf numFmtId="174" fontId="0" fillId="3" borderId="0" xfId="35" applyNumberFormat="1" applyFont="1" applyFill="1" applyAlignment="1">
      <alignment horizontal="center"/>
    </xf>
    <xf numFmtId="174" fontId="6" fillId="0" borderId="0" xfId="35" applyNumberFormat="1" applyFont="1" applyAlignment="1">
      <alignment horizontal="center" vertical="center"/>
    </xf>
    <xf numFmtId="0" fontId="0" fillId="0" borderId="58" xfId="0" applyBorder="1" applyAlignment="1">
      <alignment horizontal="centerContinuous" vertical="center"/>
    </xf>
    <xf numFmtId="0" fontId="108" fillId="0" borderId="58" xfId="0" applyFont="1" applyBorder="1" applyAlignment="1">
      <alignment horizontal="centerContinuous" vertical="center"/>
    </xf>
    <xf numFmtId="177" fontId="111" fillId="0" borderId="58" xfId="0" applyNumberFormat="1" applyFont="1" applyBorder="1" applyAlignment="1">
      <alignment horizontal="centerContinuous" vertical="center"/>
    </xf>
    <xf numFmtId="0" fontId="33" fillId="3" borderId="0" xfId="0" applyFont="1" applyFill="1"/>
    <xf numFmtId="0" fontId="65" fillId="32" borderId="20" xfId="0" applyFont="1" applyFill="1" applyBorder="1" applyAlignment="1">
      <alignment horizontal="center" vertical="center"/>
    </xf>
    <xf numFmtId="0" fontId="3" fillId="3" borderId="0" xfId="0" applyFont="1" applyFill="1" applyAlignment="1">
      <alignment horizontal="center"/>
    </xf>
    <xf numFmtId="0" fontId="36" fillId="0" borderId="0" xfId="0" applyFont="1" applyAlignment="1">
      <alignment horizontal="centerContinuous" vertical="center"/>
    </xf>
    <xf numFmtId="0" fontId="56" fillId="5" borderId="0" xfId="0" applyFont="1" applyFill="1" applyAlignment="1">
      <alignment horizontal="centerContinuous" vertical="center"/>
    </xf>
    <xf numFmtId="2" fontId="36" fillId="5" borderId="0" xfId="0" applyNumberFormat="1" applyFont="1" applyFill="1" applyAlignment="1">
      <alignment horizontal="centerContinuous" vertical="center"/>
    </xf>
    <xf numFmtId="0" fontId="5" fillId="15" borderId="0" xfId="0" applyFont="1" applyFill="1" applyAlignment="1">
      <alignment horizontal="centerContinuous" vertical="center" wrapText="1"/>
    </xf>
    <xf numFmtId="0" fontId="5" fillId="16" borderId="0" xfId="0" applyFont="1" applyFill="1" applyAlignment="1">
      <alignment horizontal="centerContinuous" vertical="center" wrapText="1"/>
    </xf>
    <xf numFmtId="0" fontId="0" fillId="16" borderId="0" xfId="0" applyFill="1" applyAlignment="1">
      <alignment horizontal="centerContinuous"/>
    </xf>
    <xf numFmtId="16" fontId="4" fillId="16" borderId="0" xfId="0" applyNumberFormat="1" applyFont="1" applyFill="1" applyAlignment="1">
      <alignment horizontal="centerContinuous" vertical="center"/>
    </xf>
    <xf numFmtId="0" fontId="5" fillId="17" borderId="0" xfId="0" applyFont="1" applyFill="1" applyAlignment="1">
      <alignment horizontal="centerContinuous" vertical="center"/>
    </xf>
    <xf numFmtId="0" fontId="7" fillId="17" borderId="0" xfId="0" applyFont="1" applyFill="1" applyAlignment="1">
      <alignment horizontal="centerContinuous" vertical="center"/>
    </xf>
    <xf numFmtId="1" fontId="5" fillId="18" borderId="0" xfId="0" applyNumberFormat="1" applyFont="1" applyFill="1" applyAlignment="1">
      <alignment horizontal="centerContinuous" vertical="center"/>
    </xf>
    <xf numFmtId="0" fontId="5" fillId="18" borderId="0" xfId="0" applyFont="1" applyFill="1" applyAlignment="1">
      <alignment horizontal="centerContinuous" vertical="center"/>
    </xf>
    <xf numFmtId="175" fontId="0" fillId="4" borderId="1" xfId="0" applyNumberFormat="1" applyFill="1" applyBorder="1" applyAlignment="1">
      <alignment horizontal="center" vertical="center"/>
    </xf>
    <xf numFmtId="175" fontId="61" fillId="4" borderId="1" xfId="0" applyNumberFormat="1" applyFont="1" applyFill="1" applyBorder="1" applyAlignment="1">
      <alignment horizontal="center" vertical="center"/>
    </xf>
    <xf numFmtId="175" fontId="3" fillId="3" borderId="1" xfId="0" applyNumberFormat="1" applyFont="1" applyFill="1" applyBorder="1" applyAlignment="1">
      <alignment horizontal="center" vertical="center"/>
    </xf>
    <xf numFmtId="175" fontId="59" fillId="4" borderId="1" xfId="0" applyNumberFormat="1" applyFont="1" applyFill="1" applyBorder="1" applyAlignment="1">
      <alignment horizontal="center" vertical="center"/>
    </xf>
    <xf numFmtId="175" fontId="3" fillId="4" borderId="1" xfId="0" applyNumberFormat="1" applyFont="1" applyFill="1" applyBorder="1" applyAlignment="1">
      <alignment horizontal="center" vertical="center"/>
    </xf>
    <xf numFmtId="175" fontId="3" fillId="2" borderId="1" xfId="0" applyNumberFormat="1" applyFont="1" applyFill="1" applyBorder="1" applyAlignment="1">
      <alignment horizontal="center" vertical="center"/>
    </xf>
    <xf numFmtId="174" fontId="12" fillId="0" borderId="32" xfId="35" applyNumberFormat="1" applyFont="1" applyFill="1" applyBorder="1" applyAlignment="1">
      <alignment horizontal="center" vertical="center"/>
    </xf>
    <xf numFmtId="174" fontId="21" fillId="0" borderId="32" xfId="35" applyNumberFormat="1" applyFont="1" applyFill="1" applyBorder="1" applyAlignment="1">
      <alignment horizontal="center" vertical="center"/>
    </xf>
    <xf numFmtId="0" fontId="21" fillId="0" borderId="0" xfId="0" applyFont="1" applyAlignment="1">
      <alignment horizontal="center"/>
    </xf>
    <xf numFmtId="0" fontId="6" fillId="3" borderId="0" xfId="0" applyFont="1" applyFill="1" applyAlignment="1">
      <alignment horizontal="center" vertical="center"/>
    </xf>
    <xf numFmtId="0" fontId="22" fillId="3" borderId="0" xfId="0" applyFont="1" applyFill="1" applyAlignment="1">
      <alignment horizontal="center" vertical="center"/>
    </xf>
    <xf numFmtId="0" fontId="3" fillId="3" borderId="0" xfId="0" applyFont="1" applyFill="1" applyAlignment="1">
      <alignment horizontal="left"/>
    </xf>
    <xf numFmtId="174" fontId="21" fillId="4" borderId="0" xfId="35" applyNumberFormat="1" applyFont="1" applyFill="1" applyBorder="1" applyAlignment="1">
      <alignment horizontal="center" vertical="center"/>
    </xf>
    <xf numFmtId="174" fontId="21" fillId="0" borderId="55" xfId="35" applyNumberFormat="1" applyFont="1" applyFill="1" applyBorder="1" applyAlignment="1">
      <alignment horizontal="center" vertical="center"/>
    </xf>
    <xf numFmtId="174" fontId="21" fillId="0" borderId="0" xfId="35" applyNumberFormat="1" applyFont="1" applyBorder="1" applyAlignment="1">
      <alignment horizontal="center" vertical="center"/>
    </xf>
    <xf numFmtId="174" fontId="21" fillId="0" borderId="0" xfId="35" applyNumberFormat="1" applyFont="1" applyFill="1" applyBorder="1" applyAlignment="1">
      <alignment horizontal="center" vertical="center"/>
    </xf>
    <xf numFmtId="9" fontId="21" fillId="0" borderId="32" xfId="1" applyFont="1" applyFill="1" applyBorder="1" applyAlignment="1">
      <alignment horizontal="center" vertical="center"/>
    </xf>
    <xf numFmtId="3" fontId="15" fillId="4" borderId="0" xfId="0" applyNumberFormat="1" applyFont="1" applyFill="1" applyAlignment="1">
      <alignment horizontal="left" vertical="center"/>
    </xf>
    <xf numFmtId="3" fontId="15" fillId="4" borderId="0" xfId="0" applyNumberFormat="1" applyFont="1" applyFill="1" applyAlignment="1">
      <alignment horizontal="center" vertical="center"/>
    </xf>
    <xf numFmtId="0" fontId="94" fillId="10" borderId="13" xfId="0" applyFont="1" applyFill="1" applyBorder="1" applyAlignment="1">
      <alignment horizontal="center" vertical="center"/>
    </xf>
    <xf numFmtId="3" fontId="66" fillId="0" borderId="0" xfId="0" applyNumberFormat="1" applyFont="1"/>
    <xf numFmtId="3" fontId="53" fillId="4" borderId="59" xfId="2" applyNumberFormat="1" applyFont="1" applyFill="1" applyBorder="1" applyAlignment="1">
      <alignment horizontal="center" vertical="center" wrapText="1"/>
    </xf>
    <xf numFmtId="3" fontId="53" fillId="4" borderId="60" xfId="2" applyNumberFormat="1" applyFont="1" applyFill="1" applyBorder="1" applyAlignment="1">
      <alignment horizontal="center" vertical="center" wrapText="1"/>
    </xf>
    <xf numFmtId="0" fontId="22" fillId="3" borderId="0" xfId="0" quotePrefix="1" applyFont="1" applyFill="1" applyAlignment="1">
      <alignment vertical="center"/>
    </xf>
    <xf numFmtId="3" fontId="12" fillId="0" borderId="32" xfId="0" applyNumberFormat="1" applyFont="1" applyBorder="1" applyAlignment="1">
      <alignment horizontal="center" vertical="center"/>
    </xf>
    <xf numFmtId="9" fontId="12" fillId="0" borderId="0" xfId="1" applyFont="1" applyAlignment="1">
      <alignment horizontal="center"/>
    </xf>
    <xf numFmtId="0" fontId="9" fillId="6" borderId="0" xfId="0" applyFont="1" applyFill="1"/>
    <xf numFmtId="0" fontId="4" fillId="0" borderId="0" xfId="0" applyFont="1" applyAlignment="1">
      <alignment horizontal="center"/>
    </xf>
    <xf numFmtId="14" fontId="0" fillId="3" borderId="0" xfId="0" applyNumberFormat="1" applyFill="1" applyAlignment="1">
      <alignment horizontal="center"/>
    </xf>
    <xf numFmtId="14" fontId="0" fillId="0" borderId="0" xfId="0" applyNumberFormat="1" applyAlignment="1">
      <alignment horizontal="center"/>
    </xf>
    <xf numFmtId="3" fontId="47" fillId="4" borderId="0" xfId="0" applyNumberFormat="1" applyFont="1" applyFill="1" applyAlignment="1">
      <alignment horizontal="center" vertical="center"/>
    </xf>
    <xf numFmtId="0" fontId="47" fillId="0" borderId="0" xfId="0" applyFont="1" applyAlignment="1">
      <alignment vertical="center"/>
    </xf>
    <xf numFmtId="0" fontId="4" fillId="0" borderId="0" xfId="0" applyFont="1" applyAlignment="1">
      <alignment horizontal="center" vertical="center"/>
    </xf>
    <xf numFmtId="0" fontId="4" fillId="3" borderId="0" xfId="0" applyFont="1" applyFill="1" applyAlignment="1">
      <alignment horizontal="center" vertical="center"/>
    </xf>
    <xf numFmtId="9" fontId="12" fillId="0" borderId="32" xfId="1" applyFont="1" applyBorder="1" applyAlignment="1">
      <alignment horizontal="center" vertical="center"/>
    </xf>
    <xf numFmtId="14" fontId="9" fillId="6" borderId="15" xfId="0" applyNumberFormat="1" applyFont="1" applyFill="1" applyBorder="1" applyAlignment="1">
      <alignment horizontal="center" wrapText="1"/>
    </xf>
    <xf numFmtId="0" fontId="9" fillId="6" borderId="20" xfId="0" applyFont="1" applyFill="1" applyBorder="1" applyAlignment="1">
      <alignment horizontal="center" vertical="top" wrapText="1"/>
    </xf>
    <xf numFmtId="14" fontId="9" fillId="6" borderId="20" xfId="0" applyNumberFormat="1" applyFont="1" applyFill="1" applyBorder="1" applyAlignment="1">
      <alignment horizontal="center" wrapText="1"/>
    </xf>
    <xf numFmtId="0" fontId="33" fillId="6" borderId="0" xfId="0" applyFont="1" applyFill="1" applyAlignment="1">
      <alignment vertical="center"/>
    </xf>
    <xf numFmtId="3" fontId="19" fillId="4" borderId="5" xfId="0" applyNumberFormat="1" applyFont="1" applyFill="1" applyBorder="1" applyAlignment="1">
      <alignment horizontal="center" vertical="center"/>
    </xf>
    <xf numFmtId="3" fontId="19" fillId="4" borderId="47" xfId="0" applyNumberFormat="1" applyFont="1" applyFill="1" applyBorder="1" applyAlignment="1">
      <alignment horizontal="center" vertical="center"/>
    </xf>
    <xf numFmtId="175" fontId="63" fillId="4" borderId="1" xfId="0" applyNumberFormat="1" applyFont="1" applyFill="1" applyBorder="1" applyAlignment="1">
      <alignment horizontal="center" vertical="center"/>
    </xf>
    <xf numFmtId="175" fontId="64" fillId="4" borderId="1" xfId="0" applyNumberFormat="1" applyFont="1" applyFill="1" applyBorder="1" applyAlignment="1">
      <alignment horizontal="center" vertical="center"/>
    </xf>
    <xf numFmtId="175" fontId="43" fillId="4" borderId="1" xfId="0" applyNumberFormat="1" applyFont="1" applyFill="1" applyBorder="1" applyAlignment="1">
      <alignment horizontal="center" vertical="center"/>
    </xf>
    <xf numFmtId="175" fontId="3" fillId="0" borderId="0" xfId="0" applyNumberFormat="1" applyFont="1"/>
    <xf numFmtId="2" fontId="3" fillId="4" borderId="1" xfId="0" applyNumberFormat="1" applyFont="1" applyFill="1" applyBorder="1" applyAlignment="1">
      <alignment horizontal="center" vertical="center"/>
    </xf>
    <xf numFmtId="2" fontId="64" fillId="4" borderId="1" xfId="0" applyNumberFormat="1" applyFont="1" applyFill="1" applyBorder="1" applyAlignment="1">
      <alignment horizontal="center" vertical="center"/>
    </xf>
    <xf numFmtId="0" fontId="113" fillId="0" borderId="0" xfId="0" applyFont="1"/>
    <xf numFmtId="3" fontId="57" fillId="4" borderId="20" xfId="2" applyNumberFormat="1" applyFont="1" applyFill="1" applyBorder="1" applyAlignment="1">
      <alignment horizontal="center" vertical="center" wrapText="1"/>
    </xf>
    <xf numFmtId="3" fontId="53" fillId="4" borderId="20" xfId="2" applyNumberFormat="1" applyFont="1" applyFill="1" applyBorder="1" applyAlignment="1">
      <alignment horizontal="center" vertical="center" wrapText="1"/>
    </xf>
    <xf numFmtId="1" fontId="53" fillId="4" borderId="20" xfId="2" applyNumberFormat="1" applyFont="1" applyFill="1" applyBorder="1" applyAlignment="1">
      <alignment horizontal="center" vertical="center" wrapText="1"/>
    </xf>
    <xf numFmtId="1" fontId="53" fillId="4" borderId="6" xfId="2" applyNumberFormat="1" applyFont="1" applyFill="1" applyBorder="1" applyAlignment="1">
      <alignment horizontal="center" vertical="center" wrapText="1"/>
    </xf>
    <xf numFmtId="0" fontId="0" fillId="0" borderId="1" xfId="0" applyBorder="1" applyAlignment="1">
      <alignment vertical="center"/>
    </xf>
    <xf numFmtId="0" fontId="69" fillId="3" borderId="67" xfId="0" applyFont="1" applyFill="1" applyBorder="1"/>
    <xf numFmtId="0" fontId="114" fillId="3" borderId="68" xfId="0" applyFont="1" applyFill="1" applyBorder="1" applyAlignment="1">
      <alignment vertical="center"/>
    </xf>
    <xf numFmtId="3" fontId="69" fillId="3" borderId="67" xfId="0" applyNumberFormat="1" applyFont="1" applyFill="1" applyBorder="1"/>
    <xf numFmtId="3" fontId="69" fillId="4" borderId="67" xfId="0" applyNumberFormat="1" applyFont="1" applyFill="1" applyBorder="1"/>
    <xf numFmtId="0" fontId="69" fillId="4" borderId="67" xfId="0" applyFont="1" applyFill="1" applyBorder="1"/>
    <xf numFmtId="0" fontId="69" fillId="3" borderId="67" xfId="0" applyFont="1" applyFill="1" applyBorder="1" applyAlignment="1">
      <alignment horizontal="center" vertical="center"/>
    </xf>
    <xf numFmtId="0" fontId="69" fillId="4" borderId="67" xfId="0" applyFont="1" applyFill="1" applyBorder="1" applyAlignment="1">
      <alignment horizontal="center" vertical="center"/>
    </xf>
    <xf numFmtId="3" fontId="69" fillId="3" borderId="67" xfId="0" applyNumberFormat="1" applyFont="1" applyFill="1" applyBorder="1" applyAlignment="1">
      <alignment horizontal="center" vertical="center"/>
    </xf>
    <xf numFmtId="0" fontId="69" fillId="3" borderId="0" xfId="0" applyFont="1" applyFill="1"/>
    <xf numFmtId="0" fontId="115" fillId="4" borderId="68" xfId="0" applyFont="1" applyFill="1" applyBorder="1" applyAlignment="1">
      <alignment horizontal="center" vertical="center"/>
    </xf>
    <xf numFmtId="0" fontId="44" fillId="15" borderId="72" xfId="0" applyFont="1" applyFill="1" applyBorder="1" applyAlignment="1">
      <alignment horizontal="centerContinuous"/>
    </xf>
    <xf numFmtId="3" fontId="40" fillId="3" borderId="72" xfId="0" applyNumberFormat="1" applyFont="1" applyFill="1" applyBorder="1" applyAlignment="1">
      <alignment vertical="center"/>
    </xf>
    <xf numFmtId="3" fontId="76" fillId="6" borderId="78" xfId="0" applyNumberFormat="1" applyFont="1" applyFill="1" applyBorder="1" applyAlignment="1">
      <alignment horizontal="center" vertical="center"/>
    </xf>
    <xf numFmtId="0" fontId="40" fillId="3" borderId="72" xfId="0" applyFont="1" applyFill="1" applyBorder="1" applyAlignment="1">
      <alignment vertical="center"/>
    </xf>
    <xf numFmtId="0" fontId="44" fillId="4" borderId="72" xfId="0" applyFont="1" applyFill="1" applyBorder="1" applyAlignment="1">
      <alignment horizontal="center" vertical="center"/>
    </xf>
    <xf numFmtId="1" fontId="76" fillId="9" borderId="79" xfId="0" applyNumberFormat="1" applyFont="1" applyFill="1" applyBorder="1" applyAlignment="1">
      <alignment horizontal="centerContinuous" vertical="center"/>
    </xf>
    <xf numFmtId="1" fontId="76" fillId="9" borderId="80" xfId="0" applyNumberFormat="1" applyFont="1" applyFill="1" applyBorder="1" applyAlignment="1">
      <alignment horizontal="centerContinuous" vertical="center"/>
    </xf>
    <xf numFmtId="3" fontId="40" fillId="3" borderId="6" xfId="0" applyNumberFormat="1" applyFont="1" applyFill="1" applyBorder="1" applyAlignment="1">
      <alignment vertical="center"/>
    </xf>
    <xf numFmtId="3" fontId="40" fillId="3" borderId="67" xfId="0" applyNumberFormat="1" applyFont="1" applyFill="1" applyBorder="1" applyAlignment="1">
      <alignment vertical="center"/>
    </xf>
    <xf numFmtId="14" fontId="78" fillId="6" borderId="85" xfId="0" applyNumberFormat="1" applyFont="1" applyFill="1" applyBorder="1" applyAlignment="1">
      <alignment horizontal="center" vertical="center"/>
    </xf>
    <xf numFmtId="0" fontId="77" fillId="6" borderId="85" xfId="0" applyFont="1" applyFill="1" applyBorder="1" applyAlignment="1">
      <alignment horizontal="center" vertical="center" wrapText="1"/>
    </xf>
    <xf numFmtId="0" fontId="78" fillId="6" borderId="85" xfId="0" applyFont="1" applyFill="1" applyBorder="1" applyAlignment="1">
      <alignment horizontal="center" vertical="center" wrapText="1"/>
    </xf>
    <xf numFmtId="0" fontId="40" fillId="3" borderId="67" xfId="0" applyFont="1" applyFill="1" applyBorder="1" applyAlignment="1">
      <alignment vertical="center"/>
    </xf>
    <xf numFmtId="3" fontId="40" fillId="3" borderId="68" xfId="0" applyNumberFormat="1" applyFont="1" applyFill="1" applyBorder="1" applyAlignment="1">
      <alignment vertical="center"/>
    </xf>
    <xf numFmtId="14" fontId="78" fillId="6" borderId="93" xfId="0" applyNumberFormat="1" applyFont="1" applyFill="1" applyBorder="1" applyAlignment="1">
      <alignment horizontal="center" vertical="center"/>
    </xf>
    <xf numFmtId="14" fontId="78" fillId="6" borderId="93" xfId="0" applyNumberFormat="1" applyFont="1" applyFill="1" applyBorder="1" applyAlignment="1">
      <alignment vertical="center"/>
    </xf>
    <xf numFmtId="166" fontId="77" fillId="6" borderId="93" xfId="0" applyNumberFormat="1" applyFont="1" applyFill="1" applyBorder="1" applyAlignment="1">
      <alignment horizontal="center" vertical="center" wrapText="1"/>
    </xf>
    <xf numFmtId="166" fontId="78" fillId="6" borderId="93" xfId="0" applyNumberFormat="1" applyFont="1" applyFill="1" applyBorder="1" applyAlignment="1">
      <alignment horizontal="center" vertical="center" wrapText="1"/>
    </xf>
    <xf numFmtId="0" fontId="40" fillId="3" borderId="68" xfId="0" applyFont="1" applyFill="1" applyBorder="1" applyAlignment="1">
      <alignment vertical="center"/>
    </xf>
    <xf numFmtId="0" fontId="81" fillId="33" borderId="1" xfId="0" applyFont="1" applyFill="1" applyBorder="1" applyAlignment="1">
      <alignment horizontal="center" vertical="center" wrapText="1"/>
    </xf>
    <xf numFmtId="174" fontId="81" fillId="33" borderId="1" xfId="35" applyNumberFormat="1" applyFont="1" applyFill="1" applyBorder="1" applyAlignment="1">
      <alignment horizontal="center" vertical="center"/>
    </xf>
    <xf numFmtId="3" fontId="81" fillId="33" borderId="1" xfId="0" applyNumberFormat="1" applyFont="1" applyFill="1" applyBorder="1" applyAlignment="1">
      <alignment horizontal="center" vertical="center" wrapText="1"/>
    </xf>
    <xf numFmtId="3" fontId="81" fillId="33" borderId="1" xfId="0" applyNumberFormat="1" applyFont="1" applyFill="1" applyBorder="1" applyAlignment="1">
      <alignment horizontal="center" vertical="center"/>
    </xf>
    <xf numFmtId="0" fontId="83" fillId="33" borderId="1" xfId="0" applyFont="1" applyFill="1" applyBorder="1" applyAlignment="1">
      <alignment horizontal="center" vertical="center" wrapText="1"/>
    </xf>
    <xf numFmtId="3" fontId="83" fillId="33" borderId="1" xfId="0" applyNumberFormat="1" applyFont="1" applyFill="1" applyBorder="1" applyAlignment="1">
      <alignment horizontal="center" vertical="center" wrapText="1"/>
    </xf>
    <xf numFmtId="0" fontId="87" fillId="34" borderId="1" xfId="0" applyFont="1" applyFill="1" applyBorder="1" applyAlignment="1">
      <alignment horizontal="center" vertical="center" wrapText="1"/>
    </xf>
    <xf numFmtId="174" fontId="81" fillId="34" borderId="1" xfId="35" applyNumberFormat="1" applyFont="1" applyFill="1" applyBorder="1" applyAlignment="1">
      <alignment horizontal="center" vertical="center"/>
    </xf>
    <xf numFmtId="174" fontId="87" fillId="34" borderId="1" xfId="35" applyNumberFormat="1" applyFont="1" applyFill="1" applyBorder="1" applyAlignment="1">
      <alignment horizontal="center" vertical="center" wrapText="1"/>
    </xf>
    <xf numFmtId="3" fontId="81" fillId="34" borderId="1" xfId="0" applyNumberFormat="1" applyFont="1" applyFill="1" applyBorder="1" applyAlignment="1">
      <alignment horizontal="center" vertical="center"/>
    </xf>
    <xf numFmtId="174" fontId="87" fillId="34" borderId="1" xfId="35" applyNumberFormat="1" applyFont="1" applyFill="1" applyBorder="1" applyAlignment="1">
      <alignment horizontal="center" vertical="center"/>
    </xf>
    <xf numFmtId="0" fontId="83" fillId="34" borderId="1" xfId="0" applyFont="1" applyFill="1" applyBorder="1" applyAlignment="1">
      <alignment horizontal="center" vertical="center" wrapText="1"/>
    </xf>
    <xf numFmtId="174" fontId="83" fillId="34" borderId="1" xfId="35" applyNumberFormat="1" applyFont="1" applyFill="1" applyBorder="1" applyAlignment="1">
      <alignment horizontal="center" vertical="center" wrapText="1"/>
    </xf>
    <xf numFmtId="0" fontId="87" fillId="35" borderId="1" xfId="0" applyFont="1" applyFill="1" applyBorder="1" applyAlignment="1">
      <alignment horizontal="center" vertical="center" wrapText="1"/>
    </xf>
    <xf numFmtId="174" fontId="81" fillId="35" borderId="1" xfId="35" applyNumberFormat="1" applyFont="1" applyFill="1" applyBorder="1" applyAlignment="1">
      <alignment horizontal="center" vertical="center"/>
    </xf>
    <xf numFmtId="3" fontId="87" fillId="35" borderId="1" xfId="0" applyNumberFormat="1" applyFont="1" applyFill="1" applyBorder="1" applyAlignment="1">
      <alignment horizontal="center" vertical="center" wrapText="1"/>
    </xf>
    <xf numFmtId="3" fontId="81" fillId="35" borderId="1" xfId="0" applyNumberFormat="1" applyFont="1" applyFill="1" applyBorder="1" applyAlignment="1">
      <alignment horizontal="center" vertical="center"/>
    </xf>
    <xf numFmtId="3" fontId="87" fillId="35" borderId="1" xfId="0" applyNumberFormat="1" applyFont="1" applyFill="1" applyBorder="1" applyAlignment="1">
      <alignment horizontal="right" vertical="center"/>
    </xf>
    <xf numFmtId="174" fontId="87" fillId="35" borderId="1" xfId="35" applyNumberFormat="1" applyFont="1" applyFill="1" applyBorder="1" applyAlignment="1">
      <alignment horizontal="center" vertical="center"/>
    </xf>
    <xf numFmtId="0" fontId="83" fillId="35" borderId="1" xfId="0" applyFont="1" applyFill="1" applyBorder="1" applyAlignment="1">
      <alignment horizontal="center" vertical="center" wrapText="1"/>
    </xf>
    <xf numFmtId="3" fontId="83" fillId="35" borderId="1" xfId="0" applyNumberFormat="1" applyFont="1" applyFill="1" applyBorder="1" applyAlignment="1">
      <alignment horizontal="center" vertical="center" wrapText="1"/>
    </xf>
    <xf numFmtId="0" fontId="81" fillId="36" borderId="1" xfId="0" applyFont="1" applyFill="1" applyBorder="1" applyAlignment="1">
      <alignment horizontal="center" vertical="center" wrapText="1"/>
    </xf>
    <xf numFmtId="174" fontId="81" fillId="36" borderId="1" xfId="35" applyNumberFormat="1" applyFont="1" applyFill="1" applyBorder="1" applyAlignment="1">
      <alignment horizontal="center" vertical="center"/>
    </xf>
    <xf numFmtId="3" fontId="81" fillId="36" borderId="1" xfId="0" applyNumberFormat="1" applyFont="1" applyFill="1" applyBorder="1" applyAlignment="1">
      <alignment horizontal="center" vertical="center" wrapText="1"/>
    </xf>
    <xf numFmtId="3" fontId="81" fillId="36" borderId="1" xfId="0" applyNumberFormat="1" applyFont="1" applyFill="1" applyBorder="1" applyAlignment="1">
      <alignment horizontal="center" vertical="center"/>
    </xf>
    <xf numFmtId="0" fontId="83" fillId="36" borderId="1" xfId="0" applyFont="1" applyFill="1" applyBorder="1" applyAlignment="1">
      <alignment horizontal="center" vertical="center" wrapText="1"/>
    </xf>
    <xf numFmtId="3" fontId="83" fillId="36" borderId="1" xfId="0" applyNumberFormat="1" applyFont="1" applyFill="1" applyBorder="1" applyAlignment="1">
      <alignment horizontal="center" vertical="center" wrapText="1"/>
    </xf>
    <xf numFmtId="0" fontId="87" fillId="37" borderId="1" xfId="0" applyFont="1" applyFill="1" applyBorder="1" applyAlignment="1">
      <alignment horizontal="center" vertical="center" wrapText="1"/>
    </xf>
    <xf numFmtId="174" fontId="81" fillId="37" borderId="1" xfId="35" applyNumberFormat="1" applyFont="1" applyFill="1" applyBorder="1" applyAlignment="1">
      <alignment horizontal="center" vertical="center"/>
    </xf>
    <xf numFmtId="3" fontId="87" fillId="37" borderId="1" xfId="0" applyNumberFormat="1" applyFont="1" applyFill="1" applyBorder="1" applyAlignment="1">
      <alignment horizontal="center" vertical="center" wrapText="1"/>
    </xf>
    <xf numFmtId="3" fontId="81" fillId="37" borderId="1" xfId="0" applyNumberFormat="1" applyFont="1" applyFill="1" applyBorder="1" applyAlignment="1">
      <alignment horizontal="center" vertical="center"/>
    </xf>
    <xf numFmtId="174" fontId="87" fillId="37" borderId="1" xfId="35" applyNumberFormat="1" applyFont="1" applyFill="1" applyBorder="1" applyAlignment="1">
      <alignment horizontal="center" vertical="center"/>
    </xf>
    <xf numFmtId="0" fontId="83" fillId="37" borderId="1" xfId="0" applyFont="1" applyFill="1" applyBorder="1" applyAlignment="1">
      <alignment horizontal="center" vertical="center" wrapText="1"/>
    </xf>
    <xf numFmtId="3" fontId="83" fillId="37" borderId="1" xfId="0" applyNumberFormat="1" applyFont="1" applyFill="1" applyBorder="1" applyAlignment="1">
      <alignment horizontal="center" vertical="center" wrapText="1"/>
    </xf>
    <xf numFmtId="0" fontId="87" fillId="38" borderId="1" xfId="0" applyFont="1" applyFill="1" applyBorder="1" applyAlignment="1">
      <alignment horizontal="center" vertical="center" wrapText="1"/>
    </xf>
    <xf numFmtId="174" fontId="81" fillId="38" borderId="1" xfId="35" applyNumberFormat="1" applyFont="1" applyFill="1" applyBorder="1" applyAlignment="1">
      <alignment horizontal="center" vertical="center"/>
    </xf>
    <xf numFmtId="3" fontId="87" fillId="38" borderId="1" xfId="0" applyNumberFormat="1" applyFont="1" applyFill="1" applyBorder="1" applyAlignment="1">
      <alignment horizontal="center" vertical="center" wrapText="1"/>
    </xf>
    <xf numFmtId="174" fontId="87" fillId="38" borderId="1" xfId="35" applyNumberFormat="1" applyFont="1" applyFill="1" applyBorder="1" applyAlignment="1">
      <alignment horizontal="center" vertical="center"/>
    </xf>
    <xf numFmtId="0" fontId="83" fillId="38" borderId="1" xfId="0" applyFont="1" applyFill="1" applyBorder="1" applyAlignment="1">
      <alignment horizontal="center" vertical="center" wrapText="1"/>
    </xf>
    <xf numFmtId="3" fontId="83" fillId="38" borderId="1" xfId="0" applyNumberFormat="1" applyFont="1" applyFill="1" applyBorder="1" applyAlignment="1">
      <alignment horizontal="center" vertical="center" wrapText="1"/>
    </xf>
    <xf numFmtId="165" fontId="87" fillId="38" borderId="1" xfId="35" applyFont="1" applyFill="1" applyBorder="1" applyAlignment="1">
      <alignment horizontal="center" vertical="center"/>
    </xf>
    <xf numFmtId="0" fontId="87" fillId="39" borderId="1" xfId="0" applyFont="1" applyFill="1" applyBorder="1" applyAlignment="1">
      <alignment horizontal="center" vertical="center" wrapText="1"/>
    </xf>
    <xf numFmtId="174" fontId="81" fillId="39" borderId="1" xfId="35" applyNumberFormat="1" applyFont="1" applyFill="1" applyBorder="1" applyAlignment="1">
      <alignment horizontal="center" vertical="center"/>
    </xf>
    <xf numFmtId="3" fontId="87" fillId="39" borderId="1" xfId="0" applyNumberFormat="1" applyFont="1" applyFill="1" applyBorder="1" applyAlignment="1">
      <alignment horizontal="center" vertical="center" wrapText="1"/>
    </xf>
    <xf numFmtId="174" fontId="87" fillId="39" borderId="1" xfId="35" applyNumberFormat="1" applyFont="1" applyFill="1" applyBorder="1" applyAlignment="1">
      <alignment horizontal="center" vertical="center"/>
    </xf>
    <xf numFmtId="165" fontId="87" fillId="39" borderId="1" xfId="35" applyFont="1" applyFill="1" applyBorder="1" applyAlignment="1">
      <alignment horizontal="center" vertical="center"/>
    </xf>
    <xf numFmtId="0" fontId="83" fillId="39" borderId="1" xfId="0" applyFont="1" applyFill="1" applyBorder="1" applyAlignment="1">
      <alignment horizontal="center" vertical="center" wrapText="1"/>
    </xf>
    <xf numFmtId="3" fontId="83" fillId="39" borderId="1" xfId="0" applyNumberFormat="1" applyFont="1" applyFill="1" applyBorder="1" applyAlignment="1">
      <alignment horizontal="center" vertical="center" wrapText="1"/>
    </xf>
    <xf numFmtId="0" fontId="69" fillId="0" borderId="0" xfId="0" applyFont="1" applyAlignment="1">
      <alignment horizontal="center" vertical="center"/>
    </xf>
    <xf numFmtId="0" fontId="69" fillId="4" borderId="0" xfId="0" applyFont="1" applyFill="1" applyAlignment="1">
      <alignment horizontal="center" vertical="center"/>
    </xf>
    <xf numFmtId="0" fontId="69" fillId="4" borderId="0" xfId="0" applyFont="1" applyFill="1" applyAlignment="1">
      <alignment horizontal="center"/>
    </xf>
    <xf numFmtId="0" fontId="80" fillId="4" borderId="0" xfId="0" applyFont="1" applyFill="1"/>
    <xf numFmtId="0" fontId="69" fillId="4" borderId="0" xfId="0" applyFont="1" applyFill="1"/>
    <xf numFmtId="0" fontId="69" fillId="0" borderId="0" xfId="0" applyFont="1"/>
    <xf numFmtId="0" fontId="44" fillId="4" borderId="0" xfId="0" applyFont="1" applyFill="1" applyAlignment="1">
      <alignment horizontal="center"/>
    </xf>
    <xf numFmtId="0" fontId="93" fillId="14" borderId="37" xfId="0" applyFont="1" applyFill="1" applyBorder="1" applyAlignment="1">
      <alignment vertical="center" wrapText="1"/>
    </xf>
    <xf numFmtId="9" fontId="105" fillId="3" borderId="0" xfId="1" applyFont="1" applyFill="1"/>
    <xf numFmtId="16" fontId="0" fillId="0" borderId="0" xfId="0" applyNumberFormat="1"/>
    <xf numFmtId="0" fontId="57" fillId="0" borderId="0" xfId="0" applyFont="1"/>
    <xf numFmtId="0" fontId="34" fillId="0" borderId="0" xfId="0" applyFont="1" applyAlignment="1">
      <alignment horizontal="center"/>
    </xf>
    <xf numFmtId="14" fontId="9" fillId="6" borderId="15" xfId="0" applyNumberFormat="1" applyFont="1" applyFill="1" applyBorder="1" applyAlignment="1">
      <alignment horizontal="center" vertical="center" wrapText="1"/>
    </xf>
    <xf numFmtId="10" fontId="12" fillId="0" borderId="32" xfId="1" applyNumberFormat="1" applyFont="1" applyBorder="1" applyAlignment="1">
      <alignment horizontal="center" vertical="center"/>
    </xf>
    <xf numFmtId="3" fontId="22" fillId="4" borderId="1" xfId="0" applyNumberFormat="1" applyFont="1" applyFill="1" applyBorder="1" applyAlignment="1">
      <alignment horizontal="center" vertical="center"/>
    </xf>
    <xf numFmtId="0" fontId="30" fillId="10" borderId="0" xfId="0" applyFont="1" applyFill="1" applyAlignment="1">
      <alignment horizontal="centerContinuous" vertical="center"/>
    </xf>
    <xf numFmtId="3" fontId="15" fillId="10" borderId="0" xfId="0" applyNumberFormat="1" applyFont="1" applyFill="1" applyAlignment="1">
      <alignment horizontal="centerContinuous" vertical="center"/>
    </xf>
    <xf numFmtId="2" fontId="15" fillId="10" borderId="0" xfId="0" applyNumberFormat="1" applyFont="1" applyFill="1" applyAlignment="1">
      <alignment horizontal="centerContinuous" vertical="center"/>
    </xf>
    <xf numFmtId="0" fontId="117" fillId="2" borderId="0" xfId="0" applyFont="1" applyFill="1"/>
    <xf numFmtId="0" fontId="118" fillId="20" borderId="0" xfId="0" applyFont="1" applyFill="1" applyAlignment="1">
      <alignment horizontal="center" vertical="center"/>
    </xf>
    <xf numFmtId="3" fontId="118" fillId="20" borderId="0" xfId="0" applyNumberFormat="1" applyFont="1" applyFill="1" applyAlignment="1">
      <alignment horizontal="center" vertical="center"/>
    </xf>
    <xf numFmtId="0" fontId="117" fillId="3" borderId="0" xfId="0" applyFont="1" applyFill="1" applyAlignment="1">
      <alignment vertical="center"/>
    </xf>
    <xf numFmtId="0" fontId="118" fillId="6" borderId="0" xfId="0" applyFont="1" applyFill="1" applyAlignment="1">
      <alignment horizontal="center" vertical="center"/>
    </xf>
    <xf numFmtId="3" fontId="118" fillId="6" borderId="0" xfId="0" applyNumberFormat="1" applyFont="1" applyFill="1" applyAlignment="1">
      <alignment horizontal="center" vertical="center"/>
    </xf>
    <xf numFmtId="0" fontId="7" fillId="6" borderId="0" xfId="0" applyFont="1" applyFill="1" applyAlignment="1">
      <alignment horizontal="centerContinuous" vertical="center" wrapText="1"/>
    </xf>
    <xf numFmtId="3" fontId="7" fillId="6" borderId="0" xfId="0" applyNumberFormat="1" applyFont="1" applyFill="1" applyAlignment="1">
      <alignment horizontal="centerContinuous" vertical="center" wrapText="1"/>
    </xf>
    <xf numFmtId="0" fontId="117" fillId="6" borderId="0" xfId="0" applyFont="1" applyFill="1" applyAlignment="1">
      <alignment horizontal="centerContinuous"/>
    </xf>
    <xf numFmtId="0" fontId="117" fillId="2" borderId="0" xfId="0" applyFont="1" applyFill="1" applyAlignment="1">
      <alignment vertical="center"/>
    </xf>
    <xf numFmtId="0" fontId="90" fillId="2" borderId="0" xfId="0" applyFont="1" applyFill="1"/>
    <xf numFmtId="3" fontId="117" fillId="2" borderId="0" xfId="0" applyNumberFormat="1" applyFont="1" applyFill="1"/>
    <xf numFmtId="0" fontId="117" fillId="2" borderId="0" xfId="0" applyFont="1" applyFill="1" applyAlignment="1">
      <alignment horizontal="center" vertical="center"/>
    </xf>
    <xf numFmtId="3" fontId="117" fillId="2" borderId="0" xfId="0" applyNumberFormat="1" applyFont="1" applyFill="1" applyAlignment="1">
      <alignment horizontal="center" vertical="center"/>
    </xf>
    <xf numFmtId="14" fontId="117" fillId="2" borderId="0" xfId="0" applyNumberFormat="1" applyFont="1" applyFill="1" applyAlignment="1">
      <alignment horizontal="center"/>
    </xf>
    <xf numFmtId="14" fontId="119" fillId="2" borderId="0" xfId="0" applyNumberFormat="1" applyFont="1" applyFill="1" applyAlignment="1">
      <alignment horizontal="center"/>
    </xf>
    <xf numFmtId="14" fontId="7" fillId="2" borderId="0" xfId="0" applyNumberFormat="1" applyFont="1" applyFill="1" applyAlignment="1">
      <alignment horizontal="center"/>
    </xf>
    <xf numFmtId="0" fontId="120" fillId="0" borderId="0" xfId="0" applyFont="1" applyAlignment="1">
      <alignment horizontal="center"/>
    </xf>
    <xf numFmtId="0" fontId="121" fillId="0" borderId="20" xfId="0" applyFont="1" applyBorder="1" applyAlignment="1">
      <alignment horizontal="center" vertical="center"/>
    </xf>
    <xf numFmtId="0" fontId="121" fillId="3" borderId="20" xfId="0" applyFont="1" applyFill="1" applyBorder="1" applyAlignment="1">
      <alignment horizontal="center" vertical="center"/>
    </xf>
    <xf numFmtId="0" fontId="105" fillId="3" borderId="0" xfId="0" applyFont="1" applyFill="1" applyAlignment="1">
      <alignment vertical="center"/>
    </xf>
    <xf numFmtId="0" fontId="122" fillId="4" borderId="1" xfId="0" applyFont="1" applyFill="1" applyBorder="1" applyAlignment="1">
      <alignment horizontal="center" vertical="center" wrapText="1"/>
    </xf>
    <xf numFmtId="3" fontId="15" fillId="0" borderId="1" xfId="0" applyNumberFormat="1" applyFont="1" applyBorder="1" applyAlignment="1">
      <alignment horizontal="center" vertical="center"/>
    </xf>
    <xf numFmtId="0" fontId="123" fillId="4" borderId="1" xfId="0" applyFont="1" applyFill="1" applyBorder="1" applyAlignment="1">
      <alignment horizontal="center" vertical="center" wrapText="1"/>
    </xf>
    <xf numFmtId="3" fontId="15" fillId="4" borderId="1" xfId="0" applyNumberFormat="1" applyFont="1" applyFill="1" applyBorder="1" applyAlignment="1">
      <alignment horizontal="center" vertical="center"/>
    </xf>
    <xf numFmtId="0" fontId="121" fillId="0" borderId="0" xfId="0" applyFont="1"/>
    <xf numFmtId="0" fontId="121" fillId="3" borderId="0" xfId="0" applyFont="1" applyFill="1"/>
    <xf numFmtId="0" fontId="117" fillId="3" borderId="0" xfId="0" applyFont="1" applyFill="1"/>
    <xf numFmtId="0" fontId="100" fillId="0" borderId="0" xfId="0" applyFont="1"/>
    <xf numFmtId="0" fontId="105" fillId="3" borderId="0" xfId="0" applyFont="1" applyFill="1"/>
    <xf numFmtId="3" fontId="100" fillId="0" borderId="0" xfId="0" applyNumberFormat="1" applyFont="1"/>
    <xf numFmtId="3" fontId="124" fillId="3" borderId="0" xfId="0" applyNumberFormat="1" applyFont="1" applyFill="1" applyAlignment="1">
      <alignment horizontal="center" vertical="center"/>
    </xf>
    <xf numFmtId="3" fontId="105" fillId="3" borderId="0" xfId="0" applyNumberFormat="1" applyFont="1" applyFill="1" applyAlignment="1">
      <alignment horizontal="center" vertical="center"/>
    </xf>
    <xf numFmtId="0" fontId="100" fillId="3" borderId="0" xfId="0" applyFont="1" applyFill="1"/>
    <xf numFmtId="0" fontId="125" fillId="2" borderId="1" xfId="0" applyFont="1" applyFill="1" applyBorder="1" applyAlignment="1">
      <alignment horizontal="center" vertical="center" wrapText="1"/>
    </xf>
    <xf numFmtId="3" fontId="105" fillId="2" borderId="1" xfId="0" applyNumberFormat="1" applyFont="1" applyFill="1" applyBorder="1" applyAlignment="1">
      <alignment horizontal="center" vertical="center"/>
    </xf>
    <xf numFmtId="0" fontId="126" fillId="2" borderId="1" xfId="0" applyFont="1" applyFill="1" applyBorder="1" applyAlignment="1">
      <alignment horizontal="center" vertical="center" wrapText="1"/>
    </xf>
    <xf numFmtId="0" fontId="105" fillId="0" borderId="0" xfId="0" applyFont="1" applyAlignment="1">
      <alignment horizontal="center"/>
    </xf>
    <xf numFmtId="0" fontId="125" fillId="4" borderId="1" xfId="0" applyFont="1" applyFill="1" applyBorder="1" applyAlignment="1">
      <alignment horizontal="center" vertical="center" wrapText="1"/>
    </xf>
    <xf numFmtId="3" fontId="124" fillId="4" borderId="1" xfId="0" applyNumberFormat="1" applyFont="1" applyFill="1" applyBorder="1" applyAlignment="1">
      <alignment horizontal="center" vertical="center"/>
    </xf>
    <xf numFmtId="3" fontId="124" fillId="0" borderId="1" xfId="0" applyNumberFormat="1" applyFont="1" applyBorder="1" applyAlignment="1">
      <alignment horizontal="center" vertical="center"/>
    </xf>
    <xf numFmtId="0" fontId="126" fillId="4" borderId="1" xfId="0" applyFont="1" applyFill="1" applyBorder="1" applyAlignment="1">
      <alignment horizontal="center" vertical="center" wrapText="1"/>
    </xf>
    <xf numFmtId="0" fontId="121" fillId="14" borderId="20" xfId="0" applyFont="1" applyFill="1" applyBorder="1" applyAlignment="1">
      <alignment horizontal="center" vertical="center"/>
    </xf>
    <xf numFmtId="0" fontId="121" fillId="22" borderId="20" xfId="0" applyFont="1" applyFill="1" applyBorder="1" applyAlignment="1">
      <alignment horizontal="center" vertical="center"/>
    </xf>
    <xf numFmtId="0" fontId="105" fillId="0" borderId="0" xfId="0" applyFont="1" applyAlignment="1">
      <alignment vertical="center"/>
    </xf>
    <xf numFmtId="0" fontId="125" fillId="0" borderId="1" xfId="0" applyFont="1" applyBorder="1" applyAlignment="1">
      <alignment horizontal="center" vertical="center" wrapText="1"/>
    </xf>
    <xf numFmtId="0" fontId="126" fillId="0" borderId="1" xfId="0" applyFont="1" applyBorder="1" applyAlignment="1">
      <alignment horizontal="center" vertical="center" wrapText="1"/>
    </xf>
    <xf numFmtId="3" fontId="105" fillId="0" borderId="0" xfId="0" applyNumberFormat="1" applyFont="1"/>
    <xf numFmtId="0" fontId="121" fillId="0" borderId="0" xfId="0" applyFont="1" applyAlignment="1">
      <alignment vertical="center"/>
    </xf>
    <xf numFmtId="0" fontId="121" fillId="4" borderId="0" xfId="0" applyFont="1" applyFill="1" applyAlignment="1">
      <alignment vertical="center"/>
    </xf>
    <xf numFmtId="0" fontId="121" fillId="3" borderId="0" xfId="0" applyFont="1" applyFill="1" applyAlignment="1">
      <alignment vertical="center"/>
    </xf>
    <xf numFmtId="0" fontId="124" fillId="3" borderId="0" xfId="0" applyFont="1" applyFill="1" applyAlignment="1">
      <alignment vertical="center"/>
    </xf>
    <xf numFmtId="0" fontId="124" fillId="4" borderId="1" xfId="0" applyFont="1" applyFill="1" applyBorder="1" applyAlignment="1">
      <alignment horizontal="center" vertical="center" wrapText="1"/>
    </xf>
    <xf numFmtId="0" fontId="15" fillId="3" borderId="0" xfId="0" applyFont="1" applyFill="1" applyAlignment="1">
      <alignment vertical="center"/>
    </xf>
    <xf numFmtId="0" fontId="129" fillId="24" borderId="37" xfId="0" applyFont="1" applyFill="1" applyBorder="1" applyAlignment="1">
      <alignment vertical="center" wrapText="1"/>
    </xf>
    <xf numFmtId="4" fontId="124" fillId="4" borderId="1" xfId="0" applyNumberFormat="1" applyFont="1" applyFill="1" applyBorder="1" applyAlignment="1">
      <alignment horizontal="center" vertical="center"/>
    </xf>
    <xf numFmtId="0" fontId="100" fillId="0" borderId="64" xfId="0" applyFont="1" applyBorder="1" applyAlignment="1">
      <alignment horizontal="center"/>
    </xf>
    <xf numFmtId="0" fontId="130" fillId="24" borderId="37" xfId="0" applyFont="1" applyFill="1" applyBorder="1" applyAlignment="1">
      <alignment vertical="center" wrapText="1"/>
    </xf>
    <xf numFmtId="3" fontId="124" fillId="2" borderId="1" xfId="0" applyNumberFormat="1" applyFont="1" applyFill="1" applyBorder="1" applyAlignment="1">
      <alignment horizontal="center" vertical="center"/>
    </xf>
    <xf numFmtId="3" fontId="105" fillId="3" borderId="0" xfId="0" applyNumberFormat="1" applyFont="1" applyFill="1" applyAlignment="1">
      <alignment vertical="center"/>
    </xf>
    <xf numFmtId="3" fontId="125" fillId="2" borderId="1" xfId="0" applyNumberFormat="1" applyFont="1" applyFill="1" applyBorder="1" applyAlignment="1">
      <alignment horizontal="center" vertical="center" wrapText="1"/>
    </xf>
    <xf numFmtId="4" fontId="105" fillId="2" borderId="1" xfId="0" applyNumberFormat="1" applyFont="1" applyFill="1" applyBorder="1" applyAlignment="1">
      <alignment horizontal="center" vertical="center"/>
    </xf>
    <xf numFmtId="3" fontId="126" fillId="2" borderId="1" xfId="0" applyNumberFormat="1" applyFont="1" applyFill="1" applyBorder="1" applyAlignment="1">
      <alignment horizontal="center" vertical="center" wrapText="1"/>
    </xf>
    <xf numFmtId="4" fontId="105" fillId="0" borderId="0" xfId="0" applyNumberFormat="1" applyFont="1"/>
    <xf numFmtId="4" fontId="124" fillId="3" borderId="0" xfId="0" applyNumberFormat="1" applyFont="1" applyFill="1" applyAlignment="1">
      <alignment horizontal="center" vertical="center"/>
    </xf>
    <xf numFmtId="4" fontId="105" fillId="3" borderId="0" xfId="0" applyNumberFormat="1" applyFont="1" applyFill="1" applyAlignment="1">
      <alignment horizontal="center" vertical="center"/>
    </xf>
    <xf numFmtId="3" fontId="122" fillId="4" borderId="1" xfId="0" applyNumberFormat="1" applyFont="1" applyFill="1" applyBorder="1" applyAlignment="1">
      <alignment horizontal="center" vertical="center" wrapText="1"/>
    </xf>
    <xf numFmtId="3" fontId="123" fillId="4" borderId="1" xfId="0" applyNumberFormat="1" applyFont="1" applyFill="1" applyBorder="1" applyAlignment="1">
      <alignment horizontal="center" vertical="center" wrapText="1"/>
    </xf>
    <xf numFmtId="173" fontId="105" fillId="0" borderId="0" xfId="0" applyNumberFormat="1" applyFont="1"/>
    <xf numFmtId="4" fontId="105" fillId="3" borderId="0" xfId="0" applyNumberFormat="1" applyFont="1" applyFill="1"/>
    <xf numFmtId="0" fontId="132" fillId="0" borderId="0" xfId="0" applyFont="1" applyAlignment="1">
      <alignment horizontal="center"/>
    </xf>
    <xf numFmtId="0" fontId="133" fillId="0" borderId="20" xfId="0" applyFont="1" applyBorder="1" applyAlignment="1">
      <alignment horizontal="center" vertical="center"/>
    </xf>
    <xf numFmtId="0" fontId="133" fillId="3" borderId="0" xfId="0" applyFont="1" applyFill="1" applyAlignment="1">
      <alignment vertical="center"/>
    </xf>
    <xf numFmtId="173" fontId="124" fillId="0" borderId="1" xfId="0" applyNumberFormat="1" applyFont="1" applyBorder="1" applyAlignment="1">
      <alignment horizontal="center" vertical="center"/>
    </xf>
    <xf numFmtId="0" fontId="134" fillId="3" borderId="0" xfId="0" applyFont="1" applyFill="1" applyAlignment="1">
      <alignment vertical="center"/>
    </xf>
    <xf numFmtId="3" fontId="134" fillId="4" borderId="1" xfId="0" applyNumberFormat="1" applyFont="1" applyFill="1" applyBorder="1" applyAlignment="1">
      <alignment horizontal="center" vertical="center"/>
    </xf>
    <xf numFmtId="0" fontId="90" fillId="0" borderId="0" xfId="0" applyFont="1" applyAlignment="1">
      <alignment horizontal="left" vertical="center"/>
    </xf>
    <xf numFmtId="0" fontId="100" fillId="4" borderId="0" xfId="0" applyFont="1" applyFill="1" applyAlignment="1">
      <alignment horizontal="center" vertical="center"/>
    </xf>
    <xf numFmtId="0" fontId="123" fillId="4" borderId="0" xfId="0" applyFont="1" applyFill="1" applyAlignment="1">
      <alignment horizontal="center" vertical="center" wrapText="1"/>
    </xf>
    <xf numFmtId="3" fontId="100" fillId="4" borderId="0" xfId="0" applyNumberFormat="1" applyFont="1" applyFill="1" applyAlignment="1">
      <alignment horizontal="center" vertical="center"/>
    </xf>
    <xf numFmtId="9" fontId="100" fillId="4" borderId="0" xfId="1" applyFont="1" applyFill="1" applyBorder="1" applyAlignment="1">
      <alignment horizontal="center" vertical="center"/>
    </xf>
    <xf numFmtId="3" fontId="100" fillId="0" borderId="0" xfId="0" applyNumberFormat="1" applyFont="1" applyAlignment="1">
      <alignment horizontal="center" vertical="center"/>
    </xf>
    <xf numFmtId="0" fontId="100" fillId="3" borderId="0" xfId="0" applyFont="1" applyFill="1" applyAlignment="1">
      <alignment vertical="center"/>
    </xf>
    <xf numFmtId="3" fontId="43" fillId="4" borderId="1" xfId="0" applyNumberFormat="1" applyFont="1" applyFill="1" applyBorder="1" applyAlignment="1">
      <alignment horizontal="center" vertical="center"/>
    </xf>
    <xf numFmtId="0" fontId="105" fillId="2" borderId="0" xfId="0" applyFont="1" applyFill="1"/>
    <xf numFmtId="0" fontId="36" fillId="6" borderId="1" xfId="0" applyFont="1" applyFill="1" applyBorder="1" applyAlignment="1">
      <alignment horizontal="center" vertical="center" wrapText="1"/>
    </xf>
    <xf numFmtId="166" fontId="36" fillId="6" borderId="1" xfId="0" applyNumberFormat="1" applyFont="1" applyFill="1" applyBorder="1" applyAlignment="1">
      <alignment horizontal="center" vertical="center" wrapText="1"/>
    </xf>
    <xf numFmtId="0" fontId="135" fillId="4" borderId="1" xfId="0" applyFont="1" applyFill="1" applyBorder="1" applyAlignment="1">
      <alignment horizontal="center" vertical="center" wrapText="1"/>
    </xf>
    <xf numFmtId="3" fontId="136" fillId="4" borderId="1" xfId="0" applyNumberFormat="1" applyFont="1" applyFill="1" applyBorder="1" applyAlignment="1">
      <alignment horizontal="center" vertical="center"/>
    </xf>
    <xf numFmtId="0" fontId="137" fillId="4" borderId="1" xfId="0" applyFont="1" applyFill="1" applyBorder="1" applyAlignment="1">
      <alignment horizontal="center" vertical="center" wrapText="1"/>
    </xf>
    <xf numFmtId="0" fontId="22" fillId="0" borderId="0" xfId="0" applyFont="1" applyAlignment="1">
      <alignment horizontal="center"/>
    </xf>
    <xf numFmtId="0" fontId="67" fillId="0" borderId="20" xfId="0" applyFont="1" applyBorder="1" applyAlignment="1">
      <alignment horizontal="center" vertical="center"/>
    </xf>
    <xf numFmtId="0" fontId="140" fillId="4" borderId="1" xfId="0" applyFont="1" applyFill="1" applyBorder="1" applyAlignment="1">
      <alignment horizontal="center" vertical="center" wrapText="1"/>
    </xf>
    <xf numFmtId="3" fontId="53" fillId="4" borderId="1" xfId="0" applyNumberFormat="1" applyFont="1" applyFill="1" applyBorder="1" applyAlignment="1">
      <alignment horizontal="center" vertical="center"/>
    </xf>
    <xf numFmtId="3" fontId="53" fillId="0" borderId="1" xfId="0" applyNumberFormat="1" applyFont="1" applyBorder="1" applyAlignment="1">
      <alignment horizontal="center" vertical="center"/>
    </xf>
    <xf numFmtId="0" fontId="141" fillId="4" borderId="1" xfId="0" applyFont="1" applyFill="1" applyBorder="1" applyAlignment="1">
      <alignment horizontal="center" vertical="center" wrapText="1"/>
    </xf>
    <xf numFmtId="0" fontId="142" fillId="0" borderId="0" xfId="0" applyFont="1" applyAlignment="1">
      <alignment horizontal="center"/>
    </xf>
    <xf numFmtId="0" fontId="142" fillId="0" borderId="0" xfId="0" applyFont="1"/>
    <xf numFmtId="3" fontId="53" fillId="22" borderId="1" xfId="0" applyNumberFormat="1" applyFont="1" applyFill="1" applyBorder="1" applyAlignment="1">
      <alignment horizontal="center" vertical="center"/>
    </xf>
    <xf numFmtId="172" fontId="22" fillId="4" borderId="1" xfId="0" applyNumberFormat="1" applyFont="1" applyFill="1" applyBorder="1" applyAlignment="1">
      <alignment horizontal="center" vertical="center"/>
    </xf>
    <xf numFmtId="0" fontId="67" fillId="0" borderId="20" xfId="0" quotePrefix="1" applyFont="1" applyBorder="1" applyAlignment="1">
      <alignment horizontal="center" vertical="center"/>
    </xf>
    <xf numFmtId="0" fontId="143" fillId="3" borderId="0" xfId="0" applyFont="1" applyFill="1" applyAlignment="1">
      <alignment vertical="center"/>
    </xf>
    <xf numFmtId="0" fontId="119" fillId="0" borderId="0" xfId="0" applyFont="1" applyAlignment="1">
      <alignment horizontal="center"/>
    </xf>
    <xf numFmtId="0" fontId="144" fillId="0" borderId="20" xfId="0" applyFont="1" applyBorder="1" applyAlignment="1">
      <alignment horizontal="center" vertical="center"/>
    </xf>
    <xf numFmtId="0" fontId="144" fillId="3" borderId="0" xfId="0" applyFont="1" applyFill="1" applyAlignment="1">
      <alignment vertical="center"/>
    </xf>
    <xf numFmtId="0" fontId="67" fillId="3" borderId="0" xfId="0" applyFont="1" applyFill="1"/>
    <xf numFmtId="0" fontId="19" fillId="3" borderId="0" xfId="0" applyFont="1" applyFill="1"/>
    <xf numFmtId="3" fontId="19" fillId="3" borderId="0" xfId="0" applyNumberFormat="1" applyFont="1" applyFill="1"/>
    <xf numFmtId="3" fontId="53" fillId="3" borderId="0" xfId="0" applyNumberFormat="1" applyFont="1" applyFill="1" applyAlignment="1">
      <alignment horizontal="center" vertical="center"/>
    </xf>
    <xf numFmtId="3" fontId="22" fillId="3" borderId="0" xfId="0" applyNumberFormat="1" applyFont="1" applyFill="1" applyAlignment="1">
      <alignment horizontal="center" vertical="center"/>
    </xf>
    <xf numFmtId="1" fontId="53" fillId="4" borderId="1" xfId="1" applyNumberFormat="1" applyFont="1" applyFill="1" applyBorder="1" applyAlignment="1">
      <alignment horizontal="center" vertical="center"/>
    </xf>
    <xf numFmtId="0" fontId="19" fillId="0" borderId="0" xfId="0" applyFont="1"/>
    <xf numFmtId="3" fontId="19" fillId="0" borderId="0" xfId="0" applyNumberFormat="1" applyFont="1"/>
    <xf numFmtId="0" fontId="67" fillId="0" borderId="0" xfId="0" applyFont="1"/>
    <xf numFmtId="0" fontId="67" fillId="4" borderId="0" xfId="0" applyFont="1" applyFill="1" applyAlignment="1">
      <alignment vertical="center"/>
    </xf>
    <xf numFmtId="0" fontId="140" fillId="2" borderId="1" xfId="0" applyFont="1" applyFill="1" applyBorder="1" applyAlignment="1">
      <alignment horizontal="center" vertical="center" wrapText="1"/>
    </xf>
    <xf numFmtId="3" fontId="53" fillId="2" borderId="1" xfId="0" applyNumberFormat="1" applyFont="1" applyFill="1" applyBorder="1" applyAlignment="1">
      <alignment horizontal="center" vertical="center"/>
    </xf>
    <xf numFmtId="0" fontId="141" fillId="2" borderId="1" xfId="0" applyFont="1" applyFill="1" applyBorder="1" applyAlignment="1">
      <alignment horizontal="center" vertical="center" wrapText="1"/>
    </xf>
    <xf numFmtId="10" fontId="28" fillId="2" borderId="32" xfId="1" applyNumberFormat="1" applyFont="1" applyFill="1" applyBorder="1" applyAlignment="1">
      <alignment horizontal="center" vertical="center"/>
    </xf>
    <xf numFmtId="0" fontId="3" fillId="0" borderId="0" xfId="0" applyFont="1" applyAlignment="1">
      <alignment horizontal="center"/>
    </xf>
    <xf numFmtId="10" fontId="28" fillId="2" borderId="32" xfId="1" applyNumberFormat="1" applyFont="1" applyFill="1" applyBorder="1" applyAlignment="1">
      <alignment horizontal="center" vertical="center" wrapText="1"/>
    </xf>
    <xf numFmtId="0" fontId="33" fillId="6" borderId="0" xfId="0" applyFont="1" applyFill="1" applyAlignment="1">
      <alignment horizontal="center" vertical="center"/>
    </xf>
    <xf numFmtId="0" fontId="0" fillId="0" borderId="0" xfId="0" applyAlignment="1">
      <alignment horizontal="center" wrapText="1"/>
    </xf>
    <xf numFmtId="173" fontId="0" fillId="2" borderId="1" xfId="0" applyNumberFormat="1" applyFill="1" applyBorder="1" applyAlignment="1">
      <alignment horizontal="center" vertical="center"/>
    </xf>
    <xf numFmtId="0" fontId="23" fillId="4" borderId="5" xfId="0" applyFont="1" applyFill="1" applyBorder="1" applyAlignment="1">
      <alignment horizontal="center" vertical="center" wrapText="1"/>
    </xf>
    <xf numFmtId="3" fontId="48" fillId="4" borderId="14" xfId="0" applyNumberFormat="1" applyFont="1" applyFill="1" applyBorder="1" applyAlignment="1">
      <alignment horizontal="center" vertical="center"/>
    </xf>
    <xf numFmtId="173" fontId="48" fillId="4" borderId="14" xfId="0" applyNumberFormat="1" applyFont="1" applyFill="1" applyBorder="1" applyAlignment="1">
      <alignment horizontal="center" vertical="center"/>
    </xf>
    <xf numFmtId="4" fontId="19" fillId="4" borderId="14" xfId="0" applyNumberFormat="1" applyFont="1" applyFill="1" applyBorder="1" applyAlignment="1">
      <alignment horizontal="center" vertical="center"/>
    </xf>
    <xf numFmtId="0" fontId="25" fillId="4" borderId="47" xfId="0" applyFont="1" applyFill="1" applyBorder="1" applyAlignment="1">
      <alignment horizontal="center" vertical="center" wrapText="1"/>
    </xf>
    <xf numFmtId="3" fontId="19" fillId="4" borderId="16" xfId="0" applyNumberFormat="1" applyFont="1" applyFill="1" applyBorder="1" applyAlignment="1">
      <alignment horizontal="center" vertical="center"/>
    </xf>
    <xf numFmtId="3" fontId="48" fillId="4" borderId="16" xfId="0" applyNumberFormat="1" applyFont="1" applyFill="1" applyBorder="1" applyAlignment="1">
      <alignment horizontal="center" vertical="center"/>
    </xf>
    <xf numFmtId="173" fontId="48" fillId="4" borderId="16" xfId="0" applyNumberFormat="1" applyFont="1" applyFill="1" applyBorder="1" applyAlignment="1">
      <alignment horizontal="center" vertical="center"/>
    </xf>
    <xf numFmtId="4" fontId="19" fillId="4" borderId="16" xfId="0" applyNumberFormat="1" applyFont="1" applyFill="1" applyBorder="1" applyAlignment="1">
      <alignment horizontal="center" vertical="center"/>
    </xf>
    <xf numFmtId="4" fontId="107" fillId="3" borderId="0" xfId="0" applyNumberFormat="1" applyFont="1" applyFill="1"/>
    <xf numFmtId="3" fontId="47" fillId="3" borderId="0" xfId="0" applyNumberFormat="1" applyFont="1" applyFill="1" applyAlignment="1">
      <alignment horizontal="center"/>
    </xf>
    <xf numFmtId="3" fontId="0" fillId="3" borderId="0" xfId="0" applyNumberFormat="1" applyFill="1" applyAlignment="1">
      <alignment horizontal="center"/>
    </xf>
    <xf numFmtId="3" fontId="22" fillId="3" borderId="0" xfId="0" applyNumberFormat="1" applyFont="1" applyFill="1" applyAlignment="1">
      <alignment horizontal="center"/>
    </xf>
    <xf numFmtId="0" fontId="45" fillId="40" borderId="32" xfId="0" applyFont="1" applyFill="1" applyBorder="1" applyAlignment="1">
      <alignment horizontal="center" vertical="center" wrapText="1"/>
    </xf>
    <xf numFmtId="0" fontId="33" fillId="40" borderId="32" xfId="0" applyFont="1" applyFill="1" applyBorder="1" applyAlignment="1">
      <alignment horizontal="center" vertical="center" wrapText="1"/>
    </xf>
    <xf numFmtId="0" fontId="9" fillId="40" borderId="40" xfId="0" applyFont="1" applyFill="1" applyBorder="1" applyAlignment="1">
      <alignment horizontal="center" vertical="center" wrapText="1"/>
    </xf>
    <xf numFmtId="0" fontId="9" fillId="40" borderId="41" xfId="0" applyFont="1" applyFill="1" applyBorder="1" applyAlignment="1">
      <alignment horizontal="center" vertical="center" wrapText="1"/>
    </xf>
    <xf numFmtId="0" fontId="45" fillId="41" borderId="42" xfId="0" applyFont="1" applyFill="1" applyBorder="1" applyAlignment="1">
      <alignment horizontal="center" vertical="center"/>
    </xf>
    <xf numFmtId="0" fontId="45" fillId="41" borderId="43" xfId="0" applyFont="1" applyFill="1" applyBorder="1" applyAlignment="1">
      <alignment horizontal="center" vertical="center"/>
    </xf>
    <xf numFmtId="0" fontId="45" fillId="41" borderId="44" xfId="0" applyFont="1" applyFill="1" applyBorder="1" applyAlignment="1">
      <alignment horizontal="center" vertical="center"/>
    </xf>
    <xf numFmtId="0" fontId="45" fillId="41" borderId="44" xfId="0" applyFont="1" applyFill="1" applyBorder="1" applyAlignment="1">
      <alignment horizontal="center" vertical="center" wrapText="1"/>
    </xf>
    <xf numFmtId="0" fontId="3" fillId="0" borderId="0" xfId="0" applyFont="1" applyAlignment="1">
      <alignment horizontal="center" vertical="center" wrapText="1"/>
    </xf>
    <xf numFmtId="1" fontId="28" fillId="2" borderId="32" xfId="1" applyNumberFormat="1" applyFont="1" applyFill="1" applyBorder="1" applyAlignment="1">
      <alignment horizontal="center" vertical="center"/>
    </xf>
    <xf numFmtId="9" fontId="28" fillId="2" borderId="32" xfId="1" applyFont="1" applyFill="1" applyBorder="1" applyAlignment="1">
      <alignment horizontal="center" vertical="center"/>
    </xf>
    <xf numFmtId="0" fontId="108" fillId="0" borderId="58" xfId="0" applyFont="1" applyBorder="1" applyAlignment="1">
      <alignment horizontal="left" vertical="center"/>
    </xf>
    <xf numFmtId="177" fontId="111" fillId="0" borderId="0" xfId="0" applyNumberFormat="1" applyFont="1" applyAlignment="1">
      <alignment horizontal="centerContinuous" vertical="center"/>
    </xf>
    <xf numFmtId="0" fontId="57" fillId="0" borderId="0" xfId="0" applyFont="1" applyAlignment="1">
      <alignment horizontal="center"/>
    </xf>
    <xf numFmtId="0" fontId="146" fillId="0" borderId="58" xfId="0" applyFont="1" applyBorder="1" applyAlignment="1">
      <alignment horizontal="centerContinuous" vertical="center"/>
    </xf>
    <xf numFmtId="0" fontId="146" fillId="0" borderId="58" xfId="0" applyFont="1" applyBorder="1" applyAlignment="1">
      <alignment horizontal="center" vertical="center"/>
    </xf>
    <xf numFmtId="177" fontId="43" fillId="0" borderId="58" xfId="0" applyNumberFormat="1" applyFont="1" applyBorder="1" applyAlignment="1">
      <alignment horizontal="centerContinuous" vertical="center"/>
    </xf>
    <xf numFmtId="0" fontId="57" fillId="4" borderId="0" xfId="0" applyFont="1" applyFill="1" applyAlignment="1">
      <alignment horizontal="center" vertical="center"/>
    </xf>
    <xf numFmtId="176" fontId="57" fillId="0" borderId="0" xfId="0" applyNumberFormat="1" applyFont="1" applyAlignment="1">
      <alignment horizontal="center"/>
    </xf>
    <xf numFmtId="174" fontId="57" fillId="0" borderId="0" xfId="35" applyNumberFormat="1" applyFont="1" applyAlignment="1">
      <alignment horizontal="center"/>
    </xf>
    <xf numFmtId="3" fontId="12" fillId="0" borderId="0" xfId="0" applyNumberFormat="1" applyFont="1" applyAlignment="1">
      <alignment horizontal="center"/>
    </xf>
    <xf numFmtId="177" fontId="111" fillId="0" borderId="58" xfId="0" applyNumberFormat="1" applyFont="1" applyBorder="1" applyAlignment="1">
      <alignment horizontal="left" vertical="center"/>
    </xf>
    <xf numFmtId="0" fontId="45" fillId="15" borderId="61" xfId="0" applyFont="1" applyFill="1" applyBorder="1" applyAlignment="1">
      <alignment horizontal="center" vertical="center"/>
    </xf>
    <xf numFmtId="0" fontId="45" fillId="15" borderId="62" xfId="0" applyFont="1" applyFill="1" applyBorder="1" applyAlignment="1">
      <alignment horizontal="center" vertical="center"/>
    </xf>
    <xf numFmtId="0" fontId="45" fillId="25" borderId="63" xfId="0" applyFont="1" applyFill="1" applyBorder="1" applyAlignment="1">
      <alignment horizontal="center" vertical="center"/>
    </xf>
    <xf numFmtId="0" fontId="45" fillId="25" borderId="0" xfId="0" applyFont="1" applyFill="1" applyAlignment="1">
      <alignment horizontal="center" vertical="center"/>
    </xf>
    <xf numFmtId="0" fontId="45" fillId="26" borderId="63" xfId="0" applyFont="1" applyFill="1" applyBorder="1" applyAlignment="1">
      <alignment horizontal="center" vertical="center"/>
    </xf>
    <xf numFmtId="0" fontId="45" fillId="26" borderId="0" xfId="0" applyFont="1" applyFill="1" applyAlignment="1">
      <alignment horizontal="center" vertical="center"/>
    </xf>
    <xf numFmtId="0" fontId="134" fillId="0" borderId="20" xfId="0" applyFont="1" applyBorder="1" applyAlignment="1">
      <alignment horizontal="center" vertical="center"/>
    </xf>
    <xf numFmtId="0" fontId="134" fillId="3" borderId="20" xfId="0" applyFont="1" applyFill="1" applyBorder="1" applyAlignment="1">
      <alignment horizontal="center" vertical="center"/>
    </xf>
    <xf numFmtId="3" fontId="22" fillId="4" borderId="32" xfId="0" applyNumberFormat="1" applyFont="1" applyFill="1" applyBorder="1" applyAlignment="1">
      <alignment horizontal="center" vertical="center"/>
    </xf>
    <xf numFmtId="0" fontId="22" fillId="4" borderId="0" xfId="0" applyFont="1" applyFill="1" applyAlignment="1">
      <alignment horizontal="center"/>
    </xf>
    <xf numFmtId="9" fontId="1" fillId="2" borderId="2" xfId="1" applyFont="1" applyFill="1" applyBorder="1" applyAlignment="1">
      <alignment horizontal="right" vertical="center"/>
    </xf>
    <xf numFmtId="9" fontId="1" fillId="2" borderId="7" xfId="1" applyFont="1" applyFill="1" applyBorder="1" applyAlignment="1">
      <alignment horizontal="right" vertical="center"/>
    </xf>
    <xf numFmtId="9" fontId="0" fillId="2" borderId="2" xfId="1" applyFont="1" applyFill="1" applyBorder="1" applyAlignment="1">
      <alignment horizontal="right" vertical="center"/>
    </xf>
    <xf numFmtId="9" fontId="0" fillId="2" borderId="7" xfId="1" applyFont="1" applyFill="1" applyBorder="1" applyAlignment="1">
      <alignment horizontal="right" vertical="center"/>
    </xf>
    <xf numFmtId="9" fontId="19" fillId="4" borderId="2" xfId="1" applyFont="1" applyFill="1" applyBorder="1" applyAlignment="1">
      <alignment horizontal="right" vertical="center"/>
    </xf>
    <xf numFmtId="9" fontId="19" fillId="4" borderId="7" xfId="1" applyFont="1" applyFill="1" applyBorder="1" applyAlignment="1">
      <alignment horizontal="right" vertical="center"/>
    </xf>
    <xf numFmtId="9" fontId="19" fillId="4" borderId="15" xfId="1" applyFont="1" applyFill="1" applyBorder="1" applyAlignment="1">
      <alignment horizontal="right" vertical="center"/>
    </xf>
    <xf numFmtId="9" fontId="19" fillId="0" borderId="17" xfId="1" applyFont="1" applyBorder="1" applyAlignment="1">
      <alignment horizontal="right" vertical="center"/>
    </xf>
    <xf numFmtId="3" fontId="19" fillId="4" borderId="12" xfId="0" applyNumberFormat="1" applyFont="1" applyFill="1" applyBorder="1" applyAlignment="1">
      <alignment horizontal="center" vertical="center"/>
    </xf>
    <xf numFmtId="3" fontId="19" fillId="0" borderId="12" xfId="0" applyNumberFormat="1" applyFont="1" applyBorder="1" applyAlignment="1">
      <alignment horizontal="center" vertical="center"/>
    </xf>
    <xf numFmtId="3" fontId="22" fillId="0" borderId="51" xfId="0" applyNumberFormat="1" applyFont="1" applyBorder="1" applyAlignment="1">
      <alignment horizontal="center" vertical="center"/>
    </xf>
    <xf numFmtId="2" fontId="0" fillId="0" borderId="0" xfId="0" applyNumberFormat="1" applyAlignment="1">
      <alignment horizontal="center"/>
    </xf>
    <xf numFmtId="2" fontId="12" fillId="0" borderId="0" xfId="0" applyNumberFormat="1" applyFont="1" applyAlignment="1">
      <alignment horizontal="center"/>
    </xf>
    <xf numFmtId="173" fontId="12" fillId="0" borderId="32" xfId="0" applyNumberFormat="1" applyFont="1" applyBorder="1" applyAlignment="1">
      <alignment horizontal="center" vertical="center"/>
    </xf>
    <xf numFmtId="165" fontId="81" fillId="3" borderId="0" xfId="31" applyFont="1" applyFill="1" applyBorder="1" applyAlignment="1">
      <alignment horizontal="center" vertical="center"/>
    </xf>
    <xf numFmtId="174" fontId="81" fillId="3" borderId="0" xfId="35" applyNumberFormat="1" applyFont="1" applyFill="1" applyBorder="1" applyAlignment="1">
      <alignment horizontal="center" vertical="center"/>
    </xf>
    <xf numFmtId="9" fontId="81" fillId="3" borderId="0" xfId="1" applyFont="1" applyFill="1" applyBorder="1" applyAlignment="1">
      <alignment horizontal="center" vertical="center"/>
    </xf>
    <xf numFmtId="0" fontId="81" fillId="3" borderId="0" xfId="1" applyNumberFormat="1" applyFont="1" applyFill="1" applyBorder="1" applyAlignment="1">
      <alignment horizontal="center" vertical="center"/>
    </xf>
    <xf numFmtId="0" fontId="78" fillId="4" borderId="0" xfId="1" applyNumberFormat="1" applyFont="1" applyFill="1" applyBorder="1" applyAlignment="1">
      <alignment vertical="center"/>
    </xf>
    <xf numFmtId="3" fontId="78" fillId="4" borderId="0" xfId="1" applyNumberFormat="1" applyFont="1" applyFill="1" applyBorder="1" applyAlignment="1">
      <alignment vertical="center"/>
    </xf>
    <xf numFmtId="9" fontId="78" fillId="4" borderId="0" xfId="1" applyFont="1" applyFill="1" applyBorder="1" applyAlignment="1">
      <alignment vertical="center"/>
    </xf>
    <xf numFmtId="3" fontId="53" fillId="0" borderId="2" xfId="2" applyNumberFormat="1" applyFont="1" applyFill="1" applyBorder="1" applyAlignment="1">
      <alignment horizontal="center" vertical="center" wrapText="1"/>
    </xf>
    <xf numFmtId="3" fontId="53" fillId="0" borderId="5" xfId="2" applyNumberFormat="1" applyFont="1" applyFill="1" applyBorder="1" applyAlignment="1">
      <alignment horizontal="center" vertical="center" wrapText="1"/>
    </xf>
    <xf numFmtId="0" fontId="107" fillId="3" borderId="0" xfId="0" applyFont="1" applyFill="1" applyAlignment="1">
      <alignment vertical="center"/>
    </xf>
    <xf numFmtId="0" fontId="107" fillId="3" borderId="0" xfId="0" applyFont="1" applyFill="1" applyAlignment="1">
      <alignment horizontal="right"/>
    </xf>
    <xf numFmtId="0" fontId="107" fillId="3" borderId="0" xfId="0" applyFont="1" applyFill="1"/>
    <xf numFmtId="3" fontId="106" fillId="3" borderId="0" xfId="0" applyNumberFormat="1" applyFont="1" applyFill="1"/>
    <xf numFmtId="3" fontId="0" fillId="4" borderId="2" xfId="0" applyNumberFormat="1" applyFill="1" applyBorder="1" applyAlignment="1">
      <alignment horizontal="center" vertical="center"/>
    </xf>
    <xf numFmtId="3" fontId="0" fillId="4" borderId="1" xfId="0" applyNumberFormat="1" applyFill="1" applyBorder="1" applyAlignment="1">
      <alignment horizontal="center" vertical="center"/>
    </xf>
    <xf numFmtId="3" fontId="0" fillId="0" borderId="1" xfId="0" applyNumberFormat="1" applyBorder="1" applyAlignment="1">
      <alignment horizontal="center" vertical="center"/>
    </xf>
    <xf numFmtId="3" fontId="100" fillId="4" borderId="1" xfId="0" applyNumberFormat="1" applyFont="1" applyFill="1" applyBorder="1" applyAlignment="1">
      <alignment horizontal="center" vertical="center"/>
    </xf>
    <xf numFmtId="3" fontId="100" fillId="0" borderId="1" xfId="0" applyNumberFormat="1" applyFont="1" applyBorder="1" applyAlignment="1">
      <alignment horizontal="center" vertical="center"/>
    </xf>
    <xf numFmtId="9" fontId="105" fillId="2" borderId="7" xfId="1" applyFont="1" applyFill="1" applyBorder="1" applyAlignment="1">
      <alignment horizontal="center" vertical="center"/>
    </xf>
    <xf numFmtId="3" fontId="90" fillId="4" borderId="1" xfId="0" applyNumberFormat="1" applyFont="1" applyFill="1" applyBorder="1" applyAlignment="1">
      <alignment horizontal="center" vertical="center"/>
    </xf>
    <xf numFmtId="3" fontId="105" fillId="4" borderId="1" xfId="0" applyNumberFormat="1" applyFont="1" applyFill="1" applyBorder="1" applyAlignment="1">
      <alignment horizontal="center" vertical="center"/>
    </xf>
    <xf numFmtId="3" fontId="105" fillId="0" borderId="1" xfId="0" applyNumberFormat="1" applyFont="1" applyBorder="1" applyAlignment="1">
      <alignment horizontal="center" vertical="center"/>
    </xf>
    <xf numFmtId="0" fontId="16" fillId="6" borderId="3" xfId="0" applyFont="1" applyFill="1" applyBorder="1" applyAlignment="1">
      <alignment horizontal="center" vertical="center" wrapText="1"/>
    </xf>
    <xf numFmtId="0" fontId="105" fillId="0" borderId="0" xfId="0" applyFont="1"/>
    <xf numFmtId="0" fontId="22" fillId="0" borderId="0" xfId="0" applyFont="1"/>
    <xf numFmtId="3" fontId="1" fillId="4" borderId="2" xfId="1" applyNumberFormat="1" applyFont="1" applyFill="1" applyBorder="1" applyAlignment="1">
      <alignment horizontal="center" vertical="center"/>
    </xf>
    <xf numFmtId="0" fontId="45" fillId="14"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9" fillId="16" borderId="4" xfId="0" applyFont="1" applyFill="1" applyBorder="1" applyAlignment="1">
      <alignment horizontal="center" vertical="center" wrapText="1"/>
    </xf>
    <xf numFmtId="1" fontId="0" fillId="4" borderId="1" xfId="0" applyNumberFormat="1" applyFill="1" applyBorder="1" applyAlignment="1">
      <alignment horizontal="center" vertical="center"/>
    </xf>
    <xf numFmtId="174" fontId="82" fillId="23" borderId="34" xfId="35" applyNumberFormat="1" applyFont="1" applyFill="1" applyBorder="1" applyAlignment="1">
      <alignment horizontal="center" vertical="center"/>
    </xf>
    <xf numFmtId="174" fontId="88" fillId="23" borderId="34" xfId="35" applyNumberFormat="1" applyFont="1" applyFill="1" applyBorder="1" applyAlignment="1">
      <alignment horizontal="center" vertical="center"/>
    </xf>
    <xf numFmtId="0" fontId="86" fillId="23" borderId="34" xfId="0" applyFont="1" applyFill="1" applyBorder="1" applyAlignment="1">
      <alignment horizontal="center" vertical="center"/>
    </xf>
    <xf numFmtId="3" fontId="22" fillId="2" borderId="1" xfId="0" applyNumberFormat="1" applyFont="1" applyFill="1" applyBorder="1" applyAlignment="1">
      <alignment horizontal="center" vertical="center"/>
    </xf>
    <xf numFmtId="173" fontId="100" fillId="4" borderId="1" xfId="0" applyNumberFormat="1" applyFont="1" applyFill="1" applyBorder="1" applyAlignment="1">
      <alignment horizontal="center" vertical="center"/>
    </xf>
    <xf numFmtId="3" fontId="53" fillId="22" borderId="2" xfId="2" applyNumberFormat="1" applyFont="1" applyFill="1" applyBorder="1" applyAlignment="1">
      <alignment horizontal="center" vertical="center" wrapText="1"/>
    </xf>
    <xf numFmtId="3" fontId="53" fillId="22" borderId="59" xfId="2" applyNumberFormat="1" applyFont="1" applyFill="1" applyBorder="1" applyAlignment="1">
      <alignment horizontal="center" vertical="center" wrapText="1"/>
    </xf>
    <xf numFmtId="0" fontId="69" fillId="2" borderId="0" xfId="0" applyFont="1" applyFill="1"/>
    <xf numFmtId="0" fontId="44" fillId="2" borderId="0" xfId="0" applyFont="1" applyFill="1"/>
    <xf numFmtId="0" fontId="115" fillId="2" borderId="0" xfId="0" applyFont="1" applyFill="1"/>
    <xf numFmtId="0" fontId="149" fillId="2" borderId="0" xfId="0" applyFont="1" applyFill="1"/>
    <xf numFmtId="0" fontId="149" fillId="3" borderId="0" xfId="0" applyFont="1" applyFill="1"/>
    <xf numFmtId="0" fontId="40" fillId="4" borderId="0" xfId="0" applyFont="1" applyFill="1" applyAlignment="1">
      <alignment vertical="center"/>
    </xf>
    <xf numFmtId="0" fontId="44" fillId="3" borderId="0" xfId="0" applyFont="1" applyFill="1" applyAlignment="1">
      <alignment vertical="center"/>
    </xf>
    <xf numFmtId="0" fontId="44" fillId="4" borderId="0" xfId="0" applyFont="1" applyFill="1" applyAlignment="1">
      <alignment vertical="center"/>
    </xf>
    <xf numFmtId="3" fontId="44" fillId="4" borderId="0" xfId="0" applyNumberFormat="1" applyFont="1" applyFill="1" applyAlignment="1">
      <alignment horizontal="center" vertical="center"/>
    </xf>
    <xf numFmtId="3" fontId="107" fillId="2" borderId="2" xfId="0" applyNumberFormat="1" applyFont="1" applyFill="1" applyBorder="1" applyAlignment="1">
      <alignment horizontal="center" vertical="center"/>
    </xf>
    <xf numFmtId="3" fontId="107" fillId="2" borderId="7" xfId="0" applyNumberFormat="1" applyFont="1" applyFill="1" applyBorder="1" applyAlignment="1">
      <alignment horizontal="center" vertical="center"/>
    </xf>
    <xf numFmtId="0" fontId="3" fillId="2" borderId="1" xfId="0" applyFont="1" applyFill="1" applyBorder="1" applyAlignment="1">
      <alignment horizontal="left" vertical="center" indent="1"/>
    </xf>
    <xf numFmtId="0" fontId="12" fillId="2" borderId="1" xfId="0" applyFont="1" applyFill="1" applyBorder="1" applyAlignment="1">
      <alignment horizontal="center" vertical="center"/>
    </xf>
    <xf numFmtId="9" fontId="1" fillId="2" borderId="2" xfId="1" applyFont="1" applyFill="1" applyBorder="1" applyAlignment="1">
      <alignment horizontal="right" vertical="center"/>
    </xf>
    <xf numFmtId="9" fontId="1" fillId="2" borderId="7" xfId="1" applyFont="1" applyFill="1" applyBorder="1" applyAlignment="1">
      <alignment horizontal="right" vertical="center"/>
    </xf>
    <xf numFmtId="9" fontId="1" fillId="2" borderId="2" xfId="1" applyFont="1" applyFill="1" applyBorder="1" applyAlignment="1">
      <alignment horizontal="center" vertical="center"/>
    </xf>
    <xf numFmtId="9" fontId="1" fillId="2" borderId="7" xfId="1" applyFont="1" applyFill="1" applyBorder="1" applyAlignment="1">
      <alignment horizontal="center" vertical="center"/>
    </xf>
    <xf numFmtId="9" fontId="107" fillId="2" borderId="2" xfId="1" applyFont="1" applyFill="1" applyBorder="1" applyAlignment="1">
      <alignment horizontal="right" vertical="center"/>
    </xf>
    <xf numFmtId="9" fontId="107" fillId="2" borderId="7" xfId="1" applyFont="1" applyFill="1" applyBorder="1" applyAlignment="1">
      <alignment horizontal="right" vertical="center"/>
    </xf>
    <xf numFmtId="3" fontId="107" fillId="2" borderId="2" xfId="10" applyNumberFormat="1" applyFont="1" applyFill="1" applyBorder="1" applyAlignment="1">
      <alignment horizontal="center" vertical="center"/>
    </xf>
    <xf numFmtId="3" fontId="107" fillId="2" borderId="1" xfId="10" applyNumberFormat="1" applyFont="1" applyFill="1" applyBorder="1" applyAlignment="1">
      <alignment horizontal="center" vertical="center"/>
    </xf>
    <xf numFmtId="3" fontId="107" fillId="2" borderId="7" xfId="10" applyNumberFormat="1" applyFont="1" applyFill="1" applyBorder="1" applyAlignment="1">
      <alignment horizontal="center" vertical="center"/>
    </xf>
    <xf numFmtId="9" fontId="107" fillId="2" borderId="2" xfId="2" applyFont="1" applyFill="1" applyBorder="1" applyAlignment="1">
      <alignment horizontal="right" vertical="center"/>
    </xf>
    <xf numFmtId="9" fontId="107" fillId="2" borderId="1" xfId="2" applyFont="1" applyFill="1" applyBorder="1" applyAlignment="1">
      <alignment horizontal="right" vertical="center"/>
    </xf>
    <xf numFmtId="0" fontId="43" fillId="2" borderId="1" xfId="0" applyFont="1" applyFill="1" applyBorder="1" applyAlignment="1">
      <alignment horizontal="left" vertical="center" indent="1"/>
    </xf>
    <xf numFmtId="3" fontId="106" fillId="4" borderId="2" xfId="0" applyNumberFormat="1" applyFont="1" applyFill="1" applyBorder="1" applyAlignment="1">
      <alignment horizontal="center" vertical="center"/>
    </xf>
    <xf numFmtId="3" fontId="106" fillId="4" borderId="7" xfId="0" applyNumberFormat="1" applyFont="1" applyFill="1" applyBorder="1" applyAlignment="1">
      <alignment horizontal="center" vertical="center"/>
    </xf>
    <xf numFmtId="3" fontId="100" fillId="4" borderId="2" xfId="0" applyNumberFormat="1" applyFont="1" applyFill="1" applyBorder="1" applyAlignment="1">
      <alignment horizontal="center" vertical="center"/>
    </xf>
    <xf numFmtId="3" fontId="100" fillId="4" borderId="7" xfId="0" applyNumberFormat="1" applyFont="1" applyFill="1" applyBorder="1" applyAlignment="1">
      <alignment horizontal="center" vertical="center"/>
    </xf>
    <xf numFmtId="9" fontId="19" fillId="4" borderId="2" xfId="1" applyFont="1" applyFill="1" applyBorder="1" applyAlignment="1">
      <alignment horizontal="right" vertical="center"/>
    </xf>
    <xf numFmtId="9" fontId="19" fillId="4" borderId="7" xfId="1" applyFont="1" applyFill="1" applyBorder="1" applyAlignment="1">
      <alignment horizontal="right" vertical="center"/>
    </xf>
    <xf numFmtId="0" fontId="100" fillId="4" borderId="1" xfId="0" applyFont="1" applyFill="1" applyBorder="1" applyAlignment="1">
      <alignment horizontal="left" vertical="center"/>
    </xf>
    <xf numFmtId="0" fontId="100" fillId="0" borderId="1" xfId="0" applyFont="1" applyBorder="1" applyAlignment="1">
      <alignment horizontal="left" vertical="center"/>
    </xf>
    <xf numFmtId="0" fontId="22" fillId="4" borderId="1" xfId="0" applyFont="1" applyFill="1" applyBorder="1" applyAlignment="1">
      <alignment horizontal="center" vertical="center"/>
    </xf>
    <xf numFmtId="9" fontId="19" fillId="4" borderId="2" xfId="1" applyFont="1" applyFill="1" applyBorder="1" applyAlignment="1">
      <alignment horizontal="center" vertical="center"/>
    </xf>
    <xf numFmtId="9" fontId="19" fillId="4" borderId="7" xfId="1" applyFont="1" applyFill="1" applyBorder="1" applyAlignment="1">
      <alignment horizontal="center" vertical="center"/>
    </xf>
    <xf numFmtId="4" fontId="107" fillId="2" borderId="2" xfId="0" applyNumberFormat="1" applyFont="1" applyFill="1" applyBorder="1" applyAlignment="1">
      <alignment horizontal="center" vertical="center"/>
    </xf>
    <xf numFmtId="4" fontId="107" fillId="2" borderId="7" xfId="0" applyNumberFormat="1" applyFont="1" applyFill="1" applyBorder="1" applyAlignment="1">
      <alignment horizontal="center" vertical="center"/>
    </xf>
    <xf numFmtId="3" fontId="100" fillId="4" borderId="5" xfId="0" applyNumberFormat="1" applyFont="1" applyFill="1" applyBorder="1" applyAlignment="1">
      <alignment horizontal="center" vertical="center"/>
    </xf>
    <xf numFmtId="3" fontId="100" fillId="4" borderId="47" xfId="0" applyNumberFormat="1" applyFont="1" applyFill="1" applyBorder="1" applyAlignment="1">
      <alignment horizontal="center" vertical="center"/>
    </xf>
    <xf numFmtId="3" fontId="100" fillId="4" borderId="14" xfId="0" applyNumberFormat="1" applyFont="1" applyFill="1" applyBorder="1" applyAlignment="1">
      <alignment horizontal="center" vertical="center"/>
    </xf>
    <xf numFmtId="3" fontId="100" fillId="4" borderId="16" xfId="0" applyNumberFormat="1" applyFont="1" applyFill="1" applyBorder="1" applyAlignment="1">
      <alignment horizontal="center" vertical="center"/>
    </xf>
    <xf numFmtId="3" fontId="106" fillId="4" borderId="15" xfId="0" applyNumberFormat="1" applyFont="1" applyFill="1" applyBorder="1" applyAlignment="1">
      <alignment horizontal="center" vertical="center"/>
    </xf>
    <xf numFmtId="3" fontId="106" fillId="4" borderId="17" xfId="0" applyNumberFormat="1" applyFont="1" applyFill="1" applyBorder="1" applyAlignment="1">
      <alignment horizontal="center" vertical="center"/>
    </xf>
    <xf numFmtId="9" fontId="0" fillId="2" borderId="2" xfId="1" applyFont="1" applyFill="1" applyBorder="1" applyAlignment="1">
      <alignment horizontal="right" vertical="center"/>
    </xf>
    <xf numFmtId="9" fontId="0" fillId="2" borderId="7" xfId="1" applyFont="1" applyFill="1" applyBorder="1" applyAlignment="1">
      <alignment horizontal="right" vertical="center"/>
    </xf>
    <xf numFmtId="0" fontId="19" fillId="2" borderId="1" xfId="0" applyFont="1" applyFill="1" applyBorder="1" applyAlignment="1">
      <alignment horizontal="left" vertical="center" indent="1"/>
    </xf>
    <xf numFmtId="9" fontId="107" fillId="2" borderId="6" xfId="1" applyFont="1" applyFill="1" applyBorder="1" applyAlignment="1">
      <alignment horizontal="right" vertical="center"/>
    </xf>
    <xf numFmtId="0" fontId="100" fillId="4" borderId="12" xfId="0" applyFont="1" applyFill="1" applyBorder="1" applyAlignment="1">
      <alignment horizontal="left" vertical="center"/>
    </xf>
    <xf numFmtId="0" fontId="100" fillId="0" borderId="12" xfId="0" applyFont="1" applyBorder="1" applyAlignment="1">
      <alignment horizontal="left" vertical="center"/>
    </xf>
    <xf numFmtId="0" fontId="19" fillId="4" borderId="18" xfId="0" applyFont="1" applyFill="1" applyBorder="1" applyAlignment="1">
      <alignment horizontal="center" vertical="center"/>
    </xf>
    <xf numFmtId="0" fontId="22" fillId="4" borderId="18" xfId="0" applyFont="1" applyFill="1" applyBorder="1" applyAlignment="1">
      <alignment horizontal="center" vertical="center"/>
    </xf>
    <xf numFmtId="3" fontId="19" fillId="4" borderId="12" xfId="0" applyNumberFormat="1" applyFont="1" applyFill="1" applyBorder="1" applyAlignment="1">
      <alignment horizontal="center" vertical="center"/>
    </xf>
    <xf numFmtId="3" fontId="19" fillId="0" borderId="12" xfId="0" applyNumberFormat="1" applyFont="1" applyBorder="1" applyAlignment="1">
      <alignment horizontal="center" vertical="center"/>
    </xf>
    <xf numFmtId="9" fontId="19" fillId="4" borderId="15" xfId="1" applyFont="1" applyFill="1" applyBorder="1" applyAlignment="1">
      <alignment horizontal="right" vertical="center"/>
    </xf>
    <xf numFmtId="9" fontId="19" fillId="0" borderId="17" xfId="1" applyFont="1" applyBorder="1" applyAlignment="1">
      <alignment horizontal="right" vertical="center"/>
    </xf>
    <xf numFmtId="9" fontId="107" fillId="2" borderId="97" xfId="1" applyFont="1" applyFill="1" applyBorder="1" applyAlignment="1">
      <alignment horizontal="right" vertical="center"/>
    </xf>
    <xf numFmtId="0" fontId="9" fillId="9" borderId="5" xfId="0" applyFont="1" applyFill="1" applyBorder="1" applyAlignment="1">
      <alignment horizontal="center" vertical="center" wrapText="1"/>
    </xf>
    <xf numFmtId="0" fontId="9" fillId="9" borderId="48"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17" fillId="6" borderId="3" xfId="0" applyFont="1" applyFill="1" applyBorder="1" applyAlignment="1">
      <alignment horizontal="center" vertical="center" wrapText="1"/>
    </xf>
    <xf numFmtId="3" fontId="11" fillId="6" borderId="10" xfId="0" applyNumberFormat="1" applyFont="1" applyFill="1" applyBorder="1" applyAlignment="1">
      <alignment horizontal="center" vertical="center" wrapText="1"/>
    </xf>
    <xf numFmtId="3" fontId="11" fillId="6" borderId="11" xfId="0" applyNumberFormat="1" applyFont="1" applyFill="1" applyBorder="1" applyAlignment="1">
      <alignment horizontal="center" vertical="center" wrapText="1"/>
    </xf>
    <xf numFmtId="0" fontId="34" fillId="6" borderId="2" xfId="0" applyFont="1" applyFill="1" applyBorder="1" applyAlignment="1">
      <alignment horizontal="center" vertical="center" wrapText="1"/>
    </xf>
    <xf numFmtId="0" fontId="34" fillId="6" borderId="6" xfId="0" applyFont="1" applyFill="1" applyBorder="1" applyAlignment="1">
      <alignment horizontal="center" vertical="center" wrapText="1"/>
    </xf>
    <xf numFmtId="171" fontId="16" fillId="6" borderId="0" xfId="0" applyNumberFormat="1" applyFont="1" applyFill="1" applyAlignment="1">
      <alignment horizontal="center" vertical="center"/>
    </xf>
    <xf numFmtId="171" fontId="16" fillId="6" borderId="0" xfId="0" quotePrefix="1" applyNumberFormat="1" applyFont="1" applyFill="1" applyAlignment="1">
      <alignment horizontal="center" vertical="center"/>
    </xf>
    <xf numFmtId="0" fontId="32" fillId="6" borderId="1"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5" fillId="11" borderId="0" xfId="0" applyFont="1" applyFill="1" applyAlignment="1">
      <alignment horizontal="center" vertical="center" wrapText="1"/>
    </xf>
    <xf numFmtId="0" fontId="9" fillId="11" borderId="2" xfId="0" applyFont="1" applyFill="1" applyBorder="1" applyAlignment="1">
      <alignment horizontal="center" vertical="center" wrapText="1"/>
    </xf>
    <xf numFmtId="0" fontId="9" fillId="11" borderId="6" xfId="0" applyFont="1" applyFill="1" applyBorder="1" applyAlignment="1">
      <alignment horizontal="center" vertical="center" wrapText="1"/>
    </xf>
    <xf numFmtId="3" fontId="22" fillId="0" borderId="50" xfId="0" applyNumberFormat="1" applyFont="1" applyBorder="1" applyAlignment="1">
      <alignment horizontal="center" vertical="center"/>
    </xf>
    <xf numFmtId="3" fontId="22" fillId="0" borderId="51" xfId="0" applyNumberFormat="1" applyFont="1" applyBorder="1" applyAlignment="1">
      <alignment horizontal="center" vertical="center"/>
    </xf>
    <xf numFmtId="3" fontId="105" fillId="2" borderId="2" xfId="0" applyNumberFormat="1" applyFont="1" applyFill="1" applyBorder="1" applyAlignment="1">
      <alignment horizontal="center" vertical="center"/>
    </xf>
    <xf numFmtId="3" fontId="105" fillId="2" borderId="7" xfId="0" applyNumberFormat="1" applyFont="1" applyFill="1" applyBorder="1" applyAlignment="1">
      <alignment horizontal="center" vertical="center"/>
    </xf>
    <xf numFmtId="0" fontId="9" fillId="27" borderId="40" xfId="0" applyFont="1" applyFill="1" applyBorder="1" applyAlignment="1">
      <alignment horizontal="center" vertical="center" wrapText="1"/>
    </xf>
    <xf numFmtId="0" fontId="9" fillId="27" borderId="49" xfId="0" applyFont="1" applyFill="1" applyBorder="1" applyAlignment="1">
      <alignment horizontal="center" vertical="center" wrapText="1"/>
    </xf>
    <xf numFmtId="0" fontId="45" fillId="25" borderId="63" xfId="0" applyFont="1" applyFill="1" applyBorder="1" applyAlignment="1">
      <alignment horizontal="center" vertical="center"/>
    </xf>
    <xf numFmtId="0" fontId="45" fillId="25" borderId="0" xfId="0" applyFont="1" applyFill="1" applyAlignment="1">
      <alignment horizontal="center" vertical="center"/>
    </xf>
    <xf numFmtId="0" fontId="45" fillId="26" borderId="63" xfId="0" applyFont="1" applyFill="1" applyBorder="1" applyAlignment="1">
      <alignment horizontal="center" vertical="center"/>
    </xf>
    <xf numFmtId="0" fontId="45" fillId="26" borderId="0" xfId="0" applyFont="1" applyFill="1" applyAlignment="1">
      <alignment horizontal="center" vertical="center"/>
    </xf>
    <xf numFmtId="0" fontId="9" fillId="6" borderId="0" xfId="0" applyFont="1" applyFill="1" applyAlignment="1">
      <alignment horizontal="center" vertical="center" wrapText="1"/>
    </xf>
    <xf numFmtId="0" fontId="9" fillId="6" borderId="2"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48"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28" fillId="2" borderId="1" xfId="0" applyFont="1" applyFill="1" applyBorder="1" applyAlignment="1">
      <alignment horizontal="left" vertical="center" wrapText="1" indent="1"/>
    </xf>
    <xf numFmtId="0" fontId="28" fillId="2" borderId="1" xfId="0" applyFont="1" applyFill="1" applyBorder="1" applyAlignment="1">
      <alignment horizontal="left" vertical="center" indent="1"/>
    </xf>
    <xf numFmtId="0" fontId="28" fillId="2" borderId="14" xfId="0" applyFont="1" applyFill="1" applyBorder="1" applyAlignment="1">
      <alignment horizontal="center" vertical="center"/>
    </xf>
    <xf numFmtId="0" fontId="28" fillId="2" borderId="0" xfId="0" applyFont="1" applyFill="1" applyAlignment="1">
      <alignment horizontal="center" vertical="center"/>
    </xf>
    <xf numFmtId="0" fontId="33" fillId="27" borderId="2" xfId="0" applyFont="1" applyFill="1" applyBorder="1" applyAlignment="1">
      <alignment horizontal="left" vertical="center" wrapText="1" indent="1"/>
    </xf>
    <xf numFmtId="0" fontId="33" fillId="27" borderId="7" xfId="0" applyFont="1" applyFill="1" applyBorder="1" applyAlignment="1">
      <alignment horizontal="left" vertical="center" wrapText="1" indent="1"/>
    </xf>
    <xf numFmtId="0" fontId="9" fillId="6" borderId="55" xfId="0" applyFont="1" applyFill="1" applyBorder="1" applyAlignment="1">
      <alignment horizontal="center" vertical="center" wrapText="1"/>
    </xf>
    <xf numFmtId="0" fontId="9" fillId="6" borderId="46" xfId="0" applyFont="1" applyFill="1" applyBorder="1" applyAlignment="1">
      <alignment horizontal="center" vertical="center" wrapText="1"/>
    </xf>
    <xf numFmtId="0" fontId="9" fillId="6" borderId="56" xfId="0" applyFont="1" applyFill="1" applyBorder="1" applyAlignment="1">
      <alignment horizontal="center" vertical="center" wrapText="1"/>
    </xf>
    <xf numFmtId="0" fontId="9" fillId="6" borderId="52" xfId="0" applyFont="1" applyFill="1" applyBorder="1" applyAlignment="1">
      <alignment horizontal="center" vertical="center" wrapText="1"/>
    </xf>
    <xf numFmtId="0" fontId="9" fillId="6" borderId="53" xfId="0" applyFont="1" applyFill="1" applyBorder="1" applyAlignment="1">
      <alignment horizontal="center" vertical="center" wrapText="1"/>
    </xf>
    <xf numFmtId="0" fontId="9" fillId="28" borderId="55" xfId="0" applyFont="1" applyFill="1" applyBorder="1" applyAlignment="1">
      <alignment horizontal="center" vertical="center" wrapText="1"/>
    </xf>
    <xf numFmtId="0" fontId="9" fillId="28" borderId="46" xfId="0" applyFont="1" applyFill="1" applyBorder="1" applyAlignment="1">
      <alignment horizontal="center" vertical="center" wrapText="1"/>
    </xf>
    <xf numFmtId="0" fontId="9" fillId="28" borderId="56" xfId="0" applyFont="1" applyFill="1" applyBorder="1" applyAlignment="1">
      <alignment horizontal="center" vertical="center" wrapText="1"/>
    </xf>
    <xf numFmtId="14" fontId="53" fillId="4" borderId="2" xfId="0" applyNumberFormat="1" applyFont="1" applyFill="1" applyBorder="1" applyAlignment="1">
      <alignment horizontal="center" vertical="center"/>
    </xf>
    <xf numFmtId="14" fontId="53" fillId="4" borderId="7" xfId="0" applyNumberFormat="1" applyFont="1" applyFill="1" applyBorder="1" applyAlignment="1">
      <alignment horizontal="center" vertical="center"/>
    </xf>
    <xf numFmtId="0" fontId="33" fillId="6" borderId="1" xfId="0" applyFont="1" applyFill="1" applyBorder="1" applyAlignment="1">
      <alignment horizontal="left" vertical="center" wrapText="1" indent="1"/>
    </xf>
    <xf numFmtId="0" fontId="33" fillId="6" borderId="1" xfId="0" applyFont="1" applyFill="1" applyBorder="1" applyAlignment="1">
      <alignment horizontal="left" vertical="center" indent="1"/>
    </xf>
    <xf numFmtId="0" fontId="53" fillId="4" borderId="1" xfId="0" applyFont="1" applyFill="1" applyBorder="1" applyAlignment="1">
      <alignment horizontal="center" vertical="center"/>
    </xf>
    <xf numFmtId="0" fontId="145" fillId="4" borderId="2" xfId="0" applyFont="1" applyFill="1" applyBorder="1" applyAlignment="1">
      <alignment horizontal="left" vertical="center" indent="4"/>
    </xf>
    <xf numFmtId="0" fontId="145" fillId="4" borderId="7" xfId="0" applyFont="1" applyFill="1" applyBorder="1" applyAlignment="1">
      <alignment horizontal="left" vertical="center" indent="4"/>
    </xf>
    <xf numFmtId="0" fontId="19" fillId="4" borderId="1" xfId="0" applyFont="1" applyFill="1" applyBorder="1" applyAlignment="1">
      <alignment horizontal="center" vertical="center"/>
    </xf>
    <xf numFmtId="9" fontId="22" fillId="4" borderId="2" xfId="1" applyFont="1" applyFill="1" applyBorder="1" applyAlignment="1">
      <alignment horizontal="center" vertical="center"/>
    </xf>
    <xf numFmtId="9" fontId="22" fillId="4" borderId="7" xfId="1" applyFont="1" applyFill="1" applyBorder="1" applyAlignment="1">
      <alignment horizontal="center" vertical="center"/>
    </xf>
    <xf numFmtId="0" fontId="145" fillId="0" borderId="2" xfId="0" applyFont="1" applyBorder="1" applyAlignment="1">
      <alignment horizontal="left" vertical="center" indent="4"/>
    </xf>
    <xf numFmtId="0" fontId="145" fillId="0" borderId="7" xfId="0" applyFont="1" applyBorder="1" applyAlignment="1">
      <alignment horizontal="left" vertical="center" indent="4"/>
    </xf>
    <xf numFmtId="0" fontId="19" fillId="4" borderId="2" xfId="0" applyFont="1" applyFill="1" applyBorder="1" applyAlignment="1">
      <alignment horizontal="center" vertical="center"/>
    </xf>
    <xf numFmtId="0" fontId="19" fillId="4" borderId="7" xfId="0" applyFont="1" applyFill="1" applyBorder="1" applyAlignment="1">
      <alignment horizontal="center" vertical="center"/>
    </xf>
    <xf numFmtId="3" fontId="22" fillId="4" borderId="2" xfId="0" applyNumberFormat="1" applyFont="1" applyFill="1" applyBorder="1" applyAlignment="1">
      <alignment horizontal="center" vertical="center"/>
    </xf>
    <xf numFmtId="3" fontId="22" fillId="4" borderId="7" xfId="0" applyNumberFormat="1" applyFont="1" applyFill="1" applyBorder="1" applyAlignment="1">
      <alignment horizontal="center" vertical="center"/>
    </xf>
    <xf numFmtId="3" fontId="22" fillId="0" borderId="1" xfId="0" applyNumberFormat="1" applyFont="1" applyBorder="1" applyAlignment="1">
      <alignment horizontal="center" vertical="center"/>
    </xf>
    <xf numFmtId="3" fontId="22" fillId="4" borderId="1" xfId="0" applyNumberFormat="1" applyFont="1" applyFill="1" applyBorder="1" applyAlignment="1">
      <alignment horizontal="center" vertical="center"/>
    </xf>
    <xf numFmtId="0" fontId="100" fillId="2" borderId="1" xfId="0" applyFont="1" applyFill="1" applyBorder="1" applyAlignment="1">
      <alignment horizontal="center" vertical="center"/>
    </xf>
    <xf numFmtId="9" fontId="105" fillId="2" borderId="2" xfId="1" applyFont="1" applyFill="1" applyBorder="1" applyAlignment="1">
      <alignment horizontal="center" vertical="center"/>
    </xf>
    <xf numFmtId="9" fontId="105" fillId="2" borderId="7" xfId="1" applyFont="1" applyFill="1" applyBorder="1" applyAlignment="1">
      <alignment horizontal="center" vertical="center"/>
    </xf>
    <xf numFmtId="2" fontId="22" fillId="4" borderId="2" xfId="1" applyNumberFormat="1" applyFont="1" applyFill="1" applyBorder="1" applyAlignment="1">
      <alignment horizontal="center" vertical="center"/>
    </xf>
    <xf numFmtId="2" fontId="22" fillId="4" borderId="7" xfId="1" applyNumberFormat="1" applyFont="1" applyFill="1" applyBorder="1" applyAlignment="1">
      <alignment horizontal="center" vertical="center"/>
    </xf>
    <xf numFmtId="0" fontId="145" fillId="4" borderId="1" xfId="0" applyFont="1" applyFill="1" applyBorder="1" applyAlignment="1">
      <alignment horizontal="left" vertical="center" indent="4"/>
    </xf>
    <xf numFmtId="0" fontId="145" fillId="0" borderId="1" xfId="0" applyFont="1" applyBorder="1" applyAlignment="1">
      <alignment horizontal="left" vertical="center" indent="4"/>
    </xf>
    <xf numFmtId="0" fontId="100" fillId="2" borderId="2" xfId="0" applyFont="1" applyFill="1" applyBorder="1" applyAlignment="1">
      <alignment horizontal="left" vertical="center" indent="1"/>
    </xf>
    <xf numFmtId="0" fontId="100" fillId="2" borderId="7" xfId="0" applyFont="1" applyFill="1" applyBorder="1" applyAlignment="1">
      <alignment horizontal="left" vertical="center" indent="1"/>
    </xf>
    <xf numFmtId="0" fontId="100" fillId="2" borderId="2" xfId="0" applyFont="1" applyFill="1" applyBorder="1" applyAlignment="1">
      <alignment horizontal="center" vertical="center"/>
    </xf>
    <xf numFmtId="0" fontId="100" fillId="2" borderId="7" xfId="0" applyFont="1" applyFill="1" applyBorder="1" applyAlignment="1">
      <alignment horizontal="center" vertical="center"/>
    </xf>
    <xf numFmtId="0" fontId="100" fillId="4" borderId="2" xfId="0" applyFont="1" applyFill="1" applyBorder="1" applyAlignment="1">
      <alignment horizontal="left" vertical="center"/>
    </xf>
    <xf numFmtId="0" fontId="100" fillId="4" borderId="7" xfId="0" applyFont="1" applyFill="1" applyBorder="1" applyAlignment="1">
      <alignment horizontal="left" vertical="center"/>
    </xf>
    <xf numFmtId="0" fontId="90" fillId="4" borderId="2" xfId="0" applyFont="1" applyFill="1" applyBorder="1" applyAlignment="1">
      <alignment horizontal="center" vertical="center"/>
    </xf>
    <xf numFmtId="0" fontId="90" fillId="4" borderId="7" xfId="0" applyFont="1" applyFill="1" applyBorder="1" applyAlignment="1">
      <alignment horizontal="center" vertical="center"/>
    </xf>
    <xf numFmtId="0" fontId="52" fillId="0" borderId="2" xfId="0" applyFont="1" applyBorder="1" applyAlignment="1">
      <alignment horizontal="left" vertical="center" indent="4"/>
    </xf>
    <xf numFmtId="0" fontId="52" fillId="0" borderId="7" xfId="0" applyFont="1" applyBorder="1" applyAlignment="1">
      <alignment horizontal="left" vertical="center" indent="4"/>
    </xf>
    <xf numFmtId="0" fontId="28" fillId="4" borderId="2" xfId="0" applyFont="1" applyFill="1" applyBorder="1" applyAlignment="1">
      <alignment horizontal="center" vertical="center"/>
    </xf>
    <xf numFmtId="0" fontId="28" fillId="4" borderId="7" xfId="0" applyFont="1" applyFill="1" applyBorder="1" applyAlignment="1">
      <alignment horizontal="center" vertical="center"/>
    </xf>
    <xf numFmtId="9" fontId="1" fillId="4" borderId="2" xfId="1" applyFont="1" applyFill="1" applyBorder="1" applyAlignment="1">
      <alignment horizontal="center" vertical="center"/>
    </xf>
    <xf numFmtId="9" fontId="1" fillId="4" borderId="7" xfId="1" applyFont="1" applyFill="1" applyBorder="1" applyAlignment="1">
      <alignment horizontal="center" vertical="center"/>
    </xf>
    <xf numFmtId="3" fontId="22" fillId="4" borderId="6" xfId="0" applyNumberFormat="1" applyFont="1" applyFill="1" applyBorder="1" applyAlignment="1">
      <alignment horizontal="center" vertical="center"/>
    </xf>
    <xf numFmtId="9" fontId="22" fillId="4" borderId="6" xfId="1" applyFont="1" applyFill="1" applyBorder="1" applyAlignment="1">
      <alignment horizontal="center" vertical="center"/>
    </xf>
    <xf numFmtId="3" fontId="22" fillId="0" borderId="2" xfId="0" applyNumberFormat="1" applyFont="1" applyBorder="1" applyAlignment="1">
      <alignment horizontal="center" vertical="center"/>
    </xf>
    <xf numFmtId="0" fontId="28" fillId="4" borderId="1" xfId="0" applyFont="1" applyFill="1" applyBorder="1" applyAlignment="1">
      <alignment horizontal="center" vertical="center"/>
    </xf>
    <xf numFmtId="3" fontId="0" fillId="4" borderId="2" xfId="0" applyNumberFormat="1" applyFill="1" applyBorder="1" applyAlignment="1">
      <alignment horizontal="center" vertical="center"/>
    </xf>
    <xf numFmtId="3" fontId="0" fillId="4" borderId="7" xfId="0" applyNumberFormat="1" applyFill="1" applyBorder="1" applyAlignment="1">
      <alignment horizontal="center" vertical="center"/>
    </xf>
    <xf numFmtId="3" fontId="0" fillId="0" borderId="2" xfId="0" applyNumberFormat="1" applyBorder="1" applyAlignment="1">
      <alignment horizontal="center" vertical="center"/>
    </xf>
    <xf numFmtId="0" fontId="28" fillId="2" borderId="1" xfId="0" applyFont="1" applyFill="1" applyBorder="1" applyAlignment="1">
      <alignment horizontal="center" vertical="center"/>
    </xf>
    <xf numFmtId="3" fontId="0" fillId="2" borderId="2" xfId="0" applyNumberFormat="1" applyFill="1" applyBorder="1" applyAlignment="1">
      <alignment horizontal="center" vertical="center"/>
    </xf>
    <xf numFmtId="3" fontId="0" fillId="2" borderId="7" xfId="0" applyNumberFormat="1" applyFill="1" applyBorder="1" applyAlignment="1">
      <alignment horizontal="center" vertical="center"/>
    </xf>
    <xf numFmtId="9" fontId="19" fillId="2" borderId="2" xfId="1" applyFont="1" applyFill="1" applyBorder="1" applyAlignment="1">
      <alignment horizontal="center" vertical="center"/>
    </xf>
    <xf numFmtId="9" fontId="19" fillId="2" borderId="7" xfId="1" applyFont="1" applyFill="1" applyBorder="1" applyAlignment="1">
      <alignment horizontal="center" vertical="center"/>
    </xf>
    <xf numFmtId="0" fontId="128" fillId="0" borderId="2" xfId="0" applyFont="1" applyBorder="1" applyAlignment="1">
      <alignment horizontal="left" vertical="center" indent="4"/>
    </xf>
    <xf numFmtId="0" fontId="128" fillId="0" borderId="7" xfId="0" applyFont="1" applyBorder="1" applyAlignment="1">
      <alignment horizontal="left" vertical="center" indent="4"/>
    </xf>
    <xf numFmtId="0" fontId="100" fillId="4" borderId="2" xfId="0" applyFont="1" applyFill="1" applyBorder="1" applyAlignment="1">
      <alignment horizontal="center" vertical="center"/>
    </xf>
    <xf numFmtId="0" fontId="100" fillId="4" borderId="7" xfId="0" applyFont="1" applyFill="1" applyBorder="1" applyAlignment="1">
      <alignment horizontal="center" vertical="center"/>
    </xf>
    <xf numFmtId="9" fontId="105" fillId="4" borderId="2" xfId="1" applyFont="1" applyFill="1" applyBorder="1" applyAlignment="1">
      <alignment horizontal="center" vertical="center"/>
    </xf>
    <xf numFmtId="9" fontId="105" fillId="4" borderId="7" xfId="1" applyFont="1" applyFill="1" applyBorder="1" applyAlignment="1">
      <alignment horizontal="center" vertical="center"/>
    </xf>
    <xf numFmtId="3" fontId="105" fillId="4" borderId="2" xfId="0" applyNumberFormat="1" applyFont="1" applyFill="1" applyBorder="1" applyAlignment="1">
      <alignment horizontal="center" vertical="center"/>
    </xf>
    <xf numFmtId="3" fontId="105" fillId="4" borderId="7" xfId="0" applyNumberFormat="1" applyFont="1" applyFill="1" applyBorder="1" applyAlignment="1">
      <alignment horizontal="center" vertical="center"/>
    </xf>
    <xf numFmtId="9" fontId="100" fillId="4" borderId="2" xfId="1" applyFont="1" applyFill="1" applyBorder="1" applyAlignment="1">
      <alignment horizontal="center" vertical="center"/>
    </xf>
    <xf numFmtId="9" fontId="100" fillId="4" borderId="7" xfId="1" applyFont="1" applyFill="1" applyBorder="1" applyAlignment="1">
      <alignment horizontal="center" vertical="center"/>
    </xf>
    <xf numFmtId="0" fontId="100" fillId="4" borderId="1" xfId="0" applyFont="1" applyFill="1" applyBorder="1" applyAlignment="1">
      <alignment horizontal="center" vertical="center"/>
    </xf>
    <xf numFmtId="3" fontId="105" fillId="4" borderId="1" xfId="0" applyNumberFormat="1" applyFont="1" applyFill="1" applyBorder="1" applyAlignment="1">
      <alignment horizontal="center" vertical="center"/>
    </xf>
    <xf numFmtId="3" fontId="105" fillId="0" borderId="1" xfId="0" applyNumberFormat="1" applyFont="1" applyBorder="1" applyAlignment="1">
      <alignment horizontal="center" vertical="center"/>
    </xf>
    <xf numFmtId="9" fontId="105" fillId="0" borderId="7" xfId="1" applyFont="1" applyBorder="1" applyAlignment="1">
      <alignment horizontal="center" vertical="center"/>
    </xf>
    <xf numFmtId="3" fontId="100" fillId="4" borderId="1" xfId="0" applyNumberFormat="1" applyFont="1" applyFill="1" applyBorder="1" applyAlignment="1">
      <alignment horizontal="center" vertical="center"/>
    </xf>
    <xf numFmtId="3" fontId="100" fillId="0" borderId="1" xfId="0" applyNumberFormat="1" applyFont="1" applyBorder="1" applyAlignment="1">
      <alignment horizontal="center" vertical="center"/>
    </xf>
    <xf numFmtId="3" fontId="0" fillId="4" borderId="6" xfId="0" applyNumberFormat="1" applyFill="1" applyBorder="1" applyAlignment="1">
      <alignment horizontal="center" vertical="center"/>
    </xf>
    <xf numFmtId="3" fontId="19" fillId="4" borderId="1" xfId="0" applyNumberFormat="1" applyFont="1" applyFill="1" applyBorder="1" applyAlignment="1">
      <alignment horizontal="center" vertical="center"/>
    </xf>
    <xf numFmtId="3" fontId="19" fillId="0" borderId="1" xfId="0" applyNumberFormat="1" applyFont="1" applyBorder="1" applyAlignment="1">
      <alignment horizontal="center" vertical="center"/>
    </xf>
    <xf numFmtId="9" fontId="100" fillId="2" borderId="2" xfId="1" applyFont="1" applyFill="1" applyBorder="1" applyAlignment="1">
      <alignment horizontal="center" vertical="center"/>
    </xf>
    <xf numFmtId="9" fontId="100" fillId="2" borderId="7" xfId="1" applyFont="1" applyFill="1" applyBorder="1" applyAlignment="1">
      <alignment horizontal="center" vertical="center"/>
    </xf>
    <xf numFmtId="0" fontId="90" fillId="2" borderId="1" xfId="0" applyFont="1" applyFill="1" applyBorder="1" applyAlignment="1">
      <alignment horizontal="left" vertical="center" indent="1"/>
    </xf>
    <xf numFmtId="0" fontId="131" fillId="0" borderId="2" xfId="0" applyFont="1" applyBorder="1" applyAlignment="1">
      <alignment horizontal="left" vertical="center" indent="4"/>
    </xf>
    <xf numFmtId="0" fontId="131" fillId="0" borderId="7" xfId="0" applyFont="1" applyBorder="1" applyAlignment="1">
      <alignment horizontal="left" vertical="center" indent="4"/>
    </xf>
    <xf numFmtId="9" fontId="100" fillId="4" borderId="1" xfId="1" applyFont="1" applyFill="1" applyBorder="1" applyAlignment="1">
      <alignment horizontal="center" vertical="center"/>
    </xf>
    <xf numFmtId="0" fontId="139" fillId="0" borderId="2" xfId="0" applyFont="1" applyBorder="1" applyAlignment="1">
      <alignment horizontal="left" vertical="center" indent="4"/>
    </xf>
    <xf numFmtId="0" fontId="139" fillId="0" borderId="7" xfId="0" applyFont="1" applyBorder="1" applyAlignment="1">
      <alignment horizontal="left" vertical="center" indent="4"/>
    </xf>
    <xf numFmtId="3" fontId="105" fillId="2" borderId="6" xfId="0" applyNumberFormat="1" applyFont="1" applyFill="1" applyBorder="1" applyAlignment="1">
      <alignment horizontal="center" vertical="center"/>
    </xf>
    <xf numFmtId="9" fontId="22" fillId="0" borderId="7" xfId="1" applyFont="1" applyBorder="1" applyAlignment="1">
      <alignment horizontal="center" vertical="center"/>
    </xf>
    <xf numFmtId="3" fontId="0" fillId="4" borderId="1" xfId="0" applyNumberFormat="1" applyFill="1" applyBorder="1" applyAlignment="1">
      <alignment horizontal="center" vertical="center"/>
    </xf>
    <xf numFmtId="3" fontId="0" fillId="0" borderId="1" xfId="0" applyNumberFormat="1" applyBorder="1" applyAlignment="1">
      <alignment horizontal="center" vertical="center"/>
    </xf>
    <xf numFmtId="0" fontId="100" fillId="2" borderId="1" xfId="0" applyFont="1" applyFill="1" applyBorder="1" applyAlignment="1">
      <alignment horizontal="left" vertical="center" indent="1"/>
    </xf>
    <xf numFmtId="3" fontId="19" fillId="4" borderId="2" xfId="0" applyNumberFormat="1" applyFont="1" applyFill="1" applyBorder="1" applyAlignment="1">
      <alignment horizontal="center" vertical="center"/>
    </xf>
    <xf numFmtId="3" fontId="19" fillId="4" borderId="7" xfId="0" applyNumberFormat="1" applyFont="1" applyFill="1" applyBorder="1" applyAlignment="1">
      <alignment horizontal="center" vertical="center"/>
    </xf>
    <xf numFmtId="3" fontId="0" fillId="0" borderId="7" xfId="0" applyNumberFormat="1" applyBorder="1" applyAlignment="1">
      <alignment horizontal="center" vertical="center"/>
    </xf>
    <xf numFmtId="3" fontId="105" fillId="2" borderId="2" xfId="1" applyNumberFormat="1" applyFont="1" applyFill="1" applyBorder="1" applyAlignment="1">
      <alignment horizontal="center" vertical="center"/>
    </xf>
    <xf numFmtId="3" fontId="105" fillId="2" borderId="7" xfId="1" applyNumberFormat="1" applyFont="1" applyFill="1" applyBorder="1" applyAlignment="1">
      <alignment horizontal="center" vertical="center"/>
    </xf>
    <xf numFmtId="0" fontId="128" fillId="0" borderId="2" xfId="0" applyFont="1" applyBorder="1" applyAlignment="1">
      <alignment horizontal="left" vertical="center" wrapText="1" indent="4"/>
    </xf>
    <xf numFmtId="0" fontId="128" fillId="0" borderId="7" xfId="0" applyFont="1" applyBorder="1" applyAlignment="1">
      <alignment horizontal="left" vertical="center" wrapText="1" indent="4"/>
    </xf>
    <xf numFmtId="0" fontId="127" fillId="4" borderId="1" xfId="0" applyFont="1" applyFill="1" applyBorder="1" applyAlignment="1">
      <alignment horizontal="left" vertical="center" indent="4"/>
    </xf>
    <xf numFmtId="0" fontId="127" fillId="0" borderId="1" xfId="0" applyFont="1" applyBorder="1" applyAlignment="1">
      <alignment horizontal="left" vertical="center" indent="4"/>
    </xf>
    <xf numFmtId="0" fontId="90" fillId="2" borderId="2" xfId="0" applyFont="1" applyFill="1" applyBorder="1" applyAlignment="1">
      <alignment horizontal="left" vertical="center" indent="1"/>
    </xf>
    <xf numFmtId="0" fontId="90" fillId="2" borderId="7" xfId="0" applyFont="1" applyFill="1" applyBorder="1" applyAlignment="1">
      <alignment horizontal="left" vertical="center" indent="1"/>
    </xf>
    <xf numFmtId="3" fontId="90" fillId="4" borderId="2" xfId="0" applyNumberFormat="1" applyFont="1" applyFill="1" applyBorder="1" applyAlignment="1">
      <alignment horizontal="center" vertical="center"/>
    </xf>
    <xf numFmtId="3" fontId="90" fillId="4" borderId="7" xfId="0" applyNumberFormat="1" applyFont="1" applyFill="1" applyBorder="1" applyAlignment="1">
      <alignment horizontal="center" vertical="center"/>
    </xf>
    <xf numFmtId="9" fontId="90" fillId="4" borderId="2" xfId="1" applyFont="1" applyFill="1" applyBorder="1" applyAlignment="1">
      <alignment horizontal="center" vertical="center"/>
    </xf>
    <xf numFmtId="9" fontId="90" fillId="4" borderId="7" xfId="1" applyFont="1" applyFill="1" applyBorder="1" applyAlignment="1">
      <alignment horizontal="center" vertical="center"/>
    </xf>
    <xf numFmtId="3" fontId="90" fillId="4" borderId="1" xfId="0" applyNumberFormat="1" applyFont="1" applyFill="1" applyBorder="1" applyAlignment="1">
      <alignment horizontal="center" vertical="center"/>
    </xf>
    <xf numFmtId="3" fontId="90" fillId="0" borderId="1" xfId="0" applyNumberFormat="1" applyFont="1" applyBorder="1" applyAlignment="1">
      <alignment horizontal="center" vertical="center"/>
    </xf>
    <xf numFmtId="0" fontId="19" fillId="4" borderId="1" xfId="0" quotePrefix="1" applyFont="1" applyFill="1" applyBorder="1" applyAlignment="1">
      <alignment horizontal="center" vertical="center"/>
    </xf>
    <xf numFmtId="9" fontId="117" fillId="4" borderId="2" xfId="1" applyFont="1" applyFill="1" applyBorder="1" applyAlignment="1">
      <alignment horizontal="center" vertical="center"/>
    </xf>
    <xf numFmtId="9" fontId="117" fillId="4" borderId="7" xfId="1" applyFont="1" applyFill="1" applyBorder="1" applyAlignment="1">
      <alignment horizontal="center" vertical="center"/>
    </xf>
    <xf numFmtId="9" fontId="124" fillId="4" borderId="2" xfId="1" applyFont="1" applyFill="1" applyBorder="1" applyAlignment="1">
      <alignment horizontal="center" vertical="center"/>
    </xf>
    <xf numFmtId="9" fontId="124" fillId="4" borderId="7" xfId="1" applyFont="1" applyFill="1" applyBorder="1" applyAlignment="1">
      <alignment horizontal="center" vertical="center"/>
    </xf>
    <xf numFmtId="0" fontId="15" fillId="4" borderId="2" xfId="0" applyFont="1" applyFill="1" applyBorder="1" applyAlignment="1">
      <alignment horizontal="center" vertical="center"/>
    </xf>
    <xf numFmtId="0" fontId="15" fillId="4" borderId="7" xfId="0" applyFont="1" applyFill="1" applyBorder="1" applyAlignment="1">
      <alignment horizontal="center" vertical="center"/>
    </xf>
    <xf numFmtId="3" fontId="57" fillId="4" borderId="2" xfId="0" applyNumberFormat="1" applyFont="1" applyFill="1" applyBorder="1" applyAlignment="1">
      <alignment horizontal="center" vertical="center"/>
    </xf>
    <xf numFmtId="3" fontId="57" fillId="4" borderId="7" xfId="0" applyNumberFormat="1" applyFont="1" applyFill="1" applyBorder="1" applyAlignment="1">
      <alignment horizontal="center" vertical="center"/>
    </xf>
    <xf numFmtId="0" fontId="90" fillId="4" borderId="1" xfId="0" applyFont="1" applyFill="1" applyBorder="1" applyAlignment="1">
      <alignment horizontal="center" vertical="center"/>
    </xf>
    <xf numFmtId="9" fontId="90" fillId="0" borderId="7" xfId="1" applyFont="1" applyBorder="1" applyAlignment="1">
      <alignment horizontal="center" vertical="center"/>
    </xf>
    <xf numFmtId="3" fontId="105" fillId="0" borderId="2" xfId="0" applyNumberFormat="1" applyFont="1" applyBorder="1" applyAlignment="1">
      <alignment horizontal="center" vertical="center"/>
    </xf>
    <xf numFmtId="3" fontId="105" fillId="0" borderId="7" xfId="0" applyNumberFormat="1" applyFont="1" applyBorder="1" applyAlignment="1">
      <alignment horizontal="center" vertical="center"/>
    </xf>
    <xf numFmtId="0" fontId="15" fillId="4" borderId="1" xfId="0" applyFont="1" applyFill="1" applyBorder="1" applyAlignment="1">
      <alignment horizontal="center" vertical="center"/>
    </xf>
    <xf numFmtId="9" fontId="100" fillId="0" borderId="2" xfId="1" applyFont="1" applyFill="1" applyBorder="1" applyAlignment="1">
      <alignment horizontal="center" vertical="center"/>
    </xf>
    <xf numFmtId="9" fontId="100" fillId="0" borderId="7" xfId="1" applyFont="1" applyFill="1" applyBorder="1" applyAlignment="1">
      <alignment horizontal="center" vertical="center"/>
    </xf>
    <xf numFmtId="9" fontId="1" fillId="0" borderId="2" xfId="1" applyFont="1" applyFill="1" applyBorder="1" applyAlignment="1">
      <alignment horizontal="center" vertical="center"/>
    </xf>
    <xf numFmtId="9" fontId="1" fillId="0" borderId="7" xfId="1" applyFont="1" applyFill="1" applyBorder="1" applyAlignment="1">
      <alignment horizontal="center" vertical="center"/>
    </xf>
    <xf numFmtId="3" fontId="0" fillId="22" borderId="2" xfId="0" applyNumberFormat="1" applyFill="1" applyBorder="1" applyAlignment="1">
      <alignment horizontal="center" vertical="center"/>
    </xf>
    <xf numFmtId="3" fontId="0" fillId="22" borderId="7" xfId="0" applyNumberFormat="1" applyFill="1" applyBorder="1" applyAlignment="1">
      <alignment horizontal="center" vertical="center"/>
    </xf>
    <xf numFmtId="0" fontId="100" fillId="0" borderId="1" xfId="0" applyFont="1" applyBorder="1" applyAlignment="1">
      <alignment horizontal="center" vertical="center"/>
    </xf>
    <xf numFmtId="9" fontId="105" fillId="0" borderId="2" xfId="1" applyFont="1" applyFill="1" applyBorder="1" applyAlignment="1">
      <alignment horizontal="center" vertical="center"/>
    </xf>
    <xf numFmtId="9" fontId="105" fillId="0" borderId="7" xfId="1" applyFont="1" applyFill="1" applyBorder="1" applyAlignment="1">
      <alignment horizontal="center" vertical="center"/>
    </xf>
    <xf numFmtId="1" fontId="5" fillId="9" borderId="0" xfId="0" applyNumberFormat="1" applyFont="1" applyFill="1" applyAlignment="1">
      <alignment horizontal="center" vertical="center"/>
    </xf>
    <xf numFmtId="0" fontId="36" fillId="8" borderId="2" xfId="0" applyFont="1" applyFill="1" applyBorder="1" applyAlignment="1">
      <alignment horizontal="center" vertical="center" wrapText="1"/>
    </xf>
    <xf numFmtId="0" fontId="36" fillId="8" borderId="6" xfId="0" applyFont="1" applyFill="1" applyBorder="1" applyAlignment="1">
      <alignment horizontal="center" vertical="center" wrapText="1"/>
    </xf>
    <xf numFmtId="0" fontId="36" fillId="9" borderId="5" xfId="0" applyFont="1" applyFill="1" applyBorder="1" applyAlignment="1">
      <alignment horizontal="center" vertical="center" wrapText="1"/>
    </xf>
    <xf numFmtId="9" fontId="0" fillId="4" borderId="2" xfId="1" applyFont="1" applyFill="1" applyBorder="1" applyAlignment="1">
      <alignment horizontal="center" vertical="center"/>
    </xf>
    <xf numFmtId="9" fontId="0" fillId="4" borderId="7" xfId="1" applyFont="1" applyFill="1" applyBorder="1" applyAlignment="1">
      <alignment horizontal="center" vertical="center"/>
    </xf>
    <xf numFmtId="0" fontId="116" fillId="6" borderId="0" xfId="0" quotePrefix="1" applyFont="1" applyFill="1" applyAlignment="1">
      <alignment horizontal="center" vertical="center"/>
    </xf>
    <xf numFmtId="0" fontId="7" fillId="7" borderId="0" xfId="0" applyFont="1" applyFill="1" applyAlignment="1">
      <alignment horizontal="center" vertical="center" wrapText="1"/>
    </xf>
    <xf numFmtId="0" fontId="16" fillId="6" borderId="1"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16" fillId="20" borderId="24" xfId="0" applyFont="1" applyFill="1" applyBorder="1" applyAlignment="1">
      <alignment horizontal="center" vertical="center" wrapText="1"/>
    </xf>
    <xf numFmtId="0" fontId="16" fillId="20" borderId="25" xfId="0" applyFont="1" applyFill="1" applyBorder="1" applyAlignment="1">
      <alignment horizontal="center" vertical="center" wrapText="1"/>
    </xf>
    <xf numFmtId="0" fontId="16" fillId="20" borderId="27" xfId="0" applyFont="1" applyFill="1" applyBorder="1" applyAlignment="1">
      <alignment horizontal="center" vertical="center" wrapText="1"/>
    </xf>
    <xf numFmtId="0" fontId="16" fillId="20" borderId="28" xfId="0" applyFont="1" applyFill="1" applyBorder="1" applyAlignment="1">
      <alignment horizontal="center" vertical="center" wrapText="1"/>
    </xf>
    <xf numFmtId="0" fontId="16" fillId="20" borderId="26" xfId="0" applyFont="1" applyFill="1" applyBorder="1" applyAlignment="1">
      <alignment horizontal="center" vertical="center" wrapText="1"/>
    </xf>
    <xf numFmtId="0" fontId="16" fillId="20" borderId="29" xfId="0" applyFont="1" applyFill="1" applyBorder="1" applyAlignment="1">
      <alignment horizontal="center" vertical="center" wrapText="1"/>
    </xf>
    <xf numFmtId="0" fontId="16" fillId="6" borderId="3" xfId="0" applyFont="1" applyFill="1" applyBorder="1" applyAlignment="1">
      <alignment horizontal="center" vertical="center" wrapText="1"/>
    </xf>
    <xf numFmtId="3" fontId="36" fillId="6" borderId="4" xfId="0" applyNumberFormat="1" applyFont="1" applyFill="1" applyBorder="1" applyAlignment="1">
      <alignment horizontal="center" vertical="center" wrapText="1"/>
    </xf>
    <xf numFmtId="0" fontId="36" fillId="6" borderId="2" xfId="0" applyFont="1" applyFill="1" applyBorder="1" applyAlignment="1">
      <alignment horizontal="center" vertical="center" wrapText="1"/>
    </xf>
    <xf numFmtId="0" fontId="36" fillId="6" borderId="6"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36" fillId="7" borderId="6" xfId="0" applyFont="1" applyFill="1" applyBorder="1" applyAlignment="1">
      <alignment horizontal="center" vertical="center" wrapText="1"/>
    </xf>
    <xf numFmtId="0" fontId="9" fillId="21" borderId="2" xfId="0" applyFont="1" applyFill="1" applyBorder="1" applyAlignment="1">
      <alignment horizontal="center" vertical="center" wrapText="1"/>
    </xf>
    <xf numFmtId="0" fontId="9" fillId="21" borderId="6" xfId="0" applyFont="1" applyFill="1" applyBorder="1" applyAlignment="1">
      <alignment horizontal="center" vertical="center" wrapText="1"/>
    </xf>
    <xf numFmtId="3" fontId="100" fillId="0" borderId="2" xfId="0" applyNumberFormat="1" applyFont="1" applyBorder="1" applyAlignment="1">
      <alignment horizontal="center" vertical="center"/>
    </xf>
    <xf numFmtId="3" fontId="100" fillId="0" borderId="7" xfId="0" applyNumberFormat="1" applyFont="1" applyBorder="1" applyAlignment="1">
      <alignment horizontal="center" vertical="center"/>
    </xf>
    <xf numFmtId="9" fontId="15" fillId="4" borderId="2" xfId="1" applyFont="1" applyFill="1" applyBorder="1" applyAlignment="1">
      <alignment horizontal="center" vertical="center"/>
    </xf>
    <xf numFmtId="9" fontId="15" fillId="4" borderId="7" xfId="1" applyFont="1" applyFill="1" applyBorder="1" applyAlignment="1">
      <alignment horizontal="center" vertical="center"/>
    </xf>
    <xf numFmtId="3" fontId="0" fillId="22" borderId="6" xfId="0" applyNumberFormat="1" applyFill="1" applyBorder="1" applyAlignment="1">
      <alignment horizontal="center" vertical="center"/>
    </xf>
    <xf numFmtId="0" fontId="100" fillId="4" borderId="1" xfId="0" applyFont="1" applyFill="1" applyBorder="1" applyAlignment="1">
      <alignment horizontal="left" vertical="center" wrapText="1"/>
    </xf>
    <xf numFmtId="0" fontId="100" fillId="0" borderId="1" xfId="0" applyFont="1" applyBorder="1" applyAlignment="1">
      <alignment horizontal="left" vertical="center" wrapText="1"/>
    </xf>
    <xf numFmtId="3" fontId="0" fillId="0" borderId="6" xfId="0" applyNumberFormat="1" applyBorder="1" applyAlignment="1">
      <alignment horizontal="center" vertical="center"/>
    </xf>
    <xf numFmtId="3" fontId="105" fillId="4" borderId="6" xfId="0" applyNumberFormat="1" applyFont="1" applyFill="1" applyBorder="1" applyAlignment="1">
      <alignment horizontal="center" vertical="center"/>
    </xf>
    <xf numFmtId="9" fontId="22" fillId="2" borderId="2" xfId="1" applyFont="1" applyFill="1" applyBorder="1" applyAlignment="1">
      <alignment horizontal="center" vertical="center"/>
    </xf>
    <xf numFmtId="9" fontId="22" fillId="2" borderId="7" xfId="1" applyFont="1" applyFill="1" applyBorder="1" applyAlignment="1">
      <alignment horizontal="center" vertical="center"/>
    </xf>
    <xf numFmtId="3" fontId="22" fillId="2" borderId="2" xfId="0" applyNumberFormat="1" applyFont="1" applyFill="1" applyBorder="1" applyAlignment="1">
      <alignment horizontal="center" vertical="center"/>
    </xf>
    <xf numFmtId="3" fontId="22" fillId="2" borderId="7" xfId="0" applyNumberFormat="1" applyFont="1" applyFill="1" applyBorder="1" applyAlignment="1">
      <alignment horizontal="center" vertical="center"/>
    </xf>
    <xf numFmtId="9" fontId="100" fillId="0" borderId="7" xfId="1" applyFont="1" applyBorder="1" applyAlignment="1">
      <alignment horizontal="center" vertical="center"/>
    </xf>
    <xf numFmtId="0" fontId="19" fillId="2" borderId="1" xfId="0" applyFont="1" applyFill="1" applyBorder="1" applyAlignment="1">
      <alignment horizontal="center" vertical="center"/>
    </xf>
    <xf numFmtId="3" fontId="1" fillId="4" borderId="2" xfId="1" applyNumberFormat="1" applyFont="1" applyFill="1" applyBorder="1" applyAlignment="1">
      <alignment horizontal="center" vertical="center"/>
    </xf>
    <xf numFmtId="3" fontId="1" fillId="4" borderId="7" xfId="1" applyNumberFormat="1" applyFont="1" applyFill="1" applyBorder="1" applyAlignment="1">
      <alignment horizontal="center" vertical="center"/>
    </xf>
    <xf numFmtId="0" fontId="3" fillId="2" borderId="14" xfId="0" applyFont="1" applyFill="1" applyBorder="1" applyAlignment="1">
      <alignment horizontal="left" vertical="center" indent="1"/>
    </xf>
    <xf numFmtId="0" fontId="3" fillId="2" borderId="57" xfId="0" applyFont="1" applyFill="1" applyBorder="1" applyAlignment="1">
      <alignment horizontal="left" vertical="center" indent="1"/>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3" fontId="1" fillId="2" borderId="14" xfId="1" applyNumberFormat="1" applyFont="1" applyFill="1" applyBorder="1" applyAlignment="1">
      <alignment horizontal="center" vertical="center"/>
    </xf>
    <xf numFmtId="3" fontId="1" fillId="2" borderId="16" xfId="1" applyNumberFormat="1" applyFont="1" applyFill="1" applyBorder="1" applyAlignment="1">
      <alignment horizontal="center" vertical="center"/>
    </xf>
    <xf numFmtId="0" fontId="53" fillId="4" borderId="8" xfId="34" applyFont="1" applyFill="1" applyBorder="1" applyAlignment="1">
      <alignment horizontal="left" vertical="center" wrapText="1"/>
    </xf>
    <xf numFmtId="0" fontId="53" fillId="4" borderId="9" xfId="34" applyFont="1" applyFill="1" applyBorder="1" applyAlignment="1">
      <alignment horizontal="left" vertical="center" wrapText="1"/>
    </xf>
    <xf numFmtId="0" fontId="12" fillId="4" borderId="2" xfId="0" applyFont="1" applyFill="1" applyBorder="1" applyAlignment="1">
      <alignment horizontal="center" vertical="center"/>
    </xf>
    <xf numFmtId="0" fontId="12" fillId="4" borderId="6" xfId="0" applyFont="1" applyFill="1" applyBorder="1" applyAlignment="1">
      <alignment horizontal="center" vertical="center"/>
    </xf>
    <xf numFmtId="3" fontId="4" fillId="4" borderId="2" xfId="0" applyNumberFormat="1" applyFont="1" applyFill="1" applyBorder="1" applyAlignment="1">
      <alignment horizontal="center" vertical="center"/>
    </xf>
    <xf numFmtId="3" fontId="4" fillId="4" borderId="7" xfId="0" applyNumberFormat="1" applyFont="1" applyFill="1" applyBorder="1" applyAlignment="1">
      <alignment horizontal="center" vertical="center"/>
    </xf>
    <xf numFmtId="3" fontId="0" fillId="2" borderId="1" xfId="0" applyNumberFormat="1" applyFill="1" applyBorder="1" applyAlignment="1">
      <alignment horizontal="center" vertical="center"/>
    </xf>
    <xf numFmtId="3" fontId="1" fillId="2" borderId="2" xfId="1" applyNumberFormat="1" applyFont="1" applyFill="1" applyBorder="1" applyAlignment="1">
      <alignment horizontal="center" vertical="center"/>
    </xf>
    <xf numFmtId="3" fontId="1" fillId="2" borderId="7" xfId="1" applyNumberFormat="1" applyFont="1" applyFill="1" applyBorder="1" applyAlignment="1">
      <alignment horizontal="center" vertical="center"/>
    </xf>
    <xf numFmtId="0" fontId="19" fillId="4" borderId="1" xfId="0" applyFont="1" applyFill="1" applyBorder="1" applyAlignment="1">
      <alignment horizontal="left" vertical="center" indent="5"/>
    </xf>
    <xf numFmtId="0" fontId="19" fillId="0" borderId="1" xfId="0" applyFont="1" applyBorder="1" applyAlignment="1">
      <alignment horizontal="left" vertical="center" indent="5"/>
    </xf>
    <xf numFmtId="0" fontId="12" fillId="4" borderId="1" xfId="0" applyFont="1" applyFill="1" applyBorder="1" applyAlignment="1">
      <alignment horizontal="center" vertical="center"/>
    </xf>
    <xf numFmtId="0" fontId="1" fillId="4" borderId="7" xfId="1"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3" fontId="3" fillId="0" borderId="1" xfId="0" applyNumberFormat="1" applyFont="1" applyBorder="1" applyAlignment="1">
      <alignment horizontal="center" vertical="center"/>
    </xf>
    <xf numFmtId="3" fontId="3" fillId="4" borderId="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xf>
    <xf numFmtId="9" fontId="19" fillId="0" borderId="7" xfId="1" applyFont="1" applyBorder="1" applyAlignment="1">
      <alignment horizontal="center" vertical="center"/>
    </xf>
    <xf numFmtId="3" fontId="19" fillId="4" borderId="1" xfId="1" applyNumberFormat="1" applyFont="1" applyFill="1" applyBorder="1" applyAlignment="1">
      <alignment horizontal="center" vertical="center"/>
    </xf>
    <xf numFmtId="3" fontId="19" fillId="0" borderId="1" xfId="1" applyNumberFormat="1" applyFont="1" applyBorder="1" applyAlignment="1">
      <alignment horizontal="center" vertical="center"/>
    </xf>
    <xf numFmtId="9" fontId="19" fillId="4" borderId="1" xfId="1" applyFont="1" applyFill="1" applyBorder="1" applyAlignment="1">
      <alignment horizontal="center" vertical="center"/>
    </xf>
    <xf numFmtId="9" fontId="19" fillId="0" borderId="1" xfId="1" applyFont="1" applyBorder="1" applyAlignment="1">
      <alignment horizontal="center" vertical="center"/>
    </xf>
    <xf numFmtId="0" fontId="12" fillId="4" borderId="7" xfId="0" applyFont="1" applyFill="1" applyBorder="1" applyAlignment="1">
      <alignment horizontal="center" vertical="center"/>
    </xf>
    <xf numFmtId="0" fontId="14" fillId="4" borderId="2" xfId="0" applyFont="1" applyFill="1" applyBorder="1" applyAlignment="1">
      <alignment horizontal="left" vertical="center" indent="5"/>
    </xf>
    <xf numFmtId="0" fontId="14" fillId="4" borderId="7" xfId="0" applyFont="1" applyFill="1" applyBorder="1" applyAlignment="1">
      <alignment horizontal="left" vertical="center" indent="5"/>
    </xf>
    <xf numFmtId="3" fontId="1" fillId="4" borderId="6" xfId="1" applyNumberFormat="1" applyFont="1" applyFill="1" applyBorder="1" applyAlignment="1">
      <alignment horizontal="center" vertical="center"/>
    </xf>
    <xf numFmtId="0" fontId="0" fillId="0" borderId="0" xfId="0" applyAlignment="1">
      <alignment vertical="center"/>
    </xf>
    <xf numFmtId="0" fontId="14" fillId="4" borderId="2" xfId="0" applyFont="1" applyFill="1" applyBorder="1" applyAlignment="1">
      <alignment horizontal="left" vertical="center" indent="4"/>
    </xf>
    <xf numFmtId="0" fontId="14" fillId="4" borderId="7" xfId="0" applyFont="1" applyFill="1" applyBorder="1" applyAlignment="1">
      <alignment horizontal="left" vertical="center" indent="4"/>
    </xf>
    <xf numFmtId="0" fontId="14" fillId="4" borderId="1" xfId="0" applyFont="1" applyFill="1" applyBorder="1" applyAlignment="1">
      <alignment horizontal="left" vertical="center" wrapText="1" indent="4"/>
    </xf>
    <xf numFmtId="0" fontId="14" fillId="0" borderId="1" xfId="0" applyFont="1" applyBorder="1" applyAlignment="1">
      <alignment horizontal="left" vertical="center" indent="4"/>
    </xf>
    <xf numFmtId="3" fontId="0" fillId="4" borderId="2" xfId="1" applyNumberFormat="1" applyFont="1" applyFill="1" applyBorder="1" applyAlignment="1">
      <alignment horizontal="center" vertical="center"/>
    </xf>
    <xf numFmtId="3" fontId="0" fillId="4" borderId="7" xfId="1" applyNumberFormat="1" applyFont="1" applyFill="1" applyBorder="1" applyAlignment="1">
      <alignment horizontal="center" vertical="center"/>
    </xf>
    <xf numFmtId="0" fontId="3" fillId="2" borderId="1" xfId="0" applyFont="1" applyFill="1" applyBorder="1" applyAlignment="1">
      <alignment horizontal="left" vertical="center" indent="2"/>
    </xf>
    <xf numFmtId="0" fontId="14" fillId="4" borderId="2" xfId="0" applyFont="1" applyFill="1" applyBorder="1" applyAlignment="1">
      <alignment horizontal="left" vertical="center" wrapText="1" indent="4"/>
    </xf>
    <xf numFmtId="0" fontId="14" fillId="4" borderId="7" xfId="0" applyFont="1" applyFill="1" applyBorder="1" applyAlignment="1">
      <alignment horizontal="left" vertical="center" wrapText="1" indent="4"/>
    </xf>
    <xf numFmtId="0" fontId="14" fillId="4" borderId="1" xfId="0" applyFont="1" applyFill="1" applyBorder="1" applyAlignment="1">
      <alignment horizontal="left" vertical="center" wrapText="1" indent="5"/>
    </xf>
    <xf numFmtId="0" fontId="14" fillId="0" borderId="1" xfId="0" applyFont="1" applyBorder="1" applyAlignment="1">
      <alignment horizontal="left" vertical="center" indent="5"/>
    </xf>
    <xf numFmtId="9" fontId="1" fillId="0" borderId="7" xfId="1" applyFont="1" applyBorder="1" applyAlignment="1">
      <alignment horizontal="center" vertical="center"/>
    </xf>
    <xf numFmtId="3" fontId="1" fillId="0" borderId="2" xfId="1" applyNumberFormat="1" applyFont="1" applyBorder="1" applyAlignment="1">
      <alignment horizontal="center" vertical="center"/>
    </xf>
    <xf numFmtId="9" fontId="1" fillId="0" borderId="1" xfId="1" applyFont="1" applyBorder="1" applyAlignment="1">
      <alignment horizontal="center" vertical="center"/>
    </xf>
    <xf numFmtId="9" fontId="1" fillId="0" borderId="2" xfId="1" applyFont="1" applyBorder="1" applyAlignment="1">
      <alignment horizontal="center" vertical="center"/>
    </xf>
    <xf numFmtId="0" fontId="14" fillId="0" borderId="1" xfId="0" applyFont="1" applyBorder="1" applyAlignment="1">
      <alignment horizontal="left" vertical="center" wrapText="1" indent="5"/>
    </xf>
    <xf numFmtId="3" fontId="4" fillId="4" borderId="6" xfId="0" applyNumberFormat="1" applyFont="1" applyFill="1" applyBorder="1" applyAlignment="1">
      <alignment horizontal="center" vertical="center"/>
    </xf>
    <xf numFmtId="3" fontId="1" fillId="0" borderId="1" xfId="1" applyNumberFormat="1" applyFont="1" applyBorder="1" applyAlignment="1">
      <alignment horizontal="center" vertical="center"/>
    </xf>
    <xf numFmtId="9" fontId="1" fillId="2" borderId="1" xfId="1" applyFont="1" applyFill="1" applyBorder="1" applyAlignment="1">
      <alignment horizontal="center" vertical="center"/>
    </xf>
    <xf numFmtId="0" fontId="14" fillId="4" borderId="1" xfId="0" applyFont="1" applyFill="1" applyBorder="1" applyAlignment="1">
      <alignment horizontal="left" vertical="center" indent="4"/>
    </xf>
    <xf numFmtId="3" fontId="4" fillId="0" borderId="2" xfId="0" applyNumberFormat="1" applyFont="1" applyBorder="1" applyAlignment="1">
      <alignment horizontal="center" vertical="center"/>
    </xf>
    <xf numFmtId="0" fontId="1" fillId="2" borderId="7" xfId="1" applyNumberFormat="1" applyFont="1" applyFill="1" applyBorder="1" applyAlignment="1">
      <alignment horizontal="center" vertical="center"/>
    </xf>
    <xf numFmtId="0" fontId="14" fillId="4" borderId="1" xfId="0" applyFont="1" applyFill="1" applyBorder="1" applyAlignment="1">
      <alignment horizontal="left" vertical="center" indent="5"/>
    </xf>
    <xf numFmtId="0" fontId="14" fillId="4" borderId="1" xfId="0" applyFont="1" applyFill="1" applyBorder="1" applyAlignment="1">
      <alignment horizontal="left" vertical="center" indent="2"/>
    </xf>
    <xf numFmtId="0" fontId="14" fillId="0" borderId="1" xfId="0" applyFont="1" applyBorder="1" applyAlignment="1">
      <alignment horizontal="left" vertical="center" indent="2"/>
    </xf>
    <xf numFmtId="0" fontId="14" fillId="4" borderId="1" xfId="0" applyFont="1" applyFill="1" applyBorder="1" applyAlignment="1">
      <alignment horizontal="left" vertical="center" indent="3"/>
    </xf>
    <xf numFmtId="0" fontId="14" fillId="0" borderId="1" xfId="0" applyFont="1" applyBorder="1" applyAlignment="1">
      <alignment horizontal="left" vertical="center" indent="3"/>
    </xf>
    <xf numFmtId="0" fontId="19" fillId="0" borderId="1" xfId="0" applyFont="1" applyBorder="1" applyAlignment="1">
      <alignment horizontal="center" vertical="center"/>
    </xf>
    <xf numFmtId="0" fontId="14" fillId="4" borderId="2" xfId="0" applyFont="1" applyFill="1" applyBorder="1" applyAlignment="1">
      <alignment horizontal="left" vertical="center" indent="2"/>
    </xf>
    <xf numFmtId="0" fontId="14" fillId="4" borderId="7" xfId="0" applyFont="1" applyFill="1" applyBorder="1" applyAlignment="1">
      <alignment horizontal="left" vertical="center" indent="2"/>
    </xf>
    <xf numFmtId="0" fontId="3" fillId="2" borderId="2" xfId="0" applyFont="1" applyFill="1" applyBorder="1" applyAlignment="1">
      <alignment horizontal="left" vertical="center" indent="1"/>
    </xf>
    <xf numFmtId="0" fontId="3" fillId="2" borderId="7" xfId="0" applyFont="1" applyFill="1" applyBorder="1" applyAlignment="1">
      <alignment horizontal="left" vertical="center" indent="1"/>
    </xf>
    <xf numFmtId="0" fontId="12" fillId="2" borderId="2" xfId="0" applyFont="1" applyFill="1" applyBorder="1" applyAlignment="1">
      <alignment horizontal="center" vertical="center"/>
    </xf>
    <xf numFmtId="0" fontId="12" fillId="2" borderId="7" xfId="0" applyFont="1" applyFill="1" applyBorder="1" applyAlignment="1">
      <alignment horizontal="center" vertical="center"/>
    </xf>
    <xf numFmtId="9" fontId="3" fillId="4" borderId="2" xfId="1" applyFont="1" applyFill="1" applyBorder="1" applyAlignment="1">
      <alignment horizontal="center" vertical="center"/>
    </xf>
    <xf numFmtId="9" fontId="3" fillId="4" borderId="7" xfId="1" applyFont="1" applyFill="1" applyBorder="1" applyAlignment="1">
      <alignment horizontal="center" vertical="center"/>
    </xf>
    <xf numFmtId="0" fontId="19" fillId="4" borderId="1" xfId="0" applyFont="1" applyFill="1" applyBorder="1" applyAlignment="1">
      <alignment horizontal="left" vertical="center" wrapText="1"/>
    </xf>
    <xf numFmtId="0" fontId="19" fillId="0" borderId="1" xfId="0" applyFont="1" applyBorder="1" applyAlignment="1">
      <alignment horizontal="left" vertical="center"/>
    </xf>
    <xf numFmtId="3" fontId="1" fillId="2" borderId="1" xfId="1" applyNumberFormat="1" applyFont="1" applyFill="1" applyBorder="1" applyAlignment="1">
      <alignment horizontal="center" vertical="center"/>
    </xf>
    <xf numFmtId="0" fontId="14" fillId="0" borderId="1" xfId="0" applyFont="1" applyBorder="1" applyAlignment="1">
      <alignment horizontal="left" vertical="center" wrapText="1" indent="4"/>
    </xf>
    <xf numFmtId="3" fontId="19" fillId="0" borderId="1" xfId="1" applyNumberFormat="1" applyFont="1" applyFill="1" applyBorder="1" applyAlignment="1">
      <alignment horizontal="center" vertical="center"/>
    </xf>
    <xf numFmtId="9" fontId="19" fillId="0" borderId="1" xfId="1" applyFont="1" applyFill="1" applyBorder="1" applyAlignment="1">
      <alignment horizontal="center" vertical="center"/>
    </xf>
    <xf numFmtId="0" fontId="3" fillId="2" borderId="2" xfId="0" applyFont="1" applyFill="1" applyBorder="1" applyAlignment="1">
      <alignment horizontal="left" vertical="center" wrapText="1" indent="1"/>
    </xf>
    <xf numFmtId="0" fontId="3" fillId="2" borderId="7" xfId="0" applyFont="1" applyFill="1" applyBorder="1" applyAlignment="1">
      <alignment horizontal="left" vertical="center" wrapText="1" indent="1"/>
    </xf>
    <xf numFmtId="0" fontId="1" fillId="2" borderId="2" xfId="1" applyNumberFormat="1" applyFont="1" applyFill="1" applyBorder="1" applyAlignment="1">
      <alignment horizontal="center" vertical="center"/>
    </xf>
    <xf numFmtId="0" fontId="1" fillId="4" borderId="2" xfId="1" applyNumberFormat="1" applyFont="1" applyFill="1" applyBorder="1" applyAlignment="1">
      <alignment horizontal="center" vertical="center"/>
    </xf>
    <xf numFmtId="0" fontId="52" fillId="0" borderId="1" xfId="0" applyFont="1" applyBorder="1" applyAlignment="1">
      <alignment horizontal="left" vertical="center" wrapText="1" indent="4"/>
    </xf>
    <xf numFmtId="0" fontId="52" fillId="0" borderId="1" xfId="0" applyFont="1" applyBorder="1" applyAlignment="1">
      <alignment horizontal="left" vertical="center" indent="4"/>
    </xf>
    <xf numFmtId="4" fontId="0" fillId="4" borderId="2" xfId="0" applyNumberFormat="1" applyFill="1" applyBorder="1" applyAlignment="1">
      <alignment horizontal="center" vertical="center"/>
    </xf>
    <xf numFmtId="4" fontId="0" fillId="4" borderId="7" xfId="0" applyNumberFormat="1" applyFill="1" applyBorder="1" applyAlignment="1">
      <alignment horizontal="center" vertical="center"/>
    </xf>
    <xf numFmtId="0" fontId="14" fillId="0" borderId="2" xfId="0" applyFont="1" applyBorder="1" applyAlignment="1">
      <alignment horizontal="left" vertical="center" wrapText="1" indent="4"/>
    </xf>
    <xf numFmtId="0" fontId="14" fillId="0" borderId="7" xfId="0" applyFont="1" applyBorder="1" applyAlignment="1">
      <alignment horizontal="left" vertical="center" indent="4"/>
    </xf>
    <xf numFmtId="3" fontId="0" fillId="13" borderId="2" xfId="0" applyNumberFormat="1" applyFill="1" applyBorder="1" applyAlignment="1">
      <alignment horizontal="center" vertical="center"/>
    </xf>
    <xf numFmtId="3" fontId="0" fillId="13" borderId="7" xfId="0" applyNumberFormat="1" applyFill="1" applyBorder="1" applyAlignment="1">
      <alignment horizontal="center" vertical="center"/>
    </xf>
    <xf numFmtId="3" fontId="19" fillId="4" borderId="2" xfId="1" applyNumberFormat="1" applyFont="1" applyFill="1" applyBorder="1" applyAlignment="1">
      <alignment horizontal="center" vertical="center"/>
    </xf>
    <xf numFmtId="0" fontId="19" fillId="4" borderId="7" xfId="1" applyNumberFormat="1" applyFont="1" applyFill="1" applyBorder="1" applyAlignment="1">
      <alignment horizontal="center" vertical="center"/>
    </xf>
    <xf numFmtId="0" fontId="14" fillId="0" borderId="7" xfId="0" applyFont="1" applyBorder="1" applyAlignment="1">
      <alignment horizontal="left" vertical="center" wrapText="1" indent="4"/>
    </xf>
    <xf numFmtId="0" fontId="14" fillId="0" borderId="2" xfId="0" applyFont="1" applyBorder="1" applyAlignment="1">
      <alignment horizontal="left" vertical="center" indent="4"/>
    </xf>
    <xf numFmtId="0" fontId="9" fillId="8" borderId="5" xfId="0" applyFont="1" applyFill="1" applyBorder="1" applyAlignment="1">
      <alignment horizontal="center" vertical="center" wrapText="1"/>
    </xf>
    <xf numFmtId="4" fontId="19" fillId="4" borderId="1" xfId="0" applyNumberFormat="1" applyFont="1" applyFill="1" applyBorder="1" applyAlignment="1">
      <alignment horizontal="center" vertical="center"/>
    </xf>
    <xf numFmtId="4" fontId="19" fillId="0" borderId="1" xfId="0" applyNumberFormat="1" applyFont="1" applyBorder="1" applyAlignment="1">
      <alignment horizontal="center" vertical="center"/>
    </xf>
    <xf numFmtId="3" fontId="11" fillId="7" borderId="4" xfId="0" applyNumberFormat="1" applyFont="1" applyFill="1" applyBorder="1" applyAlignment="1">
      <alignment horizontal="center" vertical="center" wrapText="1"/>
    </xf>
    <xf numFmtId="0" fontId="16" fillId="6" borderId="0" xfId="0" quotePrefix="1" applyFont="1" applyFill="1" applyAlignment="1">
      <alignment horizontal="center" vertical="center"/>
    </xf>
    <xf numFmtId="17" fontId="17" fillId="6" borderId="8" xfId="0" applyNumberFormat="1" applyFont="1" applyFill="1" applyBorder="1" applyAlignment="1">
      <alignment horizontal="center" vertical="center" wrapText="1"/>
    </xf>
    <xf numFmtId="3" fontId="11" fillId="6" borderId="4" xfId="0" applyNumberFormat="1" applyFont="1" applyFill="1" applyBorder="1" applyAlignment="1">
      <alignment horizontal="center" vertical="center" wrapText="1"/>
    </xf>
    <xf numFmtId="0" fontId="10" fillId="12" borderId="2" xfId="0" applyFont="1" applyFill="1" applyBorder="1" applyAlignment="1">
      <alignment horizontal="center" vertical="center" wrapText="1"/>
    </xf>
    <xf numFmtId="175" fontId="3" fillId="4" borderId="2" xfId="0" applyNumberFormat="1" applyFont="1" applyFill="1" applyBorder="1" applyAlignment="1">
      <alignment horizontal="center" vertical="center"/>
    </xf>
    <xf numFmtId="175" fontId="3" fillId="0" borderId="1" xfId="0" applyNumberFormat="1" applyFont="1" applyBorder="1" applyAlignment="1">
      <alignment horizontal="center" vertical="center"/>
    </xf>
    <xf numFmtId="175" fontId="0" fillId="4" borderId="2" xfId="0" applyNumberFormat="1" applyFill="1" applyBorder="1" applyAlignment="1">
      <alignment horizontal="center" vertical="center"/>
    </xf>
    <xf numFmtId="175" fontId="0" fillId="0" borderId="1" xfId="0" applyNumberFormat="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lignment horizontal="center" vertical="center"/>
    </xf>
    <xf numFmtId="9" fontId="3" fillId="0" borderId="1" xfId="1" applyFont="1" applyBorder="1" applyAlignment="1">
      <alignment horizontal="center" vertical="center"/>
    </xf>
    <xf numFmtId="175" fontId="3" fillId="4" borderId="7" xfId="0" applyNumberFormat="1" applyFont="1" applyFill="1" applyBorder="1" applyAlignment="1">
      <alignment horizontal="center" vertical="center"/>
    </xf>
    <xf numFmtId="175" fontId="0" fillId="0" borderId="2" xfId="0" applyNumberFormat="1" applyBorder="1" applyAlignment="1">
      <alignment horizontal="center" vertical="center"/>
    </xf>
    <xf numFmtId="0" fontId="3" fillId="4" borderId="2" xfId="0" applyFont="1" applyFill="1" applyBorder="1" applyAlignment="1">
      <alignment horizontal="center" vertical="center"/>
    </xf>
    <xf numFmtId="0" fontId="3" fillId="0" borderId="2" xfId="0" applyFont="1" applyBorder="1" applyAlignment="1">
      <alignment horizontal="center" vertical="center"/>
    </xf>
    <xf numFmtId="175" fontId="3" fillId="0" borderId="2" xfId="0" applyNumberFormat="1" applyFont="1" applyBorder="1" applyAlignment="1">
      <alignment horizontal="center" vertical="center"/>
    </xf>
    <xf numFmtId="9" fontId="3" fillId="0" borderId="2" xfId="1" applyFont="1" applyBorder="1" applyAlignment="1">
      <alignment horizontal="center" vertical="center"/>
    </xf>
    <xf numFmtId="0" fontId="74" fillId="2" borderId="1" xfId="0" applyFont="1" applyFill="1" applyBorder="1" applyAlignment="1">
      <alignment horizontal="center" vertical="center"/>
    </xf>
    <xf numFmtId="9" fontId="43" fillId="2" borderId="2" xfId="1" applyFont="1" applyFill="1" applyBorder="1" applyAlignment="1">
      <alignment horizontal="center" vertical="center"/>
    </xf>
    <xf numFmtId="9" fontId="43" fillId="2" borderId="7" xfId="1" applyFont="1" applyFill="1" applyBorder="1" applyAlignment="1">
      <alignment horizontal="center" vertical="center"/>
    </xf>
    <xf numFmtId="1" fontId="3" fillId="2" borderId="2" xfId="0" applyNumberFormat="1" applyFont="1" applyFill="1" applyBorder="1" applyAlignment="1">
      <alignment horizontal="center" vertical="center"/>
    </xf>
    <xf numFmtId="9" fontId="3" fillId="2" borderId="2" xfId="1" applyFont="1" applyFill="1" applyBorder="1" applyAlignment="1">
      <alignment horizontal="center" vertical="center"/>
    </xf>
    <xf numFmtId="1" fontId="3" fillId="4" borderId="2" xfId="0" applyNumberFormat="1" applyFont="1" applyFill="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0" fillId="4" borderId="2" xfId="0" applyNumberFormat="1" applyFill="1" applyBorder="1" applyAlignment="1">
      <alignment horizontal="center" vertical="center"/>
    </xf>
    <xf numFmtId="1" fontId="0" fillId="0" borderId="2" xfId="0" applyNumberFormat="1" applyBorder="1" applyAlignment="1">
      <alignment horizontal="center" vertical="center"/>
    </xf>
    <xf numFmtId="1" fontId="0" fillId="4" borderId="7" xfId="0" applyNumberFormat="1" applyFill="1" applyBorder="1" applyAlignment="1">
      <alignment horizontal="center" vertical="center"/>
    </xf>
    <xf numFmtId="1" fontId="3" fillId="2" borderId="7" xfId="0" applyNumberFormat="1" applyFont="1" applyFill="1" applyBorder="1" applyAlignment="1">
      <alignment horizontal="center" vertical="center"/>
    </xf>
    <xf numFmtId="0" fontId="3" fillId="2" borderId="2" xfId="0" applyFont="1" applyFill="1" applyBorder="1" applyAlignment="1">
      <alignment horizontal="center" vertical="center"/>
    </xf>
    <xf numFmtId="9" fontId="3" fillId="0" borderId="2" xfId="1" applyFont="1" applyFill="1" applyBorder="1" applyAlignment="1">
      <alignment horizontal="center" vertical="center"/>
    </xf>
    <xf numFmtId="9" fontId="3" fillId="0" borderId="7" xfId="1" applyFont="1" applyFill="1" applyBorder="1" applyAlignment="1">
      <alignment horizontal="center" vertical="center"/>
    </xf>
    <xf numFmtId="0" fontId="73" fillId="2" borderId="1" xfId="0" applyFont="1" applyFill="1" applyBorder="1" applyAlignment="1">
      <alignment horizontal="center" vertical="center"/>
    </xf>
    <xf numFmtId="1" fontId="43" fillId="2" borderId="2" xfId="0" applyNumberFormat="1" applyFont="1" applyFill="1" applyBorder="1" applyAlignment="1">
      <alignment horizontal="center" vertical="center"/>
    </xf>
    <xf numFmtId="0" fontId="43" fillId="2" borderId="2" xfId="0" applyFont="1" applyFill="1" applyBorder="1" applyAlignment="1">
      <alignment horizontal="center" vertical="center"/>
    </xf>
    <xf numFmtId="1" fontId="43" fillId="2" borderId="7" xfId="0" applyNumberFormat="1" applyFont="1" applyFill="1" applyBorder="1" applyAlignment="1">
      <alignment horizontal="center" vertical="center"/>
    </xf>
    <xf numFmtId="0" fontId="43" fillId="2" borderId="7" xfId="0" applyFont="1" applyFill="1" applyBorder="1" applyAlignment="1">
      <alignment horizontal="center" vertical="center"/>
    </xf>
    <xf numFmtId="1" fontId="0" fillId="4" borderId="1" xfId="0" applyNumberFormat="1" applyFill="1" applyBorder="1" applyAlignment="1">
      <alignment horizontal="center" vertical="center"/>
    </xf>
    <xf numFmtId="1" fontId="0" fillId="0" borderId="1" xfId="0" applyNumberFormat="1" applyBorder="1" applyAlignment="1">
      <alignment horizontal="center" vertical="center"/>
    </xf>
    <xf numFmtId="0" fontId="10" fillId="17" borderId="2" xfId="0" applyFont="1" applyFill="1" applyBorder="1" applyAlignment="1">
      <alignment horizontal="center" vertical="center" wrapText="1"/>
    </xf>
    <xf numFmtId="0" fontId="9" fillId="18" borderId="5" xfId="0" applyFont="1" applyFill="1" applyBorder="1" applyAlignment="1">
      <alignment horizontal="center" vertical="center" wrapText="1"/>
    </xf>
    <xf numFmtId="1" fontId="0" fillId="0" borderId="23" xfId="0" applyNumberFormat="1" applyBorder="1" applyAlignment="1">
      <alignment horizontal="center" vertical="center"/>
    </xf>
    <xf numFmtId="0" fontId="3" fillId="0" borderId="1" xfId="0" applyFont="1" applyBorder="1" applyAlignment="1">
      <alignment horizontal="center" vertical="center"/>
    </xf>
    <xf numFmtId="175" fontId="3" fillId="2" borderId="2" xfId="0" applyNumberFormat="1" applyFont="1" applyFill="1" applyBorder="1" applyAlignment="1">
      <alignment horizontal="center" vertical="center"/>
    </xf>
    <xf numFmtId="175" fontId="3" fillId="2" borderId="7" xfId="0" applyNumberFormat="1" applyFont="1" applyFill="1" applyBorder="1" applyAlignment="1">
      <alignment horizontal="center" vertical="center"/>
    </xf>
    <xf numFmtId="10" fontId="3" fillId="4" borderId="2" xfId="1" applyNumberFormat="1" applyFont="1" applyFill="1" applyBorder="1" applyAlignment="1">
      <alignment horizontal="center" vertical="center"/>
    </xf>
    <xf numFmtId="10" fontId="3" fillId="4" borderId="7" xfId="1" applyNumberFormat="1" applyFont="1" applyFill="1" applyBorder="1" applyAlignment="1">
      <alignment horizontal="center" vertical="center"/>
    </xf>
    <xf numFmtId="0" fontId="3" fillId="2" borderId="1" xfId="0" applyFont="1" applyFill="1" applyBorder="1" applyAlignment="1">
      <alignment horizontal="left"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11" fillId="15" borderId="4" xfId="0" applyFont="1" applyFill="1" applyBorder="1" applyAlignment="1">
      <alignment horizontal="center" vertical="center" wrapText="1"/>
    </xf>
    <xf numFmtId="0" fontId="43" fillId="4" borderId="1"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1" xfId="0" applyFont="1" applyFill="1" applyBorder="1" applyAlignment="1">
      <alignment horizontal="left" vertical="center"/>
    </xf>
    <xf numFmtId="0" fontId="33" fillId="4" borderId="2" xfId="0" applyFont="1" applyFill="1" applyBorder="1" applyAlignment="1">
      <alignment horizontal="center" vertical="center"/>
    </xf>
    <xf numFmtId="0" fontId="33" fillId="0" borderId="2" xfId="0" applyFont="1" applyBorder="1" applyAlignment="1">
      <alignment horizontal="center" vertical="center"/>
    </xf>
    <xf numFmtId="0" fontId="9" fillId="5"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72" fillId="5" borderId="1" xfId="0" applyFont="1" applyFill="1" applyBorder="1" applyAlignment="1">
      <alignment horizontal="center" vertical="center" wrapText="1"/>
    </xf>
    <xf numFmtId="0" fontId="45" fillId="14"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9" fillId="16" borderId="4" xfId="0" applyFont="1" applyFill="1" applyBorder="1" applyAlignment="1">
      <alignment horizontal="center" vertical="center" wrapText="1"/>
    </xf>
    <xf numFmtId="0" fontId="9" fillId="17" borderId="5"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9" fillId="16" borderId="5" xfId="0" applyFont="1" applyFill="1" applyBorder="1" applyAlignment="1">
      <alignment horizontal="center" vertical="center" wrapText="1"/>
    </xf>
    <xf numFmtId="0" fontId="86" fillId="23" borderId="34" xfId="0" applyFont="1" applyFill="1" applyBorder="1" applyAlignment="1">
      <alignment horizontal="left" vertical="center" indent="2"/>
    </xf>
    <xf numFmtId="0" fontId="87" fillId="0" borderId="15" xfId="1" applyNumberFormat="1" applyFont="1" applyBorder="1" applyAlignment="1">
      <alignment horizontal="center" vertical="center"/>
    </xf>
    <xf numFmtId="0" fontId="87" fillId="0" borderId="17" xfId="1" applyNumberFormat="1" applyFont="1" applyBorder="1" applyAlignment="1">
      <alignment horizontal="center" vertical="center"/>
    </xf>
    <xf numFmtId="9" fontId="88" fillId="23" borderId="35" xfId="1" applyFont="1" applyFill="1" applyBorder="1" applyAlignment="1">
      <alignment horizontal="center" vertical="center"/>
    </xf>
    <xf numFmtId="9" fontId="88" fillId="23" borderId="36" xfId="1" applyFont="1" applyFill="1" applyBorder="1" applyAlignment="1">
      <alignment horizontal="center" vertical="center"/>
    </xf>
    <xf numFmtId="174" fontId="88" fillId="23" borderId="34" xfId="35" applyNumberFormat="1" applyFont="1" applyFill="1" applyBorder="1" applyAlignment="1">
      <alignment horizontal="center" vertical="center"/>
    </xf>
    <xf numFmtId="0" fontId="96" fillId="6" borderId="71" xfId="0" quotePrefix="1" applyFont="1" applyFill="1" applyBorder="1" applyAlignment="1">
      <alignment horizontal="center" vertical="center"/>
    </xf>
    <xf numFmtId="0" fontId="96" fillId="6" borderId="72" xfId="0" quotePrefix="1" applyFont="1" applyFill="1" applyBorder="1" applyAlignment="1">
      <alignment horizontal="center" vertical="center"/>
    </xf>
    <xf numFmtId="3" fontId="76" fillId="6" borderId="76" xfId="0" applyNumberFormat="1" applyFont="1" applyFill="1" applyBorder="1" applyAlignment="1">
      <alignment horizontal="center" vertical="center"/>
    </xf>
    <xf numFmtId="3" fontId="76" fillId="6" borderId="77" xfId="0" applyNumberFormat="1" applyFont="1" applyFill="1" applyBorder="1" applyAlignment="1">
      <alignment horizontal="center" vertical="center"/>
    </xf>
    <xf numFmtId="0" fontId="84" fillId="23" borderId="34" xfId="0" applyFont="1" applyFill="1" applyBorder="1" applyAlignment="1">
      <alignment horizontal="center" vertical="center"/>
    </xf>
    <xf numFmtId="9" fontId="82" fillId="23" borderId="35" xfId="1" applyFont="1" applyFill="1" applyBorder="1" applyAlignment="1">
      <alignment horizontal="center" vertical="center"/>
    </xf>
    <xf numFmtId="9" fontId="82" fillId="23" borderId="36" xfId="1" applyFont="1" applyFill="1" applyBorder="1" applyAlignment="1">
      <alignment horizontal="center" vertical="center"/>
    </xf>
    <xf numFmtId="0" fontId="97" fillId="6" borderId="81" xfId="0" applyFont="1" applyFill="1" applyBorder="1" applyAlignment="1">
      <alignment horizontal="center" vertical="center" wrapText="1"/>
    </xf>
    <xf numFmtId="0" fontId="97" fillId="6" borderId="89" xfId="0" applyFont="1" applyFill="1" applyBorder="1" applyAlignment="1">
      <alignment horizontal="center" vertical="center" wrapText="1"/>
    </xf>
    <xf numFmtId="0" fontId="77" fillId="15" borderId="83" xfId="0" applyFont="1" applyFill="1" applyBorder="1" applyAlignment="1">
      <alignment horizontal="center" vertical="center" wrapText="1"/>
    </xf>
    <xf numFmtId="0" fontId="77" fillId="15" borderId="91" xfId="0" applyFont="1" applyFill="1" applyBorder="1" applyAlignment="1">
      <alignment horizontal="center" vertical="center" wrapText="1"/>
    </xf>
    <xf numFmtId="3" fontId="78" fillId="6" borderId="85" xfId="0" applyNumberFormat="1" applyFont="1" applyFill="1" applyBorder="1" applyAlignment="1">
      <alignment horizontal="center" vertical="center" wrapText="1"/>
    </xf>
    <xf numFmtId="3" fontId="78" fillId="6" borderId="93" xfId="0" applyNumberFormat="1" applyFont="1" applyFill="1" applyBorder="1" applyAlignment="1">
      <alignment horizontal="center" vertical="center" wrapText="1"/>
    </xf>
    <xf numFmtId="165" fontId="81" fillId="0" borderId="15" xfId="31" applyFont="1" applyBorder="1" applyAlignment="1">
      <alignment horizontal="center" vertical="center"/>
    </xf>
    <xf numFmtId="165" fontId="81" fillId="0" borderId="20" xfId="31" applyFont="1" applyBorder="1" applyAlignment="1">
      <alignment horizontal="center" vertical="center"/>
    </xf>
    <xf numFmtId="9" fontId="81" fillId="33" borderId="2" xfId="1" applyFont="1" applyFill="1" applyBorder="1" applyAlignment="1">
      <alignment horizontal="center" vertical="center"/>
    </xf>
    <xf numFmtId="9" fontId="81" fillId="33" borderId="7" xfId="1" applyFont="1" applyFill="1" applyBorder="1" applyAlignment="1">
      <alignment horizontal="center" vertical="center"/>
    </xf>
    <xf numFmtId="0" fontId="81" fillId="33" borderId="1" xfId="0" applyFont="1" applyFill="1" applyBorder="1" applyAlignment="1">
      <alignment horizontal="center" vertical="center"/>
    </xf>
    <xf numFmtId="0" fontId="82" fillId="23" borderId="34" xfId="0" applyFont="1" applyFill="1" applyBorder="1" applyAlignment="1">
      <alignment horizontal="center" vertical="center"/>
    </xf>
    <xf numFmtId="3" fontId="78" fillId="6" borderId="84" xfId="0" applyNumberFormat="1" applyFont="1" applyFill="1" applyBorder="1" applyAlignment="1">
      <alignment horizontal="center" vertical="center" wrapText="1"/>
    </xf>
    <xf numFmtId="3" fontId="78" fillId="6" borderId="83" xfId="0" applyNumberFormat="1" applyFont="1" applyFill="1" applyBorder="1" applyAlignment="1">
      <alignment horizontal="center" vertical="center" wrapText="1"/>
    </xf>
    <xf numFmtId="3" fontId="78" fillId="6" borderId="92" xfId="0" applyNumberFormat="1" applyFont="1" applyFill="1" applyBorder="1" applyAlignment="1">
      <alignment horizontal="center" vertical="center" wrapText="1"/>
    </xf>
    <xf numFmtId="3" fontId="78" fillId="6" borderId="91" xfId="0" applyNumberFormat="1" applyFont="1" applyFill="1" applyBorder="1" applyAlignment="1">
      <alignment horizontal="center" vertical="center" wrapText="1"/>
    </xf>
    <xf numFmtId="0" fontId="98" fillId="6" borderId="82" xfId="0" applyFont="1" applyFill="1" applyBorder="1" applyAlignment="1">
      <alignment horizontal="center" vertical="center" wrapText="1"/>
    </xf>
    <xf numFmtId="0" fontId="98" fillId="6" borderId="90" xfId="0" applyFont="1" applyFill="1" applyBorder="1" applyAlignment="1">
      <alignment horizontal="center" vertical="center" wrapText="1"/>
    </xf>
    <xf numFmtId="0" fontId="81" fillId="33" borderId="2" xfId="0" applyFont="1" applyFill="1" applyBorder="1" applyAlignment="1">
      <alignment horizontal="left" vertical="center"/>
    </xf>
    <xf numFmtId="0" fontId="81" fillId="33" borderId="7" xfId="0" applyFont="1" applyFill="1" applyBorder="1" applyAlignment="1">
      <alignment horizontal="left" vertical="center"/>
    </xf>
    <xf numFmtId="0" fontId="84" fillId="23" borderId="34" xfId="0" applyFont="1" applyFill="1" applyBorder="1" applyAlignment="1">
      <alignment horizontal="left" vertical="center" indent="2"/>
    </xf>
    <xf numFmtId="0" fontId="81" fillId="0" borderId="20" xfId="1" applyNumberFormat="1" applyFont="1" applyBorder="1" applyAlignment="1">
      <alignment horizontal="center" vertical="center"/>
    </xf>
    <xf numFmtId="0" fontId="81" fillId="0" borderId="17" xfId="1" applyNumberFormat="1" applyFont="1" applyBorder="1" applyAlignment="1">
      <alignment horizontal="center" vertical="center"/>
    </xf>
    <xf numFmtId="0" fontId="81" fillId="0" borderId="15" xfId="1" applyNumberFormat="1" applyFont="1" applyBorder="1" applyAlignment="1">
      <alignment horizontal="center" vertical="center"/>
    </xf>
    <xf numFmtId="0" fontId="86" fillId="23" borderId="34" xfId="0" applyFont="1" applyFill="1" applyBorder="1" applyAlignment="1">
      <alignment horizontal="center" vertical="center"/>
    </xf>
    <xf numFmtId="0" fontId="87" fillId="35" borderId="1" xfId="0" applyFont="1" applyFill="1" applyBorder="1" applyAlignment="1">
      <alignment horizontal="center" vertical="center"/>
    </xf>
    <xf numFmtId="0" fontId="87" fillId="34" borderId="1" xfId="0" applyFont="1" applyFill="1" applyBorder="1" applyAlignment="1">
      <alignment horizontal="left" vertical="center"/>
    </xf>
    <xf numFmtId="165" fontId="87" fillId="0" borderId="2" xfId="31" applyFont="1" applyBorder="1" applyAlignment="1">
      <alignment horizontal="center" vertical="center"/>
    </xf>
    <xf numFmtId="165" fontId="87" fillId="0" borderId="7" xfId="31" applyFont="1" applyBorder="1" applyAlignment="1">
      <alignment horizontal="center" vertical="center"/>
    </xf>
    <xf numFmtId="174" fontId="87" fillId="0" borderId="15" xfId="35" applyNumberFormat="1" applyFont="1" applyBorder="1" applyAlignment="1">
      <alignment horizontal="center" vertical="center"/>
    </xf>
    <xf numFmtId="174" fontId="87" fillId="0" borderId="17" xfId="35" applyNumberFormat="1" applyFont="1" applyBorder="1" applyAlignment="1">
      <alignment horizontal="center" vertical="center"/>
    </xf>
    <xf numFmtId="9" fontId="82" fillId="23" borderId="34" xfId="1" applyFont="1" applyFill="1" applyBorder="1" applyAlignment="1">
      <alignment horizontal="center" vertical="center"/>
    </xf>
    <xf numFmtId="9" fontId="87" fillId="34" borderId="2" xfId="1" applyFont="1" applyFill="1" applyBorder="1" applyAlignment="1">
      <alignment horizontal="center" vertical="center"/>
    </xf>
    <xf numFmtId="9" fontId="87" fillId="34" borderId="7" xfId="1" applyFont="1" applyFill="1" applyBorder="1" applyAlignment="1">
      <alignment horizontal="center" vertical="center"/>
    </xf>
    <xf numFmtId="0" fontId="88" fillId="0" borderId="15" xfId="1" applyNumberFormat="1" applyFont="1" applyBorder="1" applyAlignment="1">
      <alignment horizontal="center" vertical="center"/>
    </xf>
    <xf numFmtId="0" fontId="88" fillId="0" borderId="17" xfId="1" applyNumberFormat="1" applyFont="1" applyBorder="1" applyAlignment="1">
      <alignment horizontal="center" vertical="center"/>
    </xf>
    <xf numFmtId="174" fontId="88" fillId="23" borderId="35" xfId="35" applyNumberFormat="1" applyFont="1" applyFill="1" applyBorder="1" applyAlignment="1">
      <alignment horizontal="center" vertical="center"/>
    </xf>
    <xf numFmtId="174" fontId="88" fillId="23" borderId="36" xfId="35" applyNumberFormat="1" applyFont="1" applyFill="1" applyBorder="1" applyAlignment="1">
      <alignment horizontal="center" vertical="center"/>
    </xf>
    <xf numFmtId="0" fontId="81" fillId="36" borderId="1" xfId="0" applyFont="1" applyFill="1" applyBorder="1" applyAlignment="1">
      <alignment horizontal="center" vertical="center"/>
    </xf>
    <xf numFmtId="9" fontId="88" fillId="23" borderId="34" xfId="1" applyFont="1" applyFill="1" applyBorder="1" applyAlignment="1">
      <alignment horizontal="center" vertical="center"/>
    </xf>
    <xf numFmtId="0" fontId="87" fillId="35" borderId="1" xfId="0" applyFont="1" applyFill="1" applyBorder="1" applyAlignment="1">
      <alignment horizontal="left" vertical="center"/>
    </xf>
    <xf numFmtId="9" fontId="87" fillId="35" borderId="2" xfId="1" applyFont="1" applyFill="1" applyBorder="1" applyAlignment="1">
      <alignment horizontal="center" vertical="center"/>
    </xf>
    <xf numFmtId="9" fontId="87" fillId="35" borderId="7" xfId="1" applyFont="1" applyFill="1" applyBorder="1" applyAlignment="1">
      <alignment horizontal="center" vertical="center"/>
    </xf>
    <xf numFmtId="174" fontId="86" fillId="23" borderId="34" xfId="35" applyNumberFormat="1" applyFont="1" applyFill="1" applyBorder="1" applyAlignment="1">
      <alignment horizontal="left" vertical="center" indent="2"/>
    </xf>
    <xf numFmtId="9" fontId="87" fillId="23" borderId="34" xfId="1" applyFont="1" applyFill="1" applyBorder="1" applyAlignment="1">
      <alignment horizontal="center" vertical="center"/>
    </xf>
    <xf numFmtId="0" fontId="69" fillId="3" borderId="65" xfId="0" applyFont="1" applyFill="1" applyBorder="1" applyAlignment="1">
      <alignment horizontal="center" vertical="center"/>
    </xf>
    <xf numFmtId="0" fontId="69" fillId="3" borderId="66" xfId="0" applyFont="1" applyFill="1" applyBorder="1" applyAlignment="1">
      <alignment horizontal="center" vertical="center"/>
    </xf>
    <xf numFmtId="0" fontId="69" fillId="3" borderId="69" xfId="0" applyFont="1" applyFill="1" applyBorder="1" applyAlignment="1">
      <alignment horizontal="center" vertical="center"/>
    </xf>
    <xf numFmtId="0" fontId="69" fillId="3" borderId="70" xfId="0" applyFont="1" applyFill="1" applyBorder="1" applyAlignment="1">
      <alignment horizontal="center" vertical="center"/>
    </xf>
    <xf numFmtId="0" fontId="69" fillId="3" borderId="74" xfId="0" applyFont="1" applyFill="1" applyBorder="1" applyAlignment="1">
      <alignment horizontal="center" vertical="center"/>
    </xf>
    <xf numFmtId="0" fontId="69" fillId="3" borderId="75" xfId="0" applyFont="1" applyFill="1" applyBorder="1" applyAlignment="1">
      <alignment horizontal="center" vertical="center"/>
    </xf>
    <xf numFmtId="3" fontId="69" fillId="3" borderId="65" xfId="0" applyNumberFormat="1" applyFont="1" applyFill="1" applyBorder="1" applyAlignment="1">
      <alignment horizontal="center"/>
    </xf>
    <xf numFmtId="3" fontId="69" fillId="3" borderId="66" xfId="0" applyNumberFormat="1" applyFont="1" applyFill="1" applyBorder="1" applyAlignment="1">
      <alignment horizontal="center"/>
    </xf>
    <xf numFmtId="3" fontId="69" fillId="3" borderId="69" xfId="0" applyNumberFormat="1" applyFont="1" applyFill="1" applyBorder="1" applyAlignment="1">
      <alignment horizontal="center"/>
    </xf>
    <xf numFmtId="3" fontId="69" fillId="3" borderId="70" xfId="0" applyNumberFormat="1" applyFont="1" applyFill="1" applyBorder="1" applyAlignment="1">
      <alignment horizontal="center"/>
    </xf>
    <xf numFmtId="3" fontId="69" fillId="3" borderId="74" xfId="0" applyNumberFormat="1" applyFont="1" applyFill="1" applyBorder="1" applyAlignment="1">
      <alignment horizontal="center"/>
    </xf>
    <xf numFmtId="3" fontId="69" fillId="3" borderId="75" xfId="0" applyNumberFormat="1" applyFont="1" applyFill="1" applyBorder="1" applyAlignment="1">
      <alignment horizontal="center"/>
    </xf>
    <xf numFmtId="0" fontId="114" fillId="3" borderId="68" xfId="0" applyFont="1" applyFill="1" applyBorder="1" applyAlignment="1">
      <alignment horizontal="center" vertical="center"/>
    </xf>
    <xf numFmtId="0" fontId="81" fillId="36" borderId="1" xfId="0" applyFont="1" applyFill="1" applyBorder="1" applyAlignment="1">
      <alignment horizontal="left" vertical="center"/>
    </xf>
    <xf numFmtId="165" fontId="81" fillId="0" borderId="6" xfId="31" applyFont="1" applyBorder="1" applyAlignment="1">
      <alignment horizontal="center" vertical="center"/>
    </xf>
    <xf numFmtId="165" fontId="81" fillId="0" borderId="7" xfId="31" applyFont="1" applyBorder="1" applyAlignment="1">
      <alignment horizontal="center" vertical="center"/>
    </xf>
    <xf numFmtId="9" fontId="81" fillId="36" borderId="2" xfId="1" applyFont="1" applyFill="1" applyBorder="1" applyAlignment="1">
      <alignment horizontal="center" vertical="center"/>
    </xf>
    <xf numFmtId="9" fontId="81" fillId="36" borderId="7" xfId="1" applyFont="1" applyFill="1" applyBorder="1" applyAlignment="1">
      <alignment horizontal="center" vertical="center"/>
    </xf>
    <xf numFmtId="0" fontId="87" fillId="34" borderId="1" xfId="0" applyFont="1" applyFill="1" applyBorder="1" applyAlignment="1">
      <alignment horizontal="center" vertical="center"/>
    </xf>
    <xf numFmtId="0" fontId="76" fillId="6" borderId="72" xfId="0" applyFont="1" applyFill="1" applyBorder="1" applyAlignment="1">
      <alignment horizontal="center" vertical="center" wrapText="1"/>
    </xf>
    <xf numFmtId="0" fontId="76" fillId="7" borderId="76" xfId="0" applyFont="1" applyFill="1" applyBorder="1" applyAlignment="1">
      <alignment horizontal="center" vertical="center" wrapText="1"/>
    </xf>
    <xf numFmtId="0" fontId="76" fillId="7" borderId="72" xfId="0" applyFont="1" applyFill="1" applyBorder="1" applyAlignment="1">
      <alignment horizontal="center" vertical="center" wrapText="1"/>
    </xf>
    <xf numFmtId="0" fontId="76" fillId="7" borderId="77" xfId="0" applyFont="1" applyFill="1" applyBorder="1" applyAlignment="1">
      <alignment horizontal="center" vertical="center" wrapText="1"/>
    </xf>
    <xf numFmtId="3" fontId="78" fillId="6" borderId="86" xfId="0" applyNumberFormat="1" applyFont="1" applyFill="1" applyBorder="1" applyAlignment="1">
      <alignment horizontal="center" vertical="center" wrapText="1"/>
    </xf>
    <xf numFmtId="3" fontId="78" fillId="6" borderId="94" xfId="0" applyNumberFormat="1" applyFont="1" applyFill="1" applyBorder="1" applyAlignment="1">
      <alignment horizontal="center" vertical="center" wrapText="1"/>
    </xf>
    <xf numFmtId="0" fontId="78" fillId="6" borderId="87" xfId="0" applyFont="1" applyFill="1" applyBorder="1" applyAlignment="1">
      <alignment horizontal="center" vertical="center" wrapText="1"/>
    </xf>
    <xf numFmtId="0" fontId="78" fillId="6" borderId="95" xfId="0" applyFont="1" applyFill="1" applyBorder="1" applyAlignment="1">
      <alignment horizontal="center" vertical="center" wrapText="1"/>
    </xf>
    <xf numFmtId="0" fontId="69" fillId="7" borderId="87" xfId="0" applyFont="1" applyFill="1" applyBorder="1" applyAlignment="1">
      <alignment horizontal="center" vertical="center" wrapText="1"/>
    </xf>
    <xf numFmtId="0" fontId="69" fillId="7" borderId="95" xfId="0" applyFont="1" applyFill="1" applyBorder="1" applyAlignment="1">
      <alignment horizontal="center" vertical="center" wrapText="1"/>
    </xf>
    <xf numFmtId="0" fontId="69" fillId="7" borderId="85" xfId="0" applyFont="1" applyFill="1" applyBorder="1" applyAlignment="1">
      <alignment horizontal="center" vertical="center" wrapText="1"/>
    </xf>
    <xf numFmtId="0" fontId="69" fillId="7" borderId="93" xfId="0" applyFont="1" applyFill="1" applyBorder="1" applyAlignment="1">
      <alignment horizontal="center" vertical="center" wrapText="1"/>
    </xf>
    <xf numFmtId="3" fontId="78" fillId="8" borderId="85" xfId="0" applyNumberFormat="1" applyFont="1" applyFill="1" applyBorder="1" applyAlignment="1">
      <alignment horizontal="center" vertical="center" wrapText="1"/>
    </xf>
    <xf numFmtId="3" fontId="78" fillId="8" borderId="93" xfId="0" applyNumberFormat="1" applyFont="1" applyFill="1" applyBorder="1" applyAlignment="1">
      <alignment horizontal="center" vertical="center" wrapText="1"/>
    </xf>
    <xf numFmtId="0" fontId="78" fillId="8" borderId="85" xfId="0" applyFont="1" applyFill="1" applyBorder="1" applyAlignment="1">
      <alignment horizontal="center" vertical="center" wrapText="1"/>
    </xf>
    <xf numFmtId="0" fontId="78" fillId="8" borderId="93" xfId="0" applyFont="1" applyFill="1" applyBorder="1" applyAlignment="1">
      <alignment horizontal="center" vertical="center" wrapText="1"/>
    </xf>
    <xf numFmtId="0" fontId="78" fillId="9" borderId="85" xfId="0" applyFont="1" applyFill="1" applyBorder="1" applyAlignment="1">
      <alignment horizontal="center" vertical="center" wrapText="1"/>
    </xf>
    <xf numFmtId="0" fontId="78" fillId="9" borderId="93" xfId="0" applyFont="1" applyFill="1" applyBorder="1" applyAlignment="1">
      <alignment horizontal="center" vertical="center" wrapText="1"/>
    </xf>
    <xf numFmtId="0" fontId="78" fillId="9" borderId="88" xfId="0" applyFont="1" applyFill="1" applyBorder="1" applyAlignment="1">
      <alignment horizontal="center" vertical="center" wrapText="1"/>
    </xf>
    <xf numFmtId="0" fontId="78" fillId="9" borderId="96" xfId="0" applyFont="1" applyFill="1" applyBorder="1" applyAlignment="1">
      <alignment horizontal="center" vertical="center" wrapText="1"/>
    </xf>
    <xf numFmtId="9" fontId="81" fillId="4" borderId="2" xfId="1" applyFont="1" applyFill="1" applyBorder="1" applyAlignment="1">
      <alignment horizontal="center" vertical="center"/>
    </xf>
    <xf numFmtId="9" fontId="81" fillId="4" borderId="7" xfId="1" applyFont="1" applyFill="1" applyBorder="1" applyAlignment="1">
      <alignment horizontal="center" vertical="center"/>
    </xf>
    <xf numFmtId="174" fontId="81" fillId="4" borderId="2" xfId="35" applyNumberFormat="1" applyFont="1" applyFill="1" applyBorder="1" applyAlignment="1">
      <alignment horizontal="center" vertical="center"/>
    </xf>
    <xf numFmtId="174" fontId="81" fillId="4" borderId="7" xfId="35" applyNumberFormat="1" applyFont="1" applyFill="1" applyBorder="1" applyAlignment="1">
      <alignment horizontal="center" vertical="center"/>
    </xf>
    <xf numFmtId="174" fontId="81" fillId="4" borderId="1" xfId="35" applyNumberFormat="1" applyFont="1" applyFill="1" applyBorder="1" applyAlignment="1">
      <alignment horizontal="center" vertical="center"/>
    </xf>
    <xf numFmtId="9" fontId="81" fillId="4" borderId="1" xfId="1" applyFont="1" applyFill="1" applyBorder="1" applyAlignment="1">
      <alignment horizontal="center" vertical="center"/>
    </xf>
    <xf numFmtId="174" fontId="82" fillId="23" borderId="34" xfId="35" applyNumberFormat="1" applyFont="1" applyFill="1" applyBorder="1" applyAlignment="1">
      <alignment horizontal="center" vertical="center"/>
    </xf>
    <xf numFmtId="174" fontId="82" fillId="23" borderId="35" xfId="35" applyNumberFormat="1" applyFont="1" applyFill="1" applyBorder="1" applyAlignment="1">
      <alignment horizontal="center" vertical="center"/>
    </xf>
    <xf numFmtId="174" fontId="82" fillId="23" borderId="36" xfId="35" applyNumberFormat="1" applyFont="1" applyFill="1" applyBorder="1" applyAlignment="1">
      <alignment horizontal="center" vertical="center"/>
    </xf>
    <xf numFmtId="9" fontId="87" fillId="4" borderId="2" xfId="1" applyFont="1" applyFill="1" applyBorder="1" applyAlignment="1">
      <alignment horizontal="center" vertical="center"/>
    </xf>
    <xf numFmtId="9" fontId="87" fillId="4" borderId="7" xfId="1" applyFont="1" applyFill="1" applyBorder="1" applyAlignment="1">
      <alignment horizontal="center" vertical="center"/>
    </xf>
    <xf numFmtId="174" fontId="87" fillId="4" borderId="2" xfId="35" applyNumberFormat="1" applyFont="1" applyFill="1" applyBorder="1" applyAlignment="1">
      <alignment horizontal="center" vertical="center"/>
    </xf>
    <xf numFmtId="174" fontId="87" fillId="4" borderId="7" xfId="35" applyNumberFormat="1" applyFont="1" applyFill="1" applyBorder="1" applyAlignment="1">
      <alignment horizontal="center" vertical="center"/>
    </xf>
    <xf numFmtId="174" fontId="87" fillId="4" borderId="1" xfId="35" applyNumberFormat="1" applyFont="1" applyFill="1" applyBorder="1" applyAlignment="1">
      <alignment horizontal="center" vertical="center"/>
    </xf>
    <xf numFmtId="9" fontId="87" fillId="4" borderId="1" xfId="1" applyFont="1" applyFill="1" applyBorder="1" applyAlignment="1">
      <alignment horizontal="center" vertical="center"/>
    </xf>
    <xf numFmtId="174" fontId="82" fillId="23" borderId="34" xfId="35" quotePrefix="1" applyNumberFormat="1" applyFont="1" applyFill="1" applyBorder="1" applyAlignment="1">
      <alignment horizontal="center" vertical="center"/>
    </xf>
    <xf numFmtId="174" fontId="86" fillId="23" borderId="34" xfId="35" applyNumberFormat="1" applyFont="1" applyFill="1" applyBorder="1" applyAlignment="1">
      <alignment horizontal="center" vertical="center"/>
    </xf>
    <xf numFmtId="0" fontId="87" fillId="37" borderId="1" xfId="0" applyFont="1" applyFill="1" applyBorder="1" applyAlignment="1">
      <alignment horizontal="left" vertical="center"/>
    </xf>
    <xf numFmtId="0" fontId="87" fillId="37" borderId="1" xfId="0" applyFont="1" applyFill="1" applyBorder="1" applyAlignment="1">
      <alignment horizontal="center" vertical="center"/>
    </xf>
    <xf numFmtId="9" fontId="87" fillId="37" borderId="2" xfId="1" applyFont="1" applyFill="1" applyBorder="1" applyAlignment="1">
      <alignment horizontal="center" vertical="center"/>
    </xf>
    <xf numFmtId="9" fontId="87" fillId="37" borderId="7" xfId="1" applyFont="1" applyFill="1" applyBorder="1" applyAlignment="1">
      <alignment horizontal="center" vertical="center"/>
    </xf>
    <xf numFmtId="0" fontId="87" fillId="38" borderId="1" xfId="0" applyFont="1" applyFill="1" applyBorder="1" applyAlignment="1">
      <alignment horizontal="left" vertical="center"/>
    </xf>
    <xf numFmtId="0" fontId="87" fillId="38" borderId="1" xfId="0" applyFont="1" applyFill="1" applyBorder="1" applyAlignment="1">
      <alignment horizontal="center" vertical="center"/>
    </xf>
    <xf numFmtId="9" fontId="87" fillId="38" borderId="2" xfId="1" applyFont="1" applyFill="1" applyBorder="1" applyAlignment="1">
      <alignment horizontal="center" vertical="center"/>
    </xf>
    <xf numFmtId="9" fontId="87" fillId="38" borderId="7" xfId="1" applyFont="1" applyFill="1" applyBorder="1" applyAlignment="1">
      <alignment horizontal="center" vertical="center"/>
    </xf>
    <xf numFmtId="9" fontId="87" fillId="0" borderId="2" xfId="1" applyFont="1" applyFill="1" applyBorder="1" applyAlignment="1">
      <alignment horizontal="center" vertical="center"/>
    </xf>
    <xf numFmtId="9" fontId="87" fillId="0" borderId="7" xfId="1" applyFont="1" applyFill="1" applyBorder="1" applyAlignment="1">
      <alignment horizontal="center" vertical="center"/>
    </xf>
    <xf numFmtId="174" fontId="87" fillId="0" borderId="2" xfId="35" applyNumberFormat="1" applyFont="1" applyFill="1" applyBorder="1" applyAlignment="1">
      <alignment horizontal="center" vertical="center"/>
    </xf>
    <xf numFmtId="174" fontId="87" fillId="0" borderId="7" xfId="35" applyNumberFormat="1" applyFont="1" applyFill="1" applyBorder="1" applyAlignment="1">
      <alignment horizontal="center" vertical="center"/>
    </xf>
    <xf numFmtId="174" fontId="87" fillId="0" borderId="1" xfId="35" applyNumberFormat="1" applyFont="1" applyFill="1" applyBorder="1" applyAlignment="1">
      <alignment horizontal="center" vertical="center"/>
    </xf>
    <xf numFmtId="9" fontId="87" fillId="0" borderId="1" xfId="1" applyFont="1" applyFill="1" applyBorder="1" applyAlignment="1">
      <alignment horizontal="center" vertical="center"/>
    </xf>
    <xf numFmtId="0" fontId="87" fillId="39" borderId="1" xfId="0" applyFont="1" applyFill="1" applyBorder="1" applyAlignment="1">
      <alignment horizontal="left" vertical="center"/>
    </xf>
    <xf numFmtId="0" fontId="87" fillId="39" borderId="1" xfId="0" applyFont="1" applyFill="1" applyBorder="1" applyAlignment="1">
      <alignment horizontal="center" vertical="center"/>
    </xf>
    <xf numFmtId="9" fontId="87" fillId="39" borderId="2" xfId="1" applyFont="1" applyFill="1" applyBorder="1" applyAlignment="1">
      <alignment horizontal="center" vertical="center"/>
    </xf>
    <xf numFmtId="9" fontId="87" fillId="39" borderId="7" xfId="1" applyFont="1" applyFill="1" applyBorder="1" applyAlignment="1">
      <alignment horizontal="center" vertical="center"/>
    </xf>
    <xf numFmtId="3" fontId="88" fillId="23" borderId="34" xfId="0" applyNumberFormat="1" applyFont="1" applyFill="1" applyBorder="1" applyAlignment="1">
      <alignment vertical="center"/>
    </xf>
    <xf numFmtId="3" fontId="88" fillId="23" borderId="34" xfId="0" applyNumberFormat="1" applyFont="1" applyFill="1" applyBorder="1" applyAlignment="1">
      <alignment horizontal="center" vertical="center"/>
    </xf>
    <xf numFmtId="174" fontId="88" fillId="23" borderId="35" xfId="35" applyNumberFormat="1" applyFont="1" applyFill="1" applyBorder="1" applyAlignment="1">
      <alignment vertical="center"/>
    </xf>
    <xf numFmtId="174" fontId="88" fillId="23" borderId="36" xfId="35" applyNumberFormat="1" applyFont="1" applyFill="1" applyBorder="1" applyAlignment="1">
      <alignment vertical="center"/>
    </xf>
    <xf numFmtId="0" fontId="76" fillId="8" borderId="76" xfId="0" applyFont="1" applyFill="1" applyBorder="1" applyAlignment="1">
      <alignment horizontal="center" vertical="center"/>
    </xf>
    <xf numFmtId="0" fontId="76" fillId="8" borderId="72" xfId="0" applyFont="1" applyFill="1" applyBorder="1" applyAlignment="1">
      <alignment horizontal="center" vertical="center"/>
    </xf>
    <xf numFmtId="0" fontId="76" fillId="8" borderId="77" xfId="0" applyFont="1" applyFill="1" applyBorder="1" applyAlignment="1">
      <alignment horizontal="center" vertical="center"/>
    </xf>
    <xf numFmtId="0" fontId="95" fillId="10" borderId="71" xfId="0" applyFont="1" applyFill="1" applyBorder="1" applyAlignment="1">
      <alignment horizontal="center" vertical="center"/>
    </xf>
    <xf numFmtId="0" fontId="95" fillId="10" borderId="72" xfId="0" applyFont="1" applyFill="1" applyBorder="1" applyAlignment="1">
      <alignment horizontal="center" vertical="center"/>
    </xf>
    <xf numFmtId="0" fontId="95" fillId="10" borderId="73" xfId="0" applyFont="1" applyFill="1" applyBorder="1" applyAlignment="1">
      <alignment horizontal="center" vertical="center"/>
    </xf>
    <xf numFmtId="0" fontId="94" fillId="10" borderId="71" xfId="0" applyFont="1" applyFill="1" applyBorder="1" applyAlignment="1">
      <alignment horizontal="center" vertical="center"/>
    </xf>
    <xf numFmtId="0" fontId="94" fillId="10" borderId="72" xfId="0" applyFont="1" applyFill="1" applyBorder="1" applyAlignment="1">
      <alignment horizontal="center" vertical="center"/>
    </xf>
    <xf numFmtId="0" fontId="94" fillId="10" borderId="73" xfId="0" applyFont="1" applyFill="1" applyBorder="1" applyAlignment="1">
      <alignment horizontal="center" vertical="center"/>
    </xf>
    <xf numFmtId="3" fontId="22" fillId="2" borderId="1" xfId="0" applyNumberFormat="1" applyFont="1" applyFill="1" applyBorder="1" applyAlignment="1">
      <alignment horizontal="center" vertical="center"/>
    </xf>
    <xf numFmtId="3" fontId="102" fillId="2" borderId="1" xfId="0" applyNumberFormat="1" applyFont="1" applyFill="1" applyBorder="1" applyAlignment="1">
      <alignment horizontal="center" vertical="center"/>
    </xf>
    <xf numFmtId="9" fontId="0" fillId="2" borderId="1" xfId="1" applyFont="1" applyFill="1" applyBorder="1" applyAlignment="1">
      <alignment horizontal="right" vertical="center"/>
    </xf>
    <xf numFmtId="3" fontId="19" fillId="2" borderId="1" xfId="0" applyNumberFormat="1" applyFont="1" applyFill="1" applyBorder="1" applyAlignment="1">
      <alignment horizontal="center" vertical="center"/>
    </xf>
    <xf numFmtId="3" fontId="104" fillId="2" borderId="1" xfId="0" applyNumberFormat="1" applyFont="1" applyFill="1" applyBorder="1" applyAlignment="1">
      <alignment horizontal="center" vertical="center"/>
    </xf>
    <xf numFmtId="9" fontId="3" fillId="2" borderId="1" xfId="1" applyFont="1" applyFill="1" applyBorder="1" applyAlignment="1">
      <alignment horizontal="right" vertical="center"/>
    </xf>
    <xf numFmtId="3" fontId="19" fillId="2" borderId="2" xfId="0" applyNumberFormat="1" applyFont="1" applyFill="1" applyBorder="1" applyAlignment="1">
      <alignment horizontal="center" vertical="center"/>
    </xf>
    <xf numFmtId="9" fontId="3" fillId="2" borderId="2" xfId="1" applyFont="1" applyFill="1" applyBorder="1" applyAlignment="1">
      <alignment horizontal="right" vertical="center"/>
    </xf>
    <xf numFmtId="0" fontId="105" fillId="0" borderId="0" xfId="0" applyFont="1" applyAlignment="1"/>
    <xf numFmtId="3" fontId="0" fillId="3" borderId="0" xfId="0" applyNumberFormat="1" applyFill="1" applyAlignment="1"/>
    <xf numFmtId="0" fontId="22" fillId="0" borderId="0" xfId="0" applyFont="1" applyAlignment="1"/>
    <xf numFmtId="0" fontId="22" fillId="3" borderId="0" xfId="0" applyFont="1" applyFill="1" applyAlignment="1"/>
    <xf numFmtId="0" fontId="0" fillId="0" borderId="0" xfId="0" applyAlignment="1"/>
  </cellXfs>
  <cellStyles count="53">
    <cellStyle name="Data" xfId="3" xr:uid="{496AF13B-9679-4CE7-A18A-BABD81F92D1F}"/>
    <cellStyle name="Início do Projeto" xfId="4" xr:uid="{BB42DC65-152F-44CE-BCB9-69325B552AD7}"/>
    <cellStyle name="Moeda 2" xfId="5" xr:uid="{94381EE8-8153-4776-92F2-E9199009FE59}"/>
    <cellStyle name="Moeda 2 2" xfId="41" xr:uid="{C08A19B6-82D4-4AB5-8C60-7F26F62D538A}"/>
    <cellStyle name="Moeda 3" xfId="6" xr:uid="{7745BB28-A092-4BB5-A10E-8EE06A67A61C}"/>
    <cellStyle name="Moeda 3 2" xfId="45" xr:uid="{D9F93093-BDA3-426C-AFC6-D5A0258100E2}"/>
    <cellStyle name="Moeda 4" xfId="7" xr:uid="{565CD171-FFF3-4CDC-BBF5-1C8E17168C9A}"/>
    <cellStyle name="Moeda 4 2" xfId="49" xr:uid="{E2AEDA2E-2976-49D1-A570-970463648C4D}"/>
    <cellStyle name="Moeda 5" xfId="51" xr:uid="{96B20DB9-9BDF-447E-9AD4-FFAC65EE31A1}"/>
    <cellStyle name="Nome" xfId="8" xr:uid="{0989892A-41BA-41A4-9772-48A66EA4D9FF}"/>
    <cellStyle name="Normal" xfId="0" builtinId="0"/>
    <cellStyle name="Normal 2" xfId="9" xr:uid="{E97DDFFE-004C-4023-9A5A-934DD029247C}"/>
    <cellStyle name="Normal 2 10" xfId="34" xr:uid="{73A6A518-12E1-4D83-A5AB-3ED11F4396FD}"/>
    <cellStyle name="Normal 2 2" xfId="10" xr:uid="{FF90AD47-C57B-4B12-9133-3440F1A2AE3F}"/>
    <cellStyle name="Normal 2 4" xfId="11" xr:uid="{F1962631-BD76-4F7C-896F-89FEA9D1A827}"/>
    <cellStyle name="Normal 3" xfId="12" xr:uid="{8985AF2F-B612-4B56-9EB7-3F525297530C}"/>
    <cellStyle name="Normal 4" xfId="13" xr:uid="{D9700F16-7452-422C-B834-5423F3461FBF}"/>
    <cellStyle name="Normal 4 2" xfId="14" xr:uid="{CE3B2D22-3BFB-455B-9823-908744C9FC6B}"/>
    <cellStyle name="Percentagem" xfId="1" builtinId="5"/>
    <cellStyle name="Porcentagem 2" xfId="2" xr:uid="{9287FD1F-69EF-4544-B400-BB17E56B5A70}"/>
    <cellStyle name="Tarefa" xfId="15" xr:uid="{1CC64F6E-6E23-47ED-AE96-C90F34FE7649}"/>
    <cellStyle name="Título 3 2" xfId="16" xr:uid="{D81F02D2-F880-45BC-B62F-752136858798}"/>
    <cellStyle name="Título 5" xfId="17" xr:uid="{09446A79-00BF-4D39-9C45-26255395692D}"/>
    <cellStyle name="Vírgula" xfId="35" builtinId="3"/>
    <cellStyle name="Vírgula 10" xfId="52" xr:uid="{E38313CD-4291-49EC-BD8A-50A9895BA341}"/>
    <cellStyle name="Vírgula 2" xfId="18" xr:uid="{26F9A0C6-F9B5-48FD-B857-D8CD6910A04D}"/>
    <cellStyle name="Vírgula 2 2" xfId="19" xr:uid="{567BA14C-1F02-4CE0-8161-72CA6022CE9A}"/>
    <cellStyle name="Vírgula 2 2 2" xfId="20" xr:uid="{4F480EFB-1030-4CDC-A0C5-490F271D4AF6}"/>
    <cellStyle name="Vírgula 2 2 2 2" xfId="21" xr:uid="{5FAFCDF3-269C-4259-8BCB-31A9822C54C1}"/>
    <cellStyle name="Vírgula 2 2 2 2 2" xfId="40" xr:uid="{C0E5CC20-CB31-49CD-914B-5B87018CD5F5}"/>
    <cellStyle name="Vírgula 2 2 2 3" xfId="22" xr:uid="{C79D8C4B-ED61-4030-80C3-549D3F47875B}"/>
    <cellStyle name="Vírgula 2 2 2 3 2" xfId="44" xr:uid="{2A571AC6-7FB5-4387-9340-3EC15365DEDE}"/>
    <cellStyle name="Vírgula 2 2 2 4" xfId="23" xr:uid="{C7F7996B-0A47-44A6-B52F-0C993051CFDD}"/>
    <cellStyle name="Vírgula 2 2 2 4 2" xfId="48" xr:uid="{B0C16EB7-3B10-4DBC-98CE-9ADAF0F59071}"/>
    <cellStyle name="Vírgula 2 2 2 5" xfId="37" xr:uid="{78000F23-0EAE-4C0B-9C83-3DA63D6961DF}"/>
    <cellStyle name="Vírgula 3" xfId="24" xr:uid="{AA32DE0E-3582-4028-9906-EC00C85EBD90}"/>
    <cellStyle name="Vírgula 3 2" xfId="25" xr:uid="{F9D59AFF-EA5D-4FC7-9BC5-46E362A9B984}"/>
    <cellStyle name="Vírgula 3 2 2" xfId="39" xr:uid="{63BBBFA8-FE8E-4128-91FC-797CE956410D}"/>
    <cellStyle name="Vírgula 3 3" xfId="26" xr:uid="{DADC64E0-62A6-4B41-8D04-3BBFFC9412F3}"/>
    <cellStyle name="Vírgula 3 3 2" xfId="43" xr:uid="{66A6E717-CEF7-4014-8DD2-43E2480CC1D9}"/>
    <cellStyle name="Vírgula 3 4" xfId="27" xr:uid="{933955E0-CF6C-4C26-ADBB-C13252A0F564}"/>
    <cellStyle name="Vírgula 3 4 2" xfId="47" xr:uid="{BAD70843-3E5F-4156-B91E-60AFA974DFE9}"/>
    <cellStyle name="Vírgula 3 5" xfId="36" xr:uid="{D1E34D79-FEBE-4B62-9FF5-2869869677BA}"/>
    <cellStyle name="Vírgula 4" xfId="28" xr:uid="{F1D494D0-F8B4-4E8F-B46B-13855C9A05D5}"/>
    <cellStyle name="Vírgula 4 2" xfId="42" xr:uid="{DA7CD6B6-7A07-4839-8849-540181C7E8E4}"/>
    <cellStyle name="Vírgula 5" xfId="29" xr:uid="{8685A2A5-748B-4BDA-8A03-E9A05464D8CC}"/>
    <cellStyle name="Vírgula 5 2" xfId="46" xr:uid="{2C3CFF15-513B-4A96-A0AA-CB10CE69B0E8}"/>
    <cellStyle name="Vírgula 6" xfId="30" xr:uid="{96EFB6A7-285F-4A6F-9BC3-0C4ACBD35FB2}"/>
    <cellStyle name="Vírgula 6 2" xfId="50" xr:uid="{F1D482CC-3D4C-4C19-9B7D-A5619CC0F58B}"/>
    <cellStyle name="Vírgula 7" xfId="31" xr:uid="{4C205008-B5D0-45E4-BD6F-FF0369A28A6F}"/>
    <cellStyle name="Vírgula 8" xfId="32" xr:uid="{AD573440-3163-48DE-BD5F-0856F5D7E673}"/>
    <cellStyle name="Vírgula 9" xfId="38" xr:uid="{9FFD6B8D-2F99-4143-9C08-F6B509F904F1}"/>
    <cellStyle name="zTextoOculto" xfId="33" xr:uid="{B9434256-9FD5-4B85-A8D8-75CB2C295588}"/>
  </cellStyles>
  <dxfs count="1523">
    <dxf>
      <font>
        <color theme="0" tint="-0.14996795556505021"/>
      </font>
    </dxf>
    <dxf>
      <font>
        <color theme="0" tint="-0.14996795556505021"/>
      </font>
    </dxf>
    <dxf>
      <font>
        <color theme="0" tint="-0.14996795556505021"/>
      </font>
    </dxf>
    <dxf>
      <font>
        <color theme="0" tint="-0.14996795556505021"/>
      </font>
    </dxf>
    <dxf>
      <font>
        <color theme="0"/>
      </font>
    </dxf>
    <dxf>
      <font>
        <color theme="0"/>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font>
    </dxf>
    <dxf>
      <font>
        <color theme="0"/>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font>
    </dxf>
    <dxf>
      <font>
        <color theme="0"/>
      </font>
    </dxf>
    <dxf>
      <font>
        <color theme="0"/>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font>
    </dxf>
    <dxf>
      <font>
        <color theme="0"/>
      </font>
    </dxf>
    <dxf>
      <font>
        <color theme="0"/>
      </font>
    </dxf>
    <dxf>
      <font>
        <color theme="0"/>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font>
    </dxf>
    <dxf>
      <font>
        <color theme="0"/>
      </font>
    </dxf>
    <dxf>
      <font>
        <color theme="0"/>
      </font>
    </dxf>
    <dxf>
      <font>
        <color theme="0"/>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font>
    </dxf>
    <dxf>
      <font>
        <color theme="0"/>
      </font>
    </dxf>
    <dxf>
      <font>
        <color rgb="FF9C0006"/>
      </font>
      <fill>
        <patternFill>
          <bgColor rgb="FFFFC7CE"/>
        </patternFill>
      </fill>
    </dxf>
    <dxf>
      <font>
        <color theme="0"/>
      </font>
    </dxf>
    <dxf>
      <font>
        <color theme="0"/>
      </font>
    </dxf>
    <dxf>
      <font>
        <color theme="0" tint="-0.14996795556505021"/>
      </font>
    </dxf>
    <dxf>
      <font>
        <color theme="0" tint="-0.14996795556505021"/>
      </font>
    </dxf>
    <dxf>
      <font>
        <color theme="0"/>
      </font>
    </dxf>
    <dxf>
      <font>
        <color theme="0"/>
      </font>
    </dxf>
    <dxf>
      <font>
        <color theme="0"/>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tint="-0.14996795556505021"/>
      </font>
    </dxf>
    <dxf>
      <font>
        <color theme="0" tint="-0.14996795556505021"/>
      </font>
    </dxf>
    <dxf>
      <font>
        <color theme="0"/>
      </font>
    </dxf>
    <dxf>
      <font>
        <color theme="0"/>
      </font>
    </dxf>
    <dxf>
      <font>
        <color theme="0"/>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ont>
        <color theme="0"/>
      </font>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rgb="FFFFFFAF"/>
      </font>
      <fill>
        <patternFill patternType="solid">
          <fgColor rgb="FFFFC000"/>
          <bgColor rgb="FFFFFF65"/>
        </patternFill>
      </fill>
    </dxf>
    <dxf>
      <font>
        <color theme="1"/>
      </font>
      <fill>
        <patternFill>
          <bgColor theme="9" tint="0.59996337778862885"/>
        </patternFill>
      </fill>
    </dxf>
    <dxf>
      <fill>
        <patternFill>
          <bgColor theme="4" tint="0.59996337778862885"/>
        </patternFill>
      </fill>
    </dxf>
    <dxf>
      <font>
        <color theme="0"/>
      </font>
    </dxf>
    <dxf>
      <font>
        <color theme="0"/>
      </font>
    </dxf>
    <dxf>
      <font>
        <color theme="0"/>
      </font>
    </dxf>
    <dxf>
      <font>
        <color theme="0"/>
      </font>
    </dxf>
    <dxf>
      <font>
        <color theme="0"/>
      </font>
    </dxf>
    <dxf>
      <font>
        <color theme="1"/>
      </font>
      <fill>
        <patternFill>
          <bgColor theme="9" tint="0.59996337778862885"/>
        </patternFill>
      </fill>
    </dxf>
    <dxf>
      <font>
        <color theme="1"/>
      </font>
      <fill>
        <patternFill>
          <bgColor theme="9" tint="0.59996337778862885"/>
        </patternFill>
      </fill>
    </dxf>
    <dxf>
      <font>
        <color theme="0"/>
      </font>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0"/>
      </font>
    </dxf>
    <dxf>
      <font>
        <color theme="0"/>
      </font>
    </dxf>
    <dxf>
      <font>
        <color theme="0" tint="-0.14996795556505021"/>
      </font>
    </dxf>
    <dxf>
      <font>
        <color theme="0"/>
      </font>
    </dxf>
    <dxf>
      <font>
        <color theme="0" tint="-0.1499679555650502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tint="-0.14996795556505021"/>
      </font>
    </dxf>
    <dxf>
      <fill>
        <patternFill>
          <bgColor theme="4" tint="0.59996337778862885"/>
        </patternFill>
      </fill>
    </dxf>
    <dxf>
      <font>
        <color theme="1"/>
      </font>
      <fill>
        <patternFill>
          <bgColor theme="9" tint="0.59996337778862885"/>
        </patternFill>
      </fill>
    </dxf>
    <dxf>
      <font>
        <color theme="0" tint="-0.14996795556505021"/>
      </font>
    </dxf>
    <dxf>
      <font>
        <color theme="0" tint="-0.14996795556505021"/>
      </font>
    </dxf>
    <dxf>
      <font>
        <color theme="0" tint="-0.14996795556505021"/>
      </font>
    </dxf>
    <dxf>
      <font>
        <color theme="0" tint="-0.1499679555650502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4" tint="0.59996337778862885"/>
        </patternFill>
      </fill>
    </dxf>
    <dxf>
      <font>
        <color theme="1"/>
      </font>
      <fill>
        <patternFill>
          <bgColor theme="9" tint="0.59996337778862885"/>
        </patternFill>
      </fill>
    </dxf>
    <dxf>
      <font>
        <color theme="0"/>
      </font>
    </dxf>
    <dxf>
      <font>
        <color theme="1"/>
      </font>
      <fill>
        <patternFill>
          <bgColor theme="9"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0"/>
      </font>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0"/>
      </font>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0"/>
      </font>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ill>
        <patternFill>
          <bgColor theme="4" tint="0.59996337778862885"/>
        </patternFill>
      </fill>
    </dxf>
    <dxf>
      <font>
        <color theme="1"/>
      </font>
      <fill>
        <patternFill>
          <bgColor theme="9"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FFAF"/>
      </font>
      <fill>
        <patternFill patternType="solid">
          <fgColor rgb="FFFFC000"/>
          <bgColor rgb="FFFFFF65"/>
        </patternFill>
      </fill>
    </dxf>
    <dxf>
      <font>
        <color rgb="FFFFFFAF"/>
      </font>
      <fill>
        <patternFill patternType="solid">
          <fgColor rgb="FFFFC000"/>
          <bgColor rgb="FFFFFF6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font>
    </dxf>
    <dxf>
      <font>
        <color theme="0" tint="-0.14996795556505021"/>
      </font>
    </dxf>
    <dxf>
      <font>
        <color theme="0"/>
      </font>
    </dxf>
    <dxf>
      <font>
        <color theme="0" tint="-0.14996795556505021"/>
      </font>
    </dxf>
    <dxf>
      <font>
        <color theme="0" tint="-0.14996795556505021"/>
      </font>
    </dxf>
    <dxf>
      <font>
        <color theme="0"/>
      </font>
      <fill>
        <patternFill>
          <bgColor rgb="FF007E7A"/>
        </patternFill>
      </fill>
    </dxf>
    <dxf>
      <font>
        <color theme="0"/>
      </font>
    </dxf>
    <dxf>
      <font>
        <color theme="0"/>
      </font>
    </dxf>
    <dxf>
      <font>
        <color theme="0"/>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
      <font>
        <color theme="0" tint="-0.14996795556505021"/>
      </font>
    </dxf>
    <dxf>
      <font>
        <color theme="0" tint="-0.14996795556505021"/>
      </font>
    </dxf>
    <dxf>
      <font>
        <color theme="0" tint="-0.14996795556505021"/>
      </font>
    </dxf>
    <dxf>
      <font>
        <color theme="0"/>
      </font>
    </dxf>
    <dxf>
      <font>
        <color theme="0" tint="-0.14996795556505021"/>
      </font>
    </dxf>
    <dxf>
      <font>
        <color theme="0"/>
      </font>
    </dxf>
  </dxfs>
  <tableStyles count="0" defaultTableStyle="TableStyleMedium2" defaultPivotStyle="PivotStyleLight16"/>
  <colors>
    <mruColors>
      <color rgb="FF38986A"/>
      <color rgb="FFC2C2C2"/>
      <color rgb="FF3578BC"/>
      <color rgb="FFFF9900"/>
      <color rgb="FFFFFFCC"/>
      <color rgb="FFD4E3F4"/>
      <color rgb="FF02233F"/>
      <color rgb="FFD21242"/>
      <color rgb="FF007E7A"/>
      <color rgb="FFF89B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9.xml"/><Relationship Id="rId1" Type="http://schemas.microsoft.com/office/2011/relationships/chartStyle" Target="style29.xml"/><Relationship Id="rId4" Type="http://schemas.openxmlformats.org/officeDocument/2006/relationships/chartUserShapes" Target="../drawings/drawing3.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BR">
                <a:solidFill>
                  <a:srgbClr val="002060"/>
                </a:solidFill>
              </a:rPr>
              <a:t>Pacote 04/05 </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BR"/>
        </a:p>
      </c:txPr>
    </c:title>
    <c:autoTitleDeleted val="0"/>
    <c:plotArea>
      <c:layout>
        <c:manualLayout>
          <c:layoutTarget val="inner"/>
          <c:xMode val="edge"/>
          <c:yMode val="edge"/>
          <c:x val="8.217137031820558E-2"/>
          <c:y val="0.13510988629696535"/>
          <c:w val="0.87018701645481122"/>
          <c:h val="0.63642892140884932"/>
        </c:manualLayout>
      </c:layout>
      <c:barChart>
        <c:barDir val="col"/>
        <c:grouping val="clustered"/>
        <c:varyColors val="0"/>
        <c:ser>
          <c:idx val="1"/>
          <c:order val="1"/>
          <c:tx>
            <c:v>Prog Semanal</c:v>
          </c:tx>
          <c:spPr>
            <a:solidFill>
              <a:srgbClr val="3578BC"/>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Gráficos!$G$7:$L$7</c:f>
              <c:numCache>
                <c:formatCode>_-* #,##0.0_-;\-* #,##0.0_-;_-* "-"??_-;_-@_-</c:formatCode>
                <c:ptCount val="6"/>
                <c:pt idx="0">
                  <c:v>57.316000000000003</c:v>
                </c:pt>
                <c:pt idx="1">
                  <c:v>57.316000000000003</c:v>
                </c:pt>
                <c:pt idx="2">
                  <c:v>57.316000000000003</c:v>
                </c:pt>
                <c:pt idx="3">
                  <c:v>57.246000000000002</c:v>
                </c:pt>
                <c:pt idx="4">
                  <c:v>50.536000000000001</c:v>
                </c:pt>
                <c:pt idx="5">
                  <c:v>50.536000000000001</c:v>
                </c:pt>
              </c:numCache>
            </c:numRef>
          </c:val>
          <c:extLst>
            <c:ext xmlns:c16="http://schemas.microsoft.com/office/drawing/2014/chart" uri="{C3380CC4-5D6E-409C-BE32-E72D297353CC}">
              <c16:uniqueId val="{00000001-BF28-4F8D-8A00-957574E9647E}"/>
            </c:ext>
          </c:extLst>
        </c:ser>
        <c:ser>
          <c:idx val="2"/>
          <c:order val="2"/>
          <c:tx>
            <c:v>Realizado</c:v>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Gráficos!$G$9:$L$9</c:f>
              <c:numCache>
                <c:formatCode>_-* #,##0.0_-;\-* #,##0.0_-;_-* "-"??_-;_-@_-</c:formatCode>
                <c:ptCount val="6"/>
                <c:pt idx="0">
                  <c:v>57.073399999999999</c:v>
                </c:pt>
                <c:pt idx="1">
                  <c:v>56.071480000000001</c:v>
                </c:pt>
                <c:pt idx="2">
                  <c:v>0</c:v>
                </c:pt>
                <c:pt idx="3">
                  <c:v>0</c:v>
                </c:pt>
                <c:pt idx="4">
                  <c:v>0</c:v>
                </c:pt>
                <c:pt idx="5">
                  <c:v>0</c:v>
                </c:pt>
              </c:numCache>
            </c:numRef>
          </c:val>
          <c:extLst>
            <c:ext xmlns:c16="http://schemas.microsoft.com/office/drawing/2014/chart" uri="{C3380CC4-5D6E-409C-BE32-E72D297353CC}">
              <c16:uniqueId val="{00000002-BF28-4F8D-8A00-957574E9647E}"/>
            </c:ext>
          </c:extLst>
        </c:ser>
        <c:dLbls>
          <c:showLegendKey val="0"/>
          <c:showVal val="0"/>
          <c:showCatName val="0"/>
          <c:showSerName val="0"/>
          <c:showPercent val="0"/>
          <c:showBubbleSize val="0"/>
        </c:dLbls>
        <c:gapWidth val="100"/>
        <c:overlap val="-24"/>
        <c:axId val="151427519"/>
        <c:axId val="151427999"/>
      </c:barChart>
      <c:lineChart>
        <c:grouping val="standard"/>
        <c:varyColors val="0"/>
        <c:ser>
          <c:idx val="0"/>
          <c:order val="0"/>
          <c:tx>
            <c:v>Meta mês</c:v>
          </c:tx>
          <c:spPr>
            <a:ln w="19050" cap="rnd">
              <a:solidFill>
                <a:srgbClr val="FF9900"/>
              </a:solidFill>
              <a:prstDash val="sysDash"/>
              <a:round/>
            </a:ln>
            <a:effectLst>
              <a:outerShdw blurRad="40000" dist="23000" dir="5400000" rotWithShape="0">
                <a:srgbClr val="000000">
                  <a:alpha val="35000"/>
                </a:srgbClr>
              </a:outerShdw>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6-BF28-4F8D-8A00-957574E9647E}"/>
                </c:ext>
              </c:extLst>
            </c:dLbl>
            <c:dLbl>
              <c:idx val="2"/>
              <c:delete val="1"/>
              <c:extLst>
                <c:ext xmlns:c15="http://schemas.microsoft.com/office/drawing/2012/chart" uri="{CE6537A1-D6FC-4f65-9D91-7224C49458BB}"/>
                <c:ext xmlns:c16="http://schemas.microsoft.com/office/drawing/2014/chart" uri="{C3380CC4-5D6E-409C-BE32-E72D297353CC}">
                  <c16:uniqueId val="{00000005-BF28-4F8D-8A00-957574E9647E}"/>
                </c:ext>
              </c:extLst>
            </c:dLbl>
            <c:dLbl>
              <c:idx val="3"/>
              <c:delete val="1"/>
              <c:extLst>
                <c:ext xmlns:c15="http://schemas.microsoft.com/office/drawing/2012/chart" uri="{CE6537A1-D6FC-4f65-9D91-7224C49458BB}"/>
                <c:ext xmlns:c16="http://schemas.microsoft.com/office/drawing/2014/chart" uri="{C3380CC4-5D6E-409C-BE32-E72D297353CC}">
                  <c16:uniqueId val="{00000004-BF28-4F8D-8A00-957574E9647E}"/>
                </c:ext>
              </c:extLst>
            </c:dLbl>
            <c:dLbl>
              <c:idx val="4"/>
              <c:delete val="1"/>
              <c:extLst>
                <c:ext xmlns:c15="http://schemas.microsoft.com/office/drawing/2012/chart" uri="{CE6537A1-D6FC-4f65-9D91-7224C49458BB}"/>
                <c:ext xmlns:c16="http://schemas.microsoft.com/office/drawing/2014/chart" uri="{C3380CC4-5D6E-409C-BE32-E72D297353CC}">
                  <c16:uniqueId val="{00000003-BF28-4F8D-8A00-957574E9647E}"/>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Gráficos!$G$5:$L$5</c:f>
              <c:numCache>
                <c:formatCode>_-* #,##0.0_-;\-* #,##0.0_-;_-* "-"??_-;_-@_-</c:formatCode>
                <c:ptCount val="6"/>
                <c:pt idx="0">
                  <c:v>59.916437777777787</c:v>
                </c:pt>
                <c:pt idx="1">
                  <c:v>59.916437777777787</c:v>
                </c:pt>
                <c:pt idx="2">
                  <c:v>59.916437777777787</c:v>
                </c:pt>
                <c:pt idx="3">
                  <c:v>59.916437777777787</c:v>
                </c:pt>
                <c:pt idx="4">
                  <c:v>59.916437777777787</c:v>
                </c:pt>
                <c:pt idx="5">
                  <c:v>59.916437777777787</c:v>
                </c:pt>
              </c:numCache>
            </c:numRef>
          </c:val>
          <c:smooth val="0"/>
          <c:extLst>
            <c:ext xmlns:c16="http://schemas.microsoft.com/office/drawing/2014/chart" uri="{C3380CC4-5D6E-409C-BE32-E72D297353CC}">
              <c16:uniqueId val="{00000000-BF28-4F8D-8A00-957574E9647E}"/>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0"/>
        <c:noMultiLvlLbl val="0"/>
      </c:catAx>
      <c:valAx>
        <c:axId val="151427999"/>
        <c:scaling>
          <c:orientation val="minMax"/>
        </c:scaling>
        <c:delete val="0"/>
        <c:axPos val="l"/>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crossAx val="151427519"/>
        <c:crosses val="autoZero"/>
        <c:crossBetween val="between"/>
      </c:valAx>
      <c:spPr>
        <a:noFill/>
        <a:ln>
          <a:noFill/>
        </a:ln>
        <a:effectLst/>
      </c:spPr>
    </c:plotArea>
    <c:legend>
      <c:legendPos val="b"/>
      <c:layout>
        <c:manualLayout>
          <c:xMode val="edge"/>
          <c:yMode val="edge"/>
          <c:x val="0.20746359664487643"/>
          <c:y val="0.8776477777777778"/>
          <c:w val="0.63608292181069959"/>
          <c:h val="0.1101947369033160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BR">
                <a:solidFill>
                  <a:schemeClr val="accent6">
                    <a:lumMod val="75000"/>
                  </a:schemeClr>
                </a:solidFill>
              </a:rPr>
              <a:t>Pacote 06</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BR"/>
        </a:p>
      </c:txPr>
    </c:title>
    <c:autoTitleDeleted val="0"/>
    <c:plotArea>
      <c:layout>
        <c:manualLayout>
          <c:layoutTarget val="inner"/>
          <c:xMode val="edge"/>
          <c:yMode val="edge"/>
          <c:x val="5.744002845249329E-2"/>
          <c:y val="0.12175658335849504"/>
          <c:w val="0.92442669913435371"/>
          <c:h val="0.67648897119679696"/>
        </c:manualLayout>
      </c:layout>
      <c:barChart>
        <c:barDir val="col"/>
        <c:grouping val="clustered"/>
        <c:varyColors val="0"/>
        <c:ser>
          <c:idx val="1"/>
          <c:order val="1"/>
          <c:tx>
            <c:v>Prog Semanal</c:v>
          </c:tx>
          <c:spPr>
            <a:solidFill>
              <a:srgbClr val="3578BC"/>
            </a:solidFill>
            <a:ln>
              <a:noFill/>
            </a:ln>
            <a:effectLst>
              <a:outerShdw blurRad="40000" dist="23000" dir="5400000" rotWithShape="0">
                <a:srgbClr val="000000">
                  <a:alpha val="35000"/>
                </a:srgbClr>
              </a:outerShdw>
            </a:effectLst>
          </c:spPr>
          <c:invertIfNegative val="0"/>
          <c:dLbls>
            <c:spPr>
              <a:solidFill>
                <a:srgbClr val="3578BC"/>
              </a:solid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Gráficos!$G$13:$L$13</c:f>
              <c:numCache>
                <c:formatCode>_-* #,##0.0_-;\-* #,##0.0_-;_-* "-"??_-;_-@_-</c:formatCode>
                <c:ptCount val="6"/>
                <c:pt idx="0">
                  <c:v>47.6493984962406</c:v>
                </c:pt>
                <c:pt idx="1">
                  <c:v>47.6493984962406</c:v>
                </c:pt>
                <c:pt idx="2">
                  <c:v>47.6493984962406</c:v>
                </c:pt>
                <c:pt idx="3">
                  <c:v>47.6493984962406</c:v>
                </c:pt>
                <c:pt idx="4">
                  <c:v>47.6493984962406</c:v>
                </c:pt>
                <c:pt idx="5">
                  <c:v>47.1493984962406</c:v>
                </c:pt>
              </c:numCache>
            </c:numRef>
          </c:val>
          <c:extLst>
            <c:ext xmlns:c16="http://schemas.microsoft.com/office/drawing/2014/chart" uri="{C3380CC4-5D6E-409C-BE32-E72D297353CC}">
              <c16:uniqueId val="{00000001-BF28-4F8D-8A00-957574E9647E}"/>
            </c:ext>
          </c:extLst>
        </c:ser>
        <c:ser>
          <c:idx val="2"/>
          <c:order val="2"/>
          <c:tx>
            <c:v>Realizado</c:v>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Gráficos!$G$15:$L$15</c:f>
              <c:numCache>
                <c:formatCode>_-* #,##0.0_-;\-* #,##0.0_-;_-* "-"??_-;_-@_-</c:formatCode>
                <c:ptCount val="6"/>
                <c:pt idx="0">
                  <c:v>36.239259999999994</c:v>
                </c:pt>
                <c:pt idx="1">
                  <c:v>35.896050000000002</c:v>
                </c:pt>
                <c:pt idx="2">
                  <c:v>0</c:v>
                </c:pt>
                <c:pt idx="3">
                  <c:v>0</c:v>
                </c:pt>
                <c:pt idx="4">
                  <c:v>0</c:v>
                </c:pt>
                <c:pt idx="5">
                  <c:v>0</c:v>
                </c:pt>
              </c:numCache>
            </c:numRef>
          </c:val>
          <c:extLst>
            <c:ext xmlns:c16="http://schemas.microsoft.com/office/drawing/2014/chart" uri="{C3380CC4-5D6E-409C-BE32-E72D297353CC}">
              <c16:uniqueId val="{00000002-BF28-4F8D-8A00-957574E9647E}"/>
            </c:ext>
          </c:extLst>
        </c:ser>
        <c:dLbls>
          <c:showLegendKey val="0"/>
          <c:showVal val="0"/>
          <c:showCatName val="0"/>
          <c:showSerName val="0"/>
          <c:showPercent val="0"/>
          <c:showBubbleSize val="0"/>
        </c:dLbls>
        <c:gapWidth val="100"/>
        <c:overlap val="-24"/>
        <c:axId val="151427519"/>
        <c:axId val="151427999"/>
      </c:barChart>
      <c:lineChart>
        <c:grouping val="standard"/>
        <c:varyColors val="0"/>
        <c:ser>
          <c:idx val="0"/>
          <c:order val="0"/>
          <c:tx>
            <c:v>Meta mês</c:v>
          </c:tx>
          <c:spPr>
            <a:ln w="19050" cap="rnd">
              <a:solidFill>
                <a:srgbClr val="FF9900"/>
              </a:solidFill>
              <a:prstDash val="sysDash"/>
              <a:round/>
            </a:ln>
            <a:effectLst>
              <a:outerShdw blurRad="40000" dist="23000" dir="5400000" rotWithShape="0">
                <a:srgbClr val="000000">
                  <a:alpha val="35000"/>
                </a:srgbClr>
              </a:outerShdw>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6-BF28-4F8D-8A00-957574E9647E}"/>
                </c:ext>
              </c:extLst>
            </c:dLbl>
            <c:dLbl>
              <c:idx val="2"/>
              <c:delete val="1"/>
              <c:extLst>
                <c:ext xmlns:c15="http://schemas.microsoft.com/office/drawing/2012/chart" uri="{CE6537A1-D6FC-4f65-9D91-7224C49458BB}"/>
                <c:ext xmlns:c16="http://schemas.microsoft.com/office/drawing/2014/chart" uri="{C3380CC4-5D6E-409C-BE32-E72D297353CC}">
                  <c16:uniqueId val="{00000005-BF28-4F8D-8A00-957574E9647E}"/>
                </c:ext>
              </c:extLst>
            </c:dLbl>
            <c:dLbl>
              <c:idx val="3"/>
              <c:delete val="1"/>
              <c:extLst>
                <c:ext xmlns:c15="http://schemas.microsoft.com/office/drawing/2012/chart" uri="{CE6537A1-D6FC-4f65-9D91-7224C49458BB}"/>
                <c:ext xmlns:c16="http://schemas.microsoft.com/office/drawing/2014/chart" uri="{C3380CC4-5D6E-409C-BE32-E72D297353CC}">
                  <c16:uniqueId val="{00000004-BF28-4F8D-8A00-957574E9647E}"/>
                </c:ext>
              </c:extLst>
            </c:dLbl>
            <c:dLbl>
              <c:idx val="4"/>
              <c:delete val="1"/>
              <c:extLst>
                <c:ext xmlns:c15="http://schemas.microsoft.com/office/drawing/2012/chart" uri="{CE6537A1-D6FC-4f65-9D91-7224C49458BB}"/>
                <c:ext xmlns:c16="http://schemas.microsoft.com/office/drawing/2014/chart" uri="{C3380CC4-5D6E-409C-BE32-E72D297353CC}">
                  <c16:uniqueId val="{00000003-BF28-4F8D-8A00-957574E9647E}"/>
                </c:ext>
              </c:extLst>
            </c:dLbl>
            <c:spPr>
              <a:solidFill>
                <a:srgbClr val="FF9900"/>
              </a:solid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Gráficos!$G$11:$L$11</c:f>
              <c:numCache>
                <c:formatCode>_-* #,##0.0_-;\-* #,##0.0_-;_-* "-"??_-;_-@_-</c:formatCode>
                <c:ptCount val="6"/>
                <c:pt idx="0">
                  <c:v>39.091084444444448</c:v>
                </c:pt>
                <c:pt idx="1">
                  <c:v>39.091084444444448</c:v>
                </c:pt>
                <c:pt idx="2">
                  <c:v>39.091084444444448</c:v>
                </c:pt>
                <c:pt idx="3">
                  <c:v>39.091084444444448</c:v>
                </c:pt>
                <c:pt idx="4">
                  <c:v>39.091084444444448</c:v>
                </c:pt>
                <c:pt idx="5">
                  <c:v>39.091084444444448</c:v>
                </c:pt>
              </c:numCache>
            </c:numRef>
          </c:val>
          <c:smooth val="0"/>
          <c:extLst>
            <c:ext xmlns:c16="http://schemas.microsoft.com/office/drawing/2014/chart" uri="{C3380CC4-5D6E-409C-BE32-E72D297353CC}">
              <c16:uniqueId val="{00000000-BF28-4F8D-8A00-957574E9647E}"/>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0"/>
        <c:axPos val="l"/>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crossAx val="151427519"/>
        <c:crosses val="autoZero"/>
        <c:crossBetween val="between"/>
      </c:valAx>
      <c:spPr>
        <a:noFill/>
        <a:ln>
          <a:noFill/>
        </a:ln>
        <a:effectLst/>
      </c:spPr>
    </c:plotArea>
    <c:legend>
      <c:legendPos val="b"/>
      <c:layout>
        <c:manualLayout>
          <c:xMode val="edge"/>
          <c:yMode val="edge"/>
          <c:x val="0.19293433932243967"/>
          <c:y val="0.88087650930386507"/>
          <c:w val="0.61413113513441042"/>
          <c:h val="0.1191234906961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166782816976397"/>
          <c:y val="0.12175654309944747"/>
          <c:w val="0.64758168449436293"/>
          <c:h val="0.67648897119679696"/>
        </c:manualLayout>
      </c:layout>
      <c:barChart>
        <c:barDir val="col"/>
        <c:grouping val="clustered"/>
        <c:varyColors val="0"/>
        <c:ser>
          <c:idx val="1"/>
          <c:order val="1"/>
          <c:tx>
            <c:strRef>
              <c:f>Gráficos!$F$13</c:f>
              <c:strCache>
                <c:ptCount val="1"/>
                <c:pt idx="0">
                  <c:v>P</c:v>
                </c:pt>
              </c:strCache>
            </c:strRef>
          </c:tx>
          <c:spPr>
            <a:solidFill>
              <a:srgbClr val="3578BC"/>
            </a:solidFill>
            <a:ln>
              <a:noFill/>
            </a:ln>
            <a:effectLst>
              <a:outerShdw blurRad="40000" dist="23000" dir="5400000" rotWithShape="0">
                <a:srgbClr val="000000">
                  <a:alpha val="35000"/>
                </a:srgbClr>
              </a:outerShdw>
            </a:effectLst>
          </c:spPr>
          <c:invertIfNegative val="0"/>
          <c:dLbls>
            <c:spPr>
              <a:solidFill>
                <a:srgbClr val="0070C0"/>
              </a:solid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Gráficos!$N$13</c:f>
              <c:numCache>
                <c:formatCode>_-* #,##0_-;\-* #,##0_-;_-* "-"??_-;_-@_-</c:formatCode>
                <c:ptCount val="1"/>
                <c:pt idx="0">
                  <c:v>95.298796992481201</c:v>
                </c:pt>
              </c:numCache>
            </c:numRef>
          </c:val>
          <c:extLst>
            <c:ext xmlns:c16="http://schemas.microsoft.com/office/drawing/2014/chart" uri="{C3380CC4-5D6E-409C-BE32-E72D297353CC}">
              <c16:uniqueId val="{00000001-BF28-4F8D-8A00-957574E9647E}"/>
            </c:ext>
          </c:extLst>
        </c:ser>
        <c:ser>
          <c:idx val="2"/>
          <c:order val="2"/>
          <c:tx>
            <c:strRef>
              <c:f>Gráficos!$F$15</c:f>
              <c:strCache>
                <c:ptCount val="1"/>
                <c:pt idx="0">
                  <c:v>R</c:v>
                </c:pt>
              </c:strCache>
            </c:strRef>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Gráficos!$N$15</c:f>
              <c:numCache>
                <c:formatCode>_-* #,##0_-;\-* #,##0_-;_-* "-"??_-;_-@_-</c:formatCode>
                <c:ptCount val="1"/>
                <c:pt idx="0">
                  <c:v>72.135310000000004</c:v>
                </c:pt>
              </c:numCache>
            </c:numRef>
          </c:val>
          <c:extLst>
            <c:ext xmlns:c16="http://schemas.microsoft.com/office/drawing/2014/chart" uri="{C3380CC4-5D6E-409C-BE32-E72D297353CC}">
              <c16:uniqueId val="{00000002-BF28-4F8D-8A00-957574E9647E}"/>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Gráficos!$F$11</c:f>
              <c:strCache>
                <c:ptCount val="1"/>
                <c:pt idx="0">
                  <c:v>M</c:v>
                </c:pt>
              </c:strCache>
            </c:strRef>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layout>
                <c:manualLayout>
                  <c:x val="-0.12994089361246672"/>
                  <c:y val="-7.7635067589347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B5-4CCB-A9D4-170214FBB932}"/>
                </c:ext>
              </c:extLst>
            </c:dLbl>
            <c:dLbl>
              <c:idx val="1"/>
              <c:delete val="1"/>
              <c:extLst>
                <c:ext xmlns:c15="http://schemas.microsoft.com/office/drawing/2012/chart" uri="{CE6537A1-D6FC-4f65-9D91-7224C49458BB}"/>
                <c:ext xmlns:c16="http://schemas.microsoft.com/office/drawing/2014/chart" uri="{C3380CC4-5D6E-409C-BE32-E72D297353CC}">
                  <c16:uniqueId val="{00000006-BF28-4F8D-8A00-957574E9647E}"/>
                </c:ext>
              </c:extLst>
            </c:dLbl>
            <c:dLbl>
              <c:idx val="2"/>
              <c:delete val="1"/>
              <c:extLst>
                <c:ext xmlns:c15="http://schemas.microsoft.com/office/drawing/2012/chart" uri="{CE6537A1-D6FC-4f65-9D91-7224C49458BB}"/>
                <c:ext xmlns:c16="http://schemas.microsoft.com/office/drawing/2014/chart" uri="{C3380CC4-5D6E-409C-BE32-E72D297353CC}">
                  <c16:uniqueId val="{00000005-BF28-4F8D-8A00-957574E9647E}"/>
                </c:ext>
              </c:extLst>
            </c:dLbl>
            <c:dLbl>
              <c:idx val="3"/>
              <c:delete val="1"/>
              <c:extLst>
                <c:ext xmlns:c15="http://schemas.microsoft.com/office/drawing/2012/chart" uri="{CE6537A1-D6FC-4f65-9D91-7224C49458BB}"/>
                <c:ext xmlns:c16="http://schemas.microsoft.com/office/drawing/2014/chart" uri="{C3380CC4-5D6E-409C-BE32-E72D297353CC}">
                  <c16:uniqueId val="{00000004-BF28-4F8D-8A00-957574E9647E}"/>
                </c:ext>
              </c:extLst>
            </c:dLbl>
            <c:dLbl>
              <c:idx val="4"/>
              <c:delete val="1"/>
              <c:extLst>
                <c:ext xmlns:c15="http://schemas.microsoft.com/office/drawing/2012/chart" uri="{CE6537A1-D6FC-4f65-9D91-7224C49458BB}"/>
                <c:ext xmlns:c16="http://schemas.microsoft.com/office/drawing/2014/chart" uri="{C3380CC4-5D6E-409C-BE32-E72D297353CC}">
                  <c16:uniqueId val="{00000003-BF28-4F8D-8A00-957574E9647E}"/>
                </c:ext>
              </c:extLst>
            </c:dLbl>
            <c:spPr>
              <a:solidFill>
                <a:srgbClr val="FF9900"/>
              </a:solid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Gráficos!$N$11</c:f>
              <c:numCache>
                <c:formatCode>_-* #,##0_-;\-* #,##0_-;_-* "-"??_-;_-@_-</c:formatCode>
                <c:ptCount val="1"/>
                <c:pt idx="0">
                  <c:v>234.54650666666669</c:v>
                </c:pt>
              </c:numCache>
            </c:numRef>
          </c:val>
          <c:smooth val="0"/>
          <c:extLst>
            <c:ext xmlns:c16="http://schemas.microsoft.com/office/drawing/2014/chart" uri="{C3380CC4-5D6E-409C-BE32-E72D297353CC}">
              <c16:uniqueId val="{00000000-BF28-4F8D-8A00-957574E9647E}"/>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BR">
                <a:solidFill>
                  <a:srgbClr val="D21242"/>
                </a:solidFill>
              </a:rPr>
              <a:t>Pacote 07/08</a:t>
            </a:r>
          </a:p>
        </c:rich>
      </c:tx>
      <c:layout>
        <c:manualLayout>
          <c:xMode val="edge"/>
          <c:yMode val="edge"/>
          <c:x val="0.36093716788042085"/>
          <c:y val="3.16670465545653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BR"/>
        </a:p>
      </c:txPr>
    </c:title>
    <c:autoTitleDeleted val="0"/>
    <c:plotArea>
      <c:layout>
        <c:manualLayout>
          <c:layoutTarget val="inner"/>
          <c:xMode val="edge"/>
          <c:yMode val="edge"/>
          <c:x val="5.744002845249329E-2"/>
          <c:y val="7.1100660620311271E-2"/>
          <c:w val="0.92442669913435371"/>
          <c:h val="0.72714491242533719"/>
        </c:manualLayout>
      </c:layout>
      <c:barChart>
        <c:barDir val="col"/>
        <c:grouping val="clustered"/>
        <c:varyColors val="0"/>
        <c:ser>
          <c:idx val="1"/>
          <c:order val="1"/>
          <c:tx>
            <c:v>Prog Semanal</c:v>
          </c:tx>
          <c:spPr>
            <a:solidFill>
              <a:srgbClr val="3578BC"/>
            </a:solidFill>
            <a:ln>
              <a:noFill/>
            </a:ln>
            <a:effectLst>
              <a:outerShdw blurRad="40000" dist="23000" dir="5400000" rotWithShape="0">
                <a:srgbClr val="000000">
                  <a:alpha val="35000"/>
                </a:srgbClr>
              </a:outerShdw>
            </a:effectLst>
          </c:spPr>
          <c:invertIfNegative val="0"/>
          <c:dLbls>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extLst>
                <c:ext xmlns:c16="http://schemas.microsoft.com/office/drawing/2014/chart" uri="{C3380CC4-5D6E-409C-BE32-E72D297353CC}">
                  <c16:uniqueId val="{00000000-4EDB-4C3E-8DE0-1C6C34C40A28}"/>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Gráficos!$G$19:$L$19</c:f>
              <c:numCache>
                <c:formatCode>_-* #,##0.0_-;\-* #,##0.0_-;_-* "-"??_-;_-@_-</c:formatCode>
                <c:ptCount val="6"/>
                <c:pt idx="0">
                  <c:v>10.111496060033332</c:v>
                </c:pt>
                <c:pt idx="1">
                  <c:v>10.111496060033332</c:v>
                </c:pt>
                <c:pt idx="2">
                  <c:v>10.111496060033332</c:v>
                </c:pt>
                <c:pt idx="3">
                  <c:v>10.111496060033332</c:v>
                </c:pt>
                <c:pt idx="4">
                  <c:v>10.111496060033332</c:v>
                </c:pt>
                <c:pt idx="5">
                  <c:v>10.111496060033332</c:v>
                </c:pt>
              </c:numCache>
            </c:numRef>
          </c:val>
          <c:extLst>
            <c:ext xmlns:c16="http://schemas.microsoft.com/office/drawing/2014/chart" uri="{C3380CC4-5D6E-409C-BE32-E72D297353CC}">
              <c16:uniqueId val="{00000000-2122-4CDF-8891-962F0E7EF308}"/>
            </c:ext>
          </c:extLst>
        </c:ser>
        <c:ser>
          <c:idx val="2"/>
          <c:order val="2"/>
          <c:tx>
            <c:v>Realizado</c:v>
          </c:tx>
          <c:spPr>
            <a:solidFill>
              <a:srgbClr val="38986A"/>
            </a:solidFill>
            <a:ln>
              <a:noFill/>
            </a:ln>
            <a:effectLst>
              <a:outerShdw blurRad="40000" dist="23000" dir="5400000" rotWithShape="0">
                <a:srgbClr val="000000">
                  <a:alpha val="35000"/>
                </a:srgbClr>
              </a:outerShdw>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extLst>
                <c:ext xmlns:c16="http://schemas.microsoft.com/office/drawing/2014/chart" uri="{C3380CC4-5D6E-409C-BE32-E72D297353CC}">
                  <c16:uniqueId val="{00000004-4EDB-4C3E-8DE0-1C6C34C40A28}"/>
                </c:ext>
              </c:extLst>
            </c:dLbl>
            <c:dLbl>
              <c:idx val="4"/>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extLst>
                <c:ext xmlns:c16="http://schemas.microsoft.com/office/drawing/2014/chart" uri="{C3380CC4-5D6E-409C-BE32-E72D297353CC}">
                  <c16:uniqueId val="{00000003-4EDB-4C3E-8DE0-1C6C34C40A28}"/>
                </c:ext>
              </c:extLst>
            </c:dLbl>
            <c:dLbl>
              <c:idx val="5"/>
              <c:layout>
                <c:manualLayout>
                  <c:x val="2.356545610623045E-3"/>
                  <c:y val="9.43093778029064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DB-4C3E-8DE0-1C6C34C40A28}"/>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Gráficos!$G$21:$L$21</c:f>
              <c:numCache>
                <c:formatCode>_-* #,##0.0_-;\-* #,##0.0_-;_-* "-"??_-;_-@_-</c:formatCode>
                <c:ptCount val="6"/>
                <c:pt idx="0">
                  <c:v>14.580076309924447</c:v>
                </c:pt>
                <c:pt idx="1">
                  <c:v>14.792386532639156</c:v>
                </c:pt>
                <c:pt idx="2">
                  <c:v>0</c:v>
                </c:pt>
                <c:pt idx="3">
                  <c:v>0</c:v>
                </c:pt>
                <c:pt idx="4">
                  <c:v>0</c:v>
                </c:pt>
                <c:pt idx="5">
                  <c:v>0</c:v>
                </c:pt>
              </c:numCache>
            </c:numRef>
          </c:val>
          <c:extLst>
            <c:ext xmlns:c16="http://schemas.microsoft.com/office/drawing/2014/chart" uri="{C3380CC4-5D6E-409C-BE32-E72D297353CC}">
              <c16:uniqueId val="{00000001-2122-4CDF-8891-962F0E7EF308}"/>
            </c:ext>
          </c:extLst>
        </c:ser>
        <c:dLbls>
          <c:showLegendKey val="0"/>
          <c:showVal val="0"/>
          <c:showCatName val="0"/>
          <c:showSerName val="0"/>
          <c:showPercent val="0"/>
          <c:showBubbleSize val="0"/>
        </c:dLbls>
        <c:gapWidth val="100"/>
        <c:overlap val="-24"/>
        <c:axId val="151427519"/>
        <c:axId val="151427999"/>
      </c:barChart>
      <c:lineChart>
        <c:grouping val="standard"/>
        <c:varyColors val="0"/>
        <c:ser>
          <c:idx val="0"/>
          <c:order val="0"/>
          <c:tx>
            <c:v>Meta mês</c:v>
          </c:tx>
          <c:spPr>
            <a:ln w="190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layout>
                <c:manualLayout>
                  <c:x val="-6.9542570951585975E-2"/>
                  <c:y val="-4.87118456477385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DB-4C3E-8DE0-1C6C34C40A28}"/>
                </c:ext>
              </c:extLst>
            </c:dLbl>
            <c:dLbl>
              <c:idx val="1"/>
              <c:delete val="1"/>
              <c:extLst>
                <c:ext xmlns:c15="http://schemas.microsoft.com/office/drawing/2012/chart" uri="{CE6537A1-D6FC-4f65-9D91-7224C49458BB}"/>
                <c:ext xmlns:c16="http://schemas.microsoft.com/office/drawing/2014/chart" uri="{C3380CC4-5D6E-409C-BE32-E72D297353CC}">
                  <c16:uniqueId val="{0000000D-6194-429B-8FC7-94E5957F21A0}"/>
                </c:ext>
              </c:extLst>
            </c:dLbl>
            <c:dLbl>
              <c:idx val="2"/>
              <c:delete val="1"/>
              <c:extLst>
                <c:ext xmlns:c15="http://schemas.microsoft.com/office/drawing/2012/chart" uri="{CE6537A1-D6FC-4f65-9D91-7224C49458BB}"/>
                <c:ext xmlns:c16="http://schemas.microsoft.com/office/drawing/2014/chart" uri="{C3380CC4-5D6E-409C-BE32-E72D297353CC}">
                  <c16:uniqueId val="{0000000E-6194-429B-8FC7-94E5957F21A0}"/>
                </c:ext>
              </c:extLst>
            </c:dLbl>
            <c:dLbl>
              <c:idx val="3"/>
              <c:delete val="1"/>
              <c:extLst>
                <c:ext xmlns:c15="http://schemas.microsoft.com/office/drawing/2012/chart" uri="{CE6537A1-D6FC-4f65-9D91-7224C49458BB}"/>
                <c:ext xmlns:c16="http://schemas.microsoft.com/office/drawing/2014/chart" uri="{C3380CC4-5D6E-409C-BE32-E72D297353CC}">
                  <c16:uniqueId val="{0000000F-6194-429B-8FC7-94E5957F21A0}"/>
                </c:ext>
              </c:extLst>
            </c:dLbl>
            <c:dLbl>
              <c:idx val="4"/>
              <c:delete val="1"/>
              <c:extLst>
                <c:ext xmlns:c15="http://schemas.microsoft.com/office/drawing/2012/chart" uri="{CE6537A1-D6FC-4f65-9D91-7224C49458BB}"/>
                <c:ext xmlns:c16="http://schemas.microsoft.com/office/drawing/2014/chart" uri="{C3380CC4-5D6E-409C-BE32-E72D297353CC}">
                  <c16:uniqueId val="{00000010-6194-429B-8FC7-94E5957F21A0}"/>
                </c:ext>
              </c:extLst>
            </c:dLbl>
            <c:dLbl>
              <c:idx val="5"/>
              <c:layout>
                <c:manualLayout>
                  <c:x val="-6.2602114635503789E-2"/>
                  <c:y val="8.2562922532405172E-3"/>
                </c:manualLayout>
              </c:layout>
              <c:spPr>
                <a:solidFill>
                  <a:srgbClr val="FF9900"/>
                </a:solidFill>
                <a:ln>
                  <a:noFill/>
                </a:ln>
                <a:effectLst/>
              </c:spPr>
              <c:txPr>
                <a:bodyPr rot="0" spcFirstLastPara="1" vertOverflow="ellipsis" vert="horz" wrap="square" lIns="38100" tIns="19050" rIns="38100" bIns="19050" anchor="ctr" anchorCtr="0">
                  <a:noAutofit/>
                </a:bodyPr>
                <a:lstStyle/>
                <a:p>
                  <a:pPr algn="ctr">
                    <a:defRPr lang="en-US" sz="800" b="1"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15:layout>
                    <c:manualLayout>
                      <c:w val="5.8703951029493599E-2"/>
                      <c:h val="7.5432361656251792E-2"/>
                    </c:manualLayout>
                  </c15:layout>
                </c:ext>
                <c:ext xmlns:c16="http://schemas.microsoft.com/office/drawing/2014/chart" uri="{C3380CC4-5D6E-409C-BE32-E72D297353CC}">
                  <c16:uniqueId val="{00000011-6194-429B-8FC7-94E5957F21A0}"/>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Gráficos!$G$17:$L$17</c:f>
              <c:numCache>
                <c:formatCode>_-* #,##0.0_-;\-* #,##0.0_-;_-* "-"??_-;_-@_-</c:formatCode>
                <c:ptCount val="6"/>
                <c:pt idx="0">
                  <c:v>14.06966007434781</c:v>
                </c:pt>
                <c:pt idx="1">
                  <c:v>14.06966007434781</c:v>
                </c:pt>
                <c:pt idx="2">
                  <c:v>14.06966007434781</c:v>
                </c:pt>
                <c:pt idx="3">
                  <c:v>14.06966007434781</c:v>
                </c:pt>
                <c:pt idx="4">
                  <c:v>14.06966007434781</c:v>
                </c:pt>
                <c:pt idx="5">
                  <c:v>14.06966007434781</c:v>
                </c:pt>
              </c:numCache>
            </c:numRef>
          </c:val>
          <c:smooth val="0"/>
          <c:extLst>
            <c:ext xmlns:c16="http://schemas.microsoft.com/office/drawing/2014/chart" uri="{C3380CC4-5D6E-409C-BE32-E72D297353CC}">
              <c16:uniqueId val="{00000006-2122-4CDF-8891-962F0E7EF308}"/>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0"/>
        <c:noMultiLvlLbl val="0"/>
      </c:catAx>
      <c:valAx>
        <c:axId val="151427999"/>
        <c:scaling>
          <c:orientation val="minMax"/>
        </c:scaling>
        <c:delete val="0"/>
        <c:axPos val="l"/>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crossAx val="151427519"/>
        <c:crosses val="autoZero"/>
        <c:crossBetween val="between"/>
      </c:valAx>
      <c:spPr>
        <a:noFill/>
        <a:ln>
          <a:noFill/>
        </a:ln>
        <a:effectLst/>
      </c:spPr>
    </c:plotArea>
    <c:legend>
      <c:legendPos val="b"/>
      <c:layout>
        <c:manualLayout>
          <c:xMode val="edge"/>
          <c:yMode val="edge"/>
          <c:x val="0.19099645497362758"/>
          <c:y val="0.87348674116927838"/>
          <c:w val="0.61328361159394529"/>
          <c:h val="0.11943564076685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700664122505903"/>
          <c:y val="0.27042101525496759"/>
          <c:w val="0.61369138505549126"/>
          <c:h val="0.52782455477312085"/>
        </c:manualLayout>
      </c:layout>
      <c:barChart>
        <c:barDir val="col"/>
        <c:grouping val="clustered"/>
        <c:varyColors val="0"/>
        <c:ser>
          <c:idx val="1"/>
          <c:order val="1"/>
          <c:tx>
            <c:strRef>
              <c:f>Gráficos!$F$21</c:f>
              <c:strCache>
                <c:ptCount val="1"/>
                <c:pt idx="0">
                  <c:v>R</c:v>
                </c:pt>
              </c:strCache>
            </c:strRef>
          </c:tx>
          <c:spPr>
            <a:solidFill>
              <a:srgbClr val="3578BC"/>
            </a:solidFill>
            <a:ln>
              <a:noFill/>
            </a:ln>
            <a:effectLst>
              <a:outerShdw blurRad="40000" dist="23000" dir="5400000" rotWithShape="0">
                <a:srgbClr val="000000">
                  <a:alpha val="35000"/>
                </a:srgbClr>
              </a:outerShdw>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Gráficos!$N$21</c:f>
              <c:numCache>
                <c:formatCode>_-* #,##0_-;\-* #,##0_-;_-* "-"??_-;_-@_-</c:formatCode>
                <c:ptCount val="1"/>
                <c:pt idx="0">
                  <c:v>29.372462842563603</c:v>
                </c:pt>
              </c:numCache>
            </c:numRef>
          </c:val>
          <c:extLst>
            <c:ext xmlns:c16="http://schemas.microsoft.com/office/drawing/2014/chart" uri="{C3380CC4-5D6E-409C-BE32-E72D297353CC}">
              <c16:uniqueId val="{00000001-BF28-4F8D-8A00-957574E9647E}"/>
            </c:ext>
          </c:extLst>
        </c:ser>
        <c:ser>
          <c:idx val="2"/>
          <c:order val="2"/>
          <c:tx>
            <c:strRef>
              <c:f>Gráficos!$F$17</c:f>
              <c:strCache>
                <c:ptCount val="1"/>
                <c:pt idx="0">
                  <c:v>M</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6A-4AA5-B62E-A6C1BB235BF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Gráficos!$N$17</c:f>
              <c:numCache>
                <c:formatCode>_-* #,##0_-;\-* #,##0_-;_-* "-"??_-;_-@_-</c:formatCode>
                <c:ptCount val="1"/>
                <c:pt idx="0">
                  <c:v>84.417960446086866</c:v>
                </c:pt>
              </c:numCache>
            </c:numRef>
          </c:val>
          <c:extLst>
            <c:ext xmlns:c16="http://schemas.microsoft.com/office/drawing/2014/chart" uri="{C3380CC4-5D6E-409C-BE32-E72D297353CC}">
              <c16:uniqueId val="{00000002-BF28-4F8D-8A00-957574E9647E}"/>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Gráficos!$F$19</c:f>
              <c:strCache>
                <c:ptCount val="1"/>
                <c:pt idx="0">
                  <c:v>P</c:v>
                </c:pt>
              </c:strCache>
            </c:strRef>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layout>
                <c:manualLayout>
                  <c:x val="-0.11822676711935623"/>
                  <c:y val="2.4830362552836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6A-4AA5-B62E-A6C1BB235BFE}"/>
                </c:ext>
              </c:extLst>
            </c:dLbl>
            <c:dLbl>
              <c:idx val="1"/>
              <c:delete val="1"/>
              <c:extLst>
                <c:ext xmlns:c15="http://schemas.microsoft.com/office/drawing/2012/chart" uri="{CE6537A1-D6FC-4f65-9D91-7224C49458BB}"/>
                <c:ext xmlns:c16="http://schemas.microsoft.com/office/drawing/2014/chart" uri="{C3380CC4-5D6E-409C-BE32-E72D297353CC}">
                  <c16:uniqueId val="{00000006-BF28-4F8D-8A00-957574E9647E}"/>
                </c:ext>
              </c:extLst>
            </c:dLbl>
            <c:dLbl>
              <c:idx val="2"/>
              <c:delete val="1"/>
              <c:extLst>
                <c:ext xmlns:c15="http://schemas.microsoft.com/office/drawing/2012/chart" uri="{CE6537A1-D6FC-4f65-9D91-7224C49458BB}"/>
                <c:ext xmlns:c16="http://schemas.microsoft.com/office/drawing/2014/chart" uri="{C3380CC4-5D6E-409C-BE32-E72D297353CC}">
                  <c16:uniqueId val="{00000005-BF28-4F8D-8A00-957574E9647E}"/>
                </c:ext>
              </c:extLst>
            </c:dLbl>
            <c:dLbl>
              <c:idx val="3"/>
              <c:delete val="1"/>
              <c:extLst>
                <c:ext xmlns:c15="http://schemas.microsoft.com/office/drawing/2012/chart" uri="{CE6537A1-D6FC-4f65-9D91-7224C49458BB}"/>
                <c:ext xmlns:c16="http://schemas.microsoft.com/office/drawing/2014/chart" uri="{C3380CC4-5D6E-409C-BE32-E72D297353CC}">
                  <c16:uniqueId val="{00000004-BF28-4F8D-8A00-957574E9647E}"/>
                </c:ext>
              </c:extLst>
            </c:dLbl>
            <c:dLbl>
              <c:idx val="4"/>
              <c:delete val="1"/>
              <c:extLst>
                <c:ext xmlns:c15="http://schemas.microsoft.com/office/drawing/2012/chart" uri="{CE6537A1-D6FC-4f65-9D91-7224C49458BB}"/>
                <c:ext xmlns:c16="http://schemas.microsoft.com/office/drawing/2014/chart" uri="{C3380CC4-5D6E-409C-BE32-E72D297353CC}">
                  <c16:uniqueId val="{00000003-BF28-4F8D-8A00-957574E9647E}"/>
                </c:ext>
              </c:extLst>
            </c:dLbl>
            <c:spPr>
              <a:solidFill>
                <a:srgbClr val="FF9900"/>
              </a:solidFill>
              <a:ln>
                <a:noFill/>
              </a:ln>
              <a:effectLst/>
            </c:spPr>
            <c:txPr>
              <a:bodyPr rot="0" spcFirstLastPara="1" vertOverflow="ellipsis" vert="horz" wrap="square" lIns="38100" tIns="19050" rIns="38100" bIns="19050" anchor="ctr" anchorCtr="0">
                <a:spAutoFit/>
              </a:bodyPr>
              <a:lstStyle/>
              <a:p>
                <a:pPr algn="l">
                  <a:defRPr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Gráficos!$N$19</c:f>
              <c:numCache>
                <c:formatCode>_-* #,##0_-;\-* #,##0_-;_-* "-"??_-;_-@_-</c:formatCode>
                <c:ptCount val="1"/>
                <c:pt idx="0">
                  <c:v>20.222992120066664</c:v>
                </c:pt>
              </c:numCache>
            </c:numRef>
          </c:val>
          <c:smooth val="0"/>
          <c:extLst>
            <c:ext xmlns:c16="http://schemas.microsoft.com/office/drawing/2014/chart" uri="{C3380CC4-5D6E-409C-BE32-E72D297353CC}">
              <c16:uniqueId val="{00000000-BF28-4F8D-8A00-957574E9647E}"/>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192879564834416"/>
          <c:y val="0.12457440901471312"/>
          <c:w val="0.59737873219329951"/>
          <c:h val="0.67367138507530244"/>
        </c:manualLayout>
      </c:layout>
      <c:barChart>
        <c:barDir val="col"/>
        <c:grouping val="clustered"/>
        <c:varyColors val="0"/>
        <c:ser>
          <c:idx val="1"/>
          <c:order val="1"/>
          <c:tx>
            <c:strRef>
              <c:f>Gráficos!$F$7</c:f>
              <c:strCache>
                <c:ptCount val="1"/>
                <c:pt idx="0">
                  <c:v>P</c:v>
                </c:pt>
              </c:strCache>
            </c:strRef>
          </c:tx>
          <c:spPr>
            <a:solidFill>
              <a:srgbClr val="3578BC"/>
            </a:solidFill>
            <a:ln>
              <a:noFill/>
            </a:ln>
            <a:effectLst>
              <a:outerShdw blurRad="40000" dist="23000" dir="5400000" rotWithShape="0">
                <a:srgbClr val="000000">
                  <a:alpha val="35000"/>
                </a:srgbClr>
              </a:outerShdw>
            </a:effectLst>
          </c:spPr>
          <c:invertIfNegative val="0"/>
          <c:dLbls>
            <c:spPr>
              <a:solidFill>
                <a:srgbClr val="0070C0"/>
              </a:solid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 semana</c:v>
              </c:pt>
            </c:strLit>
          </c:cat>
          <c:val>
            <c:numRef>
              <c:f>Gráficos!$N$7</c:f>
              <c:numCache>
                <c:formatCode>_-* #,##0_-;\-* #,##0_-;_-* "-"??_-;_-@_-</c:formatCode>
                <c:ptCount val="1"/>
                <c:pt idx="0">
                  <c:v>114.63200000000001</c:v>
                </c:pt>
              </c:numCache>
            </c:numRef>
          </c:val>
          <c:extLst>
            <c:ext xmlns:c16="http://schemas.microsoft.com/office/drawing/2014/chart" uri="{C3380CC4-5D6E-409C-BE32-E72D297353CC}">
              <c16:uniqueId val="{00000000-2122-4CDF-8891-962F0E7EF308}"/>
            </c:ext>
          </c:extLst>
        </c:ser>
        <c:ser>
          <c:idx val="2"/>
          <c:order val="2"/>
          <c:tx>
            <c:strRef>
              <c:f>Gráficos!$F$9</c:f>
              <c:strCache>
                <c:ptCount val="1"/>
                <c:pt idx="0">
                  <c:v>R</c:v>
                </c:pt>
              </c:strCache>
            </c:strRef>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 semana</c:v>
              </c:pt>
            </c:strLit>
          </c:cat>
          <c:val>
            <c:numRef>
              <c:f>Gráficos!$N$9</c:f>
              <c:numCache>
                <c:formatCode>_-* #,##0_-;\-* #,##0_-;_-* "-"??_-;_-@_-</c:formatCode>
                <c:ptCount val="1"/>
                <c:pt idx="0">
                  <c:v>113.14488</c:v>
                </c:pt>
              </c:numCache>
            </c:numRef>
          </c:val>
          <c:extLst>
            <c:ext xmlns:c16="http://schemas.microsoft.com/office/drawing/2014/chart" uri="{C3380CC4-5D6E-409C-BE32-E72D297353CC}">
              <c16:uniqueId val="{00000001-2122-4CDF-8891-962F0E7EF308}"/>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Gráficos!$F$5</c:f>
              <c:strCache>
                <c:ptCount val="1"/>
                <c:pt idx="0">
                  <c:v>M</c:v>
                </c:pt>
              </c:strCache>
            </c:strRef>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2-2122-4CDF-8891-962F0E7EF308}"/>
                </c:ext>
              </c:extLst>
            </c:dLbl>
            <c:dLbl>
              <c:idx val="2"/>
              <c:delete val="1"/>
              <c:extLst>
                <c:ext xmlns:c15="http://schemas.microsoft.com/office/drawing/2012/chart" uri="{CE6537A1-D6FC-4f65-9D91-7224C49458BB}"/>
                <c:ext xmlns:c16="http://schemas.microsoft.com/office/drawing/2014/chart" uri="{C3380CC4-5D6E-409C-BE32-E72D297353CC}">
                  <c16:uniqueId val="{00000003-2122-4CDF-8891-962F0E7EF308}"/>
                </c:ext>
              </c:extLst>
            </c:dLbl>
            <c:dLbl>
              <c:idx val="3"/>
              <c:delete val="1"/>
              <c:extLst>
                <c:ext xmlns:c15="http://schemas.microsoft.com/office/drawing/2012/chart" uri="{CE6537A1-D6FC-4f65-9D91-7224C49458BB}"/>
                <c:ext xmlns:c16="http://schemas.microsoft.com/office/drawing/2014/chart" uri="{C3380CC4-5D6E-409C-BE32-E72D297353CC}">
                  <c16:uniqueId val="{00000004-2122-4CDF-8891-962F0E7EF308}"/>
                </c:ext>
              </c:extLst>
            </c:dLbl>
            <c:dLbl>
              <c:idx val="4"/>
              <c:delete val="1"/>
              <c:extLst>
                <c:ext xmlns:c15="http://schemas.microsoft.com/office/drawing/2012/chart" uri="{CE6537A1-D6FC-4f65-9D91-7224C49458BB}"/>
                <c:ext xmlns:c16="http://schemas.microsoft.com/office/drawing/2014/chart" uri="{C3380CC4-5D6E-409C-BE32-E72D297353CC}">
                  <c16:uniqueId val="{00000005-2122-4CDF-8891-962F0E7EF308}"/>
                </c:ext>
              </c:extLst>
            </c:dLbl>
            <c:spPr>
              <a:solidFill>
                <a:srgbClr val="FF9900"/>
              </a:solidFill>
              <a:ln>
                <a:solidFill>
                  <a:srgbClr val="FF9900"/>
                </a:solid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Gráficos!$N$5</c:f>
              <c:numCache>
                <c:formatCode>_-* #,##0_-;\-* #,##0_-;_-* "-"??_-;_-@_-</c:formatCode>
                <c:ptCount val="1"/>
                <c:pt idx="0">
                  <c:v>359.49862666666672</c:v>
                </c:pt>
              </c:numCache>
            </c:numRef>
          </c:val>
          <c:smooth val="0"/>
          <c:extLst>
            <c:ext xmlns:c16="http://schemas.microsoft.com/office/drawing/2014/chart" uri="{C3380CC4-5D6E-409C-BE32-E72D297353CC}">
              <c16:uniqueId val="{00000006-2122-4CDF-8891-962F0E7EF308}"/>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ysClr val="window" lastClr="FFFFFF">
          <a:lumMod val="50000"/>
        </a:sys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BR">
                <a:solidFill>
                  <a:srgbClr val="002060"/>
                </a:solidFill>
              </a:rPr>
              <a:t>Pacote 04/05 </a:t>
            </a:r>
          </a:p>
        </c:rich>
      </c:tx>
      <c:layout>
        <c:manualLayout>
          <c:xMode val="edge"/>
          <c:yMode val="edge"/>
          <c:x val="0.39440590866334496"/>
          <c:y val="2.692272790230063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BR"/>
        </a:p>
      </c:txPr>
    </c:title>
    <c:autoTitleDeleted val="0"/>
    <c:plotArea>
      <c:layout>
        <c:manualLayout>
          <c:layoutTarget val="inner"/>
          <c:xMode val="edge"/>
          <c:yMode val="edge"/>
          <c:x val="5.744002845249329E-2"/>
          <c:y val="0.12175658335849504"/>
          <c:w val="0.92442669913435371"/>
          <c:h val="0.67648897119679696"/>
        </c:manualLayout>
      </c:layout>
      <c:barChart>
        <c:barDir val="col"/>
        <c:grouping val="clustered"/>
        <c:varyColors val="0"/>
        <c:ser>
          <c:idx val="1"/>
          <c:order val="1"/>
          <c:tx>
            <c:v>Prog Semanal</c:v>
          </c:tx>
          <c:spPr>
            <a:solidFill>
              <a:srgbClr val="3578BC"/>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Gráficos!$T$3:$Y$3</c:f>
              <c:strCache>
                <c:ptCount val="6"/>
                <c:pt idx="0">
                  <c:v>seg</c:v>
                </c:pt>
                <c:pt idx="1">
                  <c:v>ter</c:v>
                </c:pt>
                <c:pt idx="2">
                  <c:v>qua</c:v>
                </c:pt>
                <c:pt idx="3">
                  <c:v>qui</c:v>
                </c:pt>
                <c:pt idx="4">
                  <c:v>sex</c:v>
                </c:pt>
                <c:pt idx="5">
                  <c:v>sáb</c:v>
                </c:pt>
              </c:strCache>
            </c:strRef>
          </c:cat>
          <c:val>
            <c:numRef>
              <c:f>Gráficos!$T$7:$Y$7</c:f>
              <c:numCache>
                <c:formatCode>_-* #,##0_-;\-* #,##0_-;_-* "-"??_-;_-@_-</c:formatCode>
                <c:ptCount val="6"/>
                <c:pt idx="0">
                  <c:v>854</c:v>
                </c:pt>
                <c:pt idx="1">
                  <c:v>819</c:v>
                </c:pt>
                <c:pt idx="2">
                  <c:v>830</c:v>
                </c:pt>
                <c:pt idx="3">
                  <c:v>830</c:v>
                </c:pt>
                <c:pt idx="4">
                  <c:v>740</c:v>
                </c:pt>
                <c:pt idx="5">
                  <c:v>740</c:v>
                </c:pt>
              </c:numCache>
            </c:numRef>
          </c:val>
          <c:extLst>
            <c:ext xmlns:c16="http://schemas.microsoft.com/office/drawing/2014/chart" uri="{C3380CC4-5D6E-409C-BE32-E72D297353CC}">
              <c16:uniqueId val="{00000000-CE92-4E0C-9245-884E4F635C16}"/>
            </c:ext>
          </c:extLst>
        </c:ser>
        <c:ser>
          <c:idx val="2"/>
          <c:order val="2"/>
          <c:tx>
            <c:v>Realizado</c:v>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Gráficos!$T$3:$Y$3</c:f>
              <c:strCache>
                <c:ptCount val="6"/>
                <c:pt idx="0">
                  <c:v>seg</c:v>
                </c:pt>
                <c:pt idx="1">
                  <c:v>ter</c:v>
                </c:pt>
                <c:pt idx="2">
                  <c:v>qua</c:v>
                </c:pt>
                <c:pt idx="3">
                  <c:v>qui</c:v>
                </c:pt>
                <c:pt idx="4">
                  <c:v>sex</c:v>
                </c:pt>
                <c:pt idx="5">
                  <c:v>sáb</c:v>
                </c:pt>
              </c:strCache>
            </c:strRef>
          </c:cat>
          <c:val>
            <c:numRef>
              <c:f>Gráficos!$T$9:$Y$9</c:f>
              <c:numCache>
                <c:formatCode>_-* #,##0_-;\-* #,##0_-;_-* "-"??_-;_-@_-</c:formatCode>
                <c:ptCount val="6"/>
                <c:pt idx="0">
                  <c:v>759</c:v>
                </c:pt>
                <c:pt idx="1">
                  <c:v>712.5</c:v>
                </c:pt>
                <c:pt idx="2">
                  <c:v>0</c:v>
                </c:pt>
                <c:pt idx="3">
                  <c:v>0</c:v>
                </c:pt>
                <c:pt idx="4">
                  <c:v>0</c:v>
                </c:pt>
                <c:pt idx="5">
                  <c:v>0</c:v>
                </c:pt>
              </c:numCache>
            </c:numRef>
          </c:val>
          <c:extLst>
            <c:ext xmlns:c16="http://schemas.microsoft.com/office/drawing/2014/chart" uri="{C3380CC4-5D6E-409C-BE32-E72D297353CC}">
              <c16:uniqueId val="{00000001-CE92-4E0C-9245-884E4F635C16}"/>
            </c:ext>
          </c:extLst>
        </c:ser>
        <c:dLbls>
          <c:showLegendKey val="0"/>
          <c:showVal val="0"/>
          <c:showCatName val="0"/>
          <c:showSerName val="0"/>
          <c:showPercent val="0"/>
          <c:showBubbleSize val="0"/>
        </c:dLbls>
        <c:gapWidth val="100"/>
        <c:overlap val="-24"/>
        <c:axId val="151427519"/>
        <c:axId val="151427999"/>
      </c:barChart>
      <c:lineChart>
        <c:grouping val="standard"/>
        <c:varyColors val="0"/>
        <c:ser>
          <c:idx val="0"/>
          <c:order val="0"/>
          <c:tx>
            <c:v>Meta mês</c:v>
          </c:tx>
          <c:spPr>
            <a:ln w="190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spPr>
                <a:solidFill>
                  <a:srgbClr val="FF99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6="http://schemas.microsoft.com/office/drawing/2014/chart" uri="{C3380CC4-5D6E-409C-BE32-E72D297353CC}">
                  <c16:uniqueId val="{00000008-CE92-4E0C-9245-884E4F635C16}"/>
                </c:ext>
              </c:extLst>
            </c:dLbl>
            <c:dLbl>
              <c:idx val="1"/>
              <c:delete val="1"/>
              <c:extLst>
                <c:ext xmlns:c15="http://schemas.microsoft.com/office/drawing/2012/chart" uri="{CE6537A1-D6FC-4f65-9D91-7224C49458BB}"/>
                <c:ext xmlns:c16="http://schemas.microsoft.com/office/drawing/2014/chart" uri="{C3380CC4-5D6E-409C-BE32-E72D297353CC}">
                  <c16:uniqueId val="{00000002-CE92-4E0C-9245-884E4F635C16}"/>
                </c:ext>
              </c:extLst>
            </c:dLbl>
            <c:dLbl>
              <c:idx val="2"/>
              <c:delete val="1"/>
              <c:extLst>
                <c:ext xmlns:c15="http://schemas.microsoft.com/office/drawing/2012/chart" uri="{CE6537A1-D6FC-4f65-9D91-7224C49458BB}"/>
                <c:ext xmlns:c16="http://schemas.microsoft.com/office/drawing/2014/chart" uri="{C3380CC4-5D6E-409C-BE32-E72D297353CC}">
                  <c16:uniqueId val="{00000003-CE92-4E0C-9245-884E4F635C16}"/>
                </c:ext>
              </c:extLst>
            </c:dLbl>
            <c:dLbl>
              <c:idx val="3"/>
              <c:delete val="1"/>
              <c:extLst>
                <c:ext xmlns:c15="http://schemas.microsoft.com/office/drawing/2012/chart" uri="{CE6537A1-D6FC-4f65-9D91-7224C49458BB}"/>
                <c:ext xmlns:c16="http://schemas.microsoft.com/office/drawing/2014/chart" uri="{C3380CC4-5D6E-409C-BE32-E72D297353CC}">
                  <c16:uniqueId val="{00000004-CE92-4E0C-9245-884E4F635C16}"/>
                </c:ext>
              </c:extLst>
            </c:dLbl>
            <c:dLbl>
              <c:idx val="4"/>
              <c:delete val="1"/>
              <c:extLst>
                <c:ext xmlns:c15="http://schemas.microsoft.com/office/drawing/2012/chart" uri="{CE6537A1-D6FC-4f65-9D91-7224C49458BB}"/>
                <c:ext xmlns:c16="http://schemas.microsoft.com/office/drawing/2014/chart" uri="{C3380CC4-5D6E-409C-BE32-E72D297353CC}">
                  <c16:uniqueId val="{00000005-CE92-4E0C-9245-884E4F635C16}"/>
                </c:ext>
              </c:extLst>
            </c:dLbl>
            <c:dLbl>
              <c:idx val="5"/>
              <c:layout>
                <c:manualLayout>
                  <c:x val="-2.5912655986027568E-2"/>
                  <c:y val="-6.704068683447602E-3"/>
                </c:manualLayout>
              </c:layout>
              <c:spPr>
                <a:solidFill>
                  <a:srgbClr val="FF99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92-4E0C-9245-884E4F635C16}"/>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Gráficos!$T$5:$Y$5</c:f>
              <c:numCache>
                <c:formatCode>_-* #,##0_-;\-* #,##0_-;_-* "-"??_-;_-@_-</c:formatCode>
                <c:ptCount val="6"/>
                <c:pt idx="0">
                  <c:v>928.88370370370365</c:v>
                </c:pt>
                <c:pt idx="1">
                  <c:v>928.88370370370365</c:v>
                </c:pt>
                <c:pt idx="2">
                  <c:v>928.88370370370365</c:v>
                </c:pt>
                <c:pt idx="3">
                  <c:v>928.88370370370365</c:v>
                </c:pt>
                <c:pt idx="4">
                  <c:v>928.88370370370365</c:v>
                </c:pt>
                <c:pt idx="5">
                  <c:v>928.88370370370365</c:v>
                </c:pt>
              </c:numCache>
            </c:numRef>
          </c:val>
          <c:smooth val="0"/>
          <c:extLst>
            <c:ext xmlns:c16="http://schemas.microsoft.com/office/drawing/2014/chart" uri="{C3380CC4-5D6E-409C-BE32-E72D297353CC}">
              <c16:uniqueId val="{00000006-CE92-4E0C-9245-884E4F635C16}"/>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0"/>
        <c:noMultiLvlLbl val="0"/>
      </c:catAx>
      <c:valAx>
        <c:axId val="151427999"/>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crossAx val="151427519"/>
        <c:crosses val="autoZero"/>
        <c:crossBetween val="between"/>
      </c:valAx>
      <c:spPr>
        <a:noFill/>
        <a:ln>
          <a:noFill/>
        </a:ln>
        <a:effectLst/>
      </c:spPr>
    </c:plotArea>
    <c:legend>
      <c:legendPos val="b"/>
      <c:layout>
        <c:manualLayout>
          <c:xMode val="edge"/>
          <c:yMode val="edge"/>
          <c:x val="0.20746359664487643"/>
          <c:y val="0.8776477777777778"/>
          <c:w val="0.63608292181069959"/>
          <c:h val="0.1101947369033160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BR">
                <a:solidFill>
                  <a:schemeClr val="accent6">
                    <a:lumMod val="75000"/>
                  </a:schemeClr>
                </a:solidFill>
              </a:rPr>
              <a:t>Pacote 06</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BR"/>
        </a:p>
      </c:txPr>
    </c:title>
    <c:autoTitleDeleted val="0"/>
    <c:plotArea>
      <c:layout>
        <c:manualLayout>
          <c:layoutTarget val="inner"/>
          <c:xMode val="edge"/>
          <c:yMode val="edge"/>
          <c:x val="5.744002845249329E-2"/>
          <c:y val="0.12175658335849504"/>
          <c:w val="0.92442669913435371"/>
          <c:h val="0.67648897119679696"/>
        </c:manualLayout>
      </c:layout>
      <c:barChart>
        <c:barDir val="col"/>
        <c:grouping val="clustered"/>
        <c:varyColors val="0"/>
        <c:ser>
          <c:idx val="1"/>
          <c:order val="1"/>
          <c:tx>
            <c:v>Prog Semanal</c:v>
          </c:tx>
          <c:spPr>
            <a:solidFill>
              <a:srgbClr val="3578BC"/>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t" anchorCtr="0">
                <a:spAutoFit/>
              </a:bodyPr>
              <a:lstStyle/>
              <a:p>
                <a:pPr algn="ctr">
                  <a:defRPr lang="en-US"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Gráficos!$T$13:$Y$13</c:f>
              <c:numCache>
                <c:formatCode>_-* #,##0_-;\-* #,##0_-;_-* "-"??_-;_-@_-</c:formatCode>
                <c:ptCount val="6"/>
                <c:pt idx="0">
                  <c:v>100</c:v>
                </c:pt>
                <c:pt idx="1">
                  <c:v>250</c:v>
                </c:pt>
                <c:pt idx="2">
                  <c:v>350</c:v>
                </c:pt>
                <c:pt idx="3">
                  <c:v>350</c:v>
                </c:pt>
                <c:pt idx="4">
                  <c:v>350</c:v>
                </c:pt>
                <c:pt idx="5">
                  <c:v>350</c:v>
                </c:pt>
              </c:numCache>
            </c:numRef>
          </c:val>
          <c:extLst>
            <c:ext xmlns:c16="http://schemas.microsoft.com/office/drawing/2014/chart" uri="{C3380CC4-5D6E-409C-BE32-E72D297353CC}">
              <c16:uniqueId val="{00000000-4E67-4701-B026-8F0F19D6F0E4}"/>
            </c:ext>
          </c:extLst>
        </c:ser>
        <c:ser>
          <c:idx val="2"/>
          <c:order val="2"/>
          <c:tx>
            <c:v>Realizado</c:v>
          </c:tx>
          <c:spPr>
            <a:solidFill>
              <a:srgbClr val="38986A"/>
            </a:solidFill>
            <a:ln>
              <a:noFill/>
            </a:ln>
            <a:effectLst>
              <a:outerShdw blurRad="40000" dist="23000" dir="5400000" rotWithShape="0">
                <a:srgbClr val="000000">
                  <a:alpha val="35000"/>
                </a:srgbClr>
              </a:outerShdw>
            </a:effectLst>
          </c:spPr>
          <c:invertIfNegative val="0"/>
          <c:dLbls>
            <c:dLbl>
              <c:idx val="5"/>
              <c:layout>
                <c:manualLayout>
                  <c:x val="2.3533030554026835E-3"/>
                  <c:y val="1.957232496881553E-2"/>
                </c:manualLayout>
              </c:layout>
              <c:spPr>
                <a:solidFill>
                  <a:srgbClr val="38986A"/>
                </a:solid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26-4A49-BCD9-71D841044E39}"/>
                </c:ext>
              </c:extLst>
            </c:dLbl>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Gráficos!$T$15:$Y$15</c:f>
              <c:numCache>
                <c:formatCode>_-* #,##0_-;\-* #,##0_-;_-* "-"??_-;_-@_-</c:formatCode>
                <c:ptCount val="6"/>
                <c:pt idx="0">
                  <c:v>150</c:v>
                </c:pt>
                <c:pt idx="1">
                  <c:v>326</c:v>
                </c:pt>
                <c:pt idx="2">
                  <c:v>0</c:v>
                </c:pt>
                <c:pt idx="3">
                  <c:v>0</c:v>
                </c:pt>
                <c:pt idx="4">
                  <c:v>0</c:v>
                </c:pt>
                <c:pt idx="5">
                  <c:v>0</c:v>
                </c:pt>
              </c:numCache>
            </c:numRef>
          </c:val>
          <c:extLst>
            <c:ext xmlns:c16="http://schemas.microsoft.com/office/drawing/2014/chart" uri="{C3380CC4-5D6E-409C-BE32-E72D297353CC}">
              <c16:uniqueId val="{00000001-4E67-4701-B026-8F0F19D6F0E4}"/>
            </c:ext>
          </c:extLst>
        </c:ser>
        <c:dLbls>
          <c:showLegendKey val="0"/>
          <c:showVal val="0"/>
          <c:showCatName val="0"/>
          <c:showSerName val="0"/>
          <c:showPercent val="0"/>
          <c:showBubbleSize val="0"/>
        </c:dLbls>
        <c:gapWidth val="100"/>
        <c:overlap val="-24"/>
        <c:axId val="151427519"/>
        <c:axId val="151427999"/>
      </c:barChart>
      <c:lineChart>
        <c:grouping val="standard"/>
        <c:varyColors val="0"/>
        <c:ser>
          <c:idx val="0"/>
          <c:order val="0"/>
          <c:tx>
            <c:v>Meta mês</c:v>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layout>
                <c:manualLayout>
                  <c:x val="-5.6475196741694433E-2"/>
                  <c:y val="-7.0320137601537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67-4701-B026-8F0F19D6F0E4}"/>
                </c:ext>
              </c:extLst>
            </c:dLbl>
            <c:dLbl>
              <c:idx val="1"/>
              <c:delete val="1"/>
              <c:extLst>
                <c:ext xmlns:c15="http://schemas.microsoft.com/office/drawing/2012/chart" uri="{CE6537A1-D6FC-4f65-9D91-7224C49458BB}"/>
                <c:ext xmlns:c16="http://schemas.microsoft.com/office/drawing/2014/chart" uri="{C3380CC4-5D6E-409C-BE32-E72D297353CC}">
                  <c16:uniqueId val="{00000002-4E67-4701-B026-8F0F19D6F0E4}"/>
                </c:ext>
              </c:extLst>
            </c:dLbl>
            <c:dLbl>
              <c:idx val="2"/>
              <c:delete val="1"/>
              <c:extLst>
                <c:ext xmlns:c15="http://schemas.microsoft.com/office/drawing/2012/chart" uri="{CE6537A1-D6FC-4f65-9D91-7224C49458BB}"/>
                <c:ext xmlns:c16="http://schemas.microsoft.com/office/drawing/2014/chart" uri="{C3380CC4-5D6E-409C-BE32-E72D297353CC}">
                  <c16:uniqueId val="{00000003-4E67-4701-B026-8F0F19D6F0E4}"/>
                </c:ext>
              </c:extLst>
            </c:dLbl>
            <c:dLbl>
              <c:idx val="3"/>
              <c:delete val="1"/>
              <c:extLst>
                <c:ext xmlns:c15="http://schemas.microsoft.com/office/drawing/2012/chart" uri="{CE6537A1-D6FC-4f65-9D91-7224C49458BB}"/>
                <c:ext xmlns:c16="http://schemas.microsoft.com/office/drawing/2014/chart" uri="{C3380CC4-5D6E-409C-BE32-E72D297353CC}">
                  <c16:uniqueId val="{00000004-4E67-4701-B026-8F0F19D6F0E4}"/>
                </c:ext>
              </c:extLst>
            </c:dLbl>
            <c:dLbl>
              <c:idx val="4"/>
              <c:delete val="1"/>
              <c:extLst>
                <c:ext xmlns:c15="http://schemas.microsoft.com/office/drawing/2012/chart" uri="{CE6537A1-D6FC-4f65-9D91-7224C49458BB}"/>
                <c:ext xmlns:c16="http://schemas.microsoft.com/office/drawing/2014/chart" uri="{C3380CC4-5D6E-409C-BE32-E72D297353CC}">
                  <c16:uniqueId val="{00000005-4E67-4701-B026-8F0F19D6F0E4}"/>
                </c:ext>
              </c:extLst>
            </c:dLbl>
            <c:dLbl>
              <c:idx val="5"/>
              <c:layout>
                <c:manualLayout>
                  <c:x val="-2.3533030554026835E-2"/>
                  <c:y val="2.8313991013094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26-4A49-BCD9-71D841044E39}"/>
                </c:ext>
              </c:extLst>
            </c:dLbl>
            <c:spPr>
              <a:solidFill>
                <a:srgbClr val="FF9900"/>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Gráficos!$T$11:$Y$11</c:f>
              <c:numCache>
                <c:formatCode>_-* #,##0_-;\-* #,##0_-;_-* "-"??_-;_-@_-</c:formatCode>
                <c:ptCount val="6"/>
                <c:pt idx="0">
                  <c:v>511.0911111111111</c:v>
                </c:pt>
                <c:pt idx="1">
                  <c:v>511.0911111111111</c:v>
                </c:pt>
                <c:pt idx="2">
                  <c:v>511.0911111111111</c:v>
                </c:pt>
                <c:pt idx="3">
                  <c:v>511.0911111111111</c:v>
                </c:pt>
                <c:pt idx="4">
                  <c:v>511.0911111111111</c:v>
                </c:pt>
                <c:pt idx="5">
                  <c:v>511.0911111111111</c:v>
                </c:pt>
              </c:numCache>
            </c:numRef>
          </c:val>
          <c:smooth val="0"/>
          <c:extLst>
            <c:ext xmlns:c16="http://schemas.microsoft.com/office/drawing/2014/chart" uri="{C3380CC4-5D6E-409C-BE32-E72D297353CC}">
              <c16:uniqueId val="{00000006-4E67-4701-B026-8F0F19D6F0E4}"/>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crossAx val="151427519"/>
        <c:crosses val="autoZero"/>
        <c:crossBetween val="between"/>
      </c:valAx>
      <c:spPr>
        <a:noFill/>
        <a:ln>
          <a:noFill/>
        </a:ln>
        <a:effectLst/>
      </c:spPr>
    </c:plotArea>
    <c:legend>
      <c:legendPos val="b"/>
      <c:layout>
        <c:manualLayout>
          <c:xMode val="edge"/>
          <c:yMode val="edge"/>
          <c:x val="0.25317066128920929"/>
          <c:y val="0.87764740827101628"/>
          <c:w val="0.5905980095787815"/>
          <c:h val="0.11963505597304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BR">
                <a:solidFill>
                  <a:srgbClr val="D21242"/>
                </a:solidFill>
              </a:rPr>
              <a:t>Pacote 07/08</a:t>
            </a:r>
          </a:p>
        </c:rich>
      </c:tx>
      <c:layout>
        <c:manualLayout>
          <c:xMode val="edge"/>
          <c:yMode val="edge"/>
          <c:x val="0.39888520138896105"/>
          <c:y val="2.4675849349684299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BR"/>
        </a:p>
      </c:txPr>
    </c:title>
    <c:autoTitleDeleted val="0"/>
    <c:plotArea>
      <c:layout>
        <c:manualLayout>
          <c:layoutTarget val="inner"/>
          <c:xMode val="edge"/>
          <c:yMode val="edge"/>
          <c:x val="5.744002845249329E-2"/>
          <c:y val="7.1100660620311271E-2"/>
          <c:w val="0.92442669913435371"/>
          <c:h val="0.72714491242533719"/>
        </c:manualLayout>
      </c:layout>
      <c:barChart>
        <c:barDir val="col"/>
        <c:grouping val="clustered"/>
        <c:varyColors val="0"/>
        <c:ser>
          <c:idx val="1"/>
          <c:order val="1"/>
          <c:tx>
            <c:v>Prog Semanal</c:v>
          </c:tx>
          <c:spPr>
            <a:solidFill>
              <a:srgbClr val="3578BC"/>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Gráficos!$T$3:$Y$3</c:f>
              <c:strCache>
                <c:ptCount val="6"/>
                <c:pt idx="0">
                  <c:v>seg</c:v>
                </c:pt>
                <c:pt idx="1">
                  <c:v>ter</c:v>
                </c:pt>
                <c:pt idx="2">
                  <c:v>qua</c:v>
                </c:pt>
                <c:pt idx="3">
                  <c:v>qui</c:v>
                </c:pt>
                <c:pt idx="4">
                  <c:v>sex</c:v>
                </c:pt>
                <c:pt idx="5">
                  <c:v>sáb</c:v>
                </c:pt>
              </c:strCache>
            </c:strRef>
          </c:cat>
          <c:val>
            <c:numRef>
              <c:f>Gráficos!$T$19:$Y$19</c:f>
              <c:numCache>
                <c:formatCode>_-* #,##0_-;\-* #,##0_-;_-* "-"??_-;_-@_-</c:formatCode>
                <c:ptCount val="6"/>
                <c:pt idx="0">
                  <c:v>452.67259999999999</c:v>
                </c:pt>
                <c:pt idx="1">
                  <c:v>452.67259999999999</c:v>
                </c:pt>
                <c:pt idx="2">
                  <c:v>452.67259999999999</c:v>
                </c:pt>
                <c:pt idx="3">
                  <c:v>452.67259999999999</c:v>
                </c:pt>
                <c:pt idx="4">
                  <c:v>452.67259999999999</c:v>
                </c:pt>
                <c:pt idx="5">
                  <c:v>452.67259999999999</c:v>
                </c:pt>
              </c:numCache>
            </c:numRef>
          </c:val>
          <c:extLst>
            <c:ext xmlns:c16="http://schemas.microsoft.com/office/drawing/2014/chart" uri="{C3380CC4-5D6E-409C-BE32-E72D297353CC}">
              <c16:uniqueId val="{00000004-A361-4971-BBEB-53A66525F3A9}"/>
            </c:ext>
          </c:extLst>
        </c:ser>
        <c:ser>
          <c:idx val="2"/>
          <c:order val="2"/>
          <c:tx>
            <c:v>Realizado</c:v>
          </c:tx>
          <c:spPr>
            <a:solidFill>
              <a:srgbClr val="38986A"/>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Gráficos!$T$3:$Y$3</c:f>
              <c:strCache>
                <c:ptCount val="6"/>
                <c:pt idx="0">
                  <c:v>seg</c:v>
                </c:pt>
                <c:pt idx="1">
                  <c:v>ter</c:v>
                </c:pt>
                <c:pt idx="2">
                  <c:v>qua</c:v>
                </c:pt>
                <c:pt idx="3">
                  <c:v>qui</c:v>
                </c:pt>
                <c:pt idx="4">
                  <c:v>sex</c:v>
                </c:pt>
                <c:pt idx="5">
                  <c:v>sáb</c:v>
                </c:pt>
              </c:strCache>
            </c:strRef>
          </c:cat>
          <c:val>
            <c:numRef>
              <c:f>Gráficos!$T$21:$Y$21</c:f>
              <c:numCache>
                <c:formatCode>_-* #,##0_-;\-* #,##0_-;_-* "-"??_-;_-@_-</c:formatCode>
                <c:ptCount val="6"/>
                <c:pt idx="0">
                  <c:v>609</c:v>
                </c:pt>
                <c:pt idx="1">
                  <c:v>745</c:v>
                </c:pt>
                <c:pt idx="2">
                  <c:v>0</c:v>
                </c:pt>
                <c:pt idx="3">
                  <c:v>0</c:v>
                </c:pt>
                <c:pt idx="4">
                  <c:v>0</c:v>
                </c:pt>
                <c:pt idx="5">
                  <c:v>0</c:v>
                </c:pt>
              </c:numCache>
            </c:numRef>
          </c:val>
          <c:extLst>
            <c:ext xmlns:c16="http://schemas.microsoft.com/office/drawing/2014/chart" uri="{C3380CC4-5D6E-409C-BE32-E72D297353CC}">
              <c16:uniqueId val="{00000005-A361-4971-BBEB-53A66525F3A9}"/>
            </c:ext>
          </c:extLst>
        </c:ser>
        <c:dLbls>
          <c:showLegendKey val="0"/>
          <c:showVal val="1"/>
          <c:showCatName val="0"/>
          <c:showSerName val="0"/>
          <c:showPercent val="0"/>
          <c:showBubbleSize val="0"/>
        </c:dLbls>
        <c:gapWidth val="100"/>
        <c:overlap val="-24"/>
        <c:axId val="151427519"/>
        <c:axId val="151427999"/>
      </c:barChart>
      <c:lineChart>
        <c:grouping val="standard"/>
        <c:varyColors val="0"/>
        <c:ser>
          <c:idx val="0"/>
          <c:order val="0"/>
          <c:tx>
            <c:v>Meta mês</c:v>
          </c:tx>
          <c:spPr>
            <a:ln w="19050" cap="rnd">
              <a:solidFill>
                <a:srgbClr val="FF9900"/>
              </a:solidFill>
              <a:prstDash val="sysDash"/>
              <a:round/>
            </a:ln>
            <a:effectLst>
              <a:outerShdw blurRad="40000" dist="23000" dir="5400000" rotWithShape="0">
                <a:srgbClr val="000000">
                  <a:alpha val="35000"/>
                </a:srgbClr>
              </a:outerShdw>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A-A361-4971-BBEB-53A66525F3A9}"/>
                </c:ext>
              </c:extLst>
            </c:dLbl>
            <c:dLbl>
              <c:idx val="2"/>
              <c:delete val="1"/>
              <c:extLst>
                <c:ext xmlns:c15="http://schemas.microsoft.com/office/drawing/2012/chart" uri="{CE6537A1-D6FC-4f65-9D91-7224C49458BB}"/>
                <c:ext xmlns:c16="http://schemas.microsoft.com/office/drawing/2014/chart" uri="{C3380CC4-5D6E-409C-BE32-E72D297353CC}">
                  <c16:uniqueId val="{00000009-A361-4971-BBEB-53A66525F3A9}"/>
                </c:ext>
              </c:extLst>
            </c:dLbl>
            <c:dLbl>
              <c:idx val="3"/>
              <c:delete val="1"/>
              <c:extLst>
                <c:ext xmlns:c15="http://schemas.microsoft.com/office/drawing/2012/chart" uri="{CE6537A1-D6FC-4f65-9D91-7224C49458BB}"/>
                <c:ext xmlns:c16="http://schemas.microsoft.com/office/drawing/2014/chart" uri="{C3380CC4-5D6E-409C-BE32-E72D297353CC}">
                  <c16:uniqueId val="{00000008-A361-4971-BBEB-53A66525F3A9}"/>
                </c:ext>
              </c:extLst>
            </c:dLbl>
            <c:dLbl>
              <c:idx val="4"/>
              <c:delete val="1"/>
              <c:extLst>
                <c:ext xmlns:c15="http://schemas.microsoft.com/office/drawing/2012/chart" uri="{CE6537A1-D6FC-4f65-9D91-7224C49458BB}"/>
                <c:ext xmlns:c16="http://schemas.microsoft.com/office/drawing/2014/chart" uri="{C3380CC4-5D6E-409C-BE32-E72D297353CC}">
                  <c16:uniqueId val="{00000007-A361-4971-BBEB-53A66525F3A9}"/>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Gráficos!$G$3:$L$3</c:f>
              <c:strCache>
                <c:ptCount val="6"/>
                <c:pt idx="0">
                  <c:v>seg</c:v>
                </c:pt>
                <c:pt idx="1">
                  <c:v>ter</c:v>
                </c:pt>
                <c:pt idx="2">
                  <c:v>qua</c:v>
                </c:pt>
                <c:pt idx="3">
                  <c:v>qui</c:v>
                </c:pt>
                <c:pt idx="4">
                  <c:v>sex</c:v>
                </c:pt>
                <c:pt idx="5">
                  <c:v>sáb</c:v>
                </c:pt>
              </c:strCache>
            </c:strRef>
          </c:cat>
          <c:val>
            <c:numRef>
              <c:f>Gráficos!$T$17:$Y$17</c:f>
              <c:numCache>
                <c:formatCode>_-* #,##0_-;\-* #,##0_-;_-* "-"??_-;_-@_-</c:formatCode>
                <c:ptCount val="6"/>
                <c:pt idx="0">
                  <c:v>500.81342592592586</c:v>
                </c:pt>
                <c:pt idx="1">
                  <c:v>500.81342592592586</c:v>
                </c:pt>
                <c:pt idx="2">
                  <c:v>500.81342592592586</c:v>
                </c:pt>
                <c:pt idx="3">
                  <c:v>500.81342592592586</c:v>
                </c:pt>
                <c:pt idx="4">
                  <c:v>500.81342592592586</c:v>
                </c:pt>
                <c:pt idx="5">
                  <c:v>500.81342592592586</c:v>
                </c:pt>
              </c:numCache>
            </c:numRef>
          </c:val>
          <c:smooth val="0"/>
          <c:extLst>
            <c:ext xmlns:c16="http://schemas.microsoft.com/office/drawing/2014/chart" uri="{C3380CC4-5D6E-409C-BE32-E72D297353CC}">
              <c16:uniqueId val="{00000006-A361-4971-BBEB-53A66525F3A9}"/>
            </c:ext>
          </c:extLst>
        </c:ser>
        <c:dLbls>
          <c:showLegendKey val="0"/>
          <c:showVal val="1"/>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0"/>
        <c:noMultiLvlLbl val="0"/>
      </c:catAx>
      <c:valAx>
        <c:axId val="151427999"/>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crossAx val="151427519"/>
        <c:crosses val="autoZero"/>
        <c:crossBetween val="between"/>
      </c:valAx>
      <c:spPr>
        <a:noFill/>
        <a:ln>
          <a:noFill/>
        </a:ln>
        <a:effectLst/>
      </c:spPr>
    </c:plotArea>
    <c:legend>
      <c:legendPos val="b"/>
      <c:layout>
        <c:manualLayout>
          <c:xMode val="edge"/>
          <c:yMode val="edge"/>
          <c:x val="0.24935194865091964"/>
          <c:y val="0.8928103103619115"/>
          <c:w val="0.60396174462298557"/>
          <c:h val="0.10718947841195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367449716685255"/>
          <c:y val="0.12175644000518263"/>
          <c:w val="0.64671105076605317"/>
          <c:h val="0.67648897119679696"/>
        </c:manualLayout>
      </c:layout>
      <c:barChart>
        <c:barDir val="col"/>
        <c:grouping val="clustered"/>
        <c:varyColors val="0"/>
        <c:ser>
          <c:idx val="1"/>
          <c:order val="1"/>
          <c:tx>
            <c:strRef>
              <c:f>Gráficos!$F$21</c:f>
              <c:strCache>
                <c:ptCount val="1"/>
                <c:pt idx="0">
                  <c:v>R</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spPr>
                <a:solidFill>
                  <a:srgbClr val="3578BC"/>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514271323035594"/>
                      <c:h val="0.10571014796047856"/>
                    </c:manualLayout>
                  </c15:layout>
                </c:ext>
                <c:ext xmlns:c16="http://schemas.microsoft.com/office/drawing/2014/chart" uri="{C3380CC4-5D6E-409C-BE32-E72D297353CC}">
                  <c16:uniqueId val="{00000009-0EB8-4E91-8095-57ACA2B00041}"/>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Gráficos!$AA$21</c:f>
              <c:numCache>
                <c:formatCode>_-* #,##0_-;\-* #,##0_-;_-* "-"??_-;_-@_-</c:formatCode>
                <c:ptCount val="1"/>
                <c:pt idx="0">
                  <c:v>1354</c:v>
                </c:pt>
              </c:numCache>
            </c:numRef>
          </c:val>
          <c:extLst>
            <c:ext xmlns:c16="http://schemas.microsoft.com/office/drawing/2014/chart" uri="{C3380CC4-5D6E-409C-BE32-E72D297353CC}">
              <c16:uniqueId val="{00000000-0EB8-4E91-8095-57ACA2B00041}"/>
            </c:ext>
          </c:extLst>
        </c:ser>
        <c:ser>
          <c:idx val="2"/>
          <c:order val="2"/>
          <c:tx>
            <c:strRef>
              <c:f>Gráficos!$F$17</c:f>
              <c:strCache>
                <c:ptCount val="1"/>
                <c:pt idx="0">
                  <c:v>M</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spPr>
                <a:solidFill>
                  <a:srgbClr val="38986A"/>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8500671591672261"/>
                      <c:h val="9.8641617724979633E-2"/>
                    </c:manualLayout>
                  </c15:layout>
                </c:ext>
                <c:ext xmlns:c16="http://schemas.microsoft.com/office/drawing/2014/chart" uri="{C3380CC4-5D6E-409C-BE32-E72D297353CC}">
                  <c16:uniqueId val="{00000008-0EB8-4E91-8095-57ACA2B00041}"/>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Gráficos!$AA$17</c:f>
              <c:numCache>
                <c:formatCode>_-* #,##0_-;\-* #,##0_-;_-* "-"??_-;_-@_-</c:formatCode>
                <c:ptCount val="1"/>
                <c:pt idx="0">
                  <c:v>3004.880555555555</c:v>
                </c:pt>
              </c:numCache>
            </c:numRef>
          </c:val>
          <c:extLst>
            <c:ext xmlns:c16="http://schemas.microsoft.com/office/drawing/2014/chart" uri="{C3380CC4-5D6E-409C-BE32-E72D297353CC}">
              <c16:uniqueId val="{00000001-0EB8-4E91-8095-57ACA2B00041}"/>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Gráficos!$AA$19</c:f>
              <c:strCache>
                <c:ptCount val="1"/>
                <c:pt idx="0">
                  <c:v> 905 </c:v>
                </c:pt>
              </c:strCache>
            </c:strRef>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8B1F304C-E466-48BD-A430-D9D6C76DF808}" type="SERIESNAME">
                      <a:rPr lang="en-US" sz="800" b="1"/>
                      <a:pPr>
                        <a:defRPr sz="800" b="1">
                          <a:solidFill>
                            <a:schemeClr val="bg1"/>
                          </a:solidFill>
                        </a:defRPr>
                      </a:pPr>
                      <a:t>[]</a:t>
                    </a:fld>
                    <a:endParaRPr/>
                  </a:p>
                </c:rich>
              </c:tx>
              <c:spPr>
                <a:solidFill>
                  <a:srgbClr val="FF99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15:layout>
                    <c:manualLayout>
                      <c:w val="0.27661182001343182"/>
                      <c:h val="9.8641617724979633E-2"/>
                    </c:manualLayout>
                  </c15:layout>
                  <c15:dlblFieldTable/>
                  <c15:showDataLabelsRange val="0"/>
                </c:ext>
                <c:ext xmlns:c16="http://schemas.microsoft.com/office/drawing/2014/chart" uri="{C3380CC4-5D6E-409C-BE32-E72D297353CC}">
                  <c16:uniqueId val="{00000007-0EB8-4E91-8095-57ACA2B00041}"/>
                </c:ext>
              </c:extLst>
            </c:dLbl>
            <c:dLbl>
              <c:idx val="1"/>
              <c:delete val="1"/>
              <c:extLst>
                <c:ext xmlns:c15="http://schemas.microsoft.com/office/drawing/2012/chart" uri="{CE6537A1-D6FC-4f65-9D91-7224C49458BB}"/>
                <c:ext xmlns:c16="http://schemas.microsoft.com/office/drawing/2014/chart" uri="{C3380CC4-5D6E-409C-BE32-E72D297353CC}">
                  <c16:uniqueId val="{00000002-0EB8-4E91-8095-57ACA2B00041}"/>
                </c:ext>
              </c:extLst>
            </c:dLbl>
            <c:dLbl>
              <c:idx val="2"/>
              <c:delete val="1"/>
              <c:extLst>
                <c:ext xmlns:c15="http://schemas.microsoft.com/office/drawing/2012/chart" uri="{CE6537A1-D6FC-4f65-9D91-7224C49458BB}"/>
                <c:ext xmlns:c16="http://schemas.microsoft.com/office/drawing/2014/chart" uri="{C3380CC4-5D6E-409C-BE32-E72D297353CC}">
                  <c16:uniqueId val="{00000003-0EB8-4E91-8095-57ACA2B00041}"/>
                </c:ext>
              </c:extLst>
            </c:dLbl>
            <c:dLbl>
              <c:idx val="3"/>
              <c:delete val="1"/>
              <c:extLst>
                <c:ext xmlns:c15="http://schemas.microsoft.com/office/drawing/2012/chart" uri="{CE6537A1-D6FC-4f65-9D91-7224C49458BB}"/>
                <c:ext xmlns:c16="http://schemas.microsoft.com/office/drawing/2014/chart" uri="{C3380CC4-5D6E-409C-BE32-E72D297353CC}">
                  <c16:uniqueId val="{00000004-0EB8-4E91-8095-57ACA2B00041}"/>
                </c:ext>
              </c:extLst>
            </c:dLbl>
            <c:dLbl>
              <c:idx val="4"/>
              <c:delete val="1"/>
              <c:extLst>
                <c:ext xmlns:c15="http://schemas.microsoft.com/office/drawing/2012/chart" uri="{CE6537A1-D6FC-4f65-9D91-7224C49458BB}"/>
                <c:ext xmlns:c16="http://schemas.microsoft.com/office/drawing/2014/chart" uri="{C3380CC4-5D6E-409C-BE32-E72D297353CC}">
                  <c16:uniqueId val="{00000005-0EB8-4E91-8095-57ACA2B00041}"/>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Gráficos!$N$19</c:f>
              <c:numCache>
                <c:formatCode>_-* #,##0_-;\-* #,##0_-;_-* "-"??_-;_-@_-</c:formatCode>
                <c:ptCount val="1"/>
                <c:pt idx="0">
                  <c:v>20.222992120066664</c:v>
                </c:pt>
              </c:numCache>
            </c:numRef>
          </c:val>
          <c:smooth val="0"/>
          <c:extLst>
            <c:ext xmlns:c16="http://schemas.microsoft.com/office/drawing/2014/chart" uri="{C3380CC4-5D6E-409C-BE32-E72D297353CC}">
              <c16:uniqueId val="{00000006-0EB8-4E91-8095-57ACA2B00041}"/>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287352227054488"/>
          <c:y val="0.12175637610038745"/>
          <c:w val="0.58517023481975416"/>
          <c:h val="0.67648897119679696"/>
        </c:manualLayout>
      </c:layout>
      <c:barChart>
        <c:barDir val="col"/>
        <c:grouping val="clustered"/>
        <c:varyColors val="0"/>
        <c:ser>
          <c:idx val="1"/>
          <c:order val="1"/>
          <c:tx>
            <c:strRef>
              <c:f>Gráficos!$Q$3</c:f>
              <c:strCache>
                <c:ptCount val="1"/>
                <c:pt idx="0">
                  <c:v>PLANEJADO
ATÉ A DATA</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spPr>
                <a:solidFill>
                  <a:srgbClr val="3578BC"/>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4519761728190873"/>
                      <c:h val="0.11224646371761812"/>
                    </c:manualLayout>
                  </c15:layout>
                </c:ext>
                <c:ext xmlns:c16="http://schemas.microsoft.com/office/drawing/2014/chart" uri="{C3380CC4-5D6E-409C-BE32-E72D297353CC}">
                  <c16:uniqueId val="{00000004-9325-49D8-8B42-10AA74DC2C90}"/>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Gráficos!$AD$17</c:f>
              <c:numCache>
                <c:formatCode>_-* #,##0_-;\-* #,##0_-;_-* "-"??_-;_-@_-</c:formatCode>
                <c:ptCount val="1"/>
                <c:pt idx="0">
                  <c:v>6959.2802000000011</c:v>
                </c:pt>
              </c:numCache>
            </c:numRef>
          </c:val>
          <c:extLst>
            <c:ext xmlns:c16="http://schemas.microsoft.com/office/drawing/2014/chart" uri="{C3380CC4-5D6E-409C-BE32-E72D297353CC}">
              <c16:uniqueId val="{00000000-9325-49D8-8B42-10AA74DC2C90}"/>
            </c:ext>
          </c:extLst>
        </c:ser>
        <c:ser>
          <c:idx val="2"/>
          <c:order val="2"/>
          <c:tx>
            <c:strRef>
              <c:f>Gráficos!$AE$3</c:f>
              <c:strCache>
                <c:ptCount val="1"/>
                <c:pt idx="0">
                  <c:v>REAL MÊS</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layout>
                <c:manualLayout>
                  <c:x val="1.653434187131084E-2"/>
                  <c:y val="1.4352049883856568E-2"/>
                </c:manualLayout>
              </c:layout>
              <c:spPr>
                <a:solidFill>
                  <a:srgbClr val="38986A"/>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30448546947442556"/>
                      <c:h val="0.10521129062189269"/>
                    </c:manualLayout>
                  </c15:layout>
                </c:ext>
                <c:ext xmlns:c16="http://schemas.microsoft.com/office/drawing/2014/chart" uri="{C3380CC4-5D6E-409C-BE32-E72D297353CC}">
                  <c16:uniqueId val="{00000005-9325-49D8-8B42-10AA74DC2C90}"/>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Gráficos!$AE$17</c:f>
              <c:numCache>
                <c:formatCode>_-* #,##0_-;\-* #,##0_-;_-* "-"??_-;_-@_-</c:formatCode>
                <c:ptCount val="1"/>
                <c:pt idx="0">
                  <c:v>7173</c:v>
                </c:pt>
              </c:numCache>
            </c:numRef>
          </c:val>
          <c:extLst>
            <c:ext xmlns:c16="http://schemas.microsoft.com/office/drawing/2014/chart" uri="{C3380CC4-5D6E-409C-BE32-E72D297353CC}">
              <c16:uniqueId val="{00000001-9325-49D8-8B42-10AA74DC2C90}"/>
            </c:ext>
          </c:extLst>
        </c:ser>
        <c:dLbls>
          <c:showLegendKey val="0"/>
          <c:showVal val="1"/>
          <c:showCatName val="0"/>
          <c:showSerName val="0"/>
          <c:showPercent val="0"/>
          <c:showBubbleSize val="0"/>
        </c:dLbls>
        <c:gapWidth val="170"/>
        <c:overlap val="-24"/>
        <c:axId val="151427519"/>
        <c:axId val="151427999"/>
      </c:barChart>
      <c:lineChart>
        <c:grouping val="standard"/>
        <c:varyColors val="0"/>
        <c:ser>
          <c:idx val="0"/>
          <c:order val="0"/>
          <c:tx>
            <c:strRef>
              <c:f>Gráficos!$AC$3</c:f>
              <c:strCache>
                <c:ptCount val="1"/>
                <c:pt idx="0">
                  <c:v>PLANEJADO
MÊS</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dLbl>
              <c:idx val="0"/>
              <c:layout>
                <c:manualLayout>
                  <c:x val="-0.20273660366400895"/>
                  <c:y val="-3.0570718631997024E-2"/>
                </c:manualLayout>
              </c:layout>
              <c:spPr>
                <a:solidFill>
                  <a:srgbClr val="FF99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8754595945645151"/>
                      <c:h val="9.1140877660380648E-2"/>
                    </c:manualLayout>
                  </c15:layout>
                </c:ext>
                <c:ext xmlns:c16="http://schemas.microsoft.com/office/drawing/2014/chart" uri="{C3380CC4-5D6E-409C-BE32-E72D297353CC}">
                  <c16:uniqueId val="{00000002-9325-49D8-8B42-10AA74DC2C90}"/>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 semana</c:v>
              </c:pt>
            </c:strLit>
          </c:cat>
          <c:val>
            <c:numRef>
              <c:f>Gráficos!$AC$17</c:f>
              <c:numCache>
                <c:formatCode>_-* #,##0_-;\-* #,##0_-;_-* "-"??_-;_-@_-</c:formatCode>
                <c:ptCount val="1"/>
                <c:pt idx="0">
                  <c:v>13521.962499999998</c:v>
                </c:pt>
              </c:numCache>
            </c:numRef>
          </c:val>
          <c:smooth val="0"/>
          <c:extLst>
            <c:ext xmlns:c16="http://schemas.microsoft.com/office/drawing/2014/chart" uri="{C3380CC4-5D6E-409C-BE32-E72D297353CC}">
              <c16:uniqueId val="{00000003-9325-49D8-8B42-10AA74DC2C90}"/>
            </c:ext>
          </c:extLst>
        </c:ser>
        <c:dLbls>
          <c:showLegendKey val="0"/>
          <c:showVal val="1"/>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334098706782792"/>
          <c:y val="0.10841023709377028"/>
          <c:w val="0.58086632356822387"/>
          <c:h val="0.68317638688346205"/>
        </c:manualLayout>
      </c:layout>
      <c:barChart>
        <c:barDir val="col"/>
        <c:grouping val="clustered"/>
        <c:varyColors val="0"/>
        <c:ser>
          <c:idx val="1"/>
          <c:order val="1"/>
          <c:tx>
            <c:strRef>
              <c:f>Gráficos!$Q$3</c:f>
              <c:strCache>
                <c:ptCount val="1"/>
                <c:pt idx="0">
                  <c:v>PLANEJADO
ATÉ A DATA</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spPr>
                <a:solidFill>
                  <a:srgbClr val="0070C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4358012409792945"/>
                      <c:h val="8.9384756200532448E-2"/>
                    </c:manualLayout>
                  </c15:layout>
                </c:ext>
                <c:ext xmlns:c16="http://schemas.microsoft.com/office/drawing/2014/chart" uri="{C3380CC4-5D6E-409C-BE32-E72D297353CC}">
                  <c16:uniqueId val="{00000000-0184-48CE-BAFB-7EBDB5E962D9}"/>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 semana</c:v>
              </c:pt>
            </c:strLit>
          </c:cat>
          <c:val>
            <c:numRef>
              <c:f>Gráficos!$Q$5</c:f>
              <c:numCache>
                <c:formatCode>_-* #,##0_-;\-* #,##0_-;_-* "-"??_-;_-@_-</c:formatCode>
                <c:ptCount val="1"/>
                <c:pt idx="0">
                  <c:v>821.1565700000001</c:v>
                </c:pt>
              </c:numCache>
            </c:numRef>
          </c:val>
          <c:extLst>
            <c:ext xmlns:c16="http://schemas.microsoft.com/office/drawing/2014/chart" uri="{C3380CC4-5D6E-409C-BE32-E72D297353CC}">
              <c16:uniqueId val="{00000001-BF28-4F8D-8A00-957574E9647E}"/>
            </c:ext>
          </c:extLst>
        </c:ser>
        <c:ser>
          <c:idx val="2"/>
          <c:order val="2"/>
          <c:tx>
            <c:strRef>
              <c:f>Gráficos!$R$3</c:f>
              <c:strCache>
                <c:ptCount val="1"/>
                <c:pt idx="0">
                  <c:v>REAL MÊS</c:v>
                </c:pt>
              </c:strCache>
            </c:strRef>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Gráficos!$R$5</c:f>
              <c:numCache>
                <c:formatCode>_-* #,##0_-;\-* #,##0_-;_-* "-"??_-;_-@_-</c:formatCode>
                <c:ptCount val="1"/>
                <c:pt idx="0">
                  <c:v>628.89171999999996</c:v>
                </c:pt>
              </c:numCache>
            </c:numRef>
          </c:val>
          <c:extLst>
            <c:ext xmlns:c16="http://schemas.microsoft.com/office/drawing/2014/chart" uri="{C3380CC4-5D6E-409C-BE32-E72D297353CC}">
              <c16:uniqueId val="{00000002-BF28-4F8D-8A00-957574E9647E}"/>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Gráficos!$P$3</c:f>
              <c:strCache>
                <c:ptCount val="1"/>
                <c:pt idx="0">
                  <c:v>PLANEJADO
MÊS</c:v>
                </c:pt>
              </c:strCache>
            </c:strRef>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layout>
                <c:manualLayout>
                  <c:x val="-0.24295101294199264"/>
                  <c:y val="-4.2373098912261202E-2"/>
                </c:manualLayout>
              </c:layout>
              <c:spPr>
                <a:solidFill>
                  <a:srgbClr val="FF9900"/>
                </a:solidFill>
                <a:ln>
                  <a:noFill/>
                </a:ln>
                <a:effectLst/>
              </c:spPr>
              <c:txPr>
                <a:bodyPr rot="0" spcFirstLastPara="1" vertOverflow="ellipsis" vert="horz" wrap="square" lIns="38100" tIns="180000" rIns="38100" bIns="180000" anchor="ctr" anchorCtr="1">
                  <a:noAutofit/>
                </a:bodyPr>
                <a:lstStyle/>
                <a:p>
                  <a:pPr>
                    <a:defRPr sz="900" b="1"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15:layout>
                    <c:manualLayout>
                      <c:w val="0.27968507566728878"/>
                      <c:h val="9.1405071411267982E-2"/>
                    </c:manualLayout>
                  </c15:layout>
                </c:ext>
                <c:ext xmlns:c16="http://schemas.microsoft.com/office/drawing/2014/chart" uri="{C3380CC4-5D6E-409C-BE32-E72D297353CC}">
                  <c16:uniqueId val="{0000000A-9773-4FC9-B614-30A30D02BFB3}"/>
                </c:ext>
              </c:extLst>
            </c:dLbl>
            <c:dLbl>
              <c:idx val="1"/>
              <c:delete val="1"/>
              <c:extLst>
                <c:ext xmlns:c15="http://schemas.microsoft.com/office/drawing/2012/chart" uri="{CE6537A1-D6FC-4f65-9D91-7224C49458BB}"/>
                <c:ext xmlns:c16="http://schemas.microsoft.com/office/drawing/2014/chart" uri="{C3380CC4-5D6E-409C-BE32-E72D297353CC}">
                  <c16:uniqueId val="{00000006-BF28-4F8D-8A00-957574E9647E}"/>
                </c:ext>
              </c:extLst>
            </c:dLbl>
            <c:dLbl>
              <c:idx val="2"/>
              <c:delete val="1"/>
              <c:extLst>
                <c:ext xmlns:c15="http://schemas.microsoft.com/office/drawing/2012/chart" uri="{CE6537A1-D6FC-4f65-9D91-7224C49458BB}"/>
                <c:ext xmlns:c16="http://schemas.microsoft.com/office/drawing/2014/chart" uri="{C3380CC4-5D6E-409C-BE32-E72D297353CC}">
                  <c16:uniqueId val="{00000005-BF28-4F8D-8A00-957574E9647E}"/>
                </c:ext>
              </c:extLst>
            </c:dLbl>
            <c:dLbl>
              <c:idx val="3"/>
              <c:delete val="1"/>
              <c:extLst>
                <c:ext xmlns:c15="http://schemas.microsoft.com/office/drawing/2012/chart" uri="{CE6537A1-D6FC-4f65-9D91-7224C49458BB}"/>
                <c:ext xmlns:c16="http://schemas.microsoft.com/office/drawing/2014/chart" uri="{C3380CC4-5D6E-409C-BE32-E72D297353CC}">
                  <c16:uniqueId val="{00000004-BF28-4F8D-8A00-957574E9647E}"/>
                </c:ext>
              </c:extLst>
            </c:dLbl>
            <c:dLbl>
              <c:idx val="4"/>
              <c:delete val="1"/>
              <c:extLst>
                <c:ext xmlns:c15="http://schemas.microsoft.com/office/drawing/2012/chart" uri="{CE6537A1-D6FC-4f65-9D91-7224C49458BB}"/>
                <c:ext xmlns:c16="http://schemas.microsoft.com/office/drawing/2014/chart" uri="{C3380CC4-5D6E-409C-BE32-E72D297353CC}">
                  <c16:uniqueId val="{00000003-BF28-4F8D-8A00-957574E9647E}"/>
                </c:ext>
              </c:extLst>
            </c:dLbl>
            <c:spPr>
              <a:solidFill>
                <a:srgbClr val="FF9900"/>
              </a:solidFill>
              <a:ln>
                <a:noFill/>
              </a:ln>
              <a:effectLst/>
            </c:spPr>
            <c:txPr>
              <a:bodyPr rot="0" spcFirstLastPara="1" vertOverflow="ellipsis" vert="horz" wrap="square" lIns="38100" tIns="180000" rIns="38100" bIns="180000" anchor="ctr" anchorCtr="1">
                <a:spAutoFit/>
              </a:bodyPr>
              <a:lstStyle/>
              <a:p>
                <a:pPr>
                  <a:defRPr sz="9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Acumulado mês</c:v>
              </c:pt>
            </c:strLit>
          </c:cat>
          <c:val>
            <c:numRef>
              <c:f>Gráficos!$P$5</c:f>
              <c:numCache>
                <c:formatCode>_-* #,##0_-;\-* #,##0_-;_-* "-"??_-;_-@_-</c:formatCode>
                <c:ptCount val="1"/>
                <c:pt idx="0">
                  <c:v>1617.7438200000004</c:v>
                </c:pt>
              </c:numCache>
            </c:numRef>
          </c:val>
          <c:smooth val="0"/>
          <c:extLst>
            <c:ext xmlns:c16="http://schemas.microsoft.com/office/drawing/2014/chart" uri="{C3380CC4-5D6E-409C-BE32-E72D297353CC}">
              <c16:uniqueId val="{00000000-BF28-4F8D-8A00-957574E9647E}"/>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871571389936437"/>
          <c:y val="0.12175658335849504"/>
          <c:w val="0.56682380413237254"/>
          <c:h val="0.67648897119679696"/>
        </c:manualLayout>
      </c:layout>
      <c:barChart>
        <c:barDir val="col"/>
        <c:grouping val="clustered"/>
        <c:varyColors val="0"/>
        <c:ser>
          <c:idx val="1"/>
          <c:order val="1"/>
          <c:tx>
            <c:strRef>
              <c:f>Gráficos!$Q$3</c:f>
              <c:strCache>
                <c:ptCount val="1"/>
                <c:pt idx="0">
                  <c:v>PLANEJADO
ATÉ A DATA</c:v>
                </c:pt>
              </c:strCache>
            </c:strRef>
          </c:tx>
          <c:spPr>
            <a:solidFill>
              <a:srgbClr val="3578BC"/>
            </a:solidFill>
            <a:ln>
              <a:noFill/>
            </a:ln>
            <a:effectLst>
              <a:outerShdw blurRad="40000" dist="23000" dir="5400000" rotWithShape="0">
                <a:srgbClr val="000000">
                  <a:alpha val="35000"/>
                </a:srgbClr>
              </a:outerShdw>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Gráficos!$Q$11</c:f>
              <c:numCache>
                <c:formatCode>_-* #,##0_-;\-* #,##0_-;_-* "-"??_-;_-@_-</c:formatCode>
                <c:ptCount val="1"/>
                <c:pt idx="0">
                  <c:v>469.09301333333326</c:v>
                </c:pt>
              </c:numCache>
            </c:numRef>
          </c:val>
          <c:extLst>
            <c:ext xmlns:c16="http://schemas.microsoft.com/office/drawing/2014/chart" uri="{C3380CC4-5D6E-409C-BE32-E72D297353CC}">
              <c16:uniqueId val="{00000000-4A6B-4784-8D00-16743BA9893A}"/>
            </c:ext>
          </c:extLst>
        </c:ser>
        <c:ser>
          <c:idx val="2"/>
          <c:order val="2"/>
          <c:tx>
            <c:strRef>
              <c:f>Gráficos!$R$3</c:f>
              <c:strCache>
                <c:ptCount val="1"/>
                <c:pt idx="0">
                  <c:v>REAL MÊS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solidFill>
                <a:srgbClr val="38986A"/>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4A6B-4784-8D00-16743BA9893A}"/>
              </c:ext>
            </c:extLst>
          </c:dPt>
          <c:dLbls>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Gráficos!$R$11</c:f>
              <c:numCache>
                <c:formatCode>_-* #,##0_-;\-* #,##0_-;_-* "-"??_-;_-@_-</c:formatCode>
                <c:ptCount val="1"/>
                <c:pt idx="0">
                  <c:v>399.7210978195489</c:v>
                </c:pt>
              </c:numCache>
            </c:numRef>
          </c:val>
          <c:extLst>
            <c:ext xmlns:c16="http://schemas.microsoft.com/office/drawing/2014/chart" uri="{C3380CC4-5D6E-409C-BE32-E72D297353CC}">
              <c16:uniqueId val="{00000001-4A6B-4784-8D00-16743BA9893A}"/>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Gráficos!$P$3</c:f>
              <c:strCache>
                <c:ptCount val="1"/>
                <c:pt idx="0">
                  <c:v>PLANEJADO
MÊS</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dLbl>
              <c:idx val="0"/>
              <c:layout>
                <c:manualLayout>
                  <c:x val="-0.1523545991386791"/>
                  <c:y val="-7.0952101907647306E-3"/>
                </c:manualLayout>
              </c:layout>
              <c:spPr>
                <a:solidFill>
                  <a:srgbClr val="FF9900"/>
                </a:solidFill>
                <a:ln>
                  <a:noFill/>
                </a:ln>
                <a:effectLst/>
              </c:spPr>
              <c:txPr>
                <a:bodyPr rot="0" spcFirstLastPara="1" vertOverflow="ellipsis" vert="horz" wrap="square" lIns="39600" tIns="19050" rIns="39600" bIns="19050" anchor="ctr" anchorCtr="0">
                  <a:noAutofit/>
                </a:bodyPr>
                <a:lstStyle/>
                <a:p>
                  <a:pPr algn="ct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880572895167654"/>
                      <c:h val="8.6069915549252904E-2"/>
                    </c:manualLayout>
                  </c15:layout>
                </c:ext>
                <c:ext xmlns:c16="http://schemas.microsoft.com/office/drawing/2014/chart" uri="{C3380CC4-5D6E-409C-BE32-E72D297353CC}">
                  <c16:uniqueId val="{00000002-4A6B-4784-8D00-16743BA9893A}"/>
                </c:ext>
              </c:extLst>
            </c:dLbl>
            <c:spPr>
              <a:solidFill>
                <a:srgbClr val="FF9900"/>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Acumulado mês</c:v>
              </c:pt>
            </c:strLit>
          </c:cat>
          <c:val>
            <c:numRef>
              <c:f>Gráficos!$P$11</c:f>
              <c:numCache>
                <c:formatCode>_-* #,##0_-;\-* #,##0_-;_-* "-"??_-;_-@_-</c:formatCode>
                <c:ptCount val="1"/>
                <c:pt idx="0">
                  <c:v>1055.45928</c:v>
                </c:pt>
              </c:numCache>
            </c:numRef>
          </c:val>
          <c:smooth val="0"/>
          <c:extLst>
            <c:ext xmlns:c16="http://schemas.microsoft.com/office/drawing/2014/chart" uri="{C3380CC4-5D6E-409C-BE32-E72D297353CC}">
              <c16:uniqueId val="{00000007-4A6B-4784-8D00-16743BA9893A}"/>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844425678992949"/>
          <c:y val="0.12175658335849504"/>
          <c:w val="0.61111198392280852"/>
          <c:h val="0.67648897119679696"/>
        </c:manualLayout>
      </c:layout>
      <c:barChart>
        <c:barDir val="col"/>
        <c:grouping val="clustered"/>
        <c:varyColors val="0"/>
        <c:ser>
          <c:idx val="1"/>
          <c:order val="1"/>
          <c:tx>
            <c:strRef>
              <c:f>Gráficos!$Q$3</c:f>
              <c:strCache>
                <c:ptCount val="1"/>
                <c:pt idx="0">
                  <c:v>PLANEJADO
ATÉ A DATA</c:v>
                </c:pt>
              </c:strCache>
            </c:strRef>
          </c:tx>
          <c:spPr>
            <a:solidFill>
              <a:srgbClr val="3578BC"/>
            </a:solidFill>
            <a:ln>
              <a:noFill/>
            </a:ln>
            <a:effectLst>
              <a:outerShdw blurRad="40000" dist="23000" dir="5400000" rotWithShape="0">
                <a:srgbClr val="000000">
                  <a:alpha val="35000"/>
                </a:srgbClr>
              </a:outerShdw>
            </a:effectLst>
          </c:spPr>
          <c:invertIfNegative val="0"/>
          <c:dLbls>
            <c:spPr>
              <a:solidFill>
                <a:srgbClr val="3578BC"/>
              </a:solid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Gráficos!$Q$17</c:f>
              <c:numCache>
                <c:formatCode>_-* #,##0_-;\-* #,##0_-;_-* "-"??_-;_-@_-</c:formatCode>
                <c:ptCount val="1"/>
                <c:pt idx="0">
                  <c:v>192.8901057152575</c:v>
                </c:pt>
              </c:numCache>
            </c:numRef>
          </c:val>
          <c:extLst>
            <c:ext xmlns:c16="http://schemas.microsoft.com/office/drawing/2014/chart" uri="{C3380CC4-5D6E-409C-BE32-E72D297353CC}">
              <c16:uniqueId val="{00000000-C0BF-4CE5-994B-F146265BF5CB}"/>
            </c:ext>
          </c:extLst>
        </c:ser>
        <c:ser>
          <c:idx val="2"/>
          <c:order val="2"/>
          <c:tx>
            <c:strRef>
              <c:f>Gráficos!$R$3</c:f>
              <c:strCache>
                <c:ptCount val="1"/>
                <c:pt idx="0">
                  <c:v>REAL MÊS</c:v>
                </c:pt>
              </c:strCache>
            </c:strRef>
          </c:tx>
          <c:spPr>
            <a:solidFill>
              <a:srgbClr val="38986A"/>
            </a:solidFill>
            <a:ln>
              <a:noFill/>
            </a:ln>
            <a:effectLst>
              <a:outerShdw blurRad="40000" dist="23000" dir="5400000" rotWithShape="0">
                <a:srgbClr val="000000">
                  <a:alpha val="35000"/>
                </a:srgbClr>
              </a:outerShdw>
            </a:effectLst>
          </c:spPr>
          <c:invertIfNegative val="0"/>
          <c:dLbls>
            <c:spPr>
              <a:solidFill>
                <a:srgbClr val="38986A"/>
              </a:solid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Gráficos!$R$17</c:f>
              <c:numCache>
                <c:formatCode>_-* #,##0_-;\-* #,##0_-;_-* "-"??_-;_-@_-</c:formatCode>
                <c:ptCount val="1"/>
                <c:pt idx="0">
                  <c:v>221.20587656112039</c:v>
                </c:pt>
              </c:numCache>
            </c:numRef>
          </c:val>
          <c:extLst>
            <c:ext xmlns:c16="http://schemas.microsoft.com/office/drawing/2014/chart" uri="{C3380CC4-5D6E-409C-BE32-E72D297353CC}">
              <c16:uniqueId val="{00000001-C0BF-4CE5-994B-F146265BF5CB}"/>
            </c:ext>
          </c:extLst>
        </c:ser>
        <c:dLbls>
          <c:showLegendKey val="0"/>
          <c:showVal val="1"/>
          <c:showCatName val="0"/>
          <c:showSerName val="0"/>
          <c:showPercent val="0"/>
          <c:showBubbleSize val="0"/>
        </c:dLbls>
        <c:gapWidth val="170"/>
        <c:overlap val="-24"/>
        <c:axId val="151427519"/>
        <c:axId val="151427999"/>
      </c:barChart>
      <c:lineChart>
        <c:grouping val="standard"/>
        <c:varyColors val="0"/>
        <c:ser>
          <c:idx val="0"/>
          <c:order val="0"/>
          <c:tx>
            <c:strRef>
              <c:f>Gráficos!$P$3</c:f>
              <c:strCache>
                <c:ptCount val="1"/>
                <c:pt idx="0">
                  <c:v>PLANEJADO
MÊS</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dLbl>
              <c:idx val="0"/>
              <c:layout>
                <c:manualLayout>
                  <c:x val="-0.217199118047918"/>
                  <c:y val="-4.6505739718517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BF-4CE5-994B-F146265BF5CB}"/>
                </c:ext>
              </c:extLst>
            </c:dLbl>
            <c:spPr>
              <a:solidFill>
                <a:srgbClr val="FF9900"/>
              </a:solid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Acumulado mês</c:v>
              </c:pt>
            </c:strLit>
          </c:cat>
          <c:val>
            <c:numRef>
              <c:f>Gráficos!$P$17</c:f>
              <c:numCache>
                <c:formatCode>_-* #,##0_-;\-* #,##0_-;_-* "-"??_-;_-@_-</c:formatCode>
                <c:ptCount val="1"/>
                <c:pt idx="0">
                  <c:v>379.88082200739092</c:v>
                </c:pt>
              </c:numCache>
            </c:numRef>
          </c:val>
          <c:smooth val="0"/>
          <c:extLst>
            <c:ext xmlns:c16="http://schemas.microsoft.com/office/drawing/2014/chart" uri="{C3380CC4-5D6E-409C-BE32-E72D297353CC}">
              <c16:uniqueId val="{00000007-C0BF-4CE5-994B-F146265BF5CB}"/>
            </c:ext>
          </c:extLst>
        </c:ser>
        <c:dLbls>
          <c:showLegendKey val="0"/>
          <c:showVal val="1"/>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r>
              <a:rPr lang="pt-BR" b="1"/>
              <a:t>Pacote 04/05 </a:t>
            </a:r>
          </a:p>
        </c:rich>
      </c:tx>
      <c:layout>
        <c:manualLayout>
          <c:xMode val="edge"/>
          <c:yMode val="edge"/>
          <c:x val="0.29249052122585678"/>
          <c:y val="4.873932902007632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2720049208129431"/>
          <c:y val="0.23105950748606488"/>
          <c:w val="0.50247447425304936"/>
          <c:h val="0.56788993793273967"/>
        </c:manualLayout>
      </c:layout>
      <c:pieChart>
        <c:varyColors val="1"/>
        <c:ser>
          <c:idx val="0"/>
          <c:order val="0"/>
          <c:tx>
            <c:v>Saldo</c:v>
          </c:tx>
          <c:dPt>
            <c:idx val="0"/>
            <c:bubble3D val="0"/>
            <c:spPr>
              <a:solidFill>
                <a:srgbClr val="38986A"/>
              </a:solidFill>
              <a:ln w="19050">
                <a:solidFill>
                  <a:schemeClr val="lt1"/>
                </a:solidFill>
              </a:ln>
              <a:effectLst/>
            </c:spPr>
            <c:extLst>
              <c:ext xmlns:c16="http://schemas.microsoft.com/office/drawing/2014/chart" uri="{C3380CC4-5D6E-409C-BE32-E72D297353CC}">
                <c16:uniqueId val="{00000005-510A-46F2-A637-72B556FC3A6D}"/>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6-510A-46F2-A637-72B556FC3A6D}"/>
              </c:ext>
            </c:extLst>
          </c:dPt>
          <c:dLbls>
            <c:dLbl>
              <c:idx val="0"/>
              <c:layout>
                <c:manualLayout>
                  <c:x val="2.0810185185185185E-3"/>
                  <c:y val="-8.0211111111111247E-2"/>
                </c:manualLayout>
              </c:layout>
              <c:spPr>
                <a:noFill/>
                <a:ln w="12700">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rgbClr val="38986A"/>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6503657407407405"/>
                      <c:h val="0.10727333333333333"/>
                    </c:manualLayout>
                  </c15:layout>
                </c:ext>
                <c:ext xmlns:c16="http://schemas.microsoft.com/office/drawing/2014/chart" uri="{C3380CC4-5D6E-409C-BE32-E72D297353CC}">
                  <c16:uniqueId val="{00000005-510A-46F2-A637-72B556FC3A6D}"/>
                </c:ext>
              </c:extLst>
            </c:dLbl>
            <c:dLbl>
              <c:idx val="1"/>
              <c:layout>
                <c:manualLayout>
                  <c:x val="2.3471990740740755E-2"/>
                  <c:y val="1.2905277777777778E-2"/>
                </c:manualLayout>
              </c:layout>
              <c:spPr>
                <a:noFill/>
                <a:ln w="12700">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chemeClr val="accent6">
                          <a:lumMod val="7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4007314814814812"/>
                      <c:h val="9.4167777777777767E-2"/>
                    </c:manualLayout>
                  </c15:layout>
                </c:ext>
                <c:ext xmlns:c16="http://schemas.microsoft.com/office/drawing/2014/chart" uri="{C3380CC4-5D6E-409C-BE32-E72D297353CC}">
                  <c16:uniqueId val="{00000006-510A-46F2-A637-72B556FC3A6D}"/>
                </c:ext>
              </c:extLst>
            </c:dLbl>
            <c:spPr>
              <a:noFill/>
              <a:ln w="12700">
                <a:noFill/>
              </a:ln>
              <a:effectLst/>
            </c:spPr>
            <c:txPr>
              <a:bodyPr rot="0" spcFirstLastPara="1" vertOverflow="ellipsis" vert="horz" wrap="square" lIns="38100" tIns="19050" rIns="38100" bIns="19050" anchor="ctr" anchorCtr="0">
                <a:spAutoFit/>
              </a:bodyPr>
              <a:lstStyle/>
              <a:p>
                <a:pPr algn="ctr" rtl="0">
                  <a:defRPr lang="en-US" sz="800" b="0" i="0" u="none" strike="noStrike" kern="1200" spc="0" baseline="0">
                    <a:solidFill>
                      <a:schemeClr val="accent6">
                        <a:lumMod val="7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Gráficos!$F$56:$G$57</c:f>
              <c:multiLvlStrCache>
                <c:ptCount val="2"/>
                <c:lvl/>
                <c:lvl>
                  <c:pt idx="0">
                    <c:v>Quant. total</c:v>
                  </c:pt>
                  <c:pt idx="1">
                    <c:v>Saldo</c:v>
                  </c:pt>
                </c:lvl>
              </c:multiLvlStrCache>
            </c:multiLvlStrRef>
          </c:cat>
          <c:val>
            <c:numRef>
              <c:f>Gráficos!$F$59:$G$59</c:f>
              <c:numCache>
                <c:formatCode>_-* #,##0_-;\-* #,##0_-;_-* "-"??_-;_-@_-</c:formatCode>
                <c:ptCount val="2"/>
                <c:pt idx="0">
                  <c:v>9496785.4199999981</c:v>
                </c:pt>
                <c:pt idx="1">
                  <c:v>3574575.7516199998</c:v>
                </c:pt>
              </c:numCache>
            </c:numRef>
          </c:val>
          <c:extLst>
            <c:ext xmlns:c16="http://schemas.microsoft.com/office/drawing/2014/chart" uri="{C3380CC4-5D6E-409C-BE32-E72D297353CC}">
              <c16:uniqueId val="{00000000-510A-46F2-A637-72B556FC3A6D}"/>
            </c:ext>
          </c:extLst>
        </c:ser>
        <c:ser>
          <c:idx val="1"/>
          <c:order val="1"/>
          <c:tx>
            <c:v>Quant. 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3A1-4B69-8590-58AEDDEF0FE1}"/>
              </c:ext>
            </c:extLst>
          </c:dPt>
          <c:cat>
            <c:multiLvlStrRef>
              <c:f>Gráficos!$F$56:$G$57</c:f>
              <c:multiLvlStrCache>
                <c:ptCount val="2"/>
                <c:lvl/>
                <c:lvl>
                  <c:pt idx="0">
                    <c:v>Quant. total</c:v>
                  </c:pt>
                  <c:pt idx="1">
                    <c:v>Saldo</c:v>
                  </c:pt>
                </c:lvl>
              </c:multiLvlStrCache>
            </c:multiLvlStrRef>
          </c:cat>
          <c:val>
            <c:numLit>
              <c:formatCode>General</c:formatCode>
              <c:ptCount val="1"/>
              <c:pt idx="0">
                <c:v>1</c:v>
              </c:pt>
            </c:numLit>
          </c:val>
          <c:extLst>
            <c:ext xmlns:c16="http://schemas.microsoft.com/office/drawing/2014/chart" uri="{C3380CC4-5D6E-409C-BE32-E72D297353CC}">
              <c16:uniqueId val="{00000003-510A-46F2-A637-72B556FC3A6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lang="en-US" sz="900" b="1" i="0" u="none" strike="noStrike" kern="1200" baseline="0">
                <a:solidFill>
                  <a:srgbClr val="38986A"/>
                </a:solidFill>
                <a:latin typeface="+mn-lt"/>
                <a:ea typeface="+mn-ea"/>
                <a:cs typeface="+mn-cs"/>
              </a:defRPr>
            </a:pPr>
            <a:endParaRPr lang="pt-BR"/>
          </a:p>
        </c:txPr>
      </c:legendEntry>
      <c:legendEntry>
        <c:idx val="1"/>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pt-BR"/>
          </a:p>
        </c:txPr>
      </c:legendEntry>
      <c:layout>
        <c:manualLayout>
          <c:xMode val="edge"/>
          <c:yMode val="edge"/>
          <c:x val="0.18930237386536067"/>
          <c:y val="0.86857705830462795"/>
          <c:w val="0.62139525226927872"/>
          <c:h val="0.117497419118207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5280541164541792"/>
          <c:y val="8.807142345611231E-2"/>
          <c:w val="0.58466062846036437"/>
          <c:h val="0.71017428829846774"/>
        </c:manualLayout>
      </c:layout>
      <c:barChart>
        <c:barDir val="col"/>
        <c:grouping val="clustered"/>
        <c:varyColors val="0"/>
        <c:ser>
          <c:idx val="1"/>
          <c:order val="1"/>
          <c:tx>
            <c:strRef>
              <c:f>Gráficos!$AD$3</c:f>
              <c:strCache>
                <c:ptCount val="1"/>
                <c:pt idx="0">
                  <c:v>PLANEJADO
ATÉ A DATA</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spPr>
                <a:solidFill>
                  <a:srgbClr val="3578BC"/>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2430537352555696"/>
                      <c:h val="9.2212839605894867E-2"/>
                    </c:manualLayout>
                  </c15:layout>
                </c:ext>
                <c:ext xmlns:c16="http://schemas.microsoft.com/office/drawing/2014/chart" uri="{C3380CC4-5D6E-409C-BE32-E72D297353CC}">
                  <c16:uniqueId val="{00000008-16AC-4F17-BF0F-FCADA514EB2E}"/>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Gráficos!$AD$5</c:f>
              <c:numCache>
                <c:formatCode>_-* #,##0_-;\-* #,##0_-;_-* "-"??_-;_-@_-</c:formatCode>
                <c:ptCount val="1"/>
                <c:pt idx="0">
                  <c:v>13028.119999999999</c:v>
                </c:pt>
              </c:numCache>
            </c:numRef>
          </c:val>
          <c:extLst>
            <c:ext xmlns:c16="http://schemas.microsoft.com/office/drawing/2014/chart" uri="{C3380CC4-5D6E-409C-BE32-E72D297353CC}">
              <c16:uniqueId val="{00000000-16AC-4F17-BF0F-FCADA514EB2E}"/>
            </c:ext>
          </c:extLst>
        </c:ser>
        <c:ser>
          <c:idx val="2"/>
          <c:order val="2"/>
          <c:tx>
            <c:strRef>
              <c:f>Gráficos!$AE$3</c:f>
              <c:strCache>
                <c:ptCount val="1"/>
                <c:pt idx="0">
                  <c:v>REAL MÊS</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layout>
                <c:manualLayout>
                  <c:x val="-2.6169069462647444E-2"/>
                  <c:y val="6.1540770589357607E-17"/>
                </c:manualLayout>
              </c:layout>
              <c:spPr>
                <a:solidFill>
                  <a:srgbClr val="38986A"/>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2327457404980341"/>
                      <c:h val="0.1058044762374992"/>
                    </c:manualLayout>
                  </c15:layout>
                </c:ext>
                <c:ext xmlns:c16="http://schemas.microsoft.com/office/drawing/2014/chart" uri="{C3380CC4-5D6E-409C-BE32-E72D297353CC}">
                  <c16:uniqueId val="{00000009-16AC-4F17-BF0F-FCADA514EB2E}"/>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Gráficos!$AE$5</c:f>
              <c:numCache>
                <c:formatCode>_-* #,##0_-;\-* #,##0_-;_-* "-"??_-;_-@_-</c:formatCode>
                <c:ptCount val="1"/>
                <c:pt idx="0">
                  <c:v>7323.2</c:v>
                </c:pt>
              </c:numCache>
            </c:numRef>
          </c:val>
          <c:extLst>
            <c:ext xmlns:c16="http://schemas.microsoft.com/office/drawing/2014/chart" uri="{C3380CC4-5D6E-409C-BE32-E72D297353CC}">
              <c16:uniqueId val="{00000001-16AC-4F17-BF0F-FCADA514EB2E}"/>
            </c:ext>
          </c:extLst>
        </c:ser>
        <c:dLbls>
          <c:showLegendKey val="0"/>
          <c:showVal val="1"/>
          <c:showCatName val="0"/>
          <c:showSerName val="0"/>
          <c:showPercent val="0"/>
          <c:showBubbleSize val="0"/>
        </c:dLbls>
        <c:gapWidth val="170"/>
        <c:overlap val="-24"/>
        <c:axId val="151427519"/>
        <c:axId val="151427999"/>
      </c:barChart>
      <c:lineChart>
        <c:grouping val="standard"/>
        <c:varyColors val="0"/>
        <c:ser>
          <c:idx val="0"/>
          <c:order val="0"/>
          <c:tx>
            <c:strRef>
              <c:f>Gráficos!$AC$3</c:f>
              <c:strCache>
                <c:ptCount val="1"/>
                <c:pt idx="0">
                  <c:v>PLANEJADO
MÊS</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dLbl>
              <c:idx val="0"/>
              <c:layout>
                <c:manualLayout>
                  <c:x val="-0.21168380576909634"/>
                  <c:y val="-7.3893355940791133E-2"/>
                </c:manualLayout>
              </c:layout>
              <c:spPr>
                <a:solidFill>
                  <a:srgbClr val="FF99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6591874180865005"/>
                      <c:h val="9.9390065328242946E-2"/>
                    </c:manualLayout>
                  </c15:layout>
                </c:ext>
                <c:ext xmlns:c16="http://schemas.microsoft.com/office/drawing/2014/chart" uri="{C3380CC4-5D6E-409C-BE32-E72D297353CC}">
                  <c16:uniqueId val="{00000002-16AC-4F17-BF0F-FCADA514EB2E}"/>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 semana</c:v>
              </c:pt>
            </c:strLit>
          </c:cat>
          <c:val>
            <c:numRef>
              <c:f>Gráficos!$AC$5</c:f>
              <c:numCache>
                <c:formatCode>_-* #,##0_-;\-* #,##0_-;_-* "-"??_-;_-@_-</c:formatCode>
                <c:ptCount val="1"/>
                <c:pt idx="0">
                  <c:v>25079.86</c:v>
                </c:pt>
              </c:numCache>
            </c:numRef>
          </c:val>
          <c:smooth val="0"/>
          <c:extLst>
            <c:ext xmlns:c16="http://schemas.microsoft.com/office/drawing/2014/chart" uri="{C3380CC4-5D6E-409C-BE32-E72D297353CC}">
              <c16:uniqueId val="{00000007-16AC-4F17-BF0F-FCADA514EB2E}"/>
            </c:ext>
          </c:extLst>
        </c:ser>
        <c:dLbls>
          <c:showLegendKey val="0"/>
          <c:showVal val="1"/>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2364309027568752"/>
          <c:y val="0.12175658335849504"/>
          <c:w val="0.58371067075325278"/>
          <c:h val="0.67648897119679696"/>
        </c:manualLayout>
      </c:layout>
      <c:barChart>
        <c:barDir val="col"/>
        <c:grouping val="clustered"/>
        <c:varyColors val="0"/>
        <c:ser>
          <c:idx val="1"/>
          <c:order val="1"/>
          <c:tx>
            <c:strRef>
              <c:f>Gráficos!$AD$3</c:f>
              <c:strCache>
                <c:ptCount val="1"/>
                <c:pt idx="0">
                  <c:v>PLANEJADO
ATÉ A DATA</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spPr>
                <a:solidFill>
                  <a:srgbClr val="3578BC"/>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7434929669883296"/>
                      <c:h val="9.8514764230355462E-2"/>
                    </c:manualLayout>
                  </c15:layout>
                </c:ext>
                <c:ext xmlns:c16="http://schemas.microsoft.com/office/drawing/2014/chart" uri="{C3380CC4-5D6E-409C-BE32-E72D297353CC}">
                  <c16:uniqueId val="{00000006-F305-4824-A454-4860088D8BE2}"/>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Gráficos!$AD$11</c:f>
              <c:numCache>
                <c:formatCode>_-* #,##0_-;\-* #,##0_-;_-* "-"??_-;_-@_-</c:formatCode>
                <c:ptCount val="1"/>
                <c:pt idx="0">
                  <c:v>6133.0933333333314</c:v>
                </c:pt>
              </c:numCache>
            </c:numRef>
          </c:val>
          <c:extLst>
            <c:ext xmlns:c16="http://schemas.microsoft.com/office/drawing/2014/chart" uri="{C3380CC4-5D6E-409C-BE32-E72D297353CC}">
              <c16:uniqueId val="{00000000-F305-4824-A454-4860088D8BE2}"/>
            </c:ext>
          </c:extLst>
        </c:ser>
        <c:ser>
          <c:idx val="2"/>
          <c:order val="2"/>
          <c:tx>
            <c:strRef>
              <c:f>Gráficos!$AE$3</c:f>
              <c:strCache>
                <c:ptCount val="1"/>
                <c:pt idx="0">
                  <c:v>REAL MÊS</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spPr>
                <a:solidFill>
                  <a:srgbClr val="38986A"/>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6607195671917977"/>
                      <c:h val="9.8486557344750245E-2"/>
                    </c:manualLayout>
                  </c15:layout>
                </c:ext>
                <c:ext xmlns:c16="http://schemas.microsoft.com/office/drawing/2014/chart" uri="{C3380CC4-5D6E-409C-BE32-E72D297353CC}">
                  <c16:uniqueId val="{00000002-F305-4824-A454-4860088D8BE2}"/>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Gráficos!$AE$11</c:f>
              <c:numCache>
                <c:formatCode>_-* #,##0_-;\-* #,##0_-;_-* "-"??_-;_-@_-</c:formatCode>
                <c:ptCount val="1"/>
                <c:pt idx="0">
                  <c:v>2915</c:v>
                </c:pt>
              </c:numCache>
            </c:numRef>
          </c:val>
          <c:extLst>
            <c:ext xmlns:c16="http://schemas.microsoft.com/office/drawing/2014/chart" uri="{C3380CC4-5D6E-409C-BE32-E72D297353CC}">
              <c16:uniqueId val="{00000003-F305-4824-A454-4860088D8BE2}"/>
            </c:ext>
          </c:extLst>
        </c:ser>
        <c:dLbls>
          <c:showLegendKey val="0"/>
          <c:showVal val="1"/>
          <c:showCatName val="0"/>
          <c:showSerName val="0"/>
          <c:showPercent val="0"/>
          <c:showBubbleSize val="0"/>
        </c:dLbls>
        <c:gapWidth val="170"/>
        <c:overlap val="-24"/>
        <c:axId val="151427519"/>
        <c:axId val="151427999"/>
      </c:barChart>
      <c:lineChart>
        <c:grouping val="standard"/>
        <c:varyColors val="0"/>
        <c:ser>
          <c:idx val="0"/>
          <c:order val="0"/>
          <c:tx>
            <c:strRef>
              <c:f>Gráficos!$AC$3</c:f>
              <c:strCache>
                <c:ptCount val="1"/>
                <c:pt idx="0">
                  <c:v>PLANEJADO
MÊS</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dLbl>
              <c:idx val="0"/>
              <c:layout>
                <c:manualLayout>
                  <c:x val="-0.19947528287219646"/>
                  <c:y val="-7.7792374183429991E-2"/>
                </c:manualLayout>
              </c:layout>
              <c:spPr>
                <a:solidFill>
                  <a:srgbClr val="FF99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9932807528264838"/>
                      <c:h val="9.8486585582145986E-2"/>
                    </c:manualLayout>
                  </c15:layout>
                </c:ext>
                <c:ext xmlns:c16="http://schemas.microsoft.com/office/drawing/2014/chart" uri="{C3380CC4-5D6E-409C-BE32-E72D297353CC}">
                  <c16:uniqueId val="{00000004-F305-4824-A454-4860088D8BE2}"/>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 semana</c:v>
              </c:pt>
            </c:strLit>
          </c:cat>
          <c:val>
            <c:numRef>
              <c:f>Gráficos!$AC$11</c:f>
              <c:numCache>
                <c:formatCode>_-* #,##0_-;\-* #,##0_-;_-* "-"??_-;_-@_-</c:formatCode>
                <c:ptCount val="1"/>
                <c:pt idx="0">
                  <c:v>13799.46</c:v>
                </c:pt>
              </c:numCache>
            </c:numRef>
          </c:val>
          <c:smooth val="0"/>
          <c:extLst>
            <c:ext xmlns:c16="http://schemas.microsoft.com/office/drawing/2014/chart" uri="{C3380CC4-5D6E-409C-BE32-E72D297353CC}">
              <c16:uniqueId val="{00000005-F305-4824-A454-4860088D8BE2}"/>
            </c:ext>
          </c:extLst>
        </c:ser>
        <c:dLbls>
          <c:showLegendKey val="0"/>
          <c:showVal val="1"/>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0947922333764754"/>
          <c:y val="7.1100660620311271E-2"/>
          <c:w val="0.65413531334258246"/>
          <c:h val="0.72714491242533719"/>
        </c:manualLayout>
      </c:layout>
      <c:barChart>
        <c:barDir val="col"/>
        <c:grouping val="clustered"/>
        <c:varyColors val="0"/>
        <c:ser>
          <c:idx val="1"/>
          <c:order val="1"/>
          <c:tx>
            <c:strRef>
              <c:f>Gráficos!$F$7</c:f>
              <c:strCache>
                <c:ptCount val="1"/>
                <c:pt idx="0">
                  <c:v>P</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layout>
                <c:manualLayout>
                  <c:x val="-7.1647410631032221E-2"/>
                  <c:y val="-6.7142990896875629E-3"/>
                </c:manualLayout>
              </c:layout>
              <c:spPr>
                <a:solidFill>
                  <a:srgbClr val="3578BC"/>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2701620775895154"/>
                      <c:h val="9.3706516835413478E-2"/>
                    </c:manualLayout>
                  </c15:layout>
                </c:ext>
                <c:ext xmlns:c16="http://schemas.microsoft.com/office/drawing/2014/chart" uri="{C3380CC4-5D6E-409C-BE32-E72D297353CC}">
                  <c16:uniqueId val="{00000019-CA3B-4761-B094-3A8A4F2B16E4}"/>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2"/>
                </a:solidFill>
                <a:prstDash val="sysDash"/>
              </a:ln>
              <a:effectLst/>
            </c:spPr>
            <c:trendlineType val="linear"/>
            <c:dispRSqr val="0"/>
            <c:dispEq val="0"/>
          </c:trendline>
          <c:val>
            <c:numRef>
              <c:f>Gráficos!$AA$7</c:f>
              <c:numCache>
                <c:formatCode>_-* #,##0_-;\-* #,##0_-;_-* "-"??_-;_-@_-</c:formatCode>
                <c:ptCount val="1"/>
                <c:pt idx="0">
                  <c:v>1673</c:v>
                </c:pt>
              </c:numCache>
            </c:numRef>
          </c:val>
          <c:extLst>
            <c:ext xmlns:c16="http://schemas.microsoft.com/office/drawing/2014/chart" uri="{C3380CC4-5D6E-409C-BE32-E72D297353CC}">
              <c16:uniqueId val="{00000000-CA3B-4761-B094-3A8A4F2B16E4}"/>
            </c:ext>
          </c:extLst>
        </c:ser>
        <c:ser>
          <c:idx val="2"/>
          <c:order val="2"/>
          <c:tx>
            <c:strRef>
              <c:f>Gráficos!$F$9</c:f>
              <c:strCache>
                <c:ptCount val="1"/>
                <c:pt idx="0">
                  <c:v>R</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spPr>
                <a:solidFill>
                  <a:srgbClr val="38986A"/>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0173898375770838"/>
                      <c:h val="9.3776248379533994E-2"/>
                    </c:manualLayout>
                  </c15:layout>
                </c:ext>
                <c:ext xmlns:c16="http://schemas.microsoft.com/office/drawing/2014/chart" uri="{C3380CC4-5D6E-409C-BE32-E72D297353CC}">
                  <c16:uniqueId val="{00000018-CA3B-4761-B094-3A8A4F2B16E4}"/>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Gráficos!$AA$9</c:f>
              <c:numCache>
                <c:formatCode>_-* #,##0_-;\-* #,##0_-;_-* "-"??_-;_-@_-</c:formatCode>
                <c:ptCount val="1"/>
                <c:pt idx="0">
                  <c:v>1471.5</c:v>
                </c:pt>
              </c:numCache>
            </c:numRef>
          </c:val>
          <c:extLst>
            <c:ext xmlns:c16="http://schemas.microsoft.com/office/drawing/2014/chart" uri="{C3380CC4-5D6E-409C-BE32-E72D297353CC}">
              <c16:uniqueId val="{00000001-CA3B-4761-B094-3A8A4F2B16E4}"/>
            </c:ext>
          </c:extLst>
        </c:ser>
        <c:dLbls>
          <c:showLegendKey val="0"/>
          <c:showVal val="0"/>
          <c:showCatName val="0"/>
          <c:showSerName val="0"/>
          <c:showPercent val="0"/>
          <c:showBubbleSize val="0"/>
        </c:dLbls>
        <c:gapWidth val="170"/>
        <c:overlap val="-24"/>
        <c:axId val="151427519"/>
        <c:axId val="151427999"/>
      </c:barChart>
      <c:lineChart>
        <c:grouping val="standard"/>
        <c:varyColors val="0"/>
        <c:ser>
          <c:idx val="0"/>
          <c:order val="0"/>
          <c:tx>
            <c:strRef>
              <c:f>Gráficos!$F$5</c:f>
              <c:strCache>
                <c:ptCount val="1"/>
                <c:pt idx="0">
                  <c:v>M</c:v>
                </c:pt>
              </c:strCache>
            </c:strRef>
          </c:tx>
          <c:spPr>
            <a:ln w="31750" cap="rnd">
              <a:solidFill>
                <a:srgbClr val="FF9900"/>
              </a:solidFill>
              <a:prstDash val="sysDash"/>
              <a:round/>
            </a:ln>
            <a:effectLst>
              <a:outerShdw blurRad="40000" dist="23000" dir="5400000" rotWithShape="0">
                <a:srgbClr val="000000">
                  <a:alpha val="35000"/>
                </a:srgbClr>
              </a:outerShdw>
            </a:effectLst>
          </c:spPr>
          <c:marker>
            <c:symbol val="none"/>
          </c:marker>
          <c:dLbls>
            <c:dLbl>
              <c:idx val="0"/>
              <c:layout>
                <c:manualLayout>
                  <c:x val="-0.1680058395669761"/>
                  <c:y val="2.0208425231583591E-2"/>
                </c:manualLayout>
              </c:layout>
              <c:spPr>
                <a:solidFill>
                  <a:srgbClr val="FF9900"/>
                </a:solidFill>
                <a:ln>
                  <a:noFill/>
                </a:ln>
                <a:effectLst/>
              </c:spPr>
              <c:txPr>
                <a:bodyPr rot="0" spcFirstLastPara="1" vertOverflow="ellipsis" vert="horz" wrap="square" lIns="38100" tIns="19050" rIns="38100" bIns="19050" anchor="ctr" anchorCtr="0">
                  <a:noAutofit/>
                </a:bodyPr>
                <a:lstStyle/>
                <a:p>
                  <a:pPr algn="ctr">
                    <a:defRPr lang="en-US" sz="800" b="1"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15:layout>
                    <c:manualLayout>
                      <c:w val="0.24343545727812027"/>
                      <c:h val="0.11297603293633288"/>
                    </c:manualLayout>
                  </c15:layout>
                </c:ext>
                <c:ext xmlns:c16="http://schemas.microsoft.com/office/drawing/2014/chart" uri="{C3380CC4-5D6E-409C-BE32-E72D297353CC}">
                  <c16:uniqueId val="{00000007-CA3B-4761-B094-3A8A4F2B16E4}"/>
                </c:ext>
              </c:extLst>
            </c:dLbl>
            <c:dLbl>
              <c:idx val="1"/>
              <c:delete val="1"/>
              <c:extLst>
                <c:ext xmlns:c15="http://schemas.microsoft.com/office/drawing/2012/chart" uri="{CE6537A1-D6FC-4f65-9D91-7224C49458BB}"/>
                <c:ext xmlns:c16="http://schemas.microsoft.com/office/drawing/2014/chart" uri="{C3380CC4-5D6E-409C-BE32-E72D297353CC}">
                  <c16:uniqueId val="{00000002-CA3B-4761-B094-3A8A4F2B16E4}"/>
                </c:ext>
              </c:extLst>
            </c:dLbl>
            <c:dLbl>
              <c:idx val="2"/>
              <c:delete val="1"/>
              <c:extLst>
                <c:ext xmlns:c15="http://schemas.microsoft.com/office/drawing/2012/chart" uri="{CE6537A1-D6FC-4f65-9D91-7224C49458BB}"/>
                <c:ext xmlns:c16="http://schemas.microsoft.com/office/drawing/2014/chart" uri="{C3380CC4-5D6E-409C-BE32-E72D297353CC}">
                  <c16:uniqueId val="{00000003-CA3B-4761-B094-3A8A4F2B16E4}"/>
                </c:ext>
              </c:extLst>
            </c:dLbl>
            <c:dLbl>
              <c:idx val="3"/>
              <c:delete val="1"/>
              <c:extLst>
                <c:ext xmlns:c15="http://schemas.microsoft.com/office/drawing/2012/chart" uri="{CE6537A1-D6FC-4f65-9D91-7224C49458BB}"/>
                <c:ext xmlns:c16="http://schemas.microsoft.com/office/drawing/2014/chart" uri="{C3380CC4-5D6E-409C-BE32-E72D297353CC}">
                  <c16:uniqueId val="{00000004-CA3B-4761-B094-3A8A4F2B16E4}"/>
                </c:ext>
              </c:extLst>
            </c:dLbl>
            <c:dLbl>
              <c:idx val="4"/>
              <c:delete val="1"/>
              <c:extLst>
                <c:ext xmlns:c15="http://schemas.microsoft.com/office/drawing/2012/chart" uri="{CE6537A1-D6FC-4f65-9D91-7224C49458BB}"/>
                <c:ext xmlns:c16="http://schemas.microsoft.com/office/drawing/2014/chart" uri="{C3380CC4-5D6E-409C-BE32-E72D297353CC}">
                  <c16:uniqueId val="{00000005-CA3B-4761-B094-3A8A4F2B16E4}"/>
                </c:ext>
              </c:extLst>
            </c:dLbl>
            <c:spPr>
              <a:solidFill>
                <a:srgbClr val="FF9900"/>
              </a:solid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Gráficos!$AA$5</c:f>
              <c:numCache>
                <c:formatCode>_-* #,##0_-;\-* #,##0_-;_-* "-"??_-;_-@_-</c:formatCode>
                <c:ptCount val="1"/>
                <c:pt idx="0">
                  <c:v>5573.3022222222216</c:v>
                </c:pt>
              </c:numCache>
            </c:numRef>
          </c:val>
          <c:smooth val="0"/>
          <c:extLst>
            <c:ext xmlns:c16="http://schemas.microsoft.com/office/drawing/2014/chart" uri="{C3380CC4-5D6E-409C-BE32-E72D297353CC}">
              <c16:uniqueId val="{00000006-CA3B-4761-B094-3A8A4F2B16E4}"/>
            </c:ext>
          </c:extLst>
        </c:ser>
        <c:dLbls>
          <c:showLegendKey val="0"/>
          <c:showVal val="0"/>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ysClr val="window" lastClr="FFFFFF">
          <a:lumMod val="50000"/>
        </a:sys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3399886544239473"/>
          <c:y val="0.12180196674638551"/>
          <c:w val="0.62178986060298358"/>
          <c:h val="0.66938259114975318"/>
        </c:manualLayout>
      </c:layout>
      <c:barChart>
        <c:barDir val="col"/>
        <c:grouping val="clustered"/>
        <c:varyColors val="0"/>
        <c:ser>
          <c:idx val="1"/>
          <c:order val="1"/>
          <c:tx>
            <c:strRef>
              <c:f>Gráficos!$F$13</c:f>
              <c:strCache>
                <c:ptCount val="1"/>
                <c:pt idx="0">
                  <c:v>P</c:v>
                </c:pt>
              </c:strCache>
            </c:strRef>
          </c:tx>
          <c:spPr>
            <a:solidFill>
              <a:srgbClr val="3578BC"/>
            </a:solidFill>
            <a:ln>
              <a:noFill/>
            </a:ln>
            <a:effectLst>
              <a:outerShdw blurRad="40000" dist="23000" dir="5400000" rotWithShape="0">
                <a:srgbClr val="000000">
                  <a:alpha val="35000"/>
                </a:srgbClr>
              </a:outerShdw>
            </a:effectLst>
          </c:spPr>
          <c:invertIfNegative val="0"/>
          <c:dLbls>
            <c:dLbl>
              <c:idx val="0"/>
              <c:spPr>
                <a:solidFill>
                  <a:srgbClr val="3578BC"/>
                </a:solidFill>
                <a:ln>
                  <a:noFill/>
                </a:ln>
                <a:effectLst/>
              </c:spPr>
              <c:txPr>
                <a:bodyPr rot="0" spcFirstLastPara="1" vertOverflow="ellipsis" vert="horz" wrap="square" lIns="38100" tIns="19050" rIns="38100" bIns="19050" anchor="ctr" anchorCtr="0">
                  <a:noAutofit/>
                </a:bodyPr>
                <a:lstStyle/>
                <a:p>
                  <a:pPr algn="ctr">
                    <a:defRPr lang="en-US"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9308720802848437"/>
                      <c:h val="9.161362957259582E-2"/>
                    </c:manualLayout>
                  </c15:layout>
                </c:ext>
                <c:ext xmlns:c16="http://schemas.microsoft.com/office/drawing/2014/chart" uri="{C3380CC4-5D6E-409C-BE32-E72D297353CC}">
                  <c16:uniqueId val="{00000008-1803-4798-89C5-5822BACBA8E0}"/>
                </c:ext>
              </c:extLst>
            </c:dLbl>
            <c:spPr>
              <a:solidFill>
                <a:srgbClr val="3578BC"/>
              </a:solid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Gráficos!$AA$13</c:f>
              <c:numCache>
                <c:formatCode>_-* #,##0_-;\-* #,##0_-;_-* "-"??_-;_-@_-</c:formatCode>
                <c:ptCount val="1"/>
                <c:pt idx="0">
                  <c:v>350</c:v>
                </c:pt>
              </c:numCache>
            </c:numRef>
          </c:val>
          <c:extLst>
            <c:ext xmlns:c16="http://schemas.microsoft.com/office/drawing/2014/chart" uri="{C3380CC4-5D6E-409C-BE32-E72D297353CC}">
              <c16:uniqueId val="{00000000-1803-4798-89C5-5822BACBA8E0}"/>
            </c:ext>
          </c:extLst>
        </c:ser>
        <c:ser>
          <c:idx val="2"/>
          <c:order val="2"/>
          <c:tx>
            <c:strRef>
              <c:f>Gráficos!$F$15</c:f>
              <c:strCache>
                <c:ptCount val="1"/>
                <c:pt idx="0">
                  <c:v>R</c:v>
                </c:pt>
              </c:strCache>
            </c:strRef>
          </c:tx>
          <c:spPr>
            <a:solidFill>
              <a:srgbClr val="38986A"/>
            </a:solidFill>
            <a:ln>
              <a:noFill/>
            </a:ln>
            <a:effectLst>
              <a:outerShdw blurRad="40000" dist="23000" dir="5400000" rotWithShape="0">
                <a:srgbClr val="000000">
                  <a:alpha val="35000"/>
                </a:srgbClr>
              </a:outerShdw>
            </a:effectLst>
          </c:spPr>
          <c:invertIfNegative val="0"/>
          <c:dLbls>
            <c:dLbl>
              <c:idx val="0"/>
              <c:spPr>
                <a:solidFill>
                  <a:srgbClr val="38986A"/>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7631556357902493"/>
                      <c:h val="7.7355644478397476E-2"/>
                    </c:manualLayout>
                  </c15:layout>
                </c:ext>
                <c:ext xmlns:c16="http://schemas.microsoft.com/office/drawing/2014/chart" uri="{C3380CC4-5D6E-409C-BE32-E72D297353CC}">
                  <c16:uniqueId val="{00000009-1803-4798-89C5-5822BACBA8E0}"/>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Gráficos!$AA$15</c:f>
              <c:numCache>
                <c:formatCode>_-* #,##0_-;\-* #,##0_-;_-* "-"??_-;_-@_-</c:formatCode>
                <c:ptCount val="1"/>
                <c:pt idx="0">
                  <c:v>476</c:v>
                </c:pt>
              </c:numCache>
            </c:numRef>
          </c:val>
          <c:extLst>
            <c:ext xmlns:c16="http://schemas.microsoft.com/office/drawing/2014/chart" uri="{C3380CC4-5D6E-409C-BE32-E72D297353CC}">
              <c16:uniqueId val="{00000001-1803-4798-89C5-5822BACBA8E0}"/>
            </c:ext>
          </c:extLst>
        </c:ser>
        <c:dLbls>
          <c:showLegendKey val="0"/>
          <c:showVal val="1"/>
          <c:showCatName val="0"/>
          <c:showSerName val="0"/>
          <c:showPercent val="0"/>
          <c:showBubbleSize val="0"/>
        </c:dLbls>
        <c:gapWidth val="170"/>
        <c:overlap val="-24"/>
        <c:axId val="151427519"/>
        <c:axId val="151427999"/>
      </c:barChart>
      <c:lineChart>
        <c:grouping val="standard"/>
        <c:varyColors val="0"/>
        <c:ser>
          <c:idx val="0"/>
          <c:order val="0"/>
          <c:tx>
            <c:strRef>
              <c:f>Gráficos!$AA$11</c:f>
              <c:strCache>
                <c:ptCount val="1"/>
                <c:pt idx="0">
                  <c:v> 3,067 </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dLbl>
              <c:idx val="0"/>
              <c:layout>
                <c:manualLayout>
                  <c:x val="-0.25588345162495335"/>
                  <c:y val="-6.5138144023624819E-2"/>
                </c:manualLayout>
              </c:layout>
              <c:spPr>
                <a:solidFill>
                  <a:srgbClr val="FF9900"/>
                </a:solidFill>
                <a:ln>
                  <a:noFill/>
                </a:ln>
                <a:effectLst/>
              </c:spPr>
              <c:txPr>
                <a:bodyPr rot="0" spcFirstLastPara="1" vertOverflow="ellipsis" vert="horz" wrap="square" lIns="38100" tIns="19050" rIns="38100" bIns="19050" anchor="ctr" anchorCtr="0">
                  <a:noAutofit/>
                </a:bodyPr>
                <a:lstStyle/>
                <a:p>
                  <a:pPr algn="ctr">
                    <a:defRPr lang="en-US"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0.25094853167428882"/>
                      <c:h val="8.4310641328660715E-2"/>
                    </c:manualLayout>
                  </c15:layout>
                </c:ext>
                <c:ext xmlns:c16="http://schemas.microsoft.com/office/drawing/2014/chart" uri="{C3380CC4-5D6E-409C-BE32-E72D297353CC}">
                  <c16:uniqueId val="{00000007-1803-4798-89C5-5822BACBA8E0}"/>
                </c:ext>
              </c:extLst>
            </c:dLbl>
            <c:spPr>
              <a:solidFill>
                <a:srgbClr val="FF9900"/>
              </a:solid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Semana</c:v>
              </c:pt>
            </c:strLit>
          </c:cat>
          <c:val>
            <c:numRef>
              <c:f>Gráficos!$AA$11</c:f>
              <c:numCache>
                <c:formatCode>_-* #,##0_-;\-* #,##0_-;_-* "-"??_-;_-@_-</c:formatCode>
                <c:ptCount val="1"/>
                <c:pt idx="0">
                  <c:v>3066.5466666666662</c:v>
                </c:pt>
              </c:numCache>
            </c:numRef>
          </c:val>
          <c:smooth val="0"/>
          <c:extLst>
            <c:ext xmlns:c16="http://schemas.microsoft.com/office/drawing/2014/chart" uri="{C3380CC4-5D6E-409C-BE32-E72D297353CC}">
              <c16:uniqueId val="{00000006-1803-4798-89C5-5822BACBA8E0}"/>
            </c:ext>
          </c:extLst>
        </c:ser>
        <c:dLbls>
          <c:showLegendKey val="0"/>
          <c:showVal val="1"/>
          <c:showCatName val="0"/>
          <c:showSerName val="0"/>
          <c:showPercent val="0"/>
          <c:showBubbleSize val="0"/>
        </c:dLbls>
        <c:marker val="1"/>
        <c:smooth val="0"/>
        <c:axId val="151427519"/>
        <c:axId val="151427999"/>
      </c:lineChart>
      <c:catAx>
        <c:axId val="15142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51427999"/>
        <c:crosses val="autoZero"/>
        <c:auto val="1"/>
        <c:lblAlgn val="ctr"/>
        <c:lblOffset val="100"/>
        <c:noMultiLvlLbl val="0"/>
      </c:catAx>
      <c:valAx>
        <c:axId val="151427999"/>
        <c:scaling>
          <c:orientation val="minMax"/>
        </c:scaling>
        <c:delete val="1"/>
        <c:axPos val="l"/>
        <c:numFmt formatCode="_-* #,##0_-;\-* #,##0_-;_-* &quot;-&quot;??_-;_-@_-" sourceLinked="1"/>
        <c:majorTickMark val="none"/>
        <c:minorTickMark val="none"/>
        <c:tickLblPos val="nextTo"/>
        <c:crossAx val="15142751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r>
              <a:rPr lang="en-US">
                <a:solidFill>
                  <a:schemeClr val="accent6">
                    <a:lumMod val="75000"/>
                  </a:schemeClr>
                </a:solidFill>
              </a:rPr>
              <a:t>Pacote 06 </a:t>
            </a:r>
          </a:p>
        </c:rich>
      </c:tx>
      <c:layout>
        <c:manualLayout>
          <c:xMode val="edge"/>
          <c:yMode val="edge"/>
          <c:x val="0.29249052122585678"/>
          <c:y val="4.873932902007632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2720049208129431"/>
          <c:y val="0.23105950748606488"/>
          <c:w val="0.50247447425304936"/>
          <c:h val="0.56788993793273967"/>
        </c:manualLayout>
      </c:layout>
      <c:pieChart>
        <c:varyColors val="1"/>
        <c:ser>
          <c:idx val="0"/>
          <c:order val="0"/>
          <c:dPt>
            <c:idx val="0"/>
            <c:bubble3D val="0"/>
            <c:spPr>
              <a:solidFill>
                <a:srgbClr val="38986A"/>
              </a:solidFill>
              <a:ln w="19050">
                <a:solidFill>
                  <a:schemeClr val="lt1"/>
                </a:solidFill>
              </a:ln>
              <a:effectLst/>
            </c:spPr>
            <c:extLst>
              <c:ext xmlns:c16="http://schemas.microsoft.com/office/drawing/2014/chart" uri="{C3380CC4-5D6E-409C-BE32-E72D297353CC}">
                <c16:uniqueId val="{00000005-510A-46F2-A637-72B556FC3A6D}"/>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6-510A-46F2-A637-72B556FC3A6D}"/>
              </c:ext>
            </c:extLst>
          </c:dPt>
          <c:dLbls>
            <c:dLbl>
              <c:idx val="0"/>
              <c:layout>
                <c:manualLayout>
                  <c:x val="4.6296296296296297E-7"/>
                  <c:y val="-9.7849722222222227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spc="0" baseline="0">
                      <a:solidFill>
                        <a:srgbClr val="38986A"/>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8855528198687974"/>
                      <c:h val="0.15666212899310247"/>
                    </c:manualLayout>
                  </c15:layout>
                </c:ext>
                <c:ext xmlns:c16="http://schemas.microsoft.com/office/drawing/2014/chart" uri="{C3380CC4-5D6E-409C-BE32-E72D297353CC}">
                  <c16:uniqueId val="{00000005-510A-46F2-A637-72B556FC3A6D}"/>
                </c:ext>
              </c:extLst>
            </c:dLbl>
            <c:dLbl>
              <c:idx val="1"/>
              <c:layout>
                <c:manualLayout>
                  <c:x val="5.8331018518518515E-3"/>
                  <c:y val="9.757166666666664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chemeClr val="accent6">
                          <a:lumMod val="7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7535079594575312"/>
                      <c:h val="0.20705676370701001"/>
                    </c:manualLayout>
                  </c15:layout>
                </c:ext>
                <c:ext xmlns:c16="http://schemas.microsoft.com/office/drawing/2014/chart" uri="{C3380CC4-5D6E-409C-BE32-E72D297353CC}">
                  <c16:uniqueId val="{00000006-510A-46F2-A637-72B556FC3A6D}"/>
                </c:ext>
              </c:extLst>
            </c:dLbl>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spc="0" baseline="0">
                    <a:solidFill>
                      <a:srgbClr val="1F497D"/>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Gráficos!$F$56:$G$57</c:f>
              <c:multiLvlStrCache>
                <c:ptCount val="2"/>
                <c:lvl/>
                <c:lvl>
                  <c:pt idx="0">
                    <c:v>Quant. total</c:v>
                  </c:pt>
                  <c:pt idx="1">
                    <c:v>Saldo</c:v>
                  </c:pt>
                </c:lvl>
              </c:multiLvlStrCache>
            </c:multiLvlStrRef>
          </c:cat>
          <c:val>
            <c:numRef>
              <c:f>Gráficos!$F$61:$G$61</c:f>
              <c:numCache>
                <c:formatCode>_-* #,##0_-;\-* #,##0_-;_-* "-"??_-;_-@_-</c:formatCode>
                <c:ptCount val="2"/>
                <c:pt idx="0">
                  <c:v>6620711.0199999996</c:v>
                </c:pt>
                <c:pt idx="1">
                  <c:v>1473376.6499999994</c:v>
                </c:pt>
              </c:numCache>
            </c:numRef>
          </c:val>
          <c:extLst>
            <c:ext xmlns:c16="http://schemas.microsoft.com/office/drawing/2014/chart" uri="{C3380CC4-5D6E-409C-BE32-E72D297353CC}">
              <c16:uniqueId val="{00000000-510A-46F2-A637-72B556FC3A6D}"/>
            </c:ext>
          </c:extLst>
        </c:ser>
        <c:ser>
          <c:idx val="1"/>
          <c:order val="1"/>
          <c:tx>
            <c:v>Quant. 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3A1-4B69-8590-58AEDDEF0FE1}"/>
              </c:ext>
            </c:extLst>
          </c:dPt>
          <c:cat>
            <c:multiLvlStrRef>
              <c:f>Gráficos!$F$56:$G$57</c:f>
              <c:multiLvlStrCache>
                <c:ptCount val="2"/>
                <c:lvl/>
                <c:lvl>
                  <c:pt idx="0">
                    <c:v>Quant. total</c:v>
                  </c:pt>
                  <c:pt idx="1">
                    <c:v>Saldo</c:v>
                  </c:pt>
                </c:lvl>
              </c:multiLvlStrCache>
            </c:multiLvlStrRef>
          </c:cat>
          <c:val>
            <c:numLit>
              <c:formatCode>General</c:formatCode>
              <c:ptCount val="1"/>
              <c:pt idx="0">
                <c:v>1</c:v>
              </c:pt>
            </c:numLit>
          </c:val>
          <c:extLst>
            <c:ext xmlns:c16="http://schemas.microsoft.com/office/drawing/2014/chart" uri="{C3380CC4-5D6E-409C-BE32-E72D297353CC}">
              <c16:uniqueId val="{00000003-510A-46F2-A637-72B556FC3A6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lang="en-US" sz="900" b="1" i="0" u="none" strike="noStrike" kern="1200" baseline="0">
                <a:solidFill>
                  <a:srgbClr val="38986A"/>
                </a:solidFill>
                <a:latin typeface="+mn-lt"/>
                <a:ea typeface="+mn-ea"/>
                <a:cs typeface="+mn-cs"/>
              </a:defRPr>
            </a:pPr>
            <a:endParaRPr lang="pt-BR"/>
          </a:p>
        </c:txPr>
      </c:legendEntry>
      <c:legendEntry>
        <c:idx val="1"/>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pt-BR"/>
          </a:p>
        </c:txPr>
      </c:legendEntry>
      <c:layout>
        <c:manualLayout>
          <c:xMode val="edge"/>
          <c:yMode val="edge"/>
          <c:x val="0.18930237386536067"/>
          <c:y val="0.86857705830462795"/>
          <c:w val="0.62139525226927872"/>
          <c:h val="0.117497419118207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no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r>
              <a:rPr lang="en-US">
                <a:solidFill>
                  <a:srgbClr val="D21242"/>
                </a:solidFill>
              </a:rPr>
              <a:t>Pacote 07/08 </a:t>
            </a:r>
          </a:p>
        </c:rich>
      </c:tx>
      <c:layout>
        <c:manualLayout>
          <c:xMode val="edge"/>
          <c:yMode val="edge"/>
          <c:x val="0.29249052122585678"/>
          <c:y val="4.873932902007632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2720049208129431"/>
          <c:y val="0.23105950748606488"/>
          <c:w val="0.50247447425304936"/>
          <c:h val="0.56788993793273967"/>
        </c:manualLayout>
      </c:layout>
      <c:pieChart>
        <c:varyColors val="1"/>
        <c:ser>
          <c:idx val="0"/>
          <c:order val="0"/>
          <c:dPt>
            <c:idx val="0"/>
            <c:bubble3D val="0"/>
            <c:spPr>
              <a:solidFill>
                <a:srgbClr val="38986A"/>
              </a:solidFill>
              <a:ln w="19050">
                <a:solidFill>
                  <a:schemeClr val="lt1"/>
                </a:solidFill>
              </a:ln>
              <a:effectLst/>
            </c:spPr>
            <c:extLst>
              <c:ext xmlns:c16="http://schemas.microsoft.com/office/drawing/2014/chart" uri="{C3380CC4-5D6E-409C-BE32-E72D297353CC}">
                <c16:uniqueId val="{00000005-510A-46F2-A637-72B556FC3A6D}"/>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6-510A-46F2-A637-72B556FC3A6D}"/>
              </c:ext>
            </c:extLst>
          </c:dPt>
          <c:dLbls>
            <c:dLbl>
              <c:idx val="0"/>
              <c:layout>
                <c:manualLayout>
                  <c:x val="0.12916870525218169"/>
                  <c:y val="-0.21389525096193435"/>
                </c:manualLayout>
              </c:layout>
              <c:spPr>
                <a:noFill/>
                <a:ln>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rgbClr val="38986A"/>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885550925925926"/>
                      <c:h val="0.22016222222222223"/>
                    </c:manualLayout>
                  </c15:layout>
                </c:ext>
                <c:ext xmlns:c16="http://schemas.microsoft.com/office/drawing/2014/chart" uri="{C3380CC4-5D6E-409C-BE32-E72D297353CC}">
                  <c16:uniqueId val="{00000005-510A-46F2-A637-72B556FC3A6D}"/>
                </c:ext>
              </c:extLst>
            </c:dLbl>
            <c:dLbl>
              <c:idx val="1"/>
              <c:layout>
                <c:manualLayout>
                  <c:x val="4.6990509259259246E-2"/>
                  <c:y val="9.0516111111111117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chemeClr val="accent6">
                          <a:lumMod val="7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7535079594575312"/>
                      <c:h val="0.20705676370701001"/>
                    </c:manualLayout>
                  </c15:layout>
                </c:ext>
                <c:ext xmlns:c16="http://schemas.microsoft.com/office/drawing/2014/chart" uri="{C3380CC4-5D6E-409C-BE32-E72D297353CC}">
                  <c16:uniqueId val="{00000006-510A-46F2-A637-72B556FC3A6D}"/>
                </c:ext>
              </c:extLst>
            </c:dLbl>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spc="0" baseline="0">
                    <a:solidFill>
                      <a:srgbClr val="1F497D"/>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Gráficos!$F$56:$G$57</c:f>
              <c:multiLvlStrCache>
                <c:ptCount val="2"/>
                <c:lvl/>
                <c:lvl>
                  <c:pt idx="0">
                    <c:v>Quant. total</c:v>
                  </c:pt>
                  <c:pt idx="1">
                    <c:v>Saldo</c:v>
                  </c:pt>
                </c:lvl>
              </c:multiLvlStrCache>
            </c:multiLvlStrRef>
          </c:cat>
          <c:val>
            <c:numRef>
              <c:f>Gráficos!$F$63:$G$63</c:f>
              <c:numCache>
                <c:formatCode>_-* #,##0_-;\-* #,##0_-;_-* "-"??_-;_-@_-</c:formatCode>
                <c:ptCount val="2"/>
                <c:pt idx="0">
                  <c:v>2502064.0209999997</c:v>
                </c:pt>
                <c:pt idx="1">
                  <c:v>363883.14029380801</c:v>
                </c:pt>
              </c:numCache>
            </c:numRef>
          </c:val>
          <c:extLst>
            <c:ext xmlns:c16="http://schemas.microsoft.com/office/drawing/2014/chart" uri="{C3380CC4-5D6E-409C-BE32-E72D297353CC}">
              <c16:uniqueId val="{00000000-510A-46F2-A637-72B556FC3A6D}"/>
            </c:ext>
          </c:extLst>
        </c:ser>
        <c:ser>
          <c:idx val="1"/>
          <c:order val="1"/>
          <c:tx>
            <c:v>Quant. 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3A1-4B69-8590-58AEDDEF0FE1}"/>
              </c:ext>
            </c:extLst>
          </c:dPt>
          <c:cat>
            <c:multiLvlStrRef>
              <c:f>Gráficos!$F$56:$G$57</c:f>
              <c:multiLvlStrCache>
                <c:ptCount val="2"/>
                <c:lvl/>
                <c:lvl>
                  <c:pt idx="0">
                    <c:v>Quant. total</c:v>
                  </c:pt>
                  <c:pt idx="1">
                    <c:v>Saldo</c:v>
                  </c:pt>
                </c:lvl>
              </c:multiLvlStrCache>
            </c:multiLvlStrRef>
          </c:cat>
          <c:val>
            <c:numLit>
              <c:formatCode>General</c:formatCode>
              <c:ptCount val="1"/>
              <c:pt idx="0">
                <c:v>1</c:v>
              </c:pt>
            </c:numLit>
          </c:val>
          <c:extLst>
            <c:ext xmlns:c16="http://schemas.microsoft.com/office/drawing/2014/chart" uri="{C3380CC4-5D6E-409C-BE32-E72D297353CC}">
              <c16:uniqueId val="{00000003-510A-46F2-A637-72B556FC3A6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lang="en-US" sz="900" b="1" i="0" u="none" strike="noStrike" kern="1200" baseline="0">
                <a:solidFill>
                  <a:srgbClr val="38986A"/>
                </a:solidFill>
                <a:latin typeface="+mn-lt"/>
                <a:ea typeface="+mn-ea"/>
                <a:cs typeface="+mn-cs"/>
              </a:defRPr>
            </a:pPr>
            <a:endParaRPr lang="pt-BR"/>
          </a:p>
        </c:txPr>
      </c:legendEntry>
      <c:legendEntry>
        <c:idx val="1"/>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pt-BR"/>
          </a:p>
        </c:txPr>
      </c:legendEntry>
      <c:layout>
        <c:manualLayout>
          <c:xMode val="edge"/>
          <c:yMode val="edge"/>
          <c:x val="0.18930237386536067"/>
          <c:y val="0.86857705830462795"/>
          <c:w val="0.62139525226927872"/>
          <c:h val="0.117497419118207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no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r>
              <a:rPr lang="en-US"/>
              <a:t>Pacote 04/05 </a:t>
            </a:r>
          </a:p>
        </c:rich>
      </c:tx>
      <c:layout>
        <c:manualLayout>
          <c:xMode val="edge"/>
          <c:yMode val="edge"/>
          <c:x val="0.29249052122585678"/>
          <c:y val="4.873932902007632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2720049208129431"/>
          <c:y val="0.23105950748606488"/>
          <c:w val="0.50247447425304936"/>
          <c:h val="0.56788993793273967"/>
        </c:manualLayout>
      </c:layout>
      <c:pieChart>
        <c:varyColors val="1"/>
        <c:ser>
          <c:idx val="0"/>
          <c:order val="0"/>
          <c:dPt>
            <c:idx val="0"/>
            <c:bubble3D val="0"/>
            <c:spPr>
              <a:solidFill>
                <a:srgbClr val="38986A"/>
              </a:solidFill>
              <a:ln w="19050">
                <a:solidFill>
                  <a:schemeClr val="lt1"/>
                </a:solidFill>
              </a:ln>
              <a:effectLst/>
            </c:spPr>
            <c:extLst>
              <c:ext xmlns:c16="http://schemas.microsoft.com/office/drawing/2014/chart" uri="{C3380CC4-5D6E-409C-BE32-E72D297353CC}">
                <c16:uniqueId val="{00000005-510A-46F2-A637-72B556FC3A6D}"/>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6-510A-46F2-A637-72B556FC3A6D}"/>
              </c:ext>
            </c:extLst>
          </c:dPt>
          <c:dLbls>
            <c:dLbl>
              <c:idx val="0"/>
              <c:layout>
                <c:manualLayout>
                  <c:x val="-2.0578703703703811E-2"/>
                  <c:y val="-6.962722222222228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spc="0" baseline="0">
                      <a:solidFill>
                        <a:srgbClr val="38986A"/>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4739768518518518"/>
                      <c:h val="0.15666222222222223"/>
                    </c:manualLayout>
                  </c15:layout>
                </c:ext>
                <c:ext xmlns:c16="http://schemas.microsoft.com/office/drawing/2014/chart" uri="{C3380CC4-5D6E-409C-BE32-E72D297353CC}">
                  <c16:uniqueId val="{00000005-510A-46F2-A637-72B556FC3A6D}"/>
                </c:ext>
              </c:extLst>
            </c:dLbl>
            <c:dLbl>
              <c:idx val="1"/>
              <c:layout>
                <c:manualLayout>
                  <c:x val="-5.9260171751842677E-3"/>
                  <c:y val="9.0515896751570318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chemeClr val="accent6">
                          <a:lumMod val="7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7535079594575312"/>
                      <c:h val="0.20705676370701001"/>
                    </c:manualLayout>
                  </c15:layout>
                </c:ext>
                <c:ext xmlns:c16="http://schemas.microsoft.com/office/drawing/2014/chart" uri="{C3380CC4-5D6E-409C-BE32-E72D297353CC}">
                  <c16:uniqueId val="{00000006-510A-46F2-A637-72B556FC3A6D}"/>
                </c:ext>
              </c:extLst>
            </c:dLbl>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spc="0" baseline="0">
                    <a:solidFill>
                      <a:schemeClr val="accent6">
                        <a:lumMod val="7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Gráficos!$F$68:$G$69</c:f>
              <c:multiLvlStrCache>
                <c:ptCount val="2"/>
                <c:lvl/>
                <c:lvl>
                  <c:pt idx="0">
                    <c:v>Quant. total</c:v>
                  </c:pt>
                  <c:pt idx="1">
                    <c:v>Saldo</c:v>
                  </c:pt>
                </c:lvl>
              </c:multiLvlStrCache>
            </c:multiLvlStrRef>
          </c:cat>
          <c:val>
            <c:numRef>
              <c:f>Gráficos!$F$71:$G$71</c:f>
              <c:numCache>
                <c:formatCode>_-* #,##0_-;\-* #,##0_-;_-* "-"??_-;_-@_-</c:formatCode>
                <c:ptCount val="2"/>
                <c:pt idx="0">
                  <c:v>201994.21000000002</c:v>
                </c:pt>
                <c:pt idx="1">
                  <c:v>180591.359</c:v>
                </c:pt>
              </c:numCache>
            </c:numRef>
          </c:val>
          <c:extLst>
            <c:ext xmlns:c16="http://schemas.microsoft.com/office/drawing/2014/chart" uri="{C3380CC4-5D6E-409C-BE32-E72D297353CC}">
              <c16:uniqueId val="{00000000-510A-46F2-A637-72B556FC3A6D}"/>
            </c:ext>
          </c:extLst>
        </c:ser>
        <c:ser>
          <c:idx val="1"/>
          <c:order val="1"/>
          <c:tx>
            <c:v>Quant. 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3A1-4B69-8590-58AEDDEF0FE1}"/>
              </c:ext>
            </c:extLst>
          </c:dPt>
          <c:cat>
            <c:multiLvlStrRef>
              <c:f>Gráficos!$F$68:$G$69</c:f>
              <c:multiLvlStrCache>
                <c:ptCount val="2"/>
                <c:lvl/>
                <c:lvl>
                  <c:pt idx="0">
                    <c:v>Quant. total</c:v>
                  </c:pt>
                  <c:pt idx="1">
                    <c:v>Saldo</c:v>
                  </c:pt>
                </c:lvl>
              </c:multiLvlStrCache>
            </c:multiLvlStrRef>
          </c:cat>
          <c:val>
            <c:numLit>
              <c:formatCode>General</c:formatCode>
              <c:ptCount val="1"/>
              <c:pt idx="0">
                <c:v>1</c:v>
              </c:pt>
            </c:numLit>
          </c:val>
          <c:extLst>
            <c:ext xmlns:c16="http://schemas.microsoft.com/office/drawing/2014/chart" uri="{C3380CC4-5D6E-409C-BE32-E72D297353CC}">
              <c16:uniqueId val="{00000003-510A-46F2-A637-72B556FC3A6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lang="en-US" sz="900" b="1" i="0" u="none" strike="noStrike" kern="1200" baseline="0">
                <a:solidFill>
                  <a:srgbClr val="38986A"/>
                </a:solidFill>
                <a:latin typeface="+mn-lt"/>
                <a:ea typeface="+mn-ea"/>
                <a:cs typeface="+mn-cs"/>
              </a:defRPr>
            </a:pPr>
            <a:endParaRPr lang="pt-BR"/>
          </a:p>
        </c:txPr>
      </c:legendEntry>
      <c:legendEntry>
        <c:idx val="1"/>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pt-BR"/>
          </a:p>
        </c:txPr>
      </c:legendEntry>
      <c:layout>
        <c:manualLayout>
          <c:xMode val="edge"/>
          <c:yMode val="edge"/>
          <c:x val="0.17734175719080017"/>
          <c:y val="0.85451248345782649"/>
          <c:w val="0.62139525226927872"/>
          <c:h val="0.117497419118207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no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r>
              <a:rPr lang="en-US">
                <a:solidFill>
                  <a:schemeClr val="accent6">
                    <a:lumMod val="75000"/>
                  </a:schemeClr>
                </a:solidFill>
              </a:rPr>
              <a:t>Pacote 06 </a:t>
            </a:r>
          </a:p>
        </c:rich>
      </c:tx>
      <c:layout>
        <c:manualLayout>
          <c:xMode val="edge"/>
          <c:yMode val="edge"/>
          <c:x val="0.29249052122585678"/>
          <c:y val="4.873932902007632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5945555555555555"/>
          <c:y val="0.2310594444444444"/>
          <c:w val="0.50247447425304936"/>
          <c:h val="0.56788993793273967"/>
        </c:manualLayout>
      </c:layout>
      <c:pieChart>
        <c:varyColors val="1"/>
        <c:ser>
          <c:idx val="0"/>
          <c:order val="0"/>
          <c:dPt>
            <c:idx val="0"/>
            <c:bubble3D val="0"/>
            <c:spPr>
              <a:solidFill>
                <a:srgbClr val="38986A"/>
              </a:solidFill>
              <a:ln w="19050">
                <a:solidFill>
                  <a:schemeClr val="lt1"/>
                </a:solidFill>
              </a:ln>
              <a:effectLst/>
            </c:spPr>
            <c:extLst>
              <c:ext xmlns:c16="http://schemas.microsoft.com/office/drawing/2014/chart" uri="{C3380CC4-5D6E-409C-BE32-E72D297353CC}">
                <c16:uniqueId val="{00000005-510A-46F2-A637-72B556FC3A6D}"/>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6-510A-46F2-A637-72B556FC3A6D}"/>
              </c:ext>
            </c:extLst>
          </c:dPt>
          <c:dLbls>
            <c:dLbl>
              <c:idx val="0"/>
              <c:layout>
                <c:manualLayout>
                  <c:x val="-2.6458101851851851E-2"/>
                  <c:y val="-6.962722222222228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spc="0" baseline="0">
                      <a:solidFill>
                        <a:srgbClr val="38986A"/>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5915694444444437"/>
                      <c:h val="0.15666222222222223"/>
                    </c:manualLayout>
                  </c15:layout>
                </c:ext>
                <c:ext xmlns:c16="http://schemas.microsoft.com/office/drawing/2014/chart" uri="{C3380CC4-5D6E-409C-BE32-E72D297353CC}">
                  <c16:uniqueId val="{00000005-510A-46F2-A637-72B556FC3A6D}"/>
                </c:ext>
              </c:extLst>
            </c:dLbl>
            <c:dLbl>
              <c:idx val="1"/>
              <c:layout>
                <c:manualLayout>
                  <c:x val="9.4074537037037054E-2"/>
                  <c:y val="-3.648388888888892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800" b="1" i="0" u="none" strike="noStrike" kern="1200" spc="0" baseline="0">
                      <a:solidFill>
                        <a:schemeClr val="accent6">
                          <a:lumMod val="7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7535092592592592"/>
                      <c:h val="0.17883444444444443"/>
                    </c:manualLayout>
                  </c15:layout>
                </c:ext>
                <c:ext xmlns:c16="http://schemas.microsoft.com/office/drawing/2014/chart" uri="{C3380CC4-5D6E-409C-BE32-E72D297353CC}">
                  <c16:uniqueId val="{00000006-510A-46F2-A637-72B556FC3A6D}"/>
                </c:ext>
              </c:extLst>
            </c:dLbl>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spc="0" baseline="0">
                    <a:solidFill>
                      <a:srgbClr val="1F497D"/>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Gráficos!$F$68:$G$69</c:f>
              <c:multiLvlStrCache>
                <c:ptCount val="2"/>
                <c:lvl/>
                <c:lvl>
                  <c:pt idx="0">
                    <c:v>Quant. total</c:v>
                  </c:pt>
                  <c:pt idx="1">
                    <c:v>Saldo</c:v>
                  </c:pt>
                </c:lvl>
              </c:multiLvlStrCache>
            </c:multiLvlStrRef>
          </c:cat>
          <c:val>
            <c:numRef>
              <c:f>Gráficos!$F$73:$G$73</c:f>
              <c:numCache>
                <c:formatCode>_-* #,##0_-;\-* #,##0_-;_-* "-"??_-;_-@_-</c:formatCode>
                <c:ptCount val="2"/>
                <c:pt idx="0">
                  <c:v>127599</c:v>
                </c:pt>
                <c:pt idx="1">
                  <c:v>69776.62</c:v>
                </c:pt>
              </c:numCache>
            </c:numRef>
          </c:val>
          <c:extLst>
            <c:ext xmlns:c16="http://schemas.microsoft.com/office/drawing/2014/chart" uri="{C3380CC4-5D6E-409C-BE32-E72D297353CC}">
              <c16:uniqueId val="{00000000-510A-46F2-A637-72B556FC3A6D}"/>
            </c:ext>
          </c:extLst>
        </c:ser>
        <c:ser>
          <c:idx val="1"/>
          <c:order val="1"/>
          <c:tx>
            <c:v>Quant. 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3A1-4B69-8590-58AEDDEF0FE1}"/>
              </c:ext>
            </c:extLst>
          </c:dPt>
          <c:cat>
            <c:multiLvlStrRef>
              <c:f>Gráficos!$F$68:$G$69</c:f>
              <c:multiLvlStrCache>
                <c:ptCount val="2"/>
                <c:lvl/>
                <c:lvl>
                  <c:pt idx="0">
                    <c:v>Quant. total</c:v>
                  </c:pt>
                  <c:pt idx="1">
                    <c:v>Saldo</c:v>
                  </c:pt>
                </c:lvl>
              </c:multiLvlStrCache>
            </c:multiLvlStrRef>
          </c:cat>
          <c:val>
            <c:numLit>
              <c:formatCode>General</c:formatCode>
              <c:ptCount val="1"/>
              <c:pt idx="0">
                <c:v>1</c:v>
              </c:pt>
            </c:numLit>
          </c:val>
          <c:extLst>
            <c:ext xmlns:c16="http://schemas.microsoft.com/office/drawing/2014/chart" uri="{C3380CC4-5D6E-409C-BE32-E72D297353CC}">
              <c16:uniqueId val="{00000003-510A-46F2-A637-72B556FC3A6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lang="en-US" sz="900" b="1" i="0" u="none" strike="noStrike" kern="1200" baseline="0">
                <a:solidFill>
                  <a:srgbClr val="38986A"/>
                </a:solidFill>
                <a:latin typeface="+mn-lt"/>
                <a:ea typeface="+mn-ea"/>
                <a:cs typeface="+mn-cs"/>
              </a:defRPr>
            </a:pPr>
            <a:endParaRPr lang="pt-BR"/>
          </a:p>
        </c:txPr>
      </c:legendEntry>
      <c:legendEntry>
        <c:idx val="1"/>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pt-BR"/>
          </a:p>
        </c:txPr>
      </c:legendEntry>
      <c:layout>
        <c:manualLayout>
          <c:xMode val="edge"/>
          <c:yMode val="edge"/>
          <c:x val="0.18930237386536067"/>
          <c:y val="0.86857705830462795"/>
          <c:w val="0.62139525226927872"/>
          <c:h val="0.117497419118207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no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r>
              <a:rPr lang="en-US">
                <a:solidFill>
                  <a:srgbClr val="D21242"/>
                </a:solidFill>
              </a:rPr>
              <a:t>Pacote 07/08 </a:t>
            </a:r>
          </a:p>
        </c:rich>
      </c:tx>
      <c:layout>
        <c:manualLayout>
          <c:xMode val="edge"/>
          <c:yMode val="edge"/>
          <c:x val="0.29249052122585678"/>
          <c:y val="4.8739329020076327E-2"/>
        </c:manualLayout>
      </c:layout>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2720049208129431"/>
          <c:y val="0.23105950748606488"/>
          <c:w val="0.50247447425304936"/>
          <c:h val="0.56788993793273967"/>
        </c:manualLayout>
      </c:layout>
      <c:pieChart>
        <c:varyColors val="1"/>
        <c:ser>
          <c:idx val="0"/>
          <c:order val="0"/>
          <c:dPt>
            <c:idx val="0"/>
            <c:bubble3D val="0"/>
            <c:spPr>
              <a:solidFill>
                <a:srgbClr val="38986A"/>
              </a:solidFill>
              <a:ln w="19050">
                <a:solidFill>
                  <a:schemeClr val="lt1"/>
                </a:solidFill>
              </a:ln>
              <a:effectLst/>
            </c:spPr>
            <c:extLst>
              <c:ext xmlns:c16="http://schemas.microsoft.com/office/drawing/2014/chart" uri="{C3380CC4-5D6E-409C-BE32-E72D297353CC}">
                <c16:uniqueId val="{00000005-510A-46F2-A637-72B556FC3A6D}"/>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6-510A-46F2-A637-72B556FC3A6D}"/>
              </c:ext>
            </c:extLst>
          </c:dPt>
          <c:dLbls>
            <c:dLbl>
              <c:idx val="0"/>
              <c:layout>
                <c:manualLayout>
                  <c:x val="-4.1156944444444447E-2"/>
                  <c:y val="-6.962750000000006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spc="0" baseline="0">
                      <a:solidFill>
                        <a:srgbClr val="38986A"/>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8855528198687974"/>
                      <c:h val="0.15666212899310247"/>
                    </c:manualLayout>
                  </c15:layout>
                </c:ext>
                <c:ext xmlns:c16="http://schemas.microsoft.com/office/drawing/2014/chart" uri="{C3380CC4-5D6E-409C-BE32-E72D297353CC}">
                  <c16:uniqueId val="{00000005-510A-46F2-A637-72B556FC3A6D}"/>
                </c:ext>
              </c:extLst>
            </c:dLbl>
            <c:dLbl>
              <c:idx val="1"/>
              <c:layout>
                <c:manualLayout>
                  <c:x val="7.6435416666666672E-2"/>
                  <c:y val="-8.2616666666666984E-3"/>
                </c:manualLayout>
              </c:layout>
              <c:tx>
                <c:rich>
                  <a:bodyPr rot="0" spcFirstLastPara="1" vertOverflow="ellipsis" vert="horz" wrap="square" lIns="38100" tIns="19050" rIns="38100" bIns="19050" anchor="ctr" anchorCtr="0">
                    <a:noAutofit/>
                  </a:bodyPr>
                  <a:lstStyle/>
                  <a:p>
                    <a:pPr algn="ctr" rtl="0">
                      <a:defRPr lang="en-US" sz="800" b="0" i="0" u="none" strike="noStrike" kern="1200" spc="0" baseline="0">
                        <a:solidFill>
                          <a:srgbClr val="1F497D"/>
                        </a:solidFill>
                        <a:latin typeface="+mn-lt"/>
                        <a:ea typeface="+mn-ea"/>
                        <a:cs typeface="+mn-cs"/>
                      </a:defRPr>
                    </a:pPr>
                    <a:fld id="{D242249E-417F-46BF-A351-896CFE6B678C}" type="VALUE">
                      <a:rPr lang="en-US" b="1">
                        <a:solidFill>
                          <a:schemeClr val="accent6">
                            <a:lumMod val="75000"/>
                          </a:schemeClr>
                        </a:solidFill>
                      </a:rPr>
                      <a:pPr algn="ctr" rtl="0">
                        <a:defRPr sz="800" spc="0">
                          <a:solidFill>
                            <a:srgbClr val="1F497D"/>
                          </a:solidFill>
                        </a:defRPr>
                      </a:pPr>
                      <a:t>[]</a:t>
                    </a:fld>
                    <a:endParaRPr/>
                  </a:p>
                </c:rich>
              </c:tx>
              <c:spPr>
                <a:noFill/>
                <a:ln>
                  <a:noFill/>
                </a:ln>
                <a:effectLst/>
              </c:spPr>
              <c:txPr>
                <a:bodyPr rot="0" spcFirstLastPara="1" vertOverflow="ellipsis" vert="horz" wrap="square" lIns="38100" tIns="19050" rIns="38100" bIns="19050" anchor="ctr" anchorCtr="0">
                  <a:noAutofit/>
                </a:bodyPr>
                <a:lstStyle/>
                <a:p>
                  <a:pPr algn="ctr" rtl="0">
                    <a:defRPr lang="en-US" sz="800" b="0" i="0" u="none" strike="noStrike" kern="1200" spc="0" baseline="0">
                      <a:solidFill>
                        <a:srgbClr val="1F497D"/>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15:layout>
                    <c:manualLayout>
                      <c:w val="0.27535079594575312"/>
                      <c:h val="0.20705676370701001"/>
                    </c:manualLayout>
                  </c15:layout>
                  <c15:dlblFieldTable/>
                  <c15:showDataLabelsRange val="0"/>
                </c:ext>
                <c:ext xmlns:c16="http://schemas.microsoft.com/office/drawing/2014/chart" uri="{C3380CC4-5D6E-409C-BE32-E72D297353CC}">
                  <c16:uniqueId val="{00000006-510A-46F2-A637-72B556FC3A6D}"/>
                </c:ext>
              </c:extLst>
            </c:dLbl>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spc="0" baseline="0">
                    <a:solidFill>
                      <a:srgbClr val="1F497D"/>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Gráficos!$F$68:$G$69</c:f>
              <c:multiLvlStrCache>
                <c:ptCount val="2"/>
                <c:lvl/>
                <c:lvl>
                  <c:pt idx="0">
                    <c:v>Quant. total</c:v>
                  </c:pt>
                  <c:pt idx="1">
                    <c:v>Saldo</c:v>
                  </c:pt>
                </c:lvl>
              </c:multiLvlStrCache>
            </c:multiLvlStrRef>
          </c:cat>
          <c:val>
            <c:numRef>
              <c:f>Gráficos!$F$75:$G$75</c:f>
              <c:numCache>
                <c:formatCode>_-* #,##0_-;\-* #,##0_-;_-* "-"??_-;_-@_-</c:formatCode>
                <c:ptCount val="2"/>
                <c:pt idx="0">
                  <c:v>98366.94</c:v>
                </c:pt>
                <c:pt idx="1">
                  <c:v>38993.660000000003</c:v>
                </c:pt>
              </c:numCache>
            </c:numRef>
          </c:val>
          <c:extLst>
            <c:ext xmlns:c16="http://schemas.microsoft.com/office/drawing/2014/chart" uri="{C3380CC4-5D6E-409C-BE32-E72D297353CC}">
              <c16:uniqueId val="{00000000-510A-46F2-A637-72B556FC3A6D}"/>
            </c:ext>
          </c:extLst>
        </c:ser>
        <c:ser>
          <c:idx val="1"/>
          <c:order val="1"/>
          <c:tx>
            <c:v>Quant. 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3A1-4B69-8590-58AEDDEF0FE1}"/>
              </c:ext>
            </c:extLst>
          </c:dPt>
          <c:cat>
            <c:multiLvlStrRef>
              <c:f>Gráficos!$F$68:$G$69</c:f>
              <c:multiLvlStrCache>
                <c:ptCount val="2"/>
                <c:lvl/>
                <c:lvl>
                  <c:pt idx="0">
                    <c:v>Quant. total</c:v>
                  </c:pt>
                  <c:pt idx="1">
                    <c:v>Saldo</c:v>
                  </c:pt>
                </c:lvl>
              </c:multiLvlStrCache>
            </c:multiLvlStrRef>
          </c:cat>
          <c:val>
            <c:numLit>
              <c:formatCode>General</c:formatCode>
              <c:ptCount val="1"/>
              <c:pt idx="0">
                <c:v>1</c:v>
              </c:pt>
            </c:numLit>
          </c:val>
          <c:extLst>
            <c:ext xmlns:c16="http://schemas.microsoft.com/office/drawing/2014/chart" uri="{C3380CC4-5D6E-409C-BE32-E72D297353CC}">
              <c16:uniqueId val="{00000003-510A-46F2-A637-72B556FC3A6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lang="en-US" sz="900" b="1" i="0" u="none" strike="noStrike" kern="1200" baseline="0">
                <a:solidFill>
                  <a:srgbClr val="38986A"/>
                </a:solidFill>
                <a:latin typeface="+mn-lt"/>
                <a:ea typeface="+mn-ea"/>
                <a:cs typeface="+mn-cs"/>
              </a:defRPr>
            </a:pPr>
            <a:endParaRPr lang="pt-BR"/>
          </a:p>
        </c:txPr>
      </c:legendEntry>
      <c:legendEntry>
        <c:idx val="1"/>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pt-BR"/>
          </a:p>
        </c:txPr>
      </c:legendEntry>
      <c:layout>
        <c:manualLayout>
          <c:xMode val="edge"/>
          <c:yMode val="edge"/>
          <c:x val="0.18930237386536067"/>
          <c:y val="0.86857705830462795"/>
          <c:w val="0.62139525226927872"/>
          <c:h val="0.117497419118207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pt-BR"/>
        </a:p>
      </c:txPr>
    </c:legend>
    <c:plotVisOnly val="1"/>
    <c:dispBlanksAs val="gap"/>
    <c:showDLblsOverMax val="0"/>
    <c:extLst/>
  </c:chart>
  <c:spPr>
    <a:noFill/>
    <a:ln w="9525" cap="flat" cmpd="sng" algn="ctr">
      <a:solidFill>
        <a:schemeClr val="bg1">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pt-BR" sz="1080" b="1" i="0" u="none" strike="noStrike" kern="1200" spc="0" baseline="0">
                <a:solidFill>
                  <a:srgbClr val="1F497D"/>
                </a:solidFill>
                <a:latin typeface="+mn-lt"/>
                <a:ea typeface="+mn-ea"/>
                <a:cs typeface="+mn-cs"/>
              </a:defRPr>
            </a:pPr>
            <a:r>
              <a:rPr lang="pt-BR" sz="1080" b="1" i="0" u="none" strike="noStrike" kern="1200" spc="0" baseline="0">
                <a:solidFill>
                  <a:srgbClr val="1F497D"/>
                </a:solidFill>
                <a:latin typeface="+mn-lt"/>
                <a:ea typeface="+mn-ea"/>
                <a:cs typeface="+mn-cs"/>
              </a:rPr>
              <a:t>Avanço de Produção - Terraplanagem (Mês)</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pt-BR" sz="1080" b="1" i="0" u="none" strike="noStrike" kern="1200" spc="0" baseline="0">
              <a:solidFill>
                <a:srgbClr val="1F497D"/>
              </a:solidFill>
              <a:latin typeface="+mn-lt"/>
              <a:ea typeface="+mn-ea"/>
              <a:cs typeface="+mn-cs"/>
            </a:defRPr>
          </a:pPr>
          <a:endParaRPr lang="pt-BR"/>
        </a:p>
      </c:txPr>
    </c:title>
    <c:autoTitleDeleted val="0"/>
    <c:plotArea>
      <c:layout/>
      <c:barChart>
        <c:barDir val="col"/>
        <c:grouping val="clustered"/>
        <c:varyColors val="0"/>
        <c:ser>
          <c:idx val="1"/>
          <c:order val="1"/>
          <c:tx>
            <c:strRef>
              <c:f>Quadros!$F$36</c:f>
              <c:strCache>
                <c:ptCount val="1"/>
                <c:pt idx="0">
                  <c:v>Meta mês</c:v>
                </c:pt>
              </c:strCache>
            </c:strRef>
          </c:tx>
          <c:spPr>
            <a:solidFill>
              <a:srgbClr val="3578BC"/>
            </a:solidFill>
            <a:ln>
              <a:noFill/>
            </a:ln>
            <a:effectLst/>
          </c:spPr>
          <c:invertIfNegative val="0"/>
          <c:dLbls>
            <c:dLbl>
              <c:idx val="1"/>
              <c:layout>
                <c:manualLayout>
                  <c:x val="-1.7861792721229054E-2"/>
                  <c:y val="-1.0109423741161156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E4-4975-B79B-DC7C92F5539F}"/>
                </c:ext>
              </c:extLst>
            </c:dLbl>
            <c:dLbl>
              <c:idx val="3"/>
              <c:layout>
                <c:manualLayout>
                  <c:x val="-1.6102591895110315E-2"/>
                  <c:y val="-7.5614055461294821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8A-497E-93D7-830589A5D757}"/>
                </c:ext>
              </c:extLst>
            </c:dLbl>
            <c:numFmt formatCode="#,##0" sourceLinked="0"/>
            <c:spPr>
              <a:solidFill>
                <a:schemeClr val="accent1"/>
              </a:solid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Quadros!$I$34:$N$34</c:f>
              <c:strCache>
                <c:ptCount val="6"/>
                <c:pt idx="1">
                  <c:v>PCTE 4/5</c:v>
                </c:pt>
                <c:pt idx="2">
                  <c:v>PCTE 06</c:v>
                </c:pt>
                <c:pt idx="3">
                  <c:v>PCTE 7/8</c:v>
                </c:pt>
                <c:pt idx="5">
                  <c:v>REG 02</c:v>
                </c:pt>
              </c:strCache>
            </c:strRef>
          </c:cat>
          <c:val>
            <c:numRef>
              <c:f>Quadros!$I$36:$N$36</c:f>
              <c:numCache>
                <c:formatCode>#,##0</c:formatCode>
                <c:ptCount val="6"/>
                <c:pt idx="1">
                  <c:v>1617743.8200000003</c:v>
                </c:pt>
                <c:pt idx="2">
                  <c:v>1055459.28</c:v>
                </c:pt>
                <c:pt idx="3">
                  <c:v>379880.8220073909</c:v>
                </c:pt>
                <c:pt idx="5">
                  <c:v>3053083.9220073912</c:v>
                </c:pt>
              </c:numCache>
            </c:numRef>
          </c:val>
          <c:extLst>
            <c:ext xmlns:c16="http://schemas.microsoft.com/office/drawing/2014/chart" uri="{C3380CC4-5D6E-409C-BE32-E72D297353CC}">
              <c16:uniqueId val="{00000001-738A-497E-93D7-830589A5D757}"/>
            </c:ext>
          </c:extLst>
        </c:ser>
        <c:ser>
          <c:idx val="3"/>
          <c:order val="3"/>
          <c:tx>
            <c:strRef>
              <c:f>Quadros!$F$38</c:f>
              <c:strCache>
                <c:ptCount val="1"/>
                <c:pt idx="0">
                  <c:v>Acumulado</c:v>
                </c:pt>
              </c:strCache>
            </c:strRef>
          </c:tx>
          <c:spPr>
            <a:solidFill>
              <a:srgbClr val="38986A"/>
            </a:solidFill>
            <a:ln>
              <a:noFill/>
            </a:ln>
            <a:effectLst/>
          </c:spPr>
          <c:invertIfNegative val="0"/>
          <c:dLbls>
            <c:dLbl>
              <c:idx val="3"/>
              <c:layout>
                <c:manualLayout>
                  <c:x val="2.5624707034599358E-2"/>
                  <c:y val="5.50314329145166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8A-497E-93D7-830589A5D757}"/>
                </c:ext>
              </c:extLst>
            </c:dLbl>
            <c:spPr>
              <a:solidFill>
                <a:srgbClr val="38986A"/>
              </a:solid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Quadros!$I$34:$N$34</c:f>
              <c:strCache>
                <c:ptCount val="6"/>
                <c:pt idx="1">
                  <c:v>PCTE 4/5</c:v>
                </c:pt>
                <c:pt idx="2">
                  <c:v>PCTE 06</c:v>
                </c:pt>
                <c:pt idx="3">
                  <c:v>PCTE 7/8</c:v>
                </c:pt>
                <c:pt idx="5">
                  <c:v>REG 02</c:v>
                </c:pt>
              </c:strCache>
            </c:strRef>
          </c:cat>
          <c:val>
            <c:numRef>
              <c:f>Quadros!$I$38:$N$38</c:f>
              <c:numCache>
                <c:formatCode>#,##0</c:formatCode>
                <c:ptCount val="6"/>
                <c:pt idx="1">
                  <c:v>628891.72</c:v>
                </c:pt>
                <c:pt idx="2">
                  <c:v>399721.09781954892</c:v>
                </c:pt>
                <c:pt idx="3">
                  <c:v>221205.87656112039</c:v>
                </c:pt>
                <c:pt idx="5">
                  <c:v>1249818.6943806694</c:v>
                </c:pt>
              </c:numCache>
            </c:numRef>
          </c:val>
          <c:extLst>
            <c:ext xmlns:c16="http://schemas.microsoft.com/office/drawing/2014/chart" uri="{C3380CC4-5D6E-409C-BE32-E72D297353CC}">
              <c16:uniqueId val="{00000003-738A-497E-93D7-830589A5D757}"/>
            </c:ext>
          </c:extLst>
        </c:ser>
        <c:dLbls>
          <c:showLegendKey val="0"/>
          <c:showVal val="0"/>
          <c:showCatName val="0"/>
          <c:showSerName val="0"/>
          <c:showPercent val="0"/>
          <c:showBubbleSize val="0"/>
        </c:dLbls>
        <c:gapWidth val="219"/>
        <c:overlap val="-27"/>
        <c:axId val="688525880"/>
        <c:axId val="688528400"/>
        <c:extLst>
          <c:ext xmlns:c15="http://schemas.microsoft.com/office/drawing/2012/chart" uri="{02D57815-91ED-43cb-92C2-25804820EDAC}">
            <c15:filteredBarSeries>
              <c15:ser>
                <c:idx val="0"/>
                <c:order val="0"/>
                <c:tx>
                  <c:strRef>
                    <c:extLst>
                      <c:ext uri="{02D57815-91ED-43cb-92C2-25804820EDAC}">
                        <c15:formulaRef>
                          <c15:sqref>Quadros!$F$35</c15:sqref>
                        </c15:formulaRef>
                      </c:ext>
                    </c:extLst>
                    <c:strCache>
                      <c:ptCount val="1"/>
                    </c:strCache>
                  </c:strRef>
                </c:tx>
                <c:spPr>
                  <a:solidFill>
                    <a:schemeClr val="accent1"/>
                  </a:solidFill>
                  <a:ln>
                    <a:noFill/>
                  </a:ln>
                  <a:effectLst/>
                </c:spPr>
                <c:invertIfNegative val="0"/>
                <c:cat>
                  <c:strRef>
                    <c:extLst>
                      <c:ext uri="{02D57815-91ED-43cb-92C2-25804820EDAC}">
                        <c15:formulaRef>
                          <c15:sqref>Quadros!$I$34:$N$34</c15:sqref>
                        </c15:formulaRef>
                      </c:ext>
                    </c:extLst>
                    <c:strCache>
                      <c:ptCount val="6"/>
                      <c:pt idx="1">
                        <c:v>PCTE 4/5</c:v>
                      </c:pt>
                      <c:pt idx="2">
                        <c:v>PCTE 06</c:v>
                      </c:pt>
                      <c:pt idx="3">
                        <c:v>PCTE 7/8</c:v>
                      </c:pt>
                      <c:pt idx="5">
                        <c:v>REG 02</c:v>
                      </c:pt>
                    </c:strCache>
                  </c:strRef>
                </c:cat>
                <c:val>
                  <c:numRef>
                    <c:extLst>
                      <c:ext uri="{02D57815-91ED-43cb-92C2-25804820EDAC}">
                        <c15:formulaRef>
                          <c15:sqref>Quadros!$I$35:$N$35</c15:sqref>
                        </c15:formulaRef>
                      </c:ext>
                    </c:extLst>
                    <c:numCache>
                      <c:formatCode>General</c:formatCode>
                      <c:ptCount val="6"/>
                    </c:numCache>
                  </c:numRef>
                </c:val>
                <c:extLst>
                  <c:ext xmlns:c16="http://schemas.microsoft.com/office/drawing/2014/chart" uri="{C3380CC4-5D6E-409C-BE32-E72D297353CC}">
                    <c16:uniqueId val="{00000005-738A-497E-93D7-830589A5D75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Quadros!$F$37</c15:sqref>
                        </c15:formulaRef>
                      </c:ext>
                    </c:extLst>
                    <c:strCache>
                      <c:ptCount val="1"/>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Quadros!$I$34:$N$34</c15:sqref>
                        </c15:formulaRef>
                      </c:ext>
                    </c:extLst>
                    <c:strCache>
                      <c:ptCount val="6"/>
                      <c:pt idx="1">
                        <c:v>PCTE 4/5</c:v>
                      </c:pt>
                      <c:pt idx="2">
                        <c:v>PCTE 06</c:v>
                      </c:pt>
                      <c:pt idx="3">
                        <c:v>PCTE 7/8</c:v>
                      </c:pt>
                      <c:pt idx="5">
                        <c:v>REG 02</c:v>
                      </c:pt>
                    </c:strCache>
                  </c:strRef>
                </c:cat>
                <c:val>
                  <c:numRef>
                    <c:extLst xmlns:c15="http://schemas.microsoft.com/office/drawing/2012/chart">
                      <c:ext xmlns:c15="http://schemas.microsoft.com/office/drawing/2012/chart" uri="{02D57815-91ED-43cb-92C2-25804820EDAC}">
                        <c15:formulaRef>
                          <c15:sqref>Quadros!$I$37:$N$37</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6-738A-497E-93D7-830589A5D75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Quadros!$F$39</c15:sqref>
                        </c15:formulaRef>
                      </c:ext>
                    </c:extLst>
                    <c:strCache>
                      <c:ptCount val="1"/>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Quadros!$I$34:$N$34</c15:sqref>
                        </c15:formulaRef>
                      </c:ext>
                    </c:extLst>
                    <c:strCache>
                      <c:ptCount val="6"/>
                      <c:pt idx="1">
                        <c:v>PCTE 4/5</c:v>
                      </c:pt>
                      <c:pt idx="2">
                        <c:v>PCTE 06</c:v>
                      </c:pt>
                      <c:pt idx="3">
                        <c:v>PCTE 7/8</c:v>
                      </c:pt>
                      <c:pt idx="5">
                        <c:v>REG 02</c:v>
                      </c:pt>
                    </c:strCache>
                  </c:strRef>
                </c:cat>
                <c:val>
                  <c:numRef>
                    <c:extLst xmlns:c15="http://schemas.microsoft.com/office/drawing/2012/chart">
                      <c:ext xmlns:c15="http://schemas.microsoft.com/office/drawing/2012/chart" uri="{02D57815-91ED-43cb-92C2-25804820EDAC}">
                        <c15:formulaRef>
                          <c15:sqref>Quadros!$I$39:$N$39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738A-497E-93D7-830589A5D757}"/>
                  </c:ext>
                </c:extLst>
              </c15:ser>
            </c15:filteredBarSeries>
          </c:ext>
        </c:extLst>
      </c:barChart>
      <c:lineChart>
        <c:grouping val="standard"/>
        <c:varyColors val="0"/>
        <c:ser>
          <c:idx val="5"/>
          <c:order val="5"/>
          <c:tx>
            <c:strRef>
              <c:f>Quadros!$F$40</c:f>
              <c:strCache>
                <c:ptCount val="1"/>
                <c:pt idx="0">
                  <c:v>Avanço</c:v>
                </c:pt>
              </c:strCache>
            </c:strRef>
          </c:tx>
          <c:spPr>
            <a:ln w="28575" cap="rnd">
              <a:solidFill>
                <a:schemeClr val="accent6"/>
              </a:solidFill>
              <a:round/>
            </a:ln>
            <a:effectLst/>
          </c:spPr>
          <c:marker>
            <c:symbol val="none"/>
          </c:marker>
          <c:dLbls>
            <c:dLbl>
              <c:idx val="1"/>
              <c:layout>
                <c:manualLayout>
                  <c:x val="-1.6509299383738012E-2"/>
                  <c:y val="3.860028092509894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5.0880592408758182E-2"/>
                      <c:h val="7.5904485466359528E-2"/>
                    </c:manualLayout>
                  </c15:layout>
                </c:ext>
                <c:ext xmlns:c16="http://schemas.microsoft.com/office/drawing/2014/chart" uri="{C3380CC4-5D6E-409C-BE32-E72D297353CC}">
                  <c16:uniqueId val="{00000001-28E4-4975-B79B-DC7C92F5539F}"/>
                </c:ext>
              </c:extLst>
            </c:dLbl>
            <c:dLbl>
              <c:idx val="2"/>
              <c:layout>
                <c:manualLayout>
                  <c:x val="-4.4577931262838794E-2"/>
                  <c:y val="-3.8600063826877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E4-4975-B79B-DC7C92F5539F}"/>
                </c:ext>
              </c:extLst>
            </c:dLbl>
            <c:dLbl>
              <c:idx val="5"/>
              <c:layout>
                <c:manualLayout>
                  <c:x val="-3.940684246830467E-2"/>
                  <c:y val="5.503143291451618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8A-497E-93D7-830589A5D757}"/>
                </c:ext>
              </c:extLst>
            </c:dLbl>
            <c:spPr>
              <a:solidFill>
                <a:srgbClr val="FF9900"/>
              </a:solid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Quadros!$I$34:$N$34</c:f>
              <c:strCache>
                <c:ptCount val="6"/>
                <c:pt idx="1">
                  <c:v>PCTE 4/5</c:v>
                </c:pt>
                <c:pt idx="2">
                  <c:v>PCTE 06</c:v>
                </c:pt>
                <c:pt idx="3">
                  <c:v>PCTE 7/8</c:v>
                </c:pt>
                <c:pt idx="5">
                  <c:v>REG 02</c:v>
                </c:pt>
              </c:strCache>
            </c:strRef>
          </c:cat>
          <c:val>
            <c:numRef>
              <c:f>Quadros!$I$40:$N$40</c:f>
              <c:numCache>
                <c:formatCode>0%</c:formatCode>
                <c:ptCount val="6"/>
                <c:pt idx="1">
                  <c:v>0.38874617366796671</c:v>
                </c:pt>
                <c:pt idx="2">
                  <c:v>0.37871768754503621</c:v>
                </c:pt>
                <c:pt idx="3">
                  <c:v>0.58230335343650652</c:v>
                </c:pt>
                <c:pt idx="5">
                  <c:v>0.40936270548335213</c:v>
                </c:pt>
              </c:numCache>
            </c:numRef>
          </c:val>
          <c:smooth val="0"/>
          <c:extLst>
            <c:ext xmlns:c16="http://schemas.microsoft.com/office/drawing/2014/chart" uri="{C3380CC4-5D6E-409C-BE32-E72D297353CC}">
              <c16:uniqueId val="{00000004-738A-497E-93D7-830589A5D757}"/>
            </c:ext>
          </c:extLst>
        </c:ser>
        <c:dLbls>
          <c:showLegendKey val="0"/>
          <c:showVal val="0"/>
          <c:showCatName val="0"/>
          <c:showSerName val="0"/>
          <c:showPercent val="0"/>
          <c:showBubbleSize val="0"/>
        </c:dLbls>
        <c:marker val="1"/>
        <c:smooth val="0"/>
        <c:axId val="688526600"/>
        <c:axId val="688520480"/>
      </c:lineChart>
      <c:catAx>
        <c:axId val="688525880"/>
        <c:scaling>
          <c:orientation val="minMax"/>
        </c:scaling>
        <c:delete val="0"/>
        <c:axPos val="b"/>
        <c:numFmt formatCode="General" sourceLinked="1"/>
        <c:majorTickMark val="none"/>
        <c:minorTickMark val="none"/>
        <c:tickLblPos val="nextTo"/>
        <c:spPr>
          <a:noFill/>
          <a:ln w="9525" cap="flat" cmpd="sng" algn="ctr">
            <a:solidFill>
              <a:srgbClr val="D4E3F4"/>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pt-BR"/>
          </a:p>
        </c:txPr>
        <c:crossAx val="688528400"/>
        <c:crosses val="autoZero"/>
        <c:auto val="1"/>
        <c:lblAlgn val="ctr"/>
        <c:lblOffset val="100"/>
        <c:noMultiLvlLbl val="0"/>
      </c:catAx>
      <c:valAx>
        <c:axId val="6885284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pt-BR"/>
          </a:p>
        </c:txPr>
        <c:crossAx val="688525880"/>
        <c:crosses val="autoZero"/>
        <c:crossBetween val="between"/>
      </c:valAx>
      <c:valAx>
        <c:axId val="68852048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pt-BR"/>
          </a:p>
        </c:txPr>
        <c:crossAx val="688526600"/>
        <c:crosses val="max"/>
        <c:crossBetween val="between"/>
      </c:valAx>
      <c:catAx>
        <c:axId val="688526600"/>
        <c:scaling>
          <c:orientation val="minMax"/>
        </c:scaling>
        <c:delete val="1"/>
        <c:axPos val="b"/>
        <c:numFmt formatCode="General" sourceLinked="1"/>
        <c:majorTickMark val="none"/>
        <c:minorTickMark val="none"/>
        <c:tickLblPos val="nextTo"/>
        <c:crossAx val="6885204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sz="800"/>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pt-BR" sz="1080" b="1" i="0" u="none" strike="noStrike" kern="1200" spc="0" baseline="0">
                <a:solidFill>
                  <a:srgbClr val="1F497D"/>
                </a:solidFill>
                <a:latin typeface="+mn-lt"/>
                <a:ea typeface="+mn-ea"/>
                <a:cs typeface="+mn-cs"/>
              </a:defRPr>
            </a:pPr>
            <a:r>
              <a:rPr lang="pt-BR" sz="1080" b="1" i="0" u="none" strike="noStrike" kern="1200" spc="0" baseline="0">
                <a:solidFill>
                  <a:srgbClr val="1F497D"/>
                </a:solidFill>
                <a:latin typeface="+mn-lt"/>
                <a:ea typeface="+mn-ea"/>
                <a:cs typeface="+mn-cs"/>
              </a:rPr>
              <a:t>Avanço de Produção - Drenagem Superficilal (mês)</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pt-BR" sz="1080" b="1" i="0" u="none" strike="noStrike" kern="1200" spc="0" baseline="0">
              <a:solidFill>
                <a:srgbClr val="1F497D"/>
              </a:solidFill>
              <a:latin typeface="+mn-lt"/>
              <a:ea typeface="+mn-ea"/>
              <a:cs typeface="+mn-cs"/>
            </a:defRPr>
          </a:pPr>
          <a:endParaRPr lang="pt-BR"/>
        </a:p>
      </c:txPr>
    </c:title>
    <c:autoTitleDeleted val="0"/>
    <c:plotArea>
      <c:layout/>
      <c:barChart>
        <c:barDir val="col"/>
        <c:grouping val="clustered"/>
        <c:varyColors val="0"/>
        <c:ser>
          <c:idx val="1"/>
          <c:order val="1"/>
          <c:tx>
            <c:strRef>
              <c:f>Quadros!$Q$36</c:f>
              <c:strCache>
                <c:ptCount val="1"/>
                <c:pt idx="0">
                  <c:v>Meta mês</c:v>
                </c:pt>
              </c:strCache>
            </c:strRef>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Quadros!$T$34:$Y$34</c:f>
              <c:strCache>
                <c:ptCount val="6"/>
                <c:pt idx="1">
                  <c:v>PCTE 4/5</c:v>
                </c:pt>
                <c:pt idx="2">
                  <c:v>PCTE 06</c:v>
                </c:pt>
                <c:pt idx="3">
                  <c:v>PCTE 7/8</c:v>
                </c:pt>
                <c:pt idx="5">
                  <c:v>REG 02</c:v>
                </c:pt>
              </c:strCache>
            </c:strRef>
          </c:cat>
          <c:val>
            <c:numRef>
              <c:f>Quadros!$T$36:$Y$36</c:f>
              <c:numCache>
                <c:formatCode>#,##0</c:formatCode>
                <c:ptCount val="6"/>
                <c:pt idx="1">
                  <c:v>25079.86</c:v>
                </c:pt>
                <c:pt idx="2">
                  <c:v>13799.46</c:v>
                </c:pt>
                <c:pt idx="3">
                  <c:v>13521.962499999998</c:v>
                </c:pt>
                <c:pt idx="5">
                  <c:v>52401.282500000001</c:v>
                </c:pt>
              </c:numCache>
            </c:numRef>
          </c:val>
          <c:extLst>
            <c:ext xmlns:c16="http://schemas.microsoft.com/office/drawing/2014/chart" uri="{C3380CC4-5D6E-409C-BE32-E72D297353CC}">
              <c16:uniqueId val="{00000000-8BD5-4C5F-842B-16278A688F65}"/>
            </c:ext>
          </c:extLst>
        </c:ser>
        <c:ser>
          <c:idx val="3"/>
          <c:order val="3"/>
          <c:tx>
            <c:strRef>
              <c:f>Quadros!$Q$38</c:f>
              <c:strCache>
                <c:ptCount val="1"/>
                <c:pt idx="0">
                  <c:v>Acumulado</c:v>
                </c:pt>
              </c:strCache>
            </c:strRef>
          </c:tx>
          <c:spPr>
            <a:solidFill>
              <a:srgbClr val="38986A"/>
            </a:solidFill>
            <a:ln>
              <a:noFill/>
            </a:ln>
            <a:effectLst/>
          </c:spPr>
          <c:invertIfNegative val="0"/>
          <c:dLbls>
            <c:dLbl>
              <c:idx val="3"/>
              <c:layout>
                <c:manualLayout>
                  <c:x val="2.805100343077626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D5-4C5F-842B-16278A688F65}"/>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Quadros!$T$34:$Y$34</c:f>
              <c:strCache>
                <c:ptCount val="6"/>
                <c:pt idx="1">
                  <c:v>PCTE 4/5</c:v>
                </c:pt>
                <c:pt idx="2">
                  <c:v>PCTE 06</c:v>
                </c:pt>
                <c:pt idx="3">
                  <c:v>PCTE 7/8</c:v>
                </c:pt>
                <c:pt idx="5">
                  <c:v>REG 02</c:v>
                </c:pt>
              </c:strCache>
            </c:strRef>
          </c:cat>
          <c:val>
            <c:numRef>
              <c:f>Quadros!$T$38:$Y$38</c:f>
              <c:numCache>
                <c:formatCode>#,##0</c:formatCode>
                <c:ptCount val="6"/>
                <c:pt idx="1">
                  <c:v>7323.2</c:v>
                </c:pt>
                <c:pt idx="2">
                  <c:v>2915</c:v>
                </c:pt>
                <c:pt idx="3">
                  <c:v>7173</c:v>
                </c:pt>
                <c:pt idx="5">
                  <c:v>17411.2</c:v>
                </c:pt>
              </c:numCache>
            </c:numRef>
          </c:val>
          <c:extLst>
            <c:ext xmlns:c16="http://schemas.microsoft.com/office/drawing/2014/chart" uri="{C3380CC4-5D6E-409C-BE32-E72D297353CC}">
              <c16:uniqueId val="{00000001-8BD5-4C5F-842B-16278A688F65}"/>
            </c:ext>
          </c:extLst>
        </c:ser>
        <c:dLbls>
          <c:showLegendKey val="0"/>
          <c:showVal val="0"/>
          <c:showCatName val="0"/>
          <c:showSerName val="0"/>
          <c:showPercent val="0"/>
          <c:showBubbleSize val="0"/>
        </c:dLbls>
        <c:gapWidth val="219"/>
        <c:overlap val="-27"/>
        <c:axId val="1097868056"/>
        <c:axId val="1097869136"/>
        <c:extLst>
          <c:ext xmlns:c15="http://schemas.microsoft.com/office/drawing/2012/chart" uri="{02D57815-91ED-43cb-92C2-25804820EDAC}">
            <c15:filteredBarSeries>
              <c15:ser>
                <c:idx val="0"/>
                <c:order val="0"/>
                <c:tx>
                  <c:strRef>
                    <c:extLst>
                      <c:ext uri="{02D57815-91ED-43cb-92C2-25804820EDAC}">
                        <c15:formulaRef>
                          <c15:sqref>Quadros!$Q$35</c15:sqref>
                        </c15:formulaRef>
                      </c:ext>
                    </c:extLst>
                    <c:strCache>
                      <c:ptCount val="1"/>
                    </c:strCache>
                  </c:strRef>
                </c:tx>
                <c:spPr>
                  <a:solidFill>
                    <a:schemeClr val="accent1"/>
                  </a:solidFill>
                  <a:ln>
                    <a:noFill/>
                  </a:ln>
                  <a:effectLst/>
                </c:spPr>
                <c:invertIfNegative val="0"/>
                <c:cat>
                  <c:strRef>
                    <c:extLst>
                      <c:ext uri="{02D57815-91ED-43cb-92C2-25804820EDAC}">
                        <c15:formulaRef>
                          <c15:sqref>Quadros!$T$34:$Y$34</c15:sqref>
                        </c15:formulaRef>
                      </c:ext>
                    </c:extLst>
                    <c:strCache>
                      <c:ptCount val="6"/>
                      <c:pt idx="1">
                        <c:v>PCTE 4/5</c:v>
                      </c:pt>
                      <c:pt idx="2">
                        <c:v>PCTE 06</c:v>
                      </c:pt>
                      <c:pt idx="3">
                        <c:v>PCTE 7/8</c:v>
                      </c:pt>
                      <c:pt idx="5">
                        <c:v>REG 02</c:v>
                      </c:pt>
                    </c:strCache>
                  </c:strRef>
                </c:cat>
                <c:val>
                  <c:numRef>
                    <c:extLst>
                      <c:ext uri="{02D57815-91ED-43cb-92C2-25804820EDAC}">
                        <c15:formulaRef>
                          <c15:sqref>Quadros!$T$35:$Y$35</c15:sqref>
                        </c15:formulaRef>
                      </c:ext>
                    </c:extLst>
                    <c:numCache>
                      <c:formatCode>General</c:formatCode>
                      <c:ptCount val="6"/>
                    </c:numCache>
                  </c:numRef>
                </c:val>
                <c:extLst>
                  <c:ext xmlns:c16="http://schemas.microsoft.com/office/drawing/2014/chart" uri="{C3380CC4-5D6E-409C-BE32-E72D297353CC}">
                    <c16:uniqueId val="{00000003-8BD5-4C5F-842B-16278A688F6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Quadros!$Q$37</c15:sqref>
                        </c15:formulaRef>
                      </c:ext>
                    </c:extLst>
                    <c:strCache>
                      <c:ptCount val="1"/>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Quadros!$T$34:$Y$34</c15:sqref>
                        </c15:formulaRef>
                      </c:ext>
                    </c:extLst>
                    <c:strCache>
                      <c:ptCount val="6"/>
                      <c:pt idx="1">
                        <c:v>PCTE 4/5</c:v>
                      </c:pt>
                      <c:pt idx="2">
                        <c:v>PCTE 06</c:v>
                      </c:pt>
                      <c:pt idx="3">
                        <c:v>PCTE 7/8</c:v>
                      </c:pt>
                      <c:pt idx="5">
                        <c:v>REG 02</c:v>
                      </c:pt>
                    </c:strCache>
                  </c:strRef>
                </c:cat>
                <c:val>
                  <c:numRef>
                    <c:extLst xmlns:c15="http://schemas.microsoft.com/office/drawing/2012/chart">
                      <c:ext xmlns:c15="http://schemas.microsoft.com/office/drawing/2012/chart" uri="{02D57815-91ED-43cb-92C2-25804820EDAC}">
                        <c15:formulaRef>
                          <c15:sqref>Quadros!$T$37:$Y$37</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4-8BD5-4C5F-842B-16278A688F6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Quadros!$Q$39</c15:sqref>
                        </c15:formulaRef>
                      </c:ext>
                    </c:extLst>
                    <c:strCache>
                      <c:ptCount val="1"/>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Quadros!$T$34:$Y$34</c15:sqref>
                        </c15:formulaRef>
                      </c:ext>
                    </c:extLst>
                    <c:strCache>
                      <c:ptCount val="6"/>
                      <c:pt idx="1">
                        <c:v>PCTE 4/5</c:v>
                      </c:pt>
                      <c:pt idx="2">
                        <c:v>PCTE 06</c:v>
                      </c:pt>
                      <c:pt idx="3">
                        <c:v>PCTE 7/8</c:v>
                      </c:pt>
                      <c:pt idx="5">
                        <c:v>REG 02</c:v>
                      </c:pt>
                    </c:strCache>
                  </c:strRef>
                </c:cat>
                <c:val>
                  <c:numRef>
                    <c:extLst xmlns:c15="http://schemas.microsoft.com/office/drawing/2012/chart">
                      <c:ext xmlns:c15="http://schemas.microsoft.com/office/drawing/2012/chart" uri="{02D57815-91ED-43cb-92C2-25804820EDAC}">
                        <c15:formulaRef>
                          <c15:sqref>Quadros!$T$39:$Y$39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8BD5-4C5F-842B-16278A688F65}"/>
                  </c:ext>
                </c:extLst>
              </c15:ser>
            </c15:filteredBarSeries>
          </c:ext>
        </c:extLst>
      </c:barChart>
      <c:lineChart>
        <c:grouping val="standard"/>
        <c:varyColors val="0"/>
        <c:ser>
          <c:idx val="5"/>
          <c:order val="5"/>
          <c:tx>
            <c:strRef>
              <c:f>Quadros!$Q$40</c:f>
              <c:strCache>
                <c:ptCount val="1"/>
                <c:pt idx="0">
                  <c:v>Avanço</c:v>
                </c:pt>
              </c:strCache>
            </c:strRef>
          </c:tx>
          <c:spPr>
            <a:ln w="28575" cap="rnd">
              <a:solidFill>
                <a:schemeClr val="accent6"/>
              </a:solidFill>
              <a:round/>
            </a:ln>
            <a:effectLst/>
          </c:spPr>
          <c:marker>
            <c:symbol val="none"/>
          </c:marker>
          <c:dLbls>
            <c:dLbl>
              <c:idx val="5"/>
              <c:layout>
                <c:manualLayout>
                  <c:x val="-9.0451735608148565E-2"/>
                  <c:y val="-6.52373710344136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D5-4C5F-842B-16278A688F65}"/>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Quadros!$T$34:$Y$34</c:f>
              <c:strCache>
                <c:ptCount val="6"/>
                <c:pt idx="1">
                  <c:v>PCTE 4/5</c:v>
                </c:pt>
                <c:pt idx="2">
                  <c:v>PCTE 06</c:v>
                </c:pt>
                <c:pt idx="3">
                  <c:v>PCTE 7/8</c:v>
                </c:pt>
                <c:pt idx="5">
                  <c:v>REG 02</c:v>
                </c:pt>
              </c:strCache>
            </c:strRef>
          </c:cat>
          <c:val>
            <c:numRef>
              <c:f>Quadros!$T$40:$Y$40</c:f>
              <c:numCache>
                <c:formatCode>0%</c:formatCode>
                <c:ptCount val="6"/>
                <c:pt idx="1">
                  <c:v>0.29199525037221097</c:v>
                </c:pt>
                <c:pt idx="2">
                  <c:v>0.21124014997688317</c:v>
                </c:pt>
                <c:pt idx="3">
                  <c:v>0.53047033668374699</c:v>
                </c:pt>
                <c:pt idx="5">
                  <c:v>0.33226667686997929</c:v>
                </c:pt>
              </c:numCache>
            </c:numRef>
          </c:val>
          <c:smooth val="0"/>
          <c:extLst>
            <c:ext xmlns:c16="http://schemas.microsoft.com/office/drawing/2014/chart" uri="{C3380CC4-5D6E-409C-BE32-E72D297353CC}">
              <c16:uniqueId val="{00000002-8BD5-4C5F-842B-16278A688F65}"/>
            </c:ext>
          </c:extLst>
        </c:ser>
        <c:dLbls>
          <c:showLegendKey val="0"/>
          <c:showVal val="0"/>
          <c:showCatName val="0"/>
          <c:showSerName val="0"/>
          <c:showPercent val="0"/>
          <c:showBubbleSize val="0"/>
        </c:dLbls>
        <c:marker val="1"/>
        <c:smooth val="0"/>
        <c:axId val="568632088"/>
        <c:axId val="252531448"/>
      </c:lineChart>
      <c:catAx>
        <c:axId val="1097868056"/>
        <c:scaling>
          <c:orientation val="minMax"/>
        </c:scaling>
        <c:delete val="0"/>
        <c:axPos val="b"/>
        <c:numFmt formatCode="General" sourceLinked="1"/>
        <c:majorTickMark val="none"/>
        <c:minorTickMark val="none"/>
        <c:tickLblPos val="nextTo"/>
        <c:spPr>
          <a:noFill/>
          <a:ln w="9525" cap="flat" cmpd="sng" algn="ctr">
            <a:solidFill>
              <a:srgbClr val="D4E3F4"/>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pt-BR"/>
          </a:p>
        </c:txPr>
        <c:crossAx val="1097869136"/>
        <c:crosses val="autoZero"/>
        <c:auto val="1"/>
        <c:lblAlgn val="ctr"/>
        <c:lblOffset val="100"/>
        <c:noMultiLvlLbl val="0"/>
      </c:catAx>
      <c:valAx>
        <c:axId val="109786913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pt-BR"/>
          </a:p>
        </c:txPr>
        <c:crossAx val="1097868056"/>
        <c:crosses val="autoZero"/>
        <c:crossBetween val="between"/>
      </c:valAx>
      <c:valAx>
        <c:axId val="252531448"/>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pt-BR"/>
          </a:p>
        </c:txPr>
        <c:crossAx val="568632088"/>
        <c:crosses val="max"/>
        <c:crossBetween val="between"/>
      </c:valAx>
      <c:catAx>
        <c:axId val="568632088"/>
        <c:scaling>
          <c:orientation val="minMax"/>
        </c:scaling>
        <c:delete val="1"/>
        <c:axPos val="b"/>
        <c:numFmt formatCode="General" sourceLinked="1"/>
        <c:majorTickMark val="none"/>
        <c:minorTickMark val="none"/>
        <c:tickLblPos val="nextTo"/>
        <c:crossAx val="252531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sz="800"/>
      </a:pPr>
      <a:endParaRPr lang="pt-BR"/>
    </a:p>
  </c:txPr>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Gráficos!$B$86</c:f>
          <c:strCache>
            <c:ptCount val="1"/>
            <c:pt idx="0">
              <c:v>Produção total - Terraplangem (S-1 a S-4)</c:v>
            </c:pt>
          </c:strCache>
        </c:strRef>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rgbClr val="1F497D"/>
              </a:solidFill>
              <a:latin typeface="+mn-lt"/>
              <a:ea typeface="+mn-ea"/>
              <a:cs typeface="+mn-cs"/>
            </a:defRPr>
          </a:pPr>
          <a:endParaRPr lang="pt-BR"/>
        </a:p>
      </c:txPr>
    </c:title>
    <c:autoTitleDeleted val="0"/>
    <c:plotArea>
      <c:layout>
        <c:manualLayout>
          <c:layoutTarget val="inner"/>
          <c:xMode val="edge"/>
          <c:yMode val="edge"/>
          <c:x val="4.5849360560830242E-2"/>
          <c:y val="0.29986722001370369"/>
          <c:w val="0.9025718127428386"/>
          <c:h val="0.37603085980754747"/>
        </c:manualLayout>
      </c:layout>
      <c:barChart>
        <c:barDir val="col"/>
        <c:grouping val="clustered"/>
        <c:varyColors val="0"/>
        <c:ser>
          <c:idx val="0"/>
          <c:order val="0"/>
          <c:tx>
            <c:strRef>
              <c:f>Gráficos!$D$88:$E$88</c:f>
              <c:strCache>
                <c:ptCount val="2"/>
              </c:strCache>
            </c:strRef>
          </c:tx>
          <c:spPr>
            <a:solidFill>
              <a:schemeClr val="accent1"/>
            </a:solidFill>
            <a:ln>
              <a:noFill/>
            </a:ln>
            <a:effectLst/>
          </c:spPr>
          <c:invertIfNegative val="0"/>
          <c:cat>
            <c:strRef>
              <c:f>Gráficos!$F$86:$I$86</c:f>
              <c:strCache>
                <c:ptCount val="4"/>
                <c:pt idx="0">
                  <c:v>06 a 12/07</c:v>
                </c:pt>
                <c:pt idx="1">
                  <c:v>29 a 05/07</c:v>
                </c:pt>
                <c:pt idx="2">
                  <c:v>22 a 28/06</c:v>
                </c:pt>
                <c:pt idx="3">
                  <c:v>15 a 21/06</c:v>
                </c:pt>
              </c:strCache>
            </c:strRef>
          </c:cat>
          <c:val>
            <c:numRef>
              <c:f>Gráficos!#REF!</c:f>
              <c:numCache>
                <c:formatCode>General</c:formatCode>
                <c:ptCount val="1"/>
                <c:pt idx="0">
                  <c:v>1</c:v>
                </c:pt>
              </c:numCache>
            </c:numRef>
          </c:val>
          <c:extLst>
            <c:ext xmlns:c16="http://schemas.microsoft.com/office/drawing/2014/chart" uri="{C3380CC4-5D6E-409C-BE32-E72D297353CC}">
              <c16:uniqueId val="{00000000-CB2D-44BF-9537-0A050F979961}"/>
            </c:ext>
          </c:extLst>
        </c:ser>
        <c:ser>
          <c:idx val="1"/>
          <c:order val="1"/>
          <c:tx>
            <c:strRef>
              <c:f>Gráficos!$D$89:$E$89</c:f>
              <c:strCache>
                <c:ptCount val="2"/>
                <c:pt idx="0">
                  <c:v>Previsto </c:v>
                </c:pt>
              </c:strCache>
            </c:strRef>
          </c:tx>
          <c:spPr>
            <a:solidFill>
              <a:srgbClr val="3578BC"/>
            </a:solidFill>
            <a:ln>
              <a:noFill/>
            </a:ln>
            <a:effectLst/>
          </c:spPr>
          <c:invertIfNegative val="0"/>
          <c:dLbls>
            <c:dLbl>
              <c:idx val="0"/>
              <c:layout>
                <c:manualLayout>
                  <c:x val="-2.83802878118731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56-486A-BE67-246DA628E4BF}"/>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Gráficos!$F$86:$I$86</c:f>
              <c:strCache>
                <c:ptCount val="4"/>
                <c:pt idx="0">
                  <c:v>06 a 12/07</c:v>
                </c:pt>
                <c:pt idx="1">
                  <c:v>29 a 05/07</c:v>
                </c:pt>
                <c:pt idx="2">
                  <c:v>22 a 28/06</c:v>
                </c:pt>
                <c:pt idx="3">
                  <c:v>15 a 21/06</c:v>
                </c:pt>
              </c:strCache>
            </c:strRef>
          </c:cat>
          <c:val>
            <c:numRef>
              <c:f>Gráficos!$F$89:$I$89</c:f>
              <c:numCache>
                <c:formatCode>#,##0</c:formatCode>
                <c:ptCount val="4"/>
                <c:pt idx="0">
                  <c:v>314155</c:v>
                </c:pt>
                <c:pt idx="1">
                  <c:v>273432</c:v>
                </c:pt>
                <c:pt idx="2">
                  <c:v>351609</c:v>
                </c:pt>
                <c:pt idx="3">
                  <c:v>264932</c:v>
                </c:pt>
              </c:numCache>
            </c:numRef>
          </c:val>
          <c:extLst>
            <c:ext xmlns:c16="http://schemas.microsoft.com/office/drawing/2014/chart" uri="{C3380CC4-5D6E-409C-BE32-E72D297353CC}">
              <c16:uniqueId val="{00000001-CB2D-44BF-9537-0A050F979961}"/>
            </c:ext>
          </c:extLst>
        </c:ser>
        <c:ser>
          <c:idx val="2"/>
          <c:order val="2"/>
          <c:tx>
            <c:strRef>
              <c:f>Gráficos!$D$90:$E$90</c:f>
              <c:strCache>
                <c:ptCount val="2"/>
                <c:pt idx="0">
                  <c:v>Realizado</c:v>
                </c:pt>
              </c:strCache>
            </c:strRef>
          </c:tx>
          <c:spPr>
            <a:solidFill>
              <a:srgbClr val="38986A"/>
            </a:solidFill>
            <a:ln>
              <a:noFill/>
            </a:ln>
            <a:effectLst/>
          </c:spPr>
          <c:invertIfNegative val="0"/>
          <c:dLbls>
            <c:dLbl>
              <c:idx val="0"/>
              <c:layout>
                <c:manualLayout>
                  <c:x val="1.9866201468311175E-2"/>
                  <c:y val="-2.576253297943314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56-486A-BE67-246DA628E4BF}"/>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Gráficos!$F$86:$I$86</c:f>
              <c:strCache>
                <c:ptCount val="4"/>
                <c:pt idx="0">
                  <c:v>06 a 12/07</c:v>
                </c:pt>
                <c:pt idx="1">
                  <c:v>29 a 05/07</c:v>
                </c:pt>
                <c:pt idx="2">
                  <c:v>22 a 28/06</c:v>
                </c:pt>
                <c:pt idx="3">
                  <c:v>15 a 21/06</c:v>
                </c:pt>
              </c:strCache>
            </c:strRef>
          </c:cat>
          <c:val>
            <c:numRef>
              <c:f>Gráficos!$F$90:$I$90</c:f>
              <c:numCache>
                <c:formatCode>#,##0</c:formatCode>
                <c:ptCount val="4"/>
                <c:pt idx="0">
                  <c:v>298057.56</c:v>
                </c:pt>
                <c:pt idx="1">
                  <c:v>316315.8</c:v>
                </c:pt>
                <c:pt idx="2">
                  <c:v>358541.83999999997</c:v>
                </c:pt>
                <c:pt idx="3">
                  <c:v>246473.84000000003</c:v>
                </c:pt>
              </c:numCache>
            </c:numRef>
          </c:val>
          <c:extLst>
            <c:ext xmlns:c16="http://schemas.microsoft.com/office/drawing/2014/chart" uri="{C3380CC4-5D6E-409C-BE32-E72D297353CC}">
              <c16:uniqueId val="{00000002-CB2D-44BF-9537-0A050F979961}"/>
            </c:ext>
          </c:extLst>
        </c:ser>
        <c:dLbls>
          <c:showLegendKey val="0"/>
          <c:showVal val="0"/>
          <c:showCatName val="0"/>
          <c:showSerName val="0"/>
          <c:showPercent val="0"/>
          <c:showBubbleSize val="0"/>
        </c:dLbls>
        <c:gapWidth val="219"/>
        <c:overlap val="-27"/>
        <c:axId val="1894632848"/>
        <c:axId val="1894626728"/>
      </c:barChart>
      <c:catAx>
        <c:axId val="1894632848"/>
        <c:scaling>
          <c:orientation val="minMax"/>
        </c:scaling>
        <c:delete val="0"/>
        <c:axPos val="b"/>
        <c:numFmt formatCode="General" sourceLinked="1"/>
        <c:majorTickMark val="none"/>
        <c:minorTickMark val="none"/>
        <c:tickLblPos val="nextTo"/>
        <c:spPr>
          <a:solidFill>
            <a:schemeClr val="bg1"/>
          </a:solidFill>
          <a:ln w="9525" cap="flat" cmpd="sng" algn="ctr">
            <a:solidFill>
              <a:srgbClr val="D4E3F4"/>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894626728"/>
        <c:crosses val="autoZero"/>
        <c:auto val="1"/>
        <c:lblAlgn val="ctr"/>
        <c:lblOffset val="100"/>
        <c:noMultiLvlLbl val="0"/>
      </c:catAx>
      <c:valAx>
        <c:axId val="1894626728"/>
        <c:scaling>
          <c:orientation val="minMax"/>
        </c:scaling>
        <c:delete val="1"/>
        <c:axPos val="l"/>
        <c:numFmt formatCode="General" sourceLinked="1"/>
        <c:majorTickMark val="none"/>
        <c:minorTickMark val="none"/>
        <c:tickLblPos val="nextTo"/>
        <c:crossAx val="1894632848"/>
        <c:crosses val="autoZero"/>
        <c:crossBetween val="between"/>
      </c:valAx>
      <c:spPr>
        <a:noFill/>
        <a:ln>
          <a:noFill/>
        </a:ln>
        <a:effectLst/>
      </c:spPr>
    </c:plotArea>
    <c:legend>
      <c:legendPos val="b"/>
      <c:legendEntry>
        <c:idx val="0"/>
        <c:delete val="1"/>
      </c:legendEntry>
      <c:layout>
        <c:manualLayout>
          <c:xMode val="edge"/>
          <c:yMode val="edge"/>
          <c:x val="0.38076263142686656"/>
          <c:y val="0.85345812496822682"/>
          <c:w val="0.29504191902589916"/>
          <c:h val="9.48547219783021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pt-BR" sz="1080" b="1"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Produção total -Terraplangem (S-1 a S-4)</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pt-BR" sz="1080" b="1" i="0" u="none" strike="noStrike" kern="1200" spc="0" baseline="0">
              <a:solidFill>
                <a:schemeClr val="accent6">
                  <a:lumMod val="75000"/>
                </a:schemeClr>
              </a:solidFill>
              <a:latin typeface="+mn-lt"/>
              <a:ea typeface="+mn-ea"/>
              <a:cs typeface="+mn-cs"/>
            </a:defRPr>
          </a:pPr>
          <a:endParaRPr lang="pt-BR"/>
        </a:p>
      </c:txPr>
    </c:title>
    <c:autoTitleDeleted val="0"/>
    <c:plotArea>
      <c:layout>
        <c:manualLayout>
          <c:layoutTarget val="inner"/>
          <c:xMode val="edge"/>
          <c:yMode val="edge"/>
          <c:x val="7.6709727616709966E-2"/>
          <c:y val="0.23712131405263009"/>
          <c:w val="0.86362715090362685"/>
          <c:h val="0.47053676387275867"/>
        </c:manualLayout>
      </c:layout>
      <c:barChart>
        <c:barDir val="col"/>
        <c:grouping val="clustered"/>
        <c:varyColors val="0"/>
        <c:ser>
          <c:idx val="1"/>
          <c:order val="0"/>
          <c:tx>
            <c:strRef>
              <c:f>Gráficos!$D$92:$E$92</c:f>
              <c:strCache>
                <c:ptCount val="2"/>
                <c:pt idx="0">
                  <c:v>Previsto </c:v>
                </c:pt>
              </c:strCache>
            </c:strRef>
          </c:tx>
          <c:spPr>
            <a:solidFill>
              <a:srgbClr val="3578BC"/>
            </a:solidFill>
            <a:ln>
              <a:noFill/>
            </a:ln>
            <a:effectLst/>
          </c:spPr>
          <c:invertIfNegative val="0"/>
          <c:dLbls>
            <c:dLbl>
              <c:idx val="3"/>
              <c:layout>
                <c:manualLayout>
                  <c:x val="-1.6102591895110315E-2"/>
                  <c:y val="-7.5614055461294821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8A-497E-93D7-830589A5D757}"/>
                </c:ext>
              </c:extLst>
            </c:dLbl>
            <c:numFmt formatCode="#,##0" sourceLinked="0"/>
            <c:spPr>
              <a:solidFill>
                <a:schemeClr val="accent1"/>
              </a:solid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Gráficos!$F$86:$I$86</c:f>
              <c:strCache>
                <c:ptCount val="4"/>
                <c:pt idx="0">
                  <c:v>06 a 12/07</c:v>
                </c:pt>
                <c:pt idx="1">
                  <c:v>29 a 05/07</c:v>
                </c:pt>
                <c:pt idx="2">
                  <c:v>22 a 28/06</c:v>
                </c:pt>
                <c:pt idx="3">
                  <c:v>15 a 21/06</c:v>
                </c:pt>
              </c:strCache>
            </c:strRef>
          </c:cat>
          <c:val>
            <c:numRef>
              <c:f>Gráficos!$F$92:$I$92</c:f>
              <c:numCache>
                <c:formatCode>#,##0</c:formatCode>
                <c:ptCount val="4"/>
                <c:pt idx="0">
                  <c:v>288876.39097744366</c:v>
                </c:pt>
                <c:pt idx="1">
                  <c:v>254894.07518796989</c:v>
                </c:pt>
                <c:pt idx="2">
                  <c:v>304655.63909774437</c:v>
                </c:pt>
                <c:pt idx="3">
                  <c:v>289786.4661654135</c:v>
                </c:pt>
              </c:numCache>
            </c:numRef>
          </c:val>
          <c:extLst>
            <c:ext xmlns:c16="http://schemas.microsoft.com/office/drawing/2014/chart" uri="{C3380CC4-5D6E-409C-BE32-E72D297353CC}">
              <c16:uniqueId val="{00000001-738A-497E-93D7-830589A5D757}"/>
            </c:ext>
          </c:extLst>
        </c:ser>
        <c:ser>
          <c:idx val="2"/>
          <c:order val="1"/>
          <c:tx>
            <c:strRef>
              <c:f>Gráficos!$D$93:$E$93</c:f>
              <c:strCache>
                <c:ptCount val="2"/>
                <c:pt idx="0">
                  <c:v>Realizado</c:v>
                </c:pt>
              </c:strCache>
            </c:strRef>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Gráficos!$F$86:$I$86</c:f>
              <c:strCache>
                <c:ptCount val="4"/>
                <c:pt idx="0">
                  <c:v>06 a 12/07</c:v>
                </c:pt>
                <c:pt idx="1">
                  <c:v>29 a 05/07</c:v>
                </c:pt>
                <c:pt idx="2">
                  <c:v>22 a 28/06</c:v>
                </c:pt>
                <c:pt idx="3">
                  <c:v>15 a 21/06</c:v>
                </c:pt>
              </c:strCache>
            </c:strRef>
          </c:cat>
          <c:val>
            <c:numRef>
              <c:f>Gráficos!$F$93:$I$93</c:f>
              <c:numCache>
                <c:formatCode>#,##0</c:formatCode>
                <c:ptCount val="4"/>
                <c:pt idx="0">
                  <c:v>203067.09</c:v>
                </c:pt>
                <c:pt idx="1">
                  <c:v>203679.13781954889</c:v>
                </c:pt>
                <c:pt idx="2">
                  <c:v>217779.77977443609</c:v>
                </c:pt>
                <c:pt idx="3">
                  <c:v>209442.61000000002</c:v>
                </c:pt>
              </c:numCache>
            </c:numRef>
          </c:val>
          <c:extLst xmlns:c15="http://schemas.microsoft.com/office/drawing/2012/chart">
            <c:ext xmlns:c16="http://schemas.microsoft.com/office/drawing/2014/chart" uri="{C3380CC4-5D6E-409C-BE32-E72D297353CC}">
              <c16:uniqueId val="{00000006-738A-497E-93D7-830589A5D757}"/>
            </c:ext>
          </c:extLst>
        </c:ser>
        <c:dLbls>
          <c:showLegendKey val="0"/>
          <c:showVal val="0"/>
          <c:showCatName val="0"/>
          <c:showSerName val="0"/>
          <c:showPercent val="0"/>
          <c:showBubbleSize val="0"/>
        </c:dLbls>
        <c:gapWidth val="219"/>
        <c:overlap val="-27"/>
        <c:axId val="688525880"/>
        <c:axId val="688528400"/>
        <c:extLst/>
      </c:barChart>
      <c:catAx>
        <c:axId val="688525880"/>
        <c:scaling>
          <c:orientation val="minMax"/>
        </c:scaling>
        <c:delete val="0"/>
        <c:axPos val="b"/>
        <c:numFmt formatCode="General" sourceLinked="1"/>
        <c:majorTickMark val="none"/>
        <c:minorTickMark val="none"/>
        <c:tickLblPos val="nextTo"/>
        <c:spPr>
          <a:noFill/>
          <a:ln w="9525" cap="flat" cmpd="sng" algn="ctr">
            <a:solidFill>
              <a:srgbClr val="D4E3F4"/>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pt-BR"/>
          </a:p>
        </c:txPr>
        <c:crossAx val="688528400"/>
        <c:crosses val="autoZero"/>
        <c:auto val="1"/>
        <c:lblAlgn val="ctr"/>
        <c:lblOffset val="100"/>
        <c:noMultiLvlLbl val="0"/>
      </c:catAx>
      <c:valAx>
        <c:axId val="688528400"/>
        <c:scaling>
          <c:orientation val="minMax"/>
        </c:scaling>
        <c:delete val="1"/>
        <c:axPos val="l"/>
        <c:numFmt formatCode="#,##0" sourceLinked="0"/>
        <c:majorTickMark val="none"/>
        <c:minorTickMark val="none"/>
        <c:tickLblPos val="nextTo"/>
        <c:crossAx val="688525880"/>
        <c:crosses val="autoZero"/>
        <c:crossBetween val="between"/>
      </c:valAx>
      <c:spPr>
        <a:noFill/>
        <a:ln>
          <a:noFill/>
        </a:ln>
        <a:effectLst/>
      </c:spPr>
    </c:plotArea>
    <c:legend>
      <c:legendPos val="b"/>
      <c:layout>
        <c:manualLayout>
          <c:xMode val="edge"/>
          <c:yMode val="edge"/>
          <c:x val="0.37724340719152016"/>
          <c:y val="0.85572446038580285"/>
          <c:w val="0.26255956804526431"/>
          <c:h val="8.806572741693340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pt-BR"/>
    </a:p>
  </c:tx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pt-BR" sz="1080" b="1" i="0" u="none" strike="noStrike" kern="1200" spc="0" baseline="0">
                <a:solidFill>
                  <a:srgbClr val="C00000"/>
                </a:solidFill>
                <a:latin typeface="+mn-lt"/>
                <a:ea typeface="+mn-ea"/>
                <a:cs typeface="+mn-cs"/>
              </a:defRPr>
            </a:pPr>
            <a:r>
              <a:rPr lang="en-US">
                <a:solidFill>
                  <a:srgbClr val="C00000"/>
                </a:solidFill>
              </a:rPr>
              <a:t>Produção total -Terraplangem (S-1 a S-4)</a:t>
            </a:r>
          </a:p>
        </c:rich>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pt-BR" sz="1080" b="1" i="0" u="none" strike="noStrike" kern="1200" spc="0" baseline="0">
              <a:solidFill>
                <a:srgbClr val="C00000"/>
              </a:solidFill>
              <a:latin typeface="+mn-lt"/>
              <a:ea typeface="+mn-ea"/>
              <a:cs typeface="+mn-cs"/>
            </a:defRPr>
          </a:pPr>
          <a:endParaRPr lang="pt-BR"/>
        </a:p>
      </c:txPr>
    </c:title>
    <c:autoTitleDeleted val="0"/>
    <c:plotArea>
      <c:layout>
        <c:manualLayout>
          <c:layoutTarget val="inner"/>
          <c:xMode val="edge"/>
          <c:yMode val="edge"/>
          <c:x val="7.1027525571027747E-2"/>
          <c:y val="0.23712131405263009"/>
          <c:w val="0.87215045397215007"/>
          <c:h val="0.48739970753193779"/>
        </c:manualLayout>
      </c:layout>
      <c:barChart>
        <c:barDir val="col"/>
        <c:grouping val="clustered"/>
        <c:varyColors val="0"/>
        <c:ser>
          <c:idx val="1"/>
          <c:order val="0"/>
          <c:tx>
            <c:strRef>
              <c:f>Gráficos!$D$95:$E$95</c:f>
              <c:strCache>
                <c:ptCount val="2"/>
                <c:pt idx="0">
                  <c:v>Previsto </c:v>
                </c:pt>
              </c:strCache>
            </c:strRef>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Gráficos!$F$86:$I$86</c:f>
              <c:strCache>
                <c:ptCount val="4"/>
                <c:pt idx="0">
                  <c:v>06 a 12/07</c:v>
                </c:pt>
                <c:pt idx="1">
                  <c:v>29 a 05/07</c:v>
                </c:pt>
                <c:pt idx="2">
                  <c:v>22 a 28/06</c:v>
                </c:pt>
                <c:pt idx="3">
                  <c:v>15 a 21/06</c:v>
                </c:pt>
              </c:strCache>
            </c:strRef>
          </c:cat>
          <c:val>
            <c:numRef>
              <c:f>Gráficos!$F$95:$I$95</c:f>
              <c:numCache>
                <c:formatCode>#,##0</c:formatCode>
                <c:ptCount val="4"/>
                <c:pt idx="0">
                  <c:v>75931.156385190843</c:v>
                </c:pt>
                <c:pt idx="1">
                  <c:v>96735.957209999993</c:v>
                </c:pt>
                <c:pt idx="2">
                  <c:v>98406</c:v>
                </c:pt>
                <c:pt idx="3">
                  <c:v>76279.803599999999</c:v>
                </c:pt>
              </c:numCache>
            </c:numRef>
          </c:val>
          <c:extLst>
            <c:ext xmlns:c16="http://schemas.microsoft.com/office/drawing/2014/chart" uri="{C3380CC4-5D6E-409C-BE32-E72D297353CC}">
              <c16:uniqueId val="{00000001-B2B4-4E73-B832-FDE5F50B962E}"/>
            </c:ext>
          </c:extLst>
        </c:ser>
        <c:ser>
          <c:idx val="2"/>
          <c:order val="1"/>
          <c:tx>
            <c:strRef>
              <c:f>Gráficos!$D$96:$E$96</c:f>
              <c:strCache>
                <c:ptCount val="2"/>
                <c:pt idx="0">
                  <c:v>Realizado</c:v>
                </c:pt>
              </c:strCache>
            </c:strRef>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Gráficos!$F$86:$I$86</c:f>
              <c:strCache>
                <c:ptCount val="4"/>
                <c:pt idx="0">
                  <c:v>06 a 12/07</c:v>
                </c:pt>
                <c:pt idx="1">
                  <c:v>29 a 05/07</c:v>
                </c:pt>
                <c:pt idx="2">
                  <c:v>22 a 28/06</c:v>
                </c:pt>
                <c:pt idx="3">
                  <c:v>15 a 21/06</c:v>
                </c:pt>
              </c:strCache>
            </c:strRef>
          </c:cat>
          <c:val>
            <c:numRef>
              <c:f>Gráficos!$F$96:$I$96</c:f>
              <c:numCache>
                <c:formatCode>#,##0</c:formatCode>
                <c:ptCount val="4"/>
                <c:pt idx="0">
                  <c:v>92685.567815186747</c:v>
                </c:pt>
                <c:pt idx="1">
                  <c:v>100493.50590337004</c:v>
                </c:pt>
                <c:pt idx="2">
                  <c:v>110515.21739775795</c:v>
                </c:pt>
                <c:pt idx="3">
                  <c:v>110095.33681192351</c:v>
                </c:pt>
              </c:numCache>
            </c:numRef>
          </c:val>
          <c:extLst xmlns:c15="http://schemas.microsoft.com/office/drawing/2012/chart">
            <c:ext xmlns:c16="http://schemas.microsoft.com/office/drawing/2014/chart" uri="{C3380CC4-5D6E-409C-BE32-E72D297353CC}">
              <c16:uniqueId val="{00000002-B2B4-4E73-B832-FDE5F50B962E}"/>
            </c:ext>
          </c:extLst>
        </c:ser>
        <c:dLbls>
          <c:dLblPos val="outEnd"/>
          <c:showLegendKey val="0"/>
          <c:showVal val="1"/>
          <c:showCatName val="0"/>
          <c:showSerName val="0"/>
          <c:showPercent val="0"/>
          <c:showBubbleSize val="0"/>
        </c:dLbls>
        <c:gapWidth val="219"/>
        <c:overlap val="-27"/>
        <c:axId val="688525880"/>
        <c:axId val="688528400"/>
        <c:extLst/>
      </c:barChart>
      <c:catAx>
        <c:axId val="688525880"/>
        <c:scaling>
          <c:orientation val="minMax"/>
        </c:scaling>
        <c:delete val="0"/>
        <c:axPos val="b"/>
        <c:numFmt formatCode="General" sourceLinked="1"/>
        <c:majorTickMark val="none"/>
        <c:minorTickMark val="none"/>
        <c:tickLblPos val="nextTo"/>
        <c:spPr>
          <a:noFill/>
          <a:ln w="9525" cap="flat" cmpd="sng" algn="ctr">
            <a:solidFill>
              <a:srgbClr val="D4E3F4"/>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pt-BR"/>
          </a:p>
        </c:txPr>
        <c:crossAx val="688528400"/>
        <c:crosses val="autoZero"/>
        <c:auto val="1"/>
        <c:lblAlgn val="ctr"/>
        <c:lblOffset val="100"/>
        <c:noMultiLvlLbl val="0"/>
      </c:catAx>
      <c:valAx>
        <c:axId val="688528400"/>
        <c:scaling>
          <c:orientation val="minMax"/>
        </c:scaling>
        <c:delete val="1"/>
        <c:axPos val="l"/>
        <c:numFmt formatCode="#,##0" sourceLinked="0"/>
        <c:majorTickMark val="none"/>
        <c:minorTickMark val="none"/>
        <c:tickLblPos val="nextTo"/>
        <c:crossAx val="688525880"/>
        <c:crosses val="autoZero"/>
        <c:crossBetween val="between"/>
      </c:valAx>
      <c:spPr>
        <a:noFill/>
        <a:ln>
          <a:noFill/>
        </a:ln>
        <a:effectLst/>
      </c:spPr>
    </c:plotArea>
    <c:legend>
      <c:legendPos val="b"/>
      <c:layout>
        <c:manualLayout>
          <c:xMode val="edge"/>
          <c:yMode val="edge"/>
          <c:x val="0.36587900310015575"/>
          <c:y val="0.86134544160552928"/>
          <c:w val="0.26255956804526431"/>
          <c:h val="8.806572741693340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pt-BR"/>
    </a:p>
  </c:txPr>
  <c:printSettings>
    <c:headerFooter/>
    <c:pageMargins b="0.78740157499999996" l="0.511811024" r="0.511811024" t="0.78740157499999996" header="0.31496062000000002" footer="0.31496062000000002"/>
    <c:pageSetup/>
  </c:printSettings>
  <c:userShapes r:id="rId4"/>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Gráficos!$B$104</c:f>
          <c:strCache>
            <c:ptCount val="1"/>
            <c:pt idx="0">
              <c:v>Produção total - Drenagem Superficial (S-1 a S-4)</c:v>
            </c:pt>
          </c:strCache>
        </c:strRef>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8.2743625555975475E-2"/>
          <c:y val="0.27668119610048736"/>
          <c:w val="0.84581125498440946"/>
          <c:h val="0.39921728533933259"/>
        </c:manualLayout>
      </c:layout>
      <c:barChart>
        <c:barDir val="col"/>
        <c:grouping val="clustered"/>
        <c:varyColors val="0"/>
        <c:ser>
          <c:idx val="0"/>
          <c:order val="0"/>
          <c:tx>
            <c:strRef>
              <c:f>Gráficos!$D$107</c:f>
              <c:strCache>
                <c:ptCount val="1"/>
                <c:pt idx="0">
                  <c:v>Previsto </c:v>
                </c:pt>
              </c:strCache>
            </c:strRef>
          </c:tx>
          <c:spPr>
            <a:solidFill>
              <a:srgbClr val="3578BC"/>
            </a:solidFill>
            <a:ln>
              <a:noFill/>
            </a:ln>
            <a:effectLst/>
          </c:spPr>
          <c:invertIfNegative val="0"/>
          <c:dLbls>
            <c:dLbl>
              <c:idx val="1"/>
              <c:layout>
                <c:manualLayout>
                  <c:x val="-1.135902455494648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AB-468B-BC89-70F7F1ACEDA0}"/>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Gráficos!$F$104:$I$104</c:f>
              <c:strCache>
                <c:ptCount val="4"/>
                <c:pt idx="0">
                  <c:v>06 a 12/07</c:v>
                </c:pt>
                <c:pt idx="1">
                  <c:v>29 a 05/07</c:v>
                </c:pt>
                <c:pt idx="2">
                  <c:v>22 a 28/06</c:v>
                </c:pt>
                <c:pt idx="3">
                  <c:v>15 a 21/06</c:v>
                </c:pt>
              </c:strCache>
            </c:strRef>
          </c:cat>
          <c:val>
            <c:numRef>
              <c:f>Gráficos!$F$107:$I$107</c:f>
              <c:numCache>
                <c:formatCode>#,##0</c:formatCode>
                <c:ptCount val="4"/>
                <c:pt idx="0">
                  <c:v>5455</c:v>
                </c:pt>
                <c:pt idx="1">
                  <c:v>5400</c:v>
                </c:pt>
                <c:pt idx="2">
                  <c:v>5200</c:v>
                </c:pt>
                <c:pt idx="3">
                  <c:v>4824</c:v>
                </c:pt>
              </c:numCache>
            </c:numRef>
          </c:val>
          <c:extLst>
            <c:ext xmlns:c16="http://schemas.microsoft.com/office/drawing/2014/chart" uri="{C3380CC4-5D6E-409C-BE32-E72D297353CC}">
              <c16:uniqueId val="{00000000-CB2D-44BF-9537-0A050F979961}"/>
            </c:ext>
          </c:extLst>
        </c:ser>
        <c:ser>
          <c:idx val="1"/>
          <c:order val="1"/>
          <c:tx>
            <c:strRef>
              <c:f>Gráficos!$D$108</c:f>
              <c:strCache>
                <c:ptCount val="1"/>
                <c:pt idx="0">
                  <c:v>Realizado</c:v>
                </c:pt>
              </c:strCache>
            </c:strRef>
          </c:tx>
          <c:spPr>
            <a:solidFill>
              <a:srgbClr val="38986A"/>
            </a:solidFill>
            <a:ln>
              <a:noFill/>
            </a:ln>
            <a:effectLst/>
          </c:spPr>
          <c:invertIfNegative val="0"/>
          <c:dLbls>
            <c:dLbl>
              <c:idx val="1"/>
              <c:layout>
                <c:manualLayout>
                  <c:x val="1.703853683241973E-2"/>
                  <c:y val="-5.142873632146275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AB-468B-BC89-70F7F1ACEDA0}"/>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Gráficos!$F$104:$I$104</c:f>
              <c:strCache>
                <c:ptCount val="4"/>
                <c:pt idx="0">
                  <c:v>06 a 12/07</c:v>
                </c:pt>
                <c:pt idx="1">
                  <c:v>29 a 05/07</c:v>
                </c:pt>
                <c:pt idx="2">
                  <c:v>22 a 28/06</c:v>
                </c:pt>
                <c:pt idx="3">
                  <c:v>15 a 21/06</c:v>
                </c:pt>
              </c:strCache>
            </c:strRef>
          </c:cat>
          <c:val>
            <c:numRef>
              <c:f>Gráficos!$F$108:$I$108</c:f>
              <c:numCache>
                <c:formatCode>#,##0</c:formatCode>
                <c:ptCount val="4"/>
                <c:pt idx="0">
                  <c:v>3800.2</c:v>
                </c:pt>
                <c:pt idx="1">
                  <c:v>2747</c:v>
                </c:pt>
                <c:pt idx="2">
                  <c:v>4007</c:v>
                </c:pt>
                <c:pt idx="3">
                  <c:v>3061</c:v>
                </c:pt>
              </c:numCache>
            </c:numRef>
          </c:val>
          <c:extLst>
            <c:ext xmlns:c16="http://schemas.microsoft.com/office/drawing/2014/chart" uri="{C3380CC4-5D6E-409C-BE32-E72D297353CC}">
              <c16:uniqueId val="{00000001-CB2D-44BF-9537-0A050F979961}"/>
            </c:ext>
          </c:extLst>
        </c:ser>
        <c:dLbls>
          <c:dLblPos val="outEnd"/>
          <c:showLegendKey val="0"/>
          <c:showVal val="1"/>
          <c:showCatName val="0"/>
          <c:showSerName val="0"/>
          <c:showPercent val="0"/>
          <c:showBubbleSize val="0"/>
        </c:dLbls>
        <c:gapWidth val="219"/>
        <c:overlap val="-27"/>
        <c:axId val="1894632848"/>
        <c:axId val="1894626728"/>
      </c:barChart>
      <c:catAx>
        <c:axId val="1894632848"/>
        <c:scaling>
          <c:orientation val="minMax"/>
        </c:scaling>
        <c:delete val="0"/>
        <c:axPos val="b"/>
        <c:numFmt formatCode="General" sourceLinked="1"/>
        <c:majorTickMark val="none"/>
        <c:minorTickMark val="none"/>
        <c:tickLblPos val="nextTo"/>
        <c:spPr>
          <a:solidFill>
            <a:schemeClr val="bg1"/>
          </a:solidFill>
          <a:ln w="9525" cap="flat" cmpd="sng" algn="ctr">
            <a:solidFill>
              <a:srgbClr val="D4E3F4"/>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894626728"/>
        <c:crosses val="autoZero"/>
        <c:auto val="1"/>
        <c:lblAlgn val="ctr"/>
        <c:lblOffset val="100"/>
        <c:noMultiLvlLbl val="0"/>
      </c:catAx>
      <c:valAx>
        <c:axId val="1894626728"/>
        <c:scaling>
          <c:orientation val="minMax"/>
        </c:scaling>
        <c:delete val="1"/>
        <c:axPos val="l"/>
        <c:numFmt formatCode="#,##0" sourceLinked="1"/>
        <c:majorTickMark val="none"/>
        <c:minorTickMark val="none"/>
        <c:tickLblPos val="nextTo"/>
        <c:crossAx val="189463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578BC"/>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Gráficos!$B$104</c:f>
          <c:strCache>
            <c:ptCount val="1"/>
            <c:pt idx="0">
              <c:v>Produção total - Drenagem Superficial (S-1 a S-4)</c:v>
            </c:pt>
          </c:strCache>
        </c:strRef>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chemeClr val="accent6">
                  <a:lumMod val="75000"/>
                </a:schemeClr>
              </a:solidFill>
              <a:latin typeface="+mn-lt"/>
              <a:ea typeface="+mn-ea"/>
              <a:cs typeface="+mn-cs"/>
            </a:defRPr>
          </a:pPr>
          <a:endParaRPr lang="pt-BR"/>
        </a:p>
      </c:txPr>
    </c:title>
    <c:autoTitleDeleted val="0"/>
    <c:plotArea>
      <c:layout>
        <c:manualLayout>
          <c:layoutTarget val="inner"/>
          <c:xMode val="edge"/>
          <c:yMode val="edge"/>
          <c:x val="8.2743625555975475E-2"/>
          <c:y val="0.27668119610048736"/>
          <c:w val="0.84581125498440946"/>
          <c:h val="0.39921728533933259"/>
        </c:manualLayout>
      </c:layout>
      <c:barChart>
        <c:barDir val="col"/>
        <c:grouping val="clustered"/>
        <c:varyColors val="0"/>
        <c:ser>
          <c:idx val="0"/>
          <c:order val="0"/>
          <c:tx>
            <c:strRef>
              <c:f>Gráficos!$D$110</c:f>
              <c:strCache>
                <c:ptCount val="1"/>
                <c:pt idx="0">
                  <c:v>Previsto </c:v>
                </c:pt>
              </c:strCache>
            </c:strRef>
          </c:tx>
          <c:spPr>
            <a:solidFill>
              <a:schemeClr val="accent1"/>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Gráficos!$F$104:$I$104</c:f>
              <c:strCache>
                <c:ptCount val="4"/>
                <c:pt idx="0">
                  <c:v>06 a 12/07</c:v>
                </c:pt>
                <c:pt idx="1">
                  <c:v>29 a 05/07</c:v>
                </c:pt>
                <c:pt idx="2">
                  <c:v>22 a 28/06</c:v>
                </c:pt>
                <c:pt idx="3">
                  <c:v>15 a 21/06</c:v>
                </c:pt>
              </c:strCache>
            </c:strRef>
          </c:cat>
          <c:val>
            <c:numRef>
              <c:f>Gráficos!$F$110:$I$110</c:f>
              <c:numCache>
                <c:formatCode>#,##0</c:formatCode>
                <c:ptCount val="4"/>
                <c:pt idx="0">
                  <c:v>2300</c:v>
                </c:pt>
                <c:pt idx="1">
                  <c:v>2340</c:v>
                </c:pt>
                <c:pt idx="2">
                  <c:v>3380</c:v>
                </c:pt>
                <c:pt idx="3">
                  <c:v>3250</c:v>
                </c:pt>
              </c:numCache>
            </c:numRef>
          </c:val>
          <c:extLst>
            <c:ext xmlns:c16="http://schemas.microsoft.com/office/drawing/2014/chart" uri="{C3380CC4-5D6E-409C-BE32-E72D297353CC}">
              <c16:uniqueId val="{00000001-F249-4754-A70B-A445CE218170}"/>
            </c:ext>
          </c:extLst>
        </c:ser>
        <c:ser>
          <c:idx val="1"/>
          <c:order val="1"/>
          <c:tx>
            <c:strRef>
              <c:f>Gráficos!$D$111</c:f>
              <c:strCache>
                <c:ptCount val="1"/>
                <c:pt idx="0">
                  <c:v>Realizado</c:v>
                </c:pt>
              </c:strCache>
            </c:strRef>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Gráficos!$F$104:$I$104</c:f>
              <c:strCache>
                <c:ptCount val="4"/>
                <c:pt idx="0">
                  <c:v>06 a 12/07</c:v>
                </c:pt>
                <c:pt idx="1">
                  <c:v>29 a 05/07</c:v>
                </c:pt>
                <c:pt idx="2">
                  <c:v>22 a 28/06</c:v>
                </c:pt>
                <c:pt idx="3">
                  <c:v>15 a 21/06</c:v>
                </c:pt>
              </c:strCache>
            </c:strRef>
          </c:cat>
          <c:val>
            <c:numRef>
              <c:f>Gráficos!$F$111:$I$111</c:f>
              <c:numCache>
                <c:formatCode>#,##0</c:formatCode>
                <c:ptCount val="4"/>
                <c:pt idx="0">
                  <c:v>1460</c:v>
                </c:pt>
                <c:pt idx="1">
                  <c:v>2009</c:v>
                </c:pt>
                <c:pt idx="2">
                  <c:v>2008</c:v>
                </c:pt>
                <c:pt idx="3">
                  <c:v>1784</c:v>
                </c:pt>
              </c:numCache>
            </c:numRef>
          </c:val>
          <c:extLst>
            <c:ext xmlns:c16="http://schemas.microsoft.com/office/drawing/2014/chart" uri="{C3380CC4-5D6E-409C-BE32-E72D297353CC}">
              <c16:uniqueId val="{00000003-F249-4754-A70B-A445CE218170}"/>
            </c:ext>
          </c:extLst>
        </c:ser>
        <c:dLbls>
          <c:dLblPos val="outEnd"/>
          <c:showLegendKey val="0"/>
          <c:showVal val="1"/>
          <c:showCatName val="0"/>
          <c:showSerName val="0"/>
          <c:showPercent val="0"/>
          <c:showBubbleSize val="0"/>
        </c:dLbls>
        <c:gapWidth val="219"/>
        <c:overlap val="-27"/>
        <c:axId val="1894632848"/>
        <c:axId val="1894626728"/>
      </c:barChart>
      <c:catAx>
        <c:axId val="1894632848"/>
        <c:scaling>
          <c:orientation val="minMax"/>
        </c:scaling>
        <c:delete val="0"/>
        <c:axPos val="b"/>
        <c:numFmt formatCode="General" sourceLinked="1"/>
        <c:majorTickMark val="none"/>
        <c:minorTickMark val="none"/>
        <c:tickLblPos val="nextTo"/>
        <c:spPr>
          <a:solidFill>
            <a:schemeClr val="bg1"/>
          </a:solidFill>
          <a:ln w="9525" cap="flat" cmpd="sng" algn="ctr">
            <a:solidFill>
              <a:srgbClr val="D4E3F4"/>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894626728"/>
        <c:crosses val="autoZero"/>
        <c:auto val="1"/>
        <c:lblAlgn val="ctr"/>
        <c:lblOffset val="100"/>
        <c:noMultiLvlLbl val="0"/>
      </c:catAx>
      <c:valAx>
        <c:axId val="1894626728"/>
        <c:scaling>
          <c:orientation val="minMax"/>
        </c:scaling>
        <c:delete val="1"/>
        <c:axPos val="l"/>
        <c:numFmt formatCode="#,##0" sourceLinked="1"/>
        <c:majorTickMark val="none"/>
        <c:minorTickMark val="none"/>
        <c:tickLblPos val="nextTo"/>
        <c:crossAx val="189463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578BC"/>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Gráficos!$B$104</c:f>
          <c:strCache>
            <c:ptCount val="1"/>
            <c:pt idx="0">
              <c:v>Produção total - Drenagem Superficial (S-1 a S-4)</c:v>
            </c:pt>
          </c:strCache>
        </c:strRef>
      </c:tx>
      <c:overlay val="0"/>
      <c:spPr>
        <a:solidFill>
          <a:schemeClr val="bg1">
            <a:lumMod val="95000"/>
          </a:schemeClr>
        </a:solidFill>
        <a:ln>
          <a:solidFill>
            <a:schemeClr val="bg1">
              <a:lumMod val="50000"/>
            </a:schemeClr>
          </a:solidFill>
        </a:ln>
        <a:effectLst/>
      </c:spPr>
      <c:txPr>
        <a:bodyPr rot="0" spcFirstLastPara="1" vertOverflow="ellipsis" vert="horz" wrap="square" anchor="ctr" anchorCtr="1"/>
        <a:lstStyle/>
        <a:p>
          <a:pPr algn="ctr" rtl="0">
            <a:defRPr lang="en-US" sz="1080" b="1" i="0" u="none" strike="noStrike" kern="1200" spc="0" baseline="0">
              <a:solidFill>
                <a:srgbClr val="C00000"/>
              </a:solidFill>
              <a:latin typeface="+mn-lt"/>
              <a:ea typeface="+mn-ea"/>
              <a:cs typeface="+mn-cs"/>
            </a:defRPr>
          </a:pPr>
          <a:endParaRPr lang="pt-BR"/>
        </a:p>
      </c:txPr>
    </c:title>
    <c:autoTitleDeleted val="0"/>
    <c:plotArea>
      <c:layout>
        <c:manualLayout>
          <c:layoutTarget val="inner"/>
          <c:xMode val="edge"/>
          <c:yMode val="edge"/>
          <c:x val="8.2743625555975475E-2"/>
          <c:y val="0.27668119610048736"/>
          <c:w val="0.84581125498440946"/>
          <c:h val="0.39921728533933259"/>
        </c:manualLayout>
      </c:layout>
      <c:barChart>
        <c:barDir val="col"/>
        <c:grouping val="clustered"/>
        <c:varyColors val="0"/>
        <c:ser>
          <c:idx val="0"/>
          <c:order val="0"/>
          <c:tx>
            <c:strRef>
              <c:f>Gráficos!$D$110</c:f>
              <c:strCache>
                <c:ptCount val="1"/>
                <c:pt idx="0">
                  <c:v>Previsto </c:v>
                </c:pt>
              </c:strCache>
            </c:strRef>
          </c:tx>
          <c:spPr>
            <a:solidFill>
              <a:schemeClr val="accent1"/>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Gráficos!$F$104:$I$104</c:f>
              <c:strCache>
                <c:ptCount val="4"/>
                <c:pt idx="0">
                  <c:v>06 a 12/07</c:v>
                </c:pt>
                <c:pt idx="1">
                  <c:v>29 a 05/07</c:v>
                </c:pt>
                <c:pt idx="2">
                  <c:v>22 a 28/06</c:v>
                </c:pt>
                <c:pt idx="3">
                  <c:v>15 a 21/06</c:v>
                </c:pt>
              </c:strCache>
            </c:strRef>
          </c:cat>
          <c:val>
            <c:numRef>
              <c:f>Gráficos!$F$113:$I$113</c:f>
              <c:numCache>
                <c:formatCode>#,##0</c:formatCode>
                <c:ptCount val="4"/>
                <c:pt idx="0">
                  <c:v>3267.9559999999992</c:v>
                </c:pt>
                <c:pt idx="1">
                  <c:v>2785.9790000000003</c:v>
                </c:pt>
                <c:pt idx="2">
                  <c:v>2400</c:v>
                </c:pt>
                <c:pt idx="3">
                  <c:v>1170.17</c:v>
                </c:pt>
              </c:numCache>
            </c:numRef>
          </c:val>
          <c:extLst>
            <c:ext xmlns:c16="http://schemas.microsoft.com/office/drawing/2014/chart" uri="{C3380CC4-5D6E-409C-BE32-E72D297353CC}">
              <c16:uniqueId val="{00000000-8CB9-48CA-B893-3B312F89E3DE}"/>
            </c:ext>
          </c:extLst>
        </c:ser>
        <c:ser>
          <c:idx val="1"/>
          <c:order val="1"/>
          <c:tx>
            <c:strRef>
              <c:f>Gráficos!$D$111</c:f>
              <c:strCache>
                <c:ptCount val="1"/>
                <c:pt idx="0">
                  <c:v>Realizado</c:v>
                </c:pt>
              </c:strCache>
            </c:strRef>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Gráficos!$F$104:$I$104</c:f>
              <c:strCache>
                <c:ptCount val="4"/>
                <c:pt idx="0">
                  <c:v>06 a 12/07</c:v>
                </c:pt>
                <c:pt idx="1">
                  <c:v>29 a 05/07</c:v>
                </c:pt>
                <c:pt idx="2">
                  <c:v>22 a 28/06</c:v>
                </c:pt>
                <c:pt idx="3">
                  <c:v>15 a 21/06</c:v>
                </c:pt>
              </c:strCache>
            </c:strRef>
          </c:cat>
          <c:val>
            <c:numRef>
              <c:f>Gráficos!$F$114:$I$114</c:f>
              <c:numCache>
                <c:formatCode>#,##0</c:formatCode>
                <c:ptCount val="4"/>
                <c:pt idx="0">
                  <c:v>3783</c:v>
                </c:pt>
                <c:pt idx="1">
                  <c:v>2036</c:v>
                </c:pt>
                <c:pt idx="2">
                  <c:v>2381</c:v>
                </c:pt>
                <c:pt idx="3">
                  <c:v>1699</c:v>
                </c:pt>
              </c:numCache>
            </c:numRef>
          </c:val>
          <c:extLst>
            <c:ext xmlns:c16="http://schemas.microsoft.com/office/drawing/2014/chart" uri="{C3380CC4-5D6E-409C-BE32-E72D297353CC}">
              <c16:uniqueId val="{00000001-8CB9-48CA-B893-3B312F89E3DE}"/>
            </c:ext>
          </c:extLst>
        </c:ser>
        <c:dLbls>
          <c:dLblPos val="outEnd"/>
          <c:showLegendKey val="0"/>
          <c:showVal val="1"/>
          <c:showCatName val="0"/>
          <c:showSerName val="0"/>
          <c:showPercent val="0"/>
          <c:showBubbleSize val="0"/>
        </c:dLbls>
        <c:gapWidth val="219"/>
        <c:overlap val="-27"/>
        <c:axId val="1894632848"/>
        <c:axId val="1894626728"/>
      </c:barChart>
      <c:catAx>
        <c:axId val="1894632848"/>
        <c:scaling>
          <c:orientation val="minMax"/>
        </c:scaling>
        <c:delete val="0"/>
        <c:axPos val="b"/>
        <c:numFmt formatCode="General" sourceLinked="1"/>
        <c:majorTickMark val="none"/>
        <c:minorTickMark val="none"/>
        <c:tickLblPos val="nextTo"/>
        <c:spPr>
          <a:solidFill>
            <a:schemeClr val="bg1"/>
          </a:solidFill>
          <a:ln w="9525" cap="flat" cmpd="sng" algn="ctr">
            <a:solidFill>
              <a:srgbClr val="D4E3F4"/>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BR"/>
          </a:p>
        </c:txPr>
        <c:crossAx val="1894626728"/>
        <c:crosses val="autoZero"/>
        <c:auto val="1"/>
        <c:lblAlgn val="ctr"/>
        <c:lblOffset val="100"/>
        <c:noMultiLvlLbl val="0"/>
      </c:catAx>
      <c:valAx>
        <c:axId val="1894626728"/>
        <c:scaling>
          <c:orientation val="minMax"/>
        </c:scaling>
        <c:delete val="1"/>
        <c:axPos val="l"/>
        <c:numFmt formatCode="#,##0" sourceLinked="1"/>
        <c:majorTickMark val="none"/>
        <c:minorTickMark val="none"/>
        <c:tickLblPos val="nextTo"/>
        <c:crossAx val="189463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578BC"/>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pt-BR" sz="1400" b="1" i="0" u="none" strike="noStrike" kern="1200" spc="0" baseline="0">
                <a:solidFill>
                  <a:schemeClr val="accent2">
                    <a:lumMod val="75000"/>
                  </a:schemeClr>
                </a:solidFill>
                <a:latin typeface="+mn-lt"/>
                <a:ea typeface="+mn-ea"/>
                <a:cs typeface="+mn-cs"/>
              </a:defRPr>
            </a:pPr>
            <a:r>
              <a:rPr lang="pt-BR" sz="1400" b="1" i="0" u="none" strike="noStrike" kern="1200" spc="0" baseline="0">
                <a:solidFill>
                  <a:schemeClr val="accent2">
                    <a:lumMod val="75000"/>
                  </a:schemeClr>
                </a:solidFill>
                <a:latin typeface="+mn-lt"/>
                <a:ea typeface="+mn-ea"/>
                <a:cs typeface="+mn-cs"/>
              </a:rPr>
              <a:t>Avanço físico por atividade (acumulado)</a:t>
            </a:r>
          </a:p>
        </c:rich>
      </c:tx>
      <c:overlay val="0"/>
      <c:spPr>
        <a:solidFill>
          <a:schemeClr val="bg1">
            <a:lumMod val="95000"/>
          </a:schemeClr>
        </a:solidFill>
        <a:ln>
          <a:solidFill>
            <a:schemeClr val="accent2">
              <a:lumMod val="50000"/>
            </a:schemeClr>
          </a:solidFill>
        </a:ln>
        <a:effectLst/>
      </c:spPr>
      <c:txPr>
        <a:bodyPr rot="0" spcFirstLastPara="1" vertOverflow="ellipsis" vert="horz" wrap="square" anchor="ctr" anchorCtr="1"/>
        <a:lstStyle/>
        <a:p>
          <a:pPr algn="ctr" rtl="0">
            <a:defRPr lang="pt-BR" sz="1400" b="1" i="0" u="none" strike="noStrike" kern="1200" spc="0" baseline="0">
              <a:solidFill>
                <a:schemeClr val="accent2">
                  <a:lumMod val="75000"/>
                </a:schemeClr>
              </a:solidFill>
              <a:latin typeface="+mn-lt"/>
              <a:ea typeface="+mn-ea"/>
              <a:cs typeface="+mn-cs"/>
            </a:defRPr>
          </a:pPr>
          <a:endParaRPr lang="pt-BR"/>
        </a:p>
      </c:txPr>
    </c:title>
    <c:autoTitleDeleted val="0"/>
    <c:plotArea>
      <c:layout>
        <c:manualLayout>
          <c:layoutTarget val="inner"/>
          <c:xMode val="edge"/>
          <c:yMode val="edge"/>
          <c:x val="2.5349802781437704E-2"/>
          <c:y val="0.22419539269975461"/>
          <c:w val="0.94469133938595407"/>
          <c:h val="0.5097984512628686"/>
        </c:manualLayout>
      </c:layout>
      <c:barChart>
        <c:barDir val="col"/>
        <c:grouping val="clustered"/>
        <c:varyColors val="0"/>
        <c:ser>
          <c:idx val="0"/>
          <c:order val="0"/>
          <c:tx>
            <c:v>Previsto</c:v>
          </c:tx>
          <c:spPr>
            <a:solidFill>
              <a:schemeClr val="accent1"/>
            </a:solidFill>
            <a:ln>
              <a:noFill/>
            </a:ln>
            <a:effectLst/>
          </c:spPr>
          <c:invertIfNegative val="0"/>
          <c:dLbls>
            <c:dLbl>
              <c:idx val="1"/>
              <c:layout>
                <c:manualLayout>
                  <c:x val="-4.6090550511704914E-3"/>
                  <c:y val="-1.86479844208571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65-4F99-8934-10752497D30A}"/>
                </c:ext>
              </c:extLst>
            </c:dLbl>
            <c:dLbl>
              <c:idx val="2"/>
              <c:layout>
                <c:manualLayout>
                  <c:x val="-1.3827165153511473E-2"/>
                  <c:y val="4.661996105214277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63-478F-A72D-84CC0DE0DBB0}"/>
                </c:ext>
              </c:extLst>
            </c:dLbl>
            <c:dLbl>
              <c:idx val="4"/>
              <c:layout>
                <c:manualLayout>
                  <c:x val="-2.0740747730267295E-2"/>
                  <c:y val="-4.661996105214277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63-478F-A72D-84CC0DE0DBB0}"/>
                </c:ext>
              </c:extLst>
            </c:dLbl>
            <c:dLbl>
              <c:idx val="5"/>
              <c:layout>
                <c:manualLayout>
                  <c:x val="-9.7188482598516979E-3"/>
                  <c:y val="-2.2378499724233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B9-42BC-AEB2-1252FA3676A5}"/>
                </c:ext>
              </c:extLst>
            </c:dLbl>
            <c:dLbl>
              <c:idx val="6"/>
              <c:layout>
                <c:manualLayout>
                  <c:x val="-9.7188482598516979E-3"/>
                  <c:y val="-2.2378499724233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B9-42BC-AEB2-1252FA3676A5}"/>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Gráficos!$D$168:$D$180</c15:sqref>
                  </c15:fullRef>
                </c:ext>
              </c:extLst>
              <c:f>(Gráficos!$D$168,Gráficos!$D$170,Gráficos!$D$172,Gráficos!$D$174,Gráficos!$D$176,Gráficos!$D$178,Gráficos!$D$180)</c:f>
              <c:strCache>
                <c:ptCount val="7"/>
                <c:pt idx="0">
                  <c:v>Blocos</c:v>
                </c:pt>
                <c:pt idx="1">
                  <c:v>Pilares</c:v>
                </c:pt>
                <c:pt idx="2">
                  <c:v>Travessa</c:v>
                </c:pt>
                <c:pt idx="3">
                  <c:v>Aduelas</c:v>
                </c:pt>
                <c:pt idx="4">
                  <c:v>Vigas 
Pré-Moldadas </c:v>
                </c:pt>
                <c:pt idx="5">
                  <c:v>Pré-moldados</c:v>
                </c:pt>
                <c:pt idx="6">
                  <c:v>Encontros</c:v>
                </c:pt>
              </c:strCache>
            </c:strRef>
          </c:cat>
          <c:val>
            <c:numRef>
              <c:extLst>
                <c:ext xmlns:c15="http://schemas.microsoft.com/office/drawing/2012/chart" uri="{02D57815-91ED-43cb-92C2-25804820EDAC}">
                  <c15:fullRef>
                    <c15:sqref>Gráficos!$L$168:$L$180</c15:sqref>
                  </c15:fullRef>
                </c:ext>
              </c:extLst>
              <c:f>(Gráficos!$L$168,Gráficos!$L$170,Gráficos!$L$172,Gráficos!$L$174,Gráficos!$L$176,Gráficos!$L$178,Gráficos!$L$180)</c:f>
              <c:numCache>
                <c:formatCode>0.00%</c:formatCode>
                <c:ptCount val="7"/>
                <c:pt idx="0">
                  <c:v>7.8533000000000006E-2</c:v>
                </c:pt>
                <c:pt idx="1">
                  <c:v>8.5011216867469874E-2</c:v>
                </c:pt>
                <c:pt idx="2">
                  <c:v>1.8955365079365079E-2</c:v>
                </c:pt>
                <c:pt idx="3">
                  <c:v>0.19112277777777781</c:v>
                </c:pt>
                <c:pt idx="4">
                  <c:v>9.4711351515151532E-2</c:v>
                </c:pt>
                <c:pt idx="5">
                  <c:v>4.4007326035965598E-2</c:v>
                </c:pt>
                <c:pt idx="6">
                  <c:v>6.5275000000000001E-4</c:v>
                </c:pt>
              </c:numCache>
            </c:numRef>
          </c:val>
          <c:extLst>
            <c:ext xmlns:c16="http://schemas.microsoft.com/office/drawing/2014/chart" uri="{C3380CC4-5D6E-409C-BE32-E72D297353CC}">
              <c16:uniqueId val="{00000000-6065-4F99-8934-10752497D30A}"/>
            </c:ext>
          </c:extLst>
        </c:ser>
        <c:ser>
          <c:idx val="1"/>
          <c:order val="1"/>
          <c:tx>
            <c:v>Real</c:v>
          </c:tx>
          <c:spPr>
            <a:solidFill>
              <a:srgbClr val="38986A"/>
            </a:solidFill>
            <a:ln>
              <a:noFill/>
            </a:ln>
            <a:effectLst/>
          </c:spPr>
          <c:invertIfNegative val="0"/>
          <c:dLbls>
            <c:dLbl>
              <c:idx val="1"/>
              <c:layout>
                <c:manualLayout>
                  <c:x val="1.1522637627926229E-2"/>
                  <c:y val="1.39859883156428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65-4F99-8934-10752497D30A}"/>
                </c:ext>
              </c:extLst>
            </c:dLbl>
            <c:dLbl>
              <c:idx val="2"/>
              <c:layout>
                <c:manualLayout>
                  <c:x val="1.2965708842284674E-2"/>
                  <c:y val="3.7250510564581959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63-478F-A72D-84CC0DE0DBB0}"/>
                </c:ext>
              </c:extLst>
            </c:dLbl>
            <c:dLbl>
              <c:idx val="4"/>
              <c:layout>
                <c:manualLayout>
                  <c:x val="5.0505869878242782E-3"/>
                  <c:y val="-2.2378499724233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63-478F-A72D-84CC0DE0DBB0}"/>
                </c:ext>
              </c:extLst>
            </c:dLbl>
            <c:dLbl>
              <c:idx val="6"/>
              <c:layout>
                <c:manualLayout>
                  <c:x val="3.8875393039405366E-3"/>
                  <c:y val="-1.34270998345400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B9-42BC-AEB2-1252FA3676A5}"/>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Gráficos!$D$168:$D$180</c15:sqref>
                  </c15:fullRef>
                </c:ext>
              </c:extLst>
              <c:f>(Gráficos!$D$168,Gráficos!$D$170,Gráficos!$D$172,Gráficos!$D$174,Gráficos!$D$176,Gráficos!$D$178,Gráficos!$D$180)</c:f>
              <c:strCache>
                <c:ptCount val="7"/>
                <c:pt idx="0">
                  <c:v>Blocos</c:v>
                </c:pt>
                <c:pt idx="1">
                  <c:v>Pilares</c:v>
                </c:pt>
                <c:pt idx="2">
                  <c:v>Travessa</c:v>
                </c:pt>
                <c:pt idx="3">
                  <c:v>Aduelas</c:v>
                </c:pt>
                <c:pt idx="4">
                  <c:v>Vigas 
Pré-Moldadas </c:v>
                </c:pt>
                <c:pt idx="5">
                  <c:v>Pré-moldados</c:v>
                </c:pt>
                <c:pt idx="6">
                  <c:v>Encontros</c:v>
                </c:pt>
              </c:strCache>
            </c:strRef>
          </c:cat>
          <c:val>
            <c:numRef>
              <c:extLst>
                <c:ext xmlns:c15="http://schemas.microsoft.com/office/drawing/2012/chart" uri="{02D57815-91ED-43cb-92C2-25804820EDAC}">
                  <c15:fullRef>
                    <c15:sqref>Gráficos!$N$168:$N$180</c15:sqref>
                  </c15:fullRef>
                </c:ext>
              </c:extLst>
              <c:f>(Gráficos!$N$168,Gráficos!$N$170,Gráficos!$N$172,Gráficos!$N$174,Gráficos!$N$176,Gráficos!$N$178,Gráficos!$N$180)</c:f>
              <c:numCache>
                <c:formatCode>0.00%</c:formatCode>
                <c:ptCount val="7"/>
                <c:pt idx="0">
                  <c:v>7.8533000000000006E-2</c:v>
                </c:pt>
                <c:pt idx="1">
                  <c:v>8.129487951807228E-2</c:v>
                </c:pt>
                <c:pt idx="2">
                  <c:v>9.9765079365079362E-3</c:v>
                </c:pt>
                <c:pt idx="3">
                  <c:v>9.0683935600000001E-2</c:v>
                </c:pt>
                <c:pt idx="4">
                  <c:v>9.0593466666666678E-2</c:v>
                </c:pt>
                <c:pt idx="5">
                  <c:v>2.7106707900000002E-2</c:v>
                </c:pt>
                <c:pt idx="6">
                  <c:v>6.5275000000000001E-4</c:v>
                </c:pt>
              </c:numCache>
            </c:numRef>
          </c:val>
          <c:extLst>
            <c:ext xmlns:c16="http://schemas.microsoft.com/office/drawing/2014/chart" uri="{C3380CC4-5D6E-409C-BE32-E72D297353CC}">
              <c16:uniqueId val="{00000001-6065-4F99-8934-10752497D30A}"/>
            </c:ext>
          </c:extLst>
        </c:ser>
        <c:dLbls>
          <c:dLblPos val="outEnd"/>
          <c:showLegendKey val="0"/>
          <c:showVal val="1"/>
          <c:showCatName val="0"/>
          <c:showSerName val="0"/>
          <c:showPercent val="0"/>
          <c:showBubbleSize val="0"/>
        </c:dLbls>
        <c:gapWidth val="219"/>
        <c:overlap val="-27"/>
        <c:axId val="1019392752"/>
        <c:axId val="1019393472"/>
      </c:barChart>
      <c:catAx>
        <c:axId val="10193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19393472"/>
        <c:crosses val="autoZero"/>
        <c:auto val="1"/>
        <c:lblAlgn val="ctr"/>
        <c:lblOffset val="100"/>
        <c:noMultiLvlLbl val="0"/>
      </c:catAx>
      <c:valAx>
        <c:axId val="1019393472"/>
        <c:scaling>
          <c:orientation val="minMax"/>
        </c:scaling>
        <c:delete val="1"/>
        <c:axPos val="l"/>
        <c:numFmt formatCode="0.00%" sourceLinked="1"/>
        <c:majorTickMark val="none"/>
        <c:minorTickMark val="none"/>
        <c:tickLblPos val="nextTo"/>
        <c:crossAx val="1019392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pt-BR" sz="1400" b="1" i="0" u="none" strike="noStrike" kern="1200" spc="0" baseline="0">
                <a:solidFill>
                  <a:schemeClr val="accent2">
                    <a:lumMod val="75000"/>
                  </a:schemeClr>
                </a:solidFill>
                <a:latin typeface="+mn-lt"/>
                <a:ea typeface="+mn-ea"/>
                <a:cs typeface="+mn-cs"/>
              </a:defRPr>
            </a:pPr>
            <a:r>
              <a:rPr lang="pt-BR" sz="1400" b="1" i="0" u="none" strike="noStrike" kern="1200" spc="0" baseline="0">
                <a:solidFill>
                  <a:schemeClr val="accent2">
                    <a:lumMod val="75000"/>
                  </a:schemeClr>
                </a:solidFill>
                <a:latin typeface="+mn-lt"/>
                <a:ea typeface="+mn-ea"/>
                <a:cs typeface="+mn-cs"/>
              </a:rPr>
              <a:t>Avanço físico total </a:t>
            </a:r>
          </a:p>
        </c:rich>
      </c:tx>
      <c:overlay val="0"/>
      <c:spPr>
        <a:solidFill>
          <a:schemeClr val="bg1">
            <a:lumMod val="95000"/>
          </a:schemeClr>
        </a:solidFill>
        <a:ln>
          <a:solidFill>
            <a:schemeClr val="accent2">
              <a:lumMod val="50000"/>
            </a:schemeClr>
          </a:solidFill>
        </a:ln>
        <a:effectLst/>
      </c:spPr>
      <c:txPr>
        <a:bodyPr rot="0" spcFirstLastPara="1" vertOverflow="ellipsis" vert="horz" wrap="square" anchor="ctr" anchorCtr="1"/>
        <a:lstStyle/>
        <a:p>
          <a:pPr algn="ctr" rtl="0">
            <a:defRPr lang="pt-BR" sz="1400" b="1" i="0" u="none" strike="noStrike" kern="1200" spc="0" baseline="0">
              <a:solidFill>
                <a:schemeClr val="accent2">
                  <a:lumMod val="75000"/>
                </a:schemeClr>
              </a:solidFill>
              <a:latin typeface="+mn-lt"/>
              <a:ea typeface="+mn-ea"/>
              <a:cs typeface="+mn-cs"/>
            </a:defRPr>
          </a:pPr>
          <a:endParaRPr lang="pt-BR"/>
        </a:p>
      </c:txPr>
    </c:title>
    <c:autoTitleDeleted val="0"/>
    <c:plotArea>
      <c:layout>
        <c:manualLayout>
          <c:layoutTarget val="inner"/>
          <c:xMode val="edge"/>
          <c:yMode val="edge"/>
          <c:x val="0.25207718786661576"/>
          <c:y val="0.28353086941279193"/>
          <c:w val="0.49205736144436779"/>
          <c:h val="0.45046319180270633"/>
        </c:manualLayout>
      </c:layout>
      <c:barChart>
        <c:barDir val="col"/>
        <c:grouping val="clustered"/>
        <c:varyColors val="0"/>
        <c:ser>
          <c:idx val="0"/>
          <c:order val="0"/>
          <c:tx>
            <c:v>Previsto</c:v>
          </c:tx>
          <c:spPr>
            <a:solidFill>
              <a:schemeClr val="accent1"/>
            </a:solidFill>
            <a:ln>
              <a:noFill/>
            </a:ln>
            <a:effectLst/>
          </c:spPr>
          <c:invertIfNegative val="0"/>
          <c:dLbls>
            <c:dLbl>
              <c:idx val="0"/>
              <c:spPr>
                <a:solidFill>
                  <a:srgbClr val="3578BC"/>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layout>
                    <c:manualLayout>
                      <c:w val="0.26950845385555783"/>
                      <c:h val="7.3088072479568639E-2"/>
                    </c:manualLayout>
                  </c15:layout>
                </c:ext>
                <c:ext xmlns:c16="http://schemas.microsoft.com/office/drawing/2014/chart" uri="{C3380CC4-5D6E-409C-BE32-E72D297353CC}">
                  <c16:uniqueId val="{00000002-D231-491A-BFB9-208939053832}"/>
                </c:ext>
              </c:extLst>
            </c:dLbl>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Acumulado</c:v>
              </c:pt>
            </c:strLit>
          </c:cat>
          <c:val>
            <c:numRef>
              <c:f>Gráficos!$L$194</c:f>
              <c:numCache>
                <c:formatCode>0.00%</c:formatCode>
                <c:ptCount val="1"/>
                <c:pt idx="0">
                  <c:v>0.51299378727572986</c:v>
                </c:pt>
              </c:numCache>
            </c:numRef>
          </c:val>
          <c:extLst>
            <c:ext xmlns:c16="http://schemas.microsoft.com/office/drawing/2014/chart" uri="{C3380CC4-5D6E-409C-BE32-E72D297353CC}">
              <c16:uniqueId val="{00000000-D231-491A-BFB9-208939053832}"/>
            </c:ext>
          </c:extLst>
        </c:ser>
        <c:ser>
          <c:idx val="1"/>
          <c:order val="1"/>
          <c:tx>
            <c:v>Realizado</c:v>
          </c:tx>
          <c:spPr>
            <a:solidFill>
              <a:srgbClr val="38986A"/>
            </a:solidFill>
            <a:ln>
              <a:noFill/>
            </a:ln>
            <a:effectLst/>
          </c:spPr>
          <c:invertIfNegative val="0"/>
          <c:dLbls>
            <c:dLbl>
              <c:idx val="0"/>
              <c:spPr>
                <a:solidFill>
                  <a:srgbClr val="38986A"/>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layout>
                    <c:manualLayout>
                      <c:w val="0.24225785184791801"/>
                      <c:h val="7.7754738411327282E-2"/>
                    </c:manualLayout>
                  </c15:layout>
                </c:ext>
                <c:ext xmlns:c16="http://schemas.microsoft.com/office/drawing/2014/chart" uri="{C3380CC4-5D6E-409C-BE32-E72D297353CC}">
                  <c16:uniqueId val="{00000003-D231-491A-BFB9-208939053832}"/>
                </c:ext>
              </c:extLst>
            </c:dLbl>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Acumulado</c:v>
              </c:pt>
            </c:strLit>
          </c:cat>
          <c:val>
            <c:numRef>
              <c:f>Gráficos!$N$194</c:f>
              <c:numCache>
                <c:formatCode>0.00%</c:formatCode>
                <c:ptCount val="1"/>
                <c:pt idx="0">
                  <c:v>0.37884124762124688</c:v>
                </c:pt>
              </c:numCache>
            </c:numRef>
          </c:val>
          <c:extLst>
            <c:ext xmlns:c16="http://schemas.microsoft.com/office/drawing/2014/chart" uri="{C3380CC4-5D6E-409C-BE32-E72D297353CC}">
              <c16:uniqueId val="{00000001-D231-491A-BFB9-208939053832}"/>
            </c:ext>
          </c:extLst>
        </c:ser>
        <c:dLbls>
          <c:dLblPos val="outEnd"/>
          <c:showLegendKey val="0"/>
          <c:showVal val="1"/>
          <c:showCatName val="0"/>
          <c:showSerName val="0"/>
          <c:showPercent val="0"/>
          <c:showBubbleSize val="0"/>
        </c:dLbls>
        <c:gapWidth val="219"/>
        <c:overlap val="-27"/>
        <c:axId val="1019392752"/>
        <c:axId val="1019393472"/>
      </c:barChart>
      <c:catAx>
        <c:axId val="10193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19393472"/>
        <c:crosses val="autoZero"/>
        <c:auto val="1"/>
        <c:lblAlgn val="ctr"/>
        <c:lblOffset val="100"/>
        <c:noMultiLvlLbl val="0"/>
      </c:catAx>
      <c:valAx>
        <c:axId val="1019393472"/>
        <c:scaling>
          <c:orientation val="minMax"/>
        </c:scaling>
        <c:delete val="1"/>
        <c:axPos val="l"/>
        <c:numFmt formatCode="0.00%" sourceLinked="1"/>
        <c:majorTickMark val="none"/>
        <c:minorTickMark val="none"/>
        <c:tickLblPos val="nextTo"/>
        <c:crossAx val="1019392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pt-BR" b="1">
                <a:solidFill>
                  <a:schemeClr val="accent2">
                    <a:lumMod val="75000"/>
                  </a:schemeClr>
                </a:solidFill>
              </a:rPr>
              <a:t>Pacote</a:t>
            </a:r>
            <a:r>
              <a:rPr lang="pt-BR" b="1" baseline="0">
                <a:solidFill>
                  <a:schemeClr val="accent2">
                    <a:lumMod val="75000"/>
                  </a:schemeClr>
                </a:solidFill>
              </a:rPr>
              <a:t> 07 - </a:t>
            </a:r>
            <a:r>
              <a:rPr lang="pt-BR" b="1">
                <a:solidFill>
                  <a:schemeClr val="accent2">
                    <a:lumMod val="75000"/>
                  </a:schemeClr>
                </a:solidFill>
              </a:rPr>
              <a:t>Produção Ponte</a:t>
            </a:r>
            <a:r>
              <a:rPr lang="pt-BR" b="1" baseline="0">
                <a:solidFill>
                  <a:schemeClr val="accent2">
                    <a:lumMod val="75000"/>
                  </a:schemeClr>
                </a:solidFill>
              </a:rPr>
              <a:t> do Rio Araguaia</a:t>
            </a:r>
            <a:endParaRPr lang="pt-BR" b="1">
              <a:solidFill>
                <a:schemeClr val="accent2">
                  <a:lumMod val="75000"/>
                </a:schemeClr>
              </a:solidFill>
            </a:endParaRPr>
          </a:p>
        </c:rich>
      </c:tx>
      <c:layout>
        <c:manualLayout>
          <c:xMode val="edge"/>
          <c:yMode val="edge"/>
          <c:x val="0.37948260785593407"/>
          <c:y val="2.2334510336967033E-2"/>
        </c:manualLayout>
      </c:layout>
      <c:overlay val="0"/>
      <c:spPr>
        <a:solidFill>
          <a:schemeClr val="bg1">
            <a:lumMod val="95000"/>
          </a:schemeClr>
        </a:solidFill>
        <a:ln>
          <a:solidFill>
            <a:schemeClr val="accent2">
              <a:lumMod val="50000"/>
            </a:schemeClr>
          </a:solidFill>
        </a:ln>
        <a:effectLst/>
      </c:spPr>
    </c:title>
    <c:autoTitleDeleted val="0"/>
    <c:plotArea>
      <c:layout>
        <c:manualLayout>
          <c:layoutTarget val="inner"/>
          <c:xMode val="edge"/>
          <c:yMode val="edge"/>
          <c:x val="1.8988623033326546E-2"/>
          <c:y val="0.30069593439841447"/>
          <c:w val="0.96312721361030496"/>
          <c:h val="0.50147076424298209"/>
        </c:manualLayout>
      </c:layout>
      <c:barChart>
        <c:barDir val="col"/>
        <c:grouping val="clustered"/>
        <c:varyColors val="0"/>
        <c:ser>
          <c:idx val="11"/>
          <c:order val="0"/>
          <c:tx>
            <c:v>Previsto</c:v>
          </c:tx>
          <c:invertIfNegative val="0"/>
          <c:cat>
            <c:multiLvlStrRef>
              <c:f>Gráficos!$F$137:$I$138</c:f>
              <c:multiLvlStrCache>
                <c:ptCount val="4"/>
                <c:lvl>
                  <c:pt idx="0">
                    <c:v>S-1</c:v>
                  </c:pt>
                  <c:pt idx="1">
                    <c:v>S-2</c:v>
                  </c:pt>
                  <c:pt idx="2">
                    <c:v>S-3</c:v>
                  </c:pt>
                  <c:pt idx="3">
                    <c:v>S-4</c:v>
                  </c:pt>
                </c:lvl>
                <c:lvl>
                  <c:pt idx="0">
                    <c:v>06 a 12/07</c:v>
                  </c:pt>
                  <c:pt idx="1">
                    <c:v>29 a 05/07</c:v>
                  </c:pt>
                  <c:pt idx="2">
                    <c:v>22 a 28/06</c:v>
                  </c:pt>
                  <c:pt idx="3">
                    <c:v>15 a 21/06</c:v>
                  </c:pt>
                </c:lvl>
              </c:multiLvlStrCache>
            </c:multiLvlStrRef>
          </c:cat>
          <c:val>
            <c:numRef>
              <c:f>Gráficos!$F$140:$I$140</c:f>
              <c:numCache>
                <c:formatCode>#,##0</c:formatCode>
                <c:ptCount val="4"/>
                <c:pt idx="0">
                  <c:v>6</c:v>
                </c:pt>
                <c:pt idx="1">
                  <c:v>7</c:v>
                </c:pt>
                <c:pt idx="2">
                  <c:v>8</c:v>
                </c:pt>
                <c:pt idx="3">
                  <c:v>8</c:v>
                </c:pt>
              </c:numCache>
            </c:numRef>
          </c:val>
          <c:extLst>
            <c:ext xmlns:c16="http://schemas.microsoft.com/office/drawing/2014/chart" uri="{C3380CC4-5D6E-409C-BE32-E72D297353CC}">
              <c16:uniqueId val="{0000001A-404B-4286-A6B4-65A15162AEDC}"/>
            </c:ext>
          </c:extLst>
        </c:ser>
        <c:ser>
          <c:idx val="12"/>
          <c:order val="1"/>
          <c:tx>
            <c:v>Realizado</c:v>
          </c:tx>
          <c:spPr>
            <a:solidFill>
              <a:srgbClr val="38986A"/>
            </a:solidFill>
          </c:spPr>
          <c:invertIfNegative val="0"/>
          <c:cat>
            <c:multiLvlStrRef>
              <c:f>Gráficos!$F$137:$I$138</c:f>
              <c:multiLvlStrCache>
                <c:ptCount val="4"/>
                <c:lvl>
                  <c:pt idx="0">
                    <c:v>S-1</c:v>
                  </c:pt>
                  <c:pt idx="1">
                    <c:v>S-2</c:v>
                  </c:pt>
                  <c:pt idx="2">
                    <c:v>S-3</c:v>
                  </c:pt>
                  <c:pt idx="3">
                    <c:v>S-4</c:v>
                  </c:pt>
                </c:lvl>
                <c:lvl>
                  <c:pt idx="0">
                    <c:v>06 a 12/07</c:v>
                  </c:pt>
                  <c:pt idx="1">
                    <c:v>29 a 05/07</c:v>
                  </c:pt>
                  <c:pt idx="2">
                    <c:v>22 a 28/06</c:v>
                  </c:pt>
                  <c:pt idx="3">
                    <c:v>15 a 21/06</c:v>
                  </c:pt>
                </c:lvl>
              </c:multiLvlStrCache>
            </c:multiLvlStrRef>
          </c:cat>
          <c:val>
            <c:numRef>
              <c:f>Gráficos!$F$141:$I$141</c:f>
              <c:numCache>
                <c:formatCode>#,##0</c:formatCode>
                <c:ptCount val="4"/>
                <c:pt idx="0">
                  <c:v>7</c:v>
                </c:pt>
                <c:pt idx="1">
                  <c:v>7</c:v>
                </c:pt>
                <c:pt idx="2">
                  <c:v>7</c:v>
                </c:pt>
                <c:pt idx="3">
                  <c:v>7</c:v>
                </c:pt>
              </c:numCache>
            </c:numRef>
          </c:val>
          <c:extLst>
            <c:ext xmlns:c16="http://schemas.microsoft.com/office/drawing/2014/chart" uri="{C3380CC4-5D6E-409C-BE32-E72D297353CC}">
              <c16:uniqueId val="{0000001B-404B-4286-A6B4-65A15162AEDC}"/>
            </c:ext>
          </c:extLst>
        </c:ser>
        <c:ser>
          <c:idx val="13"/>
          <c:order val="2"/>
          <c:tx>
            <c:v>P. Travessas</c:v>
          </c:tx>
          <c:spPr>
            <a:solidFill>
              <a:srgbClr val="3578BC"/>
            </a:solidFill>
          </c:spPr>
          <c:invertIfNegative val="0"/>
          <c:val>
            <c:numRef>
              <c:f>Gráficos!$F$143:$I$143</c:f>
              <c:numCache>
                <c:formatCode>#,##0</c:formatCode>
                <c:ptCount val="4"/>
                <c:pt idx="0">
                  <c:v>1.5</c:v>
                </c:pt>
                <c:pt idx="1">
                  <c:v>1.5</c:v>
                </c:pt>
                <c:pt idx="2">
                  <c:v>2</c:v>
                </c:pt>
                <c:pt idx="3">
                  <c:v>1.5</c:v>
                </c:pt>
              </c:numCache>
            </c:numRef>
          </c:val>
          <c:extLst>
            <c:ext xmlns:c16="http://schemas.microsoft.com/office/drawing/2014/chart" uri="{C3380CC4-5D6E-409C-BE32-E72D297353CC}">
              <c16:uniqueId val="{0000001C-404B-4286-A6B4-65A15162AEDC}"/>
            </c:ext>
          </c:extLst>
        </c:ser>
        <c:ser>
          <c:idx val="14"/>
          <c:order val="3"/>
          <c:tx>
            <c:v>R. Travessas</c:v>
          </c:tx>
          <c:spPr>
            <a:solidFill>
              <a:srgbClr val="38986A"/>
            </a:solidFill>
          </c:spPr>
          <c:invertIfNegative val="0"/>
          <c:val>
            <c:numRef>
              <c:f>Gráficos!$F$144:$I$144</c:f>
              <c:numCache>
                <c:formatCode>#,##0</c:formatCode>
                <c:ptCount val="4"/>
                <c:pt idx="0">
                  <c:v>2</c:v>
                </c:pt>
                <c:pt idx="1">
                  <c:v>2</c:v>
                </c:pt>
                <c:pt idx="2">
                  <c:v>1.5</c:v>
                </c:pt>
                <c:pt idx="3">
                  <c:v>2.5</c:v>
                </c:pt>
              </c:numCache>
            </c:numRef>
          </c:val>
          <c:extLst>
            <c:ext xmlns:c16="http://schemas.microsoft.com/office/drawing/2014/chart" uri="{C3380CC4-5D6E-409C-BE32-E72D297353CC}">
              <c16:uniqueId val="{0000001D-404B-4286-A6B4-65A15162AEDC}"/>
            </c:ext>
          </c:extLst>
        </c:ser>
        <c:ser>
          <c:idx val="15"/>
          <c:order val="4"/>
          <c:tx>
            <c:v>P. Aduelas</c:v>
          </c:tx>
          <c:spPr>
            <a:solidFill>
              <a:srgbClr val="3578BC"/>
            </a:solidFill>
          </c:spPr>
          <c:invertIfNegative val="0"/>
          <c:val>
            <c:numRef>
              <c:f>Gráficos!$F$146:$I$146</c:f>
              <c:numCache>
                <c:formatCode>#,##0</c:formatCode>
                <c:ptCount val="4"/>
                <c:pt idx="0">
                  <c:v>4</c:v>
                </c:pt>
                <c:pt idx="1">
                  <c:v>0</c:v>
                </c:pt>
                <c:pt idx="2">
                  <c:v>0</c:v>
                </c:pt>
                <c:pt idx="3">
                  <c:v>4</c:v>
                </c:pt>
              </c:numCache>
            </c:numRef>
          </c:val>
          <c:extLst>
            <c:ext xmlns:c16="http://schemas.microsoft.com/office/drawing/2014/chart" uri="{C3380CC4-5D6E-409C-BE32-E72D297353CC}">
              <c16:uniqueId val="{0000001E-404B-4286-A6B4-65A15162AEDC}"/>
            </c:ext>
          </c:extLst>
        </c:ser>
        <c:ser>
          <c:idx val="16"/>
          <c:order val="5"/>
          <c:tx>
            <c:v>R. Aduelas</c:v>
          </c:tx>
          <c:spPr>
            <a:solidFill>
              <a:srgbClr val="38986A"/>
            </a:solidFill>
          </c:spPr>
          <c:invertIfNegative val="0"/>
          <c:val>
            <c:numRef>
              <c:f>Gráficos!$F$147:$I$147</c:f>
              <c:numCache>
                <c:formatCode>#,##0</c:formatCode>
                <c:ptCount val="4"/>
                <c:pt idx="0">
                  <c:v>1</c:v>
                </c:pt>
                <c:pt idx="1">
                  <c:v>1</c:v>
                </c:pt>
                <c:pt idx="2">
                  <c:v>2.333333333333333</c:v>
                </c:pt>
                <c:pt idx="3">
                  <c:v>1.9999999999999998</c:v>
                </c:pt>
              </c:numCache>
            </c:numRef>
          </c:val>
          <c:extLst>
            <c:ext xmlns:c16="http://schemas.microsoft.com/office/drawing/2014/chart" uri="{C3380CC4-5D6E-409C-BE32-E72D297353CC}">
              <c16:uniqueId val="{0000001F-404B-4286-A6B4-65A15162AEDC}"/>
            </c:ext>
          </c:extLst>
        </c:ser>
        <c:ser>
          <c:idx val="17"/>
          <c:order val="6"/>
          <c:tx>
            <c:v>P. Vigas</c:v>
          </c:tx>
          <c:spPr>
            <a:solidFill>
              <a:srgbClr val="3578BC"/>
            </a:solidFill>
          </c:spPr>
          <c:invertIfNegative val="0"/>
          <c:val>
            <c:numRef>
              <c:f>Gráficos!$F$149:$I$149</c:f>
              <c:numCache>
                <c:formatCode>#,##0</c:formatCode>
                <c:ptCount val="4"/>
                <c:pt idx="0">
                  <c:v>1</c:v>
                </c:pt>
                <c:pt idx="1">
                  <c:v>2</c:v>
                </c:pt>
                <c:pt idx="2">
                  <c:v>2</c:v>
                </c:pt>
                <c:pt idx="3">
                  <c:v>3</c:v>
                </c:pt>
              </c:numCache>
            </c:numRef>
          </c:val>
          <c:extLst>
            <c:ext xmlns:c16="http://schemas.microsoft.com/office/drawing/2014/chart" uri="{C3380CC4-5D6E-409C-BE32-E72D297353CC}">
              <c16:uniqueId val="{00000020-404B-4286-A6B4-65A15162AEDC}"/>
            </c:ext>
          </c:extLst>
        </c:ser>
        <c:ser>
          <c:idx val="18"/>
          <c:order val="7"/>
          <c:tx>
            <c:v>R. Vigas</c:v>
          </c:tx>
          <c:spPr>
            <a:solidFill>
              <a:srgbClr val="38986A"/>
            </a:solidFill>
          </c:spPr>
          <c:invertIfNegative val="0"/>
          <c:val>
            <c:numRef>
              <c:f>Gráficos!$F$150:$I$150</c:f>
              <c:numCache>
                <c:formatCode>#,##0</c:formatCode>
                <c:ptCount val="4"/>
                <c:pt idx="0">
                  <c:v>1</c:v>
                </c:pt>
                <c:pt idx="1">
                  <c:v>2</c:v>
                </c:pt>
                <c:pt idx="2">
                  <c:v>2</c:v>
                </c:pt>
                <c:pt idx="3">
                  <c:v>2</c:v>
                </c:pt>
              </c:numCache>
            </c:numRef>
          </c:val>
          <c:extLst>
            <c:ext xmlns:c16="http://schemas.microsoft.com/office/drawing/2014/chart" uri="{C3380CC4-5D6E-409C-BE32-E72D297353CC}">
              <c16:uniqueId val="{00000021-404B-4286-A6B4-65A15162AEDC}"/>
            </c:ext>
          </c:extLst>
        </c:ser>
        <c:ser>
          <c:idx val="19"/>
          <c:order val="8"/>
          <c:tx>
            <c:v>P.Pré-moldados</c:v>
          </c:tx>
          <c:spPr>
            <a:solidFill>
              <a:srgbClr val="3578BC"/>
            </a:solidFill>
          </c:spPr>
          <c:invertIfNegative val="0"/>
          <c:val>
            <c:numRef>
              <c:f>Gráficos!$F$152:$I$152</c:f>
              <c:numCache>
                <c:formatCode>#,##0</c:formatCode>
                <c:ptCount val="4"/>
                <c:pt idx="0">
                  <c:v>189</c:v>
                </c:pt>
                <c:pt idx="1">
                  <c:v>161</c:v>
                </c:pt>
                <c:pt idx="2">
                  <c:v>189</c:v>
                </c:pt>
                <c:pt idx="3">
                  <c:v>159</c:v>
                </c:pt>
              </c:numCache>
            </c:numRef>
          </c:val>
          <c:extLst>
            <c:ext xmlns:c16="http://schemas.microsoft.com/office/drawing/2014/chart" uri="{C3380CC4-5D6E-409C-BE32-E72D297353CC}">
              <c16:uniqueId val="{00000022-404B-4286-A6B4-65A15162AEDC}"/>
            </c:ext>
          </c:extLst>
        </c:ser>
        <c:ser>
          <c:idx val="20"/>
          <c:order val="9"/>
          <c:tx>
            <c:v>R. Pré-moldados</c:v>
          </c:tx>
          <c:spPr>
            <a:solidFill>
              <a:srgbClr val="38986A"/>
            </a:solidFill>
          </c:spPr>
          <c:invertIfNegative val="0"/>
          <c:val>
            <c:numRef>
              <c:f>Gráficos!$F$153:$I$153</c:f>
              <c:numCache>
                <c:formatCode>#,##0</c:formatCode>
                <c:ptCount val="4"/>
                <c:pt idx="0">
                  <c:v>151</c:v>
                </c:pt>
                <c:pt idx="1">
                  <c:v>136</c:v>
                </c:pt>
                <c:pt idx="2">
                  <c:v>162</c:v>
                </c:pt>
                <c:pt idx="3">
                  <c:v>175</c:v>
                </c:pt>
              </c:numCache>
            </c:numRef>
          </c:val>
          <c:extLst>
            <c:ext xmlns:c16="http://schemas.microsoft.com/office/drawing/2014/chart" uri="{C3380CC4-5D6E-409C-BE32-E72D297353CC}">
              <c16:uniqueId val="{00000023-404B-4286-A6B4-65A15162AEDC}"/>
            </c:ext>
          </c:extLst>
        </c:ser>
        <c:ser>
          <c:idx val="21"/>
          <c:order val="10"/>
          <c:tx>
            <c:strRef>
              <c:f>Gráficos!$D$156</c:f>
              <c:strCache>
                <c:ptCount val="1"/>
                <c:pt idx="0">
                  <c:v>Aderência </c:v>
                </c:pt>
              </c:strCache>
            </c:strRef>
          </c:tx>
          <c:spPr>
            <a:ln>
              <a:solidFill>
                <a:srgbClr val="FF9900"/>
              </a:solidFill>
            </a:ln>
          </c:spPr>
          <c:invertIfNegative val="0"/>
          <c:val>
            <c:numRef>
              <c:f>Gráficos!$F$156:$I$156</c:f>
              <c:numCache>
                <c:formatCode>0%</c:formatCode>
                <c:ptCount val="4"/>
                <c:pt idx="0">
                  <c:v>0.79894179894179895</c:v>
                </c:pt>
                <c:pt idx="1">
                  <c:v>0.84472049689440998</c:v>
                </c:pt>
                <c:pt idx="2">
                  <c:v>0.8571428571428571</c:v>
                </c:pt>
                <c:pt idx="3">
                  <c:v>1.10062893081761</c:v>
                </c:pt>
              </c:numCache>
            </c:numRef>
          </c:val>
          <c:extLst>
            <c:ext xmlns:c16="http://schemas.microsoft.com/office/drawing/2014/chart" uri="{C3380CC4-5D6E-409C-BE32-E72D297353CC}">
              <c16:uniqueId val="{00000024-404B-4286-A6B4-65A15162AEDC}"/>
            </c:ext>
          </c:extLst>
        </c:ser>
        <c:ser>
          <c:idx val="0"/>
          <c:order val="11"/>
          <c:tx>
            <c:v>Previsto</c:v>
          </c:tx>
          <c:spPr>
            <a:solidFill>
              <a:schemeClr val="accent1"/>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Gráficos!$F$137:$I$138</c:f>
              <c:multiLvlStrCache>
                <c:ptCount val="4"/>
                <c:lvl>
                  <c:pt idx="0">
                    <c:v>S-1</c:v>
                  </c:pt>
                  <c:pt idx="1">
                    <c:v>S-2</c:v>
                  </c:pt>
                  <c:pt idx="2">
                    <c:v>S-3</c:v>
                  </c:pt>
                  <c:pt idx="3">
                    <c:v>S-4</c:v>
                  </c:pt>
                </c:lvl>
                <c:lvl>
                  <c:pt idx="0">
                    <c:v>06 a 12/07</c:v>
                  </c:pt>
                  <c:pt idx="1">
                    <c:v>29 a 05/07</c:v>
                  </c:pt>
                  <c:pt idx="2">
                    <c:v>22 a 28/06</c:v>
                  </c:pt>
                  <c:pt idx="3">
                    <c:v>15 a 21/06</c:v>
                  </c:pt>
                </c:lvl>
              </c:multiLvlStrCache>
            </c:multiLvlStrRef>
          </c:cat>
          <c:val>
            <c:numRef>
              <c:f>Gráficos!$F$140:$I$140</c:f>
              <c:numCache>
                <c:formatCode>#,##0</c:formatCode>
                <c:ptCount val="4"/>
                <c:pt idx="0">
                  <c:v>6</c:v>
                </c:pt>
                <c:pt idx="1">
                  <c:v>7</c:v>
                </c:pt>
                <c:pt idx="2">
                  <c:v>8</c:v>
                </c:pt>
                <c:pt idx="3">
                  <c:v>8</c:v>
                </c:pt>
              </c:numCache>
            </c:numRef>
          </c:val>
          <c:extLst>
            <c:ext xmlns:c16="http://schemas.microsoft.com/office/drawing/2014/chart" uri="{C3380CC4-5D6E-409C-BE32-E72D297353CC}">
              <c16:uniqueId val="{00000005-404B-4286-A6B4-65A15162AEDC}"/>
            </c:ext>
          </c:extLst>
        </c:ser>
        <c:ser>
          <c:idx val="1"/>
          <c:order val="12"/>
          <c:tx>
            <c:v>Realizado</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Gráficos!$F$137:$I$138</c:f>
              <c:multiLvlStrCache>
                <c:ptCount val="4"/>
                <c:lvl>
                  <c:pt idx="0">
                    <c:v>S-1</c:v>
                  </c:pt>
                  <c:pt idx="1">
                    <c:v>S-2</c:v>
                  </c:pt>
                  <c:pt idx="2">
                    <c:v>S-3</c:v>
                  </c:pt>
                  <c:pt idx="3">
                    <c:v>S-4</c:v>
                  </c:pt>
                </c:lvl>
                <c:lvl>
                  <c:pt idx="0">
                    <c:v>06 a 12/07</c:v>
                  </c:pt>
                  <c:pt idx="1">
                    <c:v>29 a 05/07</c:v>
                  </c:pt>
                  <c:pt idx="2">
                    <c:v>22 a 28/06</c:v>
                  </c:pt>
                  <c:pt idx="3">
                    <c:v>15 a 21/06</c:v>
                  </c:pt>
                </c:lvl>
              </c:multiLvlStrCache>
            </c:multiLvlStrRef>
          </c:cat>
          <c:val>
            <c:numRef>
              <c:f>Gráficos!$F$141:$I$141</c:f>
              <c:numCache>
                <c:formatCode>#,##0</c:formatCode>
                <c:ptCount val="4"/>
                <c:pt idx="0">
                  <c:v>7</c:v>
                </c:pt>
                <c:pt idx="1">
                  <c:v>7</c:v>
                </c:pt>
                <c:pt idx="2">
                  <c:v>7</c:v>
                </c:pt>
                <c:pt idx="3">
                  <c:v>7</c:v>
                </c:pt>
              </c:numCache>
            </c:numRef>
          </c:val>
          <c:extLst>
            <c:ext xmlns:c16="http://schemas.microsoft.com/office/drawing/2014/chart" uri="{C3380CC4-5D6E-409C-BE32-E72D297353CC}">
              <c16:uniqueId val="{00000007-404B-4286-A6B4-65A15162AEDC}"/>
            </c:ext>
          </c:extLst>
        </c:ser>
        <c:ser>
          <c:idx val="2"/>
          <c:order val="13"/>
          <c:tx>
            <c:v>P. Travessas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Gráficos!$F$143:$I$143</c:f>
              <c:numCache>
                <c:formatCode>#,##0</c:formatCode>
                <c:ptCount val="4"/>
                <c:pt idx="0">
                  <c:v>1.5</c:v>
                </c:pt>
                <c:pt idx="1">
                  <c:v>1.5</c:v>
                </c:pt>
                <c:pt idx="2">
                  <c:v>2</c:v>
                </c:pt>
                <c:pt idx="3">
                  <c:v>1.5</c:v>
                </c:pt>
              </c:numCache>
            </c:numRef>
          </c:val>
          <c:extLst>
            <c:ext xmlns:c16="http://schemas.microsoft.com/office/drawing/2014/chart" uri="{C3380CC4-5D6E-409C-BE32-E72D297353CC}">
              <c16:uniqueId val="{00000009-404B-4286-A6B4-65A15162AEDC}"/>
            </c:ext>
          </c:extLst>
        </c:ser>
        <c:ser>
          <c:idx val="3"/>
          <c:order val="14"/>
          <c:tx>
            <c:v>R. Travessas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Gráficos!$F$144:$I$144</c:f>
              <c:numCache>
                <c:formatCode>#,##0</c:formatCode>
                <c:ptCount val="4"/>
                <c:pt idx="0">
                  <c:v>2</c:v>
                </c:pt>
                <c:pt idx="1">
                  <c:v>2</c:v>
                </c:pt>
                <c:pt idx="2">
                  <c:v>1.5</c:v>
                </c:pt>
                <c:pt idx="3">
                  <c:v>2.5</c:v>
                </c:pt>
              </c:numCache>
            </c:numRef>
          </c:val>
          <c:extLst>
            <c:ext xmlns:c16="http://schemas.microsoft.com/office/drawing/2014/chart" uri="{C3380CC4-5D6E-409C-BE32-E72D297353CC}">
              <c16:uniqueId val="{0000000B-404B-4286-A6B4-65A15162AEDC}"/>
            </c:ext>
          </c:extLst>
        </c:ser>
        <c:ser>
          <c:idx val="4"/>
          <c:order val="15"/>
          <c:tx>
            <c:v>P. Aduelas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Gráficos!$F$146:$I$146</c:f>
              <c:numCache>
                <c:formatCode>#,##0</c:formatCode>
                <c:ptCount val="4"/>
                <c:pt idx="0">
                  <c:v>4</c:v>
                </c:pt>
                <c:pt idx="1">
                  <c:v>0</c:v>
                </c:pt>
                <c:pt idx="2">
                  <c:v>0</c:v>
                </c:pt>
                <c:pt idx="3">
                  <c:v>4</c:v>
                </c:pt>
              </c:numCache>
            </c:numRef>
          </c:val>
          <c:extLst>
            <c:ext xmlns:c16="http://schemas.microsoft.com/office/drawing/2014/chart" uri="{C3380CC4-5D6E-409C-BE32-E72D297353CC}">
              <c16:uniqueId val="{0000000D-404B-4286-A6B4-65A15162AEDC}"/>
            </c:ext>
          </c:extLst>
        </c:ser>
        <c:ser>
          <c:idx val="5"/>
          <c:order val="16"/>
          <c:tx>
            <c:v>R. Aduelas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Gráficos!$F$147:$I$147</c:f>
              <c:numCache>
                <c:formatCode>#,##0</c:formatCode>
                <c:ptCount val="4"/>
                <c:pt idx="0">
                  <c:v>1</c:v>
                </c:pt>
                <c:pt idx="1">
                  <c:v>1</c:v>
                </c:pt>
                <c:pt idx="2">
                  <c:v>2.333333333333333</c:v>
                </c:pt>
                <c:pt idx="3">
                  <c:v>1.9999999999999998</c:v>
                </c:pt>
              </c:numCache>
            </c:numRef>
          </c:val>
          <c:extLst>
            <c:ext xmlns:c16="http://schemas.microsoft.com/office/drawing/2014/chart" uri="{C3380CC4-5D6E-409C-BE32-E72D297353CC}">
              <c16:uniqueId val="{0000000F-404B-4286-A6B4-65A15162AEDC}"/>
            </c:ext>
          </c:extLst>
        </c:ser>
        <c:ser>
          <c:idx val="6"/>
          <c:order val="17"/>
          <c:tx>
            <c:v>P. Vigas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Gráficos!$F$149:$I$149</c:f>
              <c:numCache>
                <c:formatCode>#,##0</c:formatCode>
                <c:ptCount val="4"/>
                <c:pt idx="0">
                  <c:v>1</c:v>
                </c:pt>
                <c:pt idx="1">
                  <c:v>2</c:v>
                </c:pt>
                <c:pt idx="2">
                  <c:v>2</c:v>
                </c:pt>
                <c:pt idx="3">
                  <c:v>3</c:v>
                </c:pt>
              </c:numCache>
            </c:numRef>
          </c:val>
          <c:extLst>
            <c:ext xmlns:c16="http://schemas.microsoft.com/office/drawing/2014/chart" uri="{C3380CC4-5D6E-409C-BE32-E72D297353CC}">
              <c16:uniqueId val="{00000011-404B-4286-A6B4-65A15162AEDC}"/>
            </c:ext>
          </c:extLst>
        </c:ser>
        <c:ser>
          <c:idx val="7"/>
          <c:order val="18"/>
          <c:tx>
            <c:v>R. Vigas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Gráficos!$F$150:$I$150</c:f>
              <c:numCache>
                <c:formatCode>#,##0</c:formatCode>
                <c:ptCount val="4"/>
                <c:pt idx="0">
                  <c:v>1</c:v>
                </c:pt>
                <c:pt idx="1">
                  <c:v>2</c:v>
                </c:pt>
                <c:pt idx="2">
                  <c:v>2</c:v>
                </c:pt>
                <c:pt idx="3">
                  <c:v>2</c:v>
                </c:pt>
              </c:numCache>
            </c:numRef>
          </c:val>
          <c:extLst>
            <c:ext xmlns:c16="http://schemas.microsoft.com/office/drawing/2014/chart" uri="{C3380CC4-5D6E-409C-BE32-E72D297353CC}">
              <c16:uniqueId val="{00000013-404B-4286-A6B4-65A15162AEDC}"/>
            </c:ext>
          </c:extLst>
        </c:ser>
        <c:ser>
          <c:idx val="8"/>
          <c:order val="19"/>
          <c:tx>
            <c:v>P.Pré-moldados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Gráficos!$F$152:$I$152</c:f>
              <c:numCache>
                <c:formatCode>#,##0</c:formatCode>
                <c:ptCount val="4"/>
                <c:pt idx="0">
                  <c:v>189</c:v>
                </c:pt>
                <c:pt idx="1">
                  <c:v>161</c:v>
                </c:pt>
                <c:pt idx="2">
                  <c:v>189</c:v>
                </c:pt>
                <c:pt idx="3">
                  <c:v>159</c:v>
                </c:pt>
              </c:numCache>
            </c:numRef>
          </c:val>
          <c:extLst>
            <c:ext xmlns:c16="http://schemas.microsoft.com/office/drawing/2014/chart" uri="{C3380CC4-5D6E-409C-BE32-E72D297353CC}">
              <c16:uniqueId val="{00000015-404B-4286-A6B4-65A15162AEDC}"/>
            </c:ext>
          </c:extLst>
        </c:ser>
        <c:ser>
          <c:idx val="9"/>
          <c:order val="20"/>
          <c:tx>
            <c:v>R. Pré-moldados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Gráficos!$F$153:$I$153</c:f>
              <c:numCache>
                <c:formatCode>#,##0</c:formatCode>
                <c:ptCount val="4"/>
                <c:pt idx="0">
                  <c:v>151</c:v>
                </c:pt>
                <c:pt idx="1">
                  <c:v>136</c:v>
                </c:pt>
                <c:pt idx="2">
                  <c:v>162</c:v>
                </c:pt>
                <c:pt idx="3">
                  <c:v>175</c:v>
                </c:pt>
              </c:numCache>
            </c:numRef>
          </c:val>
          <c:extLst>
            <c:ext xmlns:c16="http://schemas.microsoft.com/office/drawing/2014/chart" uri="{C3380CC4-5D6E-409C-BE32-E72D297353CC}">
              <c16:uniqueId val="{00000017-404B-4286-A6B4-65A15162AEDC}"/>
            </c:ext>
          </c:extLst>
        </c:ser>
        <c:dLbls>
          <c:showLegendKey val="0"/>
          <c:showVal val="0"/>
          <c:showCatName val="0"/>
          <c:showSerName val="0"/>
          <c:showPercent val="0"/>
          <c:showBubbleSize val="0"/>
        </c:dLbls>
        <c:gapWidth val="219"/>
        <c:axId val="231572663"/>
        <c:axId val="231563663"/>
      </c:barChart>
      <c:lineChart>
        <c:grouping val="standard"/>
        <c:varyColors val="0"/>
        <c:ser>
          <c:idx val="10"/>
          <c:order val="21"/>
          <c:tx>
            <c:strRef>
              <c:f>Gráficos!$D$156</c:f>
              <c:strCache>
                <c:ptCount val="1"/>
                <c:pt idx="0">
                  <c:v>Aderência </c:v>
                </c:pt>
              </c:strCache>
            </c:strRef>
          </c:tx>
          <c:spPr>
            <a:ln w="28575" cap="rnd">
              <a:solidFill>
                <a:srgbClr val="FF9900"/>
              </a:solidFill>
              <a:round/>
            </a:ln>
            <a:effectLst/>
          </c:spPr>
          <c:marker>
            <c:symbol val="none"/>
          </c:marker>
          <c:dLbls>
            <c:spPr>
              <a:solidFill>
                <a:srgbClr val="FF99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Gráficos!$F$156:$I$156</c:f>
              <c:numCache>
                <c:formatCode>0%</c:formatCode>
                <c:ptCount val="4"/>
                <c:pt idx="0">
                  <c:v>0.79894179894179895</c:v>
                </c:pt>
                <c:pt idx="1">
                  <c:v>0.84472049689440998</c:v>
                </c:pt>
                <c:pt idx="2">
                  <c:v>0.8571428571428571</c:v>
                </c:pt>
                <c:pt idx="3">
                  <c:v>1.10062893081761</c:v>
                </c:pt>
              </c:numCache>
            </c:numRef>
          </c:val>
          <c:smooth val="0"/>
          <c:extLst>
            <c:ext xmlns:c16="http://schemas.microsoft.com/office/drawing/2014/chart" uri="{C3380CC4-5D6E-409C-BE32-E72D297353CC}">
              <c16:uniqueId val="{00000019-404B-4286-A6B4-65A15162AEDC}"/>
            </c:ext>
          </c:extLst>
        </c:ser>
        <c:dLbls>
          <c:showLegendKey val="0"/>
          <c:showVal val="0"/>
          <c:showCatName val="0"/>
          <c:showSerName val="0"/>
          <c:showPercent val="0"/>
          <c:showBubbleSize val="0"/>
        </c:dLbls>
        <c:marker val="1"/>
        <c:smooth val="0"/>
        <c:axId val="1371498536"/>
        <c:axId val="1371498896"/>
      </c:lineChart>
      <c:catAx>
        <c:axId val="2315726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pt-BR"/>
          </a:p>
        </c:txPr>
        <c:crossAx val="231563663"/>
        <c:crosses val="autoZero"/>
        <c:auto val="1"/>
        <c:lblAlgn val="ctr"/>
        <c:lblOffset val="100"/>
        <c:noMultiLvlLbl val="0"/>
      </c:catAx>
      <c:valAx>
        <c:axId val="23156366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1572663"/>
        <c:crosses val="autoZero"/>
        <c:crossBetween val="between"/>
      </c:valAx>
      <c:valAx>
        <c:axId val="13714988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71498536"/>
        <c:crosses val="max"/>
        <c:crossBetween val="between"/>
      </c:valAx>
      <c:catAx>
        <c:axId val="1371498536"/>
        <c:scaling>
          <c:orientation val="minMax"/>
        </c:scaling>
        <c:delete val="1"/>
        <c:axPos val="b"/>
        <c:majorTickMark val="out"/>
        <c:minorTickMark val="none"/>
        <c:tickLblPos val="nextTo"/>
        <c:crossAx val="1371498896"/>
        <c:crosses val="autoZero"/>
        <c:auto val="1"/>
        <c:lblAlgn val="ctr"/>
        <c:lblOffset val="100"/>
        <c:noMultiLvlLbl val="0"/>
      </c:catAx>
    </c:plotArea>
    <c:legend>
      <c:legendPos val="b"/>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pt-BR"/>
        </a:p>
      </c:txPr>
    </c:legend>
    <c:plotVisOnly val="1"/>
    <c:dispBlanksAs val="gap"/>
    <c:showDLblsOverMax val="0"/>
  </c:chart>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pt-BR" b="1">
                <a:solidFill>
                  <a:schemeClr val="accent2">
                    <a:lumMod val="75000"/>
                  </a:schemeClr>
                </a:solidFill>
              </a:rPr>
              <a:t>Pacote</a:t>
            </a:r>
            <a:r>
              <a:rPr lang="pt-BR" b="1" baseline="0">
                <a:solidFill>
                  <a:schemeClr val="accent2">
                    <a:lumMod val="75000"/>
                  </a:schemeClr>
                </a:solidFill>
              </a:rPr>
              <a:t> 07 - </a:t>
            </a:r>
            <a:r>
              <a:rPr lang="pt-BR" b="1">
                <a:solidFill>
                  <a:schemeClr val="accent2">
                    <a:lumMod val="75000"/>
                  </a:schemeClr>
                </a:solidFill>
              </a:rPr>
              <a:t>Produção Ponte</a:t>
            </a:r>
            <a:r>
              <a:rPr lang="pt-BR" b="1" baseline="0">
                <a:solidFill>
                  <a:schemeClr val="accent2">
                    <a:lumMod val="75000"/>
                  </a:schemeClr>
                </a:solidFill>
              </a:rPr>
              <a:t> do Rio Araguaia</a:t>
            </a:r>
            <a:endParaRPr lang="pt-BR" b="1">
              <a:solidFill>
                <a:schemeClr val="accent2">
                  <a:lumMod val="75000"/>
                </a:schemeClr>
              </a:solidFill>
            </a:endParaRPr>
          </a:p>
        </c:rich>
      </c:tx>
      <c:layout>
        <c:manualLayout>
          <c:xMode val="edge"/>
          <c:yMode val="edge"/>
          <c:x val="0.37948260785593407"/>
          <c:y val="2.2334510336967033E-2"/>
        </c:manualLayout>
      </c:layout>
      <c:overlay val="0"/>
      <c:spPr>
        <a:solidFill>
          <a:schemeClr val="bg1">
            <a:lumMod val="95000"/>
          </a:schemeClr>
        </a:solidFill>
        <a:ln>
          <a:solidFill>
            <a:schemeClr val="accent2">
              <a:lumMod val="50000"/>
            </a:schemeClr>
          </a:solid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pt-BR"/>
        </a:p>
      </c:txPr>
    </c:title>
    <c:autoTitleDeleted val="0"/>
    <c:plotArea>
      <c:layout>
        <c:manualLayout>
          <c:layoutTarget val="inner"/>
          <c:xMode val="edge"/>
          <c:yMode val="edge"/>
          <c:x val="1.8988623033326546E-2"/>
          <c:y val="0.21926454896341857"/>
          <c:w val="0.96312721361030496"/>
          <c:h val="0.58290230862598968"/>
        </c:manualLayout>
      </c:layout>
      <c:barChart>
        <c:barDir val="col"/>
        <c:grouping val="clustered"/>
        <c:varyColors val="0"/>
        <c:ser>
          <c:idx val="0"/>
          <c:order val="0"/>
          <c:tx>
            <c:v>Prog. Dia</c:v>
          </c:tx>
          <c:spPr>
            <a:solidFill>
              <a:schemeClr val="accent1"/>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Gráficos!$AN$7:$AS$7</c:f>
              <c:numCache>
                <c:formatCode>#,##0</c:formatCode>
                <c:ptCount val="6"/>
                <c:pt idx="0">
                  <c:v>0</c:v>
                </c:pt>
                <c:pt idx="1">
                  <c:v>0</c:v>
                </c:pt>
                <c:pt idx="2">
                  <c:v>4</c:v>
                </c:pt>
                <c:pt idx="3">
                  <c:v>0</c:v>
                </c:pt>
                <c:pt idx="4">
                  <c:v>0</c:v>
                </c:pt>
                <c:pt idx="5">
                  <c:v>5</c:v>
                </c:pt>
              </c:numCache>
            </c:numRef>
          </c:val>
          <c:extLst>
            <c:ext xmlns:c16="http://schemas.microsoft.com/office/drawing/2014/chart" uri="{C3380CC4-5D6E-409C-BE32-E72D297353CC}">
              <c16:uniqueId val="{00000000-8A53-407F-831B-B08C9ADA1DC5}"/>
            </c:ext>
          </c:extLst>
        </c:ser>
        <c:ser>
          <c:idx val="1"/>
          <c:order val="1"/>
          <c:tx>
            <c:v>Real dia</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Gráficos!$AN$9:$AS$9</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8A53-407F-831B-B08C9ADA1DC5}"/>
            </c:ext>
          </c:extLst>
        </c:ser>
        <c:ser>
          <c:idx val="2"/>
          <c:order val="2"/>
          <c:tx>
            <c:v>P. Travessas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Gráficos!$AN$13:$AS$13</c:f>
              <c:numCache>
                <c:formatCode>#,##0</c:formatCode>
                <c:ptCount val="6"/>
                <c:pt idx="0">
                  <c:v>0</c:v>
                </c:pt>
                <c:pt idx="1">
                  <c:v>0</c:v>
                </c:pt>
                <c:pt idx="2">
                  <c:v>0</c:v>
                </c:pt>
                <c:pt idx="3">
                  <c:v>0.5</c:v>
                </c:pt>
                <c:pt idx="4">
                  <c:v>0</c:v>
                </c:pt>
                <c:pt idx="5">
                  <c:v>1</c:v>
                </c:pt>
              </c:numCache>
            </c:numRef>
          </c:val>
          <c:extLst>
            <c:ext xmlns:c16="http://schemas.microsoft.com/office/drawing/2014/chart" uri="{C3380CC4-5D6E-409C-BE32-E72D297353CC}">
              <c16:uniqueId val="{00000002-8A53-407F-831B-B08C9ADA1DC5}"/>
            </c:ext>
          </c:extLst>
        </c:ser>
        <c:ser>
          <c:idx val="3"/>
          <c:order val="3"/>
          <c:tx>
            <c:v>R. Travessas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Gráficos!$AN$15:$AS$15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8A53-407F-831B-B08C9ADA1DC5}"/>
            </c:ext>
          </c:extLst>
        </c:ser>
        <c:ser>
          <c:idx val="4"/>
          <c:order val="4"/>
          <c:tx>
            <c:v>P. Aduelas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Gráficos!$AN$19:$AS$19</c:f>
              <c:numCache>
                <c:formatCode>#,##0</c:formatCode>
                <c:ptCount val="6"/>
                <c:pt idx="0">
                  <c:v>3</c:v>
                </c:pt>
                <c:pt idx="1">
                  <c:v>0</c:v>
                </c:pt>
                <c:pt idx="2">
                  <c:v>0</c:v>
                </c:pt>
                <c:pt idx="3">
                  <c:v>0</c:v>
                </c:pt>
                <c:pt idx="4">
                  <c:v>0</c:v>
                </c:pt>
                <c:pt idx="5">
                  <c:v>1</c:v>
                </c:pt>
              </c:numCache>
            </c:numRef>
          </c:val>
          <c:extLst>
            <c:ext xmlns:c16="http://schemas.microsoft.com/office/drawing/2014/chart" uri="{C3380CC4-5D6E-409C-BE32-E72D297353CC}">
              <c16:uniqueId val="{00000004-8A53-407F-831B-B08C9ADA1DC5}"/>
            </c:ext>
          </c:extLst>
        </c:ser>
        <c:ser>
          <c:idx val="5"/>
          <c:order val="5"/>
          <c:tx>
            <c:v>R. Aduelas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Gráficos!$AN$21:$AS$21</c:f>
              <c:numCache>
                <c:formatCode>#,##0</c:formatCode>
                <c:ptCount val="6"/>
                <c:pt idx="0">
                  <c:v>0</c:v>
                </c:pt>
                <c:pt idx="1">
                  <c:v>3</c:v>
                </c:pt>
                <c:pt idx="2">
                  <c:v>0</c:v>
                </c:pt>
                <c:pt idx="3">
                  <c:v>0</c:v>
                </c:pt>
                <c:pt idx="4">
                  <c:v>0</c:v>
                </c:pt>
                <c:pt idx="5">
                  <c:v>0</c:v>
                </c:pt>
              </c:numCache>
            </c:numRef>
          </c:val>
          <c:extLst>
            <c:ext xmlns:c16="http://schemas.microsoft.com/office/drawing/2014/chart" uri="{C3380CC4-5D6E-409C-BE32-E72D297353CC}">
              <c16:uniqueId val="{00000005-8A53-407F-831B-B08C9ADA1DC5}"/>
            </c:ext>
          </c:extLst>
        </c:ser>
        <c:ser>
          <c:idx val="6"/>
          <c:order val="6"/>
          <c:tx>
            <c:v>P. Vigas pré moldadas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Gráficos!$AN$24:$AS$24</c:f>
              <c:numCache>
                <c:formatCode>#,##0</c:formatCode>
                <c:ptCount val="6"/>
                <c:pt idx="0">
                  <c:v>0</c:v>
                </c:pt>
                <c:pt idx="1">
                  <c:v>0</c:v>
                </c:pt>
                <c:pt idx="2">
                  <c:v>0</c:v>
                </c:pt>
                <c:pt idx="3">
                  <c:v>1</c:v>
                </c:pt>
                <c:pt idx="4">
                  <c:v>0</c:v>
                </c:pt>
                <c:pt idx="5">
                  <c:v>1</c:v>
                </c:pt>
              </c:numCache>
            </c:numRef>
          </c:val>
          <c:extLst>
            <c:ext xmlns:c16="http://schemas.microsoft.com/office/drawing/2014/chart" uri="{C3380CC4-5D6E-409C-BE32-E72D297353CC}">
              <c16:uniqueId val="{00000006-8A53-407F-831B-B08C9ADA1DC5}"/>
            </c:ext>
          </c:extLst>
        </c:ser>
        <c:ser>
          <c:idx val="7"/>
          <c:order val="7"/>
          <c:tx>
            <c:v>R. Vigas Pré moldadas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Gráficos!$AN$25:$AS$25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7-8A53-407F-831B-B08C9ADA1DC5}"/>
            </c:ext>
          </c:extLst>
        </c:ser>
        <c:ser>
          <c:idx val="8"/>
          <c:order val="8"/>
          <c:tx>
            <c:v>P.Pré-moldados</c:v>
          </c:tx>
          <c:spPr>
            <a:solidFill>
              <a:srgbClr val="3578BC"/>
            </a:solidFill>
            <a:ln>
              <a:noFill/>
            </a:ln>
            <a:effectLst/>
          </c:spPr>
          <c:invertIfNegative val="0"/>
          <c:dLbls>
            <c:spPr>
              <a:solidFill>
                <a:srgbClr val="3578B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Gráficos!$AN$28:$AS$28</c:f>
              <c:numCache>
                <c:formatCode>#,##0</c:formatCode>
                <c:ptCount val="6"/>
                <c:pt idx="0">
                  <c:v>40</c:v>
                </c:pt>
                <c:pt idx="1">
                  <c:v>23</c:v>
                </c:pt>
                <c:pt idx="2">
                  <c:v>40</c:v>
                </c:pt>
                <c:pt idx="3">
                  <c:v>23</c:v>
                </c:pt>
                <c:pt idx="4">
                  <c:v>40</c:v>
                </c:pt>
                <c:pt idx="5">
                  <c:v>23</c:v>
                </c:pt>
              </c:numCache>
            </c:numRef>
          </c:val>
          <c:extLst>
            <c:ext xmlns:c16="http://schemas.microsoft.com/office/drawing/2014/chart" uri="{C3380CC4-5D6E-409C-BE32-E72D297353CC}">
              <c16:uniqueId val="{00000008-8A53-407F-831B-B08C9ADA1DC5}"/>
            </c:ext>
          </c:extLst>
        </c:ser>
        <c:ser>
          <c:idx val="9"/>
          <c:order val="9"/>
          <c:tx>
            <c:v>R. Pré-moldados</c:v>
          </c:tx>
          <c:spPr>
            <a:solidFill>
              <a:srgbClr val="38986A"/>
            </a:solidFill>
            <a:ln>
              <a:noFill/>
            </a:ln>
            <a:effectLst/>
          </c:spPr>
          <c:invertIfNegative val="0"/>
          <c:dLbls>
            <c:spPr>
              <a:solidFill>
                <a:srgbClr val="38986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Gráficos!$AN$3:$AS$3</c:f>
              <c:strCache>
                <c:ptCount val="6"/>
                <c:pt idx="0">
                  <c:v>seg</c:v>
                </c:pt>
                <c:pt idx="1">
                  <c:v>ter</c:v>
                </c:pt>
                <c:pt idx="2">
                  <c:v>qua</c:v>
                </c:pt>
                <c:pt idx="3">
                  <c:v>qui</c:v>
                </c:pt>
                <c:pt idx="4">
                  <c:v>sex</c:v>
                </c:pt>
                <c:pt idx="5">
                  <c:v>sáb</c:v>
                </c:pt>
              </c:strCache>
            </c:strRef>
          </c:cat>
          <c:val>
            <c:numRef>
              <c:f>Gráficos!$AN$29:$AS$29</c:f>
              <c:numCache>
                <c:formatCode>#,##0</c:formatCode>
                <c:ptCount val="6"/>
                <c:pt idx="0">
                  <c:v>40</c:v>
                </c:pt>
                <c:pt idx="1">
                  <c:v>23</c:v>
                </c:pt>
                <c:pt idx="2">
                  <c:v>0</c:v>
                </c:pt>
                <c:pt idx="3">
                  <c:v>0</c:v>
                </c:pt>
                <c:pt idx="4">
                  <c:v>0</c:v>
                </c:pt>
                <c:pt idx="5">
                  <c:v>0</c:v>
                </c:pt>
              </c:numCache>
            </c:numRef>
          </c:val>
          <c:extLst>
            <c:ext xmlns:c16="http://schemas.microsoft.com/office/drawing/2014/chart" uri="{C3380CC4-5D6E-409C-BE32-E72D297353CC}">
              <c16:uniqueId val="{00000009-8A53-407F-831B-B08C9ADA1DC5}"/>
            </c:ext>
          </c:extLst>
        </c:ser>
        <c:dLbls>
          <c:showLegendKey val="0"/>
          <c:showVal val="1"/>
          <c:showCatName val="0"/>
          <c:showSerName val="0"/>
          <c:showPercent val="0"/>
          <c:showBubbleSize val="0"/>
        </c:dLbls>
        <c:gapWidth val="219"/>
        <c:axId val="231572663"/>
        <c:axId val="231563663"/>
      </c:barChart>
      <c:lineChart>
        <c:grouping val="standard"/>
        <c:varyColors val="0"/>
        <c:ser>
          <c:idx val="10"/>
          <c:order val="10"/>
          <c:tx>
            <c:strRef>
              <c:f>Gráficos!$AJ$33</c:f>
              <c:strCache>
                <c:ptCount val="1"/>
                <c:pt idx="0">
                  <c:v>Aderência meta</c:v>
                </c:pt>
              </c:strCache>
            </c:strRef>
          </c:tx>
          <c:spPr>
            <a:ln w="28575" cap="rnd">
              <a:solidFill>
                <a:srgbClr val="FF9900"/>
              </a:solidFill>
              <a:round/>
            </a:ln>
            <a:effectLst/>
          </c:spPr>
          <c:marker>
            <c:symbol val="none"/>
          </c:marker>
          <c:dLbls>
            <c:numFmt formatCode="0.0%" sourceLinked="0"/>
            <c:spPr>
              <a:solidFill>
                <a:srgbClr val="FF99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Gráficos!$AN$33:$AS$33</c:f>
              <c:numCache>
                <c:formatCode>#,##0.0</c:formatCode>
                <c:ptCount val="6"/>
                <c:pt idx="0">
                  <c:v>1.5384615384615385</c:v>
                </c:pt>
                <c:pt idx="1">
                  <c:v>1</c:v>
                </c:pt>
                <c:pt idx="2">
                  <c:v>0</c:v>
                </c:pt>
                <c:pt idx="3">
                  <c:v>0</c:v>
                </c:pt>
                <c:pt idx="4">
                  <c:v>0</c:v>
                </c:pt>
                <c:pt idx="5">
                  <c:v>0</c:v>
                </c:pt>
              </c:numCache>
            </c:numRef>
          </c:val>
          <c:smooth val="0"/>
          <c:extLst>
            <c:ext xmlns:c16="http://schemas.microsoft.com/office/drawing/2014/chart" uri="{C3380CC4-5D6E-409C-BE32-E72D297353CC}">
              <c16:uniqueId val="{0000000A-8A53-407F-831B-B08C9ADA1DC5}"/>
            </c:ext>
          </c:extLst>
        </c:ser>
        <c:dLbls>
          <c:showLegendKey val="0"/>
          <c:showVal val="1"/>
          <c:showCatName val="0"/>
          <c:showSerName val="0"/>
          <c:showPercent val="0"/>
          <c:showBubbleSize val="0"/>
        </c:dLbls>
        <c:marker val="1"/>
        <c:smooth val="0"/>
        <c:axId val="1371498536"/>
        <c:axId val="1371498896"/>
      </c:lineChart>
      <c:catAx>
        <c:axId val="231572663"/>
        <c:scaling>
          <c:orientation val="minMax"/>
        </c:scaling>
        <c:delete val="0"/>
        <c:axPos val="b"/>
        <c:numFmt formatCode="0.0%" sourceLinked="0"/>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pt-BR"/>
          </a:p>
        </c:txPr>
        <c:crossAx val="231563663"/>
        <c:crosses val="autoZero"/>
        <c:auto val="1"/>
        <c:lblAlgn val="ctr"/>
        <c:lblOffset val="100"/>
        <c:noMultiLvlLbl val="0"/>
      </c:catAx>
      <c:valAx>
        <c:axId val="23156366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1572663"/>
        <c:crosses val="autoZero"/>
        <c:crossBetween val="between"/>
      </c:valAx>
      <c:valAx>
        <c:axId val="137149889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pt-BR"/>
          </a:p>
        </c:txPr>
        <c:crossAx val="1371498536"/>
        <c:crosses val="max"/>
        <c:crossBetween val="between"/>
      </c:valAx>
      <c:catAx>
        <c:axId val="1371498536"/>
        <c:scaling>
          <c:orientation val="minMax"/>
        </c:scaling>
        <c:delete val="1"/>
        <c:axPos val="b"/>
        <c:majorTickMark val="out"/>
        <c:minorTickMark val="none"/>
        <c:tickLblPos val="nextTo"/>
        <c:crossAx val="1371498896"/>
        <c:crosses val="autoZero"/>
        <c:auto val="1"/>
        <c:lblAlgn val="ctr"/>
        <c:lblOffset val="100"/>
        <c:noMultiLvlLbl val="0"/>
      </c:cat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jpe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222720</xdr:colOff>
      <xdr:row>1</xdr:row>
      <xdr:rowOff>140112</xdr:rowOff>
    </xdr:from>
    <xdr:to>
      <xdr:col>3</xdr:col>
      <xdr:colOff>1019534</xdr:colOff>
      <xdr:row>1</xdr:row>
      <xdr:rowOff>484978</xdr:rowOff>
    </xdr:to>
    <xdr:pic>
      <xdr:nvPicPr>
        <xdr:cNvPr id="2" name="Imagem 1">
          <a:extLst>
            <a:ext uri="{FF2B5EF4-FFF2-40B4-BE49-F238E27FC236}">
              <a16:creationId xmlns:a16="http://schemas.microsoft.com/office/drawing/2014/main" id="{54521283-93B7-475F-996F-8E316D8EE013}"/>
            </a:ext>
          </a:extLst>
        </xdr:cNvPr>
        <xdr:cNvPicPr>
          <a:picLocks noChangeAspect="1"/>
        </xdr:cNvPicPr>
      </xdr:nvPicPr>
      <xdr:blipFill>
        <a:blip xmlns:r="http://schemas.openxmlformats.org/officeDocument/2006/relationships" r:embed="rId1"/>
        <a:stretch>
          <a:fillRect/>
        </a:stretch>
      </xdr:blipFill>
      <xdr:spPr>
        <a:xfrm>
          <a:off x="848648" y="185469"/>
          <a:ext cx="799989" cy="348041"/>
        </a:xfrm>
        <a:prstGeom prst="rect">
          <a:avLst/>
        </a:prstGeom>
      </xdr:spPr>
    </xdr:pic>
    <xdr:clientData/>
  </xdr:twoCellAnchor>
  <xdr:twoCellAnchor editAs="oneCell">
    <xdr:from>
      <xdr:col>48</xdr:col>
      <xdr:colOff>282272</xdr:colOff>
      <xdr:row>1</xdr:row>
      <xdr:rowOff>106819</xdr:rowOff>
    </xdr:from>
    <xdr:to>
      <xdr:col>49</xdr:col>
      <xdr:colOff>494558</xdr:colOff>
      <xdr:row>1</xdr:row>
      <xdr:rowOff>485816</xdr:rowOff>
    </xdr:to>
    <xdr:pic>
      <xdr:nvPicPr>
        <xdr:cNvPr id="5" name="Image" descr="Image">
          <a:extLst>
            <a:ext uri="{FF2B5EF4-FFF2-40B4-BE49-F238E27FC236}">
              <a16:creationId xmlns:a16="http://schemas.microsoft.com/office/drawing/2014/main" id="{10E0235B-ACC1-4E0E-A9C8-3512A7DA6D26}"/>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6647129" y="152176"/>
          <a:ext cx="965216" cy="382172"/>
        </a:xfrm>
        <a:prstGeom prst="rect">
          <a:avLst/>
        </a:prstGeom>
        <a:ln w="12700">
          <a:miter lim="400000"/>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339340</xdr:colOff>
      <xdr:row>25</xdr:row>
      <xdr:rowOff>27091</xdr:rowOff>
    </xdr:from>
    <xdr:to>
      <xdr:col>11</xdr:col>
      <xdr:colOff>645104</xdr:colOff>
      <xdr:row>32</xdr:row>
      <xdr:rowOff>101980</xdr:rowOff>
    </xdr:to>
    <xdr:graphicFrame macro="">
      <xdr:nvGraphicFramePr>
        <xdr:cNvPr id="2" name="Gráfico 1">
          <a:extLst>
            <a:ext uri="{FF2B5EF4-FFF2-40B4-BE49-F238E27FC236}">
              <a16:creationId xmlns:a16="http://schemas.microsoft.com/office/drawing/2014/main" id="{8A47C76F-8554-29E8-C198-51E43687262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340136</xdr:colOff>
      <xdr:row>32</xdr:row>
      <xdr:rowOff>159528</xdr:rowOff>
    </xdr:from>
    <xdr:to>
      <xdr:col>11</xdr:col>
      <xdr:colOff>644124</xdr:colOff>
      <xdr:row>42</xdr:row>
      <xdr:rowOff>120036</xdr:rowOff>
    </xdr:to>
    <xdr:graphicFrame macro="">
      <xdr:nvGraphicFramePr>
        <xdr:cNvPr id="3" name="Gráfico 2">
          <a:extLst>
            <a:ext uri="{FF2B5EF4-FFF2-40B4-BE49-F238E27FC236}">
              <a16:creationId xmlns:a16="http://schemas.microsoft.com/office/drawing/2014/main" id="{805BB70C-0357-456F-8902-88D2A58D9F9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675865</xdr:colOff>
      <xdr:row>32</xdr:row>
      <xdr:rowOff>160895</xdr:rowOff>
    </xdr:from>
    <xdr:to>
      <xdr:col>15</xdr:col>
      <xdr:colOff>313935</xdr:colOff>
      <xdr:row>42</xdr:row>
      <xdr:rowOff>112586</xdr:rowOff>
    </xdr:to>
    <xdr:graphicFrame macro="">
      <xdr:nvGraphicFramePr>
        <xdr:cNvPr id="25" name="Gráfico 15">
          <a:extLst>
            <a:ext uri="{FF2B5EF4-FFF2-40B4-BE49-F238E27FC236}">
              <a16:creationId xmlns:a16="http://schemas.microsoft.com/office/drawing/2014/main" id="{BA11C7AB-F102-4B35-BFD8-7F04E7ADCDB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332715</xdr:colOff>
      <xdr:row>43</xdr:row>
      <xdr:rowOff>10474</xdr:rowOff>
    </xdr:from>
    <xdr:to>
      <xdr:col>11</xdr:col>
      <xdr:colOff>644124</xdr:colOff>
      <xdr:row>52</xdr:row>
      <xdr:rowOff>142380</xdr:rowOff>
    </xdr:to>
    <xdr:graphicFrame macro="">
      <xdr:nvGraphicFramePr>
        <xdr:cNvPr id="4" name="Gráfico 3">
          <a:extLst>
            <a:ext uri="{FF2B5EF4-FFF2-40B4-BE49-F238E27FC236}">
              <a16:creationId xmlns:a16="http://schemas.microsoft.com/office/drawing/2014/main" id="{DE0090C4-87B8-46EA-A2E2-00B55784D30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683115</xdr:colOff>
      <xdr:row>43</xdr:row>
      <xdr:rowOff>9057</xdr:rowOff>
    </xdr:from>
    <xdr:to>
      <xdr:col>15</xdr:col>
      <xdr:colOff>308721</xdr:colOff>
      <xdr:row>52</xdr:row>
      <xdr:rowOff>143269</xdr:rowOff>
    </xdr:to>
    <xdr:graphicFrame macro="">
      <xdr:nvGraphicFramePr>
        <xdr:cNvPr id="18" name="Gráfico 17">
          <a:extLst>
            <a:ext uri="{FF2B5EF4-FFF2-40B4-BE49-F238E27FC236}">
              <a16:creationId xmlns:a16="http://schemas.microsoft.com/office/drawing/2014/main" id="{9B0E4D42-5F3D-425F-8AEE-F5626D8A9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687667</xdr:colOff>
      <xdr:row>25</xdr:row>
      <xdr:rowOff>34060</xdr:rowOff>
    </xdr:from>
    <xdr:to>
      <xdr:col>15</xdr:col>
      <xdr:colOff>325308</xdr:colOff>
      <xdr:row>32</xdr:row>
      <xdr:rowOff>104585</xdr:rowOff>
    </xdr:to>
    <xdr:graphicFrame macro="">
      <xdr:nvGraphicFramePr>
        <xdr:cNvPr id="403" name="Gráfico 29">
          <a:extLst>
            <a:ext uri="{FF2B5EF4-FFF2-40B4-BE49-F238E27FC236}">
              <a16:creationId xmlns:a16="http://schemas.microsoft.com/office/drawing/2014/main" id="{BFEA50EC-047D-D2A4-2971-AADC10E9A58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19</xdr:col>
      <xdr:colOff>165448</xdr:colOff>
      <xdr:row>25</xdr:row>
      <xdr:rowOff>3239</xdr:rowOff>
    </xdr:from>
    <xdr:to>
      <xdr:col>28</xdr:col>
      <xdr:colOff>109116</xdr:colOff>
      <xdr:row>32</xdr:row>
      <xdr:rowOff>72768</xdr:rowOff>
    </xdr:to>
    <xdr:graphicFrame macro="">
      <xdr:nvGraphicFramePr>
        <xdr:cNvPr id="9" name="Gráfico 8">
          <a:extLst>
            <a:ext uri="{FF2B5EF4-FFF2-40B4-BE49-F238E27FC236}">
              <a16:creationId xmlns:a16="http://schemas.microsoft.com/office/drawing/2014/main" id="{0194644C-5F4F-4F8F-8DD9-623CAB94802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19</xdr:col>
      <xdr:colOff>156939</xdr:colOff>
      <xdr:row>32</xdr:row>
      <xdr:rowOff>179809</xdr:rowOff>
    </xdr:from>
    <xdr:to>
      <xdr:col>28</xdr:col>
      <xdr:colOff>103754</xdr:colOff>
      <xdr:row>42</xdr:row>
      <xdr:rowOff>139022</xdr:rowOff>
    </xdr:to>
    <xdr:graphicFrame macro="">
      <xdr:nvGraphicFramePr>
        <xdr:cNvPr id="11" name="Gráfico 10">
          <a:extLst>
            <a:ext uri="{FF2B5EF4-FFF2-40B4-BE49-F238E27FC236}">
              <a16:creationId xmlns:a16="http://schemas.microsoft.com/office/drawing/2014/main" id="{14F5D8D0-BF20-480E-86F9-3150DD770A0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19</xdr:col>
      <xdr:colOff>164432</xdr:colOff>
      <xdr:row>43</xdr:row>
      <xdr:rowOff>94279</xdr:rowOff>
    </xdr:from>
    <xdr:to>
      <xdr:col>28</xdr:col>
      <xdr:colOff>97306</xdr:colOff>
      <xdr:row>53</xdr:row>
      <xdr:rowOff>29992</xdr:rowOff>
    </xdr:to>
    <xdr:graphicFrame macro="">
      <xdr:nvGraphicFramePr>
        <xdr:cNvPr id="12" name="Gráfico 11">
          <a:extLst>
            <a:ext uri="{FF2B5EF4-FFF2-40B4-BE49-F238E27FC236}">
              <a16:creationId xmlns:a16="http://schemas.microsoft.com/office/drawing/2014/main" id="{E9FD1443-86FB-431B-99AD-5C4E215764E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28</xdr:col>
      <xdr:colOff>185319</xdr:colOff>
      <xdr:row>43</xdr:row>
      <xdr:rowOff>93632</xdr:rowOff>
    </xdr:from>
    <xdr:to>
      <xdr:col>30</xdr:col>
      <xdr:colOff>55591</xdr:colOff>
      <xdr:row>53</xdr:row>
      <xdr:rowOff>36188</xdr:rowOff>
    </xdr:to>
    <xdr:graphicFrame macro="">
      <xdr:nvGraphicFramePr>
        <xdr:cNvPr id="22" name="Gráfico 21">
          <a:extLst>
            <a:ext uri="{FF2B5EF4-FFF2-40B4-BE49-F238E27FC236}">
              <a16:creationId xmlns:a16="http://schemas.microsoft.com/office/drawing/2014/main" id="{6E122FD7-0806-4989-843F-5FBF5D251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30</xdr:col>
      <xdr:colOff>159294</xdr:colOff>
      <xdr:row>43</xdr:row>
      <xdr:rowOff>91796</xdr:rowOff>
    </xdr:from>
    <xdr:to>
      <xdr:col>32</xdr:col>
      <xdr:colOff>241135</xdr:colOff>
      <xdr:row>53</xdr:row>
      <xdr:rowOff>32891</xdr:rowOff>
    </xdr:to>
    <xdr:graphicFrame macro="">
      <xdr:nvGraphicFramePr>
        <xdr:cNvPr id="24" name="Gráfico 23">
          <a:extLst>
            <a:ext uri="{FF2B5EF4-FFF2-40B4-BE49-F238E27FC236}">
              <a16:creationId xmlns:a16="http://schemas.microsoft.com/office/drawing/2014/main" id="{E1D5AF4B-2694-4CAD-AC7B-9BDBEC5404E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15</xdr:col>
      <xdr:colOff>375024</xdr:colOff>
      <xdr:row>25</xdr:row>
      <xdr:rowOff>33210</xdr:rowOff>
    </xdr:from>
    <xdr:to>
      <xdr:col>17</xdr:col>
      <xdr:colOff>207533</xdr:colOff>
      <xdr:row>32</xdr:row>
      <xdr:rowOff>94035</xdr:rowOff>
    </xdr:to>
    <xdr:graphicFrame macro="">
      <xdr:nvGraphicFramePr>
        <xdr:cNvPr id="26" name="Gráfico 12">
          <a:extLst>
            <a:ext uri="{FF2B5EF4-FFF2-40B4-BE49-F238E27FC236}">
              <a16:creationId xmlns:a16="http://schemas.microsoft.com/office/drawing/2014/main" id="{A8EBB36E-0D9B-F80A-7F13-5012A2A3460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11</xdr:col>
      <xdr:colOff>721566</xdr:colOff>
      <xdr:row>26</xdr:row>
      <xdr:rowOff>95378</xdr:rowOff>
    </xdr:from>
    <xdr:to>
      <xdr:col>15</xdr:col>
      <xdr:colOff>270590</xdr:colOff>
      <xdr:row>30</xdr:row>
      <xdr:rowOff>56610</xdr:rowOff>
    </xdr:to>
    <xdr:grpSp>
      <xdr:nvGrpSpPr>
        <xdr:cNvPr id="351" name="Agrupar 28">
          <a:extLst>
            <a:ext uri="{FF2B5EF4-FFF2-40B4-BE49-F238E27FC236}">
              <a16:creationId xmlns:a16="http://schemas.microsoft.com/office/drawing/2014/main" id="{8EAE73FA-FF63-8435-865A-A76B6ADD7767}"/>
            </a:ext>
          </a:extLst>
        </xdr:cNvPr>
        <xdr:cNvGrpSpPr/>
      </xdr:nvGrpSpPr>
      <xdr:grpSpPr>
        <a:xfrm>
          <a:off x="8960691" y="6267578"/>
          <a:ext cx="1434974" cy="1342357"/>
          <a:chOff x="7664208" y="5715000"/>
          <a:chExt cx="1585228" cy="1339698"/>
        </a:xfrm>
      </xdr:grpSpPr>
      <xdr:grpSp>
        <xdr:nvGrpSpPr>
          <xdr:cNvPr id="352" name="Agrupar 22">
            <a:extLst>
              <a:ext uri="{FF2B5EF4-FFF2-40B4-BE49-F238E27FC236}">
                <a16:creationId xmlns:a16="http://schemas.microsoft.com/office/drawing/2014/main" id="{CDC9AD62-CAAB-C87A-E12F-8C6ABFE1AA29}"/>
              </a:ext>
            </a:extLst>
          </xdr:cNvPr>
          <xdr:cNvGrpSpPr/>
        </xdr:nvGrpSpPr>
        <xdr:grpSpPr>
          <a:xfrm>
            <a:off x="7664208" y="5715000"/>
            <a:ext cx="505502" cy="251482"/>
            <a:chOff x="7664208" y="5715000"/>
            <a:chExt cx="505502" cy="251482"/>
          </a:xfrm>
        </xdr:grpSpPr>
        <xdr:sp macro="" textlink="">
          <xdr:nvSpPr>
            <xdr:cNvPr id="353" name="CaixaDeTexto 6">
              <a:extLst>
                <a:ext uri="{FF2B5EF4-FFF2-40B4-BE49-F238E27FC236}">
                  <a16:creationId xmlns:a16="http://schemas.microsoft.com/office/drawing/2014/main" id="{D03AE033-9387-4A90-A840-6488CF8D1071}"/>
                </a:ext>
              </a:extLst>
            </xdr:cNvPr>
            <xdr:cNvSpPr txBox="1"/>
          </xdr:nvSpPr>
          <xdr:spPr>
            <a:xfrm>
              <a:off x="7664208" y="5715000"/>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354" name="Seta: para a Direita 20">
              <a:extLst>
                <a:ext uri="{FF2B5EF4-FFF2-40B4-BE49-F238E27FC236}">
                  <a16:creationId xmlns:a16="http://schemas.microsoft.com/office/drawing/2014/main" id="{F4E57757-E7ED-A7DC-AEB5-5C9A5BE25BF9}"/>
                </a:ext>
              </a:extLst>
            </xdr:cNvPr>
            <xdr:cNvSpPr/>
          </xdr:nvSpPr>
          <xdr:spPr>
            <a:xfrm>
              <a:off x="8070077" y="5802087"/>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355" name="Agrupar 27">
            <a:extLst>
              <a:ext uri="{FF2B5EF4-FFF2-40B4-BE49-F238E27FC236}">
                <a16:creationId xmlns:a16="http://schemas.microsoft.com/office/drawing/2014/main" id="{F4798B57-E17B-DB3C-41D6-B9FCB8D8DC6F}"/>
              </a:ext>
            </a:extLst>
          </xdr:cNvPr>
          <xdr:cNvGrpSpPr/>
        </xdr:nvGrpSpPr>
        <xdr:grpSpPr>
          <a:xfrm>
            <a:off x="7685313" y="6564087"/>
            <a:ext cx="630499" cy="490611"/>
            <a:chOff x="7685313" y="6564087"/>
            <a:chExt cx="630499" cy="490611"/>
          </a:xfrm>
        </xdr:grpSpPr>
        <xdr:sp macro="" textlink="">
          <xdr:nvSpPr>
            <xdr:cNvPr id="356" name="CaixaDeTexto 9">
              <a:extLst>
                <a:ext uri="{FF2B5EF4-FFF2-40B4-BE49-F238E27FC236}">
                  <a16:creationId xmlns:a16="http://schemas.microsoft.com/office/drawing/2014/main" id="{B988C30B-B6B7-425C-8F0B-3F2C773926EC}"/>
                </a:ext>
              </a:extLst>
            </xdr:cNvPr>
            <xdr:cNvSpPr txBox="1"/>
          </xdr:nvSpPr>
          <xdr:spPr>
            <a:xfrm>
              <a:off x="7685313" y="6564087"/>
              <a:ext cx="630499"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357" name="Seta: para a Direita 24">
              <a:extLst>
                <a:ext uri="{FF2B5EF4-FFF2-40B4-BE49-F238E27FC236}">
                  <a16:creationId xmlns:a16="http://schemas.microsoft.com/office/drawing/2014/main" id="{72825236-EB54-454C-AE7C-27BF597C6A6D}"/>
                </a:ext>
              </a:extLst>
            </xdr:cNvPr>
            <xdr:cNvSpPr/>
          </xdr:nvSpPr>
          <xdr:spPr>
            <a:xfrm>
              <a:off x="8083519" y="6667500"/>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358" name="Agrupar 26">
            <a:extLst>
              <a:ext uri="{FF2B5EF4-FFF2-40B4-BE49-F238E27FC236}">
                <a16:creationId xmlns:a16="http://schemas.microsoft.com/office/drawing/2014/main" id="{F589A5D6-B89F-98DE-79AC-4DF796180F73}"/>
              </a:ext>
            </a:extLst>
          </xdr:cNvPr>
          <xdr:cNvGrpSpPr/>
        </xdr:nvGrpSpPr>
        <xdr:grpSpPr>
          <a:xfrm>
            <a:off x="8811986" y="6700158"/>
            <a:ext cx="437450" cy="179614"/>
            <a:chOff x="8811986" y="6700158"/>
            <a:chExt cx="437450" cy="179614"/>
          </a:xfrm>
        </xdr:grpSpPr>
        <xdr:sp macro="" textlink="">
          <xdr:nvSpPr>
            <xdr:cNvPr id="359" name="CaixaDeTexto 19">
              <a:extLst>
                <a:ext uri="{FF2B5EF4-FFF2-40B4-BE49-F238E27FC236}">
                  <a16:creationId xmlns:a16="http://schemas.microsoft.com/office/drawing/2014/main" id="{A0DD572F-457A-4701-BDB3-82F804766AC6}"/>
                </a:ext>
              </a:extLst>
            </xdr:cNvPr>
            <xdr:cNvSpPr txBox="1"/>
          </xdr:nvSpPr>
          <xdr:spPr>
            <a:xfrm>
              <a:off x="8833759" y="6700158"/>
              <a:ext cx="415677" cy="179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360" name="Seta: para a Direita 25">
              <a:extLst>
                <a:ext uri="{FF2B5EF4-FFF2-40B4-BE49-F238E27FC236}">
                  <a16:creationId xmlns:a16="http://schemas.microsoft.com/office/drawing/2014/main" id="{6BF1902E-ADEF-47F2-A75A-36EDC6EC3C1B}"/>
                </a:ext>
              </a:extLst>
            </xdr:cNvPr>
            <xdr:cNvSpPr/>
          </xdr:nvSpPr>
          <xdr:spPr>
            <a:xfrm rot="10800000">
              <a:off x="8811986" y="6781800"/>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15</xdr:col>
      <xdr:colOff>381958</xdr:colOff>
      <xdr:row>32</xdr:row>
      <xdr:rowOff>153987</xdr:rowOff>
    </xdr:from>
    <xdr:to>
      <xdr:col>17</xdr:col>
      <xdr:colOff>215876</xdr:colOff>
      <xdr:row>42</xdr:row>
      <xdr:rowOff>115787</xdr:rowOff>
    </xdr:to>
    <xdr:graphicFrame macro="">
      <xdr:nvGraphicFramePr>
        <xdr:cNvPr id="28" name="Gráfico 5">
          <a:extLst>
            <a:ext uri="{FF2B5EF4-FFF2-40B4-BE49-F238E27FC236}">
              <a16:creationId xmlns:a16="http://schemas.microsoft.com/office/drawing/2014/main" id="{8DD97E36-9D63-4EA7-BA13-4AEA19A07EA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15</xdr:col>
      <xdr:colOff>436100</xdr:colOff>
      <xdr:row>34</xdr:row>
      <xdr:rowOff>25674</xdr:rowOff>
    </xdr:from>
    <xdr:to>
      <xdr:col>17</xdr:col>
      <xdr:colOff>222913</xdr:colOff>
      <xdr:row>40</xdr:row>
      <xdr:rowOff>152343</xdr:rowOff>
    </xdr:to>
    <xdr:grpSp>
      <xdr:nvGrpSpPr>
        <xdr:cNvPr id="29" name="Agrupar 30">
          <a:extLst>
            <a:ext uri="{FF2B5EF4-FFF2-40B4-BE49-F238E27FC236}">
              <a16:creationId xmlns:a16="http://schemas.microsoft.com/office/drawing/2014/main" id="{BA8BB184-CE38-4F90-9FDF-BCB08E06DB18}"/>
            </a:ext>
          </a:extLst>
        </xdr:cNvPr>
        <xdr:cNvGrpSpPr/>
      </xdr:nvGrpSpPr>
      <xdr:grpSpPr>
        <a:xfrm>
          <a:off x="10561175" y="8340999"/>
          <a:ext cx="1320338" cy="1269669"/>
          <a:chOff x="7685314" y="5840185"/>
          <a:chExt cx="1518558" cy="1230841"/>
        </a:xfrm>
      </xdr:grpSpPr>
      <xdr:grpSp>
        <xdr:nvGrpSpPr>
          <xdr:cNvPr id="30" name="Agrupar 31">
            <a:extLst>
              <a:ext uri="{FF2B5EF4-FFF2-40B4-BE49-F238E27FC236}">
                <a16:creationId xmlns:a16="http://schemas.microsoft.com/office/drawing/2014/main" id="{078B6AA0-7F26-5104-65A5-19118FAB1445}"/>
              </a:ext>
            </a:extLst>
          </xdr:cNvPr>
          <xdr:cNvGrpSpPr/>
        </xdr:nvGrpSpPr>
        <xdr:grpSpPr>
          <a:xfrm>
            <a:off x="7772555" y="5840185"/>
            <a:ext cx="505502" cy="251482"/>
            <a:chOff x="7772555" y="5840185"/>
            <a:chExt cx="505502" cy="251482"/>
          </a:xfrm>
        </xdr:grpSpPr>
        <xdr:sp macro="" textlink="">
          <xdr:nvSpPr>
            <xdr:cNvPr id="51" name="CaixaDeTexto 38">
              <a:extLst>
                <a:ext uri="{FF2B5EF4-FFF2-40B4-BE49-F238E27FC236}">
                  <a16:creationId xmlns:a16="http://schemas.microsoft.com/office/drawing/2014/main" id="{94776F58-5421-45B5-D07C-0D169CCBB13F}"/>
                </a:ext>
              </a:extLst>
            </xdr:cNvPr>
            <xdr:cNvSpPr txBox="1"/>
          </xdr:nvSpPr>
          <xdr:spPr>
            <a:xfrm>
              <a:off x="7772555" y="5840185"/>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53" name="Seta: para a Direita 39">
              <a:extLst>
                <a:ext uri="{FF2B5EF4-FFF2-40B4-BE49-F238E27FC236}">
                  <a16:creationId xmlns:a16="http://schemas.microsoft.com/office/drawing/2014/main" id="{2545A206-E32A-47E3-ED36-5BFE35A22D69}"/>
                </a:ext>
              </a:extLst>
            </xdr:cNvPr>
            <xdr:cNvSpPr/>
          </xdr:nvSpPr>
          <xdr:spPr>
            <a:xfrm>
              <a:off x="8159075" y="5927272"/>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54" name="Agrupar 32">
            <a:extLst>
              <a:ext uri="{FF2B5EF4-FFF2-40B4-BE49-F238E27FC236}">
                <a16:creationId xmlns:a16="http://schemas.microsoft.com/office/drawing/2014/main" id="{E4BC3F96-4D0E-6856-F365-17FC1C1ACEE4}"/>
              </a:ext>
            </a:extLst>
          </xdr:cNvPr>
          <xdr:cNvGrpSpPr/>
        </xdr:nvGrpSpPr>
        <xdr:grpSpPr>
          <a:xfrm>
            <a:off x="7685314" y="6580415"/>
            <a:ext cx="560615" cy="490611"/>
            <a:chOff x="7685314" y="6580415"/>
            <a:chExt cx="560615" cy="490611"/>
          </a:xfrm>
        </xdr:grpSpPr>
        <xdr:sp macro="" textlink="">
          <xdr:nvSpPr>
            <xdr:cNvPr id="55" name="CaixaDeTexto 36">
              <a:extLst>
                <a:ext uri="{FF2B5EF4-FFF2-40B4-BE49-F238E27FC236}">
                  <a16:creationId xmlns:a16="http://schemas.microsoft.com/office/drawing/2014/main" id="{AFC0AFD1-C6B7-0670-E9F3-CD7F828B5404}"/>
                </a:ext>
              </a:extLst>
            </xdr:cNvPr>
            <xdr:cNvSpPr txBox="1"/>
          </xdr:nvSpPr>
          <xdr:spPr>
            <a:xfrm>
              <a:off x="7685314" y="6580415"/>
              <a:ext cx="560615"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56" name="Seta: para a Direita 37">
              <a:extLst>
                <a:ext uri="{FF2B5EF4-FFF2-40B4-BE49-F238E27FC236}">
                  <a16:creationId xmlns:a16="http://schemas.microsoft.com/office/drawing/2014/main" id="{2619708D-0470-AF18-1AA0-C544E9C01F00}"/>
                </a:ext>
              </a:extLst>
            </xdr:cNvPr>
            <xdr:cNvSpPr/>
          </xdr:nvSpPr>
          <xdr:spPr>
            <a:xfrm>
              <a:off x="8067345" y="6694714"/>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57" name="Agrupar 33">
            <a:extLst>
              <a:ext uri="{FF2B5EF4-FFF2-40B4-BE49-F238E27FC236}">
                <a16:creationId xmlns:a16="http://schemas.microsoft.com/office/drawing/2014/main" id="{74947EC9-4549-C9AC-F360-4D8D8DC47EA9}"/>
              </a:ext>
            </a:extLst>
          </xdr:cNvPr>
          <xdr:cNvGrpSpPr/>
        </xdr:nvGrpSpPr>
        <xdr:grpSpPr>
          <a:xfrm>
            <a:off x="8805633" y="6700157"/>
            <a:ext cx="398239" cy="195943"/>
            <a:chOff x="8805633" y="6700157"/>
            <a:chExt cx="398239" cy="195943"/>
          </a:xfrm>
        </xdr:grpSpPr>
        <xdr:sp macro="" textlink="">
          <xdr:nvSpPr>
            <xdr:cNvPr id="58" name="CaixaDeTexto 34">
              <a:extLst>
                <a:ext uri="{FF2B5EF4-FFF2-40B4-BE49-F238E27FC236}">
                  <a16:creationId xmlns:a16="http://schemas.microsoft.com/office/drawing/2014/main" id="{CC36E551-CF28-55D9-49C6-37770E5C24A5}"/>
                </a:ext>
              </a:extLst>
            </xdr:cNvPr>
            <xdr:cNvSpPr txBox="1"/>
          </xdr:nvSpPr>
          <xdr:spPr>
            <a:xfrm>
              <a:off x="8805633" y="6700157"/>
              <a:ext cx="398239" cy="19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59" name="Seta: para a Direita 35">
              <a:extLst>
                <a:ext uri="{FF2B5EF4-FFF2-40B4-BE49-F238E27FC236}">
                  <a16:creationId xmlns:a16="http://schemas.microsoft.com/office/drawing/2014/main" id="{110A2098-5F74-C690-21A3-D7B9EDB3142B}"/>
                </a:ext>
              </a:extLst>
            </xdr:cNvPr>
            <xdr:cNvSpPr/>
          </xdr:nvSpPr>
          <xdr:spPr>
            <a:xfrm rot="10800000">
              <a:off x="8811986" y="6781800"/>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15</xdr:col>
      <xdr:colOff>381963</xdr:colOff>
      <xdr:row>43</xdr:row>
      <xdr:rowOff>10430</xdr:rowOff>
    </xdr:from>
    <xdr:to>
      <xdr:col>17</xdr:col>
      <xdr:colOff>226502</xdr:colOff>
      <xdr:row>52</xdr:row>
      <xdr:rowOff>146009</xdr:rowOff>
    </xdr:to>
    <xdr:graphicFrame macro="">
      <xdr:nvGraphicFramePr>
        <xdr:cNvPr id="60" name="Gráfico 7">
          <a:extLst>
            <a:ext uri="{FF2B5EF4-FFF2-40B4-BE49-F238E27FC236}">
              <a16:creationId xmlns:a16="http://schemas.microsoft.com/office/drawing/2014/main" id="{55467385-8404-4543-AA54-EB55BDEEB4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15</xdr:col>
      <xdr:colOff>371671</xdr:colOff>
      <xdr:row>43</xdr:row>
      <xdr:rowOff>24625</xdr:rowOff>
    </xdr:from>
    <xdr:to>
      <xdr:col>17</xdr:col>
      <xdr:colOff>200607</xdr:colOff>
      <xdr:row>50</xdr:row>
      <xdr:rowOff>175921</xdr:rowOff>
    </xdr:to>
    <xdr:grpSp>
      <xdr:nvGrpSpPr>
        <xdr:cNvPr id="41" name="Agrupar 40">
          <a:extLst>
            <a:ext uri="{FF2B5EF4-FFF2-40B4-BE49-F238E27FC236}">
              <a16:creationId xmlns:a16="http://schemas.microsoft.com/office/drawing/2014/main" id="{8F1F4261-16D4-40E0-A1E7-A45DD5337B87}"/>
            </a:ext>
          </a:extLst>
        </xdr:cNvPr>
        <xdr:cNvGrpSpPr/>
      </xdr:nvGrpSpPr>
      <xdr:grpSpPr>
        <a:xfrm>
          <a:off x="10496746" y="10054450"/>
          <a:ext cx="1362461" cy="1484796"/>
          <a:chOff x="7614556" y="5840185"/>
          <a:chExt cx="1583301" cy="1230841"/>
        </a:xfrm>
      </xdr:grpSpPr>
      <xdr:grpSp>
        <xdr:nvGrpSpPr>
          <xdr:cNvPr id="42" name="Agrupar 41">
            <a:extLst>
              <a:ext uri="{FF2B5EF4-FFF2-40B4-BE49-F238E27FC236}">
                <a16:creationId xmlns:a16="http://schemas.microsoft.com/office/drawing/2014/main" id="{68EBA7BD-5F3E-93DC-8405-9824D447F11B}"/>
              </a:ext>
            </a:extLst>
          </xdr:cNvPr>
          <xdr:cNvGrpSpPr/>
        </xdr:nvGrpSpPr>
        <xdr:grpSpPr>
          <a:xfrm>
            <a:off x="7690757" y="5840185"/>
            <a:ext cx="505502" cy="251482"/>
            <a:chOff x="7690757" y="5840185"/>
            <a:chExt cx="505502" cy="251482"/>
          </a:xfrm>
        </xdr:grpSpPr>
        <xdr:sp macro="" textlink="">
          <xdr:nvSpPr>
            <xdr:cNvPr id="49" name="CaixaDeTexto 48">
              <a:extLst>
                <a:ext uri="{FF2B5EF4-FFF2-40B4-BE49-F238E27FC236}">
                  <a16:creationId xmlns:a16="http://schemas.microsoft.com/office/drawing/2014/main" id="{CA559590-BAE5-A8BA-FC52-FD8EB18B27F1}"/>
                </a:ext>
              </a:extLst>
            </xdr:cNvPr>
            <xdr:cNvSpPr txBox="1"/>
          </xdr:nvSpPr>
          <xdr:spPr>
            <a:xfrm>
              <a:off x="7690757" y="5840185"/>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50" name="Seta: para a Direita 49">
              <a:extLst>
                <a:ext uri="{FF2B5EF4-FFF2-40B4-BE49-F238E27FC236}">
                  <a16:creationId xmlns:a16="http://schemas.microsoft.com/office/drawing/2014/main" id="{4A166C96-C618-7DCE-3EED-32F31A4B54E7}"/>
                </a:ext>
              </a:extLst>
            </xdr:cNvPr>
            <xdr:cNvSpPr/>
          </xdr:nvSpPr>
          <xdr:spPr>
            <a:xfrm>
              <a:off x="8060872" y="5921829"/>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43" name="Agrupar 42">
            <a:extLst>
              <a:ext uri="{FF2B5EF4-FFF2-40B4-BE49-F238E27FC236}">
                <a16:creationId xmlns:a16="http://schemas.microsoft.com/office/drawing/2014/main" id="{DC03AC1B-C696-79EE-8E6D-F323BAFE5A7F}"/>
              </a:ext>
            </a:extLst>
          </xdr:cNvPr>
          <xdr:cNvGrpSpPr/>
        </xdr:nvGrpSpPr>
        <xdr:grpSpPr>
          <a:xfrm>
            <a:off x="7614556" y="6562739"/>
            <a:ext cx="631372" cy="508287"/>
            <a:chOff x="7614556" y="6562739"/>
            <a:chExt cx="631372" cy="508287"/>
          </a:xfrm>
        </xdr:grpSpPr>
        <xdr:sp macro="" textlink="">
          <xdr:nvSpPr>
            <xdr:cNvPr id="47" name="CaixaDeTexto 46">
              <a:extLst>
                <a:ext uri="{FF2B5EF4-FFF2-40B4-BE49-F238E27FC236}">
                  <a16:creationId xmlns:a16="http://schemas.microsoft.com/office/drawing/2014/main" id="{B10D8E11-83C3-CA90-A889-2626F5489060}"/>
                </a:ext>
              </a:extLst>
            </xdr:cNvPr>
            <xdr:cNvSpPr txBox="1"/>
          </xdr:nvSpPr>
          <xdr:spPr>
            <a:xfrm>
              <a:off x="7614556" y="6562739"/>
              <a:ext cx="631372" cy="508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48" name="Seta: para a Direita 47">
              <a:extLst>
                <a:ext uri="{FF2B5EF4-FFF2-40B4-BE49-F238E27FC236}">
                  <a16:creationId xmlns:a16="http://schemas.microsoft.com/office/drawing/2014/main" id="{A28C50E2-89CB-A6FA-2FE5-402A4C664DBA}"/>
                </a:ext>
              </a:extLst>
            </xdr:cNvPr>
            <xdr:cNvSpPr/>
          </xdr:nvSpPr>
          <xdr:spPr>
            <a:xfrm>
              <a:off x="8045419" y="6672943"/>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44" name="Agrupar 43">
            <a:extLst>
              <a:ext uri="{FF2B5EF4-FFF2-40B4-BE49-F238E27FC236}">
                <a16:creationId xmlns:a16="http://schemas.microsoft.com/office/drawing/2014/main" id="{F28FB04F-48FA-1350-3746-C75BD4EB7E8F}"/>
              </a:ext>
            </a:extLst>
          </xdr:cNvPr>
          <xdr:cNvGrpSpPr/>
        </xdr:nvGrpSpPr>
        <xdr:grpSpPr>
          <a:xfrm>
            <a:off x="8735786" y="6709283"/>
            <a:ext cx="462071" cy="195511"/>
            <a:chOff x="8735786" y="6709283"/>
            <a:chExt cx="462071" cy="195511"/>
          </a:xfrm>
        </xdr:grpSpPr>
        <xdr:sp macro="" textlink="">
          <xdr:nvSpPr>
            <xdr:cNvPr id="45" name="CaixaDeTexto 44">
              <a:extLst>
                <a:ext uri="{FF2B5EF4-FFF2-40B4-BE49-F238E27FC236}">
                  <a16:creationId xmlns:a16="http://schemas.microsoft.com/office/drawing/2014/main" id="{93C1BAAC-5686-4C34-BBAE-C50CCA7464F5}"/>
                </a:ext>
              </a:extLst>
            </xdr:cNvPr>
            <xdr:cNvSpPr txBox="1"/>
          </xdr:nvSpPr>
          <xdr:spPr>
            <a:xfrm>
              <a:off x="8780476" y="6709283"/>
              <a:ext cx="417381" cy="195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46" name="Seta: para a Direita 45">
              <a:extLst>
                <a:ext uri="{FF2B5EF4-FFF2-40B4-BE49-F238E27FC236}">
                  <a16:creationId xmlns:a16="http://schemas.microsoft.com/office/drawing/2014/main" id="{201ABEAE-E99E-AC02-9F1A-B20826FB2965}"/>
                </a:ext>
              </a:extLst>
            </xdr:cNvPr>
            <xdr:cNvSpPr/>
          </xdr:nvSpPr>
          <xdr:spPr>
            <a:xfrm rot="10800000">
              <a:off x="8735786" y="6787242"/>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10</xdr:col>
      <xdr:colOff>193194</xdr:colOff>
      <xdr:row>55</xdr:row>
      <xdr:rowOff>168252</xdr:rowOff>
    </xdr:from>
    <xdr:to>
      <xdr:col>13</xdr:col>
      <xdr:colOff>517719</xdr:colOff>
      <xdr:row>63</xdr:row>
      <xdr:rowOff>30358</xdr:rowOff>
    </xdr:to>
    <xdr:graphicFrame macro="">
      <xdr:nvGraphicFramePr>
        <xdr:cNvPr id="368" name="Gráfico 58">
          <a:extLst>
            <a:ext uri="{FF2B5EF4-FFF2-40B4-BE49-F238E27FC236}">
              <a16:creationId xmlns:a16="http://schemas.microsoft.com/office/drawing/2014/main" id="{7AB1DFB6-F9E4-FC19-B3DA-561D727D1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15</xdr:col>
      <xdr:colOff>410547</xdr:colOff>
      <xdr:row>26</xdr:row>
      <xdr:rowOff>88251</xdr:rowOff>
    </xdr:from>
    <xdr:to>
      <xdr:col>17</xdr:col>
      <xdr:colOff>177280</xdr:colOff>
      <xdr:row>28</xdr:row>
      <xdr:rowOff>369185</xdr:rowOff>
    </xdr:to>
    <xdr:grpSp>
      <xdr:nvGrpSpPr>
        <xdr:cNvPr id="383" name="Agrupar 86">
          <a:extLst>
            <a:ext uri="{FF2B5EF4-FFF2-40B4-BE49-F238E27FC236}">
              <a16:creationId xmlns:a16="http://schemas.microsoft.com/office/drawing/2014/main" id="{893DC00A-3D54-4C41-8759-EFA9A80B0F2E}"/>
            </a:ext>
          </a:extLst>
        </xdr:cNvPr>
        <xdr:cNvGrpSpPr/>
      </xdr:nvGrpSpPr>
      <xdr:grpSpPr>
        <a:xfrm>
          <a:off x="10535622" y="6260451"/>
          <a:ext cx="1300258" cy="1138184"/>
          <a:chOff x="7591943" y="5921828"/>
          <a:chExt cx="1653070" cy="1132869"/>
        </a:xfrm>
      </xdr:grpSpPr>
      <xdr:grpSp>
        <xdr:nvGrpSpPr>
          <xdr:cNvPr id="384" name="Agrupar 87">
            <a:extLst>
              <a:ext uri="{FF2B5EF4-FFF2-40B4-BE49-F238E27FC236}">
                <a16:creationId xmlns:a16="http://schemas.microsoft.com/office/drawing/2014/main" id="{2F964B60-06DE-59C2-E305-EBD177E9FD35}"/>
              </a:ext>
            </a:extLst>
          </xdr:cNvPr>
          <xdr:cNvGrpSpPr/>
        </xdr:nvGrpSpPr>
        <xdr:grpSpPr>
          <a:xfrm>
            <a:off x="7794417" y="5921828"/>
            <a:ext cx="505502" cy="248957"/>
            <a:chOff x="7794419" y="5921828"/>
            <a:chExt cx="505502" cy="248957"/>
          </a:xfrm>
        </xdr:grpSpPr>
        <xdr:sp macro="" textlink="">
          <xdr:nvSpPr>
            <xdr:cNvPr id="385" name="CaixaDeTexto 94">
              <a:extLst>
                <a:ext uri="{FF2B5EF4-FFF2-40B4-BE49-F238E27FC236}">
                  <a16:creationId xmlns:a16="http://schemas.microsoft.com/office/drawing/2014/main" id="{2BF05DA9-9699-C868-66BF-6FFED07B2D1D}"/>
                </a:ext>
              </a:extLst>
            </xdr:cNvPr>
            <xdr:cNvSpPr txBox="1"/>
          </xdr:nvSpPr>
          <xdr:spPr>
            <a:xfrm>
              <a:off x="7794419" y="5921828"/>
              <a:ext cx="505502" cy="248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386" name="Seta: para a Direita 95">
              <a:extLst>
                <a:ext uri="{FF2B5EF4-FFF2-40B4-BE49-F238E27FC236}">
                  <a16:creationId xmlns:a16="http://schemas.microsoft.com/office/drawing/2014/main" id="{7CFDB06D-6AB2-53D6-ABD4-DC536A2B8646}"/>
                </a:ext>
              </a:extLst>
            </xdr:cNvPr>
            <xdr:cNvSpPr/>
          </xdr:nvSpPr>
          <xdr:spPr>
            <a:xfrm>
              <a:off x="8188912" y="5995729"/>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387" name="Agrupar 88">
            <a:extLst>
              <a:ext uri="{FF2B5EF4-FFF2-40B4-BE49-F238E27FC236}">
                <a16:creationId xmlns:a16="http://schemas.microsoft.com/office/drawing/2014/main" id="{711AB5B8-9495-E248-F4C1-A5360C16C606}"/>
              </a:ext>
            </a:extLst>
          </xdr:cNvPr>
          <xdr:cNvGrpSpPr/>
        </xdr:nvGrpSpPr>
        <xdr:grpSpPr>
          <a:xfrm>
            <a:off x="7591943" y="6564086"/>
            <a:ext cx="643730" cy="490611"/>
            <a:chOff x="7591946" y="6564086"/>
            <a:chExt cx="643730" cy="490611"/>
          </a:xfrm>
        </xdr:grpSpPr>
        <xdr:sp macro="" textlink="">
          <xdr:nvSpPr>
            <xdr:cNvPr id="388" name="CaixaDeTexto 92">
              <a:extLst>
                <a:ext uri="{FF2B5EF4-FFF2-40B4-BE49-F238E27FC236}">
                  <a16:creationId xmlns:a16="http://schemas.microsoft.com/office/drawing/2014/main" id="{7404A514-35AA-1997-5386-11EF88DF7303}"/>
                </a:ext>
              </a:extLst>
            </xdr:cNvPr>
            <xdr:cNvSpPr txBox="1"/>
          </xdr:nvSpPr>
          <xdr:spPr>
            <a:xfrm>
              <a:off x="7591946" y="6564086"/>
              <a:ext cx="643730"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389" name="Seta: para a Direita 93">
              <a:extLst>
                <a:ext uri="{FF2B5EF4-FFF2-40B4-BE49-F238E27FC236}">
                  <a16:creationId xmlns:a16="http://schemas.microsoft.com/office/drawing/2014/main" id="{25A62859-3ABD-ACF3-8723-54F591D8FCE2}"/>
                </a:ext>
              </a:extLst>
            </xdr:cNvPr>
            <xdr:cNvSpPr/>
          </xdr:nvSpPr>
          <xdr:spPr>
            <a:xfrm>
              <a:off x="8045419" y="6672943"/>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390" name="Agrupar 89">
            <a:extLst>
              <a:ext uri="{FF2B5EF4-FFF2-40B4-BE49-F238E27FC236}">
                <a16:creationId xmlns:a16="http://schemas.microsoft.com/office/drawing/2014/main" id="{F7BEA502-9EF8-8085-FE2E-B03A1170044D}"/>
              </a:ext>
            </a:extLst>
          </xdr:cNvPr>
          <xdr:cNvGrpSpPr/>
        </xdr:nvGrpSpPr>
        <xdr:grpSpPr>
          <a:xfrm>
            <a:off x="8811986" y="6700157"/>
            <a:ext cx="433027" cy="176893"/>
            <a:chOff x="8811986" y="6700157"/>
            <a:chExt cx="433027" cy="176893"/>
          </a:xfrm>
        </xdr:grpSpPr>
        <xdr:sp macro="" textlink="">
          <xdr:nvSpPr>
            <xdr:cNvPr id="391" name="CaixaDeTexto 90">
              <a:extLst>
                <a:ext uri="{FF2B5EF4-FFF2-40B4-BE49-F238E27FC236}">
                  <a16:creationId xmlns:a16="http://schemas.microsoft.com/office/drawing/2014/main" id="{CC94F200-4658-C631-13A7-AE37F3A8047E}"/>
                </a:ext>
              </a:extLst>
            </xdr:cNvPr>
            <xdr:cNvSpPr txBox="1"/>
          </xdr:nvSpPr>
          <xdr:spPr>
            <a:xfrm>
              <a:off x="8833759" y="6700157"/>
              <a:ext cx="411254" cy="17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392" name="Seta: para a Direita 91">
              <a:extLst>
                <a:ext uri="{FF2B5EF4-FFF2-40B4-BE49-F238E27FC236}">
                  <a16:creationId xmlns:a16="http://schemas.microsoft.com/office/drawing/2014/main" id="{F18D3AFB-2CE4-B6FE-F06E-76341460C81F}"/>
                </a:ext>
              </a:extLst>
            </xdr:cNvPr>
            <xdr:cNvSpPr/>
          </xdr:nvSpPr>
          <xdr:spPr>
            <a:xfrm rot="10800000">
              <a:off x="8811986" y="6781800"/>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11</xdr:col>
      <xdr:colOff>652627</xdr:colOff>
      <xdr:row>33</xdr:row>
      <xdr:rowOff>103995</xdr:rowOff>
    </xdr:from>
    <xdr:to>
      <xdr:col>15</xdr:col>
      <xdr:colOff>378636</xdr:colOff>
      <xdr:row>39</xdr:row>
      <xdr:rowOff>52481</xdr:rowOff>
    </xdr:to>
    <xdr:grpSp>
      <xdr:nvGrpSpPr>
        <xdr:cNvPr id="5" name="Agrupar 4">
          <a:extLst>
            <a:ext uri="{FF2B5EF4-FFF2-40B4-BE49-F238E27FC236}">
              <a16:creationId xmlns:a16="http://schemas.microsoft.com/office/drawing/2014/main" id="{A238CDEB-F314-0D9F-AFE2-692D4A1E42BE}"/>
            </a:ext>
          </a:extLst>
        </xdr:cNvPr>
        <xdr:cNvGrpSpPr/>
      </xdr:nvGrpSpPr>
      <xdr:grpSpPr>
        <a:xfrm>
          <a:off x="8891752" y="8228820"/>
          <a:ext cx="1611959" cy="1091486"/>
          <a:chOff x="6128661" y="7709806"/>
          <a:chExt cx="1556361" cy="1042309"/>
        </a:xfrm>
      </xdr:grpSpPr>
      <xdr:grpSp>
        <xdr:nvGrpSpPr>
          <xdr:cNvPr id="312" name="Agrupar 97">
            <a:extLst>
              <a:ext uri="{FF2B5EF4-FFF2-40B4-BE49-F238E27FC236}">
                <a16:creationId xmlns:a16="http://schemas.microsoft.com/office/drawing/2014/main" id="{AC49973B-34AB-A51A-8B4E-31299F9A8D2C}"/>
              </a:ext>
            </a:extLst>
          </xdr:cNvPr>
          <xdr:cNvGrpSpPr/>
        </xdr:nvGrpSpPr>
        <xdr:grpSpPr>
          <a:xfrm>
            <a:off x="7154731" y="7709806"/>
            <a:ext cx="455435" cy="251482"/>
            <a:chOff x="8778768" y="5867399"/>
            <a:chExt cx="554300" cy="251482"/>
          </a:xfrm>
        </xdr:grpSpPr>
        <xdr:sp macro="" textlink="">
          <xdr:nvSpPr>
            <xdr:cNvPr id="313" name="CaixaDeTexto 104">
              <a:extLst>
                <a:ext uri="{FF2B5EF4-FFF2-40B4-BE49-F238E27FC236}">
                  <a16:creationId xmlns:a16="http://schemas.microsoft.com/office/drawing/2014/main" id="{FB149379-B4C0-6E73-6D2B-253076F7CE4B}"/>
                </a:ext>
              </a:extLst>
            </xdr:cNvPr>
            <xdr:cNvSpPr txBox="1"/>
          </xdr:nvSpPr>
          <xdr:spPr>
            <a:xfrm>
              <a:off x="8782217" y="5867399"/>
              <a:ext cx="550851"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314" name="Seta: para a Direita 105">
              <a:extLst>
                <a:ext uri="{FF2B5EF4-FFF2-40B4-BE49-F238E27FC236}">
                  <a16:creationId xmlns:a16="http://schemas.microsoft.com/office/drawing/2014/main" id="{7E19A27F-EDB7-2C3B-387E-A3117762080F}"/>
                </a:ext>
              </a:extLst>
            </xdr:cNvPr>
            <xdr:cNvSpPr/>
          </xdr:nvSpPr>
          <xdr:spPr>
            <a:xfrm rot="10554565">
              <a:off x="8778768" y="5959928"/>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315" name="Agrupar 98">
            <a:extLst>
              <a:ext uri="{FF2B5EF4-FFF2-40B4-BE49-F238E27FC236}">
                <a16:creationId xmlns:a16="http://schemas.microsoft.com/office/drawing/2014/main" id="{EC06CC8D-B0EB-8D61-56EB-5E11194DC527}"/>
              </a:ext>
            </a:extLst>
          </xdr:cNvPr>
          <xdr:cNvGrpSpPr/>
        </xdr:nvGrpSpPr>
        <xdr:grpSpPr>
          <a:xfrm>
            <a:off x="6128661" y="8395608"/>
            <a:ext cx="598599" cy="356507"/>
            <a:chOff x="7529960" y="6553201"/>
            <a:chExt cx="728542" cy="356507"/>
          </a:xfrm>
        </xdr:grpSpPr>
        <xdr:sp macro="" textlink="">
          <xdr:nvSpPr>
            <xdr:cNvPr id="316" name="CaixaDeTexto 102">
              <a:extLst>
                <a:ext uri="{FF2B5EF4-FFF2-40B4-BE49-F238E27FC236}">
                  <a16:creationId xmlns:a16="http://schemas.microsoft.com/office/drawing/2014/main" id="{95D80FF3-A2EF-6680-1102-08DFF6694BD3}"/>
                </a:ext>
              </a:extLst>
            </xdr:cNvPr>
            <xdr:cNvSpPr txBox="1"/>
          </xdr:nvSpPr>
          <xdr:spPr>
            <a:xfrm>
              <a:off x="7529960" y="6553201"/>
              <a:ext cx="728542" cy="356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317" name="Seta: para a Direita 103">
              <a:extLst>
                <a:ext uri="{FF2B5EF4-FFF2-40B4-BE49-F238E27FC236}">
                  <a16:creationId xmlns:a16="http://schemas.microsoft.com/office/drawing/2014/main" id="{E0C3A0FE-5BAD-1249-16B1-9BB08A3ADFA7}"/>
                </a:ext>
              </a:extLst>
            </xdr:cNvPr>
            <xdr:cNvSpPr/>
          </xdr:nvSpPr>
          <xdr:spPr>
            <a:xfrm>
              <a:off x="7978654" y="6645730"/>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318" name="Agrupar 99">
            <a:extLst>
              <a:ext uri="{FF2B5EF4-FFF2-40B4-BE49-F238E27FC236}">
                <a16:creationId xmlns:a16="http://schemas.microsoft.com/office/drawing/2014/main" id="{7C991746-459C-80D3-1A15-9167706A1D51}"/>
              </a:ext>
            </a:extLst>
          </xdr:cNvPr>
          <xdr:cNvGrpSpPr/>
        </xdr:nvGrpSpPr>
        <xdr:grpSpPr>
          <a:xfrm>
            <a:off x="7280483" y="8542564"/>
            <a:ext cx="404539" cy="198665"/>
            <a:chOff x="8931817" y="6700157"/>
            <a:chExt cx="492355" cy="198665"/>
          </a:xfrm>
        </xdr:grpSpPr>
        <xdr:sp macro="" textlink="">
          <xdr:nvSpPr>
            <xdr:cNvPr id="319" name="CaixaDeTexto 100">
              <a:extLst>
                <a:ext uri="{FF2B5EF4-FFF2-40B4-BE49-F238E27FC236}">
                  <a16:creationId xmlns:a16="http://schemas.microsoft.com/office/drawing/2014/main" id="{145118D8-E11F-5353-260F-E622F424F0C3}"/>
                </a:ext>
              </a:extLst>
            </xdr:cNvPr>
            <xdr:cNvSpPr txBox="1"/>
          </xdr:nvSpPr>
          <xdr:spPr>
            <a:xfrm>
              <a:off x="8931817" y="6700157"/>
              <a:ext cx="492355" cy="19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320" name="Seta: para a Direita 101">
              <a:extLst>
                <a:ext uri="{FF2B5EF4-FFF2-40B4-BE49-F238E27FC236}">
                  <a16:creationId xmlns:a16="http://schemas.microsoft.com/office/drawing/2014/main" id="{498337CE-6B25-E59A-A281-4C24C2871999}"/>
                </a:ext>
              </a:extLst>
            </xdr:cNvPr>
            <xdr:cNvSpPr/>
          </xdr:nvSpPr>
          <xdr:spPr>
            <a:xfrm rot="10800000">
              <a:off x="8937825" y="6798129"/>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11</xdr:col>
      <xdr:colOff>712887</xdr:colOff>
      <xdr:row>43</xdr:row>
      <xdr:rowOff>51060</xdr:rowOff>
    </xdr:from>
    <xdr:to>
      <xdr:col>15</xdr:col>
      <xdr:colOff>288679</xdr:colOff>
      <xdr:row>49</xdr:row>
      <xdr:rowOff>86742</xdr:rowOff>
    </xdr:to>
    <xdr:grpSp>
      <xdr:nvGrpSpPr>
        <xdr:cNvPr id="107" name="Agrupar 106">
          <a:extLst>
            <a:ext uri="{FF2B5EF4-FFF2-40B4-BE49-F238E27FC236}">
              <a16:creationId xmlns:a16="http://schemas.microsoft.com/office/drawing/2014/main" id="{D72BFF02-4439-45B4-9AE1-3F2E6C9FD66C}"/>
            </a:ext>
          </a:extLst>
        </xdr:cNvPr>
        <xdr:cNvGrpSpPr/>
      </xdr:nvGrpSpPr>
      <xdr:grpSpPr>
        <a:xfrm>
          <a:off x="8952012" y="10080885"/>
          <a:ext cx="1461742" cy="1178682"/>
          <a:chOff x="7634508" y="5916385"/>
          <a:chExt cx="1616056" cy="1138312"/>
        </a:xfrm>
      </xdr:grpSpPr>
      <xdr:sp macro="" textlink="">
        <xdr:nvSpPr>
          <xdr:cNvPr id="115" name="CaixaDeTexto 114">
            <a:extLst>
              <a:ext uri="{FF2B5EF4-FFF2-40B4-BE49-F238E27FC236}">
                <a16:creationId xmlns:a16="http://schemas.microsoft.com/office/drawing/2014/main" id="{75C48E35-4829-AA54-9F66-F73072481FB7}"/>
              </a:ext>
            </a:extLst>
          </xdr:cNvPr>
          <xdr:cNvSpPr txBox="1"/>
        </xdr:nvSpPr>
        <xdr:spPr>
          <a:xfrm>
            <a:off x="8729796" y="5916385"/>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grpSp>
        <xdr:nvGrpSpPr>
          <xdr:cNvPr id="109" name="Agrupar 108">
            <a:extLst>
              <a:ext uri="{FF2B5EF4-FFF2-40B4-BE49-F238E27FC236}">
                <a16:creationId xmlns:a16="http://schemas.microsoft.com/office/drawing/2014/main" id="{37F43A40-D718-34FC-EF94-03A5F0B340F1}"/>
              </a:ext>
            </a:extLst>
          </xdr:cNvPr>
          <xdr:cNvGrpSpPr/>
        </xdr:nvGrpSpPr>
        <xdr:grpSpPr>
          <a:xfrm>
            <a:off x="7634508" y="6564086"/>
            <a:ext cx="560615" cy="490611"/>
            <a:chOff x="7634508" y="6564086"/>
            <a:chExt cx="560615" cy="490611"/>
          </a:xfrm>
        </xdr:grpSpPr>
        <xdr:sp macro="" textlink="">
          <xdr:nvSpPr>
            <xdr:cNvPr id="113" name="CaixaDeTexto 112">
              <a:extLst>
                <a:ext uri="{FF2B5EF4-FFF2-40B4-BE49-F238E27FC236}">
                  <a16:creationId xmlns:a16="http://schemas.microsoft.com/office/drawing/2014/main" id="{A029D988-FF6C-C27C-4C1C-F83F7E284D27}"/>
                </a:ext>
              </a:extLst>
            </xdr:cNvPr>
            <xdr:cNvSpPr txBox="1"/>
          </xdr:nvSpPr>
          <xdr:spPr>
            <a:xfrm>
              <a:off x="7634508" y="6564086"/>
              <a:ext cx="560615"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14" name="Seta: para a Direita 113">
              <a:extLst>
                <a:ext uri="{FF2B5EF4-FFF2-40B4-BE49-F238E27FC236}">
                  <a16:creationId xmlns:a16="http://schemas.microsoft.com/office/drawing/2014/main" id="{60C9F2EF-3EE9-9876-EEAA-4DC7B8E79F2B}"/>
                </a:ext>
              </a:extLst>
            </xdr:cNvPr>
            <xdr:cNvSpPr/>
          </xdr:nvSpPr>
          <xdr:spPr>
            <a:xfrm>
              <a:off x="8045419" y="6672943"/>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10" name="Agrupar 109">
            <a:extLst>
              <a:ext uri="{FF2B5EF4-FFF2-40B4-BE49-F238E27FC236}">
                <a16:creationId xmlns:a16="http://schemas.microsoft.com/office/drawing/2014/main" id="{3F935B14-636D-5502-E917-DE33E3AD947F}"/>
              </a:ext>
            </a:extLst>
          </xdr:cNvPr>
          <xdr:cNvGrpSpPr/>
        </xdr:nvGrpSpPr>
        <xdr:grpSpPr>
          <a:xfrm>
            <a:off x="8833004" y="6700157"/>
            <a:ext cx="417560" cy="217714"/>
            <a:chOff x="8833004" y="6700157"/>
            <a:chExt cx="417560" cy="217714"/>
          </a:xfrm>
        </xdr:grpSpPr>
        <xdr:sp macro="" textlink="">
          <xdr:nvSpPr>
            <xdr:cNvPr id="111" name="CaixaDeTexto 110">
              <a:extLst>
                <a:ext uri="{FF2B5EF4-FFF2-40B4-BE49-F238E27FC236}">
                  <a16:creationId xmlns:a16="http://schemas.microsoft.com/office/drawing/2014/main" id="{C8691FBF-DC70-0BCD-0F26-5DFD02A8FCFE}"/>
                </a:ext>
              </a:extLst>
            </xdr:cNvPr>
            <xdr:cNvSpPr txBox="1"/>
          </xdr:nvSpPr>
          <xdr:spPr>
            <a:xfrm>
              <a:off x="8833145" y="6700157"/>
              <a:ext cx="417419"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12" name="Seta: para a Direita 111">
              <a:extLst>
                <a:ext uri="{FF2B5EF4-FFF2-40B4-BE49-F238E27FC236}">
                  <a16:creationId xmlns:a16="http://schemas.microsoft.com/office/drawing/2014/main" id="{D6090C76-5E44-7C37-E166-E301EACF8BE0}"/>
                </a:ext>
              </a:extLst>
            </xdr:cNvPr>
            <xdr:cNvSpPr/>
          </xdr:nvSpPr>
          <xdr:spPr>
            <a:xfrm rot="10800000">
              <a:off x="8833004" y="6787243"/>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13</xdr:col>
      <xdr:colOff>488305</xdr:colOff>
      <xdr:row>44</xdr:row>
      <xdr:rowOff>116638</xdr:rowOff>
    </xdr:from>
    <xdr:to>
      <xdr:col>15</xdr:col>
      <xdr:colOff>59893</xdr:colOff>
      <xdr:row>47</xdr:row>
      <xdr:rowOff>24623</xdr:rowOff>
    </xdr:to>
    <xdr:cxnSp macro="">
      <xdr:nvCxnSpPr>
        <xdr:cNvPr id="119" name="Conector: Angulado 118">
          <a:extLst>
            <a:ext uri="{FF2B5EF4-FFF2-40B4-BE49-F238E27FC236}">
              <a16:creationId xmlns:a16="http://schemas.microsoft.com/office/drawing/2014/main" id="{D8E5E35D-95FB-F568-F8CB-FB75906A6D06}"/>
            </a:ext>
          </a:extLst>
        </xdr:cNvPr>
        <xdr:cNvCxnSpPr>
          <a:stCxn id="115" idx="2"/>
        </xdr:cNvCxnSpPr>
      </xdr:nvCxnSpPr>
      <xdr:spPr>
        <a:xfrm rot="5400000">
          <a:off x="7892900" y="10294996"/>
          <a:ext cx="465554" cy="451517"/>
        </a:xfrm>
        <a:prstGeom prst="bentConnector3">
          <a:avLst>
            <a:gd name="adj1" fmla="val 16597"/>
          </a:avLst>
        </a:prstGeom>
        <a:ln w="25400">
          <a:solidFill>
            <a:srgbClr val="FF9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30</xdr:col>
      <xdr:colOff>135569</xdr:colOff>
      <xdr:row>25</xdr:row>
      <xdr:rowOff>5571</xdr:rowOff>
    </xdr:from>
    <xdr:to>
      <xdr:col>32</xdr:col>
      <xdr:colOff>186809</xdr:colOff>
      <xdr:row>32</xdr:row>
      <xdr:rowOff>78687</xdr:rowOff>
    </xdr:to>
    <xdr:graphicFrame macro="">
      <xdr:nvGraphicFramePr>
        <xdr:cNvPr id="15" name="Gráfico 14">
          <a:extLst>
            <a:ext uri="{FF2B5EF4-FFF2-40B4-BE49-F238E27FC236}">
              <a16:creationId xmlns:a16="http://schemas.microsoft.com/office/drawing/2014/main" id="{9344A2C6-8FD8-4410-8B63-97430588BB2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30</xdr:col>
      <xdr:colOff>113622</xdr:colOff>
      <xdr:row>26</xdr:row>
      <xdr:rowOff>25471</xdr:rowOff>
    </xdr:from>
    <xdr:to>
      <xdr:col>32</xdr:col>
      <xdr:colOff>161144</xdr:colOff>
      <xdr:row>29</xdr:row>
      <xdr:rowOff>40907</xdr:rowOff>
    </xdr:to>
    <xdr:grpSp>
      <xdr:nvGrpSpPr>
        <xdr:cNvPr id="126" name="Agrupar 125">
          <a:extLst>
            <a:ext uri="{FF2B5EF4-FFF2-40B4-BE49-F238E27FC236}">
              <a16:creationId xmlns:a16="http://schemas.microsoft.com/office/drawing/2014/main" id="{6FA12E42-7C55-4B4A-A7F2-3661DB8A65C7}"/>
            </a:ext>
          </a:extLst>
        </xdr:cNvPr>
        <xdr:cNvGrpSpPr/>
      </xdr:nvGrpSpPr>
      <xdr:grpSpPr>
        <a:xfrm>
          <a:off x="19487472" y="6197671"/>
          <a:ext cx="1447697" cy="1301311"/>
          <a:chOff x="7685314" y="5754761"/>
          <a:chExt cx="1513428" cy="1299937"/>
        </a:xfrm>
      </xdr:grpSpPr>
      <xdr:grpSp>
        <xdr:nvGrpSpPr>
          <xdr:cNvPr id="127" name="Agrupar 126">
            <a:extLst>
              <a:ext uri="{FF2B5EF4-FFF2-40B4-BE49-F238E27FC236}">
                <a16:creationId xmlns:a16="http://schemas.microsoft.com/office/drawing/2014/main" id="{7497580A-9979-804B-9F73-E87D5956DC7B}"/>
              </a:ext>
            </a:extLst>
          </xdr:cNvPr>
          <xdr:cNvGrpSpPr/>
        </xdr:nvGrpSpPr>
        <xdr:grpSpPr>
          <a:xfrm>
            <a:off x="7756977" y="5754761"/>
            <a:ext cx="505502" cy="251482"/>
            <a:chOff x="7756977" y="5754761"/>
            <a:chExt cx="505502" cy="251482"/>
          </a:xfrm>
        </xdr:grpSpPr>
        <xdr:sp macro="" textlink="">
          <xdr:nvSpPr>
            <xdr:cNvPr id="134" name="CaixaDeTexto 133">
              <a:extLst>
                <a:ext uri="{FF2B5EF4-FFF2-40B4-BE49-F238E27FC236}">
                  <a16:creationId xmlns:a16="http://schemas.microsoft.com/office/drawing/2014/main" id="{54A7FCDC-66C0-574F-2418-7D4C1C892DFB}"/>
                </a:ext>
              </a:extLst>
            </xdr:cNvPr>
            <xdr:cNvSpPr txBox="1"/>
          </xdr:nvSpPr>
          <xdr:spPr>
            <a:xfrm>
              <a:off x="7756977" y="5754761"/>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135" name="Seta: para a Direita 134">
              <a:extLst>
                <a:ext uri="{FF2B5EF4-FFF2-40B4-BE49-F238E27FC236}">
                  <a16:creationId xmlns:a16="http://schemas.microsoft.com/office/drawing/2014/main" id="{37C39293-C40C-9F4C-523F-1E0CFD76A547}"/>
                </a:ext>
              </a:extLst>
            </xdr:cNvPr>
            <xdr:cNvSpPr/>
          </xdr:nvSpPr>
          <xdr:spPr>
            <a:xfrm>
              <a:off x="8119859" y="5848206"/>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28" name="Agrupar 127">
            <a:extLst>
              <a:ext uri="{FF2B5EF4-FFF2-40B4-BE49-F238E27FC236}">
                <a16:creationId xmlns:a16="http://schemas.microsoft.com/office/drawing/2014/main" id="{97D8B501-FA73-0D27-80B7-43812E62CF02}"/>
              </a:ext>
            </a:extLst>
          </xdr:cNvPr>
          <xdr:cNvGrpSpPr/>
        </xdr:nvGrpSpPr>
        <xdr:grpSpPr>
          <a:xfrm>
            <a:off x="7685314" y="6564087"/>
            <a:ext cx="560615" cy="490611"/>
            <a:chOff x="7685314" y="6564087"/>
            <a:chExt cx="560615" cy="490611"/>
          </a:xfrm>
        </xdr:grpSpPr>
        <xdr:sp macro="" textlink="">
          <xdr:nvSpPr>
            <xdr:cNvPr id="132" name="CaixaDeTexto 131">
              <a:extLst>
                <a:ext uri="{FF2B5EF4-FFF2-40B4-BE49-F238E27FC236}">
                  <a16:creationId xmlns:a16="http://schemas.microsoft.com/office/drawing/2014/main" id="{044E2EAF-FCC2-D179-B5D0-97210CB6647F}"/>
                </a:ext>
              </a:extLst>
            </xdr:cNvPr>
            <xdr:cNvSpPr txBox="1"/>
          </xdr:nvSpPr>
          <xdr:spPr>
            <a:xfrm>
              <a:off x="7685314" y="6564087"/>
              <a:ext cx="560615"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33" name="Seta: para a Direita 132">
              <a:extLst>
                <a:ext uri="{FF2B5EF4-FFF2-40B4-BE49-F238E27FC236}">
                  <a16:creationId xmlns:a16="http://schemas.microsoft.com/office/drawing/2014/main" id="{D3EFDEF9-1519-CBC1-F628-B1E438098352}"/>
                </a:ext>
              </a:extLst>
            </xdr:cNvPr>
            <xdr:cNvSpPr/>
          </xdr:nvSpPr>
          <xdr:spPr>
            <a:xfrm>
              <a:off x="8083519" y="6667500"/>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29" name="Agrupar 128">
            <a:extLst>
              <a:ext uri="{FF2B5EF4-FFF2-40B4-BE49-F238E27FC236}">
                <a16:creationId xmlns:a16="http://schemas.microsoft.com/office/drawing/2014/main" id="{8D783522-E4A6-53F5-485A-FC1BA53B5657}"/>
              </a:ext>
            </a:extLst>
          </xdr:cNvPr>
          <xdr:cNvGrpSpPr/>
        </xdr:nvGrpSpPr>
        <xdr:grpSpPr>
          <a:xfrm>
            <a:off x="8793856" y="6627819"/>
            <a:ext cx="404886" cy="195943"/>
            <a:chOff x="8793856" y="6627819"/>
            <a:chExt cx="404886" cy="195943"/>
          </a:xfrm>
        </xdr:grpSpPr>
        <xdr:sp macro="" textlink="">
          <xdr:nvSpPr>
            <xdr:cNvPr id="130" name="CaixaDeTexto 129">
              <a:extLst>
                <a:ext uri="{FF2B5EF4-FFF2-40B4-BE49-F238E27FC236}">
                  <a16:creationId xmlns:a16="http://schemas.microsoft.com/office/drawing/2014/main" id="{F3287ACC-B80E-0F5A-4A2A-BA5CD2E6D5E4}"/>
                </a:ext>
              </a:extLst>
            </xdr:cNvPr>
            <xdr:cNvSpPr txBox="1"/>
          </xdr:nvSpPr>
          <xdr:spPr>
            <a:xfrm>
              <a:off x="8809586" y="6627819"/>
              <a:ext cx="389156" cy="19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31" name="Seta: para a Direita 130">
              <a:extLst>
                <a:ext uri="{FF2B5EF4-FFF2-40B4-BE49-F238E27FC236}">
                  <a16:creationId xmlns:a16="http://schemas.microsoft.com/office/drawing/2014/main" id="{F8D9C093-B223-CAE1-8D89-4D9735C8AB7A}"/>
                </a:ext>
              </a:extLst>
            </xdr:cNvPr>
            <xdr:cNvSpPr/>
          </xdr:nvSpPr>
          <xdr:spPr>
            <a:xfrm rot="10800000">
              <a:off x="8793856" y="6721518"/>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30</xdr:col>
      <xdr:colOff>118563</xdr:colOff>
      <xdr:row>33</xdr:row>
      <xdr:rowOff>1683</xdr:rowOff>
    </xdr:from>
    <xdr:to>
      <xdr:col>32</xdr:col>
      <xdr:colOff>179712</xdr:colOff>
      <xdr:row>42</xdr:row>
      <xdr:rowOff>140462</xdr:rowOff>
    </xdr:to>
    <xdr:graphicFrame macro="">
      <xdr:nvGraphicFramePr>
        <xdr:cNvPr id="19" name="Gráfico 18">
          <a:extLst>
            <a:ext uri="{FF2B5EF4-FFF2-40B4-BE49-F238E27FC236}">
              <a16:creationId xmlns:a16="http://schemas.microsoft.com/office/drawing/2014/main" id="{71ADDDFD-85B9-4368-BBC4-D1FDD16B7D3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30</xdr:col>
      <xdr:colOff>128039</xdr:colOff>
      <xdr:row>33</xdr:row>
      <xdr:rowOff>113718</xdr:rowOff>
    </xdr:from>
    <xdr:to>
      <xdr:col>32</xdr:col>
      <xdr:colOff>163025</xdr:colOff>
      <xdr:row>42</xdr:row>
      <xdr:rowOff>130374</xdr:rowOff>
    </xdr:to>
    <xdr:grpSp>
      <xdr:nvGrpSpPr>
        <xdr:cNvPr id="136" name="Agrupar 135">
          <a:extLst>
            <a:ext uri="{FF2B5EF4-FFF2-40B4-BE49-F238E27FC236}">
              <a16:creationId xmlns:a16="http://schemas.microsoft.com/office/drawing/2014/main" id="{D1941174-1022-42A3-8C6E-D6A5CCEAB7E1}"/>
            </a:ext>
          </a:extLst>
        </xdr:cNvPr>
        <xdr:cNvGrpSpPr/>
      </xdr:nvGrpSpPr>
      <xdr:grpSpPr>
        <a:xfrm>
          <a:off x="19501889" y="8238543"/>
          <a:ext cx="1435161" cy="1731156"/>
          <a:chOff x="7673377" y="5825574"/>
          <a:chExt cx="1723440" cy="1223719"/>
        </a:xfrm>
      </xdr:grpSpPr>
      <xdr:grpSp>
        <xdr:nvGrpSpPr>
          <xdr:cNvPr id="137" name="Agrupar 136">
            <a:extLst>
              <a:ext uri="{FF2B5EF4-FFF2-40B4-BE49-F238E27FC236}">
                <a16:creationId xmlns:a16="http://schemas.microsoft.com/office/drawing/2014/main" id="{9319B9C1-FA38-EDAF-53CD-3D6C40F8F8B6}"/>
              </a:ext>
            </a:extLst>
          </xdr:cNvPr>
          <xdr:cNvGrpSpPr/>
        </xdr:nvGrpSpPr>
        <xdr:grpSpPr>
          <a:xfrm>
            <a:off x="7738010" y="5825574"/>
            <a:ext cx="505502" cy="251482"/>
            <a:chOff x="7738010" y="5825574"/>
            <a:chExt cx="505502" cy="251482"/>
          </a:xfrm>
        </xdr:grpSpPr>
        <xdr:sp macro="" textlink="">
          <xdr:nvSpPr>
            <xdr:cNvPr id="144" name="CaixaDeTexto 143">
              <a:extLst>
                <a:ext uri="{FF2B5EF4-FFF2-40B4-BE49-F238E27FC236}">
                  <a16:creationId xmlns:a16="http://schemas.microsoft.com/office/drawing/2014/main" id="{10C8D3C5-A791-2F6F-9981-C8B3F200B2F1}"/>
                </a:ext>
              </a:extLst>
            </xdr:cNvPr>
            <xdr:cNvSpPr txBox="1"/>
          </xdr:nvSpPr>
          <xdr:spPr>
            <a:xfrm>
              <a:off x="7738010" y="5825574"/>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145" name="Seta: para a Direita 144">
              <a:extLst>
                <a:ext uri="{FF2B5EF4-FFF2-40B4-BE49-F238E27FC236}">
                  <a16:creationId xmlns:a16="http://schemas.microsoft.com/office/drawing/2014/main" id="{B074A3BE-5182-A486-A978-B6075DFEA888}"/>
                </a:ext>
              </a:extLst>
            </xdr:cNvPr>
            <xdr:cNvSpPr/>
          </xdr:nvSpPr>
          <xdr:spPr>
            <a:xfrm>
              <a:off x="8130734" y="5919018"/>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38" name="Agrupar 137">
            <a:extLst>
              <a:ext uri="{FF2B5EF4-FFF2-40B4-BE49-F238E27FC236}">
                <a16:creationId xmlns:a16="http://schemas.microsoft.com/office/drawing/2014/main" id="{B200C374-F76B-8878-5ECD-60F0AF5B0929}"/>
              </a:ext>
            </a:extLst>
          </xdr:cNvPr>
          <xdr:cNvGrpSpPr/>
        </xdr:nvGrpSpPr>
        <xdr:grpSpPr>
          <a:xfrm>
            <a:off x="7673377" y="6558682"/>
            <a:ext cx="631224" cy="490611"/>
            <a:chOff x="7673377" y="6558682"/>
            <a:chExt cx="631224" cy="490611"/>
          </a:xfrm>
        </xdr:grpSpPr>
        <xdr:sp macro="" textlink="">
          <xdr:nvSpPr>
            <xdr:cNvPr id="142" name="CaixaDeTexto 141">
              <a:extLst>
                <a:ext uri="{FF2B5EF4-FFF2-40B4-BE49-F238E27FC236}">
                  <a16:creationId xmlns:a16="http://schemas.microsoft.com/office/drawing/2014/main" id="{F7D122A1-B18A-157A-A825-5DC773F23FEE}"/>
                </a:ext>
              </a:extLst>
            </xdr:cNvPr>
            <xdr:cNvSpPr txBox="1"/>
          </xdr:nvSpPr>
          <xdr:spPr>
            <a:xfrm>
              <a:off x="7673377" y="6558682"/>
              <a:ext cx="631224"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43" name="Seta: para a Direita 142">
              <a:extLst>
                <a:ext uri="{FF2B5EF4-FFF2-40B4-BE49-F238E27FC236}">
                  <a16:creationId xmlns:a16="http://schemas.microsoft.com/office/drawing/2014/main" id="{D2063766-0F7D-255D-4FFC-3DC91E705C69}"/>
                </a:ext>
              </a:extLst>
            </xdr:cNvPr>
            <xdr:cNvSpPr/>
          </xdr:nvSpPr>
          <xdr:spPr>
            <a:xfrm>
              <a:off x="8083519" y="6667500"/>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39" name="Agrupar 138">
            <a:extLst>
              <a:ext uri="{FF2B5EF4-FFF2-40B4-BE49-F238E27FC236}">
                <a16:creationId xmlns:a16="http://schemas.microsoft.com/office/drawing/2014/main" id="{F7FE20AE-ADA9-186F-792E-9009D3584E6C}"/>
              </a:ext>
            </a:extLst>
          </xdr:cNvPr>
          <xdr:cNvGrpSpPr/>
        </xdr:nvGrpSpPr>
        <xdr:grpSpPr>
          <a:xfrm>
            <a:off x="8950326" y="6424429"/>
            <a:ext cx="446491" cy="178616"/>
            <a:chOff x="8950326" y="6424429"/>
            <a:chExt cx="446491" cy="178616"/>
          </a:xfrm>
        </xdr:grpSpPr>
        <xdr:sp macro="" textlink="">
          <xdr:nvSpPr>
            <xdr:cNvPr id="140" name="CaixaDeTexto 139">
              <a:extLst>
                <a:ext uri="{FF2B5EF4-FFF2-40B4-BE49-F238E27FC236}">
                  <a16:creationId xmlns:a16="http://schemas.microsoft.com/office/drawing/2014/main" id="{0CE4533B-B694-D399-22B0-30B86936C421}"/>
                </a:ext>
              </a:extLst>
            </xdr:cNvPr>
            <xdr:cNvSpPr txBox="1"/>
          </xdr:nvSpPr>
          <xdr:spPr>
            <a:xfrm>
              <a:off x="8953149" y="6424429"/>
              <a:ext cx="443668" cy="17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41" name="Seta: para a Direita 140">
              <a:extLst>
                <a:ext uri="{FF2B5EF4-FFF2-40B4-BE49-F238E27FC236}">
                  <a16:creationId xmlns:a16="http://schemas.microsoft.com/office/drawing/2014/main" id="{2663CECD-5C1A-5F24-9204-20D20B0A3550}"/>
                </a:ext>
              </a:extLst>
            </xdr:cNvPr>
            <xdr:cNvSpPr/>
          </xdr:nvSpPr>
          <xdr:spPr>
            <a:xfrm rot="10800000">
              <a:off x="8950326" y="6521626"/>
              <a:ext cx="54427"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30</xdr:col>
      <xdr:colOff>202030</xdr:colOff>
      <xdr:row>45</xdr:row>
      <xdr:rowOff>7957</xdr:rowOff>
    </xdr:from>
    <xdr:to>
      <xdr:col>32</xdr:col>
      <xdr:colOff>303503</xdr:colOff>
      <xdr:row>51</xdr:row>
      <xdr:rowOff>96667</xdr:rowOff>
    </xdr:to>
    <xdr:grpSp>
      <xdr:nvGrpSpPr>
        <xdr:cNvPr id="146" name="Agrupar 145">
          <a:extLst>
            <a:ext uri="{FF2B5EF4-FFF2-40B4-BE49-F238E27FC236}">
              <a16:creationId xmlns:a16="http://schemas.microsoft.com/office/drawing/2014/main" id="{6BBBFC53-5ED8-4434-8B01-CBBB00829C2E}"/>
            </a:ext>
          </a:extLst>
        </xdr:cNvPr>
        <xdr:cNvGrpSpPr/>
      </xdr:nvGrpSpPr>
      <xdr:grpSpPr>
        <a:xfrm>
          <a:off x="19575880" y="10418782"/>
          <a:ext cx="1501648" cy="1231710"/>
          <a:chOff x="7667225" y="5751001"/>
          <a:chExt cx="1736229" cy="1187279"/>
        </a:xfrm>
      </xdr:grpSpPr>
      <xdr:grpSp>
        <xdr:nvGrpSpPr>
          <xdr:cNvPr id="147" name="Agrupar 146">
            <a:extLst>
              <a:ext uri="{FF2B5EF4-FFF2-40B4-BE49-F238E27FC236}">
                <a16:creationId xmlns:a16="http://schemas.microsoft.com/office/drawing/2014/main" id="{E133E857-3CFE-9645-50C9-1C60BFE449CD}"/>
              </a:ext>
            </a:extLst>
          </xdr:cNvPr>
          <xdr:cNvGrpSpPr/>
        </xdr:nvGrpSpPr>
        <xdr:grpSpPr>
          <a:xfrm>
            <a:off x="7689135" y="5751001"/>
            <a:ext cx="505502" cy="251482"/>
            <a:chOff x="7689135" y="5751001"/>
            <a:chExt cx="505502" cy="251482"/>
          </a:xfrm>
        </xdr:grpSpPr>
        <xdr:sp macro="" textlink="">
          <xdr:nvSpPr>
            <xdr:cNvPr id="154" name="CaixaDeTexto 153">
              <a:extLst>
                <a:ext uri="{FF2B5EF4-FFF2-40B4-BE49-F238E27FC236}">
                  <a16:creationId xmlns:a16="http://schemas.microsoft.com/office/drawing/2014/main" id="{A882A1D6-F132-DE8C-B48A-4B0CBC89B0DD}"/>
                </a:ext>
              </a:extLst>
            </xdr:cNvPr>
            <xdr:cNvSpPr txBox="1"/>
          </xdr:nvSpPr>
          <xdr:spPr>
            <a:xfrm>
              <a:off x="7689135" y="5751001"/>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155" name="Seta: para a Direita 154">
              <a:extLst>
                <a:ext uri="{FF2B5EF4-FFF2-40B4-BE49-F238E27FC236}">
                  <a16:creationId xmlns:a16="http://schemas.microsoft.com/office/drawing/2014/main" id="{8D39BC1A-727B-452D-8963-D83F2A541875}"/>
                </a:ext>
              </a:extLst>
            </xdr:cNvPr>
            <xdr:cNvSpPr/>
          </xdr:nvSpPr>
          <xdr:spPr>
            <a:xfrm>
              <a:off x="8117265" y="5834233"/>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48" name="Agrupar 147">
            <a:extLst>
              <a:ext uri="{FF2B5EF4-FFF2-40B4-BE49-F238E27FC236}">
                <a16:creationId xmlns:a16="http://schemas.microsoft.com/office/drawing/2014/main" id="{72327308-AB07-5A10-64C1-D7EECD16F4D3}"/>
              </a:ext>
            </a:extLst>
          </xdr:cNvPr>
          <xdr:cNvGrpSpPr/>
        </xdr:nvGrpSpPr>
        <xdr:grpSpPr>
          <a:xfrm>
            <a:off x="7667225" y="6569528"/>
            <a:ext cx="626881" cy="368752"/>
            <a:chOff x="7667225" y="6569528"/>
            <a:chExt cx="626881" cy="368752"/>
          </a:xfrm>
        </xdr:grpSpPr>
        <xdr:sp macro="" textlink="">
          <xdr:nvSpPr>
            <xdr:cNvPr id="152" name="CaixaDeTexto 151">
              <a:extLst>
                <a:ext uri="{FF2B5EF4-FFF2-40B4-BE49-F238E27FC236}">
                  <a16:creationId xmlns:a16="http://schemas.microsoft.com/office/drawing/2014/main" id="{BA0180C9-F816-A56C-80AC-99DB78469E5A}"/>
                </a:ext>
              </a:extLst>
            </xdr:cNvPr>
            <xdr:cNvSpPr txBox="1"/>
          </xdr:nvSpPr>
          <xdr:spPr>
            <a:xfrm>
              <a:off x="7667225" y="6569528"/>
              <a:ext cx="626881" cy="368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53" name="Seta: para a Direita 152">
              <a:extLst>
                <a:ext uri="{FF2B5EF4-FFF2-40B4-BE49-F238E27FC236}">
                  <a16:creationId xmlns:a16="http://schemas.microsoft.com/office/drawing/2014/main" id="{D416BF46-0474-7303-9AA6-4B2001CDEF33}"/>
                </a:ext>
              </a:extLst>
            </xdr:cNvPr>
            <xdr:cNvSpPr/>
          </xdr:nvSpPr>
          <xdr:spPr>
            <a:xfrm>
              <a:off x="8083519" y="6667500"/>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49" name="Agrupar 148">
            <a:extLst>
              <a:ext uri="{FF2B5EF4-FFF2-40B4-BE49-F238E27FC236}">
                <a16:creationId xmlns:a16="http://schemas.microsoft.com/office/drawing/2014/main" id="{A32C5D6B-FD8D-1568-811E-AA5CECCB87E4}"/>
              </a:ext>
            </a:extLst>
          </xdr:cNvPr>
          <xdr:cNvGrpSpPr/>
        </xdr:nvGrpSpPr>
        <xdr:grpSpPr>
          <a:xfrm>
            <a:off x="8944905" y="6424429"/>
            <a:ext cx="458549" cy="178616"/>
            <a:chOff x="8944905" y="6424429"/>
            <a:chExt cx="458549" cy="178616"/>
          </a:xfrm>
        </xdr:grpSpPr>
        <xdr:sp macro="" textlink="">
          <xdr:nvSpPr>
            <xdr:cNvPr id="150" name="CaixaDeTexto 149">
              <a:extLst>
                <a:ext uri="{FF2B5EF4-FFF2-40B4-BE49-F238E27FC236}">
                  <a16:creationId xmlns:a16="http://schemas.microsoft.com/office/drawing/2014/main" id="{1D4F061A-3DC5-ADEA-F6F3-02EDB34A8814}"/>
                </a:ext>
              </a:extLst>
            </xdr:cNvPr>
            <xdr:cNvSpPr txBox="1"/>
          </xdr:nvSpPr>
          <xdr:spPr>
            <a:xfrm>
              <a:off x="8959787" y="6424429"/>
              <a:ext cx="443667" cy="17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51" name="Seta: para a Direita 150">
              <a:extLst>
                <a:ext uri="{FF2B5EF4-FFF2-40B4-BE49-F238E27FC236}">
                  <a16:creationId xmlns:a16="http://schemas.microsoft.com/office/drawing/2014/main" id="{A819BDEE-18AC-330E-783F-61AB04AD6061}"/>
                </a:ext>
              </a:extLst>
            </xdr:cNvPr>
            <xdr:cNvSpPr/>
          </xdr:nvSpPr>
          <xdr:spPr>
            <a:xfrm rot="10800000">
              <a:off x="8944905" y="6510854"/>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28</xdr:col>
      <xdr:colOff>193481</xdr:colOff>
      <xdr:row>25</xdr:row>
      <xdr:rowOff>1057</xdr:rowOff>
    </xdr:from>
    <xdr:to>
      <xdr:col>30</xdr:col>
      <xdr:colOff>18754</xdr:colOff>
      <xdr:row>32</xdr:row>
      <xdr:rowOff>73654</xdr:rowOff>
    </xdr:to>
    <xdr:graphicFrame macro="">
      <xdr:nvGraphicFramePr>
        <xdr:cNvPr id="14" name="Gráfico 13">
          <a:extLst>
            <a:ext uri="{FF2B5EF4-FFF2-40B4-BE49-F238E27FC236}">
              <a16:creationId xmlns:a16="http://schemas.microsoft.com/office/drawing/2014/main" id="{190F4842-6D27-4FFD-9521-A42522EE4EB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28</xdr:col>
      <xdr:colOff>213569</xdr:colOff>
      <xdr:row>26</xdr:row>
      <xdr:rowOff>164148</xdr:rowOff>
    </xdr:from>
    <xdr:to>
      <xdr:col>30</xdr:col>
      <xdr:colOff>25658</xdr:colOff>
      <xdr:row>30</xdr:row>
      <xdr:rowOff>10719</xdr:rowOff>
    </xdr:to>
    <xdr:grpSp>
      <xdr:nvGrpSpPr>
        <xdr:cNvPr id="156" name="Agrupar 155">
          <a:extLst>
            <a:ext uri="{FF2B5EF4-FFF2-40B4-BE49-F238E27FC236}">
              <a16:creationId xmlns:a16="http://schemas.microsoft.com/office/drawing/2014/main" id="{9E77E641-DD39-4511-A10C-609DFFDEE311}"/>
            </a:ext>
          </a:extLst>
        </xdr:cNvPr>
        <xdr:cNvGrpSpPr/>
      </xdr:nvGrpSpPr>
      <xdr:grpSpPr>
        <a:xfrm>
          <a:off x="18006269" y="6336348"/>
          <a:ext cx="1393239" cy="1227696"/>
          <a:chOff x="7541703" y="5787443"/>
          <a:chExt cx="1666726" cy="1236384"/>
        </a:xfrm>
      </xdr:grpSpPr>
      <xdr:grpSp>
        <xdr:nvGrpSpPr>
          <xdr:cNvPr id="157" name="Agrupar 156">
            <a:extLst>
              <a:ext uri="{FF2B5EF4-FFF2-40B4-BE49-F238E27FC236}">
                <a16:creationId xmlns:a16="http://schemas.microsoft.com/office/drawing/2014/main" id="{CB551D39-A23C-6E23-8589-1C3ADBFC90F3}"/>
              </a:ext>
            </a:extLst>
          </xdr:cNvPr>
          <xdr:cNvGrpSpPr/>
        </xdr:nvGrpSpPr>
        <xdr:grpSpPr>
          <a:xfrm>
            <a:off x="7657499" y="5787443"/>
            <a:ext cx="505502" cy="251482"/>
            <a:chOff x="7657499" y="5787443"/>
            <a:chExt cx="505502" cy="251482"/>
          </a:xfrm>
        </xdr:grpSpPr>
        <xdr:sp macro="" textlink="">
          <xdr:nvSpPr>
            <xdr:cNvPr id="164" name="CaixaDeTexto 163">
              <a:extLst>
                <a:ext uri="{FF2B5EF4-FFF2-40B4-BE49-F238E27FC236}">
                  <a16:creationId xmlns:a16="http://schemas.microsoft.com/office/drawing/2014/main" id="{6CF54222-0990-3FC5-7B74-D9C0FC5B95F7}"/>
                </a:ext>
              </a:extLst>
            </xdr:cNvPr>
            <xdr:cNvSpPr txBox="1"/>
          </xdr:nvSpPr>
          <xdr:spPr>
            <a:xfrm>
              <a:off x="7657499" y="5787443"/>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165" name="Seta: para a Direita 164">
              <a:extLst>
                <a:ext uri="{FF2B5EF4-FFF2-40B4-BE49-F238E27FC236}">
                  <a16:creationId xmlns:a16="http://schemas.microsoft.com/office/drawing/2014/main" id="{F45CFCB1-6D2A-F684-D0A1-2824BC42C2A4}"/>
                </a:ext>
              </a:extLst>
            </xdr:cNvPr>
            <xdr:cNvSpPr/>
          </xdr:nvSpPr>
          <xdr:spPr>
            <a:xfrm>
              <a:off x="8080795" y="5880888"/>
              <a:ext cx="54427"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58" name="Agrupar 157">
            <a:extLst>
              <a:ext uri="{FF2B5EF4-FFF2-40B4-BE49-F238E27FC236}">
                <a16:creationId xmlns:a16="http://schemas.microsoft.com/office/drawing/2014/main" id="{8C507BCD-A255-AFF5-BD13-D3BE74E9E2F9}"/>
              </a:ext>
            </a:extLst>
          </xdr:cNvPr>
          <xdr:cNvGrpSpPr/>
        </xdr:nvGrpSpPr>
        <xdr:grpSpPr>
          <a:xfrm>
            <a:off x="7541703" y="6533216"/>
            <a:ext cx="625680" cy="490611"/>
            <a:chOff x="7541703" y="6533216"/>
            <a:chExt cx="625680" cy="490611"/>
          </a:xfrm>
        </xdr:grpSpPr>
        <xdr:sp macro="" textlink="">
          <xdr:nvSpPr>
            <xdr:cNvPr id="162" name="CaixaDeTexto 161">
              <a:extLst>
                <a:ext uri="{FF2B5EF4-FFF2-40B4-BE49-F238E27FC236}">
                  <a16:creationId xmlns:a16="http://schemas.microsoft.com/office/drawing/2014/main" id="{50F8DC47-E763-58FC-F3EA-975EE7E503AA}"/>
                </a:ext>
              </a:extLst>
            </xdr:cNvPr>
            <xdr:cNvSpPr txBox="1"/>
          </xdr:nvSpPr>
          <xdr:spPr>
            <a:xfrm>
              <a:off x="7541703" y="6533216"/>
              <a:ext cx="625680"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63" name="Seta: para a Direita 162">
              <a:extLst>
                <a:ext uri="{FF2B5EF4-FFF2-40B4-BE49-F238E27FC236}">
                  <a16:creationId xmlns:a16="http://schemas.microsoft.com/office/drawing/2014/main" id="{D9A1EEAC-D40B-3E6C-05E6-B51670BC024D}"/>
                </a:ext>
              </a:extLst>
            </xdr:cNvPr>
            <xdr:cNvSpPr/>
          </xdr:nvSpPr>
          <xdr:spPr>
            <a:xfrm>
              <a:off x="7956772" y="6642075"/>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59" name="Agrupar 158">
            <a:extLst>
              <a:ext uri="{FF2B5EF4-FFF2-40B4-BE49-F238E27FC236}">
                <a16:creationId xmlns:a16="http://schemas.microsoft.com/office/drawing/2014/main" id="{4A137570-41A6-7875-96C2-C6B34A5A79CE}"/>
              </a:ext>
            </a:extLst>
          </xdr:cNvPr>
          <xdr:cNvGrpSpPr/>
        </xdr:nvGrpSpPr>
        <xdr:grpSpPr>
          <a:xfrm>
            <a:off x="8762170" y="6646887"/>
            <a:ext cx="446259" cy="195145"/>
            <a:chOff x="8762170" y="6646887"/>
            <a:chExt cx="446259" cy="195145"/>
          </a:xfrm>
        </xdr:grpSpPr>
        <xdr:sp macro="" textlink="">
          <xdr:nvSpPr>
            <xdr:cNvPr id="160" name="CaixaDeTexto 159">
              <a:extLst>
                <a:ext uri="{FF2B5EF4-FFF2-40B4-BE49-F238E27FC236}">
                  <a16:creationId xmlns:a16="http://schemas.microsoft.com/office/drawing/2014/main" id="{C0A40383-7C8A-2D00-9FB9-659289014145}"/>
                </a:ext>
              </a:extLst>
            </xdr:cNvPr>
            <xdr:cNvSpPr txBox="1"/>
          </xdr:nvSpPr>
          <xdr:spPr>
            <a:xfrm>
              <a:off x="8765222" y="6646887"/>
              <a:ext cx="443207" cy="19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61" name="Seta: para a Direita 160">
              <a:extLst>
                <a:ext uri="{FF2B5EF4-FFF2-40B4-BE49-F238E27FC236}">
                  <a16:creationId xmlns:a16="http://schemas.microsoft.com/office/drawing/2014/main" id="{C9EC40A8-ED78-DD40-72C0-141F70E6A3FE}"/>
                </a:ext>
              </a:extLst>
            </xdr:cNvPr>
            <xdr:cNvSpPr/>
          </xdr:nvSpPr>
          <xdr:spPr>
            <a:xfrm rot="10800000">
              <a:off x="8762170" y="6727873"/>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28</xdr:col>
      <xdr:colOff>195470</xdr:colOff>
      <xdr:row>32</xdr:row>
      <xdr:rowOff>175895</xdr:rowOff>
    </xdr:from>
    <xdr:to>
      <xdr:col>30</xdr:col>
      <xdr:colOff>32780</xdr:colOff>
      <xdr:row>42</xdr:row>
      <xdr:rowOff>145146</xdr:rowOff>
    </xdr:to>
    <xdr:graphicFrame macro="">
      <xdr:nvGraphicFramePr>
        <xdr:cNvPr id="17" name="Gráfico 16">
          <a:extLst>
            <a:ext uri="{FF2B5EF4-FFF2-40B4-BE49-F238E27FC236}">
              <a16:creationId xmlns:a16="http://schemas.microsoft.com/office/drawing/2014/main" id="{2D28A477-2EEB-4548-AF0F-BA0E61F2A55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28</xdr:col>
      <xdr:colOff>164324</xdr:colOff>
      <xdr:row>33</xdr:row>
      <xdr:rowOff>119755</xdr:rowOff>
    </xdr:from>
    <xdr:to>
      <xdr:col>30</xdr:col>
      <xdr:colOff>454</xdr:colOff>
      <xdr:row>38</xdr:row>
      <xdr:rowOff>51706</xdr:rowOff>
    </xdr:to>
    <xdr:grpSp>
      <xdr:nvGrpSpPr>
        <xdr:cNvPr id="169" name="Agrupar 168">
          <a:extLst>
            <a:ext uri="{FF2B5EF4-FFF2-40B4-BE49-F238E27FC236}">
              <a16:creationId xmlns:a16="http://schemas.microsoft.com/office/drawing/2014/main" id="{35BF8A26-80FC-4A2C-9B2A-C9A4AFF95F54}"/>
            </a:ext>
          </a:extLst>
        </xdr:cNvPr>
        <xdr:cNvGrpSpPr/>
      </xdr:nvGrpSpPr>
      <xdr:grpSpPr>
        <a:xfrm>
          <a:off x="17957024" y="8244580"/>
          <a:ext cx="1417280" cy="884451"/>
          <a:chOff x="7634314" y="6080742"/>
          <a:chExt cx="1702823" cy="846836"/>
        </a:xfrm>
      </xdr:grpSpPr>
      <xdr:grpSp>
        <xdr:nvGrpSpPr>
          <xdr:cNvPr id="170" name="Agrupar 169">
            <a:extLst>
              <a:ext uri="{FF2B5EF4-FFF2-40B4-BE49-F238E27FC236}">
                <a16:creationId xmlns:a16="http://schemas.microsoft.com/office/drawing/2014/main" id="{0FF76CD1-C4F0-1F3D-D9F7-199390CE8B2D}"/>
              </a:ext>
            </a:extLst>
          </xdr:cNvPr>
          <xdr:cNvGrpSpPr/>
        </xdr:nvGrpSpPr>
        <xdr:grpSpPr>
          <a:xfrm>
            <a:off x="7634314" y="6080742"/>
            <a:ext cx="505502" cy="251482"/>
            <a:chOff x="7634314" y="6080742"/>
            <a:chExt cx="505502" cy="251482"/>
          </a:xfrm>
        </xdr:grpSpPr>
        <xdr:sp macro="" textlink="">
          <xdr:nvSpPr>
            <xdr:cNvPr id="177" name="CaixaDeTexto 176">
              <a:extLst>
                <a:ext uri="{FF2B5EF4-FFF2-40B4-BE49-F238E27FC236}">
                  <a16:creationId xmlns:a16="http://schemas.microsoft.com/office/drawing/2014/main" id="{B11DBAD4-F1E2-0837-4FFA-85920BC98623}"/>
                </a:ext>
              </a:extLst>
            </xdr:cNvPr>
            <xdr:cNvSpPr txBox="1"/>
          </xdr:nvSpPr>
          <xdr:spPr>
            <a:xfrm>
              <a:off x="7634314" y="6080742"/>
              <a:ext cx="505502" cy="2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sp macro="" textlink="">
          <xdr:nvSpPr>
            <xdr:cNvPr id="178" name="Seta: para a Direita 177">
              <a:extLst>
                <a:ext uri="{FF2B5EF4-FFF2-40B4-BE49-F238E27FC236}">
                  <a16:creationId xmlns:a16="http://schemas.microsoft.com/office/drawing/2014/main" id="{BE208B0A-00EE-DE14-A6EF-DB8ED5723B14}"/>
                </a:ext>
              </a:extLst>
            </xdr:cNvPr>
            <xdr:cNvSpPr/>
          </xdr:nvSpPr>
          <xdr:spPr>
            <a:xfrm>
              <a:off x="8033947" y="6179615"/>
              <a:ext cx="54428" cy="45719"/>
            </a:xfrm>
            <a:prstGeom prst="rightArrow">
              <a:avLst/>
            </a:prstGeom>
            <a:solidFill>
              <a:srgbClr val="FF9900"/>
            </a:solid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71" name="Agrupar 170">
            <a:extLst>
              <a:ext uri="{FF2B5EF4-FFF2-40B4-BE49-F238E27FC236}">
                <a16:creationId xmlns:a16="http://schemas.microsoft.com/office/drawing/2014/main" id="{B6CF1834-1DE3-4279-C249-36F1715FC3E5}"/>
              </a:ext>
            </a:extLst>
          </xdr:cNvPr>
          <xdr:cNvGrpSpPr/>
        </xdr:nvGrpSpPr>
        <xdr:grpSpPr>
          <a:xfrm>
            <a:off x="7689440" y="6436967"/>
            <a:ext cx="608109" cy="490611"/>
            <a:chOff x="7689440" y="6436967"/>
            <a:chExt cx="608109" cy="490611"/>
          </a:xfrm>
        </xdr:grpSpPr>
        <xdr:sp macro="" textlink="">
          <xdr:nvSpPr>
            <xdr:cNvPr id="175" name="CaixaDeTexto 174">
              <a:extLst>
                <a:ext uri="{FF2B5EF4-FFF2-40B4-BE49-F238E27FC236}">
                  <a16:creationId xmlns:a16="http://schemas.microsoft.com/office/drawing/2014/main" id="{982098F4-00E2-271E-2728-10AF9703E988}"/>
                </a:ext>
              </a:extLst>
            </xdr:cNvPr>
            <xdr:cNvSpPr txBox="1"/>
          </xdr:nvSpPr>
          <xdr:spPr>
            <a:xfrm>
              <a:off x="7689440" y="6436967"/>
              <a:ext cx="608109" cy="49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76" name="Seta: para a Direita 175">
              <a:extLst>
                <a:ext uri="{FF2B5EF4-FFF2-40B4-BE49-F238E27FC236}">
                  <a16:creationId xmlns:a16="http://schemas.microsoft.com/office/drawing/2014/main" id="{EECAAB36-78BA-19EF-6A6D-D3773229198E}"/>
                </a:ext>
              </a:extLst>
            </xdr:cNvPr>
            <xdr:cNvSpPr/>
          </xdr:nvSpPr>
          <xdr:spPr>
            <a:xfrm>
              <a:off x="8135138" y="6540380"/>
              <a:ext cx="64438" cy="45719"/>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72" name="Agrupar 171">
            <a:extLst>
              <a:ext uri="{FF2B5EF4-FFF2-40B4-BE49-F238E27FC236}">
                <a16:creationId xmlns:a16="http://schemas.microsoft.com/office/drawing/2014/main" id="{E52497F6-C3EE-45FA-C0A3-9CDC66C771A8}"/>
              </a:ext>
            </a:extLst>
          </xdr:cNvPr>
          <xdr:cNvGrpSpPr/>
        </xdr:nvGrpSpPr>
        <xdr:grpSpPr>
          <a:xfrm>
            <a:off x="8890643" y="6424429"/>
            <a:ext cx="446494" cy="178616"/>
            <a:chOff x="8890643" y="6424429"/>
            <a:chExt cx="446494" cy="178616"/>
          </a:xfrm>
        </xdr:grpSpPr>
        <xdr:sp macro="" textlink="">
          <xdr:nvSpPr>
            <xdr:cNvPr id="173" name="CaixaDeTexto 172">
              <a:extLst>
                <a:ext uri="{FF2B5EF4-FFF2-40B4-BE49-F238E27FC236}">
                  <a16:creationId xmlns:a16="http://schemas.microsoft.com/office/drawing/2014/main" id="{A3655FB1-AD34-B00B-11FC-ABF4B4746D05}"/>
                </a:ext>
              </a:extLst>
            </xdr:cNvPr>
            <xdr:cNvSpPr txBox="1"/>
          </xdr:nvSpPr>
          <xdr:spPr>
            <a:xfrm>
              <a:off x="8893468" y="6424429"/>
              <a:ext cx="443669" cy="17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74" name="Seta: para a Direita 173">
              <a:extLst>
                <a:ext uri="{FF2B5EF4-FFF2-40B4-BE49-F238E27FC236}">
                  <a16:creationId xmlns:a16="http://schemas.microsoft.com/office/drawing/2014/main" id="{CC278696-76A7-1BE7-89A9-2CCCA05178FA}"/>
                </a:ext>
              </a:extLst>
            </xdr:cNvPr>
            <xdr:cNvSpPr/>
          </xdr:nvSpPr>
          <xdr:spPr>
            <a:xfrm rot="10800000">
              <a:off x="8890643" y="6505413"/>
              <a:ext cx="54428" cy="45719"/>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clientData/>
  </xdr:twoCellAnchor>
  <xdr:twoCellAnchor editAs="absolute">
    <xdr:from>
      <xdr:col>13</xdr:col>
      <xdr:colOff>618417</xdr:colOff>
      <xdr:row>55</xdr:row>
      <xdr:rowOff>159786</xdr:rowOff>
    </xdr:from>
    <xdr:to>
      <xdr:col>17</xdr:col>
      <xdr:colOff>255951</xdr:colOff>
      <xdr:row>63</xdr:row>
      <xdr:rowOff>19473</xdr:rowOff>
    </xdr:to>
    <xdr:graphicFrame macro="">
      <xdr:nvGraphicFramePr>
        <xdr:cNvPr id="7" name="Gráfico 58">
          <a:extLst>
            <a:ext uri="{FF2B5EF4-FFF2-40B4-BE49-F238E27FC236}">
              <a16:creationId xmlns:a16="http://schemas.microsoft.com/office/drawing/2014/main" id="{5BEA7BEA-5B79-40DF-BC59-AC83A335B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17</xdr:col>
      <xdr:colOff>361734</xdr:colOff>
      <xdr:row>55</xdr:row>
      <xdr:rowOff>165229</xdr:rowOff>
    </xdr:from>
    <xdr:to>
      <xdr:col>21</xdr:col>
      <xdr:colOff>95084</xdr:colOff>
      <xdr:row>63</xdr:row>
      <xdr:rowOff>24916</xdr:rowOff>
    </xdr:to>
    <xdr:graphicFrame macro="">
      <xdr:nvGraphicFramePr>
        <xdr:cNvPr id="8" name="Gráfico 58">
          <a:extLst>
            <a:ext uri="{FF2B5EF4-FFF2-40B4-BE49-F238E27FC236}">
              <a16:creationId xmlns:a16="http://schemas.microsoft.com/office/drawing/2014/main" id="{3A2597EC-1EA6-435F-AF1F-C04C3172E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629139</xdr:colOff>
      <xdr:row>67</xdr:row>
      <xdr:rowOff>18663</xdr:rowOff>
    </xdr:from>
    <xdr:to>
      <xdr:col>17</xdr:col>
      <xdr:colOff>241041</xdr:colOff>
      <xdr:row>74</xdr:row>
      <xdr:rowOff>370633</xdr:rowOff>
    </xdr:to>
    <xdr:graphicFrame macro="">
      <xdr:nvGraphicFramePr>
        <xdr:cNvPr id="16" name="Gráfico 58">
          <a:extLst>
            <a:ext uri="{FF2B5EF4-FFF2-40B4-BE49-F238E27FC236}">
              <a16:creationId xmlns:a16="http://schemas.microsoft.com/office/drawing/2014/main" id="{40EF0489-67F4-4E5F-A340-B2C621A01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10</xdr:col>
      <xdr:colOff>197759</xdr:colOff>
      <xdr:row>67</xdr:row>
      <xdr:rowOff>24039</xdr:rowOff>
    </xdr:from>
    <xdr:to>
      <xdr:col>13</xdr:col>
      <xdr:colOff>505376</xdr:colOff>
      <xdr:row>74</xdr:row>
      <xdr:rowOff>345722</xdr:rowOff>
    </xdr:to>
    <xdr:graphicFrame macro="">
      <xdr:nvGraphicFramePr>
        <xdr:cNvPr id="20" name="Gráfico 58">
          <a:extLst>
            <a:ext uri="{FF2B5EF4-FFF2-40B4-BE49-F238E27FC236}">
              <a16:creationId xmlns:a16="http://schemas.microsoft.com/office/drawing/2014/main" id="{DFB8B7F7-0D40-442E-B8D0-DFDB4FE64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17</xdr:col>
      <xdr:colOff>365187</xdr:colOff>
      <xdr:row>67</xdr:row>
      <xdr:rowOff>26631</xdr:rowOff>
    </xdr:from>
    <xdr:to>
      <xdr:col>21</xdr:col>
      <xdr:colOff>96120</xdr:colOff>
      <xdr:row>74</xdr:row>
      <xdr:rowOff>348314</xdr:rowOff>
    </xdr:to>
    <xdr:graphicFrame macro="">
      <xdr:nvGraphicFramePr>
        <xdr:cNvPr id="21" name="Gráfico 58">
          <a:extLst>
            <a:ext uri="{FF2B5EF4-FFF2-40B4-BE49-F238E27FC236}">
              <a16:creationId xmlns:a16="http://schemas.microsoft.com/office/drawing/2014/main" id="{73FF8FAF-7296-4F06-BE74-542072E6E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absolute">
    <xdr:from>
      <xdr:col>11</xdr:col>
      <xdr:colOff>322856</xdr:colOff>
      <xdr:row>60</xdr:row>
      <xdr:rowOff>33112</xdr:rowOff>
    </xdr:from>
    <xdr:to>
      <xdr:col>11</xdr:col>
      <xdr:colOff>743165</xdr:colOff>
      <xdr:row>60</xdr:row>
      <xdr:rowOff>216572</xdr:rowOff>
    </xdr:to>
    <xdr:sp macro="" textlink="$H$59">
      <xdr:nvSpPr>
        <xdr:cNvPr id="13" name="CaixaDeTexto 12">
          <a:extLst>
            <a:ext uri="{FF2B5EF4-FFF2-40B4-BE49-F238E27FC236}">
              <a16:creationId xmlns:a16="http://schemas.microsoft.com/office/drawing/2014/main" id="{9576D4DD-1E7E-4DEF-8DD1-5648E092E920}"/>
            </a:ext>
          </a:extLst>
        </xdr:cNvPr>
        <xdr:cNvSpPr txBox="1"/>
      </xdr:nvSpPr>
      <xdr:spPr>
        <a:xfrm>
          <a:off x="9078080" y="13531398"/>
          <a:ext cx="420309" cy="18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485E34-D396-4661-88D5-E35A7F431F85}" type="TxLink">
            <a:rPr lang="en-US" sz="900" b="1" i="0" u="none" strike="noStrike">
              <a:solidFill>
                <a:schemeClr val="bg1"/>
              </a:solidFill>
              <a:latin typeface="Calibri"/>
              <a:ea typeface="Calibri"/>
              <a:cs typeface="Calibri"/>
            </a:rPr>
            <a:pPr/>
            <a:t>73%</a:t>
          </a:fld>
          <a:endParaRPr lang="pt-BR" sz="800" b="1">
            <a:solidFill>
              <a:schemeClr val="bg1"/>
            </a:solidFill>
          </a:endParaRPr>
        </a:p>
      </xdr:txBody>
    </xdr:sp>
    <xdr:clientData/>
  </xdr:twoCellAnchor>
  <xdr:twoCellAnchor editAs="absolute">
    <xdr:from>
      <xdr:col>11</xdr:col>
      <xdr:colOff>39655</xdr:colOff>
      <xdr:row>58</xdr:row>
      <xdr:rowOff>357502</xdr:rowOff>
    </xdr:from>
    <xdr:to>
      <xdr:col>11</xdr:col>
      <xdr:colOff>633184</xdr:colOff>
      <xdr:row>60</xdr:row>
      <xdr:rowOff>98015</xdr:rowOff>
    </xdr:to>
    <xdr:sp macro="" textlink="$I$59">
      <xdr:nvSpPr>
        <xdr:cNvPr id="23" name="CaixaDeTexto 22">
          <a:extLst>
            <a:ext uri="{FF2B5EF4-FFF2-40B4-BE49-F238E27FC236}">
              <a16:creationId xmlns:a16="http://schemas.microsoft.com/office/drawing/2014/main" id="{0BD7EFB6-AA82-4121-8FE7-DF0EA9FB1EB4}"/>
            </a:ext>
          </a:extLst>
        </xdr:cNvPr>
        <xdr:cNvSpPr txBox="1"/>
      </xdr:nvSpPr>
      <xdr:spPr>
        <a:xfrm>
          <a:off x="8794879" y="13412583"/>
          <a:ext cx="593529" cy="18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507774-387D-4657-B8BC-EDFF4420D090}" type="TxLink">
            <a:rPr lang="en-US" sz="900" b="1" i="0" u="none" strike="noStrike">
              <a:solidFill>
                <a:schemeClr val="bg1"/>
              </a:solidFill>
              <a:latin typeface="Calibri"/>
              <a:ea typeface="Calibri"/>
              <a:cs typeface="Calibri"/>
            </a:rPr>
            <a:pPr marL="0" indent="0"/>
            <a:t>27%</a:t>
          </a:fld>
          <a:endParaRPr lang="pt-BR" sz="900" b="1" i="0" u="none" strike="noStrike">
            <a:solidFill>
              <a:schemeClr val="bg1"/>
            </a:solidFill>
            <a:latin typeface="Calibri"/>
            <a:ea typeface="Calibri"/>
            <a:cs typeface="Calibri"/>
          </a:endParaRPr>
        </a:p>
      </xdr:txBody>
    </xdr:sp>
    <xdr:clientData/>
  </xdr:twoCellAnchor>
  <xdr:twoCellAnchor editAs="absolute">
    <xdr:from>
      <xdr:col>15</xdr:col>
      <xdr:colOff>699887</xdr:colOff>
      <xdr:row>59</xdr:row>
      <xdr:rowOff>45078</xdr:rowOff>
    </xdr:from>
    <xdr:to>
      <xdr:col>16</xdr:col>
      <xdr:colOff>294780</xdr:colOff>
      <xdr:row>60</xdr:row>
      <xdr:rowOff>166634</xdr:rowOff>
    </xdr:to>
    <xdr:sp macro="" textlink="$H$61">
      <xdr:nvSpPr>
        <xdr:cNvPr id="31" name="CaixaDeTexto 30">
          <a:extLst>
            <a:ext uri="{FF2B5EF4-FFF2-40B4-BE49-F238E27FC236}">
              <a16:creationId xmlns:a16="http://schemas.microsoft.com/office/drawing/2014/main" id="{299CFD1E-DB95-41FD-BA19-D34151B5BE38}"/>
            </a:ext>
          </a:extLst>
        </xdr:cNvPr>
        <xdr:cNvSpPr txBox="1"/>
      </xdr:nvSpPr>
      <xdr:spPr>
        <a:xfrm>
          <a:off x="11453417" y="13481159"/>
          <a:ext cx="419097" cy="183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586829-3D8B-44DE-A42D-83F12395AEDA}" type="TxLink">
            <a:rPr lang="en-US" sz="900" b="1" i="0" u="none" strike="noStrike">
              <a:solidFill>
                <a:schemeClr val="bg1"/>
              </a:solidFill>
              <a:latin typeface="Calibri"/>
              <a:ea typeface="Calibri"/>
              <a:cs typeface="Calibri"/>
            </a:rPr>
            <a:pPr/>
            <a:t>82%</a:t>
          </a:fld>
          <a:endParaRPr lang="pt-BR" sz="900" b="1">
            <a:solidFill>
              <a:schemeClr val="bg1"/>
            </a:solidFill>
          </a:endParaRPr>
        </a:p>
      </xdr:txBody>
    </xdr:sp>
    <xdr:clientData/>
  </xdr:twoCellAnchor>
  <xdr:twoCellAnchor editAs="absolute">
    <xdr:from>
      <xdr:col>15</xdr:col>
      <xdr:colOff>431367</xdr:colOff>
      <xdr:row>58</xdr:row>
      <xdr:rowOff>13263</xdr:rowOff>
    </xdr:from>
    <xdr:to>
      <xdr:col>16</xdr:col>
      <xdr:colOff>18837</xdr:colOff>
      <xdr:row>58</xdr:row>
      <xdr:rowOff>196764</xdr:rowOff>
    </xdr:to>
    <xdr:sp macro="" textlink="$I$61">
      <xdr:nvSpPr>
        <xdr:cNvPr id="32" name="CaixaDeTexto 31">
          <a:extLst>
            <a:ext uri="{FF2B5EF4-FFF2-40B4-BE49-F238E27FC236}">
              <a16:creationId xmlns:a16="http://schemas.microsoft.com/office/drawing/2014/main" id="{6C0D6225-442E-49D7-B797-C051FD594385}"/>
            </a:ext>
          </a:extLst>
        </xdr:cNvPr>
        <xdr:cNvSpPr txBox="1"/>
      </xdr:nvSpPr>
      <xdr:spPr>
        <a:xfrm>
          <a:off x="11184897" y="13068344"/>
          <a:ext cx="411674" cy="18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263565-A311-4239-A5E7-5A76DA0DAB9E}" type="TxLink">
            <a:rPr lang="en-US" sz="900" b="1" i="0" u="none" strike="noStrike">
              <a:solidFill>
                <a:schemeClr val="bg1"/>
              </a:solidFill>
              <a:latin typeface="Calibri"/>
              <a:ea typeface="Calibri"/>
              <a:cs typeface="Calibri"/>
            </a:rPr>
            <a:pPr/>
            <a:t>18%</a:t>
          </a:fld>
          <a:endParaRPr lang="pt-BR" sz="800" b="1">
            <a:solidFill>
              <a:schemeClr val="bg1"/>
            </a:solidFill>
          </a:endParaRPr>
        </a:p>
      </xdr:txBody>
    </xdr:sp>
    <xdr:clientData/>
  </xdr:twoCellAnchor>
  <xdr:twoCellAnchor editAs="absolute">
    <xdr:from>
      <xdr:col>19</xdr:col>
      <xdr:colOff>371496</xdr:colOff>
      <xdr:row>58</xdr:row>
      <xdr:rowOff>275448</xdr:rowOff>
    </xdr:from>
    <xdr:to>
      <xdr:col>20</xdr:col>
      <xdr:colOff>47952</xdr:colOff>
      <xdr:row>60</xdr:row>
      <xdr:rowOff>12981</xdr:rowOff>
    </xdr:to>
    <xdr:sp macro="" textlink="$H$63">
      <xdr:nvSpPr>
        <xdr:cNvPr id="33" name="CaixaDeTexto 32">
          <a:extLst>
            <a:ext uri="{FF2B5EF4-FFF2-40B4-BE49-F238E27FC236}">
              <a16:creationId xmlns:a16="http://schemas.microsoft.com/office/drawing/2014/main" id="{EB6DEB6C-B5D8-4024-9509-E29F2531FCE3}"/>
            </a:ext>
          </a:extLst>
        </xdr:cNvPr>
        <xdr:cNvSpPr txBox="1"/>
      </xdr:nvSpPr>
      <xdr:spPr>
        <a:xfrm>
          <a:off x="13792026" y="13330529"/>
          <a:ext cx="430682" cy="180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4D3F95-F168-4B56-943F-89BA2E264EDA}" type="TxLink">
            <a:rPr lang="en-US" sz="900" b="1" i="0" u="none" strike="noStrike">
              <a:solidFill>
                <a:schemeClr val="bg1"/>
              </a:solidFill>
              <a:latin typeface="Calibri"/>
              <a:ea typeface="Calibri"/>
              <a:cs typeface="Calibri"/>
            </a:rPr>
            <a:pPr/>
            <a:t>87%</a:t>
          </a:fld>
          <a:endParaRPr lang="pt-BR" sz="800" b="1">
            <a:solidFill>
              <a:schemeClr val="bg1"/>
            </a:solidFill>
          </a:endParaRPr>
        </a:p>
      </xdr:txBody>
    </xdr:sp>
    <xdr:clientData/>
  </xdr:twoCellAnchor>
  <xdr:twoCellAnchor editAs="absolute">
    <xdr:from>
      <xdr:col>19</xdr:col>
      <xdr:colOff>27045</xdr:colOff>
      <xdr:row>57</xdr:row>
      <xdr:rowOff>51193</xdr:rowOff>
    </xdr:from>
    <xdr:to>
      <xdr:col>19</xdr:col>
      <xdr:colOff>431625</xdr:colOff>
      <xdr:row>58</xdr:row>
      <xdr:rowOff>173701</xdr:rowOff>
    </xdr:to>
    <xdr:sp macro="" textlink="$I$63">
      <xdr:nvSpPr>
        <xdr:cNvPr id="34" name="CaixaDeTexto 33">
          <a:extLst>
            <a:ext uri="{FF2B5EF4-FFF2-40B4-BE49-F238E27FC236}">
              <a16:creationId xmlns:a16="http://schemas.microsoft.com/office/drawing/2014/main" id="{4FC9F967-1105-4A7B-BD0E-93747C4FE506}"/>
            </a:ext>
          </a:extLst>
        </xdr:cNvPr>
        <xdr:cNvSpPr txBox="1"/>
      </xdr:nvSpPr>
      <xdr:spPr>
        <a:xfrm>
          <a:off x="13447575" y="13044070"/>
          <a:ext cx="404580" cy="184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DC4142-08AF-4EB1-B557-0CD47298735E}" type="TxLink">
            <a:rPr lang="en-US" sz="900" b="1" i="0" u="none" strike="noStrike">
              <a:solidFill>
                <a:schemeClr val="bg1"/>
              </a:solidFill>
              <a:latin typeface="Calibri"/>
              <a:ea typeface="Calibri"/>
              <a:cs typeface="Calibri"/>
            </a:rPr>
            <a:pPr/>
            <a:t>13%</a:t>
          </a:fld>
          <a:endParaRPr lang="pt-BR" sz="900" b="1">
            <a:solidFill>
              <a:schemeClr val="bg1"/>
            </a:solidFill>
          </a:endParaRPr>
        </a:p>
      </xdr:txBody>
    </xdr:sp>
    <xdr:clientData/>
  </xdr:twoCellAnchor>
  <xdr:twoCellAnchor editAs="absolute">
    <xdr:from>
      <xdr:col>28</xdr:col>
      <xdr:colOff>173075</xdr:colOff>
      <xdr:row>45</xdr:row>
      <xdr:rowOff>49818</xdr:rowOff>
    </xdr:from>
    <xdr:to>
      <xdr:col>30</xdr:col>
      <xdr:colOff>73610</xdr:colOff>
      <xdr:row>51</xdr:row>
      <xdr:rowOff>116643</xdr:rowOff>
    </xdr:to>
    <xdr:grpSp>
      <xdr:nvGrpSpPr>
        <xdr:cNvPr id="36" name="Agrupar 35">
          <a:extLst>
            <a:ext uri="{FF2B5EF4-FFF2-40B4-BE49-F238E27FC236}">
              <a16:creationId xmlns:a16="http://schemas.microsoft.com/office/drawing/2014/main" id="{EF527042-AF1F-D38B-F090-E21D4F056280}"/>
            </a:ext>
          </a:extLst>
        </xdr:cNvPr>
        <xdr:cNvGrpSpPr/>
      </xdr:nvGrpSpPr>
      <xdr:grpSpPr>
        <a:xfrm>
          <a:off x="17965775" y="10460643"/>
          <a:ext cx="1481685" cy="1209825"/>
          <a:chOff x="15768983" y="9701213"/>
          <a:chExt cx="2297691" cy="953121"/>
        </a:xfrm>
      </xdr:grpSpPr>
      <xdr:grpSp>
        <xdr:nvGrpSpPr>
          <xdr:cNvPr id="180" name="Agrupar 179">
            <a:extLst>
              <a:ext uri="{FF2B5EF4-FFF2-40B4-BE49-F238E27FC236}">
                <a16:creationId xmlns:a16="http://schemas.microsoft.com/office/drawing/2014/main" id="{58E6D406-7EB4-454E-A9BE-7A2163BAA7EE}"/>
              </a:ext>
            </a:extLst>
          </xdr:cNvPr>
          <xdr:cNvGrpSpPr/>
        </xdr:nvGrpSpPr>
        <xdr:grpSpPr>
          <a:xfrm>
            <a:off x="15768983" y="10145613"/>
            <a:ext cx="2275001" cy="508721"/>
            <a:chOff x="6650583" y="6474764"/>
            <a:chExt cx="2992620" cy="636976"/>
          </a:xfrm>
        </xdr:grpSpPr>
        <xdr:grpSp>
          <xdr:nvGrpSpPr>
            <xdr:cNvPr id="182" name="Agrupar 181">
              <a:extLst>
                <a:ext uri="{FF2B5EF4-FFF2-40B4-BE49-F238E27FC236}">
                  <a16:creationId xmlns:a16="http://schemas.microsoft.com/office/drawing/2014/main" id="{42C8E7ED-59A6-6E58-E911-D8D9BBEC5FEE}"/>
                </a:ext>
              </a:extLst>
            </xdr:cNvPr>
            <xdr:cNvGrpSpPr/>
          </xdr:nvGrpSpPr>
          <xdr:grpSpPr>
            <a:xfrm>
              <a:off x="6650583" y="6474764"/>
              <a:ext cx="933295" cy="636976"/>
              <a:chOff x="6650583" y="6474764"/>
              <a:chExt cx="933295" cy="636976"/>
            </a:xfrm>
          </xdr:grpSpPr>
          <xdr:sp macro="" textlink="">
            <xdr:nvSpPr>
              <xdr:cNvPr id="186" name="CaixaDeTexto 185">
                <a:extLst>
                  <a:ext uri="{FF2B5EF4-FFF2-40B4-BE49-F238E27FC236}">
                    <a16:creationId xmlns:a16="http://schemas.microsoft.com/office/drawing/2014/main" id="{19F907A4-9CE3-FBFD-416C-947A0AFBF76E}"/>
                  </a:ext>
                </a:extLst>
              </xdr:cNvPr>
              <xdr:cNvSpPr txBox="1"/>
            </xdr:nvSpPr>
            <xdr:spPr>
              <a:xfrm>
                <a:off x="6650583" y="6474764"/>
                <a:ext cx="933295" cy="636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p>
              <a:p>
                <a:r>
                  <a:rPr lang="pt-BR" sz="800" b="1">
                    <a:solidFill>
                      <a:schemeClr val="tx1">
                        <a:lumMod val="65000"/>
                        <a:lumOff val="35000"/>
                      </a:schemeClr>
                    </a:solidFill>
                  </a:rPr>
                  <a:t>até data</a:t>
                </a:r>
              </a:p>
              <a:p>
                <a:endParaRPr lang="pt-BR" sz="800" b="1">
                  <a:solidFill>
                    <a:schemeClr val="tx1">
                      <a:lumMod val="65000"/>
                      <a:lumOff val="35000"/>
                    </a:schemeClr>
                  </a:solidFill>
                </a:endParaRPr>
              </a:p>
            </xdr:txBody>
          </xdr:sp>
          <xdr:sp macro="" textlink="">
            <xdr:nvSpPr>
              <xdr:cNvPr id="187" name="Seta: para a Direita 186">
                <a:extLst>
                  <a:ext uri="{FF2B5EF4-FFF2-40B4-BE49-F238E27FC236}">
                    <a16:creationId xmlns:a16="http://schemas.microsoft.com/office/drawing/2014/main" id="{38C3B296-AFE4-0BCF-3365-7ED7D71161A1}"/>
                  </a:ext>
                </a:extLst>
              </xdr:cNvPr>
              <xdr:cNvSpPr/>
            </xdr:nvSpPr>
            <xdr:spPr>
              <a:xfrm flipV="1">
                <a:off x="7255615" y="6667362"/>
                <a:ext cx="318241" cy="46238"/>
              </a:xfrm>
              <a:prstGeom prst="rightArrow">
                <a:avLst/>
              </a:prstGeom>
              <a:solidFill>
                <a:srgbClr val="3578BC"/>
              </a:solidFill>
              <a:ln>
                <a:solidFill>
                  <a:srgbClr val="3578B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nvGrpSpPr>
            <xdr:cNvPr id="183" name="Agrupar 182">
              <a:extLst>
                <a:ext uri="{FF2B5EF4-FFF2-40B4-BE49-F238E27FC236}">
                  <a16:creationId xmlns:a16="http://schemas.microsoft.com/office/drawing/2014/main" id="{DE51ACD9-9E46-DBCE-48F1-3F96BCFB6799}"/>
                </a:ext>
              </a:extLst>
            </xdr:cNvPr>
            <xdr:cNvGrpSpPr/>
          </xdr:nvGrpSpPr>
          <xdr:grpSpPr>
            <a:xfrm>
              <a:off x="8837385" y="6567237"/>
              <a:ext cx="805818" cy="206351"/>
              <a:chOff x="8837385" y="6567237"/>
              <a:chExt cx="805818" cy="206351"/>
            </a:xfrm>
          </xdr:grpSpPr>
          <xdr:sp macro="" textlink="">
            <xdr:nvSpPr>
              <xdr:cNvPr id="184" name="CaixaDeTexto 183">
                <a:extLst>
                  <a:ext uri="{FF2B5EF4-FFF2-40B4-BE49-F238E27FC236}">
                    <a16:creationId xmlns:a16="http://schemas.microsoft.com/office/drawing/2014/main" id="{19B8271A-69D8-8D40-572D-2A90B46D9615}"/>
                  </a:ext>
                </a:extLst>
              </xdr:cNvPr>
              <xdr:cNvSpPr txBox="1"/>
            </xdr:nvSpPr>
            <xdr:spPr>
              <a:xfrm>
                <a:off x="8926915" y="6567237"/>
                <a:ext cx="716288" cy="206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Real</a:t>
                </a:r>
              </a:p>
            </xdr:txBody>
          </xdr:sp>
          <xdr:sp macro="" textlink="">
            <xdr:nvSpPr>
              <xdr:cNvPr id="185" name="Seta: para a Direita 184">
                <a:extLst>
                  <a:ext uri="{FF2B5EF4-FFF2-40B4-BE49-F238E27FC236}">
                    <a16:creationId xmlns:a16="http://schemas.microsoft.com/office/drawing/2014/main" id="{DFB25B0E-8461-F203-53A6-2E24C9A06478}"/>
                  </a:ext>
                </a:extLst>
              </xdr:cNvPr>
              <xdr:cNvSpPr/>
            </xdr:nvSpPr>
            <xdr:spPr>
              <a:xfrm rot="10800000">
                <a:off x="8837385" y="6664964"/>
                <a:ext cx="162147" cy="46238"/>
              </a:xfrm>
              <a:prstGeom prst="rightArrow">
                <a:avLst/>
              </a:prstGeom>
              <a:solidFill>
                <a:srgbClr val="38986A"/>
              </a:solidFill>
              <a:ln>
                <a:solidFill>
                  <a:srgbClr val="38986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pSp>
      </xdr:grpSp>
      <xdr:sp macro="" textlink="">
        <xdr:nvSpPr>
          <xdr:cNvPr id="35" name="CaixaDeTexto 34">
            <a:extLst>
              <a:ext uri="{FF2B5EF4-FFF2-40B4-BE49-F238E27FC236}">
                <a16:creationId xmlns:a16="http://schemas.microsoft.com/office/drawing/2014/main" id="{101DC36B-808B-4F9A-93A8-404965D077FF}"/>
              </a:ext>
            </a:extLst>
          </xdr:cNvPr>
          <xdr:cNvSpPr txBox="1"/>
        </xdr:nvSpPr>
        <xdr:spPr>
          <a:xfrm>
            <a:off x="17439673" y="9701213"/>
            <a:ext cx="627001" cy="199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800" b="1">
                <a:solidFill>
                  <a:schemeClr val="tx1">
                    <a:lumMod val="65000"/>
                    <a:lumOff val="35000"/>
                  </a:schemeClr>
                </a:solidFill>
              </a:rPr>
              <a:t>Meta</a:t>
            </a:r>
            <a:r>
              <a:rPr lang="pt-BR" sz="800" b="1" baseline="0">
                <a:solidFill>
                  <a:schemeClr val="tx1">
                    <a:lumMod val="65000"/>
                    <a:lumOff val="35000"/>
                  </a:schemeClr>
                </a:solidFill>
              </a:rPr>
              <a:t> </a:t>
            </a:r>
            <a:endParaRPr lang="pt-BR" sz="800" b="1">
              <a:solidFill>
                <a:schemeClr val="tx1">
                  <a:lumMod val="65000"/>
                  <a:lumOff val="35000"/>
                </a:schemeClr>
              </a:solidFill>
            </a:endParaRPr>
          </a:p>
        </xdr:txBody>
      </xdr:sp>
    </xdr:grpSp>
    <xdr:clientData/>
  </xdr:twoCellAnchor>
  <xdr:twoCellAnchor editAs="absolute">
    <xdr:from>
      <xdr:col>1</xdr:col>
      <xdr:colOff>196396</xdr:colOff>
      <xdr:row>112</xdr:row>
      <xdr:rowOff>20020</xdr:rowOff>
    </xdr:from>
    <xdr:to>
      <xdr:col>8</xdr:col>
      <xdr:colOff>958785</xdr:colOff>
      <xdr:row>124</xdr:row>
      <xdr:rowOff>45683</xdr:rowOff>
    </xdr:to>
    <xdr:graphicFrame macro="">
      <xdr:nvGraphicFramePr>
        <xdr:cNvPr id="27" name="Gráfico 26">
          <a:extLst>
            <a:ext uri="{FF2B5EF4-FFF2-40B4-BE49-F238E27FC236}">
              <a16:creationId xmlns:a16="http://schemas.microsoft.com/office/drawing/2014/main" id="{C3C39984-50AE-4341-81C3-C5EA454C2247}"/>
            </a:ext>
            <a:ext uri="{147F2762-F138-4A5C-976F-8EAC2B608ADB}">
              <a16:predDERef xmlns:a16="http://schemas.microsoft.com/office/drawing/2014/main" pred="{EF527042-AF1F-D38B-F090-E21D4F056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absolute">
    <xdr:from>
      <xdr:col>10</xdr:col>
      <xdr:colOff>784614</xdr:colOff>
      <xdr:row>120</xdr:row>
      <xdr:rowOff>135097</xdr:rowOff>
    </xdr:from>
    <xdr:to>
      <xdr:col>19</xdr:col>
      <xdr:colOff>98363</xdr:colOff>
      <xdr:row>132</xdr:row>
      <xdr:rowOff>179939</xdr:rowOff>
    </xdr:to>
    <xdr:graphicFrame macro="">
      <xdr:nvGraphicFramePr>
        <xdr:cNvPr id="61" name="Gráfico 60">
          <a:extLst>
            <a:ext uri="{FF2B5EF4-FFF2-40B4-BE49-F238E27FC236}">
              <a16:creationId xmlns:a16="http://schemas.microsoft.com/office/drawing/2014/main" id="{5632D70D-5A30-4639-AE28-5CF2449428F0}"/>
            </a:ext>
            <a:ext uri="{147F2762-F138-4A5C-976F-8EAC2B608ADB}">
              <a16:predDERef xmlns:a16="http://schemas.microsoft.com/office/drawing/2014/main" pred="{C3C39984-50AE-4341-81C3-C5EA454C2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566058</xdr:colOff>
      <xdr:row>80</xdr:row>
      <xdr:rowOff>43542</xdr:rowOff>
    </xdr:from>
    <xdr:to>
      <xdr:col>3</xdr:col>
      <xdr:colOff>881743</xdr:colOff>
      <xdr:row>81</xdr:row>
      <xdr:rowOff>48985</xdr:rowOff>
    </xdr:to>
    <xdr:sp macro="" textlink="$F$77">
      <xdr:nvSpPr>
        <xdr:cNvPr id="288" name="CaixaDeTexto 287">
          <a:extLst>
            <a:ext uri="{FF2B5EF4-FFF2-40B4-BE49-F238E27FC236}">
              <a16:creationId xmlns:a16="http://schemas.microsoft.com/office/drawing/2014/main" id="{F14480CC-C82C-42A7-A91A-E9F938C2DA2F}"/>
            </a:ext>
          </a:extLst>
        </xdr:cNvPr>
        <xdr:cNvSpPr txBox="1"/>
      </xdr:nvSpPr>
      <xdr:spPr>
        <a:xfrm>
          <a:off x="1213758" y="18309771"/>
          <a:ext cx="315685"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E13B62-31A1-4207-AF5D-4427ABBC96C5}" type="TxLink">
            <a:rPr lang="en-US" sz="800" b="0" i="0" u="none" strike="noStrike">
              <a:solidFill>
                <a:srgbClr val="000000"/>
              </a:solidFill>
              <a:latin typeface="Calibri"/>
              <a:ea typeface="Calibri"/>
              <a:cs typeface="Calibri"/>
            </a:rPr>
            <a:pPr/>
            <a:t> </a:t>
          </a:fld>
          <a:endParaRPr lang="pt-BR" sz="800" b="1">
            <a:solidFill>
              <a:schemeClr val="tx1">
                <a:lumMod val="65000"/>
                <a:lumOff val="35000"/>
              </a:schemeClr>
            </a:solidFill>
          </a:endParaRPr>
        </a:p>
      </xdr:txBody>
    </xdr:sp>
    <xdr:clientData/>
  </xdr:twoCellAnchor>
  <xdr:twoCellAnchor editAs="absolute">
    <xdr:from>
      <xdr:col>9</xdr:col>
      <xdr:colOff>929695</xdr:colOff>
      <xdr:row>99</xdr:row>
      <xdr:rowOff>150069</xdr:rowOff>
    </xdr:from>
    <xdr:to>
      <xdr:col>10</xdr:col>
      <xdr:colOff>831979</xdr:colOff>
      <xdr:row>100</xdr:row>
      <xdr:rowOff>171062</xdr:rowOff>
    </xdr:to>
    <xdr:sp macro="" textlink="D83">
      <xdr:nvSpPr>
        <xdr:cNvPr id="293" name="CaixaDeTexto 292">
          <a:extLst>
            <a:ext uri="{FF2B5EF4-FFF2-40B4-BE49-F238E27FC236}">
              <a16:creationId xmlns:a16="http://schemas.microsoft.com/office/drawing/2014/main" id="{1BCD9186-FCFF-75CF-96BB-9CBF6731FCF0}"/>
            </a:ext>
          </a:extLst>
        </xdr:cNvPr>
        <xdr:cNvSpPr txBox="1"/>
      </xdr:nvSpPr>
      <xdr:spPr>
        <a:xfrm>
          <a:off x="7554429" y="21524946"/>
          <a:ext cx="967530" cy="207606"/>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716911-EAAF-48A0-901E-7E93B1A2B659}" type="TxLink">
            <a:rPr lang="en-US" sz="800" b="1" i="0" u="none" strike="noStrike" kern="1200">
              <a:solidFill>
                <a:schemeClr val="tx2"/>
              </a:solidFill>
              <a:latin typeface="Calibri"/>
              <a:ea typeface="Calibri"/>
              <a:cs typeface="Calibri"/>
            </a:rPr>
            <a:pPr/>
            <a:t>Dias reais | 12</a:t>
          </a:fld>
          <a:endParaRPr lang="pt-BR" sz="800" kern="1200">
            <a:solidFill>
              <a:schemeClr val="tx2"/>
            </a:solidFill>
          </a:endParaRPr>
        </a:p>
      </xdr:txBody>
    </xdr:sp>
    <xdr:clientData/>
  </xdr:twoCellAnchor>
  <xdr:twoCellAnchor editAs="absolute">
    <xdr:from>
      <xdr:col>18</xdr:col>
      <xdr:colOff>163025</xdr:colOff>
      <xdr:row>99</xdr:row>
      <xdr:rowOff>108858</xdr:rowOff>
    </xdr:from>
    <xdr:to>
      <xdr:col>19</xdr:col>
      <xdr:colOff>667396</xdr:colOff>
      <xdr:row>100</xdr:row>
      <xdr:rowOff>144105</xdr:rowOff>
    </xdr:to>
    <xdr:sp macro="" textlink="D83">
      <xdr:nvSpPr>
        <xdr:cNvPr id="294" name="CaixaDeTexto 293">
          <a:extLst>
            <a:ext uri="{FF2B5EF4-FFF2-40B4-BE49-F238E27FC236}">
              <a16:creationId xmlns:a16="http://schemas.microsoft.com/office/drawing/2014/main" id="{B7DC5461-69AA-480E-8825-5BF571636A1E}"/>
            </a:ext>
          </a:extLst>
        </xdr:cNvPr>
        <xdr:cNvSpPr txBox="1"/>
      </xdr:nvSpPr>
      <xdr:spPr>
        <a:xfrm>
          <a:off x="13234953" y="21303602"/>
          <a:ext cx="812800" cy="216677"/>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716911-EAAF-48A0-901E-7E93B1A2B659}" type="TxLink">
            <a:rPr lang="en-US" sz="800" b="1" i="0" u="none" strike="noStrike" kern="1200">
              <a:solidFill>
                <a:schemeClr val="tx2"/>
              </a:solidFill>
              <a:latin typeface="Calibri"/>
              <a:ea typeface="Calibri"/>
              <a:cs typeface="Calibri"/>
            </a:rPr>
            <a:pPr/>
            <a:t>Dias reais | 12</a:t>
          </a:fld>
          <a:endParaRPr lang="pt-BR" sz="800" kern="1200">
            <a:solidFill>
              <a:schemeClr val="tx2"/>
            </a:solidFill>
          </a:endParaRPr>
        </a:p>
      </xdr:txBody>
    </xdr:sp>
    <xdr:clientData/>
  </xdr:twoCellAnchor>
  <xdr:twoCellAnchor editAs="absolute">
    <xdr:from>
      <xdr:col>9</xdr:col>
      <xdr:colOff>304148</xdr:colOff>
      <xdr:row>105</xdr:row>
      <xdr:rowOff>6922</xdr:rowOff>
    </xdr:from>
    <xdr:to>
      <xdr:col>16</xdr:col>
      <xdr:colOff>671026</xdr:colOff>
      <xdr:row>117</xdr:row>
      <xdr:rowOff>185697</xdr:rowOff>
    </xdr:to>
    <xdr:graphicFrame macro="">
      <xdr:nvGraphicFramePr>
        <xdr:cNvPr id="296" name="Gráfico 295">
          <a:extLst>
            <a:ext uri="{FF2B5EF4-FFF2-40B4-BE49-F238E27FC236}">
              <a16:creationId xmlns:a16="http://schemas.microsoft.com/office/drawing/2014/main" id="{F26F49A4-758E-8868-28BD-1FCD375FD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absolute">
    <xdr:from>
      <xdr:col>11</xdr:col>
      <xdr:colOff>1749</xdr:colOff>
      <xdr:row>70</xdr:row>
      <xdr:rowOff>139893</xdr:rowOff>
    </xdr:from>
    <xdr:to>
      <xdr:col>11</xdr:col>
      <xdr:colOff>405296</xdr:colOff>
      <xdr:row>72</xdr:row>
      <xdr:rowOff>2525</xdr:rowOff>
    </xdr:to>
    <xdr:sp macro="" textlink="$H$71">
      <xdr:nvSpPr>
        <xdr:cNvPr id="297" name="CaixaDeTexto 296">
          <a:extLst>
            <a:ext uri="{FF2B5EF4-FFF2-40B4-BE49-F238E27FC236}">
              <a16:creationId xmlns:a16="http://schemas.microsoft.com/office/drawing/2014/main" id="{BB5AFD17-9FA9-784B-C761-B2E12743C4EC}"/>
            </a:ext>
          </a:extLst>
        </xdr:cNvPr>
        <xdr:cNvSpPr txBox="1"/>
      </xdr:nvSpPr>
      <xdr:spPr>
        <a:xfrm>
          <a:off x="8710904" y="15970832"/>
          <a:ext cx="449616" cy="30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D38C67-90C0-42A8-AB97-DE767DD12803}" type="TxLink">
            <a:rPr lang="en-US" sz="900" b="1" i="0" u="none" strike="noStrike" kern="1200">
              <a:solidFill>
                <a:schemeClr val="bg1"/>
              </a:solidFill>
              <a:latin typeface="Calibri"/>
              <a:ea typeface="Calibri"/>
              <a:cs typeface="Calibri"/>
            </a:rPr>
            <a:pPr/>
            <a:t>53%</a:t>
          </a:fld>
          <a:endParaRPr lang="pt-BR" sz="900" b="1" kern="1200">
            <a:solidFill>
              <a:schemeClr val="bg1"/>
            </a:solidFill>
          </a:endParaRPr>
        </a:p>
      </xdr:txBody>
    </xdr:sp>
    <xdr:clientData/>
  </xdr:twoCellAnchor>
  <xdr:twoCellAnchor editAs="absolute">
    <xdr:from>
      <xdr:col>11</xdr:col>
      <xdr:colOff>334344</xdr:colOff>
      <xdr:row>71</xdr:row>
      <xdr:rowOff>35312</xdr:rowOff>
    </xdr:from>
    <xdr:to>
      <xdr:col>11</xdr:col>
      <xdr:colOff>988526</xdr:colOff>
      <xdr:row>72</xdr:row>
      <xdr:rowOff>266310</xdr:rowOff>
    </xdr:to>
    <xdr:sp macro="" textlink="$I$71">
      <xdr:nvSpPr>
        <xdr:cNvPr id="298" name="CaixaDeTexto 297">
          <a:extLst>
            <a:ext uri="{FF2B5EF4-FFF2-40B4-BE49-F238E27FC236}">
              <a16:creationId xmlns:a16="http://schemas.microsoft.com/office/drawing/2014/main" id="{CB71BE27-0D73-49A7-9D83-41A844F448AA}"/>
            </a:ext>
          </a:extLst>
        </xdr:cNvPr>
        <xdr:cNvSpPr txBox="1"/>
      </xdr:nvSpPr>
      <xdr:spPr>
        <a:xfrm>
          <a:off x="9089568" y="16247251"/>
          <a:ext cx="654182" cy="293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F4F621-B4FE-4899-8FEE-2858AD3E7D5E}" type="TxLink">
            <a:rPr lang="en-US" sz="900" b="1" i="0" u="none" strike="noStrike" kern="1200">
              <a:solidFill>
                <a:schemeClr val="bg1"/>
              </a:solidFill>
              <a:latin typeface="Calibri"/>
              <a:ea typeface="Calibri"/>
              <a:cs typeface="Calibri"/>
            </a:rPr>
            <a:pPr/>
            <a:t>47%</a:t>
          </a:fld>
          <a:endParaRPr lang="pt-BR" sz="900" b="1" kern="1200">
            <a:solidFill>
              <a:schemeClr val="bg1"/>
            </a:solidFill>
          </a:endParaRPr>
        </a:p>
      </xdr:txBody>
    </xdr:sp>
    <xdr:clientData/>
  </xdr:twoCellAnchor>
  <xdr:twoCellAnchor editAs="absolute">
    <xdr:from>
      <xdr:col>15</xdr:col>
      <xdr:colOff>284068</xdr:colOff>
      <xdr:row>70</xdr:row>
      <xdr:rowOff>89224</xdr:rowOff>
    </xdr:from>
    <xdr:to>
      <xdr:col>15</xdr:col>
      <xdr:colOff>735307</xdr:colOff>
      <xdr:row>71</xdr:row>
      <xdr:rowOff>9978</xdr:rowOff>
    </xdr:to>
    <xdr:sp macro="" textlink="$H$73">
      <xdr:nvSpPr>
        <xdr:cNvPr id="299" name="CaixaDeTexto 298">
          <a:extLst>
            <a:ext uri="{FF2B5EF4-FFF2-40B4-BE49-F238E27FC236}">
              <a16:creationId xmlns:a16="http://schemas.microsoft.com/office/drawing/2014/main" id="{627DD552-D484-42A4-8074-5D5CBB6C7331}"/>
            </a:ext>
          </a:extLst>
        </xdr:cNvPr>
        <xdr:cNvSpPr txBox="1"/>
      </xdr:nvSpPr>
      <xdr:spPr>
        <a:xfrm>
          <a:off x="11037598" y="15920163"/>
          <a:ext cx="451239" cy="301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781B46-4477-472B-8BC8-2DD7088F473B}" type="TxLink">
            <a:rPr lang="en-US" sz="900" b="1" i="0" u="none" strike="noStrike" kern="1200">
              <a:solidFill>
                <a:schemeClr val="bg1"/>
              </a:solidFill>
              <a:latin typeface="Calibri"/>
              <a:ea typeface="Calibri"/>
              <a:cs typeface="Calibri"/>
            </a:rPr>
            <a:pPr/>
            <a:t>65%</a:t>
          </a:fld>
          <a:endParaRPr lang="pt-BR" sz="900" b="1" kern="1200">
            <a:solidFill>
              <a:schemeClr val="bg1"/>
            </a:solidFill>
          </a:endParaRPr>
        </a:p>
      </xdr:txBody>
    </xdr:sp>
    <xdr:clientData/>
  </xdr:twoCellAnchor>
  <xdr:twoCellAnchor editAs="absolute">
    <xdr:from>
      <xdr:col>15</xdr:col>
      <xdr:colOff>780598</xdr:colOff>
      <xdr:row>70</xdr:row>
      <xdr:rowOff>55662</xdr:rowOff>
    </xdr:from>
    <xdr:to>
      <xdr:col>16</xdr:col>
      <xdr:colOff>429211</xdr:colOff>
      <xdr:row>70</xdr:row>
      <xdr:rowOff>343352</xdr:rowOff>
    </xdr:to>
    <xdr:sp macro="" textlink="$I$73">
      <xdr:nvSpPr>
        <xdr:cNvPr id="300" name="CaixaDeTexto 299">
          <a:extLst>
            <a:ext uri="{FF2B5EF4-FFF2-40B4-BE49-F238E27FC236}">
              <a16:creationId xmlns:a16="http://schemas.microsoft.com/office/drawing/2014/main" id="{84EF145F-4C49-404A-8941-19A2A8C9DCE9}"/>
            </a:ext>
          </a:extLst>
        </xdr:cNvPr>
        <xdr:cNvSpPr txBox="1"/>
      </xdr:nvSpPr>
      <xdr:spPr>
        <a:xfrm>
          <a:off x="11562703" y="15886601"/>
          <a:ext cx="444242" cy="28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9748C7-2581-4055-8272-87C591D3DFF6}" type="TxLink">
            <a:rPr lang="en-US" sz="900" b="1" i="0" u="none" strike="noStrike" kern="1200">
              <a:solidFill>
                <a:schemeClr val="bg1"/>
              </a:solidFill>
              <a:latin typeface="Calibri"/>
              <a:ea typeface="Calibri"/>
              <a:cs typeface="Calibri"/>
            </a:rPr>
            <a:pPr/>
            <a:t>35%</a:t>
          </a:fld>
          <a:endParaRPr lang="pt-BR" sz="900" b="1" kern="1200">
            <a:solidFill>
              <a:schemeClr val="bg1"/>
            </a:solidFill>
          </a:endParaRPr>
        </a:p>
      </xdr:txBody>
    </xdr:sp>
    <xdr:clientData/>
  </xdr:twoCellAnchor>
  <xdr:twoCellAnchor editAs="absolute">
    <xdr:from>
      <xdr:col>9</xdr:col>
      <xdr:colOff>982826</xdr:colOff>
      <xdr:row>116</xdr:row>
      <xdr:rowOff>76900</xdr:rowOff>
    </xdr:from>
    <xdr:to>
      <xdr:col>11</xdr:col>
      <xdr:colOff>4405</xdr:colOff>
      <xdr:row>117</xdr:row>
      <xdr:rowOff>83640</xdr:rowOff>
    </xdr:to>
    <xdr:sp macro="" textlink="$B$89">
      <xdr:nvSpPr>
        <xdr:cNvPr id="301" name="CaixaDeTexto 300">
          <a:extLst>
            <a:ext uri="{FF2B5EF4-FFF2-40B4-BE49-F238E27FC236}">
              <a16:creationId xmlns:a16="http://schemas.microsoft.com/office/drawing/2014/main" id="{9292A72E-F898-19B0-B347-450CF492F3B6}"/>
            </a:ext>
          </a:extLst>
        </xdr:cNvPr>
        <xdr:cNvSpPr txBox="1"/>
      </xdr:nvSpPr>
      <xdr:spPr>
        <a:xfrm>
          <a:off x="7586826" y="24326123"/>
          <a:ext cx="1144294" cy="190762"/>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40C0AF-FD67-4FC1-9141-1B86A976DEAC}" type="TxLink">
            <a:rPr lang="en-US" sz="1200" b="1" i="0" u="none" strike="noStrike" kern="1200">
              <a:solidFill>
                <a:schemeClr val="tx2"/>
              </a:solidFill>
              <a:latin typeface="Calibri"/>
              <a:ea typeface="Calibri"/>
              <a:cs typeface="Calibri"/>
            </a:rPr>
            <a:pPr algn="ctr"/>
            <a:t>Pacote 4/5</a:t>
          </a:fld>
          <a:endParaRPr lang="pt-BR" sz="1100" kern="1200">
            <a:solidFill>
              <a:schemeClr val="tx2"/>
            </a:solidFill>
          </a:endParaRPr>
        </a:p>
      </xdr:txBody>
    </xdr:sp>
    <xdr:clientData/>
  </xdr:twoCellAnchor>
  <xdr:twoCellAnchor editAs="absolute">
    <xdr:from>
      <xdr:col>17</xdr:col>
      <xdr:colOff>2462</xdr:colOff>
      <xdr:row>105</xdr:row>
      <xdr:rowOff>6923</xdr:rowOff>
    </xdr:from>
    <xdr:to>
      <xdr:col>23</xdr:col>
      <xdr:colOff>276937</xdr:colOff>
      <xdr:row>117</xdr:row>
      <xdr:rowOff>185698</xdr:rowOff>
    </xdr:to>
    <xdr:graphicFrame macro="">
      <xdr:nvGraphicFramePr>
        <xdr:cNvPr id="302" name="Gráfico 301">
          <a:extLst>
            <a:ext uri="{FF2B5EF4-FFF2-40B4-BE49-F238E27FC236}">
              <a16:creationId xmlns:a16="http://schemas.microsoft.com/office/drawing/2014/main" id="{43EDD17A-1069-4BB8-BABF-A0EB0601F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absolute">
    <xdr:from>
      <xdr:col>17</xdr:col>
      <xdr:colOff>464803</xdr:colOff>
      <xdr:row>116</xdr:row>
      <xdr:rowOff>59879</xdr:rowOff>
    </xdr:from>
    <xdr:to>
      <xdr:col>19</xdr:col>
      <xdr:colOff>350506</xdr:colOff>
      <xdr:row>117</xdr:row>
      <xdr:rowOff>65326</xdr:rowOff>
    </xdr:to>
    <xdr:sp macro="" textlink="$B$92">
      <xdr:nvSpPr>
        <xdr:cNvPr id="303" name="CaixaDeTexto 302">
          <a:extLst>
            <a:ext uri="{FF2B5EF4-FFF2-40B4-BE49-F238E27FC236}">
              <a16:creationId xmlns:a16="http://schemas.microsoft.com/office/drawing/2014/main" id="{2201249D-FF1D-4BAC-92A0-CDB780130791}"/>
            </a:ext>
          </a:extLst>
        </xdr:cNvPr>
        <xdr:cNvSpPr txBox="1"/>
      </xdr:nvSpPr>
      <xdr:spPr>
        <a:xfrm>
          <a:off x="12801946" y="24310399"/>
          <a:ext cx="928917" cy="190763"/>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D49DFB-A6AA-497A-968F-1C484C4CB5F9}" type="TxLink">
            <a:rPr lang="en-US" sz="1200" b="1" i="0" u="none" strike="noStrike" kern="1200">
              <a:solidFill>
                <a:schemeClr val="accent6">
                  <a:lumMod val="75000"/>
                </a:schemeClr>
              </a:solidFill>
              <a:latin typeface="Calibri"/>
              <a:ea typeface="Calibri"/>
              <a:cs typeface="Calibri"/>
            </a:rPr>
            <a:pPr algn="ctr"/>
            <a:t>Pacote 06</a:t>
          </a:fld>
          <a:endParaRPr lang="pt-BR" sz="1100" kern="1200">
            <a:solidFill>
              <a:schemeClr val="accent6">
                <a:lumMod val="75000"/>
              </a:schemeClr>
            </a:solidFill>
          </a:endParaRPr>
        </a:p>
      </xdr:txBody>
    </xdr:sp>
    <xdr:clientData/>
  </xdr:twoCellAnchor>
  <xdr:twoCellAnchor editAs="absolute">
    <xdr:from>
      <xdr:col>23</xdr:col>
      <xdr:colOff>444846</xdr:colOff>
      <xdr:row>105</xdr:row>
      <xdr:rowOff>6317</xdr:rowOff>
    </xdr:from>
    <xdr:to>
      <xdr:col>31</xdr:col>
      <xdr:colOff>74429</xdr:colOff>
      <xdr:row>118</xdr:row>
      <xdr:rowOff>1654</xdr:rowOff>
    </xdr:to>
    <xdr:graphicFrame macro="">
      <xdr:nvGraphicFramePr>
        <xdr:cNvPr id="304" name="Gráfico 303">
          <a:extLst>
            <a:ext uri="{FF2B5EF4-FFF2-40B4-BE49-F238E27FC236}">
              <a16:creationId xmlns:a16="http://schemas.microsoft.com/office/drawing/2014/main" id="{FB63A27F-8185-4557-A6A0-B4F4AB500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absolute">
    <xdr:from>
      <xdr:col>19</xdr:col>
      <xdr:colOff>246310</xdr:colOff>
      <xdr:row>72</xdr:row>
      <xdr:rowOff>79505</xdr:rowOff>
    </xdr:from>
    <xdr:to>
      <xdr:col>19</xdr:col>
      <xdr:colOff>662733</xdr:colOff>
      <xdr:row>73</xdr:row>
      <xdr:rowOff>709</xdr:rowOff>
    </xdr:to>
    <xdr:sp macro="" textlink="$I$75">
      <xdr:nvSpPr>
        <xdr:cNvPr id="40" name="CaixaDeTexto 39">
          <a:extLst>
            <a:ext uri="{FF2B5EF4-FFF2-40B4-BE49-F238E27FC236}">
              <a16:creationId xmlns:a16="http://schemas.microsoft.com/office/drawing/2014/main" id="{F85667F8-46CA-4FEC-BF0B-CCCCD86A0636}"/>
            </a:ext>
          </a:extLst>
        </xdr:cNvPr>
        <xdr:cNvSpPr txBox="1"/>
      </xdr:nvSpPr>
      <xdr:spPr>
        <a:xfrm>
          <a:off x="13666840" y="16353648"/>
          <a:ext cx="416423" cy="302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12BEDF-DB96-452D-933A-AF062A4C8E8E}" type="TxLink">
            <a:rPr lang="en-US" sz="900" b="1" i="0" u="none" strike="noStrike" kern="1200">
              <a:solidFill>
                <a:schemeClr val="bg1"/>
              </a:solidFill>
              <a:latin typeface="Calibri"/>
              <a:ea typeface="Calibri"/>
              <a:cs typeface="Calibri"/>
            </a:rPr>
            <a:pPr/>
            <a:t>28%</a:t>
          </a:fld>
          <a:endParaRPr lang="pt-BR" sz="900" b="1" kern="1200">
            <a:solidFill>
              <a:schemeClr val="bg1"/>
            </a:solidFill>
          </a:endParaRPr>
        </a:p>
      </xdr:txBody>
    </xdr:sp>
    <xdr:clientData/>
  </xdr:twoCellAnchor>
  <xdr:twoCellAnchor editAs="absolute">
    <xdr:from>
      <xdr:col>18</xdr:col>
      <xdr:colOff>223675</xdr:colOff>
      <xdr:row>70</xdr:row>
      <xdr:rowOff>91816</xdr:rowOff>
    </xdr:from>
    <xdr:to>
      <xdr:col>19</xdr:col>
      <xdr:colOff>367870</xdr:colOff>
      <xdr:row>70</xdr:row>
      <xdr:rowOff>378085</xdr:rowOff>
    </xdr:to>
    <xdr:sp macro="" textlink="$H$75">
      <xdr:nvSpPr>
        <xdr:cNvPr id="52" name="CaixaDeTexto 51">
          <a:extLst>
            <a:ext uri="{FF2B5EF4-FFF2-40B4-BE49-F238E27FC236}">
              <a16:creationId xmlns:a16="http://schemas.microsoft.com/office/drawing/2014/main" id="{8F6501B7-A93B-4FA9-ACA0-A5EB2978424F}"/>
            </a:ext>
          </a:extLst>
        </xdr:cNvPr>
        <xdr:cNvSpPr txBox="1"/>
      </xdr:nvSpPr>
      <xdr:spPr>
        <a:xfrm>
          <a:off x="13340961" y="15922755"/>
          <a:ext cx="447439" cy="286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C87132-58A7-470F-BFAC-D57D63C70C47}" type="TxLink">
            <a:rPr lang="en-US" sz="900" b="1" i="0" u="none" strike="noStrike" kern="1200">
              <a:solidFill>
                <a:schemeClr val="bg1"/>
              </a:solidFill>
              <a:latin typeface="Calibri"/>
              <a:ea typeface="Calibri"/>
              <a:cs typeface="Calibri"/>
            </a:rPr>
            <a:pPr/>
            <a:t>72%</a:t>
          </a:fld>
          <a:endParaRPr lang="pt-BR" sz="900" b="1" kern="1200">
            <a:solidFill>
              <a:schemeClr val="bg1"/>
            </a:solidFill>
          </a:endParaRPr>
        </a:p>
      </xdr:txBody>
    </xdr:sp>
    <xdr:clientData/>
  </xdr:twoCellAnchor>
  <xdr:twoCellAnchor editAs="absolute">
    <xdr:from>
      <xdr:col>9</xdr:col>
      <xdr:colOff>285097</xdr:colOff>
      <xdr:row>118</xdr:row>
      <xdr:rowOff>172822</xdr:rowOff>
    </xdr:from>
    <xdr:to>
      <xdr:col>16</xdr:col>
      <xdr:colOff>649253</xdr:colOff>
      <xdr:row>131</xdr:row>
      <xdr:rowOff>27117</xdr:rowOff>
    </xdr:to>
    <xdr:graphicFrame macro="">
      <xdr:nvGraphicFramePr>
        <xdr:cNvPr id="289" name="Gráfico 288">
          <a:extLst>
            <a:ext uri="{FF2B5EF4-FFF2-40B4-BE49-F238E27FC236}">
              <a16:creationId xmlns:a16="http://schemas.microsoft.com/office/drawing/2014/main" id="{F465EDD8-9E82-E352-698A-9348F292A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absolute">
    <xdr:from>
      <xdr:col>9</xdr:col>
      <xdr:colOff>919326</xdr:colOff>
      <xdr:row>129</xdr:row>
      <xdr:rowOff>71348</xdr:rowOff>
    </xdr:from>
    <xdr:to>
      <xdr:col>10</xdr:col>
      <xdr:colOff>993193</xdr:colOff>
      <xdr:row>130</xdr:row>
      <xdr:rowOff>80679</xdr:rowOff>
    </xdr:to>
    <xdr:sp macro="" textlink="$B$107">
      <xdr:nvSpPr>
        <xdr:cNvPr id="290" name="CaixaDeTexto 289">
          <a:extLst>
            <a:ext uri="{FF2B5EF4-FFF2-40B4-BE49-F238E27FC236}">
              <a16:creationId xmlns:a16="http://schemas.microsoft.com/office/drawing/2014/main" id="{60BE6507-5D4E-49E0-8FF3-EFCE9C27D19A}"/>
            </a:ext>
          </a:extLst>
        </xdr:cNvPr>
        <xdr:cNvSpPr txBox="1"/>
      </xdr:nvSpPr>
      <xdr:spPr>
        <a:xfrm>
          <a:off x="7523326" y="26688216"/>
          <a:ext cx="1135224" cy="190759"/>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0C9A76-48EF-4302-82DF-08443C3BC514}" type="TxLink">
            <a:rPr lang="en-US" sz="1200" b="1" i="0" u="none" strike="noStrike" kern="1200">
              <a:solidFill>
                <a:schemeClr val="tx2"/>
              </a:solidFill>
              <a:latin typeface="Calibri"/>
              <a:ea typeface="Calibri"/>
              <a:cs typeface="Calibri"/>
            </a:rPr>
            <a:pPr marL="0" indent="0" algn="ctr"/>
            <a:t>Pacote 4/5</a:t>
          </a:fld>
          <a:endParaRPr lang="pt-BR" sz="1200" b="1" i="0" u="none" strike="noStrike" kern="1200">
            <a:solidFill>
              <a:schemeClr val="tx2"/>
            </a:solidFill>
            <a:latin typeface="Calibri"/>
            <a:ea typeface="Calibri"/>
            <a:cs typeface="Calibri"/>
          </a:endParaRPr>
        </a:p>
      </xdr:txBody>
    </xdr:sp>
    <xdr:clientData/>
  </xdr:twoCellAnchor>
  <xdr:twoCellAnchor editAs="absolute">
    <xdr:from>
      <xdr:col>16</xdr:col>
      <xdr:colOff>749041</xdr:colOff>
      <xdr:row>118</xdr:row>
      <xdr:rowOff>162542</xdr:rowOff>
    </xdr:from>
    <xdr:to>
      <xdr:col>23</xdr:col>
      <xdr:colOff>282683</xdr:colOff>
      <xdr:row>131</xdr:row>
      <xdr:rowOff>19104</xdr:rowOff>
    </xdr:to>
    <xdr:graphicFrame macro="">
      <xdr:nvGraphicFramePr>
        <xdr:cNvPr id="291" name="Gráfico 290">
          <a:extLst>
            <a:ext uri="{FF2B5EF4-FFF2-40B4-BE49-F238E27FC236}">
              <a16:creationId xmlns:a16="http://schemas.microsoft.com/office/drawing/2014/main" id="{11A3B36B-D4D2-4138-B44D-5A977925E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absolute">
    <xdr:from>
      <xdr:col>17</xdr:col>
      <xdr:colOff>460569</xdr:colOff>
      <xdr:row>129</xdr:row>
      <xdr:rowOff>55623</xdr:rowOff>
    </xdr:from>
    <xdr:to>
      <xdr:col>19</xdr:col>
      <xdr:colOff>347826</xdr:colOff>
      <xdr:row>130</xdr:row>
      <xdr:rowOff>63401</xdr:rowOff>
    </xdr:to>
    <xdr:sp macro="" textlink="$B$110">
      <xdr:nvSpPr>
        <xdr:cNvPr id="292" name="CaixaDeTexto 291">
          <a:extLst>
            <a:ext uri="{FF2B5EF4-FFF2-40B4-BE49-F238E27FC236}">
              <a16:creationId xmlns:a16="http://schemas.microsoft.com/office/drawing/2014/main" id="{78989263-7A6F-4EC8-B898-596BD720B7EB}"/>
            </a:ext>
          </a:extLst>
        </xdr:cNvPr>
        <xdr:cNvSpPr txBox="1"/>
      </xdr:nvSpPr>
      <xdr:spPr>
        <a:xfrm>
          <a:off x="12797712" y="26672491"/>
          <a:ext cx="930471" cy="189206"/>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9C6272-E8AB-4D98-BA0C-52350E26F6A0}" type="TxLink">
            <a:rPr lang="en-US" sz="1200" b="1" i="0" u="none" strike="noStrike" kern="1200">
              <a:solidFill>
                <a:schemeClr val="accent6">
                  <a:lumMod val="75000"/>
                </a:schemeClr>
              </a:solidFill>
              <a:latin typeface="Calibri"/>
              <a:ea typeface="Calibri"/>
              <a:cs typeface="Calibri"/>
            </a:rPr>
            <a:pPr marL="0" indent="0" algn="ctr"/>
            <a:t>Pacote 06</a:t>
          </a:fld>
          <a:endParaRPr lang="pt-BR" sz="1200" b="1" i="0" u="none" strike="noStrike" kern="1200">
            <a:solidFill>
              <a:schemeClr val="accent6">
                <a:lumMod val="75000"/>
              </a:schemeClr>
            </a:solidFill>
            <a:latin typeface="Calibri"/>
            <a:ea typeface="Calibri"/>
            <a:cs typeface="Calibri"/>
          </a:endParaRPr>
        </a:p>
      </xdr:txBody>
    </xdr:sp>
    <xdr:clientData/>
  </xdr:twoCellAnchor>
  <xdr:twoCellAnchor editAs="absolute">
    <xdr:from>
      <xdr:col>23</xdr:col>
      <xdr:colOff>409771</xdr:colOff>
      <xdr:row>118</xdr:row>
      <xdr:rowOff>162542</xdr:rowOff>
    </xdr:from>
    <xdr:to>
      <xdr:col>31</xdr:col>
      <xdr:colOff>41471</xdr:colOff>
      <xdr:row>131</xdr:row>
      <xdr:rowOff>19104</xdr:rowOff>
    </xdr:to>
    <xdr:graphicFrame macro="">
      <xdr:nvGraphicFramePr>
        <xdr:cNvPr id="295" name="Gráfico 294">
          <a:extLst>
            <a:ext uri="{FF2B5EF4-FFF2-40B4-BE49-F238E27FC236}">
              <a16:creationId xmlns:a16="http://schemas.microsoft.com/office/drawing/2014/main" id="{9B182790-E597-4053-BB95-6459610CA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absolute">
    <xdr:from>
      <xdr:col>24</xdr:col>
      <xdr:colOff>954</xdr:colOff>
      <xdr:row>129</xdr:row>
      <xdr:rowOff>87690</xdr:rowOff>
    </xdr:from>
    <xdr:to>
      <xdr:col>26</xdr:col>
      <xdr:colOff>210628</xdr:colOff>
      <xdr:row>130</xdr:row>
      <xdr:rowOff>87692</xdr:rowOff>
    </xdr:to>
    <xdr:sp macro="" textlink="$B$113">
      <xdr:nvSpPr>
        <xdr:cNvPr id="305" name="CaixaDeTexto 304">
          <a:extLst>
            <a:ext uri="{FF2B5EF4-FFF2-40B4-BE49-F238E27FC236}">
              <a16:creationId xmlns:a16="http://schemas.microsoft.com/office/drawing/2014/main" id="{9989D15D-CD87-4D6E-8F6D-44DAC9E46872}"/>
            </a:ext>
          </a:extLst>
        </xdr:cNvPr>
        <xdr:cNvSpPr txBox="1"/>
      </xdr:nvSpPr>
      <xdr:spPr>
        <a:xfrm>
          <a:off x="17358226" y="26704558"/>
          <a:ext cx="931759" cy="181430"/>
        </a:xfrm>
        <a:prstGeom prst="rect">
          <a:avLst/>
        </a:prstGeom>
        <a:solidFill>
          <a:schemeClr val="bg1">
            <a:lumMod val="9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10CBBE-C04C-4827-82C7-66B6B533E586}" type="TxLink">
            <a:rPr lang="en-US" sz="1200" b="1" i="0" u="none" strike="noStrike" kern="1200">
              <a:solidFill>
                <a:srgbClr val="C00000"/>
              </a:solidFill>
              <a:latin typeface="Calibri"/>
              <a:ea typeface="Calibri"/>
              <a:cs typeface="Calibri"/>
            </a:rPr>
            <a:pPr marL="0" indent="0" algn="ctr"/>
            <a:t>Pacote 7/8</a:t>
          </a:fld>
          <a:endParaRPr lang="pt-BR" sz="1200" b="1" i="0" u="none" strike="noStrike" kern="1200">
            <a:solidFill>
              <a:srgbClr val="C00000"/>
            </a:solidFill>
            <a:latin typeface="Calibri"/>
            <a:ea typeface="Calibri"/>
            <a:cs typeface="Calibri"/>
          </a:endParaRPr>
        </a:p>
      </xdr:txBody>
    </xdr:sp>
    <xdr:clientData/>
  </xdr:twoCellAnchor>
  <xdr:twoCellAnchor>
    <xdr:from>
      <xdr:col>15</xdr:col>
      <xdr:colOff>242663</xdr:colOff>
      <xdr:row>165</xdr:row>
      <xdr:rowOff>10883</xdr:rowOff>
    </xdr:from>
    <xdr:to>
      <xdr:col>24</xdr:col>
      <xdr:colOff>99787</xdr:colOff>
      <xdr:row>176</xdr:row>
      <xdr:rowOff>36285</xdr:rowOff>
    </xdr:to>
    <xdr:graphicFrame macro="">
      <xdr:nvGraphicFramePr>
        <xdr:cNvPr id="332" name="Gráfico 331">
          <a:extLst>
            <a:ext uri="{FF2B5EF4-FFF2-40B4-BE49-F238E27FC236}">
              <a16:creationId xmlns:a16="http://schemas.microsoft.com/office/drawing/2014/main" id="{B622DB45-F000-67D5-D9A4-E3D6FC608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24</xdr:col>
      <xdr:colOff>292551</xdr:colOff>
      <xdr:row>164</xdr:row>
      <xdr:rowOff>174170</xdr:rowOff>
    </xdr:from>
    <xdr:to>
      <xdr:col>28</xdr:col>
      <xdr:colOff>714374</xdr:colOff>
      <xdr:row>176</xdr:row>
      <xdr:rowOff>27213</xdr:rowOff>
    </xdr:to>
    <xdr:graphicFrame macro="">
      <xdr:nvGraphicFramePr>
        <xdr:cNvPr id="333" name="Gráfico 332">
          <a:extLst>
            <a:ext uri="{FF2B5EF4-FFF2-40B4-BE49-F238E27FC236}">
              <a16:creationId xmlns:a16="http://schemas.microsoft.com/office/drawing/2014/main" id="{5B4E46B2-C8DF-4902-8312-A14D3C543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9</xdr:col>
      <xdr:colOff>599606</xdr:colOff>
      <xdr:row>133</xdr:row>
      <xdr:rowOff>81172</xdr:rowOff>
    </xdr:from>
    <xdr:to>
      <xdr:col>30</xdr:col>
      <xdr:colOff>29632</xdr:colOff>
      <xdr:row>161</xdr:row>
      <xdr:rowOff>36286</xdr:rowOff>
    </xdr:to>
    <xdr:graphicFrame macro="">
      <xdr:nvGraphicFramePr>
        <xdr:cNvPr id="10" name="Gráfico 37">
          <a:extLst>
            <a:ext uri="{FF2B5EF4-FFF2-40B4-BE49-F238E27FC236}">
              <a16:creationId xmlns:a16="http://schemas.microsoft.com/office/drawing/2014/main" id="{35A80E81-8C64-8D12-6FA4-4FB020AB8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23</xdr:col>
      <xdr:colOff>740230</xdr:colOff>
      <xdr:row>141</xdr:row>
      <xdr:rowOff>9074</xdr:rowOff>
    </xdr:from>
    <xdr:to>
      <xdr:col>29</xdr:col>
      <xdr:colOff>362858</xdr:colOff>
      <xdr:row>153</xdr:row>
      <xdr:rowOff>74643</xdr:rowOff>
    </xdr:to>
    <xdr:grpSp>
      <xdr:nvGrpSpPr>
        <xdr:cNvPr id="73" name="Agrupar 2067">
          <a:extLst>
            <a:ext uri="{FF2B5EF4-FFF2-40B4-BE49-F238E27FC236}">
              <a16:creationId xmlns:a16="http://schemas.microsoft.com/office/drawing/2014/main" id="{C18AA026-9631-42B9-B2DA-CE121D69772C}"/>
            </a:ext>
          </a:extLst>
        </xdr:cNvPr>
        <xdr:cNvGrpSpPr/>
      </xdr:nvGrpSpPr>
      <xdr:grpSpPr>
        <a:xfrm>
          <a:off x="16342180" y="29165099"/>
          <a:ext cx="2603953" cy="2065819"/>
          <a:chOff x="5831370" y="26981378"/>
          <a:chExt cx="2404271" cy="1652925"/>
        </a:xfrm>
      </xdr:grpSpPr>
      <xdr:sp macro="" textlink="">
        <xdr:nvSpPr>
          <xdr:cNvPr id="74" name="CaixaDeTexto 2058">
            <a:extLst>
              <a:ext uri="{FF2B5EF4-FFF2-40B4-BE49-F238E27FC236}">
                <a16:creationId xmlns:a16="http://schemas.microsoft.com/office/drawing/2014/main" id="{B2793A4F-2ABD-B1A2-B51C-DCDBEBFA7DFC}"/>
              </a:ext>
            </a:extLst>
          </xdr:cNvPr>
          <xdr:cNvSpPr txBox="1"/>
        </xdr:nvSpPr>
        <xdr:spPr>
          <a:xfrm rot="5400000">
            <a:off x="5965655" y="28287284"/>
            <a:ext cx="164266" cy="432835"/>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algn="ctr"/>
            <a:r>
              <a:rPr lang="pt-BR" sz="800" b="1" kern="1200">
                <a:solidFill>
                  <a:schemeClr val="bg1"/>
                </a:solidFill>
              </a:rPr>
              <a:t>Pilares</a:t>
            </a:r>
          </a:p>
        </xdr:txBody>
      </xdr:sp>
      <xdr:sp macro="" textlink="">
        <xdr:nvSpPr>
          <xdr:cNvPr id="75" name="CaixaDeTexto 74">
            <a:extLst>
              <a:ext uri="{FF2B5EF4-FFF2-40B4-BE49-F238E27FC236}">
                <a16:creationId xmlns:a16="http://schemas.microsoft.com/office/drawing/2014/main" id="{403DFB70-8B22-76F5-71A6-787904F1EB0E}"/>
              </a:ext>
            </a:extLst>
          </xdr:cNvPr>
          <xdr:cNvSpPr txBox="1"/>
        </xdr:nvSpPr>
        <xdr:spPr>
          <a:xfrm rot="5400000">
            <a:off x="6460708" y="28320707"/>
            <a:ext cx="188750" cy="43844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Travessas</a:t>
            </a:r>
          </a:p>
        </xdr:txBody>
      </xdr:sp>
      <xdr:sp macro="" textlink="">
        <xdr:nvSpPr>
          <xdr:cNvPr id="76" name="CaixaDeTexto 75">
            <a:extLst>
              <a:ext uri="{FF2B5EF4-FFF2-40B4-BE49-F238E27FC236}">
                <a16:creationId xmlns:a16="http://schemas.microsoft.com/office/drawing/2014/main" id="{1B9F2CF8-44B1-AF81-7560-99D74137375C}"/>
              </a:ext>
            </a:extLst>
          </xdr:cNvPr>
          <xdr:cNvSpPr txBox="1"/>
        </xdr:nvSpPr>
        <xdr:spPr>
          <a:xfrm rot="5400000">
            <a:off x="6933062" y="28340252"/>
            <a:ext cx="183345" cy="37733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Aduelas</a:t>
            </a:r>
          </a:p>
        </xdr:txBody>
      </xdr:sp>
      <xdr:sp macro="" textlink="">
        <xdr:nvSpPr>
          <xdr:cNvPr id="77" name="CaixaDeTexto 76">
            <a:extLst>
              <a:ext uri="{FF2B5EF4-FFF2-40B4-BE49-F238E27FC236}">
                <a16:creationId xmlns:a16="http://schemas.microsoft.com/office/drawing/2014/main" id="{59098A18-E4D3-A32D-CB3B-A7704491D114}"/>
              </a:ext>
            </a:extLst>
          </xdr:cNvPr>
          <xdr:cNvSpPr txBox="1"/>
        </xdr:nvSpPr>
        <xdr:spPr>
          <a:xfrm rot="5400000">
            <a:off x="7358264" y="28339154"/>
            <a:ext cx="189884" cy="35862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Vigas</a:t>
            </a:r>
          </a:p>
        </xdr:txBody>
      </xdr:sp>
      <xdr:sp macro="" textlink="">
        <xdr:nvSpPr>
          <xdr:cNvPr id="78" name="CaixaDeTexto 77">
            <a:extLst>
              <a:ext uri="{FF2B5EF4-FFF2-40B4-BE49-F238E27FC236}">
                <a16:creationId xmlns:a16="http://schemas.microsoft.com/office/drawing/2014/main" id="{1003B2AA-B4CD-CF5E-AB9F-BEF0B8C5486A}"/>
              </a:ext>
            </a:extLst>
          </xdr:cNvPr>
          <xdr:cNvSpPr txBox="1"/>
        </xdr:nvSpPr>
        <xdr:spPr>
          <a:xfrm rot="5400000">
            <a:off x="7795191" y="26743910"/>
            <a:ext cx="202982" cy="677918"/>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Pré-moldados</a:t>
            </a:r>
          </a:p>
        </xdr:txBody>
      </xdr:sp>
    </xdr:grpSp>
    <xdr:clientData/>
  </xdr:twoCellAnchor>
  <xdr:twoCellAnchor>
    <xdr:from>
      <xdr:col>19</xdr:col>
      <xdr:colOff>667658</xdr:colOff>
      <xdr:row>139</xdr:row>
      <xdr:rowOff>145142</xdr:rowOff>
    </xdr:from>
    <xdr:to>
      <xdr:col>23</xdr:col>
      <xdr:colOff>486229</xdr:colOff>
      <xdr:row>153</xdr:row>
      <xdr:rowOff>63757</xdr:rowOff>
    </xdr:to>
    <xdr:grpSp>
      <xdr:nvGrpSpPr>
        <xdr:cNvPr id="2068" name="Agrupar 2067">
          <a:extLst>
            <a:ext uri="{FF2B5EF4-FFF2-40B4-BE49-F238E27FC236}">
              <a16:creationId xmlns:a16="http://schemas.microsoft.com/office/drawing/2014/main" id="{45C9E530-13FA-4B9F-B515-4F529D823CA1}"/>
            </a:ext>
          </a:extLst>
        </xdr:cNvPr>
        <xdr:cNvGrpSpPr/>
      </xdr:nvGrpSpPr>
      <xdr:grpSpPr>
        <a:xfrm>
          <a:off x="13307333" y="28920167"/>
          <a:ext cx="2780846" cy="2299865"/>
          <a:chOff x="5831370" y="26996389"/>
          <a:chExt cx="2585339" cy="1637914"/>
        </a:xfrm>
      </xdr:grpSpPr>
      <xdr:sp macro="" textlink="">
        <xdr:nvSpPr>
          <xdr:cNvPr id="68" name="CaixaDeTexto 2058">
            <a:extLst>
              <a:ext uri="{FF2B5EF4-FFF2-40B4-BE49-F238E27FC236}">
                <a16:creationId xmlns:a16="http://schemas.microsoft.com/office/drawing/2014/main" id="{982A3867-702D-2BF7-554C-7CEC3EEEE0CA}"/>
              </a:ext>
            </a:extLst>
          </xdr:cNvPr>
          <xdr:cNvSpPr txBox="1"/>
        </xdr:nvSpPr>
        <xdr:spPr>
          <a:xfrm rot="5400000">
            <a:off x="5965655" y="28287284"/>
            <a:ext cx="164266" cy="432835"/>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algn="ctr"/>
            <a:r>
              <a:rPr lang="pt-BR" sz="800" b="1" kern="1200">
                <a:solidFill>
                  <a:schemeClr val="bg1"/>
                </a:solidFill>
              </a:rPr>
              <a:t>Pilares</a:t>
            </a:r>
          </a:p>
        </xdr:txBody>
      </xdr:sp>
      <xdr:sp macro="" textlink="">
        <xdr:nvSpPr>
          <xdr:cNvPr id="69" name="CaixaDeTexto 68">
            <a:extLst>
              <a:ext uri="{FF2B5EF4-FFF2-40B4-BE49-F238E27FC236}">
                <a16:creationId xmlns:a16="http://schemas.microsoft.com/office/drawing/2014/main" id="{50587ACD-1F29-D983-3133-986B43843D9A}"/>
              </a:ext>
            </a:extLst>
          </xdr:cNvPr>
          <xdr:cNvSpPr txBox="1"/>
        </xdr:nvSpPr>
        <xdr:spPr>
          <a:xfrm rot="5400000">
            <a:off x="6460708" y="28320707"/>
            <a:ext cx="188750" cy="43844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Travessas</a:t>
            </a:r>
          </a:p>
        </xdr:txBody>
      </xdr:sp>
      <xdr:sp macro="" textlink="">
        <xdr:nvSpPr>
          <xdr:cNvPr id="70" name="CaixaDeTexto 69">
            <a:extLst>
              <a:ext uri="{FF2B5EF4-FFF2-40B4-BE49-F238E27FC236}">
                <a16:creationId xmlns:a16="http://schemas.microsoft.com/office/drawing/2014/main" id="{6145EC78-541A-798A-A3A0-CF0F3F229CBE}"/>
              </a:ext>
            </a:extLst>
          </xdr:cNvPr>
          <xdr:cNvSpPr txBox="1"/>
        </xdr:nvSpPr>
        <xdr:spPr>
          <a:xfrm rot="5400000">
            <a:off x="6933062" y="28340252"/>
            <a:ext cx="183345" cy="37733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Aduelas</a:t>
            </a:r>
          </a:p>
        </xdr:txBody>
      </xdr:sp>
      <xdr:sp macro="" textlink="">
        <xdr:nvSpPr>
          <xdr:cNvPr id="71" name="CaixaDeTexto 70">
            <a:extLst>
              <a:ext uri="{FF2B5EF4-FFF2-40B4-BE49-F238E27FC236}">
                <a16:creationId xmlns:a16="http://schemas.microsoft.com/office/drawing/2014/main" id="{A44C2756-1D21-71F6-14D9-4894D16E4810}"/>
              </a:ext>
            </a:extLst>
          </xdr:cNvPr>
          <xdr:cNvSpPr txBox="1"/>
        </xdr:nvSpPr>
        <xdr:spPr>
          <a:xfrm rot="5400000">
            <a:off x="7413372" y="28339153"/>
            <a:ext cx="189884" cy="35862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Vigas</a:t>
            </a:r>
          </a:p>
        </xdr:txBody>
      </xdr:sp>
      <xdr:sp macro="" textlink="">
        <xdr:nvSpPr>
          <xdr:cNvPr id="72" name="CaixaDeTexto 71">
            <a:extLst>
              <a:ext uri="{FF2B5EF4-FFF2-40B4-BE49-F238E27FC236}">
                <a16:creationId xmlns:a16="http://schemas.microsoft.com/office/drawing/2014/main" id="{9D6772C1-BE81-16D9-AEBE-84DAD77F00C1}"/>
              </a:ext>
            </a:extLst>
          </xdr:cNvPr>
          <xdr:cNvSpPr txBox="1"/>
        </xdr:nvSpPr>
        <xdr:spPr>
          <a:xfrm rot="5400000">
            <a:off x="7976259" y="26758921"/>
            <a:ext cx="202982" cy="677918"/>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Pré-moldados</a:t>
            </a:r>
          </a:p>
        </xdr:txBody>
      </xdr:sp>
    </xdr:grpSp>
    <xdr:clientData/>
  </xdr:twoCellAnchor>
  <xdr:twoCellAnchor>
    <xdr:from>
      <xdr:col>15</xdr:col>
      <xdr:colOff>234046</xdr:colOff>
      <xdr:row>138</xdr:row>
      <xdr:rowOff>81650</xdr:rowOff>
    </xdr:from>
    <xdr:to>
      <xdr:col>19</xdr:col>
      <xdr:colOff>415475</xdr:colOff>
      <xdr:row>153</xdr:row>
      <xdr:rowOff>89426</xdr:rowOff>
    </xdr:to>
    <xdr:grpSp>
      <xdr:nvGrpSpPr>
        <xdr:cNvPr id="2061" name="Agrupar 2067">
          <a:extLst>
            <a:ext uri="{FF2B5EF4-FFF2-40B4-BE49-F238E27FC236}">
              <a16:creationId xmlns:a16="http://schemas.microsoft.com/office/drawing/2014/main" id="{78019D6B-6B93-42BE-A419-B02A4D019DA2}"/>
            </a:ext>
          </a:extLst>
        </xdr:cNvPr>
        <xdr:cNvGrpSpPr/>
      </xdr:nvGrpSpPr>
      <xdr:grpSpPr>
        <a:xfrm>
          <a:off x="10359121" y="28761425"/>
          <a:ext cx="2696029" cy="2484276"/>
          <a:chOff x="5799648" y="27039782"/>
          <a:chExt cx="2490173" cy="1641813"/>
        </a:xfrm>
      </xdr:grpSpPr>
      <xdr:sp macro="" textlink="">
        <xdr:nvSpPr>
          <xdr:cNvPr id="2063" name="CaixaDeTexto 2058">
            <a:extLst>
              <a:ext uri="{FF2B5EF4-FFF2-40B4-BE49-F238E27FC236}">
                <a16:creationId xmlns:a16="http://schemas.microsoft.com/office/drawing/2014/main" id="{065C7F39-EE2D-B19F-7B8C-CD6A372F3694}"/>
              </a:ext>
            </a:extLst>
          </xdr:cNvPr>
          <xdr:cNvSpPr txBox="1"/>
        </xdr:nvSpPr>
        <xdr:spPr>
          <a:xfrm rot="5400000">
            <a:off x="5933933" y="28355472"/>
            <a:ext cx="164266" cy="432835"/>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algn="ctr"/>
            <a:r>
              <a:rPr lang="pt-BR" sz="800" b="1" kern="1200">
                <a:solidFill>
                  <a:schemeClr val="bg1"/>
                </a:solidFill>
              </a:rPr>
              <a:t>Pilares</a:t>
            </a:r>
          </a:p>
        </xdr:txBody>
      </xdr:sp>
      <xdr:sp macro="" textlink="">
        <xdr:nvSpPr>
          <xdr:cNvPr id="2064" name="CaixaDeTexto 2063">
            <a:extLst>
              <a:ext uri="{FF2B5EF4-FFF2-40B4-BE49-F238E27FC236}">
                <a16:creationId xmlns:a16="http://schemas.microsoft.com/office/drawing/2014/main" id="{E97704C5-6F17-4176-5253-D28B6DF95DBC}"/>
              </a:ext>
            </a:extLst>
          </xdr:cNvPr>
          <xdr:cNvSpPr txBox="1"/>
        </xdr:nvSpPr>
        <xdr:spPr>
          <a:xfrm rot="5400000">
            <a:off x="6405194" y="28364099"/>
            <a:ext cx="188750" cy="43844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Travessas</a:t>
            </a:r>
          </a:p>
        </xdr:txBody>
      </xdr:sp>
      <xdr:sp macro="" textlink="">
        <xdr:nvSpPr>
          <xdr:cNvPr id="2065" name="CaixaDeTexto 2064">
            <a:extLst>
              <a:ext uri="{FF2B5EF4-FFF2-40B4-BE49-F238E27FC236}">
                <a16:creationId xmlns:a16="http://schemas.microsoft.com/office/drawing/2014/main" id="{564D4B36-543B-D6A6-1AA1-65B65052BB15}"/>
              </a:ext>
            </a:extLst>
          </xdr:cNvPr>
          <xdr:cNvSpPr txBox="1"/>
        </xdr:nvSpPr>
        <xdr:spPr>
          <a:xfrm rot="5400000">
            <a:off x="6885478" y="28389843"/>
            <a:ext cx="183345" cy="37733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Aduelas</a:t>
            </a:r>
          </a:p>
        </xdr:txBody>
      </xdr:sp>
      <xdr:sp macro="" textlink="">
        <xdr:nvSpPr>
          <xdr:cNvPr id="2066" name="CaixaDeTexto 2065">
            <a:extLst>
              <a:ext uri="{FF2B5EF4-FFF2-40B4-BE49-F238E27FC236}">
                <a16:creationId xmlns:a16="http://schemas.microsoft.com/office/drawing/2014/main" id="{98814522-0A2E-9075-0BA6-E0CCC558D69E}"/>
              </a:ext>
            </a:extLst>
          </xdr:cNvPr>
          <xdr:cNvSpPr txBox="1"/>
        </xdr:nvSpPr>
        <xdr:spPr>
          <a:xfrm rot="5400000">
            <a:off x="7334068" y="28407340"/>
            <a:ext cx="189884" cy="35862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Vigas</a:t>
            </a:r>
          </a:p>
        </xdr:txBody>
      </xdr:sp>
      <xdr:sp macro="" textlink="">
        <xdr:nvSpPr>
          <xdr:cNvPr id="2067" name="CaixaDeTexto 2066">
            <a:extLst>
              <a:ext uri="{FF2B5EF4-FFF2-40B4-BE49-F238E27FC236}">
                <a16:creationId xmlns:a16="http://schemas.microsoft.com/office/drawing/2014/main" id="{62A6667B-82AC-0C3A-4B30-496EE176765F}"/>
              </a:ext>
            </a:extLst>
          </xdr:cNvPr>
          <xdr:cNvSpPr txBox="1"/>
        </xdr:nvSpPr>
        <xdr:spPr>
          <a:xfrm rot="5400000">
            <a:off x="7849371" y="26802314"/>
            <a:ext cx="202982" cy="677918"/>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Pré-moldados</a:t>
            </a:r>
          </a:p>
        </xdr:txBody>
      </xdr:sp>
    </xdr:grpSp>
    <xdr:clientData/>
  </xdr:twoCellAnchor>
  <xdr:twoCellAnchor>
    <xdr:from>
      <xdr:col>10</xdr:col>
      <xdr:colOff>81642</xdr:colOff>
      <xdr:row>138</xdr:row>
      <xdr:rowOff>77755</xdr:rowOff>
    </xdr:from>
    <xdr:to>
      <xdr:col>14</xdr:col>
      <xdr:colOff>18142</xdr:colOff>
      <xdr:row>154</xdr:row>
      <xdr:rowOff>36286</xdr:rowOff>
    </xdr:to>
    <xdr:grpSp>
      <xdr:nvGrpSpPr>
        <xdr:cNvPr id="62" name="Agrupar 2067">
          <a:extLst>
            <a:ext uri="{FF2B5EF4-FFF2-40B4-BE49-F238E27FC236}">
              <a16:creationId xmlns:a16="http://schemas.microsoft.com/office/drawing/2014/main" id="{390E9D04-9F86-3DB2-69DB-EB6EEDB9B45D}"/>
            </a:ext>
          </a:extLst>
        </xdr:cNvPr>
        <xdr:cNvGrpSpPr/>
      </xdr:nvGrpSpPr>
      <xdr:grpSpPr>
        <a:xfrm>
          <a:off x="7320642" y="28757530"/>
          <a:ext cx="2774950" cy="2530281"/>
          <a:chOff x="5831370" y="26996389"/>
          <a:chExt cx="2515466" cy="1637914"/>
        </a:xfrm>
      </xdr:grpSpPr>
      <xdr:sp macro="" textlink="">
        <xdr:nvSpPr>
          <xdr:cNvPr id="63" name="CaixaDeTexto 2058">
            <a:extLst>
              <a:ext uri="{FF2B5EF4-FFF2-40B4-BE49-F238E27FC236}">
                <a16:creationId xmlns:a16="http://schemas.microsoft.com/office/drawing/2014/main" id="{7FD5E30E-D735-339C-76A9-D06354AF0558}"/>
              </a:ext>
            </a:extLst>
          </xdr:cNvPr>
          <xdr:cNvSpPr txBox="1"/>
        </xdr:nvSpPr>
        <xdr:spPr>
          <a:xfrm rot="5400000">
            <a:off x="5965655" y="28287284"/>
            <a:ext cx="164266" cy="432835"/>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algn="ctr"/>
            <a:r>
              <a:rPr lang="pt-BR" sz="800" b="1" kern="1200">
                <a:solidFill>
                  <a:schemeClr val="bg1"/>
                </a:solidFill>
              </a:rPr>
              <a:t>Pilares</a:t>
            </a:r>
          </a:p>
        </xdr:txBody>
      </xdr:sp>
      <xdr:sp macro="" textlink="">
        <xdr:nvSpPr>
          <xdr:cNvPr id="64" name="CaixaDeTexto 2063">
            <a:extLst>
              <a:ext uri="{FF2B5EF4-FFF2-40B4-BE49-F238E27FC236}">
                <a16:creationId xmlns:a16="http://schemas.microsoft.com/office/drawing/2014/main" id="{B665CD05-79AE-4FEB-8472-9292C08849C3}"/>
              </a:ext>
            </a:extLst>
          </xdr:cNvPr>
          <xdr:cNvSpPr txBox="1"/>
        </xdr:nvSpPr>
        <xdr:spPr>
          <a:xfrm rot="5400000">
            <a:off x="6460708" y="28320707"/>
            <a:ext cx="188750" cy="43844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Travessas</a:t>
            </a:r>
          </a:p>
        </xdr:txBody>
      </xdr:sp>
      <xdr:sp macro="" textlink="">
        <xdr:nvSpPr>
          <xdr:cNvPr id="65" name="CaixaDeTexto 2064">
            <a:extLst>
              <a:ext uri="{FF2B5EF4-FFF2-40B4-BE49-F238E27FC236}">
                <a16:creationId xmlns:a16="http://schemas.microsoft.com/office/drawing/2014/main" id="{F611BD84-C470-43B3-A04A-C6E7F854BD79}"/>
              </a:ext>
            </a:extLst>
          </xdr:cNvPr>
          <xdr:cNvSpPr txBox="1"/>
        </xdr:nvSpPr>
        <xdr:spPr>
          <a:xfrm rot="5400000">
            <a:off x="6933062" y="28340252"/>
            <a:ext cx="183345" cy="37733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Aduelas</a:t>
            </a:r>
          </a:p>
        </xdr:txBody>
      </xdr:sp>
      <xdr:sp macro="" textlink="">
        <xdr:nvSpPr>
          <xdr:cNvPr id="66" name="CaixaDeTexto 2065">
            <a:extLst>
              <a:ext uri="{FF2B5EF4-FFF2-40B4-BE49-F238E27FC236}">
                <a16:creationId xmlns:a16="http://schemas.microsoft.com/office/drawing/2014/main" id="{6ADA18F2-767C-4472-92E3-2BE7F8D54827}"/>
              </a:ext>
            </a:extLst>
          </xdr:cNvPr>
          <xdr:cNvSpPr txBox="1"/>
        </xdr:nvSpPr>
        <xdr:spPr>
          <a:xfrm rot="5400000">
            <a:off x="7351262" y="28352860"/>
            <a:ext cx="189884" cy="35862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Vigas</a:t>
            </a:r>
          </a:p>
        </xdr:txBody>
      </xdr:sp>
      <xdr:sp macro="" textlink="">
        <xdr:nvSpPr>
          <xdr:cNvPr id="67" name="CaixaDeTexto 2066">
            <a:extLst>
              <a:ext uri="{FF2B5EF4-FFF2-40B4-BE49-F238E27FC236}">
                <a16:creationId xmlns:a16="http://schemas.microsoft.com/office/drawing/2014/main" id="{CCFF1DB6-D6D8-49EB-9973-3A960A4A075F}"/>
              </a:ext>
            </a:extLst>
          </xdr:cNvPr>
          <xdr:cNvSpPr txBox="1"/>
        </xdr:nvSpPr>
        <xdr:spPr>
          <a:xfrm rot="5400000">
            <a:off x="7906386" y="26758921"/>
            <a:ext cx="202982" cy="677918"/>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Pré-moldados</a:t>
            </a:r>
          </a:p>
        </xdr:txBody>
      </xdr:sp>
    </xdr:grpSp>
    <xdr:clientData/>
  </xdr:twoCellAnchor>
  <xdr:twoCellAnchor>
    <xdr:from>
      <xdr:col>45</xdr:col>
      <xdr:colOff>471715</xdr:colOff>
      <xdr:row>4</xdr:row>
      <xdr:rowOff>217714</xdr:rowOff>
    </xdr:from>
    <xdr:to>
      <xdr:col>69</xdr:col>
      <xdr:colOff>87085</xdr:colOff>
      <xdr:row>24</xdr:row>
      <xdr:rowOff>54428</xdr:rowOff>
    </xdr:to>
    <xdr:graphicFrame macro="">
      <xdr:nvGraphicFramePr>
        <xdr:cNvPr id="85" name="Gráfico 37">
          <a:extLst>
            <a:ext uri="{FF2B5EF4-FFF2-40B4-BE49-F238E27FC236}">
              <a16:creationId xmlns:a16="http://schemas.microsoft.com/office/drawing/2014/main" id="{2A3F9F33-8B44-4702-8A0E-D0A23938C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46</xdr:col>
      <xdr:colOff>435628</xdr:colOff>
      <xdr:row>20</xdr:row>
      <xdr:rowOff>2134</xdr:rowOff>
    </xdr:from>
    <xdr:to>
      <xdr:col>48</xdr:col>
      <xdr:colOff>627994</xdr:colOff>
      <xdr:row>24</xdr:row>
      <xdr:rowOff>7731</xdr:rowOff>
    </xdr:to>
    <xdr:grpSp>
      <xdr:nvGrpSpPr>
        <xdr:cNvPr id="86" name="Agrupar 2067">
          <a:extLst>
            <a:ext uri="{FF2B5EF4-FFF2-40B4-BE49-F238E27FC236}">
              <a16:creationId xmlns:a16="http://schemas.microsoft.com/office/drawing/2014/main" id="{A1905F4D-1A9F-4B08-BB5B-CD81C9C5DDF2}"/>
            </a:ext>
          </a:extLst>
        </xdr:cNvPr>
        <xdr:cNvGrpSpPr/>
      </xdr:nvGrpSpPr>
      <xdr:grpSpPr>
        <a:xfrm rot="18283493">
          <a:off x="29718375" y="4333112"/>
          <a:ext cx="1310522" cy="1392516"/>
          <a:chOff x="6272599" y="27426402"/>
          <a:chExt cx="1171422" cy="1697427"/>
        </a:xfrm>
      </xdr:grpSpPr>
      <xdr:sp macro="" textlink="">
        <xdr:nvSpPr>
          <xdr:cNvPr id="87" name="CaixaDeTexto 2058">
            <a:extLst>
              <a:ext uri="{FF2B5EF4-FFF2-40B4-BE49-F238E27FC236}">
                <a16:creationId xmlns:a16="http://schemas.microsoft.com/office/drawing/2014/main" id="{83F42124-C859-D4AE-E9A5-2B9C4A5FB6A4}"/>
              </a:ext>
            </a:extLst>
          </xdr:cNvPr>
          <xdr:cNvSpPr txBox="1"/>
        </xdr:nvSpPr>
        <xdr:spPr>
          <a:xfrm rot="5400000">
            <a:off x="6349503" y="27349498"/>
            <a:ext cx="197876" cy="351683"/>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algn="ctr"/>
            <a:r>
              <a:rPr lang="pt-BR" sz="800" b="1" kern="1200">
                <a:solidFill>
                  <a:schemeClr val="bg1"/>
                </a:solidFill>
              </a:rPr>
              <a:t>Pilares</a:t>
            </a:r>
          </a:p>
        </xdr:txBody>
      </xdr:sp>
      <xdr:sp macro="" textlink="">
        <xdr:nvSpPr>
          <xdr:cNvPr id="88" name="CaixaDeTexto 2063">
            <a:extLst>
              <a:ext uri="{FF2B5EF4-FFF2-40B4-BE49-F238E27FC236}">
                <a16:creationId xmlns:a16="http://schemas.microsoft.com/office/drawing/2014/main" id="{4877DBC1-DB13-5A85-4341-8985C55DFFA3}"/>
              </a:ext>
            </a:extLst>
          </xdr:cNvPr>
          <xdr:cNvSpPr txBox="1"/>
        </xdr:nvSpPr>
        <xdr:spPr>
          <a:xfrm rot="5400000">
            <a:off x="6485377" y="27659257"/>
            <a:ext cx="211738" cy="454343"/>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Travessas</a:t>
            </a:r>
          </a:p>
        </xdr:txBody>
      </xdr:sp>
      <xdr:sp macro="" textlink="">
        <xdr:nvSpPr>
          <xdr:cNvPr id="89" name="CaixaDeTexto 2064">
            <a:extLst>
              <a:ext uri="{FF2B5EF4-FFF2-40B4-BE49-F238E27FC236}">
                <a16:creationId xmlns:a16="http://schemas.microsoft.com/office/drawing/2014/main" id="{6B79DCBD-813B-4470-0916-E0F073C25B29}"/>
              </a:ext>
            </a:extLst>
          </xdr:cNvPr>
          <xdr:cNvSpPr txBox="1"/>
        </xdr:nvSpPr>
        <xdr:spPr>
          <a:xfrm rot="5400000">
            <a:off x="6734883" y="28060627"/>
            <a:ext cx="199260" cy="39870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Aduelas</a:t>
            </a:r>
          </a:p>
        </xdr:txBody>
      </xdr:sp>
      <xdr:sp macro="" textlink="">
        <xdr:nvSpPr>
          <xdr:cNvPr id="90" name="CaixaDeTexto 2065">
            <a:extLst>
              <a:ext uri="{FF2B5EF4-FFF2-40B4-BE49-F238E27FC236}">
                <a16:creationId xmlns:a16="http://schemas.microsoft.com/office/drawing/2014/main" id="{054C5500-0CF0-EBDB-5125-6AEE9896E039}"/>
              </a:ext>
            </a:extLst>
          </xdr:cNvPr>
          <xdr:cNvSpPr txBox="1"/>
        </xdr:nvSpPr>
        <xdr:spPr>
          <a:xfrm rot="5400000">
            <a:off x="6673955" y="28229667"/>
            <a:ext cx="227576" cy="824845"/>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Vigas Pré</a:t>
            </a:r>
            <a:r>
              <a:rPr lang="pt-BR" sz="800" b="1" kern="1200" baseline="0">
                <a:solidFill>
                  <a:schemeClr val="bg1"/>
                </a:solidFill>
                <a:latin typeface="+mn-lt"/>
                <a:ea typeface="+mn-ea"/>
                <a:cs typeface="+mn-cs"/>
              </a:rPr>
              <a:t> moldadas</a:t>
            </a:r>
            <a:endParaRPr lang="pt-BR" sz="800" b="1" kern="1200">
              <a:solidFill>
                <a:schemeClr val="bg1"/>
              </a:solidFill>
              <a:latin typeface="+mn-lt"/>
              <a:ea typeface="+mn-ea"/>
              <a:cs typeface="+mn-cs"/>
            </a:endParaRPr>
          </a:p>
        </xdr:txBody>
      </xdr:sp>
      <xdr:sp macro="" textlink="">
        <xdr:nvSpPr>
          <xdr:cNvPr id="91" name="CaixaDeTexto 2066">
            <a:extLst>
              <a:ext uri="{FF2B5EF4-FFF2-40B4-BE49-F238E27FC236}">
                <a16:creationId xmlns:a16="http://schemas.microsoft.com/office/drawing/2014/main" id="{AE6C2EE5-466B-F339-445D-974A93210AC9}"/>
              </a:ext>
            </a:extLst>
          </xdr:cNvPr>
          <xdr:cNvSpPr txBox="1"/>
        </xdr:nvSpPr>
        <xdr:spPr>
          <a:xfrm rot="5400000">
            <a:off x="6957951" y="28637758"/>
            <a:ext cx="201250" cy="77089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Pré-moldados</a:t>
            </a:r>
          </a:p>
        </xdr:txBody>
      </xdr:sp>
    </xdr:grpSp>
    <xdr:clientData/>
  </xdr:twoCellAnchor>
  <xdr:twoCellAnchor>
    <xdr:from>
      <xdr:col>50</xdr:col>
      <xdr:colOff>396549</xdr:colOff>
      <xdr:row>19</xdr:row>
      <xdr:rowOff>46655</xdr:rowOff>
    </xdr:from>
    <xdr:to>
      <xdr:col>52</xdr:col>
      <xdr:colOff>588914</xdr:colOff>
      <xdr:row>23</xdr:row>
      <xdr:rowOff>417701</xdr:rowOff>
    </xdr:to>
    <xdr:grpSp>
      <xdr:nvGrpSpPr>
        <xdr:cNvPr id="92" name="Agrupar 2067">
          <a:extLst>
            <a:ext uri="{FF2B5EF4-FFF2-40B4-BE49-F238E27FC236}">
              <a16:creationId xmlns:a16="http://schemas.microsoft.com/office/drawing/2014/main" id="{B7842FA5-2E27-4733-B630-43F8F5C39B7C}"/>
            </a:ext>
          </a:extLst>
        </xdr:cNvPr>
        <xdr:cNvGrpSpPr/>
      </xdr:nvGrpSpPr>
      <xdr:grpSpPr>
        <a:xfrm rot="18283493">
          <a:off x="32130234" y="4307945"/>
          <a:ext cx="1304496" cy="1411565"/>
          <a:chOff x="6272599" y="27426402"/>
          <a:chExt cx="1171422" cy="1697427"/>
        </a:xfrm>
      </xdr:grpSpPr>
      <xdr:sp macro="" textlink="">
        <xdr:nvSpPr>
          <xdr:cNvPr id="93" name="CaixaDeTexto 2058">
            <a:extLst>
              <a:ext uri="{FF2B5EF4-FFF2-40B4-BE49-F238E27FC236}">
                <a16:creationId xmlns:a16="http://schemas.microsoft.com/office/drawing/2014/main" id="{D223C530-542D-B77A-B051-34A43356C297}"/>
              </a:ext>
            </a:extLst>
          </xdr:cNvPr>
          <xdr:cNvSpPr txBox="1"/>
        </xdr:nvSpPr>
        <xdr:spPr>
          <a:xfrm rot="5400000">
            <a:off x="6349503" y="27349498"/>
            <a:ext cx="197876" cy="351683"/>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algn="ctr"/>
            <a:r>
              <a:rPr lang="pt-BR" sz="800" b="1" kern="1200">
                <a:solidFill>
                  <a:schemeClr val="bg1"/>
                </a:solidFill>
              </a:rPr>
              <a:t>Pilares</a:t>
            </a:r>
          </a:p>
        </xdr:txBody>
      </xdr:sp>
      <xdr:sp macro="" textlink="">
        <xdr:nvSpPr>
          <xdr:cNvPr id="94" name="CaixaDeTexto 2063">
            <a:extLst>
              <a:ext uri="{FF2B5EF4-FFF2-40B4-BE49-F238E27FC236}">
                <a16:creationId xmlns:a16="http://schemas.microsoft.com/office/drawing/2014/main" id="{F9B631BF-69E1-B200-F528-E8B339C02172}"/>
              </a:ext>
            </a:extLst>
          </xdr:cNvPr>
          <xdr:cNvSpPr txBox="1"/>
        </xdr:nvSpPr>
        <xdr:spPr>
          <a:xfrm rot="5400000">
            <a:off x="6485377" y="27659257"/>
            <a:ext cx="211738" cy="454343"/>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Travessas</a:t>
            </a:r>
          </a:p>
        </xdr:txBody>
      </xdr:sp>
      <xdr:sp macro="" textlink="">
        <xdr:nvSpPr>
          <xdr:cNvPr id="95" name="CaixaDeTexto 2064">
            <a:extLst>
              <a:ext uri="{FF2B5EF4-FFF2-40B4-BE49-F238E27FC236}">
                <a16:creationId xmlns:a16="http://schemas.microsoft.com/office/drawing/2014/main" id="{D944A7C0-D39A-6737-7BBC-E1C8AB29C7F2}"/>
              </a:ext>
            </a:extLst>
          </xdr:cNvPr>
          <xdr:cNvSpPr txBox="1"/>
        </xdr:nvSpPr>
        <xdr:spPr>
          <a:xfrm rot="5400000">
            <a:off x="6734883" y="28060627"/>
            <a:ext cx="199260" cy="39870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Aduelas</a:t>
            </a:r>
          </a:p>
        </xdr:txBody>
      </xdr:sp>
      <xdr:sp macro="" textlink="">
        <xdr:nvSpPr>
          <xdr:cNvPr id="322" name="CaixaDeTexto 2065">
            <a:extLst>
              <a:ext uri="{FF2B5EF4-FFF2-40B4-BE49-F238E27FC236}">
                <a16:creationId xmlns:a16="http://schemas.microsoft.com/office/drawing/2014/main" id="{F04FE242-9168-F558-E813-3048E55BEC81}"/>
              </a:ext>
            </a:extLst>
          </xdr:cNvPr>
          <xdr:cNvSpPr txBox="1"/>
        </xdr:nvSpPr>
        <xdr:spPr>
          <a:xfrm rot="5400000">
            <a:off x="6673955" y="28229667"/>
            <a:ext cx="227576" cy="824845"/>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Vigas Pré</a:t>
            </a:r>
            <a:r>
              <a:rPr lang="pt-BR" sz="800" b="1" kern="1200" baseline="0">
                <a:solidFill>
                  <a:schemeClr val="bg1"/>
                </a:solidFill>
                <a:latin typeface="+mn-lt"/>
                <a:ea typeface="+mn-ea"/>
                <a:cs typeface="+mn-cs"/>
              </a:rPr>
              <a:t> moldadas</a:t>
            </a:r>
            <a:endParaRPr lang="pt-BR" sz="800" b="1" kern="1200">
              <a:solidFill>
                <a:schemeClr val="bg1"/>
              </a:solidFill>
              <a:latin typeface="+mn-lt"/>
              <a:ea typeface="+mn-ea"/>
              <a:cs typeface="+mn-cs"/>
            </a:endParaRPr>
          </a:p>
        </xdr:txBody>
      </xdr:sp>
      <xdr:sp macro="" textlink="">
        <xdr:nvSpPr>
          <xdr:cNvPr id="323" name="CaixaDeTexto 2066">
            <a:extLst>
              <a:ext uri="{FF2B5EF4-FFF2-40B4-BE49-F238E27FC236}">
                <a16:creationId xmlns:a16="http://schemas.microsoft.com/office/drawing/2014/main" id="{D2B0DA35-3CAC-2C36-195C-E918909CBE6C}"/>
              </a:ext>
            </a:extLst>
          </xdr:cNvPr>
          <xdr:cNvSpPr txBox="1"/>
        </xdr:nvSpPr>
        <xdr:spPr>
          <a:xfrm rot="5400000">
            <a:off x="6957951" y="28637758"/>
            <a:ext cx="201250" cy="77089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nchorCtr="0"/>
          <a:lstStyle/>
          <a:p>
            <a:pPr marL="0" indent="0" algn="ctr"/>
            <a:r>
              <a:rPr lang="pt-BR" sz="800" b="1" kern="1200">
                <a:solidFill>
                  <a:schemeClr val="bg1"/>
                </a:solidFill>
                <a:latin typeface="+mn-lt"/>
                <a:ea typeface="+mn-ea"/>
                <a:cs typeface="+mn-cs"/>
              </a:rPr>
              <a:t>Pré-moldados</a:t>
            </a:r>
          </a:p>
        </xdr:txBody>
      </xdr:sp>
    </xdr:grpSp>
    <xdr:clientData/>
  </xdr:twoCellAnchor>
  <xdr:twoCellAnchor editAs="absolute">
    <xdr:from>
      <xdr:col>19</xdr:col>
      <xdr:colOff>379271</xdr:colOff>
      <xdr:row>60</xdr:row>
      <xdr:rowOff>124408</xdr:rowOff>
    </xdr:from>
    <xdr:to>
      <xdr:col>20</xdr:col>
      <xdr:colOff>55727</xdr:colOff>
      <xdr:row>62</xdr:row>
      <xdr:rowOff>275447</xdr:rowOff>
    </xdr:to>
    <xdr:sp macro="" textlink="$H$63">
      <xdr:nvSpPr>
        <xdr:cNvPr id="6" name="CaixaDeTexto 5">
          <a:extLst>
            <a:ext uri="{FF2B5EF4-FFF2-40B4-BE49-F238E27FC236}">
              <a16:creationId xmlns:a16="http://schemas.microsoft.com/office/drawing/2014/main" id="{13A3F574-BB07-AF9E-0E62-5157B95743CB}"/>
            </a:ext>
          </a:extLst>
        </xdr:cNvPr>
        <xdr:cNvSpPr txBox="1"/>
      </xdr:nvSpPr>
      <xdr:spPr>
        <a:xfrm flipV="1">
          <a:off x="13799801" y="13622694"/>
          <a:ext cx="430682" cy="594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4D3F95-F168-4B56-943F-89BA2E264EDA}" type="TxLink">
            <a:rPr lang="en-US" sz="900" b="1" i="0" u="none" strike="noStrike">
              <a:solidFill>
                <a:schemeClr val="bg1"/>
              </a:solidFill>
              <a:latin typeface="Calibri"/>
              <a:ea typeface="Calibri"/>
              <a:cs typeface="Calibri"/>
            </a:rPr>
            <a:pPr/>
            <a:t>87%</a:t>
          </a:fld>
          <a:endParaRPr lang="pt-BR" sz="8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0.10201</cdr:x>
      <cdr:y>0.87098</cdr:y>
    </cdr:from>
    <cdr:to>
      <cdr:x>0.30833</cdr:x>
      <cdr:y>0.95396</cdr:y>
    </cdr:to>
    <cdr:sp macro="" textlink="Gráficos!$B$95">
      <cdr:nvSpPr>
        <cdr:cNvPr id="2" name="CaixaDeTexto 302">
          <a:extLst xmlns:a="http://schemas.openxmlformats.org/drawingml/2006/main">
            <a:ext uri="{FF2B5EF4-FFF2-40B4-BE49-F238E27FC236}">
              <a16:creationId xmlns:a16="http://schemas.microsoft.com/office/drawing/2014/main" id="{2201249D-FF1D-4BAC-92A0-CDB780130791}"/>
            </a:ext>
          </a:extLst>
        </cdr:cNvPr>
        <cdr:cNvSpPr txBox="1"/>
      </cdr:nvSpPr>
      <cdr:spPr>
        <a:xfrm xmlns:a="http://schemas.openxmlformats.org/drawingml/2006/main">
          <a:off x="455990" y="1967895"/>
          <a:ext cx="922262" cy="187477"/>
        </a:xfrm>
        <a:prstGeom xmlns:a="http://schemas.openxmlformats.org/drawingml/2006/main" prst="rect">
          <a:avLst/>
        </a:prstGeom>
        <a:solidFill xmlns:a="http://schemas.openxmlformats.org/drawingml/2006/main">
          <a:schemeClr val="bg1">
            <a:lumMod val="95000"/>
          </a:schemeClr>
        </a:solidFill>
        <a:ln xmlns:a="http://schemas.openxmlformats.org/drawingml/2006/main" w="9525" cmpd="sng">
          <a:solidFill>
            <a:schemeClr val="bg1">
              <a:lumMod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5DFFA17-B1A7-4DEA-9DE2-01D9279A60F7}" type="TxLink">
            <a:rPr lang="en-US" sz="1200" b="1" i="0" u="none" strike="noStrike" kern="1200">
              <a:solidFill>
                <a:srgbClr val="C00000"/>
              </a:solidFill>
              <a:latin typeface="Calibri"/>
              <a:ea typeface="Calibri"/>
              <a:cs typeface="Calibri"/>
            </a:rPr>
            <a:pPr algn="ctr"/>
            <a:t>Pacote 7/8</a:t>
          </a:fld>
          <a:endParaRPr lang="pt-BR" sz="1100" kern="1200">
            <a:solidFill>
              <a:srgbClr val="C00000"/>
            </a:solidFill>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4</xdr:col>
      <xdr:colOff>302465</xdr:colOff>
      <xdr:row>0</xdr:row>
      <xdr:rowOff>62578</xdr:rowOff>
    </xdr:from>
    <xdr:to>
      <xdr:col>4</xdr:col>
      <xdr:colOff>1430171</xdr:colOff>
      <xdr:row>2</xdr:row>
      <xdr:rowOff>74005</xdr:rowOff>
    </xdr:to>
    <xdr:pic>
      <xdr:nvPicPr>
        <xdr:cNvPr id="19" name="Imagem 18">
          <a:extLst>
            <a:ext uri="{FF2B5EF4-FFF2-40B4-BE49-F238E27FC236}">
              <a16:creationId xmlns:a16="http://schemas.microsoft.com/office/drawing/2014/main" id="{B3194400-86B7-4A83-B6A1-C3BE5F304B3E}"/>
            </a:ext>
          </a:extLst>
        </xdr:cNvPr>
        <xdr:cNvPicPr>
          <a:picLocks noChangeAspect="1"/>
        </xdr:cNvPicPr>
      </xdr:nvPicPr>
      <xdr:blipFill>
        <a:blip xmlns:r="http://schemas.openxmlformats.org/officeDocument/2006/relationships" r:embed="rId1"/>
        <a:stretch>
          <a:fillRect/>
        </a:stretch>
      </xdr:blipFill>
      <xdr:spPr>
        <a:xfrm>
          <a:off x="5798390" y="62578"/>
          <a:ext cx="1127706" cy="487677"/>
        </a:xfrm>
        <a:prstGeom prst="rect">
          <a:avLst/>
        </a:prstGeom>
      </xdr:spPr>
    </xdr:pic>
    <xdr:clientData/>
  </xdr:twoCellAnchor>
  <xdr:oneCellAnchor>
    <xdr:from>
      <xdr:col>4</xdr:col>
      <xdr:colOff>1618915</xdr:colOff>
      <xdr:row>0</xdr:row>
      <xdr:rowOff>58943</xdr:rowOff>
    </xdr:from>
    <xdr:ext cx="1652512" cy="502025"/>
    <xdr:pic>
      <xdr:nvPicPr>
        <xdr:cNvPr id="21" name="Imagem 20">
          <a:extLst>
            <a:ext uri="{FF2B5EF4-FFF2-40B4-BE49-F238E27FC236}">
              <a16:creationId xmlns:a16="http://schemas.microsoft.com/office/drawing/2014/main" id="{9F94DDFE-3447-4880-82D1-3A9779C4CF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14840" y="58943"/>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1162452</xdr:colOff>
      <xdr:row>2</xdr:row>
      <xdr:rowOff>189622</xdr:rowOff>
    </xdr:to>
    <xdr:pic>
      <xdr:nvPicPr>
        <xdr:cNvPr id="2" name="Imagem 1">
          <a:extLst>
            <a:ext uri="{FF2B5EF4-FFF2-40B4-BE49-F238E27FC236}">
              <a16:creationId xmlns:a16="http://schemas.microsoft.com/office/drawing/2014/main" id="{EC6BBD84-0C0F-4924-AB60-4C4E58E76384}"/>
            </a:ext>
          </a:extLst>
        </xdr:cNvPr>
        <xdr:cNvPicPr>
          <a:picLocks noChangeAspect="1"/>
        </xdr:cNvPicPr>
      </xdr:nvPicPr>
      <xdr:blipFill>
        <a:blip xmlns:r="http://schemas.openxmlformats.org/officeDocument/2006/relationships" r:embed="rId1"/>
        <a:stretch>
          <a:fillRect/>
        </a:stretch>
      </xdr:blipFill>
      <xdr:spPr>
        <a:xfrm>
          <a:off x="3755211" y="98272"/>
          <a:ext cx="1150566" cy="485957"/>
        </a:xfrm>
        <a:prstGeom prst="rect">
          <a:avLst/>
        </a:prstGeom>
      </xdr:spPr>
    </xdr:pic>
    <xdr:clientData/>
  </xdr:twoCellAnchor>
  <xdr:oneCellAnchor>
    <xdr:from>
      <xdr:col>4</xdr:col>
      <xdr:colOff>1455050</xdr:colOff>
      <xdr:row>0</xdr:row>
      <xdr:rowOff>152867</xdr:rowOff>
    </xdr:from>
    <xdr:ext cx="1652512" cy="502025"/>
    <xdr:pic>
      <xdr:nvPicPr>
        <xdr:cNvPr id="4" name="Imagem 3">
          <a:extLst>
            <a:ext uri="{FF2B5EF4-FFF2-40B4-BE49-F238E27FC236}">
              <a16:creationId xmlns:a16="http://schemas.microsoft.com/office/drawing/2014/main" id="{D7E77617-A01D-427D-BDAC-C0572B200C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9837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1162452</xdr:colOff>
      <xdr:row>2</xdr:row>
      <xdr:rowOff>113422</xdr:rowOff>
    </xdr:to>
    <xdr:pic>
      <xdr:nvPicPr>
        <xdr:cNvPr id="5" name="Imagem 4">
          <a:extLst>
            <a:ext uri="{FF2B5EF4-FFF2-40B4-BE49-F238E27FC236}">
              <a16:creationId xmlns:a16="http://schemas.microsoft.com/office/drawing/2014/main" id="{6E311280-857F-418E-AE1F-0C067891343D}"/>
            </a:ext>
          </a:extLst>
        </xdr:cNvPr>
        <xdr:cNvPicPr>
          <a:picLocks noChangeAspect="1"/>
        </xdr:cNvPicPr>
      </xdr:nvPicPr>
      <xdr:blipFill>
        <a:blip xmlns:r="http://schemas.openxmlformats.org/officeDocument/2006/relationships" r:embed="rId1"/>
        <a:stretch>
          <a:fillRect/>
        </a:stretch>
      </xdr:blipFill>
      <xdr:spPr>
        <a:xfrm>
          <a:off x="3755211" y="98272"/>
          <a:ext cx="1150566" cy="485957"/>
        </a:xfrm>
        <a:prstGeom prst="rect">
          <a:avLst/>
        </a:prstGeom>
      </xdr:spPr>
    </xdr:pic>
    <xdr:clientData/>
  </xdr:twoCellAnchor>
  <xdr:oneCellAnchor>
    <xdr:from>
      <xdr:col>4</xdr:col>
      <xdr:colOff>1455050</xdr:colOff>
      <xdr:row>0</xdr:row>
      <xdr:rowOff>152867</xdr:rowOff>
    </xdr:from>
    <xdr:ext cx="1652512" cy="502025"/>
    <xdr:pic>
      <xdr:nvPicPr>
        <xdr:cNvPr id="7" name="Imagem 6">
          <a:extLst>
            <a:ext uri="{FF2B5EF4-FFF2-40B4-BE49-F238E27FC236}">
              <a16:creationId xmlns:a16="http://schemas.microsoft.com/office/drawing/2014/main" id="{D534C2B1-115E-42CF-BF89-4120622FB2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9837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1158642</xdr:colOff>
      <xdr:row>2</xdr:row>
      <xdr:rowOff>109612</xdr:rowOff>
    </xdr:to>
    <xdr:pic>
      <xdr:nvPicPr>
        <xdr:cNvPr id="8" name="Imagem 7">
          <a:extLst>
            <a:ext uri="{FF2B5EF4-FFF2-40B4-BE49-F238E27FC236}">
              <a16:creationId xmlns:a16="http://schemas.microsoft.com/office/drawing/2014/main" id="{97574F70-3D8F-4BED-B900-91F1619C5BCB}"/>
            </a:ext>
          </a:extLst>
        </xdr:cNvPr>
        <xdr:cNvPicPr>
          <a:picLocks noChangeAspect="1"/>
        </xdr:cNvPicPr>
      </xdr:nvPicPr>
      <xdr:blipFill>
        <a:blip xmlns:r="http://schemas.openxmlformats.org/officeDocument/2006/relationships" r:embed="rId1"/>
        <a:stretch>
          <a:fillRect/>
        </a:stretch>
      </xdr:blipFill>
      <xdr:spPr>
        <a:xfrm>
          <a:off x="3755211" y="98272"/>
          <a:ext cx="1146756" cy="482147"/>
        </a:xfrm>
        <a:prstGeom prst="rect">
          <a:avLst/>
        </a:prstGeom>
      </xdr:spPr>
    </xdr:pic>
    <xdr:clientData/>
  </xdr:twoCellAnchor>
  <xdr:oneCellAnchor>
    <xdr:from>
      <xdr:col>4</xdr:col>
      <xdr:colOff>1455050</xdr:colOff>
      <xdr:row>0</xdr:row>
      <xdr:rowOff>152867</xdr:rowOff>
    </xdr:from>
    <xdr:ext cx="1652512" cy="502025"/>
    <xdr:pic>
      <xdr:nvPicPr>
        <xdr:cNvPr id="10" name="Imagem 9">
          <a:extLst>
            <a:ext uri="{FF2B5EF4-FFF2-40B4-BE49-F238E27FC236}">
              <a16:creationId xmlns:a16="http://schemas.microsoft.com/office/drawing/2014/main" id="{B7443AA6-1E36-4550-9AD6-F050359382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9837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1162452</xdr:colOff>
      <xdr:row>2</xdr:row>
      <xdr:rowOff>113422</xdr:rowOff>
    </xdr:to>
    <xdr:pic>
      <xdr:nvPicPr>
        <xdr:cNvPr id="11" name="Imagem 10">
          <a:extLst>
            <a:ext uri="{FF2B5EF4-FFF2-40B4-BE49-F238E27FC236}">
              <a16:creationId xmlns:a16="http://schemas.microsoft.com/office/drawing/2014/main" id="{A9576D57-D872-4AA3-AC99-AA19C2319187}"/>
            </a:ext>
          </a:extLst>
        </xdr:cNvPr>
        <xdr:cNvPicPr>
          <a:picLocks noChangeAspect="1"/>
        </xdr:cNvPicPr>
      </xdr:nvPicPr>
      <xdr:blipFill>
        <a:blip xmlns:r="http://schemas.openxmlformats.org/officeDocument/2006/relationships" r:embed="rId1"/>
        <a:stretch>
          <a:fillRect/>
        </a:stretch>
      </xdr:blipFill>
      <xdr:spPr>
        <a:xfrm>
          <a:off x="3545661" y="98272"/>
          <a:ext cx="1150566" cy="485957"/>
        </a:xfrm>
        <a:prstGeom prst="rect">
          <a:avLst/>
        </a:prstGeom>
      </xdr:spPr>
    </xdr:pic>
    <xdr:clientData/>
  </xdr:twoCellAnchor>
  <xdr:oneCellAnchor>
    <xdr:from>
      <xdr:col>4</xdr:col>
      <xdr:colOff>1455050</xdr:colOff>
      <xdr:row>0</xdr:row>
      <xdr:rowOff>152867</xdr:rowOff>
    </xdr:from>
    <xdr:ext cx="1652512" cy="502025"/>
    <xdr:pic>
      <xdr:nvPicPr>
        <xdr:cNvPr id="13" name="Imagem 12">
          <a:extLst>
            <a:ext uri="{FF2B5EF4-FFF2-40B4-BE49-F238E27FC236}">
              <a16:creationId xmlns:a16="http://schemas.microsoft.com/office/drawing/2014/main" id="{FD6C84B9-5FDD-4BDE-BFED-B42B9DCA2FE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8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1162452</xdr:colOff>
      <xdr:row>2</xdr:row>
      <xdr:rowOff>113422</xdr:rowOff>
    </xdr:to>
    <xdr:pic>
      <xdr:nvPicPr>
        <xdr:cNvPr id="14" name="Imagem 13">
          <a:extLst>
            <a:ext uri="{FF2B5EF4-FFF2-40B4-BE49-F238E27FC236}">
              <a16:creationId xmlns:a16="http://schemas.microsoft.com/office/drawing/2014/main" id="{66203F6A-367B-4458-AC01-149ADCFD0111}"/>
            </a:ext>
          </a:extLst>
        </xdr:cNvPr>
        <xdr:cNvPicPr>
          <a:picLocks noChangeAspect="1"/>
        </xdr:cNvPicPr>
      </xdr:nvPicPr>
      <xdr:blipFill>
        <a:blip xmlns:r="http://schemas.openxmlformats.org/officeDocument/2006/relationships" r:embed="rId1"/>
        <a:stretch>
          <a:fillRect/>
        </a:stretch>
      </xdr:blipFill>
      <xdr:spPr>
        <a:xfrm>
          <a:off x="3545661" y="98272"/>
          <a:ext cx="1150566" cy="485957"/>
        </a:xfrm>
        <a:prstGeom prst="rect">
          <a:avLst/>
        </a:prstGeom>
      </xdr:spPr>
    </xdr:pic>
    <xdr:clientData/>
  </xdr:twoCellAnchor>
  <xdr:oneCellAnchor>
    <xdr:from>
      <xdr:col>4</xdr:col>
      <xdr:colOff>1455050</xdr:colOff>
      <xdr:row>0</xdr:row>
      <xdr:rowOff>152867</xdr:rowOff>
    </xdr:from>
    <xdr:ext cx="1652512" cy="502025"/>
    <xdr:pic>
      <xdr:nvPicPr>
        <xdr:cNvPr id="16" name="Imagem 15">
          <a:extLst>
            <a:ext uri="{FF2B5EF4-FFF2-40B4-BE49-F238E27FC236}">
              <a16:creationId xmlns:a16="http://schemas.microsoft.com/office/drawing/2014/main" id="{968A662D-DF47-4940-A2BD-C187DE014B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8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1158642</xdr:colOff>
      <xdr:row>2</xdr:row>
      <xdr:rowOff>109612</xdr:rowOff>
    </xdr:to>
    <xdr:pic>
      <xdr:nvPicPr>
        <xdr:cNvPr id="18" name="Imagem 17">
          <a:extLst>
            <a:ext uri="{FF2B5EF4-FFF2-40B4-BE49-F238E27FC236}">
              <a16:creationId xmlns:a16="http://schemas.microsoft.com/office/drawing/2014/main" id="{476D515F-77DA-44EC-B9EF-43C243C4B1AF}"/>
            </a:ext>
          </a:extLst>
        </xdr:cNvPr>
        <xdr:cNvPicPr>
          <a:picLocks noChangeAspect="1"/>
        </xdr:cNvPicPr>
      </xdr:nvPicPr>
      <xdr:blipFill>
        <a:blip xmlns:r="http://schemas.openxmlformats.org/officeDocument/2006/relationships" r:embed="rId1"/>
        <a:stretch>
          <a:fillRect/>
        </a:stretch>
      </xdr:blipFill>
      <xdr:spPr>
        <a:xfrm>
          <a:off x="3545661" y="98272"/>
          <a:ext cx="1146756" cy="482147"/>
        </a:xfrm>
        <a:prstGeom prst="rect">
          <a:avLst/>
        </a:prstGeom>
      </xdr:spPr>
    </xdr:pic>
    <xdr:clientData/>
  </xdr:twoCellAnchor>
  <xdr:oneCellAnchor>
    <xdr:from>
      <xdr:col>4</xdr:col>
      <xdr:colOff>1455050</xdr:colOff>
      <xdr:row>0</xdr:row>
      <xdr:rowOff>152867</xdr:rowOff>
    </xdr:from>
    <xdr:ext cx="1652512" cy="502025"/>
    <xdr:pic>
      <xdr:nvPicPr>
        <xdr:cNvPr id="23" name="Imagem 22">
          <a:extLst>
            <a:ext uri="{FF2B5EF4-FFF2-40B4-BE49-F238E27FC236}">
              <a16:creationId xmlns:a16="http://schemas.microsoft.com/office/drawing/2014/main" id="{7C00BE44-6683-41AB-8F25-62DFF50D43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8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11886</xdr:colOff>
      <xdr:row>0</xdr:row>
      <xdr:rowOff>98272</xdr:rowOff>
    </xdr:from>
    <xdr:to>
      <xdr:col>4</xdr:col>
      <xdr:colOff>1162452</xdr:colOff>
      <xdr:row>2</xdr:row>
      <xdr:rowOff>113422</xdr:rowOff>
    </xdr:to>
    <xdr:pic>
      <xdr:nvPicPr>
        <xdr:cNvPr id="24" name="Imagem 23">
          <a:extLst>
            <a:ext uri="{FF2B5EF4-FFF2-40B4-BE49-F238E27FC236}">
              <a16:creationId xmlns:a16="http://schemas.microsoft.com/office/drawing/2014/main" id="{E3703F3B-6F36-46A0-94EC-C4EF3AD8D69B}"/>
            </a:ext>
          </a:extLst>
        </xdr:cNvPr>
        <xdr:cNvPicPr>
          <a:picLocks noChangeAspect="1"/>
        </xdr:cNvPicPr>
      </xdr:nvPicPr>
      <xdr:blipFill>
        <a:blip xmlns:r="http://schemas.openxmlformats.org/officeDocument/2006/relationships" r:embed="rId1"/>
        <a:stretch>
          <a:fillRect/>
        </a:stretch>
      </xdr:blipFill>
      <xdr:spPr>
        <a:xfrm>
          <a:off x="3545661" y="98272"/>
          <a:ext cx="1150566" cy="485957"/>
        </a:xfrm>
        <a:prstGeom prst="rect">
          <a:avLst/>
        </a:prstGeom>
      </xdr:spPr>
    </xdr:pic>
    <xdr:clientData/>
  </xdr:twoCellAnchor>
  <xdr:oneCellAnchor>
    <xdr:from>
      <xdr:col>4</xdr:col>
      <xdr:colOff>1455050</xdr:colOff>
      <xdr:row>0</xdr:row>
      <xdr:rowOff>152867</xdr:rowOff>
    </xdr:from>
    <xdr:ext cx="1652512" cy="502025"/>
    <xdr:pic>
      <xdr:nvPicPr>
        <xdr:cNvPr id="26" name="Imagem 25">
          <a:extLst>
            <a:ext uri="{FF2B5EF4-FFF2-40B4-BE49-F238E27FC236}">
              <a16:creationId xmlns:a16="http://schemas.microsoft.com/office/drawing/2014/main" id="{5D822EFE-6D27-4B69-B8DF-370884CAD1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8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144854</xdr:rowOff>
    </xdr:to>
    <xdr:pic>
      <xdr:nvPicPr>
        <xdr:cNvPr id="27" name="Imagem 26">
          <a:extLst>
            <a:ext uri="{FF2B5EF4-FFF2-40B4-BE49-F238E27FC236}">
              <a16:creationId xmlns:a16="http://schemas.microsoft.com/office/drawing/2014/main" id="{860199A9-A254-4937-A905-A1BD2788CF75}"/>
            </a:ext>
          </a:extLst>
        </xdr:cNvPr>
        <xdr:cNvPicPr>
          <a:picLocks noChangeAspect="1"/>
        </xdr:cNvPicPr>
      </xdr:nvPicPr>
      <xdr:blipFill>
        <a:blip xmlns:r="http://schemas.openxmlformats.org/officeDocument/2006/relationships" r:embed="rId1"/>
        <a:stretch>
          <a:fillRect/>
        </a:stretch>
      </xdr:blipFill>
      <xdr:spPr>
        <a:xfrm>
          <a:off x="7868582" y="116369"/>
          <a:ext cx="1144851" cy="499292"/>
        </a:xfrm>
        <a:prstGeom prst="rect">
          <a:avLst/>
        </a:prstGeom>
      </xdr:spPr>
    </xdr:pic>
    <xdr:clientData/>
  </xdr:twoCellAnchor>
  <xdr:oneCellAnchor>
    <xdr:from>
      <xdr:col>4</xdr:col>
      <xdr:colOff>1455050</xdr:colOff>
      <xdr:row>0</xdr:row>
      <xdr:rowOff>152867</xdr:rowOff>
    </xdr:from>
    <xdr:ext cx="1652512" cy="502025"/>
    <xdr:pic>
      <xdr:nvPicPr>
        <xdr:cNvPr id="29" name="Imagem 28">
          <a:extLst>
            <a:ext uri="{FF2B5EF4-FFF2-40B4-BE49-F238E27FC236}">
              <a16:creationId xmlns:a16="http://schemas.microsoft.com/office/drawing/2014/main" id="{49C0BCBB-9385-40BE-A451-8FB4BBF5DD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5125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144854</xdr:rowOff>
    </xdr:to>
    <xdr:pic>
      <xdr:nvPicPr>
        <xdr:cNvPr id="30" name="Imagem 29">
          <a:extLst>
            <a:ext uri="{FF2B5EF4-FFF2-40B4-BE49-F238E27FC236}">
              <a16:creationId xmlns:a16="http://schemas.microsoft.com/office/drawing/2014/main" id="{5094F562-30F3-4195-8FE4-5C5ECD5257F4}"/>
            </a:ext>
          </a:extLst>
        </xdr:cNvPr>
        <xdr:cNvPicPr>
          <a:picLocks noChangeAspect="1"/>
        </xdr:cNvPicPr>
      </xdr:nvPicPr>
      <xdr:blipFill>
        <a:blip xmlns:r="http://schemas.openxmlformats.org/officeDocument/2006/relationships" r:embed="rId1"/>
        <a:stretch>
          <a:fillRect/>
        </a:stretch>
      </xdr:blipFill>
      <xdr:spPr>
        <a:xfrm>
          <a:off x="3544232" y="116369"/>
          <a:ext cx="1144851" cy="499292"/>
        </a:xfrm>
        <a:prstGeom prst="rect">
          <a:avLst/>
        </a:prstGeom>
      </xdr:spPr>
    </xdr:pic>
    <xdr:clientData/>
  </xdr:twoCellAnchor>
  <xdr:oneCellAnchor>
    <xdr:from>
      <xdr:col>4</xdr:col>
      <xdr:colOff>1455050</xdr:colOff>
      <xdr:row>0</xdr:row>
      <xdr:rowOff>152867</xdr:rowOff>
    </xdr:from>
    <xdr:ext cx="1652512" cy="502025"/>
    <xdr:pic>
      <xdr:nvPicPr>
        <xdr:cNvPr id="32" name="Imagem 31">
          <a:extLst>
            <a:ext uri="{FF2B5EF4-FFF2-40B4-BE49-F238E27FC236}">
              <a16:creationId xmlns:a16="http://schemas.microsoft.com/office/drawing/2014/main" id="{38D4D8D1-8E81-4933-9373-C12A639391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2690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144854</xdr:rowOff>
    </xdr:to>
    <xdr:pic>
      <xdr:nvPicPr>
        <xdr:cNvPr id="33" name="Imagem 32">
          <a:extLst>
            <a:ext uri="{FF2B5EF4-FFF2-40B4-BE49-F238E27FC236}">
              <a16:creationId xmlns:a16="http://schemas.microsoft.com/office/drawing/2014/main" id="{2B0C4FE2-C2C2-4167-A8AF-A11DC0DD984E}"/>
            </a:ext>
          </a:extLst>
        </xdr:cNvPr>
        <xdr:cNvPicPr>
          <a:picLocks noChangeAspect="1"/>
        </xdr:cNvPicPr>
      </xdr:nvPicPr>
      <xdr:blipFill>
        <a:blip xmlns:r="http://schemas.openxmlformats.org/officeDocument/2006/relationships" r:embed="rId1"/>
        <a:stretch>
          <a:fillRect/>
        </a:stretch>
      </xdr:blipFill>
      <xdr:spPr>
        <a:xfrm>
          <a:off x="5001557" y="116369"/>
          <a:ext cx="1144851" cy="499292"/>
        </a:xfrm>
        <a:prstGeom prst="rect">
          <a:avLst/>
        </a:prstGeom>
      </xdr:spPr>
    </xdr:pic>
    <xdr:clientData/>
  </xdr:twoCellAnchor>
  <xdr:oneCellAnchor>
    <xdr:from>
      <xdr:col>4</xdr:col>
      <xdr:colOff>1455050</xdr:colOff>
      <xdr:row>0</xdr:row>
      <xdr:rowOff>152867</xdr:rowOff>
    </xdr:from>
    <xdr:ext cx="1652512" cy="502025"/>
    <xdr:pic>
      <xdr:nvPicPr>
        <xdr:cNvPr id="35" name="Imagem 34">
          <a:extLst>
            <a:ext uri="{FF2B5EF4-FFF2-40B4-BE49-F238E27FC236}">
              <a16:creationId xmlns:a16="http://schemas.microsoft.com/office/drawing/2014/main" id="{BB1EBE33-DD9D-48F5-B12D-4E6F3150FB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842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148664</xdr:rowOff>
    </xdr:to>
    <xdr:pic>
      <xdr:nvPicPr>
        <xdr:cNvPr id="36" name="Imagem 35">
          <a:extLst>
            <a:ext uri="{FF2B5EF4-FFF2-40B4-BE49-F238E27FC236}">
              <a16:creationId xmlns:a16="http://schemas.microsoft.com/office/drawing/2014/main" id="{C078955F-0019-4DCA-8B62-123612327930}"/>
            </a:ext>
          </a:extLst>
        </xdr:cNvPr>
        <xdr:cNvPicPr>
          <a:picLocks noChangeAspect="1"/>
        </xdr:cNvPicPr>
      </xdr:nvPicPr>
      <xdr:blipFill>
        <a:blip xmlns:r="http://schemas.openxmlformats.org/officeDocument/2006/relationships" r:embed="rId1"/>
        <a:stretch>
          <a:fillRect/>
        </a:stretch>
      </xdr:blipFill>
      <xdr:spPr>
        <a:xfrm>
          <a:off x="4353857" y="116369"/>
          <a:ext cx="1141041" cy="503102"/>
        </a:xfrm>
        <a:prstGeom prst="rect">
          <a:avLst/>
        </a:prstGeom>
      </xdr:spPr>
    </xdr:pic>
    <xdr:clientData/>
  </xdr:twoCellAnchor>
  <xdr:oneCellAnchor>
    <xdr:from>
      <xdr:col>4</xdr:col>
      <xdr:colOff>1455050</xdr:colOff>
      <xdr:row>0</xdr:row>
      <xdr:rowOff>152867</xdr:rowOff>
    </xdr:from>
    <xdr:ext cx="1652512" cy="502025"/>
    <xdr:pic>
      <xdr:nvPicPr>
        <xdr:cNvPr id="38" name="Imagem 37">
          <a:extLst>
            <a:ext uri="{FF2B5EF4-FFF2-40B4-BE49-F238E27FC236}">
              <a16:creationId xmlns:a16="http://schemas.microsoft.com/office/drawing/2014/main" id="{E29CAEE2-DB06-47A6-8A1F-BAD2E07075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65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39" name="Imagem 38">
          <a:extLst>
            <a:ext uri="{FF2B5EF4-FFF2-40B4-BE49-F238E27FC236}">
              <a16:creationId xmlns:a16="http://schemas.microsoft.com/office/drawing/2014/main" id="{ADF0ACDD-DB79-45CD-B282-242EEA9F9081}"/>
            </a:ext>
          </a:extLst>
        </xdr:cNvPr>
        <xdr:cNvPicPr>
          <a:picLocks noChangeAspect="1"/>
        </xdr:cNvPicPr>
      </xdr:nvPicPr>
      <xdr:blipFill>
        <a:blip xmlns:r="http://schemas.openxmlformats.org/officeDocument/2006/relationships" r:embed="rId1"/>
        <a:stretch>
          <a:fillRect/>
        </a:stretch>
      </xdr:blipFill>
      <xdr:spPr>
        <a:xfrm>
          <a:off x="4353857" y="116369"/>
          <a:ext cx="1141041" cy="503102"/>
        </a:xfrm>
        <a:prstGeom prst="rect">
          <a:avLst/>
        </a:prstGeom>
      </xdr:spPr>
    </xdr:pic>
    <xdr:clientData/>
  </xdr:twoCellAnchor>
  <xdr:oneCellAnchor>
    <xdr:from>
      <xdr:col>4</xdr:col>
      <xdr:colOff>1455050</xdr:colOff>
      <xdr:row>0</xdr:row>
      <xdr:rowOff>152867</xdr:rowOff>
    </xdr:from>
    <xdr:ext cx="1652512" cy="502025"/>
    <xdr:pic>
      <xdr:nvPicPr>
        <xdr:cNvPr id="41" name="Imagem 40">
          <a:extLst>
            <a:ext uri="{FF2B5EF4-FFF2-40B4-BE49-F238E27FC236}">
              <a16:creationId xmlns:a16="http://schemas.microsoft.com/office/drawing/2014/main" id="{565A38EE-573C-462B-8E44-176E10359E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65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43" name="Imagem 42">
          <a:extLst>
            <a:ext uri="{FF2B5EF4-FFF2-40B4-BE49-F238E27FC236}">
              <a16:creationId xmlns:a16="http://schemas.microsoft.com/office/drawing/2014/main" id="{D1DC89C3-DF0E-4E23-98AC-5C0BFD2144AB}"/>
            </a:ext>
          </a:extLst>
        </xdr:cNvPr>
        <xdr:cNvPicPr>
          <a:picLocks noChangeAspect="1"/>
        </xdr:cNvPicPr>
      </xdr:nvPicPr>
      <xdr:blipFill>
        <a:blip xmlns:r="http://schemas.openxmlformats.org/officeDocument/2006/relationships" r:embed="rId1"/>
        <a:stretch>
          <a:fillRect/>
        </a:stretch>
      </xdr:blipFill>
      <xdr:spPr>
        <a:xfrm>
          <a:off x="4353857" y="116369"/>
          <a:ext cx="1141041" cy="503102"/>
        </a:xfrm>
        <a:prstGeom prst="rect">
          <a:avLst/>
        </a:prstGeom>
      </xdr:spPr>
    </xdr:pic>
    <xdr:clientData/>
  </xdr:twoCellAnchor>
  <xdr:oneCellAnchor>
    <xdr:from>
      <xdr:col>4</xdr:col>
      <xdr:colOff>1455050</xdr:colOff>
      <xdr:row>0</xdr:row>
      <xdr:rowOff>152867</xdr:rowOff>
    </xdr:from>
    <xdr:ext cx="1652512" cy="502025"/>
    <xdr:pic>
      <xdr:nvPicPr>
        <xdr:cNvPr id="45" name="Imagem 44">
          <a:extLst>
            <a:ext uri="{FF2B5EF4-FFF2-40B4-BE49-F238E27FC236}">
              <a16:creationId xmlns:a16="http://schemas.microsoft.com/office/drawing/2014/main" id="{70941871-CC05-4A5F-9C6F-605FBE2C01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6525"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3" name="Imagem 2">
          <a:extLst>
            <a:ext uri="{FF2B5EF4-FFF2-40B4-BE49-F238E27FC236}">
              <a16:creationId xmlns:a16="http://schemas.microsoft.com/office/drawing/2014/main" id="{31E51A4B-714E-4D88-8447-1F565552E720}"/>
            </a:ext>
          </a:extLst>
        </xdr:cNvPr>
        <xdr:cNvPicPr>
          <a:picLocks noChangeAspect="1"/>
        </xdr:cNvPicPr>
      </xdr:nvPicPr>
      <xdr:blipFill>
        <a:blip xmlns:r="http://schemas.openxmlformats.org/officeDocument/2006/relationships" r:embed="rId1"/>
        <a:stretch>
          <a:fillRect/>
        </a:stretch>
      </xdr:blipFill>
      <xdr:spPr>
        <a:xfrm>
          <a:off x="4608311"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15" name="Imagem 14">
          <a:extLst>
            <a:ext uri="{FF2B5EF4-FFF2-40B4-BE49-F238E27FC236}">
              <a16:creationId xmlns:a16="http://schemas.microsoft.com/office/drawing/2014/main" id="{FDE16327-9B4B-41E8-A906-883ABF4428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90979"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6" name="Imagem 5">
          <a:extLst>
            <a:ext uri="{FF2B5EF4-FFF2-40B4-BE49-F238E27FC236}">
              <a16:creationId xmlns:a16="http://schemas.microsoft.com/office/drawing/2014/main" id="{9A78D129-0387-4357-B712-305B66DE6629}"/>
            </a:ext>
          </a:extLst>
        </xdr:cNvPr>
        <xdr:cNvPicPr>
          <a:picLocks noChangeAspect="1"/>
        </xdr:cNvPicPr>
      </xdr:nvPicPr>
      <xdr:blipFill>
        <a:blip xmlns:r="http://schemas.openxmlformats.org/officeDocument/2006/relationships" r:embed="rId1"/>
        <a:stretch>
          <a:fillRect/>
        </a:stretch>
      </xdr:blipFill>
      <xdr:spPr>
        <a:xfrm>
          <a:off x="1195639"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12" name="Imagem 11">
          <a:extLst>
            <a:ext uri="{FF2B5EF4-FFF2-40B4-BE49-F238E27FC236}">
              <a16:creationId xmlns:a16="http://schemas.microsoft.com/office/drawing/2014/main" id="{32056887-AE11-4A9A-BAF9-5415E43F62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83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17" name="Imagem 16">
          <a:extLst>
            <a:ext uri="{FF2B5EF4-FFF2-40B4-BE49-F238E27FC236}">
              <a16:creationId xmlns:a16="http://schemas.microsoft.com/office/drawing/2014/main" id="{A93E21F8-CDBB-4336-AFA6-57F4FCF4ADF6}"/>
            </a:ext>
          </a:extLst>
        </xdr:cNvPr>
        <xdr:cNvPicPr>
          <a:picLocks noChangeAspect="1"/>
        </xdr:cNvPicPr>
      </xdr:nvPicPr>
      <xdr:blipFill>
        <a:blip xmlns:r="http://schemas.openxmlformats.org/officeDocument/2006/relationships" r:embed="rId1"/>
        <a:stretch>
          <a:fillRect/>
        </a:stretch>
      </xdr:blipFill>
      <xdr:spPr>
        <a:xfrm>
          <a:off x="1086782"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22" name="Imagem 21">
          <a:extLst>
            <a:ext uri="{FF2B5EF4-FFF2-40B4-BE49-F238E27FC236}">
              <a16:creationId xmlns:a16="http://schemas.microsoft.com/office/drawing/2014/main" id="{91BAD1B7-72BA-43C6-8B42-9ED6E3D696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6945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25" name="Imagem 24">
          <a:extLst>
            <a:ext uri="{FF2B5EF4-FFF2-40B4-BE49-F238E27FC236}">
              <a16:creationId xmlns:a16="http://schemas.microsoft.com/office/drawing/2014/main" id="{FD0878F3-B0FD-44AC-8B08-5F9F1CD84881}"/>
            </a:ext>
          </a:extLst>
        </xdr:cNvPr>
        <xdr:cNvPicPr>
          <a:picLocks noChangeAspect="1"/>
        </xdr:cNvPicPr>
      </xdr:nvPicPr>
      <xdr:blipFill>
        <a:blip xmlns:r="http://schemas.openxmlformats.org/officeDocument/2006/relationships" r:embed="rId1"/>
        <a:stretch>
          <a:fillRect/>
        </a:stretch>
      </xdr:blipFill>
      <xdr:spPr>
        <a:xfrm>
          <a:off x="1565753"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31" name="Imagem 30">
          <a:extLst>
            <a:ext uri="{FF2B5EF4-FFF2-40B4-BE49-F238E27FC236}">
              <a16:creationId xmlns:a16="http://schemas.microsoft.com/office/drawing/2014/main" id="{B0ACCDA3-0988-4AC8-ACE7-54B54D0EAA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48421"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20" name="Imagem 19">
          <a:extLst>
            <a:ext uri="{FF2B5EF4-FFF2-40B4-BE49-F238E27FC236}">
              <a16:creationId xmlns:a16="http://schemas.microsoft.com/office/drawing/2014/main" id="{7E14050F-3C0D-46D7-9765-FC077E6DAE2B}"/>
            </a:ext>
          </a:extLst>
        </xdr:cNvPr>
        <xdr:cNvPicPr>
          <a:picLocks noChangeAspect="1"/>
        </xdr:cNvPicPr>
      </xdr:nvPicPr>
      <xdr:blipFill>
        <a:blip xmlns:r="http://schemas.openxmlformats.org/officeDocument/2006/relationships" r:embed="rId1"/>
        <a:stretch>
          <a:fillRect/>
        </a:stretch>
      </xdr:blipFill>
      <xdr:spPr>
        <a:xfrm>
          <a:off x="1456896"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37" name="Imagem 36">
          <a:extLst>
            <a:ext uri="{FF2B5EF4-FFF2-40B4-BE49-F238E27FC236}">
              <a16:creationId xmlns:a16="http://schemas.microsoft.com/office/drawing/2014/main" id="{D99111E2-00F4-4D9E-8261-1F2E75580F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39564"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9" name="Imagem 8">
          <a:extLst>
            <a:ext uri="{FF2B5EF4-FFF2-40B4-BE49-F238E27FC236}">
              <a16:creationId xmlns:a16="http://schemas.microsoft.com/office/drawing/2014/main" id="{657230EA-8EA5-479F-8EE0-EB85B6227D3C}"/>
            </a:ext>
          </a:extLst>
        </xdr:cNvPr>
        <xdr:cNvPicPr>
          <a:picLocks noChangeAspect="1"/>
        </xdr:cNvPicPr>
      </xdr:nvPicPr>
      <xdr:blipFill>
        <a:blip xmlns:r="http://schemas.openxmlformats.org/officeDocument/2006/relationships" r:embed="rId1"/>
        <a:stretch>
          <a:fillRect/>
        </a:stretch>
      </xdr:blipFill>
      <xdr:spPr>
        <a:xfrm>
          <a:off x="1086782"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34" name="Imagem 33">
          <a:extLst>
            <a:ext uri="{FF2B5EF4-FFF2-40B4-BE49-F238E27FC236}">
              <a16:creationId xmlns:a16="http://schemas.microsoft.com/office/drawing/2014/main" id="{955CCAC5-6462-4254-BAB5-9BC57408B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6945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40" name="Imagem 39">
          <a:extLst>
            <a:ext uri="{FF2B5EF4-FFF2-40B4-BE49-F238E27FC236}">
              <a16:creationId xmlns:a16="http://schemas.microsoft.com/office/drawing/2014/main" id="{7E5C15CC-BB1A-4C38-9E34-DD157BD7590E}"/>
            </a:ext>
          </a:extLst>
        </xdr:cNvPr>
        <xdr:cNvPicPr>
          <a:picLocks noChangeAspect="1"/>
        </xdr:cNvPicPr>
      </xdr:nvPicPr>
      <xdr:blipFill>
        <a:blip xmlns:r="http://schemas.openxmlformats.org/officeDocument/2006/relationships" r:embed="rId1"/>
        <a:stretch>
          <a:fillRect/>
        </a:stretch>
      </xdr:blipFill>
      <xdr:spPr>
        <a:xfrm>
          <a:off x="1631068"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44" name="Imagem 43">
          <a:extLst>
            <a:ext uri="{FF2B5EF4-FFF2-40B4-BE49-F238E27FC236}">
              <a16:creationId xmlns:a16="http://schemas.microsoft.com/office/drawing/2014/main" id="{4825E319-0E86-4609-B7CA-F1971FC611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13736"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46" name="Imagem 45">
          <a:extLst>
            <a:ext uri="{FF2B5EF4-FFF2-40B4-BE49-F238E27FC236}">
              <a16:creationId xmlns:a16="http://schemas.microsoft.com/office/drawing/2014/main" id="{9609A0BD-6029-4354-A84A-02716B9B6DE3}"/>
            </a:ext>
          </a:extLst>
        </xdr:cNvPr>
        <xdr:cNvPicPr>
          <a:picLocks noChangeAspect="1"/>
        </xdr:cNvPicPr>
      </xdr:nvPicPr>
      <xdr:blipFill>
        <a:blip xmlns:r="http://schemas.openxmlformats.org/officeDocument/2006/relationships" r:embed="rId1"/>
        <a:stretch>
          <a:fillRect/>
        </a:stretch>
      </xdr:blipFill>
      <xdr:spPr>
        <a:xfrm>
          <a:off x="4608311"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48" name="Imagem 47">
          <a:extLst>
            <a:ext uri="{FF2B5EF4-FFF2-40B4-BE49-F238E27FC236}">
              <a16:creationId xmlns:a16="http://schemas.microsoft.com/office/drawing/2014/main" id="{7BA1FCCE-A811-44F5-BBBB-899BFA0231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90979"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49" name="Imagem 48">
          <a:extLst>
            <a:ext uri="{FF2B5EF4-FFF2-40B4-BE49-F238E27FC236}">
              <a16:creationId xmlns:a16="http://schemas.microsoft.com/office/drawing/2014/main" id="{3F6763A5-FE49-459A-ACC1-A90B3AFA23BD}"/>
            </a:ext>
          </a:extLst>
        </xdr:cNvPr>
        <xdr:cNvPicPr>
          <a:picLocks noChangeAspect="1"/>
        </xdr:cNvPicPr>
      </xdr:nvPicPr>
      <xdr:blipFill>
        <a:blip xmlns:r="http://schemas.openxmlformats.org/officeDocument/2006/relationships" r:embed="rId1"/>
        <a:stretch>
          <a:fillRect/>
        </a:stretch>
      </xdr:blipFill>
      <xdr:spPr>
        <a:xfrm>
          <a:off x="2501925"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51" name="Imagem 50">
          <a:extLst>
            <a:ext uri="{FF2B5EF4-FFF2-40B4-BE49-F238E27FC236}">
              <a16:creationId xmlns:a16="http://schemas.microsoft.com/office/drawing/2014/main" id="{8D9C0874-4568-48F2-B4BC-EB16C64E28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4593"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52" name="Imagem 51">
          <a:extLst>
            <a:ext uri="{FF2B5EF4-FFF2-40B4-BE49-F238E27FC236}">
              <a16:creationId xmlns:a16="http://schemas.microsoft.com/office/drawing/2014/main" id="{CA69100D-8C66-43E5-A835-C3E77F95FC97}"/>
            </a:ext>
          </a:extLst>
        </xdr:cNvPr>
        <xdr:cNvPicPr>
          <a:picLocks noChangeAspect="1"/>
        </xdr:cNvPicPr>
      </xdr:nvPicPr>
      <xdr:blipFill>
        <a:blip xmlns:r="http://schemas.openxmlformats.org/officeDocument/2006/relationships" r:embed="rId1"/>
        <a:stretch>
          <a:fillRect/>
        </a:stretch>
      </xdr:blipFill>
      <xdr:spPr>
        <a:xfrm>
          <a:off x="1043239"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54" name="Imagem 53">
          <a:extLst>
            <a:ext uri="{FF2B5EF4-FFF2-40B4-BE49-F238E27FC236}">
              <a16:creationId xmlns:a16="http://schemas.microsoft.com/office/drawing/2014/main" id="{0F38632C-527F-444A-A7D1-EB003C00B6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259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28" name="Imagem 27">
          <a:extLst>
            <a:ext uri="{FF2B5EF4-FFF2-40B4-BE49-F238E27FC236}">
              <a16:creationId xmlns:a16="http://schemas.microsoft.com/office/drawing/2014/main" id="{75F14367-FB74-4099-B3E8-6254B20A69FC}"/>
            </a:ext>
          </a:extLst>
        </xdr:cNvPr>
        <xdr:cNvPicPr>
          <a:picLocks noChangeAspect="1"/>
        </xdr:cNvPicPr>
      </xdr:nvPicPr>
      <xdr:blipFill>
        <a:blip xmlns:r="http://schemas.openxmlformats.org/officeDocument/2006/relationships" r:embed="rId1"/>
        <a:stretch>
          <a:fillRect/>
        </a:stretch>
      </xdr:blipFill>
      <xdr:spPr>
        <a:xfrm>
          <a:off x="1935868" y="116369"/>
          <a:ext cx="1144851" cy="497931"/>
        </a:xfrm>
        <a:prstGeom prst="rect">
          <a:avLst/>
        </a:prstGeom>
      </xdr:spPr>
    </xdr:pic>
    <xdr:clientData/>
  </xdr:twoCellAnchor>
  <xdr:oneCellAnchor>
    <xdr:from>
      <xdr:col>4</xdr:col>
      <xdr:colOff>1455050</xdr:colOff>
      <xdr:row>0</xdr:row>
      <xdr:rowOff>152867</xdr:rowOff>
    </xdr:from>
    <xdr:ext cx="1652512" cy="502025"/>
    <xdr:pic>
      <xdr:nvPicPr>
        <xdr:cNvPr id="47" name="Imagem 46">
          <a:extLst>
            <a:ext uri="{FF2B5EF4-FFF2-40B4-BE49-F238E27FC236}">
              <a16:creationId xmlns:a16="http://schemas.microsoft.com/office/drawing/2014/main" id="{4187FA76-545C-4CA7-A480-4D8117EF2C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18536"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50" name="Imagem 49">
          <a:extLst>
            <a:ext uri="{FF2B5EF4-FFF2-40B4-BE49-F238E27FC236}">
              <a16:creationId xmlns:a16="http://schemas.microsoft.com/office/drawing/2014/main" id="{8FA44B5E-12A8-4BE9-9E39-636CA76C977D}"/>
            </a:ext>
          </a:extLst>
        </xdr:cNvPr>
        <xdr:cNvPicPr>
          <a:picLocks noChangeAspect="1"/>
        </xdr:cNvPicPr>
      </xdr:nvPicPr>
      <xdr:blipFill>
        <a:blip xmlns:r="http://schemas.openxmlformats.org/officeDocument/2006/relationships" r:embed="rId1"/>
        <a:stretch>
          <a:fillRect/>
        </a:stretch>
      </xdr:blipFill>
      <xdr:spPr>
        <a:xfrm>
          <a:off x="4129339" y="116369"/>
          <a:ext cx="1144851" cy="497931"/>
        </a:xfrm>
        <a:prstGeom prst="rect">
          <a:avLst/>
        </a:prstGeom>
      </xdr:spPr>
    </xdr:pic>
    <xdr:clientData/>
  </xdr:twoCellAnchor>
  <xdr:oneCellAnchor>
    <xdr:from>
      <xdr:col>4</xdr:col>
      <xdr:colOff>1455050</xdr:colOff>
      <xdr:row>0</xdr:row>
      <xdr:rowOff>152867</xdr:rowOff>
    </xdr:from>
    <xdr:ext cx="1652512" cy="502025"/>
    <xdr:pic>
      <xdr:nvPicPr>
        <xdr:cNvPr id="55" name="Imagem 54">
          <a:extLst>
            <a:ext uri="{FF2B5EF4-FFF2-40B4-BE49-F238E27FC236}">
              <a16:creationId xmlns:a16="http://schemas.microsoft.com/office/drawing/2014/main" id="{27144B4C-B886-4B43-963C-04960D8A00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20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56" name="Imagem 55">
          <a:extLst>
            <a:ext uri="{FF2B5EF4-FFF2-40B4-BE49-F238E27FC236}">
              <a16:creationId xmlns:a16="http://schemas.microsoft.com/office/drawing/2014/main" id="{9594A8D5-5F90-4D7A-86DF-EFEDF35BECF8}"/>
            </a:ext>
          </a:extLst>
        </xdr:cNvPr>
        <xdr:cNvPicPr>
          <a:picLocks noChangeAspect="1"/>
        </xdr:cNvPicPr>
      </xdr:nvPicPr>
      <xdr:blipFill>
        <a:blip xmlns:r="http://schemas.openxmlformats.org/officeDocument/2006/relationships" r:embed="rId1"/>
        <a:stretch>
          <a:fillRect/>
        </a:stretch>
      </xdr:blipFill>
      <xdr:spPr>
        <a:xfrm>
          <a:off x="4129339" y="116369"/>
          <a:ext cx="1144851" cy="497931"/>
        </a:xfrm>
        <a:prstGeom prst="rect">
          <a:avLst/>
        </a:prstGeom>
      </xdr:spPr>
    </xdr:pic>
    <xdr:clientData/>
  </xdr:twoCellAnchor>
  <xdr:oneCellAnchor>
    <xdr:from>
      <xdr:col>4</xdr:col>
      <xdr:colOff>1455050</xdr:colOff>
      <xdr:row>0</xdr:row>
      <xdr:rowOff>152867</xdr:rowOff>
    </xdr:from>
    <xdr:ext cx="1652512" cy="502025"/>
    <xdr:pic>
      <xdr:nvPicPr>
        <xdr:cNvPr id="58" name="Imagem 57">
          <a:extLst>
            <a:ext uri="{FF2B5EF4-FFF2-40B4-BE49-F238E27FC236}">
              <a16:creationId xmlns:a16="http://schemas.microsoft.com/office/drawing/2014/main" id="{A4F4278C-24F2-4DAC-AD5D-39C9C84A3A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20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59" name="Imagem 58">
          <a:extLst>
            <a:ext uri="{FF2B5EF4-FFF2-40B4-BE49-F238E27FC236}">
              <a16:creationId xmlns:a16="http://schemas.microsoft.com/office/drawing/2014/main" id="{9AD9F1B9-463B-4489-9027-FE5A0FF3E4EA}"/>
            </a:ext>
          </a:extLst>
        </xdr:cNvPr>
        <xdr:cNvPicPr>
          <a:picLocks noChangeAspect="1"/>
        </xdr:cNvPicPr>
      </xdr:nvPicPr>
      <xdr:blipFill>
        <a:blip xmlns:r="http://schemas.openxmlformats.org/officeDocument/2006/relationships" r:embed="rId1"/>
        <a:stretch>
          <a:fillRect/>
        </a:stretch>
      </xdr:blipFill>
      <xdr:spPr>
        <a:xfrm>
          <a:off x="4129339" y="116369"/>
          <a:ext cx="1144851" cy="497931"/>
        </a:xfrm>
        <a:prstGeom prst="rect">
          <a:avLst/>
        </a:prstGeom>
      </xdr:spPr>
    </xdr:pic>
    <xdr:clientData/>
  </xdr:twoCellAnchor>
  <xdr:oneCellAnchor>
    <xdr:from>
      <xdr:col>4</xdr:col>
      <xdr:colOff>1455050</xdr:colOff>
      <xdr:row>0</xdr:row>
      <xdr:rowOff>152867</xdr:rowOff>
    </xdr:from>
    <xdr:ext cx="1652512" cy="502025"/>
    <xdr:pic>
      <xdr:nvPicPr>
        <xdr:cNvPr id="61" name="Imagem 60">
          <a:extLst>
            <a:ext uri="{FF2B5EF4-FFF2-40B4-BE49-F238E27FC236}">
              <a16:creationId xmlns:a16="http://schemas.microsoft.com/office/drawing/2014/main" id="{BD5C2AB5-FB5A-4677-B390-7A58B0EBFA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20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62" name="Imagem 61">
          <a:extLst>
            <a:ext uri="{FF2B5EF4-FFF2-40B4-BE49-F238E27FC236}">
              <a16:creationId xmlns:a16="http://schemas.microsoft.com/office/drawing/2014/main" id="{C406917D-0188-4459-877B-403B04C215A2}"/>
            </a:ext>
          </a:extLst>
        </xdr:cNvPr>
        <xdr:cNvPicPr>
          <a:picLocks noChangeAspect="1"/>
        </xdr:cNvPicPr>
      </xdr:nvPicPr>
      <xdr:blipFill>
        <a:blip xmlns:r="http://schemas.openxmlformats.org/officeDocument/2006/relationships" r:embed="rId1"/>
        <a:stretch>
          <a:fillRect/>
        </a:stretch>
      </xdr:blipFill>
      <xdr:spPr>
        <a:xfrm>
          <a:off x="4129339" y="116369"/>
          <a:ext cx="1144851" cy="497931"/>
        </a:xfrm>
        <a:prstGeom prst="rect">
          <a:avLst/>
        </a:prstGeom>
      </xdr:spPr>
    </xdr:pic>
    <xdr:clientData/>
  </xdr:twoCellAnchor>
  <xdr:oneCellAnchor>
    <xdr:from>
      <xdr:col>4</xdr:col>
      <xdr:colOff>1455050</xdr:colOff>
      <xdr:row>0</xdr:row>
      <xdr:rowOff>152867</xdr:rowOff>
    </xdr:from>
    <xdr:ext cx="1652512" cy="502025"/>
    <xdr:pic>
      <xdr:nvPicPr>
        <xdr:cNvPr id="64" name="Imagem 63">
          <a:extLst>
            <a:ext uri="{FF2B5EF4-FFF2-40B4-BE49-F238E27FC236}">
              <a16:creationId xmlns:a16="http://schemas.microsoft.com/office/drawing/2014/main" id="{E8050540-0C51-4244-8116-64C77C82B8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20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65" name="Imagem 64">
          <a:extLst>
            <a:ext uri="{FF2B5EF4-FFF2-40B4-BE49-F238E27FC236}">
              <a16:creationId xmlns:a16="http://schemas.microsoft.com/office/drawing/2014/main" id="{2F0DBE36-4381-492D-94FE-659E969B794E}"/>
            </a:ext>
          </a:extLst>
        </xdr:cNvPr>
        <xdr:cNvPicPr>
          <a:picLocks noChangeAspect="1"/>
        </xdr:cNvPicPr>
      </xdr:nvPicPr>
      <xdr:blipFill>
        <a:blip xmlns:r="http://schemas.openxmlformats.org/officeDocument/2006/relationships" r:embed="rId1"/>
        <a:stretch>
          <a:fillRect/>
        </a:stretch>
      </xdr:blipFill>
      <xdr:spPr>
        <a:xfrm>
          <a:off x="4129339" y="116369"/>
          <a:ext cx="1144851" cy="497931"/>
        </a:xfrm>
        <a:prstGeom prst="rect">
          <a:avLst/>
        </a:prstGeom>
      </xdr:spPr>
    </xdr:pic>
    <xdr:clientData/>
  </xdr:twoCellAnchor>
  <xdr:oneCellAnchor>
    <xdr:from>
      <xdr:col>4</xdr:col>
      <xdr:colOff>1455050</xdr:colOff>
      <xdr:row>0</xdr:row>
      <xdr:rowOff>152867</xdr:rowOff>
    </xdr:from>
    <xdr:ext cx="1652512" cy="502025"/>
    <xdr:pic>
      <xdr:nvPicPr>
        <xdr:cNvPr id="67" name="Imagem 66">
          <a:extLst>
            <a:ext uri="{FF2B5EF4-FFF2-40B4-BE49-F238E27FC236}">
              <a16:creationId xmlns:a16="http://schemas.microsoft.com/office/drawing/2014/main" id="{693D58FC-0FA2-4327-A3AC-4A1D823A6B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20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68" name="Imagem 67">
          <a:extLst>
            <a:ext uri="{FF2B5EF4-FFF2-40B4-BE49-F238E27FC236}">
              <a16:creationId xmlns:a16="http://schemas.microsoft.com/office/drawing/2014/main" id="{7BC0F276-2416-465A-999E-7564B61D6468}"/>
            </a:ext>
          </a:extLst>
        </xdr:cNvPr>
        <xdr:cNvPicPr>
          <a:picLocks noChangeAspect="1"/>
        </xdr:cNvPicPr>
      </xdr:nvPicPr>
      <xdr:blipFill>
        <a:blip xmlns:r="http://schemas.openxmlformats.org/officeDocument/2006/relationships" r:embed="rId1"/>
        <a:stretch>
          <a:fillRect/>
        </a:stretch>
      </xdr:blipFill>
      <xdr:spPr>
        <a:xfrm>
          <a:off x="4172882"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70" name="Imagem 69">
          <a:extLst>
            <a:ext uri="{FF2B5EF4-FFF2-40B4-BE49-F238E27FC236}">
              <a16:creationId xmlns:a16="http://schemas.microsoft.com/office/drawing/2014/main" id="{80CECAE7-FDFE-46B4-A918-4E90E3A3DB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5555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71" name="Imagem 70">
          <a:extLst>
            <a:ext uri="{FF2B5EF4-FFF2-40B4-BE49-F238E27FC236}">
              <a16:creationId xmlns:a16="http://schemas.microsoft.com/office/drawing/2014/main" id="{89C7AAAC-6867-4C69-98BD-B823096436F1}"/>
            </a:ext>
          </a:extLst>
        </xdr:cNvPr>
        <xdr:cNvPicPr>
          <a:picLocks noChangeAspect="1"/>
        </xdr:cNvPicPr>
      </xdr:nvPicPr>
      <xdr:blipFill>
        <a:blip xmlns:r="http://schemas.openxmlformats.org/officeDocument/2006/relationships" r:embed="rId1"/>
        <a:stretch>
          <a:fillRect/>
        </a:stretch>
      </xdr:blipFill>
      <xdr:spPr>
        <a:xfrm>
          <a:off x="847296"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73" name="Imagem 72">
          <a:extLst>
            <a:ext uri="{FF2B5EF4-FFF2-40B4-BE49-F238E27FC236}">
              <a16:creationId xmlns:a16="http://schemas.microsoft.com/office/drawing/2014/main" id="{EF56DAE2-64BE-40F0-84A1-8C6A340361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29964"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74" name="Imagem 73">
          <a:extLst>
            <a:ext uri="{FF2B5EF4-FFF2-40B4-BE49-F238E27FC236}">
              <a16:creationId xmlns:a16="http://schemas.microsoft.com/office/drawing/2014/main" id="{B8D80234-7BC4-4FB5-96AD-D27A53D47359}"/>
            </a:ext>
          </a:extLst>
        </xdr:cNvPr>
        <xdr:cNvPicPr>
          <a:picLocks noChangeAspect="1"/>
        </xdr:cNvPicPr>
      </xdr:nvPicPr>
      <xdr:blipFill>
        <a:blip xmlns:r="http://schemas.openxmlformats.org/officeDocument/2006/relationships" r:embed="rId1"/>
        <a:stretch>
          <a:fillRect/>
        </a:stretch>
      </xdr:blipFill>
      <xdr:spPr>
        <a:xfrm>
          <a:off x="1500439"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76" name="Imagem 75">
          <a:extLst>
            <a:ext uri="{FF2B5EF4-FFF2-40B4-BE49-F238E27FC236}">
              <a16:creationId xmlns:a16="http://schemas.microsoft.com/office/drawing/2014/main" id="{9C77ECCE-A718-49BB-8BDF-00897C06E9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831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1313423</xdr:colOff>
      <xdr:row>2</xdr:row>
      <xdr:rowOff>133696</xdr:rowOff>
    </xdr:to>
    <xdr:pic>
      <xdr:nvPicPr>
        <xdr:cNvPr id="77" name="Imagem 76">
          <a:extLst>
            <a:ext uri="{FF2B5EF4-FFF2-40B4-BE49-F238E27FC236}">
              <a16:creationId xmlns:a16="http://schemas.microsoft.com/office/drawing/2014/main" id="{EA7B3225-7B52-4005-8D03-785D4180B7AD}"/>
            </a:ext>
          </a:extLst>
        </xdr:cNvPr>
        <xdr:cNvPicPr>
          <a:picLocks noChangeAspect="1"/>
        </xdr:cNvPicPr>
      </xdr:nvPicPr>
      <xdr:blipFill>
        <a:blip xmlns:r="http://schemas.openxmlformats.org/officeDocument/2006/relationships" r:embed="rId1"/>
        <a:stretch>
          <a:fillRect/>
        </a:stretch>
      </xdr:blipFill>
      <xdr:spPr>
        <a:xfrm>
          <a:off x="1500439" y="116369"/>
          <a:ext cx="1141041" cy="501741"/>
        </a:xfrm>
        <a:prstGeom prst="rect">
          <a:avLst/>
        </a:prstGeom>
      </xdr:spPr>
    </xdr:pic>
    <xdr:clientData/>
  </xdr:twoCellAnchor>
  <xdr:oneCellAnchor>
    <xdr:from>
      <xdr:col>4</xdr:col>
      <xdr:colOff>1455050</xdr:colOff>
      <xdr:row>0</xdr:row>
      <xdr:rowOff>152867</xdr:rowOff>
    </xdr:from>
    <xdr:ext cx="1652512" cy="502025"/>
    <xdr:pic>
      <xdr:nvPicPr>
        <xdr:cNvPr id="79" name="Imagem 78">
          <a:extLst>
            <a:ext uri="{FF2B5EF4-FFF2-40B4-BE49-F238E27FC236}">
              <a16:creationId xmlns:a16="http://schemas.microsoft.com/office/drawing/2014/main" id="{CE6EC0E6-5B21-46F7-A68A-1DD70C73C7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83107"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80" name="Imagem 79">
          <a:extLst>
            <a:ext uri="{FF2B5EF4-FFF2-40B4-BE49-F238E27FC236}">
              <a16:creationId xmlns:a16="http://schemas.microsoft.com/office/drawing/2014/main" id="{F0B3463D-A0A8-4AE7-AC85-DBC4FD007207}"/>
            </a:ext>
          </a:extLst>
        </xdr:cNvPr>
        <xdr:cNvPicPr>
          <a:picLocks noChangeAspect="1"/>
        </xdr:cNvPicPr>
      </xdr:nvPicPr>
      <xdr:blipFill>
        <a:blip xmlns:r="http://schemas.openxmlformats.org/officeDocument/2006/relationships" r:embed="rId1"/>
        <a:stretch>
          <a:fillRect/>
        </a:stretch>
      </xdr:blipFill>
      <xdr:spPr>
        <a:xfrm>
          <a:off x="825525" y="116369"/>
          <a:ext cx="1144851" cy="497931"/>
        </a:xfrm>
        <a:prstGeom prst="rect">
          <a:avLst/>
        </a:prstGeom>
      </xdr:spPr>
    </xdr:pic>
    <xdr:clientData/>
  </xdr:twoCellAnchor>
  <xdr:twoCellAnchor editAs="oneCell">
    <xdr:from>
      <xdr:col>40</xdr:col>
      <xdr:colOff>405533</xdr:colOff>
      <xdr:row>0</xdr:row>
      <xdr:rowOff>173447</xdr:rowOff>
    </xdr:from>
    <xdr:to>
      <xdr:col>41</xdr:col>
      <xdr:colOff>663778</xdr:colOff>
      <xdr:row>3</xdr:row>
      <xdr:rowOff>14091</xdr:rowOff>
    </xdr:to>
    <xdr:pic>
      <xdr:nvPicPr>
        <xdr:cNvPr id="81" name="Image" descr="Image">
          <a:extLst>
            <a:ext uri="{FF2B5EF4-FFF2-40B4-BE49-F238E27FC236}">
              <a16:creationId xmlns:a16="http://schemas.microsoft.com/office/drawing/2014/main" id="{A940B841-D37D-47C8-B2B2-EEF5E972A0EB}"/>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5332347" y="173447"/>
          <a:ext cx="1379471" cy="537330"/>
        </a:xfrm>
        <a:prstGeom prst="rect">
          <a:avLst/>
        </a:prstGeom>
        <a:ln w="12700">
          <a:miter lim="400000"/>
        </a:ln>
      </xdr:spPr>
    </xdr:pic>
    <xdr:clientData/>
  </xdr:twoCellAnchor>
  <xdr:oneCellAnchor>
    <xdr:from>
      <xdr:col>4</xdr:col>
      <xdr:colOff>1455050</xdr:colOff>
      <xdr:row>0</xdr:row>
      <xdr:rowOff>152867</xdr:rowOff>
    </xdr:from>
    <xdr:ext cx="1652512" cy="502025"/>
    <xdr:pic>
      <xdr:nvPicPr>
        <xdr:cNvPr id="82" name="Imagem 81">
          <a:extLst>
            <a:ext uri="{FF2B5EF4-FFF2-40B4-BE49-F238E27FC236}">
              <a16:creationId xmlns:a16="http://schemas.microsoft.com/office/drawing/2014/main" id="{F21C0518-9A2D-42B6-B290-DB71B1BF46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08193"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42" name="Imagem 41">
          <a:extLst>
            <a:ext uri="{FF2B5EF4-FFF2-40B4-BE49-F238E27FC236}">
              <a16:creationId xmlns:a16="http://schemas.microsoft.com/office/drawing/2014/main" id="{83A98EEA-8981-4E5A-AE3E-99493103F441}"/>
            </a:ext>
          </a:extLst>
        </xdr:cNvPr>
        <xdr:cNvPicPr>
          <a:picLocks noChangeAspect="1"/>
        </xdr:cNvPicPr>
      </xdr:nvPicPr>
      <xdr:blipFill>
        <a:blip xmlns:r="http://schemas.openxmlformats.org/officeDocument/2006/relationships" r:embed="rId1"/>
        <a:stretch>
          <a:fillRect/>
        </a:stretch>
      </xdr:blipFill>
      <xdr:spPr>
        <a:xfrm>
          <a:off x="4172882" y="116369"/>
          <a:ext cx="1144851" cy="497931"/>
        </a:xfrm>
        <a:prstGeom prst="rect">
          <a:avLst/>
        </a:prstGeom>
      </xdr:spPr>
    </xdr:pic>
    <xdr:clientData/>
  </xdr:twoCellAnchor>
  <xdr:twoCellAnchor editAs="oneCell">
    <xdr:from>
      <xdr:col>40</xdr:col>
      <xdr:colOff>562015</xdr:colOff>
      <xdr:row>2</xdr:row>
      <xdr:rowOff>3357</xdr:rowOff>
    </xdr:from>
    <xdr:to>
      <xdr:col>41</xdr:col>
      <xdr:colOff>820259</xdr:colOff>
      <xdr:row>3</xdr:row>
      <xdr:rowOff>325695</xdr:rowOff>
    </xdr:to>
    <xdr:pic>
      <xdr:nvPicPr>
        <xdr:cNvPr id="53" name="Image" descr="Image">
          <a:extLst>
            <a:ext uri="{FF2B5EF4-FFF2-40B4-BE49-F238E27FC236}">
              <a16:creationId xmlns:a16="http://schemas.microsoft.com/office/drawing/2014/main" id="{BC1F32EE-84D5-4C04-851F-B98B53954501}"/>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836186" y="487771"/>
          <a:ext cx="1379472" cy="534610"/>
        </a:xfrm>
        <a:prstGeom prst="rect">
          <a:avLst/>
        </a:prstGeom>
        <a:ln w="12700">
          <a:miter lim="400000"/>
        </a:ln>
      </xdr:spPr>
    </xdr:pic>
    <xdr:clientData/>
  </xdr:twoCellAnchor>
  <xdr:oneCellAnchor>
    <xdr:from>
      <xdr:col>4</xdr:col>
      <xdr:colOff>1455050</xdr:colOff>
      <xdr:row>0</xdr:row>
      <xdr:rowOff>152867</xdr:rowOff>
    </xdr:from>
    <xdr:ext cx="1652512" cy="502025"/>
    <xdr:pic>
      <xdr:nvPicPr>
        <xdr:cNvPr id="57" name="Imagem 56">
          <a:extLst>
            <a:ext uri="{FF2B5EF4-FFF2-40B4-BE49-F238E27FC236}">
              <a16:creationId xmlns:a16="http://schemas.microsoft.com/office/drawing/2014/main" id="{8657F9AE-AA6A-4710-A877-FF79507B76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5555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172382</xdr:colOff>
      <xdr:row>0</xdr:row>
      <xdr:rowOff>116369</xdr:rowOff>
    </xdr:from>
    <xdr:to>
      <xdr:col>4</xdr:col>
      <xdr:colOff>1317233</xdr:colOff>
      <xdr:row>2</xdr:row>
      <xdr:rowOff>129886</xdr:rowOff>
    </xdr:to>
    <xdr:pic>
      <xdr:nvPicPr>
        <xdr:cNvPr id="60" name="Imagem 59">
          <a:extLst>
            <a:ext uri="{FF2B5EF4-FFF2-40B4-BE49-F238E27FC236}">
              <a16:creationId xmlns:a16="http://schemas.microsoft.com/office/drawing/2014/main" id="{C37B5B2D-0D21-4EE3-B12B-1D1E9A525D21}"/>
            </a:ext>
          </a:extLst>
        </xdr:cNvPr>
        <xdr:cNvPicPr>
          <a:picLocks noChangeAspect="1"/>
        </xdr:cNvPicPr>
      </xdr:nvPicPr>
      <xdr:blipFill>
        <a:blip xmlns:r="http://schemas.openxmlformats.org/officeDocument/2006/relationships" r:embed="rId1"/>
        <a:stretch>
          <a:fillRect/>
        </a:stretch>
      </xdr:blipFill>
      <xdr:spPr>
        <a:xfrm>
          <a:off x="4172882" y="116369"/>
          <a:ext cx="1144851" cy="497931"/>
        </a:xfrm>
        <a:prstGeom prst="rect">
          <a:avLst/>
        </a:prstGeom>
      </xdr:spPr>
    </xdr:pic>
    <xdr:clientData/>
  </xdr:twoCellAnchor>
  <xdr:twoCellAnchor editAs="oneCell">
    <xdr:from>
      <xdr:col>40</xdr:col>
      <xdr:colOff>562015</xdr:colOff>
      <xdr:row>2</xdr:row>
      <xdr:rowOff>3357</xdr:rowOff>
    </xdr:from>
    <xdr:to>
      <xdr:col>41</xdr:col>
      <xdr:colOff>820260</xdr:colOff>
      <xdr:row>3</xdr:row>
      <xdr:rowOff>325695</xdr:rowOff>
    </xdr:to>
    <xdr:pic>
      <xdr:nvPicPr>
        <xdr:cNvPr id="63" name="Image" descr="Image">
          <a:extLst>
            <a:ext uri="{FF2B5EF4-FFF2-40B4-BE49-F238E27FC236}">
              <a16:creationId xmlns:a16="http://schemas.microsoft.com/office/drawing/2014/main" id="{77EA6E52-F1B8-4811-83C4-19CDB9A1458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836186" y="487771"/>
          <a:ext cx="1379472" cy="534610"/>
        </a:xfrm>
        <a:prstGeom prst="rect">
          <a:avLst/>
        </a:prstGeom>
        <a:ln w="12700">
          <a:miter lim="400000"/>
        </a:ln>
      </xdr:spPr>
    </xdr:pic>
    <xdr:clientData/>
  </xdr:twoCellAnchor>
  <xdr:oneCellAnchor>
    <xdr:from>
      <xdr:col>4</xdr:col>
      <xdr:colOff>1455050</xdr:colOff>
      <xdr:row>0</xdr:row>
      <xdr:rowOff>152867</xdr:rowOff>
    </xdr:from>
    <xdr:ext cx="1652512" cy="502025"/>
    <xdr:pic>
      <xdr:nvPicPr>
        <xdr:cNvPr id="66" name="Imagem 65">
          <a:extLst>
            <a:ext uri="{FF2B5EF4-FFF2-40B4-BE49-F238E27FC236}">
              <a16:creationId xmlns:a16="http://schemas.microsoft.com/office/drawing/2014/main" id="{1B5A7524-D5F1-4F4A-B21E-0590F4F4E7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55550" y="152867"/>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69" name="Imagem 68">
          <a:extLst>
            <a:ext uri="{FF2B5EF4-FFF2-40B4-BE49-F238E27FC236}">
              <a16:creationId xmlns:a16="http://schemas.microsoft.com/office/drawing/2014/main" id="{5AC29684-E03C-4716-AAE2-E488DD72B29B}"/>
            </a:ext>
          </a:extLst>
        </xdr:cNvPr>
        <xdr:cNvPicPr>
          <a:picLocks noChangeAspect="1"/>
        </xdr:cNvPicPr>
      </xdr:nvPicPr>
      <xdr:blipFill>
        <a:blip xmlns:r="http://schemas.openxmlformats.org/officeDocument/2006/relationships" r:embed="rId1"/>
        <a:stretch>
          <a:fillRect/>
        </a:stretch>
      </xdr:blipFill>
      <xdr:spPr>
        <a:xfrm>
          <a:off x="4204791" y="104463"/>
          <a:ext cx="1144851" cy="497931"/>
        </a:xfrm>
        <a:prstGeom prst="rect">
          <a:avLst/>
        </a:prstGeom>
      </xdr:spPr>
    </xdr:pic>
    <xdr:clientData/>
  </xdr:twoCellAnchor>
  <xdr:twoCellAnchor editAs="oneCell">
    <xdr:from>
      <xdr:col>40</xdr:col>
      <xdr:colOff>562015</xdr:colOff>
      <xdr:row>2</xdr:row>
      <xdr:rowOff>3357</xdr:rowOff>
    </xdr:from>
    <xdr:to>
      <xdr:col>41</xdr:col>
      <xdr:colOff>820258</xdr:colOff>
      <xdr:row>3</xdr:row>
      <xdr:rowOff>325695</xdr:rowOff>
    </xdr:to>
    <xdr:pic>
      <xdr:nvPicPr>
        <xdr:cNvPr id="72" name="Image" descr="Image">
          <a:extLst>
            <a:ext uri="{FF2B5EF4-FFF2-40B4-BE49-F238E27FC236}">
              <a16:creationId xmlns:a16="http://schemas.microsoft.com/office/drawing/2014/main" id="{01967E1C-426C-427F-BCF8-2A874C6D9AC4}"/>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531386" y="487771"/>
          <a:ext cx="1379471" cy="53461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75" name="Imagem 74">
          <a:extLst>
            <a:ext uri="{FF2B5EF4-FFF2-40B4-BE49-F238E27FC236}">
              <a16:creationId xmlns:a16="http://schemas.microsoft.com/office/drawing/2014/main" id="{7B7650B5-42C8-4F36-8170-DD9F73CE02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59862"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78" name="Imagem 77">
          <a:extLst>
            <a:ext uri="{FF2B5EF4-FFF2-40B4-BE49-F238E27FC236}">
              <a16:creationId xmlns:a16="http://schemas.microsoft.com/office/drawing/2014/main" id="{937D90AF-74A9-454B-935D-5D8CECDEA959}"/>
            </a:ext>
          </a:extLst>
        </xdr:cNvPr>
        <xdr:cNvPicPr>
          <a:picLocks noChangeAspect="1"/>
        </xdr:cNvPicPr>
      </xdr:nvPicPr>
      <xdr:blipFill>
        <a:blip xmlns:r="http://schemas.openxmlformats.org/officeDocument/2006/relationships" r:embed="rId1"/>
        <a:stretch>
          <a:fillRect/>
        </a:stretch>
      </xdr:blipFill>
      <xdr:spPr>
        <a:xfrm>
          <a:off x="4204791" y="104463"/>
          <a:ext cx="1144851" cy="497931"/>
        </a:xfrm>
        <a:prstGeom prst="rect">
          <a:avLst/>
        </a:prstGeom>
      </xdr:spPr>
    </xdr:pic>
    <xdr:clientData/>
  </xdr:twoCellAnchor>
  <xdr:twoCellAnchor editAs="oneCell">
    <xdr:from>
      <xdr:col>40</xdr:col>
      <xdr:colOff>562015</xdr:colOff>
      <xdr:row>2</xdr:row>
      <xdr:rowOff>3357</xdr:rowOff>
    </xdr:from>
    <xdr:to>
      <xdr:col>41</xdr:col>
      <xdr:colOff>820258</xdr:colOff>
      <xdr:row>3</xdr:row>
      <xdr:rowOff>325695</xdr:rowOff>
    </xdr:to>
    <xdr:pic>
      <xdr:nvPicPr>
        <xdr:cNvPr id="83" name="Image" descr="Image">
          <a:extLst>
            <a:ext uri="{FF2B5EF4-FFF2-40B4-BE49-F238E27FC236}">
              <a16:creationId xmlns:a16="http://schemas.microsoft.com/office/drawing/2014/main" id="{6736B207-5E44-4633-B11F-94D57A6671F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3246372" y="487771"/>
          <a:ext cx="1379471" cy="53461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84" name="Imagem 83">
          <a:extLst>
            <a:ext uri="{FF2B5EF4-FFF2-40B4-BE49-F238E27FC236}">
              <a16:creationId xmlns:a16="http://schemas.microsoft.com/office/drawing/2014/main" id="{B628E50F-9FDF-4536-89E4-C70E62A88F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59862"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85" name="Imagem 84">
          <a:extLst>
            <a:ext uri="{FF2B5EF4-FFF2-40B4-BE49-F238E27FC236}">
              <a16:creationId xmlns:a16="http://schemas.microsoft.com/office/drawing/2014/main" id="{BF0F0779-8E87-4BB2-A8A4-2EB7501E7483}"/>
            </a:ext>
          </a:extLst>
        </xdr:cNvPr>
        <xdr:cNvPicPr>
          <a:picLocks noChangeAspect="1"/>
        </xdr:cNvPicPr>
      </xdr:nvPicPr>
      <xdr:blipFill>
        <a:blip xmlns:r="http://schemas.openxmlformats.org/officeDocument/2006/relationships" r:embed="rId1"/>
        <a:stretch>
          <a:fillRect/>
        </a:stretch>
      </xdr:blipFill>
      <xdr:spPr>
        <a:xfrm>
          <a:off x="4204791" y="104463"/>
          <a:ext cx="1144851" cy="497931"/>
        </a:xfrm>
        <a:prstGeom prst="rect">
          <a:avLst/>
        </a:prstGeom>
      </xdr:spPr>
    </xdr:pic>
    <xdr:clientData/>
  </xdr:twoCellAnchor>
  <xdr:twoCellAnchor editAs="oneCell">
    <xdr:from>
      <xdr:col>40</xdr:col>
      <xdr:colOff>562015</xdr:colOff>
      <xdr:row>2</xdr:row>
      <xdr:rowOff>3357</xdr:rowOff>
    </xdr:from>
    <xdr:to>
      <xdr:col>41</xdr:col>
      <xdr:colOff>820258</xdr:colOff>
      <xdr:row>3</xdr:row>
      <xdr:rowOff>325695</xdr:rowOff>
    </xdr:to>
    <xdr:pic>
      <xdr:nvPicPr>
        <xdr:cNvPr id="86" name="Image" descr="Image">
          <a:extLst>
            <a:ext uri="{FF2B5EF4-FFF2-40B4-BE49-F238E27FC236}">
              <a16:creationId xmlns:a16="http://schemas.microsoft.com/office/drawing/2014/main" id="{2B625B72-5AAC-404F-8354-CF742B9F5BF4}"/>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531386" y="487771"/>
          <a:ext cx="1379471" cy="53461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87" name="Imagem 86">
          <a:extLst>
            <a:ext uri="{FF2B5EF4-FFF2-40B4-BE49-F238E27FC236}">
              <a16:creationId xmlns:a16="http://schemas.microsoft.com/office/drawing/2014/main" id="{3E5DFEE5-6CB7-4DA1-9ADC-434657BDC7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59862"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88" name="Imagem 87">
          <a:extLst>
            <a:ext uri="{FF2B5EF4-FFF2-40B4-BE49-F238E27FC236}">
              <a16:creationId xmlns:a16="http://schemas.microsoft.com/office/drawing/2014/main" id="{F03E74BD-DAE6-4912-8242-B7B15BEA175B}"/>
            </a:ext>
          </a:extLst>
        </xdr:cNvPr>
        <xdr:cNvPicPr>
          <a:picLocks noChangeAspect="1"/>
        </xdr:cNvPicPr>
      </xdr:nvPicPr>
      <xdr:blipFill>
        <a:blip xmlns:r="http://schemas.openxmlformats.org/officeDocument/2006/relationships" r:embed="rId1"/>
        <a:stretch>
          <a:fillRect/>
        </a:stretch>
      </xdr:blipFill>
      <xdr:spPr>
        <a:xfrm>
          <a:off x="4340862" y="104463"/>
          <a:ext cx="1144851" cy="497931"/>
        </a:xfrm>
        <a:prstGeom prst="rect">
          <a:avLst/>
        </a:prstGeom>
      </xdr:spPr>
    </xdr:pic>
    <xdr:clientData/>
  </xdr:twoCellAnchor>
  <xdr:twoCellAnchor editAs="oneCell">
    <xdr:from>
      <xdr:col>40</xdr:col>
      <xdr:colOff>562015</xdr:colOff>
      <xdr:row>2</xdr:row>
      <xdr:rowOff>3357</xdr:rowOff>
    </xdr:from>
    <xdr:to>
      <xdr:col>41</xdr:col>
      <xdr:colOff>820259</xdr:colOff>
      <xdr:row>3</xdr:row>
      <xdr:rowOff>325695</xdr:rowOff>
    </xdr:to>
    <xdr:pic>
      <xdr:nvPicPr>
        <xdr:cNvPr id="89" name="Image" descr="Image">
          <a:extLst>
            <a:ext uri="{FF2B5EF4-FFF2-40B4-BE49-F238E27FC236}">
              <a16:creationId xmlns:a16="http://schemas.microsoft.com/office/drawing/2014/main" id="{D8AE2B9F-84CC-452B-A99B-D0CD073D81E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7241429" y="487771"/>
          <a:ext cx="1379472" cy="53461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90" name="Imagem 89">
          <a:extLst>
            <a:ext uri="{FF2B5EF4-FFF2-40B4-BE49-F238E27FC236}">
              <a16:creationId xmlns:a16="http://schemas.microsoft.com/office/drawing/2014/main" id="{06485BB6-0D8E-4653-BC91-FF43120BF8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91" name="Imagem 90">
          <a:extLst>
            <a:ext uri="{FF2B5EF4-FFF2-40B4-BE49-F238E27FC236}">
              <a16:creationId xmlns:a16="http://schemas.microsoft.com/office/drawing/2014/main" id="{3C03E806-5045-4BCC-AC6A-9B397E4AD3BD}"/>
            </a:ext>
          </a:extLst>
        </xdr:cNvPr>
        <xdr:cNvPicPr>
          <a:picLocks noChangeAspect="1"/>
        </xdr:cNvPicPr>
      </xdr:nvPicPr>
      <xdr:blipFill>
        <a:blip xmlns:r="http://schemas.openxmlformats.org/officeDocument/2006/relationships" r:embed="rId1"/>
        <a:stretch>
          <a:fillRect/>
        </a:stretch>
      </xdr:blipFill>
      <xdr:spPr>
        <a:xfrm>
          <a:off x="4340862" y="104463"/>
          <a:ext cx="1144851" cy="497931"/>
        </a:xfrm>
        <a:prstGeom prst="rect">
          <a:avLst/>
        </a:prstGeom>
      </xdr:spPr>
    </xdr:pic>
    <xdr:clientData/>
  </xdr:twoCellAnchor>
  <xdr:twoCellAnchor editAs="oneCell">
    <xdr:from>
      <xdr:col>40</xdr:col>
      <xdr:colOff>562015</xdr:colOff>
      <xdr:row>2</xdr:row>
      <xdr:rowOff>3357</xdr:rowOff>
    </xdr:from>
    <xdr:to>
      <xdr:col>41</xdr:col>
      <xdr:colOff>820259</xdr:colOff>
      <xdr:row>3</xdr:row>
      <xdr:rowOff>325695</xdr:rowOff>
    </xdr:to>
    <xdr:pic>
      <xdr:nvPicPr>
        <xdr:cNvPr id="92" name="Image" descr="Image">
          <a:extLst>
            <a:ext uri="{FF2B5EF4-FFF2-40B4-BE49-F238E27FC236}">
              <a16:creationId xmlns:a16="http://schemas.microsoft.com/office/drawing/2014/main" id="{DC306587-296A-49AF-83D9-E853AE7E449C}"/>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7241429" y="487771"/>
          <a:ext cx="1379472" cy="53461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93" name="Imagem 92">
          <a:extLst>
            <a:ext uri="{FF2B5EF4-FFF2-40B4-BE49-F238E27FC236}">
              <a16:creationId xmlns:a16="http://schemas.microsoft.com/office/drawing/2014/main" id="{98C70AF5-8C96-4B1F-810F-AD55DAFADD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1352952</xdr:colOff>
      <xdr:row>2</xdr:row>
      <xdr:rowOff>117980</xdr:rowOff>
    </xdr:to>
    <xdr:pic>
      <xdr:nvPicPr>
        <xdr:cNvPr id="94" name="Imagem 93">
          <a:extLst>
            <a:ext uri="{FF2B5EF4-FFF2-40B4-BE49-F238E27FC236}">
              <a16:creationId xmlns:a16="http://schemas.microsoft.com/office/drawing/2014/main" id="{E3B632F5-2EA6-407B-9C7F-5EA4FF541FA9}"/>
            </a:ext>
          </a:extLst>
        </xdr:cNvPr>
        <xdr:cNvPicPr>
          <a:picLocks noChangeAspect="1"/>
        </xdr:cNvPicPr>
      </xdr:nvPicPr>
      <xdr:blipFill>
        <a:blip xmlns:r="http://schemas.openxmlformats.org/officeDocument/2006/relationships" r:embed="rId1"/>
        <a:stretch>
          <a:fillRect/>
        </a:stretch>
      </xdr:blipFill>
      <xdr:spPr>
        <a:xfrm>
          <a:off x="4340862" y="104463"/>
          <a:ext cx="1148661" cy="497931"/>
        </a:xfrm>
        <a:prstGeom prst="rect">
          <a:avLst/>
        </a:prstGeom>
      </xdr:spPr>
    </xdr:pic>
    <xdr:clientData/>
  </xdr:twoCellAnchor>
  <xdr:twoCellAnchor editAs="oneCell">
    <xdr:from>
      <xdr:col>40</xdr:col>
      <xdr:colOff>562015</xdr:colOff>
      <xdr:row>2</xdr:row>
      <xdr:rowOff>3357</xdr:rowOff>
    </xdr:from>
    <xdr:to>
      <xdr:col>41</xdr:col>
      <xdr:colOff>816447</xdr:colOff>
      <xdr:row>3</xdr:row>
      <xdr:rowOff>329505</xdr:rowOff>
    </xdr:to>
    <xdr:pic>
      <xdr:nvPicPr>
        <xdr:cNvPr id="95" name="Image" descr="Image">
          <a:extLst>
            <a:ext uri="{FF2B5EF4-FFF2-40B4-BE49-F238E27FC236}">
              <a16:creationId xmlns:a16="http://schemas.microsoft.com/office/drawing/2014/main" id="{E749E013-F419-4606-968C-3D8630FE95E5}"/>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836186" y="487771"/>
          <a:ext cx="1375661" cy="53842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96" name="Imagem 95">
          <a:extLst>
            <a:ext uri="{FF2B5EF4-FFF2-40B4-BE49-F238E27FC236}">
              <a16:creationId xmlns:a16="http://schemas.microsoft.com/office/drawing/2014/main" id="{F47A6EA9-8DEF-46F4-8B9A-07811E1FA8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97" name="Imagem 96">
          <a:extLst>
            <a:ext uri="{FF2B5EF4-FFF2-40B4-BE49-F238E27FC236}">
              <a16:creationId xmlns:a16="http://schemas.microsoft.com/office/drawing/2014/main" id="{80C7F592-533A-4210-9502-980D3C482ABD}"/>
            </a:ext>
          </a:extLst>
        </xdr:cNvPr>
        <xdr:cNvPicPr>
          <a:picLocks noChangeAspect="1"/>
        </xdr:cNvPicPr>
      </xdr:nvPicPr>
      <xdr:blipFill>
        <a:blip xmlns:r="http://schemas.openxmlformats.org/officeDocument/2006/relationships" r:embed="rId1"/>
        <a:stretch>
          <a:fillRect/>
        </a:stretch>
      </xdr:blipFill>
      <xdr:spPr>
        <a:xfrm>
          <a:off x="4340862" y="104463"/>
          <a:ext cx="1144851" cy="497931"/>
        </a:xfrm>
        <a:prstGeom prst="rect">
          <a:avLst/>
        </a:prstGeom>
      </xdr:spPr>
    </xdr:pic>
    <xdr:clientData/>
  </xdr:twoCellAnchor>
  <xdr:oneCellAnchor>
    <xdr:from>
      <xdr:col>4</xdr:col>
      <xdr:colOff>1659362</xdr:colOff>
      <xdr:row>0</xdr:row>
      <xdr:rowOff>159059</xdr:rowOff>
    </xdr:from>
    <xdr:ext cx="1652512" cy="502025"/>
    <xdr:pic>
      <xdr:nvPicPr>
        <xdr:cNvPr id="99" name="Imagem 98">
          <a:extLst>
            <a:ext uri="{FF2B5EF4-FFF2-40B4-BE49-F238E27FC236}">
              <a16:creationId xmlns:a16="http://schemas.microsoft.com/office/drawing/2014/main" id="{1F7E6A0E-9F01-4B2E-9FAF-43C635B8A5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1349142</xdr:colOff>
      <xdr:row>2</xdr:row>
      <xdr:rowOff>117980</xdr:rowOff>
    </xdr:to>
    <xdr:pic>
      <xdr:nvPicPr>
        <xdr:cNvPr id="98" name="Imagem 97">
          <a:extLst>
            <a:ext uri="{FF2B5EF4-FFF2-40B4-BE49-F238E27FC236}">
              <a16:creationId xmlns:a16="http://schemas.microsoft.com/office/drawing/2014/main" id="{FE3CE9E6-4760-4F5B-920D-DCE4FBFCC07A}"/>
            </a:ext>
          </a:extLst>
        </xdr:cNvPr>
        <xdr:cNvPicPr>
          <a:picLocks noChangeAspect="1"/>
        </xdr:cNvPicPr>
      </xdr:nvPicPr>
      <xdr:blipFill>
        <a:blip xmlns:r="http://schemas.openxmlformats.org/officeDocument/2006/relationships" r:embed="rId1"/>
        <a:stretch>
          <a:fillRect/>
        </a:stretch>
      </xdr:blipFill>
      <xdr:spPr>
        <a:xfrm>
          <a:off x="4340862" y="104463"/>
          <a:ext cx="1144851" cy="497931"/>
        </a:xfrm>
        <a:prstGeom prst="rect">
          <a:avLst/>
        </a:prstGeom>
      </xdr:spPr>
    </xdr:pic>
    <xdr:clientData/>
  </xdr:twoCellAnchor>
  <xdr:twoCellAnchor editAs="oneCell">
    <xdr:from>
      <xdr:col>40</xdr:col>
      <xdr:colOff>562015</xdr:colOff>
      <xdr:row>2</xdr:row>
      <xdr:rowOff>3357</xdr:rowOff>
    </xdr:from>
    <xdr:to>
      <xdr:col>41</xdr:col>
      <xdr:colOff>820255</xdr:colOff>
      <xdr:row>3</xdr:row>
      <xdr:rowOff>325695</xdr:rowOff>
    </xdr:to>
    <xdr:pic>
      <xdr:nvPicPr>
        <xdr:cNvPr id="100" name="Image" descr="Image">
          <a:extLst>
            <a:ext uri="{FF2B5EF4-FFF2-40B4-BE49-F238E27FC236}">
              <a16:creationId xmlns:a16="http://schemas.microsoft.com/office/drawing/2014/main" id="{0DCB62A5-068C-45DD-9968-3AD8B8458B5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42667958" y="487771"/>
          <a:ext cx="1379469" cy="53461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101" name="Imagem 100">
          <a:extLst>
            <a:ext uri="{FF2B5EF4-FFF2-40B4-BE49-F238E27FC236}">
              <a16:creationId xmlns:a16="http://schemas.microsoft.com/office/drawing/2014/main" id="{EE04E44B-2AD4-4C5C-A066-B5F97E462B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1352952</xdr:colOff>
      <xdr:row>2</xdr:row>
      <xdr:rowOff>117980</xdr:rowOff>
    </xdr:to>
    <xdr:pic>
      <xdr:nvPicPr>
        <xdr:cNvPr id="102" name="Imagem 101">
          <a:extLst>
            <a:ext uri="{FF2B5EF4-FFF2-40B4-BE49-F238E27FC236}">
              <a16:creationId xmlns:a16="http://schemas.microsoft.com/office/drawing/2014/main" id="{69400C7A-C301-400D-9EEC-3C1A1A920A9B}"/>
            </a:ext>
          </a:extLst>
        </xdr:cNvPr>
        <xdr:cNvPicPr>
          <a:picLocks noChangeAspect="1"/>
        </xdr:cNvPicPr>
      </xdr:nvPicPr>
      <xdr:blipFill>
        <a:blip xmlns:r="http://schemas.openxmlformats.org/officeDocument/2006/relationships" r:embed="rId1"/>
        <a:stretch>
          <a:fillRect/>
        </a:stretch>
      </xdr:blipFill>
      <xdr:spPr>
        <a:xfrm>
          <a:off x="4340862" y="104463"/>
          <a:ext cx="1148661" cy="497931"/>
        </a:xfrm>
        <a:prstGeom prst="rect">
          <a:avLst/>
        </a:prstGeom>
      </xdr:spPr>
    </xdr:pic>
    <xdr:clientData/>
  </xdr:twoCellAnchor>
  <xdr:twoCellAnchor editAs="oneCell">
    <xdr:from>
      <xdr:col>40</xdr:col>
      <xdr:colOff>562015</xdr:colOff>
      <xdr:row>2</xdr:row>
      <xdr:rowOff>3357</xdr:rowOff>
    </xdr:from>
    <xdr:to>
      <xdr:col>41</xdr:col>
      <xdr:colOff>816451</xdr:colOff>
      <xdr:row>3</xdr:row>
      <xdr:rowOff>329505</xdr:rowOff>
    </xdr:to>
    <xdr:pic>
      <xdr:nvPicPr>
        <xdr:cNvPr id="103" name="Image" descr="Image">
          <a:extLst>
            <a:ext uri="{FF2B5EF4-FFF2-40B4-BE49-F238E27FC236}">
              <a16:creationId xmlns:a16="http://schemas.microsoft.com/office/drawing/2014/main" id="{276B89BF-2A17-45CE-AF49-D38C1D6631D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42303286" y="487771"/>
          <a:ext cx="1375662" cy="53842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104" name="Imagem 103">
          <a:extLst>
            <a:ext uri="{FF2B5EF4-FFF2-40B4-BE49-F238E27FC236}">
              <a16:creationId xmlns:a16="http://schemas.microsoft.com/office/drawing/2014/main" id="{BF33C526-2764-4804-BDA4-1756922FFB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1352952</xdr:colOff>
      <xdr:row>2</xdr:row>
      <xdr:rowOff>117980</xdr:rowOff>
    </xdr:to>
    <xdr:pic>
      <xdr:nvPicPr>
        <xdr:cNvPr id="105" name="Imagem 104">
          <a:extLst>
            <a:ext uri="{FF2B5EF4-FFF2-40B4-BE49-F238E27FC236}">
              <a16:creationId xmlns:a16="http://schemas.microsoft.com/office/drawing/2014/main" id="{0587BE4F-5DAB-4A4B-A1FC-6F88BEE47038}"/>
            </a:ext>
          </a:extLst>
        </xdr:cNvPr>
        <xdr:cNvPicPr>
          <a:picLocks noChangeAspect="1"/>
        </xdr:cNvPicPr>
      </xdr:nvPicPr>
      <xdr:blipFill>
        <a:blip xmlns:r="http://schemas.openxmlformats.org/officeDocument/2006/relationships" r:embed="rId1"/>
        <a:stretch>
          <a:fillRect/>
        </a:stretch>
      </xdr:blipFill>
      <xdr:spPr>
        <a:xfrm>
          <a:off x="4340862" y="104463"/>
          <a:ext cx="1148661" cy="497931"/>
        </a:xfrm>
        <a:prstGeom prst="rect">
          <a:avLst/>
        </a:prstGeom>
      </xdr:spPr>
    </xdr:pic>
    <xdr:clientData/>
  </xdr:twoCellAnchor>
  <xdr:twoCellAnchor editAs="oneCell">
    <xdr:from>
      <xdr:col>40</xdr:col>
      <xdr:colOff>562015</xdr:colOff>
      <xdr:row>2</xdr:row>
      <xdr:rowOff>3357</xdr:rowOff>
    </xdr:from>
    <xdr:to>
      <xdr:col>41</xdr:col>
      <xdr:colOff>816446</xdr:colOff>
      <xdr:row>3</xdr:row>
      <xdr:rowOff>324062</xdr:rowOff>
    </xdr:to>
    <xdr:pic>
      <xdr:nvPicPr>
        <xdr:cNvPr id="106" name="Image" descr="Image">
          <a:extLst>
            <a:ext uri="{FF2B5EF4-FFF2-40B4-BE49-F238E27FC236}">
              <a16:creationId xmlns:a16="http://schemas.microsoft.com/office/drawing/2014/main" id="{CBC6BB53-0936-4E5F-82BC-F66BD18BA88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4275072" y="487771"/>
          <a:ext cx="1375660" cy="53842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107" name="Imagem 106">
          <a:extLst>
            <a:ext uri="{FF2B5EF4-FFF2-40B4-BE49-F238E27FC236}">
              <a16:creationId xmlns:a16="http://schemas.microsoft.com/office/drawing/2014/main" id="{A7D3EC23-4C44-47EA-9748-AB022920A7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5933"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1352952</xdr:colOff>
      <xdr:row>2</xdr:row>
      <xdr:rowOff>117980</xdr:rowOff>
    </xdr:to>
    <xdr:pic>
      <xdr:nvPicPr>
        <xdr:cNvPr id="108" name="Imagem 107">
          <a:extLst>
            <a:ext uri="{FF2B5EF4-FFF2-40B4-BE49-F238E27FC236}">
              <a16:creationId xmlns:a16="http://schemas.microsoft.com/office/drawing/2014/main" id="{76AA9E55-9C84-4A10-9AF8-92BD64C9FCC1}"/>
            </a:ext>
          </a:extLst>
        </xdr:cNvPr>
        <xdr:cNvPicPr>
          <a:picLocks noChangeAspect="1"/>
        </xdr:cNvPicPr>
      </xdr:nvPicPr>
      <xdr:blipFill>
        <a:blip xmlns:r="http://schemas.openxmlformats.org/officeDocument/2006/relationships" r:embed="rId1"/>
        <a:stretch>
          <a:fillRect/>
        </a:stretch>
      </xdr:blipFill>
      <xdr:spPr>
        <a:xfrm>
          <a:off x="2680791" y="104463"/>
          <a:ext cx="1148661" cy="497931"/>
        </a:xfrm>
        <a:prstGeom prst="rect">
          <a:avLst/>
        </a:prstGeom>
      </xdr:spPr>
    </xdr:pic>
    <xdr:clientData/>
  </xdr:twoCellAnchor>
  <xdr:twoCellAnchor editAs="oneCell">
    <xdr:from>
      <xdr:col>40</xdr:col>
      <xdr:colOff>562015</xdr:colOff>
      <xdr:row>2</xdr:row>
      <xdr:rowOff>3357</xdr:rowOff>
    </xdr:from>
    <xdr:to>
      <xdr:col>41</xdr:col>
      <xdr:colOff>816448</xdr:colOff>
      <xdr:row>3</xdr:row>
      <xdr:rowOff>324062</xdr:rowOff>
    </xdr:to>
    <xdr:pic>
      <xdr:nvPicPr>
        <xdr:cNvPr id="109" name="Image" descr="Image">
          <a:extLst>
            <a:ext uri="{FF2B5EF4-FFF2-40B4-BE49-F238E27FC236}">
              <a16:creationId xmlns:a16="http://schemas.microsoft.com/office/drawing/2014/main" id="{8077F614-C6E5-4AF7-A3FF-CEBFA4B718D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6381458" y="487771"/>
          <a:ext cx="1375662" cy="53842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110" name="Imagem 109">
          <a:extLst>
            <a:ext uri="{FF2B5EF4-FFF2-40B4-BE49-F238E27FC236}">
              <a16:creationId xmlns:a16="http://schemas.microsoft.com/office/drawing/2014/main" id="{4EE5AE0B-37E9-460F-84A5-0C9054502E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35862"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204291</xdr:colOff>
      <xdr:row>0</xdr:row>
      <xdr:rowOff>104463</xdr:rowOff>
    </xdr:from>
    <xdr:to>
      <xdr:col>4</xdr:col>
      <xdr:colOff>1352952</xdr:colOff>
      <xdr:row>2</xdr:row>
      <xdr:rowOff>117980</xdr:rowOff>
    </xdr:to>
    <xdr:pic>
      <xdr:nvPicPr>
        <xdr:cNvPr id="111" name="Imagem 110">
          <a:extLst>
            <a:ext uri="{FF2B5EF4-FFF2-40B4-BE49-F238E27FC236}">
              <a16:creationId xmlns:a16="http://schemas.microsoft.com/office/drawing/2014/main" id="{8653E56C-05BA-4BA4-A097-66F5C465DD7E}"/>
            </a:ext>
          </a:extLst>
        </xdr:cNvPr>
        <xdr:cNvPicPr>
          <a:picLocks noChangeAspect="1"/>
        </xdr:cNvPicPr>
      </xdr:nvPicPr>
      <xdr:blipFill>
        <a:blip xmlns:r="http://schemas.openxmlformats.org/officeDocument/2006/relationships" r:embed="rId1"/>
        <a:stretch>
          <a:fillRect/>
        </a:stretch>
      </xdr:blipFill>
      <xdr:spPr>
        <a:xfrm>
          <a:off x="5652591" y="104463"/>
          <a:ext cx="1148661" cy="497931"/>
        </a:xfrm>
        <a:prstGeom prst="rect">
          <a:avLst/>
        </a:prstGeom>
      </xdr:spPr>
    </xdr:pic>
    <xdr:clientData/>
  </xdr:twoCellAnchor>
  <xdr:twoCellAnchor editAs="oneCell">
    <xdr:from>
      <xdr:col>40</xdr:col>
      <xdr:colOff>562015</xdr:colOff>
      <xdr:row>2</xdr:row>
      <xdr:rowOff>3357</xdr:rowOff>
    </xdr:from>
    <xdr:to>
      <xdr:col>41</xdr:col>
      <xdr:colOff>816448</xdr:colOff>
      <xdr:row>3</xdr:row>
      <xdr:rowOff>324062</xdr:rowOff>
    </xdr:to>
    <xdr:pic>
      <xdr:nvPicPr>
        <xdr:cNvPr id="112" name="Image" descr="Image">
          <a:extLst>
            <a:ext uri="{FF2B5EF4-FFF2-40B4-BE49-F238E27FC236}">
              <a16:creationId xmlns:a16="http://schemas.microsoft.com/office/drawing/2014/main" id="{29E08794-45D5-4483-B66C-D18132A54E0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4694172" y="487771"/>
          <a:ext cx="1375663" cy="538420"/>
        </a:xfrm>
        <a:prstGeom prst="rect">
          <a:avLst/>
        </a:prstGeom>
        <a:ln w="12700">
          <a:miter lim="400000"/>
        </a:ln>
      </xdr:spPr>
    </xdr:pic>
    <xdr:clientData/>
  </xdr:twoCellAnchor>
  <xdr:oneCellAnchor>
    <xdr:from>
      <xdr:col>4</xdr:col>
      <xdr:colOff>1659362</xdr:colOff>
      <xdr:row>0</xdr:row>
      <xdr:rowOff>159059</xdr:rowOff>
    </xdr:from>
    <xdr:ext cx="1652512" cy="502025"/>
    <xdr:pic>
      <xdr:nvPicPr>
        <xdr:cNvPr id="113" name="Imagem 112">
          <a:extLst>
            <a:ext uri="{FF2B5EF4-FFF2-40B4-BE49-F238E27FC236}">
              <a16:creationId xmlns:a16="http://schemas.microsoft.com/office/drawing/2014/main" id="{26000DB3-2876-479C-B604-7D66BDC7C4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07662" y="159059"/>
          <a:ext cx="1652512" cy="502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66675</xdr:colOff>
      <xdr:row>1</xdr:row>
      <xdr:rowOff>9525</xdr:rowOff>
    </xdr:from>
    <xdr:ext cx="1111250" cy="485775"/>
    <xdr:sp macro="" textlink="">
      <xdr:nvSpPr>
        <xdr:cNvPr id="17" name="Imagem 1">
          <a:extLst>
            <a:ext uri="{FF2B5EF4-FFF2-40B4-BE49-F238E27FC236}">
              <a16:creationId xmlns:a16="http://schemas.microsoft.com/office/drawing/2014/main" id="{56CD897C-9D8E-427B-B9B5-C46FC932358B}"/>
            </a:ext>
          </a:extLst>
        </xdr:cNvPr>
        <xdr:cNvSpPr>
          <a:spLocks noChangeAspect="1" noChangeArrowheads="1"/>
        </xdr:cNvSpPr>
      </xdr:nvSpPr>
      <xdr:spPr bwMode="auto">
        <a:xfrm>
          <a:off x="342900" y="57150"/>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0" name="Imagem 1">
          <a:extLst>
            <a:ext uri="{FF2B5EF4-FFF2-40B4-BE49-F238E27FC236}">
              <a16:creationId xmlns:a16="http://schemas.microsoft.com/office/drawing/2014/main" id="{199E6883-1B3B-43E0-B8BF-1B55AD8B8965}"/>
            </a:ext>
          </a:extLst>
        </xdr:cNvPr>
        <xdr:cNvSpPr>
          <a:spLocks noChangeAspect="1" noChangeArrowheads="1"/>
        </xdr:cNvSpPr>
      </xdr:nvSpPr>
      <xdr:spPr bwMode="auto">
        <a:xfrm>
          <a:off x="342900" y="57150"/>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3" name="Imagem 1">
          <a:extLst>
            <a:ext uri="{FF2B5EF4-FFF2-40B4-BE49-F238E27FC236}">
              <a16:creationId xmlns:a16="http://schemas.microsoft.com/office/drawing/2014/main" id="{6800F510-7DF8-4A74-8035-786A033183D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6" name="Imagem 1">
          <a:extLst>
            <a:ext uri="{FF2B5EF4-FFF2-40B4-BE49-F238E27FC236}">
              <a16:creationId xmlns:a16="http://schemas.microsoft.com/office/drawing/2014/main" id="{37967B67-167C-4324-8436-E55EE4E81C4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9" name="Imagem 1">
          <a:extLst>
            <a:ext uri="{FF2B5EF4-FFF2-40B4-BE49-F238E27FC236}">
              <a16:creationId xmlns:a16="http://schemas.microsoft.com/office/drawing/2014/main" id="{6456ED21-0EB5-4870-BA07-EDC9F2DC244D}"/>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2" name="Imagem 1">
          <a:extLst>
            <a:ext uri="{FF2B5EF4-FFF2-40B4-BE49-F238E27FC236}">
              <a16:creationId xmlns:a16="http://schemas.microsoft.com/office/drawing/2014/main" id="{E8811EED-BC38-4CBD-8DFB-A01FC81EEF62}"/>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5" name="Imagem 1">
          <a:extLst>
            <a:ext uri="{FF2B5EF4-FFF2-40B4-BE49-F238E27FC236}">
              <a16:creationId xmlns:a16="http://schemas.microsoft.com/office/drawing/2014/main" id="{330C8E63-ABBF-4C69-B15A-EB771A39469F}"/>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8" name="Imagem 1">
          <a:extLst>
            <a:ext uri="{FF2B5EF4-FFF2-40B4-BE49-F238E27FC236}">
              <a16:creationId xmlns:a16="http://schemas.microsoft.com/office/drawing/2014/main" id="{B2EF5019-1B18-477A-91F6-4C3467E42DC0}"/>
            </a:ext>
          </a:extLst>
        </xdr:cNvPr>
        <xdr:cNvSpPr>
          <a:spLocks noChangeAspect="1" noChangeArrowheads="1"/>
        </xdr:cNvSpPr>
      </xdr:nvSpPr>
      <xdr:spPr bwMode="auto">
        <a:xfrm>
          <a:off x="342900" y="57150"/>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1" name="Imagem 1">
          <a:extLst>
            <a:ext uri="{FF2B5EF4-FFF2-40B4-BE49-F238E27FC236}">
              <a16:creationId xmlns:a16="http://schemas.microsoft.com/office/drawing/2014/main" id="{ECF3A369-1873-4763-B378-E78C8111B37D}"/>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4" name="Imagem 1">
          <a:extLst>
            <a:ext uri="{FF2B5EF4-FFF2-40B4-BE49-F238E27FC236}">
              <a16:creationId xmlns:a16="http://schemas.microsoft.com/office/drawing/2014/main" id="{C8A43EF6-CD99-4509-890A-43C16418D08A}"/>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7" name="Imagem 1">
          <a:extLst>
            <a:ext uri="{FF2B5EF4-FFF2-40B4-BE49-F238E27FC236}">
              <a16:creationId xmlns:a16="http://schemas.microsoft.com/office/drawing/2014/main" id="{42694E58-0DFC-4A22-AE79-D12A55FF2CBA}"/>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0" name="Imagem 1">
          <a:extLst>
            <a:ext uri="{FF2B5EF4-FFF2-40B4-BE49-F238E27FC236}">
              <a16:creationId xmlns:a16="http://schemas.microsoft.com/office/drawing/2014/main" id="{9342EEDC-2480-4F14-902F-C6508AD6DC70}"/>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3" name="Imagem 1">
          <a:extLst>
            <a:ext uri="{FF2B5EF4-FFF2-40B4-BE49-F238E27FC236}">
              <a16:creationId xmlns:a16="http://schemas.microsoft.com/office/drawing/2014/main" id="{67DA874F-A7F1-4076-A156-D17663205058}"/>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6" name="Imagem 1">
          <a:extLst>
            <a:ext uri="{FF2B5EF4-FFF2-40B4-BE49-F238E27FC236}">
              <a16:creationId xmlns:a16="http://schemas.microsoft.com/office/drawing/2014/main" id="{4371E833-4E5B-4922-946D-3603714B56CF}"/>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9" name="Imagem 1">
          <a:extLst>
            <a:ext uri="{FF2B5EF4-FFF2-40B4-BE49-F238E27FC236}">
              <a16:creationId xmlns:a16="http://schemas.microsoft.com/office/drawing/2014/main" id="{A0826472-2CC4-49CC-8FF5-371AE2F542C7}"/>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 name="Imagem 1">
          <a:extLst>
            <a:ext uri="{FF2B5EF4-FFF2-40B4-BE49-F238E27FC236}">
              <a16:creationId xmlns:a16="http://schemas.microsoft.com/office/drawing/2014/main" id="{D1F4362B-2E37-403E-8A2F-94017DB8652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9" name="Imagem 1">
          <a:extLst>
            <a:ext uri="{FF2B5EF4-FFF2-40B4-BE49-F238E27FC236}">
              <a16:creationId xmlns:a16="http://schemas.microsoft.com/office/drawing/2014/main" id="{E45BC6F7-0292-4593-976C-77D866D38D5F}"/>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04900" cy="485775"/>
    <xdr:sp macro="" textlink="">
      <xdr:nvSpPr>
        <xdr:cNvPr id="10" name="Imagem 1">
          <a:extLst>
            <a:ext uri="{FF2B5EF4-FFF2-40B4-BE49-F238E27FC236}">
              <a16:creationId xmlns:a16="http://schemas.microsoft.com/office/drawing/2014/main" id="{A40C8CA6-327C-4A01-AEEA-E0A6BAF5845B}"/>
            </a:ext>
          </a:extLst>
        </xdr:cNvPr>
        <xdr:cNvSpPr>
          <a:spLocks noChangeAspect="1" noChangeArrowheads="1"/>
        </xdr:cNvSpPr>
      </xdr:nvSpPr>
      <xdr:spPr bwMode="auto">
        <a:xfrm>
          <a:off x="360589" y="58511"/>
          <a:ext cx="110490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13" name="Imagem 1">
          <a:extLst>
            <a:ext uri="{FF2B5EF4-FFF2-40B4-BE49-F238E27FC236}">
              <a16:creationId xmlns:a16="http://schemas.microsoft.com/office/drawing/2014/main" id="{ACC28EC4-4CE6-4CA0-B1F7-B3D921D0A040}"/>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14" name="Imagem 1">
          <a:extLst>
            <a:ext uri="{FF2B5EF4-FFF2-40B4-BE49-F238E27FC236}">
              <a16:creationId xmlns:a16="http://schemas.microsoft.com/office/drawing/2014/main" id="{B721B678-211A-4375-AF8E-27B2A4C56880}"/>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18" name="Imagem 1">
          <a:extLst>
            <a:ext uri="{FF2B5EF4-FFF2-40B4-BE49-F238E27FC236}">
              <a16:creationId xmlns:a16="http://schemas.microsoft.com/office/drawing/2014/main" id="{D53D33A2-8D5B-4808-ACC7-77A58E37F57A}"/>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19" name="Imagem 1">
          <a:extLst>
            <a:ext uri="{FF2B5EF4-FFF2-40B4-BE49-F238E27FC236}">
              <a16:creationId xmlns:a16="http://schemas.microsoft.com/office/drawing/2014/main" id="{3CBE2F48-0F99-4AA9-B3E7-38D6650DAC7F}"/>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4" name="Imagem 1">
          <a:extLst>
            <a:ext uri="{FF2B5EF4-FFF2-40B4-BE49-F238E27FC236}">
              <a16:creationId xmlns:a16="http://schemas.microsoft.com/office/drawing/2014/main" id="{A33A577D-3911-45F8-B28F-114E55290E25}"/>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5" name="Imagem 1">
          <a:extLst>
            <a:ext uri="{FF2B5EF4-FFF2-40B4-BE49-F238E27FC236}">
              <a16:creationId xmlns:a16="http://schemas.microsoft.com/office/drawing/2014/main" id="{357A38CC-DA2A-4F6C-A10A-4E2DB32EC7F5}"/>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7" name="Imagem 1">
          <a:extLst>
            <a:ext uri="{FF2B5EF4-FFF2-40B4-BE49-F238E27FC236}">
              <a16:creationId xmlns:a16="http://schemas.microsoft.com/office/drawing/2014/main" id="{03C457F1-7CDB-4BCD-8BE4-E98CB6AA54D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8" name="Imagem 1">
          <a:extLst>
            <a:ext uri="{FF2B5EF4-FFF2-40B4-BE49-F238E27FC236}">
              <a16:creationId xmlns:a16="http://schemas.microsoft.com/office/drawing/2014/main" id="{A858831E-FF47-48BF-80DD-D1083622EEBE}"/>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0" name="Imagem 1">
          <a:extLst>
            <a:ext uri="{FF2B5EF4-FFF2-40B4-BE49-F238E27FC236}">
              <a16:creationId xmlns:a16="http://schemas.microsoft.com/office/drawing/2014/main" id="{08B583C7-F11F-4D8B-B219-35D32D0B5FA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1" name="Imagem 1">
          <a:extLst>
            <a:ext uri="{FF2B5EF4-FFF2-40B4-BE49-F238E27FC236}">
              <a16:creationId xmlns:a16="http://schemas.microsoft.com/office/drawing/2014/main" id="{DF924887-E749-44E1-9B73-36E06CE3DC5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3" name="Imagem 1">
          <a:extLst>
            <a:ext uri="{FF2B5EF4-FFF2-40B4-BE49-F238E27FC236}">
              <a16:creationId xmlns:a16="http://schemas.microsoft.com/office/drawing/2014/main" id="{B9F85C16-A1B3-41AD-B775-7D802F135BC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4" name="Imagem 1">
          <a:extLst>
            <a:ext uri="{FF2B5EF4-FFF2-40B4-BE49-F238E27FC236}">
              <a16:creationId xmlns:a16="http://schemas.microsoft.com/office/drawing/2014/main" id="{33742AC5-0CFA-4EFE-BC61-C2AD51CE136D}"/>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6" name="Imagem 1">
          <a:extLst>
            <a:ext uri="{FF2B5EF4-FFF2-40B4-BE49-F238E27FC236}">
              <a16:creationId xmlns:a16="http://schemas.microsoft.com/office/drawing/2014/main" id="{7E1DD879-E18A-45EE-8E78-676BBBDD4754}"/>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7" name="Imagem 1">
          <a:extLst>
            <a:ext uri="{FF2B5EF4-FFF2-40B4-BE49-F238E27FC236}">
              <a16:creationId xmlns:a16="http://schemas.microsoft.com/office/drawing/2014/main" id="{11345D55-8D9A-4187-A431-45333F7885CD}"/>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39" name="Imagem 1">
          <a:extLst>
            <a:ext uri="{FF2B5EF4-FFF2-40B4-BE49-F238E27FC236}">
              <a16:creationId xmlns:a16="http://schemas.microsoft.com/office/drawing/2014/main" id="{8115FEE9-26D7-46A1-B85E-AEA0C1CC2AE3}"/>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0" name="Imagem 1">
          <a:extLst>
            <a:ext uri="{FF2B5EF4-FFF2-40B4-BE49-F238E27FC236}">
              <a16:creationId xmlns:a16="http://schemas.microsoft.com/office/drawing/2014/main" id="{6B7A3550-0A8D-43ED-AF01-1BE760938AB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2" name="Imagem 1">
          <a:extLst>
            <a:ext uri="{FF2B5EF4-FFF2-40B4-BE49-F238E27FC236}">
              <a16:creationId xmlns:a16="http://schemas.microsoft.com/office/drawing/2014/main" id="{BB0ACF1E-6B95-47FA-93F9-A79CD8455C7F}"/>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3" name="Imagem 1">
          <a:extLst>
            <a:ext uri="{FF2B5EF4-FFF2-40B4-BE49-F238E27FC236}">
              <a16:creationId xmlns:a16="http://schemas.microsoft.com/office/drawing/2014/main" id="{0454C9F9-063B-488E-8E4C-A503F770928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8" name="Imagem 1">
          <a:extLst>
            <a:ext uri="{FF2B5EF4-FFF2-40B4-BE49-F238E27FC236}">
              <a16:creationId xmlns:a16="http://schemas.microsoft.com/office/drawing/2014/main" id="{9EE9D86C-2CAD-4104-98D9-9B9500A3F265}"/>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2" name="Imagem 1">
          <a:extLst>
            <a:ext uri="{FF2B5EF4-FFF2-40B4-BE49-F238E27FC236}">
              <a16:creationId xmlns:a16="http://schemas.microsoft.com/office/drawing/2014/main" id="{92748EE8-8143-4E60-81F2-08BC4E0707A4}"/>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0" name="Imagem 1">
          <a:extLst>
            <a:ext uri="{FF2B5EF4-FFF2-40B4-BE49-F238E27FC236}">
              <a16:creationId xmlns:a16="http://schemas.microsoft.com/office/drawing/2014/main" id="{338DCCC8-D9A0-49DB-B773-D86609FF5F10}"/>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04900" cy="485775"/>
    <xdr:sp macro="" textlink="">
      <xdr:nvSpPr>
        <xdr:cNvPr id="61" name="Imagem 1">
          <a:extLst>
            <a:ext uri="{FF2B5EF4-FFF2-40B4-BE49-F238E27FC236}">
              <a16:creationId xmlns:a16="http://schemas.microsoft.com/office/drawing/2014/main" id="{86928D13-89A2-47BC-ADAD-96306864916B}"/>
            </a:ext>
          </a:extLst>
        </xdr:cNvPr>
        <xdr:cNvSpPr>
          <a:spLocks noChangeAspect="1" noChangeArrowheads="1"/>
        </xdr:cNvSpPr>
      </xdr:nvSpPr>
      <xdr:spPr bwMode="auto">
        <a:xfrm>
          <a:off x="360589" y="58511"/>
          <a:ext cx="110490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191193</xdr:colOff>
      <xdr:row>1</xdr:row>
      <xdr:rowOff>11206</xdr:rowOff>
    </xdr:from>
    <xdr:ext cx="1108021" cy="482053"/>
    <xdr:pic>
      <xdr:nvPicPr>
        <xdr:cNvPr id="7" name="Imagem 6">
          <a:extLst>
            <a:ext uri="{FF2B5EF4-FFF2-40B4-BE49-F238E27FC236}">
              <a16:creationId xmlns:a16="http://schemas.microsoft.com/office/drawing/2014/main" id="{8A23FDC0-3A56-48A6-8218-81B9DB4F0588}"/>
            </a:ext>
          </a:extLst>
        </xdr:cNvPr>
        <xdr:cNvPicPr>
          <a:picLocks noChangeAspect="1"/>
        </xdr:cNvPicPr>
      </xdr:nvPicPr>
      <xdr:blipFill>
        <a:blip xmlns:r="http://schemas.openxmlformats.org/officeDocument/2006/relationships" r:embed="rId1"/>
        <a:stretch>
          <a:fillRect/>
        </a:stretch>
      </xdr:blipFill>
      <xdr:spPr>
        <a:xfrm>
          <a:off x="485107" y="60192"/>
          <a:ext cx="1108021" cy="482053"/>
        </a:xfrm>
        <a:prstGeom prst="rect">
          <a:avLst/>
        </a:prstGeom>
      </xdr:spPr>
    </xdr:pic>
    <xdr:clientData/>
  </xdr:oneCellAnchor>
  <xdr:oneCellAnchor>
    <xdr:from>
      <xdr:col>1</xdr:col>
      <xdr:colOff>66675</xdr:colOff>
      <xdr:row>1</xdr:row>
      <xdr:rowOff>9525</xdr:rowOff>
    </xdr:from>
    <xdr:ext cx="1111250" cy="485775"/>
    <xdr:sp macro="" textlink="">
      <xdr:nvSpPr>
        <xdr:cNvPr id="11" name="Imagem 1">
          <a:extLst>
            <a:ext uri="{FF2B5EF4-FFF2-40B4-BE49-F238E27FC236}">
              <a16:creationId xmlns:a16="http://schemas.microsoft.com/office/drawing/2014/main" id="{519303A6-D867-4B31-AF35-2A74001BFD4C}"/>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15" name="Imagem 1">
          <a:extLst>
            <a:ext uri="{FF2B5EF4-FFF2-40B4-BE49-F238E27FC236}">
              <a16:creationId xmlns:a16="http://schemas.microsoft.com/office/drawing/2014/main" id="{C24D9FA2-507F-4C17-BA3F-30272FD95E71}"/>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16" name="Imagem 1">
          <a:extLst>
            <a:ext uri="{FF2B5EF4-FFF2-40B4-BE49-F238E27FC236}">
              <a16:creationId xmlns:a16="http://schemas.microsoft.com/office/drawing/2014/main" id="{530EF03C-EA7C-43F9-9A29-16C4D4FB7A5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7" name="Imagem 1">
          <a:extLst>
            <a:ext uri="{FF2B5EF4-FFF2-40B4-BE49-F238E27FC236}">
              <a16:creationId xmlns:a16="http://schemas.microsoft.com/office/drawing/2014/main" id="{EA7189BE-62CA-4DDD-85A7-8AB14DD97EDD}"/>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3" name="Imagem 1">
          <a:extLst>
            <a:ext uri="{FF2B5EF4-FFF2-40B4-BE49-F238E27FC236}">
              <a16:creationId xmlns:a16="http://schemas.microsoft.com/office/drawing/2014/main" id="{56566DD6-8303-4488-AEAE-145F18A36086}"/>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4" name="Imagem 1">
          <a:extLst>
            <a:ext uri="{FF2B5EF4-FFF2-40B4-BE49-F238E27FC236}">
              <a16:creationId xmlns:a16="http://schemas.microsoft.com/office/drawing/2014/main" id="{7EB24260-DAA0-4A05-8832-6DC3373BA3DC}"/>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5" name="Imagem 1">
          <a:extLst>
            <a:ext uri="{FF2B5EF4-FFF2-40B4-BE49-F238E27FC236}">
              <a16:creationId xmlns:a16="http://schemas.microsoft.com/office/drawing/2014/main" id="{A2C03230-93F4-4A4F-A1FC-970E6D6841F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6" name="Imagem 1">
          <a:extLst>
            <a:ext uri="{FF2B5EF4-FFF2-40B4-BE49-F238E27FC236}">
              <a16:creationId xmlns:a16="http://schemas.microsoft.com/office/drawing/2014/main" id="{2F105AC3-43DD-4EF1-B625-F2A117246EB0}"/>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7" name="Imagem 1">
          <a:extLst>
            <a:ext uri="{FF2B5EF4-FFF2-40B4-BE49-F238E27FC236}">
              <a16:creationId xmlns:a16="http://schemas.microsoft.com/office/drawing/2014/main" id="{71D15D9F-8031-4F8D-ACAC-29FAE120C957}"/>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8" name="Imagem 1">
          <a:extLst>
            <a:ext uri="{FF2B5EF4-FFF2-40B4-BE49-F238E27FC236}">
              <a16:creationId xmlns:a16="http://schemas.microsoft.com/office/drawing/2014/main" id="{B03675D5-484F-4EE7-B716-82D82DA87553}"/>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9" name="Imagem 1">
          <a:extLst>
            <a:ext uri="{FF2B5EF4-FFF2-40B4-BE49-F238E27FC236}">
              <a16:creationId xmlns:a16="http://schemas.microsoft.com/office/drawing/2014/main" id="{A739FB52-D51C-48F1-AF0E-CCB4312BB7FC}"/>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70" name="Imagem 1">
          <a:extLst>
            <a:ext uri="{FF2B5EF4-FFF2-40B4-BE49-F238E27FC236}">
              <a16:creationId xmlns:a16="http://schemas.microsoft.com/office/drawing/2014/main" id="{18F9F13B-7119-4180-B3D6-67B366519777}"/>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71" name="Imagem 1">
          <a:extLst>
            <a:ext uri="{FF2B5EF4-FFF2-40B4-BE49-F238E27FC236}">
              <a16:creationId xmlns:a16="http://schemas.microsoft.com/office/drawing/2014/main" id="{25D50A1D-AA71-428D-BAB8-4331C668C0EF}"/>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72" name="Imagem 1">
          <a:extLst>
            <a:ext uri="{FF2B5EF4-FFF2-40B4-BE49-F238E27FC236}">
              <a16:creationId xmlns:a16="http://schemas.microsoft.com/office/drawing/2014/main" id="{C1A18967-6152-44A7-A211-A8B89DC1008E}"/>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75" name="Imagem 1">
          <a:extLst>
            <a:ext uri="{FF2B5EF4-FFF2-40B4-BE49-F238E27FC236}">
              <a16:creationId xmlns:a16="http://schemas.microsoft.com/office/drawing/2014/main" id="{4183FF10-D871-41F9-B0AA-210D57D198D3}"/>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78" name="Imagem 1">
          <a:extLst>
            <a:ext uri="{FF2B5EF4-FFF2-40B4-BE49-F238E27FC236}">
              <a16:creationId xmlns:a16="http://schemas.microsoft.com/office/drawing/2014/main" id="{0A643365-4C9A-4350-82A7-994BBED2E67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81" name="Imagem 1">
          <a:extLst>
            <a:ext uri="{FF2B5EF4-FFF2-40B4-BE49-F238E27FC236}">
              <a16:creationId xmlns:a16="http://schemas.microsoft.com/office/drawing/2014/main" id="{C653129D-085D-4409-A3E0-3260841CE863}"/>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04900" cy="485775"/>
    <xdr:sp macro="" textlink="">
      <xdr:nvSpPr>
        <xdr:cNvPr id="82" name="Imagem 1">
          <a:extLst>
            <a:ext uri="{FF2B5EF4-FFF2-40B4-BE49-F238E27FC236}">
              <a16:creationId xmlns:a16="http://schemas.microsoft.com/office/drawing/2014/main" id="{3CDD7205-4046-4640-8263-0DF0F9B80282}"/>
            </a:ext>
          </a:extLst>
        </xdr:cNvPr>
        <xdr:cNvSpPr>
          <a:spLocks noChangeAspect="1" noChangeArrowheads="1"/>
        </xdr:cNvSpPr>
      </xdr:nvSpPr>
      <xdr:spPr bwMode="auto">
        <a:xfrm>
          <a:off x="360589" y="58511"/>
          <a:ext cx="110490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 name="Imagem 1">
          <a:extLst>
            <a:ext uri="{FF2B5EF4-FFF2-40B4-BE49-F238E27FC236}">
              <a16:creationId xmlns:a16="http://schemas.microsoft.com/office/drawing/2014/main" id="{5C025C12-B800-4DFA-8424-409423EC901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8" name="Imagem 1">
          <a:extLst>
            <a:ext uri="{FF2B5EF4-FFF2-40B4-BE49-F238E27FC236}">
              <a16:creationId xmlns:a16="http://schemas.microsoft.com/office/drawing/2014/main" id="{A34C190A-1881-47F8-B8E5-15E1149961F8}"/>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1" name="Imagem 1">
          <a:extLst>
            <a:ext uri="{FF2B5EF4-FFF2-40B4-BE49-F238E27FC236}">
              <a16:creationId xmlns:a16="http://schemas.microsoft.com/office/drawing/2014/main" id="{14F9A4B3-1264-4E7A-AE18-8B559409B49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22" name="Imagem 1">
          <a:extLst>
            <a:ext uri="{FF2B5EF4-FFF2-40B4-BE49-F238E27FC236}">
              <a16:creationId xmlns:a16="http://schemas.microsoft.com/office/drawing/2014/main" id="{5ED30CA2-B6E5-472A-8D08-3E22FF3B35A4}"/>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49" name="Imagem 1">
          <a:extLst>
            <a:ext uri="{FF2B5EF4-FFF2-40B4-BE49-F238E27FC236}">
              <a16:creationId xmlns:a16="http://schemas.microsoft.com/office/drawing/2014/main" id="{6AD3AF14-C2B6-4011-B757-63460E61BDCE}"/>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1" name="Imagem 1">
          <a:extLst>
            <a:ext uri="{FF2B5EF4-FFF2-40B4-BE49-F238E27FC236}">
              <a16:creationId xmlns:a16="http://schemas.microsoft.com/office/drawing/2014/main" id="{8085B07F-5C8A-4655-A549-E0A591A698F5}"/>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58" name="Imagem 1">
          <a:extLst>
            <a:ext uri="{FF2B5EF4-FFF2-40B4-BE49-F238E27FC236}">
              <a16:creationId xmlns:a16="http://schemas.microsoft.com/office/drawing/2014/main" id="{88803708-5C73-4226-BE4D-6C9048DA2F51}"/>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66675</xdr:colOff>
      <xdr:row>1</xdr:row>
      <xdr:rowOff>9525</xdr:rowOff>
    </xdr:from>
    <xdr:ext cx="1111250" cy="485775"/>
    <xdr:sp macro="" textlink="">
      <xdr:nvSpPr>
        <xdr:cNvPr id="62" name="Imagem 1">
          <a:extLst>
            <a:ext uri="{FF2B5EF4-FFF2-40B4-BE49-F238E27FC236}">
              <a16:creationId xmlns:a16="http://schemas.microsoft.com/office/drawing/2014/main" id="{2AB72F12-47BF-48C2-A90D-4A67E730B83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78</xdr:col>
      <xdr:colOff>244929</xdr:colOff>
      <xdr:row>1</xdr:row>
      <xdr:rowOff>112713</xdr:rowOff>
    </xdr:from>
    <xdr:to>
      <xdr:col>79</xdr:col>
      <xdr:colOff>344716</xdr:colOff>
      <xdr:row>1</xdr:row>
      <xdr:rowOff>535215</xdr:rowOff>
    </xdr:to>
    <xdr:pic>
      <xdr:nvPicPr>
        <xdr:cNvPr id="77" name="Image" descr="Image">
          <a:extLst>
            <a:ext uri="{FF2B5EF4-FFF2-40B4-BE49-F238E27FC236}">
              <a16:creationId xmlns:a16="http://schemas.microsoft.com/office/drawing/2014/main" id="{C5726792-0E29-4002-9844-326E574576E8}"/>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0601214" y="167141"/>
          <a:ext cx="1161144" cy="422502"/>
        </a:xfrm>
        <a:prstGeom prst="rect">
          <a:avLst/>
        </a:prstGeom>
        <a:ln w="12700">
          <a:miter lim="400000"/>
        </a:ln>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80" name="Imagem 1">
          <a:extLst>
            <a:ext uri="{FF2B5EF4-FFF2-40B4-BE49-F238E27FC236}">
              <a16:creationId xmlns:a16="http://schemas.microsoft.com/office/drawing/2014/main" id="{BCFD9804-9824-4A63-AA6B-B40DDEFC95CA}"/>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83" name="Imagem 1">
          <a:extLst>
            <a:ext uri="{FF2B5EF4-FFF2-40B4-BE49-F238E27FC236}">
              <a16:creationId xmlns:a16="http://schemas.microsoft.com/office/drawing/2014/main" id="{C5D8E1E6-74FC-48FE-B405-BACA7808EAAE}"/>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46" name="Imagem 1">
          <a:extLst>
            <a:ext uri="{FF2B5EF4-FFF2-40B4-BE49-F238E27FC236}">
              <a16:creationId xmlns:a16="http://schemas.microsoft.com/office/drawing/2014/main" id="{9C875EE2-0AD2-428D-BF3B-5EC122C3ECAC}"/>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55" name="Imagem 1">
          <a:extLst>
            <a:ext uri="{FF2B5EF4-FFF2-40B4-BE49-F238E27FC236}">
              <a16:creationId xmlns:a16="http://schemas.microsoft.com/office/drawing/2014/main" id="{DBBA8E68-4AD9-450A-B5C7-8059C040D7D8}"/>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2" name="Imagem 1">
          <a:extLst>
            <a:ext uri="{FF2B5EF4-FFF2-40B4-BE49-F238E27FC236}">
              <a16:creationId xmlns:a16="http://schemas.microsoft.com/office/drawing/2014/main" id="{F513A9CA-51FD-4860-B551-A94D361A046E}"/>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4" name="Imagem 1">
          <a:extLst>
            <a:ext uri="{FF2B5EF4-FFF2-40B4-BE49-F238E27FC236}">
              <a16:creationId xmlns:a16="http://schemas.microsoft.com/office/drawing/2014/main" id="{CD06AFB9-073B-4560-BA75-DF7EFCEA43E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12" name="Imagem 1">
          <a:extLst>
            <a:ext uri="{FF2B5EF4-FFF2-40B4-BE49-F238E27FC236}">
              <a16:creationId xmlns:a16="http://schemas.microsoft.com/office/drawing/2014/main" id="{602496B4-4CA0-4180-AF86-431DD02863F8}"/>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45" name="Imagem 44">
          <a:extLst>
            <a:ext uri="{FF2B5EF4-FFF2-40B4-BE49-F238E27FC236}">
              <a16:creationId xmlns:a16="http://schemas.microsoft.com/office/drawing/2014/main" id="{0AA2AFEE-5EE4-47F5-B80C-B64A1058A05B}"/>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73" name="Imagem 1">
          <a:extLst>
            <a:ext uri="{FF2B5EF4-FFF2-40B4-BE49-F238E27FC236}">
              <a16:creationId xmlns:a16="http://schemas.microsoft.com/office/drawing/2014/main" id="{45E30617-D876-4C4A-B5C6-2A82F181F913}"/>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74" name="Imagem 1">
          <a:extLst>
            <a:ext uri="{FF2B5EF4-FFF2-40B4-BE49-F238E27FC236}">
              <a16:creationId xmlns:a16="http://schemas.microsoft.com/office/drawing/2014/main" id="{800AB14B-4B6F-4271-9AFB-1B84732B5904}"/>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76" name="Imagem 75">
          <a:extLst>
            <a:ext uri="{FF2B5EF4-FFF2-40B4-BE49-F238E27FC236}">
              <a16:creationId xmlns:a16="http://schemas.microsoft.com/office/drawing/2014/main" id="{13615E2D-E84E-41CC-9B02-E34699E96B7E}"/>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84" name="Imagem 1">
          <a:extLst>
            <a:ext uri="{FF2B5EF4-FFF2-40B4-BE49-F238E27FC236}">
              <a16:creationId xmlns:a16="http://schemas.microsoft.com/office/drawing/2014/main" id="{1783BAF2-B599-423A-8966-98AF20ED522E}"/>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85" name="Imagem 1">
          <a:extLst>
            <a:ext uri="{FF2B5EF4-FFF2-40B4-BE49-F238E27FC236}">
              <a16:creationId xmlns:a16="http://schemas.microsoft.com/office/drawing/2014/main" id="{929537B8-467F-4346-8C1E-32271FD112AB}"/>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3" name="Imagem 2">
          <a:extLst>
            <a:ext uri="{FF2B5EF4-FFF2-40B4-BE49-F238E27FC236}">
              <a16:creationId xmlns:a16="http://schemas.microsoft.com/office/drawing/2014/main" id="{8BAC01EE-C540-4A42-A316-A95DFD48B3BB}"/>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78</xdr:col>
      <xdr:colOff>84714</xdr:colOff>
      <xdr:row>1</xdr:row>
      <xdr:rowOff>54416</xdr:rowOff>
    </xdr:from>
    <xdr:to>
      <xdr:col>79</xdr:col>
      <xdr:colOff>416477</xdr:colOff>
      <xdr:row>1</xdr:row>
      <xdr:rowOff>568477</xdr:rowOff>
    </xdr:to>
    <xdr:pic>
      <xdr:nvPicPr>
        <xdr:cNvPr id="54" name="Image" descr="Image">
          <a:extLst>
            <a:ext uri="{FF2B5EF4-FFF2-40B4-BE49-F238E27FC236}">
              <a16:creationId xmlns:a16="http://schemas.microsoft.com/office/drawing/2014/main" id="{356B6AC9-9F5A-4117-AE5F-AEA30DDEB57E}"/>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1066928" y="103402"/>
          <a:ext cx="1393120" cy="514061"/>
        </a:xfrm>
        <a:prstGeom prst="rect">
          <a:avLst/>
        </a:prstGeom>
        <a:ln w="12700">
          <a:miter lim="400000"/>
        </a:ln>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79" name="Imagem 1">
          <a:extLst>
            <a:ext uri="{FF2B5EF4-FFF2-40B4-BE49-F238E27FC236}">
              <a16:creationId xmlns:a16="http://schemas.microsoft.com/office/drawing/2014/main" id="{F222D1E4-756E-43EB-9377-8FD143A630D6}"/>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86" name="Imagem 1">
          <a:extLst>
            <a:ext uri="{FF2B5EF4-FFF2-40B4-BE49-F238E27FC236}">
              <a16:creationId xmlns:a16="http://schemas.microsoft.com/office/drawing/2014/main" id="{5E7DD5C8-7519-4EB5-840E-D38CC2BFD57C}"/>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87" name="Imagem 86">
          <a:extLst>
            <a:ext uri="{FF2B5EF4-FFF2-40B4-BE49-F238E27FC236}">
              <a16:creationId xmlns:a16="http://schemas.microsoft.com/office/drawing/2014/main" id="{FB234B95-07D2-49B7-80D6-25E94F2D2AD4}"/>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78</xdr:col>
      <xdr:colOff>84714</xdr:colOff>
      <xdr:row>1</xdr:row>
      <xdr:rowOff>54416</xdr:rowOff>
    </xdr:from>
    <xdr:to>
      <xdr:col>79</xdr:col>
      <xdr:colOff>416474</xdr:colOff>
      <xdr:row>1</xdr:row>
      <xdr:rowOff>568477</xdr:rowOff>
    </xdr:to>
    <xdr:pic>
      <xdr:nvPicPr>
        <xdr:cNvPr id="88" name="Image" descr="Image">
          <a:extLst>
            <a:ext uri="{FF2B5EF4-FFF2-40B4-BE49-F238E27FC236}">
              <a16:creationId xmlns:a16="http://schemas.microsoft.com/office/drawing/2014/main" id="{18B0077F-B627-4302-9AF2-3922BAD0753F}"/>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1143128" y="103402"/>
          <a:ext cx="1393117" cy="514061"/>
        </a:xfrm>
        <a:prstGeom prst="rect">
          <a:avLst/>
        </a:prstGeom>
        <a:ln w="12700">
          <a:miter lim="400000"/>
        </a:ln>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89" name="Imagem 1">
          <a:extLst>
            <a:ext uri="{FF2B5EF4-FFF2-40B4-BE49-F238E27FC236}">
              <a16:creationId xmlns:a16="http://schemas.microsoft.com/office/drawing/2014/main" id="{C9D51BC9-62EC-46E6-8414-0B1D79532329}"/>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90" name="Imagem 1">
          <a:extLst>
            <a:ext uri="{FF2B5EF4-FFF2-40B4-BE49-F238E27FC236}">
              <a16:creationId xmlns:a16="http://schemas.microsoft.com/office/drawing/2014/main" id="{DDA7CE59-2ED4-4F05-BD91-032716ED17F3}"/>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91" name="Imagem 90">
          <a:extLst>
            <a:ext uri="{FF2B5EF4-FFF2-40B4-BE49-F238E27FC236}">
              <a16:creationId xmlns:a16="http://schemas.microsoft.com/office/drawing/2014/main" id="{C75D8BC6-9262-439F-A4FA-7060B7853851}"/>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78</xdr:col>
      <xdr:colOff>84714</xdr:colOff>
      <xdr:row>1</xdr:row>
      <xdr:rowOff>54416</xdr:rowOff>
    </xdr:from>
    <xdr:to>
      <xdr:col>79</xdr:col>
      <xdr:colOff>416474</xdr:colOff>
      <xdr:row>1</xdr:row>
      <xdr:rowOff>568477</xdr:rowOff>
    </xdr:to>
    <xdr:pic>
      <xdr:nvPicPr>
        <xdr:cNvPr id="92" name="Image" descr="Image">
          <a:extLst>
            <a:ext uri="{FF2B5EF4-FFF2-40B4-BE49-F238E27FC236}">
              <a16:creationId xmlns:a16="http://schemas.microsoft.com/office/drawing/2014/main" id="{A65CCD05-9E0E-4108-BEB8-E0BCB071933E}"/>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1143128" y="103402"/>
          <a:ext cx="1393117" cy="514061"/>
        </a:xfrm>
        <a:prstGeom prst="rect">
          <a:avLst/>
        </a:prstGeom>
        <a:ln w="12700">
          <a:miter lim="400000"/>
        </a:ln>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93" name="Imagem 1">
          <a:extLst>
            <a:ext uri="{FF2B5EF4-FFF2-40B4-BE49-F238E27FC236}">
              <a16:creationId xmlns:a16="http://schemas.microsoft.com/office/drawing/2014/main" id="{24D17B06-4DDE-4824-9BC8-FC12FA783AC8}"/>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94" name="Imagem 1">
          <a:extLst>
            <a:ext uri="{FF2B5EF4-FFF2-40B4-BE49-F238E27FC236}">
              <a16:creationId xmlns:a16="http://schemas.microsoft.com/office/drawing/2014/main" id="{1B81BA5C-88BD-4088-90B6-6B40D1956347}"/>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191193</xdr:colOff>
      <xdr:row>1</xdr:row>
      <xdr:rowOff>11206</xdr:rowOff>
    </xdr:from>
    <xdr:to>
      <xdr:col>1</xdr:col>
      <xdr:colOff>1310009</xdr:colOff>
      <xdr:row>1</xdr:row>
      <xdr:rowOff>493259</xdr:rowOff>
    </xdr:to>
    <xdr:pic>
      <xdr:nvPicPr>
        <xdr:cNvPr id="95" name="Imagem 94">
          <a:extLst>
            <a:ext uri="{FF2B5EF4-FFF2-40B4-BE49-F238E27FC236}">
              <a16:creationId xmlns:a16="http://schemas.microsoft.com/office/drawing/2014/main" id="{ACBF9A68-BBD4-4726-9F9D-3108DA01B7D8}"/>
            </a:ext>
          </a:extLst>
        </xdr:cNvPr>
        <xdr:cNvPicPr>
          <a:picLocks noChangeAspect="1"/>
        </xdr:cNvPicPr>
      </xdr:nvPicPr>
      <xdr:blipFill>
        <a:blip xmlns:r="http://schemas.openxmlformats.org/officeDocument/2006/relationships" r:embed="rId1"/>
        <a:stretch>
          <a:fillRect/>
        </a:stretch>
      </xdr:blipFill>
      <xdr:spPr>
        <a:xfrm>
          <a:off x="485107" y="60192"/>
          <a:ext cx="1118816" cy="482053"/>
        </a:xfrm>
        <a:prstGeom prst="rect">
          <a:avLst/>
        </a:prstGeom>
      </xdr:spPr>
    </xdr:pic>
    <xdr:clientData/>
  </xdr:twoCellAnchor>
  <xdr:twoCellAnchor editAs="oneCell">
    <xdr:from>
      <xdr:col>78</xdr:col>
      <xdr:colOff>84714</xdr:colOff>
      <xdr:row>1</xdr:row>
      <xdr:rowOff>54416</xdr:rowOff>
    </xdr:from>
    <xdr:to>
      <xdr:col>79</xdr:col>
      <xdr:colOff>416474</xdr:colOff>
      <xdr:row>1</xdr:row>
      <xdr:rowOff>568477</xdr:rowOff>
    </xdr:to>
    <xdr:pic>
      <xdr:nvPicPr>
        <xdr:cNvPr id="96" name="Image" descr="Image">
          <a:extLst>
            <a:ext uri="{FF2B5EF4-FFF2-40B4-BE49-F238E27FC236}">
              <a16:creationId xmlns:a16="http://schemas.microsoft.com/office/drawing/2014/main" id="{AFF405D4-378B-450B-9CE1-9A50FDD4A0E2}"/>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1143128" y="103402"/>
          <a:ext cx="1393117" cy="514061"/>
        </a:xfrm>
        <a:prstGeom prst="rect">
          <a:avLst/>
        </a:prstGeom>
        <a:ln w="12700">
          <a:miter lim="400000"/>
        </a:ln>
      </xdr:spPr>
    </xdr:pic>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97" name="Imagem 1">
          <a:extLst>
            <a:ext uri="{FF2B5EF4-FFF2-40B4-BE49-F238E27FC236}">
              <a16:creationId xmlns:a16="http://schemas.microsoft.com/office/drawing/2014/main" id="{F4B35F71-0296-49D1-8920-8E43A4660FAA}"/>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66675</xdr:colOff>
      <xdr:row>1</xdr:row>
      <xdr:rowOff>9525</xdr:rowOff>
    </xdr:from>
    <xdr:to>
      <xdr:col>1</xdr:col>
      <xdr:colOff>1177925</xdr:colOff>
      <xdr:row>1</xdr:row>
      <xdr:rowOff>495300</xdr:rowOff>
    </xdr:to>
    <xdr:sp macro="" textlink="">
      <xdr:nvSpPr>
        <xdr:cNvPr id="98" name="Imagem 1">
          <a:extLst>
            <a:ext uri="{FF2B5EF4-FFF2-40B4-BE49-F238E27FC236}">
              <a16:creationId xmlns:a16="http://schemas.microsoft.com/office/drawing/2014/main" id="{88FFC11B-7AF3-474C-B95F-C20DB6402601}"/>
            </a:ext>
          </a:extLst>
        </xdr:cNvPr>
        <xdr:cNvSpPr>
          <a:spLocks noChangeAspect="1" noChangeArrowheads="1"/>
        </xdr:cNvSpPr>
      </xdr:nvSpPr>
      <xdr:spPr bwMode="auto">
        <a:xfrm>
          <a:off x="360589" y="58511"/>
          <a:ext cx="11112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571497</xdr:colOff>
      <xdr:row>1</xdr:row>
      <xdr:rowOff>95985</xdr:rowOff>
    </xdr:from>
    <xdr:to>
      <xdr:col>1</xdr:col>
      <xdr:colOff>2226731</xdr:colOff>
      <xdr:row>1</xdr:row>
      <xdr:rowOff>530678</xdr:rowOff>
    </xdr:to>
    <xdr:pic>
      <xdr:nvPicPr>
        <xdr:cNvPr id="25" name="Imagem 24">
          <a:extLst>
            <a:ext uri="{FF2B5EF4-FFF2-40B4-BE49-F238E27FC236}">
              <a16:creationId xmlns:a16="http://schemas.microsoft.com/office/drawing/2014/main" id="{4D61EDD6-3551-49B3-BABF-50E7F1BDF4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64026" y="150414"/>
          <a:ext cx="1655234" cy="434693"/>
        </a:xfrm>
        <a:prstGeom prst="rect">
          <a:avLst/>
        </a:prstGeom>
      </xdr:spPr>
    </xdr:pic>
    <xdr:clientData/>
  </xdr:twoCellAnchor>
  <xdr:twoCellAnchor editAs="oneCell">
    <xdr:from>
      <xdr:col>1</xdr:col>
      <xdr:colOff>571497</xdr:colOff>
      <xdr:row>1</xdr:row>
      <xdr:rowOff>95985</xdr:rowOff>
    </xdr:from>
    <xdr:to>
      <xdr:col>1</xdr:col>
      <xdr:colOff>2226731</xdr:colOff>
      <xdr:row>1</xdr:row>
      <xdr:rowOff>530678</xdr:rowOff>
    </xdr:to>
    <xdr:pic>
      <xdr:nvPicPr>
        <xdr:cNvPr id="2" name="Imagem 1">
          <a:extLst>
            <a:ext uri="{FF2B5EF4-FFF2-40B4-BE49-F238E27FC236}">
              <a16:creationId xmlns:a16="http://schemas.microsoft.com/office/drawing/2014/main" id="{D8916CC0-4239-4937-BCDF-296317AA99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64026" y="150414"/>
          <a:ext cx="1655234" cy="4346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oão Mateus" id="{8010FEC9-3669-48D8-8AA7-C079A622DB42}" userId="S::joao.mateus@redmineracao.com.br::308f738c-48e1-43ce-9879-90c2c1a5d9cf"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B180" dT="2026-05-05T19:17:26.00" personId="{8010FEC9-3669-48D8-8AA7-C079A622DB42}" id="{4D74B043-6C26-40E2-A73C-F53C740AEE0B}">
    <text>Considerando PF + PG</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AB7D-382B-44B7-A910-07450CC820AE}">
  <sheetPr>
    <tabColor rgb="FF3578BC"/>
    <pageSetUpPr fitToPage="1"/>
  </sheetPr>
  <dimension ref="A2:BW112"/>
  <sheetViews>
    <sheetView showGridLines="0" tabSelected="1" zoomScale="70" zoomScaleNormal="70" workbookViewId="0">
      <pane xSplit="6" ySplit="8" topLeftCell="AA48" activePane="bottomRight" state="frozen"/>
      <selection pane="bottomRight" activeCell="D73" sqref="D73:D74"/>
      <selection pane="bottomLeft" activeCell="A9" sqref="A9"/>
      <selection pane="topRight" activeCell="E1" sqref="E1"/>
    </sheetView>
  </sheetViews>
  <sheetFormatPr defaultRowHeight="15" outlineLevelRow="1" outlineLevelCol="1"/>
  <cols>
    <col min="1" max="1" width="8.5703125" customWidth="1"/>
    <col min="2" max="3" width="4.85546875" customWidth="1"/>
    <col min="4" max="4" width="65.7109375" style="16" bestFit="1" customWidth="1"/>
    <col min="5" max="5" width="6.5703125" customWidth="1"/>
    <col min="6" max="6" width="1" style="3" customWidth="1"/>
    <col min="7" max="7" width="6.42578125" hidden="1" customWidth="1" outlineLevel="1"/>
    <col min="8" max="8" width="10.7109375" hidden="1" customWidth="1" outlineLevel="1"/>
    <col min="9" max="9" width="7.85546875" hidden="1" customWidth="1" outlineLevel="1"/>
    <col min="10" max="10" width="1.28515625" style="4" hidden="1" customWidth="1" outlineLevel="1"/>
    <col min="11" max="11" width="6.42578125" hidden="1" customWidth="1" outlineLevel="1"/>
    <col min="12" max="12" width="10.7109375" hidden="1" customWidth="1" outlineLevel="1"/>
    <col min="13" max="13" width="7.85546875" hidden="1" customWidth="1" outlineLevel="1"/>
    <col min="14" max="14" width="1" style="3" hidden="1" customWidth="1" outlineLevel="1"/>
    <col min="15" max="15" width="6.42578125" hidden="1" customWidth="1" outlineLevel="1"/>
    <col min="16" max="16" width="10.7109375" hidden="1" customWidth="1" outlineLevel="1"/>
    <col min="17" max="17" width="7.85546875" hidden="1" customWidth="1" outlineLevel="1"/>
    <col min="18" max="18" width="1" style="3" hidden="1" customWidth="1" outlineLevel="1"/>
    <col min="19" max="19" width="6.42578125" hidden="1" customWidth="1" outlineLevel="1"/>
    <col min="20" max="20" width="10.7109375" hidden="1" customWidth="1" outlineLevel="1"/>
    <col min="21" max="21" width="7.85546875" hidden="1" customWidth="1" outlineLevel="1"/>
    <col min="22" max="22" width="1.5703125" style="4" customWidth="1" collapsed="1"/>
    <col min="23" max="23" width="5" customWidth="1" outlineLevel="1"/>
    <col min="24" max="24" width="10.140625" customWidth="1" outlineLevel="1"/>
    <col min="25" max="25" width="14.7109375" customWidth="1" outlineLevel="1"/>
    <col min="26" max="26" width="2.28515625" style="4" customWidth="1" outlineLevel="1"/>
    <col min="27" max="27" width="10.85546875" customWidth="1" outlineLevel="1"/>
    <col min="28" max="31" width="8.85546875" customWidth="1" outlineLevel="1"/>
    <col min="32" max="32" width="9.28515625" customWidth="1" outlineLevel="1"/>
    <col min="33" max="33" width="8.85546875" customWidth="1" outlineLevel="1"/>
    <col min="34" max="34" width="11.140625" customWidth="1" outlineLevel="1"/>
    <col min="35" max="35" width="9.5703125" style="232" customWidth="1" outlineLevel="1"/>
    <col min="36" max="36" width="1.7109375" style="4" customWidth="1" outlineLevel="1"/>
    <col min="37" max="38" width="12.28515625" customWidth="1"/>
    <col min="39" max="39" width="14.7109375" customWidth="1"/>
    <col min="40" max="40" width="12.7109375" style="232" customWidth="1"/>
    <col min="41" max="41" width="1" style="4" hidden="1" customWidth="1" outlineLevel="1"/>
    <col min="42" max="42" width="14" hidden="1" customWidth="1" outlineLevel="1"/>
    <col min="43" max="43" width="14.28515625" hidden="1" customWidth="1" outlineLevel="1"/>
    <col min="44" max="44" width="10.85546875" style="232" hidden="1" customWidth="1" outlineLevel="1"/>
    <col min="45" max="45" width="5" style="4" hidden="1" customWidth="1" outlineLevel="1"/>
    <col min="46" max="46" width="15" hidden="1" customWidth="1" outlineLevel="1"/>
    <col min="47" max="47" width="14" hidden="1" customWidth="1" outlineLevel="1"/>
    <col min="48" max="48" width="2.42578125" style="4" customWidth="1" collapsed="1"/>
    <col min="49" max="50" width="10.7109375" customWidth="1"/>
    <col min="51" max="51" width="13.28515625" customWidth="1"/>
    <col min="52" max="52" width="1.85546875" customWidth="1"/>
    <col min="53" max="53" width="2.85546875" customWidth="1"/>
    <col min="56" max="57" width="6.7109375" customWidth="1"/>
    <col min="58" max="58" width="11.140625" bestFit="1" customWidth="1"/>
    <col min="71" max="71" width="22" hidden="1" customWidth="1"/>
    <col min="72" max="72" width="0.7109375" hidden="1" customWidth="1"/>
    <col min="73" max="75" width="16" hidden="1" customWidth="1"/>
    <col min="76" max="76" width="16" customWidth="1"/>
  </cols>
  <sheetData>
    <row r="2" spans="1:75" ht="45" customHeight="1">
      <c r="C2" s="383" t="s">
        <v>0</v>
      </c>
      <c r="D2" s="38"/>
      <c r="E2" s="38"/>
      <c r="F2" s="38"/>
      <c r="G2" s="241"/>
      <c r="H2" s="241"/>
      <c r="I2" s="38"/>
      <c r="J2" s="241"/>
      <c r="K2" s="241"/>
      <c r="L2" s="241"/>
      <c r="M2" s="38"/>
      <c r="N2" s="38"/>
      <c r="O2" s="38"/>
      <c r="P2" s="38"/>
      <c r="Q2" s="38"/>
      <c r="R2" s="38"/>
      <c r="S2" s="38"/>
      <c r="T2" s="38"/>
      <c r="U2" s="38"/>
      <c r="V2" s="38"/>
      <c r="W2" s="38"/>
      <c r="X2" s="38"/>
      <c r="Y2" s="38"/>
      <c r="Z2" s="38"/>
      <c r="AA2" s="38"/>
      <c r="AB2" s="38"/>
      <c r="AC2" s="38"/>
      <c r="AD2" s="38"/>
      <c r="AE2" s="38"/>
      <c r="AF2" s="38"/>
      <c r="AG2" s="38"/>
      <c r="AH2" s="38"/>
      <c r="AI2" s="229"/>
      <c r="AJ2" s="39"/>
      <c r="AK2" s="241"/>
      <c r="AL2" s="241"/>
      <c r="AM2" s="241"/>
      <c r="AN2" s="229"/>
      <c r="AO2" s="39"/>
      <c r="AP2" s="39"/>
      <c r="AQ2" s="39"/>
      <c r="AR2" s="233"/>
      <c r="AS2" s="39"/>
      <c r="AT2" s="39"/>
      <c r="AU2" s="39"/>
      <c r="AV2" s="39"/>
      <c r="AW2" s="241"/>
      <c r="AX2" s="241"/>
      <c r="AY2" s="241"/>
      <c r="AZ2" s="3"/>
      <c r="BS2" s="247" t="s">
        <v>1</v>
      </c>
      <c r="BU2" s="244" t="s">
        <v>2</v>
      </c>
      <c r="BV2" s="245" t="s">
        <v>3</v>
      </c>
      <c r="BW2" s="246" t="s">
        <v>4</v>
      </c>
    </row>
    <row r="3" spans="1:75" ht="6" customHeight="1">
      <c r="C3" s="40"/>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230"/>
      <c r="AJ3" s="1"/>
      <c r="AK3" s="1"/>
      <c r="AL3" s="1"/>
      <c r="AM3" s="1"/>
      <c r="AN3" s="230"/>
      <c r="AO3" s="3"/>
      <c r="AP3" s="1"/>
      <c r="AQ3" s="1"/>
      <c r="AR3" s="230"/>
      <c r="AS3" s="1"/>
      <c r="AT3" s="1"/>
      <c r="AU3" s="1"/>
      <c r="AV3" s="3"/>
      <c r="AW3" s="1"/>
      <c r="AX3" s="1"/>
      <c r="AY3" s="1"/>
      <c r="AZ3" s="3"/>
    </row>
    <row r="4" spans="1:75" ht="38.25" customHeight="1">
      <c r="C4" s="3"/>
      <c r="D4" s="802">
        <f>Y7</f>
        <v>46217</v>
      </c>
      <c r="E4" s="803"/>
      <c r="F4" s="1"/>
      <c r="G4" s="51" t="s">
        <v>5</v>
      </c>
      <c r="H4" s="28"/>
      <c r="I4" s="28"/>
      <c r="J4" s="10"/>
      <c r="K4" s="51" t="s">
        <v>6</v>
      </c>
      <c r="L4" s="28"/>
      <c r="M4" s="28"/>
      <c r="N4" s="10"/>
      <c r="O4" s="51" t="s">
        <v>7</v>
      </c>
      <c r="P4" s="28"/>
      <c r="Q4" s="28"/>
      <c r="R4" s="10"/>
      <c r="S4" s="51" t="s">
        <v>8</v>
      </c>
      <c r="T4" s="28"/>
      <c r="U4" s="28"/>
      <c r="V4" s="10"/>
      <c r="W4" s="243" t="s">
        <v>9</v>
      </c>
      <c r="X4" s="28"/>
      <c r="Y4" s="28"/>
      <c r="Z4" s="10"/>
      <c r="AA4" s="51" t="s">
        <v>10</v>
      </c>
      <c r="AB4" s="28"/>
      <c r="AC4" s="28"/>
      <c r="AD4" s="28"/>
      <c r="AE4" s="28"/>
      <c r="AF4" s="28"/>
      <c r="AG4" s="28"/>
      <c r="AH4" s="28"/>
      <c r="AI4" s="63"/>
      <c r="AJ4" s="10"/>
      <c r="AK4" s="29" t="s">
        <v>11</v>
      </c>
      <c r="AL4" s="29"/>
      <c r="AM4" s="30"/>
      <c r="AN4" s="30"/>
      <c r="AO4" s="3"/>
      <c r="AP4" s="31" t="s">
        <v>12</v>
      </c>
      <c r="AQ4" s="32"/>
      <c r="AR4" s="32"/>
      <c r="AS4" s="1"/>
      <c r="AT4" s="33" t="s">
        <v>13</v>
      </c>
      <c r="AU4" s="34"/>
      <c r="AV4" s="3"/>
      <c r="AW4" s="809" t="s">
        <v>14</v>
      </c>
      <c r="AX4" s="809"/>
      <c r="AY4" s="809"/>
      <c r="AZ4" s="3"/>
      <c r="BS4" s="248" t="s">
        <v>15</v>
      </c>
      <c r="BT4" s="7"/>
      <c r="BU4" s="224">
        <f>SUM(AM13:AM18)+SUM(AM33:AM38)</f>
        <v>628891.72000000009</v>
      </c>
      <c r="BV4" s="224" t="e">
        <f>SUM(Gráficos!#REF!+Quadros!#REF!)</f>
        <v>#REF!</v>
      </c>
      <c r="BW4" s="224" t="e">
        <f>Gráficos!#REF!+Gráficos!H7</f>
        <v>#REF!</v>
      </c>
    </row>
    <row r="5" spans="1:75" ht="15.75">
      <c r="C5" s="3"/>
      <c r="D5" s="11"/>
      <c r="E5" s="1"/>
      <c r="F5" s="1"/>
      <c r="G5" s="13">
        <v>46054</v>
      </c>
      <c r="H5" s="14"/>
      <c r="I5" s="14"/>
      <c r="J5" s="1"/>
      <c r="K5" s="13">
        <v>46054</v>
      </c>
      <c r="L5" s="14"/>
      <c r="M5" s="14"/>
      <c r="N5" s="1"/>
      <c r="O5" s="13">
        <v>46054</v>
      </c>
      <c r="P5" s="14"/>
      <c r="Q5" s="14"/>
      <c r="R5" s="1"/>
      <c r="S5" s="13">
        <v>46054</v>
      </c>
      <c r="T5" s="14"/>
      <c r="U5" s="14"/>
      <c r="V5" s="1"/>
      <c r="W5" s="13">
        <v>46054</v>
      </c>
      <c r="X5" s="14"/>
      <c r="Y5" s="14"/>
      <c r="Z5" s="1"/>
      <c r="AA5" s="13">
        <v>46054</v>
      </c>
      <c r="AB5" s="14"/>
      <c r="AC5" s="14"/>
      <c r="AD5" s="14"/>
      <c r="AE5" s="14"/>
      <c r="AF5" s="14"/>
      <c r="AG5" s="14"/>
      <c r="AH5" s="14"/>
      <c r="AI5" s="231"/>
      <c r="AJ5" s="1"/>
      <c r="AK5" s="13">
        <v>46054</v>
      </c>
      <c r="AL5" s="13"/>
      <c r="AM5" s="14"/>
      <c r="AN5" s="231"/>
      <c r="AO5" s="3"/>
      <c r="AP5" s="1"/>
      <c r="AQ5" s="1"/>
      <c r="AR5" s="230"/>
      <c r="AS5" s="1"/>
      <c r="AT5" s="1"/>
      <c r="AU5" s="1"/>
      <c r="AV5" s="3"/>
      <c r="AW5" s="13">
        <v>46054</v>
      </c>
      <c r="AX5" s="13">
        <v>46054</v>
      </c>
      <c r="AY5" s="13">
        <v>46054</v>
      </c>
      <c r="AZ5" s="3"/>
      <c r="BS5" s="3"/>
      <c r="BT5" s="3"/>
      <c r="BU5" s="221"/>
      <c r="BV5" s="221"/>
      <c r="BW5" s="221"/>
    </row>
    <row r="6" spans="1:75" s="17" customFormat="1" ht="18" customHeight="1">
      <c r="C6" s="3"/>
      <c r="D6" s="804" t="s">
        <v>16</v>
      </c>
      <c r="E6" s="805" t="s">
        <v>17</v>
      </c>
      <c r="F6" s="10"/>
      <c r="G6" s="800" t="s">
        <v>18</v>
      </c>
      <c r="H6" s="800" t="s">
        <v>19</v>
      </c>
      <c r="I6" s="800" t="s">
        <v>20</v>
      </c>
      <c r="J6" s="10"/>
      <c r="K6" s="800" t="s">
        <v>18</v>
      </c>
      <c r="L6" s="800" t="s">
        <v>19</v>
      </c>
      <c r="M6" s="800" t="s">
        <v>20</v>
      </c>
      <c r="N6" s="10"/>
      <c r="O6" s="800" t="s">
        <v>18</v>
      </c>
      <c r="P6" s="800" t="s">
        <v>19</v>
      </c>
      <c r="Q6" s="800" t="s">
        <v>20</v>
      </c>
      <c r="R6" s="10"/>
      <c r="S6" s="800" t="s">
        <v>18</v>
      </c>
      <c r="T6" s="800" t="s">
        <v>19</v>
      </c>
      <c r="U6" s="800" t="s">
        <v>20</v>
      </c>
      <c r="V6" s="10"/>
      <c r="W6" s="797" t="s">
        <v>21</v>
      </c>
      <c r="X6" s="797"/>
      <c r="Y6" s="23" t="str">
        <f>TEXT(Y7,"dDD")</f>
        <v>ter</v>
      </c>
      <c r="Z6" s="10"/>
      <c r="AA6" s="25" t="str">
        <f t="shared" ref="AA6:AG6" si="0">TEXT(AA7,"dDD")</f>
        <v>seg</v>
      </c>
      <c r="AB6" s="25" t="str">
        <f t="shared" si="0"/>
        <v>ter</v>
      </c>
      <c r="AC6" s="25" t="str">
        <f t="shared" si="0"/>
        <v>qua</v>
      </c>
      <c r="AD6" s="25" t="str">
        <f t="shared" si="0"/>
        <v>qui</v>
      </c>
      <c r="AE6" s="25" t="str">
        <f t="shared" si="0"/>
        <v>sex</v>
      </c>
      <c r="AF6" s="25" t="str">
        <f t="shared" si="0"/>
        <v>sáb</v>
      </c>
      <c r="AG6" s="25" t="str">
        <f t="shared" si="0"/>
        <v>dom</v>
      </c>
      <c r="AH6" s="798" t="s">
        <v>22</v>
      </c>
      <c r="AI6" s="807" t="s">
        <v>23</v>
      </c>
      <c r="AJ6" s="10"/>
      <c r="AK6" s="787" t="s">
        <v>24</v>
      </c>
      <c r="AL6" s="787" t="s">
        <v>25</v>
      </c>
      <c r="AM6" s="787" t="s">
        <v>26</v>
      </c>
      <c r="AN6" s="789" t="s">
        <v>23</v>
      </c>
      <c r="AO6" s="3"/>
      <c r="AP6" s="791" t="s">
        <v>27</v>
      </c>
      <c r="AQ6" s="791" t="s">
        <v>28</v>
      </c>
      <c r="AR6" s="793" t="s">
        <v>23</v>
      </c>
      <c r="AS6" s="10"/>
      <c r="AT6" s="795" t="s">
        <v>29</v>
      </c>
      <c r="AU6" s="785" t="s">
        <v>30</v>
      </c>
      <c r="AV6" s="15"/>
      <c r="AW6" s="810" t="s">
        <v>31</v>
      </c>
      <c r="AX6" s="810" t="s">
        <v>32</v>
      </c>
      <c r="AY6" s="810" t="s">
        <v>33</v>
      </c>
      <c r="AZ6" s="15"/>
      <c r="BD6" s="7"/>
      <c r="BE6" s="7"/>
      <c r="BS6" s="816" t="s">
        <v>15</v>
      </c>
      <c r="BT6" s="7"/>
      <c r="BU6" s="812">
        <f>SUM(Quadros!J12:J12)+SUM(Quadros!J37:J42)</f>
        <v>628892.10874617368</v>
      </c>
      <c r="BV6" s="257" t="e">
        <f>SUM(Quadros!J25+Gráficos!I3)</f>
        <v>#VALUE!</v>
      </c>
      <c r="BW6" s="812" t="e">
        <f>Gráficos!#REF!+Quadros!#REF!</f>
        <v>#REF!</v>
      </c>
    </row>
    <row r="7" spans="1:75" s="17" customFormat="1" ht="17.25" customHeight="1">
      <c r="B7" s="17" t="s">
        <v>34</v>
      </c>
      <c r="C7" s="3"/>
      <c r="D7" s="804"/>
      <c r="E7" s="806"/>
      <c r="F7" s="10"/>
      <c r="G7" s="800"/>
      <c r="H7" s="800"/>
      <c r="I7" s="801"/>
      <c r="J7" s="10"/>
      <c r="K7" s="800"/>
      <c r="L7" s="800"/>
      <c r="M7" s="801"/>
      <c r="N7" s="10"/>
      <c r="O7" s="800"/>
      <c r="P7" s="800"/>
      <c r="Q7" s="801"/>
      <c r="R7" s="10"/>
      <c r="S7" s="800"/>
      <c r="T7" s="800"/>
      <c r="U7" s="801"/>
      <c r="V7" s="10"/>
      <c r="W7" s="797"/>
      <c r="X7" s="797"/>
      <c r="Y7" s="24">
        <v>46217</v>
      </c>
      <c r="Z7" s="10"/>
      <c r="AA7" s="26">
        <v>46216</v>
      </c>
      <c r="AB7" s="26">
        <f t="shared" ref="AB7:AG7" si="1">AA7+1</f>
        <v>46217</v>
      </c>
      <c r="AC7" s="26">
        <f t="shared" si="1"/>
        <v>46218</v>
      </c>
      <c r="AD7" s="26">
        <f t="shared" si="1"/>
        <v>46219</v>
      </c>
      <c r="AE7" s="26">
        <f t="shared" si="1"/>
        <v>46220</v>
      </c>
      <c r="AF7" s="26">
        <f t="shared" si="1"/>
        <v>46221</v>
      </c>
      <c r="AG7" s="26">
        <f t="shared" si="1"/>
        <v>46222</v>
      </c>
      <c r="AH7" s="799"/>
      <c r="AI7" s="808"/>
      <c r="AJ7" s="10"/>
      <c r="AK7" s="788"/>
      <c r="AL7" s="788"/>
      <c r="AM7" s="788"/>
      <c r="AN7" s="790"/>
      <c r="AO7" s="3"/>
      <c r="AP7" s="792"/>
      <c r="AQ7" s="792"/>
      <c r="AR7" s="794"/>
      <c r="AS7" s="10"/>
      <c r="AT7" s="796"/>
      <c r="AU7" s="786"/>
      <c r="AV7" s="15"/>
      <c r="AW7" s="811"/>
      <c r="AX7" s="811"/>
      <c r="AY7" s="811"/>
      <c r="AZ7" s="15"/>
      <c r="BD7" s="48"/>
      <c r="BE7" s="48"/>
      <c r="BS7" s="817"/>
      <c r="BT7" s="7"/>
      <c r="BU7" s="813"/>
      <c r="BV7" s="687"/>
      <c r="BW7" s="813"/>
    </row>
    <row r="8" spans="1:75" s="3" customFormat="1" ht="15.75">
      <c r="A8" s="17"/>
      <c r="B8" s="17"/>
      <c r="G8" s="18"/>
      <c r="K8" s="18"/>
      <c r="O8" s="18"/>
      <c r="S8" s="18"/>
      <c r="W8" s="18"/>
      <c r="AA8" s="5"/>
      <c r="AB8" s="5"/>
      <c r="AC8" s="5"/>
      <c r="AD8" s="5"/>
      <c r="AE8" s="5"/>
      <c r="AF8" s="5"/>
      <c r="AG8" s="5"/>
      <c r="AH8" s="5"/>
      <c r="AI8" s="228"/>
      <c r="AK8" s="18"/>
      <c r="AL8" s="18"/>
      <c r="AN8" s="228"/>
      <c r="AR8" s="228"/>
      <c r="AW8" s="18"/>
      <c r="AX8" s="18"/>
      <c r="AY8" s="18"/>
      <c r="BS8" s="44"/>
      <c r="BT8" s="44"/>
      <c r="BU8" s="44"/>
      <c r="BV8" s="44"/>
      <c r="BW8" s="44"/>
    </row>
    <row r="9" spans="1:75" s="44" customFormat="1" ht="20.25" hidden="1" customHeight="1">
      <c r="B9" s="133" t="s">
        <v>34</v>
      </c>
      <c r="C9" s="3"/>
      <c r="D9" s="759" t="s">
        <v>35</v>
      </c>
      <c r="E9" s="761" t="s">
        <v>36</v>
      </c>
      <c r="F9" s="40"/>
      <c r="G9" s="41" t="s">
        <v>37</v>
      </c>
      <c r="H9" s="43">
        <v>377729.90643999999</v>
      </c>
      <c r="I9" s="681">
        <f>IFERROR((H10/H9),"-")</f>
        <v>0.87665404394607871</v>
      </c>
      <c r="J9" s="40"/>
      <c r="K9" s="41" t="s">
        <v>37</v>
      </c>
      <c r="L9" s="43">
        <v>477872</v>
      </c>
      <c r="M9" s="681">
        <f>IFERROR((L10/L9),"-")</f>
        <v>0.9076775580071651</v>
      </c>
      <c r="N9" s="40"/>
      <c r="O9" s="41" t="s">
        <v>37</v>
      </c>
      <c r="P9" s="43">
        <v>381250.71326999995</v>
      </c>
      <c r="Q9" s="757">
        <f>IFERROR((P10/P9),"-")</f>
        <v>0.93445367470748197</v>
      </c>
      <c r="R9" s="40"/>
      <c r="S9" s="41" t="s">
        <v>37</v>
      </c>
      <c r="T9" s="43">
        <v>386884.07089999999</v>
      </c>
      <c r="U9" s="757">
        <v>0.88993552822957545</v>
      </c>
      <c r="V9" s="40"/>
      <c r="W9" s="41" t="s">
        <v>37</v>
      </c>
      <c r="X9" s="43">
        <f>X13+X17+X21+X25</f>
        <v>66753.042075866659</v>
      </c>
      <c r="Y9" s="762">
        <f>IFERROR((X10/X9),"-")</f>
        <v>0.90809629216756549</v>
      </c>
      <c r="Z9" s="40"/>
      <c r="AA9" s="71">
        <f t="shared" ref="AA9:AG10" si="2">AA13+AA17+AA21+AA25</f>
        <v>66753.042075866659</v>
      </c>
      <c r="AB9" s="71">
        <f t="shared" si="2"/>
        <v>66753.042075866659</v>
      </c>
      <c r="AC9" s="71">
        <f t="shared" si="2"/>
        <v>66753.042075866659</v>
      </c>
      <c r="AD9" s="71">
        <f t="shared" si="2"/>
        <v>66683.042075866659</v>
      </c>
      <c r="AE9" s="71">
        <f t="shared" si="2"/>
        <v>62913.042075866666</v>
      </c>
      <c r="AF9" s="71">
        <f t="shared" si="2"/>
        <v>62413.042075866666</v>
      </c>
      <c r="AG9" s="591">
        <f t="shared" si="2"/>
        <v>0</v>
      </c>
      <c r="AH9" s="43">
        <f>SUMIF($AA$7:$AG$7,"&lt;="&amp;$D$4,$AA9:$AG9)</f>
        <v>133506.08415173332</v>
      </c>
      <c r="AI9" s="757">
        <f>IFERROR((AH10/AH9),"-")</f>
        <v>0.92258874030049864</v>
      </c>
      <c r="AJ9" s="40"/>
      <c r="AK9" s="755">
        <f>AK13+AK17+AK21+AK25</f>
        <v>1739662.6086772003</v>
      </c>
      <c r="AL9" s="755">
        <f>AL13+AL17+AL21+AL25</f>
        <v>906340.83721062227</v>
      </c>
      <c r="AM9" s="755">
        <f>AM13+AM17+AM21+AM25</f>
        <v>718852.56</v>
      </c>
      <c r="AN9" s="757">
        <f>IFERROR((AM9/AL9),"-")</f>
        <v>0.79313711849546475</v>
      </c>
      <c r="AO9" s="40"/>
      <c r="AP9" s="755">
        <f ca="1">AP13+AP17+AP21+AP25</f>
        <v>4570782.1281500012</v>
      </c>
      <c r="AQ9" s="755">
        <f>AQ13+AQ17+AQ21+AQ25</f>
        <v>6396534.3529760856</v>
      </c>
      <c r="AR9" s="757">
        <f ca="1">IFERROR((AP9/AQ9),"-")</f>
        <v>0.71457165332401829</v>
      </c>
      <c r="AS9" s="40"/>
      <c r="AT9" s="755">
        <f>AT13+AT17+AT21+AT25</f>
        <v>15273579.290999999</v>
      </c>
      <c r="AU9" s="755">
        <f ca="1">AU13+AU17+AU21+AU25</f>
        <v>4621763.3339138078</v>
      </c>
      <c r="AV9" s="40"/>
      <c r="AW9" s="753">
        <f ca="1">AW13+AW17+AW21+AW25</f>
        <v>64431.948469525931</v>
      </c>
      <c r="AX9" s="753">
        <f>AX13+AX17+AX21+AX25</f>
        <v>59904.380000000005</v>
      </c>
      <c r="AY9" s="753">
        <f ca="1">IF((AK9-AM9)/(Quadros!$D$4-Quadros!$D$6)&lt;0,"-",(AK9-AM9)/(Quadros!$D$4-Quadros!$D$6))</f>
        <v>68054.003245146683</v>
      </c>
      <c r="AZ9" s="40"/>
      <c r="BD9" s="48"/>
      <c r="BE9" s="48"/>
      <c r="BF9" s="139"/>
    </row>
    <row r="10" spans="1:75" s="44" customFormat="1" ht="20.25" hidden="1" customHeight="1">
      <c r="B10" s="133" t="s">
        <v>34</v>
      </c>
      <c r="C10" s="3"/>
      <c r="D10" s="760"/>
      <c r="E10" s="761"/>
      <c r="F10" s="40"/>
      <c r="G10" s="45" t="s">
        <v>38</v>
      </c>
      <c r="H10" s="43">
        <v>331138.44999999995</v>
      </c>
      <c r="I10" s="682"/>
      <c r="J10" s="40"/>
      <c r="K10" s="45" t="s">
        <v>38</v>
      </c>
      <c r="L10" s="43">
        <v>433753.69</v>
      </c>
      <c r="M10" s="682"/>
      <c r="N10" s="40"/>
      <c r="O10" s="45" t="s">
        <v>38</v>
      </c>
      <c r="P10" s="43">
        <v>356261.13</v>
      </c>
      <c r="Q10" s="758"/>
      <c r="R10" s="40"/>
      <c r="S10" s="45" t="s">
        <v>38</v>
      </c>
      <c r="T10" s="43">
        <v>344301.88</v>
      </c>
      <c r="U10" s="758"/>
      <c r="V10" s="40"/>
      <c r="W10" s="45" t="s">
        <v>38</v>
      </c>
      <c r="X10" s="43">
        <f>X14+X18+X22+X26</f>
        <v>60618.19</v>
      </c>
      <c r="Y10" s="763"/>
      <c r="Z10" s="40"/>
      <c r="AA10" s="71">
        <f t="shared" si="2"/>
        <v>62553.020000000004</v>
      </c>
      <c r="AB10" s="71">
        <f t="shared" si="2"/>
        <v>60618.19</v>
      </c>
      <c r="AC10" s="71">
        <f t="shared" si="2"/>
        <v>0</v>
      </c>
      <c r="AD10" s="71">
        <f t="shared" si="2"/>
        <v>0</v>
      </c>
      <c r="AE10" s="71">
        <f t="shared" si="2"/>
        <v>0</v>
      </c>
      <c r="AF10" s="71">
        <f t="shared" si="2"/>
        <v>0</v>
      </c>
      <c r="AG10" s="71">
        <f t="shared" si="2"/>
        <v>0</v>
      </c>
      <c r="AH10" s="43">
        <f>SUMIF($AA$7:$AG$7,"&lt;="&amp;$D$4,$AA10:$AG10)</f>
        <v>123171.21</v>
      </c>
      <c r="AI10" s="758"/>
      <c r="AJ10" s="40"/>
      <c r="AK10" s="756"/>
      <c r="AL10" s="756"/>
      <c r="AM10" s="756"/>
      <c r="AN10" s="758"/>
      <c r="AO10" s="40"/>
      <c r="AP10" s="756"/>
      <c r="AQ10" s="756"/>
      <c r="AR10" s="758"/>
      <c r="AS10" s="40"/>
      <c r="AT10" s="756"/>
      <c r="AU10" s="756"/>
      <c r="AV10" s="40"/>
      <c r="AW10" s="754"/>
      <c r="AX10" s="754"/>
      <c r="AY10" s="754"/>
      <c r="AZ10" s="40"/>
    </row>
    <row r="11" spans="1:75" ht="3.6" hidden="1" customHeight="1">
      <c r="B11" s="17" t="s">
        <v>34</v>
      </c>
      <c r="C11" s="3"/>
      <c r="D11" s="3"/>
      <c r="E11" s="3"/>
      <c r="G11" s="35"/>
      <c r="H11" s="37"/>
      <c r="I11" s="228"/>
      <c r="J11" s="3"/>
      <c r="K11" s="35"/>
      <c r="L11" s="37"/>
      <c r="M11" s="228"/>
      <c r="O11" s="35"/>
      <c r="P11" s="37"/>
      <c r="Q11" s="228"/>
      <c r="S11" s="35"/>
      <c r="T11" s="37"/>
      <c r="U11" s="228"/>
      <c r="V11" s="3"/>
      <c r="W11" s="35"/>
      <c r="X11" s="35"/>
      <c r="Y11" s="3"/>
      <c r="Z11" s="3"/>
      <c r="AA11" s="37"/>
      <c r="AB11" s="37"/>
      <c r="AC11" s="37"/>
      <c r="AD11" s="37"/>
      <c r="AE11" s="37"/>
      <c r="AF11" s="37"/>
      <c r="AG11" s="37"/>
      <c r="AH11" s="37"/>
      <c r="AI11" s="228"/>
      <c r="AJ11" s="3"/>
      <c r="AK11" s="249"/>
      <c r="AL11" s="249"/>
      <c r="AM11" s="249"/>
      <c r="AN11" s="228"/>
      <c r="AO11" s="3"/>
      <c r="AP11" s="249"/>
      <c r="AQ11" s="249"/>
      <c r="AR11" s="228"/>
      <c r="AS11" s="3"/>
      <c r="AT11" s="250"/>
      <c r="AU11" s="250"/>
      <c r="AV11" s="3"/>
      <c r="AW11" s="251"/>
      <c r="AX11" s="251"/>
      <c r="AY11" s="251"/>
      <c r="AZ11" s="3"/>
      <c r="BB11" s="44"/>
      <c r="BC11" s="44"/>
      <c r="BS11" s="44"/>
      <c r="BT11" s="44"/>
      <c r="BU11" s="44"/>
      <c r="BV11" s="44"/>
      <c r="BW11" s="44"/>
    </row>
    <row r="12" spans="1:75" ht="5.0999999999999996" hidden="1" customHeight="1">
      <c r="B12" s="17" t="s">
        <v>34</v>
      </c>
      <c r="C12" s="3"/>
      <c r="D12" s="3"/>
      <c r="E12" s="3"/>
      <c r="G12" s="35"/>
      <c r="H12" s="37"/>
      <c r="I12" s="228"/>
      <c r="J12" s="3"/>
      <c r="K12" s="35"/>
      <c r="L12" s="37"/>
      <c r="M12" s="228"/>
      <c r="O12" s="35"/>
      <c r="P12" s="37"/>
      <c r="Q12" s="228"/>
      <c r="S12" s="35"/>
      <c r="T12" s="37"/>
      <c r="U12" s="228"/>
      <c r="V12" s="3"/>
      <c r="W12" s="35"/>
      <c r="X12" s="35"/>
      <c r="Y12" s="3"/>
      <c r="Z12" s="3"/>
      <c r="AA12" s="37"/>
      <c r="AB12" s="37"/>
      <c r="AC12" s="37"/>
      <c r="AD12" s="37"/>
      <c r="AE12" s="37"/>
      <c r="AF12" s="37"/>
      <c r="AG12" s="37"/>
      <c r="AH12" s="37"/>
      <c r="AI12" s="228"/>
      <c r="AJ12" s="3"/>
      <c r="AK12" s="249"/>
      <c r="AL12" s="249"/>
      <c r="AM12" s="249"/>
      <c r="AN12" s="228"/>
      <c r="AO12" s="3"/>
      <c r="AP12" s="249"/>
      <c r="AQ12" s="249"/>
      <c r="AR12" s="228"/>
      <c r="AS12" s="3"/>
      <c r="AT12" s="250"/>
      <c r="AU12" s="250"/>
      <c r="AV12" s="3"/>
      <c r="AW12" s="251"/>
      <c r="AX12" s="251"/>
      <c r="AY12" s="251"/>
      <c r="AZ12" s="3"/>
      <c r="BB12" s="44"/>
      <c r="BC12" s="44"/>
      <c r="BS12" s="44"/>
      <c r="BT12" s="44"/>
      <c r="BU12" s="44"/>
      <c r="BV12" s="44"/>
      <c r="BW12" s="44"/>
    </row>
    <row r="13" spans="1:75" s="21" customFormat="1" ht="18" hidden="1" customHeight="1" outlineLevel="1">
      <c r="A13" s="21" t="s">
        <v>39</v>
      </c>
      <c r="B13" s="134" t="s">
        <v>34</v>
      </c>
      <c r="C13" s="3"/>
      <c r="D13" s="739" t="s">
        <v>40</v>
      </c>
      <c r="E13" s="740" t="s">
        <v>36</v>
      </c>
      <c r="F13" s="2"/>
      <c r="G13" s="53" t="s">
        <v>37</v>
      </c>
      <c r="H13" s="52">
        <v>28760</v>
      </c>
      <c r="I13" s="677">
        <f>IFERROR((H14/H13),"-")</f>
        <v>1.2764255910987483</v>
      </c>
      <c r="J13" s="2"/>
      <c r="K13" s="53" t="s">
        <v>37</v>
      </c>
      <c r="L13" s="52">
        <v>25160</v>
      </c>
      <c r="M13" s="677">
        <f>IFERROR((L14/L13),"-")</f>
        <v>2.3211446740858506</v>
      </c>
      <c r="N13" s="2"/>
      <c r="O13" s="53" t="s">
        <v>37</v>
      </c>
      <c r="P13" s="52">
        <v>14920</v>
      </c>
      <c r="Q13" s="741">
        <f>IFERROR((P14/P13),"-")</f>
        <v>1.9825737265415551</v>
      </c>
      <c r="R13" s="2"/>
      <c r="S13" s="53" t="s">
        <v>37</v>
      </c>
      <c r="T13" s="52">
        <v>32120</v>
      </c>
      <c r="U13" s="741">
        <v>0.87048567870485682</v>
      </c>
      <c r="V13" s="2"/>
      <c r="W13" s="53" t="s">
        <v>37</v>
      </c>
      <c r="X13" s="52">
        <f>SUMIF($AA$7:$AG$7,"="&amp;$D$4,$AA13:$AG13)</f>
        <v>7920</v>
      </c>
      <c r="Y13" s="743">
        <f>IFERROR((X14/X13),"-")</f>
        <v>0.46969696969696972</v>
      </c>
      <c r="Z13" s="2"/>
      <c r="AA13" s="52">
        <f>SUMIFS('Report Pacote 0405'!P:P,'Report Pacote 0405'!$AV:$AV,$D$9,'Report Pacote 0405'!$AW:$AW,$A$13,'Report Pacote 0405'!$H:$H,$W13)+SUMIFS('Report Pacote 0405'!P:P,'Report Pacote 0405'!$AV:$AV,$D$9,'Report Pacote 0405'!$AW:$AW,$A$14,'Report Pacote 0405'!$H:$H,$W13)</f>
        <v>7920</v>
      </c>
      <c r="AB13" s="52">
        <f>SUMIFS('Report Pacote 0405'!Q:Q,'Report Pacote 0405'!$AV:$AV,$D$9,'Report Pacote 0405'!$AW:$AW,$A$13,'Report Pacote 0405'!$H:$H,$W13)+SUMIFS('Report Pacote 0405'!Q:Q,'Report Pacote 0405'!$AV:$AV,$D$9,'Report Pacote 0405'!$AW:$AW,$A$14,'Report Pacote 0405'!$H:$H,$W13)</f>
        <v>7920</v>
      </c>
      <c r="AC13" s="52">
        <f>SUMIFS('Report Pacote 0405'!R:R,'Report Pacote 0405'!$AV:$AV,$D$9,'Report Pacote 0405'!$AW:$AW,$A$13,'Report Pacote 0405'!$H:$H,$W13)+SUMIFS('Report Pacote 0405'!R:R,'Report Pacote 0405'!$AV:$AV,$D$9,'Report Pacote 0405'!$AW:$AW,$A$14,'Report Pacote 0405'!$H:$H,$W13)</f>
        <v>7920</v>
      </c>
      <c r="AD13" s="52">
        <f>SUMIFS('Report Pacote 0405'!S:S,'Report Pacote 0405'!$AV:$AV,$D$9,'Report Pacote 0405'!$AW:$AW,$A$13,'Report Pacote 0405'!$H:$H,$W13)+SUMIFS('Report Pacote 0405'!S:S,'Report Pacote 0405'!$AV:$AV,$D$9,'Report Pacote 0405'!$AW:$AW,$A$14,'Report Pacote 0405'!$H:$H,$W13)</f>
        <v>7850</v>
      </c>
      <c r="AE13" s="52">
        <f>SUMIFS('Report Pacote 0405'!T:T,'Report Pacote 0405'!$AV:$AV,$D$9,'Report Pacote 0405'!$AW:$AW,$A$13,'Report Pacote 0405'!$H:$H,$W13)+SUMIFS('Report Pacote 0405'!T:T,'Report Pacote 0405'!$AV:$AV,$D$9,'Report Pacote 0405'!$AW:$AW,$A$14,'Report Pacote 0405'!$H:$H,$W13)</f>
        <v>6880</v>
      </c>
      <c r="AF13" s="52">
        <f>SUMIFS('Report Pacote 0405'!U:U,'Report Pacote 0405'!$AV:$AV,$D$9,'Report Pacote 0405'!$AW:$AW,$A$13,'Report Pacote 0405'!$H:$H,$W13)+SUMIFS('Report Pacote 0405'!U:U,'Report Pacote 0405'!$AV:$AV,$D$9,'Report Pacote 0405'!$AW:$AW,$A$14,'Report Pacote 0405'!$H:$H,$W13)</f>
        <v>6880</v>
      </c>
      <c r="AG13" s="52">
        <f>SUMIFS('Report Pacote 0405'!V:V,'Report Pacote 0405'!$AV:$AV,$D$9,'Report Pacote 0405'!$AW:$AW,$A$13,'Report Pacote 0405'!$H:$H,$W13)+SUMIFS('Report Pacote 0405'!V:V,'Report Pacote 0405'!$AV:$AV,$D$9,'Report Pacote 0405'!$AW:$AW,$A$14,'Report Pacote 0405'!$H:$H,$W13)</f>
        <v>0</v>
      </c>
      <c r="AH13" s="52">
        <f>SUMIF($AA$7:$AG$7,"&lt;="&amp;$D$4,$AA13:$AG13)</f>
        <v>15840</v>
      </c>
      <c r="AI13" s="741">
        <f>IFERROR((AH14/AH13),"-")</f>
        <v>0.44002525252525254</v>
      </c>
      <c r="AJ13" s="2"/>
      <c r="AK13" s="737">
        <f>SUMIFS('Report Pacote 0405'!AA:AA,'Report Pacote 0405'!$AV:$AV,$D$9,'Report Pacote 0405'!$AW:$AW,$A$13,'Report Pacote 0405'!$H:$H,$W13)+SUMIFS('Report Pacote 0405'!AA:AA,'Report Pacote 0405'!$AV:$AV,$D$9,'Report Pacote 0405'!$AW:$AW,$A$14,'Report Pacote 0405'!$H:$H,$W13)</f>
        <v>254338.81</v>
      </c>
      <c r="AL13" s="737">
        <f>SUMIFS('Report Pacote 0405'!AB:AB,'Report Pacote 0405'!$AV:$AV,$D$9,'Report Pacote 0405'!$AW:$AW,$A$13,'Report Pacote 0405'!$H:$H,$W13)+SUMIFS('Report Pacote 0405'!AB:AB,'Report Pacote 0405'!$AV:$AV,$D$9,'Report Pacote 0405'!$AW:$AW,$A$14,'Report Pacote 0405'!$H:$H,$W13)</f>
        <v>197189.92000000004</v>
      </c>
      <c r="AM13" s="737">
        <f>SUMIFS('Report Pacote 0405'!AC:AC,'Report Pacote 0405'!$AV:$AV,$D$9,'Report Pacote 0405'!$AW:$AW,$A$13,'Report Pacote 0405'!$H:$H,$W13)+SUMIFS('Report Pacote 0405'!AC:AC,'Report Pacote 0405'!$AV:$AV,$D$9,'Report Pacote 0405'!$AW:$AW,$A$14,'Report Pacote 0405'!$H:$H,$W13)</f>
        <v>55110</v>
      </c>
      <c r="AN13" s="745">
        <f>IFERROR((AM13/AL13),"-")</f>
        <v>0.27947676027253315</v>
      </c>
      <c r="AO13" s="700"/>
      <c r="AP13" s="737">
        <f>SUMIFS('Report Pacote 0405'!AK:AK,'Report Pacote 0405'!$AV:$AV,$D$9,'Report Pacote 0405'!$AW:$AW,$A$13,'Report Pacote 0405'!$H:$H,$W13)+SUMIFS('Report Pacote 0405'!AK:AK,'Report Pacote 0405'!$AV:$AV,$D$9,'Report Pacote 0405'!$AW:$AW,$A$14,'Report Pacote 0405'!$H:$H,$W13)</f>
        <v>3043207.1580000003</v>
      </c>
      <c r="AQ13" s="737">
        <f>SUMIFS('Report Pacote 0405'!AL:AL,'Report Pacote 0405'!$AV:$AV,$D$9,'Report Pacote 0405'!$AW:$AW,$A$13,'Report Pacote 0405'!$H:$H,$W13)+SUMIFS('Report Pacote 0405'!AL:AL,'Report Pacote 0405'!$AV:$AV,$D$9,'Report Pacote 0405'!$AW:$AW,$A$14,'Report Pacote 0405'!$H:$H,$W13)</f>
        <v>3163942.6999999993</v>
      </c>
      <c r="AR13" s="745">
        <f>IFERROR((AP13/AQ13),"-")</f>
        <v>0.96184016164388852</v>
      </c>
      <c r="AS13" s="700"/>
      <c r="AT13" s="737">
        <f>SUMIFS('Report Pacote 0405'!AO:AO,'Report Pacote 0405'!$AV:$AV,$D$9,'Report Pacote 0405'!$AW:$AW,$A$13,'Report Pacote 0405'!$H:$H,$W13)+SUMIFS('Report Pacote 0405'!AO:AO,'Report Pacote 0405'!$AV:$AV,$D$9,'Report Pacote 0405'!$AW:$AW,$A$14,'Report Pacote 0405'!$H:$H,$W13)</f>
        <v>3405031.3199999994</v>
      </c>
      <c r="AU13" s="737">
        <f>SUMIFS('Report Pacote 0405'!AP:AP,'Report Pacote 0405'!$AV:$AV,$D$9,'Report Pacote 0405'!$AW:$AW,$A$13,'Report Pacote 0405'!$H:$H,$W13)+SUMIFS('Report Pacote 0405'!AP:AP,'Report Pacote 0405'!$AV:$AV,$D$9,'Report Pacote 0405'!$AW:$AW,$A$14,'Report Pacote 0405'!$H:$H,$W13)</f>
        <v>361824.16199999995</v>
      </c>
      <c r="AV13" s="700"/>
      <c r="AW13" s="737">
        <f ca="1">AK13/Quadros!$D$4</f>
        <v>9419.9559259259258</v>
      </c>
      <c r="AX13" s="737">
        <f>AM13/Quadros!$D$6</f>
        <v>4592.5</v>
      </c>
      <c r="AY13" s="737">
        <f ca="1">IF((AK13-AM13)/(Quadros!$D$4-Quadros!$D$6)&lt;0,"-",(AK13-AM13)/(Quadros!$D$4-Quadros!$D$6))</f>
        <v>13281.920666666667</v>
      </c>
      <c r="AZ13" s="3"/>
      <c r="BA13" s="138"/>
      <c r="BB13" s="44"/>
      <c r="BC13" s="44"/>
    </row>
    <row r="14" spans="1:75" s="16" customFormat="1" ht="18" hidden="1" customHeight="1" outlineLevel="1" thickBot="1">
      <c r="A14" s="21" t="s">
        <v>41</v>
      </c>
      <c r="B14" s="133" t="s">
        <v>34</v>
      </c>
      <c r="C14" s="3"/>
      <c r="D14" s="739"/>
      <c r="E14" s="740"/>
      <c r="F14" s="2"/>
      <c r="G14" s="54" t="s">
        <v>38</v>
      </c>
      <c r="H14" s="52">
        <v>36710</v>
      </c>
      <c r="I14" s="678"/>
      <c r="J14" s="2"/>
      <c r="K14" s="54" t="s">
        <v>38</v>
      </c>
      <c r="L14" s="52">
        <v>58400</v>
      </c>
      <c r="M14" s="678"/>
      <c r="N14" s="2"/>
      <c r="O14" s="54" t="s">
        <v>38</v>
      </c>
      <c r="P14" s="52">
        <v>29580</v>
      </c>
      <c r="Q14" s="742"/>
      <c r="R14" s="2"/>
      <c r="S14" s="54" t="s">
        <v>38</v>
      </c>
      <c r="T14" s="52">
        <v>27960</v>
      </c>
      <c r="U14" s="742"/>
      <c r="V14" s="2"/>
      <c r="W14" s="54" t="s">
        <v>38</v>
      </c>
      <c r="X14" s="52">
        <f>SUMIF($AA$7:$AG$7,"="&amp;$D$4,$AA14:$AG14)</f>
        <v>3720</v>
      </c>
      <c r="Y14" s="744"/>
      <c r="Z14" s="2"/>
      <c r="AA14" s="52">
        <f>SUMIFS('Report Pacote 0405'!P:P,'Report Pacote 0405'!$AV:$AV,$D$9,'Report Pacote 0405'!$AW:$AW,$A$13,'Report Pacote 0405'!$H:$H,$W14)+SUMIFS('Report Pacote 0405'!P:P,'Report Pacote 0405'!$AV:$AV,$D$9,'Report Pacote 0405'!$AW:$AW,$A$14,'Report Pacote 0405'!$H:$H,$W14)</f>
        <v>3250</v>
      </c>
      <c r="AB14" s="52">
        <f>SUMIFS('Report Pacote 0405'!Q:Q,'Report Pacote 0405'!$AV:$AV,$D$9,'Report Pacote 0405'!$AW:$AW,$A$13,'Report Pacote 0405'!$H:$H,$W14)+SUMIFS('Report Pacote 0405'!Q:Q,'Report Pacote 0405'!$AV:$AV,$D$9,'Report Pacote 0405'!$AW:$AW,$A$14,'Report Pacote 0405'!$H:$H,$W14)</f>
        <v>3720</v>
      </c>
      <c r="AC14" s="52">
        <f>SUMIFS('Report Pacote 0405'!R:R,'Report Pacote 0405'!$AV:$AV,$D$9,'Report Pacote 0405'!$AW:$AW,$A$13,'Report Pacote 0405'!$H:$H,$W14)+SUMIFS('Report Pacote 0405'!R:R,'Report Pacote 0405'!$AV:$AV,$D$9,'Report Pacote 0405'!$AW:$AW,$A$14,'Report Pacote 0405'!$H:$H,$W14)</f>
        <v>0</v>
      </c>
      <c r="AD14" s="52">
        <f>SUMIFS('Report Pacote 0405'!S:S,'Report Pacote 0405'!$AV:$AV,$D$9,'Report Pacote 0405'!$AW:$AW,$A$13,'Report Pacote 0405'!$H:$H,$W14)+SUMIFS('Report Pacote 0405'!S:S,'Report Pacote 0405'!$AV:$AV,$D$9,'Report Pacote 0405'!$AW:$AW,$A$14,'Report Pacote 0405'!$H:$H,$W14)</f>
        <v>0</v>
      </c>
      <c r="AE14" s="52">
        <f>SUMIFS('Report Pacote 0405'!T:T,'Report Pacote 0405'!$AV:$AV,$D$9,'Report Pacote 0405'!$AW:$AW,$A$13,'Report Pacote 0405'!$H:$H,$W14)+SUMIFS('Report Pacote 0405'!T:T,'Report Pacote 0405'!$AV:$AV,$D$9,'Report Pacote 0405'!$AW:$AW,$A$14,'Report Pacote 0405'!$H:$H,$W14)</f>
        <v>0</v>
      </c>
      <c r="AF14" s="52">
        <f>SUMIFS('Report Pacote 0405'!U:U,'Report Pacote 0405'!$AV:$AV,$D$9,'Report Pacote 0405'!$AW:$AW,$A$13,'Report Pacote 0405'!$H:$H,$W14)+SUMIFS('Report Pacote 0405'!U:U,'Report Pacote 0405'!$AV:$AV,$D$9,'Report Pacote 0405'!$AW:$AW,$A$14,'Report Pacote 0405'!$H:$H,$W14)</f>
        <v>0</v>
      </c>
      <c r="AG14" s="52">
        <f>SUMIFS('Report Pacote 0405'!V:V,'Report Pacote 0405'!$AV:$AV,$D$9,'Report Pacote 0405'!$AW:$AW,$A$13,'Report Pacote 0405'!$H:$H,$W14)+SUMIFS('Report Pacote 0405'!V:V,'Report Pacote 0405'!$AV:$AV,$D$9,'Report Pacote 0405'!$AW:$AW,$A$14,'Report Pacote 0405'!$H:$H,$W14)</f>
        <v>0</v>
      </c>
      <c r="AH14" s="52">
        <f>SUMIF($AA$7:$AG$7,"&lt;="&amp;$D$4,$AA14:$AG14)</f>
        <v>6970</v>
      </c>
      <c r="AI14" s="742"/>
      <c r="AJ14" s="2"/>
      <c r="AK14" s="738"/>
      <c r="AL14" s="738"/>
      <c r="AM14" s="738"/>
      <c r="AN14" s="746"/>
      <c r="AO14" s="700"/>
      <c r="AP14" s="738"/>
      <c r="AQ14" s="738"/>
      <c r="AR14" s="784"/>
      <c r="AS14" s="700"/>
      <c r="AT14" s="738"/>
      <c r="AU14" s="738"/>
      <c r="AV14" s="700"/>
      <c r="AW14" s="738"/>
      <c r="AX14" s="738"/>
      <c r="AY14" s="738"/>
      <c r="AZ14" s="3"/>
      <c r="BB14" s="44"/>
      <c r="BC14" s="44"/>
    </row>
    <row r="15" spans="1:75" ht="17.25" hidden="1" outlineLevel="1">
      <c r="A15" s="4"/>
      <c r="B15" s="17" t="s">
        <v>34</v>
      </c>
      <c r="C15" s="3"/>
      <c r="D15" s="3"/>
      <c r="E15" s="3"/>
      <c r="G15" s="3"/>
      <c r="H15" s="37"/>
      <c r="I15" s="228"/>
      <c r="J15" s="3"/>
      <c r="K15" s="3"/>
      <c r="L15" s="37"/>
      <c r="M15" s="228"/>
      <c r="O15" s="3"/>
      <c r="P15" s="37"/>
      <c r="Q15" s="228"/>
      <c r="S15" s="3"/>
      <c r="T15" s="37"/>
      <c r="U15" s="228"/>
      <c r="V15" s="3"/>
      <c r="W15" s="3"/>
      <c r="X15" s="3"/>
      <c r="Y15" s="3"/>
      <c r="Z15" s="3"/>
      <c r="AA15" s="37"/>
      <c r="AB15" s="37"/>
      <c r="AC15" s="37"/>
      <c r="AD15" s="37"/>
      <c r="AE15" s="37"/>
      <c r="AF15" s="37"/>
      <c r="AG15" s="37"/>
      <c r="AH15" s="37"/>
      <c r="AI15" s="228"/>
      <c r="AJ15" s="3"/>
      <c r="AK15" s="251"/>
      <c r="AL15" s="251"/>
      <c r="AM15" s="251"/>
      <c r="AN15" s="701"/>
      <c r="AO15" s="702"/>
      <c r="AP15" s="251"/>
      <c r="AQ15" s="251"/>
      <c r="AR15" s="701"/>
      <c r="AS15" s="702"/>
      <c r="AT15" s="251"/>
      <c r="AU15" s="251"/>
      <c r="AV15" s="702"/>
      <c r="AW15" s="251"/>
      <c r="AX15" s="251"/>
      <c r="AY15" s="251"/>
      <c r="AZ15" s="3"/>
      <c r="BB15" s="44"/>
      <c r="BC15" s="44"/>
      <c r="BD15" s="227"/>
      <c r="BE15" s="227"/>
      <c r="BS15" s="44"/>
      <c r="BT15" s="44"/>
      <c r="BU15" s="44"/>
      <c r="BV15" s="44"/>
      <c r="BW15" s="44"/>
    </row>
    <row r="16" spans="1:75" ht="5.0999999999999996" hidden="1" customHeight="1" outlineLevel="1">
      <c r="A16" s="4"/>
      <c r="B16" s="17" t="s">
        <v>34</v>
      </c>
      <c r="C16" s="3"/>
      <c r="D16" s="3"/>
      <c r="E16" s="3"/>
      <c r="G16" s="3"/>
      <c r="H16" s="37"/>
      <c r="I16" s="228"/>
      <c r="J16" s="3"/>
      <c r="K16" s="3"/>
      <c r="L16" s="37"/>
      <c r="M16" s="228"/>
      <c r="O16" s="3"/>
      <c r="P16" s="37"/>
      <c r="Q16" s="228"/>
      <c r="S16" s="3"/>
      <c r="T16" s="37"/>
      <c r="U16" s="228"/>
      <c r="V16" s="3"/>
      <c r="W16" s="3"/>
      <c r="X16" s="35"/>
      <c r="Y16" s="3"/>
      <c r="Z16" s="3"/>
      <c r="AA16" s="35"/>
      <c r="AB16" s="35"/>
      <c r="AC16" s="35"/>
      <c r="AD16" s="35"/>
      <c r="AE16" s="35"/>
      <c r="AF16" s="35"/>
      <c r="AG16" s="35"/>
      <c r="AH16" s="37"/>
      <c r="AI16" s="228"/>
      <c r="AJ16" s="3"/>
      <c r="AK16" s="251"/>
      <c r="AL16" s="251"/>
      <c r="AM16" s="251"/>
      <c r="AN16" s="701"/>
      <c r="AO16" s="702"/>
      <c r="AP16" s="251"/>
      <c r="AQ16" s="251"/>
      <c r="AR16" s="701"/>
      <c r="AS16" s="702"/>
      <c r="AT16" s="251"/>
      <c r="AU16" s="251"/>
      <c r="AV16" s="702"/>
      <c r="AW16" s="251"/>
      <c r="AX16" s="251"/>
      <c r="AY16" s="251"/>
      <c r="AZ16" s="3"/>
      <c r="BB16" s="44"/>
      <c r="BC16" s="44"/>
      <c r="BD16" s="227"/>
      <c r="BE16" s="227"/>
      <c r="BS16" s="44"/>
      <c r="BT16" s="44"/>
      <c r="BU16" s="44"/>
      <c r="BV16" s="44"/>
      <c r="BW16" s="44"/>
    </row>
    <row r="17" spans="1:55" s="21" customFormat="1" ht="18" hidden="1" customHeight="1" outlineLevel="1">
      <c r="A17" s="21" t="s">
        <v>42</v>
      </c>
      <c r="B17" s="134" t="s">
        <v>34</v>
      </c>
      <c r="C17" s="3"/>
      <c r="D17" s="739" t="s">
        <v>43</v>
      </c>
      <c r="E17" s="740" t="s">
        <v>36</v>
      </c>
      <c r="F17" s="2"/>
      <c r="G17" s="53" t="s">
        <v>37</v>
      </c>
      <c r="H17" s="52">
        <v>146880</v>
      </c>
      <c r="I17" s="677">
        <f>IFERROR((H18/H17),"-")</f>
        <v>0.75909586056644884</v>
      </c>
      <c r="J17" s="2"/>
      <c r="K17" s="53" t="s">
        <v>37</v>
      </c>
      <c r="L17" s="52">
        <v>230520</v>
      </c>
      <c r="M17" s="677">
        <f>IFERROR((L18/L17),"-")</f>
        <v>0.81817629706749961</v>
      </c>
      <c r="N17" s="2"/>
      <c r="O17" s="53" t="s">
        <v>37</v>
      </c>
      <c r="P17" s="52">
        <v>154880</v>
      </c>
      <c r="Q17" s="741">
        <f>IFERROR((P18/P17),"-")</f>
        <v>0.9934788223140496</v>
      </c>
      <c r="R17" s="2"/>
      <c r="S17" s="53" t="s">
        <v>37</v>
      </c>
      <c r="T17" s="52">
        <v>149000</v>
      </c>
      <c r="U17" s="741">
        <v>0.99872483221476505</v>
      </c>
      <c r="V17" s="2"/>
      <c r="W17" s="53" t="s">
        <v>37</v>
      </c>
      <c r="X17" s="52">
        <f>SUMIF($AA$7:$AG$7,"="&amp;$D$4,$AA17:$AG17)</f>
        <v>25960</v>
      </c>
      <c r="Y17" s="743">
        <f>IFERROR((X18/X17),"-")</f>
        <v>1.0805084745762712</v>
      </c>
      <c r="Z17" s="2"/>
      <c r="AA17" s="52">
        <f>SUMIFS('Report Pacote 0405'!P:P,'Report Pacote 0405'!$AV:$AV,$D$9,'Report Pacote 0405'!$AW:$AW,$A$17,'Report Pacote 0405'!$H:$H,$W17)+SUMIFS('Report Pacote 0405'!P:P,'Report Pacote 0405'!$AV:$AV,$D$9,'Report Pacote 0405'!$AW:$AW,$A$18,'Report Pacote 0405'!$H:$H,$W17)+SUMIFS('Report Pacote 0405'!P:P,'Report Pacote 0405'!$AV:$AV,$D$9,'Report Pacote 0405'!$AW:$AW,$A$19,'Report Pacote 0405'!$H:$H,$W17)</f>
        <v>25960</v>
      </c>
      <c r="AB17" s="52">
        <f>SUMIFS('Report Pacote 0405'!Q:Q,'Report Pacote 0405'!$AV:$AV,$D$9,'Report Pacote 0405'!$AW:$AW,$A$17,'Report Pacote 0405'!$H:$H,$W17)+SUMIFS('Report Pacote 0405'!Q:Q,'Report Pacote 0405'!$AV:$AV,$D$9,'Report Pacote 0405'!$AW:$AW,$A$18,'Report Pacote 0405'!$H:$H,$W17)+SUMIFS('Report Pacote 0405'!Q:Q,'Report Pacote 0405'!$AV:$AV,$D$9,'Report Pacote 0405'!$AW:$AW,$A$19,'Report Pacote 0405'!$H:$H,$W17)</f>
        <v>25960</v>
      </c>
      <c r="AC17" s="52">
        <f>SUMIFS('Report Pacote 0405'!R:R,'Report Pacote 0405'!$AV:$AV,$D$9,'Report Pacote 0405'!$AW:$AW,$A$17,'Report Pacote 0405'!$H:$H,$W17)+SUMIFS('Report Pacote 0405'!R:R,'Report Pacote 0405'!$AV:$AV,$D$9,'Report Pacote 0405'!$AW:$AW,$A$18,'Report Pacote 0405'!$H:$H,$W17)+SUMIFS('Report Pacote 0405'!R:R,'Report Pacote 0405'!$AV:$AV,$D$9,'Report Pacote 0405'!$AW:$AW,$A$19,'Report Pacote 0405'!$H:$H,$W17)</f>
        <v>25960</v>
      </c>
      <c r="AD17" s="52">
        <f>SUMIFS('Report Pacote 0405'!S:S,'Report Pacote 0405'!$AV:$AV,$D$9,'Report Pacote 0405'!$AW:$AW,$A$17,'Report Pacote 0405'!$H:$H,$W17)+SUMIFS('Report Pacote 0405'!S:S,'Report Pacote 0405'!$AV:$AV,$D$9,'Report Pacote 0405'!$AW:$AW,$A$18,'Report Pacote 0405'!$H:$H,$W17)+SUMIFS('Report Pacote 0405'!S:S,'Report Pacote 0405'!$AV:$AV,$D$9,'Report Pacote 0405'!$AW:$AW,$A$19,'Report Pacote 0405'!$H:$H,$W17)</f>
        <v>25960</v>
      </c>
      <c r="AE17" s="52">
        <f>SUMIFS('Report Pacote 0405'!T:T,'Report Pacote 0405'!$AV:$AV,$D$9,'Report Pacote 0405'!$AW:$AW,$A$17,'Report Pacote 0405'!$H:$H,$W17)+SUMIFS('Report Pacote 0405'!T:T,'Report Pacote 0405'!$AV:$AV,$D$9,'Report Pacote 0405'!$AW:$AW,$A$18,'Report Pacote 0405'!$H:$H,$W17)+SUMIFS('Report Pacote 0405'!T:T,'Report Pacote 0405'!$AV:$AV,$D$9,'Report Pacote 0405'!$AW:$AW,$A$19,'Report Pacote 0405'!$H:$H,$W17)</f>
        <v>23160</v>
      </c>
      <c r="AF17" s="52">
        <f>SUMIFS('Report Pacote 0405'!U:U,'Report Pacote 0405'!$AV:$AV,$D$9,'Report Pacote 0405'!$AW:$AW,$A$17,'Report Pacote 0405'!$H:$H,$W17)+SUMIFS('Report Pacote 0405'!U:U,'Report Pacote 0405'!$AV:$AV,$D$9,'Report Pacote 0405'!$AW:$AW,$A$18,'Report Pacote 0405'!$H:$H,$W17)+SUMIFS('Report Pacote 0405'!U:U,'Report Pacote 0405'!$AV:$AV,$D$9,'Report Pacote 0405'!$AW:$AW,$A$19,'Report Pacote 0405'!$H:$H,$W17)</f>
        <v>23160</v>
      </c>
      <c r="AG17" s="52">
        <f>SUMIFS('Report Pacote 0405'!V:V,'Report Pacote 0405'!$AV:$AV,$D$9,'Report Pacote 0405'!$AW:$AW,$A$17,'Report Pacote 0405'!$H:$H,$W17)+SUMIFS('Report Pacote 0405'!V:V,'Report Pacote 0405'!$AV:$AV,$D$9,'Report Pacote 0405'!$AW:$AW,$A$18,'Report Pacote 0405'!$H:$H,$W17)+SUMIFS('Report Pacote 0405'!V:V,'Report Pacote 0405'!$AV:$AV,$D$9,'Report Pacote 0405'!$AW:$AW,$A$19,'Report Pacote 0405'!$H:$H,$W17)</f>
        <v>0</v>
      </c>
      <c r="AH17" s="52">
        <f>SUMIF($AA$7:$AG$7,"&lt;="&amp;$D$4,$AA17:$AG17)</f>
        <v>51920</v>
      </c>
      <c r="AI17" s="741">
        <f>IFERROR((AH18/AH17),"-")</f>
        <v>1.115562403697997</v>
      </c>
      <c r="AJ17" s="2"/>
      <c r="AK17" s="737">
        <f>SUMIFS('Report Pacote 0405'!AA:AA,'Report Pacote 0405'!$AV:$AV,$D$9,'Report Pacote 0405'!$AW:$AW,$A$18,'Report Pacote 0405'!$H:$H,$W17)+SUMIFS('Report Pacote 0405'!AA:AA,'Report Pacote 0405'!$AV:$AV,$D$9,'Report Pacote 0405'!$AW:$AW,$A$17,'Report Pacote 0405'!$H:$H,$W17)+SUMIFS('Report Pacote 0405'!AA:AA,'Report Pacote 0405'!$AV:$AV,$D$9,'Report Pacote 0405'!$AW:$AW,$A$19,'Report Pacote 0405'!$H:$H,$W17)</f>
        <v>691424.32000000007</v>
      </c>
      <c r="AL17" s="737">
        <f>SUMIFS('Report Pacote 0405'!AB:AB,'Report Pacote 0405'!$AV:$AV,$D$9,'Report Pacote 0405'!$AW:$AW,$A$18,'Report Pacote 0405'!$H:$H,$W17)+SUMIFS('Report Pacote 0405'!AB:AB,'Report Pacote 0405'!$AV:$AV,$D$9,'Report Pacote 0405'!$AW:$AW,$A$17,'Report Pacote 0405'!$H:$H,$W17)+SUMIFS('Report Pacote 0405'!AB:AB,'Report Pacote 0405'!$AV:$AV,$D$9,'Report Pacote 0405'!$AW:$AW,$A$19,'Report Pacote 0405'!$H:$H,$W17)</f>
        <v>337781.76000000001</v>
      </c>
      <c r="AM17" s="737">
        <f>SUMIFS('Report Pacote 0405'!AC:AC,'Report Pacote 0405'!$AV:$AV,$D$9,'Report Pacote 0405'!$AW:$AW,$A$18,'Report Pacote 0405'!$H:$H,$W17)+SUMIFS('Report Pacote 0405'!AC:AC,'Report Pacote 0405'!$AV:$AV,$D$9,'Report Pacote 0405'!$AW:$AW,$A$17,'Report Pacote 0405'!$H:$H,$W17)+SUMIFS('Report Pacote 0405'!AC:AC,'Report Pacote 0405'!$AV:$AV,$D$9,'Report Pacote 0405'!$AW:$AW,$A$19,'Report Pacote 0405'!$H:$H,$W17)</f>
        <v>311650</v>
      </c>
      <c r="AN17" s="745">
        <f>IFERROR((AM17/AL17),"-")</f>
        <v>0.92263714890940229</v>
      </c>
      <c r="AO17" s="700"/>
      <c r="AP17" s="737">
        <f>SUMIFS('Report Pacote 0405'!AL:AL,'Report Pacote 0405'!$AV:$AV,$D$9,'Report Pacote 0405'!$AW:$AW,$A$18,'Report Pacote 0405'!$H:$H,$W17)+SUMIFS('Report Pacote 0405'!AL:AL,'Report Pacote 0405'!$AV:$AV,$D$9,'Report Pacote 0405'!$AW:$AW,$A$17,'Report Pacote 0405'!$H:$H,$W17)+SUMIFS('Report Pacote 0405'!AJ:AJ,'Report Pacote 0405'!$AV:$AV,$D$9,'Report Pacote 0405'!$AW:$AW,$A$19,'Report Pacote 0405'!$H:$H,$W17)</f>
        <v>1463075.2450000001</v>
      </c>
      <c r="AQ17" s="737">
        <f>SUMIFS('Report Pacote 0405'!AL:AL,'Report Pacote 0405'!$AV:$AV,$D$9,'Report Pacote 0405'!$AW:$AW,$A$13,'Report Pacote 0405'!$H:$H,$W17)+SUMIFS('Report Pacote 0405'!AL:AL,'Report Pacote 0405'!$AV:$AV,$D$9,'Report Pacote 0405'!$AW:$AW,$A$14,'Report Pacote 0405'!$H:$H,$W17)</f>
        <v>3163942.6999999993</v>
      </c>
      <c r="AR17" s="745">
        <f>IFERROR((AP17/AQ17),"-")</f>
        <v>0.46242153658471769</v>
      </c>
      <c r="AS17" s="700"/>
      <c r="AT17" s="737">
        <f>SUMIFS('Report Pacote 0405'!AO:AO,'Report Pacote 0405'!$AV:$AV,$D$9,'Report Pacote 0405'!$AW:$AW,$A$18,'Report Pacote 0405'!$H:$H,$W17)+SUMIFS('Report Pacote 0405'!AO:AO,'Report Pacote 0405'!$AV:$AV,$D$9,'Report Pacote 0405'!$AW:$AW,$A$17,'Report Pacote 0405'!$H:$H,$W17)+SUMIFS('Report Pacote 0405'!AN:AN,'Report Pacote 0405'!$AV:$AV,$D$9,'Report Pacote 0405'!$AW:$AW,$A$19,'Report Pacote 0405'!$H:$H,$W17)</f>
        <v>2745772.9299999997</v>
      </c>
      <c r="AU17" s="737">
        <f>SUMIFS('Report Pacote 0405'!AP:AP,'Report Pacote 0405'!$AV:$AV,$D$9,'Report Pacote 0405'!$AW:$AW,$A$18,'Report Pacote 0405'!$H:$H,$W17)+SUMIFS('Report Pacote 0405'!AP:AP,'Report Pacote 0405'!$AV:$AV,$D$9,'Report Pacote 0405'!$AW:$AW,$A$17,'Report Pacote 0405'!$H:$H,$W17)+SUMIFS('Report Pacote 0405'!AO:AO,'Report Pacote 0405'!$AV:$AV,$D$9,'Report Pacote 0405'!$AW:$AW,$A$19,'Report Pacote 0405'!$H:$H,$W17)</f>
        <v>2422679.3816200001</v>
      </c>
      <c r="AV17" s="700"/>
      <c r="AW17" s="737">
        <f ca="1">AK17/Quadros!$D$4</f>
        <v>25608.308148148149</v>
      </c>
      <c r="AX17" s="737">
        <f>AM17/Quadros!$D$6</f>
        <v>25970.833333333332</v>
      </c>
      <c r="AY17" s="737">
        <f ca="1">IF((AK17-AM17)/(Quadros!$D$4-Quadros!$D$6)&lt;0,"-",(AK17-AM17)/(Quadros!$D$4-Quadros!$D$6))</f>
        <v>25318.288000000004</v>
      </c>
      <c r="AZ17" s="3"/>
      <c r="BA17" s="138"/>
      <c r="BB17" s="44"/>
      <c r="BC17" s="44"/>
    </row>
    <row r="18" spans="1:55" s="16" customFormat="1" ht="18" hidden="1" customHeight="1" outlineLevel="1" thickBot="1">
      <c r="A18" s="21" t="s">
        <v>44</v>
      </c>
      <c r="B18" s="133" t="s">
        <v>34</v>
      </c>
      <c r="C18" s="3"/>
      <c r="D18" s="739"/>
      <c r="E18" s="740"/>
      <c r="F18" s="2"/>
      <c r="G18" s="54" t="s">
        <v>38</v>
      </c>
      <c r="H18" s="52">
        <v>111496</v>
      </c>
      <c r="I18" s="678"/>
      <c r="J18" s="2"/>
      <c r="K18" s="54" t="s">
        <v>38</v>
      </c>
      <c r="L18" s="52">
        <v>188606</v>
      </c>
      <c r="M18" s="678"/>
      <c r="N18" s="2"/>
      <c r="O18" s="54" t="s">
        <v>38</v>
      </c>
      <c r="P18" s="52">
        <v>153870</v>
      </c>
      <c r="Q18" s="742"/>
      <c r="R18" s="2"/>
      <c r="S18" s="54" t="s">
        <v>38</v>
      </c>
      <c r="T18" s="52">
        <v>148810</v>
      </c>
      <c r="U18" s="742"/>
      <c r="V18" s="2"/>
      <c r="W18" s="54" t="s">
        <v>38</v>
      </c>
      <c r="X18" s="52">
        <f>SUMIF($AA$7:$AG$7,"="&amp;$D$4,$AA18:$AG18)</f>
        <v>28050</v>
      </c>
      <c r="Y18" s="744"/>
      <c r="Z18" s="2"/>
      <c r="AA18" s="52">
        <f>SUMIFS('Report Pacote 0405'!P:P,'Report Pacote 0405'!$AV:$AV,$D$9,'Report Pacote 0405'!$AW:$AW,$A$17,'Report Pacote 0405'!$H:$H,$W18)+SUMIFS('Report Pacote 0405'!P:P,'Report Pacote 0405'!$AV:$AV,$D$9,'Report Pacote 0405'!$AW:$AW,$A$18,'Report Pacote 0405'!$H:$H,$W18)+SUMIFS('Report Pacote 0405'!P:P,'Report Pacote 0405'!$AV:$AV,$D$9,'Report Pacote 0405'!$AW:$AW,$A$19,'Report Pacote 0405'!$H:$H,$W18)</f>
        <v>29870</v>
      </c>
      <c r="AB18" s="52">
        <f>SUMIFS('Report Pacote 0405'!Q:Q,'Report Pacote 0405'!$AV:$AV,$D$9,'Report Pacote 0405'!$AW:$AW,$A$17,'Report Pacote 0405'!$H:$H,$W18)+SUMIFS('Report Pacote 0405'!Q:Q,'Report Pacote 0405'!$AV:$AV,$D$9,'Report Pacote 0405'!$AW:$AW,$A$18,'Report Pacote 0405'!$H:$H,$W18)+SUMIFS('Report Pacote 0405'!Q:Q,'Report Pacote 0405'!$AV:$AV,$D$9,'Report Pacote 0405'!$AW:$AW,$A$19,'Report Pacote 0405'!$H:$H,$W18)</f>
        <v>28050</v>
      </c>
      <c r="AC18" s="52">
        <f>SUMIFS('Report Pacote 0405'!R:R,'Report Pacote 0405'!$AV:$AV,$D$9,'Report Pacote 0405'!$AW:$AW,$A$17,'Report Pacote 0405'!$H:$H,$W18)+SUMIFS('Report Pacote 0405'!R:R,'Report Pacote 0405'!$AV:$AV,$D$9,'Report Pacote 0405'!$AW:$AW,$A$18,'Report Pacote 0405'!$H:$H,$W18)+SUMIFS('Report Pacote 0405'!R:R,'Report Pacote 0405'!$AV:$AV,$D$9,'Report Pacote 0405'!$AW:$AW,$A$19,'Report Pacote 0405'!$H:$H,$W18)</f>
        <v>0</v>
      </c>
      <c r="AD18" s="52">
        <f>SUMIFS('Report Pacote 0405'!S:S,'Report Pacote 0405'!$AV:$AV,$D$9,'Report Pacote 0405'!$AW:$AW,$A$17,'Report Pacote 0405'!$H:$H,$W18)+SUMIFS('Report Pacote 0405'!S:S,'Report Pacote 0405'!$AV:$AV,$D$9,'Report Pacote 0405'!$AW:$AW,$A$18,'Report Pacote 0405'!$H:$H,$W18)+SUMIFS('Report Pacote 0405'!S:S,'Report Pacote 0405'!$AV:$AV,$D$9,'Report Pacote 0405'!$AW:$AW,$A$19,'Report Pacote 0405'!$H:$H,$W18)</f>
        <v>0</v>
      </c>
      <c r="AE18" s="52">
        <f>SUMIFS('Report Pacote 0405'!T:T,'Report Pacote 0405'!$AV:$AV,$D$9,'Report Pacote 0405'!$AW:$AW,$A$17,'Report Pacote 0405'!$H:$H,$W18)+SUMIFS('Report Pacote 0405'!T:T,'Report Pacote 0405'!$AV:$AV,$D$9,'Report Pacote 0405'!$AW:$AW,$A$18,'Report Pacote 0405'!$H:$H,$W18)+SUMIFS('Report Pacote 0405'!T:T,'Report Pacote 0405'!$AV:$AV,$D$9,'Report Pacote 0405'!$AW:$AW,$A$19,'Report Pacote 0405'!$H:$H,$W18)</f>
        <v>0</v>
      </c>
      <c r="AF18" s="52">
        <f>SUMIFS('Report Pacote 0405'!U:U,'Report Pacote 0405'!$AV:$AV,$D$9,'Report Pacote 0405'!$AW:$AW,$A$17,'Report Pacote 0405'!$H:$H,$W18)+SUMIFS('Report Pacote 0405'!U:U,'Report Pacote 0405'!$AV:$AV,$D$9,'Report Pacote 0405'!$AW:$AW,$A$18,'Report Pacote 0405'!$H:$H,$W18)+SUMIFS('Report Pacote 0405'!U:U,'Report Pacote 0405'!$AV:$AV,$D$9,'Report Pacote 0405'!$AW:$AW,$A$19,'Report Pacote 0405'!$H:$H,$W18)</f>
        <v>0</v>
      </c>
      <c r="AG18" s="52">
        <f>SUMIFS('Report Pacote 0405'!V:V,'Report Pacote 0405'!$AV:$AV,$D$9,'Report Pacote 0405'!$AW:$AW,$A$17,'Report Pacote 0405'!$H:$H,$W18)+SUMIFS('Report Pacote 0405'!V:V,'Report Pacote 0405'!$AV:$AV,$D$9,'Report Pacote 0405'!$AW:$AW,$A$18,'Report Pacote 0405'!$H:$H,$W18)+SUMIFS('Report Pacote 0405'!V:V,'Report Pacote 0405'!$AV:$AV,$D$9,'Report Pacote 0405'!$AW:$AW,$A$19,'Report Pacote 0405'!$H:$H,$W18)</f>
        <v>0</v>
      </c>
      <c r="AH18" s="52">
        <f>SUMIF($AA$7:$AG$7,"&lt;="&amp;$D$4,$AA18:$AG18)</f>
        <v>57920</v>
      </c>
      <c r="AI18" s="742"/>
      <c r="AJ18" s="2"/>
      <c r="AK18" s="738"/>
      <c r="AL18" s="738"/>
      <c r="AM18" s="738"/>
      <c r="AN18" s="746"/>
      <c r="AO18" s="700"/>
      <c r="AP18" s="738"/>
      <c r="AQ18" s="738"/>
      <c r="AR18" s="784"/>
      <c r="AS18" s="700"/>
      <c r="AT18" s="738"/>
      <c r="AU18" s="738"/>
      <c r="AV18" s="700"/>
      <c r="AW18" s="738"/>
      <c r="AX18" s="738"/>
      <c r="AY18" s="738"/>
      <c r="AZ18" s="3"/>
      <c r="BB18" s="44"/>
      <c r="BC18" s="44"/>
    </row>
    <row r="19" spans="1:55" ht="17.25" hidden="1" outlineLevel="1">
      <c r="A19" s="4" t="s">
        <v>45</v>
      </c>
      <c r="B19" s="17" t="s">
        <v>34</v>
      </c>
      <c r="C19" s="3"/>
      <c r="D19" s="3"/>
      <c r="E19" s="3"/>
      <c r="G19" s="3"/>
      <c r="H19" s="37"/>
      <c r="I19" s="228"/>
      <c r="J19" s="3"/>
      <c r="K19" s="3"/>
      <c r="L19" s="37"/>
      <c r="M19" s="228"/>
      <c r="O19" s="3"/>
      <c r="P19" s="37"/>
      <c r="Q19" s="228"/>
      <c r="S19" s="3"/>
      <c r="T19" s="37"/>
      <c r="U19" s="228"/>
      <c r="V19" s="3"/>
      <c r="W19" s="3"/>
      <c r="X19" s="3"/>
      <c r="Y19" s="3"/>
      <c r="Z19" s="3"/>
      <c r="AA19" s="37"/>
      <c r="AB19" s="37"/>
      <c r="AC19" s="37"/>
      <c r="AD19" s="37"/>
      <c r="AE19" s="37"/>
      <c r="AF19" s="37"/>
      <c r="AG19" s="37"/>
      <c r="AH19" s="37"/>
      <c r="AI19" s="228"/>
      <c r="AJ19" s="3"/>
      <c r="AK19" s="251"/>
      <c r="AL19" s="251"/>
      <c r="AM19" s="251"/>
      <c r="AN19" s="701"/>
      <c r="AO19" s="702"/>
      <c r="AP19" s="251"/>
      <c r="AQ19" s="251"/>
      <c r="AR19" s="701"/>
      <c r="AS19" s="702"/>
      <c r="AT19" s="251"/>
      <c r="AU19" s="251"/>
      <c r="AV19" s="702"/>
      <c r="AW19" s="251"/>
      <c r="AX19" s="251"/>
      <c r="AY19" s="251"/>
      <c r="AZ19" s="221"/>
      <c r="BB19" s="44"/>
      <c r="BC19" s="44"/>
    </row>
    <row r="20" spans="1:55" ht="5.0999999999999996" hidden="1" customHeight="1" outlineLevel="1">
      <c r="B20" s="17" t="s">
        <v>34</v>
      </c>
      <c r="C20" s="3"/>
      <c r="D20" s="3"/>
      <c r="E20" s="3"/>
      <c r="G20" s="3"/>
      <c r="H20" s="37"/>
      <c r="I20" s="228"/>
      <c r="J20" s="3"/>
      <c r="K20" s="3"/>
      <c r="L20" s="37"/>
      <c r="M20" s="228"/>
      <c r="O20" s="3"/>
      <c r="P20" s="37"/>
      <c r="Q20" s="228"/>
      <c r="S20" s="3"/>
      <c r="T20" s="37"/>
      <c r="U20" s="228"/>
      <c r="V20" s="3"/>
      <c r="W20" s="3"/>
      <c r="X20" s="35"/>
      <c r="Y20" s="3"/>
      <c r="Z20" s="3"/>
      <c r="AA20" s="36"/>
      <c r="AB20" s="36"/>
      <c r="AC20" s="36"/>
      <c r="AD20" s="36"/>
      <c r="AE20" s="36"/>
      <c r="AF20" s="36"/>
      <c r="AG20" s="36"/>
      <c r="AH20" s="37"/>
      <c r="AI20" s="228"/>
      <c r="AJ20" s="3"/>
      <c r="AK20" s="251"/>
      <c r="AL20" s="251"/>
      <c r="AM20" s="251"/>
      <c r="AN20" s="701"/>
      <c r="AO20" s="702"/>
      <c r="AP20" s="251"/>
      <c r="AQ20" s="251"/>
      <c r="AR20" s="701"/>
      <c r="AS20" s="702"/>
      <c r="AT20" s="703"/>
      <c r="AU20" s="703"/>
      <c r="AV20" s="702"/>
      <c r="AW20" s="251"/>
      <c r="AX20" s="251"/>
      <c r="AY20" s="251"/>
      <c r="AZ20" s="3"/>
      <c r="BB20" s="4"/>
      <c r="BC20" s="4"/>
    </row>
    <row r="21" spans="1:55" s="21" customFormat="1" ht="18" hidden="1" customHeight="1" outlineLevel="1">
      <c r="B21" s="134" t="s">
        <v>34</v>
      </c>
      <c r="C21" s="3"/>
      <c r="D21" s="739" t="s">
        <v>46</v>
      </c>
      <c r="E21" s="740" t="s">
        <v>36</v>
      </c>
      <c r="F21" s="2"/>
      <c r="G21" s="53" t="s">
        <v>37</v>
      </c>
      <c r="H21" s="52">
        <v>154200</v>
      </c>
      <c r="I21" s="677">
        <f>IFERROR((H22/H21),"-")</f>
        <v>0.78111219195849546</v>
      </c>
      <c r="J21" s="2"/>
      <c r="K21" s="53" t="s">
        <v>37</v>
      </c>
      <c r="L21" s="52">
        <v>160200</v>
      </c>
      <c r="M21" s="677">
        <f>IFERROR((L22/L21),"-")</f>
        <v>0.78200686641697881</v>
      </c>
      <c r="N21" s="2"/>
      <c r="O21" s="53" t="s">
        <v>37</v>
      </c>
      <c r="P21" s="52">
        <v>145500</v>
      </c>
      <c r="Q21" s="741">
        <f>IFERROR((P22/P21),"-")</f>
        <v>0.79949484536082471</v>
      </c>
      <c r="R21" s="2"/>
      <c r="S21" s="53" t="s">
        <v>37</v>
      </c>
      <c r="T21" s="52">
        <v>165700</v>
      </c>
      <c r="U21" s="741">
        <v>0.69180446590223299</v>
      </c>
      <c r="V21" s="2"/>
      <c r="W21" s="53" t="s">
        <v>37</v>
      </c>
      <c r="X21" s="52">
        <f>SUMIF($AA$7:$AG$7,"="&amp;$D$4,$AA21:$AG21)</f>
        <v>27200</v>
      </c>
      <c r="Y21" s="743">
        <f>IFERROR((X22/X21),"-")</f>
        <v>0.74713235294117653</v>
      </c>
      <c r="Z21" s="2"/>
      <c r="AA21" s="52">
        <f>SUMIFS('Report Pacote 06'!AG:AG,'Report Pacote 06'!$CH:$CH,$D$9,'Report Pacote 06'!$G:$G,'Report Consolidado Semanal'!$W21)</f>
        <v>27200</v>
      </c>
      <c r="AB21" s="52">
        <f>SUMIFS('Report Pacote 06'!AH:AH,'Report Pacote 06'!$CH:$CH,$D$9,'Report Pacote 06'!$G:$G,'Report Consolidado Semanal'!$W21)</f>
        <v>27200</v>
      </c>
      <c r="AC21" s="52">
        <f>SUMIFS('Report Pacote 06'!AI:AI,'Report Pacote 06'!$CH:$CH,$D$9,'Report Pacote 06'!$G:$G,'Report Consolidado Semanal'!$W21)</f>
        <v>27200</v>
      </c>
      <c r="AD21" s="52">
        <f>SUMIFS('Report Pacote 06'!AJ:AJ,'Report Pacote 06'!$CH:$CH,$D$9,'Report Pacote 06'!$G:$G,'Report Consolidado Semanal'!$W21)</f>
        <v>27200</v>
      </c>
      <c r="AE21" s="52">
        <f>SUMIFS('Report Pacote 06'!AK:AK,'Report Pacote 06'!$CH:$CH,$D$9,'Report Pacote 06'!$G:$G,'Report Consolidado Semanal'!$W21)</f>
        <v>27200</v>
      </c>
      <c r="AF21" s="52">
        <f>SUMIFS('Report Pacote 06'!AL:AL,'Report Pacote 06'!$CH:$CH,$D$9,'Report Pacote 06'!$G:$G,'Report Consolidado Semanal'!$W21)</f>
        <v>26700</v>
      </c>
      <c r="AG21" s="52">
        <f>SUMIFS('Report Pacote 06'!AM:AM,'Report Pacote 06'!$CH:$CH,$D$9,'Report Pacote 06'!$G:$G,'Report Consolidado Semanal'!$W21)</f>
        <v>0</v>
      </c>
      <c r="AH21" s="52">
        <f>SUMIF($AA$7:$AG$7,"&lt;="&amp;$D$4,$AA21:$AG21)</f>
        <v>54400</v>
      </c>
      <c r="AI21" s="741">
        <f>IFERROR((AH22/AH21),"-")</f>
        <v>0.75565257352941173</v>
      </c>
      <c r="AJ21" s="2"/>
      <c r="AK21" s="737">
        <f>SUMIFS('Report Pacote 06'!BN:BN,'Report Pacote 06'!$CH:$CH,$D$9,'Report Pacote 06'!$G:$G,'Report Consolidado Semanal'!$W21)</f>
        <v>571518.65</v>
      </c>
      <c r="AL21" s="737">
        <f>SUMIFS('Report Pacote 06'!BO:BO,'Report Pacote 06'!$CH:$CH,$D$9,'Report Pacote 06'!$G:$G,'Report Consolidado Semanal'!$W21)</f>
        <v>254008.28888888887</v>
      </c>
      <c r="AM21" s="737">
        <f>SUMIFS('Report Pacote 06'!BP:BP,'Report Pacote 06'!$CH:$CH,$D$9,'Report Pacote 06'!$G:$G,'Report Consolidado Semanal'!$W21)</f>
        <v>226880</v>
      </c>
      <c r="AN21" s="745">
        <f>IFERROR((AM21/AL21),"-")</f>
        <v>0.89319919831137629</v>
      </c>
      <c r="AO21" s="700"/>
      <c r="AP21" s="737">
        <f ca="1">SUMIFS('Report Pacote 06'!BU:BU,'Report Pacote 06'!$CH:$CH,'Report Consolidado Semanal'!$D$49,'Report Pacote 06'!$G:$G,'Report Consolidado Semanal'!$W21)</f>
        <v>57822.38</v>
      </c>
      <c r="AQ21" s="737">
        <f>SUMIFS('Report Pacote 06'!BX:BX,'Report Pacote 06'!$CH:$CH,'Report Consolidado Semanal'!$D$49,'Report Pacote 06'!$G:$G,'Report Consolidado Semanal'!$W21)</f>
        <v>61971.607826086962</v>
      </c>
      <c r="AR21" s="745">
        <f ca="1">IFERROR((AP21/AQ21),"-")</f>
        <v>0.93304630988869797</v>
      </c>
      <c r="AS21" s="700"/>
      <c r="AT21" s="737">
        <f>SUMIFS('Report Pacote 06'!CA:CA,'Report Pacote 06'!$CH:$CH,$D$9,'Report Pacote 06'!$G:$G,'Report Consolidado Semanal'!$W21)</f>
        <v>6620711.0199999996</v>
      </c>
      <c r="AU21" s="737">
        <f ca="1">SUMIFS('Report Pacote 06'!CB:CB,'Report Pacote 06'!$CH:$CH,$D$9,'Report Pacote 06'!$G:$G,'Report Consolidado Semanal'!$W21)</f>
        <v>1473376.6499999994</v>
      </c>
      <c r="AV21" s="700"/>
      <c r="AW21" s="737">
        <f ca="1">AK21/Quadros!$D$4</f>
        <v>21167.357407407409</v>
      </c>
      <c r="AX21" s="737">
        <f>AM21/Quadros!$D$6</f>
        <v>18906.666666666668</v>
      </c>
      <c r="AY21" s="737">
        <f ca="1">IF((AK21-AM21)/(Quadros!$D$4-Quadros!$D$6)&lt;0,"-",(AK21-AM21)/(Quadros!$D$4-Quadros!$D$6))</f>
        <v>22975.91</v>
      </c>
      <c r="AZ21" s="3"/>
      <c r="BA21" s="138"/>
      <c r="BB21"/>
      <c r="BC21"/>
    </row>
    <row r="22" spans="1:55" s="16" customFormat="1" ht="18" hidden="1" customHeight="1" outlineLevel="1" thickBot="1">
      <c r="A22" s="21"/>
      <c r="B22" s="133" t="s">
        <v>34</v>
      </c>
      <c r="C22" s="3"/>
      <c r="D22" s="739"/>
      <c r="E22" s="740"/>
      <c r="F22" s="2"/>
      <c r="G22" s="54" t="s">
        <v>38</v>
      </c>
      <c r="H22" s="52">
        <v>120447.5</v>
      </c>
      <c r="I22" s="678"/>
      <c r="J22" s="2"/>
      <c r="K22" s="54" t="s">
        <v>38</v>
      </c>
      <c r="L22" s="52">
        <v>125277.5</v>
      </c>
      <c r="M22" s="678"/>
      <c r="N22" s="2"/>
      <c r="O22" s="54" t="s">
        <v>38</v>
      </c>
      <c r="P22" s="52">
        <v>116326.5</v>
      </c>
      <c r="Q22" s="742"/>
      <c r="R22" s="2"/>
      <c r="S22" s="54" t="s">
        <v>38</v>
      </c>
      <c r="T22" s="52">
        <v>114632</v>
      </c>
      <c r="U22" s="742"/>
      <c r="V22" s="2"/>
      <c r="W22" s="54" t="s">
        <v>38</v>
      </c>
      <c r="X22" s="52">
        <f>SUMIF($AA$7:$AG$7,"="&amp;$D$4,$AA22:$AG22)</f>
        <v>20322</v>
      </c>
      <c r="Y22" s="744"/>
      <c r="Z22" s="2"/>
      <c r="AA22" s="52">
        <f>SUMIFS('Report Pacote 06'!AG:AG,'Report Pacote 06'!$CH:$CH,$D$9,'Report Pacote 06'!$G:$G,'Report Consolidado Semanal'!$W22)</f>
        <v>20785.5</v>
      </c>
      <c r="AB22" s="52">
        <f>SUMIFS('Report Pacote 06'!AH:AH,'Report Pacote 06'!$CH:$CH,$D$9,'Report Pacote 06'!$G:$G,'Report Consolidado Semanal'!$W22)</f>
        <v>20322</v>
      </c>
      <c r="AC22" s="52">
        <f>SUMIFS('Report Pacote 06'!AI:AI,'Report Pacote 06'!$CH:$CH,$D$9,'Report Pacote 06'!$G:$G,'Report Consolidado Semanal'!$W22)</f>
        <v>0</v>
      </c>
      <c r="AD22" s="52">
        <f>SUMIFS('Report Pacote 06'!AJ:AJ,'Report Pacote 06'!$CH:$CH,$D$9,'Report Pacote 06'!$G:$G,'Report Consolidado Semanal'!$W22)</f>
        <v>0</v>
      </c>
      <c r="AE22" s="52">
        <f>SUMIFS('Report Pacote 06'!AK:AK,'Report Pacote 06'!$CH:$CH,$D$9,'Report Pacote 06'!$G:$G,'Report Consolidado Semanal'!$W22)</f>
        <v>0</v>
      </c>
      <c r="AF22" s="52">
        <f>SUMIFS('Report Pacote 06'!AL:AL,'Report Pacote 06'!$CH:$CH,$D$9,'Report Pacote 06'!$G:$G,'Report Consolidado Semanal'!$W22)</f>
        <v>0</v>
      </c>
      <c r="AG22" s="52">
        <f>SUMIFS('Report Pacote 06'!AM:AM,'Report Pacote 06'!$CH:$CH,$D$9,'Report Pacote 06'!$G:$G,'Report Consolidado Semanal'!$W22)</f>
        <v>0</v>
      </c>
      <c r="AH22" s="52">
        <f>SUMIF($AA$7:$AG$7,"&lt;="&amp;$D$4,$AA22:$AG22)</f>
        <v>41107.5</v>
      </c>
      <c r="AI22" s="742"/>
      <c r="AJ22" s="2"/>
      <c r="AK22" s="738"/>
      <c r="AL22" s="738"/>
      <c r="AM22" s="738"/>
      <c r="AN22" s="746"/>
      <c r="AO22" s="700"/>
      <c r="AP22" s="738"/>
      <c r="AQ22" s="738"/>
      <c r="AR22" s="784"/>
      <c r="AS22" s="700"/>
      <c r="AT22" s="738"/>
      <c r="AU22" s="738"/>
      <c r="AV22" s="700"/>
      <c r="AW22" s="738"/>
      <c r="AX22" s="738"/>
      <c r="AY22" s="738"/>
      <c r="AZ22" s="3"/>
      <c r="BB22" s="44"/>
      <c r="BC22" s="44"/>
    </row>
    <row r="23" spans="1:55" ht="17.25" hidden="1" outlineLevel="1">
      <c r="B23" s="17" t="s">
        <v>34</v>
      </c>
      <c r="C23" s="3"/>
      <c r="D23" s="3"/>
      <c r="E23" s="3"/>
      <c r="G23" s="3"/>
      <c r="H23" s="37"/>
      <c r="I23" s="228"/>
      <c r="J23" s="3"/>
      <c r="K23" s="3"/>
      <c r="L23" s="37"/>
      <c r="M23" s="228"/>
      <c r="O23" s="3"/>
      <c r="P23" s="37"/>
      <c r="Q23" s="228"/>
      <c r="S23" s="3"/>
      <c r="T23" s="37"/>
      <c r="U23" s="228"/>
      <c r="V23" s="3"/>
      <c r="W23" s="3"/>
      <c r="X23" s="3"/>
      <c r="Y23" s="3"/>
      <c r="Z23" s="3"/>
      <c r="AA23" s="37"/>
      <c r="AB23" s="37"/>
      <c r="AC23" s="37"/>
      <c r="AD23" s="37"/>
      <c r="AE23" s="37"/>
      <c r="AF23" s="37"/>
      <c r="AG23" s="37"/>
      <c r="AH23" s="37"/>
      <c r="AI23" s="228"/>
      <c r="AJ23" s="3"/>
      <c r="AK23" s="251"/>
      <c r="AL23" s="251"/>
      <c r="AM23" s="251"/>
      <c r="AN23" s="701"/>
      <c r="AO23" s="702"/>
      <c r="AP23" s="251"/>
      <c r="AQ23" s="251"/>
      <c r="AR23" s="701"/>
      <c r="AS23" s="702"/>
      <c r="AT23" s="251"/>
      <c r="AU23" s="251"/>
      <c r="AV23" s="702"/>
      <c r="AW23" s="251"/>
      <c r="AX23" s="251"/>
      <c r="AY23" s="251"/>
      <c r="AZ23" s="3"/>
      <c r="BB23" s="4"/>
      <c r="BC23" s="4"/>
    </row>
    <row r="24" spans="1:55" ht="5.0999999999999996" hidden="1" customHeight="1" outlineLevel="1">
      <c r="B24" s="17" t="s">
        <v>34</v>
      </c>
      <c r="C24" s="3"/>
      <c r="D24" s="3"/>
      <c r="E24" s="3"/>
      <c r="G24" s="3"/>
      <c r="H24" s="37"/>
      <c r="I24" s="228"/>
      <c r="J24" s="3"/>
      <c r="K24" s="3"/>
      <c r="L24" s="37"/>
      <c r="M24" s="228"/>
      <c r="O24" s="3"/>
      <c r="P24" s="37"/>
      <c r="Q24" s="228"/>
      <c r="S24" s="3"/>
      <c r="T24" s="37"/>
      <c r="U24" s="228"/>
      <c r="V24" s="3"/>
      <c r="W24" s="3"/>
      <c r="X24" s="35"/>
      <c r="Y24" s="3"/>
      <c r="Z24" s="3"/>
      <c r="AA24" s="35"/>
      <c r="AB24" s="35"/>
      <c r="AC24" s="35"/>
      <c r="AD24" s="35"/>
      <c r="AE24" s="35"/>
      <c r="AF24" s="35"/>
      <c r="AG24" s="35"/>
      <c r="AH24" s="37"/>
      <c r="AI24" s="228"/>
      <c r="AJ24" s="3"/>
      <c r="AK24" s="251"/>
      <c r="AL24" s="251"/>
      <c r="AM24" s="251"/>
      <c r="AN24" s="701"/>
      <c r="AO24" s="702"/>
      <c r="AP24" s="251"/>
      <c r="AQ24" s="251"/>
      <c r="AR24" s="701"/>
      <c r="AS24" s="702"/>
      <c r="AT24" s="251"/>
      <c r="AU24" s="251"/>
      <c r="AV24" s="702"/>
      <c r="AW24" s="251"/>
      <c r="AX24" s="251"/>
      <c r="AY24" s="251"/>
      <c r="AZ24" s="3"/>
    </row>
    <row r="25" spans="1:55" s="21" customFormat="1" ht="18" hidden="1" customHeight="1" outlineLevel="1">
      <c r="A25" s="21" t="s">
        <v>47</v>
      </c>
      <c r="B25" s="134" t="s">
        <v>34</v>
      </c>
      <c r="C25" s="3"/>
      <c r="D25" s="739" t="s">
        <v>48</v>
      </c>
      <c r="E25" s="740" t="s">
        <v>36</v>
      </c>
      <c r="F25" s="2"/>
      <c r="G25" s="53" t="s">
        <v>37</v>
      </c>
      <c r="H25" s="52">
        <v>47889.906439999999</v>
      </c>
      <c r="I25" s="677">
        <f>IFERROR((H26/H25),"-")</f>
        <v>1.3047624154013691</v>
      </c>
      <c r="J25" s="2"/>
      <c r="K25" s="53" t="s">
        <v>37</v>
      </c>
      <c r="L25" s="52">
        <v>61992</v>
      </c>
      <c r="M25" s="677">
        <f>IFERROR((L26/L25),"-")</f>
        <v>0.9915826235643308</v>
      </c>
      <c r="N25" s="2"/>
      <c r="O25" s="53" t="s">
        <v>37</v>
      </c>
      <c r="P25" s="52">
        <v>65950.713269999993</v>
      </c>
      <c r="Q25" s="741">
        <f>IFERROR((P26/P25),"-")</f>
        <v>0.85646731019805389</v>
      </c>
      <c r="R25" s="2"/>
      <c r="S25" s="53" t="s">
        <v>37</v>
      </c>
      <c r="T25" s="52">
        <v>40064.070899999999</v>
      </c>
      <c r="U25" s="741">
        <v>1.3203820483454667</v>
      </c>
      <c r="V25" s="2"/>
      <c r="W25" s="53" t="s">
        <v>37</v>
      </c>
      <c r="X25" s="52">
        <f>SUMIF($AA$7:$AG$7,"="&amp;$D$4,$AA25:$AG25)</f>
        <v>5673.042075866666</v>
      </c>
      <c r="Y25" s="743">
        <f>IFERROR((X26/X25),"-")</f>
        <v>1.5029308589602624</v>
      </c>
      <c r="Z25" s="2"/>
      <c r="AA25" s="52">
        <f>SUMIFS('Report Pacote 07-08'!AL:AL,'Report Pacote 07-08'!$CB:$CB,$A25,'Report Pacote 07-08'!$J:$J,$W25)</f>
        <v>5673.042075866666</v>
      </c>
      <c r="AB25" s="52">
        <f>SUMIFS('Report Pacote 07-08'!AM:AM,'Report Pacote 07-08'!$CB:$CB,$A25,'Report Pacote 07-08'!$J:$J,$W25)</f>
        <v>5673.042075866666</v>
      </c>
      <c r="AC25" s="52">
        <f>SUMIFS('Report Pacote 07-08'!AN:AN,'Report Pacote 07-08'!$CB:$CB,$A25,'Report Pacote 07-08'!$J:$J,$W25)</f>
        <v>5673.042075866666</v>
      </c>
      <c r="AD25" s="52">
        <f>SUMIFS('Report Pacote 07-08'!AO:AO,'Report Pacote 07-08'!$CB:$CB,$A25,'Report Pacote 07-08'!$J:$J,$W25)</f>
        <v>5673.042075866666</v>
      </c>
      <c r="AE25" s="52">
        <f>SUMIFS('Report Pacote 07-08'!AP:AP,'Report Pacote 07-08'!$CB:$CB,$A25,'Report Pacote 07-08'!$J:$J,$W25)</f>
        <v>5673.042075866666</v>
      </c>
      <c r="AF25" s="52">
        <f>SUMIFS('Report Pacote 07-08'!AQ:AQ,'Report Pacote 07-08'!$CB:$CB,$A25,'Report Pacote 07-08'!$J:$J,$W25)</f>
        <v>5673.042075866666</v>
      </c>
      <c r="AG25" s="52">
        <f>SUMIFS('Report Pacote 07-08'!AR:AR,'Report Pacote 07-08'!$CB:$CB,$A25,'Report Pacote 07-08'!$J:$J,$W25)</f>
        <v>0</v>
      </c>
      <c r="AH25" s="52">
        <f>SUMIF($AA$7:$AG$7,"&lt;="&amp;$D$4,$AA25:$AG25)</f>
        <v>11346.084151733332</v>
      </c>
      <c r="AI25" s="741">
        <f>IFERROR((AH26/AH25),"-")</f>
        <v>1.5136244161714933</v>
      </c>
      <c r="AJ25" s="2"/>
      <c r="AK25" s="737">
        <f>SUMIFS('Report Pacote 07-08'!BM:BM,'Report Pacote 07-08'!$CB:$CB,$A25,'Report Pacote 07-08'!$J:$J,$W25)</f>
        <v>222380.82867719998</v>
      </c>
      <c r="AL25" s="737">
        <f>SUMIFS('Report Pacote 07-08'!BN:BN,'Report Pacote 07-08'!$CB:$CB,$A25,'Report Pacote 07-08'!$J:$J,$W25)</f>
        <v>117360.86832173332</v>
      </c>
      <c r="AM25" s="737">
        <f>SUMIFS('Report Pacote 07-08'!BO:BO,'Report Pacote 07-08'!$CB:$CB,$A25,'Report Pacote 07-08'!$J:$J,$W25)</f>
        <v>125212.56000000001</v>
      </c>
      <c r="AN25" s="745">
        <f>IFERROR((AM25/AL25),"-")</f>
        <v>1.0669021266674856</v>
      </c>
      <c r="AO25" s="700"/>
      <c r="AP25" s="737">
        <f>SUMIFS('Report Pacote 07-08'!AD:AD,'Report Pacote 07-08'!$CB:$CB,$A25,'Report Pacote 07-08'!$J:$J,$W25)</f>
        <v>6677.3451500000001</v>
      </c>
      <c r="AQ25" s="737">
        <f>SUMIFS('Report Pacote 07-08'!AI:AI,'Report Pacote 07-08'!$CB:$CB,$A25,'Report Pacote 07-08'!$J:$J,$W25)</f>
        <v>6677.3451500000001</v>
      </c>
      <c r="AR25" s="745">
        <f>IFERROR((AP25/AQ25),"-")</f>
        <v>1</v>
      </c>
      <c r="AS25" s="700"/>
      <c r="AT25" s="737">
        <f>SUMIFS('Report Pacote 07-08'!BV:BV,'Report Pacote 07-08'!$CB:$CB,$A25,'Report Pacote 07-08'!$J:$J,$W25)</f>
        <v>2502064.0209999997</v>
      </c>
      <c r="AU25" s="737">
        <f>SUMIFS('Report Pacote 07-08'!BW:BW,'Report Pacote 07-08'!$CB:$CB,$A25,'Report Pacote 07-08'!$J:$J,$W25)</f>
        <v>363883.14029380801</v>
      </c>
      <c r="AV25" s="700"/>
      <c r="AW25" s="737">
        <f ca="1">AK25/Quadros!$D$4</f>
        <v>8236.3269880444441</v>
      </c>
      <c r="AX25" s="737">
        <f>AM25/Quadros!$D$6</f>
        <v>10434.380000000001</v>
      </c>
      <c r="AY25" s="737">
        <f ca="1">IF((AK25-AM25)/(Quadros!$D$4-Quadros!$D$6)&lt;0,"-",(AK25-AM25)/(Quadros!$D$4-Quadros!$D$6))</f>
        <v>6477.8845784799978</v>
      </c>
      <c r="AZ25" s="3"/>
      <c r="BA25" s="138"/>
      <c r="BB25" s="44"/>
      <c r="BC25" s="44"/>
    </row>
    <row r="26" spans="1:55" s="16" customFormat="1" ht="18" hidden="1" customHeight="1" outlineLevel="1" thickBot="1">
      <c r="A26" s="21" t="s">
        <v>47</v>
      </c>
      <c r="B26" s="133" t="s">
        <v>34</v>
      </c>
      <c r="C26" s="3"/>
      <c r="D26" s="739"/>
      <c r="E26" s="740"/>
      <c r="F26" s="2"/>
      <c r="G26" s="54" t="s">
        <v>38</v>
      </c>
      <c r="H26" s="52">
        <v>62484.949999999983</v>
      </c>
      <c r="I26" s="678"/>
      <c r="J26" s="2"/>
      <c r="K26" s="54" t="s">
        <v>38</v>
      </c>
      <c r="L26" s="52">
        <v>61470.189999999995</v>
      </c>
      <c r="M26" s="678"/>
      <c r="N26" s="2"/>
      <c r="O26" s="54" t="s">
        <v>38</v>
      </c>
      <c r="P26" s="52">
        <v>56484.62999999999</v>
      </c>
      <c r="Q26" s="742"/>
      <c r="R26" s="2"/>
      <c r="S26" s="54" t="s">
        <v>38</v>
      </c>
      <c r="T26" s="52">
        <v>52899.880000000005</v>
      </c>
      <c r="U26" s="742"/>
      <c r="V26" s="2"/>
      <c r="W26" s="54" t="s">
        <v>38</v>
      </c>
      <c r="X26" s="52">
        <f>SUMIF($AA$7:$AG$7,"="&amp;$D$4,$AA26:$AG26)</f>
        <v>8526.1899999999987</v>
      </c>
      <c r="Y26" s="744"/>
      <c r="Z26" s="2"/>
      <c r="AA26" s="52">
        <f>SUMIFS('Report Pacote 07-08'!AL:AL,'Report Pacote 07-08'!$CB:$CB,$A26,'Report Pacote 07-08'!$J:$J,$W26)</f>
        <v>8647.52</v>
      </c>
      <c r="AB26" s="52">
        <f>SUMIFS('Report Pacote 07-08'!AM:AM,'Report Pacote 07-08'!$CB:$CB,$A26,'Report Pacote 07-08'!$J:$J,$W26)</f>
        <v>8526.1899999999987</v>
      </c>
      <c r="AC26" s="52">
        <f>SUMIFS('Report Pacote 07-08'!AN:AN,'Report Pacote 07-08'!$CB:$CB,$A26,'Report Pacote 07-08'!$J:$J,$W26)</f>
        <v>0</v>
      </c>
      <c r="AD26" s="52">
        <f>SUMIFS('Report Pacote 07-08'!AO:AO,'Report Pacote 07-08'!$CB:$CB,$A26,'Report Pacote 07-08'!$J:$J,$W26)</f>
        <v>0</v>
      </c>
      <c r="AE26" s="52">
        <f>SUMIFS('Report Pacote 07-08'!AP:AP,'Report Pacote 07-08'!$CB:$CB,$A26,'Report Pacote 07-08'!$J:$J,$W26)</f>
        <v>0</v>
      </c>
      <c r="AF26" s="52">
        <f>SUMIFS('Report Pacote 07-08'!AQ:AQ,'Report Pacote 07-08'!$CB:$CB,$A26,'Report Pacote 07-08'!$J:$J,$W26)</f>
        <v>0</v>
      </c>
      <c r="AG26" s="52">
        <f>SUMIFS('Report Pacote 07-08'!AR:AR,'Report Pacote 07-08'!$CB:$CB,$A26,'Report Pacote 07-08'!$J:$J,$W26)</f>
        <v>0</v>
      </c>
      <c r="AH26" s="52">
        <f>SUMIF($AA$7:$AG$7,"&lt;="&amp;$D$4,$AA26:$AG26)</f>
        <v>17173.71</v>
      </c>
      <c r="AI26" s="742"/>
      <c r="AJ26" s="2"/>
      <c r="AK26" s="738"/>
      <c r="AL26" s="738"/>
      <c r="AM26" s="738"/>
      <c r="AN26" s="746"/>
      <c r="AO26" s="700"/>
      <c r="AP26" s="738">
        <f>SUMIFS('Report Pacote 07-08'!AC:AC,'Report Pacote 07-08'!$CB:$CB,$A26,'Report Pacote 07-08'!$J:$J,$W26)</f>
        <v>0</v>
      </c>
      <c r="AQ26" s="738">
        <f>SUMIFS('Report Pacote 07-08'!AD:AD,'Report Pacote 07-08'!$CB:$CB,$A26,'Report Pacote 07-08'!$J:$J,$W26)</f>
        <v>11151.33</v>
      </c>
      <c r="AR26" s="784"/>
      <c r="AS26" s="700"/>
      <c r="AT26" s="738"/>
      <c r="AU26" s="738"/>
      <c r="AV26" s="700"/>
      <c r="AW26" s="738"/>
      <c r="AX26" s="738"/>
      <c r="AY26" s="738"/>
      <c r="AZ26" s="3"/>
      <c r="BB26" s="4"/>
      <c r="BC26" s="4"/>
    </row>
    <row r="27" spans="1:55" ht="18.75" hidden="1" outlineLevel="1">
      <c r="B27" s="17" t="s">
        <v>34</v>
      </c>
      <c r="C27" s="3"/>
      <c r="D27" s="3"/>
      <c r="E27" s="3"/>
      <c r="G27" s="3"/>
      <c r="H27" s="37"/>
      <c r="I27" s="228"/>
      <c r="J27" s="3"/>
      <c r="K27" s="3"/>
      <c r="L27" s="37"/>
      <c r="M27" s="228"/>
      <c r="O27" s="3"/>
      <c r="P27" s="37"/>
      <c r="Q27" s="228"/>
      <c r="S27" s="3"/>
      <c r="T27" s="37"/>
      <c r="U27" s="228"/>
      <c r="V27" s="3"/>
      <c r="W27" s="3"/>
      <c r="X27" s="3"/>
      <c r="Y27" s="3"/>
      <c r="Z27" s="3"/>
      <c r="AA27" s="37"/>
      <c r="AB27" s="37"/>
      <c r="AC27" s="37"/>
      <c r="AD27" s="37"/>
      <c r="AE27" s="37"/>
      <c r="AF27" s="37"/>
      <c r="AG27" s="37"/>
      <c r="AH27" s="37"/>
      <c r="AI27" s="228"/>
      <c r="AJ27" s="3"/>
      <c r="AK27" s="249"/>
      <c r="AL27" s="249"/>
      <c r="AM27" s="249"/>
      <c r="AN27" s="228"/>
      <c r="AO27" s="3"/>
      <c r="AP27" s="249"/>
      <c r="AQ27" s="249"/>
      <c r="AR27" s="228"/>
      <c r="AS27" s="3"/>
      <c r="AT27" s="249"/>
      <c r="AU27" s="249"/>
      <c r="AV27" s="3"/>
      <c r="AW27" s="251"/>
      <c r="AX27" s="251"/>
      <c r="AY27" s="251"/>
      <c r="AZ27" s="3"/>
    </row>
    <row r="28" spans="1:55" ht="5.0999999999999996" hidden="1" customHeight="1" outlineLevel="1">
      <c r="B28" s="17" t="s">
        <v>34</v>
      </c>
      <c r="C28" s="3"/>
      <c r="D28" s="3"/>
      <c r="E28" s="3"/>
      <c r="G28" s="3"/>
      <c r="H28" s="37"/>
      <c r="I28" s="228"/>
      <c r="J28" s="3"/>
      <c r="K28" s="3"/>
      <c r="L28" s="37"/>
      <c r="M28" s="228"/>
      <c r="O28" s="3"/>
      <c r="P28" s="37"/>
      <c r="Q28" s="228"/>
      <c r="S28" s="3"/>
      <c r="T28" s="37"/>
      <c r="U28" s="228"/>
      <c r="V28" s="3"/>
      <c r="W28" s="3"/>
      <c r="X28" s="35"/>
      <c r="Y28" s="3"/>
      <c r="Z28" s="3"/>
      <c r="AA28" s="36"/>
      <c r="AB28" s="36"/>
      <c r="AC28" s="36"/>
      <c r="AD28" s="36"/>
      <c r="AE28" s="36"/>
      <c r="AF28" s="36"/>
      <c r="AG28" s="36"/>
      <c r="AH28" s="37"/>
      <c r="AI28" s="228"/>
      <c r="AJ28" s="3"/>
      <c r="AK28" s="249"/>
      <c r="AL28" s="249"/>
      <c r="AM28" s="249"/>
      <c r="AN28" s="228"/>
      <c r="AO28" s="3"/>
      <c r="AP28" s="250"/>
      <c r="AQ28" s="250"/>
      <c r="AR28" s="228"/>
      <c r="AS28" s="3"/>
      <c r="AT28" s="250"/>
      <c r="AU28" s="250"/>
      <c r="AV28" s="3"/>
      <c r="AW28" s="251"/>
      <c r="AX28" s="251"/>
      <c r="AY28" s="251"/>
      <c r="AZ28" s="3"/>
      <c r="BB28" s="44"/>
      <c r="BC28" s="44"/>
    </row>
    <row r="29" spans="1:55" s="44" customFormat="1" ht="21.6" hidden="1" customHeight="1" collapsed="1">
      <c r="A29" s="44" t="s">
        <v>49</v>
      </c>
      <c r="B29" s="133"/>
      <c r="C29" s="69"/>
      <c r="D29" s="759" t="s">
        <v>49</v>
      </c>
      <c r="E29" s="761" t="s">
        <v>36</v>
      </c>
      <c r="F29" s="40"/>
      <c r="G29" s="41" t="s">
        <v>37</v>
      </c>
      <c r="H29" s="43">
        <v>253268.36332541349</v>
      </c>
      <c r="I29" s="681">
        <f>IFERROR((H30/H29),"-")</f>
        <v>0.92736942635881059</v>
      </c>
      <c r="J29" s="40"/>
      <c r="K29" s="41" t="s">
        <v>37</v>
      </c>
      <c r="L29" s="43">
        <f>L33+L37+L41+L45</f>
        <v>276798.63909774437</v>
      </c>
      <c r="M29" s="681">
        <f>IFERROR((L30/L29),"-")</f>
        <v>0.91432222353818793</v>
      </c>
      <c r="N29" s="40"/>
      <c r="O29" s="41" t="s">
        <v>37</v>
      </c>
      <c r="P29" s="43">
        <v>243811.31912796988</v>
      </c>
      <c r="Q29" s="757">
        <f>IFERROR((P30/P29),"-")</f>
        <v>1.0837368612251888</v>
      </c>
      <c r="R29" s="40"/>
      <c r="S29" s="41" t="s">
        <v>37</v>
      </c>
      <c r="T29" s="43">
        <v>292078.47646263445</v>
      </c>
      <c r="U29" s="757">
        <v>0.85425102471426473</v>
      </c>
      <c r="V29" s="40"/>
      <c r="W29" s="41" t="s">
        <v>37</v>
      </c>
      <c r="X29" s="43">
        <f>X33+X37+X41+X45</f>
        <v>48323.852480407266</v>
      </c>
      <c r="Y29" s="762">
        <f>IFERROR((X30/X29),"-")</f>
        <v>0.95484370893953785</v>
      </c>
      <c r="Z29" s="40"/>
      <c r="AA29" s="71">
        <f t="shared" ref="AA29:AG30" si="3">AA33+AA37+AA41+AA45</f>
        <v>48323.852480407266</v>
      </c>
      <c r="AB29" s="71">
        <f t="shared" si="3"/>
        <v>48323.852480407266</v>
      </c>
      <c r="AC29" s="71">
        <f t="shared" si="3"/>
        <v>48323.852480407266</v>
      </c>
      <c r="AD29" s="71">
        <f t="shared" si="3"/>
        <v>48323.852480407266</v>
      </c>
      <c r="AE29" s="71">
        <f t="shared" si="3"/>
        <v>45383.852480407266</v>
      </c>
      <c r="AF29" s="71">
        <f t="shared" si="3"/>
        <v>45383.852480407266</v>
      </c>
      <c r="AG29" s="591">
        <f t="shared" si="3"/>
        <v>0</v>
      </c>
      <c r="AH29" s="43">
        <f>SUMIF($AA$7:$AG$7,"&lt;="&amp;$D$4,$AA29:$AG29)</f>
        <v>96647.704960814532</v>
      </c>
      <c r="AI29" s="757">
        <f>IFERROR((AH30/AH29),"-")</f>
        <v>0.94654542370824468</v>
      </c>
      <c r="AJ29" s="40"/>
      <c r="AK29" s="755">
        <f>AK33+AK37+AK41+AK45</f>
        <v>1313421.313330191</v>
      </c>
      <c r="AL29" s="755">
        <f>AL33+AL37+AL41+AL45</f>
        <v>576798.85183796857</v>
      </c>
      <c r="AM29" s="755">
        <f>AM33+AM37+AM41+AM45</f>
        <v>530966.13438066933</v>
      </c>
      <c r="AN29" s="757">
        <f>IFERROR((AM29/AL29),"-")</f>
        <v>0.92053951336544215</v>
      </c>
      <c r="AO29" s="40"/>
      <c r="AP29" s="755">
        <f ca="1">AP33+AP37+AP41+AP45</f>
        <v>2923690.1595808649</v>
      </c>
      <c r="AQ29" s="755">
        <f>AQ33+AQ37+AQ41+AQ45</f>
        <v>2363923.0144069516</v>
      </c>
      <c r="AR29" s="757">
        <f ca="1">IFERROR((AP29/AQ29),"-")</f>
        <v>1.2367958439265607</v>
      </c>
      <c r="AS29" s="40"/>
      <c r="AT29" s="755">
        <f>AT33+AT37+AT41+AT45</f>
        <v>9986485.5999999996</v>
      </c>
      <c r="AU29" s="755">
        <f ca="1">AU33+AU37+AU41+AU45</f>
        <v>2433677.9656090923</v>
      </c>
      <c r="AV29" s="40"/>
      <c r="AW29" s="753">
        <f ca="1">AW33+AW37+AW41+AW45</f>
        <v>48645.233827044111</v>
      </c>
      <c r="AX29" s="753">
        <f>AX33+AX37+AX41+AX45</f>
        <v>44247.177865055775</v>
      </c>
      <c r="AY29" s="753">
        <f ca="1">IF((AK29-AM29)/(Quadros!$D$4-Quadros!$D$6)&lt;0,"-",(AK29-AM29)/(Quadros!$D$4-Quadros!$D$6))</f>
        <v>52163.678596634774</v>
      </c>
      <c r="AZ29" s="40"/>
      <c r="BB29" s="4"/>
      <c r="BC29" s="4"/>
    </row>
    <row r="30" spans="1:55" s="44" customFormat="1" ht="21.6" hidden="1" customHeight="1">
      <c r="B30" s="133" t="s">
        <v>34</v>
      </c>
      <c r="C30" s="3"/>
      <c r="D30" s="760"/>
      <c r="E30" s="761"/>
      <c r="F30" s="40"/>
      <c r="G30" s="45" t="s">
        <v>38</v>
      </c>
      <c r="H30" s="43">
        <v>234873.33681192354</v>
      </c>
      <c r="I30" s="682"/>
      <c r="J30" s="40"/>
      <c r="K30" s="45" t="s">
        <v>38</v>
      </c>
      <c r="L30" s="43">
        <f>L34+L38+L42+L46</f>
        <v>253083.14717219403</v>
      </c>
      <c r="M30" s="682"/>
      <c r="N30" s="40"/>
      <c r="O30" s="45" t="s">
        <v>38</v>
      </c>
      <c r="P30" s="43">
        <v>264227.31372291892</v>
      </c>
      <c r="Q30" s="758"/>
      <c r="R30" s="40"/>
      <c r="S30" s="45" t="s">
        <v>38</v>
      </c>
      <c r="T30" s="43">
        <v>249508.33781518674</v>
      </c>
      <c r="U30" s="758"/>
      <c r="V30" s="40"/>
      <c r="W30" s="45" t="s">
        <v>38</v>
      </c>
      <c r="X30" s="43">
        <f>X34+X38+X42+X46</f>
        <v>46141.726532639157</v>
      </c>
      <c r="Y30" s="763"/>
      <c r="Z30" s="40"/>
      <c r="AA30" s="71">
        <f t="shared" si="3"/>
        <v>45339.71630992445</v>
      </c>
      <c r="AB30" s="71">
        <f t="shared" si="3"/>
        <v>46141.726532639157</v>
      </c>
      <c r="AC30" s="71">
        <f t="shared" si="3"/>
        <v>0</v>
      </c>
      <c r="AD30" s="71">
        <f t="shared" si="3"/>
        <v>0</v>
      </c>
      <c r="AE30" s="71">
        <f t="shared" si="3"/>
        <v>0</v>
      </c>
      <c r="AF30" s="71">
        <f t="shared" si="3"/>
        <v>0</v>
      </c>
      <c r="AG30" s="71">
        <f t="shared" si="3"/>
        <v>0</v>
      </c>
      <c r="AH30" s="43">
        <f>SUMIF($AA$7:$AG$7,"&lt;="&amp;$D$4,$AA30:$AG30)</f>
        <v>91481.442842563614</v>
      </c>
      <c r="AI30" s="758"/>
      <c r="AJ30" s="40"/>
      <c r="AK30" s="756"/>
      <c r="AL30" s="756"/>
      <c r="AM30" s="756"/>
      <c r="AN30" s="758"/>
      <c r="AO30" s="40"/>
      <c r="AP30" s="756"/>
      <c r="AQ30" s="756"/>
      <c r="AR30" s="758"/>
      <c r="AS30" s="40"/>
      <c r="AT30" s="756"/>
      <c r="AU30" s="756"/>
      <c r="AV30" s="40"/>
      <c r="AW30" s="754"/>
      <c r="AX30" s="754"/>
      <c r="AY30" s="754"/>
      <c r="AZ30" s="40"/>
      <c r="BB30"/>
      <c r="BC30"/>
    </row>
    <row r="31" spans="1:55" ht="3.6" hidden="1" customHeight="1">
      <c r="B31" s="17" t="s">
        <v>34</v>
      </c>
      <c r="C31" s="3"/>
      <c r="D31" s="3"/>
      <c r="E31" s="3"/>
      <c r="G31" s="35"/>
      <c r="H31" s="37"/>
      <c r="I31" s="228"/>
      <c r="J31" s="3"/>
      <c r="K31" s="35"/>
      <c r="L31" s="37"/>
      <c r="M31" s="228"/>
      <c r="O31" s="35"/>
      <c r="P31" s="37"/>
      <c r="Q31" s="228"/>
      <c r="S31" s="35"/>
      <c r="T31" s="37"/>
      <c r="U31" s="228"/>
      <c r="V31" s="3"/>
      <c r="W31" s="35"/>
      <c r="X31" s="35"/>
      <c r="Y31" s="3"/>
      <c r="Z31" s="3"/>
      <c r="AA31" s="37"/>
      <c r="AB31" s="37"/>
      <c r="AC31" s="37"/>
      <c r="AD31" s="37"/>
      <c r="AE31" s="37"/>
      <c r="AF31" s="37"/>
      <c r="AG31" s="37"/>
      <c r="AH31" s="37"/>
      <c r="AI31" s="228"/>
      <c r="AJ31" s="3"/>
      <c r="AK31" s="249"/>
      <c r="AL31" s="249"/>
      <c r="AM31" s="249"/>
      <c r="AN31" s="228"/>
      <c r="AO31" s="3"/>
      <c r="AP31" s="249"/>
      <c r="AQ31" s="249"/>
      <c r="AR31" s="228"/>
      <c r="AS31" s="3"/>
      <c r="AT31" s="250"/>
      <c r="AU31" s="250"/>
      <c r="AV31" s="3"/>
      <c r="AW31" s="251"/>
      <c r="AX31" s="251"/>
      <c r="AY31" s="251"/>
      <c r="AZ31" s="3"/>
      <c r="BB31" s="44"/>
      <c r="BC31" s="44"/>
    </row>
    <row r="32" spans="1:55" ht="5.0999999999999996" hidden="1" customHeight="1">
      <c r="B32" s="17" t="s">
        <v>34</v>
      </c>
      <c r="C32" s="3"/>
      <c r="D32" s="3"/>
      <c r="E32" s="3"/>
      <c r="G32" s="35"/>
      <c r="H32" s="37"/>
      <c r="I32" s="228"/>
      <c r="J32" s="3"/>
      <c r="K32" s="35"/>
      <c r="L32" s="37"/>
      <c r="M32" s="228"/>
      <c r="O32" s="35"/>
      <c r="P32" s="37"/>
      <c r="Q32" s="228"/>
      <c r="S32" s="35"/>
      <c r="T32" s="37"/>
      <c r="U32" s="228"/>
      <c r="V32" s="3"/>
      <c r="W32" s="35"/>
      <c r="X32" s="35"/>
      <c r="Y32" s="3"/>
      <c r="Z32" s="3"/>
      <c r="AA32" s="37"/>
      <c r="AB32" s="37"/>
      <c r="AC32" s="37"/>
      <c r="AD32" s="37"/>
      <c r="AE32" s="37"/>
      <c r="AF32" s="37"/>
      <c r="AG32" s="37"/>
      <c r="AH32" s="37"/>
      <c r="AI32" s="228"/>
      <c r="AJ32" s="3"/>
      <c r="AK32" s="249"/>
      <c r="AL32" s="249"/>
      <c r="AM32" s="249"/>
      <c r="AN32" s="228"/>
      <c r="AO32" s="3"/>
      <c r="AP32" s="249"/>
      <c r="AQ32" s="249"/>
      <c r="AR32" s="228"/>
      <c r="AS32" s="3"/>
      <c r="AT32" s="250"/>
      <c r="AU32" s="250"/>
      <c r="AV32" s="3"/>
      <c r="AW32" s="251"/>
      <c r="AX32" s="251"/>
      <c r="AY32" s="251"/>
      <c r="AZ32" s="3"/>
      <c r="BB32" s="4"/>
      <c r="BC32" s="4"/>
    </row>
    <row r="33" spans="1:55" s="21" customFormat="1" ht="18" hidden="1" customHeight="1" outlineLevel="1">
      <c r="A33" s="21" t="s">
        <v>39</v>
      </c>
      <c r="B33" s="134" t="s">
        <v>34</v>
      </c>
      <c r="C33" s="3"/>
      <c r="D33" s="739" t="s">
        <v>40</v>
      </c>
      <c r="E33" s="740" t="s">
        <v>36</v>
      </c>
      <c r="F33" s="2"/>
      <c r="G33" s="53" t="s">
        <v>37</v>
      </c>
      <c r="H33" s="52">
        <v>4620</v>
      </c>
      <c r="I33" s="677">
        <f>IFERROR((H34/H33),"-")</f>
        <v>0.86643290043290044</v>
      </c>
      <c r="J33" s="2"/>
      <c r="K33" s="53" t="s">
        <v>37</v>
      </c>
      <c r="L33" s="52">
        <v>11577</v>
      </c>
      <c r="M33" s="677">
        <f>IFERROR((L34/L33),"-")</f>
        <v>0.58075840027641012</v>
      </c>
      <c r="N33" s="2"/>
      <c r="O33" s="53" t="s">
        <v>37</v>
      </c>
      <c r="P33" s="52">
        <v>12880</v>
      </c>
      <c r="Q33" s="741">
        <f>IFERROR((P34/P33),"-")</f>
        <v>0.53054037267080745</v>
      </c>
      <c r="R33" s="2"/>
      <c r="S33" s="53" t="s">
        <v>37</v>
      </c>
      <c r="T33" s="52">
        <v>20539</v>
      </c>
      <c r="U33" s="741">
        <v>0.24082964117045627</v>
      </c>
      <c r="V33" s="2"/>
      <c r="W33" s="53" t="s">
        <v>37</v>
      </c>
      <c r="X33" s="52">
        <f>SUMIF($AA$7:$AG$7,"="&amp;$D$4,$AA33:$AG33)</f>
        <v>4900</v>
      </c>
      <c r="Y33" s="743">
        <f>IFERROR((X34/X33),"-")</f>
        <v>0.40191836734693881</v>
      </c>
      <c r="Z33" s="2"/>
      <c r="AA33" s="52">
        <f>SUMIFS('Report Pacote 0405'!P:P,'Report Pacote 0405'!$AV:$AV,$D$29,'Report Pacote 0405'!$AW:$AW,$A$33,'Report Pacote 0405'!$H:$H,$W33)+SUMIFS('Report Pacote 0405'!P:P,'Report Pacote 0405'!$AV:$AV,$D$29,'Report Pacote 0405'!$AW:$AW,$A$34,'Report Pacote 0405'!$H:$H,$W33)</f>
        <v>4900</v>
      </c>
      <c r="AB33" s="52">
        <f>SUMIFS('Report Pacote 0405'!Q:Q,'Report Pacote 0405'!$AV:$AV,$D$29,'Report Pacote 0405'!$AW:$AW,$A$33,'Report Pacote 0405'!$H:$H,$W33)+SUMIFS('Report Pacote 0405'!Q:Q,'Report Pacote 0405'!$AV:$AV,$D$29,'Report Pacote 0405'!$AW:$AW,$A$34,'Report Pacote 0405'!$H:$H,$W33)</f>
        <v>4900</v>
      </c>
      <c r="AC33" s="52">
        <f>SUMIFS('Report Pacote 0405'!R:R,'Report Pacote 0405'!$AV:$AV,$D$29,'Report Pacote 0405'!$AW:$AW,$A$33,'Report Pacote 0405'!$H:$H,$W33)+SUMIFS('Report Pacote 0405'!R:R,'Report Pacote 0405'!$AV:$AV,$D$29,'Report Pacote 0405'!$AW:$AW,$A$34,'Report Pacote 0405'!$H:$H,$W33)</f>
        <v>4900</v>
      </c>
      <c r="AD33" s="52">
        <f>SUMIFS('Report Pacote 0405'!S:S,'Report Pacote 0405'!$AV:$AV,$D$29,'Report Pacote 0405'!$AW:$AW,$A$33,'Report Pacote 0405'!$H:$H,$W33)+SUMIFS('Report Pacote 0405'!S:S,'Report Pacote 0405'!$AV:$AV,$D$29,'Report Pacote 0405'!$AW:$AW,$A$34,'Report Pacote 0405'!$H:$H,$W33)</f>
        <v>4900</v>
      </c>
      <c r="AE33" s="52">
        <f>SUMIFS('Report Pacote 0405'!T:T,'Report Pacote 0405'!$AV:$AV,$D$29,'Report Pacote 0405'!$AW:$AW,$A$33,'Report Pacote 0405'!$H:$H,$W33)+SUMIFS('Report Pacote 0405'!T:T,'Report Pacote 0405'!$AV:$AV,$D$29,'Report Pacote 0405'!$AW:$AW,$A$34,'Report Pacote 0405'!$H:$H,$W33)</f>
        <v>4200</v>
      </c>
      <c r="AF33" s="52">
        <f>SUMIFS('Report Pacote 0405'!U:U,'Report Pacote 0405'!$AV:$AV,$D$29,'Report Pacote 0405'!$AW:$AW,$A$33,'Report Pacote 0405'!$H:$H,$W33)+SUMIFS('Report Pacote 0405'!U:U,'Report Pacote 0405'!$AV:$AV,$D$29,'Report Pacote 0405'!$AW:$AW,$A$34,'Report Pacote 0405'!$H:$H,$W33)</f>
        <v>4200</v>
      </c>
      <c r="AG33" s="52">
        <f>SUMIFS('Report Pacote 0405'!V:V,'Report Pacote 0405'!$AV:$AV,$D$29,'Report Pacote 0405'!$AW:$AW,$A$33,'Report Pacote 0405'!$H:$H,$W33)+SUMIFS('Report Pacote 0405'!V:V,'Report Pacote 0405'!$AV:$AV,$D$29,'Report Pacote 0405'!$AW:$AW,$A$34,'Report Pacote 0405'!$H:$H,$W33)</f>
        <v>0</v>
      </c>
      <c r="AH33" s="52">
        <f>SUMIF($AA$7:$AG$7,"&lt;="&amp;$D$4,$AA33:$AG33)</f>
        <v>9800</v>
      </c>
      <c r="AI33" s="741">
        <f>IFERROR((AH34/AH33),"-")</f>
        <v>0.24208571428571429</v>
      </c>
      <c r="AJ33" s="2"/>
      <c r="AK33" s="737">
        <f>SUMIFS('Report Pacote 0405'!AA:AA,'Report Pacote 0405'!$AV:$AV,$D$29,'Report Pacote 0405'!$AW:$AW,$A$33,'Report Pacote 0405'!$H:$H,$W33)+SUMIFS('Report Pacote 0405'!AA:AA,'Report Pacote 0405'!$AV:$AV,$D$29,'Report Pacote 0405'!$AW:$AW,$A$34,'Report Pacote 0405'!$H:$H,$W33)</f>
        <v>58977.560000000005</v>
      </c>
      <c r="AL33" s="737">
        <f>SUMIFS('Report Pacote 0405'!AB:AB,'Report Pacote 0405'!$AV:$AV,$D$29,'Report Pacote 0405'!$AW:$AW,$A$34,'Report Pacote 0405'!$H:$H,$W33)+SUMIFS('Report Pacote 0405'!AB:AB,'Report Pacote 0405'!$AV:$AV,$D$29,'Report Pacote 0405'!$AW:$AW,$A$33,'Report Pacote 0405'!$H:$H,$W33)</f>
        <v>21542.52</v>
      </c>
      <c r="AM33" s="737">
        <f>SUMIFS('Report Pacote 0405'!AC:AC,'Report Pacote 0405'!$AV:$AV,$D$29,'Report Pacote 0405'!$AW:$AW,$A$33,'Report Pacote 0405'!$H:$H,$W33)+SUMIFS('Report Pacote 0405'!AC:AC,'Report Pacote 0405'!$AV:$AV,$D$29,'Report Pacote 0405'!$AW:$AW,$A$34,'Report Pacote 0405'!$H:$H,$W33)</f>
        <v>12851.48</v>
      </c>
      <c r="AN33" s="745">
        <f>IFERROR((AM33/AL33),"-")</f>
        <v>0.59656344754466972</v>
      </c>
      <c r="AO33" s="700"/>
      <c r="AP33" s="737">
        <f>SUMIFS('Report Pacote 0405'!AK:AK,'Report Pacote 0405'!$AV:$AV,$D$29,'Report Pacote 0405'!$AW:$AW,$A$33,'Report Pacote 0405'!$H:$H,$W33)+SUMIFS('Report Pacote 0405'!AK:AK,'Report Pacote 0405'!$AV:$AV,$D$29,'Report Pacote 0405'!$AW:$AW,$A$34,'Report Pacote 0405'!$H:$H,$W33)</f>
        <v>1715348.0829999999</v>
      </c>
      <c r="AQ33" s="737">
        <f>SUMIFS('Report Pacote 0405'!AL:AL,'Report Pacote 0405'!$AV:$AV,$D$29,'Report Pacote 0405'!$AW:$AW,$A$33,'Report Pacote 0405'!$H:$H,$W33)+SUMIFS('Report Pacote 0405'!AL:AL,'Report Pacote 0405'!$AV:$AV,$D$29,'Report Pacote 0405'!$AW:$AW,$A$34,'Report Pacote 0405'!$H:$H,$W33)</f>
        <v>1011217.92</v>
      </c>
      <c r="AR33" s="745">
        <f>IFERROR((AP33/AQ33),"-")</f>
        <v>1.6963189131379315</v>
      </c>
      <c r="AS33" s="700"/>
      <c r="AT33" s="737">
        <f>SUMIFS('Report Pacote 0405'!AO:AO,'Report Pacote 0405'!$AV:$AV,$D$29,'Report Pacote 0405'!$AW:$AW,$A$33,'Report Pacote 0405'!$H:$H,$W33)+SUMIFS('Report Pacote 0405'!AO:AO,'Report Pacote 0405'!$AV:$AV,$D$29,'Report Pacote 0405'!$AW:$AW,$A$34,'Report Pacote 0405'!$H:$H,$W33)</f>
        <v>1082483.1200000001</v>
      </c>
      <c r="AU33" s="737">
        <f>SUMIFS('Report Pacote 0405'!AP:AP,'Report Pacote 0405'!$AV:$AV,$D$29,'Report Pacote 0405'!$AW:$AW,$A$33,'Report Pacote 0405'!$H:$H,$W33)+SUMIFS('Report Pacote 0405'!AP:AP,'Report Pacote 0405'!$AV:$AV,$D$29,'Report Pacote 0405'!$AW:$AW,$A$34,'Report Pacote 0405'!$H:$H,$W33)</f>
        <v>-631582.56300000008</v>
      </c>
      <c r="AV33" s="700"/>
      <c r="AW33" s="737">
        <f ca="1">AK33/Quadros!$D$4</f>
        <v>2184.3540740740741</v>
      </c>
      <c r="AX33" s="737">
        <f>AM33/Quadros!$D$6</f>
        <v>1070.9566666666667</v>
      </c>
      <c r="AY33" s="737">
        <f ca="1">IF((AK33-AM33)/(Quadros!$D$4-Quadros!$D$6)&lt;0,"-",(AK33-AM33)/(Quadros!$D$4-Quadros!$D$6))</f>
        <v>3075.0720000000001</v>
      </c>
      <c r="AZ33" s="3"/>
      <c r="BA33" s="138"/>
      <c r="BB33"/>
      <c r="BC33"/>
    </row>
    <row r="34" spans="1:55" s="16" customFormat="1" ht="18" hidden="1" customHeight="1" outlineLevel="1" thickBot="1">
      <c r="A34" s="21" t="s">
        <v>41</v>
      </c>
      <c r="B34" s="133" t="s">
        <v>34</v>
      </c>
      <c r="C34" s="3"/>
      <c r="D34" s="739"/>
      <c r="E34" s="740"/>
      <c r="F34" s="2"/>
      <c r="G34" s="54" t="s">
        <v>38</v>
      </c>
      <c r="H34" s="52">
        <v>4002.92</v>
      </c>
      <c r="I34" s="678"/>
      <c r="J34" s="2"/>
      <c r="K34" s="54" t="s">
        <v>38</v>
      </c>
      <c r="L34" s="52">
        <v>6723.44</v>
      </c>
      <c r="M34" s="678"/>
      <c r="N34" s="2"/>
      <c r="O34" s="54" t="s">
        <v>38</v>
      </c>
      <c r="P34" s="52">
        <v>6833.3600000000006</v>
      </c>
      <c r="Q34" s="742"/>
      <c r="R34" s="2"/>
      <c r="S34" s="54" t="s">
        <v>38</v>
      </c>
      <c r="T34" s="52">
        <v>4946.4000000000015</v>
      </c>
      <c r="U34" s="742"/>
      <c r="V34" s="2"/>
      <c r="W34" s="54" t="s">
        <v>38</v>
      </c>
      <c r="X34" s="52">
        <f>SUMIF($AA$7:$AG$7,"="&amp;$D$4,$AA34:$AG34)</f>
        <v>1969.4</v>
      </c>
      <c r="Y34" s="744"/>
      <c r="Z34" s="2"/>
      <c r="AA34" s="52">
        <f>SUMIFS('Report Pacote 0405'!P:P,'Report Pacote 0405'!$AV:$AV,$D$29,'Report Pacote 0405'!$AW:$AW,$A$33,'Report Pacote 0405'!$H:$H,$W34)+SUMIFS('Report Pacote 0405'!P:P,'Report Pacote 0405'!$AV:$AV,$D$29,'Report Pacote 0405'!$AW:$AW,$A$34,'Report Pacote 0405'!$H:$H,$W34)</f>
        <v>403.04</v>
      </c>
      <c r="AB34" s="52">
        <f>SUMIFS('Report Pacote 0405'!Q:Q,'Report Pacote 0405'!$AV:$AV,$D$29,'Report Pacote 0405'!$AW:$AW,$A$33,'Report Pacote 0405'!$H:$H,$W34)+SUMIFS('Report Pacote 0405'!Q:Q,'Report Pacote 0405'!$AV:$AV,$D$29,'Report Pacote 0405'!$AW:$AW,$A$34,'Report Pacote 0405'!$H:$H,$W34)</f>
        <v>1969.4</v>
      </c>
      <c r="AC34" s="52">
        <f>SUMIFS('Report Pacote 0405'!R:R,'Report Pacote 0405'!$AV:$AV,$D$29,'Report Pacote 0405'!$AW:$AW,$A$33,'Report Pacote 0405'!$H:$H,$W34)+SUMIFS('Report Pacote 0405'!R:R,'Report Pacote 0405'!$AV:$AV,$D$29,'Report Pacote 0405'!$AW:$AW,$A$34,'Report Pacote 0405'!$H:$H,$W34)</f>
        <v>0</v>
      </c>
      <c r="AD34" s="52">
        <f>SUMIFS('Report Pacote 0405'!S:S,'Report Pacote 0405'!$AV:$AV,$D$29,'Report Pacote 0405'!$AW:$AW,$A$33,'Report Pacote 0405'!$H:$H,$W34)+SUMIFS('Report Pacote 0405'!S:S,'Report Pacote 0405'!$AV:$AV,$D$29,'Report Pacote 0405'!$AW:$AW,$A$34,'Report Pacote 0405'!$H:$H,$W34)</f>
        <v>0</v>
      </c>
      <c r="AE34" s="52">
        <f>SUMIFS('Report Pacote 0405'!T:T,'Report Pacote 0405'!$AV:$AV,$D$29,'Report Pacote 0405'!$AW:$AW,$A$33,'Report Pacote 0405'!$H:$H,$W34)+SUMIFS('Report Pacote 0405'!T:T,'Report Pacote 0405'!$AV:$AV,$D$29,'Report Pacote 0405'!$AW:$AW,$A$34,'Report Pacote 0405'!$H:$H,$W34)</f>
        <v>0</v>
      </c>
      <c r="AF34" s="52">
        <f>SUMIFS('Report Pacote 0405'!U:U,'Report Pacote 0405'!$AV:$AV,$D$29,'Report Pacote 0405'!$AW:$AW,$A$33,'Report Pacote 0405'!$H:$H,$W34)+SUMIFS('Report Pacote 0405'!U:U,'Report Pacote 0405'!$AV:$AV,$D$29,'Report Pacote 0405'!$AW:$AW,$A$34,'Report Pacote 0405'!$H:$H,$W34)</f>
        <v>0</v>
      </c>
      <c r="AG34" s="52">
        <f>SUMIFS('Report Pacote 0405'!V:V,'Report Pacote 0405'!$AV:$AV,$D$29,'Report Pacote 0405'!$AW:$AW,$A$33,'Report Pacote 0405'!$H:$H,$W34)+SUMIFS('Report Pacote 0405'!V:V,'Report Pacote 0405'!$AV:$AV,$D$29,'Report Pacote 0405'!$AW:$AW,$A$34,'Report Pacote 0405'!$H:$H,$W34)</f>
        <v>0</v>
      </c>
      <c r="AH34" s="52">
        <f>SUMIF($AA$7:$AG$7,"&lt;="&amp;$D$4,$AA34:$AG34)</f>
        <v>2372.44</v>
      </c>
      <c r="AI34" s="742"/>
      <c r="AJ34" s="2"/>
      <c r="AK34" s="738"/>
      <c r="AL34" s="738"/>
      <c r="AM34" s="738"/>
      <c r="AN34" s="746"/>
      <c r="AO34" s="700"/>
      <c r="AP34" s="738"/>
      <c r="AQ34" s="738"/>
      <c r="AR34" s="784"/>
      <c r="AS34" s="700"/>
      <c r="AT34" s="738"/>
      <c r="AU34" s="738"/>
      <c r="AV34" s="700"/>
      <c r="AW34" s="738"/>
      <c r="AX34" s="738"/>
      <c r="AY34" s="738"/>
      <c r="AZ34" s="3"/>
      <c r="BB34" s="44"/>
      <c r="BC34" s="44"/>
    </row>
    <row r="35" spans="1:55" ht="17.25" hidden="1" outlineLevel="1">
      <c r="A35" s="4"/>
      <c r="B35" s="17" t="s">
        <v>34</v>
      </c>
      <c r="C35" s="3"/>
      <c r="D35" s="3"/>
      <c r="E35" s="3"/>
      <c r="G35" s="3"/>
      <c r="H35" s="37"/>
      <c r="I35" s="228"/>
      <c r="J35" s="3"/>
      <c r="K35" s="3"/>
      <c r="L35" s="37"/>
      <c r="M35" s="228"/>
      <c r="O35" s="3"/>
      <c r="P35" s="37"/>
      <c r="Q35" s="228"/>
      <c r="S35" s="3"/>
      <c r="T35" s="37"/>
      <c r="U35" s="228"/>
      <c r="V35" s="3"/>
      <c r="W35" s="3"/>
      <c r="X35" s="3"/>
      <c r="Y35" s="3"/>
      <c r="Z35" s="3"/>
      <c r="AA35" s="37"/>
      <c r="AB35" s="37"/>
      <c r="AC35" s="37"/>
      <c r="AD35" s="37"/>
      <c r="AE35" s="37"/>
      <c r="AF35" s="37"/>
      <c r="AG35" s="37"/>
      <c r="AH35" s="37"/>
      <c r="AI35" s="228"/>
      <c r="AJ35" s="3"/>
      <c r="AK35" s="251"/>
      <c r="AL35" s="251"/>
      <c r="AM35" s="251"/>
      <c r="AN35" s="701"/>
      <c r="AO35" s="702"/>
      <c r="AP35" s="251"/>
      <c r="AQ35" s="251"/>
      <c r="AR35" s="701"/>
      <c r="AS35" s="702"/>
      <c r="AT35" s="251"/>
      <c r="AU35" s="251"/>
      <c r="AV35" s="700"/>
      <c r="AW35" s="251"/>
      <c r="AX35" s="251"/>
      <c r="AY35" s="251"/>
      <c r="AZ35" s="3"/>
      <c r="BB35" s="4"/>
      <c r="BC35" s="4"/>
    </row>
    <row r="36" spans="1:55" ht="5.0999999999999996" hidden="1" customHeight="1" outlineLevel="1">
      <c r="A36" s="4"/>
      <c r="B36" s="17" t="s">
        <v>34</v>
      </c>
      <c r="C36" s="3"/>
      <c r="D36" s="3"/>
      <c r="E36" s="3"/>
      <c r="G36" s="3"/>
      <c r="H36" s="37"/>
      <c r="I36" s="228"/>
      <c r="J36" s="3"/>
      <c r="K36" s="3"/>
      <c r="L36" s="37"/>
      <c r="M36" s="228"/>
      <c r="O36" s="3"/>
      <c r="P36" s="37"/>
      <c r="Q36" s="228"/>
      <c r="S36" s="3"/>
      <c r="T36" s="37"/>
      <c r="U36" s="228"/>
      <c r="V36" s="3"/>
      <c r="W36" s="3"/>
      <c r="X36" s="35"/>
      <c r="Y36" s="3"/>
      <c r="Z36" s="3"/>
      <c r="AA36" s="35"/>
      <c r="AB36" s="35"/>
      <c r="AC36" s="35"/>
      <c r="AD36" s="35"/>
      <c r="AE36" s="35"/>
      <c r="AF36" s="35"/>
      <c r="AG36" s="35"/>
      <c r="AH36" s="37"/>
      <c r="AI36" s="228"/>
      <c r="AJ36" s="3"/>
      <c r="AK36" s="251"/>
      <c r="AL36" s="251"/>
      <c r="AM36" s="251"/>
      <c r="AN36" s="701"/>
      <c r="AO36" s="702"/>
      <c r="AP36" s="251"/>
      <c r="AQ36" s="251"/>
      <c r="AR36" s="701"/>
      <c r="AS36" s="702"/>
      <c r="AT36" s="251"/>
      <c r="AU36" s="251"/>
      <c r="AV36" s="700"/>
      <c r="AW36" s="251"/>
      <c r="AX36" s="251"/>
      <c r="AY36" s="251"/>
      <c r="AZ36" s="3"/>
    </row>
    <row r="37" spans="1:55" s="21" customFormat="1" ht="18" hidden="1" customHeight="1" outlineLevel="1">
      <c r="A37" s="21" t="s">
        <v>42</v>
      </c>
      <c r="B37" s="134" t="s">
        <v>34</v>
      </c>
      <c r="C37" s="3"/>
      <c r="D37" s="739" t="s">
        <v>43</v>
      </c>
      <c r="E37" s="740" t="s">
        <v>36</v>
      </c>
      <c r="F37" s="2"/>
      <c r="G37" s="53" t="s">
        <v>37</v>
      </c>
      <c r="H37" s="52">
        <v>84672</v>
      </c>
      <c r="I37" s="677">
        <f>IFERROR((H38/H37),"-")</f>
        <v>1.1132950680272109</v>
      </c>
      <c r="J37" s="2"/>
      <c r="K37" s="53" t="s">
        <v>37</v>
      </c>
      <c r="L37" s="52">
        <v>84352</v>
      </c>
      <c r="M37" s="677">
        <f>IFERROR((L38/L37),"-")</f>
        <v>1.2425597496206373</v>
      </c>
      <c r="N37" s="2"/>
      <c r="O37" s="53" t="s">
        <v>37</v>
      </c>
      <c r="P37" s="52">
        <v>90752</v>
      </c>
      <c r="Q37" s="741">
        <f>IFERROR((P38/P37),"-")</f>
        <v>1.3887566114245415</v>
      </c>
      <c r="R37" s="2"/>
      <c r="S37" s="53" t="s">
        <v>37</v>
      </c>
      <c r="T37" s="52">
        <v>112496</v>
      </c>
      <c r="U37" s="741">
        <v>1.0341804153036551</v>
      </c>
      <c r="V37" s="2"/>
      <c r="W37" s="53" t="s">
        <v>37</v>
      </c>
      <c r="X37" s="52">
        <f>SUMIF($AA$7:$AG$7,"="&amp;$D$4,$AA37:$AG37)</f>
        <v>18536</v>
      </c>
      <c r="Y37" s="743">
        <f>IFERROR((X38/X37),"-")</f>
        <v>1.2047949935261115</v>
      </c>
      <c r="Z37" s="2"/>
      <c r="AA37" s="52">
        <f>SUMIFS('Report Pacote 0405'!P:P,'Report Pacote 0405'!$AV:$AV,$D$29,'Report Pacote 0405'!$AW:$AW,$A$37,'Report Pacote 0405'!$H:$H,$W37)+SUMIFS('Report Pacote 0405'!P:P,'Report Pacote 0405'!$AV:$AV,$D$29,'Report Pacote 0405'!$AW:$AW,$A$38,'Report Pacote 0405'!$H:$H,$W37)+SUMIFS('Report Pacote 0405'!P:P,'Report Pacote 0405'!$AV:$AV,$D$29,'Report Pacote 0405'!$AW:$AW,$A$39,'Report Pacote 0405'!$H:$H,$W37)</f>
        <v>18536</v>
      </c>
      <c r="AB37" s="52">
        <f>SUMIFS('Report Pacote 0405'!Q:Q,'Report Pacote 0405'!$AV:$AV,$D$29,'Report Pacote 0405'!$AW:$AW,$A$37,'Report Pacote 0405'!$H:$H,$W37)+SUMIFS('Report Pacote 0405'!Q:Q,'Report Pacote 0405'!$AV:$AV,$D$29,'Report Pacote 0405'!$AW:$AW,$A$38,'Report Pacote 0405'!$H:$H,$W37)+SUMIFS('Report Pacote 0405'!Q:Q,'Report Pacote 0405'!$AV:$AV,$D$29,'Report Pacote 0405'!$AW:$AW,$A$39,'Report Pacote 0405'!$H:$H,$W37)</f>
        <v>18536</v>
      </c>
      <c r="AC37" s="52">
        <f>SUMIFS('Report Pacote 0405'!R:R,'Report Pacote 0405'!$AV:$AV,$D$29,'Report Pacote 0405'!$AW:$AW,$A$37,'Report Pacote 0405'!$H:$H,$W37)+SUMIFS('Report Pacote 0405'!R:R,'Report Pacote 0405'!$AV:$AV,$D$29,'Report Pacote 0405'!$AW:$AW,$A$38,'Report Pacote 0405'!$H:$H,$W37)+SUMIFS('Report Pacote 0405'!R:R,'Report Pacote 0405'!$AV:$AV,$D$29,'Report Pacote 0405'!$AW:$AW,$A$39,'Report Pacote 0405'!$H:$H,$W37)</f>
        <v>18536</v>
      </c>
      <c r="AD37" s="52">
        <f>SUMIFS('Report Pacote 0405'!S:S,'Report Pacote 0405'!$AV:$AV,$D$29,'Report Pacote 0405'!$AW:$AW,$A$37,'Report Pacote 0405'!$H:$H,$W37)+SUMIFS('Report Pacote 0405'!S:S,'Report Pacote 0405'!$AV:$AV,$D$29,'Report Pacote 0405'!$AW:$AW,$A$38,'Report Pacote 0405'!$H:$H,$W37)+SUMIFS('Report Pacote 0405'!S:S,'Report Pacote 0405'!$AV:$AV,$D$29,'Report Pacote 0405'!$AW:$AW,$A$39,'Report Pacote 0405'!$H:$H,$W37)</f>
        <v>18536</v>
      </c>
      <c r="AE37" s="52">
        <f>SUMIFS('Report Pacote 0405'!T:T,'Report Pacote 0405'!$AV:$AV,$D$29,'Report Pacote 0405'!$AW:$AW,$A$37,'Report Pacote 0405'!$H:$H,$W37)+SUMIFS('Report Pacote 0405'!T:T,'Report Pacote 0405'!$AV:$AV,$D$29,'Report Pacote 0405'!$AW:$AW,$A$38,'Report Pacote 0405'!$H:$H,$W37)+SUMIFS('Report Pacote 0405'!T:T,'Report Pacote 0405'!$AV:$AV,$D$29,'Report Pacote 0405'!$AW:$AW,$A$39,'Report Pacote 0405'!$H:$H,$W37)</f>
        <v>16296</v>
      </c>
      <c r="AF37" s="52">
        <f>SUMIFS('Report Pacote 0405'!U:U,'Report Pacote 0405'!$AV:$AV,$D$29,'Report Pacote 0405'!$AW:$AW,$A$37,'Report Pacote 0405'!$H:$H,$W37)+SUMIFS('Report Pacote 0405'!U:U,'Report Pacote 0405'!$AV:$AV,$D$29,'Report Pacote 0405'!$AW:$AW,$A$38,'Report Pacote 0405'!$H:$H,$W37)+SUMIFS('Report Pacote 0405'!U:U,'Report Pacote 0405'!$AV:$AV,$D$29,'Report Pacote 0405'!$AW:$AW,$A$39,'Report Pacote 0405'!$H:$H,$W37)</f>
        <v>16296</v>
      </c>
      <c r="AG37" s="52">
        <f>SUMIFS('Report Pacote 0405'!V:V,'Report Pacote 0405'!$AV:$AV,$D$29,'Report Pacote 0405'!$AW:$AW,$A$37,'Report Pacote 0405'!$H:$H,$W37)+SUMIFS('Report Pacote 0405'!V:V,'Report Pacote 0405'!$AV:$AV,$D$29,'Report Pacote 0405'!$AW:$AW,$A$38,'Report Pacote 0405'!$H:$H,$W37)+SUMIFS('Report Pacote 0405'!V:V,'Report Pacote 0405'!$AV:$AV,$D$29,'Report Pacote 0405'!$AW:$AW,$A$39,'Report Pacote 0405'!$H:$H,$W37)</f>
        <v>0</v>
      </c>
      <c r="AH37" s="52">
        <f>SUMIF($AA$7:$AG$7,"&lt;="&amp;$D$4,$AA37:$AG37)</f>
        <v>37072</v>
      </c>
      <c r="AI37" s="741">
        <f>IFERROR((AH38/AH37),"-")</f>
        <v>1.2376575312904619</v>
      </c>
      <c r="AJ37" s="2"/>
      <c r="AK37" s="737">
        <f>SUMIFS('Report Pacote 0405'!AA:AA,'Report Pacote 0405'!$AV:$AV,$D$29,'Report Pacote 0405'!$AW:$AW,$A$38,'Report Pacote 0405'!$H:$H,$W37)+SUMIFS('Report Pacote 0405'!AA:AA,'Report Pacote 0405'!$AV:$AV,$D$29,'Report Pacote 0405'!$AW:$AW,$A$37,'Report Pacote 0405'!$H:$H,$W37)+SUMIFS('Report Pacote 0405'!AA:AA,'Report Pacote 0405'!$AV:$AV,$D$29,'Report Pacote 0405'!$AW:$AW,$A$39,'Report Pacote 0405'!$H:$H,$W37)</f>
        <v>613003.13</v>
      </c>
      <c r="AL37" s="737">
        <f>SUMIFS('Report Pacote 0405'!AB:AB,'Report Pacote 0405'!$AV:$AV,$D$29,'Report Pacote 0405'!$AW:$AW,$A$38,'Report Pacote 0405'!$H:$H,$W37)+SUMIFS('Report Pacote 0405'!AB:AB,'Report Pacote 0405'!$AV:$AV,$D$29,'Report Pacote 0405'!$AW:$AW,$A$37,'Report Pacote 0405'!$H:$H,$W37)+SUMIFS('Report Pacote 0405'!AB:AB,'Report Pacote 0405'!$AV:$AV,$D$29,'Report Pacote 0405'!$AW:$AW,$A$39,'Report Pacote 0405'!$H:$H,$W37)</f>
        <v>264642.37</v>
      </c>
      <c r="AM37" s="737">
        <f>SUMIFS('Report Pacote 0405'!AC:AC,'Report Pacote 0405'!$AV:$AV,$D$29,'Report Pacote 0405'!$AW:$AW,$A$38,'Report Pacote 0405'!$H:$H,$W37)+SUMIFS('Report Pacote 0405'!AC:AC,'Report Pacote 0405'!$AV:$AV,$D$29,'Report Pacote 0405'!$AW:$AW,$A$37,'Report Pacote 0405'!$H:$H,$W37)+SUMIFS('Report Pacote 0405'!AC:AC,'Report Pacote 0405'!$AV:$AV,$D$29,'Report Pacote 0405'!$AW:$AW,$A$39,'Report Pacote 0405'!$H:$H,$W37)</f>
        <v>249280.24000000005</v>
      </c>
      <c r="AN37" s="745">
        <f>IFERROR((AM37/AL37),"-")</f>
        <v>0.94195135873367541</v>
      </c>
      <c r="AO37" s="700"/>
      <c r="AP37" s="737">
        <f>SUMIFS('Report Pacote 0405'!AK:AK,'Report Pacote 0405'!$AV:$AV,$D$29,'Report Pacote 0405'!$AW:$AW,$A$38,'Report Pacote 0405'!$H:$H,$W37)+SUMIFS('Report Pacote 0405'!AK:AK,'Report Pacote 0405'!$AV:$AV,$D$29,'Report Pacote 0405'!$AW:$AW,$A$37,'Report Pacote 0405'!$H:$H,$W37)+SUMIFS('Report Pacote 0405'!AJ:AJ,'Report Pacote 0405'!$AV:$AV,$D$29,'Report Pacote 0405'!$AW:$AW,$A$39,'Report Pacote 0405'!$H:$H,$W37)</f>
        <v>1144541.8490000004</v>
      </c>
      <c r="AQ37" s="737">
        <f>SUMIFS('Report Pacote 0405'!AL:AL,'Report Pacote 0405'!$AV:$AV,$D$29,'Report Pacote 0405'!$AW:$AW,$A$38,'Report Pacote 0405'!$H:$H,$W37)+SUMIFS('Report Pacote 0405'!AL:AL,'Report Pacote 0405'!$AV:$AV,$D$29,'Report Pacote 0405'!$AW:$AW,$A$37,'Report Pacote 0405'!$H:$H,$W37)+SUMIFS('Report Pacote 0405'!AK:AK,'Report Pacote 0405'!$AV:$AV,$D$29,'Report Pacote 0405'!$AW:$AW,$A$39,'Report Pacote 0405'!$H:$H,$W37)</f>
        <v>1284755.6389999995</v>
      </c>
      <c r="AR37" s="745">
        <f>IFERROR((AP37/AQ37),"-")</f>
        <v>0.89086345625294494</v>
      </c>
      <c r="AS37" s="700"/>
      <c r="AT37" s="737">
        <f>SUMIFS('Report Pacote 0405'!AO:AO,'Report Pacote 0405'!$AV:$AV,$D$29,'Report Pacote 0405'!$AW:$AW,$A$38,'Report Pacote 0405'!$H:$H,$W37)+SUMIFS('Report Pacote 0405'!AO:AO,'Report Pacote 0405'!$AV:$AV,$D$29,'Report Pacote 0405'!$AW:$AW,$A$37,'Report Pacote 0405'!$H:$H,$W37)+SUMIFS('Report Pacote 0405'!AN:AN,'Report Pacote 0405'!$AV:$AV,$D$29,'Report Pacote 0405'!$AW:$AW,$A$39,'Report Pacote 0405'!$H:$H,$W37)</f>
        <v>2263498.0499999998</v>
      </c>
      <c r="AU37" s="737">
        <f>SUMIFS('Report Pacote 0405'!AP:AP,'Report Pacote 0405'!$AV:$AV,$D$29,'Report Pacote 0405'!$AW:$AW,$A$38,'Report Pacote 0405'!$H:$H,$W37)+SUMIFS('Report Pacote 0405'!AP:AP,'Report Pacote 0405'!$AV:$AV,$D$29,'Report Pacote 0405'!$AW:$AW,$A$37,'Report Pacote 0405'!$H:$H,$W37)+SUMIFS('Report Pacote 0405'!AO:AO,'Report Pacote 0405'!$AV:$AV,$D$29,'Report Pacote 0405'!$AW:$AW,$A$39,'Report Pacote 0405'!$H:$H,$W37)</f>
        <v>1421654.7709999997</v>
      </c>
      <c r="AV37" s="700"/>
      <c r="AW37" s="737">
        <f ca="1">AK37/Quadros!$D$4</f>
        <v>22703.81962962963</v>
      </c>
      <c r="AX37" s="737">
        <f>AM37/Quadros!$D$6</f>
        <v>20773.353333333336</v>
      </c>
      <c r="AY37" s="737">
        <f ca="1">IF((AK37-AM37)/(Quadros!$D$4-Quadros!$D$6)&lt;0,"-",(AK37-AM37)/(Quadros!$D$4-Quadros!$D$6))</f>
        <v>24248.192666666662</v>
      </c>
      <c r="AZ37" s="3"/>
      <c r="BA37" s="138"/>
      <c r="BB37" s="44"/>
      <c r="BC37" s="44"/>
    </row>
    <row r="38" spans="1:55" s="16" customFormat="1" ht="18" hidden="1" customHeight="1" outlineLevel="1" thickBot="1">
      <c r="A38" s="21" t="s">
        <v>44</v>
      </c>
      <c r="B38" s="133" t="s">
        <v>34</v>
      </c>
      <c r="C38" s="3"/>
      <c r="D38" s="739"/>
      <c r="E38" s="740"/>
      <c r="F38" s="2"/>
      <c r="G38" s="54" t="s">
        <v>38</v>
      </c>
      <c r="H38" s="52">
        <v>94264.92</v>
      </c>
      <c r="I38" s="678"/>
      <c r="J38" s="2"/>
      <c r="K38" s="54" t="s">
        <v>38</v>
      </c>
      <c r="L38" s="52">
        <v>104812.4</v>
      </c>
      <c r="M38" s="678"/>
      <c r="N38" s="2"/>
      <c r="O38" s="54" t="s">
        <v>38</v>
      </c>
      <c r="P38" s="52">
        <v>126032.44</v>
      </c>
      <c r="Q38" s="742"/>
      <c r="R38" s="2"/>
      <c r="S38" s="54" t="s">
        <v>38</v>
      </c>
      <c r="T38" s="52">
        <v>116341.15999999999</v>
      </c>
      <c r="U38" s="742"/>
      <c r="V38" s="2"/>
      <c r="W38" s="54" t="s">
        <v>38</v>
      </c>
      <c r="X38" s="52">
        <f>SUMIF($AA$7:$AG$7,"="&amp;$D$4,$AA38:$AG38)</f>
        <v>22332.080000000002</v>
      </c>
      <c r="Y38" s="744"/>
      <c r="Z38" s="2"/>
      <c r="AA38" s="52">
        <f>SUMIFS('Report Pacote 0405'!P:P,'Report Pacote 0405'!$AV:$AV,$D$29,'Report Pacote 0405'!$AW:$AW,$A$37,'Report Pacote 0405'!$H:$H,$W38)+SUMIFS('Report Pacote 0405'!P:P,'Report Pacote 0405'!$AV:$AV,$D$29,'Report Pacote 0405'!$AW:$AW,$A$38,'Report Pacote 0405'!$H:$H,$W38)+SUMIFS('Report Pacote 0405'!P:P,'Report Pacote 0405'!$AV:$AV,$D$29,'Report Pacote 0405'!$AW:$AW,$A$39,'Report Pacote 0405'!$H:$H,$W38)</f>
        <v>23550.36</v>
      </c>
      <c r="AB38" s="52">
        <f>SUMIFS('Report Pacote 0405'!Q:Q,'Report Pacote 0405'!$AV:$AV,$D$29,'Report Pacote 0405'!$AW:$AW,$A$37,'Report Pacote 0405'!$H:$H,$W38)+SUMIFS('Report Pacote 0405'!Q:Q,'Report Pacote 0405'!$AV:$AV,$D$29,'Report Pacote 0405'!$AW:$AW,$A$38,'Report Pacote 0405'!$H:$H,$W38)+SUMIFS('Report Pacote 0405'!Q:Q,'Report Pacote 0405'!$AV:$AV,$D$29,'Report Pacote 0405'!$AW:$AW,$A$39,'Report Pacote 0405'!$H:$H,$W38)</f>
        <v>22332.080000000002</v>
      </c>
      <c r="AC38" s="52">
        <f>SUMIFS('Report Pacote 0405'!R:R,'Report Pacote 0405'!$AV:$AV,$D$29,'Report Pacote 0405'!$AW:$AW,$A$37,'Report Pacote 0405'!$H:$H,$W38)+SUMIFS('Report Pacote 0405'!R:R,'Report Pacote 0405'!$AV:$AV,$D$29,'Report Pacote 0405'!$AW:$AW,$A$38,'Report Pacote 0405'!$H:$H,$W38)+SUMIFS('Report Pacote 0405'!R:R,'Report Pacote 0405'!$AV:$AV,$D$29,'Report Pacote 0405'!$AW:$AW,$A$39,'Report Pacote 0405'!$H:$H,$W38)</f>
        <v>0</v>
      </c>
      <c r="AD38" s="52">
        <f>SUMIFS('Report Pacote 0405'!S:S,'Report Pacote 0405'!$AV:$AV,$D$29,'Report Pacote 0405'!$AW:$AW,$A$37,'Report Pacote 0405'!$H:$H,$W38)+SUMIFS('Report Pacote 0405'!S:S,'Report Pacote 0405'!$AV:$AV,$D$29,'Report Pacote 0405'!$AW:$AW,$A$38,'Report Pacote 0405'!$H:$H,$W38)+SUMIFS('Report Pacote 0405'!S:S,'Report Pacote 0405'!$AV:$AV,$D$29,'Report Pacote 0405'!$AW:$AW,$A$39,'Report Pacote 0405'!$H:$H,$W38)</f>
        <v>0</v>
      </c>
      <c r="AE38" s="52">
        <f>SUMIFS('Report Pacote 0405'!T:T,'Report Pacote 0405'!$AV:$AV,$D$29,'Report Pacote 0405'!$AW:$AW,$A$37,'Report Pacote 0405'!$H:$H,$W38)+SUMIFS('Report Pacote 0405'!T:T,'Report Pacote 0405'!$AV:$AV,$D$29,'Report Pacote 0405'!$AW:$AW,$A$38,'Report Pacote 0405'!$H:$H,$W38)+SUMIFS('Report Pacote 0405'!T:T,'Report Pacote 0405'!$AV:$AV,$D$29,'Report Pacote 0405'!$AW:$AW,$A$39,'Report Pacote 0405'!$H:$H,$W38)</f>
        <v>0</v>
      </c>
      <c r="AF38" s="52">
        <f>SUMIFS('Report Pacote 0405'!U:U,'Report Pacote 0405'!$AV:$AV,$D$29,'Report Pacote 0405'!$AW:$AW,$A$37,'Report Pacote 0405'!$H:$H,$W38)+SUMIFS('Report Pacote 0405'!U:U,'Report Pacote 0405'!$AV:$AV,$D$29,'Report Pacote 0405'!$AW:$AW,$A$38,'Report Pacote 0405'!$H:$H,$W38)+SUMIFS('Report Pacote 0405'!U:U,'Report Pacote 0405'!$AV:$AV,$D$29,'Report Pacote 0405'!$AW:$AW,$A$39,'Report Pacote 0405'!$H:$H,$W38)</f>
        <v>0</v>
      </c>
      <c r="AG38" s="52">
        <f>SUMIFS('Report Pacote 0405'!V:V,'Report Pacote 0405'!$AV:$AV,$D$29,'Report Pacote 0405'!$AW:$AW,$A$37,'Report Pacote 0405'!$H:$H,$W38)+SUMIFS('Report Pacote 0405'!V:V,'Report Pacote 0405'!$AV:$AV,$D$29,'Report Pacote 0405'!$AW:$AW,$A$38,'Report Pacote 0405'!$H:$H,$W38)+SUMIFS('Report Pacote 0405'!V:V,'Report Pacote 0405'!$AV:$AV,$D$29,'Report Pacote 0405'!$AW:$AW,$A$39,'Report Pacote 0405'!$H:$H,$W38)</f>
        <v>0</v>
      </c>
      <c r="AH38" s="52">
        <f>SUMIF($AA$7:$AG$7,"&lt;="&amp;$D$4,$AA38:$AG38)</f>
        <v>45882.44</v>
      </c>
      <c r="AI38" s="742"/>
      <c r="AJ38" s="2"/>
      <c r="AK38" s="738"/>
      <c r="AL38" s="738"/>
      <c r="AM38" s="738"/>
      <c r="AN38" s="746"/>
      <c r="AO38" s="700"/>
      <c r="AP38" s="738"/>
      <c r="AQ38" s="738"/>
      <c r="AR38" s="784"/>
      <c r="AS38" s="700"/>
      <c r="AT38" s="738"/>
      <c r="AU38" s="738"/>
      <c r="AV38" s="700"/>
      <c r="AW38" s="738"/>
      <c r="AX38" s="738"/>
      <c r="AY38" s="738"/>
      <c r="AZ38" s="3"/>
      <c r="BB38" s="4"/>
      <c r="BC38" s="4"/>
    </row>
    <row r="39" spans="1:55" ht="17.25" hidden="1" outlineLevel="1">
      <c r="A39" s="4" t="s">
        <v>45</v>
      </c>
      <c r="B39" s="17" t="s">
        <v>34</v>
      </c>
      <c r="C39" s="3"/>
      <c r="D39" s="3"/>
      <c r="E39" s="3"/>
      <c r="G39" s="3"/>
      <c r="H39" s="37"/>
      <c r="I39" s="228"/>
      <c r="J39" s="3"/>
      <c r="K39" s="3"/>
      <c r="L39" s="37"/>
      <c r="M39" s="228"/>
      <c r="O39" s="3"/>
      <c r="P39" s="37"/>
      <c r="Q39" s="228"/>
      <c r="S39" s="3"/>
      <c r="T39" s="37"/>
      <c r="U39" s="228"/>
      <c r="V39" s="3"/>
      <c r="W39" s="3"/>
      <c r="X39" s="3"/>
      <c r="Y39" s="3"/>
      <c r="Z39" s="3"/>
      <c r="AA39" s="37"/>
      <c r="AB39" s="37"/>
      <c r="AC39" s="37"/>
      <c r="AD39" s="37"/>
      <c r="AE39" s="37"/>
      <c r="AF39" s="37"/>
      <c r="AG39" s="37"/>
      <c r="AH39" s="37"/>
      <c r="AI39" s="228"/>
      <c r="AJ39" s="3"/>
      <c r="AK39" s="251"/>
      <c r="AL39" s="251"/>
      <c r="AM39" s="251"/>
      <c r="AN39" s="701"/>
      <c r="AO39" s="702"/>
      <c r="AP39" s="251"/>
      <c r="AQ39" s="251"/>
      <c r="AR39" s="701"/>
      <c r="AS39" s="702"/>
      <c r="AT39" s="251"/>
      <c r="AU39" s="251"/>
      <c r="AV39" s="700"/>
      <c r="AW39" s="251"/>
      <c r="AX39" s="251"/>
      <c r="AY39" s="251"/>
      <c r="AZ39" s="3"/>
    </row>
    <row r="40" spans="1:55" ht="5.0999999999999996" hidden="1" customHeight="1" outlineLevel="1">
      <c r="B40" s="17" t="s">
        <v>34</v>
      </c>
      <c r="C40" s="3"/>
      <c r="D40" s="3"/>
      <c r="E40" s="3"/>
      <c r="G40" s="3"/>
      <c r="H40" s="37"/>
      <c r="I40" s="228"/>
      <c r="J40" s="3"/>
      <c r="K40" s="3"/>
      <c r="L40" s="37"/>
      <c r="M40" s="228"/>
      <c r="O40" s="3"/>
      <c r="P40" s="37"/>
      <c r="Q40" s="228"/>
      <c r="S40" s="3"/>
      <c r="T40" s="37"/>
      <c r="U40" s="228"/>
      <c r="V40" s="3"/>
      <c r="W40" s="3"/>
      <c r="X40" s="35"/>
      <c r="Y40" s="3"/>
      <c r="Z40" s="3"/>
      <c r="AA40" s="36"/>
      <c r="AB40" s="36"/>
      <c r="AC40" s="36"/>
      <c r="AD40" s="36"/>
      <c r="AE40" s="36"/>
      <c r="AF40" s="36"/>
      <c r="AG40" s="36"/>
      <c r="AH40" s="37"/>
      <c r="AI40" s="228"/>
      <c r="AJ40" s="3"/>
      <c r="AK40" s="251"/>
      <c r="AL40" s="251"/>
      <c r="AM40" s="251"/>
      <c r="AN40" s="701"/>
      <c r="AO40" s="702"/>
      <c r="AP40" s="251"/>
      <c r="AQ40" s="251"/>
      <c r="AR40" s="701"/>
      <c r="AS40" s="702"/>
      <c r="AT40" s="703"/>
      <c r="AU40" s="703"/>
      <c r="AV40" s="702"/>
      <c r="AW40" s="251"/>
      <c r="AX40" s="251"/>
      <c r="AY40" s="251"/>
      <c r="AZ40" s="3"/>
      <c r="BB40" s="44"/>
      <c r="BC40" s="44"/>
    </row>
    <row r="41" spans="1:55" s="21" customFormat="1" ht="18" hidden="1" customHeight="1" outlineLevel="1">
      <c r="B41" s="134" t="s">
        <v>34</v>
      </c>
      <c r="C41" s="3"/>
      <c r="D41" s="739" t="s">
        <v>46</v>
      </c>
      <c r="E41" s="740" t="s">
        <v>36</v>
      </c>
      <c r="F41" s="2"/>
      <c r="G41" s="53" t="s">
        <v>37</v>
      </c>
      <c r="H41" s="52">
        <v>135586.46616541353</v>
      </c>
      <c r="I41" s="677">
        <f>IFERROR((H42/H41),"-")</f>
        <v>0.65637163145344657</v>
      </c>
      <c r="J41" s="2"/>
      <c r="K41" s="53" t="s">
        <v>37</v>
      </c>
      <c r="L41" s="52">
        <v>144455.63909774434</v>
      </c>
      <c r="M41" s="677">
        <f>IFERROR((L42/L41),"-")</f>
        <v>0.64035077032780574</v>
      </c>
      <c r="N41" s="2"/>
      <c r="O41" s="53" t="s">
        <v>37</v>
      </c>
      <c r="P41" s="52">
        <v>109394.07518796991</v>
      </c>
      <c r="Q41" s="741">
        <f>IFERROR((P42/P41),"-")</f>
        <v>0.79851342652197921</v>
      </c>
      <c r="R41" s="2"/>
      <c r="S41" s="53" t="s">
        <v>37</v>
      </c>
      <c r="T41" s="52">
        <v>123176.39097744363</v>
      </c>
      <c r="U41" s="741">
        <v>0.71795487185685158</v>
      </c>
      <c r="V41" s="2"/>
      <c r="W41" s="53" t="s">
        <v>37</v>
      </c>
      <c r="X41" s="52">
        <f>SUMIFS('Report Pacote 06'!H:H,'Report Pacote 06'!$CH:$CH,$D$29,'Report Pacote 06'!$G:$G,'Report Consolidado Semanal'!$W41)</f>
        <v>20449.398496240603</v>
      </c>
      <c r="Y41" s="743">
        <f>IFERROR((X42/X41),"-")</f>
        <v>0.76158963809439761</v>
      </c>
      <c r="Z41" s="2"/>
      <c r="AA41" s="52">
        <f>SUMIFS('Report Pacote 06'!AG:AG,'Report Pacote 06'!$CH:$CH,$D$29,'Report Pacote 06'!$G:$G,'Report Consolidado Semanal'!$W41)</f>
        <v>20449.398496240603</v>
      </c>
      <c r="AB41" s="52">
        <f>SUMIFS('Report Pacote 06'!AH:AH,'Report Pacote 06'!$CH:$CH,$D$29,'Report Pacote 06'!$G:$G,'Report Consolidado Semanal'!$W41)</f>
        <v>20449.398496240603</v>
      </c>
      <c r="AC41" s="52">
        <f>SUMIFS('Report Pacote 06'!AI:AI,'Report Pacote 06'!$CH:$CH,$D$29,'Report Pacote 06'!$G:$G,'Report Consolidado Semanal'!$W41)</f>
        <v>20449.398496240603</v>
      </c>
      <c r="AD41" s="52">
        <f>SUMIFS('Report Pacote 06'!AJ:AJ,'Report Pacote 06'!$CH:$CH,$D$29,'Report Pacote 06'!$G:$G,'Report Consolidado Semanal'!$W41)</f>
        <v>20449.398496240603</v>
      </c>
      <c r="AE41" s="52">
        <f>SUMIFS('Report Pacote 06'!AK:AK,'Report Pacote 06'!$CH:$CH,$D$29,'Report Pacote 06'!$G:$G,'Report Consolidado Semanal'!$W41)</f>
        <v>20449.398496240603</v>
      </c>
      <c r="AF41" s="52">
        <f>SUMIFS('Report Pacote 06'!AL:AL,'Report Pacote 06'!$CH:$CH,$D$29,'Report Pacote 06'!$G:$G,'Report Consolidado Semanal'!$W41)</f>
        <v>20449.398496240603</v>
      </c>
      <c r="AG41" s="52">
        <f>SUMIFS('Report Pacote 06'!AM:AM,'Report Pacote 06'!$CH:$CH,$D$29,'Report Pacote 06'!$G:$G,'Report Consolidado Semanal'!$W41)</f>
        <v>0</v>
      </c>
      <c r="AH41" s="52">
        <f>SUMIF($AA$7:$AG$7,"&lt;="&amp;$D$4,$AA41:$AG41)</f>
        <v>40898.796992481206</v>
      </c>
      <c r="AI41" s="741">
        <f>IFERROR((AH42/AH41),"-")</f>
        <v>0.7586484757902322</v>
      </c>
      <c r="AJ41" s="2"/>
      <c r="AK41" s="737">
        <f>SUMIFS('Report Pacote 06'!BN:BN,'Report Pacote 06'!$CH:$CH,$D$29,'Report Pacote 06'!$G:$G,'Report Consolidado Semanal'!$W41)</f>
        <v>483940.62999999995</v>
      </c>
      <c r="AL41" s="737">
        <f>SUMIFS('Report Pacote 06'!BO:BO,'Report Pacote 06'!$CH:$CH,$D$29,'Report Pacote 06'!$G:$G,'Report Consolidado Semanal'!$W41)</f>
        <v>215084.72444444438</v>
      </c>
      <c r="AM41" s="737">
        <f>SUMIFS('Report Pacote 06'!BP:BP,'Report Pacote 06'!$CH:$CH,$D$29,'Report Pacote 06'!$G:$G,'Report Consolidado Semanal'!$W41)</f>
        <v>172841.09781954889</v>
      </c>
      <c r="AN41" s="745">
        <f>IFERROR((AM41/AL41),"-")</f>
        <v>0.80359541230085418</v>
      </c>
      <c r="AO41" s="700"/>
      <c r="AP41" s="737">
        <f ca="1">SUMIFS('Report Pacote 06'!BU:BU,'Report Pacote 06'!$CH:$CH,'Report Consolidado Semanal'!$D$49,'Report Pacote 06'!$G:$G,'Report Consolidado Semanal'!$W41)</f>
        <v>57822.38</v>
      </c>
      <c r="AQ41" s="737">
        <f>SUMIFS('Report Pacote 06'!BX:BX,'Report Pacote 06'!$CH:$CH,'Report Consolidado Semanal'!$D$49,'Report Pacote 06'!$G:$G,'Report Consolidado Semanal'!$W41)</f>
        <v>61971.607826086962</v>
      </c>
      <c r="AR41" s="745">
        <f ca="1">IFERROR((AP41/AQ41),"-")</f>
        <v>0.93304630988869797</v>
      </c>
      <c r="AS41" s="700"/>
      <c r="AT41" s="737">
        <f>SUMIFS('Report Pacote 06'!CA:CA,'Report Pacote 06'!$CH:$CH,$D$29,'Report Pacote 06'!$G:$G,'Report Consolidado Semanal'!$W41)</f>
        <v>4651600</v>
      </c>
      <c r="AU41" s="737">
        <f ca="1">SUMIFS('Report Pacote 06'!CB:CB,'Report Pacote 06'!$CH:$CH,$D$29,'Report Pacote 06'!$G:$G,'Report Consolidado Semanal'!$W41)</f>
        <v>1360270.6021804512</v>
      </c>
      <c r="AV41" s="700"/>
      <c r="AW41" s="737">
        <f ca="1">AK41/Quadros!$D$4</f>
        <v>17923.727037037035</v>
      </c>
      <c r="AX41" s="737">
        <f>AM41/Quadros!$D$6</f>
        <v>14403.42481829574</v>
      </c>
      <c r="AY41" s="737">
        <f ca="1">IF((AK41-AM41)/(Quadros!$D$4-Quadros!$D$6)&lt;0,"-",(AK41-AM41)/(Quadros!$D$4-Quadros!$D$6))</f>
        <v>20739.968812030074</v>
      </c>
      <c r="AZ41" s="3"/>
      <c r="BA41" s="138"/>
      <c r="BB41" s="4"/>
      <c r="BC41" s="4"/>
    </row>
    <row r="42" spans="1:55" s="16" customFormat="1" ht="18" hidden="1" customHeight="1" outlineLevel="1" thickBot="1">
      <c r="A42" s="21"/>
      <c r="B42" s="133" t="s">
        <v>34</v>
      </c>
      <c r="C42" s="3"/>
      <c r="D42" s="739"/>
      <c r="E42" s="740"/>
      <c r="F42" s="2"/>
      <c r="G42" s="54" t="s">
        <v>38</v>
      </c>
      <c r="H42" s="52">
        <v>88995.110000000015</v>
      </c>
      <c r="I42" s="678"/>
      <c r="J42" s="2"/>
      <c r="K42" s="54" t="s">
        <v>38</v>
      </c>
      <c r="L42" s="52">
        <v>92502.279774436087</v>
      </c>
      <c r="M42" s="678"/>
      <c r="N42" s="2"/>
      <c r="O42" s="54" t="s">
        <v>38</v>
      </c>
      <c r="P42" s="52">
        <v>87352.63781954888</v>
      </c>
      <c r="Q42" s="742"/>
      <c r="R42" s="2"/>
      <c r="S42" s="54" t="s">
        <v>38</v>
      </c>
      <c r="T42" s="52">
        <v>88435.09</v>
      </c>
      <c r="U42" s="742"/>
      <c r="V42" s="2"/>
      <c r="W42" s="54" t="s">
        <v>38</v>
      </c>
      <c r="X42" s="52">
        <f>SUMIFS('Report Pacote 06'!H:H,'Report Pacote 06'!$CH:$CH,$D$29,'Report Pacote 06'!$G:$G,'Report Consolidado Semanal'!$W42)</f>
        <v>15574.05</v>
      </c>
      <c r="Y42" s="744"/>
      <c r="Z42" s="2"/>
      <c r="AA42" s="52">
        <f>SUMIFS('Report Pacote 06'!AG:AG,'Report Pacote 06'!$CH:$CH,$D$29,'Report Pacote 06'!$G:$G,'Report Consolidado Semanal'!$W42)</f>
        <v>15453.759999999998</v>
      </c>
      <c r="AB42" s="52">
        <f>SUMIFS('Report Pacote 06'!AH:AH,'Report Pacote 06'!$CH:$CH,$D$29,'Report Pacote 06'!$G:$G,'Report Consolidado Semanal'!$W42)</f>
        <v>15574.05</v>
      </c>
      <c r="AC42" s="52">
        <f>SUMIFS('Report Pacote 06'!AI:AI,'Report Pacote 06'!$CH:$CH,$D$29,'Report Pacote 06'!$G:$G,'Report Consolidado Semanal'!$W42)</f>
        <v>0</v>
      </c>
      <c r="AD42" s="52">
        <f>SUMIFS('Report Pacote 06'!AJ:AJ,'Report Pacote 06'!$CH:$CH,$D$29,'Report Pacote 06'!$G:$G,'Report Consolidado Semanal'!$W42)</f>
        <v>0</v>
      </c>
      <c r="AE42" s="52">
        <f>SUMIFS('Report Pacote 06'!AK:AK,'Report Pacote 06'!$CH:$CH,$D$29,'Report Pacote 06'!$G:$G,'Report Consolidado Semanal'!$W42)</f>
        <v>0</v>
      </c>
      <c r="AF42" s="52">
        <f>SUMIFS('Report Pacote 06'!AL:AL,'Report Pacote 06'!$CH:$CH,$D$29,'Report Pacote 06'!$G:$G,'Report Consolidado Semanal'!$W42)</f>
        <v>0</v>
      </c>
      <c r="AG42" s="52">
        <f>SUMIFS('Report Pacote 06'!AM:AM,'Report Pacote 06'!$CH:$CH,$D$29,'Report Pacote 06'!$G:$G,'Report Consolidado Semanal'!$W42)</f>
        <v>0</v>
      </c>
      <c r="AH42" s="52">
        <f>SUMIF($AA$7:$AG$7,"&lt;="&amp;$D$4,$AA42:$AG42)</f>
        <v>31027.809999999998</v>
      </c>
      <c r="AI42" s="742"/>
      <c r="AJ42" s="2"/>
      <c r="AK42" s="738"/>
      <c r="AL42" s="738"/>
      <c r="AM42" s="738"/>
      <c r="AN42" s="746"/>
      <c r="AO42" s="700"/>
      <c r="AP42" s="738"/>
      <c r="AQ42" s="738"/>
      <c r="AR42" s="784"/>
      <c r="AS42" s="700"/>
      <c r="AT42" s="738"/>
      <c r="AU42" s="738"/>
      <c r="AV42" s="700"/>
      <c r="AW42" s="738"/>
      <c r="AX42" s="738"/>
      <c r="AY42" s="738"/>
      <c r="AZ42" s="3"/>
      <c r="BB42"/>
      <c r="BC42"/>
    </row>
    <row r="43" spans="1:55" ht="17.25" hidden="1" outlineLevel="1">
      <c r="A43" s="21"/>
      <c r="B43" s="17" t="s">
        <v>34</v>
      </c>
      <c r="C43" s="3"/>
      <c r="D43" s="3"/>
      <c r="E43" s="3"/>
      <c r="G43" s="3"/>
      <c r="H43" s="37"/>
      <c r="I43" s="228"/>
      <c r="J43" s="3"/>
      <c r="K43" s="3"/>
      <c r="L43" s="37"/>
      <c r="M43" s="228"/>
      <c r="O43" s="3"/>
      <c r="P43" s="37"/>
      <c r="Q43" s="228"/>
      <c r="S43" s="3"/>
      <c r="T43" s="37"/>
      <c r="U43" s="228"/>
      <c r="V43" s="3"/>
      <c r="W43" s="3"/>
      <c r="X43" s="3"/>
      <c r="Y43" s="3"/>
      <c r="Z43" s="3"/>
      <c r="AA43" s="37"/>
      <c r="AB43" s="37"/>
      <c r="AC43" s="37"/>
      <c r="AD43" s="37"/>
      <c r="AE43" s="37"/>
      <c r="AF43" s="37"/>
      <c r="AG43" s="37"/>
      <c r="AH43" s="37"/>
      <c r="AI43" s="228"/>
      <c r="AJ43" s="3"/>
      <c r="AK43" s="251"/>
      <c r="AL43" s="251"/>
      <c r="AM43" s="251"/>
      <c r="AN43" s="701"/>
      <c r="AO43" s="702"/>
      <c r="AP43" s="251"/>
      <c r="AQ43" s="251"/>
      <c r="AR43" s="701"/>
      <c r="AS43" s="702"/>
      <c r="AT43" s="251"/>
      <c r="AU43" s="251"/>
      <c r="AV43" s="702"/>
      <c r="AW43" s="251"/>
      <c r="AX43" s="251"/>
      <c r="AY43" s="251"/>
      <c r="AZ43" s="3"/>
      <c r="BB43" s="44"/>
      <c r="BC43" s="44"/>
    </row>
    <row r="44" spans="1:55" ht="5.0999999999999996" hidden="1" customHeight="1" outlineLevel="1">
      <c r="B44" s="17" t="s">
        <v>34</v>
      </c>
      <c r="C44" s="3"/>
      <c r="D44" s="3"/>
      <c r="E44" s="3"/>
      <c r="G44" s="3"/>
      <c r="H44" s="37"/>
      <c r="I44" s="228"/>
      <c r="J44" s="3"/>
      <c r="K44" s="3"/>
      <c r="L44" s="37"/>
      <c r="M44" s="228"/>
      <c r="O44" s="3"/>
      <c r="P44" s="37"/>
      <c r="Q44" s="228"/>
      <c r="S44" s="3"/>
      <c r="T44" s="37"/>
      <c r="U44" s="228"/>
      <c r="V44" s="3"/>
      <c r="W44" s="3"/>
      <c r="X44" s="35"/>
      <c r="Y44" s="3"/>
      <c r="Z44" s="3"/>
      <c r="AA44" s="35"/>
      <c r="AB44" s="35"/>
      <c r="AC44" s="35"/>
      <c r="AD44" s="35"/>
      <c r="AE44" s="35"/>
      <c r="AF44" s="35"/>
      <c r="AG44" s="35"/>
      <c r="AH44" s="37"/>
      <c r="AI44" s="228"/>
      <c r="AJ44" s="3"/>
      <c r="AK44" s="251"/>
      <c r="AL44" s="251"/>
      <c r="AM44" s="251"/>
      <c r="AN44" s="701"/>
      <c r="AO44" s="702"/>
      <c r="AP44" s="251"/>
      <c r="AQ44" s="251"/>
      <c r="AR44" s="701"/>
      <c r="AS44" s="702"/>
      <c r="AT44" s="251"/>
      <c r="AU44" s="251"/>
      <c r="AV44" s="702"/>
      <c r="AW44" s="251"/>
      <c r="AX44" s="251"/>
      <c r="AY44" s="251"/>
      <c r="AZ44" s="3"/>
      <c r="BB44" s="4"/>
      <c r="BC44" s="4"/>
    </row>
    <row r="45" spans="1:55" s="21" customFormat="1" ht="18" hidden="1" customHeight="1" outlineLevel="1">
      <c r="A45" s="21" t="s">
        <v>50</v>
      </c>
      <c r="B45" s="134" t="s">
        <v>34</v>
      </c>
      <c r="C45" s="3"/>
      <c r="D45" s="739" t="s">
        <v>48</v>
      </c>
      <c r="E45" s="740" t="s">
        <v>36</v>
      </c>
      <c r="F45" s="2"/>
      <c r="G45" s="53" t="s">
        <v>37</v>
      </c>
      <c r="H45" s="52">
        <v>28389.897160000004</v>
      </c>
      <c r="I45" s="677">
        <f>IFERROR((H46/H45),"-")</f>
        <v>1.6770186430616687</v>
      </c>
      <c r="J45" s="2"/>
      <c r="K45" s="53" t="s">
        <v>37</v>
      </c>
      <c r="L45" s="52">
        <v>36414</v>
      </c>
      <c r="M45" s="677">
        <f>IFERROR((L46/L45),"-")</f>
        <v>1.346872834562475</v>
      </c>
      <c r="N45" s="2"/>
      <c r="O45" s="53" t="s">
        <v>37</v>
      </c>
      <c r="P45" s="52">
        <v>30785.243940000004</v>
      </c>
      <c r="Q45" s="741">
        <f>IFERROR((P46/P45),"-")</f>
        <v>1.4295444918072666</v>
      </c>
      <c r="R45" s="2"/>
      <c r="S45" s="53" t="s">
        <v>37</v>
      </c>
      <c r="T45" s="52">
        <v>35867.085485190844</v>
      </c>
      <c r="U45" s="741">
        <v>1.1092534360399549</v>
      </c>
      <c r="V45" s="2"/>
      <c r="W45" s="53" t="s">
        <v>37</v>
      </c>
      <c r="X45" s="52">
        <f>SUMIF($AA$7:$AG$7,"="&amp;$D$4,$AA45:$AG45)</f>
        <v>4438.4539841666665</v>
      </c>
      <c r="Y45" s="743">
        <f>IFERROR((X46/X45),"-")</f>
        <v>1.4117971156156204</v>
      </c>
      <c r="Z45" s="2"/>
      <c r="AA45" s="52">
        <f>SUMIFS('Report Pacote 07-08'!AL:AL,'Report Pacote 07-08'!$CB:$CB,$A45,'Report Pacote 07-08'!$J:$J,$W45)</f>
        <v>4438.4539841666665</v>
      </c>
      <c r="AB45" s="52">
        <f>SUMIFS('Report Pacote 07-08'!AM:AM,'Report Pacote 07-08'!$CB:$CB,$A45,'Report Pacote 07-08'!$J:$J,$W45)</f>
        <v>4438.4539841666665</v>
      </c>
      <c r="AC45" s="52">
        <f>SUMIFS('Report Pacote 07-08'!AN:AN,'Report Pacote 07-08'!$CB:$CB,$A45,'Report Pacote 07-08'!$J:$J,$W45)</f>
        <v>4438.4539841666665</v>
      </c>
      <c r="AD45" s="52">
        <f>SUMIFS('Report Pacote 07-08'!AO:AO,'Report Pacote 07-08'!$CB:$CB,$A45,'Report Pacote 07-08'!$J:$J,$W45)</f>
        <v>4438.4539841666665</v>
      </c>
      <c r="AE45" s="52">
        <f>SUMIFS('Report Pacote 07-08'!AP:AP,'Report Pacote 07-08'!$CB:$CB,$A45,'Report Pacote 07-08'!$J:$J,$W45)</f>
        <v>4438.4539841666665</v>
      </c>
      <c r="AF45" s="52">
        <f>SUMIFS('Report Pacote 07-08'!AQ:AQ,'Report Pacote 07-08'!$CB:$CB,$A45,'Report Pacote 07-08'!$J:$J,$W45)</f>
        <v>4438.4539841666665</v>
      </c>
      <c r="AG45" s="52">
        <f>SUMIFS('Report Pacote 07-08'!AR:AR,'Report Pacote 07-08'!$CB:$CB,$A45,'Report Pacote 07-08'!$J:$J,$W45)</f>
        <v>0</v>
      </c>
      <c r="AH45" s="52">
        <f>SUMIF($AA$7:$AG$7,"&lt;="&amp;$D$4,$AA45:$AG45)</f>
        <v>8876.907968333333</v>
      </c>
      <c r="AI45" s="741">
        <f>IFERROR((AH46/AH45),"-")</f>
        <v>1.3742119312355514</v>
      </c>
      <c r="AJ45" s="2"/>
      <c r="AK45" s="737">
        <f>SUMIFS('Report Pacote 07-08'!BM:BM,'Report Pacote 07-08'!$CB:$CB,$A45,'Report Pacote 07-08'!$J:$J,$W45)</f>
        <v>157499.99333019089</v>
      </c>
      <c r="AL45" s="737">
        <f>SUMIFS('Report Pacote 07-08'!BN:BN,'Report Pacote 07-08'!$CB:$CB,$A45,'Report Pacote 07-08'!$J:$J,$W45)</f>
        <v>75529.237393524178</v>
      </c>
      <c r="AM45" s="737">
        <f>SUMIFS('Report Pacote 07-08'!BO:BO,'Report Pacote 07-08'!$CB:$CB,$A45,'Report Pacote 07-08'!$J:$J,$W45)</f>
        <v>95993.316561120359</v>
      </c>
      <c r="AN45" s="745">
        <f>IFERROR((AM45/AL45),"-")</f>
        <v>1.2709424836500567</v>
      </c>
      <c r="AO45" s="700"/>
      <c r="AP45" s="737">
        <f>SUMIFS('Report Pacote 07-08'!AD:AD,'Report Pacote 07-08'!$CB:$CB,$A45,'Report Pacote 07-08'!$J:$J,$W45)</f>
        <v>5977.8475808651401</v>
      </c>
      <c r="AQ45" s="737">
        <f>SUMIFS('Report Pacote 07-08'!AI:AI,'Report Pacote 07-08'!$CB:$CB,$A45,'Report Pacote 07-08'!$J:$J,$W45)</f>
        <v>5977.8475808651401</v>
      </c>
      <c r="AR45" s="745">
        <f>IFERROR((AP45/AQ45),"-")</f>
        <v>1</v>
      </c>
      <c r="AS45" s="700"/>
      <c r="AT45" s="737">
        <f>SUMIFS('Report Pacote 07-08'!BV:BV,'Report Pacote 07-08'!$CB:$CB,$A45,'Report Pacote 07-08'!$J:$J,$W45)</f>
        <v>1988904.4299999997</v>
      </c>
      <c r="AU45" s="737">
        <f>SUMIFS('Report Pacote 07-08'!BW:BW,'Report Pacote 07-08'!$CB:$CB,$A45,'Report Pacote 07-08'!$J:$J,$W45)</f>
        <v>283335.15542864171</v>
      </c>
      <c r="AV45" s="700"/>
      <c r="AW45" s="737">
        <f ca="1">AK45/Quadros!$D$4</f>
        <v>5833.3330863033661</v>
      </c>
      <c r="AX45" s="737">
        <f>AM45/Quadros!$D$6</f>
        <v>7999.4430467600296</v>
      </c>
      <c r="AY45" s="737">
        <f ca="1">IF((AK45-AM45)/(Quadros!$D$4-Quadros!$D$6)&lt;0,"-",(AK45-AM45)/(Quadros!$D$4-Quadros!$D$6))</f>
        <v>4100.4451179380358</v>
      </c>
      <c r="AZ45" s="3"/>
      <c r="BA45" s="138"/>
      <c r="BB45"/>
      <c r="BC45"/>
    </row>
    <row r="46" spans="1:55" s="16" customFormat="1" ht="18" hidden="1" customHeight="1" outlineLevel="1" thickBot="1">
      <c r="A46" s="21" t="s">
        <v>50</v>
      </c>
      <c r="B46" s="133" t="s">
        <v>34</v>
      </c>
      <c r="C46" s="3"/>
      <c r="D46" s="739"/>
      <c r="E46" s="740"/>
      <c r="F46" s="2"/>
      <c r="G46" s="54" t="s">
        <v>38</v>
      </c>
      <c r="H46" s="52">
        <v>47610.386811923527</v>
      </c>
      <c r="I46" s="678"/>
      <c r="J46" s="2"/>
      <c r="K46" s="54" t="s">
        <v>38</v>
      </c>
      <c r="L46" s="52">
        <v>49045.027397757964</v>
      </c>
      <c r="M46" s="678"/>
      <c r="N46" s="2"/>
      <c r="O46" s="54" t="s">
        <v>38</v>
      </c>
      <c r="P46" s="52">
        <v>44008.875903370041</v>
      </c>
      <c r="Q46" s="742"/>
      <c r="R46" s="2"/>
      <c r="S46" s="54" t="s">
        <v>38</v>
      </c>
      <c r="T46" s="52">
        <v>39785.687815186735</v>
      </c>
      <c r="U46" s="742"/>
      <c r="V46" s="2"/>
      <c r="W46" s="54" t="s">
        <v>38</v>
      </c>
      <c r="X46" s="52">
        <f>SUMIF($AA$7:$AG$7,"="&amp;$D$4,$AA46:$AG46)</f>
        <v>6266.1965326391582</v>
      </c>
      <c r="Y46" s="744"/>
      <c r="Z46" s="2"/>
      <c r="AA46" s="52">
        <f>SUMIFS('Report Pacote 07-08'!AL:AL,'Report Pacote 07-08'!$CB:$CB,$A46,'Report Pacote 07-08'!$J:$J,$W46)</f>
        <v>5932.5563099244455</v>
      </c>
      <c r="AB46" s="52">
        <f>SUMIFS('Report Pacote 07-08'!AM:AM,'Report Pacote 07-08'!$CB:$CB,$A46,'Report Pacote 07-08'!$J:$J,$W46)</f>
        <v>6266.1965326391582</v>
      </c>
      <c r="AC46" s="52">
        <f>SUMIFS('Report Pacote 07-08'!AN:AN,'Report Pacote 07-08'!$CB:$CB,$A46,'Report Pacote 07-08'!$J:$J,$W46)</f>
        <v>0</v>
      </c>
      <c r="AD46" s="52">
        <f>SUMIFS('Report Pacote 07-08'!AO:AO,'Report Pacote 07-08'!$CB:$CB,$A46,'Report Pacote 07-08'!$J:$J,$W46)</f>
        <v>0</v>
      </c>
      <c r="AE46" s="52">
        <f>SUMIFS('Report Pacote 07-08'!AP:AP,'Report Pacote 07-08'!$CB:$CB,$A46,'Report Pacote 07-08'!$J:$J,$W46)</f>
        <v>0</v>
      </c>
      <c r="AF46" s="52">
        <f>SUMIFS('Report Pacote 07-08'!AQ:AQ,'Report Pacote 07-08'!$CB:$CB,$A46,'Report Pacote 07-08'!$J:$J,$W46)</f>
        <v>0</v>
      </c>
      <c r="AG46" s="52">
        <f>SUMIFS('Report Pacote 07-08'!AR:AR,'Report Pacote 07-08'!$CB:$CB,$A46,'Report Pacote 07-08'!$J:$J,$W46)</f>
        <v>0</v>
      </c>
      <c r="AH46" s="52">
        <f>SUMIF($AA$7:$AG$7,"&lt;="&amp;$D$4,$AA46:$AG46)</f>
        <v>12198.752842563605</v>
      </c>
      <c r="AI46" s="742"/>
      <c r="AJ46" s="2"/>
      <c r="AK46" s="738"/>
      <c r="AL46" s="738"/>
      <c r="AM46" s="738"/>
      <c r="AN46" s="746"/>
      <c r="AO46" s="700"/>
      <c r="AP46" s="738">
        <f>SUMIFS('Report Pacote 07-08'!AC:AC,'Report Pacote 07-08'!$CB:$CB,$A46,'Report Pacote 07-08'!$J:$J,$W46)</f>
        <v>0</v>
      </c>
      <c r="AQ46" s="738">
        <f>SUMIFS('Report Pacote 07-08'!AD:AD,'Report Pacote 07-08'!$CB:$CB,$A46,'Report Pacote 07-08'!$J:$J,$W46)</f>
        <v>8772.1893292748755</v>
      </c>
      <c r="AR46" s="784"/>
      <c r="AS46" s="700"/>
      <c r="AT46" s="738"/>
      <c r="AU46" s="738"/>
      <c r="AV46" s="700"/>
      <c r="AW46" s="738"/>
      <c r="AX46" s="738"/>
      <c r="AY46" s="738"/>
      <c r="AZ46" s="3"/>
      <c r="BB46" s="44"/>
      <c r="BC46" s="44"/>
    </row>
    <row r="47" spans="1:55" ht="18.75" hidden="1" outlineLevel="1">
      <c r="B47" s="17" t="s">
        <v>34</v>
      </c>
      <c r="C47" s="3"/>
      <c r="D47" s="3"/>
      <c r="E47" s="3"/>
      <c r="G47" s="3"/>
      <c r="H47" s="37"/>
      <c r="I47" s="228"/>
      <c r="J47" s="3"/>
      <c r="K47" s="3"/>
      <c r="L47" s="37"/>
      <c r="M47" s="228"/>
      <c r="O47" s="3"/>
      <c r="P47" s="37"/>
      <c r="Q47" s="228"/>
      <c r="S47" s="3"/>
      <c r="T47" s="37"/>
      <c r="U47" s="228"/>
      <c r="V47" s="3"/>
      <c r="W47" s="3"/>
      <c r="X47" s="3"/>
      <c r="Y47" s="3"/>
      <c r="Z47" s="3"/>
      <c r="AA47" s="37"/>
      <c r="AB47" s="37"/>
      <c r="AC47" s="37"/>
      <c r="AD47" s="37"/>
      <c r="AE47" s="37"/>
      <c r="AF47" s="37"/>
      <c r="AG47" s="37"/>
      <c r="AH47" s="37"/>
      <c r="AI47" s="228"/>
      <c r="AJ47" s="3"/>
      <c r="AK47" s="249"/>
      <c r="AL47" s="249"/>
      <c r="AM47" s="249"/>
      <c r="AN47" s="228"/>
      <c r="AO47" s="3"/>
      <c r="AP47" s="249"/>
      <c r="AQ47" s="249"/>
      <c r="AR47" s="228"/>
      <c r="AS47" s="3"/>
      <c r="AT47" s="249"/>
      <c r="AU47" s="249"/>
      <c r="AV47" s="3"/>
      <c r="AW47" s="251"/>
      <c r="AX47" s="251"/>
      <c r="AY47" s="251"/>
      <c r="AZ47" s="3"/>
      <c r="BB47" s="4"/>
      <c r="BC47" s="4"/>
    </row>
    <row r="48" spans="1:55" ht="5.0999999999999996" customHeight="1" outlineLevel="1">
      <c r="B48" s="17" t="s">
        <v>34</v>
      </c>
      <c r="C48" s="3"/>
      <c r="D48" s="3"/>
      <c r="E48" s="3"/>
      <c r="G48" s="3"/>
      <c r="H48" s="37"/>
      <c r="I48" s="228"/>
      <c r="J48" s="3"/>
      <c r="K48" s="3"/>
      <c r="L48" s="37"/>
      <c r="M48" s="228"/>
      <c r="O48" s="3"/>
      <c r="P48" s="37"/>
      <c r="Q48" s="228"/>
      <c r="S48" s="3"/>
      <c r="T48" s="37"/>
      <c r="U48" s="228"/>
      <c r="V48" s="3"/>
      <c r="W48" s="3"/>
      <c r="X48" s="35"/>
      <c r="Y48" s="3"/>
      <c r="Z48" s="3"/>
      <c r="AA48" s="36"/>
      <c r="AB48" s="36"/>
      <c r="AC48" s="36"/>
      <c r="AD48" s="36"/>
      <c r="AE48" s="36"/>
      <c r="AF48" s="36"/>
      <c r="AG48" s="36"/>
      <c r="AH48" s="37"/>
      <c r="AI48" s="228"/>
      <c r="AJ48" s="3"/>
      <c r="AK48" s="249"/>
      <c r="AL48" s="249"/>
      <c r="AM48" s="249"/>
      <c r="AN48" s="228"/>
      <c r="AO48" s="3"/>
      <c r="AP48" s="250"/>
      <c r="AQ48" s="250"/>
      <c r="AR48" s="228"/>
      <c r="AS48" s="3"/>
      <c r="AT48" s="250"/>
      <c r="AU48" s="250"/>
      <c r="AV48" s="3"/>
      <c r="AW48" s="251"/>
      <c r="AX48" s="251"/>
      <c r="AY48" s="251"/>
      <c r="AZ48" s="3"/>
    </row>
    <row r="49" spans="1:55" s="44" customFormat="1" ht="15.75">
      <c r="B49" s="133"/>
      <c r="C49" s="3"/>
      <c r="D49" s="759" t="s">
        <v>51</v>
      </c>
      <c r="E49" s="761" t="s">
        <v>52</v>
      </c>
      <c r="F49" s="40"/>
      <c r="G49" s="41" t="s">
        <v>37</v>
      </c>
      <c r="H49" s="43">
        <v>9244.17</v>
      </c>
      <c r="I49" s="681">
        <f>IFERROR((H50/H49),"-")</f>
        <v>0.70790563133304563</v>
      </c>
      <c r="J49" s="40"/>
      <c r="K49" s="41" t="s">
        <v>37</v>
      </c>
      <c r="L49" s="43">
        <f>L53+L57+L61+L65</f>
        <v>10980</v>
      </c>
      <c r="M49" s="681">
        <f>IFERROR((L50/L49),"-")</f>
        <v>0.76466302367941708</v>
      </c>
      <c r="N49" s="40"/>
      <c r="O49" s="41" t="s">
        <v>37</v>
      </c>
      <c r="P49" s="43">
        <v>10525.978999999999</v>
      </c>
      <c r="Q49" s="757">
        <f>IFERROR((P50/P49),"-")</f>
        <v>0.64526064511434045</v>
      </c>
      <c r="R49" s="40"/>
      <c r="S49" s="41" t="s">
        <v>37</v>
      </c>
      <c r="T49" s="43">
        <v>11022.956</v>
      </c>
      <c r="U49" s="757">
        <v>0.82039699695798485</v>
      </c>
      <c r="V49" s="40"/>
      <c r="W49" s="41" t="s">
        <v>37</v>
      </c>
      <c r="X49" s="43">
        <f>X53+X57+X61+X65</f>
        <v>1521.6725999999999</v>
      </c>
      <c r="Y49" s="762">
        <f ca="1">IFERROR((X50/X49),"-")</f>
        <v>1.1720655284191883</v>
      </c>
      <c r="Z49" s="40"/>
      <c r="AA49" s="71">
        <f t="shared" ref="AA49:AG50" si="4">AA53+AA57+AA61+AA65</f>
        <v>1406.6725999999999</v>
      </c>
      <c r="AB49" s="71">
        <f t="shared" si="4"/>
        <v>1521.6725999999999</v>
      </c>
      <c r="AC49" s="71">
        <f t="shared" si="4"/>
        <v>1632.6725999999999</v>
      </c>
      <c r="AD49" s="71">
        <f t="shared" si="4"/>
        <v>1632.6725999999999</v>
      </c>
      <c r="AE49" s="71">
        <f t="shared" si="4"/>
        <v>1542.6725999999999</v>
      </c>
      <c r="AF49" s="71">
        <f t="shared" si="4"/>
        <v>1542.6725999999999</v>
      </c>
      <c r="AG49" s="591">
        <f t="shared" si="4"/>
        <v>0</v>
      </c>
      <c r="AH49" s="43">
        <f>SUMIF($AA$7:$AG$7,"&lt;="&amp;$D$4,$AA49:$AG49)</f>
        <v>2928.3451999999997</v>
      </c>
      <c r="AI49" s="757">
        <f ca="1">IFERROR((AH50/AH49),"-")</f>
        <v>1.1274285558956643</v>
      </c>
      <c r="AJ49" s="40"/>
      <c r="AK49" s="755">
        <f>AK53+AK57+AK61+AK65</f>
        <v>52401.282500000001</v>
      </c>
      <c r="AL49" s="755">
        <f>AL53+AL57+AL61+AL65</f>
        <v>26120.493533333331</v>
      </c>
      <c r="AM49" s="755">
        <f>AM53+AM57+AM61+AM65</f>
        <v>17411.2</v>
      </c>
      <c r="AN49" s="757">
        <f>IFERROR((AM49/AL49),"-")</f>
        <v>0.66657239756136011</v>
      </c>
      <c r="AO49" s="40"/>
      <c r="AP49" s="755">
        <f ca="1">AP53+AP57+AP61+AP65</f>
        <v>197382.00016666669</v>
      </c>
      <c r="AQ49" s="755">
        <f>AQ53+AQ57+AQ61+AQ65</f>
        <v>215500.05202608678</v>
      </c>
      <c r="AR49" s="757">
        <f ca="1">IFERROR((AP49/AQ49),"-")</f>
        <v>0.91592553371065144</v>
      </c>
      <c r="AS49" s="40"/>
      <c r="AT49" s="755">
        <f>AT53+AT57+AT61+AT65</f>
        <v>427960.15</v>
      </c>
      <c r="AU49" s="755">
        <f ca="1">AU53+AU57+AU61+AU65</f>
        <v>289361.63899999997</v>
      </c>
      <c r="AV49" s="40"/>
      <c r="AW49" s="753">
        <f ca="1">AW53+AW57+AW61+AW65</f>
        <v>1940.7882407407405</v>
      </c>
      <c r="AX49" s="753">
        <f>AX53+AX57+AX61+AX65</f>
        <v>1450.9333333333334</v>
      </c>
      <c r="AY49" s="753">
        <f ca="1">IF((AK49-AM49)/(Quadros!$D$4-Quadros!$D$6)&lt;0,"-",(AK49-AM49)/(Quadros!$D$4-Quadros!$D$6))</f>
        <v>2332.6721666666667</v>
      </c>
      <c r="AZ49" s="40"/>
      <c r="BA49" s="144"/>
    </row>
    <row r="50" spans="1:55" s="44" customFormat="1" ht="15.75">
      <c r="B50" s="133" t="s">
        <v>34</v>
      </c>
      <c r="C50" s="3"/>
      <c r="D50" s="760"/>
      <c r="E50" s="761"/>
      <c r="F50" s="40"/>
      <c r="G50" s="45" t="s">
        <v>38</v>
      </c>
      <c r="H50" s="43">
        <v>6544</v>
      </c>
      <c r="I50" s="682"/>
      <c r="J50" s="40"/>
      <c r="K50" s="45" t="s">
        <v>38</v>
      </c>
      <c r="L50" s="43">
        <f>L54+L58+L62+L66</f>
        <v>8396</v>
      </c>
      <c r="M50" s="682"/>
      <c r="N50" s="40"/>
      <c r="O50" s="45" t="s">
        <v>38</v>
      </c>
      <c r="P50" s="43">
        <v>6792</v>
      </c>
      <c r="Q50" s="758"/>
      <c r="R50" s="40"/>
      <c r="S50" s="45" t="s">
        <v>38</v>
      </c>
      <c r="T50" s="43">
        <v>9043.2000000000007</v>
      </c>
      <c r="U50" s="758"/>
      <c r="V50" s="40"/>
      <c r="W50" s="45" t="s">
        <v>38</v>
      </c>
      <c r="X50" s="43">
        <f ca="1">X54+X58+X62+X66</f>
        <v>1783.5</v>
      </c>
      <c r="Y50" s="763"/>
      <c r="Z50" s="40"/>
      <c r="AA50" s="71">
        <f t="shared" ca="1" si="4"/>
        <v>1518</v>
      </c>
      <c r="AB50" s="71">
        <f t="shared" ca="1" si="4"/>
        <v>1783.5</v>
      </c>
      <c r="AC50" s="71">
        <f t="shared" ca="1" si="4"/>
        <v>0</v>
      </c>
      <c r="AD50" s="71">
        <f t="shared" ca="1" si="4"/>
        <v>0</v>
      </c>
      <c r="AE50" s="71">
        <f t="shared" ca="1" si="4"/>
        <v>0</v>
      </c>
      <c r="AF50" s="71">
        <f t="shared" ca="1" si="4"/>
        <v>0</v>
      </c>
      <c r="AG50" s="71">
        <f t="shared" ca="1" si="4"/>
        <v>0</v>
      </c>
      <c r="AH50" s="43">
        <f ca="1">SUMIF($AA$7:$AG$7,"&lt;="&amp;$D$4,$AA50:$AG50)</f>
        <v>3301.5</v>
      </c>
      <c r="AI50" s="758"/>
      <c r="AJ50" s="40"/>
      <c r="AK50" s="756"/>
      <c r="AL50" s="756"/>
      <c r="AM50" s="756"/>
      <c r="AN50" s="758"/>
      <c r="AO50" s="40"/>
      <c r="AP50" s="756"/>
      <c r="AQ50" s="756"/>
      <c r="AR50" s="758"/>
      <c r="AS50" s="40"/>
      <c r="AT50" s="756"/>
      <c r="AU50" s="756"/>
      <c r="AV50" s="40"/>
      <c r="AW50" s="754"/>
      <c r="AX50" s="754"/>
      <c r="AY50" s="754"/>
      <c r="AZ50" s="40"/>
      <c r="BA50" s="139"/>
      <c r="BB50" s="265" t="s">
        <v>53</v>
      </c>
      <c r="BC50" s="265" t="s">
        <v>54</v>
      </c>
    </row>
    <row r="51" spans="1:55" ht="3.6" customHeight="1">
      <c r="B51" s="17" t="s">
        <v>34</v>
      </c>
      <c r="C51" s="3"/>
      <c r="D51" s="3"/>
      <c r="G51" s="35"/>
      <c r="H51" s="37"/>
      <c r="I51" s="228"/>
      <c r="J51" s="3"/>
      <c r="K51" s="35"/>
      <c r="L51" s="37"/>
      <c r="M51" s="228"/>
      <c r="O51" s="35"/>
      <c r="P51" s="37"/>
      <c r="Q51" s="228"/>
      <c r="S51" s="35"/>
      <c r="T51" s="37"/>
      <c r="U51" s="228"/>
      <c r="V51" s="3"/>
      <c r="W51" s="35"/>
      <c r="X51" s="35"/>
      <c r="Y51" s="3"/>
      <c r="Z51" s="3"/>
      <c r="AA51" s="37"/>
      <c r="AB51" s="37"/>
      <c r="AC51" s="37"/>
      <c r="AD51" s="37"/>
      <c r="AE51" s="37"/>
      <c r="AF51" s="37"/>
      <c r="AG51" s="37"/>
      <c r="AH51" s="37"/>
      <c r="AI51" s="228"/>
      <c r="AJ51" s="3"/>
      <c r="AK51" s="249"/>
      <c r="AL51" s="249"/>
      <c r="AM51" s="249"/>
      <c r="AN51" s="228"/>
      <c r="AO51" s="3"/>
      <c r="AP51" s="249"/>
      <c r="AQ51" s="249"/>
      <c r="AR51" s="228"/>
      <c r="AS51" s="3"/>
      <c r="AT51" s="250"/>
      <c r="AU51" s="250"/>
      <c r="AV51" s="3"/>
      <c r="AW51" s="251"/>
      <c r="AX51" s="251"/>
      <c r="AY51" s="251"/>
      <c r="AZ51" s="3"/>
    </row>
    <row r="52" spans="1:55" ht="5.0999999999999996" customHeight="1">
      <c r="B52" s="17" t="s">
        <v>34</v>
      </c>
      <c r="C52" s="3"/>
      <c r="D52" s="3"/>
      <c r="E52" s="3"/>
      <c r="G52" s="35"/>
      <c r="H52" s="37"/>
      <c r="I52" s="228"/>
      <c r="J52" s="3"/>
      <c r="K52" s="35"/>
      <c r="L52" s="37"/>
      <c r="M52" s="228"/>
      <c r="O52" s="35"/>
      <c r="P52" s="37"/>
      <c r="Q52" s="228"/>
      <c r="S52" s="35"/>
      <c r="T52" s="37"/>
      <c r="U52" s="228"/>
      <c r="V52" s="3"/>
      <c r="W52" s="35"/>
      <c r="X52" s="35"/>
      <c r="Y52" s="3"/>
      <c r="Z52" s="3"/>
      <c r="AA52" s="37"/>
      <c r="AB52" s="37"/>
      <c r="AC52" s="37"/>
      <c r="AD52" s="37"/>
      <c r="AE52" s="37"/>
      <c r="AF52" s="37"/>
      <c r="AG52" s="37"/>
      <c r="AH52" s="37"/>
      <c r="AI52" s="228"/>
      <c r="AJ52" s="3"/>
      <c r="AK52" s="249"/>
      <c r="AL52" s="249"/>
      <c r="AM52" s="249"/>
      <c r="AN52" s="228"/>
      <c r="AO52" s="3"/>
      <c r="AP52" s="249"/>
      <c r="AQ52" s="249"/>
      <c r="AR52" s="228"/>
      <c r="AS52" s="3"/>
      <c r="AT52" s="250"/>
      <c r="AU52" s="250"/>
      <c r="AV52" s="3"/>
      <c r="AW52" s="251"/>
      <c r="AX52" s="251"/>
      <c r="AY52" s="251"/>
      <c r="AZ52" s="3"/>
    </row>
    <row r="53" spans="1:55" s="21" customFormat="1" ht="18" customHeight="1" outlineLevel="1">
      <c r="A53" s="21" t="s">
        <v>39</v>
      </c>
      <c r="B53" s="134" t="s">
        <v>34</v>
      </c>
      <c r="C53" s="3"/>
      <c r="D53" s="739" t="s">
        <v>40</v>
      </c>
      <c r="E53" s="740" t="s">
        <v>52</v>
      </c>
      <c r="F53" s="2"/>
      <c r="G53" s="53" t="s">
        <v>37</v>
      </c>
      <c r="H53" s="52">
        <v>2158</v>
      </c>
      <c r="I53" s="677">
        <f>IFERROR((H54/H53),"-")</f>
        <v>0.62279888785912885</v>
      </c>
      <c r="J53" s="2"/>
      <c r="K53" s="53" t="s">
        <v>37</v>
      </c>
      <c r="L53" s="52">
        <v>2240</v>
      </c>
      <c r="M53" s="677">
        <f>IFERROR((L54/L53),"-")</f>
        <v>0.74285714285714288</v>
      </c>
      <c r="N53" s="2"/>
      <c r="O53" s="53" t="s">
        <v>37</v>
      </c>
      <c r="P53" s="52">
        <v>2000</v>
      </c>
      <c r="Q53" s="741">
        <f>IFERROR((P54/P53),"-")</f>
        <v>0.43175000000000002</v>
      </c>
      <c r="R53" s="2"/>
      <c r="S53" s="53" t="s">
        <v>37</v>
      </c>
      <c r="T53" s="52">
        <v>2304</v>
      </c>
      <c r="U53" s="741">
        <v>0.73676215277777779</v>
      </c>
      <c r="V53" s="2"/>
      <c r="W53" s="53" t="s">
        <v>37</v>
      </c>
      <c r="X53" s="52">
        <f>SUMIF($AA$7:$AG$7,"="&amp;$D$4,$AA53:$AG53)</f>
        <v>280</v>
      </c>
      <c r="Y53" s="743">
        <f>IFERROR((X54/X53),"-")</f>
        <v>0.82321428571428568</v>
      </c>
      <c r="Z53" s="2"/>
      <c r="AA53" s="52">
        <f>SUMIFS('Report Pacote 0405'!P:P,'Report Pacote 0405'!$AV:$AV,$D$49,'Report Pacote 0405'!$AW:$AW,$A$53,'Report Pacote 0405'!$H:$H,$W53)+SUMIFS('Report Pacote 0405'!P:P,'Report Pacote 0405'!$AV:$AV,$D$49,'Report Pacote 0405'!$AW:$AW,$A$54,'Report Pacote 0405'!$H:$H,$W53)</f>
        <v>315</v>
      </c>
      <c r="AB53" s="52">
        <f>SUMIFS('Report Pacote 0405'!Q:Q,'Report Pacote 0405'!$AV:$AV,$D$49,'Report Pacote 0405'!$AW:$AW,$A$53,'Report Pacote 0405'!$H:$H,$W53)+SUMIFS('Report Pacote 0405'!Q:Q,'Report Pacote 0405'!$AV:$AV,$D$49,'Report Pacote 0405'!$AW:$AW,$A$54,'Report Pacote 0405'!$H:$H,$W53)</f>
        <v>280</v>
      </c>
      <c r="AC53" s="52">
        <f>SUMIFS('Report Pacote 0405'!R:R,'Report Pacote 0405'!$AV:$AV,$D$49,'Report Pacote 0405'!$AW:$AW,$A$53,'Report Pacote 0405'!$H:$H,$W53)+SUMIFS('Report Pacote 0405'!R:R,'Report Pacote 0405'!$AV:$AV,$D$49,'Report Pacote 0405'!$AW:$AW,$A$54,'Report Pacote 0405'!$H:$H,$W53)</f>
        <v>280</v>
      </c>
      <c r="AD53" s="52">
        <f>SUMIFS('Report Pacote 0405'!S:S,'Report Pacote 0405'!$AV:$AV,$D$49,'Report Pacote 0405'!$AW:$AW,$A$53,'Report Pacote 0405'!$H:$H,$W53)+SUMIFS('Report Pacote 0405'!S:S,'Report Pacote 0405'!$AV:$AV,$D$49,'Report Pacote 0405'!$AW:$AW,$A$54,'Report Pacote 0405'!$H:$H,$W53)</f>
        <v>280</v>
      </c>
      <c r="AE53" s="52">
        <f>SUMIFS('Report Pacote 0405'!T:T,'Report Pacote 0405'!$AV:$AV,$D$49,'Report Pacote 0405'!$AW:$AW,$A$53,'Report Pacote 0405'!$H:$H,$W53)+SUMIFS('Report Pacote 0405'!T:T,'Report Pacote 0405'!$AV:$AV,$D$49,'Report Pacote 0405'!$AW:$AW,$A$54,'Report Pacote 0405'!$H:$H,$W53)</f>
        <v>240</v>
      </c>
      <c r="AF53" s="52">
        <f>SUMIFS('Report Pacote 0405'!U:U,'Report Pacote 0405'!$AV:$AV,$D$49,'Report Pacote 0405'!$AW:$AW,$A$53,'Report Pacote 0405'!$H:$H,$W53)+SUMIFS('Report Pacote 0405'!U:U,'Report Pacote 0405'!$AV:$AV,$D$49,'Report Pacote 0405'!$AW:$AW,$A$54,'Report Pacote 0405'!$H:$H,$W53)</f>
        <v>240</v>
      </c>
      <c r="AG53" s="52">
        <f>SUMIFS('Report Pacote 0405'!V:V,'Report Pacote 0405'!$AV:$AV,$D$49,'Report Pacote 0405'!$AW:$AW,$A$53,'Report Pacote 0405'!$H:$H,$W53)+SUMIFS('Report Pacote 0405'!V:V,'Report Pacote 0405'!$AV:$AV,$D$49,'Report Pacote 0405'!$AW:$AW,$A$54,'Report Pacote 0405'!$H:$H,$W53)</f>
        <v>0</v>
      </c>
      <c r="AH53" s="52">
        <f>SUMIF($AA$7:$AG$7,"&lt;="&amp;$D$4,$AA53:$AG53)</f>
        <v>595</v>
      </c>
      <c r="AI53" s="741">
        <f>IFERROR((AH54/AH53),"-")</f>
        <v>0.8613445378151261</v>
      </c>
      <c r="AJ53" s="2"/>
      <c r="AK53" s="737">
        <f>SUMIFS('Report Pacote 0405'!AA:AA,'Report Pacote 0405'!$AV:$AV,$D$49,'Report Pacote 0405'!$AW:$AW,$A$53,'Report Pacote 0405'!$H:$H,$W53)+SUMIFS('Report Pacote 0405'!AA:AA,'Report Pacote 0405'!$AV:$AV,$D$49,'Report Pacote 0405'!$AW:$AW,$A$54,'Report Pacote 0405'!$H:$H,$W53)</f>
        <v>17422.16</v>
      </c>
      <c r="AL53" s="737">
        <f>SUMIFS('Report Pacote 0405'!AB:AB,'Report Pacote 0405'!$AV:$AV,$D$49,'Report Pacote 0405'!$AW:$AW,$A$53,'Report Pacote 0405'!$H:$H,$W53)+SUMIFS('Report Pacote 0405'!AB:AB,'Report Pacote 0405'!$AV:$AV,$D$49,'Report Pacote 0405'!$AW:$AW,$A$54,'Report Pacote 0405'!$H:$H,$W53)</f>
        <v>9751.1999999999989</v>
      </c>
      <c r="AM53" s="737">
        <f>SUMIFS('Report Pacote 0405'!AC:AC,'Report Pacote 0405'!$AV:$AV,$D$49,'Report Pacote 0405'!$AW:$AW,$A$53,'Report Pacote 0405'!$H:$H,$W53)+SUMIFS('Report Pacote 0405'!AC:AC,'Report Pacote 0405'!$AV:$AV,$D$49,'Report Pacote 0405'!$AW:$AW,$A$54,'Report Pacote 0405'!$H:$H,$W53)</f>
        <v>2941</v>
      </c>
      <c r="AN53" s="745">
        <f>IFERROR((AM53/AL53),"-")</f>
        <v>0.30160390516039054</v>
      </c>
      <c r="AO53" s="700"/>
      <c r="AP53" s="737">
        <f>SUMIFS('Report Pacote 0405'!AK:AK,'Report Pacote 0405'!$AV:$AV,$D$49,'Report Pacote 0405'!$AW:$AW,$A$53,'Report Pacote 0405'!$H:$H,$W53)+SUMIFS('Report Pacote 0405'!AK:AK,'Report Pacote 0405'!$AV:$AV,$D$49,'Report Pacote 0405'!$AW:$AW,$A$54,'Report Pacote 0405'!$H:$H,$W53)</f>
        <v>64580.559000000001</v>
      </c>
      <c r="AQ53" s="737">
        <f>SUMIFS('Report Pacote 0405'!AL:AL,'Report Pacote 0405'!$AV:$AV,$D$49,'Report Pacote 0405'!$AW:$AW,$A$53,'Report Pacote 0405'!$H:$H,$W53)+SUMIFS('Report Pacote 0405'!AL:AL,'Report Pacote 0405'!$AV:$AV,$D$49,'Report Pacote 0405'!$AW:$AW,$A$54,'Report Pacote 0405'!$H:$H,$W53)</f>
        <v>76879.78</v>
      </c>
      <c r="AR53" s="745">
        <f>IFERROR((AP53/AQ53),"-")</f>
        <v>0.84002008070262435</v>
      </c>
      <c r="AS53" s="700"/>
      <c r="AT53" s="737">
        <f>SUMIFS('Report Pacote 0405'!AO:AO,'Report Pacote 0405'!$AV:$AV,$D$49,'Report Pacote 0405'!$AW:$AW,$A$53,'Report Pacote 0405'!$H:$H,$W53)+SUMIFS('Report Pacote 0405'!AO:AO,'Report Pacote 0405'!$AV:$AV,$D$49,'Report Pacote 0405'!$AW:$AW,$A$54,'Report Pacote 0405'!$H:$H,$W53)</f>
        <v>120838.51</v>
      </c>
      <c r="AU53" s="737">
        <f>SUMIFS('Report Pacote 0405'!AP:AP,'Report Pacote 0405'!$AV:$AV,$D$49,'Report Pacote 0405'!$AW:$AW,$A$53,'Report Pacote 0405'!$H:$H,$W53)+SUMIFS('Report Pacote 0405'!AP:AP,'Report Pacote 0405'!$AV:$AV,$D$49,'Report Pacote 0405'!$AW:$AW,$A$54,'Report Pacote 0405'!$H:$H,$W53)</f>
        <v>56257.951000000001</v>
      </c>
      <c r="AV53" s="700"/>
      <c r="AW53" s="737">
        <f ca="1">AK53/Quadros!$D$4</f>
        <v>645.26518518518515</v>
      </c>
      <c r="AX53" s="737">
        <f>AM53/Quadros!$D$6</f>
        <v>245.08333333333334</v>
      </c>
      <c r="AY53" s="737">
        <f ca="1">IF((AK53-AM53)/(Quadros!$D$4-Quadros!$D$6)&lt;0,"-",(AK53-AM53)/(Quadros!$D$4-Quadros!$D$6))</f>
        <v>965.41066666666666</v>
      </c>
      <c r="AZ53" s="3"/>
      <c r="BA53" s="138"/>
      <c r="BB53" s="814">
        <f>AU53/AK53</f>
        <v>3.2291031077662011</v>
      </c>
      <c r="BC53" s="814">
        <f>AU53/5</f>
        <v>11251.590200000001</v>
      </c>
    </row>
    <row r="54" spans="1:55" s="16" customFormat="1" ht="18" customHeight="1" outlineLevel="1" thickBot="1">
      <c r="A54" s="21" t="s">
        <v>41</v>
      </c>
      <c r="B54" s="133" t="s">
        <v>34</v>
      </c>
      <c r="C54" s="3"/>
      <c r="D54" s="739"/>
      <c r="E54" s="740"/>
      <c r="F54" s="2"/>
      <c r="G54" s="54" t="s">
        <v>38</v>
      </c>
      <c r="H54" s="52">
        <v>1344</v>
      </c>
      <c r="I54" s="678"/>
      <c r="J54" s="2"/>
      <c r="K54" s="54" t="s">
        <v>38</v>
      </c>
      <c r="L54" s="52">
        <v>1664</v>
      </c>
      <c r="M54" s="678"/>
      <c r="N54" s="2"/>
      <c r="O54" s="54" t="s">
        <v>38</v>
      </c>
      <c r="P54" s="52">
        <v>863.5</v>
      </c>
      <c r="Q54" s="742"/>
      <c r="R54" s="2"/>
      <c r="S54" s="54" t="s">
        <v>38</v>
      </c>
      <c r="T54" s="52">
        <v>1697.5</v>
      </c>
      <c r="U54" s="742"/>
      <c r="V54" s="2"/>
      <c r="W54" s="54" t="s">
        <v>38</v>
      </c>
      <c r="X54" s="52">
        <f>SUMIF($AA$7:$AG$7,"="&amp;$D$4,$AA54:$AG54)</f>
        <v>230.5</v>
      </c>
      <c r="Y54" s="744"/>
      <c r="Z54" s="2"/>
      <c r="AA54" s="52">
        <f>SUMIFS('Report Pacote 0405'!P:P,'Report Pacote 0405'!$AV:$AV,$D$49,'Report Pacote 0405'!$AW:$AW,$A$53,'Report Pacote 0405'!$H:$H,$W54)+SUMIFS('Report Pacote 0405'!P:P,'Report Pacote 0405'!$AV:$AV,$D$49,'Report Pacote 0405'!$AW:$AW,$A$54,'Report Pacote 0405'!$H:$H,$W54)</f>
        <v>282</v>
      </c>
      <c r="AB54" s="52">
        <f>SUMIFS('Report Pacote 0405'!Q:Q,'Report Pacote 0405'!$AV:$AV,$D$49,'Report Pacote 0405'!$AW:$AW,$A$53,'Report Pacote 0405'!$H:$H,$W54)+SUMIFS('Report Pacote 0405'!Q:Q,'Report Pacote 0405'!$AV:$AV,$D$49,'Report Pacote 0405'!$AW:$AW,$A$54,'Report Pacote 0405'!$H:$H,$W54)</f>
        <v>230.5</v>
      </c>
      <c r="AC54" s="52">
        <f>SUMIFS('Report Pacote 0405'!R:R,'Report Pacote 0405'!$AV:$AV,$D$49,'Report Pacote 0405'!$AW:$AW,$A$53,'Report Pacote 0405'!$H:$H,$W54)+SUMIFS('Report Pacote 0405'!R:R,'Report Pacote 0405'!$AV:$AV,$D$49,'Report Pacote 0405'!$AW:$AW,$A$54,'Report Pacote 0405'!$H:$H,$W54)</f>
        <v>0</v>
      </c>
      <c r="AD54" s="52">
        <f>SUMIFS('Report Pacote 0405'!S:S,'Report Pacote 0405'!$AV:$AV,$D$49,'Report Pacote 0405'!$AW:$AW,$A$53,'Report Pacote 0405'!$H:$H,$W54)+SUMIFS('Report Pacote 0405'!S:S,'Report Pacote 0405'!$AV:$AV,$D$49,'Report Pacote 0405'!$AW:$AW,$A$54,'Report Pacote 0405'!$H:$H,$W54)</f>
        <v>0</v>
      </c>
      <c r="AE54" s="52">
        <f>SUMIFS('Report Pacote 0405'!T:T,'Report Pacote 0405'!$AV:$AV,$D$49,'Report Pacote 0405'!$AW:$AW,$A$53,'Report Pacote 0405'!$H:$H,$W54)+SUMIFS('Report Pacote 0405'!T:T,'Report Pacote 0405'!$AV:$AV,$D$49,'Report Pacote 0405'!$AW:$AW,$A$54,'Report Pacote 0405'!$H:$H,$W54)</f>
        <v>0</v>
      </c>
      <c r="AF54" s="52">
        <f>SUMIFS('Report Pacote 0405'!U:U,'Report Pacote 0405'!$AV:$AV,$D$49,'Report Pacote 0405'!$AW:$AW,$A$53,'Report Pacote 0405'!$H:$H,$W54)+SUMIFS('Report Pacote 0405'!U:U,'Report Pacote 0405'!$AV:$AV,$D$49,'Report Pacote 0405'!$AW:$AW,$A$54,'Report Pacote 0405'!$H:$H,$W54)</f>
        <v>0</v>
      </c>
      <c r="AG54" s="52">
        <f>SUMIFS('Report Pacote 0405'!V:V,'Report Pacote 0405'!$AV:$AV,$D$49,'Report Pacote 0405'!$AW:$AW,$A$53,'Report Pacote 0405'!$H:$H,$W54)+SUMIFS('Report Pacote 0405'!V:V,'Report Pacote 0405'!$AV:$AV,$D$49,'Report Pacote 0405'!$AW:$AW,$A$54,'Report Pacote 0405'!$H:$H,$W54)</f>
        <v>0</v>
      </c>
      <c r="AH54" s="52">
        <f>SUMIF($AA$7:$AG$7,"&lt;="&amp;$D$4,$AA54:$AG54)</f>
        <v>512.5</v>
      </c>
      <c r="AI54" s="742"/>
      <c r="AJ54" s="2"/>
      <c r="AK54" s="738"/>
      <c r="AL54" s="738"/>
      <c r="AM54" s="738"/>
      <c r="AN54" s="746"/>
      <c r="AO54" s="700"/>
      <c r="AP54" s="738"/>
      <c r="AQ54" s="738"/>
      <c r="AR54" s="784"/>
      <c r="AS54" s="700"/>
      <c r="AT54" s="738"/>
      <c r="AU54" s="738"/>
      <c r="AV54" s="700"/>
      <c r="AW54" s="738"/>
      <c r="AX54" s="738"/>
      <c r="AY54" s="738"/>
      <c r="AZ54" s="3"/>
      <c r="BB54" s="815"/>
      <c r="BC54" s="815"/>
    </row>
    <row r="55" spans="1:55" ht="18.75" outlineLevel="1">
      <c r="A55" s="4"/>
      <c r="B55" s="17" t="s">
        <v>34</v>
      </c>
      <c r="C55" s="3"/>
      <c r="D55" s="3"/>
      <c r="E55" s="3"/>
      <c r="G55" s="3"/>
      <c r="H55" s="37"/>
      <c r="I55" s="228"/>
      <c r="J55" s="3"/>
      <c r="K55" s="3"/>
      <c r="L55" s="37"/>
      <c r="M55" s="228"/>
      <c r="O55" s="3"/>
      <c r="P55" s="37"/>
      <c r="Q55" s="228"/>
      <c r="S55" s="3"/>
      <c r="T55" s="37"/>
      <c r="U55" s="228"/>
      <c r="V55" s="3"/>
      <c r="W55" s="3"/>
      <c r="X55" s="3"/>
      <c r="Y55" s="3"/>
      <c r="Z55" s="3"/>
      <c r="AA55" s="37"/>
      <c r="AB55" s="37"/>
      <c r="AC55" s="37"/>
      <c r="AD55" s="37"/>
      <c r="AE55" s="37"/>
      <c r="AF55" s="37"/>
      <c r="AG55" s="37"/>
      <c r="AH55" s="37"/>
      <c r="AI55" s="228"/>
      <c r="AJ55" s="228"/>
      <c r="AK55" s="701"/>
      <c r="AL55" s="701"/>
      <c r="AM55" s="701"/>
      <c r="AN55" s="701"/>
      <c r="AO55" s="702"/>
      <c r="AP55" s="251"/>
      <c r="AQ55" s="251"/>
      <c r="AR55" s="701"/>
      <c r="AS55" s="702"/>
      <c r="AT55" s="251"/>
      <c r="AU55" s="251"/>
      <c r="AV55" s="702"/>
      <c r="AW55" s="251"/>
      <c r="AX55" s="251"/>
      <c r="AY55" s="251"/>
      <c r="AZ55" s="3"/>
      <c r="BB55" s="249"/>
      <c r="BC55" s="249"/>
    </row>
    <row r="56" spans="1:55" ht="5.0999999999999996" customHeight="1" outlineLevel="1">
      <c r="A56" s="4"/>
      <c r="B56" s="17" t="s">
        <v>34</v>
      </c>
      <c r="C56" s="3"/>
      <c r="D56" s="3"/>
      <c r="E56" s="3"/>
      <c r="G56" s="3"/>
      <c r="H56" s="37"/>
      <c r="I56" s="228"/>
      <c r="J56" s="3"/>
      <c r="K56" s="3"/>
      <c r="L56" s="37"/>
      <c r="M56" s="228"/>
      <c r="O56" s="3"/>
      <c r="P56" s="37"/>
      <c r="Q56" s="228"/>
      <c r="S56" s="3"/>
      <c r="T56" s="37"/>
      <c r="U56" s="228"/>
      <c r="V56" s="3"/>
      <c r="W56" s="3"/>
      <c r="X56" s="35"/>
      <c r="Y56" s="3"/>
      <c r="Z56" s="3"/>
      <c r="AA56" s="35"/>
      <c r="AB56" s="35"/>
      <c r="AC56" s="35"/>
      <c r="AD56" s="35"/>
      <c r="AE56" s="35"/>
      <c r="AF56" s="35"/>
      <c r="AG56" s="35"/>
      <c r="AH56" s="37"/>
      <c r="AI56" s="228"/>
      <c r="AJ56" s="228"/>
      <c r="AK56" s="701"/>
      <c r="AL56" s="701"/>
      <c r="AM56" s="701"/>
      <c r="AN56" s="701"/>
      <c r="AO56" s="702"/>
      <c r="AP56" s="251"/>
      <c r="AQ56" s="251"/>
      <c r="AR56" s="701"/>
      <c r="AS56" s="702"/>
      <c r="AT56" s="251"/>
      <c r="AU56" s="251"/>
      <c r="AV56" s="702"/>
      <c r="AW56" s="251"/>
      <c r="AX56" s="251"/>
      <c r="AY56" s="251"/>
      <c r="AZ56" s="3"/>
      <c r="BB56" s="249"/>
      <c r="BC56" s="249"/>
    </row>
    <row r="57" spans="1:55" s="21" customFormat="1" ht="15.75" customHeight="1" outlineLevel="1">
      <c r="A57" s="21" t="s">
        <v>42</v>
      </c>
      <c r="B57" s="134" t="s">
        <v>34</v>
      </c>
      <c r="C57" s="3"/>
      <c r="D57" s="739" t="s">
        <v>43</v>
      </c>
      <c r="E57" s="740" t="s">
        <v>52</v>
      </c>
      <c r="F57" s="2"/>
      <c r="G57" s="53" t="s">
        <v>37</v>
      </c>
      <c r="H57" s="52">
        <v>2666</v>
      </c>
      <c r="I57" s="677">
        <f>IFERROR((H58/H57),"-")</f>
        <v>0.64403600900225055</v>
      </c>
      <c r="J57" s="2"/>
      <c r="K57" s="53" t="s">
        <v>37</v>
      </c>
      <c r="L57" s="52">
        <v>2960</v>
      </c>
      <c r="M57" s="677">
        <f>IFERROR((L58/L57),"-")</f>
        <v>0.7915540540540541</v>
      </c>
      <c r="N57" s="2"/>
      <c r="O57" s="53" t="s">
        <v>37</v>
      </c>
      <c r="P57" s="52">
        <v>3400</v>
      </c>
      <c r="Q57" s="741">
        <f>IFERROR((P58/P57),"-")</f>
        <v>0.5539705882352941</v>
      </c>
      <c r="R57" s="2"/>
      <c r="S57" s="53" t="s">
        <v>37</v>
      </c>
      <c r="T57" s="52">
        <v>3151</v>
      </c>
      <c r="U57" s="741">
        <v>0.66731196445572827</v>
      </c>
      <c r="V57" s="2"/>
      <c r="W57" s="53" t="s">
        <v>37</v>
      </c>
      <c r="X57" s="52">
        <f>SUMIF($AA$7:$AG$7,"="&amp;$D$4,$AA57:$AG57)</f>
        <v>539</v>
      </c>
      <c r="Y57" s="743">
        <f ca="1">IFERROR((X58/X57),"-")</f>
        <v>0.89424860853432286</v>
      </c>
      <c r="Z57" s="2"/>
      <c r="AA57" s="52">
        <f>SUMIFS('Report Pacote 0405'!P:P,'Report Pacote 0405'!$AV:$AV,$D$49,'Report Pacote 0405'!$AW:$AW,$A$57,'Report Pacote 0405'!$H:$H,$W57)+SUMIFS('Report Pacote 0405'!P:P,'Report Pacote 0405'!$AV:$AV,$D$49,'Report Pacote 0405'!$AW:$AW,$A$58,'Report Pacote 0405'!$H:$H,$W57)+SUMIFS('Report Pacote 0405'!P:P,'Report Pacote 0405'!$AV:$AV,$D$49,'Report Pacote 0405'!$AW:$AW,$A$59,'Report Pacote 0405'!$H:$H,$W57)</f>
        <v>539</v>
      </c>
      <c r="AB57" s="52">
        <f>SUMIFS('Report Pacote 0405'!Q:Q,'Report Pacote 0405'!$AV:$AV,$D$49,'Report Pacote 0405'!$AW:$AW,$A$57,'Report Pacote 0405'!$H:$H,$W57)+SUMIFS('Report Pacote 0405'!Q:Q,'Report Pacote 0405'!$AV:$AV,$D$49,'Report Pacote 0405'!$AW:$AW,$A$58,'Report Pacote 0405'!$H:$H,$W57)+SUMIFS('Report Pacote 0405'!Q:Q,'Report Pacote 0405'!$AV:$AV,$D$49,'Report Pacote 0405'!$AW:$AW,$A$59,'Report Pacote 0405'!$H:$H,$W57)</f>
        <v>539</v>
      </c>
      <c r="AC57" s="52">
        <f>SUMIFS('Report Pacote 0405'!R:R,'Report Pacote 0405'!$AV:$AV,$D$49,'Report Pacote 0405'!$AW:$AW,$A$57,'Report Pacote 0405'!$H:$H,$W57)+SUMIFS('Report Pacote 0405'!R:R,'Report Pacote 0405'!$AV:$AV,$D$49,'Report Pacote 0405'!$AW:$AW,$A$58,'Report Pacote 0405'!$H:$H,$W57)+SUMIFS('Report Pacote 0405'!R:R,'Report Pacote 0405'!$AV:$AV,$D$49,'Report Pacote 0405'!$AW:$AW,$A$59,'Report Pacote 0405'!$H:$H,$W57)</f>
        <v>550</v>
      </c>
      <c r="AD57" s="52">
        <f>SUMIFS('Report Pacote 0405'!S:S,'Report Pacote 0405'!$AV:$AV,$D$49,'Report Pacote 0405'!$AW:$AW,$A$57,'Report Pacote 0405'!$H:$H,$W57)+SUMIFS('Report Pacote 0405'!S:S,'Report Pacote 0405'!$AV:$AV,$D$49,'Report Pacote 0405'!$AW:$AW,$A$58,'Report Pacote 0405'!$H:$H,$W57)+SUMIFS('Report Pacote 0405'!S:S,'Report Pacote 0405'!$AV:$AV,$D$49,'Report Pacote 0405'!$AW:$AW,$A$59,'Report Pacote 0405'!$H:$H,$W57)</f>
        <v>550</v>
      </c>
      <c r="AE57" s="52">
        <f>SUMIFS('Report Pacote 0405'!T:T,'Report Pacote 0405'!$AV:$AV,$D$49,'Report Pacote 0405'!$AW:$AW,$A$57,'Report Pacote 0405'!$H:$H,$W57)+SUMIFS('Report Pacote 0405'!T:T,'Report Pacote 0405'!$AV:$AV,$D$49,'Report Pacote 0405'!$AW:$AW,$A$58,'Report Pacote 0405'!$H:$H,$W57)+SUMIFS('Report Pacote 0405'!T:T,'Report Pacote 0405'!$AV:$AV,$D$49,'Report Pacote 0405'!$AW:$AW,$A$59,'Report Pacote 0405'!$H:$H,$W57)</f>
        <v>500</v>
      </c>
      <c r="AF57" s="52">
        <f>SUMIFS('Report Pacote 0405'!U:U,'Report Pacote 0405'!$AV:$AV,$D$49,'Report Pacote 0405'!$AW:$AW,$A$57,'Report Pacote 0405'!$H:$H,$W57)+SUMIFS('Report Pacote 0405'!U:U,'Report Pacote 0405'!$AV:$AV,$D$49,'Report Pacote 0405'!$AW:$AW,$A$58,'Report Pacote 0405'!$H:$H,$W57)+SUMIFS('Report Pacote 0405'!U:U,'Report Pacote 0405'!$AV:$AV,$D$49,'Report Pacote 0405'!$AW:$AW,$A$59,'Report Pacote 0405'!$H:$H,$W57)</f>
        <v>500</v>
      </c>
      <c r="AG57" s="52">
        <f>SUMIFS('Report Pacote 0405'!V:V,'Report Pacote 0405'!$AV:$AV,$D$49,'Report Pacote 0405'!$AW:$AW,$A$57,'Report Pacote 0405'!$H:$H,$W57)+SUMIFS('Report Pacote 0405'!V:V,'Report Pacote 0405'!$AV:$AV,$D$49,'Report Pacote 0405'!$AW:$AW,$A$58,'Report Pacote 0405'!$H:$H,$W57)+SUMIFS('Report Pacote 0405'!V:V,'Report Pacote 0405'!$AV:$AV,$D$49,'Report Pacote 0405'!$AW:$AW,$A$59,'Report Pacote 0405'!$H:$H,$W57)</f>
        <v>0</v>
      </c>
      <c r="AH57" s="52">
        <f>SUMIF($AA$7:$AG$7,"&lt;="&amp;$D$4,$AA57:$AG57)</f>
        <v>1078</v>
      </c>
      <c r="AI57" s="741">
        <f ca="1">IFERROR((AH58/AH57),"-")</f>
        <v>0.88961038961038963</v>
      </c>
      <c r="AJ57" s="2"/>
      <c r="AK57" s="737">
        <f>SUMIFS('Report Pacote 0405'!AA:AA,'Report Pacote 0405'!$AV:$AV,$D$49,'Report Pacote 0405'!$AW:$AW,$A$58,'Report Pacote 0405'!$H:$H,$W57)+SUMIFS('Report Pacote 0405'!AA:AA,'Report Pacote 0405'!$AV:$AV,$D$49,'Report Pacote 0405'!$AW:$AW,$A$57,'Report Pacote 0405'!$H:$H,$W57)+SUMIFS('Report Pacote 0405'!AA:AA,'Report Pacote 0405'!$AV:$AV,$D$49,'Report Pacote 0405'!$AW:$AW,$A$59,'Report Pacote 0405'!$H:$H,$W57)</f>
        <v>7657.7</v>
      </c>
      <c r="AL57" s="737">
        <f>SUMIFS('Report Pacote 0405'!AB:AB,'Report Pacote 0405'!$AV:$AV,$D$49,'Report Pacote 0405'!$AW:$AW,$A$58,'Report Pacote 0405'!$H:$H,$W57)+SUMIFS('Report Pacote 0405'!AB:AB,'Report Pacote 0405'!$AV:$AV,$D$49,'Report Pacote 0405'!$AW:$AW,$A$57,'Report Pacote 0405'!$H:$H,$W57)+SUMIFS('Report Pacote 0405'!AB:AB,'Report Pacote 0405'!$AV:$AV,$D$49,'Report Pacote 0405'!$AW:$AW,$A$59,'Report Pacote 0405'!$H:$H,$W57)</f>
        <v>3276.92</v>
      </c>
      <c r="AM57" s="737">
        <f>SUMIFS('Report Pacote 0405'!AC:AC,'Report Pacote 0405'!$AV:$AV,$D$49,'Report Pacote 0405'!$AW:$AW,$A$58,'Report Pacote 0405'!$H:$H,$W57)+SUMIFS('Report Pacote 0405'!AC:AC,'Report Pacote 0405'!$AV:$AV,$D$49,'Report Pacote 0405'!$AW:$AW,$A$57,'Report Pacote 0405'!$H:$H,$W57)+SUMIFS('Report Pacote 0405'!AC:AC,'Report Pacote 0405'!$AV:$AV,$D$49,'Report Pacote 0405'!$AW:$AW,$A$59,'Report Pacote 0405'!$H:$H,$W57)</f>
        <v>4382.2</v>
      </c>
      <c r="AN57" s="745">
        <f>IFERROR((AM57/AL57),"-")</f>
        <v>1.3372923354857609</v>
      </c>
      <c r="AO57" s="700"/>
      <c r="AP57" s="737">
        <f>SUMIFS('Report Pacote 0405'!AK:AK,'Report Pacote 0405'!$AV:$AV,$D$49,'Report Pacote 0405'!$AW:$AW,$A$58,'Report Pacote 0405'!$H:$H,$W57)+SUMIFS('Report Pacote 0405'!AK:AK,'Report Pacote 0405'!$AV:$AV,$D$49,'Report Pacote 0405'!$AW:$AW,$A$57,'Report Pacote 0405'!$H:$H,$W57)+SUMIFS('Report Pacote 0405'!AJ:AJ,'Report Pacote 0405'!$AV:$AV,$D$49,'Report Pacote 0405'!$AW:$AW,$A$59,'Report Pacote 0405'!$H:$H,$W57)</f>
        <v>11540.508000000002</v>
      </c>
      <c r="AQ57" s="737">
        <f>SUMIFS('Report Pacote 0405'!AL:AL,'Report Pacote 0405'!$AV:$AV,$D$49,'Report Pacote 0405'!$AW:$AW,$A$58,'Report Pacote 0405'!$H:$H,$W57)+SUMIFS('Report Pacote 0405'!AL:AL,'Report Pacote 0405'!$AV:$AV,$D$49,'Report Pacote 0405'!$AW:$AW,$A$57,'Report Pacote 0405'!$H:$H,$W57)+SUMIFS('Report Pacote 0405'!AK:AK,'Report Pacote 0405'!$AV:$AV,$D$49,'Report Pacote 0405'!$AW:$AW,$A$59,'Report Pacote 0405'!$H:$H,$W57)</f>
        <v>16133.081000000002</v>
      </c>
      <c r="AR57" s="745">
        <f>IFERROR((AP57/AQ57),"-")</f>
        <v>0.71533193194777867</v>
      </c>
      <c r="AS57" s="700"/>
      <c r="AT57" s="737">
        <f>SUMIFS('Report Pacote 0405'!AO:AO,'Report Pacote 0405'!$AV:$AV,$D$49,'Report Pacote 0405'!$AW:$AW,$A$58,'Report Pacote 0405'!$H:$H,$W57)+SUMIFS('Report Pacote 0405'!AO:AO,'Report Pacote 0405'!$AV:$AV,$D$49,'Report Pacote 0405'!$AW:$AW,$A$57,'Report Pacote 0405'!$H:$H,$W57)+SUMIFS('Report Pacote 0405'!AN:AN,'Report Pacote 0405'!$AV:$AV,$D$49,'Report Pacote 0405'!$AW:$AW,$A$59,'Report Pacote 0405'!$H:$H,$W57)</f>
        <v>81155.700000000012</v>
      </c>
      <c r="AU57" s="737">
        <f>SUMIFS('Report Pacote 0405'!AP:AP,'Report Pacote 0405'!$AV:$AV,$D$49,'Report Pacote 0405'!$AW:$AW,$A$58,'Report Pacote 0405'!$H:$H,$W57)+SUMIFS('Report Pacote 0405'!AP:AP,'Report Pacote 0405'!$AV:$AV,$D$49,'Report Pacote 0405'!$AW:$AW,$A$57,'Report Pacote 0405'!$H:$H,$W57)+SUMIFS('Report Pacote 0405'!AO:AO,'Report Pacote 0405'!$AV:$AV,$D$49,'Report Pacote 0405'!$AW:$AW,$A$59,'Report Pacote 0405'!$H:$H,$W57)</f>
        <v>124333.408</v>
      </c>
      <c r="AV57" s="700"/>
      <c r="AW57" s="737">
        <f ca="1">AK57/Quadros!$D$4</f>
        <v>283.6185185185185</v>
      </c>
      <c r="AX57" s="737">
        <f>AM57/Quadros!$D$6</f>
        <v>365.18333333333334</v>
      </c>
      <c r="AY57" s="737">
        <f ca="1">IF((AK57-AM57)/(Quadros!$D$4-Quadros!$D$6)&lt;0,"-",(AK57-AM57)/(Quadros!$D$4-Quadros!$D$6))</f>
        <v>218.36666666666667</v>
      </c>
      <c r="AZ57" s="3"/>
      <c r="BA57" s="144"/>
      <c r="BB57" s="814">
        <f>AU57/AK57</f>
        <v>16.236390561134545</v>
      </c>
      <c r="BC57" s="814">
        <f>AU57/5</f>
        <v>24866.6816</v>
      </c>
    </row>
    <row r="58" spans="1:55" s="16" customFormat="1" ht="15.75" customHeight="1" outlineLevel="1" thickBot="1">
      <c r="A58" s="21" t="s">
        <v>44</v>
      </c>
      <c r="B58" s="133" t="s">
        <v>34</v>
      </c>
      <c r="C58" s="3"/>
      <c r="D58" s="739"/>
      <c r="E58" s="740"/>
      <c r="F58" s="2"/>
      <c r="G58" s="54" t="s">
        <v>38</v>
      </c>
      <c r="H58" s="52">
        <v>1717</v>
      </c>
      <c r="I58" s="678"/>
      <c r="J58" s="2"/>
      <c r="K58" s="54" t="s">
        <v>38</v>
      </c>
      <c r="L58" s="52">
        <v>2343</v>
      </c>
      <c r="M58" s="678"/>
      <c r="N58" s="2"/>
      <c r="O58" s="54" t="s">
        <v>38</v>
      </c>
      <c r="P58" s="52">
        <v>1883.5</v>
      </c>
      <c r="Q58" s="742"/>
      <c r="R58" s="2"/>
      <c r="S58" s="54" t="s">
        <v>38</v>
      </c>
      <c r="T58" s="52">
        <v>2102.6999999999998</v>
      </c>
      <c r="U58" s="742"/>
      <c r="V58" s="2"/>
      <c r="W58" s="54" t="s">
        <v>38</v>
      </c>
      <c r="X58" s="52">
        <f ca="1">SUMIF($AA$7:$AG$7,"="&amp;$D$4,$AA58:$AG58)</f>
        <v>482</v>
      </c>
      <c r="Y58" s="744"/>
      <c r="Z58" s="2"/>
      <c r="AA58" s="52">
        <f ca="1">SUMIFS('Report Pacote 0405'!P:P,'Report Pacote 0405'!$AV:$AV,$D$49,'Report Pacote 0405'!$AW:$AW,$A$57,'Report Pacote 0405'!$H:$H,$W58)+SUMIFS('Report Pacote 0405'!P:P,'Report Pacote 0405'!$AV:$AV,$D$49,'Report Pacote 0405'!$AW:$AW,$A$58,'Report Pacote 0405'!$H:$H,$W58)+SUMIFS('Report Pacote 0405'!P:P,'Report Pacote 0405'!$AV:$AV,$D$49,'Report Pacote 0405'!$AW:$AW,$A$59,'Report Pacote 0405'!$H:$H,$W58)</f>
        <v>477</v>
      </c>
      <c r="AB58" s="52">
        <f ca="1">SUMIFS('Report Pacote 0405'!Q:Q,'Report Pacote 0405'!$AV:$AV,$D$49,'Report Pacote 0405'!$AW:$AW,$A$57,'Report Pacote 0405'!$H:$H,$W58)+SUMIFS('Report Pacote 0405'!Q:Q,'Report Pacote 0405'!$AV:$AV,$D$49,'Report Pacote 0405'!$AW:$AW,$A$58,'Report Pacote 0405'!$H:$H,$W58)+SUMIFS('Report Pacote 0405'!Q:Q,'Report Pacote 0405'!$AV:$AV,$D$49,'Report Pacote 0405'!$AW:$AW,$A$59,'Report Pacote 0405'!$H:$H,$W58)</f>
        <v>482</v>
      </c>
      <c r="AC58" s="52">
        <f ca="1">SUMIFS('Report Pacote 0405'!R:R,'Report Pacote 0405'!$AV:$AV,$D$49,'Report Pacote 0405'!$AW:$AW,$A$57,'Report Pacote 0405'!$H:$H,$W58)+SUMIFS('Report Pacote 0405'!R:R,'Report Pacote 0405'!$AV:$AV,$D$49,'Report Pacote 0405'!$AW:$AW,$A$58,'Report Pacote 0405'!$H:$H,$W58)+SUMIFS('Report Pacote 0405'!R:R,'Report Pacote 0405'!$AV:$AV,$D$49,'Report Pacote 0405'!$AW:$AW,$A$59,'Report Pacote 0405'!$H:$H,$W58)</f>
        <v>0</v>
      </c>
      <c r="AD58" s="52">
        <f ca="1">SUMIFS('Report Pacote 0405'!S:S,'Report Pacote 0405'!$AV:$AV,$D$49,'Report Pacote 0405'!$AW:$AW,$A$57,'Report Pacote 0405'!$H:$H,$W58)+SUMIFS('Report Pacote 0405'!S:S,'Report Pacote 0405'!$AV:$AV,$D$49,'Report Pacote 0405'!$AW:$AW,$A$58,'Report Pacote 0405'!$H:$H,$W58)+SUMIFS('Report Pacote 0405'!S:S,'Report Pacote 0405'!$AV:$AV,$D$49,'Report Pacote 0405'!$AW:$AW,$A$59,'Report Pacote 0405'!$H:$H,$W58)</f>
        <v>0</v>
      </c>
      <c r="AE58" s="52">
        <f ca="1">SUMIFS('Report Pacote 0405'!T:T,'Report Pacote 0405'!$AV:$AV,$D$49,'Report Pacote 0405'!$AW:$AW,$A$57,'Report Pacote 0405'!$H:$H,$W58)+SUMIFS('Report Pacote 0405'!T:T,'Report Pacote 0405'!$AV:$AV,$D$49,'Report Pacote 0405'!$AW:$AW,$A$58,'Report Pacote 0405'!$H:$H,$W58)+SUMIFS('Report Pacote 0405'!T:T,'Report Pacote 0405'!$AV:$AV,$D$49,'Report Pacote 0405'!$AW:$AW,$A$59,'Report Pacote 0405'!$H:$H,$W58)</f>
        <v>0</v>
      </c>
      <c r="AF58" s="52">
        <f ca="1">SUMIFS('Report Pacote 0405'!U:U,'Report Pacote 0405'!$AV:$AV,$D$49,'Report Pacote 0405'!$AW:$AW,$A$57,'Report Pacote 0405'!$H:$H,$W58)+SUMIFS('Report Pacote 0405'!U:U,'Report Pacote 0405'!$AV:$AV,$D$49,'Report Pacote 0405'!$AW:$AW,$A$58,'Report Pacote 0405'!$H:$H,$W58)+SUMIFS('Report Pacote 0405'!U:U,'Report Pacote 0405'!$AV:$AV,$D$49,'Report Pacote 0405'!$AW:$AW,$A$59,'Report Pacote 0405'!$H:$H,$W58)</f>
        <v>0</v>
      </c>
      <c r="AG58" s="52">
        <f ca="1">SUMIFS('Report Pacote 0405'!V:V,'Report Pacote 0405'!$AV:$AV,$D$49,'Report Pacote 0405'!$AW:$AW,$A$57,'Report Pacote 0405'!$H:$H,$W58)+SUMIFS('Report Pacote 0405'!V:V,'Report Pacote 0405'!$AV:$AV,$D$49,'Report Pacote 0405'!$AW:$AW,$A$58,'Report Pacote 0405'!$H:$H,$W58)+SUMIFS('Report Pacote 0405'!V:V,'Report Pacote 0405'!$AV:$AV,$D$49,'Report Pacote 0405'!$AW:$AW,$A$59,'Report Pacote 0405'!$H:$H,$W58)</f>
        <v>0</v>
      </c>
      <c r="AH58" s="52">
        <f ca="1">SUMIF($AA$7:$AG$7,"&lt;="&amp;$D$4,$AA58:$AG58)</f>
        <v>959</v>
      </c>
      <c r="AI58" s="742"/>
      <c r="AJ58" s="2"/>
      <c r="AK58" s="738"/>
      <c r="AL58" s="738"/>
      <c r="AM58" s="738"/>
      <c r="AN58" s="746"/>
      <c r="AO58" s="700"/>
      <c r="AP58" s="738"/>
      <c r="AQ58" s="738"/>
      <c r="AR58" s="784"/>
      <c r="AS58" s="700"/>
      <c r="AT58" s="738"/>
      <c r="AU58" s="738"/>
      <c r="AV58" s="700"/>
      <c r="AW58" s="738"/>
      <c r="AX58" s="738"/>
      <c r="AY58" s="738"/>
      <c r="AZ58" s="3"/>
      <c r="BB58" s="815"/>
      <c r="BC58" s="815"/>
    </row>
    <row r="59" spans="1:55" ht="18.75" outlineLevel="1">
      <c r="A59" s="4" t="s">
        <v>45</v>
      </c>
      <c r="B59" s="17" t="s">
        <v>34</v>
      </c>
      <c r="C59" s="3"/>
      <c r="D59" s="3"/>
      <c r="E59" s="3"/>
      <c r="G59" s="3"/>
      <c r="H59" s="37"/>
      <c r="I59" s="228"/>
      <c r="J59" s="3"/>
      <c r="K59" s="3"/>
      <c r="L59" s="37"/>
      <c r="M59" s="228"/>
      <c r="O59" s="3"/>
      <c r="P59" s="37"/>
      <c r="Q59" s="228"/>
      <c r="S59" s="3"/>
      <c r="T59" s="37"/>
      <c r="U59" s="228"/>
      <c r="V59" s="3"/>
      <c r="W59" s="3"/>
      <c r="X59" s="3"/>
      <c r="Y59" s="3"/>
      <c r="Z59" s="3"/>
      <c r="AA59" s="37"/>
      <c r="AB59" s="37"/>
      <c r="AC59" s="37"/>
      <c r="AD59" s="37"/>
      <c r="AE59" s="37"/>
      <c r="AF59" s="37"/>
      <c r="AG59" s="37"/>
      <c r="AH59" s="37"/>
      <c r="AI59" s="228"/>
      <c r="AJ59" s="3"/>
      <c r="AK59" s="251"/>
      <c r="AL59" s="701"/>
      <c r="AM59" s="701"/>
      <c r="AN59" s="701"/>
      <c r="AO59" s="702"/>
      <c r="AP59" s="251"/>
      <c r="AQ59" s="251"/>
      <c r="AR59" s="701"/>
      <c r="AS59" s="702"/>
      <c r="AT59" s="251"/>
      <c r="AU59" s="251"/>
      <c r="AV59" s="702"/>
      <c r="AW59" s="251"/>
      <c r="AX59" s="251"/>
      <c r="AY59" s="251"/>
      <c r="AZ59" s="3"/>
      <c r="BB59" s="249"/>
      <c r="BC59" s="249"/>
    </row>
    <row r="60" spans="1:55" ht="5.0999999999999996" customHeight="1" outlineLevel="1">
      <c r="B60" s="17" t="s">
        <v>34</v>
      </c>
      <c r="C60" s="3"/>
      <c r="D60" s="3"/>
      <c r="E60" s="3"/>
      <c r="G60" s="3"/>
      <c r="H60" s="37"/>
      <c r="I60" s="228"/>
      <c r="J60" s="3"/>
      <c r="K60" s="3"/>
      <c r="L60" s="37"/>
      <c r="M60" s="228"/>
      <c r="O60" s="3"/>
      <c r="P60" s="37"/>
      <c r="Q60" s="228"/>
      <c r="S60" s="3"/>
      <c r="T60" s="37"/>
      <c r="U60" s="228"/>
      <c r="V60" s="3"/>
      <c r="W60" s="3"/>
      <c r="X60" s="35"/>
      <c r="Y60" s="3"/>
      <c r="Z60" s="3"/>
      <c r="AA60" s="36"/>
      <c r="AB60" s="36"/>
      <c r="AC60" s="36"/>
      <c r="AD60" s="36"/>
      <c r="AE60" s="36"/>
      <c r="AF60" s="36"/>
      <c r="AG60" s="36"/>
      <c r="AH60" s="37"/>
      <c r="AI60" s="228"/>
      <c r="AJ60" s="3"/>
      <c r="AK60" s="251"/>
      <c r="AL60" s="251"/>
      <c r="AM60" s="251"/>
      <c r="AN60" s="701"/>
      <c r="AO60" s="702"/>
      <c r="AP60" s="251"/>
      <c r="AQ60" s="251"/>
      <c r="AR60" s="701"/>
      <c r="AS60" s="702"/>
      <c r="AT60" s="703"/>
      <c r="AU60" s="703"/>
      <c r="AV60" s="702"/>
      <c r="AW60" s="251"/>
      <c r="AX60" s="251"/>
      <c r="AY60" s="251"/>
      <c r="AZ60" s="3"/>
      <c r="BB60" s="249"/>
      <c r="BC60" s="249"/>
    </row>
    <row r="61" spans="1:55" s="21" customFormat="1" ht="15.75" customHeight="1" outlineLevel="1">
      <c r="A61" s="4" t="s">
        <v>45</v>
      </c>
      <c r="B61" s="134" t="s">
        <v>34</v>
      </c>
      <c r="C61" s="3"/>
      <c r="D61" s="752" t="s">
        <v>46</v>
      </c>
      <c r="E61" s="740" t="s">
        <v>52</v>
      </c>
      <c r="F61" s="2"/>
      <c r="G61" s="53" t="s">
        <v>37</v>
      </c>
      <c r="H61" s="52">
        <v>3250</v>
      </c>
      <c r="I61" s="677">
        <f>IFERROR((H62/H61),"-")</f>
        <v>0.54892307692307696</v>
      </c>
      <c r="J61" s="2"/>
      <c r="K61" s="53" t="s">
        <v>37</v>
      </c>
      <c r="L61" s="52">
        <v>3380</v>
      </c>
      <c r="M61" s="677">
        <f>IFERROR((L62/L61),"-")</f>
        <v>0.59408284023668634</v>
      </c>
      <c r="N61" s="2"/>
      <c r="O61" s="53" t="s">
        <v>37</v>
      </c>
      <c r="P61" s="52">
        <v>2340</v>
      </c>
      <c r="Q61" s="741">
        <f>IFERROR((P62/P61),"-")</f>
        <v>0.85854700854700849</v>
      </c>
      <c r="R61" s="2"/>
      <c r="S61" s="53" t="s">
        <v>37</v>
      </c>
      <c r="T61" s="52">
        <v>2300</v>
      </c>
      <c r="U61" s="741">
        <v>0.63478260869565217</v>
      </c>
      <c r="V61" s="2"/>
      <c r="W61" s="53" t="s">
        <v>37</v>
      </c>
      <c r="X61" s="52">
        <f>SUMIF($AA$7:$AG$7,"="&amp;$D$4,$AA61:$AG61)</f>
        <v>250</v>
      </c>
      <c r="Y61" s="743">
        <f>IFERROR((X62/X61),"-")</f>
        <v>1.304</v>
      </c>
      <c r="Z61" s="2"/>
      <c r="AA61" s="52">
        <f>SUMIFS('Report Pacote 06'!AG:AG,'Report Pacote 06'!$CH:$CH,$D$49,'Report Pacote 06'!$G:$G,'Report Consolidado Semanal'!$W61)</f>
        <v>100</v>
      </c>
      <c r="AB61" s="52">
        <f>SUMIFS('Report Pacote 06'!AH:AH,'Report Pacote 06'!$CH:$CH,$D$49,'Report Pacote 06'!$G:$G,'Report Consolidado Semanal'!$W61)</f>
        <v>250</v>
      </c>
      <c r="AC61" s="52">
        <f>SUMIFS('Report Pacote 06'!AI:AI,'Report Pacote 06'!$CH:$CH,$D$49,'Report Pacote 06'!$G:$G,'Report Consolidado Semanal'!$W61)</f>
        <v>350</v>
      </c>
      <c r="AD61" s="52">
        <f>SUMIFS('Report Pacote 06'!AJ:AJ,'Report Pacote 06'!$CH:$CH,$D$49,'Report Pacote 06'!$G:$G,'Report Consolidado Semanal'!$W61)</f>
        <v>350</v>
      </c>
      <c r="AE61" s="52">
        <f>SUMIFS('Report Pacote 06'!AK:AK,'Report Pacote 06'!$CH:$CH,$D$49,'Report Pacote 06'!$G:$G,'Report Consolidado Semanal'!$W61)</f>
        <v>350</v>
      </c>
      <c r="AF61" s="52">
        <f>SUMIFS('Report Pacote 06'!AL:AL,'Report Pacote 06'!$CH:$CH,$D$49,'Report Pacote 06'!$G:$G,'Report Consolidado Semanal'!$W61)</f>
        <v>350</v>
      </c>
      <c r="AG61" s="52">
        <f>SUMIFS('Report Pacote 06'!AM:AM,'Report Pacote 06'!$CH:$CH,$D$49,'Report Pacote 06'!$G:$G,'Report Consolidado Semanal'!$W61)</f>
        <v>0</v>
      </c>
      <c r="AH61" s="52">
        <f>SUMIF($AA$7:$AG$7,"&lt;="&amp;$D$4,$AA61:$AG61)</f>
        <v>350</v>
      </c>
      <c r="AI61" s="741">
        <f>IFERROR((AH62/AH61),"-")</f>
        <v>1.36</v>
      </c>
      <c r="AJ61" s="2"/>
      <c r="AK61" s="737">
        <f>SUMIFS('Report Pacote 06'!BN:BN,'Report Pacote 06'!$CH:$CH,$D$49,'Report Pacote 06'!$G:$G,'Report Consolidado Semanal'!$W61)</f>
        <v>13799.46</v>
      </c>
      <c r="AL61" s="737">
        <f>SUMIFS('Report Pacote 06'!BO:BO,'Report Pacote 06'!$CH:$CH,$D$49,'Report Pacote 06'!$G:$G,'Report Consolidado Semanal'!$W61)</f>
        <v>6133.0933333333314</v>
      </c>
      <c r="AM61" s="737">
        <f>SUMIFS('Report Pacote 06'!BP:BP,'Report Pacote 06'!$CH:$CH,$D$49,'Report Pacote 06'!$G:$G,'Report Consolidado Semanal'!$W61)</f>
        <v>2915</v>
      </c>
      <c r="AN61" s="745">
        <f>IFERROR((AM61/AL61),"-")</f>
        <v>0.47529033744798727</v>
      </c>
      <c r="AO61" s="700"/>
      <c r="AP61" s="737">
        <f ca="1">SUMIFS('Report Pacote 06'!BU:BU,'Report Pacote 06'!$CH:$CH,'Report Consolidado Semanal'!$D$49,'Report Pacote 06'!$G:$G,'Report Consolidado Semanal'!$W61)</f>
        <v>57822.38</v>
      </c>
      <c r="AQ61" s="737">
        <f>SUMIFS('Report Pacote 06'!BX:BX,'Report Pacote 06'!$CH:$CH,'Report Consolidado Semanal'!$D$49,'Report Pacote 06'!$G:$G,'Report Consolidado Semanal'!$W61)</f>
        <v>61971.607826086962</v>
      </c>
      <c r="AR61" s="745">
        <f ca="1">IFERROR((AP61/AQ61),"-")</f>
        <v>0.93304630988869797</v>
      </c>
      <c r="AS61" s="700"/>
      <c r="AT61" s="737">
        <f>SUMIFS('Report Pacote 06'!CA:CA,'Report Pacote 06'!$CH:$CH,$D$49,'Report Pacote 06'!$G:$G,'Report Consolidado Semanal'!$W61)</f>
        <v>127599</v>
      </c>
      <c r="AU61" s="737">
        <f ca="1">SUMIFS('Report Pacote 06'!CB:CB,'Report Pacote 06'!$CH:$CH,$D$49,'Report Pacote 06'!$G:$G,'Report Consolidado Semanal'!$W61)</f>
        <v>69776.62</v>
      </c>
      <c r="AV61" s="700"/>
      <c r="AW61" s="737">
        <f ca="1">AK61/Quadros!$D$4</f>
        <v>511.0911111111111</v>
      </c>
      <c r="AX61" s="737">
        <f>AM61/Quadros!$D$6</f>
        <v>242.91666666666666</v>
      </c>
      <c r="AY61" s="737">
        <f ca="1">IF((AK61-AM61)/(Quadros!$D$4-Quadros!$D$6)&lt;0,"-",(AK61-AM61)/(Quadros!$D$4-Quadros!$D$6))</f>
        <v>725.63066666666657</v>
      </c>
      <c r="AZ61" s="3"/>
      <c r="BA61" s="144"/>
      <c r="BB61" s="814">
        <f ca="1">AU61/AK61</f>
        <v>5.0564746736466502</v>
      </c>
      <c r="BC61" s="814">
        <f ca="1">AU61/5</f>
        <v>13955.323999999999</v>
      </c>
    </row>
    <row r="62" spans="1:55" s="16" customFormat="1" ht="20.45" customHeight="1" outlineLevel="1" thickBot="1">
      <c r="B62" s="133" t="s">
        <v>34</v>
      </c>
      <c r="C62" s="3"/>
      <c r="D62" s="752"/>
      <c r="E62" s="740"/>
      <c r="F62" s="2"/>
      <c r="G62" s="54" t="s">
        <v>38</v>
      </c>
      <c r="H62" s="52">
        <v>1784</v>
      </c>
      <c r="I62" s="678"/>
      <c r="J62" s="2"/>
      <c r="K62" s="54" t="s">
        <v>38</v>
      </c>
      <c r="L62" s="52">
        <v>2008</v>
      </c>
      <c r="M62" s="678"/>
      <c r="N62" s="2"/>
      <c r="O62" s="54" t="s">
        <v>38</v>
      </c>
      <c r="P62" s="52">
        <v>2009</v>
      </c>
      <c r="Q62" s="742"/>
      <c r="R62" s="2"/>
      <c r="S62" s="54" t="s">
        <v>38</v>
      </c>
      <c r="T62" s="52">
        <v>1460</v>
      </c>
      <c r="U62" s="742"/>
      <c r="V62" s="2"/>
      <c r="W62" s="54" t="s">
        <v>38</v>
      </c>
      <c r="X62" s="52">
        <f>SUMIF($AA$7:$AG$7,"="&amp;$D$4,$AA62:$AG62)</f>
        <v>326</v>
      </c>
      <c r="Y62" s="744"/>
      <c r="Z62" s="2"/>
      <c r="AA62" s="52">
        <f>SUMIFS('Report Pacote 06'!AG:AG,'Report Pacote 06'!$CH:$CH,$D$49,'Report Pacote 06'!$G:$G,'Report Consolidado Semanal'!$W62)</f>
        <v>150</v>
      </c>
      <c r="AB62" s="52">
        <f>SUMIFS('Report Pacote 06'!AH:AH,'Report Pacote 06'!$CH:$CH,$D$49,'Report Pacote 06'!$G:$G,'Report Consolidado Semanal'!$W62)</f>
        <v>326</v>
      </c>
      <c r="AC62" s="52">
        <f>SUMIFS('Report Pacote 06'!AI:AI,'Report Pacote 06'!$CH:$CH,$D$49,'Report Pacote 06'!$G:$G,'Report Consolidado Semanal'!$W62)</f>
        <v>0</v>
      </c>
      <c r="AD62" s="52">
        <f>SUMIFS('Report Pacote 06'!AJ:AJ,'Report Pacote 06'!$CH:$CH,$D$49,'Report Pacote 06'!$G:$G,'Report Consolidado Semanal'!$W62)</f>
        <v>0</v>
      </c>
      <c r="AE62" s="52">
        <f>SUMIFS('Report Pacote 06'!AK:AK,'Report Pacote 06'!$CH:$CH,$D$49,'Report Pacote 06'!$G:$G,'Report Consolidado Semanal'!$W62)</f>
        <v>0</v>
      </c>
      <c r="AF62" s="52">
        <f>SUMIFS('Report Pacote 06'!AL:AL,'Report Pacote 06'!$CH:$CH,$D$49,'Report Pacote 06'!$G:$G,'Report Consolidado Semanal'!$W62)</f>
        <v>0</v>
      </c>
      <c r="AG62" s="52">
        <f>SUMIFS('Report Pacote 06'!AM:AM,'Report Pacote 06'!$CH:$CH,$D$49,'Report Pacote 06'!$G:$G,'Report Consolidado Semanal'!$W62)</f>
        <v>0</v>
      </c>
      <c r="AH62" s="52">
        <f>SUMIF($AA$7:$AG$7,"&lt;="&amp;$D$4,$AA62:$AG62)</f>
        <v>476</v>
      </c>
      <c r="AI62" s="742"/>
      <c r="AJ62" s="2"/>
      <c r="AK62" s="738"/>
      <c r="AL62" s="738"/>
      <c r="AM62" s="738"/>
      <c r="AN62" s="746"/>
      <c r="AO62" s="700"/>
      <c r="AP62" s="738"/>
      <c r="AQ62" s="738"/>
      <c r="AR62" s="784"/>
      <c r="AS62" s="700"/>
      <c r="AT62" s="738"/>
      <c r="AU62" s="738"/>
      <c r="AV62" s="700"/>
      <c r="AW62" s="738"/>
      <c r="AX62" s="738"/>
      <c r="AY62" s="738"/>
      <c r="AZ62" s="3"/>
      <c r="BB62" s="815"/>
      <c r="BC62" s="815"/>
    </row>
    <row r="63" spans="1:55" ht="18.75" outlineLevel="1">
      <c r="B63" s="17" t="s">
        <v>34</v>
      </c>
      <c r="C63" s="3"/>
      <c r="D63" s="3"/>
      <c r="E63" s="3"/>
      <c r="G63" s="3"/>
      <c r="H63" s="37"/>
      <c r="I63" s="228"/>
      <c r="J63" s="3"/>
      <c r="K63" s="3"/>
      <c r="L63" s="37"/>
      <c r="M63" s="228"/>
      <c r="O63" s="3"/>
      <c r="P63" s="37"/>
      <c r="Q63" s="228"/>
      <c r="S63" s="3"/>
      <c r="T63" s="37"/>
      <c r="U63" s="228"/>
      <c r="V63" s="3"/>
      <c r="W63" s="3"/>
      <c r="X63" s="3"/>
      <c r="Y63" s="3"/>
      <c r="Z63" s="3"/>
      <c r="AA63" s="37"/>
      <c r="AB63" s="37"/>
      <c r="AC63" s="37"/>
      <c r="AD63" s="37"/>
      <c r="AE63" s="37"/>
      <c r="AF63" s="37"/>
      <c r="AG63" s="37"/>
      <c r="AH63" s="37"/>
      <c r="AI63" s="228"/>
      <c r="AJ63" s="3"/>
      <c r="AK63" s="251"/>
      <c r="AL63" s="251"/>
      <c r="AM63" s="251"/>
      <c r="AN63" s="701"/>
      <c r="AO63" s="702"/>
      <c r="AP63" s="251"/>
      <c r="AQ63" s="251"/>
      <c r="AR63" s="701"/>
      <c r="AS63" s="702"/>
      <c r="AT63" s="251"/>
      <c r="AU63" s="251"/>
      <c r="AV63" s="702"/>
      <c r="AW63" s="251"/>
      <c r="AX63" s="251"/>
      <c r="AY63" s="251"/>
      <c r="AZ63" s="3"/>
      <c r="BB63" s="249"/>
      <c r="BC63" s="249"/>
    </row>
    <row r="64" spans="1:55" ht="5.0999999999999996" customHeight="1" outlineLevel="1">
      <c r="B64" s="17" t="s">
        <v>34</v>
      </c>
      <c r="C64" s="3"/>
      <c r="D64" s="3"/>
      <c r="E64" s="3"/>
      <c r="G64" s="3"/>
      <c r="H64" s="37"/>
      <c r="I64" s="228"/>
      <c r="J64" s="3"/>
      <c r="K64" s="3"/>
      <c r="L64" s="37"/>
      <c r="M64" s="228"/>
      <c r="O64" s="3"/>
      <c r="P64" s="37"/>
      <c r="Q64" s="228"/>
      <c r="S64" s="3"/>
      <c r="T64" s="37"/>
      <c r="U64" s="228"/>
      <c r="V64" s="3"/>
      <c r="W64" s="3"/>
      <c r="X64" s="35"/>
      <c r="Y64" s="3"/>
      <c r="Z64" s="3"/>
      <c r="AA64" s="35"/>
      <c r="AB64" s="35"/>
      <c r="AC64" s="35"/>
      <c r="AD64" s="35"/>
      <c r="AE64" s="35"/>
      <c r="AF64" s="35"/>
      <c r="AG64" s="35"/>
      <c r="AH64" s="37"/>
      <c r="AI64" s="228"/>
      <c r="AJ64" s="3"/>
      <c r="AK64" s="251"/>
      <c r="AL64" s="251"/>
      <c r="AM64" s="251"/>
      <c r="AN64" s="701"/>
      <c r="AO64" s="702"/>
      <c r="AP64" s="251"/>
      <c r="AQ64" s="251"/>
      <c r="AR64" s="701"/>
      <c r="AS64" s="702"/>
      <c r="AT64" s="251"/>
      <c r="AU64" s="251"/>
      <c r="AV64" s="702"/>
      <c r="AW64" s="251"/>
      <c r="AX64" s="251"/>
      <c r="AY64" s="251"/>
      <c r="AZ64" s="3"/>
      <c r="BB64" s="249"/>
      <c r="BC64" s="249"/>
    </row>
    <row r="65" spans="1:55" s="21" customFormat="1" ht="15.75" customHeight="1" outlineLevel="1">
      <c r="A65" s="21" t="s">
        <v>55</v>
      </c>
      <c r="B65" s="134" t="s">
        <v>34</v>
      </c>
      <c r="C65" s="3"/>
      <c r="D65" s="739" t="s">
        <v>48</v>
      </c>
      <c r="E65" s="740" t="s">
        <v>52</v>
      </c>
      <c r="F65" s="2"/>
      <c r="G65" s="53" t="s">
        <v>37</v>
      </c>
      <c r="H65" s="52">
        <v>1170.17</v>
      </c>
      <c r="I65" s="677">
        <f>IFERROR((H66/H65),"-")</f>
        <v>1.4519257885606365</v>
      </c>
      <c r="J65" s="2"/>
      <c r="K65" s="53" t="s">
        <v>37</v>
      </c>
      <c r="L65" s="52">
        <v>2400</v>
      </c>
      <c r="M65" s="677">
        <f>IFERROR((L66/L65),"-")</f>
        <v>0.99208333333333332</v>
      </c>
      <c r="N65" s="2"/>
      <c r="O65" s="53" t="s">
        <v>37</v>
      </c>
      <c r="P65" s="52">
        <v>2785.9790000000003</v>
      </c>
      <c r="Q65" s="741">
        <f>IFERROR((P66/P65),"-")</f>
        <v>0.73080234991003157</v>
      </c>
      <c r="R65" s="2"/>
      <c r="S65" s="53" t="s">
        <v>37</v>
      </c>
      <c r="T65" s="52">
        <v>3267.9559999999992</v>
      </c>
      <c r="U65" s="741">
        <v>1.157604325150033</v>
      </c>
      <c r="V65" s="2"/>
      <c r="W65" s="53" t="s">
        <v>37</v>
      </c>
      <c r="X65" s="52">
        <f>SUMIF($AA$7:$AG$7,"="&amp;$D$4,$AA65:$AG65)</f>
        <v>452.67259999999999</v>
      </c>
      <c r="Y65" s="743">
        <f>IFERROR((X66/X65),"-")</f>
        <v>1.6457810788636202</v>
      </c>
      <c r="Z65" s="2"/>
      <c r="AA65" s="52">
        <f>SUMIFS('Report Pacote 07-08'!AL:AL,'Report Pacote 07-08'!$CB:$CB,$A65,'Report Pacote 07-08'!$J:$J,$W65)</f>
        <v>452.67259999999999</v>
      </c>
      <c r="AB65" s="52">
        <f>SUMIFS('Report Pacote 07-08'!AM:AM,'Report Pacote 07-08'!$CB:$CB,$A65,'Report Pacote 07-08'!$J:$J,$W65)</f>
        <v>452.67259999999999</v>
      </c>
      <c r="AC65" s="52">
        <f>SUMIFS('Report Pacote 07-08'!AN:AN,'Report Pacote 07-08'!$CB:$CB,$A65,'Report Pacote 07-08'!$J:$J,$W65)</f>
        <v>452.67259999999999</v>
      </c>
      <c r="AD65" s="52">
        <f>SUMIFS('Report Pacote 07-08'!AO:AO,'Report Pacote 07-08'!$CB:$CB,$A65,'Report Pacote 07-08'!$J:$J,$W65)</f>
        <v>452.67259999999999</v>
      </c>
      <c r="AE65" s="52">
        <f>SUMIFS('Report Pacote 07-08'!AP:AP,'Report Pacote 07-08'!$CB:$CB,$A65,'Report Pacote 07-08'!$J:$J,$W65)</f>
        <v>452.67259999999999</v>
      </c>
      <c r="AF65" s="52">
        <f>SUMIFS('Report Pacote 07-08'!AQ:AQ,'Report Pacote 07-08'!$CB:$CB,$A65,'Report Pacote 07-08'!$J:$J,$W65)</f>
        <v>452.67259999999999</v>
      </c>
      <c r="AG65" s="52">
        <f>SUMIFS('Report Pacote 07-08'!AR:AR,'Report Pacote 07-08'!$CB:$CB,$A65,'Report Pacote 07-08'!$J:$J,$W65)</f>
        <v>0</v>
      </c>
      <c r="AH65" s="52">
        <f>SUMIF($AA$7:$AG$7,"&lt;="&amp;$D$4,$AA65:$AG65)</f>
        <v>905.34519999999998</v>
      </c>
      <c r="AI65" s="741">
        <f>IFERROR((AH66/AH65),"-")</f>
        <v>1.4955621347525785</v>
      </c>
      <c r="AJ65" s="2"/>
      <c r="AK65" s="737">
        <f>SUMIFS('Report Pacote 07-08'!BM:BM,'Report Pacote 07-08'!$CB:$CB,$D49,'Report Pacote 07-08'!$J:$J,$W65)</f>
        <v>13521.962499999998</v>
      </c>
      <c r="AL65" s="737">
        <f>SUMIFS('Report Pacote 07-08'!BN:BN,'Report Pacote 07-08'!$CB:$CB,$D49,'Report Pacote 07-08'!$J:$J,$W65)</f>
        <v>6959.2802000000011</v>
      </c>
      <c r="AM65" s="737">
        <f>SUMIFS('Report Pacote 07-08'!BO:BO,'Report Pacote 07-08'!$CB:$CB,$D49,'Report Pacote 07-08'!$J:$J,$W65)</f>
        <v>7173</v>
      </c>
      <c r="AN65" s="745">
        <f>IFERROR((AM65/AL65),"-")</f>
        <v>1.0307100438347057</v>
      </c>
      <c r="AO65" s="700"/>
      <c r="AP65" s="737">
        <f>SUMIFS('Report Pacote 07-08'!BR:BR,'Report Pacote 07-08'!$CB:$CB,$A65,'Report Pacote 07-08'!$J:$J,$W65)</f>
        <v>63438.553166666672</v>
      </c>
      <c r="AQ65" s="737">
        <f>SUMIFS('Report Pacote 07-08'!BS:BS,'Report Pacote 07-08'!$CB:$CB,$A65,'Report Pacote 07-08'!$J:$J,$W65)</f>
        <v>60515.583199999834</v>
      </c>
      <c r="AR65" s="745">
        <f>IFERROR((AP65/AQ65),"-")</f>
        <v>1.0483011120789603</v>
      </c>
      <c r="AS65" s="700"/>
      <c r="AT65" s="737">
        <f>SUMIFS('Report Pacote 07-08'!BV:BV,'Report Pacote 07-08'!$CB:$CB,$A65,'Report Pacote 07-08'!$J:$J,$W65)</f>
        <v>98366.94</v>
      </c>
      <c r="AU65" s="737">
        <f>SUMIFS('Report Pacote 07-08'!BW:BW,'Report Pacote 07-08'!$CB:$CB,$A65,'Report Pacote 07-08'!$J:$J,$W65)</f>
        <v>38993.660000000003</v>
      </c>
      <c r="AV65" s="700"/>
      <c r="AW65" s="737">
        <f ca="1">AK65/Quadros!$D$4</f>
        <v>500.81342592592586</v>
      </c>
      <c r="AX65" s="737">
        <f>AM65/Quadros!$D$6</f>
        <v>597.75</v>
      </c>
      <c r="AY65" s="737">
        <f ca="1">IF((AK65-AM65)/(Quadros!$D$4-Quadros!$D$6)&lt;0,"-",(AK65-AM65)/(Quadros!$D$4-Quadros!$D$6))</f>
        <v>423.26416666666654</v>
      </c>
      <c r="AZ65" s="3"/>
      <c r="BA65" s="144"/>
      <c r="BB65" s="814">
        <f>AU65/AK65</f>
        <v>2.883727861247952</v>
      </c>
      <c r="BC65" s="814">
        <f>AU65/5</f>
        <v>7798.7320000000009</v>
      </c>
    </row>
    <row r="66" spans="1:55" s="16" customFormat="1" ht="20.45" customHeight="1" outlineLevel="1" thickBot="1">
      <c r="A66" s="21" t="s">
        <v>55</v>
      </c>
      <c r="B66" s="133" t="s">
        <v>34</v>
      </c>
      <c r="C66" s="3"/>
      <c r="D66" s="739"/>
      <c r="E66" s="740"/>
      <c r="F66" s="2"/>
      <c r="G66" s="54" t="s">
        <v>38</v>
      </c>
      <c r="H66" s="52">
        <v>1699</v>
      </c>
      <c r="I66" s="678"/>
      <c r="J66" s="2"/>
      <c r="K66" s="54" t="s">
        <v>38</v>
      </c>
      <c r="L66" s="52">
        <v>2381</v>
      </c>
      <c r="M66" s="678"/>
      <c r="N66" s="2"/>
      <c r="O66" s="54" t="s">
        <v>38</v>
      </c>
      <c r="P66" s="52">
        <v>2036</v>
      </c>
      <c r="Q66" s="742"/>
      <c r="R66" s="2"/>
      <c r="S66" s="54" t="s">
        <v>38</v>
      </c>
      <c r="T66" s="52">
        <v>3783</v>
      </c>
      <c r="U66" s="742"/>
      <c r="V66" s="2"/>
      <c r="W66" s="54" t="s">
        <v>38</v>
      </c>
      <c r="X66" s="52">
        <f>SUMIF($AA$7:$AG$7,"="&amp;$D$4,$AA66:$AG66)</f>
        <v>745</v>
      </c>
      <c r="Y66" s="744"/>
      <c r="Z66" s="2"/>
      <c r="AA66" s="52">
        <f>SUMIFS('Report Pacote 07-08'!AL:AL,'Report Pacote 07-08'!$CB:$CB,$A66,'Report Pacote 07-08'!$J:$J,$W66)</f>
        <v>609</v>
      </c>
      <c r="AB66" s="52">
        <f>SUMIFS('Report Pacote 07-08'!AM:AM,'Report Pacote 07-08'!$CB:$CB,$A66,'Report Pacote 07-08'!$J:$J,$W66)</f>
        <v>745</v>
      </c>
      <c r="AC66" s="52">
        <f>SUMIFS('Report Pacote 07-08'!AN:AN,'Report Pacote 07-08'!$CB:$CB,$A66,'Report Pacote 07-08'!$J:$J,$W66)</f>
        <v>0</v>
      </c>
      <c r="AD66" s="52">
        <f>SUMIFS('Report Pacote 07-08'!AO:AO,'Report Pacote 07-08'!$CB:$CB,$A66,'Report Pacote 07-08'!$J:$J,$W66)</f>
        <v>0</v>
      </c>
      <c r="AE66" s="52">
        <f>SUMIFS('Report Pacote 07-08'!AP:AP,'Report Pacote 07-08'!$CB:$CB,$A66,'Report Pacote 07-08'!$J:$J,$W66)</f>
        <v>0</v>
      </c>
      <c r="AF66" s="52">
        <f>SUMIFS('Report Pacote 07-08'!AQ:AQ,'Report Pacote 07-08'!$CB:$CB,$A66,'Report Pacote 07-08'!$J:$J,$W66)</f>
        <v>0</v>
      </c>
      <c r="AG66" s="52">
        <f>SUMIFS('Report Pacote 07-08'!AR:AR,'Report Pacote 07-08'!$CB:$CB,$A66,'Report Pacote 07-08'!$J:$J,$W66)</f>
        <v>0</v>
      </c>
      <c r="AH66" s="52">
        <f>SUMIF($AA$7:$AG$7,"&lt;="&amp;$D$4,$AA66:$AG66)</f>
        <v>1354</v>
      </c>
      <c r="AI66" s="742"/>
      <c r="AJ66" s="2"/>
      <c r="AK66" s="738"/>
      <c r="AL66" s="738"/>
      <c r="AM66" s="738"/>
      <c r="AN66" s="746"/>
      <c r="AO66" s="700"/>
      <c r="AP66" s="738">
        <f>SUMIFS('Report Pacote 07-08'!AC:AC,'Report Pacote 07-08'!$CB:$CB,$A66,'Report Pacote 07-08'!$J:$J,$W66)</f>
        <v>0</v>
      </c>
      <c r="AQ66" s="738">
        <f>SUMIFS('Report Pacote 07-08'!AD:AD,'Report Pacote 07-08'!$CB:$CB,$A66,'Report Pacote 07-08'!$J:$J,$W66)</f>
        <v>681</v>
      </c>
      <c r="AR66" s="784"/>
      <c r="AS66" s="700"/>
      <c r="AT66" s="738"/>
      <c r="AU66" s="738"/>
      <c r="AV66" s="700"/>
      <c r="AW66" s="738"/>
      <c r="AX66" s="738"/>
      <c r="AY66" s="738"/>
      <c r="AZ66" s="3"/>
      <c r="BA66" s="144"/>
      <c r="BB66" s="815"/>
      <c r="BC66" s="815"/>
    </row>
    <row r="67" spans="1:55" ht="18.75" outlineLevel="1">
      <c r="B67" s="17" t="s">
        <v>34</v>
      </c>
      <c r="C67" s="3"/>
      <c r="D67" s="3"/>
      <c r="E67" s="3"/>
      <c r="G67" s="35"/>
      <c r="H67" s="37"/>
      <c r="I67" s="228"/>
      <c r="J67" s="3"/>
      <c r="K67" s="35"/>
      <c r="L67" s="37"/>
      <c r="M67" s="228"/>
      <c r="O67" s="35"/>
      <c r="P67" s="37"/>
      <c r="Q67" s="228"/>
      <c r="S67" s="35"/>
      <c r="T67" s="37"/>
      <c r="U67" s="228"/>
      <c r="V67" s="3"/>
      <c r="W67" s="35"/>
      <c r="X67" s="35"/>
      <c r="Y67" s="3"/>
      <c r="Z67" s="3"/>
      <c r="AA67" s="37"/>
      <c r="AB67" s="37"/>
      <c r="AC67" s="37"/>
      <c r="AD67" s="37"/>
      <c r="AE67" s="37"/>
      <c r="AF67" s="37"/>
      <c r="AG67" s="37"/>
      <c r="AH67" s="37"/>
      <c r="AI67" s="228"/>
      <c r="AJ67" s="3"/>
      <c r="AK67" s="249"/>
      <c r="AL67" s="249"/>
      <c r="AM67" s="498"/>
      <c r="AN67" s="228"/>
      <c r="AO67" s="3"/>
      <c r="AP67" s="249"/>
      <c r="AQ67" s="249"/>
      <c r="AR67" s="228"/>
      <c r="AS67" s="3"/>
      <c r="AT67" s="249"/>
      <c r="AU67" s="249"/>
      <c r="AV67" s="3"/>
      <c r="AW67" s="251"/>
      <c r="AX67" s="251"/>
      <c r="AY67" s="251"/>
      <c r="AZ67" s="3"/>
    </row>
    <row r="68" spans="1:55" ht="5.0999999999999996" customHeight="1" outlineLevel="1">
      <c r="B68" s="17" t="s">
        <v>34</v>
      </c>
      <c r="C68" s="3"/>
      <c r="D68" s="3"/>
      <c r="E68" s="3"/>
      <c r="G68" s="35"/>
      <c r="H68" s="37"/>
      <c r="I68" s="228"/>
      <c r="J68" s="3"/>
      <c r="K68" s="35"/>
      <c r="L68" s="37"/>
      <c r="M68" s="228"/>
      <c r="O68" s="35"/>
      <c r="P68" s="37"/>
      <c r="Q68" s="228"/>
      <c r="S68" s="35"/>
      <c r="T68" s="37"/>
      <c r="U68" s="228"/>
      <c r="V68" s="3"/>
      <c r="W68" s="35"/>
      <c r="X68" s="35"/>
      <c r="Y68" s="3"/>
      <c r="Z68" s="3"/>
      <c r="AA68" s="36"/>
      <c r="AB68" s="36"/>
      <c r="AC68" s="36"/>
      <c r="AD68" s="36"/>
      <c r="AE68" s="36"/>
      <c r="AF68" s="36"/>
      <c r="AG68" s="36"/>
      <c r="AH68" s="37"/>
      <c r="AI68" s="228"/>
      <c r="AJ68" s="3"/>
      <c r="AK68" s="249"/>
      <c r="AL68" s="249"/>
      <c r="AM68" s="249"/>
      <c r="AN68" s="228"/>
      <c r="AO68" s="3"/>
      <c r="AP68" s="250"/>
      <c r="AQ68" s="250"/>
      <c r="AR68" s="228"/>
      <c r="AS68" s="3"/>
      <c r="AT68" s="250"/>
      <c r="AU68" s="250"/>
      <c r="AV68" s="3"/>
      <c r="AW68" s="251"/>
      <c r="AX68" s="251"/>
      <c r="AY68" s="251"/>
      <c r="AZ68" s="3"/>
    </row>
    <row r="69" spans="1:55" s="44" customFormat="1" ht="15.95" customHeight="1">
      <c r="B69" s="133" t="s">
        <v>34</v>
      </c>
      <c r="C69" s="3"/>
      <c r="D69" s="776" t="s">
        <v>56</v>
      </c>
      <c r="E69" s="778"/>
      <c r="F69" s="40"/>
      <c r="G69" s="399"/>
      <c r="H69" s="60"/>
      <c r="I69" s="683"/>
      <c r="J69" s="40"/>
      <c r="K69" s="685"/>
      <c r="L69" s="60"/>
      <c r="M69" s="683"/>
      <c r="N69" s="40"/>
      <c r="O69" s="780"/>
      <c r="P69" s="60"/>
      <c r="Q69" s="782"/>
      <c r="R69" s="40"/>
      <c r="S69" s="780"/>
      <c r="T69" s="635"/>
      <c r="U69" s="770"/>
      <c r="V69" s="40"/>
      <c r="W69" s="632"/>
      <c r="X69" s="60"/>
      <c r="Y69" s="770"/>
      <c r="Z69" s="40"/>
      <c r="AA69" s="766"/>
      <c r="AB69" s="633"/>
      <c r="AC69" s="633"/>
      <c r="AD69" s="634"/>
      <c r="AE69" s="633"/>
      <c r="AF69" s="633"/>
      <c r="AG69" s="633"/>
      <c r="AH69" s="635"/>
      <c r="AI69" s="770"/>
      <c r="AJ69" s="40"/>
      <c r="AK69" s="766"/>
      <c r="AL69" s="768"/>
      <c r="AM69" s="768"/>
      <c r="AN69" s="770"/>
      <c r="AO69" s="40"/>
      <c r="AP69" s="766"/>
      <c r="AQ69" s="768"/>
      <c r="AR69" s="770"/>
      <c r="AS69" s="40"/>
      <c r="AT69" s="766"/>
      <c r="AU69" s="770"/>
      <c r="AV69" s="40"/>
      <c r="AW69" s="766"/>
      <c r="AX69" s="768"/>
      <c r="AY69" s="770"/>
      <c r="AZ69" s="3"/>
    </row>
    <row r="70" spans="1:55" s="44" customFormat="1" ht="15.95" customHeight="1">
      <c r="B70" s="133" t="s">
        <v>34</v>
      </c>
      <c r="C70" s="3"/>
      <c r="D70" s="777"/>
      <c r="E70" s="779"/>
      <c r="F70" s="40"/>
      <c r="G70" s="400"/>
      <c r="H70" s="61"/>
      <c r="I70" s="684"/>
      <c r="J70" s="40"/>
      <c r="K70" s="686"/>
      <c r="L70" s="61"/>
      <c r="M70" s="684"/>
      <c r="N70" s="40"/>
      <c r="O70" s="781"/>
      <c r="P70" s="61"/>
      <c r="Q70" s="783"/>
      <c r="R70" s="40"/>
      <c r="S70" s="781"/>
      <c r="T70" s="640"/>
      <c r="U70" s="771"/>
      <c r="V70" s="40"/>
      <c r="W70" s="636"/>
      <c r="X70" s="637"/>
      <c r="Y70" s="771"/>
      <c r="Z70" s="40"/>
      <c r="AA70" s="767"/>
      <c r="AB70" s="638"/>
      <c r="AC70" s="638"/>
      <c r="AD70" s="639"/>
      <c r="AE70" s="638"/>
      <c r="AF70" s="638"/>
      <c r="AG70" s="638"/>
      <c r="AH70" s="640"/>
      <c r="AI70" s="771"/>
      <c r="AJ70" s="40"/>
      <c r="AK70" s="767"/>
      <c r="AL70" s="769"/>
      <c r="AM70" s="769"/>
      <c r="AN70" s="771"/>
      <c r="AO70" s="40"/>
      <c r="AP70" s="767"/>
      <c r="AQ70" s="769"/>
      <c r="AR70" s="771"/>
      <c r="AS70" s="40"/>
      <c r="AT70" s="767"/>
      <c r="AU70" s="771"/>
      <c r="AV70" s="40"/>
      <c r="AW70" s="767"/>
      <c r="AX70" s="769"/>
      <c r="AY70" s="771"/>
      <c r="AZ70" s="3"/>
    </row>
    <row r="71" spans="1:55" ht="3.6" customHeight="1">
      <c r="B71" s="17" t="s">
        <v>34</v>
      </c>
      <c r="C71" s="3"/>
      <c r="D71" s="3"/>
      <c r="E71" s="3"/>
      <c r="G71" s="35"/>
      <c r="H71" s="35"/>
      <c r="I71" s="228"/>
      <c r="J71" s="3"/>
      <c r="K71" s="35"/>
      <c r="L71" s="35"/>
      <c r="M71" s="228"/>
      <c r="O71" s="35"/>
      <c r="P71" s="35"/>
      <c r="Q71" s="228"/>
      <c r="S71" s="35"/>
      <c r="T71" s="35"/>
      <c r="U71" s="228"/>
      <c r="V71" s="3"/>
      <c r="W71" s="35"/>
      <c r="X71" s="35"/>
      <c r="Y71" s="3"/>
      <c r="Z71" s="3"/>
      <c r="AA71" s="35"/>
      <c r="AB71" s="35"/>
      <c r="AC71" s="35"/>
      <c r="AD71" s="35"/>
      <c r="AE71" s="35"/>
      <c r="AF71" s="35"/>
      <c r="AG71" s="35"/>
      <c r="AH71" s="35"/>
      <c r="AI71" s="228"/>
      <c r="AJ71" s="3"/>
      <c r="AK71" s="249"/>
      <c r="AL71" s="249"/>
      <c r="AM71" s="249"/>
      <c r="AN71" s="228"/>
      <c r="AO71" s="3"/>
      <c r="AP71" s="249"/>
      <c r="AQ71" s="249"/>
      <c r="AR71" s="228"/>
      <c r="AS71" s="3"/>
      <c r="AT71" s="250"/>
      <c r="AU71" s="250"/>
      <c r="AV71" s="3"/>
      <c r="AW71" s="251"/>
      <c r="AX71" s="251"/>
      <c r="AY71" s="251"/>
      <c r="AZ71" s="3"/>
    </row>
    <row r="72" spans="1:55" ht="5.0999999999999996" customHeight="1">
      <c r="B72" s="17" t="s">
        <v>34</v>
      </c>
      <c r="C72" s="3"/>
      <c r="D72" s="3"/>
      <c r="E72" s="3"/>
      <c r="G72" s="35"/>
      <c r="H72" s="35"/>
      <c r="I72" s="228"/>
      <c r="J72" s="3"/>
      <c r="K72" s="35"/>
      <c r="L72" s="35"/>
      <c r="M72" s="228"/>
      <c r="O72" s="35"/>
      <c r="P72" s="35"/>
      <c r="Q72" s="228"/>
      <c r="S72" s="35"/>
      <c r="T72" s="35"/>
      <c r="U72" s="228"/>
      <c r="V72" s="3"/>
      <c r="W72" s="35"/>
      <c r="X72" s="35"/>
      <c r="Y72" s="3"/>
      <c r="Z72" s="3"/>
      <c r="AA72" s="35"/>
      <c r="AB72" s="35"/>
      <c r="AC72" s="35"/>
      <c r="AD72" s="35"/>
      <c r="AE72" s="35"/>
      <c r="AF72" s="35"/>
      <c r="AG72" s="35"/>
      <c r="AH72" s="35"/>
      <c r="AI72" s="228"/>
      <c r="AJ72" s="3"/>
      <c r="AK72" s="249"/>
      <c r="AL72" s="249"/>
      <c r="AM72" s="249"/>
      <c r="AN72" s="228"/>
      <c r="AO72" s="3"/>
      <c r="AP72" s="249"/>
      <c r="AQ72" s="249"/>
      <c r="AR72" s="228"/>
      <c r="AS72" s="3"/>
      <c r="AT72" s="250"/>
      <c r="AU72" s="250"/>
      <c r="AV72" s="3"/>
      <c r="AW72" s="251"/>
      <c r="AX72" s="251"/>
      <c r="AY72" s="251"/>
      <c r="AZ72" s="3"/>
    </row>
    <row r="73" spans="1:55" s="21" customFormat="1" ht="17.25" outlineLevel="1">
      <c r="A73" s="21" t="s">
        <v>57</v>
      </c>
      <c r="B73" s="134" t="s">
        <v>34</v>
      </c>
      <c r="C73" s="3"/>
      <c r="D73" s="774" t="s">
        <v>57</v>
      </c>
      <c r="E73" s="740" t="s">
        <v>58</v>
      </c>
      <c r="F73" s="2"/>
      <c r="G73" s="53" t="s">
        <v>37</v>
      </c>
      <c r="H73" s="52">
        <v>8</v>
      </c>
      <c r="I73" s="677">
        <f>IFERROR((H74/H73),"-")</f>
        <v>0.875</v>
      </c>
      <c r="J73" s="2"/>
      <c r="K73" s="53" t="s">
        <v>37</v>
      </c>
      <c r="L73" s="52">
        <v>8</v>
      </c>
      <c r="M73" s="677">
        <f>IFERROR((L74/L73),"-")</f>
        <v>0.875</v>
      </c>
      <c r="N73" s="2"/>
      <c r="O73" s="53" t="s">
        <v>37</v>
      </c>
      <c r="P73" s="52">
        <v>7</v>
      </c>
      <c r="Q73" s="741">
        <f>IFERROR((P74/P73),"-")</f>
        <v>1</v>
      </c>
      <c r="R73" s="2"/>
      <c r="S73" s="53" t="s">
        <v>37</v>
      </c>
      <c r="T73" s="52">
        <v>6</v>
      </c>
      <c r="U73" s="741">
        <v>1.1666666666666667</v>
      </c>
      <c r="V73" s="2"/>
      <c r="W73" s="53" t="s">
        <v>37</v>
      </c>
      <c r="X73" s="52">
        <f>SUMIF($AA$7:$AG$7,"="&amp;$D$4,$AA73:$AG73)</f>
        <v>0</v>
      </c>
      <c r="Y73" s="743" t="str">
        <f>IFERROR((X74/X73),"-")</f>
        <v>-</v>
      </c>
      <c r="Z73" s="2"/>
      <c r="AA73" s="52">
        <f>SUMIFS('Report Pacote 07'!M:M,'Report Pacote 07'!$AY:$AY,$D73,'Report Pacote 07'!$I:$I,'Report Consolidado Semanal'!$W73)</f>
        <v>0</v>
      </c>
      <c r="AB73" s="52">
        <f>SUMIFS('Report Pacote 07'!N:N,'Report Pacote 07'!$AY:$AY,$D73,'Report Pacote 07'!$I:$I,'Report Consolidado Semanal'!$W73)</f>
        <v>0</v>
      </c>
      <c r="AC73" s="52">
        <f>SUMIFS('Report Pacote 07'!O:O,'Report Pacote 07'!$AY:$AY,$D73,'Report Pacote 07'!$I:$I,'Report Consolidado Semanal'!$W73)</f>
        <v>4</v>
      </c>
      <c r="AD73" s="52">
        <f>SUMIFS('Report Pacote 07'!P:P,'Report Pacote 07'!$AY:$AY,$D73,'Report Pacote 07'!$I:$I,'Report Consolidado Semanal'!$W73)</f>
        <v>0</v>
      </c>
      <c r="AE73" s="52">
        <f>SUMIFS('Report Pacote 07'!Q:Q,'Report Pacote 07'!$AY:$AY,$D73,'Report Pacote 07'!$I:$I,'Report Consolidado Semanal'!$W73)</f>
        <v>0</v>
      </c>
      <c r="AF73" s="52">
        <f>SUMIFS('Report Pacote 07'!R:R,'Report Pacote 07'!$AY:$AY,$D73,'Report Pacote 07'!$I:$I,'Report Consolidado Semanal'!$W73)</f>
        <v>5</v>
      </c>
      <c r="AG73" s="52">
        <f>SUMIFS('Report Pacote 07'!S:S,'Report Pacote 07'!$AY:$AY,$D73,'Report Pacote 07'!$I:$I,'Report Consolidado Semanal'!$W73)</f>
        <v>0</v>
      </c>
      <c r="AH73" s="52">
        <f>SUMIF($AA$7:$AG$7,"&lt;="&amp;$D$4,$AA73:$AG73)</f>
        <v>0</v>
      </c>
      <c r="AI73" s="741" t="str">
        <f>IFERROR((AH74/AH73),"-")</f>
        <v>-</v>
      </c>
      <c r="AJ73" s="2"/>
      <c r="AK73" s="737">
        <f>SUMIFS('Report Pacote 07'!Y:Y,'Report Pacote 07'!$AY:$AY,$D73,'Report Pacote 07'!$I:$I,'Report Consolidado Semanal'!$W73)</f>
        <v>50</v>
      </c>
      <c r="AL73" s="737">
        <f>SUMIFS('Report Pacote 07'!Z:Z,'Report Pacote 07'!$AY:$AY,$D73,'Report Pacote 07'!$I:$I,'Report Consolidado Semanal'!$W73)</f>
        <v>18</v>
      </c>
      <c r="AM73" s="737">
        <f>SUMIFS('Report Pacote 07'!AA:AA,'Report Pacote 07'!$AY:$AY,$D73,'Report Pacote 07'!$I:$I,'Report Consolidado Semanal'!$W73)</f>
        <v>13</v>
      </c>
      <c r="AN73" s="745">
        <f>IFERROR((AM73/AL73),"-")</f>
        <v>0.72222222222222221</v>
      </c>
      <c r="AO73" s="700"/>
      <c r="AP73" s="737">
        <f>SUMIFS('Report Pacote 07'!AD:AD,'Report Pacote 07'!$AY:$AY,$D73,'Report Pacote 07'!$I:$I,'Report Consolidado Semanal'!$W73)</f>
        <v>175</v>
      </c>
      <c r="AQ73" s="737">
        <f>SUMIFS('Report Pacote 07'!AI:AI,'Report Pacote 07'!$AY:$AY,$D73,'Report Pacote 07'!$I:$I,'Report Consolidado Semanal'!$W73)</f>
        <v>183</v>
      </c>
      <c r="AR73" s="745">
        <f>IFERROR((AP73/AQ73),"-")</f>
        <v>0.95628415300546443</v>
      </c>
      <c r="AS73" s="700"/>
      <c r="AT73" s="737">
        <f>SUMIFS('Report Pacote 07'!AL:AL,'Report Pacote 07'!$AY:$AY,$D73,'Report Pacote 07'!$I:$I,'Report Consolidado Semanal'!$W73)</f>
        <v>249</v>
      </c>
      <c r="AU73" s="737">
        <f>SUMIFS('Report Pacote 07'!AM:AM,'Report Pacote 07'!$AY:$AY,$D73,'Report Pacote 07'!$I:$I,'Report Consolidado Semanal'!$W73)</f>
        <v>74</v>
      </c>
      <c r="AV73" s="700"/>
      <c r="AW73" s="764">
        <f ca="1">ROUNDUP(SUM(AK73/Quadros!$D$4),0)</f>
        <v>2</v>
      </c>
      <c r="AX73" s="764">
        <f ca="1">ROUNDUP(SUM(AL73/Quadros!$D$4),0)</f>
        <v>1</v>
      </c>
      <c r="AY73" s="764">
        <f ca="1">ROUNDUP(IF((AK73-AM73)/(Quadros!$D$4-Quadros!$D$6)&lt;0,"-",(AK73-AM73)/(Quadros!$D$4-Quadros!$D$6)),0)</f>
        <v>3</v>
      </c>
      <c r="AZ73" s="3"/>
    </row>
    <row r="74" spans="1:55" s="16" customFormat="1" ht="17.25" outlineLevel="1">
      <c r="A74" s="21" t="s">
        <v>57</v>
      </c>
      <c r="B74" s="133" t="s">
        <v>34</v>
      </c>
      <c r="C74" s="3"/>
      <c r="D74" s="774"/>
      <c r="E74" s="740"/>
      <c r="F74" s="2"/>
      <c r="G74" s="54" t="s">
        <v>38</v>
      </c>
      <c r="H74" s="52">
        <v>7</v>
      </c>
      <c r="I74" s="678"/>
      <c r="J74" s="2"/>
      <c r="K74" s="54" t="s">
        <v>38</v>
      </c>
      <c r="L74" s="52">
        <v>7</v>
      </c>
      <c r="M74" s="678"/>
      <c r="N74" s="2"/>
      <c r="O74" s="54" t="s">
        <v>38</v>
      </c>
      <c r="P74" s="52">
        <v>7</v>
      </c>
      <c r="Q74" s="742"/>
      <c r="R74" s="2"/>
      <c r="S74" s="54" t="s">
        <v>38</v>
      </c>
      <c r="T74" s="52">
        <v>7</v>
      </c>
      <c r="U74" s="742"/>
      <c r="V74" s="2"/>
      <c r="W74" s="54" t="s">
        <v>38</v>
      </c>
      <c r="X74" s="52">
        <f>SUMIF($AA$7:$AG$7,"="&amp;$D$4,$AA74:$AG74)</f>
        <v>0</v>
      </c>
      <c r="Y74" s="744"/>
      <c r="Z74" s="2"/>
      <c r="AA74" s="52">
        <f>SUMIFS('Report Pacote 07'!M:M,'Report Pacote 07'!$AY:$AY,$D73,'Report Pacote 07'!$I:$I,'Report Consolidado Semanal'!$W74)</f>
        <v>0</v>
      </c>
      <c r="AB74" s="52">
        <f>SUMIFS('Report Pacote 07'!N:N,'Report Pacote 07'!$AY:$AY,$D73,'Report Pacote 07'!$I:$I,'Report Consolidado Semanal'!$W74)</f>
        <v>0</v>
      </c>
      <c r="AC74" s="52">
        <f>SUMIFS('Report Pacote 07'!O:O,'Report Pacote 07'!$AY:$AY,$D73,'Report Pacote 07'!$I:$I,'Report Consolidado Semanal'!$W74)</f>
        <v>0</v>
      </c>
      <c r="AD74" s="52">
        <f>SUMIFS('Report Pacote 07'!P:P,'Report Pacote 07'!$AY:$AY,$D73,'Report Pacote 07'!$I:$I,'Report Consolidado Semanal'!$W74)</f>
        <v>0</v>
      </c>
      <c r="AE74" s="52">
        <f>SUMIFS('Report Pacote 07'!Q:Q,'Report Pacote 07'!$AY:$AY,$D73,'Report Pacote 07'!$I:$I,'Report Consolidado Semanal'!$W74)</f>
        <v>0</v>
      </c>
      <c r="AF74" s="52">
        <f>SUMIFS('Report Pacote 07'!R:R,'Report Pacote 07'!$AY:$AY,$D73,'Report Pacote 07'!$I:$I,'Report Consolidado Semanal'!$W74)</f>
        <v>0</v>
      </c>
      <c r="AG74" s="52">
        <f>SUMIFS('Report Pacote 07'!S:S,'Report Pacote 07'!$AY:$AY,$D73,'Report Pacote 07'!$I:$I,'Report Consolidado Semanal'!$W74)</f>
        <v>0</v>
      </c>
      <c r="AH74" s="52">
        <f>SUMIF($AA$7:$AG$7,"&lt;="&amp;$D$4,$AA74:$AG74)</f>
        <v>0</v>
      </c>
      <c r="AI74" s="742"/>
      <c r="AJ74" s="2"/>
      <c r="AK74" s="738"/>
      <c r="AL74" s="738"/>
      <c r="AM74" s="738"/>
      <c r="AN74" s="746"/>
      <c r="AO74" s="700"/>
      <c r="AP74" s="738"/>
      <c r="AQ74" s="738"/>
      <c r="AR74" s="775"/>
      <c r="AS74" s="700"/>
      <c r="AT74" s="738"/>
      <c r="AU74" s="738"/>
      <c r="AV74" s="700"/>
      <c r="AW74" s="765"/>
      <c r="AX74" s="765"/>
      <c r="AY74" s="765"/>
      <c r="AZ74" s="3"/>
    </row>
    <row r="75" spans="1:55" ht="17.25" outlineLevel="1">
      <c r="B75" s="17" t="s">
        <v>34</v>
      </c>
      <c r="C75" s="3"/>
      <c r="D75" s="221"/>
      <c r="E75" s="109"/>
      <c r="G75" s="35"/>
      <c r="H75" s="35"/>
      <c r="I75" s="228"/>
      <c r="J75" s="3"/>
      <c r="K75" s="35"/>
      <c r="L75" s="35"/>
      <c r="M75" s="228"/>
      <c r="O75" s="35"/>
      <c r="P75" s="35"/>
      <c r="Q75" s="228"/>
      <c r="S75" s="35"/>
      <c r="T75" s="35"/>
      <c r="U75" s="228"/>
      <c r="V75" s="3"/>
      <c r="W75" s="35"/>
      <c r="X75" s="35"/>
      <c r="Y75" s="3"/>
      <c r="Z75" s="3"/>
      <c r="AA75" s="35"/>
      <c r="AB75" s="35"/>
      <c r="AC75" s="35"/>
      <c r="AD75" s="35"/>
      <c r="AE75" s="35"/>
      <c r="AF75" s="35"/>
      <c r="AG75" s="35"/>
      <c r="AH75" s="35"/>
      <c r="AI75" s="228"/>
      <c r="AJ75" s="3"/>
      <c r="AK75" s="251"/>
      <c r="AL75" s="251"/>
      <c r="AM75" s="251"/>
      <c r="AN75" s="701"/>
      <c r="AO75" s="702"/>
      <c r="AP75" s="251"/>
      <c r="AQ75" s="251"/>
      <c r="AR75" s="701"/>
      <c r="AS75" s="702"/>
      <c r="AT75" s="251"/>
      <c r="AU75" s="251"/>
      <c r="AV75" s="702"/>
      <c r="AW75" s="641"/>
      <c r="AX75" s="641"/>
      <c r="AY75" s="641"/>
      <c r="AZ75" s="3"/>
    </row>
    <row r="76" spans="1:55" ht="5.0999999999999996" customHeight="1" outlineLevel="1">
      <c r="B76" s="17" t="s">
        <v>34</v>
      </c>
      <c r="C76" s="3"/>
      <c r="D76" s="221"/>
      <c r="E76" s="109"/>
      <c r="G76" s="35"/>
      <c r="H76" s="35"/>
      <c r="I76" s="228"/>
      <c r="J76" s="3"/>
      <c r="K76" s="35"/>
      <c r="L76" s="35"/>
      <c r="M76" s="228"/>
      <c r="O76" s="35"/>
      <c r="P76" s="35"/>
      <c r="Q76" s="228"/>
      <c r="S76" s="35"/>
      <c r="T76" s="35"/>
      <c r="U76" s="228"/>
      <c r="V76" s="3"/>
      <c r="W76" s="35"/>
      <c r="X76" s="35"/>
      <c r="Y76" s="3"/>
      <c r="Z76" s="3"/>
      <c r="AA76" s="35"/>
      <c r="AB76" s="35"/>
      <c r="AC76" s="35"/>
      <c r="AD76" s="35"/>
      <c r="AE76" s="35"/>
      <c r="AF76" s="35"/>
      <c r="AG76" s="35"/>
      <c r="AH76" s="35"/>
      <c r="AI76" s="228"/>
      <c r="AJ76" s="3"/>
      <c r="AK76" s="251"/>
      <c r="AL76" s="251"/>
      <c r="AM76" s="251"/>
      <c r="AN76" s="701"/>
      <c r="AO76" s="702"/>
      <c r="AP76" s="251"/>
      <c r="AQ76" s="251"/>
      <c r="AR76" s="701"/>
      <c r="AS76" s="702"/>
      <c r="AT76" s="703"/>
      <c r="AU76" s="703"/>
      <c r="AV76" s="702"/>
      <c r="AW76" s="641"/>
      <c r="AX76" s="641"/>
      <c r="AY76" s="641"/>
      <c r="AZ76" s="3"/>
    </row>
    <row r="77" spans="1:55" s="21" customFormat="1" ht="16.7" customHeight="1" outlineLevel="1">
      <c r="A77" s="21" t="s">
        <v>59</v>
      </c>
      <c r="B77" s="134" t="s">
        <v>34</v>
      </c>
      <c r="C77" s="3"/>
      <c r="D77" s="774" t="s">
        <v>59</v>
      </c>
      <c r="E77" s="740" t="s">
        <v>58</v>
      </c>
      <c r="F77" s="2"/>
      <c r="G77" s="53" t="s">
        <v>37</v>
      </c>
      <c r="H77" s="52">
        <v>1.5</v>
      </c>
      <c r="I77" s="677">
        <f>IFERROR((H78/H77),"-")</f>
        <v>1.6666666666666667</v>
      </c>
      <c r="J77" s="2"/>
      <c r="K77" s="53" t="s">
        <v>37</v>
      </c>
      <c r="L77" s="52">
        <v>2</v>
      </c>
      <c r="M77" s="677">
        <f>IFERROR((L78/L77),"-")</f>
        <v>0.75</v>
      </c>
      <c r="N77" s="2"/>
      <c r="O77" s="53" t="s">
        <v>37</v>
      </c>
      <c r="P77" s="52">
        <v>1.5</v>
      </c>
      <c r="Q77" s="741">
        <f>IFERROR((P78/P77),"-")</f>
        <v>1.3333333333333333</v>
      </c>
      <c r="R77" s="2"/>
      <c r="S77" s="53" t="s">
        <v>37</v>
      </c>
      <c r="T77" s="631">
        <v>1.5</v>
      </c>
      <c r="U77" s="741">
        <v>1.3333333333333333</v>
      </c>
      <c r="V77" s="2"/>
      <c r="W77" s="53" t="s">
        <v>37</v>
      </c>
      <c r="X77" s="52">
        <f>SUMIF($AA$7:$AG$7,"="&amp;$D$4,$AA77:$AG77)</f>
        <v>0</v>
      </c>
      <c r="Y77" s="743" t="str">
        <f>IFERROR((X78/X77),"-")</f>
        <v>-</v>
      </c>
      <c r="Z77" s="2"/>
      <c r="AA77" s="52">
        <f>SUMIFS('Report Pacote 07'!M:M,'Report Pacote 07'!$AY:$AY,$D77,'Report Pacote 07'!$I:$I,'Report Consolidado Semanal'!$W77)</f>
        <v>0</v>
      </c>
      <c r="AB77" s="52">
        <f>SUMIFS('Report Pacote 07'!N:N,'Report Pacote 07'!$AY:$AY,$D77,'Report Pacote 07'!$I:$I,'Report Consolidado Semanal'!$W77)</f>
        <v>0</v>
      </c>
      <c r="AC77" s="52">
        <f>SUMIFS('Report Pacote 07'!O:O,'Report Pacote 07'!$AY:$AY,$D77,'Report Pacote 07'!$I:$I,'Report Consolidado Semanal'!$W77)</f>
        <v>0</v>
      </c>
      <c r="AD77" s="631">
        <f>SUMIFS('Report Pacote 07'!P:P,'Report Pacote 07'!$AY:$AY,$D77,'Report Pacote 07'!$I:$I,'Report Consolidado Semanal'!$W77)</f>
        <v>0.5</v>
      </c>
      <c r="AE77" s="52">
        <f>SUMIFS('Report Pacote 07'!Q:Q,'Report Pacote 07'!$AY:$AY,$D77,'Report Pacote 07'!$I:$I,'Report Consolidado Semanal'!$W77)</f>
        <v>0</v>
      </c>
      <c r="AF77" s="52">
        <f>SUMIFS('Report Pacote 07'!R:R,'Report Pacote 07'!$AY:$AY,$D77,'Report Pacote 07'!$I:$I,'Report Consolidado Semanal'!$W77)</f>
        <v>1</v>
      </c>
      <c r="AG77" s="52">
        <f>SUMIFS('Report Pacote 07'!S:S,'Report Pacote 07'!$AY:$AY,$D77,'Report Pacote 07'!$I:$I,'Report Consolidado Semanal'!$W77)</f>
        <v>0</v>
      </c>
      <c r="AH77" s="631">
        <f>SUMIF($AA$7:$AG$7,"&lt;="&amp;$D$4,$AA77:$AG77)</f>
        <v>0</v>
      </c>
      <c r="AI77" s="741" t="str">
        <f>IFERROR((AH78/AH77),"-")</f>
        <v>-</v>
      </c>
      <c r="AJ77" s="2"/>
      <c r="AK77" s="737">
        <f>SUMIFS('Report Pacote 07'!Y:Y,'Report Pacote 07'!$AY:$AY,$D77,'Report Pacote 07'!$I:$I,'Report Consolidado Semanal'!$W77)</f>
        <v>8</v>
      </c>
      <c r="AL77" s="737">
        <f>SUMIFS('Report Pacote 07'!Z:Z,'Report Pacote 07'!$AY:$AY,$D77,'Report Pacote 07'!$I:$I,'Report Consolidado Semanal'!$W77)</f>
        <v>4</v>
      </c>
      <c r="AM77" s="737">
        <f>SUMIFS('Report Pacote 07'!AA:AA,'Report Pacote 07'!$AY:$AY,$D77,'Report Pacote 07'!$I:$I,'Report Consolidado Semanal'!$W77)</f>
        <v>4</v>
      </c>
      <c r="AN77" s="745">
        <f>IFERROR((AM77/AL77),"-")</f>
        <v>1</v>
      </c>
      <c r="AO77" s="700"/>
      <c r="AP77" s="737">
        <f>SUMIFS('Report Pacote 07'!AD:AD,'Report Pacote 07'!$AY:$AY,$D77,'Report Pacote 07'!$I:$I,'Report Consolidado Semanal'!$W77)</f>
        <v>20</v>
      </c>
      <c r="AQ77" s="737">
        <f>SUMIFS('Report Pacote 07'!AI:AI,'Report Pacote 07'!$AY:$AY,$D77,'Report Pacote 07'!$I:$I,'Report Consolidado Semanal'!$W77)</f>
        <v>38</v>
      </c>
      <c r="AR77" s="745">
        <f>IFERROR((AP77/AQ77),"-")</f>
        <v>0.52631578947368418</v>
      </c>
      <c r="AS77" s="700"/>
      <c r="AT77" s="737">
        <f>SUMIFS('Report Pacote 07'!AL:AL,'Report Pacote 07'!$AY:$AY,$D77,'Report Pacote 07'!$I:$I,'Report Consolidado Semanal'!$W77)</f>
        <v>63</v>
      </c>
      <c r="AU77" s="737">
        <f>SUMIFS('Report Pacote 07'!AM:AM,'Report Pacote 07'!$AY:$AY,$D77,'Report Pacote 07'!$I:$I,'Report Consolidado Semanal'!$W77)</f>
        <v>43</v>
      </c>
      <c r="AV77" s="700"/>
      <c r="AW77" s="764">
        <f ca="1">ROUNDUP(SUM(AK77/Quadros!$D$4),0)</f>
        <v>1</v>
      </c>
      <c r="AX77" s="764">
        <f ca="1">ROUNDUP(SUM(AL77/Quadros!$D$4),0)</f>
        <v>1</v>
      </c>
      <c r="AY77" s="764">
        <f ca="1">ROUNDUP(IF((AK77-AM77)/(Quadros!$D$4-Quadros!$D$6)&lt;0,"-",(AK77-AM77)/(Quadros!$D$4-Quadros!$D$6)),0)</f>
        <v>1</v>
      </c>
      <c r="AZ77" s="3"/>
    </row>
    <row r="78" spans="1:55" s="16" customFormat="1" ht="16.7" customHeight="1" outlineLevel="1">
      <c r="A78" s="21" t="s">
        <v>59</v>
      </c>
      <c r="B78" s="133" t="s">
        <v>34</v>
      </c>
      <c r="C78" s="3"/>
      <c r="D78" s="774"/>
      <c r="E78" s="740"/>
      <c r="F78" s="2"/>
      <c r="G78" s="54" t="s">
        <v>38</v>
      </c>
      <c r="H78" s="52">
        <v>2.5</v>
      </c>
      <c r="I78" s="678"/>
      <c r="J78" s="2"/>
      <c r="K78" s="54" t="s">
        <v>38</v>
      </c>
      <c r="L78" s="52">
        <v>1.5</v>
      </c>
      <c r="M78" s="678"/>
      <c r="N78" s="2"/>
      <c r="O78" s="54" t="s">
        <v>38</v>
      </c>
      <c r="P78" s="52">
        <v>2</v>
      </c>
      <c r="Q78" s="742"/>
      <c r="R78" s="2"/>
      <c r="S78" s="54" t="s">
        <v>38</v>
      </c>
      <c r="T78" s="631">
        <v>2</v>
      </c>
      <c r="U78" s="742"/>
      <c r="V78" s="2"/>
      <c r="W78" s="54" t="s">
        <v>38</v>
      </c>
      <c r="X78" s="52">
        <f>SUMIF($AA$7:$AG$7,"="&amp;$D$4,$AA78:$AG78)</f>
        <v>0</v>
      </c>
      <c r="Y78" s="744"/>
      <c r="Z78" s="2"/>
      <c r="AA78" s="52">
        <f>SUMIFS('Report Pacote 07'!M:M,'Report Pacote 07'!$AY:$AY,$D77,'Report Pacote 07'!$I:$I,'Report Consolidado Semanal'!$W78)</f>
        <v>0</v>
      </c>
      <c r="AB78" s="52">
        <f>SUMIFS('Report Pacote 07'!N:N,'Report Pacote 07'!$AY:$AY,$D77,'Report Pacote 07'!$I:$I,'Report Consolidado Semanal'!$W78)</f>
        <v>0</v>
      </c>
      <c r="AC78" s="52">
        <f>SUMIFS('Report Pacote 07'!O:O,'Report Pacote 07'!$AY:$AY,$D77,'Report Pacote 07'!$I:$I,'Report Consolidado Semanal'!$W78)</f>
        <v>0</v>
      </c>
      <c r="AD78" s="631">
        <f>SUMIFS('Report Pacote 07'!P:P,'Report Pacote 07'!$AY:$AY,$D77,'Report Pacote 07'!$I:$I,'Report Consolidado Semanal'!$W78)</f>
        <v>0</v>
      </c>
      <c r="AE78" s="52">
        <f>SUMIFS('Report Pacote 07'!Q:Q,'Report Pacote 07'!$AY:$AY,$D77,'Report Pacote 07'!$I:$I,'Report Consolidado Semanal'!$W78)</f>
        <v>0</v>
      </c>
      <c r="AF78" s="52">
        <f>SUMIFS('Report Pacote 07'!R:R,'Report Pacote 07'!$AY:$AY,$D77,'Report Pacote 07'!$I:$I,'Report Consolidado Semanal'!$W78)</f>
        <v>0</v>
      </c>
      <c r="AG78" s="52">
        <f>SUMIFS('Report Pacote 07'!S:S,'Report Pacote 07'!$AY:$AY,$D77,'Report Pacote 07'!$I:$I,'Report Consolidado Semanal'!$W78)</f>
        <v>0</v>
      </c>
      <c r="AH78" s="631">
        <f>SUMIF($AA$7:$AG$7,"&lt;="&amp;$D$4,$AA78:$AG78)</f>
        <v>0</v>
      </c>
      <c r="AI78" s="742"/>
      <c r="AJ78" s="2"/>
      <c r="AK78" s="738"/>
      <c r="AL78" s="738"/>
      <c r="AM78" s="738"/>
      <c r="AN78" s="746"/>
      <c r="AO78" s="700"/>
      <c r="AP78" s="738"/>
      <c r="AQ78" s="738"/>
      <c r="AR78" s="775"/>
      <c r="AS78" s="700"/>
      <c r="AT78" s="738"/>
      <c r="AU78" s="738"/>
      <c r="AV78" s="700"/>
      <c r="AW78" s="765"/>
      <c r="AX78" s="765"/>
      <c r="AY78" s="765"/>
      <c r="AZ78" s="3"/>
    </row>
    <row r="79" spans="1:55" ht="17.25" outlineLevel="1">
      <c r="B79" s="17" t="s">
        <v>34</v>
      </c>
      <c r="C79" s="3"/>
      <c r="D79" s="221"/>
      <c r="E79" s="109"/>
      <c r="G79" s="35"/>
      <c r="H79" s="35"/>
      <c r="I79" s="228"/>
      <c r="J79" s="3"/>
      <c r="K79" s="35"/>
      <c r="L79" s="35"/>
      <c r="M79" s="228"/>
      <c r="O79" s="35"/>
      <c r="P79" s="35"/>
      <c r="Q79" s="228"/>
      <c r="S79" s="35"/>
      <c r="T79" s="35"/>
      <c r="U79" s="228"/>
      <c r="V79" s="3"/>
      <c r="W79" s="35"/>
      <c r="X79" s="35"/>
      <c r="Y79" s="3"/>
      <c r="Z79" s="3"/>
      <c r="AA79" s="35"/>
      <c r="AB79" s="35"/>
      <c r="AC79" s="35"/>
      <c r="AD79" s="35"/>
      <c r="AE79" s="35"/>
      <c r="AF79" s="35"/>
      <c r="AG79" s="35"/>
      <c r="AH79" s="35"/>
      <c r="AI79" s="228"/>
      <c r="AJ79" s="3"/>
      <c r="AK79" s="251"/>
      <c r="AL79" s="251"/>
      <c r="AM79" s="251"/>
      <c r="AN79" s="701"/>
      <c r="AO79" s="702"/>
      <c r="AP79" s="251"/>
      <c r="AQ79" s="251"/>
      <c r="AR79" s="701"/>
      <c r="AS79" s="702"/>
      <c r="AT79" s="251"/>
      <c r="AU79" s="251"/>
      <c r="AV79" s="702"/>
      <c r="AW79" s="641"/>
      <c r="AX79" s="641"/>
      <c r="AY79" s="641"/>
      <c r="AZ79" s="3"/>
    </row>
    <row r="80" spans="1:55" ht="5.0999999999999996" customHeight="1" outlineLevel="1">
      <c r="B80" s="17" t="s">
        <v>34</v>
      </c>
      <c r="C80" s="3"/>
      <c r="D80" s="221"/>
      <c r="E80" s="109"/>
      <c r="G80" s="35"/>
      <c r="H80" s="35"/>
      <c r="I80" s="228"/>
      <c r="J80" s="3"/>
      <c r="K80" s="35"/>
      <c r="L80" s="35"/>
      <c r="M80" s="228"/>
      <c r="O80" s="35"/>
      <c r="P80" s="35"/>
      <c r="Q80" s="228"/>
      <c r="S80" s="35"/>
      <c r="T80" s="35"/>
      <c r="U80" s="228"/>
      <c r="V80" s="3"/>
      <c r="W80" s="35"/>
      <c r="X80" s="35"/>
      <c r="Y80" s="3"/>
      <c r="Z80" s="3"/>
      <c r="AA80" s="35"/>
      <c r="AB80" s="35"/>
      <c r="AC80" s="35"/>
      <c r="AD80" s="35"/>
      <c r="AE80" s="35"/>
      <c r="AF80" s="35"/>
      <c r="AG80" s="35"/>
      <c r="AH80" s="35"/>
      <c r="AI80" s="228"/>
      <c r="AJ80" s="3"/>
      <c r="AK80" s="251"/>
      <c r="AL80" s="251"/>
      <c r="AM80" s="251"/>
      <c r="AN80" s="701"/>
      <c r="AO80" s="702"/>
      <c r="AP80" s="703"/>
      <c r="AQ80" s="703"/>
      <c r="AR80" s="701"/>
      <c r="AS80" s="702"/>
      <c r="AT80" s="703"/>
      <c r="AU80" s="703"/>
      <c r="AV80" s="702"/>
      <c r="AW80" s="641"/>
      <c r="AX80" s="641"/>
      <c r="AY80" s="641"/>
      <c r="AZ80" s="3"/>
    </row>
    <row r="81" spans="1:54" ht="16.7" customHeight="1" outlineLevel="1">
      <c r="A81" t="s">
        <v>60</v>
      </c>
      <c r="B81" s="17" t="s">
        <v>34</v>
      </c>
      <c r="C81" s="3"/>
      <c r="D81" s="774" t="s">
        <v>60</v>
      </c>
      <c r="E81" s="740" t="s">
        <v>58</v>
      </c>
      <c r="F81" s="2"/>
      <c r="G81" s="53" t="s">
        <v>37</v>
      </c>
      <c r="H81" s="52">
        <v>4</v>
      </c>
      <c r="I81" s="679">
        <f>IFERROR((H82/H81),"-")</f>
        <v>0.49999999999999994</v>
      </c>
      <c r="J81" s="2"/>
      <c r="K81" s="53" t="s">
        <v>37</v>
      </c>
      <c r="L81" s="52">
        <v>0</v>
      </c>
      <c r="M81" s="679" t="str">
        <f>IFERROR((L82/L81),"-")</f>
        <v>-</v>
      </c>
      <c r="N81" s="2"/>
      <c r="O81" s="53" t="s">
        <v>37</v>
      </c>
      <c r="P81" s="52">
        <v>0</v>
      </c>
      <c r="Q81" s="772" t="str">
        <f>IFERROR((P82/P81),"-")</f>
        <v>-</v>
      </c>
      <c r="R81" s="2"/>
      <c r="S81" s="53" t="s">
        <v>37</v>
      </c>
      <c r="T81" s="52">
        <v>4</v>
      </c>
      <c r="U81" s="772">
        <v>0.25</v>
      </c>
      <c r="V81" s="2"/>
      <c r="W81" s="53" t="s">
        <v>37</v>
      </c>
      <c r="X81" s="52">
        <f>SUMIF($AA$7:$AG$7,"="&amp;$D$4,$AA81:$AG81)</f>
        <v>0</v>
      </c>
      <c r="Y81" s="743" t="str">
        <f>IFERROR((X82/X81),"-")</f>
        <v>-</v>
      </c>
      <c r="Z81" s="2"/>
      <c r="AA81" s="52">
        <f>SUMIFS('Report Pacote 07'!M:M,'Report Pacote 07'!$AY:$AY,$D81,'Report Pacote 07'!$I:$I,'Report Consolidado Semanal'!$W81)</f>
        <v>3</v>
      </c>
      <c r="AB81" s="52">
        <f>SUMIFS('Report Pacote 07'!N:N,'Report Pacote 07'!$AY:$AY,$D81,'Report Pacote 07'!$I:$I,'Report Consolidado Semanal'!$W81)</f>
        <v>0</v>
      </c>
      <c r="AC81" s="52">
        <f>SUMIFS('Report Pacote 07'!O:O,'Report Pacote 07'!$AY:$AY,$D81,'Report Pacote 07'!$I:$I,'Report Consolidado Semanal'!$W81)</f>
        <v>0</v>
      </c>
      <c r="AD81" s="52">
        <f>SUMIFS('Report Pacote 07'!P:P,'Report Pacote 07'!$AY:$AY,$D81,'Report Pacote 07'!$I:$I,'Report Consolidado Semanal'!$W81)</f>
        <v>0</v>
      </c>
      <c r="AE81" s="52">
        <f>SUMIFS('Report Pacote 07'!Q:Q,'Report Pacote 07'!$AY:$AY,$D81,'Report Pacote 07'!$I:$I,'Report Consolidado Semanal'!$W81)</f>
        <v>0</v>
      </c>
      <c r="AF81" s="52">
        <f>SUMIFS('Report Pacote 07'!R:R,'Report Pacote 07'!$AY:$AY,$D81,'Report Pacote 07'!$I:$I,'Report Consolidado Semanal'!$W81)</f>
        <v>1</v>
      </c>
      <c r="AG81" s="52">
        <f>SUMIFS('Report Pacote 07'!S:S,'Report Pacote 07'!$AY:$AY,$D81,'Report Pacote 07'!$I:$I,'Report Consolidado Semanal'!$W81)</f>
        <v>0</v>
      </c>
      <c r="AH81" s="52">
        <f>SUMIF($AA$7:$AG$7,"&lt;="&amp;$D$4,$AA81:$AG81)</f>
        <v>3</v>
      </c>
      <c r="AI81" s="772">
        <f>IFERROR((AH82/AH81),"-")</f>
        <v>1</v>
      </c>
      <c r="AJ81" s="2"/>
      <c r="AK81" s="737">
        <f>SUMIFS('Report Pacote 07'!Y:Y,'Report Pacote 07'!$AY:$AY,$D81,'Report Pacote 07'!$I:$I,'Report Consolidado Semanal'!$W81)</f>
        <v>15</v>
      </c>
      <c r="AL81" s="737">
        <f>SUMIFS('Report Pacote 07'!Z:Z,'Report Pacote 07'!$AY:$AY,$D81,'Report Pacote 07'!$I:$I,'Report Consolidado Semanal'!$W81)</f>
        <v>3</v>
      </c>
      <c r="AM81" s="737">
        <f>SUMIFS('Report Pacote 07'!AA:AA,'Report Pacote 07'!$AY:$AY,$D81,'Report Pacote 07'!$I:$I,'Report Consolidado Semanal'!$W81)</f>
        <v>5</v>
      </c>
      <c r="AN81" s="745">
        <f>IFERROR((AM81/AL81),"-")</f>
        <v>1.6666666666666667</v>
      </c>
      <c r="AO81" s="700"/>
      <c r="AP81" s="737">
        <f>SUMIFS('Report Pacote 07'!AD:AD,'Report Pacote 07'!$AY:$AY,$D81,'Report Pacote 07'!$I:$I,'Report Consolidado Semanal'!$W81)</f>
        <v>13.999999999999998</v>
      </c>
      <c r="AQ81" s="737">
        <f>SUMIFS('Report Pacote 07'!AI:AI,'Report Pacote 07'!$AY:$AY,$D81,'Report Pacote 07'!$I:$I,'Report Consolidado Semanal'!$W81)</f>
        <v>75</v>
      </c>
      <c r="AR81" s="745">
        <f>IFERROR((AP81/AQ81),"-")</f>
        <v>0.18666666666666665</v>
      </c>
      <c r="AS81" s="700"/>
      <c r="AT81" s="737">
        <f>SUMIFS('Report Pacote 07'!AL:AL,'Report Pacote 07'!$AY:$AY,$D81,'Report Pacote 07'!$I:$I,'Report Consolidado Semanal'!$W81)</f>
        <v>135</v>
      </c>
      <c r="AU81" s="737">
        <f>SUMIFS('Report Pacote 07'!AM:AM,'Report Pacote 07'!$AY:$AY,$D81,'Report Pacote 07'!$I:$I,'Report Consolidado Semanal'!$W81)</f>
        <v>121</v>
      </c>
      <c r="AV81" s="700"/>
      <c r="AW81" s="764">
        <f ca="1">ROUNDUP(SUM(AK81/Quadros!$D$4),0)</f>
        <v>1</v>
      </c>
      <c r="AX81" s="764">
        <f ca="1">ROUNDUP(SUM(AL81/Quadros!$D$4),0)</f>
        <v>1</v>
      </c>
      <c r="AY81" s="764">
        <f ca="1">ROUNDUP(IF((AK81-AM81)/(Quadros!$D$4-Quadros!$D$6)&lt;0,"-",(AK81-AM81)/(Quadros!$D$4-Quadros!$D$6)),0)</f>
        <v>1</v>
      </c>
      <c r="AZ81" s="3"/>
    </row>
    <row r="82" spans="1:54" ht="16.7" customHeight="1" outlineLevel="1">
      <c r="A82" t="s">
        <v>60</v>
      </c>
      <c r="B82" s="17" t="s">
        <v>34</v>
      </c>
      <c r="C82" s="3"/>
      <c r="D82" s="774"/>
      <c r="E82" s="740"/>
      <c r="F82" s="2"/>
      <c r="G82" s="54" t="s">
        <v>38</v>
      </c>
      <c r="H82" s="52">
        <v>1.9999999999999998</v>
      </c>
      <c r="I82" s="680"/>
      <c r="J82" s="2"/>
      <c r="K82" s="54" t="s">
        <v>38</v>
      </c>
      <c r="L82" s="52">
        <v>2.333333333333333</v>
      </c>
      <c r="M82" s="680"/>
      <c r="N82" s="2"/>
      <c r="O82" s="54" t="s">
        <v>38</v>
      </c>
      <c r="P82" s="52">
        <v>1</v>
      </c>
      <c r="Q82" s="773"/>
      <c r="R82" s="2"/>
      <c r="S82" s="54" t="s">
        <v>38</v>
      </c>
      <c r="T82" s="52">
        <v>1</v>
      </c>
      <c r="U82" s="773"/>
      <c r="V82" s="2"/>
      <c r="W82" s="54" t="s">
        <v>38</v>
      </c>
      <c r="X82" s="52">
        <f>SUMIF($AA$7:$AG$7,"="&amp;$D$4,$AA82:$AG82)</f>
        <v>3</v>
      </c>
      <c r="Y82" s="744"/>
      <c r="Z82" s="2"/>
      <c r="AA82" s="52">
        <f>SUMIFS('Report Pacote 07'!M:M,'Report Pacote 07'!$AY:$AY,$D81,'Report Pacote 07'!$I:$I,'Report Consolidado Semanal'!$W82)</f>
        <v>0</v>
      </c>
      <c r="AB82" s="52">
        <f>SUMIFS('Report Pacote 07'!N:N,'Report Pacote 07'!$AY:$AY,$D81,'Report Pacote 07'!$I:$I,'Report Consolidado Semanal'!$W82)</f>
        <v>3</v>
      </c>
      <c r="AC82" s="52">
        <f>SUMIFS('Report Pacote 07'!O:O,'Report Pacote 07'!$AY:$AY,$D81,'Report Pacote 07'!$I:$I,'Report Consolidado Semanal'!$W82)</f>
        <v>0</v>
      </c>
      <c r="AD82" s="52">
        <f>SUMIFS('Report Pacote 07'!P:P,'Report Pacote 07'!$AY:$AY,$D81,'Report Pacote 07'!$I:$I,'Report Consolidado Semanal'!$W82)</f>
        <v>0</v>
      </c>
      <c r="AE82" s="52">
        <f>SUMIFS('Report Pacote 07'!Q:Q,'Report Pacote 07'!$AY:$AY,$D81,'Report Pacote 07'!$I:$I,'Report Consolidado Semanal'!$W82)</f>
        <v>0</v>
      </c>
      <c r="AF82" s="52">
        <f>SUMIFS('Report Pacote 07'!R:R,'Report Pacote 07'!$AY:$AY,$D81,'Report Pacote 07'!$I:$I,'Report Consolidado Semanal'!$W82)</f>
        <v>0</v>
      </c>
      <c r="AG82" s="52">
        <f>SUMIFS('Report Pacote 07'!S:S,'Report Pacote 07'!$AY:$AY,$D81,'Report Pacote 07'!$I:$I,'Report Consolidado Semanal'!$W82)</f>
        <v>0</v>
      </c>
      <c r="AH82" s="52">
        <f>SUMIF($AA$7:$AG$7,"&lt;="&amp;$D$4,$AA82:$AG82)</f>
        <v>3</v>
      </c>
      <c r="AI82" s="773"/>
      <c r="AJ82" s="2"/>
      <c r="AK82" s="738"/>
      <c r="AL82" s="738"/>
      <c r="AM82" s="738"/>
      <c r="AN82" s="746"/>
      <c r="AO82" s="700"/>
      <c r="AP82" s="738"/>
      <c r="AQ82" s="738"/>
      <c r="AR82" s="775"/>
      <c r="AS82" s="700"/>
      <c r="AT82" s="738"/>
      <c r="AU82" s="738"/>
      <c r="AV82" s="700"/>
      <c r="AW82" s="765"/>
      <c r="AX82" s="765"/>
      <c r="AY82" s="765"/>
      <c r="AZ82" s="3"/>
    </row>
    <row r="83" spans="1:54" ht="17.25" outlineLevel="1">
      <c r="B83" s="17" t="s">
        <v>34</v>
      </c>
      <c r="C83" s="3"/>
      <c r="D83" s="221"/>
      <c r="E83" s="3"/>
      <c r="G83" s="35"/>
      <c r="H83" s="35"/>
      <c r="I83" s="228"/>
      <c r="J83" s="3"/>
      <c r="K83" s="35"/>
      <c r="L83" s="35"/>
      <c r="M83" s="228"/>
      <c r="O83" s="35"/>
      <c r="P83" s="35"/>
      <c r="Q83" s="228"/>
      <c r="S83" s="35"/>
      <c r="T83" s="35"/>
      <c r="U83" s="228"/>
      <c r="V83" s="3"/>
      <c r="W83" s="35"/>
      <c r="X83" s="35"/>
      <c r="Y83" s="3"/>
      <c r="Z83" s="3"/>
      <c r="AA83" s="35"/>
      <c r="AB83" s="35"/>
      <c r="AC83" s="35"/>
      <c r="AD83" s="35"/>
      <c r="AE83" s="35"/>
      <c r="AF83" s="35"/>
      <c r="AG83" s="35"/>
      <c r="AH83" s="35"/>
      <c r="AI83" s="228"/>
      <c r="AJ83" s="3"/>
      <c r="AK83" s="251"/>
      <c r="AL83" s="251"/>
      <c r="AM83" s="251"/>
      <c r="AN83" s="701"/>
      <c r="AO83" s="702"/>
      <c r="AP83" s="251"/>
      <c r="AQ83" s="251"/>
      <c r="AR83" s="701"/>
      <c r="AS83" s="702"/>
      <c r="AT83" s="251"/>
      <c r="AU83" s="251"/>
      <c r="AV83" s="702"/>
      <c r="AW83" s="641"/>
      <c r="AX83" s="641"/>
      <c r="AY83" s="641"/>
      <c r="AZ83" s="3"/>
    </row>
    <row r="84" spans="1:54" ht="5.0999999999999996" customHeight="1" outlineLevel="1">
      <c r="B84" s="17" t="s">
        <v>34</v>
      </c>
      <c r="C84" s="3"/>
      <c r="D84" s="221"/>
      <c r="E84" s="109"/>
      <c r="G84" s="35"/>
      <c r="H84" s="35"/>
      <c r="I84" s="228"/>
      <c r="J84" s="3"/>
      <c r="K84" s="35"/>
      <c r="L84" s="35"/>
      <c r="M84" s="228"/>
      <c r="O84" s="35"/>
      <c r="P84" s="35"/>
      <c r="Q84" s="228"/>
      <c r="S84" s="35"/>
      <c r="T84" s="35"/>
      <c r="U84" s="228"/>
      <c r="V84" s="3"/>
      <c r="W84" s="35"/>
      <c r="X84" s="35"/>
      <c r="Y84" s="3"/>
      <c r="Z84" s="3"/>
      <c r="AA84" s="35"/>
      <c r="AB84" s="35"/>
      <c r="AC84" s="35"/>
      <c r="AD84" s="35"/>
      <c r="AE84" s="35"/>
      <c r="AF84" s="35"/>
      <c r="AG84" s="35"/>
      <c r="AH84" s="35"/>
      <c r="AI84" s="228"/>
      <c r="AJ84" s="3"/>
      <c r="AK84" s="251"/>
      <c r="AL84" s="251"/>
      <c r="AM84" s="251"/>
      <c r="AN84" s="701"/>
      <c r="AO84" s="702"/>
      <c r="AP84" s="251"/>
      <c r="AQ84" s="251"/>
      <c r="AR84" s="701"/>
      <c r="AS84" s="702"/>
      <c r="AT84" s="251"/>
      <c r="AU84" s="251"/>
      <c r="AV84" s="702"/>
      <c r="AW84" s="641"/>
      <c r="AX84" s="641"/>
      <c r="AY84" s="641"/>
      <c r="AZ84" s="3"/>
    </row>
    <row r="85" spans="1:54" s="21" customFormat="1" ht="14.85" customHeight="1" outlineLevel="1">
      <c r="A85" s="21" t="s">
        <v>61</v>
      </c>
      <c r="B85" s="134" t="s">
        <v>34</v>
      </c>
      <c r="C85" s="3"/>
      <c r="D85" s="774" t="s">
        <v>61</v>
      </c>
      <c r="E85" s="740" t="s">
        <v>62</v>
      </c>
      <c r="F85" s="2"/>
      <c r="G85" s="53" t="s">
        <v>37</v>
      </c>
      <c r="H85" s="52">
        <v>3</v>
      </c>
      <c r="I85" s="677">
        <f>IFERROR((H86/H85),"-")</f>
        <v>0.66666666666666663</v>
      </c>
      <c r="J85" s="2"/>
      <c r="K85" s="53" t="s">
        <v>37</v>
      </c>
      <c r="L85" s="52">
        <v>2</v>
      </c>
      <c r="M85" s="677">
        <f>IFERROR((L86/L85),"-")</f>
        <v>1</v>
      </c>
      <c r="N85" s="2"/>
      <c r="O85" s="53" t="s">
        <v>37</v>
      </c>
      <c r="P85" s="52">
        <v>2</v>
      </c>
      <c r="Q85" s="741">
        <f>IFERROR((P86/P85),"-")</f>
        <v>1</v>
      </c>
      <c r="R85" s="2"/>
      <c r="S85" s="53" t="s">
        <v>37</v>
      </c>
      <c r="T85" s="52">
        <v>1</v>
      </c>
      <c r="U85" s="741">
        <v>1</v>
      </c>
      <c r="V85" s="2"/>
      <c r="W85" s="53" t="s">
        <v>37</v>
      </c>
      <c r="X85" s="52">
        <f>SUMIF($AA$7:$AG$7,"="&amp;$D$4,$AA85:$AG85)</f>
        <v>0</v>
      </c>
      <c r="Y85" s="743" t="str">
        <f>IFERROR((X86/X85),"-")</f>
        <v>-</v>
      </c>
      <c r="Z85" s="2"/>
      <c r="AA85" s="52">
        <f>SUMIFS('Report Pacote 07'!M:M,'Report Pacote 07'!$AY:$AY,$D85,'Report Pacote 07'!$I:$I,'Report Consolidado Semanal'!$W85)</f>
        <v>0</v>
      </c>
      <c r="AB85" s="52">
        <f>SUMIFS('Report Pacote 07'!N:N,'Report Pacote 07'!$AY:$AY,$D85,'Report Pacote 07'!$I:$I,'Report Consolidado Semanal'!$W85)</f>
        <v>0</v>
      </c>
      <c r="AC85" s="52">
        <f>SUMIFS('Report Pacote 07'!O:O,'Report Pacote 07'!$AY:$AY,$D85,'Report Pacote 07'!$I:$I,'Report Consolidado Semanal'!$W85)</f>
        <v>0</v>
      </c>
      <c r="AD85" s="52">
        <f>SUMIFS('Report Pacote 07'!P:P,'Report Pacote 07'!$AY:$AY,$D85,'Report Pacote 07'!$I:$I,'Report Consolidado Semanal'!$W85)</f>
        <v>1</v>
      </c>
      <c r="AE85" s="52">
        <f>SUMIFS('Report Pacote 07'!Q:Q,'Report Pacote 07'!$AY:$AY,$D85,'Report Pacote 07'!$I:$I,'Report Consolidado Semanal'!$W85)</f>
        <v>0</v>
      </c>
      <c r="AF85" s="52">
        <f>SUMIFS('Report Pacote 07'!R:R,'Report Pacote 07'!$AY:$AY,$D85,'Report Pacote 07'!$I:$I,'Report Consolidado Semanal'!$W85)</f>
        <v>1</v>
      </c>
      <c r="AG85" s="52">
        <f>SUMIFS('Report Pacote 07'!S:S,'Report Pacote 07'!$AY:$AY,$D85,'Report Pacote 07'!$I:$I,'Report Consolidado Semanal'!$W85)</f>
        <v>0</v>
      </c>
      <c r="AH85" s="52">
        <f>SUMIF($AA$7:$AG$7,"&lt;="&amp;$D$4,$AA85:$AG85)</f>
        <v>0</v>
      </c>
      <c r="AI85" s="741" t="str">
        <f>IFERROR((AH86/AH85),"-")</f>
        <v>-</v>
      </c>
      <c r="AJ85" s="2"/>
      <c r="AK85" s="737">
        <f>SUMIFS('Report Pacote 07'!Y:Y,'Report Pacote 07'!$AY:$AY,$D85,'Report Pacote 07'!$I:$I,'Report Consolidado Semanal'!$W85)</f>
        <v>8</v>
      </c>
      <c r="AL85" s="737">
        <f>SUMIFS('Report Pacote 07'!Z:Z,'Report Pacote 07'!$AY:$AY,$D85,'Report Pacote 07'!$I:$I,'Report Consolidado Semanal'!$W85)</f>
        <v>2</v>
      </c>
      <c r="AM85" s="737">
        <f>SUMIFS('Report Pacote 07'!AA:AA,'Report Pacote 07'!$AY:$AY,$D85,'Report Pacote 07'!$I:$I,'Report Consolidado Semanal'!$W85)</f>
        <v>2</v>
      </c>
      <c r="AN85" s="745">
        <f>IFERROR((AM85/AL85),"-")</f>
        <v>1</v>
      </c>
      <c r="AO85" s="700"/>
      <c r="AP85" s="737">
        <f>SUMIFS('Report Pacote 07'!AD:AD,'Report Pacote 07'!$AY:$AY,$D85,'Report Pacote 07'!$I:$I,'Report Consolidado Semanal'!$W85)</f>
        <v>44</v>
      </c>
      <c r="AQ85" s="737">
        <f>SUMIFS('Report Pacote 07'!AI:AI,'Report Pacote 07'!$AY:$AY,$D85,'Report Pacote 07'!$I:$I,'Report Consolidado Semanal'!$W85)</f>
        <v>46</v>
      </c>
      <c r="AR85" s="745">
        <f>IFERROR((AP85/AQ85),"-")</f>
        <v>0.95652173913043481</v>
      </c>
      <c r="AS85" s="700"/>
      <c r="AT85" s="737">
        <f>SUMIFS('Report Pacote 07'!AL:AL,'Report Pacote 07'!$AY:$AY,$D85,'Report Pacote 07'!$I:$I,'Report Consolidado Semanal'!$W85)</f>
        <v>66</v>
      </c>
      <c r="AU85" s="737">
        <f>SUMIFS('Report Pacote 07'!AM:AM,'Report Pacote 07'!$AY:$AY,$D85,'Report Pacote 07'!$I:$I,'Report Consolidado Semanal'!$W85)</f>
        <v>22</v>
      </c>
      <c r="AV85" s="700"/>
      <c r="AW85" s="764">
        <f ca="1">ROUNDUP(SUM(AK85/Quadros!$D$4),0)</f>
        <v>1</v>
      </c>
      <c r="AX85" s="764">
        <f ca="1">ROUNDUP(SUM(AL85/Quadros!$D$4),0)</f>
        <v>1</v>
      </c>
      <c r="AY85" s="764">
        <f ca="1">ROUNDUP(IF((AK85-AM85)/(Quadros!$D$4-Quadros!$D$6)&lt;0,"-",(AK85-AM85)/(Quadros!$D$4-Quadros!$D$6)),0)</f>
        <v>1</v>
      </c>
      <c r="AZ85" s="3"/>
    </row>
    <row r="86" spans="1:54" s="16" customFormat="1" ht="14.85" customHeight="1" outlineLevel="1">
      <c r="A86" s="21" t="s">
        <v>61</v>
      </c>
      <c r="B86" s="133" t="s">
        <v>34</v>
      </c>
      <c r="C86" s="3"/>
      <c r="D86" s="774"/>
      <c r="E86" s="740"/>
      <c r="F86" s="2"/>
      <c r="G86" s="54" t="s">
        <v>38</v>
      </c>
      <c r="H86" s="52">
        <v>2</v>
      </c>
      <c r="I86" s="678"/>
      <c r="J86" s="2"/>
      <c r="K86" s="54" t="s">
        <v>38</v>
      </c>
      <c r="L86" s="52">
        <v>2</v>
      </c>
      <c r="M86" s="678"/>
      <c r="N86" s="2"/>
      <c r="O86" s="54" t="s">
        <v>38</v>
      </c>
      <c r="P86" s="52">
        <v>2</v>
      </c>
      <c r="Q86" s="742"/>
      <c r="R86" s="2"/>
      <c r="S86" s="54" t="s">
        <v>38</v>
      </c>
      <c r="T86" s="52">
        <v>1</v>
      </c>
      <c r="U86" s="742"/>
      <c r="V86" s="2"/>
      <c r="W86" s="54" t="s">
        <v>38</v>
      </c>
      <c r="X86" s="52">
        <f>SUMIF($AA$7:$AG$7,"="&amp;$D$4,$AA86:$AG86)</f>
        <v>0</v>
      </c>
      <c r="Y86" s="744"/>
      <c r="Z86" s="2"/>
      <c r="AA86" s="52">
        <f>SUMIFS('Report Pacote 07'!M:M,'Report Pacote 07'!$AY:$AY,$D85,'Report Pacote 07'!$I:$I,'Report Consolidado Semanal'!$W86)</f>
        <v>0</v>
      </c>
      <c r="AB86" s="52">
        <f>SUMIFS('Report Pacote 07'!N:N,'Report Pacote 07'!$AY:$AY,$D85,'Report Pacote 07'!$I:$I,'Report Consolidado Semanal'!$W86)</f>
        <v>0</v>
      </c>
      <c r="AC86" s="52">
        <f>SUMIFS('Report Pacote 07'!O:O,'Report Pacote 07'!$AY:$AY,$D85,'Report Pacote 07'!$I:$I,'Report Consolidado Semanal'!$W86)</f>
        <v>0</v>
      </c>
      <c r="AD86" s="52">
        <f>SUMIFS('Report Pacote 07'!P:P,'Report Pacote 07'!$AY:$AY,$D85,'Report Pacote 07'!$I:$I,'Report Consolidado Semanal'!$W86)</f>
        <v>0</v>
      </c>
      <c r="AE86" s="52">
        <f>SUMIFS('Report Pacote 07'!Q:Q,'Report Pacote 07'!$AY:$AY,$D85,'Report Pacote 07'!$I:$I,'Report Consolidado Semanal'!$W86)</f>
        <v>0</v>
      </c>
      <c r="AF86" s="52">
        <f>SUMIFS('Report Pacote 07'!R:R,'Report Pacote 07'!$AY:$AY,$D85,'Report Pacote 07'!$I:$I,'Report Consolidado Semanal'!$W86)</f>
        <v>0</v>
      </c>
      <c r="AG86" s="52">
        <f>SUMIFS('Report Pacote 07'!S:S,'Report Pacote 07'!$AY:$AY,$D85,'Report Pacote 07'!$I:$I,'Report Consolidado Semanal'!$W86)</f>
        <v>0</v>
      </c>
      <c r="AH86" s="52">
        <f>SUMIF($AA$7:$AG$7,"&lt;="&amp;$D$4,$AA86:$AG86)</f>
        <v>0</v>
      </c>
      <c r="AI86" s="742"/>
      <c r="AJ86" s="2"/>
      <c r="AK86" s="738"/>
      <c r="AL86" s="738"/>
      <c r="AM86" s="738"/>
      <c r="AN86" s="746"/>
      <c r="AO86" s="700"/>
      <c r="AP86" s="738"/>
      <c r="AQ86" s="738"/>
      <c r="AR86" s="775"/>
      <c r="AS86" s="700"/>
      <c r="AT86" s="738"/>
      <c r="AU86" s="738"/>
      <c r="AV86" s="700"/>
      <c r="AW86" s="765"/>
      <c r="AX86" s="765"/>
      <c r="AY86" s="765"/>
      <c r="AZ86" s="3"/>
    </row>
    <row r="87" spans="1:54" ht="17.25" outlineLevel="1">
      <c r="B87" s="17" t="s">
        <v>34</v>
      </c>
      <c r="C87" s="3"/>
      <c r="D87" s="221"/>
      <c r="E87" s="109"/>
      <c r="G87" s="35"/>
      <c r="H87" s="35"/>
      <c r="I87" s="228"/>
      <c r="J87" s="3"/>
      <c r="K87" s="35"/>
      <c r="L87" s="35"/>
      <c r="M87" s="228"/>
      <c r="O87" s="35"/>
      <c r="P87" s="35"/>
      <c r="Q87" s="228"/>
      <c r="S87" s="35"/>
      <c r="T87" s="35"/>
      <c r="U87" s="228"/>
      <c r="V87" s="3"/>
      <c r="W87" s="35"/>
      <c r="X87" s="35"/>
      <c r="Y87" s="3"/>
      <c r="Z87" s="3"/>
      <c r="AA87" s="35"/>
      <c r="AB87" s="35"/>
      <c r="AC87" s="35"/>
      <c r="AD87" s="35"/>
      <c r="AE87" s="35"/>
      <c r="AF87" s="35"/>
      <c r="AG87" s="35"/>
      <c r="AH87" s="35"/>
      <c r="AI87" s="228"/>
      <c r="AJ87" s="3"/>
      <c r="AK87" s="251"/>
      <c r="AL87" s="251"/>
      <c r="AM87" s="251"/>
      <c r="AN87" s="701"/>
      <c r="AO87" s="702"/>
      <c r="AP87" s="251"/>
      <c r="AQ87" s="251"/>
      <c r="AR87" s="701"/>
      <c r="AS87" s="702"/>
      <c r="AT87" s="251"/>
      <c r="AU87" s="251"/>
      <c r="AV87" s="702"/>
      <c r="AW87" s="641"/>
      <c r="AX87" s="641"/>
      <c r="AY87" s="641"/>
      <c r="AZ87" s="3"/>
    </row>
    <row r="88" spans="1:54" ht="5.0999999999999996" customHeight="1" outlineLevel="1">
      <c r="B88" s="17" t="s">
        <v>34</v>
      </c>
      <c r="C88" s="3"/>
      <c r="D88" s="221"/>
      <c r="E88" s="109"/>
      <c r="G88" s="35"/>
      <c r="H88" s="35"/>
      <c r="I88" s="228"/>
      <c r="J88" s="3"/>
      <c r="K88" s="35"/>
      <c r="L88" s="35"/>
      <c r="M88" s="228"/>
      <c r="O88" s="35"/>
      <c r="P88" s="35"/>
      <c r="Q88" s="228"/>
      <c r="S88" s="35"/>
      <c r="T88" s="35"/>
      <c r="U88" s="228"/>
      <c r="V88" s="3"/>
      <c r="W88" s="35"/>
      <c r="X88" s="35"/>
      <c r="Y88" s="3"/>
      <c r="Z88" s="3"/>
      <c r="AA88" s="35"/>
      <c r="AB88" s="35"/>
      <c r="AC88" s="35"/>
      <c r="AD88" s="35"/>
      <c r="AE88" s="35"/>
      <c r="AF88" s="35"/>
      <c r="AG88" s="35"/>
      <c r="AH88" s="35"/>
      <c r="AI88" s="228"/>
      <c r="AJ88" s="3"/>
      <c r="AK88" s="251"/>
      <c r="AL88" s="251"/>
      <c r="AM88" s="251"/>
      <c r="AN88" s="701"/>
      <c r="AO88" s="702"/>
      <c r="AP88" s="251"/>
      <c r="AQ88" s="251"/>
      <c r="AR88" s="701"/>
      <c r="AS88" s="702"/>
      <c r="AT88" s="703"/>
      <c r="AU88" s="703"/>
      <c r="AV88" s="702"/>
      <c r="AW88" s="641"/>
      <c r="AX88" s="641"/>
      <c r="AY88" s="641"/>
      <c r="AZ88" s="3"/>
    </row>
    <row r="89" spans="1:54" s="21" customFormat="1" ht="15" customHeight="1" outlineLevel="1">
      <c r="A89" s="21" t="s">
        <v>63</v>
      </c>
      <c r="B89" s="134" t="s">
        <v>34</v>
      </c>
      <c r="C89" s="3"/>
      <c r="D89" s="774" t="s">
        <v>63</v>
      </c>
      <c r="E89" s="740" t="s">
        <v>62</v>
      </c>
      <c r="F89" s="2"/>
      <c r="G89" s="53" t="s">
        <v>37</v>
      </c>
      <c r="H89" s="52">
        <v>159</v>
      </c>
      <c r="I89" s="677">
        <f>IFERROR((H90/H89),"-")</f>
        <v>1.10062893081761</v>
      </c>
      <c r="J89" s="2"/>
      <c r="K89" s="53" t="s">
        <v>37</v>
      </c>
      <c r="L89" s="52">
        <v>189</v>
      </c>
      <c r="M89" s="677">
        <f>IFERROR((L90/L89),"-")</f>
        <v>0.8571428571428571</v>
      </c>
      <c r="N89" s="2"/>
      <c r="O89" s="53" t="s">
        <v>37</v>
      </c>
      <c r="P89" s="52">
        <v>161</v>
      </c>
      <c r="Q89" s="741">
        <f>IFERROR((P90/P89),"-")</f>
        <v>0.84472049689440998</v>
      </c>
      <c r="R89" s="2"/>
      <c r="S89" s="53" t="s">
        <v>37</v>
      </c>
      <c r="T89" s="52">
        <v>189</v>
      </c>
      <c r="U89" s="741">
        <v>0.79894179894179895</v>
      </c>
      <c r="V89" s="2"/>
      <c r="W89" s="53" t="s">
        <v>37</v>
      </c>
      <c r="X89" s="52">
        <f>SUMIF($AA$7:$AG$7,"="&amp;$D$4,$AA89:$AG89)</f>
        <v>23</v>
      </c>
      <c r="Y89" s="743">
        <f>IFERROR((X90/X89),"-")</f>
        <v>1</v>
      </c>
      <c r="Z89" s="2"/>
      <c r="AA89" s="52">
        <f>SUMIFS('Report Pacote 07'!M:M,'Report Pacote 07'!$AY:$AY,$D89,'Report Pacote 07'!$I:$I,'Report Consolidado Semanal'!$W89)</f>
        <v>40</v>
      </c>
      <c r="AB89" s="52">
        <f>SUMIFS('Report Pacote 07'!N:N,'Report Pacote 07'!$AY:$AY,$D89,'Report Pacote 07'!$I:$I,'Report Consolidado Semanal'!$W89)</f>
        <v>23</v>
      </c>
      <c r="AC89" s="52">
        <f>SUMIFS('Report Pacote 07'!O:O,'Report Pacote 07'!$AY:$AY,$D89,'Report Pacote 07'!$I:$I,'Report Consolidado Semanal'!$W89)</f>
        <v>40</v>
      </c>
      <c r="AD89" s="52">
        <f>SUMIFS('Report Pacote 07'!P:P,'Report Pacote 07'!$AY:$AY,$D89,'Report Pacote 07'!$I:$I,'Report Consolidado Semanal'!$W89)</f>
        <v>23</v>
      </c>
      <c r="AE89" s="52">
        <f>SUMIFS('Report Pacote 07'!Q:Q,'Report Pacote 07'!$AY:$AY,$D89,'Report Pacote 07'!$I:$I,'Report Consolidado Semanal'!$W89)</f>
        <v>40</v>
      </c>
      <c r="AF89" s="52">
        <f>SUMIFS('Report Pacote 07'!R:R,'Report Pacote 07'!$AY:$AY,$D89,'Report Pacote 07'!$I:$I,'Report Consolidado Semanal'!$W89)</f>
        <v>23</v>
      </c>
      <c r="AG89" s="52">
        <f>SUMIFS('Report Pacote 07'!S:S,'Report Pacote 07'!$AY:$AY,$D89,'Report Pacote 07'!$I:$I,'Report Consolidado Semanal'!$W89)</f>
        <v>0</v>
      </c>
      <c r="AH89" s="52">
        <f>SUMIF($AA$7:$AG$7,"&lt;="&amp;$D$4,$AA89:$AG89)</f>
        <v>63</v>
      </c>
      <c r="AI89" s="741">
        <f>IFERROR((AH90/AH89),"-")</f>
        <v>1</v>
      </c>
      <c r="AJ89" s="2"/>
      <c r="AK89" s="737">
        <f>SUMIFS('Report Pacote 07'!Y:Y,'Report Pacote 07'!$AY:$AY,$D89,'Report Pacote 07'!$I:$I,'Report Consolidado Semanal'!$W89)</f>
        <v>552</v>
      </c>
      <c r="AL89" s="737">
        <f>SUMIFS('Report Pacote 07'!Z:Z,'Report Pacote 07'!$AY:$AY,$D89,'Report Pacote 07'!$I:$I,'Report Consolidado Semanal'!$W89)</f>
        <v>276</v>
      </c>
      <c r="AM89" s="737">
        <f>SUMIFS('Report Pacote 07'!AA:AA,'Report Pacote 07'!$AY:$AY,$D89,'Report Pacote 07'!$I:$I,'Report Consolidado Semanal'!$W89)</f>
        <v>344</v>
      </c>
      <c r="AN89" s="745">
        <f>IFERROR((AM89/AL89),"-")</f>
        <v>1.2463768115942029</v>
      </c>
      <c r="AO89" s="700"/>
      <c r="AP89" s="737">
        <f>SUMIFS('Report Pacote 07'!AD:AD,'Report Pacote 07'!$AY:$AY,$D89,'Report Pacote 07'!$I:$I,'Report Consolidado Semanal'!$W89)</f>
        <v>1273</v>
      </c>
      <c r="AQ89" s="737">
        <f>SUMIFS('Report Pacote 07'!AI:AI,'Report Pacote 07'!$AY:$AY,$D89,'Report Pacote 07'!$I:$I,'Report Consolidado Semanal'!$W89)</f>
        <v>2760</v>
      </c>
      <c r="AR89" s="745">
        <f>IFERROR((AP89/AQ89),"-")</f>
        <v>0.461231884057971</v>
      </c>
      <c r="AS89" s="700"/>
      <c r="AT89" s="737">
        <f>SUMIFS('Report Pacote 07'!AL:AL,'Report Pacote 07'!$AY:$AY,$D89,'Report Pacote 07'!$I:$I,'Report Consolidado Semanal'!$W89)</f>
        <v>5116</v>
      </c>
      <c r="AU89" s="737">
        <f>SUMIFS('Report Pacote 07'!AM:AM,'Report Pacote 07'!$AY:$AY,$D89,'Report Pacote 07'!$I:$I,'Report Consolidado Semanal'!$W89)</f>
        <v>3843</v>
      </c>
      <c r="AV89" s="700"/>
      <c r="AW89" s="764">
        <f ca="1">ROUNDUP(SUM(AK89/Quadros!$D$4),0)</f>
        <v>21</v>
      </c>
      <c r="AX89" s="764">
        <f ca="1">ROUNDUP(SUM(AL89/Quadros!$D$4),0)</f>
        <v>11</v>
      </c>
      <c r="AY89" s="764">
        <f ca="1">ROUNDUP(IF((AK89-AM89)/(Quadros!$D$4-Quadros!$D$6)&lt;0,"-",(AK89-AM89)/(Quadros!$D$4-Quadros!$D$6)),0)</f>
        <v>14</v>
      </c>
      <c r="AZ89" s="3"/>
    </row>
    <row r="90" spans="1:54" s="16" customFormat="1" ht="14.85" customHeight="1" outlineLevel="1">
      <c r="A90" s="21" t="s">
        <v>63</v>
      </c>
      <c r="B90" s="133" t="s">
        <v>34</v>
      </c>
      <c r="C90" s="3"/>
      <c r="D90" s="774"/>
      <c r="E90" s="740"/>
      <c r="F90" s="2"/>
      <c r="G90" s="54" t="s">
        <v>38</v>
      </c>
      <c r="H90" s="52">
        <v>175</v>
      </c>
      <c r="I90" s="678"/>
      <c r="J90" s="2"/>
      <c r="K90" s="54" t="s">
        <v>38</v>
      </c>
      <c r="L90" s="52">
        <v>162</v>
      </c>
      <c r="M90" s="678"/>
      <c r="N90" s="2"/>
      <c r="O90" s="54" t="s">
        <v>38</v>
      </c>
      <c r="P90" s="52">
        <v>136</v>
      </c>
      <c r="Q90" s="742"/>
      <c r="R90" s="2"/>
      <c r="S90" s="54" t="s">
        <v>38</v>
      </c>
      <c r="T90" s="52">
        <v>151</v>
      </c>
      <c r="U90" s="742"/>
      <c r="V90" s="2"/>
      <c r="W90" s="54" t="s">
        <v>38</v>
      </c>
      <c r="X90" s="52">
        <f>SUMIF($AA$7:$AG$7,"="&amp;$D$4,$AA90:$AG90)</f>
        <v>23</v>
      </c>
      <c r="Y90" s="744"/>
      <c r="Z90" s="2"/>
      <c r="AA90" s="52">
        <f>SUMIFS('Report Pacote 07'!M:M,'Report Pacote 07'!$AY:$AY,$D89,'Report Pacote 07'!$I:$I,'Report Consolidado Semanal'!$W90)</f>
        <v>40</v>
      </c>
      <c r="AB90" s="52">
        <f>SUMIFS('Report Pacote 07'!N:N,'Report Pacote 07'!$AY:$AY,$D89,'Report Pacote 07'!$I:$I,'Report Consolidado Semanal'!$W90)</f>
        <v>23</v>
      </c>
      <c r="AC90" s="52">
        <f>SUMIFS('Report Pacote 07'!O:O,'Report Pacote 07'!$AY:$AY,$D89,'Report Pacote 07'!$I:$I,'Report Consolidado Semanal'!$W90)</f>
        <v>0</v>
      </c>
      <c r="AD90" s="52">
        <f>SUMIFS('Report Pacote 07'!P:P,'Report Pacote 07'!$AY:$AY,$D89,'Report Pacote 07'!$I:$I,'Report Consolidado Semanal'!$W90)</f>
        <v>0</v>
      </c>
      <c r="AE90" s="52">
        <f>SUMIFS('Report Pacote 07'!Q:Q,'Report Pacote 07'!$AY:$AY,$D89,'Report Pacote 07'!$I:$I,'Report Consolidado Semanal'!$W90)</f>
        <v>0</v>
      </c>
      <c r="AF90" s="52">
        <f>SUMIFS('Report Pacote 07'!R:R,'Report Pacote 07'!$AY:$AY,$D89,'Report Pacote 07'!$I:$I,'Report Consolidado Semanal'!$W90)</f>
        <v>0</v>
      </c>
      <c r="AG90" s="52">
        <f>SUMIFS('Report Pacote 07'!S:S,'Report Pacote 07'!$AY:$AY,$D89,'Report Pacote 07'!$I:$I,'Report Consolidado Semanal'!$W90)</f>
        <v>0</v>
      </c>
      <c r="AH90" s="52">
        <f>SUMIF($AA$7:$AG$7,"&lt;="&amp;$D$4,$AA90:$AG90)</f>
        <v>63</v>
      </c>
      <c r="AI90" s="742"/>
      <c r="AJ90" s="2"/>
      <c r="AK90" s="738"/>
      <c r="AL90" s="738"/>
      <c r="AM90" s="738"/>
      <c r="AN90" s="746"/>
      <c r="AO90" s="700"/>
      <c r="AP90" s="738"/>
      <c r="AQ90" s="738"/>
      <c r="AR90" s="746"/>
      <c r="AS90" s="700"/>
      <c r="AT90" s="738"/>
      <c r="AU90" s="738"/>
      <c r="AV90" s="700"/>
      <c r="AW90" s="765"/>
      <c r="AX90" s="765"/>
      <c r="AY90" s="765"/>
      <c r="AZ90" s="3"/>
    </row>
    <row r="91" spans="1:54">
      <c r="C91" s="3"/>
      <c r="D91" s="3"/>
      <c r="E91" s="3"/>
      <c r="G91" s="35"/>
      <c r="H91" s="35"/>
      <c r="I91" s="228"/>
      <c r="J91" s="3"/>
      <c r="K91" s="35"/>
      <c r="L91" s="35"/>
      <c r="M91" s="228"/>
      <c r="O91" s="35"/>
      <c r="P91" s="35"/>
      <c r="Q91" s="228"/>
      <c r="S91" s="35"/>
      <c r="T91" s="35"/>
      <c r="U91" s="228"/>
      <c r="V91" s="3"/>
      <c r="W91" s="35"/>
      <c r="X91" s="35"/>
      <c r="Y91" s="3"/>
      <c r="Z91" s="3"/>
      <c r="AA91" s="35"/>
      <c r="AB91" s="35"/>
      <c r="AC91" s="35"/>
      <c r="AD91" s="35"/>
      <c r="AE91" s="35"/>
      <c r="AF91" s="35"/>
      <c r="AG91" s="35"/>
      <c r="AH91" s="35"/>
      <c r="AI91" s="228"/>
      <c r="AJ91" s="3"/>
      <c r="AK91" s="35"/>
      <c r="AL91" s="35"/>
      <c r="AM91" s="35"/>
      <c r="AN91" s="228"/>
      <c r="AO91" s="3"/>
      <c r="AP91" s="36"/>
      <c r="AQ91" s="36"/>
      <c r="AR91" s="228"/>
      <c r="AS91" s="3"/>
      <c r="AT91" s="36"/>
      <c r="AU91" s="36"/>
      <c r="AV91" s="3"/>
      <c r="AW91" s="3"/>
      <c r="AX91" s="3"/>
      <c r="AY91" s="3"/>
      <c r="AZ91" s="3"/>
    </row>
    <row r="93" spans="1:54" s="44" customFormat="1" ht="15.75" hidden="1" outlineLevel="1">
      <c r="B93" s="133"/>
      <c r="C93" s="3"/>
      <c r="D93" s="759" t="s">
        <v>64</v>
      </c>
      <c r="E93" s="761" t="s">
        <v>52</v>
      </c>
      <c r="F93" s="40"/>
      <c r="G93" s="41" t="s">
        <v>37</v>
      </c>
      <c r="H93" s="43"/>
      <c r="I93" s="757" t="str">
        <f>IFERROR((H94/H93),"-")</f>
        <v>-</v>
      </c>
      <c r="J93" s="40"/>
      <c r="K93" s="41" t="s">
        <v>37</v>
      </c>
      <c r="L93" s="43"/>
      <c r="M93" s="757" t="str">
        <f>IFERROR((L94/L93),"-")</f>
        <v>-</v>
      </c>
      <c r="N93" s="40"/>
      <c r="O93" s="41" t="s">
        <v>37</v>
      </c>
      <c r="P93" s="43">
        <f>P97+P101+P105+P109</f>
        <v>0</v>
      </c>
      <c r="Q93" s="757" t="str">
        <f>IFERROR((P94/P93),"-")</f>
        <v>-</v>
      </c>
      <c r="R93" s="40"/>
      <c r="S93" s="41" t="s">
        <v>37</v>
      </c>
      <c r="T93" s="43"/>
      <c r="U93" s="757" t="str">
        <f>IFERROR((T94/T93),"-")</f>
        <v>-</v>
      </c>
      <c r="V93" s="40"/>
      <c r="W93" s="41" t="s">
        <v>37</v>
      </c>
      <c r="X93" s="43">
        <f>X97+X101+X105+X109</f>
        <v>140</v>
      </c>
      <c r="Y93" s="762">
        <f>IFERROR((X94/X93),"-")</f>
        <v>2.7857142857142856</v>
      </c>
      <c r="Z93" s="40"/>
      <c r="AA93" s="71">
        <f t="shared" ref="AA93:AG93" si="5">AA97+AA101+AA105+AA109</f>
        <v>140</v>
      </c>
      <c r="AB93" s="591">
        <f t="shared" si="5"/>
        <v>140</v>
      </c>
      <c r="AC93" s="71">
        <f t="shared" si="5"/>
        <v>140</v>
      </c>
      <c r="AD93" s="71">
        <f t="shared" si="5"/>
        <v>280</v>
      </c>
      <c r="AE93" s="71">
        <f t="shared" si="5"/>
        <v>240</v>
      </c>
      <c r="AF93" s="71">
        <f t="shared" si="5"/>
        <v>240</v>
      </c>
      <c r="AG93" s="591">
        <f t="shared" si="5"/>
        <v>0</v>
      </c>
      <c r="AH93" s="43">
        <f>SUMIF($AA$7:$AG$7,"&lt;="&amp;$D$4,$AA93:$AG93)</f>
        <v>280</v>
      </c>
      <c r="AI93" s="757">
        <f>IFERROR((AH94/AH93),"-")</f>
        <v>2.4107142857142856</v>
      </c>
      <c r="AJ93" s="40"/>
      <c r="AK93" s="755">
        <f>AK97+AK101+AK105+AK109</f>
        <v>3359</v>
      </c>
      <c r="AL93" s="755">
        <f>AL97+AL101+AL105+AL109</f>
        <v>1200</v>
      </c>
      <c r="AM93" s="755">
        <f>AM97+AM101+AM105+AM109</f>
        <v>621</v>
      </c>
      <c r="AN93" s="757">
        <f>IFERROR((AM93/AL93),"-")</f>
        <v>0.51749999999999996</v>
      </c>
      <c r="AO93" s="40"/>
      <c r="AP93" s="755">
        <f ca="1">AP97+AP101+AP105+AP109</f>
        <v>9400.1999999999989</v>
      </c>
      <c r="AQ93" s="755">
        <f>AQ97+AQ101+AQ105+AQ109</f>
        <v>10388.25</v>
      </c>
      <c r="AR93" s="757">
        <f ca="1">IFERROR((AP93/AQ93),"-")</f>
        <v>0.9048877337376362</v>
      </c>
      <c r="AS93" s="40"/>
      <c r="AT93" s="755">
        <f>AT97+AT101+AT105+AT109</f>
        <v>38071</v>
      </c>
      <c r="AU93" s="755">
        <f ca="1">AU97+AU101+AU105+AU109</f>
        <v>28670.800000000003</v>
      </c>
      <c r="AV93" s="40"/>
      <c r="AW93" s="753">
        <f ca="1">AW97+AW101+AW105+AW109</f>
        <v>124.4074074074074</v>
      </c>
      <c r="AX93" s="753">
        <f>AX97+AX101+AX105+AX109</f>
        <v>51.75</v>
      </c>
      <c r="AY93" s="753">
        <f ca="1">IF((AK93-AM93)/(Quadros!$D$4-Quadros!$D$6)&lt;0,"-",(AK93-AM93)/(Quadros!$D$4-Quadros!$D$6))</f>
        <v>182.53333333333333</v>
      </c>
      <c r="AZ93" s="40"/>
      <c r="BB93"/>
    </row>
    <row r="94" spans="1:54" s="44" customFormat="1" ht="15.75" hidden="1" outlineLevel="1">
      <c r="B94" s="133" t="s">
        <v>34</v>
      </c>
      <c r="C94" s="3"/>
      <c r="D94" s="760"/>
      <c r="E94" s="761"/>
      <c r="F94" s="40"/>
      <c r="G94" s="45" t="s">
        <v>38</v>
      </c>
      <c r="H94" s="43"/>
      <c r="I94" s="758"/>
      <c r="J94" s="40"/>
      <c r="K94" s="45" t="s">
        <v>38</v>
      </c>
      <c r="L94" s="43"/>
      <c r="M94" s="758"/>
      <c r="N94" s="40"/>
      <c r="O94" s="45" t="s">
        <v>38</v>
      </c>
      <c r="P94" s="43">
        <f>P98+P102+P106+P110</f>
        <v>0</v>
      </c>
      <c r="Q94" s="758"/>
      <c r="R94" s="40"/>
      <c r="S94" s="45" t="s">
        <v>38</v>
      </c>
      <c r="T94" s="43"/>
      <c r="U94" s="758"/>
      <c r="V94" s="40"/>
      <c r="W94" s="45" t="s">
        <v>38</v>
      </c>
      <c r="X94" s="43">
        <f>X98+X102+X106+X110</f>
        <v>390</v>
      </c>
      <c r="Y94" s="763"/>
      <c r="Z94" s="40"/>
      <c r="AA94" s="71">
        <f t="shared" ref="AA94:AG94" si="6">AA98+AA102+AA106+AA110</f>
        <v>285</v>
      </c>
      <c r="AB94" s="71">
        <f t="shared" si="6"/>
        <v>390</v>
      </c>
      <c r="AC94" s="71">
        <f t="shared" si="6"/>
        <v>0</v>
      </c>
      <c r="AD94" s="71">
        <f t="shared" si="6"/>
        <v>0</v>
      </c>
      <c r="AE94" s="71">
        <f t="shared" si="6"/>
        <v>0</v>
      </c>
      <c r="AF94" s="71">
        <f t="shared" si="6"/>
        <v>0</v>
      </c>
      <c r="AG94" s="71">
        <f t="shared" si="6"/>
        <v>0</v>
      </c>
      <c r="AH94" s="43">
        <f>SUMIF($AA$7:$AG$7,"&lt;="&amp;$D$4,$AA94:$AG94)</f>
        <v>675</v>
      </c>
      <c r="AI94" s="758"/>
      <c r="AJ94" s="40"/>
      <c r="AK94" s="756"/>
      <c r="AL94" s="756"/>
      <c r="AM94" s="756"/>
      <c r="AN94" s="758"/>
      <c r="AO94" s="40"/>
      <c r="AP94" s="756"/>
      <c r="AQ94" s="756"/>
      <c r="AR94" s="758"/>
      <c r="AS94" s="40"/>
      <c r="AT94" s="756"/>
      <c r="AU94" s="756"/>
      <c r="AV94" s="40"/>
      <c r="AW94" s="754"/>
      <c r="AX94" s="754"/>
      <c r="AY94" s="754"/>
      <c r="AZ94" s="40"/>
      <c r="BB94"/>
    </row>
    <row r="95" spans="1:54" ht="3.6" hidden="1" customHeight="1" outlineLevel="1">
      <c r="B95" s="17" t="s">
        <v>34</v>
      </c>
      <c r="C95" s="3"/>
      <c r="D95" s="3"/>
      <c r="G95" s="35"/>
      <c r="H95" s="37"/>
      <c r="I95" s="228"/>
      <c r="J95" s="3"/>
      <c r="K95" s="35"/>
      <c r="L95" s="37"/>
      <c r="M95" s="228"/>
      <c r="O95" s="35"/>
      <c r="P95" s="37"/>
      <c r="Q95" s="228"/>
      <c r="S95" s="35"/>
      <c r="T95" s="37"/>
      <c r="U95" s="228"/>
      <c r="V95" s="3"/>
      <c r="W95" s="35"/>
      <c r="X95" s="35"/>
      <c r="Y95" s="3"/>
      <c r="Z95" s="3"/>
      <c r="AA95" s="37"/>
      <c r="AB95" s="37"/>
      <c r="AC95" s="37"/>
      <c r="AD95" s="37"/>
      <c r="AE95" s="37"/>
      <c r="AF95" s="37"/>
      <c r="AG95" s="37"/>
      <c r="AH95" s="37"/>
      <c r="AI95" s="228"/>
      <c r="AJ95" s="3"/>
      <c r="AK95" s="249"/>
      <c r="AL95" s="249"/>
      <c r="AM95" s="249"/>
      <c r="AN95" s="228"/>
      <c r="AO95" s="3"/>
      <c r="AP95" s="249"/>
      <c r="AQ95" s="249"/>
      <c r="AR95" s="228"/>
      <c r="AS95" s="3"/>
      <c r="AT95" s="250"/>
      <c r="AU95" s="250"/>
      <c r="AV95" s="3"/>
      <c r="AW95" s="251"/>
      <c r="AX95" s="251"/>
      <c r="AY95" s="251"/>
      <c r="AZ95" s="40"/>
    </row>
    <row r="96" spans="1:54" ht="5.0999999999999996" hidden="1" customHeight="1" outlineLevel="1">
      <c r="B96" s="17" t="s">
        <v>34</v>
      </c>
      <c r="C96" s="3"/>
      <c r="D96" s="3"/>
      <c r="E96" s="3"/>
      <c r="G96" s="35"/>
      <c r="H96" s="37"/>
      <c r="I96" s="228"/>
      <c r="J96" s="3"/>
      <c r="K96" s="35"/>
      <c r="L96" s="37"/>
      <c r="M96" s="228"/>
      <c r="O96" s="35"/>
      <c r="P96" s="37"/>
      <c r="Q96" s="228"/>
      <c r="S96" s="35"/>
      <c r="T96" s="37"/>
      <c r="U96" s="228"/>
      <c r="V96" s="3"/>
      <c r="W96" s="35"/>
      <c r="X96" s="35"/>
      <c r="Y96" s="3"/>
      <c r="Z96" s="3"/>
      <c r="AA96" s="37"/>
      <c r="AB96" s="37"/>
      <c r="AC96" s="37"/>
      <c r="AD96" s="37"/>
      <c r="AE96" s="37"/>
      <c r="AF96" s="37"/>
      <c r="AG96" s="37"/>
      <c r="AH96" s="37"/>
      <c r="AI96" s="228"/>
      <c r="AJ96" s="3"/>
      <c r="AK96" s="249"/>
      <c r="AL96" s="249"/>
      <c r="AM96" s="249"/>
      <c r="AN96" s="228"/>
      <c r="AO96" s="3"/>
      <c r="AP96" s="249"/>
      <c r="AQ96" s="249"/>
      <c r="AR96" s="228"/>
      <c r="AS96" s="3"/>
      <c r="AT96" s="250"/>
      <c r="AU96" s="250"/>
      <c r="AV96" s="3"/>
      <c r="AW96" s="251"/>
      <c r="AX96" s="251"/>
      <c r="AY96" s="251"/>
      <c r="AZ96" s="40"/>
    </row>
    <row r="97" spans="1:54" s="21" customFormat="1" ht="15.75" hidden="1" customHeight="1" outlineLevel="1">
      <c r="A97" s="21" t="s">
        <v>39</v>
      </c>
      <c r="B97" s="134" t="s">
        <v>34</v>
      </c>
      <c r="C97" s="3"/>
      <c r="D97" s="739" t="s">
        <v>40</v>
      </c>
      <c r="E97" s="740" t="s">
        <v>52</v>
      </c>
      <c r="F97" s="2"/>
      <c r="G97" s="53" t="s">
        <v>37</v>
      </c>
      <c r="H97" s="52"/>
      <c r="I97" s="741" t="str">
        <f>IFERROR((H98/H97),"-")</f>
        <v>-</v>
      </c>
      <c r="J97" s="2"/>
      <c r="K97" s="53" t="s">
        <v>37</v>
      </c>
      <c r="L97" s="52"/>
      <c r="M97" s="741" t="str">
        <f>IFERROR((L98/L97),"-")</f>
        <v>-</v>
      </c>
      <c r="N97" s="2"/>
      <c r="O97" s="53" t="s">
        <v>37</v>
      </c>
      <c r="P97" s="52"/>
      <c r="Q97" s="741" t="str">
        <f>IFERROR((P98/P97),"-")</f>
        <v>-</v>
      </c>
      <c r="R97" s="2"/>
      <c r="S97" s="53" t="s">
        <v>37</v>
      </c>
      <c r="T97" s="52"/>
      <c r="U97" s="741" t="str">
        <f>IFERROR((T98/T97),"-")</f>
        <v>-</v>
      </c>
      <c r="V97" s="2"/>
      <c r="W97" s="53" t="s">
        <v>37</v>
      </c>
      <c r="X97" s="52">
        <f>SUMIF($AA$7:$AG$7,"="&amp;$D$4,$AA97:$AG97)</f>
        <v>140</v>
      </c>
      <c r="Y97" s="743">
        <f>IFERROR((X98/X97),"-")</f>
        <v>2.7857142857142856</v>
      </c>
      <c r="Z97" s="2"/>
      <c r="AA97" s="52">
        <f>SUMIFS('Report Pacote 0405'!P:P,'Report Pacote 0405'!$AV:$AV,$D$93,'Report Pacote 0405'!$AW:$AW,$A$97,'Report Pacote 0405'!$H:$H,$W97)+SUMIFS('Report Pacote 0405'!P:P,'Report Pacote 0405'!$AV:$AV,$D$93,'Report Pacote 0405'!$AW:$AW,$A$98,'Report Pacote 0405'!$H:$H,$W97)</f>
        <v>140</v>
      </c>
      <c r="AB97" s="52">
        <f>SUMIFS('Report Pacote 0405'!Q:Q,'Report Pacote 0405'!$AV:$AV,$D$93,'Report Pacote 0405'!$AW:$AW,$A$97,'Report Pacote 0405'!$H:$H,$W97)+SUMIFS('Report Pacote 0405'!Q:Q,'Report Pacote 0405'!$AV:$AV,$D$93,'Report Pacote 0405'!$AW:$AW,$A$98,'Report Pacote 0405'!$H:$H,$W97)</f>
        <v>140</v>
      </c>
      <c r="AC97" s="52">
        <f>SUMIFS('Report Pacote 0405'!R:R,'Report Pacote 0405'!$AV:$AV,$D$93,'Report Pacote 0405'!$AW:$AW,$A$97,'Report Pacote 0405'!$H:$H,$W97)+SUMIFS('Report Pacote 0405'!R:R,'Report Pacote 0405'!$AV:$AV,$D$93,'Report Pacote 0405'!$AW:$AW,$A$98,'Report Pacote 0405'!$H:$H,$W97)</f>
        <v>140</v>
      </c>
      <c r="AD97" s="52">
        <f>SUMIFS('Report Pacote 0405'!S:S,'Report Pacote 0405'!$AV:$AV,$D$93,'Report Pacote 0405'!$AW:$AW,$A$97,'Report Pacote 0405'!$H:$H,$W97)+SUMIFS('Report Pacote 0405'!S:S,'Report Pacote 0405'!$AV:$AV,$D$93,'Report Pacote 0405'!$AW:$AW,$A$98,'Report Pacote 0405'!$H:$H,$W97)</f>
        <v>280</v>
      </c>
      <c r="AE97" s="52">
        <f>SUMIFS('Report Pacote 0405'!T:T,'Report Pacote 0405'!$AV:$AV,$D$93,'Report Pacote 0405'!$AW:$AW,$A$97,'Report Pacote 0405'!$H:$H,$W97)+SUMIFS('Report Pacote 0405'!T:T,'Report Pacote 0405'!$AV:$AV,$D$93,'Report Pacote 0405'!$AW:$AW,$A$98,'Report Pacote 0405'!$H:$H,$W97)</f>
        <v>240</v>
      </c>
      <c r="AF97" s="52">
        <f>SUMIFS('Report Pacote 0405'!U:U,'Report Pacote 0405'!$AV:$AV,$D$93,'Report Pacote 0405'!$AW:$AW,$A$97,'Report Pacote 0405'!$H:$H,$W97)+SUMIFS('Report Pacote 0405'!U:U,'Report Pacote 0405'!$AV:$AV,$D$93,'Report Pacote 0405'!$AW:$AW,$A$98,'Report Pacote 0405'!$H:$H,$W97)</f>
        <v>240</v>
      </c>
      <c r="AG97" s="52">
        <f>SUMIFS('Report Pacote 0405'!V:V,'Report Pacote 0405'!$AV:$AV,$D$93,'Report Pacote 0405'!$AW:$AW,$A$97,'Report Pacote 0405'!$H:$H,$W97)+SUMIFS('Report Pacote 0405'!V:V,'Report Pacote 0405'!$AV:$AV,$D$93,'Report Pacote 0405'!$AW:$AW,$A$98,'Report Pacote 0405'!$H:$H,$W97)</f>
        <v>0</v>
      </c>
      <c r="AH97" s="52">
        <f>SUMIF($AA$7:$AG$7,"&lt;="&amp;$D$4,$AA97:$AG97)</f>
        <v>280</v>
      </c>
      <c r="AI97" s="741">
        <f>IFERROR((AH98/AH97),"-")</f>
        <v>2.4107142857142856</v>
      </c>
      <c r="AJ97" s="2"/>
      <c r="AK97" s="737">
        <f>SUMIFS('Report Pacote 0405'!AA:AA,'Report Pacote 0405'!$AV:$AV,$D$93,'Report Pacote 0405'!$AW:$AW,$A$97,'Report Pacote 0405'!$H:$H,$W97)+SUMIFS('Report Pacote 0405'!AA:AA,'Report Pacote 0405'!$AV:$AV,$D$93,'Report Pacote 0405'!$AW:$AW,$A$98,'Report Pacote 0405'!$H:$H,$W97)</f>
        <v>3359</v>
      </c>
      <c r="AL97" s="737">
        <f>SUMIFS('Report Pacote 0405'!AB:AB,'Report Pacote 0405'!$AV:$AV,$D$93,'Report Pacote 0405'!$AW:$AW,$A$97,'Report Pacote 0405'!$H:$H,$W97)+SUMIFS('Report Pacote 0405'!AB:AB,'Report Pacote 0405'!$AV:$AV,$D$93,'Report Pacote 0405'!$AW:$AW,$A$98,'Report Pacote 0405'!$H:$H,$W97)</f>
        <v>1200</v>
      </c>
      <c r="AM97" s="737">
        <f>SUMIFS('Report Pacote 0405'!AC:AC,'Report Pacote 0405'!$AV:$AV,$D$93,'Report Pacote 0405'!$AW:$AW,$A$97,'Report Pacote 0405'!$H:$H,$W97)+SUMIFS('Report Pacote 0405'!AC:AC,'Report Pacote 0405'!$AV:$AV,$D$93,'Report Pacote 0405'!$AW:$AW,$A$98,'Report Pacote 0405'!$H:$H,$W97)</f>
        <v>621</v>
      </c>
      <c r="AN97" s="745">
        <f>IFERROR((AM97/AL97),"-")</f>
        <v>0.51749999999999996</v>
      </c>
      <c r="AO97" s="700"/>
      <c r="AP97" s="737">
        <f>SUMIFS('Report Pacote 0405'!AK:AK,'Report Pacote 0405'!$AV:$AV,$D$93,'Report Pacote 0405'!$AW:$AW,$A$98,'Report Pacote 0405'!$H:$H,$W97)+SUMIFS('Report Pacote 0405'!AK:AK,'Report Pacote 0405'!$AV:$AV,$D$93,'Report Pacote 0405'!$AW:$AW,$A$97,'Report Pacote 0405'!$H:$H,$W97)</f>
        <v>5680.98</v>
      </c>
      <c r="AQ97" s="737">
        <f>SUMIFS('Report Pacote 0405'!AL:AL,'Report Pacote 0405'!$AV:$AV,$D$93,'Report Pacote 0405'!$AW:$AW,$A$97,'Report Pacote 0405'!$H:$H,$W97)+SUMIFS('Report Pacote 0405'!AL:AL,'Report Pacote 0405'!$AV:$AV,$D$93,'Report Pacote 0405'!$AW:$AW,$A$98,'Report Pacote 0405'!$H:$H,$W97)</f>
        <v>6119.25</v>
      </c>
      <c r="AR97" s="745">
        <f>IFERROR((AP97/AQ97),"-")</f>
        <v>0.92837847775462667</v>
      </c>
      <c r="AS97" s="700"/>
      <c r="AT97" s="737">
        <f>SUMIFS('Report Pacote 0405'!AO:AO,'Report Pacote 0405'!$AV:$AV,$D$93,'Report Pacote 0405'!$AW:$AW,$A$97,'Report Pacote 0405'!$H:$H,$W97)+SUMIFS('Report Pacote 0405'!AO:AO,'Report Pacote 0405'!$AV:$AV,$D$93,'Report Pacote 0405'!$AW:$AW,$A$98,'Report Pacote 0405'!$H:$H,$W97)</f>
        <v>24428</v>
      </c>
      <c r="AU97" s="737">
        <f>SUMIFS('Report Pacote 0405'!AP:AP,'Report Pacote 0405'!$AV:$AV,$D$93,'Report Pacote 0405'!$AW:$AW,$A$97,'Report Pacote 0405'!$H:$H,$W97)+SUMIFS('Report Pacote 0405'!AP:AP,'Report Pacote 0405'!$AV:$AV,$D$93,'Report Pacote 0405'!$AW:$AW,$A$98,'Report Pacote 0405'!$H:$H,$W97)</f>
        <v>18747.02</v>
      </c>
      <c r="AV97" s="700"/>
      <c r="AW97" s="737">
        <f ca="1">AK97/Quadros!$D$4</f>
        <v>124.4074074074074</v>
      </c>
      <c r="AX97" s="737">
        <f>AM97/Quadros!$D$6</f>
        <v>51.75</v>
      </c>
      <c r="AY97" s="737">
        <f ca="1">IF((AK97-AM97)/(Quadros!$D$4-Quadros!$D$6)&lt;0,"-",(AK97-AM97)/(Quadros!$D$4-Quadros!$D$6))</f>
        <v>182.53333333333333</v>
      </c>
      <c r="AZ97" s="40"/>
      <c r="BB97"/>
    </row>
    <row r="98" spans="1:54" s="16" customFormat="1" ht="15.75" hidden="1" customHeight="1" outlineLevel="1">
      <c r="A98" s="21" t="s">
        <v>41</v>
      </c>
      <c r="B98" s="133" t="s">
        <v>34</v>
      </c>
      <c r="C98" s="3"/>
      <c r="D98" s="739"/>
      <c r="E98" s="740"/>
      <c r="F98" s="2"/>
      <c r="G98" s="54" t="s">
        <v>38</v>
      </c>
      <c r="H98" s="52"/>
      <c r="I98" s="742"/>
      <c r="J98" s="2"/>
      <c r="K98" s="54" t="s">
        <v>38</v>
      </c>
      <c r="L98" s="52"/>
      <c r="M98" s="742"/>
      <c r="N98" s="2"/>
      <c r="O98" s="54" t="s">
        <v>38</v>
      </c>
      <c r="P98" s="52"/>
      <c r="Q98" s="742"/>
      <c r="R98" s="2"/>
      <c r="S98" s="54" t="s">
        <v>38</v>
      </c>
      <c r="T98" s="52"/>
      <c r="U98" s="742"/>
      <c r="V98" s="2"/>
      <c r="W98" s="54" t="s">
        <v>38</v>
      </c>
      <c r="X98" s="52">
        <f>SUMIF($AA$7:$AG$7,"="&amp;$D$4,$AA98:$AG98)</f>
        <v>390</v>
      </c>
      <c r="Y98" s="744"/>
      <c r="Z98" s="2"/>
      <c r="AA98" s="52">
        <f>SUMIFS('Report Pacote 0405'!P:P,'Report Pacote 0405'!$AV:$AV,$D$93,'Report Pacote 0405'!$AW:$AW,$A$97,'Report Pacote 0405'!$H:$H,$W98)+SUMIFS('Report Pacote 0405'!P:P,'Report Pacote 0405'!$AV:$AV,$D$93,'Report Pacote 0405'!$AW:$AW,$A$98,'Report Pacote 0405'!$H:$H,$W98)</f>
        <v>285</v>
      </c>
      <c r="AB98" s="52">
        <f>SUMIFS('Report Pacote 0405'!Q:Q,'Report Pacote 0405'!$AV:$AV,$D$93,'Report Pacote 0405'!$AW:$AW,$A$97,'Report Pacote 0405'!$H:$H,$W98)+SUMIFS('Report Pacote 0405'!Q:Q,'Report Pacote 0405'!$AV:$AV,$D$93,'Report Pacote 0405'!$AW:$AW,$A$98,'Report Pacote 0405'!$H:$H,$W98)</f>
        <v>390</v>
      </c>
      <c r="AC98" s="52">
        <f>SUMIFS('Report Pacote 0405'!R:R,'Report Pacote 0405'!$AV:$AV,$D$93,'Report Pacote 0405'!$AW:$AW,$A$97,'Report Pacote 0405'!$H:$H,$W98)+SUMIFS('Report Pacote 0405'!R:R,'Report Pacote 0405'!$AV:$AV,$D$93,'Report Pacote 0405'!$AW:$AW,$A$98,'Report Pacote 0405'!$H:$H,$W98)</f>
        <v>0</v>
      </c>
      <c r="AD98" s="52">
        <f>SUMIFS('Report Pacote 0405'!S:S,'Report Pacote 0405'!$AV:$AV,$D$93,'Report Pacote 0405'!$AW:$AW,$A$97,'Report Pacote 0405'!$H:$H,$W98)+SUMIFS('Report Pacote 0405'!S:S,'Report Pacote 0405'!$AV:$AV,$D$93,'Report Pacote 0405'!$AW:$AW,$A$98,'Report Pacote 0405'!$H:$H,$W98)</f>
        <v>0</v>
      </c>
      <c r="AE98" s="52">
        <f>SUMIFS('Report Pacote 0405'!T:T,'Report Pacote 0405'!$AV:$AV,$D$93,'Report Pacote 0405'!$AW:$AW,$A$97,'Report Pacote 0405'!$H:$H,$W98)+SUMIFS('Report Pacote 0405'!T:T,'Report Pacote 0405'!$AV:$AV,$D$93,'Report Pacote 0405'!$AW:$AW,$A$98,'Report Pacote 0405'!$H:$H,$W98)</f>
        <v>0</v>
      </c>
      <c r="AF98" s="52">
        <f>SUMIFS('Report Pacote 0405'!U:U,'Report Pacote 0405'!$AV:$AV,$D$93,'Report Pacote 0405'!$AW:$AW,$A$97,'Report Pacote 0405'!$H:$H,$W98)+SUMIFS('Report Pacote 0405'!U:U,'Report Pacote 0405'!$AV:$AV,$D$93,'Report Pacote 0405'!$AW:$AW,$A$98,'Report Pacote 0405'!$H:$H,$W98)</f>
        <v>0</v>
      </c>
      <c r="AG98" s="52">
        <f>SUMIFS('Report Pacote 0405'!V:V,'Report Pacote 0405'!$AV:$AV,$D$93,'Report Pacote 0405'!$AW:$AW,$A$97,'Report Pacote 0405'!$H:$H,$W98)+SUMIFS('Report Pacote 0405'!V:V,'Report Pacote 0405'!$AV:$AV,$D$93,'Report Pacote 0405'!$AW:$AW,$A$98,'Report Pacote 0405'!$H:$H,$W98)</f>
        <v>0</v>
      </c>
      <c r="AH98" s="52">
        <f>SUMIF($AA$7:$AG$7,"&lt;="&amp;$D$4,$AA98:$AG98)</f>
        <v>675</v>
      </c>
      <c r="AI98" s="742"/>
      <c r="AJ98" s="2"/>
      <c r="AK98" s="738"/>
      <c r="AL98" s="738"/>
      <c r="AM98" s="738"/>
      <c r="AN98" s="746"/>
      <c r="AO98" s="700"/>
      <c r="AP98" s="738"/>
      <c r="AQ98" s="738"/>
      <c r="AR98" s="746"/>
      <c r="AS98" s="700"/>
      <c r="AT98" s="738"/>
      <c r="AU98" s="738"/>
      <c r="AV98" s="700"/>
      <c r="AW98" s="738"/>
      <c r="AX98" s="738"/>
      <c r="AY98" s="738"/>
      <c r="AZ98" s="40"/>
      <c r="BB98"/>
    </row>
    <row r="99" spans="1:54" ht="17.25" hidden="1" outlineLevel="1">
      <c r="A99" s="4"/>
      <c r="B99" s="17" t="s">
        <v>34</v>
      </c>
      <c r="C99" s="3"/>
      <c r="D99" s="3"/>
      <c r="E99" s="3"/>
      <c r="G99" s="3"/>
      <c r="H99" s="37"/>
      <c r="I99" s="228"/>
      <c r="J99" s="3"/>
      <c r="K99" s="3"/>
      <c r="L99" s="37"/>
      <c r="M99" s="228"/>
      <c r="O99" s="3"/>
      <c r="P99" s="37"/>
      <c r="Q99" s="228"/>
      <c r="S99" s="3"/>
      <c r="T99" s="37"/>
      <c r="U99" s="228"/>
      <c r="V99" s="3"/>
      <c r="W99" s="3"/>
      <c r="X99" s="3"/>
      <c r="Y99" s="3"/>
      <c r="Z99" s="3"/>
      <c r="AA99" s="37"/>
      <c r="AB99" s="37"/>
      <c r="AC99" s="37"/>
      <c r="AD99" s="37"/>
      <c r="AE99" s="37"/>
      <c r="AF99" s="37"/>
      <c r="AG99" s="37"/>
      <c r="AH99" s="37"/>
      <c r="AI99" s="228"/>
      <c r="AJ99" s="3"/>
      <c r="AK99" s="251"/>
      <c r="AL99" s="251"/>
      <c r="AM99" s="251"/>
      <c r="AN99" s="701"/>
      <c r="AO99" s="702"/>
      <c r="AP99" s="251"/>
      <c r="AQ99" s="251"/>
      <c r="AR99" s="701"/>
      <c r="AS99" s="702"/>
      <c r="AT99" s="251"/>
      <c r="AU99" s="251"/>
      <c r="AV99" s="702"/>
      <c r="AW99" s="251"/>
      <c r="AX99" s="251"/>
      <c r="AY99" s="251"/>
      <c r="AZ99" s="40"/>
    </row>
    <row r="100" spans="1:54" ht="5.0999999999999996" hidden="1" customHeight="1" outlineLevel="1">
      <c r="A100" s="4"/>
      <c r="B100" s="17" t="s">
        <v>34</v>
      </c>
      <c r="C100" s="3"/>
      <c r="D100" s="3"/>
      <c r="E100" s="3"/>
      <c r="G100" s="3"/>
      <c r="H100" s="37"/>
      <c r="I100" s="228"/>
      <c r="J100" s="3"/>
      <c r="K100" s="3"/>
      <c r="L100" s="37"/>
      <c r="M100" s="228"/>
      <c r="O100" s="3"/>
      <c r="P100" s="37"/>
      <c r="Q100" s="228"/>
      <c r="S100" s="3"/>
      <c r="T100" s="37"/>
      <c r="U100" s="228"/>
      <c r="V100" s="3"/>
      <c r="W100" s="3"/>
      <c r="X100" s="35"/>
      <c r="Y100" s="3"/>
      <c r="Z100" s="3"/>
      <c r="AA100" s="35"/>
      <c r="AB100" s="35"/>
      <c r="AC100" s="35"/>
      <c r="AD100" s="35"/>
      <c r="AE100" s="35"/>
      <c r="AF100" s="35"/>
      <c r="AG100" s="35"/>
      <c r="AH100" s="37"/>
      <c r="AI100" s="228"/>
      <c r="AJ100" s="3"/>
      <c r="AK100" s="251"/>
      <c r="AL100" s="251"/>
      <c r="AM100" s="251"/>
      <c r="AN100" s="701"/>
      <c r="AO100" s="702"/>
      <c r="AP100" s="251"/>
      <c r="AQ100" s="251"/>
      <c r="AR100" s="701"/>
      <c r="AS100" s="702"/>
      <c r="AT100" s="251"/>
      <c r="AU100" s="251"/>
      <c r="AV100" s="702"/>
      <c r="AW100" s="251"/>
      <c r="AX100" s="251"/>
      <c r="AY100" s="251"/>
      <c r="AZ100" s="40"/>
    </row>
    <row r="101" spans="1:54" s="21" customFormat="1" ht="15.75" hidden="1" customHeight="1" outlineLevel="1">
      <c r="A101" s="21" t="s">
        <v>42</v>
      </c>
      <c r="B101" s="134" t="s">
        <v>34</v>
      </c>
      <c r="C101" s="3"/>
      <c r="D101" s="739" t="s">
        <v>43</v>
      </c>
      <c r="E101" s="740" t="s">
        <v>52</v>
      </c>
      <c r="F101" s="2"/>
      <c r="G101" s="53" t="s">
        <v>37</v>
      </c>
      <c r="H101" s="52"/>
      <c r="I101" s="741" t="str">
        <f>IFERROR((H102/H101),"-")</f>
        <v>-</v>
      </c>
      <c r="J101" s="2"/>
      <c r="K101" s="53" t="s">
        <v>37</v>
      </c>
      <c r="L101" s="52"/>
      <c r="M101" s="741" t="str">
        <f>IFERROR((L102/L101),"-")</f>
        <v>-</v>
      </c>
      <c r="N101" s="2"/>
      <c r="O101" s="53" t="s">
        <v>37</v>
      </c>
      <c r="P101" s="52"/>
      <c r="Q101" s="741" t="str">
        <f>IFERROR((P102/P101),"-")</f>
        <v>-</v>
      </c>
      <c r="R101" s="2"/>
      <c r="S101" s="53" t="s">
        <v>37</v>
      </c>
      <c r="T101" s="52"/>
      <c r="U101" s="741" t="str">
        <f>IFERROR((T102/T101),"-")</f>
        <v>-</v>
      </c>
      <c r="V101" s="2"/>
      <c r="W101" s="53" t="s">
        <v>37</v>
      </c>
      <c r="X101" s="52">
        <f>SUMIF($AA$7:$AG$7,"="&amp;$D$4,$AA101:$AG101)</f>
        <v>0</v>
      </c>
      <c r="Y101" s="743" t="str">
        <f>IFERROR((X102/X101),"-")</f>
        <v>-</v>
      </c>
      <c r="Z101" s="2"/>
      <c r="AA101" s="52">
        <f>SUMIFS('Report Pacote 0405'!P:P,'Report Pacote 0405'!$AV:$AV,$D$93,'Report Pacote 0405'!$AW:$AW,$A$101,'Report Pacote 0405'!$H:$H,$W101)+SUMIFS('Report Pacote 0405'!P:P,'Report Pacote 0405'!$AV:$AV,$D$93,'Report Pacote 0405'!$AW:$AW,$A$102,'Report Pacote 0405'!$H:$H,$W101)+SUMIFS('Report Pacote 0405'!P:P,'Report Pacote 0405'!$AV:$AV,$D$93,'Report Pacote 0405'!$AW:$AW,$A$103,'Report Pacote 0405'!$H:$H,$W101)</f>
        <v>0</v>
      </c>
      <c r="AB101" s="52">
        <f>SUMIFS('Report Pacote 0405'!Q:Q,'Report Pacote 0405'!$AV:$AV,$D$93,'Report Pacote 0405'!$AW:$AW,$A$101,'Report Pacote 0405'!$H:$H,$W101)+SUMIFS('Report Pacote 0405'!Q:Q,'Report Pacote 0405'!$AV:$AV,$D$93,'Report Pacote 0405'!$AW:$AW,$A$102,'Report Pacote 0405'!$H:$H,$W101)+SUMIFS('Report Pacote 0405'!Q:Q,'Report Pacote 0405'!$AV:$AV,$D$93,'Report Pacote 0405'!$AW:$AW,$A$103,'Report Pacote 0405'!$H:$H,$W101)</f>
        <v>0</v>
      </c>
      <c r="AC101" s="52">
        <f>SUMIFS('Report Pacote 0405'!R:R,'Report Pacote 0405'!$AV:$AV,$D$93,'Report Pacote 0405'!$AW:$AW,$A$101,'Report Pacote 0405'!$H:$H,$W101)+SUMIFS('Report Pacote 0405'!R:R,'Report Pacote 0405'!$AV:$AV,$D$93,'Report Pacote 0405'!$AW:$AW,$A$102,'Report Pacote 0405'!$H:$H,$W101)+SUMIFS('Report Pacote 0405'!R:R,'Report Pacote 0405'!$AV:$AV,$D$93,'Report Pacote 0405'!$AW:$AW,$A$103,'Report Pacote 0405'!$H:$H,$W101)</f>
        <v>0</v>
      </c>
      <c r="AD101" s="52">
        <f>SUMIFS('Report Pacote 0405'!S:S,'Report Pacote 0405'!$AV:$AV,$D$93,'Report Pacote 0405'!$AW:$AW,$A$101,'Report Pacote 0405'!$H:$H,$W101)+SUMIFS('Report Pacote 0405'!S:S,'Report Pacote 0405'!$AV:$AV,$D$93,'Report Pacote 0405'!$AW:$AW,$A$102,'Report Pacote 0405'!$H:$H,$W101)+SUMIFS('Report Pacote 0405'!S:S,'Report Pacote 0405'!$AV:$AV,$D$93,'Report Pacote 0405'!$AW:$AW,$A$103,'Report Pacote 0405'!$H:$H,$W101)</f>
        <v>0</v>
      </c>
      <c r="AE101" s="52">
        <f>SUMIFS('Report Pacote 0405'!T:T,'Report Pacote 0405'!$AV:$AV,$D$93,'Report Pacote 0405'!$AW:$AW,$A$101,'Report Pacote 0405'!$H:$H,$W101)+SUMIFS('Report Pacote 0405'!T:T,'Report Pacote 0405'!$AV:$AV,$D$93,'Report Pacote 0405'!$AW:$AW,$A$102,'Report Pacote 0405'!$H:$H,$W101)+SUMIFS('Report Pacote 0405'!T:T,'Report Pacote 0405'!$AV:$AV,$D$93,'Report Pacote 0405'!$AW:$AW,$A$103,'Report Pacote 0405'!$H:$H,$W101)</f>
        <v>0</v>
      </c>
      <c r="AF101" s="52">
        <f>SUMIFS('Report Pacote 0405'!U:U,'Report Pacote 0405'!$AV:$AV,$D$93,'Report Pacote 0405'!$AW:$AW,$A$101,'Report Pacote 0405'!$H:$H,$W101)+SUMIFS('Report Pacote 0405'!U:U,'Report Pacote 0405'!$AV:$AV,$D$93,'Report Pacote 0405'!$AW:$AW,$A$102,'Report Pacote 0405'!$H:$H,$W101)+SUMIFS('Report Pacote 0405'!U:U,'Report Pacote 0405'!$AV:$AV,$D$93,'Report Pacote 0405'!$AW:$AW,$A$103,'Report Pacote 0405'!$H:$H,$W101)</f>
        <v>0</v>
      </c>
      <c r="AG101" s="52">
        <f>SUMIFS('Report Pacote 0405'!V:V,'Report Pacote 0405'!$AV:$AV,$D$93,'Report Pacote 0405'!$AW:$AW,$A$101,'Report Pacote 0405'!$H:$H,$W101)+SUMIFS('Report Pacote 0405'!V:V,'Report Pacote 0405'!$AV:$AV,$D$93,'Report Pacote 0405'!$AW:$AW,$A$102,'Report Pacote 0405'!$H:$H,$W101)+SUMIFS('Report Pacote 0405'!V:V,'Report Pacote 0405'!$AV:$AV,$D$93,'Report Pacote 0405'!$AW:$AW,$A$103,'Report Pacote 0405'!$H:$H,$W101)</f>
        <v>0</v>
      </c>
      <c r="AH101" s="52">
        <f>SUMIFS('Report Pacote 0405'!W:W,'Report Pacote 0405'!$AV:$AV,$D$93,'Report Pacote 0405'!$AW:$AW,$A$101,'Report Pacote 0405'!$H:$H,$W101)+SUMIFS('Report Pacote 0405'!W:W,'Report Pacote 0405'!$AV:$AV,$D$93,'Report Pacote 0405'!$AW:$AW,$A$102,'Report Pacote 0405'!$H:$H,$W101)+SUMIFS('Report Pacote 0405'!W:W,'Report Pacote 0405'!$AV:$AV,$D$93,'Report Pacote 0405'!$AW:$AW,$A$103,'Report Pacote 0405'!$H:$H,$W101)</f>
        <v>0</v>
      </c>
      <c r="AI101" s="741" t="str">
        <f>IFERROR((AH102/AH101),"-")</f>
        <v>-</v>
      </c>
      <c r="AJ101" s="2"/>
      <c r="AK101" s="737">
        <f>SUMIFS('Report Pacote 0405'!AA:AA,'Report Pacote 0405'!$AV:$AV,$D$93,'Report Pacote 0405'!$AW:$AW,$A$102,'Report Pacote 0405'!$H:$H,$W101)+SUMIFS('Report Pacote 0405'!AA:AA,'Report Pacote 0405'!$AV:$AV,$D$93,'Report Pacote 0405'!$AW:$AW,$A$101,'Report Pacote 0405'!$H:$H,$W101)+SUMIFS('Report Pacote 0405'!AA:AA,'Report Pacote 0405'!$AV:$AV,$D$93,'Report Pacote 0405'!$AW:$AW,$A$103,'Report Pacote 0405'!$H:$H,$W101)</f>
        <v>0</v>
      </c>
      <c r="AL101" s="737">
        <f>SUMIFS('Report Pacote 0405'!AB:AB,'Report Pacote 0405'!$AV:$AV,$D$93,'Report Pacote 0405'!$AW:$AW,$A$102,'Report Pacote 0405'!$H:$H,$W101)+SUMIFS('Report Pacote 0405'!AB:AB,'Report Pacote 0405'!$AV:$AV,$D$93,'Report Pacote 0405'!$AW:$AW,$A$101,'Report Pacote 0405'!$H:$H,$W101)+SUMIFS('Report Pacote 0405'!AB:AB,'Report Pacote 0405'!$AV:$AV,$D$93,'Report Pacote 0405'!$AW:$AW,$A$103,'Report Pacote 0405'!$H:$H,$W101)</f>
        <v>0</v>
      </c>
      <c r="AM101" s="737">
        <f>SUMIFS('Report Pacote 0405'!AC:AC,'Report Pacote 0405'!$AV:$AV,$D$93,'Report Pacote 0405'!$AW:$AW,$A$102,'Report Pacote 0405'!$H:$H,$W101)+SUMIFS('Report Pacote 0405'!AC:AC,'Report Pacote 0405'!$AV:$AV,$D$93,'Report Pacote 0405'!$AW:$AW,$A$101,'Report Pacote 0405'!$H:$H,$W101)+SUMIFS('Report Pacote 0405'!AC:AC,'Report Pacote 0405'!$AV:$AV,$D$93,'Report Pacote 0405'!$AW:$AW,$A$103,'Report Pacote 0405'!$H:$H,$W101)</f>
        <v>0</v>
      </c>
      <c r="AN101" s="745" t="str">
        <f>IFERROR((AM101/AL101),"-")</f>
        <v>-</v>
      </c>
      <c r="AO101" s="700"/>
      <c r="AP101" s="737">
        <f>SUMIFS('Report Pacote 0405'!AK:AK,'Report Pacote 0405'!$AV:$AV,$D$93,'Report Pacote 0405'!$AW:$AW,$A$102,'Report Pacote 0405'!$H:$H,$W101)+SUMIFS('Report Pacote 0405'!AK:AK,'Report Pacote 0405'!$AV:$AV,$D$93,'Report Pacote 0405'!$AW:$AW,$A$101,'Report Pacote 0405'!$H:$H,$W101)+SUMIFS('Report Pacote 0405'!AJ:AJ,'Report Pacote 0405'!$AV:$AV,$D$93,'Report Pacote 0405'!$AW:$AW,$A$103,'Report Pacote 0405'!$H:$H,$W101)</f>
        <v>0</v>
      </c>
      <c r="AQ101" s="737">
        <f>SUMIFS('Report Pacote 0405'!AL:AL,'Report Pacote 0405'!$AV:$AV,$D$93,'Report Pacote 0405'!$AW:$AW,$A$102,'Report Pacote 0405'!$H:$H,$W101)+SUMIFS('Report Pacote 0405'!AL:AL,'Report Pacote 0405'!$AV:$AV,$D$93,'Report Pacote 0405'!$AW:$AW,$A$101,'Report Pacote 0405'!$H:$H,$W101)+SUMIFS('Report Pacote 0405'!AK:AK,'Report Pacote 0405'!$AV:$AV,$D$93,'Report Pacote 0405'!$AW:$AW,$A$103,'Report Pacote 0405'!$H:$H,$W101)</f>
        <v>0</v>
      </c>
      <c r="AR101" s="737" t="str">
        <f>IFERROR((AP101/AQ101),"-")</f>
        <v>-</v>
      </c>
      <c r="AS101" s="700"/>
      <c r="AT101" s="737">
        <f>SUMIFS('Report Pacote 0405'!AO:AO,'Report Pacote 0405'!$AV:$AV,$D$93,'Report Pacote 0405'!$AW:$AW,$A$102,'Report Pacote 0405'!$H:$H,$W101)+SUMIFS('Report Pacote 0405'!AO:AO,'Report Pacote 0405'!$AV:$AV,$D$93,'Report Pacote 0405'!$AW:$AW,$A$101,'Report Pacote 0405'!$H:$H,$W101)+SUMIFS('Report Pacote 0405'!AN:AN,'Report Pacote 0405'!$AV:$AV,$D$93,'Report Pacote 0405'!$AW:$AW,$A$103,'Report Pacote 0405'!$H:$H,$W101)</f>
        <v>0</v>
      </c>
      <c r="AU101" s="737">
        <f>SUMIFS('Report Pacote 0405'!AP:AP,'Report Pacote 0405'!$AV:$AV,$D$93,'Report Pacote 0405'!$AW:$AW,$A$102,'Report Pacote 0405'!$H:$H,$W101)+SUMIFS('Report Pacote 0405'!AP:AP,'Report Pacote 0405'!$AV:$AV,$D$93,'Report Pacote 0405'!$AW:$AW,$A$101,'Report Pacote 0405'!$H:$H,$W101)+SUMIFS('Report Pacote 0405'!AO:AO,'Report Pacote 0405'!$AV:$AV,$D$93,'Report Pacote 0405'!$AW:$AW,$A$103,'Report Pacote 0405'!$H:$H,$W101)</f>
        <v>0</v>
      </c>
      <c r="AV101" s="700"/>
      <c r="AW101" s="737">
        <f ca="1">AK101/Quadros!$D$4</f>
        <v>0</v>
      </c>
      <c r="AX101" s="737">
        <f>AM101/Quadros!$D$6</f>
        <v>0</v>
      </c>
      <c r="AY101" s="737">
        <f ca="1">IF((AK101-AM101)/(Quadros!$D$4-Quadros!$D$6)&lt;0,"-",(AK101-AM101)/(Quadros!$D$4-Quadros!$D$6))</f>
        <v>0</v>
      </c>
      <c r="AZ101" s="40"/>
      <c r="BB101"/>
    </row>
    <row r="102" spans="1:54" s="16" customFormat="1" ht="15.75" hidden="1" customHeight="1" outlineLevel="1">
      <c r="A102" s="21" t="s">
        <v>44</v>
      </c>
      <c r="B102" s="133" t="s">
        <v>34</v>
      </c>
      <c r="C102" s="3"/>
      <c r="D102" s="739"/>
      <c r="E102" s="740"/>
      <c r="F102" s="2"/>
      <c r="G102" s="54" t="s">
        <v>38</v>
      </c>
      <c r="H102" s="52"/>
      <c r="I102" s="742"/>
      <c r="J102" s="2"/>
      <c r="K102" s="54" t="s">
        <v>38</v>
      </c>
      <c r="L102" s="52"/>
      <c r="M102" s="742"/>
      <c r="N102" s="2"/>
      <c r="O102" s="54" t="s">
        <v>38</v>
      </c>
      <c r="P102" s="52"/>
      <c r="Q102" s="742"/>
      <c r="R102" s="2"/>
      <c r="S102" s="54" t="s">
        <v>38</v>
      </c>
      <c r="T102" s="52"/>
      <c r="U102" s="742"/>
      <c r="V102" s="2"/>
      <c r="W102" s="54" t="s">
        <v>38</v>
      </c>
      <c r="X102" s="52">
        <f>SUMIF($AA$7:$AG$7,"="&amp;$D$4,$AA102:$AG102)</f>
        <v>0</v>
      </c>
      <c r="Y102" s="744"/>
      <c r="Z102" s="2"/>
      <c r="AA102" s="52">
        <f>SUMIFS('Report Pacote 0405'!P:P,'Report Pacote 0405'!$AV:$AV,$D$93,'Report Pacote 0405'!$AW:$AW,$A$101,'Report Pacote 0405'!$H:$H,$W102)+SUMIFS('Report Pacote 0405'!P:P,'Report Pacote 0405'!$AV:$AV,$D$93,'Report Pacote 0405'!$AW:$AW,$A$102,'Report Pacote 0405'!$H:$H,$W102)+SUMIFS('Report Pacote 0405'!P:P,'Report Pacote 0405'!$AV:$AV,$D$93,'Report Pacote 0405'!$AW:$AW,$A$103,'Report Pacote 0405'!$H:$H,$W102)</f>
        <v>0</v>
      </c>
      <c r="AB102" s="52">
        <f>SUMIFS('Report Pacote 0405'!Q:Q,'Report Pacote 0405'!$AV:$AV,$D$93,'Report Pacote 0405'!$AW:$AW,$A$101,'Report Pacote 0405'!$H:$H,$W102)+SUMIFS('Report Pacote 0405'!Q:Q,'Report Pacote 0405'!$AV:$AV,$D$93,'Report Pacote 0405'!$AW:$AW,$A$102,'Report Pacote 0405'!$H:$H,$W102)+SUMIFS('Report Pacote 0405'!Q:Q,'Report Pacote 0405'!$AV:$AV,$D$93,'Report Pacote 0405'!$AW:$AW,$A$103,'Report Pacote 0405'!$H:$H,$W102)</f>
        <v>0</v>
      </c>
      <c r="AC102" s="52">
        <f>SUMIFS('Report Pacote 0405'!R:R,'Report Pacote 0405'!$AV:$AV,$D$93,'Report Pacote 0405'!$AW:$AW,$A$101,'Report Pacote 0405'!$H:$H,$W102)+SUMIFS('Report Pacote 0405'!R:R,'Report Pacote 0405'!$AV:$AV,$D$93,'Report Pacote 0405'!$AW:$AW,$A$102,'Report Pacote 0405'!$H:$H,$W102)+SUMIFS('Report Pacote 0405'!R:R,'Report Pacote 0405'!$AV:$AV,$D$93,'Report Pacote 0405'!$AW:$AW,$A$103,'Report Pacote 0405'!$H:$H,$W102)</f>
        <v>0</v>
      </c>
      <c r="AD102" s="52">
        <f>SUMIFS('Report Pacote 0405'!S:S,'Report Pacote 0405'!$AV:$AV,$D$93,'Report Pacote 0405'!$AW:$AW,$A$101,'Report Pacote 0405'!$H:$H,$W102)+SUMIFS('Report Pacote 0405'!S:S,'Report Pacote 0405'!$AV:$AV,$D$93,'Report Pacote 0405'!$AW:$AW,$A$102,'Report Pacote 0405'!$H:$H,$W102)+SUMIFS('Report Pacote 0405'!S:S,'Report Pacote 0405'!$AV:$AV,$D$93,'Report Pacote 0405'!$AW:$AW,$A$103,'Report Pacote 0405'!$H:$H,$W102)</f>
        <v>0</v>
      </c>
      <c r="AE102" s="52">
        <f>SUMIFS('Report Pacote 0405'!T:T,'Report Pacote 0405'!$AV:$AV,$D$93,'Report Pacote 0405'!$AW:$AW,$A$101,'Report Pacote 0405'!$H:$H,$W102)+SUMIFS('Report Pacote 0405'!T:T,'Report Pacote 0405'!$AV:$AV,$D$93,'Report Pacote 0405'!$AW:$AW,$A$102,'Report Pacote 0405'!$H:$H,$W102)+SUMIFS('Report Pacote 0405'!T:T,'Report Pacote 0405'!$AV:$AV,$D$93,'Report Pacote 0405'!$AW:$AW,$A$103,'Report Pacote 0405'!$H:$H,$W102)</f>
        <v>0</v>
      </c>
      <c r="AF102" s="52">
        <f>SUMIFS('Report Pacote 0405'!U:U,'Report Pacote 0405'!$AV:$AV,$D$93,'Report Pacote 0405'!$AW:$AW,$A$101,'Report Pacote 0405'!$H:$H,$W102)+SUMIFS('Report Pacote 0405'!U:U,'Report Pacote 0405'!$AV:$AV,$D$93,'Report Pacote 0405'!$AW:$AW,$A$102,'Report Pacote 0405'!$H:$H,$W102)+SUMIFS('Report Pacote 0405'!U:U,'Report Pacote 0405'!$AV:$AV,$D$93,'Report Pacote 0405'!$AW:$AW,$A$103,'Report Pacote 0405'!$H:$H,$W102)</f>
        <v>0</v>
      </c>
      <c r="AG102" s="52">
        <f>SUMIFS('Report Pacote 0405'!V:V,'Report Pacote 0405'!$AV:$AV,$D$93,'Report Pacote 0405'!$AW:$AW,$A$101,'Report Pacote 0405'!$H:$H,$W102)+SUMIFS('Report Pacote 0405'!V:V,'Report Pacote 0405'!$AV:$AV,$D$93,'Report Pacote 0405'!$AW:$AW,$A$102,'Report Pacote 0405'!$H:$H,$W102)+SUMIFS('Report Pacote 0405'!V:V,'Report Pacote 0405'!$AV:$AV,$D$93,'Report Pacote 0405'!$AW:$AW,$A$103,'Report Pacote 0405'!$H:$H,$W102)</f>
        <v>0</v>
      </c>
      <c r="AH102" s="52">
        <f>SUMIFS('Report Pacote 0405'!W:W,'Report Pacote 0405'!$AV:$AV,$D$93,'Report Pacote 0405'!$AW:$AW,$A$101,'Report Pacote 0405'!$H:$H,$W102)+SUMIFS('Report Pacote 0405'!W:W,'Report Pacote 0405'!$AV:$AV,$D$93,'Report Pacote 0405'!$AW:$AW,$A$102,'Report Pacote 0405'!$H:$H,$W102)+SUMIFS('Report Pacote 0405'!W:W,'Report Pacote 0405'!$AV:$AV,$D$93,'Report Pacote 0405'!$AW:$AW,$A$103,'Report Pacote 0405'!$H:$H,$W102)</f>
        <v>0</v>
      </c>
      <c r="AI102" s="742"/>
      <c r="AJ102" s="2"/>
      <c r="AK102" s="738"/>
      <c r="AL102" s="738"/>
      <c r="AM102" s="738"/>
      <c r="AN102" s="746"/>
      <c r="AO102" s="700"/>
      <c r="AP102" s="738"/>
      <c r="AQ102" s="738"/>
      <c r="AR102" s="738"/>
      <c r="AS102" s="700"/>
      <c r="AT102" s="738"/>
      <c r="AU102" s="738"/>
      <c r="AV102" s="700"/>
      <c r="AW102" s="738"/>
      <c r="AX102" s="738"/>
      <c r="AY102" s="738"/>
      <c r="AZ102" s="40"/>
      <c r="BB102"/>
    </row>
    <row r="103" spans="1:54" ht="17.25" hidden="1" outlineLevel="1">
      <c r="A103" s="4" t="s">
        <v>45</v>
      </c>
      <c r="B103" s="17" t="s">
        <v>34</v>
      </c>
      <c r="C103" s="3"/>
      <c r="D103" s="3"/>
      <c r="E103" s="3"/>
      <c r="G103" s="3"/>
      <c r="H103" s="37"/>
      <c r="I103" s="228"/>
      <c r="J103" s="3"/>
      <c r="K103" s="3"/>
      <c r="L103" s="37"/>
      <c r="M103" s="228"/>
      <c r="O103" s="3"/>
      <c r="P103" s="37"/>
      <c r="Q103" s="228"/>
      <c r="S103" s="3"/>
      <c r="T103" s="37"/>
      <c r="U103" s="228"/>
      <c r="V103" s="3"/>
      <c r="W103" s="3"/>
      <c r="X103" s="3"/>
      <c r="Y103" s="3"/>
      <c r="Z103" s="3"/>
      <c r="AA103" s="37"/>
      <c r="AB103" s="37"/>
      <c r="AC103" s="37"/>
      <c r="AD103" s="37"/>
      <c r="AE103" s="37"/>
      <c r="AF103" s="37"/>
      <c r="AG103" s="37"/>
      <c r="AH103" s="37"/>
      <c r="AI103" s="228"/>
      <c r="AJ103" s="3"/>
      <c r="AK103" s="251"/>
      <c r="AL103" s="251"/>
      <c r="AM103" s="251"/>
      <c r="AN103" s="701"/>
      <c r="AO103" s="702"/>
      <c r="AP103" s="251"/>
      <c r="AQ103" s="251"/>
      <c r="AR103" s="701"/>
      <c r="AS103" s="702"/>
      <c r="AT103" s="251"/>
      <c r="AU103" s="251"/>
      <c r="AV103" s="702"/>
      <c r="AW103" s="251"/>
      <c r="AX103" s="251"/>
      <c r="AY103" s="251"/>
      <c r="AZ103" s="40"/>
    </row>
    <row r="104" spans="1:54" ht="5.0999999999999996" hidden="1" customHeight="1" outlineLevel="1">
      <c r="B104" s="17" t="s">
        <v>34</v>
      </c>
      <c r="C104" s="3"/>
      <c r="D104" s="3"/>
      <c r="E104" s="3"/>
      <c r="G104" s="3"/>
      <c r="H104" s="37"/>
      <c r="I104" s="228"/>
      <c r="J104" s="3"/>
      <c r="K104" s="3"/>
      <c r="L104" s="37"/>
      <c r="M104" s="228"/>
      <c r="O104" s="3"/>
      <c r="P104" s="37"/>
      <c r="Q104" s="228"/>
      <c r="S104" s="3"/>
      <c r="T104" s="37"/>
      <c r="U104" s="228"/>
      <c r="V104" s="3"/>
      <c r="W104" s="3"/>
      <c r="X104" s="35"/>
      <c r="Y104" s="3"/>
      <c r="Z104" s="3"/>
      <c r="AA104" s="36"/>
      <c r="AB104" s="36"/>
      <c r="AC104" s="36"/>
      <c r="AD104" s="36"/>
      <c r="AE104" s="36"/>
      <c r="AF104" s="36"/>
      <c r="AG104" s="36"/>
      <c r="AH104" s="37"/>
      <c r="AI104" s="228"/>
      <c r="AJ104" s="3"/>
      <c r="AK104" s="251"/>
      <c r="AL104" s="251"/>
      <c r="AM104" s="251"/>
      <c r="AN104" s="701"/>
      <c r="AO104" s="702"/>
      <c r="AP104" s="251"/>
      <c r="AQ104" s="251"/>
      <c r="AR104" s="701"/>
      <c r="AS104" s="702"/>
      <c r="AT104" s="703"/>
      <c r="AU104" s="703"/>
      <c r="AV104" s="702"/>
      <c r="AW104" s="251"/>
      <c r="AX104" s="251"/>
      <c r="AY104" s="251"/>
      <c r="AZ104" s="40"/>
    </row>
    <row r="105" spans="1:54" s="21" customFormat="1" ht="15.75" hidden="1" customHeight="1" outlineLevel="1">
      <c r="A105" s="4" t="s">
        <v>45</v>
      </c>
      <c r="B105" s="134" t="s">
        <v>34</v>
      </c>
      <c r="C105" s="3"/>
      <c r="D105" s="752" t="s">
        <v>46</v>
      </c>
      <c r="E105" s="740" t="s">
        <v>52</v>
      </c>
      <c r="F105" s="2"/>
      <c r="G105" s="53" t="s">
        <v>37</v>
      </c>
      <c r="H105" s="52"/>
      <c r="I105" s="741" t="str">
        <f>IFERROR((H106/H105),"-")</f>
        <v>-</v>
      </c>
      <c r="J105" s="2"/>
      <c r="K105" s="53" t="s">
        <v>37</v>
      </c>
      <c r="L105" s="52"/>
      <c r="M105" s="741" t="str">
        <f>IFERROR((L106/L105),"-")</f>
        <v>-</v>
      </c>
      <c r="N105" s="2"/>
      <c r="O105" s="53" t="s">
        <v>37</v>
      </c>
      <c r="P105" s="52"/>
      <c r="Q105" s="741" t="str">
        <f>IFERROR((P106/P105),"-")</f>
        <v>-</v>
      </c>
      <c r="R105" s="2"/>
      <c r="S105" s="53" t="s">
        <v>37</v>
      </c>
      <c r="T105" s="52"/>
      <c r="U105" s="741" t="str">
        <f>IFERROR((T106/T105),"-")</f>
        <v>-</v>
      </c>
      <c r="V105" s="2"/>
      <c r="W105" s="53" t="s">
        <v>37</v>
      </c>
      <c r="X105" s="52">
        <f>SUMIF($AA$7:$AG$7,"="&amp;$D$4,$AA105:$AG105)</f>
        <v>0</v>
      </c>
      <c r="Y105" s="743" t="str">
        <f>IFERROR((X106/X105),"-")</f>
        <v>-</v>
      </c>
      <c r="Z105" s="2"/>
      <c r="AA105" s="52">
        <f>SUMIFS('Report Pacote 06'!V:V,'Report Pacote 06'!$CH:$CH,$D$93,'Report Pacote 06'!$G:$G,'Report Consolidado Semanal'!$W105)</f>
        <v>0</v>
      </c>
      <c r="AB105" s="52">
        <f>SUMIFS('Report Pacote 06'!W:W,'Report Pacote 06'!$CH:$CH,$D$93,'Report Pacote 06'!$G:$G,'Report Consolidado Semanal'!$W105)</f>
        <v>0</v>
      </c>
      <c r="AC105" s="52">
        <f>SUMIFS('Report Pacote 06'!X:X,'Report Pacote 06'!$CH:$CH,$D$93,'Report Pacote 06'!$G:$G,'Report Consolidado Semanal'!$W105)</f>
        <v>0</v>
      </c>
      <c r="AD105" s="52">
        <f>SUMIFS('Report Pacote 06'!Y:Y,'Report Pacote 06'!$CH:$CH,$D$93,'Report Pacote 06'!$G:$G,'Report Consolidado Semanal'!$W105)</f>
        <v>0</v>
      </c>
      <c r="AE105" s="52">
        <f>SUMIFS('Report Pacote 06'!Z:Z,'Report Pacote 06'!$CH:$CH,$D$93,'Report Pacote 06'!$G:$G,'Report Consolidado Semanal'!$W105)</f>
        <v>0</v>
      </c>
      <c r="AF105" s="52">
        <f>SUMIFS('Report Pacote 06'!AA:AA,'Report Pacote 06'!$CH:$CH,$D$93,'Report Pacote 06'!$G:$G,'Report Consolidado Semanal'!$W105)</f>
        <v>0</v>
      </c>
      <c r="AG105" s="52">
        <f>SUMIFS('Report Pacote 06'!AB:AB,'Report Pacote 06'!$CH:$CH,$D$93,'Report Pacote 06'!$G:$G,'Report Consolidado Semanal'!$W105)</f>
        <v>0</v>
      </c>
      <c r="AH105" s="52">
        <f>SUMIF($AA$7:$AG$7,"&lt;="&amp;$D$4,$AA105:$AG105)</f>
        <v>0</v>
      </c>
      <c r="AI105" s="741" t="str">
        <f>IFERROR((AH106/AH105),"-")</f>
        <v>-</v>
      </c>
      <c r="AJ105" s="2"/>
      <c r="AK105" s="737">
        <f>SUMIFS('Report Pacote 06'!BN:BN,'Report Pacote 06'!$CH:$CH,$D$93,'Report Pacote 06'!$G:$G,'Report Consolidado Semanal'!$W105)</f>
        <v>0</v>
      </c>
      <c r="AL105" s="737">
        <f>SUMIFS('Report Pacote 06'!BO:BO,'Report Pacote 06'!$CH:$CH,$D$93,'Report Pacote 06'!$G:$G,'Report Consolidado Semanal'!$W105)</f>
        <v>0</v>
      </c>
      <c r="AM105" s="737">
        <f>SUMIFS('Report Pacote 06'!BP:BP,'Report Pacote 06'!$CH:$CH,$D$93,'Report Pacote 06'!$G:$G,'Report Consolidado Semanal'!$W105)</f>
        <v>0</v>
      </c>
      <c r="AN105" s="745" t="str">
        <f>IFERROR((AM105/AL105),"-")</f>
        <v>-</v>
      </c>
      <c r="AO105" s="700"/>
      <c r="AP105" s="747">
        <f ca="1">SUMIFS('Report Pacote 06'!BU:BU,'Report Pacote 06'!$CH:$CH,'Report Consolidado Semanal'!$D$93,'Report Pacote 06'!$G:$G,'Report Consolidado Semanal'!$W105)</f>
        <v>648</v>
      </c>
      <c r="AQ105" s="747">
        <f>SUMIFS('Report Pacote 06'!BX:BX,'Report Pacote 06'!$CH:$CH,'Report Consolidado Semanal'!$D$93,'Report Pacote 06'!$G:$G,'Report Consolidado Semanal'!$W105)</f>
        <v>648</v>
      </c>
      <c r="AR105" s="745">
        <f ca="1">IFERROR((AP105/AQ105),"-")</f>
        <v>1</v>
      </c>
      <c r="AS105" s="700"/>
      <c r="AT105" s="737">
        <f>SUMIFS('Report Pacote 06'!CA:CA,'Report Pacote 06'!$CH:$CH,$D$93,'Report Pacote 06'!$G:$G,'Report Consolidado Semanal'!$W105)</f>
        <v>3084</v>
      </c>
      <c r="AU105" s="737">
        <f ca="1">SUMIFS('Report Pacote 06'!CB:CB,'Report Pacote 06'!$CH:$CH,$D$93,'Report Pacote 06'!$G:$G,'Report Consolidado Semanal'!$W105)</f>
        <v>2436</v>
      </c>
      <c r="AV105" s="700"/>
      <c r="AW105" s="737">
        <f ca="1">AK105/Quadros!$D$4</f>
        <v>0</v>
      </c>
      <c r="AX105" s="737">
        <f>AM105/Quadros!$D$6</f>
        <v>0</v>
      </c>
      <c r="AY105" s="737">
        <f ca="1">IF((AK105-AM105)/(Quadros!$D$4-Quadros!$D$6)&lt;0,"-",(AK105-AM105)/(Quadros!$D$4-Quadros!$D$6))</f>
        <v>0</v>
      </c>
      <c r="AZ105" s="40"/>
      <c r="BB105"/>
    </row>
    <row r="106" spans="1:54" s="16" customFormat="1" ht="20.45" hidden="1" customHeight="1" outlineLevel="1">
      <c r="B106" s="133" t="s">
        <v>34</v>
      </c>
      <c r="C106" s="3"/>
      <c r="D106" s="752"/>
      <c r="E106" s="740"/>
      <c r="F106" s="2"/>
      <c r="G106" s="54" t="s">
        <v>38</v>
      </c>
      <c r="H106" s="52"/>
      <c r="I106" s="742"/>
      <c r="J106" s="2"/>
      <c r="K106" s="54" t="s">
        <v>38</v>
      </c>
      <c r="L106" s="52"/>
      <c r="M106" s="742"/>
      <c r="N106" s="2"/>
      <c r="O106" s="54" t="s">
        <v>38</v>
      </c>
      <c r="P106" s="52"/>
      <c r="Q106" s="742"/>
      <c r="R106" s="2"/>
      <c r="S106" s="54" t="s">
        <v>38</v>
      </c>
      <c r="T106" s="52"/>
      <c r="U106" s="742"/>
      <c r="V106" s="2"/>
      <c r="W106" s="54" t="s">
        <v>38</v>
      </c>
      <c r="X106" s="52">
        <f>SUMIF($AA$7:$AG$7,"="&amp;$D$4,$AA106:$AG106)</f>
        <v>0</v>
      </c>
      <c r="Y106" s="744"/>
      <c r="Z106" s="2"/>
      <c r="AA106" s="52">
        <f>SUMIFS('Report Pacote 06'!V:V,'Report Pacote 06'!$CH:$CH,$D$93,'Report Pacote 06'!$G:$G,'Report Consolidado Semanal'!$W106)</f>
        <v>0</v>
      </c>
      <c r="AB106" s="52">
        <f>SUMIFS('Report Pacote 06'!W:W,'Report Pacote 06'!$CH:$CH,$D$93,'Report Pacote 06'!$G:$G,'Report Consolidado Semanal'!$W106)</f>
        <v>0</v>
      </c>
      <c r="AC106" s="52">
        <f>SUMIFS('Report Pacote 06'!X:X,'Report Pacote 06'!$CH:$CH,$D$93,'Report Pacote 06'!$G:$G,'Report Consolidado Semanal'!$W106)</f>
        <v>0</v>
      </c>
      <c r="AD106" s="52">
        <f>SUMIFS('Report Pacote 06'!Y:Y,'Report Pacote 06'!$CH:$CH,$D$93,'Report Pacote 06'!$G:$G,'Report Consolidado Semanal'!$W106)</f>
        <v>0</v>
      </c>
      <c r="AE106" s="52">
        <f>SUMIFS('Report Pacote 06'!Z:Z,'Report Pacote 06'!$CH:$CH,$D$93,'Report Pacote 06'!$G:$G,'Report Consolidado Semanal'!$W106)</f>
        <v>0</v>
      </c>
      <c r="AF106" s="52">
        <f>SUMIFS('Report Pacote 06'!AA:AA,'Report Pacote 06'!$CH:$CH,$D$93,'Report Pacote 06'!$G:$G,'Report Consolidado Semanal'!$W106)</f>
        <v>0</v>
      </c>
      <c r="AG106" s="52">
        <f>SUMIFS('Report Pacote 06'!AB:AB,'Report Pacote 06'!$CH:$CH,$D$93,'Report Pacote 06'!$G:$G,'Report Consolidado Semanal'!$W106)</f>
        <v>0</v>
      </c>
      <c r="AH106" s="52">
        <f>SUMIF($AA$7:$AG$7,"&lt;="&amp;$D$4,$AA106:$AG106)</f>
        <v>0</v>
      </c>
      <c r="AI106" s="742"/>
      <c r="AJ106" s="2"/>
      <c r="AK106" s="738"/>
      <c r="AL106" s="738"/>
      <c r="AM106" s="738"/>
      <c r="AN106" s="746"/>
      <c r="AO106" s="700"/>
      <c r="AP106" s="748"/>
      <c r="AQ106" s="749"/>
      <c r="AR106" s="746"/>
      <c r="AS106" s="700"/>
      <c r="AT106" s="738"/>
      <c r="AU106" s="738"/>
      <c r="AV106" s="700"/>
      <c r="AW106" s="738"/>
      <c r="AX106" s="738"/>
      <c r="AY106" s="738"/>
      <c r="AZ106" s="40"/>
      <c r="BB106"/>
    </row>
    <row r="107" spans="1:54" ht="17.25" hidden="1" outlineLevel="1">
      <c r="B107" s="17" t="s">
        <v>34</v>
      </c>
      <c r="C107" s="3"/>
      <c r="D107" s="3"/>
      <c r="E107" s="3"/>
      <c r="G107" s="3"/>
      <c r="H107" s="37"/>
      <c r="I107" s="228"/>
      <c r="J107" s="3"/>
      <c r="K107" s="3"/>
      <c r="L107" s="37"/>
      <c r="M107" s="228"/>
      <c r="O107" s="3"/>
      <c r="P107" s="37"/>
      <c r="Q107" s="228"/>
      <c r="S107" s="3"/>
      <c r="T107" s="37"/>
      <c r="U107" s="228"/>
      <c r="V107" s="3"/>
      <c r="W107" s="3"/>
      <c r="X107" s="3"/>
      <c r="Y107" s="3"/>
      <c r="Z107" s="3"/>
      <c r="AA107" s="37"/>
      <c r="AB107" s="37"/>
      <c r="AC107" s="37"/>
      <c r="AD107" s="37"/>
      <c r="AE107" s="37"/>
      <c r="AF107" s="37"/>
      <c r="AG107" s="37"/>
      <c r="AH107" s="37"/>
      <c r="AI107" s="228"/>
      <c r="AJ107" s="3"/>
      <c r="AK107" s="251"/>
      <c r="AL107" s="251"/>
      <c r="AM107" s="251"/>
      <c r="AN107" s="701"/>
      <c r="AO107" s="702"/>
      <c r="AP107" s="251"/>
      <c r="AQ107" s="251"/>
      <c r="AR107" s="701"/>
      <c r="AS107" s="702"/>
      <c r="AT107" s="251"/>
      <c r="AU107" s="251"/>
      <c r="AV107" s="702"/>
      <c r="AW107" s="251"/>
      <c r="AX107" s="251"/>
      <c r="AY107" s="251"/>
      <c r="AZ107" s="40"/>
    </row>
    <row r="108" spans="1:54" ht="5.0999999999999996" hidden="1" customHeight="1" outlineLevel="1">
      <c r="B108" s="17" t="s">
        <v>34</v>
      </c>
      <c r="C108" s="3"/>
      <c r="D108" s="3"/>
      <c r="E108" s="3"/>
      <c r="G108" s="3"/>
      <c r="H108" s="37"/>
      <c r="I108" s="228"/>
      <c r="J108" s="3"/>
      <c r="K108" s="3"/>
      <c r="L108" s="37"/>
      <c r="M108" s="228"/>
      <c r="O108" s="3"/>
      <c r="P108" s="37"/>
      <c r="Q108" s="228"/>
      <c r="S108" s="3"/>
      <c r="T108" s="37"/>
      <c r="U108" s="228"/>
      <c r="V108" s="3"/>
      <c r="W108" s="3"/>
      <c r="X108" s="35"/>
      <c r="Y108" s="3"/>
      <c r="Z108" s="3"/>
      <c r="AA108" s="35"/>
      <c r="AB108" s="35"/>
      <c r="AC108" s="35"/>
      <c r="AD108" s="35"/>
      <c r="AE108" s="35"/>
      <c r="AF108" s="35"/>
      <c r="AG108" s="35"/>
      <c r="AH108" s="37"/>
      <c r="AI108" s="228"/>
      <c r="AJ108" s="3"/>
      <c r="AK108" s="251"/>
      <c r="AL108" s="251"/>
      <c r="AM108" s="251"/>
      <c r="AN108" s="701"/>
      <c r="AO108" s="702"/>
      <c r="AP108" s="251"/>
      <c r="AQ108" s="251"/>
      <c r="AR108" s="701"/>
      <c r="AS108" s="702"/>
      <c r="AT108" s="251"/>
      <c r="AU108" s="251"/>
      <c r="AV108" s="702"/>
      <c r="AW108" s="251"/>
      <c r="AX108" s="251"/>
      <c r="AY108" s="251"/>
      <c r="AZ108" s="40"/>
    </row>
    <row r="109" spans="1:54" s="21" customFormat="1" ht="15.75" hidden="1" customHeight="1" outlineLevel="1">
      <c r="B109" s="134" t="s">
        <v>34</v>
      </c>
      <c r="C109" s="3"/>
      <c r="D109" s="739" t="s">
        <v>48</v>
      </c>
      <c r="E109" s="740" t="s">
        <v>52</v>
      </c>
      <c r="F109" s="2"/>
      <c r="G109" s="53" t="s">
        <v>37</v>
      </c>
      <c r="H109" s="52"/>
      <c r="I109" s="741" t="str">
        <f>IFERROR((H110/H109),"-")</f>
        <v>-</v>
      </c>
      <c r="J109" s="2"/>
      <c r="K109" s="53" t="s">
        <v>37</v>
      </c>
      <c r="L109" s="52"/>
      <c r="M109" s="741" t="str">
        <f>IFERROR((L110/L109),"-")</f>
        <v>-</v>
      </c>
      <c r="N109" s="2"/>
      <c r="O109" s="53" t="s">
        <v>37</v>
      </c>
      <c r="P109" s="52"/>
      <c r="Q109" s="741" t="str">
        <f>IFERROR((P110/P109),"-")</f>
        <v>-</v>
      </c>
      <c r="R109" s="2"/>
      <c r="S109" s="53" t="s">
        <v>37</v>
      </c>
      <c r="T109" s="52"/>
      <c r="U109" s="741" t="str">
        <f>IFERROR((T110/T109),"-")</f>
        <v>-</v>
      </c>
      <c r="V109" s="2"/>
      <c r="W109" s="53" t="s">
        <v>37</v>
      </c>
      <c r="X109" s="52">
        <f>SUMIF($AA$7:$AG$7,"="&amp;$D$4,$AA109:$AG109)</f>
        <v>0</v>
      </c>
      <c r="Y109" s="743" t="str">
        <f>IFERROR((X110/X109),"-")</f>
        <v>-</v>
      </c>
      <c r="Z109" s="2"/>
      <c r="AA109" s="52">
        <f>SUMIFS('Report Pacote 07-08'!AD:AD,'Report Pacote 07-08'!$CB:$CB,$D93,'Report Pacote 07-08'!$J:$J,$W109)</f>
        <v>0</v>
      </c>
      <c r="AB109" s="52">
        <f>SUMIFS('Report Pacote 07-08'!AE:AE,'Report Pacote 07-08'!$CB:$CB,$D93,'Report Pacote 07-08'!$J:$J,$W109)</f>
        <v>0</v>
      </c>
      <c r="AC109" s="52">
        <f>SUMIFS('Report Pacote 07-08'!AF:AF,'Report Pacote 07-08'!$CB:$CB,$D93,'Report Pacote 07-08'!$J:$J,$W109)</f>
        <v>0</v>
      </c>
      <c r="AD109" s="52">
        <f>SUMIFS('Report Pacote 07-08'!AG:AG,'Report Pacote 07-08'!$CB:$CB,$D93,'Report Pacote 07-08'!$J:$J,$W109)</f>
        <v>0</v>
      </c>
      <c r="AE109" s="52">
        <f>SUMIFS('Report Pacote 07-08'!AH:AH,'Report Pacote 07-08'!$CB:$CB,$D93,'Report Pacote 07-08'!$J:$J,$W109)</f>
        <v>0</v>
      </c>
      <c r="AF109" s="52">
        <f>SUMIFS('Report Pacote 07-08'!AI:AI,'Report Pacote 07-08'!$CB:$CB,$D93,'Report Pacote 07-08'!$J:$J,$W109)</f>
        <v>0</v>
      </c>
      <c r="AG109" s="52">
        <f>SUMIFS('Report Pacote 07-08'!AJ:AJ,'Report Pacote 07-08'!$CB:$CB,$D93,'Report Pacote 07-08'!$J:$J,$W109)</f>
        <v>0</v>
      </c>
      <c r="AH109" s="52">
        <f>SUMIF($AA$7:$AG$7,"&lt;="&amp;$D$4,$AA109:$AG109)</f>
        <v>0</v>
      </c>
      <c r="AI109" s="741" t="str">
        <f>IFERROR((AH110/AH109),"-")</f>
        <v>-</v>
      </c>
      <c r="AJ109" s="2"/>
      <c r="AK109" s="737">
        <f>SUMIFS('Report Pacote 07-08'!BM:BM,'Report Pacote 07-08'!$CB:$CB,$D93,'Report Pacote 07-08'!$J:$J,$W109)</f>
        <v>0</v>
      </c>
      <c r="AL109" s="737">
        <f>SUMIFS('Report Pacote 07-08'!BN:BN,'Report Pacote 07-08'!$CB:$CB,$D93,'Report Pacote 07-08'!$J:$J,$W109)</f>
        <v>0</v>
      </c>
      <c r="AM109" s="737">
        <f>SUMIFS('Report Pacote 07-08'!BO:BO,'Report Pacote 07-08'!$CB:$CB,$D93,'Report Pacote 07-08'!$J:$J,$W109)</f>
        <v>0</v>
      </c>
      <c r="AN109" s="745" t="str">
        <f>IFERROR((AM109/AL109),"-")</f>
        <v>-</v>
      </c>
      <c r="AO109" s="700"/>
      <c r="AP109" s="747">
        <v>3071.22</v>
      </c>
      <c r="AQ109" s="747">
        <v>3621</v>
      </c>
      <c r="AR109" s="750">
        <f>IFERROR((AP109/AQ109),"-")</f>
        <v>0.84816901408450696</v>
      </c>
      <c r="AS109" s="700"/>
      <c r="AT109" s="747">
        <v>10559</v>
      </c>
      <c r="AU109" s="747">
        <f>AT109-AP109</f>
        <v>7487.7800000000007</v>
      </c>
      <c r="AV109" s="700"/>
      <c r="AW109" s="737">
        <f ca="1">AK109/Quadros!$D$4</f>
        <v>0</v>
      </c>
      <c r="AX109" s="737">
        <f>AM109/Quadros!$D$6</f>
        <v>0</v>
      </c>
      <c r="AY109" s="737">
        <f ca="1">IF((AK109-AM109)/(Quadros!$D$4-Quadros!$D$6)&lt;0,"-",(AK109-AM109)/(Quadros!$D$4-Quadros!$D$6))</f>
        <v>0</v>
      </c>
      <c r="AZ109" s="40"/>
      <c r="BB109"/>
    </row>
    <row r="110" spans="1:54" s="16" customFormat="1" ht="20.45" hidden="1" customHeight="1" outlineLevel="1">
      <c r="A110" s="21"/>
      <c r="B110" s="133" t="s">
        <v>34</v>
      </c>
      <c r="C110" s="3"/>
      <c r="D110" s="739"/>
      <c r="E110" s="740"/>
      <c r="F110" s="2"/>
      <c r="G110" s="54" t="s">
        <v>38</v>
      </c>
      <c r="H110" s="52"/>
      <c r="I110" s="742"/>
      <c r="J110" s="2"/>
      <c r="K110" s="54" t="s">
        <v>38</v>
      </c>
      <c r="L110" s="52"/>
      <c r="M110" s="742"/>
      <c r="N110" s="2"/>
      <c r="O110" s="54" t="s">
        <v>38</v>
      </c>
      <c r="P110" s="52"/>
      <c r="Q110" s="742"/>
      <c r="R110" s="2"/>
      <c r="S110" s="54" t="s">
        <v>38</v>
      </c>
      <c r="T110" s="52"/>
      <c r="U110" s="742"/>
      <c r="V110" s="2"/>
      <c r="W110" s="54" t="s">
        <v>38</v>
      </c>
      <c r="X110" s="52">
        <f>SUMIF($AA$7:$AG$7,"="&amp;$D$4,$AA110:$AG110)</f>
        <v>0</v>
      </c>
      <c r="Y110" s="744"/>
      <c r="Z110" s="2"/>
      <c r="AA110" s="52">
        <f>SUMIFS('Report Pacote 07-08'!AD:AD,'Report Pacote 07-08'!$CB:$CB,$D94,'Report Pacote 07-08'!$J:$J,$W110)</f>
        <v>0</v>
      </c>
      <c r="AB110" s="52">
        <f>SUMIFS('Report Pacote 07-08'!AE:AE,'Report Pacote 07-08'!$CB:$CB,$D94,'Report Pacote 07-08'!$J:$J,$W110)</f>
        <v>0</v>
      </c>
      <c r="AC110" s="52">
        <f>SUMIFS('Report Pacote 07-08'!AF:AF,'Report Pacote 07-08'!$CB:$CB,$D94,'Report Pacote 07-08'!$J:$J,$W110)</f>
        <v>0</v>
      </c>
      <c r="AD110" s="52">
        <f>SUMIFS('Report Pacote 07-08'!AG:AG,'Report Pacote 07-08'!$CB:$CB,$D94,'Report Pacote 07-08'!$J:$J,$W110)</f>
        <v>0</v>
      </c>
      <c r="AE110" s="52">
        <f>SUMIFS('Report Pacote 07-08'!AH:AH,'Report Pacote 07-08'!$CB:$CB,$D94,'Report Pacote 07-08'!$J:$J,$W110)</f>
        <v>0</v>
      </c>
      <c r="AF110" s="52">
        <f>SUMIFS('Report Pacote 07-08'!AI:AI,'Report Pacote 07-08'!$CB:$CB,$D94,'Report Pacote 07-08'!$J:$J,$W110)</f>
        <v>0</v>
      </c>
      <c r="AG110" s="52">
        <f>SUMIFS('Report Pacote 07-08'!AJ:AJ,'Report Pacote 07-08'!$CB:$CB,$D94,'Report Pacote 07-08'!$J:$J,$W110)</f>
        <v>0</v>
      </c>
      <c r="AH110" s="52">
        <f>SUMIF($AA$7:$AG$7,"&lt;="&amp;$D$4,$AA110:$AG110)</f>
        <v>0</v>
      </c>
      <c r="AI110" s="742"/>
      <c r="AJ110" s="2"/>
      <c r="AK110" s="738">
        <f>SUMIFS('Report Pacote 07-08'!X:X,'Report Pacote 07-08'!$CB:$CB,$A110,'Report Pacote 07-08'!$J:$J,$W110)</f>
        <v>0</v>
      </c>
      <c r="AL110" s="738">
        <f>SUMIFS('Report Pacote 07-08'!Y:Y,'Report Pacote 07-08'!$CB:$CB,$A110,'Report Pacote 07-08'!$J:$J,$W110)</f>
        <v>0</v>
      </c>
      <c r="AM110" s="738">
        <f>SUMIFS('Report Pacote 07-08'!Z:Z,'Report Pacote 07-08'!$CB:$CB,$A110,'Report Pacote 07-08'!$J:$J,$W110)</f>
        <v>0</v>
      </c>
      <c r="AN110" s="746"/>
      <c r="AO110" s="700"/>
      <c r="AP110" s="748"/>
      <c r="AQ110" s="749"/>
      <c r="AR110" s="751"/>
      <c r="AS110" s="700"/>
      <c r="AT110" s="748"/>
      <c r="AU110" s="749"/>
      <c r="AV110" s="700"/>
      <c r="AW110" s="738"/>
      <c r="AX110" s="738"/>
      <c r="AY110" s="738"/>
      <c r="AZ110" s="40"/>
      <c r="BB110"/>
    </row>
    <row r="111" spans="1:54" hidden="1" outlineLevel="1">
      <c r="C111" s="3"/>
      <c r="D111" s="3"/>
      <c r="E111" s="3"/>
      <c r="G111" s="3"/>
      <c r="H111" s="3"/>
      <c r="I111" s="3"/>
      <c r="J111" s="3"/>
      <c r="K111" s="3"/>
      <c r="L111" s="3"/>
      <c r="M111" s="3"/>
      <c r="O111" s="3"/>
      <c r="P111" s="3"/>
      <c r="Q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spans="1:54" collapsed="1"/>
  </sheetData>
  <mergeCells count="523">
    <mergeCell ref="BC57:BC58"/>
    <mergeCell ref="BC61:BC62"/>
    <mergeCell ref="BC65:BC66"/>
    <mergeCell ref="BS6:BS7"/>
    <mergeCell ref="Q89:Q90"/>
    <mergeCell ref="Q85:Q86"/>
    <mergeCell ref="Q77:Q78"/>
    <mergeCell ref="Q61:Q62"/>
    <mergeCell ref="Q57:Q58"/>
    <mergeCell ref="Q53:Q54"/>
    <mergeCell ref="Q49:Q50"/>
    <mergeCell ref="Q45:Q46"/>
    <mergeCell ref="Q41:Q42"/>
    <mergeCell ref="Q37:Q38"/>
    <mergeCell ref="Q33:Q34"/>
    <mergeCell ref="Q29:Q30"/>
    <mergeCell ref="AW53:AW54"/>
    <mergeCell ref="AW57:AW58"/>
    <mergeCell ref="AW61:AW62"/>
    <mergeCell ref="AY41:AY42"/>
    <mergeCell ref="AY45:AY46"/>
    <mergeCell ref="AY49:AY50"/>
    <mergeCell ref="AY53:AY54"/>
    <mergeCell ref="AY57:AY58"/>
    <mergeCell ref="BU6:BU7"/>
    <mergeCell ref="BW6:BW7"/>
    <mergeCell ref="AX53:AX54"/>
    <mergeCell ref="AX57:AX58"/>
    <mergeCell ref="AX61:AX62"/>
    <mergeCell ref="AX65:AX66"/>
    <mergeCell ref="AY37:AY38"/>
    <mergeCell ref="AY21:AY22"/>
    <mergeCell ref="AY25:AY26"/>
    <mergeCell ref="AY29:AY30"/>
    <mergeCell ref="AY33:AY34"/>
    <mergeCell ref="AX21:AX22"/>
    <mergeCell ref="AX25:AX26"/>
    <mergeCell ref="AX29:AX30"/>
    <mergeCell ref="AX33:AX34"/>
    <mergeCell ref="AX37:AX38"/>
    <mergeCell ref="AX41:AX42"/>
    <mergeCell ref="AX45:AX46"/>
    <mergeCell ref="AX49:AX50"/>
    <mergeCell ref="BB53:BB54"/>
    <mergeCell ref="BB57:BB58"/>
    <mergeCell ref="BB61:BB62"/>
    <mergeCell ref="BB65:BB66"/>
    <mergeCell ref="BC53:BC54"/>
    <mergeCell ref="AW4:AY4"/>
    <mergeCell ref="AY6:AY7"/>
    <mergeCell ref="AY9:AY10"/>
    <mergeCell ref="AY13:AY14"/>
    <mergeCell ref="AY17:AY18"/>
    <mergeCell ref="AX6:AX7"/>
    <mergeCell ref="AX9:AX10"/>
    <mergeCell ref="AX13:AX14"/>
    <mergeCell ref="AX17:AX18"/>
    <mergeCell ref="AW6:AW7"/>
    <mergeCell ref="AW9:AW10"/>
    <mergeCell ref="AW13:AW14"/>
    <mergeCell ref="AW17:AW18"/>
    <mergeCell ref="AW65:AW66"/>
    <mergeCell ref="AW21:AW22"/>
    <mergeCell ref="AW25:AW26"/>
    <mergeCell ref="AW29:AW30"/>
    <mergeCell ref="AW33:AW34"/>
    <mergeCell ref="AW37:AW38"/>
    <mergeCell ref="AW41:AW42"/>
    <mergeCell ref="AW45:AW46"/>
    <mergeCell ref="AW49:AW50"/>
    <mergeCell ref="AN81:AN82"/>
    <mergeCell ref="AP81:AP82"/>
    <mergeCell ref="AQ81:AQ82"/>
    <mergeCell ref="AR81:AR82"/>
    <mergeCell ref="AT81:AT82"/>
    <mergeCell ref="AU81:AU82"/>
    <mergeCell ref="AQ49:AQ50"/>
    <mergeCell ref="AU61:AU62"/>
    <mergeCell ref="AU53:AU54"/>
    <mergeCell ref="AU57:AU58"/>
    <mergeCell ref="AQ57:AQ58"/>
    <mergeCell ref="AT65:AT66"/>
    <mergeCell ref="AR77:AR78"/>
    <mergeCell ref="AT77:AT78"/>
    <mergeCell ref="AP77:AP78"/>
    <mergeCell ref="AQ77:AQ78"/>
    <mergeCell ref="AP73:AP74"/>
    <mergeCell ref="AQ73:AQ74"/>
    <mergeCell ref="AR73:AR74"/>
    <mergeCell ref="AT73:AT74"/>
    <mergeCell ref="AU69:AU70"/>
    <mergeCell ref="AP69:AP70"/>
    <mergeCell ref="AQ69:AQ70"/>
    <mergeCell ref="AR69:AR70"/>
    <mergeCell ref="AU45:AU46"/>
    <mergeCell ref="AU49:AU50"/>
    <mergeCell ref="AQ53:AQ54"/>
    <mergeCell ref="AR53:AR54"/>
    <mergeCell ref="AT53:AT54"/>
    <mergeCell ref="AQ45:AQ46"/>
    <mergeCell ref="AR45:AR46"/>
    <mergeCell ref="AT45:AT46"/>
    <mergeCell ref="AR57:AR58"/>
    <mergeCell ref="AT57:AT58"/>
    <mergeCell ref="AR49:AR50"/>
    <mergeCell ref="AT49:AT50"/>
    <mergeCell ref="AT69:AT70"/>
    <mergeCell ref="AU77:AU78"/>
    <mergeCell ref="AU73:AU74"/>
    <mergeCell ref="AU65:AU66"/>
    <mergeCell ref="AY61:AY62"/>
    <mergeCell ref="AY65:AY66"/>
    <mergeCell ref="D81:D82"/>
    <mergeCell ref="E81:E82"/>
    <mergeCell ref="Q81:Q82"/>
    <mergeCell ref="AI81:AI82"/>
    <mergeCell ref="AK81:AK82"/>
    <mergeCell ref="AL81:AL82"/>
    <mergeCell ref="AM81:AM82"/>
    <mergeCell ref="D61:D62"/>
    <mergeCell ref="E61:E62"/>
    <mergeCell ref="AK61:AK62"/>
    <mergeCell ref="D65:D66"/>
    <mergeCell ref="E65:E66"/>
    <mergeCell ref="AK65:AK66"/>
    <mergeCell ref="AQ61:AQ62"/>
    <mergeCell ref="AR61:AR62"/>
    <mergeCell ref="AT61:AT62"/>
    <mergeCell ref="Q65:Q66"/>
    <mergeCell ref="AL61:AL62"/>
    <mergeCell ref="AQ29:AQ30"/>
    <mergeCell ref="AL45:AL46"/>
    <mergeCell ref="AL49:AL50"/>
    <mergeCell ref="AR29:AR30"/>
    <mergeCell ref="AT29:AT30"/>
    <mergeCell ref="AQ41:AQ42"/>
    <mergeCell ref="AR41:AR42"/>
    <mergeCell ref="AL21:AL22"/>
    <mergeCell ref="AL25:AL26"/>
    <mergeCell ref="AL29:AL30"/>
    <mergeCell ref="AL33:AL34"/>
    <mergeCell ref="AL37:AL38"/>
    <mergeCell ref="AL41:AL42"/>
    <mergeCell ref="AT41:AT42"/>
    <mergeCell ref="AM45:AM46"/>
    <mergeCell ref="AN45:AN46"/>
    <mergeCell ref="AP45:AP46"/>
    <mergeCell ref="AM49:AM50"/>
    <mergeCell ref="AN49:AN50"/>
    <mergeCell ref="AP49:AP50"/>
    <mergeCell ref="D29:D30"/>
    <mergeCell ref="E29:E30"/>
    <mergeCell ref="AI53:AI54"/>
    <mergeCell ref="D37:D38"/>
    <mergeCell ref="E37:E38"/>
    <mergeCell ref="D33:D34"/>
    <mergeCell ref="E33:E34"/>
    <mergeCell ref="D9:D10"/>
    <mergeCell ref="E9:E10"/>
    <mergeCell ref="D49:D50"/>
    <mergeCell ref="E49:E50"/>
    <mergeCell ref="D45:D46"/>
    <mergeCell ref="E45:E46"/>
    <mergeCell ref="Y49:Y50"/>
    <mergeCell ref="AI45:AI46"/>
    <mergeCell ref="U49:U50"/>
    <mergeCell ref="Q9:Q10"/>
    <mergeCell ref="D21:D22"/>
    <mergeCell ref="E21:E22"/>
    <mergeCell ref="AI29:AI30"/>
    <mergeCell ref="AI33:AI34"/>
    <mergeCell ref="Y29:Y30"/>
    <mergeCell ref="Y33:Y34"/>
    <mergeCell ref="Y37:Y38"/>
    <mergeCell ref="D4:E4"/>
    <mergeCell ref="D6:D7"/>
    <mergeCell ref="E6:E7"/>
    <mergeCell ref="Q6:Q7"/>
    <mergeCell ref="P6:P7"/>
    <mergeCell ref="O6:O7"/>
    <mergeCell ref="AI6:AI7"/>
    <mergeCell ref="AI9:AI10"/>
    <mergeCell ref="AQ9:AQ10"/>
    <mergeCell ref="AL6:AL7"/>
    <mergeCell ref="AL9:AL10"/>
    <mergeCell ref="Y9:Y10"/>
    <mergeCell ref="AK9:AK10"/>
    <mergeCell ref="AM9:AM10"/>
    <mergeCell ref="AN9:AN10"/>
    <mergeCell ref="I6:I7"/>
    <mergeCell ref="M6:M7"/>
    <mergeCell ref="G6:G7"/>
    <mergeCell ref="H6:H7"/>
    <mergeCell ref="K6:K7"/>
    <mergeCell ref="L6:L7"/>
    <mergeCell ref="AR13:AR14"/>
    <mergeCell ref="AR17:AR18"/>
    <mergeCell ref="AT17:AT18"/>
    <mergeCell ref="D13:D14"/>
    <mergeCell ref="E13:E14"/>
    <mergeCell ref="AK13:AK14"/>
    <mergeCell ref="W6:X7"/>
    <mergeCell ref="AH6:AH7"/>
    <mergeCell ref="S6:S7"/>
    <mergeCell ref="T6:T7"/>
    <mergeCell ref="U6:U7"/>
    <mergeCell ref="U9:U10"/>
    <mergeCell ref="AL13:AL14"/>
    <mergeCell ref="AL17:AL18"/>
    <mergeCell ref="AM13:AM14"/>
    <mergeCell ref="D17:D18"/>
    <mergeCell ref="E17:E18"/>
    <mergeCell ref="AU6:AU7"/>
    <mergeCell ref="AK6:AK7"/>
    <mergeCell ref="AM6:AM7"/>
    <mergeCell ref="AN6:AN7"/>
    <mergeCell ref="AP6:AP7"/>
    <mergeCell ref="AU9:AU10"/>
    <mergeCell ref="AP9:AP10"/>
    <mergeCell ref="AR21:AR22"/>
    <mergeCell ref="AT21:AT22"/>
    <mergeCell ref="AU21:AU22"/>
    <mergeCell ref="AM21:AM22"/>
    <mergeCell ref="AN21:AN22"/>
    <mergeCell ref="AP21:AP22"/>
    <mergeCell ref="AT13:AT14"/>
    <mergeCell ref="AU13:AU14"/>
    <mergeCell ref="AU17:AU18"/>
    <mergeCell ref="AQ6:AQ7"/>
    <mergeCell ref="AR6:AR7"/>
    <mergeCell ref="AT6:AT7"/>
    <mergeCell ref="AR9:AR10"/>
    <mergeCell ref="AT9:AT10"/>
    <mergeCell ref="AK17:AK18"/>
    <mergeCell ref="AN13:AN14"/>
    <mergeCell ref="AP13:AP14"/>
    <mergeCell ref="AK21:AK22"/>
    <mergeCell ref="AM17:AM18"/>
    <mergeCell ref="AN17:AN18"/>
    <mergeCell ref="AP17:AP18"/>
    <mergeCell ref="AQ17:AQ18"/>
    <mergeCell ref="AQ21:AQ22"/>
    <mergeCell ref="Q13:Q14"/>
    <mergeCell ref="Q17:Q18"/>
    <mergeCell ref="Q21:Q22"/>
    <mergeCell ref="AI13:AI14"/>
    <mergeCell ref="AI17:AI18"/>
    <mergeCell ref="AI21:AI22"/>
    <mergeCell ref="Y13:Y14"/>
    <mergeCell ref="Y17:Y18"/>
    <mergeCell ref="Y21:Y22"/>
    <mergeCell ref="U13:U14"/>
    <mergeCell ref="U17:U18"/>
    <mergeCell ref="U21:U22"/>
    <mergeCell ref="AQ13:AQ14"/>
    <mergeCell ref="AU25:AU26"/>
    <mergeCell ref="AM25:AM26"/>
    <mergeCell ref="AN25:AN26"/>
    <mergeCell ref="AP25:AP26"/>
    <mergeCell ref="D25:D26"/>
    <mergeCell ref="E25:E26"/>
    <mergeCell ref="AK25:AK26"/>
    <mergeCell ref="AI25:AI26"/>
    <mergeCell ref="Q25:Q26"/>
    <mergeCell ref="Y25:Y26"/>
    <mergeCell ref="U25:U26"/>
    <mergeCell ref="AR25:AR26"/>
    <mergeCell ref="AT25:AT26"/>
    <mergeCell ref="AQ25:AQ26"/>
    <mergeCell ref="AU29:AU30"/>
    <mergeCell ref="AK29:AK30"/>
    <mergeCell ref="AM29:AM30"/>
    <mergeCell ref="AN29:AN30"/>
    <mergeCell ref="AP29:AP30"/>
    <mergeCell ref="AI49:AI50"/>
    <mergeCell ref="AI41:AI42"/>
    <mergeCell ref="AI37:AI38"/>
    <mergeCell ref="AQ33:AQ34"/>
    <mergeCell ref="AR33:AR34"/>
    <mergeCell ref="AT33:AT34"/>
    <mergeCell ref="AU33:AU34"/>
    <mergeCell ref="AM33:AM34"/>
    <mergeCell ref="AN33:AN34"/>
    <mergeCell ref="AP33:AP34"/>
    <mergeCell ref="AK33:AK34"/>
    <mergeCell ref="AQ37:AQ38"/>
    <mergeCell ref="AR37:AR38"/>
    <mergeCell ref="AT37:AT38"/>
    <mergeCell ref="AU37:AU38"/>
    <mergeCell ref="AK37:AK38"/>
    <mergeCell ref="AM37:AM38"/>
    <mergeCell ref="AN37:AN38"/>
    <mergeCell ref="AP37:AP38"/>
    <mergeCell ref="AU41:AU42"/>
    <mergeCell ref="AM41:AM42"/>
    <mergeCell ref="AN41:AN42"/>
    <mergeCell ref="AP41:AP42"/>
    <mergeCell ref="D41:D42"/>
    <mergeCell ref="E41:E42"/>
    <mergeCell ref="AK41:AK42"/>
    <mergeCell ref="D57:D58"/>
    <mergeCell ref="E57:E58"/>
    <mergeCell ref="AM53:AM54"/>
    <mergeCell ref="AN53:AN54"/>
    <mergeCell ref="AP53:AP54"/>
    <mergeCell ref="D53:D54"/>
    <mergeCell ref="E53:E54"/>
    <mergeCell ref="AK53:AK54"/>
    <mergeCell ref="AK57:AK58"/>
    <mergeCell ref="AM57:AM58"/>
    <mergeCell ref="AN57:AN58"/>
    <mergeCell ref="AP57:AP58"/>
    <mergeCell ref="AL57:AL58"/>
    <mergeCell ref="U53:U54"/>
    <mergeCell ref="AL53:AL54"/>
    <mergeCell ref="AK45:AK46"/>
    <mergeCell ref="AK49:AK50"/>
    <mergeCell ref="AL65:AL66"/>
    <mergeCell ref="AI65:AI66"/>
    <mergeCell ref="AM65:AM66"/>
    <mergeCell ref="AN65:AN66"/>
    <mergeCell ref="AP65:AP66"/>
    <mergeCell ref="AQ65:AQ66"/>
    <mergeCell ref="AR65:AR66"/>
    <mergeCell ref="AM61:AM62"/>
    <mergeCell ref="AN61:AN62"/>
    <mergeCell ref="AP61:AP62"/>
    <mergeCell ref="D69:D70"/>
    <mergeCell ref="E69:E70"/>
    <mergeCell ref="AK69:AK70"/>
    <mergeCell ref="AM69:AM70"/>
    <mergeCell ref="AN69:AN70"/>
    <mergeCell ref="O69:O70"/>
    <mergeCell ref="Q69:Q70"/>
    <mergeCell ref="AA69:AA70"/>
    <mergeCell ref="AI69:AI70"/>
    <mergeCell ref="Y69:Y70"/>
    <mergeCell ref="AL69:AL70"/>
    <mergeCell ref="S69:S70"/>
    <mergeCell ref="AK73:AK74"/>
    <mergeCell ref="AM73:AM74"/>
    <mergeCell ref="AN73:AN74"/>
    <mergeCell ref="Q73:Q74"/>
    <mergeCell ref="AI73:AI74"/>
    <mergeCell ref="D73:D74"/>
    <mergeCell ref="E73:E74"/>
    <mergeCell ref="AI77:AI78"/>
    <mergeCell ref="Y73:Y74"/>
    <mergeCell ref="Y77:Y78"/>
    <mergeCell ref="D77:D78"/>
    <mergeCell ref="E77:E78"/>
    <mergeCell ref="AK77:AK78"/>
    <mergeCell ref="AM77:AM78"/>
    <mergeCell ref="AN77:AN78"/>
    <mergeCell ref="AL73:AL74"/>
    <mergeCell ref="AL77:AL78"/>
    <mergeCell ref="AP89:AP90"/>
    <mergeCell ref="AQ89:AQ90"/>
    <mergeCell ref="AR89:AR90"/>
    <mergeCell ref="AT89:AT90"/>
    <mergeCell ref="AU89:AU90"/>
    <mergeCell ref="AU85:AU86"/>
    <mergeCell ref="D89:D90"/>
    <mergeCell ref="E89:E90"/>
    <mergeCell ref="AK89:AK90"/>
    <mergeCell ref="AM89:AM90"/>
    <mergeCell ref="AN89:AN90"/>
    <mergeCell ref="AP85:AP86"/>
    <mergeCell ref="AQ85:AQ86"/>
    <mergeCell ref="AR85:AR86"/>
    <mergeCell ref="AT85:AT86"/>
    <mergeCell ref="D85:D86"/>
    <mergeCell ref="E85:E86"/>
    <mergeCell ref="AK85:AK86"/>
    <mergeCell ref="AM85:AM86"/>
    <mergeCell ref="AN85:AN86"/>
    <mergeCell ref="AI85:AI86"/>
    <mergeCell ref="AL85:AL86"/>
    <mergeCell ref="AL89:AL90"/>
    <mergeCell ref="AI89:AI90"/>
    <mergeCell ref="AI57:AI58"/>
    <mergeCell ref="AI61:AI62"/>
    <mergeCell ref="Y85:Y86"/>
    <mergeCell ref="Y89:Y90"/>
    <mergeCell ref="Y81:Y82"/>
    <mergeCell ref="Y53:Y54"/>
    <mergeCell ref="Y57:Y58"/>
    <mergeCell ref="Y61:Y62"/>
    <mergeCell ref="Y65:Y66"/>
    <mergeCell ref="Y41:Y42"/>
    <mergeCell ref="Y45:Y46"/>
    <mergeCell ref="U29:U30"/>
    <mergeCell ref="U33:U34"/>
    <mergeCell ref="U37:U38"/>
    <mergeCell ref="U41:U42"/>
    <mergeCell ref="U45:U46"/>
    <mergeCell ref="U89:U90"/>
    <mergeCell ref="U57:U58"/>
    <mergeCell ref="U61:U62"/>
    <mergeCell ref="U65:U66"/>
    <mergeCell ref="U69:U70"/>
    <mergeCell ref="U73:U74"/>
    <mergeCell ref="U77:U78"/>
    <mergeCell ref="U81:U82"/>
    <mergeCell ref="U85:U86"/>
    <mergeCell ref="AW69:AW70"/>
    <mergeCell ref="AX69:AX70"/>
    <mergeCell ref="AY69:AY70"/>
    <mergeCell ref="AW73:AW74"/>
    <mergeCell ref="AX73:AX74"/>
    <mergeCell ref="AY73:AY74"/>
    <mergeCell ref="AW77:AW78"/>
    <mergeCell ref="AX77:AX78"/>
    <mergeCell ref="AY77:AY78"/>
    <mergeCell ref="AW81:AW82"/>
    <mergeCell ref="AX81:AX82"/>
    <mergeCell ref="AY81:AY82"/>
    <mergeCell ref="AW85:AW86"/>
    <mergeCell ref="AX85:AX86"/>
    <mergeCell ref="AY85:AY86"/>
    <mergeCell ref="AW89:AW90"/>
    <mergeCell ref="AX89:AX90"/>
    <mergeCell ref="AY89:AY90"/>
    <mergeCell ref="D93:D94"/>
    <mergeCell ref="E93:E94"/>
    <mergeCell ref="I93:I94"/>
    <mergeCell ref="M93:M94"/>
    <mergeCell ref="Q93:Q94"/>
    <mergeCell ref="U93:U94"/>
    <mergeCell ref="Y93:Y94"/>
    <mergeCell ref="AI93:AI94"/>
    <mergeCell ref="AK93:AK94"/>
    <mergeCell ref="AL93:AL94"/>
    <mergeCell ref="AM93:AM94"/>
    <mergeCell ref="AN93:AN94"/>
    <mergeCell ref="AP93:AP94"/>
    <mergeCell ref="AQ93:AQ94"/>
    <mergeCell ref="AR93:AR94"/>
    <mergeCell ref="AT93:AT94"/>
    <mergeCell ref="AU93:AU94"/>
    <mergeCell ref="AW93:AW94"/>
    <mergeCell ref="AX101:AX102"/>
    <mergeCell ref="AY101:AY102"/>
    <mergeCell ref="AX93:AX94"/>
    <mergeCell ref="AY93:AY94"/>
    <mergeCell ref="D97:D98"/>
    <mergeCell ref="E97:E98"/>
    <mergeCell ref="I97:I98"/>
    <mergeCell ref="M97:M98"/>
    <mergeCell ref="Q97:Q98"/>
    <mergeCell ref="U97:U98"/>
    <mergeCell ref="Y97:Y98"/>
    <mergeCell ref="AI97:AI98"/>
    <mergeCell ref="AK97:AK98"/>
    <mergeCell ref="AL97:AL98"/>
    <mergeCell ref="AM97:AM98"/>
    <mergeCell ref="AN97:AN98"/>
    <mergeCell ref="AP97:AP98"/>
    <mergeCell ref="AQ97:AQ98"/>
    <mergeCell ref="AR97:AR98"/>
    <mergeCell ref="AT97:AT98"/>
    <mergeCell ref="AU97:AU98"/>
    <mergeCell ref="AW97:AW98"/>
    <mergeCell ref="AX97:AX98"/>
    <mergeCell ref="AY97:AY98"/>
    <mergeCell ref="AL101:AL102"/>
    <mergeCell ref="AM101:AM102"/>
    <mergeCell ref="AN101:AN102"/>
    <mergeCell ref="AP101:AP102"/>
    <mergeCell ref="AQ101:AQ102"/>
    <mergeCell ref="AR101:AR102"/>
    <mergeCell ref="AT101:AT102"/>
    <mergeCell ref="AU101:AU102"/>
    <mergeCell ref="AW101:AW102"/>
    <mergeCell ref="D101:D102"/>
    <mergeCell ref="E101:E102"/>
    <mergeCell ref="I101:I102"/>
    <mergeCell ref="M101:M102"/>
    <mergeCell ref="Q101:Q102"/>
    <mergeCell ref="U101:U102"/>
    <mergeCell ref="Y101:Y102"/>
    <mergeCell ref="AI101:AI102"/>
    <mergeCell ref="AK101:AK102"/>
    <mergeCell ref="AN105:AN106"/>
    <mergeCell ref="AP105:AP106"/>
    <mergeCell ref="AQ105:AQ106"/>
    <mergeCell ref="AR105:AR106"/>
    <mergeCell ref="AT105:AT106"/>
    <mergeCell ref="AU105:AU106"/>
    <mergeCell ref="AW105:AW106"/>
    <mergeCell ref="D105:D106"/>
    <mergeCell ref="E105:E106"/>
    <mergeCell ref="I105:I106"/>
    <mergeCell ref="M105:M106"/>
    <mergeCell ref="Q105:Q106"/>
    <mergeCell ref="U105:U106"/>
    <mergeCell ref="Y105:Y106"/>
    <mergeCell ref="AI105:AI106"/>
    <mergeCell ref="AK105:AK106"/>
    <mergeCell ref="AX105:AX106"/>
    <mergeCell ref="AY105:AY106"/>
    <mergeCell ref="D109:D110"/>
    <mergeCell ref="E109:E110"/>
    <mergeCell ref="I109:I110"/>
    <mergeCell ref="M109:M110"/>
    <mergeCell ref="Q109:Q110"/>
    <mergeCell ref="U109:U110"/>
    <mergeCell ref="Y109:Y110"/>
    <mergeCell ref="AI109:AI110"/>
    <mergeCell ref="AK109:AK110"/>
    <mergeCell ref="AL109:AL110"/>
    <mergeCell ref="AM109:AM110"/>
    <mergeCell ref="AN109:AN110"/>
    <mergeCell ref="AP109:AP110"/>
    <mergeCell ref="AQ109:AQ110"/>
    <mergeCell ref="AR109:AR110"/>
    <mergeCell ref="AT109:AT110"/>
    <mergeCell ref="AU109:AU110"/>
    <mergeCell ref="AW109:AW110"/>
    <mergeCell ref="AX109:AX110"/>
    <mergeCell ref="AY109:AY110"/>
    <mergeCell ref="AL105:AL106"/>
    <mergeCell ref="AM105:AM106"/>
  </mergeCells>
  <conditionalFormatting sqref="H9:H12">
    <cfRule type="cellIs" dxfId="1522" priority="171" operator="equal">
      <formula>0</formula>
    </cfRule>
  </conditionalFormatting>
  <conditionalFormatting sqref="H13:H14">
    <cfRule type="cellIs" dxfId="1521" priority="6" operator="equal">
      <formula>0</formula>
    </cfRule>
  </conditionalFormatting>
  <conditionalFormatting sqref="H15:H16 H19:H20 H23:H24">
    <cfRule type="cellIs" dxfId="1520" priority="172" operator="equal">
      <formula>0</formula>
    </cfRule>
  </conditionalFormatting>
  <conditionalFormatting sqref="H17:H18">
    <cfRule type="cellIs" dxfId="1519" priority="16" operator="equal">
      <formula>0</formula>
    </cfRule>
  </conditionalFormatting>
  <conditionalFormatting sqref="H21:H22">
    <cfRule type="cellIs" dxfId="1518" priority="26" operator="equal">
      <formula>0</formula>
    </cfRule>
  </conditionalFormatting>
  <conditionalFormatting sqref="H25:H26">
    <cfRule type="cellIs" dxfId="1517" priority="36" operator="equal">
      <formula>0</formula>
    </cfRule>
  </conditionalFormatting>
  <conditionalFormatting sqref="H27:H32">
    <cfRule type="cellIs" dxfId="1516" priority="167" operator="equal">
      <formula>0</formula>
    </cfRule>
  </conditionalFormatting>
  <conditionalFormatting sqref="H33:H34">
    <cfRule type="cellIs" dxfId="1515" priority="46" operator="equal">
      <formula>0</formula>
    </cfRule>
  </conditionalFormatting>
  <conditionalFormatting sqref="H35:H36 H39:H40 H43:H44">
    <cfRule type="cellIs" dxfId="1514" priority="169" operator="equal">
      <formula>0</formula>
    </cfRule>
  </conditionalFormatting>
  <conditionalFormatting sqref="H37:H38">
    <cfRule type="cellIs" dxfId="1513" priority="55" operator="equal">
      <formula>0</formula>
    </cfRule>
  </conditionalFormatting>
  <conditionalFormatting sqref="H41:H42">
    <cfRule type="cellIs" dxfId="1512" priority="64" operator="equal">
      <formula>0</formula>
    </cfRule>
  </conditionalFormatting>
  <conditionalFormatting sqref="H45:H46">
    <cfRule type="cellIs" dxfId="1511" priority="73" operator="equal">
      <formula>0</formula>
    </cfRule>
  </conditionalFormatting>
  <conditionalFormatting sqref="H47:H52">
    <cfRule type="cellIs" dxfId="1510" priority="163" operator="equal">
      <formula>0</formula>
    </cfRule>
  </conditionalFormatting>
  <conditionalFormatting sqref="H53:H54">
    <cfRule type="cellIs" dxfId="1509" priority="162" operator="equal">
      <formula>0</formula>
    </cfRule>
  </conditionalFormatting>
  <conditionalFormatting sqref="H55:H56 H59:H60 H63:H64 H67:H68">
    <cfRule type="cellIs" dxfId="1508" priority="165" operator="equal">
      <formula>0</formula>
    </cfRule>
  </conditionalFormatting>
  <conditionalFormatting sqref="H57:H58">
    <cfRule type="cellIs" dxfId="1507" priority="164" operator="equal">
      <formula>0</formula>
    </cfRule>
  </conditionalFormatting>
  <conditionalFormatting sqref="H61:H62">
    <cfRule type="cellIs" dxfId="1506" priority="161" operator="equal">
      <formula>0</formula>
    </cfRule>
  </conditionalFormatting>
  <conditionalFormatting sqref="H65:H66">
    <cfRule type="cellIs" dxfId="1505" priority="159" operator="equal">
      <formula>0</formula>
    </cfRule>
  </conditionalFormatting>
  <conditionalFormatting sqref="H73:H74">
    <cfRule type="cellIs" dxfId="1504" priority="160" operator="equal">
      <formula>0</formula>
    </cfRule>
  </conditionalFormatting>
  <conditionalFormatting sqref="H77:H83">
    <cfRule type="cellIs" dxfId="1503" priority="154" operator="equal">
      <formula>0</formula>
    </cfRule>
  </conditionalFormatting>
  <conditionalFormatting sqref="H85:H86">
    <cfRule type="cellIs" dxfId="1502" priority="156" operator="equal">
      <formula>0</formula>
    </cfRule>
  </conditionalFormatting>
  <conditionalFormatting sqref="H89:H90">
    <cfRule type="cellIs" dxfId="1501" priority="155" operator="equal">
      <formula>0</formula>
    </cfRule>
  </conditionalFormatting>
  <conditionalFormatting sqref="H93:H96">
    <cfRule type="cellIs" dxfId="1500" priority="259" operator="equal">
      <formula>0</formula>
    </cfRule>
  </conditionalFormatting>
  <conditionalFormatting sqref="H97:H98">
    <cfRule type="cellIs" dxfId="1499" priority="258" operator="equal">
      <formula>0</formula>
    </cfRule>
  </conditionalFormatting>
  <conditionalFormatting sqref="H99:H100 H103:H104 H107:H108">
    <cfRule type="cellIs" dxfId="1498" priority="261" operator="equal">
      <formula>0</formula>
    </cfRule>
  </conditionalFormatting>
  <conditionalFormatting sqref="H101:H102">
    <cfRule type="cellIs" dxfId="1497" priority="260" operator="equal">
      <formula>0</formula>
    </cfRule>
  </conditionalFormatting>
  <conditionalFormatting sqref="H105:H106">
    <cfRule type="cellIs" dxfId="1496" priority="257" operator="equal">
      <formula>0</formula>
    </cfRule>
  </conditionalFormatting>
  <conditionalFormatting sqref="H109:H110">
    <cfRule type="cellIs" dxfId="1495" priority="256" operator="equal">
      <formula>0</formula>
    </cfRule>
  </conditionalFormatting>
  <conditionalFormatting sqref="I69">
    <cfRule type="dataBar" priority="213">
      <dataBar>
        <cfvo type="num" val="0"/>
        <cfvo type="num" val="1"/>
        <color theme="4" tint="0.79998168889431442"/>
      </dataBar>
      <extLst>
        <ext xmlns:x14="http://schemas.microsoft.com/office/spreadsheetml/2009/9/main" uri="{B025F937-C7B1-47D3-B67F-A62EFF666E3E}">
          <x14:id>{34B2A682-BEDB-4B4F-AC60-19639DEF74F2}</x14:id>
        </ext>
      </extLst>
    </cfRule>
    <cfRule type="iconSet" priority="212">
      <iconSet iconSet="3Arrows">
        <cfvo type="percent" val="0"/>
        <cfvo type="num" val="0.7"/>
        <cfvo type="num" val="1"/>
      </iconSet>
    </cfRule>
  </conditionalFormatting>
  <conditionalFormatting sqref="I69:I70">
    <cfRule type="iconSet" priority="125">
      <iconSet iconSet="3Arrows">
        <cfvo type="percent" val="0"/>
        <cfvo type="num" val="0.9"/>
        <cfvo type="num" val="0.95"/>
      </iconSet>
    </cfRule>
  </conditionalFormatting>
  <conditionalFormatting sqref="I71:I90 I9:I68">
    <cfRule type="iconSet" priority="321">
      <iconSet iconSet="3Arrows">
        <cfvo type="percent" val="0"/>
        <cfvo type="num" val="0.9"/>
        <cfvo type="num" val="0.95"/>
      </iconSet>
    </cfRule>
    <cfRule type="iconSet" priority="128">
      <iconSet iconSet="3Arrows">
        <cfvo type="percent" val="0"/>
        <cfvo type="num" val="0.9"/>
        <cfvo type="num" val="0.95"/>
      </iconSet>
    </cfRule>
  </conditionalFormatting>
  <conditionalFormatting sqref="I93:I110">
    <cfRule type="iconSet" priority="242">
      <iconSet iconSet="3Arrows">
        <cfvo type="percent" val="0"/>
        <cfvo type="num" val="0.9"/>
        <cfvo type="num" val="0.95"/>
      </iconSet>
    </cfRule>
  </conditionalFormatting>
  <conditionalFormatting sqref="L9:L12">
    <cfRule type="cellIs" dxfId="1494" priority="151" operator="equal">
      <formula>0</formula>
    </cfRule>
  </conditionalFormatting>
  <conditionalFormatting sqref="L13:L14">
    <cfRule type="cellIs" dxfId="1493" priority="5" operator="equal">
      <formula>0</formula>
    </cfRule>
  </conditionalFormatting>
  <conditionalFormatting sqref="L15:L16 L19:L20 L23:L24">
    <cfRule type="cellIs" dxfId="1492" priority="152" operator="equal">
      <formula>0</formula>
    </cfRule>
  </conditionalFormatting>
  <conditionalFormatting sqref="L17:L18">
    <cfRule type="cellIs" dxfId="1491" priority="15" operator="equal">
      <formula>0</formula>
    </cfRule>
  </conditionalFormatting>
  <conditionalFormatting sqref="L21:L22">
    <cfRule type="cellIs" dxfId="1490" priority="25" operator="equal">
      <formula>0</formula>
    </cfRule>
  </conditionalFormatting>
  <conditionalFormatting sqref="L25:L26">
    <cfRule type="cellIs" dxfId="1489" priority="35" operator="equal">
      <formula>0</formula>
    </cfRule>
  </conditionalFormatting>
  <conditionalFormatting sqref="L27:L32">
    <cfRule type="cellIs" dxfId="1488" priority="149" operator="equal">
      <formula>0</formula>
    </cfRule>
  </conditionalFormatting>
  <conditionalFormatting sqref="L33:L34">
    <cfRule type="cellIs" dxfId="1487" priority="45" operator="equal">
      <formula>0</formula>
    </cfRule>
  </conditionalFormatting>
  <conditionalFormatting sqref="L35:L36">
    <cfRule type="cellIs" dxfId="1486" priority="145" operator="equal">
      <formula>0</formula>
    </cfRule>
  </conditionalFormatting>
  <conditionalFormatting sqref="L37:L38">
    <cfRule type="cellIs" dxfId="1485" priority="54" operator="equal">
      <formula>0</formula>
    </cfRule>
  </conditionalFormatting>
  <conditionalFormatting sqref="L39:L40 L43:L44">
    <cfRule type="cellIs" dxfId="1484" priority="150" operator="equal">
      <formula>0</formula>
    </cfRule>
  </conditionalFormatting>
  <conditionalFormatting sqref="L41:L42">
    <cfRule type="cellIs" dxfId="1483" priority="63" operator="equal">
      <formula>0</formula>
    </cfRule>
  </conditionalFormatting>
  <conditionalFormatting sqref="L45:L46">
    <cfRule type="cellIs" dxfId="1482" priority="72" operator="equal">
      <formula>0</formula>
    </cfRule>
  </conditionalFormatting>
  <conditionalFormatting sqref="L47:L52">
    <cfRule type="cellIs" dxfId="1481" priority="147" operator="equal">
      <formula>0</formula>
    </cfRule>
  </conditionalFormatting>
  <conditionalFormatting sqref="L53:L54">
    <cfRule type="cellIs" dxfId="1480" priority="133" operator="equal">
      <formula>0</formula>
    </cfRule>
  </conditionalFormatting>
  <conditionalFormatting sqref="L55:L56">
    <cfRule type="cellIs" dxfId="1479" priority="143" operator="equal">
      <formula>0</formula>
    </cfRule>
  </conditionalFormatting>
  <conditionalFormatting sqref="L57:L58">
    <cfRule type="cellIs" dxfId="1478" priority="132" operator="equal">
      <formula>0</formula>
    </cfRule>
  </conditionalFormatting>
  <conditionalFormatting sqref="L59:L60 L63:L64 L67:L68">
    <cfRule type="cellIs" dxfId="1477" priority="148" operator="equal">
      <formula>0</formula>
    </cfRule>
  </conditionalFormatting>
  <conditionalFormatting sqref="L61:L62">
    <cfRule type="cellIs" dxfId="1476" priority="131" operator="equal">
      <formula>0</formula>
    </cfRule>
  </conditionalFormatting>
  <conditionalFormatting sqref="L65:L66">
    <cfRule type="cellIs" dxfId="1475" priority="140" operator="equal">
      <formula>0</formula>
    </cfRule>
  </conditionalFormatting>
  <conditionalFormatting sqref="L73:L74">
    <cfRule type="cellIs" dxfId="1474" priority="137" operator="equal">
      <formula>0</formula>
    </cfRule>
  </conditionalFormatting>
  <conditionalFormatting sqref="L77:L83">
    <cfRule type="cellIs" dxfId="1473" priority="136" operator="equal">
      <formula>0</formula>
    </cfRule>
  </conditionalFormatting>
  <conditionalFormatting sqref="L85:L86">
    <cfRule type="cellIs" dxfId="1472" priority="135" operator="equal">
      <formula>0</formula>
    </cfRule>
  </conditionalFormatting>
  <conditionalFormatting sqref="L89:L90">
    <cfRule type="cellIs" dxfId="1471" priority="134" operator="equal">
      <formula>0</formula>
    </cfRule>
  </conditionalFormatting>
  <conditionalFormatting sqref="L93:L96">
    <cfRule type="cellIs" dxfId="1470" priority="253" operator="equal">
      <formula>0</formula>
    </cfRule>
  </conditionalFormatting>
  <conditionalFormatting sqref="L97:L98">
    <cfRule type="cellIs" dxfId="1469" priority="252" operator="equal">
      <formula>0</formula>
    </cfRule>
  </conditionalFormatting>
  <conditionalFormatting sqref="L99:L100 L103:L104 L107:L108">
    <cfRule type="cellIs" dxfId="1468" priority="255" operator="equal">
      <formula>0</formula>
    </cfRule>
  </conditionalFormatting>
  <conditionalFormatting sqref="L101:L102">
    <cfRule type="cellIs" dxfId="1467" priority="254" operator="equal">
      <formula>0</formula>
    </cfRule>
  </conditionalFormatting>
  <conditionalFormatting sqref="L105:L106">
    <cfRule type="cellIs" dxfId="1466" priority="251" operator="equal">
      <formula>0</formula>
    </cfRule>
  </conditionalFormatting>
  <conditionalFormatting sqref="L109:L110">
    <cfRule type="cellIs" dxfId="1465" priority="250" operator="equal">
      <formula>0</formula>
    </cfRule>
  </conditionalFormatting>
  <conditionalFormatting sqref="M9:M90">
    <cfRule type="iconSet" priority="127">
      <iconSet iconSet="3Arrows">
        <cfvo type="percent" val="0"/>
        <cfvo type="num" val="0.9"/>
        <cfvo type="num" val="0.95"/>
      </iconSet>
    </cfRule>
  </conditionalFormatting>
  <conditionalFormatting sqref="M69:M70">
    <cfRule type="iconSet" priority="223">
      <iconSet iconSet="3Arrows">
        <cfvo type="percent" val="0"/>
        <cfvo type="num" val="0.9"/>
        <cfvo type="num" val="0.95"/>
      </iconSet>
    </cfRule>
  </conditionalFormatting>
  <conditionalFormatting sqref="M71:M90 M9:M68">
    <cfRule type="iconSet" priority="320">
      <iconSet iconSet="3Arrows">
        <cfvo type="percent" val="0"/>
        <cfvo type="num" val="0.9"/>
        <cfvo type="num" val="0.95"/>
      </iconSet>
    </cfRule>
  </conditionalFormatting>
  <conditionalFormatting sqref="M93:M110">
    <cfRule type="iconSet" priority="241">
      <iconSet iconSet="3Arrows">
        <cfvo type="percent" val="0"/>
        <cfvo type="num" val="0.9"/>
        <cfvo type="num" val="0.95"/>
      </iconSet>
    </cfRule>
  </conditionalFormatting>
  <conditionalFormatting sqref="P9:P12">
    <cfRule type="cellIs" dxfId="1464" priority="194" operator="equal">
      <formula>0</formula>
    </cfRule>
  </conditionalFormatting>
  <conditionalFormatting sqref="P13:P14">
    <cfRule type="cellIs" dxfId="1463" priority="7" operator="equal">
      <formula>0</formula>
    </cfRule>
  </conditionalFormatting>
  <conditionalFormatting sqref="P15:P16 P19:P20 P23:P24">
    <cfRule type="cellIs" dxfId="1462" priority="195" operator="equal">
      <formula>0</formula>
    </cfRule>
  </conditionalFormatting>
  <conditionalFormatting sqref="P17:P18">
    <cfRule type="cellIs" dxfId="1461" priority="17" operator="equal">
      <formula>0</formula>
    </cfRule>
  </conditionalFormatting>
  <conditionalFormatting sqref="P21:P22">
    <cfRule type="cellIs" dxfId="1460" priority="27" operator="equal">
      <formula>0</formula>
    </cfRule>
  </conditionalFormatting>
  <conditionalFormatting sqref="P25:P26">
    <cfRule type="cellIs" dxfId="1459" priority="37" operator="equal">
      <formula>0</formula>
    </cfRule>
  </conditionalFormatting>
  <conditionalFormatting sqref="P27:P32">
    <cfRule type="cellIs" dxfId="1458" priority="192" operator="equal">
      <formula>0</formula>
    </cfRule>
  </conditionalFormatting>
  <conditionalFormatting sqref="P33:P34">
    <cfRule type="cellIs" dxfId="1457" priority="47" operator="equal">
      <formula>0</formula>
    </cfRule>
  </conditionalFormatting>
  <conditionalFormatting sqref="P35:P36">
    <cfRule type="cellIs" dxfId="1456" priority="188" operator="equal">
      <formula>0</formula>
    </cfRule>
  </conditionalFormatting>
  <conditionalFormatting sqref="P37:P38">
    <cfRule type="cellIs" dxfId="1455" priority="56" operator="equal">
      <formula>0</formula>
    </cfRule>
  </conditionalFormatting>
  <conditionalFormatting sqref="P39:P40 P43:P44">
    <cfRule type="cellIs" dxfId="1454" priority="193" operator="equal">
      <formula>0</formula>
    </cfRule>
  </conditionalFormatting>
  <conditionalFormatting sqref="P41:P42">
    <cfRule type="cellIs" dxfId="1453" priority="65" operator="equal">
      <formula>0</formula>
    </cfRule>
  </conditionalFormatting>
  <conditionalFormatting sqref="P45:P46">
    <cfRule type="cellIs" dxfId="1452" priority="74" operator="equal">
      <formula>0</formula>
    </cfRule>
  </conditionalFormatting>
  <conditionalFormatting sqref="P47:P52">
    <cfRule type="cellIs" dxfId="1451" priority="190" operator="equal">
      <formula>0</formula>
    </cfRule>
  </conditionalFormatting>
  <conditionalFormatting sqref="P53:P54">
    <cfRule type="cellIs" dxfId="1450" priority="177" operator="equal">
      <formula>0</formula>
    </cfRule>
  </conditionalFormatting>
  <conditionalFormatting sqref="P55:P56">
    <cfRule type="cellIs" dxfId="1449" priority="186" operator="equal">
      <formula>0</formula>
    </cfRule>
  </conditionalFormatting>
  <conditionalFormatting sqref="P57:P58">
    <cfRule type="cellIs" dxfId="1448" priority="176" operator="equal">
      <formula>0</formula>
    </cfRule>
  </conditionalFormatting>
  <conditionalFormatting sqref="P59:P60 P63:P64 P67:P68">
    <cfRule type="cellIs" dxfId="1447" priority="191" operator="equal">
      <formula>0</formula>
    </cfRule>
  </conditionalFormatting>
  <conditionalFormatting sqref="P61:P62">
    <cfRule type="cellIs" dxfId="1446" priority="175" operator="equal">
      <formula>0</formula>
    </cfRule>
  </conditionalFormatting>
  <conditionalFormatting sqref="P65:P66">
    <cfRule type="cellIs" dxfId="1445" priority="183" operator="equal">
      <formula>0</formula>
    </cfRule>
  </conditionalFormatting>
  <conditionalFormatting sqref="P73:P74">
    <cfRule type="cellIs" dxfId="1444" priority="180" operator="equal">
      <formula>0</formula>
    </cfRule>
  </conditionalFormatting>
  <conditionalFormatting sqref="P77:P83">
    <cfRule type="cellIs" dxfId="1443" priority="126" operator="equal">
      <formula>0</formula>
    </cfRule>
  </conditionalFormatting>
  <conditionalFormatting sqref="P85:P86">
    <cfRule type="cellIs" dxfId="1442" priority="179" operator="equal">
      <formula>0</formula>
    </cfRule>
  </conditionalFormatting>
  <conditionalFormatting sqref="P89:P90">
    <cfRule type="cellIs" dxfId="1441" priority="178" operator="equal">
      <formula>0</formula>
    </cfRule>
  </conditionalFormatting>
  <conditionalFormatting sqref="P93:P96">
    <cfRule type="cellIs" dxfId="1440" priority="248" operator="equal">
      <formula>0</formula>
    </cfRule>
  </conditionalFormatting>
  <conditionalFormatting sqref="P97:P98">
    <cfRule type="cellIs" dxfId="1439" priority="245" operator="equal">
      <formula>0</formula>
    </cfRule>
  </conditionalFormatting>
  <conditionalFormatting sqref="P99:P100">
    <cfRule type="cellIs" dxfId="1438" priority="247" operator="equal">
      <formula>0</formula>
    </cfRule>
  </conditionalFormatting>
  <conditionalFormatting sqref="P101:P102">
    <cfRule type="cellIs" dxfId="1437" priority="244" operator="equal">
      <formula>0</formula>
    </cfRule>
  </conditionalFormatting>
  <conditionalFormatting sqref="P103:P104 P107:P108">
    <cfRule type="cellIs" dxfId="1436" priority="249" operator="equal">
      <formula>0</formula>
    </cfRule>
  </conditionalFormatting>
  <conditionalFormatting sqref="P105:P106">
    <cfRule type="cellIs" dxfId="1435" priority="243" operator="equal">
      <formula>0</formula>
    </cfRule>
  </conditionalFormatting>
  <conditionalFormatting sqref="P109:P110">
    <cfRule type="cellIs" dxfId="1434" priority="246" operator="equal">
      <formula>0</formula>
    </cfRule>
  </conditionalFormatting>
  <conditionalFormatting sqref="Q9:Q90">
    <cfRule type="iconSet" priority="196">
      <iconSet iconSet="3Arrows">
        <cfvo type="percent" val="0"/>
        <cfvo type="num" val="0.9"/>
        <cfvo type="num" val="0.95"/>
      </iconSet>
    </cfRule>
    <cfRule type="iconSet" priority="319">
      <iconSet iconSet="3Arrows">
        <cfvo type="percent" val="0"/>
        <cfvo type="num" val="0.9"/>
        <cfvo type="num" val="0.95"/>
      </iconSet>
    </cfRule>
  </conditionalFormatting>
  <conditionalFormatting sqref="Q93:Q110">
    <cfRule type="iconSet" priority="240">
      <iconSet iconSet="3Arrows">
        <cfvo type="percent" val="0"/>
        <cfvo type="num" val="0.9"/>
        <cfvo type="num" val="0.95"/>
      </iconSet>
    </cfRule>
  </conditionalFormatting>
  <conditionalFormatting sqref="T9:T12">
    <cfRule type="cellIs" dxfId="1433" priority="122" operator="equal">
      <formula>0</formula>
    </cfRule>
  </conditionalFormatting>
  <conditionalFormatting sqref="T13:T14">
    <cfRule type="cellIs" dxfId="1432" priority="4" operator="equal">
      <formula>0</formula>
    </cfRule>
  </conditionalFormatting>
  <conditionalFormatting sqref="T15:T16 T19:T20 T23:T24">
    <cfRule type="cellIs" dxfId="1431" priority="123" operator="equal">
      <formula>0</formula>
    </cfRule>
  </conditionalFormatting>
  <conditionalFormatting sqref="T17:T18">
    <cfRule type="cellIs" dxfId="1430" priority="14" operator="equal">
      <formula>0</formula>
    </cfRule>
  </conditionalFormatting>
  <conditionalFormatting sqref="T21:T22">
    <cfRule type="cellIs" dxfId="1429" priority="24" operator="equal">
      <formula>0</formula>
    </cfRule>
  </conditionalFormatting>
  <conditionalFormatting sqref="T25:T26">
    <cfRule type="cellIs" dxfId="1428" priority="34" operator="equal">
      <formula>0</formula>
    </cfRule>
  </conditionalFormatting>
  <conditionalFormatting sqref="T27:T32">
    <cfRule type="cellIs" dxfId="1427" priority="120" operator="equal">
      <formula>0</formula>
    </cfRule>
  </conditionalFormatting>
  <conditionalFormatting sqref="T33:T34">
    <cfRule type="cellIs" dxfId="1426" priority="44" operator="equal">
      <formula>0</formula>
    </cfRule>
  </conditionalFormatting>
  <conditionalFormatting sqref="T35:T36">
    <cfRule type="cellIs" dxfId="1425" priority="116" operator="equal">
      <formula>0</formula>
    </cfRule>
  </conditionalFormatting>
  <conditionalFormatting sqref="T37:T38">
    <cfRule type="cellIs" dxfId="1424" priority="53" operator="equal">
      <formula>0</formula>
    </cfRule>
  </conditionalFormatting>
  <conditionalFormatting sqref="T39:T40 T43:T44">
    <cfRule type="cellIs" dxfId="1423" priority="121" operator="equal">
      <formula>0</formula>
    </cfRule>
  </conditionalFormatting>
  <conditionalFormatting sqref="T41:T42">
    <cfRule type="cellIs" dxfId="1422" priority="62" operator="equal">
      <formula>0</formula>
    </cfRule>
  </conditionalFormatting>
  <conditionalFormatting sqref="T45:T46">
    <cfRule type="cellIs" dxfId="1421" priority="71" operator="equal">
      <formula>0</formula>
    </cfRule>
  </conditionalFormatting>
  <conditionalFormatting sqref="T47:T52">
    <cfRule type="cellIs" dxfId="1420" priority="118" operator="equal">
      <formula>0</formula>
    </cfRule>
  </conditionalFormatting>
  <conditionalFormatting sqref="T53:T54">
    <cfRule type="cellIs" dxfId="1419" priority="108" operator="equal">
      <formula>0</formula>
    </cfRule>
  </conditionalFormatting>
  <conditionalFormatting sqref="T55:T56">
    <cfRule type="cellIs" dxfId="1418" priority="114" operator="equal">
      <formula>0</formula>
    </cfRule>
  </conditionalFormatting>
  <conditionalFormatting sqref="T57:T58">
    <cfRule type="cellIs" dxfId="1417" priority="106" operator="equal">
      <formula>0</formula>
    </cfRule>
  </conditionalFormatting>
  <conditionalFormatting sqref="T59:T60 T63:T64">
    <cfRule type="cellIs" dxfId="1416" priority="119" operator="equal">
      <formula>0</formula>
    </cfRule>
  </conditionalFormatting>
  <conditionalFormatting sqref="T62">
    <cfRule type="cellIs" dxfId="1415" priority="102" operator="equal">
      <formula>0</formula>
    </cfRule>
  </conditionalFormatting>
  <conditionalFormatting sqref="T65:T66">
    <cfRule type="cellIs" dxfId="1414" priority="112" operator="equal">
      <formula>0</formula>
    </cfRule>
  </conditionalFormatting>
  <conditionalFormatting sqref="T67:T70">
    <cfRule type="cellIs" dxfId="1413" priority="101" operator="equal">
      <formula>0</formula>
    </cfRule>
  </conditionalFormatting>
  <conditionalFormatting sqref="T74">
    <cfRule type="cellIs" dxfId="1412" priority="110" operator="equal">
      <formula>0</formula>
    </cfRule>
  </conditionalFormatting>
  <conditionalFormatting sqref="T78:T83">
    <cfRule type="cellIs" dxfId="1411" priority="99" operator="equal">
      <formula>0</formula>
    </cfRule>
  </conditionalFormatting>
  <conditionalFormatting sqref="T85:T86">
    <cfRule type="cellIs" dxfId="1410" priority="100" operator="equal">
      <formula>0</formula>
    </cfRule>
  </conditionalFormatting>
  <conditionalFormatting sqref="T89:T90">
    <cfRule type="cellIs" dxfId="1409" priority="109" operator="equal">
      <formula>0</formula>
    </cfRule>
  </conditionalFormatting>
  <conditionalFormatting sqref="T93:T96">
    <cfRule type="cellIs" dxfId="1408" priority="268" operator="equal">
      <formula>0</formula>
    </cfRule>
  </conditionalFormatting>
  <conditionalFormatting sqref="T97:T98">
    <cfRule type="cellIs" dxfId="1407" priority="265" operator="equal">
      <formula>0</formula>
    </cfRule>
  </conditionalFormatting>
  <conditionalFormatting sqref="T99:T100">
    <cfRule type="cellIs" dxfId="1406" priority="267" operator="equal">
      <formula>0</formula>
    </cfRule>
  </conditionalFormatting>
  <conditionalFormatting sqref="T101:T102">
    <cfRule type="cellIs" dxfId="1405" priority="264" operator="equal">
      <formula>0</formula>
    </cfRule>
  </conditionalFormatting>
  <conditionalFormatting sqref="T103:T104 T107:T108">
    <cfRule type="cellIs" dxfId="1404" priority="269" operator="equal">
      <formula>0</formula>
    </cfRule>
  </conditionalFormatting>
  <conditionalFormatting sqref="T105:T106">
    <cfRule type="cellIs" dxfId="1403" priority="263" operator="equal">
      <formula>0</formula>
    </cfRule>
  </conditionalFormatting>
  <conditionalFormatting sqref="T109:T110">
    <cfRule type="cellIs" dxfId="1402" priority="266" operator="equal">
      <formula>0</formula>
    </cfRule>
  </conditionalFormatting>
  <conditionalFormatting sqref="U71:U90 U9:U68">
    <cfRule type="iconSet" priority="124">
      <iconSet iconSet="3Arrows">
        <cfvo type="percent" val="0"/>
        <cfvo type="num" val="0.9"/>
        <cfvo type="num" val="0.95"/>
      </iconSet>
    </cfRule>
  </conditionalFormatting>
  <conditionalFormatting sqref="U93:U110">
    <cfRule type="iconSet" priority="270">
      <iconSet iconSet="3Arrows">
        <cfvo type="percent" val="0"/>
        <cfvo type="num" val="0.9"/>
        <cfvo type="num" val="0.95"/>
      </iconSet>
    </cfRule>
  </conditionalFormatting>
  <conditionalFormatting sqref="Y9">
    <cfRule type="dataBar" priority="1167">
      <dataBar>
        <cfvo type="num" val="0"/>
        <cfvo type="num" val="1"/>
        <color theme="4" tint="0.79998168889431442"/>
      </dataBar>
      <extLst>
        <ext xmlns:x14="http://schemas.microsoft.com/office/spreadsheetml/2009/9/main" uri="{B025F937-C7B1-47D3-B67F-A62EFF666E3E}">
          <x14:id>{DD475BC3-978C-4744-A5E6-C5DD6A05C90D}</x14:id>
        </ext>
      </extLst>
    </cfRule>
    <cfRule type="iconSet" priority="1166">
      <iconSet iconSet="3Arrows">
        <cfvo type="percent" val="0"/>
        <cfvo type="num" val="0.7"/>
        <cfvo type="num" val="1"/>
      </iconSet>
    </cfRule>
  </conditionalFormatting>
  <conditionalFormatting sqref="Y13">
    <cfRule type="dataBar" priority="11">
      <dataBar>
        <cfvo type="num" val="0"/>
        <cfvo type="num" val="1"/>
        <color theme="4" tint="0.79998168889431442"/>
      </dataBar>
      <extLst>
        <ext xmlns:x14="http://schemas.microsoft.com/office/spreadsheetml/2009/9/main" uri="{B025F937-C7B1-47D3-B67F-A62EFF666E3E}">
          <x14:id>{1918307F-C14F-4509-8D85-7E1C9BFD271F}</x14:id>
        </ext>
      </extLst>
    </cfRule>
    <cfRule type="iconSet" priority="10">
      <iconSet iconSet="3Arrows">
        <cfvo type="percent" val="0"/>
        <cfvo type="num" val="0.7"/>
        <cfvo type="num" val="1"/>
      </iconSet>
    </cfRule>
  </conditionalFormatting>
  <conditionalFormatting sqref="Y17">
    <cfRule type="iconSet" priority="20">
      <iconSet iconSet="3Arrows">
        <cfvo type="percent" val="0"/>
        <cfvo type="num" val="0.7"/>
        <cfvo type="num" val="1"/>
      </iconSet>
    </cfRule>
    <cfRule type="dataBar" priority="21">
      <dataBar>
        <cfvo type="num" val="0"/>
        <cfvo type="num" val="1"/>
        <color theme="4" tint="0.79998168889431442"/>
      </dataBar>
      <extLst>
        <ext xmlns:x14="http://schemas.microsoft.com/office/spreadsheetml/2009/9/main" uri="{B025F937-C7B1-47D3-B67F-A62EFF666E3E}">
          <x14:id>{C6CAA788-2CC0-47F4-BC79-F1635638081D}</x14:id>
        </ext>
      </extLst>
    </cfRule>
  </conditionalFormatting>
  <conditionalFormatting sqref="Y21">
    <cfRule type="iconSet" priority="30">
      <iconSet iconSet="3Arrows">
        <cfvo type="percent" val="0"/>
        <cfvo type="num" val="0.7"/>
        <cfvo type="num" val="1"/>
      </iconSet>
    </cfRule>
    <cfRule type="dataBar" priority="31">
      <dataBar>
        <cfvo type="num" val="0"/>
        <cfvo type="num" val="1"/>
        <color theme="4" tint="0.79998168889431442"/>
      </dataBar>
      <extLst>
        <ext xmlns:x14="http://schemas.microsoft.com/office/spreadsheetml/2009/9/main" uri="{B025F937-C7B1-47D3-B67F-A62EFF666E3E}">
          <x14:id>{09517567-53C6-4A17-9941-2FAB74F53727}</x14:id>
        </ext>
      </extLst>
    </cfRule>
  </conditionalFormatting>
  <conditionalFormatting sqref="Y25">
    <cfRule type="dataBar" priority="41">
      <dataBar>
        <cfvo type="num" val="0"/>
        <cfvo type="num" val="1"/>
        <color theme="4" tint="0.79998168889431442"/>
      </dataBar>
      <extLst>
        <ext xmlns:x14="http://schemas.microsoft.com/office/spreadsheetml/2009/9/main" uri="{B025F937-C7B1-47D3-B67F-A62EFF666E3E}">
          <x14:id>{BCAAB2BB-C01E-4E38-8E61-C620C04A48B9}</x14:id>
        </ext>
      </extLst>
    </cfRule>
    <cfRule type="iconSet" priority="40">
      <iconSet iconSet="3Arrows">
        <cfvo type="percent" val="0"/>
        <cfvo type="num" val="0.7"/>
        <cfvo type="num" val="1"/>
      </iconSet>
    </cfRule>
  </conditionalFormatting>
  <conditionalFormatting sqref="Y29">
    <cfRule type="iconSet" priority="1160">
      <iconSet iconSet="3Arrows">
        <cfvo type="percent" val="0"/>
        <cfvo type="num" val="0.7"/>
        <cfvo type="num" val="1"/>
      </iconSet>
    </cfRule>
    <cfRule type="dataBar" priority="1161">
      <dataBar>
        <cfvo type="num" val="0"/>
        <cfvo type="num" val="1"/>
        <color theme="4" tint="0.79998168889431442"/>
      </dataBar>
      <extLst>
        <ext xmlns:x14="http://schemas.microsoft.com/office/spreadsheetml/2009/9/main" uri="{B025F937-C7B1-47D3-B67F-A62EFF666E3E}">
          <x14:id>{E2BFC054-7964-47AE-B40D-43637C47B341}</x14:id>
        </ext>
      </extLst>
    </cfRule>
  </conditionalFormatting>
  <conditionalFormatting sqref="Y33">
    <cfRule type="iconSet" priority="50">
      <iconSet iconSet="3Arrows">
        <cfvo type="percent" val="0"/>
        <cfvo type="num" val="0.7"/>
        <cfvo type="num" val="1"/>
      </iconSet>
    </cfRule>
    <cfRule type="dataBar" priority="51">
      <dataBar>
        <cfvo type="num" val="0"/>
        <cfvo type="num" val="1"/>
        <color theme="4" tint="0.79998168889431442"/>
      </dataBar>
      <extLst>
        <ext xmlns:x14="http://schemas.microsoft.com/office/spreadsheetml/2009/9/main" uri="{B025F937-C7B1-47D3-B67F-A62EFF666E3E}">
          <x14:id>{C52FA897-6BBF-4CE4-9D54-282FD962DAEB}</x14:id>
        </ext>
      </extLst>
    </cfRule>
  </conditionalFormatting>
  <conditionalFormatting sqref="Y37">
    <cfRule type="iconSet" priority="59">
      <iconSet iconSet="3Arrows">
        <cfvo type="percent" val="0"/>
        <cfvo type="num" val="0.7"/>
        <cfvo type="num" val="1"/>
      </iconSet>
    </cfRule>
    <cfRule type="dataBar" priority="60">
      <dataBar>
        <cfvo type="num" val="0"/>
        <cfvo type="num" val="1"/>
        <color theme="4" tint="0.79998168889431442"/>
      </dataBar>
      <extLst>
        <ext xmlns:x14="http://schemas.microsoft.com/office/spreadsheetml/2009/9/main" uri="{B025F937-C7B1-47D3-B67F-A62EFF666E3E}">
          <x14:id>{82560FBA-F36B-43E0-AA04-0D6E5C79D8CC}</x14:id>
        </ext>
      </extLst>
    </cfRule>
  </conditionalFormatting>
  <conditionalFormatting sqref="Y41">
    <cfRule type="dataBar" priority="69">
      <dataBar>
        <cfvo type="num" val="0"/>
        <cfvo type="num" val="1"/>
        <color theme="4" tint="0.79998168889431442"/>
      </dataBar>
      <extLst>
        <ext xmlns:x14="http://schemas.microsoft.com/office/spreadsheetml/2009/9/main" uri="{B025F937-C7B1-47D3-B67F-A62EFF666E3E}">
          <x14:id>{CC2C3A87-EF39-4CD5-96AF-BD59CFB4D0FF}</x14:id>
        </ext>
      </extLst>
    </cfRule>
    <cfRule type="iconSet" priority="68">
      <iconSet iconSet="3Arrows">
        <cfvo type="percent" val="0"/>
        <cfvo type="num" val="0.7"/>
        <cfvo type="num" val="1"/>
      </iconSet>
    </cfRule>
  </conditionalFormatting>
  <conditionalFormatting sqref="Y45">
    <cfRule type="dataBar" priority="78">
      <dataBar>
        <cfvo type="num" val="0"/>
        <cfvo type="num" val="1"/>
        <color theme="4" tint="0.79998168889431442"/>
      </dataBar>
      <extLst>
        <ext xmlns:x14="http://schemas.microsoft.com/office/spreadsheetml/2009/9/main" uri="{B025F937-C7B1-47D3-B67F-A62EFF666E3E}">
          <x14:id>{0C7C1D8C-2B11-41BD-A0B3-E842DD540043}</x14:id>
        </ext>
      </extLst>
    </cfRule>
    <cfRule type="iconSet" priority="77">
      <iconSet iconSet="3Arrows">
        <cfvo type="percent" val="0"/>
        <cfvo type="num" val="0.7"/>
        <cfvo type="num" val="1"/>
      </iconSet>
    </cfRule>
  </conditionalFormatting>
  <conditionalFormatting sqref="Y49">
    <cfRule type="dataBar" priority="1155">
      <dataBar>
        <cfvo type="num" val="0"/>
        <cfvo type="num" val="1"/>
        <color theme="4" tint="0.79998168889431442"/>
      </dataBar>
      <extLst>
        <ext xmlns:x14="http://schemas.microsoft.com/office/spreadsheetml/2009/9/main" uri="{B025F937-C7B1-47D3-B67F-A62EFF666E3E}">
          <x14:id>{42F79B11-B9C4-49B5-8DD7-15F50FEB7386}</x14:id>
        </ext>
      </extLst>
    </cfRule>
    <cfRule type="iconSet" priority="1154">
      <iconSet iconSet="3Arrows">
        <cfvo type="percent" val="0"/>
        <cfvo type="num" val="0.7"/>
        <cfvo type="num" val="1"/>
      </iconSet>
    </cfRule>
  </conditionalFormatting>
  <conditionalFormatting sqref="Y53">
    <cfRule type="dataBar" priority="843">
      <dataBar>
        <cfvo type="num" val="0"/>
        <cfvo type="num" val="1"/>
        <color theme="4" tint="0.79998168889431442"/>
      </dataBar>
      <extLst>
        <ext xmlns:x14="http://schemas.microsoft.com/office/spreadsheetml/2009/9/main" uri="{B025F937-C7B1-47D3-B67F-A62EFF666E3E}">
          <x14:id>{F4AE73FE-EA84-4358-B7FC-F37EA4AB7297}</x14:id>
        </ext>
      </extLst>
    </cfRule>
    <cfRule type="iconSet" priority="842">
      <iconSet iconSet="3Arrows">
        <cfvo type="percent" val="0"/>
        <cfvo type="num" val="0.7"/>
        <cfvo type="num" val="1"/>
      </iconSet>
    </cfRule>
  </conditionalFormatting>
  <conditionalFormatting sqref="Y57">
    <cfRule type="iconSet" priority="840">
      <iconSet iconSet="3Arrows">
        <cfvo type="percent" val="0"/>
        <cfvo type="num" val="0.7"/>
        <cfvo type="num" val="1"/>
      </iconSet>
    </cfRule>
    <cfRule type="dataBar" priority="841">
      <dataBar>
        <cfvo type="num" val="0"/>
        <cfvo type="num" val="1"/>
        <color theme="4" tint="0.79998168889431442"/>
      </dataBar>
      <extLst>
        <ext xmlns:x14="http://schemas.microsoft.com/office/spreadsheetml/2009/9/main" uri="{B025F937-C7B1-47D3-B67F-A62EFF666E3E}">
          <x14:id>{D1DFA78E-723A-4783-A0FB-5DA60D11D334}</x14:id>
        </ext>
      </extLst>
    </cfRule>
  </conditionalFormatting>
  <conditionalFormatting sqref="Y61">
    <cfRule type="iconSet" priority="1150">
      <iconSet iconSet="3Arrows">
        <cfvo type="percent" val="0"/>
        <cfvo type="num" val="0.7"/>
        <cfvo type="num" val="1"/>
      </iconSet>
    </cfRule>
    <cfRule type="dataBar" priority="1151">
      <dataBar>
        <cfvo type="num" val="0"/>
        <cfvo type="num" val="1"/>
        <color theme="4" tint="0.79998168889431442"/>
      </dataBar>
      <extLst>
        <ext xmlns:x14="http://schemas.microsoft.com/office/spreadsheetml/2009/9/main" uri="{B025F937-C7B1-47D3-B67F-A62EFF666E3E}">
          <x14:id>{F1EDEB27-FB56-432D-8F5D-CAA1A7CDA58D}</x14:id>
        </ext>
      </extLst>
    </cfRule>
  </conditionalFormatting>
  <conditionalFormatting sqref="Y65">
    <cfRule type="iconSet" priority="809">
      <iconSet iconSet="3Arrows">
        <cfvo type="percent" val="0"/>
        <cfvo type="num" val="0.7"/>
        <cfvo type="num" val="1"/>
      </iconSet>
    </cfRule>
    <cfRule type="dataBar" priority="810">
      <dataBar>
        <cfvo type="num" val="0"/>
        <cfvo type="num" val="1"/>
        <color theme="4" tint="0.79998168889431442"/>
      </dataBar>
      <extLst>
        <ext xmlns:x14="http://schemas.microsoft.com/office/spreadsheetml/2009/9/main" uri="{B025F937-C7B1-47D3-B67F-A62EFF666E3E}">
          <x14:id>{19E7F97A-3FDE-4B3F-BED1-524BA9CD2A8F}</x14:id>
        </ext>
      </extLst>
    </cfRule>
  </conditionalFormatting>
  <conditionalFormatting sqref="Y73">
    <cfRule type="iconSet" priority="633">
      <iconSet iconSet="3Arrows">
        <cfvo type="percent" val="0"/>
        <cfvo type="num" val="0.7"/>
        <cfvo type="num" val="1"/>
      </iconSet>
    </cfRule>
    <cfRule type="dataBar" priority="634">
      <dataBar>
        <cfvo type="num" val="0"/>
        <cfvo type="num" val="1"/>
        <color theme="4" tint="0.79998168889431442"/>
      </dataBar>
      <extLst>
        <ext xmlns:x14="http://schemas.microsoft.com/office/spreadsheetml/2009/9/main" uri="{B025F937-C7B1-47D3-B67F-A62EFF666E3E}">
          <x14:id>{F4AEB8C0-E743-47A0-A07C-F1573B60A719}</x14:id>
        </ext>
      </extLst>
    </cfRule>
  </conditionalFormatting>
  <conditionalFormatting sqref="Y77">
    <cfRule type="dataBar" priority="640">
      <dataBar>
        <cfvo type="num" val="0"/>
        <cfvo type="num" val="1"/>
        <color theme="4" tint="0.79998168889431442"/>
      </dataBar>
      <extLst>
        <ext xmlns:x14="http://schemas.microsoft.com/office/spreadsheetml/2009/9/main" uri="{B025F937-C7B1-47D3-B67F-A62EFF666E3E}">
          <x14:id>{BABB8A55-C278-4C0C-B1D3-C6BFD2818913}</x14:id>
        </ext>
      </extLst>
    </cfRule>
    <cfRule type="iconSet" priority="639">
      <iconSet iconSet="3Arrows">
        <cfvo type="percent" val="0"/>
        <cfvo type="num" val="0.7"/>
        <cfvo type="num" val="1"/>
      </iconSet>
    </cfRule>
  </conditionalFormatting>
  <conditionalFormatting sqref="Y81">
    <cfRule type="iconSet" priority="219">
      <iconSet iconSet="3Arrows">
        <cfvo type="percent" val="0"/>
        <cfvo type="num" val="0.7"/>
        <cfvo type="num" val="1"/>
      </iconSet>
    </cfRule>
    <cfRule type="dataBar" priority="220">
      <dataBar>
        <cfvo type="num" val="0"/>
        <cfvo type="num" val="1"/>
        <color theme="4" tint="0.79998168889431442"/>
      </dataBar>
      <extLst>
        <ext xmlns:x14="http://schemas.microsoft.com/office/spreadsheetml/2009/9/main" uri="{B025F937-C7B1-47D3-B67F-A62EFF666E3E}">
          <x14:id>{B23D2DAF-E78B-46C1-BEE2-6194CC9E829A}</x14:id>
        </ext>
      </extLst>
    </cfRule>
  </conditionalFormatting>
  <conditionalFormatting sqref="Y85">
    <cfRule type="dataBar" priority="638">
      <dataBar>
        <cfvo type="num" val="0"/>
        <cfvo type="num" val="1"/>
        <color theme="4" tint="0.79998168889431442"/>
      </dataBar>
      <extLst>
        <ext xmlns:x14="http://schemas.microsoft.com/office/spreadsheetml/2009/9/main" uri="{B025F937-C7B1-47D3-B67F-A62EFF666E3E}">
          <x14:id>{11678597-CA93-4C29-B8F9-CD670F75494B}</x14:id>
        </ext>
      </extLst>
    </cfRule>
    <cfRule type="iconSet" priority="637">
      <iconSet iconSet="3Arrows">
        <cfvo type="percent" val="0"/>
        <cfvo type="num" val="0.7"/>
        <cfvo type="num" val="1"/>
      </iconSet>
    </cfRule>
  </conditionalFormatting>
  <conditionalFormatting sqref="Y89">
    <cfRule type="dataBar" priority="636">
      <dataBar>
        <cfvo type="num" val="0"/>
        <cfvo type="num" val="1"/>
        <color theme="4" tint="0.79998168889431442"/>
      </dataBar>
      <extLst>
        <ext xmlns:x14="http://schemas.microsoft.com/office/spreadsheetml/2009/9/main" uri="{B025F937-C7B1-47D3-B67F-A62EFF666E3E}">
          <x14:id>{B7F7E512-293B-4ACB-844D-5A64E6E0648E}</x14:id>
        </ext>
      </extLst>
    </cfRule>
    <cfRule type="iconSet" priority="635">
      <iconSet iconSet="3Arrows">
        <cfvo type="percent" val="0"/>
        <cfvo type="num" val="0.7"/>
        <cfvo type="num" val="1"/>
      </iconSet>
    </cfRule>
  </conditionalFormatting>
  <conditionalFormatting sqref="Y93">
    <cfRule type="iconSet" priority="288">
      <iconSet iconSet="3Arrows">
        <cfvo type="percent" val="0"/>
        <cfvo type="num" val="0.7"/>
        <cfvo type="num" val="1"/>
      </iconSet>
    </cfRule>
    <cfRule type="dataBar" priority="289">
      <dataBar>
        <cfvo type="num" val="0"/>
        <cfvo type="num" val="1"/>
        <color theme="4" tint="0.79998168889431442"/>
      </dataBar>
      <extLst>
        <ext xmlns:x14="http://schemas.microsoft.com/office/spreadsheetml/2009/9/main" uri="{B025F937-C7B1-47D3-B67F-A62EFF666E3E}">
          <x14:id>{75427468-B7EA-4B2F-B3DD-F2CBA2D59548}</x14:id>
        </ext>
      </extLst>
    </cfRule>
  </conditionalFormatting>
  <conditionalFormatting sqref="Y97">
    <cfRule type="iconSet" priority="283">
      <iconSet iconSet="3Arrows">
        <cfvo type="percent" val="0"/>
        <cfvo type="num" val="0.7"/>
        <cfvo type="num" val="1"/>
      </iconSet>
    </cfRule>
    <cfRule type="dataBar" priority="284">
      <dataBar>
        <cfvo type="num" val="0"/>
        <cfvo type="num" val="1"/>
        <color theme="4" tint="0.79998168889431442"/>
      </dataBar>
      <extLst>
        <ext xmlns:x14="http://schemas.microsoft.com/office/spreadsheetml/2009/9/main" uri="{B025F937-C7B1-47D3-B67F-A62EFF666E3E}">
          <x14:id>{2044A75A-1A19-480E-8576-89158A882F6B}</x14:id>
        </ext>
      </extLst>
    </cfRule>
  </conditionalFormatting>
  <conditionalFormatting sqref="Y101">
    <cfRule type="iconSet" priority="281">
      <iconSet iconSet="3Arrows">
        <cfvo type="percent" val="0"/>
        <cfvo type="num" val="0.7"/>
        <cfvo type="num" val="1"/>
      </iconSet>
    </cfRule>
    <cfRule type="dataBar" priority="282">
      <dataBar>
        <cfvo type="num" val="0"/>
        <cfvo type="num" val="1"/>
        <color theme="4" tint="0.79998168889431442"/>
      </dataBar>
      <extLst>
        <ext xmlns:x14="http://schemas.microsoft.com/office/spreadsheetml/2009/9/main" uri="{B025F937-C7B1-47D3-B67F-A62EFF666E3E}">
          <x14:id>{2D7AABBC-5B17-412C-8BE4-5BA17858C666}</x14:id>
        </ext>
      </extLst>
    </cfRule>
  </conditionalFormatting>
  <conditionalFormatting sqref="Y105">
    <cfRule type="iconSet" priority="286">
      <iconSet iconSet="3Arrows">
        <cfvo type="percent" val="0"/>
        <cfvo type="num" val="0.7"/>
        <cfvo type="num" val="1"/>
      </iconSet>
    </cfRule>
    <cfRule type="dataBar" priority="287">
      <dataBar>
        <cfvo type="num" val="0"/>
        <cfvo type="num" val="1"/>
        <color theme="4" tint="0.79998168889431442"/>
      </dataBar>
      <extLst>
        <ext xmlns:x14="http://schemas.microsoft.com/office/spreadsheetml/2009/9/main" uri="{B025F937-C7B1-47D3-B67F-A62EFF666E3E}">
          <x14:id>{D28055BA-913E-46AC-86AC-7249B51B2283}</x14:id>
        </ext>
      </extLst>
    </cfRule>
  </conditionalFormatting>
  <conditionalFormatting sqref="Y109">
    <cfRule type="iconSet" priority="274">
      <iconSet iconSet="3Arrows">
        <cfvo type="percent" val="0"/>
        <cfvo type="num" val="0.7"/>
        <cfvo type="num" val="1"/>
      </iconSet>
    </cfRule>
    <cfRule type="dataBar" priority="275">
      <dataBar>
        <cfvo type="num" val="0"/>
        <cfvo type="num" val="1"/>
        <color theme="4" tint="0.79998168889431442"/>
      </dataBar>
      <extLst>
        <ext xmlns:x14="http://schemas.microsoft.com/office/spreadsheetml/2009/9/main" uri="{B025F937-C7B1-47D3-B67F-A62EFF666E3E}">
          <x14:id>{52565AB6-3FE6-4060-A493-5BC9C70D8EA0}</x14:id>
        </ext>
      </extLst>
    </cfRule>
  </conditionalFormatting>
  <conditionalFormatting sqref="AA93 AC93:AF93">
    <cfRule type="cellIs" dxfId="1401" priority="294" operator="equal">
      <formula>0</formula>
    </cfRule>
  </conditionalFormatting>
  <conditionalFormatting sqref="AA9:AF10 AH9:AH10 AA11:AH12">
    <cfRule type="cellIs" dxfId="1400" priority="1337" operator="equal">
      <formula>0</formula>
    </cfRule>
  </conditionalFormatting>
  <conditionalFormatting sqref="AA29:AF30 AA31:AG32">
    <cfRule type="cellIs" dxfId="1399" priority="1356" operator="equal">
      <formula>0</formula>
    </cfRule>
  </conditionalFormatting>
  <conditionalFormatting sqref="AA49:AF50 AA51:AG52">
    <cfRule type="cellIs" dxfId="1398" priority="1265" operator="equal">
      <formula>0</formula>
    </cfRule>
  </conditionalFormatting>
  <conditionalFormatting sqref="AA7:AG7">
    <cfRule type="cellIs" dxfId="1397" priority="1195" operator="lessThanOrEqual">
      <formula>$D$4</formula>
    </cfRule>
  </conditionalFormatting>
  <conditionalFormatting sqref="AA15:AG16 AA19:AG20">
    <cfRule type="cellIs" dxfId="1396" priority="90" operator="equal">
      <formula>0</formula>
    </cfRule>
  </conditionalFormatting>
  <conditionalFormatting sqref="AA23:AG24">
    <cfRule type="cellIs" dxfId="1395" priority="95" operator="equal">
      <formula>0</formula>
    </cfRule>
  </conditionalFormatting>
  <conditionalFormatting sqref="AA27:AG27">
    <cfRule type="cellIs" dxfId="1394" priority="1330" operator="equal">
      <formula>0</formula>
    </cfRule>
  </conditionalFormatting>
  <conditionalFormatting sqref="AA35:AG36 AA39:AG40 AA43:AG44 AA55:AG56 AA59:AG60 AA63:AG64">
    <cfRule type="cellIs" dxfId="1393" priority="1229" operator="equal">
      <formula>0</formula>
    </cfRule>
  </conditionalFormatting>
  <conditionalFormatting sqref="AA47:AG47">
    <cfRule type="cellIs" dxfId="1392" priority="1269" operator="equal">
      <formula>0</formula>
    </cfRule>
  </conditionalFormatting>
  <conditionalFormatting sqref="AA67:AG67">
    <cfRule type="cellIs" dxfId="1391" priority="1248" operator="equal">
      <formula>0</formula>
    </cfRule>
  </conditionalFormatting>
  <conditionalFormatting sqref="AA73:AG90">
    <cfRule type="cellIs" dxfId="1390" priority="1009" operator="equal">
      <formula>0</formula>
    </cfRule>
  </conditionalFormatting>
  <conditionalFormatting sqref="AA94:AG96">
    <cfRule type="cellIs" dxfId="1389" priority="236" operator="equal">
      <formula>0</formula>
    </cfRule>
  </conditionalFormatting>
  <conditionalFormatting sqref="AA99:AG100 AA103:AG104 AA107:AG108">
    <cfRule type="cellIs" dxfId="1388" priority="291" operator="equal">
      <formula>0</formula>
    </cfRule>
  </conditionalFormatting>
  <conditionalFormatting sqref="AB58:AG58">
    <cfRule type="cellIs" dxfId="1387" priority="81" operator="equal">
      <formula>0</formula>
    </cfRule>
  </conditionalFormatting>
  <conditionalFormatting sqref="AB66:AG66">
    <cfRule type="cellIs" dxfId="1386" priority="93" operator="equal">
      <formula>0</formula>
    </cfRule>
  </conditionalFormatting>
  <conditionalFormatting sqref="AB69:AG70">
    <cfRule type="cellIs" dxfId="1385" priority="218" operator="equal">
      <formula>0</formula>
    </cfRule>
  </conditionalFormatting>
  <conditionalFormatting sqref="AB14:AH14">
    <cfRule type="cellIs" dxfId="1384" priority="3" operator="equal">
      <formula>0</formula>
    </cfRule>
  </conditionalFormatting>
  <conditionalFormatting sqref="AB18:AH18">
    <cfRule type="cellIs" dxfId="1383" priority="13" operator="equal">
      <formula>0</formula>
    </cfRule>
  </conditionalFormatting>
  <conditionalFormatting sqref="AB22:AH22">
    <cfRule type="cellIs" dxfId="1382" priority="23" operator="equal">
      <formula>0</formula>
    </cfRule>
  </conditionalFormatting>
  <conditionalFormatting sqref="AB26:AH26">
    <cfRule type="cellIs" dxfId="1381" priority="33" operator="equal">
      <formula>0</formula>
    </cfRule>
  </conditionalFormatting>
  <conditionalFormatting sqref="AB34:AH34">
    <cfRule type="cellIs" dxfId="1380" priority="43" operator="equal">
      <formula>0</formula>
    </cfRule>
  </conditionalFormatting>
  <conditionalFormatting sqref="AB38:AH38">
    <cfRule type="cellIs" dxfId="1379" priority="52" operator="equal">
      <formula>0</formula>
    </cfRule>
  </conditionalFormatting>
  <conditionalFormatting sqref="AB42:AH42">
    <cfRule type="cellIs" dxfId="1378" priority="61" operator="equal">
      <formula>0</formula>
    </cfRule>
  </conditionalFormatting>
  <conditionalFormatting sqref="AB46:AH46">
    <cfRule type="cellIs" dxfId="1377" priority="70" operator="equal">
      <formula>0</formula>
    </cfRule>
  </conditionalFormatting>
  <conditionalFormatting sqref="AB54:AH54">
    <cfRule type="cellIs" dxfId="1376" priority="82" operator="equal">
      <formula>0</formula>
    </cfRule>
  </conditionalFormatting>
  <conditionalFormatting sqref="AB62:AH62">
    <cfRule type="cellIs" dxfId="1375" priority="96" operator="equal">
      <formula>0</formula>
    </cfRule>
  </conditionalFormatting>
  <conditionalFormatting sqref="AG10">
    <cfRule type="cellIs" dxfId="1374" priority="300" operator="equal">
      <formula>0</formula>
    </cfRule>
  </conditionalFormatting>
  <conditionalFormatting sqref="AG30">
    <cfRule type="cellIs" dxfId="1373" priority="301" operator="equal">
      <formula>0</formula>
    </cfRule>
  </conditionalFormatting>
  <conditionalFormatting sqref="AG50">
    <cfRule type="cellIs" dxfId="1372" priority="302" operator="equal">
      <formula>0</formula>
    </cfRule>
  </conditionalFormatting>
  <conditionalFormatting sqref="AH15:AH16 AH19:AH20 AH23:AH24">
    <cfRule type="cellIs" dxfId="1371" priority="1354" operator="equal">
      <formula>0</formula>
    </cfRule>
  </conditionalFormatting>
  <conditionalFormatting sqref="AH27:AH32">
    <cfRule type="cellIs" dxfId="1370" priority="1273" operator="equal">
      <formula>0</formula>
    </cfRule>
  </conditionalFormatting>
  <conditionalFormatting sqref="AH35:AH36">
    <cfRule type="cellIs" dxfId="1369" priority="89" operator="equal">
      <formula>0</formula>
    </cfRule>
  </conditionalFormatting>
  <conditionalFormatting sqref="AH39:AH40 AH43:AH44">
    <cfRule type="cellIs" dxfId="1368" priority="1285" operator="equal">
      <formula>0</formula>
    </cfRule>
  </conditionalFormatting>
  <conditionalFormatting sqref="AH47:AH52">
    <cfRule type="cellIs" dxfId="1367" priority="1252" operator="equal">
      <formula>0</formula>
    </cfRule>
  </conditionalFormatting>
  <conditionalFormatting sqref="AH55:AH56">
    <cfRule type="cellIs" dxfId="1366" priority="84" operator="equal">
      <formula>0</formula>
    </cfRule>
  </conditionalFormatting>
  <conditionalFormatting sqref="AH57:AH58">
    <cfRule type="cellIs" dxfId="1365" priority="83" operator="equal">
      <formula>0</formula>
    </cfRule>
  </conditionalFormatting>
  <conditionalFormatting sqref="AH59:AH60 AH63:AH64">
    <cfRule type="cellIs" dxfId="1364" priority="1264" operator="equal">
      <formula>0</formula>
    </cfRule>
  </conditionalFormatting>
  <conditionalFormatting sqref="AH65:AH66">
    <cfRule type="cellIs" dxfId="1363" priority="811" operator="equal">
      <formula>0</formula>
    </cfRule>
  </conditionalFormatting>
  <conditionalFormatting sqref="AH67:AH70">
    <cfRule type="cellIs" dxfId="1362" priority="217" operator="equal">
      <formula>0</formula>
    </cfRule>
  </conditionalFormatting>
  <conditionalFormatting sqref="AH74">
    <cfRule type="cellIs" dxfId="1361" priority="628" operator="equal">
      <formula>0</formula>
    </cfRule>
  </conditionalFormatting>
  <conditionalFormatting sqref="AH78:AH83">
    <cfRule type="cellIs" dxfId="1360" priority="214" operator="equal">
      <formula>0</formula>
    </cfRule>
  </conditionalFormatting>
  <conditionalFormatting sqref="AH85:AH86">
    <cfRule type="cellIs" dxfId="1359" priority="215" operator="equal">
      <formula>0</formula>
    </cfRule>
  </conditionalFormatting>
  <conditionalFormatting sqref="AH89:AH90">
    <cfRule type="cellIs" dxfId="1358" priority="623" operator="equal">
      <formula>0</formula>
    </cfRule>
  </conditionalFormatting>
  <conditionalFormatting sqref="AH93:AH96">
    <cfRule type="cellIs" dxfId="1357" priority="292" operator="equal">
      <formula>0</formula>
    </cfRule>
  </conditionalFormatting>
  <conditionalFormatting sqref="AH97:AH98">
    <cfRule type="cellIs" dxfId="1356" priority="231" operator="equal">
      <formula>0</formula>
    </cfRule>
  </conditionalFormatting>
  <conditionalFormatting sqref="AH99:AH100">
    <cfRule type="cellIs" dxfId="1355" priority="285" operator="equal">
      <formula>0</formula>
    </cfRule>
  </conditionalFormatting>
  <conditionalFormatting sqref="AH103:AH104 AH107:AH108">
    <cfRule type="cellIs" dxfId="1354" priority="293" operator="equal">
      <formula>0</formula>
    </cfRule>
  </conditionalFormatting>
  <conditionalFormatting sqref="AK13:AM13">
    <cfRule type="cellIs" dxfId="1353" priority="12" operator="equal">
      <formula>0</formula>
    </cfRule>
  </conditionalFormatting>
  <conditionalFormatting sqref="AK15:AM17">
    <cfRule type="cellIs" dxfId="1352" priority="22" operator="equal">
      <formula>0</formula>
    </cfRule>
  </conditionalFormatting>
  <conditionalFormatting sqref="AK19:AM21">
    <cfRule type="cellIs" dxfId="1351" priority="32" operator="equal">
      <formula>0</formula>
    </cfRule>
  </conditionalFormatting>
  <conditionalFormatting sqref="AK23:AM25">
    <cfRule type="cellIs" dxfId="1350" priority="42" operator="equal">
      <formula>0</formula>
    </cfRule>
  </conditionalFormatting>
  <conditionalFormatting sqref="AK33:AM33 AK35:AM37 AK39:AM41 AK43:AM45 AK53:AM53 AK57:AM57 AK59 AK60:AM61 AK63:AM65">
    <cfRule type="cellIs" dxfId="1349" priority="1228" operator="equal">
      <formula>0</formula>
    </cfRule>
  </conditionalFormatting>
  <conditionalFormatting sqref="AK73:AM73">
    <cfRule type="cellIs" dxfId="1348" priority="201" operator="equal">
      <formula>0</formula>
    </cfRule>
  </conditionalFormatting>
  <conditionalFormatting sqref="AK75:AM77">
    <cfRule type="cellIs" dxfId="1347" priority="200" operator="equal">
      <formula>0</formula>
    </cfRule>
  </conditionalFormatting>
  <conditionalFormatting sqref="AK79:AM81">
    <cfRule type="cellIs" dxfId="1346" priority="199" operator="equal">
      <formula>0</formula>
    </cfRule>
  </conditionalFormatting>
  <conditionalFormatting sqref="AK83:AM85">
    <cfRule type="cellIs" dxfId="1345" priority="198" operator="equal">
      <formula>0</formula>
    </cfRule>
  </conditionalFormatting>
  <conditionalFormatting sqref="AK87:AM89">
    <cfRule type="cellIs" dxfId="1344" priority="197" operator="equal">
      <formula>0</formula>
    </cfRule>
  </conditionalFormatting>
  <conditionalFormatting sqref="AK99:AM100 AK103:AM104 AK107:AM108">
    <cfRule type="cellIs" dxfId="1343" priority="224" operator="equal">
      <formula>0</formula>
    </cfRule>
  </conditionalFormatting>
  <conditionalFormatting sqref="AN71:AN90 AI71:AI90 AR71:AR90 AL59:AM59 AN57:AN68 AJ55:AN56 AI9:AI68 AN9:AN54 AR9:AR68">
    <cfRule type="iconSet" priority="16873">
      <iconSet iconSet="3Arrows">
        <cfvo type="percent" val="0"/>
        <cfvo type="num" val="0.9"/>
        <cfvo type="num" val="0.95"/>
      </iconSet>
    </cfRule>
  </conditionalFormatting>
  <conditionalFormatting sqref="AP73:AQ74">
    <cfRule type="cellIs" dxfId="1342" priority="631" operator="equal">
      <formula>0</formula>
    </cfRule>
  </conditionalFormatting>
  <conditionalFormatting sqref="AP77:AQ83">
    <cfRule type="cellIs" dxfId="1341" priority="442" operator="equal">
      <formula>0</formula>
    </cfRule>
  </conditionalFormatting>
  <conditionalFormatting sqref="AP85:AQ86">
    <cfRule type="cellIs" dxfId="1340" priority="441" operator="equal">
      <formula>0</formula>
    </cfRule>
  </conditionalFormatting>
  <conditionalFormatting sqref="AP89:AQ90">
    <cfRule type="cellIs" dxfId="1339" priority="440" operator="equal">
      <formula>0</formula>
    </cfRule>
  </conditionalFormatting>
  <conditionalFormatting sqref="AP97:AQ98">
    <cfRule type="cellIs" dxfId="1338" priority="280" operator="equal">
      <formula>0</formula>
    </cfRule>
  </conditionalFormatting>
  <conditionalFormatting sqref="AP105:AQ106">
    <cfRule type="cellIs" dxfId="1337" priority="1" operator="equal">
      <formula>0</formula>
    </cfRule>
  </conditionalFormatting>
  <conditionalFormatting sqref="AP109:AQ110">
    <cfRule type="cellIs" dxfId="1336" priority="79" operator="equal">
      <formula>0</formula>
    </cfRule>
  </conditionalFormatting>
  <conditionalFormatting sqref="AR93:AR100 AI93:AI110 AN93:AN110 AR103:AR108">
    <cfRule type="iconSet" priority="295">
      <iconSet iconSet="3Arrows">
        <cfvo type="percent" val="0"/>
        <cfvo type="num" val="0.9"/>
        <cfvo type="num" val="0.95"/>
      </iconSet>
    </cfRule>
  </conditionalFormatting>
  <conditionalFormatting sqref="AR109:AR110">
    <cfRule type="iconSet" priority="80">
      <iconSet iconSet="3Arrows">
        <cfvo type="percent" val="0"/>
        <cfvo type="num" val="0.9"/>
        <cfvo type="num" val="0.95"/>
      </iconSet>
    </cfRule>
  </conditionalFormatting>
  <conditionalFormatting sqref="AT73:AU74">
    <cfRule type="cellIs" dxfId="1335" priority="629" operator="equal">
      <formula>0</formula>
    </cfRule>
  </conditionalFormatting>
  <conditionalFormatting sqref="AT77:AU83">
    <cfRule type="cellIs" dxfId="1334" priority="438" operator="equal">
      <formula>0</formula>
    </cfRule>
  </conditionalFormatting>
  <conditionalFormatting sqref="AT85:AU86">
    <cfRule type="cellIs" dxfId="1333" priority="437" operator="equal">
      <formula>0</formula>
    </cfRule>
  </conditionalFormatting>
  <conditionalFormatting sqref="AT89:AU90">
    <cfRule type="cellIs" dxfId="1332" priority="436" operator="equal">
      <formula>0</formula>
    </cfRule>
  </conditionalFormatting>
  <conditionalFormatting sqref="AT97:AU98">
    <cfRule type="cellIs" dxfId="1331" priority="279" operator="equal">
      <formula>0</formula>
    </cfRule>
  </conditionalFormatting>
  <conditionalFormatting sqref="AT109:AU110">
    <cfRule type="cellIs" dxfId="1330" priority="2" operator="equal">
      <formula>0</formula>
    </cfRule>
  </conditionalFormatting>
  <conditionalFormatting sqref="AW13:AY13 AX14:AY14">
    <cfRule type="cellIs" dxfId="1329" priority="9" operator="equal">
      <formula>0</formula>
    </cfRule>
  </conditionalFormatting>
  <conditionalFormatting sqref="AW15:AY17 AX18:AY18">
    <cfRule type="cellIs" dxfId="1328" priority="19" operator="equal">
      <formula>0</formula>
    </cfRule>
  </conditionalFormatting>
  <conditionalFormatting sqref="AW19:AY21 AX22:AY22">
    <cfRule type="cellIs" dxfId="1327" priority="29" operator="equal">
      <formula>0</formula>
    </cfRule>
  </conditionalFormatting>
  <conditionalFormatting sqref="AW23:AY25 AX26:AY26">
    <cfRule type="cellIs" dxfId="1326" priority="39" operator="equal">
      <formula>0</formula>
    </cfRule>
  </conditionalFormatting>
  <conditionalFormatting sqref="AW33:AY33 AX34:AY34">
    <cfRule type="cellIs" dxfId="1325" priority="49" operator="equal">
      <formula>0</formula>
    </cfRule>
  </conditionalFormatting>
  <conditionalFormatting sqref="AW35:AY37 AX38:AY38">
    <cfRule type="cellIs" dxfId="1324" priority="58" operator="equal">
      <formula>0</formula>
    </cfRule>
  </conditionalFormatting>
  <conditionalFormatting sqref="AW39:AY41 AX42:AY42">
    <cfRule type="cellIs" dxfId="1323" priority="67" operator="equal">
      <formula>0</formula>
    </cfRule>
  </conditionalFormatting>
  <conditionalFormatting sqref="AW43:AY45 AX46:AY46">
    <cfRule type="cellIs" dxfId="1322" priority="76" operator="equal">
      <formula>0</formula>
    </cfRule>
  </conditionalFormatting>
  <conditionalFormatting sqref="AW53:AY53 AX54:AY54 AW55:AY57 AX58:AY58 AW59:AY66">
    <cfRule type="cellIs" dxfId="1321" priority="774" operator="equal">
      <formula>0</formula>
    </cfRule>
  </conditionalFormatting>
  <conditionalFormatting sqref="AW73:AY86">
    <cfRule type="cellIs" dxfId="1320" priority="211" operator="equal">
      <formula>0</formula>
    </cfRule>
  </conditionalFormatting>
  <conditionalFormatting sqref="AW89:AY90">
    <cfRule type="cellIs" dxfId="1319" priority="207" operator="equal">
      <formula>0</formula>
    </cfRule>
  </conditionalFormatting>
  <conditionalFormatting sqref="AW97:AY100 AW103:AY104 AW107:AY108">
    <cfRule type="cellIs" dxfId="1318" priority="273" operator="equal">
      <formula>0</formula>
    </cfRule>
  </conditionalFormatting>
  <conditionalFormatting sqref="BB53:BC66">
    <cfRule type="cellIs" dxfId="1317" priority="601" operator="equal">
      <formula>0</formula>
    </cfRule>
  </conditionalFormatting>
  <printOptions horizontalCentered="1"/>
  <pageMargins left="0.31496062992125984" right="0.31496062992125984" top="0.19685039370078741" bottom="0.19685039370078741" header="0.31496062992125984" footer="0.31496062992125984"/>
  <pageSetup paperSize="9" scale="41" orientation="landscape" r:id="rId1"/>
  <ignoredErrors>
    <ignoredError sqref="AH15:AH16 AH19:AH20 AH23:AH24 AH27:AH28" formulaRange="1"/>
  </ignoredErrors>
  <drawing r:id="rId2"/>
  <extLst>
    <ext xmlns:x14="http://schemas.microsoft.com/office/spreadsheetml/2009/9/main" uri="{78C0D931-6437-407d-A8EE-F0AAD7539E65}">
      <x14:conditionalFormattings>
        <x14:conditionalFormatting xmlns:xm="http://schemas.microsoft.com/office/excel/2006/main">
          <x14:cfRule type="dataBar" id="{34B2A682-BEDB-4B4F-AC60-19639DEF74F2}">
            <x14:dataBar minLength="0" maxLength="100" border="1" gradient="0">
              <x14:cfvo type="num">
                <xm:f>0</xm:f>
              </x14:cfvo>
              <x14:cfvo type="num">
                <xm:f>1</xm:f>
              </x14:cfvo>
              <x14:borderColor theme="0"/>
              <x14:negativeFillColor rgb="FFFF0000"/>
              <x14:axisColor rgb="FF000000"/>
            </x14:dataBar>
          </x14:cfRule>
          <xm:sqref>I69</xm:sqref>
        </x14:conditionalFormatting>
        <x14:conditionalFormatting xmlns:xm="http://schemas.microsoft.com/office/excel/2006/main">
          <x14:cfRule type="dataBar" id="{DD475BC3-978C-4744-A5E6-C5DD6A05C90D}">
            <x14:dataBar minLength="0" maxLength="100" border="1" gradient="0">
              <x14:cfvo type="num">
                <xm:f>0</xm:f>
              </x14:cfvo>
              <x14:cfvo type="num">
                <xm:f>1</xm:f>
              </x14:cfvo>
              <x14:borderColor theme="0"/>
              <x14:negativeFillColor rgb="FFFF0000"/>
              <x14:axisColor rgb="FF000000"/>
            </x14:dataBar>
          </x14:cfRule>
          <xm:sqref>Y9</xm:sqref>
        </x14:conditionalFormatting>
        <x14:conditionalFormatting xmlns:xm="http://schemas.microsoft.com/office/excel/2006/main">
          <x14:cfRule type="dataBar" id="{1918307F-C14F-4509-8D85-7E1C9BFD271F}">
            <x14:dataBar minLength="0" maxLength="100" border="1" gradient="0">
              <x14:cfvo type="num">
                <xm:f>0</xm:f>
              </x14:cfvo>
              <x14:cfvo type="num">
                <xm:f>1</xm:f>
              </x14:cfvo>
              <x14:borderColor theme="0"/>
              <x14:negativeFillColor rgb="FFFF0000"/>
              <x14:axisColor rgb="FF000000"/>
            </x14:dataBar>
          </x14:cfRule>
          <xm:sqref>Y13</xm:sqref>
        </x14:conditionalFormatting>
        <x14:conditionalFormatting xmlns:xm="http://schemas.microsoft.com/office/excel/2006/main">
          <x14:cfRule type="dataBar" id="{C6CAA788-2CC0-47F4-BC79-F1635638081D}">
            <x14:dataBar minLength="0" maxLength="100" border="1" gradient="0">
              <x14:cfvo type="num">
                <xm:f>0</xm:f>
              </x14:cfvo>
              <x14:cfvo type="num">
                <xm:f>1</xm:f>
              </x14:cfvo>
              <x14:borderColor theme="0"/>
              <x14:negativeFillColor rgb="FFFF0000"/>
              <x14:axisColor rgb="FF000000"/>
            </x14:dataBar>
          </x14:cfRule>
          <xm:sqref>Y17</xm:sqref>
        </x14:conditionalFormatting>
        <x14:conditionalFormatting xmlns:xm="http://schemas.microsoft.com/office/excel/2006/main">
          <x14:cfRule type="dataBar" id="{09517567-53C6-4A17-9941-2FAB74F53727}">
            <x14:dataBar minLength="0" maxLength="100" border="1" gradient="0">
              <x14:cfvo type="num">
                <xm:f>0</xm:f>
              </x14:cfvo>
              <x14:cfvo type="num">
                <xm:f>1</xm:f>
              </x14:cfvo>
              <x14:borderColor theme="0"/>
              <x14:negativeFillColor rgb="FFFF0000"/>
              <x14:axisColor rgb="FF000000"/>
            </x14:dataBar>
          </x14:cfRule>
          <xm:sqref>Y21</xm:sqref>
        </x14:conditionalFormatting>
        <x14:conditionalFormatting xmlns:xm="http://schemas.microsoft.com/office/excel/2006/main">
          <x14:cfRule type="dataBar" id="{BCAAB2BB-C01E-4E38-8E61-C620C04A48B9}">
            <x14:dataBar minLength="0" maxLength="100" border="1" gradient="0">
              <x14:cfvo type="num">
                <xm:f>0</xm:f>
              </x14:cfvo>
              <x14:cfvo type="num">
                <xm:f>1</xm:f>
              </x14:cfvo>
              <x14:borderColor theme="0"/>
              <x14:negativeFillColor rgb="FFFF0000"/>
              <x14:axisColor rgb="FF000000"/>
            </x14:dataBar>
          </x14:cfRule>
          <xm:sqref>Y25</xm:sqref>
        </x14:conditionalFormatting>
        <x14:conditionalFormatting xmlns:xm="http://schemas.microsoft.com/office/excel/2006/main">
          <x14:cfRule type="dataBar" id="{E2BFC054-7964-47AE-B40D-43637C47B341}">
            <x14:dataBar minLength="0" maxLength="100" border="1" gradient="0">
              <x14:cfvo type="num">
                <xm:f>0</xm:f>
              </x14:cfvo>
              <x14:cfvo type="num">
                <xm:f>1</xm:f>
              </x14:cfvo>
              <x14:borderColor theme="0"/>
              <x14:negativeFillColor rgb="FFFF0000"/>
              <x14:axisColor rgb="FF000000"/>
            </x14:dataBar>
          </x14:cfRule>
          <xm:sqref>Y29</xm:sqref>
        </x14:conditionalFormatting>
        <x14:conditionalFormatting xmlns:xm="http://schemas.microsoft.com/office/excel/2006/main">
          <x14:cfRule type="dataBar" id="{C52FA897-6BBF-4CE4-9D54-282FD962DAEB}">
            <x14:dataBar minLength="0" maxLength="100" border="1" gradient="0">
              <x14:cfvo type="num">
                <xm:f>0</xm:f>
              </x14:cfvo>
              <x14:cfvo type="num">
                <xm:f>1</xm:f>
              </x14:cfvo>
              <x14:borderColor theme="0"/>
              <x14:negativeFillColor rgb="FFFF0000"/>
              <x14:axisColor rgb="FF000000"/>
            </x14:dataBar>
          </x14:cfRule>
          <xm:sqref>Y33</xm:sqref>
        </x14:conditionalFormatting>
        <x14:conditionalFormatting xmlns:xm="http://schemas.microsoft.com/office/excel/2006/main">
          <x14:cfRule type="dataBar" id="{82560FBA-F36B-43E0-AA04-0D6E5C79D8CC}">
            <x14:dataBar minLength="0" maxLength="100" border="1" gradient="0">
              <x14:cfvo type="num">
                <xm:f>0</xm:f>
              </x14:cfvo>
              <x14:cfvo type="num">
                <xm:f>1</xm:f>
              </x14:cfvo>
              <x14:borderColor theme="0"/>
              <x14:negativeFillColor rgb="FFFF0000"/>
              <x14:axisColor rgb="FF000000"/>
            </x14:dataBar>
          </x14:cfRule>
          <xm:sqref>Y37</xm:sqref>
        </x14:conditionalFormatting>
        <x14:conditionalFormatting xmlns:xm="http://schemas.microsoft.com/office/excel/2006/main">
          <x14:cfRule type="dataBar" id="{CC2C3A87-EF39-4CD5-96AF-BD59CFB4D0FF}">
            <x14:dataBar minLength="0" maxLength="100" border="1" gradient="0">
              <x14:cfvo type="num">
                <xm:f>0</xm:f>
              </x14:cfvo>
              <x14:cfvo type="num">
                <xm:f>1</xm:f>
              </x14:cfvo>
              <x14:borderColor theme="0"/>
              <x14:negativeFillColor rgb="FFFF0000"/>
              <x14:axisColor rgb="FF000000"/>
            </x14:dataBar>
          </x14:cfRule>
          <xm:sqref>Y41</xm:sqref>
        </x14:conditionalFormatting>
        <x14:conditionalFormatting xmlns:xm="http://schemas.microsoft.com/office/excel/2006/main">
          <x14:cfRule type="dataBar" id="{0C7C1D8C-2B11-41BD-A0B3-E842DD540043}">
            <x14:dataBar minLength="0" maxLength="100" border="1" gradient="0">
              <x14:cfvo type="num">
                <xm:f>0</xm:f>
              </x14:cfvo>
              <x14:cfvo type="num">
                <xm:f>1</xm:f>
              </x14:cfvo>
              <x14:borderColor theme="0"/>
              <x14:negativeFillColor rgb="FFFF0000"/>
              <x14:axisColor rgb="FF000000"/>
            </x14:dataBar>
          </x14:cfRule>
          <xm:sqref>Y45</xm:sqref>
        </x14:conditionalFormatting>
        <x14:conditionalFormatting xmlns:xm="http://schemas.microsoft.com/office/excel/2006/main">
          <x14:cfRule type="dataBar" id="{42F79B11-B9C4-49B5-8DD7-15F50FEB7386}">
            <x14:dataBar minLength="0" maxLength="100" border="1" gradient="0">
              <x14:cfvo type="num">
                <xm:f>0</xm:f>
              </x14:cfvo>
              <x14:cfvo type="num">
                <xm:f>1</xm:f>
              </x14:cfvo>
              <x14:borderColor theme="0"/>
              <x14:negativeFillColor rgb="FFFF0000"/>
              <x14:axisColor rgb="FF000000"/>
            </x14:dataBar>
          </x14:cfRule>
          <xm:sqref>Y49</xm:sqref>
        </x14:conditionalFormatting>
        <x14:conditionalFormatting xmlns:xm="http://schemas.microsoft.com/office/excel/2006/main">
          <x14:cfRule type="dataBar" id="{F4AE73FE-EA84-4358-B7FC-F37EA4AB7297}">
            <x14:dataBar minLength="0" maxLength="100" border="1" gradient="0">
              <x14:cfvo type="num">
                <xm:f>0</xm:f>
              </x14:cfvo>
              <x14:cfvo type="num">
                <xm:f>1</xm:f>
              </x14:cfvo>
              <x14:borderColor theme="0"/>
              <x14:negativeFillColor rgb="FFFF0000"/>
              <x14:axisColor rgb="FF000000"/>
            </x14:dataBar>
          </x14:cfRule>
          <xm:sqref>Y53</xm:sqref>
        </x14:conditionalFormatting>
        <x14:conditionalFormatting xmlns:xm="http://schemas.microsoft.com/office/excel/2006/main">
          <x14:cfRule type="dataBar" id="{D1DFA78E-723A-4783-A0FB-5DA60D11D334}">
            <x14:dataBar minLength="0" maxLength="100" border="1" gradient="0">
              <x14:cfvo type="num">
                <xm:f>0</xm:f>
              </x14:cfvo>
              <x14:cfvo type="num">
                <xm:f>1</xm:f>
              </x14:cfvo>
              <x14:borderColor theme="0"/>
              <x14:negativeFillColor rgb="FFFF0000"/>
              <x14:axisColor rgb="FF000000"/>
            </x14:dataBar>
          </x14:cfRule>
          <xm:sqref>Y57</xm:sqref>
        </x14:conditionalFormatting>
        <x14:conditionalFormatting xmlns:xm="http://schemas.microsoft.com/office/excel/2006/main">
          <x14:cfRule type="dataBar" id="{F1EDEB27-FB56-432D-8F5D-CAA1A7CDA58D}">
            <x14:dataBar minLength="0" maxLength="100" border="1" gradient="0">
              <x14:cfvo type="num">
                <xm:f>0</xm:f>
              </x14:cfvo>
              <x14:cfvo type="num">
                <xm:f>1</xm:f>
              </x14:cfvo>
              <x14:borderColor theme="0"/>
              <x14:negativeFillColor rgb="FFFF0000"/>
              <x14:axisColor rgb="FF000000"/>
            </x14:dataBar>
          </x14:cfRule>
          <xm:sqref>Y61</xm:sqref>
        </x14:conditionalFormatting>
        <x14:conditionalFormatting xmlns:xm="http://schemas.microsoft.com/office/excel/2006/main">
          <x14:cfRule type="dataBar" id="{19E7F97A-3FDE-4B3F-BED1-524BA9CD2A8F}">
            <x14:dataBar minLength="0" maxLength="100" border="1" gradient="0">
              <x14:cfvo type="num">
                <xm:f>0</xm:f>
              </x14:cfvo>
              <x14:cfvo type="num">
                <xm:f>1</xm:f>
              </x14:cfvo>
              <x14:borderColor theme="0"/>
              <x14:negativeFillColor rgb="FFFF0000"/>
              <x14:axisColor rgb="FF000000"/>
            </x14:dataBar>
          </x14:cfRule>
          <xm:sqref>Y65</xm:sqref>
        </x14:conditionalFormatting>
        <x14:conditionalFormatting xmlns:xm="http://schemas.microsoft.com/office/excel/2006/main">
          <x14:cfRule type="dataBar" id="{F4AEB8C0-E743-47A0-A07C-F1573B60A719}">
            <x14:dataBar minLength="0" maxLength="100" border="1" gradient="0">
              <x14:cfvo type="num">
                <xm:f>0</xm:f>
              </x14:cfvo>
              <x14:cfvo type="num">
                <xm:f>1</xm:f>
              </x14:cfvo>
              <x14:borderColor theme="0"/>
              <x14:negativeFillColor rgb="FFFF0000"/>
              <x14:axisColor rgb="FF000000"/>
            </x14:dataBar>
          </x14:cfRule>
          <xm:sqref>Y73</xm:sqref>
        </x14:conditionalFormatting>
        <x14:conditionalFormatting xmlns:xm="http://schemas.microsoft.com/office/excel/2006/main">
          <x14:cfRule type="dataBar" id="{BABB8A55-C278-4C0C-B1D3-C6BFD2818913}">
            <x14:dataBar minLength="0" maxLength="100" border="1" gradient="0">
              <x14:cfvo type="num">
                <xm:f>0</xm:f>
              </x14:cfvo>
              <x14:cfvo type="num">
                <xm:f>1</xm:f>
              </x14:cfvo>
              <x14:borderColor theme="0"/>
              <x14:negativeFillColor rgb="FFFF0000"/>
              <x14:axisColor rgb="FF000000"/>
            </x14:dataBar>
          </x14:cfRule>
          <xm:sqref>Y77</xm:sqref>
        </x14:conditionalFormatting>
        <x14:conditionalFormatting xmlns:xm="http://schemas.microsoft.com/office/excel/2006/main">
          <x14:cfRule type="dataBar" id="{B23D2DAF-E78B-46C1-BEE2-6194CC9E829A}">
            <x14:dataBar minLength="0" maxLength="100" border="1" gradient="0">
              <x14:cfvo type="num">
                <xm:f>0</xm:f>
              </x14:cfvo>
              <x14:cfvo type="num">
                <xm:f>1</xm:f>
              </x14:cfvo>
              <x14:borderColor theme="0"/>
              <x14:negativeFillColor rgb="FFFF0000"/>
              <x14:axisColor rgb="FF000000"/>
            </x14:dataBar>
          </x14:cfRule>
          <xm:sqref>Y81</xm:sqref>
        </x14:conditionalFormatting>
        <x14:conditionalFormatting xmlns:xm="http://schemas.microsoft.com/office/excel/2006/main">
          <x14:cfRule type="dataBar" id="{11678597-CA93-4C29-B8F9-CD670F75494B}">
            <x14:dataBar minLength="0" maxLength="100" border="1" gradient="0">
              <x14:cfvo type="num">
                <xm:f>0</xm:f>
              </x14:cfvo>
              <x14:cfvo type="num">
                <xm:f>1</xm:f>
              </x14:cfvo>
              <x14:borderColor theme="0"/>
              <x14:negativeFillColor rgb="FFFF0000"/>
              <x14:axisColor rgb="FF000000"/>
            </x14:dataBar>
          </x14:cfRule>
          <xm:sqref>Y85</xm:sqref>
        </x14:conditionalFormatting>
        <x14:conditionalFormatting xmlns:xm="http://schemas.microsoft.com/office/excel/2006/main">
          <x14:cfRule type="dataBar" id="{B7F7E512-293B-4ACB-844D-5A64E6E0648E}">
            <x14:dataBar minLength="0" maxLength="100" border="1" gradient="0">
              <x14:cfvo type="num">
                <xm:f>0</xm:f>
              </x14:cfvo>
              <x14:cfvo type="num">
                <xm:f>1</xm:f>
              </x14:cfvo>
              <x14:borderColor theme="0"/>
              <x14:negativeFillColor rgb="FFFF0000"/>
              <x14:axisColor rgb="FF000000"/>
            </x14:dataBar>
          </x14:cfRule>
          <xm:sqref>Y89</xm:sqref>
        </x14:conditionalFormatting>
        <x14:conditionalFormatting xmlns:xm="http://schemas.microsoft.com/office/excel/2006/main">
          <x14:cfRule type="dataBar" id="{75427468-B7EA-4B2F-B3DD-F2CBA2D59548}">
            <x14:dataBar minLength="0" maxLength="100" border="1" gradient="0">
              <x14:cfvo type="num">
                <xm:f>0</xm:f>
              </x14:cfvo>
              <x14:cfvo type="num">
                <xm:f>1</xm:f>
              </x14:cfvo>
              <x14:borderColor theme="0"/>
              <x14:negativeFillColor rgb="FFFF0000"/>
              <x14:axisColor rgb="FF000000"/>
            </x14:dataBar>
          </x14:cfRule>
          <xm:sqref>Y93</xm:sqref>
        </x14:conditionalFormatting>
        <x14:conditionalFormatting xmlns:xm="http://schemas.microsoft.com/office/excel/2006/main">
          <x14:cfRule type="dataBar" id="{2044A75A-1A19-480E-8576-89158A882F6B}">
            <x14:dataBar minLength="0" maxLength="100" border="1" gradient="0">
              <x14:cfvo type="num">
                <xm:f>0</xm:f>
              </x14:cfvo>
              <x14:cfvo type="num">
                <xm:f>1</xm:f>
              </x14:cfvo>
              <x14:borderColor theme="0"/>
              <x14:negativeFillColor rgb="FFFF0000"/>
              <x14:axisColor rgb="FF000000"/>
            </x14:dataBar>
          </x14:cfRule>
          <xm:sqref>Y97</xm:sqref>
        </x14:conditionalFormatting>
        <x14:conditionalFormatting xmlns:xm="http://schemas.microsoft.com/office/excel/2006/main">
          <x14:cfRule type="dataBar" id="{2D7AABBC-5B17-412C-8BE4-5BA17858C666}">
            <x14:dataBar minLength="0" maxLength="100" border="1" gradient="0">
              <x14:cfvo type="num">
                <xm:f>0</xm:f>
              </x14:cfvo>
              <x14:cfvo type="num">
                <xm:f>1</xm:f>
              </x14:cfvo>
              <x14:borderColor theme="0"/>
              <x14:negativeFillColor rgb="FFFF0000"/>
              <x14:axisColor rgb="FF000000"/>
            </x14:dataBar>
          </x14:cfRule>
          <xm:sqref>Y101</xm:sqref>
        </x14:conditionalFormatting>
        <x14:conditionalFormatting xmlns:xm="http://schemas.microsoft.com/office/excel/2006/main">
          <x14:cfRule type="dataBar" id="{D28055BA-913E-46AC-86AC-7249B51B2283}">
            <x14:dataBar minLength="0" maxLength="100" border="1" gradient="0">
              <x14:cfvo type="num">
                <xm:f>0</xm:f>
              </x14:cfvo>
              <x14:cfvo type="num">
                <xm:f>1</xm:f>
              </x14:cfvo>
              <x14:borderColor theme="0"/>
              <x14:negativeFillColor rgb="FFFF0000"/>
              <x14:axisColor rgb="FF000000"/>
            </x14:dataBar>
          </x14:cfRule>
          <xm:sqref>Y105</xm:sqref>
        </x14:conditionalFormatting>
        <x14:conditionalFormatting xmlns:xm="http://schemas.microsoft.com/office/excel/2006/main">
          <x14:cfRule type="dataBar" id="{52565AB6-3FE6-4060-A493-5BC9C70D8EA0}">
            <x14:dataBar minLength="0" maxLength="100" border="1" gradient="0">
              <x14:cfvo type="num">
                <xm:f>0</xm:f>
              </x14:cfvo>
              <x14:cfvo type="num">
                <xm:f>1</xm:f>
              </x14:cfvo>
              <x14:borderColor theme="0"/>
              <x14:negativeFillColor rgb="FFFF0000"/>
              <x14:axisColor rgb="FF000000"/>
            </x14:dataBar>
          </x14:cfRule>
          <xm:sqref>Y109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34B7-D7BB-4D15-B804-A5F341A3B114}">
  <sheetPr>
    <pageSetUpPr fitToPage="1"/>
  </sheetPr>
  <dimension ref="B2:AS194"/>
  <sheetViews>
    <sheetView showGridLines="0" topLeftCell="AC54" zoomScale="70" zoomScaleNormal="70" workbookViewId="0">
      <selection activeCell="AO33" sqref="AO33"/>
    </sheetView>
  </sheetViews>
  <sheetFormatPr defaultColWidth="9.140625" defaultRowHeight="15" outlineLevelRow="1"/>
  <cols>
    <col min="1" max="1" width="7.85546875" style="8" customWidth="1"/>
    <col min="2" max="2" width="10.42578125" style="8" customWidth="1"/>
    <col min="3" max="3" width="0.7109375" style="8" customWidth="1"/>
    <col min="4" max="4" width="13.85546875" style="8" customWidth="1"/>
    <col min="5" max="5" width="0.7109375" style="8" customWidth="1"/>
    <col min="6" max="12" width="15" style="8" customWidth="1"/>
    <col min="13" max="13" width="0.7109375" style="8" customWidth="1"/>
    <col min="14" max="14" width="11.85546875" style="8" customWidth="1"/>
    <col min="15" max="15" width="0.7109375" style="8" customWidth="1"/>
    <col min="16" max="16" width="11.7109375" style="8" customWidth="1"/>
    <col min="17" max="17" width="11.28515625" style="8" customWidth="1"/>
    <col min="18" max="18" width="10.42578125" style="8" customWidth="1"/>
    <col min="19" max="19" width="4.28515625" style="8" customWidth="1"/>
    <col min="20" max="20" width="10.7109375" style="8" customWidth="1"/>
    <col min="21" max="21" width="9.140625" style="8" bestFit="1" customWidth="1"/>
    <col min="22" max="22" width="10.85546875" style="8" bestFit="1" customWidth="1"/>
    <col min="23" max="23" width="13.7109375" style="8" bestFit="1" customWidth="1"/>
    <col min="24" max="24" width="12.28515625" style="8" bestFit="1" customWidth="1"/>
    <col min="25" max="25" width="9.140625" style="8" bestFit="1" customWidth="1"/>
    <col min="26" max="26" width="0.7109375" style="8" customWidth="1"/>
    <col min="27" max="27" width="10" style="8" customWidth="1"/>
    <col min="28" max="28" width="0.7109375" style="8" customWidth="1"/>
    <col min="29" max="31" width="11.85546875" style="8" customWidth="1"/>
    <col min="32" max="35" width="9.140625" style="8"/>
    <col min="36" max="36" width="17.5703125" style="8" customWidth="1"/>
    <col min="37" max="37" width="1" style="8" customWidth="1"/>
    <col min="38" max="38" width="9.140625" style="8"/>
    <col min="39" max="39" width="1" style="8" customWidth="1"/>
    <col min="40" max="45" width="10.28515625" style="8" bestFit="1" customWidth="1"/>
    <col min="46" max="16384" width="9.140625" style="8"/>
  </cols>
  <sheetData>
    <row r="2" spans="4:45" outlineLevel="1">
      <c r="G2" s="8">
        <v>1</v>
      </c>
      <c r="H2" s="8">
        <v>2</v>
      </c>
      <c r="I2" s="8">
        <v>3</v>
      </c>
      <c r="J2" s="8">
        <v>4</v>
      </c>
      <c r="K2" s="8">
        <v>5</v>
      </c>
      <c r="L2" s="8">
        <v>6</v>
      </c>
      <c r="T2" s="8">
        <v>1</v>
      </c>
      <c r="U2" s="8">
        <v>2</v>
      </c>
      <c r="V2" s="8">
        <v>3</v>
      </c>
      <c r="W2" s="8">
        <v>4</v>
      </c>
      <c r="X2" s="8">
        <v>5</v>
      </c>
      <c r="Y2" s="8">
        <v>6</v>
      </c>
    </row>
    <row r="3" spans="4:45" ht="33.75" customHeight="1" outlineLevel="1">
      <c r="F3" s="25" t="s">
        <v>65</v>
      </c>
      <c r="G3" s="25" t="s">
        <v>66</v>
      </c>
      <c r="H3" s="25" t="s">
        <v>67</v>
      </c>
      <c r="I3" s="25" t="s">
        <v>68</v>
      </c>
      <c r="J3" s="25" t="s">
        <v>69</v>
      </c>
      <c r="K3" s="25" t="s">
        <v>70</v>
      </c>
      <c r="L3" s="25" t="s">
        <v>71</v>
      </c>
      <c r="N3" s="25" t="s">
        <v>72</v>
      </c>
      <c r="P3" s="25" t="s">
        <v>24</v>
      </c>
      <c r="Q3" s="25" t="s">
        <v>25</v>
      </c>
      <c r="R3" s="25" t="s">
        <v>26</v>
      </c>
      <c r="T3" s="25" t="s">
        <v>66</v>
      </c>
      <c r="U3" s="25" t="s">
        <v>67</v>
      </c>
      <c r="V3" s="25" t="s">
        <v>68</v>
      </c>
      <c r="W3" s="25" t="s">
        <v>69</v>
      </c>
      <c r="X3" s="25" t="s">
        <v>70</v>
      </c>
      <c r="Y3" s="25" t="s">
        <v>71</v>
      </c>
      <c r="AA3" s="25" t="s">
        <v>72</v>
      </c>
      <c r="AC3" s="25" t="s">
        <v>24</v>
      </c>
      <c r="AD3" s="25" t="s">
        <v>25</v>
      </c>
      <c r="AE3" s="25" t="s">
        <v>26</v>
      </c>
      <c r="AJ3" s="398" t="s">
        <v>56</v>
      </c>
      <c r="AK3" s="398"/>
      <c r="AL3" s="398"/>
      <c r="AN3" s="25" t="s">
        <v>66</v>
      </c>
      <c r="AO3" s="25" t="s">
        <v>67</v>
      </c>
      <c r="AP3" s="25" t="s">
        <v>68</v>
      </c>
      <c r="AQ3" s="25" t="s">
        <v>69</v>
      </c>
      <c r="AR3" s="25" t="s">
        <v>70</v>
      </c>
      <c r="AS3" s="25" t="s">
        <v>71</v>
      </c>
    </row>
    <row r="4" spans="4:45" ht="5.0999999999999996" customHeight="1" outlineLevel="1">
      <c r="G4" s="7"/>
      <c r="T4" s="7"/>
    </row>
    <row r="5" spans="4:45" ht="30" customHeight="1" outlineLevel="1">
      <c r="D5" s="244" t="s">
        <v>2</v>
      </c>
      <c r="E5" s="7"/>
      <c r="F5" s="326" t="s">
        <v>73</v>
      </c>
      <c r="G5" s="332">
        <f ca="1">Quadros!J6/1000</f>
        <v>59.916437777777787</v>
      </c>
      <c r="H5" s="332">
        <f ca="1">G5</f>
        <v>59.916437777777787</v>
      </c>
      <c r="I5" s="332">
        <f ca="1">H5</f>
        <v>59.916437777777787</v>
      </c>
      <c r="J5" s="332">
        <f ca="1">I5</f>
        <v>59.916437777777787</v>
      </c>
      <c r="K5" s="332">
        <f ca="1">J5</f>
        <v>59.916437777777787</v>
      </c>
      <c r="L5" s="332">
        <f ca="1">K5</f>
        <v>59.916437777777787</v>
      </c>
      <c r="M5" s="333"/>
      <c r="N5" s="327">
        <f ca="1">SUM(G5:L5)</f>
        <v>359.49862666666672</v>
      </c>
      <c r="O5" s="333">
        <f ca="1">N5</f>
        <v>359.49862666666672</v>
      </c>
      <c r="P5" s="327">
        <f>SUM('Report Consolidado Semanal'!AK13:AK14,'Report Consolidado Semanal'!AK17:AK18,'Report Consolidado Semanal'!AK33:AK34,'Report Consolidado Semanal'!AK37:AK38)/1000</f>
        <v>1617.7438200000004</v>
      </c>
      <c r="Q5" s="327">
        <f>SUM('Report Consolidado Semanal'!AL13:AL14,'Report Consolidado Semanal'!AL17:AL18,'Report Consolidado Semanal'!AL33:AL34,'Report Consolidado Semanal'!AL37:AL38)/1000</f>
        <v>821.1565700000001</v>
      </c>
      <c r="R5" s="327">
        <f>SUM('Report Consolidado Semanal'!AM13:AM14,'Report Consolidado Semanal'!AM17:AM18,'Report Consolidado Semanal'!AM33:AM34,'Report Consolidado Semanal'!AM37:AM38)/1000</f>
        <v>628.89171999999996</v>
      </c>
      <c r="T5" s="327">
        <f ca="1">Quadros!U6</f>
        <v>928.88370370370365</v>
      </c>
      <c r="U5" s="327">
        <f ca="1">T5</f>
        <v>928.88370370370365</v>
      </c>
      <c r="V5" s="327">
        <f ca="1">U5</f>
        <v>928.88370370370365</v>
      </c>
      <c r="W5" s="327">
        <f ca="1">V5</f>
        <v>928.88370370370365</v>
      </c>
      <c r="X5" s="327">
        <f ca="1">W5</f>
        <v>928.88370370370365</v>
      </c>
      <c r="Y5" s="327">
        <f ca="1">X5</f>
        <v>928.88370370370365</v>
      </c>
      <c r="Z5" s="339"/>
      <c r="AA5" s="327">
        <f ca="1">SUM(T5:Y5)</f>
        <v>5573.3022222222216</v>
      </c>
      <c r="AB5" s="339"/>
      <c r="AC5" s="327" cm="1">
        <f t="array" ref="AC5">SUM('Report Consolidado Semanal'!AK53:AK54+'Report Consolidado Semanal'!AK57:AK58)</f>
        <v>25079.86</v>
      </c>
      <c r="AD5" s="327" cm="1">
        <f t="array" ref="AD5">SUM('Report Consolidado Semanal'!AL53:AL54+'Report Consolidado Semanal'!AL57:AL58)</f>
        <v>13028.119999999999</v>
      </c>
      <c r="AE5" s="327" cm="1">
        <f t="array" ref="AE5">SUM('Report Consolidado Semanal'!AM53:AM54+'Report Consolidado Semanal'!AM57:AM58)</f>
        <v>7323.2</v>
      </c>
      <c r="AJ5" s="829" t="s">
        <v>57</v>
      </c>
      <c r="AL5" s="384" t="s">
        <v>74</v>
      </c>
      <c r="AN5" s="384">
        <f ca="1">Quadros!AE6</f>
        <v>2</v>
      </c>
      <c r="AO5" s="384">
        <f ca="1">AN5</f>
        <v>2</v>
      </c>
      <c r="AP5" s="384">
        <f t="shared" ref="AP5:AS5" ca="1" si="0">AO5</f>
        <v>2</v>
      </c>
      <c r="AQ5" s="384">
        <f t="shared" ca="1" si="0"/>
        <v>2</v>
      </c>
      <c r="AR5" s="384">
        <f t="shared" ca="1" si="0"/>
        <v>2</v>
      </c>
      <c r="AS5" s="384">
        <f t="shared" ca="1" si="0"/>
        <v>2</v>
      </c>
    </row>
    <row r="6" spans="4:45" ht="5.0999999999999996" customHeight="1" outlineLevel="1">
      <c r="E6" s="19"/>
      <c r="G6" s="334"/>
      <c r="H6" s="334"/>
      <c r="I6" s="334"/>
      <c r="J6" s="334"/>
      <c r="K6" s="334"/>
      <c r="L6" s="334"/>
      <c r="M6" s="335"/>
      <c r="N6" s="340"/>
      <c r="O6" s="19"/>
      <c r="T6" s="340"/>
      <c r="U6" s="340"/>
      <c r="V6" s="340"/>
      <c r="W6" s="340"/>
      <c r="X6" s="340"/>
      <c r="Y6" s="340"/>
      <c r="Z6" s="341"/>
      <c r="AA6" s="340"/>
      <c r="AB6" s="341"/>
      <c r="AJ6" s="830"/>
      <c r="AN6" s="227"/>
      <c r="AO6" s="227"/>
      <c r="AP6" s="227"/>
      <c r="AQ6" s="227"/>
      <c r="AR6" s="227"/>
      <c r="AS6" s="227"/>
    </row>
    <row r="7" spans="4:45" ht="30" customHeight="1" outlineLevel="1">
      <c r="D7" s="244" t="str">
        <f>D5</f>
        <v>PCTE 4/5</v>
      </c>
      <c r="E7" s="220"/>
      <c r="F7" s="328" t="s">
        <v>37</v>
      </c>
      <c r="G7" s="336">
        <f>SUM('Report Consolidado Semanal'!AA13,'Report Consolidado Semanal'!AA17,'Report Consolidado Semanal'!AA33,'Report Consolidado Semanal'!AA37)/1000</f>
        <v>57.316000000000003</v>
      </c>
      <c r="H7" s="336">
        <f>SUM('Report Consolidado Semanal'!AB13,'Report Consolidado Semanal'!AB17,'Report Consolidado Semanal'!AB33,'Report Consolidado Semanal'!AB37)/1000</f>
        <v>57.316000000000003</v>
      </c>
      <c r="I7" s="336">
        <f>SUM('Report Consolidado Semanal'!AC13,'Report Consolidado Semanal'!AC17,'Report Consolidado Semanal'!AC33,'Report Consolidado Semanal'!AC37)/1000</f>
        <v>57.316000000000003</v>
      </c>
      <c r="J7" s="336">
        <f>SUM('Report Consolidado Semanal'!AD13,'Report Consolidado Semanal'!AD17,'Report Consolidado Semanal'!AD33,'Report Consolidado Semanal'!AD37)/1000</f>
        <v>57.246000000000002</v>
      </c>
      <c r="K7" s="336">
        <f>SUM('Report Consolidado Semanal'!AE13,'Report Consolidado Semanal'!AE17,'Report Consolidado Semanal'!AE33,'Report Consolidado Semanal'!AE37)/1000</f>
        <v>50.536000000000001</v>
      </c>
      <c r="L7" s="336">
        <f>SUM('Report Consolidado Semanal'!AF13,'Report Consolidado Semanal'!AF17,'Report Consolidado Semanal'!AF33,'Report Consolidado Semanal'!AF37)/1000</f>
        <v>50.536000000000001</v>
      </c>
      <c r="M7" s="337"/>
      <c r="N7" s="329">
        <f>SUM('Report Consolidado Semanal'!AH13,'Report Consolidado Semanal'!AH17,'Report Consolidado Semanal'!AH33,'Report Consolidado Semanal'!AH37)/1000</f>
        <v>114.63200000000001</v>
      </c>
      <c r="O7" s="220"/>
      <c r="P7" s="329"/>
      <c r="Q7" s="329"/>
      <c r="R7" s="329"/>
      <c r="T7" s="329">
        <f>SUM('Report Consolidado Semanal'!AA53,'Report Consolidado Semanal'!AA57)</f>
        <v>854</v>
      </c>
      <c r="U7" s="329">
        <f>SUM('Report Consolidado Semanal'!AB53,'Report Consolidado Semanal'!AB57)</f>
        <v>819</v>
      </c>
      <c r="V7" s="329">
        <f>SUM('Report Consolidado Semanal'!AC53,'Report Consolidado Semanal'!AC57)</f>
        <v>830</v>
      </c>
      <c r="W7" s="329">
        <f>SUM('Report Consolidado Semanal'!AD53,'Report Consolidado Semanal'!AD57)</f>
        <v>830</v>
      </c>
      <c r="X7" s="329">
        <f>SUM('Report Consolidado Semanal'!AE53,'Report Consolidado Semanal'!AE57)</f>
        <v>740</v>
      </c>
      <c r="Y7" s="329">
        <f>SUM('Report Consolidado Semanal'!AF53,'Report Consolidado Semanal'!AF57)</f>
        <v>740</v>
      </c>
      <c r="Z7" s="342"/>
      <c r="AA7" s="329">
        <f>SUM('Report Consolidado Semanal'!AH53,'Report Consolidado Semanal'!AH57)</f>
        <v>1673</v>
      </c>
      <c r="AB7" s="342"/>
      <c r="AC7" s="329"/>
      <c r="AD7" s="329"/>
      <c r="AE7" s="329"/>
      <c r="AJ7" s="830"/>
      <c r="AL7" s="384" t="s">
        <v>75</v>
      </c>
      <c r="AN7" s="384">
        <f>'Report Consolidado Semanal'!AA73</f>
        <v>0</v>
      </c>
      <c r="AO7" s="384">
        <f>'Report Consolidado Semanal'!AB73</f>
        <v>0</v>
      </c>
      <c r="AP7" s="384">
        <f>'Report Consolidado Semanal'!AC73</f>
        <v>4</v>
      </c>
      <c r="AQ7" s="384">
        <f>'Report Consolidado Semanal'!AD73</f>
        <v>0</v>
      </c>
      <c r="AR7" s="384">
        <f>'Report Consolidado Semanal'!AE73</f>
        <v>0</v>
      </c>
      <c r="AS7" s="384">
        <f>'Report Consolidado Semanal'!AF73</f>
        <v>5</v>
      </c>
    </row>
    <row r="8" spans="4:45" ht="5.0999999999999996" customHeight="1" outlineLevel="1">
      <c r="E8" s="19"/>
      <c r="G8" s="334"/>
      <c r="H8" s="334"/>
      <c r="I8" s="334"/>
      <c r="J8" s="334"/>
      <c r="K8" s="334"/>
      <c r="L8" s="334"/>
      <c r="M8" s="335"/>
      <c r="N8" s="340"/>
      <c r="O8" s="19"/>
      <c r="T8" s="340"/>
      <c r="U8" s="340"/>
      <c r="V8" s="340"/>
      <c r="W8" s="340"/>
      <c r="X8" s="340"/>
      <c r="Y8" s="340"/>
      <c r="Z8" s="341"/>
      <c r="AA8" s="340"/>
      <c r="AB8" s="341"/>
      <c r="AJ8" s="830"/>
      <c r="AL8" s="131"/>
      <c r="AN8" s="665"/>
      <c r="AO8" s="665"/>
      <c r="AP8" s="665"/>
      <c r="AQ8" s="665"/>
      <c r="AR8" s="665"/>
      <c r="AS8" s="665"/>
    </row>
    <row r="9" spans="4:45" ht="30" customHeight="1" outlineLevel="1">
      <c r="D9" s="244" t="str">
        <f>D7</f>
        <v>PCTE 4/5</v>
      </c>
      <c r="E9" s="220"/>
      <c r="F9" s="330" t="s">
        <v>38</v>
      </c>
      <c r="G9" s="338">
        <f>SUM('Report Consolidado Semanal'!AA14,'Report Consolidado Semanal'!AA18,'Report Consolidado Semanal'!AA34,'Report Consolidado Semanal'!AA38)/1000</f>
        <v>57.073399999999999</v>
      </c>
      <c r="H9" s="338">
        <f>SUM('Report Consolidado Semanal'!AB14,'Report Consolidado Semanal'!AB18,'Report Consolidado Semanal'!AB34,'Report Consolidado Semanal'!AB38)/1000</f>
        <v>56.071480000000001</v>
      </c>
      <c r="I9" s="338">
        <f>SUM('Report Consolidado Semanal'!AC14,'Report Consolidado Semanal'!AC18,'Report Consolidado Semanal'!AC34,'Report Consolidado Semanal'!AC38)/1000</f>
        <v>0</v>
      </c>
      <c r="J9" s="338">
        <f>SUM('Report Consolidado Semanal'!AD14,'Report Consolidado Semanal'!AD18,'Report Consolidado Semanal'!AD34,'Report Consolidado Semanal'!AD38)/1000</f>
        <v>0</v>
      </c>
      <c r="K9" s="338">
        <f>SUM('Report Consolidado Semanal'!AE14,'Report Consolidado Semanal'!AE18,'Report Consolidado Semanal'!AE34,'Report Consolidado Semanal'!AE38)/1000</f>
        <v>0</v>
      </c>
      <c r="L9" s="338">
        <f>SUM('Report Consolidado Semanal'!AF14,'Report Consolidado Semanal'!AF18,'Report Consolidado Semanal'!AF34,'Report Consolidado Semanal'!AF38)/1000</f>
        <v>0</v>
      </c>
      <c r="M9" s="337"/>
      <c r="N9" s="331">
        <f>SUM('Report Consolidado Semanal'!AH14,'Report Consolidado Semanal'!AH18,'Report Consolidado Semanal'!AH34,'Report Consolidado Semanal'!AH38)/1000</f>
        <v>113.14488</v>
      </c>
      <c r="O9" s="220"/>
      <c r="P9" s="331"/>
      <c r="Q9" s="331"/>
      <c r="R9" s="331"/>
      <c r="T9" s="331">
        <f ca="1">SUM('Report Consolidado Semanal'!AA54,'Report Consolidado Semanal'!AA58)</f>
        <v>759</v>
      </c>
      <c r="U9" s="331">
        <f ca="1">SUM('Report Consolidado Semanal'!AB54,'Report Consolidado Semanal'!AB58)</f>
        <v>712.5</v>
      </c>
      <c r="V9" s="331">
        <f ca="1">SUM('Report Consolidado Semanal'!AC54,'Report Consolidado Semanal'!AC58)</f>
        <v>0</v>
      </c>
      <c r="W9" s="331">
        <f ca="1">SUM('Report Consolidado Semanal'!AD54,'Report Consolidado Semanal'!AD58)</f>
        <v>0</v>
      </c>
      <c r="X9" s="331">
        <f ca="1">SUM('Report Consolidado Semanal'!AE54,'Report Consolidado Semanal'!AE58)</f>
        <v>0</v>
      </c>
      <c r="Y9" s="331">
        <f ca="1">SUM('Report Consolidado Semanal'!AF54,'Report Consolidado Semanal'!AF58)</f>
        <v>0</v>
      </c>
      <c r="Z9" s="342"/>
      <c r="AA9" s="331">
        <f ca="1">SUM('Report Consolidado Semanal'!AH54,'Report Consolidado Semanal'!AH58)</f>
        <v>1471.5</v>
      </c>
      <c r="AB9" s="342"/>
      <c r="AC9" s="331"/>
      <c r="AD9" s="331"/>
      <c r="AE9" s="331"/>
      <c r="AJ9" s="830"/>
      <c r="AL9" s="384" t="s">
        <v>76</v>
      </c>
      <c r="AN9" s="384">
        <f>'Report Consolidado Semanal'!AA74</f>
        <v>0</v>
      </c>
      <c r="AO9" s="384">
        <f>'Report Consolidado Semanal'!AB74</f>
        <v>0</v>
      </c>
      <c r="AP9" s="384">
        <f>'Report Consolidado Semanal'!AC74</f>
        <v>0</v>
      </c>
      <c r="AQ9" s="384">
        <f>'Report Consolidado Semanal'!AD74</f>
        <v>0</v>
      </c>
      <c r="AR9" s="384">
        <f>'Report Consolidado Semanal'!AE74</f>
        <v>0</v>
      </c>
      <c r="AS9" s="384">
        <f>'Report Consolidado Semanal'!AF74</f>
        <v>0</v>
      </c>
    </row>
    <row r="10" spans="4:45" ht="5.0999999999999996" customHeight="1" outlineLevel="1">
      <c r="E10" s="19"/>
      <c r="G10" s="334"/>
      <c r="H10" s="334"/>
      <c r="I10" s="334"/>
      <c r="J10" s="334"/>
      <c r="K10" s="334"/>
      <c r="L10" s="334"/>
      <c r="M10" s="335"/>
      <c r="N10" s="340"/>
      <c r="O10" s="19"/>
      <c r="T10" s="340"/>
      <c r="U10" s="340"/>
      <c r="V10" s="340"/>
      <c r="W10" s="340"/>
      <c r="X10" s="340"/>
      <c r="Y10" s="340"/>
      <c r="Z10" s="341"/>
      <c r="AA10" s="340"/>
      <c r="AB10" s="341"/>
      <c r="AN10" s="227"/>
      <c r="AO10" s="227"/>
      <c r="AP10" s="227"/>
      <c r="AQ10" s="227"/>
      <c r="AR10" s="227"/>
      <c r="AS10" s="227"/>
    </row>
    <row r="11" spans="4:45" ht="30" customHeight="1" outlineLevel="1">
      <c r="D11" s="245" t="s">
        <v>3</v>
      </c>
      <c r="E11" s="7"/>
      <c r="F11" s="326" t="s">
        <v>73</v>
      </c>
      <c r="G11" s="332">
        <f ca="1">Quadros!K6/1000</f>
        <v>39.091084444444448</v>
      </c>
      <c r="H11" s="332">
        <f ca="1">G11</f>
        <v>39.091084444444448</v>
      </c>
      <c r="I11" s="332">
        <f ca="1">H11</f>
        <v>39.091084444444448</v>
      </c>
      <c r="J11" s="332">
        <f ca="1">I11</f>
        <v>39.091084444444448</v>
      </c>
      <c r="K11" s="332">
        <f ca="1">J11</f>
        <v>39.091084444444448</v>
      </c>
      <c r="L11" s="332">
        <f ca="1">K11</f>
        <v>39.091084444444448</v>
      </c>
      <c r="M11" s="333"/>
      <c r="N11" s="327">
        <f ca="1">SUM(G11:L11)</f>
        <v>234.54650666666669</v>
      </c>
      <c r="O11" s="7"/>
      <c r="P11" s="327">
        <f>SUM('Report Consolidado Semanal'!AK21:AK22,'Report Consolidado Semanal'!AK41:AK42)/1000</f>
        <v>1055.45928</v>
      </c>
      <c r="Q11" s="327">
        <f>SUM('Report Consolidado Semanal'!AL21:AL22,'Report Consolidado Semanal'!AL41:AL42)/1000</f>
        <v>469.09301333333326</v>
      </c>
      <c r="R11" s="327">
        <f>SUM('Report Consolidado Semanal'!AM21:AM22,'Report Consolidado Semanal'!AM41:AM42)/1000</f>
        <v>399.7210978195489</v>
      </c>
      <c r="T11" s="327">
        <f ca="1">Quadros!V6</f>
        <v>511.0911111111111</v>
      </c>
      <c r="U11" s="327">
        <f ca="1">T11</f>
        <v>511.0911111111111</v>
      </c>
      <c r="V11" s="327">
        <f ca="1">U11</f>
        <v>511.0911111111111</v>
      </c>
      <c r="W11" s="327">
        <f ca="1">V11</f>
        <v>511.0911111111111</v>
      </c>
      <c r="X11" s="327">
        <f ca="1">W11</f>
        <v>511.0911111111111</v>
      </c>
      <c r="Y11" s="327">
        <f ca="1">X11</f>
        <v>511.0911111111111</v>
      </c>
      <c r="Z11" s="339"/>
      <c r="AA11" s="327">
        <f ca="1">SUM(T11:Y11)</f>
        <v>3066.5466666666662</v>
      </c>
      <c r="AB11" s="339"/>
      <c r="AC11" s="327">
        <f>SUM('Report Consolidado Semanal'!AK61:AK62)</f>
        <v>13799.46</v>
      </c>
      <c r="AD11" s="327">
        <f>SUM('Report Consolidado Semanal'!AL61:AL62)</f>
        <v>6133.0933333333314</v>
      </c>
      <c r="AE11" s="327">
        <f>SUM('Report Consolidado Semanal'!AM61:AM62)</f>
        <v>2915</v>
      </c>
      <c r="AJ11" s="829" t="s">
        <v>77</v>
      </c>
      <c r="AL11" s="384" t="s">
        <v>74</v>
      </c>
      <c r="AN11" s="384">
        <f ca="1">Quadros!AF6</f>
        <v>1</v>
      </c>
      <c r="AO11" s="384">
        <f ca="1">AN11</f>
        <v>1</v>
      </c>
      <c r="AP11" s="384">
        <f t="shared" ref="AP11:AS11" ca="1" si="1">AO11</f>
        <v>1</v>
      </c>
      <c r="AQ11" s="384">
        <f t="shared" ca="1" si="1"/>
        <v>1</v>
      </c>
      <c r="AR11" s="384">
        <f t="shared" ca="1" si="1"/>
        <v>1</v>
      </c>
      <c r="AS11" s="384">
        <f t="shared" ca="1" si="1"/>
        <v>1</v>
      </c>
    </row>
    <row r="12" spans="4:45" ht="5.0999999999999996" customHeight="1" outlineLevel="1">
      <c r="E12" s="19"/>
      <c r="G12" s="334"/>
      <c r="H12" s="334"/>
      <c r="I12" s="334"/>
      <c r="J12" s="334"/>
      <c r="K12" s="334"/>
      <c r="L12" s="334"/>
      <c r="M12" s="335"/>
      <c r="N12" s="340"/>
      <c r="O12" s="19"/>
      <c r="T12" s="340"/>
      <c r="U12" s="340"/>
      <c r="V12" s="340"/>
      <c r="W12" s="340"/>
      <c r="X12" s="340"/>
      <c r="Y12" s="340"/>
      <c r="Z12" s="341"/>
      <c r="AA12" s="340"/>
      <c r="AB12" s="341"/>
      <c r="AJ12" s="830"/>
      <c r="AN12" s="227"/>
      <c r="AO12" s="227"/>
      <c r="AP12" s="227"/>
      <c r="AQ12" s="227"/>
      <c r="AR12" s="227"/>
      <c r="AS12" s="227"/>
    </row>
    <row r="13" spans="4:45" ht="30" customHeight="1" outlineLevel="1">
      <c r="D13" s="245" t="s">
        <v>3</v>
      </c>
      <c r="E13" s="220"/>
      <c r="F13" s="328" t="s">
        <v>37</v>
      </c>
      <c r="G13" s="336">
        <f>SUM('Report Consolidado Semanal'!AA21,'Report Consolidado Semanal'!AA41)/1000</f>
        <v>47.6493984962406</v>
      </c>
      <c r="H13" s="336">
        <f>SUM('Report Consolidado Semanal'!AB21,'Report Consolidado Semanal'!AB41)/1000</f>
        <v>47.6493984962406</v>
      </c>
      <c r="I13" s="336">
        <f>SUM('Report Consolidado Semanal'!AC21,'Report Consolidado Semanal'!AC41)/1000</f>
        <v>47.6493984962406</v>
      </c>
      <c r="J13" s="336">
        <f>SUM('Report Consolidado Semanal'!AD21,'Report Consolidado Semanal'!AD41)/1000</f>
        <v>47.6493984962406</v>
      </c>
      <c r="K13" s="336">
        <f>SUM('Report Consolidado Semanal'!AE21,'Report Consolidado Semanal'!AE41)/1000</f>
        <v>47.6493984962406</v>
      </c>
      <c r="L13" s="336">
        <f>SUM('Report Consolidado Semanal'!AF21,'Report Consolidado Semanal'!AF41)/1000</f>
        <v>47.1493984962406</v>
      </c>
      <c r="M13" s="337"/>
      <c r="N13" s="329">
        <f>SUM('Report Consolidado Semanal'!AH21,'Report Consolidado Semanal'!AH41)/1000</f>
        <v>95.298796992481201</v>
      </c>
      <c r="O13" s="220"/>
      <c r="P13" s="329"/>
      <c r="Q13" s="329"/>
      <c r="R13" s="329"/>
      <c r="T13" s="329">
        <f>SUM('Report Consolidado Semanal'!AA61)</f>
        <v>100</v>
      </c>
      <c r="U13" s="329">
        <f>SUM('Report Consolidado Semanal'!AB61)</f>
        <v>250</v>
      </c>
      <c r="V13" s="329">
        <f>SUM('Report Consolidado Semanal'!AC61)</f>
        <v>350</v>
      </c>
      <c r="W13" s="329">
        <f>SUM('Report Consolidado Semanal'!AD61)</f>
        <v>350</v>
      </c>
      <c r="X13" s="329">
        <f>SUM('Report Consolidado Semanal'!AE61)</f>
        <v>350</v>
      </c>
      <c r="Y13" s="329">
        <f>SUM('Report Consolidado Semanal'!AF61)</f>
        <v>350</v>
      </c>
      <c r="Z13" s="342"/>
      <c r="AA13" s="329">
        <f>SUM('Report Consolidado Semanal'!AH61)</f>
        <v>350</v>
      </c>
      <c r="AB13" s="342"/>
      <c r="AC13" s="329"/>
      <c r="AD13" s="329"/>
      <c r="AE13" s="329"/>
      <c r="AJ13" s="830" t="s">
        <v>78</v>
      </c>
      <c r="AL13" s="384" t="s">
        <v>75</v>
      </c>
      <c r="AN13" s="384">
        <f>'Report Consolidado Semanal'!AA77</f>
        <v>0</v>
      </c>
      <c r="AO13" s="384">
        <f>'Report Consolidado Semanal'!AB77</f>
        <v>0</v>
      </c>
      <c r="AP13" s="384">
        <f>'Report Consolidado Semanal'!AC77</f>
        <v>0</v>
      </c>
      <c r="AQ13" s="384">
        <f>'Report Consolidado Semanal'!AD77</f>
        <v>0.5</v>
      </c>
      <c r="AR13" s="384">
        <f>'Report Consolidado Semanal'!AE77</f>
        <v>0</v>
      </c>
      <c r="AS13" s="384">
        <f>'Report Consolidado Semanal'!AF77</f>
        <v>1</v>
      </c>
    </row>
    <row r="14" spans="4:45" ht="5.0999999999999996" customHeight="1" outlineLevel="1">
      <c r="E14" s="19"/>
      <c r="G14" s="334"/>
      <c r="H14" s="334"/>
      <c r="I14" s="334"/>
      <c r="J14" s="334"/>
      <c r="K14" s="334"/>
      <c r="L14" s="334"/>
      <c r="M14" s="335"/>
      <c r="N14" s="340"/>
      <c r="O14" s="19"/>
      <c r="T14" s="340"/>
      <c r="U14" s="340"/>
      <c r="V14" s="340"/>
      <c r="W14" s="340"/>
      <c r="X14" s="340"/>
      <c r="Y14" s="340"/>
      <c r="Z14" s="341"/>
      <c r="AA14" s="340"/>
      <c r="AB14" s="341"/>
      <c r="AJ14" s="830"/>
      <c r="AL14" s="131"/>
      <c r="AN14" s="665"/>
      <c r="AO14" s="665"/>
      <c r="AP14" s="665"/>
      <c r="AQ14" s="665"/>
      <c r="AR14" s="665"/>
      <c r="AS14" s="665"/>
    </row>
    <row r="15" spans="4:45" ht="30" customHeight="1" outlineLevel="1">
      <c r="D15" s="245" t="s">
        <v>3</v>
      </c>
      <c r="E15" s="220"/>
      <c r="F15" s="330" t="s">
        <v>38</v>
      </c>
      <c r="G15" s="338">
        <f>SUM('Report Consolidado Semanal'!AA22,'Report Consolidado Semanal'!AA42)/1000</f>
        <v>36.239259999999994</v>
      </c>
      <c r="H15" s="338">
        <f>SUM('Report Consolidado Semanal'!AB22,'Report Consolidado Semanal'!AB42)/1000</f>
        <v>35.896050000000002</v>
      </c>
      <c r="I15" s="338">
        <f>SUM('Report Consolidado Semanal'!AC22,'Report Consolidado Semanal'!AC42)/1000</f>
        <v>0</v>
      </c>
      <c r="J15" s="338">
        <f>SUM('Report Consolidado Semanal'!AD22,'Report Consolidado Semanal'!AD42)/1000</f>
        <v>0</v>
      </c>
      <c r="K15" s="338">
        <f>SUM('Report Consolidado Semanal'!AE22,'Report Consolidado Semanal'!AE42)/1000</f>
        <v>0</v>
      </c>
      <c r="L15" s="338">
        <f>SUM('Report Consolidado Semanal'!AF22,'Report Consolidado Semanal'!AF42)/1000</f>
        <v>0</v>
      </c>
      <c r="M15" s="337"/>
      <c r="N15" s="331">
        <f>SUM('Report Consolidado Semanal'!AH22,'Report Consolidado Semanal'!AH42)/1000</f>
        <v>72.135310000000004</v>
      </c>
      <c r="O15" s="220"/>
      <c r="P15" s="331"/>
      <c r="Q15" s="331"/>
      <c r="R15" s="331"/>
      <c r="T15" s="331">
        <f>SUM('Report Consolidado Semanal'!AA62)</f>
        <v>150</v>
      </c>
      <c r="U15" s="331">
        <f>SUM('Report Consolidado Semanal'!AB62)</f>
        <v>326</v>
      </c>
      <c r="V15" s="331">
        <f>SUM('Report Consolidado Semanal'!AC62)</f>
        <v>0</v>
      </c>
      <c r="W15" s="331">
        <f>SUM('Report Consolidado Semanal'!AD62)</f>
        <v>0</v>
      </c>
      <c r="X15" s="331">
        <f>SUM('Report Consolidado Semanal'!AE62)</f>
        <v>0</v>
      </c>
      <c r="Y15" s="331">
        <f>SUM('Report Consolidado Semanal'!AF62)</f>
        <v>0</v>
      </c>
      <c r="Z15" s="342"/>
      <c r="AA15" s="331">
        <f>SUM('Report Consolidado Semanal'!AH62)</f>
        <v>476</v>
      </c>
      <c r="AB15" s="342"/>
      <c r="AC15" s="331"/>
      <c r="AD15" s="331"/>
      <c r="AE15" s="331"/>
      <c r="AJ15" s="830">
        <f>B172</f>
        <v>3.1426000000000003E-2</v>
      </c>
      <c r="AL15" s="384" t="s">
        <v>76</v>
      </c>
      <c r="AN15" s="384">
        <f>'Report Consolidado Semanal'!AA78</f>
        <v>0</v>
      </c>
      <c r="AO15" s="384">
        <f>'Report Consolidado Semanal'!AB78</f>
        <v>0</v>
      </c>
      <c r="AP15" s="384">
        <f>'Report Consolidado Semanal'!AC78</f>
        <v>0</v>
      </c>
      <c r="AQ15" s="384">
        <f>'Report Consolidado Semanal'!AD78</f>
        <v>0</v>
      </c>
      <c r="AR15" s="384">
        <f>'Report Consolidado Semanal'!AE78</f>
        <v>0</v>
      </c>
      <c r="AS15" s="384">
        <f>'Report Consolidado Semanal'!AF78</f>
        <v>0</v>
      </c>
    </row>
    <row r="16" spans="4:45" ht="5.0999999999999996" customHeight="1" outlineLevel="1"/>
    <row r="17" spans="4:45" ht="30" customHeight="1" outlineLevel="1">
      <c r="D17" s="246" t="s">
        <v>4</v>
      </c>
      <c r="E17" s="7"/>
      <c r="F17" s="326" t="s">
        <v>73</v>
      </c>
      <c r="G17" s="332">
        <f ca="1">Quadros!L6/1000</f>
        <v>14.06966007434781</v>
      </c>
      <c r="H17" s="332">
        <f ca="1">G17</f>
        <v>14.06966007434781</v>
      </c>
      <c r="I17" s="332">
        <f ca="1">H17</f>
        <v>14.06966007434781</v>
      </c>
      <c r="J17" s="332">
        <f ca="1">I17</f>
        <v>14.06966007434781</v>
      </c>
      <c r="K17" s="332">
        <f ca="1">J17</f>
        <v>14.06966007434781</v>
      </c>
      <c r="L17" s="332">
        <f ca="1">K17</f>
        <v>14.06966007434781</v>
      </c>
      <c r="M17" s="333"/>
      <c r="N17" s="327">
        <f ca="1">SUM(G17:L17)</f>
        <v>84.417960446086866</v>
      </c>
      <c r="O17" s="7"/>
      <c r="P17" s="327">
        <f>SUM('Report Consolidado Semanal'!AK25:AK26,'Report Consolidado Semanal'!AK45:AK46)/1000</f>
        <v>379.88082200739092</v>
      </c>
      <c r="Q17" s="327">
        <f>SUM('Report Consolidado Semanal'!AL25:AL26,'Report Consolidado Semanal'!AL45:AL46)/1000</f>
        <v>192.8901057152575</v>
      </c>
      <c r="R17" s="327">
        <f>SUM('Report Consolidado Semanal'!AM25:AM26,'Report Consolidado Semanal'!AM45:AM46)/1000</f>
        <v>221.20587656112039</v>
      </c>
      <c r="T17" s="327">
        <f ca="1">Quadros!W6</f>
        <v>500.81342592592586</v>
      </c>
      <c r="U17" s="327">
        <f ca="1">T17</f>
        <v>500.81342592592586</v>
      </c>
      <c r="V17" s="327">
        <f ca="1">U17</f>
        <v>500.81342592592586</v>
      </c>
      <c r="W17" s="327">
        <f ca="1">V17</f>
        <v>500.81342592592586</v>
      </c>
      <c r="X17" s="327">
        <f ca="1">W17</f>
        <v>500.81342592592586</v>
      </c>
      <c r="Y17" s="327">
        <f ca="1">X17</f>
        <v>500.81342592592586</v>
      </c>
      <c r="Z17" s="339"/>
      <c r="AA17" s="327">
        <f ca="1">SUM(T17:Y17)</f>
        <v>3004.880555555555</v>
      </c>
      <c r="AB17" s="339"/>
      <c r="AC17" s="327">
        <f>SUM('Report Consolidado Semanal'!AK65:AK66)</f>
        <v>13521.962499999998</v>
      </c>
      <c r="AD17" s="327">
        <f>SUM('Report Consolidado Semanal'!AL65:AL66)</f>
        <v>6959.2802000000011</v>
      </c>
      <c r="AE17" s="327">
        <f>SUM('Report Consolidado Semanal'!AM65:AM66)</f>
        <v>7173</v>
      </c>
      <c r="AJ17" s="829" t="s">
        <v>60</v>
      </c>
      <c r="AL17" s="384" t="s">
        <v>74</v>
      </c>
      <c r="AN17" s="384">
        <f ca="1">Quadros!AG6</f>
        <v>1</v>
      </c>
      <c r="AO17" s="384">
        <f ca="1">AN17</f>
        <v>1</v>
      </c>
      <c r="AP17" s="384">
        <f t="shared" ref="AP17:AS17" ca="1" si="2">AO17</f>
        <v>1</v>
      </c>
      <c r="AQ17" s="384">
        <f t="shared" ca="1" si="2"/>
        <v>1</v>
      </c>
      <c r="AR17" s="384">
        <f t="shared" ca="1" si="2"/>
        <v>1</v>
      </c>
      <c r="AS17" s="384">
        <f t="shared" ca="1" si="2"/>
        <v>1</v>
      </c>
    </row>
    <row r="18" spans="4:45" ht="5.0999999999999996" customHeight="1" outlineLevel="1">
      <c r="E18" s="19"/>
      <c r="G18" s="334"/>
      <c r="H18" s="334"/>
      <c r="I18" s="334"/>
      <c r="J18" s="334"/>
      <c r="K18" s="334"/>
      <c r="L18" s="334"/>
      <c r="M18" s="335"/>
      <c r="N18" s="340"/>
      <c r="O18" s="19"/>
      <c r="T18" s="340"/>
      <c r="U18" s="340"/>
      <c r="V18" s="340"/>
      <c r="W18" s="340"/>
      <c r="X18" s="340"/>
      <c r="Y18" s="340"/>
      <c r="Z18" s="341"/>
      <c r="AA18" s="340"/>
      <c r="AB18" s="341"/>
      <c r="AJ18" s="830"/>
      <c r="AN18" s="227"/>
      <c r="AO18" s="227"/>
      <c r="AP18" s="227"/>
      <c r="AQ18" s="227"/>
      <c r="AR18" s="227"/>
      <c r="AS18" s="227"/>
    </row>
    <row r="19" spans="4:45" ht="30" customHeight="1" outlineLevel="1">
      <c r="D19" s="246" t="s">
        <v>4</v>
      </c>
      <c r="E19" s="220"/>
      <c r="F19" s="328" t="s">
        <v>37</v>
      </c>
      <c r="G19" s="336">
        <f>SUM('Report Consolidado Semanal'!AA25,'Report Consolidado Semanal'!AA45)/1000</f>
        <v>10.111496060033332</v>
      </c>
      <c r="H19" s="336">
        <f>SUM('Report Consolidado Semanal'!AB25,'Report Consolidado Semanal'!AB45)/1000</f>
        <v>10.111496060033332</v>
      </c>
      <c r="I19" s="336">
        <f>SUM('Report Consolidado Semanal'!AC25,'Report Consolidado Semanal'!AC45)/1000</f>
        <v>10.111496060033332</v>
      </c>
      <c r="J19" s="336">
        <f>SUM('Report Consolidado Semanal'!AD25,'Report Consolidado Semanal'!AD45)/1000</f>
        <v>10.111496060033332</v>
      </c>
      <c r="K19" s="336">
        <f>SUM('Report Consolidado Semanal'!AE25,'Report Consolidado Semanal'!AE45)/1000</f>
        <v>10.111496060033332</v>
      </c>
      <c r="L19" s="336">
        <f>SUM('Report Consolidado Semanal'!AF25,'Report Consolidado Semanal'!AF45)/1000</f>
        <v>10.111496060033332</v>
      </c>
      <c r="M19" s="337"/>
      <c r="N19" s="329">
        <f>SUM('Report Consolidado Semanal'!AH25,'Report Consolidado Semanal'!AH45)/1000</f>
        <v>20.222992120066664</v>
      </c>
      <c r="O19" s="220"/>
      <c r="P19" s="329"/>
      <c r="Q19" s="329"/>
      <c r="R19" s="329"/>
      <c r="T19" s="329">
        <f>SUM('Report Consolidado Semanal'!AA65)</f>
        <v>452.67259999999999</v>
      </c>
      <c r="U19" s="329">
        <f>SUM('Report Consolidado Semanal'!AB65)</f>
        <v>452.67259999999999</v>
      </c>
      <c r="V19" s="329">
        <f>SUM('Report Consolidado Semanal'!AC65)</f>
        <v>452.67259999999999</v>
      </c>
      <c r="W19" s="329">
        <f>SUM('Report Consolidado Semanal'!AD65)</f>
        <v>452.67259999999999</v>
      </c>
      <c r="X19" s="329">
        <f>SUM('Report Consolidado Semanal'!AE65)</f>
        <v>452.67259999999999</v>
      </c>
      <c r="Y19" s="329">
        <f>SUM('Report Consolidado Semanal'!AF65)</f>
        <v>452.67259999999999</v>
      </c>
      <c r="Z19" s="342"/>
      <c r="AA19" s="329">
        <f>SUM('Report Consolidado Semanal'!AH65)</f>
        <v>905.34519999999998</v>
      </c>
      <c r="AB19" s="342"/>
      <c r="AC19" s="329"/>
      <c r="AD19" s="329"/>
      <c r="AE19" s="329"/>
      <c r="AJ19" s="830" t="s">
        <v>78</v>
      </c>
      <c r="AL19" s="384" t="s">
        <v>75</v>
      </c>
      <c r="AN19" s="384">
        <f>'Report Consolidado Semanal'!AA81</f>
        <v>3</v>
      </c>
      <c r="AO19" s="384">
        <f>'Report Consolidado Semanal'!AB81</f>
        <v>0</v>
      </c>
      <c r="AP19" s="384">
        <f>'Report Consolidado Semanal'!AC81</f>
        <v>0</v>
      </c>
      <c r="AQ19" s="384">
        <f>'Report Consolidado Semanal'!AD81</f>
        <v>0</v>
      </c>
      <c r="AR19" s="384">
        <f>'Report Consolidado Semanal'!AE81</f>
        <v>0</v>
      </c>
      <c r="AS19" s="384">
        <f>'Report Consolidado Semanal'!AF81</f>
        <v>1</v>
      </c>
    </row>
    <row r="20" spans="4:45" ht="5.0999999999999996" customHeight="1" outlineLevel="1">
      <c r="E20" s="19"/>
      <c r="G20" s="334"/>
      <c r="H20" s="334"/>
      <c r="I20" s="334"/>
      <c r="J20" s="334"/>
      <c r="K20" s="334"/>
      <c r="L20" s="334"/>
      <c r="M20" s="335"/>
      <c r="N20" s="340"/>
      <c r="O20" s="19"/>
      <c r="T20" s="340"/>
      <c r="U20" s="340"/>
      <c r="V20" s="340"/>
      <c r="W20" s="340"/>
      <c r="X20" s="340"/>
      <c r="Y20" s="340"/>
      <c r="Z20" s="341"/>
      <c r="AA20" s="340"/>
      <c r="AB20" s="341"/>
      <c r="AJ20" s="830"/>
      <c r="AL20" s="131"/>
      <c r="AN20" s="665"/>
      <c r="AO20" s="665"/>
      <c r="AP20" s="665"/>
      <c r="AQ20" s="665"/>
      <c r="AR20" s="665"/>
      <c r="AS20" s="665"/>
    </row>
    <row r="21" spans="4:45" ht="30" customHeight="1" outlineLevel="1">
      <c r="D21" s="246" t="s">
        <v>4</v>
      </c>
      <c r="E21" s="220"/>
      <c r="F21" s="330" t="s">
        <v>38</v>
      </c>
      <c r="G21" s="338">
        <f>SUM('Report Consolidado Semanal'!AA26,'Report Consolidado Semanal'!AA46)/1000</f>
        <v>14.580076309924447</v>
      </c>
      <c r="H21" s="338">
        <f>SUM('Report Consolidado Semanal'!AB26,'Report Consolidado Semanal'!AB46)/1000</f>
        <v>14.792386532639156</v>
      </c>
      <c r="I21" s="338">
        <f>SUM('Report Consolidado Semanal'!AC26,'Report Consolidado Semanal'!AC46)/1000</f>
        <v>0</v>
      </c>
      <c r="J21" s="338">
        <f>SUM('Report Consolidado Semanal'!AD26,'Report Consolidado Semanal'!AD46)/1000</f>
        <v>0</v>
      </c>
      <c r="K21" s="338">
        <f>SUM('Report Consolidado Semanal'!AE26,'Report Consolidado Semanal'!AE46)/1000</f>
        <v>0</v>
      </c>
      <c r="L21" s="338">
        <f>SUM('Report Consolidado Semanal'!AF26,'Report Consolidado Semanal'!AF46)/1000</f>
        <v>0</v>
      </c>
      <c r="M21" s="337"/>
      <c r="N21" s="331">
        <f>SUM('Report Consolidado Semanal'!AH26,'Report Consolidado Semanal'!AH46)/1000</f>
        <v>29.372462842563603</v>
      </c>
      <c r="O21" s="220"/>
      <c r="P21" s="331"/>
      <c r="Q21" s="331"/>
      <c r="R21" s="331"/>
      <c r="T21" s="331">
        <f>SUM('Report Consolidado Semanal'!AA66)</f>
        <v>609</v>
      </c>
      <c r="U21" s="331">
        <f>SUM('Report Consolidado Semanal'!AB66)</f>
        <v>745</v>
      </c>
      <c r="V21" s="331">
        <f>SUM('Report Consolidado Semanal'!AC66)</f>
        <v>0</v>
      </c>
      <c r="W21" s="331">
        <f>SUM('Report Consolidado Semanal'!AD66)</f>
        <v>0</v>
      </c>
      <c r="X21" s="331">
        <f>SUM('Report Consolidado Semanal'!AE66)</f>
        <v>0</v>
      </c>
      <c r="Y21" s="331">
        <f>SUM('Report Consolidado Semanal'!AF66)</f>
        <v>0</v>
      </c>
      <c r="Z21" s="342"/>
      <c r="AA21" s="331">
        <f>SUM('Report Consolidado Semanal'!AH66)</f>
        <v>1354</v>
      </c>
      <c r="AB21" s="342"/>
      <c r="AC21" s="331"/>
      <c r="AD21" s="331"/>
      <c r="AE21" s="331"/>
      <c r="AJ21" s="830">
        <f>B174</f>
        <v>0.34402100000000002</v>
      </c>
      <c r="AL21" s="384" t="s">
        <v>76</v>
      </c>
      <c r="AN21" s="384">
        <f>'Report Consolidado Semanal'!AA82</f>
        <v>0</v>
      </c>
      <c r="AO21" s="384">
        <f>'Report Consolidado Semanal'!AB82</f>
        <v>3</v>
      </c>
      <c r="AP21" s="384">
        <f>'Report Consolidado Semanal'!AC82</f>
        <v>0</v>
      </c>
      <c r="AQ21" s="384">
        <f>'Report Consolidado Semanal'!AD82</f>
        <v>0</v>
      </c>
      <c r="AR21" s="384">
        <f>'Report Consolidado Semanal'!AE82</f>
        <v>0</v>
      </c>
      <c r="AS21" s="384">
        <f>'Report Consolidado Semanal'!AF82</f>
        <v>0</v>
      </c>
    </row>
    <row r="22" spans="4:45" ht="5.65" customHeight="1">
      <c r="AN22" s="227"/>
      <c r="AO22" s="227"/>
      <c r="AP22" s="227"/>
      <c r="AQ22" s="227"/>
      <c r="AR22" s="227"/>
      <c r="AS22" s="227"/>
    </row>
    <row r="23" spans="4:45" ht="33.75" customHeight="1">
      <c r="AH23" s="657"/>
      <c r="AJ23" s="829" t="s">
        <v>61</v>
      </c>
      <c r="AL23" s="384" t="s">
        <v>74</v>
      </c>
      <c r="AN23" s="384">
        <f ca="1">Quadros!AH6</f>
        <v>1</v>
      </c>
      <c r="AO23" s="384">
        <f ca="1">AN23</f>
        <v>1</v>
      </c>
      <c r="AP23" s="384">
        <f t="shared" ref="AP23:AS23" ca="1" si="3">AO23</f>
        <v>1</v>
      </c>
      <c r="AQ23" s="384">
        <f t="shared" ca="1" si="3"/>
        <v>1</v>
      </c>
      <c r="AR23" s="384">
        <f t="shared" ca="1" si="3"/>
        <v>1</v>
      </c>
      <c r="AS23" s="384">
        <f t="shared" ca="1" si="3"/>
        <v>1</v>
      </c>
    </row>
    <row r="24" spans="4:45" ht="33.75" customHeight="1" thickBot="1">
      <c r="D24" s="344" t="s">
        <v>79</v>
      </c>
      <c r="E24" s="343"/>
      <c r="F24" s="343"/>
      <c r="G24" s="343"/>
      <c r="H24" s="343"/>
      <c r="I24" s="343"/>
      <c r="J24" s="343"/>
      <c r="K24" s="343"/>
      <c r="L24" s="343"/>
      <c r="M24" s="343"/>
      <c r="N24" s="343"/>
      <c r="O24" s="343"/>
      <c r="P24" s="343"/>
      <c r="Q24" s="343"/>
      <c r="R24" s="345">
        <f>'Report Consolidado Semanal'!$Y$7</f>
        <v>46217</v>
      </c>
      <c r="T24" s="656" t="s">
        <v>80</v>
      </c>
      <c r="U24" s="656"/>
      <c r="V24" s="656"/>
      <c r="W24" s="656"/>
      <c r="X24" s="343"/>
      <c r="Y24" s="343"/>
      <c r="Z24" s="343"/>
      <c r="AA24" s="343"/>
      <c r="AB24" s="343"/>
      <c r="AC24" s="343"/>
      <c r="AD24" s="343"/>
      <c r="AE24" s="343"/>
      <c r="AF24" s="343"/>
      <c r="AG24" s="666">
        <f>'Report Consolidado Semanal'!$Y$7</f>
        <v>46217</v>
      </c>
      <c r="AH24" s="657"/>
      <c r="AJ24" s="830"/>
      <c r="AL24" s="384" t="s">
        <v>75</v>
      </c>
      <c r="AN24" s="384">
        <f>'Report Consolidado Semanal'!AA85</f>
        <v>0</v>
      </c>
      <c r="AO24" s="384">
        <f>'Report Consolidado Semanal'!AB85</f>
        <v>0</v>
      </c>
      <c r="AP24" s="384">
        <f>'Report Consolidado Semanal'!AC85</f>
        <v>0</v>
      </c>
      <c r="AQ24" s="384">
        <f>'Report Consolidado Semanal'!AD85</f>
        <v>1</v>
      </c>
      <c r="AR24" s="384">
        <f>'Report Consolidado Semanal'!AE85</f>
        <v>0</v>
      </c>
      <c r="AS24" s="384">
        <f>'Report Consolidado Semanal'!AF85</f>
        <v>1</v>
      </c>
    </row>
    <row r="25" spans="4:45" ht="33.75" customHeight="1">
      <c r="AH25" s="657"/>
      <c r="AJ25" s="830"/>
      <c r="AL25" s="384" t="s">
        <v>76</v>
      </c>
      <c r="AN25" s="384">
        <f>'Report Consolidado Semanal'!AA86</f>
        <v>0</v>
      </c>
      <c r="AO25" s="384">
        <f>'Report Consolidado Semanal'!AB86</f>
        <v>0</v>
      </c>
      <c r="AP25" s="384">
        <f>'Report Consolidado Semanal'!AC86</f>
        <v>0</v>
      </c>
      <c r="AQ25" s="384">
        <f>'Report Consolidado Semanal'!AD86</f>
        <v>0</v>
      </c>
      <c r="AR25" s="384">
        <f>'Report Consolidado Semanal'!AE86</f>
        <v>0</v>
      </c>
      <c r="AS25" s="384">
        <f>'Report Consolidado Semanal'!AF86</f>
        <v>0</v>
      </c>
    </row>
    <row r="26" spans="4:45" ht="5.65" customHeight="1">
      <c r="AJ26" s="7"/>
      <c r="AL26" s="131"/>
      <c r="AN26" s="227"/>
      <c r="AO26" s="227"/>
      <c r="AP26" s="227"/>
      <c r="AQ26" s="227"/>
      <c r="AR26" s="227"/>
      <c r="AS26" s="227"/>
    </row>
    <row r="27" spans="4:45" ht="33.75" customHeight="1">
      <c r="AH27" s="657"/>
      <c r="AJ27" s="829" t="s">
        <v>63</v>
      </c>
      <c r="AL27" s="384" t="s">
        <v>74</v>
      </c>
      <c r="AN27" s="384">
        <f ca="1">Quadros!AI6</f>
        <v>21</v>
      </c>
      <c r="AO27" s="384">
        <f ca="1">AN27</f>
        <v>21</v>
      </c>
      <c r="AP27" s="384">
        <f t="shared" ref="AP27:AS27" ca="1" si="4">AO27</f>
        <v>21</v>
      </c>
      <c r="AQ27" s="384">
        <f t="shared" ca="1" si="4"/>
        <v>21</v>
      </c>
      <c r="AR27" s="384">
        <f t="shared" ca="1" si="4"/>
        <v>21</v>
      </c>
      <c r="AS27" s="384">
        <f t="shared" ca="1" si="4"/>
        <v>21</v>
      </c>
    </row>
    <row r="28" spans="4:45" ht="33.75" customHeight="1">
      <c r="AH28" s="657"/>
      <c r="AJ28" s="830"/>
      <c r="AL28" s="384" t="s">
        <v>75</v>
      </c>
      <c r="AN28" s="384">
        <f>'Report Consolidado Semanal'!AA89</f>
        <v>40</v>
      </c>
      <c r="AO28" s="384">
        <f>'Report Consolidado Semanal'!AB89</f>
        <v>23</v>
      </c>
      <c r="AP28" s="384">
        <f>'Report Consolidado Semanal'!AC89</f>
        <v>40</v>
      </c>
      <c r="AQ28" s="384">
        <f>'Report Consolidado Semanal'!AD89</f>
        <v>23</v>
      </c>
      <c r="AR28" s="384">
        <f>'Report Consolidado Semanal'!AE89</f>
        <v>40</v>
      </c>
      <c r="AS28" s="384">
        <f>'Report Consolidado Semanal'!AF89</f>
        <v>23</v>
      </c>
    </row>
    <row r="29" spans="4:45" ht="33.75" customHeight="1">
      <c r="AH29" s="657"/>
      <c r="AJ29" s="830"/>
      <c r="AL29" s="384" t="s">
        <v>76</v>
      </c>
      <c r="AN29" s="384">
        <f>'Report Consolidado Semanal'!AA90</f>
        <v>40</v>
      </c>
      <c r="AO29" s="384">
        <f>'Report Consolidado Semanal'!AB90</f>
        <v>23</v>
      </c>
      <c r="AP29" s="384">
        <f>'Report Consolidado Semanal'!AC90</f>
        <v>0</v>
      </c>
      <c r="AQ29" s="384">
        <f>'Report Consolidado Semanal'!AD90</f>
        <v>0</v>
      </c>
      <c r="AR29" s="384">
        <f>'Report Consolidado Semanal'!AE90</f>
        <v>0</v>
      </c>
      <c r="AS29" s="384">
        <f>'Report Consolidado Semanal'!AF90</f>
        <v>0</v>
      </c>
    </row>
    <row r="30" spans="4:45" ht="8.1" customHeight="1"/>
    <row r="31" spans="4:45">
      <c r="AJ31" s="323" t="s">
        <v>81</v>
      </c>
      <c r="AK31" s="323"/>
      <c r="AL31" s="323"/>
      <c r="AN31" s="384">
        <f>SUMIF($AL$5:AL29,$AL$9,AN5:AN29)</f>
        <v>40</v>
      </c>
      <c r="AO31" s="384">
        <f ca="1">SUMIF($AL$5:AM29,$AL$9,AO5:AO29)</f>
        <v>26</v>
      </c>
      <c r="AP31" s="384">
        <f>SUMIF($AL$5:AL29,$AL$9,AP5:AP29)</f>
        <v>0</v>
      </c>
      <c r="AQ31" s="384">
        <f>SUMIF($AL$5:AL29,$AL$9,AQ5:AQ29)</f>
        <v>0</v>
      </c>
      <c r="AR31" s="384">
        <f>SUMIF($AL$5:AL29,$AL$9,AR5:AR29)</f>
        <v>0</v>
      </c>
      <c r="AS31" s="384">
        <f>SUMIF($AL$5:AL29,$AL$9,AS5:AS29)</f>
        <v>0</v>
      </c>
    </row>
    <row r="32" spans="4:45">
      <c r="AJ32" s="323" t="s">
        <v>82</v>
      </c>
      <c r="AK32" s="323"/>
      <c r="AL32" s="323"/>
      <c r="AN32" s="384">
        <f ca="1">SUMIF($AL$5:AL30,$AL$5,AN5:AN30)</f>
        <v>26</v>
      </c>
      <c r="AO32" s="384">
        <f ca="1">SUMIF($AL$5:AL30,$AL$5,AO5:AO30)</f>
        <v>26</v>
      </c>
      <c r="AP32" s="384">
        <f ca="1">SUMIF($AL$5:AL29,$AL$5,AP5:AP30)</f>
        <v>26</v>
      </c>
      <c r="AQ32" s="384">
        <f ca="1">SUMIF($AL$5:AL29,$AL$5,AQ5:AQ29)</f>
        <v>26</v>
      </c>
      <c r="AR32" s="384">
        <f ca="1">SUMIF($AL$5:AL29,$AL$5,AR5:AR29)</f>
        <v>26</v>
      </c>
      <c r="AS32" s="384">
        <f ca="1">SUMIF($AL$5:AL29,$AL$5,AS5:AS29)</f>
        <v>26</v>
      </c>
    </row>
    <row r="33" spans="36:45">
      <c r="AJ33" s="323" t="s">
        <v>83</v>
      </c>
      <c r="AK33" s="323"/>
      <c r="AL33" s="323"/>
      <c r="AN33" s="690">
        <f t="shared" ref="AN33:AS33" ca="1" si="5">AN31/AN32</f>
        <v>1.5384615384615385</v>
      </c>
      <c r="AO33" s="690">
        <f t="shared" ca="1" si="5"/>
        <v>1</v>
      </c>
      <c r="AP33" s="690">
        <f t="shared" ca="1" si="5"/>
        <v>0</v>
      </c>
      <c r="AQ33" s="690">
        <f t="shared" ca="1" si="5"/>
        <v>0</v>
      </c>
      <c r="AR33" s="690">
        <f t="shared" ca="1" si="5"/>
        <v>0</v>
      </c>
      <c r="AS33" s="690">
        <f t="shared" ca="1" si="5"/>
        <v>0</v>
      </c>
    </row>
    <row r="55" spans="4:21" ht="27" thickBot="1">
      <c r="J55" s="658"/>
      <c r="K55" s="659"/>
      <c r="L55" s="659"/>
      <c r="M55" s="659"/>
      <c r="N55" s="659"/>
      <c r="O55" s="659"/>
      <c r="P55" s="660" t="s">
        <v>84</v>
      </c>
      <c r="Q55" s="660"/>
      <c r="R55" s="660"/>
      <c r="S55" s="660"/>
      <c r="T55" s="660"/>
      <c r="U55" s="661">
        <f>'Report Consolidado Semanal'!$Y$7</f>
        <v>46217</v>
      </c>
    </row>
    <row r="56" spans="4:21" ht="22.35" customHeight="1">
      <c r="D56" s="807" t="str">
        <f>D24</f>
        <v>Terraplanagem - Corte + Aterro - (x1000.m³)</v>
      </c>
      <c r="F56" s="823" t="s">
        <v>85</v>
      </c>
      <c r="G56" s="824" t="s">
        <v>86</v>
      </c>
      <c r="H56" s="823" t="s">
        <v>87</v>
      </c>
      <c r="I56" s="823" t="s">
        <v>88</v>
      </c>
      <c r="J56" s="658"/>
    </row>
    <row r="57" spans="4:21" ht="24.95" customHeight="1">
      <c r="D57" s="826"/>
      <c r="F57" s="808"/>
      <c r="G57" s="825"/>
      <c r="H57" s="808"/>
      <c r="I57" s="808"/>
      <c r="J57" s="663"/>
      <c r="K57" s="658"/>
      <c r="L57" s="658"/>
      <c r="M57" s="658"/>
      <c r="N57" s="658"/>
      <c r="O57" s="658"/>
      <c r="P57" s="658"/>
      <c r="Q57" s="658"/>
      <c r="R57" s="658"/>
      <c r="S57" s="658"/>
      <c r="T57" s="664"/>
      <c r="U57" s="664"/>
    </row>
    <row r="58" spans="4:21" ht="5.0999999999999996" customHeight="1">
      <c r="D58" s="334"/>
      <c r="E58" s="334"/>
      <c r="F58" s="334"/>
      <c r="G58" s="334"/>
      <c r="H58" s="334"/>
      <c r="I58" s="334"/>
      <c r="J58" s="663"/>
      <c r="K58" s="658"/>
      <c r="L58" s="662"/>
      <c r="M58" s="658"/>
      <c r="N58" s="662"/>
      <c r="O58" s="658"/>
      <c r="P58" s="658"/>
      <c r="Q58" s="658"/>
      <c r="R58" s="658"/>
      <c r="S58" s="658"/>
      <c r="T58" s="664"/>
      <c r="U58" s="664"/>
    </row>
    <row r="59" spans="4:21" ht="30" customHeight="1">
      <c r="D59" s="244" t="s">
        <v>2</v>
      </c>
      <c r="E59" s="6"/>
      <c r="F59" s="373">
        <f>SUM('Report Consolidado Semanal'!AT13:AT14,'Report Consolidado Semanal'!AT17:AT18,'Report Consolidado Semanal'!AT33:AT34,'Report Consolidado Semanal'!AT37:AT38)</f>
        <v>9496785.4199999981</v>
      </c>
      <c r="G59" s="373">
        <f>SUM('Report Consolidado Semanal'!AU13:AU14,'Report Consolidado Semanal'!AU17:AU18,'Report Consolidado Semanal'!AU33:AU34,'Report Consolidado Semanal'!AU37:AU38)</f>
        <v>3574575.7516199998</v>
      </c>
      <c r="H59" s="376">
        <f>(F59)/(F59+G59)</f>
        <v>0.72653377833511534</v>
      </c>
      <c r="I59" s="376">
        <f>(G59)/(F59+G59)</f>
        <v>0.27346622166488455</v>
      </c>
      <c r="J59" s="658"/>
      <c r="K59" s="658"/>
      <c r="L59" s="658"/>
      <c r="M59" s="658"/>
      <c r="N59" s="658"/>
      <c r="O59" s="658"/>
      <c r="P59" s="658"/>
      <c r="Q59" s="658"/>
      <c r="R59" s="500"/>
      <c r="S59" s="658"/>
      <c r="T59" s="658"/>
      <c r="U59" s="658"/>
    </row>
    <row r="60" spans="4:21" ht="5.0999999999999996" customHeight="1">
      <c r="F60" s="368"/>
      <c r="G60" s="368"/>
      <c r="H60" s="368"/>
      <c r="I60" s="368"/>
      <c r="J60" s="658"/>
      <c r="K60" s="658"/>
      <c r="L60" s="662"/>
      <c r="M60" s="658"/>
      <c r="N60" s="662"/>
      <c r="O60" s="658"/>
      <c r="P60" s="658"/>
      <c r="Q60" s="658"/>
      <c r="R60" s="658"/>
      <c r="S60" s="658"/>
      <c r="T60" s="664"/>
      <c r="U60" s="664"/>
    </row>
    <row r="61" spans="4:21" ht="30" customHeight="1">
      <c r="D61" s="245" t="s">
        <v>3</v>
      </c>
      <c r="F61" s="367">
        <f>SUM('Report Consolidado Semanal'!AT21:AT22)</f>
        <v>6620711.0199999996</v>
      </c>
      <c r="G61" s="373">
        <f ca="1">SUM('Report Consolidado Semanal'!AU21:AU22)</f>
        <v>1473376.6499999994</v>
      </c>
      <c r="H61" s="376">
        <f ca="1">(F61)/(F61+G61)</f>
        <v>0.81796878041475429</v>
      </c>
      <c r="I61" s="376">
        <f ca="1">(G61)/(F61+G61)</f>
        <v>0.18203121958524568</v>
      </c>
      <c r="J61" s="658"/>
      <c r="K61" s="658"/>
      <c r="L61" s="658"/>
      <c r="M61" s="658"/>
      <c r="N61" s="658"/>
      <c r="O61" s="658"/>
      <c r="P61" s="658"/>
      <c r="R61" s="658"/>
      <c r="S61" s="658"/>
      <c r="T61" s="658"/>
      <c r="U61" s="658"/>
    </row>
    <row r="62" spans="4:21" ht="5.0999999999999996" customHeight="1">
      <c r="F62" s="368"/>
      <c r="G62" s="368"/>
      <c r="H62" s="368"/>
      <c r="I62" s="368"/>
      <c r="J62" s="663"/>
      <c r="K62" s="658"/>
      <c r="L62" s="662"/>
      <c r="M62" s="658"/>
      <c r="N62" s="662"/>
      <c r="O62" s="658"/>
      <c r="P62" s="658"/>
      <c r="Q62" s="658"/>
      <c r="R62" s="658"/>
      <c r="S62" s="658"/>
      <c r="T62" s="664"/>
      <c r="U62" s="664"/>
    </row>
    <row r="63" spans="4:21" ht="30" customHeight="1">
      <c r="D63" s="246" t="s">
        <v>4</v>
      </c>
      <c r="F63" s="367">
        <f>SUM('Report Consolidado Semanal'!AT25:AT26)</f>
        <v>2502064.0209999997</v>
      </c>
      <c r="G63" s="373">
        <f>SUM('Report Consolidado Semanal'!AU25:AU26)</f>
        <v>363883.14029380801</v>
      </c>
      <c r="H63" s="376">
        <f>(F63)/(F63+G63)</f>
        <v>0.873032153136579</v>
      </c>
      <c r="I63" s="376">
        <f>(G63)/(F63+G63)</f>
        <v>0.12696784686342089</v>
      </c>
      <c r="J63" s="658"/>
      <c r="K63" s="658"/>
      <c r="L63" s="658"/>
      <c r="M63" s="658"/>
      <c r="N63" s="658"/>
      <c r="O63" s="658"/>
      <c r="P63" s="658"/>
      <c r="Q63" s="658"/>
      <c r="R63" s="658"/>
      <c r="S63" s="658"/>
      <c r="T63" s="658"/>
      <c r="U63" s="658"/>
    </row>
    <row r="66" spans="4:20" ht="30" customHeight="1" thickBot="1">
      <c r="D66" s="375"/>
      <c r="E66" s="375"/>
      <c r="F66" s="375"/>
      <c r="G66" s="375"/>
      <c r="H66" s="374"/>
      <c r="I66" s="372"/>
      <c r="J66" s="658"/>
      <c r="K66" s="658"/>
      <c r="L66" s="660"/>
      <c r="M66" s="660"/>
      <c r="N66" s="660"/>
      <c r="O66" s="660"/>
      <c r="P66" s="660" t="s">
        <v>89</v>
      </c>
      <c r="Q66" s="660"/>
      <c r="R66" s="660"/>
      <c r="S66" s="660"/>
      <c r="T66" s="661">
        <f>'Report Consolidado Semanal'!$Y$7</f>
        <v>46217</v>
      </c>
    </row>
    <row r="67" spans="4:20">
      <c r="J67" s="658"/>
      <c r="K67" s="658"/>
      <c r="L67" s="658"/>
      <c r="M67" s="662"/>
      <c r="N67" s="658"/>
      <c r="O67" s="662"/>
      <c r="P67" s="658"/>
      <c r="Q67" s="658"/>
      <c r="R67" s="658"/>
      <c r="S67" s="658"/>
      <c r="T67" s="658"/>
    </row>
    <row r="68" spans="4:20" ht="14.85" customHeight="1">
      <c r="D68" s="823" t="str">
        <f>T24</f>
        <v>Drenagem Superficial (m)</v>
      </c>
      <c r="F68" s="823" t="s">
        <v>85</v>
      </c>
      <c r="G68" s="824" t="s">
        <v>86</v>
      </c>
      <c r="H68" s="823" t="s">
        <v>87</v>
      </c>
      <c r="I68" s="823" t="s">
        <v>88</v>
      </c>
    </row>
    <row r="69" spans="4:20" ht="24.95" customHeight="1">
      <c r="D69" s="808"/>
      <c r="F69" s="808"/>
      <c r="G69" s="825"/>
      <c r="H69" s="808"/>
      <c r="I69" s="808"/>
      <c r="J69" s="334"/>
      <c r="K69" s="334"/>
      <c r="M69" s="6"/>
      <c r="O69" s="6"/>
      <c r="T69" s="340"/>
    </row>
    <row r="70" spans="4:20" ht="5.0999999999999996" customHeight="1">
      <c r="D70" s="334"/>
      <c r="E70" s="334"/>
      <c r="F70" s="334"/>
      <c r="G70" s="334"/>
      <c r="H70" s="334"/>
      <c r="I70" s="334"/>
      <c r="J70" s="334"/>
      <c r="K70" s="334"/>
      <c r="T70" s="340"/>
    </row>
    <row r="71" spans="4:20" ht="30" customHeight="1">
      <c r="D71" s="244" t="s">
        <v>90</v>
      </c>
      <c r="E71" s="6"/>
      <c r="F71" s="366" cm="1">
        <f t="array" ref="F71">SUM('Report Consolidado Semanal'!AT53:AT54+'Report Consolidado Semanal'!AT57:AT58)</f>
        <v>201994.21000000002</v>
      </c>
      <c r="G71" s="366" cm="1">
        <f t="array" ref="G71">SUM('Report Consolidado Semanal'!AU53:AU54+'Report Consolidado Semanal'!AU57:AU58)</f>
        <v>180591.359</v>
      </c>
      <c r="H71" s="394">
        <f>(F71)/(F71+G71)</f>
        <v>0.5279713255467825</v>
      </c>
      <c r="I71" s="394">
        <f>(G71)/(F71+G71)</f>
        <v>0.4720286744532175</v>
      </c>
      <c r="M71" s="6"/>
      <c r="O71" s="6"/>
      <c r="R71"/>
    </row>
    <row r="72" spans="4:20" ht="5.0999999999999996" customHeight="1">
      <c r="H72" s="385"/>
      <c r="I72" s="385"/>
      <c r="T72" s="340"/>
    </row>
    <row r="73" spans="4:20" ht="30" customHeight="1">
      <c r="D73" s="245" t="s">
        <v>91</v>
      </c>
      <c r="F73" s="366">
        <f>SUM('Report Consolidado Semanal'!AT61:AT62)</f>
        <v>127599</v>
      </c>
      <c r="G73" s="366">
        <f ca="1">SUM('Report Consolidado Semanal'!AU61:AU62)</f>
        <v>69776.62</v>
      </c>
      <c r="H73" s="394">
        <f ca="1">(F73)/(F73+G73)</f>
        <v>0.64647801992971576</v>
      </c>
      <c r="I73" s="394">
        <f ca="1">(G73)/(F73+G73)</f>
        <v>0.35352198007028424</v>
      </c>
      <c r="M73" s="6"/>
      <c r="O73" s="6"/>
    </row>
    <row r="74" spans="4:20" ht="5.0999999999999996" customHeight="1">
      <c r="H74" s="385"/>
      <c r="I74" s="385"/>
      <c r="J74" s="334"/>
      <c r="K74" s="334"/>
      <c r="T74" s="340"/>
    </row>
    <row r="75" spans="4:20" ht="30" customHeight="1">
      <c r="D75" s="246" t="s">
        <v>92</v>
      </c>
      <c r="F75" s="366">
        <f>SUM('Report Consolidado Semanal'!AT65:AT66)</f>
        <v>98366.94</v>
      </c>
      <c r="G75" s="366">
        <f>SUM('Report Consolidado Semanal'!AU65:AU66)</f>
        <v>38993.660000000003</v>
      </c>
      <c r="H75" s="394">
        <f>(F75)/(F75+G75)</f>
        <v>0.71612194472068413</v>
      </c>
      <c r="I75" s="394">
        <f>(G75)/(F75+G75)</f>
        <v>0.28387805527931592</v>
      </c>
      <c r="M75" s="6"/>
      <c r="O75" s="6"/>
    </row>
    <row r="83" spans="2:9">
      <c r="D83" s="386" t="str">
        <f>TEXT("Dias reais |","@") &amp; " " &amp; TEXT(Quadros!D6,"0")</f>
        <v>Dias reais | 12</v>
      </c>
    </row>
    <row r="86" spans="2:9" ht="19.7" customHeight="1">
      <c r="B86" s="822" t="s">
        <v>93</v>
      </c>
      <c r="C86" s="822"/>
      <c r="D86" s="822"/>
      <c r="F86" s="502" t="str">
        <f>Quadros!H23</f>
        <v>06 a 12/07</v>
      </c>
      <c r="G86" s="502" t="str">
        <f>Quadros!H20</f>
        <v>29 a 05/07</v>
      </c>
      <c r="H86" s="502" t="str">
        <f>Quadros!H17</f>
        <v>22 a 28/06</v>
      </c>
      <c r="I86" s="502" t="str">
        <f>Quadros!H14</f>
        <v>15 a 21/06</v>
      </c>
    </row>
    <row r="87" spans="2:9">
      <c r="B87" s="822"/>
      <c r="C87" s="822"/>
      <c r="D87" s="822"/>
      <c r="F87" s="396" t="s">
        <v>94</v>
      </c>
      <c r="G87" s="396" t="s">
        <v>95</v>
      </c>
      <c r="H87" s="396" t="s">
        <v>96</v>
      </c>
      <c r="I87" s="396" t="s">
        <v>97</v>
      </c>
    </row>
    <row r="88" spans="2:9" ht="7.35" customHeight="1">
      <c r="F88" s="389"/>
    </row>
    <row r="89" spans="2:9" ht="15.75">
      <c r="B89" s="667" t="s">
        <v>90</v>
      </c>
      <c r="D89" s="384" t="s">
        <v>75</v>
      </c>
      <c r="F89" s="384">
        <f>Quadros!J23</f>
        <v>314155</v>
      </c>
      <c r="G89" s="384">
        <f>Quadros!J20</f>
        <v>273432</v>
      </c>
      <c r="H89" s="384">
        <f>Quadros!J17</f>
        <v>351609</v>
      </c>
      <c r="I89" s="384">
        <f>Quadros!J14</f>
        <v>264932</v>
      </c>
    </row>
    <row r="90" spans="2:9" ht="15.75">
      <c r="B90" s="668"/>
      <c r="D90" s="384" t="s">
        <v>76</v>
      </c>
      <c r="F90" s="384">
        <f>Quadros!J24</f>
        <v>298057.56</v>
      </c>
      <c r="G90" s="384">
        <f>Quadros!J21</f>
        <v>316315.8</v>
      </c>
      <c r="H90" s="384">
        <f>Quadros!J18</f>
        <v>358541.83999999997</v>
      </c>
      <c r="I90" s="384">
        <f>Quadros!J15</f>
        <v>246473.84000000003</v>
      </c>
    </row>
    <row r="91" spans="2:9" ht="7.35" customHeight="1">
      <c r="F91" s="389"/>
    </row>
    <row r="92" spans="2:9" ht="14.1" customHeight="1">
      <c r="B92" s="818" t="s">
        <v>91</v>
      </c>
      <c r="D92" s="384" t="s">
        <v>75</v>
      </c>
      <c r="F92" s="384">
        <f>Quadros!K23</f>
        <v>288876.39097744366</v>
      </c>
      <c r="G92" s="384">
        <f>Quadros!K20</f>
        <v>254894.07518796989</v>
      </c>
      <c r="H92" s="384">
        <f>Quadros!K17</f>
        <v>304655.63909774437</v>
      </c>
      <c r="I92" s="384">
        <f>Quadros!K14</f>
        <v>289786.4661654135</v>
      </c>
    </row>
    <row r="93" spans="2:9" ht="14.1" customHeight="1">
      <c r="B93" s="819"/>
      <c r="D93" s="384" t="s">
        <v>76</v>
      </c>
      <c r="F93" s="384">
        <f>Quadros!K24</f>
        <v>203067.09</v>
      </c>
      <c r="G93" s="384">
        <f>Quadros!K21</f>
        <v>203679.13781954889</v>
      </c>
      <c r="H93" s="384">
        <f>Quadros!K18</f>
        <v>217779.77977443609</v>
      </c>
      <c r="I93" s="384">
        <f>Quadros!K15</f>
        <v>209442.61000000002</v>
      </c>
    </row>
    <row r="94" spans="2:9" ht="7.35" customHeight="1">
      <c r="F94" s="389"/>
    </row>
    <row r="95" spans="2:9" ht="14.65" customHeight="1">
      <c r="B95" s="820" t="s">
        <v>92</v>
      </c>
      <c r="D95" s="384" t="s">
        <v>75</v>
      </c>
      <c r="F95" s="384">
        <f>Quadros!L23</f>
        <v>75931.156385190843</v>
      </c>
      <c r="G95" s="384">
        <f>Quadros!L20</f>
        <v>96735.957209999993</v>
      </c>
      <c r="H95" s="384">
        <f>Quadros!L17</f>
        <v>98406</v>
      </c>
      <c r="I95" s="384">
        <f>Quadros!L14</f>
        <v>76279.803599999999</v>
      </c>
    </row>
    <row r="96" spans="2:9" ht="14.65" customHeight="1">
      <c r="B96" s="821"/>
      <c r="D96" s="384" t="s">
        <v>76</v>
      </c>
      <c r="F96" s="384">
        <f>Quadros!L24</f>
        <v>92685.567815186747</v>
      </c>
      <c r="G96" s="384">
        <f>Quadros!L21</f>
        <v>100493.50590337004</v>
      </c>
      <c r="H96" s="384">
        <f>Quadros!L18</f>
        <v>110515.21739775795</v>
      </c>
      <c r="I96" s="384">
        <f>Quadros!L15</f>
        <v>110095.33681192351</v>
      </c>
    </row>
    <row r="104" spans="2:9" ht="22.35" customHeight="1">
      <c r="B104" s="822" t="s">
        <v>98</v>
      </c>
      <c r="C104" s="822"/>
      <c r="D104" s="822"/>
      <c r="F104" s="395" t="str">
        <f>F86</f>
        <v>06 a 12/07</v>
      </c>
      <c r="G104" s="395" t="str">
        <f>G86</f>
        <v>29 a 05/07</v>
      </c>
      <c r="H104" s="395" t="str">
        <f>H86</f>
        <v>22 a 28/06</v>
      </c>
      <c r="I104" s="395" t="str">
        <f>I86</f>
        <v>15 a 21/06</v>
      </c>
    </row>
    <row r="105" spans="2:9">
      <c r="B105" s="822"/>
      <c r="C105" s="822"/>
      <c r="D105" s="822"/>
      <c r="F105" s="396" t="s">
        <v>94</v>
      </c>
      <c r="G105" s="396" t="s">
        <v>95</v>
      </c>
      <c r="H105" s="396" t="s">
        <v>96</v>
      </c>
      <c r="I105" s="396" t="s">
        <v>97</v>
      </c>
    </row>
    <row r="106" spans="2:9" ht="8.1" customHeight="1">
      <c r="F106" s="389"/>
    </row>
    <row r="107" spans="2:9" ht="14.1" customHeight="1">
      <c r="B107" s="667" t="s">
        <v>90</v>
      </c>
      <c r="D107" s="384" t="s">
        <v>75</v>
      </c>
      <c r="F107" s="384">
        <f>Quadros!U23</f>
        <v>5455</v>
      </c>
      <c r="G107" s="384">
        <f>Quadros!U20</f>
        <v>5400</v>
      </c>
      <c r="H107" s="384">
        <f>Quadros!U17</f>
        <v>5200</v>
      </c>
      <c r="I107" s="384">
        <f>Quadros!U14</f>
        <v>4824</v>
      </c>
    </row>
    <row r="108" spans="2:9" ht="14.1" customHeight="1">
      <c r="B108" s="668"/>
      <c r="D108" s="384" t="s">
        <v>76</v>
      </c>
      <c r="F108" s="384">
        <f>Quadros!U24</f>
        <v>3800.2</v>
      </c>
      <c r="G108" s="384">
        <f>Quadros!U21</f>
        <v>2747</v>
      </c>
      <c r="H108" s="384">
        <f>Quadros!U18</f>
        <v>4007</v>
      </c>
      <c r="I108" s="384">
        <f>Quadros!U15</f>
        <v>3061</v>
      </c>
    </row>
    <row r="109" spans="2:9" ht="8.1" customHeight="1">
      <c r="D109" s="131"/>
      <c r="F109" s="131"/>
      <c r="G109" s="131"/>
      <c r="H109" s="131"/>
      <c r="I109" s="131"/>
    </row>
    <row r="110" spans="2:9" ht="14.65" customHeight="1">
      <c r="B110" s="669" t="s">
        <v>91</v>
      </c>
      <c r="D110" s="384" t="s">
        <v>75</v>
      </c>
      <c r="F110" s="384">
        <f>Quadros!V23</f>
        <v>2300</v>
      </c>
      <c r="G110" s="384">
        <f>Quadros!V20</f>
        <v>2340</v>
      </c>
      <c r="H110" s="384">
        <f>Quadros!V17</f>
        <v>3380</v>
      </c>
      <c r="I110" s="384">
        <f>Quadros!V14</f>
        <v>3250</v>
      </c>
    </row>
    <row r="111" spans="2:9" ht="14.65" customHeight="1">
      <c r="B111" s="670"/>
      <c r="D111" s="384" t="s">
        <v>76</v>
      </c>
      <c r="F111" s="384">
        <f>Quadros!V24</f>
        <v>1460</v>
      </c>
      <c r="G111" s="384">
        <f>Quadros!V21</f>
        <v>2009</v>
      </c>
      <c r="H111" s="384">
        <f>Quadros!V18</f>
        <v>2008</v>
      </c>
      <c r="I111" s="384">
        <f>Quadros!V15</f>
        <v>1784</v>
      </c>
    </row>
    <row r="113" spans="2:9" ht="15.75">
      <c r="B113" s="671" t="s">
        <v>92</v>
      </c>
      <c r="D113" s="384" t="s">
        <v>75</v>
      </c>
      <c r="F113" s="384">
        <f>Quadros!W23</f>
        <v>3267.9559999999992</v>
      </c>
      <c r="G113" s="384">
        <f>Quadros!W20</f>
        <v>2785.9790000000003</v>
      </c>
      <c r="H113" s="384">
        <f>Quadros!W17</f>
        <v>2400</v>
      </c>
      <c r="I113" s="384">
        <f>Quadros!W14</f>
        <v>1170.17</v>
      </c>
    </row>
    <row r="114" spans="2:9" ht="15.75">
      <c r="B114" s="672"/>
      <c r="D114" s="384" t="s">
        <v>76</v>
      </c>
      <c r="F114" s="384">
        <f>Quadros!W24</f>
        <v>3783</v>
      </c>
      <c r="G114" s="384">
        <f>Quadros!W21</f>
        <v>2036</v>
      </c>
      <c r="H114" s="384">
        <f>Quadros!W18</f>
        <v>2381</v>
      </c>
      <c r="I114" s="384">
        <f>Quadros!W15</f>
        <v>1699</v>
      </c>
    </row>
    <row r="137" spans="2:9" ht="14.85" customHeight="1">
      <c r="B137" s="398" t="s">
        <v>56</v>
      </c>
      <c r="C137" s="398"/>
      <c r="D137" s="398"/>
      <c r="F137" s="395" t="str">
        <f t="shared" ref="F137:I138" si="6">F86</f>
        <v>06 a 12/07</v>
      </c>
      <c r="G137" s="395" t="str">
        <f t="shared" si="6"/>
        <v>29 a 05/07</v>
      </c>
      <c r="H137" s="395" t="str">
        <f t="shared" si="6"/>
        <v>22 a 28/06</v>
      </c>
      <c r="I137" s="395" t="str">
        <f t="shared" si="6"/>
        <v>15 a 21/06</v>
      </c>
    </row>
    <row r="138" spans="2:9" ht="14.85" customHeight="1">
      <c r="B138" s="398"/>
      <c r="C138" s="398"/>
      <c r="D138" s="398"/>
      <c r="F138" s="397" t="str">
        <f t="shared" si="6"/>
        <v>S-1</v>
      </c>
      <c r="G138" s="397" t="str">
        <f t="shared" si="6"/>
        <v>S-2</v>
      </c>
      <c r="H138" s="397" t="str">
        <f t="shared" si="6"/>
        <v>S-3</v>
      </c>
      <c r="I138" s="397" t="str">
        <f t="shared" si="6"/>
        <v>S-4</v>
      </c>
    </row>
    <row r="139" spans="2:9" ht="8.1" customHeight="1">
      <c r="B139" s="131"/>
      <c r="C139" s="131"/>
      <c r="D139" s="131"/>
      <c r="E139" s="131"/>
      <c r="F139" s="131"/>
      <c r="G139" s="131"/>
      <c r="H139" s="131"/>
      <c r="I139" s="131"/>
    </row>
    <row r="140" spans="2:9">
      <c r="B140" s="828" t="s">
        <v>57</v>
      </c>
      <c r="D140" s="384" t="s">
        <v>75</v>
      </c>
      <c r="F140" s="384">
        <f>'Report Consolidado Semanal'!T73</f>
        <v>6</v>
      </c>
      <c r="G140" s="384">
        <f>'Report Consolidado Semanal'!P73</f>
        <v>7</v>
      </c>
      <c r="H140" s="384">
        <f>'Report Consolidado Semanal'!L73</f>
        <v>8</v>
      </c>
      <c r="I140" s="384">
        <f>'Report Consolidado Semanal'!H73</f>
        <v>8</v>
      </c>
    </row>
    <row r="141" spans="2:9">
      <c r="B141" s="828"/>
      <c r="D141" s="384" t="s">
        <v>76</v>
      </c>
      <c r="F141" s="384">
        <f>'Report Consolidado Semanal'!T74</f>
        <v>7</v>
      </c>
      <c r="G141" s="384">
        <f>'Report Consolidado Semanal'!P74</f>
        <v>7</v>
      </c>
      <c r="H141" s="384">
        <f>'Report Consolidado Semanal'!L74</f>
        <v>7</v>
      </c>
      <c r="I141" s="384">
        <f>'Report Consolidado Semanal'!H74</f>
        <v>7</v>
      </c>
    </row>
    <row r="142" spans="2:9" ht="8.1" customHeight="1">
      <c r="B142" s="131"/>
      <c r="D142" s="131"/>
      <c r="F142" s="131"/>
      <c r="G142" s="131"/>
      <c r="H142" s="131"/>
      <c r="I142" s="131"/>
    </row>
    <row r="143" spans="2:9">
      <c r="B143" s="828" t="s">
        <v>59</v>
      </c>
      <c r="D143" s="384" t="s">
        <v>75</v>
      </c>
      <c r="F143" s="384">
        <f>'Report Consolidado Semanal'!T77</f>
        <v>1.5</v>
      </c>
      <c r="G143" s="384">
        <f>'Report Consolidado Semanal'!P77</f>
        <v>1.5</v>
      </c>
      <c r="H143" s="384">
        <f>'Report Consolidado Semanal'!L77</f>
        <v>2</v>
      </c>
      <c r="I143" s="384">
        <f>'Report Consolidado Semanal'!H77</f>
        <v>1.5</v>
      </c>
    </row>
    <row r="144" spans="2:9">
      <c r="B144" s="828"/>
      <c r="D144" s="384" t="s">
        <v>76</v>
      </c>
      <c r="F144" s="384">
        <f>'Report Consolidado Semanal'!T78</f>
        <v>2</v>
      </c>
      <c r="G144" s="384">
        <f>'Report Consolidado Semanal'!P78</f>
        <v>2</v>
      </c>
      <c r="H144" s="384">
        <f>'Report Consolidado Semanal'!L78</f>
        <v>1.5</v>
      </c>
      <c r="I144" s="384">
        <f>'Report Consolidado Semanal'!H78</f>
        <v>2.5</v>
      </c>
    </row>
    <row r="146" spans="2:9">
      <c r="B146" s="828" t="s">
        <v>60</v>
      </c>
      <c r="D146" s="384" t="s">
        <v>75</v>
      </c>
      <c r="F146" s="384">
        <f>'Report Consolidado Semanal'!T81</f>
        <v>4</v>
      </c>
      <c r="G146" s="384">
        <f>'Report Consolidado Semanal'!P81</f>
        <v>0</v>
      </c>
      <c r="H146" s="384">
        <f>'Report Consolidado Semanal'!L81</f>
        <v>0</v>
      </c>
      <c r="I146" s="384">
        <f>'Report Consolidado Semanal'!H81</f>
        <v>4</v>
      </c>
    </row>
    <row r="147" spans="2:9">
      <c r="B147" s="828"/>
      <c r="D147" s="384" t="s">
        <v>76</v>
      </c>
      <c r="F147" s="384">
        <f>'Report Consolidado Semanal'!T82</f>
        <v>1</v>
      </c>
      <c r="G147" s="384">
        <f>'Report Consolidado Semanal'!P82</f>
        <v>1</v>
      </c>
      <c r="H147" s="384">
        <f>'Report Consolidado Semanal'!L82</f>
        <v>2.333333333333333</v>
      </c>
      <c r="I147" s="384">
        <f>'Report Consolidado Semanal'!H82</f>
        <v>1.9999999999999998</v>
      </c>
    </row>
    <row r="148" spans="2:9" ht="8.1" customHeight="1">
      <c r="B148" s="131"/>
      <c r="D148" s="131"/>
      <c r="F148" s="131"/>
      <c r="G148" s="131"/>
      <c r="H148" s="131"/>
      <c r="I148" s="131"/>
    </row>
    <row r="149" spans="2:9">
      <c r="B149" s="827" t="s">
        <v>61</v>
      </c>
      <c r="D149" s="384" t="s">
        <v>75</v>
      </c>
      <c r="F149" s="384">
        <f>'Report Consolidado Semanal'!T85</f>
        <v>1</v>
      </c>
      <c r="G149" s="384">
        <f>'Report Consolidado Semanal'!P85</f>
        <v>2</v>
      </c>
      <c r="H149" s="384">
        <f>'Report Consolidado Semanal'!L85</f>
        <v>2</v>
      </c>
      <c r="I149" s="384">
        <f>'Report Consolidado Semanal'!H85</f>
        <v>3</v>
      </c>
    </row>
    <row r="150" spans="2:9">
      <c r="B150" s="827"/>
      <c r="D150" s="384" t="s">
        <v>76</v>
      </c>
      <c r="F150" s="384">
        <f>'Report Consolidado Semanal'!T86</f>
        <v>1</v>
      </c>
      <c r="G150" s="384">
        <f>'Report Consolidado Semanal'!P86</f>
        <v>2</v>
      </c>
      <c r="H150" s="384">
        <f>'Report Consolidado Semanal'!L86</f>
        <v>2</v>
      </c>
      <c r="I150" s="384">
        <f>'Report Consolidado Semanal'!H86</f>
        <v>2</v>
      </c>
    </row>
    <row r="151" spans="2:9" ht="8.1" customHeight="1">
      <c r="B151" s="131"/>
      <c r="D151" s="131"/>
      <c r="F151" s="131"/>
      <c r="G151" s="131"/>
      <c r="H151" s="131"/>
      <c r="I151" s="131"/>
    </row>
    <row r="152" spans="2:9">
      <c r="B152" s="827" t="s">
        <v>63</v>
      </c>
      <c r="D152" s="384" t="s">
        <v>75</v>
      </c>
      <c r="F152" s="384">
        <f>'Report Consolidado Semanal'!T89</f>
        <v>189</v>
      </c>
      <c r="G152" s="384">
        <f>'Report Consolidado Semanal'!P89</f>
        <v>161</v>
      </c>
      <c r="H152" s="384">
        <f>'Report Consolidado Semanal'!L89</f>
        <v>189</v>
      </c>
      <c r="I152" s="384">
        <f>'Report Consolidado Semanal'!H89</f>
        <v>159</v>
      </c>
    </row>
    <row r="153" spans="2:9">
      <c r="B153" s="827"/>
      <c r="D153" s="384" t="s">
        <v>76</v>
      </c>
      <c r="F153" s="384">
        <f>'Report Consolidado Semanal'!T90</f>
        <v>151</v>
      </c>
      <c r="G153" s="384">
        <f>'Report Consolidado Semanal'!P90</f>
        <v>136</v>
      </c>
      <c r="H153" s="384">
        <f>'Report Consolidado Semanal'!L90</f>
        <v>162</v>
      </c>
      <c r="I153" s="384">
        <f>'Report Consolidado Semanal'!H90</f>
        <v>175</v>
      </c>
    </row>
    <row r="154" spans="2:9" ht="8.1" customHeight="1">
      <c r="B154" s="131"/>
      <c r="D154" s="131"/>
      <c r="F154" s="131"/>
      <c r="G154" s="131"/>
      <c r="H154" s="131"/>
      <c r="I154" s="131"/>
    </row>
    <row r="155" spans="2:9" ht="8.1" customHeight="1">
      <c r="B155" s="131"/>
      <c r="D155" s="131"/>
      <c r="F155" s="688"/>
      <c r="G155" s="689"/>
      <c r="H155" s="689"/>
      <c r="I155" s="689"/>
    </row>
    <row r="156" spans="2:9">
      <c r="B156" s="131"/>
      <c r="D156" s="384" t="s">
        <v>99</v>
      </c>
      <c r="F156" s="385">
        <f>(F153/F152)</f>
        <v>0.79894179894179895</v>
      </c>
      <c r="G156" s="385">
        <f>(G153/G152)</f>
        <v>0.84472049689440998</v>
      </c>
      <c r="H156" s="385">
        <f>(H153/H152)</f>
        <v>0.8571428571428571</v>
      </c>
      <c r="I156" s="385">
        <f>(I153/I152)</f>
        <v>1.10062893081761</v>
      </c>
    </row>
    <row r="166" spans="2:14" ht="46.35" customHeight="1">
      <c r="B166" s="502" t="s">
        <v>78</v>
      </c>
      <c r="D166" s="629" t="s">
        <v>100</v>
      </c>
      <c r="F166" s="502" t="str" cm="1">
        <f t="array" ref="F166:F167">'Report Consolidado Semanal'!AT6:AT7</f>
        <v>QUANT. TOTAL</v>
      </c>
      <c r="G166" s="502" t="s">
        <v>101</v>
      </c>
      <c r="H166" s="502" t="s">
        <v>102</v>
      </c>
      <c r="I166" s="502" t="str" cm="1">
        <f t="array" ref="I166:I167">'Report Consolidado Semanal'!AU6:AU7</f>
        <v>SALDO</v>
      </c>
      <c r="J166" s="502" t="s">
        <v>103</v>
      </c>
      <c r="K166" s="502" t="s">
        <v>104</v>
      </c>
      <c r="L166" s="502" t="s">
        <v>105</v>
      </c>
      <c r="N166" s="502" t="s">
        <v>106</v>
      </c>
    </row>
    <row r="167" spans="2:14" ht="5.25" customHeight="1">
      <c r="B167" s="627"/>
      <c r="D167" s="653"/>
      <c r="F167" s="501">
        <v>0</v>
      </c>
      <c r="G167" s="501"/>
      <c r="H167" s="501"/>
      <c r="I167" s="501">
        <v>0</v>
      </c>
      <c r="J167" s="394"/>
      <c r="K167" s="501"/>
      <c r="L167" s="503"/>
      <c r="N167" s="503"/>
    </row>
    <row r="168" spans="2:14" ht="30" customHeight="1">
      <c r="B168" s="626">
        <v>7.8533000000000006E-2</v>
      </c>
      <c r="D168" s="628" t="s">
        <v>107</v>
      </c>
      <c r="F168" s="384">
        <v>67</v>
      </c>
      <c r="G168" s="384">
        <v>67</v>
      </c>
      <c r="H168" s="384">
        <v>67</v>
      </c>
      <c r="I168" s="384">
        <v>67</v>
      </c>
      <c r="J168" s="394">
        <f>G168/F168</f>
        <v>1</v>
      </c>
      <c r="K168" s="394">
        <f>H168/F168</f>
        <v>1</v>
      </c>
      <c r="L168" s="503">
        <f>J168*B168</f>
        <v>7.8533000000000006E-2</v>
      </c>
      <c r="N168" s="503">
        <f>K168*B168</f>
        <v>7.8533000000000006E-2</v>
      </c>
    </row>
    <row r="169" spans="2:14" ht="5.25" customHeight="1">
      <c r="B169" s="627"/>
      <c r="D169" s="653"/>
      <c r="F169" s="501"/>
      <c r="G169" s="501"/>
      <c r="H169" s="501"/>
      <c r="I169" s="501"/>
      <c r="J169" s="394"/>
      <c r="K169" s="501"/>
      <c r="L169" s="503"/>
      <c r="N169" s="503"/>
    </row>
    <row r="170" spans="2:14" ht="30" customHeight="1">
      <c r="B170" s="626">
        <v>0.115671</v>
      </c>
      <c r="D170" s="628" t="s">
        <v>57</v>
      </c>
      <c r="F170" s="384" cm="1">
        <f t="array" ref="F170:F171">'Report Consolidado Semanal'!AT73:AT74</f>
        <v>249</v>
      </c>
      <c r="G170" s="384" cm="1">
        <f t="array" ref="G170:G171">'Report Consolidado Semanal'!AQ73:AQ74</f>
        <v>183</v>
      </c>
      <c r="H170" s="384">
        <f>F170-I170</f>
        <v>175</v>
      </c>
      <c r="I170" s="384" cm="1">
        <f t="array" ref="I170:I171">'Report Consolidado Semanal'!AU73:AU74</f>
        <v>74</v>
      </c>
      <c r="J170" s="394">
        <f>G170/F170</f>
        <v>0.73493975903614461</v>
      </c>
      <c r="K170" s="394">
        <f>H170/F170</f>
        <v>0.70281124497991965</v>
      </c>
      <c r="L170" s="503">
        <f>J170*B170</f>
        <v>8.5011216867469874E-2</v>
      </c>
      <c r="N170" s="503">
        <f>K170*B170</f>
        <v>8.129487951807228E-2</v>
      </c>
    </row>
    <row r="171" spans="2:14" ht="5.25" customHeight="1">
      <c r="B171" s="627"/>
      <c r="D171" s="653"/>
      <c r="F171" s="501">
        <v>0</v>
      </c>
      <c r="G171" s="501">
        <v>0</v>
      </c>
      <c r="H171" s="501"/>
      <c r="I171" s="501">
        <v>0</v>
      </c>
      <c r="J171" s="394"/>
      <c r="K171" s="501"/>
      <c r="L171" s="503"/>
      <c r="N171" s="503"/>
    </row>
    <row r="172" spans="2:14" ht="30" customHeight="1">
      <c r="B172" s="626">
        <v>3.1426000000000003E-2</v>
      </c>
      <c r="D172" s="628" t="s">
        <v>59</v>
      </c>
      <c r="F172" s="384" cm="1">
        <f t="array" ref="F172:F173">'Report Consolidado Semanal'!AT77:AT78</f>
        <v>63</v>
      </c>
      <c r="G172" s="384" cm="1">
        <f t="array" ref="G172:G173">'Report Consolidado Semanal'!AQ77:AQ78</f>
        <v>38</v>
      </c>
      <c r="H172" s="384">
        <f t="shared" ref="H172:H178" si="7">F172-I172</f>
        <v>20</v>
      </c>
      <c r="I172" s="384" cm="1">
        <f t="array" ref="I172:I173">'Report Consolidado Semanal'!AU77:AU78</f>
        <v>43</v>
      </c>
      <c r="J172" s="394">
        <f t="shared" ref="J172:J178" si="8">G172/F172</f>
        <v>0.60317460317460314</v>
      </c>
      <c r="K172" s="394">
        <f>H172/F172</f>
        <v>0.31746031746031744</v>
      </c>
      <c r="L172" s="503">
        <f t="shared" ref="L172:L178" si="9">J172*B172</f>
        <v>1.8955365079365079E-2</v>
      </c>
      <c r="N172" s="503">
        <f t="shared" ref="N172:N178" si="10">K172*B172</f>
        <v>9.9765079365079362E-3</v>
      </c>
    </row>
    <row r="173" spans="2:14" ht="5.25" customHeight="1">
      <c r="B173" s="627"/>
      <c r="D173" s="653"/>
      <c r="F173" s="501">
        <v>0</v>
      </c>
      <c r="G173" s="501">
        <v>0</v>
      </c>
      <c r="H173" s="501">
        <f t="shared" si="7"/>
        <v>0</v>
      </c>
      <c r="I173" s="501">
        <v>0</v>
      </c>
      <c r="J173" s="394"/>
      <c r="K173" s="501"/>
      <c r="L173" s="503"/>
      <c r="N173" s="503"/>
    </row>
    <row r="174" spans="2:14" ht="30" customHeight="1">
      <c r="B174" s="626">
        <v>0.34402100000000002</v>
      </c>
      <c r="D174" s="628" t="s">
        <v>60</v>
      </c>
      <c r="F174" s="384" cm="1">
        <f t="array" ref="F174:F175">'Report Consolidado Semanal'!AT81:AT82</f>
        <v>135</v>
      </c>
      <c r="G174" s="384" cm="1">
        <f t="array" ref="G174:G175">'Report Consolidado Semanal'!AQ81:AQ82</f>
        <v>75</v>
      </c>
      <c r="H174" s="384">
        <f t="shared" si="7"/>
        <v>14</v>
      </c>
      <c r="I174" s="384" cm="1">
        <f t="array" ref="I174:I175">'Report Consolidado Semanal'!AU81:AU82</f>
        <v>121</v>
      </c>
      <c r="J174" s="394">
        <f t="shared" si="8"/>
        <v>0.55555555555555558</v>
      </c>
      <c r="K174" s="394">
        <v>0.2636</v>
      </c>
      <c r="L174" s="503">
        <f t="shared" si="9"/>
        <v>0.19112277777777781</v>
      </c>
      <c r="N174" s="503">
        <f t="shared" si="10"/>
        <v>9.0683935600000001E-2</v>
      </c>
    </row>
    <row r="175" spans="2:14" ht="5.25" customHeight="1">
      <c r="B175" s="627"/>
      <c r="D175" s="653"/>
      <c r="F175" s="501">
        <v>0</v>
      </c>
      <c r="G175" s="501">
        <v>0</v>
      </c>
      <c r="H175" s="501">
        <f t="shared" si="7"/>
        <v>0</v>
      </c>
      <c r="I175" s="501">
        <v>0</v>
      </c>
      <c r="J175" s="394"/>
      <c r="K175" s="501"/>
      <c r="L175" s="503"/>
      <c r="N175" s="503"/>
    </row>
    <row r="176" spans="2:14" ht="30" customHeight="1">
      <c r="B176" s="626">
        <v>0.13589020000000002</v>
      </c>
      <c r="D176" s="628" t="s">
        <v>108</v>
      </c>
      <c r="F176" s="384" cm="1">
        <f t="array" ref="F176:F177">'Report Consolidado Semanal'!AT85:AT86</f>
        <v>66</v>
      </c>
      <c r="G176" s="384" cm="1">
        <f t="array" ref="G176:G177">'Report Consolidado Semanal'!AQ85:AQ86</f>
        <v>46</v>
      </c>
      <c r="H176" s="384">
        <f t="shared" si="7"/>
        <v>44</v>
      </c>
      <c r="I176" s="384" cm="1">
        <f t="array" ref="I176:I177">'Report Consolidado Semanal'!AU85:AU86</f>
        <v>22</v>
      </c>
      <c r="J176" s="394">
        <f t="shared" si="8"/>
        <v>0.69696969696969702</v>
      </c>
      <c r="K176" s="394">
        <f>H176/F176</f>
        <v>0.66666666666666663</v>
      </c>
      <c r="L176" s="503">
        <f t="shared" si="9"/>
        <v>9.4711351515151532E-2</v>
      </c>
      <c r="N176" s="503">
        <f t="shared" si="10"/>
        <v>9.0593466666666678E-2</v>
      </c>
    </row>
    <row r="177" spans="2:14" ht="5.25" customHeight="1">
      <c r="B177" s="627"/>
      <c r="D177" s="653"/>
      <c r="F177" s="501">
        <v>0</v>
      </c>
      <c r="G177" s="501">
        <v>0</v>
      </c>
      <c r="H177" s="501">
        <f t="shared" si="7"/>
        <v>0</v>
      </c>
      <c r="I177" s="501">
        <v>0</v>
      </c>
      <c r="J177" s="394"/>
      <c r="K177" s="501"/>
      <c r="L177" s="503"/>
      <c r="N177" s="503"/>
    </row>
    <row r="178" spans="2:14" ht="30" customHeight="1">
      <c r="B178" s="626">
        <v>8.1573000000000007E-2</v>
      </c>
      <c r="D178" s="628" t="s">
        <v>109</v>
      </c>
      <c r="F178" s="384" cm="1">
        <f t="array" ref="F178:F179">'Report Consolidado Semanal'!AT89:AT90</f>
        <v>5116</v>
      </c>
      <c r="G178" s="384" cm="1">
        <f t="array" ref="G178:G179">'Report Consolidado Semanal'!AQ89:AQ90</f>
        <v>2760</v>
      </c>
      <c r="H178" s="384">
        <f t="shared" si="7"/>
        <v>1273</v>
      </c>
      <c r="I178" s="384" cm="1">
        <f t="array" ref="I178:I179">'Report Consolidado Semanal'!AU89:AU90</f>
        <v>3843</v>
      </c>
      <c r="J178" s="394">
        <f t="shared" si="8"/>
        <v>0.53948397185301011</v>
      </c>
      <c r="K178" s="394">
        <v>0.33229999999999998</v>
      </c>
      <c r="L178" s="503">
        <f t="shared" si="9"/>
        <v>4.4007326035965598E-2</v>
      </c>
      <c r="N178" s="503">
        <f t="shared" si="10"/>
        <v>2.7106707900000002E-2</v>
      </c>
    </row>
    <row r="179" spans="2:14" ht="5.25" customHeight="1">
      <c r="B179" s="627"/>
      <c r="D179" s="653"/>
      <c r="F179" s="501">
        <v>0</v>
      </c>
      <c r="G179" s="501">
        <v>0</v>
      </c>
      <c r="H179" s="501"/>
      <c r="I179" s="501">
        <v>0</v>
      </c>
      <c r="J179" s="501"/>
      <c r="K179" s="501"/>
      <c r="L179" s="503"/>
      <c r="N179" s="503"/>
    </row>
    <row r="180" spans="2:14" ht="30" customHeight="1">
      <c r="B180" s="626">
        <v>2.611E-3</v>
      </c>
      <c r="D180" s="628" t="s">
        <v>110</v>
      </c>
      <c r="F180" s="384">
        <v>8</v>
      </c>
      <c r="G180" s="384">
        <v>2</v>
      </c>
      <c r="H180" s="384">
        <v>2</v>
      </c>
      <c r="I180" s="384">
        <f>G180-H180</f>
        <v>0</v>
      </c>
      <c r="J180" s="394">
        <f t="shared" ref="J180" si="11">G180/F180</f>
        <v>0.25</v>
      </c>
      <c r="K180" s="394">
        <f>H180/F180</f>
        <v>0.25</v>
      </c>
      <c r="L180" s="503">
        <f t="shared" ref="L180" si="12">J180*B180</f>
        <v>6.5275000000000001E-4</v>
      </c>
      <c r="N180" s="503">
        <f t="shared" ref="N180" si="13">K180*B180</f>
        <v>6.5275000000000001E-4</v>
      </c>
    </row>
    <row r="181" spans="2:14" ht="5.25" customHeight="1">
      <c r="B181" s="627"/>
      <c r="D181" s="653"/>
      <c r="F181" s="501"/>
      <c r="G181" s="501"/>
      <c r="H181" s="501"/>
      <c r="I181" s="501"/>
      <c r="J181" s="394"/>
      <c r="K181" s="501"/>
      <c r="L181" s="503"/>
      <c r="N181" s="503"/>
    </row>
    <row r="182" spans="2:14" ht="30" customHeight="1">
      <c r="B182" s="626">
        <v>1.1658999999999999E-2</v>
      </c>
      <c r="D182" s="628" t="s">
        <v>111</v>
      </c>
      <c r="F182" s="384">
        <v>156</v>
      </c>
      <c r="G182" s="384">
        <v>0</v>
      </c>
      <c r="H182" s="384">
        <v>0</v>
      </c>
      <c r="I182" s="384">
        <f t="shared" ref="I182:I192" si="14">G182-H182</f>
        <v>0</v>
      </c>
      <c r="J182" s="394">
        <f t="shared" ref="J182:J192" si="15">G182/F182</f>
        <v>0</v>
      </c>
      <c r="K182" s="394">
        <f t="shared" ref="K182:K192" si="16">H182/F182</f>
        <v>0</v>
      </c>
      <c r="L182" s="503">
        <f t="shared" ref="L182:L192" si="17">J182*B182</f>
        <v>0</v>
      </c>
      <c r="N182" s="503">
        <f t="shared" ref="N182:N192" si="18">K182*B182</f>
        <v>0</v>
      </c>
    </row>
    <row r="183" spans="2:14" ht="5.25" customHeight="1">
      <c r="B183" s="627"/>
      <c r="D183" s="653"/>
      <c r="F183" s="501"/>
      <c r="G183" s="501"/>
      <c r="H183" s="501"/>
      <c r="I183" s="501"/>
      <c r="J183" s="501"/>
      <c r="K183" s="501"/>
      <c r="L183" s="501"/>
      <c r="M183" s="501"/>
      <c r="N183" s="501"/>
    </row>
    <row r="184" spans="2:14" ht="30" customHeight="1">
      <c r="B184" s="626">
        <v>0.10949980000000001</v>
      </c>
      <c r="D184" s="628" t="s">
        <v>112</v>
      </c>
      <c r="F184" s="384">
        <v>66</v>
      </c>
      <c r="G184" s="384">
        <v>0</v>
      </c>
      <c r="H184" s="384">
        <v>0</v>
      </c>
      <c r="I184" s="384">
        <f t="shared" si="14"/>
        <v>0</v>
      </c>
      <c r="J184" s="394">
        <f t="shared" si="15"/>
        <v>0</v>
      </c>
      <c r="K184" s="394">
        <f t="shared" si="16"/>
        <v>0</v>
      </c>
      <c r="L184" s="503">
        <f t="shared" si="17"/>
        <v>0</v>
      </c>
      <c r="N184" s="503">
        <f t="shared" si="18"/>
        <v>0</v>
      </c>
    </row>
    <row r="185" spans="2:14" ht="5.25" customHeight="1">
      <c r="B185" s="627"/>
      <c r="D185" s="653"/>
      <c r="F185" s="501"/>
      <c r="G185" s="501"/>
      <c r="H185" s="501"/>
      <c r="I185" s="501"/>
      <c r="J185" s="501"/>
      <c r="K185" s="501"/>
      <c r="L185" s="501"/>
      <c r="M185" s="501"/>
      <c r="N185" s="501"/>
    </row>
    <row r="186" spans="2:14" ht="39.4" customHeight="1">
      <c r="B186" s="626">
        <v>4.2770000000000004E-3</v>
      </c>
      <c r="D186" s="628" t="s">
        <v>113</v>
      </c>
      <c r="F186" s="384">
        <v>68</v>
      </c>
      <c r="G186" s="384">
        <v>0</v>
      </c>
      <c r="H186" s="384">
        <v>0</v>
      </c>
      <c r="I186" s="384">
        <f t="shared" si="14"/>
        <v>0</v>
      </c>
      <c r="J186" s="394">
        <f t="shared" si="15"/>
        <v>0</v>
      </c>
      <c r="K186" s="394">
        <f t="shared" si="16"/>
        <v>0</v>
      </c>
      <c r="L186" s="503">
        <f t="shared" si="17"/>
        <v>0</v>
      </c>
      <c r="N186" s="503">
        <f t="shared" si="18"/>
        <v>0</v>
      </c>
    </row>
    <row r="187" spans="2:14" ht="5.25" customHeight="1">
      <c r="B187" s="627"/>
      <c r="D187" s="653"/>
      <c r="F187" s="501"/>
      <c r="G187" s="501"/>
      <c r="H187" s="501"/>
      <c r="I187" s="501"/>
      <c r="J187" s="501"/>
      <c r="K187" s="501"/>
      <c r="L187" s="501"/>
      <c r="M187" s="501"/>
      <c r="N187" s="501"/>
    </row>
    <row r="188" spans="2:14" ht="30" customHeight="1">
      <c r="B188" s="626">
        <v>4.8217999999999997E-2</v>
      </c>
      <c r="D188" s="628" t="s">
        <v>114</v>
      </c>
      <c r="F188" s="384">
        <v>5116</v>
      </c>
      <c r="G188" s="384">
        <v>0</v>
      </c>
      <c r="H188" s="384">
        <v>0</v>
      </c>
      <c r="I188" s="384">
        <f t="shared" si="14"/>
        <v>0</v>
      </c>
      <c r="J188" s="394">
        <f t="shared" si="15"/>
        <v>0</v>
      </c>
      <c r="K188" s="394">
        <f t="shared" si="16"/>
        <v>0</v>
      </c>
      <c r="L188" s="503">
        <f t="shared" si="17"/>
        <v>0</v>
      </c>
      <c r="N188" s="503">
        <f t="shared" si="18"/>
        <v>0</v>
      </c>
    </row>
    <row r="189" spans="2:14" ht="5.25" customHeight="1">
      <c r="B189" s="627"/>
      <c r="D189" s="653"/>
      <c r="F189" s="501"/>
      <c r="G189" s="501"/>
      <c r="H189" s="501"/>
      <c r="I189" s="501"/>
      <c r="J189" s="501"/>
      <c r="K189" s="501"/>
      <c r="L189" s="501"/>
      <c r="M189" s="501"/>
      <c r="N189" s="501"/>
    </row>
    <row r="190" spans="2:14" ht="30" customHeight="1">
      <c r="B190" s="626">
        <v>6.7669999999999996E-3</v>
      </c>
      <c r="D190" s="628" t="s">
        <v>115</v>
      </c>
      <c r="F190" s="384">
        <v>68</v>
      </c>
      <c r="G190" s="384">
        <v>0</v>
      </c>
      <c r="H190" s="384">
        <v>0</v>
      </c>
      <c r="I190" s="384">
        <f t="shared" si="14"/>
        <v>0</v>
      </c>
      <c r="J190" s="394">
        <f t="shared" si="15"/>
        <v>0</v>
      </c>
      <c r="K190" s="394">
        <f t="shared" si="16"/>
        <v>0</v>
      </c>
      <c r="L190" s="503">
        <f t="shared" si="17"/>
        <v>0</v>
      </c>
      <c r="N190" s="503">
        <f t="shared" si="18"/>
        <v>0</v>
      </c>
    </row>
    <row r="191" spans="2:14" ht="5.25" customHeight="1">
      <c r="B191" s="627"/>
      <c r="D191" s="653"/>
      <c r="F191" s="501"/>
      <c r="G191" s="501"/>
      <c r="H191" s="501"/>
      <c r="I191" s="501"/>
      <c r="J191" s="501"/>
      <c r="K191" s="501"/>
      <c r="L191" s="501"/>
      <c r="M191" s="501"/>
      <c r="N191" s="501"/>
    </row>
    <row r="192" spans="2:14" ht="30" customHeight="1">
      <c r="B192" s="626">
        <v>2.9853999999999999E-2</v>
      </c>
      <c r="D192" s="628" t="s">
        <v>116</v>
      </c>
      <c r="F192" s="384">
        <v>36</v>
      </c>
      <c r="G192" s="384">
        <v>0</v>
      </c>
      <c r="H192" s="384">
        <v>0</v>
      </c>
      <c r="I192" s="384">
        <f t="shared" si="14"/>
        <v>0</v>
      </c>
      <c r="J192" s="394">
        <f t="shared" si="15"/>
        <v>0</v>
      </c>
      <c r="K192" s="394">
        <f t="shared" si="16"/>
        <v>0</v>
      </c>
      <c r="L192" s="503">
        <f t="shared" si="17"/>
        <v>0</v>
      </c>
      <c r="N192" s="503">
        <f t="shared" si="18"/>
        <v>0</v>
      </c>
    </row>
    <row r="194" spans="2:14" ht="30" customHeight="1">
      <c r="B194" s="626">
        <f>SUM(B168:B192)</f>
        <v>1</v>
      </c>
      <c r="D194" s="626" t="s">
        <v>117</v>
      </c>
      <c r="E194" s="627"/>
      <c r="F194" s="654">
        <f t="shared" ref="F194:I194" si="19">SUM(F168:F192)</f>
        <v>11214</v>
      </c>
      <c r="G194" s="654">
        <f t="shared" si="19"/>
        <v>3171</v>
      </c>
      <c r="H194" s="654">
        <f t="shared" si="19"/>
        <v>1595</v>
      </c>
      <c r="I194" s="654">
        <f t="shared" si="19"/>
        <v>4170</v>
      </c>
      <c r="J194" s="655">
        <f t="shared" ref="J194" si="20">G194/F194</f>
        <v>0.28277153558052437</v>
      </c>
      <c r="K194" s="655">
        <f t="shared" ref="K194" si="21">H194/F194</f>
        <v>0.14223292313179953</v>
      </c>
      <c r="L194" s="626">
        <f>SUM(L168:L192)</f>
        <v>0.51299378727572986</v>
      </c>
      <c r="M194" s="627"/>
      <c r="N194" s="626">
        <f t="shared" ref="N194" si="22">SUM(N168:N192)</f>
        <v>0.37884124762124688</v>
      </c>
    </row>
  </sheetData>
  <mergeCells count="24">
    <mergeCell ref="AJ27:AJ29"/>
    <mergeCell ref="AJ5:AJ9"/>
    <mergeCell ref="AJ11:AJ15"/>
    <mergeCell ref="AJ17:AJ21"/>
    <mergeCell ref="AJ23:AJ25"/>
    <mergeCell ref="B149:B150"/>
    <mergeCell ref="B152:B153"/>
    <mergeCell ref="B140:B141"/>
    <mergeCell ref="B143:B144"/>
    <mergeCell ref="B146:B147"/>
    <mergeCell ref="B92:B93"/>
    <mergeCell ref="B95:B96"/>
    <mergeCell ref="B86:D87"/>
    <mergeCell ref="B104:D105"/>
    <mergeCell ref="I56:I57"/>
    <mergeCell ref="D68:D69"/>
    <mergeCell ref="F68:F69"/>
    <mergeCell ref="G68:G69"/>
    <mergeCell ref="G56:G57"/>
    <mergeCell ref="H56:H57"/>
    <mergeCell ref="F56:F57"/>
    <mergeCell ref="H68:H69"/>
    <mergeCell ref="I68:I69"/>
    <mergeCell ref="D56:D57"/>
  </mergeCells>
  <phoneticPr fontId="112" type="noConversion"/>
  <pageMargins left="0.51181102362204722" right="0.51181102362204722" top="0.78740157480314965" bottom="0.78740157480314965" header="0.31496062992125984" footer="0.31496062992125984"/>
  <pageSetup paperSize="9" scale="9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00D0-F029-4236-A8F2-ACD555976F4C}">
  <dimension ref="A1:AS40"/>
  <sheetViews>
    <sheetView showGridLines="0" zoomScale="60" zoomScaleNormal="60" workbookViewId="0">
      <selection activeCell="AM36" sqref="AM36"/>
    </sheetView>
  </sheetViews>
  <sheetFormatPr defaultRowHeight="15" outlineLevelRow="1"/>
  <cols>
    <col min="1" max="1" width="5.5703125" bestFit="1" customWidth="1"/>
    <col min="2" max="2" width="3.140625" style="8" customWidth="1"/>
    <col min="3" max="3" width="8.5703125" bestFit="1" customWidth="1"/>
    <col min="4" max="4" width="3.140625" customWidth="1"/>
    <col min="5" max="5" width="3.140625" style="8" customWidth="1"/>
    <col min="6" max="6" width="21.85546875" style="8" bestFit="1" customWidth="1"/>
    <col min="7" max="7" width="0.7109375" style="8" customWidth="1"/>
    <col min="8" max="8" width="10.7109375" style="7" customWidth="1"/>
    <col min="9" max="9" width="0.7109375" style="8" customWidth="1"/>
    <col min="10" max="12" width="10.7109375" style="8" customWidth="1"/>
    <col min="13" max="13" width="0.7109375" style="8" customWidth="1"/>
    <col min="14" max="14" width="10.7109375" style="8" customWidth="1"/>
    <col min="15" max="15" width="2.5703125" style="8" customWidth="1"/>
    <col min="16" max="16" width="0.7109375" style="8" customWidth="1"/>
    <col min="17" max="17" width="22.85546875" style="8" bestFit="1" customWidth="1"/>
    <col min="18" max="18" width="0.7109375" style="8" customWidth="1"/>
    <col min="19" max="19" width="10.7109375" style="7" customWidth="1"/>
    <col min="20" max="20" width="0.7109375" style="8" customWidth="1"/>
    <col min="21" max="23" width="10.7109375" style="8" customWidth="1"/>
    <col min="24" max="24" width="0.7109375" style="8" customWidth="1"/>
    <col min="25" max="25" width="10.7109375" style="8" customWidth="1"/>
    <col min="26" max="26" width="4" style="8" customWidth="1"/>
    <col min="27" max="27" width="21.7109375" style="8" customWidth="1"/>
    <col min="28" max="28" width="0.7109375" style="8" customWidth="1"/>
    <col min="29" max="29" width="10.7109375" customWidth="1"/>
    <col min="30" max="30" width="0.7109375" style="8" customWidth="1"/>
    <col min="31" max="35" width="10.7109375" customWidth="1"/>
    <col min="37" max="37" width="22.85546875" style="8" bestFit="1" customWidth="1"/>
    <col min="38" max="38" width="0.7109375" style="8" customWidth="1"/>
    <col min="40" max="40" width="0.7109375" style="8" customWidth="1"/>
    <col min="44" max="44" width="0.7109375" style="8" customWidth="1"/>
  </cols>
  <sheetData>
    <row r="1" spans="1:45">
      <c r="A1" s="499">
        <v>46234</v>
      </c>
      <c r="J1" s="289"/>
    </row>
    <row r="2" spans="1:45">
      <c r="A2" s="275" cm="1">
        <f t="array" aca="1" ref="A2" ca="1">DAY(EOMONTH(A1,0))-SUMPRODUCT(--(WEEKDAY(DATE(YEAR(A1),MONTH(A1),ROW(INDIRECT("1:"&amp;DAY(EOMONTH(A1,0))))),1)=1))</f>
        <v>27</v>
      </c>
    </row>
    <row r="3" spans="1:45" ht="15.75">
      <c r="C3" s="44"/>
      <c r="D3" s="44"/>
      <c r="F3" s="371" t="s">
        <v>118</v>
      </c>
      <c r="G3" s="19"/>
      <c r="H3" s="19"/>
      <c r="I3" s="19"/>
      <c r="J3" s="264"/>
      <c r="K3" s="264"/>
      <c r="L3" s="264"/>
      <c r="M3" s="19"/>
      <c r="N3" s="264"/>
      <c r="O3" s="5"/>
      <c r="P3" s="19"/>
      <c r="Q3" s="371" t="s">
        <v>118</v>
      </c>
      <c r="R3" s="19"/>
      <c r="S3" s="19"/>
      <c r="T3" s="19"/>
      <c r="U3" s="264"/>
      <c r="V3" s="264"/>
      <c r="W3" s="264"/>
      <c r="X3" s="19"/>
      <c r="Y3" s="264"/>
      <c r="Z3" s="5"/>
      <c r="AA3" s="371" t="s">
        <v>118</v>
      </c>
      <c r="AB3" s="19"/>
      <c r="AC3" s="19"/>
      <c r="AD3" s="19"/>
      <c r="AE3" s="264"/>
      <c r="AF3" s="264"/>
      <c r="AG3" s="264"/>
      <c r="AH3" s="264"/>
      <c r="AI3" s="264"/>
      <c r="AJ3" s="264"/>
      <c r="AK3" s="371" t="s">
        <v>118</v>
      </c>
      <c r="AL3" s="19"/>
      <c r="AM3" s="19"/>
      <c r="AN3" s="19"/>
      <c r="AO3" s="264"/>
      <c r="AP3" s="264"/>
      <c r="AQ3" s="264"/>
      <c r="AR3" s="19"/>
      <c r="AS3" s="264"/>
    </row>
    <row r="4" spans="1:45" ht="47.25">
      <c r="C4" s="135" t="s">
        <v>119</v>
      </c>
      <c r="D4" s="136">
        <f ca="1">A2</f>
        <v>27</v>
      </c>
      <c r="F4" s="287" t="s">
        <v>120</v>
      </c>
      <c r="H4" s="247" t="s">
        <v>121</v>
      </c>
      <c r="J4" s="244" t="s">
        <v>2</v>
      </c>
      <c r="K4" s="245" t="s">
        <v>3</v>
      </c>
      <c r="L4" s="246" t="s">
        <v>4</v>
      </c>
      <c r="N4" s="286" t="s">
        <v>122</v>
      </c>
      <c r="O4" s="19"/>
      <c r="Q4" s="288" t="s">
        <v>123</v>
      </c>
      <c r="S4" s="223" t="s">
        <v>121</v>
      </c>
      <c r="U4" s="244" t="s">
        <v>2</v>
      </c>
      <c r="V4" s="245" t="s">
        <v>3</v>
      </c>
      <c r="W4" s="246" t="s">
        <v>4</v>
      </c>
      <c r="Y4" s="286" t="s">
        <v>122</v>
      </c>
      <c r="Z4" s="19"/>
      <c r="AA4" s="645" t="s">
        <v>124</v>
      </c>
      <c r="AB4" s="7"/>
      <c r="AC4" s="646" t="s">
        <v>121</v>
      </c>
      <c r="AE4" s="649" t="s">
        <v>57</v>
      </c>
      <c r="AF4" s="650" t="s">
        <v>77</v>
      </c>
      <c r="AG4" s="651" t="s">
        <v>60</v>
      </c>
      <c r="AH4" s="652" t="s">
        <v>61</v>
      </c>
      <c r="AI4" s="652" t="s">
        <v>63</v>
      </c>
      <c r="AJ4" s="264"/>
      <c r="AK4" s="288" t="s">
        <v>125</v>
      </c>
      <c r="AM4" s="223" t="s">
        <v>121</v>
      </c>
      <c r="AO4" s="244" t="s">
        <v>2</v>
      </c>
      <c r="AP4" s="245" t="s">
        <v>3</v>
      </c>
      <c r="AQ4" s="246" t="s">
        <v>4</v>
      </c>
      <c r="AS4" s="286" t="s">
        <v>122</v>
      </c>
    </row>
    <row r="5" spans="1:45" ht="5.0999999999999996" customHeight="1">
      <c r="O5" s="19"/>
      <c r="Z5" s="19"/>
      <c r="AB5" s="7"/>
      <c r="AC5" s="7"/>
      <c r="AE5" s="8"/>
      <c r="AF5" s="8"/>
      <c r="AG5" s="8"/>
      <c r="AH5" s="630"/>
      <c r="AI5" s="630"/>
      <c r="AJ5" s="264"/>
      <c r="AM5" s="7"/>
      <c r="AO5" s="8"/>
      <c r="AP5" s="8"/>
      <c r="AQ5" s="8"/>
      <c r="AS5" s="8"/>
    </row>
    <row r="6" spans="1:45" ht="30" customHeight="1">
      <c r="C6" s="135" t="s">
        <v>126</v>
      </c>
      <c r="D6" s="137">
        <f>ROUND(DAY('Report Consolidado Semanal'!D4)*(6/7),0)</f>
        <v>12</v>
      </c>
      <c r="F6" s="269" t="s">
        <v>127</v>
      </c>
      <c r="G6" s="7"/>
      <c r="H6" s="273">
        <f ca="1">Quadros!$D$4</f>
        <v>27</v>
      </c>
      <c r="I6" s="7"/>
      <c r="J6" s="266">
        <f ca="1">SUM('Report Consolidado Semanal'!AW13:AW18)+SUM('Report Consolidado Semanal'!AW33:AW38)</f>
        <v>59916.437777777785</v>
      </c>
      <c r="K6" s="266">
        <f ca="1">SUM('Report Consolidado Semanal'!AW21+'Report Consolidado Semanal'!AW41)</f>
        <v>39091.084444444445</v>
      </c>
      <c r="L6" s="266">
        <f ca="1">'Report Consolidado Semanal'!AW25+'Report Consolidado Semanal'!AW45</f>
        <v>14069.66007434781</v>
      </c>
      <c r="M6" s="7"/>
      <c r="N6" s="266">
        <f ca="1">SUM(J6:M6)</f>
        <v>113077.18229657004</v>
      </c>
      <c r="O6" s="5"/>
      <c r="P6" s="7"/>
      <c r="Q6" s="226" t="s">
        <v>128</v>
      </c>
      <c r="R6" s="7"/>
      <c r="S6" s="273">
        <f ca="1">Quadros!$D$4</f>
        <v>27</v>
      </c>
      <c r="T6" s="7"/>
      <c r="U6" s="266">
        <f ca="1">SUM('Report Consolidado Semanal'!AW53:AW58)</f>
        <v>928.88370370370365</v>
      </c>
      <c r="V6" s="266">
        <f ca="1">'Report Consolidado Semanal'!AW61</f>
        <v>511.0911111111111</v>
      </c>
      <c r="W6" s="266">
        <f ca="1">'Report Consolidado Semanal'!AW65</f>
        <v>500.81342592592586</v>
      </c>
      <c r="X6" s="7"/>
      <c r="Y6" s="266">
        <f ca="1">SUM(U6:X6)</f>
        <v>1940.7882407407405</v>
      </c>
      <c r="Z6" s="5"/>
      <c r="AA6" s="647" t="s">
        <v>128</v>
      </c>
      <c r="AB6" s="7"/>
      <c r="AC6" s="273">
        <f ca="1">Quadros!$D$4</f>
        <v>27</v>
      </c>
      <c r="AD6" s="7"/>
      <c r="AE6" s="266">
        <f ca="1">SUM('Report Consolidado Semanal'!AW73:AW74)</f>
        <v>2</v>
      </c>
      <c r="AF6" s="266">
        <f ca="1">SUM('Report Consolidado Semanal'!AW77:AW78)</f>
        <v>1</v>
      </c>
      <c r="AG6" s="266">
        <f ca="1">SUM('Report Consolidado Semanal'!AW81:AW82)</f>
        <v>1</v>
      </c>
      <c r="AH6" s="266">
        <f ca="1">SUM('Report Consolidado Semanal'!AW85:AW86)</f>
        <v>1</v>
      </c>
      <c r="AI6" s="266">
        <f ca="1">SUM('Report Consolidado Semanal'!AW89:AW90)</f>
        <v>21</v>
      </c>
      <c r="AJ6" s="264"/>
      <c r="AK6" s="226" t="s">
        <v>128</v>
      </c>
      <c r="AL6" s="7"/>
      <c r="AM6" s="273">
        <f ca="1">Quadros!$D$4</f>
        <v>27</v>
      </c>
      <c r="AN6" s="7"/>
      <c r="AO6" s="266"/>
      <c r="AP6" s="266"/>
      <c r="AQ6" s="266"/>
      <c r="AR6" s="7"/>
      <c r="AS6" s="266"/>
    </row>
    <row r="7" spans="1:45" ht="5.0999999999999996" customHeight="1">
      <c r="C7" s="44"/>
      <c r="D7" s="44"/>
      <c r="F7" s="19"/>
      <c r="G7" s="19"/>
      <c r="H7" s="388"/>
      <c r="I7" s="19"/>
      <c r="J7" s="264"/>
      <c r="K7" s="264"/>
      <c r="L7" s="264"/>
      <c r="M7" s="19"/>
      <c r="N7" s="264"/>
      <c r="O7" s="5"/>
      <c r="P7" s="19"/>
      <c r="Q7" s="19"/>
      <c r="R7" s="19"/>
      <c r="S7" s="388"/>
      <c r="T7" s="19"/>
      <c r="U7" s="264"/>
      <c r="V7" s="264"/>
      <c r="W7" s="264"/>
      <c r="X7" s="19"/>
      <c r="Y7" s="264"/>
      <c r="Z7" s="5"/>
      <c r="AA7" s="264"/>
      <c r="AB7" s="7"/>
      <c r="AC7" s="388"/>
      <c r="AD7" s="264"/>
      <c r="AE7" s="642"/>
      <c r="AF7" s="643"/>
      <c r="AG7" s="643"/>
      <c r="AH7" s="19"/>
      <c r="AI7" s="19"/>
      <c r="AJ7" s="264"/>
      <c r="AK7" s="19"/>
      <c r="AL7" s="264"/>
      <c r="AM7" s="388"/>
      <c r="AN7" s="264"/>
      <c r="AO7" s="264"/>
      <c r="AP7" s="264"/>
      <c r="AQ7" s="264"/>
      <c r="AR7" s="264"/>
      <c r="AS7" s="264"/>
    </row>
    <row r="8" spans="1:45" ht="30" customHeight="1">
      <c r="C8" s="135" t="s">
        <v>129</v>
      </c>
      <c r="D8" s="137">
        <f>COUNTIF('Report Consolidado Semanal'!AA10:AF10,"&gt;"&amp;0)</f>
        <v>2</v>
      </c>
      <c r="F8" s="269" t="s">
        <v>130</v>
      </c>
      <c r="G8" s="220"/>
      <c r="H8" s="273">
        <f>$D$6</f>
        <v>12</v>
      </c>
      <c r="I8" s="220"/>
      <c r="J8" s="266">
        <f>SUM('Report Consolidado Semanal'!AX13:AX18)+SUM('Report Consolidado Semanal'!AX33:AX38)</f>
        <v>52407.643333333333</v>
      </c>
      <c r="K8" s="266">
        <f>'Report Consolidado Semanal'!AX21+'Report Consolidado Semanal'!AX41</f>
        <v>33310.09148496241</v>
      </c>
      <c r="L8" s="266">
        <f>'Report Consolidado Semanal'!AX25+'Report Consolidado Semanal'!AX45</f>
        <v>18433.82304676003</v>
      </c>
      <c r="M8" s="220"/>
      <c r="N8" s="266">
        <f>SUM(J8:M8)</f>
        <v>104151.55786505577</v>
      </c>
      <c r="O8" s="369"/>
      <c r="P8" s="220"/>
      <c r="Q8" s="262" t="s">
        <v>131</v>
      </c>
      <c r="R8" s="220"/>
      <c r="S8" s="273">
        <f>$D$6</f>
        <v>12</v>
      </c>
      <c r="T8" s="220"/>
      <c r="U8" s="266">
        <f>SUM('Report Consolidado Semanal'!AX53:AX58)</f>
        <v>610.26666666666665</v>
      </c>
      <c r="V8" s="266">
        <f>'Report Consolidado Semanal'!AX61</f>
        <v>242.91666666666666</v>
      </c>
      <c r="W8" s="266">
        <f>'Report Consolidado Semanal'!AX65</f>
        <v>597.75</v>
      </c>
      <c r="X8" s="220"/>
      <c r="Y8" s="266">
        <f>SUM(U8:X8)</f>
        <v>1450.9333333333334</v>
      </c>
      <c r="Z8" s="369"/>
      <c r="AA8" s="648" t="s">
        <v>131</v>
      </c>
      <c r="AB8" s="7"/>
      <c r="AC8" s="273">
        <f>$D$6</f>
        <v>12</v>
      </c>
      <c r="AD8" s="220"/>
      <c r="AE8" s="266">
        <f ca="1">SUM('Report Consolidado Semanal'!AX73:AX74)</f>
        <v>1</v>
      </c>
      <c r="AF8" s="266">
        <f ca="1">SUM('Report Consolidado Semanal'!AX77:AX78)</f>
        <v>1</v>
      </c>
      <c r="AG8" s="266">
        <f ca="1">SUM('Report Consolidado Semanal'!AX81:AX82)</f>
        <v>1</v>
      </c>
      <c r="AH8" s="266">
        <f ca="1">SUM('Report Consolidado Semanal'!AX85:AX86)</f>
        <v>1</v>
      </c>
      <c r="AI8" s="266">
        <f ca="1">SUM('Report Consolidado Semanal'!AX89:AX90)</f>
        <v>11</v>
      </c>
      <c r="AJ8" s="264"/>
      <c r="AK8" s="262" t="s">
        <v>131</v>
      </c>
      <c r="AL8" s="220"/>
      <c r="AM8" s="273">
        <f>$D$6</f>
        <v>12</v>
      </c>
      <c r="AN8" s="220"/>
      <c r="AO8" s="266"/>
      <c r="AP8" s="266"/>
      <c r="AQ8" s="266"/>
      <c r="AR8" s="220"/>
      <c r="AS8" s="266"/>
    </row>
    <row r="9" spans="1:45" ht="5.0999999999999996" customHeight="1">
      <c r="F9" s="19"/>
      <c r="G9" s="19"/>
      <c r="H9" s="19"/>
      <c r="I9" s="19"/>
      <c r="J9" s="264"/>
      <c r="K9" s="264"/>
      <c r="L9" s="264"/>
      <c r="M9" s="19"/>
      <c r="N9" s="264"/>
      <c r="O9" s="19"/>
      <c r="P9" s="19"/>
      <c r="Q9" s="19"/>
      <c r="R9" s="19"/>
      <c r="S9" s="19"/>
      <c r="T9" s="19"/>
      <c r="U9" s="264"/>
      <c r="V9" s="264"/>
      <c r="W9" s="264"/>
      <c r="X9" s="19"/>
      <c r="Y9" s="264"/>
      <c r="Z9" s="369"/>
      <c r="AA9" s="19"/>
      <c r="AB9" s="7"/>
      <c r="AC9" s="19"/>
      <c r="AD9" s="19"/>
      <c r="AE9" s="642"/>
      <c r="AF9" s="644"/>
      <c r="AG9" s="264"/>
      <c r="AH9" s="264"/>
      <c r="AI9" s="264"/>
      <c r="AJ9" s="264"/>
      <c r="AK9" s="19"/>
      <c r="AL9" s="19"/>
      <c r="AM9" s="19"/>
      <c r="AN9" s="19"/>
      <c r="AO9" s="264"/>
      <c r="AP9" s="264"/>
      <c r="AQ9" s="264"/>
      <c r="AR9" s="19"/>
      <c r="AS9" s="264"/>
    </row>
    <row r="10" spans="1:45" ht="30" customHeight="1">
      <c r="D10" s="44"/>
      <c r="F10" s="269" t="s">
        <v>132</v>
      </c>
      <c r="G10" s="220"/>
      <c r="H10" s="273">
        <f>$D$8</f>
        <v>2</v>
      </c>
      <c r="I10" s="220"/>
      <c r="J10" s="675">
        <f>('Report Consolidado Semanal'!AH14+'Report Consolidado Semanal'!AH18+'Report Consolidado Semanal'!AH34+'Report Consolidado Semanal'!AH38)/Quadros!$D$8</f>
        <v>56572.44</v>
      </c>
      <c r="K10" s="266">
        <f>('Report Consolidado Semanal'!AH22+'Report Consolidado Semanal'!AH42)/Quadros!$D$8</f>
        <v>36067.654999999999</v>
      </c>
      <c r="L10" s="266">
        <f>('Report Consolidado Semanal'!AH26+'Report Consolidado Semanal'!AH46)/Quadros!$D$8</f>
        <v>14686.231421281802</v>
      </c>
      <c r="M10" s="220"/>
      <c r="N10" s="266">
        <f>SUM(J10:M10)</f>
        <v>107326.3264212818</v>
      </c>
      <c r="O10" s="370"/>
      <c r="P10" s="220"/>
      <c r="Q10" s="262" t="s">
        <v>133</v>
      </c>
      <c r="R10" s="220"/>
      <c r="S10" s="273">
        <f>$D$8</f>
        <v>2</v>
      </c>
      <c r="T10" s="220"/>
      <c r="U10" s="266">
        <f ca="1">('Report Consolidado Semanal'!AH54+'Report Consolidado Semanal'!AH58)/Quadros!$D$8</f>
        <v>735.75</v>
      </c>
      <c r="V10" s="266">
        <f>'Report Consolidado Semanal'!AH62/Quadros!$D$8</f>
        <v>238</v>
      </c>
      <c r="W10" s="266">
        <f>'Report Consolidado Semanal'!AH66/Quadros!$D$8</f>
        <v>677</v>
      </c>
      <c r="X10" s="220"/>
      <c r="Y10" s="266">
        <f ca="1">SUM(U10:X10)</f>
        <v>1650.75</v>
      </c>
      <c r="Z10" s="369"/>
      <c r="AA10" s="648" t="s">
        <v>133</v>
      </c>
      <c r="AB10" s="7"/>
      <c r="AC10" s="273">
        <f>$D$8</f>
        <v>2</v>
      </c>
      <c r="AD10" s="220"/>
      <c r="AE10" s="266">
        <f>ROUNDUP(SUM('Report Consolidado Semanal'!AH74/$D$8),0)</f>
        <v>0</v>
      </c>
      <c r="AF10" s="266">
        <f>ROUNDUP(SUM('Report Consolidado Semanal'!AH78/$D$8),0)</f>
        <v>0</v>
      </c>
      <c r="AG10" s="266">
        <f ca="1">SUM('Report Consolidado Semanal'!AY81:AY82)</f>
        <v>1</v>
      </c>
      <c r="AH10" s="266">
        <f ca="1">SUM('Report Consolidado Semanal'!AY85:AY86)</f>
        <v>1</v>
      </c>
      <c r="AI10" s="266">
        <f ca="1">SUM('Report Consolidado Semanal'!AY89:AY90)</f>
        <v>14</v>
      </c>
      <c r="AJ10" s="264"/>
      <c r="AK10" s="262" t="s">
        <v>133</v>
      </c>
      <c r="AL10" s="220"/>
      <c r="AM10" s="273">
        <f>$D$8</f>
        <v>2</v>
      </c>
      <c r="AN10" s="220"/>
      <c r="AO10" s="266"/>
      <c r="AP10" s="266"/>
      <c r="AQ10" s="266"/>
      <c r="AR10" s="220"/>
      <c r="AS10" s="266"/>
    </row>
    <row r="11" spans="1:45" ht="9.9499999999999993" customHeight="1">
      <c r="C11" s="44"/>
      <c r="D11" s="44"/>
      <c r="F11" s="19"/>
      <c r="G11" s="19"/>
      <c r="H11" s="19"/>
      <c r="I11" s="19"/>
      <c r="J11" s="264"/>
      <c r="K11" s="264"/>
      <c r="L11" s="264"/>
      <c r="M11" s="19"/>
      <c r="N11" s="264"/>
      <c r="O11" s="5"/>
      <c r="P11" s="19"/>
      <c r="Q11" s="19"/>
      <c r="R11" s="19"/>
      <c r="S11" s="19"/>
      <c r="T11" s="19"/>
      <c r="U11" s="264"/>
      <c r="V11" s="264"/>
      <c r="W11" s="264"/>
      <c r="X11" s="264"/>
      <c r="Y11" s="264"/>
      <c r="Z11" s="369"/>
      <c r="AA11" s="264"/>
      <c r="AB11" s="264"/>
      <c r="AC11" s="264"/>
      <c r="AD11" s="264"/>
      <c r="AE11" s="264"/>
      <c r="AF11" s="264"/>
      <c r="AG11" s="264"/>
      <c r="AH11" s="264"/>
      <c r="AI11" s="264"/>
      <c r="AJ11" s="264"/>
      <c r="AK11" s="19"/>
    </row>
    <row r="12" spans="1:45" ht="20.25" hidden="1" customHeight="1" outlineLevel="1">
      <c r="C12" s="44"/>
      <c r="D12" s="44"/>
      <c r="F12" s="371" t="s">
        <v>118</v>
      </c>
      <c r="G12" s="19"/>
      <c r="H12" s="19"/>
      <c r="I12" s="19"/>
      <c r="J12" s="264"/>
      <c r="K12" s="264"/>
      <c r="L12" s="264"/>
      <c r="M12" s="19"/>
      <c r="N12" s="264"/>
      <c r="O12" s="5"/>
      <c r="P12" s="19"/>
      <c r="Q12" s="371" t="s">
        <v>118</v>
      </c>
      <c r="R12" s="19"/>
      <c r="S12" s="19"/>
      <c r="T12" s="19"/>
      <c r="U12" s="264"/>
      <c r="V12" s="264"/>
      <c r="W12" s="264"/>
      <c r="X12" s="264"/>
      <c r="Y12" s="264"/>
      <c r="Z12" s="369"/>
      <c r="AA12" s="264"/>
      <c r="AB12" s="264"/>
      <c r="AC12" s="264"/>
      <c r="AD12" s="264"/>
      <c r="AE12" s="264"/>
      <c r="AF12" s="264"/>
      <c r="AG12" s="264"/>
      <c r="AH12" s="264"/>
      <c r="AI12" s="264"/>
      <c r="AJ12" s="264"/>
      <c r="AK12" s="264"/>
      <c r="AL12" s="264"/>
    </row>
    <row r="13" spans="1:45" ht="5.0999999999999996" hidden="1" customHeight="1" outlineLevel="1">
      <c r="C13" s="44"/>
      <c r="D13" s="44"/>
      <c r="O13" s="5"/>
      <c r="P13" s="19"/>
      <c r="X13" s="264"/>
      <c r="Z13" s="369"/>
      <c r="AA13" s="264"/>
      <c r="AB13" s="264"/>
      <c r="AC13" s="264"/>
      <c r="AD13" s="264"/>
      <c r="AE13" s="264"/>
      <c r="AF13" s="264"/>
      <c r="AG13" s="264"/>
      <c r="AH13" s="264"/>
      <c r="AI13" s="264"/>
      <c r="AJ13" s="264"/>
      <c r="AK13" s="264"/>
      <c r="AL13" s="264"/>
    </row>
    <row r="14" spans="1:45" s="62" customFormat="1" ht="5.25" hidden="1" customHeight="1" outlineLevel="1">
      <c r="B14" s="387"/>
      <c r="C14" s="391"/>
      <c r="D14" s="391"/>
      <c r="E14" s="387"/>
      <c r="F14" s="831" t="s">
        <v>134</v>
      </c>
      <c r="G14" s="392"/>
      <c r="H14" s="841" t="str">
        <f>RIGHT('Report Consolidado Semanal'!G4,10)</f>
        <v>15 a 21/06</v>
      </c>
      <c r="I14" s="392"/>
      <c r="J14" s="390">
        <f>SUM('Report Consolidado Semanal'!H13,'Report Consolidado Semanal'!H17,'Report Consolidado Semanal'!H33,'Report Consolidado Semanal'!H37)</f>
        <v>264932</v>
      </c>
      <c r="K14" s="390">
        <f>SUM('Report Consolidado Semanal'!H21,'Report Consolidado Semanal'!H41)</f>
        <v>289786.4661654135</v>
      </c>
      <c r="L14" s="390">
        <f>SUM('Report Consolidado Semanal'!H25,'Report Consolidado Semanal'!H45)</f>
        <v>76279.803599999999</v>
      </c>
      <c r="M14" s="132"/>
      <c r="N14" s="390">
        <f>SUM(J14:M14)</f>
        <v>630998.26976541348</v>
      </c>
      <c r="O14" s="393"/>
      <c r="P14" s="392"/>
      <c r="Q14" s="843" t="s">
        <v>135</v>
      </c>
      <c r="R14" s="392"/>
      <c r="S14" s="845" t="str">
        <f>H14</f>
        <v>15 a 21/06</v>
      </c>
      <c r="T14" s="392"/>
      <c r="U14" s="390">
        <f>SUM('Report Consolidado Semanal'!H53,'Report Consolidado Semanal'!H57)</f>
        <v>4824</v>
      </c>
      <c r="V14" s="390">
        <f>'Report Consolidado Semanal'!H61</f>
        <v>3250</v>
      </c>
      <c r="W14" s="390">
        <f>SUM('Report Consolidado Semanal'!H65)</f>
        <v>1170.17</v>
      </c>
      <c r="X14" s="264"/>
      <c r="Y14" s="390">
        <f>SUM('Report Consolidado Semanal'!J65)</f>
        <v>0</v>
      </c>
      <c r="Z14" s="369"/>
      <c r="AA14" s="264"/>
      <c r="AB14" s="264"/>
      <c r="AC14" s="264"/>
      <c r="AD14" s="264"/>
      <c r="AE14" s="264"/>
      <c r="AF14" s="264"/>
      <c r="AG14" s="264"/>
      <c r="AH14" s="264"/>
      <c r="AI14" s="264"/>
      <c r="AJ14" s="264"/>
      <c r="AK14" s="264"/>
      <c r="AL14" s="264"/>
      <c r="AN14" s="8"/>
      <c r="AR14" s="8"/>
    </row>
    <row r="15" spans="1:45" ht="26.1" hidden="1" customHeight="1" outlineLevel="1">
      <c r="C15" s="44"/>
      <c r="D15" s="44"/>
      <c r="F15" s="832"/>
      <c r="G15" s="19"/>
      <c r="H15" s="842"/>
      <c r="I15" s="7"/>
      <c r="J15" s="266">
        <f>SUM('Report Consolidado Semanal'!H14,'Report Consolidado Semanal'!H18,'Report Consolidado Semanal'!H34,'Report Consolidado Semanal'!H38)</f>
        <v>246473.84000000003</v>
      </c>
      <c r="K15" s="266">
        <f>SUM('Report Consolidado Semanal'!H22,'Report Consolidado Semanal'!H42)</f>
        <v>209442.61000000002</v>
      </c>
      <c r="L15" s="266">
        <f>SUM('Report Consolidado Semanal'!H26,'Report Consolidado Semanal'!H46)</f>
        <v>110095.33681192351</v>
      </c>
      <c r="M15" s="7"/>
      <c r="N15" s="266">
        <f>SUM(J15:M15)</f>
        <v>566011.78681192361</v>
      </c>
      <c r="O15" s="5"/>
      <c r="P15" s="19"/>
      <c r="Q15" s="844"/>
      <c r="R15" s="19"/>
      <c r="S15" s="845"/>
      <c r="T15" s="7"/>
      <c r="U15" s="266">
        <f>SUM('Report Consolidado Semanal'!H54,'Report Consolidado Semanal'!H58)</f>
        <v>3061</v>
      </c>
      <c r="V15" s="266">
        <f>'Report Consolidado Semanal'!H62</f>
        <v>1784</v>
      </c>
      <c r="W15" s="266">
        <f>SUM('Report Consolidado Semanal'!H66)</f>
        <v>1699</v>
      </c>
      <c r="X15" s="264"/>
      <c r="Y15" s="266">
        <f>SUM(U15:W15)</f>
        <v>6544</v>
      </c>
      <c r="Z15" s="369"/>
      <c r="AA15" s="264"/>
      <c r="AB15" s="264"/>
      <c r="AC15" s="264"/>
      <c r="AD15" s="264"/>
      <c r="AE15" s="264"/>
      <c r="AF15" s="264"/>
      <c r="AG15" s="264"/>
      <c r="AH15" s="264"/>
      <c r="AI15" s="264"/>
      <c r="AJ15" s="264"/>
      <c r="AK15" s="264"/>
      <c r="AL15" s="264"/>
    </row>
    <row r="16" spans="1:45" ht="5.0999999999999996" hidden="1" customHeight="1" outlineLevel="1">
      <c r="C16" s="44"/>
      <c r="D16" s="44"/>
      <c r="F16" s="19"/>
      <c r="G16" s="19"/>
      <c r="H16" s="388"/>
      <c r="I16" s="19"/>
      <c r="J16" s="264"/>
      <c r="K16" s="264"/>
      <c r="L16" s="264"/>
      <c r="M16" s="19"/>
      <c r="N16" s="264"/>
      <c r="O16" s="5"/>
      <c r="P16" s="19"/>
      <c r="Q16" s="19"/>
      <c r="R16" s="19"/>
      <c r="S16" s="19"/>
      <c r="T16" s="19"/>
      <c r="U16" s="264"/>
      <c r="V16" s="264"/>
      <c r="W16" s="264"/>
      <c r="X16" s="264"/>
      <c r="Y16" s="264"/>
      <c r="Z16" s="369"/>
      <c r="AA16" s="264"/>
      <c r="AB16" s="264"/>
      <c r="AC16" s="264"/>
      <c r="AD16" s="264"/>
      <c r="AE16" s="264"/>
      <c r="AF16" s="264"/>
      <c r="AG16" s="264"/>
      <c r="AH16" s="264"/>
      <c r="AI16" s="264"/>
      <c r="AJ16" s="264"/>
      <c r="AK16" s="264"/>
      <c r="AL16" s="264"/>
    </row>
    <row r="17" spans="3:25" s="62" customFormat="1" ht="5.25" hidden="1" customHeight="1" outlineLevel="1">
      <c r="C17" s="391"/>
      <c r="D17" s="391"/>
      <c r="E17" s="387"/>
      <c r="F17" s="831" t="s">
        <v>136</v>
      </c>
      <c r="G17" s="392"/>
      <c r="H17" s="841" t="str">
        <f>RIGHT('Report Consolidado Semanal'!K4,10)</f>
        <v>22 a 28/06</v>
      </c>
      <c r="I17" s="392"/>
      <c r="J17" s="390">
        <f>SUM('Report Consolidado Semanal'!L13,'Report Consolidado Semanal'!L17,'Report Consolidado Semanal'!L33,'Report Consolidado Semanal'!L37)</f>
        <v>351609</v>
      </c>
      <c r="K17" s="390">
        <f>SUM('Report Consolidado Semanal'!L21,'Report Consolidado Semanal'!L41)</f>
        <v>304655.63909774437</v>
      </c>
      <c r="L17" s="390">
        <f>SUM('Report Consolidado Semanal'!L25,'Report Consolidado Semanal'!L45)</f>
        <v>98406</v>
      </c>
      <c r="M17" s="132"/>
      <c r="N17" s="390">
        <f>SUM(J17:M17)</f>
        <v>754670.63909774437</v>
      </c>
      <c r="O17" s="393"/>
      <c r="P17" s="392"/>
      <c r="Q17" s="843" t="s">
        <v>136</v>
      </c>
      <c r="R17" s="392"/>
      <c r="S17" s="845" t="str">
        <f>H17</f>
        <v>22 a 28/06</v>
      </c>
      <c r="T17" s="392"/>
      <c r="U17" s="390">
        <f>SUM('Report Consolidado Semanal'!L53,'Report Consolidado Semanal'!L57)</f>
        <v>5200</v>
      </c>
      <c r="V17" s="390">
        <f>'Report Consolidado Semanal'!L61</f>
        <v>3380</v>
      </c>
      <c r="W17" s="390">
        <f>SUM('Report Consolidado Semanal'!L65)</f>
        <v>2400</v>
      </c>
      <c r="X17" s="264"/>
      <c r="Y17" s="390">
        <f>SUM('Report Consolidado Semanal'!N65)</f>
        <v>0</v>
      </c>
    </row>
    <row r="18" spans="3:25" ht="26.1" hidden="1" customHeight="1" outlineLevel="1">
      <c r="C18" s="44"/>
      <c r="D18" s="44"/>
      <c r="F18" s="832"/>
      <c r="G18" s="19"/>
      <c r="H18" s="842"/>
      <c r="I18" s="7"/>
      <c r="J18" s="266">
        <f>SUM('Report Consolidado Semanal'!L14,'Report Consolidado Semanal'!L18,'Report Consolidado Semanal'!L34,'Report Consolidado Semanal'!L38)</f>
        <v>358541.83999999997</v>
      </c>
      <c r="K18" s="266">
        <f>SUM('Report Consolidado Semanal'!L22,'Report Consolidado Semanal'!L42)</f>
        <v>217779.77977443609</v>
      </c>
      <c r="L18" s="266">
        <f>SUM('Report Consolidado Semanal'!L26,'Report Consolidado Semanal'!L46)</f>
        <v>110515.21739775795</v>
      </c>
      <c r="M18" s="7"/>
      <c r="N18" s="266">
        <f>SUM(J18:M18)</f>
        <v>686836.83717219403</v>
      </c>
      <c r="O18" s="5"/>
      <c r="P18" s="19"/>
      <c r="Q18" s="844"/>
      <c r="R18" s="19"/>
      <c r="S18" s="845"/>
      <c r="T18" s="7"/>
      <c r="U18" s="266">
        <f>SUM('Report Consolidado Semanal'!L54,'Report Consolidado Semanal'!L58)</f>
        <v>4007</v>
      </c>
      <c r="V18" s="266">
        <f>'Report Consolidado Semanal'!L62</f>
        <v>2008</v>
      </c>
      <c r="W18" s="266">
        <f>SUM('Report Consolidado Semanal'!L66)</f>
        <v>2381</v>
      </c>
      <c r="X18" s="264"/>
      <c r="Y18" s="266">
        <f>SUM(U18:W18)</f>
        <v>8396</v>
      </c>
    </row>
    <row r="19" spans="3:25" ht="5.0999999999999996" hidden="1" customHeight="1" outlineLevel="1">
      <c r="C19" s="44"/>
      <c r="D19" s="44"/>
      <c r="F19" s="19"/>
      <c r="G19" s="19"/>
      <c r="H19" s="388"/>
      <c r="I19" s="19"/>
      <c r="J19" s="264"/>
      <c r="K19" s="264"/>
      <c r="L19" s="264"/>
      <c r="M19" s="19"/>
      <c r="N19" s="264"/>
      <c r="O19" s="5"/>
      <c r="P19" s="19"/>
      <c r="Q19" s="19"/>
      <c r="R19" s="19"/>
      <c r="S19" s="19"/>
      <c r="T19" s="19"/>
      <c r="U19" s="264"/>
      <c r="V19" s="264"/>
      <c r="W19" s="264"/>
      <c r="X19" s="264"/>
      <c r="Y19" s="264"/>
    </row>
    <row r="20" spans="3:25" s="62" customFormat="1" ht="5.25" hidden="1" customHeight="1" outlineLevel="1">
      <c r="C20" s="391"/>
      <c r="D20" s="391"/>
      <c r="E20" s="387"/>
      <c r="F20" s="831" t="s">
        <v>137</v>
      </c>
      <c r="G20" s="392"/>
      <c r="H20" s="841" t="str">
        <f>RIGHT('Report Consolidado Semanal'!O4,10)</f>
        <v>29 a 05/07</v>
      </c>
      <c r="I20" s="392"/>
      <c r="J20" s="390">
        <f>SUM('Report Consolidado Semanal'!P13,'Report Consolidado Semanal'!P17,'Report Consolidado Semanal'!P33,'Report Consolidado Semanal'!P37)</f>
        <v>273432</v>
      </c>
      <c r="K20" s="390">
        <f>SUM('Report Consolidado Semanal'!P21,'Report Consolidado Semanal'!P41)</f>
        <v>254894.07518796989</v>
      </c>
      <c r="L20" s="390">
        <f>SUM('Report Consolidado Semanal'!P25,'Report Consolidado Semanal'!P45)</f>
        <v>96735.957209999993</v>
      </c>
      <c r="M20" s="132"/>
      <c r="N20" s="390">
        <f>SUM(J20:M20)</f>
        <v>625062.03239796998</v>
      </c>
      <c r="O20" s="5"/>
      <c r="P20" s="392"/>
      <c r="Q20" s="843" t="s">
        <v>137</v>
      </c>
      <c r="R20" s="392"/>
      <c r="S20" s="845" t="str">
        <f>H20</f>
        <v>29 a 05/07</v>
      </c>
      <c r="T20" s="392"/>
      <c r="U20" s="390">
        <f>SUM('Report Consolidado Semanal'!P53,'Report Consolidado Semanal'!P57)</f>
        <v>5400</v>
      </c>
      <c r="V20" s="390">
        <f>'Report Consolidado Semanal'!P61</f>
        <v>2340</v>
      </c>
      <c r="W20" s="390">
        <f>SUM('Report Consolidado Semanal'!P65)</f>
        <v>2785.9790000000003</v>
      </c>
      <c r="X20" s="264"/>
      <c r="Y20" s="390">
        <f>SUM('Report Consolidado Semanal'!R65)</f>
        <v>0</v>
      </c>
    </row>
    <row r="21" spans="3:25" ht="26.1" hidden="1" customHeight="1" outlineLevel="1">
      <c r="C21" s="44"/>
      <c r="D21" s="44"/>
      <c r="F21" s="832"/>
      <c r="G21" s="19"/>
      <c r="H21" s="842"/>
      <c r="I21" s="7"/>
      <c r="J21" s="266">
        <f>SUM('Report Consolidado Semanal'!P14,'Report Consolidado Semanal'!P18,'Report Consolidado Semanal'!P34,'Report Consolidado Semanal'!P38)</f>
        <v>316315.8</v>
      </c>
      <c r="K21" s="266">
        <f>SUM('Report Consolidado Semanal'!P22,'Report Consolidado Semanal'!P42)</f>
        <v>203679.13781954889</v>
      </c>
      <c r="L21" s="266">
        <f>SUM('Report Consolidado Semanal'!P26,'Report Consolidado Semanal'!P46)</f>
        <v>100493.50590337004</v>
      </c>
      <c r="M21" s="7"/>
      <c r="N21" s="266">
        <f>SUM(J21:M21)</f>
        <v>620488.44372291886</v>
      </c>
      <c r="O21" s="5"/>
      <c r="P21" s="19"/>
      <c r="Q21" s="844"/>
      <c r="R21" s="19"/>
      <c r="S21" s="845"/>
      <c r="T21" s="7"/>
      <c r="U21" s="266">
        <f>SUM('Report Consolidado Semanal'!P54,'Report Consolidado Semanal'!P58)</f>
        <v>2747</v>
      </c>
      <c r="V21" s="266">
        <f>'Report Consolidado Semanal'!P62</f>
        <v>2009</v>
      </c>
      <c r="W21" s="266">
        <f>SUM('Report Consolidado Semanal'!P66)</f>
        <v>2036</v>
      </c>
      <c r="X21" s="264"/>
      <c r="Y21" s="266">
        <f>SUM(U21:W21)</f>
        <v>6792</v>
      </c>
    </row>
    <row r="22" spans="3:25" ht="5.0999999999999996" hidden="1" customHeight="1" outlineLevel="1">
      <c r="C22" s="44"/>
      <c r="D22" s="44"/>
      <c r="F22" s="19"/>
      <c r="G22" s="19"/>
      <c r="H22" s="388"/>
      <c r="I22" s="19"/>
      <c r="J22" s="264"/>
      <c r="K22" s="264"/>
      <c r="L22" s="264"/>
      <c r="M22" s="19"/>
      <c r="N22" s="264"/>
      <c r="O22" s="5"/>
      <c r="P22" s="19"/>
      <c r="Q22" s="19"/>
      <c r="R22" s="19"/>
      <c r="S22" s="19"/>
      <c r="T22" s="19"/>
      <c r="U22" s="264"/>
      <c r="V22" s="264"/>
      <c r="W22" s="264"/>
      <c r="X22" s="264"/>
      <c r="Y22" s="264"/>
    </row>
    <row r="23" spans="3:25" s="62" customFormat="1" ht="5.25" hidden="1" customHeight="1" outlineLevel="1">
      <c r="C23" s="391"/>
      <c r="D23" s="391"/>
      <c r="E23" s="387"/>
      <c r="F23" s="831" t="s">
        <v>138</v>
      </c>
      <c r="G23" s="392"/>
      <c r="H23" s="841" t="str">
        <f>RIGHT('Report Consolidado Semanal'!$S$4,10)</f>
        <v>06 a 12/07</v>
      </c>
      <c r="I23" s="392"/>
      <c r="J23" s="390">
        <f>SUM('Report Consolidado Semanal'!T13,'Report Consolidado Semanal'!T17,'Report Consolidado Semanal'!T33,'Report Consolidado Semanal'!T37)</f>
        <v>314155</v>
      </c>
      <c r="K23" s="390">
        <f>SUM('Report Consolidado Semanal'!T21,'Report Consolidado Semanal'!T41)</f>
        <v>288876.39097744366</v>
      </c>
      <c r="L23" s="390">
        <f>SUM('Report Consolidado Semanal'!T25,'Report Consolidado Semanal'!T45)</f>
        <v>75931.156385190843</v>
      </c>
      <c r="M23" s="132"/>
      <c r="N23" s="390">
        <f>SUM(J23:M23)</f>
        <v>678962.54736263445</v>
      </c>
      <c r="O23" s="5"/>
      <c r="P23" s="392"/>
      <c r="Q23" s="843" t="s">
        <v>138</v>
      </c>
      <c r="R23" s="392"/>
      <c r="S23" s="845" t="str">
        <f>H23</f>
        <v>06 a 12/07</v>
      </c>
      <c r="T23" s="392"/>
      <c r="U23" s="390">
        <f>SUM('Report Consolidado Semanal'!T53,'Report Consolidado Semanal'!T57)</f>
        <v>5455</v>
      </c>
      <c r="V23" s="390">
        <f>'Report Consolidado Semanal'!T61</f>
        <v>2300</v>
      </c>
      <c r="W23" s="390">
        <f>SUM('Report Consolidado Semanal'!T65)</f>
        <v>3267.9559999999992</v>
      </c>
      <c r="X23" s="264"/>
      <c r="Y23" s="390">
        <f>SUM('Report Consolidado Semanal'!V65)</f>
        <v>0</v>
      </c>
    </row>
    <row r="24" spans="3:25" ht="26.1" hidden="1" customHeight="1" outlineLevel="1">
      <c r="C24" s="44"/>
      <c r="D24" s="44"/>
      <c r="F24" s="832"/>
      <c r="G24" s="19"/>
      <c r="H24" s="842"/>
      <c r="I24" s="7"/>
      <c r="J24" s="266">
        <f>SUM('Report Consolidado Semanal'!T14,'Report Consolidado Semanal'!T18,'Report Consolidado Semanal'!T34,'Report Consolidado Semanal'!T38)</f>
        <v>298057.56</v>
      </c>
      <c r="K24" s="266">
        <f>SUM('Report Consolidado Semanal'!T22,'Report Consolidado Semanal'!T42)</f>
        <v>203067.09</v>
      </c>
      <c r="L24" s="266">
        <f>SUM('Report Consolidado Semanal'!T26,'Report Consolidado Semanal'!T46)</f>
        <v>92685.567815186747</v>
      </c>
      <c r="M24" s="7"/>
      <c r="N24" s="266">
        <f>SUM(J24:M24)</f>
        <v>593810.21781518683</v>
      </c>
      <c r="O24" s="5"/>
      <c r="P24" s="19"/>
      <c r="Q24" s="844"/>
      <c r="R24" s="19"/>
      <c r="S24" s="845"/>
      <c r="T24" s="7"/>
      <c r="U24" s="266">
        <f>SUM('Report Consolidado Semanal'!T54,'Report Consolidado Semanal'!T58)</f>
        <v>3800.2</v>
      </c>
      <c r="V24" s="266">
        <f>'Report Consolidado Semanal'!T62</f>
        <v>1460</v>
      </c>
      <c r="W24" s="266">
        <f>SUM('Report Consolidado Semanal'!T66)</f>
        <v>3783</v>
      </c>
      <c r="X24" s="264"/>
      <c r="Y24" s="266">
        <f>SUM(U24:W24)</f>
        <v>9043.2000000000007</v>
      </c>
    </row>
    <row r="25" spans="3:25" ht="15.75" hidden="1" outlineLevel="1">
      <c r="C25" s="44"/>
      <c r="D25" s="44"/>
      <c r="F25" s="19"/>
      <c r="G25" s="19"/>
      <c r="H25" s="267"/>
      <c r="I25" s="19"/>
      <c r="J25" s="264"/>
      <c r="K25" s="264"/>
      <c r="L25" s="264"/>
      <c r="M25" s="19"/>
      <c r="N25" s="264"/>
      <c r="O25" s="5"/>
      <c r="P25" s="19"/>
      <c r="Q25" s="19"/>
      <c r="R25" s="19"/>
      <c r="S25" s="267"/>
      <c r="T25" s="19"/>
      <c r="U25" s="264"/>
      <c r="V25" s="264"/>
      <c r="W25" s="264"/>
      <c r="X25" s="264"/>
      <c r="Y25" s="264"/>
    </row>
    <row r="26" spans="3:25" ht="31.5" hidden="1" outlineLevel="1">
      <c r="C26" s="135" t="s">
        <v>139</v>
      </c>
      <c r="D26" s="136">
        <f>30-4</f>
        <v>26</v>
      </c>
      <c r="F26" s="287" t="s">
        <v>120</v>
      </c>
      <c r="H26" s="247" t="s">
        <v>121</v>
      </c>
      <c r="J26" s="244" t="s">
        <v>2</v>
      </c>
      <c r="K26" s="245" t="s">
        <v>3</v>
      </c>
      <c r="L26" s="246" t="s">
        <v>4</v>
      </c>
      <c r="N26" s="286" t="s">
        <v>122</v>
      </c>
      <c r="O26" s="5"/>
      <c r="Q26" s="288" t="s">
        <v>123</v>
      </c>
      <c r="S26" s="223" t="s">
        <v>121</v>
      </c>
      <c r="U26" s="244" t="s">
        <v>2</v>
      </c>
      <c r="V26" s="245" t="s">
        <v>3</v>
      </c>
      <c r="W26" s="246" t="s">
        <v>4</v>
      </c>
      <c r="X26" s="264"/>
      <c r="Y26" s="286" t="s">
        <v>122</v>
      </c>
    </row>
    <row r="27" spans="3:25" ht="5.0999999999999996" hidden="1" customHeight="1" outlineLevel="1">
      <c r="C27" s="44"/>
      <c r="D27" s="44"/>
      <c r="H27" s="8"/>
      <c r="O27" s="5"/>
      <c r="S27" s="8"/>
      <c r="X27" s="264"/>
    </row>
    <row r="28" spans="3:25" ht="30" hidden="1" customHeight="1" outlineLevel="1">
      <c r="C28" s="44"/>
      <c r="D28" s="44"/>
      <c r="F28" s="270" t="s">
        <v>140</v>
      </c>
      <c r="G28" s="6"/>
      <c r="H28" s="257">
        <f>D6</f>
        <v>12</v>
      </c>
      <c r="I28" s="6"/>
      <c r="J28" s="224">
        <f>('Report Consolidado Semanal'!AM13+'Report Consolidado Semanal'!AM17)/J29/Quadros!$D$6</f>
        <v>565.98765432098764</v>
      </c>
      <c r="K28" s="224">
        <f>'Report Consolidado Semanal'!AM21/K29/Quadros!$D$6</f>
        <v>900.31746031746025</v>
      </c>
      <c r="L28" s="224">
        <f>'Report Consolidado Semanal'!AM25/L29/Quadros!$D$6</f>
        <v>579.6877777777778</v>
      </c>
      <c r="M28" s="6"/>
      <c r="N28" s="266">
        <f>SUM(J28:M28)</f>
        <v>2045.9928924162255</v>
      </c>
      <c r="O28" s="5"/>
      <c r="P28" s="6"/>
      <c r="Q28" s="272" t="s">
        <v>141</v>
      </c>
      <c r="R28" s="6"/>
      <c r="S28" s="257">
        <f>H28</f>
        <v>12</v>
      </c>
      <c r="T28" s="6"/>
      <c r="U28" s="263">
        <f>U31/U29/Quadros!$D$6</f>
        <v>2.9481481481481482</v>
      </c>
      <c r="V28" s="263">
        <f>V31/V29/Quadros!$D$6</f>
        <v>4.6714743589743586</v>
      </c>
      <c r="W28" s="263">
        <f>('Report Consolidado Semanal'!AM65)/W29/Quadros!$D$6</f>
        <v>11.955</v>
      </c>
      <c r="X28" s="264"/>
      <c r="Y28" s="263">
        <f>SUM(U28:W28)</f>
        <v>19.574622507122506</v>
      </c>
    </row>
    <row r="29" spans="3:25" ht="15.75" hidden="1" outlineLevel="1">
      <c r="C29" s="44"/>
      <c r="D29" s="44"/>
      <c r="F29" s="838" t="s">
        <v>142</v>
      </c>
      <c r="G29" s="839"/>
      <c r="H29" s="840"/>
      <c r="I29" s="7"/>
      <c r="J29" s="234">
        <v>54</v>
      </c>
      <c r="K29" s="234">
        <v>21</v>
      </c>
      <c r="L29" s="234">
        <v>18</v>
      </c>
      <c r="M29" s="7"/>
      <c r="N29" s="234">
        <f>SUM(J29:L29)</f>
        <v>93</v>
      </c>
      <c r="O29" s="5"/>
      <c r="P29" s="7"/>
      <c r="Q29" s="833" t="s">
        <v>143</v>
      </c>
      <c r="R29" s="834"/>
      <c r="S29" s="835"/>
      <c r="T29" s="7"/>
      <c r="U29" s="225">
        <v>207</v>
      </c>
      <c r="V29" s="225">
        <v>52</v>
      </c>
      <c r="W29" s="225">
        <v>50</v>
      </c>
      <c r="X29" s="264"/>
      <c r="Y29" s="225">
        <f>SUM(U29:W29)</f>
        <v>309</v>
      </c>
    </row>
    <row r="30" spans="3:25" ht="5.0999999999999996" hidden="1" customHeight="1" outlineLevel="1">
      <c r="C30" s="44"/>
      <c r="D30" s="44"/>
      <c r="F30" s="271"/>
      <c r="H30" s="8"/>
      <c r="O30" s="5"/>
      <c r="S30" s="8"/>
      <c r="X30" s="264"/>
    </row>
    <row r="31" spans="3:25" ht="30" hidden="1" customHeight="1" outlineLevel="1">
      <c r="C31" s="44"/>
      <c r="D31" s="44"/>
      <c r="F31" s="270" t="s">
        <v>144</v>
      </c>
      <c r="G31" s="6"/>
      <c r="H31" s="257">
        <f>H28</f>
        <v>12</v>
      </c>
      <c r="I31" s="6"/>
      <c r="J31" s="224">
        <f>('Report Consolidado Semanal'!AM33+'Report Consolidado Semanal'!AM37)/J32/Quadros!$D$6</f>
        <v>364.07183333333342</v>
      </c>
      <c r="K31" s="224">
        <f>'Report Consolidado Semanal'!AM41/K32/Quadros!$D$6</f>
        <v>1028.8160584496957</v>
      </c>
      <c r="L31" s="224">
        <f>'Report Consolidado Semanal'!AM45/L32/Quadros!$D$6</f>
        <v>499.96519042250185</v>
      </c>
      <c r="M31" s="6"/>
      <c r="N31" s="266">
        <f>SUM(J31:M31)</f>
        <v>1892.8530822055309</v>
      </c>
      <c r="O31" s="5"/>
      <c r="P31" s="6"/>
      <c r="Q31" s="836" t="s">
        <v>145</v>
      </c>
      <c r="R31" s="822"/>
      <c r="S31" s="837"/>
      <c r="T31" s="6"/>
      <c r="U31" s="225">
        <f>'Report Consolidado Semanal'!AM53+'Report Consolidado Semanal'!AM57</f>
        <v>7323.2</v>
      </c>
      <c r="V31" s="225">
        <f>'Report Consolidado Semanal'!AM61</f>
        <v>2915</v>
      </c>
      <c r="W31" s="225">
        <f>'Report Consolidado Semanal'!AM65</f>
        <v>7173</v>
      </c>
      <c r="X31" s="264"/>
      <c r="Y31" s="225">
        <f>SUM(U31:W31)</f>
        <v>17411.2</v>
      </c>
    </row>
    <row r="32" spans="3:25" ht="15.75" hidden="1" outlineLevel="1">
      <c r="C32" s="44"/>
      <c r="D32" s="44"/>
      <c r="F32" s="838" t="s">
        <v>146</v>
      </c>
      <c r="G32" s="839"/>
      <c r="H32" s="840"/>
      <c r="I32" s="7"/>
      <c r="J32" s="234">
        <v>60</v>
      </c>
      <c r="K32" s="234">
        <v>14</v>
      </c>
      <c r="L32" s="234">
        <v>16</v>
      </c>
      <c r="M32" s="7"/>
      <c r="N32" s="234">
        <f>SUM(J32:M32)</f>
        <v>90</v>
      </c>
      <c r="O32" s="264"/>
      <c r="P32" s="264"/>
      <c r="Q32" s="264"/>
      <c r="R32" s="264"/>
      <c r="S32" s="264"/>
      <c r="T32" s="264"/>
      <c r="U32" s="264"/>
      <c r="V32" s="264"/>
      <c r="W32" s="264"/>
      <c r="X32" s="264"/>
      <c r="Y32" s="264"/>
    </row>
    <row r="33" spans="6:35" collapsed="1"/>
    <row r="34" spans="6:35" ht="31.7" customHeight="1">
      <c r="F34" s="287" t="s">
        <v>147</v>
      </c>
      <c r="H34" s="247" t="s">
        <v>121</v>
      </c>
      <c r="J34" s="244" t="s">
        <v>2</v>
      </c>
      <c r="K34" s="245" t="s">
        <v>3</v>
      </c>
      <c r="L34" s="246" t="s">
        <v>4</v>
      </c>
      <c r="N34" s="286" t="s">
        <v>122</v>
      </c>
      <c r="O34" s="264"/>
      <c r="Q34" s="288" t="s">
        <v>148</v>
      </c>
      <c r="S34" s="223" t="s">
        <v>121</v>
      </c>
      <c r="U34" s="244" t="s">
        <v>2</v>
      </c>
      <c r="V34" s="245" t="s">
        <v>3</v>
      </c>
      <c r="W34" s="246" t="s">
        <v>4</v>
      </c>
      <c r="X34" s="264"/>
      <c r="Y34" s="286" t="s">
        <v>122</v>
      </c>
      <c r="Z34" s="5"/>
      <c r="AA34" s="645" t="s">
        <v>149</v>
      </c>
      <c r="AB34" s="7"/>
      <c r="AC34" s="646" t="s">
        <v>121</v>
      </c>
      <c r="AE34" s="649" t="s">
        <v>57</v>
      </c>
      <c r="AF34" s="650" t="s">
        <v>77</v>
      </c>
      <c r="AG34" s="651" t="s">
        <v>60</v>
      </c>
      <c r="AH34" s="652" t="s">
        <v>61</v>
      </c>
      <c r="AI34" s="652" t="s">
        <v>63</v>
      </c>
    </row>
    <row r="35" spans="6:35" ht="5.0999999999999996" customHeight="1">
      <c r="F35" s="19"/>
      <c r="G35" s="19"/>
      <c r="H35" s="19"/>
      <c r="I35" s="19"/>
      <c r="J35" s="264"/>
      <c r="K35" s="264"/>
      <c r="L35" s="264"/>
      <c r="M35" s="19"/>
      <c r="N35" s="264"/>
      <c r="O35" s="264"/>
      <c r="P35" s="19"/>
      <c r="Q35" s="19"/>
      <c r="R35" s="19"/>
      <c r="S35" s="19"/>
      <c r="T35" s="19"/>
      <c r="U35" s="264"/>
      <c r="V35" s="264"/>
      <c r="W35" s="264"/>
      <c r="X35" s="264"/>
      <c r="Y35" s="264"/>
      <c r="Z35" s="5"/>
      <c r="AB35" s="7"/>
      <c r="AC35" s="7"/>
      <c r="AE35" s="8"/>
      <c r="AF35" s="8"/>
      <c r="AG35" s="8"/>
      <c r="AH35" s="630"/>
      <c r="AI35" s="630"/>
    </row>
    <row r="36" spans="6:35" ht="30" customHeight="1">
      <c r="F36" s="268" t="s">
        <v>150</v>
      </c>
      <c r="G36" s="7"/>
      <c r="H36" s="273">
        <f ca="1">H6</f>
        <v>27</v>
      </c>
      <c r="I36" s="7"/>
      <c r="J36" s="675">
        <f>SUM('Report Consolidado Semanal'!AK13:AK14,'Report Consolidado Semanal'!AK17:AK18,'Report Consolidado Semanal'!AK33:AK34,'Report Consolidado Semanal'!AK37:AK38)</f>
        <v>1617743.8200000003</v>
      </c>
      <c r="K36" s="675">
        <f>SUM('Report Consolidado Semanal'!AK21:AK22,'Report Consolidado Semanal'!AK41:AK42)</f>
        <v>1055459.28</v>
      </c>
      <c r="L36" s="675">
        <f>SUM('Report Consolidado Semanal'!AK25:AK26,'Report Consolidado Semanal'!AK45:AK46)</f>
        <v>379880.8220073909</v>
      </c>
      <c r="M36" s="7"/>
      <c r="N36" s="266">
        <f>SUM(J36:M36)</f>
        <v>3053083.9220073912</v>
      </c>
      <c r="O36" s="264"/>
      <c r="P36" s="7"/>
      <c r="Q36" s="226" t="s">
        <v>150</v>
      </c>
      <c r="R36" s="7"/>
      <c r="S36" s="273">
        <f ca="1">H36</f>
        <v>27</v>
      </c>
      <c r="T36" s="7"/>
      <c r="U36" s="675">
        <f>SUM('Report Consolidado Semanal'!AK53:AK58)</f>
        <v>25079.86</v>
      </c>
      <c r="V36" s="675">
        <f>SUM('Report Consolidado Semanal'!AK61:AK62)</f>
        <v>13799.46</v>
      </c>
      <c r="W36" s="675">
        <f>SUM('Report Consolidado Semanal'!AK65:AK66)</f>
        <v>13521.962499999998</v>
      </c>
      <c r="X36" s="264"/>
      <c r="Y36" s="266">
        <f>SUM(U36:X36)</f>
        <v>52401.282500000001</v>
      </c>
      <c r="Z36" s="5"/>
      <c r="AA36" s="647" t="s">
        <v>150</v>
      </c>
      <c r="AB36" s="7"/>
      <c r="AC36" s="273">
        <f ca="1">Quadros!$D$4</f>
        <v>27</v>
      </c>
      <c r="AD36" s="7"/>
      <c r="AE36" s="266">
        <f>SUM('Report Consolidado Semanal'!AK73:AK74)</f>
        <v>50</v>
      </c>
      <c r="AF36" s="266">
        <f>SUM('Report Consolidado Semanal'!AK77:AK78)</f>
        <v>8</v>
      </c>
      <c r="AG36" s="266">
        <f>SUM('Report Consolidado Semanal'!AK81:AK82)</f>
        <v>15</v>
      </c>
      <c r="AH36" s="266">
        <f>SUM('Report Consolidado Semanal'!AK85:AK86)</f>
        <v>8</v>
      </c>
      <c r="AI36" s="266">
        <f>SUM('Report Consolidado Semanal'!AK89:AK90)</f>
        <v>552</v>
      </c>
    </row>
    <row r="37" spans="6:35" ht="5.0999999999999996" customHeight="1">
      <c r="F37" s="19"/>
      <c r="G37" s="19"/>
      <c r="H37" s="19"/>
      <c r="I37" s="19"/>
      <c r="J37" s="676"/>
      <c r="K37" s="676"/>
      <c r="L37" s="676"/>
      <c r="M37" s="19"/>
      <c r="N37" s="264"/>
      <c r="O37" s="264"/>
      <c r="P37" s="19"/>
      <c r="Q37" s="19"/>
      <c r="R37" s="19"/>
      <c r="S37" s="19"/>
      <c r="T37" s="19"/>
      <c r="U37" s="676"/>
      <c r="V37" s="676"/>
      <c r="W37" s="676"/>
      <c r="X37" s="264"/>
      <c r="Y37" s="264"/>
      <c r="Z37" s="5"/>
      <c r="AA37" s="264"/>
      <c r="AB37" s="7"/>
      <c r="AC37" s="388"/>
      <c r="AD37" s="264"/>
      <c r="AE37" s="642"/>
      <c r="AF37" s="643"/>
      <c r="AG37" s="643"/>
      <c r="AH37" s="19"/>
      <c r="AI37" s="19"/>
    </row>
    <row r="38" spans="6:35" ht="30" customHeight="1">
      <c r="F38" s="268" t="s">
        <v>151</v>
      </c>
      <c r="G38" s="7"/>
      <c r="H38" s="273">
        <f>H8</f>
        <v>12</v>
      </c>
      <c r="I38" s="7"/>
      <c r="J38" s="675">
        <f>SUM('Report Consolidado Semanal'!AM13:AM14,'Report Consolidado Semanal'!AM17:AM18,'Report Consolidado Semanal'!AM33:AM34,'Report Consolidado Semanal'!AM37:AM38)</f>
        <v>628891.72</v>
      </c>
      <c r="K38" s="675">
        <f>SUM('Report Consolidado Semanal'!AM41:AM42,'Report Consolidado Semanal'!AM21:AM22)</f>
        <v>399721.09781954892</v>
      </c>
      <c r="L38" s="675">
        <f>SUM('Report Consolidado Semanal'!AM25:AM26,'Report Consolidado Semanal'!AM45:AM46)</f>
        <v>221205.87656112039</v>
      </c>
      <c r="M38" s="7"/>
      <c r="N38" s="266">
        <f>SUM(J38:M38)</f>
        <v>1249818.6943806694</v>
      </c>
      <c r="O38" s="264"/>
      <c r="P38" s="7"/>
      <c r="Q38" s="226" t="s">
        <v>151</v>
      </c>
      <c r="R38" s="7"/>
      <c r="S38" s="273">
        <f>H38</f>
        <v>12</v>
      </c>
      <c r="T38" s="7"/>
      <c r="U38" s="675">
        <f>SUM('Report Consolidado Semanal'!AM53:AM58)</f>
        <v>7323.2</v>
      </c>
      <c r="V38" s="675">
        <f>SUM('Report Consolidado Semanal'!AM61:AM62)</f>
        <v>2915</v>
      </c>
      <c r="W38" s="675">
        <f>SUM('Report Consolidado Semanal'!AM65:AM66)</f>
        <v>7173</v>
      </c>
      <c r="X38" s="264"/>
      <c r="Y38" s="266">
        <f>SUM(U38:X38)</f>
        <v>17411.2</v>
      </c>
      <c r="Z38" s="5"/>
      <c r="AA38" s="648" t="s">
        <v>151</v>
      </c>
      <c r="AB38" s="7"/>
      <c r="AC38" s="273">
        <f>$D$6</f>
        <v>12</v>
      </c>
      <c r="AD38" s="220"/>
      <c r="AE38" s="266">
        <f>SUM('Report Consolidado Semanal'!AM73:AM74)</f>
        <v>13</v>
      </c>
      <c r="AF38" s="266">
        <f>SUM('Report Consolidado Semanal'!AM77:AM78)</f>
        <v>4</v>
      </c>
      <c r="AG38" s="266">
        <f>SUM('Report Consolidado Semanal'!AM81:AM82)</f>
        <v>5</v>
      </c>
      <c r="AH38" s="266">
        <f>SUM('Report Consolidado Semanal'!AM85:AM86)</f>
        <v>2</v>
      </c>
      <c r="AI38" s="266">
        <f>SUM('Report Consolidado Semanal'!AM89:AM90)</f>
        <v>344</v>
      </c>
    </row>
    <row r="39" spans="6:35" ht="5.0999999999999996" customHeight="1">
      <c r="F39" s="19"/>
      <c r="G39" s="19"/>
      <c r="H39" s="19"/>
      <c r="I39" s="19"/>
      <c r="J39" s="264"/>
      <c r="K39" s="264"/>
      <c r="L39" s="264"/>
      <c r="M39" s="19"/>
      <c r="N39" s="264"/>
      <c r="O39" s="264"/>
      <c r="P39" s="19"/>
      <c r="Q39" s="19"/>
      <c r="R39" s="19"/>
      <c r="S39" s="19"/>
      <c r="T39" s="19"/>
      <c r="U39" s="264"/>
      <c r="V39" s="264"/>
      <c r="W39" s="264"/>
      <c r="X39" s="264"/>
      <c r="Y39" s="264"/>
      <c r="Z39" s="5"/>
      <c r="AA39" s="19"/>
      <c r="AB39" s="7"/>
      <c r="AC39" s="19"/>
      <c r="AD39" s="19"/>
      <c r="AE39" s="642"/>
      <c r="AF39" s="644"/>
      <c r="AG39" s="264"/>
      <c r="AH39" s="264"/>
      <c r="AI39" s="264"/>
    </row>
    <row r="40" spans="6:35" ht="30" customHeight="1">
      <c r="F40" s="268" t="s">
        <v>152</v>
      </c>
      <c r="G40" s="7"/>
      <c r="H40" s="283">
        <f ca="1">H38/H36</f>
        <v>0.44444444444444442</v>
      </c>
      <c r="I40" s="284"/>
      <c r="J40" s="285">
        <f>J38/J36</f>
        <v>0.38874617366796671</v>
      </c>
      <c r="K40" s="285">
        <f>K38/K36</f>
        <v>0.37871768754503621</v>
      </c>
      <c r="L40" s="285">
        <f>L38/L36</f>
        <v>0.58230335343650652</v>
      </c>
      <c r="M40" s="284"/>
      <c r="N40" s="285">
        <f>N38/N36</f>
        <v>0.40936270548335213</v>
      </c>
      <c r="O40" s="264"/>
      <c r="P40" s="284"/>
      <c r="Q40" s="226" t="s">
        <v>152</v>
      </c>
      <c r="R40" s="7"/>
      <c r="S40" s="283">
        <f ca="1">S38/S36</f>
        <v>0.44444444444444442</v>
      </c>
      <c r="T40" s="284"/>
      <c r="U40" s="285">
        <f>U38/U36</f>
        <v>0.29199525037221097</v>
      </c>
      <c r="V40" s="285">
        <f>V38/V36</f>
        <v>0.21124014997688317</v>
      </c>
      <c r="W40" s="285">
        <f>W38/W36</f>
        <v>0.53047033668374699</v>
      </c>
      <c r="X40" s="264"/>
      <c r="Y40" s="285">
        <f>Y38/Y36</f>
        <v>0.33226667686997929</v>
      </c>
      <c r="Z40" s="5"/>
      <c r="AA40" s="648" t="s">
        <v>152</v>
      </c>
      <c r="AB40" s="7"/>
      <c r="AC40" s="283">
        <f ca="1">AC38/AC36</f>
        <v>0.44444444444444442</v>
      </c>
      <c r="AD40" s="284"/>
      <c r="AE40" s="285">
        <f>AE38/AE36</f>
        <v>0.26</v>
      </c>
      <c r="AF40" s="285">
        <f>AF38/AF36</f>
        <v>0.5</v>
      </c>
      <c r="AG40" s="285">
        <f>AG38/AG36</f>
        <v>0.33333333333333331</v>
      </c>
      <c r="AH40" s="285">
        <f>AH38/AH36</f>
        <v>0.25</v>
      </c>
      <c r="AI40" s="285">
        <f>AI38/AI36</f>
        <v>0.62318840579710144</v>
      </c>
    </row>
  </sheetData>
  <mergeCells count="20">
    <mergeCell ref="F20:F21"/>
    <mergeCell ref="H20:H21"/>
    <mergeCell ref="Q20:Q21"/>
    <mergeCell ref="S20:S21"/>
    <mergeCell ref="H23:H24"/>
    <mergeCell ref="Q23:Q24"/>
    <mergeCell ref="S23:S24"/>
    <mergeCell ref="F14:F15"/>
    <mergeCell ref="H14:H15"/>
    <mergeCell ref="Q14:Q15"/>
    <mergeCell ref="S14:S15"/>
    <mergeCell ref="F17:F18"/>
    <mergeCell ref="H17:H18"/>
    <mergeCell ref="Q17:Q18"/>
    <mergeCell ref="S17:S18"/>
    <mergeCell ref="F23:F24"/>
    <mergeCell ref="Q29:S29"/>
    <mergeCell ref="Q31:S31"/>
    <mergeCell ref="F29:H29"/>
    <mergeCell ref="F32:H32"/>
  </mergeCells>
  <phoneticPr fontId="112" type="noConversion"/>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AB3D-06E0-4637-9F3F-BA418333F8DF}">
  <sheetPr>
    <tabColor rgb="FF38986A"/>
  </sheetPr>
  <dimension ref="A1:AZ3528"/>
  <sheetViews>
    <sheetView showGridLines="0" topLeftCell="A4" zoomScale="50" zoomScaleNormal="50" workbookViewId="0">
      <pane xSplit="11" ySplit="6" topLeftCell="L1440" activePane="bottomRight" state="frozen"/>
      <selection pane="bottomRight" activeCell="R5" sqref="R5"/>
      <selection pane="bottomLeft" activeCell="A10" sqref="A10"/>
      <selection pane="topRight" activeCell="P4" sqref="P4"/>
    </sheetView>
  </sheetViews>
  <sheetFormatPr defaultRowHeight="15" outlineLevelRow="3" outlineLevelCol="1"/>
  <cols>
    <col min="1" max="1" width="5.7109375" hidden="1" customWidth="1" outlineLevel="1"/>
    <col min="2" max="2" width="12.7109375" hidden="1" customWidth="1" outlineLevel="1"/>
    <col min="3" max="3" width="18.140625" hidden="1" customWidth="1" outlineLevel="1"/>
    <col min="4" max="4" width="40.42578125" hidden="1" customWidth="1" outlineLevel="1"/>
    <col min="5" max="5" width="128.28515625" customWidth="1" collapsed="1"/>
    <col min="6" max="6" width="8.7109375" customWidth="1"/>
    <col min="7" max="7" width="1.7109375" customWidth="1"/>
    <col min="8" max="8" width="6.140625" customWidth="1"/>
    <col min="9" max="9" width="12.140625" customWidth="1"/>
    <col min="10" max="10" width="14.42578125" customWidth="1"/>
    <col min="11" max="11" width="2.7109375" customWidth="1"/>
    <col min="12" max="12" width="5.28515625" customWidth="1"/>
    <col min="13" max="13" width="14.5703125" customWidth="1"/>
    <col min="14" max="14" width="12.85546875" customWidth="1"/>
    <col min="15" max="15" width="2.42578125" customWidth="1"/>
    <col min="16" max="22" width="11" customWidth="1"/>
    <col min="23" max="23" width="1.85546875" customWidth="1"/>
    <col min="24" max="24" width="15" customWidth="1"/>
    <col min="25" max="25" width="13.5703125" customWidth="1"/>
    <col min="26" max="26" width="3.42578125" customWidth="1"/>
    <col min="27" max="29" width="16.28515625" customWidth="1"/>
    <col min="30" max="30" width="17.5703125" customWidth="1"/>
    <col min="31" max="31" width="2.7109375" customWidth="1"/>
    <col min="32" max="32" width="15" customWidth="1"/>
    <col min="33" max="34" width="14.85546875" customWidth="1"/>
    <col min="35" max="36" width="15" customWidth="1"/>
    <col min="37" max="39" width="15.7109375" customWidth="1"/>
    <col min="40" max="40" width="1.7109375" customWidth="1"/>
    <col min="41" max="42" width="15.85546875" customWidth="1"/>
    <col min="43" max="43" width="0.7109375" hidden="1" customWidth="1"/>
    <col min="44" max="47" width="3.5703125" customWidth="1"/>
    <col min="48" max="48" width="33.140625" customWidth="1"/>
  </cols>
  <sheetData>
    <row r="1" spans="1:50" ht="14.45" customHeight="1">
      <c r="A1" s="209"/>
      <c r="B1" s="110"/>
      <c r="C1" s="110"/>
      <c r="D1" s="110"/>
      <c r="E1" s="16"/>
      <c r="F1" s="59"/>
      <c r="I1" s="112">
        <v>46209</v>
      </c>
      <c r="M1" s="58"/>
      <c r="P1" s="7"/>
      <c r="Q1" s="7"/>
      <c r="R1" s="7"/>
      <c r="S1" s="7"/>
      <c r="T1" s="7"/>
      <c r="U1" s="7"/>
      <c r="V1" s="7"/>
      <c r="W1" s="7"/>
      <c r="X1" s="48"/>
      <c r="AB1" s="111"/>
      <c r="AC1" s="259">
        <v>46204</v>
      </c>
      <c r="AD1" s="111"/>
      <c r="AE1" s="111"/>
      <c r="AF1" s="111"/>
      <c r="AG1" s="111"/>
      <c r="AH1" s="145">
        <v>46187</v>
      </c>
      <c r="AI1" s="111"/>
      <c r="AJ1" s="111"/>
      <c r="AK1" s="111"/>
      <c r="AL1" s="112"/>
      <c r="AM1" s="111"/>
    </row>
    <row r="2" spans="1:50" ht="24" customHeight="1">
      <c r="A2" s="209"/>
      <c r="B2" s="110"/>
      <c r="C2" s="110"/>
      <c r="D2" s="110"/>
      <c r="E2" s="16"/>
      <c r="F2" s="210"/>
      <c r="I2" s="112">
        <v>46215</v>
      </c>
      <c r="M2" s="58"/>
      <c r="P2" s="7"/>
      <c r="Q2" s="7"/>
      <c r="R2" s="7"/>
      <c r="S2" s="7"/>
      <c r="T2" s="7"/>
      <c r="U2" s="7"/>
      <c r="V2" s="7"/>
      <c r="W2" s="7"/>
      <c r="X2" s="48"/>
      <c r="Y2" s="58"/>
      <c r="AB2" s="380"/>
      <c r="AC2" s="259">
        <f>N8</f>
        <v>46217</v>
      </c>
      <c r="AD2" s="111"/>
      <c r="AE2" s="111"/>
      <c r="AF2" s="112">
        <v>46112</v>
      </c>
      <c r="AG2" s="111"/>
      <c r="AH2" s="145">
        <v>46203</v>
      </c>
      <c r="AI2" s="111"/>
      <c r="AJ2" s="111"/>
      <c r="AK2" s="111"/>
      <c r="AL2" s="112"/>
      <c r="AM2" s="111"/>
    </row>
    <row r="3" spans="1:50" ht="17.100000000000001" customHeight="1">
      <c r="A3" s="209"/>
      <c r="B3" s="110"/>
      <c r="C3" s="110"/>
      <c r="D3" s="110"/>
      <c r="E3" s="113"/>
      <c r="F3" s="113"/>
      <c r="G3" s="113"/>
      <c r="H3" s="114"/>
      <c r="I3" s="115"/>
      <c r="J3" s="113"/>
      <c r="K3" s="113"/>
      <c r="M3" s="115"/>
      <c r="N3" s="113"/>
      <c r="O3" s="113"/>
      <c r="P3" s="113"/>
      <c r="Q3" s="113"/>
      <c r="R3" s="113"/>
      <c r="S3" s="211" t="s">
        <v>153</v>
      </c>
      <c r="T3" s="113"/>
      <c r="U3" s="113"/>
      <c r="V3" s="113"/>
      <c r="W3" s="113"/>
      <c r="X3" s="115"/>
      <c r="Y3" s="378"/>
      <c r="Z3" s="149"/>
      <c r="AA3" s="378"/>
      <c r="AB3" s="377"/>
      <c r="AC3" s="115"/>
      <c r="AD3" s="146"/>
      <c r="AE3" s="116"/>
      <c r="AF3" s="116"/>
      <c r="AG3" s="116"/>
      <c r="AH3" s="116"/>
      <c r="AI3" s="116"/>
      <c r="AJ3" s="116"/>
      <c r="AK3" s="261"/>
      <c r="AM3" s="116"/>
      <c r="AN3" s="116"/>
      <c r="AO3" s="116"/>
      <c r="AP3" s="116"/>
    </row>
    <row r="4" spans="1:50" s="500" customFormat="1" ht="42.6" customHeight="1">
      <c r="A4" s="209"/>
      <c r="B4" s="110"/>
      <c r="C4" s="110"/>
      <c r="D4" s="110"/>
      <c r="E4" s="1"/>
      <c r="F4" s="323"/>
      <c r="G4" s="1"/>
      <c r="H4" s="1"/>
      <c r="I4" s="55"/>
      <c r="J4" s="1"/>
      <c r="K4" s="1"/>
      <c r="L4" s="1"/>
      <c r="M4" s="55"/>
      <c r="N4" s="1"/>
      <c r="O4" s="1"/>
      <c r="P4" s="9"/>
      <c r="Q4" s="9"/>
      <c r="R4" s="9">
        <f>282+452</f>
        <v>734</v>
      </c>
      <c r="S4" s="9"/>
      <c r="T4" s="9"/>
      <c r="U4" s="9"/>
      <c r="V4" s="9"/>
      <c r="W4" s="9"/>
      <c r="X4" s="46"/>
      <c r="Y4" s="1"/>
      <c r="Z4" s="1"/>
      <c r="AA4" s="1"/>
      <c r="AB4" s="1"/>
      <c r="AC4" s="1"/>
      <c r="AD4" s="1"/>
      <c r="AE4" s="1"/>
      <c r="AF4" s="1"/>
      <c r="AG4" s="1"/>
      <c r="AH4" s="1"/>
      <c r="AI4" s="1"/>
      <c r="AJ4" s="1"/>
      <c r="AK4" s="1"/>
      <c r="AL4" s="1"/>
      <c r="AM4" s="1"/>
      <c r="AN4" s="1"/>
      <c r="AO4" s="1"/>
      <c r="AP4" s="1"/>
      <c r="AV4" s="500" t="s">
        <v>154</v>
      </c>
    </row>
    <row r="5" spans="1:50" ht="40.35" customHeight="1">
      <c r="A5" s="209"/>
      <c r="B5" s="110"/>
      <c r="C5" s="110"/>
      <c r="D5" s="110"/>
      <c r="E5" s="970" t="s">
        <v>155</v>
      </c>
      <c r="F5" s="970"/>
      <c r="G5" s="508"/>
      <c r="H5" s="509"/>
      <c r="I5" s="510" t="s">
        <v>72</v>
      </c>
      <c r="J5" s="509">
        <v>27</v>
      </c>
      <c r="K5" s="511"/>
      <c r="L5" s="512"/>
      <c r="M5" s="513" t="s">
        <v>72</v>
      </c>
      <c r="N5" s="512">
        <v>28</v>
      </c>
      <c r="O5" s="508"/>
      <c r="P5" s="514" t="s">
        <v>10</v>
      </c>
      <c r="Q5" s="514"/>
      <c r="R5" s="514"/>
      <c r="S5" s="514"/>
      <c r="T5" s="514"/>
      <c r="U5" s="514"/>
      <c r="V5" s="514"/>
      <c r="W5" s="514"/>
      <c r="X5" s="515"/>
      <c r="Y5" s="516"/>
      <c r="Z5" s="508"/>
      <c r="AA5" s="971" t="s">
        <v>156</v>
      </c>
      <c r="AB5" s="971"/>
      <c r="AC5" s="971"/>
      <c r="AD5" s="971"/>
      <c r="AE5" s="10"/>
      <c r="AF5" s="239" t="s">
        <v>157</v>
      </c>
      <c r="AG5" s="239"/>
      <c r="AH5" s="239"/>
      <c r="AI5" s="239"/>
      <c r="AJ5" s="239"/>
      <c r="AK5" s="239"/>
      <c r="AL5" s="239"/>
      <c r="AM5" s="239"/>
      <c r="AN5" s="1"/>
      <c r="AO5" s="964" t="s">
        <v>158</v>
      </c>
      <c r="AP5" s="964"/>
      <c r="AV5" t="s">
        <v>51</v>
      </c>
    </row>
    <row r="6" spans="1:50" ht="3" customHeight="1" thickBot="1">
      <c r="A6" s="209"/>
      <c r="B6" s="110"/>
      <c r="C6" s="110"/>
      <c r="D6" s="110"/>
      <c r="E6" s="517"/>
      <c r="F6" s="518">
        <v>132</v>
      </c>
      <c r="G6" s="508"/>
      <c r="H6" s="508"/>
      <c r="I6" s="519"/>
      <c r="J6" s="508">
        <v>132</v>
      </c>
      <c r="K6" s="508"/>
      <c r="L6" s="508"/>
      <c r="M6" s="519"/>
      <c r="N6" s="508" t="s">
        <v>159</v>
      </c>
      <c r="O6" s="508"/>
      <c r="P6" s="520"/>
      <c r="Q6" s="520"/>
      <c r="R6" s="520"/>
      <c r="S6" s="520"/>
      <c r="T6" s="520"/>
      <c r="U6" s="520"/>
      <c r="V6" s="520"/>
      <c r="W6" s="508"/>
      <c r="X6" s="521"/>
      <c r="Y6" s="522"/>
      <c r="Z6" s="508"/>
      <c r="AA6" s="523">
        <v>46081</v>
      </c>
      <c r="AB6" s="523">
        <v>46081</v>
      </c>
      <c r="AC6" s="524"/>
      <c r="AD6" s="524"/>
      <c r="AE6" s="1"/>
      <c r="AF6" s="1"/>
      <c r="AG6" s="1"/>
      <c r="AH6" s="1"/>
      <c r="AI6" s="1"/>
      <c r="AJ6" s="1"/>
      <c r="AK6" s="1"/>
      <c r="AL6" s="1"/>
      <c r="AM6" s="1"/>
      <c r="AN6" s="1"/>
      <c r="AO6" s="1"/>
      <c r="AP6" s="1"/>
    </row>
    <row r="7" spans="1:50" ht="29.45" customHeight="1">
      <c r="A7" s="525"/>
      <c r="B7" s="533"/>
      <c r="C7" s="533"/>
      <c r="D7" s="533"/>
      <c r="E7" s="972" t="s">
        <v>16</v>
      </c>
      <c r="F7" s="973" t="s">
        <v>160</v>
      </c>
      <c r="G7" s="592"/>
      <c r="H7" s="975" t="s">
        <v>161</v>
      </c>
      <c r="I7" s="976"/>
      <c r="J7" s="979" t="s">
        <v>162</v>
      </c>
      <c r="K7" s="528"/>
      <c r="L7" s="981" t="s">
        <v>21</v>
      </c>
      <c r="M7" s="981"/>
      <c r="N7" s="713" t="str">
        <f>TEXT(N8,"dDD")</f>
        <v>ter</v>
      </c>
      <c r="O7" s="592"/>
      <c r="P7" s="593" t="str">
        <f>TEXT(P8,"dDD")</f>
        <v>seg</v>
      </c>
      <c r="Q7" s="593" t="str">
        <f t="shared" ref="Q7:V7" si="0">TEXT(Q8,"dDD")</f>
        <v>ter</v>
      </c>
      <c r="R7" s="593" t="str">
        <f t="shared" si="0"/>
        <v>qua</v>
      </c>
      <c r="S7" s="593" t="str">
        <f t="shared" si="0"/>
        <v>qui</v>
      </c>
      <c r="T7" s="593" t="str">
        <f t="shared" si="0"/>
        <v>sex</v>
      </c>
      <c r="U7" s="593" t="str">
        <f t="shared" si="0"/>
        <v>sáb</v>
      </c>
      <c r="V7" s="593" t="str">
        <f t="shared" si="0"/>
        <v>dom</v>
      </c>
      <c r="W7" s="592"/>
      <c r="X7" s="982" t="str">
        <f>"TOTAL SEMANA
(até "&amp;TEXT(N8,"DD/MM")&amp;")"</f>
        <v>TOTAL SEMANA
(até 14/07)</v>
      </c>
      <c r="Y7" s="983" t="s">
        <v>163</v>
      </c>
      <c r="Z7" s="592"/>
      <c r="AA7" s="985" t="s">
        <v>164</v>
      </c>
      <c r="AB7" s="985" t="str">
        <f>"PLANEJADO
ATÉ A DATA " &amp; TEXT(AC2,"DD/MM")</f>
        <v>PLANEJADO
ATÉ A DATA 14/07</v>
      </c>
      <c r="AC7" s="985" t="str">
        <f>"REAL MÊS ("&amp;TEXT(AC1,"DD/MM")&amp;" até "&amp;TEXT(AC2,"DD/MM")&amp;")"</f>
        <v>REAL MÊS (01/07 até 14/07)</v>
      </c>
      <c r="AD7" s="985" t="s">
        <v>163</v>
      </c>
      <c r="AE7" s="10"/>
      <c r="AF7" s="987" t="s">
        <v>165</v>
      </c>
      <c r="AG7" s="987" t="s">
        <v>166</v>
      </c>
      <c r="AH7" s="987" t="str">
        <f>"PROD. "&amp;TEXT(AH1,"DD/MM")&amp;" a "&amp;TEXT(AH2,"DD/MM")</f>
        <v>PROD. 14/06 a 30/06</v>
      </c>
      <c r="AI7" s="987" t="s">
        <v>167</v>
      </c>
      <c r="AJ7" s="987" t="s">
        <v>168</v>
      </c>
      <c r="AK7" s="965" t="s">
        <v>27</v>
      </c>
      <c r="AL7" s="965" t="s">
        <v>169</v>
      </c>
      <c r="AM7" s="965" t="s">
        <v>163</v>
      </c>
      <c r="AN7" s="10"/>
      <c r="AO7" s="967" t="s">
        <v>29</v>
      </c>
      <c r="AP7" s="967" t="s">
        <v>30</v>
      </c>
      <c r="AV7" t="s">
        <v>170</v>
      </c>
    </row>
    <row r="8" spans="1:50" ht="29.45" customHeight="1">
      <c r="A8" s="525" t="s">
        <v>171</v>
      </c>
      <c r="B8" s="533" t="s">
        <v>172</v>
      </c>
      <c r="C8" s="533" t="s">
        <v>173</v>
      </c>
      <c r="D8" s="533" t="s">
        <v>174</v>
      </c>
      <c r="E8" s="972"/>
      <c r="F8" s="974"/>
      <c r="G8" s="592"/>
      <c r="H8" s="977"/>
      <c r="I8" s="978"/>
      <c r="J8" s="980"/>
      <c r="K8" s="528"/>
      <c r="L8" s="981"/>
      <c r="M8" s="981"/>
      <c r="N8" s="594">
        <f>Q8</f>
        <v>46217</v>
      </c>
      <c r="O8" s="592"/>
      <c r="P8" s="594">
        <v>46216</v>
      </c>
      <c r="Q8" s="594">
        <f>P8+1</f>
        <v>46217</v>
      </c>
      <c r="R8" s="594">
        <f t="shared" ref="R8:U8" si="1">Q8+1</f>
        <v>46218</v>
      </c>
      <c r="S8" s="594">
        <f t="shared" si="1"/>
        <v>46219</v>
      </c>
      <c r="T8" s="594">
        <f t="shared" si="1"/>
        <v>46220</v>
      </c>
      <c r="U8" s="594">
        <f t="shared" si="1"/>
        <v>46221</v>
      </c>
      <c r="V8" s="594">
        <f>U8+1</f>
        <v>46222</v>
      </c>
      <c r="W8" s="592"/>
      <c r="X8" s="982"/>
      <c r="Y8" s="984"/>
      <c r="Z8" s="592"/>
      <c r="AA8" s="986"/>
      <c r="AB8" s="986"/>
      <c r="AC8" s="985"/>
      <c r="AD8" s="986"/>
      <c r="AE8" s="10"/>
      <c r="AF8" s="988"/>
      <c r="AG8" s="988"/>
      <c r="AH8" s="988"/>
      <c r="AI8" s="988"/>
      <c r="AJ8" s="988"/>
      <c r="AK8" s="966"/>
      <c r="AL8" s="966"/>
      <c r="AM8" s="966"/>
      <c r="AN8" s="10"/>
      <c r="AO8" s="967"/>
      <c r="AP8" s="967"/>
      <c r="AV8" s="4"/>
      <c r="AW8" s="4"/>
      <c r="AX8" s="4"/>
    </row>
    <row r="9" spans="1:50" ht="10.35" customHeight="1">
      <c r="A9" s="209"/>
      <c r="B9" s="110"/>
      <c r="C9" s="110"/>
      <c r="D9" s="117"/>
      <c r="E9" s="3"/>
      <c r="F9" s="92"/>
      <c r="G9" s="3"/>
      <c r="H9" s="3"/>
      <c r="I9" s="36"/>
      <c r="J9" s="3"/>
      <c r="K9" s="3"/>
      <c r="L9" s="3"/>
      <c r="M9" s="36"/>
      <c r="N9" s="3"/>
      <c r="O9" s="3"/>
      <c r="P9" s="5"/>
      <c r="Q9" s="5"/>
      <c r="R9" s="5"/>
      <c r="S9" s="5"/>
      <c r="T9" s="5"/>
      <c r="U9" s="5"/>
      <c r="V9" s="5"/>
      <c r="W9" s="3"/>
      <c r="X9" s="37"/>
      <c r="Y9" s="3"/>
      <c r="Z9" s="3"/>
      <c r="AA9" s="18"/>
      <c r="AB9" s="18"/>
      <c r="AC9" s="3"/>
      <c r="AD9" s="3"/>
      <c r="AE9" s="3"/>
      <c r="AF9" s="3"/>
      <c r="AG9" s="3"/>
      <c r="AH9" s="3"/>
      <c r="AI9" s="3"/>
      <c r="AJ9" s="3"/>
      <c r="AK9" s="3"/>
      <c r="AL9" s="3"/>
      <c r="AM9" s="3"/>
      <c r="AN9" s="3"/>
      <c r="AO9" s="3"/>
      <c r="AP9" s="3"/>
      <c r="AV9" s="4">
        <f t="shared" ref="AV9:AV11" si="2">IF(AX9="Y",LEFT(E9,20),IF(AX9="x",E9,AV8))</f>
        <v>0</v>
      </c>
      <c r="AW9" s="4">
        <f t="shared" ref="AW9:AW11" si="3">IF(E9&lt;&gt;"",E9,AW8)</f>
        <v>0</v>
      </c>
      <c r="AX9" s="4"/>
    </row>
    <row r="10" spans="1:50" ht="31.35" customHeight="1">
      <c r="A10" s="525">
        <v>0</v>
      </c>
      <c r="B10" s="526"/>
      <c r="C10" s="526"/>
      <c r="D10" s="527"/>
      <c r="E10" s="759" t="s">
        <v>175</v>
      </c>
      <c r="F10" s="902" t="s">
        <v>36</v>
      </c>
      <c r="G10" s="528"/>
      <c r="H10" s="529" t="s">
        <v>37</v>
      </c>
      <c r="I10" s="707">
        <f>I14+I102+I176+I232+I310</f>
        <v>181120</v>
      </c>
      <c r="J10" s="900">
        <f>IFERROR((I11/I10),"-")</f>
        <v>0.97232773851590104</v>
      </c>
      <c r="K10" s="528"/>
      <c r="L10" s="529" t="s">
        <v>37</v>
      </c>
      <c r="M10" s="707">
        <f t="shared" ref="M10:M11" si="4">M14+M102+M176+M232+M310</f>
        <v>33880</v>
      </c>
      <c r="N10" s="900">
        <f t="shared" ref="N10" si="5">IFERROR((M11/M10),"-")</f>
        <v>0.93772136953955132</v>
      </c>
      <c r="O10" s="528"/>
      <c r="P10" s="707">
        <f t="shared" ref="P10:V11" si="6">P14+P102+P176+P232+P310</f>
        <v>33880</v>
      </c>
      <c r="Q10" s="707">
        <f t="shared" si="6"/>
        <v>33880</v>
      </c>
      <c r="R10" s="707">
        <f t="shared" si="6"/>
        <v>33880</v>
      </c>
      <c r="S10" s="707">
        <f t="shared" si="6"/>
        <v>33810</v>
      </c>
      <c r="T10" s="707">
        <f t="shared" si="6"/>
        <v>30040</v>
      </c>
      <c r="U10" s="707">
        <f t="shared" si="6"/>
        <v>30040</v>
      </c>
      <c r="V10" s="530">
        <f t="shared" si="6"/>
        <v>0</v>
      </c>
      <c r="W10" s="528"/>
      <c r="X10" s="707">
        <f>SUMIFS(P10:V10,$P$8:$V$8,"&gt;="&amp;$P$8,$P$8:$V$8,"&lt;="&amp;$N$8)</f>
        <v>67760</v>
      </c>
      <c r="Y10" s="900">
        <f>IFERROR((X11/X10),"-")</f>
        <v>0.9576446280991735</v>
      </c>
      <c r="Z10" s="528"/>
      <c r="AA10" s="755">
        <f>AA14+AA102+AA176+AA232+AA310</f>
        <v>945763.13000000012</v>
      </c>
      <c r="AB10" s="989">
        <f>AB14+AB102+AB176+AB232+AB310</f>
        <v>534971.68000000005</v>
      </c>
      <c r="AC10" s="755">
        <f>AC14+AC102+AC176+AC232+AC310</f>
        <v>366760</v>
      </c>
      <c r="AD10" s="900">
        <f>IFERROR((AC10/AB10),"-")</f>
        <v>0.68556900058709647</v>
      </c>
      <c r="AE10" s="528"/>
      <c r="AF10" s="755">
        <v>3339564.0100000002</v>
      </c>
      <c r="AG10" s="755">
        <f t="shared" ref="AG10:AL10" si="7">AG14+AG102+AG176+AG232+AG310</f>
        <v>114046.32500000001</v>
      </c>
      <c r="AH10" s="755">
        <f t="shared" si="7"/>
        <v>373170</v>
      </c>
      <c r="AI10" s="755">
        <f t="shared" si="7"/>
        <v>235766.44500000001</v>
      </c>
      <c r="AJ10" s="755">
        <f t="shared" si="7"/>
        <v>486855.90737999999</v>
      </c>
      <c r="AK10" s="755">
        <f t="shared" si="7"/>
        <v>4852235.3933799993</v>
      </c>
      <c r="AL10" s="755">
        <f t="shared" si="7"/>
        <v>5127980.5399999991</v>
      </c>
      <c r="AM10" s="900">
        <f>IFERROR((AK10/AL10),"-")</f>
        <v>0.94622734145165066</v>
      </c>
      <c r="AN10" s="528"/>
      <c r="AO10" s="906">
        <f>AO14+AO102+AO176+AO232+AO310</f>
        <v>7062974.3599999994</v>
      </c>
      <c r="AP10" s="906">
        <f>AP14+AP102+AP176+AP232+AP310</f>
        <v>2210738.9666199996</v>
      </c>
      <c r="AV10" s="275" t="str">
        <f t="shared" si="2"/>
        <v>Escavação 1ª e 2ª categoria</v>
      </c>
      <c r="AW10" s="275" t="str">
        <f t="shared" si="3"/>
        <v>Escavação 1ª e 2ª categoria</v>
      </c>
      <c r="AX10" s="275" t="s">
        <v>176</v>
      </c>
    </row>
    <row r="11" spans="1:50" ht="31.35" customHeight="1">
      <c r="A11" s="525">
        <v>0</v>
      </c>
      <c r="B11" s="526"/>
      <c r="C11" s="526"/>
      <c r="D11" s="527"/>
      <c r="E11" s="760"/>
      <c r="F11" s="902"/>
      <c r="G11" s="528"/>
      <c r="H11" s="531" t="s">
        <v>38</v>
      </c>
      <c r="I11" s="707">
        <f>I15+I103+I177+I233+I311</f>
        <v>176108</v>
      </c>
      <c r="J11" s="901"/>
      <c r="K11" s="528"/>
      <c r="L11" s="531" t="s">
        <v>38</v>
      </c>
      <c r="M11" s="532">
        <f t="shared" si="4"/>
        <v>31770</v>
      </c>
      <c r="N11" s="901"/>
      <c r="O11" s="528"/>
      <c r="P11" s="532">
        <f t="shared" si="6"/>
        <v>33120</v>
      </c>
      <c r="Q11" s="530">
        <f t="shared" si="6"/>
        <v>31770</v>
      </c>
      <c r="R11" s="532">
        <f t="shared" si="6"/>
        <v>0</v>
      </c>
      <c r="S11" s="532">
        <f t="shared" si="6"/>
        <v>0</v>
      </c>
      <c r="T11" s="532">
        <f t="shared" si="6"/>
        <v>0</v>
      </c>
      <c r="U11" s="532">
        <f t="shared" si="6"/>
        <v>0</v>
      </c>
      <c r="V11" s="532">
        <f t="shared" si="6"/>
        <v>0</v>
      </c>
      <c r="W11" s="528"/>
      <c r="X11" s="707">
        <f>SUMIFS(P11:V11,$P$8:$V$8,"&gt;="&amp;$P$8,$P$8:$V$8,"&lt;="&amp;$N$8)</f>
        <v>64890</v>
      </c>
      <c r="Y11" s="901"/>
      <c r="Z11" s="528"/>
      <c r="AA11" s="756"/>
      <c r="AB11" s="990"/>
      <c r="AC11" s="756"/>
      <c r="AD11" s="901"/>
      <c r="AE11" s="528"/>
      <c r="AF11" s="756"/>
      <c r="AG11" s="756"/>
      <c r="AH11" s="756"/>
      <c r="AI11" s="756"/>
      <c r="AJ11" s="756"/>
      <c r="AK11" s="756"/>
      <c r="AL11" s="756"/>
      <c r="AM11" s="901"/>
      <c r="AN11" s="528"/>
      <c r="AO11" s="907"/>
      <c r="AP11" s="907"/>
      <c r="AV11" s="4" t="str">
        <f t="shared" si="2"/>
        <v>Escavação 1ª e 2ª categoria</v>
      </c>
      <c r="AW11" s="4" t="str">
        <f t="shared" si="3"/>
        <v>Escavação 1ª e 2ª categoria</v>
      </c>
    </row>
    <row r="12" spans="1:50" ht="8.65" customHeight="1">
      <c r="A12" s="525">
        <v>0</v>
      </c>
      <c r="B12" s="533"/>
      <c r="C12" s="533"/>
      <c r="D12" s="534"/>
      <c r="E12" s="535"/>
      <c r="F12" s="536"/>
      <c r="G12" s="537"/>
      <c r="H12" s="714"/>
      <c r="I12" s="538"/>
      <c r="J12" s="537"/>
      <c r="K12" s="537"/>
      <c r="L12" s="714"/>
      <c r="M12" s="538"/>
      <c r="N12" s="537"/>
      <c r="O12" s="537"/>
      <c r="P12" s="539"/>
      <c r="Q12" s="539"/>
      <c r="R12" s="539"/>
      <c r="S12" s="539"/>
      <c r="T12" s="539"/>
      <c r="U12" s="539"/>
      <c r="V12" s="539"/>
      <c r="W12" s="537"/>
      <c r="X12" s="540"/>
      <c r="Y12" s="537"/>
      <c r="Z12" s="537"/>
      <c r="AA12" s="250"/>
      <c r="AB12" s="250"/>
      <c r="AC12" s="249"/>
      <c r="AD12" s="537"/>
      <c r="AE12" s="3"/>
      <c r="AF12" s="36"/>
      <c r="AG12" s="36"/>
      <c r="AH12" s="36"/>
      <c r="AI12" s="36"/>
      <c r="AJ12" s="36"/>
      <c r="AK12" s="36"/>
      <c r="AL12" s="36"/>
      <c r="AM12" s="3"/>
      <c r="AN12" s="3"/>
      <c r="AO12" s="36"/>
      <c r="AP12" s="36"/>
      <c r="AV12" s="4" t="str">
        <f t="shared" ref="AV12:AV75" si="8">IF(AX12="Y",LEFT(E12,20),IF(AX12="x",E12,AV11))</f>
        <v>Escavação 1ª e 2ª categoria</v>
      </c>
      <c r="AW12" s="4" t="str">
        <f t="shared" ref="AW12:AW75" si="9">IF(E12&lt;&gt;"",E12,AW11)</f>
        <v>Escavação 1ª e 2ª categoria</v>
      </c>
    </row>
    <row r="13" spans="1:50" ht="6" customHeight="1">
      <c r="A13" s="525">
        <v>0</v>
      </c>
      <c r="B13" s="533"/>
      <c r="C13" s="533"/>
      <c r="D13" s="534"/>
      <c r="E13" s="535"/>
      <c r="F13" s="541"/>
      <c r="G13" s="537"/>
      <c r="H13" s="537"/>
      <c r="I13" s="250"/>
      <c r="J13" s="537"/>
      <c r="K13" s="537"/>
      <c r="L13" s="537"/>
      <c r="M13" s="250"/>
      <c r="N13" s="537"/>
      <c r="O13" s="537"/>
      <c r="P13" s="539"/>
      <c r="Q13" s="539"/>
      <c r="R13" s="539"/>
      <c r="S13" s="539"/>
      <c r="T13" s="539"/>
      <c r="U13" s="539"/>
      <c r="V13" s="539"/>
      <c r="W13" s="537"/>
      <c r="X13" s="540"/>
      <c r="Y13" s="537"/>
      <c r="Z13" s="537"/>
      <c r="AA13" s="250"/>
      <c r="AB13" s="250"/>
      <c r="AC13" s="249"/>
      <c r="AD13" s="537"/>
      <c r="AE13" s="3"/>
      <c r="AF13" s="36"/>
      <c r="AG13" s="36"/>
      <c r="AH13" s="36"/>
      <c r="AI13" s="36"/>
      <c r="AJ13" s="36"/>
      <c r="AK13" s="36"/>
      <c r="AL13" s="36"/>
      <c r="AM13" s="3"/>
      <c r="AN13" s="3"/>
      <c r="AO13" s="36"/>
      <c r="AP13" s="36"/>
      <c r="AV13" s="4" t="str">
        <f t="shared" si="8"/>
        <v>Escavação 1ª e 2ª categoria</v>
      </c>
      <c r="AW13" s="4" t="str">
        <f t="shared" si="9"/>
        <v>Escavação 1ª e 2ª categoria</v>
      </c>
    </row>
    <row r="14" spans="1:50" ht="27.6" customHeight="1" outlineLevel="1">
      <c r="A14" s="525">
        <v>0</v>
      </c>
      <c r="B14" s="526"/>
      <c r="C14" s="526"/>
      <c r="D14" s="527"/>
      <c r="E14" s="913" t="s">
        <v>39</v>
      </c>
      <c r="F14" s="859" t="s">
        <v>36</v>
      </c>
      <c r="G14" s="528"/>
      <c r="H14" s="542" t="s">
        <v>37</v>
      </c>
      <c r="I14" s="543">
        <f>SUMIF($L18:$L93,$L14,I18:I93)</f>
        <v>15200</v>
      </c>
      <c r="J14" s="860">
        <f>IFERROR((I15/I14),"-")</f>
        <v>0.3861842105263158</v>
      </c>
      <c r="K14" s="528"/>
      <c r="L14" s="542" t="s">
        <v>37</v>
      </c>
      <c r="M14" s="543">
        <f>SUMIF($L18:$L99,$L14,M18:M99)</f>
        <v>1400</v>
      </c>
      <c r="N14" s="860">
        <f>IFERROR((M15/M14),"-")</f>
        <v>1.0428571428571429</v>
      </c>
      <c r="O14" s="528"/>
      <c r="P14" s="543">
        <f>SUMIF($L18:$L99,$L14,P16:P99)</f>
        <v>1400</v>
      </c>
      <c r="Q14" s="543">
        <f t="shared" ref="Q14:V14" si="10">SUMIF($L18:$L99,$L14,Q18:Q99)</f>
        <v>1400</v>
      </c>
      <c r="R14" s="543">
        <f>SUMIF($L18:$L99,$L14,R18:R99)</f>
        <v>1400</v>
      </c>
      <c r="S14" s="543">
        <f t="shared" si="10"/>
        <v>630</v>
      </c>
      <c r="T14" s="543">
        <f t="shared" si="10"/>
        <v>540</v>
      </c>
      <c r="U14" s="543">
        <f t="shared" si="10"/>
        <v>540</v>
      </c>
      <c r="V14" s="543">
        <f t="shared" si="10"/>
        <v>0</v>
      </c>
      <c r="W14" s="528"/>
      <c r="X14" s="543">
        <f>SUMIF($L18:$L99,$L14,X18:X99)</f>
        <v>2800</v>
      </c>
      <c r="Y14" s="860">
        <f>IFERROR((X15/X14),"-")</f>
        <v>0.70714285714285718</v>
      </c>
      <c r="Z14" s="528"/>
      <c r="AA14" s="814">
        <f t="shared" ref="AA14:AC14" si="11">SUM(AA16:AA99)</f>
        <v>154237.84</v>
      </c>
      <c r="AB14" s="814">
        <f t="shared" si="11"/>
        <v>145279.60000000003</v>
      </c>
      <c r="AC14" s="814">
        <f t="shared" si="11"/>
        <v>15130</v>
      </c>
      <c r="AD14" s="911">
        <f>IFERROR((AC14/AB14),"-")</f>
        <v>0.10414400920707378</v>
      </c>
      <c r="AE14" s="2"/>
      <c r="AF14" s="888">
        <f t="shared" ref="AF14:AI14" si="12">SUM(AF16:AF99)</f>
        <v>541447.24600000004</v>
      </c>
      <c r="AG14" s="888">
        <f t="shared" si="12"/>
        <v>16875.653999999999</v>
      </c>
      <c r="AH14" s="888">
        <f t="shared" si="12"/>
        <v>23400</v>
      </c>
      <c r="AI14" s="888">
        <f t="shared" si="12"/>
        <v>45100.632000000005</v>
      </c>
      <c r="AJ14" s="888">
        <f>SUM(AJ16:AJ99)</f>
        <v>18521.959000000021</v>
      </c>
      <c r="AK14" s="888">
        <f>SUM(AK16:AK99)</f>
        <v>660475.49100000004</v>
      </c>
      <c r="AL14" s="888">
        <f>SUM(AL16:AL99)</f>
        <v>600955.04999999958</v>
      </c>
      <c r="AM14" s="743">
        <f>IFERROR((AK14/AL14),"-")</f>
        <v>1.0990430831723612</v>
      </c>
      <c r="AN14" s="2"/>
      <c r="AO14" s="888">
        <f>SUM(AO16:AO99)</f>
        <v>787353.2</v>
      </c>
      <c r="AP14" s="888">
        <f>SUM(AP16:AP99)</f>
        <v>126877.70899999996</v>
      </c>
      <c r="AV14" s="4" t="str">
        <f t="shared" si="8"/>
        <v>Escavação 1ª e 2ª categoria</v>
      </c>
      <c r="AW14" s="4" t="str">
        <f t="shared" si="9"/>
        <v>Pacote 04 - Segmento 2.2B- Km 104+500 a Km 116+400</v>
      </c>
    </row>
    <row r="15" spans="1:50" ht="15" customHeight="1" outlineLevel="1">
      <c r="A15" s="525">
        <v>0</v>
      </c>
      <c r="B15" s="526"/>
      <c r="C15" s="526"/>
      <c r="D15" s="527"/>
      <c r="E15" s="913"/>
      <c r="F15" s="859"/>
      <c r="G15" s="528"/>
      <c r="H15" s="544" t="s">
        <v>38</v>
      </c>
      <c r="I15" s="543">
        <f>SUMIF($L18:$L93,$L15,I18:I93)</f>
        <v>5870</v>
      </c>
      <c r="J15" s="861"/>
      <c r="K15" s="528"/>
      <c r="L15" s="544" t="s">
        <v>38</v>
      </c>
      <c r="M15" s="543">
        <f>SUMIF($L18:$L99,$L15,M18:M99)</f>
        <v>1460</v>
      </c>
      <c r="N15" s="861"/>
      <c r="O15" s="528"/>
      <c r="P15" s="543">
        <f t="shared" ref="P15:V15" si="13">SUMIF($L18:$L99,$L15,P18:P99)</f>
        <v>520</v>
      </c>
      <c r="Q15" s="543">
        <f t="shared" si="13"/>
        <v>1460</v>
      </c>
      <c r="R15" s="543">
        <f>SUMIF($L18:$L99,$L15,R18:R99)</f>
        <v>0</v>
      </c>
      <c r="S15" s="543">
        <f t="shared" si="13"/>
        <v>0</v>
      </c>
      <c r="T15" s="543">
        <f t="shared" si="13"/>
        <v>0</v>
      </c>
      <c r="U15" s="543">
        <f t="shared" si="13"/>
        <v>0</v>
      </c>
      <c r="V15" s="543">
        <f t="shared" si="13"/>
        <v>0</v>
      </c>
      <c r="W15" s="528"/>
      <c r="X15" s="543">
        <f>SUMIF($L18:$L99,$L15,X18:X99)</f>
        <v>1980</v>
      </c>
      <c r="Y15" s="861"/>
      <c r="Z15" s="528"/>
      <c r="AA15" s="815"/>
      <c r="AB15" s="815"/>
      <c r="AC15" s="815"/>
      <c r="AD15" s="912"/>
      <c r="AE15" s="2"/>
      <c r="AF15" s="889"/>
      <c r="AG15" s="889"/>
      <c r="AH15" s="889"/>
      <c r="AI15" s="889"/>
      <c r="AJ15" s="889"/>
      <c r="AK15" s="889"/>
      <c r="AL15" s="889"/>
      <c r="AM15" s="744"/>
      <c r="AN15" s="2"/>
      <c r="AO15" s="889"/>
      <c r="AP15" s="889"/>
      <c r="AV15" s="4" t="str">
        <f t="shared" si="8"/>
        <v>Escavação 1ª e 2ª categoria</v>
      </c>
      <c r="AW15" s="4" t="str">
        <f t="shared" si="9"/>
        <v>Pacote 04 - Segmento 2.2B- Km 104+500 a Km 116+400</v>
      </c>
    </row>
    <row r="16" spans="1:50" ht="15" customHeight="1" outlineLevel="2">
      <c r="A16" s="545" t="str">
        <f>IF(SUM(P16:V17)&gt;0,"S","N")</f>
        <v>N</v>
      </c>
      <c r="B16" s="526">
        <v>1057291</v>
      </c>
      <c r="C16" s="526" t="s">
        <v>177</v>
      </c>
      <c r="D16" s="527" t="s">
        <v>178</v>
      </c>
      <c r="E16" s="932" t="s">
        <v>179</v>
      </c>
      <c r="F16" s="902" t="s">
        <v>36</v>
      </c>
      <c r="G16" s="528"/>
      <c r="H16" s="546" t="s">
        <v>37</v>
      </c>
      <c r="I16" s="711">
        <v>0</v>
      </c>
      <c r="J16" s="896" t="str">
        <f>IFERROR((I17/I16),"-")</f>
        <v>-</v>
      </c>
      <c r="K16" s="528"/>
      <c r="L16" s="546" t="s">
        <v>37</v>
      </c>
      <c r="M16" s="711">
        <f>_xlfn.XLOOKUP($N$8,$P$8:$V$8,$P16:$V16)</f>
        <v>0</v>
      </c>
      <c r="N16" s="896" t="str">
        <f>IFERROR((M17/M16),"-")</f>
        <v>-</v>
      </c>
      <c r="O16" s="528"/>
      <c r="P16" s="547">
        <v>0</v>
      </c>
      <c r="Q16" s="547">
        <v>0</v>
      </c>
      <c r="R16" s="547">
        <v>0</v>
      </c>
      <c r="S16" s="547">
        <v>0</v>
      </c>
      <c r="T16" s="547">
        <v>0</v>
      </c>
      <c r="U16" s="547">
        <v>0</v>
      </c>
      <c r="V16" s="548">
        <v>0</v>
      </c>
      <c r="W16" s="528"/>
      <c r="X16" s="711">
        <f>SUMIFS(P16:V16,$P$8:$V$8,"&gt;="&amp;$N$8,$P$8:$V$8,"&lt;="&amp;$N$8)</f>
        <v>0</v>
      </c>
      <c r="Y16" s="896" t="str">
        <f>IFERROR((X17/X16),"-")</f>
        <v>-</v>
      </c>
      <c r="Z16" s="528"/>
      <c r="AA16" s="898">
        <v>0</v>
      </c>
      <c r="AB16" s="898">
        <v>0</v>
      </c>
      <c r="AC16" s="898">
        <v>0</v>
      </c>
      <c r="AD16" s="900" t="str">
        <f>IFERROR((AC16/AB16),"-")</f>
        <v>-</v>
      </c>
      <c r="AE16" s="2"/>
      <c r="AF16" s="886">
        <v>3744.9250000000002</v>
      </c>
      <c r="AG16" s="886">
        <v>0</v>
      </c>
      <c r="AH16" s="884">
        <v>0</v>
      </c>
      <c r="AI16" s="886"/>
      <c r="AJ16" s="886"/>
      <c r="AK16" s="884">
        <f>AF16+AG16+AH16+AI16+AJ16+AC16</f>
        <v>3744.9250000000002</v>
      </c>
      <c r="AL16" s="884">
        <v>273.77999999999997</v>
      </c>
      <c r="AM16" s="968">
        <f>IFERROR((AK16/AL16),"-")</f>
        <v>13.678592300387175</v>
      </c>
      <c r="AN16" s="2"/>
      <c r="AO16" s="884">
        <v>273.77999999999997</v>
      </c>
      <c r="AP16" s="884">
        <f>AO16-AK16</f>
        <v>-3471.1450000000004</v>
      </c>
      <c r="AV16" s="4" t="str">
        <f t="shared" si="8"/>
        <v>Escavação 1ª e 2ª categoria</v>
      </c>
      <c r="AW16" s="4" t="str">
        <f t="shared" si="9"/>
        <v xml:space="preserve">   Seg. 2.2-C06 - Acabamentos em talude do Corte</v>
      </c>
    </row>
    <row r="17" spans="1:49" ht="15" customHeight="1" outlineLevel="2">
      <c r="A17" s="545" t="str">
        <f>A16</f>
        <v>N</v>
      </c>
      <c r="B17" s="526"/>
      <c r="C17" s="526"/>
      <c r="D17" s="527" t="s">
        <v>178</v>
      </c>
      <c r="E17" s="932"/>
      <c r="F17" s="902"/>
      <c r="G17" s="528"/>
      <c r="H17" s="549" t="s">
        <v>38</v>
      </c>
      <c r="I17" s="711">
        <v>0</v>
      </c>
      <c r="J17" s="897"/>
      <c r="K17" s="528"/>
      <c r="L17" s="549" t="s">
        <v>38</v>
      </c>
      <c r="M17" s="711">
        <f>_xlfn.XLOOKUP($N$8,$P$8:$V$8,$P17:$V17)</f>
        <v>0</v>
      </c>
      <c r="N17" s="897"/>
      <c r="O17" s="528"/>
      <c r="P17" s="711">
        <v>0</v>
      </c>
      <c r="Q17" s="711">
        <v>0</v>
      </c>
      <c r="R17" s="711">
        <v>0</v>
      </c>
      <c r="S17" s="711">
        <v>0</v>
      </c>
      <c r="T17" s="711">
        <v>0</v>
      </c>
      <c r="U17" s="711">
        <v>0</v>
      </c>
      <c r="V17" s="711">
        <v>0</v>
      </c>
      <c r="W17" s="528"/>
      <c r="X17" s="711">
        <f>SUMIFS(P17:V17,$P$8:$V$8,"&gt;="&amp;$P$8,$P$8:$V$8,"&lt;="&amp;$N$8)</f>
        <v>0</v>
      </c>
      <c r="Y17" s="897"/>
      <c r="Z17" s="528"/>
      <c r="AA17" s="899"/>
      <c r="AB17" s="899"/>
      <c r="AC17" s="899"/>
      <c r="AD17" s="901"/>
      <c r="AE17" s="2"/>
      <c r="AF17" s="926"/>
      <c r="AG17" s="926"/>
      <c r="AH17" s="885"/>
      <c r="AI17" s="926"/>
      <c r="AJ17" s="926"/>
      <c r="AK17" s="885"/>
      <c r="AL17" s="885"/>
      <c r="AM17" s="969"/>
      <c r="AN17" s="2"/>
      <c r="AO17" s="886"/>
      <c r="AP17" s="886"/>
      <c r="AV17" s="4" t="str">
        <f t="shared" si="8"/>
        <v>Escavação 1ª e 2ª categoria</v>
      </c>
      <c r="AW17" s="4" t="str">
        <f t="shared" si="9"/>
        <v xml:space="preserve">   Seg. 2.2-C06 - Acabamentos em talude do Corte</v>
      </c>
    </row>
    <row r="18" spans="1:49" ht="15" customHeight="1" outlineLevel="2">
      <c r="A18" s="545" t="str">
        <f t="shared" ref="A18" si="14">IF(SUM(P18:V19)&gt;0,"S","N")</f>
        <v>N</v>
      </c>
      <c r="B18" s="526">
        <v>1059583</v>
      </c>
      <c r="C18" s="526" t="s">
        <v>180</v>
      </c>
      <c r="D18" s="527" t="s">
        <v>181</v>
      </c>
      <c r="E18" s="932" t="s">
        <v>182</v>
      </c>
      <c r="F18" s="902" t="s">
        <v>36</v>
      </c>
      <c r="G18" s="528"/>
      <c r="H18" s="546" t="s">
        <v>37</v>
      </c>
      <c r="I18" s="711">
        <v>0</v>
      </c>
      <c r="J18" s="896" t="str">
        <f t="shared" ref="J18" si="15">IFERROR((I19/I18),"-")</f>
        <v>-</v>
      </c>
      <c r="K18" s="528"/>
      <c r="L18" s="546" t="s">
        <v>37</v>
      </c>
      <c r="M18" s="711">
        <f t="shared" ref="M18:M71" si="16">_xlfn.XLOOKUP($N$8,$P$8:$V$8,$P18:$V18)</f>
        <v>0</v>
      </c>
      <c r="N18" s="896" t="str">
        <f>IFERROR((M19/M18),"-")</f>
        <v>-</v>
      </c>
      <c r="O18" s="528"/>
      <c r="P18" s="547">
        <v>0</v>
      </c>
      <c r="Q18" s="547">
        <v>0</v>
      </c>
      <c r="R18" s="547">
        <v>0</v>
      </c>
      <c r="S18" s="547">
        <v>0</v>
      </c>
      <c r="T18" s="547">
        <v>0</v>
      </c>
      <c r="U18" s="547">
        <v>0</v>
      </c>
      <c r="V18" s="548">
        <v>0</v>
      </c>
      <c r="W18" s="528"/>
      <c r="X18" s="711">
        <f>SUMIFS(P18:V18,$P$8:$V$8,"&gt;="&amp;$N$8,$P$8:$V$8,"&lt;="&amp;$N$8)</f>
        <v>0</v>
      </c>
      <c r="Y18" s="896" t="str">
        <f>IFERROR((X19/X18),"-")</f>
        <v>-</v>
      </c>
      <c r="Z18" s="528"/>
      <c r="AA18" s="898">
        <v>44.05</v>
      </c>
      <c r="AB18" s="898">
        <v>40.56</v>
      </c>
      <c r="AC18" s="898">
        <v>0</v>
      </c>
      <c r="AD18" s="900">
        <f t="shared" ref="AD18" si="17">IFERROR((AC18/AB18),"-")</f>
        <v>0</v>
      </c>
      <c r="AE18" s="2"/>
      <c r="AF18" s="886">
        <v>3744.9250000000002</v>
      </c>
      <c r="AG18" s="886">
        <v>0</v>
      </c>
      <c r="AH18" s="884">
        <v>0</v>
      </c>
      <c r="AI18" s="886"/>
      <c r="AJ18" s="886"/>
      <c r="AK18" s="884">
        <f t="shared" ref="AK18" si="18">AF18+AG18+AH18+AI18+AJ18+AC18</f>
        <v>3744.9250000000002</v>
      </c>
      <c r="AL18" s="884">
        <v>4401.5100000000011</v>
      </c>
      <c r="AM18" s="878">
        <f t="shared" ref="AM18" si="19">IFERROR((AK18/AL18),"-")</f>
        <v>0.85082732971184871</v>
      </c>
      <c r="AN18" s="2"/>
      <c r="AO18" s="884">
        <v>4432.1000000000004</v>
      </c>
      <c r="AP18" s="884">
        <f>AO18-AK18</f>
        <v>687.17500000000018</v>
      </c>
      <c r="AV18" s="4" t="str">
        <f t="shared" si="8"/>
        <v>Escavação 1ª e 2ª categoria</v>
      </c>
      <c r="AW18" s="4" t="str">
        <f t="shared" si="9"/>
        <v xml:space="preserve">   Seg. 2.2-C02 - Escavação, carga e transporte de material 1ª/2ª categoria</v>
      </c>
    </row>
    <row r="19" spans="1:49" ht="15" customHeight="1" outlineLevel="2">
      <c r="A19" s="545" t="str">
        <f t="shared" ref="A19" si="20">A18</f>
        <v>N</v>
      </c>
      <c r="B19" s="526"/>
      <c r="C19" s="526"/>
      <c r="D19" s="527" t="s">
        <v>181</v>
      </c>
      <c r="E19" s="932"/>
      <c r="F19" s="902"/>
      <c r="G19" s="528"/>
      <c r="H19" s="549" t="s">
        <v>38</v>
      </c>
      <c r="I19" s="711">
        <v>0</v>
      </c>
      <c r="J19" s="897"/>
      <c r="K19" s="528"/>
      <c r="L19" s="549" t="s">
        <v>38</v>
      </c>
      <c r="M19" s="711">
        <f t="shared" si="16"/>
        <v>0</v>
      </c>
      <c r="N19" s="897"/>
      <c r="O19" s="528"/>
      <c r="P19" s="711">
        <v>0</v>
      </c>
      <c r="Q19" s="711">
        <v>0</v>
      </c>
      <c r="R19" s="711">
        <v>0</v>
      </c>
      <c r="S19" s="711">
        <v>0</v>
      </c>
      <c r="T19" s="711">
        <v>0</v>
      </c>
      <c r="U19" s="711">
        <v>0</v>
      </c>
      <c r="V19" s="711">
        <v>0</v>
      </c>
      <c r="W19" s="528"/>
      <c r="X19" s="711">
        <f t="shared" ref="X19:X55" si="21">SUMIFS(P19:V19,$P$8:$V$8,"&gt;="&amp;$P$8,$P$8:$V$8,"&lt;="&amp;$N$8)</f>
        <v>0</v>
      </c>
      <c r="Y19" s="897"/>
      <c r="Z19" s="528"/>
      <c r="AA19" s="899"/>
      <c r="AB19" s="899"/>
      <c r="AC19" s="899"/>
      <c r="AD19" s="901"/>
      <c r="AE19" s="2"/>
      <c r="AF19" s="926"/>
      <c r="AG19" s="926"/>
      <c r="AH19" s="885"/>
      <c r="AI19" s="926"/>
      <c r="AJ19" s="926"/>
      <c r="AK19" s="885"/>
      <c r="AL19" s="885"/>
      <c r="AM19" s="879"/>
      <c r="AN19" s="2"/>
      <c r="AO19" s="886"/>
      <c r="AP19" s="886"/>
      <c r="AV19" s="4" t="str">
        <f t="shared" si="8"/>
        <v>Escavação 1ª e 2ª categoria</v>
      </c>
      <c r="AW19" s="4" t="str">
        <f t="shared" si="9"/>
        <v xml:space="preserve">   Seg. 2.2-C02 - Escavação, carga e transporte de material 1ª/2ª categoria</v>
      </c>
    </row>
    <row r="20" spans="1:49" ht="15" customHeight="1" outlineLevel="2">
      <c r="A20" s="545" t="str">
        <f t="shared" ref="A20" si="22">IF(SUM(P20:V21)&gt;0,"S","N")</f>
        <v>N</v>
      </c>
      <c r="B20" s="526">
        <v>1059584</v>
      </c>
      <c r="C20" s="526" t="s">
        <v>183</v>
      </c>
      <c r="D20" s="527" t="s">
        <v>184</v>
      </c>
      <c r="E20" s="932" t="s">
        <v>185</v>
      </c>
      <c r="F20" s="902" t="s">
        <v>36</v>
      </c>
      <c r="G20" s="528"/>
      <c r="H20" s="546" t="s">
        <v>37</v>
      </c>
      <c r="I20" s="711">
        <v>0</v>
      </c>
      <c r="J20" s="896" t="str">
        <f t="shared" ref="J20" si="23">IFERROR((I21/I20),"-")</f>
        <v>-</v>
      </c>
      <c r="K20" s="528"/>
      <c r="L20" s="546" t="s">
        <v>37</v>
      </c>
      <c r="M20" s="711">
        <f t="shared" si="16"/>
        <v>0</v>
      </c>
      <c r="N20" s="896" t="str">
        <f>IFERROR((M21/M20),"-")</f>
        <v>-</v>
      </c>
      <c r="O20" s="528"/>
      <c r="P20" s="547">
        <v>0</v>
      </c>
      <c r="Q20" s="547">
        <v>0</v>
      </c>
      <c r="R20" s="547">
        <v>0</v>
      </c>
      <c r="S20" s="547">
        <v>0</v>
      </c>
      <c r="T20" s="547">
        <v>0</v>
      </c>
      <c r="U20" s="547">
        <v>0</v>
      </c>
      <c r="V20" s="548">
        <v>0</v>
      </c>
      <c r="W20" s="528"/>
      <c r="X20" s="711">
        <f t="shared" si="21"/>
        <v>0</v>
      </c>
      <c r="Y20" s="896" t="str">
        <f>IFERROR((X21/X20),"-")</f>
        <v>-</v>
      </c>
      <c r="Z20" s="528"/>
      <c r="AA20" s="898">
        <v>0</v>
      </c>
      <c r="AB20" s="898">
        <v>0</v>
      </c>
      <c r="AC20" s="898">
        <v>0</v>
      </c>
      <c r="AD20" s="900" t="str">
        <f t="shared" ref="AD20" si="24">IFERROR((AC20/AB20),"-")</f>
        <v>-</v>
      </c>
      <c r="AE20" s="2"/>
      <c r="AF20" s="886">
        <v>702.41800000000001</v>
      </c>
      <c r="AG20" s="886">
        <v>0</v>
      </c>
      <c r="AH20" s="884">
        <v>0</v>
      </c>
      <c r="AI20" s="886"/>
      <c r="AJ20" s="886"/>
      <c r="AK20" s="884">
        <f t="shared" ref="AK20" si="25">AF20+AG20+AH20+AI20+AJ20+AC20</f>
        <v>702.41800000000001</v>
      </c>
      <c r="AL20" s="884">
        <v>1</v>
      </c>
      <c r="AM20" s="878">
        <f t="shared" ref="AM20" si="26">IFERROR((AK20/AL20),"-")</f>
        <v>702.41800000000001</v>
      </c>
      <c r="AN20" s="2"/>
      <c r="AO20" s="884">
        <v>4433.58</v>
      </c>
      <c r="AP20" s="884">
        <f t="shared" ref="AP20" si="27">AO20-AK20</f>
        <v>3731.1619999999998</v>
      </c>
      <c r="AV20" s="4" t="str">
        <f t="shared" si="8"/>
        <v>Escavação 1ª e 2ª categoria</v>
      </c>
      <c r="AW20" s="4" t="str">
        <f t="shared" si="9"/>
        <v xml:space="preserve">   Seg. 2.2-C03 - Escavação, carga e transporte de material 1ª/2ª categoria</v>
      </c>
    </row>
    <row r="21" spans="1:49" ht="15" customHeight="1" outlineLevel="2">
      <c r="A21" s="545" t="str">
        <f t="shared" ref="A21" si="28">A20</f>
        <v>N</v>
      </c>
      <c r="B21" s="526"/>
      <c r="C21" s="526"/>
      <c r="D21" s="527" t="s">
        <v>184</v>
      </c>
      <c r="E21" s="932"/>
      <c r="F21" s="902"/>
      <c r="G21" s="528"/>
      <c r="H21" s="549" t="s">
        <v>38</v>
      </c>
      <c r="I21" s="711">
        <v>0</v>
      </c>
      <c r="J21" s="897"/>
      <c r="K21" s="528"/>
      <c r="L21" s="549" t="s">
        <v>38</v>
      </c>
      <c r="M21" s="711">
        <f t="shared" si="16"/>
        <v>0</v>
      </c>
      <c r="N21" s="897"/>
      <c r="O21" s="528"/>
      <c r="P21" s="711">
        <v>0</v>
      </c>
      <c r="Q21" s="711">
        <v>0</v>
      </c>
      <c r="R21" s="711">
        <v>0</v>
      </c>
      <c r="S21" s="711">
        <v>0</v>
      </c>
      <c r="T21" s="711">
        <v>0</v>
      </c>
      <c r="U21" s="711">
        <v>0</v>
      </c>
      <c r="V21" s="711">
        <v>0</v>
      </c>
      <c r="W21" s="528"/>
      <c r="X21" s="711">
        <f t="shared" si="21"/>
        <v>0</v>
      </c>
      <c r="Y21" s="897"/>
      <c r="Z21" s="528"/>
      <c r="AA21" s="899"/>
      <c r="AB21" s="899"/>
      <c r="AC21" s="899"/>
      <c r="AD21" s="901"/>
      <c r="AE21" s="2"/>
      <c r="AF21" s="926"/>
      <c r="AG21" s="926"/>
      <c r="AH21" s="885"/>
      <c r="AI21" s="926"/>
      <c r="AJ21" s="926"/>
      <c r="AK21" s="885"/>
      <c r="AL21" s="885"/>
      <c r="AM21" s="879"/>
      <c r="AN21" s="2"/>
      <c r="AO21" s="886"/>
      <c r="AP21" s="886"/>
      <c r="AV21" s="4" t="str">
        <f t="shared" si="8"/>
        <v>Escavação 1ª e 2ª categoria</v>
      </c>
      <c r="AW21" s="4" t="str">
        <f t="shared" si="9"/>
        <v xml:space="preserve">   Seg. 2.2-C03 - Escavação, carga e transporte de material 1ª/2ª categoria</v>
      </c>
    </row>
    <row r="22" spans="1:49" ht="15" customHeight="1" outlineLevel="2">
      <c r="A22" s="525" t="str">
        <f t="shared" ref="A22" si="29">IF(SUM(P22:V23)&gt;0,"S","N")</f>
        <v>S</v>
      </c>
      <c r="B22" s="526">
        <v>1059585</v>
      </c>
      <c r="C22" s="526" t="s">
        <v>186</v>
      </c>
      <c r="D22" s="550" t="s">
        <v>187</v>
      </c>
      <c r="E22" s="932" t="s">
        <v>188</v>
      </c>
      <c r="F22" s="902" t="s">
        <v>36</v>
      </c>
      <c r="G22" s="528"/>
      <c r="H22" s="546" t="s">
        <v>37</v>
      </c>
      <c r="I22" s="711">
        <v>8000</v>
      </c>
      <c r="J22" s="896">
        <f t="shared" ref="J22" si="30">IFERROR((I23/I22),"-")</f>
        <v>0.05</v>
      </c>
      <c r="K22" s="528"/>
      <c r="L22" s="546" t="s">
        <v>37</v>
      </c>
      <c r="M22" s="711">
        <f t="shared" si="16"/>
        <v>1400</v>
      </c>
      <c r="N22" s="896">
        <f>IFERROR((M23/M22),"-")</f>
        <v>0</v>
      </c>
      <c r="O22" s="528"/>
      <c r="P22" s="547">
        <v>1400</v>
      </c>
      <c r="Q22" s="547">
        <v>1400</v>
      </c>
      <c r="R22" s="547">
        <v>1400</v>
      </c>
      <c r="S22" s="547">
        <v>0</v>
      </c>
      <c r="T22" s="547">
        <v>0</v>
      </c>
      <c r="U22" s="547">
        <v>0</v>
      </c>
      <c r="V22" s="547">
        <v>0</v>
      </c>
      <c r="W22" s="528"/>
      <c r="X22" s="711">
        <f t="shared" si="21"/>
        <v>2800</v>
      </c>
      <c r="Y22" s="896">
        <f>IFERROR((X23/X22),"-")</f>
        <v>0</v>
      </c>
      <c r="Z22" s="528"/>
      <c r="AA22" s="898">
        <v>14444.39</v>
      </c>
      <c r="AB22" s="898">
        <v>14444.390000000001</v>
      </c>
      <c r="AC22" s="898">
        <v>400</v>
      </c>
      <c r="AD22" s="900">
        <f t="shared" ref="AD22" si="31">IFERROR((AC22/AB22),"-")</f>
        <v>2.7692412071399344E-2</v>
      </c>
      <c r="AE22" s="2"/>
      <c r="AF22" s="886">
        <v>86033.56</v>
      </c>
      <c r="AG22" s="886">
        <v>0</v>
      </c>
      <c r="AH22" s="884">
        <v>660</v>
      </c>
      <c r="AI22" s="886">
        <v>6809.5870000000004</v>
      </c>
      <c r="AJ22" s="886">
        <v>3086.2420000000202</v>
      </c>
      <c r="AK22" s="884">
        <f t="shared" ref="AK22" si="32">AF22+AG22+AH22+AI22+AJ22+AC22</f>
        <v>96989.389000000025</v>
      </c>
      <c r="AL22" s="884">
        <v>3656.2999999999984</v>
      </c>
      <c r="AM22" s="878">
        <f t="shared" ref="AM22" si="33">IFERROR((AK22/AL22),"-")</f>
        <v>26.526649618466774</v>
      </c>
      <c r="AN22" s="2"/>
      <c r="AO22" s="884">
        <v>139090.45999999996</v>
      </c>
      <c r="AP22" s="884">
        <f t="shared" ref="AP22" si="34">AO22-AK22</f>
        <v>42101.070999999938</v>
      </c>
      <c r="AV22" s="4" t="str">
        <f t="shared" si="8"/>
        <v>Escavação 1ª e 2ª categoria</v>
      </c>
      <c r="AW22" s="4" t="str">
        <f t="shared" si="9"/>
        <v xml:space="preserve">   Seg. 2.2-C04-B01 - Escavação, carga e transporte de material 1ª/2ª categoria</v>
      </c>
    </row>
    <row r="23" spans="1:49" ht="15" customHeight="1" outlineLevel="2">
      <c r="A23" s="525" t="str">
        <f t="shared" ref="A23" si="35">A22</f>
        <v>S</v>
      </c>
      <c r="B23" s="526"/>
      <c r="C23" s="551" t="s">
        <v>189</v>
      </c>
      <c r="D23" s="550" t="s">
        <v>187</v>
      </c>
      <c r="E23" s="932"/>
      <c r="F23" s="902"/>
      <c r="G23" s="528"/>
      <c r="H23" s="549" t="s">
        <v>38</v>
      </c>
      <c r="I23" s="711">
        <v>400</v>
      </c>
      <c r="J23" s="897"/>
      <c r="K23" s="528"/>
      <c r="L23" s="549" t="s">
        <v>38</v>
      </c>
      <c r="M23" s="711">
        <f t="shared" si="16"/>
        <v>0</v>
      </c>
      <c r="N23" s="897"/>
      <c r="O23" s="528"/>
      <c r="P23" s="711">
        <v>0</v>
      </c>
      <c r="Q23" s="711">
        <v>0</v>
      </c>
      <c r="R23" s="711">
        <v>0</v>
      </c>
      <c r="S23" s="711">
        <v>0</v>
      </c>
      <c r="T23" s="711">
        <v>0</v>
      </c>
      <c r="U23" s="711">
        <v>0</v>
      </c>
      <c r="V23" s="711">
        <v>0</v>
      </c>
      <c r="W23" s="528"/>
      <c r="X23" s="711">
        <f t="shared" si="21"/>
        <v>0</v>
      </c>
      <c r="Y23" s="897"/>
      <c r="Z23" s="528"/>
      <c r="AA23" s="899"/>
      <c r="AB23" s="899"/>
      <c r="AC23" s="899"/>
      <c r="AD23" s="901"/>
      <c r="AE23" s="2"/>
      <c r="AF23" s="926"/>
      <c r="AG23" s="926"/>
      <c r="AH23" s="885"/>
      <c r="AI23" s="926"/>
      <c r="AJ23" s="926"/>
      <c r="AK23" s="885"/>
      <c r="AL23" s="885"/>
      <c r="AM23" s="879"/>
      <c r="AN23" s="2"/>
      <c r="AO23" s="885"/>
      <c r="AP23" s="886"/>
      <c r="AV23" s="4" t="str">
        <f t="shared" si="8"/>
        <v>Escavação 1ª e 2ª categoria</v>
      </c>
      <c r="AW23" s="4" t="str">
        <f t="shared" si="9"/>
        <v xml:space="preserve">   Seg. 2.2-C04-B01 - Escavação, carga e transporte de material 1ª/2ª categoria</v>
      </c>
    </row>
    <row r="24" spans="1:49" ht="15" customHeight="1" outlineLevel="2">
      <c r="A24" s="545" t="str">
        <f t="shared" ref="A24" si="36">IF(SUM(P24:V25)&gt;0,"S","N")</f>
        <v>N</v>
      </c>
      <c r="B24" s="526">
        <v>1059594</v>
      </c>
      <c r="C24" s="526" t="s">
        <v>190</v>
      </c>
      <c r="D24" s="527" t="s">
        <v>191</v>
      </c>
      <c r="E24" s="932" t="s">
        <v>192</v>
      </c>
      <c r="F24" s="902" t="s">
        <v>36</v>
      </c>
      <c r="G24" s="528"/>
      <c r="H24" s="546" t="s">
        <v>37</v>
      </c>
      <c r="I24" s="711">
        <v>0</v>
      </c>
      <c r="J24" s="896" t="str">
        <f t="shared" ref="J24" si="37">IFERROR((I25/I24),"-")</f>
        <v>-</v>
      </c>
      <c r="K24" s="528"/>
      <c r="L24" s="546" t="s">
        <v>37</v>
      </c>
      <c r="M24" s="711">
        <f t="shared" si="16"/>
        <v>0</v>
      </c>
      <c r="N24" s="896" t="str">
        <f>IFERROR((M25/M24),"-")</f>
        <v>-</v>
      </c>
      <c r="O24" s="528"/>
      <c r="P24" s="547">
        <v>0</v>
      </c>
      <c r="Q24" s="547">
        <v>0</v>
      </c>
      <c r="R24" s="547">
        <v>0</v>
      </c>
      <c r="S24" s="547">
        <v>0</v>
      </c>
      <c r="T24" s="547">
        <v>0</v>
      </c>
      <c r="U24" s="547">
        <v>0</v>
      </c>
      <c r="V24" s="548">
        <v>0</v>
      </c>
      <c r="W24" s="528"/>
      <c r="X24" s="711">
        <f t="shared" si="21"/>
        <v>0</v>
      </c>
      <c r="Y24" s="896" t="str">
        <f t="shared" ref="Y24" si="38">IFERROR((X25/X24),"-")</f>
        <v>-</v>
      </c>
      <c r="Z24" s="528"/>
      <c r="AA24" s="898">
        <v>184.28</v>
      </c>
      <c r="AB24" s="898">
        <v>0</v>
      </c>
      <c r="AC24" s="898">
        <v>0</v>
      </c>
      <c r="AD24" s="900" t="str">
        <f t="shared" ref="AD24" si="39">IFERROR((AC24/AB24),"-")</f>
        <v>-</v>
      </c>
      <c r="AE24" s="2"/>
      <c r="AF24" s="886">
        <v>7528.3379999999997</v>
      </c>
      <c r="AG24" s="886">
        <v>0</v>
      </c>
      <c r="AH24" s="884">
        <v>200</v>
      </c>
      <c r="AI24" s="886"/>
      <c r="AJ24" s="886"/>
      <c r="AK24" s="884">
        <f t="shared" ref="AK24" si="40">AF24+AG24+AH24+AI24+AJ24+AC24</f>
        <v>7728.3379999999997</v>
      </c>
      <c r="AL24" s="884">
        <v>7728.119999999999</v>
      </c>
      <c r="AM24" s="878">
        <f t="shared" ref="AM24" si="41">IFERROR((AK24/AL24),"-")</f>
        <v>1.0000282086717081</v>
      </c>
      <c r="AN24" s="2"/>
      <c r="AO24" s="884">
        <v>7912.26</v>
      </c>
      <c r="AP24" s="884">
        <f t="shared" ref="AP24" si="42">AO24-AK24</f>
        <v>183.92200000000048</v>
      </c>
      <c r="AV24" s="4" t="str">
        <f t="shared" si="8"/>
        <v>Escavação 1ª e 2ª categoria</v>
      </c>
      <c r="AW24" s="4" t="str">
        <f t="shared" si="9"/>
        <v xml:space="preserve">   Seg. 2.2-C05 - Escavação, carga e transporte de material 1ª/2ª categoria</v>
      </c>
    </row>
    <row r="25" spans="1:49" ht="15" customHeight="1" outlineLevel="2">
      <c r="A25" s="545" t="str">
        <f t="shared" ref="A25" si="43">A24</f>
        <v>N</v>
      </c>
      <c r="B25" s="526"/>
      <c r="C25" s="526"/>
      <c r="D25" s="527" t="s">
        <v>191</v>
      </c>
      <c r="E25" s="932"/>
      <c r="F25" s="902"/>
      <c r="G25" s="528"/>
      <c r="H25" s="549" t="s">
        <v>38</v>
      </c>
      <c r="I25" s="711">
        <v>0</v>
      </c>
      <c r="J25" s="897"/>
      <c r="K25" s="528"/>
      <c r="L25" s="549" t="s">
        <v>38</v>
      </c>
      <c r="M25" s="711">
        <f t="shared" si="16"/>
        <v>0</v>
      </c>
      <c r="N25" s="897"/>
      <c r="O25" s="528"/>
      <c r="P25" s="711">
        <v>0</v>
      </c>
      <c r="Q25" s="711">
        <v>0</v>
      </c>
      <c r="R25" s="711">
        <v>0</v>
      </c>
      <c r="S25" s="711">
        <v>0</v>
      </c>
      <c r="T25" s="711">
        <v>0</v>
      </c>
      <c r="U25" s="711">
        <v>0</v>
      </c>
      <c r="V25" s="711">
        <v>0</v>
      </c>
      <c r="W25" s="528"/>
      <c r="X25" s="711">
        <f t="shared" si="21"/>
        <v>0</v>
      </c>
      <c r="Y25" s="897"/>
      <c r="Z25" s="528"/>
      <c r="AA25" s="899"/>
      <c r="AB25" s="899"/>
      <c r="AC25" s="899"/>
      <c r="AD25" s="901"/>
      <c r="AE25" s="2"/>
      <c r="AF25" s="926"/>
      <c r="AG25" s="926"/>
      <c r="AH25" s="885"/>
      <c r="AI25" s="926"/>
      <c r="AJ25" s="926"/>
      <c r="AK25" s="885"/>
      <c r="AL25" s="885"/>
      <c r="AM25" s="879"/>
      <c r="AN25" s="2"/>
      <c r="AO25" s="886"/>
      <c r="AP25" s="886"/>
      <c r="AV25" s="4" t="str">
        <f t="shared" si="8"/>
        <v>Escavação 1ª e 2ª categoria</v>
      </c>
      <c r="AW25" s="4" t="str">
        <f t="shared" si="9"/>
        <v xml:space="preserve">   Seg. 2.2-C05 - Escavação, carga e transporte de material 1ª/2ª categoria</v>
      </c>
    </row>
    <row r="26" spans="1:49" ht="15" customHeight="1" outlineLevel="2">
      <c r="A26" s="525" t="str">
        <f t="shared" ref="A26" si="44">IF(SUM(P26:V27)&gt;0,"S","N")</f>
        <v>N</v>
      </c>
      <c r="B26" s="526">
        <v>1059595</v>
      </c>
      <c r="C26" s="526" t="s">
        <v>193</v>
      </c>
      <c r="D26" s="527" t="s">
        <v>194</v>
      </c>
      <c r="E26" s="932" t="s">
        <v>195</v>
      </c>
      <c r="F26" s="902" t="s">
        <v>36</v>
      </c>
      <c r="G26" s="528"/>
      <c r="H26" s="546" t="s">
        <v>37</v>
      </c>
      <c r="I26" s="711">
        <v>0</v>
      </c>
      <c r="J26" s="896" t="str">
        <f t="shared" ref="J26" si="45">IFERROR((I27/I26),"-")</f>
        <v>-</v>
      </c>
      <c r="K26" s="528"/>
      <c r="L26" s="546" t="s">
        <v>37</v>
      </c>
      <c r="M26" s="711">
        <f t="shared" si="16"/>
        <v>0</v>
      </c>
      <c r="N26" s="896" t="str">
        <f>IFERROR((M27/M26),"-")</f>
        <v>-</v>
      </c>
      <c r="O26" s="528"/>
      <c r="P26" s="547">
        <v>0</v>
      </c>
      <c r="Q26" s="547">
        <v>0</v>
      </c>
      <c r="R26" s="547">
        <v>0</v>
      </c>
      <c r="S26" s="547">
        <v>0</v>
      </c>
      <c r="T26" s="547">
        <v>0</v>
      </c>
      <c r="U26" s="547">
        <v>0</v>
      </c>
      <c r="V26" s="548">
        <v>0</v>
      </c>
      <c r="W26" s="528"/>
      <c r="X26" s="711">
        <f t="shared" si="21"/>
        <v>0</v>
      </c>
      <c r="Y26" s="896" t="str">
        <f t="shared" ref="Y26" si="46">IFERROR((X27/X26),"-")</f>
        <v>-</v>
      </c>
      <c r="Z26" s="528"/>
      <c r="AA26" s="898">
        <v>8909.0300000000007</v>
      </c>
      <c r="AB26" s="898">
        <v>8909.0399999999991</v>
      </c>
      <c r="AC26" s="898">
        <v>500</v>
      </c>
      <c r="AD26" s="900">
        <f t="shared" ref="AD26" si="47">IFERROR((AC26/AB26),"-")</f>
        <v>5.6122769681132875E-2</v>
      </c>
      <c r="AE26" s="2"/>
      <c r="AF26" s="886">
        <v>80715.736999999994</v>
      </c>
      <c r="AG26" s="886">
        <v>282.03699999999998</v>
      </c>
      <c r="AH26" s="884">
        <v>1580</v>
      </c>
      <c r="AI26" s="886">
        <v>495.135999999999</v>
      </c>
      <c r="AJ26" s="886"/>
      <c r="AK26" s="884">
        <f t="shared" ref="AK26" si="48">AF26+AG26+AH26+AI26+AJ26+AC26</f>
        <v>83572.909999999989</v>
      </c>
      <c r="AL26" s="884">
        <v>92278.989999999714</v>
      </c>
      <c r="AM26" s="878">
        <f t="shared" ref="AM26" si="49">IFERROR((AK26/AL26),"-")</f>
        <v>0.90565479747882205</v>
      </c>
      <c r="AN26" s="2"/>
      <c r="AO26" s="884">
        <v>92279.039999999994</v>
      </c>
      <c r="AP26" s="884">
        <f t="shared" ref="AP26" si="50">AO26-AK26</f>
        <v>8706.1300000000047</v>
      </c>
      <c r="AV26" s="4" t="str">
        <f t="shared" si="8"/>
        <v>Escavação 1ª e 2ª categoria</v>
      </c>
      <c r="AW26" s="4" t="str">
        <f t="shared" si="9"/>
        <v xml:space="preserve">   Seg. 2.2-C07 - Escavação, carga e transporte de material 1ª/2ª categoria</v>
      </c>
    </row>
    <row r="27" spans="1:49" ht="15" customHeight="1" outlineLevel="2">
      <c r="A27" s="525" t="str">
        <f t="shared" ref="A27" si="51">A26</f>
        <v>N</v>
      </c>
      <c r="B27" s="526"/>
      <c r="C27" s="526"/>
      <c r="D27" s="527" t="s">
        <v>194</v>
      </c>
      <c r="E27" s="932"/>
      <c r="F27" s="902"/>
      <c r="G27" s="528"/>
      <c r="H27" s="549" t="s">
        <v>38</v>
      </c>
      <c r="I27" s="711">
        <v>230</v>
      </c>
      <c r="J27" s="897"/>
      <c r="K27" s="528"/>
      <c r="L27" s="549" t="s">
        <v>38</v>
      </c>
      <c r="M27" s="711">
        <f t="shared" si="16"/>
        <v>0</v>
      </c>
      <c r="N27" s="897"/>
      <c r="O27" s="528"/>
      <c r="P27" s="711">
        <v>0</v>
      </c>
      <c r="Q27" s="711">
        <v>0</v>
      </c>
      <c r="R27" s="711">
        <v>0</v>
      </c>
      <c r="S27" s="711">
        <v>0</v>
      </c>
      <c r="T27" s="711">
        <v>0</v>
      </c>
      <c r="U27" s="711">
        <v>0</v>
      </c>
      <c r="V27" s="711">
        <v>0</v>
      </c>
      <c r="W27" s="528"/>
      <c r="X27" s="711">
        <f t="shared" si="21"/>
        <v>0</v>
      </c>
      <c r="Y27" s="897"/>
      <c r="Z27" s="528"/>
      <c r="AA27" s="899"/>
      <c r="AB27" s="899"/>
      <c r="AC27" s="899"/>
      <c r="AD27" s="901"/>
      <c r="AE27" s="2"/>
      <c r="AF27" s="926"/>
      <c r="AG27" s="926"/>
      <c r="AH27" s="885"/>
      <c r="AI27" s="926"/>
      <c r="AJ27" s="926"/>
      <c r="AK27" s="885"/>
      <c r="AL27" s="885"/>
      <c r="AM27" s="879"/>
      <c r="AN27" s="2"/>
      <c r="AO27" s="886"/>
      <c r="AP27" s="886"/>
      <c r="AV27" s="4" t="str">
        <f t="shared" si="8"/>
        <v>Escavação 1ª e 2ª categoria</v>
      </c>
      <c r="AW27" s="4" t="str">
        <f t="shared" si="9"/>
        <v xml:space="preserve">   Seg. 2.2-C07 - Escavação, carga e transporte de material 1ª/2ª categoria</v>
      </c>
    </row>
    <row r="28" spans="1:49" ht="15" customHeight="1" outlineLevel="2">
      <c r="A28" s="525" t="str">
        <f t="shared" ref="A28" si="52">IF(SUM(P28:V29)&gt;0,"S","N")</f>
        <v>N</v>
      </c>
      <c r="B28" s="526">
        <v>1059596</v>
      </c>
      <c r="C28" s="526" t="s">
        <v>196</v>
      </c>
      <c r="D28" s="527" t="s">
        <v>197</v>
      </c>
      <c r="E28" s="932" t="s">
        <v>198</v>
      </c>
      <c r="F28" s="902" t="s">
        <v>36</v>
      </c>
      <c r="G28" s="528"/>
      <c r="H28" s="546" t="s">
        <v>37</v>
      </c>
      <c r="I28" s="711">
        <v>0</v>
      </c>
      <c r="J28" s="896" t="str">
        <f t="shared" ref="J28" si="53">IFERROR((I29/I28),"-")</f>
        <v>-</v>
      </c>
      <c r="K28" s="528"/>
      <c r="L28" s="546" t="s">
        <v>37</v>
      </c>
      <c r="M28" s="711">
        <f t="shared" si="16"/>
        <v>0</v>
      </c>
      <c r="N28" s="896" t="str">
        <f>IFERROR((M29/M28),"-")</f>
        <v>-</v>
      </c>
      <c r="O28" s="528"/>
      <c r="P28" s="547">
        <v>0</v>
      </c>
      <c r="Q28" s="547">
        <v>0</v>
      </c>
      <c r="R28" s="547">
        <v>0</v>
      </c>
      <c r="S28" s="547">
        <v>0</v>
      </c>
      <c r="T28" s="547">
        <v>0</v>
      </c>
      <c r="U28" s="547">
        <v>0</v>
      </c>
      <c r="V28" s="548">
        <v>0</v>
      </c>
      <c r="W28" s="528"/>
      <c r="X28" s="711">
        <f t="shared" si="21"/>
        <v>0</v>
      </c>
      <c r="Y28" s="896" t="str">
        <f t="shared" ref="Y28" si="54">IFERROR((X29/X28),"-")</f>
        <v>-</v>
      </c>
      <c r="Z28" s="528"/>
      <c r="AA28" s="898">
        <v>0</v>
      </c>
      <c r="AB28" s="898">
        <v>0</v>
      </c>
      <c r="AC28" s="898">
        <v>0</v>
      </c>
      <c r="AD28" s="900" t="str">
        <f t="shared" ref="AD28" si="55">IFERROR((AC28/AB28),"-")</f>
        <v>-</v>
      </c>
      <c r="AE28" s="2"/>
      <c r="AF28" s="886">
        <v>347.995</v>
      </c>
      <c r="AG28" s="886">
        <v>0</v>
      </c>
      <c r="AH28" s="884">
        <v>0</v>
      </c>
      <c r="AI28" s="886"/>
      <c r="AJ28" s="886"/>
      <c r="AK28" s="884">
        <f t="shared" ref="AK28" si="56">AF28+AG28+AH28+AI28+AJ28+AC28</f>
        <v>347.995</v>
      </c>
      <c r="AL28" s="884">
        <v>904.37</v>
      </c>
      <c r="AM28" s="878">
        <f t="shared" ref="AM28" si="57">IFERROR((AK28/AL28),"-")</f>
        <v>0.38479272863982661</v>
      </c>
      <c r="AN28" s="2"/>
      <c r="AO28" s="884">
        <v>904.37</v>
      </c>
      <c r="AP28" s="884">
        <f t="shared" ref="AP28" si="58">AO28-AK28</f>
        <v>556.375</v>
      </c>
      <c r="AV28" s="4" t="str">
        <f t="shared" si="8"/>
        <v>Escavação 1ª e 2ª categoria</v>
      </c>
      <c r="AW28" s="4" t="str">
        <f t="shared" si="9"/>
        <v xml:space="preserve">   Seg. 2.2-C08 - Escavação, carga e transporte de material 1ª/2ª categoria</v>
      </c>
    </row>
    <row r="29" spans="1:49" ht="15" customHeight="1" outlineLevel="2">
      <c r="A29" s="525" t="str">
        <f t="shared" ref="A29" si="59">A28</f>
        <v>N</v>
      </c>
      <c r="B29" s="526"/>
      <c r="C29" s="526"/>
      <c r="D29" s="527" t="s">
        <v>197</v>
      </c>
      <c r="E29" s="932"/>
      <c r="F29" s="902"/>
      <c r="G29" s="528"/>
      <c r="H29" s="549" t="s">
        <v>38</v>
      </c>
      <c r="I29" s="711">
        <v>0</v>
      </c>
      <c r="J29" s="897"/>
      <c r="K29" s="528"/>
      <c r="L29" s="549" t="s">
        <v>38</v>
      </c>
      <c r="M29" s="711">
        <f t="shared" si="16"/>
        <v>0</v>
      </c>
      <c r="N29" s="897"/>
      <c r="O29" s="528"/>
      <c r="P29" s="711">
        <v>0</v>
      </c>
      <c r="Q29" s="711">
        <v>0</v>
      </c>
      <c r="R29" s="711">
        <v>0</v>
      </c>
      <c r="S29" s="711">
        <v>0</v>
      </c>
      <c r="T29" s="711">
        <v>0</v>
      </c>
      <c r="U29" s="711">
        <v>0</v>
      </c>
      <c r="V29" s="711">
        <v>0</v>
      </c>
      <c r="W29" s="528"/>
      <c r="X29" s="711">
        <f t="shared" si="21"/>
        <v>0</v>
      </c>
      <c r="Y29" s="897"/>
      <c r="Z29" s="528"/>
      <c r="AA29" s="899"/>
      <c r="AB29" s="899"/>
      <c r="AC29" s="899"/>
      <c r="AD29" s="901"/>
      <c r="AE29" s="2"/>
      <c r="AF29" s="926"/>
      <c r="AG29" s="926"/>
      <c r="AH29" s="885"/>
      <c r="AI29" s="926"/>
      <c r="AJ29" s="926"/>
      <c r="AK29" s="885"/>
      <c r="AL29" s="885"/>
      <c r="AM29" s="879"/>
      <c r="AN29" s="2"/>
      <c r="AO29" s="886"/>
      <c r="AP29" s="886"/>
      <c r="AV29" s="4" t="str">
        <f t="shared" si="8"/>
        <v>Escavação 1ª e 2ª categoria</v>
      </c>
      <c r="AW29" s="4" t="str">
        <f t="shared" si="9"/>
        <v xml:space="preserve">   Seg. 2.2-C08 - Escavação, carga e transporte de material 1ª/2ª categoria</v>
      </c>
    </row>
    <row r="30" spans="1:49" ht="15" customHeight="1" outlineLevel="2">
      <c r="A30" s="545" t="str">
        <f t="shared" ref="A30" si="60">IF(SUM(P30:V31)&gt;0,"S","N")</f>
        <v>N</v>
      </c>
      <c r="B30" s="526">
        <v>1059597</v>
      </c>
      <c r="C30" s="526" t="s">
        <v>199</v>
      </c>
      <c r="D30" s="527" t="s">
        <v>200</v>
      </c>
      <c r="E30" s="932" t="s">
        <v>201</v>
      </c>
      <c r="F30" s="902" t="s">
        <v>36</v>
      </c>
      <c r="G30" s="528"/>
      <c r="H30" s="546" t="s">
        <v>37</v>
      </c>
      <c r="I30" s="711">
        <v>0</v>
      </c>
      <c r="J30" s="896" t="str">
        <f t="shared" ref="J30" si="61">IFERROR((I31/I30),"-")</f>
        <v>-</v>
      </c>
      <c r="K30" s="528"/>
      <c r="L30" s="546" t="s">
        <v>37</v>
      </c>
      <c r="M30" s="711">
        <f t="shared" si="16"/>
        <v>0</v>
      </c>
      <c r="N30" s="896" t="str">
        <f>IFERROR((M31/M30),"-")</f>
        <v>-</v>
      </c>
      <c r="O30" s="528"/>
      <c r="P30" s="547">
        <v>0</v>
      </c>
      <c r="Q30" s="547">
        <v>0</v>
      </c>
      <c r="R30" s="547">
        <v>0</v>
      </c>
      <c r="S30" s="547">
        <v>0</v>
      </c>
      <c r="T30" s="547">
        <v>0</v>
      </c>
      <c r="U30" s="547">
        <v>0</v>
      </c>
      <c r="V30" s="548">
        <v>0</v>
      </c>
      <c r="W30" s="528"/>
      <c r="X30" s="711">
        <f t="shared" si="21"/>
        <v>0</v>
      </c>
      <c r="Y30" s="896" t="str">
        <f t="shared" ref="Y30" si="62">IFERROR((X31/X30),"-")</f>
        <v>-</v>
      </c>
      <c r="Z30" s="528"/>
      <c r="AA30" s="898">
        <v>4565.78</v>
      </c>
      <c r="AB30" s="898">
        <v>4565.78</v>
      </c>
      <c r="AC30" s="898">
        <v>90</v>
      </c>
      <c r="AD30" s="900">
        <f t="shared" ref="AD30" si="63">IFERROR((AC30/AB30),"-")</f>
        <v>1.9711856462641654E-2</v>
      </c>
      <c r="AE30" s="2"/>
      <c r="AF30" s="886">
        <v>18490.548999999999</v>
      </c>
      <c r="AG30" s="886">
        <v>0</v>
      </c>
      <c r="AH30" s="884">
        <v>150</v>
      </c>
      <c r="AI30" s="886"/>
      <c r="AJ30" s="886"/>
      <c r="AK30" s="884">
        <f t="shared" ref="AK30" si="64">AF30+AG30+AH30+AI30+AJ30+AC30</f>
        <v>18730.548999999999</v>
      </c>
      <c r="AL30" s="884">
        <v>23556.83</v>
      </c>
      <c r="AM30" s="878">
        <f t="shared" ref="AM30" si="65">IFERROR((AK30/AL30),"-")</f>
        <v>0.79512179694806129</v>
      </c>
      <c r="AN30" s="2"/>
      <c r="AO30" s="884">
        <v>23556.78</v>
      </c>
      <c r="AP30" s="884">
        <f t="shared" ref="AP30" si="66">AO30-AK30</f>
        <v>4826.2309999999998</v>
      </c>
      <c r="AV30" s="4" t="str">
        <f t="shared" si="8"/>
        <v>Escavação 1ª e 2ª categoria</v>
      </c>
      <c r="AW30" s="4" t="str">
        <f t="shared" si="9"/>
        <v xml:space="preserve">   Seg. 2.2-C09 - Escavação, carga e transporte de material 1ª/2ª categoria</v>
      </c>
    </row>
    <row r="31" spans="1:49" ht="15" customHeight="1" outlineLevel="2">
      <c r="A31" s="545" t="str">
        <f t="shared" ref="A31" si="67">A30</f>
        <v>N</v>
      </c>
      <c r="B31" s="526"/>
      <c r="C31" s="526"/>
      <c r="D31" s="527" t="s">
        <v>200</v>
      </c>
      <c r="E31" s="932"/>
      <c r="F31" s="902"/>
      <c r="G31" s="528"/>
      <c r="H31" s="549" t="s">
        <v>38</v>
      </c>
      <c r="I31" s="711">
        <v>90</v>
      </c>
      <c r="J31" s="897"/>
      <c r="K31" s="528"/>
      <c r="L31" s="549" t="s">
        <v>38</v>
      </c>
      <c r="M31" s="711">
        <f t="shared" si="16"/>
        <v>0</v>
      </c>
      <c r="N31" s="897"/>
      <c r="O31" s="528"/>
      <c r="P31" s="711">
        <v>0</v>
      </c>
      <c r="Q31" s="711">
        <v>0</v>
      </c>
      <c r="R31" s="711">
        <v>0</v>
      </c>
      <c r="S31" s="711">
        <v>0</v>
      </c>
      <c r="T31" s="711">
        <v>0</v>
      </c>
      <c r="U31" s="711">
        <v>0</v>
      </c>
      <c r="V31" s="711">
        <v>0</v>
      </c>
      <c r="W31" s="528"/>
      <c r="X31" s="711">
        <f t="shared" si="21"/>
        <v>0</v>
      </c>
      <c r="Y31" s="897"/>
      <c r="Z31" s="528"/>
      <c r="AA31" s="899"/>
      <c r="AB31" s="899"/>
      <c r="AC31" s="899"/>
      <c r="AD31" s="901"/>
      <c r="AE31" s="2"/>
      <c r="AF31" s="926"/>
      <c r="AG31" s="926"/>
      <c r="AH31" s="885"/>
      <c r="AI31" s="926"/>
      <c r="AJ31" s="926"/>
      <c r="AK31" s="885"/>
      <c r="AL31" s="885"/>
      <c r="AM31" s="879"/>
      <c r="AN31" s="2"/>
      <c r="AO31" s="886"/>
      <c r="AP31" s="886"/>
      <c r="AV31" s="4" t="str">
        <f t="shared" si="8"/>
        <v>Escavação 1ª e 2ª categoria</v>
      </c>
      <c r="AW31" s="4" t="str">
        <f t="shared" si="9"/>
        <v xml:space="preserve">   Seg. 2.2-C09 - Escavação, carga e transporte de material 1ª/2ª categoria</v>
      </c>
    </row>
    <row r="32" spans="1:49" ht="15" customHeight="1" outlineLevel="2">
      <c r="A32" s="545" t="str">
        <f t="shared" ref="A32" si="68">IF(SUM(P32:V33)&gt;0,"S","N")</f>
        <v>N</v>
      </c>
      <c r="B32" s="526">
        <v>1059598</v>
      </c>
      <c r="C32" s="526" t="s">
        <v>202</v>
      </c>
      <c r="D32" s="527" t="s">
        <v>203</v>
      </c>
      <c r="E32" s="932" t="s">
        <v>204</v>
      </c>
      <c r="F32" s="902" t="s">
        <v>36</v>
      </c>
      <c r="G32" s="528"/>
      <c r="H32" s="546" t="s">
        <v>37</v>
      </c>
      <c r="I32" s="711">
        <v>0</v>
      </c>
      <c r="J32" s="896" t="str">
        <f t="shared" ref="J32" si="69">IFERROR((I33/I32),"-")</f>
        <v>-</v>
      </c>
      <c r="K32" s="528"/>
      <c r="L32" s="546" t="s">
        <v>37</v>
      </c>
      <c r="M32" s="711">
        <f t="shared" si="16"/>
        <v>0</v>
      </c>
      <c r="N32" s="896" t="str">
        <f>IFERROR((M33/M32),"-")</f>
        <v>-</v>
      </c>
      <c r="O32" s="528"/>
      <c r="P32" s="547">
        <v>0</v>
      </c>
      <c r="Q32" s="547">
        <v>0</v>
      </c>
      <c r="R32" s="547">
        <v>0</v>
      </c>
      <c r="S32" s="547">
        <v>0</v>
      </c>
      <c r="T32" s="547">
        <v>0</v>
      </c>
      <c r="U32" s="547">
        <v>0</v>
      </c>
      <c r="V32" s="548">
        <v>0</v>
      </c>
      <c r="W32" s="528"/>
      <c r="X32" s="711">
        <f t="shared" si="21"/>
        <v>0</v>
      </c>
      <c r="Y32" s="896" t="str">
        <f t="shared" ref="Y32" si="70">IFERROR((X33/X32),"-")</f>
        <v>-</v>
      </c>
      <c r="Z32" s="528"/>
      <c r="AA32" s="898">
        <v>1961.96</v>
      </c>
      <c r="AB32" s="898">
        <v>1961.96</v>
      </c>
      <c r="AC32" s="898">
        <v>0</v>
      </c>
      <c r="AD32" s="900">
        <f t="shared" ref="AD32" si="71">IFERROR((AC32/AB32),"-")</f>
        <v>0</v>
      </c>
      <c r="AE32" s="2"/>
      <c r="AF32" s="886">
        <v>1169.7560000000001</v>
      </c>
      <c r="AG32" s="886">
        <v>0</v>
      </c>
      <c r="AH32" s="884">
        <v>0</v>
      </c>
      <c r="AI32" s="886"/>
      <c r="AJ32" s="886"/>
      <c r="AK32" s="884">
        <f t="shared" ref="AK32" si="72">AF32+AG32+AH32+AI32+AJ32+AC32</f>
        <v>1169.7560000000001</v>
      </c>
      <c r="AL32" s="884">
        <v>3131.96</v>
      </c>
      <c r="AM32" s="878">
        <f t="shared" ref="AM32" si="73">IFERROR((AK32/AL32),"-")</f>
        <v>0.37349008288739322</v>
      </c>
      <c r="AN32" s="2"/>
      <c r="AO32" s="884">
        <v>3131.96</v>
      </c>
      <c r="AP32" s="884">
        <f t="shared" ref="AP32" si="74">AO32-AK32</f>
        <v>1962.204</v>
      </c>
      <c r="AV32" s="4" t="str">
        <f t="shared" si="8"/>
        <v>Escavação 1ª e 2ª categoria</v>
      </c>
      <c r="AW32" s="4" t="str">
        <f t="shared" si="9"/>
        <v xml:space="preserve">   Seg. 2.2-C10 - Escavação, carga e transporte de material 1ª categoria</v>
      </c>
    </row>
    <row r="33" spans="1:49" ht="15" customHeight="1" outlineLevel="2">
      <c r="A33" s="545" t="str">
        <f t="shared" ref="A33" si="75">A32</f>
        <v>N</v>
      </c>
      <c r="B33" s="526"/>
      <c r="C33" s="526"/>
      <c r="D33" s="527" t="s">
        <v>203</v>
      </c>
      <c r="E33" s="932"/>
      <c r="F33" s="902"/>
      <c r="G33" s="528"/>
      <c r="H33" s="549" t="s">
        <v>38</v>
      </c>
      <c r="I33" s="711">
        <v>0</v>
      </c>
      <c r="J33" s="897"/>
      <c r="K33" s="528"/>
      <c r="L33" s="549" t="s">
        <v>38</v>
      </c>
      <c r="M33" s="711">
        <f t="shared" si="16"/>
        <v>0</v>
      </c>
      <c r="N33" s="897"/>
      <c r="O33" s="528"/>
      <c r="P33" s="711">
        <v>0</v>
      </c>
      <c r="Q33" s="711">
        <v>0</v>
      </c>
      <c r="R33" s="711">
        <v>0</v>
      </c>
      <c r="S33" s="711">
        <v>0</v>
      </c>
      <c r="T33" s="711">
        <v>0</v>
      </c>
      <c r="U33" s="711">
        <v>0</v>
      </c>
      <c r="V33" s="711">
        <v>0</v>
      </c>
      <c r="W33" s="528"/>
      <c r="X33" s="711">
        <f t="shared" si="21"/>
        <v>0</v>
      </c>
      <c r="Y33" s="897"/>
      <c r="Z33" s="528"/>
      <c r="AA33" s="899"/>
      <c r="AB33" s="899"/>
      <c r="AC33" s="899"/>
      <c r="AD33" s="901"/>
      <c r="AE33" s="2"/>
      <c r="AF33" s="926"/>
      <c r="AG33" s="926"/>
      <c r="AH33" s="885"/>
      <c r="AI33" s="926"/>
      <c r="AJ33" s="926"/>
      <c r="AK33" s="885"/>
      <c r="AL33" s="885"/>
      <c r="AM33" s="879"/>
      <c r="AN33" s="2"/>
      <c r="AO33" s="886"/>
      <c r="AP33" s="886"/>
      <c r="AV33" s="4" t="str">
        <f t="shared" si="8"/>
        <v>Escavação 1ª e 2ª categoria</v>
      </c>
      <c r="AW33" s="4" t="str">
        <f t="shared" si="9"/>
        <v xml:space="preserve">   Seg. 2.2-C10 - Escavação, carga e transporte de material 1ª categoria</v>
      </c>
    </row>
    <row r="34" spans="1:49" ht="15" customHeight="1" outlineLevel="2">
      <c r="A34" s="545" t="str">
        <f t="shared" ref="A34" si="76">IF(SUM(P34:V35)&gt;0,"S","N")</f>
        <v>N</v>
      </c>
      <c r="B34" s="526">
        <v>1059599</v>
      </c>
      <c r="C34" s="526" t="s">
        <v>205</v>
      </c>
      <c r="D34" s="527" t="s">
        <v>206</v>
      </c>
      <c r="E34" s="932" t="s">
        <v>207</v>
      </c>
      <c r="F34" s="902" t="s">
        <v>36</v>
      </c>
      <c r="G34" s="528"/>
      <c r="H34" s="546" t="s">
        <v>37</v>
      </c>
      <c r="I34" s="711">
        <v>0</v>
      </c>
      <c r="J34" s="896" t="str">
        <f t="shared" ref="J34" si="77">IFERROR((I35/I34),"-")</f>
        <v>-</v>
      </c>
      <c r="K34" s="528"/>
      <c r="L34" s="546" t="s">
        <v>37</v>
      </c>
      <c r="M34" s="711">
        <f t="shared" si="16"/>
        <v>0</v>
      </c>
      <c r="N34" s="896" t="str">
        <f>IFERROR((M35/M34),"-")</f>
        <v>-</v>
      </c>
      <c r="O34" s="528"/>
      <c r="P34" s="547">
        <v>0</v>
      </c>
      <c r="Q34" s="547">
        <v>0</v>
      </c>
      <c r="R34" s="547">
        <v>0</v>
      </c>
      <c r="S34" s="547">
        <v>0</v>
      </c>
      <c r="T34" s="547">
        <v>0</v>
      </c>
      <c r="U34" s="547">
        <v>0</v>
      </c>
      <c r="V34" s="548">
        <v>0</v>
      </c>
      <c r="W34" s="528"/>
      <c r="X34" s="711">
        <f t="shared" si="21"/>
        <v>0</v>
      </c>
      <c r="Y34" s="896" t="str">
        <f t="shared" ref="Y34" si="78">IFERROR((X35/X34),"-")</f>
        <v>-</v>
      </c>
      <c r="Z34" s="528"/>
      <c r="AA34" s="898">
        <v>0</v>
      </c>
      <c r="AB34" s="898">
        <v>0</v>
      </c>
      <c r="AC34" s="898">
        <v>0</v>
      </c>
      <c r="AD34" s="900" t="str">
        <f t="shared" ref="AD34" si="79">IFERROR((AC34/AB34),"-")</f>
        <v>-</v>
      </c>
      <c r="AE34" s="2"/>
      <c r="AF34" s="886">
        <v>2979.06</v>
      </c>
      <c r="AG34" s="886">
        <v>0</v>
      </c>
      <c r="AH34" s="884">
        <v>0</v>
      </c>
      <c r="AI34" s="886"/>
      <c r="AJ34" s="886"/>
      <c r="AK34" s="884">
        <f t="shared" ref="AK34" si="80">AF34+AG34+AH34+AI34+AJ34+AC34</f>
        <v>2979.06</v>
      </c>
      <c r="AL34" s="884">
        <v>11344.5</v>
      </c>
      <c r="AM34" s="878">
        <f t="shared" ref="AM34" si="81">IFERROR((AK34/AL34),"-")</f>
        <v>0.26259949755388073</v>
      </c>
      <c r="AN34" s="2"/>
      <c r="AO34" s="884">
        <v>11344.5</v>
      </c>
      <c r="AP34" s="884">
        <f t="shared" ref="AP34" si="82">AO34-AK34</f>
        <v>8365.44</v>
      </c>
      <c r="AV34" s="4" t="str">
        <f t="shared" si="8"/>
        <v>Escavação 1ª e 2ª categoria</v>
      </c>
      <c r="AW34" s="4" t="str">
        <f t="shared" si="9"/>
        <v xml:space="preserve">   Seg. 2.2-C11 - Escavação, carga e transporte de material 1ª categoria</v>
      </c>
    </row>
    <row r="35" spans="1:49" ht="15" customHeight="1" outlineLevel="2">
      <c r="A35" s="545" t="str">
        <f t="shared" ref="A35" si="83">A34</f>
        <v>N</v>
      </c>
      <c r="B35" s="526"/>
      <c r="C35" s="526"/>
      <c r="D35" s="527" t="s">
        <v>206</v>
      </c>
      <c r="E35" s="932"/>
      <c r="F35" s="902"/>
      <c r="G35" s="528"/>
      <c r="H35" s="549" t="s">
        <v>38</v>
      </c>
      <c r="I35" s="711">
        <v>0</v>
      </c>
      <c r="J35" s="897"/>
      <c r="K35" s="528"/>
      <c r="L35" s="549" t="s">
        <v>38</v>
      </c>
      <c r="M35" s="711">
        <f t="shared" si="16"/>
        <v>0</v>
      </c>
      <c r="N35" s="897"/>
      <c r="O35" s="528"/>
      <c r="P35" s="711">
        <v>0</v>
      </c>
      <c r="Q35" s="711">
        <v>0</v>
      </c>
      <c r="R35" s="711">
        <v>0</v>
      </c>
      <c r="S35" s="711">
        <v>0</v>
      </c>
      <c r="T35" s="711">
        <v>0</v>
      </c>
      <c r="U35" s="711">
        <v>0</v>
      </c>
      <c r="V35" s="711">
        <v>0</v>
      </c>
      <c r="W35" s="528"/>
      <c r="X35" s="711">
        <f t="shared" si="21"/>
        <v>0</v>
      </c>
      <c r="Y35" s="897"/>
      <c r="Z35" s="528"/>
      <c r="AA35" s="899"/>
      <c r="AB35" s="899"/>
      <c r="AC35" s="899"/>
      <c r="AD35" s="901"/>
      <c r="AE35" s="2"/>
      <c r="AF35" s="926"/>
      <c r="AG35" s="926"/>
      <c r="AH35" s="885"/>
      <c r="AI35" s="926"/>
      <c r="AJ35" s="926"/>
      <c r="AK35" s="885"/>
      <c r="AL35" s="885"/>
      <c r="AM35" s="879"/>
      <c r="AN35" s="2"/>
      <c r="AO35" s="886"/>
      <c r="AP35" s="886"/>
      <c r="AV35" s="4" t="str">
        <f t="shared" si="8"/>
        <v>Escavação 1ª e 2ª categoria</v>
      </c>
      <c r="AW35" s="4" t="str">
        <f t="shared" si="9"/>
        <v xml:space="preserve">   Seg. 2.2-C11 - Escavação, carga e transporte de material 1ª categoria</v>
      </c>
    </row>
    <row r="36" spans="1:49" ht="15" customHeight="1" outlineLevel="2">
      <c r="A36" s="545" t="str">
        <f t="shared" ref="A36" si="84">IF(SUM(P36:V37)&gt;0,"S","N")</f>
        <v>N</v>
      </c>
      <c r="B36" s="526">
        <v>1059600</v>
      </c>
      <c r="C36" s="526" t="s">
        <v>208</v>
      </c>
      <c r="D36" s="527" t="s">
        <v>209</v>
      </c>
      <c r="E36" s="932" t="s">
        <v>210</v>
      </c>
      <c r="F36" s="902" t="s">
        <v>36</v>
      </c>
      <c r="G36" s="528"/>
      <c r="H36" s="546" t="s">
        <v>37</v>
      </c>
      <c r="I36" s="711">
        <v>0</v>
      </c>
      <c r="J36" s="896" t="str">
        <f t="shared" ref="J36" si="85">IFERROR((I37/I36),"-")</f>
        <v>-</v>
      </c>
      <c r="K36" s="528"/>
      <c r="L36" s="546" t="s">
        <v>37</v>
      </c>
      <c r="M36" s="711">
        <f t="shared" si="16"/>
        <v>0</v>
      </c>
      <c r="N36" s="896" t="str">
        <f>IFERROR((M37/M36),"-")</f>
        <v>-</v>
      </c>
      <c r="O36" s="528"/>
      <c r="P36" s="547">
        <v>0</v>
      </c>
      <c r="Q36" s="547">
        <v>0</v>
      </c>
      <c r="R36" s="547">
        <v>0</v>
      </c>
      <c r="S36" s="547">
        <v>0</v>
      </c>
      <c r="T36" s="547">
        <v>0</v>
      </c>
      <c r="U36" s="547">
        <v>0</v>
      </c>
      <c r="V36" s="548">
        <v>0</v>
      </c>
      <c r="W36" s="528"/>
      <c r="X36" s="711">
        <f t="shared" si="21"/>
        <v>0</v>
      </c>
      <c r="Y36" s="896" t="str">
        <f t="shared" ref="Y36" si="86">IFERROR((X37/X36),"-")</f>
        <v>-</v>
      </c>
      <c r="Z36" s="528"/>
      <c r="AA36" s="898">
        <v>36291.14</v>
      </c>
      <c r="AB36" s="898">
        <v>36291.15</v>
      </c>
      <c r="AC36" s="898">
        <v>0</v>
      </c>
      <c r="AD36" s="900">
        <f t="shared" ref="AD36" si="87">IFERROR((AC36/AB36),"-")</f>
        <v>0</v>
      </c>
      <c r="AE36" s="2"/>
      <c r="AF36" s="886">
        <v>37971.862999999998</v>
      </c>
      <c r="AG36" s="886">
        <v>0</v>
      </c>
      <c r="AH36" s="884">
        <v>0</v>
      </c>
      <c r="AI36" s="886"/>
      <c r="AJ36" s="886"/>
      <c r="AK36" s="884">
        <f t="shared" ref="AK36" si="88">AF36+AG36+AH36+AI36+AJ36+AC36</f>
        <v>37971.862999999998</v>
      </c>
      <c r="AL36" s="884">
        <v>37623.07</v>
      </c>
      <c r="AM36" s="878">
        <f t="shared" ref="AM36" si="89">IFERROR((AK36/AL36),"-")</f>
        <v>1.009270721395144</v>
      </c>
      <c r="AN36" s="2"/>
      <c r="AO36" s="884">
        <v>37623</v>
      </c>
      <c r="AP36" s="884">
        <f t="shared" ref="AP36" si="90">AO36-AK36</f>
        <v>-348.86299999999756</v>
      </c>
      <c r="AV36" s="4" t="str">
        <f t="shared" si="8"/>
        <v>Escavação 1ª e 2ª categoria</v>
      </c>
      <c r="AW36" s="4" t="str">
        <f t="shared" si="9"/>
        <v xml:space="preserve">   Seg. 2.2-C12 - Escavação, carga e transporte de material 1ª/2ª categoria</v>
      </c>
    </row>
    <row r="37" spans="1:49" ht="15" customHeight="1" outlineLevel="2">
      <c r="A37" s="545" t="str">
        <f t="shared" ref="A37" si="91">A36</f>
        <v>N</v>
      </c>
      <c r="B37" s="526"/>
      <c r="C37" s="526"/>
      <c r="D37" s="527" t="s">
        <v>209</v>
      </c>
      <c r="E37" s="932"/>
      <c r="F37" s="902"/>
      <c r="G37" s="528"/>
      <c r="H37" s="549" t="s">
        <v>38</v>
      </c>
      <c r="I37" s="711">
        <v>0</v>
      </c>
      <c r="J37" s="897"/>
      <c r="K37" s="528"/>
      <c r="L37" s="549" t="s">
        <v>38</v>
      </c>
      <c r="M37" s="711">
        <f t="shared" si="16"/>
        <v>0</v>
      </c>
      <c r="N37" s="897"/>
      <c r="O37" s="528"/>
      <c r="P37" s="711">
        <v>0</v>
      </c>
      <c r="Q37" s="711">
        <v>0</v>
      </c>
      <c r="R37" s="711">
        <v>0</v>
      </c>
      <c r="S37" s="711">
        <v>0</v>
      </c>
      <c r="T37" s="711">
        <v>0</v>
      </c>
      <c r="U37" s="711">
        <v>0</v>
      </c>
      <c r="V37" s="711">
        <v>0</v>
      </c>
      <c r="W37" s="528"/>
      <c r="X37" s="711">
        <f t="shared" si="21"/>
        <v>0</v>
      </c>
      <c r="Y37" s="897"/>
      <c r="Z37" s="528"/>
      <c r="AA37" s="899"/>
      <c r="AB37" s="899"/>
      <c r="AC37" s="899"/>
      <c r="AD37" s="901"/>
      <c r="AE37" s="2"/>
      <c r="AF37" s="926"/>
      <c r="AG37" s="926"/>
      <c r="AH37" s="885"/>
      <c r="AI37" s="926"/>
      <c r="AJ37" s="926"/>
      <c r="AK37" s="885"/>
      <c r="AL37" s="885"/>
      <c r="AM37" s="879"/>
      <c r="AN37" s="2"/>
      <c r="AO37" s="886"/>
      <c r="AP37" s="886"/>
      <c r="AV37" s="4" t="str">
        <f t="shared" si="8"/>
        <v>Escavação 1ª e 2ª categoria</v>
      </c>
      <c r="AW37" s="4" t="str">
        <f t="shared" si="9"/>
        <v xml:space="preserve">   Seg. 2.2-C12 - Escavação, carga e transporte de material 1ª/2ª categoria</v>
      </c>
    </row>
    <row r="38" spans="1:49" ht="15" customHeight="1" outlineLevel="2">
      <c r="A38" s="525" t="str">
        <f t="shared" ref="A38" si="92">IF(SUM(P38:V39)&gt;0,"S","N")</f>
        <v>S</v>
      </c>
      <c r="B38" s="526">
        <v>1059601</v>
      </c>
      <c r="C38" s="526" t="s">
        <v>211</v>
      </c>
      <c r="D38" s="527" t="s">
        <v>212</v>
      </c>
      <c r="E38" s="932" t="s">
        <v>213</v>
      </c>
      <c r="F38" s="902" t="s">
        <v>36</v>
      </c>
      <c r="G38" s="528"/>
      <c r="H38" s="546" t="s">
        <v>37</v>
      </c>
      <c r="I38" s="711">
        <v>0</v>
      </c>
      <c r="J38" s="896" t="str">
        <f t="shared" ref="J38" si="93">IFERROR((I39/I38),"-")</f>
        <v>-</v>
      </c>
      <c r="K38" s="528"/>
      <c r="L38" s="546" t="s">
        <v>37</v>
      </c>
      <c r="M38" s="711">
        <f t="shared" si="16"/>
        <v>0</v>
      </c>
      <c r="N38" s="896" t="str">
        <f>IFERROR((M39/M38),"-")</f>
        <v>-</v>
      </c>
      <c r="O38" s="528"/>
      <c r="P38" s="547">
        <v>0</v>
      </c>
      <c r="Q38" s="547">
        <v>0</v>
      </c>
      <c r="R38" s="547">
        <v>0</v>
      </c>
      <c r="S38" s="547">
        <v>0</v>
      </c>
      <c r="T38" s="547">
        <v>0</v>
      </c>
      <c r="U38" s="547">
        <v>0</v>
      </c>
      <c r="V38" s="548">
        <v>0</v>
      </c>
      <c r="W38" s="528"/>
      <c r="X38" s="711">
        <f t="shared" si="21"/>
        <v>0</v>
      </c>
      <c r="Y38" s="896" t="str">
        <f t="shared" ref="Y38" si="94">IFERROR((X39/X38),"-")</f>
        <v>-</v>
      </c>
      <c r="Z38" s="528"/>
      <c r="AA38" s="898">
        <v>0</v>
      </c>
      <c r="AB38" s="898">
        <v>0</v>
      </c>
      <c r="AC38" s="898">
        <v>800</v>
      </c>
      <c r="AD38" s="900" t="str">
        <f t="shared" ref="AD38" si="95">IFERROR((AC38/AB38),"-")</f>
        <v>-</v>
      </c>
      <c r="AE38" s="2"/>
      <c r="AF38" s="886">
        <v>36064.872000000003</v>
      </c>
      <c r="AG38" s="886">
        <v>5981.8190000000004</v>
      </c>
      <c r="AH38" s="884">
        <v>4200</v>
      </c>
      <c r="AI38" s="886">
        <v>13782.547</v>
      </c>
      <c r="AJ38" s="886">
        <v>3162.518</v>
      </c>
      <c r="AK38" s="884">
        <f t="shared" ref="AK38" si="96">AF38+AG38+AH38+AI38+AJ38+AC38</f>
        <v>63991.756000000008</v>
      </c>
      <c r="AL38" s="884">
        <v>60301.869999999988</v>
      </c>
      <c r="AM38" s="878">
        <f t="shared" ref="AM38" si="97">IFERROR((AK38/AL38),"-")</f>
        <v>1.0611902416956558</v>
      </c>
      <c r="AN38" s="2"/>
      <c r="AO38" s="884">
        <v>61428.32</v>
      </c>
      <c r="AP38" s="884">
        <f t="shared" ref="AP38" si="98">AO38-AK38</f>
        <v>-2563.4360000000088</v>
      </c>
      <c r="AV38" s="4" t="str">
        <f t="shared" si="8"/>
        <v>Escavação 1ª e 2ª categoria</v>
      </c>
      <c r="AW38" s="4" t="str">
        <f t="shared" si="9"/>
        <v xml:space="preserve">   Seg. 2.2-C13 - Escavação, carga e transporte de material 1ª/2ª categoria</v>
      </c>
    </row>
    <row r="39" spans="1:49" ht="15" customHeight="1" outlineLevel="2">
      <c r="A39" s="525" t="str">
        <f t="shared" ref="A39" si="99">A38</f>
        <v>S</v>
      </c>
      <c r="B39" s="526"/>
      <c r="C39" s="526"/>
      <c r="D39" s="527" t="s">
        <v>212</v>
      </c>
      <c r="E39" s="932"/>
      <c r="F39" s="902"/>
      <c r="G39" s="528"/>
      <c r="H39" s="549" t="s">
        <v>38</v>
      </c>
      <c r="I39" s="711">
        <v>0</v>
      </c>
      <c r="J39" s="897"/>
      <c r="K39" s="528"/>
      <c r="L39" s="549" t="s">
        <v>38</v>
      </c>
      <c r="M39" s="711">
        <f t="shared" si="16"/>
        <v>800</v>
      </c>
      <c r="N39" s="897"/>
      <c r="O39" s="528"/>
      <c r="P39" s="711">
        <v>0</v>
      </c>
      <c r="Q39" s="711">
        <v>800</v>
      </c>
      <c r="R39" s="711">
        <v>0</v>
      </c>
      <c r="S39" s="711">
        <v>0</v>
      </c>
      <c r="T39" s="711">
        <v>0</v>
      </c>
      <c r="U39" s="711">
        <v>0</v>
      </c>
      <c r="V39" s="711">
        <v>0</v>
      </c>
      <c r="W39" s="528"/>
      <c r="X39" s="711">
        <f t="shared" si="21"/>
        <v>800</v>
      </c>
      <c r="Y39" s="897"/>
      <c r="Z39" s="528"/>
      <c r="AA39" s="899"/>
      <c r="AB39" s="899"/>
      <c r="AC39" s="899"/>
      <c r="AD39" s="901"/>
      <c r="AE39" s="2"/>
      <c r="AF39" s="926"/>
      <c r="AG39" s="926"/>
      <c r="AH39" s="885"/>
      <c r="AI39" s="926"/>
      <c r="AJ39" s="926"/>
      <c r="AK39" s="885"/>
      <c r="AL39" s="885"/>
      <c r="AM39" s="879"/>
      <c r="AN39" s="2"/>
      <c r="AO39" s="886"/>
      <c r="AP39" s="886"/>
      <c r="AV39" s="4" t="str">
        <f t="shared" si="8"/>
        <v>Escavação 1ª e 2ª categoria</v>
      </c>
      <c r="AW39" s="4" t="str">
        <f t="shared" si="9"/>
        <v xml:space="preserve">   Seg. 2.2-C13 - Escavação, carga e transporte de material 1ª/2ª categoria</v>
      </c>
    </row>
    <row r="40" spans="1:49" ht="15" customHeight="1" outlineLevel="2">
      <c r="A40" s="545" t="str">
        <f t="shared" ref="A40" si="100">IF(SUM(P40:V41)&gt;0,"S","N")</f>
        <v>N</v>
      </c>
      <c r="B40" s="526">
        <v>1059603</v>
      </c>
      <c r="C40" s="526" t="s">
        <v>214</v>
      </c>
      <c r="D40" s="527" t="s">
        <v>215</v>
      </c>
      <c r="E40" s="932" t="s">
        <v>216</v>
      </c>
      <c r="F40" s="902" t="s">
        <v>36</v>
      </c>
      <c r="G40" s="528"/>
      <c r="H40" s="546" t="s">
        <v>37</v>
      </c>
      <c r="I40" s="711">
        <v>0</v>
      </c>
      <c r="J40" s="896" t="str">
        <f t="shared" ref="J40" si="101">IFERROR((I41/I40),"-")</f>
        <v>-</v>
      </c>
      <c r="K40" s="528"/>
      <c r="L40" s="546" t="s">
        <v>37</v>
      </c>
      <c r="M40" s="711">
        <f t="shared" si="16"/>
        <v>0</v>
      </c>
      <c r="N40" s="896" t="str">
        <f>IFERROR((M41/M40),"-")</f>
        <v>-</v>
      </c>
      <c r="O40" s="528"/>
      <c r="P40" s="547">
        <v>0</v>
      </c>
      <c r="Q40" s="547">
        <v>0</v>
      </c>
      <c r="R40" s="547">
        <v>0</v>
      </c>
      <c r="S40" s="547">
        <v>0</v>
      </c>
      <c r="T40" s="547">
        <v>0</v>
      </c>
      <c r="U40" s="547">
        <v>0</v>
      </c>
      <c r="V40" s="548">
        <v>0</v>
      </c>
      <c r="W40" s="528"/>
      <c r="X40" s="711">
        <f t="shared" si="21"/>
        <v>0</v>
      </c>
      <c r="Y40" s="896" t="str">
        <f t="shared" ref="Y40" si="102">IFERROR((X41/X40),"-")</f>
        <v>-</v>
      </c>
      <c r="Z40" s="528"/>
      <c r="AA40" s="898">
        <v>0</v>
      </c>
      <c r="AB40" s="898">
        <v>0</v>
      </c>
      <c r="AC40" s="898">
        <v>0</v>
      </c>
      <c r="AD40" s="900" t="str">
        <f t="shared" ref="AD40" si="103">IFERROR((AC40/AB40),"-")</f>
        <v>-</v>
      </c>
      <c r="AE40" s="2"/>
      <c r="AF40" s="886">
        <v>0</v>
      </c>
      <c r="AG40" s="886">
        <v>0</v>
      </c>
      <c r="AH40" s="884">
        <v>0</v>
      </c>
      <c r="AI40" s="886"/>
      <c r="AJ40" s="886"/>
      <c r="AK40" s="884">
        <f t="shared" ref="AK40" si="104">AF40+AG40+AH40+AI40+AJ40+AC40</f>
        <v>0</v>
      </c>
      <c r="AL40" s="884">
        <v>239.46</v>
      </c>
      <c r="AM40" s="878">
        <f t="shared" ref="AM40" si="105">IFERROR((AK40/AL40),"-")</f>
        <v>0</v>
      </c>
      <c r="AN40" s="2"/>
      <c r="AO40" s="884">
        <v>239.46</v>
      </c>
      <c r="AP40" s="884">
        <f t="shared" ref="AP40" si="106">AO40-AK40</f>
        <v>239.46</v>
      </c>
      <c r="AV40" s="4" t="str">
        <f t="shared" si="8"/>
        <v>Escavação 1ª e 2ª categoria</v>
      </c>
      <c r="AW40" s="4" t="str">
        <f t="shared" si="9"/>
        <v xml:space="preserve">   Seg. 2.2-C14 - Acabamentos em talude do Corte - Seg.2.2B C 14</v>
      </c>
    </row>
    <row r="41" spans="1:49" ht="15" customHeight="1" outlineLevel="2">
      <c r="A41" s="545" t="str">
        <f t="shared" ref="A41" si="107">A40</f>
        <v>N</v>
      </c>
      <c r="B41" s="526"/>
      <c r="C41" s="526"/>
      <c r="D41" s="527" t="s">
        <v>215</v>
      </c>
      <c r="E41" s="932"/>
      <c r="F41" s="902"/>
      <c r="G41" s="528"/>
      <c r="H41" s="549" t="s">
        <v>38</v>
      </c>
      <c r="I41" s="711">
        <v>0</v>
      </c>
      <c r="J41" s="897"/>
      <c r="K41" s="528"/>
      <c r="L41" s="549" t="s">
        <v>38</v>
      </c>
      <c r="M41" s="711">
        <f t="shared" si="16"/>
        <v>0</v>
      </c>
      <c r="N41" s="897"/>
      <c r="O41" s="528"/>
      <c r="P41" s="711">
        <v>0</v>
      </c>
      <c r="Q41" s="711">
        <v>0</v>
      </c>
      <c r="R41" s="711">
        <v>0</v>
      </c>
      <c r="S41" s="711">
        <v>0</v>
      </c>
      <c r="T41" s="711">
        <v>0</v>
      </c>
      <c r="U41" s="711">
        <v>0</v>
      </c>
      <c r="V41" s="711">
        <v>0</v>
      </c>
      <c r="W41" s="528"/>
      <c r="X41" s="711">
        <f t="shared" si="21"/>
        <v>0</v>
      </c>
      <c r="Y41" s="897"/>
      <c r="Z41" s="528"/>
      <c r="AA41" s="899"/>
      <c r="AB41" s="899"/>
      <c r="AC41" s="899"/>
      <c r="AD41" s="901"/>
      <c r="AE41" s="2"/>
      <c r="AF41" s="926"/>
      <c r="AG41" s="926"/>
      <c r="AH41" s="885"/>
      <c r="AI41" s="926"/>
      <c r="AJ41" s="926"/>
      <c r="AK41" s="885"/>
      <c r="AL41" s="885"/>
      <c r="AM41" s="879"/>
      <c r="AN41" s="2"/>
      <c r="AO41" s="886"/>
      <c r="AP41" s="886"/>
      <c r="AV41" s="4" t="str">
        <f t="shared" si="8"/>
        <v>Escavação 1ª e 2ª categoria</v>
      </c>
      <c r="AW41" s="4" t="str">
        <f t="shared" si="9"/>
        <v xml:space="preserve">   Seg. 2.2-C14 - Acabamentos em talude do Corte - Seg.2.2B C 14</v>
      </c>
    </row>
    <row r="42" spans="1:49" ht="15" customHeight="1" outlineLevel="2">
      <c r="A42" s="545" t="str">
        <f t="shared" ref="A42" si="108">IF(SUM(P42:V43)&gt;0,"S","N")</f>
        <v>N</v>
      </c>
      <c r="B42" s="526">
        <v>1059604</v>
      </c>
      <c r="C42" s="526" t="s">
        <v>217</v>
      </c>
      <c r="D42" s="527" t="s">
        <v>218</v>
      </c>
      <c r="E42" s="932" t="s">
        <v>219</v>
      </c>
      <c r="F42" s="902" t="s">
        <v>36</v>
      </c>
      <c r="G42" s="528"/>
      <c r="H42" s="546" t="s">
        <v>37</v>
      </c>
      <c r="I42" s="711">
        <v>0</v>
      </c>
      <c r="J42" s="896" t="str">
        <f t="shared" ref="J42" si="109">IFERROR((I43/I42),"-")</f>
        <v>-</v>
      </c>
      <c r="K42" s="528"/>
      <c r="L42" s="546" t="s">
        <v>37</v>
      </c>
      <c r="M42" s="711">
        <f t="shared" si="16"/>
        <v>0</v>
      </c>
      <c r="N42" s="896" t="str">
        <f>IFERROR((M43/M42),"-")</f>
        <v>-</v>
      </c>
      <c r="O42" s="528"/>
      <c r="P42" s="547">
        <v>0</v>
      </c>
      <c r="Q42" s="547">
        <v>0</v>
      </c>
      <c r="R42" s="547">
        <v>0</v>
      </c>
      <c r="S42" s="547">
        <v>0</v>
      </c>
      <c r="T42" s="547">
        <v>0</v>
      </c>
      <c r="U42" s="547">
        <v>0</v>
      </c>
      <c r="V42" s="548">
        <v>0</v>
      </c>
      <c r="W42" s="528"/>
      <c r="X42" s="711">
        <f t="shared" si="21"/>
        <v>0</v>
      </c>
      <c r="Y42" s="896" t="str">
        <f t="shared" ref="Y42" si="110">IFERROR((X43/X42),"-")</f>
        <v>-</v>
      </c>
      <c r="Z42" s="528"/>
      <c r="AA42" s="898">
        <v>0</v>
      </c>
      <c r="AB42" s="898">
        <v>0</v>
      </c>
      <c r="AC42" s="898">
        <v>0</v>
      </c>
      <c r="AD42" s="900" t="str">
        <f t="shared" ref="AD42" si="111">IFERROR((AC42/AB42),"-")</f>
        <v>-</v>
      </c>
      <c r="AE42" s="2"/>
      <c r="AF42" s="886">
        <v>0</v>
      </c>
      <c r="AG42" s="886">
        <v>0</v>
      </c>
      <c r="AH42" s="884">
        <v>0</v>
      </c>
      <c r="AI42" s="886"/>
      <c r="AJ42" s="886"/>
      <c r="AK42" s="884">
        <f t="shared" ref="AK42" si="112">AF42+AG42+AH42+AI42+AJ42+AC42</f>
        <v>0</v>
      </c>
      <c r="AL42" s="884">
        <v>614.36</v>
      </c>
      <c r="AM42" s="878">
        <f t="shared" ref="AM42" si="113">IFERROR((AK42/AL42),"-")</f>
        <v>0</v>
      </c>
      <c r="AN42" s="2"/>
      <c r="AO42" s="884">
        <v>614.36</v>
      </c>
      <c r="AP42" s="884">
        <f t="shared" ref="AP42" si="114">AO42-AK42</f>
        <v>614.36</v>
      </c>
      <c r="AV42" s="4" t="str">
        <f t="shared" si="8"/>
        <v>Escavação 1ª e 2ª categoria</v>
      </c>
      <c r="AW42" s="4" t="str">
        <f t="shared" si="9"/>
        <v xml:space="preserve">   Seg. 2.2-C15 - Escavação, carga e transporte de material 1ª categoria</v>
      </c>
    </row>
    <row r="43" spans="1:49" ht="15" customHeight="1" outlineLevel="2">
      <c r="A43" s="545" t="str">
        <f t="shared" ref="A43" si="115">A42</f>
        <v>N</v>
      </c>
      <c r="B43" s="526"/>
      <c r="C43" s="526"/>
      <c r="D43" s="527" t="s">
        <v>218</v>
      </c>
      <c r="E43" s="932"/>
      <c r="F43" s="902"/>
      <c r="G43" s="528"/>
      <c r="H43" s="549" t="s">
        <v>38</v>
      </c>
      <c r="I43" s="711">
        <v>0</v>
      </c>
      <c r="J43" s="897"/>
      <c r="K43" s="528"/>
      <c r="L43" s="549" t="s">
        <v>38</v>
      </c>
      <c r="M43" s="711">
        <f t="shared" si="16"/>
        <v>0</v>
      </c>
      <c r="N43" s="897"/>
      <c r="O43" s="528"/>
      <c r="P43" s="711">
        <v>0</v>
      </c>
      <c r="Q43" s="711">
        <v>0</v>
      </c>
      <c r="R43" s="711">
        <v>0</v>
      </c>
      <c r="S43" s="711">
        <v>0</v>
      </c>
      <c r="T43" s="711">
        <v>0</v>
      </c>
      <c r="U43" s="711">
        <v>0</v>
      </c>
      <c r="V43" s="711">
        <v>0</v>
      </c>
      <c r="W43" s="528"/>
      <c r="X43" s="711">
        <f t="shared" si="21"/>
        <v>0</v>
      </c>
      <c r="Y43" s="897"/>
      <c r="Z43" s="528"/>
      <c r="AA43" s="899"/>
      <c r="AB43" s="899"/>
      <c r="AC43" s="899"/>
      <c r="AD43" s="901"/>
      <c r="AE43" s="2"/>
      <c r="AF43" s="926"/>
      <c r="AG43" s="926"/>
      <c r="AH43" s="885"/>
      <c r="AI43" s="926"/>
      <c r="AJ43" s="926"/>
      <c r="AK43" s="885"/>
      <c r="AL43" s="885"/>
      <c r="AM43" s="879"/>
      <c r="AN43" s="2"/>
      <c r="AO43" s="886"/>
      <c r="AP43" s="886"/>
      <c r="AV43" s="4" t="str">
        <f t="shared" si="8"/>
        <v>Escavação 1ª e 2ª categoria</v>
      </c>
      <c r="AW43" s="4" t="str">
        <f t="shared" si="9"/>
        <v xml:space="preserve">   Seg. 2.2-C15 - Escavação, carga e transporte de material 1ª categoria</v>
      </c>
    </row>
    <row r="44" spans="1:49" ht="15" customHeight="1" outlineLevel="2">
      <c r="A44" s="545" t="str">
        <f t="shared" ref="A44" si="116">IF(SUM(P44:V45)&gt;0,"S","N")</f>
        <v>N</v>
      </c>
      <c r="B44" s="526">
        <v>1060926</v>
      </c>
      <c r="C44" s="526" t="s">
        <v>220</v>
      </c>
      <c r="D44" s="527" t="s">
        <v>221</v>
      </c>
      <c r="E44" s="932" t="s">
        <v>222</v>
      </c>
      <c r="F44" s="902" t="s">
        <v>36</v>
      </c>
      <c r="G44" s="528"/>
      <c r="H44" s="546" t="s">
        <v>37</v>
      </c>
      <c r="I44" s="711">
        <v>0</v>
      </c>
      <c r="J44" s="896" t="str">
        <f t="shared" ref="J44" si="117">IFERROR((I45/I44),"-")</f>
        <v>-</v>
      </c>
      <c r="K44" s="528"/>
      <c r="L44" s="546" t="s">
        <v>37</v>
      </c>
      <c r="M44" s="711">
        <f t="shared" si="16"/>
        <v>0</v>
      </c>
      <c r="N44" s="896" t="str">
        <f>IFERROR((M45/M44),"-")</f>
        <v>-</v>
      </c>
      <c r="O44" s="528"/>
      <c r="P44" s="547">
        <v>0</v>
      </c>
      <c r="Q44" s="547">
        <v>0</v>
      </c>
      <c r="R44" s="547">
        <v>0</v>
      </c>
      <c r="S44" s="547">
        <v>0</v>
      </c>
      <c r="T44" s="547">
        <v>0</v>
      </c>
      <c r="U44" s="547">
        <v>0</v>
      </c>
      <c r="V44" s="548">
        <v>0</v>
      </c>
      <c r="W44" s="528"/>
      <c r="X44" s="711">
        <f t="shared" si="21"/>
        <v>0</v>
      </c>
      <c r="Y44" s="896" t="str">
        <f t="shared" ref="Y44" si="118">IFERROR((X45/X44),"-")</f>
        <v>-</v>
      </c>
      <c r="Z44" s="528"/>
      <c r="AA44" s="898">
        <v>0</v>
      </c>
      <c r="AB44" s="898">
        <v>0</v>
      </c>
      <c r="AC44" s="898">
        <v>0</v>
      </c>
      <c r="AD44" s="900" t="str">
        <f t="shared" ref="AD44" si="119">IFERROR((AC44/AB44),"-")</f>
        <v>-</v>
      </c>
      <c r="AE44" s="2"/>
      <c r="AF44" s="886">
        <v>0</v>
      </c>
      <c r="AG44" s="886">
        <v>914.94600000000003</v>
      </c>
      <c r="AH44" s="884">
        <v>0</v>
      </c>
      <c r="AI44" s="886">
        <v>1202.6400000000001</v>
      </c>
      <c r="AJ44" s="886"/>
      <c r="AK44" s="884">
        <f t="shared" ref="AK44" si="120">AF44+AG44+AH44+AI44+AJ44+AC44</f>
        <v>2117.5860000000002</v>
      </c>
      <c r="AL44" s="884">
        <v>2117.9999999999982</v>
      </c>
      <c r="AM44" s="878">
        <f t="shared" ref="AM44" si="121">IFERROR((AK44/AL44),"-")</f>
        <v>0.99980453257790469</v>
      </c>
      <c r="AN44" s="2"/>
      <c r="AO44" s="884">
        <v>9443.24</v>
      </c>
      <c r="AP44" s="884">
        <f t="shared" ref="AP44" si="122">AO44-AK44</f>
        <v>7325.6539999999995</v>
      </c>
      <c r="AV44" s="4" t="str">
        <f t="shared" si="8"/>
        <v>Escavação 1ª e 2ª categoria</v>
      </c>
      <c r="AW44" s="4" t="str">
        <f t="shared" si="9"/>
        <v xml:space="preserve">   Escavação, carga e transporte de material 1ª/2ª categoria - Seg.2.2B acesso km114+740</v>
      </c>
    </row>
    <row r="45" spans="1:49" ht="15" customHeight="1" outlineLevel="2">
      <c r="A45" s="545" t="str">
        <f t="shared" ref="A45" si="123">A44</f>
        <v>N</v>
      </c>
      <c r="B45" s="526"/>
      <c r="C45" s="526"/>
      <c r="D45" s="527" t="s">
        <v>221</v>
      </c>
      <c r="E45" s="932"/>
      <c r="F45" s="902"/>
      <c r="G45" s="528"/>
      <c r="H45" s="549" t="s">
        <v>38</v>
      </c>
      <c r="I45" s="711">
        <v>0</v>
      </c>
      <c r="J45" s="897"/>
      <c r="K45" s="528"/>
      <c r="L45" s="549" t="s">
        <v>38</v>
      </c>
      <c r="M45" s="711">
        <f t="shared" si="16"/>
        <v>0</v>
      </c>
      <c r="N45" s="897"/>
      <c r="O45" s="528"/>
      <c r="P45" s="711">
        <v>0</v>
      </c>
      <c r="Q45" s="711">
        <v>0</v>
      </c>
      <c r="R45" s="711">
        <v>0</v>
      </c>
      <c r="S45" s="711">
        <v>0</v>
      </c>
      <c r="T45" s="711">
        <v>0</v>
      </c>
      <c r="U45" s="711">
        <v>0</v>
      </c>
      <c r="V45" s="711">
        <v>0</v>
      </c>
      <c r="W45" s="528"/>
      <c r="X45" s="711">
        <f t="shared" si="21"/>
        <v>0</v>
      </c>
      <c r="Y45" s="897"/>
      <c r="Z45" s="528"/>
      <c r="AA45" s="899"/>
      <c r="AB45" s="899"/>
      <c r="AC45" s="899"/>
      <c r="AD45" s="901"/>
      <c r="AE45" s="2"/>
      <c r="AF45" s="926"/>
      <c r="AG45" s="926"/>
      <c r="AH45" s="885"/>
      <c r="AI45" s="926"/>
      <c r="AJ45" s="926"/>
      <c r="AK45" s="885"/>
      <c r="AL45" s="885"/>
      <c r="AM45" s="879"/>
      <c r="AN45" s="2"/>
      <c r="AO45" s="886"/>
      <c r="AP45" s="886"/>
      <c r="AV45" s="4" t="str">
        <f t="shared" si="8"/>
        <v>Escavação 1ª e 2ª categoria</v>
      </c>
      <c r="AW45" s="4" t="str">
        <f t="shared" si="9"/>
        <v xml:space="preserve">   Escavação, carga e transporte de material 1ª/2ª categoria - Seg.2.2B acesso km114+740</v>
      </c>
    </row>
    <row r="46" spans="1:49" ht="15" customHeight="1" outlineLevel="2">
      <c r="A46" s="545" t="str">
        <f t="shared" ref="A46" si="124">IF(SUM(P46:V47)&gt;0,"S","N")</f>
        <v>N</v>
      </c>
      <c r="B46" s="526">
        <v>1060928</v>
      </c>
      <c r="C46" s="526" t="s">
        <v>223</v>
      </c>
      <c r="D46" s="527" t="s">
        <v>224</v>
      </c>
      <c r="E46" s="932" t="s">
        <v>225</v>
      </c>
      <c r="F46" s="902" t="s">
        <v>36</v>
      </c>
      <c r="G46" s="528"/>
      <c r="H46" s="546" t="s">
        <v>37</v>
      </c>
      <c r="I46" s="711">
        <v>0</v>
      </c>
      <c r="J46" s="896" t="str">
        <f t="shared" ref="J46" si="125">IFERROR((I47/I46),"-")</f>
        <v>-</v>
      </c>
      <c r="K46" s="528"/>
      <c r="L46" s="546" t="s">
        <v>37</v>
      </c>
      <c r="M46" s="711">
        <f t="shared" si="16"/>
        <v>0</v>
      </c>
      <c r="N46" s="896" t="str">
        <f>IFERROR((M47/M46),"-")</f>
        <v>-</v>
      </c>
      <c r="O46" s="528"/>
      <c r="P46" s="547">
        <v>0</v>
      </c>
      <c r="Q46" s="547">
        <v>0</v>
      </c>
      <c r="R46" s="547">
        <v>0</v>
      </c>
      <c r="S46" s="547">
        <v>0</v>
      </c>
      <c r="T46" s="547">
        <v>0</v>
      </c>
      <c r="U46" s="547">
        <v>0</v>
      </c>
      <c r="V46" s="548">
        <v>0</v>
      </c>
      <c r="W46" s="528"/>
      <c r="X46" s="711">
        <f t="shared" si="21"/>
        <v>0</v>
      </c>
      <c r="Y46" s="896" t="str">
        <f t="shared" ref="Y46" si="126">IFERROR((X47/X46),"-")</f>
        <v>-</v>
      </c>
      <c r="Z46" s="528"/>
      <c r="AA46" s="898">
        <v>0</v>
      </c>
      <c r="AB46" s="898">
        <v>0</v>
      </c>
      <c r="AC46" s="898">
        <v>0</v>
      </c>
      <c r="AD46" s="900" t="str">
        <f t="shared" ref="AD46" si="127">IFERROR((AC46/AB46),"-")</f>
        <v>-</v>
      </c>
      <c r="AE46" s="2"/>
      <c r="AF46" s="886">
        <v>0</v>
      </c>
      <c r="AG46" s="886">
        <v>0</v>
      </c>
      <c r="AH46" s="884">
        <v>0</v>
      </c>
      <c r="AI46" s="886"/>
      <c r="AJ46" s="886"/>
      <c r="AK46" s="884">
        <f t="shared" ref="AK46" si="128">AF46+AG46+AH46+AI46+AJ46+AC46</f>
        <v>0</v>
      </c>
      <c r="AL46" s="884">
        <v>0</v>
      </c>
      <c r="AM46" s="878" t="str">
        <f t="shared" ref="AM46" si="129">IFERROR((AK46/AL46),"-")</f>
        <v>-</v>
      </c>
      <c r="AN46" s="2"/>
      <c r="AO46" s="884">
        <v>708.89</v>
      </c>
      <c r="AP46" s="884">
        <f t="shared" ref="AP46" si="130">AO46-AK46</f>
        <v>708.89</v>
      </c>
      <c r="AV46" s="4" t="str">
        <f t="shared" si="8"/>
        <v>Escavação 1ª e 2ª categoria</v>
      </c>
      <c r="AW46" s="4" t="str">
        <f t="shared" si="9"/>
        <v xml:space="preserve">   Escavação, carga e transporte de material 1ª/2ª categoria - Seg.2.2B acesso km114+460</v>
      </c>
    </row>
    <row r="47" spans="1:49" ht="15" customHeight="1" outlineLevel="2">
      <c r="A47" s="545" t="str">
        <f t="shared" ref="A47" si="131">A46</f>
        <v>N</v>
      </c>
      <c r="B47" s="526"/>
      <c r="C47" s="526"/>
      <c r="D47" s="527" t="s">
        <v>224</v>
      </c>
      <c r="E47" s="932"/>
      <c r="F47" s="902"/>
      <c r="G47" s="528"/>
      <c r="H47" s="549" t="s">
        <v>38</v>
      </c>
      <c r="I47" s="711">
        <v>0</v>
      </c>
      <c r="J47" s="897"/>
      <c r="K47" s="528"/>
      <c r="L47" s="549" t="s">
        <v>38</v>
      </c>
      <c r="M47" s="711">
        <f t="shared" si="16"/>
        <v>0</v>
      </c>
      <c r="N47" s="897"/>
      <c r="O47" s="528"/>
      <c r="P47" s="711">
        <v>0</v>
      </c>
      <c r="Q47" s="711">
        <v>0</v>
      </c>
      <c r="R47" s="711">
        <v>0</v>
      </c>
      <c r="S47" s="711">
        <v>0</v>
      </c>
      <c r="T47" s="711">
        <v>0</v>
      </c>
      <c r="U47" s="711">
        <v>0</v>
      </c>
      <c r="V47" s="711">
        <v>0</v>
      </c>
      <c r="W47" s="528"/>
      <c r="X47" s="711">
        <f t="shared" si="21"/>
        <v>0</v>
      </c>
      <c r="Y47" s="897"/>
      <c r="Z47" s="528"/>
      <c r="AA47" s="899"/>
      <c r="AB47" s="899"/>
      <c r="AC47" s="899"/>
      <c r="AD47" s="901"/>
      <c r="AE47" s="2"/>
      <c r="AF47" s="926"/>
      <c r="AG47" s="926"/>
      <c r="AH47" s="885"/>
      <c r="AI47" s="926"/>
      <c r="AJ47" s="926"/>
      <c r="AK47" s="885"/>
      <c r="AL47" s="885"/>
      <c r="AM47" s="879"/>
      <c r="AN47" s="2"/>
      <c r="AO47" s="886"/>
      <c r="AP47" s="886"/>
      <c r="AV47" s="4" t="str">
        <f t="shared" si="8"/>
        <v>Escavação 1ª e 2ª categoria</v>
      </c>
      <c r="AW47" s="4" t="str">
        <f t="shared" si="9"/>
        <v xml:space="preserve">   Escavação, carga e transporte de material 1ª/2ª categoria - Seg.2.2B acesso km114+460</v>
      </c>
    </row>
    <row r="48" spans="1:49" ht="15" customHeight="1" outlineLevel="2">
      <c r="A48" s="545" t="str">
        <f t="shared" ref="A48" si="132">IF(SUM(P48:V49)&gt;0,"S","N")</f>
        <v>N</v>
      </c>
      <c r="B48" s="526">
        <v>1060930</v>
      </c>
      <c r="C48" s="526" t="s">
        <v>226</v>
      </c>
      <c r="D48" s="527" t="s">
        <v>227</v>
      </c>
      <c r="E48" s="932" t="s">
        <v>228</v>
      </c>
      <c r="F48" s="902" t="s">
        <v>36</v>
      </c>
      <c r="G48" s="528"/>
      <c r="H48" s="546" t="s">
        <v>37</v>
      </c>
      <c r="I48" s="711">
        <v>0</v>
      </c>
      <c r="J48" s="896" t="str">
        <f t="shared" ref="J48" si="133">IFERROR((I49/I48),"-")</f>
        <v>-</v>
      </c>
      <c r="K48" s="528"/>
      <c r="L48" s="546" t="s">
        <v>37</v>
      </c>
      <c r="M48" s="711">
        <f t="shared" si="16"/>
        <v>0</v>
      </c>
      <c r="N48" s="896" t="str">
        <f>IFERROR((M49/M48),"-")</f>
        <v>-</v>
      </c>
      <c r="O48" s="528"/>
      <c r="P48" s="547">
        <v>0</v>
      </c>
      <c r="Q48" s="547">
        <v>0</v>
      </c>
      <c r="R48" s="547">
        <v>0</v>
      </c>
      <c r="S48" s="547">
        <v>0</v>
      </c>
      <c r="T48" s="547">
        <v>0</v>
      </c>
      <c r="U48" s="547">
        <v>0</v>
      </c>
      <c r="V48" s="548">
        <v>0</v>
      </c>
      <c r="W48" s="528"/>
      <c r="X48" s="711">
        <f t="shared" si="21"/>
        <v>0</v>
      </c>
      <c r="Y48" s="896" t="str">
        <f t="shared" ref="Y48" si="134">IFERROR((X49/X48),"-")</f>
        <v>-</v>
      </c>
      <c r="Z48" s="528"/>
      <c r="AA48" s="898">
        <v>0</v>
      </c>
      <c r="AB48" s="898">
        <v>0</v>
      </c>
      <c r="AC48" s="898">
        <v>0</v>
      </c>
      <c r="AD48" s="900" t="str">
        <f t="shared" ref="AD48" si="135">IFERROR((AC48/AB48),"-")</f>
        <v>-</v>
      </c>
      <c r="AE48" s="2"/>
      <c r="AF48" s="886">
        <v>0</v>
      </c>
      <c r="AG48" s="886">
        <v>0</v>
      </c>
      <c r="AH48" s="884">
        <v>0</v>
      </c>
      <c r="AI48" s="886"/>
      <c r="AJ48" s="886"/>
      <c r="AK48" s="884">
        <f t="shared" ref="AK48" si="136">AF48+AG48+AH48+AI48+AJ48+AC48</f>
        <v>0</v>
      </c>
      <c r="AL48" s="884">
        <v>0</v>
      </c>
      <c r="AM48" s="878" t="str">
        <f t="shared" ref="AM48" si="137">IFERROR((AK48/AL48),"-")</f>
        <v>-</v>
      </c>
      <c r="AN48" s="2"/>
      <c r="AO48" s="884">
        <v>556.49</v>
      </c>
      <c r="AP48" s="884">
        <f t="shared" ref="AP48" si="138">AO48-AK48</f>
        <v>556.49</v>
      </c>
      <c r="AV48" s="4" t="str">
        <f t="shared" si="8"/>
        <v>Escavação 1ª e 2ª categoria</v>
      </c>
      <c r="AW48" s="4" t="str">
        <f t="shared" si="9"/>
        <v xml:space="preserve">   Escavação, carga e transporte de material 1ª/2ª categoria - Seg.2.2B acesso km 106+190</v>
      </c>
    </row>
    <row r="49" spans="1:49" ht="15" customHeight="1" outlineLevel="2">
      <c r="A49" s="545" t="str">
        <f t="shared" ref="A49" si="139">A48</f>
        <v>N</v>
      </c>
      <c r="B49" s="526"/>
      <c r="C49" s="526"/>
      <c r="D49" s="527" t="s">
        <v>227</v>
      </c>
      <c r="E49" s="932"/>
      <c r="F49" s="902"/>
      <c r="G49" s="528"/>
      <c r="H49" s="549" t="s">
        <v>38</v>
      </c>
      <c r="I49" s="711">
        <v>0</v>
      </c>
      <c r="J49" s="897"/>
      <c r="K49" s="528"/>
      <c r="L49" s="549" t="s">
        <v>38</v>
      </c>
      <c r="M49" s="711">
        <f t="shared" si="16"/>
        <v>0</v>
      </c>
      <c r="N49" s="897"/>
      <c r="O49" s="528"/>
      <c r="P49" s="711">
        <v>0</v>
      </c>
      <c r="Q49" s="711">
        <v>0</v>
      </c>
      <c r="R49" s="711">
        <v>0</v>
      </c>
      <c r="S49" s="711">
        <v>0</v>
      </c>
      <c r="T49" s="711">
        <v>0</v>
      </c>
      <c r="U49" s="711">
        <v>0</v>
      </c>
      <c r="V49" s="711">
        <v>0</v>
      </c>
      <c r="W49" s="528"/>
      <c r="X49" s="711">
        <f t="shared" si="21"/>
        <v>0</v>
      </c>
      <c r="Y49" s="897"/>
      <c r="Z49" s="528"/>
      <c r="AA49" s="899"/>
      <c r="AB49" s="899"/>
      <c r="AC49" s="899"/>
      <c r="AD49" s="901"/>
      <c r="AE49" s="2"/>
      <c r="AF49" s="926"/>
      <c r="AG49" s="926"/>
      <c r="AH49" s="885"/>
      <c r="AI49" s="926"/>
      <c r="AJ49" s="926"/>
      <c r="AK49" s="885"/>
      <c r="AL49" s="885"/>
      <c r="AM49" s="879"/>
      <c r="AN49" s="2"/>
      <c r="AO49" s="886"/>
      <c r="AP49" s="886"/>
      <c r="AV49" s="4" t="str">
        <f t="shared" si="8"/>
        <v>Escavação 1ª e 2ª categoria</v>
      </c>
      <c r="AW49" s="4" t="str">
        <f t="shared" si="9"/>
        <v xml:space="preserve">   Escavação, carga e transporte de material 1ª/2ª categoria - Seg.2.2B acesso km 106+190</v>
      </c>
    </row>
    <row r="50" spans="1:49" ht="15" customHeight="1" outlineLevel="2">
      <c r="A50" s="545" t="str">
        <f t="shared" ref="A50" si="140">IF(SUM(P50:V51)&gt;0,"S","N")</f>
        <v>N</v>
      </c>
      <c r="B50" s="526">
        <v>1060932</v>
      </c>
      <c r="C50" s="526" t="s">
        <v>229</v>
      </c>
      <c r="D50" s="527" t="s">
        <v>230</v>
      </c>
      <c r="E50" s="932" t="s">
        <v>231</v>
      </c>
      <c r="F50" s="902" t="s">
        <v>36</v>
      </c>
      <c r="G50" s="528"/>
      <c r="H50" s="546" t="s">
        <v>37</v>
      </c>
      <c r="I50" s="711">
        <v>0</v>
      </c>
      <c r="J50" s="896" t="str">
        <f t="shared" ref="J50" si="141">IFERROR((I51/I50),"-")</f>
        <v>-</v>
      </c>
      <c r="K50" s="528"/>
      <c r="L50" s="546" t="s">
        <v>37</v>
      </c>
      <c r="M50" s="711">
        <f t="shared" si="16"/>
        <v>0</v>
      </c>
      <c r="N50" s="896" t="str">
        <f>IFERROR((M51/M50),"-")</f>
        <v>-</v>
      </c>
      <c r="O50" s="528"/>
      <c r="P50" s="547">
        <v>0</v>
      </c>
      <c r="Q50" s="547">
        <v>0</v>
      </c>
      <c r="R50" s="547">
        <v>0</v>
      </c>
      <c r="S50" s="547">
        <v>0</v>
      </c>
      <c r="T50" s="547">
        <v>0</v>
      </c>
      <c r="U50" s="547">
        <v>0</v>
      </c>
      <c r="V50" s="548">
        <v>0</v>
      </c>
      <c r="W50" s="528"/>
      <c r="X50" s="711">
        <f t="shared" si="21"/>
        <v>0</v>
      </c>
      <c r="Y50" s="896" t="str">
        <f t="shared" ref="Y50" si="142">IFERROR((X51/X50),"-")</f>
        <v>-</v>
      </c>
      <c r="Z50" s="528"/>
      <c r="AA50" s="898">
        <v>0</v>
      </c>
      <c r="AB50" s="898">
        <v>0</v>
      </c>
      <c r="AC50" s="898">
        <v>0</v>
      </c>
      <c r="AD50" s="900" t="str">
        <f t="shared" ref="AD50" si="143">IFERROR((AC50/AB50),"-")</f>
        <v>-</v>
      </c>
      <c r="AE50" s="2"/>
      <c r="AF50" s="886">
        <v>0</v>
      </c>
      <c r="AG50" s="886">
        <v>1290.0540000000001</v>
      </c>
      <c r="AH50" s="884">
        <v>0</v>
      </c>
      <c r="AI50" s="886"/>
      <c r="AJ50" s="886"/>
      <c r="AK50" s="884">
        <f t="shared" ref="AK50" si="144">AF50+AG50+AH50+AI50+AJ50+AC50</f>
        <v>1290.0540000000001</v>
      </c>
      <c r="AL50" s="884">
        <v>1290.0099999999998</v>
      </c>
      <c r="AM50" s="878">
        <f t="shared" ref="AM50" si="145">IFERROR((AK50/AL50),"-")</f>
        <v>1.0000341082627269</v>
      </c>
      <c r="AN50" s="2"/>
      <c r="AO50" s="884">
        <v>1854.44</v>
      </c>
      <c r="AP50" s="884">
        <f t="shared" ref="AP50" si="146">AO50-AK50</f>
        <v>564.38599999999997</v>
      </c>
      <c r="AV50" s="4" t="str">
        <f t="shared" si="8"/>
        <v>Escavação 1ª e 2ª categoria</v>
      </c>
      <c r="AW50" s="4" t="str">
        <f t="shared" si="9"/>
        <v xml:space="preserve">   Escavação, carga e transporte de material 1ª/2ª categoria - Seg.2.2B acesso km 108+540</v>
      </c>
    </row>
    <row r="51" spans="1:49" ht="15" customHeight="1" outlineLevel="2">
      <c r="A51" s="545" t="str">
        <f t="shared" ref="A51" si="147">A50</f>
        <v>N</v>
      </c>
      <c r="B51" s="526"/>
      <c r="C51" s="526"/>
      <c r="D51" s="527" t="s">
        <v>230</v>
      </c>
      <c r="E51" s="932"/>
      <c r="F51" s="902"/>
      <c r="G51" s="528"/>
      <c r="H51" s="549" t="s">
        <v>38</v>
      </c>
      <c r="I51" s="711">
        <v>0</v>
      </c>
      <c r="J51" s="897"/>
      <c r="K51" s="528"/>
      <c r="L51" s="549" t="s">
        <v>38</v>
      </c>
      <c r="M51" s="711">
        <f t="shared" si="16"/>
        <v>0</v>
      </c>
      <c r="N51" s="897"/>
      <c r="O51" s="528"/>
      <c r="P51" s="711">
        <v>0</v>
      </c>
      <c r="Q51" s="711">
        <v>0</v>
      </c>
      <c r="R51" s="711">
        <v>0</v>
      </c>
      <c r="S51" s="711">
        <v>0</v>
      </c>
      <c r="T51" s="711">
        <v>0</v>
      </c>
      <c r="U51" s="711">
        <v>0</v>
      </c>
      <c r="V51" s="711">
        <v>0</v>
      </c>
      <c r="W51" s="528"/>
      <c r="X51" s="711">
        <f t="shared" si="21"/>
        <v>0</v>
      </c>
      <c r="Y51" s="897"/>
      <c r="Z51" s="528"/>
      <c r="AA51" s="899"/>
      <c r="AB51" s="899"/>
      <c r="AC51" s="899"/>
      <c r="AD51" s="901"/>
      <c r="AE51" s="2"/>
      <c r="AF51" s="926"/>
      <c r="AG51" s="926"/>
      <c r="AH51" s="885"/>
      <c r="AI51" s="926"/>
      <c r="AJ51" s="926"/>
      <c r="AK51" s="885"/>
      <c r="AL51" s="885"/>
      <c r="AM51" s="879"/>
      <c r="AN51" s="2"/>
      <c r="AO51" s="886"/>
      <c r="AP51" s="886"/>
      <c r="AV51" s="4" t="str">
        <f t="shared" si="8"/>
        <v>Escavação 1ª e 2ª categoria</v>
      </c>
      <c r="AW51" s="4" t="str">
        <f t="shared" si="9"/>
        <v xml:space="preserve">   Escavação, carga e transporte de material 1ª/2ª categoria - Seg.2.2B acesso km 108+540</v>
      </c>
    </row>
    <row r="52" spans="1:49" ht="15" customHeight="1" outlineLevel="2">
      <c r="A52" s="525" t="str">
        <f t="shared" ref="A52" si="148">IF(SUM(P52:V53)&gt;0,"S","N")</f>
        <v>N</v>
      </c>
      <c r="B52" s="526">
        <v>1060934</v>
      </c>
      <c r="C52" s="526" t="s">
        <v>232</v>
      </c>
      <c r="D52" s="527" t="s">
        <v>233</v>
      </c>
      <c r="E52" s="932" t="s">
        <v>234</v>
      </c>
      <c r="F52" s="902" t="s">
        <v>36</v>
      </c>
      <c r="G52" s="528"/>
      <c r="H52" s="546" t="s">
        <v>37</v>
      </c>
      <c r="I52" s="711">
        <v>0</v>
      </c>
      <c r="J52" s="896" t="str">
        <f t="shared" ref="J52" si="149">IFERROR((I53/I52),"-")</f>
        <v>-</v>
      </c>
      <c r="K52" s="528"/>
      <c r="L52" s="546" t="s">
        <v>37</v>
      </c>
      <c r="M52" s="711">
        <f t="shared" si="16"/>
        <v>0</v>
      </c>
      <c r="N52" s="896" t="str">
        <f>IFERROR((M53/M52),"-")</f>
        <v>-</v>
      </c>
      <c r="O52" s="528"/>
      <c r="P52" s="547">
        <v>0</v>
      </c>
      <c r="Q52" s="547">
        <v>0</v>
      </c>
      <c r="R52" s="547">
        <v>0</v>
      </c>
      <c r="S52" s="547">
        <v>0</v>
      </c>
      <c r="T52" s="547">
        <v>0</v>
      </c>
      <c r="U52" s="547">
        <v>0</v>
      </c>
      <c r="V52" s="548">
        <v>0</v>
      </c>
      <c r="W52" s="528"/>
      <c r="X52" s="711">
        <f t="shared" si="21"/>
        <v>0</v>
      </c>
      <c r="Y52" s="896" t="str">
        <f t="shared" ref="Y52" si="150">IFERROR((X53/X52),"-")</f>
        <v>-</v>
      </c>
      <c r="Z52" s="528"/>
      <c r="AA52" s="898">
        <v>0</v>
      </c>
      <c r="AB52" s="898">
        <v>0</v>
      </c>
      <c r="AC52" s="898">
        <v>0</v>
      </c>
      <c r="AD52" s="900" t="str">
        <f t="shared" ref="AD52" si="151">IFERROR((AC52/AB52),"-")</f>
        <v>-</v>
      </c>
      <c r="AE52" s="2"/>
      <c r="AF52" s="886">
        <v>0</v>
      </c>
      <c r="AG52" s="886">
        <v>0</v>
      </c>
      <c r="AH52" s="884">
        <v>0</v>
      </c>
      <c r="AI52" s="886"/>
      <c r="AJ52" s="886"/>
      <c r="AK52" s="884">
        <f t="shared" ref="AK52" si="152">AF52+AG52+AH52+AI52+AJ52+AC52</f>
        <v>0</v>
      </c>
      <c r="AL52" s="884">
        <v>0</v>
      </c>
      <c r="AM52" s="878" t="str">
        <f t="shared" ref="AM52" si="153">IFERROR((AK52/AL52),"-")</f>
        <v>-</v>
      </c>
      <c r="AN52" s="2"/>
      <c r="AO52" s="884">
        <v>10730.11</v>
      </c>
      <c r="AP52" s="884">
        <f t="shared" ref="AP52" si="154">AO52-AK52</f>
        <v>10730.11</v>
      </c>
      <c r="AV52" s="4" t="str">
        <f t="shared" si="8"/>
        <v>Escavação 1ª e 2ª categoria</v>
      </c>
      <c r="AW52" s="4" t="str">
        <f t="shared" si="9"/>
        <v xml:space="preserve">   Escavação, carga e transporte de material 1ª/2ª categoria - Seg.2.2B acesso km 110+035</v>
      </c>
    </row>
    <row r="53" spans="1:49" ht="15" customHeight="1" outlineLevel="2">
      <c r="A53" s="525" t="str">
        <f t="shared" ref="A53" si="155">A52</f>
        <v>N</v>
      </c>
      <c r="B53" s="526"/>
      <c r="C53" s="526"/>
      <c r="D53" s="527" t="s">
        <v>233</v>
      </c>
      <c r="E53" s="932"/>
      <c r="F53" s="902"/>
      <c r="G53" s="528"/>
      <c r="H53" s="549" t="s">
        <v>38</v>
      </c>
      <c r="I53" s="711">
        <v>0</v>
      </c>
      <c r="J53" s="897"/>
      <c r="K53" s="528"/>
      <c r="L53" s="549" t="s">
        <v>38</v>
      </c>
      <c r="M53" s="711">
        <f t="shared" si="16"/>
        <v>0</v>
      </c>
      <c r="N53" s="897"/>
      <c r="O53" s="528"/>
      <c r="P53" s="711">
        <v>0</v>
      </c>
      <c r="Q53" s="711">
        <v>0</v>
      </c>
      <c r="R53" s="711">
        <v>0</v>
      </c>
      <c r="S53" s="711">
        <v>0</v>
      </c>
      <c r="T53" s="711">
        <v>0</v>
      </c>
      <c r="U53" s="711">
        <v>0</v>
      </c>
      <c r="V53" s="711">
        <v>0</v>
      </c>
      <c r="W53" s="528"/>
      <c r="X53" s="711">
        <f t="shared" si="21"/>
        <v>0</v>
      </c>
      <c r="Y53" s="897"/>
      <c r="Z53" s="528"/>
      <c r="AA53" s="899"/>
      <c r="AB53" s="899"/>
      <c r="AC53" s="899"/>
      <c r="AD53" s="901"/>
      <c r="AE53" s="2"/>
      <c r="AF53" s="926"/>
      <c r="AG53" s="926"/>
      <c r="AH53" s="885"/>
      <c r="AI53" s="926"/>
      <c r="AJ53" s="926"/>
      <c r="AK53" s="885"/>
      <c r="AL53" s="885"/>
      <c r="AM53" s="879"/>
      <c r="AN53" s="2"/>
      <c r="AO53" s="886"/>
      <c r="AP53" s="886"/>
      <c r="AV53" s="4" t="str">
        <f t="shared" si="8"/>
        <v>Escavação 1ª e 2ª categoria</v>
      </c>
      <c r="AW53" s="4" t="str">
        <f t="shared" si="9"/>
        <v xml:space="preserve">   Escavação, carga e transporte de material 1ª/2ª categoria - Seg.2.2B acesso km 110+035</v>
      </c>
    </row>
    <row r="54" spans="1:49" ht="15" customHeight="1" outlineLevel="2">
      <c r="A54" s="525" t="str">
        <f t="shared" ref="A54" si="156">IF(SUM(P54:V55)&gt;0,"S","N")</f>
        <v>N</v>
      </c>
      <c r="B54" s="526">
        <v>1069085</v>
      </c>
      <c r="C54" s="526" t="s">
        <v>235</v>
      </c>
      <c r="D54" s="550" t="s">
        <v>236</v>
      </c>
      <c r="E54" s="932" t="s">
        <v>237</v>
      </c>
      <c r="F54" s="902" t="s">
        <v>36</v>
      </c>
      <c r="G54" s="528"/>
      <c r="H54" s="546" t="s">
        <v>37</v>
      </c>
      <c r="I54" s="711">
        <v>0</v>
      </c>
      <c r="J54" s="896" t="str">
        <f t="shared" ref="J54" si="157">IFERROR((I55/I54),"-")</f>
        <v>-</v>
      </c>
      <c r="K54" s="528"/>
      <c r="L54" s="546" t="s">
        <v>37</v>
      </c>
      <c r="M54" s="711">
        <f t="shared" si="16"/>
        <v>0</v>
      </c>
      <c r="N54" s="896" t="str">
        <f>IFERROR((M55/M54),"-")</f>
        <v>-</v>
      </c>
      <c r="O54" s="528"/>
      <c r="P54" s="547">
        <v>0</v>
      </c>
      <c r="Q54" s="547">
        <v>0</v>
      </c>
      <c r="R54" s="547">
        <v>0</v>
      </c>
      <c r="S54" s="547">
        <v>0</v>
      </c>
      <c r="T54" s="547">
        <v>0</v>
      </c>
      <c r="U54" s="547">
        <v>0</v>
      </c>
      <c r="V54" s="548">
        <v>0</v>
      </c>
      <c r="W54" s="528"/>
      <c r="X54" s="711">
        <f t="shared" si="21"/>
        <v>0</v>
      </c>
      <c r="Y54" s="896" t="str">
        <f t="shared" ref="Y54" si="158">IFERROR((X55/X54),"-")</f>
        <v>-</v>
      </c>
      <c r="Z54" s="528"/>
      <c r="AA54" s="898">
        <v>0</v>
      </c>
      <c r="AB54" s="898">
        <v>0</v>
      </c>
      <c r="AC54" s="898">
        <v>3590</v>
      </c>
      <c r="AD54" s="900" t="str">
        <f t="shared" ref="AD54" si="159">IFERROR((AC54/AB54),"-")</f>
        <v>-</v>
      </c>
      <c r="AE54" s="2"/>
      <c r="AF54" s="886">
        <v>141683.55799999999</v>
      </c>
      <c r="AG54" s="886">
        <v>0</v>
      </c>
      <c r="AH54" s="884">
        <v>1710</v>
      </c>
      <c r="AI54" s="886"/>
      <c r="AJ54" s="886">
        <v>4918.6639999999998</v>
      </c>
      <c r="AK54" s="884">
        <f t="shared" ref="AK54" si="160">AF54+AG54+AH54+AI54+AJ54+AC54</f>
        <v>151902.22199999998</v>
      </c>
      <c r="AL54" s="884">
        <v>132231.53999999986</v>
      </c>
      <c r="AM54" s="878">
        <f t="shared" ref="AM54" si="161">IFERROR((AK54/AL54),"-")</f>
        <v>1.1487593807044836</v>
      </c>
      <c r="AN54" s="2"/>
      <c r="AO54" s="884">
        <v>141683.56</v>
      </c>
      <c r="AP54" s="884">
        <f t="shared" ref="AP54" si="162">AO54-AK54</f>
        <v>-10218.661999999982</v>
      </c>
      <c r="AV54" s="4" t="str">
        <f t="shared" si="8"/>
        <v>Escavação 1ª e 2ª categoria</v>
      </c>
      <c r="AW54" s="4" t="str">
        <f t="shared" si="9"/>
        <v xml:space="preserve">   Seg. 2.2-Caixa de empréstimo - Escavação, carga e transporte de material 1ª/2ª categoria</v>
      </c>
    </row>
    <row r="55" spans="1:49" ht="15" customHeight="1" outlineLevel="2">
      <c r="A55" s="525" t="str">
        <f t="shared" ref="A55" si="163">A54</f>
        <v>N</v>
      </c>
      <c r="B55" s="526"/>
      <c r="C55" s="526"/>
      <c r="D55" s="550" t="s">
        <v>236</v>
      </c>
      <c r="E55" s="932"/>
      <c r="F55" s="902"/>
      <c r="G55" s="528"/>
      <c r="H55" s="549" t="s">
        <v>38</v>
      </c>
      <c r="I55" s="711">
        <v>1910</v>
      </c>
      <c r="J55" s="897"/>
      <c r="K55" s="528"/>
      <c r="L55" s="549" t="s">
        <v>38</v>
      </c>
      <c r="M55" s="711">
        <f t="shared" si="16"/>
        <v>0</v>
      </c>
      <c r="N55" s="897"/>
      <c r="O55" s="528"/>
      <c r="P55" s="711">
        <v>0</v>
      </c>
      <c r="Q55" s="711">
        <v>0</v>
      </c>
      <c r="R55" s="711">
        <v>0</v>
      </c>
      <c r="S55" s="711">
        <v>0</v>
      </c>
      <c r="T55" s="711">
        <v>0</v>
      </c>
      <c r="U55" s="711">
        <v>0</v>
      </c>
      <c r="V55" s="711">
        <v>0</v>
      </c>
      <c r="W55" s="528"/>
      <c r="X55" s="711">
        <f t="shared" si="21"/>
        <v>0</v>
      </c>
      <c r="Y55" s="897"/>
      <c r="Z55" s="528"/>
      <c r="AA55" s="899"/>
      <c r="AB55" s="899"/>
      <c r="AC55" s="899"/>
      <c r="AD55" s="901"/>
      <c r="AE55" s="2"/>
      <c r="AF55" s="926"/>
      <c r="AG55" s="926"/>
      <c r="AH55" s="885"/>
      <c r="AI55" s="926"/>
      <c r="AJ55" s="926"/>
      <c r="AK55" s="885"/>
      <c r="AL55" s="885"/>
      <c r="AM55" s="879"/>
      <c r="AN55" s="2"/>
      <c r="AO55" s="885"/>
      <c r="AP55" s="886"/>
      <c r="AV55" s="4" t="str">
        <f t="shared" si="8"/>
        <v>Escavação 1ª e 2ª categoria</v>
      </c>
      <c r="AW55" s="4" t="str">
        <f t="shared" si="9"/>
        <v xml:space="preserve">   Seg. 2.2-Caixa de empréstimo - Escavação, carga e transporte de material 1ª/2ª categoria</v>
      </c>
    </row>
    <row r="56" spans="1:49" ht="15" customHeight="1" outlineLevel="2">
      <c r="A56" s="545" t="str">
        <f t="shared" ref="A56" si="164">IF(SUM(P56:V57)&gt;0,"S","N")</f>
        <v>N</v>
      </c>
      <c r="B56" s="526">
        <v>1070000</v>
      </c>
      <c r="C56" s="526" t="s">
        <v>238</v>
      </c>
      <c r="D56" s="527" t="s">
        <v>239</v>
      </c>
      <c r="E56" s="932" t="s">
        <v>240</v>
      </c>
      <c r="F56" s="902" t="s">
        <v>36</v>
      </c>
      <c r="G56" s="528"/>
      <c r="H56" s="546" t="s">
        <v>37</v>
      </c>
      <c r="I56" s="711">
        <v>0</v>
      </c>
      <c r="J56" s="896" t="str">
        <f t="shared" ref="J56" si="165">IFERROR((I57/I56),"-")</f>
        <v>-</v>
      </c>
      <c r="K56" s="528"/>
      <c r="L56" s="546" t="s">
        <v>37</v>
      </c>
      <c r="M56" s="711">
        <f t="shared" si="16"/>
        <v>0</v>
      </c>
      <c r="N56" s="896" t="str">
        <f>IFERROR((M57/M56),"-")</f>
        <v>-</v>
      </c>
      <c r="O56" s="528"/>
      <c r="P56" s="547">
        <v>0</v>
      </c>
      <c r="Q56" s="547">
        <v>0</v>
      </c>
      <c r="R56" s="547">
        <v>0</v>
      </c>
      <c r="S56" s="547">
        <v>0</v>
      </c>
      <c r="T56" s="547">
        <v>0</v>
      </c>
      <c r="U56" s="547">
        <v>0</v>
      </c>
      <c r="V56" s="548">
        <v>0</v>
      </c>
      <c r="W56" s="528"/>
      <c r="X56" s="711">
        <f>SUMIFS(P56:V56,$P$8:$V$8,"&gt;="&amp;$P$8,$P$8:$V$8,"&lt;="&amp;$N$8)</f>
        <v>0</v>
      </c>
      <c r="Y56" s="896" t="str">
        <f t="shared" ref="Y56" si="166">IFERROR((X57/X56),"-")</f>
        <v>-</v>
      </c>
      <c r="Z56" s="528"/>
      <c r="AA56" s="898">
        <v>0</v>
      </c>
      <c r="AB56" s="898">
        <v>0</v>
      </c>
      <c r="AC56" s="898">
        <v>0</v>
      </c>
      <c r="AD56" s="900" t="str">
        <f t="shared" ref="AD56" si="167">IFERROR((AC56/AB56),"-")</f>
        <v>-</v>
      </c>
      <c r="AE56" s="2"/>
      <c r="AF56" s="886">
        <v>0</v>
      </c>
      <c r="AG56" s="886">
        <v>0</v>
      </c>
      <c r="AH56" s="884">
        <v>0</v>
      </c>
      <c r="AI56" s="886"/>
      <c r="AJ56" s="886"/>
      <c r="AK56" s="884">
        <f t="shared" ref="AK56" si="168">AF56+AG56+AH56+AI56+AJ56+AC56</f>
        <v>0</v>
      </c>
      <c r="AL56" s="884">
        <v>7777.68</v>
      </c>
      <c r="AM56" s="878">
        <f t="shared" ref="AM56" si="169">IFERROR((AK56/AL56),"-")</f>
        <v>0</v>
      </c>
      <c r="AN56" s="2"/>
      <c r="AO56" s="884">
        <v>7777.68</v>
      </c>
      <c r="AP56" s="884">
        <f t="shared" ref="AP56" si="170">AO56-AK56</f>
        <v>7777.68</v>
      </c>
      <c r="AV56" s="4" t="str">
        <f t="shared" si="8"/>
        <v>Escavação 1ª e 2ª categoria</v>
      </c>
      <c r="AW56" s="4" t="str">
        <f t="shared" si="9"/>
        <v xml:space="preserve">   Sump 2.2B</v>
      </c>
    </row>
    <row r="57" spans="1:49" ht="15" customHeight="1" outlineLevel="2">
      <c r="A57" s="545" t="str">
        <f t="shared" ref="A57" si="171">A56</f>
        <v>N</v>
      </c>
      <c r="B57" s="526"/>
      <c r="C57" s="526"/>
      <c r="D57" s="527" t="s">
        <v>239</v>
      </c>
      <c r="E57" s="932"/>
      <c r="F57" s="902"/>
      <c r="G57" s="528"/>
      <c r="H57" s="549" t="s">
        <v>38</v>
      </c>
      <c r="I57" s="711">
        <v>0</v>
      </c>
      <c r="J57" s="897"/>
      <c r="K57" s="528"/>
      <c r="L57" s="549" t="s">
        <v>38</v>
      </c>
      <c r="M57" s="711">
        <f t="shared" si="16"/>
        <v>0</v>
      </c>
      <c r="N57" s="897"/>
      <c r="O57" s="528"/>
      <c r="P57" s="711">
        <v>0</v>
      </c>
      <c r="Q57" s="711">
        <v>0</v>
      </c>
      <c r="R57" s="711">
        <v>0</v>
      </c>
      <c r="S57" s="711">
        <v>0</v>
      </c>
      <c r="T57" s="711">
        <v>0</v>
      </c>
      <c r="U57" s="711">
        <v>0</v>
      </c>
      <c r="V57" s="711">
        <v>0</v>
      </c>
      <c r="W57" s="528"/>
      <c r="X57" s="711">
        <f t="shared" ref="X57:X73" si="172">SUMIFS(P57:V57,$P$8:$V$8,"&gt;="&amp;$P$8,$P$8:$V$8,"&lt;="&amp;$N$8)</f>
        <v>0</v>
      </c>
      <c r="Y57" s="897"/>
      <c r="Z57" s="528"/>
      <c r="AA57" s="899"/>
      <c r="AB57" s="899"/>
      <c r="AC57" s="899"/>
      <c r="AD57" s="901"/>
      <c r="AE57" s="2"/>
      <c r="AF57" s="926"/>
      <c r="AG57" s="926"/>
      <c r="AH57" s="885"/>
      <c r="AI57" s="926"/>
      <c r="AJ57" s="926"/>
      <c r="AK57" s="885"/>
      <c r="AL57" s="885"/>
      <c r="AM57" s="879"/>
      <c r="AN57" s="2"/>
      <c r="AO57" s="886"/>
      <c r="AP57" s="886"/>
      <c r="AV57" s="4" t="str">
        <f t="shared" si="8"/>
        <v>Escavação 1ª e 2ª categoria</v>
      </c>
      <c r="AW57" s="4" t="str">
        <f t="shared" si="9"/>
        <v xml:space="preserve">   Sump 2.2B</v>
      </c>
    </row>
    <row r="58" spans="1:49" ht="15" customHeight="1" outlineLevel="2">
      <c r="A58" s="545" t="str">
        <f t="shared" ref="A58" si="173">IF(SUM(P58:V59)&gt;0,"S","N")</f>
        <v>N</v>
      </c>
      <c r="B58" s="526">
        <v>1070002</v>
      </c>
      <c r="C58" s="526" t="s">
        <v>241</v>
      </c>
      <c r="D58" s="527" t="s">
        <v>242</v>
      </c>
      <c r="E58" s="932" t="s">
        <v>243</v>
      </c>
      <c r="F58" s="902" t="s">
        <v>36</v>
      </c>
      <c r="G58" s="528"/>
      <c r="H58" s="546" t="s">
        <v>37</v>
      </c>
      <c r="I58" s="711">
        <v>0</v>
      </c>
      <c r="J58" s="896" t="str">
        <f t="shared" ref="J58" si="174">IFERROR((I59/I58),"-")</f>
        <v>-</v>
      </c>
      <c r="K58" s="528"/>
      <c r="L58" s="546" t="s">
        <v>37</v>
      </c>
      <c r="M58" s="711">
        <f t="shared" si="16"/>
        <v>0</v>
      </c>
      <c r="N58" s="896" t="str">
        <f>IFERROR((M59/M58),"-")</f>
        <v>-</v>
      </c>
      <c r="O58" s="528"/>
      <c r="P58" s="547">
        <v>0</v>
      </c>
      <c r="Q58" s="547">
        <v>0</v>
      </c>
      <c r="R58" s="547">
        <v>0</v>
      </c>
      <c r="S58" s="547">
        <v>0</v>
      </c>
      <c r="T58" s="547">
        <v>0</v>
      </c>
      <c r="U58" s="547">
        <v>0</v>
      </c>
      <c r="V58" s="548">
        <v>0</v>
      </c>
      <c r="W58" s="528"/>
      <c r="X58" s="711">
        <f t="shared" si="172"/>
        <v>0</v>
      </c>
      <c r="Y58" s="896" t="str">
        <f t="shared" ref="Y58" si="175">IFERROR((X59/X58),"-")</f>
        <v>-</v>
      </c>
      <c r="Z58" s="528"/>
      <c r="AA58" s="898">
        <v>0</v>
      </c>
      <c r="AB58" s="898">
        <v>0</v>
      </c>
      <c r="AC58" s="898">
        <v>0</v>
      </c>
      <c r="AD58" s="900" t="str">
        <f t="shared" ref="AD58" si="176">IFERROR((AC58/AB58),"-")</f>
        <v>-</v>
      </c>
      <c r="AE58" s="2"/>
      <c r="AF58" s="886">
        <v>8678.5499999999993</v>
      </c>
      <c r="AG58" s="886">
        <v>0</v>
      </c>
      <c r="AH58" s="884">
        <v>0</v>
      </c>
      <c r="AI58" s="886"/>
      <c r="AJ58" s="886"/>
      <c r="AK58" s="884">
        <f t="shared" ref="AK58" si="177">AF58+AG58+AH58+AI58+AJ58+AC58</f>
        <v>8678.5499999999993</v>
      </c>
      <c r="AL58" s="884">
        <v>1162.3999999999999</v>
      </c>
      <c r="AM58" s="878">
        <f t="shared" ref="AM58" si="178">IFERROR((AK58/AL58),"-")</f>
        <v>7.4660615966964903</v>
      </c>
      <c r="AN58" s="2"/>
      <c r="AO58" s="884">
        <v>1162.43</v>
      </c>
      <c r="AP58" s="884">
        <f t="shared" ref="AP58" si="179">AO58-AK58</f>
        <v>-7516.119999999999</v>
      </c>
      <c r="AV58" s="4" t="str">
        <f t="shared" si="8"/>
        <v>Escavação 1ª e 2ª categoria</v>
      </c>
      <c r="AW58" s="4" t="str">
        <f t="shared" si="9"/>
        <v xml:space="preserve">   Escavação bacia de captação Aterro A-01 - Seg. 2.2B</v>
      </c>
    </row>
    <row r="59" spans="1:49" ht="15" customHeight="1" outlineLevel="2">
      <c r="A59" s="545" t="str">
        <f t="shared" ref="A59" si="180">A58</f>
        <v>N</v>
      </c>
      <c r="B59" s="526"/>
      <c r="C59" s="526"/>
      <c r="D59" s="527" t="s">
        <v>242</v>
      </c>
      <c r="E59" s="932"/>
      <c r="F59" s="902"/>
      <c r="G59" s="528"/>
      <c r="H59" s="549" t="s">
        <v>38</v>
      </c>
      <c r="I59" s="711">
        <v>0</v>
      </c>
      <c r="J59" s="897"/>
      <c r="K59" s="528"/>
      <c r="L59" s="549" t="s">
        <v>38</v>
      </c>
      <c r="M59" s="711">
        <f t="shared" si="16"/>
        <v>0</v>
      </c>
      <c r="N59" s="897"/>
      <c r="O59" s="528"/>
      <c r="P59" s="711">
        <v>0</v>
      </c>
      <c r="Q59" s="711">
        <v>0</v>
      </c>
      <c r="R59" s="711">
        <v>0</v>
      </c>
      <c r="S59" s="711">
        <v>0</v>
      </c>
      <c r="T59" s="711">
        <v>0</v>
      </c>
      <c r="U59" s="711">
        <v>0</v>
      </c>
      <c r="V59" s="711">
        <v>0</v>
      </c>
      <c r="W59" s="528"/>
      <c r="X59" s="711">
        <f t="shared" si="172"/>
        <v>0</v>
      </c>
      <c r="Y59" s="897"/>
      <c r="Z59" s="528"/>
      <c r="AA59" s="899"/>
      <c r="AB59" s="899"/>
      <c r="AC59" s="899"/>
      <c r="AD59" s="901"/>
      <c r="AE59" s="2"/>
      <c r="AF59" s="926"/>
      <c r="AG59" s="926"/>
      <c r="AH59" s="885"/>
      <c r="AI59" s="926"/>
      <c r="AJ59" s="926"/>
      <c r="AK59" s="885"/>
      <c r="AL59" s="885"/>
      <c r="AM59" s="879"/>
      <c r="AN59" s="2"/>
      <c r="AO59" s="886"/>
      <c r="AP59" s="886"/>
      <c r="AV59" s="4" t="str">
        <f t="shared" si="8"/>
        <v>Escavação 1ª e 2ª categoria</v>
      </c>
      <c r="AW59" s="4" t="str">
        <f t="shared" si="9"/>
        <v xml:space="preserve">   Escavação bacia de captação Aterro A-01 - Seg. 2.2B</v>
      </c>
    </row>
    <row r="60" spans="1:49" ht="15" customHeight="1" outlineLevel="2">
      <c r="A60" s="525" t="str">
        <f t="shared" ref="A60" si="181">IF(SUM(P60:V61)&gt;0,"S","N")</f>
        <v>N</v>
      </c>
      <c r="B60" s="526">
        <v>1059341</v>
      </c>
      <c r="C60" s="526" t="s">
        <v>244</v>
      </c>
      <c r="D60" s="527" t="s">
        <v>245</v>
      </c>
      <c r="E60" s="892" t="s">
        <v>246</v>
      </c>
      <c r="F60" s="902" t="s">
        <v>36</v>
      </c>
      <c r="G60" s="528"/>
      <c r="H60" s="546" t="s">
        <v>37</v>
      </c>
      <c r="I60" s="711">
        <v>0</v>
      </c>
      <c r="J60" s="896" t="str">
        <f t="shared" ref="J60" si="182">IFERROR((I61/I60),"-")</f>
        <v>-</v>
      </c>
      <c r="K60" s="528"/>
      <c r="L60" s="546" t="s">
        <v>37</v>
      </c>
      <c r="M60" s="711">
        <f t="shared" si="16"/>
        <v>0</v>
      </c>
      <c r="N60" s="896" t="str">
        <f>IFERROR((M61/M60),"-")</f>
        <v>-</v>
      </c>
      <c r="O60" s="528"/>
      <c r="P60" s="547">
        <v>0</v>
      </c>
      <c r="Q60" s="547">
        <v>0</v>
      </c>
      <c r="R60" s="547">
        <v>0</v>
      </c>
      <c r="S60" s="547">
        <v>0</v>
      </c>
      <c r="T60" s="547">
        <v>0</v>
      </c>
      <c r="U60" s="547">
        <v>0</v>
      </c>
      <c r="V60" s="548">
        <v>0</v>
      </c>
      <c r="W60" s="528"/>
      <c r="X60" s="711">
        <f t="shared" si="172"/>
        <v>0</v>
      </c>
      <c r="Y60" s="896" t="str">
        <f t="shared" ref="Y60" si="183">IFERROR((X61/X60),"-")</f>
        <v>-</v>
      </c>
      <c r="Z60" s="528"/>
      <c r="AA60" s="898">
        <v>0</v>
      </c>
      <c r="AB60" s="898">
        <v>0</v>
      </c>
      <c r="AC60" s="898">
        <v>0</v>
      </c>
      <c r="AD60" s="900" t="str">
        <f t="shared" ref="AD60" si="184">IFERROR((AC60/AB60),"-")</f>
        <v>-</v>
      </c>
      <c r="AE60" s="2"/>
      <c r="AF60" s="886">
        <v>2402.67</v>
      </c>
      <c r="AG60" s="886">
        <v>0</v>
      </c>
      <c r="AH60" s="884">
        <v>0</v>
      </c>
      <c r="AI60" s="886">
        <v>8654.4599999999991</v>
      </c>
      <c r="AJ60" s="886"/>
      <c r="AK60" s="884">
        <f t="shared" ref="AK60" si="185">AF60+AG60+AH60+AI60+AJ60+AC60</f>
        <v>11057.13</v>
      </c>
      <c r="AL60" s="884">
        <v>2402.66</v>
      </c>
      <c r="AM60" s="878">
        <f t="shared" ref="AM60" si="186">IFERROR((AK60/AL60),"-")</f>
        <v>4.6020369090924227</v>
      </c>
      <c r="AN60" s="2"/>
      <c r="AO60" s="884">
        <v>2402.67</v>
      </c>
      <c r="AP60" s="884">
        <f t="shared" ref="AP60" si="187">AO60-AK60</f>
        <v>-8654.4599999999991</v>
      </c>
      <c r="AV60" s="4" t="str">
        <f t="shared" si="8"/>
        <v>Escavação 1ª e 2ª categoria</v>
      </c>
      <c r="AW60" s="4" t="str">
        <f t="shared" si="9"/>
        <v xml:space="preserve">   Escavação, carga e transporte de material 1ª/2ª categoria</v>
      </c>
    </row>
    <row r="61" spans="1:49" ht="15" customHeight="1" outlineLevel="2">
      <c r="A61" s="525" t="str">
        <f t="shared" ref="A61" si="188">A60</f>
        <v>N</v>
      </c>
      <c r="B61" s="526"/>
      <c r="C61" s="526"/>
      <c r="D61" s="527" t="s">
        <v>245</v>
      </c>
      <c r="E61" s="893"/>
      <c r="F61" s="902"/>
      <c r="G61" s="528"/>
      <c r="H61" s="549" t="s">
        <v>38</v>
      </c>
      <c r="I61" s="711">
        <v>0</v>
      </c>
      <c r="J61" s="897"/>
      <c r="K61" s="528"/>
      <c r="L61" s="549" t="s">
        <v>38</v>
      </c>
      <c r="M61" s="711">
        <f t="shared" si="16"/>
        <v>0</v>
      </c>
      <c r="N61" s="897"/>
      <c r="O61" s="528"/>
      <c r="P61" s="711">
        <v>0</v>
      </c>
      <c r="Q61" s="711">
        <v>0</v>
      </c>
      <c r="R61" s="711">
        <v>0</v>
      </c>
      <c r="S61" s="711">
        <v>0</v>
      </c>
      <c r="T61" s="711">
        <v>0</v>
      </c>
      <c r="U61" s="711">
        <v>0</v>
      </c>
      <c r="V61" s="711">
        <v>0</v>
      </c>
      <c r="W61" s="528"/>
      <c r="X61" s="711">
        <f t="shared" si="172"/>
        <v>0</v>
      </c>
      <c r="Y61" s="897"/>
      <c r="Z61" s="528"/>
      <c r="AA61" s="899"/>
      <c r="AB61" s="899"/>
      <c r="AC61" s="899"/>
      <c r="AD61" s="901"/>
      <c r="AE61" s="2"/>
      <c r="AF61" s="926"/>
      <c r="AG61" s="926"/>
      <c r="AH61" s="885"/>
      <c r="AI61" s="926"/>
      <c r="AJ61" s="926"/>
      <c r="AK61" s="885"/>
      <c r="AL61" s="885"/>
      <c r="AM61" s="879"/>
      <c r="AN61" s="2"/>
      <c r="AO61" s="886"/>
      <c r="AP61" s="886"/>
      <c r="AV61" s="4" t="str">
        <f t="shared" si="8"/>
        <v>Escavação 1ª e 2ª categoria</v>
      </c>
      <c r="AW61" s="4" t="str">
        <f t="shared" si="9"/>
        <v xml:space="preserve">   Escavação, carga e transporte de material 1ª/2ª categoria</v>
      </c>
    </row>
    <row r="62" spans="1:49" ht="15" customHeight="1" outlineLevel="2">
      <c r="A62" s="525" t="str">
        <f t="shared" ref="A62" si="189">IF(SUM(P62:V63)&gt;0,"S","N")</f>
        <v>S</v>
      </c>
      <c r="B62" s="526">
        <v>1069758</v>
      </c>
      <c r="C62" s="526" t="s">
        <v>247</v>
      </c>
      <c r="D62" s="550" t="s">
        <v>248</v>
      </c>
      <c r="E62" s="892" t="s">
        <v>249</v>
      </c>
      <c r="F62" s="902" t="s">
        <v>36</v>
      </c>
      <c r="G62" s="528"/>
      <c r="H62" s="546" t="s">
        <v>37</v>
      </c>
      <c r="I62" s="711">
        <v>7200</v>
      </c>
      <c r="J62" s="896">
        <f t="shared" ref="J62" si="190">IFERROR((I63/I62),"-")</f>
        <v>0.39305555555555555</v>
      </c>
      <c r="K62" s="528"/>
      <c r="L62" s="546" t="s">
        <v>37</v>
      </c>
      <c r="M62" s="711">
        <f t="shared" si="16"/>
        <v>0</v>
      </c>
      <c r="N62" s="896" t="str">
        <f>IFERROR((M63/M62),"-")</f>
        <v>-</v>
      </c>
      <c r="O62" s="528"/>
      <c r="P62" s="547">
        <v>0</v>
      </c>
      <c r="Q62" s="547">
        <v>0</v>
      </c>
      <c r="R62" s="547">
        <v>0</v>
      </c>
      <c r="S62" s="547">
        <v>630</v>
      </c>
      <c r="T62" s="547">
        <v>540</v>
      </c>
      <c r="U62" s="547">
        <v>540</v>
      </c>
      <c r="V62" s="548">
        <v>0</v>
      </c>
      <c r="W62" s="528"/>
      <c r="X62" s="711">
        <f t="shared" si="172"/>
        <v>0</v>
      </c>
      <c r="Y62" s="896" t="str">
        <f t="shared" ref="Y62" si="191">IFERROR((X63/X62),"-")</f>
        <v>-</v>
      </c>
      <c r="Z62" s="528"/>
      <c r="AA62" s="898">
        <v>49879.509999999995</v>
      </c>
      <c r="AB62" s="898">
        <v>43121.79</v>
      </c>
      <c r="AC62" s="898">
        <v>5010</v>
      </c>
      <c r="AD62" s="900">
        <f t="shared" ref="AD62" si="192">IFERROR((AC62/AB62),"-")</f>
        <v>0.11618256106715422</v>
      </c>
      <c r="AE62" s="2"/>
      <c r="AF62" s="886">
        <v>0</v>
      </c>
      <c r="AG62" s="886">
        <v>0</v>
      </c>
      <c r="AH62" s="884">
        <v>3660</v>
      </c>
      <c r="AI62" s="886">
        <v>4501.6419999999998</v>
      </c>
      <c r="AJ62" s="886">
        <v>4022.0810000000001</v>
      </c>
      <c r="AK62" s="884">
        <f t="shared" ref="AK62" si="193">AF62+AG62+AH62+AI62+AJ62+AC62</f>
        <v>17193.722999999998</v>
      </c>
      <c r="AL62" s="884">
        <v>50126.18</v>
      </c>
      <c r="AM62" s="878">
        <f t="shared" ref="AM62" si="194">IFERROR((AK62/AL62),"-")</f>
        <v>0.34300884288409766</v>
      </c>
      <c r="AN62" s="2"/>
      <c r="AO62" s="884">
        <v>63663.46</v>
      </c>
      <c r="AP62" s="884">
        <f t="shared" ref="AP62" si="195">AO62-AK62</f>
        <v>46469.737000000001</v>
      </c>
      <c r="AV62" s="4" t="str">
        <f t="shared" si="8"/>
        <v>Escavação 1ª e 2ª categoria</v>
      </c>
      <c r="AW62" s="4" t="str">
        <f t="shared" si="9"/>
        <v xml:space="preserve">   Escavação, carga, transporte, descarga e espalhamento de solo de 1ª /2ª categoria para Retaludamento - C04</v>
      </c>
    </row>
    <row r="63" spans="1:49" ht="15" customHeight="1" outlineLevel="2">
      <c r="A63" s="525" t="str">
        <f t="shared" ref="A63" si="196">A62</f>
        <v>S</v>
      </c>
      <c r="B63" s="526"/>
      <c r="C63" s="526"/>
      <c r="D63" s="550" t="s">
        <v>248</v>
      </c>
      <c r="E63" s="893"/>
      <c r="F63" s="902"/>
      <c r="G63" s="528"/>
      <c r="H63" s="549" t="s">
        <v>38</v>
      </c>
      <c r="I63" s="711">
        <v>2830</v>
      </c>
      <c r="J63" s="897"/>
      <c r="K63" s="528"/>
      <c r="L63" s="549" t="s">
        <v>38</v>
      </c>
      <c r="M63" s="711">
        <f t="shared" si="16"/>
        <v>0</v>
      </c>
      <c r="N63" s="897"/>
      <c r="O63" s="528"/>
      <c r="P63" s="711">
        <v>190</v>
      </c>
      <c r="Q63" s="711">
        <v>0</v>
      </c>
      <c r="R63" s="711">
        <v>0</v>
      </c>
      <c r="S63" s="711">
        <v>0</v>
      </c>
      <c r="T63" s="711">
        <v>0</v>
      </c>
      <c r="U63" s="711">
        <v>0</v>
      </c>
      <c r="V63" s="711">
        <v>0</v>
      </c>
      <c r="W63" s="528"/>
      <c r="X63" s="711">
        <f t="shared" si="172"/>
        <v>190</v>
      </c>
      <c r="Y63" s="897"/>
      <c r="Z63" s="528"/>
      <c r="AA63" s="899"/>
      <c r="AB63" s="899"/>
      <c r="AC63" s="899"/>
      <c r="AD63" s="901"/>
      <c r="AE63" s="2"/>
      <c r="AF63" s="926"/>
      <c r="AG63" s="926"/>
      <c r="AH63" s="885"/>
      <c r="AI63" s="926"/>
      <c r="AJ63" s="926"/>
      <c r="AK63" s="885"/>
      <c r="AL63" s="885"/>
      <c r="AM63" s="879"/>
      <c r="AN63" s="2"/>
      <c r="AO63" s="885"/>
      <c r="AP63" s="886"/>
      <c r="AV63" s="4" t="str">
        <f t="shared" si="8"/>
        <v>Escavação 1ª e 2ª categoria</v>
      </c>
      <c r="AW63" s="4" t="str">
        <f t="shared" si="9"/>
        <v xml:space="preserve">   Escavação, carga, transporte, descarga e espalhamento de solo de 1ª /2ª categoria para Retaludamento - C04</v>
      </c>
    </row>
    <row r="64" spans="1:49" ht="15" customHeight="1" outlineLevel="2">
      <c r="A64" s="545" t="str">
        <f t="shared" ref="A64" si="197">IF(SUM(P64:V65)&gt;0,"S","N")</f>
        <v>N</v>
      </c>
      <c r="B64" s="526">
        <v>1069761</v>
      </c>
      <c r="C64" s="526" t="s">
        <v>250</v>
      </c>
      <c r="D64" s="527" t="s">
        <v>251</v>
      </c>
      <c r="E64" s="892" t="s">
        <v>252</v>
      </c>
      <c r="F64" s="902" t="s">
        <v>36</v>
      </c>
      <c r="G64" s="528"/>
      <c r="H64" s="546" t="s">
        <v>37</v>
      </c>
      <c r="I64" s="711">
        <v>0</v>
      </c>
      <c r="J64" s="896" t="str">
        <f t="shared" ref="J64" si="198">IFERROR((I65/I64),"-")</f>
        <v>-</v>
      </c>
      <c r="K64" s="528"/>
      <c r="L64" s="546" t="s">
        <v>37</v>
      </c>
      <c r="M64" s="711">
        <f t="shared" si="16"/>
        <v>0</v>
      </c>
      <c r="N64" s="896" t="str">
        <f>IFERROR((M65/M64),"-")</f>
        <v>-</v>
      </c>
      <c r="O64" s="528"/>
      <c r="P64" s="547">
        <v>0</v>
      </c>
      <c r="Q64" s="547">
        <v>0</v>
      </c>
      <c r="R64" s="547">
        <v>0</v>
      </c>
      <c r="S64" s="547">
        <v>0</v>
      </c>
      <c r="T64" s="547">
        <v>0</v>
      </c>
      <c r="U64" s="547">
        <v>0</v>
      </c>
      <c r="V64" s="548">
        <v>0</v>
      </c>
      <c r="W64" s="528"/>
      <c r="X64" s="711">
        <f t="shared" si="172"/>
        <v>0</v>
      </c>
      <c r="Y64" s="896" t="str">
        <f t="shared" ref="Y64" si="199">IFERROR((X65/X64),"-")</f>
        <v>-</v>
      </c>
      <c r="Z64" s="528"/>
      <c r="AA64" s="898">
        <v>291</v>
      </c>
      <c r="AB64" s="898">
        <v>0</v>
      </c>
      <c r="AC64" s="898">
        <v>0</v>
      </c>
      <c r="AD64" s="900" t="str">
        <f t="shared" ref="AD64" si="200">IFERROR((AC64/AB64),"-")</f>
        <v>-</v>
      </c>
      <c r="AE64" s="2"/>
      <c r="AF64" s="886">
        <v>9802.3389999999999</v>
      </c>
      <c r="AG64" s="886">
        <v>0</v>
      </c>
      <c r="AH64" s="884">
        <v>0</v>
      </c>
      <c r="AI64" s="886"/>
      <c r="AJ64" s="886"/>
      <c r="AK64" s="884">
        <f t="shared" ref="AK64" si="201">AF64+AG64+AH64+AI64+AJ64+AC64</f>
        <v>9802.3389999999999</v>
      </c>
      <c r="AL64" s="884">
        <v>9799.5</v>
      </c>
      <c r="AM64" s="878">
        <f t="shared" ref="AM64" si="202">IFERROR((AK64/AL64),"-")</f>
        <v>1.0002897086586051</v>
      </c>
      <c r="AN64" s="2"/>
      <c r="AO64" s="884">
        <v>10090.5</v>
      </c>
      <c r="AP64" s="884">
        <f t="shared" ref="AP64" si="203">AO64-AK64</f>
        <v>288.16100000000006</v>
      </c>
      <c r="AV64" s="4" t="str">
        <f t="shared" si="8"/>
        <v>Escavação 1ª e 2ª categoria</v>
      </c>
      <c r="AW64" s="4" t="str">
        <f t="shared" si="9"/>
        <v xml:space="preserve">   Escavação, carga, transporte, descarga e espalhamento de solo de 1ª /2ª categoria para Retaludamento</v>
      </c>
    </row>
    <row r="65" spans="1:49" ht="15" customHeight="1" outlineLevel="2">
      <c r="A65" s="545" t="str">
        <f t="shared" ref="A65" si="204">A64</f>
        <v>N</v>
      </c>
      <c r="B65" s="526"/>
      <c r="C65" s="526"/>
      <c r="D65" s="527" t="s">
        <v>251</v>
      </c>
      <c r="E65" s="893"/>
      <c r="F65" s="902"/>
      <c r="G65" s="528"/>
      <c r="H65" s="549" t="s">
        <v>38</v>
      </c>
      <c r="I65" s="711">
        <v>0</v>
      </c>
      <c r="J65" s="897"/>
      <c r="K65" s="528"/>
      <c r="L65" s="549" t="s">
        <v>38</v>
      </c>
      <c r="M65" s="711">
        <f t="shared" si="16"/>
        <v>0</v>
      </c>
      <c r="N65" s="897"/>
      <c r="O65" s="528"/>
      <c r="P65" s="711">
        <v>0</v>
      </c>
      <c r="Q65" s="711">
        <v>0</v>
      </c>
      <c r="R65" s="711">
        <v>0</v>
      </c>
      <c r="S65" s="711">
        <v>0</v>
      </c>
      <c r="T65" s="711">
        <v>0</v>
      </c>
      <c r="U65" s="711">
        <v>0</v>
      </c>
      <c r="V65" s="711">
        <v>0</v>
      </c>
      <c r="W65" s="528"/>
      <c r="X65" s="711">
        <f t="shared" si="172"/>
        <v>0</v>
      </c>
      <c r="Y65" s="897"/>
      <c r="Z65" s="528"/>
      <c r="AA65" s="899"/>
      <c r="AB65" s="899"/>
      <c r="AC65" s="899"/>
      <c r="AD65" s="901"/>
      <c r="AE65" s="2"/>
      <c r="AF65" s="926"/>
      <c r="AG65" s="926"/>
      <c r="AH65" s="885"/>
      <c r="AI65" s="926"/>
      <c r="AJ65" s="926"/>
      <c r="AK65" s="885"/>
      <c r="AL65" s="885"/>
      <c r="AM65" s="879"/>
      <c r="AN65" s="2"/>
      <c r="AO65" s="886"/>
      <c r="AP65" s="886"/>
      <c r="AV65" s="4" t="str">
        <f t="shared" si="8"/>
        <v>Escavação 1ª e 2ª categoria</v>
      </c>
      <c r="AW65" s="4" t="str">
        <f t="shared" si="9"/>
        <v xml:space="preserve">   Escavação, carga, transporte, descarga e espalhamento de solo de 1ª /2ª categoria para Retaludamento</v>
      </c>
    </row>
    <row r="66" spans="1:49" ht="15" customHeight="1" outlineLevel="2">
      <c r="A66" s="545" t="str">
        <f t="shared" ref="A66" si="205">IF(SUM(P66:V67)&gt;0,"S","N")</f>
        <v>N</v>
      </c>
      <c r="B66" s="526">
        <v>1069764</v>
      </c>
      <c r="C66" s="526" t="s">
        <v>253</v>
      </c>
      <c r="D66" s="527" t="s">
        <v>254</v>
      </c>
      <c r="E66" s="892" t="s">
        <v>252</v>
      </c>
      <c r="F66" s="902" t="s">
        <v>36</v>
      </c>
      <c r="G66" s="528"/>
      <c r="H66" s="546" t="s">
        <v>37</v>
      </c>
      <c r="I66" s="711">
        <v>0</v>
      </c>
      <c r="J66" s="896" t="str">
        <f t="shared" ref="J66" si="206">IFERROR((I67/I66),"-")</f>
        <v>-</v>
      </c>
      <c r="K66" s="528"/>
      <c r="L66" s="546" t="s">
        <v>37</v>
      </c>
      <c r="M66" s="711">
        <f t="shared" si="16"/>
        <v>0</v>
      </c>
      <c r="N66" s="896" t="str">
        <f>IFERROR((M67/M66),"-")</f>
        <v>-</v>
      </c>
      <c r="O66" s="528"/>
      <c r="P66" s="547">
        <v>0</v>
      </c>
      <c r="Q66" s="547">
        <v>0</v>
      </c>
      <c r="R66" s="547">
        <v>0</v>
      </c>
      <c r="S66" s="547">
        <v>0</v>
      </c>
      <c r="T66" s="547">
        <v>0</v>
      </c>
      <c r="U66" s="547">
        <v>0</v>
      </c>
      <c r="V66" s="548">
        <v>0</v>
      </c>
      <c r="W66" s="528"/>
      <c r="X66" s="711">
        <f t="shared" si="172"/>
        <v>0</v>
      </c>
      <c r="Y66" s="896" t="str">
        <f t="shared" ref="Y66" si="207">IFERROR((X67/X66),"-")</f>
        <v>-</v>
      </c>
      <c r="Z66" s="528"/>
      <c r="AA66" s="898">
        <v>1296.8</v>
      </c>
      <c r="AB66" s="898">
        <v>1257.8</v>
      </c>
      <c r="AC66" s="898">
        <v>0</v>
      </c>
      <c r="AD66" s="900">
        <f t="shared" ref="AD66" si="208">IFERROR((AC66/AB66),"-")</f>
        <v>0</v>
      </c>
      <c r="AE66" s="2"/>
      <c r="AF66" s="886">
        <v>13358.173000000001</v>
      </c>
      <c r="AG66" s="886">
        <v>0</v>
      </c>
      <c r="AH66" s="884">
        <v>0</v>
      </c>
      <c r="AI66" s="886"/>
      <c r="AJ66" s="886"/>
      <c r="AK66" s="884">
        <f t="shared" ref="AK66" si="209">AF66+AG66+AH66+AI66+AJ66+AC66</f>
        <v>13358.173000000001</v>
      </c>
      <c r="AL66" s="884">
        <v>14795.969999999998</v>
      </c>
      <c r="AM66" s="878">
        <f t="shared" ref="AM66" si="210">IFERROR((AK66/AL66),"-")</f>
        <v>0.90282509358967356</v>
      </c>
      <c r="AN66" s="2"/>
      <c r="AO66" s="884">
        <v>14834.97</v>
      </c>
      <c r="AP66" s="884">
        <f t="shared" ref="AP66" si="211">AO66-AK66</f>
        <v>1476.7969999999987</v>
      </c>
      <c r="AV66" s="4" t="str">
        <f t="shared" si="8"/>
        <v>Escavação 1ª e 2ª categoria</v>
      </c>
      <c r="AW66" s="4" t="str">
        <f t="shared" si="9"/>
        <v xml:space="preserve">   Escavação, carga, transporte, descarga e espalhamento de solo de 1ª /2ª categoria para Retaludamento</v>
      </c>
    </row>
    <row r="67" spans="1:49" ht="15" customHeight="1" outlineLevel="2">
      <c r="A67" s="545" t="str">
        <f t="shared" ref="A67" si="212">A66</f>
        <v>N</v>
      </c>
      <c r="B67" s="526"/>
      <c r="C67" s="526"/>
      <c r="D67" s="527" t="s">
        <v>254</v>
      </c>
      <c r="E67" s="893"/>
      <c r="F67" s="902"/>
      <c r="G67" s="528"/>
      <c r="H67" s="549" t="s">
        <v>38</v>
      </c>
      <c r="I67" s="711">
        <v>0</v>
      </c>
      <c r="J67" s="897"/>
      <c r="K67" s="528"/>
      <c r="L67" s="549" t="s">
        <v>38</v>
      </c>
      <c r="M67" s="711">
        <f t="shared" si="16"/>
        <v>0</v>
      </c>
      <c r="N67" s="897"/>
      <c r="O67" s="528"/>
      <c r="P67" s="711">
        <v>0</v>
      </c>
      <c r="Q67" s="711">
        <v>0</v>
      </c>
      <c r="R67" s="711">
        <v>0</v>
      </c>
      <c r="S67" s="711">
        <v>0</v>
      </c>
      <c r="T67" s="711">
        <v>0</v>
      </c>
      <c r="U67" s="711">
        <v>0</v>
      </c>
      <c r="V67" s="711">
        <v>0</v>
      </c>
      <c r="W67" s="528"/>
      <c r="X67" s="711">
        <f t="shared" si="172"/>
        <v>0</v>
      </c>
      <c r="Y67" s="897"/>
      <c r="Z67" s="528"/>
      <c r="AA67" s="899"/>
      <c r="AB67" s="899"/>
      <c r="AC67" s="899"/>
      <c r="AD67" s="901"/>
      <c r="AE67" s="2"/>
      <c r="AF67" s="926"/>
      <c r="AG67" s="926"/>
      <c r="AH67" s="885"/>
      <c r="AI67" s="926"/>
      <c r="AJ67" s="926"/>
      <c r="AK67" s="885"/>
      <c r="AL67" s="885"/>
      <c r="AM67" s="879"/>
      <c r="AN67" s="2"/>
      <c r="AO67" s="886"/>
      <c r="AP67" s="886"/>
      <c r="AV67" s="4" t="str">
        <f t="shared" si="8"/>
        <v>Escavação 1ª e 2ª categoria</v>
      </c>
      <c r="AW67" s="4" t="str">
        <f t="shared" si="9"/>
        <v xml:space="preserve">   Escavação, carga, transporte, descarga e espalhamento de solo de 1ª /2ª categoria para Retaludamento</v>
      </c>
    </row>
    <row r="68" spans="1:49" ht="15" customHeight="1" outlineLevel="2">
      <c r="A68" s="525" t="str">
        <f t="shared" ref="A68" si="213">IF(SUM(P68:V69)&gt;0,"S","N")</f>
        <v>N</v>
      </c>
      <c r="B68" s="526">
        <v>1069765</v>
      </c>
      <c r="C68" s="526" t="s">
        <v>255</v>
      </c>
      <c r="D68" s="527" t="s">
        <v>256</v>
      </c>
      <c r="E68" s="892" t="s">
        <v>257</v>
      </c>
      <c r="F68" s="902" t="s">
        <v>36</v>
      </c>
      <c r="G68" s="528"/>
      <c r="H68" s="546" t="s">
        <v>37</v>
      </c>
      <c r="I68" s="711">
        <v>0</v>
      </c>
      <c r="J68" s="896" t="str">
        <f t="shared" ref="J68" si="214">IFERROR((I69/I68),"-")</f>
        <v>-</v>
      </c>
      <c r="K68" s="528"/>
      <c r="L68" s="546" t="s">
        <v>37</v>
      </c>
      <c r="M68" s="711">
        <f t="shared" si="16"/>
        <v>0</v>
      </c>
      <c r="N68" s="896" t="str">
        <f>IFERROR((M69/M68),"-")</f>
        <v>-</v>
      </c>
      <c r="O68" s="528"/>
      <c r="P68" s="547">
        <v>0</v>
      </c>
      <c r="Q68" s="547">
        <v>0</v>
      </c>
      <c r="R68" s="547">
        <v>0</v>
      </c>
      <c r="S68" s="547">
        <v>0</v>
      </c>
      <c r="T68" s="547">
        <v>0</v>
      </c>
      <c r="U68" s="547">
        <v>0</v>
      </c>
      <c r="V68" s="548">
        <v>0</v>
      </c>
      <c r="W68" s="528"/>
      <c r="X68" s="711">
        <f t="shared" si="172"/>
        <v>0</v>
      </c>
      <c r="Y68" s="896" t="str">
        <f t="shared" ref="Y68" si="215">IFERROR((X69/X68),"-")</f>
        <v>-</v>
      </c>
      <c r="Z68" s="528"/>
      <c r="AA68" s="898">
        <v>972.4</v>
      </c>
      <c r="AB68" s="898">
        <v>972.41000000000008</v>
      </c>
      <c r="AC68" s="898">
        <v>0</v>
      </c>
      <c r="AD68" s="900">
        <f t="shared" ref="AD68" si="216">IFERROR((AC68/AB68),"-")</f>
        <v>0</v>
      </c>
      <c r="AE68" s="2"/>
      <c r="AF68" s="886">
        <v>15285.141</v>
      </c>
      <c r="AG68" s="886">
        <v>6186.5280000000002</v>
      </c>
      <c r="AH68" s="884">
        <v>0</v>
      </c>
      <c r="AI68" s="886">
        <v>4483.2269999999999</v>
      </c>
      <c r="AJ68" s="886">
        <v>662.17399999999998</v>
      </c>
      <c r="AK68" s="884">
        <f t="shared" ref="AK68" si="217">AF68+AG68+AH68+AI68+AJ68+AC68</f>
        <v>26617.07</v>
      </c>
      <c r="AL68" s="884">
        <v>38143.659999999945</v>
      </c>
      <c r="AM68" s="878">
        <f t="shared" ref="AM68" si="218">IFERROR((AK68/AL68),"-")</f>
        <v>0.69781111723416256</v>
      </c>
      <c r="AN68" s="2"/>
      <c r="AO68" s="884">
        <v>38152.81</v>
      </c>
      <c r="AP68" s="884">
        <f t="shared" ref="AP68" si="219">AO68-AK68</f>
        <v>11535.739999999998</v>
      </c>
      <c r="AV68" s="4" t="str">
        <f t="shared" si="8"/>
        <v>Escavação 1ª e 2ª categoria</v>
      </c>
      <c r="AW68" s="4" t="str">
        <f t="shared" si="9"/>
        <v xml:space="preserve">   Escavação, carga, transporte, descarga e espalhamento de solo de 1ª /2ª categoria para Retaludamento - C13</v>
      </c>
    </row>
    <row r="69" spans="1:49" ht="15" customHeight="1" outlineLevel="2">
      <c r="A69" s="525" t="str">
        <f t="shared" ref="A69" si="220">A68</f>
        <v>N</v>
      </c>
      <c r="B69" s="526"/>
      <c r="C69" s="526"/>
      <c r="D69" s="527" t="s">
        <v>256</v>
      </c>
      <c r="E69" s="893"/>
      <c r="F69" s="902"/>
      <c r="G69" s="528"/>
      <c r="H69" s="549" t="s">
        <v>38</v>
      </c>
      <c r="I69" s="711">
        <v>0</v>
      </c>
      <c r="J69" s="897"/>
      <c r="K69" s="528"/>
      <c r="L69" s="549" t="s">
        <v>38</v>
      </c>
      <c r="M69" s="711">
        <f t="shared" si="16"/>
        <v>0</v>
      </c>
      <c r="N69" s="897"/>
      <c r="O69" s="528"/>
      <c r="P69" s="711">
        <v>0</v>
      </c>
      <c r="Q69" s="711">
        <v>0</v>
      </c>
      <c r="R69" s="711">
        <v>0</v>
      </c>
      <c r="S69" s="711">
        <v>0</v>
      </c>
      <c r="T69" s="711">
        <v>0</v>
      </c>
      <c r="U69" s="711">
        <v>0</v>
      </c>
      <c r="V69" s="711">
        <v>0</v>
      </c>
      <c r="W69" s="528"/>
      <c r="X69" s="711">
        <f t="shared" si="172"/>
        <v>0</v>
      </c>
      <c r="Y69" s="897"/>
      <c r="Z69" s="528"/>
      <c r="AA69" s="899"/>
      <c r="AB69" s="899"/>
      <c r="AC69" s="899"/>
      <c r="AD69" s="901"/>
      <c r="AE69" s="2"/>
      <c r="AF69" s="926"/>
      <c r="AG69" s="926"/>
      <c r="AH69" s="885"/>
      <c r="AI69" s="926"/>
      <c r="AJ69" s="926"/>
      <c r="AK69" s="885"/>
      <c r="AL69" s="885"/>
      <c r="AM69" s="879"/>
      <c r="AN69" s="2"/>
      <c r="AO69" s="886"/>
      <c r="AP69" s="886"/>
      <c r="AV69" s="4" t="str">
        <f t="shared" si="8"/>
        <v>Escavação 1ª e 2ª categoria</v>
      </c>
      <c r="AW69" s="4" t="str">
        <f t="shared" si="9"/>
        <v xml:space="preserve">   Escavação, carga, transporte, descarga e espalhamento de solo de 1ª /2ª categoria para Retaludamento - C13</v>
      </c>
    </row>
    <row r="70" spans="1:49" ht="15" customHeight="1" outlineLevel="2">
      <c r="A70" s="525" t="str">
        <f t="shared" ref="A70" si="221">IF(SUM(P70:V71)&gt;0,"S","N")</f>
        <v>N</v>
      </c>
      <c r="B70" s="526">
        <v>1069843</v>
      </c>
      <c r="C70" s="526" t="s">
        <v>258</v>
      </c>
      <c r="D70" s="527" t="s">
        <v>259</v>
      </c>
      <c r="E70" s="892" t="s">
        <v>260</v>
      </c>
      <c r="F70" s="894" t="s">
        <v>36</v>
      </c>
      <c r="G70" s="528"/>
      <c r="H70" s="546" t="s">
        <v>37</v>
      </c>
      <c r="I70" s="711">
        <v>0</v>
      </c>
      <c r="J70" s="896" t="str">
        <f t="shared" ref="J70" si="222">IFERROR((I71/I70),"-")</f>
        <v>-</v>
      </c>
      <c r="K70" s="528"/>
      <c r="L70" s="546" t="s">
        <v>37</v>
      </c>
      <c r="M70" s="711">
        <f t="shared" si="16"/>
        <v>0</v>
      </c>
      <c r="N70" s="896" t="str">
        <f>IFERROR((M71/M70),"-")</f>
        <v>-</v>
      </c>
      <c r="O70" s="528"/>
      <c r="P70" s="547">
        <v>0</v>
      </c>
      <c r="Q70" s="547">
        <v>0</v>
      </c>
      <c r="R70" s="547">
        <v>0</v>
      </c>
      <c r="S70" s="547">
        <v>0</v>
      </c>
      <c r="T70" s="547">
        <v>0</v>
      </c>
      <c r="U70" s="547">
        <v>0</v>
      </c>
      <c r="V70" s="548">
        <v>0</v>
      </c>
      <c r="W70" s="528"/>
      <c r="X70" s="711">
        <f t="shared" si="172"/>
        <v>0</v>
      </c>
      <c r="Y70" s="896" t="str">
        <f t="shared" ref="Y70" si="223">IFERROR((X71/X70),"-")</f>
        <v>-</v>
      </c>
      <c r="Z70" s="528"/>
      <c r="AA70" s="898">
        <v>30316.959999999999</v>
      </c>
      <c r="AB70" s="898">
        <v>28634.160000000003</v>
      </c>
      <c r="AC70" s="898">
        <v>2130</v>
      </c>
      <c r="AD70" s="900">
        <f t="shared" ref="AD70" si="224">IFERROR((AC70/AB70),"-")</f>
        <v>7.438667661282887E-2</v>
      </c>
      <c r="AE70" s="2"/>
      <c r="AF70" s="886">
        <v>28127.989000000001</v>
      </c>
      <c r="AG70" s="886">
        <v>2220.27</v>
      </c>
      <c r="AH70" s="884">
        <v>7220</v>
      </c>
      <c r="AI70" s="886">
        <v>2490.8229999999999</v>
      </c>
      <c r="AJ70" s="886"/>
      <c r="AK70" s="884">
        <f t="shared" ref="AK70" si="225">AF70+AG70+AH70+AI70+AJ70+AC70</f>
        <v>42189.082000000002</v>
      </c>
      <c r="AL70" s="884">
        <v>50684.560000000019</v>
      </c>
      <c r="AM70" s="878">
        <f t="shared" ref="AM70" si="226">IFERROR((AK70/AL70),"-")</f>
        <v>0.83238528656458666</v>
      </c>
      <c r="AN70" s="2"/>
      <c r="AO70" s="884">
        <v>52368</v>
      </c>
      <c r="AP70" s="884">
        <f t="shared" ref="AP70" si="227">AO70-AK70</f>
        <v>10178.917999999998</v>
      </c>
      <c r="AV70" s="4" t="str">
        <f t="shared" si="8"/>
        <v>Escavação 1ª e 2ª categoria</v>
      </c>
      <c r="AW70" s="4" t="str">
        <f t="shared" si="9"/>
        <v xml:space="preserve">   Escavação, carga, transporte, descarga e espalhamento de solo de 1ª /2ª categoria para Retaludamento - C07</v>
      </c>
    </row>
    <row r="71" spans="1:49" ht="15" customHeight="1" outlineLevel="2">
      <c r="A71" s="525" t="str">
        <f t="shared" ref="A71" si="228">A70</f>
        <v>N</v>
      </c>
      <c r="B71" s="526"/>
      <c r="C71" s="526"/>
      <c r="D71" s="527" t="s">
        <v>259</v>
      </c>
      <c r="E71" s="893"/>
      <c r="F71" s="895"/>
      <c r="G71" s="528"/>
      <c r="H71" s="549" t="s">
        <v>38</v>
      </c>
      <c r="I71" s="711">
        <v>0</v>
      </c>
      <c r="J71" s="897"/>
      <c r="K71" s="528"/>
      <c r="L71" s="549" t="s">
        <v>38</v>
      </c>
      <c r="M71" s="711">
        <f t="shared" si="16"/>
        <v>0</v>
      </c>
      <c r="N71" s="897"/>
      <c r="O71" s="528"/>
      <c r="P71" s="711">
        <v>0</v>
      </c>
      <c r="Q71" s="711">
        <v>0</v>
      </c>
      <c r="R71" s="711">
        <v>0</v>
      </c>
      <c r="S71" s="711">
        <v>0</v>
      </c>
      <c r="T71" s="711">
        <v>0</v>
      </c>
      <c r="U71" s="711">
        <v>0</v>
      </c>
      <c r="V71" s="711">
        <v>0</v>
      </c>
      <c r="W71" s="528"/>
      <c r="X71" s="711">
        <f t="shared" si="172"/>
        <v>0</v>
      </c>
      <c r="Y71" s="897"/>
      <c r="Z71" s="528"/>
      <c r="AA71" s="899"/>
      <c r="AB71" s="899"/>
      <c r="AC71" s="899"/>
      <c r="AD71" s="901"/>
      <c r="AE71" s="2"/>
      <c r="AF71" s="926"/>
      <c r="AG71" s="926"/>
      <c r="AH71" s="885"/>
      <c r="AI71" s="926"/>
      <c r="AJ71" s="926"/>
      <c r="AK71" s="885"/>
      <c r="AL71" s="885"/>
      <c r="AM71" s="879"/>
      <c r="AN71" s="2"/>
      <c r="AO71" s="886"/>
      <c r="AP71" s="886"/>
      <c r="AV71" s="4" t="str">
        <f t="shared" si="8"/>
        <v>Escavação 1ª e 2ª categoria</v>
      </c>
      <c r="AW71" s="4" t="str">
        <f t="shared" si="9"/>
        <v xml:space="preserve">   Escavação, carga, transporte, descarga e espalhamento de solo de 1ª /2ª categoria para Retaludamento - C07</v>
      </c>
    </row>
    <row r="72" spans="1:49" ht="15" customHeight="1" outlineLevel="2">
      <c r="A72" s="545" t="str">
        <f t="shared" ref="A72" si="229">IF(SUM(P72:V73)&gt;0,"S","N")</f>
        <v>N</v>
      </c>
      <c r="B72" s="526">
        <v>1069861</v>
      </c>
      <c r="C72" s="526" t="s">
        <v>261</v>
      </c>
      <c r="D72" s="527" t="s">
        <v>262</v>
      </c>
      <c r="E72" s="892" t="s">
        <v>263</v>
      </c>
      <c r="F72" s="902" t="s">
        <v>36</v>
      </c>
      <c r="G72" s="528"/>
      <c r="H72" s="546" t="s">
        <v>37</v>
      </c>
      <c r="I72" s="711">
        <v>0</v>
      </c>
      <c r="J72" s="896" t="str">
        <f t="shared" ref="J72" si="230">IFERROR((I73/I72),"-")</f>
        <v>-</v>
      </c>
      <c r="K72" s="528"/>
      <c r="L72" s="546" t="s">
        <v>37</v>
      </c>
      <c r="M72" s="711">
        <f>_xlfn.XLOOKUP($N$8,$P$8:$V$8,$P72:$V72)</f>
        <v>0</v>
      </c>
      <c r="N72" s="896" t="str">
        <f>IFERROR((M73/M72),"-")</f>
        <v>-</v>
      </c>
      <c r="O72" s="528"/>
      <c r="P72" s="547">
        <v>0</v>
      </c>
      <c r="Q72" s="547">
        <v>0</v>
      </c>
      <c r="R72" s="547">
        <v>0</v>
      </c>
      <c r="S72" s="547">
        <v>0</v>
      </c>
      <c r="T72" s="547">
        <v>0</v>
      </c>
      <c r="U72" s="547">
        <v>0</v>
      </c>
      <c r="V72" s="548">
        <v>0</v>
      </c>
      <c r="W72" s="528"/>
      <c r="X72" s="711">
        <f t="shared" si="172"/>
        <v>0</v>
      </c>
      <c r="Y72" s="896" t="str">
        <f t="shared" ref="Y72" si="231">IFERROR((X73/X72),"-")</f>
        <v>-</v>
      </c>
      <c r="Z72" s="528"/>
      <c r="AA72" s="898">
        <v>0</v>
      </c>
      <c r="AB72" s="898">
        <v>0</v>
      </c>
      <c r="AC72" s="898">
        <v>0</v>
      </c>
      <c r="AD72" s="900" t="str">
        <f t="shared" ref="AD72" si="232">IFERROR((AC72/AB72),"-")</f>
        <v>-</v>
      </c>
      <c r="AE72" s="2"/>
      <c r="AF72" s="886">
        <v>0</v>
      </c>
      <c r="AG72" s="886">
        <v>0</v>
      </c>
      <c r="AH72" s="884">
        <v>0</v>
      </c>
      <c r="AI72" s="886"/>
      <c r="AJ72" s="886"/>
      <c r="AK72" s="884">
        <f t="shared" ref="AK72" si="233">AF72+AG72+AH72+AI72+AJ72+AC72</f>
        <v>0</v>
      </c>
      <c r="AL72" s="884">
        <v>1760</v>
      </c>
      <c r="AM72" s="878">
        <f t="shared" ref="AM72" si="234">IFERROR((AK72/AL72),"-")</f>
        <v>0</v>
      </c>
      <c r="AN72" s="2"/>
      <c r="AO72" s="884">
        <v>2053</v>
      </c>
      <c r="AP72" s="884">
        <f t="shared" ref="AP72" si="235">AO72-AK72</f>
        <v>2053</v>
      </c>
      <c r="AV72" s="4" t="str">
        <f t="shared" si="8"/>
        <v>Escavação 1ª e 2ª categoria</v>
      </c>
      <c r="AW72" s="4" t="str">
        <f t="shared" si="9"/>
        <v>Escavação, carga e transporte de material 1ª/2ª categoria - Seg.2.2B acesso km 115+606</v>
      </c>
    </row>
    <row r="73" spans="1:49" ht="15" customHeight="1" outlineLevel="2">
      <c r="A73" s="545" t="str">
        <f t="shared" ref="A73" si="236">A72</f>
        <v>N</v>
      </c>
      <c r="B73" s="526"/>
      <c r="C73" s="526"/>
      <c r="D73" s="527" t="s">
        <v>262</v>
      </c>
      <c r="E73" s="893"/>
      <c r="F73" s="902"/>
      <c r="G73" s="528"/>
      <c r="H73" s="549" t="s">
        <v>38</v>
      </c>
      <c r="I73" s="711">
        <v>0</v>
      </c>
      <c r="J73" s="897"/>
      <c r="K73" s="528"/>
      <c r="L73" s="549" t="s">
        <v>38</v>
      </c>
      <c r="M73" s="711">
        <f>_xlfn.XLOOKUP($N$8,$P$8:$V$8,$P73:$V73)</f>
        <v>0</v>
      </c>
      <c r="N73" s="897"/>
      <c r="O73" s="528"/>
      <c r="P73" s="711">
        <v>0</v>
      </c>
      <c r="Q73" s="711">
        <v>0</v>
      </c>
      <c r="R73" s="711">
        <v>0</v>
      </c>
      <c r="S73" s="711">
        <v>0</v>
      </c>
      <c r="T73" s="711">
        <v>0</v>
      </c>
      <c r="U73" s="711">
        <v>0</v>
      </c>
      <c r="V73" s="711">
        <v>0</v>
      </c>
      <c r="W73" s="528"/>
      <c r="X73" s="711">
        <f t="shared" si="172"/>
        <v>0</v>
      </c>
      <c r="Y73" s="897"/>
      <c r="Z73" s="528"/>
      <c r="AA73" s="899"/>
      <c r="AB73" s="899"/>
      <c r="AC73" s="899"/>
      <c r="AD73" s="901"/>
      <c r="AE73" s="2"/>
      <c r="AF73" s="926"/>
      <c r="AG73" s="926"/>
      <c r="AH73" s="885"/>
      <c r="AI73" s="926"/>
      <c r="AJ73" s="926"/>
      <c r="AK73" s="885"/>
      <c r="AL73" s="885"/>
      <c r="AM73" s="879"/>
      <c r="AN73" s="2"/>
      <c r="AO73" s="886"/>
      <c r="AP73" s="886"/>
      <c r="AV73" s="4" t="str">
        <f t="shared" si="8"/>
        <v>Escavação 1ª e 2ª categoria</v>
      </c>
      <c r="AW73" s="4" t="str">
        <f t="shared" si="9"/>
        <v>Escavação, carga e transporte de material 1ª/2ª categoria - Seg.2.2B acesso km 115+606</v>
      </c>
    </row>
    <row r="74" spans="1:49" ht="15" customHeight="1" outlineLevel="2">
      <c r="A74" s="545" t="str">
        <f>IF(SUM(P74:V75)&gt;0,"S","N")</f>
        <v>N</v>
      </c>
      <c r="B74" s="526">
        <v>1060046</v>
      </c>
      <c r="C74" s="526" t="s">
        <v>264</v>
      </c>
      <c r="D74" s="527" t="s">
        <v>265</v>
      </c>
      <c r="E74" s="892" t="s">
        <v>246</v>
      </c>
      <c r="F74" s="902" t="s">
        <v>36</v>
      </c>
      <c r="G74" s="528"/>
      <c r="H74" s="546" t="s">
        <v>37</v>
      </c>
      <c r="I74" s="711">
        <v>0</v>
      </c>
      <c r="J74" s="896" t="str">
        <f>IFERROR((I75/I74),"-")</f>
        <v>-</v>
      </c>
      <c r="K74" s="528"/>
      <c r="L74" s="546" t="s">
        <v>37</v>
      </c>
      <c r="M74" s="711">
        <f>_xlfn.XLOOKUP($N$8,$P$8:$V$8,$P74:$V74)</f>
        <v>0</v>
      </c>
      <c r="N74" s="896" t="str">
        <f>IFERROR((M75/M74),"-")</f>
        <v>-</v>
      </c>
      <c r="O74" s="528"/>
      <c r="P74" s="547">
        <v>0</v>
      </c>
      <c r="Q74" s="547">
        <v>0</v>
      </c>
      <c r="R74" s="547">
        <v>0</v>
      </c>
      <c r="S74" s="547">
        <v>0</v>
      </c>
      <c r="T74" s="547">
        <v>0</v>
      </c>
      <c r="U74" s="547">
        <v>0</v>
      </c>
      <c r="V74" s="548">
        <v>0</v>
      </c>
      <c r="W74" s="528"/>
      <c r="X74" s="711">
        <f>SUMIFS(P74:V74,$P$8:$V$8,"&gt;="&amp;$P$8,$P$8:$V$8,"&lt;="&amp;$N$8)</f>
        <v>0</v>
      </c>
      <c r="Y74" s="896" t="str">
        <f>IFERROR((X75/X74),"0")</f>
        <v>0</v>
      </c>
      <c r="Z74" s="528"/>
      <c r="AA74" s="898">
        <v>5080.54</v>
      </c>
      <c r="AB74" s="898">
        <v>5080.5600000000004</v>
      </c>
      <c r="AC74" s="898">
        <v>0</v>
      </c>
      <c r="AD74" s="900">
        <f>IFERROR((AC74/AB74),"-")</f>
        <v>0</v>
      </c>
      <c r="AE74" s="2"/>
      <c r="AF74" s="886">
        <v>34855.909</v>
      </c>
      <c r="AG74" s="886"/>
      <c r="AH74" s="884">
        <v>0</v>
      </c>
      <c r="AI74" s="886"/>
      <c r="AJ74" s="886">
        <v>2670.28</v>
      </c>
      <c r="AK74" s="884">
        <f t="shared" ref="AK74" si="237">AF74+AG74+AH74+AI74+AJ74+AC74</f>
        <v>37526.188999999998</v>
      </c>
      <c r="AL74" s="884">
        <v>42606.770000000026</v>
      </c>
      <c r="AM74" s="878">
        <f t="shared" ref="AM74" si="238">IFERROR((AK74/AL74),"-")</f>
        <v>0.88075648541299834</v>
      </c>
      <c r="AN74" s="2"/>
      <c r="AO74" s="884">
        <v>42606.98</v>
      </c>
      <c r="AP74" s="884">
        <f t="shared" ref="AP74" si="239">AO74-AK74</f>
        <v>5080.7910000000047</v>
      </c>
      <c r="AV74" s="4" t="str">
        <f t="shared" si="8"/>
        <v>Escavação 1ª e 2ª categoria</v>
      </c>
      <c r="AW74" s="4" t="str">
        <f t="shared" si="9"/>
        <v xml:space="preserve">   Escavação, carga e transporte de material 1ª/2ª categoria</v>
      </c>
    </row>
    <row r="75" spans="1:49" ht="15" customHeight="1" outlineLevel="2">
      <c r="A75" s="545" t="str">
        <f>A74</f>
        <v>N</v>
      </c>
      <c r="B75" s="526"/>
      <c r="C75" s="526"/>
      <c r="D75" s="527" t="s">
        <v>265</v>
      </c>
      <c r="E75" s="893"/>
      <c r="F75" s="902"/>
      <c r="G75" s="528"/>
      <c r="H75" s="549" t="s">
        <v>38</v>
      </c>
      <c r="I75" s="711">
        <v>0</v>
      </c>
      <c r="J75" s="897"/>
      <c r="K75" s="528"/>
      <c r="L75" s="549" t="s">
        <v>38</v>
      </c>
      <c r="M75" s="711">
        <f>_xlfn.XLOOKUP($N$8,$P$8:$V$8,$P75:$V75)</f>
        <v>0</v>
      </c>
      <c r="N75" s="897"/>
      <c r="O75" s="528"/>
      <c r="P75" s="711">
        <v>0</v>
      </c>
      <c r="Q75" s="711">
        <v>0</v>
      </c>
      <c r="R75" s="711">
        <v>0</v>
      </c>
      <c r="S75" s="711">
        <v>0</v>
      </c>
      <c r="T75" s="711">
        <v>0</v>
      </c>
      <c r="U75" s="711">
        <v>0</v>
      </c>
      <c r="V75" s="711">
        <v>0</v>
      </c>
      <c r="W75" s="528"/>
      <c r="X75" s="711">
        <f>SUMIFS(P75:V75,$P$8:$V$8,"&gt;="&amp;$P$8,$P$8:$V$8,"&lt;="&amp;$N$8)</f>
        <v>0</v>
      </c>
      <c r="Y75" s="897"/>
      <c r="Z75" s="528"/>
      <c r="AA75" s="899"/>
      <c r="AB75" s="899"/>
      <c r="AC75" s="899"/>
      <c r="AD75" s="901"/>
      <c r="AE75" s="2"/>
      <c r="AF75" s="926"/>
      <c r="AG75" s="926"/>
      <c r="AH75" s="885"/>
      <c r="AI75" s="926"/>
      <c r="AJ75" s="926"/>
      <c r="AK75" s="885"/>
      <c r="AL75" s="885"/>
      <c r="AM75" s="879"/>
      <c r="AN75" s="2"/>
      <c r="AO75" s="886"/>
      <c r="AP75" s="886"/>
      <c r="AV75" s="4" t="str">
        <f t="shared" si="8"/>
        <v>Escavação 1ª e 2ª categoria</v>
      </c>
      <c r="AW75" s="4" t="str">
        <f t="shared" si="9"/>
        <v xml:space="preserve">   Escavação, carga e transporte de material 1ª/2ª categoria</v>
      </c>
    </row>
    <row r="76" spans="1:49" ht="15" customHeight="1" outlineLevel="2">
      <c r="A76" s="545" t="str">
        <f t="shared" ref="A76" si="240">IF(SUM(P76:V77)&gt;0,"S","N")</f>
        <v>N</v>
      </c>
      <c r="B76" s="526" t="s">
        <v>266</v>
      </c>
      <c r="C76" s="526" t="s">
        <v>266</v>
      </c>
      <c r="D76" s="526" t="s">
        <v>267</v>
      </c>
      <c r="E76" s="892" t="s">
        <v>268</v>
      </c>
      <c r="F76" s="961" t="s">
        <v>36</v>
      </c>
      <c r="G76" s="552"/>
      <c r="H76" s="553" t="s">
        <v>37</v>
      </c>
      <c r="I76" s="712">
        <v>0</v>
      </c>
      <c r="J76" s="962" t="str">
        <f t="shared" ref="J76" si="241">IFERROR((I77/I76),"-")</f>
        <v>-</v>
      </c>
      <c r="K76" s="552"/>
      <c r="L76" s="553" t="s">
        <v>37</v>
      </c>
      <c r="M76" s="712">
        <f t="shared" ref="M76:M99" si="242">_xlfn.XLOOKUP($N$8,$P$8:$V$8,$P76:$V76)</f>
        <v>0</v>
      </c>
      <c r="N76" s="962" t="str">
        <f>IFERROR((M77/M76),"-")</f>
        <v>-</v>
      </c>
      <c r="O76" s="552"/>
      <c r="P76" s="548">
        <v>0</v>
      </c>
      <c r="Q76" s="548">
        <v>0</v>
      </c>
      <c r="R76" s="548">
        <v>0</v>
      </c>
      <c r="S76" s="548">
        <v>0</v>
      </c>
      <c r="T76" s="548">
        <v>0</v>
      </c>
      <c r="U76" s="548">
        <v>0</v>
      </c>
      <c r="V76" s="548">
        <v>0</v>
      </c>
      <c r="W76" s="552"/>
      <c r="X76" s="712">
        <f t="shared" ref="X76:X99" si="243">SUMIFS(P76:V76,$P$8:$V$8,"&gt;="&amp;$P$8,$P$8:$V$8,"&lt;="&amp;$N$8)</f>
        <v>0</v>
      </c>
      <c r="Y76" s="962" t="str">
        <f t="shared" ref="Y76" si="244">IFERROR((X77/X76),"-")</f>
        <v>-</v>
      </c>
      <c r="Z76" s="552"/>
      <c r="AA76" s="898">
        <v>0</v>
      </c>
      <c r="AB76" s="952">
        <v>0</v>
      </c>
      <c r="AC76" s="952">
        <v>0</v>
      </c>
      <c r="AD76" s="955" t="str">
        <f t="shared" ref="AD76" si="245">IFERROR((AC76/AB76),"-")</f>
        <v>-</v>
      </c>
      <c r="AE76" s="16"/>
      <c r="AF76" s="886">
        <v>0</v>
      </c>
      <c r="AG76" s="886">
        <v>0</v>
      </c>
      <c r="AH76" s="886">
        <v>560</v>
      </c>
      <c r="AI76" s="886"/>
      <c r="AJ76" s="886"/>
      <c r="AK76" s="884">
        <f t="shared" ref="AK76" si="246">AF76+AG76+AH76+AI76+AJ76+AC76</f>
        <v>560</v>
      </c>
      <c r="AL76" s="884">
        <v>0</v>
      </c>
      <c r="AM76" s="957" t="str">
        <f t="shared" ref="AM76" si="247">IFERROR((AK76/AL76),"-")</f>
        <v>-</v>
      </c>
      <c r="AN76" s="16"/>
      <c r="AO76" s="886">
        <v>0</v>
      </c>
      <c r="AP76" s="886">
        <f t="shared" ref="AP76" si="248">AO76-AK76</f>
        <v>-560</v>
      </c>
      <c r="AV76" s="4" t="str">
        <f t="shared" ref="AV76:AV139" si="249">IF(AX76="Y",LEFT(E76,20),IF(AX76="x",E76,AV75))</f>
        <v>Escavação 1ª e 2ª categoria</v>
      </c>
      <c r="AW76" s="4" t="str">
        <f t="shared" ref="AW76:AW139" si="250">IF(E76&lt;&gt;"",E76,AW75)</f>
        <v>ADMP  Corte 12</v>
      </c>
    </row>
    <row r="77" spans="1:49" ht="15" customHeight="1" outlineLevel="2">
      <c r="A77" s="545" t="str">
        <f t="shared" ref="A77" si="251">A76</f>
        <v>N</v>
      </c>
      <c r="B77" s="526" t="s">
        <v>266</v>
      </c>
      <c r="C77" s="526" t="s">
        <v>266</v>
      </c>
      <c r="D77" s="526" t="s">
        <v>267</v>
      </c>
      <c r="E77" s="893"/>
      <c r="F77" s="961"/>
      <c r="G77" s="552"/>
      <c r="H77" s="554" t="s">
        <v>38</v>
      </c>
      <c r="I77" s="712">
        <v>0</v>
      </c>
      <c r="J77" s="963"/>
      <c r="K77" s="552"/>
      <c r="L77" s="554" t="s">
        <v>38</v>
      </c>
      <c r="M77" s="712">
        <f t="shared" si="242"/>
        <v>0</v>
      </c>
      <c r="N77" s="963"/>
      <c r="O77" s="552"/>
      <c r="P77" s="712">
        <v>0</v>
      </c>
      <c r="Q77" s="712">
        <v>0</v>
      </c>
      <c r="R77" s="712">
        <v>0</v>
      </c>
      <c r="S77" s="712">
        <v>0</v>
      </c>
      <c r="T77" s="712">
        <v>0</v>
      </c>
      <c r="U77" s="712">
        <v>0</v>
      </c>
      <c r="V77" s="712">
        <v>0</v>
      </c>
      <c r="W77" s="552"/>
      <c r="X77" s="712">
        <f t="shared" si="243"/>
        <v>0</v>
      </c>
      <c r="Y77" s="963"/>
      <c r="Z77" s="552"/>
      <c r="AA77" s="899"/>
      <c r="AB77" s="953"/>
      <c r="AC77" s="953"/>
      <c r="AD77" s="956"/>
      <c r="AE77" s="16"/>
      <c r="AF77" s="926"/>
      <c r="AG77" s="926"/>
      <c r="AH77" s="926"/>
      <c r="AI77" s="926"/>
      <c r="AJ77" s="926"/>
      <c r="AK77" s="885"/>
      <c r="AL77" s="885"/>
      <c r="AM77" s="958"/>
      <c r="AN77" s="16"/>
      <c r="AO77" s="886"/>
      <c r="AP77" s="886"/>
      <c r="AV77" s="4" t="str">
        <f t="shared" si="249"/>
        <v>Escavação 1ª e 2ª categoria</v>
      </c>
      <c r="AW77" s="4" t="str">
        <f t="shared" si="250"/>
        <v>ADMP  Corte 12</v>
      </c>
    </row>
    <row r="78" spans="1:49" ht="15" customHeight="1" outlineLevel="2">
      <c r="A78" s="525" t="str">
        <f t="shared" ref="A78" si="252">IF(SUM(P78:V79)&gt;0,"S","N")</f>
        <v>S</v>
      </c>
      <c r="B78" s="526" t="s">
        <v>266</v>
      </c>
      <c r="C78" s="526" t="s">
        <v>266</v>
      </c>
      <c r="D78" s="526" t="s">
        <v>269</v>
      </c>
      <c r="E78" s="892" t="s">
        <v>270</v>
      </c>
      <c r="F78" s="961" t="s">
        <v>36</v>
      </c>
      <c r="G78" s="552"/>
      <c r="H78" s="553" t="s">
        <v>37</v>
      </c>
      <c r="I78" s="712">
        <v>0</v>
      </c>
      <c r="J78" s="962" t="str">
        <f t="shared" ref="J78" si="253">IFERROR((I79/I78),"-")</f>
        <v>-</v>
      </c>
      <c r="K78" s="552"/>
      <c r="L78" s="553" t="s">
        <v>37</v>
      </c>
      <c r="M78" s="712">
        <f t="shared" si="242"/>
        <v>0</v>
      </c>
      <c r="N78" s="962" t="str">
        <f>IFERROR((M79/M78),"-")</f>
        <v>-</v>
      </c>
      <c r="O78" s="552"/>
      <c r="P78" s="548">
        <v>0</v>
      </c>
      <c r="Q78" s="548">
        <v>0</v>
      </c>
      <c r="R78" s="548">
        <v>0</v>
      </c>
      <c r="S78" s="548">
        <v>0</v>
      </c>
      <c r="T78" s="548">
        <v>0</v>
      </c>
      <c r="U78" s="548">
        <v>0</v>
      </c>
      <c r="V78" s="548">
        <v>0</v>
      </c>
      <c r="W78" s="552"/>
      <c r="X78" s="712">
        <f t="shared" si="243"/>
        <v>0</v>
      </c>
      <c r="Y78" s="962" t="str">
        <f t="shared" ref="Y78" si="254">IFERROR((X79/X78),"-")</f>
        <v>-</v>
      </c>
      <c r="Z78" s="552"/>
      <c r="AA78" s="898">
        <v>0</v>
      </c>
      <c r="AB78" s="952">
        <v>0</v>
      </c>
      <c r="AC78" s="952">
        <v>1400</v>
      </c>
      <c r="AD78" s="955" t="str">
        <f t="shared" ref="AD78" si="255">IFERROR((AC78/AB78),"-")</f>
        <v>-</v>
      </c>
      <c r="AE78" s="16"/>
      <c r="AF78" s="886">
        <v>0</v>
      </c>
      <c r="AG78" s="886">
        <v>0</v>
      </c>
      <c r="AH78" s="886">
        <v>710</v>
      </c>
      <c r="AI78" s="886"/>
      <c r="AJ78" s="886"/>
      <c r="AK78" s="884">
        <f t="shared" ref="AK78" si="256">AF78+AG78+AH78+AI78+AJ78+AC78</f>
        <v>2110</v>
      </c>
      <c r="AL78" s="884">
        <v>0</v>
      </c>
      <c r="AM78" s="957" t="str">
        <f t="shared" ref="AM78" si="257">IFERROR((AK78/AL78),"-")</f>
        <v>-</v>
      </c>
      <c r="AN78" s="16"/>
      <c r="AO78" s="886">
        <v>0</v>
      </c>
      <c r="AP78" s="886">
        <f t="shared" ref="AP78" si="258">AO78-AK78</f>
        <v>-2110</v>
      </c>
      <c r="AV78" s="4" t="str">
        <f t="shared" si="249"/>
        <v>Escavação 1ª e 2ª categoria</v>
      </c>
      <c r="AW78" s="4" t="str">
        <f t="shared" si="250"/>
        <v>ADMP  Corte 4</v>
      </c>
    </row>
    <row r="79" spans="1:49" ht="15" customHeight="1" outlineLevel="2">
      <c r="A79" s="525" t="str">
        <f t="shared" ref="A79" si="259">A78</f>
        <v>S</v>
      </c>
      <c r="B79" s="526" t="s">
        <v>266</v>
      </c>
      <c r="C79" s="526" t="s">
        <v>266</v>
      </c>
      <c r="D79" s="526" t="s">
        <v>269</v>
      </c>
      <c r="E79" s="893"/>
      <c r="F79" s="961"/>
      <c r="G79" s="552"/>
      <c r="H79" s="554" t="s">
        <v>38</v>
      </c>
      <c r="I79" s="712">
        <v>410</v>
      </c>
      <c r="J79" s="963"/>
      <c r="K79" s="552"/>
      <c r="L79" s="554" t="s">
        <v>38</v>
      </c>
      <c r="M79" s="712">
        <f t="shared" si="242"/>
        <v>660</v>
      </c>
      <c r="N79" s="963"/>
      <c r="O79" s="552"/>
      <c r="P79" s="712">
        <v>330</v>
      </c>
      <c r="Q79" s="712">
        <v>660</v>
      </c>
      <c r="R79" s="712">
        <v>0</v>
      </c>
      <c r="S79" s="712">
        <v>0</v>
      </c>
      <c r="T79" s="712">
        <v>0</v>
      </c>
      <c r="U79" s="712">
        <v>0</v>
      </c>
      <c r="V79" s="712">
        <v>0</v>
      </c>
      <c r="W79" s="552"/>
      <c r="X79" s="712">
        <f t="shared" si="243"/>
        <v>990</v>
      </c>
      <c r="Y79" s="963"/>
      <c r="Z79" s="552"/>
      <c r="AA79" s="899"/>
      <c r="AB79" s="953"/>
      <c r="AC79" s="953"/>
      <c r="AD79" s="956"/>
      <c r="AE79" s="16"/>
      <c r="AF79" s="926"/>
      <c r="AG79" s="926"/>
      <c r="AH79" s="926"/>
      <c r="AI79" s="926"/>
      <c r="AJ79" s="926"/>
      <c r="AK79" s="885"/>
      <c r="AL79" s="885"/>
      <c r="AM79" s="958"/>
      <c r="AN79" s="16"/>
      <c r="AO79" s="886"/>
      <c r="AP79" s="886"/>
      <c r="AV79" s="4" t="str">
        <f t="shared" si="249"/>
        <v>Escavação 1ª e 2ª categoria</v>
      </c>
      <c r="AW79" s="4" t="str">
        <f t="shared" si="250"/>
        <v>ADMP  Corte 4</v>
      </c>
    </row>
    <row r="80" spans="1:49" ht="15" customHeight="1" outlineLevel="2">
      <c r="A80" s="525" t="str">
        <f t="shared" ref="A80" si="260">IF(SUM(P80:V81)&gt;0,"S","N")</f>
        <v>N</v>
      </c>
      <c r="B80" s="526" t="s">
        <v>266</v>
      </c>
      <c r="C80" s="526" t="s">
        <v>266</v>
      </c>
      <c r="D80" s="526" t="s">
        <v>271</v>
      </c>
      <c r="E80" s="892" t="s">
        <v>272</v>
      </c>
      <c r="F80" s="961" t="s">
        <v>36</v>
      </c>
      <c r="G80" s="552"/>
      <c r="H80" s="553" t="s">
        <v>37</v>
      </c>
      <c r="I80" s="712">
        <v>0</v>
      </c>
      <c r="J80" s="962" t="str">
        <f t="shared" ref="J80" si="261">IFERROR((I81/I80),"-")</f>
        <v>-</v>
      </c>
      <c r="K80" s="552"/>
      <c r="L80" s="553" t="s">
        <v>37</v>
      </c>
      <c r="M80" s="712">
        <f t="shared" si="242"/>
        <v>0</v>
      </c>
      <c r="N80" s="962" t="str">
        <f>IFERROR((M81/M80),"-")</f>
        <v>-</v>
      </c>
      <c r="O80" s="552"/>
      <c r="P80" s="548">
        <v>0</v>
      </c>
      <c r="Q80" s="548">
        <v>0</v>
      </c>
      <c r="R80" s="548">
        <v>0</v>
      </c>
      <c r="S80" s="548">
        <v>0</v>
      </c>
      <c r="T80" s="548">
        <v>0</v>
      </c>
      <c r="U80" s="548">
        <v>0</v>
      </c>
      <c r="V80" s="548">
        <v>0</v>
      </c>
      <c r="W80" s="552"/>
      <c r="X80" s="712">
        <f t="shared" si="243"/>
        <v>0</v>
      </c>
      <c r="Y80" s="962" t="str">
        <f t="shared" ref="Y80" si="262">IFERROR((X81/X80),"-")</f>
        <v>-</v>
      </c>
      <c r="Z80" s="552"/>
      <c r="AA80" s="898">
        <v>0</v>
      </c>
      <c r="AB80" s="952">
        <v>0</v>
      </c>
      <c r="AC80" s="952">
        <v>110</v>
      </c>
      <c r="AD80" s="955" t="str">
        <f t="shared" ref="AD80" si="263">IFERROR((AC80/AB80),"-")</f>
        <v>-</v>
      </c>
      <c r="AE80" s="16"/>
      <c r="AF80" s="886">
        <v>0</v>
      </c>
      <c r="AG80" s="886">
        <v>0</v>
      </c>
      <c r="AH80" s="886">
        <v>0</v>
      </c>
      <c r="AI80" s="886"/>
      <c r="AJ80" s="886"/>
      <c r="AK80" s="884">
        <f t="shared" ref="AK80" si="264">AF80+AG80+AH80+AI80+AJ80+AC80</f>
        <v>110</v>
      </c>
      <c r="AL80" s="884">
        <v>0</v>
      </c>
      <c r="AM80" s="957" t="str">
        <f t="shared" ref="AM80" si="265">IFERROR((AK80/AL80),"-")</f>
        <v>-</v>
      </c>
      <c r="AN80" s="16"/>
      <c r="AO80" s="886">
        <v>0</v>
      </c>
      <c r="AP80" s="886">
        <f t="shared" ref="AP80" si="266">AO80-AK80</f>
        <v>-110</v>
      </c>
      <c r="AV80" s="4" t="str">
        <f t="shared" si="249"/>
        <v>Escavação 1ª e 2ª categoria</v>
      </c>
      <c r="AW80" s="4" t="str">
        <f t="shared" si="250"/>
        <v>ADMP  Corte 9</v>
      </c>
    </row>
    <row r="81" spans="1:49" ht="15" customHeight="1" outlineLevel="2">
      <c r="A81" s="525" t="str">
        <f t="shared" ref="A81" si="267">A80</f>
        <v>N</v>
      </c>
      <c r="B81" s="526" t="s">
        <v>266</v>
      </c>
      <c r="C81" s="526" t="s">
        <v>266</v>
      </c>
      <c r="D81" s="526" t="s">
        <v>271</v>
      </c>
      <c r="E81" s="893"/>
      <c r="F81" s="961"/>
      <c r="G81" s="552"/>
      <c r="H81" s="554" t="s">
        <v>38</v>
      </c>
      <c r="I81" s="712">
        <v>0</v>
      </c>
      <c r="J81" s="963"/>
      <c r="K81" s="552"/>
      <c r="L81" s="554" t="s">
        <v>38</v>
      </c>
      <c r="M81" s="712">
        <f t="shared" si="242"/>
        <v>0</v>
      </c>
      <c r="N81" s="963"/>
      <c r="O81" s="552"/>
      <c r="P81" s="712">
        <v>0</v>
      </c>
      <c r="Q81" s="712">
        <v>0</v>
      </c>
      <c r="R81" s="712">
        <v>0</v>
      </c>
      <c r="S81" s="712">
        <v>0</v>
      </c>
      <c r="T81" s="712">
        <v>0</v>
      </c>
      <c r="U81" s="712">
        <v>0</v>
      </c>
      <c r="V81" s="712">
        <v>0</v>
      </c>
      <c r="W81" s="552"/>
      <c r="X81" s="712">
        <f t="shared" si="243"/>
        <v>0</v>
      </c>
      <c r="Y81" s="963"/>
      <c r="Z81" s="552"/>
      <c r="AA81" s="899"/>
      <c r="AB81" s="953"/>
      <c r="AC81" s="953"/>
      <c r="AD81" s="956"/>
      <c r="AE81" s="16"/>
      <c r="AF81" s="926"/>
      <c r="AG81" s="926"/>
      <c r="AH81" s="926"/>
      <c r="AI81" s="926"/>
      <c r="AJ81" s="926"/>
      <c r="AK81" s="885"/>
      <c r="AL81" s="885"/>
      <c r="AM81" s="958"/>
      <c r="AN81" s="16"/>
      <c r="AO81" s="886"/>
      <c r="AP81" s="886"/>
      <c r="AV81" s="4" t="str">
        <f t="shared" si="249"/>
        <v>Escavação 1ª e 2ª categoria</v>
      </c>
      <c r="AW81" s="4" t="str">
        <f t="shared" si="250"/>
        <v>ADMP  Corte 9</v>
      </c>
    </row>
    <row r="82" spans="1:49" ht="15" customHeight="1" outlineLevel="2">
      <c r="A82" s="525" t="str">
        <f t="shared" ref="A82" si="268">IF(SUM(P82:V83)&gt;0,"S","N")</f>
        <v>N</v>
      </c>
      <c r="B82" s="526" t="s">
        <v>266</v>
      </c>
      <c r="C82" s="526" t="s">
        <v>266</v>
      </c>
      <c r="D82" s="527" t="s">
        <v>273</v>
      </c>
      <c r="E82" s="892" t="s">
        <v>274</v>
      </c>
      <c r="F82" s="902" t="s">
        <v>36</v>
      </c>
      <c r="G82" s="528"/>
      <c r="H82" s="546" t="s">
        <v>37</v>
      </c>
      <c r="I82" s="711">
        <v>0</v>
      </c>
      <c r="J82" s="896" t="str">
        <f t="shared" ref="J82" si="269">IFERROR((I83/I82),"-")</f>
        <v>-</v>
      </c>
      <c r="K82" s="528"/>
      <c r="L82" s="546" t="s">
        <v>37</v>
      </c>
      <c r="M82" s="711">
        <f t="shared" si="242"/>
        <v>0</v>
      </c>
      <c r="N82" s="896" t="str">
        <f>IFERROR((M83/M82),"-")</f>
        <v>-</v>
      </c>
      <c r="O82" s="528"/>
      <c r="P82" s="547">
        <v>0</v>
      </c>
      <c r="Q82" s="547">
        <v>0</v>
      </c>
      <c r="R82" s="547">
        <v>0</v>
      </c>
      <c r="S82" s="547">
        <v>0</v>
      </c>
      <c r="T82" s="547">
        <v>0</v>
      </c>
      <c r="U82" s="547">
        <v>0</v>
      </c>
      <c r="V82" s="548">
        <v>0</v>
      </c>
      <c r="W82" s="528"/>
      <c r="X82" s="711">
        <f t="shared" si="243"/>
        <v>0</v>
      </c>
      <c r="Y82" s="896" t="str">
        <f t="shared" ref="Y82" si="270">IFERROR((X83/X82),"-")</f>
        <v>-</v>
      </c>
      <c r="Z82" s="528"/>
      <c r="AA82" s="898">
        <v>0</v>
      </c>
      <c r="AB82" s="898">
        <v>0</v>
      </c>
      <c r="AC82" s="898">
        <v>0</v>
      </c>
      <c r="AD82" s="900" t="str">
        <f t="shared" ref="AD82" si="271">IFERROR((AC82/AB82),"-")</f>
        <v>-</v>
      </c>
      <c r="AE82" s="2"/>
      <c r="AF82" s="886">
        <v>0</v>
      </c>
      <c r="AG82" s="886">
        <v>0</v>
      </c>
      <c r="AH82" s="884">
        <v>0</v>
      </c>
      <c r="AI82" s="886">
        <v>1357.4459999999999</v>
      </c>
      <c r="AJ82" s="886"/>
      <c r="AK82" s="884">
        <f t="shared" ref="AK82" si="272">AF82+AG82+AH82+AI82+AJ82+AC82</f>
        <v>1357.4459999999999</v>
      </c>
      <c r="AL82" s="884">
        <v>0</v>
      </c>
      <c r="AM82" s="878" t="str">
        <f t="shared" ref="AM82" si="273">IFERROR((AK82/AL82),"-")</f>
        <v>-</v>
      </c>
      <c r="AN82" s="2"/>
      <c r="AO82" s="884">
        <v>0</v>
      </c>
      <c r="AP82" s="884">
        <f t="shared" ref="AP82" si="274">AO82-AK82</f>
        <v>-1357.4459999999999</v>
      </c>
      <c r="AV82" s="4" t="str">
        <f t="shared" si="249"/>
        <v>Escavação 1ª e 2ª categoria</v>
      </c>
      <c r="AW82" s="4" t="str">
        <f t="shared" si="250"/>
        <v>Escavação Aterro 13 - Solo  mole</v>
      </c>
    </row>
    <row r="83" spans="1:49" ht="15" customHeight="1" outlineLevel="2">
      <c r="A83" s="525" t="str">
        <f t="shared" ref="A83" si="275">A82</f>
        <v>N</v>
      </c>
      <c r="B83" s="526" t="s">
        <v>266</v>
      </c>
      <c r="C83" s="526" t="s">
        <v>266</v>
      </c>
      <c r="D83" s="527" t="s">
        <v>273</v>
      </c>
      <c r="E83" s="893"/>
      <c r="F83" s="902"/>
      <c r="G83" s="528"/>
      <c r="H83" s="549" t="s">
        <v>38</v>
      </c>
      <c r="I83" s="711">
        <v>0</v>
      </c>
      <c r="J83" s="897"/>
      <c r="K83" s="528"/>
      <c r="L83" s="549" t="s">
        <v>38</v>
      </c>
      <c r="M83" s="711">
        <f t="shared" si="242"/>
        <v>0</v>
      </c>
      <c r="N83" s="897"/>
      <c r="O83" s="528"/>
      <c r="P83" s="711">
        <v>0</v>
      </c>
      <c r="Q83" s="711">
        <v>0</v>
      </c>
      <c r="R83" s="711">
        <v>0</v>
      </c>
      <c r="S83" s="711">
        <v>0</v>
      </c>
      <c r="T83" s="711">
        <v>0</v>
      </c>
      <c r="U83" s="711">
        <v>0</v>
      </c>
      <c r="V83" s="711">
        <v>0</v>
      </c>
      <c r="W83" s="528"/>
      <c r="X83" s="711">
        <f t="shared" si="243"/>
        <v>0</v>
      </c>
      <c r="Y83" s="897"/>
      <c r="Z83" s="528"/>
      <c r="AA83" s="899"/>
      <c r="AB83" s="899"/>
      <c r="AC83" s="899"/>
      <c r="AD83" s="901"/>
      <c r="AE83" s="2"/>
      <c r="AF83" s="926"/>
      <c r="AG83" s="926"/>
      <c r="AH83" s="885"/>
      <c r="AI83" s="926"/>
      <c r="AJ83" s="926"/>
      <c r="AK83" s="885"/>
      <c r="AL83" s="885"/>
      <c r="AM83" s="879"/>
      <c r="AN83" s="2"/>
      <c r="AO83" s="886"/>
      <c r="AP83" s="886"/>
      <c r="AV83" s="4" t="str">
        <f t="shared" si="249"/>
        <v>Escavação 1ª e 2ª categoria</v>
      </c>
      <c r="AW83" s="4" t="str">
        <f t="shared" si="250"/>
        <v>Escavação Aterro 13 - Solo  mole</v>
      </c>
    </row>
    <row r="84" spans="1:49" ht="15" customHeight="1" outlineLevel="2">
      <c r="A84" s="525" t="str">
        <f t="shared" ref="A84" si="276">IF(SUM(P84:V85)&gt;0,"S","N")</f>
        <v>N</v>
      </c>
      <c r="B84" s="526" t="s">
        <v>266</v>
      </c>
      <c r="C84" s="526" t="s">
        <v>266</v>
      </c>
      <c r="D84" s="527" t="s">
        <v>275</v>
      </c>
      <c r="E84" s="892" t="s">
        <v>276</v>
      </c>
      <c r="F84" s="902" t="s">
        <v>36</v>
      </c>
      <c r="G84" s="528"/>
      <c r="H84" s="546" t="s">
        <v>37</v>
      </c>
      <c r="I84" s="711">
        <v>0</v>
      </c>
      <c r="J84" s="896" t="str">
        <f t="shared" ref="J84" si="277">IFERROR((I85/I84),"-")</f>
        <v>-</v>
      </c>
      <c r="K84" s="528"/>
      <c r="L84" s="546" t="s">
        <v>37</v>
      </c>
      <c r="M84" s="711">
        <f t="shared" si="242"/>
        <v>0</v>
      </c>
      <c r="N84" s="896" t="str">
        <f>IFERROR((M85/M84),"-")</f>
        <v>-</v>
      </c>
      <c r="O84" s="528"/>
      <c r="P84" s="547">
        <v>0</v>
      </c>
      <c r="Q84" s="547">
        <v>0</v>
      </c>
      <c r="R84" s="547">
        <v>0</v>
      </c>
      <c r="S84" s="547">
        <v>0</v>
      </c>
      <c r="T84" s="547">
        <v>0</v>
      </c>
      <c r="U84" s="547">
        <v>0</v>
      </c>
      <c r="V84" s="548">
        <v>0</v>
      </c>
      <c r="W84" s="528"/>
      <c r="X84" s="711">
        <f t="shared" si="243"/>
        <v>0</v>
      </c>
      <c r="Y84" s="896" t="str">
        <f t="shared" ref="Y84" si="278">IFERROR((X85/X84),"-")</f>
        <v>-</v>
      </c>
      <c r="Z84" s="528"/>
      <c r="AA84" s="898">
        <v>0</v>
      </c>
      <c r="AB84" s="898">
        <v>0</v>
      </c>
      <c r="AC84" s="898">
        <v>0</v>
      </c>
      <c r="AD84" s="900" t="str">
        <f t="shared" ref="AD84" si="279">IFERROR((AC84/AB84),"-")</f>
        <v>-</v>
      </c>
      <c r="AE84" s="2"/>
      <c r="AF84" s="886">
        <v>0</v>
      </c>
      <c r="AG84" s="886">
        <v>0</v>
      </c>
      <c r="AH84" s="884">
        <v>0</v>
      </c>
      <c r="AI84" s="886">
        <v>1323.124</v>
      </c>
      <c r="AJ84" s="886"/>
      <c r="AK84" s="884">
        <f t="shared" ref="AK84" si="280">AF84+AG84+AH84+AI84+AJ84+AC84</f>
        <v>1323.124</v>
      </c>
      <c r="AL84" s="884">
        <v>0</v>
      </c>
      <c r="AM84" s="878" t="str">
        <f t="shared" ref="AM84" si="281">IFERROR((AK84/AL84),"-")</f>
        <v>-</v>
      </c>
      <c r="AN84" s="2"/>
      <c r="AO84" s="884">
        <v>0</v>
      </c>
      <c r="AP84" s="884">
        <f t="shared" ref="AP84" si="282">AO84-AK84</f>
        <v>-1323.124</v>
      </c>
      <c r="AV84" s="4" t="str">
        <f t="shared" si="249"/>
        <v>Escavação 1ª e 2ª categoria</v>
      </c>
      <c r="AW84" s="4" t="str">
        <f t="shared" si="250"/>
        <v>Escavação Aterro 06 - Solo  mole</v>
      </c>
    </row>
    <row r="85" spans="1:49" ht="15" customHeight="1" outlineLevel="2">
      <c r="A85" s="525" t="str">
        <f t="shared" ref="A85" si="283">A84</f>
        <v>N</v>
      </c>
      <c r="B85" s="526" t="s">
        <v>266</v>
      </c>
      <c r="C85" s="526" t="s">
        <v>266</v>
      </c>
      <c r="D85" s="527" t="s">
        <v>275</v>
      </c>
      <c r="E85" s="893"/>
      <c r="F85" s="902"/>
      <c r="G85" s="528"/>
      <c r="H85" s="549" t="s">
        <v>38</v>
      </c>
      <c r="I85" s="711">
        <v>0</v>
      </c>
      <c r="J85" s="897"/>
      <c r="K85" s="528"/>
      <c r="L85" s="549" t="s">
        <v>38</v>
      </c>
      <c r="M85" s="711">
        <f t="shared" si="242"/>
        <v>0</v>
      </c>
      <c r="N85" s="897"/>
      <c r="O85" s="528"/>
      <c r="P85" s="711">
        <v>0</v>
      </c>
      <c r="Q85" s="711">
        <v>0</v>
      </c>
      <c r="R85" s="711">
        <v>0</v>
      </c>
      <c r="S85" s="711">
        <v>0</v>
      </c>
      <c r="T85" s="711">
        <v>0</v>
      </c>
      <c r="U85" s="711">
        <v>0</v>
      </c>
      <c r="V85" s="711">
        <v>0</v>
      </c>
      <c r="W85" s="528"/>
      <c r="X85" s="711">
        <f t="shared" si="243"/>
        <v>0</v>
      </c>
      <c r="Y85" s="897"/>
      <c r="Z85" s="528"/>
      <c r="AA85" s="899"/>
      <c r="AB85" s="899"/>
      <c r="AC85" s="899"/>
      <c r="AD85" s="901"/>
      <c r="AE85" s="2"/>
      <c r="AF85" s="926"/>
      <c r="AG85" s="926"/>
      <c r="AH85" s="885"/>
      <c r="AI85" s="926"/>
      <c r="AJ85" s="926"/>
      <c r="AK85" s="885"/>
      <c r="AL85" s="885"/>
      <c r="AM85" s="879"/>
      <c r="AN85" s="2"/>
      <c r="AO85" s="886"/>
      <c r="AP85" s="886"/>
      <c r="AV85" s="4" t="str">
        <f t="shared" si="249"/>
        <v>Escavação 1ª e 2ª categoria</v>
      </c>
      <c r="AW85" s="4" t="str">
        <f t="shared" si="250"/>
        <v>Escavação Aterro 06 - Solo  mole</v>
      </c>
    </row>
    <row r="86" spans="1:49" ht="12" customHeight="1" outlineLevel="2">
      <c r="A86" s="525" t="str">
        <f t="shared" ref="A86" si="284">IF(SUM(P86:V87)&gt;0,"S","N")</f>
        <v>N</v>
      </c>
      <c r="B86" s="526" t="s">
        <v>266</v>
      </c>
      <c r="C86" s="526" t="s">
        <v>266</v>
      </c>
      <c r="D86" s="527" t="s">
        <v>277</v>
      </c>
      <c r="E86" s="892" t="s">
        <v>278</v>
      </c>
      <c r="F86" s="902" t="s">
        <v>36</v>
      </c>
      <c r="G86" s="528"/>
      <c r="H86" s="546" t="s">
        <v>37</v>
      </c>
      <c r="I86" s="711">
        <v>0</v>
      </c>
      <c r="J86" s="896" t="str">
        <f t="shared" ref="J86" si="285">IFERROR((I87/I86),"-")</f>
        <v>-</v>
      </c>
      <c r="K86" s="528"/>
      <c r="L86" s="546" t="s">
        <v>37</v>
      </c>
      <c r="M86" s="711">
        <f t="shared" si="242"/>
        <v>0</v>
      </c>
      <c r="N86" s="896" t="str">
        <f>IFERROR((M87/M86),"-")</f>
        <v>-</v>
      </c>
      <c r="O86" s="528"/>
      <c r="P86" s="547">
        <v>0</v>
      </c>
      <c r="Q86" s="547">
        <v>0</v>
      </c>
      <c r="R86" s="547">
        <v>0</v>
      </c>
      <c r="S86" s="547">
        <v>0</v>
      </c>
      <c r="T86" s="547">
        <v>0</v>
      </c>
      <c r="U86" s="547">
        <v>0</v>
      </c>
      <c r="V86" s="548">
        <v>0</v>
      </c>
      <c r="W86" s="528"/>
      <c r="X86" s="711">
        <f t="shared" si="243"/>
        <v>0</v>
      </c>
      <c r="Y86" s="896" t="str">
        <f t="shared" ref="Y86" si="286">IFERROR((X87/X86),"-")</f>
        <v>-</v>
      </c>
      <c r="Z86" s="528"/>
      <c r="AA86" s="898">
        <v>0</v>
      </c>
      <c r="AB86" s="898">
        <v>0</v>
      </c>
      <c r="AC86" s="898">
        <v>0</v>
      </c>
      <c r="AD86" s="900" t="str">
        <f t="shared" ref="AD86" si="287">IFERROR((AC86/AB86),"-")</f>
        <v>-</v>
      </c>
      <c r="AE86" s="2"/>
      <c r="AF86" s="886">
        <v>1162.425</v>
      </c>
      <c r="AG86" s="886">
        <v>0</v>
      </c>
      <c r="AH86" s="884">
        <v>0</v>
      </c>
      <c r="AI86" s="886"/>
      <c r="AJ86" s="886"/>
      <c r="AK86" s="884">
        <f t="shared" ref="AK86" si="288">AF86+AG86+AH86+AI86+AJ86+AC86</f>
        <v>1162.425</v>
      </c>
      <c r="AL86" s="884">
        <v>0</v>
      </c>
      <c r="AM86" s="878" t="str">
        <f t="shared" ref="AM86" si="289">IFERROR((AK86/AL86),"-")</f>
        <v>-</v>
      </c>
      <c r="AN86" s="2"/>
      <c r="AO86" s="884">
        <v>0</v>
      </c>
      <c r="AP86" s="884">
        <f t="shared" ref="AP86" si="290">AO86-AK86</f>
        <v>-1162.425</v>
      </c>
      <c r="AV86" s="4" t="str">
        <f t="shared" si="249"/>
        <v>Escavação 1ª e 2ª categoria</v>
      </c>
      <c r="AW86" s="4" t="str">
        <f t="shared" si="250"/>
        <v>Escavação Aterro 08 - Alargamento</v>
      </c>
    </row>
    <row r="87" spans="1:49" ht="12.6" customHeight="1" outlineLevel="2">
      <c r="A87" s="525" t="str">
        <f t="shared" ref="A87" si="291">A86</f>
        <v>N</v>
      </c>
      <c r="B87" s="526" t="s">
        <v>266</v>
      </c>
      <c r="C87" s="526" t="s">
        <v>266</v>
      </c>
      <c r="D87" s="527" t="s">
        <v>277</v>
      </c>
      <c r="E87" s="893"/>
      <c r="F87" s="902"/>
      <c r="G87" s="528"/>
      <c r="H87" s="549" t="s">
        <v>38</v>
      </c>
      <c r="I87" s="711">
        <v>0</v>
      </c>
      <c r="J87" s="897"/>
      <c r="K87" s="528"/>
      <c r="L87" s="549" t="s">
        <v>38</v>
      </c>
      <c r="M87" s="711">
        <f t="shared" si="242"/>
        <v>0</v>
      </c>
      <c r="N87" s="897"/>
      <c r="O87" s="528"/>
      <c r="P87" s="711">
        <v>0</v>
      </c>
      <c r="Q87" s="711">
        <v>0</v>
      </c>
      <c r="R87" s="711">
        <v>0</v>
      </c>
      <c r="S87" s="711">
        <v>0</v>
      </c>
      <c r="T87" s="711">
        <v>0</v>
      </c>
      <c r="U87" s="711">
        <v>0</v>
      </c>
      <c r="V87" s="711">
        <v>0</v>
      </c>
      <c r="W87" s="528"/>
      <c r="X87" s="711">
        <f t="shared" si="243"/>
        <v>0</v>
      </c>
      <c r="Y87" s="897"/>
      <c r="Z87" s="528"/>
      <c r="AA87" s="899"/>
      <c r="AB87" s="899"/>
      <c r="AC87" s="899"/>
      <c r="AD87" s="901"/>
      <c r="AE87" s="2"/>
      <c r="AF87" s="926"/>
      <c r="AG87" s="926"/>
      <c r="AH87" s="885"/>
      <c r="AI87" s="926"/>
      <c r="AJ87" s="926"/>
      <c r="AK87" s="885"/>
      <c r="AL87" s="885"/>
      <c r="AM87" s="879"/>
      <c r="AN87" s="2"/>
      <c r="AO87" s="886"/>
      <c r="AP87" s="886"/>
      <c r="AV87" s="4" t="str">
        <f t="shared" si="249"/>
        <v>Escavação 1ª e 2ª categoria</v>
      </c>
      <c r="AW87" s="4" t="str">
        <f t="shared" si="250"/>
        <v>Escavação Aterro 08 - Alargamento</v>
      </c>
    </row>
    <row r="88" spans="1:49" ht="14.45" customHeight="1" outlineLevel="2">
      <c r="A88" s="525" t="str">
        <f t="shared" ref="A88" si="292">IF(SUM(P88:V89)&gt;0,"S","N")</f>
        <v>N</v>
      </c>
      <c r="B88" s="526" t="s">
        <v>266</v>
      </c>
      <c r="C88" s="526" t="s">
        <v>266</v>
      </c>
      <c r="D88" s="527" t="s">
        <v>279</v>
      </c>
      <c r="E88" s="892" t="s">
        <v>280</v>
      </c>
      <c r="F88" s="902" t="s">
        <v>36</v>
      </c>
      <c r="G88" s="528"/>
      <c r="H88" s="546" t="s">
        <v>37</v>
      </c>
      <c r="I88" s="711">
        <v>0</v>
      </c>
      <c r="J88" s="896" t="str">
        <f t="shared" ref="J88" si="293">IFERROR((I89/I88),"-")</f>
        <v>-</v>
      </c>
      <c r="K88" s="528"/>
      <c r="L88" s="546" t="s">
        <v>37</v>
      </c>
      <c r="M88" s="711">
        <f t="shared" si="242"/>
        <v>0</v>
      </c>
      <c r="N88" s="896" t="str">
        <f>IFERROR((M89/M88),"-")</f>
        <v>-</v>
      </c>
      <c r="O88" s="528"/>
      <c r="P88" s="547">
        <v>0</v>
      </c>
      <c r="Q88" s="547">
        <v>0</v>
      </c>
      <c r="R88" s="547">
        <v>0</v>
      </c>
      <c r="S88" s="547">
        <v>0</v>
      </c>
      <c r="T88" s="547">
        <v>0</v>
      </c>
      <c r="U88" s="547">
        <v>0</v>
      </c>
      <c r="V88" s="548">
        <v>0</v>
      </c>
      <c r="W88" s="528"/>
      <c r="X88" s="711">
        <f t="shared" si="243"/>
        <v>0</v>
      </c>
      <c r="Y88" s="896" t="str">
        <f t="shared" ref="Y88" si="294">IFERROR((X89/X88),"-")</f>
        <v>-</v>
      </c>
      <c r="Z88" s="528"/>
      <c r="AA88" s="898">
        <v>0</v>
      </c>
      <c r="AB88" s="898">
        <v>0</v>
      </c>
      <c r="AC88" s="898">
        <v>0</v>
      </c>
      <c r="AD88" s="900" t="str">
        <f t="shared" ref="AD88" si="295">IFERROR((AC88/AB88),"-")</f>
        <v>-</v>
      </c>
      <c r="AE88" s="2"/>
      <c r="AF88" s="886">
        <v>1162.425</v>
      </c>
      <c r="AG88" s="886">
        <v>0</v>
      </c>
      <c r="AH88" s="884">
        <v>0</v>
      </c>
      <c r="AI88" s="886"/>
      <c r="AJ88" s="886"/>
      <c r="AK88" s="884">
        <f t="shared" ref="AK88" si="296">AF88+AG88+AH88+AI88+AJ88+AC88</f>
        <v>1162.425</v>
      </c>
      <c r="AL88" s="884">
        <v>0</v>
      </c>
      <c r="AM88" s="878" t="str">
        <f t="shared" ref="AM88" si="297">IFERROR((AK88/AL88),"-")</f>
        <v>-</v>
      </c>
      <c r="AN88" s="2"/>
      <c r="AO88" s="884">
        <v>0</v>
      </c>
      <c r="AP88" s="884">
        <f t="shared" ref="AP88" si="298">AO88-AK88</f>
        <v>-1162.425</v>
      </c>
      <c r="AV88" s="4" t="str">
        <f t="shared" si="249"/>
        <v>Escavação 1ª e 2ª categoria</v>
      </c>
      <c r="AW88" s="4" t="str">
        <f t="shared" si="250"/>
        <v>Escavação Aterro 01</v>
      </c>
    </row>
    <row r="89" spans="1:49" ht="14.45" customHeight="1" outlineLevel="2">
      <c r="A89" s="525" t="str">
        <f t="shared" ref="A89" si="299">A88</f>
        <v>N</v>
      </c>
      <c r="B89" s="526" t="s">
        <v>266</v>
      </c>
      <c r="C89" s="526" t="s">
        <v>266</v>
      </c>
      <c r="D89" s="527" t="s">
        <v>279</v>
      </c>
      <c r="E89" s="893"/>
      <c r="F89" s="902"/>
      <c r="G89" s="528"/>
      <c r="H89" s="549" t="s">
        <v>38</v>
      </c>
      <c r="I89" s="711">
        <v>0</v>
      </c>
      <c r="J89" s="897"/>
      <c r="K89" s="528"/>
      <c r="L89" s="549" t="s">
        <v>38</v>
      </c>
      <c r="M89" s="711">
        <f t="shared" si="242"/>
        <v>0</v>
      </c>
      <c r="N89" s="897"/>
      <c r="O89" s="528"/>
      <c r="P89" s="711">
        <v>0</v>
      </c>
      <c r="Q89" s="711">
        <v>0</v>
      </c>
      <c r="R89" s="711">
        <v>0</v>
      </c>
      <c r="S89" s="711">
        <v>0</v>
      </c>
      <c r="T89" s="711">
        <v>0</v>
      </c>
      <c r="U89" s="711">
        <v>0</v>
      </c>
      <c r="V89" s="711">
        <v>0</v>
      </c>
      <c r="W89" s="528"/>
      <c r="X89" s="711">
        <f t="shared" si="243"/>
        <v>0</v>
      </c>
      <c r="Y89" s="897"/>
      <c r="Z89" s="528"/>
      <c r="AA89" s="899"/>
      <c r="AB89" s="899"/>
      <c r="AC89" s="899"/>
      <c r="AD89" s="901"/>
      <c r="AE89" s="2"/>
      <c r="AF89" s="926"/>
      <c r="AG89" s="926"/>
      <c r="AH89" s="885"/>
      <c r="AI89" s="926"/>
      <c r="AJ89" s="926"/>
      <c r="AK89" s="885"/>
      <c r="AL89" s="885"/>
      <c r="AM89" s="879"/>
      <c r="AN89" s="2"/>
      <c r="AO89" s="886"/>
      <c r="AP89" s="886"/>
      <c r="AV89" s="4" t="str">
        <f t="shared" si="249"/>
        <v>Escavação 1ª e 2ª categoria</v>
      </c>
      <c r="AW89" s="4" t="str">
        <f t="shared" si="250"/>
        <v>Escavação Aterro 01</v>
      </c>
    </row>
    <row r="90" spans="1:49" ht="15" customHeight="1" outlineLevel="2" collapsed="1">
      <c r="A90" s="525" t="str">
        <f t="shared" ref="A90" si="300">IF(SUM(P90:V91)&gt;0,"S","N")</f>
        <v>N</v>
      </c>
      <c r="B90" s="526" t="s">
        <v>266</v>
      </c>
      <c r="C90" s="526" t="s">
        <v>266</v>
      </c>
      <c r="D90" s="527" t="s">
        <v>281</v>
      </c>
      <c r="E90" s="892" t="s">
        <v>282</v>
      </c>
      <c r="F90" s="902" t="s">
        <v>36</v>
      </c>
      <c r="G90" s="528"/>
      <c r="H90" s="546" t="s">
        <v>37</v>
      </c>
      <c r="I90" s="711">
        <v>0</v>
      </c>
      <c r="J90" s="896" t="str">
        <f t="shared" ref="J90" si="301">IFERROR((I91/I90),"-")</f>
        <v>-</v>
      </c>
      <c r="K90" s="528"/>
      <c r="L90" s="546" t="s">
        <v>37</v>
      </c>
      <c r="M90" s="711">
        <f t="shared" si="242"/>
        <v>0</v>
      </c>
      <c r="N90" s="896" t="str">
        <f>IFERROR((M91/M90),"-")</f>
        <v>-</v>
      </c>
      <c r="O90" s="528"/>
      <c r="P90" s="547">
        <v>0</v>
      </c>
      <c r="Q90" s="547">
        <v>0</v>
      </c>
      <c r="R90" s="547">
        <v>0</v>
      </c>
      <c r="S90" s="547">
        <v>0</v>
      </c>
      <c r="T90" s="547">
        <v>0</v>
      </c>
      <c r="U90" s="547">
        <v>0</v>
      </c>
      <c r="V90" s="548">
        <v>0</v>
      </c>
      <c r="W90" s="528"/>
      <c r="X90" s="711">
        <f t="shared" si="243"/>
        <v>0</v>
      </c>
      <c r="Y90" s="896" t="str">
        <f t="shared" ref="Y90" si="302">IFERROR((X91/X90),"-")</f>
        <v>-</v>
      </c>
      <c r="Z90" s="528"/>
      <c r="AA90" s="898">
        <v>0</v>
      </c>
      <c r="AB90" s="898">
        <v>0</v>
      </c>
      <c r="AC90" s="898">
        <v>0</v>
      </c>
      <c r="AD90" s="900" t="str">
        <f t="shared" ref="AD90" si="303">IFERROR((AC90/AB90),"-")</f>
        <v>-</v>
      </c>
      <c r="AE90" s="2"/>
      <c r="AF90" s="886">
        <v>5434.0690000000004</v>
      </c>
      <c r="AG90" s="886">
        <v>0</v>
      </c>
      <c r="AH90" s="884">
        <v>0</v>
      </c>
      <c r="AI90" s="886"/>
      <c r="AJ90" s="886"/>
      <c r="AK90" s="884">
        <f t="shared" ref="AK90" si="304">AF90+AG90+AH90+AI90+AJ90+AC90</f>
        <v>5434.0690000000004</v>
      </c>
      <c r="AL90" s="884">
        <v>0</v>
      </c>
      <c r="AM90" s="878" t="str">
        <f t="shared" ref="AM90" si="305">IFERROR((AK90/AL90),"-")</f>
        <v>-</v>
      </c>
      <c r="AN90" s="2"/>
      <c r="AO90" s="884">
        <v>0</v>
      </c>
      <c r="AP90" s="884">
        <f t="shared" ref="AP90" si="306">AO90-AK90</f>
        <v>-5434.0690000000004</v>
      </c>
      <c r="AV90" s="4" t="str">
        <f t="shared" si="249"/>
        <v>Escavação 1ª e 2ª categoria</v>
      </c>
      <c r="AW90" s="4" t="str">
        <f t="shared" si="250"/>
        <v>Acesso região do Corte 04</v>
      </c>
    </row>
    <row r="91" spans="1:49" ht="15" customHeight="1" outlineLevel="2">
      <c r="A91" s="525" t="str">
        <f t="shared" ref="A91" si="307">A90</f>
        <v>N</v>
      </c>
      <c r="B91" s="526" t="s">
        <v>266</v>
      </c>
      <c r="C91" s="526" t="s">
        <v>266</v>
      </c>
      <c r="D91" s="527" t="s">
        <v>281</v>
      </c>
      <c r="E91" s="893"/>
      <c r="F91" s="902"/>
      <c r="G91" s="528"/>
      <c r="H91" s="549" t="s">
        <v>38</v>
      </c>
      <c r="I91" s="711">
        <v>0</v>
      </c>
      <c r="J91" s="897"/>
      <c r="K91" s="528"/>
      <c r="L91" s="549" t="s">
        <v>38</v>
      </c>
      <c r="M91" s="711">
        <f t="shared" si="242"/>
        <v>0</v>
      </c>
      <c r="N91" s="897"/>
      <c r="O91" s="528"/>
      <c r="P91" s="711">
        <v>0</v>
      </c>
      <c r="Q91" s="711">
        <v>0</v>
      </c>
      <c r="R91" s="711">
        <v>0</v>
      </c>
      <c r="S91" s="711">
        <v>0</v>
      </c>
      <c r="T91" s="711">
        <v>0</v>
      </c>
      <c r="U91" s="711">
        <v>0</v>
      </c>
      <c r="V91" s="711">
        <v>0</v>
      </c>
      <c r="W91" s="528"/>
      <c r="X91" s="711">
        <f t="shared" si="243"/>
        <v>0</v>
      </c>
      <c r="Y91" s="897"/>
      <c r="Z91" s="528"/>
      <c r="AA91" s="899"/>
      <c r="AB91" s="899"/>
      <c r="AC91" s="899"/>
      <c r="AD91" s="901"/>
      <c r="AE91" s="2"/>
      <c r="AF91" s="926"/>
      <c r="AG91" s="926"/>
      <c r="AH91" s="885"/>
      <c r="AI91" s="926"/>
      <c r="AJ91" s="926"/>
      <c r="AK91" s="885"/>
      <c r="AL91" s="885"/>
      <c r="AM91" s="879"/>
      <c r="AN91" s="2"/>
      <c r="AO91" s="886"/>
      <c r="AP91" s="886"/>
      <c r="AV91" s="4" t="str">
        <f t="shared" si="249"/>
        <v>Escavação 1ª e 2ª categoria</v>
      </c>
      <c r="AW91" s="4" t="str">
        <f t="shared" si="250"/>
        <v>Acesso região do Corte 04</v>
      </c>
    </row>
    <row r="92" spans="1:49" ht="15" customHeight="1" outlineLevel="2">
      <c r="A92" s="525" t="str">
        <f t="shared" ref="A92" si="308">IF(SUM(P92:V93)&gt;0,"S","N")</f>
        <v>N</v>
      </c>
      <c r="B92" s="526" t="s">
        <v>266</v>
      </c>
      <c r="C92" s="526" t="s">
        <v>266</v>
      </c>
      <c r="D92" s="527" t="s">
        <v>283</v>
      </c>
      <c r="E92" s="892" t="s">
        <v>284</v>
      </c>
      <c r="F92" s="902" t="s">
        <v>36</v>
      </c>
      <c r="G92" s="528"/>
      <c r="H92" s="546" t="s">
        <v>37</v>
      </c>
      <c r="I92" s="711">
        <v>0</v>
      </c>
      <c r="J92" s="896" t="str">
        <f t="shared" ref="J92" si="309">IFERROR((I93/I92),"-")</f>
        <v>-</v>
      </c>
      <c r="K92" s="528"/>
      <c r="L92" s="546" t="s">
        <v>37</v>
      </c>
      <c r="M92" s="711">
        <f t="shared" si="242"/>
        <v>0</v>
      </c>
      <c r="N92" s="896" t="str">
        <f>IFERROR((M93/M92),"-")</f>
        <v>-</v>
      </c>
      <c r="O92" s="528"/>
      <c r="P92" s="547">
        <v>0</v>
      </c>
      <c r="Q92" s="547">
        <v>0</v>
      </c>
      <c r="R92" s="547">
        <v>0</v>
      </c>
      <c r="S92" s="547">
        <v>0</v>
      </c>
      <c r="T92" s="547">
        <v>0</v>
      </c>
      <c r="U92" s="547">
        <v>0</v>
      </c>
      <c r="V92" s="548">
        <v>0</v>
      </c>
      <c r="W92" s="528"/>
      <c r="X92" s="711">
        <f t="shared" si="243"/>
        <v>0</v>
      </c>
      <c r="Y92" s="896" t="str">
        <f t="shared" ref="Y92" si="310">IFERROR((X93/X92),"-")</f>
        <v>-</v>
      </c>
      <c r="Z92" s="528"/>
      <c r="AA92" s="898">
        <v>0</v>
      </c>
      <c r="AB92" s="898">
        <v>0</v>
      </c>
      <c r="AC92" s="898">
        <v>0</v>
      </c>
      <c r="AD92" s="900" t="str">
        <f t="shared" ref="AD92" si="311">IFERROR((AC92/AB92),"-")</f>
        <v>-</v>
      </c>
      <c r="AE92" s="2"/>
      <c r="AF92" s="886"/>
      <c r="AG92" s="886">
        <v>0</v>
      </c>
      <c r="AH92" s="884">
        <v>0</v>
      </c>
      <c r="AI92" s="886"/>
      <c r="AJ92" s="886"/>
      <c r="AK92" s="884">
        <f t="shared" ref="AK92" si="312">AF92+AG92+AH92+AI92+AJ92+AC92</f>
        <v>0</v>
      </c>
      <c r="AL92" s="884">
        <v>0</v>
      </c>
      <c r="AM92" s="878" t="str">
        <f t="shared" ref="AM92" si="313">IFERROR((AK92/AL92),"-")</f>
        <v>-</v>
      </c>
      <c r="AN92" s="2"/>
      <c r="AO92" s="884">
        <v>0</v>
      </c>
      <c r="AP92" s="884">
        <f t="shared" ref="AP92" si="314">AO92-AK92</f>
        <v>0</v>
      </c>
      <c r="AV92" s="4" t="str">
        <f t="shared" si="249"/>
        <v>Escavação 1ª e 2ª categoria</v>
      </c>
      <c r="AW92" s="4" t="str">
        <f t="shared" si="250"/>
        <v>Retaludamento Corte 11</v>
      </c>
    </row>
    <row r="93" spans="1:49" ht="15" customHeight="1" outlineLevel="2">
      <c r="A93" s="525" t="str">
        <f t="shared" ref="A93" si="315">A92</f>
        <v>N</v>
      </c>
      <c r="B93" s="526" t="s">
        <v>266</v>
      </c>
      <c r="C93" s="526" t="s">
        <v>266</v>
      </c>
      <c r="D93" s="527" t="s">
        <v>283</v>
      </c>
      <c r="E93" s="893"/>
      <c r="F93" s="902"/>
      <c r="G93" s="528"/>
      <c r="H93" s="549" t="s">
        <v>38</v>
      </c>
      <c r="I93" s="711">
        <v>0</v>
      </c>
      <c r="J93" s="897"/>
      <c r="K93" s="528"/>
      <c r="L93" s="549" t="s">
        <v>38</v>
      </c>
      <c r="M93" s="711">
        <f t="shared" si="242"/>
        <v>0</v>
      </c>
      <c r="N93" s="897"/>
      <c r="O93" s="528"/>
      <c r="P93" s="711">
        <v>0</v>
      </c>
      <c r="Q93" s="711">
        <v>0</v>
      </c>
      <c r="R93" s="711">
        <v>0</v>
      </c>
      <c r="S93" s="711">
        <v>0</v>
      </c>
      <c r="T93" s="711">
        <v>0</v>
      </c>
      <c r="U93" s="711">
        <v>0</v>
      </c>
      <c r="V93" s="711">
        <v>0</v>
      </c>
      <c r="W93" s="528"/>
      <c r="X93" s="711">
        <f t="shared" si="243"/>
        <v>0</v>
      </c>
      <c r="Y93" s="897"/>
      <c r="Z93" s="528"/>
      <c r="AA93" s="899"/>
      <c r="AB93" s="899"/>
      <c r="AC93" s="899"/>
      <c r="AD93" s="901"/>
      <c r="AE93" s="2"/>
      <c r="AF93" s="926"/>
      <c r="AG93" s="926"/>
      <c r="AH93" s="885"/>
      <c r="AI93" s="926"/>
      <c r="AJ93" s="926"/>
      <c r="AK93" s="885"/>
      <c r="AL93" s="885"/>
      <c r="AM93" s="879"/>
      <c r="AN93" s="2"/>
      <c r="AO93" s="886"/>
      <c r="AP93" s="886"/>
      <c r="AV93" s="4" t="str">
        <f t="shared" si="249"/>
        <v>Escavação 1ª e 2ª categoria</v>
      </c>
      <c r="AW93" s="4" t="str">
        <f t="shared" si="250"/>
        <v>Retaludamento Corte 11</v>
      </c>
    </row>
    <row r="94" spans="1:49" ht="15" customHeight="1" outlineLevel="2">
      <c r="A94" s="525" t="str">
        <f t="shared" ref="A94" si="316">IF(SUM(P94:V95)&gt;0,"S","N")</f>
        <v>N</v>
      </c>
      <c r="B94" s="526" t="s">
        <v>266</v>
      </c>
      <c r="C94" s="526" t="s">
        <v>266</v>
      </c>
      <c r="D94" s="527" t="s">
        <v>285</v>
      </c>
      <c r="E94" s="892" t="s">
        <v>286</v>
      </c>
      <c r="F94" s="902" t="s">
        <v>36</v>
      </c>
      <c r="G94" s="528"/>
      <c r="H94" s="546" t="s">
        <v>37</v>
      </c>
      <c r="I94" s="711">
        <v>0</v>
      </c>
      <c r="J94" s="896" t="str">
        <f t="shared" ref="J94" si="317">IFERROR((I95/I94),"-")</f>
        <v>-</v>
      </c>
      <c r="K94" s="528"/>
      <c r="L94" s="546" t="s">
        <v>37</v>
      </c>
      <c r="M94" s="711">
        <f t="shared" si="242"/>
        <v>0</v>
      </c>
      <c r="N94" s="896" t="str">
        <f>IFERROR((M95/M94),"-")</f>
        <v>-</v>
      </c>
      <c r="O94" s="528"/>
      <c r="P94" s="547">
        <v>0</v>
      </c>
      <c r="Q94" s="547">
        <v>0</v>
      </c>
      <c r="R94" s="547">
        <v>0</v>
      </c>
      <c r="S94" s="547">
        <v>0</v>
      </c>
      <c r="T94" s="547">
        <v>0</v>
      </c>
      <c r="U94" s="547">
        <v>0</v>
      </c>
      <c r="V94" s="548">
        <v>0</v>
      </c>
      <c r="W94" s="528"/>
      <c r="X94" s="711">
        <f t="shared" si="243"/>
        <v>0</v>
      </c>
      <c r="Y94" s="896" t="str">
        <f t="shared" ref="Y94" si="318">IFERROR((X95/X94),"-")</f>
        <v>-</v>
      </c>
      <c r="Z94" s="528"/>
      <c r="AA94" s="898">
        <v>0</v>
      </c>
      <c r="AB94" s="898">
        <v>0</v>
      </c>
      <c r="AC94" s="898">
        <v>0</v>
      </c>
      <c r="AD94" s="900" t="str">
        <f t="shared" ref="AD94" si="319">IFERROR((AC94/AB94),"-")</f>
        <v>-</v>
      </c>
      <c r="AE94" s="2"/>
      <c r="AF94" s="886"/>
      <c r="AG94" s="886">
        <v>0</v>
      </c>
      <c r="AH94" s="884">
        <v>200</v>
      </c>
      <c r="AI94" s="886"/>
      <c r="AJ94" s="886"/>
      <c r="AK94" s="884">
        <f t="shared" ref="AK94" si="320">AF94+AG94+AH94+AI94+AJ94+AC94</f>
        <v>200</v>
      </c>
      <c r="AL94" s="884">
        <v>0</v>
      </c>
      <c r="AM94" s="878" t="str">
        <f t="shared" ref="AM94" si="321">IFERROR((AK94/AL94),"-")</f>
        <v>-</v>
      </c>
      <c r="AN94" s="2"/>
      <c r="AO94" s="884">
        <v>0</v>
      </c>
      <c r="AP94" s="884">
        <f t="shared" ref="AP94" si="322">AO94-AK94</f>
        <v>-200</v>
      </c>
      <c r="AV94" s="4" t="str">
        <f t="shared" si="249"/>
        <v>Escavação 1ª e 2ª categoria</v>
      </c>
      <c r="AW94" s="4" t="str">
        <f t="shared" si="250"/>
        <v>ADMP Aterro 14</v>
      </c>
    </row>
    <row r="95" spans="1:49" ht="15" customHeight="1" outlineLevel="2">
      <c r="A95" s="525" t="str">
        <f t="shared" ref="A95" si="323">A94</f>
        <v>N</v>
      </c>
      <c r="B95" s="526" t="s">
        <v>266</v>
      </c>
      <c r="C95" s="526" t="s">
        <v>266</v>
      </c>
      <c r="D95" s="527" t="s">
        <v>285</v>
      </c>
      <c r="E95" s="893"/>
      <c r="F95" s="902"/>
      <c r="G95" s="528"/>
      <c r="H95" s="549" t="s">
        <v>38</v>
      </c>
      <c r="I95" s="711">
        <v>0</v>
      </c>
      <c r="J95" s="897"/>
      <c r="K95" s="528"/>
      <c r="L95" s="549" t="s">
        <v>38</v>
      </c>
      <c r="M95" s="711">
        <f t="shared" si="242"/>
        <v>0</v>
      </c>
      <c r="N95" s="897"/>
      <c r="O95" s="528"/>
      <c r="P95" s="711">
        <v>0</v>
      </c>
      <c r="Q95" s="711">
        <v>0</v>
      </c>
      <c r="R95" s="711">
        <v>0</v>
      </c>
      <c r="S95" s="711">
        <v>0</v>
      </c>
      <c r="T95" s="711">
        <v>0</v>
      </c>
      <c r="U95" s="711">
        <v>0</v>
      </c>
      <c r="V95" s="711">
        <v>0</v>
      </c>
      <c r="W95" s="528"/>
      <c r="X95" s="711">
        <f t="shared" si="243"/>
        <v>0</v>
      </c>
      <c r="Y95" s="897"/>
      <c r="Z95" s="528"/>
      <c r="AA95" s="899"/>
      <c r="AB95" s="899"/>
      <c r="AC95" s="899"/>
      <c r="AD95" s="901"/>
      <c r="AE95" s="2"/>
      <c r="AF95" s="926"/>
      <c r="AG95" s="926"/>
      <c r="AH95" s="885"/>
      <c r="AI95" s="926"/>
      <c r="AJ95" s="926"/>
      <c r="AK95" s="885"/>
      <c r="AL95" s="885"/>
      <c r="AM95" s="879"/>
      <c r="AN95" s="2"/>
      <c r="AO95" s="886"/>
      <c r="AP95" s="886"/>
      <c r="AV95" s="4" t="str">
        <f t="shared" si="249"/>
        <v>Escavação 1ª e 2ª categoria</v>
      </c>
      <c r="AW95" s="4" t="str">
        <f t="shared" si="250"/>
        <v>ADMP Aterro 14</v>
      </c>
    </row>
    <row r="96" spans="1:49" ht="15" customHeight="1" outlineLevel="2">
      <c r="A96" s="525" t="str">
        <f t="shared" ref="A96" si="324">IF(SUM(P96:V97)&gt;0,"S","N")</f>
        <v>N</v>
      </c>
      <c r="B96" s="526" t="s">
        <v>266</v>
      </c>
      <c r="C96" s="526" t="s">
        <v>266</v>
      </c>
      <c r="D96" s="527" t="s">
        <v>287</v>
      </c>
      <c r="E96" s="931" t="s">
        <v>288</v>
      </c>
      <c r="F96" s="902" t="s">
        <v>36</v>
      </c>
      <c r="G96" s="528"/>
      <c r="H96" s="546" t="s">
        <v>37</v>
      </c>
      <c r="I96" s="711">
        <v>0</v>
      </c>
      <c r="J96" s="896" t="str">
        <f t="shared" ref="J96" si="325">IFERROR((I97/I96),"-")</f>
        <v>-</v>
      </c>
      <c r="K96" s="528"/>
      <c r="L96" s="546" t="s">
        <v>37</v>
      </c>
      <c r="M96" s="711">
        <f t="shared" si="242"/>
        <v>0</v>
      </c>
      <c r="N96" s="896" t="str">
        <f>IFERROR((M97/M96),"-")</f>
        <v>-</v>
      </c>
      <c r="O96" s="528"/>
      <c r="P96" s="547">
        <v>0</v>
      </c>
      <c r="Q96" s="547">
        <v>0</v>
      </c>
      <c r="R96" s="547">
        <v>0</v>
      </c>
      <c r="S96" s="547">
        <v>0</v>
      </c>
      <c r="T96" s="547">
        <v>0</v>
      </c>
      <c r="U96" s="547">
        <v>0</v>
      </c>
      <c r="V96" s="548">
        <v>0</v>
      </c>
      <c r="W96" s="528"/>
      <c r="X96" s="711">
        <f t="shared" si="243"/>
        <v>0</v>
      </c>
      <c r="Y96" s="896" t="str">
        <f t="shared" ref="Y96" si="326">IFERROR((X97/X96),"-")</f>
        <v>-</v>
      </c>
      <c r="Z96" s="528"/>
      <c r="AA96" s="898">
        <v>0</v>
      </c>
      <c r="AB96" s="898">
        <v>0</v>
      </c>
      <c r="AC96" s="898">
        <v>170</v>
      </c>
      <c r="AD96" s="900" t="str">
        <f t="shared" ref="AD96" si="327">IFERROR((AC96/AB96),"-")</f>
        <v>-</v>
      </c>
      <c r="AE96" s="2"/>
      <c r="AF96" s="886"/>
      <c r="AG96" s="886">
        <v>0</v>
      </c>
      <c r="AH96" s="884">
        <v>2550</v>
      </c>
      <c r="AI96" s="886"/>
      <c r="AJ96" s="886"/>
      <c r="AK96" s="884">
        <f t="shared" ref="AK96" si="328">AF96+AG96+AH96+AI96+AJ96+AC96</f>
        <v>2720</v>
      </c>
      <c r="AL96" s="884">
        <v>0</v>
      </c>
      <c r="AM96" s="878" t="str">
        <f t="shared" ref="AM96" si="329">IFERROR((AK96/AL96),"-")</f>
        <v>-</v>
      </c>
      <c r="AN96" s="2"/>
      <c r="AO96" s="884">
        <v>0</v>
      </c>
      <c r="AP96" s="884">
        <f t="shared" ref="AP96" si="330">AO96-AK96</f>
        <v>-2720</v>
      </c>
      <c r="AV96" s="4" t="str">
        <f t="shared" si="249"/>
        <v>Escavação 1ª e 2ª categoria</v>
      </c>
      <c r="AW96" s="4" t="str">
        <f t="shared" si="250"/>
        <v xml:space="preserve">   Escavação, carga e transporte de material 1ª/2ª categoria - A12</v>
      </c>
    </row>
    <row r="97" spans="1:49" ht="15" customHeight="1" outlineLevel="2">
      <c r="A97" s="525" t="str">
        <f t="shared" ref="A97" si="331">A96</f>
        <v>N</v>
      </c>
      <c r="B97" s="526" t="s">
        <v>266</v>
      </c>
      <c r="C97" s="526" t="s">
        <v>266</v>
      </c>
      <c r="D97" s="527" t="s">
        <v>287</v>
      </c>
      <c r="E97" s="932"/>
      <c r="F97" s="902"/>
      <c r="G97" s="528"/>
      <c r="H97" s="549" t="s">
        <v>38</v>
      </c>
      <c r="I97" s="711">
        <v>0</v>
      </c>
      <c r="J97" s="897"/>
      <c r="K97" s="528"/>
      <c r="L97" s="549" t="s">
        <v>38</v>
      </c>
      <c r="M97" s="711">
        <f t="shared" si="242"/>
        <v>0</v>
      </c>
      <c r="N97" s="897"/>
      <c r="O97" s="528"/>
      <c r="P97" s="711">
        <v>0</v>
      </c>
      <c r="Q97" s="711">
        <v>0</v>
      </c>
      <c r="R97" s="711">
        <v>0</v>
      </c>
      <c r="S97" s="711">
        <v>0</v>
      </c>
      <c r="T97" s="711">
        <v>0</v>
      </c>
      <c r="U97" s="711">
        <v>0</v>
      </c>
      <c r="V97" s="711">
        <v>0</v>
      </c>
      <c r="W97" s="528"/>
      <c r="X97" s="711">
        <f t="shared" si="243"/>
        <v>0</v>
      </c>
      <c r="Y97" s="897"/>
      <c r="Z97" s="528"/>
      <c r="AA97" s="899"/>
      <c r="AB97" s="899"/>
      <c r="AC97" s="899"/>
      <c r="AD97" s="901"/>
      <c r="AE97" s="2"/>
      <c r="AF97" s="926"/>
      <c r="AG97" s="926"/>
      <c r="AH97" s="885"/>
      <c r="AI97" s="926"/>
      <c r="AJ97" s="926"/>
      <c r="AK97" s="885"/>
      <c r="AL97" s="885"/>
      <c r="AM97" s="879"/>
      <c r="AN97" s="2"/>
      <c r="AO97" s="886"/>
      <c r="AP97" s="886"/>
      <c r="AV97" s="4" t="str">
        <f t="shared" si="249"/>
        <v>Escavação 1ª e 2ª categoria</v>
      </c>
      <c r="AW97" s="4" t="str">
        <f t="shared" si="250"/>
        <v xml:space="preserve">   Escavação, carga e transporte de material 1ª/2ª categoria - A12</v>
      </c>
    </row>
    <row r="98" spans="1:49" ht="15" customHeight="1" outlineLevel="2">
      <c r="A98" s="525" t="str">
        <f t="shared" ref="A98" si="332">IF(SUM(P98:V99)&gt;0,"S","N")</f>
        <v>N</v>
      </c>
      <c r="B98" s="526" t="s">
        <v>266</v>
      </c>
      <c r="C98" s="526" t="s">
        <v>266</v>
      </c>
      <c r="D98" s="527" t="s">
        <v>289</v>
      </c>
      <c r="E98" s="931" t="s">
        <v>290</v>
      </c>
      <c r="F98" s="902" t="s">
        <v>36</v>
      </c>
      <c r="G98" s="528"/>
      <c r="H98" s="546" t="s">
        <v>37</v>
      </c>
      <c r="I98" s="711">
        <v>0</v>
      </c>
      <c r="J98" s="896" t="str">
        <f t="shared" ref="J98" si="333">IFERROR((I99/I98),"-")</f>
        <v>-</v>
      </c>
      <c r="K98" s="528"/>
      <c r="L98" s="546" t="s">
        <v>37</v>
      </c>
      <c r="M98" s="711">
        <f t="shared" si="242"/>
        <v>0</v>
      </c>
      <c r="N98" s="896" t="str">
        <f>IFERROR((M99/M98),"-")</f>
        <v>-</v>
      </c>
      <c r="O98" s="528"/>
      <c r="P98" s="547">
        <v>0</v>
      </c>
      <c r="Q98" s="547">
        <v>0</v>
      </c>
      <c r="R98" s="547">
        <v>0</v>
      </c>
      <c r="S98" s="547">
        <v>0</v>
      </c>
      <c r="T98" s="547">
        <v>0</v>
      </c>
      <c r="U98" s="547">
        <v>0</v>
      </c>
      <c r="V98" s="548">
        <v>0</v>
      </c>
      <c r="W98" s="528"/>
      <c r="X98" s="711">
        <f t="shared" si="243"/>
        <v>0</v>
      </c>
      <c r="Y98" s="896" t="str">
        <f t="shared" ref="Y98" si="334">IFERROR((X99/X98),"-")</f>
        <v>-</v>
      </c>
      <c r="Z98" s="528"/>
      <c r="AA98" s="898">
        <v>0</v>
      </c>
      <c r="AB98" s="898">
        <v>0</v>
      </c>
      <c r="AC98" s="898">
        <v>930</v>
      </c>
      <c r="AD98" s="900" t="str">
        <f t="shared" ref="AD98" si="335">IFERROR((AC98/AB98),"-")</f>
        <v>-</v>
      </c>
      <c r="AE98" s="2"/>
      <c r="AF98" s="886"/>
      <c r="AG98" s="886">
        <v>0</v>
      </c>
      <c r="AH98" s="884">
        <v>0</v>
      </c>
      <c r="AI98" s="886"/>
      <c r="AJ98" s="886"/>
      <c r="AK98" s="884">
        <f t="shared" ref="AK98" si="336">AF98+AG98+AH98+AI98+AJ98+AC98</f>
        <v>930</v>
      </c>
      <c r="AL98" s="884">
        <v>0</v>
      </c>
      <c r="AM98" s="878" t="str">
        <f t="shared" ref="AM98" si="337">IFERROR((AK98/AL98),"-")</f>
        <v>-</v>
      </c>
      <c r="AN98" s="2"/>
      <c r="AO98" s="884">
        <v>0</v>
      </c>
      <c r="AP98" s="884">
        <f t="shared" ref="AP98" si="338">AO98-AK98</f>
        <v>-930</v>
      </c>
      <c r="AV98" s="4" t="str">
        <f t="shared" si="249"/>
        <v>Escavação 1ª e 2ª categoria</v>
      </c>
      <c r="AW98" s="4" t="str">
        <f t="shared" si="250"/>
        <v xml:space="preserve">   Escavação, carga e transporte de material 1ª/2ª categoria - A13</v>
      </c>
    </row>
    <row r="99" spans="1:49" ht="15" customHeight="1" outlineLevel="2">
      <c r="A99" s="525" t="str">
        <f t="shared" ref="A99" si="339">A98</f>
        <v>N</v>
      </c>
      <c r="B99" s="526" t="s">
        <v>266</v>
      </c>
      <c r="C99" s="526" t="s">
        <v>266</v>
      </c>
      <c r="D99" s="527" t="s">
        <v>289</v>
      </c>
      <c r="E99" s="932"/>
      <c r="F99" s="902"/>
      <c r="G99" s="528"/>
      <c r="H99" s="549" t="s">
        <v>38</v>
      </c>
      <c r="I99" s="711">
        <v>510</v>
      </c>
      <c r="J99" s="897"/>
      <c r="K99" s="528"/>
      <c r="L99" s="549" t="s">
        <v>38</v>
      </c>
      <c r="M99" s="711">
        <f t="shared" si="242"/>
        <v>0</v>
      </c>
      <c r="N99" s="897"/>
      <c r="O99" s="528"/>
      <c r="P99" s="711">
        <v>0</v>
      </c>
      <c r="Q99" s="711">
        <v>0</v>
      </c>
      <c r="R99" s="711">
        <v>0</v>
      </c>
      <c r="S99" s="711">
        <v>0</v>
      </c>
      <c r="T99" s="711">
        <v>0</v>
      </c>
      <c r="U99" s="711">
        <v>0</v>
      </c>
      <c r="V99" s="711">
        <v>0</v>
      </c>
      <c r="W99" s="528"/>
      <c r="X99" s="711">
        <f t="shared" si="243"/>
        <v>0</v>
      </c>
      <c r="Y99" s="897"/>
      <c r="Z99" s="528"/>
      <c r="AA99" s="899"/>
      <c r="AB99" s="899"/>
      <c r="AC99" s="899"/>
      <c r="AD99" s="901"/>
      <c r="AE99" s="2"/>
      <c r="AF99" s="926"/>
      <c r="AG99" s="926"/>
      <c r="AH99" s="885"/>
      <c r="AI99" s="926"/>
      <c r="AJ99" s="926"/>
      <c r="AK99" s="885"/>
      <c r="AL99" s="885"/>
      <c r="AM99" s="879"/>
      <c r="AN99" s="2"/>
      <c r="AO99" s="886"/>
      <c r="AP99" s="886"/>
      <c r="AV99" s="4" t="str">
        <f t="shared" si="249"/>
        <v>Escavação 1ª e 2ª categoria</v>
      </c>
      <c r="AW99" s="4" t="str">
        <f t="shared" si="250"/>
        <v xml:space="preserve">   Escavação, carga e transporte de material 1ª/2ª categoria - A13</v>
      </c>
    </row>
    <row r="100" spans="1:49" ht="15" customHeight="1" outlineLevel="1">
      <c r="A100" s="525">
        <v>0</v>
      </c>
      <c r="B100" s="533"/>
      <c r="C100" s="533"/>
      <c r="D100" s="534"/>
      <c r="E100" s="535"/>
      <c r="F100" s="536"/>
      <c r="G100" s="537"/>
      <c r="H100" s="714"/>
      <c r="I100" s="555"/>
      <c r="J100" s="714"/>
      <c r="K100" s="537"/>
      <c r="L100" s="714"/>
      <c r="M100" s="555"/>
      <c r="N100" s="714"/>
      <c r="O100" s="537"/>
      <c r="P100" s="539"/>
      <c r="Q100" s="539"/>
      <c r="R100" s="539"/>
      <c r="S100" s="539"/>
      <c r="T100" s="539"/>
      <c r="U100" s="539"/>
      <c r="V100" s="539"/>
      <c r="W100" s="537"/>
      <c r="X100" s="540"/>
      <c r="Y100" s="537"/>
      <c r="Z100" s="537"/>
      <c r="AA100" s="249"/>
      <c r="AB100" s="249"/>
      <c r="AC100" s="249"/>
      <c r="AD100" s="537"/>
      <c r="AE100" s="3"/>
      <c r="AF100" s="35"/>
      <c r="AG100" s="35"/>
      <c r="AH100" s="35"/>
      <c r="AI100" s="35"/>
      <c r="AJ100" s="35"/>
      <c r="AK100" s="35"/>
      <c r="AL100" s="35"/>
      <c r="AM100" s="3"/>
      <c r="AN100" s="3"/>
      <c r="AO100" s="35"/>
      <c r="AP100" s="35"/>
      <c r="AV100" s="4" t="str">
        <f t="shared" si="249"/>
        <v>Escavação 1ª e 2ª categoria</v>
      </c>
      <c r="AW100" s="4" t="str">
        <f t="shared" si="250"/>
        <v xml:space="preserve">   Escavação, carga e transporte de material 1ª/2ª categoria - A13</v>
      </c>
    </row>
    <row r="101" spans="1:49" ht="15" customHeight="1" outlineLevel="1" collapsed="1">
      <c r="A101" s="525">
        <v>0</v>
      </c>
      <c r="B101" s="533"/>
      <c r="C101" s="533"/>
      <c r="D101" s="534"/>
      <c r="E101" s="535"/>
      <c r="F101" s="536"/>
      <c r="G101" s="537"/>
      <c r="H101" s="714"/>
      <c r="I101" s="555"/>
      <c r="J101" s="714"/>
      <c r="K101" s="537"/>
      <c r="L101" s="714"/>
      <c r="M101" s="555"/>
      <c r="N101" s="714"/>
      <c r="O101" s="537"/>
      <c r="P101" s="539"/>
      <c r="Q101" s="539"/>
      <c r="R101" s="539"/>
      <c r="S101" s="539"/>
      <c r="T101" s="539"/>
      <c r="U101" s="539"/>
      <c r="V101" s="539"/>
      <c r="W101" s="537"/>
      <c r="X101" s="540"/>
      <c r="Y101" s="537"/>
      <c r="Z101" s="537"/>
      <c r="AA101" s="249"/>
      <c r="AB101" s="249"/>
      <c r="AC101" s="249"/>
      <c r="AD101" s="537"/>
      <c r="AE101" s="3"/>
      <c r="AF101" s="35"/>
      <c r="AG101" s="35"/>
      <c r="AH101" s="35"/>
      <c r="AI101" s="35"/>
      <c r="AJ101" s="35"/>
      <c r="AK101" s="35"/>
      <c r="AL101" s="35"/>
      <c r="AM101" s="3"/>
      <c r="AN101" s="3"/>
      <c r="AO101" s="35"/>
      <c r="AP101" s="35"/>
      <c r="AV101" s="4" t="str">
        <f t="shared" si="249"/>
        <v>Escavação 1ª e 2ª categoria</v>
      </c>
      <c r="AW101" s="4" t="str">
        <f t="shared" si="250"/>
        <v xml:space="preserve">   Escavação, carga e transporte de material 1ª/2ª categoria - A13</v>
      </c>
    </row>
    <row r="102" spans="1:49" ht="15" customHeight="1" outlineLevel="1">
      <c r="A102" s="525">
        <v>0</v>
      </c>
      <c r="B102" s="556"/>
      <c r="C102" s="556"/>
      <c r="D102" s="557"/>
      <c r="E102" s="933" t="s">
        <v>41</v>
      </c>
      <c r="F102" s="859" t="s">
        <v>36</v>
      </c>
      <c r="G102" s="528"/>
      <c r="H102" s="542" t="s">
        <v>37</v>
      </c>
      <c r="I102" s="543">
        <f>SUMIF($H104:$H173,$H102,I104:I173)</f>
        <v>16920</v>
      </c>
      <c r="J102" s="860">
        <f>IFERROR((I103/I102),"-")</f>
        <v>1.3243498817966903</v>
      </c>
      <c r="K102" s="528"/>
      <c r="L102" s="542" t="s">
        <v>37</v>
      </c>
      <c r="M102" s="543">
        <f t="shared" ref="M102" si="340">SUMIF($H104:$H173,$H102,M104:M173)</f>
        <v>6520</v>
      </c>
      <c r="N102" s="860">
        <f>IFERROR((M103/M102),"-")</f>
        <v>0.34662576687116564</v>
      </c>
      <c r="O102" s="528"/>
      <c r="P102" s="543">
        <f t="shared" ref="P102:V102" si="341">SUMIF($H104:$H173,$H102,P104:P173)</f>
        <v>6520</v>
      </c>
      <c r="Q102" s="543">
        <f t="shared" si="341"/>
        <v>6520</v>
      </c>
      <c r="R102" s="543">
        <f t="shared" si="341"/>
        <v>6520</v>
      </c>
      <c r="S102" s="543">
        <f t="shared" si="341"/>
        <v>7220</v>
      </c>
      <c r="T102" s="543">
        <f t="shared" si="341"/>
        <v>6340</v>
      </c>
      <c r="U102" s="543">
        <f t="shared" si="341"/>
        <v>6340</v>
      </c>
      <c r="V102" s="543">
        <f t="shared" si="341"/>
        <v>0</v>
      </c>
      <c r="W102" s="528"/>
      <c r="X102" s="543">
        <f t="shared" ref="X102:X165" si="342">SUMIFS(P102:V102,$P$8:$V$8,"&gt;="&amp;$P$8,$P$8:$V$8,"&lt;="&amp;$N$8)</f>
        <v>13040</v>
      </c>
      <c r="Y102" s="860">
        <f>IFERROR((X103/X102),"-")</f>
        <v>0.38266871165644173</v>
      </c>
      <c r="Z102" s="528"/>
      <c r="AA102" s="814">
        <f>SUM(AA104:AA173)</f>
        <v>100100.97</v>
      </c>
      <c r="AB102" s="814">
        <f>SUM(AB104:AB173)</f>
        <v>51910.320000000007</v>
      </c>
      <c r="AC102" s="814">
        <f>SUM(AC104:AC173)</f>
        <v>39980</v>
      </c>
      <c r="AD102" s="911">
        <f t="shared" ref="AD102" si="343">IFERROR((AC102/AB102),"-")</f>
        <v>0.77017440847985519</v>
      </c>
      <c r="AE102" s="2"/>
      <c r="AF102" s="888">
        <f t="shared" ref="AF102:AL102" si="344">SUM(AF104:AF173)</f>
        <v>2091278.115</v>
      </c>
      <c r="AG102" s="888">
        <f t="shared" si="344"/>
        <v>45127.360999999997</v>
      </c>
      <c r="AH102" s="888">
        <f t="shared" si="344"/>
        <v>59141</v>
      </c>
      <c r="AI102" s="888">
        <f t="shared" si="344"/>
        <v>73322.732000000004</v>
      </c>
      <c r="AJ102" s="888">
        <f t="shared" si="344"/>
        <v>73882.459000000003</v>
      </c>
      <c r="AK102" s="888">
        <f t="shared" si="344"/>
        <v>2382731.6670000004</v>
      </c>
      <c r="AL102" s="888">
        <f t="shared" si="344"/>
        <v>2562987.65</v>
      </c>
      <c r="AM102" s="743">
        <f>IFERROR((AK102/AL102),"-")</f>
        <v>0.92966958580545656</v>
      </c>
      <c r="AN102" s="2"/>
      <c r="AO102" s="888">
        <f>SUM(AO104:AO173)</f>
        <v>2617678.1199999996</v>
      </c>
      <c r="AP102" s="888">
        <f>SUM(AP104:AP173)</f>
        <v>234946.45300000001</v>
      </c>
      <c r="AV102" s="4" t="str">
        <f t="shared" si="249"/>
        <v>Escavação 1ª e 2ª categoria</v>
      </c>
      <c r="AW102" s="4" t="str">
        <f t="shared" si="250"/>
        <v>Pacote 04 - Segmento 2.3 - Km 116+517 a 131+241</v>
      </c>
    </row>
    <row r="103" spans="1:49" ht="15" customHeight="1" outlineLevel="1">
      <c r="A103" s="525">
        <v>0</v>
      </c>
      <c r="B103" s="556"/>
      <c r="C103" s="556"/>
      <c r="D103" s="558"/>
      <c r="E103" s="934"/>
      <c r="F103" s="859"/>
      <c r="G103" s="528"/>
      <c r="H103" s="544" t="s">
        <v>38</v>
      </c>
      <c r="I103" s="543">
        <f>SUMIF($H104:$H173,$H103,I104:I173)</f>
        <v>22408</v>
      </c>
      <c r="J103" s="861"/>
      <c r="K103" s="528"/>
      <c r="L103" s="544" t="s">
        <v>38</v>
      </c>
      <c r="M103" s="543">
        <f t="shared" ref="M103" si="345">SUMIF($H104:$H173,$H103,M104:M173)</f>
        <v>2260</v>
      </c>
      <c r="N103" s="861"/>
      <c r="O103" s="528"/>
      <c r="P103" s="543">
        <f t="shared" ref="P103:V103" si="346">SUMIF($H104:$H173,$H103,P104:P173)</f>
        <v>2730</v>
      </c>
      <c r="Q103" s="543">
        <f t="shared" si="346"/>
        <v>2260</v>
      </c>
      <c r="R103" s="543">
        <f t="shared" si="346"/>
        <v>0</v>
      </c>
      <c r="S103" s="543">
        <f t="shared" si="346"/>
        <v>0</v>
      </c>
      <c r="T103" s="543">
        <f t="shared" si="346"/>
        <v>0</v>
      </c>
      <c r="U103" s="543">
        <f t="shared" si="346"/>
        <v>0</v>
      </c>
      <c r="V103" s="543">
        <f t="shared" si="346"/>
        <v>0</v>
      </c>
      <c r="W103" s="528"/>
      <c r="X103" s="543">
        <f t="shared" si="342"/>
        <v>4990</v>
      </c>
      <c r="Y103" s="861"/>
      <c r="Z103" s="528"/>
      <c r="AA103" s="814"/>
      <c r="AB103" s="814"/>
      <c r="AC103" s="814"/>
      <c r="AD103" s="912"/>
      <c r="AE103" s="2"/>
      <c r="AF103" s="888"/>
      <c r="AG103" s="888"/>
      <c r="AH103" s="888"/>
      <c r="AI103" s="888"/>
      <c r="AJ103" s="888"/>
      <c r="AK103" s="888"/>
      <c r="AL103" s="888"/>
      <c r="AM103" s="744"/>
      <c r="AN103" s="2"/>
      <c r="AO103" s="888"/>
      <c r="AP103" s="888"/>
      <c r="AV103" s="4" t="str">
        <f t="shared" si="249"/>
        <v>Escavação 1ª e 2ª categoria</v>
      </c>
      <c r="AW103" s="4" t="str">
        <f t="shared" si="250"/>
        <v>Pacote 04 - Segmento 2.3 - Km 116+517 a 131+241</v>
      </c>
    </row>
    <row r="104" spans="1:49" ht="15" customHeight="1" outlineLevel="2">
      <c r="A104" s="545" t="str">
        <f t="shared" ref="A104" si="347">IF(SUM(P104:V105)&gt;0,"S","N")</f>
        <v>N</v>
      </c>
      <c r="B104" s="526">
        <v>1059607</v>
      </c>
      <c r="C104" s="526" t="s">
        <v>291</v>
      </c>
      <c r="D104" s="527" t="s">
        <v>292</v>
      </c>
      <c r="E104" s="892" t="s">
        <v>293</v>
      </c>
      <c r="F104" s="902" t="s">
        <v>36</v>
      </c>
      <c r="G104" s="528"/>
      <c r="H104" s="546" t="s">
        <v>37</v>
      </c>
      <c r="I104" s="711">
        <v>0</v>
      </c>
      <c r="J104" s="896" t="str">
        <f>IFERROR((I105/I104),"-")</f>
        <v>-</v>
      </c>
      <c r="K104" s="528"/>
      <c r="L104" s="546" t="s">
        <v>37</v>
      </c>
      <c r="M104" s="711">
        <f t="shared" ref="M104:M173" si="348">_xlfn.XLOOKUP($N$8,$P$8:$V$8,$P104:$V104)</f>
        <v>0</v>
      </c>
      <c r="N104" s="896" t="str">
        <f>IFERROR((M105/M104),"-")</f>
        <v>-</v>
      </c>
      <c r="O104" s="528"/>
      <c r="P104" s="547">
        <v>0</v>
      </c>
      <c r="Q104" s="547">
        <v>0</v>
      </c>
      <c r="R104" s="547">
        <v>0</v>
      </c>
      <c r="S104" s="547">
        <v>0</v>
      </c>
      <c r="T104" s="547">
        <v>0</v>
      </c>
      <c r="U104" s="547">
        <v>0</v>
      </c>
      <c r="V104" s="548">
        <v>0</v>
      </c>
      <c r="W104" s="528"/>
      <c r="X104" s="711">
        <f t="shared" si="342"/>
        <v>0</v>
      </c>
      <c r="Y104" s="896" t="str">
        <f>IFERROR((X105/X104),"0")</f>
        <v>0</v>
      </c>
      <c r="Z104" s="528"/>
      <c r="AA104" s="898">
        <v>0</v>
      </c>
      <c r="AB104" s="898">
        <v>0</v>
      </c>
      <c r="AC104" s="898">
        <v>0</v>
      </c>
      <c r="AD104" s="900" t="str">
        <f t="shared" ref="AD104" si="349">IFERROR((AC104/AB104),"-")</f>
        <v>-</v>
      </c>
      <c r="AE104" s="2"/>
      <c r="AF104" s="886">
        <v>69.015000000000001</v>
      </c>
      <c r="AG104" s="886"/>
      <c r="AH104" s="884">
        <v>0</v>
      </c>
      <c r="AI104" s="886"/>
      <c r="AJ104" s="886"/>
      <c r="AK104" s="884">
        <f t="shared" ref="AK104" si="350">AF104+AG104+AH104+AI104+AJ104+AC104</f>
        <v>69.015000000000001</v>
      </c>
      <c r="AL104" s="884">
        <v>4159.33</v>
      </c>
      <c r="AM104" s="878">
        <f t="shared" ref="AM104" si="351">IFERROR((AK104/AL104),"-")</f>
        <v>1.6592816631524791E-2</v>
      </c>
      <c r="AN104" s="2"/>
      <c r="AO104" s="884">
        <v>4159.33</v>
      </c>
      <c r="AP104" s="884">
        <f t="shared" ref="AP104" si="352">AO104-AK104</f>
        <v>4090.3150000000001</v>
      </c>
      <c r="AV104" s="4" t="str">
        <f t="shared" si="249"/>
        <v>Escavação 1ª e 2ª categoria</v>
      </c>
      <c r="AW104" s="4" t="str">
        <f t="shared" si="250"/>
        <v>Seg. 2.3-C03 - Escavação, carga e transporte de material 1ª/2ª categoria</v>
      </c>
    </row>
    <row r="105" spans="1:49" ht="15" customHeight="1" outlineLevel="2">
      <c r="A105" s="545" t="str">
        <f t="shared" ref="A105" si="353">A104</f>
        <v>N</v>
      </c>
      <c r="B105" s="526"/>
      <c r="C105" s="526"/>
      <c r="D105" s="527" t="s">
        <v>292</v>
      </c>
      <c r="E105" s="893"/>
      <c r="F105" s="902"/>
      <c r="G105" s="528"/>
      <c r="H105" s="549" t="s">
        <v>38</v>
      </c>
      <c r="I105" s="711">
        <v>0</v>
      </c>
      <c r="J105" s="897"/>
      <c r="K105" s="528"/>
      <c r="L105" s="549" t="s">
        <v>38</v>
      </c>
      <c r="M105" s="711">
        <f t="shared" si="348"/>
        <v>0</v>
      </c>
      <c r="N105" s="897"/>
      <c r="O105" s="528"/>
      <c r="P105" s="711">
        <v>0</v>
      </c>
      <c r="Q105" s="711">
        <v>0</v>
      </c>
      <c r="R105" s="711">
        <v>0</v>
      </c>
      <c r="S105" s="711">
        <v>0</v>
      </c>
      <c r="T105" s="711">
        <v>0</v>
      </c>
      <c r="U105" s="711">
        <v>0</v>
      </c>
      <c r="V105" s="711">
        <v>0</v>
      </c>
      <c r="W105" s="528"/>
      <c r="X105" s="711">
        <f t="shared" si="342"/>
        <v>0</v>
      </c>
      <c r="Y105" s="897"/>
      <c r="Z105" s="528"/>
      <c r="AA105" s="899"/>
      <c r="AB105" s="899"/>
      <c r="AC105" s="899"/>
      <c r="AD105" s="901"/>
      <c r="AE105" s="2"/>
      <c r="AF105" s="926"/>
      <c r="AG105" s="926"/>
      <c r="AH105" s="885"/>
      <c r="AI105" s="926"/>
      <c r="AJ105" s="926"/>
      <c r="AK105" s="885"/>
      <c r="AL105" s="885"/>
      <c r="AM105" s="879"/>
      <c r="AN105" s="2"/>
      <c r="AO105" s="886"/>
      <c r="AP105" s="886"/>
      <c r="AV105" s="4" t="str">
        <f t="shared" si="249"/>
        <v>Escavação 1ª e 2ª categoria</v>
      </c>
      <c r="AW105" s="4" t="str">
        <f t="shared" si="250"/>
        <v>Seg. 2.3-C03 - Escavação, carga e transporte de material 1ª/2ª categoria</v>
      </c>
    </row>
    <row r="106" spans="1:49" ht="15" customHeight="1" outlineLevel="2">
      <c r="A106" s="545" t="str">
        <f t="shared" ref="A106" si="354">IF(SUM(P106:V107)&gt;0,"S","N")</f>
        <v>N</v>
      </c>
      <c r="B106" s="526">
        <v>1069768</v>
      </c>
      <c r="C106" s="526" t="s">
        <v>294</v>
      </c>
      <c r="D106" s="527" t="s">
        <v>295</v>
      </c>
      <c r="E106" s="892" t="s">
        <v>296</v>
      </c>
      <c r="F106" s="894" t="s">
        <v>36</v>
      </c>
      <c r="G106" s="528"/>
      <c r="H106" s="546" t="s">
        <v>37</v>
      </c>
      <c r="I106" s="711">
        <v>0</v>
      </c>
      <c r="J106" s="896" t="str">
        <f>IFERROR((I107/I106),"-")</f>
        <v>-</v>
      </c>
      <c r="K106" s="528"/>
      <c r="L106" s="546" t="s">
        <v>37</v>
      </c>
      <c r="M106" s="711">
        <f t="shared" si="348"/>
        <v>0</v>
      </c>
      <c r="N106" s="896" t="str">
        <f>IFERROR((M107/M106),"-")</f>
        <v>-</v>
      </c>
      <c r="O106" s="528"/>
      <c r="P106" s="547">
        <v>0</v>
      </c>
      <c r="Q106" s="547">
        <v>0</v>
      </c>
      <c r="R106" s="547">
        <v>0</v>
      </c>
      <c r="S106" s="547">
        <v>0</v>
      </c>
      <c r="T106" s="547">
        <v>0</v>
      </c>
      <c r="U106" s="547">
        <v>0</v>
      </c>
      <c r="V106" s="548">
        <v>0</v>
      </c>
      <c r="W106" s="528"/>
      <c r="X106" s="711">
        <f t="shared" si="342"/>
        <v>0</v>
      </c>
      <c r="Y106" s="896" t="str">
        <f>IFERROR((X107/X106),"0")</f>
        <v>0</v>
      </c>
      <c r="Z106" s="528"/>
      <c r="AA106" s="898">
        <v>1205.21</v>
      </c>
      <c r="AB106" s="898">
        <v>1205.21</v>
      </c>
      <c r="AC106" s="898">
        <v>0</v>
      </c>
      <c r="AD106" s="900">
        <f t="shared" ref="AD106" si="355">IFERROR((AC106/AB106),"-")</f>
        <v>0</v>
      </c>
      <c r="AE106" s="2"/>
      <c r="AF106" s="886">
        <v>6074.4570000000003</v>
      </c>
      <c r="AG106" s="886"/>
      <c r="AH106" s="884">
        <v>3440</v>
      </c>
      <c r="AI106" s="886"/>
      <c r="AJ106" s="886"/>
      <c r="AK106" s="884">
        <f t="shared" ref="AK106" si="356">AF106+AG106+AH106+AI106+AJ106+AC106</f>
        <v>9514.4570000000003</v>
      </c>
      <c r="AL106" s="884">
        <v>7669.7200000000075</v>
      </c>
      <c r="AM106" s="878">
        <f t="shared" ref="AM106" si="357">IFERROR((AK106/AL106),"-")</f>
        <v>1.240522079032871</v>
      </c>
      <c r="AN106" s="2"/>
      <c r="AO106" s="884">
        <v>7670.61</v>
      </c>
      <c r="AP106" s="884">
        <f t="shared" ref="AP106" si="358">AO106-AK106</f>
        <v>-1843.8470000000007</v>
      </c>
      <c r="AV106" s="4" t="str">
        <f t="shared" si="249"/>
        <v>Escavação 1ª e 2ª categoria</v>
      </c>
      <c r="AW106" s="4" t="str">
        <f t="shared" si="250"/>
        <v>Escavação, carga, transporte, descarga e espalhamento de solo de 1ª /2ª categoria para Retaludamento</v>
      </c>
    </row>
    <row r="107" spans="1:49" ht="15" customHeight="1" outlineLevel="2">
      <c r="A107" s="545" t="str">
        <f t="shared" ref="A107" si="359">A106</f>
        <v>N</v>
      </c>
      <c r="B107" s="526"/>
      <c r="C107" s="526"/>
      <c r="D107" s="527" t="s">
        <v>295</v>
      </c>
      <c r="E107" s="893"/>
      <c r="F107" s="895"/>
      <c r="G107" s="528"/>
      <c r="H107" s="549" t="s">
        <v>38</v>
      </c>
      <c r="I107" s="711">
        <v>0</v>
      </c>
      <c r="J107" s="897"/>
      <c r="K107" s="528"/>
      <c r="L107" s="549" t="s">
        <v>38</v>
      </c>
      <c r="M107" s="711">
        <f t="shared" si="348"/>
        <v>0</v>
      </c>
      <c r="N107" s="897"/>
      <c r="O107" s="528"/>
      <c r="P107" s="711">
        <v>0</v>
      </c>
      <c r="Q107" s="711">
        <v>0</v>
      </c>
      <c r="R107" s="711">
        <v>0</v>
      </c>
      <c r="S107" s="711">
        <v>0</v>
      </c>
      <c r="T107" s="711">
        <v>0</v>
      </c>
      <c r="U107" s="711">
        <v>0</v>
      </c>
      <c r="V107" s="711">
        <v>0</v>
      </c>
      <c r="W107" s="528"/>
      <c r="X107" s="711">
        <f t="shared" si="342"/>
        <v>0</v>
      </c>
      <c r="Y107" s="897"/>
      <c r="Z107" s="528"/>
      <c r="AA107" s="899"/>
      <c r="AB107" s="899"/>
      <c r="AC107" s="899"/>
      <c r="AD107" s="901"/>
      <c r="AE107" s="2"/>
      <c r="AF107" s="926"/>
      <c r="AG107" s="926"/>
      <c r="AH107" s="885"/>
      <c r="AI107" s="926"/>
      <c r="AJ107" s="926"/>
      <c r="AK107" s="885"/>
      <c r="AL107" s="885"/>
      <c r="AM107" s="879"/>
      <c r="AN107" s="2"/>
      <c r="AO107" s="886"/>
      <c r="AP107" s="886"/>
      <c r="AV107" s="4" t="str">
        <f t="shared" si="249"/>
        <v>Escavação 1ª e 2ª categoria</v>
      </c>
      <c r="AW107" s="4" t="str">
        <f t="shared" si="250"/>
        <v>Escavação, carga, transporte, descarga e espalhamento de solo de 1ª /2ª categoria para Retaludamento</v>
      </c>
    </row>
    <row r="108" spans="1:49" ht="15" customHeight="1" outlineLevel="2">
      <c r="A108" s="525" t="str">
        <f t="shared" ref="A108" si="360">IF(SUM(P108:V109)&gt;0,"S","N")</f>
        <v>S</v>
      </c>
      <c r="B108" s="526">
        <v>1057353</v>
      </c>
      <c r="C108" s="526" t="s">
        <v>297</v>
      </c>
      <c r="D108" s="550" t="s">
        <v>298</v>
      </c>
      <c r="E108" s="892" t="s">
        <v>299</v>
      </c>
      <c r="F108" s="902" t="s">
        <v>36</v>
      </c>
      <c r="G108" s="528"/>
      <c r="H108" s="546" t="s">
        <v>37</v>
      </c>
      <c r="I108" s="711">
        <v>0</v>
      </c>
      <c r="J108" s="896" t="str">
        <f>IFERROR((I109/I108),"-")</f>
        <v>-</v>
      </c>
      <c r="K108" s="528"/>
      <c r="L108" s="546" t="s">
        <v>37</v>
      </c>
      <c r="M108" s="711">
        <f t="shared" si="348"/>
        <v>2460</v>
      </c>
      <c r="N108" s="896">
        <f>IFERROR((M109/M108),"-")</f>
        <v>0.53658536585365857</v>
      </c>
      <c r="O108" s="528"/>
      <c r="P108" s="547">
        <v>2460</v>
      </c>
      <c r="Q108" s="547">
        <v>2460</v>
      </c>
      <c r="R108" s="547">
        <v>2460</v>
      </c>
      <c r="S108" s="547">
        <v>2460</v>
      </c>
      <c r="T108" s="547">
        <v>2260</v>
      </c>
      <c r="U108" s="547">
        <v>2260</v>
      </c>
      <c r="V108" s="548">
        <v>0</v>
      </c>
      <c r="W108" s="528"/>
      <c r="X108" s="711">
        <f t="shared" si="342"/>
        <v>4920</v>
      </c>
      <c r="Y108" s="896">
        <f>IFERROR((X109/X108),"0")</f>
        <v>0.51016260162601623</v>
      </c>
      <c r="Z108" s="528"/>
      <c r="AA108" s="898">
        <v>0</v>
      </c>
      <c r="AB108" s="898">
        <v>0</v>
      </c>
      <c r="AC108" s="898">
        <v>25920</v>
      </c>
      <c r="AD108" s="900" t="str">
        <f t="shared" ref="AD108" si="361">IFERROR((AC108/AB108),"-")</f>
        <v>-</v>
      </c>
      <c r="AE108" s="2"/>
      <c r="AF108" s="886">
        <v>391878.10200000001</v>
      </c>
      <c r="AG108" s="886">
        <v>4545.5169999999998</v>
      </c>
      <c r="AH108" s="884">
        <v>29033</v>
      </c>
      <c r="AI108" s="886">
        <v>1132.9349999999999</v>
      </c>
      <c r="AJ108" s="886">
        <v>10491.767</v>
      </c>
      <c r="AK108" s="884">
        <f t="shared" ref="AK108" si="362">AF108+AG108+AH108+AI108+AJ108+AC108</f>
        <v>463001.321</v>
      </c>
      <c r="AL108" s="884">
        <v>559132.71000000008</v>
      </c>
      <c r="AM108" s="878">
        <f t="shared" ref="AM108" si="363">IFERROR((AK108/AL108),"-")</f>
        <v>0.82807053266477637</v>
      </c>
      <c r="AN108" s="2"/>
      <c r="AO108" s="884">
        <v>576148.31000000006</v>
      </c>
      <c r="AP108" s="884">
        <f t="shared" ref="AP108" si="364">AO108-AK108</f>
        <v>113146.98900000006</v>
      </c>
      <c r="AV108" s="4" t="str">
        <f t="shared" si="249"/>
        <v>Escavação 1ª e 2ª categoria</v>
      </c>
      <c r="AW108" s="4" t="str">
        <f t="shared" si="250"/>
        <v xml:space="preserve">Seg. 2.3-C08-B01 - Escavação, carga e transporte de material 1ª/2ª categoria </v>
      </c>
    </row>
    <row r="109" spans="1:49" ht="15" customHeight="1" outlineLevel="2">
      <c r="A109" s="525" t="str">
        <f t="shared" ref="A109" si="365">A108</f>
        <v>S</v>
      </c>
      <c r="B109" s="526"/>
      <c r="C109" s="526"/>
      <c r="D109" s="550" t="s">
        <v>298</v>
      </c>
      <c r="E109" s="893"/>
      <c r="F109" s="902"/>
      <c r="G109" s="528"/>
      <c r="H109" s="549" t="s">
        <v>38</v>
      </c>
      <c r="I109" s="711">
        <v>14238</v>
      </c>
      <c r="J109" s="897"/>
      <c r="K109" s="528"/>
      <c r="L109" s="549" t="s">
        <v>38</v>
      </c>
      <c r="M109" s="711">
        <f t="shared" si="348"/>
        <v>1320</v>
      </c>
      <c r="N109" s="897"/>
      <c r="O109" s="528"/>
      <c r="P109" s="711">
        <v>1190</v>
      </c>
      <c r="Q109" s="711">
        <v>1320</v>
      </c>
      <c r="R109" s="711">
        <v>0</v>
      </c>
      <c r="S109" s="711">
        <v>0</v>
      </c>
      <c r="T109" s="711">
        <v>0</v>
      </c>
      <c r="U109" s="711">
        <v>0</v>
      </c>
      <c r="V109" s="711">
        <v>0</v>
      </c>
      <c r="W109" s="528"/>
      <c r="X109" s="711">
        <f t="shared" si="342"/>
        <v>2510</v>
      </c>
      <c r="Y109" s="897"/>
      <c r="Z109" s="528"/>
      <c r="AA109" s="899"/>
      <c r="AB109" s="899"/>
      <c r="AC109" s="899"/>
      <c r="AD109" s="901"/>
      <c r="AE109" s="2"/>
      <c r="AF109" s="926"/>
      <c r="AG109" s="926"/>
      <c r="AH109" s="885"/>
      <c r="AI109" s="926"/>
      <c r="AJ109" s="926"/>
      <c r="AK109" s="885"/>
      <c r="AL109" s="885"/>
      <c r="AM109" s="879"/>
      <c r="AN109" s="2"/>
      <c r="AO109" s="885"/>
      <c r="AP109" s="886"/>
      <c r="AV109" s="4" t="str">
        <f t="shared" si="249"/>
        <v>Escavação 1ª e 2ª categoria</v>
      </c>
      <c r="AW109" s="4" t="str">
        <f t="shared" si="250"/>
        <v xml:space="preserve">Seg. 2.3-C08-B01 - Escavação, carga e transporte de material 1ª/2ª categoria </v>
      </c>
    </row>
    <row r="110" spans="1:49" ht="15" customHeight="1" outlineLevel="2">
      <c r="A110" s="545" t="str">
        <f t="shared" ref="A110" si="366">IF(SUM(P110:V111)&gt;0,"S","N")</f>
        <v>N</v>
      </c>
      <c r="B110" s="526">
        <v>1058890</v>
      </c>
      <c r="C110" s="526" t="s">
        <v>300</v>
      </c>
      <c r="D110" s="527" t="s">
        <v>301</v>
      </c>
      <c r="E110" s="892" t="s">
        <v>302</v>
      </c>
      <c r="F110" s="902" t="s">
        <v>36</v>
      </c>
      <c r="G110" s="528"/>
      <c r="H110" s="546" t="s">
        <v>37</v>
      </c>
      <c r="I110" s="711">
        <v>0</v>
      </c>
      <c r="J110" s="896" t="str">
        <f>IFERROR((I111/I110),"-")</f>
        <v>-</v>
      </c>
      <c r="K110" s="528"/>
      <c r="L110" s="546" t="s">
        <v>37</v>
      </c>
      <c r="M110" s="711">
        <f t="shared" si="348"/>
        <v>0</v>
      </c>
      <c r="N110" s="896" t="str">
        <f>IFERROR((M111/M110),"-")</f>
        <v>-</v>
      </c>
      <c r="O110" s="528"/>
      <c r="P110" s="547">
        <v>0</v>
      </c>
      <c r="Q110" s="547">
        <v>0</v>
      </c>
      <c r="R110" s="547">
        <v>0</v>
      </c>
      <c r="S110" s="547">
        <v>0</v>
      </c>
      <c r="T110" s="547">
        <v>0</v>
      </c>
      <c r="U110" s="547">
        <v>0</v>
      </c>
      <c r="V110" s="548">
        <v>0</v>
      </c>
      <c r="W110" s="528"/>
      <c r="X110" s="711">
        <f t="shared" si="342"/>
        <v>0</v>
      </c>
      <c r="Y110" s="896" t="str">
        <f>IFERROR((X111/X110),"0")</f>
        <v>0</v>
      </c>
      <c r="Z110" s="528"/>
      <c r="AA110" s="898">
        <v>491.93</v>
      </c>
      <c r="AB110" s="898">
        <v>491.93</v>
      </c>
      <c r="AC110" s="898">
        <v>0</v>
      </c>
      <c r="AD110" s="900">
        <f t="shared" ref="AD110" si="367">IFERROR((AC110/AB110),"-")</f>
        <v>0</v>
      </c>
      <c r="AE110" s="2"/>
      <c r="AF110" s="886">
        <v>0</v>
      </c>
      <c r="AG110" s="886"/>
      <c r="AH110" s="884">
        <v>0</v>
      </c>
      <c r="AI110" s="886"/>
      <c r="AJ110" s="886"/>
      <c r="AK110" s="884">
        <f t="shared" ref="AK110" si="368">AF110+AG110+AH110+AI110+AJ110+AC110</f>
        <v>0</v>
      </c>
      <c r="AL110" s="884">
        <v>491.93</v>
      </c>
      <c r="AM110" s="878">
        <f t="shared" ref="AM110" si="369">IFERROR((AK110/AL110),"-")</f>
        <v>0</v>
      </c>
      <c r="AN110" s="2"/>
      <c r="AO110" s="884">
        <v>491.93</v>
      </c>
      <c r="AP110" s="884">
        <f t="shared" ref="AP110" si="370">AO110-AK110</f>
        <v>491.93</v>
      </c>
      <c r="AV110" s="4" t="str">
        <f t="shared" si="249"/>
        <v>Escavação 1ª e 2ª categoria</v>
      </c>
      <c r="AW110" s="4" t="str">
        <f t="shared" si="250"/>
        <v xml:space="preserve">   Escavação, carga e transporte de material 1ª/2ª categoria - Seg.2.3 acesso km 118+158</v>
      </c>
    </row>
    <row r="111" spans="1:49" ht="15" customHeight="1" outlineLevel="2">
      <c r="A111" s="545" t="str">
        <f t="shared" ref="A111" si="371">A110</f>
        <v>N</v>
      </c>
      <c r="B111" s="526"/>
      <c r="C111" s="526"/>
      <c r="D111" s="527" t="s">
        <v>301</v>
      </c>
      <c r="E111" s="893"/>
      <c r="F111" s="902"/>
      <c r="G111" s="528"/>
      <c r="H111" s="549" t="s">
        <v>38</v>
      </c>
      <c r="I111" s="711">
        <v>0</v>
      </c>
      <c r="J111" s="897"/>
      <c r="K111" s="528"/>
      <c r="L111" s="549" t="s">
        <v>38</v>
      </c>
      <c r="M111" s="711">
        <f t="shared" si="348"/>
        <v>0</v>
      </c>
      <c r="N111" s="897"/>
      <c r="O111" s="528"/>
      <c r="P111" s="711">
        <v>0</v>
      </c>
      <c r="Q111" s="711">
        <v>0</v>
      </c>
      <c r="R111" s="711">
        <v>0</v>
      </c>
      <c r="S111" s="711">
        <v>0</v>
      </c>
      <c r="T111" s="711">
        <v>0</v>
      </c>
      <c r="U111" s="711">
        <v>0</v>
      </c>
      <c r="V111" s="711">
        <v>0</v>
      </c>
      <c r="W111" s="528"/>
      <c r="X111" s="711">
        <f t="shared" si="342"/>
        <v>0</v>
      </c>
      <c r="Y111" s="897"/>
      <c r="Z111" s="528"/>
      <c r="AA111" s="899"/>
      <c r="AB111" s="899"/>
      <c r="AC111" s="899"/>
      <c r="AD111" s="901"/>
      <c r="AE111" s="2"/>
      <c r="AF111" s="926"/>
      <c r="AG111" s="926"/>
      <c r="AH111" s="885"/>
      <c r="AI111" s="926"/>
      <c r="AJ111" s="926"/>
      <c r="AK111" s="885"/>
      <c r="AL111" s="885"/>
      <c r="AM111" s="879"/>
      <c r="AN111" s="2"/>
      <c r="AO111" s="886"/>
      <c r="AP111" s="886"/>
      <c r="AV111" s="4" t="str">
        <f t="shared" si="249"/>
        <v>Escavação 1ª e 2ª categoria</v>
      </c>
      <c r="AW111" s="4" t="str">
        <f t="shared" si="250"/>
        <v xml:space="preserve">   Escavação, carga e transporte de material 1ª/2ª categoria - Seg.2.3 acesso km 118+158</v>
      </c>
    </row>
    <row r="112" spans="1:49" ht="15" customHeight="1" outlineLevel="2">
      <c r="A112" s="545" t="str">
        <f t="shared" ref="A112" si="372">IF(SUM(P112:V113)&gt;0,"S","N")</f>
        <v>N</v>
      </c>
      <c r="B112" s="526">
        <v>1058893</v>
      </c>
      <c r="C112" s="526" t="s">
        <v>303</v>
      </c>
      <c r="D112" s="527" t="s">
        <v>304</v>
      </c>
      <c r="E112" s="892" t="s">
        <v>305</v>
      </c>
      <c r="F112" s="902" t="s">
        <v>36</v>
      </c>
      <c r="G112" s="528"/>
      <c r="H112" s="546" t="s">
        <v>37</v>
      </c>
      <c r="I112" s="711">
        <v>0</v>
      </c>
      <c r="J112" s="896" t="str">
        <f>IFERROR((I113/I112),"-")</f>
        <v>-</v>
      </c>
      <c r="K112" s="528"/>
      <c r="L112" s="546" t="s">
        <v>37</v>
      </c>
      <c r="M112" s="711">
        <f t="shared" si="348"/>
        <v>0</v>
      </c>
      <c r="N112" s="896" t="str">
        <f>IFERROR((M113/M112),"-")</f>
        <v>-</v>
      </c>
      <c r="O112" s="528"/>
      <c r="P112" s="547">
        <v>0</v>
      </c>
      <c r="Q112" s="547">
        <v>0</v>
      </c>
      <c r="R112" s="547">
        <v>0</v>
      </c>
      <c r="S112" s="547">
        <v>0</v>
      </c>
      <c r="T112" s="547">
        <v>0</v>
      </c>
      <c r="U112" s="547">
        <v>0</v>
      </c>
      <c r="V112" s="548">
        <v>0</v>
      </c>
      <c r="W112" s="528"/>
      <c r="X112" s="711">
        <f t="shared" si="342"/>
        <v>0</v>
      </c>
      <c r="Y112" s="896" t="str">
        <f>IFERROR((X113/X112),"0")</f>
        <v>0</v>
      </c>
      <c r="Z112" s="528"/>
      <c r="AA112" s="898">
        <v>226.09</v>
      </c>
      <c r="AB112" s="898">
        <v>226.09</v>
      </c>
      <c r="AC112" s="898">
        <v>0</v>
      </c>
      <c r="AD112" s="900">
        <f t="shared" ref="AD112" si="373">IFERROR((AC112/AB112),"-")</f>
        <v>0</v>
      </c>
      <c r="AE112" s="2"/>
      <c r="AF112" s="886">
        <v>0</v>
      </c>
      <c r="AG112" s="886"/>
      <c r="AH112" s="884">
        <v>0</v>
      </c>
      <c r="AI112" s="886"/>
      <c r="AJ112" s="886"/>
      <c r="AK112" s="884">
        <f t="shared" ref="AK112" si="374">AF112+AG112+AH112+AI112+AJ112+AC112</f>
        <v>0</v>
      </c>
      <c r="AL112" s="884">
        <v>226.09</v>
      </c>
      <c r="AM112" s="878">
        <f t="shared" ref="AM112" si="375">IFERROR((AK112/AL112),"-")</f>
        <v>0</v>
      </c>
      <c r="AN112" s="2"/>
      <c r="AO112" s="884">
        <v>226.09</v>
      </c>
      <c r="AP112" s="884">
        <f t="shared" ref="AP112" si="376">AO112-AK112</f>
        <v>226.09</v>
      </c>
      <c r="AV112" s="4" t="str">
        <f t="shared" si="249"/>
        <v>Escavação 1ª e 2ª categoria</v>
      </c>
      <c r="AW112" s="4" t="str">
        <f t="shared" si="250"/>
        <v xml:space="preserve">   Escavação, carga e transporte de material 1ª/2ª categoria - Seg.2.3 acesso km 120+026</v>
      </c>
    </row>
    <row r="113" spans="1:49" ht="15" customHeight="1" outlineLevel="2">
      <c r="A113" s="545" t="str">
        <f t="shared" ref="A113" si="377">A112</f>
        <v>N</v>
      </c>
      <c r="B113" s="526"/>
      <c r="C113" s="526"/>
      <c r="D113" s="527" t="s">
        <v>304</v>
      </c>
      <c r="E113" s="893"/>
      <c r="F113" s="902"/>
      <c r="G113" s="528"/>
      <c r="H113" s="549" t="s">
        <v>38</v>
      </c>
      <c r="I113" s="711">
        <v>0</v>
      </c>
      <c r="J113" s="897"/>
      <c r="K113" s="528"/>
      <c r="L113" s="549" t="s">
        <v>38</v>
      </c>
      <c r="M113" s="711">
        <f t="shared" si="348"/>
        <v>0</v>
      </c>
      <c r="N113" s="897"/>
      <c r="O113" s="528"/>
      <c r="P113" s="711">
        <v>0</v>
      </c>
      <c r="Q113" s="711">
        <v>0</v>
      </c>
      <c r="R113" s="711">
        <v>0</v>
      </c>
      <c r="S113" s="711">
        <v>0</v>
      </c>
      <c r="T113" s="711">
        <v>0</v>
      </c>
      <c r="U113" s="711">
        <v>0</v>
      </c>
      <c r="V113" s="711">
        <v>0</v>
      </c>
      <c r="W113" s="528"/>
      <c r="X113" s="711">
        <f t="shared" si="342"/>
        <v>0</v>
      </c>
      <c r="Y113" s="897"/>
      <c r="Z113" s="528"/>
      <c r="AA113" s="899"/>
      <c r="AB113" s="899"/>
      <c r="AC113" s="899"/>
      <c r="AD113" s="901"/>
      <c r="AE113" s="2"/>
      <c r="AF113" s="926"/>
      <c r="AG113" s="926"/>
      <c r="AH113" s="885"/>
      <c r="AI113" s="926"/>
      <c r="AJ113" s="926"/>
      <c r="AK113" s="885"/>
      <c r="AL113" s="885"/>
      <c r="AM113" s="879"/>
      <c r="AN113" s="2"/>
      <c r="AO113" s="886"/>
      <c r="AP113" s="886"/>
      <c r="AV113" s="4" t="str">
        <f t="shared" si="249"/>
        <v>Escavação 1ª e 2ª categoria</v>
      </c>
      <c r="AW113" s="4" t="str">
        <f t="shared" si="250"/>
        <v xml:space="preserve">   Escavação, carga e transporte de material 1ª/2ª categoria - Seg.2.3 acesso km 120+026</v>
      </c>
    </row>
    <row r="114" spans="1:49" ht="15" customHeight="1" outlineLevel="2">
      <c r="A114" s="545" t="str">
        <f t="shared" ref="A114" si="378">IF(SUM(P114:V115)&gt;0,"S","N")</f>
        <v>N</v>
      </c>
      <c r="B114" s="526">
        <v>1058902</v>
      </c>
      <c r="C114" s="526" t="s">
        <v>306</v>
      </c>
      <c r="D114" s="527" t="s">
        <v>307</v>
      </c>
      <c r="E114" s="892" t="s">
        <v>308</v>
      </c>
      <c r="F114" s="902" t="s">
        <v>36</v>
      </c>
      <c r="G114" s="528"/>
      <c r="H114" s="546" t="s">
        <v>37</v>
      </c>
      <c r="I114" s="711">
        <v>0</v>
      </c>
      <c r="J114" s="896" t="str">
        <f>IFERROR((I115/I114),"-")</f>
        <v>-</v>
      </c>
      <c r="K114" s="528"/>
      <c r="L114" s="546" t="s">
        <v>37</v>
      </c>
      <c r="M114" s="711">
        <f t="shared" si="348"/>
        <v>0</v>
      </c>
      <c r="N114" s="896" t="str">
        <f>IFERROR((M115/M114),"-")</f>
        <v>-</v>
      </c>
      <c r="O114" s="528"/>
      <c r="P114" s="547">
        <v>0</v>
      </c>
      <c r="Q114" s="547">
        <v>0</v>
      </c>
      <c r="R114" s="547">
        <v>0</v>
      </c>
      <c r="S114" s="547">
        <v>0</v>
      </c>
      <c r="T114" s="547">
        <v>0</v>
      </c>
      <c r="U114" s="547">
        <v>0</v>
      </c>
      <c r="V114" s="548">
        <v>0</v>
      </c>
      <c r="W114" s="528"/>
      <c r="X114" s="711">
        <f t="shared" si="342"/>
        <v>0</v>
      </c>
      <c r="Y114" s="896" t="str">
        <f>IFERROR((X115/X114),"0")</f>
        <v>0</v>
      </c>
      <c r="Z114" s="528"/>
      <c r="AA114" s="898">
        <v>5832.85</v>
      </c>
      <c r="AB114" s="898">
        <v>0</v>
      </c>
      <c r="AC114" s="898">
        <v>0</v>
      </c>
      <c r="AD114" s="900" t="str">
        <f t="shared" ref="AD114" si="379">IFERROR((AC114/AB114),"-")</f>
        <v>-</v>
      </c>
      <c r="AE114" s="2"/>
      <c r="AF114" s="886">
        <v>2959.25</v>
      </c>
      <c r="AG114" s="886"/>
      <c r="AH114" s="884">
        <v>0</v>
      </c>
      <c r="AI114" s="886"/>
      <c r="AJ114" s="886"/>
      <c r="AK114" s="884">
        <f t="shared" ref="AK114" si="380">AF114+AG114+AH114+AI114+AJ114+AC114</f>
        <v>2959.25</v>
      </c>
      <c r="AL114" s="884">
        <v>53.53</v>
      </c>
      <c r="AM114" s="878">
        <f t="shared" ref="AM114" si="381">IFERROR((AK114/AL114),"-")</f>
        <v>55.282084812254809</v>
      </c>
      <c r="AN114" s="2"/>
      <c r="AO114" s="884">
        <v>5886.38</v>
      </c>
      <c r="AP114" s="884">
        <f t="shared" ref="AP114" si="382">AO114-AK114</f>
        <v>2927.13</v>
      </c>
      <c r="AV114" s="4" t="str">
        <f t="shared" si="249"/>
        <v>Escavação 1ª e 2ª categoria</v>
      </c>
      <c r="AW114" s="4" t="str">
        <f t="shared" si="250"/>
        <v xml:space="preserve">   Escavação, carga e transporte de material 1ª/2ª categoria - Seg.2.3 acesso km 126+595</v>
      </c>
    </row>
    <row r="115" spans="1:49" ht="15" customHeight="1" outlineLevel="2">
      <c r="A115" s="545" t="str">
        <f t="shared" ref="A115" si="383">A114</f>
        <v>N</v>
      </c>
      <c r="B115" s="526"/>
      <c r="C115" s="526"/>
      <c r="D115" s="527" t="s">
        <v>307</v>
      </c>
      <c r="E115" s="893"/>
      <c r="F115" s="902"/>
      <c r="G115" s="528"/>
      <c r="H115" s="549" t="s">
        <v>38</v>
      </c>
      <c r="I115" s="711">
        <v>0</v>
      </c>
      <c r="J115" s="897"/>
      <c r="K115" s="528"/>
      <c r="L115" s="549" t="s">
        <v>38</v>
      </c>
      <c r="M115" s="711">
        <f t="shared" si="348"/>
        <v>0</v>
      </c>
      <c r="N115" s="897"/>
      <c r="O115" s="528"/>
      <c r="P115" s="711">
        <v>0</v>
      </c>
      <c r="Q115" s="711">
        <v>0</v>
      </c>
      <c r="R115" s="711">
        <v>0</v>
      </c>
      <c r="S115" s="711">
        <v>0</v>
      </c>
      <c r="T115" s="711">
        <v>0</v>
      </c>
      <c r="U115" s="711">
        <v>0</v>
      </c>
      <c r="V115" s="711">
        <v>0</v>
      </c>
      <c r="W115" s="528"/>
      <c r="X115" s="711">
        <f t="shared" si="342"/>
        <v>0</v>
      </c>
      <c r="Y115" s="897"/>
      <c r="Z115" s="528"/>
      <c r="AA115" s="899"/>
      <c r="AB115" s="899"/>
      <c r="AC115" s="899"/>
      <c r="AD115" s="901"/>
      <c r="AE115" s="2"/>
      <c r="AF115" s="926"/>
      <c r="AG115" s="926"/>
      <c r="AH115" s="885"/>
      <c r="AI115" s="926"/>
      <c r="AJ115" s="926"/>
      <c r="AK115" s="885"/>
      <c r="AL115" s="885"/>
      <c r="AM115" s="879"/>
      <c r="AN115" s="2"/>
      <c r="AO115" s="886"/>
      <c r="AP115" s="886"/>
      <c r="AV115" s="4" t="str">
        <f t="shared" si="249"/>
        <v>Escavação 1ª e 2ª categoria</v>
      </c>
      <c r="AW115" s="4" t="str">
        <f t="shared" si="250"/>
        <v xml:space="preserve">   Escavação, carga e transporte de material 1ª/2ª categoria - Seg.2.3 acesso km 126+595</v>
      </c>
    </row>
    <row r="116" spans="1:49" ht="15" customHeight="1" outlineLevel="2">
      <c r="A116" s="545" t="str">
        <f t="shared" ref="A116" si="384">IF(SUM(P116:V117)&gt;0,"S","N")</f>
        <v>N</v>
      </c>
      <c r="B116" s="526">
        <v>1058908</v>
      </c>
      <c r="C116" s="526" t="s">
        <v>309</v>
      </c>
      <c r="D116" s="527" t="s">
        <v>310</v>
      </c>
      <c r="E116" s="892" t="s">
        <v>311</v>
      </c>
      <c r="F116" s="902" t="s">
        <v>36</v>
      </c>
      <c r="G116" s="528"/>
      <c r="H116" s="546" t="s">
        <v>37</v>
      </c>
      <c r="I116" s="711">
        <v>0</v>
      </c>
      <c r="J116" s="896" t="str">
        <f>IFERROR((I117/I116),"-")</f>
        <v>-</v>
      </c>
      <c r="K116" s="528"/>
      <c r="L116" s="546" t="s">
        <v>37</v>
      </c>
      <c r="M116" s="711">
        <f t="shared" si="348"/>
        <v>0</v>
      </c>
      <c r="N116" s="896" t="str">
        <f>IFERROR((M117/M116),"-")</f>
        <v>-</v>
      </c>
      <c r="O116" s="528"/>
      <c r="P116" s="547">
        <v>0</v>
      </c>
      <c r="Q116" s="547">
        <v>0</v>
      </c>
      <c r="R116" s="547">
        <v>0</v>
      </c>
      <c r="S116" s="547">
        <v>0</v>
      </c>
      <c r="T116" s="547">
        <v>0</v>
      </c>
      <c r="U116" s="547">
        <v>0</v>
      </c>
      <c r="V116" s="548">
        <v>0</v>
      </c>
      <c r="W116" s="528"/>
      <c r="X116" s="711">
        <f t="shared" si="342"/>
        <v>0</v>
      </c>
      <c r="Y116" s="896" t="str">
        <f>IFERROR((X117/X116),"0")</f>
        <v>0</v>
      </c>
      <c r="Z116" s="528"/>
      <c r="AA116" s="898">
        <v>5197.93</v>
      </c>
      <c r="AB116" s="898">
        <v>114.43</v>
      </c>
      <c r="AC116" s="898">
        <v>0</v>
      </c>
      <c r="AD116" s="900">
        <f t="shared" ref="AD116" si="385">IFERROR((AC116/AB116),"-")</f>
        <v>0</v>
      </c>
      <c r="AE116" s="2"/>
      <c r="AF116" s="886">
        <v>3178.3</v>
      </c>
      <c r="AG116" s="886"/>
      <c r="AH116" s="884">
        <v>0</v>
      </c>
      <c r="AI116" s="886"/>
      <c r="AJ116" s="886"/>
      <c r="AK116" s="884">
        <f t="shared" ref="AK116" si="386">AF116+AG116+AH116+AI116+AJ116+AC116</f>
        <v>3178.3</v>
      </c>
      <c r="AL116" s="884">
        <v>114.43</v>
      </c>
      <c r="AM116" s="878">
        <f t="shared" ref="AM116" si="387">IFERROR((AK116/AL116),"-")</f>
        <v>27.775058988027617</v>
      </c>
      <c r="AN116" s="2"/>
      <c r="AO116" s="884">
        <v>5197.93</v>
      </c>
      <c r="AP116" s="884">
        <f t="shared" ref="AP116" si="388">AO116-AK116</f>
        <v>2019.63</v>
      </c>
      <c r="AV116" s="4" t="str">
        <f t="shared" si="249"/>
        <v>Escavação 1ª e 2ª categoria</v>
      </c>
      <c r="AW116" s="4" t="str">
        <f t="shared" si="250"/>
        <v xml:space="preserve">   Escavação, carga e transporte de material 1ª/2ª categoria - Seg.2.3 acesso km 129+151</v>
      </c>
    </row>
    <row r="117" spans="1:49" ht="15" customHeight="1" outlineLevel="2">
      <c r="A117" s="545" t="str">
        <f t="shared" ref="A117" si="389">A116</f>
        <v>N</v>
      </c>
      <c r="B117" s="526"/>
      <c r="C117" s="526"/>
      <c r="D117" s="527" t="s">
        <v>310</v>
      </c>
      <c r="E117" s="893"/>
      <c r="F117" s="902"/>
      <c r="G117" s="528"/>
      <c r="H117" s="549" t="s">
        <v>38</v>
      </c>
      <c r="I117" s="711">
        <v>0</v>
      </c>
      <c r="J117" s="897"/>
      <c r="K117" s="528"/>
      <c r="L117" s="549" t="s">
        <v>38</v>
      </c>
      <c r="M117" s="711">
        <f t="shared" si="348"/>
        <v>0</v>
      </c>
      <c r="N117" s="897"/>
      <c r="O117" s="528"/>
      <c r="P117" s="711">
        <v>0</v>
      </c>
      <c r="Q117" s="711">
        <v>0</v>
      </c>
      <c r="R117" s="711">
        <v>0</v>
      </c>
      <c r="S117" s="711">
        <v>0</v>
      </c>
      <c r="T117" s="711">
        <v>0</v>
      </c>
      <c r="U117" s="711">
        <v>0</v>
      </c>
      <c r="V117" s="711">
        <v>0</v>
      </c>
      <c r="W117" s="528"/>
      <c r="X117" s="711">
        <f t="shared" si="342"/>
        <v>0</v>
      </c>
      <c r="Y117" s="897"/>
      <c r="Z117" s="528"/>
      <c r="AA117" s="899"/>
      <c r="AB117" s="899"/>
      <c r="AC117" s="899"/>
      <c r="AD117" s="901"/>
      <c r="AE117" s="2"/>
      <c r="AF117" s="926"/>
      <c r="AG117" s="926"/>
      <c r="AH117" s="885"/>
      <c r="AI117" s="926"/>
      <c r="AJ117" s="926"/>
      <c r="AK117" s="885"/>
      <c r="AL117" s="885"/>
      <c r="AM117" s="879"/>
      <c r="AN117" s="2"/>
      <c r="AO117" s="886"/>
      <c r="AP117" s="886"/>
      <c r="AV117" s="4" t="str">
        <f t="shared" si="249"/>
        <v>Escavação 1ª e 2ª categoria</v>
      </c>
      <c r="AW117" s="4" t="str">
        <f t="shared" si="250"/>
        <v xml:space="preserve">   Escavação, carga e transporte de material 1ª/2ª categoria - Seg.2.3 acesso km 129+151</v>
      </c>
    </row>
    <row r="118" spans="1:49" ht="15" customHeight="1" outlineLevel="2">
      <c r="A118" s="545" t="str">
        <f t="shared" ref="A118" si="390">IF(SUM(P118:V119)&gt;0,"S","N")</f>
        <v>N</v>
      </c>
      <c r="B118" s="526">
        <v>1059442</v>
      </c>
      <c r="C118" s="526" t="s">
        <v>312</v>
      </c>
      <c r="D118" s="527" t="s">
        <v>313</v>
      </c>
      <c r="E118" s="892" t="s">
        <v>246</v>
      </c>
      <c r="F118" s="894" t="s">
        <v>36</v>
      </c>
      <c r="G118" s="528"/>
      <c r="H118" s="546" t="s">
        <v>37</v>
      </c>
      <c r="I118" s="711">
        <v>0</v>
      </c>
      <c r="J118" s="896" t="str">
        <f>IFERROR((I119/I118),"-")</f>
        <v>-</v>
      </c>
      <c r="K118" s="528"/>
      <c r="L118" s="546" t="s">
        <v>37</v>
      </c>
      <c r="M118" s="711">
        <f t="shared" si="348"/>
        <v>0</v>
      </c>
      <c r="N118" s="896" t="str">
        <f>IFERROR((M119/M118),"-")</f>
        <v>-</v>
      </c>
      <c r="O118" s="528"/>
      <c r="P118" s="547">
        <v>0</v>
      </c>
      <c r="Q118" s="547">
        <v>0</v>
      </c>
      <c r="R118" s="547">
        <v>0</v>
      </c>
      <c r="S118" s="547">
        <v>0</v>
      </c>
      <c r="T118" s="547">
        <v>0</v>
      </c>
      <c r="U118" s="547">
        <v>0</v>
      </c>
      <c r="V118" s="548">
        <v>0</v>
      </c>
      <c r="W118" s="528"/>
      <c r="X118" s="711">
        <f t="shared" si="342"/>
        <v>0</v>
      </c>
      <c r="Y118" s="896" t="str">
        <f>IFERROR((X119/X118),"0")</f>
        <v>0</v>
      </c>
      <c r="Z118" s="528"/>
      <c r="AA118" s="898">
        <v>0</v>
      </c>
      <c r="AB118" s="898">
        <v>0</v>
      </c>
      <c r="AC118" s="898">
        <v>0</v>
      </c>
      <c r="AD118" s="900" t="str">
        <f t="shared" ref="AD118" si="391">IFERROR((AC118/AB118),"-")</f>
        <v>-</v>
      </c>
      <c r="AE118" s="2"/>
      <c r="AF118" s="886">
        <v>8310.15</v>
      </c>
      <c r="AG118" s="886"/>
      <c r="AH118" s="884">
        <v>0</v>
      </c>
      <c r="AI118" s="886"/>
      <c r="AJ118" s="886"/>
      <c r="AK118" s="884">
        <f t="shared" ref="AK118" si="392">AF118+AG118+AH118+AI118+AJ118+AC118</f>
        <v>8310.15</v>
      </c>
      <c r="AL118" s="884">
        <v>8310.15</v>
      </c>
      <c r="AM118" s="878">
        <f t="shared" ref="AM118" si="393">IFERROR((AK118/AL118),"-")</f>
        <v>1</v>
      </c>
      <c r="AN118" s="2"/>
      <c r="AO118" s="884">
        <v>8310.15</v>
      </c>
      <c r="AP118" s="884">
        <f t="shared" ref="AP118" si="394">AO118-AK118</f>
        <v>0</v>
      </c>
      <c r="AV118" s="4" t="str">
        <f t="shared" si="249"/>
        <v>Escavação 1ª e 2ª categoria</v>
      </c>
      <c r="AW118" s="4" t="str">
        <f t="shared" si="250"/>
        <v xml:space="preserve">   Escavação, carga e transporte de material 1ª/2ª categoria</v>
      </c>
    </row>
    <row r="119" spans="1:49" ht="15" customHeight="1" outlineLevel="2">
      <c r="A119" s="545" t="str">
        <f t="shared" ref="A119" si="395">A118</f>
        <v>N</v>
      </c>
      <c r="B119" s="526"/>
      <c r="C119" s="526"/>
      <c r="D119" s="527" t="s">
        <v>313</v>
      </c>
      <c r="E119" s="893"/>
      <c r="F119" s="895"/>
      <c r="G119" s="528"/>
      <c r="H119" s="549" t="s">
        <v>38</v>
      </c>
      <c r="I119" s="711">
        <v>0</v>
      </c>
      <c r="J119" s="897"/>
      <c r="K119" s="528"/>
      <c r="L119" s="549" t="s">
        <v>38</v>
      </c>
      <c r="M119" s="711">
        <f t="shared" si="348"/>
        <v>0</v>
      </c>
      <c r="N119" s="897"/>
      <c r="O119" s="528"/>
      <c r="P119" s="711">
        <v>0</v>
      </c>
      <c r="Q119" s="711">
        <v>0</v>
      </c>
      <c r="R119" s="711">
        <v>0</v>
      </c>
      <c r="S119" s="711">
        <v>0</v>
      </c>
      <c r="T119" s="711">
        <v>0</v>
      </c>
      <c r="U119" s="711">
        <v>0</v>
      </c>
      <c r="V119" s="711">
        <v>0</v>
      </c>
      <c r="W119" s="528"/>
      <c r="X119" s="711">
        <f t="shared" si="342"/>
        <v>0</v>
      </c>
      <c r="Y119" s="897"/>
      <c r="Z119" s="528"/>
      <c r="AA119" s="899"/>
      <c r="AB119" s="899"/>
      <c r="AC119" s="899"/>
      <c r="AD119" s="901"/>
      <c r="AE119" s="2"/>
      <c r="AF119" s="926"/>
      <c r="AG119" s="926"/>
      <c r="AH119" s="885"/>
      <c r="AI119" s="926"/>
      <c r="AJ119" s="926"/>
      <c r="AK119" s="885"/>
      <c r="AL119" s="885"/>
      <c r="AM119" s="879"/>
      <c r="AN119" s="2"/>
      <c r="AO119" s="886"/>
      <c r="AP119" s="886"/>
      <c r="AV119" s="4" t="str">
        <f t="shared" si="249"/>
        <v>Escavação 1ª e 2ª categoria</v>
      </c>
      <c r="AW119" s="4" t="str">
        <f t="shared" si="250"/>
        <v xml:space="preserve">   Escavação, carga e transporte de material 1ª/2ª categoria</v>
      </c>
    </row>
    <row r="120" spans="1:49" ht="15" customHeight="1" outlineLevel="2">
      <c r="A120" s="545" t="str">
        <f t="shared" ref="A120" si="396">IF(SUM(P120:V121)&gt;0,"S","N")</f>
        <v>S</v>
      </c>
      <c r="B120" s="526">
        <v>1059605</v>
      </c>
      <c r="C120" s="526" t="s">
        <v>314</v>
      </c>
      <c r="D120" s="527" t="s">
        <v>315</v>
      </c>
      <c r="E120" s="892" t="s">
        <v>316</v>
      </c>
      <c r="F120" s="902" t="s">
        <v>36</v>
      </c>
      <c r="G120" s="528"/>
      <c r="H120" s="546" t="s">
        <v>37</v>
      </c>
      <c r="I120" s="711">
        <v>0</v>
      </c>
      <c r="J120" s="896" t="str">
        <f>IFERROR((I121/I120),"-")</f>
        <v>-</v>
      </c>
      <c r="K120" s="528"/>
      <c r="L120" s="546" t="s">
        <v>37</v>
      </c>
      <c r="M120" s="711">
        <f t="shared" si="348"/>
        <v>0</v>
      </c>
      <c r="N120" s="896" t="str">
        <f>IFERROR((M121/M120),"-")</f>
        <v>-</v>
      </c>
      <c r="O120" s="528"/>
      <c r="P120" s="547">
        <v>0</v>
      </c>
      <c r="Q120" s="547">
        <v>0</v>
      </c>
      <c r="R120" s="547">
        <v>0</v>
      </c>
      <c r="S120" s="547">
        <v>700</v>
      </c>
      <c r="T120" s="547">
        <v>600</v>
      </c>
      <c r="U120" s="547">
        <v>600</v>
      </c>
      <c r="V120" s="548">
        <v>0</v>
      </c>
      <c r="W120" s="528"/>
      <c r="X120" s="711">
        <f t="shared" si="342"/>
        <v>0</v>
      </c>
      <c r="Y120" s="896" t="str">
        <f>IFERROR((X121/X120),"0")</f>
        <v>0</v>
      </c>
      <c r="Z120" s="528"/>
      <c r="AA120" s="898">
        <v>0</v>
      </c>
      <c r="AB120" s="898">
        <v>0</v>
      </c>
      <c r="AC120" s="898">
        <v>0</v>
      </c>
      <c r="AD120" s="900" t="str">
        <f t="shared" ref="AD120" si="397">IFERROR((AC120/AB120),"-")</f>
        <v>-</v>
      </c>
      <c r="AE120" s="2"/>
      <c r="AF120" s="886">
        <v>18284.916000000001</v>
      </c>
      <c r="AG120" s="886"/>
      <c r="AH120" s="884">
        <v>0</v>
      </c>
      <c r="AI120" s="886"/>
      <c r="AJ120" s="886"/>
      <c r="AK120" s="884">
        <f t="shared" ref="AK120" si="398">AF120+AG120+AH120+AI120+AJ120+AC120</f>
        <v>18284.916000000001</v>
      </c>
      <c r="AL120" s="884">
        <v>22875.800000000003</v>
      </c>
      <c r="AM120" s="878">
        <f t="shared" ref="AM120" si="399">IFERROR((AK120/AL120),"-")</f>
        <v>0.79931263606081526</v>
      </c>
      <c r="AN120" s="2"/>
      <c r="AO120" s="884">
        <v>22875.82</v>
      </c>
      <c r="AP120" s="884">
        <f t="shared" ref="AP120" si="400">AO120-AK120</f>
        <v>4590.9039999999986</v>
      </c>
      <c r="AV120" s="4" t="str">
        <f t="shared" si="249"/>
        <v>Escavação 1ª e 2ª categoria</v>
      </c>
      <c r="AW120" s="4" t="str">
        <f t="shared" si="250"/>
        <v xml:space="preserve">   Seg. 2.3-C01 - Escavação, carga e transporte de material 1ª/2ª categoria</v>
      </c>
    </row>
    <row r="121" spans="1:49" ht="15" customHeight="1" outlineLevel="2">
      <c r="A121" s="545" t="str">
        <f t="shared" ref="A121" si="401">A120</f>
        <v>S</v>
      </c>
      <c r="B121" s="526"/>
      <c r="C121" s="526"/>
      <c r="D121" s="527" t="s">
        <v>315</v>
      </c>
      <c r="E121" s="893"/>
      <c r="F121" s="902"/>
      <c r="G121" s="528"/>
      <c r="H121" s="549" t="s">
        <v>38</v>
      </c>
      <c r="I121" s="711">
        <v>0</v>
      </c>
      <c r="J121" s="897"/>
      <c r="K121" s="528"/>
      <c r="L121" s="549" t="s">
        <v>38</v>
      </c>
      <c r="M121" s="711">
        <f t="shared" si="348"/>
        <v>0</v>
      </c>
      <c r="N121" s="897"/>
      <c r="O121" s="528"/>
      <c r="P121" s="711">
        <v>0</v>
      </c>
      <c r="Q121" s="711">
        <v>0</v>
      </c>
      <c r="R121" s="711">
        <v>0</v>
      </c>
      <c r="S121" s="711">
        <v>0</v>
      </c>
      <c r="T121" s="711">
        <v>0</v>
      </c>
      <c r="U121" s="711">
        <v>0</v>
      </c>
      <c r="V121" s="711">
        <v>0</v>
      </c>
      <c r="W121" s="528"/>
      <c r="X121" s="711">
        <f t="shared" si="342"/>
        <v>0</v>
      </c>
      <c r="Y121" s="897"/>
      <c r="Z121" s="528"/>
      <c r="AA121" s="899"/>
      <c r="AB121" s="899"/>
      <c r="AC121" s="899"/>
      <c r="AD121" s="901"/>
      <c r="AE121" s="2"/>
      <c r="AF121" s="926"/>
      <c r="AG121" s="926"/>
      <c r="AH121" s="885"/>
      <c r="AI121" s="926"/>
      <c r="AJ121" s="926"/>
      <c r="AK121" s="885"/>
      <c r="AL121" s="885"/>
      <c r="AM121" s="879"/>
      <c r="AN121" s="2"/>
      <c r="AO121" s="886"/>
      <c r="AP121" s="886"/>
      <c r="AV121" s="4" t="str">
        <f t="shared" si="249"/>
        <v>Escavação 1ª e 2ª categoria</v>
      </c>
      <c r="AW121" s="4" t="str">
        <f t="shared" si="250"/>
        <v xml:space="preserve">   Seg. 2.3-C01 - Escavação, carga e transporte de material 1ª/2ª categoria</v>
      </c>
    </row>
    <row r="122" spans="1:49" ht="15" customHeight="1" outlineLevel="2">
      <c r="A122" s="545" t="str">
        <f t="shared" ref="A122" si="402">IF(SUM(P122:V123)&gt;0,"S","N")</f>
        <v>N</v>
      </c>
      <c r="B122" s="526">
        <v>1059606</v>
      </c>
      <c r="C122" s="526" t="s">
        <v>317</v>
      </c>
      <c r="D122" s="527" t="s">
        <v>318</v>
      </c>
      <c r="E122" s="892" t="s">
        <v>319</v>
      </c>
      <c r="F122" s="902" t="s">
        <v>36</v>
      </c>
      <c r="G122" s="528"/>
      <c r="H122" s="546" t="s">
        <v>37</v>
      </c>
      <c r="I122" s="711">
        <v>0</v>
      </c>
      <c r="J122" s="896" t="str">
        <f>IFERROR((I123/I122),"-")</f>
        <v>-</v>
      </c>
      <c r="K122" s="528"/>
      <c r="L122" s="546" t="s">
        <v>37</v>
      </c>
      <c r="M122" s="711">
        <f t="shared" si="348"/>
        <v>0</v>
      </c>
      <c r="N122" s="896" t="str">
        <f>IFERROR((M123/M122),"-")</f>
        <v>-</v>
      </c>
      <c r="O122" s="528"/>
      <c r="P122" s="547">
        <v>0</v>
      </c>
      <c r="Q122" s="547">
        <v>0</v>
      </c>
      <c r="R122" s="547">
        <v>0</v>
      </c>
      <c r="S122" s="547">
        <v>0</v>
      </c>
      <c r="T122" s="547">
        <v>0</v>
      </c>
      <c r="U122" s="547">
        <v>0</v>
      </c>
      <c r="V122" s="548">
        <v>0</v>
      </c>
      <c r="W122" s="528"/>
      <c r="X122" s="711">
        <f t="shared" si="342"/>
        <v>0</v>
      </c>
      <c r="Y122" s="896" t="str">
        <f>IFERROR((X123/X122),"0")</f>
        <v>0</v>
      </c>
      <c r="Z122" s="528"/>
      <c r="AA122" s="898">
        <v>0</v>
      </c>
      <c r="AB122" s="898">
        <v>0</v>
      </c>
      <c r="AC122" s="898">
        <v>0</v>
      </c>
      <c r="AD122" s="900" t="str">
        <f t="shared" ref="AD122" si="403">IFERROR((AC122/AB122),"-")</f>
        <v>-</v>
      </c>
      <c r="AE122" s="2"/>
      <c r="AF122" s="886">
        <v>817.29300000000001</v>
      </c>
      <c r="AG122" s="886"/>
      <c r="AH122" s="884">
        <v>0</v>
      </c>
      <c r="AI122" s="886"/>
      <c r="AJ122" s="886"/>
      <c r="AK122" s="884">
        <f t="shared" ref="AK122" si="404">AF122+AG122+AH122+AI122+AJ122+AC122</f>
        <v>817.29300000000001</v>
      </c>
      <c r="AL122" s="884">
        <v>843.06999999999994</v>
      </c>
      <c r="AM122" s="878">
        <f t="shared" ref="AM122" si="405">IFERROR((AK122/AL122),"-")</f>
        <v>0.9694248401674832</v>
      </c>
      <c r="AN122" s="2"/>
      <c r="AO122" s="884">
        <v>843.07</v>
      </c>
      <c r="AP122" s="884">
        <f t="shared" ref="AP122" si="406">AO122-AK122</f>
        <v>25.777000000000044</v>
      </c>
      <c r="AV122" s="4" t="str">
        <f t="shared" si="249"/>
        <v>Escavação 1ª e 2ª categoria</v>
      </c>
      <c r="AW122" s="4" t="str">
        <f t="shared" si="250"/>
        <v xml:space="preserve">   Seg. 2.3-C02 - Escavação, carga e transporte de material 1ª/2ª categoria</v>
      </c>
    </row>
    <row r="123" spans="1:49" ht="15" customHeight="1" outlineLevel="2">
      <c r="A123" s="545" t="str">
        <f t="shared" ref="A123" si="407">A122</f>
        <v>N</v>
      </c>
      <c r="B123" s="526"/>
      <c r="C123" s="526"/>
      <c r="D123" s="527" t="s">
        <v>318</v>
      </c>
      <c r="E123" s="893"/>
      <c r="F123" s="902"/>
      <c r="G123" s="528"/>
      <c r="H123" s="549" t="s">
        <v>38</v>
      </c>
      <c r="I123" s="711">
        <v>0</v>
      </c>
      <c r="J123" s="897"/>
      <c r="K123" s="528"/>
      <c r="L123" s="549" t="s">
        <v>38</v>
      </c>
      <c r="M123" s="711">
        <f t="shared" si="348"/>
        <v>0</v>
      </c>
      <c r="N123" s="897"/>
      <c r="O123" s="528"/>
      <c r="P123" s="711">
        <v>0</v>
      </c>
      <c r="Q123" s="711">
        <v>0</v>
      </c>
      <c r="R123" s="711">
        <v>0</v>
      </c>
      <c r="S123" s="711">
        <v>0</v>
      </c>
      <c r="T123" s="711">
        <v>0</v>
      </c>
      <c r="U123" s="711">
        <v>0</v>
      </c>
      <c r="V123" s="711">
        <v>0</v>
      </c>
      <c r="W123" s="528"/>
      <c r="X123" s="711">
        <f t="shared" si="342"/>
        <v>0</v>
      </c>
      <c r="Y123" s="897"/>
      <c r="Z123" s="528"/>
      <c r="AA123" s="899"/>
      <c r="AB123" s="899"/>
      <c r="AC123" s="899"/>
      <c r="AD123" s="901"/>
      <c r="AE123" s="2"/>
      <c r="AF123" s="926"/>
      <c r="AG123" s="926"/>
      <c r="AH123" s="885"/>
      <c r="AI123" s="926"/>
      <c r="AJ123" s="926"/>
      <c r="AK123" s="885"/>
      <c r="AL123" s="885"/>
      <c r="AM123" s="879"/>
      <c r="AN123" s="2"/>
      <c r="AO123" s="886"/>
      <c r="AP123" s="886"/>
      <c r="AV123" s="4" t="str">
        <f t="shared" si="249"/>
        <v>Escavação 1ª e 2ª categoria</v>
      </c>
      <c r="AW123" s="4" t="str">
        <f t="shared" si="250"/>
        <v xml:space="preserve">   Seg. 2.3-C02 - Escavação, carga e transporte de material 1ª/2ª categoria</v>
      </c>
    </row>
    <row r="124" spans="1:49" ht="15" customHeight="1" outlineLevel="2">
      <c r="A124" s="545" t="str">
        <f t="shared" ref="A124" si="408">IF(SUM(P124:V125)&gt;0,"S","N")</f>
        <v>S</v>
      </c>
      <c r="B124" s="526">
        <v>1059608</v>
      </c>
      <c r="C124" s="526" t="s">
        <v>320</v>
      </c>
      <c r="D124" s="527" t="s">
        <v>321</v>
      </c>
      <c r="E124" s="892" t="s">
        <v>322</v>
      </c>
      <c r="F124" s="902" t="s">
        <v>36</v>
      </c>
      <c r="G124" s="528"/>
      <c r="H124" s="546" t="s">
        <v>37</v>
      </c>
      <c r="I124" s="711">
        <v>0</v>
      </c>
      <c r="J124" s="896" t="str">
        <f>IFERROR((I125/I124),"-")</f>
        <v>-</v>
      </c>
      <c r="K124" s="528"/>
      <c r="L124" s="546" t="s">
        <v>37</v>
      </c>
      <c r="M124" s="711">
        <f t="shared" si="348"/>
        <v>0</v>
      </c>
      <c r="N124" s="896" t="str">
        <f>IFERROR((M125/M124),"-")</f>
        <v>-</v>
      </c>
      <c r="O124" s="528"/>
      <c r="P124" s="547">
        <v>0</v>
      </c>
      <c r="Q124" s="547">
        <v>0</v>
      </c>
      <c r="R124" s="547">
        <v>0</v>
      </c>
      <c r="S124" s="547">
        <v>0</v>
      </c>
      <c r="T124" s="547">
        <v>0</v>
      </c>
      <c r="U124" s="547">
        <v>0</v>
      </c>
      <c r="V124" s="548">
        <v>0</v>
      </c>
      <c r="W124" s="528"/>
      <c r="X124" s="711">
        <f t="shared" si="342"/>
        <v>0</v>
      </c>
      <c r="Y124" s="896" t="str">
        <f>IFERROR((X125/X124),"0")</f>
        <v>0</v>
      </c>
      <c r="Z124" s="528"/>
      <c r="AA124" s="898">
        <v>0</v>
      </c>
      <c r="AB124" s="898">
        <v>0</v>
      </c>
      <c r="AC124" s="898">
        <v>1230</v>
      </c>
      <c r="AD124" s="900" t="str">
        <f t="shared" ref="AD124" si="409">IFERROR((AC124/AB124),"-")</f>
        <v>-</v>
      </c>
      <c r="AE124" s="2"/>
      <c r="AF124" s="886">
        <v>106884.133</v>
      </c>
      <c r="AG124" s="886">
        <v>1283.1369999999999</v>
      </c>
      <c r="AH124" s="884">
        <v>540</v>
      </c>
      <c r="AI124" s="886">
        <v>1757.5119999999999</v>
      </c>
      <c r="AJ124" s="886">
        <v>336.71800000000002</v>
      </c>
      <c r="AK124" s="884">
        <f t="shared" ref="AK124" si="410">AF124+AG124+AH124+AI124+AJ124+AC124</f>
        <v>112031.5</v>
      </c>
      <c r="AL124" s="884">
        <v>106125.07000000009</v>
      </c>
      <c r="AM124" s="878">
        <f t="shared" ref="AM124" si="411">IFERROR((AK124/AL124),"-")</f>
        <v>1.0556553696501676</v>
      </c>
      <c r="AN124" s="2"/>
      <c r="AO124" s="884">
        <v>104084.13</v>
      </c>
      <c r="AP124" s="884">
        <f t="shared" ref="AP124" si="412">AO124-AK124</f>
        <v>-7947.3699999999953</v>
      </c>
      <c r="AV124" s="4" t="str">
        <f t="shared" si="249"/>
        <v>Escavação 1ª e 2ª categoria</v>
      </c>
      <c r="AW124" s="4" t="str">
        <f t="shared" si="250"/>
        <v xml:space="preserve">   Seg. 2.3-C04 - Escavação, carga e transporte de material 1ª/2ª categoria </v>
      </c>
    </row>
    <row r="125" spans="1:49" ht="15" customHeight="1" outlineLevel="2">
      <c r="A125" s="545" t="str">
        <f t="shared" ref="A125" si="413">A124</f>
        <v>S</v>
      </c>
      <c r="B125" s="526"/>
      <c r="C125" s="526"/>
      <c r="D125" s="527" t="s">
        <v>321</v>
      </c>
      <c r="E125" s="893"/>
      <c r="F125" s="902"/>
      <c r="G125" s="528"/>
      <c r="H125" s="549" t="s">
        <v>38</v>
      </c>
      <c r="I125" s="711">
        <v>150</v>
      </c>
      <c r="J125" s="897"/>
      <c r="K125" s="528"/>
      <c r="L125" s="549" t="s">
        <v>38</v>
      </c>
      <c r="M125" s="711">
        <f t="shared" si="348"/>
        <v>0</v>
      </c>
      <c r="N125" s="897"/>
      <c r="O125" s="528"/>
      <c r="P125" s="711">
        <v>700</v>
      </c>
      <c r="Q125" s="711">
        <v>0</v>
      </c>
      <c r="R125" s="711">
        <v>0</v>
      </c>
      <c r="S125" s="711">
        <v>0</v>
      </c>
      <c r="T125" s="711">
        <v>0</v>
      </c>
      <c r="U125" s="711">
        <v>0</v>
      </c>
      <c r="V125" s="711">
        <v>0</v>
      </c>
      <c r="W125" s="528"/>
      <c r="X125" s="711">
        <f t="shared" si="342"/>
        <v>700</v>
      </c>
      <c r="Y125" s="897"/>
      <c r="Z125" s="528"/>
      <c r="AA125" s="899"/>
      <c r="AB125" s="899"/>
      <c r="AC125" s="899"/>
      <c r="AD125" s="901"/>
      <c r="AE125" s="2"/>
      <c r="AF125" s="926"/>
      <c r="AG125" s="926"/>
      <c r="AH125" s="885"/>
      <c r="AI125" s="926"/>
      <c r="AJ125" s="926"/>
      <c r="AK125" s="885"/>
      <c r="AL125" s="885"/>
      <c r="AM125" s="879"/>
      <c r="AN125" s="2"/>
      <c r="AO125" s="886"/>
      <c r="AP125" s="886"/>
      <c r="AV125" s="4" t="str">
        <f t="shared" si="249"/>
        <v>Escavação 1ª e 2ª categoria</v>
      </c>
      <c r="AW125" s="4" t="str">
        <f t="shared" si="250"/>
        <v xml:space="preserve">   Seg. 2.3-C04 - Escavação, carga e transporte de material 1ª/2ª categoria </v>
      </c>
    </row>
    <row r="126" spans="1:49" ht="15" customHeight="1" outlineLevel="2">
      <c r="A126" s="545" t="str">
        <f t="shared" ref="A126" si="414">IF(SUM(P126:V127)&gt;0,"S","N")</f>
        <v>N</v>
      </c>
      <c r="B126" s="526">
        <v>1059610</v>
      </c>
      <c r="C126" s="526" t="s">
        <v>323</v>
      </c>
      <c r="D126" s="527" t="s">
        <v>324</v>
      </c>
      <c r="E126" s="892" t="s">
        <v>325</v>
      </c>
      <c r="F126" s="902" t="s">
        <v>36</v>
      </c>
      <c r="G126" s="528"/>
      <c r="H126" s="546" t="s">
        <v>37</v>
      </c>
      <c r="I126" s="711">
        <v>7200</v>
      </c>
      <c r="J126" s="896">
        <f>IFERROR((I127/I126),"-")</f>
        <v>0</v>
      </c>
      <c r="K126" s="528"/>
      <c r="L126" s="546" t="s">
        <v>37</v>
      </c>
      <c r="M126" s="711">
        <f t="shared" si="348"/>
        <v>0</v>
      </c>
      <c r="N126" s="896" t="str">
        <f>IFERROR((M127/M126),"-")</f>
        <v>-</v>
      </c>
      <c r="O126" s="528"/>
      <c r="P126" s="547">
        <v>0</v>
      </c>
      <c r="Q126" s="547">
        <v>0</v>
      </c>
      <c r="R126" s="547">
        <v>0</v>
      </c>
      <c r="S126" s="547">
        <v>0</v>
      </c>
      <c r="T126" s="547">
        <v>0</v>
      </c>
      <c r="U126" s="547">
        <v>0</v>
      </c>
      <c r="V126" s="548">
        <v>0</v>
      </c>
      <c r="W126" s="528"/>
      <c r="X126" s="711">
        <f t="shared" si="342"/>
        <v>0</v>
      </c>
      <c r="Y126" s="896" t="str">
        <f>IFERROR((X127/X126),"0")</f>
        <v>0</v>
      </c>
      <c r="Z126" s="528"/>
      <c r="AA126" s="898">
        <v>559.71</v>
      </c>
      <c r="AB126" s="898">
        <v>0</v>
      </c>
      <c r="AC126" s="898">
        <v>0</v>
      </c>
      <c r="AD126" s="900" t="str">
        <f t="shared" ref="AD126" si="415">IFERROR((AC126/AB126),"-")</f>
        <v>-</v>
      </c>
      <c r="AE126" s="2"/>
      <c r="AF126" s="886">
        <v>60787.249000000003</v>
      </c>
      <c r="AG126" s="886"/>
      <c r="AH126" s="884">
        <v>0</v>
      </c>
      <c r="AI126" s="886">
        <v>-559.77599999999995</v>
      </c>
      <c r="AJ126" s="886"/>
      <c r="AK126" s="884">
        <f t="shared" ref="AK126" si="416">AF126+AG126+AH126+AI126+AJ126+AC126</f>
        <v>60227.473000000005</v>
      </c>
      <c r="AL126" s="884">
        <v>60771.98000000004</v>
      </c>
      <c r="AM126" s="878">
        <f t="shared" ref="AM126" si="417">IFERROR((AK126/AL126),"-")</f>
        <v>0.99104016357538405</v>
      </c>
      <c r="AN126" s="2"/>
      <c r="AO126" s="884">
        <v>61331.71</v>
      </c>
      <c r="AP126" s="884">
        <f t="shared" ref="AP126" si="418">AO126-AK126</f>
        <v>1104.2369999999937</v>
      </c>
      <c r="AV126" s="4" t="str">
        <f t="shared" si="249"/>
        <v>Escavação 1ª e 2ª categoria</v>
      </c>
      <c r="AW126" s="4" t="str">
        <f t="shared" si="250"/>
        <v xml:space="preserve">   Seg. 2.3-C05 - Escavação, carga e transporte de material 1ª/2ª categoria </v>
      </c>
    </row>
    <row r="127" spans="1:49" ht="15" customHeight="1" outlineLevel="2">
      <c r="A127" s="545" t="str">
        <f t="shared" ref="A127" si="419">A126</f>
        <v>N</v>
      </c>
      <c r="B127" s="526"/>
      <c r="C127" s="526"/>
      <c r="D127" s="527" t="s">
        <v>324</v>
      </c>
      <c r="E127" s="893"/>
      <c r="F127" s="902"/>
      <c r="G127" s="528"/>
      <c r="H127" s="549" t="s">
        <v>38</v>
      </c>
      <c r="I127" s="711">
        <v>0</v>
      </c>
      <c r="J127" s="897"/>
      <c r="K127" s="528"/>
      <c r="L127" s="549" t="s">
        <v>38</v>
      </c>
      <c r="M127" s="711">
        <f t="shared" si="348"/>
        <v>0</v>
      </c>
      <c r="N127" s="897"/>
      <c r="O127" s="528"/>
      <c r="P127" s="711">
        <v>0</v>
      </c>
      <c r="Q127" s="711">
        <v>0</v>
      </c>
      <c r="R127" s="711">
        <v>0</v>
      </c>
      <c r="S127" s="711">
        <v>0</v>
      </c>
      <c r="T127" s="711">
        <v>0</v>
      </c>
      <c r="U127" s="711">
        <v>0</v>
      </c>
      <c r="V127" s="711">
        <v>0</v>
      </c>
      <c r="W127" s="528"/>
      <c r="X127" s="711">
        <f t="shared" si="342"/>
        <v>0</v>
      </c>
      <c r="Y127" s="897"/>
      <c r="Z127" s="528"/>
      <c r="AA127" s="899"/>
      <c r="AB127" s="899"/>
      <c r="AC127" s="899"/>
      <c r="AD127" s="901"/>
      <c r="AE127" s="2"/>
      <c r="AF127" s="926"/>
      <c r="AG127" s="926"/>
      <c r="AH127" s="885"/>
      <c r="AI127" s="926"/>
      <c r="AJ127" s="926"/>
      <c r="AK127" s="885"/>
      <c r="AL127" s="885"/>
      <c r="AM127" s="879"/>
      <c r="AN127" s="2"/>
      <c r="AO127" s="886"/>
      <c r="AP127" s="886"/>
      <c r="AV127" s="4" t="str">
        <f t="shared" si="249"/>
        <v>Escavação 1ª e 2ª categoria</v>
      </c>
      <c r="AW127" s="4" t="str">
        <f t="shared" si="250"/>
        <v xml:space="preserve">   Seg. 2.3-C05 - Escavação, carga e transporte de material 1ª/2ª categoria </v>
      </c>
    </row>
    <row r="128" spans="1:49" ht="15" customHeight="1" outlineLevel="2">
      <c r="A128" s="545" t="str">
        <f t="shared" ref="A128" si="420">IF(SUM(P128:V129)&gt;0,"S","N")</f>
        <v>N</v>
      </c>
      <c r="B128" s="526">
        <v>1059611</v>
      </c>
      <c r="C128" s="526" t="s">
        <v>326</v>
      </c>
      <c r="D128" s="527" t="s">
        <v>327</v>
      </c>
      <c r="E128" s="892" t="s">
        <v>328</v>
      </c>
      <c r="F128" s="902" t="s">
        <v>36</v>
      </c>
      <c r="G128" s="528"/>
      <c r="H128" s="546" t="s">
        <v>37</v>
      </c>
      <c r="I128" s="711">
        <v>0</v>
      </c>
      <c r="J128" s="896" t="str">
        <f>IFERROR((I129/I128),"-")</f>
        <v>-</v>
      </c>
      <c r="K128" s="528"/>
      <c r="L128" s="546" t="s">
        <v>37</v>
      </c>
      <c r="M128" s="711">
        <f t="shared" si="348"/>
        <v>0</v>
      </c>
      <c r="N128" s="896" t="str">
        <f>IFERROR((M129/M128),"-")</f>
        <v>-</v>
      </c>
      <c r="O128" s="528"/>
      <c r="P128" s="547">
        <v>0</v>
      </c>
      <c r="Q128" s="547">
        <v>0</v>
      </c>
      <c r="R128" s="547">
        <v>0</v>
      </c>
      <c r="S128" s="547">
        <v>0</v>
      </c>
      <c r="T128" s="547">
        <v>0</v>
      </c>
      <c r="U128" s="547">
        <v>0</v>
      </c>
      <c r="V128" s="548">
        <v>0</v>
      </c>
      <c r="W128" s="528"/>
      <c r="X128" s="711">
        <f t="shared" si="342"/>
        <v>0</v>
      </c>
      <c r="Y128" s="896" t="str">
        <f>IFERROR((X129/X128),"0")</f>
        <v>0</v>
      </c>
      <c r="Z128" s="528"/>
      <c r="AA128" s="898">
        <v>0</v>
      </c>
      <c r="AB128" s="898">
        <v>0</v>
      </c>
      <c r="AC128" s="898">
        <v>0</v>
      </c>
      <c r="AD128" s="900" t="str">
        <f t="shared" ref="AD128" si="421">IFERROR((AC128/AB128),"-")</f>
        <v>-</v>
      </c>
      <c r="AE128" s="2"/>
      <c r="AF128" s="886">
        <v>4366.3029999999999</v>
      </c>
      <c r="AG128" s="886"/>
      <c r="AH128" s="884">
        <v>0</v>
      </c>
      <c r="AI128" s="886"/>
      <c r="AJ128" s="886"/>
      <c r="AK128" s="884">
        <f t="shared" ref="AK128" si="422">AF128+AG128+AH128+AI128+AJ128+AC128</f>
        <v>4366.3029999999999</v>
      </c>
      <c r="AL128" s="884">
        <v>5239.4999999999973</v>
      </c>
      <c r="AM128" s="878">
        <f t="shared" ref="AM128" si="423">IFERROR((AK128/AL128),"-")</f>
        <v>0.8333434488023671</v>
      </c>
      <c r="AN128" s="2"/>
      <c r="AO128" s="884">
        <v>5239.55</v>
      </c>
      <c r="AP128" s="884">
        <f t="shared" ref="AP128" si="424">AO128-AK128</f>
        <v>873.2470000000003</v>
      </c>
      <c r="AV128" s="4" t="str">
        <f t="shared" si="249"/>
        <v>Escavação 1ª e 2ª categoria</v>
      </c>
      <c r="AW128" s="4" t="str">
        <f t="shared" si="250"/>
        <v xml:space="preserve">   Seg. 2.3-C06 - Escavação, carga e transporte de material 1ª categoria</v>
      </c>
    </row>
    <row r="129" spans="1:49" ht="15" customHeight="1" outlineLevel="2">
      <c r="A129" s="545" t="str">
        <f t="shared" ref="A129" si="425">A128</f>
        <v>N</v>
      </c>
      <c r="B129" s="526"/>
      <c r="C129" s="526"/>
      <c r="D129" s="527" t="s">
        <v>327</v>
      </c>
      <c r="E129" s="893"/>
      <c r="F129" s="902"/>
      <c r="G129" s="528"/>
      <c r="H129" s="549" t="s">
        <v>38</v>
      </c>
      <c r="I129" s="711">
        <v>0</v>
      </c>
      <c r="J129" s="897"/>
      <c r="K129" s="528"/>
      <c r="L129" s="549" t="s">
        <v>38</v>
      </c>
      <c r="M129" s="711">
        <f t="shared" si="348"/>
        <v>0</v>
      </c>
      <c r="N129" s="897"/>
      <c r="O129" s="528"/>
      <c r="P129" s="711">
        <v>0</v>
      </c>
      <c r="Q129" s="711">
        <v>0</v>
      </c>
      <c r="R129" s="711">
        <v>0</v>
      </c>
      <c r="S129" s="711">
        <v>0</v>
      </c>
      <c r="T129" s="711">
        <v>0</v>
      </c>
      <c r="U129" s="711">
        <v>0</v>
      </c>
      <c r="V129" s="711">
        <v>0</v>
      </c>
      <c r="W129" s="528"/>
      <c r="X129" s="711">
        <f t="shared" si="342"/>
        <v>0</v>
      </c>
      <c r="Y129" s="897"/>
      <c r="Z129" s="528"/>
      <c r="AA129" s="899"/>
      <c r="AB129" s="899"/>
      <c r="AC129" s="899"/>
      <c r="AD129" s="901"/>
      <c r="AE129" s="2"/>
      <c r="AF129" s="926"/>
      <c r="AG129" s="926"/>
      <c r="AH129" s="885"/>
      <c r="AI129" s="926"/>
      <c r="AJ129" s="926"/>
      <c r="AK129" s="885"/>
      <c r="AL129" s="885"/>
      <c r="AM129" s="879"/>
      <c r="AN129" s="2"/>
      <c r="AO129" s="886"/>
      <c r="AP129" s="886"/>
      <c r="AV129" s="4" t="str">
        <f t="shared" si="249"/>
        <v>Escavação 1ª e 2ª categoria</v>
      </c>
      <c r="AW129" s="4" t="str">
        <f t="shared" si="250"/>
        <v xml:space="preserve">   Seg. 2.3-C06 - Escavação, carga e transporte de material 1ª categoria</v>
      </c>
    </row>
    <row r="130" spans="1:49" ht="15" customHeight="1" outlineLevel="2">
      <c r="A130" s="545" t="str">
        <f t="shared" ref="A130" si="426">IF(SUM(P130:V131)&gt;0,"S","N")</f>
        <v>N</v>
      </c>
      <c r="B130" s="526">
        <v>1059612</v>
      </c>
      <c r="C130" s="526" t="s">
        <v>329</v>
      </c>
      <c r="D130" s="527" t="s">
        <v>330</v>
      </c>
      <c r="E130" s="892" t="s">
        <v>331</v>
      </c>
      <c r="F130" s="902" t="s">
        <v>36</v>
      </c>
      <c r="G130" s="528"/>
      <c r="H130" s="546" t="s">
        <v>37</v>
      </c>
      <c r="I130" s="711">
        <v>0</v>
      </c>
      <c r="J130" s="896" t="str">
        <f>IFERROR((I131/I130),"-")</f>
        <v>-</v>
      </c>
      <c r="K130" s="528"/>
      <c r="L130" s="546" t="s">
        <v>37</v>
      </c>
      <c r="M130" s="711">
        <f t="shared" si="348"/>
        <v>0</v>
      </c>
      <c r="N130" s="896" t="str">
        <f>IFERROR((M131/M130),"-")</f>
        <v>-</v>
      </c>
      <c r="O130" s="528"/>
      <c r="P130" s="547">
        <v>0</v>
      </c>
      <c r="Q130" s="547">
        <v>0</v>
      </c>
      <c r="R130" s="547">
        <v>0</v>
      </c>
      <c r="S130" s="547">
        <v>0</v>
      </c>
      <c r="T130" s="547">
        <v>0</v>
      </c>
      <c r="U130" s="547">
        <v>0</v>
      </c>
      <c r="V130" s="548">
        <v>0</v>
      </c>
      <c r="W130" s="528"/>
      <c r="X130" s="711">
        <f t="shared" si="342"/>
        <v>0</v>
      </c>
      <c r="Y130" s="896" t="str">
        <f>IFERROR((X131/X130),"0")</f>
        <v>0</v>
      </c>
      <c r="Z130" s="528"/>
      <c r="AA130" s="898">
        <v>0</v>
      </c>
      <c r="AB130" s="898">
        <v>0</v>
      </c>
      <c r="AC130" s="898">
        <v>0</v>
      </c>
      <c r="AD130" s="900" t="str">
        <f t="shared" ref="AD130" si="427">IFERROR((AC130/AB130),"-")</f>
        <v>-</v>
      </c>
      <c r="AE130" s="2"/>
      <c r="AF130" s="886">
        <v>61024.51</v>
      </c>
      <c r="AG130" s="886"/>
      <c r="AH130" s="884">
        <v>550</v>
      </c>
      <c r="AI130" s="886"/>
      <c r="AJ130" s="886"/>
      <c r="AK130" s="884">
        <f t="shared" ref="AK130" si="428">AF130+AG130+AH130+AI130+AJ130+AC130</f>
        <v>61574.51</v>
      </c>
      <c r="AL130" s="884">
        <v>65900.819999999992</v>
      </c>
      <c r="AM130" s="878">
        <f t="shared" ref="AM130" si="429">IFERROR((AK130/AL130),"-")</f>
        <v>0.93435119623701202</v>
      </c>
      <c r="AN130" s="2"/>
      <c r="AO130" s="884">
        <v>65900.83</v>
      </c>
      <c r="AP130" s="884">
        <f t="shared" ref="AP130" si="430">AO130-AK130</f>
        <v>4326.32</v>
      </c>
      <c r="AV130" s="4" t="str">
        <f t="shared" si="249"/>
        <v>Escavação 1ª e 2ª categoria</v>
      </c>
      <c r="AW130" s="4" t="str">
        <f t="shared" si="250"/>
        <v xml:space="preserve">   Seg. 2.3-C07 - Escavação, carga e transporte de material 1ª categoria </v>
      </c>
    </row>
    <row r="131" spans="1:49" ht="15" customHeight="1" outlineLevel="2">
      <c r="A131" s="545" t="str">
        <f t="shared" ref="A131" si="431">A130</f>
        <v>N</v>
      </c>
      <c r="B131" s="526"/>
      <c r="C131" s="526"/>
      <c r="D131" s="527" t="s">
        <v>330</v>
      </c>
      <c r="E131" s="893"/>
      <c r="F131" s="902"/>
      <c r="G131" s="528"/>
      <c r="H131" s="549" t="s">
        <v>38</v>
      </c>
      <c r="I131" s="711">
        <v>0</v>
      </c>
      <c r="J131" s="897"/>
      <c r="K131" s="528"/>
      <c r="L131" s="549" t="s">
        <v>38</v>
      </c>
      <c r="M131" s="711">
        <f t="shared" si="348"/>
        <v>0</v>
      </c>
      <c r="N131" s="897"/>
      <c r="O131" s="528"/>
      <c r="P131" s="711">
        <v>0</v>
      </c>
      <c r="Q131" s="711">
        <v>0</v>
      </c>
      <c r="R131" s="711">
        <v>0</v>
      </c>
      <c r="S131" s="711">
        <v>0</v>
      </c>
      <c r="T131" s="711">
        <v>0</v>
      </c>
      <c r="U131" s="711">
        <v>0</v>
      </c>
      <c r="V131" s="711">
        <v>0</v>
      </c>
      <c r="W131" s="528"/>
      <c r="X131" s="711">
        <f t="shared" si="342"/>
        <v>0</v>
      </c>
      <c r="Y131" s="897"/>
      <c r="Z131" s="528"/>
      <c r="AA131" s="899"/>
      <c r="AB131" s="899"/>
      <c r="AC131" s="899"/>
      <c r="AD131" s="901"/>
      <c r="AE131" s="2"/>
      <c r="AF131" s="926"/>
      <c r="AG131" s="926"/>
      <c r="AH131" s="885"/>
      <c r="AI131" s="926"/>
      <c r="AJ131" s="926"/>
      <c r="AK131" s="885"/>
      <c r="AL131" s="885"/>
      <c r="AM131" s="879"/>
      <c r="AN131" s="2"/>
      <c r="AO131" s="886"/>
      <c r="AP131" s="886"/>
      <c r="AV131" s="4" t="str">
        <f t="shared" si="249"/>
        <v>Escavação 1ª e 2ª categoria</v>
      </c>
      <c r="AW131" s="4" t="str">
        <f t="shared" si="250"/>
        <v xml:space="preserve">   Seg. 2.3-C07 - Escavação, carga e transporte de material 1ª categoria </v>
      </c>
    </row>
    <row r="132" spans="1:49" ht="15" customHeight="1" outlineLevel="2">
      <c r="A132" s="545" t="str">
        <f t="shared" ref="A132" si="432">IF(SUM(P132:V133)&gt;0,"S","N")</f>
        <v>N</v>
      </c>
      <c r="B132" s="526">
        <v>1059622</v>
      </c>
      <c r="C132" s="526" t="s">
        <v>332</v>
      </c>
      <c r="D132" s="527" t="s">
        <v>333</v>
      </c>
      <c r="E132" s="892" t="s">
        <v>334</v>
      </c>
      <c r="F132" s="902" t="s">
        <v>36</v>
      </c>
      <c r="G132" s="528"/>
      <c r="H132" s="546" t="s">
        <v>37</v>
      </c>
      <c r="I132" s="711">
        <v>0</v>
      </c>
      <c r="J132" s="896" t="str">
        <f>IFERROR((I133/I132),"-")</f>
        <v>-</v>
      </c>
      <c r="K132" s="528"/>
      <c r="L132" s="546" t="s">
        <v>37</v>
      </c>
      <c r="M132" s="711">
        <f t="shared" si="348"/>
        <v>0</v>
      </c>
      <c r="N132" s="896" t="str">
        <f>IFERROR((M133/M132),"-")</f>
        <v>-</v>
      </c>
      <c r="O132" s="528"/>
      <c r="P132" s="547">
        <v>0</v>
      </c>
      <c r="Q132" s="547">
        <v>0</v>
      </c>
      <c r="R132" s="547">
        <v>0</v>
      </c>
      <c r="S132" s="547">
        <v>0</v>
      </c>
      <c r="T132" s="547">
        <v>0</v>
      </c>
      <c r="U132" s="547">
        <v>0</v>
      </c>
      <c r="V132" s="548">
        <v>0</v>
      </c>
      <c r="W132" s="528"/>
      <c r="X132" s="711">
        <f t="shared" si="342"/>
        <v>0</v>
      </c>
      <c r="Y132" s="896" t="str">
        <f>IFERROR((X133/X132),"0")</f>
        <v>0</v>
      </c>
      <c r="Z132" s="528"/>
      <c r="AA132" s="898">
        <v>0</v>
      </c>
      <c r="AB132" s="898">
        <v>0</v>
      </c>
      <c r="AC132" s="898">
        <v>0</v>
      </c>
      <c r="AD132" s="900" t="str">
        <f t="shared" ref="AD132" si="433">IFERROR((AC132/AB132),"-")</f>
        <v>-</v>
      </c>
      <c r="AE132" s="2"/>
      <c r="AF132" s="886">
        <v>185255.66800000001</v>
      </c>
      <c r="AG132" s="886"/>
      <c r="AH132" s="884">
        <v>0</v>
      </c>
      <c r="AI132" s="886"/>
      <c r="AJ132" s="886"/>
      <c r="AK132" s="884">
        <f t="shared" ref="AK132" si="434">AF132+AG132+AH132+AI132+AJ132+AC132</f>
        <v>185255.66800000001</v>
      </c>
      <c r="AL132" s="884">
        <v>11196.149999999998</v>
      </c>
      <c r="AM132" s="878">
        <f t="shared" ref="AM132" si="435">IFERROR((AK132/AL132),"-")</f>
        <v>16.546372458389719</v>
      </c>
      <c r="AN132" s="2"/>
      <c r="AO132" s="886">
        <v>11195.89</v>
      </c>
      <c r="AP132" s="884">
        <f t="shared" ref="AP132" si="436">AO132-AK132</f>
        <v>-174059.77799999999</v>
      </c>
      <c r="AV132" s="4" t="str">
        <f t="shared" si="249"/>
        <v>Escavação 1ª e 2ª categoria</v>
      </c>
      <c r="AW132" s="4" t="str">
        <f t="shared" si="250"/>
        <v xml:space="preserve">   Seg. 2.3-C10 - Escavação, carga e transporte de material 1ª/2ª categoria</v>
      </c>
    </row>
    <row r="133" spans="1:49" ht="15" customHeight="1" outlineLevel="2">
      <c r="A133" s="545" t="str">
        <f t="shared" ref="A133" si="437">A132</f>
        <v>N</v>
      </c>
      <c r="B133" s="526"/>
      <c r="C133" s="526"/>
      <c r="D133" s="527" t="s">
        <v>333</v>
      </c>
      <c r="E133" s="893"/>
      <c r="F133" s="902"/>
      <c r="G133" s="528"/>
      <c r="H133" s="549" t="s">
        <v>38</v>
      </c>
      <c r="I133" s="711">
        <v>0</v>
      </c>
      <c r="J133" s="897"/>
      <c r="K133" s="528"/>
      <c r="L133" s="549" t="s">
        <v>38</v>
      </c>
      <c r="M133" s="711">
        <f t="shared" si="348"/>
        <v>0</v>
      </c>
      <c r="N133" s="897"/>
      <c r="O133" s="528"/>
      <c r="P133" s="711">
        <v>0</v>
      </c>
      <c r="Q133" s="711">
        <v>0</v>
      </c>
      <c r="R133" s="711">
        <v>0</v>
      </c>
      <c r="S133" s="711">
        <v>0</v>
      </c>
      <c r="T133" s="711">
        <v>0</v>
      </c>
      <c r="U133" s="711">
        <v>0</v>
      </c>
      <c r="V133" s="711">
        <v>0</v>
      </c>
      <c r="W133" s="528"/>
      <c r="X133" s="711">
        <f t="shared" si="342"/>
        <v>0</v>
      </c>
      <c r="Y133" s="897"/>
      <c r="Z133" s="528"/>
      <c r="AA133" s="899"/>
      <c r="AB133" s="899"/>
      <c r="AC133" s="899"/>
      <c r="AD133" s="901"/>
      <c r="AE133" s="2"/>
      <c r="AF133" s="926"/>
      <c r="AG133" s="926"/>
      <c r="AH133" s="885"/>
      <c r="AI133" s="926"/>
      <c r="AJ133" s="926"/>
      <c r="AK133" s="885"/>
      <c r="AL133" s="885"/>
      <c r="AM133" s="879"/>
      <c r="AN133" s="2"/>
      <c r="AO133" s="886"/>
      <c r="AP133" s="886"/>
      <c r="AV133" s="4" t="str">
        <f t="shared" si="249"/>
        <v>Escavação 1ª e 2ª categoria</v>
      </c>
      <c r="AW133" s="4" t="str">
        <f t="shared" si="250"/>
        <v xml:space="preserve">   Seg. 2.3-C10 - Escavação, carga e transporte de material 1ª/2ª categoria</v>
      </c>
    </row>
    <row r="134" spans="1:49" ht="15" customHeight="1" outlineLevel="2">
      <c r="A134" s="545" t="str">
        <f t="shared" ref="A134" si="438">IF(SUM(P134:V135)&gt;0,"S","N")</f>
        <v>S</v>
      </c>
      <c r="B134" s="526">
        <v>1069769</v>
      </c>
      <c r="C134" s="526" t="s">
        <v>335</v>
      </c>
      <c r="D134" s="527" t="s">
        <v>336</v>
      </c>
      <c r="E134" s="892" t="s">
        <v>252</v>
      </c>
      <c r="F134" s="894" t="s">
        <v>36</v>
      </c>
      <c r="G134" s="528"/>
      <c r="H134" s="546" t="s">
        <v>37</v>
      </c>
      <c r="I134" s="711">
        <v>7200</v>
      </c>
      <c r="J134" s="896">
        <f>IFERROR((I135/I134),"-")</f>
        <v>0.70277777777777772</v>
      </c>
      <c r="K134" s="528"/>
      <c r="L134" s="546" t="s">
        <v>37</v>
      </c>
      <c r="M134" s="711">
        <f t="shared" si="348"/>
        <v>1260</v>
      </c>
      <c r="N134" s="896">
        <f>IFERROR((M135/M134),"-")</f>
        <v>0.74603174603174605</v>
      </c>
      <c r="O134" s="528"/>
      <c r="P134" s="547">
        <v>1260</v>
      </c>
      <c r="Q134" s="547">
        <v>1260</v>
      </c>
      <c r="R134" s="547">
        <v>1260</v>
      </c>
      <c r="S134" s="547">
        <v>1260</v>
      </c>
      <c r="T134" s="547">
        <v>1080</v>
      </c>
      <c r="U134" s="547">
        <v>1080</v>
      </c>
      <c r="V134" s="548">
        <v>0</v>
      </c>
      <c r="W134" s="528"/>
      <c r="X134" s="711">
        <f t="shared" si="342"/>
        <v>2520</v>
      </c>
      <c r="Y134" s="896">
        <f>IFERROR((X135/X134),"0")</f>
        <v>0.70634920634920639</v>
      </c>
      <c r="Z134" s="528"/>
      <c r="AA134" s="898">
        <v>59403.73</v>
      </c>
      <c r="AB134" s="898">
        <v>26401.679999999997</v>
      </c>
      <c r="AC134" s="898">
        <v>9720</v>
      </c>
      <c r="AD134" s="900">
        <f t="shared" ref="AD134" si="439">IFERROR((AC134/AB134),"-")</f>
        <v>0.36815838992064148</v>
      </c>
      <c r="AE134" s="2"/>
      <c r="AF134" s="886">
        <v>0</v>
      </c>
      <c r="AG134" s="886">
        <v>1408.537</v>
      </c>
      <c r="AH134" s="884">
        <v>22908</v>
      </c>
      <c r="AI134" s="886"/>
      <c r="AJ134" s="886">
        <v>44613.523999999998</v>
      </c>
      <c r="AK134" s="884">
        <f t="shared" ref="AK134" si="440">AF134+AG134+AH134+AI134+AJ134+AC134</f>
        <v>78650.061000000002</v>
      </c>
      <c r="AL134" s="884">
        <v>100902.22000000004</v>
      </c>
      <c r="AM134" s="878">
        <f t="shared" ref="AM134" si="441">IFERROR((AK134/AL134),"-")</f>
        <v>0.77946809297159136</v>
      </c>
      <c r="AN134" s="2"/>
      <c r="AO134" s="884">
        <v>133904.01</v>
      </c>
      <c r="AP134" s="884">
        <f t="shared" ref="AP134" si="442">AO134-AK134</f>
        <v>55253.949000000008</v>
      </c>
      <c r="AV134" s="4" t="str">
        <f t="shared" si="249"/>
        <v>Escavação 1ª e 2ª categoria</v>
      </c>
      <c r="AW134" s="4" t="str">
        <f t="shared" si="250"/>
        <v xml:space="preserve">   Escavação, carga, transporte, descarga e espalhamento de solo de 1ª /2ª categoria para Retaludamento</v>
      </c>
    </row>
    <row r="135" spans="1:49" ht="15" customHeight="1" outlineLevel="2">
      <c r="A135" s="545" t="str">
        <f t="shared" ref="A135" si="443">A134</f>
        <v>S</v>
      </c>
      <c r="B135" s="526"/>
      <c r="C135" s="526"/>
      <c r="D135" s="527" t="s">
        <v>336</v>
      </c>
      <c r="E135" s="893"/>
      <c r="F135" s="895"/>
      <c r="G135" s="528"/>
      <c r="H135" s="549" t="s">
        <v>38</v>
      </c>
      <c r="I135" s="711">
        <v>5060</v>
      </c>
      <c r="J135" s="897"/>
      <c r="K135" s="528"/>
      <c r="L135" s="549" t="s">
        <v>38</v>
      </c>
      <c r="M135" s="711">
        <f t="shared" si="348"/>
        <v>940</v>
      </c>
      <c r="N135" s="897"/>
      <c r="O135" s="528"/>
      <c r="P135" s="711">
        <v>840</v>
      </c>
      <c r="Q135" s="711">
        <v>940</v>
      </c>
      <c r="R135" s="711">
        <v>0</v>
      </c>
      <c r="S135" s="711">
        <v>0</v>
      </c>
      <c r="T135" s="711">
        <v>0</v>
      </c>
      <c r="U135" s="711">
        <v>0</v>
      </c>
      <c r="V135" s="711">
        <v>0</v>
      </c>
      <c r="W135" s="528"/>
      <c r="X135" s="711">
        <f t="shared" si="342"/>
        <v>1780</v>
      </c>
      <c r="Y135" s="897"/>
      <c r="Z135" s="528"/>
      <c r="AA135" s="899"/>
      <c r="AB135" s="899"/>
      <c r="AC135" s="899"/>
      <c r="AD135" s="901"/>
      <c r="AE135" s="2"/>
      <c r="AF135" s="926"/>
      <c r="AG135" s="926"/>
      <c r="AH135" s="885"/>
      <c r="AI135" s="926"/>
      <c r="AJ135" s="926"/>
      <c r="AK135" s="885"/>
      <c r="AL135" s="885"/>
      <c r="AM135" s="879"/>
      <c r="AN135" s="2"/>
      <c r="AO135" s="886"/>
      <c r="AP135" s="886"/>
      <c r="AV135" s="4" t="str">
        <f t="shared" si="249"/>
        <v>Escavação 1ª e 2ª categoria</v>
      </c>
      <c r="AW135" s="4" t="str">
        <f t="shared" si="250"/>
        <v xml:space="preserve">   Escavação, carga, transporte, descarga e espalhamento de solo de 1ª /2ª categoria para Retaludamento</v>
      </c>
    </row>
    <row r="136" spans="1:49" ht="15" customHeight="1" outlineLevel="2">
      <c r="A136" s="545" t="str">
        <f t="shared" ref="A136" si="444">IF(SUM(P136:V137)&gt;0,"S","N")</f>
        <v>N</v>
      </c>
      <c r="B136" s="526">
        <v>1059624</v>
      </c>
      <c r="C136" s="526" t="s">
        <v>337</v>
      </c>
      <c r="D136" s="527" t="s">
        <v>338</v>
      </c>
      <c r="E136" s="892" t="s">
        <v>339</v>
      </c>
      <c r="F136" s="902" t="s">
        <v>36</v>
      </c>
      <c r="G136" s="528"/>
      <c r="H136" s="546" t="s">
        <v>37</v>
      </c>
      <c r="I136" s="711">
        <v>0</v>
      </c>
      <c r="J136" s="896" t="str">
        <f>IFERROR((I137/I136),"-")</f>
        <v>-</v>
      </c>
      <c r="K136" s="528"/>
      <c r="L136" s="546" t="s">
        <v>37</v>
      </c>
      <c r="M136" s="711">
        <f t="shared" si="348"/>
        <v>0</v>
      </c>
      <c r="N136" s="896" t="str">
        <f>IFERROR((M137/M136),"-")</f>
        <v>-</v>
      </c>
      <c r="O136" s="528"/>
      <c r="P136" s="547">
        <v>0</v>
      </c>
      <c r="Q136" s="547">
        <v>0</v>
      </c>
      <c r="R136" s="547">
        <v>0</v>
      </c>
      <c r="S136" s="547">
        <v>0</v>
      </c>
      <c r="T136" s="547">
        <v>0</v>
      </c>
      <c r="U136" s="547">
        <v>0</v>
      </c>
      <c r="V136" s="548">
        <v>0</v>
      </c>
      <c r="W136" s="528"/>
      <c r="X136" s="711">
        <f t="shared" si="342"/>
        <v>0</v>
      </c>
      <c r="Y136" s="896" t="str">
        <f>IFERROR((X137/X136),"0")</f>
        <v>0</v>
      </c>
      <c r="Z136" s="528"/>
      <c r="AA136" s="898">
        <v>0</v>
      </c>
      <c r="AB136" s="898">
        <v>0</v>
      </c>
      <c r="AC136" s="898">
        <v>0</v>
      </c>
      <c r="AD136" s="900" t="str">
        <f t="shared" ref="AD136" si="445">IFERROR((AC136/AB136),"-")</f>
        <v>-</v>
      </c>
      <c r="AE136" s="2"/>
      <c r="AF136" s="886">
        <v>154.15199999999999</v>
      </c>
      <c r="AG136" s="886"/>
      <c r="AH136" s="884">
        <v>0</v>
      </c>
      <c r="AI136" s="886"/>
      <c r="AJ136" s="886"/>
      <c r="AK136" s="884">
        <f t="shared" ref="AK136" si="446">AF136+AG136+AH136+AI136+AJ136+AC136</f>
        <v>154.15199999999999</v>
      </c>
      <c r="AL136" s="884">
        <v>1181.3500000000001</v>
      </c>
      <c r="AM136" s="878">
        <f t="shared" ref="AM136" si="447">IFERROR((AK136/AL136),"-")</f>
        <v>0.130488001015787</v>
      </c>
      <c r="AN136" s="2"/>
      <c r="AO136" s="884">
        <v>1181.3499999999999</v>
      </c>
      <c r="AP136" s="884">
        <f t="shared" ref="AP136" si="448">AO136-AK136</f>
        <v>1027.1979999999999</v>
      </c>
      <c r="AV136" s="4" t="str">
        <f t="shared" si="249"/>
        <v>Escavação 1ª e 2ª categoria</v>
      </c>
      <c r="AW136" s="4" t="str">
        <f t="shared" si="250"/>
        <v xml:space="preserve">   Seg. 2.3-C12 - Escavação, carga e transporte de material 1ª/2ª categoria</v>
      </c>
    </row>
    <row r="137" spans="1:49" ht="15" customHeight="1" outlineLevel="2">
      <c r="A137" s="545" t="str">
        <f t="shared" ref="A137" si="449">A136</f>
        <v>N</v>
      </c>
      <c r="B137" s="526"/>
      <c r="C137" s="526"/>
      <c r="D137" s="527" t="s">
        <v>338</v>
      </c>
      <c r="E137" s="893"/>
      <c r="F137" s="902"/>
      <c r="G137" s="528"/>
      <c r="H137" s="549" t="s">
        <v>38</v>
      </c>
      <c r="I137" s="711">
        <v>0</v>
      </c>
      <c r="J137" s="897"/>
      <c r="K137" s="528"/>
      <c r="L137" s="549" t="s">
        <v>38</v>
      </c>
      <c r="M137" s="711">
        <f t="shared" si="348"/>
        <v>0</v>
      </c>
      <c r="N137" s="897"/>
      <c r="O137" s="528"/>
      <c r="P137" s="711">
        <v>0</v>
      </c>
      <c r="Q137" s="711">
        <v>0</v>
      </c>
      <c r="R137" s="711">
        <v>0</v>
      </c>
      <c r="S137" s="711">
        <v>0</v>
      </c>
      <c r="T137" s="711">
        <v>0</v>
      </c>
      <c r="U137" s="711">
        <v>0</v>
      </c>
      <c r="V137" s="711">
        <v>0</v>
      </c>
      <c r="W137" s="528"/>
      <c r="X137" s="711">
        <f t="shared" si="342"/>
        <v>0</v>
      </c>
      <c r="Y137" s="897"/>
      <c r="Z137" s="528"/>
      <c r="AA137" s="899"/>
      <c r="AB137" s="899"/>
      <c r="AC137" s="899"/>
      <c r="AD137" s="901"/>
      <c r="AE137" s="2"/>
      <c r="AF137" s="926"/>
      <c r="AG137" s="926"/>
      <c r="AH137" s="885"/>
      <c r="AI137" s="926"/>
      <c r="AJ137" s="926"/>
      <c r="AK137" s="885"/>
      <c r="AL137" s="885"/>
      <c r="AM137" s="879"/>
      <c r="AN137" s="2"/>
      <c r="AO137" s="886"/>
      <c r="AP137" s="886"/>
      <c r="AV137" s="4" t="str">
        <f t="shared" si="249"/>
        <v>Escavação 1ª e 2ª categoria</v>
      </c>
      <c r="AW137" s="4" t="str">
        <f t="shared" si="250"/>
        <v xml:space="preserve">   Seg. 2.3-C12 - Escavação, carga e transporte de material 1ª/2ª categoria</v>
      </c>
    </row>
    <row r="138" spans="1:49" ht="15" customHeight="1" outlineLevel="2">
      <c r="A138" s="545" t="str">
        <f t="shared" ref="A138" si="450">IF(SUM(P138:V139)&gt;0,"S","N")</f>
        <v>N</v>
      </c>
      <c r="B138" s="526">
        <v>1059625</v>
      </c>
      <c r="C138" s="526" t="s">
        <v>340</v>
      </c>
      <c r="D138" s="527" t="s">
        <v>341</v>
      </c>
      <c r="E138" s="892" t="s">
        <v>342</v>
      </c>
      <c r="F138" s="902" t="s">
        <v>36</v>
      </c>
      <c r="G138" s="528"/>
      <c r="H138" s="546" t="s">
        <v>37</v>
      </c>
      <c r="I138" s="711">
        <v>0</v>
      </c>
      <c r="J138" s="896" t="str">
        <f>IFERROR((I139/I138),"-")</f>
        <v>-</v>
      </c>
      <c r="K138" s="528"/>
      <c r="L138" s="546" t="s">
        <v>37</v>
      </c>
      <c r="M138" s="711">
        <f t="shared" si="348"/>
        <v>0</v>
      </c>
      <c r="N138" s="896" t="str">
        <f>IFERROR((M139/M138),"-")</f>
        <v>-</v>
      </c>
      <c r="O138" s="528"/>
      <c r="P138" s="547">
        <v>0</v>
      </c>
      <c r="Q138" s="547">
        <v>0</v>
      </c>
      <c r="R138" s="547">
        <v>0</v>
      </c>
      <c r="S138" s="547">
        <v>0</v>
      </c>
      <c r="T138" s="547">
        <v>0</v>
      </c>
      <c r="U138" s="547">
        <v>0</v>
      </c>
      <c r="V138" s="548">
        <v>0</v>
      </c>
      <c r="W138" s="528"/>
      <c r="X138" s="711">
        <f t="shared" si="342"/>
        <v>0</v>
      </c>
      <c r="Y138" s="896" t="str">
        <f>IFERROR((X139/X138),"0")</f>
        <v>0</v>
      </c>
      <c r="Z138" s="528"/>
      <c r="AA138" s="898">
        <v>0</v>
      </c>
      <c r="AB138" s="898">
        <v>0</v>
      </c>
      <c r="AC138" s="898">
        <v>0</v>
      </c>
      <c r="AD138" s="900" t="str">
        <f t="shared" ref="AD138" si="451">IFERROR((AC138/AB138),"-")</f>
        <v>-</v>
      </c>
      <c r="AE138" s="2"/>
      <c r="AF138" s="886">
        <v>597.29700000000003</v>
      </c>
      <c r="AG138" s="886"/>
      <c r="AH138" s="884">
        <v>0</v>
      </c>
      <c r="AI138" s="886"/>
      <c r="AJ138" s="886"/>
      <c r="AK138" s="884">
        <f t="shared" ref="AK138" si="452">AF138+AG138+AH138+AI138+AJ138+AC138</f>
        <v>597.29700000000003</v>
      </c>
      <c r="AL138" s="884">
        <v>1953.9</v>
      </c>
      <c r="AM138" s="878">
        <f t="shared" ref="AM138" si="453">IFERROR((AK138/AL138),"-")</f>
        <v>0.3056947643175188</v>
      </c>
      <c r="AN138" s="2"/>
      <c r="AO138" s="884">
        <v>1953.9</v>
      </c>
      <c r="AP138" s="884">
        <f t="shared" ref="AP138" si="454">AO138-AK138</f>
        <v>1356.6030000000001</v>
      </c>
      <c r="AV138" s="4" t="str">
        <f t="shared" si="249"/>
        <v>Escavação 1ª e 2ª categoria</v>
      </c>
      <c r="AW138" s="4" t="str">
        <f t="shared" si="250"/>
        <v xml:space="preserve">   Seg. 2.3-C13 - Escavação, carga e transporte de material 1ª/2ª categoria</v>
      </c>
    </row>
    <row r="139" spans="1:49" ht="15" customHeight="1" outlineLevel="2">
      <c r="A139" s="545" t="str">
        <f t="shared" ref="A139" si="455">A138</f>
        <v>N</v>
      </c>
      <c r="B139" s="526"/>
      <c r="C139" s="526"/>
      <c r="D139" s="527" t="s">
        <v>341</v>
      </c>
      <c r="E139" s="893"/>
      <c r="F139" s="902"/>
      <c r="G139" s="528"/>
      <c r="H139" s="549" t="s">
        <v>38</v>
      </c>
      <c r="I139" s="711">
        <v>0</v>
      </c>
      <c r="J139" s="897"/>
      <c r="K139" s="528"/>
      <c r="L139" s="549" t="s">
        <v>38</v>
      </c>
      <c r="M139" s="711">
        <f t="shared" si="348"/>
        <v>0</v>
      </c>
      <c r="N139" s="897"/>
      <c r="O139" s="528"/>
      <c r="P139" s="711">
        <v>0</v>
      </c>
      <c r="Q139" s="711">
        <v>0</v>
      </c>
      <c r="R139" s="711">
        <v>0</v>
      </c>
      <c r="S139" s="711">
        <v>0</v>
      </c>
      <c r="T139" s="711">
        <v>0</v>
      </c>
      <c r="U139" s="711">
        <v>0</v>
      </c>
      <c r="V139" s="711">
        <v>0</v>
      </c>
      <c r="W139" s="528"/>
      <c r="X139" s="711">
        <f t="shared" si="342"/>
        <v>0</v>
      </c>
      <c r="Y139" s="897"/>
      <c r="Z139" s="528"/>
      <c r="AA139" s="899"/>
      <c r="AB139" s="899"/>
      <c r="AC139" s="899"/>
      <c r="AD139" s="901"/>
      <c r="AE139" s="2"/>
      <c r="AF139" s="926"/>
      <c r="AG139" s="926"/>
      <c r="AH139" s="885"/>
      <c r="AI139" s="926"/>
      <c r="AJ139" s="926"/>
      <c r="AK139" s="885"/>
      <c r="AL139" s="885"/>
      <c r="AM139" s="879"/>
      <c r="AN139" s="2"/>
      <c r="AO139" s="886"/>
      <c r="AP139" s="886"/>
      <c r="AV139" s="4" t="str">
        <f t="shared" si="249"/>
        <v>Escavação 1ª e 2ª categoria</v>
      </c>
      <c r="AW139" s="4" t="str">
        <f t="shared" si="250"/>
        <v xml:space="preserve">   Seg. 2.3-C13 - Escavação, carga e transporte de material 1ª/2ª categoria</v>
      </c>
    </row>
    <row r="140" spans="1:49" ht="15" customHeight="1" outlineLevel="2">
      <c r="A140" s="545" t="str">
        <f t="shared" ref="A140" si="456">IF(SUM(P140:V141)&gt;0,"S","N")</f>
        <v>N</v>
      </c>
      <c r="B140" s="526">
        <v>1059626</v>
      </c>
      <c r="C140" s="526" t="s">
        <v>343</v>
      </c>
      <c r="D140" s="527" t="s">
        <v>344</v>
      </c>
      <c r="E140" s="892" t="s">
        <v>345</v>
      </c>
      <c r="F140" s="902" t="s">
        <v>36</v>
      </c>
      <c r="G140" s="528"/>
      <c r="H140" s="546" t="s">
        <v>37</v>
      </c>
      <c r="I140" s="711">
        <v>0</v>
      </c>
      <c r="J140" s="896" t="str">
        <f>IFERROR((I141/I140),"-")</f>
        <v>-</v>
      </c>
      <c r="K140" s="528"/>
      <c r="L140" s="546" t="s">
        <v>37</v>
      </c>
      <c r="M140" s="711">
        <f t="shared" si="348"/>
        <v>0</v>
      </c>
      <c r="N140" s="896" t="str">
        <f>IFERROR((M141/M140),"-")</f>
        <v>-</v>
      </c>
      <c r="O140" s="528"/>
      <c r="P140" s="547">
        <v>0</v>
      </c>
      <c r="Q140" s="547">
        <v>0</v>
      </c>
      <c r="R140" s="547">
        <v>0</v>
      </c>
      <c r="S140" s="547">
        <v>0</v>
      </c>
      <c r="T140" s="547">
        <v>0</v>
      </c>
      <c r="U140" s="547">
        <v>0</v>
      </c>
      <c r="V140" s="548">
        <v>0</v>
      </c>
      <c r="W140" s="528"/>
      <c r="X140" s="711">
        <f t="shared" si="342"/>
        <v>0</v>
      </c>
      <c r="Y140" s="896" t="str">
        <f>IFERROR((X141/X140),"0")</f>
        <v>0</v>
      </c>
      <c r="Z140" s="528"/>
      <c r="AA140" s="898">
        <v>0</v>
      </c>
      <c r="AB140" s="898">
        <v>0</v>
      </c>
      <c r="AC140" s="898">
        <v>0</v>
      </c>
      <c r="AD140" s="900" t="str">
        <f t="shared" ref="AD140" si="457">IFERROR((AC140/AB140),"-")</f>
        <v>-</v>
      </c>
      <c r="AE140" s="2"/>
      <c r="AF140" s="886">
        <v>353364.821</v>
      </c>
      <c r="AG140" s="886"/>
      <c r="AH140" s="884">
        <v>0</v>
      </c>
      <c r="AI140" s="886"/>
      <c r="AJ140" s="886"/>
      <c r="AK140" s="884">
        <f t="shared" ref="AK140" si="458">AF140+AG140+AH140+AI140+AJ140+AC140</f>
        <v>353364.821</v>
      </c>
      <c r="AL140" s="884">
        <v>115392.69999999992</v>
      </c>
      <c r="AM140" s="878">
        <f t="shared" ref="AM140" si="459">IFERROR((AK140/AL140),"-")</f>
        <v>3.0622805515426905</v>
      </c>
      <c r="AN140" s="2"/>
      <c r="AO140" s="884">
        <v>115392.51</v>
      </c>
      <c r="AP140" s="884">
        <f t="shared" ref="AP140" si="460">AO140-AK140</f>
        <v>-237972.31099999999</v>
      </c>
      <c r="AV140" s="4" t="str">
        <f t="shared" ref="AV140:AV203" si="461">IF(AX140="Y",LEFT(E140,20),IF(AX140="x",E140,AV139))</f>
        <v>Escavação 1ª e 2ª categoria</v>
      </c>
      <c r="AW140" s="4" t="str">
        <f t="shared" ref="AW140:AW203" si="462">IF(E140&lt;&gt;"",E140,AW139)</f>
        <v xml:space="preserve">   Seg. 2.3-C14 - Escavação, carga e transporte de material 1ª/2ª categoria</v>
      </c>
    </row>
    <row r="141" spans="1:49" ht="15" customHeight="1" outlineLevel="2">
      <c r="A141" s="545" t="str">
        <f t="shared" ref="A141" si="463">A140</f>
        <v>N</v>
      </c>
      <c r="B141" s="526"/>
      <c r="C141" s="526"/>
      <c r="D141" s="527" t="s">
        <v>344</v>
      </c>
      <c r="E141" s="893"/>
      <c r="F141" s="902"/>
      <c r="G141" s="528"/>
      <c r="H141" s="549" t="s">
        <v>38</v>
      </c>
      <c r="I141" s="711">
        <v>0</v>
      </c>
      <c r="J141" s="897"/>
      <c r="K141" s="528"/>
      <c r="L141" s="549" t="s">
        <v>38</v>
      </c>
      <c r="M141" s="711">
        <f t="shared" si="348"/>
        <v>0</v>
      </c>
      <c r="N141" s="897"/>
      <c r="O141" s="528"/>
      <c r="P141" s="711">
        <v>0</v>
      </c>
      <c r="Q141" s="711">
        <v>0</v>
      </c>
      <c r="R141" s="711">
        <v>0</v>
      </c>
      <c r="S141" s="711">
        <v>0</v>
      </c>
      <c r="T141" s="711">
        <v>0</v>
      </c>
      <c r="U141" s="711">
        <v>0</v>
      </c>
      <c r="V141" s="711">
        <v>0</v>
      </c>
      <c r="W141" s="528"/>
      <c r="X141" s="711">
        <f t="shared" si="342"/>
        <v>0</v>
      </c>
      <c r="Y141" s="897"/>
      <c r="Z141" s="528"/>
      <c r="AA141" s="899"/>
      <c r="AB141" s="899"/>
      <c r="AC141" s="899"/>
      <c r="AD141" s="901"/>
      <c r="AE141" s="2"/>
      <c r="AF141" s="926"/>
      <c r="AG141" s="926"/>
      <c r="AH141" s="885"/>
      <c r="AI141" s="926"/>
      <c r="AJ141" s="926"/>
      <c r="AK141" s="885"/>
      <c r="AL141" s="885"/>
      <c r="AM141" s="879"/>
      <c r="AN141" s="2"/>
      <c r="AO141" s="886"/>
      <c r="AP141" s="886"/>
      <c r="AV141" s="4" t="str">
        <f t="shared" si="461"/>
        <v>Escavação 1ª e 2ª categoria</v>
      </c>
      <c r="AW141" s="4" t="str">
        <f t="shared" si="462"/>
        <v xml:space="preserve">   Seg. 2.3-C14 - Escavação, carga e transporte de material 1ª/2ª categoria</v>
      </c>
    </row>
    <row r="142" spans="1:49" ht="15" customHeight="1" outlineLevel="2">
      <c r="A142" s="545" t="str">
        <f t="shared" ref="A142" si="464">IF(SUM(P142:V143)&gt;0,"S","N")</f>
        <v>N</v>
      </c>
      <c r="B142" s="526">
        <v>1059621</v>
      </c>
      <c r="C142" s="526" t="s">
        <v>346</v>
      </c>
      <c r="D142" s="550" t="s">
        <v>347</v>
      </c>
      <c r="E142" s="892" t="s">
        <v>348</v>
      </c>
      <c r="F142" s="902" t="s">
        <v>36</v>
      </c>
      <c r="G142" s="528"/>
      <c r="H142" s="546" t="s">
        <v>37</v>
      </c>
      <c r="I142" s="711">
        <v>0</v>
      </c>
      <c r="J142" s="896" t="str">
        <f>IFERROR((I143/I142),"-")</f>
        <v>-</v>
      </c>
      <c r="K142" s="528"/>
      <c r="L142" s="546" t="s">
        <v>37</v>
      </c>
      <c r="M142" s="711">
        <f t="shared" si="348"/>
        <v>0</v>
      </c>
      <c r="N142" s="896" t="str">
        <f>IFERROR((M143/M142),"-")</f>
        <v>-</v>
      </c>
      <c r="O142" s="528"/>
      <c r="P142" s="547">
        <v>0</v>
      </c>
      <c r="Q142" s="547">
        <v>0</v>
      </c>
      <c r="R142" s="547">
        <v>0</v>
      </c>
      <c r="S142" s="547">
        <v>0</v>
      </c>
      <c r="T142" s="547">
        <v>0</v>
      </c>
      <c r="U142" s="547">
        <v>0</v>
      </c>
      <c r="V142" s="548">
        <v>0</v>
      </c>
      <c r="W142" s="528"/>
      <c r="X142" s="711">
        <f t="shared" si="342"/>
        <v>0</v>
      </c>
      <c r="Y142" s="896" t="str">
        <f>IFERROR((X143/X142),"0")</f>
        <v>0</v>
      </c>
      <c r="Z142" s="528"/>
      <c r="AA142" s="898">
        <v>247</v>
      </c>
      <c r="AB142" s="898">
        <v>247</v>
      </c>
      <c r="AC142" s="898">
        <v>0</v>
      </c>
      <c r="AD142" s="900">
        <f t="shared" ref="AD142" si="465">IFERROR((AC142/AB142),"-")</f>
        <v>0</v>
      </c>
      <c r="AE142" s="2"/>
      <c r="AF142" s="886">
        <v>213.642</v>
      </c>
      <c r="AG142" s="886"/>
      <c r="AH142" s="884">
        <v>0</v>
      </c>
      <c r="AI142" s="886"/>
      <c r="AJ142" s="886"/>
      <c r="AK142" s="884">
        <f t="shared" ref="AK142" si="466">AF142+AG142+AH142+AI142+AJ142+AC142</f>
        <v>213.642</v>
      </c>
      <c r="AL142" s="884">
        <v>460.64</v>
      </c>
      <c r="AM142" s="878">
        <f t="shared" ref="AM142" si="467">IFERROR((AK142/AL142),"-")</f>
        <v>0.46379385203195556</v>
      </c>
      <c r="AN142" s="2"/>
      <c r="AO142" s="884">
        <v>460.73</v>
      </c>
      <c r="AP142" s="884">
        <f t="shared" ref="AP142" si="468">AO142-AK142</f>
        <v>247.08800000000002</v>
      </c>
      <c r="AV142" s="4" t="str">
        <f t="shared" si="461"/>
        <v>Escavação 1ª e 2ª categoria</v>
      </c>
      <c r="AW142" s="4" t="str">
        <f t="shared" si="462"/>
        <v xml:space="preserve">   Seg. 2.3-C09 - Escavação, carga e transporte de material 1ª/2ª categoria</v>
      </c>
    </row>
    <row r="143" spans="1:49" ht="15" customHeight="1" outlineLevel="2">
      <c r="A143" s="545" t="str">
        <f t="shared" ref="A143" si="469">A142</f>
        <v>N</v>
      </c>
      <c r="B143" s="526"/>
      <c r="C143" s="526"/>
      <c r="D143" s="550" t="s">
        <v>347</v>
      </c>
      <c r="E143" s="893"/>
      <c r="F143" s="902"/>
      <c r="G143" s="528"/>
      <c r="H143" s="549" t="s">
        <v>38</v>
      </c>
      <c r="I143" s="711">
        <v>0</v>
      </c>
      <c r="J143" s="897"/>
      <c r="K143" s="528"/>
      <c r="L143" s="549" t="s">
        <v>38</v>
      </c>
      <c r="M143" s="711">
        <f t="shared" si="348"/>
        <v>0</v>
      </c>
      <c r="N143" s="897"/>
      <c r="O143" s="528"/>
      <c r="P143" s="711">
        <v>0</v>
      </c>
      <c r="Q143" s="711">
        <v>0</v>
      </c>
      <c r="R143" s="711">
        <v>0</v>
      </c>
      <c r="S143" s="711">
        <v>0</v>
      </c>
      <c r="T143" s="711">
        <v>0</v>
      </c>
      <c r="U143" s="711">
        <v>0</v>
      </c>
      <c r="V143" s="711">
        <v>0</v>
      </c>
      <c r="W143" s="528"/>
      <c r="X143" s="711">
        <f t="shared" si="342"/>
        <v>0</v>
      </c>
      <c r="Y143" s="897"/>
      <c r="Z143" s="528"/>
      <c r="AA143" s="899"/>
      <c r="AB143" s="899"/>
      <c r="AC143" s="899"/>
      <c r="AD143" s="901"/>
      <c r="AE143" s="2"/>
      <c r="AF143" s="926"/>
      <c r="AG143" s="926"/>
      <c r="AH143" s="885"/>
      <c r="AI143" s="926"/>
      <c r="AJ143" s="926"/>
      <c r="AK143" s="885"/>
      <c r="AL143" s="885"/>
      <c r="AM143" s="879"/>
      <c r="AN143" s="2"/>
      <c r="AO143" s="886"/>
      <c r="AP143" s="886"/>
      <c r="AV143" s="4" t="str">
        <f t="shared" si="461"/>
        <v>Escavação 1ª e 2ª categoria</v>
      </c>
      <c r="AW143" s="4" t="str">
        <f t="shared" si="462"/>
        <v xml:space="preserve">   Seg. 2.3-C09 - Escavação, carga e transporte de material 1ª/2ª categoria</v>
      </c>
    </row>
    <row r="144" spans="1:49" ht="15" customHeight="1" outlineLevel="2">
      <c r="A144" s="545" t="str">
        <f t="shared" ref="A144" si="470">IF(SUM(P144:V145)&gt;0,"S","N")</f>
        <v>S</v>
      </c>
      <c r="B144" s="526">
        <v>1061854</v>
      </c>
      <c r="C144" s="526" t="s">
        <v>349</v>
      </c>
      <c r="D144" s="550" t="s">
        <v>350</v>
      </c>
      <c r="E144" s="892" t="s">
        <v>351</v>
      </c>
      <c r="F144" s="902" t="s">
        <v>36</v>
      </c>
      <c r="G144" s="528"/>
      <c r="H144" s="546" t="s">
        <v>37</v>
      </c>
      <c r="I144" s="711">
        <v>0</v>
      </c>
      <c r="J144" s="896" t="str">
        <f>IFERROR((I145/I144),"-")</f>
        <v>-</v>
      </c>
      <c r="K144" s="528"/>
      <c r="L144" s="546" t="s">
        <v>37</v>
      </c>
      <c r="M144" s="711">
        <f t="shared" si="348"/>
        <v>2800</v>
      </c>
      <c r="N144" s="896">
        <f>IFERROR((M145/M144),"-")</f>
        <v>0</v>
      </c>
      <c r="O144" s="528"/>
      <c r="P144" s="547">
        <v>2800</v>
      </c>
      <c r="Q144" s="547">
        <v>2800</v>
      </c>
      <c r="R144" s="547">
        <v>2800</v>
      </c>
      <c r="S144" s="547">
        <v>2800</v>
      </c>
      <c r="T144" s="547">
        <v>2400</v>
      </c>
      <c r="U144" s="547">
        <v>2400</v>
      </c>
      <c r="V144" s="548">
        <v>0</v>
      </c>
      <c r="W144" s="528"/>
      <c r="X144" s="711">
        <f t="shared" si="342"/>
        <v>5600</v>
      </c>
      <c r="Y144" s="896">
        <f>IFERROR((X145/X144),"0")</f>
        <v>0</v>
      </c>
      <c r="Z144" s="528"/>
      <c r="AA144" s="898">
        <v>0</v>
      </c>
      <c r="AB144" s="898">
        <v>0</v>
      </c>
      <c r="AC144" s="898">
        <v>3110</v>
      </c>
      <c r="AD144" s="900" t="str">
        <f t="shared" ref="AD144" si="471">IFERROR((AC144/AB144),"-")</f>
        <v>-</v>
      </c>
      <c r="AE144" s="2"/>
      <c r="AF144" s="886">
        <v>709654.68700000003</v>
      </c>
      <c r="AG144" s="886"/>
      <c r="AH144" s="884">
        <v>0</v>
      </c>
      <c r="AI144" s="886"/>
      <c r="AJ144" s="886"/>
      <c r="AK144" s="884">
        <f t="shared" ref="AK144" si="472">AF144+AG144+AH144+AI144+AJ144+AC144</f>
        <v>712764.68700000003</v>
      </c>
      <c r="AL144" s="884">
        <v>1184236.9999999995</v>
      </c>
      <c r="AM144" s="878">
        <f t="shared" ref="AM144" si="473">IFERROR((AK144/AL144),"-")</f>
        <v>0.60187672484477373</v>
      </c>
      <c r="AN144" s="2"/>
      <c r="AO144" s="886">
        <v>1175261.75</v>
      </c>
      <c r="AP144" s="884">
        <f t="shared" ref="AP144" si="474">AO144-AK144</f>
        <v>462497.06299999997</v>
      </c>
      <c r="AV144" s="4" t="str">
        <f t="shared" si="461"/>
        <v>Escavação 1ª e 2ª categoria</v>
      </c>
      <c r="AW144" s="4" t="str">
        <f t="shared" si="462"/>
        <v xml:space="preserve">   Seg. 2.3-Caixa de empréstimo - Escavação, carga e transporte de material 1ª/2ª categoria</v>
      </c>
    </row>
    <row r="145" spans="1:49" ht="15" customHeight="1" outlineLevel="2">
      <c r="A145" s="545" t="str">
        <f t="shared" ref="A145" si="475">A144</f>
        <v>S</v>
      </c>
      <c r="B145" s="526"/>
      <c r="C145" s="526"/>
      <c r="D145" s="550" t="s">
        <v>350</v>
      </c>
      <c r="E145" s="893"/>
      <c r="F145" s="902"/>
      <c r="G145" s="528"/>
      <c r="H145" s="549" t="s">
        <v>38</v>
      </c>
      <c r="I145" s="711">
        <v>2960</v>
      </c>
      <c r="J145" s="897"/>
      <c r="K145" s="528"/>
      <c r="L145" s="549" t="s">
        <v>38</v>
      </c>
      <c r="M145" s="711">
        <f t="shared" si="348"/>
        <v>0</v>
      </c>
      <c r="N145" s="897"/>
      <c r="O145" s="528"/>
      <c r="P145" s="711">
        <v>0</v>
      </c>
      <c r="Q145" s="711">
        <v>0</v>
      </c>
      <c r="R145" s="711">
        <v>0</v>
      </c>
      <c r="S145" s="711">
        <v>0</v>
      </c>
      <c r="T145" s="711">
        <v>0</v>
      </c>
      <c r="U145" s="711">
        <v>0</v>
      </c>
      <c r="V145" s="711">
        <v>0</v>
      </c>
      <c r="W145" s="528"/>
      <c r="X145" s="711">
        <f t="shared" si="342"/>
        <v>0</v>
      </c>
      <c r="Y145" s="897"/>
      <c r="Z145" s="528"/>
      <c r="AA145" s="899"/>
      <c r="AB145" s="899"/>
      <c r="AC145" s="899"/>
      <c r="AD145" s="901"/>
      <c r="AE145" s="2"/>
      <c r="AF145" s="926"/>
      <c r="AG145" s="926"/>
      <c r="AH145" s="885"/>
      <c r="AI145" s="926"/>
      <c r="AJ145" s="926"/>
      <c r="AK145" s="885"/>
      <c r="AL145" s="885"/>
      <c r="AM145" s="879"/>
      <c r="AN145" s="2"/>
      <c r="AO145" s="926"/>
      <c r="AP145" s="886"/>
      <c r="AV145" s="4" t="str">
        <f t="shared" si="461"/>
        <v>Escavação 1ª e 2ª categoria</v>
      </c>
      <c r="AW145" s="4" t="str">
        <f t="shared" si="462"/>
        <v xml:space="preserve">   Seg. 2.3-Caixa de empréstimo - Escavação, carga e transporte de material 1ª/2ª categoria</v>
      </c>
    </row>
    <row r="146" spans="1:49" ht="15" customHeight="1" outlineLevel="2">
      <c r="A146" s="545" t="str">
        <f t="shared" ref="A146" si="476">IF(SUM(P146:V147)&gt;0,"S","N")</f>
        <v>N</v>
      </c>
      <c r="B146" s="526">
        <v>1069766</v>
      </c>
      <c r="C146" s="526" t="s">
        <v>352</v>
      </c>
      <c r="D146" s="527" t="s">
        <v>353</v>
      </c>
      <c r="E146" s="892" t="s">
        <v>252</v>
      </c>
      <c r="F146" s="902" t="s">
        <v>36</v>
      </c>
      <c r="G146" s="528"/>
      <c r="H146" s="546" t="s">
        <v>37</v>
      </c>
      <c r="I146" s="711">
        <v>0</v>
      </c>
      <c r="J146" s="896" t="str">
        <f>IFERROR((I147/I146),"-")</f>
        <v>-</v>
      </c>
      <c r="K146" s="528"/>
      <c r="L146" s="546" t="s">
        <v>37</v>
      </c>
      <c r="M146" s="711">
        <f t="shared" si="348"/>
        <v>0</v>
      </c>
      <c r="N146" s="896" t="str">
        <f>IFERROR((M147/M146),"-")</f>
        <v>-</v>
      </c>
      <c r="O146" s="528"/>
      <c r="P146" s="547">
        <v>0</v>
      </c>
      <c r="Q146" s="547">
        <v>0</v>
      </c>
      <c r="R146" s="547">
        <v>0</v>
      </c>
      <c r="S146" s="547">
        <v>0</v>
      </c>
      <c r="T146" s="547">
        <v>0</v>
      </c>
      <c r="U146" s="547">
        <v>0</v>
      </c>
      <c r="V146" s="548">
        <v>0</v>
      </c>
      <c r="W146" s="528"/>
      <c r="X146" s="711">
        <f t="shared" si="342"/>
        <v>0</v>
      </c>
      <c r="Y146" s="896" t="str">
        <f>IFERROR((X147/X146),"0")</f>
        <v>0</v>
      </c>
      <c r="Z146" s="528"/>
      <c r="AA146" s="898">
        <v>233.26</v>
      </c>
      <c r="AB146" s="898">
        <v>103.68</v>
      </c>
      <c r="AC146" s="898">
        <v>0</v>
      </c>
      <c r="AD146" s="900">
        <f t="shared" ref="AD146" si="477">IFERROR((AC146/AB146),"-")</f>
        <v>0</v>
      </c>
      <c r="AE146" s="2"/>
      <c r="AF146" s="886">
        <v>911.36</v>
      </c>
      <c r="AG146" s="886"/>
      <c r="AH146" s="884">
        <v>0</v>
      </c>
      <c r="AI146" s="886"/>
      <c r="AJ146" s="886"/>
      <c r="AK146" s="884">
        <f t="shared" ref="AK146" si="478">AF146+AG146+AH146+AI146+AJ146+AC146</f>
        <v>911.36</v>
      </c>
      <c r="AL146" s="884">
        <v>1015.0599999999997</v>
      </c>
      <c r="AM146" s="878">
        <f t="shared" ref="AM146" si="479">IFERROR((AK146/AL146),"-")</f>
        <v>0.89783855141568014</v>
      </c>
      <c r="AN146" s="2"/>
      <c r="AO146" s="884">
        <v>1144.6199999999999</v>
      </c>
      <c r="AP146" s="884">
        <f t="shared" ref="AP146" si="480">AO146-AK146</f>
        <v>233.25999999999988</v>
      </c>
      <c r="AV146" s="4" t="str">
        <f t="shared" si="461"/>
        <v>Escavação 1ª e 2ª categoria</v>
      </c>
      <c r="AW146" s="4" t="str">
        <f t="shared" si="462"/>
        <v xml:space="preserve">   Escavação, carga, transporte, descarga e espalhamento de solo de 1ª /2ª categoria para Retaludamento</v>
      </c>
    </row>
    <row r="147" spans="1:49" ht="15" customHeight="1" outlineLevel="2">
      <c r="A147" s="545" t="str">
        <f t="shared" ref="A147" si="481">A146</f>
        <v>N</v>
      </c>
      <c r="B147" s="526"/>
      <c r="C147" s="526"/>
      <c r="D147" s="527" t="s">
        <v>353</v>
      </c>
      <c r="E147" s="893"/>
      <c r="F147" s="902"/>
      <c r="G147" s="528"/>
      <c r="H147" s="549" t="s">
        <v>38</v>
      </c>
      <c r="I147" s="711">
        <v>0</v>
      </c>
      <c r="J147" s="897"/>
      <c r="K147" s="528"/>
      <c r="L147" s="549" t="s">
        <v>38</v>
      </c>
      <c r="M147" s="711">
        <f t="shared" si="348"/>
        <v>0</v>
      </c>
      <c r="N147" s="897"/>
      <c r="O147" s="528"/>
      <c r="P147" s="711">
        <v>0</v>
      </c>
      <c r="Q147" s="711">
        <v>0</v>
      </c>
      <c r="R147" s="711">
        <v>0</v>
      </c>
      <c r="S147" s="711">
        <v>0</v>
      </c>
      <c r="T147" s="711">
        <v>0</v>
      </c>
      <c r="U147" s="711">
        <v>0</v>
      </c>
      <c r="V147" s="711">
        <v>0</v>
      </c>
      <c r="W147" s="528"/>
      <c r="X147" s="711">
        <f t="shared" si="342"/>
        <v>0</v>
      </c>
      <c r="Y147" s="897"/>
      <c r="Z147" s="528"/>
      <c r="AA147" s="899"/>
      <c r="AB147" s="899"/>
      <c r="AC147" s="899"/>
      <c r="AD147" s="901"/>
      <c r="AE147" s="2"/>
      <c r="AF147" s="926"/>
      <c r="AG147" s="926"/>
      <c r="AH147" s="885"/>
      <c r="AI147" s="926"/>
      <c r="AJ147" s="926"/>
      <c r="AK147" s="885"/>
      <c r="AL147" s="885"/>
      <c r="AM147" s="879"/>
      <c r="AN147" s="2"/>
      <c r="AO147" s="886"/>
      <c r="AP147" s="886"/>
      <c r="AV147" s="4" t="str">
        <f t="shared" si="461"/>
        <v>Escavação 1ª e 2ª categoria</v>
      </c>
      <c r="AW147" s="4" t="str">
        <f t="shared" si="462"/>
        <v xml:space="preserve">   Escavação, carga, transporte, descarga e espalhamento de solo de 1ª /2ª categoria para Retaludamento</v>
      </c>
    </row>
    <row r="148" spans="1:49" ht="15" customHeight="1" outlineLevel="2">
      <c r="A148" s="525" t="str">
        <f t="shared" ref="A148" si="482">IF(SUM(P148:V149)&gt;0,"S","N")</f>
        <v>N</v>
      </c>
      <c r="B148" s="526">
        <v>1069767</v>
      </c>
      <c r="C148" s="526" t="s">
        <v>354</v>
      </c>
      <c r="D148" s="527" t="s">
        <v>355</v>
      </c>
      <c r="E148" s="892" t="s">
        <v>249</v>
      </c>
      <c r="F148" s="902" t="s">
        <v>36</v>
      </c>
      <c r="G148" s="528"/>
      <c r="H148" s="546" t="s">
        <v>37</v>
      </c>
      <c r="I148" s="711">
        <v>2520</v>
      </c>
      <c r="J148" s="896">
        <f>IFERROR((I149/I148),"-")</f>
        <v>0</v>
      </c>
      <c r="K148" s="528"/>
      <c r="L148" s="546" t="s">
        <v>37</v>
      </c>
      <c r="M148" s="711">
        <f t="shared" si="348"/>
        <v>0</v>
      </c>
      <c r="N148" s="896" t="str">
        <f>IFERROR((M149/M148),"-")</f>
        <v>-</v>
      </c>
      <c r="O148" s="528"/>
      <c r="P148" s="547">
        <v>0</v>
      </c>
      <c r="Q148" s="547">
        <v>0</v>
      </c>
      <c r="R148" s="547">
        <v>0</v>
      </c>
      <c r="S148" s="547">
        <v>0</v>
      </c>
      <c r="T148" s="547">
        <v>0</v>
      </c>
      <c r="U148" s="547">
        <v>0</v>
      </c>
      <c r="V148" s="548">
        <v>0</v>
      </c>
      <c r="W148" s="528"/>
      <c r="X148" s="711">
        <f t="shared" si="342"/>
        <v>0</v>
      </c>
      <c r="Y148" s="896" t="str">
        <f>IFERROR((X149/X148),"0")</f>
        <v>0</v>
      </c>
      <c r="Z148" s="528"/>
      <c r="AA148" s="898">
        <v>1437.68</v>
      </c>
      <c r="AB148" s="898">
        <v>1327.08</v>
      </c>
      <c r="AC148" s="898">
        <v>0</v>
      </c>
      <c r="AD148" s="900">
        <f t="shared" ref="AD148" si="483">IFERROR((AC148/AB148),"-")</f>
        <v>0</v>
      </c>
      <c r="AE148" s="2"/>
      <c r="AF148" s="886">
        <v>22528.51</v>
      </c>
      <c r="AG148" s="886">
        <v>3214.9070000000002</v>
      </c>
      <c r="AH148" s="884">
        <v>0</v>
      </c>
      <c r="AI148" s="886">
        <v>2809.9479999999999</v>
      </c>
      <c r="AJ148" s="886">
        <v>-231.08</v>
      </c>
      <c r="AK148" s="884">
        <f t="shared" ref="AK148" si="484">AF148+AG148+AH148+AI148+AJ148+AC148</f>
        <v>28322.284999999996</v>
      </c>
      <c r="AL148" s="884">
        <v>30234.449999999972</v>
      </c>
      <c r="AM148" s="878">
        <f t="shared" ref="AM148" si="485">IFERROR((AK148/AL148),"-")</f>
        <v>0.93675542303564385</v>
      </c>
      <c r="AN148" s="2"/>
      <c r="AO148" s="884">
        <v>30845.01</v>
      </c>
      <c r="AP148" s="884">
        <f t="shared" ref="AP148" si="486">AO148-AK148</f>
        <v>2522.7250000000022</v>
      </c>
      <c r="AV148" s="4" t="str">
        <f t="shared" si="461"/>
        <v>Escavação 1ª e 2ª categoria</v>
      </c>
      <c r="AW148" s="4" t="str">
        <f t="shared" si="462"/>
        <v xml:space="preserve">   Escavação, carga, transporte, descarga e espalhamento de solo de 1ª /2ª categoria para Retaludamento - C04</v>
      </c>
    </row>
    <row r="149" spans="1:49" ht="15" customHeight="1" outlineLevel="2">
      <c r="A149" s="525" t="str">
        <f t="shared" ref="A149" si="487">A148</f>
        <v>N</v>
      </c>
      <c r="B149" s="526"/>
      <c r="C149" s="526"/>
      <c r="D149" s="527" t="s">
        <v>355</v>
      </c>
      <c r="E149" s="893"/>
      <c r="F149" s="902"/>
      <c r="G149" s="528"/>
      <c r="H149" s="549" t="s">
        <v>38</v>
      </c>
      <c r="I149" s="711">
        <v>0</v>
      </c>
      <c r="J149" s="897"/>
      <c r="K149" s="528"/>
      <c r="L149" s="549" t="s">
        <v>38</v>
      </c>
      <c r="M149" s="711">
        <f t="shared" si="348"/>
        <v>0</v>
      </c>
      <c r="N149" s="897"/>
      <c r="O149" s="528"/>
      <c r="P149" s="711">
        <v>0</v>
      </c>
      <c r="Q149" s="711">
        <v>0</v>
      </c>
      <c r="R149" s="711">
        <v>0</v>
      </c>
      <c r="S149" s="711">
        <v>0</v>
      </c>
      <c r="T149" s="711">
        <v>0</v>
      </c>
      <c r="U149" s="711">
        <v>0</v>
      </c>
      <c r="V149" s="711">
        <v>0</v>
      </c>
      <c r="W149" s="528"/>
      <c r="X149" s="711">
        <f t="shared" si="342"/>
        <v>0</v>
      </c>
      <c r="Y149" s="897"/>
      <c r="Z149" s="528"/>
      <c r="AA149" s="899"/>
      <c r="AB149" s="899"/>
      <c r="AC149" s="899"/>
      <c r="AD149" s="901"/>
      <c r="AE149" s="2"/>
      <c r="AF149" s="926"/>
      <c r="AG149" s="926"/>
      <c r="AH149" s="885"/>
      <c r="AI149" s="926"/>
      <c r="AJ149" s="926"/>
      <c r="AK149" s="885"/>
      <c r="AL149" s="885"/>
      <c r="AM149" s="879"/>
      <c r="AN149" s="2"/>
      <c r="AO149" s="886"/>
      <c r="AP149" s="886"/>
      <c r="AV149" s="4" t="str">
        <f t="shared" si="461"/>
        <v>Escavação 1ª e 2ª categoria</v>
      </c>
      <c r="AW149" s="4" t="str">
        <f t="shared" si="462"/>
        <v xml:space="preserve">   Escavação, carga, transporte, descarga e espalhamento de solo de 1ª /2ª categoria para Retaludamento - C04</v>
      </c>
    </row>
    <row r="150" spans="1:49" ht="15" customHeight="1" outlineLevel="2">
      <c r="A150" s="545" t="str">
        <f t="shared" ref="A150" si="488">IF(SUM(P150:V151)&gt;0,"S","N")</f>
        <v>N</v>
      </c>
      <c r="B150" s="526">
        <v>1059623</v>
      </c>
      <c r="C150" s="526" t="s">
        <v>356</v>
      </c>
      <c r="D150" s="527" t="s">
        <v>357</v>
      </c>
      <c r="E150" s="892" t="s">
        <v>358</v>
      </c>
      <c r="F150" s="902" t="s">
        <v>36</v>
      </c>
      <c r="G150" s="528"/>
      <c r="H150" s="546" t="s">
        <v>37</v>
      </c>
      <c r="I150" s="711">
        <v>0</v>
      </c>
      <c r="J150" s="896" t="str">
        <f>IFERROR((I151/I150),"-")</f>
        <v>-</v>
      </c>
      <c r="K150" s="528"/>
      <c r="L150" s="546" t="s">
        <v>37</v>
      </c>
      <c r="M150" s="711">
        <f t="shared" si="348"/>
        <v>0</v>
      </c>
      <c r="N150" s="896" t="str">
        <f>IFERROR((M151/M150),"-")</f>
        <v>-</v>
      </c>
      <c r="O150" s="528"/>
      <c r="P150" s="547">
        <v>0</v>
      </c>
      <c r="Q150" s="547">
        <v>0</v>
      </c>
      <c r="R150" s="547">
        <v>0</v>
      </c>
      <c r="S150" s="547">
        <v>0</v>
      </c>
      <c r="T150" s="547">
        <v>0</v>
      </c>
      <c r="U150" s="547">
        <v>0</v>
      </c>
      <c r="V150" s="548">
        <v>0</v>
      </c>
      <c r="W150" s="528"/>
      <c r="X150" s="711">
        <f t="shared" si="342"/>
        <v>0</v>
      </c>
      <c r="Y150" s="896" t="str">
        <f>IFERROR((X151/X150),"0")</f>
        <v>0</v>
      </c>
      <c r="Z150" s="528"/>
      <c r="AA150" s="898">
        <v>3648.12</v>
      </c>
      <c r="AB150" s="898">
        <v>1989.7599999999998</v>
      </c>
      <c r="AC150" s="898">
        <v>0</v>
      </c>
      <c r="AD150" s="900">
        <f t="shared" ref="AD150" si="489">IFERROR((AC150/AB150),"-")</f>
        <v>0</v>
      </c>
      <c r="AE150" s="2"/>
      <c r="AF150" s="886">
        <v>53398.955000000002</v>
      </c>
      <c r="AG150" s="886"/>
      <c r="AH150" s="884">
        <v>0</v>
      </c>
      <c r="AI150" s="886"/>
      <c r="AJ150" s="886"/>
      <c r="AK150" s="884">
        <f t="shared" ref="AK150" si="490">AF150+AG150+AH150+AI150+AJ150+AC150</f>
        <v>53398.955000000002</v>
      </c>
      <c r="AL150" s="884">
        <v>57955.149999999958</v>
      </c>
      <c r="AM150" s="878">
        <f t="shared" ref="AM150" si="491">IFERROR((AK150/AL150),"-")</f>
        <v>0.92138412203229636</v>
      </c>
      <c r="AN150" s="2"/>
      <c r="AO150" s="884">
        <v>59613.51</v>
      </c>
      <c r="AP150" s="884">
        <f t="shared" ref="AP150" si="492">AO150-AK150</f>
        <v>6214.5550000000003</v>
      </c>
      <c r="AV150" s="4" t="str">
        <f t="shared" si="461"/>
        <v>Escavação 1ª e 2ª categoria</v>
      </c>
      <c r="AW150" s="4" t="str">
        <f t="shared" si="462"/>
        <v xml:space="preserve">   Seg. 2.3-C11 - Escavação, carga e transporte de material 1ª/2ª categoria</v>
      </c>
    </row>
    <row r="151" spans="1:49" ht="15" customHeight="1" outlineLevel="2">
      <c r="A151" s="545" t="str">
        <f t="shared" ref="A151" si="493">A150</f>
        <v>N</v>
      </c>
      <c r="B151" s="526"/>
      <c r="C151" s="526"/>
      <c r="D151" s="527" t="s">
        <v>357</v>
      </c>
      <c r="E151" s="893"/>
      <c r="F151" s="902"/>
      <c r="G151" s="528"/>
      <c r="H151" s="549" t="s">
        <v>38</v>
      </c>
      <c r="I151" s="711">
        <v>0</v>
      </c>
      <c r="J151" s="897"/>
      <c r="K151" s="528"/>
      <c r="L151" s="549" t="s">
        <v>38</v>
      </c>
      <c r="M151" s="711">
        <f t="shared" si="348"/>
        <v>0</v>
      </c>
      <c r="N151" s="897"/>
      <c r="O151" s="528"/>
      <c r="P151" s="711">
        <v>0</v>
      </c>
      <c r="Q151" s="711">
        <v>0</v>
      </c>
      <c r="R151" s="711">
        <v>0</v>
      </c>
      <c r="S151" s="711">
        <v>0</v>
      </c>
      <c r="T151" s="711">
        <v>0</v>
      </c>
      <c r="U151" s="711">
        <v>0</v>
      </c>
      <c r="V151" s="711">
        <v>0</v>
      </c>
      <c r="W151" s="528"/>
      <c r="X151" s="711">
        <f t="shared" si="342"/>
        <v>0</v>
      </c>
      <c r="Y151" s="897"/>
      <c r="Z151" s="528"/>
      <c r="AA151" s="899"/>
      <c r="AB151" s="899"/>
      <c r="AC151" s="899"/>
      <c r="AD151" s="901"/>
      <c r="AE151" s="2"/>
      <c r="AF151" s="926"/>
      <c r="AG151" s="926"/>
      <c r="AH151" s="885"/>
      <c r="AI151" s="926"/>
      <c r="AJ151" s="926"/>
      <c r="AK151" s="885"/>
      <c r="AL151" s="885"/>
      <c r="AM151" s="879"/>
      <c r="AN151" s="2"/>
      <c r="AO151" s="886"/>
      <c r="AP151" s="886"/>
      <c r="AV151" s="4" t="str">
        <f t="shared" si="461"/>
        <v>Escavação 1ª e 2ª categoria</v>
      </c>
      <c r="AW151" s="4" t="str">
        <f t="shared" si="462"/>
        <v xml:space="preserve">   Seg. 2.3-C11 - Escavação, carga e transporte de material 1ª/2ª categoria</v>
      </c>
    </row>
    <row r="152" spans="1:49" ht="15" customHeight="1" outlineLevel="2">
      <c r="A152" s="545" t="str">
        <f t="shared" ref="A152" si="494">IF(SUM(P152:V153)&gt;0,"S","N")</f>
        <v>N</v>
      </c>
      <c r="B152" s="526">
        <v>1069863</v>
      </c>
      <c r="C152" s="526" t="s">
        <v>359</v>
      </c>
      <c r="D152" s="527" t="s">
        <v>360</v>
      </c>
      <c r="E152" s="892" t="s">
        <v>361</v>
      </c>
      <c r="F152" s="902" t="s">
        <v>36</v>
      </c>
      <c r="G152" s="528"/>
      <c r="H152" s="546" t="s">
        <v>37</v>
      </c>
      <c r="I152" s="711">
        <v>0</v>
      </c>
      <c r="J152" s="896" t="str">
        <f>IFERROR((I153/I152),"-")</f>
        <v>-</v>
      </c>
      <c r="K152" s="528"/>
      <c r="L152" s="546" t="s">
        <v>37</v>
      </c>
      <c r="M152" s="711">
        <f t="shared" si="348"/>
        <v>0</v>
      </c>
      <c r="N152" s="896" t="str">
        <f>IFERROR((M153/M152),"-")</f>
        <v>-</v>
      </c>
      <c r="O152" s="528"/>
      <c r="P152" s="547">
        <v>0</v>
      </c>
      <c r="Q152" s="547">
        <v>0</v>
      </c>
      <c r="R152" s="547">
        <v>0</v>
      </c>
      <c r="S152" s="547">
        <v>0</v>
      </c>
      <c r="T152" s="547">
        <v>0</v>
      </c>
      <c r="U152" s="547">
        <v>0</v>
      </c>
      <c r="V152" s="548">
        <v>0</v>
      </c>
      <c r="W152" s="528"/>
      <c r="X152" s="711">
        <f t="shared" si="342"/>
        <v>0</v>
      </c>
      <c r="Y152" s="896" t="str">
        <f>IFERROR((X153/X152),"0")</f>
        <v>0</v>
      </c>
      <c r="Z152" s="528"/>
      <c r="AA152" s="898">
        <v>735.07</v>
      </c>
      <c r="AB152" s="898">
        <v>735.07</v>
      </c>
      <c r="AC152" s="898">
        <v>0</v>
      </c>
      <c r="AD152" s="900">
        <f t="shared" ref="AD152" si="495">IFERROR((AC152/AB152),"-")</f>
        <v>0</v>
      </c>
      <c r="AE152" s="2"/>
      <c r="AF152" s="886">
        <v>1677.2</v>
      </c>
      <c r="AG152" s="886"/>
      <c r="AH152" s="884">
        <v>0</v>
      </c>
      <c r="AI152" s="886"/>
      <c r="AJ152" s="886"/>
      <c r="AK152" s="884">
        <f t="shared" ref="AK152" si="496">AF152+AG152+AH152+AI152+AJ152+AC152</f>
        <v>1677.2</v>
      </c>
      <c r="AL152" s="884">
        <v>2149</v>
      </c>
      <c r="AM152" s="878">
        <f t="shared" ref="AM152" si="497">IFERROR((AK152/AL152),"-")</f>
        <v>0.78045602605863196</v>
      </c>
      <c r="AN152" s="2"/>
      <c r="AO152" s="884">
        <v>2149</v>
      </c>
      <c r="AP152" s="884">
        <f t="shared" ref="AP152" si="498">AO152-AK152</f>
        <v>471.79999999999995</v>
      </c>
      <c r="AV152" s="4" t="str">
        <f t="shared" si="461"/>
        <v>Escavação 1ª e 2ª categoria</v>
      </c>
      <c r="AW152" s="4" t="str">
        <f t="shared" si="462"/>
        <v xml:space="preserve">   Escavação, carga e transporte de material 1ª/2ª categoria - Seg.2.3 acesso km 124+433</v>
      </c>
    </row>
    <row r="153" spans="1:49" ht="15" customHeight="1" outlineLevel="2">
      <c r="A153" s="545" t="str">
        <f t="shared" ref="A153" si="499">A152</f>
        <v>N</v>
      </c>
      <c r="B153" s="526"/>
      <c r="C153" s="526"/>
      <c r="D153" s="527" t="s">
        <v>360</v>
      </c>
      <c r="E153" s="893"/>
      <c r="F153" s="902"/>
      <c r="G153" s="528"/>
      <c r="H153" s="549" t="s">
        <v>38</v>
      </c>
      <c r="I153" s="711">
        <v>0</v>
      </c>
      <c r="J153" s="897"/>
      <c r="K153" s="528"/>
      <c r="L153" s="549" t="s">
        <v>38</v>
      </c>
      <c r="M153" s="711">
        <f t="shared" si="348"/>
        <v>0</v>
      </c>
      <c r="N153" s="897"/>
      <c r="O153" s="528"/>
      <c r="P153" s="711">
        <v>0</v>
      </c>
      <c r="Q153" s="711">
        <v>0</v>
      </c>
      <c r="R153" s="711">
        <v>0</v>
      </c>
      <c r="S153" s="711">
        <v>0</v>
      </c>
      <c r="T153" s="711">
        <v>0</v>
      </c>
      <c r="U153" s="711">
        <v>0</v>
      </c>
      <c r="V153" s="711">
        <v>0</v>
      </c>
      <c r="W153" s="528"/>
      <c r="X153" s="711">
        <f t="shared" si="342"/>
        <v>0</v>
      </c>
      <c r="Y153" s="897"/>
      <c r="Z153" s="528"/>
      <c r="AA153" s="899"/>
      <c r="AB153" s="899"/>
      <c r="AC153" s="899"/>
      <c r="AD153" s="901"/>
      <c r="AE153" s="2"/>
      <c r="AF153" s="926"/>
      <c r="AG153" s="926"/>
      <c r="AH153" s="885"/>
      <c r="AI153" s="926"/>
      <c r="AJ153" s="926"/>
      <c r="AK153" s="885"/>
      <c r="AL153" s="885"/>
      <c r="AM153" s="879"/>
      <c r="AN153" s="2"/>
      <c r="AO153" s="886"/>
      <c r="AP153" s="886"/>
      <c r="AV153" s="4" t="str">
        <f t="shared" si="461"/>
        <v>Escavação 1ª e 2ª categoria</v>
      </c>
      <c r="AW153" s="4" t="str">
        <f t="shared" si="462"/>
        <v xml:space="preserve">   Escavação, carga e transporte de material 1ª/2ª categoria - Seg.2.3 acesso km 124+433</v>
      </c>
    </row>
    <row r="154" spans="1:49" ht="11.45" customHeight="1" outlineLevel="2">
      <c r="A154" s="545" t="str">
        <f t="shared" ref="A154" si="500">IF(SUM(P154:V155)&gt;0,"S","N")</f>
        <v>N</v>
      </c>
      <c r="B154" s="526">
        <v>1069864</v>
      </c>
      <c r="C154" s="526" t="s">
        <v>362</v>
      </c>
      <c r="D154" s="527" t="s">
        <v>363</v>
      </c>
      <c r="E154" s="892" t="s">
        <v>364</v>
      </c>
      <c r="F154" s="902" t="s">
        <v>36</v>
      </c>
      <c r="G154" s="528"/>
      <c r="H154" s="546" t="s">
        <v>37</v>
      </c>
      <c r="I154" s="711">
        <v>0</v>
      </c>
      <c r="J154" s="896" t="str">
        <f>IFERROR((I155/I154),"-")</f>
        <v>-</v>
      </c>
      <c r="K154" s="528"/>
      <c r="L154" s="546" t="s">
        <v>37</v>
      </c>
      <c r="M154" s="711">
        <f t="shared" si="348"/>
        <v>0</v>
      </c>
      <c r="N154" s="896" t="str">
        <f>IFERROR((M155/M154),"-")</f>
        <v>-</v>
      </c>
      <c r="O154" s="528"/>
      <c r="P154" s="547">
        <v>0</v>
      </c>
      <c r="Q154" s="547">
        <v>0</v>
      </c>
      <c r="R154" s="547">
        <v>0</v>
      </c>
      <c r="S154" s="547">
        <v>0</v>
      </c>
      <c r="T154" s="547">
        <v>0</v>
      </c>
      <c r="U154" s="547">
        <v>0</v>
      </c>
      <c r="V154" s="548">
        <v>0</v>
      </c>
      <c r="W154" s="528"/>
      <c r="X154" s="711">
        <f t="shared" si="342"/>
        <v>0</v>
      </c>
      <c r="Y154" s="896" t="str">
        <f>IFERROR((X155/X154),"0")</f>
        <v>0</v>
      </c>
      <c r="Z154" s="528"/>
      <c r="AA154" s="898">
        <v>1814</v>
      </c>
      <c r="AB154" s="898">
        <v>0</v>
      </c>
      <c r="AC154" s="898">
        <v>0</v>
      </c>
      <c r="AD154" s="900" t="str">
        <f t="shared" ref="AD154" si="501">IFERROR((AC154/AB154),"-")</f>
        <v>-</v>
      </c>
      <c r="AE154" s="2"/>
      <c r="AF154" s="886">
        <v>0</v>
      </c>
      <c r="AG154" s="886"/>
      <c r="AH154" s="884">
        <v>0</v>
      </c>
      <c r="AI154" s="886"/>
      <c r="AJ154" s="886"/>
      <c r="AK154" s="884">
        <f t="shared" ref="AK154" si="502">AF154+AG154+AH154+AI154+AJ154+AC154</f>
        <v>0</v>
      </c>
      <c r="AL154" s="884">
        <v>0</v>
      </c>
      <c r="AM154" s="878" t="str">
        <f t="shared" ref="AM154" si="503">IFERROR((AK154/AL154),"-")</f>
        <v>-</v>
      </c>
      <c r="AN154" s="2"/>
      <c r="AO154" s="884">
        <v>1814</v>
      </c>
      <c r="AP154" s="884">
        <f t="shared" ref="AP154" si="504">AO154-AK154</f>
        <v>1814</v>
      </c>
      <c r="AV154" s="4" t="str">
        <f t="shared" si="461"/>
        <v>Escavação 1ª e 2ª categoria</v>
      </c>
      <c r="AW154" s="4" t="str">
        <f t="shared" si="462"/>
        <v xml:space="preserve">   Escavação, carga e transporte de material 1ª/2ª categoria - Seg.2.3 acesso km 128+747</v>
      </c>
    </row>
    <row r="155" spans="1:49" ht="11.45" customHeight="1" outlineLevel="2">
      <c r="A155" s="545" t="str">
        <f t="shared" ref="A155" si="505">A154</f>
        <v>N</v>
      </c>
      <c r="B155" s="526"/>
      <c r="C155" s="526"/>
      <c r="D155" s="527" t="s">
        <v>363</v>
      </c>
      <c r="E155" s="893"/>
      <c r="F155" s="902"/>
      <c r="G155" s="528"/>
      <c r="H155" s="549" t="s">
        <v>38</v>
      </c>
      <c r="I155" s="711">
        <v>0</v>
      </c>
      <c r="J155" s="897"/>
      <c r="K155" s="528"/>
      <c r="L155" s="549" t="s">
        <v>38</v>
      </c>
      <c r="M155" s="711">
        <f t="shared" si="348"/>
        <v>0</v>
      </c>
      <c r="N155" s="897"/>
      <c r="O155" s="528"/>
      <c r="P155" s="711">
        <v>0</v>
      </c>
      <c r="Q155" s="711">
        <v>0</v>
      </c>
      <c r="R155" s="711">
        <v>0</v>
      </c>
      <c r="S155" s="711">
        <v>0</v>
      </c>
      <c r="T155" s="711">
        <v>0</v>
      </c>
      <c r="U155" s="711">
        <v>0</v>
      </c>
      <c r="V155" s="711">
        <v>0</v>
      </c>
      <c r="W155" s="528"/>
      <c r="X155" s="711">
        <f t="shared" si="342"/>
        <v>0</v>
      </c>
      <c r="Y155" s="897"/>
      <c r="Z155" s="528"/>
      <c r="AA155" s="899"/>
      <c r="AB155" s="899"/>
      <c r="AC155" s="899"/>
      <c r="AD155" s="901"/>
      <c r="AE155" s="2"/>
      <c r="AF155" s="926"/>
      <c r="AG155" s="926"/>
      <c r="AH155" s="885"/>
      <c r="AI155" s="926"/>
      <c r="AJ155" s="926"/>
      <c r="AK155" s="885"/>
      <c r="AL155" s="885"/>
      <c r="AM155" s="879"/>
      <c r="AN155" s="2"/>
      <c r="AO155" s="886"/>
      <c r="AP155" s="886"/>
      <c r="AV155" s="4" t="str">
        <f t="shared" si="461"/>
        <v>Escavação 1ª e 2ª categoria</v>
      </c>
      <c r="AW155" s="4" t="str">
        <f t="shared" si="462"/>
        <v xml:space="preserve">   Escavação, carga e transporte de material 1ª/2ª categoria - Seg.2.3 acesso km 128+747</v>
      </c>
    </row>
    <row r="156" spans="1:49" ht="14.45" customHeight="1" outlineLevel="2">
      <c r="A156" s="545" t="str">
        <f t="shared" ref="A156" si="506">IF(SUM(P156:V157)&gt;0,"S","N")</f>
        <v>N</v>
      </c>
      <c r="B156" s="526">
        <v>1059473</v>
      </c>
      <c r="C156" s="526" t="s">
        <v>365</v>
      </c>
      <c r="D156" s="527" t="s">
        <v>366</v>
      </c>
      <c r="E156" s="892" t="s">
        <v>246</v>
      </c>
      <c r="F156" s="902" t="s">
        <v>36</v>
      </c>
      <c r="G156" s="528"/>
      <c r="H156" s="546" t="s">
        <v>37</v>
      </c>
      <c r="I156" s="711">
        <v>0</v>
      </c>
      <c r="J156" s="896" t="str">
        <f>IFERROR((I157/I156),"-")</f>
        <v>-</v>
      </c>
      <c r="K156" s="528"/>
      <c r="L156" s="546" t="s">
        <v>37</v>
      </c>
      <c r="M156" s="711">
        <f t="shared" si="348"/>
        <v>0</v>
      </c>
      <c r="N156" s="896" t="str">
        <f>IFERROR((M157/M156),"-")</f>
        <v>-</v>
      </c>
      <c r="O156" s="528"/>
      <c r="P156" s="547">
        <v>0</v>
      </c>
      <c r="Q156" s="547">
        <v>0</v>
      </c>
      <c r="R156" s="547">
        <v>0</v>
      </c>
      <c r="S156" s="547">
        <v>0</v>
      </c>
      <c r="T156" s="547">
        <v>0</v>
      </c>
      <c r="U156" s="547">
        <v>0</v>
      </c>
      <c r="V156" s="548">
        <v>0</v>
      </c>
      <c r="W156" s="528"/>
      <c r="X156" s="711">
        <f t="shared" si="342"/>
        <v>0</v>
      </c>
      <c r="Y156" s="896" t="str">
        <f>IFERROR((X157/X156),"0")</f>
        <v>0</v>
      </c>
      <c r="Z156" s="528"/>
      <c r="AA156" s="898">
        <v>19068.39</v>
      </c>
      <c r="AB156" s="898">
        <v>19068.390000000003</v>
      </c>
      <c r="AC156" s="898">
        <v>0</v>
      </c>
      <c r="AD156" s="900">
        <f t="shared" ref="AD156" si="507">IFERROR((AC156/AB156),"-")</f>
        <v>0</v>
      </c>
      <c r="AE156" s="2"/>
      <c r="AF156" s="886">
        <v>69209.843999999997</v>
      </c>
      <c r="AG156" s="886">
        <v>34675.262999999999</v>
      </c>
      <c r="AH156" s="884">
        <v>0</v>
      </c>
      <c r="AI156" s="886">
        <v>68182.112999999998</v>
      </c>
      <c r="AJ156" s="886">
        <v>18671.53</v>
      </c>
      <c r="AK156" s="884">
        <f t="shared" ref="AK156" si="508">AF156+AG156+AH156+AI156+AJ156+AC156</f>
        <v>190738.74999999997</v>
      </c>
      <c r="AL156" s="884">
        <v>209806.6999999996</v>
      </c>
      <c r="AM156" s="878">
        <f t="shared" ref="AM156" si="509">IFERROR((AK156/AL156),"-")</f>
        <v>0.90911658207292867</v>
      </c>
      <c r="AN156" s="2"/>
      <c r="AO156" s="884">
        <v>209806.81</v>
      </c>
      <c r="AP156" s="884">
        <f t="shared" ref="AP156" si="510">AO156-AK156</f>
        <v>19068.060000000027</v>
      </c>
      <c r="AV156" s="4" t="str">
        <f t="shared" si="461"/>
        <v>Escavação 1ª e 2ª categoria</v>
      </c>
      <c r="AW156" s="4" t="str">
        <f t="shared" si="462"/>
        <v xml:space="preserve">   Escavação, carga e transporte de material 1ª/2ª categoria</v>
      </c>
    </row>
    <row r="157" spans="1:49" ht="14.45" customHeight="1" outlineLevel="2">
      <c r="A157" s="545" t="str">
        <f t="shared" ref="A157" si="511">A156</f>
        <v>N</v>
      </c>
      <c r="B157" s="526"/>
      <c r="C157" s="526"/>
      <c r="D157" s="527" t="s">
        <v>366</v>
      </c>
      <c r="E157" s="893"/>
      <c r="F157" s="902"/>
      <c r="G157" s="528"/>
      <c r="H157" s="549" t="s">
        <v>38</v>
      </c>
      <c r="I157" s="711">
        <v>0</v>
      </c>
      <c r="J157" s="897"/>
      <c r="K157" s="528"/>
      <c r="L157" s="549" t="s">
        <v>38</v>
      </c>
      <c r="M157" s="711">
        <f t="shared" si="348"/>
        <v>0</v>
      </c>
      <c r="N157" s="897"/>
      <c r="O157" s="528"/>
      <c r="P157" s="711">
        <v>0</v>
      </c>
      <c r="Q157" s="711">
        <v>0</v>
      </c>
      <c r="R157" s="711">
        <v>0</v>
      </c>
      <c r="S157" s="711">
        <v>0</v>
      </c>
      <c r="T157" s="711">
        <v>0</v>
      </c>
      <c r="U157" s="711">
        <v>0</v>
      </c>
      <c r="V157" s="711">
        <v>0</v>
      </c>
      <c r="W157" s="528"/>
      <c r="X157" s="711">
        <f t="shared" si="342"/>
        <v>0</v>
      </c>
      <c r="Y157" s="897"/>
      <c r="Z157" s="528"/>
      <c r="AA157" s="899"/>
      <c r="AB157" s="899"/>
      <c r="AC157" s="899"/>
      <c r="AD157" s="901"/>
      <c r="AE157" s="2"/>
      <c r="AF157" s="926"/>
      <c r="AG157" s="926"/>
      <c r="AH157" s="885"/>
      <c r="AI157" s="926"/>
      <c r="AJ157" s="926"/>
      <c r="AK157" s="885"/>
      <c r="AL157" s="885"/>
      <c r="AM157" s="879"/>
      <c r="AN157" s="2"/>
      <c r="AO157" s="886"/>
      <c r="AP157" s="886"/>
      <c r="AV157" s="4" t="str">
        <f t="shared" si="461"/>
        <v>Escavação 1ª e 2ª categoria</v>
      </c>
      <c r="AW157" s="4" t="str">
        <f t="shared" si="462"/>
        <v xml:space="preserve">   Escavação, carga e transporte de material 1ª/2ª categoria</v>
      </c>
    </row>
    <row r="158" spans="1:49" ht="15" customHeight="1" outlineLevel="2">
      <c r="A158" s="545" t="str">
        <f t="shared" ref="A158" si="512">IF(SUM(P158:V159)&gt;0,"S","N")</f>
        <v>N</v>
      </c>
      <c r="B158" s="526">
        <v>1070001</v>
      </c>
      <c r="C158" s="526" t="s">
        <v>367</v>
      </c>
      <c r="D158" s="527" t="s">
        <v>368</v>
      </c>
      <c r="E158" s="892" t="s">
        <v>369</v>
      </c>
      <c r="F158" s="902" t="s">
        <v>36</v>
      </c>
      <c r="G158" s="528"/>
      <c r="H158" s="546" t="s">
        <v>37</v>
      </c>
      <c r="I158" s="711">
        <v>0</v>
      </c>
      <c r="J158" s="896" t="str">
        <f>IFERROR((I159/I158),"-")</f>
        <v>-</v>
      </c>
      <c r="K158" s="528"/>
      <c r="L158" s="546" t="s">
        <v>37</v>
      </c>
      <c r="M158" s="711">
        <f t="shared" si="348"/>
        <v>0</v>
      </c>
      <c r="N158" s="896" t="str">
        <f>IFERROR((M159/M158),"-")</f>
        <v>-</v>
      </c>
      <c r="O158" s="528"/>
      <c r="P158" s="547">
        <v>0</v>
      </c>
      <c r="Q158" s="547">
        <v>0</v>
      </c>
      <c r="R158" s="547">
        <v>0</v>
      </c>
      <c r="S158" s="547">
        <v>0</v>
      </c>
      <c r="T158" s="547">
        <v>0</v>
      </c>
      <c r="U158" s="547">
        <v>0</v>
      </c>
      <c r="V158" s="548">
        <v>0</v>
      </c>
      <c r="W158" s="528"/>
      <c r="X158" s="711">
        <f t="shared" si="342"/>
        <v>0</v>
      </c>
      <c r="Y158" s="896" t="str">
        <f>IFERROR((X159/X158),"0")</f>
        <v>0</v>
      </c>
      <c r="Z158" s="528"/>
      <c r="AA158" s="898">
        <v>0</v>
      </c>
      <c r="AB158" s="898">
        <v>0</v>
      </c>
      <c r="AC158" s="898">
        <v>0</v>
      </c>
      <c r="AD158" s="900" t="str">
        <f t="shared" ref="AD158" si="513">IFERROR((AC158/AB158),"-")</f>
        <v>-</v>
      </c>
      <c r="AE158" s="2"/>
      <c r="AF158" s="886">
        <v>4589.1899999999996</v>
      </c>
      <c r="AG158" s="886"/>
      <c r="AH158" s="884">
        <v>0</v>
      </c>
      <c r="AI158" s="886"/>
      <c r="AJ158" s="886"/>
      <c r="AK158" s="884">
        <f t="shared" ref="AK158" si="514">AF158+AG158+AH158+AI158+AJ158+AC158</f>
        <v>4589.1899999999996</v>
      </c>
      <c r="AL158" s="884">
        <v>4589.2</v>
      </c>
      <c r="AM158" s="878">
        <f t="shared" ref="AM158" si="515">IFERROR((AK158/AL158),"-")</f>
        <v>0.99999782097097534</v>
      </c>
      <c r="AN158" s="2"/>
      <c r="AO158" s="884">
        <v>4589.1899999999996</v>
      </c>
      <c r="AP158" s="884">
        <f t="shared" ref="AP158" si="516">AO158-AK158</f>
        <v>0</v>
      </c>
      <c r="AV158" s="4" t="str">
        <f t="shared" si="461"/>
        <v>Escavação 1ª e 2ª categoria</v>
      </c>
      <c r="AW158" s="4" t="str">
        <f t="shared" si="462"/>
        <v xml:space="preserve">   Sump 2.3</v>
      </c>
    </row>
    <row r="159" spans="1:49" ht="15" customHeight="1" outlineLevel="2">
      <c r="A159" s="545" t="str">
        <f t="shared" ref="A159" si="517">A158</f>
        <v>N</v>
      </c>
      <c r="B159" s="526"/>
      <c r="C159" s="526"/>
      <c r="D159" s="527" t="s">
        <v>368</v>
      </c>
      <c r="E159" s="893"/>
      <c r="F159" s="902"/>
      <c r="G159" s="528"/>
      <c r="H159" s="549" t="s">
        <v>38</v>
      </c>
      <c r="I159" s="711">
        <v>0</v>
      </c>
      <c r="J159" s="897"/>
      <c r="K159" s="528"/>
      <c r="L159" s="549" t="s">
        <v>38</v>
      </c>
      <c r="M159" s="711">
        <f t="shared" si="348"/>
        <v>0</v>
      </c>
      <c r="N159" s="897"/>
      <c r="O159" s="528"/>
      <c r="P159" s="711">
        <v>0</v>
      </c>
      <c r="Q159" s="711">
        <v>0</v>
      </c>
      <c r="R159" s="711">
        <v>0</v>
      </c>
      <c r="S159" s="711">
        <v>0</v>
      </c>
      <c r="T159" s="711">
        <v>0</v>
      </c>
      <c r="U159" s="711">
        <v>0</v>
      </c>
      <c r="V159" s="711">
        <v>0</v>
      </c>
      <c r="W159" s="528"/>
      <c r="X159" s="711">
        <f t="shared" si="342"/>
        <v>0</v>
      </c>
      <c r="Y159" s="897"/>
      <c r="Z159" s="528"/>
      <c r="AA159" s="899"/>
      <c r="AB159" s="899"/>
      <c r="AC159" s="899"/>
      <c r="AD159" s="901"/>
      <c r="AE159" s="2"/>
      <c r="AF159" s="926"/>
      <c r="AG159" s="926"/>
      <c r="AH159" s="885"/>
      <c r="AI159" s="926"/>
      <c r="AJ159" s="926"/>
      <c r="AK159" s="885"/>
      <c r="AL159" s="885"/>
      <c r="AM159" s="879"/>
      <c r="AN159" s="2"/>
      <c r="AO159" s="886"/>
      <c r="AP159" s="886"/>
      <c r="AV159" s="4" t="str">
        <f t="shared" si="461"/>
        <v>Escavação 1ª e 2ª categoria</v>
      </c>
      <c r="AW159" s="4" t="str">
        <f t="shared" si="462"/>
        <v xml:space="preserve">   Sump 2.3</v>
      </c>
    </row>
    <row r="160" spans="1:49" ht="15" customHeight="1" outlineLevel="2">
      <c r="A160" s="525" t="str">
        <f t="shared" ref="A160" si="518">IF(SUM(P160:V161)&gt;0,"S","N")</f>
        <v>N</v>
      </c>
      <c r="B160" s="526" t="s">
        <v>266</v>
      </c>
      <c r="C160" s="526" t="s">
        <v>266</v>
      </c>
      <c r="D160" s="527" t="s">
        <v>370</v>
      </c>
      <c r="E160" s="931" t="s">
        <v>371</v>
      </c>
      <c r="F160" s="902" t="s">
        <v>36</v>
      </c>
      <c r="G160" s="528"/>
      <c r="H160" s="546" t="s">
        <v>37</v>
      </c>
      <c r="I160" s="711">
        <v>0</v>
      </c>
      <c r="J160" s="896" t="str">
        <f t="shared" ref="J160" si="519">IFERROR((I161/I160),"-")</f>
        <v>-</v>
      </c>
      <c r="K160" s="528"/>
      <c r="L160" s="546" t="s">
        <v>37</v>
      </c>
      <c r="M160" s="711">
        <f t="shared" si="348"/>
        <v>0</v>
      </c>
      <c r="N160" s="896" t="str">
        <f>IFERROR((M161/M160),"-")</f>
        <v>-</v>
      </c>
      <c r="O160" s="528"/>
      <c r="P160" s="547">
        <v>0</v>
      </c>
      <c r="Q160" s="547">
        <v>0</v>
      </c>
      <c r="R160" s="547">
        <v>0</v>
      </c>
      <c r="S160" s="547">
        <v>0</v>
      </c>
      <c r="T160" s="547">
        <v>0</v>
      </c>
      <c r="U160" s="547">
        <v>0</v>
      </c>
      <c r="V160" s="548">
        <v>0</v>
      </c>
      <c r="W160" s="528"/>
      <c r="X160" s="711">
        <f t="shared" si="342"/>
        <v>0</v>
      </c>
      <c r="Y160" s="896" t="str">
        <f t="shared" ref="Y160" si="520">IFERROR((X161/X160),"-")</f>
        <v>-</v>
      </c>
      <c r="Z160" s="528"/>
      <c r="AA160" s="898">
        <v>0</v>
      </c>
      <c r="AB160" s="898">
        <v>0</v>
      </c>
      <c r="AC160" s="898">
        <v>0</v>
      </c>
      <c r="AD160" s="900" t="str">
        <f t="shared" ref="AD160" si="521">IFERROR((AC160/AB160),"-")</f>
        <v>-</v>
      </c>
      <c r="AE160" s="2"/>
      <c r="AF160" s="886">
        <v>0</v>
      </c>
      <c r="AG160" s="886"/>
      <c r="AH160" s="884">
        <v>0</v>
      </c>
      <c r="AI160" s="886"/>
      <c r="AJ160" s="886"/>
      <c r="AK160" s="884">
        <f t="shared" ref="AK160" si="522">AF160+AG160+AH160+AI160+AJ160+AC160</f>
        <v>0</v>
      </c>
      <c r="AL160" s="884">
        <v>0</v>
      </c>
      <c r="AM160" s="878" t="str">
        <f t="shared" ref="AM160" si="523">IFERROR((AK160/AL160),"-")</f>
        <v>-</v>
      </c>
      <c r="AN160" s="2"/>
      <c r="AO160" s="884">
        <v>0</v>
      </c>
      <c r="AP160" s="884">
        <f t="shared" ref="AP160" si="524">AO160-AK160</f>
        <v>0</v>
      </c>
      <c r="AV160" s="4" t="str">
        <f t="shared" si="461"/>
        <v>Escavação 1ª e 2ª categoria</v>
      </c>
      <c r="AW160" s="4" t="str">
        <f t="shared" si="462"/>
        <v xml:space="preserve">   Escavação, carga e transporte de material 1ª/2ª categoria - Aterro 17</v>
      </c>
    </row>
    <row r="161" spans="1:49" ht="15" customHeight="1" outlineLevel="2">
      <c r="A161" s="525" t="str">
        <f t="shared" ref="A161" si="525">A160</f>
        <v>N</v>
      </c>
      <c r="B161" s="526"/>
      <c r="C161" s="526"/>
      <c r="D161" s="527" t="s">
        <v>370</v>
      </c>
      <c r="E161" s="932"/>
      <c r="F161" s="902"/>
      <c r="G161" s="528"/>
      <c r="H161" s="549" t="s">
        <v>38</v>
      </c>
      <c r="I161" s="711">
        <v>0</v>
      </c>
      <c r="J161" s="897"/>
      <c r="K161" s="528"/>
      <c r="L161" s="549" t="s">
        <v>38</v>
      </c>
      <c r="M161" s="711">
        <f t="shared" si="348"/>
        <v>0</v>
      </c>
      <c r="N161" s="897"/>
      <c r="O161" s="528"/>
      <c r="P161" s="711">
        <v>0</v>
      </c>
      <c r="Q161" s="711">
        <v>0</v>
      </c>
      <c r="R161" s="711">
        <v>0</v>
      </c>
      <c r="S161" s="711">
        <v>0</v>
      </c>
      <c r="T161" s="711">
        <v>0</v>
      </c>
      <c r="U161" s="711">
        <v>0</v>
      </c>
      <c r="V161" s="711">
        <v>0</v>
      </c>
      <c r="W161" s="528"/>
      <c r="X161" s="711">
        <f t="shared" si="342"/>
        <v>0</v>
      </c>
      <c r="Y161" s="897"/>
      <c r="Z161" s="528"/>
      <c r="AA161" s="899"/>
      <c r="AB161" s="899"/>
      <c r="AC161" s="899"/>
      <c r="AD161" s="901"/>
      <c r="AE161" s="2"/>
      <c r="AF161" s="926"/>
      <c r="AG161" s="926"/>
      <c r="AH161" s="885"/>
      <c r="AI161" s="926"/>
      <c r="AJ161" s="926"/>
      <c r="AK161" s="885"/>
      <c r="AL161" s="885"/>
      <c r="AM161" s="879"/>
      <c r="AN161" s="2"/>
      <c r="AO161" s="886"/>
      <c r="AP161" s="886"/>
      <c r="AV161" s="4" t="str">
        <f t="shared" si="461"/>
        <v>Escavação 1ª e 2ª categoria</v>
      </c>
      <c r="AW161" s="4" t="str">
        <f t="shared" si="462"/>
        <v xml:space="preserve">   Escavação, carga e transporte de material 1ª/2ª categoria - Aterro 17</v>
      </c>
    </row>
    <row r="162" spans="1:49" ht="15" customHeight="1" outlineLevel="2">
      <c r="A162" s="545" t="str">
        <f t="shared" ref="A162" si="526">IF(SUM(P162:V163)&gt;0,"S","N")</f>
        <v>N</v>
      </c>
      <c r="B162" s="526" t="s">
        <v>266</v>
      </c>
      <c r="C162" s="526" t="s">
        <v>266</v>
      </c>
      <c r="D162" s="527" t="s">
        <v>372</v>
      </c>
      <c r="E162" s="931" t="s">
        <v>373</v>
      </c>
      <c r="F162" s="902" t="s">
        <v>36</v>
      </c>
      <c r="G162" s="528"/>
      <c r="H162" s="546" t="s">
        <v>37</v>
      </c>
      <c r="I162" s="711">
        <v>0</v>
      </c>
      <c r="J162" s="896"/>
      <c r="K162" s="528"/>
      <c r="L162" s="546" t="s">
        <v>37</v>
      </c>
      <c r="M162" s="711">
        <f t="shared" si="348"/>
        <v>0</v>
      </c>
      <c r="N162" s="896" t="str">
        <f>IFERROR((M163/M162),"-")</f>
        <v>-</v>
      </c>
      <c r="O162" s="528"/>
      <c r="P162" s="547">
        <v>0</v>
      </c>
      <c r="Q162" s="547">
        <v>0</v>
      </c>
      <c r="R162" s="547">
        <v>0</v>
      </c>
      <c r="S162" s="547">
        <v>0</v>
      </c>
      <c r="T162" s="547">
        <v>0</v>
      </c>
      <c r="U162" s="547">
        <v>0</v>
      </c>
      <c r="V162" s="548">
        <v>0</v>
      </c>
      <c r="W162" s="528"/>
      <c r="X162" s="711">
        <f t="shared" si="342"/>
        <v>0</v>
      </c>
      <c r="Y162" s="896" t="str">
        <f t="shared" ref="Y162" si="527">IFERROR((X163/X162),"-")</f>
        <v>-</v>
      </c>
      <c r="Z162" s="528"/>
      <c r="AA162" s="898">
        <v>0</v>
      </c>
      <c r="AB162" s="898">
        <v>0</v>
      </c>
      <c r="AC162" s="898">
        <v>0</v>
      </c>
      <c r="AD162" s="900" t="str">
        <f t="shared" ref="AD162" si="528">IFERROR((AC162/AB162),"-")</f>
        <v>-</v>
      </c>
      <c r="AE162" s="2"/>
      <c r="AF162" s="886">
        <v>0</v>
      </c>
      <c r="AG162" s="886"/>
      <c r="AH162" s="884">
        <v>0</v>
      </c>
      <c r="AI162" s="886"/>
      <c r="AJ162" s="886"/>
      <c r="AK162" s="884">
        <f t="shared" ref="AK162" si="529">AF162+AG162+AH162+AI162+AJ162+AC162</f>
        <v>0</v>
      </c>
      <c r="AL162" s="884">
        <v>0</v>
      </c>
      <c r="AM162" s="878" t="str">
        <f t="shared" ref="AM162" si="530">IFERROR((AK162/AL162),"-")</f>
        <v>-</v>
      </c>
      <c r="AN162" s="2"/>
      <c r="AO162" s="884">
        <v>0</v>
      </c>
      <c r="AP162" s="884">
        <f t="shared" ref="AP162" si="531">AO162-AK162</f>
        <v>0</v>
      </c>
      <c r="AV162" s="4" t="str">
        <f t="shared" si="461"/>
        <v>Escavação 1ª e 2ª categoria</v>
      </c>
      <c r="AW162" s="4" t="str">
        <f t="shared" si="462"/>
        <v xml:space="preserve">   Escavação, carga e transporte de material 1ª/2ª categoria - melhoria de acesso</v>
      </c>
    </row>
    <row r="163" spans="1:49" ht="15" customHeight="1" outlineLevel="2">
      <c r="A163" s="545" t="str">
        <f t="shared" ref="A163" si="532">A162</f>
        <v>N</v>
      </c>
      <c r="B163" s="526"/>
      <c r="C163" s="526"/>
      <c r="D163" s="527" t="s">
        <v>372</v>
      </c>
      <c r="E163" s="932"/>
      <c r="F163" s="902"/>
      <c r="G163" s="528"/>
      <c r="H163" s="549" t="s">
        <v>38</v>
      </c>
      <c r="I163" s="711">
        <v>0</v>
      </c>
      <c r="J163" s="897"/>
      <c r="K163" s="528"/>
      <c r="L163" s="549" t="s">
        <v>38</v>
      </c>
      <c r="M163" s="711">
        <f t="shared" si="348"/>
        <v>0</v>
      </c>
      <c r="N163" s="897"/>
      <c r="O163" s="528"/>
      <c r="P163" s="711">
        <v>0</v>
      </c>
      <c r="Q163" s="711">
        <v>0</v>
      </c>
      <c r="R163" s="711">
        <v>0</v>
      </c>
      <c r="S163" s="711">
        <v>0</v>
      </c>
      <c r="T163" s="711">
        <v>0</v>
      </c>
      <c r="U163" s="711">
        <v>0</v>
      </c>
      <c r="V163" s="711">
        <v>0</v>
      </c>
      <c r="W163" s="528"/>
      <c r="X163" s="711">
        <f t="shared" si="342"/>
        <v>0</v>
      </c>
      <c r="Y163" s="897"/>
      <c r="Z163" s="528"/>
      <c r="AA163" s="899"/>
      <c r="AB163" s="899"/>
      <c r="AC163" s="899"/>
      <c r="AD163" s="901"/>
      <c r="AE163" s="2"/>
      <c r="AF163" s="926"/>
      <c r="AG163" s="926"/>
      <c r="AH163" s="885"/>
      <c r="AI163" s="926"/>
      <c r="AJ163" s="926"/>
      <c r="AK163" s="885"/>
      <c r="AL163" s="885"/>
      <c r="AM163" s="879"/>
      <c r="AN163" s="2"/>
      <c r="AO163" s="886"/>
      <c r="AP163" s="886"/>
      <c r="AV163" s="4" t="str">
        <f t="shared" si="461"/>
        <v>Escavação 1ª e 2ª categoria</v>
      </c>
      <c r="AW163" s="4" t="str">
        <f t="shared" si="462"/>
        <v xml:space="preserve">   Escavação, carga e transporte de material 1ª/2ª categoria - melhoria de acesso</v>
      </c>
    </row>
    <row r="164" spans="1:49" ht="15" customHeight="1" outlineLevel="2">
      <c r="A164" s="545" t="str">
        <f t="shared" ref="A164" si="533">IF(SUM(P164:V165)&gt;0,"S","N")</f>
        <v>N</v>
      </c>
      <c r="B164" s="526" t="s">
        <v>266</v>
      </c>
      <c r="C164" s="526" t="s">
        <v>266</v>
      </c>
      <c r="D164" s="551" t="s">
        <v>374</v>
      </c>
      <c r="E164" s="932" t="s">
        <v>375</v>
      </c>
      <c r="F164" s="961" t="s">
        <v>36</v>
      </c>
      <c r="G164" s="552"/>
      <c r="H164" s="553" t="s">
        <v>37</v>
      </c>
      <c r="I164" s="712">
        <v>0</v>
      </c>
      <c r="J164" s="962"/>
      <c r="K164" s="552"/>
      <c r="L164" s="553" t="s">
        <v>37</v>
      </c>
      <c r="M164" s="712">
        <f t="shared" si="348"/>
        <v>0</v>
      </c>
      <c r="N164" s="962" t="str">
        <f>IFERROR((M165/M164),"-")</f>
        <v>-</v>
      </c>
      <c r="O164" s="552"/>
      <c r="P164" s="548">
        <v>0</v>
      </c>
      <c r="Q164" s="548">
        <v>0</v>
      </c>
      <c r="R164" s="547">
        <v>0</v>
      </c>
      <c r="S164" s="547">
        <v>0</v>
      </c>
      <c r="T164" s="547">
        <v>0</v>
      </c>
      <c r="U164" s="547">
        <v>0</v>
      </c>
      <c r="V164" s="548">
        <v>0</v>
      </c>
      <c r="W164" s="528"/>
      <c r="X164" s="711">
        <f t="shared" si="342"/>
        <v>0</v>
      </c>
      <c r="Y164" s="896" t="str">
        <f t="shared" ref="Y164" si="534">IFERROR((X165/X164),"-")</f>
        <v>-</v>
      </c>
      <c r="Z164" s="528"/>
      <c r="AA164" s="898">
        <v>0</v>
      </c>
      <c r="AB164" s="898">
        <v>0</v>
      </c>
      <c r="AC164" s="898">
        <v>0</v>
      </c>
      <c r="AD164" s="900" t="str">
        <f t="shared" ref="AD164" si="535">IFERROR((AC164/AB164),"-")</f>
        <v>-</v>
      </c>
      <c r="AE164" s="2"/>
      <c r="AF164" s="886">
        <v>0</v>
      </c>
      <c r="AG164" s="886"/>
      <c r="AH164" s="884">
        <v>0</v>
      </c>
      <c r="AI164" s="886"/>
      <c r="AJ164" s="886"/>
      <c r="AK164" s="884">
        <f t="shared" ref="AK164" si="536">AF164+AG164+AH164+AI164+AJ164+AC164</f>
        <v>0</v>
      </c>
      <c r="AL164" s="884">
        <v>0</v>
      </c>
      <c r="AM164" s="878" t="str">
        <f t="shared" ref="AM164" si="537">IFERROR((AK164/AL164),"-")</f>
        <v>-</v>
      </c>
      <c r="AN164" s="2"/>
      <c r="AO164" s="884">
        <v>0</v>
      </c>
      <c r="AP164" s="884">
        <f t="shared" ref="AP164" si="538">AO164-AK164</f>
        <v>0</v>
      </c>
      <c r="AV164" s="4" t="str">
        <f t="shared" si="461"/>
        <v>Escavação 1ª e 2ª categoria</v>
      </c>
      <c r="AW164" s="4" t="str">
        <f t="shared" si="462"/>
        <v xml:space="preserve">   Escavação, carga e transporte de material 1ª/2ª categoria - ADMP Corte 08</v>
      </c>
    </row>
    <row r="165" spans="1:49" ht="15" customHeight="1" outlineLevel="2">
      <c r="A165" s="545" t="str">
        <f t="shared" ref="A165" si="539">A164</f>
        <v>N</v>
      </c>
      <c r="B165" s="526"/>
      <c r="C165" s="526"/>
      <c r="D165" s="551" t="s">
        <v>374</v>
      </c>
      <c r="E165" s="932"/>
      <c r="F165" s="961"/>
      <c r="G165" s="552"/>
      <c r="H165" s="554" t="s">
        <v>38</v>
      </c>
      <c r="I165" s="712">
        <v>0</v>
      </c>
      <c r="J165" s="963"/>
      <c r="K165" s="552"/>
      <c r="L165" s="554" t="s">
        <v>38</v>
      </c>
      <c r="M165" s="712">
        <f t="shared" si="348"/>
        <v>0</v>
      </c>
      <c r="N165" s="963"/>
      <c r="O165" s="552"/>
      <c r="P165" s="712">
        <v>0</v>
      </c>
      <c r="Q165" s="712">
        <v>0</v>
      </c>
      <c r="R165" s="711">
        <v>0</v>
      </c>
      <c r="S165" s="711">
        <v>0</v>
      </c>
      <c r="T165" s="711">
        <v>0</v>
      </c>
      <c r="U165" s="711">
        <v>0</v>
      </c>
      <c r="V165" s="711">
        <v>0</v>
      </c>
      <c r="W165" s="528"/>
      <c r="X165" s="711">
        <f t="shared" si="342"/>
        <v>0</v>
      </c>
      <c r="Y165" s="897"/>
      <c r="Z165" s="528"/>
      <c r="AA165" s="899"/>
      <c r="AB165" s="899"/>
      <c r="AC165" s="899"/>
      <c r="AD165" s="901"/>
      <c r="AE165" s="2"/>
      <c r="AF165" s="926"/>
      <c r="AG165" s="926"/>
      <c r="AH165" s="885"/>
      <c r="AI165" s="926"/>
      <c r="AJ165" s="926"/>
      <c r="AK165" s="885"/>
      <c r="AL165" s="885"/>
      <c r="AM165" s="879"/>
      <c r="AN165" s="2"/>
      <c r="AO165" s="886"/>
      <c r="AP165" s="886"/>
      <c r="AV165" s="4" t="str">
        <f t="shared" si="461"/>
        <v>Escavação 1ª e 2ª categoria</v>
      </c>
      <c r="AW165" s="4" t="str">
        <f t="shared" si="462"/>
        <v xml:space="preserve">   Escavação, carga e transporte de material 1ª/2ª categoria - ADMP Corte 08</v>
      </c>
    </row>
    <row r="166" spans="1:49" ht="15" customHeight="1" outlineLevel="2">
      <c r="A166" s="545" t="str">
        <f t="shared" ref="A166" si="540">IF(SUM(P166:V167)&gt;0,"S","N")</f>
        <v>N</v>
      </c>
      <c r="B166" s="526" t="s">
        <v>266</v>
      </c>
      <c r="C166" s="526" t="s">
        <v>266</v>
      </c>
      <c r="D166" s="526" t="s">
        <v>376</v>
      </c>
      <c r="E166" s="931" t="s">
        <v>377</v>
      </c>
      <c r="F166" s="902" t="s">
        <v>36</v>
      </c>
      <c r="G166" s="528"/>
      <c r="H166" s="546" t="s">
        <v>37</v>
      </c>
      <c r="I166" s="711">
        <v>0</v>
      </c>
      <c r="J166" s="896"/>
      <c r="K166" s="528"/>
      <c r="L166" s="546" t="s">
        <v>37</v>
      </c>
      <c r="M166" s="711">
        <f t="shared" si="348"/>
        <v>0</v>
      </c>
      <c r="N166" s="896" t="str">
        <f>IFERROR((M167/M166),"-")</f>
        <v>-</v>
      </c>
      <c r="O166" s="528"/>
      <c r="P166" s="547">
        <v>0</v>
      </c>
      <c r="Q166" s="547">
        <v>0</v>
      </c>
      <c r="R166" s="547">
        <v>0</v>
      </c>
      <c r="S166" s="547">
        <v>0</v>
      </c>
      <c r="T166" s="547">
        <v>0</v>
      </c>
      <c r="U166" s="547">
        <v>0</v>
      </c>
      <c r="V166" s="548">
        <v>0</v>
      </c>
      <c r="W166" s="528"/>
      <c r="X166" s="711">
        <f t="shared" ref="X166:X173" si="541">SUMIFS(P166:V166,$P$8:$V$8,"&gt;="&amp;$P$8,$P$8:$V$8,"&lt;="&amp;$N$8)</f>
        <v>0</v>
      </c>
      <c r="Y166" s="896" t="str">
        <f t="shared" ref="Y166" si="542">IFERROR((X167/X166),"-")</f>
        <v>-</v>
      </c>
      <c r="Z166" s="528"/>
      <c r="AA166" s="898">
        <v>0</v>
      </c>
      <c r="AB166" s="898">
        <v>0</v>
      </c>
      <c r="AC166" s="898">
        <v>0</v>
      </c>
      <c r="AD166" s="900" t="str">
        <f t="shared" ref="AD166" si="543">IFERROR((AC166/AB166),"-")</f>
        <v>-</v>
      </c>
      <c r="AE166" s="2"/>
      <c r="AF166" s="886">
        <v>0</v>
      </c>
      <c r="AG166" s="886"/>
      <c r="AH166" s="884">
        <v>610</v>
      </c>
      <c r="AI166" s="886"/>
      <c r="AJ166" s="886"/>
      <c r="AK166" s="884">
        <f t="shared" ref="AK166" si="544">AF166+AG166+AH166+AI166+AJ166+AC166</f>
        <v>610</v>
      </c>
      <c r="AL166" s="884">
        <v>0</v>
      </c>
      <c r="AM166" s="878" t="str">
        <f t="shared" ref="AM166" si="545">IFERROR((AK166/AL166),"-")</f>
        <v>-</v>
      </c>
      <c r="AN166" s="2"/>
      <c r="AO166" s="884">
        <v>0</v>
      </c>
      <c r="AP166" s="884">
        <f t="shared" ref="AP166" si="546">AO166-AK166</f>
        <v>-610</v>
      </c>
      <c r="AV166" s="4" t="str">
        <f t="shared" si="461"/>
        <v>Escavação 1ª e 2ª categoria</v>
      </c>
      <c r="AW166" s="4" t="str">
        <f t="shared" si="462"/>
        <v xml:space="preserve">   Escavação, carga e transporte de material 1ª/2ª categoria - Retaludamento A09</v>
      </c>
    </row>
    <row r="167" spans="1:49" ht="15" customHeight="1" outlineLevel="2">
      <c r="A167" s="545" t="str">
        <f t="shared" ref="A167" si="547">A166</f>
        <v>N</v>
      </c>
      <c r="B167" s="526"/>
      <c r="C167" s="526"/>
      <c r="D167" s="526" t="s">
        <v>376</v>
      </c>
      <c r="E167" s="932"/>
      <c r="F167" s="902"/>
      <c r="G167" s="528"/>
      <c r="H167" s="549" t="s">
        <v>38</v>
      </c>
      <c r="I167" s="711">
        <v>0</v>
      </c>
      <c r="J167" s="897"/>
      <c r="K167" s="528"/>
      <c r="L167" s="549" t="s">
        <v>38</v>
      </c>
      <c r="M167" s="711">
        <f t="shared" si="348"/>
        <v>0</v>
      </c>
      <c r="N167" s="897"/>
      <c r="O167" s="528"/>
      <c r="P167" s="711">
        <v>0</v>
      </c>
      <c r="Q167" s="711">
        <v>0</v>
      </c>
      <c r="R167" s="711">
        <v>0</v>
      </c>
      <c r="S167" s="711">
        <v>0</v>
      </c>
      <c r="T167" s="711">
        <v>0</v>
      </c>
      <c r="U167" s="711">
        <v>0</v>
      </c>
      <c r="V167" s="711">
        <v>0</v>
      </c>
      <c r="W167" s="528"/>
      <c r="X167" s="711">
        <f t="shared" si="541"/>
        <v>0</v>
      </c>
      <c r="Y167" s="897"/>
      <c r="Z167" s="528"/>
      <c r="AA167" s="899"/>
      <c r="AB167" s="899"/>
      <c r="AC167" s="899"/>
      <c r="AD167" s="901"/>
      <c r="AE167" s="2"/>
      <c r="AF167" s="926"/>
      <c r="AG167" s="926"/>
      <c r="AH167" s="885"/>
      <c r="AI167" s="926"/>
      <c r="AJ167" s="926"/>
      <c r="AK167" s="885"/>
      <c r="AL167" s="885"/>
      <c r="AM167" s="879"/>
      <c r="AN167" s="2"/>
      <c r="AO167" s="886"/>
      <c r="AP167" s="886"/>
      <c r="AV167" s="4" t="str">
        <f t="shared" si="461"/>
        <v>Escavação 1ª e 2ª categoria</v>
      </c>
      <c r="AW167" s="4" t="str">
        <f t="shared" si="462"/>
        <v xml:space="preserve">   Escavação, carga e transporte de material 1ª/2ª categoria - Retaludamento A09</v>
      </c>
    </row>
    <row r="168" spans="1:49" ht="15" customHeight="1" outlineLevel="2">
      <c r="A168" s="545" t="str">
        <f t="shared" ref="A168" si="548">IF(SUM(P168:V169)&gt;0,"S","N")</f>
        <v>N</v>
      </c>
      <c r="B168" s="526" t="s">
        <v>266</v>
      </c>
      <c r="C168" s="526" t="s">
        <v>266</v>
      </c>
      <c r="D168" s="527" t="s">
        <v>378</v>
      </c>
      <c r="E168" s="931" t="s">
        <v>379</v>
      </c>
      <c r="F168" s="902" t="s">
        <v>36</v>
      </c>
      <c r="G168" s="528"/>
      <c r="H168" s="546" t="s">
        <v>37</v>
      </c>
      <c r="I168" s="711">
        <v>0</v>
      </c>
      <c r="J168" s="896"/>
      <c r="K168" s="528"/>
      <c r="L168" s="546" t="s">
        <v>37</v>
      </c>
      <c r="M168" s="711">
        <f t="shared" si="348"/>
        <v>0</v>
      </c>
      <c r="N168" s="896" t="str">
        <f>IFERROR((M169/M168),"-")</f>
        <v>-</v>
      </c>
      <c r="O168" s="528"/>
      <c r="P168" s="547">
        <v>0</v>
      </c>
      <c r="Q168" s="547">
        <v>0</v>
      </c>
      <c r="R168" s="547">
        <v>0</v>
      </c>
      <c r="S168" s="547">
        <v>0</v>
      </c>
      <c r="T168" s="547">
        <v>0</v>
      </c>
      <c r="U168" s="547">
        <v>0</v>
      </c>
      <c r="V168" s="548">
        <v>0</v>
      </c>
      <c r="W168" s="528"/>
      <c r="X168" s="711">
        <f t="shared" si="541"/>
        <v>0</v>
      </c>
      <c r="Y168" s="896" t="str">
        <f t="shared" ref="Y168" si="549">IFERROR((X169/X168),"-")</f>
        <v>-</v>
      </c>
      <c r="Z168" s="528"/>
      <c r="AA168" s="898">
        <v>0</v>
      </c>
      <c r="AB168" s="898">
        <v>0</v>
      </c>
      <c r="AC168" s="898">
        <v>0</v>
      </c>
      <c r="AD168" s="900" t="str">
        <f t="shared" ref="AD168" si="550">IFERROR((AC168/AB168),"-")</f>
        <v>-</v>
      </c>
      <c r="AE168" s="2"/>
      <c r="AF168" s="886">
        <v>0</v>
      </c>
      <c r="AG168" s="886"/>
      <c r="AH168" s="884">
        <v>2060</v>
      </c>
      <c r="AI168" s="886"/>
      <c r="AJ168" s="886"/>
      <c r="AK168" s="884">
        <f t="shared" ref="AK168" si="551">AF168+AG168+AH168+AI168+AJ168+AC168</f>
        <v>2060</v>
      </c>
      <c r="AL168" s="884">
        <v>0</v>
      </c>
      <c r="AM168" s="878" t="str">
        <f t="shared" ref="AM168" si="552">IFERROR((AK168/AL168),"-")</f>
        <v>-</v>
      </c>
      <c r="AN168" s="2"/>
      <c r="AO168" s="884">
        <v>0</v>
      </c>
      <c r="AP168" s="884">
        <f t="shared" ref="AP168" si="553">AO168-AK168</f>
        <v>-2060</v>
      </c>
      <c r="AV168" s="4" t="str">
        <f t="shared" si="461"/>
        <v>Escavação 1ª e 2ª categoria</v>
      </c>
      <c r="AW168" s="4" t="str">
        <f t="shared" si="462"/>
        <v xml:space="preserve">   Escavação, carga e transporte de material 1ª/2ª categoria - Retaludamento Corte 07</v>
      </c>
    </row>
    <row r="169" spans="1:49" ht="15" customHeight="1" outlineLevel="2">
      <c r="A169" s="545" t="str">
        <f t="shared" ref="A169" si="554">A168</f>
        <v>N</v>
      </c>
      <c r="B169" s="526"/>
      <c r="C169" s="526"/>
      <c r="D169" s="527" t="s">
        <v>378</v>
      </c>
      <c r="E169" s="932"/>
      <c r="F169" s="902"/>
      <c r="G169" s="528"/>
      <c r="H169" s="549" t="s">
        <v>38</v>
      </c>
      <c r="I169" s="711">
        <v>0</v>
      </c>
      <c r="J169" s="897"/>
      <c r="K169" s="528"/>
      <c r="L169" s="549" t="s">
        <v>38</v>
      </c>
      <c r="M169" s="711">
        <f t="shared" si="348"/>
        <v>0</v>
      </c>
      <c r="N169" s="897"/>
      <c r="O169" s="528"/>
      <c r="P169" s="711">
        <v>0</v>
      </c>
      <c r="Q169" s="711">
        <v>0</v>
      </c>
      <c r="R169" s="711">
        <v>0</v>
      </c>
      <c r="S169" s="711">
        <v>0</v>
      </c>
      <c r="T169" s="711">
        <v>0</v>
      </c>
      <c r="U169" s="711">
        <v>0</v>
      </c>
      <c r="V169" s="711">
        <v>0</v>
      </c>
      <c r="W169" s="528"/>
      <c r="X169" s="711">
        <f t="shared" si="541"/>
        <v>0</v>
      </c>
      <c r="Y169" s="897"/>
      <c r="Z169" s="528"/>
      <c r="AA169" s="899"/>
      <c r="AB169" s="899"/>
      <c r="AC169" s="899"/>
      <c r="AD169" s="901"/>
      <c r="AE169" s="2"/>
      <c r="AF169" s="926"/>
      <c r="AG169" s="926"/>
      <c r="AH169" s="885"/>
      <c r="AI169" s="926"/>
      <c r="AJ169" s="926"/>
      <c r="AK169" s="885"/>
      <c r="AL169" s="885"/>
      <c r="AM169" s="879"/>
      <c r="AN169" s="2"/>
      <c r="AO169" s="886"/>
      <c r="AP169" s="886"/>
      <c r="AV169" s="4" t="str">
        <f t="shared" si="461"/>
        <v>Escavação 1ª e 2ª categoria</v>
      </c>
      <c r="AW169" s="4" t="str">
        <f t="shared" si="462"/>
        <v xml:space="preserve">   Escavação, carga e transporte de material 1ª/2ª categoria - Retaludamento Corte 07</v>
      </c>
    </row>
    <row r="170" spans="1:49" ht="15" customHeight="1" outlineLevel="2">
      <c r="A170" s="545" t="str">
        <f t="shared" ref="A170" si="555">IF(SUM(P170:V171)&gt;0,"S","N")</f>
        <v>N</v>
      </c>
      <c r="B170" s="526" t="s">
        <v>266</v>
      </c>
      <c r="C170" s="526" t="s">
        <v>266</v>
      </c>
      <c r="D170" s="527"/>
      <c r="E170" s="931" t="s">
        <v>380</v>
      </c>
      <c r="F170" s="902" t="s">
        <v>36</v>
      </c>
      <c r="G170" s="528"/>
      <c r="H170" s="546" t="s">
        <v>37</v>
      </c>
      <c r="I170" s="711">
        <v>0</v>
      </c>
      <c r="J170" s="896"/>
      <c r="K170" s="528"/>
      <c r="L170" s="546" t="s">
        <v>37</v>
      </c>
      <c r="M170" s="711">
        <f t="shared" si="348"/>
        <v>0</v>
      </c>
      <c r="N170" s="896" t="str">
        <f>IFERROR((M171/M170),"-")</f>
        <v>-</v>
      </c>
      <c r="O170" s="528"/>
      <c r="P170" s="547">
        <v>0</v>
      </c>
      <c r="Q170" s="547">
        <v>0</v>
      </c>
      <c r="R170" s="547">
        <v>0</v>
      </c>
      <c r="S170" s="547">
        <v>0</v>
      </c>
      <c r="T170" s="547">
        <v>0</v>
      </c>
      <c r="U170" s="547">
        <v>0</v>
      </c>
      <c r="V170" s="548">
        <v>0</v>
      </c>
      <c r="W170" s="528"/>
      <c r="X170" s="711">
        <f t="shared" si="541"/>
        <v>0</v>
      </c>
      <c r="Y170" s="896" t="str">
        <f t="shared" ref="Y170" si="556">IFERROR((X171/X170),"-")</f>
        <v>-</v>
      </c>
      <c r="Z170" s="528"/>
      <c r="AA170" s="898">
        <v>0</v>
      </c>
      <c r="AB170" s="898">
        <v>0</v>
      </c>
      <c r="AC170" s="898">
        <v>0</v>
      </c>
      <c r="AD170" s="900" t="str">
        <f t="shared" ref="AD170" si="557">IFERROR((AC170/AB170),"-")</f>
        <v>-</v>
      </c>
      <c r="AE170" s="2"/>
      <c r="AF170" s="886">
        <v>25089.111000000001</v>
      </c>
      <c r="AG170" s="886"/>
      <c r="AH170" s="884">
        <v>0</v>
      </c>
      <c r="AI170" s="886"/>
      <c r="AJ170" s="886"/>
      <c r="AK170" s="884">
        <f t="shared" ref="AK170" si="558">AF170+AG170+AH170+AI170+AJ170+AC170</f>
        <v>25089.111000000001</v>
      </c>
      <c r="AL170" s="884">
        <v>0</v>
      </c>
      <c r="AM170" s="878" t="str">
        <f t="shared" ref="AM170" si="559">IFERROR((AK170/AL170),"-")</f>
        <v>-</v>
      </c>
      <c r="AN170" s="2"/>
      <c r="AO170" s="884">
        <v>0</v>
      </c>
      <c r="AP170" s="884">
        <f t="shared" ref="AP170" si="560">AO170-AK170</f>
        <v>-25089.111000000001</v>
      </c>
      <c r="AV170" s="4" t="str">
        <f t="shared" si="461"/>
        <v>Escavação 1ª e 2ª categoria</v>
      </c>
      <c r="AW170" s="4" t="str">
        <f t="shared" si="462"/>
        <v xml:space="preserve">   Escavação, carga e transporte de material 1ª/2ª categoria - Canal km 122/124/125</v>
      </c>
    </row>
    <row r="171" spans="1:49" ht="15" customHeight="1" outlineLevel="2">
      <c r="A171" s="545" t="str">
        <f t="shared" ref="A171" si="561">A170</f>
        <v>N</v>
      </c>
      <c r="B171" s="526"/>
      <c r="C171" s="526"/>
      <c r="D171" s="527"/>
      <c r="E171" s="932"/>
      <c r="F171" s="902"/>
      <c r="G171" s="528"/>
      <c r="H171" s="549" t="s">
        <v>38</v>
      </c>
      <c r="I171" s="711">
        <v>0</v>
      </c>
      <c r="J171" s="897"/>
      <c r="K171" s="528"/>
      <c r="L171" s="549" t="s">
        <v>38</v>
      </c>
      <c r="M171" s="711">
        <f t="shared" si="348"/>
        <v>0</v>
      </c>
      <c r="N171" s="897"/>
      <c r="O171" s="528"/>
      <c r="P171" s="711">
        <v>0</v>
      </c>
      <c r="Q171" s="711">
        <v>0</v>
      </c>
      <c r="R171" s="711">
        <v>0</v>
      </c>
      <c r="S171" s="711">
        <v>0</v>
      </c>
      <c r="T171" s="711">
        <v>0</v>
      </c>
      <c r="U171" s="711">
        <v>0</v>
      </c>
      <c r="V171" s="711">
        <v>0</v>
      </c>
      <c r="W171" s="528"/>
      <c r="X171" s="711">
        <f t="shared" si="541"/>
        <v>0</v>
      </c>
      <c r="Y171" s="897"/>
      <c r="Z171" s="528"/>
      <c r="AA171" s="899"/>
      <c r="AB171" s="899"/>
      <c r="AC171" s="899"/>
      <c r="AD171" s="901"/>
      <c r="AE171" s="2"/>
      <c r="AF171" s="926"/>
      <c r="AG171" s="926"/>
      <c r="AH171" s="885"/>
      <c r="AI171" s="926"/>
      <c r="AJ171" s="926"/>
      <c r="AK171" s="885"/>
      <c r="AL171" s="885"/>
      <c r="AM171" s="879"/>
      <c r="AN171" s="2"/>
      <c r="AO171" s="886"/>
      <c r="AP171" s="886"/>
      <c r="AV171" s="4" t="str">
        <f t="shared" si="461"/>
        <v>Escavação 1ª e 2ª categoria</v>
      </c>
      <c r="AW171" s="4" t="str">
        <f t="shared" si="462"/>
        <v xml:space="preserve">   Escavação, carga e transporte de material 1ª/2ª categoria - Canal km 122/124/125</v>
      </c>
    </row>
    <row r="172" spans="1:49" ht="15" customHeight="1" outlineLevel="2">
      <c r="A172" s="545"/>
      <c r="B172" s="526" t="s">
        <v>266</v>
      </c>
      <c r="C172" s="526" t="s">
        <v>266</v>
      </c>
      <c r="D172" s="527"/>
      <c r="E172" s="931"/>
      <c r="F172" s="902" t="s">
        <v>36</v>
      </c>
      <c r="G172" s="528"/>
      <c r="H172" s="546" t="s">
        <v>37</v>
      </c>
      <c r="I172" s="711">
        <v>0</v>
      </c>
      <c r="J172" s="896"/>
      <c r="K172" s="528"/>
      <c r="L172" s="546" t="s">
        <v>37</v>
      </c>
      <c r="M172" s="711">
        <f t="shared" si="348"/>
        <v>0</v>
      </c>
      <c r="N172" s="896" t="str">
        <f>IFERROR((M173/M172),"-")</f>
        <v>-</v>
      </c>
      <c r="O172" s="528"/>
      <c r="P172" s="547">
        <v>0</v>
      </c>
      <c r="Q172" s="547">
        <v>0</v>
      </c>
      <c r="R172" s="547">
        <v>0</v>
      </c>
      <c r="S172" s="547">
        <v>0</v>
      </c>
      <c r="T172" s="547">
        <v>0</v>
      </c>
      <c r="U172" s="547">
        <v>0</v>
      </c>
      <c r="V172" s="548">
        <v>0</v>
      </c>
      <c r="W172" s="528"/>
      <c r="X172" s="711">
        <f t="shared" si="541"/>
        <v>0</v>
      </c>
      <c r="Y172" s="896" t="str">
        <f t="shared" ref="Y172" si="562">IFERROR((X173/X172),"-")</f>
        <v>-</v>
      </c>
      <c r="Z172" s="528"/>
      <c r="AA172" s="898">
        <v>0</v>
      </c>
      <c r="AB172" s="898">
        <v>0</v>
      </c>
      <c r="AC172" s="898">
        <v>0</v>
      </c>
      <c r="AD172" s="900" t="str">
        <f t="shared" ref="AD172" si="563">IFERROR((AC172/AB172),"-")</f>
        <v>-</v>
      </c>
      <c r="AE172" s="2"/>
      <c r="AF172" s="886"/>
      <c r="AG172" s="886"/>
      <c r="AH172" s="884">
        <v>0</v>
      </c>
      <c r="AI172" s="886"/>
      <c r="AJ172" s="886"/>
      <c r="AK172" s="884">
        <f t="shared" ref="AK172" si="564">AF172+AG172+AH172+AI172+AJ172+AC172</f>
        <v>0</v>
      </c>
      <c r="AL172" s="884">
        <v>0</v>
      </c>
      <c r="AM172" s="878" t="str">
        <f t="shared" ref="AM172" si="565">IFERROR((AK172/AL172),"-")</f>
        <v>-</v>
      </c>
      <c r="AN172" s="2"/>
      <c r="AO172" s="884">
        <v>0</v>
      </c>
      <c r="AP172" s="884">
        <f t="shared" ref="AP172" si="566">AO172-AK172</f>
        <v>0</v>
      </c>
      <c r="AV172" s="4" t="str">
        <f t="shared" si="461"/>
        <v>Escavação 1ª e 2ª categoria</v>
      </c>
      <c r="AW172" s="4" t="str">
        <f t="shared" si="462"/>
        <v xml:space="preserve">   Escavação, carga e transporte de material 1ª/2ª categoria - Canal km 122/124/125</v>
      </c>
    </row>
    <row r="173" spans="1:49" ht="15" customHeight="1" outlineLevel="2">
      <c r="A173" s="545"/>
      <c r="B173" s="526"/>
      <c r="C173" s="526"/>
      <c r="D173" s="527"/>
      <c r="E173" s="932"/>
      <c r="F173" s="902"/>
      <c r="G173" s="528"/>
      <c r="H173" s="549" t="s">
        <v>38</v>
      </c>
      <c r="I173" s="711">
        <v>0</v>
      </c>
      <c r="J173" s="897"/>
      <c r="K173" s="528"/>
      <c r="L173" s="549" t="s">
        <v>38</v>
      </c>
      <c r="M173" s="711">
        <f t="shared" si="348"/>
        <v>0</v>
      </c>
      <c r="N173" s="897"/>
      <c r="O173" s="528"/>
      <c r="P173" s="711">
        <v>0</v>
      </c>
      <c r="Q173" s="711">
        <v>0</v>
      </c>
      <c r="R173" s="711">
        <v>0</v>
      </c>
      <c r="S173" s="711">
        <v>0</v>
      </c>
      <c r="T173" s="711">
        <v>0</v>
      </c>
      <c r="U173" s="711">
        <v>0</v>
      </c>
      <c r="V173" s="711">
        <v>0</v>
      </c>
      <c r="W173" s="528"/>
      <c r="X173" s="711">
        <f t="shared" si="541"/>
        <v>0</v>
      </c>
      <c r="Y173" s="897"/>
      <c r="Z173" s="528"/>
      <c r="AA173" s="899"/>
      <c r="AB173" s="899"/>
      <c r="AC173" s="899"/>
      <c r="AD173" s="901"/>
      <c r="AE173" s="2"/>
      <c r="AF173" s="926"/>
      <c r="AG173" s="926"/>
      <c r="AH173" s="885"/>
      <c r="AI173" s="926"/>
      <c r="AJ173" s="926"/>
      <c r="AK173" s="885"/>
      <c r="AL173" s="885"/>
      <c r="AM173" s="879"/>
      <c r="AN173" s="2"/>
      <c r="AO173" s="886"/>
      <c r="AP173" s="886"/>
      <c r="AV173" s="4" t="str">
        <f t="shared" si="461"/>
        <v>Escavação 1ª e 2ª categoria</v>
      </c>
      <c r="AW173" s="4" t="str">
        <f t="shared" si="462"/>
        <v xml:space="preserve">   Escavação, carga e transporte de material 1ª/2ª categoria - Canal km 122/124/125</v>
      </c>
    </row>
    <row r="174" spans="1:49" ht="14.45" customHeight="1" outlineLevel="2">
      <c r="A174" s="525">
        <v>0</v>
      </c>
      <c r="B174" s="526"/>
      <c r="C174" s="533"/>
      <c r="D174" s="534"/>
      <c r="E174" s="535"/>
      <c r="F174" s="536"/>
      <c r="G174" s="537"/>
      <c r="H174" s="714"/>
      <c r="I174" s="555"/>
      <c r="J174" s="714"/>
      <c r="K174" s="537"/>
      <c r="L174" s="714"/>
      <c r="M174" s="555"/>
      <c r="N174" s="714"/>
      <c r="O174" s="537"/>
      <c r="P174" s="539"/>
      <c r="Q174" s="539"/>
      <c r="R174" s="539"/>
      <c r="S174" s="539"/>
      <c r="T174" s="539"/>
      <c r="U174" s="539"/>
      <c r="V174" s="539"/>
      <c r="W174" s="537"/>
      <c r="X174" s="540"/>
      <c r="Y174" s="537"/>
      <c r="Z174" s="537"/>
      <c r="AA174" s="249"/>
      <c r="AB174" s="249"/>
      <c r="AC174" s="249"/>
      <c r="AD174" s="537"/>
      <c r="AE174" s="3"/>
      <c r="AF174" s="35"/>
      <c r="AG174" s="35"/>
      <c r="AH174" s="35"/>
      <c r="AI174" s="35"/>
      <c r="AJ174" s="35"/>
      <c r="AK174" s="35"/>
      <c r="AL174" s="35"/>
      <c r="AM174" s="3"/>
      <c r="AN174" s="3"/>
      <c r="AO174" s="35"/>
      <c r="AP174" s="35"/>
      <c r="AV174" s="4" t="str">
        <f t="shared" si="461"/>
        <v>Escavação 1ª e 2ª categoria</v>
      </c>
      <c r="AW174" s="4" t="str">
        <f t="shared" si="462"/>
        <v xml:space="preserve">   Escavação, carga e transporte de material 1ª/2ª categoria - Canal km 122/124/125</v>
      </c>
    </row>
    <row r="175" spans="1:49" ht="14.45" customHeight="1" outlineLevel="1">
      <c r="A175" s="525">
        <v>0</v>
      </c>
      <c r="B175" s="526"/>
      <c r="C175" s="533"/>
      <c r="D175" s="534"/>
      <c r="E175" s="535"/>
      <c r="F175" s="541"/>
      <c r="G175" s="537"/>
      <c r="H175" s="537"/>
      <c r="I175" s="249"/>
      <c r="J175" s="537"/>
      <c r="K175" s="537"/>
      <c r="L175" s="537"/>
      <c r="M175" s="249"/>
      <c r="N175" s="537"/>
      <c r="O175" s="537"/>
      <c r="P175" s="539"/>
      <c r="Q175" s="539"/>
      <c r="R175" s="539"/>
      <c r="S175" s="539"/>
      <c r="T175" s="539"/>
      <c r="U175" s="539"/>
      <c r="V175" s="539"/>
      <c r="W175" s="537"/>
      <c r="X175" s="540"/>
      <c r="Y175" s="537"/>
      <c r="Z175" s="537"/>
      <c r="AA175" s="249"/>
      <c r="AB175" s="249"/>
      <c r="AC175" s="249"/>
      <c r="AD175" s="537"/>
      <c r="AE175" s="3"/>
      <c r="AF175" s="35"/>
      <c r="AG175" s="35"/>
      <c r="AH175" s="35"/>
      <c r="AI175" s="35"/>
      <c r="AJ175" s="35"/>
      <c r="AK175" s="35"/>
      <c r="AL175" s="35"/>
      <c r="AM175" s="3"/>
      <c r="AN175" s="3"/>
      <c r="AO175" s="35"/>
      <c r="AP175" s="35"/>
      <c r="AV175" s="4" t="str">
        <f t="shared" si="461"/>
        <v>Escavação 1ª e 2ª categoria</v>
      </c>
      <c r="AW175" s="4" t="str">
        <f t="shared" si="462"/>
        <v xml:space="preserve">   Escavação, carga e transporte de material 1ª/2ª categoria - Canal km 122/124/125</v>
      </c>
    </row>
    <row r="176" spans="1:49" ht="15" customHeight="1" outlineLevel="1">
      <c r="A176" s="525">
        <v>0</v>
      </c>
      <c r="B176" s="526"/>
      <c r="C176" s="556"/>
      <c r="D176" s="557"/>
      <c r="E176" s="933" t="s">
        <v>42</v>
      </c>
      <c r="F176" s="859" t="s">
        <v>36</v>
      </c>
      <c r="G176" s="528"/>
      <c r="H176" s="542" t="s">
        <v>37</v>
      </c>
      <c r="I176" s="543">
        <f>SUMIF($L178:$L229,$L176,I178:I229)</f>
        <v>72280</v>
      </c>
      <c r="J176" s="860">
        <f>IFERROR((I177/I176),"-")</f>
        <v>0.77476480354178201</v>
      </c>
      <c r="K176" s="528"/>
      <c r="L176" s="542" t="s">
        <v>37</v>
      </c>
      <c r="M176" s="543">
        <f t="shared" ref="M176" si="567">SUMIF($L178:$L229,$L176,M178:M229)</f>
        <v>8780</v>
      </c>
      <c r="N176" s="860">
        <f>IFERROR((M177/M176),"-")</f>
        <v>1.1218678815489749</v>
      </c>
      <c r="O176" s="528"/>
      <c r="P176" s="543">
        <f t="shared" ref="P176:V176" si="568">SUMIF($L178:$L229,$L176,P178:P229)</f>
        <v>8780</v>
      </c>
      <c r="Q176" s="543">
        <f t="shared" si="568"/>
        <v>8780</v>
      </c>
      <c r="R176" s="543">
        <f t="shared" si="568"/>
        <v>8780</v>
      </c>
      <c r="S176" s="543">
        <f t="shared" si="568"/>
        <v>8780</v>
      </c>
      <c r="T176" s="543">
        <f t="shared" si="568"/>
        <v>7980</v>
      </c>
      <c r="U176" s="543">
        <f t="shared" si="568"/>
        <v>7980</v>
      </c>
      <c r="V176" s="543">
        <f t="shared" si="568"/>
        <v>0</v>
      </c>
      <c r="W176" s="528"/>
      <c r="X176" s="543">
        <f t="shared" ref="X176:X177" si="569">SUMIFS(P176:V176,$P$8:$V$8,"&gt;="&amp;$P$8,$P$8:$V$8,"&lt;="&amp;$N$8)</f>
        <v>17560</v>
      </c>
      <c r="Y176" s="860">
        <f>IFERROR((X177/X176),"-")</f>
        <v>1.1452164009111618</v>
      </c>
      <c r="Z176" s="528"/>
      <c r="AA176" s="814">
        <f>SUM(AA178:AA229)</f>
        <v>292438.67</v>
      </c>
      <c r="AB176" s="814">
        <f>SUM(AB178:AB229)</f>
        <v>189805.21000000002</v>
      </c>
      <c r="AC176" s="814">
        <f>SUM(AC178:AC229)</f>
        <v>113640</v>
      </c>
      <c r="AD176" s="911">
        <f t="shared" ref="AD176" si="570">IFERROR((AC176/AB176),"-")</f>
        <v>0.59871907625717957</v>
      </c>
      <c r="AE176" s="2"/>
      <c r="AF176" s="888">
        <f t="shared" ref="AF176:AL176" si="571">SUM(AF178:AF229)</f>
        <v>306095.902</v>
      </c>
      <c r="AG176" s="888">
        <f t="shared" si="571"/>
        <v>0</v>
      </c>
      <c r="AH176" s="888">
        <f t="shared" si="571"/>
        <v>102197</v>
      </c>
      <c r="AI176" s="888">
        <f t="shared" si="571"/>
        <v>63963.271000000001</v>
      </c>
      <c r="AJ176" s="888">
        <f t="shared" ref="AJ176" si="572">SUM(AJ178:AJ229)</f>
        <v>176799.40899999999</v>
      </c>
      <c r="AK176" s="888">
        <f t="shared" si="571"/>
        <v>762695.58199999982</v>
      </c>
      <c r="AL176" s="888">
        <f t="shared" si="571"/>
        <v>867606.3200000003</v>
      </c>
      <c r="AM176" s="743">
        <f>IFERROR((AK176/AL176),"-")</f>
        <v>0.87908025151315117</v>
      </c>
      <c r="AN176" s="2"/>
      <c r="AO176" s="888">
        <f>SUM(AO178:AO229)</f>
        <v>1363240.64</v>
      </c>
      <c r="AP176" s="888">
        <f>SUM(AP178:AP229)</f>
        <v>600545.05800000008</v>
      </c>
      <c r="AV176" s="4" t="str">
        <f t="shared" si="461"/>
        <v>Escavação 1ª e 2ª categoria</v>
      </c>
      <c r="AW176" s="4" t="str">
        <f t="shared" si="462"/>
        <v>Pacote 05 - Segmento 2.4 - Km 131+260 a  Km 138+000</v>
      </c>
    </row>
    <row r="177" spans="1:49" ht="15" customHeight="1" outlineLevel="1">
      <c r="A177" s="525">
        <v>0</v>
      </c>
      <c r="B177" s="526"/>
      <c r="C177" s="556"/>
      <c r="D177" s="558"/>
      <c r="E177" s="934"/>
      <c r="F177" s="859"/>
      <c r="G177" s="528"/>
      <c r="H177" s="544" t="s">
        <v>38</v>
      </c>
      <c r="I177" s="543">
        <f>SUMIF($L178:$L229,$L177,I178:I229)</f>
        <v>56000</v>
      </c>
      <c r="J177" s="861"/>
      <c r="K177" s="528"/>
      <c r="L177" s="544" t="s">
        <v>38</v>
      </c>
      <c r="M177" s="543">
        <f t="shared" ref="M177" si="573">SUMIF($L178:$L229,$L177,M178:M229)</f>
        <v>9850</v>
      </c>
      <c r="N177" s="861"/>
      <c r="O177" s="528"/>
      <c r="P177" s="543">
        <f>SUMIF($L178:$L229,$L177,P178:P229)</f>
        <v>10260</v>
      </c>
      <c r="Q177" s="543">
        <f t="shared" ref="Q177:V177" si="574">SUMIF($L178:$L229,$L177,Q178:Q229)</f>
        <v>9850</v>
      </c>
      <c r="R177" s="543">
        <f t="shared" si="574"/>
        <v>0</v>
      </c>
      <c r="S177" s="543">
        <f t="shared" si="574"/>
        <v>0</v>
      </c>
      <c r="T177" s="543">
        <f>SUMIF($L178:$L229,$L177,T178:T229)</f>
        <v>0</v>
      </c>
      <c r="U177" s="543">
        <f t="shared" si="574"/>
        <v>0</v>
      </c>
      <c r="V177" s="543">
        <f t="shared" si="574"/>
        <v>0</v>
      </c>
      <c r="W177" s="528"/>
      <c r="X177" s="543">
        <f t="shared" si="569"/>
        <v>20110</v>
      </c>
      <c r="Y177" s="861"/>
      <c r="Z177" s="528"/>
      <c r="AA177" s="814"/>
      <c r="AB177" s="814"/>
      <c r="AC177" s="814"/>
      <c r="AD177" s="912"/>
      <c r="AE177" s="2"/>
      <c r="AF177" s="888"/>
      <c r="AG177" s="888"/>
      <c r="AH177" s="888"/>
      <c r="AI177" s="888"/>
      <c r="AJ177" s="888"/>
      <c r="AK177" s="888"/>
      <c r="AL177" s="888"/>
      <c r="AM177" s="744"/>
      <c r="AN177" s="2"/>
      <c r="AO177" s="888"/>
      <c r="AP177" s="888"/>
      <c r="AV177" s="4" t="str">
        <f t="shared" si="461"/>
        <v>Escavação 1ª e 2ª categoria</v>
      </c>
      <c r="AW177" s="4" t="str">
        <f t="shared" si="462"/>
        <v>Pacote 05 - Segmento 2.4 - Km 131+260 a  Km 138+000</v>
      </c>
    </row>
    <row r="178" spans="1:49" ht="15" customHeight="1" outlineLevel="2">
      <c r="A178" s="545" t="str">
        <f t="shared" ref="A178" si="575">IF(SUM(P178:V179)&gt;0,"S","N")</f>
        <v>S</v>
      </c>
      <c r="B178" s="526">
        <v>1065373</v>
      </c>
      <c r="C178" s="526" t="s">
        <v>381</v>
      </c>
      <c r="D178" s="527" t="s">
        <v>382</v>
      </c>
      <c r="E178" s="892" t="s">
        <v>383</v>
      </c>
      <c r="F178" s="902" t="s">
        <v>36</v>
      </c>
      <c r="G178" s="528"/>
      <c r="H178" s="546" t="s">
        <v>37</v>
      </c>
      <c r="I178" s="711">
        <v>0</v>
      </c>
      <c r="J178" s="896" t="str">
        <f t="shared" ref="J178" si="576">IFERROR((I179/I178),"-")</f>
        <v>-</v>
      </c>
      <c r="K178" s="528"/>
      <c r="L178" s="546" t="s">
        <v>37</v>
      </c>
      <c r="M178" s="711">
        <f t="shared" ref="M178:M229" si="577">_xlfn.XLOOKUP($N$8,$P$8:$V$8,$P178:$V178)</f>
        <v>0</v>
      </c>
      <c r="N178" s="896" t="str">
        <f t="shared" ref="N178" si="578">IFERROR((M179/M178),"-")</f>
        <v>-</v>
      </c>
      <c r="O178" s="528"/>
      <c r="P178" s="547">
        <v>0</v>
      </c>
      <c r="Q178" s="547">
        <v>0</v>
      </c>
      <c r="R178" s="547">
        <v>0</v>
      </c>
      <c r="S178" s="547">
        <v>0</v>
      </c>
      <c r="T178" s="547">
        <v>0</v>
      </c>
      <c r="U178" s="547">
        <v>0</v>
      </c>
      <c r="V178" s="548">
        <v>0</v>
      </c>
      <c r="W178" s="528"/>
      <c r="X178" s="711">
        <f>SUMIFS(P178:V178,$P$8:$V$8,"&gt;="&amp;$P$8,$P$8:$V$8,"&lt;="&amp;$N$8)</f>
        <v>0</v>
      </c>
      <c r="Y178" s="896" t="str">
        <f t="shared" ref="Y178" si="579">IFERROR((X179/X178),"0")</f>
        <v>0</v>
      </c>
      <c r="Z178" s="528"/>
      <c r="AA178" s="898">
        <v>118150.78</v>
      </c>
      <c r="AB178" s="898">
        <v>118150.79000000001</v>
      </c>
      <c r="AC178" s="898">
        <v>5660</v>
      </c>
      <c r="AD178" s="900">
        <f t="shared" ref="AD178" si="580">IFERROR((AC178/AB178),"-")</f>
        <v>4.7904884935597976E-2</v>
      </c>
      <c r="AE178" s="2"/>
      <c r="AF178" s="886">
        <v>260652.73199999999</v>
      </c>
      <c r="AG178" s="884"/>
      <c r="AH178" s="884">
        <v>6080</v>
      </c>
      <c r="AI178" s="884"/>
      <c r="AJ178" s="884"/>
      <c r="AK178" s="884">
        <f t="shared" ref="AK178" si="581">AF178+AG178+AH178+AI178+AJ178+AC178</f>
        <v>272392.73199999996</v>
      </c>
      <c r="AL178" s="884">
        <v>377216.1800000004</v>
      </c>
      <c r="AM178" s="878">
        <f t="shared" ref="AM178" si="582">IFERROR((AK178/AL178),"-")</f>
        <v>0.72211306524550367</v>
      </c>
      <c r="AN178" s="2"/>
      <c r="AO178" s="884">
        <v>377216</v>
      </c>
      <c r="AP178" s="884">
        <f t="shared" ref="AP178" si="583">AO178-AK178</f>
        <v>104823.26800000004</v>
      </c>
      <c r="AV178" s="4" t="str">
        <f t="shared" si="461"/>
        <v>Escavação 1ª e 2ª categoria</v>
      </c>
      <c r="AW178" s="4" t="str">
        <f t="shared" si="462"/>
        <v xml:space="preserve">   Escavação, carga e transporte de material 1ª/2ª categoria - Seg.2.4 C 04</v>
      </c>
    </row>
    <row r="179" spans="1:49" ht="15" customHeight="1" outlineLevel="2">
      <c r="A179" s="545" t="str">
        <f t="shared" ref="A179" si="584">A178</f>
        <v>S</v>
      </c>
      <c r="B179" s="526"/>
      <c r="C179" s="526"/>
      <c r="D179" s="527" t="s">
        <v>382</v>
      </c>
      <c r="E179" s="893"/>
      <c r="F179" s="902"/>
      <c r="G179" s="528"/>
      <c r="H179" s="549" t="s">
        <v>38</v>
      </c>
      <c r="I179" s="711">
        <v>1310</v>
      </c>
      <c r="J179" s="897"/>
      <c r="K179" s="528"/>
      <c r="L179" s="549" t="s">
        <v>38</v>
      </c>
      <c r="M179" s="711">
        <f t="shared" si="577"/>
        <v>1250</v>
      </c>
      <c r="N179" s="897"/>
      <c r="O179" s="528"/>
      <c r="P179" s="711">
        <v>1770</v>
      </c>
      <c r="Q179" s="711">
        <v>1250</v>
      </c>
      <c r="R179" s="711">
        <v>0</v>
      </c>
      <c r="S179" s="711">
        <v>0</v>
      </c>
      <c r="T179" s="711">
        <v>0</v>
      </c>
      <c r="U179" s="711">
        <v>0</v>
      </c>
      <c r="V179" s="711">
        <v>0</v>
      </c>
      <c r="W179" s="528"/>
      <c r="X179" s="711">
        <f t="shared" ref="X179" si="585">SUMIFS(P179:V179,$P$8:$V$8,"&gt;="&amp;$P$8,$P$8:$V$8,"&lt;="&amp;$N$8)</f>
        <v>3020</v>
      </c>
      <c r="Y179" s="897"/>
      <c r="Z179" s="528"/>
      <c r="AA179" s="899"/>
      <c r="AB179" s="899"/>
      <c r="AC179" s="899"/>
      <c r="AD179" s="901"/>
      <c r="AE179" s="2"/>
      <c r="AF179" s="926"/>
      <c r="AG179" s="885"/>
      <c r="AH179" s="885"/>
      <c r="AI179" s="885"/>
      <c r="AJ179" s="885"/>
      <c r="AK179" s="885"/>
      <c r="AL179" s="885"/>
      <c r="AM179" s="879"/>
      <c r="AN179" s="2"/>
      <c r="AO179" s="886"/>
      <c r="AP179" s="886"/>
      <c r="AV179" s="4" t="str">
        <f t="shared" si="461"/>
        <v>Escavação 1ª e 2ª categoria</v>
      </c>
      <c r="AW179" s="4" t="str">
        <f t="shared" si="462"/>
        <v xml:space="preserve">   Escavação, carga e transporte de material 1ª/2ª categoria - Seg.2.4 C 04</v>
      </c>
    </row>
    <row r="180" spans="1:49" ht="15" customHeight="1" outlineLevel="2">
      <c r="A180" s="545" t="str">
        <f t="shared" ref="A180" si="586">IF(SUM(P180:V181)&gt;0,"S","N")</f>
        <v>S</v>
      </c>
      <c r="B180" s="526">
        <v>1065374</v>
      </c>
      <c r="C180" s="526" t="s">
        <v>384</v>
      </c>
      <c r="D180" s="527" t="s">
        <v>385</v>
      </c>
      <c r="E180" s="892" t="s">
        <v>386</v>
      </c>
      <c r="F180" s="902" t="s">
        <v>36</v>
      </c>
      <c r="G180" s="528"/>
      <c r="H180" s="546" t="s">
        <v>37</v>
      </c>
      <c r="I180" s="711">
        <v>8000</v>
      </c>
      <c r="J180" s="896">
        <f>IFERROR((I181/I180),"-")</f>
        <v>1.62625</v>
      </c>
      <c r="K180" s="528"/>
      <c r="L180" s="546" t="s">
        <v>37</v>
      </c>
      <c r="M180" s="711">
        <f t="shared" si="577"/>
        <v>3860</v>
      </c>
      <c r="N180" s="896">
        <f>IFERROR((M181/M180),"-")</f>
        <v>0</v>
      </c>
      <c r="O180" s="528"/>
      <c r="P180" s="547">
        <v>3860</v>
      </c>
      <c r="Q180" s="547">
        <v>3860</v>
      </c>
      <c r="R180" s="547">
        <v>3860</v>
      </c>
      <c r="S180" s="547">
        <v>3860</v>
      </c>
      <c r="T180" s="547">
        <v>3460</v>
      </c>
      <c r="U180" s="547">
        <v>3460</v>
      </c>
      <c r="V180" s="548">
        <v>0</v>
      </c>
      <c r="W180" s="528"/>
      <c r="X180" s="711">
        <f>SUMIFS(P180:V180,$P$8:$V$8,"&gt;="&amp;$P$8,$P$8:$V$8,"&lt;="&amp;$N$8)</f>
        <v>7720</v>
      </c>
      <c r="Y180" s="896">
        <f t="shared" ref="Y180" si="587">IFERROR((X181/X180),"0")</f>
        <v>0</v>
      </c>
      <c r="Z180" s="528"/>
      <c r="AA180" s="898">
        <v>87438.56</v>
      </c>
      <c r="AB180" s="898">
        <v>34546.530000000006</v>
      </c>
      <c r="AC180" s="898">
        <v>25900</v>
      </c>
      <c r="AD180" s="900">
        <f t="shared" ref="AD180" si="588">IFERROR((AC180/AB180),"-")</f>
        <v>0.74971350234017697</v>
      </c>
      <c r="AE180" s="2"/>
      <c r="AF180" s="886">
        <v>37429.17</v>
      </c>
      <c r="AG180" s="884"/>
      <c r="AH180" s="884">
        <v>14037</v>
      </c>
      <c r="AI180" s="884">
        <v>12654.37</v>
      </c>
      <c r="AJ180" s="884">
        <v>15572.95</v>
      </c>
      <c r="AK180" s="884">
        <f t="shared" ref="AK180" si="589">AF180+AG180+AH180+AI180+AJ180+AC180</f>
        <v>105593.49</v>
      </c>
      <c r="AL180" s="884">
        <v>122916.05999999998</v>
      </c>
      <c r="AM180" s="878">
        <f t="shared" ref="AM180" si="590">IFERROR((AK180/AL180),"-")</f>
        <v>0.85906992137561211</v>
      </c>
      <c r="AN180" s="2"/>
      <c r="AO180" s="884">
        <v>468398.37</v>
      </c>
      <c r="AP180" s="884">
        <f t="shared" ref="AP180" si="591">AO180-AK180</f>
        <v>362804.88</v>
      </c>
      <c r="AV180" s="4" t="str">
        <f t="shared" si="461"/>
        <v>Escavação 1ª e 2ª categoria</v>
      </c>
      <c r="AW180" s="4" t="str">
        <f t="shared" si="462"/>
        <v xml:space="preserve">   Escavação, carga e transporte de material 1ª/2ª categoria - Seg.2.4 C 05</v>
      </c>
    </row>
    <row r="181" spans="1:49" ht="15" customHeight="1" outlineLevel="2">
      <c r="A181" s="545" t="str">
        <f t="shared" ref="A181" si="592">A180</f>
        <v>S</v>
      </c>
      <c r="B181" s="526"/>
      <c r="C181" s="526"/>
      <c r="D181" s="527" t="s">
        <v>385</v>
      </c>
      <c r="E181" s="893"/>
      <c r="F181" s="902"/>
      <c r="G181" s="528"/>
      <c r="H181" s="549" t="s">
        <v>38</v>
      </c>
      <c r="I181" s="711">
        <v>13010</v>
      </c>
      <c r="J181" s="897"/>
      <c r="K181" s="528"/>
      <c r="L181" s="549" t="s">
        <v>38</v>
      </c>
      <c r="M181" s="711">
        <f t="shared" si="577"/>
        <v>0</v>
      </c>
      <c r="N181" s="897"/>
      <c r="O181" s="528"/>
      <c r="P181" s="711">
        <v>0</v>
      </c>
      <c r="Q181" s="711">
        <v>0</v>
      </c>
      <c r="R181" s="711">
        <v>0</v>
      </c>
      <c r="S181" s="711">
        <v>0</v>
      </c>
      <c r="T181" s="711">
        <v>0</v>
      </c>
      <c r="U181" s="711">
        <v>0</v>
      </c>
      <c r="V181" s="711">
        <v>0</v>
      </c>
      <c r="W181" s="528"/>
      <c r="X181" s="711">
        <f t="shared" ref="X181:X229" si="593">SUMIFS(P181:V181,$P$8:$V$8,"&gt;="&amp;$P$8,$P$8:$V$8,"&lt;="&amp;$N$8)</f>
        <v>0</v>
      </c>
      <c r="Y181" s="897"/>
      <c r="Z181" s="528"/>
      <c r="AA181" s="899"/>
      <c r="AB181" s="899"/>
      <c r="AC181" s="899"/>
      <c r="AD181" s="901"/>
      <c r="AE181" s="2"/>
      <c r="AF181" s="926"/>
      <c r="AG181" s="885"/>
      <c r="AH181" s="885"/>
      <c r="AI181" s="885"/>
      <c r="AJ181" s="885"/>
      <c r="AK181" s="885"/>
      <c r="AL181" s="885"/>
      <c r="AM181" s="879"/>
      <c r="AN181" s="2"/>
      <c r="AO181" s="886"/>
      <c r="AP181" s="886"/>
      <c r="AV181" s="4" t="str">
        <f t="shared" si="461"/>
        <v>Escavação 1ª e 2ª categoria</v>
      </c>
      <c r="AW181" s="4" t="str">
        <f t="shared" si="462"/>
        <v xml:space="preserve">   Escavação, carga e transporte de material 1ª/2ª categoria - Seg.2.4 C 05</v>
      </c>
    </row>
    <row r="182" spans="1:49" ht="15" customHeight="1" outlineLevel="2">
      <c r="A182" s="545" t="str">
        <f t="shared" ref="A182" si="594">IF(SUM(P182:V183)&gt;0,"S","N")</f>
        <v>S</v>
      </c>
      <c r="B182" s="526">
        <v>1065376</v>
      </c>
      <c r="C182" s="526" t="s">
        <v>387</v>
      </c>
      <c r="D182" s="527" t="s">
        <v>388</v>
      </c>
      <c r="E182" s="892" t="s">
        <v>389</v>
      </c>
      <c r="F182" s="902" t="s">
        <v>36</v>
      </c>
      <c r="G182" s="528"/>
      <c r="H182" s="546" t="s">
        <v>37</v>
      </c>
      <c r="I182" s="711">
        <v>14360</v>
      </c>
      <c r="J182" s="896">
        <f>IFERROR((I183/I182),"-")</f>
        <v>0.16016713091922005</v>
      </c>
      <c r="K182" s="528"/>
      <c r="L182" s="546" t="s">
        <v>37</v>
      </c>
      <c r="M182" s="711">
        <f t="shared" si="577"/>
        <v>2460</v>
      </c>
      <c r="N182" s="896">
        <f>IFERROR((M183/M182),"-")</f>
        <v>0</v>
      </c>
      <c r="O182" s="528"/>
      <c r="P182" s="547">
        <v>2460</v>
      </c>
      <c r="Q182" s="547">
        <v>2460</v>
      </c>
      <c r="R182" s="547">
        <v>2460</v>
      </c>
      <c r="S182" s="547">
        <v>0</v>
      </c>
      <c r="T182" s="547">
        <v>0</v>
      </c>
      <c r="U182" s="547">
        <v>0</v>
      </c>
      <c r="V182" s="548">
        <v>0</v>
      </c>
      <c r="W182" s="528"/>
      <c r="X182" s="711">
        <f t="shared" si="593"/>
        <v>4920</v>
      </c>
      <c r="Y182" s="896">
        <f t="shared" ref="Y182" si="595">IFERROR((X183/X182),"0")</f>
        <v>0</v>
      </c>
      <c r="Z182" s="528"/>
      <c r="AA182" s="898">
        <v>86849.33</v>
      </c>
      <c r="AB182" s="898">
        <v>37107.89</v>
      </c>
      <c r="AC182" s="898">
        <v>2300</v>
      </c>
      <c r="AD182" s="900">
        <f t="shared" ref="AD182" si="596">IFERROR((AC182/AB182),"-")</f>
        <v>6.1981427669425562E-2</v>
      </c>
      <c r="AE182" s="2"/>
      <c r="AF182" s="884">
        <v>0</v>
      </c>
      <c r="AG182" s="884"/>
      <c r="AH182" s="884">
        <v>0</v>
      </c>
      <c r="AI182" s="884">
        <v>25439.617999999999</v>
      </c>
      <c r="AJ182" s="884">
        <v>58434.921999999999</v>
      </c>
      <c r="AK182" s="884">
        <f t="shared" ref="AK182" si="597">AF182+AG182+AH182+AI182+AJ182+AC182</f>
        <v>86174.54</v>
      </c>
      <c r="AL182" s="884">
        <v>128982.88999999994</v>
      </c>
      <c r="AM182" s="878">
        <f t="shared" ref="AM182" si="598">IFERROR((AK182/AL182),"-")</f>
        <v>0.66810830490772877</v>
      </c>
      <c r="AN182" s="2"/>
      <c r="AO182" s="884">
        <v>178724</v>
      </c>
      <c r="AP182" s="884">
        <f t="shared" ref="AP182" si="599">AO182-AK182</f>
        <v>92549.46</v>
      </c>
      <c r="AV182" s="4" t="str">
        <f t="shared" si="461"/>
        <v>Escavação 1ª e 2ª categoria</v>
      </c>
      <c r="AW182" s="4" t="str">
        <f t="shared" si="462"/>
        <v xml:space="preserve">   Escavação, carga e transporte de material 1ª/2ª categoria - Seg.2.4 C 06</v>
      </c>
    </row>
    <row r="183" spans="1:49" ht="15" customHeight="1" outlineLevel="2">
      <c r="A183" s="545" t="str">
        <f t="shared" ref="A183" si="600">A182</f>
        <v>S</v>
      </c>
      <c r="B183" s="526"/>
      <c r="C183" s="526"/>
      <c r="D183" s="527" t="s">
        <v>388</v>
      </c>
      <c r="E183" s="893"/>
      <c r="F183" s="902"/>
      <c r="G183" s="528"/>
      <c r="H183" s="549" t="s">
        <v>38</v>
      </c>
      <c r="I183" s="711">
        <v>2300</v>
      </c>
      <c r="J183" s="897"/>
      <c r="K183" s="528"/>
      <c r="L183" s="549" t="s">
        <v>38</v>
      </c>
      <c r="M183" s="711">
        <f t="shared" si="577"/>
        <v>0</v>
      </c>
      <c r="N183" s="897"/>
      <c r="O183" s="528"/>
      <c r="P183" s="711">
        <v>0</v>
      </c>
      <c r="Q183" s="711">
        <v>0</v>
      </c>
      <c r="R183" s="711">
        <v>0</v>
      </c>
      <c r="S183" s="711">
        <v>0</v>
      </c>
      <c r="T183" s="711">
        <v>0</v>
      </c>
      <c r="U183" s="711">
        <v>0</v>
      </c>
      <c r="V183" s="711">
        <v>0</v>
      </c>
      <c r="W183" s="528"/>
      <c r="X183" s="711">
        <f t="shared" si="593"/>
        <v>0</v>
      </c>
      <c r="Y183" s="897"/>
      <c r="Z183" s="528"/>
      <c r="AA183" s="899"/>
      <c r="AB183" s="899"/>
      <c r="AC183" s="899"/>
      <c r="AD183" s="901"/>
      <c r="AE183" s="2"/>
      <c r="AF183" s="885"/>
      <c r="AG183" s="885"/>
      <c r="AH183" s="885"/>
      <c r="AI183" s="885"/>
      <c r="AJ183" s="885"/>
      <c r="AK183" s="885"/>
      <c r="AL183" s="885"/>
      <c r="AM183" s="879"/>
      <c r="AN183" s="2"/>
      <c r="AO183" s="886"/>
      <c r="AP183" s="886"/>
      <c r="AV183" s="4" t="str">
        <f t="shared" si="461"/>
        <v>Escavação 1ª e 2ª categoria</v>
      </c>
      <c r="AW183" s="4" t="str">
        <f t="shared" si="462"/>
        <v xml:space="preserve">   Escavação, carga e transporte de material 1ª/2ª categoria - Seg.2.4 C 06</v>
      </c>
    </row>
    <row r="184" spans="1:49" ht="15" customHeight="1" outlineLevel="2">
      <c r="A184" s="545" t="str">
        <f t="shared" ref="A184" si="601">IF(SUM(P184:V185)&gt;0,"S","N")</f>
        <v>N</v>
      </c>
      <c r="B184" s="526">
        <v>1064814</v>
      </c>
      <c r="C184" s="526" t="s">
        <v>390</v>
      </c>
      <c r="D184" s="527" t="s">
        <v>391</v>
      </c>
      <c r="E184" s="892" t="s">
        <v>392</v>
      </c>
      <c r="F184" s="902" t="s">
        <v>36</v>
      </c>
      <c r="G184" s="528"/>
      <c r="H184" s="546" t="s">
        <v>37</v>
      </c>
      <c r="I184" s="711">
        <v>0</v>
      </c>
      <c r="J184" s="896" t="str">
        <f>IFERROR((I185/I184),"-")</f>
        <v>-</v>
      </c>
      <c r="K184" s="528"/>
      <c r="L184" s="546" t="s">
        <v>37</v>
      </c>
      <c r="M184" s="711">
        <f t="shared" si="577"/>
        <v>0</v>
      </c>
      <c r="N184" s="896" t="str">
        <f>IFERROR((M185/M184),"-")</f>
        <v>-</v>
      </c>
      <c r="O184" s="528"/>
      <c r="P184" s="547">
        <v>0</v>
      </c>
      <c r="Q184" s="547">
        <v>0</v>
      </c>
      <c r="R184" s="547">
        <v>0</v>
      </c>
      <c r="S184" s="547">
        <v>0</v>
      </c>
      <c r="T184" s="547">
        <v>0</v>
      </c>
      <c r="U184" s="547">
        <v>0</v>
      </c>
      <c r="V184" s="548">
        <v>0</v>
      </c>
      <c r="W184" s="528"/>
      <c r="X184" s="711">
        <f t="shared" si="593"/>
        <v>0</v>
      </c>
      <c r="Y184" s="896" t="str">
        <f t="shared" ref="Y184" si="602">IFERROR((X185/X184),"0")</f>
        <v>0</v>
      </c>
      <c r="Z184" s="528"/>
      <c r="AA184" s="898">
        <v>0</v>
      </c>
      <c r="AB184" s="898">
        <v>0</v>
      </c>
      <c r="AC184" s="898">
        <v>0</v>
      </c>
      <c r="AD184" s="900" t="str">
        <f t="shared" ref="AD184" si="603">IFERROR((AC184/AB184),"-")</f>
        <v>-</v>
      </c>
      <c r="AE184" s="2"/>
      <c r="AF184" s="884">
        <v>0</v>
      </c>
      <c r="AG184" s="884"/>
      <c r="AH184" s="884">
        <v>0</v>
      </c>
      <c r="AI184" s="884"/>
      <c r="AJ184" s="884"/>
      <c r="AK184" s="884">
        <f t="shared" ref="AK184" si="604">AF184+AG184+AH184+AI184+AJ184+AC184</f>
        <v>0</v>
      </c>
      <c r="AL184" s="884">
        <v>0</v>
      </c>
      <c r="AM184" s="878" t="str">
        <f t="shared" ref="AM184" si="605">IFERROR((AK184/AL184),"-")</f>
        <v>-</v>
      </c>
      <c r="AN184" s="2"/>
      <c r="AO184" s="884">
        <v>2541</v>
      </c>
      <c r="AP184" s="884">
        <f t="shared" ref="AP184" si="606">AO184-AK184</f>
        <v>2541</v>
      </c>
      <c r="AV184" s="4" t="str">
        <f t="shared" si="461"/>
        <v>Escavação 1ª e 2ª categoria</v>
      </c>
      <c r="AW184" s="4" t="str">
        <f t="shared" si="462"/>
        <v xml:space="preserve">   Escavação, carga e transporte de material 1ª/2ª categoria - Seg.2.4 acesso km 132+00</v>
      </c>
    </row>
    <row r="185" spans="1:49" ht="15" customHeight="1" outlineLevel="2">
      <c r="A185" s="545" t="str">
        <f t="shared" ref="A185" si="607">A184</f>
        <v>N</v>
      </c>
      <c r="B185" s="526"/>
      <c r="C185" s="526"/>
      <c r="D185" s="527" t="s">
        <v>391</v>
      </c>
      <c r="E185" s="893"/>
      <c r="F185" s="902"/>
      <c r="G185" s="528"/>
      <c r="H185" s="549" t="s">
        <v>38</v>
      </c>
      <c r="I185" s="711">
        <v>0</v>
      </c>
      <c r="J185" s="897"/>
      <c r="K185" s="528"/>
      <c r="L185" s="549" t="s">
        <v>38</v>
      </c>
      <c r="M185" s="711">
        <f t="shared" si="577"/>
        <v>0</v>
      </c>
      <c r="N185" s="897"/>
      <c r="O185" s="528"/>
      <c r="P185" s="711">
        <v>0</v>
      </c>
      <c r="Q185" s="711">
        <v>0</v>
      </c>
      <c r="R185" s="711">
        <v>0</v>
      </c>
      <c r="S185" s="711">
        <v>0</v>
      </c>
      <c r="T185" s="711">
        <v>0</v>
      </c>
      <c r="U185" s="711">
        <v>0</v>
      </c>
      <c r="V185" s="711">
        <v>0</v>
      </c>
      <c r="W185" s="528"/>
      <c r="X185" s="711">
        <f t="shared" si="593"/>
        <v>0</v>
      </c>
      <c r="Y185" s="897"/>
      <c r="Z185" s="528"/>
      <c r="AA185" s="899"/>
      <c r="AB185" s="899"/>
      <c r="AC185" s="899"/>
      <c r="AD185" s="901"/>
      <c r="AE185" s="2"/>
      <c r="AF185" s="885"/>
      <c r="AG185" s="885"/>
      <c r="AH185" s="885"/>
      <c r="AI185" s="885"/>
      <c r="AJ185" s="885"/>
      <c r="AK185" s="885"/>
      <c r="AL185" s="885"/>
      <c r="AM185" s="879"/>
      <c r="AN185" s="2"/>
      <c r="AO185" s="886"/>
      <c r="AP185" s="886"/>
      <c r="AV185" s="4" t="str">
        <f t="shared" si="461"/>
        <v>Escavação 1ª e 2ª categoria</v>
      </c>
      <c r="AW185" s="4" t="str">
        <f t="shared" si="462"/>
        <v xml:space="preserve">   Escavação, carga e transporte de material 1ª/2ª categoria - Seg.2.4 acesso km 132+00</v>
      </c>
    </row>
    <row r="186" spans="1:49" ht="15" customHeight="1" outlineLevel="2">
      <c r="A186" s="545" t="str">
        <f t="shared" ref="A186" si="608">IF(SUM(P186:V187)&gt;0,"S","N")</f>
        <v>N</v>
      </c>
      <c r="B186" s="526">
        <v>1064817</v>
      </c>
      <c r="C186" s="526" t="s">
        <v>393</v>
      </c>
      <c r="D186" s="527" t="s">
        <v>394</v>
      </c>
      <c r="E186" s="892" t="s">
        <v>395</v>
      </c>
      <c r="F186" s="902" t="s">
        <v>36</v>
      </c>
      <c r="G186" s="528"/>
      <c r="H186" s="546" t="s">
        <v>37</v>
      </c>
      <c r="I186" s="711">
        <v>0</v>
      </c>
      <c r="J186" s="896" t="str">
        <f t="shared" ref="J186" si="609">IFERROR((I187/I186),"-")</f>
        <v>-</v>
      </c>
      <c r="K186" s="528"/>
      <c r="L186" s="546" t="s">
        <v>37</v>
      </c>
      <c r="M186" s="711">
        <f t="shared" si="577"/>
        <v>0</v>
      </c>
      <c r="N186" s="896" t="str">
        <f t="shared" ref="N186" si="610">IFERROR((M187/M186),"-")</f>
        <v>-</v>
      </c>
      <c r="O186" s="528"/>
      <c r="P186" s="547">
        <v>0</v>
      </c>
      <c r="Q186" s="547">
        <v>0</v>
      </c>
      <c r="R186" s="547">
        <v>0</v>
      </c>
      <c r="S186" s="547">
        <v>0</v>
      </c>
      <c r="T186" s="547">
        <v>0</v>
      </c>
      <c r="U186" s="547">
        <v>0</v>
      </c>
      <c r="V186" s="548">
        <v>0</v>
      </c>
      <c r="W186" s="528"/>
      <c r="X186" s="711">
        <f t="shared" si="593"/>
        <v>0</v>
      </c>
      <c r="Y186" s="896" t="str">
        <f t="shared" ref="Y186" si="611">IFERROR((X187/X186),"0")</f>
        <v>0</v>
      </c>
      <c r="Z186" s="528"/>
      <c r="AA186" s="898">
        <v>0</v>
      </c>
      <c r="AB186" s="898">
        <v>0</v>
      </c>
      <c r="AC186" s="898">
        <v>0</v>
      </c>
      <c r="AD186" s="900" t="str">
        <f t="shared" ref="AD186" si="612">IFERROR((AC186/AB186),"-")</f>
        <v>-</v>
      </c>
      <c r="AE186" s="2"/>
      <c r="AF186" s="884">
        <v>0</v>
      </c>
      <c r="AG186" s="884"/>
      <c r="AH186" s="884">
        <v>0</v>
      </c>
      <c r="AI186" s="884"/>
      <c r="AJ186" s="884"/>
      <c r="AK186" s="884">
        <f t="shared" ref="AK186" si="613">AF186+AG186+AH186+AI186+AJ186+AC186</f>
        <v>0</v>
      </c>
      <c r="AL186" s="884">
        <v>0</v>
      </c>
      <c r="AM186" s="878" t="str">
        <f t="shared" ref="AM186" si="614">IFERROR((AK186/AL186),"-")</f>
        <v>-</v>
      </c>
      <c r="AN186" s="2"/>
      <c r="AO186" s="884">
        <v>11</v>
      </c>
      <c r="AP186" s="884">
        <f t="shared" ref="AP186" si="615">AO186-AK186</f>
        <v>11</v>
      </c>
      <c r="AV186" s="4" t="str">
        <f t="shared" si="461"/>
        <v>Escavação 1ª e 2ª categoria</v>
      </c>
      <c r="AW186" s="4" t="str">
        <f t="shared" si="462"/>
        <v xml:space="preserve">   Escavação, carga e transporte de material 1ª/2ª categoria - Seg.2.4 acesso km 137+500</v>
      </c>
    </row>
    <row r="187" spans="1:49" ht="15" customHeight="1" outlineLevel="2">
      <c r="A187" s="545" t="str">
        <f t="shared" ref="A187" si="616">A186</f>
        <v>N</v>
      </c>
      <c r="B187" s="526"/>
      <c r="C187" s="526"/>
      <c r="D187" s="527" t="s">
        <v>394</v>
      </c>
      <c r="E187" s="893"/>
      <c r="F187" s="902"/>
      <c r="G187" s="528"/>
      <c r="H187" s="549" t="s">
        <v>38</v>
      </c>
      <c r="I187" s="711">
        <v>0</v>
      </c>
      <c r="J187" s="897"/>
      <c r="K187" s="528"/>
      <c r="L187" s="549" t="s">
        <v>38</v>
      </c>
      <c r="M187" s="711">
        <f t="shared" si="577"/>
        <v>0</v>
      </c>
      <c r="N187" s="897"/>
      <c r="O187" s="528"/>
      <c r="P187" s="711">
        <v>0</v>
      </c>
      <c r="Q187" s="711">
        <v>0</v>
      </c>
      <c r="R187" s="711">
        <v>0</v>
      </c>
      <c r="S187" s="711">
        <v>0</v>
      </c>
      <c r="T187" s="711">
        <v>0</v>
      </c>
      <c r="U187" s="711">
        <v>0</v>
      </c>
      <c r="V187" s="711">
        <v>0</v>
      </c>
      <c r="W187" s="528"/>
      <c r="X187" s="711">
        <f t="shared" si="593"/>
        <v>0</v>
      </c>
      <c r="Y187" s="897"/>
      <c r="Z187" s="528"/>
      <c r="AA187" s="899"/>
      <c r="AB187" s="899"/>
      <c r="AC187" s="899"/>
      <c r="AD187" s="901"/>
      <c r="AE187" s="2"/>
      <c r="AF187" s="885"/>
      <c r="AG187" s="885"/>
      <c r="AH187" s="885"/>
      <c r="AI187" s="885"/>
      <c r="AJ187" s="885"/>
      <c r="AK187" s="885"/>
      <c r="AL187" s="885"/>
      <c r="AM187" s="879"/>
      <c r="AN187" s="2"/>
      <c r="AO187" s="886"/>
      <c r="AP187" s="886"/>
      <c r="AV187" s="4" t="str">
        <f t="shared" si="461"/>
        <v>Escavação 1ª e 2ª categoria</v>
      </c>
      <c r="AW187" s="4" t="str">
        <f t="shared" si="462"/>
        <v xml:space="preserve">   Escavação, carga e transporte de material 1ª/2ª categoria - Seg.2.4 acesso km 137+500</v>
      </c>
    </row>
    <row r="188" spans="1:49" ht="15" customHeight="1" outlineLevel="2">
      <c r="A188" s="545" t="str">
        <f t="shared" ref="A188" si="617">IF(SUM(P188:V189)&gt;0,"S","N")</f>
        <v>N</v>
      </c>
      <c r="B188" s="526">
        <v>1063840</v>
      </c>
      <c r="C188" s="526" t="s">
        <v>396</v>
      </c>
      <c r="D188" s="527" t="s">
        <v>397</v>
      </c>
      <c r="E188" s="892" t="s">
        <v>246</v>
      </c>
      <c r="F188" s="902" t="s">
        <v>36</v>
      </c>
      <c r="G188" s="528"/>
      <c r="H188" s="546" t="s">
        <v>37</v>
      </c>
      <c r="I188" s="711">
        <v>0</v>
      </c>
      <c r="J188" s="896" t="str">
        <f>IFERROR((I189/I188),"-")</f>
        <v>-</v>
      </c>
      <c r="K188" s="528"/>
      <c r="L188" s="546" t="s">
        <v>37</v>
      </c>
      <c r="M188" s="711">
        <f t="shared" si="577"/>
        <v>0</v>
      </c>
      <c r="N188" s="896" t="str">
        <f>IFERROR((M189/M188),"-")</f>
        <v>-</v>
      </c>
      <c r="O188" s="528"/>
      <c r="P188" s="547">
        <v>0</v>
      </c>
      <c r="Q188" s="547">
        <v>0</v>
      </c>
      <c r="R188" s="547">
        <v>0</v>
      </c>
      <c r="S188" s="547">
        <v>0</v>
      </c>
      <c r="T188" s="547">
        <v>0</v>
      </c>
      <c r="U188" s="547">
        <v>0</v>
      </c>
      <c r="V188" s="548">
        <v>0</v>
      </c>
      <c r="W188" s="528"/>
      <c r="X188" s="711">
        <f t="shared" si="593"/>
        <v>0</v>
      </c>
      <c r="Y188" s="896" t="str">
        <f t="shared" ref="Y188" si="618">IFERROR((X189/X188),"0")</f>
        <v>0</v>
      </c>
      <c r="Z188" s="528"/>
      <c r="AA188" s="898">
        <v>0</v>
      </c>
      <c r="AB188" s="898">
        <v>0</v>
      </c>
      <c r="AC188" s="898">
        <v>0</v>
      </c>
      <c r="AD188" s="900" t="str">
        <f t="shared" ref="AD188" si="619">IFERROR((AC188/AB188),"-")</f>
        <v>-</v>
      </c>
      <c r="AE188" s="2"/>
      <c r="AF188" s="884">
        <v>0</v>
      </c>
      <c r="AG188" s="884"/>
      <c r="AH188" s="884">
        <v>0</v>
      </c>
      <c r="AI188" s="884"/>
      <c r="AJ188" s="884"/>
      <c r="AK188" s="884">
        <f t="shared" ref="AK188" si="620">AF188+AG188+AH188+AI188+AJ188+AC188</f>
        <v>0</v>
      </c>
      <c r="AL188" s="884">
        <v>5673.92</v>
      </c>
      <c r="AM188" s="878">
        <f t="shared" ref="AM188" si="621">IFERROR((AK188/AL188),"-")</f>
        <v>0</v>
      </c>
      <c r="AN188" s="2"/>
      <c r="AO188" s="884">
        <v>5673.86</v>
      </c>
      <c r="AP188" s="884">
        <f t="shared" ref="AP188" si="622">AO188-AK188</f>
        <v>5673.86</v>
      </c>
      <c r="AV188" s="4" t="str">
        <f t="shared" si="461"/>
        <v>Escavação 1ª e 2ª categoria</v>
      </c>
      <c r="AW188" s="4" t="str">
        <f t="shared" si="462"/>
        <v xml:space="preserve">   Escavação, carga e transporte de material 1ª/2ª categoria</v>
      </c>
    </row>
    <row r="189" spans="1:49" ht="15" customHeight="1" outlineLevel="2">
      <c r="A189" s="545" t="str">
        <f t="shared" ref="A189" si="623">A188</f>
        <v>N</v>
      </c>
      <c r="B189" s="526"/>
      <c r="C189" s="526"/>
      <c r="D189" s="527" t="s">
        <v>397</v>
      </c>
      <c r="E189" s="893"/>
      <c r="F189" s="902"/>
      <c r="G189" s="528"/>
      <c r="H189" s="549" t="s">
        <v>38</v>
      </c>
      <c r="I189" s="711">
        <v>0</v>
      </c>
      <c r="J189" s="897"/>
      <c r="K189" s="528"/>
      <c r="L189" s="549" t="s">
        <v>38</v>
      </c>
      <c r="M189" s="711">
        <f t="shared" si="577"/>
        <v>0</v>
      </c>
      <c r="N189" s="897"/>
      <c r="O189" s="528"/>
      <c r="P189" s="711">
        <v>0</v>
      </c>
      <c r="Q189" s="711">
        <v>0</v>
      </c>
      <c r="R189" s="711">
        <v>0</v>
      </c>
      <c r="S189" s="711">
        <v>0</v>
      </c>
      <c r="T189" s="711">
        <v>0</v>
      </c>
      <c r="U189" s="711">
        <v>0</v>
      </c>
      <c r="V189" s="711">
        <v>0</v>
      </c>
      <c r="W189" s="528"/>
      <c r="X189" s="711">
        <f t="shared" si="593"/>
        <v>0</v>
      </c>
      <c r="Y189" s="897"/>
      <c r="Z189" s="528"/>
      <c r="AA189" s="899"/>
      <c r="AB189" s="899"/>
      <c r="AC189" s="899"/>
      <c r="AD189" s="901"/>
      <c r="AE189" s="2"/>
      <c r="AF189" s="885"/>
      <c r="AG189" s="885"/>
      <c r="AH189" s="885"/>
      <c r="AI189" s="885"/>
      <c r="AJ189" s="885"/>
      <c r="AK189" s="885"/>
      <c r="AL189" s="885"/>
      <c r="AM189" s="879"/>
      <c r="AN189" s="2"/>
      <c r="AO189" s="886"/>
      <c r="AP189" s="886"/>
      <c r="AV189" s="4" t="str">
        <f t="shared" si="461"/>
        <v>Escavação 1ª e 2ª categoria</v>
      </c>
      <c r="AW189" s="4" t="str">
        <f t="shared" si="462"/>
        <v xml:space="preserve">   Escavação, carga e transporte de material 1ª/2ª categoria</v>
      </c>
    </row>
    <row r="190" spans="1:49" ht="15" customHeight="1" outlineLevel="2">
      <c r="A190" s="545" t="str">
        <f t="shared" ref="A190" si="624">IF(SUM(P190:V191)&gt;0,"S","N")</f>
        <v>S</v>
      </c>
      <c r="B190" s="526">
        <v>1065377</v>
      </c>
      <c r="C190" s="526" t="s">
        <v>398</v>
      </c>
      <c r="D190" s="527" t="s">
        <v>399</v>
      </c>
      <c r="E190" s="892" t="s">
        <v>400</v>
      </c>
      <c r="F190" s="902" t="s">
        <v>36</v>
      </c>
      <c r="G190" s="528"/>
      <c r="H190" s="546" t="s">
        <v>37</v>
      </c>
      <c r="I190" s="711">
        <v>13200</v>
      </c>
      <c r="J190" s="896">
        <f>IFERROR((I191/I190),"-")</f>
        <v>0</v>
      </c>
      <c r="K190" s="528"/>
      <c r="L190" s="546" t="s">
        <v>37</v>
      </c>
      <c r="M190" s="711">
        <f t="shared" si="577"/>
        <v>0</v>
      </c>
      <c r="N190" s="896" t="str">
        <f>IFERROR((M191/M190),"-")</f>
        <v>-</v>
      </c>
      <c r="O190" s="528"/>
      <c r="P190" s="547">
        <v>0</v>
      </c>
      <c r="Q190" s="547">
        <v>0</v>
      </c>
      <c r="R190" s="547">
        <v>0</v>
      </c>
      <c r="S190" s="547">
        <v>2460</v>
      </c>
      <c r="T190" s="547">
        <v>2260</v>
      </c>
      <c r="U190" s="547">
        <v>2260</v>
      </c>
      <c r="V190" s="548">
        <v>0</v>
      </c>
      <c r="W190" s="528"/>
      <c r="X190" s="711">
        <f t="shared" si="593"/>
        <v>0</v>
      </c>
      <c r="Y190" s="896" t="str">
        <f t="shared" ref="Y190" si="625">IFERROR((X191/X190),"0")</f>
        <v>0</v>
      </c>
      <c r="Z190" s="528"/>
      <c r="AA190" s="898">
        <v>0</v>
      </c>
      <c r="AB190" s="898">
        <v>0</v>
      </c>
      <c r="AC190" s="898">
        <v>0</v>
      </c>
      <c r="AD190" s="900" t="str">
        <f t="shared" ref="AD190" si="626">IFERROR((AC190/AB190),"-")</f>
        <v>-</v>
      </c>
      <c r="AE190" s="2"/>
      <c r="AF190" s="884">
        <v>0</v>
      </c>
      <c r="AG190" s="884"/>
      <c r="AH190" s="884">
        <v>0</v>
      </c>
      <c r="AI190" s="884"/>
      <c r="AJ190" s="884">
        <v>3113.11</v>
      </c>
      <c r="AK190" s="884">
        <f t="shared" ref="AK190" si="627">AF190+AG190+AH190+AI190+AJ190+AC190</f>
        <v>3113.11</v>
      </c>
      <c r="AL190" s="884">
        <v>8032.9999999999973</v>
      </c>
      <c r="AM190" s="878">
        <f t="shared" ref="AM190" si="628">IFERROR((AK190/AL190),"-")</f>
        <v>0.38754014689406213</v>
      </c>
      <c r="AN190" s="2"/>
      <c r="AO190" s="884">
        <v>7997</v>
      </c>
      <c r="AP190" s="884">
        <f t="shared" ref="AP190" si="629">AO190-AK190</f>
        <v>4883.8899999999994</v>
      </c>
      <c r="AV190" s="4" t="str">
        <f t="shared" si="461"/>
        <v>Escavação 1ª e 2ª categoria</v>
      </c>
      <c r="AW190" s="4" t="str">
        <f t="shared" si="462"/>
        <v xml:space="preserve">   Escavação, carga e transporte de material 1ª/2ª categoria - Seg.2.4 C 07</v>
      </c>
    </row>
    <row r="191" spans="1:49" ht="15" customHeight="1" outlineLevel="2">
      <c r="A191" s="545" t="str">
        <f t="shared" ref="A191" si="630">A190</f>
        <v>S</v>
      </c>
      <c r="B191" s="526"/>
      <c r="C191" s="526"/>
      <c r="D191" s="527" t="s">
        <v>399</v>
      </c>
      <c r="E191" s="893"/>
      <c r="F191" s="902"/>
      <c r="G191" s="528"/>
      <c r="H191" s="549" t="s">
        <v>38</v>
      </c>
      <c r="I191" s="711">
        <v>0</v>
      </c>
      <c r="J191" s="897"/>
      <c r="K191" s="528"/>
      <c r="L191" s="549" t="s">
        <v>38</v>
      </c>
      <c r="M191" s="711">
        <f t="shared" si="577"/>
        <v>0</v>
      </c>
      <c r="N191" s="897"/>
      <c r="O191" s="528"/>
      <c r="P191" s="711">
        <v>0</v>
      </c>
      <c r="Q191" s="711">
        <v>0</v>
      </c>
      <c r="R191" s="711">
        <v>0</v>
      </c>
      <c r="S191" s="711">
        <v>0</v>
      </c>
      <c r="T191" s="711">
        <v>0</v>
      </c>
      <c r="U191" s="711">
        <v>0</v>
      </c>
      <c r="V191" s="711">
        <v>0</v>
      </c>
      <c r="W191" s="528"/>
      <c r="X191" s="711">
        <f t="shared" si="593"/>
        <v>0</v>
      </c>
      <c r="Y191" s="897"/>
      <c r="Z191" s="528"/>
      <c r="AA191" s="899"/>
      <c r="AB191" s="899"/>
      <c r="AC191" s="899"/>
      <c r="AD191" s="901"/>
      <c r="AE191" s="2"/>
      <c r="AF191" s="885"/>
      <c r="AG191" s="885"/>
      <c r="AH191" s="885"/>
      <c r="AI191" s="885"/>
      <c r="AJ191" s="885"/>
      <c r="AK191" s="885"/>
      <c r="AL191" s="885"/>
      <c r="AM191" s="879"/>
      <c r="AN191" s="2"/>
      <c r="AO191" s="886"/>
      <c r="AP191" s="886"/>
      <c r="AV191" s="4" t="str">
        <f t="shared" si="461"/>
        <v>Escavação 1ª e 2ª categoria</v>
      </c>
      <c r="AW191" s="4" t="str">
        <f t="shared" si="462"/>
        <v xml:space="preserve">   Escavação, carga e transporte de material 1ª/2ª categoria - Seg.2.4 C 07</v>
      </c>
    </row>
    <row r="192" spans="1:49" ht="15" customHeight="1" outlineLevel="2">
      <c r="A192" s="525" t="str">
        <f t="shared" ref="A192" si="631">IF(SUM(P192:V193)&gt;0,"S","N")</f>
        <v>S</v>
      </c>
      <c r="B192" s="526">
        <v>1065378</v>
      </c>
      <c r="C192" s="526" t="s">
        <v>401</v>
      </c>
      <c r="D192" s="527" t="s">
        <v>402</v>
      </c>
      <c r="E192" s="892" t="s">
        <v>403</v>
      </c>
      <c r="F192" s="902" t="s">
        <v>36</v>
      </c>
      <c r="G192" s="528"/>
      <c r="H192" s="546" t="s">
        <v>37</v>
      </c>
      <c r="I192" s="711">
        <v>36720</v>
      </c>
      <c r="J192" s="896">
        <f>IFERROR((I193/I192),"-")</f>
        <v>6.7265795206971679E-2</v>
      </c>
      <c r="K192" s="528"/>
      <c r="L192" s="546" t="s">
        <v>37</v>
      </c>
      <c r="M192" s="711">
        <f t="shared" si="577"/>
        <v>2460</v>
      </c>
      <c r="N192" s="896">
        <f>IFERROR((M193/M192),"-")</f>
        <v>0</v>
      </c>
      <c r="O192" s="528"/>
      <c r="P192" s="547">
        <v>2460</v>
      </c>
      <c r="Q192" s="547">
        <v>2460</v>
      </c>
      <c r="R192" s="547">
        <v>2460</v>
      </c>
      <c r="S192" s="547">
        <v>2460</v>
      </c>
      <c r="T192" s="547">
        <v>2260</v>
      </c>
      <c r="U192" s="547">
        <v>2260</v>
      </c>
      <c r="V192" s="548">
        <v>0</v>
      </c>
      <c r="W192" s="528"/>
      <c r="X192" s="711">
        <f t="shared" si="593"/>
        <v>4920</v>
      </c>
      <c r="Y192" s="896">
        <f t="shared" ref="Y192" si="632">IFERROR((X193/X192),"0")</f>
        <v>0</v>
      </c>
      <c r="Z192" s="528"/>
      <c r="AA192" s="898">
        <v>0</v>
      </c>
      <c r="AB192" s="898">
        <v>0</v>
      </c>
      <c r="AC192" s="898">
        <v>4300</v>
      </c>
      <c r="AD192" s="900" t="str">
        <f t="shared" ref="AD192" si="633">IFERROR((AC192/AB192),"-")</f>
        <v>-</v>
      </c>
      <c r="AE192" s="2"/>
      <c r="AF192" s="884">
        <v>8014</v>
      </c>
      <c r="AG192" s="884"/>
      <c r="AH192" s="884">
        <v>39920</v>
      </c>
      <c r="AI192" s="884">
        <v>13606.323</v>
      </c>
      <c r="AJ192" s="884">
        <v>81542.286999999997</v>
      </c>
      <c r="AK192" s="884">
        <f t="shared" ref="AK192" si="634">AF192+AG192+AH192+AI192+AJ192+AC192</f>
        <v>147382.60999999999</v>
      </c>
      <c r="AL192" s="884">
        <v>214022.24999999994</v>
      </c>
      <c r="AM192" s="878">
        <f t="shared" ref="AM192" si="635">IFERROR((AK192/AL192),"-")</f>
        <v>0.68863218660676651</v>
      </c>
      <c r="AN192" s="2"/>
      <c r="AO192" s="884">
        <v>272364.40999999997</v>
      </c>
      <c r="AP192" s="884">
        <f t="shared" ref="AP192" si="636">AO192-AK192</f>
        <v>124981.79999999999</v>
      </c>
      <c r="AV192" s="4" t="str">
        <f t="shared" si="461"/>
        <v>Escavação 1ª e 2ª categoria</v>
      </c>
      <c r="AW192" s="4" t="str">
        <f t="shared" si="462"/>
        <v xml:space="preserve">   Escavação, carga e transporte de material 1ª/2ª categoria - Seg.2.4 C 08</v>
      </c>
    </row>
    <row r="193" spans="1:49" ht="15" customHeight="1" outlineLevel="2">
      <c r="A193" s="525" t="str">
        <f t="shared" ref="A193" si="637">A192</f>
        <v>S</v>
      </c>
      <c r="B193" s="526"/>
      <c r="C193" s="526"/>
      <c r="D193" s="527" t="s">
        <v>402</v>
      </c>
      <c r="E193" s="893"/>
      <c r="F193" s="902"/>
      <c r="G193" s="528"/>
      <c r="H193" s="549" t="s">
        <v>38</v>
      </c>
      <c r="I193" s="711">
        <v>2470</v>
      </c>
      <c r="J193" s="897"/>
      <c r="K193" s="528"/>
      <c r="L193" s="549" t="s">
        <v>38</v>
      </c>
      <c r="M193" s="711">
        <f t="shared" si="577"/>
        <v>0</v>
      </c>
      <c r="N193" s="897"/>
      <c r="O193" s="528"/>
      <c r="P193" s="711">
        <v>0</v>
      </c>
      <c r="Q193" s="711">
        <v>0</v>
      </c>
      <c r="R193" s="711">
        <v>0</v>
      </c>
      <c r="S193" s="711">
        <v>0</v>
      </c>
      <c r="T193" s="711">
        <v>0</v>
      </c>
      <c r="U193" s="711">
        <v>0</v>
      </c>
      <c r="V193" s="711">
        <v>0</v>
      </c>
      <c r="W193" s="528"/>
      <c r="X193" s="711">
        <f t="shared" si="593"/>
        <v>0</v>
      </c>
      <c r="Y193" s="897"/>
      <c r="Z193" s="528"/>
      <c r="AA193" s="899"/>
      <c r="AB193" s="899"/>
      <c r="AC193" s="899"/>
      <c r="AD193" s="901"/>
      <c r="AE193" s="2"/>
      <c r="AF193" s="885"/>
      <c r="AG193" s="885"/>
      <c r="AH193" s="885"/>
      <c r="AI193" s="885"/>
      <c r="AJ193" s="885"/>
      <c r="AK193" s="885"/>
      <c r="AL193" s="885"/>
      <c r="AM193" s="879"/>
      <c r="AN193" s="2"/>
      <c r="AO193" s="886"/>
      <c r="AP193" s="886"/>
      <c r="AV193" s="4" t="str">
        <f t="shared" si="461"/>
        <v>Escavação 1ª e 2ª categoria</v>
      </c>
      <c r="AW193" s="4" t="str">
        <f t="shared" si="462"/>
        <v xml:space="preserve">   Escavação, carga e transporte de material 1ª/2ª categoria - Seg.2.4 C 08</v>
      </c>
    </row>
    <row r="194" spans="1:49" ht="15" customHeight="1" outlineLevel="2">
      <c r="A194" s="545" t="str">
        <f t="shared" ref="A194" si="638">IF(SUM(P194:V195)&gt;0,"S","N")</f>
        <v>S</v>
      </c>
      <c r="B194" s="526">
        <v>1069648</v>
      </c>
      <c r="C194" s="526" t="s">
        <v>404</v>
      </c>
      <c r="D194" s="550" t="s">
        <v>405</v>
      </c>
      <c r="E194" s="892" t="s">
        <v>406</v>
      </c>
      <c r="F194" s="902" t="s">
        <v>36</v>
      </c>
      <c r="G194" s="528"/>
      <c r="H194" s="546" t="s">
        <v>37</v>
      </c>
      <c r="I194" s="711">
        <v>0</v>
      </c>
      <c r="J194" s="896" t="str">
        <f t="shared" ref="J194" si="639">IFERROR((I195/I194),"-")</f>
        <v>-</v>
      </c>
      <c r="K194" s="528"/>
      <c r="L194" s="546" t="s">
        <v>37</v>
      </c>
      <c r="M194" s="711">
        <f t="shared" si="577"/>
        <v>0</v>
      </c>
      <c r="N194" s="896" t="str">
        <f t="shared" ref="N194" si="640">IFERROR((M195/M194),"-")</f>
        <v>-</v>
      </c>
      <c r="O194" s="528"/>
      <c r="P194" s="547">
        <v>0</v>
      </c>
      <c r="Q194" s="547">
        <v>0</v>
      </c>
      <c r="R194" s="547">
        <v>0</v>
      </c>
      <c r="S194" s="547">
        <v>0</v>
      </c>
      <c r="T194" s="547">
        <v>0</v>
      </c>
      <c r="U194" s="547">
        <v>0</v>
      </c>
      <c r="V194" s="548">
        <v>0</v>
      </c>
      <c r="W194" s="528"/>
      <c r="X194" s="711">
        <f t="shared" si="593"/>
        <v>0</v>
      </c>
      <c r="Y194" s="896" t="str">
        <f t="shared" ref="Y194" si="641">IFERROR((X195/X194),"0")</f>
        <v>0</v>
      </c>
      <c r="Z194" s="528"/>
      <c r="AA194" s="898">
        <v>0</v>
      </c>
      <c r="AB194" s="898">
        <v>0</v>
      </c>
      <c r="AC194" s="898">
        <v>17480</v>
      </c>
      <c r="AD194" s="900" t="str">
        <f t="shared" ref="AD194" si="642">IFERROR((AC194/AB194),"-")</f>
        <v>-</v>
      </c>
      <c r="AE194" s="2"/>
      <c r="AF194" s="884">
        <v>0</v>
      </c>
      <c r="AG194" s="884"/>
      <c r="AH194" s="884">
        <v>0</v>
      </c>
      <c r="AI194" s="884"/>
      <c r="AJ194" s="884">
        <v>18136.14</v>
      </c>
      <c r="AK194" s="884">
        <f t="shared" ref="AK194" si="643">AF194+AG194+AH194+AI194+AJ194+AC194</f>
        <v>35616.14</v>
      </c>
      <c r="AL194" s="884">
        <v>0</v>
      </c>
      <c r="AM194" s="878" t="str">
        <f t="shared" ref="AM194" si="644">IFERROR((AK194/AL194),"-")</f>
        <v>-</v>
      </c>
      <c r="AN194" s="2"/>
      <c r="AO194" s="884">
        <v>2287</v>
      </c>
      <c r="AP194" s="884">
        <f t="shared" ref="AP194" si="645">AO194-AK194</f>
        <v>-33329.14</v>
      </c>
      <c r="AV194" s="4" t="str">
        <f t="shared" si="461"/>
        <v>Escavação 1ª e 2ª categoria</v>
      </c>
      <c r="AW194" s="4" t="str">
        <f t="shared" si="462"/>
        <v xml:space="preserve">   Escavação, carga e transporte de material 1ª/2ª categoria - Seg.2.4 RSM-02</v>
      </c>
    </row>
    <row r="195" spans="1:49" ht="15" customHeight="1" outlineLevel="2">
      <c r="A195" s="545" t="str">
        <f t="shared" ref="A195" si="646">A194</f>
        <v>S</v>
      </c>
      <c r="B195" s="526"/>
      <c r="C195" s="526"/>
      <c r="D195" s="550" t="s">
        <v>405</v>
      </c>
      <c r="E195" s="893"/>
      <c r="F195" s="902"/>
      <c r="G195" s="528"/>
      <c r="H195" s="549" t="s">
        <v>38</v>
      </c>
      <c r="I195" s="711">
        <v>9990</v>
      </c>
      <c r="J195" s="897"/>
      <c r="K195" s="528"/>
      <c r="L195" s="549" t="s">
        <v>38</v>
      </c>
      <c r="M195" s="711">
        <f t="shared" si="577"/>
        <v>3210</v>
      </c>
      <c r="N195" s="897"/>
      <c r="O195" s="528"/>
      <c r="P195" s="711">
        <v>4280</v>
      </c>
      <c r="Q195" s="711">
        <v>3210</v>
      </c>
      <c r="R195" s="711">
        <v>0</v>
      </c>
      <c r="S195" s="711">
        <v>0</v>
      </c>
      <c r="T195" s="711">
        <v>0</v>
      </c>
      <c r="U195" s="711">
        <v>0</v>
      </c>
      <c r="V195" s="711">
        <v>0</v>
      </c>
      <c r="W195" s="528"/>
      <c r="X195" s="711">
        <f t="shared" si="593"/>
        <v>7490</v>
      </c>
      <c r="Y195" s="897"/>
      <c r="Z195" s="528"/>
      <c r="AA195" s="899"/>
      <c r="AB195" s="899"/>
      <c r="AC195" s="899"/>
      <c r="AD195" s="901"/>
      <c r="AE195" s="2"/>
      <c r="AF195" s="885"/>
      <c r="AG195" s="885"/>
      <c r="AH195" s="885"/>
      <c r="AI195" s="885"/>
      <c r="AJ195" s="885"/>
      <c r="AK195" s="885"/>
      <c r="AL195" s="885"/>
      <c r="AM195" s="879"/>
      <c r="AN195" s="2"/>
      <c r="AO195" s="885"/>
      <c r="AP195" s="886"/>
      <c r="AV195" s="4" t="str">
        <f t="shared" si="461"/>
        <v>Escavação 1ª e 2ª categoria</v>
      </c>
      <c r="AW195" s="4" t="str">
        <f t="shared" si="462"/>
        <v xml:space="preserve">   Escavação, carga e transporte de material 1ª/2ª categoria - Seg.2.4 RSM-02</v>
      </c>
    </row>
    <row r="196" spans="1:49" ht="15" customHeight="1" outlineLevel="2">
      <c r="A196" s="545" t="str">
        <f t="shared" ref="A196" si="647">IF(SUM(P196:V197)&gt;0,"S","N")</f>
        <v>N</v>
      </c>
      <c r="B196" s="526">
        <v>1069975</v>
      </c>
      <c r="C196" s="526" t="s">
        <v>407</v>
      </c>
      <c r="D196" s="527" t="s">
        <v>408</v>
      </c>
      <c r="E196" s="892" t="s">
        <v>409</v>
      </c>
      <c r="F196" s="902" t="s">
        <v>36</v>
      </c>
      <c r="G196" s="528"/>
      <c r="H196" s="546" t="s">
        <v>37</v>
      </c>
      <c r="I196" s="711">
        <v>0</v>
      </c>
      <c r="J196" s="896" t="str">
        <f>IFERROR((I197/I196),"-")</f>
        <v>-</v>
      </c>
      <c r="K196" s="528"/>
      <c r="L196" s="546" t="s">
        <v>37</v>
      </c>
      <c r="M196" s="711">
        <f t="shared" si="577"/>
        <v>0</v>
      </c>
      <c r="N196" s="896" t="str">
        <f>IFERROR((M197/M196),"-")</f>
        <v>-</v>
      </c>
      <c r="O196" s="528"/>
      <c r="P196" s="547">
        <v>0</v>
      </c>
      <c r="Q196" s="547">
        <v>0</v>
      </c>
      <c r="R196" s="547">
        <v>0</v>
      </c>
      <c r="S196" s="547">
        <v>0</v>
      </c>
      <c r="T196" s="547">
        <v>0</v>
      </c>
      <c r="U196" s="547">
        <v>0</v>
      </c>
      <c r="V196" s="548">
        <v>0</v>
      </c>
      <c r="W196" s="528"/>
      <c r="X196" s="711">
        <f t="shared" si="593"/>
        <v>0</v>
      </c>
      <c r="Y196" s="896" t="str">
        <f t="shared" ref="Y196" si="648">IFERROR((X197/X196),"0")</f>
        <v>0</v>
      </c>
      <c r="Z196" s="528"/>
      <c r="AA196" s="898">
        <v>0</v>
      </c>
      <c r="AB196" s="898">
        <v>0</v>
      </c>
      <c r="AC196" s="898">
        <v>0</v>
      </c>
      <c r="AD196" s="900" t="str">
        <f t="shared" ref="AD196" si="649">IFERROR((AC196/AB196),"-")</f>
        <v>-</v>
      </c>
      <c r="AE196" s="2"/>
      <c r="AF196" s="884">
        <v>0</v>
      </c>
      <c r="AG196" s="884"/>
      <c r="AH196" s="884">
        <v>0</v>
      </c>
      <c r="AI196" s="884"/>
      <c r="AJ196" s="884"/>
      <c r="AK196" s="884">
        <f t="shared" ref="AK196" si="650">AF196+AG196+AH196+AI196+AJ196+AC196</f>
        <v>0</v>
      </c>
      <c r="AL196" s="884">
        <v>10762.019999999999</v>
      </c>
      <c r="AM196" s="878">
        <f t="shared" ref="AM196" si="651">IFERROR((AK196/AL196),"-")</f>
        <v>0</v>
      </c>
      <c r="AN196" s="2"/>
      <c r="AO196" s="884">
        <v>37064</v>
      </c>
      <c r="AP196" s="884">
        <f t="shared" ref="AP196" si="652">AO196-AK196</f>
        <v>37064</v>
      </c>
      <c r="AV196" s="4" t="str">
        <f t="shared" si="461"/>
        <v>Escavação 1ª e 2ª categoria</v>
      </c>
      <c r="AW196" s="4" t="str">
        <f t="shared" si="462"/>
        <v xml:space="preserve">   Escavação, carga e transporte de material 1ª/2ª categoria - Seg.2.4 ADMP-01 - km 134+820 a 134+940</v>
      </c>
    </row>
    <row r="197" spans="1:49" ht="15" customHeight="1" outlineLevel="2">
      <c r="A197" s="545" t="str">
        <f t="shared" ref="A197" si="653">A196</f>
        <v>N</v>
      </c>
      <c r="B197" s="526"/>
      <c r="C197" s="526"/>
      <c r="D197" s="527" t="s">
        <v>408</v>
      </c>
      <c r="E197" s="893"/>
      <c r="F197" s="902"/>
      <c r="G197" s="528"/>
      <c r="H197" s="549" t="s">
        <v>38</v>
      </c>
      <c r="I197" s="711">
        <v>0</v>
      </c>
      <c r="J197" s="897"/>
      <c r="K197" s="528"/>
      <c r="L197" s="549" t="s">
        <v>38</v>
      </c>
      <c r="M197" s="711">
        <f t="shared" si="577"/>
        <v>0</v>
      </c>
      <c r="N197" s="897"/>
      <c r="O197" s="528"/>
      <c r="P197" s="711">
        <v>0</v>
      </c>
      <c r="Q197" s="711">
        <v>0</v>
      </c>
      <c r="R197" s="711">
        <v>0</v>
      </c>
      <c r="S197" s="711">
        <v>0</v>
      </c>
      <c r="T197" s="711">
        <v>0</v>
      </c>
      <c r="U197" s="711">
        <v>0</v>
      </c>
      <c r="V197" s="711">
        <v>0</v>
      </c>
      <c r="W197" s="528"/>
      <c r="X197" s="711">
        <f t="shared" si="593"/>
        <v>0</v>
      </c>
      <c r="Y197" s="897"/>
      <c r="Z197" s="528"/>
      <c r="AA197" s="899"/>
      <c r="AB197" s="899"/>
      <c r="AC197" s="899"/>
      <c r="AD197" s="901"/>
      <c r="AE197" s="2"/>
      <c r="AF197" s="885"/>
      <c r="AG197" s="885"/>
      <c r="AH197" s="885"/>
      <c r="AI197" s="885"/>
      <c r="AJ197" s="885"/>
      <c r="AK197" s="885"/>
      <c r="AL197" s="885"/>
      <c r="AM197" s="879"/>
      <c r="AN197" s="2"/>
      <c r="AO197" s="886"/>
      <c r="AP197" s="886"/>
      <c r="AV197" s="4" t="str">
        <f t="shared" si="461"/>
        <v>Escavação 1ª e 2ª categoria</v>
      </c>
      <c r="AW197" s="4" t="str">
        <f t="shared" si="462"/>
        <v xml:space="preserve">   Escavação, carga e transporte de material 1ª/2ª categoria - Seg.2.4 ADMP-01 - km 134+820 a 134+940</v>
      </c>
    </row>
    <row r="198" spans="1:49" ht="14.45" customHeight="1" outlineLevel="2">
      <c r="A198" s="545" t="str">
        <f t="shared" ref="A198" si="654">IF(SUM(P198:V199)&gt;0,"S","N")</f>
        <v>N</v>
      </c>
      <c r="B198" s="526">
        <v>1069976</v>
      </c>
      <c r="C198" s="526" t="s">
        <v>410</v>
      </c>
      <c r="D198" s="527" t="s">
        <v>411</v>
      </c>
      <c r="E198" s="892" t="s">
        <v>412</v>
      </c>
      <c r="F198" s="902" t="s">
        <v>36</v>
      </c>
      <c r="G198" s="528"/>
      <c r="H198" s="546" t="s">
        <v>37</v>
      </c>
      <c r="I198" s="711">
        <v>0</v>
      </c>
      <c r="J198" s="896" t="str">
        <f>IFERROR((I199/I198),"-")</f>
        <v>-</v>
      </c>
      <c r="K198" s="528"/>
      <c r="L198" s="546" t="s">
        <v>37</v>
      </c>
      <c r="M198" s="711">
        <f t="shared" si="577"/>
        <v>0</v>
      </c>
      <c r="N198" s="896" t="str">
        <f>IFERROR((M199/M198),"-")</f>
        <v>-</v>
      </c>
      <c r="O198" s="528"/>
      <c r="P198" s="547">
        <v>0</v>
      </c>
      <c r="Q198" s="547">
        <v>0</v>
      </c>
      <c r="R198" s="547">
        <v>0</v>
      </c>
      <c r="S198" s="547">
        <v>0</v>
      </c>
      <c r="T198" s="547">
        <v>0</v>
      </c>
      <c r="U198" s="547">
        <v>0</v>
      </c>
      <c r="V198" s="548">
        <v>0</v>
      </c>
      <c r="W198" s="528"/>
      <c r="X198" s="711">
        <f t="shared" si="593"/>
        <v>0</v>
      </c>
      <c r="Y198" s="896" t="str">
        <f t="shared" ref="Y198" si="655">IFERROR((X199/X198),"0")</f>
        <v>0</v>
      </c>
      <c r="Z198" s="528"/>
      <c r="AA198" s="898">
        <v>0</v>
      </c>
      <c r="AB198" s="898">
        <v>0</v>
      </c>
      <c r="AC198" s="898">
        <v>0</v>
      </c>
      <c r="AD198" s="900" t="str">
        <f t="shared" ref="AD198" si="656">IFERROR((AC198/AB198),"-")</f>
        <v>-</v>
      </c>
      <c r="AE198" s="2"/>
      <c r="AF198" s="884">
        <v>0</v>
      </c>
      <c r="AG198" s="884"/>
      <c r="AH198" s="884">
        <v>890</v>
      </c>
      <c r="AI198" s="884"/>
      <c r="AJ198" s="884"/>
      <c r="AK198" s="884">
        <f t="shared" ref="AK198" si="657">AF198+AG198+AH198+AI198+AJ198+AC198</f>
        <v>890</v>
      </c>
      <c r="AL198" s="884">
        <v>0</v>
      </c>
      <c r="AM198" s="878" t="str">
        <f t="shared" ref="AM198" si="658">IFERROR((AK198/AL198),"-")</f>
        <v>-</v>
      </c>
      <c r="AN198" s="2"/>
      <c r="AO198" s="884">
        <v>10964</v>
      </c>
      <c r="AP198" s="884">
        <f t="shared" ref="AP198" si="659">AO198-AK198</f>
        <v>10074</v>
      </c>
      <c r="AV198" s="4" t="str">
        <f t="shared" si="461"/>
        <v>Escavação 1ª e 2ª categoria</v>
      </c>
      <c r="AW198" s="4" t="str">
        <f t="shared" si="462"/>
        <v xml:space="preserve">   Escavação, carga e transporte de material 1ª/2ª categoria - Seg.2.4 ADMP-02 - km 135+380 a 135+480</v>
      </c>
    </row>
    <row r="199" spans="1:49" ht="14.45" customHeight="1" outlineLevel="2">
      <c r="A199" s="545" t="str">
        <f t="shared" ref="A199" si="660">A198</f>
        <v>N</v>
      </c>
      <c r="B199" s="526"/>
      <c r="C199" s="526"/>
      <c r="D199" s="527" t="s">
        <v>411</v>
      </c>
      <c r="E199" s="893"/>
      <c r="F199" s="902"/>
      <c r="G199" s="528"/>
      <c r="H199" s="549" t="s">
        <v>38</v>
      </c>
      <c r="I199" s="711">
        <v>20</v>
      </c>
      <c r="J199" s="897"/>
      <c r="K199" s="528"/>
      <c r="L199" s="549" t="s">
        <v>38</v>
      </c>
      <c r="M199" s="711">
        <f t="shared" si="577"/>
        <v>0</v>
      </c>
      <c r="N199" s="897"/>
      <c r="O199" s="528"/>
      <c r="P199" s="711">
        <v>0</v>
      </c>
      <c r="Q199" s="711">
        <v>0</v>
      </c>
      <c r="R199" s="711">
        <v>0</v>
      </c>
      <c r="S199" s="711">
        <v>0</v>
      </c>
      <c r="T199" s="711">
        <v>0</v>
      </c>
      <c r="U199" s="711">
        <v>0</v>
      </c>
      <c r="V199" s="711">
        <v>0</v>
      </c>
      <c r="W199" s="528"/>
      <c r="X199" s="711">
        <f t="shared" si="593"/>
        <v>0</v>
      </c>
      <c r="Y199" s="897"/>
      <c r="Z199" s="528"/>
      <c r="AA199" s="899"/>
      <c r="AB199" s="899"/>
      <c r="AC199" s="899"/>
      <c r="AD199" s="901"/>
      <c r="AE199" s="2"/>
      <c r="AF199" s="885"/>
      <c r="AG199" s="885"/>
      <c r="AH199" s="885"/>
      <c r="AI199" s="885"/>
      <c r="AJ199" s="885"/>
      <c r="AK199" s="885"/>
      <c r="AL199" s="885"/>
      <c r="AM199" s="879"/>
      <c r="AN199" s="2"/>
      <c r="AO199" s="886"/>
      <c r="AP199" s="886"/>
      <c r="AV199" s="4" t="str">
        <f t="shared" si="461"/>
        <v>Escavação 1ª e 2ª categoria</v>
      </c>
      <c r="AW199" s="4" t="str">
        <f t="shared" si="462"/>
        <v xml:space="preserve">   Escavação, carga e transporte de material 1ª/2ª categoria - Seg.2.4 ADMP-02 - km 135+380 a 135+480</v>
      </c>
    </row>
    <row r="200" spans="1:49" ht="15" customHeight="1" outlineLevel="2">
      <c r="A200" s="545" t="str">
        <f t="shared" ref="A200" si="661">IF(SUM(P200:V201)&gt;0,"S","N")</f>
        <v>N</v>
      </c>
      <c r="B200" s="673">
        <v>1069995</v>
      </c>
      <c r="C200" s="673" t="s">
        <v>413</v>
      </c>
      <c r="D200" s="674" t="s">
        <v>414</v>
      </c>
      <c r="E200" s="892" t="s">
        <v>415</v>
      </c>
      <c r="F200" s="954" t="s">
        <v>36</v>
      </c>
      <c r="G200" s="559"/>
      <c r="H200" s="560" t="s">
        <v>37</v>
      </c>
      <c r="I200" s="711">
        <v>0</v>
      </c>
      <c r="J200" s="944" t="str">
        <f>IFERROR((I201/I200),"-")</f>
        <v>-</v>
      </c>
      <c r="K200" s="559"/>
      <c r="L200" s="560" t="s">
        <v>37</v>
      </c>
      <c r="M200" s="711">
        <f t="shared" si="577"/>
        <v>0</v>
      </c>
      <c r="N200" s="944" t="str">
        <f>IFERROR((M201/M200),"-")</f>
        <v>-</v>
      </c>
      <c r="O200" s="559"/>
      <c r="P200" s="547">
        <v>0</v>
      </c>
      <c r="Q200" s="547">
        <v>0</v>
      </c>
      <c r="R200" s="547">
        <v>0</v>
      </c>
      <c r="S200" s="547">
        <v>0</v>
      </c>
      <c r="T200" s="547">
        <v>0</v>
      </c>
      <c r="U200" s="547">
        <v>0</v>
      </c>
      <c r="V200" s="548">
        <v>0</v>
      </c>
      <c r="W200" s="559"/>
      <c r="X200" s="547">
        <f t="shared" si="593"/>
        <v>0</v>
      </c>
      <c r="Y200" s="944" t="str">
        <f t="shared" ref="Y200" si="662">IFERROR((X201/X200),"0")</f>
        <v>0</v>
      </c>
      <c r="Z200" s="559"/>
      <c r="AA200" s="898">
        <v>0</v>
      </c>
      <c r="AB200" s="898">
        <v>0</v>
      </c>
      <c r="AC200" s="898">
        <v>0</v>
      </c>
      <c r="AD200" s="900" t="str">
        <f t="shared" ref="AD200" si="663">IFERROR((AC200/AB200),"-")</f>
        <v>-</v>
      </c>
      <c r="AE200" s="94"/>
      <c r="AF200" s="884">
        <v>0</v>
      </c>
      <c r="AG200" s="948"/>
      <c r="AH200" s="884">
        <v>0</v>
      </c>
      <c r="AI200" s="948"/>
      <c r="AJ200" s="948"/>
      <c r="AK200" s="884">
        <f t="shared" ref="AK200" si="664">AF200+AG200+AH200+AI200+AJ200+AC200</f>
        <v>0</v>
      </c>
      <c r="AL200" s="884">
        <v>0</v>
      </c>
      <c r="AM200" s="878" t="str">
        <f t="shared" ref="AM200" si="665">IFERROR((AK200/AL200),"-")</f>
        <v>-</v>
      </c>
      <c r="AN200" s="2"/>
      <c r="AO200" s="884">
        <v>0</v>
      </c>
      <c r="AP200" s="884">
        <f t="shared" ref="AP200" si="666">AO200-AK200</f>
        <v>0</v>
      </c>
      <c r="AV200" s="4" t="str">
        <f t="shared" si="461"/>
        <v>Escavação 1ª e 2ª categoria</v>
      </c>
      <c r="AW200" s="4" t="str">
        <f t="shared" si="462"/>
        <v xml:space="preserve">   Saldo remanescente seg.2.4 - Escavação, carga e transporte de material 1ª/2ª categoria</v>
      </c>
    </row>
    <row r="201" spans="1:49" ht="15" customHeight="1" outlineLevel="2">
      <c r="A201" s="545" t="str">
        <f t="shared" ref="A201" si="667">A200</f>
        <v>N</v>
      </c>
      <c r="B201" s="673"/>
      <c r="C201" s="673"/>
      <c r="D201" s="674" t="s">
        <v>414</v>
      </c>
      <c r="E201" s="893"/>
      <c r="F201" s="954"/>
      <c r="G201" s="559"/>
      <c r="H201" s="560" t="s">
        <v>38</v>
      </c>
      <c r="I201" s="711">
        <v>0</v>
      </c>
      <c r="J201" s="945"/>
      <c r="K201" s="559"/>
      <c r="L201" s="549" t="s">
        <v>38</v>
      </c>
      <c r="M201" s="711">
        <f t="shared" si="577"/>
        <v>0</v>
      </c>
      <c r="N201" s="945"/>
      <c r="O201" s="559"/>
      <c r="P201" s="711">
        <v>0</v>
      </c>
      <c r="Q201" s="711">
        <v>0</v>
      </c>
      <c r="R201" s="711">
        <v>0</v>
      </c>
      <c r="S201" s="711">
        <v>0</v>
      </c>
      <c r="T201" s="711">
        <v>0</v>
      </c>
      <c r="U201" s="711">
        <v>0</v>
      </c>
      <c r="V201" s="711">
        <v>0</v>
      </c>
      <c r="W201" s="559"/>
      <c r="X201" s="547">
        <f t="shared" si="593"/>
        <v>0</v>
      </c>
      <c r="Y201" s="945"/>
      <c r="Z201" s="559"/>
      <c r="AA201" s="899"/>
      <c r="AB201" s="899"/>
      <c r="AC201" s="899"/>
      <c r="AD201" s="901"/>
      <c r="AE201" s="94"/>
      <c r="AF201" s="885"/>
      <c r="AG201" s="949"/>
      <c r="AH201" s="885"/>
      <c r="AI201" s="949"/>
      <c r="AJ201" s="949"/>
      <c r="AK201" s="885"/>
      <c r="AL201" s="885"/>
      <c r="AM201" s="879"/>
      <c r="AN201" s="2"/>
      <c r="AO201" s="886"/>
      <c r="AP201" s="886"/>
      <c r="AV201" s="4" t="str">
        <f t="shared" si="461"/>
        <v>Escavação 1ª e 2ª categoria</v>
      </c>
      <c r="AW201" s="4" t="str">
        <f t="shared" si="462"/>
        <v xml:space="preserve">   Saldo remanescente seg.2.4 - Escavação, carga e transporte de material 1ª/2ª categoria</v>
      </c>
    </row>
    <row r="202" spans="1:49" ht="15" customHeight="1" outlineLevel="2">
      <c r="A202" s="545" t="str">
        <f t="shared" ref="A202" si="668">IF(SUM(P202:V203)&gt;0,"S","N")</f>
        <v>N</v>
      </c>
      <c r="B202" s="526" t="s">
        <v>416</v>
      </c>
      <c r="C202" s="526" t="s">
        <v>266</v>
      </c>
      <c r="D202" s="527" t="s">
        <v>417</v>
      </c>
      <c r="E202" s="931" t="s">
        <v>418</v>
      </c>
      <c r="F202" s="902" t="s">
        <v>36</v>
      </c>
      <c r="G202" s="528"/>
      <c r="H202" s="546" t="s">
        <v>37</v>
      </c>
      <c r="I202" s="711">
        <v>0</v>
      </c>
      <c r="J202" s="896" t="str">
        <f>IFERROR((I203/I202),"-")</f>
        <v>-</v>
      </c>
      <c r="K202" s="528"/>
      <c r="L202" s="546" t="s">
        <v>37</v>
      </c>
      <c r="M202" s="711">
        <f t="shared" si="577"/>
        <v>0</v>
      </c>
      <c r="N202" s="896" t="str">
        <f>IFERROR((M203/M202),"-")</f>
        <v>-</v>
      </c>
      <c r="O202" s="528"/>
      <c r="P202" s="547">
        <v>0</v>
      </c>
      <c r="Q202" s="547">
        <v>0</v>
      </c>
      <c r="R202" s="547">
        <v>0</v>
      </c>
      <c r="S202" s="547">
        <v>0</v>
      </c>
      <c r="T202" s="547">
        <v>0</v>
      </c>
      <c r="U202" s="547">
        <v>0</v>
      </c>
      <c r="V202" s="548">
        <v>0</v>
      </c>
      <c r="W202" s="528"/>
      <c r="X202" s="711">
        <f t="shared" si="593"/>
        <v>0</v>
      </c>
      <c r="Y202" s="896" t="str">
        <f>IFERROR((X203/X202),"0")</f>
        <v>0</v>
      </c>
      <c r="Z202" s="528"/>
      <c r="AA202" s="898">
        <v>0</v>
      </c>
      <c r="AB202" s="898">
        <v>0</v>
      </c>
      <c r="AC202" s="898">
        <v>0</v>
      </c>
      <c r="AD202" s="900" t="str">
        <f t="shared" ref="AD202" si="669">IFERROR((AC202/AB202),"-")</f>
        <v>-</v>
      </c>
      <c r="AE202" s="2"/>
      <c r="AF202" s="884">
        <v>0</v>
      </c>
      <c r="AG202" s="884"/>
      <c r="AH202" s="884">
        <v>0</v>
      </c>
      <c r="AI202" s="884"/>
      <c r="AJ202" s="884"/>
      <c r="AK202" s="884">
        <f t="shared" ref="AK202" si="670">AF202+AG202+AH202+AI202+AJ202+AC202</f>
        <v>0</v>
      </c>
      <c r="AL202" s="884">
        <v>0</v>
      </c>
      <c r="AM202" s="878" t="str">
        <f t="shared" ref="AM202" si="671">IFERROR((AK202/AL202),"-")</f>
        <v>-</v>
      </c>
      <c r="AN202" s="2"/>
      <c r="AO202" s="884">
        <v>0</v>
      </c>
      <c r="AP202" s="884">
        <f t="shared" ref="AP202" si="672">AO202-AK202</f>
        <v>0</v>
      </c>
      <c r="AV202" s="4" t="str">
        <f t="shared" si="461"/>
        <v>Escavação 1ª e 2ª categoria</v>
      </c>
      <c r="AW202" s="4" t="str">
        <f t="shared" si="462"/>
        <v>Alargamento Corte 06</v>
      </c>
    </row>
    <row r="203" spans="1:49" ht="15" customHeight="1" outlineLevel="2">
      <c r="A203" s="545" t="str">
        <f t="shared" ref="A203" si="673">A202</f>
        <v>N</v>
      </c>
      <c r="B203" s="526"/>
      <c r="C203" s="526"/>
      <c r="D203" s="527" t="s">
        <v>417</v>
      </c>
      <c r="E203" s="932"/>
      <c r="F203" s="902"/>
      <c r="G203" s="528"/>
      <c r="H203" s="549" t="s">
        <v>38</v>
      </c>
      <c r="I203" s="711">
        <v>0</v>
      </c>
      <c r="J203" s="897"/>
      <c r="K203" s="528"/>
      <c r="L203" s="549" t="s">
        <v>38</v>
      </c>
      <c r="M203" s="711">
        <f t="shared" si="577"/>
        <v>0</v>
      </c>
      <c r="N203" s="897"/>
      <c r="O203" s="528"/>
      <c r="P203" s="711">
        <v>0</v>
      </c>
      <c r="Q203" s="711">
        <v>0</v>
      </c>
      <c r="R203" s="711">
        <v>0</v>
      </c>
      <c r="S203" s="711">
        <v>0</v>
      </c>
      <c r="T203" s="711">
        <v>0</v>
      </c>
      <c r="U203" s="711">
        <v>0</v>
      </c>
      <c r="V203" s="711">
        <v>0</v>
      </c>
      <c r="W203" s="528"/>
      <c r="X203" s="711">
        <f t="shared" si="593"/>
        <v>0</v>
      </c>
      <c r="Y203" s="897"/>
      <c r="Z203" s="528"/>
      <c r="AA203" s="899"/>
      <c r="AB203" s="899"/>
      <c r="AC203" s="899"/>
      <c r="AD203" s="901"/>
      <c r="AE203" s="2"/>
      <c r="AF203" s="885"/>
      <c r="AG203" s="885"/>
      <c r="AH203" s="885"/>
      <c r="AI203" s="885"/>
      <c r="AJ203" s="885"/>
      <c r="AK203" s="885"/>
      <c r="AL203" s="885"/>
      <c r="AM203" s="879"/>
      <c r="AN203" s="2"/>
      <c r="AO203" s="886"/>
      <c r="AP203" s="886"/>
      <c r="AV203" s="4" t="str">
        <f t="shared" si="461"/>
        <v>Escavação 1ª e 2ª categoria</v>
      </c>
      <c r="AW203" s="4" t="str">
        <f t="shared" si="462"/>
        <v>Alargamento Corte 06</v>
      </c>
    </row>
    <row r="204" spans="1:49" ht="15" customHeight="1" outlineLevel="2">
      <c r="A204" s="545" t="str">
        <f t="shared" ref="A204" si="674">IF(SUM(P204:V205)&gt;0,"S","N")</f>
        <v>N</v>
      </c>
      <c r="B204" s="526" t="s">
        <v>416</v>
      </c>
      <c r="C204" s="526" t="s">
        <v>266</v>
      </c>
      <c r="D204" s="527" t="s">
        <v>419</v>
      </c>
      <c r="E204" s="931" t="s">
        <v>420</v>
      </c>
      <c r="F204" s="902" t="s">
        <v>36</v>
      </c>
      <c r="G204" s="528"/>
      <c r="H204" s="546" t="s">
        <v>37</v>
      </c>
      <c r="I204" s="711">
        <v>0</v>
      </c>
      <c r="J204" s="896" t="str">
        <f>IFERROR((I205/I204),"-")</f>
        <v>-</v>
      </c>
      <c r="K204" s="528"/>
      <c r="L204" s="546" t="s">
        <v>37</v>
      </c>
      <c r="M204" s="711">
        <f t="shared" si="577"/>
        <v>0</v>
      </c>
      <c r="N204" s="896" t="str">
        <f>IFERROR((M205/M204),"-")</f>
        <v>-</v>
      </c>
      <c r="O204" s="528"/>
      <c r="P204" s="547">
        <v>0</v>
      </c>
      <c r="Q204" s="547">
        <v>0</v>
      </c>
      <c r="R204" s="547">
        <v>0</v>
      </c>
      <c r="S204" s="547">
        <v>0</v>
      </c>
      <c r="T204" s="547">
        <v>0</v>
      </c>
      <c r="U204" s="547">
        <v>0</v>
      </c>
      <c r="V204" s="548">
        <v>0</v>
      </c>
      <c r="W204" s="528"/>
      <c r="X204" s="711">
        <f t="shared" si="593"/>
        <v>0</v>
      </c>
      <c r="Y204" s="896" t="str">
        <f t="shared" ref="Y204" si="675">IFERROR((X205/X204),"0")</f>
        <v>0</v>
      </c>
      <c r="Z204" s="528"/>
      <c r="AA204" s="898">
        <v>0</v>
      </c>
      <c r="AB204" s="898">
        <v>0</v>
      </c>
      <c r="AC204" s="898">
        <v>0</v>
      </c>
      <c r="AD204" s="900" t="str">
        <f t="shared" ref="AD204" si="676">IFERROR((AC204/AB204),"-")</f>
        <v>-</v>
      </c>
      <c r="AE204" s="2"/>
      <c r="AF204" s="884">
        <v>0</v>
      </c>
      <c r="AG204" s="884"/>
      <c r="AH204" s="884">
        <v>0</v>
      </c>
      <c r="AI204" s="884">
        <v>12262.96</v>
      </c>
      <c r="AJ204" s="884"/>
      <c r="AK204" s="884">
        <f t="shared" ref="AK204" si="677">AF204+AG204+AH204+AI204+AJ204+AC204</f>
        <v>12262.96</v>
      </c>
      <c r="AL204" s="884">
        <v>0</v>
      </c>
      <c r="AM204" s="878" t="str">
        <f t="shared" ref="AM204" si="678">IFERROR((AK204/AL204),"-")</f>
        <v>-</v>
      </c>
      <c r="AN204" s="2"/>
      <c r="AO204" s="884">
        <v>0</v>
      </c>
      <c r="AP204" s="884">
        <f t="shared" ref="AP204" si="679">AO204-AK204</f>
        <v>-12262.96</v>
      </c>
      <c r="AV204" s="4" t="str">
        <f t="shared" ref="AV204:AV267" si="680">IF(AX204="Y",LEFT(E204,20),IF(AX204="x",E204,AV203))</f>
        <v>Escavação 1ª e 2ª categoria</v>
      </c>
      <c r="AW204" s="4" t="str">
        <f t="shared" ref="AW204:AW267" si="681">IF(E204&lt;&gt;"",E204,AW203)</f>
        <v>Alargamento Aterro 01</v>
      </c>
    </row>
    <row r="205" spans="1:49" ht="15" customHeight="1" outlineLevel="2">
      <c r="A205" s="545" t="str">
        <f t="shared" ref="A205" si="682">A204</f>
        <v>N</v>
      </c>
      <c r="B205" s="526"/>
      <c r="C205" s="526"/>
      <c r="D205" s="527" t="s">
        <v>419</v>
      </c>
      <c r="E205" s="932"/>
      <c r="F205" s="902"/>
      <c r="G205" s="528"/>
      <c r="H205" s="549" t="s">
        <v>38</v>
      </c>
      <c r="I205" s="711">
        <v>0</v>
      </c>
      <c r="J205" s="897"/>
      <c r="K205" s="528"/>
      <c r="L205" s="549" t="s">
        <v>38</v>
      </c>
      <c r="M205" s="711">
        <f t="shared" si="577"/>
        <v>0</v>
      </c>
      <c r="N205" s="897"/>
      <c r="O205" s="528"/>
      <c r="P205" s="711">
        <v>0</v>
      </c>
      <c r="Q205" s="711">
        <v>0</v>
      </c>
      <c r="R205" s="711">
        <v>0</v>
      </c>
      <c r="S205" s="711">
        <v>0</v>
      </c>
      <c r="T205" s="711">
        <v>0</v>
      </c>
      <c r="U205" s="711">
        <v>0</v>
      </c>
      <c r="V205" s="711">
        <v>0</v>
      </c>
      <c r="W205" s="528"/>
      <c r="X205" s="711">
        <f t="shared" si="593"/>
        <v>0</v>
      </c>
      <c r="Y205" s="897"/>
      <c r="Z205" s="528"/>
      <c r="AA205" s="899"/>
      <c r="AB205" s="899"/>
      <c r="AC205" s="899"/>
      <c r="AD205" s="901"/>
      <c r="AE205" s="2"/>
      <c r="AF205" s="885"/>
      <c r="AG205" s="885"/>
      <c r="AH205" s="885"/>
      <c r="AI205" s="885"/>
      <c r="AJ205" s="885"/>
      <c r="AK205" s="885"/>
      <c r="AL205" s="885"/>
      <c r="AM205" s="879"/>
      <c r="AN205" s="2"/>
      <c r="AO205" s="886"/>
      <c r="AP205" s="886"/>
      <c r="AV205" s="4" t="str">
        <f t="shared" si="680"/>
        <v>Escavação 1ª e 2ª categoria</v>
      </c>
      <c r="AW205" s="4" t="str">
        <f t="shared" si="681"/>
        <v>Alargamento Aterro 01</v>
      </c>
    </row>
    <row r="206" spans="1:49" ht="15" customHeight="1" outlineLevel="2">
      <c r="A206" s="525" t="str">
        <f t="shared" ref="A206" si="683">IF(SUM(P206:V207)&gt;0,"S","N")</f>
        <v>N</v>
      </c>
      <c r="B206" s="526" t="s">
        <v>416</v>
      </c>
      <c r="C206" s="526" t="s">
        <v>266</v>
      </c>
      <c r="D206" s="527" t="s">
        <v>421</v>
      </c>
      <c r="E206" s="931" t="s">
        <v>422</v>
      </c>
      <c r="F206" s="902" t="s">
        <v>36</v>
      </c>
      <c r="G206" s="528"/>
      <c r="H206" s="546" t="s">
        <v>37</v>
      </c>
      <c r="I206" s="711">
        <v>0</v>
      </c>
      <c r="J206" s="896" t="str">
        <f>IFERROR((I207/I206),"-")</f>
        <v>-</v>
      </c>
      <c r="K206" s="528"/>
      <c r="L206" s="546" t="s">
        <v>37</v>
      </c>
      <c r="M206" s="711">
        <f t="shared" si="577"/>
        <v>0</v>
      </c>
      <c r="N206" s="896" t="str">
        <f>IFERROR((M207/M206),"-")</f>
        <v>-</v>
      </c>
      <c r="O206" s="528"/>
      <c r="P206" s="547">
        <v>0</v>
      </c>
      <c r="Q206" s="547">
        <v>0</v>
      </c>
      <c r="R206" s="547">
        <v>0</v>
      </c>
      <c r="S206" s="547">
        <v>0</v>
      </c>
      <c r="T206" s="547">
        <v>0</v>
      </c>
      <c r="U206" s="547">
        <v>0</v>
      </c>
      <c r="V206" s="548">
        <v>0</v>
      </c>
      <c r="W206" s="528"/>
      <c r="X206" s="711">
        <f t="shared" si="593"/>
        <v>0</v>
      </c>
      <c r="Y206" s="896" t="str">
        <f t="shared" ref="Y206" si="684">IFERROR((X207/X206),"0")</f>
        <v>0</v>
      </c>
      <c r="Z206" s="528"/>
      <c r="AA206" s="898">
        <v>0</v>
      </c>
      <c r="AB206" s="898">
        <v>0</v>
      </c>
      <c r="AC206" s="898">
        <v>4420</v>
      </c>
      <c r="AD206" s="900" t="str">
        <f t="shared" ref="AD206" si="685">IFERROR((AC206/AB206),"-")</f>
        <v>-</v>
      </c>
      <c r="AE206" s="2"/>
      <c r="AF206" s="884">
        <v>0</v>
      </c>
      <c r="AG206" s="884"/>
      <c r="AH206" s="884">
        <v>1290</v>
      </c>
      <c r="AI206" s="884"/>
      <c r="AJ206" s="884"/>
      <c r="AK206" s="884">
        <f t="shared" ref="AK206" si="686">AF206+AG206+AH206+AI206+AJ206+AC206</f>
        <v>5710</v>
      </c>
      <c r="AL206" s="884">
        <v>0</v>
      </c>
      <c r="AM206" s="878" t="str">
        <f t="shared" ref="AM206" si="687">IFERROR((AK206/AL206),"-")</f>
        <v>-</v>
      </c>
      <c r="AN206" s="2"/>
      <c r="AO206" s="884">
        <v>0</v>
      </c>
      <c r="AP206" s="884">
        <f t="shared" ref="AP206" si="688">AO206-AK206</f>
        <v>-5710</v>
      </c>
      <c r="AV206" s="4" t="str">
        <f t="shared" si="680"/>
        <v>Escavação 1ª e 2ª categoria</v>
      </c>
      <c r="AW206" s="4" t="str">
        <f t="shared" si="681"/>
        <v>Plataforma Aterro 01 (Recompactação do A01)</v>
      </c>
    </row>
    <row r="207" spans="1:49" ht="15" customHeight="1" outlineLevel="2">
      <c r="A207" s="525" t="str">
        <f t="shared" ref="A207" si="689">A206</f>
        <v>N</v>
      </c>
      <c r="B207" s="526"/>
      <c r="C207" s="526"/>
      <c r="D207" s="527" t="s">
        <v>421</v>
      </c>
      <c r="E207" s="932"/>
      <c r="F207" s="902"/>
      <c r="G207" s="528"/>
      <c r="H207" s="549" t="s">
        <v>38</v>
      </c>
      <c r="I207" s="711">
        <v>1870</v>
      </c>
      <c r="J207" s="897"/>
      <c r="K207" s="528"/>
      <c r="L207" s="549" t="s">
        <v>38</v>
      </c>
      <c r="M207" s="711">
        <f t="shared" si="577"/>
        <v>0</v>
      </c>
      <c r="N207" s="897"/>
      <c r="O207" s="528"/>
      <c r="P207" s="711">
        <v>0</v>
      </c>
      <c r="Q207" s="711">
        <v>0</v>
      </c>
      <c r="R207" s="711">
        <v>0</v>
      </c>
      <c r="S207" s="711">
        <v>0</v>
      </c>
      <c r="T207" s="711">
        <v>0</v>
      </c>
      <c r="U207" s="711">
        <v>0</v>
      </c>
      <c r="V207" s="711">
        <v>0</v>
      </c>
      <c r="W207" s="528"/>
      <c r="X207" s="711">
        <f t="shared" si="593"/>
        <v>0</v>
      </c>
      <c r="Y207" s="897"/>
      <c r="Z207" s="528"/>
      <c r="AA207" s="899"/>
      <c r="AB207" s="899"/>
      <c r="AC207" s="899"/>
      <c r="AD207" s="901"/>
      <c r="AE207" s="2"/>
      <c r="AF207" s="885"/>
      <c r="AG207" s="885"/>
      <c r="AH207" s="885"/>
      <c r="AI207" s="885"/>
      <c r="AJ207" s="885"/>
      <c r="AK207" s="885"/>
      <c r="AL207" s="885"/>
      <c r="AM207" s="879"/>
      <c r="AN207" s="2"/>
      <c r="AO207" s="886"/>
      <c r="AP207" s="886"/>
      <c r="AQ207" s="58">
        <f>AO158+AO208+AO272</f>
        <v>701896.52999999991</v>
      </c>
      <c r="AR207" s="58"/>
      <c r="AS207" s="58"/>
      <c r="AV207" s="4" t="str">
        <f t="shared" si="680"/>
        <v>Escavação 1ª e 2ª categoria</v>
      </c>
      <c r="AW207" s="4" t="str">
        <f t="shared" si="681"/>
        <v>Plataforma Aterro 01 (Recompactação do A01)</v>
      </c>
    </row>
    <row r="208" spans="1:49" ht="15" customHeight="1" outlineLevel="2">
      <c r="A208" s="545" t="str">
        <f t="shared" ref="A208" si="690">IF(SUM(P208:V209)&gt;0,"S","N")</f>
        <v>N</v>
      </c>
      <c r="B208" s="526" t="s">
        <v>416</v>
      </c>
      <c r="C208" s="526" t="s">
        <v>266</v>
      </c>
      <c r="D208" s="527" t="s">
        <v>423</v>
      </c>
      <c r="E208" s="931" t="s">
        <v>424</v>
      </c>
      <c r="F208" s="902" t="s">
        <v>36</v>
      </c>
      <c r="G208" s="528"/>
      <c r="H208" s="546" t="s">
        <v>37</v>
      </c>
      <c r="I208" s="711">
        <v>0</v>
      </c>
      <c r="J208" s="896" t="str">
        <f>IFERROR((I209/I208),"-")</f>
        <v>-</v>
      </c>
      <c r="K208" s="528"/>
      <c r="L208" s="546" t="s">
        <v>37</v>
      </c>
      <c r="M208" s="711">
        <f t="shared" si="577"/>
        <v>0</v>
      </c>
      <c r="N208" s="896" t="str">
        <f>IFERROR((M209/M208),"-")</f>
        <v>-</v>
      </c>
      <c r="O208" s="528"/>
      <c r="P208" s="547">
        <v>0</v>
      </c>
      <c r="Q208" s="547">
        <v>0</v>
      </c>
      <c r="R208" s="547">
        <v>0</v>
      </c>
      <c r="S208" s="547">
        <v>0</v>
      </c>
      <c r="T208" s="547">
        <v>0</v>
      </c>
      <c r="U208" s="547">
        <v>0</v>
      </c>
      <c r="V208" s="548">
        <v>0</v>
      </c>
      <c r="W208" s="528"/>
      <c r="X208" s="711">
        <f t="shared" si="593"/>
        <v>0</v>
      </c>
      <c r="Y208" s="896" t="str">
        <f t="shared" ref="Y208" si="691">IFERROR((X209/X208),"0")</f>
        <v>0</v>
      </c>
      <c r="Z208" s="528"/>
      <c r="AA208" s="898">
        <v>0</v>
      </c>
      <c r="AB208" s="898">
        <v>0</v>
      </c>
      <c r="AC208" s="898">
        <v>0</v>
      </c>
      <c r="AD208" s="900" t="str">
        <f t="shared" ref="AD208" si="692">IFERROR((AC208/AB208),"-")</f>
        <v>-</v>
      </c>
      <c r="AE208" s="2"/>
      <c r="AF208" s="884">
        <v>0</v>
      </c>
      <c r="AG208" s="884"/>
      <c r="AH208" s="884">
        <v>0</v>
      </c>
      <c r="AI208" s="884"/>
      <c r="AJ208" s="884"/>
      <c r="AK208" s="884">
        <f t="shared" ref="AK208" si="693">AF208+AG208+AH208+AI208+AJ208+AC208</f>
        <v>0</v>
      </c>
      <c r="AL208" s="884">
        <v>0</v>
      </c>
      <c r="AM208" s="878" t="str">
        <f t="shared" ref="AM208" si="694">IFERROR((AK208/AL208),"-")</f>
        <v>-</v>
      </c>
      <c r="AN208" s="2"/>
      <c r="AO208" s="884">
        <v>0</v>
      </c>
      <c r="AP208" s="884">
        <f t="shared" ref="AP208" si="695">AO208-AK208</f>
        <v>0</v>
      </c>
      <c r="AS208" s="58"/>
      <c r="AV208" s="4" t="str">
        <f t="shared" si="680"/>
        <v>Escavação 1ª e 2ª categoria</v>
      </c>
      <c r="AW208" s="4" t="str">
        <f t="shared" si="681"/>
        <v>Alargamento Aterro 03</v>
      </c>
    </row>
    <row r="209" spans="1:49" ht="15" customHeight="1" outlineLevel="2">
      <c r="A209" s="545" t="str">
        <f t="shared" ref="A209" si="696">A208</f>
        <v>N</v>
      </c>
      <c r="B209" s="526"/>
      <c r="C209" s="526"/>
      <c r="D209" s="527" t="s">
        <v>423</v>
      </c>
      <c r="E209" s="932"/>
      <c r="F209" s="902"/>
      <c r="G209" s="528"/>
      <c r="H209" s="549" t="s">
        <v>38</v>
      </c>
      <c r="I209" s="711">
        <v>0</v>
      </c>
      <c r="J209" s="897"/>
      <c r="K209" s="528"/>
      <c r="L209" s="549" t="s">
        <v>38</v>
      </c>
      <c r="M209" s="711">
        <f t="shared" si="577"/>
        <v>0</v>
      </c>
      <c r="N209" s="897"/>
      <c r="O209" s="528"/>
      <c r="P209" s="711">
        <v>0</v>
      </c>
      <c r="Q209" s="711">
        <v>0</v>
      </c>
      <c r="R209" s="711">
        <v>0</v>
      </c>
      <c r="S209" s="711">
        <v>0</v>
      </c>
      <c r="T209" s="711">
        <v>0</v>
      </c>
      <c r="U209" s="711">
        <v>0</v>
      </c>
      <c r="V209" s="711">
        <v>0</v>
      </c>
      <c r="W209" s="528"/>
      <c r="X209" s="711">
        <f t="shared" si="593"/>
        <v>0</v>
      </c>
      <c r="Y209" s="897"/>
      <c r="Z209" s="528"/>
      <c r="AA209" s="899"/>
      <c r="AB209" s="899"/>
      <c r="AC209" s="899"/>
      <c r="AD209" s="901"/>
      <c r="AE209" s="2"/>
      <c r="AF209" s="885"/>
      <c r="AG209" s="885"/>
      <c r="AH209" s="885"/>
      <c r="AI209" s="885"/>
      <c r="AJ209" s="885"/>
      <c r="AK209" s="885"/>
      <c r="AL209" s="885"/>
      <c r="AM209" s="879"/>
      <c r="AN209" s="2"/>
      <c r="AO209" s="886"/>
      <c r="AP209" s="886"/>
      <c r="AV209" s="4" t="str">
        <f t="shared" si="680"/>
        <v>Escavação 1ª e 2ª categoria</v>
      </c>
      <c r="AW209" s="4" t="str">
        <f t="shared" si="681"/>
        <v>Alargamento Aterro 03</v>
      </c>
    </row>
    <row r="210" spans="1:49" ht="15" customHeight="1" outlineLevel="2">
      <c r="A210" s="545" t="str">
        <f t="shared" ref="A210" si="697">IF(SUM(P210:V211)&gt;0,"S","N")</f>
        <v>N</v>
      </c>
      <c r="B210" s="526" t="s">
        <v>416</v>
      </c>
      <c r="C210" s="526" t="s">
        <v>266</v>
      </c>
      <c r="D210" s="527" t="s">
        <v>425</v>
      </c>
      <c r="E210" s="931" t="s">
        <v>426</v>
      </c>
      <c r="F210" s="902" t="s">
        <v>36</v>
      </c>
      <c r="G210" s="528"/>
      <c r="H210" s="546" t="s">
        <v>37</v>
      </c>
      <c r="I210" s="711">
        <v>0</v>
      </c>
      <c r="J210" s="896" t="str">
        <f>IFERROR((I211/I210),"-")</f>
        <v>-</v>
      </c>
      <c r="K210" s="528"/>
      <c r="L210" s="546" t="s">
        <v>37</v>
      </c>
      <c r="M210" s="711">
        <f t="shared" si="577"/>
        <v>0</v>
      </c>
      <c r="N210" s="896" t="str">
        <f>IFERROR((M211/M210),"-")</f>
        <v>-</v>
      </c>
      <c r="O210" s="528"/>
      <c r="P210" s="547">
        <v>0</v>
      </c>
      <c r="Q210" s="547">
        <v>0</v>
      </c>
      <c r="R210" s="547">
        <v>0</v>
      </c>
      <c r="S210" s="547">
        <v>0</v>
      </c>
      <c r="T210" s="547">
        <v>0</v>
      </c>
      <c r="U210" s="547">
        <v>0</v>
      </c>
      <c r="V210" s="548">
        <v>0</v>
      </c>
      <c r="W210" s="528"/>
      <c r="X210" s="711">
        <f t="shared" si="593"/>
        <v>0</v>
      </c>
      <c r="Y210" s="896" t="str">
        <f t="shared" ref="Y210" si="698">IFERROR((X211/X210),"0")</f>
        <v>0</v>
      </c>
      <c r="Z210" s="528"/>
      <c r="AA210" s="898">
        <v>0</v>
      </c>
      <c r="AB210" s="898">
        <v>0</v>
      </c>
      <c r="AC210" s="898">
        <v>0</v>
      </c>
      <c r="AD210" s="900" t="str">
        <f t="shared" ref="AD210" si="699">IFERROR((AC210/AB210),"-")</f>
        <v>-</v>
      </c>
      <c r="AE210" s="2"/>
      <c r="AF210" s="884">
        <v>0</v>
      </c>
      <c r="AG210" s="884"/>
      <c r="AH210" s="884">
        <v>0</v>
      </c>
      <c r="AI210" s="884"/>
      <c r="AJ210" s="884"/>
      <c r="AK210" s="884">
        <f t="shared" ref="AK210" si="700">AF210+AG210+AH210+AI210+AJ210+AC210</f>
        <v>0</v>
      </c>
      <c r="AL210" s="884">
        <v>0</v>
      </c>
      <c r="AM210" s="878" t="str">
        <f t="shared" ref="AM210" si="701">IFERROR((AK210/AL210),"-")</f>
        <v>-</v>
      </c>
      <c r="AN210" s="2"/>
      <c r="AO210" s="884">
        <v>0</v>
      </c>
      <c r="AP210" s="884">
        <f t="shared" ref="AP210" si="702">AO210-AK210</f>
        <v>0</v>
      </c>
      <c r="AV210" s="4" t="str">
        <f t="shared" si="680"/>
        <v>Escavação 1ª e 2ª categoria</v>
      </c>
      <c r="AW210" s="4" t="str">
        <f t="shared" si="681"/>
        <v>Aterro 03 - Remoção de material saturado</v>
      </c>
    </row>
    <row r="211" spans="1:49" ht="15" customHeight="1" outlineLevel="2">
      <c r="A211" s="545" t="str">
        <f t="shared" ref="A211" si="703">A210</f>
        <v>N</v>
      </c>
      <c r="B211" s="526"/>
      <c r="C211" s="526"/>
      <c r="D211" s="527" t="s">
        <v>425</v>
      </c>
      <c r="E211" s="932"/>
      <c r="F211" s="902"/>
      <c r="G211" s="528"/>
      <c r="H211" s="549" t="s">
        <v>38</v>
      </c>
      <c r="I211" s="711">
        <v>0</v>
      </c>
      <c r="J211" s="897"/>
      <c r="K211" s="528"/>
      <c r="L211" s="549" t="s">
        <v>38</v>
      </c>
      <c r="M211" s="711">
        <f t="shared" si="577"/>
        <v>0</v>
      </c>
      <c r="N211" s="897"/>
      <c r="O211" s="528"/>
      <c r="P211" s="711">
        <v>0</v>
      </c>
      <c r="Q211" s="711">
        <v>0</v>
      </c>
      <c r="R211" s="711">
        <v>0</v>
      </c>
      <c r="S211" s="711">
        <v>0</v>
      </c>
      <c r="T211" s="711">
        <v>0</v>
      </c>
      <c r="U211" s="711">
        <v>0</v>
      </c>
      <c r="V211" s="711">
        <v>0</v>
      </c>
      <c r="W211" s="528"/>
      <c r="X211" s="711">
        <f t="shared" si="593"/>
        <v>0</v>
      </c>
      <c r="Y211" s="897"/>
      <c r="Z211" s="528"/>
      <c r="AA211" s="899"/>
      <c r="AB211" s="899"/>
      <c r="AC211" s="899"/>
      <c r="AD211" s="901"/>
      <c r="AE211" s="2"/>
      <c r="AF211" s="885"/>
      <c r="AG211" s="885"/>
      <c r="AH211" s="885"/>
      <c r="AI211" s="885"/>
      <c r="AJ211" s="885"/>
      <c r="AK211" s="885"/>
      <c r="AL211" s="885"/>
      <c r="AM211" s="879"/>
      <c r="AN211" s="2"/>
      <c r="AO211" s="886"/>
      <c r="AP211" s="886"/>
      <c r="AV211" s="4" t="str">
        <f t="shared" si="680"/>
        <v>Escavação 1ª e 2ª categoria</v>
      </c>
      <c r="AW211" s="4" t="str">
        <f t="shared" si="681"/>
        <v>Aterro 03 - Remoção de material saturado</v>
      </c>
    </row>
    <row r="212" spans="1:49" ht="15" customHeight="1" outlineLevel="2">
      <c r="A212" s="545" t="str">
        <f t="shared" ref="A212" si="704">IF(SUM(P212:V213)&gt;0,"S","N")</f>
        <v>N</v>
      </c>
      <c r="B212" s="526" t="s">
        <v>416</v>
      </c>
      <c r="C212" s="526" t="s">
        <v>266</v>
      </c>
      <c r="D212" s="527" t="s">
        <v>427</v>
      </c>
      <c r="E212" s="931" t="s">
        <v>428</v>
      </c>
      <c r="F212" s="902" t="s">
        <v>36</v>
      </c>
      <c r="G212" s="528"/>
      <c r="H212" s="546" t="s">
        <v>37</v>
      </c>
      <c r="I212" s="711">
        <v>0</v>
      </c>
      <c r="J212" s="896" t="str">
        <f>IFERROR((I213/I212),"-")</f>
        <v>-</v>
      </c>
      <c r="K212" s="528"/>
      <c r="L212" s="546" t="s">
        <v>37</v>
      </c>
      <c r="M212" s="711">
        <f t="shared" si="577"/>
        <v>0</v>
      </c>
      <c r="N212" s="896" t="str">
        <f>IFERROR((M213/M212),"-")</f>
        <v>-</v>
      </c>
      <c r="O212" s="528"/>
      <c r="P212" s="547">
        <v>0</v>
      </c>
      <c r="Q212" s="547">
        <v>0</v>
      </c>
      <c r="R212" s="547">
        <v>0</v>
      </c>
      <c r="S212" s="547">
        <v>0</v>
      </c>
      <c r="T212" s="547">
        <v>0</v>
      </c>
      <c r="U212" s="547">
        <v>0</v>
      </c>
      <c r="V212" s="548">
        <v>0</v>
      </c>
      <c r="W212" s="528"/>
      <c r="X212" s="711">
        <f t="shared" si="593"/>
        <v>0</v>
      </c>
      <c r="Y212" s="896" t="str">
        <f t="shared" ref="Y212" si="705">IFERROR((X213/X212),"0")</f>
        <v>0</v>
      </c>
      <c r="Z212" s="528"/>
      <c r="AA212" s="898">
        <v>0</v>
      </c>
      <c r="AB212" s="898">
        <v>0</v>
      </c>
      <c r="AC212" s="898">
        <v>0</v>
      </c>
      <c r="AD212" s="900" t="str">
        <f t="shared" ref="AD212" si="706">IFERROR((AC212/AB212),"-")</f>
        <v>-</v>
      </c>
      <c r="AE212" s="2"/>
      <c r="AF212" s="884">
        <v>0</v>
      </c>
      <c r="AG212" s="884"/>
      <c r="AH212" s="884">
        <v>0</v>
      </c>
      <c r="AI212" s="884"/>
      <c r="AJ212" s="884"/>
      <c r="AK212" s="884">
        <f t="shared" ref="AK212" si="707">AF212+AG212+AH212+AI212+AJ212+AC212</f>
        <v>0</v>
      </c>
      <c r="AL212" s="884">
        <v>0</v>
      </c>
      <c r="AM212" s="878" t="str">
        <f t="shared" ref="AM212" si="708">IFERROR((AK212/AL212),"-")</f>
        <v>-</v>
      </c>
      <c r="AN212" s="2"/>
      <c r="AO212" s="884">
        <v>0</v>
      </c>
      <c r="AP212" s="884">
        <f t="shared" ref="AP212" si="709">AO212-AK212</f>
        <v>0</v>
      </c>
      <c r="AV212" s="4" t="str">
        <f t="shared" si="680"/>
        <v>Escavação 1ª e 2ª categoria</v>
      </c>
      <c r="AW212" s="4" t="str">
        <f t="shared" si="681"/>
        <v>Alargamento Aterro 06</v>
      </c>
    </row>
    <row r="213" spans="1:49" ht="15" customHeight="1" outlineLevel="2">
      <c r="A213" s="545" t="str">
        <f t="shared" ref="A213" si="710">A212</f>
        <v>N</v>
      </c>
      <c r="B213" s="526"/>
      <c r="C213" s="526"/>
      <c r="D213" s="527" t="s">
        <v>427</v>
      </c>
      <c r="E213" s="932"/>
      <c r="F213" s="902"/>
      <c r="G213" s="528"/>
      <c r="H213" s="549" t="s">
        <v>38</v>
      </c>
      <c r="I213" s="711">
        <v>0</v>
      </c>
      <c r="J213" s="897"/>
      <c r="K213" s="528"/>
      <c r="L213" s="549" t="s">
        <v>38</v>
      </c>
      <c r="M213" s="711">
        <f t="shared" si="577"/>
        <v>0</v>
      </c>
      <c r="N213" s="897"/>
      <c r="O213" s="528"/>
      <c r="P213" s="711">
        <v>0</v>
      </c>
      <c r="Q213" s="711">
        <v>0</v>
      </c>
      <c r="R213" s="711">
        <v>0</v>
      </c>
      <c r="S213" s="711">
        <v>0</v>
      </c>
      <c r="T213" s="711">
        <v>0</v>
      </c>
      <c r="U213" s="711">
        <v>0</v>
      </c>
      <c r="V213" s="711">
        <v>0</v>
      </c>
      <c r="W213" s="528"/>
      <c r="X213" s="711">
        <f t="shared" si="593"/>
        <v>0</v>
      </c>
      <c r="Y213" s="897"/>
      <c r="Z213" s="528"/>
      <c r="AA213" s="899"/>
      <c r="AB213" s="899"/>
      <c r="AC213" s="899"/>
      <c r="AD213" s="901"/>
      <c r="AE213" s="2"/>
      <c r="AF213" s="885"/>
      <c r="AG213" s="885"/>
      <c r="AH213" s="885"/>
      <c r="AI213" s="885"/>
      <c r="AJ213" s="885"/>
      <c r="AK213" s="885"/>
      <c r="AL213" s="885"/>
      <c r="AM213" s="879"/>
      <c r="AN213" s="2"/>
      <c r="AO213" s="886"/>
      <c r="AP213" s="886"/>
      <c r="AV213" s="4" t="str">
        <f t="shared" si="680"/>
        <v>Escavação 1ª e 2ª categoria</v>
      </c>
      <c r="AW213" s="4" t="str">
        <f t="shared" si="681"/>
        <v>Alargamento Aterro 06</v>
      </c>
    </row>
    <row r="214" spans="1:49" ht="15" customHeight="1" outlineLevel="2">
      <c r="A214" s="545" t="str">
        <f t="shared" ref="A214" si="711">IF(SUM(P214:V215)&gt;0,"S","N")</f>
        <v>N</v>
      </c>
      <c r="B214" s="526" t="s">
        <v>416</v>
      </c>
      <c r="C214" s="526" t="s">
        <v>266</v>
      </c>
      <c r="D214" s="527" t="s">
        <v>429</v>
      </c>
      <c r="E214" s="931" t="s">
        <v>430</v>
      </c>
      <c r="F214" s="902" t="s">
        <v>36</v>
      </c>
      <c r="G214" s="528"/>
      <c r="H214" s="546" t="s">
        <v>37</v>
      </c>
      <c r="I214" s="711">
        <v>0</v>
      </c>
      <c r="J214" s="896" t="str">
        <f>IFERROR((I215/I214),"-")</f>
        <v>-</v>
      </c>
      <c r="K214" s="528"/>
      <c r="L214" s="546" t="s">
        <v>37</v>
      </c>
      <c r="M214" s="711">
        <f t="shared" si="577"/>
        <v>0</v>
      </c>
      <c r="N214" s="896" t="str">
        <f>IFERROR((M215/M214),"-")</f>
        <v>-</v>
      </c>
      <c r="O214" s="528"/>
      <c r="P214" s="547">
        <v>0</v>
      </c>
      <c r="Q214" s="547">
        <v>0</v>
      </c>
      <c r="R214" s="547">
        <v>0</v>
      </c>
      <c r="S214" s="547">
        <v>0</v>
      </c>
      <c r="T214" s="547">
        <v>0</v>
      </c>
      <c r="U214" s="547">
        <v>0</v>
      </c>
      <c r="V214" s="548">
        <v>0</v>
      </c>
      <c r="W214" s="528"/>
      <c r="X214" s="711">
        <f t="shared" si="593"/>
        <v>0</v>
      </c>
      <c r="Y214" s="896" t="str">
        <f t="shared" ref="Y214" si="712">IFERROR((X215/X214),"0")</f>
        <v>0</v>
      </c>
      <c r="Z214" s="528"/>
      <c r="AA214" s="898">
        <v>0</v>
      </c>
      <c r="AB214" s="898">
        <v>0</v>
      </c>
      <c r="AC214" s="898">
        <v>0</v>
      </c>
      <c r="AD214" s="900" t="str">
        <f t="shared" ref="AD214" si="713">IFERROR((AC214/AB214),"-")</f>
        <v>-</v>
      </c>
      <c r="AE214" s="2"/>
      <c r="AF214" s="884">
        <v>0</v>
      </c>
      <c r="AG214" s="884"/>
      <c r="AH214" s="884">
        <v>0</v>
      </c>
      <c r="AI214" s="884"/>
      <c r="AJ214" s="884"/>
      <c r="AK214" s="884">
        <f t="shared" ref="AK214" si="714">AF214+AG214+AH214+AI214+AJ214+AC214</f>
        <v>0</v>
      </c>
      <c r="AL214" s="884">
        <v>0</v>
      </c>
      <c r="AM214" s="878" t="str">
        <f t="shared" ref="AM214" si="715">IFERROR((AK214/AL214),"-")</f>
        <v>-</v>
      </c>
      <c r="AN214" s="2"/>
      <c r="AO214" s="884">
        <v>0</v>
      </c>
      <c r="AP214" s="884">
        <f t="shared" ref="AP214" si="716">AO214-AK214</f>
        <v>0</v>
      </c>
      <c r="AV214" s="4" t="str">
        <f t="shared" si="680"/>
        <v>Escavação 1ª e 2ª categoria</v>
      </c>
      <c r="AW214" s="4" t="str">
        <f t="shared" si="681"/>
        <v>Alargamento Corte 08</v>
      </c>
    </row>
    <row r="215" spans="1:49" ht="15" customHeight="1" outlineLevel="2">
      <c r="A215" s="545" t="str">
        <f t="shared" ref="A215" si="717">A214</f>
        <v>N</v>
      </c>
      <c r="B215" s="526"/>
      <c r="C215" s="526"/>
      <c r="D215" s="527" t="s">
        <v>429</v>
      </c>
      <c r="E215" s="932"/>
      <c r="F215" s="902"/>
      <c r="G215" s="528"/>
      <c r="H215" s="549" t="s">
        <v>38</v>
      </c>
      <c r="I215" s="711">
        <v>0</v>
      </c>
      <c r="J215" s="897"/>
      <c r="K215" s="528"/>
      <c r="L215" s="549" t="s">
        <v>38</v>
      </c>
      <c r="M215" s="711">
        <f t="shared" si="577"/>
        <v>0</v>
      </c>
      <c r="N215" s="897"/>
      <c r="O215" s="528"/>
      <c r="P215" s="711">
        <v>0</v>
      </c>
      <c r="Q215" s="711">
        <v>0</v>
      </c>
      <c r="R215" s="711">
        <v>0</v>
      </c>
      <c r="S215" s="711">
        <v>0</v>
      </c>
      <c r="T215" s="711">
        <v>0</v>
      </c>
      <c r="U215" s="711">
        <v>0</v>
      </c>
      <c r="V215" s="711">
        <v>0</v>
      </c>
      <c r="W215" s="528"/>
      <c r="X215" s="711">
        <f t="shared" si="593"/>
        <v>0</v>
      </c>
      <c r="Y215" s="897"/>
      <c r="Z215" s="528"/>
      <c r="AA215" s="899"/>
      <c r="AB215" s="899"/>
      <c r="AC215" s="899"/>
      <c r="AD215" s="901"/>
      <c r="AE215" s="2"/>
      <c r="AF215" s="885"/>
      <c r="AG215" s="885"/>
      <c r="AH215" s="885"/>
      <c r="AI215" s="885"/>
      <c r="AJ215" s="885"/>
      <c r="AK215" s="885"/>
      <c r="AL215" s="885"/>
      <c r="AM215" s="879"/>
      <c r="AN215" s="2"/>
      <c r="AO215" s="886"/>
      <c r="AP215" s="886"/>
      <c r="AV215" s="4" t="str">
        <f t="shared" si="680"/>
        <v>Escavação 1ª e 2ª categoria</v>
      </c>
      <c r="AW215" s="4" t="str">
        <f t="shared" si="681"/>
        <v>Alargamento Corte 08</v>
      </c>
    </row>
    <row r="216" spans="1:49" ht="15" customHeight="1" outlineLevel="2">
      <c r="A216" s="545" t="str">
        <f t="shared" ref="A216" si="718">IF(SUM(P216:V217)&gt;0,"S","N")</f>
        <v>N</v>
      </c>
      <c r="B216" s="526" t="s">
        <v>416</v>
      </c>
      <c r="C216" s="526" t="s">
        <v>266</v>
      </c>
      <c r="D216" s="527" t="s">
        <v>411</v>
      </c>
      <c r="E216" s="931" t="s">
        <v>431</v>
      </c>
      <c r="F216" s="902" t="s">
        <v>36</v>
      </c>
      <c r="G216" s="528"/>
      <c r="H216" s="546" t="s">
        <v>37</v>
      </c>
      <c r="I216" s="711">
        <v>0</v>
      </c>
      <c r="J216" s="896" t="str">
        <f>IFERROR((I217/I216),"-")</f>
        <v>-</v>
      </c>
      <c r="K216" s="528"/>
      <c r="L216" s="546" t="s">
        <v>37</v>
      </c>
      <c r="M216" s="711">
        <f t="shared" si="577"/>
        <v>0</v>
      </c>
      <c r="N216" s="896" t="str">
        <f>IFERROR((M217/M216),"-")</f>
        <v>-</v>
      </c>
      <c r="O216" s="528"/>
      <c r="P216" s="547">
        <v>0</v>
      </c>
      <c r="Q216" s="547">
        <v>0</v>
      </c>
      <c r="R216" s="547">
        <v>0</v>
      </c>
      <c r="S216" s="547">
        <v>0</v>
      </c>
      <c r="T216" s="547">
        <v>0</v>
      </c>
      <c r="U216" s="547">
        <v>0</v>
      </c>
      <c r="V216" s="548">
        <v>0</v>
      </c>
      <c r="W216" s="528"/>
      <c r="X216" s="711">
        <f t="shared" si="593"/>
        <v>0</v>
      </c>
      <c r="Y216" s="896" t="str">
        <f t="shared" ref="Y216" si="719">IFERROR((X217/X216),"0")</f>
        <v>0</v>
      </c>
      <c r="Z216" s="528"/>
      <c r="AA216" s="898">
        <v>0</v>
      </c>
      <c r="AB216" s="898">
        <v>0</v>
      </c>
      <c r="AC216" s="898">
        <v>0</v>
      </c>
      <c r="AD216" s="900" t="str">
        <f t="shared" ref="AD216" si="720">IFERROR((AC216/AB216),"-")</f>
        <v>-</v>
      </c>
      <c r="AE216" s="2"/>
      <c r="AF216" s="884">
        <v>0</v>
      </c>
      <c r="AG216" s="884"/>
      <c r="AH216" s="884">
        <v>890</v>
      </c>
      <c r="AI216" s="884"/>
      <c r="AJ216" s="884"/>
      <c r="AK216" s="884">
        <f t="shared" ref="AK216" si="721">AF216+AG216+AH216+AI216+AJ216+AC216</f>
        <v>890</v>
      </c>
      <c r="AL216" s="884">
        <v>0</v>
      </c>
      <c r="AM216" s="878" t="str">
        <f t="shared" ref="AM216" si="722">IFERROR((AK216/AL216),"-")</f>
        <v>-</v>
      </c>
      <c r="AN216" s="2"/>
      <c r="AO216" s="884">
        <v>0</v>
      </c>
      <c r="AP216" s="884">
        <f t="shared" ref="AP216" si="723">AO216-AK216</f>
        <v>-890</v>
      </c>
      <c r="AV216" s="4" t="str">
        <f t="shared" si="680"/>
        <v>Escavação 1ª e 2ª categoria</v>
      </c>
      <c r="AW216" s="4" t="str">
        <f t="shared" si="681"/>
        <v>ADMP - Região do Corte 05</v>
      </c>
    </row>
    <row r="217" spans="1:49" ht="15" customHeight="1" outlineLevel="2">
      <c r="A217" s="545" t="str">
        <f t="shared" ref="A217" si="724">A216</f>
        <v>N</v>
      </c>
      <c r="B217" s="526"/>
      <c r="C217" s="526"/>
      <c r="D217" s="527" t="s">
        <v>411</v>
      </c>
      <c r="E217" s="932"/>
      <c r="F217" s="902"/>
      <c r="G217" s="528"/>
      <c r="H217" s="549" t="s">
        <v>38</v>
      </c>
      <c r="I217" s="711">
        <v>20</v>
      </c>
      <c r="J217" s="897"/>
      <c r="K217" s="528"/>
      <c r="L217" s="549" t="s">
        <v>38</v>
      </c>
      <c r="M217" s="711">
        <f t="shared" si="577"/>
        <v>0</v>
      </c>
      <c r="N217" s="897"/>
      <c r="O217" s="528"/>
      <c r="P217" s="711">
        <v>0</v>
      </c>
      <c r="Q217" s="711">
        <v>0</v>
      </c>
      <c r="R217" s="711">
        <v>0</v>
      </c>
      <c r="S217" s="711">
        <v>0</v>
      </c>
      <c r="T217" s="711">
        <v>0</v>
      </c>
      <c r="U217" s="711">
        <v>0</v>
      </c>
      <c r="V217" s="711">
        <v>0</v>
      </c>
      <c r="W217" s="528"/>
      <c r="X217" s="711">
        <f t="shared" si="593"/>
        <v>0</v>
      </c>
      <c r="Y217" s="897"/>
      <c r="Z217" s="528"/>
      <c r="AA217" s="899"/>
      <c r="AB217" s="899"/>
      <c r="AC217" s="899"/>
      <c r="AD217" s="901"/>
      <c r="AE217" s="2"/>
      <c r="AF217" s="885"/>
      <c r="AG217" s="885"/>
      <c r="AH217" s="885"/>
      <c r="AI217" s="885"/>
      <c r="AJ217" s="885"/>
      <c r="AK217" s="885"/>
      <c r="AL217" s="885"/>
      <c r="AM217" s="879"/>
      <c r="AN217" s="2"/>
      <c r="AO217" s="886"/>
      <c r="AP217" s="886"/>
      <c r="AV217" s="4" t="str">
        <f t="shared" si="680"/>
        <v>Escavação 1ª e 2ª categoria</v>
      </c>
      <c r="AW217" s="4" t="str">
        <f t="shared" si="681"/>
        <v>ADMP - Região do Corte 05</v>
      </c>
    </row>
    <row r="218" spans="1:49" ht="15" customHeight="1" outlineLevel="2">
      <c r="A218" s="545" t="str">
        <f t="shared" ref="A218" si="725">IF(SUM(P218:V219)&gt;0,"S","N")</f>
        <v>N</v>
      </c>
      <c r="B218" s="526" t="s">
        <v>416</v>
      </c>
      <c r="C218" s="526" t="s">
        <v>266</v>
      </c>
      <c r="D218" s="527" t="s">
        <v>432</v>
      </c>
      <c r="E218" s="931" t="s">
        <v>433</v>
      </c>
      <c r="F218" s="902" t="s">
        <v>36</v>
      </c>
      <c r="G218" s="528"/>
      <c r="H218" s="546" t="s">
        <v>37</v>
      </c>
      <c r="I218" s="711">
        <v>0</v>
      </c>
      <c r="J218" s="896" t="str">
        <f>IFERROR((I219/I218),"-")</f>
        <v>-</v>
      </c>
      <c r="K218" s="528"/>
      <c r="L218" s="546" t="s">
        <v>37</v>
      </c>
      <c r="M218" s="711">
        <f t="shared" si="577"/>
        <v>0</v>
      </c>
      <c r="N218" s="896" t="str">
        <f>IFERROR((M219/M218),"-")</f>
        <v>-</v>
      </c>
      <c r="O218" s="528"/>
      <c r="P218" s="547">
        <v>0</v>
      </c>
      <c r="Q218" s="547">
        <v>0</v>
      </c>
      <c r="R218" s="547">
        <v>0</v>
      </c>
      <c r="S218" s="547">
        <v>0</v>
      </c>
      <c r="T218" s="547">
        <v>0</v>
      </c>
      <c r="U218" s="547">
        <v>0</v>
      </c>
      <c r="V218" s="548">
        <v>0</v>
      </c>
      <c r="W218" s="528"/>
      <c r="X218" s="711">
        <f t="shared" si="593"/>
        <v>0</v>
      </c>
      <c r="Y218" s="896" t="str">
        <f t="shared" ref="Y218" si="726">IFERROR((X219/X218),"0")</f>
        <v>0</v>
      </c>
      <c r="Z218" s="528"/>
      <c r="AA218" s="898">
        <v>0</v>
      </c>
      <c r="AB218" s="898">
        <v>0</v>
      </c>
      <c r="AC218" s="898">
        <v>0</v>
      </c>
      <c r="AD218" s="900" t="str">
        <f t="shared" ref="AD218" si="727">IFERROR((AC218/AB218),"-")</f>
        <v>-</v>
      </c>
      <c r="AE218" s="2"/>
      <c r="AF218" s="884">
        <v>0</v>
      </c>
      <c r="AG218" s="884"/>
      <c r="AH218" s="884">
        <v>0</v>
      </c>
      <c r="AI218" s="884"/>
      <c r="AJ218" s="884"/>
      <c r="AK218" s="884">
        <f t="shared" ref="AK218" si="728">AF218+AG218+AH218+AI218+AJ218+AC218</f>
        <v>0</v>
      </c>
      <c r="AL218" s="884">
        <v>0</v>
      </c>
      <c r="AM218" s="878" t="str">
        <f t="shared" ref="AM218" si="729">IFERROR((AK218/AL218),"-")</f>
        <v>-</v>
      </c>
      <c r="AN218" s="2"/>
      <c r="AO218" s="884">
        <v>0</v>
      </c>
      <c r="AP218" s="884">
        <f t="shared" ref="AP218" si="730">AO218-AK218</f>
        <v>0</v>
      </c>
      <c r="AV218" s="4" t="str">
        <f t="shared" si="680"/>
        <v>Escavação 1ª e 2ª categoria</v>
      </c>
      <c r="AW218" s="4" t="str">
        <f t="shared" si="681"/>
        <v>Aterro 03 - ADMP</v>
      </c>
    </row>
    <row r="219" spans="1:49" ht="15" customHeight="1" outlineLevel="2">
      <c r="A219" s="545" t="str">
        <f t="shared" ref="A219" si="731">A218</f>
        <v>N</v>
      </c>
      <c r="B219" s="526"/>
      <c r="C219" s="526"/>
      <c r="D219" s="527" t="s">
        <v>432</v>
      </c>
      <c r="E219" s="932"/>
      <c r="F219" s="902"/>
      <c r="G219" s="528"/>
      <c r="H219" s="549" t="s">
        <v>38</v>
      </c>
      <c r="I219" s="711">
        <v>0</v>
      </c>
      <c r="J219" s="897"/>
      <c r="K219" s="528"/>
      <c r="L219" s="549" t="s">
        <v>38</v>
      </c>
      <c r="M219" s="711">
        <f t="shared" si="577"/>
        <v>0</v>
      </c>
      <c r="N219" s="897"/>
      <c r="O219" s="528"/>
      <c r="P219" s="711">
        <v>0</v>
      </c>
      <c r="Q219" s="711">
        <v>0</v>
      </c>
      <c r="R219" s="711">
        <v>0</v>
      </c>
      <c r="S219" s="711">
        <v>0</v>
      </c>
      <c r="T219" s="711">
        <v>0</v>
      </c>
      <c r="U219" s="711">
        <v>0</v>
      </c>
      <c r="V219" s="711">
        <v>0</v>
      </c>
      <c r="W219" s="528"/>
      <c r="X219" s="711">
        <f t="shared" si="593"/>
        <v>0</v>
      </c>
      <c r="Y219" s="897"/>
      <c r="Z219" s="528"/>
      <c r="AA219" s="899"/>
      <c r="AB219" s="899"/>
      <c r="AC219" s="899"/>
      <c r="AD219" s="901"/>
      <c r="AE219" s="2"/>
      <c r="AF219" s="885"/>
      <c r="AG219" s="885"/>
      <c r="AH219" s="885"/>
      <c r="AI219" s="885"/>
      <c r="AJ219" s="885"/>
      <c r="AK219" s="885"/>
      <c r="AL219" s="885"/>
      <c r="AM219" s="879"/>
      <c r="AN219" s="2"/>
      <c r="AO219" s="886"/>
      <c r="AP219" s="886"/>
      <c r="AV219" s="4" t="str">
        <f t="shared" si="680"/>
        <v>Escavação 1ª e 2ª categoria</v>
      </c>
      <c r="AW219" s="4" t="str">
        <f t="shared" si="681"/>
        <v>Aterro 03 - ADMP</v>
      </c>
    </row>
    <row r="220" spans="1:49" ht="15" customHeight="1" outlineLevel="2">
      <c r="A220" s="545" t="str">
        <f t="shared" ref="A220" si="732">IF(SUM(P220:V221)&gt;0,"S","N")</f>
        <v>N</v>
      </c>
      <c r="B220" s="526" t="s">
        <v>416</v>
      </c>
      <c r="C220" s="526" t="s">
        <v>266</v>
      </c>
      <c r="D220" s="527" t="s">
        <v>434</v>
      </c>
      <c r="E220" s="931" t="s">
        <v>435</v>
      </c>
      <c r="F220" s="902" t="s">
        <v>36</v>
      </c>
      <c r="G220" s="528"/>
      <c r="H220" s="546" t="s">
        <v>37</v>
      </c>
      <c r="I220" s="711">
        <v>0</v>
      </c>
      <c r="J220" s="896" t="str">
        <f>IFERROR((I221/I220),"-")</f>
        <v>-</v>
      </c>
      <c r="K220" s="528"/>
      <c r="L220" s="546" t="s">
        <v>37</v>
      </c>
      <c r="M220" s="711">
        <f t="shared" si="577"/>
        <v>0</v>
      </c>
      <c r="N220" s="896" t="str">
        <f>IFERROR((M221/M220),"-")</f>
        <v>-</v>
      </c>
      <c r="O220" s="528"/>
      <c r="P220" s="547">
        <v>0</v>
      </c>
      <c r="Q220" s="547">
        <v>0</v>
      </c>
      <c r="R220" s="547">
        <v>0</v>
      </c>
      <c r="S220" s="547">
        <v>0</v>
      </c>
      <c r="T220" s="547">
        <v>0</v>
      </c>
      <c r="U220" s="547">
        <v>0</v>
      </c>
      <c r="V220" s="548">
        <v>0</v>
      </c>
      <c r="W220" s="528"/>
      <c r="X220" s="711">
        <f t="shared" si="593"/>
        <v>0</v>
      </c>
      <c r="Y220" s="896" t="str">
        <f t="shared" ref="Y220" si="733">IFERROR((X221/X220),"0")</f>
        <v>0</v>
      </c>
      <c r="Z220" s="528"/>
      <c r="AA220" s="898">
        <v>0</v>
      </c>
      <c r="AB220" s="898">
        <v>0</v>
      </c>
      <c r="AC220" s="898">
        <v>1360</v>
      </c>
      <c r="AD220" s="900" t="str">
        <f t="shared" ref="AD220" si="734">IFERROR((AC220/AB220),"-")</f>
        <v>-</v>
      </c>
      <c r="AE220" s="2"/>
      <c r="AF220" s="884">
        <v>0</v>
      </c>
      <c r="AG220" s="884"/>
      <c r="AH220" s="884">
        <v>350</v>
      </c>
      <c r="AI220" s="884"/>
      <c r="AJ220" s="884"/>
      <c r="AK220" s="884">
        <f t="shared" ref="AK220" si="735">AF220+AG220+AH220+AI220+AJ220+AC220</f>
        <v>1710</v>
      </c>
      <c r="AL220" s="884">
        <v>0</v>
      </c>
      <c r="AM220" s="878" t="str">
        <f t="shared" ref="AM220" si="736">IFERROR((AK220/AL220),"-")</f>
        <v>-</v>
      </c>
      <c r="AN220" s="2"/>
      <c r="AO220" s="884">
        <v>0</v>
      </c>
      <c r="AP220" s="884">
        <f t="shared" ref="AP220" si="737">AO220-AK220</f>
        <v>-1710</v>
      </c>
      <c r="AV220" s="4" t="str">
        <f t="shared" si="680"/>
        <v>Escavação 1ª e 2ª categoria</v>
      </c>
      <c r="AW220" s="4" t="str">
        <f t="shared" si="681"/>
        <v>Escavação, carga e transporte de material 1ª/2ª categoria - Aterro 02</v>
      </c>
    </row>
    <row r="221" spans="1:49" ht="15" customHeight="1" outlineLevel="2">
      <c r="A221" s="545" t="str">
        <f t="shared" ref="A221" si="738">A220</f>
        <v>N</v>
      </c>
      <c r="B221" s="526"/>
      <c r="C221" s="526"/>
      <c r="D221" s="527" t="s">
        <v>434</v>
      </c>
      <c r="E221" s="932"/>
      <c r="F221" s="902"/>
      <c r="G221" s="528"/>
      <c r="H221" s="549" t="s">
        <v>38</v>
      </c>
      <c r="I221" s="711">
        <v>1360</v>
      </c>
      <c r="J221" s="897"/>
      <c r="K221" s="528"/>
      <c r="L221" s="549" t="s">
        <v>38</v>
      </c>
      <c r="M221" s="711">
        <f t="shared" si="577"/>
        <v>0</v>
      </c>
      <c r="N221" s="897"/>
      <c r="O221" s="528"/>
      <c r="P221" s="711">
        <v>0</v>
      </c>
      <c r="Q221" s="711">
        <v>0</v>
      </c>
      <c r="R221" s="711">
        <v>0</v>
      </c>
      <c r="S221" s="711">
        <v>0</v>
      </c>
      <c r="T221" s="711">
        <v>0</v>
      </c>
      <c r="U221" s="711">
        <v>0</v>
      </c>
      <c r="V221" s="711">
        <v>0</v>
      </c>
      <c r="W221" s="528"/>
      <c r="X221" s="711">
        <f t="shared" si="593"/>
        <v>0</v>
      </c>
      <c r="Y221" s="897"/>
      <c r="Z221" s="528"/>
      <c r="AA221" s="899"/>
      <c r="AB221" s="899"/>
      <c r="AC221" s="899"/>
      <c r="AD221" s="901"/>
      <c r="AE221" s="2"/>
      <c r="AF221" s="885"/>
      <c r="AG221" s="885"/>
      <c r="AH221" s="885"/>
      <c r="AI221" s="885"/>
      <c r="AJ221" s="885"/>
      <c r="AK221" s="885"/>
      <c r="AL221" s="885"/>
      <c r="AM221" s="879"/>
      <c r="AN221" s="2"/>
      <c r="AO221" s="886"/>
      <c r="AP221" s="886"/>
      <c r="AV221" s="4" t="str">
        <f t="shared" si="680"/>
        <v>Escavação 1ª e 2ª categoria</v>
      </c>
      <c r="AW221" s="4" t="str">
        <f t="shared" si="681"/>
        <v>Escavação, carga e transporte de material 1ª/2ª categoria - Aterro 02</v>
      </c>
    </row>
    <row r="222" spans="1:49" ht="15" customHeight="1" outlineLevel="2">
      <c r="A222" s="545" t="str">
        <f t="shared" ref="A222" si="739">IF(SUM(P222:V223)&gt;0,"S","N")</f>
        <v>N</v>
      </c>
      <c r="B222" s="526" t="s">
        <v>416</v>
      </c>
      <c r="C222" s="526" t="s">
        <v>266</v>
      </c>
      <c r="D222" s="527" t="s">
        <v>436</v>
      </c>
      <c r="E222" s="931" t="s">
        <v>437</v>
      </c>
      <c r="F222" s="902" t="s">
        <v>36</v>
      </c>
      <c r="G222" s="528"/>
      <c r="H222" s="546" t="s">
        <v>37</v>
      </c>
      <c r="I222" s="711">
        <v>0</v>
      </c>
      <c r="J222" s="896" t="str">
        <f>IFERROR((I223/I222),"-")</f>
        <v>-</v>
      </c>
      <c r="K222" s="528"/>
      <c r="L222" s="546" t="s">
        <v>37</v>
      </c>
      <c r="M222" s="711">
        <f t="shared" si="577"/>
        <v>0</v>
      </c>
      <c r="N222" s="896" t="str">
        <f>IFERROR((M223/M222),"-")</f>
        <v>-</v>
      </c>
      <c r="O222" s="528"/>
      <c r="P222" s="547">
        <v>0</v>
      </c>
      <c r="Q222" s="547">
        <v>0</v>
      </c>
      <c r="R222" s="547">
        <v>0</v>
      </c>
      <c r="S222" s="547">
        <v>0</v>
      </c>
      <c r="T222" s="547">
        <v>0</v>
      </c>
      <c r="U222" s="547">
        <v>0</v>
      </c>
      <c r="V222" s="548">
        <v>0</v>
      </c>
      <c r="W222" s="528"/>
      <c r="X222" s="711">
        <f t="shared" si="593"/>
        <v>0</v>
      </c>
      <c r="Y222" s="896" t="str">
        <f t="shared" ref="Y222" si="740">IFERROR((X223/X222),"0")</f>
        <v>0</v>
      </c>
      <c r="Z222" s="528"/>
      <c r="AA222" s="898">
        <v>0</v>
      </c>
      <c r="AB222" s="898">
        <v>0</v>
      </c>
      <c r="AC222" s="898">
        <v>0</v>
      </c>
      <c r="AD222" s="900" t="str">
        <f t="shared" ref="AD222" si="741">IFERROR((AC222/AB222),"-")</f>
        <v>-</v>
      </c>
      <c r="AE222" s="2"/>
      <c r="AF222" s="884">
        <v>0</v>
      </c>
      <c r="AG222" s="884"/>
      <c r="AH222" s="884">
        <v>5820</v>
      </c>
      <c r="AI222" s="884"/>
      <c r="AJ222" s="884"/>
      <c r="AK222" s="884">
        <f t="shared" ref="AK222" si="742">AF222+AG222+AH222+AI222+AJ222+AC222</f>
        <v>5820</v>
      </c>
      <c r="AL222" s="884">
        <v>0</v>
      </c>
      <c r="AM222" s="878" t="str">
        <f t="shared" ref="AM222" si="743">IFERROR((AK222/AL222),"-")</f>
        <v>-</v>
      </c>
      <c r="AN222" s="2"/>
      <c r="AO222" s="884">
        <v>0</v>
      </c>
      <c r="AP222" s="884">
        <f t="shared" ref="AP222" si="744">AO222-AK222</f>
        <v>-5820</v>
      </c>
      <c r="AV222" s="4" t="str">
        <f t="shared" si="680"/>
        <v>Escavação 1ª e 2ª categoria</v>
      </c>
      <c r="AW222" s="4" t="str">
        <f t="shared" si="681"/>
        <v>Escavação, carga e transporte de material 1ª/2ª categoria - Aterro 06</v>
      </c>
    </row>
    <row r="223" spans="1:49" ht="15" customHeight="1" outlineLevel="2">
      <c r="A223" s="545" t="str">
        <f t="shared" ref="A223" si="745">A222</f>
        <v>N</v>
      </c>
      <c r="B223" s="526"/>
      <c r="C223" s="526"/>
      <c r="D223" s="527" t="s">
        <v>436</v>
      </c>
      <c r="E223" s="932"/>
      <c r="F223" s="902"/>
      <c r="G223" s="528"/>
      <c r="H223" s="549" t="s">
        <v>38</v>
      </c>
      <c r="I223" s="711">
        <v>0</v>
      </c>
      <c r="J223" s="897"/>
      <c r="K223" s="528"/>
      <c r="L223" s="549" t="s">
        <v>38</v>
      </c>
      <c r="M223" s="711">
        <f t="shared" si="577"/>
        <v>0</v>
      </c>
      <c r="N223" s="897"/>
      <c r="O223" s="528"/>
      <c r="P223" s="711">
        <v>0</v>
      </c>
      <c r="Q223" s="711">
        <v>0</v>
      </c>
      <c r="R223" s="711">
        <v>0</v>
      </c>
      <c r="S223" s="711">
        <v>0</v>
      </c>
      <c r="T223" s="711">
        <v>0</v>
      </c>
      <c r="U223" s="711">
        <v>0</v>
      </c>
      <c r="V223" s="711">
        <v>0</v>
      </c>
      <c r="W223" s="528"/>
      <c r="X223" s="711">
        <f t="shared" si="593"/>
        <v>0</v>
      </c>
      <c r="Y223" s="897"/>
      <c r="Z223" s="528"/>
      <c r="AA223" s="899"/>
      <c r="AB223" s="899"/>
      <c r="AC223" s="899"/>
      <c r="AD223" s="901"/>
      <c r="AE223" s="2"/>
      <c r="AF223" s="885"/>
      <c r="AG223" s="885"/>
      <c r="AH223" s="885"/>
      <c r="AI223" s="885"/>
      <c r="AJ223" s="885"/>
      <c r="AK223" s="885"/>
      <c r="AL223" s="885"/>
      <c r="AM223" s="879"/>
      <c r="AN223" s="2"/>
      <c r="AO223" s="886"/>
      <c r="AP223" s="886"/>
      <c r="AV223" s="4" t="str">
        <f t="shared" si="680"/>
        <v>Escavação 1ª e 2ª categoria</v>
      </c>
      <c r="AW223" s="4" t="str">
        <f t="shared" si="681"/>
        <v>Escavação, carga e transporte de material 1ª/2ª categoria - Aterro 06</v>
      </c>
    </row>
    <row r="224" spans="1:49" ht="15" customHeight="1" outlineLevel="2">
      <c r="A224" s="545" t="str">
        <f t="shared" ref="A224" si="746">IF(SUM(P224:V225)&gt;0,"S","N")</f>
        <v>N</v>
      </c>
      <c r="B224" s="526" t="s">
        <v>416</v>
      </c>
      <c r="C224" s="526" t="s">
        <v>266</v>
      </c>
      <c r="D224" s="527" t="s">
        <v>438</v>
      </c>
      <c r="E224" s="931" t="s">
        <v>439</v>
      </c>
      <c r="F224" s="902" t="s">
        <v>36</v>
      </c>
      <c r="G224" s="528"/>
      <c r="H224" s="546" t="s">
        <v>37</v>
      </c>
      <c r="I224" s="711">
        <v>0</v>
      </c>
      <c r="J224" s="896" t="str">
        <f>IFERROR((I225/I224),"-")</f>
        <v>-</v>
      </c>
      <c r="K224" s="528"/>
      <c r="L224" s="546" t="s">
        <v>37</v>
      </c>
      <c r="M224" s="711">
        <f t="shared" si="577"/>
        <v>0</v>
      </c>
      <c r="N224" s="896" t="str">
        <f>IFERROR((M225/M224),"-")</f>
        <v>-</v>
      </c>
      <c r="O224" s="528"/>
      <c r="P224" s="547">
        <v>0</v>
      </c>
      <c r="Q224" s="547">
        <v>0</v>
      </c>
      <c r="R224" s="547">
        <v>0</v>
      </c>
      <c r="S224" s="547">
        <v>0</v>
      </c>
      <c r="T224" s="547">
        <v>0</v>
      </c>
      <c r="U224" s="547">
        <v>0</v>
      </c>
      <c r="V224" s="548">
        <v>0</v>
      </c>
      <c r="W224" s="528"/>
      <c r="X224" s="711">
        <f t="shared" si="593"/>
        <v>0</v>
      </c>
      <c r="Y224" s="896" t="str">
        <f t="shared" ref="Y224" si="747">IFERROR((X225/X224),"0")</f>
        <v>0</v>
      </c>
      <c r="Z224" s="528"/>
      <c r="AA224" s="898">
        <v>0</v>
      </c>
      <c r="AB224" s="898">
        <v>0</v>
      </c>
      <c r="AC224" s="898">
        <v>0</v>
      </c>
      <c r="AD224" s="900" t="str">
        <f t="shared" ref="AD224" si="748">IFERROR((AC224/AB224),"-")</f>
        <v>-</v>
      </c>
      <c r="AE224" s="2"/>
      <c r="AF224" s="884">
        <v>0</v>
      </c>
      <c r="AG224" s="884"/>
      <c r="AH224" s="884">
        <v>0</v>
      </c>
      <c r="AI224" s="884"/>
      <c r="AJ224" s="884"/>
      <c r="AK224" s="884">
        <f t="shared" ref="AK224" si="749">AF224+AG224+AH224+AI224+AJ224+AC224</f>
        <v>0</v>
      </c>
      <c r="AL224" s="884">
        <v>0</v>
      </c>
      <c r="AM224" s="878" t="str">
        <f t="shared" ref="AM224" si="750">IFERROR((AK224/AL224),"-")</f>
        <v>-</v>
      </c>
      <c r="AN224" s="2"/>
      <c r="AO224" s="884">
        <v>0</v>
      </c>
      <c r="AP224" s="884">
        <f t="shared" ref="AP224" si="751">AO224-AK224</f>
        <v>0</v>
      </c>
      <c r="AV224" s="4" t="str">
        <f t="shared" si="680"/>
        <v>Escavação 1ª e 2ª categoria</v>
      </c>
      <c r="AW224" s="4" t="str">
        <f t="shared" si="681"/>
        <v>Escavação, carga e transporte de material 1ª/2ª categoria - Aterro 05</v>
      </c>
    </row>
    <row r="225" spans="1:49" ht="15" customHeight="1" outlineLevel="2">
      <c r="A225" s="545" t="str">
        <f t="shared" ref="A225" si="752">A224</f>
        <v>N</v>
      </c>
      <c r="B225" s="526"/>
      <c r="C225" s="526"/>
      <c r="D225" s="527" t="s">
        <v>438</v>
      </c>
      <c r="E225" s="932"/>
      <c r="F225" s="902"/>
      <c r="G225" s="528"/>
      <c r="H225" s="549" t="s">
        <v>38</v>
      </c>
      <c r="I225" s="711">
        <v>0</v>
      </c>
      <c r="J225" s="897"/>
      <c r="K225" s="528"/>
      <c r="L225" s="549" t="s">
        <v>38</v>
      </c>
      <c r="M225" s="711">
        <f t="shared" si="577"/>
        <v>0</v>
      </c>
      <c r="N225" s="897"/>
      <c r="O225" s="528"/>
      <c r="P225" s="711">
        <v>0</v>
      </c>
      <c r="Q225" s="711">
        <v>0</v>
      </c>
      <c r="R225" s="711">
        <v>0</v>
      </c>
      <c r="S225" s="711">
        <v>0</v>
      </c>
      <c r="T225" s="711">
        <v>0</v>
      </c>
      <c r="U225" s="711">
        <v>0</v>
      </c>
      <c r="V225" s="711">
        <v>0</v>
      </c>
      <c r="W225" s="528"/>
      <c r="X225" s="711">
        <f t="shared" si="593"/>
        <v>0</v>
      </c>
      <c r="Y225" s="897"/>
      <c r="Z225" s="528"/>
      <c r="AA225" s="899"/>
      <c r="AB225" s="899"/>
      <c r="AC225" s="899"/>
      <c r="AD225" s="901"/>
      <c r="AE225" s="2"/>
      <c r="AF225" s="885"/>
      <c r="AG225" s="885"/>
      <c r="AH225" s="885"/>
      <c r="AI225" s="885"/>
      <c r="AJ225" s="885"/>
      <c r="AK225" s="885"/>
      <c r="AL225" s="885"/>
      <c r="AM225" s="879"/>
      <c r="AN225" s="2"/>
      <c r="AO225" s="886"/>
      <c r="AP225" s="886"/>
      <c r="AV225" s="4" t="str">
        <f t="shared" si="680"/>
        <v>Escavação 1ª e 2ª categoria</v>
      </c>
      <c r="AW225" s="4" t="str">
        <f t="shared" si="681"/>
        <v>Escavação, carga e transporte de material 1ª/2ª categoria - Aterro 05</v>
      </c>
    </row>
    <row r="226" spans="1:49" ht="15" customHeight="1" outlineLevel="2">
      <c r="A226" s="545" t="str">
        <f t="shared" ref="A226" si="753">IF(SUM(P226:V227)&gt;0,"S","N")</f>
        <v>S</v>
      </c>
      <c r="B226" s="526" t="s">
        <v>266</v>
      </c>
      <c r="C226" s="526" t="s">
        <v>266</v>
      </c>
      <c r="D226" s="527" t="s">
        <v>440</v>
      </c>
      <c r="E226" s="931" t="s">
        <v>441</v>
      </c>
      <c r="F226" s="902" t="s">
        <v>36</v>
      </c>
      <c r="G226" s="528"/>
      <c r="H226" s="546" t="s">
        <v>37</v>
      </c>
      <c r="I226" s="711">
        <v>0</v>
      </c>
      <c r="J226" s="896" t="str">
        <f>IFERROR((I227/I226),"-")</f>
        <v>-</v>
      </c>
      <c r="K226" s="528"/>
      <c r="L226" s="546" t="s">
        <v>37</v>
      </c>
      <c r="M226" s="711">
        <f t="shared" si="577"/>
        <v>0</v>
      </c>
      <c r="N226" s="896" t="str">
        <f>IFERROR((M227/M226),"-")</f>
        <v>-</v>
      </c>
      <c r="O226" s="528"/>
      <c r="P226" s="547">
        <v>0</v>
      </c>
      <c r="Q226" s="547">
        <v>0</v>
      </c>
      <c r="R226" s="547">
        <v>0</v>
      </c>
      <c r="S226" s="547">
        <v>0</v>
      </c>
      <c r="T226" s="547">
        <v>0</v>
      </c>
      <c r="U226" s="547">
        <v>0</v>
      </c>
      <c r="V226" s="548">
        <v>0</v>
      </c>
      <c r="W226" s="528"/>
      <c r="X226" s="711">
        <f t="shared" si="593"/>
        <v>0</v>
      </c>
      <c r="Y226" s="896" t="str">
        <f t="shared" ref="Y226" si="754">IFERROR((X227/X226),"0")</f>
        <v>0</v>
      </c>
      <c r="Z226" s="528"/>
      <c r="AA226" s="898">
        <v>0</v>
      </c>
      <c r="AB226" s="898">
        <v>0</v>
      </c>
      <c r="AC226" s="898">
        <v>52220</v>
      </c>
      <c r="AD226" s="900" t="str">
        <f t="shared" ref="AD226" si="755">IFERROR((AC226/AB226),"-")</f>
        <v>-</v>
      </c>
      <c r="AE226" s="2"/>
      <c r="AF226" s="884">
        <v>0</v>
      </c>
      <c r="AG226" s="884"/>
      <c r="AH226" s="884">
        <v>32920</v>
      </c>
      <c r="AI226" s="884"/>
      <c r="AJ226" s="884"/>
      <c r="AK226" s="884">
        <f t="shared" ref="AK226" si="756">AF226+AG226+AH226+AI226+AJ226+AC226</f>
        <v>85140</v>
      </c>
      <c r="AL226" s="884">
        <v>0</v>
      </c>
      <c r="AM226" s="878" t="str">
        <f t="shared" ref="AM226" si="757">IFERROR((AK226/AL226),"-")</f>
        <v>-</v>
      </c>
      <c r="AN226" s="2"/>
      <c r="AO226" s="884">
        <v>0</v>
      </c>
      <c r="AP226" s="884">
        <f t="shared" ref="AP226" si="758">AO226-AK226</f>
        <v>-85140</v>
      </c>
      <c r="AV226" s="4" t="str">
        <f t="shared" si="680"/>
        <v>Escavação 1ª e 2ª categoria</v>
      </c>
      <c r="AW226" s="4" t="str">
        <f t="shared" si="681"/>
        <v>Escavação, carga e transporte de material 1ª/2ª categoria -Caixa de Empréstimo Pacote 04</v>
      </c>
    </row>
    <row r="227" spans="1:49" ht="15" customHeight="1" outlineLevel="2">
      <c r="A227" s="545" t="str">
        <f t="shared" ref="A227" si="759">A226</f>
        <v>S</v>
      </c>
      <c r="B227" s="526"/>
      <c r="C227" s="526"/>
      <c r="D227" s="527" t="s">
        <v>440</v>
      </c>
      <c r="E227" s="932"/>
      <c r="F227" s="902"/>
      <c r="G227" s="528"/>
      <c r="H227" s="549" t="s">
        <v>38</v>
      </c>
      <c r="I227" s="711">
        <v>23650</v>
      </c>
      <c r="J227" s="897"/>
      <c r="K227" s="528"/>
      <c r="L227" s="549" t="s">
        <v>38</v>
      </c>
      <c r="M227" s="711">
        <f t="shared" si="577"/>
        <v>5390</v>
      </c>
      <c r="N227" s="897"/>
      <c r="O227" s="528"/>
      <c r="P227" s="711">
        <v>4210</v>
      </c>
      <c r="Q227" s="711">
        <v>5390</v>
      </c>
      <c r="R227" s="711">
        <v>0</v>
      </c>
      <c r="S227" s="711">
        <v>0</v>
      </c>
      <c r="T227" s="711">
        <v>0</v>
      </c>
      <c r="U227" s="711">
        <v>0</v>
      </c>
      <c r="V227" s="711">
        <v>0</v>
      </c>
      <c r="W227" s="528"/>
      <c r="X227" s="711">
        <f t="shared" si="593"/>
        <v>9600</v>
      </c>
      <c r="Y227" s="897"/>
      <c r="Z227" s="528"/>
      <c r="AA227" s="899"/>
      <c r="AB227" s="899"/>
      <c r="AC227" s="899"/>
      <c r="AD227" s="901"/>
      <c r="AE227" s="2"/>
      <c r="AF227" s="885"/>
      <c r="AG227" s="885"/>
      <c r="AH227" s="885"/>
      <c r="AI227" s="885"/>
      <c r="AJ227" s="885"/>
      <c r="AK227" s="885"/>
      <c r="AL227" s="885"/>
      <c r="AM227" s="879"/>
      <c r="AN227" s="2"/>
      <c r="AO227" s="886"/>
      <c r="AP227" s="886"/>
      <c r="AV227" s="4" t="str">
        <f t="shared" si="680"/>
        <v>Escavação 1ª e 2ª categoria</v>
      </c>
      <c r="AW227" s="4" t="str">
        <f t="shared" si="681"/>
        <v>Escavação, carga e transporte de material 1ª/2ª categoria -Caixa de Empréstimo Pacote 04</v>
      </c>
    </row>
    <row r="228" spans="1:49" ht="15" customHeight="1" outlineLevel="2">
      <c r="A228" s="545" t="str">
        <f t="shared" ref="A228" si="760">IF(SUM(P228:V229)&gt;0,"S","N")</f>
        <v>N</v>
      </c>
      <c r="B228" s="526" t="s">
        <v>416</v>
      </c>
      <c r="C228" s="526" t="s">
        <v>266</v>
      </c>
      <c r="D228" s="527" t="s">
        <v>442</v>
      </c>
      <c r="E228" s="931" t="s">
        <v>443</v>
      </c>
      <c r="F228" s="902" t="s">
        <v>36</v>
      </c>
      <c r="G228" s="528"/>
      <c r="H228" s="546" t="s">
        <v>37</v>
      </c>
      <c r="I228" s="711">
        <v>0</v>
      </c>
      <c r="J228" s="896" t="str">
        <f>IFERROR((I229/I228),"-")</f>
        <v>-</v>
      </c>
      <c r="K228" s="528"/>
      <c r="L228" s="546" t="s">
        <v>37</v>
      </c>
      <c r="M228" s="711">
        <f t="shared" si="577"/>
        <v>0</v>
      </c>
      <c r="N228" s="896" t="str">
        <f>IFERROR((M229/M228),"-")</f>
        <v>-</v>
      </c>
      <c r="O228" s="528"/>
      <c r="P228" s="547">
        <v>0</v>
      </c>
      <c r="Q228" s="547">
        <v>0</v>
      </c>
      <c r="R228" s="547">
        <v>0</v>
      </c>
      <c r="S228" s="547">
        <v>0</v>
      </c>
      <c r="T228" s="547">
        <v>0</v>
      </c>
      <c r="U228" s="547">
        <v>0</v>
      </c>
      <c r="V228" s="548">
        <v>0</v>
      </c>
      <c r="W228" s="528"/>
      <c r="X228" s="711">
        <f t="shared" si="593"/>
        <v>0</v>
      </c>
      <c r="Y228" s="896" t="str">
        <f t="shared" ref="Y228" si="761">IFERROR((X229/X228),"0")</f>
        <v>0</v>
      </c>
      <c r="Z228" s="528"/>
      <c r="AA228" s="898">
        <v>0</v>
      </c>
      <c r="AB228" s="898">
        <v>0</v>
      </c>
      <c r="AC228" s="898">
        <v>0</v>
      </c>
      <c r="AD228" s="900" t="str">
        <f t="shared" ref="AD228" si="762">IFERROR((AC228/AB228),"-")</f>
        <v>-</v>
      </c>
      <c r="AE228" s="2"/>
      <c r="AF228" s="884">
        <v>0</v>
      </c>
      <c r="AG228" s="884"/>
      <c r="AH228" s="884">
        <v>0</v>
      </c>
      <c r="AI228" s="884"/>
      <c r="AJ228" s="884"/>
      <c r="AK228" s="884">
        <f t="shared" ref="AK228" si="763">AF228+AG228+AH228+AI228+AJ228+AC228</f>
        <v>0</v>
      </c>
      <c r="AL228" s="884">
        <v>0</v>
      </c>
      <c r="AM228" s="878" t="str">
        <f t="shared" ref="AM228" si="764">IFERROR((AK228/AL228),"-")</f>
        <v>-</v>
      </c>
      <c r="AN228" s="2"/>
      <c r="AO228" s="884">
        <v>0</v>
      </c>
      <c r="AP228" s="884">
        <f t="shared" ref="AP228" si="765">AO228-AK228</f>
        <v>0</v>
      </c>
      <c r="AV228" s="4" t="str">
        <f t="shared" si="680"/>
        <v>Escavação 1ª e 2ª categoria</v>
      </c>
      <c r="AW228" s="4" t="str">
        <f t="shared" si="681"/>
        <v>Alargamento Corte 05</v>
      </c>
    </row>
    <row r="229" spans="1:49" ht="15" customHeight="1" outlineLevel="2">
      <c r="A229" s="545" t="str">
        <f t="shared" ref="A229" si="766">A228</f>
        <v>N</v>
      </c>
      <c r="B229" s="526"/>
      <c r="C229" s="526"/>
      <c r="D229" s="527" t="s">
        <v>442</v>
      </c>
      <c r="E229" s="932"/>
      <c r="F229" s="902"/>
      <c r="G229" s="528"/>
      <c r="H229" s="549" t="s">
        <v>38</v>
      </c>
      <c r="I229" s="711">
        <v>0</v>
      </c>
      <c r="J229" s="897"/>
      <c r="K229" s="528"/>
      <c r="L229" s="549" t="s">
        <v>38</v>
      </c>
      <c r="M229" s="711">
        <f t="shared" si="577"/>
        <v>0</v>
      </c>
      <c r="N229" s="897"/>
      <c r="O229" s="528"/>
      <c r="P229" s="711">
        <v>0</v>
      </c>
      <c r="Q229" s="711">
        <v>0</v>
      </c>
      <c r="R229" s="711">
        <v>0</v>
      </c>
      <c r="S229" s="711">
        <v>0</v>
      </c>
      <c r="T229" s="711">
        <v>0</v>
      </c>
      <c r="U229" s="711">
        <v>0</v>
      </c>
      <c r="V229" s="711">
        <v>0</v>
      </c>
      <c r="W229" s="528"/>
      <c r="X229" s="711">
        <f t="shared" si="593"/>
        <v>0</v>
      </c>
      <c r="Y229" s="897"/>
      <c r="Z229" s="528"/>
      <c r="AA229" s="899"/>
      <c r="AB229" s="899"/>
      <c r="AC229" s="899"/>
      <c r="AD229" s="901"/>
      <c r="AE229" s="2"/>
      <c r="AF229" s="885"/>
      <c r="AG229" s="885"/>
      <c r="AH229" s="885"/>
      <c r="AI229" s="885"/>
      <c r="AJ229" s="885"/>
      <c r="AK229" s="885"/>
      <c r="AL229" s="885"/>
      <c r="AM229" s="879"/>
      <c r="AN229" s="2"/>
      <c r="AO229" s="886"/>
      <c r="AP229" s="886"/>
      <c r="AV229" s="4" t="str">
        <f t="shared" si="680"/>
        <v>Escavação 1ª e 2ª categoria</v>
      </c>
      <c r="AW229" s="4" t="str">
        <f t="shared" si="681"/>
        <v>Alargamento Corte 05</v>
      </c>
    </row>
    <row r="230" spans="1:49" ht="15" customHeight="1" outlineLevel="2">
      <c r="A230" s="525">
        <v>0</v>
      </c>
      <c r="B230" s="533"/>
      <c r="C230" s="533"/>
      <c r="D230" s="534"/>
      <c r="E230" s="535"/>
      <c r="F230" s="536"/>
      <c r="G230" s="537"/>
      <c r="H230" s="714"/>
      <c r="I230" s="555"/>
      <c r="J230" s="714"/>
      <c r="K230" s="537"/>
      <c r="L230" s="714"/>
      <c r="M230" s="555"/>
      <c r="N230" s="714"/>
      <c r="O230" s="537"/>
      <c r="P230" s="539"/>
      <c r="Q230" s="539"/>
      <c r="R230" s="539"/>
      <c r="S230" s="539"/>
      <c r="T230" s="539"/>
      <c r="U230" s="539"/>
      <c r="V230" s="539"/>
      <c r="W230" s="537"/>
      <c r="X230" s="540"/>
      <c r="Y230" s="537"/>
      <c r="Z230" s="537"/>
      <c r="AA230" s="249"/>
      <c r="AB230" s="249"/>
      <c r="AC230" s="249"/>
      <c r="AD230" s="537"/>
      <c r="AE230" s="3"/>
      <c r="AF230" s="35"/>
      <c r="AG230" s="35"/>
      <c r="AH230" s="35"/>
      <c r="AI230" s="35"/>
      <c r="AJ230" s="35"/>
      <c r="AK230" s="35"/>
      <c r="AL230" s="35"/>
      <c r="AM230" s="3"/>
      <c r="AN230" s="3"/>
      <c r="AO230" s="35"/>
      <c r="AP230" s="35"/>
      <c r="AV230" s="4" t="str">
        <f t="shared" si="680"/>
        <v>Escavação 1ª e 2ª categoria</v>
      </c>
      <c r="AW230" s="4" t="str">
        <f t="shared" si="681"/>
        <v>Alargamento Corte 05</v>
      </c>
    </row>
    <row r="231" spans="1:49" ht="15" customHeight="1" outlineLevel="1">
      <c r="A231" s="525">
        <v>0</v>
      </c>
      <c r="B231" s="714"/>
      <c r="C231" s="714"/>
      <c r="D231" s="537"/>
      <c r="E231" s="535"/>
      <c r="F231" s="541"/>
      <c r="G231" s="537"/>
      <c r="H231" s="537"/>
      <c r="I231" s="250"/>
      <c r="J231" s="537"/>
      <c r="K231" s="537"/>
      <c r="L231" s="537"/>
      <c r="M231" s="250"/>
      <c r="N231" s="537"/>
      <c r="O231" s="537"/>
      <c r="P231" s="539"/>
      <c r="Q231" s="539"/>
      <c r="R231" s="539"/>
      <c r="S231" s="539"/>
      <c r="T231" s="539"/>
      <c r="U231" s="539"/>
      <c r="V231" s="539"/>
      <c r="W231" s="537"/>
      <c r="X231" s="540"/>
      <c r="Y231" s="537"/>
      <c r="Z231" s="537"/>
      <c r="AA231" s="250"/>
      <c r="AB231" s="250"/>
      <c r="AC231" s="249"/>
      <c r="AD231" s="537"/>
      <c r="AE231" s="3"/>
      <c r="AF231" s="36"/>
      <c r="AG231" s="36"/>
      <c r="AH231" s="36"/>
      <c r="AI231" s="36"/>
      <c r="AJ231" s="36"/>
      <c r="AK231" s="36"/>
      <c r="AL231" s="36"/>
      <c r="AM231" s="3"/>
      <c r="AN231" s="3"/>
      <c r="AO231" s="36"/>
      <c r="AP231" s="36"/>
      <c r="AV231" s="4" t="str">
        <f t="shared" si="680"/>
        <v>Escavação 1ª e 2ª categoria</v>
      </c>
      <c r="AW231" s="4" t="str">
        <f t="shared" si="681"/>
        <v>Alargamento Corte 05</v>
      </c>
    </row>
    <row r="232" spans="1:49" ht="15" customHeight="1" outlineLevel="1">
      <c r="A232" s="525">
        <v>0</v>
      </c>
      <c r="B232" s="526"/>
      <c r="C232" s="556"/>
      <c r="D232" s="557"/>
      <c r="E232" s="933" t="s">
        <v>44</v>
      </c>
      <c r="F232" s="859" t="s">
        <v>36</v>
      </c>
      <c r="G232" s="528"/>
      <c r="H232" s="542" t="s">
        <v>37</v>
      </c>
      <c r="I232" s="543">
        <f>SUMIF($L234:$L303,$L232,I234:I303)</f>
        <v>40000</v>
      </c>
      <c r="J232" s="860">
        <f>IFERROR((I233/I232),"-")</f>
        <v>1.5249999999999999</v>
      </c>
      <c r="K232" s="528"/>
      <c r="L232" s="542" t="s">
        <v>37</v>
      </c>
      <c r="M232" s="543">
        <f>SUMIF($L233:$L307,$L232,M233:M307)</f>
        <v>9460</v>
      </c>
      <c r="N232" s="860">
        <f>IFERROR((M233/M232),"-")</f>
        <v>1.4006342494714588</v>
      </c>
      <c r="O232" s="528"/>
      <c r="P232" s="543">
        <f t="shared" ref="P232:Q232" si="767">SUMIF($L233:$L307,$L232,P233:P307)</f>
        <v>9460</v>
      </c>
      <c r="Q232" s="543">
        <f t="shared" si="767"/>
        <v>9460</v>
      </c>
      <c r="R232" s="543">
        <f>SUMIF($L233:$L307,$L232,R233:R307)</f>
        <v>9460</v>
      </c>
      <c r="S232" s="543">
        <f t="shared" ref="S232:V232" si="768">SUMIF($L233:$L307,$L232,S233:S307)</f>
        <v>9460</v>
      </c>
      <c r="T232" s="543">
        <f t="shared" si="768"/>
        <v>8260</v>
      </c>
      <c r="U232" s="543">
        <f t="shared" si="768"/>
        <v>8260</v>
      </c>
      <c r="V232" s="543">
        <f t="shared" si="768"/>
        <v>0</v>
      </c>
      <c r="W232" s="528"/>
      <c r="X232" s="543">
        <f>SUMIF($L234:$L303,$L232,X234:X303)</f>
        <v>18920</v>
      </c>
      <c r="Y232" s="860">
        <f>IFERROR((X233/X232),"-")</f>
        <v>1.4011627906976745</v>
      </c>
      <c r="Z232" s="528"/>
      <c r="AA232" s="814">
        <f>SUM(AA234:AA303)</f>
        <v>295173.39000000007</v>
      </c>
      <c r="AB232" s="814">
        <f t="shared" ref="AB232:AC232" si="769">SUM(AB234:AB303)</f>
        <v>122516.78</v>
      </c>
      <c r="AC232" s="814">
        <f t="shared" si="769"/>
        <v>131280</v>
      </c>
      <c r="AD232" s="911">
        <f t="shared" ref="AD232" si="770">IFERROR((AC232/AB232),"-")</f>
        <v>1.0715266920988293</v>
      </c>
      <c r="AE232" s="2"/>
      <c r="AF232" s="888">
        <f t="shared" ref="AF232:AI232" si="771">SUM(AF234:AF303)</f>
        <v>45094</v>
      </c>
      <c r="AG232" s="888">
        <f t="shared" si="771"/>
        <v>0</v>
      </c>
      <c r="AH232" s="888">
        <f t="shared" si="771"/>
        <v>116550</v>
      </c>
      <c r="AI232" s="888">
        <f t="shared" si="771"/>
        <v>38039.241000000002</v>
      </c>
      <c r="AJ232" s="888">
        <f t="shared" ref="AJ232:AL232" si="772">SUM(AJ234:AJ303)</f>
        <v>141604.83538</v>
      </c>
      <c r="AK232" s="888">
        <f t="shared" si="772"/>
        <v>472568.07637999998</v>
      </c>
      <c r="AL232" s="888">
        <f t="shared" si="772"/>
        <v>519421.67999999993</v>
      </c>
      <c r="AM232" s="743">
        <f>IFERROR((AK232/AL232),"-")</f>
        <v>0.90979659605274854</v>
      </c>
      <c r="AN232" s="2"/>
      <c r="AO232" s="888">
        <f t="shared" ref="AO232:AP232" si="773">SUM(AO234:AO303)</f>
        <v>1382532.29</v>
      </c>
      <c r="AP232" s="888">
        <f t="shared" si="773"/>
        <v>909964.21361999994</v>
      </c>
      <c r="AV232" s="4" t="str">
        <f t="shared" si="680"/>
        <v>Escavação 1ª e 2ª categoria</v>
      </c>
      <c r="AW232" s="4" t="str">
        <f t="shared" si="681"/>
        <v>Pacote 05 - Segmento 2.5 - 138+160 a 153+420</v>
      </c>
    </row>
    <row r="233" spans="1:49" ht="15" customHeight="1" outlineLevel="1">
      <c r="A233" s="525">
        <v>0</v>
      </c>
      <c r="B233" s="526"/>
      <c r="C233" s="556"/>
      <c r="D233" s="558"/>
      <c r="E233" s="934"/>
      <c r="F233" s="859"/>
      <c r="G233" s="528"/>
      <c r="H233" s="544" t="s">
        <v>38</v>
      </c>
      <c r="I233" s="543">
        <f>SUMIF($L234:$L303,$L233,I234:I303)</f>
        <v>61000</v>
      </c>
      <c r="J233" s="861"/>
      <c r="K233" s="528"/>
      <c r="L233" s="544" t="s">
        <v>38</v>
      </c>
      <c r="M233" s="543">
        <f>SUMIF($L234:$L307,$L233,M234:M307)</f>
        <v>13250</v>
      </c>
      <c r="N233" s="861"/>
      <c r="O233" s="528"/>
      <c r="P233" s="543">
        <f t="shared" ref="P233:Q233" si="774">SUMIF($L234:$L307,$L233,P234:P307)</f>
        <v>13310</v>
      </c>
      <c r="Q233" s="543">
        <f t="shared" si="774"/>
        <v>13250</v>
      </c>
      <c r="R233" s="543">
        <f>SUMIF($L234:$L307,$L233,R234:R307)</f>
        <v>0</v>
      </c>
      <c r="S233" s="543">
        <f t="shared" ref="S233:V233" si="775">SUMIF($L234:$L307,$L233,S234:S307)</f>
        <v>0</v>
      </c>
      <c r="T233" s="543">
        <f t="shared" si="775"/>
        <v>0</v>
      </c>
      <c r="U233" s="543">
        <f t="shared" si="775"/>
        <v>0</v>
      </c>
      <c r="V233" s="543">
        <f t="shared" si="775"/>
        <v>0</v>
      </c>
      <c r="W233" s="528"/>
      <c r="X233" s="543">
        <f>SUMIF($L234:$L303,$L233,X234:X303)</f>
        <v>26510</v>
      </c>
      <c r="Y233" s="861"/>
      <c r="Z233" s="528"/>
      <c r="AA233" s="815"/>
      <c r="AB233" s="815"/>
      <c r="AC233" s="815"/>
      <c r="AD233" s="912"/>
      <c r="AE233" s="2"/>
      <c r="AF233" s="889"/>
      <c r="AG233" s="889"/>
      <c r="AH233" s="889"/>
      <c r="AI233" s="889"/>
      <c r="AJ233" s="889"/>
      <c r="AK233" s="889"/>
      <c r="AL233" s="889"/>
      <c r="AM233" s="744"/>
      <c r="AN233" s="2"/>
      <c r="AO233" s="889"/>
      <c r="AP233" s="889"/>
      <c r="AV233" s="4" t="str">
        <f t="shared" si="680"/>
        <v>Escavação 1ª e 2ª categoria</v>
      </c>
      <c r="AW233" s="4" t="str">
        <f t="shared" si="681"/>
        <v>Pacote 05 - Segmento 2.5 - 138+160 a 153+420</v>
      </c>
    </row>
    <row r="234" spans="1:49" ht="15" customHeight="1" outlineLevel="2">
      <c r="A234" s="545" t="str">
        <f t="shared" ref="A234:A244" si="776">IF(SUM(P234:V235)&gt;0,"S","N")</f>
        <v>N</v>
      </c>
      <c r="B234" s="526">
        <v>1064819</v>
      </c>
      <c r="C234" s="526" t="s">
        <v>444</v>
      </c>
      <c r="D234" s="527" t="s">
        <v>445</v>
      </c>
      <c r="E234" s="892" t="s">
        <v>446</v>
      </c>
      <c r="F234" s="902" t="s">
        <v>36</v>
      </c>
      <c r="G234" s="528"/>
      <c r="H234" s="546" t="s">
        <v>37</v>
      </c>
      <c r="I234" s="711">
        <v>0</v>
      </c>
      <c r="J234" s="896" t="str">
        <f>IFERROR((I235/I234),"-")</f>
        <v>-</v>
      </c>
      <c r="K234" s="528"/>
      <c r="L234" s="546" t="s">
        <v>37</v>
      </c>
      <c r="M234" s="711">
        <f t="shared" ref="M234:M281" si="777">_xlfn.XLOOKUP($N$8,$P$8:$V$8,$P234:$V234)</f>
        <v>0</v>
      </c>
      <c r="N234" s="896" t="str">
        <f>IFERROR((M235/M234),"-")</f>
        <v>-</v>
      </c>
      <c r="O234" s="528"/>
      <c r="P234" s="547">
        <v>0</v>
      </c>
      <c r="Q234" s="547">
        <v>0</v>
      </c>
      <c r="R234" s="547">
        <v>0</v>
      </c>
      <c r="S234" s="547">
        <v>0</v>
      </c>
      <c r="T234" s="547">
        <v>0</v>
      </c>
      <c r="U234" s="547">
        <v>0</v>
      </c>
      <c r="V234" s="548">
        <v>0</v>
      </c>
      <c r="W234" s="528"/>
      <c r="X234" s="711">
        <f t="shared" ref="X234:X281" si="778">SUMIFS(P234:V234,$P$8:$V$8,"&gt;="&amp;$P$8,$P$8:$V$8,"&lt;="&amp;$N$8)</f>
        <v>0</v>
      </c>
      <c r="Y234" s="896" t="str">
        <f t="shared" ref="Y234" si="779">IFERROR((X235/X234),"0")</f>
        <v>0</v>
      </c>
      <c r="Z234" s="528"/>
      <c r="AA234" s="898">
        <v>0</v>
      </c>
      <c r="AB234" s="898">
        <v>0</v>
      </c>
      <c r="AC234" s="898">
        <v>0</v>
      </c>
      <c r="AD234" s="900" t="str">
        <f t="shared" ref="AD234" si="780">IFERROR((AC234/AB234),"-")</f>
        <v>-</v>
      </c>
      <c r="AE234" s="2"/>
      <c r="AF234" s="884">
        <v>0</v>
      </c>
      <c r="AG234" s="884"/>
      <c r="AH234" s="884">
        <v>0</v>
      </c>
      <c r="AI234" s="884"/>
      <c r="AJ234" s="884"/>
      <c r="AK234" s="884">
        <f t="shared" ref="AK234" si="781">AF234+AG234+AH234+AI234+AJ234+AC234</f>
        <v>0</v>
      </c>
      <c r="AL234" s="884">
        <v>0</v>
      </c>
      <c r="AM234" s="878" t="str">
        <f t="shared" ref="AM234" si="782">IFERROR((AK234/AL234),"-")</f>
        <v>-</v>
      </c>
      <c r="AN234" s="2"/>
      <c r="AO234" s="884">
        <v>2401</v>
      </c>
      <c r="AP234" s="884">
        <f t="shared" ref="AP234" si="783">AO234-AK234</f>
        <v>2401</v>
      </c>
      <c r="AV234" s="4" t="str">
        <f t="shared" si="680"/>
        <v>Escavação 1ª e 2ª categoria</v>
      </c>
      <c r="AW234" s="4" t="str">
        <f t="shared" si="681"/>
        <v xml:space="preserve">   Escavação, carga e transporte de material 1ª/2ª categoria - Seg.2.5 acesso km 139+200</v>
      </c>
    </row>
    <row r="235" spans="1:49" ht="15" customHeight="1" outlineLevel="2">
      <c r="A235" s="545" t="str">
        <f t="shared" si="776"/>
        <v>N</v>
      </c>
      <c r="B235" s="526"/>
      <c r="C235" s="526"/>
      <c r="D235" s="527" t="s">
        <v>445</v>
      </c>
      <c r="E235" s="893"/>
      <c r="F235" s="902"/>
      <c r="G235" s="528"/>
      <c r="H235" s="549" t="s">
        <v>38</v>
      </c>
      <c r="I235" s="711">
        <v>0</v>
      </c>
      <c r="J235" s="897"/>
      <c r="K235" s="528"/>
      <c r="L235" s="549" t="s">
        <v>38</v>
      </c>
      <c r="M235" s="711">
        <f t="shared" si="777"/>
        <v>0</v>
      </c>
      <c r="N235" s="897"/>
      <c r="O235" s="528"/>
      <c r="P235" s="711">
        <v>0</v>
      </c>
      <c r="Q235" s="711">
        <v>0</v>
      </c>
      <c r="R235" s="711">
        <v>0</v>
      </c>
      <c r="S235" s="711">
        <v>0</v>
      </c>
      <c r="T235" s="711">
        <v>0</v>
      </c>
      <c r="U235" s="711">
        <v>0</v>
      </c>
      <c r="V235" s="711">
        <v>0</v>
      </c>
      <c r="W235" s="528"/>
      <c r="X235" s="711">
        <f t="shared" si="778"/>
        <v>0</v>
      </c>
      <c r="Y235" s="897"/>
      <c r="Z235" s="528"/>
      <c r="AA235" s="899"/>
      <c r="AB235" s="899"/>
      <c r="AC235" s="899"/>
      <c r="AD235" s="901"/>
      <c r="AE235" s="2"/>
      <c r="AF235" s="885"/>
      <c r="AG235" s="885"/>
      <c r="AH235" s="885"/>
      <c r="AI235" s="885"/>
      <c r="AJ235" s="885"/>
      <c r="AK235" s="885"/>
      <c r="AL235" s="885"/>
      <c r="AM235" s="879"/>
      <c r="AN235" s="2"/>
      <c r="AO235" s="886"/>
      <c r="AP235" s="886"/>
      <c r="AV235" s="4" t="str">
        <f t="shared" si="680"/>
        <v>Escavação 1ª e 2ª categoria</v>
      </c>
      <c r="AW235" s="4" t="str">
        <f t="shared" si="681"/>
        <v xml:space="preserve">   Escavação, carga e transporte de material 1ª/2ª categoria - Seg.2.5 acesso km 139+200</v>
      </c>
    </row>
    <row r="236" spans="1:49" ht="15" customHeight="1" outlineLevel="2">
      <c r="A236" s="545" t="str">
        <f t="shared" si="776"/>
        <v>N</v>
      </c>
      <c r="B236" s="526">
        <v>1064820</v>
      </c>
      <c r="C236" s="526" t="s">
        <v>447</v>
      </c>
      <c r="D236" s="527" t="s">
        <v>448</v>
      </c>
      <c r="E236" s="892" t="s">
        <v>449</v>
      </c>
      <c r="F236" s="902" t="s">
        <v>36</v>
      </c>
      <c r="G236" s="528"/>
      <c r="H236" s="546" t="s">
        <v>37</v>
      </c>
      <c r="I236" s="711">
        <v>0</v>
      </c>
      <c r="J236" s="896" t="str">
        <f>IFERROR((I237/I236),"-")</f>
        <v>-</v>
      </c>
      <c r="K236" s="528"/>
      <c r="L236" s="546" t="s">
        <v>37</v>
      </c>
      <c r="M236" s="711">
        <f t="shared" si="777"/>
        <v>0</v>
      </c>
      <c r="N236" s="896" t="str">
        <f>IFERROR((M237/M236),"-")</f>
        <v>-</v>
      </c>
      <c r="O236" s="528"/>
      <c r="P236" s="547">
        <v>0</v>
      </c>
      <c r="Q236" s="547">
        <v>0</v>
      </c>
      <c r="R236" s="547">
        <v>0</v>
      </c>
      <c r="S236" s="547">
        <v>0</v>
      </c>
      <c r="T236" s="547">
        <v>0</v>
      </c>
      <c r="U236" s="547">
        <v>0</v>
      </c>
      <c r="V236" s="548">
        <v>0</v>
      </c>
      <c r="W236" s="528"/>
      <c r="X236" s="711">
        <f t="shared" si="778"/>
        <v>0</v>
      </c>
      <c r="Y236" s="896" t="str">
        <f t="shared" ref="Y236" si="784">IFERROR((X237/X236),"0")</f>
        <v>0</v>
      </c>
      <c r="Z236" s="528"/>
      <c r="AA236" s="898">
        <v>0</v>
      </c>
      <c r="AB236" s="898">
        <v>0</v>
      </c>
      <c r="AC236" s="898">
        <v>0</v>
      </c>
      <c r="AD236" s="900" t="str">
        <f t="shared" ref="AD236" si="785">IFERROR((AC236/AB236),"-")</f>
        <v>-</v>
      </c>
      <c r="AE236" s="2"/>
      <c r="AF236" s="884">
        <v>0</v>
      </c>
      <c r="AG236" s="884"/>
      <c r="AH236" s="884">
        <v>0</v>
      </c>
      <c r="AI236" s="884"/>
      <c r="AJ236" s="884"/>
      <c r="AK236" s="884">
        <f t="shared" ref="AK236" si="786">AF236+AG236+AH236+AI236+AJ236+AC236</f>
        <v>0</v>
      </c>
      <c r="AL236" s="884">
        <v>0</v>
      </c>
      <c r="AM236" s="878" t="str">
        <f t="shared" ref="AM236" si="787">IFERROR((AK236/AL236),"-")</f>
        <v>-</v>
      </c>
      <c r="AN236" s="2"/>
      <c r="AO236" s="884">
        <v>1503</v>
      </c>
      <c r="AP236" s="884">
        <f t="shared" ref="AP236" si="788">AO236-AK236</f>
        <v>1503</v>
      </c>
      <c r="AV236" s="4" t="str">
        <f t="shared" si="680"/>
        <v>Escavação 1ª e 2ª categoria</v>
      </c>
      <c r="AW236" s="4" t="str">
        <f t="shared" si="681"/>
        <v xml:space="preserve">   Escavação, carga e transporte de material 1ª/2ª categoria - Seg.2.5 acesso km 141+800</v>
      </c>
    </row>
    <row r="237" spans="1:49" ht="15" customHeight="1" outlineLevel="2">
      <c r="A237" s="545" t="str">
        <f t="shared" si="776"/>
        <v>N</v>
      </c>
      <c r="B237" s="526"/>
      <c r="C237" s="526"/>
      <c r="D237" s="527" t="s">
        <v>448</v>
      </c>
      <c r="E237" s="893"/>
      <c r="F237" s="902"/>
      <c r="G237" s="528"/>
      <c r="H237" s="549" t="s">
        <v>38</v>
      </c>
      <c r="I237" s="711">
        <v>0</v>
      </c>
      <c r="J237" s="897"/>
      <c r="K237" s="528"/>
      <c r="L237" s="549" t="s">
        <v>38</v>
      </c>
      <c r="M237" s="711">
        <f t="shared" si="777"/>
        <v>0</v>
      </c>
      <c r="N237" s="897"/>
      <c r="O237" s="528"/>
      <c r="P237" s="711">
        <v>0</v>
      </c>
      <c r="Q237" s="711">
        <v>0</v>
      </c>
      <c r="R237" s="711">
        <v>0</v>
      </c>
      <c r="S237" s="711">
        <v>0</v>
      </c>
      <c r="T237" s="711">
        <v>0</v>
      </c>
      <c r="U237" s="711">
        <v>0</v>
      </c>
      <c r="V237" s="711">
        <v>0</v>
      </c>
      <c r="W237" s="528"/>
      <c r="X237" s="711">
        <f t="shared" si="778"/>
        <v>0</v>
      </c>
      <c r="Y237" s="897"/>
      <c r="Z237" s="528"/>
      <c r="AA237" s="899"/>
      <c r="AB237" s="899"/>
      <c r="AC237" s="899"/>
      <c r="AD237" s="901"/>
      <c r="AE237" s="2"/>
      <c r="AF237" s="885"/>
      <c r="AG237" s="885"/>
      <c r="AH237" s="885"/>
      <c r="AI237" s="885"/>
      <c r="AJ237" s="885"/>
      <c r="AK237" s="885"/>
      <c r="AL237" s="885"/>
      <c r="AM237" s="879"/>
      <c r="AN237" s="2"/>
      <c r="AO237" s="886"/>
      <c r="AP237" s="886"/>
      <c r="AV237" s="4" t="str">
        <f t="shared" si="680"/>
        <v>Escavação 1ª e 2ª categoria</v>
      </c>
      <c r="AW237" s="4" t="str">
        <f t="shared" si="681"/>
        <v xml:space="preserve">   Escavação, carga e transporte de material 1ª/2ª categoria - Seg.2.5 acesso km 141+800</v>
      </c>
    </row>
    <row r="238" spans="1:49" ht="15" customHeight="1" outlineLevel="2">
      <c r="A238" s="545" t="str">
        <f t="shared" si="776"/>
        <v>N</v>
      </c>
      <c r="B238" s="526">
        <v>1064821</v>
      </c>
      <c r="C238" s="526" t="s">
        <v>450</v>
      </c>
      <c r="D238" s="527" t="s">
        <v>451</v>
      </c>
      <c r="E238" s="892" t="s">
        <v>452</v>
      </c>
      <c r="F238" s="902" t="s">
        <v>36</v>
      </c>
      <c r="G238" s="528"/>
      <c r="H238" s="546" t="s">
        <v>37</v>
      </c>
      <c r="I238" s="711">
        <v>0</v>
      </c>
      <c r="J238" s="896" t="str">
        <f>IFERROR((I239/I238),"-")</f>
        <v>-</v>
      </c>
      <c r="K238" s="528"/>
      <c r="L238" s="546" t="s">
        <v>37</v>
      </c>
      <c r="M238" s="711">
        <f t="shared" si="777"/>
        <v>0</v>
      </c>
      <c r="N238" s="896" t="str">
        <f>IFERROR((M239/M238),"-")</f>
        <v>-</v>
      </c>
      <c r="O238" s="528"/>
      <c r="P238" s="547">
        <v>0</v>
      </c>
      <c r="Q238" s="547">
        <v>0</v>
      </c>
      <c r="R238" s="547">
        <v>0</v>
      </c>
      <c r="S238" s="547">
        <v>0</v>
      </c>
      <c r="T238" s="547">
        <v>0</v>
      </c>
      <c r="U238" s="547">
        <v>0</v>
      </c>
      <c r="V238" s="548">
        <v>0</v>
      </c>
      <c r="W238" s="528"/>
      <c r="X238" s="711">
        <f t="shared" si="778"/>
        <v>0</v>
      </c>
      <c r="Y238" s="896" t="str">
        <f t="shared" ref="Y238" si="789">IFERROR((X239/X238),"0")</f>
        <v>0</v>
      </c>
      <c r="Z238" s="528"/>
      <c r="AA238" s="898">
        <v>0</v>
      </c>
      <c r="AB238" s="898">
        <v>0</v>
      </c>
      <c r="AC238" s="898">
        <v>0</v>
      </c>
      <c r="AD238" s="900" t="str">
        <f t="shared" ref="AD238" si="790">IFERROR((AC238/AB238),"-")</f>
        <v>-</v>
      </c>
      <c r="AE238" s="2"/>
      <c r="AF238" s="884">
        <v>0</v>
      </c>
      <c r="AG238" s="884"/>
      <c r="AH238" s="884">
        <v>0</v>
      </c>
      <c r="AI238" s="884"/>
      <c r="AJ238" s="884"/>
      <c r="AK238" s="884">
        <f t="shared" ref="AK238" si="791">AF238+AG238+AH238+AI238+AJ238+AC238</f>
        <v>0</v>
      </c>
      <c r="AL238" s="884">
        <v>0</v>
      </c>
      <c r="AM238" s="878" t="str">
        <f t="shared" ref="AM238" si="792">IFERROR((AK238/AL238),"-")</f>
        <v>-</v>
      </c>
      <c r="AN238" s="2"/>
      <c r="AO238" s="884">
        <v>1582</v>
      </c>
      <c r="AP238" s="884">
        <f t="shared" ref="AP238" si="793">AO238-AK238</f>
        <v>1582</v>
      </c>
      <c r="AV238" s="4" t="str">
        <f t="shared" si="680"/>
        <v>Escavação 1ª e 2ª categoria</v>
      </c>
      <c r="AW238" s="4" t="str">
        <f t="shared" si="681"/>
        <v xml:space="preserve">   Escavação, carga e transporte de material 1ª/2ª categoria - Seg.2.5 acesso km 144+540</v>
      </c>
    </row>
    <row r="239" spans="1:49" ht="15" customHeight="1" outlineLevel="2">
      <c r="A239" s="545" t="str">
        <f t="shared" si="776"/>
        <v>N</v>
      </c>
      <c r="B239" s="526"/>
      <c r="C239" s="526"/>
      <c r="D239" s="527" t="s">
        <v>451</v>
      </c>
      <c r="E239" s="893"/>
      <c r="F239" s="902"/>
      <c r="G239" s="528"/>
      <c r="H239" s="549" t="s">
        <v>38</v>
      </c>
      <c r="I239" s="711">
        <v>0</v>
      </c>
      <c r="J239" s="897"/>
      <c r="K239" s="528"/>
      <c r="L239" s="549" t="s">
        <v>38</v>
      </c>
      <c r="M239" s="711">
        <f t="shared" si="777"/>
        <v>0</v>
      </c>
      <c r="N239" s="897"/>
      <c r="O239" s="528"/>
      <c r="P239" s="711">
        <v>0</v>
      </c>
      <c r="Q239" s="711">
        <v>0</v>
      </c>
      <c r="R239" s="711">
        <v>0</v>
      </c>
      <c r="S239" s="711">
        <v>0</v>
      </c>
      <c r="T239" s="711">
        <v>0</v>
      </c>
      <c r="U239" s="711">
        <v>0</v>
      </c>
      <c r="V239" s="711">
        <v>0</v>
      </c>
      <c r="W239" s="528"/>
      <c r="X239" s="711">
        <f t="shared" si="778"/>
        <v>0</v>
      </c>
      <c r="Y239" s="897"/>
      <c r="Z239" s="528"/>
      <c r="AA239" s="899"/>
      <c r="AB239" s="899"/>
      <c r="AC239" s="899"/>
      <c r="AD239" s="901"/>
      <c r="AE239" s="2"/>
      <c r="AF239" s="885"/>
      <c r="AG239" s="885"/>
      <c r="AH239" s="885"/>
      <c r="AI239" s="885"/>
      <c r="AJ239" s="885"/>
      <c r="AK239" s="885"/>
      <c r="AL239" s="885"/>
      <c r="AM239" s="879"/>
      <c r="AN239" s="2"/>
      <c r="AO239" s="886"/>
      <c r="AP239" s="886"/>
      <c r="AV239" s="4" t="str">
        <f t="shared" si="680"/>
        <v>Escavação 1ª e 2ª categoria</v>
      </c>
      <c r="AW239" s="4" t="str">
        <f t="shared" si="681"/>
        <v xml:space="preserve">   Escavação, carga e transporte de material 1ª/2ª categoria - Seg.2.5 acesso km 144+540</v>
      </c>
    </row>
    <row r="240" spans="1:49" ht="15" customHeight="1" outlineLevel="2">
      <c r="A240" s="545" t="str">
        <f t="shared" si="776"/>
        <v>N</v>
      </c>
      <c r="B240" s="526">
        <v>1064822</v>
      </c>
      <c r="C240" s="526" t="s">
        <v>453</v>
      </c>
      <c r="D240" s="527" t="s">
        <v>454</v>
      </c>
      <c r="E240" s="892" t="s">
        <v>455</v>
      </c>
      <c r="F240" s="902" t="s">
        <v>36</v>
      </c>
      <c r="G240" s="528"/>
      <c r="H240" s="546" t="s">
        <v>37</v>
      </c>
      <c r="I240" s="711">
        <v>0</v>
      </c>
      <c r="J240" s="896" t="str">
        <f>IFERROR((I241/I240),"-")</f>
        <v>-</v>
      </c>
      <c r="K240" s="528"/>
      <c r="L240" s="546" t="s">
        <v>37</v>
      </c>
      <c r="M240" s="711">
        <f t="shared" si="777"/>
        <v>0</v>
      </c>
      <c r="N240" s="896" t="str">
        <f>IFERROR((M241/M240),"-")</f>
        <v>-</v>
      </c>
      <c r="O240" s="528"/>
      <c r="P240" s="547">
        <v>0</v>
      </c>
      <c r="Q240" s="547">
        <v>0</v>
      </c>
      <c r="R240" s="547">
        <v>0</v>
      </c>
      <c r="S240" s="547">
        <v>0</v>
      </c>
      <c r="T240" s="547">
        <v>0</v>
      </c>
      <c r="U240" s="547">
        <v>0</v>
      </c>
      <c r="V240" s="548">
        <v>0</v>
      </c>
      <c r="W240" s="528"/>
      <c r="X240" s="711">
        <f t="shared" si="778"/>
        <v>0</v>
      </c>
      <c r="Y240" s="896" t="str">
        <f t="shared" ref="Y240" si="794">IFERROR((X241/X240),"0")</f>
        <v>0</v>
      </c>
      <c r="Z240" s="528"/>
      <c r="AA240" s="898">
        <v>0</v>
      </c>
      <c r="AB240" s="898">
        <v>0</v>
      </c>
      <c r="AC240" s="898">
        <v>0</v>
      </c>
      <c r="AD240" s="900" t="str">
        <f t="shared" ref="AD240" si="795">IFERROR((AC240/AB240),"-")</f>
        <v>-</v>
      </c>
      <c r="AE240" s="2"/>
      <c r="AF240" s="884">
        <v>0</v>
      </c>
      <c r="AG240" s="884"/>
      <c r="AH240" s="884">
        <v>0</v>
      </c>
      <c r="AI240" s="884"/>
      <c r="AJ240" s="884"/>
      <c r="AK240" s="884">
        <f t="shared" ref="AK240" si="796">AF240+AG240+AH240+AI240+AJ240+AC240</f>
        <v>0</v>
      </c>
      <c r="AL240" s="884">
        <v>0</v>
      </c>
      <c r="AM240" s="878" t="str">
        <f t="shared" ref="AM240" si="797">IFERROR((AK240/AL240),"-")</f>
        <v>-</v>
      </c>
      <c r="AN240" s="2"/>
      <c r="AO240" s="884">
        <v>19174</v>
      </c>
      <c r="AP240" s="884">
        <f t="shared" ref="AP240" si="798">AO240-AK240</f>
        <v>19174</v>
      </c>
      <c r="AV240" s="4" t="str">
        <f t="shared" si="680"/>
        <v>Escavação 1ª e 2ª categoria</v>
      </c>
      <c r="AW240" s="4" t="str">
        <f t="shared" si="681"/>
        <v xml:space="preserve">   Escavação, carga e transporte de material 1ª/2ª categoria - Seg.2.5 acesso km 147+200</v>
      </c>
    </row>
    <row r="241" spans="1:49" ht="15" customHeight="1" outlineLevel="2">
      <c r="A241" s="545" t="str">
        <f t="shared" si="776"/>
        <v>N</v>
      </c>
      <c r="B241" s="526"/>
      <c r="C241" s="526"/>
      <c r="D241" s="527" t="s">
        <v>454</v>
      </c>
      <c r="E241" s="893"/>
      <c r="F241" s="902"/>
      <c r="G241" s="528"/>
      <c r="H241" s="549" t="s">
        <v>38</v>
      </c>
      <c r="I241" s="711">
        <v>0</v>
      </c>
      <c r="J241" s="897"/>
      <c r="K241" s="528"/>
      <c r="L241" s="549" t="s">
        <v>38</v>
      </c>
      <c r="M241" s="711">
        <f t="shared" si="777"/>
        <v>0</v>
      </c>
      <c r="N241" s="897"/>
      <c r="O241" s="528"/>
      <c r="P241" s="711">
        <v>0</v>
      </c>
      <c r="Q241" s="711">
        <v>0</v>
      </c>
      <c r="R241" s="711">
        <v>0</v>
      </c>
      <c r="S241" s="711">
        <v>0</v>
      </c>
      <c r="T241" s="711">
        <v>0</v>
      </c>
      <c r="U241" s="711">
        <v>0</v>
      </c>
      <c r="V241" s="711">
        <v>0</v>
      </c>
      <c r="W241" s="528"/>
      <c r="X241" s="711">
        <f t="shared" si="778"/>
        <v>0</v>
      </c>
      <c r="Y241" s="897"/>
      <c r="Z241" s="528"/>
      <c r="AA241" s="899"/>
      <c r="AB241" s="899"/>
      <c r="AC241" s="899"/>
      <c r="AD241" s="901"/>
      <c r="AE241" s="2"/>
      <c r="AF241" s="885"/>
      <c r="AG241" s="885"/>
      <c r="AH241" s="885"/>
      <c r="AI241" s="885"/>
      <c r="AJ241" s="885"/>
      <c r="AK241" s="885"/>
      <c r="AL241" s="885"/>
      <c r="AM241" s="879"/>
      <c r="AN241" s="2"/>
      <c r="AO241" s="886"/>
      <c r="AP241" s="886"/>
      <c r="AV241" s="4" t="str">
        <f t="shared" si="680"/>
        <v>Escavação 1ª e 2ª categoria</v>
      </c>
      <c r="AW241" s="4" t="str">
        <f t="shared" si="681"/>
        <v xml:space="preserve">   Escavação, carga e transporte de material 1ª/2ª categoria - Seg.2.5 acesso km 147+200</v>
      </c>
    </row>
    <row r="242" spans="1:49" ht="15" customHeight="1" outlineLevel="2">
      <c r="A242" s="545" t="str">
        <f t="shared" si="776"/>
        <v>N</v>
      </c>
      <c r="B242" s="526">
        <v>1064823</v>
      </c>
      <c r="C242" s="526" t="s">
        <v>456</v>
      </c>
      <c r="D242" s="527" t="s">
        <v>457</v>
      </c>
      <c r="E242" s="892" t="s">
        <v>458</v>
      </c>
      <c r="F242" s="902" t="s">
        <v>36</v>
      </c>
      <c r="G242" s="528"/>
      <c r="H242" s="546" t="s">
        <v>37</v>
      </c>
      <c r="I242" s="711">
        <v>0</v>
      </c>
      <c r="J242" s="896" t="str">
        <f>IFERROR((I243/I242),"-")</f>
        <v>-</v>
      </c>
      <c r="K242" s="528"/>
      <c r="L242" s="546" t="s">
        <v>37</v>
      </c>
      <c r="M242" s="711">
        <f t="shared" si="777"/>
        <v>0</v>
      </c>
      <c r="N242" s="896" t="str">
        <f>IFERROR((M243/M242),"-")</f>
        <v>-</v>
      </c>
      <c r="O242" s="528"/>
      <c r="P242" s="547">
        <v>0</v>
      </c>
      <c r="Q242" s="547">
        <v>0</v>
      </c>
      <c r="R242" s="547">
        <v>0</v>
      </c>
      <c r="S242" s="547">
        <v>0</v>
      </c>
      <c r="T242" s="547">
        <v>0</v>
      </c>
      <c r="U242" s="547">
        <v>0</v>
      </c>
      <c r="V242" s="548">
        <v>0</v>
      </c>
      <c r="W242" s="528"/>
      <c r="X242" s="711">
        <f t="shared" si="778"/>
        <v>0</v>
      </c>
      <c r="Y242" s="896" t="str">
        <f t="shared" ref="Y242" si="799">IFERROR((X243/X242),"0")</f>
        <v>0</v>
      </c>
      <c r="Z242" s="528"/>
      <c r="AA242" s="898">
        <v>0</v>
      </c>
      <c r="AB242" s="898">
        <v>0</v>
      </c>
      <c r="AC242" s="898">
        <v>0</v>
      </c>
      <c r="AD242" s="900" t="str">
        <f t="shared" ref="AD242" si="800">IFERROR((AC242/AB242),"-")</f>
        <v>-</v>
      </c>
      <c r="AE242" s="2"/>
      <c r="AF242" s="884">
        <v>0</v>
      </c>
      <c r="AG242" s="884"/>
      <c r="AH242" s="884">
        <v>0</v>
      </c>
      <c r="AI242" s="884"/>
      <c r="AJ242" s="884"/>
      <c r="AK242" s="884">
        <f t="shared" ref="AK242" si="801">AF242+AG242+AH242+AI242+AJ242+AC242</f>
        <v>0</v>
      </c>
      <c r="AL242" s="884">
        <v>0</v>
      </c>
      <c r="AM242" s="878" t="str">
        <f t="shared" ref="AM242" si="802">IFERROR((AK242/AL242),"-")</f>
        <v>-</v>
      </c>
      <c r="AN242" s="2"/>
      <c r="AO242" s="884">
        <v>2170</v>
      </c>
      <c r="AP242" s="884">
        <f t="shared" ref="AP242" si="803">AO242-AK242</f>
        <v>2170</v>
      </c>
      <c r="AV242" s="4" t="str">
        <f t="shared" si="680"/>
        <v>Escavação 1ª e 2ª categoria</v>
      </c>
      <c r="AW242" s="4" t="str">
        <f t="shared" si="681"/>
        <v xml:space="preserve">   Escavação, carga e transporte de material 1ª/2ª categoria - Seg.2.5 acesso km 149+600</v>
      </c>
    </row>
    <row r="243" spans="1:49" ht="15" customHeight="1" outlineLevel="2">
      <c r="A243" s="545" t="str">
        <f t="shared" si="776"/>
        <v>N</v>
      </c>
      <c r="B243" s="526"/>
      <c r="C243" s="526"/>
      <c r="D243" s="527" t="s">
        <v>457</v>
      </c>
      <c r="E243" s="893"/>
      <c r="F243" s="902"/>
      <c r="G243" s="528"/>
      <c r="H243" s="549" t="s">
        <v>38</v>
      </c>
      <c r="I243" s="711">
        <v>0</v>
      </c>
      <c r="J243" s="897"/>
      <c r="K243" s="528"/>
      <c r="L243" s="549" t="s">
        <v>38</v>
      </c>
      <c r="M243" s="711">
        <f t="shared" si="777"/>
        <v>0</v>
      </c>
      <c r="N243" s="897"/>
      <c r="O243" s="528"/>
      <c r="P243" s="711">
        <v>0</v>
      </c>
      <c r="Q243" s="711">
        <v>0</v>
      </c>
      <c r="R243" s="711">
        <v>0</v>
      </c>
      <c r="S243" s="711">
        <v>0</v>
      </c>
      <c r="T243" s="711">
        <v>0</v>
      </c>
      <c r="U243" s="711">
        <v>0</v>
      </c>
      <c r="V243" s="711">
        <v>0</v>
      </c>
      <c r="W243" s="528"/>
      <c r="X243" s="711">
        <f t="shared" si="778"/>
        <v>0</v>
      </c>
      <c r="Y243" s="897"/>
      <c r="Z243" s="528"/>
      <c r="AA243" s="899"/>
      <c r="AB243" s="899"/>
      <c r="AC243" s="899"/>
      <c r="AD243" s="901"/>
      <c r="AE243" s="2"/>
      <c r="AF243" s="885"/>
      <c r="AG243" s="885"/>
      <c r="AH243" s="885"/>
      <c r="AI243" s="885"/>
      <c r="AJ243" s="885"/>
      <c r="AK243" s="885"/>
      <c r="AL243" s="885"/>
      <c r="AM243" s="879"/>
      <c r="AN243" s="2"/>
      <c r="AO243" s="886"/>
      <c r="AP243" s="886"/>
      <c r="AV243" s="4" t="str">
        <f t="shared" si="680"/>
        <v>Escavação 1ª e 2ª categoria</v>
      </c>
      <c r="AW243" s="4" t="str">
        <f t="shared" si="681"/>
        <v xml:space="preserve">   Escavação, carga e transporte de material 1ª/2ª categoria - Seg.2.5 acesso km 149+600</v>
      </c>
    </row>
    <row r="244" spans="1:49" ht="15" customHeight="1" outlineLevel="2">
      <c r="A244" s="545" t="str">
        <f t="shared" si="776"/>
        <v>N</v>
      </c>
      <c r="B244" s="526">
        <v>1064824</v>
      </c>
      <c r="C244" s="526" t="s">
        <v>459</v>
      </c>
      <c r="D244" s="527" t="s">
        <v>460</v>
      </c>
      <c r="E244" s="892" t="s">
        <v>461</v>
      </c>
      <c r="F244" s="902" t="s">
        <v>36</v>
      </c>
      <c r="G244" s="528"/>
      <c r="H244" s="546" t="s">
        <v>37</v>
      </c>
      <c r="I244" s="711">
        <v>0</v>
      </c>
      <c r="J244" s="896" t="str">
        <f>IFERROR((I245/I244),"-")</f>
        <v>-</v>
      </c>
      <c r="K244" s="528"/>
      <c r="L244" s="546" t="s">
        <v>37</v>
      </c>
      <c r="M244" s="711">
        <f t="shared" si="777"/>
        <v>0</v>
      </c>
      <c r="N244" s="896" t="str">
        <f>IFERROR((M245/M244),"-")</f>
        <v>-</v>
      </c>
      <c r="O244" s="528"/>
      <c r="P244" s="547">
        <v>0</v>
      </c>
      <c r="Q244" s="547">
        <v>0</v>
      </c>
      <c r="R244" s="547">
        <v>0</v>
      </c>
      <c r="S244" s="547">
        <v>0</v>
      </c>
      <c r="T244" s="547">
        <v>0</v>
      </c>
      <c r="U244" s="547">
        <v>0</v>
      </c>
      <c r="V244" s="548">
        <v>0</v>
      </c>
      <c r="W244" s="528"/>
      <c r="X244" s="711">
        <f t="shared" si="778"/>
        <v>0</v>
      </c>
      <c r="Y244" s="896" t="str">
        <f t="shared" ref="Y244" si="804">IFERROR((X245/X244),"0")</f>
        <v>0</v>
      </c>
      <c r="Z244" s="528"/>
      <c r="AA244" s="898">
        <v>0</v>
      </c>
      <c r="AB244" s="898">
        <v>0</v>
      </c>
      <c r="AC244" s="898">
        <v>0</v>
      </c>
      <c r="AD244" s="900" t="str">
        <f t="shared" ref="AD244" si="805">IFERROR((AC244/AB244),"-")</f>
        <v>-</v>
      </c>
      <c r="AE244" s="2"/>
      <c r="AF244" s="884">
        <v>0</v>
      </c>
      <c r="AG244" s="884"/>
      <c r="AH244" s="884">
        <v>0</v>
      </c>
      <c r="AI244" s="884"/>
      <c r="AJ244" s="884"/>
      <c r="AK244" s="884">
        <f t="shared" ref="AK244" si="806">AF244+AG244+AH244+AI244+AJ244+AC244</f>
        <v>0</v>
      </c>
      <c r="AL244" s="884">
        <v>0</v>
      </c>
      <c r="AM244" s="878" t="str">
        <f t="shared" ref="AM244" si="807">IFERROR((AK244/AL244),"-")</f>
        <v>-</v>
      </c>
      <c r="AN244" s="2"/>
      <c r="AO244" s="884">
        <v>977</v>
      </c>
      <c r="AP244" s="884">
        <f t="shared" ref="AP244" si="808">AO244-AK244</f>
        <v>977</v>
      </c>
      <c r="AV244" s="4" t="str">
        <f t="shared" si="680"/>
        <v>Escavação 1ª e 2ª categoria</v>
      </c>
      <c r="AW244" s="4" t="str">
        <f t="shared" si="681"/>
        <v xml:space="preserve">   Escavação, carga e transporte de material 1ª/2ª categoria - Seg.2.5 acesso km 151+700</v>
      </c>
    </row>
    <row r="245" spans="1:49" ht="15" customHeight="1" outlineLevel="2">
      <c r="A245" s="545" t="str">
        <f>A244</f>
        <v>N</v>
      </c>
      <c r="B245" s="526"/>
      <c r="C245" s="526"/>
      <c r="D245" s="527" t="s">
        <v>460</v>
      </c>
      <c r="E245" s="893"/>
      <c r="F245" s="902"/>
      <c r="G245" s="528"/>
      <c r="H245" s="549" t="s">
        <v>38</v>
      </c>
      <c r="I245" s="711">
        <v>0</v>
      </c>
      <c r="J245" s="897"/>
      <c r="K245" s="528"/>
      <c r="L245" s="549" t="s">
        <v>38</v>
      </c>
      <c r="M245" s="711">
        <f t="shared" si="777"/>
        <v>0</v>
      </c>
      <c r="N245" s="897"/>
      <c r="O245" s="528"/>
      <c r="P245" s="711">
        <v>0</v>
      </c>
      <c r="Q245" s="711">
        <v>0</v>
      </c>
      <c r="R245" s="711">
        <v>0</v>
      </c>
      <c r="S245" s="711">
        <v>0</v>
      </c>
      <c r="T245" s="711">
        <v>0</v>
      </c>
      <c r="U245" s="711">
        <v>0</v>
      </c>
      <c r="V245" s="711">
        <v>0</v>
      </c>
      <c r="W245" s="528"/>
      <c r="X245" s="711">
        <f t="shared" si="778"/>
        <v>0</v>
      </c>
      <c r="Y245" s="897"/>
      <c r="Z245" s="528"/>
      <c r="AA245" s="899"/>
      <c r="AB245" s="899"/>
      <c r="AC245" s="899"/>
      <c r="AD245" s="901"/>
      <c r="AE245" s="2"/>
      <c r="AF245" s="885"/>
      <c r="AG245" s="885"/>
      <c r="AH245" s="885"/>
      <c r="AI245" s="885"/>
      <c r="AJ245" s="885"/>
      <c r="AK245" s="885"/>
      <c r="AL245" s="885"/>
      <c r="AM245" s="879"/>
      <c r="AN245" s="2"/>
      <c r="AO245" s="886"/>
      <c r="AP245" s="886"/>
      <c r="AV245" s="4" t="str">
        <f t="shared" si="680"/>
        <v>Escavação 1ª e 2ª categoria</v>
      </c>
      <c r="AW245" s="4" t="str">
        <f t="shared" si="681"/>
        <v xml:space="preserve">   Escavação, carga e transporte de material 1ª/2ª categoria - Seg.2.5 acesso km 151+700</v>
      </c>
    </row>
    <row r="246" spans="1:49" ht="15" customHeight="1" outlineLevel="2">
      <c r="A246" s="545" t="str">
        <f t="shared" ref="A246:A270" si="809">IF(SUM(P246:V247)&gt;0,"S","N")</f>
        <v>S</v>
      </c>
      <c r="B246" s="526">
        <v>1065379</v>
      </c>
      <c r="C246" s="526" t="s">
        <v>462</v>
      </c>
      <c r="D246" s="527" t="s">
        <v>463</v>
      </c>
      <c r="E246" s="892" t="s">
        <v>464</v>
      </c>
      <c r="F246" s="902" t="s">
        <v>36</v>
      </c>
      <c r="G246" s="528"/>
      <c r="H246" s="546" t="s">
        <v>37</v>
      </c>
      <c r="I246" s="711">
        <v>8000</v>
      </c>
      <c r="J246" s="896">
        <f>IFERROR((I247/I246),"-")</f>
        <v>0.20749999999999999</v>
      </c>
      <c r="K246" s="528"/>
      <c r="L246" s="546" t="s">
        <v>37</v>
      </c>
      <c r="M246" s="711">
        <f t="shared" si="777"/>
        <v>0</v>
      </c>
      <c r="N246" s="896" t="str">
        <f>IFERROR((M247/M246),"-")</f>
        <v>-</v>
      </c>
      <c r="O246" s="528"/>
      <c r="P246" s="547">
        <v>0</v>
      </c>
      <c r="Q246" s="547">
        <v>0</v>
      </c>
      <c r="R246" s="547">
        <v>0</v>
      </c>
      <c r="S246" s="547">
        <v>0</v>
      </c>
      <c r="T246" s="547">
        <v>0</v>
      </c>
      <c r="U246" s="547">
        <v>0</v>
      </c>
      <c r="V246" s="548">
        <v>0</v>
      </c>
      <c r="W246" s="528"/>
      <c r="X246" s="711">
        <f t="shared" si="778"/>
        <v>0</v>
      </c>
      <c r="Y246" s="896" t="str">
        <f t="shared" ref="Y246" si="810">IFERROR((X247/X246),"0")</f>
        <v>0</v>
      </c>
      <c r="Z246" s="528"/>
      <c r="AA246" s="898">
        <v>47784.69</v>
      </c>
      <c r="AB246" s="898">
        <v>47784.67</v>
      </c>
      <c r="AC246" s="898">
        <v>4610</v>
      </c>
      <c r="AD246" s="900">
        <f t="shared" ref="AD246" si="811">IFERROR((AC246/AB246),"-")</f>
        <v>9.6474455091978245E-2</v>
      </c>
      <c r="AE246" s="2"/>
      <c r="AF246" s="884">
        <v>815</v>
      </c>
      <c r="AG246" s="884"/>
      <c r="AH246" s="884">
        <v>11030</v>
      </c>
      <c r="AI246" s="884"/>
      <c r="AJ246" s="884">
        <v>1855.64</v>
      </c>
      <c r="AK246" s="884">
        <f t="shared" ref="AK246" si="812">AF246+AG246+AH246+AI246+AJ246+AC246</f>
        <v>18310.64</v>
      </c>
      <c r="AL246" s="884">
        <v>60285.460000000006</v>
      </c>
      <c r="AM246" s="878">
        <f t="shared" ref="AM246" si="813">IFERROR((AK246/AL246),"-")</f>
        <v>0.30373227640628431</v>
      </c>
      <c r="AN246" s="2"/>
      <c r="AO246" s="884">
        <v>60289.96</v>
      </c>
      <c r="AP246" s="884">
        <f t="shared" ref="AP246" si="814">AO246-AK246</f>
        <v>41979.32</v>
      </c>
      <c r="AV246" s="4" t="str">
        <f t="shared" si="680"/>
        <v>Escavação 1ª e 2ª categoria</v>
      </c>
      <c r="AW246" s="4" t="str">
        <f t="shared" si="681"/>
        <v xml:space="preserve">   Escavação, carga e transporte de material 1ª/2ª categoria - Seg.2.5 C 01</v>
      </c>
    </row>
    <row r="247" spans="1:49" ht="15" customHeight="1" outlineLevel="2">
      <c r="A247" s="545" t="str">
        <f t="shared" si="809"/>
        <v>S</v>
      </c>
      <c r="B247" s="526"/>
      <c r="C247" s="526"/>
      <c r="D247" s="527" t="s">
        <v>463</v>
      </c>
      <c r="E247" s="893"/>
      <c r="F247" s="902"/>
      <c r="G247" s="528"/>
      <c r="H247" s="549" t="s">
        <v>38</v>
      </c>
      <c r="I247" s="711">
        <v>1660</v>
      </c>
      <c r="J247" s="897"/>
      <c r="K247" s="528"/>
      <c r="L247" s="549" t="s">
        <v>38</v>
      </c>
      <c r="M247" s="711">
        <f t="shared" si="777"/>
        <v>350</v>
      </c>
      <c r="N247" s="897"/>
      <c r="O247" s="528"/>
      <c r="P247" s="711">
        <v>0</v>
      </c>
      <c r="Q247" s="711">
        <v>350</v>
      </c>
      <c r="R247" s="711">
        <v>0</v>
      </c>
      <c r="S247" s="711">
        <v>0</v>
      </c>
      <c r="T247" s="711">
        <v>0</v>
      </c>
      <c r="U247" s="711">
        <v>0</v>
      </c>
      <c r="V247" s="711">
        <v>0</v>
      </c>
      <c r="W247" s="528"/>
      <c r="X247" s="711">
        <f t="shared" si="778"/>
        <v>350</v>
      </c>
      <c r="Y247" s="897"/>
      <c r="Z247" s="528"/>
      <c r="AA247" s="899"/>
      <c r="AB247" s="899"/>
      <c r="AC247" s="899"/>
      <c r="AD247" s="901"/>
      <c r="AE247" s="2"/>
      <c r="AF247" s="885"/>
      <c r="AG247" s="885"/>
      <c r="AH247" s="885"/>
      <c r="AI247" s="885"/>
      <c r="AJ247" s="885"/>
      <c r="AK247" s="885"/>
      <c r="AL247" s="885"/>
      <c r="AM247" s="879"/>
      <c r="AN247" s="2"/>
      <c r="AO247" s="886"/>
      <c r="AP247" s="886"/>
      <c r="AV247" s="4" t="str">
        <f t="shared" si="680"/>
        <v>Escavação 1ª e 2ª categoria</v>
      </c>
      <c r="AW247" s="4" t="str">
        <f t="shared" si="681"/>
        <v xml:space="preserve">   Escavação, carga e transporte de material 1ª/2ª categoria - Seg.2.5 C 01</v>
      </c>
    </row>
    <row r="248" spans="1:49" ht="15" customHeight="1" outlineLevel="2">
      <c r="A248" s="545" t="str">
        <f t="shared" si="809"/>
        <v>S</v>
      </c>
      <c r="B248" s="526">
        <v>1065380</v>
      </c>
      <c r="C248" s="526" t="s">
        <v>465</v>
      </c>
      <c r="D248" s="527" t="s">
        <v>466</v>
      </c>
      <c r="E248" s="892" t="s">
        <v>467</v>
      </c>
      <c r="F248" s="902" t="s">
        <v>36</v>
      </c>
      <c r="G248" s="528"/>
      <c r="H248" s="546" t="s">
        <v>37</v>
      </c>
      <c r="I248" s="711">
        <v>0</v>
      </c>
      <c r="J248" s="896" t="str">
        <f>IFERROR((I249/I248),"-")</f>
        <v>-</v>
      </c>
      <c r="K248" s="528"/>
      <c r="L248" s="546" t="s">
        <v>37</v>
      </c>
      <c r="M248" s="711">
        <f t="shared" si="777"/>
        <v>1400</v>
      </c>
      <c r="N248" s="896">
        <f>IFERROR((M249/M248),"-")</f>
        <v>7.857142857142857E-2</v>
      </c>
      <c r="O248" s="528"/>
      <c r="P248" s="547">
        <v>1400</v>
      </c>
      <c r="Q248" s="547">
        <v>1400</v>
      </c>
      <c r="R248" s="547">
        <v>1400</v>
      </c>
      <c r="S248" s="547">
        <v>1400</v>
      </c>
      <c r="T248" s="547">
        <v>1200</v>
      </c>
      <c r="U248" s="547">
        <v>1200</v>
      </c>
      <c r="V248" s="548">
        <v>0</v>
      </c>
      <c r="W248" s="528"/>
      <c r="X248" s="711">
        <f t="shared" si="778"/>
        <v>2800</v>
      </c>
      <c r="Y248" s="896">
        <f t="shared" ref="Y248" si="815">IFERROR((X249/X248),"0")</f>
        <v>0.26071428571428573</v>
      </c>
      <c r="Z248" s="528"/>
      <c r="AA248" s="898">
        <v>70869</v>
      </c>
      <c r="AB248" s="898">
        <v>9399.5499999999993</v>
      </c>
      <c r="AC248" s="898">
        <v>2240</v>
      </c>
      <c r="AD248" s="900">
        <f t="shared" ref="AD248" si="816">IFERROR((AC248/AB248),"-")</f>
        <v>0.23830928076344082</v>
      </c>
      <c r="AE248" s="2"/>
      <c r="AF248" s="884">
        <v>0</v>
      </c>
      <c r="AG248" s="884"/>
      <c r="AH248" s="884">
        <v>0</v>
      </c>
      <c r="AI248" s="884"/>
      <c r="AJ248" s="884"/>
      <c r="AK248" s="884">
        <f t="shared" ref="AK248" si="817">AF248+AG248+AH248+AI248+AJ248+AC248</f>
        <v>2240</v>
      </c>
      <c r="AL248" s="884">
        <v>9399.5499999999993</v>
      </c>
      <c r="AM248" s="878">
        <f t="shared" ref="AM248" si="818">IFERROR((AK248/AL248),"-")</f>
        <v>0.23830928076344082</v>
      </c>
      <c r="AN248" s="2"/>
      <c r="AO248" s="884">
        <v>70869</v>
      </c>
      <c r="AP248" s="884">
        <f t="shared" ref="AP248" si="819">AO248-AK248</f>
        <v>68629</v>
      </c>
      <c r="AV248" s="4" t="str">
        <f t="shared" si="680"/>
        <v>Escavação 1ª e 2ª categoria</v>
      </c>
      <c r="AW248" s="4" t="str">
        <f t="shared" si="681"/>
        <v xml:space="preserve">   Escavação, carga e transporte de material 1ª/2ª categoria - Seg.2.5 C 02</v>
      </c>
    </row>
    <row r="249" spans="1:49" ht="15" customHeight="1" outlineLevel="2">
      <c r="A249" s="545" t="str">
        <f t="shared" si="809"/>
        <v>S</v>
      </c>
      <c r="B249" s="526"/>
      <c r="C249" s="526"/>
      <c r="D249" s="527" t="s">
        <v>466</v>
      </c>
      <c r="E249" s="893"/>
      <c r="F249" s="902"/>
      <c r="G249" s="528"/>
      <c r="H249" s="549" t="s">
        <v>38</v>
      </c>
      <c r="I249" s="711">
        <v>820</v>
      </c>
      <c r="J249" s="897"/>
      <c r="K249" s="528"/>
      <c r="L249" s="549" t="s">
        <v>38</v>
      </c>
      <c r="M249" s="711">
        <f t="shared" si="777"/>
        <v>110</v>
      </c>
      <c r="N249" s="897"/>
      <c r="O249" s="528"/>
      <c r="P249" s="711">
        <v>620</v>
      </c>
      <c r="Q249" s="711">
        <v>110</v>
      </c>
      <c r="R249" s="711">
        <v>0</v>
      </c>
      <c r="S249" s="711">
        <v>0</v>
      </c>
      <c r="T249" s="711">
        <v>0</v>
      </c>
      <c r="U249" s="711">
        <v>0</v>
      </c>
      <c r="V249" s="711">
        <v>0</v>
      </c>
      <c r="W249" s="528"/>
      <c r="X249" s="711">
        <f t="shared" si="778"/>
        <v>730</v>
      </c>
      <c r="Y249" s="897"/>
      <c r="Z249" s="528"/>
      <c r="AA249" s="899"/>
      <c r="AB249" s="899"/>
      <c r="AC249" s="899"/>
      <c r="AD249" s="901"/>
      <c r="AE249" s="2"/>
      <c r="AF249" s="885"/>
      <c r="AG249" s="885"/>
      <c r="AH249" s="885"/>
      <c r="AI249" s="885"/>
      <c r="AJ249" s="885"/>
      <c r="AK249" s="885"/>
      <c r="AL249" s="885"/>
      <c r="AM249" s="879"/>
      <c r="AN249" s="2"/>
      <c r="AO249" s="886"/>
      <c r="AP249" s="886"/>
      <c r="AV249" s="4" t="str">
        <f t="shared" si="680"/>
        <v>Escavação 1ª e 2ª categoria</v>
      </c>
      <c r="AW249" s="4" t="str">
        <f t="shared" si="681"/>
        <v xml:space="preserve">   Escavação, carga e transporte de material 1ª/2ª categoria - Seg.2.5 C 02</v>
      </c>
    </row>
    <row r="250" spans="1:49" ht="15" customHeight="1" outlineLevel="2">
      <c r="A250" s="545" t="str">
        <f t="shared" si="809"/>
        <v>N</v>
      </c>
      <c r="B250" s="526">
        <v>1065381</v>
      </c>
      <c r="C250" s="526" t="s">
        <v>468</v>
      </c>
      <c r="D250" s="527" t="s">
        <v>469</v>
      </c>
      <c r="E250" s="892" t="s">
        <v>470</v>
      </c>
      <c r="F250" s="902" t="s">
        <v>36</v>
      </c>
      <c r="G250" s="528"/>
      <c r="H250" s="546" t="s">
        <v>37</v>
      </c>
      <c r="I250" s="711">
        <v>0</v>
      </c>
      <c r="J250" s="896" t="str">
        <f>IFERROR((I251/I250),"-")</f>
        <v>-</v>
      </c>
      <c r="K250" s="528"/>
      <c r="L250" s="546" t="s">
        <v>37</v>
      </c>
      <c r="M250" s="711">
        <f t="shared" si="777"/>
        <v>0</v>
      </c>
      <c r="N250" s="896" t="str">
        <f>IFERROR((M251/M250),"-")</f>
        <v>-</v>
      </c>
      <c r="O250" s="528"/>
      <c r="P250" s="547">
        <v>0</v>
      </c>
      <c r="Q250" s="547">
        <v>0</v>
      </c>
      <c r="R250" s="547">
        <v>0</v>
      </c>
      <c r="S250" s="547">
        <v>0</v>
      </c>
      <c r="T250" s="547">
        <v>0</v>
      </c>
      <c r="U250" s="547">
        <v>0</v>
      </c>
      <c r="V250" s="548">
        <v>0</v>
      </c>
      <c r="W250" s="528"/>
      <c r="X250" s="711">
        <f t="shared" si="778"/>
        <v>0</v>
      </c>
      <c r="Y250" s="896" t="str">
        <f t="shared" ref="Y250" si="820">IFERROR((X251/X250),"0")</f>
        <v>0</v>
      </c>
      <c r="Z250" s="528"/>
      <c r="AA250" s="898">
        <v>8064</v>
      </c>
      <c r="AB250" s="898">
        <v>0</v>
      </c>
      <c r="AC250" s="898">
        <v>0</v>
      </c>
      <c r="AD250" s="900" t="str">
        <f t="shared" ref="AD250" si="821">IFERROR((AC250/AB250),"-")</f>
        <v>-</v>
      </c>
      <c r="AE250" s="2"/>
      <c r="AF250" s="884">
        <v>0</v>
      </c>
      <c r="AG250" s="884"/>
      <c r="AH250" s="884">
        <v>0</v>
      </c>
      <c r="AI250" s="884"/>
      <c r="AJ250" s="884"/>
      <c r="AK250" s="884">
        <f t="shared" ref="AK250" si="822">AF250+AG250+AH250+AI250+AJ250+AC250</f>
        <v>0</v>
      </c>
      <c r="AL250" s="884">
        <v>0</v>
      </c>
      <c r="AM250" s="878" t="str">
        <f t="shared" ref="AM250" si="823">IFERROR((AK250/AL250),"-")</f>
        <v>-</v>
      </c>
      <c r="AN250" s="2"/>
      <c r="AO250" s="884">
        <v>8064</v>
      </c>
      <c r="AP250" s="884">
        <f t="shared" ref="AP250" si="824">AO250-AK250</f>
        <v>8064</v>
      </c>
      <c r="AV250" s="4" t="str">
        <f t="shared" si="680"/>
        <v>Escavação 1ª e 2ª categoria</v>
      </c>
      <c r="AW250" s="4" t="str">
        <f t="shared" si="681"/>
        <v xml:space="preserve">   Escavação, carga e transporte de material 1ª/2ª categoria - Seg.2.5 C 03</v>
      </c>
    </row>
    <row r="251" spans="1:49" ht="15" customHeight="1" outlineLevel="2">
      <c r="A251" s="545" t="str">
        <f t="shared" si="809"/>
        <v>N</v>
      </c>
      <c r="B251" s="526"/>
      <c r="C251" s="526"/>
      <c r="D251" s="527" t="s">
        <v>469</v>
      </c>
      <c r="E251" s="893"/>
      <c r="F251" s="902"/>
      <c r="G251" s="528"/>
      <c r="H251" s="549" t="s">
        <v>38</v>
      </c>
      <c r="I251" s="711">
        <v>0</v>
      </c>
      <c r="J251" s="897"/>
      <c r="K251" s="528"/>
      <c r="L251" s="549" t="s">
        <v>38</v>
      </c>
      <c r="M251" s="711">
        <f t="shared" si="777"/>
        <v>0</v>
      </c>
      <c r="N251" s="897"/>
      <c r="O251" s="528"/>
      <c r="P251" s="711">
        <v>0</v>
      </c>
      <c r="Q251" s="711">
        <v>0</v>
      </c>
      <c r="R251" s="711">
        <v>0</v>
      </c>
      <c r="S251" s="711">
        <v>0</v>
      </c>
      <c r="T251" s="711">
        <v>0</v>
      </c>
      <c r="U251" s="711">
        <v>0</v>
      </c>
      <c r="V251" s="711">
        <v>0</v>
      </c>
      <c r="W251" s="528"/>
      <c r="X251" s="711">
        <f t="shared" si="778"/>
        <v>0</v>
      </c>
      <c r="Y251" s="897"/>
      <c r="Z251" s="528"/>
      <c r="AA251" s="899"/>
      <c r="AB251" s="899"/>
      <c r="AC251" s="899"/>
      <c r="AD251" s="901"/>
      <c r="AE251" s="2"/>
      <c r="AF251" s="885"/>
      <c r="AG251" s="885"/>
      <c r="AH251" s="885"/>
      <c r="AI251" s="885"/>
      <c r="AJ251" s="885"/>
      <c r="AK251" s="885"/>
      <c r="AL251" s="885"/>
      <c r="AM251" s="879"/>
      <c r="AN251" s="2"/>
      <c r="AO251" s="886"/>
      <c r="AP251" s="886"/>
      <c r="AV251" s="4" t="str">
        <f t="shared" si="680"/>
        <v>Escavação 1ª e 2ª categoria</v>
      </c>
      <c r="AW251" s="4" t="str">
        <f t="shared" si="681"/>
        <v xml:space="preserve">   Escavação, carga e transporte de material 1ª/2ª categoria - Seg.2.5 C 03</v>
      </c>
    </row>
    <row r="252" spans="1:49" ht="15" customHeight="1" outlineLevel="2">
      <c r="A252" s="545" t="str">
        <f t="shared" si="809"/>
        <v>N</v>
      </c>
      <c r="B252" s="526">
        <v>1065382</v>
      </c>
      <c r="C252" s="526" t="s">
        <v>471</v>
      </c>
      <c r="D252" s="527" t="s">
        <v>472</v>
      </c>
      <c r="E252" s="892" t="s">
        <v>473</v>
      </c>
      <c r="F252" s="902" t="s">
        <v>36</v>
      </c>
      <c r="G252" s="528"/>
      <c r="H252" s="546" t="s">
        <v>37</v>
      </c>
      <c r="I252" s="711">
        <v>0</v>
      </c>
      <c r="J252" s="896" t="str">
        <f>IFERROR((I253/I252),"-")</f>
        <v>-</v>
      </c>
      <c r="K252" s="528"/>
      <c r="L252" s="546" t="s">
        <v>37</v>
      </c>
      <c r="M252" s="711">
        <f t="shared" si="777"/>
        <v>0</v>
      </c>
      <c r="N252" s="896" t="str">
        <f>IFERROR((M253/M252),"-")</f>
        <v>-</v>
      </c>
      <c r="O252" s="528"/>
      <c r="P252" s="547">
        <v>0</v>
      </c>
      <c r="Q252" s="547">
        <v>0</v>
      </c>
      <c r="R252" s="547">
        <v>0</v>
      </c>
      <c r="S252" s="547">
        <v>0</v>
      </c>
      <c r="T252" s="547">
        <v>0</v>
      </c>
      <c r="U252" s="547">
        <v>0</v>
      </c>
      <c r="V252" s="548">
        <v>0</v>
      </c>
      <c r="W252" s="528"/>
      <c r="X252" s="711">
        <f t="shared" si="778"/>
        <v>0</v>
      </c>
      <c r="Y252" s="896" t="str">
        <f t="shared" ref="Y252" si="825">IFERROR((X253/X252),"0")</f>
        <v>0</v>
      </c>
      <c r="Z252" s="528"/>
      <c r="AA252" s="898">
        <v>6138.64</v>
      </c>
      <c r="AB252" s="898">
        <v>0</v>
      </c>
      <c r="AC252" s="898">
        <v>0</v>
      </c>
      <c r="AD252" s="900" t="str">
        <f t="shared" ref="AD252" si="826">IFERROR((AC252/AB252),"-")</f>
        <v>-</v>
      </c>
      <c r="AE252" s="2"/>
      <c r="AF252" s="884">
        <v>0</v>
      </c>
      <c r="AG252" s="884"/>
      <c r="AH252" s="884">
        <v>0</v>
      </c>
      <c r="AI252" s="884"/>
      <c r="AJ252" s="884"/>
      <c r="AK252" s="884">
        <f t="shared" ref="AK252" si="827">AF252+AG252+AH252+AI252+AJ252+AC252</f>
        <v>0</v>
      </c>
      <c r="AL252" s="884">
        <v>0</v>
      </c>
      <c r="AM252" s="878" t="str">
        <f t="shared" ref="AM252" si="828">IFERROR((AK252/AL252),"-")</f>
        <v>-</v>
      </c>
      <c r="AN252" s="2"/>
      <c r="AO252" s="884">
        <v>72774</v>
      </c>
      <c r="AP252" s="884">
        <f t="shared" ref="AP252" si="829">AO252-AK252</f>
        <v>72774</v>
      </c>
      <c r="AV252" s="4" t="str">
        <f t="shared" si="680"/>
        <v>Escavação 1ª e 2ª categoria</v>
      </c>
      <c r="AW252" s="4" t="str">
        <f t="shared" si="681"/>
        <v xml:space="preserve">   Escavação, carga e transporte de material 1ª/2ª categoria - Seg.2.5 C 04</v>
      </c>
    </row>
    <row r="253" spans="1:49" ht="15" customHeight="1" outlineLevel="2">
      <c r="A253" s="545" t="str">
        <f t="shared" si="809"/>
        <v>S</v>
      </c>
      <c r="B253" s="526"/>
      <c r="C253" s="526"/>
      <c r="D253" s="527" t="s">
        <v>472</v>
      </c>
      <c r="E253" s="893"/>
      <c r="F253" s="902"/>
      <c r="G253" s="528"/>
      <c r="H253" s="549" t="s">
        <v>38</v>
      </c>
      <c r="I253" s="711">
        <v>0</v>
      </c>
      <c r="J253" s="897"/>
      <c r="K253" s="528"/>
      <c r="L253" s="549" t="s">
        <v>38</v>
      </c>
      <c r="M253" s="711">
        <f t="shared" si="777"/>
        <v>0</v>
      </c>
      <c r="N253" s="897"/>
      <c r="O253" s="528"/>
      <c r="P253" s="711">
        <v>0</v>
      </c>
      <c r="Q253" s="711">
        <v>0</v>
      </c>
      <c r="R253" s="711">
        <v>0</v>
      </c>
      <c r="S253" s="711">
        <v>0</v>
      </c>
      <c r="T253" s="711">
        <v>0</v>
      </c>
      <c r="U253" s="711">
        <v>0</v>
      </c>
      <c r="V253" s="711">
        <v>0</v>
      </c>
      <c r="W253" s="528"/>
      <c r="X253" s="711">
        <f t="shared" si="778"/>
        <v>0</v>
      </c>
      <c r="Y253" s="897"/>
      <c r="Z253" s="528"/>
      <c r="AA253" s="899"/>
      <c r="AB253" s="899"/>
      <c r="AC253" s="899"/>
      <c r="AD253" s="901"/>
      <c r="AE253" s="2"/>
      <c r="AF253" s="885"/>
      <c r="AG253" s="885"/>
      <c r="AH253" s="885"/>
      <c r="AI253" s="885"/>
      <c r="AJ253" s="885"/>
      <c r="AK253" s="885"/>
      <c r="AL253" s="885"/>
      <c r="AM253" s="879"/>
      <c r="AN253" s="2"/>
      <c r="AO253" s="886"/>
      <c r="AP253" s="886"/>
      <c r="AV253" s="4" t="str">
        <f t="shared" si="680"/>
        <v>Escavação 1ª e 2ª categoria</v>
      </c>
      <c r="AW253" s="4" t="str">
        <f t="shared" si="681"/>
        <v xml:space="preserve">   Escavação, carga e transporte de material 1ª/2ª categoria - Seg.2.5 C 04</v>
      </c>
    </row>
    <row r="254" spans="1:49" ht="15" customHeight="1" outlineLevel="2">
      <c r="A254" s="545" t="str">
        <f t="shared" si="809"/>
        <v>S</v>
      </c>
      <c r="B254" s="526">
        <v>1065383</v>
      </c>
      <c r="C254" s="526" t="s">
        <v>474</v>
      </c>
      <c r="D254" s="527" t="s">
        <v>475</v>
      </c>
      <c r="E254" s="892" t="s">
        <v>476</v>
      </c>
      <c r="F254" s="902" t="s">
        <v>36</v>
      </c>
      <c r="G254" s="528"/>
      <c r="H254" s="546" t="s">
        <v>37</v>
      </c>
      <c r="I254" s="711">
        <v>8000</v>
      </c>
      <c r="J254" s="896">
        <f>IFERROR((I255/I254),"-")</f>
        <v>0.73250000000000004</v>
      </c>
      <c r="K254" s="528"/>
      <c r="L254" s="546" t="s">
        <v>37</v>
      </c>
      <c r="M254" s="711">
        <f t="shared" si="777"/>
        <v>1400</v>
      </c>
      <c r="N254" s="896">
        <f>IFERROR((M255/M254),"-")</f>
        <v>0</v>
      </c>
      <c r="O254" s="528"/>
      <c r="P254" s="547">
        <v>1400</v>
      </c>
      <c r="Q254" s="547">
        <v>1400</v>
      </c>
      <c r="R254" s="547">
        <v>1400</v>
      </c>
      <c r="S254" s="547">
        <v>1400</v>
      </c>
      <c r="T254" s="547">
        <v>1200</v>
      </c>
      <c r="U254" s="547">
        <v>1200</v>
      </c>
      <c r="V254" s="548">
        <v>0</v>
      </c>
      <c r="W254" s="528"/>
      <c r="X254" s="711">
        <f t="shared" si="778"/>
        <v>2800</v>
      </c>
      <c r="Y254" s="896">
        <f t="shared" ref="Y254" si="830">IFERROR((X255/X254),"0")</f>
        <v>0</v>
      </c>
      <c r="Z254" s="528"/>
      <c r="AA254" s="898">
        <v>0</v>
      </c>
      <c r="AB254" s="898">
        <v>0</v>
      </c>
      <c r="AC254" s="898">
        <v>8630</v>
      </c>
      <c r="AD254" s="900" t="str">
        <f t="shared" ref="AD254" si="831">IFERROR((AC254/AB254),"-")</f>
        <v>-</v>
      </c>
      <c r="AE254" s="2"/>
      <c r="AF254" s="884">
        <v>0</v>
      </c>
      <c r="AG254" s="884"/>
      <c r="AH254" s="884">
        <v>3940</v>
      </c>
      <c r="AI254" s="884"/>
      <c r="AJ254" s="884"/>
      <c r="AK254" s="884">
        <f t="shared" ref="AK254" si="832">AF254+AG254+AH254+AI254+AJ254+AC254</f>
        <v>12570</v>
      </c>
      <c r="AL254" s="884">
        <v>1019.9999999999995</v>
      </c>
      <c r="AM254" s="878">
        <f t="shared" ref="AM254" si="833">IFERROR((AK254/AL254),"-")</f>
        <v>12.323529411764712</v>
      </c>
      <c r="AN254" s="2"/>
      <c r="AO254" s="884">
        <v>25604</v>
      </c>
      <c r="AP254" s="884">
        <f t="shared" ref="AP254" si="834">AO254-AK254</f>
        <v>13034</v>
      </c>
      <c r="AV254" s="4" t="str">
        <f t="shared" si="680"/>
        <v>Escavação 1ª e 2ª categoria</v>
      </c>
      <c r="AW254" s="4" t="str">
        <f t="shared" si="681"/>
        <v xml:space="preserve">   Escavação, carga e transporte de material 1ª/2ª categoria - Seg.2.5 C 05</v>
      </c>
    </row>
    <row r="255" spans="1:49" ht="15" customHeight="1" outlineLevel="2">
      <c r="A255" s="545" t="str">
        <f t="shared" si="809"/>
        <v>N</v>
      </c>
      <c r="B255" s="526"/>
      <c r="C255" s="526"/>
      <c r="D255" s="527" t="s">
        <v>475</v>
      </c>
      <c r="E255" s="893"/>
      <c r="F255" s="902"/>
      <c r="G255" s="528"/>
      <c r="H255" s="549" t="s">
        <v>38</v>
      </c>
      <c r="I255" s="711">
        <v>5860</v>
      </c>
      <c r="J255" s="897"/>
      <c r="K255" s="528"/>
      <c r="L255" s="549" t="s">
        <v>38</v>
      </c>
      <c r="M255" s="711">
        <f t="shared" si="777"/>
        <v>0</v>
      </c>
      <c r="N255" s="897"/>
      <c r="O255" s="528"/>
      <c r="P255" s="711">
        <v>0</v>
      </c>
      <c r="Q255" s="711">
        <v>0</v>
      </c>
      <c r="R255" s="711">
        <v>0</v>
      </c>
      <c r="S255" s="711">
        <v>0</v>
      </c>
      <c r="T255" s="711">
        <v>0</v>
      </c>
      <c r="U255" s="711">
        <v>0</v>
      </c>
      <c r="V255" s="711">
        <v>0</v>
      </c>
      <c r="W255" s="528"/>
      <c r="X255" s="711">
        <f t="shared" si="778"/>
        <v>0</v>
      </c>
      <c r="Y255" s="897"/>
      <c r="Z255" s="528"/>
      <c r="AA255" s="899"/>
      <c r="AB255" s="899"/>
      <c r="AC255" s="899"/>
      <c r="AD255" s="901"/>
      <c r="AE255" s="2"/>
      <c r="AF255" s="885"/>
      <c r="AG255" s="885"/>
      <c r="AH255" s="885"/>
      <c r="AI255" s="885"/>
      <c r="AJ255" s="885"/>
      <c r="AK255" s="885"/>
      <c r="AL255" s="885"/>
      <c r="AM255" s="879"/>
      <c r="AN255" s="2"/>
      <c r="AO255" s="886"/>
      <c r="AP255" s="886"/>
      <c r="AV255" s="4" t="str">
        <f t="shared" si="680"/>
        <v>Escavação 1ª e 2ª categoria</v>
      </c>
      <c r="AW255" s="4" t="str">
        <f t="shared" si="681"/>
        <v xml:space="preserve">   Escavação, carga e transporte de material 1ª/2ª categoria - Seg.2.5 C 05</v>
      </c>
    </row>
    <row r="256" spans="1:49" ht="15" customHeight="1" outlineLevel="2">
      <c r="A256" s="545" t="str">
        <f t="shared" si="809"/>
        <v>N</v>
      </c>
      <c r="B256" s="526">
        <v>1065384</v>
      </c>
      <c r="C256" s="526" t="s">
        <v>477</v>
      </c>
      <c r="D256" s="527" t="s">
        <v>478</v>
      </c>
      <c r="E256" s="892" t="s">
        <v>479</v>
      </c>
      <c r="F256" s="902" t="s">
        <v>36</v>
      </c>
      <c r="G256" s="528"/>
      <c r="H256" s="546" t="s">
        <v>37</v>
      </c>
      <c r="I256" s="711">
        <v>0</v>
      </c>
      <c r="J256" s="896" t="str">
        <f>IFERROR((I257/I256),"-")</f>
        <v>-</v>
      </c>
      <c r="K256" s="528"/>
      <c r="L256" s="546" t="s">
        <v>37</v>
      </c>
      <c r="M256" s="711">
        <f t="shared" si="777"/>
        <v>0</v>
      </c>
      <c r="N256" s="896" t="str">
        <f>IFERROR((M257/M256),"-")</f>
        <v>-</v>
      </c>
      <c r="O256" s="528"/>
      <c r="P256" s="547">
        <v>0</v>
      </c>
      <c r="Q256" s="547">
        <v>0</v>
      </c>
      <c r="R256" s="547">
        <v>0</v>
      </c>
      <c r="S256" s="547">
        <v>0</v>
      </c>
      <c r="T256" s="547">
        <v>0</v>
      </c>
      <c r="U256" s="547">
        <v>0</v>
      </c>
      <c r="V256" s="548">
        <v>0</v>
      </c>
      <c r="W256" s="528"/>
      <c r="X256" s="711">
        <f t="shared" si="778"/>
        <v>0</v>
      </c>
      <c r="Y256" s="896" t="str">
        <f t="shared" ref="Y256" si="835">IFERROR((X257/X256),"0")</f>
        <v>0</v>
      </c>
      <c r="Z256" s="528"/>
      <c r="AA256" s="898">
        <v>0</v>
      </c>
      <c r="AB256" s="898">
        <v>0</v>
      </c>
      <c r="AC256" s="898">
        <v>0</v>
      </c>
      <c r="AD256" s="900" t="str">
        <f t="shared" ref="AD256" si="836">IFERROR((AC256/AB256),"-")</f>
        <v>-</v>
      </c>
      <c r="AE256" s="2"/>
      <c r="AF256" s="884">
        <v>0</v>
      </c>
      <c r="AG256" s="884"/>
      <c r="AH256" s="884">
        <v>0</v>
      </c>
      <c r="AI256" s="884"/>
      <c r="AJ256" s="884"/>
      <c r="AK256" s="884">
        <f t="shared" ref="AK256" si="837">AF256+AG256+AH256+AI256+AJ256+AC256</f>
        <v>0</v>
      </c>
      <c r="AL256" s="884">
        <v>0</v>
      </c>
      <c r="AM256" s="878" t="str">
        <f t="shared" ref="AM256" si="838">IFERROR((AK256/AL256),"-")</f>
        <v>-</v>
      </c>
      <c r="AN256" s="2"/>
      <c r="AO256" s="884">
        <v>1171</v>
      </c>
      <c r="AP256" s="884">
        <f t="shared" ref="AP256" si="839">AO256-AK256</f>
        <v>1171</v>
      </c>
      <c r="AV256" s="4" t="str">
        <f t="shared" si="680"/>
        <v>Escavação 1ª e 2ª categoria</v>
      </c>
      <c r="AW256" s="4" t="str">
        <f t="shared" si="681"/>
        <v xml:space="preserve">   Escavação, carga e transporte de material 1ª/2ª categoria - Seg.2.5 C 07</v>
      </c>
    </row>
    <row r="257" spans="1:49" ht="15" customHeight="1" outlineLevel="2">
      <c r="A257" s="545" t="str">
        <f t="shared" si="809"/>
        <v>S</v>
      </c>
      <c r="B257" s="526"/>
      <c r="C257" s="526"/>
      <c r="D257" s="527" t="s">
        <v>478</v>
      </c>
      <c r="E257" s="893"/>
      <c r="F257" s="902"/>
      <c r="G257" s="528"/>
      <c r="H257" s="549" t="s">
        <v>38</v>
      </c>
      <c r="I257" s="711">
        <v>0</v>
      </c>
      <c r="J257" s="897"/>
      <c r="K257" s="528"/>
      <c r="L257" s="549" t="s">
        <v>38</v>
      </c>
      <c r="M257" s="711">
        <f t="shared" si="777"/>
        <v>0</v>
      </c>
      <c r="N257" s="897"/>
      <c r="O257" s="528"/>
      <c r="P257" s="711">
        <v>0</v>
      </c>
      <c r="Q257" s="711">
        <v>0</v>
      </c>
      <c r="R257" s="711">
        <v>0</v>
      </c>
      <c r="S257" s="711">
        <v>0</v>
      </c>
      <c r="T257" s="711">
        <v>0</v>
      </c>
      <c r="U257" s="711">
        <v>0</v>
      </c>
      <c r="V257" s="711">
        <v>0</v>
      </c>
      <c r="W257" s="528"/>
      <c r="X257" s="711">
        <f t="shared" si="778"/>
        <v>0</v>
      </c>
      <c r="Y257" s="897"/>
      <c r="Z257" s="528"/>
      <c r="AA257" s="899"/>
      <c r="AB257" s="899"/>
      <c r="AC257" s="899"/>
      <c r="AD257" s="901"/>
      <c r="AE257" s="2"/>
      <c r="AF257" s="885"/>
      <c r="AG257" s="885"/>
      <c r="AH257" s="885"/>
      <c r="AI257" s="885"/>
      <c r="AJ257" s="885"/>
      <c r="AK257" s="885"/>
      <c r="AL257" s="885"/>
      <c r="AM257" s="879"/>
      <c r="AN257" s="2"/>
      <c r="AO257" s="886"/>
      <c r="AP257" s="886"/>
      <c r="AV257" s="4" t="str">
        <f t="shared" si="680"/>
        <v>Escavação 1ª e 2ª categoria</v>
      </c>
      <c r="AW257" s="4" t="str">
        <f t="shared" si="681"/>
        <v xml:space="preserve">   Escavação, carga e transporte de material 1ª/2ª categoria - Seg.2.5 C 07</v>
      </c>
    </row>
    <row r="258" spans="1:49" ht="15" customHeight="1" outlineLevel="2">
      <c r="A258" s="545" t="str">
        <f t="shared" si="809"/>
        <v>S</v>
      </c>
      <c r="B258" s="526">
        <v>1065385</v>
      </c>
      <c r="C258" s="526" t="s">
        <v>480</v>
      </c>
      <c r="D258" s="527" t="s">
        <v>481</v>
      </c>
      <c r="E258" s="892" t="s">
        <v>482</v>
      </c>
      <c r="F258" s="902" t="s">
        <v>36</v>
      </c>
      <c r="G258" s="528"/>
      <c r="H258" s="546" t="s">
        <v>37</v>
      </c>
      <c r="I258" s="711">
        <v>8000</v>
      </c>
      <c r="J258" s="896">
        <f>IFERROR((I259/I258),"-")</f>
        <v>0</v>
      </c>
      <c r="K258" s="528"/>
      <c r="L258" s="546" t="s">
        <v>37</v>
      </c>
      <c r="M258" s="711">
        <f t="shared" si="777"/>
        <v>1400</v>
      </c>
      <c r="N258" s="896">
        <f>IFERROR((M259/M258),"-")</f>
        <v>0</v>
      </c>
      <c r="O258" s="528"/>
      <c r="P258" s="547">
        <v>1400</v>
      </c>
      <c r="Q258" s="547">
        <v>1400</v>
      </c>
      <c r="R258" s="547">
        <v>1400</v>
      </c>
      <c r="S258" s="547">
        <v>1400</v>
      </c>
      <c r="T258" s="547">
        <v>1200</v>
      </c>
      <c r="U258" s="547">
        <v>1200</v>
      </c>
      <c r="V258" s="548">
        <v>0</v>
      </c>
      <c r="W258" s="528"/>
      <c r="X258" s="711">
        <f t="shared" si="778"/>
        <v>2800</v>
      </c>
      <c r="Y258" s="896">
        <f t="shared" ref="Y258" si="840">IFERROR((X259/X258),"0")</f>
        <v>0</v>
      </c>
      <c r="Z258" s="528"/>
      <c r="AA258" s="898">
        <v>0</v>
      </c>
      <c r="AB258" s="898">
        <v>0</v>
      </c>
      <c r="AC258" s="898">
        <v>0</v>
      </c>
      <c r="AD258" s="900" t="str">
        <f t="shared" ref="AD258" si="841">IFERROR((AC258/AB258),"-")</f>
        <v>-</v>
      </c>
      <c r="AE258" s="2"/>
      <c r="AF258" s="884">
        <v>0</v>
      </c>
      <c r="AG258" s="884"/>
      <c r="AH258" s="884">
        <v>0</v>
      </c>
      <c r="AI258" s="884"/>
      <c r="AJ258" s="884"/>
      <c r="AK258" s="884">
        <f t="shared" ref="AK258" si="842">AF258+AG258+AH258+AI258+AJ258+AC258</f>
        <v>0</v>
      </c>
      <c r="AL258" s="884">
        <v>0</v>
      </c>
      <c r="AM258" s="878" t="str">
        <f t="shared" ref="AM258" si="843">IFERROR((AK258/AL258),"-")</f>
        <v>-</v>
      </c>
      <c r="AN258" s="2"/>
      <c r="AO258" s="884">
        <v>101359</v>
      </c>
      <c r="AP258" s="884">
        <f t="shared" ref="AP258" si="844">AO258-AK258</f>
        <v>101359</v>
      </c>
      <c r="AV258" s="4" t="str">
        <f t="shared" si="680"/>
        <v>Escavação 1ª e 2ª categoria</v>
      </c>
      <c r="AW258" s="4" t="str">
        <f t="shared" si="681"/>
        <v xml:space="preserve">   Escavação, carga e transporte de material 1ª/2ª categoria - Seg.2.5 C 08</v>
      </c>
    </row>
    <row r="259" spans="1:49" ht="15" customHeight="1" outlineLevel="2">
      <c r="A259" s="545" t="str">
        <f t="shared" si="809"/>
        <v>N</v>
      </c>
      <c r="B259" s="526"/>
      <c r="C259" s="526"/>
      <c r="D259" s="527" t="s">
        <v>481</v>
      </c>
      <c r="E259" s="893"/>
      <c r="F259" s="902"/>
      <c r="G259" s="528"/>
      <c r="H259" s="549" t="s">
        <v>38</v>
      </c>
      <c r="I259" s="711">
        <v>0</v>
      </c>
      <c r="J259" s="897"/>
      <c r="K259" s="528"/>
      <c r="L259" s="549" t="s">
        <v>38</v>
      </c>
      <c r="M259" s="711">
        <f t="shared" si="777"/>
        <v>0</v>
      </c>
      <c r="N259" s="897"/>
      <c r="O259" s="528"/>
      <c r="P259" s="711">
        <v>0</v>
      </c>
      <c r="Q259" s="711">
        <v>0</v>
      </c>
      <c r="R259" s="711">
        <v>0</v>
      </c>
      <c r="S259" s="711">
        <v>0</v>
      </c>
      <c r="T259" s="711">
        <v>0</v>
      </c>
      <c r="U259" s="711">
        <v>0</v>
      </c>
      <c r="V259" s="711">
        <v>0</v>
      </c>
      <c r="W259" s="528"/>
      <c r="X259" s="711">
        <f t="shared" si="778"/>
        <v>0</v>
      </c>
      <c r="Y259" s="897"/>
      <c r="Z259" s="528"/>
      <c r="AA259" s="899"/>
      <c r="AB259" s="899"/>
      <c r="AC259" s="899"/>
      <c r="AD259" s="901"/>
      <c r="AE259" s="2"/>
      <c r="AF259" s="885"/>
      <c r="AG259" s="885"/>
      <c r="AH259" s="885"/>
      <c r="AI259" s="885"/>
      <c r="AJ259" s="885"/>
      <c r="AK259" s="885"/>
      <c r="AL259" s="885"/>
      <c r="AM259" s="879"/>
      <c r="AN259" s="2"/>
      <c r="AO259" s="886"/>
      <c r="AP259" s="886"/>
      <c r="AV259" s="4" t="str">
        <f t="shared" si="680"/>
        <v>Escavação 1ª e 2ª categoria</v>
      </c>
      <c r="AW259" s="4" t="str">
        <f t="shared" si="681"/>
        <v xml:space="preserve">   Escavação, carga e transporte de material 1ª/2ª categoria - Seg.2.5 C 08</v>
      </c>
    </row>
    <row r="260" spans="1:49" ht="15" customHeight="1" outlineLevel="2">
      <c r="A260" s="545" t="str">
        <f t="shared" si="809"/>
        <v>N</v>
      </c>
      <c r="B260" s="526">
        <v>1065391</v>
      </c>
      <c r="C260" s="526" t="s">
        <v>483</v>
      </c>
      <c r="D260" s="527" t="s">
        <v>484</v>
      </c>
      <c r="E260" s="892" t="s">
        <v>485</v>
      </c>
      <c r="F260" s="902" t="s">
        <v>36</v>
      </c>
      <c r="G260" s="528"/>
      <c r="H260" s="546" t="s">
        <v>37</v>
      </c>
      <c r="I260" s="711">
        <v>0</v>
      </c>
      <c r="J260" s="896" t="str">
        <f>IFERROR((I261/I260),"-")</f>
        <v>-</v>
      </c>
      <c r="K260" s="528"/>
      <c r="L260" s="546" t="s">
        <v>37</v>
      </c>
      <c r="M260" s="711">
        <f t="shared" si="777"/>
        <v>0</v>
      </c>
      <c r="N260" s="896" t="str">
        <f>IFERROR((M261/M260),"-")</f>
        <v>-</v>
      </c>
      <c r="O260" s="528"/>
      <c r="P260" s="547">
        <v>0</v>
      </c>
      <c r="Q260" s="547">
        <v>0</v>
      </c>
      <c r="R260" s="547">
        <v>0</v>
      </c>
      <c r="S260" s="547">
        <v>0</v>
      </c>
      <c r="T260" s="547">
        <v>0</v>
      </c>
      <c r="U260" s="547">
        <v>0</v>
      </c>
      <c r="V260" s="548">
        <v>0</v>
      </c>
      <c r="W260" s="528"/>
      <c r="X260" s="711">
        <f t="shared" si="778"/>
        <v>0</v>
      </c>
      <c r="Y260" s="896" t="str">
        <f t="shared" ref="Y260" si="845">IFERROR((X261/X260),"0")</f>
        <v>0</v>
      </c>
      <c r="Z260" s="528"/>
      <c r="AA260" s="898">
        <v>8254.1</v>
      </c>
      <c r="AB260" s="898">
        <v>0</v>
      </c>
      <c r="AC260" s="898">
        <v>0</v>
      </c>
      <c r="AD260" s="900" t="str">
        <f t="shared" ref="AD260" si="846">IFERROR((AC260/AB260),"-")</f>
        <v>-</v>
      </c>
      <c r="AE260" s="2"/>
      <c r="AF260" s="884">
        <v>9523</v>
      </c>
      <c r="AG260" s="884"/>
      <c r="AH260" s="884">
        <v>1080</v>
      </c>
      <c r="AI260" s="884"/>
      <c r="AJ260" s="884"/>
      <c r="AK260" s="884">
        <f t="shared" ref="AK260" si="847">AF260+AG260+AH260+AI260+AJ260+AC260</f>
        <v>10603</v>
      </c>
      <c r="AL260" s="884">
        <v>10602.940000000017</v>
      </c>
      <c r="AM260" s="878">
        <f t="shared" ref="AM260" si="848">IFERROR((AK260/AL260),"-")</f>
        <v>1.0000056588078385</v>
      </c>
      <c r="AN260" s="2"/>
      <c r="AO260" s="884">
        <v>18856.990000000002</v>
      </c>
      <c r="AP260" s="884">
        <f t="shared" ref="AP260" si="849">AO260-AK260</f>
        <v>8253.9900000000016</v>
      </c>
      <c r="AV260" s="4" t="str">
        <f t="shared" si="680"/>
        <v>Escavação 1ª e 2ª categoria</v>
      </c>
      <c r="AW260" s="4" t="str">
        <f t="shared" si="681"/>
        <v xml:space="preserve">   Escavação, carga e transporte de material 1ª/2ª categoria - Seg.2.5 C 10</v>
      </c>
    </row>
    <row r="261" spans="1:49" ht="15" customHeight="1" outlineLevel="2">
      <c r="A261" s="545" t="str">
        <f t="shared" si="809"/>
        <v>N</v>
      </c>
      <c r="B261" s="526"/>
      <c r="C261" s="526"/>
      <c r="D261" s="527" t="s">
        <v>484</v>
      </c>
      <c r="E261" s="893"/>
      <c r="F261" s="902"/>
      <c r="G261" s="528"/>
      <c r="H261" s="549" t="s">
        <v>38</v>
      </c>
      <c r="I261" s="711">
        <v>0</v>
      </c>
      <c r="J261" s="897"/>
      <c r="K261" s="528"/>
      <c r="L261" s="549" t="s">
        <v>38</v>
      </c>
      <c r="M261" s="711">
        <f t="shared" si="777"/>
        <v>0</v>
      </c>
      <c r="N261" s="897"/>
      <c r="O261" s="528"/>
      <c r="P261" s="711">
        <v>0</v>
      </c>
      <c r="Q261" s="711">
        <v>0</v>
      </c>
      <c r="R261" s="711">
        <v>0</v>
      </c>
      <c r="S261" s="711">
        <v>0</v>
      </c>
      <c r="T261" s="711">
        <v>0</v>
      </c>
      <c r="U261" s="711">
        <v>0</v>
      </c>
      <c r="V261" s="711">
        <v>0</v>
      </c>
      <c r="W261" s="528"/>
      <c r="X261" s="711">
        <f t="shared" si="778"/>
        <v>0</v>
      </c>
      <c r="Y261" s="897"/>
      <c r="Z261" s="528"/>
      <c r="AA261" s="899"/>
      <c r="AB261" s="899"/>
      <c r="AC261" s="899"/>
      <c r="AD261" s="901"/>
      <c r="AE261" s="2"/>
      <c r="AF261" s="885"/>
      <c r="AG261" s="885"/>
      <c r="AH261" s="885"/>
      <c r="AI261" s="885"/>
      <c r="AJ261" s="885"/>
      <c r="AK261" s="885"/>
      <c r="AL261" s="885"/>
      <c r="AM261" s="879"/>
      <c r="AN261" s="2"/>
      <c r="AO261" s="886"/>
      <c r="AP261" s="886"/>
      <c r="AV261" s="4" t="str">
        <f t="shared" si="680"/>
        <v>Escavação 1ª e 2ª categoria</v>
      </c>
      <c r="AW261" s="4" t="str">
        <f t="shared" si="681"/>
        <v xml:space="preserve">   Escavação, carga e transporte de material 1ª/2ª categoria - Seg.2.5 C 10</v>
      </c>
    </row>
    <row r="262" spans="1:49" ht="15" customHeight="1" outlineLevel="2">
      <c r="A262" s="545" t="str">
        <f t="shared" si="809"/>
        <v>N</v>
      </c>
      <c r="B262" s="526">
        <v>1065392</v>
      </c>
      <c r="C262" s="526" t="s">
        <v>486</v>
      </c>
      <c r="D262" s="527" t="s">
        <v>487</v>
      </c>
      <c r="E262" s="892" t="s">
        <v>488</v>
      </c>
      <c r="F262" s="902" t="s">
        <v>36</v>
      </c>
      <c r="G262" s="528"/>
      <c r="H262" s="546" t="s">
        <v>37</v>
      </c>
      <c r="I262" s="711">
        <v>0</v>
      </c>
      <c r="J262" s="896" t="str">
        <f>IFERROR((I263/I262),"-")</f>
        <v>-</v>
      </c>
      <c r="K262" s="528"/>
      <c r="L262" s="546" t="s">
        <v>37</v>
      </c>
      <c r="M262" s="711">
        <f t="shared" si="777"/>
        <v>0</v>
      </c>
      <c r="N262" s="896" t="str">
        <f>IFERROR((M263/M262),"-")</f>
        <v>-</v>
      </c>
      <c r="O262" s="528"/>
      <c r="P262" s="547">
        <v>0</v>
      </c>
      <c r="Q262" s="547">
        <v>0</v>
      </c>
      <c r="R262" s="547">
        <v>0</v>
      </c>
      <c r="S262" s="547">
        <v>0</v>
      </c>
      <c r="T262" s="547">
        <v>0</v>
      </c>
      <c r="U262" s="547">
        <v>0</v>
      </c>
      <c r="V262" s="548">
        <v>0</v>
      </c>
      <c r="W262" s="528"/>
      <c r="X262" s="711">
        <f t="shared" si="778"/>
        <v>0</v>
      </c>
      <c r="Y262" s="896" t="str">
        <f t="shared" ref="Y262" si="850">IFERROR((X263/X262),"0")</f>
        <v>0</v>
      </c>
      <c r="Z262" s="528"/>
      <c r="AA262" s="898">
        <v>0</v>
      </c>
      <c r="AB262" s="898">
        <v>0</v>
      </c>
      <c r="AC262" s="898">
        <v>0</v>
      </c>
      <c r="AD262" s="900" t="str">
        <f t="shared" ref="AD262" si="851">IFERROR((AC262/AB262),"-")</f>
        <v>-</v>
      </c>
      <c r="AE262" s="2"/>
      <c r="AF262" s="884">
        <v>0</v>
      </c>
      <c r="AG262" s="884"/>
      <c r="AH262" s="884">
        <v>1630</v>
      </c>
      <c r="AI262" s="884"/>
      <c r="AJ262" s="884"/>
      <c r="AK262" s="884">
        <f t="shared" ref="AK262" si="852">AF262+AG262+AH262+AI262+AJ262+AC262</f>
        <v>1630</v>
      </c>
      <c r="AL262" s="884">
        <v>1630.0000000000007</v>
      </c>
      <c r="AM262" s="878">
        <f t="shared" ref="AM262" si="853">IFERROR((AK262/AL262),"-")</f>
        <v>0.99999999999999956</v>
      </c>
      <c r="AN262" s="2"/>
      <c r="AO262" s="884">
        <v>6837</v>
      </c>
      <c r="AP262" s="884">
        <f t="shared" ref="AP262" si="854">AO262-AK262</f>
        <v>5207</v>
      </c>
      <c r="AV262" s="4" t="str">
        <f t="shared" si="680"/>
        <v>Escavação 1ª e 2ª categoria</v>
      </c>
      <c r="AW262" s="4" t="str">
        <f t="shared" si="681"/>
        <v xml:space="preserve">   Escavação, carga e transporte de material 1ª/2ª categoria - Seg.2.5 C 11</v>
      </c>
    </row>
    <row r="263" spans="1:49" ht="15" customHeight="1" outlineLevel="2">
      <c r="A263" s="545" t="str">
        <f t="shared" si="809"/>
        <v>N</v>
      </c>
      <c r="B263" s="526"/>
      <c r="C263" s="526"/>
      <c r="D263" s="527" t="s">
        <v>487</v>
      </c>
      <c r="E263" s="893"/>
      <c r="F263" s="902"/>
      <c r="G263" s="528"/>
      <c r="H263" s="549" t="s">
        <v>38</v>
      </c>
      <c r="I263" s="711">
        <v>0</v>
      </c>
      <c r="J263" s="897"/>
      <c r="K263" s="528"/>
      <c r="L263" s="549" t="s">
        <v>38</v>
      </c>
      <c r="M263" s="711">
        <f t="shared" si="777"/>
        <v>0</v>
      </c>
      <c r="N263" s="897"/>
      <c r="O263" s="528"/>
      <c r="P263" s="711">
        <v>0</v>
      </c>
      <c r="Q263" s="711">
        <v>0</v>
      </c>
      <c r="R263" s="711">
        <v>0</v>
      </c>
      <c r="S263" s="711">
        <v>0</v>
      </c>
      <c r="T263" s="711">
        <v>0</v>
      </c>
      <c r="U263" s="711">
        <v>0</v>
      </c>
      <c r="V263" s="711">
        <v>0</v>
      </c>
      <c r="W263" s="528"/>
      <c r="X263" s="711">
        <f t="shared" si="778"/>
        <v>0</v>
      </c>
      <c r="Y263" s="897"/>
      <c r="Z263" s="528"/>
      <c r="AA263" s="899"/>
      <c r="AB263" s="899"/>
      <c r="AC263" s="899"/>
      <c r="AD263" s="901"/>
      <c r="AE263" s="2"/>
      <c r="AF263" s="885"/>
      <c r="AG263" s="885"/>
      <c r="AH263" s="885"/>
      <c r="AI263" s="885"/>
      <c r="AJ263" s="885"/>
      <c r="AK263" s="885"/>
      <c r="AL263" s="885"/>
      <c r="AM263" s="879"/>
      <c r="AN263" s="2"/>
      <c r="AO263" s="886"/>
      <c r="AP263" s="886"/>
      <c r="AV263" s="4" t="str">
        <f t="shared" si="680"/>
        <v>Escavação 1ª e 2ª categoria</v>
      </c>
      <c r="AW263" s="4" t="str">
        <f t="shared" si="681"/>
        <v xml:space="preserve">   Escavação, carga e transporte de material 1ª/2ª categoria - Seg.2.5 C 11</v>
      </c>
    </row>
    <row r="264" spans="1:49" ht="15" customHeight="1" outlineLevel="2">
      <c r="A264" s="545" t="str">
        <f t="shared" si="809"/>
        <v>N</v>
      </c>
      <c r="B264" s="526">
        <v>1065393</v>
      </c>
      <c r="C264" s="526" t="s">
        <v>489</v>
      </c>
      <c r="D264" s="527" t="s">
        <v>490</v>
      </c>
      <c r="E264" s="892" t="s">
        <v>491</v>
      </c>
      <c r="F264" s="902" t="s">
        <v>36</v>
      </c>
      <c r="G264" s="528"/>
      <c r="H264" s="546" t="s">
        <v>37</v>
      </c>
      <c r="I264" s="711">
        <v>0</v>
      </c>
      <c r="J264" s="896" t="str">
        <f>IFERROR((I265/I264),"-")</f>
        <v>-</v>
      </c>
      <c r="K264" s="528"/>
      <c r="L264" s="546" t="s">
        <v>37</v>
      </c>
      <c r="M264" s="711">
        <f t="shared" si="777"/>
        <v>0</v>
      </c>
      <c r="N264" s="896" t="str">
        <f>IFERROR((M265/M264),"-")</f>
        <v>-</v>
      </c>
      <c r="O264" s="528"/>
      <c r="P264" s="547">
        <v>0</v>
      </c>
      <c r="Q264" s="547">
        <v>0</v>
      </c>
      <c r="R264" s="547">
        <v>0</v>
      </c>
      <c r="S264" s="547">
        <v>0</v>
      </c>
      <c r="T264" s="547">
        <v>0</v>
      </c>
      <c r="U264" s="547">
        <v>0</v>
      </c>
      <c r="V264" s="548">
        <v>0</v>
      </c>
      <c r="W264" s="528"/>
      <c r="X264" s="711">
        <f t="shared" si="778"/>
        <v>0</v>
      </c>
      <c r="Y264" s="896" t="str">
        <f t="shared" ref="Y264" si="855">IFERROR((X265/X264),"0")</f>
        <v>0</v>
      </c>
      <c r="Z264" s="528"/>
      <c r="AA264" s="898">
        <v>0</v>
      </c>
      <c r="AB264" s="898">
        <v>0</v>
      </c>
      <c r="AC264" s="898">
        <v>0</v>
      </c>
      <c r="AD264" s="900" t="str">
        <f t="shared" ref="AD264" si="856">IFERROR((AC264/AB264),"-")</f>
        <v>-</v>
      </c>
      <c r="AE264" s="2"/>
      <c r="AF264" s="884">
        <v>0</v>
      </c>
      <c r="AG264" s="884"/>
      <c r="AH264" s="884">
        <v>550</v>
      </c>
      <c r="AI264" s="884"/>
      <c r="AJ264" s="884"/>
      <c r="AK264" s="884">
        <f t="shared" ref="AK264" si="857">AF264+AG264+AH264+AI264+AJ264+AC264</f>
        <v>550</v>
      </c>
      <c r="AL264" s="884">
        <v>550</v>
      </c>
      <c r="AM264" s="878">
        <f t="shared" ref="AM264" si="858">IFERROR((AK264/AL264),"-")</f>
        <v>1</v>
      </c>
      <c r="AN264" s="2"/>
      <c r="AO264" s="884">
        <v>1267</v>
      </c>
      <c r="AP264" s="884">
        <f t="shared" ref="AP264" si="859">AO264-AK264</f>
        <v>717</v>
      </c>
      <c r="AV264" s="4" t="str">
        <f t="shared" si="680"/>
        <v>Escavação 1ª e 2ª categoria</v>
      </c>
      <c r="AW264" s="4" t="str">
        <f t="shared" si="681"/>
        <v xml:space="preserve">   Escavação, carga e transporte de material 1ª/2ª categoria - Seg.2.5 C 12</v>
      </c>
    </row>
    <row r="265" spans="1:49" ht="15" customHeight="1" outlineLevel="2">
      <c r="A265" s="545" t="str">
        <f t="shared" si="809"/>
        <v>N</v>
      </c>
      <c r="B265" s="526"/>
      <c r="C265" s="526"/>
      <c r="D265" s="527" t="s">
        <v>490</v>
      </c>
      <c r="E265" s="893"/>
      <c r="F265" s="902"/>
      <c r="G265" s="528"/>
      <c r="H265" s="549" t="s">
        <v>38</v>
      </c>
      <c r="I265" s="711">
        <v>0</v>
      </c>
      <c r="J265" s="897"/>
      <c r="K265" s="528"/>
      <c r="L265" s="549" t="s">
        <v>38</v>
      </c>
      <c r="M265" s="711">
        <f t="shared" si="777"/>
        <v>0</v>
      </c>
      <c r="N265" s="897"/>
      <c r="O265" s="528"/>
      <c r="P265" s="711">
        <v>0</v>
      </c>
      <c r="Q265" s="711">
        <v>0</v>
      </c>
      <c r="R265" s="711">
        <v>0</v>
      </c>
      <c r="S265" s="711">
        <v>0</v>
      </c>
      <c r="T265" s="711">
        <v>0</v>
      </c>
      <c r="U265" s="711">
        <v>0</v>
      </c>
      <c r="V265" s="711">
        <v>0</v>
      </c>
      <c r="W265" s="528"/>
      <c r="X265" s="711">
        <f t="shared" si="778"/>
        <v>0</v>
      </c>
      <c r="Y265" s="897"/>
      <c r="Z265" s="528"/>
      <c r="AA265" s="899"/>
      <c r="AB265" s="899"/>
      <c r="AC265" s="899"/>
      <c r="AD265" s="901"/>
      <c r="AE265" s="2"/>
      <c r="AF265" s="885"/>
      <c r="AG265" s="885"/>
      <c r="AH265" s="885"/>
      <c r="AI265" s="885"/>
      <c r="AJ265" s="885"/>
      <c r="AK265" s="885"/>
      <c r="AL265" s="885"/>
      <c r="AM265" s="879"/>
      <c r="AN265" s="2"/>
      <c r="AO265" s="886"/>
      <c r="AP265" s="886"/>
      <c r="AV265" s="4" t="str">
        <f t="shared" si="680"/>
        <v>Escavação 1ª e 2ª categoria</v>
      </c>
      <c r="AW265" s="4" t="str">
        <f t="shared" si="681"/>
        <v xml:space="preserve">   Escavação, carga e transporte de material 1ª/2ª categoria - Seg.2.5 C 12</v>
      </c>
    </row>
    <row r="266" spans="1:49" ht="15" customHeight="1" outlineLevel="2">
      <c r="A266" s="545" t="str">
        <f t="shared" si="809"/>
        <v>S</v>
      </c>
      <c r="B266" s="526">
        <v>1069616</v>
      </c>
      <c r="C266" s="526" t="s">
        <v>492</v>
      </c>
      <c r="D266" s="527" t="s">
        <v>493</v>
      </c>
      <c r="E266" s="892" t="s">
        <v>494</v>
      </c>
      <c r="F266" s="902" t="s">
        <v>36</v>
      </c>
      <c r="G266" s="528"/>
      <c r="H266" s="546" t="s">
        <v>37</v>
      </c>
      <c r="I266" s="711">
        <v>0</v>
      </c>
      <c r="J266" s="896" t="str">
        <f>IFERROR((I267/I266),"-")</f>
        <v>-</v>
      </c>
      <c r="K266" s="528"/>
      <c r="L266" s="546" t="s">
        <v>37</v>
      </c>
      <c r="M266" s="711">
        <f t="shared" si="777"/>
        <v>0</v>
      </c>
      <c r="N266" s="896" t="str">
        <f>IFERROR((M267/M266),"-")</f>
        <v>-</v>
      </c>
      <c r="O266" s="528"/>
      <c r="P266" s="547">
        <v>0</v>
      </c>
      <c r="Q266" s="547">
        <v>0</v>
      </c>
      <c r="R266" s="547">
        <v>0</v>
      </c>
      <c r="S266" s="547">
        <v>0</v>
      </c>
      <c r="T266" s="547">
        <v>0</v>
      </c>
      <c r="U266" s="547">
        <v>0</v>
      </c>
      <c r="V266" s="548">
        <v>0</v>
      </c>
      <c r="W266" s="528"/>
      <c r="X266" s="711">
        <f t="shared" si="778"/>
        <v>0</v>
      </c>
      <c r="Y266" s="896" t="str">
        <f t="shared" ref="Y266" si="860">IFERROR((X267/X266),"0")</f>
        <v>0</v>
      </c>
      <c r="Z266" s="528"/>
      <c r="AA266" s="898">
        <v>0</v>
      </c>
      <c r="AB266" s="898">
        <v>0</v>
      </c>
      <c r="AC266" s="898">
        <v>7230</v>
      </c>
      <c r="AD266" s="900" t="str">
        <f t="shared" ref="AD266" si="861">IFERROR((AC266/AB266),"-")</f>
        <v>-</v>
      </c>
      <c r="AE266" s="2"/>
      <c r="AF266" s="884">
        <v>0</v>
      </c>
      <c r="AG266" s="884"/>
      <c r="AH266" s="884">
        <v>0</v>
      </c>
      <c r="AI266" s="884"/>
      <c r="AJ266" s="884"/>
      <c r="AK266" s="884">
        <f t="shared" ref="AK266" si="862">AF266+AG266+AH266+AI266+AJ266+AC266</f>
        <v>7230</v>
      </c>
      <c r="AL266" s="884">
        <v>0</v>
      </c>
      <c r="AM266" s="878" t="str">
        <f t="shared" ref="AM266" si="863">IFERROR((AK266/AL266),"-")</f>
        <v>-</v>
      </c>
      <c r="AN266" s="2"/>
      <c r="AO266" s="884">
        <v>33526</v>
      </c>
      <c r="AP266" s="884">
        <f t="shared" ref="AP266" si="864">AO266-AK266</f>
        <v>26296</v>
      </c>
      <c r="AV266" s="4" t="str">
        <f t="shared" si="680"/>
        <v>Escavação 1ª e 2ª categoria</v>
      </c>
      <c r="AW266" s="4" t="str">
        <f t="shared" si="681"/>
        <v xml:space="preserve">   Alargamento - Escavação, carga e transporte de material 1ª/2ª categoria - Seg.2.5 C 05</v>
      </c>
    </row>
    <row r="267" spans="1:49" ht="15" customHeight="1" outlineLevel="2">
      <c r="A267" s="545" t="str">
        <f t="shared" si="809"/>
        <v>S</v>
      </c>
      <c r="B267" s="526"/>
      <c r="C267" s="526"/>
      <c r="D267" s="527" t="s">
        <v>493</v>
      </c>
      <c r="E267" s="893"/>
      <c r="F267" s="902"/>
      <c r="G267" s="528"/>
      <c r="H267" s="549" t="s">
        <v>38</v>
      </c>
      <c r="I267" s="711">
        <v>3880</v>
      </c>
      <c r="J267" s="897"/>
      <c r="K267" s="528"/>
      <c r="L267" s="549" t="s">
        <v>38</v>
      </c>
      <c r="M267" s="711">
        <f t="shared" si="777"/>
        <v>1840</v>
      </c>
      <c r="N267" s="897"/>
      <c r="O267" s="528"/>
      <c r="P267" s="711">
        <v>1510</v>
      </c>
      <c r="Q267" s="711">
        <v>1840</v>
      </c>
      <c r="R267" s="711">
        <v>0</v>
      </c>
      <c r="S267" s="711">
        <v>0</v>
      </c>
      <c r="T267" s="711">
        <v>0</v>
      </c>
      <c r="U267" s="711">
        <v>0</v>
      </c>
      <c r="V267" s="711">
        <v>0</v>
      </c>
      <c r="W267" s="528"/>
      <c r="X267" s="711">
        <f t="shared" si="778"/>
        <v>3350</v>
      </c>
      <c r="Y267" s="897"/>
      <c r="Z267" s="528"/>
      <c r="AA267" s="899"/>
      <c r="AB267" s="899"/>
      <c r="AC267" s="899"/>
      <c r="AD267" s="901"/>
      <c r="AE267" s="2"/>
      <c r="AF267" s="885"/>
      <c r="AG267" s="885"/>
      <c r="AH267" s="885"/>
      <c r="AI267" s="885"/>
      <c r="AJ267" s="885"/>
      <c r="AK267" s="885"/>
      <c r="AL267" s="885"/>
      <c r="AM267" s="879"/>
      <c r="AN267" s="2"/>
      <c r="AO267" s="886"/>
      <c r="AP267" s="886"/>
      <c r="AV267" s="4" t="str">
        <f t="shared" si="680"/>
        <v>Escavação 1ª e 2ª categoria</v>
      </c>
      <c r="AW267" s="4" t="str">
        <f t="shared" si="681"/>
        <v xml:space="preserve">   Alargamento - Escavação, carga e transporte de material 1ª/2ª categoria - Seg.2.5 C 05</v>
      </c>
    </row>
    <row r="268" spans="1:49" ht="12.6" customHeight="1" outlineLevel="2">
      <c r="A268" s="545" t="str">
        <f t="shared" si="809"/>
        <v>N</v>
      </c>
      <c r="B268" s="526">
        <v>1069617</v>
      </c>
      <c r="C268" s="526" t="s">
        <v>495</v>
      </c>
      <c r="D268" s="527" t="s">
        <v>496</v>
      </c>
      <c r="E268" s="892" t="s">
        <v>497</v>
      </c>
      <c r="F268" s="902" t="s">
        <v>36</v>
      </c>
      <c r="G268" s="528"/>
      <c r="H268" s="546" t="s">
        <v>37</v>
      </c>
      <c r="I268" s="711">
        <v>0</v>
      </c>
      <c r="J268" s="896" t="str">
        <f>IFERROR((I269/I268),"-")</f>
        <v>-</v>
      </c>
      <c r="K268" s="528"/>
      <c r="L268" s="546" t="s">
        <v>37</v>
      </c>
      <c r="M268" s="711">
        <f t="shared" si="777"/>
        <v>0</v>
      </c>
      <c r="N268" s="896" t="str">
        <f>IFERROR((M269/M268),"-")</f>
        <v>-</v>
      </c>
      <c r="O268" s="528"/>
      <c r="P268" s="547">
        <v>0</v>
      </c>
      <c r="Q268" s="547">
        <v>0</v>
      </c>
      <c r="R268" s="547">
        <v>0</v>
      </c>
      <c r="S268" s="547">
        <v>0</v>
      </c>
      <c r="T268" s="547">
        <v>0</v>
      </c>
      <c r="U268" s="547">
        <v>0</v>
      </c>
      <c r="V268" s="548">
        <v>0</v>
      </c>
      <c r="W268" s="528"/>
      <c r="X268" s="711">
        <f t="shared" si="778"/>
        <v>0</v>
      </c>
      <c r="Y268" s="896" t="str">
        <f t="shared" ref="Y268" si="865">IFERROR((X269/X268),"0")</f>
        <v>0</v>
      </c>
      <c r="Z268" s="528"/>
      <c r="AA268" s="898">
        <v>0</v>
      </c>
      <c r="AB268" s="898">
        <v>0</v>
      </c>
      <c r="AC268" s="898">
        <v>0</v>
      </c>
      <c r="AD268" s="900" t="str">
        <f t="shared" ref="AD268" si="866">IFERROR((AC268/AB268),"-")</f>
        <v>-</v>
      </c>
      <c r="AE268" s="2"/>
      <c r="AF268" s="884">
        <v>0</v>
      </c>
      <c r="AG268" s="884"/>
      <c r="AH268" s="884">
        <v>0</v>
      </c>
      <c r="AI268" s="884"/>
      <c r="AJ268" s="884"/>
      <c r="AK268" s="884">
        <f t="shared" ref="AK268" si="867">AF268+AG268+AH268+AI268+AJ268+AC268</f>
        <v>0</v>
      </c>
      <c r="AL268" s="884">
        <v>0</v>
      </c>
      <c r="AM268" s="878" t="str">
        <f t="shared" ref="AM268" si="868">IFERROR((AK268/AL268),"-")</f>
        <v>-</v>
      </c>
      <c r="AN268" s="2"/>
      <c r="AO268" s="884">
        <v>27625</v>
      </c>
      <c r="AP268" s="884">
        <f t="shared" ref="AP268" si="869">AO268-AK268</f>
        <v>27625</v>
      </c>
      <c r="AV268" s="4" t="str">
        <f t="shared" ref="AV268:AV331" si="870">IF(AX268="Y",LEFT(E268,20),IF(AX268="x",E268,AV267))</f>
        <v>Escavação 1ª e 2ª categoria</v>
      </c>
      <c r="AW268" s="4" t="str">
        <f t="shared" ref="AW268:AW331" si="871">IF(E268&lt;&gt;"",E268,AW267)</f>
        <v xml:space="preserve">   Alargamento - Escavação, carga e transporte de material 1ª/2ª categoria - Seg.2.5 C 07</v>
      </c>
    </row>
    <row r="269" spans="1:49" ht="12.6" customHeight="1" outlineLevel="2">
      <c r="A269" s="545" t="str">
        <f t="shared" si="809"/>
        <v>N</v>
      </c>
      <c r="B269" s="526"/>
      <c r="C269" s="526"/>
      <c r="D269" s="527" t="s">
        <v>496</v>
      </c>
      <c r="E269" s="893"/>
      <c r="F269" s="902"/>
      <c r="G269" s="528"/>
      <c r="H269" s="549" t="s">
        <v>38</v>
      </c>
      <c r="I269" s="711">
        <v>0</v>
      </c>
      <c r="J269" s="897"/>
      <c r="K269" s="528"/>
      <c r="L269" s="549" t="s">
        <v>38</v>
      </c>
      <c r="M269" s="711">
        <f t="shared" si="777"/>
        <v>0</v>
      </c>
      <c r="N269" s="897"/>
      <c r="O269" s="528"/>
      <c r="P269" s="711">
        <v>0</v>
      </c>
      <c r="Q269" s="711">
        <v>0</v>
      </c>
      <c r="R269" s="711">
        <v>0</v>
      </c>
      <c r="S269" s="711">
        <v>0</v>
      </c>
      <c r="T269" s="711">
        <v>0</v>
      </c>
      <c r="U269" s="711">
        <v>0</v>
      </c>
      <c r="V269" s="711">
        <v>0</v>
      </c>
      <c r="W269" s="528"/>
      <c r="X269" s="711">
        <f t="shared" si="778"/>
        <v>0</v>
      </c>
      <c r="Y269" s="897"/>
      <c r="Z269" s="528"/>
      <c r="AA269" s="899"/>
      <c r="AB269" s="899"/>
      <c r="AC269" s="899"/>
      <c r="AD269" s="901"/>
      <c r="AE269" s="2"/>
      <c r="AF269" s="885"/>
      <c r="AG269" s="885"/>
      <c r="AH269" s="885"/>
      <c r="AI269" s="885"/>
      <c r="AJ269" s="885"/>
      <c r="AK269" s="885"/>
      <c r="AL269" s="885"/>
      <c r="AM269" s="879"/>
      <c r="AN269" s="2"/>
      <c r="AO269" s="886"/>
      <c r="AP269" s="886"/>
      <c r="AV269" s="4" t="str">
        <f t="shared" si="870"/>
        <v>Escavação 1ª e 2ª categoria</v>
      </c>
      <c r="AW269" s="4" t="str">
        <f t="shared" si="871"/>
        <v xml:space="preserve">   Alargamento - Escavação, carga e transporte de material 1ª/2ª categoria - Seg.2.5 C 07</v>
      </c>
    </row>
    <row r="270" spans="1:49" ht="14.45" customHeight="1" outlineLevel="2">
      <c r="A270" s="545" t="str">
        <f t="shared" si="809"/>
        <v>N</v>
      </c>
      <c r="B270" s="526">
        <v>1069618</v>
      </c>
      <c r="C270" s="526" t="s">
        <v>498</v>
      </c>
      <c r="D270" s="527" t="s">
        <v>499</v>
      </c>
      <c r="E270" s="892" t="s">
        <v>500</v>
      </c>
      <c r="F270" s="902" t="s">
        <v>36</v>
      </c>
      <c r="G270" s="528"/>
      <c r="H270" s="546" t="s">
        <v>37</v>
      </c>
      <c r="I270" s="711">
        <v>0</v>
      </c>
      <c r="J270" s="896" t="str">
        <f>IFERROR((I271/I270),"-")</f>
        <v>-</v>
      </c>
      <c r="K270" s="528"/>
      <c r="L270" s="546" t="s">
        <v>37</v>
      </c>
      <c r="M270" s="711">
        <f t="shared" si="777"/>
        <v>0</v>
      </c>
      <c r="N270" s="896" t="str">
        <f>IFERROR((M271/M270),"-")</f>
        <v>-</v>
      </c>
      <c r="O270" s="528"/>
      <c r="P270" s="547">
        <v>0</v>
      </c>
      <c r="Q270" s="547">
        <v>0</v>
      </c>
      <c r="R270" s="547">
        <v>0</v>
      </c>
      <c r="S270" s="547">
        <v>0</v>
      </c>
      <c r="T270" s="547">
        <v>0</v>
      </c>
      <c r="U270" s="547">
        <v>0</v>
      </c>
      <c r="V270" s="548">
        <v>0</v>
      </c>
      <c r="W270" s="528"/>
      <c r="X270" s="711">
        <f t="shared" si="778"/>
        <v>0</v>
      </c>
      <c r="Y270" s="896" t="str">
        <f t="shared" ref="Y270" si="872">IFERROR((X271/X270),"0")</f>
        <v>0</v>
      </c>
      <c r="Z270" s="528"/>
      <c r="AA270" s="898">
        <v>0</v>
      </c>
      <c r="AB270" s="898">
        <v>0</v>
      </c>
      <c r="AC270" s="898">
        <v>0</v>
      </c>
      <c r="AD270" s="900" t="str">
        <f t="shared" ref="AD270" si="873">IFERROR((AC270/AB270),"-")</f>
        <v>-</v>
      </c>
      <c r="AE270" s="2"/>
      <c r="AF270" s="884">
        <v>0</v>
      </c>
      <c r="AG270" s="884"/>
      <c r="AH270" s="884">
        <v>0</v>
      </c>
      <c r="AI270" s="884"/>
      <c r="AJ270" s="884"/>
      <c r="AK270" s="884">
        <f t="shared" ref="AK270" si="874">AF270+AG270+AH270+AI270+AJ270+AC270</f>
        <v>0</v>
      </c>
      <c r="AL270" s="884">
        <v>0</v>
      </c>
      <c r="AM270" s="878" t="str">
        <f t="shared" ref="AM270" si="875">IFERROR((AK270/AL270),"-")</f>
        <v>-</v>
      </c>
      <c r="AN270" s="2"/>
      <c r="AO270" s="884">
        <v>55831</v>
      </c>
      <c r="AP270" s="884">
        <f t="shared" ref="AP270" si="876">AO270-AK270</f>
        <v>55831</v>
      </c>
      <c r="AV270" s="4" t="str">
        <f t="shared" si="870"/>
        <v>Escavação 1ª e 2ª categoria</v>
      </c>
      <c r="AW270" s="4" t="str">
        <f t="shared" si="871"/>
        <v xml:space="preserve">   Alargamento - Escavação, carga e transporte de material 1ª/2ª categoria - Seg.2.5 C 08</v>
      </c>
    </row>
    <row r="271" spans="1:49" ht="14.45" customHeight="1" outlineLevel="2">
      <c r="A271" s="525" t="str">
        <f>A270</f>
        <v>N</v>
      </c>
      <c r="B271" s="526"/>
      <c r="C271" s="526"/>
      <c r="D271" s="527" t="s">
        <v>499</v>
      </c>
      <c r="E271" s="893"/>
      <c r="F271" s="902"/>
      <c r="G271" s="528"/>
      <c r="H271" s="549" t="s">
        <v>38</v>
      </c>
      <c r="I271" s="711">
        <v>0</v>
      </c>
      <c r="J271" s="897"/>
      <c r="K271" s="528"/>
      <c r="L271" s="549" t="s">
        <v>38</v>
      </c>
      <c r="M271" s="711">
        <f t="shared" si="777"/>
        <v>0</v>
      </c>
      <c r="N271" s="897"/>
      <c r="O271" s="528"/>
      <c r="P271" s="711">
        <v>0</v>
      </c>
      <c r="Q271" s="711">
        <v>0</v>
      </c>
      <c r="R271" s="711">
        <v>0</v>
      </c>
      <c r="S271" s="711">
        <v>0</v>
      </c>
      <c r="T271" s="711">
        <v>0</v>
      </c>
      <c r="U271" s="711">
        <v>0</v>
      </c>
      <c r="V271" s="711">
        <v>0</v>
      </c>
      <c r="W271" s="528"/>
      <c r="X271" s="711">
        <f t="shared" si="778"/>
        <v>0</v>
      </c>
      <c r="Y271" s="897"/>
      <c r="Z271" s="528"/>
      <c r="AA271" s="899"/>
      <c r="AB271" s="899"/>
      <c r="AC271" s="899"/>
      <c r="AD271" s="901"/>
      <c r="AE271" s="2"/>
      <c r="AF271" s="885"/>
      <c r="AG271" s="885"/>
      <c r="AH271" s="885"/>
      <c r="AI271" s="885"/>
      <c r="AJ271" s="885"/>
      <c r="AK271" s="885"/>
      <c r="AL271" s="885"/>
      <c r="AM271" s="879"/>
      <c r="AN271" s="2"/>
      <c r="AO271" s="886"/>
      <c r="AP271" s="886"/>
      <c r="AV271" s="4" t="str">
        <f t="shared" si="870"/>
        <v>Escavação 1ª e 2ª categoria</v>
      </c>
      <c r="AW271" s="4" t="str">
        <f t="shared" si="871"/>
        <v xml:space="preserve">   Alargamento - Escavação, carga e transporte de material 1ª/2ª categoria - Seg.2.5 C 08</v>
      </c>
    </row>
    <row r="272" spans="1:49" ht="15" customHeight="1" outlineLevel="2">
      <c r="A272" s="545" t="str">
        <f t="shared" ref="A272" si="877">IF(SUM(P272:V273)&gt;0,"S","N")</f>
        <v>S</v>
      </c>
      <c r="B272" s="526">
        <v>1069619</v>
      </c>
      <c r="C272" s="526" t="s">
        <v>501</v>
      </c>
      <c r="D272" s="527" t="s">
        <v>502</v>
      </c>
      <c r="E272" s="892" t="s">
        <v>503</v>
      </c>
      <c r="F272" s="902" t="s">
        <v>36</v>
      </c>
      <c r="G272" s="528"/>
      <c r="H272" s="546" t="s">
        <v>37</v>
      </c>
      <c r="I272" s="711">
        <v>8000</v>
      </c>
      <c r="J272" s="896">
        <f>IFERROR((I273/I272),"-")</f>
        <v>1.325</v>
      </c>
      <c r="K272" s="528"/>
      <c r="L272" s="546" t="s">
        <v>37</v>
      </c>
      <c r="M272" s="711">
        <f t="shared" si="777"/>
        <v>2460</v>
      </c>
      <c r="N272" s="896">
        <f>IFERROR((M273/M272),"-")</f>
        <v>0.88617886178861793</v>
      </c>
      <c r="O272" s="528"/>
      <c r="P272" s="547">
        <v>2460</v>
      </c>
      <c r="Q272" s="547">
        <v>2460</v>
      </c>
      <c r="R272" s="547">
        <v>2460</v>
      </c>
      <c r="S272" s="547">
        <v>2460</v>
      </c>
      <c r="T272" s="547">
        <v>2260</v>
      </c>
      <c r="U272" s="547">
        <v>2260</v>
      </c>
      <c r="V272" s="548">
        <v>0</v>
      </c>
      <c r="W272" s="528"/>
      <c r="X272" s="711">
        <f t="shared" si="778"/>
        <v>4920</v>
      </c>
      <c r="Y272" s="896">
        <f t="shared" ref="Y272" si="878">IFERROR((X273/X272),"0")</f>
        <v>0.81504065040650409</v>
      </c>
      <c r="Z272" s="528"/>
      <c r="AA272" s="898">
        <v>146998.26</v>
      </c>
      <c r="AB272" s="898">
        <v>65332.55999999999</v>
      </c>
      <c r="AC272" s="898">
        <v>22170</v>
      </c>
      <c r="AD272" s="900">
        <f t="shared" ref="AD272" si="879">IFERROR((AC272/AB272),"-")</f>
        <v>0.33934075138032249</v>
      </c>
      <c r="AE272" s="2"/>
      <c r="AF272" s="884">
        <v>34756</v>
      </c>
      <c r="AG272" s="884"/>
      <c r="AH272" s="884">
        <v>60420</v>
      </c>
      <c r="AI272" s="884">
        <v>38039.241000000002</v>
      </c>
      <c r="AJ272" s="884">
        <v>130859.16538000001</v>
      </c>
      <c r="AK272" s="884">
        <f t="shared" ref="AK272" si="880">AF272+AG272+AH272+AI272+AJ272+AC272</f>
        <v>286244.40638</v>
      </c>
      <c r="AL272" s="884">
        <v>419716.74999999994</v>
      </c>
      <c r="AM272" s="878">
        <f t="shared" ref="AM272" si="881">IFERROR((AK272/AL272),"-")</f>
        <v>0.68199424106853024</v>
      </c>
      <c r="AN272" s="2"/>
      <c r="AO272" s="884">
        <v>697307.34</v>
      </c>
      <c r="AP272" s="884">
        <f t="shared" ref="AP272" si="882">AO272-AK272</f>
        <v>411062.93361999997</v>
      </c>
      <c r="AV272" s="4" t="str">
        <f t="shared" si="870"/>
        <v>Escavação 1ª e 2ª categoria</v>
      </c>
      <c r="AW272" s="4" t="str">
        <f t="shared" si="871"/>
        <v xml:space="preserve">   Escavação, carga e transporte de material 1ª/2ª categoria - Seg.2.5 C 09</v>
      </c>
    </row>
    <row r="273" spans="1:49" ht="15" customHeight="1" outlineLevel="2">
      <c r="A273" s="525" t="str">
        <f t="shared" ref="A273" si="883">A272</f>
        <v>S</v>
      </c>
      <c r="B273" s="526"/>
      <c r="C273" s="526"/>
      <c r="D273" s="527" t="s">
        <v>502</v>
      </c>
      <c r="E273" s="893"/>
      <c r="F273" s="902"/>
      <c r="G273" s="528"/>
      <c r="H273" s="549" t="s">
        <v>38</v>
      </c>
      <c r="I273" s="711">
        <v>10600</v>
      </c>
      <c r="J273" s="897"/>
      <c r="K273" s="528"/>
      <c r="L273" s="549" t="s">
        <v>38</v>
      </c>
      <c r="M273" s="711">
        <f t="shared" si="777"/>
        <v>2180</v>
      </c>
      <c r="N273" s="897"/>
      <c r="O273" s="528"/>
      <c r="P273" s="711">
        <v>1830</v>
      </c>
      <c r="Q273" s="711">
        <v>2180</v>
      </c>
      <c r="R273" s="711">
        <v>0</v>
      </c>
      <c r="S273" s="711">
        <v>0</v>
      </c>
      <c r="T273" s="711">
        <v>0</v>
      </c>
      <c r="U273" s="711">
        <v>0</v>
      </c>
      <c r="V273" s="711">
        <v>0</v>
      </c>
      <c r="W273" s="528"/>
      <c r="X273" s="711">
        <f t="shared" si="778"/>
        <v>4010</v>
      </c>
      <c r="Y273" s="897"/>
      <c r="Z273" s="528"/>
      <c r="AA273" s="899"/>
      <c r="AB273" s="899"/>
      <c r="AC273" s="899"/>
      <c r="AD273" s="901"/>
      <c r="AE273" s="2"/>
      <c r="AF273" s="885"/>
      <c r="AG273" s="885"/>
      <c r="AH273" s="885"/>
      <c r="AI273" s="885"/>
      <c r="AJ273" s="885"/>
      <c r="AK273" s="885"/>
      <c r="AL273" s="885"/>
      <c r="AM273" s="879"/>
      <c r="AN273" s="2"/>
      <c r="AO273" s="886"/>
      <c r="AP273" s="886"/>
      <c r="AV273" s="4" t="str">
        <f t="shared" si="870"/>
        <v>Escavação 1ª e 2ª categoria</v>
      </c>
      <c r="AW273" s="4" t="str">
        <f t="shared" si="871"/>
        <v xml:space="preserve">   Escavação, carga e transporte de material 1ª/2ª categoria - Seg.2.5 C 09</v>
      </c>
    </row>
    <row r="274" spans="1:49" ht="15" customHeight="1" outlineLevel="2">
      <c r="A274" s="545" t="str">
        <f t="shared" ref="A274" si="884">IF(SUM(P274:V275)&gt;0,"S","N")</f>
        <v>N</v>
      </c>
      <c r="B274" s="526">
        <v>1069626</v>
      </c>
      <c r="C274" s="526" t="s">
        <v>504</v>
      </c>
      <c r="D274" s="527" t="s">
        <v>505</v>
      </c>
      <c r="E274" s="892" t="s">
        <v>506</v>
      </c>
      <c r="F274" s="902" t="s">
        <v>36</v>
      </c>
      <c r="G274" s="528"/>
      <c r="H274" s="546" t="s">
        <v>37</v>
      </c>
      <c r="I274" s="711">
        <v>0</v>
      </c>
      <c r="J274" s="896" t="str">
        <f>IFERROR((I275/I274),"-")</f>
        <v>-</v>
      </c>
      <c r="K274" s="528"/>
      <c r="L274" s="546" t="s">
        <v>37</v>
      </c>
      <c r="M274" s="711">
        <f t="shared" si="777"/>
        <v>0</v>
      </c>
      <c r="N274" s="896" t="str">
        <f>IFERROR((M275/M274),"-")</f>
        <v>-</v>
      </c>
      <c r="O274" s="528"/>
      <c r="P274" s="547">
        <v>0</v>
      </c>
      <c r="Q274" s="547">
        <v>0</v>
      </c>
      <c r="R274" s="547">
        <v>0</v>
      </c>
      <c r="S274" s="547">
        <v>0</v>
      </c>
      <c r="T274" s="547">
        <v>0</v>
      </c>
      <c r="U274" s="547">
        <v>0</v>
      </c>
      <c r="V274" s="548">
        <v>0</v>
      </c>
      <c r="W274" s="528"/>
      <c r="X274" s="711">
        <f t="shared" si="778"/>
        <v>0</v>
      </c>
      <c r="Y274" s="896" t="str">
        <f t="shared" ref="Y274" si="885">IFERROR((X275/X274),"0")</f>
        <v>0</v>
      </c>
      <c r="Z274" s="528"/>
      <c r="AA274" s="898">
        <v>7064.7</v>
      </c>
      <c r="AB274" s="898">
        <v>0</v>
      </c>
      <c r="AC274" s="898">
        <v>0</v>
      </c>
      <c r="AD274" s="900" t="str">
        <f t="shared" ref="AD274" si="886">IFERROR((AC274/AB274),"-")</f>
        <v>-</v>
      </c>
      <c r="AE274" s="2"/>
      <c r="AF274" s="884">
        <v>0</v>
      </c>
      <c r="AG274" s="884"/>
      <c r="AH274" s="884">
        <v>0</v>
      </c>
      <c r="AI274" s="884"/>
      <c r="AJ274" s="884"/>
      <c r="AK274" s="884">
        <f t="shared" ref="AK274" si="887">AF274+AG274+AH274+AI274+AJ274+AC274</f>
        <v>0</v>
      </c>
      <c r="AL274" s="884">
        <v>0</v>
      </c>
      <c r="AM274" s="878" t="str">
        <f t="shared" ref="AM274" si="888">IFERROR((AK274/AL274),"-")</f>
        <v>-</v>
      </c>
      <c r="AN274" s="2"/>
      <c r="AO274" s="884">
        <v>38837</v>
      </c>
      <c r="AP274" s="884">
        <f t="shared" ref="AP274" si="889">AO274-AK274</f>
        <v>38837</v>
      </c>
      <c r="AV274" s="4" t="str">
        <f t="shared" si="870"/>
        <v>Escavação 1ª e 2ª categoria</v>
      </c>
      <c r="AW274" s="4" t="str">
        <f t="shared" si="871"/>
        <v xml:space="preserve">   Alargamento - Escavação, carga e transporte de material 1ª/2ª categoria - Seg.2.5 C 10</v>
      </c>
    </row>
    <row r="275" spans="1:49" ht="15" customHeight="1" outlineLevel="2">
      <c r="A275" s="525" t="str">
        <f t="shared" ref="A275" si="890">A274</f>
        <v>N</v>
      </c>
      <c r="B275" s="526"/>
      <c r="C275" s="526"/>
      <c r="D275" s="527" t="s">
        <v>505</v>
      </c>
      <c r="E275" s="893"/>
      <c r="F275" s="902"/>
      <c r="G275" s="528"/>
      <c r="H275" s="549" t="s">
        <v>38</v>
      </c>
      <c r="I275" s="711">
        <v>0</v>
      </c>
      <c r="J275" s="897"/>
      <c r="K275" s="528"/>
      <c r="L275" s="549" t="s">
        <v>38</v>
      </c>
      <c r="M275" s="711">
        <f t="shared" si="777"/>
        <v>0</v>
      </c>
      <c r="N275" s="897"/>
      <c r="O275" s="528"/>
      <c r="P275" s="711">
        <v>0</v>
      </c>
      <c r="Q275" s="711">
        <v>0</v>
      </c>
      <c r="R275" s="711">
        <v>0</v>
      </c>
      <c r="S275" s="711">
        <v>0</v>
      </c>
      <c r="T275" s="711">
        <v>0</v>
      </c>
      <c r="U275" s="711">
        <v>0</v>
      </c>
      <c r="V275" s="711">
        <v>0</v>
      </c>
      <c r="W275" s="528"/>
      <c r="X275" s="711">
        <f t="shared" si="778"/>
        <v>0</v>
      </c>
      <c r="Y275" s="897"/>
      <c r="Z275" s="528"/>
      <c r="AA275" s="899"/>
      <c r="AB275" s="899"/>
      <c r="AC275" s="899"/>
      <c r="AD275" s="901"/>
      <c r="AE275" s="2"/>
      <c r="AF275" s="885"/>
      <c r="AG275" s="885"/>
      <c r="AH275" s="885"/>
      <c r="AI275" s="885"/>
      <c r="AJ275" s="885"/>
      <c r="AK275" s="885"/>
      <c r="AL275" s="885"/>
      <c r="AM275" s="879"/>
      <c r="AN275" s="2"/>
      <c r="AO275" s="886"/>
      <c r="AP275" s="886"/>
      <c r="AV275" s="4" t="str">
        <f t="shared" si="870"/>
        <v>Escavação 1ª e 2ª categoria</v>
      </c>
      <c r="AW275" s="4" t="str">
        <f t="shared" si="871"/>
        <v xml:space="preserve">   Alargamento - Escavação, carga e transporte de material 1ª/2ª categoria - Seg.2.5 C 10</v>
      </c>
    </row>
    <row r="276" spans="1:49" ht="15" customHeight="1" outlineLevel="2">
      <c r="A276" s="545" t="str">
        <f t="shared" ref="A276" si="891">IF(SUM(P276:V277)&gt;0,"S","N")</f>
        <v>N</v>
      </c>
      <c r="B276" s="526">
        <v>1069627</v>
      </c>
      <c r="C276" s="526" t="s">
        <v>507</v>
      </c>
      <c r="D276" s="527" t="s">
        <v>508</v>
      </c>
      <c r="E276" s="892" t="s">
        <v>509</v>
      </c>
      <c r="F276" s="902" t="s">
        <v>36</v>
      </c>
      <c r="G276" s="528"/>
      <c r="H276" s="546" t="s">
        <v>37</v>
      </c>
      <c r="I276" s="711">
        <v>0</v>
      </c>
      <c r="J276" s="896" t="str">
        <f>IFERROR((I277/I276),"-")</f>
        <v>-</v>
      </c>
      <c r="K276" s="528"/>
      <c r="L276" s="546" t="s">
        <v>37</v>
      </c>
      <c r="M276" s="711">
        <f t="shared" si="777"/>
        <v>0</v>
      </c>
      <c r="N276" s="896" t="str">
        <f>IFERROR((M277/M276),"-")</f>
        <v>-</v>
      </c>
      <c r="O276" s="528"/>
      <c r="P276" s="547">
        <v>0</v>
      </c>
      <c r="Q276" s="547">
        <v>0</v>
      </c>
      <c r="R276" s="547">
        <v>0</v>
      </c>
      <c r="S276" s="547">
        <v>0</v>
      </c>
      <c r="T276" s="547">
        <v>0</v>
      </c>
      <c r="U276" s="547">
        <v>0</v>
      </c>
      <c r="V276" s="548">
        <v>0</v>
      </c>
      <c r="W276" s="528"/>
      <c r="X276" s="711">
        <f t="shared" si="778"/>
        <v>0</v>
      </c>
      <c r="Y276" s="896" t="str">
        <f t="shared" ref="Y276" si="892">IFERROR((X277/X276),"0")</f>
        <v>0</v>
      </c>
      <c r="Z276" s="528"/>
      <c r="AA276" s="898">
        <v>0</v>
      </c>
      <c r="AB276" s="898">
        <v>0</v>
      </c>
      <c r="AC276" s="898">
        <v>0</v>
      </c>
      <c r="AD276" s="900" t="str">
        <f t="shared" ref="AD276" si="893">IFERROR((AC276/AB276),"-")</f>
        <v>-</v>
      </c>
      <c r="AE276" s="2"/>
      <c r="AF276" s="884">
        <v>0</v>
      </c>
      <c r="AG276" s="884"/>
      <c r="AH276" s="884">
        <v>0</v>
      </c>
      <c r="AI276" s="884"/>
      <c r="AJ276" s="884"/>
      <c r="AK276" s="884">
        <f t="shared" ref="AK276" si="894">AF276+AG276+AH276+AI276+AJ276+AC276</f>
        <v>0</v>
      </c>
      <c r="AL276" s="884">
        <v>0</v>
      </c>
      <c r="AM276" s="878" t="str">
        <f t="shared" ref="AM276" si="895">IFERROR((AK276/AL276),"-")</f>
        <v>-</v>
      </c>
      <c r="AN276" s="2"/>
      <c r="AO276" s="884">
        <v>13090</v>
      </c>
      <c r="AP276" s="884">
        <f t="shared" ref="AP276" si="896">AO276-AK276</f>
        <v>13090</v>
      </c>
      <c r="AV276" s="4" t="str">
        <f t="shared" si="870"/>
        <v>Escavação 1ª e 2ª categoria</v>
      </c>
      <c r="AW276" s="4" t="str">
        <f t="shared" si="871"/>
        <v xml:space="preserve">   Alargamento - Escavação, carga e transporte de material 1ª/2ª categoria - Seg.2.5 C 11</v>
      </c>
    </row>
    <row r="277" spans="1:49" ht="15" customHeight="1" outlineLevel="2">
      <c r="A277" s="525" t="str">
        <f t="shared" ref="A277" si="897">A276</f>
        <v>N</v>
      </c>
      <c r="B277" s="526"/>
      <c r="C277" s="526"/>
      <c r="D277" s="527" t="s">
        <v>508</v>
      </c>
      <c r="E277" s="893"/>
      <c r="F277" s="902"/>
      <c r="G277" s="528"/>
      <c r="H277" s="549" t="s">
        <v>38</v>
      </c>
      <c r="I277" s="711">
        <v>0</v>
      </c>
      <c r="J277" s="897"/>
      <c r="K277" s="528"/>
      <c r="L277" s="549" t="s">
        <v>38</v>
      </c>
      <c r="M277" s="711">
        <f t="shared" si="777"/>
        <v>0</v>
      </c>
      <c r="N277" s="897"/>
      <c r="O277" s="528"/>
      <c r="P277" s="711">
        <v>0</v>
      </c>
      <c r="Q277" s="711">
        <v>0</v>
      </c>
      <c r="R277" s="711">
        <v>0</v>
      </c>
      <c r="S277" s="711">
        <v>0</v>
      </c>
      <c r="T277" s="711">
        <v>0</v>
      </c>
      <c r="U277" s="711">
        <v>0</v>
      </c>
      <c r="V277" s="711">
        <v>0</v>
      </c>
      <c r="W277" s="528"/>
      <c r="X277" s="711">
        <f t="shared" si="778"/>
        <v>0</v>
      </c>
      <c r="Y277" s="897"/>
      <c r="Z277" s="528"/>
      <c r="AA277" s="899"/>
      <c r="AB277" s="899"/>
      <c r="AC277" s="899"/>
      <c r="AD277" s="901"/>
      <c r="AE277" s="2"/>
      <c r="AF277" s="885"/>
      <c r="AG277" s="885"/>
      <c r="AH277" s="885"/>
      <c r="AI277" s="885"/>
      <c r="AJ277" s="885"/>
      <c r="AK277" s="885"/>
      <c r="AL277" s="885"/>
      <c r="AM277" s="879"/>
      <c r="AN277" s="2"/>
      <c r="AO277" s="886"/>
      <c r="AP277" s="886"/>
      <c r="AV277" s="4" t="str">
        <f t="shared" si="870"/>
        <v>Escavação 1ª e 2ª categoria</v>
      </c>
      <c r="AW277" s="4" t="str">
        <f t="shared" si="871"/>
        <v xml:space="preserve">   Alargamento - Escavação, carga e transporte de material 1ª/2ª categoria - Seg.2.5 C 11</v>
      </c>
    </row>
    <row r="278" spans="1:49" ht="15" customHeight="1" outlineLevel="2">
      <c r="A278" s="545" t="str">
        <f t="shared" ref="A278" si="898">IF(SUM(P278:V279)&gt;0,"S","N")</f>
        <v>N</v>
      </c>
      <c r="B278" s="526">
        <v>1069628</v>
      </c>
      <c r="C278" s="526" t="s">
        <v>510</v>
      </c>
      <c r="D278" s="527" t="s">
        <v>511</v>
      </c>
      <c r="E278" s="892" t="s">
        <v>512</v>
      </c>
      <c r="F278" s="902" t="s">
        <v>36</v>
      </c>
      <c r="G278" s="528"/>
      <c r="H278" s="546" t="s">
        <v>37</v>
      </c>
      <c r="I278" s="711">
        <v>0</v>
      </c>
      <c r="J278" s="896" t="str">
        <f>IFERROR((I279/I278),"-")</f>
        <v>-</v>
      </c>
      <c r="K278" s="528"/>
      <c r="L278" s="546" t="s">
        <v>37</v>
      </c>
      <c r="M278" s="711">
        <f t="shared" si="777"/>
        <v>0</v>
      </c>
      <c r="N278" s="896" t="str">
        <f>IFERROR((M279/M278),"-")</f>
        <v>-</v>
      </c>
      <c r="O278" s="528"/>
      <c r="P278" s="547">
        <v>0</v>
      </c>
      <c r="Q278" s="547">
        <v>0</v>
      </c>
      <c r="R278" s="547">
        <v>0</v>
      </c>
      <c r="S278" s="547">
        <v>0</v>
      </c>
      <c r="T278" s="547">
        <v>0</v>
      </c>
      <c r="U278" s="547">
        <v>0</v>
      </c>
      <c r="V278" s="548">
        <v>0</v>
      </c>
      <c r="W278" s="528"/>
      <c r="X278" s="711">
        <f t="shared" si="778"/>
        <v>0</v>
      </c>
      <c r="Y278" s="896" t="str">
        <f t="shared" ref="Y278" si="899">IFERROR((X279/X278),"0")</f>
        <v>0</v>
      </c>
      <c r="Z278" s="528"/>
      <c r="AA278" s="898">
        <v>0</v>
      </c>
      <c r="AB278" s="898">
        <v>0</v>
      </c>
      <c r="AC278" s="898">
        <v>0</v>
      </c>
      <c r="AD278" s="900" t="str">
        <f t="shared" ref="AD278" si="900">IFERROR((AC278/AB278),"-")</f>
        <v>-</v>
      </c>
      <c r="AE278" s="2"/>
      <c r="AF278" s="884">
        <v>0</v>
      </c>
      <c r="AG278" s="884"/>
      <c r="AH278" s="884">
        <v>0</v>
      </c>
      <c r="AI278" s="884"/>
      <c r="AJ278" s="884"/>
      <c r="AK278" s="884">
        <f t="shared" ref="AK278" si="901">AF278+AG278+AH278+AI278+AJ278+AC278</f>
        <v>0</v>
      </c>
      <c r="AL278" s="884">
        <v>0</v>
      </c>
      <c r="AM278" s="878" t="str">
        <f t="shared" ref="AM278" si="902">IFERROR((AK278/AL278),"-")</f>
        <v>-</v>
      </c>
      <c r="AN278" s="2"/>
      <c r="AO278" s="884">
        <v>10686</v>
      </c>
      <c r="AP278" s="884">
        <f t="shared" ref="AP278" si="903">AO278-AK278</f>
        <v>10686</v>
      </c>
      <c r="AV278" s="4" t="str">
        <f t="shared" si="870"/>
        <v>Escavação 1ª e 2ª categoria</v>
      </c>
      <c r="AW278" s="4" t="str">
        <f t="shared" si="871"/>
        <v xml:space="preserve">   Alargamento - Escavação, carga e transporte de material 1ª/2ª categoria - Seg.2.5 C 12</v>
      </c>
    </row>
    <row r="279" spans="1:49" ht="15" customHeight="1" outlineLevel="2">
      <c r="A279" s="525" t="str">
        <f t="shared" ref="A279" si="904">A278</f>
        <v>N</v>
      </c>
      <c r="B279" s="526"/>
      <c r="C279" s="526"/>
      <c r="D279" s="527" t="s">
        <v>511</v>
      </c>
      <c r="E279" s="893"/>
      <c r="F279" s="902"/>
      <c r="G279" s="528"/>
      <c r="H279" s="549" t="s">
        <v>38</v>
      </c>
      <c r="I279" s="711">
        <v>0</v>
      </c>
      <c r="J279" s="897"/>
      <c r="K279" s="528"/>
      <c r="L279" s="549" t="s">
        <v>38</v>
      </c>
      <c r="M279" s="711">
        <f t="shared" si="777"/>
        <v>0</v>
      </c>
      <c r="N279" s="897"/>
      <c r="O279" s="528"/>
      <c r="P279" s="711">
        <v>0</v>
      </c>
      <c r="Q279" s="711">
        <v>0</v>
      </c>
      <c r="R279" s="711">
        <v>0</v>
      </c>
      <c r="S279" s="711">
        <v>0</v>
      </c>
      <c r="T279" s="711">
        <v>0</v>
      </c>
      <c r="U279" s="711">
        <v>0</v>
      </c>
      <c r="V279" s="711">
        <v>0</v>
      </c>
      <c r="W279" s="528"/>
      <c r="X279" s="711">
        <f t="shared" si="778"/>
        <v>0</v>
      </c>
      <c r="Y279" s="897"/>
      <c r="Z279" s="528"/>
      <c r="AA279" s="899"/>
      <c r="AB279" s="899"/>
      <c r="AC279" s="899"/>
      <c r="AD279" s="901"/>
      <c r="AE279" s="2"/>
      <c r="AF279" s="885"/>
      <c r="AG279" s="885"/>
      <c r="AH279" s="885"/>
      <c r="AI279" s="885"/>
      <c r="AJ279" s="885"/>
      <c r="AK279" s="885"/>
      <c r="AL279" s="885"/>
      <c r="AM279" s="879"/>
      <c r="AN279" s="2"/>
      <c r="AO279" s="886"/>
      <c r="AP279" s="886"/>
      <c r="AV279" s="4" t="str">
        <f t="shared" si="870"/>
        <v>Escavação 1ª e 2ª categoria</v>
      </c>
      <c r="AW279" s="4" t="str">
        <f t="shared" si="871"/>
        <v xml:space="preserve">   Alargamento - Escavação, carga e transporte de material 1ª/2ª categoria - Seg.2.5 C 12</v>
      </c>
    </row>
    <row r="280" spans="1:49" ht="15" customHeight="1" outlineLevel="2">
      <c r="A280" s="545" t="str">
        <f t="shared" ref="A280" si="905">IF(SUM(P280:V281)&gt;0,"S","N")</f>
        <v>S</v>
      </c>
      <c r="B280" s="526">
        <v>1069651</v>
      </c>
      <c r="C280" s="526" t="s">
        <v>513</v>
      </c>
      <c r="D280" s="527" t="s">
        <v>514</v>
      </c>
      <c r="E280" s="892" t="s">
        <v>515</v>
      </c>
      <c r="F280" s="902" t="s">
        <v>36</v>
      </c>
      <c r="G280" s="528"/>
      <c r="H280" s="546" t="s">
        <v>37</v>
      </c>
      <c r="I280" s="711">
        <v>8000</v>
      </c>
      <c r="J280" s="896">
        <f>IFERROR((I281/I280),"-")</f>
        <v>3.71</v>
      </c>
      <c r="K280" s="528"/>
      <c r="L280" s="546" t="s">
        <v>37</v>
      </c>
      <c r="M280" s="711">
        <f t="shared" si="777"/>
        <v>2800</v>
      </c>
      <c r="N280" s="896">
        <f>IFERROR((M281/M280),"-")</f>
        <v>2.85</v>
      </c>
      <c r="O280" s="528"/>
      <c r="P280" s="547">
        <v>2800</v>
      </c>
      <c r="Q280" s="547">
        <v>2800</v>
      </c>
      <c r="R280" s="547">
        <v>2800</v>
      </c>
      <c r="S280" s="547">
        <v>2800</v>
      </c>
      <c r="T280" s="547">
        <v>2400</v>
      </c>
      <c r="U280" s="547">
        <v>2400</v>
      </c>
      <c r="V280" s="548">
        <v>0</v>
      </c>
      <c r="W280" s="528"/>
      <c r="X280" s="711">
        <f t="shared" si="778"/>
        <v>5600</v>
      </c>
      <c r="Y280" s="896">
        <f t="shared" ref="Y280" si="906">IFERROR((X281/X280),"0")</f>
        <v>2.9982142857142855</v>
      </c>
      <c r="Z280" s="528"/>
      <c r="AA280" s="898">
        <v>0</v>
      </c>
      <c r="AB280" s="898">
        <v>0</v>
      </c>
      <c r="AC280" s="898">
        <v>67730</v>
      </c>
      <c r="AD280" s="900" t="str">
        <f t="shared" ref="AD280" si="907">IFERROR((AC280/AB280),"-")</f>
        <v>-</v>
      </c>
      <c r="AE280" s="2"/>
      <c r="AF280" s="884">
        <v>0</v>
      </c>
      <c r="AG280" s="884"/>
      <c r="AH280" s="884">
        <v>22940</v>
      </c>
      <c r="AI280" s="884"/>
      <c r="AJ280" s="884">
        <v>8890.0300000000007</v>
      </c>
      <c r="AK280" s="884">
        <f t="shared" ref="AK280" si="908">AF280+AG280+AH280+AI280+AJ280+AC280</f>
        <v>99560.03</v>
      </c>
      <c r="AL280" s="884">
        <v>16216.979999999994</v>
      </c>
      <c r="AM280" s="878">
        <f t="shared" ref="AM280" si="909">IFERROR((AK280/AL280),"-")</f>
        <v>6.1392460248455656</v>
      </c>
      <c r="AN280" s="2"/>
      <c r="AO280" s="884">
        <v>110731</v>
      </c>
      <c r="AP280" s="884">
        <f t="shared" ref="AP280" si="910">AO280-AK280</f>
        <v>11170.970000000001</v>
      </c>
      <c r="AV280" s="4" t="str">
        <f t="shared" si="870"/>
        <v>Escavação 1ª e 2ª categoria</v>
      </c>
      <c r="AW280" s="4" t="str">
        <f t="shared" si="871"/>
        <v xml:space="preserve">   Escavação, carga e transporte de material 1ª/2ª categoria - Seg.2.5</v>
      </c>
    </row>
    <row r="281" spans="1:49" ht="15" customHeight="1" outlineLevel="2">
      <c r="A281" s="525" t="str">
        <f t="shared" ref="A281" si="911">A280</f>
        <v>S</v>
      </c>
      <c r="B281" s="526"/>
      <c r="C281" s="526"/>
      <c r="D281" s="527" t="s">
        <v>514</v>
      </c>
      <c r="E281" s="893"/>
      <c r="F281" s="902"/>
      <c r="G281" s="528"/>
      <c r="H281" s="549" t="s">
        <v>38</v>
      </c>
      <c r="I281" s="711">
        <v>29680</v>
      </c>
      <c r="J281" s="897"/>
      <c r="K281" s="528"/>
      <c r="L281" s="549" t="s">
        <v>38</v>
      </c>
      <c r="M281" s="711">
        <f t="shared" si="777"/>
        <v>7980</v>
      </c>
      <c r="N281" s="897"/>
      <c r="O281" s="528"/>
      <c r="P281" s="711">
        <v>8810</v>
      </c>
      <c r="Q281" s="711">
        <v>7980</v>
      </c>
      <c r="R281" s="711">
        <v>0</v>
      </c>
      <c r="S281" s="711">
        <v>0</v>
      </c>
      <c r="T281" s="711">
        <v>0</v>
      </c>
      <c r="U281" s="711">
        <v>0</v>
      </c>
      <c r="V281" s="711">
        <v>0</v>
      </c>
      <c r="W281" s="528"/>
      <c r="X281" s="711">
        <f t="shared" si="778"/>
        <v>16790</v>
      </c>
      <c r="Y281" s="897"/>
      <c r="Z281" s="528"/>
      <c r="AA281" s="899"/>
      <c r="AB281" s="899"/>
      <c r="AC281" s="899"/>
      <c r="AD281" s="901"/>
      <c r="AE281" s="2"/>
      <c r="AF281" s="885"/>
      <c r="AG281" s="885"/>
      <c r="AH281" s="885"/>
      <c r="AI281" s="885"/>
      <c r="AJ281" s="885"/>
      <c r="AK281" s="885"/>
      <c r="AL281" s="885"/>
      <c r="AM281" s="879"/>
      <c r="AN281" s="2"/>
      <c r="AO281" s="886"/>
      <c r="AP281" s="886"/>
      <c r="AV281" s="4" t="str">
        <f t="shared" si="870"/>
        <v>Escavação 1ª e 2ª categoria</v>
      </c>
      <c r="AW281" s="4" t="str">
        <f t="shared" si="871"/>
        <v xml:space="preserve">   Escavação, carga e transporte de material 1ª/2ª categoria - Seg.2.5</v>
      </c>
    </row>
    <row r="282" spans="1:49" ht="15" customHeight="1" outlineLevel="2">
      <c r="A282" s="545" t="str">
        <f>IF(SUM(P282:V283)&gt;0,"S","N")</f>
        <v>N</v>
      </c>
      <c r="B282" s="673">
        <v>1069996</v>
      </c>
      <c r="C282" s="673" t="s">
        <v>516</v>
      </c>
      <c r="D282" s="674"/>
      <c r="E282" s="931" t="s">
        <v>517</v>
      </c>
      <c r="F282" s="902" t="s">
        <v>36</v>
      </c>
      <c r="G282" s="528"/>
      <c r="H282" s="546" t="s">
        <v>37</v>
      </c>
      <c r="I282" s="711">
        <v>0</v>
      </c>
      <c r="J282" s="896" t="str">
        <f>IFERROR((I283/I282),"-")</f>
        <v>-</v>
      </c>
      <c r="K282" s="528"/>
      <c r="L282" s="546" t="s">
        <v>37</v>
      </c>
      <c r="M282" s="711">
        <f>_xlfn.XLOOKUP($N$8,$P$8:$V$8,$P282:$V282)</f>
        <v>0</v>
      </c>
      <c r="N282" s="896" t="str">
        <f>IFERROR((M283/M282),"-")</f>
        <v>-</v>
      </c>
      <c r="O282" s="528"/>
      <c r="P282" s="547">
        <v>0</v>
      </c>
      <c r="Q282" s="547">
        <v>0</v>
      </c>
      <c r="R282" s="547">
        <v>0</v>
      </c>
      <c r="S282" s="547">
        <v>0</v>
      </c>
      <c r="T282" s="547">
        <v>0</v>
      </c>
      <c r="U282" s="547">
        <v>0</v>
      </c>
      <c r="V282" s="548">
        <v>0</v>
      </c>
      <c r="W282" s="528"/>
      <c r="X282" s="711">
        <f>SUMIFS(P282:V282,$P$8:$V$8,"&gt;="&amp;$P$8,$P$8:$V$8,"&lt;="&amp;$N$8)</f>
        <v>0</v>
      </c>
      <c r="Y282" s="896" t="str">
        <f>IFERROR((X283/X282),"0")</f>
        <v>0</v>
      </c>
      <c r="Z282" s="528"/>
      <c r="AA282" s="898">
        <v>0</v>
      </c>
      <c r="AB282" s="898">
        <v>0</v>
      </c>
      <c r="AC282" s="898">
        <v>0</v>
      </c>
      <c r="AD282" s="900" t="str">
        <f>IFERROR((AC282/AB282),"-")</f>
        <v>-</v>
      </c>
      <c r="AE282" s="2"/>
      <c r="AF282" s="884">
        <v>0</v>
      </c>
      <c r="AG282" s="884"/>
      <c r="AH282" s="884">
        <v>0</v>
      </c>
      <c r="AI282" s="884"/>
      <c r="AJ282" s="884"/>
      <c r="AK282" s="884">
        <f t="shared" ref="AK282" si="912">AF282+AG282+AH282+AI282+AJ282+AC282</f>
        <v>0</v>
      </c>
      <c r="AL282" s="884">
        <v>0</v>
      </c>
      <c r="AM282" s="878" t="str">
        <f t="shared" ref="AM282" si="913">IFERROR((AK282/AL282),"-")</f>
        <v>-</v>
      </c>
      <c r="AN282" s="2"/>
      <c r="AO282" s="884">
        <v>0</v>
      </c>
      <c r="AP282" s="884">
        <f t="shared" ref="AP282" si="914">AO282-AK282</f>
        <v>0</v>
      </c>
      <c r="AV282" s="4" t="str">
        <f t="shared" si="870"/>
        <v>Escavação 1ª e 2ª categoria</v>
      </c>
      <c r="AW282" s="4" t="str">
        <f t="shared" si="871"/>
        <v xml:space="preserve">   Saldo remanescente seg.2.5 - Escavação, carga e transporte de material 1ª/2ª categoria</v>
      </c>
    </row>
    <row r="283" spans="1:49" ht="15" customHeight="1" outlineLevel="2">
      <c r="A283" s="525" t="str">
        <f t="shared" ref="A283" si="915">A282</f>
        <v>N</v>
      </c>
      <c r="B283" s="673">
        <v>1069996</v>
      </c>
      <c r="C283" s="673" t="s">
        <v>516</v>
      </c>
      <c r="D283" s="674"/>
      <c r="E283" s="932"/>
      <c r="F283" s="902"/>
      <c r="G283" s="528"/>
      <c r="H283" s="549" t="s">
        <v>38</v>
      </c>
      <c r="I283" s="711">
        <v>0</v>
      </c>
      <c r="J283" s="897"/>
      <c r="K283" s="528"/>
      <c r="L283" s="549" t="s">
        <v>38</v>
      </c>
      <c r="M283" s="711">
        <f>_xlfn.XLOOKUP($N$8,$P$8:$V$8,$P283:$V283)</f>
        <v>0</v>
      </c>
      <c r="N283" s="897"/>
      <c r="O283" s="528"/>
      <c r="P283" s="711">
        <v>0</v>
      </c>
      <c r="Q283" s="711">
        <v>0</v>
      </c>
      <c r="R283" s="711">
        <v>0</v>
      </c>
      <c r="S283" s="711">
        <v>0</v>
      </c>
      <c r="T283" s="711">
        <v>0</v>
      </c>
      <c r="U283" s="711">
        <v>0</v>
      </c>
      <c r="V283" s="711">
        <v>0</v>
      </c>
      <c r="W283" s="528"/>
      <c r="X283" s="711">
        <f>SUMIFS(P283:V283,$P$8:$V$8,"&gt;="&amp;$P$8,$P$8:$V$8,"&lt;="&amp;$N$8)</f>
        <v>0</v>
      </c>
      <c r="Y283" s="897"/>
      <c r="Z283" s="528"/>
      <c r="AA283" s="899"/>
      <c r="AB283" s="899"/>
      <c r="AC283" s="899"/>
      <c r="AD283" s="901"/>
      <c r="AE283" s="2"/>
      <c r="AF283" s="885"/>
      <c r="AG283" s="885"/>
      <c r="AH283" s="885"/>
      <c r="AI283" s="885"/>
      <c r="AJ283" s="885"/>
      <c r="AK283" s="885"/>
      <c r="AL283" s="885"/>
      <c r="AM283" s="879"/>
      <c r="AN283" s="2"/>
      <c r="AO283" s="886"/>
      <c r="AP283" s="886"/>
      <c r="AV283" s="4" t="str">
        <f t="shared" si="870"/>
        <v>Escavação 1ª e 2ª categoria</v>
      </c>
      <c r="AW283" s="4" t="str">
        <f t="shared" si="871"/>
        <v xml:space="preserve">   Saldo remanescente seg.2.5 - Escavação, carga e transporte de material 1ª/2ª categoria</v>
      </c>
    </row>
    <row r="284" spans="1:49" ht="15" customHeight="1" outlineLevel="2">
      <c r="A284" s="545" t="str">
        <f t="shared" ref="A284" si="916">IF(SUM(P284:V285)&gt;0,"S","N")</f>
        <v>N</v>
      </c>
      <c r="B284" s="526" t="s">
        <v>266</v>
      </c>
      <c r="C284" s="526" t="s">
        <v>266</v>
      </c>
      <c r="D284" s="527" t="s">
        <v>518</v>
      </c>
      <c r="E284" s="931" t="s">
        <v>519</v>
      </c>
      <c r="F284" s="902" t="s">
        <v>36</v>
      </c>
      <c r="G284" s="528"/>
      <c r="H284" s="546" t="s">
        <v>37</v>
      </c>
      <c r="I284" s="711">
        <v>0</v>
      </c>
      <c r="J284" s="896" t="str">
        <f>IFERROR((I285/I284),"-")</f>
        <v>-</v>
      </c>
      <c r="K284" s="528"/>
      <c r="L284" s="546" t="s">
        <v>37</v>
      </c>
      <c r="M284" s="711">
        <f t="shared" ref="M284:M307" si="917">_xlfn.XLOOKUP($N$8,$P$8:$V$8,$P284:$V284)</f>
        <v>0</v>
      </c>
      <c r="N284" s="896" t="str">
        <f>IFERROR((M285/M284),"-")</f>
        <v>-</v>
      </c>
      <c r="O284" s="528"/>
      <c r="P284" s="547">
        <v>0</v>
      </c>
      <c r="Q284" s="547">
        <v>0</v>
      </c>
      <c r="R284" s="547">
        <v>0</v>
      </c>
      <c r="S284" s="547">
        <v>0</v>
      </c>
      <c r="T284" s="547">
        <v>0</v>
      </c>
      <c r="U284" s="547">
        <v>0</v>
      </c>
      <c r="V284" s="548">
        <v>0</v>
      </c>
      <c r="W284" s="528"/>
      <c r="X284" s="711">
        <f t="shared" ref="X284:X307" si="918">SUMIFS(P284:V284,$P$8:$V$8,"&gt;="&amp;$P$8,$P$8:$V$8,"&lt;="&amp;$N$8)</f>
        <v>0</v>
      </c>
      <c r="Y284" s="896" t="str">
        <f>IFERROR((X285/X284),"0")</f>
        <v>0</v>
      </c>
      <c r="Z284" s="528"/>
      <c r="AA284" s="898">
        <v>0</v>
      </c>
      <c r="AB284" s="898">
        <v>0</v>
      </c>
      <c r="AC284" s="898">
        <v>12670</v>
      </c>
      <c r="AD284" s="900" t="str">
        <f t="shared" ref="AD284" si="919">IFERROR((AC284/AB284),"-")</f>
        <v>-</v>
      </c>
      <c r="AE284" s="2"/>
      <c r="AF284" s="884">
        <v>0</v>
      </c>
      <c r="AG284" s="884"/>
      <c r="AH284" s="884">
        <v>5900</v>
      </c>
      <c r="AI284" s="884"/>
      <c r="AJ284" s="884"/>
      <c r="AK284" s="884">
        <f t="shared" ref="AK284" si="920">AF284+AG284+AH284+AI284+AJ284+AC284</f>
        <v>18570</v>
      </c>
      <c r="AL284" s="884">
        <v>0</v>
      </c>
      <c r="AM284" s="878" t="str">
        <f t="shared" ref="AM284" si="921">IFERROR((AK284/AL284),"-")</f>
        <v>-</v>
      </c>
      <c r="AN284" s="2"/>
      <c r="AO284" s="884">
        <v>0</v>
      </c>
      <c r="AP284" s="884">
        <f t="shared" ref="AP284" si="922">AO284-AK284</f>
        <v>-18570</v>
      </c>
      <c r="AV284" s="4" t="str">
        <f t="shared" si="870"/>
        <v>Escavação 1ª e 2ª categoria</v>
      </c>
      <c r="AW284" s="4" t="str">
        <f t="shared" si="871"/>
        <v xml:space="preserve">   Escavação, carga e transporte de material 1ª/2ª categoria  - Aterro 11</v>
      </c>
    </row>
    <row r="285" spans="1:49" ht="15" customHeight="1" outlineLevel="2">
      <c r="A285" s="525" t="str">
        <f t="shared" ref="A285" si="923">A284</f>
        <v>N</v>
      </c>
      <c r="B285" s="526" t="s">
        <v>416</v>
      </c>
      <c r="C285" s="526" t="s">
        <v>416</v>
      </c>
      <c r="D285" s="527" t="s">
        <v>518</v>
      </c>
      <c r="E285" s="932"/>
      <c r="F285" s="902"/>
      <c r="G285" s="528"/>
      <c r="H285" s="549" t="s">
        <v>38</v>
      </c>
      <c r="I285" s="712">
        <v>6900</v>
      </c>
      <c r="J285" s="897"/>
      <c r="K285" s="528"/>
      <c r="L285" s="549" t="s">
        <v>38</v>
      </c>
      <c r="M285" s="711">
        <f t="shared" si="917"/>
        <v>0</v>
      </c>
      <c r="N285" s="897"/>
      <c r="O285" s="528"/>
      <c r="P285" s="711">
        <v>0</v>
      </c>
      <c r="Q285" s="711">
        <v>0</v>
      </c>
      <c r="R285" s="711">
        <v>0</v>
      </c>
      <c r="S285" s="711">
        <v>0</v>
      </c>
      <c r="T285" s="711">
        <v>0</v>
      </c>
      <c r="U285" s="711">
        <v>0</v>
      </c>
      <c r="V285" s="711">
        <v>0</v>
      </c>
      <c r="W285" s="528"/>
      <c r="X285" s="711">
        <f t="shared" si="918"/>
        <v>0</v>
      </c>
      <c r="Y285" s="897"/>
      <c r="Z285" s="528"/>
      <c r="AA285" s="899"/>
      <c r="AB285" s="899"/>
      <c r="AC285" s="899"/>
      <c r="AD285" s="901"/>
      <c r="AE285" s="2"/>
      <c r="AF285" s="885"/>
      <c r="AG285" s="885"/>
      <c r="AH285" s="885"/>
      <c r="AI285" s="885"/>
      <c r="AJ285" s="885"/>
      <c r="AK285" s="885"/>
      <c r="AL285" s="885"/>
      <c r="AM285" s="879"/>
      <c r="AN285" s="2"/>
      <c r="AO285" s="886"/>
      <c r="AP285" s="886"/>
      <c r="AV285" s="4" t="str">
        <f t="shared" si="870"/>
        <v>Escavação 1ª e 2ª categoria</v>
      </c>
      <c r="AW285" s="4" t="str">
        <f t="shared" si="871"/>
        <v xml:space="preserve">   Escavação, carga e transporte de material 1ª/2ª categoria  - Aterro 11</v>
      </c>
    </row>
    <row r="286" spans="1:49" ht="15" customHeight="1" outlineLevel="2">
      <c r="A286" s="545" t="str">
        <f t="shared" ref="A286" si="924">IF(SUM(P286:V287)&gt;0,"S","N")</f>
        <v>S</v>
      </c>
      <c r="B286" s="526" t="s">
        <v>266</v>
      </c>
      <c r="C286" s="526" t="s">
        <v>266</v>
      </c>
      <c r="D286" s="527" t="s">
        <v>520</v>
      </c>
      <c r="E286" s="931" t="s">
        <v>521</v>
      </c>
      <c r="F286" s="902" t="s">
        <v>36</v>
      </c>
      <c r="G286" s="528"/>
      <c r="H286" s="546" t="s">
        <v>37</v>
      </c>
      <c r="I286" s="711">
        <v>0</v>
      </c>
      <c r="J286" s="896" t="str">
        <f>IFERROR((I287/I286),"-")</f>
        <v>-</v>
      </c>
      <c r="K286" s="528"/>
      <c r="L286" s="546" t="s">
        <v>37</v>
      </c>
      <c r="M286" s="711">
        <f t="shared" si="917"/>
        <v>0</v>
      </c>
      <c r="N286" s="896" t="str">
        <f>IFERROR((M287/M286),"-")</f>
        <v>-</v>
      </c>
      <c r="O286" s="528"/>
      <c r="P286" s="547">
        <v>0</v>
      </c>
      <c r="Q286" s="547">
        <v>0</v>
      </c>
      <c r="R286" s="547">
        <v>0</v>
      </c>
      <c r="S286" s="547">
        <v>0</v>
      </c>
      <c r="T286" s="547">
        <v>0</v>
      </c>
      <c r="U286" s="547">
        <v>0</v>
      </c>
      <c r="V286" s="548">
        <v>0</v>
      </c>
      <c r="W286" s="528"/>
      <c r="X286" s="711">
        <f t="shared" si="918"/>
        <v>0</v>
      </c>
      <c r="Y286" s="896" t="str">
        <f>IFERROR((X287/X286),"0")</f>
        <v>0</v>
      </c>
      <c r="Z286" s="528"/>
      <c r="AA286" s="898">
        <v>0</v>
      </c>
      <c r="AB286" s="898">
        <v>0</v>
      </c>
      <c r="AC286" s="898">
        <v>2270</v>
      </c>
      <c r="AD286" s="900" t="str">
        <f t="shared" ref="AD286" si="925">IFERROR((AC286/AB286),"-")</f>
        <v>-</v>
      </c>
      <c r="AE286" s="2"/>
      <c r="AF286" s="884">
        <v>0</v>
      </c>
      <c r="AG286" s="884"/>
      <c r="AH286" s="884">
        <v>3860</v>
      </c>
      <c r="AI286" s="884"/>
      <c r="AJ286" s="884"/>
      <c r="AK286" s="884">
        <f t="shared" ref="AK286" si="926">AF286+AG286+AH286+AI286+AJ286+AC286</f>
        <v>6130</v>
      </c>
      <c r="AL286" s="884">
        <v>0</v>
      </c>
      <c r="AM286" s="878" t="str">
        <f t="shared" ref="AM286" si="927">IFERROR((AK286/AL286),"-")</f>
        <v>-</v>
      </c>
      <c r="AN286" s="2"/>
      <c r="AO286" s="884">
        <v>0</v>
      </c>
      <c r="AP286" s="884">
        <f t="shared" ref="AP286" si="928">AO286-AK286</f>
        <v>-6130</v>
      </c>
      <c r="AV286" s="4" t="str">
        <f t="shared" si="870"/>
        <v>Escavação 1ª e 2ª categoria</v>
      </c>
      <c r="AW286" s="4" t="str">
        <f t="shared" si="871"/>
        <v xml:space="preserve">   Escavação, carga e transporte de material 1ª/2ª categoria  - Aterro  13</v>
      </c>
    </row>
    <row r="287" spans="1:49" ht="15" customHeight="1" outlineLevel="2">
      <c r="A287" s="525" t="str">
        <f t="shared" ref="A287" si="929">A286</f>
        <v>S</v>
      </c>
      <c r="B287" s="526"/>
      <c r="C287" s="526"/>
      <c r="D287" s="527" t="s">
        <v>520</v>
      </c>
      <c r="E287" s="932"/>
      <c r="F287" s="902"/>
      <c r="G287" s="528"/>
      <c r="H287" s="549" t="s">
        <v>38</v>
      </c>
      <c r="I287" s="711">
        <v>990</v>
      </c>
      <c r="J287" s="897"/>
      <c r="K287" s="528"/>
      <c r="L287" s="549" t="s">
        <v>38</v>
      </c>
      <c r="M287" s="711">
        <f t="shared" si="917"/>
        <v>740</v>
      </c>
      <c r="N287" s="897"/>
      <c r="O287" s="528"/>
      <c r="P287" s="711">
        <v>540</v>
      </c>
      <c r="Q287" s="711">
        <v>740</v>
      </c>
      <c r="R287" s="711">
        <v>0</v>
      </c>
      <c r="S287" s="711">
        <v>0</v>
      </c>
      <c r="T287" s="711">
        <v>0</v>
      </c>
      <c r="U287" s="711">
        <v>0</v>
      </c>
      <c r="V287" s="711">
        <v>0</v>
      </c>
      <c r="W287" s="528"/>
      <c r="X287" s="711">
        <f t="shared" si="918"/>
        <v>1280</v>
      </c>
      <c r="Y287" s="897"/>
      <c r="Z287" s="528"/>
      <c r="AA287" s="899"/>
      <c r="AB287" s="899"/>
      <c r="AC287" s="899"/>
      <c r="AD287" s="901"/>
      <c r="AE287" s="2"/>
      <c r="AF287" s="885"/>
      <c r="AG287" s="885"/>
      <c r="AH287" s="885"/>
      <c r="AI287" s="885"/>
      <c r="AJ287" s="885"/>
      <c r="AK287" s="885"/>
      <c r="AL287" s="885"/>
      <c r="AM287" s="879"/>
      <c r="AN287" s="2"/>
      <c r="AO287" s="886"/>
      <c r="AP287" s="886"/>
      <c r="AV287" s="4" t="str">
        <f t="shared" si="870"/>
        <v>Escavação 1ª e 2ª categoria</v>
      </c>
      <c r="AW287" s="4" t="str">
        <f t="shared" si="871"/>
        <v xml:space="preserve">   Escavação, carga e transporte de material 1ª/2ª categoria  - Aterro  13</v>
      </c>
    </row>
    <row r="288" spans="1:49" ht="15" customHeight="1" outlineLevel="2">
      <c r="A288" s="545" t="str">
        <f t="shared" ref="A288" si="930">IF(SUM(P288:V289)&gt;0,"S","N")</f>
        <v>N</v>
      </c>
      <c r="B288" s="526" t="s">
        <v>266</v>
      </c>
      <c r="C288" s="526" t="s">
        <v>266</v>
      </c>
      <c r="D288" s="527" t="s">
        <v>522</v>
      </c>
      <c r="E288" s="931" t="s">
        <v>523</v>
      </c>
      <c r="F288" s="902" t="s">
        <v>36</v>
      </c>
      <c r="G288" s="528"/>
      <c r="H288" s="546" t="s">
        <v>37</v>
      </c>
      <c r="I288" s="711">
        <v>0</v>
      </c>
      <c r="J288" s="896" t="str">
        <f>IFERROR((I289/I288),"-")</f>
        <v>-</v>
      </c>
      <c r="K288" s="528"/>
      <c r="L288" s="546" t="s">
        <v>37</v>
      </c>
      <c r="M288" s="711">
        <f t="shared" si="917"/>
        <v>0</v>
      </c>
      <c r="N288" s="896" t="str">
        <f>IFERROR((M289/M288),"-")</f>
        <v>-</v>
      </c>
      <c r="O288" s="528"/>
      <c r="P288" s="547">
        <v>0</v>
      </c>
      <c r="Q288" s="547">
        <v>0</v>
      </c>
      <c r="R288" s="547">
        <v>0</v>
      </c>
      <c r="S288" s="547">
        <v>0</v>
      </c>
      <c r="T288" s="547">
        <v>0</v>
      </c>
      <c r="U288" s="547">
        <v>0</v>
      </c>
      <c r="V288" s="548">
        <v>0</v>
      </c>
      <c r="W288" s="528"/>
      <c r="X288" s="711">
        <f t="shared" si="918"/>
        <v>0</v>
      </c>
      <c r="Y288" s="896" t="str">
        <f>IFERROR((X289/X288),"0")</f>
        <v>0</v>
      </c>
      <c r="Z288" s="528"/>
      <c r="AA288" s="898">
        <v>0</v>
      </c>
      <c r="AB288" s="898">
        <v>0</v>
      </c>
      <c r="AC288" s="898">
        <v>0</v>
      </c>
      <c r="AD288" s="900" t="str">
        <f t="shared" ref="AD288" si="931">IFERROR((AC288/AB288),"-")</f>
        <v>-</v>
      </c>
      <c r="AE288" s="2"/>
      <c r="AF288" s="884">
        <v>0</v>
      </c>
      <c r="AG288" s="884"/>
      <c r="AH288" s="884">
        <v>0</v>
      </c>
      <c r="AI288" s="884"/>
      <c r="AJ288" s="884"/>
      <c r="AK288" s="884">
        <f t="shared" ref="AK288" si="932">AF288+AG288+AH288+AI288+AJ288+AC288</f>
        <v>0</v>
      </c>
      <c r="AL288" s="884">
        <v>0</v>
      </c>
      <c r="AM288" s="878" t="str">
        <f t="shared" ref="AM288" si="933">IFERROR((AK288/AL288),"-")</f>
        <v>-</v>
      </c>
      <c r="AN288" s="2"/>
      <c r="AO288" s="884">
        <v>0</v>
      </c>
      <c r="AP288" s="884">
        <f t="shared" ref="AP288" si="934">AO288-AK288</f>
        <v>0</v>
      </c>
      <c r="AV288" s="4" t="str">
        <f t="shared" si="870"/>
        <v>Escavação 1ª e 2ª categoria</v>
      </c>
      <c r="AW288" s="4" t="str">
        <f t="shared" si="871"/>
        <v xml:space="preserve">   Escavação, carga e transporte de material 1ª/2ª categoria  - Corte 1 - Alargamento</v>
      </c>
    </row>
    <row r="289" spans="1:49" ht="15" customHeight="1" outlineLevel="2">
      <c r="A289" s="525" t="str">
        <f t="shared" ref="A289" si="935">A288</f>
        <v>N</v>
      </c>
      <c r="B289" s="526" t="s">
        <v>416</v>
      </c>
      <c r="C289" s="526" t="s">
        <v>416</v>
      </c>
      <c r="D289" s="527" t="s">
        <v>522</v>
      </c>
      <c r="E289" s="932"/>
      <c r="F289" s="902"/>
      <c r="G289" s="528"/>
      <c r="H289" s="549" t="s">
        <v>38</v>
      </c>
      <c r="I289" s="711">
        <v>0</v>
      </c>
      <c r="J289" s="897"/>
      <c r="K289" s="528"/>
      <c r="L289" s="549" t="s">
        <v>38</v>
      </c>
      <c r="M289" s="711">
        <f t="shared" si="917"/>
        <v>0</v>
      </c>
      <c r="N289" s="897"/>
      <c r="O289" s="528"/>
      <c r="P289" s="711">
        <v>0</v>
      </c>
      <c r="Q289" s="711">
        <v>0</v>
      </c>
      <c r="R289" s="711">
        <v>0</v>
      </c>
      <c r="S289" s="711">
        <v>0</v>
      </c>
      <c r="T289" s="711">
        <v>0</v>
      </c>
      <c r="U289" s="711">
        <v>0</v>
      </c>
      <c r="V289" s="711">
        <v>0</v>
      </c>
      <c r="W289" s="528"/>
      <c r="X289" s="711">
        <f t="shared" si="918"/>
        <v>0</v>
      </c>
      <c r="Y289" s="897"/>
      <c r="Z289" s="528"/>
      <c r="AA289" s="899"/>
      <c r="AB289" s="899"/>
      <c r="AC289" s="899"/>
      <c r="AD289" s="901"/>
      <c r="AE289" s="2"/>
      <c r="AF289" s="885"/>
      <c r="AG289" s="885"/>
      <c r="AH289" s="885"/>
      <c r="AI289" s="885"/>
      <c r="AJ289" s="885"/>
      <c r="AK289" s="885"/>
      <c r="AL289" s="885"/>
      <c r="AM289" s="879"/>
      <c r="AN289" s="2"/>
      <c r="AO289" s="886"/>
      <c r="AP289" s="886"/>
      <c r="AV289" s="4" t="str">
        <f t="shared" si="870"/>
        <v>Escavação 1ª e 2ª categoria</v>
      </c>
      <c r="AW289" s="4" t="str">
        <f t="shared" si="871"/>
        <v xml:space="preserve">   Escavação, carga e transporte de material 1ª/2ª categoria  - Corte 1 - Alargamento</v>
      </c>
    </row>
    <row r="290" spans="1:49" ht="15" customHeight="1" outlineLevel="2">
      <c r="A290" s="545" t="str">
        <f t="shared" ref="A290" si="936">IF(SUM(P290:V291)&gt;0,"S","N")</f>
        <v>N</v>
      </c>
      <c r="B290" s="526" t="s">
        <v>266</v>
      </c>
      <c r="C290" s="526" t="s">
        <v>266</v>
      </c>
      <c r="D290" s="527" t="s">
        <v>524</v>
      </c>
      <c r="E290" s="931" t="s">
        <v>525</v>
      </c>
      <c r="F290" s="902" t="s">
        <v>36</v>
      </c>
      <c r="G290" s="528"/>
      <c r="H290" s="546" t="s">
        <v>37</v>
      </c>
      <c r="I290" s="711">
        <v>0</v>
      </c>
      <c r="J290" s="896" t="str">
        <f>IFERROR((I291/I290),"-")</f>
        <v>-</v>
      </c>
      <c r="K290" s="528"/>
      <c r="L290" s="546" t="s">
        <v>37</v>
      </c>
      <c r="M290" s="711">
        <f t="shared" si="917"/>
        <v>0</v>
      </c>
      <c r="N290" s="896" t="str">
        <f>IFERROR((M291/M290),"-")</f>
        <v>-</v>
      </c>
      <c r="O290" s="528"/>
      <c r="P290" s="547">
        <v>0</v>
      </c>
      <c r="Q290" s="547">
        <v>0</v>
      </c>
      <c r="R290" s="547">
        <v>0</v>
      </c>
      <c r="S290" s="547">
        <v>0</v>
      </c>
      <c r="T290" s="547">
        <v>0</v>
      </c>
      <c r="U290" s="547">
        <v>0</v>
      </c>
      <c r="V290" s="548">
        <v>0</v>
      </c>
      <c r="W290" s="528"/>
      <c r="X290" s="711">
        <f t="shared" si="918"/>
        <v>0</v>
      </c>
      <c r="Y290" s="896" t="str">
        <f>IFERROR((X291/X290),"0")</f>
        <v>0</v>
      </c>
      <c r="Z290" s="528"/>
      <c r="AA290" s="898">
        <v>0</v>
      </c>
      <c r="AB290" s="898">
        <v>0</v>
      </c>
      <c r="AC290" s="898">
        <v>0</v>
      </c>
      <c r="AD290" s="900" t="str">
        <f t="shared" ref="AD290" si="937">IFERROR((AC290/AB290),"-")</f>
        <v>-</v>
      </c>
      <c r="AE290" s="2"/>
      <c r="AF290" s="884">
        <v>0</v>
      </c>
      <c r="AG290" s="884"/>
      <c r="AH290" s="884">
        <v>0</v>
      </c>
      <c r="AI290" s="884"/>
      <c r="AJ290" s="884"/>
      <c r="AK290" s="884">
        <f t="shared" ref="AK290" si="938">AF290+AG290+AH290+AI290+AJ290+AC290</f>
        <v>0</v>
      </c>
      <c r="AL290" s="884">
        <v>0</v>
      </c>
      <c r="AM290" s="878" t="str">
        <f t="shared" ref="AM290" si="939">IFERROR((AK290/AL290),"-")</f>
        <v>-</v>
      </c>
      <c r="AN290" s="2"/>
      <c r="AO290" s="884">
        <v>0</v>
      </c>
      <c r="AP290" s="884">
        <f t="shared" ref="AP290" si="940">AO290-AK290</f>
        <v>0</v>
      </c>
      <c r="AV290" s="4" t="str">
        <f t="shared" si="870"/>
        <v>Escavação 1ª e 2ª categoria</v>
      </c>
      <c r="AW290" s="4" t="str">
        <f t="shared" si="871"/>
        <v xml:space="preserve">   Escavação, carga e transporte de material 1ª/2ª categoria  - Aterro 04</v>
      </c>
    </row>
    <row r="291" spans="1:49" ht="15" customHeight="1" outlineLevel="2">
      <c r="A291" s="525" t="str">
        <f t="shared" ref="A291" si="941">A290</f>
        <v>N</v>
      </c>
      <c r="B291" s="526" t="s">
        <v>416</v>
      </c>
      <c r="C291" s="526" t="s">
        <v>416</v>
      </c>
      <c r="D291" s="527" t="s">
        <v>524</v>
      </c>
      <c r="E291" s="932"/>
      <c r="F291" s="902"/>
      <c r="G291" s="528"/>
      <c r="H291" s="549" t="s">
        <v>38</v>
      </c>
      <c r="I291" s="711">
        <v>0</v>
      </c>
      <c r="J291" s="897"/>
      <c r="K291" s="528"/>
      <c r="L291" s="549" t="s">
        <v>38</v>
      </c>
      <c r="M291" s="711">
        <f t="shared" si="917"/>
        <v>0</v>
      </c>
      <c r="N291" s="897"/>
      <c r="O291" s="528"/>
      <c r="P291" s="711">
        <v>0</v>
      </c>
      <c r="Q291" s="711">
        <v>0</v>
      </c>
      <c r="R291" s="711">
        <v>0</v>
      </c>
      <c r="S291" s="711">
        <v>0</v>
      </c>
      <c r="T291" s="711">
        <v>0</v>
      </c>
      <c r="U291" s="711">
        <v>0</v>
      </c>
      <c r="V291" s="711">
        <v>0</v>
      </c>
      <c r="W291" s="528"/>
      <c r="X291" s="711">
        <f t="shared" si="918"/>
        <v>0</v>
      </c>
      <c r="Y291" s="897"/>
      <c r="Z291" s="528"/>
      <c r="AA291" s="899"/>
      <c r="AB291" s="899"/>
      <c r="AC291" s="899"/>
      <c r="AD291" s="901"/>
      <c r="AE291" s="2"/>
      <c r="AF291" s="885"/>
      <c r="AG291" s="885"/>
      <c r="AH291" s="885"/>
      <c r="AI291" s="885"/>
      <c r="AJ291" s="885"/>
      <c r="AK291" s="885"/>
      <c r="AL291" s="885"/>
      <c r="AM291" s="879"/>
      <c r="AN291" s="2"/>
      <c r="AO291" s="886"/>
      <c r="AP291" s="886"/>
      <c r="AV291" s="4" t="str">
        <f t="shared" si="870"/>
        <v>Escavação 1ª e 2ª categoria</v>
      </c>
      <c r="AW291" s="4" t="str">
        <f t="shared" si="871"/>
        <v xml:space="preserve">   Escavação, carga e transporte de material 1ª/2ª categoria  - Aterro 04</v>
      </c>
    </row>
    <row r="292" spans="1:49" ht="15" customHeight="1" outlineLevel="2">
      <c r="A292" s="545" t="str">
        <f t="shared" ref="A292" si="942">IF(SUM(P292:V293)&gt;0,"S","N")</f>
        <v>N</v>
      </c>
      <c r="B292" s="526" t="s">
        <v>266</v>
      </c>
      <c r="C292" s="526" t="s">
        <v>266</v>
      </c>
      <c r="D292" s="527" t="s">
        <v>526</v>
      </c>
      <c r="E292" s="931" t="s">
        <v>527</v>
      </c>
      <c r="F292" s="902" t="s">
        <v>36</v>
      </c>
      <c r="G292" s="528"/>
      <c r="H292" s="546" t="s">
        <v>37</v>
      </c>
      <c r="I292" s="711">
        <v>0</v>
      </c>
      <c r="J292" s="896" t="str">
        <f>IFERROR((I293/I292),"-")</f>
        <v>-</v>
      </c>
      <c r="K292" s="528"/>
      <c r="L292" s="546" t="s">
        <v>37</v>
      </c>
      <c r="M292" s="711">
        <f t="shared" si="917"/>
        <v>0</v>
      </c>
      <c r="N292" s="896" t="str">
        <f>IFERROR((M293/M292),"-")</f>
        <v>-</v>
      </c>
      <c r="O292" s="528"/>
      <c r="P292" s="547">
        <v>0</v>
      </c>
      <c r="Q292" s="547">
        <v>0</v>
      </c>
      <c r="R292" s="547">
        <v>0</v>
      </c>
      <c r="S292" s="547">
        <v>0</v>
      </c>
      <c r="T292" s="547">
        <v>0</v>
      </c>
      <c r="U292" s="547">
        <v>0</v>
      </c>
      <c r="V292" s="548">
        <v>0</v>
      </c>
      <c r="W292" s="528"/>
      <c r="X292" s="711">
        <f t="shared" si="918"/>
        <v>0</v>
      </c>
      <c r="Y292" s="896" t="str">
        <f>IFERROR((X293/X292),"0")</f>
        <v>0</v>
      </c>
      <c r="Z292" s="528"/>
      <c r="AA292" s="898">
        <v>0</v>
      </c>
      <c r="AB292" s="898">
        <v>0</v>
      </c>
      <c r="AC292" s="898">
        <v>280</v>
      </c>
      <c r="AD292" s="900" t="str">
        <f t="shared" ref="AD292" si="943">IFERROR((AC292/AB292),"-")</f>
        <v>-</v>
      </c>
      <c r="AE292" s="2"/>
      <c r="AF292" s="884">
        <v>0</v>
      </c>
      <c r="AG292" s="884"/>
      <c r="AH292" s="884">
        <v>0</v>
      </c>
      <c r="AI292" s="884"/>
      <c r="AJ292" s="884"/>
      <c r="AK292" s="884">
        <f t="shared" ref="AK292" si="944">AF292+AG292+AH292+AI292+AJ292+AC292</f>
        <v>280</v>
      </c>
      <c r="AL292" s="884">
        <v>0</v>
      </c>
      <c r="AM292" s="878" t="str">
        <f t="shared" ref="AM292" si="945">IFERROR((AK292/AL292),"-")</f>
        <v>-</v>
      </c>
      <c r="AN292" s="2"/>
      <c r="AO292" s="884">
        <v>0</v>
      </c>
      <c r="AP292" s="884">
        <f t="shared" ref="AP292" si="946">AO292-AK292</f>
        <v>-280</v>
      </c>
      <c r="AV292" s="4" t="str">
        <f t="shared" si="870"/>
        <v>Escavação 1ª e 2ª categoria</v>
      </c>
      <c r="AW292" s="4" t="str">
        <f t="shared" si="871"/>
        <v xml:space="preserve">   Escavação, carga e transporte de material 1ª/2ª categoria  - Aterro 07(Acesso)</v>
      </c>
    </row>
    <row r="293" spans="1:49" ht="15" customHeight="1" outlineLevel="2">
      <c r="A293" s="525" t="str">
        <f t="shared" ref="A293" si="947">A292</f>
        <v>N</v>
      </c>
      <c r="B293" s="526" t="s">
        <v>416</v>
      </c>
      <c r="C293" s="526" t="s">
        <v>416</v>
      </c>
      <c r="D293" s="527" t="s">
        <v>526</v>
      </c>
      <c r="E293" s="932"/>
      <c r="F293" s="902"/>
      <c r="G293" s="528"/>
      <c r="H293" s="549" t="s">
        <v>38</v>
      </c>
      <c r="I293" s="711">
        <v>280</v>
      </c>
      <c r="J293" s="897"/>
      <c r="K293" s="528"/>
      <c r="L293" s="549" t="s">
        <v>38</v>
      </c>
      <c r="M293" s="711">
        <f t="shared" si="917"/>
        <v>0</v>
      </c>
      <c r="N293" s="897"/>
      <c r="O293" s="528"/>
      <c r="P293" s="711">
        <v>0</v>
      </c>
      <c r="Q293" s="711">
        <v>0</v>
      </c>
      <c r="R293" s="711">
        <v>0</v>
      </c>
      <c r="S293" s="711">
        <v>0</v>
      </c>
      <c r="T293" s="711">
        <v>0</v>
      </c>
      <c r="U293" s="711">
        <v>0</v>
      </c>
      <c r="V293" s="711">
        <v>0</v>
      </c>
      <c r="W293" s="528"/>
      <c r="X293" s="711">
        <f t="shared" si="918"/>
        <v>0</v>
      </c>
      <c r="Y293" s="897"/>
      <c r="Z293" s="528"/>
      <c r="AA293" s="899"/>
      <c r="AB293" s="899"/>
      <c r="AC293" s="899"/>
      <c r="AD293" s="901"/>
      <c r="AE293" s="2"/>
      <c r="AF293" s="885"/>
      <c r="AG293" s="885"/>
      <c r="AH293" s="885"/>
      <c r="AI293" s="885"/>
      <c r="AJ293" s="885"/>
      <c r="AK293" s="885"/>
      <c r="AL293" s="885"/>
      <c r="AM293" s="879"/>
      <c r="AN293" s="2"/>
      <c r="AO293" s="886"/>
      <c r="AP293" s="886"/>
      <c r="AV293" s="4" t="str">
        <f t="shared" si="870"/>
        <v>Escavação 1ª e 2ª categoria</v>
      </c>
      <c r="AW293" s="4" t="str">
        <f t="shared" si="871"/>
        <v xml:space="preserve">   Escavação, carga e transporte de material 1ª/2ª categoria  - Aterro 07(Acesso)</v>
      </c>
    </row>
    <row r="294" spans="1:49" ht="15" customHeight="1" outlineLevel="2">
      <c r="A294" s="545" t="str">
        <f t="shared" ref="A294" si="948">IF(SUM(P294:V295)&gt;0,"S","N")</f>
        <v>N</v>
      </c>
      <c r="B294" s="526" t="s">
        <v>266</v>
      </c>
      <c r="C294" s="526" t="s">
        <v>266</v>
      </c>
      <c r="D294" s="527" t="s">
        <v>528</v>
      </c>
      <c r="E294" s="931" t="s">
        <v>529</v>
      </c>
      <c r="F294" s="902" t="s">
        <v>36</v>
      </c>
      <c r="G294" s="528"/>
      <c r="H294" s="546" t="s">
        <v>37</v>
      </c>
      <c r="I294" s="711">
        <v>0</v>
      </c>
      <c r="J294" s="896" t="str">
        <f>IFERROR((I295/I294),"-")</f>
        <v>-</v>
      </c>
      <c r="K294" s="528"/>
      <c r="L294" s="546" t="s">
        <v>37</v>
      </c>
      <c r="M294" s="711">
        <f t="shared" si="917"/>
        <v>0</v>
      </c>
      <c r="N294" s="896" t="str">
        <f>IFERROR((M295/M294),"-")</f>
        <v>-</v>
      </c>
      <c r="O294" s="528"/>
      <c r="P294" s="547">
        <v>0</v>
      </c>
      <c r="Q294" s="547">
        <v>0</v>
      </c>
      <c r="R294" s="547">
        <v>0</v>
      </c>
      <c r="S294" s="547">
        <v>0</v>
      </c>
      <c r="T294" s="547">
        <v>0</v>
      </c>
      <c r="U294" s="547">
        <v>0</v>
      </c>
      <c r="V294" s="548">
        <v>0</v>
      </c>
      <c r="W294" s="528"/>
      <c r="X294" s="711">
        <f t="shared" si="918"/>
        <v>0</v>
      </c>
      <c r="Y294" s="896" t="str">
        <f>IFERROR((X295/X294),"0")</f>
        <v>0</v>
      </c>
      <c r="Z294" s="528"/>
      <c r="AA294" s="898">
        <v>0</v>
      </c>
      <c r="AB294" s="898">
        <v>0</v>
      </c>
      <c r="AC294" s="898">
        <v>2800</v>
      </c>
      <c r="AD294" s="900" t="str">
        <f t="shared" ref="AD294" si="949">IFERROR((AC294/AB294),"-")</f>
        <v>-</v>
      </c>
      <c r="AE294" s="2"/>
      <c r="AF294" s="884">
        <v>0</v>
      </c>
      <c r="AG294" s="884"/>
      <c r="AH294" s="884">
        <v>0</v>
      </c>
      <c r="AI294" s="884"/>
      <c r="AJ294" s="884"/>
      <c r="AK294" s="884">
        <f t="shared" ref="AK294" si="950">AF294+AG294+AH294+AI294+AJ294+AC294</f>
        <v>2800</v>
      </c>
      <c r="AL294" s="884">
        <v>0</v>
      </c>
      <c r="AM294" s="878" t="str">
        <f t="shared" ref="AM294" si="951">IFERROR((AK294/AL294),"-")</f>
        <v>-</v>
      </c>
      <c r="AN294" s="2"/>
      <c r="AO294" s="884">
        <v>0</v>
      </c>
      <c r="AP294" s="884">
        <f t="shared" ref="AP294" si="952">AO294-AK294</f>
        <v>-2800</v>
      </c>
      <c r="AV294" s="4" t="str">
        <f t="shared" si="870"/>
        <v>Escavação 1ª e 2ª categoria</v>
      </c>
      <c r="AW294" s="4" t="str">
        <f t="shared" si="871"/>
        <v xml:space="preserve">   Escavação, carga e transporte de material 1ª/2ª categoria  - Aterro 07</v>
      </c>
    </row>
    <row r="295" spans="1:49" ht="15" customHeight="1" outlineLevel="2">
      <c r="A295" s="525" t="str">
        <f t="shared" ref="A295" si="953">A294</f>
        <v>N</v>
      </c>
      <c r="B295" s="526" t="s">
        <v>416</v>
      </c>
      <c r="C295" s="526" t="s">
        <v>416</v>
      </c>
      <c r="D295" s="527" t="s">
        <v>528</v>
      </c>
      <c r="E295" s="932"/>
      <c r="F295" s="902"/>
      <c r="G295" s="528"/>
      <c r="H295" s="549" t="s">
        <v>38</v>
      </c>
      <c r="I295" s="711">
        <v>330</v>
      </c>
      <c r="J295" s="897"/>
      <c r="K295" s="528"/>
      <c r="L295" s="549" t="s">
        <v>38</v>
      </c>
      <c r="M295" s="711">
        <f t="shared" si="917"/>
        <v>0</v>
      </c>
      <c r="N295" s="897"/>
      <c r="O295" s="528"/>
      <c r="P295" s="711">
        <v>0</v>
      </c>
      <c r="Q295" s="711">
        <v>0</v>
      </c>
      <c r="R295" s="711">
        <v>0</v>
      </c>
      <c r="S295" s="711">
        <v>0</v>
      </c>
      <c r="T295" s="711">
        <v>0</v>
      </c>
      <c r="U295" s="711">
        <v>0</v>
      </c>
      <c r="V295" s="711">
        <v>0</v>
      </c>
      <c r="W295" s="528"/>
      <c r="X295" s="711">
        <f t="shared" si="918"/>
        <v>0</v>
      </c>
      <c r="Y295" s="897"/>
      <c r="Z295" s="528"/>
      <c r="AA295" s="899"/>
      <c r="AB295" s="899"/>
      <c r="AC295" s="899"/>
      <c r="AD295" s="901"/>
      <c r="AE295" s="2"/>
      <c r="AF295" s="885"/>
      <c r="AG295" s="885"/>
      <c r="AH295" s="885"/>
      <c r="AI295" s="885"/>
      <c r="AJ295" s="885"/>
      <c r="AK295" s="885"/>
      <c r="AL295" s="885"/>
      <c r="AM295" s="879"/>
      <c r="AN295" s="2"/>
      <c r="AO295" s="886"/>
      <c r="AP295" s="886"/>
      <c r="AV295" s="4" t="str">
        <f t="shared" si="870"/>
        <v>Escavação 1ª e 2ª categoria</v>
      </c>
      <c r="AW295" s="4" t="str">
        <f t="shared" si="871"/>
        <v xml:space="preserve">   Escavação, carga e transporte de material 1ª/2ª categoria  - Aterro 07</v>
      </c>
    </row>
    <row r="296" spans="1:49" ht="15" customHeight="1" outlineLevel="2">
      <c r="A296" s="545" t="str">
        <f t="shared" ref="A296" si="954">IF(SUM(P296:V297)&gt;0,"S","N")</f>
        <v>N</v>
      </c>
      <c r="B296" s="526" t="s">
        <v>266</v>
      </c>
      <c r="C296" s="526" t="s">
        <v>266</v>
      </c>
      <c r="D296" s="527" t="s">
        <v>530</v>
      </c>
      <c r="E296" s="931" t="s">
        <v>531</v>
      </c>
      <c r="F296" s="902" t="s">
        <v>36</v>
      </c>
      <c r="G296" s="528"/>
      <c r="H296" s="546" t="s">
        <v>37</v>
      </c>
      <c r="I296" s="711">
        <v>0</v>
      </c>
      <c r="J296" s="896" t="str">
        <f>IFERROR((I297/I296),"-")</f>
        <v>-</v>
      </c>
      <c r="K296" s="528"/>
      <c r="L296" s="546" t="s">
        <v>37</v>
      </c>
      <c r="M296" s="711">
        <f t="shared" si="917"/>
        <v>0</v>
      </c>
      <c r="N296" s="896" t="str">
        <f>IFERROR((M297/M296),"-")</f>
        <v>-</v>
      </c>
      <c r="O296" s="528"/>
      <c r="P296" s="547">
        <v>0</v>
      </c>
      <c r="Q296" s="547">
        <v>0</v>
      </c>
      <c r="R296" s="547">
        <v>0</v>
      </c>
      <c r="S296" s="547">
        <v>0</v>
      </c>
      <c r="T296" s="547">
        <v>0</v>
      </c>
      <c r="U296" s="547">
        <v>0</v>
      </c>
      <c r="V296" s="548">
        <v>0</v>
      </c>
      <c r="W296" s="528"/>
      <c r="X296" s="711">
        <f t="shared" si="918"/>
        <v>0</v>
      </c>
      <c r="Y296" s="896" t="str">
        <f>IFERROR((X297/X296),"0")</f>
        <v>0</v>
      </c>
      <c r="Z296" s="528"/>
      <c r="AA296" s="898">
        <v>0</v>
      </c>
      <c r="AB296" s="898">
        <v>0</v>
      </c>
      <c r="AC296" s="898">
        <v>0</v>
      </c>
      <c r="AD296" s="900" t="str">
        <f t="shared" ref="AD296" si="955">IFERROR((AC296/AB296),"-")</f>
        <v>-</v>
      </c>
      <c r="AE296" s="2"/>
      <c r="AF296" s="884">
        <v>0</v>
      </c>
      <c r="AG296" s="884"/>
      <c r="AH296" s="884">
        <v>310</v>
      </c>
      <c r="AI296" s="884"/>
      <c r="AJ296" s="884"/>
      <c r="AK296" s="884">
        <f t="shared" ref="AK296" si="956">AF296+AG296+AH296+AI296+AJ296+AC296</f>
        <v>310</v>
      </c>
      <c r="AL296" s="884">
        <v>0</v>
      </c>
      <c r="AM296" s="878" t="str">
        <f t="shared" ref="AM296" si="957">IFERROR((AK296/AL296),"-")</f>
        <v>-</v>
      </c>
      <c r="AN296" s="2"/>
      <c r="AO296" s="884">
        <v>0</v>
      </c>
      <c r="AP296" s="884">
        <f t="shared" ref="AP296" si="958">AO296-AK296</f>
        <v>-310</v>
      </c>
      <c r="AV296" s="4" t="str">
        <f t="shared" si="870"/>
        <v>Escavação 1ª e 2ª categoria</v>
      </c>
      <c r="AW296" s="4" t="str">
        <f t="shared" si="871"/>
        <v xml:space="preserve">   Escavação, carga e transporte de material 1ª/2ª categoria  - Aterro 10</v>
      </c>
    </row>
    <row r="297" spans="1:49" ht="15" customHeight="1" outlineLevel="2">
      <c r="A297" s="525" t="str">
        <f t="shared" ref="A297" si="959">A296</f>
        <v>N</v>
      </c>
      <c r="B297" s="526" t="s">
        <v>416</v>
      </c>
      <c r="C297" s="526" t="s">
        <v>416</v>
      </c>
      <c r="D297" s="527" t="s">
        <v>530</v>
      </c>
      <c r="E297" s="932"/>
      <c r="F297" s="902"/>
      <c r="G297" s="528"/>
      <c r="H297" s="549" t="s">
        <v>38</v>
      </c>
      <c r="I297" s="711">
        <v>0</v>
      </c>
      <c r="J297" s="897"/>
      <c r="K297" s="528"/>
      <c r="L297" s="549" t="s">
        <v>38</v>
      </c>
      <c r="M297" s="711">
        <f t="shared" si="917"/>
        <v>0</v>
      </c>
      <c r="N297" s="897"/>
      <c r="O297" s="528"/>
      <c r="P297" s="711">
        <v>0</v>
      </c>
      <c r="Q297" s="711">
        <v>0</v>
      </c>
      <c r="R297" s="711">
        <v>0</v>
      </c>
      <c r="S297" s="711">
        <v>0</v>
      </c>
      <c r="T297" s="711">
        <v>0</v>
      </c>
      <c r="U297" s="711">
        <v>0</v>
      </c>
      <c r="V297" s="711">
        <v>0</v>
      </c>
      <c r="W297" s="528"/>
      <c r="X297" s="711">
        <f t="shared" si="918"/>
        <v>0</v>
      </c>
      <c r="Y297" s="897"/>
      <c r="Z297" s="528"/>
      <c r="AA297" s="899"/>
      <c r="AB297" s="899"/>
      <c r="AC297" s="899"/>
      <c r="AD297" s="901"/>
      <c r="AE297" s="2"/>
      <c r="AF297" s="885"/>
      <c r="AG297" s="885"/>
      <c r="AH297" s="885"/>
      <c r="AI297" s="885"/>
      <c r="AJ297" s="885"/>
      <c r="AK297" s="885"/>
      <c r="AL297" s="885"/>
      <c r="AM297" s="879"/>
      <c r="AN297" s="2"/>
      <c r="AO297" s="886"/>
      <c r="AP297" s="886"/>
      <c r="AV297" s="4" t="str">
        <f t="shared" si="870"/>
        <v>Escavação 1ª e 2ª categoria</v>
      </c>
      <c r="AW297" s="4" t="str">
        <f t="shared" si="871"/>
        <v xml:space="preserve">   Escavação, carga e transporte de material 1ª/2ª categoria  - Aterro 10</v>
      </c>
    </row>
    <row r="298" spans="1:49" ht="14.45" customHeight="1" outlineLevel="2">
      <c r="A298" s="545" t="str">
        <f t="shared" ref="A298" si="960">IF(SUM(P298:V299)&gt;0,"S","N")</f>
        <v>N</v>
      </c>
      <c r="B298" s="526" t="s">
        <v>266</v>
      </c>
      <c r="C298" s="526" t="s">
        <v>266</v>
      </c>
      <c r="D298" s="527" t="s">
        <v>532</v>
      </c>
      <c r="E298" s="931" t="s">
        <v>533</v>
      </c>
      <c r="F298" s="902" t="s">
        <v>36</v>
      </c>
      <c r="G298" s="528"/>
      <c r="H298" s="546" t="s">
        <v>37</v>
      </c>
      <c r="I298" s="711">
        <v>0</v>
      </c>
      <c r="J298" s="896" t="str">
        <f>IFERROR((I299/I298),"-")</f>
        <v>-</v>
      </c>
      <c r="K298" s="528"/>
      <c r="L298" s="546" t="s">
        <v>37</v>
      </c>
      <c r="M298" s="711">
        <f t="shared" si="917"/>
        <v>0</v>
      </c>
      <c r="N298" s="896" t="str">
        <f>IFERROR((M299/M298),"-")</f>
        <v>-</v>
      </c>
      <c r="O298" s="528"/>
      <c r="P298" s="547">
        <v>0</v>
      </c>
      <c r="Q298" s="547">
        <v>0</v>
      </c>
      <c r="R298" s="547">
        <v>0</v>
      </c>
      <c r="S298" s="547">
        <v>0</v>
      </c>
      <c r="T298" s="547">
        <v>0</v>
      </c>
      <c r="U298" s="547">
        <v>0</v>
      </c>
      <c r="V298" s="548">
        <v>0</v>
      </c>
      <c r="W298" s="528"/>
      <c r="X298" s="711">
        <f t="shared" si="918"/>
        <v>0</v>
      </c>
      <c r="Y298" s="896" t="str">
        <f>IFERROR((X299/X298),"0")</f>
        <v>0</v>
      </c>
      <c r="Z298" s="528"/>
      <c r="AA298" s="898">
        <v>0</v>
      </c>
      <c r="AB298" s="898">
        <v>0</v>
      </c>
      <c r="AC298" s="898">
        <v>650</v>
      </c>
      <c r="AD298" s="900" t="str">
        <f t="shared" ref="AD298" si="961">IFERROR((AC298/AB298),"-")</f>
        <v>-</v>
      </c>
      <c r="AE298" s="2"/>
      <c r="AF298" s="884">
        <v>0</v>
      </c>
      <c r="AG298" s="884"/>
      <c r="AH298" s="884">
        <v>0</v>
      </c>
      <c r="AI298" s="884"/>
      <c r="AJ298" s="884"/>
      <c r="AK298" s="884">
        <f t="shared" ref="AK298" si="962">AF298+AG298+AH298+AI298+AJ298+AC298</f>
        <v>650</v>
      </c>
      <c r="AL298" s="884">
        <v>0</v>
      </c>
      <c r="AM298" s="878" t="str">
        <f t="shared" ref="AM298" si="963">IFERROR((AK298/AL298),"-")</f>
        <v>-</v>
      </c>
      <c r="AN298" s="2"/>
      <c r="AO298" s="884">
        <v>0</v>
      </c>
      <c r="AP298" s="884">
        <f t="shared" ref="AP298" si="964">AO298-AK298</f>
        <v>-650</v>
      </c>
      <c r="AV298" s="4" t="str">
        <f t="shared" si="870"/>
        <v>Escavação 1ª e 2ª categoria</v>
      </c>
      <c r="AW298" s="4" t="str">
        <f t="shared" si="871"/>
        <v xml:space="preserve">   Escavação, carga e transporte de material 1ª/2ª categoria  - Aterro 06</v>
      </c>
    </row>
    <row r="299" spans="1:49" ht="14.45" customHeight="1" outlineLevel="2">
      <c r="A299" s="525" t="str">
        <f t="shared" ref="A299" si="965">A298</f>
        <v>N</v>
      </c>
      <c r="B299" s="526" t="s">
        <v>416</v>
      </c>
      <c r="C299" s="526" t="s">
        <v>416</v>
      </c>
      <c r="D299" s="527" t="s">
        <v>532</v>
      </c>
      <c r="E299" s="932"/>
      <c r="F299" s="902"/>
      <c r="G299" s="528"/>
      <c r="H299" s="549" t="s">
        <v>38</v>
      </c>
      <c r="I299" s="711">
        <v>0</v>
      </c>
      <c r="J299" s="897"/>
      <c r="K299" s="528"/>
      <c r="L299" s="549" t="s">
        <v>38</v>
      </c>
      <c r="M299" s="711">
        <f t="shared" si="917"/>
        <v>0</v>
      </c>
      <c r="N299" s="897"/>
      <c r="O299" s="528"/>
      <c r="P299" s="711">
        <v>0</v>
      </c>
      <c r="Q299" s="711">
        <v>0</v>
      </c>
      <c r="R299" s="711">
        <v>0</v>
      </c>
      <c r="S299" s="711">
        <v>0</v>
      </c>
      <c r="T299" s="711">
        <v>0</v>
      </c>
      <c r="U299" s="711">
        <v>0</v>
      </c>
      <c r="V299" s="711">
        <v>0</v>
      </c>
      <c r="W299" s="528"/>
      <c r="X299" s="711">
        <f t="shared" si="918"/>
        <v>0</v>
      </c>
      <c r="Y299" s="897"/>
      <c r="Z299" s="528"/>
      <c r="AA299" s="899"/>
      <c r="AB299" s="899"/>
      <c r="AC299" s="899"/>
      <c r="AD299" s="901"/>
      <c r="AE299" s="2"/>
      <c r="AF299" s="885"/>
      <c r="AG299" s="885"/>
      <c r="AH299" s="885"/>
      <c r="AI299" s="885"/>
      <c r="AJ299" s="885"/>
      <c r="AK299" s="885"/>
      <c r="AL299" s="885"/>
      <c r="AM299" s="879"/>
      <c r="AN299" s="2"/>
      <c r="AO299" s="886"/>
      <c r="AP299" s="886"/>
      <c r="AV299" s="4" t="str">
        <f t="shared" si="870"/>
        <v>Escavação 1ª e 2ª categoria</v>
      </c>
      <c r="AW299" s="4" t="str">
        <f t="shared" si="871"/>
        <v xml:space="preserve">   Escavação, carga e transporte de material 1ª/2ª categoria  - Aterro 06</v>
      </c>
    </row>
    <row r="300" spans="1:49" ht="15" customHeight="1" outlineLevel="2">
      <c r="A300" s="545" t="str">
        <f t="shared" ref="A300" si="966">IF(SUM(P300:V301)&gt;0,"S","N")</f>
        <v>N</v>
      </c>
      <c r="B300" s="526" t="s">
        <v>266</v>
      </c>
      <c r="C300" s="526" t="s">
        <v>266</v>
      </c>
      <c r="D300" s="527" t="s">
        <v>534</v>
      </c>
      <c r="E300" s="931" t="s">
        <v>535</v>
      </c>
      <c r="F300" s="902" t="s">
        <v>36</v>
      </c>
      <c r="G300" s="528"/>
      <c r="H300" s="546" t="s">
        <v>37</v>
      </c>
      <c r="I300" s="711">
        <v>0</v>
      </c>
      <c r="J300" s="896" t="str">
        <f>IFERROR((I301/I300),"-")</f>
        <v>-</v>
      </c>
      <c r="K300" s="528"/>
      <c r="L300" s="546" t="s">
        <v>37</v>
      </c>
      <c r="M300" s="711">
        <f t="shared" si="917"/>
        <v>0</v>
      </c>
      <c r="N300" s="896" t="str">
        <f>IFERROR((M301/M300),"-")</f>
        <v>-</v>
      </c>
      <c r="O300" s="528"/>
      <c r="P300" s="547">
        <v>0</v>
      </c>
      <c r="Q300" s="547">
        <v>0</v>
      </c>
      <c r="R300" s="547">
        <v>0</v>
      </c>
      <c r="S300" s="547">
        <v>0</v>
      </c>
      <c r="T300" s="547">
        <v>0</v>
      </c>
      <c r="U300" s="547">
        <v>0</v>
      </c>
      <c r="V300" s="548">
        <v>0</v>
      </c>
      <c r="W300" s="528"/>
      <c r="X300" s="711">
        <f t="shared" si="918"/>
        <v>0</v>
      </c>
      <c r="Y300" s="896" t="str">
        <f>IFERROR((X301/X300),"0")</f>
        <v>0</v>
      </c>
      <c r="Z300" s="528"/>
      <c r="AA300" s="898">
        <v>0</v>
      </c>
      <c r="AB300" s="898">
        <v>0</v>
      </c>
      <c r="AC300" s="898">
        <v>0</v>
      </c>
      <c r="AD300" s="900" t="str">
        <f t="shared" ref="AD300" si="967">IFERROR((AC300/AB300),"-")</f>
        <v>-</v>
      </c>
      <c r="AE300" s="2"/>
      <c r="AF300" s="884">
        <v>0</v>
      </c>
      <c r="AG300" s="884"/>
      <c r="AH300" s="884">
        <v>4280</v>
      </c>
      <c r="AI300" s="884"/>
      <c r="AJ300" s="884"/>
      <c r="AK300" s="884">
        <f t="shared" ref="AK300" si="968">AF300+AG300+AH300+AI300+AJ300+AC300</f>
        <v>4280</v>
      </c>
      <c r="AL300" s="884">
        <v>0</v>
      </c>
      <c r="AM300" s="878" t="str">
        <f t="shared" ref="AM300" si="969">IFERROR((AK300/AL300),"-")</f>
        <v>-</v>
      </c>
      <c r="AN300" s="2"/>
      <c r="AO300" s="884">
        <v>0</v>
      </c>
      <c r="AP300" s="884">
        <f t="shared" ref="AP300" si="970">AO300-AK300</f>
        <v>-4280</v>
      </c>
      <c r="AV300" s="4" t="str">
        <f t="shared" si="870"/>
        <v>Escavação 1ª e 2ª categoria</v>
      </c>
      <c r="AW300" s="4" t="str">
        <f t="shared" si="871"/>
        <v xml:space="preserve">   Escavação, carga e transporte de material 1ª/2ª categoria  - Aterro 03</v>
      </c>
    </row>
    <row r="301" spans="1:49" ht="15" customHeight="1" outlineLevel="2">
      <c r="A301" s="525" t="str">
        <f t="shared" ref="A301" si="971">A300</f>
        <v>N</v>
      </c>
      <c r="B301" s="526" t="s">
        <v>416</v>
      </c>
      <c r="C301" s="526" t="s">
        <v>416</v>
      </c>
      <c r="D301" s="527" t="s">
        <v>534</v>
      </c>
      <c r="E301" s="932"/>
      <c r="F301" s="902"/>
      <c r="G301" s="528"/>
      <c r="H301" s="549" t="s">
        <v>38</v>
      </c>
      <c r="I301" s="711">
        <v>0</v>
      </c>
      <c r="J301" s="897"/>
      <c r="K301" s="528"/>
      <c r="L301" s="549" t="s">
        <v>38</v>
      </c>
      <c r="M301" s="711">
        <f t="shared" si="917"/>
        <v>0</v>
      </c>
      <c r="N301" s="897"/>
      <c r="O301" s="528"/>
      <c r="P301" s="711">
        <v>0</v>
      </c>
      <c r="Q301" s="711">
        <v>0</v>
      </c>
      <c r="R301" s="711">
        <v>0</v>
      </c>
      <c r="S301" s="711">
        <v>0</v>
      </c>
      <c r="T301" s="711">
        <v>0</v>
      </c>
      <c r="U301" s="711">
        <v>0</v>
      </c>
      <c r="V301" s="711">
        <v>0</v>
      </c>
      <c r="W301" s="528"/>
      <c r="X301" s="711">
        <f t="shared" si="918"/>
        <v>0</v>
      </c>
      <c r="Y301" s="897"/>
      <c r="Z301" s="528"/>
      <c r="AA301" s="899"/>
      <c r="AB301" s="899"/>
      <c r="AC301" s="899"/>
      <c r="AD301" s="901"/>
      <c r="AE301" s="2"/>
      <c r="AF301" s="885"/>
      <c r="AG301" s="885"/>
      <c r="AH301" s="885"/>
      <c r="AI301" s="885"/>
      <c r="AJ301" s="885"/>
      <c r="AK301" s="885"/>
      <c r="AL301" s="885"/>
      <c r="AM301" s="879"/>
      <c r="AN301" s="2"/>
      <c r="AO301" s="886"/>
      <c r="AP301" s="886"/>
      <c r="AV301" s="4" t="str">
        <f t="shared" si="870"/>
        <v>Escavação 1ª e 2ª categoria</v>
      </c>
      <c r="AW301" s="4" t="str">
        <f t="shared" si="871"/>
        <v xml:space="preserve">   Escavação, carga e transporte de material 1ª/2ª categoria  - Aterro 03</v>
      </c>
    </row>
    <row r="302" spans="1:49" ht="15" customHeight="1" outlineLevel="2">
      <c r="A302" s="545" t="str">
        <f t="shared" ref="A302" si="972">IF(SUM(P302:V303)&gt;0,"S","N")</f>
        <v>N</v>
      </c>
      <c r="B302" s="526" t="s">
        <v>266</v>
      </c>
      <c r="C302" s="526" t="s">
        <v>266</v>
      </c>
      <c r="D302" s="527" t="s">
        <v>536</v>
      </c>
      <c r="E302" s="931" t="s">
        <v>537</v>
      </c>
      <c r="F302" s="902" t="s">
        <v>36</v>
      </c>
      <c r="G302" s="528"/>
      <c r="H302" s="546" t="s">
        <v>37</v>
      </c>
      <c r="I302" s="711">
        <v>0</v>
      </c>
      <c r="J302" s="896" t="str">
        <f>IFERROR((I303/I302),"-")</f>
        <v>-</v>
      </c>
      <c r="K302" s="528"/>
      <c r="L302" s="546" t="s">
        <v>37</v>
      </c>
      <c r="M302" s="711">
        <f t="shared" si="917"/>
        <v>0</v>
      </c>
      <c r="N302" s="896" t="str">
        <f>IFERROR((M303/M302),"-")</f>
        <v>-</v>
      </c>
      <c r="O302" s="528"/>
      <c r="P302" s="547">
        <v>0</v>
      </c>
      <c r="Q302" s="547">
        <v>0</v>
      </c>
      <c r="R302" s="547">
        <v>0</v>
      </c>
      <c r="S302" s="547">
        <v>0</v>
      </c>
      <c r="T302" s="547">
        <v>0</v>
      </c>
      <c r="U302" s="547">
        <v>0</v>
      </c>
      <c r="V302" s="548">
        <v>0</v>
      </c>
      <c r="W302" s="528"/>
      <c r="X302" s="711">
        <f t="shared" si="918"/>
        <v>0</v>
      </c>
      <c r="Y302" s="896" t="str">
        <f>IFERROR((X303/X302),"0")</f>
        <v>0</v>
      </c>
      <c r="Z302" s="528"/>
      <c r="AA302" s="898">
        <v>0</v>
      </c>
      <c r="AB302" s="898">
        <v>0</v>
      </c>
      <c r="AC302" s="898">
        <v>0</v>
      </c>
      <c r="AD302" s="900" t="str">
        <f t="shared" ref="AD302" si="973">IFERROR((AC302/AB302),"-")</f>
        <v>-</v>
      </c>
      <c r="AE302" s="2"/>
      <c r="AF302" s="884">
        <v>0</v>
      </c>
      <c r="AG302" s="884"/>
      <c r="AH302" s="884">
        <v>610</v>
      </c>
      <c r="AI302" s="884"/>
      <c r="AJ302" s="884"/>
      <c r="AK302" s="884">
        <f t="shared" ref="AK302" si="974">AF302+AG302+AH302+AI302+AJ302+AC302</f>
        <v>610</v>
      </c>
      <c r="AL302" s="884">
        <v>0</v>
      </c>
      <c r="AM302" s="878" t="str">
        <f t="shared" ref="AM302" si="975">IFERROR((AK302/AL302),"-")</f>
        <v>-</v>
      </c>
      <c r="AN302" s="2"/>
      <c r="AO302" s="884">
        <v>0</v>
      </c>
      <c r="AP302" s="884">
        <f t="shared" ref="AP302" si="976">AO302-AK302</f>
        <v>-610</v>
      </c>
      <c r="AV302" s="4" t="str">
        <f t="shared" si="870"/>
        <v>Escavação 1ª e 2ª categoria</v>
      </c>
      <c r="AW302" s="4" t="str">
        <f t="shared" si="871"/>
        <v xml:space="preserve">   Escavação, carga e transporte de material 1ª/2ª categoria  - Aterro 09</v>
      </c>
    </row>
    <row r="303" spans="1:49" ht="15" customHeight="1" outlineLevel="2">
      <c r="A303" s="525" t="str">
        <f t="shared" ref="A303" si="977">A302</f>
        <v>N</v>
      </c>
      <c r="B303" s="526" t="s">
        <v>416</v>
      </c>
      <c r="C303" s="526" t="s">
        <v>416</v>
      </c>
      <c r="D303" s="527" t="s">
        <v>536</v>
      </c>
      <c r="E303" s="932"/>
      <c r="F303" s="902"/>
      <c r="G303" s="528"/>
      <c r="H303" s="549" t="s">
        <v>38</v>
      </c>
      <c r="I303" s="711">
        <v>0</v>
      </c>
      <c r="J303" s="897"/>
      <c r="K303" s="528"/>
      <c r="L303" s="549" t="s">
        <v>38</v>
      </c>
      <c r="M303" s="711">
        <f t="shared" si="917"/>
        <v>0</v>
      </c>
      <c r="N303" s="897"/>
      <c r="O303" s="528"/>
      <c r="P303" s="711">
        <v>0</v>
      </c>
      <c r="Q303" s="711">
        <v>0</v>
      </c>
      <c r="R303" s="711">
        <v>0</v>
      </c>
      <c r="S303" s="711">
        <v>0</v>
      </c>
      <c r="T303" s="711">
        <v>0</v>
      </c>
      <c r="U303" s="711">
        <v>0</v>
      </c>
      <c r="V303" s="711">
        <v>0</v>
      </c>
      <c r="W303" s="528"/>
      <c r="X303" s="711">
        <f t="shared" si="918"/>
        <v>0</v>
      </c>
      <c r="Y303" s="897"/>
      <c r="Z303" s="528"/>
      <c r="AA303" s="899"/>
      <c r="AB303" s="899"/>
      <c r="AC303" s="899"/>
      <c r="AD303" s="901"/>
      <c r="AE303" s="2"/>
      <c r="AF303" s="885"/>
      <c r="AG303" s="885"/>
      <c r="AH303" s="885"/>
      <c r="AI303" s="885"/>
      <c r="AJ303" s="885"/>
      <c r="AK303" s="885"/>
      <c r="AL303" s="885"/>
      <c r="AM303" s="879"/>
      <c r="AN303" s="2"/>
      <c r="AO303" s="886"/>
      <c r="AP303" s="886"/>
      <c r="AV303" s="4" t="str">
        <f t="shared" si="870"/>
        <v>Escavação 1ª e 2ª categoria</v>
      </c>
      <c r="AW303" s="4" t="str">
        <f t="shared" si="871"/>
        <v xml:space="preserve">   Escavação, carga e transporte de material 1ª/2ª categoria  - Aterro 09</v>
      </c>
    </row>
    <row r="304" spans="1:49" ht="15" customHeight="1" outlineLevel="2">
      <c r="A304" s="545" t="str">
        <f t="shared" ref="A304" si="978">IF(SUM(P304:V305)&gt;0,"S","N")</f>
        <v>S</v>
      </c>
      <c r="B304" s="526" t="s">
        <v>266</v>
      </c>
      <c r="C304" s="526" t="s">
        <v>266</v>
      </c>
      <c r="D304" s="527" t="s">
        <v>538</v>
      </c>
      <c r="E304" s="931" t="s">
        <v>539</v>
      </c>
      <c r="F304" s="902" t="s">
        <v>36</v>
      </c>
      <c r="G304" s="528"/>
      <c r="H304" s="546" t="s">
        <v>37</v>
      </c>
      <c r="I304" s="711">
        <v>0</v>
      </c>
      <c r="J304" s="896" t="str">
        <f>IFERROR((I305/I304),"-")</f>
        <v>-</v>
      </c>
      <c r="K304" s="528"/>
      <c r="L304" s="546" t="s">
        <v>37</v>
      </c>
      <c r="M304" s="711">
        <f t="shared" si="917"/>
        <v>0</v>
      </c>
      <c r="N304" s="896" t="str">
        <f>IFERROR((M305/M304),"-")</f>
        <v>-</v>
      </c>
      <c r="O304" s="528"/>
      <c r="P304" s="547">
        <v>0</v>
      </c>
      <c r="Q304" s="547">
        <v>0</v>
      </c>
      <c r="R304" s="547">
        <v>0</v>
      </c>
      <c r="S304" s="547">
        <v>0</v>
      </c>
      <c r="T304" s="547">
        <v>0</v>
      </c>
      <c r="U304" s="547">
        <v>0</v>
      </c>
      <c r="V304" s="548">
        <v>0</v>
      </c>
      <c r="W304" s="528"/>
      <c r="X304" s="711">
        <f t="shared" si="918"/>
        <v>0</v>
      </c>
      <c r="Y304" s="896" t="str">
        <f>IFERROR((X305/X304),"0")</f>
        <v>0</v>
      </c>
      <c r="Z304" s="528"/>
      <c r="AA304" s="898">
        <v>0</v>
      </c>
      <c r="AB304" s="898">
        <v>0</v>
      </c>
      <c r="AC304" s="898">
        <v>50</v>
      </c>
      <c r="AD304" s="900" t="str">
        <f t="shared" ref="AD304" si="979">IFERROR((AC304/AB304),"-")</f>
        <v>-</v>
      </c>
      <c r="AE304" s="2"/>
      <c r="AF304" s="884">
        <v>0</v>
      </c>
      <c r="AG304" s="884"/>
      <c r="AH304" s="884">
        <v>0</v>
      </c>
      <c r="AI304" s="884"/>
      <c r="AJ304" s="884"/>
      <c r="AK304" s="884">
        <f t="shared" ref="AK304" si="980">AF304+AG304+AH304+AI304+AJ304+AC304</f>
        <v>50</v>
      </c>
      <c r="AL304" s="884">
        <v>0</v>
      </c>
      <c r="AM304" s="878" t="str">
        <f t="shared" ref="AM304" si="981">IFERROR((AK304/AL304),"-")</f>
        <v>-</v>
      </c>
      <c r="AN304" s="2"/>
      <c r="AO304" s="884">
        <v>0</v>
      </c>
      <c r="AP304" s="884">
        <f t="shared" ref="AP304" si="982">AO304-AK304</f>
        <v>-50</v>
      </c>
      <c r="AV304" s="4" t="str">
        <f t="shared" si="870"/>
        <v>Escavação 1ª e 2ª categoria</v>
      </c>
      <c r="AW304" s="4" t="str">
        <f t="shared" si="871"/>
        <v xml:space="preserve">   Escavação, carga e transporte de material 1ª/2ª categoria  - Corte 05 - ADMP</v>
      </c>
    </row>
    <row r="305" spans="1:49" ht="15" customHeight="1" outlineLevel="2">
      <c r="A305" s="525" t="str">
        <f t="shared" ref="A305" si="983">A304</f>
        <v>S</v>
      </c>
      <c r="B305" s="526" t="s">
        <v>416</v>
      </c>
      <c r="C305" s="526" t="s">
        <v>416</v>
      </c>
      <c r="D305" s="527" t="s">
        <v>538</v>
      </c>
      <c r="E305" s="932"/>
      <c r="F305" s="902"/>
      <c r="G305" s="528"/>
      <c r="H305" s="549" t="s">
        <v>38</v>
      </c>
      <c r="I305" s="711">
        <v>0</v>
      </c>
      <c r="J305" s="897"/>
      <c r="K305" s="528"/>
      <c r="L305" s="549" t="s">
        <v>38</v>
      </c>
      <c r="M305" s="711">
        <f t="shared" si="917"/>
        <v>50</v>
      </c>
      <c r="N305" s="897"/>
      <c r="O305" s="528"/>
      <c r="P305" s="711">
        <v>0</v>
      </c>
      <c r="Q305" s="711">
        <v>50</v>
      </c>
      <c r="R305" s="711">
        <v>0</v>
      </c>
      <c r="S305" s="711">
        <v>0</v>
      </c>
      <c r="T305" s="711">
        <v>0</v>
      </c>
      <c r="U305" s="711">
        <v>0</v>
      </c>
      <c r="V305" s="711">
        <v>0</v>
      </c>
      <c r="W305" s="528"/>
      <c r="X305" s="711">
        <f t="shared" si="918"/>
        <v>50</v>
      </c>
      <c r="Y305" s="897"/>
      <c r="Z305" s="528"/>
      <c r="AA305" s="899"/>
      <c r="AB305" s="899"/>
      <c r="AC305" s="899"/>
      <c r="AD305" s="901"/>
      <c r="AE305" s="2"/>
      <c r="AF305" s="885"/>
      <c r="AG305" s="885"/>
      <c r="AH305" s="885"/>
      <c r="AI305" s="885"/>
      <c r="AJ305" s="885"/>
      <c r="AK305" s="885"/>
      <c r="AL305" s="885"/>
      <c r="AM305" s="879"/>
      <c r="AN305" s="2"/>
      <c r="AO305" s="886"/>
      <c r="AP305" s="886"/>
      <c r="AV305" s="4" t="str">
        <f t="shared" si="870"/>
        <v>Escavação 1ª e 2ª categoria</v>
      </c>
      <c r="AW305" s="4" t="str">
        <f t="shared" si="871"/>
        <v xml:space="preserve">   Escavação, carga e transporte de material 1ª/2ª categoria  - Corte 05 - ADMP</v>
      </c>
    </row>
    <row r="306" spans="1:49" ht="15" customHeight="1" outlineLevel="1">
      <c r="A306" s="545" t="str">
        <f t="shared" ref="A306" si="984">IF(SUM(P306:V307)&gt;0,"S","N")</f>
        <v>N</v>
      </c>
      <c r="B306" s="526" t="s">
        <v>266</v>
      </c>
      <c r="C306" s="526" t="s">
        <v>266</v>
      </c>
      <c r="D306" s="527" t="s">
        <v>540</v>
      </c>
      <c r="E306" s="931" t="s">
        <v>539</v>
      </c>
      <c r="F306" s="902" t="s">
        <v>36</v>
      </c>
      <c r="G306" s="528"/>
      <c r="H306" s="546" t="s">
        <v>37</v>
      </c>
      <c r="I306" s="711">
        <v>0</v>
      </c>
      <c r="J306" s="896" t="str">
        <f>IFERROR((I307/I306),"-")</f>
        <v>-</v>
      </c>
      <c r="K306" s="528"/>
      <c r="L306" s="546" t="s">
        <v>37</v>
      </c>
      <c r="M306" s="711">
        <f t="shared" si="917"/>
        <v>0</v>
      </c>
      <c r="N306" s="896" t="str">
        <f>IFERROR((M307/M306),"-")</f>
        <v>-</v>
      </c>
      <c r="O306" s="528"/>
      <c r="P306" s="547">
        <v>0</v>
      </c>
      <c r="Q306" s="547">
        <v>0</v>
      </c>
      <c r="R306" s="547">
        <v>0</v>
      </c>
      <c r="S306" s="547">
        <v>0</v>
      </c>
      <c r="T306" s="547">
        <v>0</v>
      </c>
      <c r="U306" s="547">
        <v>0</v>
      </c>
      <c r="V306" s="548">
        <v>0</v>
      </c>
      <c r="W306" s="528"/>
      <c r="X306" s="711">
        <f t="shared" si="918"/>
        <v>0</v>
      </c>
      <c r="Y306" s="896" t="str">
        <f>IFERROR((X307/X306),"0")</f>
        <v>0</v>
      </c>
      <c r="Z306" s="528"/>
      <c r="AA306" s="898">
        <v>0</v>
      </c>
      <c r="AB306" s="898">
        <v>0</v>
      </c>
      <c r="AC306" s="898">
        <v>1020</v>
      </c>
      <c r="AD306" s="900" t="str">
        <f t="shared" ref="AD306" si="985">IFERROR((AC306/AB306),"-")</f>
        <v>-</v>
      </c>
      <c r="AE306" s="2"/>
      <c r="AF306" s="884">
        <v>0</v>
      </c>
      <c r="AG306" s="884"/>
      <c r="AH306" s="884">
        <v>0</v>
      </c>
      <c r="AI306" s="884"/>
      <c r="AJ306" s="884"/>
      <c r="AK306" s="884">
        <f t="shared" ref="AK306" si="986">AF306+AG306+AH306+AI306+AJ306+AC306</f>
        <v>1020</v>
      </c>
      <c r="AL306" s="884">
        <v>0</v>
      </c>
      <c r="AM306" s="878" t="str">
        <f t="shared" ref="AM306" si="987">IFERROR((AK306/AL306),"-")</f>
        <v>-</v>
      </c>
      <c r="AN306" s="2"/>
      <c r="AO306" s="884">
        <v>0</v>
      </c>
      <c r="AP306" s="884">
        <f t="shared" ref="AP306" si="988">AO306-AK306</f>
        <v>-1020</v>
      </c>
      <c r="AV306" s="4" t="str">
        <f t="shared" si="870"/>
        <v>Escavação 1ª e 2ª categoria</v>
      </c>
      <c r="AW306" s="4" t="str">
        <f t="shared" si="871"/>
        <v xml:space="preserve">   Escavação, carga e transporte de material 1ª/2ª categoria  - Corte 05 - ADMP</v>
      </c>
    </row>
    <row r="307" spans="1:49" ht="15" customHeight="1" outlineLevel="1">
      <c r="A307" s="525" t="str">
        <f t="shared" ref="A307" si="989">A306</f>
        <v>N</v>
      </c>
      <c r="B307" s="526" t="s">
        <v>416</v>
      </c>
      <c r="C307" s="526" t="s">
        <v>416</v>
      </c>
      <c r="D307" s="527" t="s">
        <v>540</v>
      </c>
      <c r="E307" s="932"/>
      <c r="F307" s="902"/>
      <c r="G307" s="528"/>
      <c r="H307" s="549" t="s">
        <v>38</v>
      </c>
      <c r="I307" s="711">
        <v>1020</v>
      </c>
      <c r="J307" s="897"/>
      <c r="K307" s="528"/>
      <c r="L307" s="549" t="s">
        <v>38</v>
      </c>
      <c r="M307" s="711">
        <f t="shared" si="917"/>
        <v>0</v>
      </c>
      <c r="N307" s="897"/>
      <c r="O307" s="528"/>
      <c r="P307" s="711">
        <v>0</v>
      </c>
      <c r="Q307" s="711">
        <v>0</v>
      </c>
      <c r="R307" s="711">
        <v>0</v>
      </c>
      <c r="S307" s="711">
        <v>0</v>
      </c>
      <c r="T307" s="711">
        <v>0</v>
      </c>
      <c r="U307" s="711">
        <v>0</v>
      </c>
      <c r="V307" s="711">
        <v>0</v>
      </c>
      <c r="W307" s="528"/>
      <c r="X307" s="711">
        <f t="shared" si="918"/>
        <v>0</v>
      </c>
      <c r="Y307" s="897"/>
      <c r="Z307" s="528"/>
      <c r="AA307" s="899"/>
      <c r="AB307" s="899"/>
      <c r="AC307" s="899"/>
      <c r="AD307" s="901"/>
      <c r="AE307" s="2"/>
      <c r="AF307" s="885"/>
      <c r="AG307" s="885"/>
      <c r="AH307" s="885"/>
      <c r="AI307" s="885"/>
      <c r="AJ307" s="885"/>
      <c r="AK307" s="885"/>
      <c r="AL307" s="885"/>
      <c r="AM307" s="879"/>
      <c r="AN307" s="2"/>
      <c r="AO307" s="886"/>
      <c r="AP307" s="886"/>
      <c r="AV307" s="4" t="str">
        <f t="shared" si="870"/>
        <v>Escavação 1ª e 2ª categoria</v>
      </c>
      <c r="AW307" s="4" t="str">
        <f t="shared" si="871"/>
        <v xml:space="preserve">   Escavação, carga e transporte de material 1ª/2ª categoria  - Corte 05 - ADMP</v>
      </c>
    </row>
    <row r="308" spans="1:49" ht="15" customHeight="1" outlineLevel="1">
      <c r="A308" s="525">
        <v>0</v>
      </c>
      <c r="B308" s="526"/>
      <c r="C308" s="533"/>
      <c r="D308" s="534"/>
      <c r="E308" s="535"/>
      <c r="F308" s="536"/>
      <c r="G308" s="537"/>
      <c r="H308" s="714"/>
      <c r="I308" s="555"/>
      <c r="J308" s="714"/>
      <c r="K308" s="537"/>
      <c r="L308" s="714"/>
      <c r="M308" s="555"/>
      <c r="N308" s="714"/>
      <c r="O308" s="537"/>
      <c r="P308" s="539"/>
      <c r="Q308" s="539"/>
      <c r="R308" s="539"/>
      <c r="S308" s="539"/>
      <c r="T308" s="539"/>
      <c r="U308" s="539"/>
      <c r="V308" s="539"/>
      <c r="W308" s="537"/>
      <c r="X308" s="540"/>
      <c r="Y308" s="537"/>
      <c r="Z308" s="537"/>
      <c r="AA308" s="249"/>
      <c r="AB308" s="249"/>
      <c r="AC308" s="249"/>
      <c r="AD308" s="537"/>
      <c r="AE308" s="3"/>
      <c r="AF308" s="35"/>
      <c r="AG308" s="35"/>
      <c r="AH308" s="35"/>
      <c r="AI308" s="35"/>
      <c r="AJ308" s="35"/>
      <c r="AK308" s="35"/>
      <c r="AL308" s="35"/>
      <c r="AM308" s="3"/>
      <c r="AN308" s="3"/>
      <c r="AO308" s="35"/>
      <c r="AP308" s="35"/>
      <c r="AV308" s="4" t="str">
        <f t="shared" si="870"/>
        <v>Escavação 1ª e 2ª categoria</v>
      </c>
      <c r="AW308" s="4" t="str">
        <f t="shared" si="871"/>
        <v xml:space="preserve">   Escavação, carga e transporte de material 1ª/2ª categoria  - Corte 05 - ADMP</v>
      </c>
    </row>
    <row r="309" spans="1:49" ht="25.35" customHeight="1" outlineLevel="1">
      <c r="A309" s="525">
        <v>0</v>
      </c>
      <c r="B309" s="526"/>
      <c r="C309" s="533"/>
      <c r="D309" s="534"/>
      <c r="E309" s="535"/>
      <c r="F309" s="541"/>
      <c r="G309" s="537"/>
      <c r="H309" s="537"/>
      <c r="I309" s="250"/>
      <c r="J309" s="537"/>
      <c r="K309" s="537"/>
      <c r="L309" s="537"/>
      <c r="M309" s="250"/>
      <c r="N309" s="537"/>
      <c r="O309" s="537"/>
      <c r="P309" s="539"/>
      <c r="Q309" s="539"/>
      <c r="R309" s="539"/>
      <c r="S309" s="539"/>
      <c r="T309" s="539"/>
      <c r="U309" s="539"/>
      <c r="V309" s="539"/>
      <c r="W309" s="537"/>
      <c r="X309" s="540"/>
      <c r="Y309" s="537"/>
      <c r="Z309" s="537"/>
      <c r="AA309" s="250"/>
      <c r="AB309" s="250"/>
      <c r="AC309" s="249"/>
      <c r="AD309" s="537"/>
      <c r="AE309" s="3"/>
      <c r="AF309" s="36"/>
      <c r="AG309" s="36"/>
      <c r="AH309" s="36"/>
      <c r="AI309" s="36"/>
      <c r="AJ309" s="36"/>
      <c r="AK309" s="36"/>
      <c r="AL309" s="36"/>
      <c r="AM309" s="3"/>
      <c r="AN309" s="3"/>
      <c r="AO309" s="36"/>
      <c r="AP309" s="36"/>
      <c r="AV309" s="4" t="str">
        <f t="shared" si="870"/>
        <v>Escavação 1ª e 2ª categoria</v>
      </c>
      <c r="AW309" s="4" t="str">
        <f t="shared" si="871"/>
        <v xml:space="preserve">   Escavação, carga e transporte de material 1ª/2ª categoria  - Corte 05 - ADMP</v>
      </c>
    </row>
    <row r="310" spans="1:49" ht="15" customHeight="1" outlineLevel="2">
      <c r="A310" s="525">
        <v>0</v>
      </c>
      <c r="B310" s="526"/>
      <c r="C310" s="556"/>
      <c r="D310" s="557"/>
      <c r="E310" s="933" t="s">
        <v>45</v>
      </c>
      <c r="F310" s="859" t="s">
        <v>36</v>
      </c>
      <c r="G310" s="528"/>
      <c r="H310" s="542" t="s">
        <v>37</v>
      </c>
      <c r="I310" s="543">
        <f t="shared" ref="I310" si="990">SUMIF($L312:$L363,$L310,I312:I363)</f>
        <v>36720</v>
      </c>
      <c r="J310" s="860">
        <f>IFERROR((I311/I310),"-")</f>
        <v>0.83959694989106759</v>
      </c>
      <c r="K310" s="528"/>
      <c r="L310" s="542" t="s">
        <v>37</v>
      </c>
      <c r="M310" s="543">
        <f t="shared" ref="M310" si="991">SUMIF($L312:$L363,$L310,M312:M363)</f>
        <v>7720</v>
      </c>
      <c r="N310" s="860">
        <f>IFERROR((M311/M310),"-")</f>
        <v>0.64119170984455953</v>
      </c>
      <c r="O310" s="528"/>
      <c r="P310" s="543">
        <f t="shared" ref="P310:V310" si="992">SUMIF($L312:$L363,$L310,P312:P363)</f>
        <v>7720</v>
      </c>
      <c r="Q310" s="543">
        <f t="shared" si="992"/>
        <v>7720</v>
      </c>
      <c r="R310" s="543">
        <f t="shared" si="992"/>
        <v>7720</v>
      </c>
      <c r="S310" s="543">
        <f t="shared" si="992"/>
        <v>7720</v>
      </c>
      <c r="T310" s="543">
        <f t="shared" si="992"/>
        <v>6920</v>
      </c>
      <c r="U310" s="543">
        <f t="shared" si="992"/>
        <v>6920</v>
      </c>
      <c r="V310" s="543">
        <f t="shared" si="992"/>
        <v>0</v>
      </c>
      <c r="W310" s="528"/>
      <c r="X310" s="543">
        <f t="shared" ref="X310:X363" si="993">SUMIFS(P310:V310,$P$8:$V$8,"&gt;="&amp;$P$8,$P$8:$V$8,"&lt;="&amp;$N$8)</f>
        <v>15440</v>
      </c>
      <c r="Y310" s="860">
        <f>IFERROR((X311/X310),"-")</f>
        <v>0.72862694300518138</v>
      </c>
      <c r="Z310" s="528"/>
      <c r="AA310" s="814">
        <f>SUM(AA312:AA363)</f>
        <v>103812.25999999998</v>
      </c>
      <c r="AB310" s="814">
        <f t="shared" ref="AB310:AC310" si="994">SUM(AB312:AB363)</f>
        <v>25459.77</v>
      </c>
      <c r="AC310" s="814">
        <f t="shared" si="994"/>
        <v>66730</v>
      </c>
      <c r="AD310" s="911">
        <f t="shared" ref="AD310" si="995">IFERROR((AC310/AB310),"-")</f>
        <v>2.6209977544966039</v>
      </c>
      <c r="AE310" s="2"/>
      <c r="AF310" s="888">
        <f t="shared" ref="AF310:AL310" si="996">SUM(AF312:AF363)</f>
        <v>291721.45299999998</v>
      </c>
      <c r="AG310" s="888">
        <f t="shared" si="996"/>
        <v>52043.310000000005</v>
      </c>
      <c r="AH310" s="888">
        <f t="shared" si="996"/>
        <v>71882</v>
      </c>
      <c r="AI310" s="888">
        <f t="shared" si="996"/>
        <v>15340.569</v>
      </c>
      <c r="AJ310" s="888">
        <f t="shared" ref="AJ310" si="997">SUM(AJ312:AJ363)</f>
        <v>76047.244999999995</v>
      </c>
      <c r="AK310" s="888">
        <f t="shared" si="996"/>
        <v>573764.57700000005</v>
      </c>
      <c r="AL310" s="888">
        <f t="shared" si="996"/>
        <v>577009.8400000002</v>
      </c>
      <c r="AM310" s="743">
        <f>IFERROR((AK310/AL310),"-")</f>
        <v>0.99437572329789015</v>
      </c>
      <c r="AN310" s="2"/>
      <c r="AO310" s="888">
        <f t="shared" ref="AO310:AP310" si="998">SUM(AO312:AO363)</f>
        <v>912170.1100000001</v>
      </c>
      <c r="AP310" s="888">
        <f t="shared" si="998"/>
        <v>338405.533</v>
      </c>
      <c r="AV310" s="4" t="str">
        <f t="shared" si="870"/>
        <v>Escavação 1ª e 2ª categoria</v>
      </c>
      <c r="AW310" s="4" t="str">
        <f t="shared" si="871"/>
        <v>Pacote 05 - Segmento 3.1 - 153+000 a 167+400</v>
      </c>
    </row>
    <row r="311" spans="1:49" ht="15" customHeight="1" outlineLevel="2">
      <c r="A311" s="525">
        <v>0</v>
      </c>
      <c r="B311" s="526"/>
      <c r="C311" s="556"/>
      <c r="D311" s="558"/>
      <c r="E311" s="934"/>
      <c r="F311" s="859"/>
      <c r="G311" s="528"/>
      <c r="H311" s="544" t="s">
        <v>38</v>
      </c>
      <c r="I311" s="543">
        <f t="shared" ref="I311" si="999">SUMIF($L312:$L363,$L311,I312:I363)</f>
        <v>30830</v>
      </c>
      <c r="J311" s="861"/>
      <c r="K311" s="528"/>
      <c r="L311" s="544" t="s">
        <v>38</v>
      </c>
      <c r="M311" s="543">
        <f t="shared" ref="M311" si="1000">SUMIF($L312:$L363,$L311,M312:M363)</f>
        <v>4950</v>
      </c>
      <c r="N311" s="861"/>
      <c r="O311" s="528"/>
      <c r="P311" s="543">
        <f t="shared" ref="P311:V311" si="1001">SUMIF($L312:$L363,$L311,P312:P363)</f>
        <v>6300</v>
      </c>
      <c r="Q311" s="543">
        <f t="shared" si="1001"/>
        <v>4950</v>
      </c>
      <c r="R311" s="543">
        <f t="shared" si="1001"/>
        <v>0</v>
      </c>
      <c r="S311" s="543">
        <f t="shared" si="1001"/>
        <v>0</v>
      </c>
      <c r="T311" s="543">
        <f t="shared" si="1001"/>
        <v>0</v>
      </c>
      <c r="U311" s="543">
        <f t="shared" si="1001"/>
        <v>0</v>
      </c>
      <c r="V311" s="543">
        <f t="shared" si="1001"/>
        <v>0</v>
      </c>
      <c r="W311" s="528"/>
      <c r="X311" s="543">
        <f t="shared" si="993"/>
        <v>11250</v>
      </c>
      <c r="Y311" s="861"/>
      <c r="Z311" s="528"/>
      <c r="AA311" s="815"/>
      <c r="AB311" s="815"/>
      <c r="AC311" s="815"/>
      <c r="AD311" s="912"/>
      <c r="AE311" s="2"/>
      <c r="AF311" s="889"/>
      <c r="AG311" s="889"/>
      <c r="AH311" s="889"/>
      <c r="AI311" s="889"/>
      <c r="AJ311" s="889"/>
      <c r="AK311" s="889"/>
      <c r="AL311" s="889"/>
      <c r="AM311" s="744"/>
      <c r="AN311" s="2"/>
      <c r="AO311" s="889"/>
      <c r="AP311" s="889"/>
      <c r="AV311" s="4" t="str">
        <f t="shared" si="870"/>
        <v>Escavação 1ª e 2ª categoria</v>
      </c>
      <c r="AW311" s="4" t="str">
        <f t="shared" si="871"/>
        <v>Pacote 05 - Segmento 3.1 - 153+000 a 167+400</v>
      </c>
    </row>
    <row r="312" spans="1:49" ht="11.45" customHeight="1" outlineLevel="2">
      <c r="A312" s="545" t="str">
        <f t="shared" ref="A312:A322" si="1002">IF(SUM(P312:V313)&gt;0,"S","N")</f>
        <v>N</v>
      </c>
      <c r="B312" s="526">
        <v>1065396</v>
      </c>
      <c r="C312" s="526" t="s">
        <v>541</v>
      </c>
      <c r="D312" s="527" t="s">
        <v>542</v>
      </c>
      <c r="E312" s="892" t="s">
        <v>543</v>
      </c>
      <c r="F312" s="902" t="s">
        <v>36</v>
      </c>
      <c r="G312" s="528"/>
      <c r="H312" s="546" t="s">
        <v>37</v>
      </c>
      <c r="I312" s="711">
        <v>0</v>
      </c>
      <c r="J312" s="896" t="str">
        <f>IFERROR((I313/I312),"-")</f>
        <v>-</v>
      </c>
      <c r="K312" s="528"/>
      <c r="L312" s="546" t="s">
        <v>37</v>
      </c>
      <c r="M312" s="711">
        <f t="shared" ref="M312:M363" si="1003">_xlfn.XLOOKUP($N$8,$P$8:$V$8,$P312:$V312)</f>
        <v>0</v>
      </c>
      <c r="N312" s="896" t="str">
        <f>IFERROR((M313/M312),"-")</f>
        <v>-</v>
      </c>
      <c r="O312" s="528"/>
      <c r="P312" s="547">
        <v>0</v>
      </c>
      <c r="Q312" s="547">
        <v>0</v>
      </c>
      <c r="R312" s="547">
        <v>0</v>
      </c>
      <c r="S312" s="547">
        <v>0</v>
      </c>
      <c r="T312" s="547">
        <v>0</v>
      </c>
      <c r="U312" s="547">
        <v>0</v>
      </c>
      <c r="V312" s="548">
        <v>0</v>
      </c>
      <c r="W312" s="528"/>
      <c r="X312" s="711">
        <f t="shared" si="993"/>
        <v>0</v>
      </c>
      <c r="Y312" s="896" t="str">
        <f t="shared" ref="Y312" si="1004">IFERROR((X313/X312),"0")</f>
        <v>0</v>
      </c>
      <c r="Z312" s="528"/>
      <c r="AA312" s="898">
        <v>12519.01</v>
      </c>
      <c r="AB312" s="898">
        <v>12519.01</v>
      </c>
      <c r="AC312" s="898">
        <v>370</v>
      </c>
      <c r="AD312" s="900">
        <f t="shared" ref="AD312" si="1005">IFERROR((AC312/AB312),"-")</f>
        <v>2.9555052675890505E-2</v>
      </c>
      <c r="AE312" s="2"/>
      <c r="AF312" s="884">
        <v>26217</v>
      </c>
      <c r="AG312" s="884"/>
      <c r="AH312" s="884">
        <v>2140</v>
      </c>
      <c r="AI312" s="884"/>
      <c r="AJ312" s="884"/>
      <c r="AK312" s="884">
        <f t="shared" ref="AK312" si="1006">AF312+AG312+AH312+AI312+AJ312+AC312</f>
        <v>28727</v>
      </c>
      <c r="AL312" s="884">
        <v>40876.01999999996</v>
      </c>
      <c r="AM312" s="878">
        <f t="shared" ref="AM312" si="1007">IFERROR((AK312/AL312),"-")</f>
        <v>0.7027836858872275</v>
      </c>
      <c r="AN312" s="2"/>
      <c r="AO312" s="884">
        <v>40874.33</v>
      </c>
      <c r="AP312" s="884">
        <f t="shared" ref="AP312" si="1008">AO312-AK312</f>
        <v>12147.330000000002</v>
      </c>
      <c r="AV312" s="4" t="str">
        <f t="shared" si="870"/>
        <v>Escavação 1ª e 2ª categoria</v>
      </c>
      <c r="AW312" s="4" t="str">
        <f t="shared" si="871"/>
        <v xml:space="preserve">   Escavação, carga e transporte de material 1ª/2ª categoria - Seg.3.1 C 03</v>
      </c>
    </row>
    <row r="313" spans="1:49" ht="18" customHeight="1" outlineLevel="2">
      <c r="A313" s="545" t="str">
        <f t="shared" si="1002"/>
        <v>N</v>
      </c>
      <c r="B313" s="526"/>
      <c r="C313" s="526"/>
      <c r="D313" s="527" t="s">
        <v>542</v>
      </c>
      <c r="E313" s="893"/>
      <c r="F313" s="902"/>
      <c r="G313" s="528"/>
      <c r="H313" s="549" t="s">
        <v>38</v>
      </c>
      <c r="I313" s="711">
        <v>0</v>
      </c>
      <c r="J313" s="897"/>
      <c r="K313" s="528"/>
      <c r="L313" s="549" t="s">
        <v>38</v>
      </c>
      <c r="M313" s="711">
        <f t="shared" si="1003"/>
        <v>0</v>
      </c>
      <c r="N313" s="897"/>
      <c r="O313" s="528"/>
      <c r="P313" s="711">
        <v>0</v>
      </c>
      <c r="Q313" s="711">
        <v>0</v>
      </c>
      <c r="R313" s="711">
        <v>0</v>
      </c>
      <c r="S313" s="711">
        <v>0</v>
      </c>
      <c r="T313" s="711">
        <v>0</v>
      </c>
      <c r="U313" s="711">
        <v>0</v>
      </c>
      <c r="V313" s="711">
        <v>0</v>
      </c>
      <c r="W313" s="528"/>
      <c r="X313" s="711">
        <f t="shared" si="993"/>
        <v>0</v>
      </c>
      <c r="Y313" s="897"/>
      <c r="Z313" s="528"/>
      <c r="AA313" s="899"/>
      <c r="AB313" s="899"/>
      <c r="AC313" s="899"/>
      <c r="AD313" s="901"/>
      <c r="AE313" s="2"/>
      <c r="AF313" s="885"/>
      <c r="AG313" s="885"/>
      <c r="AH313" s="885"/>
      <c r="AI313" s="885"/>
      <c r="AJ313" s="885"/>
      <c r="AK313" s="885"/>
      <c r="AL313" s="885"/>
      <c r="AM313" s="879"/>
      <c r="AN313" s="2"/>
      <c r="AO313" s="886"/>
      <c r="AP313" s="886"/>
      <c r="AV313" s="4" t="str">
        <f t="shared" si="870"/>
        <v>Escavação 1ª e 2ª categoria</v>
      </c>
      <c r="AW313" s="4" t="str">
        <f t="shared" si="871"/>
        <v xml:space="preserve">   Escavação, carga e transporte de material 1ª/2ª categoria - Seg.3.1 C 03</v>
      </c>
    </row>
    <row r="314" spans="1:49" ht="18" customHeight="1" outlineLevel="2">
      <c r="A314" s="545" t="str">
        <f t="shared" si="1002"/>
        <v>N</v>
      </c>
      <c r="B314" s="526">
        <v>1065398</v>
      </c>
      <c r="C314" s="526" t="s">
        <v>544</v>
      </c>
      <c r="D314" s="527" t="s">
        <v>545</v>
      </c>
      <c r="E314" s="892" t="s">
        <v>546</v>
      </c>
      <c r="F314" s="902" t="s">
        <v>36</v>
      </c>
      <c r="G314" s="528"/>
      <c r="H314" s="546" t="s">
        <v>37</v>
      </c>
      <c r="I314" s="711">
        <v>0</v>
      </c>
      <c r="J314" s="896" t="str">
        <f>IFERROR((I315/I314),"-")</f>
        <v>-</v>
      </c>
      <c r="K314" s="528"/>
      <c r="L314" s="546" t="s">
        <v>37</v>
      </c>
      <c r="M314" s="711">
        <f t="shared" si="1003"/>
        <v>0</v>
      </c>
      <c r="N314" s="896" t="str">
        <f>IFERROR((M315/M314),"-")</f>
        <v>-</v>
      </c>
      <c r="O314" s="528"/>
      <c r="P314" s="547">
        <v>0</v>
      </c>
      <c r="Q314" s="547">
        <v>0</v>
      </c>
      <c r="R314" s="547">
        <v>0</v>
      </c>
      <c r="S314" s="547">
        <v>0</v>
      </c>
      <c r="T314" s="547">
        <v>0</v>
      </c>
      <c r="U314" s="547">
        <v>0</v>
      </c>
      <c r="V314" s="548">
        <v>0</v>
      </c>
      <c r="W314" s="528"/>
      <c r="X314" s="711">
        <f t="shared" si="993"/>
        <v>0</v>
      </c>
      <c r="Y314" s="896" t="str">
        <f t="shared" ref="Y314" si="1009">IFERROR((X315/X314),"0")</f>
        <v>0</v>
      </c>
      <c r="Z314" s="528"/>
      <c r="AA314" s="898">
        <v>4695.45</v>
      </c>
      <c r="AB314" s="898">
        <v>2222.34</v>
      </c>
      <c r="AC314" s="898">
        <v>0</v>
      </c>
      <c r="AD314" s="900">
        <f t="shared" ref="AD314" si="1010">IFERROR((AC314/AB314),"-")</f>
        <v>0</v>
      </c>
      <c r="AE314" s="2"/>
      <c r="AF314" s="884">
        <v>53239</v>
      </c>
      <c r="AG314" s="884">
        <v>15168.949000000001</v>
      </c>
      <c r="AH314" s="884">
        <v>0</v>
      </c>
      <c r="AI314" s="884"/>
      <c r="AJ314" s="884"/>
      <c r="AK314" s="884">
        <f t="shared" ref="AK314" si="1011">AF314+AG314+AH314+AI314+AJ314+AC314</f>
        <v>68407.948999999993</v>
      </c>
      <c r="AL314" s="884">
        <v>70630.380000000048</v>
      </c>
      <c r="AM314" s="878">
        <f t="shared" ref="AM314" si="1012">IFERROR((AK314/AL314),"-")</f>
        <v>0.96853434740121669</v>
      </c>
      <c r="AN314" s="2"/>
      <c r="AO314" s="884">
        <v>140412</v>
      </c>
      <c r="AP314" s="884">
        <f t="shared" ref="AP314" si="1013">AO314-AK314</f>
        <v>72004.051000000007</v>
      </c>
      <c r="AV314" s="4" t="str">
        <f t="shared" si="870"/>
        <v>Escavação 1ª e 2ª categoria</v>
      </c>
      <c r="AW314" s="4" t="str">
        <f t="shared" si="871"/>
        <v xml:space="preserve">   Escavação, carga e transporte de material 1ª/2ª categoria - Seg.3.1 C 05</v>
      </c>
    </row>
    <row r="315" spans="1:49" ht="17.850000000000001" customHeight="1" outlineLevel="2">
      <c r="A315" s="545" t="str">
        <f t="shared" si="1002"/>
        <v>N</v>
      </c>
      <c r="B315" s="526"/>
      <c r="C315" s="526"/>
      <c r="D315" s="527" t="s">
        <v>545</v>
      </c>
      <c r="E315" s="893"/>
      <c r="F315" s="902"/>
      <c r="G315" s="528"/>
      <c r="H315" s="549" t="s">
        <v>38</v>
      </c>
      <c r="I315" s="711">
        <v>0</v>
      </c>
      <c r="J315" s="897"/>
      <c r="K315" s="528"/>
      <c r="L315" s="549" t="s">
        <v>38</v>
      </c>
      <c r="M315" s="711">
        <f t="shared" si="1003"/>
        <v>0</v>
      </c>
      <c r="N315" s="897"/>
      <c r="O315" s="528"/>
      <c r="P315" s="711">
        <v>0</v>
      </c>
      <c r="Q315" s="711">
        <v>0</v>
      </c>
      <c r="R315" s="711">
        <v>0</v>
      </c>
      <c r="S315" s="711">
        <v>0</v>
      </c>
      <c r="T315" s="711">
        <v>0</v>
      </c>
      <c r="U315" s="711">
        <v>0</v>
      </c>
      <c r="V315" s="711">
        <v>0</v>
      </c>
      <c r="W315" s="528"/>
      <c r="X315" s="711">
        <f t="shared" si="993"/>
        <v>0</v>
      </c>
      <c r="Y315" s="897"/>
      <c r="Z315" s="528"/>
      <c r="AA315" s="899"/>
      <c r="AB315" s="899"/>
      <c r="AC315" s="899"/>
      <c r="AD315" s="901"/>
      <c r="AE315" s="2"/>
      <c r="AF315" s="885"/>
      <c r="AG315" s="885"/>
      <c r="AH315" s="885"/>
      <c r="AI315" s="885"/>
      <c r="AJ315" s="885"/>
      <c r="AK315" s="885"/>
      <c r="AL315" s="885"/>
      <c r="AM315" s="879"/>
      <c r="AN315" s="2"/>
      <c r="AO315" s="886"/>
      <c r="AP315" s="886"/>
      <c r="AV315" s="4" t="str">
        <f t="shared" si="870"/>
        <v>Escavação 1ª e 2ª categoria</v>
      </c>
      <c r="AW315" s="4" t="str">
        <f t="shared" si="871"/>
        <v xml:space="preserve">   Escavação, carga e transporte de material 1ª/2ª categoria - Seg.3.1 C 05</v>
      </c>
    </row>
    <row r="316" spans="1:49" ht="21.95" customHeight="1" outlineLevel="2">
      <c r="A316" s="545" t="str">
        <f t="shared" si="1002"/>
        <v>N</v>
      </c>
      <c r="B316" s="526">
        <v>1064825</v>
      </c>
      <c r="C316" s="526" t="s">
        <v>547</v>
      </c>
      <c r="D316" s="527" t="s">
        <v>548</v>
      </c>
      <c r="E316" s="892" t="s">
        <v>549</v>
      </c>
      <c r="F316" s="902" t="s">
        <v>36</v>
      </c>
      <c r="G316" s="528"/>
      <c r="H316" s="546" t="s">
        <v>37</v>
      </c>
      <c r="I316" s="711">
        <v>0</v>
      </c>
      <c r="J316" s="896" t="str">
        <f>IFERROR((I317/I316),"-")</f>
        <v>-</v>
      </c>
      <c r="K316" s="528"/>
      <c r="L316" s="546" t="s">
        <v>37</v>
      </c>
      <c r="M316" s="711">
        <f t="shared" si="1003"/>
        <v>0</v>
      </c>
      <c r="N316" s="896" t="str">
        <f>IFERROR((M317/M316),"-")</f>
        <v>-</v>
      </c>
      <c r="O316" s="528"/>
      <c r="P316" s="547">
        <v>0</v>
      </c>
      <c r="Q316" s="547">
        <v>0</v>
      </c>
      <c r="R316" s="547">
        <v>0</v>
      </c>
      <c r="S316" s="547">
        <v>0</v>
      </c>
      <c r="T316" s="547">
        <v>0</v>
      </c>
      <c r="U316" s="547">
        <v>0</v>
      </c>
      <c r="V316" s="548">
        <v>0</v>
      </c>
      <c r="W316" s="528"/>
      <c r="X316" s="711">
        <f t="shared" si="993"/>
        <v>0</v>
      </c>
      <c r="Y316" s="896" t="str">
        <f t="shared" ref="Y316" si="1014">IFERROR((X317/X316),"0")</f>
        <v>0</v>
      </c>
      <c r="Z316" s="528"/>
      <c r="AA316" s="898">
        <v>0</v>
      </c>
      <c r="AB316" s="898">
        <v>0</v>
      </c>
      <c r="AC316" s="898">
        <v>0</v>
      </c>
      <c r="AD316" s="900" t="str">
        <f t="shared" ref="AD316" si="1015">IFERROR((AC316/AB316),"-")</f>
        <v>-</v>
      </c>
      <c r="AE316" s="2"/>
      <c r="AF316" s="884">
        <v>0</v>
      </c>
      <c r="AG316" s="884"/>
      <c r="AH316" s="884">
        <v>0</v>
      </c>
      <c r="AI316" s="884"/>
      <c r="AJ316" s="884"/>
      <c r="AK316" s="884">
        <f t="shared" ref="AK316" si="1016">AF316+AG316+AH316+AI316+AJ316+AC316</f>
        <v>0</v>
      </c>
      <c r="AL316" s="884">
        <v>0</v>
      </c>
      <c r="AM316" s="878" t="str">
        <f t="shared" ref="AM316" si="1017">IFERROR((AK316/AL316),"-")</f>
        <v>-</v>
      </c>
      <c r="AN316" s="2"/>
      <c r="AO316" s="884">
        <v>1453</v>
      </c>
      <c r="AP316" s="884">
        <f t="shared" ref="AP316" si="1018">AO316-AK316</f>
        <v>1453</v>
      </c>
      <c r="AV316" s="4" t="str">
        <f t="shared" si="870"/>
        <v>Escavação 1ª e 2ª categoria</v>
      </c>
      <c r="AW316" s="4" t="str">
        <f t="shared" si="871"/>
        <v xml:space="preserve">   Escavação, carga e transporte de material 1ª/2ª categoria - Seg.3.1 acesso km 154+755</v>
      </c>
    </row>
    <row r="317" spans="1:49" ht="11.25" customHeight="1" outlineLevel="2">
      <c r="A317" s="545" t="str">
        <f t="shared" si="1002"/>
        <v>N</v>
      </c>
      <c r="B317" s="526"/>
      <c r="C317" s="526"/>
      <c r="D317" s="527" t="s">
        <v>548</v>
      </c>
      <c r="E317" s="893"/>
      <c r="F317" s="902"/>
      <c r="G317" s="528"/>
      <c r="H317" s="549" t="s">
        <v>38</v>
      </c>
      <c r="I317" s="711">
        <v>0</v>
      </c>
      <c r="J317" s="897"/>
      <c r="K317" s="528"/>
      <c r="L317" s="549" t="s">
        <v>38</v>
      </c>
      <c r="M317" s="711">
        <f t="shared" si="1003"/>
        <v>0</v>
      </c>
      <c r="N317" s="897"/>
      <c r="O317" s="528"/>
      <c r="P317" s="711">
        <v>0</v>
      </c>
      <c r="Q317" s="711">
        <v>0</v>
      </c>
      <c r="R317" s="711">
        <v>0</v>
      </c>
      <c r="S317" s="711">
        <v>0</v>
      </c>
      <c r="T317" s="711">
        <v>0</v>
      </c>
      <c r="U317" s="711">
        <v>0</v>
      </c>
      <c r="V317" s="711">
        <v>0</v>
      </c>
      <c r="W317" s="528"/>
      <c r="X317" s="711">
        <f t="shared" si="993"/>
        <v>0</v>
      </c>
      <c r="Y317" s="897"/>
      <c r="Z317" s="528"/>
      <c r="AA317" s="899"/>
      <c r="AB317" s="899"/>
      <c r="AC317" s="899"/>
      <c r="AD317" s="901"/>
      <c r="AE317" s="2"/>
      <c r="AF317" s="885"/>
      <c r="AG317" s="885"/>
      <c r="AH317" s="885"/>
      <c r="AI317" s="885"/>
      <c r="AJ317" s="885"/>
      <c r="AK317" s="885"/>
      <c r="AL317" s="885"/>
      <c r="AM317" s="879"/>
      <c r="AN317" s="2"/>
      <c r="AO317" s="886"/>
      <c r="AP317" s="886"/>
      <c r="AV317" s="4" t="str">
        <f t="shared" si="870"/>
        <v>Escavação 1ª e 2ª categoria</v>
      </c>
      <c r="AW317" s="4" t="str">
        <f t="shared" si="871"/>
        <v xml:space="preserve">   Escavação, carga e transporte de material 1ª/2ª categoria - Seg.3.1 acesso km 154+755</v>
      </c>
    </row>
    <row r="318" spans="1:49" ht="19.350000000000001" customHeight="1" outlineLevel="2">
      <c r="A318" s="545" t="str">
        <f t="shared" si="1002"/>
        <v>N</v>
      </c>
      <c r="B318" s="526">
        <v>1064826</v>
      </c>
      <c r="C318" s="526" t="s">
        <v>550</v>
      </c>
      <c r="D318" s="527" t="s">
        <v>551</v>
      </c>
      <c r="E318" s="892" t="s">
        <v>552</v>
      </c>
      <c r="F318" s="902" t="s">
        <v>36</v>
      </c>
      <c r="G318" s="528"/>
      <c r="H318" s="546" t="s">
        <v>37</v>
      </c>
      <c r="I318" s="711">
        <v>0</v>
      </c>
      <c r="J318" s="896" t="str">
        <f>IFERROR((I319/I318),"-")</f>
        <v>-</v>
      </c>
      <c r="K318" s="528"/>
      <c r="L318" s="546" t="s">
        <v>37</v>
      </c>
      <c r="M318" s="711">
        <f t="shared" si="1003"/>
        <v>0</v>
      </c>
      <c r="N318" s="896" t="str">
        <f>IFERROR((M319/M318),"-")</f>
        <v>-</v>
      </c>
      <c r="O318" s="528"/>
      <c r="P318" s="547">
        <v>0</v>
      </c>
      <c r="Q318" s="547">
        <v>0</v>
      </c>
      <c r="R318" s="547">
        <v>0</v>
      </c>
      <c r="S318" s="547">
        <v>0</v>
      </c>
      <c r="T318" s="547">
        <v>0</v>
      </c>
      <c r="U318" s="547">
        <v>0</v>
      </c>
      <c r="V318" s="548">
        <v>0</v>
      </c>
      <c r="W318" s="528"/>
      <c r="X318" s="711">
        <f t="shared" si="993"/>
        <v>0</v>
      </c>
      <c r="Y318" s="896" t="str">
        <f t="shared" ref="Y318" si="1019">IFERROR((X319/X318),"0")</f>
        <v>0</v>
      </c>
      <c r="Z318" s="528"/>
      <c r="AA318" s="898">
        <v>0</v>
      </c>
      <c r="AB318" s="898">
        <v>0</v>
      </c>
      <c r="AC318" s="898">
        <v>0</v>
      </c>
      <c r="AD318" s="900" t="str">
        <f t="shared" ref="AD318" si="1020">IFERROR((AC318/AB318),"-")</f>
        <v>-</v>
      </c>
      <c r="AE318" s="2"/>
      <c r="AF318" s="884">
        <v>0</v>
      </c>
      <c r="AG318" s="884"/>
      <c r="AH318" s="884">
        <v>0</v>
      </c>
      <c r="AI318" s="884"/>
      <c r="AJ318" s="884"/>
      <c r="AK318" s="884">
        <f t="shared" ref="AK318" si="1021">AF318+AG318+AH318+AI318+AJ318+AC318</f>
        <v>0</v>
      </c>
      <c r="AL318" s="884">
        <v>0</v>
      </c>
      <c r="AM318" s="878" t="str">
        <f t="shared" ref="AM318" si="1022">IFERROR((AK318/AL318),"-")</f>
        <v>-</v>
      </c>
      <c r="AN318" s="2"/>
      <c r="AO318" s="884">
        <v>2206</v>
      </c>
      <c r="AP318" s="884">
        <f t="shared" ref="AP318" si="1023">AO318-AK318</f>
        <v>2206</v>
      </c>
      <c r="AV318" s="4" t="str">
        <f t="shared" si="870"/>
        <v>Escavação 1ª e 2ª categoria</v>
      </c>
      <c r="AW318" s="4" t="str">
        <f t="shared" si="871"/>
        <v xml:space="preserve">   Escavação, carga e transporte de material 1ª/2ª categoria - Seg.3.1 acesso km 159+900</v>
      </c>
    </row>
    <row r="319" spans="1:49" ht="18.399999999999999" customHeight="1" outlineLevel="2">
      <c r="A319" s="545" t="str">
        <f t="shared" si="1002"/>
        <v>N</v>
      </c>
      <c r="B319" s="526"/>
      <c r="C319" s="526"/>
      <c r="D319" s="527" t="s">
        <v>551</v>
      </c>
      <c r="E319" s="893"/>
      <c r="F319" s="902"/>
      <c r="G319" s="528"/>
      <c r="H319" s="549" t="s">
        <v>38</v>
      </c>
      <c r="I319" s="711">
        <v>0</v>
      </c>
      <c r="J319" s="897"/>
      <c r="K319" s="528"/>
      <c r="L319" s="549" t="s">
        <v>38</v>
      </c>
      <c r="M319" s="711">
        <f t="shared" si="1003"/>
        <v>0</v>
      </c>
      <c r="N319" s="897"/>
      <c r="O319" s="528"/>
      <c r="P319" s="711">
        <v>0</v>
      </c>
      <c r="Q319" s="711">
        <v>0</v>
      </c>
      <c r="R319" s="711">
        <v>0</v>
      </c>
      <c r="S319" s="711">
        <v>0</v>
      </c>
      <c r="T319" s="711">
        <v>0</v>
      </c>
      <c r="U319" s="711">
        <v>0</v>
      </c>
      <c r="V319" s="711">
        <v>0</v>
      </c>
      <c r="W319" s="528"/>
      <c r="X319" s="711">
        <f t="shared" si="993"/>
        <v>0</v>
      </c>
      <c r="Y319" s="897"/>
      <c r="Z319" s="528"/>
      <c r="AA319" s="899"/>
      <c r="AB319" s="899"/>
      <c r="AC319" s="899"/>
      <c r="AD319" s="901"/>
      <c r="AE319" s="2"/>
      <c r="AF319" s="885"/>
      <c r="AG319" s="885"/>
      <c r="AH319" s="885"/>
      <c r="AI319" s="885"/>
      <c r="AJ319" s="885"/>
      <c r="AK319" s="885"/>
      <c r="AL319" s="885"/>
      <c r="AM319" s="879"/>
      <c r="AN319" s="2"/>
      <c r="AO319" s="886"/>
      <c r="AP319" s="886"/>
      <c r="AV319" s="4" t="str">
        <f t="shared" si="870"/>
        <v>Escavação 1ª e 2ª categoria</v>
      </c>
      <c r="AW319" s="4" t="str">
        <f t="shared" si="871"/>
        <v xml:space="preserve">   Escavação, carga e transporte de material 1ª/2ª categoria - Seg.3.1 acesso km 159+900</v>
      </c>
    </row>
    <row r="320" spans="1:49" ht="15" customHeight="1" outlineLevel="2">
      <c r="A320" s="545" t="str">
        <f t="shared" si="1002"/>
        <v>N</v>
      </c>
      <c r="B320" s="526">
        <v>1064827</v>
      </c>
      <c r="C320" s="526" t="s">
        <v>553</v>
      </c>
      <c r="D320" s="527" t="s">
        <v>554</v>
      </c>
      <c r="E320" s="892" t="s">
        <v>555</v>
      </c>
      <c r="F320" s="902" t="s">
        <v>36</v>
      </c>
      <c r="G320" s="528"/>
      <c r="H320" s="546" t="s">
        <v>37</v>
      </c>
      <c r="I320" s="711">
        <v>0</v>
      </c>
      <c r="J320" s="896" t="str">
        <f>IFERROR((I321/I320),"-")</f>
        <v>-</v>
      </c>
      <c r="K320" s="528"/>
      <c r="L320" s="546" t="s">
        <v>37</v>
      </c>
      <c r="M320" s="711">
        <f t="shared" si="1003"/>
        <v>0</v>
      </c>
      <c r="N320" s="896" t="str">
        <f>IFERROR((M321/M320),"-")</f>
        <v>-</v>
      </c>
      <c r="O320" s="528"/>
      <c r="P320" s="547">
        <v>0</v>
      </c>
      <c r="Q320" s="547">
        <v>0</v>
      </c>
      <c r="R320" s="547">
        <v>0</v>
      </c>
      <c r="S320" s="547">
        <v>0</v>
      </c>
      <c r="T320" s="547">
        <v>0</v>
      </c>
      <c r="U320" s="547">
        <v>0</v>
      </c>
      <c r="V320" s="548">
        <v>0</v>
      </c>
      <c r="W320" s="528"/>
      <c r="X320" s="711">
        <f t="shared" si="993"/>
        <v>0</v>
      </c>
      <c r="Y320" s="896" t="str">
        <f t="shared" ref="Y320" si="1024">IFERROR((X321/X320),"0")</f>
        <v>0</v>
      </c>
      <c r="Z320" s="528"/>
      <c r="AA320" s="898">
        <v>0</v>
      </c>
      <c r="AB320" s="898">
        <v>0</v>
      </c>
      <c r="AC320" s="898">
        <v>0</v>
      </c>
      <c r="AD320" s="900" t="str">
        <f t="shared" ref="AD320" si="1025">IFERROR((AC320/AB320),"-")</f>
        <v>-</v>
      </c>
      <c r="AE320" s="2"/>
      <c r="AF320" s="884">
        <v>0</v>
      </c>
      <c r="AG320" s="884"/>
      <c r="AH320" s="884">
        <v>0</v>
      </c>
      <c r="AI320" s="884"/>
      <c r="AJ320" s="884"/>
      <c r="AK320" s="884">
        <f t="shared" ref="AK320" si="1026">AF320+AG320+AH320+AI320+AJ320+AC320</f>
        <v>0</v>
      </c>
      <c r="AL320" s="884">
        <v>0</v>
      </c>
      <c r="AM320" s="878" t="str">
        <f t="shared" ref="AM320" si="1027">IFERROR((AK320/AL320),"-")</f>
        <v>-</v>
      </c>
      <c r="AN320" s="2"/>
      <c r="AO320" s="884">
        <v>13019</v>
      </c>
      <c r="AP320" s="884">
        <f t="shared" ref="AP320" si="1028">AO320-AK320</f>
        <v>13019</v>
      </c>
      <c r="AV320" s="4" t="str">
        <f t="shared" si="870"/>
        <v>Escavação 1ª e 2ª categoria</v>
      </c>
      <c r="AW320" s="4" t="str">
        <f t="shared" si="871"/>
        <v xml:space="preserve">   Escavação, carga e transporte de material 1ª/2ª categoria - Seg.3.1 acesso km 165+850</v>
      </c>
    </row>
    <row r="321" spans="1:49" ht="15" customHeight="1" outlineLevel="2">
      <c r="A321" s="545" t="str">
        <f t="shared" si="1002"/>
        <v>S</v>
      </c>
      <c r="B321" s="526"/>
      <c r="C321" s="526"/>
      <c r="D321" s="527" t="s">
        <v>554</v>
      </c>
      <c r="E321" s="893"/>
      <c r="F321" s="902"/>
      <c r="G321" s="528"/>
      <c r="H321" s="549" t="s">
        <v>38</v>
      </c>
      <c r="I321" s="711">
        <v>0</v>
      </c>
      <c r="J321" s="897"/>
      <c r="K321" s="528"/>
      <c r="L321" s="549" t="s">
        <v>38</v>
      </c>
      <c r="M321" s="711">
        <f t="shared" si="1003"/>
        <v>0</v>
      </c>
      <c r="N321" s="897"/>
      <c r="O321" s="528"/>
      <c r="P321" s="711">
        <v>0</v>
      </c>
      <c r="Q321" s="711">
        <v>0</v>
      </c>
      <c r="R321" s="711">
        <v>0</v>
      </c>
      <c r="S321" s="711">
        <v>0</v>
      </c>
      <c r="T321" s="711">
        <v>0</v>
      </c>
      <c r="U321" s="711">
        <v>0</v>
      </c>
      <c r="V321" s="711">
        <v>0</v>
      </c>
      <c r="W321" s="528"/>
      <c r="X321" s="711">
        <f t="shared" si="993"/>
        <v>0</v>
      </c>
      <c r="Y321" s="897"/>
      <c r="Z321" s="528"/>
      <c r="AA321" s="899"/>
      <c r="AB321" s="899"/>
      <c r="AC321" s="899"/>
      <c r="AD321" s="901"/>
      <c r="AE321" s="2"/>
      <c r="AF321" s="885"/>
      <c r="AG321" s="885"/>
      <c r="AH321" s="885"/>
      <c r="AI321" s="885"/>
      <c r="AJ321" s="885"/>
      <c r="AK321" s="885"/>
      <c r="AL321" s="885"/>
      <c r="AM321" s="879"/>
      <c r="AN321" s="2"/>
      <c r="AO321" s="886"/>
      <c r="AP321" s="886"/>
      <c r="AV321" s="4" t="str">
        <f t="shared" si="870"/>
        <v>Escavação 1ª e 2ª categoria</v>
      </c>
      <c r="AW321" s="4" t="str">
        <f t="shared" si="871"/>
        <v xml:space="preserve">   Escavação, carga e transporte de material 1ª/2ª categoria - Seg.3.1 acesso km 165+850</v>
      </c>
    </row>
    <row r="322" spans="1:49" ht="15" customHeight="1" outlineLevel="2">
      <c r="A322" s="545" t="str">
        <f t="shared" si="1002"/>
        <v>S</v>
      </c>
      <c r="B322" s="526">
        <v>1065394</v>
      </c>
      <c r="C322" s="526" t="s">
        <v>556</v>
      </c>
      <c r="D322" s="527" t="s">
        <v>557</v>
      </c>
      <c r="E322" s="892" t="s">
        <v>558</v>
      </c>
      <c r="F322" s="902" t="s">
        <v>36</v>
      </c>
      <c r="G322" s="528"/>
      <c r="H322" s="546" t="s">
        <v>37</v>
      </c>
      <c r="I322" s="711">
        <v>8000</v>
      </c>
      <c r="J322" s="896">
        <f>IFERROR((I323/I322),"-")</f>
        <v>0</v>
      </c>
      <c r="K322" s="528"/>
      <c r="L322" s="546" t="s">
        <v>37</v>
      </c>
      <c r="M322" s="711">
        <f t="shared" si="1003"/>
        <v>1400</v>
      </c>
      <c r="N322" s="896">
        <f>IFERROR((M323/M322),"-")</f>
        <v>0</v>
      </c>
      <c r="O322" s="528"/>
      <c r="P322" s="547">
        <v>1400</v>
      </c>
      <c r="Q322" s="547">
        <v>1400</v>
      </c>
      <c r="R322" s="547">
        <v>1400</v>
      </c>
      <c r="S322" s="547">
        <v>1400</v>
      </c>
      <c r="T322" s="547">
        <v>1200</v>
      </c>
      <c r="U322" s="547">
        <v>1200</v>
      </c>
      <c r="V322" s="548">
        <v>0</v>
      </c>
      <c r="W322" s="528"/>
      <c r="X322" s="711">
        <f t="shared" si="993"/>
        <v>2800</v>
      </c>
      <c r="Y322" s="896">
        <f t="shared" ref="Y322" si="1029">IFERROR((X323/X322),"0")</f>
        <v>0</v>
      </c>
      <c r="Z322" s="528"/>
      <c r="AA322" s="898">
        <v>0</v>
      </c>
      <c r="AB322" s="898">
        <v>0</v>
      </c>
      <c r="AC322" s="898">
        <v>0</v>
      </c>
      <c r="AD322" s="900" t="str">
        <f t="shared" ref="AD322" si="1030">IFERROR((AC322/AB322),"-")</f>
        <v>-</v>
      </c>
      <c r="AE322" s="2"/>
      <c r="AF322" s="884">
        <v>15357</v>
      </c>
      <c r="AG322" s="884"/>
      <c r="AH322" s="884">
        <v>11150</v>
      </c>
      <c r="AI322" s="884"/>
      <c r="AJ322" s="884"/>
      <c r="AK322" s="884">
        <f t="shared" ref="AK322" si="1031">AF322+AG322+AH322+AI322+AJ322+AC322</f>
        <v>26507</v>
      </c>
      <c r="AL322" s="884">
        <v>26507.060000000016</v>
      </c>
      <c r="AM322" s="878">
        <f t="shared" ref="AM322" si="1032">IFERROR((AK322/AL322),"-")</f>
        <v>0.99999773645209933</v>
      </c>
      <c r="AN322" s="2"/>
      <c r="AO322" s="884">
        <v>21518</v>
      </c>
      <c r="AP322" s="884">
        <f t="shared" ref="AP322" si="1033">AO322-AK322</f>
        <v>-4989</v>
      </c>
      <c r="AV322" s="4" t="str">
        <f t="shared" si="870"/>
        <v>Escavação 1ª e 2ª categoria</v>
      </c>
      <c r="AW322" s="4" t="str">
        <f t="shared" si="871"/>
        <v xml:space="preserve">   Escavação, carga e transporte de material 1ª/2ª categoria - Seg.3.1 C 01</v>
      </c>
    </row>
    <row r="323" spans="1:49" ht="15" customHeight="1" outlineLevel="2">
      <c r="A323" s="525" t="str">
        <f>A322</f>
        <v>S</v>
      </c>
      <c r="B323" s="526"/>
      <c r="C323" s="526"/>
      <c r="D323" s="527" t="s">
        <v>557</v>
      </c>
      <c r="E323" s="893"/>
      <c r="F323" s="902"/>
      <c r="G323" s="528"/>
      <c r="H323" s="549" t="s">
        <v>38</v>
      </c>
      <c r="I323" s="711">
        <v>0</v>
      </c>
      <c r="J323" s="897"/>
      <c r="K323" s="528"/>
      <c r="L323" s="549" t="s">
        <v>38</v>
      </c>
      <c r="M323" s="711">
        <f t="shared" si="1003"/>
        <v>0</v>
      </c>
      <c r="N323" s="897"/>
      <c r="O323" s="528"/>
      <c r="P323" s="711">
        <v>0</v>
      </c>
      <c r="Q323" s="711">
        <v>0</v>
      </c>
      <c r="R323" s="711">
        <v>0</v>
      </c>
      <c r="S323" s="711">
        <v>0</v>
      </c>
      <c r="T323" s="711">
        <v>0</v>
      </c>
      <c r="U323" s="711">
        <v>0</v>
      </c>
      <c r="V323" s="711">
        <v>0</v>
      </c>
      <c r="W323" s="528"/>
      <c r="X323" s="711">
        <f t="shared" si="993"/>
        <v>0</v>
      </c>
      <c r="Y323" s="897"/>
      <c r="Z323" s="528"/>
      <c r="AA323" s="899"/>
      <c r="AB323" s="899"/>
      <c r="AC323" s="899"/>
      <c r="AD323" s="901"/>
      <c r="AE323" s="2"/>
      <c r="AF323" s="885"/>
      <c r="AG323" s="885"/>
      <c r="AH323" s="885"/>
      <c r="AI323" s="885"/>
      <c r="AJ323" s="885"/>
      <c r="AK323" s="885"/>
      <c r="AL323" s="885"/>
      <c r="AM323" s="879"/>
      <c r="AN323" s="2"/>
      <c r="AO323" s="886"/>
      <c r="AP323" s="886"/>
      <c r="AV323" s="4" t="str">
        <f t="shared" si="870"/>
        <v>Escavação 1ª e 2ª categoria</v>
      </c>
      <c r="AW323" s="4" t="str">
        <f t="shared" si="871"/>
        <v xml:space="preserve">   Escavação, carga e transporte de material 1ª/2ª categoria - Seg.3.1 C 01</v>
      </c>
    </row>
    <row r="324" spans="1:49" ht="15" customHeight="1" outlineLevel="2">
      <c r="A324" s="525" t="str">
        <f t="shared" ref="A324:A330" si="1034">IF(SUM(P324:V325)&gt;0,"S","N")</f>
        <v>S</v>
      </c>
      <c r="B324" s="526">
        <v>1065395</v>
      </c>
      <c r="C324" s="526" t="s">
        <v>559</v>
      </c>
      <c r="D324" s="527" t="s">
        <v>560</v>
      </c>
      <c r="E324" s="892" t="s">
        <v>561</v>
      </c>
      <c r="F324" s="902" t="s">
        <v>36</v>
      </c>
      <c r="G324" s="528"/>
      <c r="H324" s="546" t="s">
        <v>37</v>
      </c>
      <c r="I324" s="711">
        <v>28720</v>
      </c>
      <c r="J324" s="896">
        <f>IFERROR((I325/I324),"-")</f>
        <v>0.53342618384401119</v>
      </c>
      <c r="K324" s="528"/>
      <c r="L324" s="546" t="s">
        <v>37</v>
      </c>
      <c r="M324" s="711">
        <f t="shared" si="1003"/>
        <v>4920</v>
      </c>
      <c r="N324" s="896">
        <f>IFERROR((M325/M324),"-")</f>
        <v>0.33739837398373984</v>
      </c>
      <c r="O324" s="528"/>
      <c r="P324" s="547">
        <v>4920</v>
      </c>
      <c r="Q324" s="547">
        <v>4920</v>
      </c>
      <c r="R324" s="547">
        <v>4920</v>
      </c>
      <c r="S324" s="547">
        <v>4920</v>
      </c>
      <c r="T324" s="547">
        <v>4520</v>
      </c>
      <c r="U324" s="547">
        <v>4520</v>
      </c>
      <c r="V324" s="548">
        <v>0</v>
      </c>
      <c r="W324" s="528"/>
      <c r="X324" s="711">
        <f t="shared" si="993"/>
        <v>9840</v>
      </c>
      <c r="Y324" s="896">
        <f t="shared" ref="Y324" si="1035">IFERROR((X325/X324),"0")</f>
        <v>0.49695121951219512</v>
      </c>
      <c r="Z324" s="528"/>
      <c r="AA324" s="898">
        <v>76900.34</v>
      </c>
      <c r="AB324" s="898">
        <v>1020.9600000000002</v>
      </c>
      <c r="AC324" s="898">
        <v>32630</v>
      </c>
      <c r="AD324" s="900">
        <f t="shared" ref="AD324" si="1036">IFERROR((AC324/AB324),"-")</f>
        <v>31.960115969283805</v>
      </c>
      <c r="AE324" s="2"/>
      <c r="AF324" s="884">
        <v>152182</v>
      </c>
      <c r="AG324" s="884"/>
      <c r="AH324" s="884">
        <v>41632</v>
      </c>
      <c r="AI324" s="884"/>
      <c r="AJ324" s="884">
        <v>76047.244999999995</v>
      </c>
      <c r="AK324" s="884">
        <f t="shared" ref="AK324" si="1037">AF324+AG324+AH324+AI324+AJ324+AC324</f>
        <v>302491.245</v>
      </c>
      <c r="AL324" s="884">
        <v>316739.35000000021</v>
      </c>
      <c r="AM324" s="878">
        <f t="shared" ref="AM324" si="1038">IFERROR((AK324/AL324),"-")</f>
        <v>0.95501630915135682</v>
      </c>
      <c r="AN324" s="2"/>
      <c r="AO324" s="884">
        <v>392625.25</v>
      </c>
      <c r="AP324" s="884">
        <f t="shared" ref="AP324" si="1039">AO324-AK324</f>
        <v>90134.005000000005</v>
      </c>
      <c r="AV324" s="4" t="str">
        <f t="shared" si="870"/>
        <v>Escavação 1ª e 2ª categoria</v>
      </c>
      <c r="AW324" s="4" t="str">
        <f t="shared" si="871"/>
        <v xml:space="preserve">   Escavação, carga e transporte de material 1ª/2ª categoria - Seg.3.1 C 02</v>
      </c>
    </row>
    <row r="325" spans="1:49" ht="15" customHeight="1" outlineLevel="2">
      <c r="A325" s="525" t="str">
        <f t="shared" si="1034"/>
        <v>S</v>
      </c>
      <c r="B325" s="526"/>
      <c r="C325" s="526"/>
      <c r="D325" s="527" t="s">
        <v>560</v>
      </c>
      <c r="E325" s="893"/>
      <c r="F325" s="902"/>
      <c r="G325" s="528"/>
      <c r="H325" s="549" t="s">
        <v>38</v>
      </c>
      <c r="I325" s="711">
        <v>15320</v>
      </c>
      <c r="J325" s="897"/>
      <c r="K325" s="528"/>
      <c r="L325" s="549" t="s">
        <v>38</v>
      </c>
      <c r="M325" s="711">
        <f t="shared" si="1003"/>
        <v>1660</v>
      </c>
      <c r="N325" s="897"/>
      <c r="O325" s="528"/>
      <c r="P325" s="711">
        <v>3230</v>
      </c>
      <c r="Q325" s="711">
        <v>1660</v>
      </c>
      <c r="R325" s="711">
        <v>0</v>
      </c>
      <c r="S325" s="711">
        <v>0</v>
      </c>
      <c r="T325" s="711">
        <v>0</v>
      </c>
      <c r="U325" s="711">
        <v>0</v>
      </c>
      <c r="V325" s="711">
        <v>0</v>
      </c>
      <c r="W325" s="528"/>
      <c r="X325" s="711">
        <f t="shared" si="993"/>
        <v>4890</v>
      </c>
      <c r="Y325" s="897"/>
      <c r="Z325" s="528"/>
      <c r="AA325" s="899"/>
      <c r="AB325" s="899"/>
      <c r="AC325" s="899"/>
      <c r="AD325" s="901"/>
      <c r="AE325" s="2"/>
      <c r="AF325" s="885"/>
      <c r="AG325" s="885"/>
      <c r="AH325" s="885"/>
      <c r="AI325" s="885"/>
      <c r="AJ325" s="885"/>
      <c r="AK325" s="885"/>
      <c r="AL325" s="885"/>
      <c r="AM325" s="879"/>
      <c r="AN325" s="2"/>
      <c r="AO325" s="886"/>
      <c r="AP325" s="886"/>
      <c r="AV325" s="4" t="str">
        <f t="shared" si="870"/>
        <v>Escavação 1ª e 2ª categoria</v>
      </c>
      <c r="AW325" s="4" t="str">
        <f t="shared" si="871"/>
        <v xml:space="preserve">   Escavação, carga e transporte de material 1ª/2ª categoria - Seg.3.1 C 02</v>
      </c>
    </row>
    <row r="326" spans="1:49" ht="15" customHeight="1" outlineLevel="2">
      <c r="A326" s="545" t="str">
        <f t="shared" si="1034"/>
        <v>N</v>
      </c>
      <c r="B326" s="526">
        <v>1065397</v>
      </c>
      <c r="C326" s="526" t="s">
        <v>562</v>
      </c>
      <c r="D326" s="527" t="s">
        <v>563</v>
      </c>
      <c r="E326" s="892" t="s">
        <v>564</v>
      </c>
      <c r="F326" s="902" t="s">
        <v>36</v>
      </c>
      <c r="G326" s="528"/>
      <c r="H326" s="546" t="s">
        <v>37</v>
      </c>
      <c r="I326" s="711">
        <v>0</v>
      </c>
      <c r="J326" s="896" t="str">
        <f>IFERROR((I327/I326),"-")</f>
        <v>-</v>
      </c>
      <c r="K326" s="528"/>
      <c r="L326" s="546" t="s">
        <v>37</v>
      </c>
      <c r="M326" s="711">
        <f t="shared" si="1003"/>
        <v>0</v>
      </c>
      <c r="N326" s="896" t="str">
        <f>IFERROR((M327/M326),"-")</f>
        <v>-</v>
      </c>
      <c r="O326" s="528"/>
      <c r="P326" s="547">
        <v>0</v>
      </c>
      <c r="Q326" s="547">
        <v>0</v>
      </c>
      <c r="R326" s="547">
        <v>0</v>
      </c>
      <c r="S326" s="547">
        <v>0</v>
      </c>
      <c r="T326" s="547">
        <v>0</v>
      </c>
      <c r="U326" s="547">
        <v>0</v>
      </c>
      <c r="V326" s="548">
        <v>0</v>
      </c>
      <c r="W326" s="528"/>
      <c r="X326" s="711">
        <f t="shared" si="993"/>
        <v>0</v>
      </c>
      <c r="Y326" s="896" t="str">
        <f t="shared" ref="Y326" si="1040">IFERROR((X327/X326),"0")</f>
        <v>0</v>
      </c>
      <c r="Z326" s="528"/>
      <c r="AA326" s="898">
        <v>0</v>
      </c>
      <c r="AB326" s="898">
        <v>0</v>
      </c>
      <c r="AC326" s="898">
        <v>0</v>
      </c>
      <c r="AD326" s="900" t="str">
        <f t="shared" ref="AD326" si="1041">IFERROR((AC326/AB326),"-")</f>
        <v>-</v>
      </c>
      <c r="AE326" s="2"/>
      <c r="AF326" s="884">
        <v>41358</v>
      </c>
      <c r="AG326" s="884">
        <v>35678.048000000003</v>
      </c>
      <c r="AH326" s="884">
        <v>0</v>
      </c>
      <c r="AI326" s="884">
        <v>14185.249</v>
      </c>
      <c r="AJ326" s="884"/>
      <c r="AK326" s="884">
        <f t="shared" ref="AK326" si="1042">AF326+AG326+AH326+AI326+AJ326+AC326</f>
        <v>91221.297000000006</v>
      </c>
      <c r="AL326" s="884">
        <v>91221.039999999979</v>
      </c>
      <c r="AM326" s="878">
        <f t="shared" ref="AM326" si="1043">IFERROR((AK326/AL326),"-")</f>
        <v>1.0000028173324929</v>
      </c>
      <c r="AN326" s="2"/>
      <c r="AO326" s="884">
        <v>215510</v>
      </c>
      <c r="AP326" s="884">
        <f t="shared" ref="AP326" si="1044">AO326-AK326</f>
        <v>124288.70299999999</v>
      </c>
      <c r="AV326" s="4" t="str">
        <f t="shared" si="870"/>
        <v>Escavação 1ª e 2ª categoria</v>
      </c>
      <c r="AW326" s="4" t="str">
        <f t="shared" si="871"/>
        <v xml:space="preserve">   Escavação, carga e transporte de material 1ª/2ª categoria - Seg.3.1 C 04</v>
      </c>
    </row>
    <row r="327" spans="1:49" ht="15" customHeight="1" outlineLevel="2">
      <c r="A327" s="545" t="str">
        <f t="shared" si="1034"/>
        <v>N</v>
      </c>
      <c r="B327" s="526"/>
      <c r="C327" s="526"/>
      <c r="D327" s="527" t="s">
        <v>563</v>
      </c>
      <c r="E327" s="893"/>
      <c r="F327" s="902"/>
      <c r="G327" s="528"/>
      <c r="H327" s="549" t="s">
        <v>38</v>
      </c>
      <c r="I327" s="711">
        <v>0</v>
      </c>
      <c r="J327" s="897"/>
      <c r="K327" s="528"/>
      <c r="L327" s="549" t="s">
        <v>38</v>
      </c>
      <c r="M327" s="711">
        <f t="shared" si="1003"/>
        <v>0</v>
      </c>
      <c r="N327" s="897"/>
      <c r="O327" s="528"/>
      <c r="P327" s="711">
        <v>0</v>
      </c>
      <c r="Q327" s="711">
        <v>0</v>
      </c>
      <c r="R327" s="711">
        <v>0</v>
      </c>
      <c r="S327" s="711">
        <v>0</v>
      </c>
      <c r="T327" s="711">
        <v>0</v>
      </c>
      <c r="U327" s="711">
        <v>0</v>
      </c>
      <c r="V327" s="711">
        <v>0</v>
      </c>
      <c r="W327" s="528"/>
      <c r="X327" s="711">
        <f t="shared" si="993"/>
        <v>0</v>
      </c>
      <c r="Y327" s="897"/>
      <c r="Z327" s="528"/>
      <c r="AA327" s="899"/>
      <c r="AB327" s="899"/>
      <c r="AC327" s="899"/>
      <c r="AD327" s="901"/>
      <c r="AE327" s="2"/>
      <c r="AF327" s="885"/>
      <c r="AG327" s="885"/>
      <c r="AH327" s="885"/>
      <c r="AI327" s="885"/>
      <c r="AJ327" s="885"/>
      <c r="AK327" s="885"/>
      <c r="AL327" s="885"/>
      <c r="AM327" s="879"/>
      <c r="AN327" s="2"/>
      <c r="AO327" s="886"/>
      <c r="AP327" s="886"/>
      <c r="AV327" s="4" t="str">
        <f t="shared" si="870"/>
        <v>Escavação 1ª e 2ª categoria</v>
      </c>
      <c r="AW327" s="4" t="str">
        <f t="shared" si="871"/>
        <v xml:space="preserve">   Escavação, carga e transporte de material 1ª/2ª categoria - Seg.3.1 C 04</v>
      </c>
    </row>
    <row r="328" spans="1:49" ht="14.45" customHeight="1" outlineLevel="2">
      <c r="A328" s="545" t="str">
        <f t="shared" si="1034"/>
        <v>N</v>
      </c>
      <c r="B328" s="526">
        <v>1065399</v>
      </c>
      <c r="C328" s="526" t="s">
        <v>565</v>
      </c>
      <c r="D328" s="527" t="s">
        <v>566</v>
      </c>
      <c r="E328" s="892" t="s">
        <v>567</v>
      </c>
      <c r="F328" s="902" t="s">
        <v>36</v>
      </c>
      <c r="G328" s="528"/>
      <c r="H328" s="546" t="s">
        <v>37</v>
      </c>
      <c r="I328" s="711">
        <v>0</v>
      </c>
      <c r="J328" s="896" t="str">
        <f>IFERROR((I329/I328),"-")</f>
        <v>-</v>
      </c>
      <c r="K328" s="528"/>
      <c r="L328" s="546" t="s">
        <v>37</v>
      </c>
      <c r="M328" s="711">
        <f t="shared" si="1003"/>
        <v>0</v>
      </c>
      <c r="N328" s="896" t="str">
        <f>IFERROR((M329/M328),"-")</f>
        <v>-</v>
      </c>
      <c r="O328" s="528"/>
      <c r="P328" s="547">
        <v>0</v>
      </c>
      <c r="Q328" s="547">
        <v>0</v>
      </c>
      <c r="R328" s="547">
        <v>0</v>
      </c>
      <c r="S328" s="547">
        <v>0</v>
      </c>
      <c r="T328" s="547">
        <v>0</v>
      </c>
      <c r="U328" s="547">
        <v>0</v>
      </c>
      <c r="V328" s="548">
        <v>0</v>
      </c>
      <c r="W328" s="528"/>
      <c r="X328" s="711">
        <f t="shared" si="993"/>
        <v>0</v>
      </c>
      <c r="Y328" s="896" t="str">
        <f t="shared" ref="Y328" si="1045">IFERROR((X329/X328),"0")</f>
        <v>0</v>
      </c>
      <c r="Z328" s="528"/>
      <c r="AA328" s="898">
        <v>0</v>
      </c>
      <c r="AB328" s="898">
        <v>0</v>
      </c>
      <c r="AC328" s="898">
        <v>0</v>
      </c>
      <c r="AD328" s="900" t="str">
        <f t="shared" ref="AD328" si="1046">IFERROR((AC328/AB328),"-")</f>
        <v>-</v>
      </c>
      <c r="AE328" s="2"/>
      <c r="AF328" s="884">
        <v>0</v>
      </c>
      <c r="AG328" s="884"/>
      <c r="AH328" s="884">
        <v>0</v>
      </c>
      <c r="AI328" s="884"/>
      <c r="AJ328" s="884"/>
      <c r="AK328" s="884">
        <f t="shared" ref="AK328" si="1047">AF328+AG328+AH328+AI328+AJ328+AC328</f>
        <v>0</v>
      </c>
      <c r="AL328" s="884">
        <v>0</v>
      </c>
      <c r="AM328" s="878" t="str">
        <f t="shared" ref="AM328" si="1048">IFERROR((AK328/AL328),"-")</f>
        <v>-</v>
      </c>
      <c r="AN328" s="2"/>
      <c r="AO328" s="884">
        <v>309</v>
      </c>
      <c r="AP328" s="884">
        <f t="shared" ref="AP328" si="1049">AO328-AK328</f>
        <v>309</v>
      </c>
      <c r="AV328" s="4" t="str">
        <f t="shared" si="870"/>
        <v>Escavação 1ª e 2ª categoria</v>
      </c>
      <c r="AW328" s="4" t="str">
        <f t="shared" si="871"/>
        <v xml:space="preserve">   Escavação, carga e transporte de material 1ª/2ª categoria - Seg.3.1 C 06</v>
      </c>
    </row>
    <row r="329" spans="1:49" ht="14.45" customHeight="1" outlineLevel="2">
      <c r="A329" s="545" t="str">
        <f t="shared" si="1034"/>
        <v>N</v>
      </c>
      <c r="B329" s="526"/>
      <c r="C329" s="526"/>
      <c r="D329" s="527" t="s">
        <v>566</v>
      </c>
      <c r="E329" s="893"/>
      <c r="F329" s="902"/>
      <c r="G329" s="528"/>
      <c r="H329" s="549" t="s">
        <v>38</v>
      </c>
      <c r="I329" s="711">
        <v>0</v>
      </c>
      <c r="J329" s="897"/>
      <c r="K329" s="528"/>
      <c r="L329" s="549" t="s">
        <v>38</v>
      </c>
      <c r="M329" s="711">
        <f t="shared" si="1003"/>
        <v>0</v>
      </c>
      <c r="N329" s="897"/>
      <c r="O329" s="528"/>
      <c r="P329" s="711">
        <v>0</v>
      </c>
      <c r="Q329" s="711">
        <v>0</v>
      </c>
      <c r="R329" s="711">
        <v>0</v>
      </c>
      <c r="S329" s="711">
        <v>0</v>
      </c>
      <c r="T329" s="711">
        <v>0</v>
      </c>
      <c r="U329" s="711">
        <v>0</v>
      </c>
      <c r="V329" s="711">
        <v>0</v>
      </c>
      <c r="W329" s="528"/>
      <c r="X329" s="711">
        <f t="shared" si="993"/>
        <v>0</v>
      </c>
      <c r="Y329" s="897"/>
      <c r="Z329" s="528"/>
      <c r="AA329" s="899"/>
      <c r="AB329" s="899"/>
      <c r="AC329" s="899"/>
      <c r="AD329" s="901"/>
      <c r="AE329" s="2"/>
      <c r="AF329" s="885"/>
      <c r="AG329" s="885"/>
      <c r="AH329" s="885"/>
      <c r="AI329" s="885"/>
      <c r="AJ329" s="885"/>
      <c r="AK329" s="885"/>
      <c r="AL329" s="885"/>
      <c r="AM329" s="879"/>
      <c r="AN329" s="2"/>
      <c r="AO329" s="886"/>
      <c r="AP329" s="886"/>
      <c r="AV329" s="4" t="str">
        <f t="shared" si="870"/>
        <v>Escavação 1ª e 2ª categoria</v>
      </c>
      <c r="AW329" s="4" t="str">
        <f t="shared" si="871"/>
        <v xml:space="preserve">   Escavação, carga e transporte de material 1ª/2ª categoria - Seg.3.1 C 06</v>
      </c>
    </row>
    <row r="330" spans="1:49" ht="15" customHeight="1" outlineLevel="2">
      <c r="A330" s="545" t="str">
        <f t="shared" si="1034"/>
        <v>N</v>
      </c>
      <c r="B330" s="526">
        <v>1065400</v>
      </c>
      <c r="C330" s="526" t="s">
        <v>568</v>
      </c>
      <c r="D330" s="527" t="s">
        <v>569</v>
      </c>
      <c r="E330" s="892" t="s">
        <v>570</v>
      </c>
      <c r="F330" s="902" t="s">
        <v>36</v>
      </c>
      <c r="G330" s="528"/>
      <c r="H330" s="546" t="s">
        <v>37</v>
      </c>
      <c r="I330" s="711">
        <v>0</v>
      </c>
      <c r="J330" s="896" t="str">
        <f>IFERROR((I331/I330),"-")</f>
        <v>-</v>
      </c>
      <c r="K330" s="528"/>
      <c r="L330" s="546" t="s">
        <v>37</v>
      </c>
      <c r="M330" s="711">
        <f t="shared" si="1003"/>
        <v>0</v>
      </c>
      <c r="N330" s="896" t="str">
        <f>IFERROR((M331/M330),"-")</f>
        <v>-</v>
      </c>
      <c r="O330" s="528"/>
      <c r="P330" s="547">
        <v>0</v>
      </c>
      <c r="Q330" s="547">
        <v>0</v>
      </c>
      <c r="R330" s="547">
        <v>0</v>
      </c>
      <c r="S330" s="547">
        <v>0</v>
      </c>
      <c r="T330" s="547">
        <v>0</v>
      </c>
      <c r="U330" s="547">
        <v>0</v>
      </c>
      <c r="V330" s="548">
        <v>0</v>
      </c>
      <c r="W330" s="528"/>
      <c r="X330" s="711">
        <f t="shared" si="993"/>
        <v>0</v>
      </c>
      <c r="Y330" s="896" t="str">
        <f t="shared" ref="Y330" si="1050">IFERROR((X331/X330),"0")</f>
        <v>0</v>
      </c>
      <c r="Z330" s="528"/>
      <c r="AA330" s="898">
        <v>0</v>
      </c>
      <c r="AB330" s="898">
        <v>0</v>
      </c>
      <c r="AC330" s="898">
        <v>0</v>
      </c>
      <c r="AD330" s="900" t="str">
        <f t="shared" ref="AD330" si="1051">IFERROR((AC330/AB330),"-")</f>
        <v>-</v>
      </c>
      <c r="AE330" s="2"/>
      <c r="AF330" s="884">
        <v>0</v>
      </c>
      <c r="AG330" s="884"/>
      <c r="AH330" s="884">
        <v>0</v>
      </c>
      <c r="AI330" s="884"/>
      <c r="AJ330" s="884"/>
      <c r="AK330" s="884">
        <f t="shared" ref="AK330" si="1052">AF330+AG330+AH330+AI330+AJ330+AC330</f>
        <v>0</v>
      </c>
      <c r="AL330" s="884">
        <v>0</v>
      </c>
      <c r="AM330" s="878" t="str">
        <f t="shared" ref="AM330" si="1053">IFERROR((AK330/AL330),"-")</f>
        <v>-</v>
      </c>
      <c r="AN330" s="2"/>
      <c r="AO330" s="884">
        <v>49704</v>
      </c>
      <c r="AP330" s="884">
        <f t="shared" ref="AP330" si="1054">AO330-AK330</f>
        <v>49704</v>
      </c>
      <c r="AQ330" s="58"/>
      <c r="AR330" s="58"/>
      <c r="AS330" s="58"/>
      <c r="AV330" s="4" t="str">
        <f t="shared" si="870"/>
        <v>Escavação 1ª e 2ª categoria</v>
      </c>
      <c r="AW330" s="4" t="str">
        <f t="shared" si="871"/>
        <v xml:space="preserve">   Escavação, carga e transporte de material 1ª/2ª categoria - Seg.3.1 C 07</v>
      </c>
    </row>
    <row r="331" spans="1:49" ht="15" customHeight="1" outlineLevel="2">
      <c r="A331" s="525" t="str">
        <f>A330</f>
        <v>N</v>
      </c>
      <c r="B331" s="526"/>
      <c r="C331" s="526"/>
      <c r="D331" s="527" t="s">
        <v>569</v>
      </c>
      <c r="E331" s="893"/>
      <c r="F331" s="902"/>
      <c r="G331" s="528"/>
      <c r="H331" s="549" t="s">
        <v>38</v>
      </c>
      <c r="I331" s="711">
        <v>0</v>
      </c>
      <c r="J331" s="897"/>
      <c r="K331" s="528"/>
      <c r="L331" s="549" t="s">
        <v>38</v>
      </c>
      <c r="M331" s="711">
        <f t="shared" si="1003"/>
        <v>0</v>
      </c>
      <c r="N331" s="897"/>
      <c r="O331" s="528"/>
      <c r="P331" s="711">
        <v>0</v>
      </c>
      <c r="Q331" s="711">
        <v>0</v>
      </c>
      <c r="R331" s="711">
        <v>0</v>
      </c>
      <c r="S331" s="711">
        <v>0</v>
      </c>
      <c r="T331" s="711">
        <v>0</v>
      </c>
      <c r="U331" s="711">
        <v>0</v>
      </c>
      <c r="V331" s="711">
        <v>0</v>
      </c>
      <c r="W331" s="528"/>
      <c r="X331" s="711">
        <f t="shared" si="993"/>
        <v>0</v>
      </c>
      <c r="Y331" s="897"/>
      <c r="Z331" s="528"/>
      <c r="AA331" s="899"/>
      <c r="AB331" s="899"/>
      <c r="AC331" s="899"/>
      <c r="AD331" s="901"/>
      <c r="AE331" s="2"/>
      <c r="AF331" s="885"/>
      <c r="AG331" s="885"/>
      <c r="AH331" s="885"/>
      <c r="AI331" s="885"/>
      <c r="AJ331" s="885"/>
      <c r="AK331" s="885"/>
      <c r="AL331" s="885"/>
      <c r="AM331" s="879"/>
      <c r="AN331" s="2"/>
      <c r="AO331" s="886"/>
      <c r="AP331" s="886"/>
      <c r="AV331" s="4" t="str">
        <f t="shared" si="870"/>
        <v>Escavação 1ª e 2ª categoria</v>
      </c>
      <c r="AW331" s="4" t="str">
        <f t="shared" si="871"/>
        <v xml:space="preserve">   Escavação, carga e transporte de material 1ª/2ª categoria - Seg.3.1 C 07</v>
      </c>
    </row>
    <row r="332" spans="1:49" ht="15" customHeight="1" outlineLevel="2">
      <c r="A332" s="525" t="str">
        <f t="shared" ref="A332" si="1055">IF(SUM(P332:V333)&gt;0,"S","N")</f>
        <v>N</v>
      </c>
      <c r="B332" s="526">
        <v>1065401</v>
      </c>
      <c r="C332" s="526" t="s">
        <v>571</v>
      </c>
      <c r="D332" s="527" t="s">
        <v>572</v>
      </c>
      <c r="E332" s="892" t="s">
        <v>573</v>
      </c>
      <c r="F332" s="902" t="s">
        <v>36</v>
      </c>
      <c r="G332" s="528"/>
      <c r="H332" s="546" t="s">
        <v>37</v>
      </c>
      <c r="I332" s="711">
        <v>0</v>
      </c>
      <c r="J332" s="896" t="str">
        <f>IFERROR((I333/I332),"-")</f>
        <v>-</v>
      </c>
      <c r="K332" s="528"/>
      <c r="L332" s="546" t="s">
        <v>37</v>
      </c>
      <c r="M332" s="711">
        <f t="shared" si="1003"/>
        <v>0</v>
      </c>
      <c r="N332" s="896" t="str">
        <f>IFERROR((M333/M332),"-")</f>
        <v>-</v>
      </c>
      <c r="O332" s="528"/>
      <c r="P332" s="547">
        <v>0</v>
      </c>
      <c r="Q332" s="547">
        <v>0</v>
      </c>
      <c r="R332" s="547">
        <v>0</v>
      </c>
      <c r="S332" s="547">
        <v>0</v>
      </c>
      <c r="T332" s="547">
        <v>0</v>
      </c>
      <c r="U332" s="547">
        <v>0</v>
      </c>
      <c r="V332" s="548">
        <v>0</v>
      </c>
      <c r="W332" s="528"/>
      <c r="X332" s="711">
        <f t="shared" si="993"/>
        <v>0</v>
      </c>
      <c r="Y332" s="896" t="str">
        <f t="shared" ref="Y332" si="1056">IFERROR((X333/X332),"0")</f>
        <v>0</v>
      </c>
      <c r="Z332" s="528"/>
      <c r="AA332" s="898">
        <v>0</v>
      </c>
      <c r="AB332" s="898">
        <v>0</v>
      </c>
      <c r="AC332" s="898">
        <v>0</v>
      </c>
      <c r="AD332" s="900" t="str">
        <f t="shared" ref="AD332" si="1057">IFERROR((AC332/AB332),"-")</f>
        <v>-</v>
      </c>
      <c r="AE332" s="2"/>
      <c r="AF332" s="884">
        <v>0</v>
      </c>
      <c r="AG332" s="884"/>
      <c r="AH332" s="884">
        <v>0</v>
      </c>
      <c r="AI332" s="884"/>
      <c r="AJ332" s="884"/>
      <c r="AK332" s="884">
        <f t="shared" ref="AK332" si="1058">AF332+AG332+AH332+AI332+AJ332+AC332</f>
        <v>0</v>
      </c>
      <c r="AL332" s="884">
        <v>1166.0000000000002</v>
      </c>
      <c r="AM332" s="878">
        <f t="shared" ref="AM332" si="1059">IFERROR((AK332/AL332),"-")</f>
        <v>0</v>
      </c>
      <c r="AN332" s="2"/>
      <c r="AO332" s="884">
        <v>4670</v>
      </c>
      <c r="AP332" s="884">
        <f t="shared" ref="AP332" si="1060">AO332-AK332</f>
        <v>4670</v>
      </c>
      <c r="AV332" s="4" t="str">
        <f t="shared" ref="AV332:AV362" si="1061">IF(AX332="Y",LEFT(E332,20),IF(AX332="x",E332,AV331))</f>
        <v>Escavação 1ª e 2ª categoria</v>
      </c>
      <c r="AW332" s="4" t="str">
        <f t="shared" ref="AW332:AW362" si="1062">IF(E332&lt;&gt;"",E332,AW331)</f>
        <v xml:space="preserve">   Escavação, carga e transporte de material 1ª/2ª categoria - Seg.3.1 C 08</v>
      </c>
    </row>
    <row r="333" spans="1:49" ht="15" customHeight="1" outlineLevel="2">
      <c r="A333" s="525" t="str">
        <f>A332</f>
        <v>N</v>
      </c>
      <c r="B333" s="526"/>
      <c r="C333" s="526"/>
      <c r="D333" s="527" t="s">
        <v>572</v>
      </c>
      <c r="E333" s="893"/>
      <c r="F333" s="902"/>
      <c r="G333" s="528"/>
      <c r="H333" s="549" t="s">
        <v>38</v>
      </c>
      <c r="I333" s="711">
        <v>0</v>
      </c>
      <c r="J333" s="897"/>
      <c r="K333" s="528"/>
      <c r="L333" s="549" t="s">
        <v>38</v>
      </c>
      <c r="M333" s="711">
        <f t="shared" si="1003"/>
        <v>0</v>
      </c>
      <c r="N333" s="897"/>
      <c r="O333" s="528"/>
      <c r="P333" s="711">
        <v>0</v>
      </c>
      <c r="Q333" s="711">
        <v>0</v>
      </c>
      <c r="R333" s="711">
        <v>0</v>
      </c>
      <c r="S333" s="711">
        <v>0</v>
      </c>
      <c r="T333" s="711">
        <v>0</v>
      </c>
      <c r="U333" s="711">
        <v>0</v>
      </c>
      <c r="V333" s="711">
        <v>0</v>
      </c>
      <c r="W333" s="528"/>
      <c r="X333" s="711">
        <f t="shared" si="993"/>
        <v>0</v>
      </c>
      <c r="Y333" s="897"/>
      <c r="Z333" s="528"/>
      <c r="AA333" s="899"/>
      <c r="AB333" s="899"/>
      <c r="AC333" s="899"/>
      <c r="AD333" s="901"/>
      <c r="AE333" s="2"/>
      <c r="AF333" s="885"/>
      <c r="AG333" s="885"/>
      <c r="AH333" s="885"/>
      <c r="AI333" s="885"/>
      <c r="AJ333" s="885"/>
      <c r="AK333" s="885"/>
      <c r="AL333" s="885"/>
      <c r="AM333" s="879"/>
      <c r="AN333" s="2"/>
      <c r="AO333" s="886"/>
      <c r="AP333" s="886"/>
      <c r="AV333" s="4" t="str">
        <f t="shared" si="1061"/>
        <v>Escavação 1ª e 2ª categoria</v>
      </c>
      <c r="AW333" s="4" t="str">
        <f t="shared" si="1062"/>
        <v xml:space="preserve">   Escavação, carga e transporte de material 1ª/2ª categoria - Seg.3.1 C 08</v>
      </c>
    </row>
    <row r="334" spans="1:49" ht="15" customHeight="1" outlineLevel="2">
      <c r="A334" s="525" t="str">
        <f t="shared" ref="A334" si="1063">IF(SUM(P334:V335)&gt;0,"S","N")</f>
        <v>N</v>
      </c>
      <c r="B334" s="526">
        <v>1069049</v>
      </c>
      <c r="C334" s="526" t="s">
        <v>574</v>
      </c>
      <c r="D334" s="527" t="s">
        <v>575</v>
      </c>
      <c r="E334" s="892" t="s">
        <v>246</v>
      </c>
      <c r="F334" s="902" t="s">
        <v>36</v>
      </c>
      <c r="G334" s="528"/>
      <c r="H334" s="546" t="s">
        <v>37</v>
      </c>
      <c r="I334" s="711">
        <v>0</v>
      </c>
      <c r="J334" s="896" t="str">
        <f>IFERROR((I335/I334),"-")</f>
        <v>-</v>
      </c>
      <c r="K334" s="528"/>
      <c r="L334" s="546" t="s">
        <v>37</v>
      </c>
      <c r="M334" s="711">
        <f t="shared" si="1003"/>
        <v>0</v>
      </c>
      <c r="N334" s="896" t="str">
        <f>IFERROR((M335/M334),"-")</f>
        <v>-</v>
      </c>
      <c r="O334" s="528"/>
      <c r="P334" s="547">
        <v>0</v>
      </c>
      <c r="Q334" s="547">
        <v>0</v>
      </c>
      <c r="R334" s="547">
        <v>0</v>
      </c>
      <c r="S334" s="547">
        <v>0</v>
      </c>
      <c r="T334" s="547">
        <v>0</v>
      </c>
      <c r="U334" s="547">
        <v>0</v>
      </c>
      <c r="V334" s="548">
        <v>0</v>
      </c>
      <c r="W334" s="528"/>
      <c r="X334" s="711">
        <f t="shared" si="993"/>
        <v>0</v>
      </c>
      <c r="Y334" s="896" t="str">
        <f t="shared" ref="Y334" si="1064">IFERROR((X335/X334),"0")</f>
        <v>0</v>
      </c>
      <c r="Z334" s="528"/>
      <c r="AA334" s="898">
        <v>0</v>
      </c>
      <c r="AB334" s="898">
        <v>0</v>
      </c>
      <c r="AC334" s="898">
        <v>0</v>
      </c>
      <c r="AD334" s="900" t="str">
        <f t="shared" ref="AD334" si="1065">IFERROR((AC334/AB334),"-")</f>
        <v>-</v>
      </c>
      <c r="AE334" s="2"/>
      <c r="AF334" s="884">
        <v>3368.453</v>
      </c>
      <c r="AG334" s="884">
        <v>1196.3130000000001</v>
      </c>
      <c r="AH334" s="884">
        <v>0</v>
      </c>
      <c r="AI334" s="884">
        <v>1155.32</v>
      </c>
      <c r="AJ334" s="884"/>
      <c r="AK334" s="884">
        <f t="shared" ref="AK334" si="1066">AF334+AG334+AH334+AI334+AJ334+AC334</f>
        <v>5720.0859999999993</v>
      </c>
      <c r="AL334" s="884">
        <v>775</v>
      </c>
      <c r="AM334" s="878">
        <f t="shared" ref="AM334" si="1067">IFERROR((AK334/AL334),"-")</f>
        <v>7.3807561290322576</v>
      </c>
      <c r="AN334" s="2"/>
      <c r="AO334" s="884">
        <v>775</v>
      </c>
      <c r="AP334" s="884">
        <f t="shared" ref="AP334" si="1068">AO334-AK334</f>
        <v>-4945.0859999999993</v>
      </c>
      <c r="AV334" s="4" t="str">
        <f t="shared" si="1061"/>
        <v>Escavação 1ª e 2ª categoria</v>
      </c>
      <c r="AW334" s="4" t="str">
        <f t="shared" si="1062"/>
        <v xml:space="preserve">   Escavação, carga e transporte de material 1ª/2ª categoria</v>
      </c>
    </row>
    <row r="335" spans="1:49" ht="15" customHeight="1" outlineLevel="2">
      <c r="A335" s="525" t="str">
        <f>A334</f>
        <v>N</v>
      </c>
      <c r="B335" s="526"/>
      <c r="C335" s="526"/>
      <c r="D335" s="527" t="s">
        <v>575</v>
      </c>
      <c r="E335" s="893"/>
      <c r="F335" s="902"/>
      <c r="G335" s="528"/>
      <c r="H335" s="549" t="s">
        <v>38</v>
      </c>
      <c r="I335" s="711">
        <v>0</v>
      </c>
      <c r="J335" s="897"/>
      <c r="K335" s="528"/>
      <c r="L335" s="549" t="s">
        <v>38</v>
      </c>
      <c r="M335" s="711">
        <f t="shared" si="1003"/>
        <v>0</v>
      </c>
      <c r="N335" s="897"/>
      <c r="O335" s="528"/>
      <c r="P335" s="711">
        <v>0</v>
      </c>
      <c r="Q335" s="711">
        <v>0</v>
      </c>
      <c r="R335" s="711">
        <v>0</v>
      </c>
      <c r="S335" s="711">
        <v>0</v>
      </c>
      <c r="T335" s="711">
        <v>0</v>
      </c>
      <c r="U335" s="711">
        <v>0</v>
      </c>
      <c r="V335" s="711">
        <v>0</v>
      </c>
      <c r="W335" s="528"/>
      <c r="X335" s="711">
        <f t="shared" si="993"/>
        <v>0</v>
      </c>
      <c r="Y335" s="897"/>
      <c r="Z335" s="528"/>
      <c r="AA335" s="899"/>
      <c r="AB335" s="899"/>
      <c r="AC335" s="899"/>
      <c r="AD335" s="901"/>
      <c r="AE335" s="2"/>
      <c r="AF335" s="885"/>
      <c r="AG335" s="885"/>
      <c r="AH335" s="885"/>
      <c r="AI335" s="885"/>
      <c r="AJ335" s="885"/>
      <c r="AK335" s="885"/>
      <c r="AL335" s="885"/>
      <c r="AM335" s="879"/>
      <c r="AN335" s="2"/>
      <c r="AO335" s="886"/>
      <c r="AP335" s="886"/>
      <c r="AV335" s="4" t="str">
        <f t="shared" si="1061"/>
        <v>Escavação 1ª e 2ª categoria</v>
      </c>
      <c r="AW335" s="4" t="str">
        <f t="shared" si="1062"/>
        <v xml:space="preserve">   Escavação, carga e transporte de material 1ª/2ª categoria</v>
      </c>
    </row>
    <row r="336" spans="1:49" ht="15" customHeight="1" outlineLevel="2" collapsed="1">
      <c r="A336" s="525" t="str">
        <f t="shared" ref="A336" si="1069">IF(SUM(P336:V337)&gt;0,"S","N")</f>
        <v>N</v>
      </c>
      <c r="B336" s="526">
        <v>1069629</v>
      </c>
      <c r="C336" s="526" t="s">
        <v>576</v>
      </c>
      <c r="D336" s="527" t="s">
        <v>577</v>
      </c>
      <c r="E336" s="892" t="s">
        <v>578</v>
      </c>
      <c r="F336" s="902" t="s">
        <v>36</v>
      </c>
      <c r="G336" s="528"/>
      <c r="H336" s="546" t="s">
        <v>37</v>
      </c>
      <c r="I336" s="711">
        <v>0</v>
      </c>
      <c r="J336" s="896" t="str">
        <f>IFERROR((I337/I336),"-")</f>
        <v>-</v>
      </c>
      <c r="K336" s="528"/>
      <c r="L336" s="546" t="s">
        <v>37</v>
      </c>
      <c r="M336" s="711">
        <f t="shared" si="1003"/>
        <v>0</v>
      </c>
      <c r="N336" s="896" t="str">
        <f>IFERROR((M337/M336),"-")</f>
        <v>-</v>
      </c>
      <c r="O336" s="528"/>
      <c r="P336" s="547">
        <v>0</v>
      </c>
      <c r="Q336" s="547">
        <v>0</v>
      </c>
      <c r="R336" s="547">
        <v>0</v>
      </c>
      <c r="S336" s="547">
        <v>0</v>
      </c>
      <c r="T336" s="547">
        <v>0</v>
      </c>
      <c r="U336" s="547">
        <v>0</v>
      </c>
      <c r="V336" s="548">
        <v>0</v>
      </c>
      <c r="W336" s="528"/>
      <c r="X336" s="711">
        <f t="shared" si="993"/>
        <v>0</v>
      </c>
      <c r="Y336" s="896" t="str">
        <f t="shared" ref="Y336" si="1070">IFERROR((X337/X336),"0")</f>
        <v>0</v>
      </c>
      <c r="Z336" s="528"/>
      <c r="AA336" s="898">
        <v>9697.4599999999991</v>
      </c>
      <c r="AB336" s="898">
        <v>9697.4599999999991</v>
      </c>
      <c r="AC336" s="898">
        <v>0</v>
      </c>
      <c r="AD336" s="900">
        <f t="shared" ref="AD336" si="1071">IFERROR((AC336/AB336),"-")</f>
        <v>0</v>
      </c>
      <c r="AE336" s="2"/>
      <c r="AF336" s="884">
        <v>0</v>
      </c>
      <c r="AG336" s="884"/>
      <c r="AH336" s="884">
        <v>0</v>
      </c>
      <c r="AI336" s="884"/>
      <c r="AJ336" s="884"/>
      <c r="AK336" s="884">
        <f t="shared" ref="AK336" si="1072">AF336+AG336+AH336+AI336+AJ336+AC336</f>
        <v>0</v>
      </c>
      <c r="AL336" s="884">
        <v>14897.460000000001</v>
      </c>
      <c r="AM336" s="878">
        <f t="shared" ref="AM336" si="1073">IFERROR((AK336/AL336),"-")</f>
        <v>0</v>
      </c>
      <c r="AN336" s="2"/>
      <c r="AO336" s="884">
        <v>14897</v>
      </c>
      <c r="AP336" s="884">
        <f t="shared" ref="AP336" si="1074">AO336-AK336</f>
        <v>14897</v>
      </c>
      <c r="AV336" s="4" t="str">
        <f t="shared" si="1061"/>
        <v>Escavação 1ª e 2ª categoria</v>
      </c>
      <c r="AW336" s="4" t="str">
        <f t="shared" si="1062"/>
        <v xml:space="preserve">   Alargamento - Escavação, carga e transporte de material 1ª/2ª categoria - Seg.3.1 C 01</v>
      </c>
    </row>
    <row r="337" spans="1:49" ht="15" customHeight="1" outlineLevel="2">
      <c r="A337" s="525" t="str">
        <f t="shared" ref="A337" si="1075">A336</f>
        <v>N</v>
      </c>
      <c r="B337" s="526"/>
      <c r="C337" s="526"/>
      <c r="D337" s="527" t="s">
        <v>577</v>
      </c>
      <c r="E337" s="893"/>
      <c r="F337" s="902"/>
      <c r="G337" s="528"/>
      <c r="H337" s="549" t="s">
        <v>38</v>
      </c>
      <c r="I337" s="711">
        <v>0</v>
      </c>
      <c r="J337" s="897"/>
      <c r="K337" s="528"/>
      <c r="L337" s="549" t="s">
        <v>38</v>
      </c>
      <c r="M337" s="711">
        <f t="shared" si="1003"/>
        <v>0</v>
      </c>
      <c r="N337" s="897"/>
      <c r="O337" s="528"/>
      <c r="P337" s="711">
        <v>0</v>
      </c>
      <c r="Q337" s="711">
        <v>0</v>
      </c>
      <c r="R337" s="711">
        <v>0</v>
      </c>
      <c r="S337" s="711">
        <v>0</v>
      </c>
      <c r="T337" s="711">
        <v>0</v>
      </c>
      <c r="U337" s="711">
        <v>0</v>
      </c>
      <c r="V337" s="711">
        <v>0</v>
      </c>
      <c r="W337" s="528"/>
      <c r="X337" s="711">
        <f t="shared" si="993"/>
        <v>0</v>
      </c>
      <c r="Y337" s="897"/>
      <c r="Z337" s="528"/>
      <c r="AA337" s="899"/>
      <c r="AB337" s="899"/>
      <c r="AC337" s="899"/>
      <c r="AD337" s="901"/>
      <c r="AE337" s="2"/>
      <c r="AF337" s="885"/>
      <c r="AG337" s="885"/>
      <c r="AH337" s="885"/>
      <c r="AI337" s="885"/>
      <c r="AJ337" s="885"/>
      <c r="AK337" s="885"/>
      <c r="AL337" s="885"/>
      <c r="AM337" s="879"/>
      <c r="AN337" s="2"/>
      <c r="AO337" s="886"/>
      <c r="AP337" s="886"/>
      <c r="AV337" s="4" t="str">
        <f t="shared" si="1061"/>
        <v>Escavação 1ª e 2ª categoria</v>
      </c>
      <c r="AW337" s="4" t="str">
        <f t="shared" si="1062"/>
        <v xml:space="preserve">   Alargamento - Escavação, carga e transporte de material 1ª/2ª categoria - Seg.3.1 C 01</v>
      </c>
    </row>
    <row r="338" spans="1:49" ht="17.100000000000001" customHeight="1" outlineLevel="2">
      <c r="A338" s="525" t="str">
        <f t="shared" ref="A338" si="1076">IF(SUM(P338:V339)&gt;0,"S","N")</f>
        <v>S</v>
      </c>
      <c r="B338" s="526">
        <v>1069910</v>
      </c>
      <c r="C338" s="526" t="s">
        <v>579</v>
      </c>
      <c r="D338" s="550" t="s">
        <v>580</v>
      </c>
      <c r="E338" s="892" t="s">
        <v>246</v>
      </c>
      <c r="F338" s="902" t="s">
        <v>36</v>
      </c>
      <c r="G338" s="528"/>
      <c r="H338" s="546" t="s">
        <v>37</v>
      </c>
      <c r="I338" s="711">
        <v>0</v>
      </c>
      <c r="J338" s="896" t="str">
        <f>IFERROR((I339/I338),"-")</f>
        <v>-</v>
      </c>
      <c r="K338" s="528"/>
      <c r="L338" s="546" t="s">
        <v>37</v>
      </c>
      <c r="M338" s="711">
        <f t="shared" si="1003"/>
        <v>1400</v>
      </c>
      <c r="N338" s="896">
        <f>IFERROR((M339/M338),"-")</f>
        <v>0</v>
      </c>
      <c r="O338" s="528"/>
      <c r="P338" s="547">
        <v>1400</v>
      </c>
      <c r="Q338" s="547">
        <v>1400</v>
      </c>
      <c r="R338" s="547">
        <v>1400</v>
      </c>
      <c r="S338" s="547">
        <v>1400</v>
      </c>
      <c r="T338" s="547">
        <v>1200</v>
      </c>
      <c r="U338" s="547">
        <v>1200</v>
      </c>
      <c r="V338" s="548">
        <v>0</v>
      </c>
      <c r="W338" s="528"/>
      <c r="X338" s="711">
        <f t="shared" si="993"/>
        <v>2800</v>
      </c>
      <c r="Y338" s="896">
        <f t="shared" ref="Y338" si="1077">IFERROR((X339/X338),"0")</f>
        <v>0</v>
      </c>
      <c r="Z338" s="528"/>
      <c r="AA338" s="898">
        <v>0</v>
      </c>
      <c r="AB338" s="898">
        <v>0</v>
      </c>
      <c r="AC338" s="898">
        <v>0</v>
      </c>
      <c r="AD338" s="900" t="str">
        <f t="shared" ref="AD338" si="1078">IFERROR((AC338/AB338),"-")</f>
        <v>-</v>
      </c>
      <c r="AE338" s="2"/>
      <c r="AF338" s="884">
        <v>0</v>
      </c>
      <c r="AG338" s="884"/>
      <c r="AH338" s="884">
        <v>0</v>
      </c>
      <c r="AI338" s="884"/>
      <c r="AJ338" s="884"/>
      <c r="AK338" s="884">
        <f t="shared" ref="AK338" si="1079">AF338+AG338+AH338+AI338+AJ338+AC338</f>
        <v>0</v>
      </c>
      <c r="AL338" s="884">
        <v>14197.529999999999</v>
      </c>
      <c r="AM338" s="878">
        <f t="shared" ref="AM338" si="1080">IFERROR((AK338/AL338),"-")</f>
        <v>0</v>
      </c>
      <c r="AN338" s="2"/>
      <c r="AO338" s="884">
        <v>14197.530000000002</v>
      </c>
      <c r="AP338" s="884">
        <f t="shared" ref="AP338" si="1081">AO338-AK338</f>
        <v>14197.530000000002</v>
      </c>
      <c r="AV338" s="4" t="str">
        <f t="shared" si="1061"/>
        <v>Escavação 1ª e 2ª categoria</v>
      </c>
      <c r="AW338" s="4" t="str">
        <f t="shared" si="1062"/>
        <v xml:space="preserve">   Escavação, carga e transporte de material 1ª/2ª categoria</v>
      </c>
    </row>
    <row r="339" spans="1:49" ht="17.100000000000001" customHeight="1" outlineLevel="2">
      <c r="A339" s="525" t="str">
        <f t="shared" ref="A339" si="1082">A338</f>
        <v>S</v>
      </c>
      <c r="B339" s="526"/>
      <c r="C339" s="526"/>
      <c r="D339" s="550" t="s">
        <v>580</v>
      </c>
      <c r="E339" s="893"/>
      <c r="F339" s="902"/>
      <c r="G339" s="528"/>
      <c r="H339" s="549" t="s">
        <v>38</v>
      </c>
      <c r="I339" s="711">
        <v>0</v>
      </c>
      <c r="J339" s="897"/>
      <c r="K339" s="528"/>
      <c r="L339" s="549" t="s">
        <v>38</v>
      </c>
      <c r="M339" s="711">
        <f t="shared" si="1003"/>
        <v>0</v>
      </c>
      <c r="N339" s="897"/>
      <c r="O339" s="528"/>
      <c r="P339" s="711">
        <v>0</v>
      </c>
      <c r="Q339" s="711">
        <v>0</v>
      </c>
      <c r="R339" s="711">
        <v>0</v>
      </c>
      <c r="S339" s="711">
        <v>0</v>
      </c>
      <c r="T339" s="711">
        <v>0</v>
      </c>
      <c r="U339" s="711">
        <v>0</v>
      </c>
      <c r="V339" s="711">
        <v>0</v>
      </c>
      <c r="W339" s="528"/>
      <c r="X339" s="711">
        <f t="shared" si="993"/>
        <v>0</v>
      </c>
      <c r="Y339" s="897"/>
      <c r="Z339" s="528"/>
      <c r="AA339" s="899"/>
      <c r="AB339" s="899"/>
      <c r="AC339" s="899"/>
      <c r="AD339" s="901"/>
      <c r="AE339" s="2"/>
      <c r="AF339" s="885"/>
      <c r="AG339" s="885"/>
      <c r="AH339" s="885"/>
      <c r="AI339" s="885"/>
      <c r="AJ339" s="885"/>
      <c r="AK339" s="885"/>
      <c r="AL339" s="885"/>
      <c r="AM339" s="879"/>
      <c r="AN339" s="2"/>
      <c r="AO339" s="885"/>
      <c r="AP339" s="886"/>
      <c r="AV339" s="4" t="str">
        <f t="shared" si="1061"/>
        <v>Escavação 1ª e 2ª categoria</v>
      </c>
      <c r="AW339" s="4" t="str">
        <f t="shared" si="1062"/>
        <v xml:space="preserve">   Escavação, carga e transporte de material 1ª/2ª categoria</v>
      </c>
    </row>
    <row r="340" spans="1:49" ht="18.600000000000001" customHeight="1" outlineLevel="2">
      <c r="A340" s="525" t="str">
        <f t="shared" ref="A340" si="1083">IF(SUM(P340:V341)&gt;0,"S","N")</f>
        <v>N</v>
      </c>
      <c r="B340" s="526" t="s">
        <v>266</v>
      </c>
      <c r="C340" s="526" t="s">
        <v>266</v>
      </c>
      <c r="D340" s="527" t="s">
        <v>581</v>
      </c>
      <c r="E340" s="892" t="s">
        <v>246</v>
      </c>
      <c r="F340" s="902" t="s">
        <v>36</v>
      </c>
      <c r="G340" s="528"/>
      <c r="H340" s="546" t="s">
        <v>37</v>
      </c>
      <c r="I340" s="711">
        <v>0</v>
      </c>
      <c r="J340" s="896" t="str">
        <f>IFERROR((I341/I340),"-")</f>
        <v>-</v>
      </c>
      <c r="K340" s="528"/>
      <c r="L340" s="546" t="s">
        <v>37</v>
      </c>
      <c r="M340" s="711">
        <f t="shared" si="1003"/>
        <v>0</v>
      </c>
      <c r="N340" s="896" t="str">
        <f>IFERROR((M341/M340),"-")</f>
        <v>-</v>
      </c>
      <c r="O340" s="528"/>
      <c r="P340" s="547">
        <v>0</v>
      </c>
      <c r="Q340" s="547">
        <v>0</v>
      </c>
      <c r="R340" s="547">
        <v>0</v>
      </c>
      <c r="S340" s="547">
        <v>0</v>
      </c>
      <c r="T340" s="547">
        <v>0</v>
      </c>
      <c r="U340" s="547">
        <v>0</v>
      </c>
      <c r="V340" s="548">
        <v>0</v>
      </c>
      <c r="W340" s="528"/>
      <c r="X340" s="711">
        <f t="shared" si="993"/>
        <v>0</v>
      </c>
      <c r="Y340" s="896" t="str">
        <f>IFERROR((X341/X340),"0")</f>
        <v>0</v>
      </c>
      <c r="Z340" s="528"/>
      <c r="AA340" s="898">
        <v>0</v>
      </c>
      <c r="AB340" s="898">
        <v>0</v>
      </c>
      <c r="AC340" s="898">
        <v>0</v>
      </c>
      <c r="AD340" s="900" t="str">
        <f t="shared" ref="AD340" si="1084">IFERROR((AC340/AB340),"-")</f>
        <v>-</v>
      </c>
      <c r="AE340" s="2"/>
      <c r="AF340" s="884">
        <v>0</v>
      </c>
      <c r="AG340" s="884"/>
      <c r="AH340" s="884">
        <v>0</v>
      </c>
      <c r="AI340" s="884"/>
      <c r="AJ340" s="884"/>
      <c r="AK340" s="884">
        <f t="shared" ref="AK340" si="1085">AF340+AG340+AH340+AI340+AJ340+AC340</f>
        <v>0</v>
      </c>
      <c r="AL340" s="884">
        <v>0</v>
      </c>
      <c r="AM340" s="878" t="str">
        <f t="shared" ref="AM340" si="1086">IFERROR((AK340/AL340),"-")</f>
        <v>-</v>
      </c>
      <c r="AN340" s="2"/>
      <c r="AO340" s="921">
        <v>0</v>
      </c>
      <c r="AP340" s="884">
        <f t="shared" ref="AP340" si="1087">AO340-AK340</f>
        <v>0</v>
      </c>
      <c r="AV340" s="4" t="str">
        <f t="shared" si="1061"/>
        <v>Escavação 1ª e 2ª categoria</v>
      </c>
      <c r="AW340" s="4" t="str">
        <f t="shared" si="1062"/>
        <v xml:space="preserve">   Escavação, carga e transporte de material 1ª/2ª categoria</v>
      </c>
    </row>
    <row r="341" spans="1:49" ht="14.45" customHeight="1" outlineLevel="2">
      <c r="A341" s="525" t="str">
        <f t="shared" ref="A341" si="1088">A340</f>
        <v>N</v>
      </c>
      <c r="B341" s="526"/>
      <c r="C341" s="526"/>
      <c r="D341" s="527" t="s">
        <v>581</v>
      </c>
      <c r="E341" s="893"/>
      <c r="F341" s="902"/>
      <c r="G341" s="528"/>
      <c r="H341" s="549" t="s">
        <v>38</v>
      </c>
      <c r="I341" s="711">
        <v>0</v>
      </c>
      <c r="J341" s="897"/>
      <c r="K341" s="528"/>
      <c r="L341" s="549" t="s">
        <v>38</v>
      </c>
      <c r="M341" s="711">
        <f t="shared" si="1003"/>
        <v>0</v>
      </c>
      <c r="N341" s="897"/>
      <c r="O341" s="528"/>
      <c r="P341" s="711">
        <v>0</v>
      </c>
      <c r="Q341" s="711">
        <v>0</v>
      </c>
      <c r="R341" s="711">
        <v>0</v>
      </c>
      <c r="S341" s="711">
        <v>0</v>
      </c>
      <c r="T341" s="711">
        <v>0</v>
      </c>
      <c r="U341" s="711">
        <v>0</v>
      </c>
      <c r="V341" s="711">
        <v>0</v>
      </c>
      <c r="W341" s="528"/>
      <c r="X341" s="711">
        <f t="shared" si="993"/>
        <v>0</v>
      </c>
      <c r="Y341" s="897"/>
      <c r="Z341" s="528"/>
      <c r="AA341" s="899"/>
      <c r="AB341" s="899"/>
      <c r="AC341" s="899"/>
      <c r="AD341" s="901"/>
      <c r="AE341" s="2"/>
      <c r="AF341" s="885"/>
      <c r="AG341" s="885"/>
      <c r="AH341" s="885"/>
      <c r="AI341" s="885"/>
      <c r="AJ341" s="885"/>
      <c r="AK341" s="885"/>
      <c r="AL341" s="885"/>
      <c r="AM341" s="879"/>
      <c r="AN341" s="2"/>
      <c r="AO341" s="922"/>
      <c r="AP341" s="886"/>
      <c r="AV341" s="4" t="str">
        <f t="shared" si="1061"/>
        <v>Escavação 1ª e 2ª categoria</v>
      </c>
      <c r="AW341" s="4" t="str">
        <f t="shared" si="1062"/>
        <v xml:space="preserve">   Escavação, carga e transporte de material 1ª/2ª categoria</v>
      </c>
    </row>
    <row r="342" spans="1:49" ht="23.65" customHeight="1" outlineLevel="2">
      <c r="A342" s="525" t="str">
        <f t="shared" ref="A342" si="1089">IF(SUM(P342:V343)&gt;0,"S","N")</f>
        <v>N</v>
      </c>
      <c r="B342" s="526" t="s">
        <v>266</v>
      </c>
      <c r="C342" s="526" t="s">
        <v>266</v>
      </c>
      <c r="D342" s="527" t="s">
        <v>582</v>
      </c>
      <c r="E342" s="892" t="s">
        <v>583</v>
      </c>
      <c r="F342" s="902" t="s">
        <v>36</v>
      </c>
      <c r="G342" s="528"/>
      <c r="H342" s="546" t="s">
        <v>37</v>
      </c>
      <c r="I342" s="711">
        <v>0</v>
      </c>
      <c r="J342" s="896" t="str">
        <f>IFERROR((I343/I342),"-")</f>
        <v>-</v>
      </c>
      <c r="K342" s="528"/>
      <c r="L342" s="546" t="s">
        <v>37</v>
      </c>
      <c r="M342" s="711">
        <f t="shared" si="1003"/>
        <v>0</v>
      </c>
      <c r="N342" s="896" t="str">
        <f>IFERROR((M343/M342),"-")</f>
        <v>-</v>
      </c>
      <c r="O342" s="528"/>
      <c r="P342" s="547">
        <v>0</v>
      </c>
      <c r="Q342" s="547">
        <v>0</v>
      </c>
      <c r="R342" s="547">
        <v>0</v>
      </c>
      <c r="S342" s="547">
        <v>0</v>
      </c>
      <c r="T342" s="547">
        <v>0</v>
      </c>
      <c r="U342" s="547">
        <v>0</v>
      </c>
      <c r="V342" s="548">
        <v>0</v>
      </c>
      <c r="W342" s="528"/>
      <c r="X342" s="711">
        <f t="shared" si="993"/>
        <v>0</v>
      </c>
      <c r="Y342" s="896" t="str">
        <f>IFERROR((X343/X342),"0")</f>
        <v>0</v>
      </c>
      <c r="Z342" s="528"/>
      <c r="AA342" s="898">
        <v>0</v>
      </c>
      <c r="AB342" s="898">
        <v>0</v>
      </c>
      <c r="AC342" s="898">
        <v>8460</v>
      </c>
      <c r="AD342" s="900" t="str">
        <f t="shared" ref="AD342" si="1090">IFERROR((AC342/AB342),"-")</f>
        <v>-</v>
      </c>
      <c r="AE342" s="2"/>
      <c r="AF342" s="884">
        <v>0</v>
      </c>
      <c r="AG342" s="884"/>
      <c r="AH342" s="884">
        <v>0</v>
      </c>
      <c r="AI342" s="884"/>
      <c r="AJ342" s="884"/>
      <c r="AK342" s="884">
        <f t="shared" ref="AK342" si="1091">AF342+AG342+AH342+AI342+AJ342+AC342</f>
        <v>8460</v>
      </c>
      <c r="AL342" s="884">
        <v>0</v>
      </c>
      <c r="AM342" s="878" t="str">
        <f t="shared" ref="AM342" si="1092">IFERROR((AK342/AL342),"-")</f>
        <v>-</v>
      </c>
      <c r="AN342" s="2"/>
      <c r="AO342" s="884">
        <v>0</v>
      </c>
      <c r="AP342" s="884">
        <f t="shared" ref="AP342" si="1093">AO342-AK342</f>
        <v>-8460</v>
      </c>
      <c r="AV342" s="4" t="str">
        <f t="shared" si="1061"/>
        <v>Escavação 1ª e 2ª categoria</v>
      </c>
      <c r="AW342" s="4" t="str">
        <f t="shared" si="1062"/>
        <v xml:space="preserve">   Escavação, carga e transporte de material 1ª/2ª categoria - Seg.3.1 C A09</v>
      </c>
    </row>
    <row r="343" spans="1:49" ht="14.45" customHeight="1" outlineLevel="2">
      <c r="A343" s="525" t="str">
        <f t="shared" ref="A343" si="1094">A342</f>
        <v>N</v>
      </c>
      <c r="B343" s="526"/>
      <c r="C343" s="526"/>
      <c r="D343" s="527" t="s">
        <v>582</v>
      </c>
      <c r="E343" s="893"/>
      <c r="F343" s="902"/>
      <c r="G343" s="528"/>
      <c r="H343" s="549" t="s">
        <v>38</v>
      </c>
      <c r="I343" s="711">
        <v>6240</v>
      </c>
      <c r="J343" s="897"/>
      <c r="K343" s="528"/>
      <c r="L343" s="549" t="s">
        <v>38</v>
      </c>
      <c r="M343" s="711">
        <f t="shared" si="1003"/>
        <v>0</v>
      </c>
      <c r="N343" s="897"/>
      <c r="O343" s="528"/>
      <c r="P343" s="711">
        <v>0</v>
      </c>
      <c r="Q343" s="711">
        <v>0</v>
      </c>
      <c r="R343" s="711">
        <v>0</v>
      </c>
      <c r="S343" s="711">
        <v>0</v>
      </c>
      <c r="T343" s="711">
        <v>0</v>
      </c>
      <c r="U343" s="711">
        <v>0</v>
      </c>
      <c r="V343" s="711">
        <v>0</v>
      </c>
      <c r="W343" s="528"/>
      <c r="X343" s="711">
        <f t="shared" si="993"/>
        <v>0</v>
      </c>
      <c r="Y343" s="897"/>
      <c r="Z343" s="528"/>
      <c r="AA343" s="899"/>
      <c r="AB343" s="899"/>
      <c r="AC343" s="899"/>
      <c r="AD343" s="901"/>
      <c r="AE343" s="2"/>
      <c r="AF343" s="885"/>
      <c r="AG343" s="885"/>
      <c r="AH343" s="885"/>
      <c r="AI343" s="885"/>
      <c r="AJ343" s="885"/>
      <c r="AK343" s="885"/>
      <c r="AL343" s="885"/>
      <c r="AM343" s="879"/>
      <c r="AN343" s="2"/>
      <c r="AO343" s="886"/>
      <c r="AP343" s="886"/>
      <c r="AV343" s="4" t="str">
        <f t="shared" si="1061"/>
        <v>Escavação 1ª e 2ª categoria</v>
      </c>
      <c r="AW343" s="4" t="str">
        <f t="shared" si="1062"/>
        <v xml:space="preserve">   Escavação, carga e transporte de material 1ª/2ª categoria - Seg.3.1 C A09</v>
      </c>
    </row>
    <row r="344" spans="1:49" ht="15" customHeight="1" outlineLevel="2">
      <c r="A344" s="525" t="str">
        <f t="shared" ref="A344" si="1095">IF(SUM(P344:V345)&gt;0,"S","N")</f>
        <v>N</v>
      </c>
      <c r="B344" s="526">
        <v>1069997</v>
      </c>
      <c r="C344" s="526" t="s">
        <v>584</v>
      </c>
      <c r="D344" s="527"/>
      <c r="E344" s="892" t="s">
        <v>585</v>
      </c>
      <c r="F344" s="902" t="s">
        <v>36</v>
      </c>
      <c r="G344" s="528"/>
      <c r="H344" s="546" t="s">
        <v>37</v>
      </c>
      <c r="I344" s="711">
        <v>0</v>
      </c>
      <c r="J344" s="896" t="str">
        <f>IFERROR((I345/I344),"-")</f>
        <v>-</v>
      </c>
      <c r="K344" s="528"/>
      <c r="L344" s="546" t="s">
        <v>37</v>
      </c>
      <c r="M344" s="711">
        <f t="shared" si="1003"/>
        <v>0</v>
      </c>
      <c r="N344" s="896" t="str">
        <f>IFERROR((M345/M344),"-")</f>
        <v>-</v>
      </c>
      <c r="O344" s="528"/>
      <c r="P344" s="547">
        <v>0</v>
      </c>
      <c r="Q344" s="547">
        <v>0</v>
      </c>
      <c r="R344" s="547">
        <v>0</v>
      </c>
      <c r="S344" s="547">
        <v>0</v>
      </c>
      <c r="T344" s="547">
        <v>0</v>
      </c>
      <c r="U344" s="547">
        <v>0</v>
      </c>
      <c r="V344" s="548">
        <v>0</v>
      </c>
      <c r="W344" s="528"/>
      <c r="X344" s="711">
        <f t="shared" si="993"/>
        <v>0</v>
      </c>
      <c r="Y344" s="896" t="str">
        <f>IFERROR((X345/X344),"0")</f>
        <v>0</v>
      </c>
      <c r="Z344" s="528"/>
      <c r="AA344" s="898">
        <v>0</v>
      </c>
      <c r="AB344" s="898">
        <v>0</v>
      </c>
      <c r="AC344" s="898">
        <v>0</v>
      </c>
      <c r="AD344" s="900" t="str">
        <f t="shared" ref="AD344" si="1096">IFERROR((AC344/AB344),"-")</f>
        <v>-</v>
      </c>
      <c r="AE344" s="2"/>
      <c r="AF344" s="884">
        <v>0</v>
      </c>
      <c r="AG344" s="884"/>
      <c r="AH344" s="884">
        <v>0</v>
      </c>
      <c r="AI344" s="884"/>
      <c r="AJ344" s="884"/>
      <c r="AK344" s="884">
        <f t="shared" ref="AK344" si="1097">AF344+AG344+AH344+AI344+AJ344+AC344</f>
        <v>0</v>
      </c>
      <c r="AL344" s="884">
        <v>0</v>
      </c>
      <c r="AM344" s="878" t="str">
        <f t="shared" ref="AM344" si="1098">IFERROR((AK344/AL344),"-")</f>
        <v>-</v>
      </c>
      <c r="AN344" s="2"/>
      <c r="AO344" s="884">
        <v>0</v>
      </c>
      <c r="AP344" s="884">
        <f t="shared" ref="AP344" si="1099">AO344-AK344</f>
        <v>0</v>
      </c>
      <c r="AV344" s="4" t="str">
        <f t="shared" si="1061"/>
        <v>Escavação 1ª e 2ª categoria</v>
      </c>
      <c r="AW344" s="4" t="str">
        <f t="shared" si="1062"/>
        <v xml:space="preserve">   Saldo remanescente seg.3.1 - Escavação, carga e transporte de material 1ª/2ª categoria</v>
      </c>
    </row>
    <row r="345" spans="1:49" ht="21.6" customHeight="1" outlineLevel="2">
      <c r="A345" s="525" t="str">
        <f t="shared" ref="A345" si="1100">A344</f>
        <v>N</v>
      </c>
      <c r="B345" s="526"/>
      <c r="C345" s="526"/>
      <c r="D345" s="527"/>
      <c r="E345" s="893"/>
      <c r="F345" s="902"/>
      <c r="G345" s="528"/>
      <c r="H345" s="549" t="s">
        <v>38</v>
      </c>
      <c r="I345" s="711">
        <v>0</v>
      </c>
      <c r="J345" s="897"/>
      <c r="K345" s="528"/>
      <c r="L345" s="549" t="s">
        <v>38</v>
      </c>
      <c r="M345" s="711">
        <f t="shared" si="1003"/>
        <v>0</v>
      </c>
      <c r="N345" s="897"/>
      <c r="O345" s="528"/>
      <c r="P345" s="711">
        <v>0</v>
      </c>
      <c r="Q345" s="711">
        <v>0</v>
      </c>
      <c r="R345" s="711">
        <v>0</v>
      </c>
      <c r="S345" s="711">
        <v>0</v>
      </c>
      <c r="T345" s="711">
        <v>0</v>
      </c>
      <c r="U345" s="711">
        <v>0</v>
      </c>
      <c r="V345" s="711">
        <v>0</v>
      </c>
      <c r="W345" s="528"/>
      <c r="X345" s="711">
        <f t="shared" si="993"/>
        <v>0</v>
      </c>
      <c r="Y345" s="897"/>
      <c r="Z345" s="528"/>
      <c r="AA345" s="899"/>
      <c r="AB345" s="899"/>
      <c r="AC345" s="899"/>
      <c r="AD345" s="901"/>
      <c r="AE345" s="2"/>
      <c r="AF345" s="885"/>
      <c r="AG345" s="885"/>
      <c r="AH345" s="885"/>
      <c r="AI345" s="885"/>
      <c r="AJ345" s="885"/>
      <c r="AK345" s="885"/>
      <c r="AL345" s="885"/>
      <c r="AM345" s="879"/>
      <c r="AN345" s="2"/>
      <c r="AO345" s="886"/>
      <c r="AP345" s="886"/>
      <c r="AV345" s="4" t="str">
        <f t="shared" si="1061"/>
        <v>Escavação 1ª e 2ª categoria</v>
      </c>
      <c r="AW345" s="4" t="str">
        <f t="shared" si="1062"/>
        <v xml:space="preserve">   Saldo remanescente seg.3.1 - Escavação, carga e transporte de material 1ª/2ª categoria</v>
      </c>
    </row>
    <row r="346" spans="1:49" ht="14.45" customHeight="1" outlineLevel="2">
      <c r="A346" s="525" t="str">
        <f t="shared" ref="A346" si="1101">IF(SUM(P346:V347)&gt;0,"S","N")</f>
        <v>S</v>
      </c>
      <c r="B346" s="526" t="s">
        <v>266</v>
      </c>
      <c r="C346" s="526" t="s">
        <v>266</v>
      </c>
      <c r="D346" s="527" t="s">
        <v>586</v>
      </c>
      <c r="E346" s="892" t="s">
        <v>587</v>
      </c>
      <c r="F346" s="894" t="s">
        <v>36</v>
      </c>
      <c r="G346" s="528"/>
      <c r="H346" s="546" t="s">
        <v>37</v>
      </c>
      <c r="I346" s="711">
        <v>0</v>
      </c>
      <c r="J346" s="896" t="str">
        <f t="shared" ref="J346" si="1102">IFERROR((I347/I346),"-")</f>
        <v>-</v>
      </c>
      <c r="K346" s="528"/>
      <c r="L346" s="546" t="s">
        <v>37</v>
      </c>
      <c r="M346" s="711">
        <f t="shared" si="1003"/>
        <v>0</v>
      </c>
      <c r="N346" s="896" t="str">
        <f t="shared" ref="N346" si="1103">IFERROR((M347/M346),"-")</f>
        <v>-</v>
      </c>
      <c r="O346" s="528"/>
      <c r="P346" s="547">
        <v>0</v>
      </c>
      <c r="Q346" s="547">
        <v>0</v>
      </c>
      <c r="R346" s="547">
        <v>0</v>
      </c>
      <c r="S346" s="547">
        <v>0</v>
      </c>
      <c r="T346" s="547">
        <v>0</v>
      </c>
      <c r="U346" s="547">
        <v>0</v>
      </c>
      <c r="V346" s="548">
        <v>0</v>
      </c>
      <c r="W346" s="528"/>
      <c r="X346" s="711">
        <f t="shared" si="993"/>
        <v>0</v>
      </c>
      <c r="Y346" s="896" t="str">
        <f>IFERROR((X347/X346),"-")</f>
        <v>-</v>
      </c>
      <c r="Z346" s="528"/>
      <c r="AA346" s="898">
        <v>0</v>
      </c>
      <c r="AB346" s="898">
        <v>0</v>
      </c>
      <c r="AC346" s="898">
        <v>9480</v>
      </c>
      <c r="AD346" s="900" t="str">
        <f>IFERROR((AC346/AB346),"-")</f>
        <v>-</v>
      </c>
      <c r="AE346" s="2"/>
      <c r="AF346" s="884">
        <v>0</v>
      </c>
      <c r="AG346" s="884"/>
      <c r="AH346" s="884">
        <v>11680</v>
      </c>
      <c r="AI346" s="884"/>
      <c r="AJ346" s="884"/>
      <c r="AK346" s="884">
        <f t="shared" ref="AK346" si="1104">AF346+AG346+AH346+AI346+AJ346+AC346</f>
        <v>21160</v>
      </c>
      <c r="AL346" s="884">
        <v>0</v>
      </c>
      <c r="AM346" s="878" t="str">
        <f t="shared" ref="AM346" si="1105">IFERROR((AK346/AL346),"-")</f>
        <v>-</v>
      </c>
      <c r="AN346" s="2"/>
      <c r="AO346" s="884">
        <v>0</v>
      </c>
      <c r="AP346" s="884">
        <f t="shared" ref="AP346" si="1106">AO346-AK346</f>
        <v>-21160</v>
      </c>
      <c r="AV346" s="4" t="str">
        <f t="shared" si="1061"/>
        <v>Escavação 1ª e 2ª categoria</v>
      </c>
      <c r="AW346" s="4" t="str">
        <f t="shared" si="1062"/>
        <v>Corte da rodovia</v>
      </c>
    </row>
    <row r="347" spans="1:49" ht="14.45" customHeight="1" outlineLevel="2">
      <c r="A347" s="525" t="str">
        <f t="shared" ref="A347" si="1107">A346</f>
        <v>S</v>
      </c>
      <c r="B347" s="526"/>
      <c r="C347" s="526"/>
      <c r="D347" s="527" t="s">
        <v>586</v>
      </c>
      <c r="E347" s="893"/>
      <c r="F347" s="895"/>
      <c r="G347" s="528"/>
      <c r="H347" s="549" t="s">
        <v>38</v>
      </c>
      <c r="I347" s="711">
        <v>1540</v>
      </c>
      <c r="J347" s="897"/>
      <c r="K347" s="528"/>
      <c r="L347" s="549" t="s">
        <v>38</v>
      </c>
      <c r="M347" s="711">
        <f t="shared" si="1003"/>
        <v>1530</v>
      </c>
      <c r="N347" s="897"/>
      <c r="O347" s="528"/>
      <c r="P347" s="711">
        <v>1880</v>
      </c>
      <c r="Q347" s="711">
        <v>1530</v>
      </c>
      <c r="R347" s="711">
        <v>0</v>
      </c>
      <c r="S347" s="711">
        <v>0</v>
      </c>
      <c r="T347" s="711">
        <v>0</v>
      </c>
      <c r="U347" s="711">
        <v>0</v>
      </c>
      <c r="V347" s="711">
        <v>0</v>
      </c>
      <c r="W347" s="528"/>
      <c r="X347" s="711">
        <f t="shared" si="993"/>
        <v>3410</v>
      </c>
      <c r="Y347" s="897"/>
      <c r="Z347" s="528"/>
      <c r="AA347" s="899"/>
      <c r="AB347" s="899"/>
      <c r="AC347" s="899"/>
      <c r="AD347" s="901"/>
      <c r="AE347" s="2"/>
      <c r="AF347" s="885"/>
      <c r="AG347" s="885"/>
      <c r="AH347" s="885"/>
      <c r="AI347" s="885"/>
      <c r="AJ347" s="885"/>
      <c r="AK347" s="885"/>
      <c r="AL347" s="885"/>
      <c r="AM347" s="879"/>
      <c r="AN347" s="2"/>
      <c r="AO347" s="886"/>
      <c r="AP347" s="886"/>
      <c r="AV347" s="4" t="str">
        <f t="shared" si="1061"/>
        <v>Escavação 1ª e 2ª categoria</v>
      </c>
      <c r="AW347" s="4" t="str">
        <f t="shared" si="1062"/>
        <v>Corte da rodovia</v>
      </c>
    </row>
    <row r="348" spans="1:49" ht="14.45" customHeight="1" outlineLevel="2">
      <c r="A348" s="525" t="str">
        <f t="shared" ref="A348" si="1108">IF(SUM(P348:V349)&gt;0,"S","N")</f>
        <v>N</v>
      </c>
      <c r="B348" s="526" t="s">
        <v>266</v>
      </c>
      <c r="C348" s="526" t="s">
        <v>266</v>
      </c>
      <c r="D348" s="527" t="s">
        <v>588</v>
      </c>
      <c r="E348" s="892" t="s">
        <v>589</v>
      </c>
      <c r="F348" s="894" t="s">
        <v>36</v>
      </c>
      <c r="G348" s="528"/>
      <c r="H348" s="546" t="s">
        <v>37</v>
      </c>
      <c r="I348" s="711">
        <v>0</v>
      </c>
      <c r="J348" s="896" t="str">
        <f t="shared" ref="J348" si="1109">IFERROR((I349/I348),"-")</f>
        <v>-</v>
      </c>
      <c r="K348" s="528"/>
      <c r="L348" s="546" t="s">
        <v>37</v>
      </c>
      <c r="M348" s="711">
        <f t="shared" si="1003"/>
        <v>0</v>
      </c>
      <c r="N348" s="896" t="str">
        <f t="shared" ref="N348" si="1110">IFERROR((M349/M348),"-")</f>
        <v>-</v>
      </c>
      <c r="O348" s="528"/>
      <c r="P348" s="547">
        <v>0</v>
      </c>
      <c r="Q348" s="547">
        <v>0</v>
      </c>
      <c r="R348" s="547">
        <v>0</v>
      </c>
      <c r="S348" s="547">
        <v>0</v>
      </c>
      <c r="T348" s="547">
        <v>0</v>
      </c>
      <c r="U348" s="547">
        <v>0</v>
      </c>
      <c r="V348" s="548">
        <v>0</v>
      </c>
      <c r="W348" s="528"/>
      <c r="X348" s="711">
        <f t="shared" si="993"/>
        <v>0</v>
      </c>
      <c r="Y348" s="896" t="str">
        <f>IFERROR((X349/X348),"-")</f>
        <v>-</v>
      </c>
      <c r="Z348" s="528"/>
      <c r="AA348" s="898">
        <v>0</v>
      </c>
      <c r="AB348" s="898">
        <v>0</v>
      </c>
      <c r="AC348" s="898">
        <v>0</v>
      </c>
      <c r="AD348" s="900" t="str">
        <f>IFERROR((AC348/AB348),"-")</f>
        <v>-</v>
      </c>
      <c r="AE348" s="2"/>
      <c r="AF348" s="884">
        <v>0</v>
      </c>
      <c r="AG348" s="884"/>
      <c r="AH348" s="884">
        <v>0</v>
      </c>
      <c r="AI348" s="884"/>
      <c r="AJ348" s="884"/>
      <c r="AK348" s="884">
        <f t="shared" ref="AK348" si="1111">AF348+AG348+AH348+AI348+AJ348+AC348</f>
        <v>0</v>
      </c>
      <c r="AL348" s="884">
        <v>0</v>
      </c>
      <c r="AM348" s="878" t="str">
        <f t="shared" ref="AM348" si="1112">IFERROR((AK348/AL348),"-")</f>
        <v>-</v>
      </c>
      <c r="AN348" s="2"/>
      <c r="AO348" s="884">
        <v>0</v>
      </c>
      <c r="AP348" s="884">
        <f t="shared" ref="AP348" si="1113">AO348-AK348</f>
        <v>0</v>
      </c>
      <c r="AV348" s="4" t="str">
        <f t="shared" si="1061"/>
        <v>Escavação 1ª e 2ª categoria</v>
      </c>
      <c r="AW348" s="4" t="str">
        <f t="shared" si="1062"/>
        <v>Aterro 01 -    Escavação, carga e transporte de material 1ª/2ª categoria</v>
      </c>
    </row>
    <row r="349" spans="1:49" ht="15" customHeight="1" outlineLevel="2">
      <c r="A349" s="525" t="str">
        <f t="shared" ref="A349" si="1114">A348</f>
        <v>N</v>
      </c>
      <c r="B349" s="526"/>
      <c r="C349" s="526"/>
      <c r="D349" s="527" t="s">
        <v>588</v>
      </c>
      <c r="E349" s="893"/>
      <c r="F349" s="895"/>
      <c r="G349" s="528"/>
      <c r="H349" s="549" t="s">
        <v>38</v>
      </c>
      <c r="I349" s="711">
        <v>0</v>
      </c>
      <c r="J349" s="897"/>
      <c r="K349" s="528"/>
      <c r="L349" s="549" t="s">
        <v>38</v>
      </c>
      <c r="M349" s="711">
        <f t="shared" si="1003"/>
        <v>0</v>
      </c>
      <c r="N349" s="897"/>
      <c r="O349" s="528"/>
      <c r="P349" s="711">
        <v>0</v>
      </c>
      <c r="Q349" s="711">
        <v>0</v>
      </c>
      <c r="R349" s="711">
        <v>0</v>
      </c>
      <c r="S349" s="711">
        <v>0</v>
      </c>
      <c r="T349" s="711">
        <v>0</v>
      </c>
      <c r="U349" s="711">
        <v>0</v>
      </c>
      <c r="V349" s="711">
        <v>0</v>
      </c>
      <c r="W349" s="528"/>
      <c r="X349" s="711">
        <f t="shared" si="993"/>
        <v>0</v>
      </c>
      <c r="Y349" s="897"/>
      <c r="Z349" s="528"/>
      <c r="AA349" s="899"/>
      <c r="AB349" s="899"/>
      <c r="AC349" s="899"/>
      <c r="AD349" s="901"/>
      <c r="AE349" s="2"/>
      <c r="AF349" s="885"/>
      <c r="AG349" s="885"/>
      <c r="AH349" s="885"/>
      <c r="AI349" s="885"/>
      <c r="AJ349" s="885"/>
      <c r="AK349" s="885"/>
      <c r="AL349" s="885"/>
      <c r="AM349" s="879"/>
      <c r="AN349" s="2"/>
      <c r="AO349" s="886"/>
      <c r="AP349" s="886"/>
      <c r="AV349" s="4" t="str">
        <f t="shared" si="1061"/>
        <v>Escavação 1ª e 2ª categoria</v>
      </c>
      <c r="AW349" s="4" t="str">
        <f t="shared" si="1062"/>
        <v>Aterro 01 -    Escavação, carga e transporte de material 1ª/2ª categoria</v>
      </c>
    </row>
    <row r="350" spans="1:49" ht="21.6" customHeight="1" outlineLevel="2">
      <c r="A350" s="525" t="str">
        <f t="shared" ref="A350" si="1115">IF(SUM(P350:V351)&gt;0,"S","N")</f>
        <v>N</v>
      </c>
      <c r="B350" s="526" t="s">
        <v>266</v>
      </c>
      <c r="C350" s="526" t="s">
        <v>266</v>
      </c>
      <c r="D350" s="526" t="s">
        <v>590</v>
      </c>
      <c r="E350" s="892" t="s">
        <v>591</v>
      </c>
      <c r="F350" s="894" t="s">
        <v>36</v>
      </c>
      <c r="G350" s="528"/>
      <c r="H350" s="546" t="s">
        <v>37</v>
      </c>
      <c r="I350" s="711">
        <v>0</v>
      </c>
      <c r="J350" s="896" t="str">
        <f t="shared" ref="J350" si="1116">IFERROR((I351/I350),"-")</f>
        <v>-</v>
      </c>
      <c r="K350" s="528"/>
      <c r="L350" s="546" t="s">
        <v>37</v>
      </c>
      <c r="M350" s="711">
        <f t="shared" si="1003"/>
        <v>0</v>
      </c>
      <c r="N350" s="896" t="str">
        <f t="shared" ref="N350" si="1117">IFERROR((M351/M350),"-")</f>
        <v>-</v>
      </c>
      <c r="O350" s="528"/>
      <c r="P350" s="547">
        <v>0</v>
      </c>
      <c r="Q350" s="547">
        <v>0</v>
      </c>
      <c r="R350" s="547">
        <v>0</v>
      </c>
      <c r="S350" s="547">
        <v>0</v>
      </c>
      <c r="T350" s="547">
        <v>0</v>
      </c>
      <c r="U350" s="547">
        <v>0</v>
      </c>
      <c r="V350" s="548">
        <v>0</v>
      </c>
      <c r="W350" s="528"/>
      <c r="X350" s="711">
        <f t="shared" si="993"/>
        <v>0</v>
      </c>
      <c r="Y350" s="896" t="str">
        <f>IFERROR((X351/X350),"-")</f>
        <v>-</v>
      </c>
      <c r="Z350" s="528"/>
      <c r="AA350" s="898">
        <v>0</v>
      </c>
      <c r="AB350" s="898">
        <v>0</v>
      </c>
      <c r="AC350" s="898">
        <v>2980</v>
      </c>
      <c r="AD350" s="900" t="str">
        <f>IFERROR((AC350/AB350),"-")</f>
        <v>-</v>
      </c>
      <c r="AE350" s="2"/>
      <c r="AF350" s="884">
        <v>0</v>
      </c>
      <c r="AG350" s="884"/>
      <c r="AH350" s="884">
        <v>0</v>
      </c>
      <c r="AI350" s="884"/>
      <c r="AJ350" s="884"/>
      <c r="AK350" s="884">
        <f t="shared" ref="AK350" si="1118">AF350+AG350+AH350+AI350+AJ350+AC350</f>
        <v>2980</v>
      </c>
      <c r="AL350" s="884">
        <v>0</v>
      </c>
      <c r="AM350" s="878" t="str">
        <f t="shared" ref="AM350" si="1119">IFERROR((AK350/AL350),"-")</f>
        <v>-</v>
      </c>
      <c r="AN350" s="2"/>
      <c r="AO350" s="884">
        <v>0</v>
      </c>
      <c r="AP350" s="884">
        <f t="shared" ref="AP350" si="1120">AO350-AK350</f>
        <v>-2980</v>
      </c>
      <c r="AV350" s="4" t="str">
        <f t="shared" si="1061"/>
        <v>Escavação 1ª e 2ª categoria</v>
      </c>
      <c r="AW350" s="4" t="str">
        <f t="shared" si="1062"/>
        <v>Aterro 10 -    Escavação, carga e transporte de material 1ª/2ª categoria(ADMP)</v>
      </c>
    </row>
    <row r="351" spans="1:49" ht="20.25" customHeight="1" outlineLevel="2">
      <c r="A351" s="525" t="str">
        <f t="shared" ref="A351" si="1121">A350</f>
        <v>N</v>
      </c>
      <c r="B351" s="526"/>
      <c r="C351" s="526"/>
      <c r="D351" s="526" t="s">
        <v>590</v>
      </c>
      <c r="E351" s="893"/>
      <c r="F351" s="895"/>
      <c r="G351" s="528"/>
      <c r="H351" s="549" t="s">
        <v>38</v>
      </c>
      <c r="I351" s="711">
        <v>1070</v>
      </c>
      <c r="J351" s="897"/>
      <c r="K351" s="528"/>
      <c r="L351" s="549" t="s">
        <v>38</v>
      </c>
      <c r="M351" s="711">
        <f t="shared" si="1003"/>
        <v>0</v>
      </c>
      <c r="N351" s="897"/>
      <c r="O351" s="528"/>
      <c r="P351" s="711">
        <v>0</v>
      </c>
      <c r="Q351" s="711">
        <v>0</v>
      </c>
      <c r="R351" s="711">
        <v>0</v>
      </c>
      <c r="S351" s="711">
        <v>0</v>
      </c>
      <c r="T351" s="711">
        <v>0</v>
      </c>
      <c r="U351" s="711">
        <v>0</v>
      </c>
      <c r="V351" s="711">
        <v>0</v>
      </c>
      <c r="W351" s="528"/>
      <c r="X351" s="711">
        <f t="shared" si="993"/>
        <v>0</v>
      </c>
      <c r="Y351" s="897"/>
      <c r="Z351" s="528"/>
      <c r="AA351" s="899"/>
      <c r="AB351" s="899"/>
      <c r="AC351" s="899"/>
      <c r="AD351" s="901"/>
      <c r="AE351" s="2"/>
      <c r="AF351" s="885"/>
      <c r="AG351" s="885"/>
      <c r="AH351" s="885"/>
      <c r="AI351" s="885"/>
      <c r="AJ351" s="885"/>
      <c r="AK351" s="885"/>
      <c r="AL351" s="885"/>
      <c r="AM351" s="879"/>
      <c r="AN351" s="2"/>
      <c r="AO351" s="886"/>
      <c r="AP351" s="886"/>
      <c r="AV351" s="4" t="str">
        <f t="shared" si="1061"/>
        <v>Escavação 1ª e 2ª categoria</v>
      </c>
      <c r="AW351" s="4" t="str">
        <f t="shared" si="1062"/>
        <v>Aterro 10 -    Escavação, carga e transporte de material 1ª/2ª categoria(ADMP)</v>
      </c>
    </row>
    <row r="352" spans="1:49" ht="20.25" customHeight="1" outlineLevel="2">
      <c r="A352" s="525" t="str">
        <f t="shared" ref="A352" si="1122">IF(SUM(P352:V353)&gt;0,"S","N")</f>
        <v>S</v>
      </c>
      <c r="B352" s="526" t="s">
        <v>266</v>
      </c>
      <c r="C352" s="526" t="s">
        <v>266</v>
      </c>
      <c r="D352" s="527" t="s">
        <v>592</v>
      </c>
      <c r="E352" s="892" t="s">
        <v>593</v>
      </c>
      <c r="F352" s="894" t="s">
        <v>36</v>
      </c>
      <c r="G352" s="528"/>
      <c r="H352" s="546" t="s">
        <v>37</v>
      </c>
      <c r="I352" s="711">
        <v>0</v>
      </c>
      <c r="J352" s="896" t="str">
        <f t="shared" ref="J352" si="1123">IFERROR((I353/I352),"-")</f>
        <v>-</v>
      </c>
      <c r="K352" s="528"/>
      <c r="L352" s="546" t="s">
        <v>37</v>
      </c>
      <c r="M352" s="711">
        <f t="shared" si="1003"/>
        <v>0</v>
      </c>
      <c r="N352" s="896" t="str">
        <f t="shared" ref="N352" si="1124">IFERROR((M353/M352),"-")</f>
        <v>-</v>
      </c>
      <c r="O352" s="528"/>
      <c r="P352" s="547">
        <v>0</v>
      </c>
      <c r="Q352" s="547">
        <v>0</v>
      </c>
      <c r="R352" s="547">
        <v>0</v>
      </c>
      <c r="S352" s="547">
        <v>0</v>
      </c>
      <c r="T352" s="547">
        <v>0</v>
      </c>
      <c r="U352" s="547">
        <v>0</v>
      </c>
      <c r="V352" s="548">
        <v>0</v>
      </c>
      <c r="W352" s="528"/>
      <c r="X352" s="711">
        <f t="shared" si="993"/>
        <v>0</v>
      </c>
      <c r="Y352" s="896" t="str">
        <f>IFERROR((X353/X352),"-")</f>
        <v>-</v>
      </c>
      <c r="Z352" s="528"/>
      <c r="AA352" s="898">
        <v>0</v>
      </c>
      <c r="AB352" s="898">
        <v>0</v>
      </c>
      <c r="AC352" s="898">
        <v>7940</v>
      </c>
      <c r="AD352" s="900" t="str">
        <f>IFERROR((AC352/AB352),"-")</f>
        <v>-</v>
      </c>
      <c r="AE352" s="2"/>
      <c r="AF352" s="884">
        <v>0</v>
      </c>
      <c r="AG352" s="884"/>
      <c r="AH352" s="884">
        <v>0</v>
      </c>
      <c r="AI352" s="884"/>
      <c r="AJ352" s="884"/>
      <c r="AK352" s="884">
        <f t="shared" ref="AK352" si="1125">AF352+AG352+AH352+AI352+AJ352+AC352</f>
        <v>7940</v>
      </c>
      <c r="AL352" s="884">
        <v>0</v>
      </c>
      <c r="AM352" s="878" t="str">
        <f t="shared" ref="AM352" si="1126">IFERROR((AK352/AL352),"-")</f>
        <v>-</v>
      </c>
      <c r="AN352" s="2"/>
      <c r="AO352" s="884">
        <v>0</v>
      </c>
      <c r="AP352" s="884">
        <f t="shared" ref="AP352" si="1127">AO352-AK352</f>
        <v>-7940</v>
      </c>
      <c r="AV352" s="4" t="str">
        <f t="shared" si="1061"/>
        <v>Escavação 1ª e 2ª categoria</v>
      </c>
      <c r="AW352" s="4" t="str">
        <f t="shared" si="1062"/>
        <v>Corte 02 -    Escavação, carga e transporte de material 1ª/2ª categoria(ADMP)</v>
      </c>
    </row>
    <row r="353" spans="1:51" ht="24" customHeight="1" outlineLevel="2">
      <c r="A353" s="525" t="str">
        <f t="shared" ref="A353" si="1128">A352</f>
        <v>S</v>
      </c>
      <c r="B353" s="526"/>
      <c r="C353" s="526"/>
      <c r="D353" s="527" t="s">
        <v>592</v>
      </c>
      <c r="E353" s="893"/>
      <c r="F353" s="895"/>
      <c r="G353" s="528"/>
      <c r="H353" s="549" t="s">
        <v>38</v>
      </c>
      <c r="I353" s="711">
        <v>4990</v>
      </c>
      <c r="J353" s="897"/>
      <c r="K353" s="528"/>
      <c r="L353" s="549" t="s">
        <v>38</v>
      </c>
      <c r="M353" s="711">
        <f t="shared" si="1003"/>
        <v>1760</v>
      </c>
      <c r="N353" s="897"/>
      <c r="O353" s="528"/>
      <c r="P353" s="711">
        <v>1190</v>
      </c>
      <c r="Q353" s="711">
        <v>1760</v>
      </c>
      <c r="R353" s="711">
        <v>0</v>
      </c>
      <c r="S353" s="711">
        <v>0</v>
      </c>
      <c r="T353" s="711">
        <v>0</v>
      </c>
      <c r="U353" s="711">
        <v>0</v>
      </c>
      <c r="V353" s="711">
        <v>0</v>
      </c>
      <c r="W353" s="528"/>
      <c r="X353" s="711">
        <f t="shared" si="993"/>
        <v>2950</v>
      </c>
      <c r="Y353" s="897"/>
      <c r="Z353" s="528"/>
      <c r="AA353" s="899"/>
      <c r="AB353" s="899"/>
      <c r="AC353" s="899"/>
      <c r="AD353" s="901"/>
      <c r="AE353" s="2"/>
      <c r="AF353" s="885"/>
      <c r="AG353" s="885"/>
      <c r="AH353" s="885"/>
      <c r="AI353" s="885"/>
      <c r="AJ353" s="885"/>
      <c r="AK353" s="885"/>
      <c r="AL353" s="885"/>
      <c r="AM353" s="879"/>
      <c r="AN353" s="2"/>
      <c r="AO353" s="886"/>
      <c r="AP353" s="886"/>
      <c r="AV353" s="4" t="str">
        <f t="shared" si="1061"/>
        <v>Escavação 1ª e 2ª categoria</v>
      </c>
      <c r="AW353" s="4" t="str">
        <f t="shared" si="1062"/>
        <v>Corte 02 -    Escavação, carga e transporte de material 1ª/2ª categoria(ADMP)</v>
      </c>
    </row>
    <row r="354" spans="1:51" ht="14.85" customHeight="1" outlineLevel="2">
      <c r="A354" s="525" t="str">
        <f t="shared" ref="A354" si="1129">IF(SUM(P354:V355)&gt;0,"S","N")</f>
        <v>N</v>
      </c>
      <c r="B354" s="526" t="s">
        <v>266</v>
      </c>
      <c r="C354" s="526" t="s">
        <v>266</v>
      </c>
      <c r="D354" s="527" t="s">
        <v>594</v>
      </c>
      <c r="E354" s="892" t="s">
        <v>595</v>
      </c>
      <c r="F354" s="894" t="s">
        <v>36</v>
      </c>
      <c r="G354" s="528"/>
      <c r="H354" s="546" t="s">
        <v>37</v>
      </c>
      <c r="I354" s="711">
        <v>0</v>
      </c>
      <c r="J354" s="896" t="str">
        <f t="shared" ref="J354" si="1130">IFERROR((I355/I354),"-")</f>
        <v>-</v>
      </c>
      <c r="K354" s="528"/>
      <c r="L354" s="546" t="s">
        <v>37</v>
      </c>
      <c r="M354" s="711">
        <f t="shared" si="1003"/>
        <v>0</v>
      </c>
      <c r="N354" s="896" t="str">
        <f t="shared" ref="N354" si="1131">IFERROR((M355/M354),"-")</f>
        <v>-</v>
      </c>
      <c r="O354" s="528"/>
      <c r="P354" s="547">
        <v>0</v>
      </c>
      <c r="Q354" s="547">
        <v>0</v>
      </c>
      <c r="R354" s="547">
        <v>0</v>
      </c>
      <c r="S354" s="547">
        <v>0</v>
      </c>
      <c r="T354" s="547">
        <v>0</v>
      </c>
      <c r="U354" s="547">
        <v>0</v>
      </c>
      <c r="V354" s="548">
        <v>0</v>
      </c>
      <c r="W354" s="528"/>
      <c r="X354" s="711">
        <f t="shared" si="993"/>
        <v>0</v>
      </c>
      <c r="Y354" s="896" t="str">
        <f>IFERROR((X355/X354),"-")</f>
        <v>-</v>
      </c>
      <c r="Z354" s="528"/>
      <c r="AA354" s="898">
        <v>0</v>
      </c>
      <c r="AB354" s="898">
        <v>0</v>
      </c>
      <c r="AC354" s="898">
        <v>0</v>
      </c>
      <c r="AD354" s="900" t="str">
        <f>IFERROR((AC354/AB354),"-")</f>
        <v>-</v>
      </c>
      <c r="AE354" s="2"/>
      <c r="AF354" s="884">
        <v>0</v>
      </c>
      <c r="AG354" s="884"/>
      <c r="AH354" s="884">
        <v>0</v>
      </c>
      <c r="AI354" s="884"/>
      <c r="AJ354" s="884"/>
      <c r="AK354" s="884">
        <f t="shared" ref="AK354" si="1132">AF354+AG354+AH354+AI354+AJ354+AC354</f>
        <v>0</v>
      </c>
      <c r="AL354" s="884">
        <v>0</v>
      </c>
      <c r="AM354" s="878" t="str">
        <f t="shared" ref="AM354" si="1133">IFERROR((AK354/AL354),"-")</f>
        <v>-</v>
      </c>
      <c r="AN354" s="2"/>
      <c r="AO354" s="884">
        <v>0</v>
      </c>
      <c r="AP354" s="884">
        <f t="shared" ref="AP354" si="1134">AO354-AK354</f>
        <v>0</v>
      </c>
      <c r="AV354" s="4" t="str">
        <f t="shared" si="1061"/>
        <v>Escavação 1ª e 2ª categoria</v>
      </c>
      <c r="AW354" s="4" t="str">
        <f t="shared" si="1062"/>
        <v>Aterro 02 - Remoção de Solo mole</v>
      </c>
    </row>
    <row r="355" spans="1:51" ht="14.85" customHeight="1" outlineLevel="2">
      <c r="A355" s="525" t="str">
        <f t="shared" ref="A355" si="1135">A354</f>
        <v>N</v>
      </c>
      <c r="B355" s="526"/>
      <c r="C355" s="526"/>
      <c r="D355" s="527" t="s">
        <v>594</v>
      </c>
      <c r="E355" s="893"/>
      <c r="F355" s="895"/>
      <c r="G355" s="528"/>
      <c r="H355" s="549" t="s">
        <v>38</v>
      </c>
      <c r="I355" s="711">
        <v>0</v>
      </c>
      <c r="J355" s="897"/>
      <c r="K355" s="528"/>
      <c r="L355" s="549" t="s">
        <v>38</v>
      </c>
      <c r="M355" s="711">
        <f t="shared" si="1003"/>
        <v>0</v>
      </c>
      <c r="N355" s="897"/>
      <c r="O355" s="528"/>
      <c r="P355" s="711">
        <v>0</v>
      </c>
      <c r="Q355" s="711">
        <v>0</v>
      </c>
      <c r="R355" s="711">
        <v>0</v>
      </c>
      <c r="S355" s="711">
        <v>0</v>
      </c>
      <c r="T355" s="711">
        <v>0</v>
      </c>
      <c r="U355" s="711">
        <v>0</v>
      </c>
      <c r="V355" s="711">
        <v>0</v>
      </c>
      <c r="W355" s="528"/>
      <c r="X355" s="711">
        <f t="shared" si="993"/>
        <v>0</v>
      </c>
      <c r="Y355" s="897"/>
      <c r="Z355" s="528"/>
      <c r="AA355" s="899"/>
      <c r="AB355" s="899"/>
      <c r="AC355" s="899"/>
      <c r="AD355" s="901"/>
      <c r="AE355" s="2"/>
      <c r="AF355" s="885"/>
      <c r="AG355" s="885"/>
      <c r="AH355" s="885"/>
      <c r="AI355" s="885"/>
      <c r="AJ355" s="885"/>
      <c r="AK355" s="885"/>
      <c r="AL355" s="885"/>
      <c r="AM355" s="879"/>
      <c r="AN355" s="2"/>
      <c r="AO355" s="886"/>
      <c r="AP355" s="886"/>
      <c r="AV355" s="4" t="str">
        <f t="shared" si="1061"/>
        <v>Escavação 1ª e 2ª categoria</v>
      </c>
      <c r="AW355" s="4" t="str">
        <f t="shared" si="1062"/>
        <v>Aterro 02 - Remoção de Solo mole</v>
      </c>
    </row>
    <row r="356" spans="1:51" ht="15" customHeight="1" outlineLevel="2">
      <c r="A356" s="525" t="str">
        <f t="shared" ref="A356" si="1136">IF(SUM(P356:V357)&gt;0,"S","N")</f>
        <v>N</v>
      </c>
      <c r="B356" s="526" t="s">
        <v>266</v>
      </c>
      <c r="C356" s="526" t="s">
        <v>266</v>
      </c>
      <c r="D356" s="527" t="s">
        <v>596</v>
      </c>
      <c r="E356" s="892" t="s">
        <v>597</v>
      </c>
      <c r="F356" s="894" t="s">
        <v>36</v>
      </c>
      <c r="G356" s="528"/>
      <c r="H356" s="546" t="s">
        <v>37</v>
      </c>
      <c r="I356" s="711">
        <v>0</v>
      </c>
      <c r="J356" s="896" t="str">
        <f t="shared" ref="J356" si="1137">IFERROR((I357/I356),"-")</f>
        <v>-</v>
      </c>
      <c r="K356" s="528"/>
      <c r="L356" s="546" t="s">
        <v>37</v>
      </c>
      <c r="M356" s="711">
        <f t="shared" si="1003"/>
        <v>0</v>
      </c>
      <c r="N356" s="896" t="str">
        <f t="shared" ref="N356" si="1138">IFERROR((M357/M356),"-")</f>
        <v>-</v>
      </c>
      <c r="O356" s="528"/>
      <c r="P356" s="547">
        <v>0</v>
      </c>
      <c r="Q356" s="547">
        <v>0</v>
      </c>
      <c r="R356" s="547">
        <v>0</v>
      </c>
      <c r="S356" s="547">
        <v>0</v>
      </c>
      <c r="T356" s="547">
        <v>0</v>
      </c>
      <c r="U356" s="547">
        <v>0</v>
      </c>
      <c r="V356" s="548">
        <v>0</v>
      </c>
      <c r="W356" s="528"/>
      <c r="X356" s="711">
        <f t="shared" si="993"/>
        <v>0</v>
      </c>
      <c r="Y356" s="896" t="str">
        <f>IFERROR((X357/X356),"-")</f>
        <v>-</v>
      </c>
      <c r="Z356" s="528"/>
      <c r="AA356" s="898">
        <v>0</v>
      </c>
      <c r="AB356" s="898">
        <v>0</v>
      </c>
      <c r="AC356" s="898">
        <v>910</v>
      </c>
      <c r="AD356" s="900" t="str">
        <f>IFERROR((AC356/AB356),"-")</f>
        <v>-</v>
      </c>
      <c r="AE356" s="2"/>
      <c r="AF356" s="884">
        <v>0</v>
      </c>
      <c r="AG356" s="884"/>
      <c r="AH356" s="884">
        <v>0</v>
      </c>
      <c r="AI356" s="884"/>
      <c r="AJ356" s="884"/>
      <c r="AK356" s="884">
        <f t="shared" ref="AK356" si="1139">AF356+AG356+AH356+AI356+AJ356+AC356</f>
        <v>910</v>
      </c>
      <c r="AL356" s="884">
        <v>0</v>
      </c>
      <c r="AM356" s="878" t="str">
        <f t="shared" ref="AM356" si="1140">IFERROR((AK356/AL356),"-")</f>
        <v>-</v>
      </c>
      <c r="AN356" s="2"/>
      <c r="AO356" s="884">
        <v>0</v>
      </c>
      <c r="AP356" s="884">
        <f t="shared" ref="AP356" si="1141">AO356-AK356</f>
        <v>-910</v>
      </c>
      <c r="AV356" s="4" t="str">
        <f t="shared" si="1061"/>
        <v>Escavação 1ª e 2ª categoria</v>
      </c>
      <c r="AW356" s="4" t="str">
        <f t="shared" si="1062"/>
        <v>Aterro 03 -    Escavação, carga e transporte de material 1ª/2ª categoria</v>
      </c>
    </row>
    <row r="357" spans="1:51" ht="23.65" customHeight="1" outlineLevel="2">
      <c r="A357" s="525" t="str">
        <f t="shared" ref="A357" si="1142">A356</f>
        <v>N</v>
      </c>
      <c r="B357" s="526"/>
      <c r="C357" s="526"/>
      <c r="D357" s="527" t="s">
        <v>596</v>
      </c>
      <c r="E357" s="893"/>
      <c r="F357" s="895"/>
      <c r="G357" s="528"/>
      <c r="H357" s="549" t="s">
        <v>38</v>
      </c>
      <c r="I357" s="711">
        <v>270</v>
      </c>
      <c r="J357" s="897"/>
      <c r="K357" s="528"/>
      <c r="L357" s="549" t="s">
        <v>38</v>
      </c>
      <c r="M357" s="711">
        <f t="shared" si="1003"/>
        <v>0</v>
      </c>
      <c r="N357" s="897"/>
      <c r="O357" s="528"/>
      <c r="P357" s="711">
        <v>0</v>
      </c>
      <c r="Q357" s="711">
        <v>0</v>
      </c>
      <c r="R357" s="711">
        <v>0</v>
      </c>
      <c r="S357" s="711">
        <v>0</v>
      </c>
      <c r="T357" s="711">
        <v>0</v>
      </c>
      <c r="U357" s="711">
        <v>0</v>
      </c>
      <c r="V357" s="711">
        <v>0</v>
      </c>
      <c r="W357" s="528"/>
      <c r="X357" s="711">
        <f t="shared" si="993"/>
        <v>0</v>
      </c>
      <c r="Y357" s="897"/>
      <c r="Z357" s="528"/>
      <c r="AA357" s="899"/>
      <c r="AB357" s="899"/>
      <c r="AC357" s="899"/>
      <c r="AD357" s="901"/>
      <c r="AE357" s="2"/>
      <c r="AF357" s="885"/>
      <c r="AG357" s="885"/>
      <c r="AH357" s="885"/>
      <c r="AI357" s="885"/>
      <c r="AJ357" s="885"/>
      <c r="AK357" s="885"/>
      <c r="AL357" s="885"/>
      <c r="AM357" s="879"/>
      <c r="AN357" s="2"/>
      <c r="AO357" s="886"/>
      <c r="AP357" s="886"/>
      <c r="AT357" s="4"/>
      <c r="AU357" s="4"/>
      <c r="AV357" s="4" t="str">
        <f t="shared" si="1061"/>
        <v>Escavação 1ª e 2ª categoria</v>
      </c>
      <c r="AW357" s="4" t="str">
        <f t="shared" si="1062"/>
        <v>Aterro 03 -    Escavação, carga e transporte de material 1ª/2ª categoria</v>
      </c>
    </row>
    <row r="358" spans="1:51" ht="23.65" customHeight="1" outlineLevel="2">
      <c r="A358" s="525" t="str">
        <f t="shared" ref="A358" si="1143">IF(SUM(P358:V359)&gt;0,"S","N")</f>
        <v>N</v>
      </c>
      <c r="B358" s="526" t="s">
        <v>266</v>
      </c>
      <c r="C358" s="526" t="s">
        <v>266</v>
      </c>
      <c r="D358" s="527" t="s">
        <v>598</v>
      </c>
      <c r="E358" s="892" t="s">
        <v>599</v>
      </c>
      <c r="F358" s="894" t="s">
        <v>36</v>
      </c>
      <c r="G358" s="528"/>
      <c r="H358" s="546" t="s">
        <v>37</v>
      </c>
      <c r="I358" s="711">
        <v>0</v>
      </c>
      <c r="J358" s="896" t="str">
        <f t="shared" ref="J358" si="1144">IFERROR((I359/I358),"-")</f>
        <v>-</v>
      </c>
      <c r="K358" s="528"/>
      <c r="L358" s="546" t="s">
        <v>37</v>
      </c>
      <c r="M358" s="711">
        <f t="shared" si="1003"/>
        <v>0</v>
      </c>
      <c r="N358" s="896" t="str">
        <f t="shared" ref="N358" si="1145">IFERROR((M359/M358),"-")</f>
        <v>-</v>
      </c>
      <c r="O358" s="528"/>
      <c r="P358" s="547">
        <v>0</v>
      </c>
      <c r="Q358" s="547">
        <v>0</v>
      </c>
      <c r="R358" s="547">
        <v>0</v>
      </c>
      <c r="S358" s="547">
        <v>0</v>
      </c>
      <c r="T358" s="547">
        <v>0</v>
      </c>
      <c r="U358" s="547">
        <v>0</v>
      </c>
      <c r="V358" s="548">
        <v>0</v>
      </c>
      <c r="W358" s="528"/>
      <c r="X358" s="711">
        <f t="shared" si="993"/>
        <v>0</v>
      </c>
      <c r="Y358" s="896" t="str">
        <f>IFERROR((X359/X358),"-")</f>
        <v>-</v>
      </c>
      <c r="Z358" s="528"/>
      <c r="AA358" s="898">
        <v>0</v>
      </c>
      <c r="AB358" s="898">
        <v>0</v>
      </c>
      <c r="AC358" s="898">
        <v>0</v>
      </c>
      <c r="AD358" s="900" t="str">
        <f>IFERROR((AC358/AB358),"-")</f>
        <v>-</v>
      </c>
      <c r="AE358" s="2"/>
      <c r="AF358" s="884">
        <v>0</v>
      </c>
      <c r="AG358" s="884"/>
      <c r="AH358" s="884">
        <v>0</v>
      </c>
      <c r="AI358" s="884"/>
      <c r="AJ358" s="884"/>
      <c r="AK358" s="884">
        <f t="shared" ref="AK358" si="1146">AF358+AG358+AH358+AI358+AJ358+AC358</f>
        <v>0</v>
      </c>
      <c r="AL358" s="884">
        <v>0</v>
      </c>
      <c r="AM358" s="878" t="str">
        <f t="shared" ref="AM358" si="1147">IFERROR((AK358/AL358),"-")</f>
        <v>-</v>
      </c>
      <c r="AN358" s="2"/>
      <c r="AO358" s="884">
        <v>0</v>
      </c>
      <c r="AP358" s="884">
        <f t="shared" ref="AP358" si="1148">AO358-AK358</f>
        <v>0</v>
      </c>
      <c r="AT358" s="4"/>
      <c r="AU358" s="4"/>
      <c r="AV358" s="4" t="str">
        <f t="shared" si="1061"/>
        <v>Escavação 1ª e 2ª categoria</v>
      </c>
      <c r="AW358" s="4" t="str">
        <f t="shared" si="1062"/>
        <v>Aterro 11 - Remoção de Solo</v>
      </c>
    </row>
    <row r="359" spans="1:51" ht="20.25" customHeight="1" outlineLevel="2">
      <c r="A359" s="525" t="str">
        <f t="shared" ref="A359" si="1149">A358</f>
        <v>N</v>
      </c>
      <c r="B359" s="526"/>
      <c r="C359" s="526"/>
      <c r="D359" s="527" t="s">
        <v>598</v>
      </c>
      <c r="E359" s="893"/>
      <c r="F359" s="895"/>
      <c r="G359" s="528"/>
      <c r="H359" s="549" t="s">
        <v>38</v>
      </c>
      <c r="I359" s="711">
        <v>0</v>
      </c>
      <c r="J359" s="897"/>
      <c r="K359" s="528"/>
      <c r="L359" s="549" t="s">
        <v>38</v>
      </c>
      <c r="M359" s="711">
        <f t="shared" si="1003"/>
        <v>0</v>
      </c>
      <c r="N359" s="897"/>
      <c r="O359" s="528"/>
      <c r="P359" s="711">
        <v>0</v>
      </c>
      <c r="Q359" s="711">
        <v>0</v>
      </c>
      <c r="R359" s="711">
        <v>0</v>
      </c>
      <c r="S359" s="711">
        <v>0</v>
      </c>
      <c r="T359" s="711">
        <v>0</v>
      </c>
      <c r="U359" s="711">
        <v>0</v>
      </c>
      <c r="V359" s="711">
        <v>0</v>
      </c>
      <c r="W359" s="528"/>
      <c r="X359" s="711">
        <f t="shared" si="993"/>
        <v>0</v>
      </c>
      <c r="Y359" s="897"/>
      <c r="Z359" s="528"/>
      <c r="AA359" s="899"/>
      <c r="AB359" s="899"/>
      <c r="AC359" s="899"/>
      <c r="AD359" s="901"/>
      <c r="AE359" s="2"/>
      <c r="AF359" s="885"/>
      <c r="AG359" s="885"/>
      <c r="AH359" s="885"/>
      <c r="AI359" s="885"/>
      <c r="AJ359" s="885"/>
      <c r="AK359" s="885"/>
      <c r="AL359" s="885"/>
      <c r="AM359" s="879"/>
      <c r="AN359" s="2"/>
      <c r="AO359" s="886"/>
      <c r="AP359" s="886"/>
      <c r="AV359" s="4" t="str">
        <f t="shared" si="1061"/>
        <v>Escavação 1ª e 2ª categoria</v>
      </c>
      <c r="AW359" s="4" t="str">
        <f t="shared" si="1062"/>
        <v>Aterro 11 - Remoção de Solo</v>
      </c>
    </row>
    <row r="360" spans="1:51" ht="20.25" customHeight="1" outlineLevel="2">
      <c r="A360" s="525" t="str">
        <f t="shared" ref="A360" si="1150">IF(SUM(P360:V361)&gt;0,"S","N")</f>
        <v>N</v>
      </c>
      <c r="B360" s="526" t="s">
        <v>266</v>
      </c>
      <c r="C360" s="526" t="s">
        <v>266</v>
      </c>
      <c r="D360" s="527" t="s">
        <v>600</v>
      </c>
      <c r="E360" s="892" t="s">
        <v>601</v>
      </c>
      <c r="F360" s="894" t="s">
        <v>36</v>
      </c>
      <c r="G360" s="528"/>
      <c r="H360" s="546" t="s">
        <v>37</v>
      </c>
      <c r="I360" s="711">
        <v>0</v>
      </c>
      <c r="J360" s="896" t="str">
        <f t="shared" ref="J360" si="1151">IFERROR((I361/I360),"-")</f>
        <v>-</v>
      </c>
      <c r="K360" s="528"/>
      <c r="L360" s="546" t="s">
        <v>37</v>
      </c>
      <c r="M360" s="711">
        <f t="shared" si="1003"/>
        <v>0</v>
      </c>
      <c r="N360" s="896" t="str">
        <f t="shared" ref="N360" si="1152">IFERROR((M361/M360),"-")</f>
        <v>-</v>
      </c>
      <c r="O360" s="528"/>
      <c r="P360" s="547">
        <v>0</v>
      </c>
      <c r="Q360" s="547">
        <v>0</v>
      </c>
      <c r="R360" s="547">
        <v>0</v>
      </c>
      <c r="S360" s="547">
        <v>0</v>
      </c>
      <c r="T360" s="547">
        <v>0</v>
      </c>
      <c r="U360" s="547">
        <v>0</v>
      </c>
      <c r="V360" s="548">
        <v>0</v>
      </c>
      <c r="W360" s="528"/>
      <c r="X360" s="711">
        <f t="shared" si="993"/>
        <v>0</v>
      </c>
      <c r="Y360" s="896" t="str">
        <f>IFERROR((X361/X360),"-")</f>
        <v>-</v>
      </c>
      <c r="Z360" s="528"/>
      <c r="AA360" s="898">
        <v>0</v>
      </c>
      <c r="AB360" s="898">
        <v>0</v>
      </c>
      <c r="AC360" s="898">
        <v>1760</v>
      </c>
      <c r="AD360" s="900" t="str">
        <f>IFERROR((AC360/AB360),"-")</f>
        <v>-</v>
      </c>
      <c r="AE360" s="2"/>
      <c r="AF360" s="884">
        <v>0</v>
      </c>
      <c r="AG360" s="884"/>
      <c r="AH360" s="884">
        <v>5280</v>
      </c>
      <c r="AI360" s="884"/>
      <c r="AJ360" s="884"/>
      <c r="AK360" s="884">
        <f t="shared" ref="AK360" si="1153">AF360+AG360+AH360+AI360+AJ360+AC360</f>
        <v>7040</v>
      </c>
      <c r="AL360" s="884">
        <v>0</v>
      </c>
      <c r="AM360" s="878" t="str">
        <f t="shared" ref="AM360" si="1154">IFERROR((AK360/AL360),"-")</f>
        <v>-</v>
      </c>
      <c r="AN360" s="2"/>
      <c r="AO360" s="884">
        <v>0</v>
      </c>
      <c r="AP360" s="884">
        <f t="shared" ref="AP360" si="1155">AO360-AK360</f>
        <v>-7040</v>
      </c>
      <c r="AV360" s="4" t="str">
        <f t="shared" si="1061"/>
        <v>Escavação 1ª e 2ª categoria</v>
      </c>
      <c r="AW360" s="4" t="str">
        <f t="shared" si="1062"/>
        <v>Aterro 04 - Remoção de Solo mole</v>
      </c>
    </row>
    <row r="361" spans="1:51" ht="15" customHeight="1" outlineLevel="2">
      <c r="A361" s="525" t="str">
        <f t="shared" ref="A361" si="1156">A360</f>
        <v>N</v>
      </c>
      <c r="B361" s="526"/>
      <c r="C361" s="526"/>
      <c r="D361" s="527" t="s">
        <v>600</v>
      </c>
      <c r="E361" s="893"/>
      <c r="F361" s="895"/>
      <c r="G361" s="528"/>
      <c r="H361" s="549" t="s">
        <v>38</v>
      </c>
      <c r="I361" s="711">
        <v>0</v>
      </c>
      <c r="J361" s="897"/>
      <c r="K361" s="528"/>
      <c r="L361" s="549" t="s">
        <v>38</v>
      </c>
      <c r="M361" s="711">
        <f t="shared" si="1003"/>
        <v>0</v>
      </c>
      <c r="N361" s="897"/>
      <c r="O361" s="528"/>
      <c r="P361" s="711">
        <v>0</v>
      </c>
      <c r="Q361" s="711">
        <v>0</v>
      </c>
      <c r="R361" s="711">
        <v>0</v>
      </c>
      <c r="S361" s="711">
        <v>0</v>
      </c>
      <c r="T361" s="711">
        <v>0</v>
      </c>
      <c r="U361" s="711">
        <v>0</v>
      </c>
      <c r="V361" s="711">
        <v>0</v>
      </c>
      <c r="W361" s="528"/>
      <c r="X361" s="711">
        <f t="shared" si="993"/>
        <v>0</v>
      </c>
      <c r="Y361" s="897"/>
      <c r="Z361" s="528"/>
      <c r="AA361" s="899"/>
      <c r="AB361" s="899"/>
      <c r="AC361" s="899"/>
      <c r="AD361" s="901"/>
      <c r="AE361" s="2"/>
      <c r="AF361" s="885"/>
      <c r="AG361" s="885"/>
      <c r="AH361" s="885"/>
      <c r="AI361" s="885"/>
      <c r="AJ361" s="885"/>
      <c r="AK361" s="885"/>
      <c r="AL361" s="885"/>
      <c r="AM361" s="879"/>
      <c r="AN361" s="2"/>
      <c r="AO361" s="886"/>
      <c r="AP361" s="886"/>
      <c r="AV361" s="4" t="str">
        <f t="shared" si="1061"/>
        <v>Escavação 1ª e 2ª categoria</v>
      </c>
      <c r="AW361" s="4" t="str">
        <f t="shared" si="1062"/>
        <v>Aterro 04 - Remoção de Solo mole</v>
      </c>
    </row>
    <row r="362" spans="1:51" ht="15" customHeight="1">
      <c r="A362" s="525" t="str">
        <f t="shared" ref="A362" si="1157">IF(SUM(P362:V363)&gt;0,"S","N")</f>
        <v>N</v>
      </c>
      <c r="B362" s="526" t="s">
        <v>266</v>
      </c>
      <c r="C362" s="526" t="s">
        <v>266</v>
      </c>
      <c r="D362" s="527" t="s">
        <v>602</v>
      </c>
      <c r="E362" s="892" t="s">
        <v>603</v>
      </c>
      <c r="F362" s="894" t="s">
        <v>36</v>
      </c>
      <c r="G362" s="528"/>
      <c r="H362" s="546" t="s">
        <v>37</v>
      </c>
      <c r="I362" s="711">
        <v>0</v>
      </c>
      <c r="J362" s="896" t="str">
        <f t="shared" ref="J362" si="1158">IFERROR((I363/I362),"-")</f>
        <v>-</v>
      </c>
      <c r="K362" s="528"/>
      <c r="L362" s="546" t="s">
        <v>37</v>
      </c>
      <c r="M362" s="711">
        <f t="shared" si="1003"/>
        <v>0</v>
      </c>
      <c r="N362" s="896" t="str">
        <f t="shared" ref="N362" si="1159">IFERROR((M363/M362),"-")</f>
        <v>-</v>
      </c>
      <c r="O362" s="528"/>
      <c r="P362" s="547">
        <v>0</v>
      </c>
      <c r="Q362" s="547">
        <v>0</v>
      </c>
      <c r="R362" s="547">
        <v>0</v>
      </c>
      <c r="S362" s="547">
        <v>0</v>
      </c>
      <c r="T362" s="547">
        <v>0</v>
      </c>
      <c r="U362" s="547">
        <v>0</v>
      </c>
      <c r="V362" s="548">
        <v>0</v>
      </c>
      <c r="W362" s="528"/>
      <c r="X362" s="711">
        <f t="shared" si="993"/>
        <v>0</v>
      </c>
      <c r="Y362" s="896" t="str">
        <f>IFERROR((X363/X362),"-")</f>
        <v>-</v>
      </c>
      <c r="Z362" s="528"/>
      <c r="AA362" s="898">
        <v>0</v>
      </c>
      <c r="AB362" s="898">
        <v>0</v>
      </c>
      <c r="AC362" s="898">
        <v>2200</v>
      </c>
      <c r="AD362" s="900" t="str">
        <f>IFERROR((AC362/AB362),"-")</f>
        <v>-</v>
      </c>
      <c r="AE362" s="2"/>
      <c r="AF362" s="884">
        <v>0</v>
      </c>
      <c r="AG362" s="884"/>
      <c r="AH362" s="884">
        <v>0</v>
      </c>
      <c r="AI362" s="884"/>
      <c r="AJ362" s="884"/>
      <c r="AK362" s="884">
        <f t="shared" ref="AK362" si="1160">AF362+AG362+AH362+AI362+AJ362+AC362</f>
        <v>2200</v>
      </c>
      <c r="AL362" s="884">
        <v>0</v>
      </c>
      <c r="AM362" s="878" t="str">
        <f t="shared" ref="AM362" si="1161">IFERROR((AK362/AL362),"-")</f>
        <v>-</v>
      </c>
      <c r="AN362" s="2"/>
      <c r="AO362" s="884">
        <v>0</v>
      </c>
      <c r="AP362" s="884">
        <f t="shared" ref="AP362" si="1162">AO362-AK362</f>
        <v>-2200</v>
      </c>
      <c r="AV362" s="4" t="str">
        <f t="shared" si="1061"/>
        <v>Escavação 1ª e 2ª categoria</v>
      </c>
      <c r="AW362" s="4" t="str">
        <f t="shared" si="1062"/>
        <v>3.1- Caixa de Empréstimo</v>
      </c>
    </row>
    <row r="363" spans="1:51" ht="38.25" customHeight="1">
      <c r="A363" s="525" t="str">
        <f t="shared" ref="A363" si="1163">A362</f>
        <v>N</v>
      </c>
      <c r="B363" s="526"/>
      <c r="C363" s="526"/>
      <c r="D363" s="527" t="s">
        <v>602</v>
      </c>
      <c r="E363" s="893"/>
      <c r="F363" s="895"/>
      <c r="G363" s="528"/>
      <c r="H363" s="549" t="s">
        <v>38</v>
      </c>
      <c r="I363" s="711">
        <v>1400</v>
      </c>
      <c r="J363" s="897"/>
      <c r="K363" s="528"/>
      <c r="L363" s="549" t="s">
        <v>38</v>
      </c>
      <c r="M363" s="711">
        <f t="shared" si="1003"/>
        <v>0</v>
      </c>
      <c r="N363" s="897"/>
      <c r="O363" s="528"/>
      <c r="P363" s="711">
        <v>0</v>
      </c>
      <c r="Q363" s="711">
        <v>0</v>
      </c>
      <c r="R363" s="711">
        <v>0</v>
      </c>
      <c r="S363" s="711">
        <v>0</v>
      </c>
      <c r="T363" s="711">
        <v>0</v>
      </c>
      <c r="U363" s="711">
        <v>0</v>
      </c>
      <c r="V363" s="711">
        <v>0</v>
      </c>
      <c r="W363" s="528"/>
      <c r="X363" s="711">
        <f t="shared" si="993"/>
        <v>0</v>
      </c>
      <c r="Y363" s="897"/>
      <c r="Z363" s="528"/>
      <c r="AA363" s="899"/>
      <c r="AB363" s="899"/>
      <c r="AC363" s="899"/>
      <c r="AD363" s="901"/>
      <c r="AE363" s="2"/>
      <c r="AF363" s="885"/>
      <c r="AG363" s="885"/>
      <c r="AH363" s="885"/>
      <c r="AI363" s="885"/>
      <c r="AJ363" s="885"/>
      <c r="AK363" s="885"/>
      <c r="AL363" s="885"/>
      <c r="AM363" s="879"/>
      <c r="AN363" s="2"/>
      <c r="AO363" s="886"/>
      <c r="AP363" s="886"/>
      <c r="AV363" s="4" t="str">
        <f t="shared" ref="AV363:AV393" si="1164">IF(AX363="Y",LEFT(E363,20),IF(AX363="x",E363,AV362))</f>
        <v>Escavação 1ª e 2ª categoria</v>
      </c>
      <c r="AW363" s="4" t="str">
        <f t="shared" ref="AW363:AW392" si="1165">IF(E363&lt;&gt;"",E363,AW362)</f>
        <v>3.1- Caixa de Empréstimo</v>
      </c>
      <c r="AX363" s="4"/>
      <c r="AY363" s="4"/>
    </row>
    <row r="364" spans="1:51" ht="38.25" customHeight="1">
      <c r="A364" s="525">
        <v>0</v>
      </c>
      <c r="B364" s="526"/>
      <c r="C364" s="533"/>
      <c r="D364" s="534"/>
      <c r="E364" s="535"/>
      <c r="F364" s="536"/>
      <c r="G364" s="537"/>
      <c r="H364" s="714"/>
      <c r="I364" s="555"/>
      <c r="J364" s="714"/>
      <c r="K364" s="537"/>
      <c r="L364" s="714"/>
      <c r="M364" s="555"/>
      <c r="N364" s="714"/>
      <c r="O364" s="537"/>
      <c r="P364" s="539"/>
      <c r="Q364" s="539"/>
      <c r="R364" s="539"/>
      <c r="S364" s="539"/>
      <c r="T364" s="539"/>
      <c r="U364" s="539"/>
      <c r="V364" s="539"/>
      <c r="W364" s="537"/>
      <c r="X364" s="540"/>
      <c r="Y364" s="537"/>
      <c r="Z364" s="537"/>
      <c r="AA364" s="249"/>
      <c r="AB364" s="249"/>
      <c r="AC364" s="249"/>
      <c r="AD364" s="537"/>
      <c r="AE364" s="3"/>
      <c r="AF364" s="35"/>
      <c r="AG364" s="35"/>
      <c r="AH364" s="35"/>
      <c r="AI364" s="35"/>
      <c r="AJ364" s="35"/>
      <c r="AK364" s="35"/>
      <c r="AL364" s="35"/>
      <c r="AM364" s="3"/>
      <c r="AN364" s="3"/>
      <c r="AO364" s="35"/>
      <c r="AP364" s="35"/>
      <c r="AV364" t="str">
        <f t="shared" si="1164"/>
        <v>Escavação 1ª e 2ª categoria</v>
      </c>
      <c r="AW364" s="4" t="str">
        <f t="shared" si="1165"/>
        <v>3.1- Caixa de Empréstimo</v>
      </c>
    </row>
    <row r="365" spans="1:51" ht="31.35" customHeight="1">
      <c r="A365" s="525">
        <v>0</v>
      </c>
      <c r="B365" s="526"/>
      <c r="C365" s="556"/>
      <c r="D365" s="557"/>
      <c r="E365" s="760" t="s">
        <v>604</v>
      </c>
      <c r="F365" s="902" t="s">
        <v>36</v>
      </c>
      <c r="G365" s="528"/>
      <c r="H365" s="529" t="s">
        <v>37</v>
      </c>
      <c r="I365" s="532">
        <f>I369+I380+I395+I404</f>
        <v>4000</v>
      </c>
      <c r="J365" s="991">
        <f>IFERROR((I366/I365),"-")</f>
        <v>0.68200000000000005</v>
      </c>
      <c r="K365" s="561"/>
      <c r="L365" s="529" t="s">
        <v>37</v>
      </c>
      <c r="M365" s="532">
        <f>M369+M380+M395+M404</f>
        <v>700</v>
      </c>
      <c r="N365" s="991">
        <f>IFERROR((M366/M365),"-")</f>
        <v>0.37285714285714283</v>
      </c>
      <c r="O365" s="559"/>
      <c r="P365" s="532">
        <f t="shared" ref="P365:V366" si="1166">P369+P380+P395+P404</f>
        <v>700</v>
      </c>
      <c r="Q365" s="532">
        <f t="shared" si="1166"/>
        <v>700</v>
      </c>
      <c r="R365" s="532">
        <f t="shared" si="1166"/>
        <v>700</v>
      </c>
      <c r="S365" s="532">
        <f t="shared" si="1166"/>
        <v>1400</v>
      </c>
      <c r="T365" s="532">
        <f t="shared" si="1166"/>
        <v>600</v>
      </c>
      <c r="U365" s="532">
        <f t="shared" si="1166"/>
        <v>600</v>
      </c>
      <c r="V365" s="532">
        <f t="shared" si="1166"/>
        <v>0</v>
      </c>
      <c r="W365" s="559"/>
      <c r="X365" s="532">
        <f t="shared" ref="X365:X366" si="1167">X369+X380+X395+X404</f>
        <v>1400</v>
      </c>
      <c r="Y365" s="900">
        <f>IFERROR((X366/X365),"-")</f>
        <v>0.40071428571428569</v>
      </c>
      <c r="Z365" s="528"/>
      <c r="AA365" s="755">
        <f>AA369+AA380+AA395+AA404</f>
        <v>25549.620000000003</v>
      </c>
      <c r="AB365" s="755">
        <f t="shared" ref="AB365:AC365" si="1168">AB369+AB380+AB395+AB404</f>
        <v>25052.180000000004</v>
      </c>
      <c r="AC365" s="755">
        <f t="shared" si="1168"/>
        <v>4549</v>
      </c>
      <c r="AD365" s="900">
        <f>IFERROR((AC365/AB365),"-")</f>
        <v>0.18158100412818362</v>
      </c>
      <c r="AE365" s="528"/>
      <c r="AF365" s="755">
        <f t="shared" ref="AF365:AL365" si="1169">AF369+AF380+AF395+AF404</f>
        <v>82845.789999999994</v>
      </c>
      <c r="AG365" s="755">
        <f t="shared" si="1169"/>
        <v>11918.944</v>
      </c>
      <c r="AH365" s="755">
        <f t="shared" si="1169"/>
        <v>6011</v>
      </c>
      <c r="AI365" s="755">
        <f t="shared" si="1169"/>
        <v>10064.079</v>
      </c>
      <c r="AJ365" s="755">
        <f t="shared" si="1169"/>
        <v>8293.2109999999993</v>
      </c>
      <c r="AK365" s="755">
        <f t="shared" si="1169"/>
        <v>123682.024</v>
      </c>
      <c r="AL365" s="755">
        <f t="shared" si="1169"/>
        <v>135060.49000000005</v>
      </c>
      <c r="AM365" s="900">
        <f>IFERROR((AK365/AL365),"-")</f>
        <v>0.91575281564578925</v>
      </c>
      <c r="AN365" s="528"/>
      <c r="AO365" s="755">
        <f t="shared" ref="AO365:AP365" si="1170">AO369+AO380+AO395+AO404</f>
        <v>139642.89000000001</v>
      </c>
      <c r="AP365" s="755">
        <f t="shared" si="1170"/>
        <v>15960.865999999998</v>
      </c>
      <c r="AV365" s="275" t="str">
        <f t="shared" si="1164"/>
        <v>Escavação 3ª categoria</v>
      </c>
      <c r="AW365" s="275" t="str">
        <f t="shared" si="1165"/>
        <v>Escavação 3ª categoria</v>
      </c>
      <c r="AX365" s="275" t="s">
        <v>176</v>
      </c>
    </row>
    <row r="366" spans="1:51" ht="31.35" customHeight="1" outlineLevel="1">
      <c r="A366" s="525">
        <v>0</v>
      </c>
      <c r="B366" s="526"/>
      <c r="C366" s="556"/>
      <c r="D366" s="558"/>
      <c r="E366" s="760"/>
      <c r="F366" s="902"/>
      <c r="G366" s="528"/>
      <c r="H366" s="531" t="s">
        <v>38</v>
      </c>
      <c r="I366" s="532">
        <f>I370+I381+I396+I405</f>
        <v>2728</v>
      </c>
      <c r="J366" s="992"/>
      <c r="K366" s="561"/>
      <c r="L366" s="531" t="s">
        <v>38</v>
      </c>
      <c r="M366" s="532">
        <f>M370+M381+M396+M405</f>
        <v>261</v>
      </c>
      <c r="N366" s="992"/>
      <c r="O366" s="559"/>
      <c r="P366" s="532">
        <f t="shared" si="1166"/>
        <v>300</v>
      </c>
      <c r="Q366" s="532">
        <f t="shared" si="1166"/>
        <v>261</v>
      </c>
      <c r="R366" s="532">
        <f t="shared" si="1166"/>
        <v>0</v>
      </c>
      <c r="S366" s="532">
        <f t="shared" si="1166"/>
        <v>0</v>
      </c>
      <c r="T366" s="532">
        <f t="shared" si="1166"/>
        <v>0</v>
      </c>
      <c r="U366" s="532">
        <f t="shared" si="1166"/>
        <v>0</v>
      </c>
      <c r="V366" s="532">
        <f t="shared" si="1166"/>
        <v>0</v>
      </c>
      <c r="W366" s="559"/>
      <c r="X366" s="532">
        <f t="shared" si="1167"/>
        <v>561</v>
      </c>
      <c r="Y366" s="901"/>
      <c r="Z366" s="528"/>
      <c r="AA366" s="756"/>
      <c r="AB366" s="756"/>
      <c r="AC366" s="756"/>
      <c r="AD366" s="901"/>
      <c r="AE366" s="528"/>
      <c r="AF366" s="756"/>
      <c r="AG366" s="756"/>
      <c r="AH366" s="756"/>
      <c r="AI366" s="756"/>
      <c r="AJ366" s="756"/>
      <c r="AK366" s="756"/>
      <c r="AL366" s="756"/>
      <c r="AM366" s="901"/>
      <c r="AN366" s="528"/>
      <c r="AO366" s="756"/>
      <c r="AP366" s="756"/>
      <c r="AV366" t="str">
        <f t="shared" si="1164"/>
        <v>Escavação 3ª categoria</v>
      </c>
      <c r="AW366" s="4" t="str">
        <f t="shared" si="1165"/>
        <v>Escavação 3ª categoria</v>
      </c>
    </row>
    <row r="367" spans="1:51" ht="15" customHeight="1" outlineLevel="1">
      <c r="A367" s="525">
        <v>0</v>
      </c>
      <c r="B367" s="526"/>
      <c r="C367" s="533"/>
      <c r="D367" s="534"/>
      <c r="E367" s="535"/>
      <c r="F367" s="536"/>
      <c r="G367" s="537"/>
      <c r="H367" s="714"/>
      <c r="I367" s="538"/>
      <c r="J367" s="714"/>
      <c r="K367" s="537"/>
      <c r="L367" s="714"/>
      <c r="M367" s="538"/>
      <c r="N367" s="714"/>
      <c r="O367" s="537"/>
      <c r="P367" s="539"/>
      <c r="Q367" s="539"/>
      <c r="R367" s="539"/>
      <c r="S367" s="539"/>
      <c r="T367" s="539"/>
      <c r="U367" s="539"/>
      <c r="V367" s="539"/>
      <c r="W367" s="537"/>
      <c r="X367" s="540"/>
      <c r="Y367" s="537"/>
      <c r="Z367" s="537"/>
      <c r="AA367" s="250"/>
      <c r="AB367" s="250"/>
      <c r="AC367" s="249"/>
      <c r="AD367" s="537"/>
      <c r="AE367" s="3"/>
      <c r="AF367" s="36"/>
      <c r="AG367" s="36"/>
      <c r="AH367" s="36"/>
      <c r="AI367" s="36"/>
      <c r="AJ367" s="36"/>
      <c r="AK367" s="36"/>
      <c r="AL367" s="36"/>
      <c r="AM367" s="3"/>
      <c r="AN367" s="3"/>
      <c r="AO367" s="36"/>
      <c r="AP367" s="36"/>
      <c r="AV367" t="str">
        <f t="shared" si="1164"/>
        <v>Escavação 3ª categoria</v>
      </c>
      <c r="AW367" s="4" t="str">
        <f t="shared" si="1165"/>
        <v>Escavação 3ª categoria</v>
      </c>
    </row>
    <row r="368" spans="1:51" ht="15" customHeight="1" outlineLevel="1">
      <c r="A368" s="525">
        <v>0</v>
      </c>
      <c r="B368" s="526"/>
      <c r="C368" s="533"/>
      <c r="D368" s="534"/>
      <c r="E368" s="535"/>
      <c r="F368" s="541"/>
      <c r="G368" s="537"/>
      <c r="H368" s="537"/>
      <c r="I368" s="250"/>
      <c r="J368" s="537"/>
      <c r="K368" s="537"/>
      <c r="L368" s="537"/>
      <c r="M368" s="250"/>
      <c r="N368" s="537"/>
      <c r="O368" s="537"/>
      <c r="P368" s="539"/>
      <c r="Q368" s="539"/>
      <c r="R368" s="539"/>
      <c r="S368" s="539"/>
      <c r="T368" s="539"/>
      <c r="U368" s="539"/>
      <c r="V368" s="539"/>
      <c r="W368" s="537"/>
      <c r="X368" s="540"/>
      <c r="Y368" s="537"/>
      <c r="Z368" s="537"/>
      <c r="AA368" s="250"/>
      <c r="AB368" s="250"/>
      <c r="AC368" s="249"/>
      <c r="AD368" s="537"/>
      <c r="AE368" s="3"/>
      <c r="AF368" s="36"/>
      <c r="AG368" s="36"/>
      <c r="AH368" s="36"/>
      <c r="AI368" s="36"/>
      <c r="AJ368" s="36"/>
      <c r="AK368" s="36"/>
      <c r="AL368" s="36"/>
      <c r="AM368" s="3"/>
      <c r="AN368" s="3"/>
      <c r="AO368" s="36"/>
      <c r="AP368" s="36"/>
      <c r="AV368" t="str">
        <f t="shared" si="1164"/>
        <v>Escavação 3ª categoria</v>
      </c>
      <c r="AW368" s="4" t="str">
        <f t="shared" si="1165"/>
        <v>Escavação 3ª categoria</v>
      </c>
    </row>
    <row r="369" spans="1:50" ht="15" customHeight="1" outlineLevel="2">
      <c r="A369" s="525">
        <v>0</v>
      </c>
      <c r="B369" s="526"/>
      <c r="C369" s="556"/>
      <c r="D369" s="557"/>
      <c r="E369" s="933" t="s">
        <v>39</v>
      </c>
      <c r="F369" s="868" t="s">
        <v>36</v>
      </c>
      <c r="G369" s="528"/>
      <c r="H369" s="542" t="s">
        <v>37</v>
      </c>
      <c r="I369" s="543">
        <f>SUMIF($H371:$H378,$H369,I371:I378)</f>
        <v>0</v>
      </c>
      <c r="J369" s="860" t="str">
        <f>IFERROR((I370/I369),"-")</f>
        <v>-</v>
      </c>
      <c r="K369" s="528"/>
      <c r="L369" s="542" t="s">
        <v>37</v>
      </c>
      <c r="M369" s="543">
        <f>SUMIF($L371:$L378,$L369,M371:M378)</f>
        <v>0</v>
      </c>
      <c r="N369" s="860" t="str">
        <f>IFERROR((M370/M369),"-")</f>
        <v>-</v>
      </c>
      <c r="O369" s="528"/>
      <c r="P369" s="543">
        <f>SUMIF($L371:$L378,$L369,P371:P378)</f>
        <v>0</v>
      </c>
      <c r="Q369" s="543">
        <f t="shared" ref="Q369:U369" si="1171">SUMIF($L371:$L378,$L369,Q371:Q378)</f>
        <v>0</v>
      </c>
      <c r="R369" s="543">
        <f t="shared" si="1171"/>
        <v>0</v>
      </c>
      <c r="S369" s="543">
        <f t="shared" si="1171"/>
        <v>0</v>
      </c>
      <c r="T369" s="543">
        <f t="shared" si="1171"/>
        <v>0</v>
      </c>
      <c r="U369" s="543">
        <f t="shared" si="1171"/>
        <v>0</v>
      </c>
      <c r="V369" s="543"/>
      <c r="W369" s="528"/>
      <c r="X369" s="543">
        <f t="shared" ref="X369:X376" si="1172">SUMIFS(P369:V369,$P$8:$V$8,"&gt;="&amp;$P$8,$P$8:$V$8,"&lt;="&amp;$N$8)</f>
        <v>0</v>
      </c>
      <c r="Y369" s="860" t="str">
        <f>IFERROR((X370/X369),"-")</f>
        <v>-</v>
      </c>
      <c r="Z369" s="528"/>
      <c r="AA369" s="814">
        <f>SUM(AA371:AA378)</f>
        <v>5366.29</v>
      </c>
      <c r="AB369" s="814">
        <f>SUM(AB371:AB378)</f>
        <v>5366.31</v>
      </c>
      <c r="AC369" s="814">
        <f>SUM(AC371:AC378)</f>
        <v>0</v>
      </c>
      <c r="AD369" s="911">
        <f t="shared" ref="AD369" si="1173">IFERROR((AC369/AB369),"-")</f>
        <v>0</v>
      </c>
      <c r="AE369" s="2"/>
      <c r="AF369" s="888">
        <f t="shared" ref="AF369:AL369" si="1174">SUM(AF371:AF378)</f>
        <v>20055.259999999998</v>
      </c>
      <c r="AG369" s="888">
        <f t="shared" si="1174"/>
        <v>3302.9479999999999</v>
      </c>
      <c r="AH369" s="888">
        <f t="shared" si="1174"/>
        <v>0</v>
      </c>
      <c r="AI369" s="888">
        <f t="shared" si="1174"/>
        <v>1417.5630000000001</v>
      </c>
      <c r="AJ369" s="888">
        <f t="shared" ref="AJ369" si="1175">SUM(AJ371:AJ378)</f>
        <v>865.15800000000002</v>
      </c>
      <c r="AK369" s="888">
        <f t="shared" si="1174"/>
        <v>25640.928999999996</v>
      </c>
      <c r="AL369" s="888">
        <f t="shared" si="1174"/>
        <v>31007.699999999997</v>
      </c>
      <c r="AM369" s="743">
        <f>IFERROR((AK369/AL369),"-")</f>
        <v>0.82692134534325346</v>
      </c>
      <c r="AN369" s="2"/>
      <c r="AO369" s="888">
        <f>SUM(AO371:AO378)</f>
        <v>31007.360000000001</v>
      </c>
      <c r="AP369" s="888">
        <f>SUM(AP371:AP378)</f>
        <v>5366.4310000000014</v>
      </c>
      <c r="AV369" t="str">
        <f t="shared" si="1164"/>
        <v>Escavação 3ª categoria</v>
      </c>
      <c r="AW369" s="4" t="str">
        <f t="shared" si="1165"/>
        <v>Pacote 04 - Segmento 2.2B- Km 104+500 a Km 116+400</v>
      </c>
      <c r="AX369" s="4"/>
    </row>
    <row r="370" spans="1:50" ht="20.65" customHeight="1" outlineLevel="2">
      <c r="A370" s="525">
        <v>0</v>
      </c>
      <c r="B370" s="526"/>
      <c r="C370" s="556"/>
      <c r="D370" s="558"/>
      <c r="E370" s="934"/>
      <c r="F370" s="869"/>
      <c r="G370" s="528"/>
      <c r="H370" s="544" t="s">
        <v>38</v>
      </c>
      <c r="I370" s="543">
        <f>SUMIF($L371:$L378,$L370,I371:I378)</f>
        <v>0</v>
      </c>
      <c r="J370" s="861"/>
      <c r="K370" s="528"/>
      <c r="L370" s="544" t="s">
        <v>38</v>
      </c>
      <c r="M370" s="543">
        <f>SUMIF($L371:$L378,$L370,M371:M378)</f>
        <v>0</v>
      </c>
      <c r="N370" s="861"/>
      <c r="O370" s="528"/>
      <c r="P370" s="543">
        <f>SUMIF($L371:$L378,$L370,P371:P378)</f>
        <v>0</v>
      </c>
      <c r="Q370" s="543">
        <f t="shared" ref="Q370:U370" si="1176">SUMIF($L371:$L378,$L370,Q371:Q378)</f>
        <v>0</v>
      </c>
      <c r="R370" s="543">
        <f t="shared" si="1176"/>
        <v>0</v>
      </c>
      <c r="S370" s="543">
        <f t="shared" si="1176"/>
        <v>0</v>
      </c>
      <c r="T370" s="543">
        <f t="shared" si="1176"/>
        <v>0</v>
      </c>
      <c r="U370" s="543">
        <f t="shared" si="1176"/>
        <v>0</v>
      </c>
      <c r="V370" s="543"/>
      <c r="W370" s="528"/>
      <c r="X370" s="543">
        <f t="shared" si="1172"/>
        <v>0</v>
      </c>
      <c r="Y370" s="861"/>
      <c r="Z370" s="528"/>
      <c r="AA370" s="815"/>
      <c r="AB370" s="815"/>
      <c r="AC370" s="815"/>
      <c r="AD370" s="912"/>
      <c r="AE370" s="2"/>
      <c r="AF370" s="889"/>
      <c r="AG370" s="889"/>
      <c r="AH370" s="889"/>
      <c r="AI370" s="889"/>
      <c r="AJ370" s="889"/>
      <c r="AK370" s="889"/>
      <c r="AL370" s="889"/>
      <c r="AM370" s="744"/>
      <c r="AN370" s="2"/>
      <c r="AO370" s="888"/>
      <c r="AP370" s="888"/>
      <c r="AV370" t="str">
        <f t="shared" si="1164"/>
        <v>Escavação 3ª categoria</v>
      </c>
      <c r="AW370" s="4" t="str">
        <f t="shared" si="1165"/>
        <v>Pacote 04 - Segmento 2.2B- Km 104+500 a Km 116+400</v>
      </c>
    </row>
    <row r="371" spans="1:50" ht="15" customHeight="1" outlineLevel="2">
      <c r="A371" s="545" t="str">
        <f t="shared" ref="A371" si="1177">IF(SUM(P371:V372)&gt;0,"S","N")</f>
        <v>N</v>
      </c>
      <c r="B371" s="526">
        <v>1065297</v>
      </c>
      <c r="C371" s="526" t="s">
        <v>605</v>
      </c>
      <c r="D371" s="527" t="s">
        <v>187</v>
      </c>
      <c r="E371" s="892" t="s">
        <v>606</v>
      </c>
      <c r="F371" s="902" t="s">
        <v>36</v>
      </c>
      <c r="G371" s="528"/>
      <c r="H371" s="546" t="s">
        <v>37</v>
      </c>
      <c r="I371" s="711">
        <v>0</v>
      </c>
      <c r="J371" s="896" t="str">
        <f>IFERROR((I372/I371),"-")</f>
        <v>-</v>
      </c>
      <c r="K371" s="528"/>
      <c r="L371" s="546" t="s">
        <v>37</v>
      </c>
      <c r="M371" s="711">
        <f t="shared" ref="M371:M378" si="1178">_xlfn.XLOOKUP($N$8,$P$8:$V$8,$P371:$V371)</f>
        <v>0</v>
      </c>
      <c r="N371" s="896" t="str">
        <f>IFERROR((M372/M371),"-")</f>
        <v>-</v>
      </c>
      <c r="O371" s="528"/>
      <c r="P371" s="547">
        <v>0</v>
      </c>
      <c r="Q371" s="547">
        <v>0</v>
      </c>
      <c r="R371" s="547">
        <v>0</v>
      </c>
      <c r="S371" s="547">
        <v>0</v>
      </c>
      <c r="T371" s="547">
        <v>0</v>
      </c>
      <c r="U371" s="547">
        <v>0</v>
      </c>
      <c r="V371" s="548">
        <v>0</v>
      </c>
      <c r="W371" s="528"/>
      <c r="X371" s="711">
        <f t="shared" si="1172"/>
        <v>0</v>
      </c>
      <c r="Y371" s="896" t="str">
        <f t="shared" ref="Y371" si="1179">IFERROR((X372/X371),"0")</f>
        <v>0</v>
      </c>
      <c r="Z371" s="528"/>
      <c r="AA371" s="898">
        <v>4768</v>
      </c>
      <c r="AB371" s="898">
        <v>4768.01</v>
      </c>
      <c r="AC371" s="898">
        <v>0</v>
      </c>
      <c r="AD371" s="900">
        <f t="shared" ref="AD371" si="1180">IFERROR((AC371/AB371),"-")</f>
        <v>0</v>
      </c>
      <c r="AE371" s="2"/>
      <c r="AF371" s="884">
        <v>1727.29</v>
      </c>
      <c r="AG371" s="884"/>
      <c r="AH371" s="884">
        <v>0</v>
      </c>
      <c r="AI371" s="884">
        <v>-2.3789999999999099</v>
      </c>
      <c r="AJ371" s="884"/>
      <c r="AK371" s="884">
        <f t="shared" ref="AK371" si="1181">AF371+AG371+AH371+AI371+AJ371+AC371</f>
        <v>1724.9110000000001</v>
      </c>
      <c r="AL371" s="884">
        <v>6493.0700000000006</v>
      </c>
      <c r="AM371" s="878">
        <f t="shared" ref="AM371" si="1182">IFERROR((AK371/AL371),"-")</f>
        <v>0.2656541512720485</v>
      </c>
      <c r="AN371" s="2"/>
      <c r="AO371" s="884">
        <v>6493</v>
      </c>
      <c r="AP371" s="884">
        <f t="shared" ref="AP371" si="1183">AO371-AK371</f>
        <v>4768.0889999999999</v>
      </c>
      <c r="AV371" t="str">
        <f t="shared" si="1164"/>
        <v>Escavação 3ª categoria</v>
      </c>
      <c r="AW371" s="4" t="str">
        <f t="shared" si="1165"/>
        <v xml:space="preserve">   Seg. 2.2-C04 - Escavação, carga e transporte de material 3ª categoria</v>
      </c>
    </row>
    <row r="372" spans="1:50" ht="15" customHeight="1" outlineLevel="2">
      <c r="A372" s="545" t="str">
        <f>A371</f>
        <v>N</v>
      </c>
      <c r="B372" s="526"/>
      <c r="C372" s="526"/>
      <c r="D372" s="527" t="s">
        <v>187</v>
      </c>
      <c r="E372" s="893"/>
      <c r="F372" s="902"/>
      <c r="G372" s="528"/>
      <c r="H372" s="549" t="s">
        <v>38</v>
      </c>
      <c r="I372" s="711">
        <v>0</v>
      </c>
      <c r="J372" s="897"/>
      <c r="K372" s="528"/>
      <c r="L372" s="549" t="s">
        <v>38</v>
      </c>
      <c r="M372" s="711">
        <f t="shared" si="1178"/>
        <v>0</v>
      </c>
      <c r="N372" s="897"/>
      <c r="O372" s="528"/>
      <c r="P372" s="547">
        <v>0</v>
      </c>
      <c r="Q372" s="547">
        <v>0</v>
      </c>
      <c r="R372" s="547">
        <v>0</v>
      </c>
      <c r="S372" s="547">
        <v>0</v>
      </c>
      <c r="T372" s="547">
        <v>0</v>
      </c>
      <c r="U372" s="547">
        <v>0</v>
      </c>
      <c r="V372" s="548">
        <v>0</v>
      </c>
      <c r="W372" s="528"/>
      <c r="X372" s="711">
        <f t="shared" si="1172"/>
        <v>0</v>
      </c>
      <c r="Y372" s="897"/>
      <c r="Z372" s="528"/>
      <c r="AA372" s="899"/>
      <c r="AB372" s="899"/>
      <c r="AC372" s="899"/>
      <c r="AD372" s="901"/>
      <c r="AE372" s="2"/>
      <c r="AF372" s="885"/>
      <c r="AG372" s="885"/>
      <c r="AH372" s="885"/>
      <c r="AI372" s="885"/>
      <c r="AJ372" s="885"/>
      <c r="AK372" s="885"/>
      <c r="AL372" s="885"/>
      <c r="AM372" s="879"/>
      <c r="AN372" s="2"/>
      <c r="AO372" s="886"/>
      <c r="AP372" s="886"/>
      <c r="AV372" t="str">
        <f t="shared" si="1164"/>
        <v>Escavação 3ª categoria</v>
      </c>
      <c r="AW372" s="4" t="str">
        <f t="shared" si="1165"/>
        <v xml:space="preserve">   Seg. 2.2-C04 - Escavação, carga e transporte de material 3ª categoria</v>
      </c>
    </row>
    <row r="373" spans="1:50" ht="15" customHeight="1" outlineLevel="2">
      <c r="A373" s="545" t="str">
        <f t="shared" ref="A373" si="1184">IF(SUM(P373:V374)&gt;0,"S","N")</f>
        <v>N</v>
      </c>
      <c r="B373" s="526">
        <v>1065291</v>
      </c>
      <c r="C373" s="526" t="s">
        <v>607</v>
      </c>
      <c r="D373" s="527" t="s">
        <v>194</v>
      </c>
      <c r="E373" s="892" t="s">
        <v>608</v>
      </c>
      <c r="F373" s="902" t="s">
        <v>36</v>
      </c>
      <c r="G373" s="528"/>
      <c r="H373" s="546" t="s">
        <v>37</v>
      </c>
      <c r="I373" s="711">
        <v>0</v>
      </c>
      <c r="J373" s="896" t="str">
        <f>IFERROR((I374/I373),"-")</f>
        <v>-</v>
      </c>
      <c r="K373" s="528"/>
      <c r="L373" s="546" t="s">
        <v>37</v>
      </c>
      <c r="M373" s="711">
        <f t="shared" si="1178"/>
        <v>0</v>
      </c>
      <c r="N373" s="896" t="str">
        <f>IFERROR((M374/M373),"-")</f>
        <v>-</v>
      </c>
      <c r="O373" s="528"/>
      <c r="P373" s="547">
        <v>0</v>
      </c>
      <c r="Q373" s="547">
        <v>0</v>
      </c>
      <c r="R373" s="547">
        <v>0</v>
      </c>
      <c r="S373" s="547">
        <v>0</v>
      </c>
      <c r="T373" s="547">
        <v>0</v>
      </c>
      <c r="U373" s="547">
        <v>0</v>
      </c>
      <c r="V373" s="548">
        <v>0</v>
      </c>
      <c r="W373" s="528"/>
      <c r="X373" s="711">
        <f t="shared" si="1172"/>
        <v>0</v>
      </c>
      <c r="Y373" s="896" t="str">
        <f t="shared" ref="Y373" si="1185">IFERROR((X374/X373),"0")</f>
        <v>0</v>
      </c>
      <c r="Z373" s="528"/>
      <c r="AA373" s="898">
        <v>261.24</v>
      </c>
      <c r="AB373" s="898">
        <v>261.25</v>
      </c>
      <c r="AC373" s="898">
        <v>0</v>
      </c>
      <c r="AD373" s="900">
        <f t="shared" ref="AD373" si="1186">IFERROR((AC373/AB373),"-")</f>
        <v>0</v>
      </c>
      <c r="AE373" s="2"/>
      <c r="AF373" s="884">
        <v>16544.919999999998</v>
      </c>
      <c r="AG373" s="884">
        <v>3339.643</v>
      </c>
      <c r="AH373" s="884">
        <v>0</v>
      </c>
      <c r="AI373" s="884">
        <v>-307.01799999999997</v>
      </c>
      <c r="AJ373" s="884"/>
      <c r="AK373" s="884">
        <f t="shared" ref="AK373" si="1187">AF373+AG373+AH373+AI373+AJ373+AC373</f>
        <v>19577.544999999998</v>
      </c>
      <c r="AL373" s="884">
        <v>19839.29</v>
      </c>
      <c r="AM373" s="878">
        <f t="shared" ref="AM373" si="1188">IFERROR((AK373/AL373),"-")</f>
        <v>0.98680673552329734</v>
      </c>
      <c r="AN373" s="2"/>
      <c r="AO373" s="884">
        <v>19839.16</v>
      </c>
      <c r="AP373" s="884">
        <f t="shared" ref="AP373" si="1189">AO373-AK373</f>
        <v>261.6150000000016</v>
      </c>
      <c r="AV373" t="str">
        <f t="shared" si="1164"/>
        <v>Escavação 3ª categoria</v>
      </c>
      <c r="AW373" s="4" t="str">
        <f t="shared" si="1165"/>
        <v xml:space="preserve">   Seg. 2.2-C07 - Escavação, carga e transporte de material 3ª categoria</v>
      </c>
      <c r="AX373" s="4"/>
    </row>
    <row r="374" spans="1:50" ht="15" customHeight="1" outlineLevel="2">
      <c r="A374" s="545" t="str">
        <f t="shared" ref="A374" si="1190">A373</f>
        <v>N</v>
      </c>
      <c r="B374" s="526"/>
      <c r="C374" s="526"/>
      <c r="D374" s="527" t="s">
        <v>194</v>
      </c>
      <c r="E374" s="893"/>
      <c r="F374" s="902"/>
      <c r="G374" s="528"/>
      <c r="H374" s="549" t="s">
        <v>38</v>
      </c>
      <c r="I374" s="711">
        <v>0</v>
      </c>
      <c r="J374" s="897"/>
      <c r="K374" s="528"/>
      <c r="L374" s="549" t="s">
        <v>38</v>
      </c>
      <c r="M374" s="711">
        <f t="shared" si="1178"/>
        <v>0</v>
      </c>
      <c r="N374" s="897"/>
      <c r="O374" s="528"/>
      <c r="P374" s="547">
        <v>0</v>
      </c>
      <c r="Q374" s="547">
        <v>0</v>
      </c>
      <c r="R374" s="547">
        <v>0</v>
      </c>
      <c r="S374" s="547">
        <v>0</v>
      </c>
      <c r="T374" s="547">
        <v>0</v>
      </c>
      <c r="U374" s="547">
        <v>0</v>
      </c>
      <c r="V374" s="548">
        <v>0</v>
      </c>
      <c r="W374" s="528"/>
      <c r="X374" s="711">
        <f t="shared" si="1172"/>
        <v>0</v>
      </c>
      <c r="Y374" s="897"/>
      <c r="Z374" s="528"/>
      <c r="AA374" s="899"/>
      <c r="AB374" s="899"/>
      <c r="AC374" s="899"/>
      <c r="AD374" s="901"/>
      <c r="AE374" s="2"/>
      <c r="AF374" s="885"/>
      <c r="AG374" s="885"/>
      <c r="AH374" s="885"/>
      <c r="AI374" s="885"/>
      <c r="AJ374" s="885"/>
      <c r="AK374" s="885"/>
      <c r="AL374" s="885"/>
      <c r="AM374" s="879"/>
      <c r="AN374" s="2"/>
      <c r="AO374" s="886"/>
      <c r="AP374" s="886"/>
      <c r="AV374" t="str">
        <f t="shared" si="1164"/>
        <v>Escavação 3ª categoria</v>
      </c>
      <c r="AW374" s="4" t="str">
        <f t="shared" si="1165"/>
        <v xml:space="preserve">   Seg. 2.2-C07 - Escavação, carga e transporte de material 3ª categoria</v>
      </c>
    </row>
    <row r="375" spans="1:50" ht="15" customHeight="1" outlineLevel="2">
      <c r="A375" s="525" t="str">
        <f t="shared" ref="A375" si="1191">IF(SUM(P375:V376)&gt;0,"S","N")</f>
        <v>N</v>
      </c>
      <c r="B375" s="526">
        <v>1059602</v>
      </c>
      <c r="C375" s="526" t="s">
        <v>609</v>
      </c>
      <c r="D375" s="527" t="s">
        <v>212</v>
      </c>
      <c r="E375" s="892" t="s">
        <v>610</v>
      </c>
      <c r="F375" s="902" t="s">
        <v>36</v>
      </c>
      <c r="G375" s="528"/>
      <c r="H375" s="546" t="s">
        <v>37</v>
      </c>
      <c r="I375" s="711">
        <v>0</v>
      </c>
      <c r="J375" s="896" t="str">
        <f>IFERROR((I376/I375),"-")</f>
        <v>-</v>
      </c>
      <c r="K375" s="528"/>
      <c r="L375" s="546" t="s">
        <v>37</v>
      </c>
      <c r="M375" s="711">
        <f t="shared" si="1178"/>
        <v>0</v>
      </c>
      <c r="N375" s="896" t="str">
        <f>IFERROR((M376/M375),"-")</f>
        <v>-</v>
      </c>
      <c r="O375" s="528"/>
      <c r="P375" s="547">
        <v>0</v>
      </c>
      <c r="Q375" s="547">
        <v>0</v>
      </c>
      <c r="R375" s="547">
        <v>0</v>
      </c>
      <c r="S375" s="547">
        <v>0</v>
      </c>
      <c r="T375" s="547">
        <v>0</v>
      </c>
      <c r="U375" s="547">
        <v>0</v>
      </c>
      <c r="V375" s="548">
        <v>0</v>
      </c>
      <c r="W375" s="528"/>
      <c r="X375" s="711">
        <f t="shared" si="1172"/>
        <v>0</v>
      </c>
      <c r="Y375" s="896" t="str">
        <f t="shared" ref="Y375" si="1192">IFERROR((X376/X375),"0")</f>
        <v>0</v>
      </c>
      <c r="Z375" s="528"/>
      <c r="AA375" s="898">
        <v>337.05</v>
      </c>
      <c r="AB375" s="898">
        <v>337.05</v>
      </c>
      <c r="AC375" s="898">
        <v>0</v>
      </c>
      <c r="AD375" s="900">
        <f t="shared" ref="AD375" si="1193">IFERROR((AC375/AB375),"-")</f>
        <v>0</v>
      </c>
      <c r="AE375" s="2"/>
      <c r="AF375" s="884">
        <v>1783.05</v>
      </c>
      <c r="AG375" s="884">
        <v>-36.695</v>
      </c>
      <c r="AH375" s="884">
        <v>0</v>
      </c>
      <c r="AI375" s="884">
        <v>1726.96</v>
      </c>
      <c r="AJ375" s="884">
        <v>865.15800000000002</v>
      </c>
      <c r="AK375" s="884">
        <f t="shared" ref="AK375" si="1194">AF375+AG375+AH375+AI375+AJ375+AC375</f>
        <v>4338.473</v>
      </c>
      <c r="AL375" s="884">
        <v>4675.3399999999974</v>
      </c>
      <c r="AM375" s="878">
        <f t="shared" ref="AM375" si="1195">IFERROR((AK375/AL375),"-")</f>
        <v>0.92794812783669256</v>
      </c>
      <c r="AN375" s="2"/>
      <c r="AO375" s="884">
        <v>4675.2</v>
      </c>
      <c r="AP375" s="884">
        <f t="shared" ref="AP375" si="1196">AO375-AK375</f>
        <v>336.72699999999986</v>
      </c>
      <c r="AV375" t="str">
        <f t="shared" si="1164"/>
        <v>Escavação 3ª categoria</v>
      </c>
      <c r="AW375" s="4" t="str">
        <f t="shared" si="1165"/>
        <v xml:space="preserve">   Seg. 2.2-C13 - Escavação, carga e transporte de material 3ª categoria</v>
      </c>
      <c r="AX375" s="4"/>
    </row>
    <row r="376" spans="1:50" ht="15" customHeight="1" outlineLevel="2" collapsed="1">
      <c r="A376" s="525" t="str">
        <f t="shared" ref="A376" si="1197">A375</f>
        <v>N</v>
      </c>
      <c r="B376" s="526"/>
      <c r="C376" s="526"/>
      <c r="D376" s="527" t="s">
        <v>212</v>
      </c>
      <c r="E376" s="893"/>
      <c r="F376" s="902"/>
      <c r="G376" s="528"/>
      <c r="H376" s="549" t="s">
        <v>38</v>
      </c>
      <c r="I376" s="711">
        <v>0</v>
      </c>
      <c r="J376" s="897"/>
      <c r="K376" s="528"/>
      <c r="L376" s="549" t="s">
        <v>38</v>
      </c>
      <c r="M376" s="711">
        <f t="shared" si="1178"/>
        <v>0</v>
      </c>
      <c r="N376" s="897"/>
      <c r="O376" s="528"/>
      <c r="P376" s="547">
        <v>0</v>
      </c>
      <c r="Q376" s="547">
        <v>0</v>
      </c>
      <c r="R376" s="547">
        <v>0</v>
      </c>
      <c r="S376" s="547">
        <v>0</v>
      </c>
      <c r="T376" s="547">
        <v>0</v>
      </c>
      <c r="U376" s="547">
        <v>0</v>
      </c>
      <c r="V376" s="548">
        <v>0</v>
      </c>
      <c r="W376" s="528"/>
      <c r="X376" s="711">
        <f t="shared" si="1172"/>
        <v>0</v>
      </c>
      <c r="Y376" s="897"/>
      <c r="Z376" s="528"/>
      <c r="AA376" s="899"/>
      <c r="AB376" s="899"/>
      <c r="AC376" s="899"/>
      <c r="AD376" s="901"/>
      <c r="AE376" s="2"/>
      <c r="AF376" s="885"/>
      <c r="AG376" s="885"/>
      <c r="AH376" s="885"/>
      <c r="AI376" s="885"/>
      <c r="AJ376" s="885"/>
      <c r="AK376" s="885"/>
      <c r="AL376" s="885"/>
      <c r="AM376" s="879"/>
      <c r="AN376" s="2"/>
      <c r="AO376" s="886"/>
      <c r="AP376" s="886"/>
      <c r="AV376" t="str">
        <f t="shared" si="1164"/>
        <v>Escavação 3ª categoria</v>
      </c>
      <c r="AW376" s="4" t="str">
        <f t="shared" si="1165"/>
        <v xml:space="preserve">   Seg. 2.2-C13 - Escavação, carga e transporte de material 3ª categoria</v>
      </c>
    </row>
    <row r="377" spans="1:50" ht="15" customHeight="1" outlineLevel="1">
      <c r="A377" s="545" t="str">
        <f t="shared" ref="A377" si="1198">IF(SUM(P377:V378)&gt;0,"S","N")</f>
        <v>N</v>
      </c>
      <c r="B377" s="526">
        <v>0</v>
      </c>
      <c r="C377" s="526" t="s">
        <v>266</v>
      </c>
      <c r="D377" s="527" t="s">
        <v>266</v>
      </c>
      <c r="E377" s="931"/>
      <c r="F377" s="894" t="s">
        <v>36</v>
      </c>
      <c r="G377" s="528"/>
      <c r="H377" s="546" t="s">
        <v>37</v>
      </c>
      <c r="I377" s="711">
        <v>0</v>
      </c>
      <c r="J377" s="896" t="str">
        <f t="shared" ref="J377" si="1199">IFERROR((I378/I377),"-")</f>
        <v>-</v>
      </c>
      <c r="K377" s="528"/>
      <c r="L377" s="546" t="s">
        <v>37</v>
      </c>
      <c r="M377" s="711">
        <f t="shared" si="1178"/>
        <v>0</v>
      </c>
      <c r="N377" s="896" t="str">
        <f t="shared" ref="N377" si="1200">IFERROR((M378/M377),"-")</f>
        <v>-</v>
      </c>
      <c r="O377" s="528"/>
      <c r="P377" s="547">
        <v>0</v>
      </c>
      <c r="Q377" s="547">
        <v>0</v>
      </c>
      <c r="R377" s="547">
        <v>0</v>
      </c>
      <c r="S377" s="547">
        <v>0</v>
      </c>
      <c r="T377" s="547">
        <v>0</v>
      </c>
      <c r="U377" s="547">
        <v>0</v>
      </c>
      <c r="V377" s="548">
        <v>0</v>
      </c>
      <c r="W377" s="528"/>
      <c r="X377" s="711">
        <f>SUMIFS(P377:V377,$P$8:$V$8,"&gt;="&amp;$P$8,$P$8:$V$8,"&lt;="&amp;$N$8)</f>
        <v>0</v>
      </c>
      <c r="Y377" s="896" t="str">
        <f>IFERROR((X378/X377),"0")</f>
        <v>0</v>
      </c>
      <c r="Z377" s="528"/>
      <c r="AA377" s="898">
        <v>0</v>
      </c>
      <c r="AB377" s="898">
        <v>0</v>
      </c>
      <c r="AC377" s="898">
        <v>0</v>
      </c>
      <c r="AD377" s="900" t="str">
        <f t="shared" ref="AD377" si="1201">IFERROR((AC377/AB377),"-")</f>
        <v>-</v>
      </c>
      <c r="AE377" s="2"/>
      <c r="AF377" s="884">
        <v>0</v>
      </c>
      <c r="AG377" s="884">
        <v>0</v>
      </c>
      <c r="AH377" s="884">
        <v>0</v>
      </c>
      <c r="AI377" s="884"/>
      <c r="AJ377" s="884"/>
      <c r="AK377" s="884">
        <f t="shared" ref="AK377" si="1202">AF377+AG377+AH377+AI377+AJ377+AC377</f>
        <v>0</v>
      </c>
      <c r="AL377" s="884">
        <v>0</v>
      </c>
      <c r="AM377" s="878" t="str">
        <f t="shared" ref="AM377" si="1203">IFERROR((AK377/AL377),"-")</f>
        <v>-</v>
      </c>
      <c r="AN377" s="2"/>
      <c r="AO377" s="884">
        <v>0</v>
      </c>
      <c r="AP377" s="884">
        <f t="shared" ref="AP377" si="1204">AO377-AK377</f>
        <v>0</v>
      </c>
      <c r="AV377" t="str">
        <f t="shared" si="1164"/>
        <v>Escavação 3ª categoria</v>
      </c>
      <c r="AW377" s="4" t="str">
        <f t="shared" si="1165"/>
        <v xml:space="preserve">   Seg. 2.2-C13 - Escavação, carga e transporte de material 3ª categoria</v>
      </c>
      <c r="AX377" s="4"/>
    </row>
    <row r="378" spans="1:50" ht="15" customHeight="1" outlineLevel="1">
      <c r="A378" s="545" t="str">
        <f t="shared" ref="A378" si="1205">A377</f>
        <v>N</v>
      </c>
      <c r="B378" s="526"/>
      <c r="C378" s="526"/>
      <c r="D378" s="527" t="s">
        <v>266</v>
      </c>
      <c r="E378" s="932"/>
      <c r="F378" s="895"/>
      <c r="G378" s="528"/>
      <c r="H378" s="549" t="s">
        <v>38</v>
      </c>
      <c r="I378" s="711">
        <v>0</v>
      </c>
      <c r="J378" s="897"/>
      <c r="K378" s="528"/>
      <c r="L378" s="549" t="s">
        <v>38</v>
      </c>
      <c r="M378" s="711">
        <f t="shared" si="1178"/>
        <v>0</v>
      </c>
      <c r="N378" s="897"/>
      <c r="O378" s="528"/>
      <c r="P378" s="547">
        <v>0</v>
      </c>
      <c r="Q378" s="547">
        <v>0</v>
      </c>
      <c r="R378" s="547">
        <v>0</v>
      </c>
      <c r="S378" s="547">
        <v>0</v>
      </c>
      <c r="T378" s="547">
        <v>0</v>
      </c>
      <c r="U378" s="547">
        <v>0</v>
      </c>
      <c r="V378" s="548">
        <v>0</v>
      </c>
      <c r="W378" s="528"/>
      <c r="X378" s="711">
        <f>SUMIFS(P378:V378,$P$8:$V$8,"&gt;="&amp;$P$8,$P$8:$V$8,"&lt;="&amp;$N$8)</f>
        <v>0</v>
      </c>
      <c r="Y378" s="897"/>
      <c r="Z378" s="528"/>
      <c r="AA378" s="899"/>
      <c r="AB378" s="899"/>
      <c r="AC378" s="899"/>
      <c r="AD378" s="901"/>
      <c r="AE378" s="2"/>
      <c r="AF378" s="885"/>
      <c r="AG378" s="885"/>
      <c r="AH378" s="885"/>
      <c r="AI378" s="885"/>
      <c r="AJ378" s="885"/>
      <c r="AK378" s="885"/>
      <c r="AL378" s="885"/>
      <c r="AM378" s="879"/>
      <c r="AN378" s="2"/>
      <c r="AO378" s="886"/>
      <c r="AP378" s="886"/>
      <c r="AV378" t="str">
        <f t="shared" si="1164"/>
        <v>Escavação 3ª categoria</v>
      </c>
      <c r="AW378" s="4" t="str">
        <f t="shared" si="1165"/>
        <v xml:space="preserve">   Seg. 2.2-C13 - Escavação, carga e transporte de material 3ª categoria</v>
      </c>
    </row>
    <row r="379" spans="1:50" ht="15" customHeight="1" outlineLevel="1">
      <c r="A379" s="525">
        <v>0</v>
      </c>
      <c r="B379" s="526"/>
      <c r="C379" s="533"/>
      <c r="D379" s="534"/>
      <c r="E379" s="535"/>
      <c r="F379" s="536"/>
      <c r="G379" s="537"/>
      <c r="H379" s="714"/>
      <c r="I379" s="714"/>
      <c r="J379" s="714"/>
      <c r="K379" s="537"/>
      <c r="L379" s="714"/>
      <c r="M379" s="555"/>
      <c r="N379" s="714"/>
      <c r="O379" s="537"/>
      <c r="P379" s="539"/>
      <c r="Q379" s="539"/>
      <c r="R379" s="539"/>
      <c r="S379" s="539"/>
      <c r="T379" s="539"/>
      <c r="U379" s="539"/>
      <c r="V379" s="539"/>
      <c r="W379" s="537"/>
      <c r="X379" s="540"/>
      <c r="Y379" s="537"/>
      <c r="Z379" s="537"/>
      <c r="AA379" s="249"/>
      <c r="AB379" s="249"/>
      <c r="AC379" s="249"/>
      <c r="AD379" s="537"/>
      <c r="AE379" s="3"/>
      <c r="AF379" s="35"/>
      <c r="AG379" s="35"/>
      <c r="AH379" s="35"/>
      <c r="AI379" s="35"/>
      <c r="AJ379" s="35"/>
      <c r="AK379" s="35"/>
      <c r="AL379" s="35"/>
      <c r="AM379" s="3"/>
      <c r="AN379" s="3"/>
      <c r="AO379" s="35"/>
      <c r="AP379" s="35"/>
      <c r="AV379" t="str">
        <f t="shared" si="1164"/>
        <v>Escavação 3ª categoria</v>
      </c>
      <c r="AW379" s="4" t="str">
        <f t="shared" si="1165"/>
        <v xml:space="preserve">   Seg. 2.2-C13 - Escavação, carga e transporte de material 3ª categoria</v>
      </c>
    </row>
    <row r="380" spans="1:50" ht="15" customHeight="1" outlineLevel="2">
      <c r="A380" s="525">
        <v>0</v>
      </c>
      <c r="B380" s="526"/>
      <c r="C380" s="556"/>
      <c r="D380" s="557"/>
      <c r="E380" s="933" t="s">
        <v>41</v>
      </c>
      <c r="F380" s="868" t="s">
        <v>36</v>
      </c>
      <c r="G380" s="528"/>
      <c r="H380" s="542" t="s">
        <v>37</v>
      </c>
      <c r="I380" s="543">
        <f>SUMIF($L382:$L393,$L380,I382:I393)</f>
        <v>4000</v>
      </c>
      <c r="J380" s="860">
        <f>IFERROR((I381/I380),"-")</f>
        <v>0.63949999999999996</v>
      </c>
      <c r="K380" s="528"/>
      <c r="L380" s="542" t="s">
        <v>37</v>
      </c>
      <c r="M380" s="543">
        <f>SUMIF($L382:$L393,$L380,M382:M393)</f>
        <v>0</v>
      </c>
      <c r="N380" s="860" t="str">
        <f>IFERROR((M381/M380),"-")</f>
        <v>-</v>
      </c>
      <c r="O380" s="528"/>
      <c r="P380" s="543">
        <f t="shared" ref="P380:U380" si="1206">SUMIF($L382:$L393,$L380,P382:P393)</f>
        <v>0</v>
      </c>
      <c r="Q380" s="543">
        <f t="shared" si="1206"/>
        <v>0</v>
      </c>
      <c r="R380" s="543">
        <f t="shared" si="1206"/>
        <v>0</v>
      </c>
      <c r="S380" s="543">
        <f t="shared" si="1206"/>
        <v>0</v>
      </c>
      <c r="T380" s="543">
        <f t="shared" si="1206"/>
        <v>0</v>
      </c>
      <c r="U380" s="543">
        <f t="shared" si="1206"/>
        <v>0</v>
      </c>
      <c r="V380" s="543"/>
      <c r="W380" s="528"/>
      <c r="X380" s="543">
        <f t="shared" ref="X380:X391" si="1207">SUMIFS(P380:V380,$P$8:$V$8,"&gt;="&amp;$P$8,$P$8:$V$8,"&lt;="&amp;$N$8)</f>
        <v>0</v>
      </c>
      <c r="Y380" s="860" t="str">
        <f>IFERROR((X381/X380),"-")</f>
        <v>-</v>
      </c>
      <c r="Z380" s="528"/>
      <c r="AA380" s="814">
        <f>SUM(AA382:AA393)</f>
        <v>20183.330000000002</v>
      </c>
      <c r="AB380" s="814">
        <f>SUM(AB382:AB393)</f>
        <v>19685.870000000003</v>
      </c>
      <c r="AC380" s="814">
        <f>SUM(AC382:AC393)</f>
        <v>4379</v>
      </c>
      <c r="AD380" s="911">
        <f t="shared" ref="AD380" si="1208">IFERROR((AC380/AB380),"-")</f>
        <v>0.22244381376083452</v>
      </c>
      <c r="AE380" s="2"/>
      <c r="AF380" s="888">
        <f t="shared" ref="AF380:AL380" si="1209">SUM(AF382:AF393)</f>
        <v>62790.53</v>
      </c>
      <c r="AG380" s="888">
        <f t="shared" si="1209"/>
        <v>8615.9959999999992</v>
      </c>
      <c r="AH380" s="888">
        <f t="shared" si="1209"/>
        <v>4661</v>
      </c>
      <c r="AI380" s="888">
        <f t="shared" si="1209"/>
        <v>5863.4869999999992</v>
      </c>
      <c r="AJ380" s="888">
        <f t="shared" ref="AJ380" si="1210">SUM(AJ382:AJ393)</f>
        <v>3668.4919999999997</v>
      </c>
      <c r="AK380" s="888">
        <f t="shared" si="1209"/>
        <v>89978.505000000005</v>
      </c>
      <c r="AL380" s="888">
        <f t="shared" si="1209"/>
        <v>104052.79000000005</v>
      </c>
      <c r="AM380" s="743">
        <f>IFERROR((AK380/AL380),"-")</f>
        <v>0.864738994504616</v>
      </c>
      <c r="AN380" s="2"/>
      <c r="AO380" s="888">
        <f>SUM(AO382:AO393)</f>
        <v>108635.53000000001</v>
      </c>
      <c r="AP380" s="888">
        <f>SUM(AP382:AP393)</f>
        <v>18657.024999999998</v>
      </c>
      <c r="AV380" t="str">
        <f t="shared" si="1164"/>
        <v>Escavação 3ª categoria</v>
      </c>
      <c r="AW380" s="4" t="str">
        <f t="shared" si="1165"/>
        <v>Pacote 04 - Segmento 2.3 - Km 116+517 a 131+241</v>
      </c>
      <c r="AX380" s="4"/>
    </row>
    <row r="381" spans="1:50" ht="15" customHeight="1" outlineLevel="2">
      <c r="A381" s="525">
        <v>0</v>
      </c>
      <c r="B381" s="526"/>
      <c r="C381" s="556"/>
      <c r="D381" s="558"/>
      <c r="E381" s="934"/>
      <c r="F381" s="869"/>
      <c r="G381" s="528"/>
      <c r="H381" s="544" t="s">
        <v>38</v>
      </c>
      <c r="I381" s="543">
        <f>SUMIF($L382:$L393,$L381,I382:I393)</f>
        <v>2558</v>
      </c>
      <c r="J381" s="861"/>
      <c r="K381" s="528"/>
      <c r="L381" s="544" t="s">
        <v>38</v>
      </c>
      <c r="M381" s="543">
        <f>SUMIF($L382:$L393,$L381,M382:M393)</f>
        <v>261</v>
      </c>
      <c r="N381" s="861"/>
      <c r="O381" s="528"/>
      <c r="P381" s="543">
        <f t="shared" ref="P381:U381" si="1211">SUMIF($L382:$L393,$L381,P382:P393)</f>
        <v>300</v>
      </c>
      <c r="Q381" s="543">
        <f t="shared" si="1211"/>
        <v>261</v>
      </c>
      <c r="R381" s="543">
        <f t="shared" si="1211"/>
        <v>0</v>
      </c>
      <c r="S381" s="543">
        <f t="shared" si="1211"/>
        <v>0</v>
      </c>
      <c r="T381" s="543">
        <f t="shared" si="1211"/>
        <v>0</v>
      </c>
      <c r="U381" s="543">
        <f t="shared" si="1211"/>
        <v>0</v>
      </c>
      <c r="V381" s="543"/>
      <c r="W381" s="528"/>
      <c r="X381" s="543">
        <f t="shared" si="1207"/>
        <v>561</v>
      </c>
      <c r="Y381" s="861"/>
      <c r="Z381" s="528"/>
      <c r="AA381" s="815"/>
      <c r="AB381" s="815"/>
      <c r="AC381" s="815"/>
      <c r="AD381" s="912"/>
      <c r="AE381" s="2"/>
      <c r="AF381" s="889"/>
      <c r="AG381" s="889"/>
      <c r="AH381" s="889"/>
      <c r="AI381" s="889"/>
      <c r="AJ381" s="889"/>
      <c r="AK381" s="889"/>
      <c r="AL381" s="889"/>
      <c r="AM381" s="744"/>
      <c r="AN381" s="2"/>
      <c r="AO381" s="888"/>
      <c r="AP381" s="888"/>
      <c r="AV381" t="str">
        <f t="shared" si="1164"/>
        <v>Escavação 3ª categoria</v>
      </c>
      <c r="AW381" s="4" t="str">
        <f t="shared" si="1165"/>
        <v>Pacote 04 - Segmento 2.3 - Km 116+517 a 131+241</v>
      </c>
      <c r="AX381" s="4"/>
    </row>
    <row r="382" spans="1:50" ht="15" customHeight="1" outlineLevel="2">
      <c r="A382" s="525" t="str">
        <f t="shared" ref="A382" si="1212">IF(SUM(P382:V383)&gt;0,"S","N")</f>
        <v>N</v>
      </c>
      <c r="B382" s="526">
        <v>1059609</v>
      </c>
      <c r="C382" s="526" t="s">
        <v>611</v>
      </c>
      <c r="D382" s="527" t="s">
        <v>321</v>
      </c>
      <c r="E382" s="892" t="s">
        <v>612</v>
      </c>
      <c r="F382" s="902" t="s">
        <v>36</v>
      </c>
      <c r="G382" s="528"/>
      <c r="H382" s="546" t="s">
        <v>37</v>
      </c>
      <c r="I382" s="711">
        <v>0</v>
      </c>
      <c r="J382" s="896" t="str">
        <f>IFERROR((I383/I382),"-")</f>
        <v>-</v>
      </c>
      <c r="K382" s="528"/>
      <c r="L382" s="546" t="s">
        <v>37</v>
      </c>
      <c r="M382" s="711">
        <f t="shared" ref="M382:M386" si="1213">_xlfn.XLOOKUP($N$8,$P$8:$V$8,$P382:$V382)</f>
        <v>0</v>
      </c>
      <c r="N382" s="896" t="str">
        <f>IFERROR((M383/M382),"-")</f>
        <v>-</v>
      </c>
      <c r="O382" s="528"/>
      <c r="P382" s="547">
        <v>0</v>
      </c>
      <c r="Q382" s="547">
        <v>0</v>
      </c>
      <c r="R382" s="547">
        <v>0</v>
      </c>
      <c r="S382" s="547">
        <v>0</v>
      </c>
      <c r="T382" s="547">
        <v>0</v>
      </c>
      <c r="U382" s="547">
        <v>0</v>
      </c>
      <c r="V382" s="548">
        <v>0</v>
      </c>
      <c r="W382" s="528"/>
      <c r="X382" s="711">
        <f t="shared" si="1207"/>
        <v>0</v>
      </c>
      <c r="Y382" s="896" t="str">
        <f t="shared" ref="Y382" si="1214">IFERROR((X383/X382),"0")</f>
        <v>0</v>
      </c>
      <c r="Z382" s="528"/>
      <c r="AA382" s="898">
        <v>11234.29</v>
      </c>
      <c r="AB382" s="898">
        <v>11198.250000000002</v>
      </c>
      <c r="AC382" s="898">
        <v>0</v>
      </c>
      <c r="AD382" s="900">
        <f t="shared" ref="AD382" si="1215">IFERROR((AC382/AB382),"-")</f>
        <v>0</v>
      </c>
      <c r="AE382" s="2"/>
      <c r="AF382" s="884">
        <v>10105.64</v>
      </c>
      <c r="AG382" s="884">
        <v>245.92699999999999</v>
      </c>
      <c r="AH382" s="884">
        <v>0</v>
      </c>
      <c r="AI382" s="884">
        <v>707.64899999999898</v>
      </c>
      <c r="AJ382" s="884">
        <v>34.277999999999999</v>
      </c>
      <c r="AK382" s="884">
        <f t="shared" ref="AK382" si="1216">AF382+AG382+AH382+AI382+AJ382+AC382</f>
        <v>11093.493999999999</v>
      </c>
      <c r="AL382" s="884">
        <v>22292.050000000021</v>
      </c>
      <c r="AM382" s="878">
        <f t="shared" ref="AM382" si="1217">IFERROR((AK382/AL382),"-")</f>
        <v>0.49764350968170212</v>
      </c>
      <c r="AN382" s="2"/>
      <c r="AO382" s="884">
        <v>22328.32</v>
      </c>
      <c r="AP382" s="884">
        <f t="shared" ref="AP382" si="1218">AO382-AK382</f>
        <v>11234.826000000001</v>
      </c>
      <c r="AV382" t="str">
        <f t="shared" si="1164"/>
        <v>Escavação 3ª categoria</v>
      </c>
      <c r="AW382" s="4" t="str">
        <f t="shared" si="1165"/>
        <v xml:space="preserve">   Seg. 2.3-C04 - Escavação, carga e transporte de material 3ª categoria</v>
      </c>
    </row>
    <row r="383" spans="1:50" ht="15" customHeight="1" outlineLevel="2">
      <c r="A383" s="525" t="str">
        <f t="shared" ref="A383" si="1219">A382</f>
        <v>N</v>
      </c>
      <c r="B383" s="526"/>
      <c r="C383" s="526"/>
      <c r="D383" s="527" t="s">
        <v>321</v>
      </c>
      <c r="E383" s="893"/>
      <c r="F383" s="902"/>
      <c r="G383" s="528"/>
      <c r="H383" s="549" t="s">
        <v>38</v>
      </c>
      <c r="I383" s="711">
        <v>0</v>
      </c>
      <c r="J383" s="897"/>
      <c r="K383" s="528"/>
      <c r="L383" s="549" t="s">
        <v>38</v>
      </c>
      <c r="M383" s="711">
        <f t="shared" si="1213"/>
        <v>0</v>
      </c>
      <c r="N383" s="897"/>
      <c r="O383" s="528"/>
      <c r="P383" s="547">
        <v>0</v>
      </c>
      <c r="Q383" s="547">
        <v>0</v>
      </c>
      <c r="R383" s="547">
        <v>0</v>
      </c>
      <c r="S383" s="547">
        <v>0</v>
      </c>
      <c r="T383" s="547">
        <v>0</v>
      </c>
      <c r="U383" s="547">
        <v>0</v>
      </c>
      <c r="V383" s="547">
        <v>0</v>
      </c>
      <c r="W383" s="528"/>
      <c r="X383" s="711">
        <f t="shared" si="1207"/>
        <v>0</v>
      </c>
      <c r="Y383" s="897"/>
      <c r="Z383" s="528"/>
      <c r="AA383" s="899"/>
      <c r="AB383" s="899"/>
      <c r="AC383" s="899"/>
      <c r="AD383" s="901"/>
      <c r="AE383" s="2"/>
      <c r="AF383" s="885"/>
      <c r="AG383" s="885"/>
      <c r="AH383" s="885"/>
      <c r="AI383" s="885"/>
      <c r="AJ383" s="885"/>
      <c r="AK383" s="885"/>
      <c r="AL383" s="885"/>
      <c r="AM383" s="879"/>
      <c r="AN383" s="2"/>
      <c r="AO383" s="886"/>
      <c r="AP383" s="886"/>
      <c r="AV383" t="str">
        <f t="shared" si="1164"/>
        <v>Escavação 3ª categoria</v>
      </c>
      <c r="AW383" s="4" t="str">
        <f t="shared" si="1165"/>
        <v xml:space="preserve">   Seg. 2.3-C04 - Escavação, carga e transporte de material 3ª categoria</v>
      </c>
    </row>
    <row r="384" spans="1:50" ht="15" customHeight="1" outlineLevel="2">
      <c r="A384" s="545" t="str">
        <f t="shared" ref="A384" si="1220">IF(SUM(P384:V385)&gt;0,"S","N")</f>
        <v>N</v>
      </c>
      <c r="B384" s="526">
        <v>1069080</v>
      </c>
      <c r="C384" s="526" t="s">
        <v>613</v>
      </c>
      <c r="D384" s="527" t="s">
        <v>324</v>
      </c>
      <c r="E384" s="892" t="s">
        <v>614</v>
      </c>
      <c r="F384" s="902" t="s">
        <v>36</v>
      </c>
      <c r="G384" s="528"/>
      <c r="H384" s="546" t="s">
        <v>37</v>
      </c>
      <c r="I384" s="711">
        <v>0</v>
      </c>
      <c r="J384" s="896" t="str">
        <f>IFERROR((I385/I384),"-")</f>
        <v>-</v>
      </c>
      <c r="K384" s="528"/>
      <c r="L384" s="546" t="s">
        <v>37</v>
      </c>
      <c r="M384" s="711">
        <f t="shared" si="1213"/>
        <v>0</v>
      </c>
      <c r="N384" s="896" t="str">
        <f>IFERROR((M385/M384),"-")</f>
        <v>-</v>
      </c>
      <c r="O384" s="528"/>
      <c r="P384" s="547">
        <v>0</v>
      </c>
      <c r="Q384" s="547">
        <v>0</v>
      </c>
      <c r="R384" s="547">
        <v>0</v>
      </c>
      <c r="S384" s="547">
        <v>0</v>
      </c>
      <c r="T384" s="547">
        <v>0</v>
      </c>
      <c r="U384" s="547">
        <v>0</v>
      </c>
      <c r="V384" s="548">
        <v>0</v>
      </c>
      <c r="W384" s="528"/>
      <c r="X384" s="711">
        <f t="shared" si="1207"/>
        <v>0</v>
      </c>
      <c r="Y384" s="896" t="str">
        <f t="shared" ref="Y384" si="1221">IFERROR((X385/X384),"0")</f>
        <v>0</v>
      </c>
      <c r="Z384" s="528"/>
      <c r="AA384" s="898">
        <v>112.95</v>
      </c>
      <c r="AB384" s="898">
        <v>0</v>
      </c>
      <c r="AC384" s="898">
        <v>0</v>
      </c>
      <c r="AD384" s="900" t="str">
        <f t="shared" ref="AD384" si="1222">IFERROR((AC384/AB384),"-")</f>
        <v>-</v>
      </c>
      <c r="AE384" s="2"/>
      <c r="AF384" s="884">
        <v>723.66</v>
      </c>
      <c r="AG384" s="884"/>
      <c r="AH384" s="884">
        <v>0</v>
      </c>
      <c r="AI384" s="884"/>
      <c r="AJ384" s="884"/>
      <c r="AK384" s="884">
        <f t="shared" ref="AK384" si="1223">AF384+AG384+AH384+AI384+AJ384+AC384</f>
        <v>723.66</v>
      </c>
      <c r="AL384" s="884">
        <v>716.43</v>
      </c>
      <c r="AM384" s="878">
        <f t="shared" ref="AM384" si="1224">IFERROR((AK384/AL384),"-")</f>
        <v>1.0100917047024831</v>
      </c>
      <c r="AN384" s="2"/>
      <c r="AO384" s="884">
        <v>829.62</v>
      </c>
      <c r="AP384" s="884">
        <f t="shared" ref="AP384" si="1225">AO384-AK384</f>
        <v>105.96000000000004</v>
      </c>
      <c r="AV384" t="str">
        <f t="shared" si="1164"/>
        <v>Escavação 3ª categoria</v>
      </c>
      <c r="AW384" s="4" t="str">
        <f t="shared" si="1165"/>
        <v xml:space="preserve">   Seg. 2.3-C05 - Escavação, carga e transporte de material 3ª categoria</v>
      </c>
    </row>
    <row r="385" spans="1:50" ht="15" customHeight="1" outlineLevel="2">
      <c r="A385" s="545" t="str">
        <f t="shared" ref="A385" si="1226">A384</f>
        <v>N</v>
      </c>
      <c r="B385" s="526"/>
      <c r="C385" s="526"/>
      <c r="D385" s="527" t="s">
        <v>324</v>
      </c>
      <c r="E385" s="893"/>
      <c r="F385" s="902"/>
      <c r="G385" s="528"/>
      <c r="H385" s="549" t="s">
        <v>38</v>
      </c>
      <c r="I385" s="711">
        <v>0</v>
      </c>
      <c r="J385" s="897"/>
      <c r="K385" s="528"/>
      <c r="L385" s="549" t="s">
        <v>38</v>
      </c>
      <c r="M385" s="711">
        <f t="shared" si="1213"/>
        <v>0</v>
      </c>
      <c r="N385" s="897"/>
      <c r="O385" s="528"/>
      <c r="P385" s="547">
        <v>0</v>
      </c>
      <c r="Q385" s="547">
        <v>0</v>
      </c>
      <c r="R385" s="547">
        <v>0</v>
      </c>
      <c r="S385" s="547">
        <v>0</v>
      </c>
      <c r="T385" s="547">
        <v>0</v>
      </c>
      <c r="U385" s="547">
        <v>0</v>
      </c>
      <c r="V385" s="547">
        <v>0</v>
      </c>
      <c r="W385" s="528"/>
      <c r="X385" s="711">
        <f t="shared" si="1207"/>
        <v>0</v>
      </c>
      <c r="Y385" s="897"/>
      <c r="Z385" s="528"/>
      <c r="AA385" s="899"/>
      <c r="AB385" s="899"/>
      <c r="AC385" s="899"/>
      <c r="AD385" s="901"/>
      <c r="AE385" s="2"/>
      <c r="AF385" s="885"/>
      <c r="AG385" s="885"/>
      <c r="AH385" s="885"/>
      <c r="AI385" s="885"/>
      <c r="AJ385" s="885"/>
      <c r="AK385" s="885"/>
      <c r="AL385" s="885"/>
      <c r="AM385" s="879"/>
      <c r="AN385" s="2"/>
      <c r="AO385" s="886"/>
      <c r="AP385" s="886"/>
      <c r="AV385" t="str">
        <f t="shared" si="1164"/>
        <v>Escavação 3ª categoria</v>
      </c>
      <c r="AW385" s="4" t="str">
        <f t="shared" si="1165"/>
        <v xml:space="preserve">   Seg. 2.3-C05 - Escavação, carga e transporte de material 3ª categoria</v>
      </c>
    </row>
    <row r="386" spans="1:50" ht="15" customHeight="1" outlineLevel="2">
      <c r="A386" s="525" t="str">
        <f t="shared" ref="A386" si="1227">IF(SUM(P386:V387)&gt;0,"S","N")</f>
        <v>S</v>
      </c>
      <c r="B386" s="526">
        <v>1069562</v>
      </c>
      <c r="C386" s="526" t="s">
        <v>615</v>
      </c>
      <c r="D386" s="527" t="s">
        <v>298</v>
      </c>
      <c r="E386" s="892" t="s">
        <v>616</v>
      </c>
      <c r="F386" s="902" t="s">
        <v>36</v>
      </c>
      <c r="G386" s="528"/>
      <c r="H386" s="546" t="s">
        <v>37</v>
      </c>
      <c r="I386" s="711">
        <v>4000</v>
      </c>
      <c r="J386" s="896">
        <f>IFERROR((I387/I386),"-")</f>
        <v>0.20699999999999999</v>
      </c>
      <c r="K386" s="528"/>
      <c r="L386" s="546" t="s">
        <v>37</v>
      </c>
      <c r="M386" s="711">
        <f t="shared" si="1213"/>
        <v>0</v>
      </c>
      <c r="N386" s="896" t="str">
        <f>IFERROR((M387/M386),"-")</f>
        <v>-</v>
      </c>
      <c r="O386" s="528"/>
      <c r="P386" s="547">
        <v>0</v>
      </c>
      <c r="Q386" s="547">
        <v>0</v>
      </c>
      <c r="R386" s="547">
        <v>0</v>
      </c>
      <c r="S386" s="547">
        <v>0</v>
      </c>
      <c r="T386" s="547">
        <v>0</v>
      </c>
      <c r="U386" s="547">
        <v>0</v>
      </c>
      <c r="V386" s="548">
        <v>0</v>
      </c>
      <c r="W386" s="528"/>
      <c r="X386" s="711">
        <f t="shared" si="1207"/>
        <v>0</v>
      </c>
      <c r="Y386" s="896" t="str">
        <f t="shared" ref="Y386" si="1228">IFERROR((X387/X386),"0")</f>
        <v>0</v>
      </c>
      <c r="Z386" s="528"/>
      <c r="AA386" s="898">
        <v>2154.44</v>
      </c>
      <c r="AB386" s="898">
        <v>2154.4200000000005</v>
      </c>
      <c r="AC386" s="898">
        <v>1089</v>
      </c>
      <c r="AD386" s="900">
        <f t="shared" ref="AD386" si="1229">IFERROR((AC386/AB386),"-")</f>
        <v>0.50547247054891786</v>
      </c>
      <c r="AE386" s="2"/>
      <c r="AF386" s="884">
        <v>51961.23</v>
      </c>
      <c r="AG386" s="884">
        <v>8370.0689999999995</v>
      </c>
      <c r="AH386" s="884">
        <v>1881</v>
      </c>
      <c r="AI386" s="884">
        <v>5155.8379999999997</v>
      </c>
      <c r="AJ386" s="884">
        <v>2815.0650000000001</v>
      </c>
      <c r="AK386" s="884">
        <f t="shared" ref="AK386" si="1230">AF386+AG386+AH386+AI386+AJ386+AC386</f>
        <v>71272.202000000005</v>
      </c>
      <c r="AL386" s="884">
        <v>73900.150000000023</v>
      </c>
      <c r="AM386" s="878">
        <f t="shared" ref="AM386" si="1231">IFERROR((AK386/AL386),"-")</f>
        <v>0.96443920614504819</v>
      </c>
      <c r="AN386" s="2"/>
      <c r="AO386" s="884">
        <v>71723.97</v>
      </c>
      <c r="AP386" s="884">
        <f t="shared" ref="AP386" si="1232">AO386-AK386</f>
        <v>451.76799999999639</v>
      </c>
      <c r="AV386" t="str">
        <f t="shared" si="1164"/>
        <v>Escavação 3ª categoria</v>
      </c>
      <c r="AW386" s="4" t="str">
        <f t="shared" si="1165"/>
        <v xml:space="preserve">   Seg. 2.3-C08-Plataforma - Escavação, carga e transporte de material 3ª categoria </v>
      </c>
    </row>
    <row r="387" spans="1:50" ht="15" customHeight="1" outlineLevel="2">
      <c r="A387" s="525" t="str">
        <f t="shared" ref="A387" si="1233">A386</f>
        <v>S</v>
      </c>
      <c r="B387" s="526">
        <v>0</v>
      </c>
      <c r="C387" s="526"/>
      <c r="D387" s="527" t="s">
        <v>298</v>
      </c>
      <c r="E387" s="893"/>
      <c r="F387" s="902"/>
      <c r="G387" s="528"/>
      <c r="H387" s="549" t="s">
        <v>38</v>
      </c>
      <c r="I387" s="711">
        <v>828</v>
      </c>
      <c r="J387" s="897"/>
      <c r="K387" s="528"/>
      <c r="L387" s="549" t="s">
        <v>38</v>
      </c>
      <c r="M387" s="711">
        <f>_xlfn.XLOOKUP($N$8,$P$8:$V$8,$P387:$V387)</f>
        <v>261</v>
      </c>
      <c r="N387" s="897"/>
      <c r="O387" s="528"/>
      <c r="P387" s="547">
        <v>0</v>
      </c>
      <c r="Q387" s="547">
        <v>261</v>
      </c>
      <c r="R387" s="547">
        <v>0</v>
      </c>
      <c r="S387" s="547">
        <v>0</v>
      </c>
      <c r="T387" s="547">
        <v>0</v>
      </c>
      <c r="U387" s="547">
        <v>0</v>
      </c>
      <c r="V387" s="547">
        <v>0</v>
      </c>
      <c r="W387" s="528"/>
      <c r="X387" s="711">
        <f t="shared" si="1207"/>
        <v>261</v>
      </c>
      <c r="Y387" s="897"/>
      <c r="Z387" s="528"/>
      <c r="AA387" s="899"/>
      <c r="AB387" s="899"/>
      <c r="AC387" s="899"/>
      <c r="AD387" s="901"/>
      <c r="AE387" s="2"/>
      <c r="AF387" s="885"/>
      <c r="AG387" s="885"/>
      <c r="AH387" s="885"/>
      <c r="AI387" s="885"/>
      <c r="AJ387" s="885"/>
      <c r="AK387" s="885"/>
      <c r="AL387" s="885"/>
      <c r="AM387" s="879"/>
      <c r="AN387" s="2"/>
      <c r="AO387" s="886"/>
      <c r="AP387" s="886"/>
      <c r="AV387" t="str">
        <f t="shared" si="1164"/>
        <v>Escavação 3ª categoria</v>
      </c>
      <c r="AW387" s="4" t="str">
        <f t="shared" si="1165"/>
        <v xml:space="preserve">   Seg. 2.3-C08-Plataforma - Escavação, carga e transporte de material 3ª categoria </v>
      </c>
    </row>
    <row r="388" spans="1:50" ht="15" customHeight="1" outlineLevel="2">
      <c r="A388" s="525" t="str">
        <f t="shared" ref="A388" si="1234">IF(SUM(P388:V389)&gt;0,"S","N")</f>
        <v>S</v>
      </c>
      <c r="B388" s="526">
        <v>0</v>
      </c>
      <c r="C388" s="526">
        <v>0</v>
      </c>
      <c r="D388" s="527" t="s">
        <v>617</v>
      </c>
      <c r="E388" s="892" t="s">
        <v>618</v>
      </c>
      <c r="F388" s="902" t="s">
        <v>36</v>
      </c>
      <c r="G388" s="528"/>
      <c r="H388" s="546" t="s">
        <v>37</v>
      </c>
      <c r="I388" s="711">
        <v>0</v>
      </c>
      <c r="J388" s="896" t="str">
        <f>IFERROR((I389/I388),"-")</f>
        <v>-</v>
      </c>
      <c r="K388" s="528"/>
      <c r="L388" s="546" t="s">
        <v>37</v>
      </c>
      <c r="M388" s="711">
        <f t="shared" ref="M388" si="1235">_xlfn.XLOOKUP($N$8,$P$8:$V$8,$P388:$V388)</f>
        <v>0</v>
      </c>
      <c r="N388" s="896" t="str">
        <f>IFERROR((M389/M388),"-")</f>
        <v>-</v>
      </c>
      <c r="O388" s="528"/>
      <c r="P388" s="547">
        <v>0</v>
      </c>
      <c r="Q388" s="547">
        <v>0</v>
      </c>
      <c r="R388" s="547">
        <v>0</v>
      </c>
      <c r="S388" s="547">
        <v>0</v>
      </c>
      <c r="T388" s="547">
        <v>0</v>
      </c>
      <c r="U388" s="547">
        <v>0</v>
      </c>
      <c r="V388" s="548">
        <v>0</v>
      </c>
      <c r="W388" s="528"/>
      <c r="X388" s="711">
        <f t="shared" si="1207"/>
        <v>0</v>
      </c>
      <c r="Y388" s="896" t="str">
        <f t="shared" ref="Y388" si="1236">IFERROR((X389/X388),"0")</f>
        <v>0</v>
      </c>
      <c r="Z388" s="528"/>
      <c r="AA388" s="898">
        <v>0</v>
      </c>
      <c r="AB388" s="898">
        <v>0</v>
      </c>
      <c r="AC388" s="898">
        <v>3290</v>
      </c>
      <c r="AD388" s="900" t="str">
        <f t="shared" ref="AD388" si="1237">IFERROR((AC388/AB388),"-")</f>
        <v>-</v>
      </c>
      <c r="AE388" s="2"/>
      <c r="AF388" s="884"/>
      <c r="AG388" s="884"/>
      <c r="AH388" s="884">
        <v>2780</v>
      </c>
      <c r="AI388" s="884"/>
      <c r="AJ388" s="884"/>
      <c r="AK388" s="884">
        <f t="shared" ref="AK388" si="1238">AF388+AG388+AH388+AI388+AJ388+AC388</f>
        <v>6070</v>
      </c>
      <c r="AL388" s="884">
        <v>0</v>
      </c>
      <c r="AM388" s="878" t="str">
        <f t="shared" ref="AM388" si="1239">IFERROR((AK388/AL388),"-")</f>
        <v>-</v>
      </c>
      <c r="AN388" s="2"/>
      <c r="AO388" s="884">
        <v>0</v>
      </c>
      <c r="AP388" s="884">
        <f t="shared" ref="AP388" si="1240">AO388-AK388</f>
        <v>-6070</v>
      </c>
      <c r="AV388" t="str">
        <f t="shared" si="1164"/>
        <v>Escavação 3ª categoria</v>
      </c>
      <c r="AW388" s="4" t="str">
        <f t="shared" si="1165"/>
        <v xml:space="preserve">   Seg. 2.3-C08 ADMP</v>
      </c>
    </row>
    <row r="389" spans="1:50" ht="15" customHeight="1" outlineLevel="2">
      <c r="A389" s="525" t="str">
        <f t="shared" ref="A389" si="1241">A388</f>
        <v>S</v>
      </c>
      <c r="B389" s="526"/>
      <c r="C389" s="526"/>
      <c r="D389" s="527" t="s">
        <v>617</v>
      </c>
      <c r="E389" s="893"/>
      <c r="F389" s="902"/>
      <c r="G389" s="528"/>
      <c r="H389" s="549" t="s">
        <v>38</v>
      </c>
      <c r="I389" s="711">
        <v>1730</v>
      </c>
      <c r="J389" s="897"/>
      <c r="K389" s="528"/>
      <c r="L389" s="549" t="s">
        <v>38</v>
      </c>
      <c r="M389" s="711">
        <f>_xlfn.XLOOKUP($N$8,$P$8:$V$8,$P389:$V389)</f>
        <v>0</v>
      </c>
      <c r="N389" s="897"/>
      <c r="O389" s="528"/>
      <c r="P389" s="547">
        <v>300</v>
      </c>
      <c r="Q389" s="547">
        <v>0</v>
      </c>
      <c r="R389" s="547">
        <v>0</v>
      </c>
      <c r="S389" s="547">
        <v>0</v>
      </c>
      <c r="T389" s="547">
        <v>0</v>
      </c>
      <c r="U389" s="547">
        <v>0</v>
      </c>
      <c r="V389" s="547">
        <v>0</v>
      </c>
      <c r="W389" s="528"/>
      <c r="X389" s="711">
        <f t="shared" si="1207"/>
        <v>300</v>
      </c>
      <c r="Y389" s="897"/>
      <c r="Z389" s="528"/>
      <c r="AA389" s="899"/>
      <c r="AB389" s="899"/>
      <c r="AC389" s="899"/>
      <c r="AD389" s="901"/>
      <c r="AE389" s="2"/>
      <c r="AF389" s="885"/>
      <c r="AG389" s="885"/>
      <c r="AH389" s="885"/>
      <c r="AI389" s="885"/>
      <c r="AJ389" s="885"/>
      <c r="AK389" s="885"/>
      <c r="AL389" s="885"/>
      <c r="AM389" s="879"/>
      <c r="AN389" s="2"/>
      <c r="AO389" s="886"/>
      <c r="AP389" s="886"/>
      <c r="AV389" t="str">
        <f t="shared" si="1164"/>
        <v>Escavação 3ª categoria</v>
      </c>
      <c r="AW389" s="4" t="str">
        <f t="shared" si="1165"/>
        <v xml:space="preserve">   Seg. 2.3-C08 ADMP</v>
      </c>
    </row>
    <row r="390" spans="1:50" ht="15" customHeight="1" outlineLevel="2">
      <c r="A390" s="545" t="str">
        <f t="shared" ref="A390" si="1242">IF(SUM(P390:V391)&gt;0,"S","N")</f>
        <v>N</v>
      </c>
      <c r="B390" s="526">
        <v>1069854</v>
      </c>
      <c r="C390" s="526" t="s">
        <v>619</v>
      </c>
      <c r="D390" s="527" t="s">
        <v>620</v>
      </c>
      <c r="E390" s="892" t="s">
        <v>621</v>
      </c>
      <c r="F390" s="902" t="s">
        <v>36</v>
      </c>
      <c r="G390" s="528"/>
      <c r="H390" s="546" t="s">
        <v>37</v>
      </c>
      <c r="I390" s="711">
        <v>0</v>
      </c>
      <c r="J390" s="896" t="str">
        <f>IFERROR((I391/I390),"-")</f>
        <v>-</v>
      </c>
      <c r="K390" s="528"/>
      <c r="L390" s="546" t="s">
        <v>37</v>
      </c>
      <c r="M390" s="711">
        <f t="shared" ref="M390:M393" si="1243">_xlfn.XLOOKUP($N$8,$P$8:$V$8,$P390:$V390)</f>
        <v>0</v>
      </c>
      <c r="N390" s="896" t="str">
        <f>IFERROR((M391/M390),"-")</f>
        <v>-</v>
      </c>
      <c r="O390" s="528"/>
      <c r="P390" s="547">
        <v>0</v>
      </c>
      <c r="Q390" s="547">
        <v>0</v>
      </c>
      <c r="R390" s="547">
        <v>0</v>
      </c>
      <c r="S390" s="547">
        <v>0</v>
      </c>
      <c r="T390" s="547">
        <v>0</v>
      </c>
      <c r="U390" s="547">
        <v>0</v>
      </c>
      <c r="V390" s="548">
        <v>0</v>
      </c>
      <c r="W390" s="528"/>
      <c r="X390" s="711">
        <f t="shared" si="1207"/>
        <v>0</v>
      </c>
      <c r="Y390" s="896" t="str">
        <f t="shared" ref="Y390" si="1244">IFERROR((X391/X390),"0")</f>
        <v>0</v>
      </c>
      <c r="Z390" s="528"/>
      <c r="AA390" s="898">
        <v>6333.2</v>
      </c>
      <c r="AB390" s="898">
        <v>6333.2</v>
      </c>
      <c r="AC390" s="898">
        <v>0</v>
      </c>
      <c r="AD390" s="900">
        <f t="shared" ref="AD390" si="1245">IFERROR((AC390/AB390),"-")</f>
        <v>0</v>
      </c>
      <c r="AE390" s="2"/>
      <c r="AF390" s="884">
        <v>0</v>
      </c>
      <c r="AG390" s="884"/>
      <c r="AH390" s="884">
        <v>0</v>
      </c>
      <c r="AI390" s="884"/>
      <c r="AJ390" s="884">
        <v>819.149</v>
      </c>
      <c r="AK390" s="884">
        <f t="shared" ref="AK390" si="1246">AF390+AG390+AH390+AI390+AJ390+AC390</f>
        <v>819.149</v>
      </c>
      <c r="AL390" s="884">
        <v>7144.16</v>
      </c>
      <c r="AM390" s="878">
        <f t="shared" ref="AM390" si="1247">IFERROR((AK390/AL390),"-")</f>
        <v>0.11465994602584489</v>
      </c>
      <c r="AN390" s="2"/>
      <c r="AO390" s="884">
        <v>7144.35</v>
      </c>
      <c r="AP390" s="884">
        <f t="shared" ref="AP390" si="1248">AO390-AK390</f>
        <v>6325.201</v>
      </c>
      <c r="AV390" t="str">
        <f t="shared" si="1164"/>
        <v>Escavação 3ª categoria</v>
      </c>
      <c r="AW390" s="4" t="str">
        <f t="shared" si="1165"/>
        <v xml:space="preserve">   Perfuração / Desmonte de rocha / Limpeza (3ª categoria) - ETAPA 01</v>
      </c>
    </row>
    <row r="391" spans="1:50" ht="15" customHeight="1" outlineLevel="2">
      <c r="A391" s="545" t="str">
        <f t="shared" ref="A391" si="1249">A390</f>
        <v>N</v>
      </c>
      <c r="B391" s="526"/>
      <c r="C391" s="526"/>
      <c r="D391" s="527" t="s">
        <v>622</v>
      </c>
      <c r="E391" s="893"/>
      <c r="F391" s="902"/>
      <c r="G391" s="528"/>
      <c r="H391" s="549" t="s">
        <v>38</v>
      </c>
      <c r="I391" s="711">
        <v>0</v>
      </c>
      <c r="J391" s="897"/>
      <c r="K391" s="528"/>
      <c r="L391" s="549" t="s">
        <v>38</v>
      </c>
      <c r="M391" s="711">
        <f t="shared" si="1243"/>
        <v>0</v>
      </c>
      <c r="N391" s="897"/>
      <c r="O391" s="528"/>
      <c r="P391" s="547">
        <v>0</v>
      </c>
      <c r="Q391" s="547">
        <v>0</v>
      </c>
      <c r="R391" s="547">
        <v>0</v>
      </c>
      <c r="S391" s="547">
        <v>0</v>
      </c>
      <c r="T391" s="547">
        <v>0</v>
      </c>
      <c r="U391" s="547">
        <v>0</v>
      </c>
      <c r="V391" s="547">
        <v>0</v>
      </c>
      <c r="W391" s="528"/>
      <c r="X391" s="711">
        <f t="shared" si="1207"/>
        <v>0</v>
      </c>
      <c r="Y391" s="897"/>
      <c r="Z391" s="528"/>
      <c r="AA391" s="899"/>
      <c r="AB391" s="899"/>
      <c r="AC391" s="899"/>
      <c r="AD391" s="901"/>
      <c r="AE391" s="2"/>
      <c r="AF391" s="885"/>
      <c r="AG391" s="885"/>
      <c r="AH391" s="885"/>
      <c r="AI391" s="885"/>
      <c r="AJ391" s="885"/>
      <c r="AK391" s="885"/>
      <c r="AL391" s="885"/>
      <c r="AM391" s="879"/>
      <c r="AN391" s="2"/>
      <c r="AO391" s="886"/>
      <c r="AP391" s="886"/>
      <c r="AV391" t="str">
        <f t="shared" si="1164"/>
        <v>Escavação 3ª categoria</v>
      </c>
      <c r="AW391" s="4" t="str">
        <f t="shared" si="1165"/>
        <v xml:space="preserve">   Perfuração / Desmonte de rocha / Limpeza (3ª categoria) - ETAPA 01</v>
      </c>
    </row>
    <row r="392" spans="1:50" ht="15" customHeight="1" outlineLevel="1">
      <c r="A392" s="545" t="str">
        <f t="shared" ref="A392" si="1250">IF(SUM(P392:V393)&gt;0,"S","N")</f>
        <v>N</v>
      </c>
      <c r="B392" s="562">
        <v>1069855</v>
      </c>
      <c r="C392" s="562" t="s">
        <v>623</v>
      </c>
      <c r="D392" s="527" t="s">
        <v>622</v>
      </c>
      <c r="E392" s="931" t="s">
        <v>624</v>
      </c>
      <c r="F392" s="894" t="s">
        <v>36</v>
      </c>
      <c r="G392" s="528"/>
      <c r="H392" s="546" t="s">
        <v>37</v>
      </c>
      <c r="I392" s="711">
        <v>0</v>
      </c>
      <c r="J392" s="896" t="str">
        <f t="shared" ref="J392" si="1251">IFERROR((I393/I392),"-")</f>
        <v>-</v>
      </c>
      <c r="K392" s="528"/>
      <c r="L392" s="546" t="s">
        <v>37</v>
      </c>
      <c r="M392" s="711">
        <f t="shared" si="1243"/>
        <v>0</v>
      </c>
      <c r="N392" s="896" t="str">
        <f t="shared" ref="N392" si="1252">IFERROR((M393/M392),"-")</f>
        <v>-</v>
      </c>
      <c r="O392" s="528"/>
      <c r="P392" s="547">
        <v>0</v>
      </c>
      <c r="Q392" s="547">
        <v>0</v>
      </c>
      <c r="R392" s="547">
        <v>0</v>
      </c>
      <c r="S392" s="547">
        <v>0</v>
      </c>
      <c r="T392" s="547">
        <v>0</v>
      </c>
      <c r="U392" s="547">
        <v>0</v>
      </c>
      <c r="V392" s="548">
        <v>0</v>
      </c>
      <c r="W392" s="528"/>
      <c r="X392" s="711">
        <f>SUMIFS(P392:V392,$P$8:$V$8,"&gt;="&amp;$P$8,$P$8:$V$8,"&lt;="&amp;$N$8)</f>
        <v>0</v>
      </c>
      <c r="Y392" s="896" t="str">
        <f>IFERROR((X393/X392),"0")</f>
        <v>0</v>
      </c>
      <c r="Z392" s="528"/>
      <c r="AA392" s="898">
        <v>348.45</v>
      </c>
      <c r="AB392" s="898">
        <v>0</v>
      </c>
      <c r="AC392" s="898">
        <v>0</v>
      </c>
      <c r="AD392" s="900" t="str">
        <f t="shared" ref="AD392" si="1253">IFERROR((AC392/AB392),"-")</f>
        <v>-</v>
      </c>
      <c r="AE392" s="2"/>
      <c r="AF392" s="884">
        <v>0</v>
      </c>
      <c r="AG392" s="884">
        <v>0</v>
      </c>
      <c r="AH392" s="884">
        <v>0</v>
      </c>
      <c r="AI392" s="884"/>
      <c r="AJ392" s="884"/>
      <c r="AK392" s="884">
        <f t="shared" ref="AK392" si="1254">AF392+AG392+AH392+AI392+AJ392+AC392</f>
        <v>0</v>
      </c>
      <c r="AL392" s="884">
        <v>0</v>
      </c>
      <c r="AM392" s="878" t="str">
        <f t="shared" ref="AM392" si="1255">IFERROR((AK392/AL392),"-")</f>
        <v>-</v>
      </c>
      <c r="AN392" s="2"/>
      <c r="AO392" s="884">
        <v>6609.27</v>
      </c>
      <c r="AP392" s="884">
        <f t="shared" ref="AP392" si="1256">AO392-AK392</f>
        <v>6609.27</v>
      </c>
      <c r="AV392" t="str">
        <f t="shared" si="1164"/>
        <v>Escavação 3ª categoria</v>
      </c>
      <c r="AW392" s="4" t="str">
        <f t="shared" si="1165"/>
        <v xml:space="preserve">   Perfuração / Desmonte de rocha / Limpeza (3ª categoria) - ETAPA 02</v>
      </c>
    </row>
    <row r="393" spans="1:50" ht="15" customHeight="1" outlineLevel="1">
      <c r="A393" s="545" t="str">
        <f t="shared" ref="A393" si="1257">A392</f>
        <v>N</v>
      </c>
      <c r="B393" s="526">
        <v>0</v>
      </c>
      <c r="C393" s="526"/>
      <c r="D393" s="527" t="s">
        <v>622</v>
      </c>
      <c r="E393" s="932"/>
      <c r="F393" s="895"/>
      <c r="G393" s="528"/>
      <c r="H393" s="549" t="s">
        <v>38</v>
      </c>
      <c r="I393" s="711">
        <v>0</v>
      </c>
      <c r="J393" s="897"/>
      <c r="K393" s="528"/>
      <c r="L393" s="549" t="s">
        <v>38</v>
      </c>
      <c r="M393" s="711">
        <f t="shared" si="1243"/>
        <v>0</v>
      </c>
      <c r="N393" s="897"/>
      <c r="O393" s="528"/>
      <c r="P393" s="547">
        <v>0</v>
      </c>
      <c r="Q393" s="547">
        <v>0</v>
      </c>
      <c r="R393" s="547">
        <v>0</v>
      </c>
      <c r="S393" s="547">
        <v>0</v>
      </c>
      <c r="T393" s="547">
        <v>0</v>
      </c>
      <c r="U393" s="547">
        <v>0</v>
      </c>
      <c r="V393" s="547">
        <v>0</v>
      </c>
      <c r="W393" s="528"/>
      <c r="X393" s="711">
        <f>SUMIFS(P393:V393,$P$8:$V$8,"&gt;="&amp;$P$8,$P$8:$V$8,"&lt;="&amp;$N$8)</f>
        <v>0</v>
      </c>
      <c r="Y393" s="897"/>
      <c r="Z393" s="528"/>
      <c r="AA393" s="899"/>
      <c r="AB393" s="899"/>
      <c r="AC393" s="899"/>
      <c r="AD393" s="901"/>
      <c r="AE393" s="2"/>
      <c r="AF393" s="885"/>
      <c r="AG393" s="885"/>
      <c r="AH393" s="885"/>
      <c r="AI393" s="885"/>
      <c r="AJ393" s="885"/>
      <c r="AK393" s="885"/>
      <c r="AL393" s="885"/>
      <c r="AM393" s="879"/>
      <c r="AN393" s="2"/>
      <c r="AO393" s="886"/>
      <c r="AP393" s="886"/>
      <c r="AV393" s="4" t="str">
        <f t="shared" si="1164"/>
        <v>Escavação 3ª categoria</v>
      </c>
      <c r="AW393" s="4" t="str">
        <f t="shared" ref="AW393:AW456" si="1258">IF(E393&lt;&gt;"",E393,AW392)</f>
        <v xml:space="preserve">   Perfuração / Desmonte de rocha / Limpeza (3ª categoria) - ETAPA 02</v>
      </c>
      <c r="AX393" s="4"/>
    </row>
    <row r="394" spans="1:50" ht="15" customHeight="1" outlineLevel="1">
      <c r="A394" s="525">
        <v>0</v>
      </c>
      <c r="B394" s="526">
        <v>0</v>
      </c>
      <c r="C394" s="526">
        <v>0</v>
      </c>
      <c r="D394" s="534"/>
      <c r="E394" s="535"/>
      <c r="F394" s="536"/>
      <c r="G394" s="537"/>
      <c r="H394" s="714"/>
      <c r="I394" s="555"/>
      <c r="J394" s="714"/>
      <c r="K394" s="537"/>
      <c r="L394" s="714"/>
      <c r="M394" s="555"/>
      <c r="N394" s="714"/>
      <c r="O394" s="537"/>
      <c r="P394" s="539"/>
      <c r="Q394" s="539"/>
      <c r="R394" s="539"/>
      <c r="S394" s="539"/>
      <c r="T394" s="539"/>
      <c r="U394" s="539"/>
      <c r="V394" s="539"/>
      <c r="W394" s="537"/>
      <c r="X394" s="540"/>
      <c r="Y394" s="537"/>
      <c r="Z394" s="537"/>
      <c r="AA394" s="249"/>
      <c r="AB394" s="249"/>
      <c r="AC394" s="249"/>
      <c r="AD394" s="537"/>
      <c r="AE394" s="3"/>
      <c r="AF394" s="35"/>
      <c r="AG394" s="35"/>
      <c r="AH394" s="125"/>
      <c r="AI394" s="35"/>
      <c r="AJ394" s="35"/>
      <c r="AK394" s="35"/>
      <c r="AL394" s="35"/>
      <c r="AM394" s="3"/>
      <c r="AN394" s="3"/>
      <c r="AO394" s="35"/>
      <c r="AP394" s="35"/>
      <c r="AV394" s="4" t="str">
        <f t="shared" ref="AV394:AV457" si="1259">IF(AX394="Y",LEFT(E394,20),IF(AX394="x",E394,AV393))</f>
        <v>Escavação 3ª categoria</v>
      </c>
      <c r="AW394" s="4" t="str">
        <f t="shared" si="1258"/>
        <v xml:space="preserve">   Perfuração / Desmonte de rocha / Limpeza (3ª categoria) - ETAPA 02</v>
      </c>
      <c r="AX394" s="4"/>
    </row>
    <row r="395" spans="1:50" ht="15" customHeight="1" outlineLevel="2">
      <c r="A395" s="525">
        <v>0</v>
      </c>
      <c r="B395" s="526"/>
      <c r="C395" s="556"/>
      <c r="D395" s="557"/>
      <c r="E395" s="933" t="s">
        <v>42</v>
      </c>
      <c r="F395" s="868" t="s">
        <v>36</v>
      </c>
      <c r="G395" s="528"/>
      <c r="H395" s="542" t="s">
        <v>37</v>
      </c>
      <c r="I395" s="543">
        <f>SUMIF($L401:$L402,$L395,I401:I402)</f>
        <v>0</v>
      </c>
      <c r="J395" s="860" t="str">
        <f>IFERROR((I396/I395),"-")</f>
        <v>-</v>
      </c>
      <c r="K395" s="528"/>
      <c r="L395" s="542" t="s">
        <v>37</v>
      </c>
      <c r="M395" s="543">
        <f>SUMIF($L401:$L402,$L395,M401:M402)</f>
        <v>0</v>
      </c>
      <c r="N395" s="860" t="str">
        <f>IFERROR((M396/M395),"-")</f>
        <v>-</v>
      </c>
      <c r="O395" s="528"/>
      <c r="P395" s="543">
        <f>SUMIF($L401:$L402,$L395,P401:P402)</f>
        <v>0</v>
      </c>
      <c r="Q395" s="543">
        <f t="shared" ref="Q395:U395" si="1260">SUMIF($L401:$L402,$L395,Q401:Q402)</f>
        <v>0</v>
      </c>
      <c r="R395" s="543">
        <f t="shared" si="1260"/>
        <v>0</v>
      </c>
      <c r="S395" s="543">
        <f>SUMIF($L401:$L402,$L395,S397:S402)</f>
        <v>700</v>
      </c>
      <c r="T395" s="543">
        <f t="shared" si="1260"/>
        <v>0</v>
      </c>
      <c r="U395" s="543">
        <f t="shared" si="1260"/>
        <v>0</v>
      </c>
      <c r="V395" s="543"/>
      <c r="W395" s="528"/>
      <c r="X395" s="543">
        <f t="shared" ref="X395:X402" si="1261">SUMIFS(P395:V395,$P$8:$V$8,"&gt;="&amp;$P$8,$P$8:$V$8,"&lt;="&amp;$N$8)</f>
        <v>0</v>
      </c>
      <c r="Y395" s="860" t="str">
        <f>IFERROR((X396/X395),"-")</f>
        <v>-</v>
      </c>
      <c r="Z395" s="528"/>
      <c r="AA395" s="814">
        <f>SUM(AA401:AA402)</f>
        <v>0</v>
      </c>
      <c r="AB395" s="814">
        <f>SUM(AB401:AB402)</f>
        <v>0</v>
      </c>
      <c r="AC395" s="814">
        <f>SUM(AC401:AC402)</f>
        <v>170</v>
      </c>
      <c r="AD395" s="911" t="str">
        <f t="shared" ref="AD395" si="1262">IFERROR((AC395/AB395),"-")</f>
        <v>-</v>
      </c>
      <c r="AE395" s="2"/>
      <c r="AF395" s="888">
        <f t="shared" ref="AF395:AL395" si="1263">SUM(AF401)</f>
        <v>0</v>
      </c>
      <c r="AG395" s="888">
        <f t="shared" si="1263"/>
        <v>0</v>
      </c>
      <c r="AH395" s="888">
        <f t="shared" si="1263"/>
        <v>1350</v>
      </c>
      <c r="AI395" s="888">
        <f t="shared" si="1263"/>
        <v>2783.029</v>
      </c>
      <c r="AJ395" s="888">
        <f t="shared" si="1263"/>
        <v>3759.5610000000001</v>
      </c>
      <c r="AK395" s="888">
        <f t="shared" si="1263"/>
        <v>8062.59</v>
      </c>
      <c r="AL395" s="888">
        <f t="shared" si="1263"/>
        <v>0</v>
      </c>
      <c r="AM395" s="743" t="str">
        <f>IFERROR((AK395/AL395),"-")</f>
        <v>-</v>
      </c>
      <c r="AN395" s="2"/>
      <c r="AO395" s="888">
        <f>SUM(AO401)</f>
        <v>0</v>
      </c>
      <c r="AP395" s="888">
        <f>SUM(AP401)</f>
        <v>-8062.59</v>
      </c>
      <c r="AV395" t="str">
        <f t="shared" si="1259"/>
        <v>Escavação 3ª categoria</v>
      </c>
      <c r="AW395" s="4" t="str">
        <f t="shared" si="1258"/>
        <v>Pacote 05 - Segmento 2.4 - Km 131+260 a  Km 138+000</v>
      </c>
    </row>
    <row r="396" spans="1:50" ht="15" customHeight="1" outlineLevel="2">
      <c r="A396" s="525">
        <v>0</v>
      </c>
      <c r="B396" s="526"/>
      <c r="C396" s="556"/>
      <c r="D396" s="558"/>
      <c r="E396" s="934"/>
      <c r="F396" s="869"/>
      <c r="G396" s="528"/>
      <c r="H396" s="544" t="s">
        <v>38</v>
      </c>
      <c r="I396" s="543">
        <f>SUMIF($L401:$L402,$L396,I401:I402)</f>
        <v>170</v>
      </c>
      <c r="J396" s="861"/>
      <c r="K396" s="528"/>
      <c r="L396" s="544" t="s">
        <v>38</v>
      </c>
      <c r="M396" s="543">
        <f>SUMIF($L401:$L402,$L396,M401:M402)</f>
        <v>0</v>
      </c>
      <c r="N396" s="861"/>
      <c r="O396" s="528"/>
      <c r="P396" s="543">
        <f>SUMIF($L401:$L402,$L396,P401:P402)</f>
        <v>0</v>
      </c>
      <c r="Q396" s="543">
        <f t="shared" ref="Q396:U396" si="1264">SUMIF($L401:$L402,$L396,Q401:Q402)</f>
        <v>0</v>
      </c>
      <c r="R396" s="543">
        <f t="shared" ref="R396:S396" si="1265">SUMIF($L397:$L408,$L396,R397:R408)</f>
        <v>0</v>
      </c>
      <c r="S396" s="543">
        <f t="shared" si="1265"/>
        <v>0</v>
      </c>
      <c r="T396" s="543">
        <f t="shared" si="1264"/>
        <v>0</v>
      </c>
      <c r="U396" s="543">
        <f t="shared" si="1264"/>
        <v>0</v>
      </c>
      <c r="V396" s="543"/>
      <c r="W396" s="528"/>
      <c r="X396" s="543">
        <f t="shared" si="1261"/>
        <v>0</v>
      </c>
      <c r="Y396" s="861"/>
      <c r="Z396" s="528"/>
      <c r="AA396" s="815"/>
      <c r="AB396" s="815"/>
      <c r="AC396" s="815"/>
      <c r="AD396" s="912"/>
      <c r="AE396" s="2"/>
      <c r="AF396" s="889"/>
      <c r="AG396" s="889"/>
      <c r="AH396" s="889"/>
      <c r="AI396" s="889"/>
      <c r="AJ396" s="889"/>
      <c r="AK396" s="889"/>
      <c r="AL396" s="889"/>
      <c r="AM396" s="744"/>
      <c r="AN396" s="2"/>
      <c r="AO396" s="888"/>
      <c r="AP396" s="888"/>
      <c r="AV396" s="4" t="str">
        <f t="shared" si="1259"/>
        <v>Escavação 3ª categoria</v>
      </c>
      <c r="AW396" s="4" t="str">
        <f t="shared" si="1258"/>
        <v>Pacote 05 - Segmento 2.4 - Km 131+260 a  Km 138+000</v>
      </c>
      <c r="AX396" s="4"/>
    </row>
    <row r="397" spans="1:50" ht="22.9" customHeight="1" outlineLevel="2">
      <c r="A397" s="525" t="str">
        <f t="shared" ref="A397" si="1266">IF(SUM(P397:V398)&gt;0,"S","N")</f>
        <v>S</v>
      </c>
      <c r="B397" s="526">
        <v>1065375</v>
      </c>
      <c r="C397" s="526" t="s">
        <v>625</v>
      </c>
      <c r="D397" s="527" t="s">
        <v>385</v>
      </c>
      <c r="E397" s="892" t="s">
        <v>626</v>
      </c>
      <c r="F397" s="902" t="s">
        <v>36</v>
      </c>
      <c r="G397" s="528"/>
      <c r="H397" s="546" t="s">
        <v>37</v>
      </c>
      <c r="I397" s="711">
        <v>0</v>
      </c>
      <c r="J397" s="896" t="str">
        <f>IFERROR((I398/I397),"-")</f>
        <v>-</v>
      </c>
      <c r="K397" s="528"/>
      <c r="L397" s="546" t="s">
        <v>37</v>
      </c>
      <c r="M397" s="711">
        <f t="shared" ref="M397:M402" si="1267">_xlfn.XLOOKUP($N$8,$P$8:$V$8,$P397:$V397)</f>
        <v>0</v>
      </c>
      <c r="N397" s="896" t="str">
        <f>IFERROR((M398/M397),"-")</f>
        <v>-</v>
      </c>
      <c r="O397" s="528"/>
      <c r="P397" s="547">
        <v>0</v>
      </c>
      <c r="Q397" s="547">
        <v>0</v>
      </c>
      <c r="R397" s="547">
        <v>700</v>
      </c>
      <c r="S397" s="547">
        <v>700</v>
      </c>
      <c r="T397" s="547">
        <v>600</v>
      </c>
      <c r="U397" s="547">
        <v>600</v>
      </c>
      <c r="V397" s="548">
        <v>0</v>
      </c>
      <c r="W397" s="528"/>
      <c r="X397" s="711">
        <f t="shared" si="1261"/>
        <v>0</v>
      </c>
      <c r="Y397" s="896" t="str">
        <f t="shared" ref="Y397" si="1268">IFERROR((X398/X397),"0")</f>
        <v>0</v>
      </c>
      <c r="Z397" s="528"/>
      <c r="AA397" s="898">
        <v>0</v>
      </c>
      <c r="AB397" s="898">
        <v>0</v>
      </c>
      <c r="AC397" s="898">
        <v>0</v>
      </c>
      <c r="AD397" s="900" t="str">
        <f t="shared" ref="AD397" si="1269">IFERROR((AC397/AB397),"-")</f>
        <v>-</v>
      </c>
      <c r="AE397" s="2"/>
      <c r="AF397" s="884">
        <v>0</v>
      </c>
      <c r="AG397" s="884"/>
      <c r="AH397" s="884">
        <v>1287</v>
      </c>
      <c r="AI397" s="884">
        <v>2783.029</v>
      </c>
      <c r="AJ397" s="884">
        <v>3759.5610000000001</v>
      </c>
      <c r="AK397" s="884">
        <f t="shared" ref="AK397" si="1270">AF397+AG397+AH397+AI397+AJ397+AC397</f>
        <v>7829.59</v>
      </c>
      <c r="AL397" s="884">
        <v>11591.660000000003</v>
      </c>
      <c r="AM397" s="878">
        <f>IFERROR((AK397/AL397),"-")</f>
        <v>0.67545028063279955</v>
      </c>
      <c r="AN397" s="2"/>
      <c r="AO397" s="884">
        <v>9367.15</v>
      </c>
      <c r="AP397" s="884">
        <f t="shared" ref="AP397" si="1271">AO397-AK397</f>
        <v>1537.5599999999995</v>
      </c>
      <c r="AV397" s="4" t="str">
        <f t="shared" si="1259"/>
        <v>Escavação 3ª categoria</v>
      </c>
      <c r="AW397" s="4" t="str">
        <f t="shared" si="1258"/>
        <v xml:space="preserve">   Escavação, carga e transporte de material 3ª categoria - Seg.2.4 C 05</v>
      </c>
      <c r="AX397" s="4"/>
    </row>
    <row r="398" spans="1:50" ht="22.9" customHeight="1" outlineLevel="2">
      <c r="A398" s="525" t="str">
        <f t="shared" ref="A398" si="1272">A397</f>
        <v>S</v>
      </c>
      <c r="B398" s="526"/>
      <c r="C398" s="526"/>
      <c r="D398" s="527" t="s">
        <v>385</v>
      </c>
      <c r="E398" s="893"/>
      <c r="F398" s="902"/>
      <c r="G398" s="528"/>
      <c r="H398" s="549" t="s">
        <v>38</v>
      </c>
      <c r="I398" s="711">
        <v>0</v>
      </c>
      <c r="J398" s="897"/>
      <c r="K398" s="528"/>
      <c r="L398" s="549" t="s">
        <v>38</v>
      </c>
      <c r="M398" s="711">
        <f t="shared" si="1267"/>
        <v>0</v>
      </c>
      <c r="N398" s="897"/>
      <c r="O398" s="528"/>
      <c r="P398" s="547">
        <v>0</v>
      </c>
      <c r="Q398" s="547">
        <v>0</v>
      </c>
      <c r="R398" s="547">
        <v>0</v>
      </c>
      <c r="S398" s="547">
        <v>0</v>
      </c>
      <c r="T398" s="547">
        <v>0</v>
      </c>
      <c r="U398" s="547">
        <v>0</v>
      </c>
      <c r="V398" s="547">
        <v>0</v>
      </c>
      <c r="W398" s="528"/>
      <c r="X398" s="711">
        <f t="shared" si="1261"/>
        <v>0</v>
      </c>
      <c r="Y398" s="897"/>
      <c r="Z398" s="528"/>
      <c r="AA398" s="899"/>
      <c r="AB398" s="899"/>
      <c r="AC398" s="899"/>
      <c r="AD398" s="901"/>
      <c r="AE398" s="2"/>
      <c r="AF398" s="885"/>
      <c r="AG398" s="885"/>
      <c r="AH398" s="885"/>
      <c r="AI398" s="885"/>
      <c r="AJ398" s="885"/>
      <c r="AK398" s="885"/>
      <c r="AL398" s="885"/>
      <c r="AM398" s="879"/>
      <c r="AN398" s="2"/>
      <c r="AO398" s="886"/>
      <c r="AP398" s="886"/>
      <c r="AV398" t="str">
        <f t="shared" si="1259"/>
        <v>Escavação 3ª categoria</v>
      </c>
      <c r="AW398" s="4" t="str">
        <f t="shared" si="1258"/>
        <v xml:space="preserve">   Escavação, carga e transporte de material 3ª categoria - Seg.2.4 C 05</v>
      </c>
    </row>
    <row r="399" spans="1:50" ht="15" customHeight="1" outlineLevel="2">
      <c r="A399" s="525" t="str">
        <f t="shared" ref="A399" si="1273">IF(SUM(P399:V400)&gt;0,"S","N")</f>
        <v>N</v>
      </c>
      <c r="B399" s="526" t="s">
        <v>627</v>
      </c>
      <c r="C399" s="526" t="s">
        <v>627</v>
      </c>
      <c r="D399" s="527" t="s">
        <v>411</v>
      </c>
      <c r="E399" s="892" t="s">
        <v>628</v>
      </c>
      <c r="F399" s="902" t="s">
        <v>36</v>
      </c>
      <c r="G399" s="528"/>
      <c r="H399" s="546" t="s">
        <v>37</v>
      </c>
      <c r="I399" s="711">
        <v>0</v>
      </c>
      <c r="J399" s="896" t="str">
        <f>IFERROR((I400/I399),"-")</f>
        <v>-</v>
      </c>
      <c r="K399" s="528"/>
      <c r="L399" s="546" t="s">
        <v>37</v>
      </c>
      <c r="M399" s="711">
        <f t="shared" si="1267"/>
        <v>0</v>
      </c>
      <c r="N399" s="896" t="str">
        <f>IFERROR((M400/M399),"-")</f>
        <v>-</v>
      </c>
      <c r="O399" s="528"/>
      <c r="P399" s="547">
        <v>0</v>
      </c>
      <c r="Q399" s="547">
        <v>0</v>
      </c>
      <c r="R399" s="547">
        <v>0</v>
      </c>
      <c r="S399" s="547">
        <v>0</v>
      </c>
      <c r="T399" s="547">
        <v>0</v>
      </c>
      <c r="U399" s="547">
        <v>0</v>
      </c>
      <c r="V399" s="548">
        <v>0</v>
      </c>
      <c r="W399" s="528"/>
      <c r="X399" s="711">
        <f t="shared" si="1261"/>
        <v>0</v>
      </c>
      <c r="Y399" s="896" t="str">
        <f t="shared" ref="Y399" si="1274">IFERROR((X400/X399),"0")</f>
        <v>0</v>
      </c>
      <c r="Z399" s="528"/>
      <c r="AA399" s="898">
        <v>0</v>
      </c>
      <c r="AB399" s="898">
        <v>0</v>
      </c>
      <c r="AC399" s="898">
        <v>20</v>
      </c>
      <c r="AD399" s="900" t="str">
        <f t="shared" ref="AD399" si="1275">IFERROR((AC399/AB399),"-")</f>
        <v>-</v>
      </c>
      <c r="AE399" s="2"/>
      <c r="AF399" s="884">
        <v>0</v>
      </c>
      <c r="AG399" s="884"/>
      <c r="AH399" s="884">
        <v>890</v>
      </c>
      <c r="AI399" s="884">
        <v>2783.029</v>
      </c>
      <c r="AJ399" s="884">
        <v>3759.5610000000001</v>
      </c>
      <c r="AK399" s="884">
        <f t="shared" ref="AK399" si="1276">AF399+AG399+AH399+AI399+AJ399+AC399</f>
        <v>7452.59</v>
      </c>
      <c r="AL399" s="884">
        <v>0</v>
      </c>
      <c r="AM399" s="878" t="str">
        <f>IFERROR((AK399/AL399),"-")</f>
        <v>-</v>
      </c>
      <c r="AN399" s="2"/>
      <c r="AO399" s="884">
        <v>0</v>
      </c>
      <c r="AP399" s="884">
        <f t="shared" ref="AP399" si="1277">AO399-AK399</f>
        <v>-7452.59</v>
      </c>
      <c r="AV399" t="str">
        <f t="shared" si="1259"/>
        <v>Escavação 3ª categoria</v>
      </c>
      <c r="AW399" s="4" t="str">
        <f t="shared" si="1258"/>
        <v xml:space="preserve">   Escavação, carga e transporte de material 3ª categoria - Aterro 01</v>
      </c>
    </row>
    <row r="400" spans="1:50" ht="15" customHeight="1" outlineLevel="2">
      <c r="A400" s="525" t="str">
        <f t="shared" ref="A400" si="1278">A399</f>
        <v>N</v>
      </c>
      <c r="B400" s="526"/>
      <c r="C400" s="526"/>
      <c r="D400" s="527" t="s">
        <v>411</v>
      </c>
      <c r="E400" s="893"/>
      <c r="F400" s="902"/>
      <c r="G400" s="528"/>
      <c r="H400" s="549" t="s">
        <v>38</v>
      </c>
      <c r="I400" s="711">
        <v>20</v>
      </c>
      <c r="J400" s="897"/>
      <c r="K400" s="528"/>
      <c r="L400" s="549" t="s">
        <v>38</v>
      </c>
      <c r="M400" s="711">
        <f t="shared" si="1267"/>
        <v>0</v>
      </c>
      <c r="N400" s="897"/>
      <c r="O400" s="528"/>
      <c r="P400" s="547">
        <v>0</v>
      </c>
      <c r="Q400" s="547">
        <v>0</v>
      </c>
      <c r="R400" s="547">
        <v>0</v>
      </c>
      <c r="S400" s="547">
        <v>0</v>
      </c>
      <c r="T400" s="547">
        <v>0</v>
      </c>
      <c r="U400" s="547">
        <v>0</v>
      </c>
      <c r="V400" s="547">
        <v>0</v>
      </c>
      <c r="W400" s="528"/>
      <c r="X400" s="711">
        <f t="shared" si="1261"/>
        <v>0</v>
      </c>
      <c r="Y400" s="897"/>
      <c r="Z400" s="528"/>
      <c r="AA400" s="899"/>
      <c r="AB400" s="899"/>
      <c r="AC400" s="899"/>
      <c r="AD400" s="901"/>
      <c r="AE400" s="2"/>
      <c r="AF400" s="885"/>
      <c r="AG400" s="885"/>
      <c r="AH400" s="885"/>
      <c r="AI400" s="885"/>
      <c r="AJ400" s="885"/>
      <c r="AK400" s="885"/>
      <c r="AL400" s="885"/>
      <c r="AM400" s="879"/>
      <c r="AN400" s="2"/>
      <c r="AO400" s="886"/>
      <c r="AP400" s="886"/>
      <c r="AV400" t="str">
        <f t="shared" si="1259"/>
        <v>Escavação 3ª categoria</v>
      </c>
      <c r="AW400" s="4" t="str">
        <f t="shared" si="1258"/>
        <v xml:space="preserve">   Escavação, carga e transporte de material 3ª categoria - Aterro 01</v>
      </c>
    </row>
    <row r="401" spans="1:51" ht="21.95" customHeight="1" outlineLevel="1">
      <c r="A401" s="525" t="str">
        <f t="shared" ref="A401" si="1279">IF(SUM(P401:V402)&gt;0,"S","N")</f>
        <v>N</v>
      </c>
      <c r="B401" s="526" t="s">
        <v>627</v>
      </c>
      <c r="C401" s="526" t="s">
        <v>627</v>
      </c>
      <c r="D401" s="527" t="s">
        <v>629</v>
      </c>
      <c r="E401" s="892" t="s">
        <v>628</v>
      </c>
      <c r="F401" s="902" t="s">
        <v>36</v>
      </c>
      <c r="G401" s="528"/>
      <c r="H401" s="546" t="s">
        <v>37</v>
      </c>
      <c r="I401" s="711">
        <v>0</v>
      </c>
      <c r="J401" s="896" t="str">
        <f>IFERROR((I402/I401),"-")</f>
        <v>-</v>
      </c>
      <c r="K401" s="528"/>
      <c r="L401" s="546" t="s">
        <v>37</v>
      </c>
      <c r="M401" s="711">
        <f t="shared" si="1267"/>
        <v>0</v>
      </c>
      <c r="N401" s="896" t="str">
        <f>IFERROR((M402/M401),"-")</f>
        <v>-</v>
      </c>
      <c r="O401" s="528"/>
      <c r="P401" s="547">
        <v>0</v>
      </c>
      <c r="Q401" s="547">
        <v>0</v>
      </c>
      <c r="R401" s="547">
        <v>0</v>
      </c>
      <c r="S401" s="547">
        <v>0</v>
      </c>
      <c r="T401" s="547">
        <v>0</v>
      </c>
      <c r="U401" s="547">
        <v>0</v>
      </c>
      <c r="V401" s="548">
        <v>0</v>
      </c>
      <c r="W401" s="528"/>
      <c r="X401" s="711">
        <f t="shared" si="1261"/>
        <v>0</v>
      </c>
      <c r="Y401" s="896" t="str">
        <f t="shared" ref="Y401" si="1280">IFERROR((X402/X401),"0")</f>
        <v>0</v>
      </c>
      <c r="Z401" s="528"/>
      <c r="AA401" s="898">
        <v>0</v>
      </c>
      <c r="AB401" s="898">
        <v>0</v>
      </c>
      <c r="AC401" s="898">
        <v>170</v>
      </c>
      <c r="AD401" s="900" t="str">
        <f t="shared" ref="AD401" si="1281">IFERROR((AC401/AB401),"-")</f>
        <v>-</v>
      </c>
      <c r="AE401" s="2"/>
      <c r="AF401" s="884">
        <v>0</v>
      </c>
      <c r="AG401" s="884"/>
      <c r="AH401" s="884">
        <v>1350</v>
      </c>
      <c r="AI401" s="884">
        <v>2783.029</v>
      </c>
      <c r="AJ401" s="884">
        <v>3759.5610000000001</v>
      </c>
      <c r="AK401" s="884">
        <f t="shared" ref="AK401" si="1282">AF401+AG401+AH401+AI401+AJ401+AC401</f>
        <v>8062.59</v>
      </c>
      <c r="AL401" s="884">
        <v>0</v>
      </c>
      <c r="AM401" s="878" t="str">
        <f>IFERROR((AK401/AL401),"-")</f>
        <v>-</v>
      </c>
      <c r="AN401" s="2"/>
      <c r="AO401" s="884">
        <v>0</v>
      </c>
      <c r="AP401" s="884">
        <f t="shared" ref="AP401" si="1283">AO401-AK401</f>
        <v>-8062.59</v>
      </c>
      <c r="AV401" s="4" t="str">
        <f t="shared" si="1259"/>
        <v>Escavação 3ª categoria</v>
      </c>
      <c r="AW401" s="4" t="str">
        <f t="shared" si="1258"/>
        <v xml:space="preserve">   Escavação, carga e transporte de material 3ª categoria - Aterro 01</v>
      </c>
      <c r="AX401" s="4"/>
    </row>
    <row r="402" spans="1:51" ht="21.95" customHeight="1" outlineLevel="1">
      <c r="A402" s="525" t="str">
        <f t="shared" ref="A402" si="1284">A401</f>
        <v>N</v>
      </c>
      <c r="B402" s="526"/>
      <c r="C402" s="526"/>
      <c r="D402" s="527" t="s">
        <v>629</v>
      </c>
      <c r="E402" s="893"/>
      <c r="F402" s="902"/>
      <c r="G402" s="528"/>
      <c r="H402" s="549" t="s">
        <v>38</v>
      </c>
      <c r="I402" s="711">
        <v>170</v>
      </c>
      <c r="J402" s="897"/>
      <c r="K402" s="528"/>
      <c r="L402" s="549" t="s">
        <v>38</v>
      </c>
      <c r="M402" s="711">
        <f t="shared" si="1267"/>
        <v>0</v>
      </c>
      <c r="N402" s="897"/>
      <c r="O402" s="528"/>
      <c r="P402" s="547">
        <v>0</v>
      </c>
      <c r="Q402" s="547">
        <v>0</v>
      </c>
      <c r="R402" s="547">
        <v>0</v>
      </c>
      <c r="S402" s="547">
        <v>0</v>
      </c>
      <c r="T402" s="547">
        <v>0</v>
      </c>
      <c r="U402" s="547">
        <v>0</v>
      </c>
      <c r="V402" s="547">
        <v>0</v>
      </c>
      <c r="W402" s="528"/>
      <c r="X402" s="711">
        <f t="shared" si="1261"/>
        <v>0</v>
      </c>
      <c r="Y402" s="897"/>
      <c r="Z402" s="528"/>
      <c r="AA402" s="899"/>
      <c r="AB402" s="899"/>
      <c r="AC402" s="899"/>
      <c r="AD402" s="901"/>
      <c r="AE402" s="2"/>
      <c r="AF402" s="885"/>
      <c r="AG402" s="885"/>
      <c r="AH402" s="885"/>
      <c r="AI402" s="885"/>
      <c r="AJ402" s="885"/>
      <c r="AK402" s="885"/>
      <c r="AL402" s="885"/>
      <c r="AM402" s="879"/>
      <c r="AN402" s="2"/>
      <c r="AO402" s="886"/>
      <c r="AP402" s="886"/>
      <c r="AV402" t="str">
        <f t="shared" si="1259"/>
        <v>Escavação 3ª categoria</v>
      </c>
      <c r="AW402" s="4" t="str">
        <f t="shared" si="1258"/>
        <v xml:space="preserve">   Escavação, carga e transporte de material 3ª categoria - Aterro 01</v>
      </c>
    </row>
    <row r="403" spans="1:51" ht="15" customHeight="1" outlineLevel="1">
      <c r="A403" s="525">
        <v>0</v>
      </c>
      <c r="B403" s="526"/>
      <c r="C403" s="533"/>
      <c r="D403" s="534"/>
      <c r="E403" s="535"/>
      <c r="F403" s="536"/>
      <c r="G403" s="537"/>
      <c r="H403" s="714"/>
      <c r="I403" s="555"/>
      <c r="J403" s="714"/>
      <c r="K403" s="537"/>
      <c r="L403" s="714"/>
      <c r="M403" s="555"/>
      <c r="N403" s="714"/>
      <c r="O403" s="537"/>
      <c r="P403" s="539"/>
      <c r="Q403" s="539"/>
      <c r="R403" s="539"/>
      <c r="S403" s="539"/>
      <c r="T403" s="539"/>
      <c r="U403" s="539"/>
      <c r="V403" s="539"/>
      <c r="W403" s="537"/>
      <c r="X403" s="540"/>
      <c r="Y403" s="537"/>
      <c r="Z403" s="537"/>
      <c r="AA403" s="249"/>
      <c r="AB403" s="249"/>
      <c r="AC403" s="249"/>
      <c r="AD403" s="537"/>
      <c r="AE403" s="3"/>
      <c r="AF403" s="35"/>
      <c r="AG403" s="35"/>
      <c r="AH403" s="35"/>
      <c r="AI403" s="35"/>
      <c r="AJ403" s="35"/>
      <c r="AK403" s="35"/>
      <c r="AL403" s="35"/>
      <c r="AM403" s="3"/>
      <c r="AN403" s="3"/>
      <c r="AO403" s="35"/>
      <c r="AP403" s="35"/>
      <c r="AV403" t="str">
        <f t="shared" si="1259"/>
        <v>Escavação 3ª categoria</v>
      </c>
      <c r="AW403" s="4" t="str">
        <f t="shared" si="1258"/>
        <v xml:space="preserve">   Escavação, carga e transporte de material 3ª categoria - Aterro 01</v>
      </c>
    </row>
    <row r="404" spans="1:51" ht="15" customHeight="1" outlineLevel="3">
      <c r="A404" s="525">
        <v>0</v>
      </c>
      <c r="B404" s="526"/>
      <c r="C404" s="556"/>
      <c r="D404" s="557"/>
      <c r="E404" s="933" t="s">
        <v>44</v>
      </c>
      <c r="F404" s="868" t="s">
        <v>36</v>
      </c>
      <c r="G404" s="528"/>
      <c r="H404" s="542" t="s">
        <v>37</v>
      </c>
      <c r="I404" s="543">
        <f>SUMIF($L406:$L407,$L404,I406:I407)</f>
        <v>0</v>
      </c>
      <c r="J404" s="860" t="str">
        <f>IFERROR((I405/I404),"-")</f>
        <v>-</v>
      </c>
      <c r="K404" s="528"/>
      <c r="L404" s="542" t="s">
        <v>37</v>
      </c>
      <c r="M404" s="543">
        <f>SUMIF($L406:$L407,$L404,M406:M407)</f>
        <v>700</v>
      </c>
      <c r="N404" s="860">
        <f>IFERROR((M405/M404),"-")</f>
        <v>0</v>
      </c>
      <c r="O404" s="528"/>
      <c r="P404" s="543">
        <f>SUMIF($L406:$L407,$L404,P406:P407)</f>
        <v>700</v>
      </c>
      <c r="Q404" s="543">
        <f t="shared" ref="Q404:U404" si="1285">SUMIF($L406:$L407,$L404,Q406:Q407)</f>
        <v>700</v>
      </c>
      <c r="R404" s="543">
        <f t="shared" si="1285"/>
        <v>700</v>
      </c>
      <c r="S404" s="543">
        <f t="shared" si="1285"/>
        <v>700</v>
      </c>
      <c r="T404" s="543">
        <f t="shared" si="1285"/>
        <v>600</v>
      </c>
      <c r="U404" s="543">
        <f t="shared" si="1285"/>
        <v>600</v>
      </c>
      <c r="V404" s="543"/>
      <c r="W404" s="528"/>
      <c r="X404" s="543">
        <f t="shared" ref="X404:X407" si="1286">SUMIFS(P404:V404,$P$8:$V$8,"&gt;="&amp;$P$8,$P$8:$V$8,"&lt;="&amp;$N$8)</f>
        <v>1400</v>
      </c>
      <c r="Y404" s="860">
        <f>IFERROR((X405/X404),"-")</f>
        <v>0</v>
      </c>
      <c r="Z404" s="528"/>
      <c r="AA404" s="814">
        <f>SUM(AA406:AA407)</f>
        <v>0</v>
      </c>
      <c r="AB404" s="814">
        <f>SUM(AB406:AB407)</f>
        <v>0</v>
      </c>
      <c r="AC404" s="814">
        <f>SUM(AC406:AC407)</f>
        <v>0</v>
      </c>
      <c r="AD404" s="911" t="str">
        <f t="shared" ref="AD404" si="1287">IFERROR((AC404/AB404),"-")</f>
        <v>-</v>
      </c>
      <c r="AE404" s="2"/>
      <c r="AF404" s="888">
        <f t="shared" ref="AF404:AL404" si="1288">SUM(AF406)</f>
        <v>0</v>
      </c>
      <c r="AG404" s="888">
        <f t="shared" si="1288"/>
        <v>0</v>
      </c>
      <c r="AH404" s="888">
        <f t="shared" si="1288"/>
        <v>0</v>
      </c>
      <c r="AI404" s="888">
        <f t="shared" si="1288"/>
        <v>0</v>
      </c>
      <c r="AJ404" s="888">
        <f t="shared" si="1288"/>
        <v>0</v>
      </c>
      <c r="AK404" s="888">
        <f t="shared" si="1288"/>
        <v>0</v>
      </c>
      <c r="AL404" s="888">
        <f t="shared" si="1288"/>
        <v>0</v>
      </c>
      <c r="AM404" s="743" t="str">
        <f>IFERROR((AK404/AL404),"-")</f>
        <v>-</v>
      </c>
      <c r="AN404" s="2"/>
      <c r="AO404" s="888">
        <f>SUM(AO406)</f>
        <v>0</v>
      </c>
      <c r="AP404" s="888">
        <f>SUM(AP406)</f>
        <v>0</v>
      </c>
      <c r="AV404" t="str">
        <f t="shared" si="1259"/>
        <v>Escavação 3ª categoria</v>
      </c>
      <c r="AW404" s="4" t="str">
        <f t="shared" si="1258"/>
        <v>Pacote 05 - Segmento 2.5 - 138+160 a 153+420</v>
      </c>
    </row>
    <row r="405" spans="1:51" ht="15" customHeight="1" outlineLevel="3">
      <c r="A405" s="525">
        <v>0</v>
      </c>
      <c r="B405" s="526"/>
      <c r="C405" s="556"/>
      <c r="D405" s="558"/>
      <c r="E405" s="934"/>
      <c r="F405" s="869"/>
      <c r="G405" s="528"/>
      <c r="H405" s="544" t="s">
        <v>38</v>
      </c>
      <c r="I405" s="543">
        <f>SUMIF($L406:$L407,$L405,I406:I407)</f>
        <v>0</v>
      </c>
      <c r="J405" s="861"/>
      <c r="K405" s="528"/>
      <c r="L405" s="544" t="s">
        <v>38</v>
      </c>
      <c r="M405" s="543">
        <f>SUMIF($L406:$L407,$L405,M406:M407)</f>
        <v>0</v>
      </c>
      <c r="N405" s="861"/>
      <c r="O405" s="528"/>
      <c r="P405" s="543">
        <f>SUMIF($L406:$L407,$L405,P406:P407)</f>
        <v>0</v>
      </c>
      <c r="Q405" s="543">
        <f t="shared" ref="Q405:U405" si="1289">SUMIF($L406:$L407,$L405,Q406:Q407)</f>
        <v>0</v>
      </c>
      <c r="R405" s="543">
        <f t="shared" si="1289"/>
        <v>0</v>
      </c>
      <c r="S405" s="543">
        <f t="shared" si="1289"/>
        <v>0</v>
      </c>
      <c r="T405" s="543">
        <f t="shared" si="1289"/>
        <v>0</v>
      </c>
      <c r="U405" s="543">
        <f t="shared" si="1289"/>
        <v>0</v>
      </c>
      <c r="V405" s="543"/>
      <c r="W405" s="528"/>
      <c r="X405" s="543">
        <f t="shared" si="1286"/>
        <v>0</v>
      </c>
      <c r="Y405" s="861"/>
      <c r="Z405" s="528"/>
      <c r="AA405" s="815"/>
      <c r="AB405" s="815"/>
      <c r="AC405" s="815"/>
      <c r="AD405" s="912"/>
      <c r="AE405" s="2"/>
      <c r="AF405" s="889"/>
      <c r="AG405" s="889"/>
      <c r="AH405" s="889"/>
      <c r="AI405" s="889"/>
      <c r="AJ405" s="889"/>
      <c r="AK405" s="889"/>
      <c r="AL405" s="889"/>
      <c r="AM405" s="744"/>
      <c r="AN405" s="2"/>
      <c r="AO405" s="888"/>
      <c r="AP405" s="888"/>
      <c r="AV405" s="4" t="str">
        <f t="shared" si="1259"/>
        <v>Escavação 3ª categoria</v>
      </c>
      <c r="AW405" s="4" t="str">
        <f t="shared" si="1258"/>
        <v>Pacote 05 - Segmento 2.5 - 138+160 a 153+420</v>
      </c>
      <c r="AX405" s="4"/>
      <c r="AY405" s="4"/>
    </row>
    <row r="406" spans="1:51" ht="15" customHeight="1">
      <c r="A406" s="525" t="str">
        <f t="shared" ref="A406" si="1290">IF(SUM(P406:V407)&gt;0,"S","N")</f>
        <v>S</v>
      </c>
      <c r="B406" s="526">
        <v>0</v>
      </c>
      <c r="C406" s="526">
        <v>0</v>
      </c>
      <c r="D406" s="527" t="s">
        <v>463</v>
      </c>
      <c r="E406" s="892" t="s">
        <v>630</v>
      </c>
      <c r="F406" s="902" t="s">
        <v>36</v>
      </c>
      <c r="G406" s="528"/>
      <c r="H406" s="546" t="s">
        <v>37</v>
      </c>
      <c r="I406" s="711">
        <v>0</v>
      </c>
      <c r="J406" s="896" t="str">
        <f>IFERROR((I407/I406),"-")</f>
        <v>-</v>
      </c>
      <c r="K406" s="528"/>
      <c r="L406" s="546" t="s">
        <v>37</v>
      </c>
      <c r="M406" s="711">
        <f t="shared" ref="M406:M407" si="1291">_xlfn.XLOOKUP($N$8,$P$8:$V$8,$P406:$V406)</f>
        <v>700</v>
      </c>
      <c r="N406" s="896">
        <f>IFERROR((M407/M406),"-")</f>
        <v>0</v>
      </c>
      <c r="O406" s="528"/>
      <c r="P406" s="547">
        <v>700</v>
      </c>
      <c r="Q406" s="547">
        <v>700</v>
      </c>
      <c r="R406" s="547">
        <v>700</v>
      </c>
      <c r="S406" s="547">
        <v>700</v>
      </c>
      <c r="T406" s="547">
        <v>600</v>
      </c>
      <c r="U406" s="547">
        <v>600</v>
      </c>
      <c r="V406" s="548">
        <v>0</v>
      </c>
      <c r="W406" s="528"/>
      <c r="X406" s="711">
        <f t="shared" si="1286"/>
        <v>1400</v>
      </c>
      <c r="Y406" s="896">
        <f t="shared" ref="Y406" si="1292">IFERROR((X407/X406),"0")</f>
        <v>0</v>
      </c>
      <c r="Z406" s="528"/>
      <c r="AA406" s="898">
        <v>0</v>
      </c>
      <c r="AB406" s="898">
        <v>0</v>
      </c>
      <c r="AC406" s="898">
        <v>0</v>
      </c>
      <c r="AD406" s="900" t="str">
        <f t="shared" ref="AD406" si="1293">IFERROR((AC406/AB406),"-")</f>
        <v>-</v>
      </c>
      <c r="AE406" s="2"/>
      <c r="AF406" s="884">
        <v>0</v>
      </c>
      <c r="AG406" s="884"/>
      <c r="AH406" s="884">
        <v>0</v>
      </c>
      <c r="AI406" s="884"/>
      <c r="AJ406" s="884"/>
      <c r="AK406" s="884">
        <f t="shared" ref="AK406" si="1294">AF406+AG406+AH406+AI406+AJ406+AC406</f>
        <v>0</v>
      </c>
      <c r="AL406" s="884"/>
      <c r="AM406" s="878" t="str">
        <f>IFERROR((AK406/AL406),"-")</f>
        <v>-</v>
      </c>
      <c r="AN406" s="2"/>
      <c r="AO406" s="884"/>
      <c r="AP406" s="884">
        <f t="shared" ref="AP406" si="1295">AO406-AK406</f>
        <v>0</v>
      </c>
      <c r="AV406" s="4" t="str">
        <f t="shared" si="1259"/>
        <v>Escavação 3ª categoria</v>
      </c>
      <c r="AW406" s="4" t="str">
        <f t="shared" si="1258"/>
        <v xml:space="preserve">   Escavação, carga e transporte de material 3ª categoria - Seg.2.5 C 01</v>
      </c>
      <c r="AX406" s="4"/>
      <c r="AY406" s="4"/>
    </row>
    <row r="407" spans="1:51" ht="32.1" customHeight="1">
      <c r="A407" s="525" t="str">
        <f t="shared" ref="A407" si="1296">A406</f>
        <v>S</v>
      </c>
      <c r="B407" s="526">
        <v>0</v>
      </c>
      <c r="C407" s="526">
        <v>0</v>
      </c>
      <c r="D407" s="527" t="s">
        <v>463</v>
      </c>
      <c r="E407" s="893"/>
      <c r="F407" s="902"/>
      <c r="G407" s="528"/>
      <c r="H407" s="549" t="s">
        <v>38</v>
      </c>
      <c r="I407" s="711">
        <v>0</v>
      </c>
      <c r="J407" s="897"/>
      <c r="K407" s="528"/>
      <c r="L407" s="549" t="s">
        <v>38</v>
      </c>
      <c r="M407" s="711">
        <f t="shared" si="1291"/>
        <v>0</v>
      </c>
      <c r="N407" s="897"/>
      <c r="O407" s="528"/>
      <c r="P407" s="547">
        <v>0</v>
      </c>
      <c r="Q407" s="547">
        <v>0</v>
      </c>
      <c r="R407" s="547">
        <v>0</v>
      </c>
      <c r="S407" s="547">
        <v>0</v>
      </c>
      <c r="T407" s="547">
        <v>0</v>
      </c>
      <c r="U407" s="547">
        <v>0</v>
      </c>
      <c r="V407" s="547">
        <v>0</v>
      </c>
      <c r="W407" s="528"/>
      <c r="X407" s="711">
        <f t="shared" si="1286"/>
        <v>0</v>
      </c>
      <c r="Y407" s="897"/>
      <c r="Z407" s="528"/>
      <c r="AA407" s="899"/>
      <c r="AB407" s="899"/>
      <c r="AC407" s="899"/>
      <c r="AD407" s="901"/>
      <c r="AE407" s="2"/>
      <c r="AF407" s="885"/>
      <c r="AG407" s="885"/>
      <c r="AH407" s="885"/>
      <c r="AI407" s="885"/>
      <c r="AJ407" s="885"/>
      <c r="AK407" s="885"/>
      <c r="AL407" s="885"/>
      <c r="AM407" s="879"/>
      <c r="AN407" s="2"/>
      <c r="AO407" s="886"/>
      <c r="AP407" s="886"/>
      <c r="AV407" s="4" t="str">
        <f>IF(AX407="Y",LEFT(E407,20),IF(AX407="x",E407,AV406))</f>
        <v>Escavação 3ª categoria</v>
      </c>
      <c r="AW407" s="4" t="str">
        <f t="shared" si="1258"/>
        <v xml:space="preserve">   Escavação, carga e transporte de material 3ª categoria - Seg.2.5 C 01</v>
      </c>
      <c r="AX407" s="4"/>
      <c r="AY407" s="4"/>
    </row>
    <row r="408" spans="1:51" ht="31.35" customHeight="1">
      <c r="A408" s="525">
        <v>0</v>
      </c>
      <c r="B408" s="526"/>
      <c r="C408" s="533"/>
      <c r="D408" s="534"/>
      <c r="E408" s="535"/>
      <c r="F408" s="536"/>
      <c r="G408" s="537"/>
      <c r="H408" s="714"/>
      <c r="I408" s="555"/>
      <c r="J408" s="714"/>
      <c r="K408" s="537"/>
      <c r="L408" s="714"/>
      <c r="M408" s="555"/>
      <c r="N408" s="714"/>
      <c r="O408" s="537"/>
      <c r="P408" s="539"/>
      <c r="Q408" s="539"/>
      <c r="R408" s="539"/>
      <c r="S408" s="539"/>
      <c r="T408" s="539"/>
      <c r="U408" s="539"/>
      <c r="V408" s="539"/>
      <c r="W408" s="537"/>
      <c r="X408" s="540"/>
      <c r="Y408" s="537"/>
      <c r="Z408" s="537"/>
      <c r="AA408" s="249"/>
      <c r="AB408" s="249"/>
      <c r="AC408" s="249"/>
      <c r="AD408" s="537"/>
      <c r="AE408" s="3"/>
      <c r="AF408" s="35"/>
      <c r="AG408" s="35"/>
      <c r="AH408" s="35"/>
      <c r="AI408" s="35"/>
      <c r="AJ408" s="35"/>
      <c r="AK408" s="35"/>
      <c r="AL408" s="35"/>
      <c r="AM408" s="3"/>
      <c r="AN408" s="3"/>
      <c r="AO408" s="35"/>
      <c r="AP408" s="35"/>
      <c r="AV408" t="str">
        <f t="shared" si="1259"/>
        <v>Escavação 3ª categoria</v>
      </c>
      <c r="AW408" s="4" t="str">
        <f t="shared" si="1258"/>
        <v xml:space="preserve">   Escavação, carga e transporte de material 3ª categoria - Seg.2.5 C 01</v>
      </c>
    </row>
    <row r="409" spans="1:51" ht="25.35" customHeight="1">
      <c r="A409" s="525">
        <v>0</v>
      </c>
      <c r="B409" s="526"/>
      <c r="C409" s="556"/>
      <c r="D409" s="558"/>
      <c r="E409" s="870" t="s">
        <v>49</v>
      </c>
      <c r="F409" s="894" t="s">
        <v>36</v>
      </c>
      <c r="G409" s="528"/>
      <c r="H409" s="529" t="s">
        <v>37</v>
      </c>
      <c r="I409" s="707">
        <f>I412+I533+I652+I703+I781</f>
        <v>127435</v>
      </c>
      <c r="J409" s="900">
        <f t="shared" ref="J409" si="1297">IFERROR((I410/I409),"-")</f>
        <v>0.95176019147016122</v>
      </c>
      <c r="K409" s="528"/>
      <c r="L409" s="529" t="s">
        <v>37</v>
      </c>
      <c r="M409" s="707">
        <f>M412+M533+M652+M703+M781</f>
        <v>23436</v>
      </c>
      <c r="N409" s="900">
        <f t="shared" ref="N409" si="1298">IFERROR((M410/M409),"-")</f>
        <v>1.0369295101553166</v>
      </c>
      <c r="O409" s="528"/>
      <c r="P409" s="707">
        <f t="shared" ref="P409:V410" si="1299">P412+P533+P652+P703+P781</f>
        <v>23436</v>
      </c>
      <c r="Q409" s="707">
        <f t="shared" si="1299"/>
        <v>23436</v>
      </c>
      <c r="R409" s="707">
        <f t="shared" si="1299"/>
        <v>23436</v>
      </c>
      <c r="S409" s="707">
        <f t="shared" si="1299"/>
        <v>23436</v>
      </c>
      <c r="T409" s="707">
        <f t="shared" si="1299"/>
        <v>20496</v>
      </c>
      <c r="U409" s="707">
        <f t="shared" si="1299"/>
        <v>20496</v>
      </c>
      <c r="V409" s="708">
        <f t="shared" si="1299"/>
        <v>0</v>
      </c>
      <c r="W409" s="528"/>
      <c r="X409" s="707">
        <f>SUMIFS(P409:V409,$P$8:$V$8,"&gt;="&amp;$P$8,$P$8:$V$8,"&lt;="&amp;$N$8)</f>
        <v>46872</v>
      </c>
      <c r="Y409" s="900">
        <f t="shared" ref="Y409" si="1300">IFERROR((X410/X409),"-")</f>
        <v>1.0295033282130057</v>
      </c>
      <c r="Z409" s="528"/>
      <c r="AA409" s="755">
        <f>AA412+AA533+AA652+AA703+AA781</f>
        <v>671980.69000000006</v>
      </c>
      <c r="AB409" s="989">
        <f>AB412+AB533+AB652+AB703+AB781</f>
        <v>286184.89</v>
      </c>
      <c r="AC409" s="989">
        <f>AC412+AC533+AC652+AC703+AC781</f>
        <v>262131.72000000009</v>
      </c>
      <c r="AD409" s="900">
        <f>IFERROR((AC409/AB409),"-")</f>
        <v>0.91595234115959123</v>
      </c>
      <c r="AE409" s="528"/>
      <c r="AF409" s="755">
        <f t="shared" ref="AF409:AL409" si="1301">AF533+AF652+AF412+AF703+AF781</f>
        <v>2109202.9950000001</v>
      </c>
      <c r="AG409" s="755">
        <f t="shared" si="1301"/>
        <v>3134.884</v>
      </c>
      <c r="AH409" s="755">
        <f t="shared" si="1301"/>
        <v>251236.88</v>
      </c>
      <c r="AI409" s="755">
        <f t="shared" si="1301"/>
        <v>92262.864999999991</v>
      </c>
      <c r="AJ409" s="755">
        <f t="shared" si="1301"/>
        <v>266227.36700000003</v>
      </c>
      <c r="AK409" s="755">
        <f t="shared" si="1301"/>
        <v>2984196.7110000001</v>
      </c>
      <c r="AL409" s="755">
        <f t="shared" si="1301"/>
        <v>2292551.75</v>
      </c>
      <c r="AM409" s="900">
        <f>IFERROR((AK409/AL409),"-")</f>
        <v>1.3016921912449742</v>
      </c>
      <c r="AN409" s="528"/>
      <c r="AO409" s="755">
        <f>AO533+AO652+AO412+AO703+AO781</f>
        <v>3648679.7399999998</v>
      </c>
      <c r="AP409" s="755">
        <f>AP533+AP652+AP412+AP703+AP781</f>
        <v>665765.42899999954</v>
      </c>
      <c r="AV409" s="275" t="str">
        <f t="shared" si="1259"/>
        <v xml:space="preserve">Aterro e compactação </v>
      </c>
      <c r="AW409" s="275" t="str">
        <f t="shared" si="1258"/>
        <v xml:space="preserve">Aterro e compactação </v>
      </c>
      <c r="AX409" s="275" t="s">
        <v>176</v>
      </c>
    </row>
    <row r="410" spans="1:51" ht="25.35" customHeight="1" outlineLevel="1">
      <c r="A410" s="525">
        <v>0</v>
      </c>
      <c r="B410" s="526"/>
      <c r="C410" s="556"/>
      <c r="D410" s="558"/>
      <c r="E410" s="871"/>
      <c r="F410" s="895"/>
      <c r="G410" s="528"/>
      <c r="H410" s="531" t="s">
        <v>38</v>
      </c>
      <c r="I410" s="707">
        <f>I413+I534+I653+I704+I782</f>
        <v>121287.56</v>
      </c>
      <c r="J410" s="901"/>
      <c r="K410" s="528"/>
      <c r="L410" s="531" t="s">
        <v>38</v>
      </c>
      <c r="M410" s="707">
        <f>M413+M534+M653+M704+M782</f>
        <v>24301.48</v>
      </c>
      <c r="N410" s="901"/>
      <c r="O410" s="528"/>
      <c r="P410" s="707">
        <f t="shared" si="1299"/>
        <v>23953.4</v>
      </c>
      <c r="Q410" s="707">
        <f t="shared" si="1299"/>
        <v>24301.48</v>
      </c>
      <c r="R410" s="707">
        <f t="shared" si="1299"/>
        <v>0</v>
      </c>
      <c r="S410" s="707">
        <f t="shared" si="1299"/>
        <v>0</v>
      </c>
      <c r="T410" s="707">
        <f t="shared" si="1299"/>
        <v>0</v>
      </c>
      <c r="U410" s="707">
        <f t="shared" si="1299"/>
        <v>0</v>
      </c>
      <c r="V410" s="707">
        <f t="shared" si="1299"/>
        <v>0</v>
      </c>
      <c r="W410" s="528"/>
      <c r="X410" s="707">
        <f t="shared" ref="X410" si="1302">SUMIFS(P410:V410,$P$8:$V$8,"&gt;="&amp;$P$8,$P$8:$V$8,"&lt;="&amp;$N$8)</f>
        <v>48254.880000000005</v>
      </c>
      <c r="Y410" s="901"/>
      <c r="Z410" s="528"/>
      <c r="AA410" s="756"/>
      <c r="AB410" s="990"/>
      <c r="AC410" s="990"/>
      <c r="AD410" s="901"/>
      <c r="AE410" s="528"/>
      <c r="AF410" s="756"/>
      <c r="AG410" s="756"/>
      <c r="AH410" s="756"/>
      <c r="AI410" s="756"/>
      <c r="AJ410" s="756"/>
      <c r="AK410" s="756"/>
      <c r="AL410" s="756"/>
      <c r="AM410" s="901"/>
      <c r="AN410" s="528"/>
      <c r="AO410" s="756"/>
      <c r="AP410" s="756"/>
      <c r="AV410" t="str">
        <f>IF(AX410="Y",LEFT(E410,20),IF(AX410="x",E410,AV409))</f>
        <v xml:space="preserve">Aterro e compactação </v>
      </c>
      <c r="AW410" s="4" t="str">
        <f t="shared" si="1258"/>
        <v xml:space="preserve">Aterro e compactação </v>
      </c>
    </row>
    <row r="411" spans="1:51" ht="15" customHeight="1" outlineLevel="1">
      <c r="A411" s="525">
        <v>0</v>
      </c>
      <c r="B411" s="526"/>
      <c r="C411" s="533"/>
      <c r="D411" s="534"/>
      <c r="E411" s="535"/>
      <c r="F411" s="541"/>
      <c r="G411" s="537"/>
      <c r="H411" s="537"/>
      <c r="I411" s="539"/>
      <c r="J411" s="537"/>
      <c r="K411" s="537"/>
      <c r="L411" s="537"/>
      <c r="M411" s="250"/>
      <c r="N411" s="537"/>
      <c r="O411" s="537"/>
      <c r="P411" s="539"/>
      <c r="Q411" s="539"/>
      <c r="R411" s="539"/>
      <c r="S411" s="539"/>
      <c r="T411" s="539"/>
      <c r="U411" s="539"/>
      <c r="V411" s="539"/>
      <c r="W411" s="537"/>
      <c r="X411" s="540"/>
      <c r="Y411" s="537"/>
      <c r="Z411" s="537"/>
      <c r="AA411" s="250"/>
      <c r="AB411" s="250"/>
      <c r="AC411" s="249"/>
      <c r="AD411" s="537"/>
      <c r="AE411" s="3"/>
      <c r="AF411" s="36"/>
      <c r="AG411" s="36"/>
      <c r="AH411" s="36"/>
      <c r="AI411" s="36"/>
      <c r="AJ411" s="36"/>
      <c r="AK411" s="36"/>
      <c r="AL411" s="36"/>
      <c r="AM411" s="3"/>
      <c r="AN411" s="3"/>
      <c r="AO411" s="36"/>
      <c r="AP411" s="36"/>
      <c r="AV411" t="str">
        <f t="shared" si="1259"/>
        <v xml:space="preserve">Aterro e compactação </v>
      </c>
      <c r="AW411" s="4" t="str">
        <f t="shared" si="1258"/>
        <v xml:space="preserve">Aterro e compactação </v>
      </c>
    </row>
    <row r="412" spans="1:51" ht="15" customHeight="1" outlineLevel="2">
      <c r="A412" s="525">
        <v>0</v>
      </c>
      <c r="B412" s="526"/>
      <c r="C412" s="526"/>
      <c r="D412" s="527"/>
      <c r="E412" s="913" t="s">
        <v>39</v>
      </c>
      <c r="F412" s="859" t="s">
        <v>36</v>
      </c>
      <c r="G412" s="528"/>
      <c r="H412" s="542" t="s">
        <v>37</v>
      </c>
      <c r="I412" s="543">
        <f>SUMIF($L414:$L531,$L412,I414:I531)</f>
        <v>4473</v>
      </c>
      <c r="J412" s="860">
        <f>IFERROR((I413/I412),"-")</f>
        <v>0.50991281019450041</v>
      </c>
      <c r="K412" s="528"/>
      <c r="L412" s="542" t="s">
        <v>37</v>
      </c>
      <c r="M412" s="543">
        <f>SUMIF($L414:$L525,$L412,M414:M525)</f>
        <v>1960</v>
      </c>
      <c r="N412" s="860">
        <f>IFERROR((M413/M412),"-")</f>
        <v>0.44865306122448984</v>
      </c>
      <c r="O412" s="528"/>
      <c r="P412" s="543">
        <f t="shared" ref="P412:V412" si="1303">SUMIF($L414:$L531,$L412,P414:P531)</f>
        <v>1960</v>
      </c>
      <c r="Q412" s="543">
        <f t="shared" si="1303"/>
        <v>1960</v>
      </c>
      <c r="R412" s="543">
        <f t="shared" si="1303"/>
        <v>1960</v>
      </c>
      <c r="S412" s="543">
        <f t="shared" si="1303"/>
        <v>1960</v>
      </c>
      <c r="T412" s="543">
        <f t="shared" si="1303"/>
        <v>1680</v>
      </c>
      <c r="U412" s="543">
        <f t="shared" si="1303"/>
        <v>1680</v>
      </c>
      <c r="V412" s="543">
        <f t="shared" si="1303"/>
        <v>0</v>
      </c>
      <c r="W412" s="528"/>
      <c r="X412" s="543">
        <f t="shared" ref="X412:X475" si="1304">SUMIFS(P412:V412,$P$8:$V$8,"&gt;="&amp;$P$8,$P$8:$V$8,"&lt;="&amp;$N$8)</f>
        <v>3920</v>
      </c>
      <c r="Y412" s="860">
        <f>IFERROR((X413/X412),"-")</f>
        <v>0.32714285714285718</v>
      </c>
      <c r="Z412" s="528"/>
      <c r="AA412" s="814">
        <f>SUM(AA414:AA531)</f>
        <v>26451.71</v>
      </c>
      <c r="AB412" s="814">
        <f>SUM(AB414:AB531)</f>
        <v>12414.4</v>
      </c>
      <c r="AC412" s="814">
        <f>SUM(AC414:AC531)</f>
        <v>5413.5599999999995</v>
      </c>
      <c r="AD412" s="911">
        <f t="shared" ref="AD412" si="1305">IFERROR((AC412/AB412),"-")</f>
        <v>0.43607101430596723</v>
      </c>
      <c r="AE412" s="2"/>
      <c r="AF412" s="888">
        <f t="shared" ref="AF412:AL412" si="1306">SUM(AF414:AF531)</f>
        <v>320971.413</v>
      </c>
      <c r="AG412" s="888">
        <f t="shared" si="1306"/>
        <v>3085.14</v>
      </c>
      <c r="AH412" s="888">
        <f t="shared" si="1306"/>
        <v>0</v>
      </c>
      <c r="AI412" s="888">
        <f t="shared" si="1306"/>
        <v>2568.7080000000001</v>
      </c>
      <c r="AJ412" s="888">
        <f t="shared" si="1306"/>
        <v>0</v>
      </c>
      <c r="AK412" s="888">
        <f t="shared" si="1306"/>
        <v>332038.82100000005</v>
      </c>
      <c r="AL412" s="888">
        <f t="shared" si="1306"/>
        <v>417842.33000000007</v>
      </c>
      <c r="AM412" s="743">
        <f>IFERROR((AK412/AL412),"-")</f>
        <v>0.79465098952516366</v>
      </c>
      <c r="AN412" s="2"/>
      <c r="AO412" s="888">
        <f t="shared" ref="AO412:AP412" si="1307">SUM(AO414:AO525)</f>
        <v>450468.53</v>
      </c>
      <c r="AP412" s="888">
        <f t="shared" si="1307"/>
        <v>119712.10900000003</v>
      </c>
      <c r="AV412" t="str">
        <f t="shared" si="1259"/>
        <v xml:space="preserve">Aterro e compactação </v>
      </c>
      <c r="AW412" s="4" t="str">
        <f t="shared" si="1258"/>
        <v>Pacote 04 - Segmento 2.2B- Km 104+500 a Km 116+400</v>
      </c>
    </row>
    <row r="413" spans="1:51" ht="15" customHeight="1" outlineLevel="2">
      <c r="A413" s="525">
        <v>0</v>
      </c>
      <c r="B413" s="526"/>
      <c r="C413" s="526"/>
      <c r="D413" s="527"/>
      <c r="E413" s="913"/>
      <c r="F413" s="859"/>
      <c r="G413" s="528"/>
      <c r="H413" s="544" t="s">
        <v>38</v>
      </c>
      <c r="I413" s="543">
        <f>SUMIF($L414:$L531,$L413,I414:I531)</f>
        <v>2280.84</v>
      </c>
      <c r="J413" s="861"/>
      <c r="K413" s="528"/>
      <c r="L413" s="544" t="s">
        <v>38</v>
      </c>
      <c r="M413" s="543">
        <f>SUMIF($L414:$L531,$L413,M414:M531)</f>
        <v>879.36000000000013</v>
      </c>
      <c r="N413" s="861"/>
      <c r="O413" s="528"/>
      <c r="P413" s="543">
        <f t="shared" ref="P413:V413" si="1308">SUMIF($L414:$L531,$L413,P414:P531)</f>
        <v>403.04</v>
      </c>
      <c r="Q413" s="543">
        <f t="shared" si="1308"/>
        <v>879.36000000000013</v>
      </c>
      <c r="R413" s="543">
        <f t="shared" si="1308"/>
        <v>0</v>
      </c>
      <c r="S413" s="543">
        <f t="shared" si="1308"/>
        <v>0</v>
      </c>
      <c r="T413" s="543">
        <f t="shared" si="1308"/>
        <v>0</v>
      </c>
      <c r="U413" s="543">
        <f t="shared" si="1308"/>
        <v>0</v>
      </c>
      <c r="V413" s="543">
        <f t="shared" si="1308"/>
        <v>0</v>
      </c>
      <c r="W413" s="528"/>
      <c r="X413" s="543">
        <f t="shared" si="1304"/>
        <v>1282.4000000000001</v>
      </c>
      <c r="Y413" s="861"/>
      <c r="Z413" s="528"/>
      <c r="AA413" s="815"/>
      <c r="AB413" s="815"/>
      <c r="AC413" s="815"/>
      <c r="AD413" s="912"/>
      <c r="AE413" s="2"/>
      <c r="AF413" s="889"/>
      <c r="AG413" s="889"/>
      <c r="AH413" s="889"/>
      <c r="AI413" s="889"/>
      <c r="AJ413" s="889"/>
      <c r="AK413" s="889"/>
      <c r="AL413" s="889"/>
      <c r="AM413" s="744"/>
      <c r="AN413" s="2"/>
      <c r="AO413" s="889"/>
      <c r="AP413" s="889"/>
      <c r="AV413" t="str">
        <f t="shared" si="1259"/>
        <v xml:space="preserve">Aterro e compactação </v>
      </c>
      <c r="AW413" s="4" t="str">
        <f t="shared" si="1258"/>
        <v>Pacote 04 - Segmento 2.2B- Km 104+500 a Km 116+400</v>
      </c>
    </row>
    <row r="414" spans="1:51" ht="15" customHeight="1" outlineLevel="2">
      <c r="A414" s="545" t="str">
        <f t="shared" ref="A414" si="1309">IF(SUM(P414:V415)&gt;0,"S","N")</f>
        <v>N</v>
      </c>
      <c r="B414" s="526">
        <v>1059628</v>
      </c>
      <c r="C414" s="526" t="s">
        <v>631</v>
      </c>
      <c r="D414" s="527" t="s">
        <v>632</v>
      </c>
      <c r="E414" s="892" t="s">
        <v>633</v>
      </c>
      <c r="F414" s="902" t="s">
        <v>36</v>
      </c>
      <c r="G414" s="528"/>
      <c r="H414" s="546" t="s">
        <v>37</v>
      </c>
      <c r="I414" s="711">
        <v>0</v>
      </c>
      <c r="J414" s="896" t="str">
        <f>IFERROR((I415/I414),"-")</f>
        <v>-</v>
      </c>
      <c r="K414" s="528"/>
      <c r="L414" s="546" t="s">
        <v>37</v>
      </c>
      <c r="M414" s="711">
        <f t="shared" ref="M414:M477" si="1310">_xlfn.XLOOKUP($N$8,$P$8:$V$8,$P414:$V414)</f>
        <v>0</v>
      </c>
      <c r="N414" s="896" t="str">
        <f>IFERROR((M415/M414),"-")</f>
        <v>-</v>
      </c>
      <c r="O414" s="528"/>
      <c r="P414" s="547">
        <v>0</v>
      </c>
      <c r="Q414" s="547">
        <v>0</v>
      </c>
      <c r="R414" s="547">
        <v>0</v>
      </c>
      <c r="S414" s="547">
        <v>0</v>
      </c>
      <c r="T414" s="547">
        <v>0</v>
      </c>
      <c r="U414" s="547">
        <v>0</v>
      </c>
      <c r="V414" s="547">
        <v>0</v>
      </c>
      <c r="W414" s="528"/>
      <c r="X414" s="711">
        <f t="shared" si="1304"/>
        <v>0</v>
      </c>
      <c r="Y414" s="896" t="str">
        <f t="shared" ref="Y414" si="1311">IFERROR((X415/X414),"0")</f>
        <v>0</v>
      </c>
      <c r="Z414" s="528"/>
      <c r="AA414" s="898">
        <v>0</v>
      </c>
      <c r="AB414" s="898">
        <v>0</v>
      </c>
      <c r="AC414" s="898">
        <v>0</v>
      </c>
      <c r="AD414" s="900" t="str">
        <f t="shared" ref="AD414" si="1312">IFERROR((AC414/AB414),"-")</f>
        <v>-</v>
      </c>
      <c r="AE414" s="2"/>
      <c r="AF414" s="886">
        <v>5325</v>
      </c>
      <c r="AG414" s="884"/>
      <c r="AH414" s="884">
        <v>0</v>
      </c>
      <c r="AI414" s="884">
        <v>2568.7080000000001</v>
      </c>
      <c r="AJ414" s="884"/>
      <c r="AK414" s="884">
        <f t="shared" ref="AK414" si="1313">AF414+AG414+AH414+AI414+AJ414+AC414</f>
        <v>7893.7080000000005</v>
      </c>
      <c r="AL414" s="884">
        <v>5454.0099999999966</v>
      </c>
      <c r="AM414" s="878">
        <f t="shared" ref="AM414" si="1314">IFERROR((AK414/AL414),"-")</f>
        <v>1.4473218787644331</v>
      </c>
      <c r="AN414" s="2"/>
      <c r="AO414" s="884">
        <v>5454</v>
      </c>
      <c r="AP414" s="884">
        <f t="shared" ref="AP414" si="1315">AO414-AK414</f>
        <v>-2439.7080000000005</v>
      </c>
      <c r="AV414" t="str">
        <f t="shared" si="1259"/>
        <v xml:space="preserve">Aterro e compactação </v>
      </c>
      <c r="AW414" s="4" t="str">
        <f t="shared" si="1258"/>
        <v xml:space="preserve">   Seg. 2.2-CA 01- Execução de aterro compactado - CA-01 (PN a 95%)</v>
      </c>
    </row>
    <row r="415" spans="1:51" ht="15" customHeight="1" outlineLevel="2">
      <c r="A415" s="545" t="str">
        <f t="shared" ref="A415" si="1316">A414</f>
        <v>N</v>
      </c>
      <c r="B415" s="526"/>
      <c r="C415" s="526"/>
      <c r="D415" s="527" t="s">
        <v>632</v>
      </c>
      <c r="E415" s="893"/>
      <c r="F415" s="902"/>
      <c r="G415" s="528"/>
      <c r="H415" s="549" t="s">
        <v>38</v>
      </c>
      <c r="I415" s="711">
        <v>0</v>
      </c>
      <c r="J415" s="897"/>
      <c r="K415" s="528"/>
      <c r="L415" s="549" t="s">
        <v>38</v>
      </c>
      <c r="M415" s="711">
        <f t="shared" si="1310"/>
        <v>0</v>
      </c>
      <c r="N415" s="897"/>
      <c r="O415" s="528"/>
      <c r="P415" s="547">
        <v>0</v>
      </c>
      <c r="Q415" s="547">
        <v>0</v>
      </c>
      <c r="R415" s="547">
        <v>0</v>
      </c>
      <c r="S415" s="547">
        <v>0</v>
      </c>
      <c r="T415" s="547">
        <v>0</v>
      </c>
      <c r="U415" s="547">
        <v>0</v>
      </c>
      <c r="V415" s="547">
        <v>0</v>
      </c>
      <c r="W415" s="528"/>
      <c r="X415" s="711">
        <f t="shared" si="1304"/>
        <v>0</v>
      </c>
      <c r="Y415" s="897"/>
      <c r="Z415" s="528"/>
      <c r="AA415" s="899"/>
      <c r="AB415" s="899"/>
      <c r="AC415" s="899"/>
      <c r="AD415" s="901"/>
      <c r="AE415" s="2"/>
      <c r="AF415" s="926"/>
      <c r="AG415" s="885"/>
      <c r="AH415" s="885"/>
      <c r="AI415" s="885"/>
      <c r="AJ415" s="885"/>
      <c r="AK415" s="885"/>
      <c r="AL415" s="885"/>
      <c r="AM415" s="879"/>
      <c r="AN415" s="2"/>
      <c r="AO415" s="886"/>
      <c r="AP415" s="886"/>
      <c r="AV415" t="str">
        <f t="shared" si="1259"/>
        <v xml:space="preserve">Aterro e compactação </v>
      </c>
      <c r="AW415" s="4" t="str">
        <f t="shared" si="1258"/>
        <v xml:space="preserve">   Seg. 2.2-CA 01- Execução de aterro compactado - CA-01 (PN a 95%)</v>
      </c>
    </row>
    <row r="416" spans="1:51" ht="15" customHeight="1" outlineLevel="2">
      <c r="A416" s="545" t="str">
        <f t="shared" ref="A416" si="1317">IF(SUM(P416:V417)&gt;0,"S","N")</f>
        <v>N</v>
      </c>
      <c r="B416" s="526">
        <v>1059629</v>
      </c>
      <c r="C416" s="526" t="s">
        <v>634</v>
      </c>
      <c r="D416" s="527" t="s">
        <v>635</v>
      </c>
      <c r="E416" s="892" t="s">
        <v>636</v>
      </c>
      <c r="F416" s="902" t="s">
        <v>36</v>
      </c>
      <c r="G416" s="528"/>
      <c r="H416" s="546" t="s">
        <v>37</v>
      </c>
      <c r="I416" s="711">
        <v>0</v>
      </c>
      <c r="J416" s="896" t="str">
        <f t="shared" ref="J416" si="1318">IFERROR((I417/I416),"-")</f>
        <v>-</v>
      </c>
      <c r="K416" s="528"/>
      <c r="L416" s="546" t="s">
        <v>37</v>
      </c>
      <c r="M416" s="711">
        <f t="shared" si="1310"/>
        <v>0</v>
      </c>
      <c r="N416" s="896" t="str">
        <f t="shared" ref="N416" si="1319">IFERROR((M417/M416),"-")</f>
        <v>-</v>
      </c>
      <c r="O416" s="528"/>
      <c r="P416" s="547">
        <v>0</v>
      </c>
      <c r="Q416" s="547">
        <v>0</v>
      </c>
      <c r="R416" s="547">
        <v>0</v>
      </c>
      <c r="S416" s="547">
        <v>0</v>
      </c>
      <c r="T416" s="547">
        <v>0</v>
      </c>
      <c r="U416" s="547">
        <v>0</v>
      </c>
      <c r="V416" s="547">
        <v>0</v>
      </c>
      <c r="W416" s="528"/>
      <c r="X416" s="711">
        <f t="shared" si="1304"/>
        <v>0</v>
      </c>
      <c r="Y416" s="896" t="str">
        <f t="shared" ref="Y416" si="1320">IFERROR((X417/X416),"0")</f>
        <v>0</v>
      </c>
      <c r="Z416" s="528"/>
      <c r="AA416" s="898">
        <v>0</v>
      </c>
      <c r="AB416" s="898">
        <v>0</v>
      </c>
      <c r="AC416" s="898">
        <v>0</v>
      </c>
      <c r="AD416" s="900" t="str">
        <f t="shared" ref="AD416" si="1321">IFERROR((AC416/AB416),"-")</f>
        <v>-</v>
      </c>
      <c r="AE416" s="2"/>
      <c r="AF416" s="886">
        <v>2912</v>
      </c>
      <c r="AG416" s="884"/>
      <c r="AH416" s="884">
        <v>0</v>
      </c>
      <c r="AI416" s="884"/>
      <c r="AJ416" s="884"/>
      <c r="AK416" s="884">
        <f t="shared" ref="AK416" si="1322">AF416+AG416+AH416+AI416+AJ416+AC416</f>
        <v>2912</v>
      </c>
      <c r="AL416" s="884">
        <v>2912</v>
      </c>
      <c r="AM416" s="878">
        <f t="shared" ref="AM416" si="1323">IFERROR((AK416/AL416),"-")</f>
        <v>1</v>
      </c>
      <c r="AN416" s="2"/>
      <c r="AO416" s="884">
        <v>3124.75</v>
      </c>
      <c r="AP416" s="884">
        <f t="shared" ref="AP416" si="1324">AO416-AK416</f>
        <v>212.75</v>
      </c>
      <c r="AV416" t="str">
        <f t="shared" si="1259"/>
        <v xml:space="preserve">Aterro e compactação </v>
      </c>
      <c r="AW416" s="4" t="str">
        <f t="shared" si="1258"/>
        <v xml:space="preserve">   Seg. 2.2-CA 01- Camada Final de Aterro - CF-A-01 (PN a 100%)</v>
      </c>
    </row>
    <row r="417" spans="1:49" ht="15" customHeight="1" outlineLevel="2">
      <c r="A417" s="545" t="str">
        <f t="shared" ref="A417" si="1325">A416</f>
        <v>N</v>
      </c>
      <c r="B417" s="526"/>
      <c r="C417" s="526"/>
      <c r="D417" s="527" t="s">
        <v>635</v>
      </c>
      <c r="E417" s="893"/>
      <c r="F417" s="902"/>
      <c r="G417" s="528"/>
      <c r="H417" s="549" t="s">
        <v>38</v>
      </c>
      <c r="I417" s="711">
        <v>0</v>
      </c>
      <c r="J417" s="897"/>
      <c r="K417" s="528"/>
      <c r="L417" s="549" t="s">
        <v>38</v>
      </c>
      <c r="M417" s="711">
        <f t="shared" si="1310"/>
        <v>0</v>
      </c>
      <c r="N417" s="897"/>
      <c r="O417" s="528"/>
      <c r="P417" s="547">
        <v>0</v>
      </c>
      <c r="Q417" s="547">
        <v>0</v>
      </c>
      <c r="R417" s="547">
        <v>0</v>
      </c>
      <c r="S417" s="547">
        <v>0</v>
      </c>
      <c r="T417" s="547">
        <v>0</v>
      </c>
      <c r="U417" s="547">
        <v>0</v>
      </c>
      <c r="V417" s="547">
        <v>0</v>
      </c>
      <c r="W417" s="528"/>
      <c r="X417" s="711">
        <f t="shared" si="1304"/>
        <v>0</v>
      </c>
      <c r="Y417" s="897"/>
      <c r="Z417" s="528"/>
      <c r="AA417" s="899"/>
      <c r="AB417" s="899"/>
      <c r="AC417" s="899"/>
      <c r="AD417" s="901"/>
      <c r="AE417" s="2"/>
      <c r="AF417" s="926"/>
      <c r="AG417" s="885"/>
      <c r="AH417" s="885"/>
      <c r="AI417" s="885"/>
      <c r="AJ417" s="885"/>
      <c r="AK417" s="885"/>
      <c r="AL417" s="885"/>
      <c r="AM417" s="879"/>
      <c r="AN417" s="2"/>
      <c r="AO417" s="886"/>
      <c r="AP417" s="886"/>
      <c r="AV417" t="str">
        <f t="shared" si="1259"/>
        <v xml:space="preserve">Aterro e compactação </v>
      </c>
      <c r="AW417" s="4" t="str">
        <f t="shared" si="1258"/>
        <v xml:space="preserve">   Seg. 2.2-CA 01- Camada Final de Aterro - CF-A-01 (PN a 100%)</v>
      </c>
    </row>
    <row r="418" spans="1:49" ht="15" customHeight="1" outlineLevel="2">
      <c r="A418" s="545" t="str">
        <f t="shared" ref="A418" si="1326">IF(SUM(P418:V419)&gt;0,"S","N")</f>
        <v>N</v>
      </c>
      <c r="B418" s="526">
        <v>1059630</v>
      </c>
      <c r="C418" s="526" t="s">
        <v>637</v>
      </c>
      <c r="D418" s="527" t="s">
        <v>638</v>
      </c>
      <c r="E418" s="892" t="s">
        <v>639</v>
      </c>
      <c r="F418" s="902" t="s">
        <v>36</v>
      </c>
      <c r="G418" s="528"/>
      <c r="H418" s="546" t="s">
        <v>37</v>
      </c>
      <c r="I418" s="711">
        <v>0</v>
      </c>
      <c r="J418" s="896" t="str">
        <f t="shared" ref="J418" si="1327">IFERROR((I419/I418),"-")</f>
        <v>-</v>
      </c>
      <c r="K418" s="528"/>
      <c r="L418" s="546" t="s">
        <v>37</v>
      </c>
      <c r="M418" s="711">
        <f t="shared" si="1310"/>
        <v>0</v>
      </c>
      <c r="N418" s="896" t="str">
        <f t="shared" ref="N418" si="1328">IFERROR((M419/M418),"-")</f>
        <v>-</v>
      </c>
      <c r="O418" s="528"/>
      <c r="P418" s="547">
        <v>0</v>
      </c>
      <c r="Q418" s="547">
        <v>0</v>
      </c>
      <c r="R418" s="547">
        <v>0</v>
      </c>
      <c r="S418" s="547">
        <v>0</v>
      </c>
      <c r="T418" s="547">
        <v>0</v>
      </c>
      <c r="U418" s="547">
        <v>0</v>
      </c>
      <c r="V418" s="547">
        <v>0</v>
      </c>
      <c r="W418" s="528"/>
      <c r="X418" s="711">
        <f t="shared" si="1304"/>
        <v>0</v>
      </c>
      <c r="Y418" s="896" t="str">
        <f t="shared" ref="Y418" si="1329">IFERROR((X419/X418),"0")</f>
        <v>0</v>
      </c>
      <c r="Z418" s="528"/>
      <c r="AA418" s="898">
        <v>0</v>
      </c>
      <c r="AB418" s="898">
        <v>0</v>
      </c>
      <c r="AC418" s="898">
        <v>0</v>
      </c>
      <c r="AD418" s="900" t="str">
        <f t="shared" ref="AD418" si="1330">IFERROR((AC418/AB418),"-")</f>
        <v>-</v>
      </c>
      <c r="AE418" s="2"/>
      <c r="AF418" s="886">
        <v>7270.4560000000001</v>
      </c>
      <c r="AG418" s="884"/>
      <c r="AH418" s="884">
        <v>0</v>
      </c>
      <c r="AI418" s="884"/>
      <c r="AJ418" s="884"/>
      <c r="AK418" s="884">
        <f t="shared" ref="AK418" si="1331">AF418+AG418+AH418+AI418+AJ418+AC418</f>
        <v>7270.4560000000001</v>
      </c>
      <c r="AL418" s="884">
        <v>7418</v>
      </c>
      <c r="AM418" s="878">
        <f t="shared" ref="AM418" si="1332">IFERROR((AK418/AL418),"-")</f>
        <v>0.98011000269614457</v>
      </c>
      <c r="AN418" s="2"/>
      <c r="AO418" s="884">
        <v>7418</v>
      </c>
      <c r="AP418" s="884">
        <f t="shared" ref="AP418" si="1333">AO418-AK418</f>
        <v>147.54399999999987</v>
      </c>
      <c r="AV418" t="str">
        <f t="shared" si="1259"/>
        <v xml:space="preserve">Aterro e compactação </v>
      </c>
      <c r="AW418" s="4" t="str">
        <f t="shared" si="1258"/>
        <v xml:space="preserve">   Seg. 2.2-CA 02 - Execução de aterro compactado - CA-02 (PN a 95%)</v>
      </c>
    </row>
    <row r="419" spans="1:49" ht="15" customHeight="1" outlineLevel="2">
      <c r="A419" s="545" t="str">
        <f t="shared" ref="A419" si="1334">A418</f>
        <v>N</v>
      </c>
      <c r="B419" s="526"/>
      <c r="C419" s="526"/>
      <c r="D419" s="527" t="s">
        <v>638</v>
      </c>
      <c r="E419" s="893"/>
      <c r="F419" s="902"/>
      <c r="G419" s="528"/>
      <c r="H419" s="549" t="s">
        <v>38</v>
      </c>
      <c r="I419" s="711">
        <v>0</v>
      </c>
      <c r="J419" s="897"/>
      <c r="K419" s="528"/>
      <c r="L419" s="549" t="s">
        <v>38</v>
      </c>
      <c r="M419" s="711">
        <f t="shared" si="1310"/>
        <v>0</v>
      </c>
      <c r="N419" s="897"/>
      <c r="O419" s="528"/>
      <c r="P419" s="547">
        <v>0</v>
      </c>
      <c r="Q419" s="547">
        <v>0</v>
      </c>
      <c r="R419" s="547">
        <v>0</v>
      </c>
      <c r="S419" s="547">
        <v>0</v>
      </c>
      <c r="T419" s="547">
        <v>0</v>
      </c>
      <c r="U419" s="547">
        <v>0</v>
      </c>
      <c r="V419" s="547">
        <v>0</v>
      </c>
      <c r="W419" s="528"/>
      <c r="X419" s="711">
        <f t="shared" si="1304"/>
        <v>0</v>
      </c>
      <c r="Y419" s="897"/>
      <c r="Z419" s="528"/>
      <c r="AA419" s="899"/>
      <c r="AB419" s="899"/>
      <c r="AC419" s="899"/>
      <c r="AD419" s="901"/>
      <c r="AE419" s="2"/>
      <c r="AF419" s="926"/>
      <c r="AG419" s="885"/>
      <c r="AH419" s="885"/>
      <c r="AI419" s="885"/>
      <c r="AJ419" s="885"/>
      <c r="AK419" s="885"/>
      <c r="AL419" s="885"/>
      <c r="AM419" s="879"/>
      <c r="AN419" s="2"/>
      <c r="AO419" s="886"/>
      <c r="AP419" s="886"/>
      <c r="AV419" t="str">
        <f t="shared" si="1259"/>
        <v xml:space="preserve">Aterro e compactação </v>
      </c>
      <c r="AW419" s="4" t="str">
        <f t="shared" si="1258"/>
        <v xml:space="preserve">   Seg. 2.2-CA 02 - Execução de aterro compactado - CA-02 (PN a 95%)</v>
      </c>
    </row>
    <row r="420" spans="1:49" ht="15" customHeight="1" outlineLevel="2">
      <c r="A420" s="545" t="str">
        <f t="shared" ref="A420" si="1335">IF(SUM(P420:V421)&gt;0,"S","N")</f>
        <v>N</v>
      </c>
      <c r="B420" s="526">
        <v>1059631</v>
      </c>
      <c r="C420" s="526" t="s">
        <v>640</v>
      </c>
      <c r="D420" s="527" t="s">
        <v>641</v>
      </c>
      <c r="E420" s="892" t="s">
        <v>642</v>
      </c>
      <c r="F420" s="902" t="s">
        <v>36</v>
      </c>
      <c r="G420" s="528"/>
      <c r="H420" s="546" t="s">
        <v>37</v>
      </c>
      <c r="I420" s="711">
        <v>0</v>
      </c>
      <c r="J420" s="896" t="str">
        <f t="shared" ref="J420" si="1336">IFERROR((I421/I420),"-")</f>
        <v>-</v>
      </c>
      <c r="K420" s="528"/>
      <c r="L420" s="546" t="s">
        <v>37</v>
      </c>
      <c r="M420" s="711">
        <f t="shared" si="1310"/>
        <v>0</v>
      </c>
      <c r="N420" s="896" t="str">
        <f t="shared" ref="N420" si="1337">IFERROR((M421/M420),"-")</f>
        <v>-</v>
      </c>
      <c r="O420" s="528"/>
      <c r="P420" s="547">
        <v>0</v>
      </c>
      <c r="Q420" s="547">
        <v>0</v>
      </c>
      <c r="R420" s="547">
        <v>0</v>
      </c>
      <c r="S420" s="547">
        <v>0</v>
      </c>
      <c r="T420" s="547">
        <v>0</v>
      </c>
      <c r="U420" s="547">
        <v>0</v>
      </c>
      <c r="V420" s="547">
        <v>0</v>
      </c>
      <c r="W420" s="528"/>
      <c r="X420" s="711">
        <f t="shared" si="1304"/>
        <v>0</v>
      </c>
      <c r="Y420" s="896" t="str">
        <f t="shared" ref="Y420" si="1338">IFERROR((X421/X420),"0")</f>
        <v>0</v>
      </c>
      <c r="Z420" s="528"/>
      <c r="AA420" s="898">
        <v>199</v>
      </c>
      <c r="AB420" s="898">
        <v>88.440000000000012</v>
      </c>
      <c r="AC420" s="898">
        <v>0</v>
      </c>
      <c r="AD420" s="900">
        <f t="shared" ref="AD420" si="1339">IFERROR((AC420/AB420),"-")</f>
        <v>0</v>
      </c>
      <c r="AE420" s="2"/>
      <c r="AF420" s="886">
        <v>361.38799999999998</v>
      </c>
      <c r="AG420" s="884"/>
      <c r="AH420" s="884">
        <v>0</v>
      </c>
      <c r="AI420" s="884"/>
      <c r="AJ420" s="884"/>
      <c r="AK420" s="884">
        <f t="shared" ref="AK420" si="1340">AF420+AG420+AH420+AI420+AJ420+AC420</f>
        <v>361.38799999999998</v>
      </c>
      <c r="AL420" s="884">
        <v>449.44000000000005</v>
      </c>
      <c r="AM420" s="878">
        <f t="shared" ref="AM420" si="1341">IFERROR((AK420/AL420),"-")</f>
        <v>0.80408508365966525</v>
      </c>
      <c r="AN420" s="2"/>
      <c r="AO420" s="884">
        <v>560.64</v>
      </c>
      <c r="AP420" s="884">
        <f t="shared" ref="AP420" si="1342">AO420-AK420</f>
        <v>199.25200000000001</v>
      </c>
      <c r="AV420" t="str">
        <f t="shared" si="1259"/>
        <v xml:space="preserve">Aterro e compactação </v>
      </c>
      <c r="AW420" s="4" t="str">
        <f t="shared" si="1258"/>
        <v xml:space="preserve">   Seg. 2.2-CA 02 - Camada Final de Aterro - CF-A-02 (PN a 100%)</v>
      </c>
    </row>
    <row r="421" spans="1:49" ht="15" customHeight="1" outlineLevel="2">
      <c r="A421" s="545" t="str">
        <f t="shared" ref="A421" si="1343">A420</f>
        <v>N</v>
      </c>
      <c r="B421" s="526"/>
      <c r="C421" s="526"/>
      <c r="D421" s="527" t="s">
        <v>641</v>
      </c>
      <c r="E421" s="893"/>
      <c r="F421" s="902"/>
      <c r="G421" s="528"/>
      <c r="H421" s="549" t="s">
        <v>38</v>
      </c>
      <c r="I421" s="711">
        <v>0</v>
      </c>
      <c r="J421" s="897"/>
      <c r="K421" s="528"/>
      <c r="L421" s="549" t="s">
        <v>38</v>
      </c>
      <c r="M421" s="711">
        <f t="shared" si="1310"/>
        <v>0</v>
      </c>
      <c r="N421" s="897"/>
      <c r="O421" s="528"/>
      <c r="P421" s="547">
        <v>0</v>
      </c>
      <c r="Q421" s="547">
        <v>0</v>
      </c>
      <c r="R421" s="547">
        <v>0</v>
      </c>
      <c r="S421" s="547">
        <v>0</v>
      </c>
      <c r="T421" s="547">
        <v>0</v>
      </c>
      <c r="U421" s="547">
        <v>0</v>
      </c>
      <c r="V421" s="547">
        <v>0</v>
      </c>
      <c r="W421" s="528"/>
      <c r="X421" s="711">
        <f t="shared" si="1304"/>
        <v>0</v>
      </c>
      <c r="Y421" s="897"/>
      <c r="Z421" s="528"/>
      <c r="AA421" s="899"/>
      <c r="AB421" s="899"/>
      <c r="AC421" s="899"/>
      <c r="AD421" s="901"/>
      <c r="AE421" s="2"/>
      <c r="AF421" s="926"/>
      <c r="AG421" s="885"/>
      <c r="AH421" s="885"/>
      <c r="AI421" s="885"/>
      <c r="AJ421" s="885"/>
      <c r="AK421" s="885"/>
      <c r="AL421" s="885"/>
      <c r="AM421" s="879"/>
      <c r="AN421" s="2"/>
      <c r="AO421" s="886"/>
      <c r="AP421" s="886"/>
      <c r="AV421" t="str">
        <f t="shared" si="1259"/>
        <v xml:space="preserve">Aterro e compactação </v>
      </c>
      <c r="AW421" s="4" t="str">
        <f t="shared" si="1258"/>
        <v xml:space="preserve">   Seg. 2.2-CA 02 - Camada Final de Aterro - CF-A-02 (PN a 100%)</v>
      </c>
    </row>
    <row r="422" spans="1:49" ht="15" customHeight="1" outlineLevel="2">
      <c r="A422" s="545" t="str">
        <f t="shared" ref="A422" si="1344">IF(SUM(P422:V423)&gt;0,"S","N")</f>
        <v>N</v>
      </c>
      <c r="B422" s="526">
        <v>1059635</v>
      </c>
      <c r="C422" s="526" t="s">
        <v>643</v>
      </c>
      <c r="D422" s="527" t="s">
        <v>644</v>
      </c>
      <c r="E422" s="892" t="s">
        <v>645</v>
      </c>
      <c r="F422" s="902" t="s">
        <v>36</v>
      </c>
      <c r="G422" s="528"/>
      <c r="H422" s="546" t="s">
        <v>37</v>
      </c>
      <c r="I422" s="711">
        <v>1673</v>
      </c>
      <c r="J422" s="896">
        <f>IFERROR((I423/I422),"-")</f>
        <v>0</v>
      </c>
      <c r="K422" s="528"/>
      <c r="L422" s="546" t="s">
        <v>37</v>
      </c>
      <c r="M422" s="711">
        <f t="shared" si="1310"/>
        <v>0</v>
      </c>
      <c r="N422" s="896" t="str">
        <f>IFERROR((M423/M422),"-")</f>
        <v>-</v>
      </c>
      <c r="O422" s="528"/>
      <c r="P422" s="547">
        <v>0</v>
      </c>
      <c r="Q422" s="547">
        <v>0</v>
      </c>
      <c r="R422" s="547">
        <v>0</v>
      </c>
      <c r="S422" s="547">
        <v>0</v>
      </c>
      <c r="T422" s="547">
        <v>0</v>
      </c>
      <c r="U422" s="547">
        <v>0</v>
      </c>
      <c r="V422" s="547">
        <v>0</v>
      </c>
      <c r="W422" s="528"/>
      <c r="X422" s="711">
        <f t="shared" si="1304"/>
        <v>0</v>
      </c>
      <c r="Y422" s="896" t="str">
        <f t="shared" ref="Y422" si="1345">IFERROR((X423/X422),"0")</f>
        <v>0</v>
      </c>
      <c r="Z422" s="528"/>
      <c r="AA422" s="898">
        <v>0</v>
      </c>
      <c r="AB422" s="898">
        <v>0</v>
      </c>
      <c r="AC422" s="898">
        <v>0</v>
      </c>
      <c r="AD422" s="900" t="str">
        <f t="shared" ref="AD422" si="1346">IFERROR((AC422/AB422),"-")</f>
        <v>-</v>
      </c>
      <c r="AE422" s="2"/>
      <c r="AF422" s="886">
        <v>6964.2749999999996</v>
      </c>
      <c r="AG422" s="884"/>
      <c r="AH422" s="884">
        <v>0</v>
      </c>
      <c r="AI422" s="884"/>
      <c r="AJ422" s="884"/>
      <c r="AK422" s="884">
        <f t="shared" ref="AK422" si="1347">AF422+AG422+AH422+AI422+AJ422+AC422</f>
        <v>6964.2749999999996</v>
      </c>
      <c r="AL422" s="884">
        <v>6963.99</v>
      </c>
      <c r="AM422" s="878">
        <f t="shared" ref="AM422" si="1348">IFERROR((AK422/AL422),"-")</f>
        <v>1.0000409248146536</v>
      </c>
      <c r="AN422" s="2"/>
      <c r="AO422" s="884">
        <v>6964</v>
      </c>
      <c r="AP422" s="884">
        <f t="shared" ref="AP422" si="1349">AO422-AK422</f>
        <v>-0.2749999999996362</v>
      </c>
      <c r="AV422" t="str">
        <f t="shared" si="1259"/>
        <v xml:space="preserve">Aterro e compactação </v>
      </c>
      <c r="AW422" s="4" t="str">
        <f t="shared" si="1258"/>
        <v xml:space="preserve">   Seg. 2.2-CA 04 - Execução de aterro compactado - CA-04 (PN a 95%)</v>
      </c>
    </row>
    <row r="423" spans="1:49" ht="15" customHeight="1" outlineLevel="2">
      <c r="A423" s="545" t="str">
        <f t="shared" ref="A423" si="1350">A422</f>
        <v>N</v>
      </c>
      <c r="B423" s="526"/>
      <c r="C423" s="526"/>
      <c r="D423" s="527" t="s">
        <v>644</v>
      </c>
      <c r="E423" s="893"/>
      <c r="F423" s="902"/>
      <c r="G423" s="528"/>
      <c r="H423" s="549" t="s">
        <v>38</v>
      </c>
      <c r="I423" s="711">
        <v>0</v>
      </c>
      <c r="J423" s="897"/>
      <c r="K423" s="528"/>
      <c r="L423" s="549" t="s">
        <v>38</v>
      </c>
      <c r="M423" s="711">
        <f t="shared" si="1310"/>
        <v>0</v>
      </c>
      <c r="N423" s="897"/>
      <c r="O423" s="528"/>
      <c r="P423" s="547">
        <v>0</v>
      </c>
      <c r="Q423" s="547">
        <v>0</v>
      </c>
      <c r="R423" s="547">
        <v>0</v>
      </c>
      <c r="S423" s="547">
        <v>0</v>
      </c>
      <c r="T423" s="547">
        <v>0</v>
      </c>
      <c r="U423" s="547">
        <v>0</v>
      </c>
      <c r="V423" s="547">
        <v>0</v>
      </c>
      <c r="W423" s="528"/>
      <c r="X423" s="711">
        <f t="shared" si="1304"/>
        <v>0</v>
      </c>
      <c r="Y423" s="897"/>
      <c r="Z423" s="528"/>
      <c r="AA423" s="899"/>
      <c r="AB423" s="899"/>
      <c r="AC423" s="899"/>
      <c r="AD423" s="901"/>
      <c r="AE423" s="2"/>
      <c r="AF423" s="926"/>
      <c r="AG423" s="885"/>
      <c r="AH423" s="885"/>
      <c r="AI423" s="885"/>
      <c r="AJ423" s="885"/>
      <c r="AK423" s="885"/>
      <c r="AL423" s="885"/>
      <c r="AM423" s="879"/>
      <c r="AN423" s="2"/>
      <c r="AO423" s="886"/>
      <c r="AP423" s="886"/>
      <c r="AV423" t="str">
        <f t="shared" si="1259"/>
        <v xml:space="preserve">Aterro e compactação </v>
      </c>
      <c r="AW423" s="4" t="str">
        <f t="shared" si="1258"/>
        <v xml:space="preserve">   Seg. 2.2-CA 04 - Execução de aterro compactado - CA-04 (PN a 95%)</v>
      </c>
    </row>
    <row r="424" spans="1:49" ht="15" customHeight="1" outlineLevel="2">
      <c r="A424" s="545" t="str">
        <f t="shared" ref="A424" si="1351">IF(SUM(P424:V425)&gt;0,"S","N")</f>
        <v>S</v>
      </c>
      <c r="B424" s="526">
        <v>1059636</v>
      </c>
      <c r="C424" s="526" t="s">
        <v>646</v>
      </c>
      <c r="D424" s="527" t="s">
        <v>647</v>
      </c>
      <c r="E424" s="892" t="s">
        <v>648</v>
      </c>
      <c r="F424" s="902" t="s">
        <v>36</v>
      </c>
      <c r="G424" s="528"/>
      <c r="H424" s="546" t="s">
        <v>37</v>
      </c>
      <c r="I424" s="711">
        <v>0</v>
      </c>
      <c r="J424" s="896" t="str">
        <f t="shared" ref="J424" si="1352">IFERROR((I425/I424),"-")</f>
        <v>-</v>
      </c>
      <c r="K424" s="528"/>
      <c r="L424" s="546" t="s">
        <v>37</v>
      </c>
      <c r="M424" s="711">
        <f t="shared" si="1310"/>
        <v>980</v>
      </c>
      <c r="N424" s="896">
        <f t="shared" ref="N424" si="1353">IFERROR((M425/M424),"-")</f>
        <v>0</v>
      </c>
      <c r="O424" s="528"/>
      <c r="P424" s="547">
        <v>980</v>
      </c>
      <c r="Q424" s="547">
        <v>980</v>
      </c>
      <c r="R424" s="547">
        <v>0</v>
      </c>
      <c r="S424" s="547">
        <v>0</v>
      </c>
      <c r="T424" s="547">
        <v>0</v>
      </c>
      <c r="U424" s="547">
        <v>840</v>
      </c>
      <c r="V424" s="547">
        <v>0</v>
      </c>
      <c r="W424" s="528"/>
      <c r="X424" s="711">
        <f t="shared" si="1304"/>
        <v>1960</v>
      </c>
      <c r="Y424" s="896">
        <f t="shared" ref="Y424" si="1354">IFERROR((X425/X424),"0")</f>
        <v>0</v>
      </c>
      <c r="Z424" s="528"/>
      <c r="AA424" s="898">
        <v>0</v>
      </c>
      <c r="AB424" s="898">
        <v>0</v>
      </c>
      <c r="AC424" s="898">
        <v>0</v>
      </c>
      <c r="AD424" s="900" t="str">
        <f t="shared" ref="AD424" si="1355">IFERROR((AC424/AB424),"-")</f>
        <v>-</v>
      </c>
      <c r="AE424" s="2"/>
      <c r="AF424" s="886">
        <v>1577.5719999999999</v>
      </c>
      <c r="AG424" s="884"/>
      <c r="AH424" s="884">
        <v>0</v>
      </c>
      <c r="AI424" s="884"/>
      <c r="AJ424" s="884"/>
      <c r="AK424" s="884">
        <f t="shared" ref="AK424" si="1356">AF424+AG424+AH424+AI424+AJ424+AC424</f>
        <v>1577.5719999999999</v>
      </c>
      <c r="AL424" s="884">
        <v>3578.9700000000003</v>
      </c>
      <c r="AM424" s="878">
        <f t="shared" ref="AM424" si="1357">IFERROR((AK424/AL424),"-")</f>
        <v>0.44078938912592164</v>
      </c>
      <c r="AN424" s="2"/>
      <c r="AO424" s="884">
        <v>1578</v>
      </c>
      <c r="AP424" s="884">
        <f t="shared" ref="AP424" si="1358">AO424-AK424</f>
        <v>0.42800000000011096</v>
      </c>
      <c r="AV424" t="str">
        <f t="shared" si="1259"/>
        <v xml:space="preserve">Aterro e compactação </v>
      </c>
      <c r="AW424" s="4" t="str">
        <f t="shared" si="1258"/>
        <v xml:space="preserve">   Seg. 2.2-CA 04 - Camada Final de Aterro - CF-A-04 (PN a 100%)</v>
      </c>
    </row>
    <row r="425" spans="1:49" ht="15" customHeight="1" outlineLevel="2">
      <c r="A425" s="545" t="str">
        <f t="shared" ref="A425" si="1359">A424</f>
        <v>S</v>
      </c>
      <c r="B425" s="526"/>
      <c r="C425" s="526"/>
      <c r="D425" s="527" t="s">
        <v>647</v>
      </c>
      <c r="E425" s="893"/>
      <c r="F425" s="902"/>
      <c r="G425" s="528"/>
      <c r="H425" s="549" t="s">
        <v>38</v>
      </c>
      <c r="I425" s="711">
        <v>0</v>
      </c>
      <c r="J425" s="897"/>
      <c r="K425" s="528"/>
      <c r="L425" s="549" t="s">
        <v>38</v>
      </c>
      <c r="M425" s="711">
        <f t="shared" si="1310"/>
        <v>0</v>
      </c>
      <c r="N425" s="897"/>
      <c r="O425" s="528"/>
      <c r="P425" s="547">
        <v>0</v>
      </c>
      <c r="Q425" s="547">
        <v>0</v>
      </c>
      <c r="R425" s="547">
        <v>0</v>
      </c>
      <c r="S425" s="547">
        <v>0</v>
      </c>
      <c r="T425" s="547">
        <v>0</v>
      </c>
      <c r="U425" s="547">
        <v>0</v>
      </c>
      <c r="V425" s="547">
        <v>0</v>
      </c>
      <c r="W425" s="528"/>
      <c r="X425" s="711">
        <f t="shared" si="1304"/>
        <v>0</v>
      </c>
      <c r="Y425" s="897"/>
      <c r="Z425" s="528"/>
      <c r="AA425" s="899"/>
      <c r="AB425" s="899"/>
      <c r="AC425" s="899"/>
      <c r="AD425" s="901"/>
      <c r="AE425" s="2"/>
      <c r="AF425" s="926"/>
      <c r="AG425" s="885"/>
      <c r="AH425" s="885"/>
      <c r="AI425" s="885"/>
      <c r="AJ425" s="885"/>
      <c r="AK425" s="885"/>
      <c r="AL425" s="885"/>
      <c r="AM425" s="879"/>
      <c r="AN425" s="2"/>
      <c r="AO425" s="886"/>
      <c r="AP425" s="886"/>
      <c r="AV425" t="str">
        <f t="shared" si="1259"/>
        <v xml:space="preserve">Aterro e compactação </v>
      </c>
      <c r="AW425" s="4" t="str">
        <f t="shared" si="1258"/>
        <v xml:space="preserve">   Seg. 2.2-CA 04 - Camada Final de Aterro - CF-A-04 (PN a 100%)</v>
      </c>
    </row>
    <row r="426" spans="1:49" ht="15" customHeight="1" outlineLevel="2">
      <c r="A426" s="545" t="str">
        <f t="shared" ref="A426" si="1360">IF(SUM(P426:V427)&gt;0,"S","N")</f>
        <v>N</v>
      </c>
      <c r="B426" s="526">
        <v>1059638</v>
      </c>
      <c r="C426" s="526" t="s">
        <v>649</v>
      </c>
      <c r="D426" s="527" t="s">
        <v>650</v>
      </c>
      <c r="E426" s="892" t="s">
        <v>651</v>
      </c>
      <c r="F426" s="902" t="s">
        <v>36</v>
      </c>
      <c r="G426" s="528"/>
      <c r="H426" s="546" t="s">
        <v>37</v>
      </c>
      <c r="I426" s="711">
        <v>0</v>
      </c>
      <c r="J426" s="896" t="str">
        <f t="shared" ref="J426" si="1361">IFERROR((I427/I426),"-")</f>
        <v>-</v>
      </c>
      <c r="K426" s="528"/>
      <c r="L426" s="546" t="s">
        <v>37</v>
      </c>
      <c r="M426" s="711">
        <f t="shared" si="1310"/>
        <v>0</v>
      </c>
      <c r="N426" s="896" t="str">
        <f t="shared" ref="N426" si="1362">IFERROR((M427/M426),"-")</f>
        <v>-</v>
      </c>
      <c r="O426" s="528"/>
      <c r="P426" s="547">
        <v>0</v>
      </c>
      <c r="Q426" s="547">
        <v>0</v>
      </c>
      <c r="R426" s="547">
        <v>0</v>
      </c>
      <c r="S426" s="547">
        <v>0</v>
      </c>
      <c r="T426" s="547">
        <v>0</v>
      </c>
      <c r="U426" s="547">
        <v>0</v>
      </c>
      <c r="V426" s="547">
        <v>0</v>
      </c>
      <c r="W426" s="528"/>
      <c r="X426" s="711">
        <f t="shared" si="1304"/>
        <v>0</v>
      </c>
      <c r="Y426" s="896" t="str">
        <f t="shared" ref="Y426" si="1363">IFERROR((X427/X426),"0")</f>
        <v>0</v>
      </c>
      <c r="Z426" s="528"/>
      <c r="AA426" s="898">
        <v>0</v>
      </c>
      <c r="AB426" s="898">
        <v>0</v>
      </c>
      <c r="AC426" s="898">
        <v>0</v>
      </c>
      <c r="AD426" s="900" t="str">
        <f t="shared" ref="AD426" si="1364">IFERROR((AC426/AB426),"-")</f>
        <v>-</v>
      </c>
      <c r="AE426" s="2"/>
      <c r="AF426" s="886">
        <v>10917.94</v>
      </c>
      <c r="AG426" s="884"/>
      <c r="AH426" s="884">
        <v>0</v>
      </c>
      <c r="AI426" s="884"/>
      <c r="AJ426" s="884"/>
      <c r="AK426" s="884">
        <f t="shared" ref="AK426" si="1365">AF426+AG426+AH426+AI426+AJ426+AC426</f>
        <v>10917.94</v>
      </c>
      <c r="AL426" s="884">
        <v>10918.95</v>
      </c>
      <c r="AM426" s="878">
        <f t="shared" ref="AM426" si="1366">IFERROR((AK426/AL426),"-")</f>
        <v>0.99990750026330366</v>
      </c>
      <c r="AN426" s="2"/>
      <c r="AO426" s="884">
        <v>10918.94</v>
      </c>
      <c r="AP426" s="884">
        <f t="shared" ref="AP426" si="1367">AO426-AK426</f>
        <v>1</v>
      </c>
      <c r="AV426" t="str">
        <f t="shared" si="1259"/>
        <v xml:space="preserve">Aterro e compactação </v>
      </c>
      <c r="AW426" s="4" t="str">
        <f t="shared" si="1258"/>
        <v xml:space="preserve">   Seg. 2.2-A05 - Execução de aterro compactado - CA-05 (PN a 95%)</v>
      </c>
    </row>
    <row r="427" spans="1:49" ht="15.6" customHeight="1" outlineLevel="2">
      <c r="A427" s="545" t="str">
        <f t="shared" ref="A427" si="1368">A426</f>
        <v>N</v>
      </c>
      <c r="B427" s="526"/>
      <c r="C427" s="526"/>
      <c r="D427" s="527" t="s">
        <v>650</v>
      </c>
      <c r="E427" s="893"/>
      <c r="F427" s="902"/>
      <c r="G427" s="528"/>
      <c r="H427" s="549" t="s">
        <v>38</v>
      </c>
      <c r="I427" s="711">
        <v>0</v>
      </c>
      <c r="J427" s="897"/>
      <c r="K427" s="528"/>
      <c r="L427" s="549" t="s">
        <v>38</v>
      </c>
      <c r="M427" s="711">
        <f t="shared" si="1310"/>
        <v>0</v>
      </c>
      <c r="N427" s="897"/>
      <c r="O427" s="528"/>
      <c r="P427" s="547">
        <v>0</v>
      </c>
      <c r="Q427" s="547">
        <v>0</v>
      </c>
      <c r="R427" s="547">
        <v>0</v>
      </c>
      <c r="S427" s="547">
        <v>0</v>
      </c>
      <c r="T427" s="547">
        <v>0</v>
      </c>
      <c r="U427" s="547">
        <v>0</v>
      </c>
      <c r="V427" s="547">
        <v>0</v>
      </c>
      <c r="W427" s="528"/>
      <c r="X427" s="711">
        <f t="shared" si="1304"/>
        <v>0</v>
      </c>
      <c r="Y427" s="897"/>
      <c r="Z427" s="528"/>
      <c r="AA427" s="899"/>
      <c r="AB427" s="899"/>
      <c r="AC427" s="899"/>
      <c r="AD427" s="901"/>
      <c r="AE427" s="2"/>
      <c r="AF427" s="926"/>
      <c r="AG427" s="885"/>
      <c r="AH427" s="885"/>
      <c r="AI427" s="885"/>
      <c r="AJ427" s="885"/>
      <c r="AK427" s="885"/>
      <c r="AL427" s="885"/>
      <c r="AM427" s="879"/>
      <c r="AN427" s="2"/>
      <c r="AO427" s="886"/>
      <c r="AP427" s="886"/>
      <c r="AV427" t="str">
        <f t="shared" si="1259"/>
        <v xml:space="preserve">Aterro e compactação </v>
      </c>
      <c r="AW427" s="4" t="str">
        <f t="shared" si="1258"/>
        <v xml:space="preserve">   Seg. 2.2-A05 - Execução de aterro compactado - CA-05 (PN a 95%)</v>
      </c>
    </row>
    <row r="428" spans="1:49" ht="15" customHeight="1" outlineLevel="2">
      <c r="A428" s="545" t="str">
        <f t="shared" ref="A428" si="1369">IF(SUM(P428:V429)&gt;0,"S","N")</f>
        <v>N</v>
      </c>
      <c r="B428" s="526">
        <v>1059641</v>
      </c>
      <c r="C428" s="526" t="s">
        <v>652</v>
      </c>
      <c r="D428" s="527" t="s">
        <v>653</v>
      </c>
      <c r="E428" s="892" t="s">
        <v>654</v>
      </c>
      <c r="F428" s="902" t="s">
        <v>36</v>
      </c>
      <c r="G428" s="528"/>
      <c r="H428" s="546" t="s">
        <v>37</v>
      </c>
      <c r="I428" s="711">
        <v>0</v>
      </c>
      <c r="J428" s="896" t="str">
        <f t="shared" ref="J428" si="1370">IFERROR((I429/I428),"-")</f>
        <v>-</v>
      </c>
      <c r="K428" s="528"/>
      <c r="L428" s="546" t="s">
        <v>37</v>
      </c>
      <c r="M428" s="711">
        <f t="shared" si="1310"/>
        <v>0</v>
      </c>
      <c r="N428" s="896" t="str">
        <f t="shared" ref="N428" si="1371">IFERROR((M429/M428),"-")</f>
        <v>-</v>
      </c>
      <c r="O428" s="528"/>
      <c r="P428" s="547">
        <v>0</v>
      </c>
      <c r="Q428" s="547">
        <v>0</v>
      </c>
      <c r="R428" s="547">
        <v>0</v>
      </c>
      <c r="S428" s="547">
        <v>0</v>
      </c>
      <c r="T428" s="547">
        <v>0</v>
      </c>
      <c r="U428" s="547">
        <v>0</v>
      </c>
      <c r="V428" s="547">
        <v>0</v>
      </c>
      <c r="W428" s="528"/>
      <c r="X428" s="711">
        <f t="shared" si="1304"/>
        <v>0</v>
      </c>
      <c r="Y428" s="896" t="str">
        <f t="shared" ref="Y428" si="1372">IFERROR((X429/X428),"0")</f>
        <v>0</v>
      </c>
      <c r="Z428" s="528"/>
      <c r="AA428" s="898">
        <v>0</v>
      </c>
      <c r="AB428" s="898">
        <v>0</v>
      </c>
      <c r="AC428" s="898">
        <v>0</v>
      </c>
      <c r="AD428" s="900" t="str">
        <f t="shared" ref="AD428" si="1373">IFERROR((AC428/AB428),"-")</f>
        <v>-</v>
      </c>
      <c r="AE428" s="2"/>
      <c r="AF428" s="886">
        <v>8972.1859999999997</v>
      </c>
      <c r="AG428" s="884"/>
      <c r="AH428" s="884">
        <v>0</v>
      </c>
      <c r="AI428" s="884"/>
      <c r="AJ428" s="884"/>
      <c r="AK428" s="884">
        <f t="shared" ref="AK428" si="1374">AF428+AG428+AH428+AI428+AJ428+AC428</f>
        <v>8972.1859999999997</v>
      </c>
      <c r="AL428" s="884">
        <v>9804.109999999966</v>
      </c>
      <c r="AM428" s="878">
        <f t="shared" ref="AM428" si="1375">IFERROR((AK428/AL428),"-")</f>
        <v>0.91514538290574365</v>
      </c>
      <c r="AN428" s="2"/>
      <c r="AO428" s="884">
        <v>9804</v>
      </c>
      <c r="AP428" s="884">
        <f t="shared" ref="AP428" si="1376">AO428-AK428</f>
        <v>831.81400000000031</v>
      </c>
      <c r="AV428" t="str">
        <f t="shared" si="1259"/>
        <v xml:space="preserve">Aterro e compactação </v>
      </c>
      <c r="AW428" s="4" t="str">
        <f t="shared" si="1258"/>
        <v xml:space="preserve">   Seg. 2.2-CA 06 - Execução de aterro compactado - CA-06 (PN a 95%)</v>
      </c>
    </row>
    <row r="429" spans="1:49" ht="15" customHeight="1" outlineLevel="2">
      <c r="A429" s="545" t="str">
        <f t="shared" ref="A429" si="1377">A428</f>
        <v>N</v>
      </c>
      <c r="B429" s="526"/>
      <c r="C429" s="526"/>
      <c r="D429" s="527" t="s">
        <v>653</v>
      </c>
      <c r="E429" s="893"/>
      <c r="F429" s="902"/>
      <c r="G429" s="528"/>
      <c r="H429" s="549" t="s">
        <v>38</v>
      </c>
      <c r="I429" s="711">
        <v>0</v>
      </c>
      <c r="J429" s="897"/>
      <c r="K429" s="528"/>
      <c r="L429" s="549" t="s">
        <v>38</v>
      </c>
      <c r="M429" s="711">
        <f t="shared" si="1310"/>
        <v>0</v>
      </c>
      <c r="N429" s="897"/>
      <c r="O429" s="528"/>
      <c r="P429" s="547">
        <v>0</v>
      </c>
      <c r="Q429" s="547">
        <v>0</v>
      </c>
      <c r="R429" s="547">
        <v>0</v>
      </c>
      <c r="S429" s="547">
        <v>0</v>
      </c>
      <c r="T429" s="547">
        <v>0</v>
      </c>
      <c r="U429" s="547">
        <v>0</v>
      </c>
      <c r="V429" s="547">
        <v>0</v>
      </c>
      <c r="W429" s="528"/>
      <c r="X429" s="711">
        <f t="shared" si="1304"/>
        <v>0</v>
      </c>
      <c r="Y429" s="897"/>
      <c r="Z429" s="528"/>
      <c r="AA429" s="899"/>
      <c r="AB429" s="899"/>
      <c r="AC429" s="899"/>
      <c r="AD429" s="901"/>
      <c r="AE429" s="2"/>
      <c r="AF429" s="926"/>
      <c r="AG429" s="885"/>
      <c r="AH429" s="885"/>
      <c r="AI429" s="885"/>
      <c r="AJ429" s="885"/>
      <c r="AK429" s="885"/>
      <c r="AL429" s="885"/>
      <c r="AM429" s="879"/>
      <c r="AN429" s="2"/>
      <c r="AO429" s="886"/>
      <c r="AP429" s="886"/>
      <c r="AV429" t="str">
        <f t="shared" si="1259"/>
        <v xml:space="preserve">Aterro e compactação </v>
      </c>
      <c r="AW429" s="4" t="str">
        <f t="shared" si="1258"/>
        <v xml:space="preserve">   Seg. 2.2-CA 06 - Execução de aterro compactado - CA-06 (PN a 95%)</v>
      </c>
    </row>
    <row r="430" spans="1:49" ht="15" customHeight="1" outlineLevel="2">
      <c r="A430" s="545" t="str">
        <f t="shared" ref="A430" si="1378">IF(SUM(P430:V431)&gt;0,"S","N")</f>
        <v>N</v>
      </c>
      <c r="B430" s="526">
        <v>1059642</v>
      </c>
      <c r="C430" s="526" t="s">
        <v>655</v>
      </c>
      <c r="D430" s="527" t="s">
        <v>656</v>
      </c>
      <c r="E430" s="892" t="s">
        <v>657</v>
      </c>
      <c r="F430" s="902" t="s">
        <v>36</v>
      </c>
      <c r="G430" s="528"/>
      <c r="H430" s="546" t="s">
        <v>37</v>
      </c>
      <c r="I430" s="711">
        <v>0</v>
      </c>
      <c r="J430" s="896" t="str">
        <f t="shared" ref="J430" si="1379">IFERROR((I431/I430),"-")</f>
        <v>-</v>
      </c>
      <c r="K430" s="528"/>
      <c r="L430" s="546" t="s">
        <v>37</v>
      </c>
      <c r="M430" s="711">
        <f t="shared" si="1310"/>
        <v>0</v>
      </c>
      <c r="N430" s="896" t="str">
        <f t="shared" ref="N430" si="1380">IFERROR((M431/M430),"-")</f>
        <v>-</v>
      </c>
      <c r="O430" s="528"/>
      <c r="P430" s="547">
        <v>0</v>
      </c>
      <c r="Q430" s="547">
        <v>0</v>
      </c>
      <c r="R430" s="547">
        <v>0</v>
      </c>
      <c r="S430" s="547">
        <v>0</v>
      </c>
      <c r="T430" s="547">
        <v>0</v>
      </c>
      <c r="U430" s="547">
        <v>0</v>
      </c>
      <c r="V430" s="547">
        <v>0</v>
      </c>
      <c r="W430" s="528"/>
      <c r="X430" s="711">
        <f t="shared" si="1304"/>
        <v>0</v>
      </c>
      <c r="Y430" s="896" t="str">
        <f t="shared" ref="Y430" si="1381">IFERROR((X431/X430),"0")</f>
        <v>0</v>
      </c>
      <c r="Z430" s="528"/>
      <c r="AA430" s="898">
        <v>0</v>
      </c>
      <c r="AB430" s="898">
        <v>0</v>
      </c>
      <c r="AC430" s="898">
        <v>0</v>
      </c>
      <c r="AD430" s="900" t="str">
        <f t="shared" ref="AD430" si="1382">IFERROR((AC430/AB430),"-")</f>
        <v>-</v>
      </c>
      <c r="AE430" s="2"/>
      <c r="AF430" s="886">
        <v>2528.8130000000001</v>
      </c>
      <c r="AG430" s="884"/>
      <c r="AH430" s="884">
        <v>0</v>
      </c>
      <c r="AI430" s="884"/>
      <c r="AJ430" s="884"/>
      <c r="AK430" s="884">
        <f t="shared" ref="AK430" si="1383">AF430+AG430+AH430+AI430+AJ430+AC430</f>
        <v>2528.8130000000001</v>
      </c>
      <c r="AL430" s="884">
        <v>2532.77</v>
      </c>
      <c r="AM430" s="878">
        <f t="shared" ref="AM430" si="1384">IFERROR((AK430/AL430),"-")</f>
        <v>0.99843767890491442</v>
      </c>
      <c r="AN430" s="2"/>
      <c r="AO430" s="884">
        <v>2532.7800000000002</v>
      </c>
      <c r="AP430" s="884">
        <f t="shared" ref="AP430" si="1385">AO430-AK430</f>
        <v>3.9670000000000982</v>
      </c>
      <c r="AV430" t="str">
        <f t="shared" si="1259"/>
        <v xml:space="preserve">Aterro e compactação </v>
      </c>
      <c r="AW430" s="4" t="str">
        <f t="shared" si="1258"/>
        <v xml:space="preserve">   Seg. 2.2-CA 06 - Camada Final de Aterro - CF-A-06 (PN a 100%)</v>
      </c>
    </row>
    <row r="431" spans="1:49" ht="15" customHeight="1" outlineLevel="2">
      <c r="A431" s="545" t="str">
        <f t="shared" ref="A431" si="1386">A430</f>
        <v>N</v>
      </c>
      <c r="B431" s="526"/>
      <c r="C431" s="526"/>
      <c r="D431" s="527" t="s">
        <v>656</v>
      </c>
      <c r="E431" s="893"/>
      <c r="F431" s="902"/>
      <c r="G431" s="528"/>
      <c r="H431" s="549" t="s">
        <v>38</v>
      </c>
      <c r="I431" s="711">
        <v>0</v>
      </c>
      <c r="J431" s="897"/>
      <c r="K431" s="528"/>
      <c r="L431" s="549" t="s">
        <v>38</v>
      </c>
      <c r="M431" s="711">
        <f t="shared" si="1310"/>
        <v>0</v>
      </c>
      <c r="N431" s="897"/>
      <c r="O431" s="528"/>
      <c r="P431" s="547">
        <v>0</v>
      </c>
      <c r="Q431" s="547">
        <v>0</v>
      </c>
      <c r="R431" s="547">
        <v>0</v>
      </c>
      <c r="S431" s="547">
        <v>0</v>
      </c>
      <c r="T431" s="547">
        <v>0</v>
      </c>
      <c r="U431" s="547">
        <v>0</v>
      </c>
      <c r="V431" s="547">
        <v>0</v>
      </c>
      <c r="W431" s="528"/>
      <c r="X431" s="711">
        <f t="shared" si="1304"/>
        <v>0</v>
      </c>
      <c r="Y431" s="897"/>
      <c r="Z431" s="528"/>
      <c r="AA431" s="899"/>
      <c r="AB431" s="899"/>
      <c r="AC431" s="899"/>
      <c r="AD431" s="901"/>
      <c r="AE431" s="2"/>
      <c r="AF431" s="926"/>
      <c r="AG431" s="885"/>
      <c r="AH431" s="885"/>
      <c r="AI431" s="885"/>
      <c r="AJ431" s="885"/>
      <c r="AK431" s="885"/>
      <c r="AL431" s="885"/>
      <c r="AM431" s="879"/>
      <c r="AN431" s="2"/>
      <c r="AO431" s="886"/>
      <c r="AP431" s="886"/>
      <c r="AV431" t="str">
        <f t="shared" si="1259"/>
        <v xml:space="preserve">Aterro e compactação </v>
      </c>
      <c r="AW431" s="4" t="str">
        <f t="shared" si="1258"/>
        <v xml:space="preserve">   Seg. 2.2-CA 06 - Camada Final de Aterro - CF-A-06 (PN a 100%)</v>
      </c>
    </row>
    <row r="432" spans="1:49" ht="15" customHeight="1" outlineLevel="2">
      <c r="A432" s="545" t="str">
        <f t="shared" ref="A432" si="1387">IF(SUM(P432:V433)&gt;0,"S","N")</f>
        <v>N</v>
      </c>
      <c r="B432" s="526">
        <v>1059644</v>
      </c>
      <c r="C432" s="526" t="s">
        <v>658</v>
      </c>
      <c r="D432" s="527" t="s">
        <v>659</v>
      </c>
      <c r="E432" s="892" t="s">
        <v>660</v>
      </c>
      <c r="F432" s="902" t="s">
        <v>36</v>
      </c>
      <c r="G432" s="528"/>
      <c r="H432" s="546" t="s">
        <v>37</v>
      </c>
      <c r="I432" s="711">
        <v>0</v>
      </c>
      <c r="J432" s="896" t="str">
        <f>IFERROR((I433/I432),"-")</f>
        <v>-</v>
      </c>
      <c r="K432" s="528"/>
      <c r="L432" s="546" t="s">
        <v>37</v>
      </c>
      <c r="M432" s="711">
        <f t="shared" si="1310"/>
        <v>0</v>
      </c>
      <c r="N432" s="896" t="str">
        <f>IFERROR((M433/M432),"-")</f>
        <v>-</v>
      </c>
      <c r="O432" s="528"/>
      <c r="P432" s="547">
        <v>0</v>
      </c>
      <c r="Q432" s="547">
        <v>0</v>
      </c>
      <c r="R432" s="547">
        <v>0</v>
      </c>
      <c r="S432" s="547">
        <v>0</v>
      </c>
      <c r="T432" s="547">
        <v>0</v>
      </c>
      <c r="U432" s="547">
        <v>0</v>
      </c>
      <c r="V432" s="547">
        <v>0</v>
      </c>
      <c r="W432" s="528"/>
      <c r="X432" s="711">
        <f t="shared" si="1304"/>
        <v>0</v>
      </c>
      <c r="Y432" s="896" t="str">
        <f t="shared" ref="Y432" si="1388">IFERROR((X433/X432),"0")</f>
        <v>0</v>
      </c>
      <c r="Z432" s="528"/>
      <c r="AA432" s="898">
        <v>0</v>
      </c>
      <c r="AB432" s="898">
        <v>0</v>
      </c>
      <c r="AC432" s="898">
        <v>0</v>
      </c>
      <c r="AD432" s="900" t="str">
        <f t="shared" ref="AD432" si="1389">IFERROR((AC432/AB432),"-")</f>
        <v>-</v>
      </c>
      <c r="AE432" s="2"/>
      <c r="AF432" s="886">
        <v>2123.1179999999999</v>
      </c>
      <c r="AG432" s="884"/>
      <c r="AH432" s="884">
        <v>0</v>
      </c>
      <c r="AI432" s="884"/>
      <c r="AJ432" s="884"/>
      <c r="AK432" s="884">
        <f t="shared" ref="AK432" si="1390">AF432+AG432+AH432+AI432+AJ432+AC432</f>
        <v>2123.1179999999999</v>
      </c>
      <c r="AL432" s="884">
        <v>2145.9899999999998</v>
      </c>
      <c r="AM432" s="878">
        <f t="shared" ref="AM432" si="1391">IFERROR((AK432/AL432),"-")</f>
        <v>0.98934198202228352</v>
      </c>
      <c r="AN432" s="2"/>
      <c r="AO432" s="884">
        <v>2146</v>
      </c>
      <c r="AP432" s="884">
        <f t="shared" ref="AP432" si="1392">AO432-AK432</f>
        <v>22.882000000000062</v>
      </c>
      <c r="AV432" t="str">
        <f t="shared" si="1259"/>
        <v xml:space="preserve">Aterro e compactação </v>
      </c>
      <c r="AW432" s="4" t="str">
        <f t="shared" si="1258"/>
        <v xml:space="preserve">   Seg. 2.2-CA 07 - Execução de aterro compactado - CA-07 (PN a 95%)</v>
      </c>
    </row>
    <row r="433" spans="1:49" ht="15" customHeight="1" outlineLevel="2">
      <c r="A433" s="545" t="str">
        <f t="shared" ref="A433" si="1393">A432</f>
        <v>N</v>
      </c>
      <c r="B433" s="526"/>
      <c r="C433" s="526"/>
      <c r="D433" s="527" t="s">
        <v>659</v>
      </c>
      <c r="E433" s="893"/>
      <c r="F433" s="902"/>
      <c r="G433" s="528"/>
      <c r="H433" s="549" t="s">
        <v>38</v>
      </c>
      <c r="I433" s="711">
        <v>0</v>
      </c>
      <c r="J433" s="897"/>
      <c r="K433" s="528"/>
      <c r="L433" s="549" t="s">
        <v>38</v>
      </c>
      <c r="M433" s="711">
        <f t="shared" si="1310"/>
        <v>0</v>
      </c>
      <c r="N433" s="897"/>
      <c r="O433" s="528"/>
      <c r="P433" s="547">
        <v>0</v>
      </c>
      <c r="Q433" s="547">
        <v>0</v>
      </c>
      <c r="R433" s="547">
        <v>0</v>
      </c>
      <c r="S433" s="547">
        <v>0</v>
      </c>
      <c r="T433" s="547">
        <v>0</v>
      </c>
      <c r="U433" s="547">
        <v>0</v>
      </c>
      <c r="V433" s="547">
        <v>0</v>
      </c>
      <c r="W433" s="528"/>
      <c r="X433" s="711">
        <f t="shared" si="1304"/>
        <v>0</v>
      </c>
      <c r="Y433" s="897"/>
      <c r="Z433" s="528"/>
      <c r="AA433" s="899"/>
      <c r="AB433" s="899"/>
      <c r="AC433" s="899"/>
      <c r="AD433" s="901"/>
      <c r="AE433" s="2"/>
      <c r="AF433" s="926"/>
      <c r="AG433" s="885"/>
      <c r="AH433" s="885"/>
      <c r="AI433" s="885"/>
      <c r="AJ433" s="885"/>
      <c r="AK433" s="885"/>
      <c r="AL433" s="885"/>
      <c r="AM433" s="879"/>
      <c r="AN433" s="2"/>
      <c r="AO433" s="886"/>
      <c r="AP433" s="886"/>
      <c r="AV433" t="str">
        <f t="shared" si="1259"/>
        <v xml:space="preserve">Aterro e compactação </v>
      </c>
      <c r="AW433" s="4" t="str">
        <f t="shared" si="1258"/>
        <v xml:space="preserve">   Seg. 2.2-CA 07 - Execução de aterro compactado - CA-07 (PN a 95%)</v>
      </c>
    </row>
    <row r="434" spans="1:49" ht="15" customHeight="1" outlineLevel="2">
      <c r="A434" s="545" t="str">
        <f t="shared" ref="A434" si="1394">IF(SUM(P434:V435)&gt;0,"S","N")</f>
        <v>N</v>
      </c>
      <c r="B434" s="526">
        <v>1059645</v>
      </c>
      <c r="C434" s="526" t="s">
        <v>661</v>
      </c>
      <c r="D434" s="527" t="s">
        <v>662</v>
      </c>
      <c r="E434" s="892" t="s">
        <v>663</v>
      </c>
      <c r="F434" s="902" t="s">
        <v>36</v>
      </c>
      <c r="G434" s="528"/>
      <c r="H434" s="546" t="s">
        <v>37</v>
      </c>
      <c r="I434" s="711">
        <v>0</v>
      </c>
      <c r="J434" s="896" t="str">
        <f t="shared" ref="J434" si="1395">IFERROR((I435/I434),"-")</f>
        <v>-</v>
      </c>
      <c r="K434" s="528"/>
      <c r="L434" s="546" t="s">
        <v>37</v>
      </c>
      <c r="M434" s="711">
        <f t="shared" si="1310"/>
        <v>0</v>
      </c>
      <c r="N434" s="896" t="str">
        <f t="shared" ref="N434" si="1396">IFERROR((M435/M434),"-")</f>
        <v>-</v>
      </c>
      <c r="O434" s="528"/>
      <c r="P434" s="547">
        <v>0</v>
      </c>
      <c r="Q434" s="547">
        <v>0</v>
      </c>
      <c r="R434" s="547">
        <v>0</v>
      </c>
      <c r="S434" s="547">
        <v>0</v>
      </c>
      <c r="T434" s="547">
        <v>0</v>
      </c>
      <c r="U434" s="547">
        <v>0</v>
      </c>
      <c r="V434" s="547">
        <v>0</v>
      </c>
      <c r="W434" s="528"/>
      <c r="X434" s="711">
        <f t="shared" si="1304"/>
        <v>0</v>
      </c>
      <c r="Y434" s="896" t="str">
        <f t="shared" ref="Y434" si="1397">IFERROR((X435/X434),"0")</f>
        <v>0</v>
      </c>
      <c r="Z434" s="528"/>
      <c r="AA434" s="898">
        <v>94</v>
      </c>
      <c r="AB434" s="898">
        <v>41.759999999999991</v>
      </c>
      <c r="AC434" s="898">
        <v>0</v>
      </c>
      <c r="AD434" s="900">
        <f t="shared" ref="AD434" si="1398">IFERROR((AC434/AB434),"-")</f>
        <v>0</v>
      </c>
      <c r="AE434" s="2"/>
      <c r="AF434" s="886">
        <v>511</v>
      </c>
      <c r="AG434" s="884"/>
      <c r="AH434" s="884">
        <v>0</v>
      </c>
      <c r="AI434" s="884"/>
      <c r="AJ434" s="884"/>
      <c r="AK434" s="884">
        <f t="shared" ref="AK434" si="1399">AF434+AG434+AH434+AI434+AJ434+AC434</f>
        <v>511</v>
      </c>
      <c r="AL434" s="884">
        <v>549.75000000000023</v>
      </c>
      <c r="AM434" s="878">
        <f t="shared" ref="AM434" si="1400">IFERROR((AK434/AL434),"-")</f>
        <v>0.92951341518872177</v>
      </c>
      <c r="AN434" s="2"/>
      <c r="AO434" s="884">
        <v>601.49</v>
      </c>
      <c r="AP434" s="884">
        <f t="shared" ref="AP434" si="1401">AO434-AK434</f>
        <v>90.490000000000009</v>
      </c>
      <c r="AV434" t="str">
        <f t="shared" si="1259"/>
        <v xml:space="preserve">Aterro e compactação </v>
      </c>
      <c r="AW434" s="4" t="str">
        <f t="shared" si="1258"/>
        <v xml:space="preserve">   Seg. 2.2-CA 07 - Camada Final de Aterro - CF-A-07 (PN a 100%)</v>
      </c>
    </row>
    <row r="435" spans="1:49" ht="15" customHeight="1" outlineLevel="2">
      <c r="A435" s="545" t="str">
        <f t="shared" ref="A435" si="1402">A434</f>
        <v>N</v>
      </c>
      <c r="B435" s="526"/>
      <c r="C435" s="526"/>
      <c r="D435" s="527" t="s">
        <v>662</v>
      </c>
      <c r="E435" s="893"/>
      <c r="F435" s="902"/>
      <c r="G435" s="528"/>
      <c r="H435" s="549" t="s">
        <v>38</v>
      </c>
      <c r="I435" s="711">
        <v>0</v>
      </c>
      <c r="J435" s="897"/>
      <c r="K435" s="528"/>
      <c r="L435" s="549" t="s">
        <v>38</v>
      </c>
      <c r="M435" s="711">
        <f t="shared" si="1310"/>
        <v>0</v>
      </c>
      <c r="N435" s="897"/>
      <c r="O435" s="528"/>
      <c r="P435" s="547">
        <v>0</v>
      </c>
      <c r="Q435" s="547">
        <v>0</v>
      </c>
      <c r="R435" s="547">
        <v>0</v>
      </c>
      <c r="S435" s="547">
        <v>0</v>
      </c>
      <c r="T435" s="547">
        <v>0</v>
      </c>
      <c r="U435" s="547">
        <v>0</v>
      </c>
      <c r="V435" s="547">
        <v>0</v>
      </c>
      <c r="W435" s="528"/>
      <c r="X435" s="711">
        <f t="shared" si="1304"/>
        <v>0</v>
      </c>
      <c r="Y435" s="897"/>
      <c r="Z435" s="528"/>
      <c r="AA435" s="899"/>
      <c r="AB435" s="899"/>
      <c r="AC435" s="899"/>
      <c r="AD435" s="901"/>
      <c r="AE435" s="2"/>
      <c r="AF435" s="926"/>
      <c r="AG435" s="885"/>
      <c r="AH435" s="885"/>
      <c r="AI435" s="885"/>
      <c r="AJ435" s="885"/>
      <c r="AK435" s="885"/>
      <c r="AL435" s="885"/>
      <c r="AM435" s="879"/>
      <c r="AN435" s="2"/>
      <c r="AO435" s="886"/>
      <c r="AP435" s="886"/>
      <c r="AV435" t="str">
        <f t="shared" si="1259"/>
        <v xml:space="preserve">Aterro e compactação </v>
      </c>
      <c r="AW435" s="4" t="str">
        <f t="shared" si="1258"/>
        <v xml:space="preserve">   Seg. 2.2-CA 07 - Camada Final de Aterro - CF-A-07 (PN a 100%)</v>
      </c>
    </row>
    <row r="436" spans="1:49" ht="15" customHeight="1" outlineLevel="2">
      <c r="A436" s="545" t="str">
        <f t="shared" ref="A436" si="1403">IF(SUM(P436:V437)&gt;0,"S","N")</f>
        <v>N</v>
      </c>
      <c r="B436" s="526">
        <v>1059647</v>
      </c>
      <c r="C436" s="526" t="s">
        <v>664</v>
      </c>
      <c r="D436" s="527" t="s">
        <v>665</v>
      </c>
      <c r="E436" s="892" t="s">
        <v>666</v>
      </c>
      <c r="F436" s="902" t="s">
        <v>36</v>
      </c>
      <c r="G436" s="528"/>
      <c r="H436" s="546" t="s">
        <v>37</v>
      </c>
      <c r="I436" s="711">
        <v>0</v>
      </c>
      <c r="J436" s="896" t="str">
        <f t="shared" ref="J436" si="1404">IFERROR((I437/I436),"-")</f>
        <v>-</v>
      </c>
      <c r="K436" s="528"/>
      <c r="L436" s="546" t="s">
        <v>37</v>
      </c>
      <c r="M436" s="711">
        <f t="shared" si="1310"/>
        <v>0</v>
      </c>
      <c r="N436" s="896" t="str">
        <f t="shared" ref="N436" si="1405">IFERROR((M437/M436),"-")</f>
        <v>-</v>
      </c>
      <c r="O436" s="528"/>
      <c r="P436" s="547">
        <v>0</v>
      </c>
      <c r="Q436" s="547">
        <v>0</v>
      </c>
      <c r="R436" s="547">
        <v>0</v>
      </c>
      <c r="S436" s="547">
        <v>0</v>
      </c>
      <c r="T436" s="547">
        <v>0</v>
      </c>
      <c r="U436" s="547">
        <v>0</v>
      </c>
      <c r="V436" s="547">
        <v>0</v>
      </c>
      <c r="W436" s="528"/>
      <c r="X436" s="711">
        <f t="shared" si="1304"/>
        <v>0</v>
      </c>
      <c r="Y436" s="896" t="str">
        <f t="shared" ref="Y436" si="1406">IFERROR((X437/X436),"0")</f>
        <v>0</v>
      </c>
      <c r="Z436" s="528"/>
      <c r="AA436" s="898">
        <v>0</v>
      </c>
      <c r="AB436" s="898">
        <v>0</v>
      </c>
      <c r="AC436" s="898">
        <v>0</v>
      </c>
      <c r="AD436" s="900" t="str">
        <f t="shared" ref="AD436" si="1407">IFERROR((AC436/AB436),"-")</f>
        <v>-</v>
      </c>
      <c r="AE436" s="2"/>
      <c r="AF436" s="886">
        <v>11851</v>
      </c>
      <c r="AG436" s="884"/>
      <c r="AH436" s="884">
        <v>0</v>
      </c>
      <c r="AI436" s="884"/>
      <c r="AJ436" s="884"/>
      <c r="AK436" s="884">
        <f t="shared" ref="AK436" si="1408">AF436+AG436+AH436+AI436+AJ436+AC436</f>
        <v>11851</v>
      </c>
      <c r="AL436" s="884">
        <v>11851</v>
      </c>
      <c r="AM436" s="878">
        <f t="shared" ref="AM436" si="1409">IFERROR((AK436/AL436),"-")</f>
        <v>1</v>
      </c>
      <c r="AN436" s="2"/>
      <c r="AO436" s="884">
        <v>11851</v>
      </c>
      <c r="AP436" s="884">
        <f t="shared" ref="AP436" si="1410">AO436-AK436</f>
        <v>0</v>
      </c>
      <c r="AV436" t="str">
        <f t="shared" si="1259"/>
        <v xml:space="preserve">Aterro e compactação </v>
      </c>
      <c r="AW436" s="4" t="str">
        <f t="shared" si="1258"/>
        <v xml:space="preserve">   Seg. 2.2-CA 08 - Execução de aterro compactado - CA-08 (PN a 95%)</v>
      </c>
    </row>
    <row r="437" spans="1:49" ht="15" customHeight="1" outlineLevel="2">
      <c r="A437" s="545" t="str">
        <f t="shared" ref="A437" si="1411">A436</f>
        <v>N</v>
      </c>
      <c r="B437" s="526"/>
      <c r="C437" s="526"/>
      <c r="D437" s="527" t="s">
        <v>665</v>
      </c>
      <c r="E437" s="893"/>
      <c r="F437" s="902"/>
      <c r="G437" s="528"/>
      <c r="H437" s="549" t="s">
        <v>38</v>
      </c>
      <c r="I437" s="711">
        <v>0</v>
      </c>
      <c r="J437" s="897"/>
      <c r="K437" s="528"/>
      <c r="L437" s="549" t="s">
        <v>38</v>
      </c>
      <c r="M437" s="711">
        <f t="shared" si="1310"/>
        <v>0</v>
      </c>
      <c r="N437" s="897"/>
      <c r="O437" s="528"/>
      <c r="P437" s="547">
        <v>0</v>
      </c>
      <c r="Q437" s="547">
        <v>0</v>
      </c>
      <c r="R437" s="547">
        <v>0</v>
      </c>
      <c r="S437" s="547">
        <v>0</v>
      </c>
      <c r="T437" s="547">
        <v>0</v>
      </c>
      <c r="U437" s="547">
        <v>0</v>
      </c>
      <c r="V437" s="547">
        <v>0</v>
      </c>
      <c r="W437" s="528"/>
      <c r="X437" s="711">
        <f t="shared" si="1304"/>
        <v>0</v>
      </c>
      <c r="Y437" s="897"/>
      <c r="Z437" s="528"/>
      <c r="AA437" s="899"/>
      <c r="AB437" s="899"/>
      <c r="AC437" s="899"/>
      <c r="AD437" s="901"/>
      <c r="AE437" s="2"/>
      <c r="AF437" s="926"/>
      <c r="AG437" s="885"/>
      <c r="AH437" s="885"/>
      <c r="AI437" s="885"/>
      <c r="AJ437" s="885"/>
      <c r="AK437" s="885"/>
      <c r="AL437" s="885"/>
      <c r="AM437" s="879"/>
      <c r="AN437" s="2"/>
      <c r="AO437" s="886"/>
      <c r="AP437" s="886"/>
      <c r="AV437" t="str">
        <f t="shared" si="1259"/>
        <v xml:space="preserve">Aterro e compactação </v>
      </c>
      <c r="AW437" s="4" t="str">
        <f t="shared" si="1258"/>
        <v xml:space="preserve">   Seg. 2.2-CA 08 - Execução de aterro compactado - CA-08 (PN a 95%)</v>
      </c>
    </row>
    <row r="438" spans="1:49" ht="15" customHeight="1" outlineLevel="2">
      <c r="A438" s="545" t="str">
        <f t="shared" ref="A438" si="1412">IF(SUM(P438:V439)&gt;0,"S","N")</f>
        <v>N</v>
      </c>
      <c r="B438" s="526">
        <v>1059648</v>
      </c>
      <c r="C438" s="526" t="s">
        <v>667</v>
      </c>
      <c r="D438" s="527" t="s">
        <v>665</v>
      </c>
      <c r="E438" s="892" t="s">
        <v>668</v>
      </c>
      <c r="F438" s="902" t="s">
        <v>36</v>
      </c>
      <c r="G438" s="528"/>
      <c r="H438" s="546" t="s">
        <v>37</v>
      </c>
      <c r="I438" s="711">
        <v>0</v>
      </c>
      <c r="J438" s="896" t="str">
        <f t="shared" ref="J438" si="1413">IFERROR((I439/I438),"-")</f>
        <v>-</v>
      </c>
      <c r="K438" s="528"/>
      <c r="L438" s="546" t="s">
        <v>37</v>
      </c>
      <c r="M438" s="711">
        <f t="shared" si="1310"/>
        <v>0</v>
      </c>
      <c r="N438" s="896" t="str">
        <f t="shared" ref="N438" si="1414">IFERROR((M439/M438),"-")</f>
        <v>-</v>
      </c>
      <c r="O438" s="528"/>
      <c r="P438" s="547">
        <v>0</v>
      </c>
      <c r="Q438" s="547">
        <v>0</v>
      </c>
      <c r="R438" s="547">
        <v>0</v>
      </c>
      <c r="S438" s="547">
        <v>0</v>
      </c>
      <c r="T438" s="547">
        <v>0</v>
      </c>
      <c r="U438" s="547">
        <v>0</v>
      </c>
      <c r="V438" s="547">
        <v>0</v>
      </c>
      <c r="W438" s="528"/>
      <c r="X438" s="711">
        <f t="shared" si="1304"/>
        <v>0</v>
      </c>
      <c r="Y438" s="896" t="str">
        <f t="shared" ref="Y438" si="1415">IFERROR((X439/X438),"0")</f>
        <v>0</v>
      </c>
      <c r="Z438" s="528"/>
      <c r="AA438" s="898">
        <v>0</v>
      </c>
      <c r="AB438" s="898">
        <v>0</v>
      </c>
      <c r="AC438" s="898">
        <v>0</v>
      </c>
      <c r="AD438" s="900" t="str">
        <f t="shared" ref="AD438" si="1416">IFERROR((AC438/AB438),"-")</f>
        <v>-</v>
      </c>
      <c r="AE438" s="2"/>
      <c r="AF438" s="886">
        <v>880</v>
      </c>
      <c r="AG438" s="884"/>
      <c r="AH438" s="884">
        <v>0</v>
      </c>
      <c r="AI438" s="884"/>
      <c r="AJ438" s="884"/>
      <c r="AK438" s="884">
        <f t="shared" ref="AK438" si="1417">AF438+AG438+AH438+AI438+AJ438+AC438</f>
        <v>880</v>
      </c>
      <c r="AL438" s="884">
        <v>1062.93</v>
      </c>
      <c r="AM438" s="878">
        <f t="shared" ref="AM438" si="1418">IFERROR((AK438/AL438),"-")</f>
        <v>0.8279002380213184</v>
      </c>
      <c r="AN438" s="2"/>
      <c r="AO438" s="884">
        <v>1062.92</v>
      </c>
      <c r="AP438" s="884">
        <f t="shared" ref="AP438" si="1419">AO438-AK438</f>
        <v>182.92000000000007</v>
      </c>
      <c r="AV438" t="str">
        <f t="shared" si="1259"/>
        <v xml:space="preserve">Aterro e compactação </v>
      </c>
      <c r="AW438" s="4" t="str">
        <f t="shared" si="1258"/>
        <v xml:space="preserve">   Seg. 2.2-CA 08 - Camada Final de Aterro - CF-A-08 (PN a 100%)</v>
      </c>
    </row>
    <row r="439" spans="1:49" ht="15" customHeight="1" outlineLevel="2">
      <c r="A439" s="545" t="str">
        <f t="shared" ref="A439" si="1420">A438</f>
        <v>N</v>
      </c>
      <c r="B439" s="526"/>
      <c r="C439" s="526"/>
      <c r="D439" s="527" t="s">
        <v>665</v>
      </c>
      <c r="E439" s="893"/>
      <c r="F439" s="902"/>
      <c r="G439" s="528"/>
      <c r="H439" s="549" t="s">
        <v>38</v>
      </c>
      <c r="I439" s="711">
        <v>0</v>
      </c>
      <c r="J439" s="897"/>
      <c r="K439" s="528"/>
      <c r="L439" s="549" t="s">
        <v>38</v>
      </c>
      <c r="M439" s="711">
        <f t="shared" si="1310"/>
        <v>0</v>
      </c>
      <c r="N439" s="897"/>
      <c r="O439" s="528"/>
      <c r="P439" s="547">
        <v>0</v>
      </c>
      <c r="Q439" s="547">
        <v>0</v>
      </c>
      <c r="R439" s="547">
        <v>0</v>
      </c>
      <c r="S439" s="547">
        <v>0</v>
      </c>
      <c r="T439" s="547">
        <v>0</v>
      </c>
      <c r="U439" s="547">
        <v>0</v>
      </c>
      <c r="V439" s="547">
        <v>0</v>
      </c>
      <c r="W439" s="528"/>
      <c r="X439" s="711">
        <f t="shared" si="1304"/>
        <v>0</v>
      </c>
      <c r="Y439" s="897"/>
      <c r="Z439" s="528"/>
      <c r="AA439" s="899"/>
      <c r="AB439" s="899"/>
      <c r="AC439" s="899"/>
      <c r="AD439" s="901"/>
      <c r="AE439" s="2"/>
      <c r="AF439" s="926"/>
      <c r="AG439" s="885"/>
      <c r="AH439" s="885"/>
      <c r="AI439" s="885"/>
      <c r="AJ439" s="885"/>
      <c r="AK439" s="885"/>
      <c r="AL439" s="885"/>
      <c r="AM439" s="879"/>
      <c r="AN439" s="2"/>
      <c r="AO439" s="886"/>
      <c r="AP439" s="886"/>
      <c r="AV439" t="str">
        <f t="shared" si="1259"/>
        <v xml:space="preserve">Aterro e compactação </v>
      </c>
      <c r="AW439" s="4" t="str">
        <f t="shared" si="1258"/>
        <v xml:space="preserve">   Seg. 2.2-CA 08 - Camada Final de Aterro - CF-A-08 (PN a 100%)</v>
      </c>
    </row>
    <row r="440" spans="1:49" ht="15" customHeight="1" outlineLevel="2">
      <c r="A440" s="545" t="str">
        <f t="shared" ref="A440" si="1421">IF(SUM(P440:V441)&gt;0,"S","N")</f>
        <v>N</v>
      </c>
      <c r="B440" s="526">
        <v>1059649</v>
      </c>
      <c r="C440" s="526" t="s">
        <v>669</v>
      </c>
      <c r="D440" s="527" t="s">
        <v>670</v>
      </c>
      <c r="E440" s="892" t="s">
        <v>671</v>
      </c>
      <c r="F440" s="902" t="s">
        <v>36</v>
      </c>
      <c r="G440" s="528"/>
      <c r="H440" s="546" t="s">
        <v>37</v>
      </c>
      <c r="I440" s="711">
        <v>0</v>
      </c>
      <c r="J440" s="896" t="str">
        <f t="shared" ref="J440" si="1422">IFERROR((I441/I440),"-")</f>
        <v>-</v>
      </c>
      <c r="K440" s="528"/>
      <c r="L440" s="546" t="s">
        <v>37</v>
      </c>
      <c r="M440" s="711">
        <f t="shared" si="1310"/>
        <v>0</v>
      </c>
      <c r="N440" s="896" t="str">
        <f t="shared" ref="N440" si="1423">IFERROR((M441/M440),"-")</f>
        <v>-</v>
      </c>
      <c r="O440" s="528"/>
      <c r="P440" s="547">
        <v>0</v>
      </c>
      <c r="Q440" s="547">
        <v>0</v>
      </c>
      <c r="R440" s="547">
        <v>0</v>
      </c>
      <c r="S440" s="547">
        <v>0</v>
      </c>
      <c r="T440" s="547">
        <v>0</v>
      </c>
      <c r="U440" s="547">
        <v>0</v>
      </c>
      <c r="V440" s="547">
        <v>0</v>
      </c>
      <c r="W440" s="528"/>
      <c r="X440" s="711">
        <f t="shared" si="1304"/>
        <v>0</v>
      </c>
      <c r="Y440" s="896" t="str">
        <f t="shared" ref="Y440" si="1424">IFERROR((X441/X440),"0")</f>
        <v>0</v>
      </c>
      <c r="Z440" s="528"/>
      <c r="AA440" s="898">
        <v>0</v>
      </c>
      <c r="AB440" s="898">
        <v>0</v>
      </c>
      <c r="AC440" s="898">
        <v>0</v>
      </c>
      <c r="AD440" s="900" t="str">
        <f t="shared" ref="AD440" si="1425">IFERROR((AC440/AB440),"-")</f>
        <v>-</v>
      </c>
      <c r="AE440" s="2"/>
      <c r="AF440" s="886">
        <v>1216</v>
      </c>
      <c r="AG440" s="884"/>
      <c r="AH440" s="884">
        <v>0</v>
      </c>
      <c r="AI440" s="884"/>
      <c r="AJ440" s="884"/>
      <c r="AK440" s="884">
        <f t="shared" ref="AK440" si="1426">AF440+AG440+AH440+AI440+AJ440+AC440</f>
        <v>1216</v>
      </c>
      <c r="AL440" s="884">
        <v>1216</v>
      </c>
      <c r="AM440" s="878">
        <f t="shared" ref="AM440" si="1427">IFERROR((AK440/AL440),"-")</f>
        <v>1</v>
      </c>
      <c r="AN440" s="2"/>
      <c r="AO440" s="884">
        <v>1216</v>
      </c>
      <c r="AP440" s="884">
        <f t="shared" ref="AP440" si="1428">AO440-AK440</f>
        <v>0</v>
      </c>
      <c r="AV440" t="str">
        <f t="shared" si="1259"/>
        <v xml:space="preserve">Aterro e compactação </v>
      </c>
      <c r="AW440" s="4" t="str">
        <f t="shared" si="1258"/>
        <v xml:space="preserve">   Seg. 2.2-CA 09 - Execução de aterro compactado - CA-09 (PN a 95%)</v>
      </c>
    </row>
    <row r="441" spans="1:49" ht="15" customHeight="1" outlineLevel="2">
      <c r="A441" s="545" t="str">
        <f t="shared" ref="A441" si="1429">A440</f>
        <v>N</v>
      </c>
      <c r="B441" s="526"/>
      <c r="C441" s="526"/>
      <c r="D441" s="527" t="s">
        <v>670</v>
      </c>
      <c r="E441" s="893"/>
      <c r="F441" s="902"/>
      <c r="G441" s="528"/>
      <c r="H441" s="549" t="s">
        <v>38</v>
      </c>
      <c r="I441" s="711">
        <v>0</v>
      </c>
      <c r="J441" s="897"/>
      <c r="K441" s="528"/>
      <c r="L441" s="549" t="s">
        <v>38</v>
      </c>
      <c r="M441" s="711">
        <f t="shared" si="1310"/>
        <v>0</v>
      </c>
      <c r="N441" s="897"/>
      <c r="O441" s="528"/>
      <c r="P441" s="547">
        <v>0</v>
      </c>
      <c r="Q441" s="547">
        <v>0</v>
      </c>
      <c r="R441" s="547">
        <v>0</v>
      </c>
      <c r="S441" s="547">
        <v>0</v>
      </c>
      <c r="T441" s="547">
        <v>0</v>
      </c>
      <c r="U441" s="547">
        <v>0</v>
      </c>
      <c r="V441" s="547">
        <v>0</v>
      </c>
      <c r="W441" s="528"/>
      <c r="X441" s="711">
        <f t="shared" si="1304"/>
        <v>0</v>
      </c>
      <c r="Y441" s="897"/>
      <c r="Z441" s="528"/>
      <c r="AA441" s="899"/>
      <c r="AB441" s="899"/>
      <c r="AC441" s="899"/>
      <c r="AD441" s="901"/>
      <c r="AE441" s="2"/>
      <c r="AF441" s="926"/>
      <c r="AG441" s="885"/>
      <c r="AH441" s="885"/>
      <c r="AI441" s="885"/>
      <c r="AJ441" s="885"/>
      <c r="AK441" s="885"/>
      <c r="AL441" s="885"/>
      <c r="AM441" s="879"/>
      <c r="AN441" s="2"/>
      <c r="AO441" s="886"/>
      <c r="AP441" s="886"/>
      <c r="AV441" t="str">
        <f t="shared" si="1259"/>
        <v xml:space="preserve">Aterro e compactação </v>
      </c>
      <c r="AW441" s="4" t="str">
        <f t="shared" si="1258"/>
        <v xml:space="preserve">   Seg. 2.2-CA 09 - Execução de aterro compactado - CA-09 (PN a 95%)</v>
      </c>
    </row>
    <row r="442" spans="1:49" ht="15" customHeight="1" outlineLevel="2">
      <c r="A442" s="545" t="str">
        <f t="shared" ref="A442" si="1430">IF(SUM(P442:V443)&gt;0,"S","N")</f>
        <v>N</v>
      </c>
      <c r="B442" s="526">
        <v>1059650</v>
      </c>
      <c r="C442" s="526" t="s">
        <v>672</v>
      </c>
      <c r="D442" s="527" t="s">
        <v>673</v>
      </c>
      <c r="E442" s="892" t="s">
        <v>674</v>
      </c>
      <c r="F442" s="902" t="s">
        <v>36</v>
      </c>
      <c r="G442" s="528"/>
      <c r="H442" s="546" t="s">
        <v>37</v>
      </c>
      <c r="I442" s="711">
        <v>0</v>
      </c>
      <c r="J442" s="896" t="str">
        <f>IFERROR((I443/I442),"-")</f>
        <v>-</v>
      </c>
      <c r="K442" s="528"/>
      <c r="L442" s="546" t="s">
        <v>37</v>
      </c>
      <c r="M442" s="711">
        <f t="shared" si="1310"/>
        <v>0</v>
      </c>
      <c r="N442" s="896" t="str">
        <f>IFERROR((M443/M442),"-")</f>
        <v>-</v>
      </c>
      <c r="O442" s="528"/>
      <c r="P442" s="547">
        <v>0</v>
      </c>
      <c r="Q442" s="547">
        <v>0</v>
      </c>
      <c r="R442" s="547">
        <v>0</v>
      </c>
      <c r="S442" s="547">
        <v>0</v>
      </c>
      <c r="T442" s="547">
        <v>0</v>
      </c>
      <c r="U442" s="547">
        <v>0</v>
      </c>
      <c r="V442" s="547">
        <v>0</v>
      </c>
      <c r="W442" s="528"/>
      <c r="X442" s="711">
        <f t="shared" si="1304"/>
        <v>0</v>
      </c>
      <c r="Y442" s="896" t="str">
        <f t="shared" ref="Y442" si="1431">IFERROR((X443/X442),"0")</f>
        <v>0</v>
      </c>
      <c r="Z442" s="528"/>
      <c r="AA442" s="898">
        <v>86</v>
      </c>
      <c r="AB442" s="898">
        <v>79.44</v>
      </c>
      <c r="AC442" s="898">
        <v>0</v>
      </c>
      <c r="AD442" s="900">
        <f t="shared" ref="AD442" si="1432">IFERROR((AC442/AB442),"-")</f>
        <v>0</v>
      </c>
      <c r="AE442" s="2"/>
      <c r="AF442" s="886">
        <v>272.02</v>
      </c>
      <c r="AG442" s="884"/>
      <c r="AH442" s="884">
        <v>0</v>
      </c>
      <c r="AI442" s="884"/>
      <c r="AJ442" s="884"/>
      <c r="AK442" s="884">
        <f t="shared" ref="AK442" si="1433">AF442+AG442+AH442+AI442+AJ442+AC442</f>
        <v>272.02</v>
      </c>
      <c r="AL442" s="884">
        <v>351.46000000000004</v>
      </c>
      <c r="AM442" s="878">
        <f t="shared" ref="AM442" si="1434">IFERROR((AK442/AL442),"-")</f>
        <v>0.77397143344904096</v>
      </c>
      <c r="AN442" s="2"/>
      <c r="AO442" s="884">
        <v>357.92</v>
      </c>
      <c r="AP442" s="884">
        <f t="shared" ref="AP442" si="1435">AO442-AK442</f>
        <v>85.900000000000034</v>
      </c>
      <c r="AV442" t="str">
        <f t="shared" si="1259"/>
        <v xml:space="preserve">Aterro e compactação </v>
      </c>
      <c r="AW442" s="4" t="str">
        <f t="shared" si="1258"/>
        <v xml:space="preserve">   Seg. 2.2-CA 09 - Camada Final de Aterro - CF-A-09 (PN a 100%)</v>
      </c>
    </row>
    <row r="443" spans="1:49" ht="15" customHeight="1" outlineLevel="2">
      <c r="A443" s="545" t="str">
        <f t="shared" ref="A443" si="1436">A442</f>
        <v>N</v>
      </c>
      <c r="B443" s="526"/>
      <c r="C443" s="526"/>
      <c r="D443" s="527" t="s">
        <v>673</v>
      </c>
      <c r="E443" s="893"/>
      <c r="F443" s="902"/>
      <c r="G443" s="528"/>
      <c r="H443" s="549" t="s">
        <v>38</v>
      </c>
      <c r="I443" s="711">
        <v>0</v>
      </c>
      <c r="J443" s="897"/>
      <c r="K443" s="528"/>
      <c r="L443" s="549" t="s">
        <v>38</v>
      </c>
      <c r="M443" s="711">
        <f t="shared" si="1310"/>
        <v>0</v>
      </c>
      <c r="N443" s="897"/>
      <c r="O443" s="528"/>
      <c r="P443" s="547">
        <v>0</v>
      </c>
      <c r="Q443" s="547">
        <v>0</v>
      </c>
      <c r="R443" s="547">
        <v>0</v>
      </c>
      <c r="S443" s="547">
        <v>0</v>
      </c>
      <c r="T443" s="547">
        <v>0</v>
      </c>
      <c r="U443" s="547">
        <v>0</v>
      </c>
      <c r="V443" s="547">
        <v>0</v>
      </c>
      <c r="W443" s="528"/>
      <c r="X443" s="711">
        <f t="shared" si="1304"/>
        <v>0</v>
      </c>
      <c r="Y443" s="897"/>
      <c r="Z443" s="528"/>
      <c r="AA443" s="899"/>
      <c r="AB443" s="899"/>
      <c r="AC443" s="899"/>
      <c r="AD443" s="901"/>
      <c r="AE443" s="2"/>
      <c r="AF443" s="926"/>
      <c r="AG443" s="885"/>
      <c r="AH443" s="885"/>
      <c r="AI443" s="885"/>
      <c r="AJ443" s="885"/>
      <c r="AK443" s="885"/>
      <c r="AL443" s="885"/>
      <c r="AM443" s="879"/>
      <c r="AN443" s="2"/>
      <c r="AO443" s="886"/>
      <c r="AP443" s="886"/>
      <c r="AV443" t="str">
        <f t="shared" si="1259"/>
        <v xml:space="preserve">Aterro e compactação </v>
      </c>
      <c r="AW443" s="4" t="str">
        <f t="shared" si="1258"/>
        <v xml:space="preserve">   Seg. 2.2-CA 09 - Camada Final de Aterro - CF-A-09 (PN a 100%)</v>
      </c>
    </row>
    <row r="444" spans="1:49" ht="15" customHeight="1" outlineLevel="2">
      <c r="A444" s="545" t="str">
        <f t="shared" ref="A444" si="1437">IF(SUM(P444:V445)&gt;0,"S","N")</f>
        <v>N</v>
      </c>
      <c r="B444" s="526">
        <v>1059651</v>
      </c>
      <c r="C444" s="526" t="s">
        <v>675</v>
      </c>
      <c r="D444" s="527" t="s">
        <v>676</v>
      </c>
      <c r="E444" s="892" t="s">
        <v>677</v>
      </c>
      <c r="F444" s="902" t="s">
        <v>36</v>
      </c>
      <c r="G444" s="528"/>
      <c r="H444" s="546" t="s">
        <v>37</v>
      </c>
      <c r="I444" s="711">
        <v>0</v>
      </c>
      <c r="J444" s="896" t="str">
        <f t="shared" ref="J444" si="1438">IFERROR((I445/I444),"-")</f>
        <v>-</v>
      </c>
      <c r="K444" s="528"/>
      <c r="L444" s="546" t="s">
        <v>37</v>
      </c>
      <c r="M444" s="711">
        <f t="shared" si="1310"/>
        <v>0</v>
      </c>
      <c r="N444" s="896" t="str">
        <f t="shared" ref="N444" si="1439">IFERROR((M445/M444),"-")</f>
        <v>-</v>
      </c>
      <c r="O444" s="528"/>
      <c r="P444" s="547">
        <v>0</v>
      </c>
      <c r="Q444" s="547">
        <v>0</v>
      </c>
      <c r="R444" s="547">
        <v>0</v>
      </c>
      <c r="S444" s="547">
        <v>0</v>
      </c>
      <c r="T444" s="547">
        <v>0</v>
      </c>
      <c r="U444" s="547">
        <v>0</v>
      </c>
      <c r="V444" s="547">
        <v>0</v>
      </c>
      <c r="W444" s="528"/>
      <c r="X444" s="711">
        <f t="shared" si="1304"/>
        <v>0</v>
      </c>
      <c r="Y444" s="896" t="str">
        <f t="shared" ref="Y444" si="1440">IFERROR((X445/X444),"0")</f>
        <v>0</v>
      </c>
      <c r="Z444" s="528"/>
      <c r="AA444" s="898">
        <v>0</v>
      </c>
      <c r="AB444" s="898">
        <v>0</v>
      </c>
      <c r="AC444" s="898">
        <v>0</v>
      </c>
      <c r="AD444" s="900" t="str">
        <f t="shared" ref="AD444" si="1441">IFERROR((AC444/AB444),"-")</f>
        <v>-</v>
      </c>
      <c r="AE444" s="2"/>
      <c r="AF444" s="886">
        <v>3359.83</v>
      </c>
      <c r="AG444" s="884"/>
      <c r="AH444" s="884">
        <v>0</v>
      </c>
      <c r="AI444" s="884"/>
      <c r="AJ444" s="884"/>
      <c r="AK444" s="884">
        <f t="shared" ref="AK444" si="1442">AF444+AG444+AH444+AI444+AJ444+AC444</f>
        <v>3359.83</v>
      </c>
      <c r="AL444" s="884">
        <v>32363.97</v>
      </c>
      <c r="AM444" s="878">
        <f t="shared" ref="AM444" si="1443">IFERROR((AK444/AL444),"-")</f>
        <v>0.10381390169376624</v>
      </c>
      <c r="AN444" s="2"/>
      <c r="AO444" s="884">
        <v>32364</v>
      </c>
      <c r="AP444" s="884">
        <f t="shared" ref="AP444" si="1444">AO444-AK444</f>
        <v>29004.17</v>
      </c>
      <c r="AV444" t="str">
        <f t="shared" si="1259"/>
        <v xml:space="preserve">Aterro e compactação </v>
      </c>
      <c r="AW444" s="4" t="str">
        <f t="shared" si="1258"/>
        <v xml:space="preserve">   Seg. 2.2-CA 10 - Execução de aterro compactado - CA-10 (PN a 95%)</v>
      </c>
    </row>
    <row r="445" spans="1:49" ht="15" customHeight="1" outlineLevel="2">
      <c r="A445" s="545" t="str">
        <f t="shared" ref="A445" si="1445">A444</f>
        <v>N</v>
      </c>
      <c r="B445" s="526"/>
      <c r="C445" s="526"/>
      <c r="D445" s="527" t="s">
        <v>676</v>
      </c>
      <c r="E445" s="893"/>
      <c r="F445" s="902"/>
      <c r="G445" s="528"/>
      <c r="H445" s="549" t="s">
        <v>38</v>
      </c>
      <c r="I445" s="711">
        <v>0</v>
      </c>
      <c r="J445" s="897"/>
      <c r="K445" s="528"/>
      <c r="L445" s="549" t="s">
        <v>38</v>
      </c>
      <c r="M445" s="711">
        <f t="shared" si="1310"/>
        <v>0</v>
      </c>
      <c r="N445" s="897"/>
      <c r="O445" s="528"/>
      <c r="P445" s="547">
        <v>0</v>
      </c>
      <c r="Q445" s="547">
        <v>0</v>
      </c>
      <c r="R445" s="547">
        <v>0</v>
      </c>
      <c r="S445" s="547">
        <v>0</v>
      </c>
      <c r="T445" s="547">
        <v>0</v>
      </c>
      <c r="U445" s="547">
        <v>0</v>
      </c>
      <c r="V445" s="547">
        <v>0</v>
      </c>
      <c r="W445" s="528"/>
      <c r="X445" s="711">
        <f t="shared" si="1304"/>
        <v>0</v>
      </c>
      <c r="Y445" s="897"/>
      <c r="Z445" s="528"/>
      <c r="AA445" s="899"/>
      <c r="AB445" s="899"/>
      <c r="AC445" s="899"/>
      <c r="AD445" s="901"/>
      <c r="AE445" s="2"/>
      <c r="AF445" s="926"/>
      <c r="AG445" s="885"/>
      <c r="AH445" s="885"/>
      <c r="AI445" s="885"/>
      <c r="AJ445" s="885"/>
      <c r="AK445" s="885"/>
      <c r="AL445" s="885"/>
      <c r="AM445" s="879"/>
      <c r="AN445" s="2"/>
      <c r="AO445" s="886"/>
      <c r="AP445" s="886"/>
      <c r="AV445" t="str">
        <f t="shared" si="1259"/>
        <v xml:space="preserve">Aterro e compactação </v>
      </c>
      <c r="AW445" s="4" t="str">
        <f t="shared" si="1258"/>
        <v xml:space="preserve">   Seg. 2.2-CA 10 - Execução de aterro compactado - CA-10 (PN a 95%)</v>
      </c>
    </row>
    <row r="446" spans="1:49" ht="15" customHeight="1" outlineLevel="2">
      <c r="A446" s="545" t="str">
        <f t="shared" ref="A446" si="1446">IF(SUM(P446:V447)&gt;0,"S","N")</f>
        <v>N</v>
      </c>
      <c r="B446" s="526">
        <v>1059652</v>
      </c>
      <c r="C446" s="526" t="s">
        <v>678</v>
      </c>
      <c r="D446" s="527" t="s">
        <v>679</v>
      </c>
      <c r="E446" s="892" t="s">
        <v>680</v>
      </c>
      <c r="F446" s="902" t="s">
        <v>36</v>
      </c>
      <c r="G446" s="528"/>
      <c r="H446" s="546" t="s">
        <v>37</v>
      </c>
      <c r="I446" s="711">
        <v>0</v>
      </c>
      <c r="J446" s="896" t="str">
        <f t="shared" ref="J446" si="1447">IFERROR((I447/I446),"-")</f>
        <v>-</v>
      </c>
      <c r="K446" s="528"/>
      <c r="L446" s="546" t="s">
        <v>37</v>
      </c>
      <c r="M446" s="711">
        <f t="shared" si="1310"/>
        <v>0</v>
      </c>
      <c r="N446" s="896" t="str">
        <f t="shared" ref="N446" si="1448">IFERROR((M447/M446),"-")</f>
        <v>-</v>
      </c>
      <c r="O446" s="528"/>
      <c r="P446" s="547">
        <v>0</v>
      </c>
      <c r="Q446" s="547">
        <v>0</v>
      </c>
      <c r="R446" s="547">
        <v>0</v>
      </c>
      <c r="S446" s="547">
        <v>0</v>
      </c>
      <c r="T446" s="547">
        <v>0</v>
      </c>
      <c r="U446" s="547">
        <v>0</v>
      </c>
      <c r="V446" s="547">
        <v>0</v>
      </c>
      <c r="W446" s="528"/>
      <c r="X446" s="711">
        <f t="shared" si="1304"/>
        <v>0</v>
      </c>
      <c r="Y446" s="896" t="str">
        <f t="shared" ref="Y446" si="1449">IFERROR((X447/X446),"0")</f>
        <v>0</v>
      </c>
      <c r="Z446" s="528"/>
      <c r="AA446" s="898">
        <v>0</v>
      </c>
      <c r="AB446" s="898">
        <v>0</v>
      </c>
      <c r="AC446" s="898">
        <v>0</v>
      </c>
      <c r="AD446" s="900" t="str">
        <f t="shared" ref="AD446" si="1450">IFERROR((AC446/AB446),"-")</f>
        <v>-</v>
      </c>
      <c r="AE446" s="2"/>
      <c r="AF446" s="886">
        <v>3435.2890000000002</v>
      </c>
      <c r="AG446" s="884"/>
      <c r="AH446" s="884">
        <v>0</v>
      </c>
      <c r="AI446" s="884"/>
      <c r="AJ446" s="884"/>
      <c r="AK446" s="884">
        <f t="shared" ref="AK446" si="1451">AF446+AG446+AH446+AI446+AJ446+AC446</f>
        <v>3435.2890000000002</v>
      </c>
      <c r="AL446" s="884">
        <v>3386.27</v>
      </c>
      <c r="AM446" s="878">
        <f t="shared" ref="AM446" si="1452">IFERROR((AK446/AL446),"-")</f>
        <v>1.0144758096666835</v>
      </c>
      <c r="AN446" s="2"/>
      <c r="AO446" s="884">
        <v>3386.27</v>
      </c>
      <c r="AP446" s="884">
        <f t="shared" ref="AP446" si="1453">AO446-AK446</f>
        <v>-49.019000000000233</v>
      </c>
      <c r="AV446" t="str">
        <f t="shared" si="1259"/>
        <v xml:space="preserve">Aterro e compactação </v>
      </c>
      <c r="AW446" s="4" t="str">
        <f t="shared" si="1258"/>
        <v xml:space="preserve">   Seg. 2.2-CA 10 - Camada Final de Aterro - CF-A-10 (PN a 100%)</v>
      </c>
    </row>
    <row r="447" spans="1:49" ht="15" customHeight="1" outlineLevel="2">
      <c r="A447" s="545" t="str">
        <f t="shared" ref="A447" si="1454">A446</f>
        <v>N</v>
      </c>
      <c r="B447" s="526"/>
      <c r="C447" s="526"/>
      <c r="D447" s="527" t="s">
        <v>679</v>
      </c>
      <c r="E447" s="893"/>
      <c r="F447" s="902"/>
      <c r="G447" s="528"/>
      <c r="H447" s="549" t="s">
        <v>38</v>
      </c>
      <c r="I447" s="711">
        <v>0</v>
      </c>
      <c r="J447" s="897"/>
      <c r="K447" s="528"/>
      <c r="L447" s="549" t="s">
        <v>38</v>
      </c>
      <c r="M447" s="711">
        <f t="shared" si="1310"/>
        <v>0</v>
      </c>
      <c r="N447" s="897"/>
      <c r="O447" s="528"/>
      <c r="P447" s="547">
        <v>0</v>
      </c>
      <c r="Q447" s="547">
        <v>0</v>
      </c>
      <c r="R447" s="547">
        <v>0</v>
      </c>
      <c r="S447" s="547">
        <v>0</v>
      </c>
      <c r="T447" s="547">
        <v>0</v>
      </c>
      <c r="U447" s="547">
        <v>0</v>
      </c>
      <c r="V447" s="547">
        <v>0</v>
      </c>
      <c r="W447" s="528"/>
      <c r="X447" s="711">
        <f t="shared" si="1304"/>
        <v>0</v>
      </c>
      <c r="Y447" s="897"/>
      <c r="Z447" s="528"/>
      <c r="AA447" s="899"/>
      <c r="AB447" s="899"/>
      <c r="AC447" s="899"/>
      <c r="AD447" s="901"/>
      <c r="AE447" s="2"/>
      <c r="AF447" s="926"/>
      <c r="AG447" s="885"/>
      <c r="AH447" s="885"/>
      <c r="AI447" s="885"/>
      <c r="AJ447" s="885"/>
      <c r="AK447" s="885"/>
      <c r="AL447" s="885"/>
      <c r="AM447" s="879"/>
      <c r="AN447" s="2"/>
      <c r="AO447" s="886"/>
      <c r="AP447" s="886"/>
      <c r="AV447" t="str">
        <f t="shared" si="1259"/>
        <v xml:space="preserve">Aterro e compactação </v>
      </c>
      <c r="AW447" s="4" t="str">
        <f t="shared" si="1258"/>
        <v xml:space="preserve">   Seg. 2.2-CA 10 - Camada Final de Aterro - CF-A-10 (PN a 100%)</v>
      </c>
    </row>
    <row r="448" spans="1:49" ht="15" customHeight="1" outlineLevel="2">
      <c r="A448" s="545" t="str">
        <f t="shared" ref="A448" si="1455">IF(SUM(P448:V449)&gt;0,"S","N")</f>
        <v>N</v>
      </c>
      <c r="B448" s="526">
        <v>1059654</v>
      </c>
      <c r="C448" s="526" t="s">
        <v>681</v>
      </c>
      <c r="D448" s="527" t="s">
        <v>682</v>
      </c>
      <c r="E448" s="892" t="s">
        <v>683</v>
      </c>
      <c r="F448" s="902" t="s">
        <v>36</v>
      </c>
      <c r="G448" s="528"/>
      <c r="H448" s="546" t="s">
        <v>37</v>
      </c>
      <c r="I448" s="711">
        <v>0</v>
      </c>
      <c r="J448" s="896" t="str">
        <f t="shared" ref="J448" si="1456">IFERROR((I449/I448),"-")</f>
        <v>-</v>
      </c>
      <c r="K448" s="528"/>
      <c r="L448" s="546" t="s">
        <v>37</v>
      </c>
      <c r="M448" s="711">
        <f t="shared" si="1310"/>
        <v>0</v>
      </c>
      <c r="N448" s="896" t="str">
        <f t="shared" ref="N448" si="1457">IFERROR((M449/M448),"-")</f>
        <v>-</v>
      </c>
      <c r="O448" s="528"/>
      <c r="P448" s="547">
        <v>0</v>
      </c>
      <c r="Q448" s="547">
        <v>0</v>
      </c>
      <c r="R448" s="547">
        <v>0</v>
      </c>
      <c r="S448" s="547">
        <v>0</v>
      </c>
      <c r="T448" s="547">
        <v>0</v>
      </c>
      <c r="U448" s="547">
        <v>0</v>
      </c>
      <c r="V448" s="547">
        <v>0</v>
      </c>
      <c r="W448" s="528"/>
      <c r="X448" s="711">
        <f t="shared" si="1304"/>
        <v>0</v>
      </c>
      <c r="Y448" s="896" t="str">
        <f t="shared" ref="Y448" si="1458">IFERROR((X449/X448),"0")</f>
        <v>0</v>
      </c>
      <c r="Z448" s="528"/>
      <c r="AA448" s="898">
        <v>0</v>
      </c>
      <c r="AB448" s="898">
        <v>0</v>
      </c>
      <c r="AC448" s="898">
        <v>0</v>
      </c>
      <c r="AD448" s="900" t="str">
        <f t="shared" ref="AD448" si="1459">IFERROR((AC448/AB448),"-")</f>
        <v>-</v>
      </c>
      <c r="AE448" s="2"/>
      <c r="AF448" s="886">
        <v>22287.432000000001</v>
      </c>
      <c r="AG448" s="884"/>
      <c r="AH448" s="884">
        <v>0</v>
      </c>
      <c r="AI448" s="884"/>
      <c r="AJ448" s="884"/>
      <c r="AK448" s="884">
        <f t="shared" ref="AK448" si="1460">AF448+AG448+AH448+AI448+AJ448+AC448</f>
        <v>22287.432000000001</v>
      </c>
      <c r="AL448" s="884">
        <v>39647.989999999991</v>
      </c>
      <c r="AM448" s="878">
        <f t="shared" ref="AM448" si="1461">IFERROR((AK448/AL448),"-")</f>
        <v>0.56213270836680518</v>
      </c>
      <c r="AN448" s="2"/>
      <c r="AO448" s="884">
        <v>39648</v>
      </c>
      <c r="AP448" s="884">
        <f t="shared" ref="AP448" si="1462">AO448-AK448</f>
        <v>17360.567999999999</v>
      </c>
      <c r="AV448" t="str">
        <f t="shared" si="1259"/>
        <v xml:space="preserve">Aterro e compactação </v>
      </c>
      <c r="AW448" s="4" t="str">
        <f t="shared" si="1258"/>
        <v xml:space="preserve">   Seg. 2.2-CA 11 - Execução de aterro compactado - CA-11 (PN a 95%)</v>
      </c>
    </row>
    <row r="449" spans="1:49" ht="15" customHeight="1" outlineLevel="2">
      <c r="A449" s="545" t="str">
        <f t="shared" ref="A449" si="1463">A448</f>
        <v>N</v>
      </c>
      <c r="B449" s="526"/>
      <c r="C449" s="526"/>
      <c r="D449" s="527" t="s">
        <v>682</v>
      </c>
      <c r="E449" s="893"/>
      <c r="F449" s="902"/>
      <c r="G449" s="528"/>
      <c r="H449" s="549" t="s">
        <v>38</v>
      </c>
      <c r="I449" s="711">
        <v>0</v>
      </c>
      <c r="J449" s="897"/>
      <c r="K449" s="528"/>
      <c r="L449" s="549" t="s">
        <v>38</v>
      </c>
      <c r="M449" s="711">
        <f t="shared" si="1310"/>
        <v>0</v>
      </c>
      <c r="N449" s="897"/>
      <c r="O449" s="528"/>
      <c r="P449" s="547">
        <v>0</v>
      </c>
      <c r="Q449" s="547">
        <v>0</v>
      </c>
      <c r="R449" s="547">
        <v>0</v>
      </c>
      <c r="S449" s="547">
        <v>0</v>
      </c>
      <c r="T449" s="547">
        <v>0</v>
      </c>
      <c r="U449" s="547">
        <v>0</v>
      </c>
      <c r="V449" s="547">
        <v>0</v>
      </c>
      <c r="W449" s="528"/>
      <c r="X449" s="711">
        <f t="shared" si="1304"/>
        <v>0</v>
      </c>
      <c r="Y449" s="897"/>
      <c r="Z449" s="528"/>
      <c r="AA449" s="899"/>
      <c r="AB449" s="899"/>
      <c r="AC449" s="899"/>
      <c r="AD449" s="901"/>
      <c r="AE449" s="2"/>
      <c r="AF449" s="926"/>
      <c r="AG449" s="885"/>
      <c r="AH449" s="885"/>
      <c r="AI449" s="885"/>
      <c r="AJ449" s="885"/>
      <c r="AK449" s="885"/>
      <c r="AL449" s="885"/>
      <c r="AM449" s="879"/>
      <c r="AN449" s="2"/>
      <c r="AO449" s="886"/>
      <c r="AP449" s="886"/>
      <c r="AV449" t="str">
        <f t="shared" si="1259"/>
        <v xml:space="preserve">Aterro e compactação </v>
      </c>
      <c r="AW449" s="4" t="str">
        <f t="shared" si="1258"/>
        <v xml:space="preserve">   Seg. 2.2-CA 11 - Execução de aterro compactado - CA-11 (PN a 95%)</v>
      </c>
    </row>
    <row r="450" spans="1:49" ht="15" customHeight="1" outlineLevel="2">
      <c r="A450" s="545" t="str">
        <f t="shared" ref="A450" si="1464">IF(SUM(P450:V451)&gt;0,"S","N")</f>
        <v>N</v>
      </c>
      <c r="B450" s="526">
        <v>1059655</v>
      </c>
      <c r="C450" s="526" t="s">
        <v>684</v>
      </c>
      <c r="D450" s="527" t="s">
        <v>685</v>
      </c>
      <c r="E450" s="892" t="s">
        <v>686</v>
      </c>
      <c r="F450" s="902" t="s">
        <v>36</v>
      </c>
      <c r="G450" s="528"/>
      <c r="H450" s="546" t="s">
        <v>37</v>
      </c>
      <c r="I450" s="711">
        <v>0</v>
      </c>
      <c r="J450" s="896" t="str">
        <f t="shared" ref="J450" si="1465">IFERROR((I451/I450),"-")</f>
        <v>-</v>
      </c>
      <c r="K450" s="528"/>
      <c r="L450" s="546" t="s">
        <v>37</v>
      </c>
      <c r="M450" s="711">
        <f t="shared" si="1310"/>
        <v>0</v>
      </c>
      <c r="N450" s="896" t="str">
        <f t="shared" ref="N450" si="1466">IFERROR((M451/M450),"-")</f>
        <v>-</v>
      </c>
      <c r="O450" s="528"/>
      <c r="P450" s="547">
        <v>0</v>
      </c>
      <c r="Q450" s="547">
        <v>0</v>
      </c>
      <c r="R450" s="547">
        <v>0</v>
      </c>
      <c r="S450" s="547">
        <v>0</v>
      </c>
      <c r="T450" s="547">
        <v>0</v>
      </c>
      <c r="U450" s="547">
        <v>0</v>
      </c>
      <c r="V450" s="547">
        <v>0</v>
      </c>
      <c r="W450" s="528"/>
      <c r="X450" s="711">
        <f t="shared" si="1304"/>
        <v>0</v>
      </c>
      <c r="Y450" s="896" t="str">
        <f t="shared" ref="Y450" si="1467">IFERROR((X451/X450),"0")</f>
        <v>0</v>
      </c>
      <c r="Z450" s="528"/>
      <c r="AA450" s="898">
        <v>0</v>
      </c>
      <c r="AB450" s="898">
        <v>0</v>
      </c>
      <c r="AC450" s="898">
        <v>0</v>
      </c>
      <c r="AD450" s="900" t="str">
        <f t="shared" ref="AD450" si="1468">IFERROR((AC450/AB450),"-")</f>
        <v>-</v>
      </c>
      <c r="AE450" s="2"/>
      <c r="AF450" s="886">
        <v>3176.0149999999999</v>
      </c>
      <c r="AG450" s="884"/>
      <c r="AH450" s="884">
        <v>0</v>
      </c>
      <c r="AI450" s="884"/>
      <c r="AJ450" s="884"/>
      <c r="AK450" s="884">
        <f t="shared" ref="AK450" si="1469">AF450+AG450+AH450+AI450+AJ450+AC450</f>
        <v>3176.0149999999999</v>
      </c>
      <c r="AL450" s="884">
        <v>3176.01</v>
      </c>
      <c r="AM450" s="878">
        <f t="shared" ref="AM450" si="1470">IFERROR((AK450/AL450),"-")</f>
        <v>1.0000015743023478</v>
      </c>
      <c r="AN450" s="2"/>
      <c r="AO450" s="884">
        <v>3176</v>
      </c>
      <c r="AP450" s="884">
        <f t="shared" ref="AP450" si="1471">AO450-AK450</f>
        <v>-1.4999999999872671E-2</v>
      </c>
      <c r="AV450" t="str">
        <f t="shared" si="1259"/>
        <v xml:space="preserve">Aterro e compactação </v>
      </c>
      <c r="AW450" s="4" t="str">
        <f t="shared" si="1258"/>
        <v xml:space="preserve">   Seg. 2.2-CA 11 - Camada Final de Aterro - CF-A-11 (PN a 100%)</v>
      </c>
    </row>
    <row r="451" spans="1:49" ht="15" customHeight="1" outlineLevel="2">
      <c r="A451" s="545" t="str">
        <f t="shared" ref="A451" si="1472">A450</f>
        <v>N</v>
      </c>
      <c r="B451" s="526"/>
      <c r="C451" s="526"/>
      <c r="D451" s="527" t="s">
        <v>685</v>
      </c>
      <c r="E451" s="893"/>
      <c r="F451" s="902"/>
      <c r="G451" s="528"/>
      <c r="H451" s="549" t="s">
        <v>38</v>
      </c>
      <c r="I451" s="711">
        <v>0</v>
      </c>
      <c r="J451" s="897"/>
      <c r="K451" s="528"/>
      <c r="L451" s="549" t="s">
        <v>38</v>
      </c>
      <c r="M451" s="711">
        <f t="shared" si="1310"/>
        <v>0</v>
      </c>
      <c r="N451" s="897"/>
      <c r="O451" s="528"/>
      <c r="P451" s="547">
        <v>0</v>
      </c>
      <c r="Q451" s="547">
        <v>0</v>
      </c>
      <c r="R451" s="547">
        <v>0</v>
      </c>
      <c r="S451" s="547">
        <v>0</v>
      </c>
      <c r="T451" s="547">
        <v>0</v>
      </c>
      <c r="U451" s="547">
        <v>0</v>
      </c>
      <c r="V451" s="547">
        <v>0</v>
      </c>
      <c r="W451" s="528"/>
      <c r="X451" s="711">
        <f t="shared" si="1304"/>
        <v>0</v>
      </c>
      <c r="Y451" s="897"/>
      <c r="Z451" s="528"/>
      <c r="AA451" s="899"/>
      <c r="AB451" s="899"/>
      <c r="AC451" s="899"/>
      <c r="AD451" s="901"/>
      <c r="AE451" s="2"/>
      <c r="AF451" s="926"/>
      <c r="AG451" s="885"/>
      <c r="AH451" s="885"/>
      <c r="AI451" s="885"/>
      <c r="AJ451" s="885"/>
      <c r="AK451" s="885"/>
      <c r="AL451" s="885"/>
      <c r="AM451" s="879"/>
      <c r="AN451" s="2"/>
      <c r="AO451" s="886"/>
      <c r="AP451" s="886"/>
      <c r="AV451" t="str">
        <f t="shared" si="1259"/>
        <v xml:space="preserve">Aterro e compactação </v>
      </c>
      <c r="AW451" s="4" t="str">
        <f t="shared" si="1258"/>
        <v xml:space="preserve">   Seg. 2.2-CA 11 - Camada Final de Aterro - CF-A-11 (PN a 100%)</v>
      </c>
    </row>
    <row r="452" spans="1:49" ht="15" customHeight="1" outlineLevel="2">
      <c r="A452" s="545" t="str">
        <f t="shared" ref="A452" si="1473">IF(SUM(P452:V453)&gt;0,"S","N")</f>
        <v>N</v>
      </c>
      <c r="B452" s="526">
        <v>1059656</v>
      </c>
      <c r="C452" s="526" t="s">
        <v>687</v>
      </c>
      <c r="D452" s="527" t="s">
        <v>688</v>
      </c>
      <c r="E452" s="892" t="s">
        <v>689</v>
      </c>
      <c r="F452" s="902" t="s">
        <v>36</v>
      </c>
      <c r="G452" s="528"/>
      <c r="H452" s="546" t="s">
        <v>37</v>
      </c>
      <c r="I452" s="711">
        <v>0</v>
      </c>
      <c r="J452" s="896" t="str">
        <f t="shared" ref="J452" si="1474">IFERROR((I453/I452),"-")</f>
        <v>-</v>
      </c>
      <c r="K452" s="528"/>
      <c r="L452" s="546" t="s">
        <v>37</v>
      </c>
      <c r="M452" s="711">
        <f t="shared" si="1310"/>
        <v>0</v>
      </c>
      <c r="N452" s="896" t="str">
        <f t="shared" ref="N452" si="1475">IFERROR((M453/M452),"-")</f>
        <v>-</v>
      </c>
      <c r="O452" s="528"/>
      <c r="P452" s="547">
        <v>0</v>
      </c>
      <c r="Q452" s="547">
        <v>0</v>
      </c>
      <c r="R452" s="547">
        <v>0</v>
      </c>
      <c r="S452" s="547">
        <v>0</v>
      </c>
      <c r="T452" s="547">
        <v>0</v>
      </c>
      <c r="U452" s="547">
        <v>0</v>
      </c>
      <c r="V452" s="547">
        <v>0</v>
      </c>
      <c r="W452" s="528"/>
      <c r="X452" s="711">
        <f t="shared" si="1304"/>
        <v>0</v>
      </c>
      <c r="Y452" s="896" t="str">
        <f t="shared" ref="Y452" si="1476">IFERROR((X453/X452),"0")</f>
        <v>0</v>
      </c>
      <c r="Z452" s="528"/>
      <c r="AA452" s="898">
        <v>0</v>
      </c>
      <c r="AB452" s="898">
        <v>0</v>
      </c>
      <c r="AC452" s="898">
        <v>0</v>
      </c>
      <c r="AD452" s="900" t="str">
        <f t="shared" ref="AD452" si="1477">IFERROR((AC452/AB452),"-")</f>
        <v>-</v>
      </c>
      <c r="AE452" s="2"/>
      <c r="AF452" s="886">
        <v>121827.019</v>
      </c>
      <c r="AG452" s="884"/>
      <c r="AH452" s="884">
        <v>0</v>
      </c>
      <c r="AI452" s="884"/>
      <c r="AJ452" s="884"/>
      <c r="AK452" s="884">
        <f t="shared" ref="AK452" si="1478">AF452+AG452+AH452+AI452+AJ452+AC452</f>
        <v>121827.019</v>
      </c>
      <c r="AL452" s="884">
        <v>134855.68000000002</v>
      </c>
      <c r="AM452" s="878">
        <f t="shared" ref="AM452" si="1479">IFERROR((AK452/AL452),"-")</f>
        <v>0.90338811832026633</v>
      </c>
      <c r="AN452" s="2"/>
      <c r="AO452" s="884">
        <v>134855.6</v>
      </c>
      <c r="AP452" s="884">
        <f t="shared" ref="AP452" si="1480">AO452-AK452</f>
        <v>13028.581000000006</v>
      </c>
      <c r="AV452" t="str">
        <f t="shared" si="1259"/>
        <v xml:space="preserve">Aterro e compactação </v>
      </c>
      <c r="AW452" s="4" t="str">
        <f t="shared" si="1258"/>
        <v xml:space="preserve">   Seg. 2.2-CA 12 - Execução de aterro compactado - CA-12 (PN a 95%)</v>
      </c>
    </row>
    <row r="453" spans="1:49" ht="15" customHeight="1" outlineLevel="2">
      <c r="A453" s="545" t="str">
        <f t="shared" ref="A453" si="1481">A452</f>
        <v>N</v>
      </c>
      <c r="B453" s="526"/>
      <c r="C453" s="526"/>
      <c r="D453" s="527" t="s">
        <v>688</v>
      </c>
      <c r="E453" s="893"/>
      <c r="F453" s="902"/>
      <c r="G453" s="528"/>
      <c r="H453" s="549" t="s">
        <v>38</v>
      </c>
      <c r="I453" s="711">
        <v>0</v>
      </c>
      <c r="J453" s="897"/>
      <c r="K453" s="528"/>
      <c r="L453" s="549" t="s">
        <v>38</v>
      </c>
      <c r="M453" s="711">
        <f t="shared" si="1310"/>
        <v>0</v>
      </c>
      <c r="N453" s="897"/>
      <c r="O453" s="528"/>
      <c r="P453" s="547">
        <v>0</v>
      </c>
      <c r="Q453" s="547">
        <v>0</v>
      </c>
      <c r="R453" s="547">
        <v>0</v>
      </c>
      <c r="S453" s="547">
        <v>0</v>
      </c>
      <c r="T453" s="547">
        <v>0</v>
      </c>
      <c r="U453" s="547">
        <v>0</v>
      </c>
      <c r="V453" s="547">
        <v>0</v>
      </c>
      <c r="W453" s="528"/>
      <c r="X453" s="711">
        <f t="shared" si="1304"/>
        <v>0</v>
      </c>
      <c r="Y453" s="897"/>
      <c r="Z453" s="528"/>
      <c r="AA453" s="899"/>
      <c r="AB453" s="899"/>
      <c r="AC453" s="899"/>
      <c r="AD453" s="901"/>
      <c r="AE453" s="2"/>
      <c r="AF453" s="926"/>
      <c r="AG453" s="885"/>
      <c r="AH453" s="885"/>
      <c r="AI453" s="885"/>
      <c r="AJ453" s="885"/>
      <c r="AK453" s="885"/>
      <c r="AL453" s="885"/>
      <c r="AM453" s="879"/>
      <c r="AN453" s="2"/>
      <c r="AO453" s="886"/>
      <c r="AP453" s="886"/>
      <c r="AV453" t="str">
        <f t="shared" si="1259"/>
        <v xml:space="preserve">Aterro e compactação </v>
      </c>
      <c r="AW453" s="4" t="str">
        <f t="shared" si="1258"/>
        <v xml:space="preserve">   Seg. 2.2-CA 12 - Execução de aterro compactado - CA-12 (PN a 95%)</v>
      </c>
    </row>
    <row r="454" spans="1:49" ht="15" customHeight="1" outlineLevel="2">
      <c r="A454" s="545" t="str">
        <f t="shared" ref="A454" si="1482">IF(SUM(P454:V455)&gt;0,"S","N")</f>
        <v>N</v>
      </c>
      <c r="B454" s="526">
        <v>1059657</v>
      </c>
      <c r="C454" s="526" t="s">
        <v>690</v>
      </c>
      <c r="D454" s="527" t="s">
        <v>691</v>
      </c>
      <c r="E454" s="892" t="s">
        <v>692</v>
      </c>
      <c r="F454" s="902" t="s">
        <v>36</v>
      </c>
      <c r="G454" s="528"/>
      <c r="H454" s="546" t="s">
        <v>37</v>
      </c>
      <c r="I454" s="711">
        <v>0</v>
      </c>
      <c r="J454" s="896" t="str">
        <f>IFERROR((I455/I454),"-")</f>
        <v>-</v>
      </c>
      <c r="K454" s="528"/>
      <c r="L454" s="546" t="s">
        <v>37</v>
      </c>
      <c r="M454" s="711">
        <f t="shared" si="1310"/>
        <v>0</v>
      </c>
      <c r="N454" s="896" t="str">
        <f>IFERROR((M455/M454),"-")</f>
        <v>-</v>
      </c>
      <c r="O454" s="528"/>
      <c r="P454" s="547">
        <v>0</v>
      </c>
      <c r="Q454" s="547">
        <v>0</v>
      </c>
      <c r="R454" s="547">
        <v>0</v>
      </c>
      <c r="S454" s="547">
        <v>0</v>
      </c>
      <c r="T454" s="547">
        <v>0</v>
      </c>
      <c r="U454" s="547">
        <v>0</v>
      </c>
      <c r="V454" s="547">
        <v>0</v>
      </c>
      <c r="W454" s="528"/>
      <c r="X454" s="711">
        <f t="shared" si="1304"/>
        <v>0</v>
      </c>
      <c r="Y454" s="896" t="str">
        <f t="shared" ref="Y454" si="1483">IFERROR((X455/X454),"0")</f>
        <v>0</v>
      </c>
      <c r="Z454" s="528"/>
      <c r="AA454" s="898">
        <v>0</v>
      </c>
      <c r="AB454" s="898">
        <v>0</v>
      </c>
      <c r="AC454" s="898">
        <v>0</v>
      </c>
      <c r="AD454" s="900" t="str">
        <f t="shared" ref="AD454" si="1484">IFERROR((AC454/AB454),"-")</f>
        <v>-</v>
      </c>
      <c r="AE454" s="2"/>
      <c r="AF454" s="886">
        <v>5125.085</v>
      </c>
      <c r="AG454" s="884"/>
      <c r="AH454" s="884">
        <v>0</v>
      </c>
      <c r="AI454" s="884"/>
      <c r="AJ454" s="884"/>
      <c r="AK454" s="884">
        <f t="shared" ref="AK454" si="1485">AF454+AG454+AH454+AI454+AJ454+AC454</f>
        <v>5125.085</v>
      </c>
      <c r="AL454" s="884">
        <v>5153.3999999999996</v>
      </c>
      <c r="AM454" s="878">
        <f t="shared" ref="AM454" si="1486">IFERROR((AK454/AL454),"-")</f>
        <v>0.99450556913882104</v>
      </c>
      <c r="AN454" s="2"/>
      <c r="AO454" s="884">
        <v>5153.3999999999996</v>
      </c>
      <c r="AP454" s="884">
        <f t="shared" ref="AP454" si="1487">AO454-AK454</f>
        <v>28.3149999999996</v>
      </c>
      <c r="AV454" t="str">
        <f t="shared" si="1259"/>
        <v xml:space="preserve">Aterro e compactação </v>
      </c>
      <c r="AW454" s="4" t="str">
        <f t="shared" si="1258"/>
        <v xml:space="preserve">   Seg. 2.2-CA 12 - Camada Final de Aterro - CF-A-12 (PN a 100%)</v>
      </c>
    </row>
    <row r="455" spans="1:49" ht="15" customHeight="1" outlineLevel="2">
      <c r="A455" s="545" t="str">
        <f t="shared" ref="A455" si="1488">A454</f>
        <v>N</v>
      </c>
      <c r="B455" s="526"/>
      <c r="C455" s="526"/>
      <c r="D455" s="527" t="s">
        <v>691</v>
      </c>
      <c r="E455" s="893"/>
      <c r="F455" s="902"/>
      <c r="G455" s="528"/>
      <c r="H455" s="549" t="s">
        <v>38</v>
      </c>
      <c r="I455" s="711">
        <v>0</v>
      </c>
      <c r="J455" s="897"/>
      <c r="K455" s="528"/>
      <c r="L455" s="549" t="s">
        <v>38</v>
      </c>
      <c r="M455" s="711">
        <f t="shared" si="1310"/>
        <v>0</v>
      </c>
      <c r="N455" s="897"/>
      <c r="O455" s="528"/>
      <c r="P455" s="547">
        <v>0</v>
      </c>
      <c r="Q455" s="547">
        <v>0</v>
      </c>
      <c r="R455" s="547">
        <v>0</v>
      </c>
      <c r="S455" s="547">
        <v>0</v>
      </c>
      <c r="T455" s="547">
        <v>0</v>
      </c>
      <c r="U455" s="547">
        <v>0</v>
      </c>
      <c r="V455" s="547">
        <v>0</v>
      </c>
      <c r="W455" s="528"/>
      <c r="X455" s="711">
        <f t="shared" si="1304"/>
        <v>0</v>
      </c>
      <c r="Y455" s="897"/>
      <c r="Z455" s="528"/>
      <c r="AA455" s="899"/>
      <c r="AB455" s="899"/>
      <c r="AC455" s="899"/>
      <c r="AD455" s="901"/>
      <c r="AE455" s="2"/>
      <c r="AF455" s="926"/>
      <c r="AG455" s="885"/>
      <c r="AH455" s="885"/>
      <c r="AI455" s="885"/>
      <c r="AJ455" s="885"/>
      <c r="AK455" s="885"/>
      <c r="AL455" s="885"/>
      <c r="AM455" s="879"/>
      <c r="AN455" s="2"/>
      <c r="AO455" s="886"/>
      <c r="AP455" s="886"/>
      <c r="AV455" t="str">
        <f t="shared" si="1259"/>
        <v xml:space="preserve">Aterro e compactação </v>
      </c>
      <c r="AW455" s="4" t="str">
        <f t="shared" si="1258"/>
        <v xml:space="preserve">   Seg. 2.2-CA 12 - Camada Final de Aterro - CF-A-12 (PN a 100%)</v>
      </c>
    </row>
    <row r="456" spans="1:49" ht="15" customHeight="1" outlineLevel="2">
      <c r="A456" s="525" t="str">
        <f t="shared" ref="A456" si="1489">IF(SUM(P456:V457)&gt;0,"S","N")</f>
        <v>N</v>
      </c>
      <c r="B456" s="526">
        <v>1059659</v>
      </c>
      <c r="C456" s="526" t="s">
        <v>693</v>
      </c>
      <c r="D456" s="527" t="s">
        <v>694</v>
      </c>
      <c r="E456" s="892" t="s">
        <v>695</v>
      </c>
      <c r="F456" s="902" t="s">
        <v>36</v>
      </c>
      <c r="G456" s="528"/>
      <c r="H456" s="546" t="s">
        <v>37</v>
      </c>
      <c r="I456" s="711">
        <v>2800</v>
      </c>
      <c r="J456" s="896">
        <f t="shared" ref="J456" si="1490">IFERROR((I457/I456),"-")</f>
        <v>0</v>
      </c>
      <c r="K456" s="528"/>
      <c r="L456" s="546" t="s">
        <v>37</v>
      </c>
      <c r="M456" s="711">
        <f t="shared" si="1310"/>
        <v>0</v>
      </c>
      <c r="N456" s="896" t="str">
        <f t="shared" ref="N456" si="1491">IFERROR((M457/M456),"-")</f>
        <v>-</v>
      </c>
      <c r="O456" s="528"/>
      <c r="P456" s="547">
        <v>0</v>
      </c>
      <c r="Q456" s="547">
        <v>0</v>
      </c>
      <c r="R456" s="547">
        <v>0</v>
      </c>
      <c r="S456" s="547">
        <v>0</v>
      </c>
      <c r="T456" s="547">
        <v>0</v>
      </c>
      <c r="U456" s="547">
        <v>0</v>
      </c>
      <c r="V456" s="547">
        <v>0</v>
      </c>
      <c r="W456" s="528"/>
      <c r="X456" s="711">
        <f t="shared" si="1304"/>
        <v>0</v>
      </c>
      <c r="Y456" s="896" t="str">
        <f t="shared" ref="Y456" si="1492">IFERROR((X457/X456),"0")</f>
        <v>0</v>
      </c>
      <c r="Z456" s="528"/>
      <c r="AA456" s="898">
        <v>0</v>
      </c>
      <c r="AB456" s="898">
        <v>0</v>
      </c>
      <c r="AC456" s="898">
        <v>0</v>
      </c>
      <c r="AD456" s="900" t="str">
        <f t="shared" ref="AD456" si="1493">IFERROR((AC456/AB456),"-")</f>
        <v>-</v>
      </c>
      <c r="AE456" s="2"/>
      <c r="AF456" s="886">
        <v>25487</v>
      </c>
      <c r="AG456" s="884"/>
      <c r="AH456" s="884">
        <v>0</v>
      </c>
      <c r="AI456" s="884"/>
      <c r="AJ456" s="884"/>
      <c r="AK456" s="884">
        <f t="shared" ref="AK456" si="1494">AF456+AG456+AH456+AI456+AJ456+AC456</f>
        <v>25487</v>
      </c>
      <c r="AL456" s="884">
        <v>25486.959999999999</v>
      </c>
      <c r="AM456" s="878">
        <f t="shared" ref="AM456" si="1495">IFERROR((AK456/AL456),"-")</f>
        <v>1.0000015694300144</v>
      </c>
      <c r="AN456" s="2"/>
      <c r="AO456" s="884">
        <v>25487</v>
      </c>
      <c r="AP456" s="884">
        <f t="shared" ref="AP456" si="1496">AO456-AK456</f>
        <v>0</v>
      </c>
      <c r="AV456" t="str">
        <f t="shared" si="1259"/>
        <v xml:space="preserve">Aterro e compactação </v>
      </c>
      <c r="AW456" s="4" t="str">
        <f t="shared" si="1258"/>
        <v xml:space="preserve">   Seg. 2.2-CA 13 - Execução de aterro compactado - CA-13 (PN a 95%)</v>
      </c>
    </row>
    <row r="457" spans="1:49" ht="15" customHeight="1" outlineLevel="2">
      <c r="A457" s="525" t="str">
        <f t="shared" ref="A457" si="1497">A456</f>
        <v>N</v>
      </c>
      <c r="B457" s="526"/>
      <c r="C457" s="526"/>
      <c r="D457" s="527" t="s">
        <v>694</v>
      </c>
      <c r="E457" s="893"/>
      <c r="F457" s="902"/>
      <c r="G457" s="528"/>
      <c r="H457" s="549" t="s">
        <v>38</v>
      </c>
      <c r="I457" s="711">
        <v>0</v>
      </c>
      <c r="J457" s="897"/>
      <c r="K457" s="528"/>
      <c r="L457" s="549" t="s">
        <v>38</v>
      </c>
      <c r="M457" s="711">
        <f t="shared" si="1310"/>
        <v>0</v>
      </c>
      <c r="N457" s="897"/>
      <c r="O457" s="528"/>
      <c r="P457" s="547">
        <v>0</v>
      </c>
      <c r="Q457" s="547">
        <v>0</v>
      </c>
      <c r="R457" s="547">
        <v>0</v>
      </c>
      <c r="S457" s="547">
        <v>0</v>
      </c>
      <c r="T457" s="547">
        <v>0</v>
      </c>
      <c r="U457" s="547">
        <v>0</v>
      </c>
      <c r="V457" s="547">
        <v>0</v>
      </c>
      <c r="W457" s="528"/>
      <c r="X457" s="711">
        <f t="shared" si="1304"/>
        <v>0</v>
      </c>
      <c r="Y457" s="897"/>
      <c r="Z457" s="528"/>
      <c r="AA457" s="899"/>
      <c r="AB457" s="899"/>
      <c r="AC457" s="899"/>
      <c r="AD457" s="901"/>
      <c r="AE457" s="2"/>
      <c r="AF457" s="926"/>
      <c r="AG457" s="885"/>
      <c r="AH457" s="885"/>
      <c r="AI457" s="885"/>
      <c r="AJ457" s="885"/>
      <c r="AK457" s="885"/>
      <c r="AL457" s="885"/>
      <c r="AM457" s="879"/>
      <c r="AN457" s="2"/>
      <c r="AO457" s="886"/>
      <c r="AP457" s="886"/>
      <c r="AV457" t="str">
        <f t="shared" si="1259"/>
        <v xml:space="preserve">Aterro e compactação </v>
      </c>
      <c r="AW457" s="4" t="str">
        <f t="shared" ref="AW457:AW520" si="1498">IF(E457&lt;&gt;"",E457,AW456)</f>
        <v xml:space="preserve">   Seg. 2.2-CA 13 - Execução de aterro compactado - CA-13 (PN a 95%)</v>
      </c>
    </row>
    <row r="458" spans="1:49" ht="15" customHeight="1" outlineLevel="2">
      <c r="A458" s="545" t="str">
        <f t="shared" ref="A458" si="1499">IF(SUM(P458:V459)&gt;0,"S","N")</f>
        <v>S</v>
      </c>
      <c r="B458" s="526">
        <v>1059660</v>
      </c>
      <c r="C458" s="526" t="s">
        <v>696</v>
      </c>
      <c r="D458" s="527" t="s">
        <v>697</v>
      </c>
      <c r="E458" s="892" t="s">
        <v>698</v>
      </c>
      <c r="F458" s="902" t="s">
        <v>36</v>
      </c>
      <c r="G458" s="528"/>
      <c r="H458" s="546" t="s">
        <v>37</v>
      </c>
      <c r="I458" s="711">
        <v>0</v>
      </c>
      <c r="J458" s="896" t="str">
        <f t="shared" ref="J458" si="1500">IFERROR((I459/I458),"-")</f>
        <v>-</v>
      </c>
      <c r="K458" s="528"/>
      <c r="L458" s="546" t="s">
        <v>37</v>
      </c>
      <c r="M458" s="711">
        <f t="shared" si="1310"/>
        <v>0</v>
      </c>
      <c r="N458" s="896" t="str">
        <f t="shared" ref="N458" si="1501">IFERROR((M459/M458),"-")</f>
        <v>-</v>
      </c>
      <c r="O458" s="528"/>
      <c r="P458" s="547">
        <v>0</v>
      </c>
      <c r="Q458" s="547">
        <v>0</v>
      </c>
      <c r="R458" s="547">
        <v>980</v>
      </c>
      <c r="S458" s="547">
        <v>980</v>
      </c>
      <c r="T458" s="547">
        <v>840</v>
      </c>
      <c r="U458" s="547">
        <v>0</v>
      </c>
      <c r="V458" s="547">
        <v>0</v>
      </c>
      <c r="W458" s="528"/>
      <c r="X458" s="711">
        <f t="shared" si="1304"/>
        <v>0</v>
      </c>
      <c r="Y458" s="896" t="str">
        <f t="shared" ref="Y458" si="1502">IFERROR((X459/X458),"0")</f>
        <v>0</v>
      </c>
      <c r="Z458" s="528"/>
      <c r="AA458" s="898">
        <v>726</v>
      </c>
      <c r="AB458" s="898">
        <v>670.20000000000016</v>
      </c>
      <c r="AC458" s="898">
        <v>0</v>
      </c>
      <c r="AD458" s="900">
        <f t="shared" ref="AD458" si="1503">IFERROR((AC458/AB458),"-")</f>
        <v>0</v>
      </c>
      <c r="AE458" s="2"/>
      <c r="AF458" s="886">
        <v>3238.607</v>
      </c>
      <c r="AG458" s="884"/>
      <c r="AH458" s="884">
        <v>0</v>
      </c>
      <c r="AI458" s="884"/>
      <c r="AJ458" s="884"/>
      <c r="AK458" s="884">
        <f t="shared" ref="AK458" si="1504">AF458+AG458+AH458+AI458+AJ458+AC458</f>
        <v>3238.607</v>
      </c>
      <c r="AL458" s="884">
        <v>3989.1799999999985</v>
      </c>
      <c r="AM458" s="878">
        <f t="shared" ref="AM458" si="1505">IFERROR((AK458/AL458),"-")</f>
        <v>0.81184779829438658</v>
      </c>
      <c r="AN458" s="2"/>
      <c r="AO458" s="884">
        <v>4044.83</v>
      </c>
      <c r="AP458" s="884">
        <f t="shared" ref="AP458" si="1506">AO458-AK458</f>
        <v>806.22299999999996</v>
      </c>
      <c r="AV458" t="str">
        <f t="shared" ref="AV458:AV521" si="1507">IF(AX458="Y",LEFT(E458,20),IF(AX458="x",E458,AV457))</f>
        <v xml:space="preserve">Aterro e compactação </v>
      </c>
      <c r="AW458" s="4" t="str">
        <f t="shared" si="1498"/>
        <v xml:space="preserve">   Seg. 2.2-CA 13 - Camada Final de Aterro - CF-A-13 (PN a 100%)</v>
      </c>
    </row>
    <row r="459" spans="1:49" ht="15" customHeight="1" outlineLevel="2">
      <c r="A459" s="545" t="str">
        <f t="shared" ref="A459" si="1508">A458</f>
        <v>S</v>
      </c>
      <c r="B459" s="526"/>
      <c r="C459" s="526"/>
      <c r="D459" s="527" t="s">
        <v>697</v>
      </c>
      <c r="E459" s="893"/>
      <c r="F459" s="902"/>
      <c r="G459" s="528"/>
      <c r="H459" s="549" t="s">
        <v>38</v>
      </c>
      <c r="I459" s="711">
        <v>0</v>
      </c>
      <c r="J459" s="897"/>
      <c r="K459" s="528"/>
      <c r="L459" s="549" t="s">
        <v>38</v>
      </c>
      <c r="M459" s="711">
        <f t="shared" si="1310"/>
        <v>0</v>
      </c>
      <c r="N459" s="897"/>
      <c r="O459" s="528"/>
      <c r="P459" s="547">
        <v>0</v>
      </c>
      <c r="Q459" s="547">
        <v>0</v>
      </c>
      <c r="R459" s="547">
        <v>0</v>
      </c>
      <c r="S459" s="547">
        <v>0</v>
      </c>
      <c r="T459" s="547">
        <v>0</v>
      </c>
      <c r="U459" s="547">
        <v>0</v>
      </c>
      <c r="V459" s="547">
        <v>0</v>
      </c>
      <c r="W459" s="528"/>
      <c r="X459" s="711">
        <f t="shared" si="1304"/>
        <v>0</v>
      </c>
      <c r="Y459" s="897"/>
      <c r="Z459" s="528"/>
      <c r="AA459" s="899"/>
      <c r="AB459" s="899"/>
      <c r="AC459" s="899"/>
      <c r="AD459" s="901"/>
      <c r="AE459" s="2"/>
      <c r="AF459" s="926"/>
      <c r="AG459" s="885"/>
      <c r="AH459" s="885"/>
      <c r="AI459" s="885"/>
      <c r="AJ459" s="885"/>
      <c r="AK459" s="885"/>
      <c r="AL459" s="885"/>
      <c r="AM459" s="879"/>
      <c r="AN459" s="2"/>
      <c r="AO459" s="886"/>
      <c r="AP459" s="886"/>
      <c r="AV459" t="str">
        <f t="shared" si="1507"/>
        <v xml:space="preserve">Aterro e compactação </v>
      </c>
      <c r="AW459" s="4" t="str">
        <f t="shared" si="1498"/>
        <v xml:space="preserve">   Seg. 2.2-CA 13 - Camada Final de Aterro - CF-A-13 (PN a 100%)</v>
      </c>
    </row>
    <row r="460" spans="1:49" ht="15.6" customHeight="1" outlineLevel="2">
      <c r="A460" s="545" t="str">
        <f t="shared" ref="A460" si="1509">IF(SUM(P460:V461)&gt;0,"S","N")</f>
        <v>N</v>
      </c>
      <c r="B460" s="526">
        <v>1059662</v>
      </c>
      <c r="C460" s="526" t="s">
        <v>699</v>
      </c>
      <c r="D460" s="527" t="s">
        <v>700</v>
      </c>
      <c r="E460" s="892" t="s">
        <v>701</v>
      </c>
      <c r="F460" s="902" t="s">
        <v>36</v>
      </c>
      <c r="G460" s="528"/>
      <c r="H460" s="546" t="s">
        <v>37</v>
      </c>
      <c r="I460" s="711">
        <v>0</v>
      </c>
      <c r="J460" s="896" t="str">
        <f t="shared" ref="J460" si="1510">IFERROR((I461/I460),"-")</f>
        <v>-</v>
      </c>
      <c r="K460" s="528"/>
      <c r="L460" s="546" t="s">
        <v>37</v>
      </c>
      <c r="M460" s="711">
        <f t="shared" si="1310"/>
        <v>0</v>
      </c>
      <c r="N460" s="896" t="str">
        <f t="shared" ref="N460" si="1511">IFERROR((M461/M460),"-")</f>
        <v>-</v>
      </c>
      <c r="O460" s="528"/>
      <c r="P460" s="547">
        <v>0</v>
      </c>
      <c r="Q460" s="547">
        <v>0</v>
      </c>
      <c r="R460" s="547">
        <v>0</v>
      </c>
      <c r="S460" s="547">
        <v>0</v>
      </c>
      <c r="T460" s="547">
        <v>0</v>
      </c>
      <c r="U460" s="547">
        <v>0</v>
      </c>
      <c r="V460" s="547">
        <v>0</v>
      </c>
      <c r="W460" s="528"/>
      <c r="X460" s="711">
        <f t="shared" si="1304"/>
        <v>0</v>
      </c>
      <c r="Y460" s="896" t="str">
        <f t="shared" ref="Y460" si="1512">IFERROR((X461/X460),"0")</f>
        <v>0</v>
      </c>
      <c r="Z460" s="528"/>
      <c r="AA460" s="898">
        <v>0</v>
      </c>
      <c r="AB460" s="898">
        <v>0</v>
      </c>
      <c r="AC460" s="898">
        <v>0</v>
      </c>
      <c r="AD460" s="900" t="str">
        <f t="shared" ref="AD460" si="1513">IFERROR((AC460/AB460),"-")</f>
        <v>-</v>
      </c>
      <c r="AE460" s="2"/>
      <c r="AF460" s="886">
        <v>567</v>
      </c>
      <c r="AG460" s="884"/>
      <c r="AH460" s="884">
        <v>0</v>
      </c>
      <c r="AI460" s="884"/>
      <c r="AJ460" s="884"/>
      <c r="AK460" s="884">
        <f t="shared" ref="AK460" si="1514">AF460+AG460+AH460+AI460+AJ460+AC460</f>
        <v>567</v>
      </c>
      <c r="AL460" s="884">
        <v>567</v>
      </c>
      <c r="AM460" s="878">
        <f t="shared" ref="AM460" si="1515">IFERROR((AK460/AL460),"-")</f>
        <v>1</v>
      </c>
      <c r="AN460" s="2"/>
      <c r="AO460" s="884">
        <v>567</v>
      </c>
      <c r="AP460" s="884">
        <f t="shared" ref="AP460" si="1516">AO460-AK460</f>
        <v>0</v>
      </c>
      <c r="AV460" t="str">
        <f t="shared" si="1507"/>
        <v xml:space="preserve">Aterro e compactação </v>
      </c>
      <c r="AW460" s="4" t="str">
        <f t="shared" si="1498"/>
        <v xml:space="preserve">   Seg. 2.2-CA 14 - Execução de aterro compactado - CA-14 (PN a 95%)</v>
      </c>
    </row>
    <row r="461" spans="1:49" ht="15.6" customHeight="1" outlineLevel="2">
      <c r="A461" s="545" t="str">
        <f t="shared" ref="A461" si="1517">A460</f>
        <v>N</v>
      </c>
      <c r="B461" s="526"/>
      <c r="C461" s="526"/>
      <c r="D461" s="527" t="s">
        <v>700</v>
      </c>
      <c r="E461" s="893"/>
      <c r="F461" s="902"/>
      <c r="G461" s="528"/>
      <c r="H461" s="549" t="s">
        <v>38</v>
      </c>
      <c r="I461" s="711">
        <v>0</v>
      </c>
      <c r="J461" s="897"/>
      <c r="K461" s="528"/>
      <c r="L461" s="549" t="s">
        <v>38</v>
      </c>
      <c r="M461" s="711">
        <f t="shared" si="1310"/>
        <v>0</v>
      </c>
      <c r="N461" s="897"/>
      <c r="O461" s="528"/>
      <c r="P461" s="547">
        <v>0</v>
      </c>
      <c r="Q461" s="547">
        <v>0</v>
      </c>
      <c r="R461" s="547">
        <v>0</v>
      </c>
      <c r="S461" s="547">
        <v>0</v>
      </c>
      <c r="T461" s="547">
        <v>0</v>
      </c>
      <c r="U461" s="547">
        <v>0</v>
      </c>
      <c r="V461" s="547">
        <v>0</v>
      </c>
      <c r="W461" s="528"/>
      <c r="X461" s="711">
        <f t="shared" si="1304"/>
        <v>0</v>
      </c>
      <c r="Y461" s="897"/>
      <c r="Z461" s="528"/>
      <c r="AA461" s="899"/>
      <c r="AB461" s="899"/>
      <c r="AC461" s="899"/>
      <c r="AD461" s="901"/>
      <c r="AE461" s="2"/>
      <c r="AF461" s="926"/>
      <c r="AG461" s="885"/>
      <c r="AH461" s="885"/>
      <c r="AI461" s="885"/>
      <c r="AJ461" s="885"/>
      <c r="AK461" s="885"/>
      <c r="AL461" s="885"/>
      <c r="AM461" s="879"/>
      <c r="AN461" s="2"/>
      <c r="AO461" s="886"/>
      <c r="AP461" s="886"/>
      <c r="AV461" t="str">
        <f t="shared" si="1507"/>
        <v xml:space="preserve">Aterro e compactação </v>
      </c>
      <c r="AW461" s="4" t="str">
        <f t="shared" si="1498"/>
        <v xml:space="preserve">   Seg. 2.2-CA 14 - Execução de aterro compactado - CA-14 (PN a 95%)</v>
      </c>
    </row>
    <row r="462" spans="1:49" ht="15" customHeight="1" outlineLevel="2">
      <c r="A462" s="545" t="str">
        <f t="shared" ref="A462" si="1518">IF(SUM(P462:V463)&gt;0,"S","N")</f>
        <v>N</v>
      </c>
      <c r="B462" s="526">
        <v>1059663</v>
      </c>
      <c r="C462" s="526" t="s">
        <v>702</v>
      </c>
      <c r="D462" s="527" t="s">
        <v>703</v>
      </c>
      <c r="E462" s="892" t="s">
        <v>704</v>
      </c>
      <c r="F462" s="902" t="s">
        <v>36</v>
      </c>
      <c r="G462" s="528"/>
      <c r="H462" s="546" t="s">
        <v>37</v>
      </c>
      <c r="I462" s="711">
        <v>0</v>
      </c>
      <c r="J462" s="896" t="str">
        <f t="shared" ref="J462" si="1519">IFERROR((I463/I462),"-")</f>
        <v>-</v>
      </c>
      <c r="K462" s="528"/>
      <c r="L462" s="546" t="s">
        <v>37</v>
      </c>
      <c r="M462" s="711">
        <f t="shared" si="1310"/>
        <v>0</v>
      </c>
      <c r="N462" s="896" t="str">
        <f t="shared" ref="N462" si="1520">IFERROR((M463/M462),"-")</f>
        <v>-</v>
      </c>
      <c r="O462" s="528"/>
      <c r="P462" s="547">
        <v>0</v>
      </c>
      <c r="Q462" s="547">
        <v>0</v>
      </c>
      <c r="R462" s="547">
        <v>0</v>
      </c>
      <c r="S462" s="547">
        <v>0</v>
      </c>
      <c r="T462" s="547">
        <v>0</v>
      </c>
      <c r="U462" s="547">
        <v>0</v>
      </c>
      <c r="V462" s="547">
        <v>0</v>
      </c>
      <c r="W462" s="528"/>
      <c r="X462" s="711">
        <f t="shared" si="1304"/>
        <v>0</v>
      </c>
      <c r="Y462" s="896" t="str">
        <f t="shared" ref="Y462" si="1521">IFERROR((X463/X462),"0")</f>
        <v>0</v>
      </c>
      <c r="Z462" s="528"/>
      <c r="AA462" s="898">
        <v>0</v>
      </c>
      <c r="AB462" s="898">
        <v>0</v>
      </c>
      <c r="AC462" s="898">
        <v>0</v>
      </c>
      <c r="AD462" s="900" t="str">
        <f t="shared" ref="AD462" si="1522">IFERROR((AC462/AB462),"-")</f>
        <v>-</v>
      </c>
      <c r="AE462" s="2"/>
      <c r="AF462" s="886">
        <v>1190.82</v>
      </c>
      <c r="AG462" s="884"/>
      <c r="AH462" s="884">
        <v>0</v>
      </c>
      <c r="AI462" s="884"/>
      <c r="AJ462" s="884"/>
      <c r="AK462" s="884">
        <f t="shared" ref="AK462" si="1523">AF462+AG462+AH462+AI462+AJ462+AC462</f>
        <v>1190.82</v>
      </c>
      <c r="AL462" s="884">
        <v>1190.82</v>
      </c>
      <c r="AM462" s="878">
        <f t="shared" ref="AM462" si="1524">IFERROR((AK462/AL462),"-")</f>
        <v>1</v>
      </c>
      <c r="AN462" s="2"/>
      <c r="AO462" s="884">
        <v>1190.82</v>
      </c>
      <c r="AP462" s="884">
        <f t="shared" ref="AP462" si="1525">AO462-AK462</f>
        <v>0</v>
      </c>
      <c r="AV462" t="str">
        <f t="shared" si="1507"/>
        <v xml:space="preserve">Aterro e compactação </v>
      </c>
      <c r="AW462" s="4" t="str">
        <f t="shared" si="1498"/>
        <v xml:space="preserve">   Seg. 2.2-CA 14 - Camada Final de Aterro - CF-A-14 (PN a 100%)</v>
      </c>
    </row>
    <row r="463" spans="1:49" ht="15" customHeight="1" outlineLevel="2">
      <c r="A463" s="545" t="str">
        <f t="shared" ref="A463" si="1526">A462</f>
        <v>N</v>
      </c>
      <c r="B463" s="526"/>
      <c r="C463" s="526"/>
      <c r="D463" s="527" t="s">
        <v>703</v>
      </c>
      <c r="E463" s="893"/>
      <c r="F463" s="902"/>
      <c r="G463" s="528"/>
      <c r="H463" s="549" t="s">
        <v>38</v>
      </c>
      <c r="I463" s="711">
        <v>0</v>
      </c>
      <c r="J463" s="897"/>
      <c r="K463" s="528"/>
      <c r="L463" s="549" t="s">
        <v>38</v>
      </c>
      <c r="M463" s="711">
        <f t="shared" si="1310"/>
        <v>0</v>
      </c>
      <c r="N463" s="897"/>
      <c r="O463" s="528"/>
      <c r="P463" s="547">
        <v>0</v>
      </c>
      <c r="Q463" s="547">
        <v>0</v>
      </c>
      <c r="R463" s="547">
        <v>0</v>
      </c>
      <c r="S463" s="547">
        <v>0</v>
      </c>
      <c r="T463" s="547">
        <v>0</v>
      </c>
      <c r="U463" s="547">
        <v>0</v>
      </c>
      <c r="V463" s="547">
        <v>0</v>
      </c>
      <c r="W463" s="528"/>
      <c r="X463" s="711">
        <f t="shared" si="1304"/>
        <v>0</v>
      </c>
      <c r="Y463" s="897"/>
      <c r="Z463" s="528"/>
      <c r="AA463" s="899"/>
      <c r="AB463" s="899"/>
      <c r="AC463" s="899"/>
      <c r="AD463" s="901"/>
      <c r="AE463" s="2"/>
      <c r="AF463" s="926"/>
      <c r="AG463" s="885"/>
      <c r="AH463" s="885"/>
      <c r="AI463" s="885"/>
      <c r="AJ463" s="885"/>
      <c r="AK463" s="885"/>
      <c r="AL463" s="885"/>
      <c r="AM463" s="879"/>
      <c r="AN463" s="2"/>
      <c r="AO463" s="886"/>
      <c r="AP463" s="886"/>
      <c r="AV463" t="str">
        <f t="shared" si="1507"/>
        <v xml:space="preserve">Aterro e compactação </v>
      </c>
      <c r="AW463" s="4" t="str">
        <f t="shared" si="1498"/>
        <v xml:space="preserve">   Seg. 2.2-CA 14 - Camada Final de Aterro - CF-A-14 (PN a 100%)</v>
      </c>
    </row>
    <row r="464" spans="1:49" ht="15" customHeight="1" outlineLevel="2">
      <c r="A464" s="545" t="str">
        <f t="shared" ref="A464" si="1527">IF(SUM(P464:V465)&gt;0,"S","N")</f>
        <v>N</v>
      </c>
      <c r="B464" s="526">
        <v>1059664</v>
      </c>
      <c r="C464" s="526" t="s">
        <v>705</v>
      </c>
      <c r="D464" s="527" t="s">
        <v>706</v>
      </c>
      <c r="E464" s="892" t="s">
        <v>707</v>
      </c>
      <c r="F464" s="902" t="s">
        <v>36</v>
      </c>
      <c r="G464" s="528"/>
      <c r="H464" s="546" t="s">
        <v>37</v>
      </c>
      <c r="I464" s="711">
        <v>0</v>
      </c>
      <c r="J464" s="896" t="str">
        <f>IFERROR((I465/I464),"-")</f>
        <v>-</v>
      </c>
      <c r="K464" s="528"/>
      <c r="L464" s="546" t="s">
        <v>37</v>
      </c>
      <c r="M464" s="711">
        <f t="shared" si="1310"/>
        <v>0</v>
      </c>
      <c r="N464" s="896" t="str">
        <f>IFERROR((M465/M464),"-")</f>
        <v>-</v>
      </c>
      <c r="O464" s="528"/>
      <c r="P464" s="547">
        <v>0</v>
      </c>
      <c r="Q464" s="547">
        <v>0</v>
      </c>
      <c r="R464" s="547">
        <v>0</v>
      </c>
      <c r="S464" s="547">
        <v>0</v>
      </c>
      <c r="T464" s="547">
        <v>0</v>
      </c>
      <c r="U464" s="547">
        <v>0</v>
      </c>
      <c r="V464" s="547">
        <v>0</v>
      </c>
      <c r="W464" s="528"/>
      <c r="X464" s="711">
        <f t="shared" si="1304"/>
        <v>0</v>
      </c>
      <c r="Y464" s="896" t="str">
        <f t="shared" ref="Y464" si="1528">IFERROR((X465/X464),"0")</f>
        <v>0</v>
      </c>
      <c r="Z464" s="528"/>
      <c r="AA464" s="898">
        <v>0</v>
      </c>
      <c r="AB464" s="898">
        <v>0</v>
      </c>
      <c r="AC464" s="898">
        <v>0</v>
      </c>
      <c r="AD464" s="900" t="str">
        <f t="shared" ref="AD464" si="1529">IFERROR((AC464/AB464),"-")</f>
        <v>-</v>
      </c>
      <c r="AE464" s="2"/>
      <c r="AF464" s="886">
        <v>1036</v>
      </c>
      <c r="AG464" s="884"/>
      <c r="AH464" s="884">
        <v>0</v>
      </c>
      <c r="AI464" s="884"/>
      <c r="AJ464" s="884"/>
      <c r="AK464" s="884">
        <f t="shared" ref="AK464" si="1530">AF464+AG464+AH464+AI464+AJ464+AC464</f>
        <v>1036</v>
      </c>
      <c r="AL464" s="884">
        <v>1035.99</v>
      </c>
      <c r="AM464" s="878">
        <f t="shared" ref="AM464" si="1531">IFERROR((AK464/AL464),"-")</f>
        <v>1.0000096526028244</v>
      </c>
      <c r="AN464" s="2"/>
      <c r="AO464" s="884">
        <v>1036</v>
      </c>
      <c r="AP464" s="884">
        <f t="shared" ref="AP464" si="1532">AO464-AK464</f>
        <v>0</v>
      </c>
      <c r="AV464" t="str">
        <f t="shared" si="1507"/>
        <v xml:space="preserve">Aterro e compactação </v>
      </c>
      <c r="AW464" s="4" t="str">
        <f t="shared" si="1498"/>
        <v xml:space="preserve">   Seg. 2.2-CA 15 - Execução de aterro compactado - CA-15 (PN a 95%)</v>
      </c>
    </row>
    <row r="465" spans="1:49" ht="15" customHeight="1" outlineLevel="2">
      <c r="A465" s="545" t="str">
        <f t="shared" ref="A465" si="1533">A464</f>
        <v>N</v>
      </c>
      <c r="B465" s="526"/>
      <c r="C465" s="526"/>
      <c r="D465" s="527" t="s">
        <v>706</v>
      </c>
      <c r="E465" s="893"/>
      <c r="F465" s="902"/>
      <c r="G465" s="528"/>
      <c r="H465" s="549" t="s">
        <v>38</v>
      </c>
      <c r="I465" s="711">
        <v>0</v>
      </c>
      <c r="J465" s="897"/>
      <c r="K465" s="528"/>
      <c r="L465" s="549" t="s">
        <v>38</v>
      </c>
      <c r="M465" s="711">
        <f t="shared" si="1310"/>
        <v>0</v>
      </c>
      <c r="N465" s="897"/>
      <c r="O465" s="528"/>
      <c r="P465" s="547">
        <v>0</v>
      </c>
      <c r="Q465" s="547">
        <v>0</v>
      </c>
      <c r="R465" s="547">
        <v>0</v>
      </c>
      <c r="S465" s="547">
        <v>0</v>
      </c>
      <c r="T465" s="547">
        <v>0</v>
      </c>
      <c r="U465" s="547">
        <v>0</v>
      </c>
      <c r="V465" s="547">
        <v>0</v>
      </c>
      <c r="W465" s="528"/>
      <c r="X465" s="711">
        <f t="shared" si="1304"/>
        <v>0</v>
      </c>
      <c r="Y465" s="897"/>
      <c r="Z465" s="528"/>
      <c r="AA465" s="899"/>
      <c r="AB465" s="899"/>
      <c r="AC465" s="899"/>
      <c r="AD465" s="901"/>
      <c r="AE465" s="2"/>
      <c r="AF465" s="926"/>
      <c r="AG465" s="885"/>
      <c r="AH465" s="885"/>
      <c r="AI465" s="885"/>
      <c r="AJ465" s="885"/>
      <c r="AK465" s="885"/>
      <c r="AL465" s="885"/>
      <c r="AM465" s="879"/>
      <c r="AN465" s="2"/>
      <c r="AO465" s="886"/>
      <c r="AP465" s="886"/>
      <c r="AV465" t="str">
        <f t="shared" si="1507"/>
        <v xml:space="preserve">Aterro e compactação </v>
      </c>
      <c r="AW465" s="4" t="str">
        <f t="shared" si="1498"/>
        <v xml:space="preserve">   Seg. 2.2-CA 15 - Execução de aterro compactado - CA-15 (PN a 95%)</v>
      </c>
    </row>
    <row r="466" spans="1:49" ht="15" customHeight="1" outlineLevel="2">
      <c r="A466" s="545" t="str">
        <f t="shared" ref="A466" si="1534">IF(SUM(P466:V467)&gt;0,"S","N")</f>
        <v>N</v>
      </c>
      <c r="B466" s="526">
        <v>1059665</v>
      </c>
      <c r="C466" s="526" t="s">
        <v>708</v>
      </c>
      <c r="D466" s="527" t="s">
        <v>709</v>
      </c>
      <c r="E466" s="892" t="s">
        <v>710</v>
      </c>
      <c r="F466" s="902" t="s">
        <v>36</v>
      </c>
      <c r="G466" s="528"/>
      <c r="H466" s="546" t="s">
        <v>37</v>
      </c>
      <c r="I466" s="711">
        <v>0</v>
      </c>
      <c r="J466" s="896" t="str">
        <f t="shared" ref="J466" si="1535">IFERROR((I467/I466),"-")</f>
        <v>-</v>
      </c>
      <c r="K466" s="528"/>
      <c r="L466" s="546" t="s">
        <v>37</v>
      </c>
      <c r="M466" s="711">
        <f t="shared" si="1310"/>
        <v>0</v>
      </c>
      <c r="N466" s="896" t="str">
        <f t="shared" ref="N466" si="1536">IFERROR((M467/M466),"-")</f>
        <v>-</v>
      </c>
      <c r="O466" s="528"/>
      <c r="P466" s="547">
        <v>0</v>
      </c>
      <c r="Q466" s="547">
        <v>0</v>
      </c>
      <c r="R466" s="547">
        <v>0</v>
      </c>
      <c r="S466" s="547">
        <v>0</v>
      </c>
      <c r="T466" s="547">
        <v>0</v>
      </c>
      <c r="U466" s="547">
        <v>0</v>
      </c>
      <c r="V466" s="547">
        <v>0</v>
      </c>
      <c r="W466" s="528"/>
      <c r="X466" s="711">
        <f t="shared" si="1304"/>
        <v>0</v>
      </c>
      <c r="Y466" s="896" t="str">
        <f t="shared" ref="Y466" si="1537">IFERROR((X467/X466),"0")</f>
        <v>0</v>
      </c>
      <c r="Z466" s="528"/>
      <c r="AA466" s="898">
        <v>0</v>
      </c>
      <c r="AB466" s="898">
        <v>0</v>
      </c>
      <c r="AC466" s="898">
        <v>0</v>
      </c>
      <c r="AD466" s="900" t="str">
        <f t="shared" ref="AD466" si="1538">IFERROR((AC466/AB466),"-")</f>
        <v>-</v>
      </c>
      <c r="AE466" s="2"/>
      <c r="AF466" s="886">
        <v>1295.33</v>
      </c>
      <c r="AG466" s="884"/>
      <c r="AH466" s="884">
        <v>0</v>
      </c>
      <c r="AI466" s="884"/>
      <c r="AJ466" s="884"/>
      <c r="AK466" s="884">
        <f t="shared" ref="AK466" si="1539">AF466+AG466+AH466+AI466+AJ466+AC466</f>
        <v>1295.33</v>
      </c>
      <c r="AL466" s="884">
        <v>1295.33</v>
      </c>
      <c r="AM466" s="878">
        <f t="shared" ref="AM466" si="1540">IFERROR((AK466/AL466),"-")</f>
        <v>1</v>
      </c>
      <c r="AN466" s="2"/>
      <c r="AO466" s="884">
        <v>1295.33</v>
      </c>
      <c r="AP466" s="884">
        <f t="shared" ref="AP466" si="1541">AO466-AK466</f>
        <v>0</v>
      </c>
      <c r="AV466" t="str">
        <f t="shared" si="1507"/>
        <v xml:space="preserve">Aterro e compactação </v>
      </c>
      <c r="AW466" s="4" t="str">
        <f t="shared" si="1498"/>
        <v xml:space="preserve">   Seg. 2.2-CA 15 - Camada Final de Aterro - CF-A-15 (PN a 100%)</v>
      </c>
    </row>
    <row r="467" spans="1:49" ht="15" customHeight="1" outlineLevel="2">
      <c r="A467" s="545" t="str">
        <f t="shared" ref="A467" si="1542">A466</f>
        <v>N</v>
      </c>
      <c r="B467" s="526"/>
      <c r="C467" s="526"/>
      <c r="D467" s="527" t="s">
        <v>709</v>
      </c>
      <c r="E467" s="893"/>
      <c r="F467" s="902"/>
      <c r="G467" s="528"/>
      <c r="H467" s="549" t="s">
        <v>38</v>
      </c>
      <c r="I467" s="711">
        <v>0</v>
      </c>
      <c r="J467" s="897"/>
      <c r="K467" s="528"/>
      <c r="L467" s="549" t="s">
        <v>38</v>
      </c>
      <c r="M467" s="711">
        <f t="shared" si="1310"/>
        <v>0</v>
      </c>
      <c r="N467" s="897"/>
      <c r="O467" s="528"/>
      <c r="P467" s="547">
        <v>0</v>
      </c>
      <c r="Q467" s="547">
        <v>0</v>
      </c>
      <c r="R467" s="547">
        <v>0</v>
      </c>
      <c r="S467" s="547">
        <v>0</v>
      </c>
      <c r="T467" s="547">
        <v>0</v>
      </c>
      <c r="U467" s="547">
        <v>0</v>
      </c>
      <c r="V467" s="547">
        <v>0</v>
      </c>
      <c r="W467" s="528"/>
      <c r="X467" s="711">
        <f t="shared" si="1304"/>
        <v>0</v>
      </c>
      <c r="Y467" s="897"/>
      <c r="Z467" s="528"/>
      <c r="AA467" s="899"/>
      <c r="AB467" s="899"/>
      <c r="AC467" s="899"/>
      <c r="AD467" s="901"/>
      <c r="AE467" s="2"/>
      <c r="AF467" s="926"/>
      <c r="AG467" s="885"/>
      <c r="AH467" s="885"/>
      <c r="AI467" s="885"/>
      <c r="AJ467" s="885"/>
      <c r="AK467" s="885"/>
      <c r="AL467" s="885"/>
      <c r="AM467" s="879"/>
      <c r="AN467" s="2"/>
      <c r="AO467" s="886"/>
      <c r="AP467" s="886"/>
      <c r="AV467" t="str">
        <f t="shared" si="1507"/>
        <v xml:space="preserve">Aterro e compactação </v>
      </c>
      <c r="AW467" s="4" t="str">
        <f t="shared" si="1498"/>
        <v xml:space="preserve">   Seg. 2.2-CA 15 - Camada Final de Aterro - CF-A-15 (PN a 100%)</v>
      </c>
    </row>
    <row r="468" spans="1:49" ht="15" customHeight="1" outlineLevel="2">
      <c r="A468" s="545" t="str">
        <f t="shared" ref="A468" si="1543">IF(SUM(P468:V469)&gt;0,"S","N")</f>
        <v>N</v>
      </c>
      <c r="B468" s="526">
        <v>1060931</v>
      </c>
      <c r="C468" s="526" t="s">
        <v>711</v>
      </c>
      <c r="D468" s="527" t="s">
        <v>712</v>
      </c>
      <c r="E468" s="892" t="s">
        <v>713</v>
      </c>
      <c r="F468" s="902" t="s">
        <v>36</v>
      </c>
      <c r="G468" s="528"/>
      <c r="H468" s="546" t="s">
        <v>37</v>
      </c>
      <c r="I468" s="711">
        <v>0</v>
      </c>
      <c r="J468" s="896" t="str">
        <f t="shared" ref="J468" si="1544">IFERROR((I469/I468),"-")</f>
        <v>-</v>
      </c>
      <c r="K468" s="528"/>
      <c r="L468" s="546" t="s">
        <v>37</v>
      </c>
      <c r="M468" s="711">
        <f t="shared" si="1310"/>
        <v>0</v>
      </c>
      <c r="N468" s="896" t="str">
        <f t="shared" ref="N468" si="1545">IFERROR((M469/M468),"-")</f>
        <v>-</v>
      </c>
      <c r="O468" s="528"/>
      <c r="P468" s="547">
        <v>0</v>
      </c>
      <c r="Q468" s="547">
        <v>0</v>
      </c>
      <c r="R468" s="547">
        <v>0</v>
      </c>
      <c r="S468" s="547">
        <v>0</v>
      </c>
      <c r="T468" s="547">
        <v>0</v>
      </c>
      <c r="U468" s="547">
        <v>0</v>
      </c>
      <c r="V468" s="547">
        <v>0</v>
      </c>
      <c r="W468" s="528"/>
      <c r="X468" s="711">
        <f t="shared" si="1304"/>
        <v>0</v>
      </c>
      <c r="Y468" s="896" t="str">
        <f t="shared" ref="Y468" si="1546">IFERROR((X469/X468),"0")</f>
        <v>0</v>
      </c>
      <c r="Z468" s="528"/>
      <c r="AA468" s="898">
        <v>0</v>
      </c>
      <c r="AB468" s="898">
        <v>0</v>
      </c>
      <c r="AC468" s="898">
        <v>0</v>
      </c>
      <c r="AD468" s="900" t="str">
        <f t="shared" ref="AD468" si="1547">IFERROR((AC468/AB468),"-")</f>
        <v>-</v>
      </c>
      <c r="AE468" s="2"/>
      <c r="AF468" s="886">
        <v>0</v>
      </c>
      <c r="AG468" s="884"/>
      <c r="AH468" s="884">
        <v>0</v>
      </c>
      <c r="AI468" s="884"/>
      <c r="AJ468" s="884"/>
      <c r="AK468" s="884">
        <f t="shared" ref="AK468" si="1548">AF468+AG468+AH468+AI468+AJ468+AC468</f>
        <v>0</v>
      </c>
      <c r="AL468" s="884">
        <v>0</v>
      </c>
      <c r="AM468" s="878" t="str">
        <f t="shared" ref="AM468" si="1549">IFERROR((AK468/AL468),"-")</f>
        <v>-</v>
      </c>
      <c r="AN468" s="2"/>
      <c r="AO468" s="884">
        <v>2213.48</v>
      </c>
      <c r="AP468" s="884">
        <f t="shared" ref="AP468" si="1550">AO468-AK468</f>
        <v>2213.48</v>
      </c>
      <c r="AV468" t="str">
        <f t="shared" si="1507"/>
        <v xml:space="preserve">Aterro e compactação </v>
      </c>
      <c r="AW468" s="4" t="str">
        <f t="shared" si="1498"/>
        <v xml:space="preserve">   Excecução de aterro compactado - Seg.2.2b acesso km 106+190</v>
      </c>
    </row>
    <row r="469" spans="1:49" ht="15" customHeight="1" outlineLevel="2">
      <c r="A469" s="545" t="str">
        <f t="shared" ref="A469" si="1551">A468</f>
        <v>N</v>
      </c>
      <c r="B469" s="526"/>
      <c r="C469" s="526"/>
      <c r="D469" s="527" t="s">
        <v>712</v>
      </c>
      <c r="E469" s="893"/>
      <c r="F469" s="902"/>
      <c r="G469" s="528"/>
      <c r="H469" s="549" t="s">
        <v>38</v>
      </c>
      <c r="I469" s="711">
        <v>0</v>
      </c>
      <c r="J469" s="897"/>
      <c r="K469" s="528"/>
      <c r="L469" s="549" t="s">
        <v>38</v>
      </c>
      <c r="M469" s="711">
        <f t="shared" si="1310"/>
        <v>0</v>
      </c>
      <c r="N469" s="897"/>
      <c r="O469" s="528"/>
      <c r="P469" s="547">
        <v>0</v>
      </c>
      <c r="Q469" s="547">
        <v>0</v>
      </c>
      <c r="R469" s="547">
        <v>0</v>
      </c>
      <c r="S469" s="547">
        <v>0</v>
      </c>
      <c r="T469" s="547">
        <v>0</v>
      </c>
      <c r="U469" s="547">
        <v>0</v>
      </c>
      <c r="V469" s="547">
        <v>0</v>
      </c>
      <c r="W469" s="528"/>
      <c r="X469" s="711">
        <f t="shared" si="1304"/>
        <v>0</v>
      </c>
      <c r="Y469" s="897"/>
      <c r="Z469" s="528"/>
      <c r="AA469" s="899"/>
      <c r="AB469" s="899"/>
      <c r="AC469" s="899"/>
      <c r="AD469" s="901"/>
      <c r="AE469" s="2"/>
      <c r="AF469" s="926"/>
      <c r="AG469" s="885"/>
      <c r="AH469" s="885"/>
      <c r="AI469" s="885"/>
      <c r="AJ469" s="885"/>
      <c r="AK469" s="885"/>
      <c r="AL469" s="885"/>
      <c r="AM469" s="879"/>
      <c r="AN469" s="2"/>
      <c r="AO469" s="886"/>
      <c r="AP469" s="886"/>
      <c r="AV469" t="str">
        <f t="shared" si="1507"/>
        <v xml:space="preserve">Aterro e compactação </v>
      </c>
      <c r="AW469" s="4" t="str">
        <f t="shared" si="1498"/>
        <v xml:space="preserve">   Excecução de aterro compactado - Seg.2.2b acesso km 106+190</v>
      </c>
    </row>
    <row r="470" spans="1:49" ht="15" customHeight="1" outlineLevel="2">
      <c r="A470" s="545" t="str">
        <f t="shared" ref="A470" si="1552">IF(SUM(P470:V471)&gt;0,"S","N")</f>
        <v>N</v>
      </c>
      <c r="B470" s="526">
        <v>1060933</v>
      </c>
      <c r="C470" s="526" t="s">
        <v>714</v>
      </c>
      <c r="D470" s="527" t="s">
        <v>715</v>
      </c>
      <c r="E470" s="892" t="s">
        <v>716</v>
      </c>
      <c r="F470" s="902" t="s">
        <v>36</v>
      </c>
      <c r="G470" s="528"/>
      <c r="H470" s="546" t="s">
        <v>37</v>
      </c>
      <c r="I470" s="711">
        <v>0</v>
      </c>
      <c r="J470" s="896" t="str">
        <f t="shared" ref="J470" si="1553">IFERROR((I471/I470),"-")</f>
        <v>-</v>
      </c>
      <c r="K470" s="528"/>
      <c r="L470" s="546" t="s">
        <v>37</v>
      </c>
      <c r="M470" s="711">
        <f t="shared" si="1310"/>
        <v>0</v>
      </c>
      <c r="N470" s="896" t="str">
        <f t="shared" ref="N470" si="1554">IFERROR((M471/M470),"-")</f>
        <v>-</v>
      </c>
      <c r="O470" s="528"/>
      <c r="P470" s="547">
        <v>0</v>
      </c>
      <c r="Q470" s="547">
        <v>0</v>
      </c>
      <c r="R470" s="547">
        <v>0</v>
      </c>
      <c r="S470" s="547">
        <v>0</v>
      </c>
      <c r="T470" s="547">
        <v>0</v>
      </c>
      <c r="U470" s="547">
        <v>0</v>
      </c>
      <c r="V470" s="547">
        <v>0</v>
      </c>
      <c r="W470" s="528"/>
      <c r="X470" s="711">
        <f t="shared" si="1304"/>
        <v>0</v>
      </c>
      <c r="Y470" s="896" t="str">
        <f t="shared" ref="Y470" si="1555">IFERROR((X471/X470),"0")</f>
        <v>0</v>
      </c>
      <c r="Z470" s="528"/>
      <c r="AA470" s="898">
        <v>0</v>
      </c>
      <c r="AB470" s="898">
        <v>0</v>
      </c>
      <c r="AC470" s="898">
        <v>0</v>
      </c>
      <c r="AD470" s="900" t="str">
        <f t="shared" ref="AD470" si="1556">IFERROR((AC470/AB470),"-")</f>
        <v>-</v>
      </c>
      <c r="AE470" s="2"/>
      <c r="AF470" s="886">
        <v>0</v>
      </c>
      <c r="AG470" s="884">
        <v>465.21600000000001</v>
      </c>
      <c r="AH470" s="884">
        <v>0</v>
      </c>
      <c r="AI470" s="884"/>
      <c r="AJ470" s="884"/>
      <c r="AK470" s="884">
        <f t="shared" ref="AK470" si="1557">AF470+AG470+AH470+AI470+AJ470+AC470</f>
        <v>465.21600000000001</v>
      </c>
      <c r="AL470" s="884">
        <v>848.00000000000125</v>
      </c>
      <c r="AM470" s="878">
        <f t="shared" ref="AM470" si="1558">IFERROR((AK470/AL470),"-")</f>
        <v>0.54860377358490486</v>
      </c>
      <c r="AN470" s="2"/>
      <c r="AO470" s="884">
        <v>1085.45</v>
      </c>
      <c r="AP470" s="884">
        <f t="shared" ref="AP470" si="1559">AO470-AK470</f>
        <v>620.23400000000004</v>
      </c>
      <c r="AV470" t="str">
        <f t="shared" si="1507"/>
        <v xml:space="preserve">Aterro e compactação </v>
      </c>
      <c r="AW470" s="4" t="str">
        <f t="shared" si="1498"/>
        <v xml:space="preserve">   Excecução de aterro compactado - Seg.2.2B acesso km 108+540</v>
      </c>
    </row>
    <row r="471" spans="1:49" ht="14.45" customHeight="1" outlineLevel="2">
      <c r="A471" s="545" t="str">
        <f t="shared" ref="A471" si="1560">A470</f>
        <v>N</v>
      </c>
      <c r="B471" s="526"/>
      <c r="C471" s="526"/>
      <c r="D471" s="527" t="s">
        <v>715</v>
      </c>
      <c r="E471" s="893"/>
      <c r="F471" s="902"/>
      <c r="G471" s="528"/>
      <c r="H471" s="549" t="s">
        <v>38</v>
      </c>
      <c r="I471" s="711">
        <v>0</v>
      </c>
      <c r="J471" s="897"/>
      <c r="K471" s="528"/>
      <c r="L471" s="549" t="s">
        <v>38</v>
      </c>
      <c r="M471" s="711">
        <f t="shared" si="1310"/>
        <v>0</v>
      </c>
      <c r="N471" s="897"/>
      <c r="O471" s="528"/>
      <c r="P471" s="547">
        <v>0</v>
      </c>
      <c r="Q471" s="547">
        <v>0</v>
      </c>
      <c r="R471" s="547">
        <v>0</v>
      </c>
      <c r="S471" s="547">
        <v>0</v>
      </c>
      <c r="T471" s="547">
        <v>0</v>
      </c>
      <c r="U471" s="547">
        <v>0</v>
      </c>
      <c r="V471" s="547">
        <v>0</v>
      </c>
      <c r="W471" s="528"/>
      <c r="X471" s="711">
        <f t="shared" si="1304"/>
        <v>0</v>
      </c>
      <c r="Y471" s="897"/>
      <c r="Z471" s="528"/>
      <c r="AA471" s="899"/>
      <c r="AB471" s="899"/>
      <c r="AC471" s="899"/>
      <c r="AD471" s="901"/>
      <c r="AE471" s="2"/>
      <c r="AF471" s="926"/>
      <c r="AG471" s="885"/>
      <c r="AH471" s="885"/>
      <c r="AI471" s="885"/>
      <c r="AJ471" s="885"/>
      <c r="AK471" s="885"/>
      <c r="AL471" s="885"/>
      <c r="AM471" s="879"/>
      <c r="AN471" s="2"/>
      <c r="AO471" s="886"/>
      <c r="AP471" s="886"/>
      <c r="AV471" t="str">
        <f t="shared" si="1507"/>
        <v xml:space="preserve">Aterro e compactação </v>
      </c>
      <c r="AW471" s="4" t="str">
        <f t="shared" si="1498"/>
        <v xml:space="preserve">   Excecução de aterro compactado - Seg.2.2B acesso km 108+540</v>
      </c>
    </row>
    <row r="472" spans="1:49" ht="14.45" customHeight="1" outlineLevel="2">
      <c r="A472" s="545" t="str">
        <f t="shared" ref="A472" si="1561">IF(SUM(P472:V473)&gt;0,"S","N")</f>
        <v>N</v>
      </c>
      <c r="B472" s="526">
        <v>1060935</v>
      </c>
      <c r="C472" s="526" t="s">
        <v>717</v>
      </c>
      <c r="D472" s="527" t="s">
        <v>718</v>
      </c>
      <c r="E472" s="892" t="s">
        <v>719</v>
      </c>
      <c r="F472" s="902" t="s">
        <v>36</v>
      </c>
      <c r="G472" s="528"/>
      <c r="H472" s="546" t="s">
        <v>37</v>
      </c>
      <c r="I472" s="711">
        <v>0</v>
      </c>
      <c r="J472" s="896" t="str">
        <f t="shared" ref="J472" si="1562">IFERROR((I473/I472),"-")</f>
        <v>-</v>
      </c>
      <c r="K472" s="528"/>
      <c r="L472" s="546" t="s">
        <v>37</v>
      </c>
      <c r="M472" s="711">
        <f t="shared" si="1310"/>
        <v>0</v>
      </c>
      <c r="N472" s="896" t="str">
        <f t="shared" ref="N472" si="1563">IFERROR((M473/M472),"-")</f>
        <v>-</v>
      </c>
      <c r="O472" s="528"/>
      <c r="P472" s="547">
        <v>0</v>
      </c>
      <c r="Q472" s="547">
        <v>0</v>
      </c>
      <c r="R472" s="547">
        <v>0</v>
      </c>
      <c r="S472" s="547">
        <v>0</v>
      </c>
      <c r="T472" s="547">
        <v>0</v>
      </c>
      <c r="U472" s="547">
        <v>0</v>
      </c>
      <c r="V472" s="547">
        <v>0</v>
      </c>
      <c r="W472" s="528"/>
      <c r="X472" s="711">
        <f t="shared" si="1304"/>
        <v>0</v>
      </c>
      <c r="Y472" s="896" t="str">
        <f t="shared" ref="Y472" si="1564">IFERROR((X473/X472),"0")</f>
        <v>0</v>
      </c>
      <c r="Z472" s="528"/>
      <c r="AA472" s="898">
        <v>0</v>
      </c>
      <c r="AB472" s="898">
        <v>0</v>
      </c>
      <c r="AC472" s="898">
        <v>0</v>
      </c>
      <c r="AD472" s="900" t="str">
        <f t="shared" ref="AD472" si="1565">IFERROR((AC472/AB472),"-")</f>
        <v>-</v>
      </c>
      <c r="AE472" s="2"/>
      <c r="AF472" s="886">
        <v>28752.77</v>
      </c>
      <c r="AG472" s="884">
        <v>-744.67600000000004</v>
      </c>
      <c r="AH472" s="884">
        <v>0</v>
      </c>
      <c r="AI472" s="884"/>
      <c r="AJ472" s="884"/>
      <c r="AK472" s="884">
        <f t="shared" ref="AK472" si="1566">AF472+AG472+AH472+AI472+AJ472+AC472</f>
        <v>28008.094000000001</v>
      </c>
      <c r="AL472" s="884">
        <v>28180.980000000003</v>
      </c>
      <c r="AM472" s="878">
        <f t="shared" ref="AM472" si="1567">IFERROR((AK472/AL472),"-")</f>
        <v>0.99386515302164791</v>
      </c>
      <c r="AN472" s="2"/>
      <c r="AO472" s="884">
        <v>40646.74</v>
      </c>
      <c r="AP472" s="884">
        <f t="shared" ref="AP472" si="1568">AO472-AK472</f>
        <v>12638.645999999997</v>
      </c>
      <c r="AV472" t="str">
        <f t="shared" si="1507"/>
        <v xml:space="preserve">Aterro e compactação </v>
      </c>
      <c r="AW472" s="4" t="str">
        <f t="shared" si="1498"/>
        <v xml:space="preserve">   Excecução de aterro compactado - Seg.2.2B acesso km 110+035</v>
      </c>
    </row>
    <row r="473" spans="1:49" ht="15.6" customHeight="1" outlineLevel="2">
      <c r="A473" s="545" t="str">
        <f t="shared" ref="A473" si="1569">A472</f>
        <v>N</v>
      </c>
      <c r="B473" s="526"/>
      <c r="C473" s="526"/>
      <c r="D473" s="527" t="s">
        <v>718</v>
      </c>
      <c r="E473" s="893"/>
      <c r="F473" s="902"/>
      <c r="G473" s="528"/>
      <c r="H473" s="549" t="s">
        <v>38</v>
      </c>
      <c r="I473" s="711">
        <v>0</v>
      </c>
      <c r="J473" s="897"/>
      <c r="K473" s="528"/>
      <c r="L473" s="549" t="s">
        <v>38</v>
      </c>
      <c r="M473" s="711">
        <f t="shared" si="1310"/>
        <v>0</v>
      </c>
      <c r="N473" s="897"/>
      <c r="O473" s="528"/>
      <c r="P473" s="547">
        <v>0</v>
      </c>
      <c r="Q473" s="547">
        <v>0</v>
      </c>
      <c r="R473" s="547">
        <v>0</v>
      </c>
      <c r="S473" s="547">
        <v>0</v>
      </c>
      <c r="T473" s="547">
        <v>0</v>
      </c>
      <c r="U473" s="547">
        <v>0</v>
      </c>
      <c r="V473" s="547">
        <v>0</v>
      </c>
      <c r="W473" s="528"/>
      <c r="X473" s="711">
        <f t="shared" si="1304"/>
        <v>0</v>
      </c>
      <c r="Y473" s="897"/>
      <c r="Z473" s="528"/>
      <c r="AA473" s="899"/>
      <c r="AB473" s="899"/>
      <c r="AC473" s="899"/>
      <c r="AD473" s="901"/>
      <c r="AE473" s="2"/>
      <c r="AF473" s="926"/>
      <c r="AG473" s="885"/>
      <c r="AH473" s="885"/>
      <c r="AI473" s="885"/>
      <c r="AJ473" s="885"/>
      <c r="AK473" s="885"/>
      <c r="AL473" s="885"/>
      <c r="AM473" s="879"/>
      <c r="AN473" s="2"/>
      <c r="AO473" s="886"/>
      <c r="AP473" s="886"/>
      <c r="AQ473" s="58">
        <f>AP590+AP635+AP703</f>
        <v>489258.31799999991</v>
      </c>
      <c r="AR473" s="58"/>
      <c r="AS473" s="58"/>
      <c r="AV473" t="str">
        <f t="shared" si="1507"/>
        <v xml:space="preserve">Aterro e compactação </v>
      </c>
      <c r="AW473" s="4" t="str">
        <f t="shared" si="1498"/>
        <v xml:space="preserve">   Excecução de aterro compactado - Seg.2.2B acesso km 110+035</v>
      </c>
    </row>
    <row r="474" spans="1:49" ht="15.6" customHeight="1" outlineLevel="2">
      <c r="A474" s="545" t="str">
        <f t="shared" ref="A474" si="1570">IF(SUM(P474:V475)&gt;0,"S","N")</f>
        <v>N</v>
      </c>
      <c r="B474" s="526">
        <v>1060929</v>
      </c>
      <c r="C474" s="526" t="s">
        <v>720</v>
      </c>
      <c r="D474" s="527" t="s">
        <v>721</v>
      </c>
      <c r="E474" s="892" t="s">
        <v>722</v>
      </c>
      <c r="F474" s="902" t="s">
        <v>36</v>
      </c>
      <c r="G474" s="528"/>
      <c r="H474" s="546" t="s">
        <v>37</v>
      </c>
      <c r="I474" s="711">
        <v>0</v>
      </c>
      <c r="J474" s="896" t="str">
        <f>IFERROR((I475/I474),"-")</f>
        <v>-</v>
      </c>
      <c r="K474" s="528"/>
      <c r="L474" s="546" t="s">
        <v>37</v>
      </c>
      <c r="M474" s="711">
        <f t="shared" si="1310"/>
        <v>0</v>
      </c>
      <c r="N474" s="896" t="str">
        <f>IFERROR((M475/M474),"-")</f>
        <v>-</v>
      </c>
      <c r="O474" s="528"/>
      <c r="P474" s="547">
        <v>0</v>
      </c>
      <c r="Q474" s="547">
        <v>0</v>
      </c>
      <c r="R474" s="547">
        <v>0</v>
      </c>
      <c r="S474" s="547">
        <v>0</v>
      </c>
      <c r="T474" s="547">
        <v>0</v>
      </c>
      <c r="U474" s="547">
        <v>0</v>
      </c>
      <c r="V474" s="547">
        <v>0</v>
      </c>
      <c r="W474" s="528"/>
      <c r="X474" s="711">
        <f t="shared" si="1304"/>
        <v>0</v>
      </c>
      <c r="Y474" s="896" t="str">
        <f t="shared" ref="Y474" si="1571">IFERROR((X475/X474),"0")</f>
        <v>0</v>
      </c>
      <c r="Z474" s="528"/>
      <c r="AA474" s="898">
        <v>0</v>
      </c>
      <c r="AB474" s="898">
        <v>0</v>
      </c>
      <c r="AC474" s="898">
        <v>0</v>
      </c>
      <c r="AD474" s="900" t="str">
        <f t="shared" ref="AD474" si="1572">IFERROR((AC474/AB474),"-")</f>
        <v>-</v>
      </c>
      <c r="AE474" s="2"/>
      <c r="AF474" s="886">
        <v>0</v>
      </c>
      <c r="AG474" s="884">
        <v>2663.9780000000001</v>
      </c>
      <c r="AH474" s="884">
        <v>0</v>
      </c>
      <c r="AI474" s="884"/>
      <c r="AJ474" s="884"/>
      <c r="AK474" s="884">
        <f t="shared" ref="AK474" si="1573">AF474+AG474+AH474+AI474+AJ474+AC474</f>
        <v>2663.9780000000001</v>
      </c>
      <c r="AL474" s="884">
        <v>4500.5000000000009</v>
      </c>
      <c r="AM474" s="878">
        <f t="shared" ref="AM474" si="1574">IFERROR((AK474/AL474),"-")</f>
        <v>0.59192934118431273</v>
      </c>
      <c r="AN474" s="2"/>
      <c r="AO474" s="884">
        <v>4500.46</v>
      </c>
      <c r="AP474" s="884">
        <f t="shared" ref="AP474" si="1575">AO474-AK474</f>
        <v>1836.482</v>
      </c>
      <c r="AS474" s="58"/>
      <c r="AV474" t="str">
        <f t="shared" si="1507"/>
        <v xml:space="preserve">Aterro e compactação </v>
      </c>
      <c r="AW474" s="4" t="str">
        <f t="shared" si="1498"/>
        <v xml:space="preserve">   Excecução de aterro compactado - Seg.2.2B acesso km114+460</v>
      </c>
    </row>
    <row r="475" spans="1:49" ht="15.6" customHeight="1" outlineLevel="2">
      <c r="A475" s="545" t="str">
        <f t="shared" ref="A475" si="1576">A474</f>
        <v>N</v>
      </c>
      <c r="B475" s="526"/>
      <c r="C475" s="526"/>
      <c r="D475" s="527" t="s">
        <v>721</v>
      </c>
      <c r="E475" s="893"/>
      <c r="F475" s="902"/>
      <c r="G475" s="528"/>
      <c r="H475" s="549" t="s">
        <v>38</v>
      </c>
      <c r="I475" s="711">
        <v>0</v>
      </c>
      <c r="J475" s="897"/>
      <c r="K475" s="528"/>
      <c r="L475" s="549" t="s">
        <v>38</v>
      </c>
      <c r="M475" s="711">
        <f t="shared" si="1310"/>
        <v>0</v>
      </c>
      <c r="N475" s="897"/>
      <c r="O475" s="528"/>
      <c r="P475" s="547">
        <v>0</v>
      </c>
      <c r="Q475" s="547">
        <v>0</v>
      </c>
      <c r="R475" s="547">
        <v>0</v>
      </c>
      <c r="S475" s="547">
        <v>0</v>
      </c>
      <c r="T475" s="547">
        <v>0</v>
      </c>
      <c r="U475" s="547">
        <v>0</v>
      </c>
      <c r="V475" s="547">
        <v>0</v>
      </c>
      <c r="W475" s="528"/>
      <c r="X475" s="711">
        <f t="shared" si="1304"/>
        <v>0</v>
      </c>
      <c r="Y475" s="897"/>
      <c r="Z475" s="528"/>
      <c r="AA475" s="899"/>
      <c r="AB475" s="899"/>
      <c r="AC475" s="899"/>
      <c r="AD475" s="901"/>
      <c r="AE475" s="2"/>
      <c r="AF475" s="926"/>
      <c r="AG475" s="885"/>
      <c r="AH475" s="885"/>
      <c r="AI475" s="885"/>
      <c r="AJ475" s="885"/>
      <c r="AK475" s="885"/>
      <c r="AL475" s="885"/>
      <c r="AM475" s="879"/>
      <c r="AN475" s="2"/>
      <c r="AO475" s="886"/>
      <c r="AP475" s="886"/>
      <c r="AV475" t="str">
        <f t="shared" si="1507"/>
        <v xml:space="preserve">Aterro e compactação </v>
      </c>
      <c r="AW475" s="4" t="str">
        <f t="shared" si="1498"/>
        <v xml:space="preserve">   Excecução de aterro compactado - Seg.2.2B acesso km114+460</v>
      </c>
    </row>
    <row r="476" spans="1:49" ht="15.6" customHeight="1" outlineLevel="2">
      <c r="A476" s="525" t="str">
        <f t="shared" ref="A476" si="1577">IF(SUM(P476:V477)&gt;0,"S","N")</f>
        <v>N</v>
      </c>
      <c r="B476" s="526">
        <v>1060927</v>
      </c>
      <c r="C476" s="526" t="s">
        <v>723</v>
      </c>
      <c r="D476" s="527" t="s">
        <v>724</v>
      </c>
      <c r="E476" s="892" t="s">
        <v>725</v>
      </c>
      <c r="F476" s="902" t="s">
        <v>36</v>
      </c>
      <c r="G476" s="528"/>
      <c r="H476" s="546" t="s">
        <v>37</v>
      </c>
      <c r="I476" s="711">
        <v>0</v>
      </c>
      <c r="J476" s="896" t="str">
        <f t="shared" ref="J476" si="1578">IFERROR((I477/I476),"-")</f>
        <v>-</v>
      </c>
      <c r="K476" s="528"/>
      <c r="L476" s="546" t="s">
        <v>37</v>
      </c>
      <c r="M476" s="711">
        <f t="shared" si="1310"/>
        <v>0</v>
      </c>
      <c r="N476" s="896" t="str">
        <f t="shared" ref="N476" si="1579">IFERROR((M477/M476),"-")</f>
        <v>-</v>
      </c>
      <c r="O476" s="528"/>
      <c r="P476" s="547">
        <v>0</v>
      </c>
      <c r="Q476" s="547">
        <v>0</v>
      </c>
      <c r="R476" s="547">
        <v>0</v>
      </c>
      <c r="S476" s="547">
        <v>0</v>
      </c>
      <c r="T476" s="547">
        <v>0</v>
      </c>
      <c r="U476" s="547">
        <v>0</v>
      </c>
      <c r="V476" s="547">
        <v>0</v>
      </c>
      <c r="W476" s="528"/>
      <c r="X476" s="711">
        <f t="shared" ref="X476:X517" si="1580">SUMIFS(P476:V476,$P$8:$V$8,"&gt;="&amp;$P$8,$P$8:$V$8,"&lt;="&amp;$N$8)</f>
        <v>0</v>
      </c>
      <c r="Y476" s="896" t="str">
        <f t="shared" ref="Y476" si="1581">IFERROR((X477/X476),"0")</f>
        <v>0</v>
      </c>
      <c r="Z476" s="528"/>
      <c r="AA476" s="898">
        <v>0</v>
      </c>
      <c r="AB476" s="898">
        <v>0</v>
      </c>
      <c r="AC476" s="898">
        <v>0</v>
      </c>
      <c r="AD476" s="900" t="str">
        <f t="shared" ref="AD476" si="1582">IFERROR((AC476/AB476),"-")</f>
        <v>-</v>
      </c>
      <c r="AE476" s="2"/>
      <c r="AF476" s="886">
        <v>4050.759</v>
      </c>
      <c r="AG476" s="884">
        <v>700.62199999999996</v>
      </c>
      <c r="AH476" s="884">
        <v>0</v>
      </c>
      <c r="AI476" s="884"/>
      <c r="AJ476" s="884"/>
      <c r="AK476" s="884">
        <f t="shared" ref="AK476" si="1583">AF476+AG476+AH476+AI476+AJ476+AC476</f>
        <v>4751.3810000000003</v>
      </c>
      <c r="AL476" s="884">
        <v>2886.5000000000014</v>
      </c>
      <c r="AM476" s="878">
        <f t="shared" ref="AM476" si="1584">IFERROR((AK476/AL476),"-")</f>
        <v>1.6460699809457815</v>
      </c>
      <c r="AN476" s="2"/>
      <c r="AO476" s="884">
        <v>7058.56</v>
      </c>
      <c r="AP476" s="884">
        <f t="shared" ref="AP476" si="1585">AO476-AK476</f>
        <v>2307.1790000000001</v>
      </c>
      <c r="AV476" t="str">
        <f t="shared" si="1507"/>
        <v xml:space="preserve">Aterro e compactação </v>
      </c>
      <c r="AW476" s="4" t="str">
        <f t="shared" si="1498"/>
        <v xml:space="preserve">   Excecução de aterro compactado - Seg.2.2B acesso km114+740</v>
      </c>
    </row>
    <row r="477" spans="1:49" ht="15.6" customHeight="1" outlineLevel="2">
      <c r="A477" s="525" t="str">
        <f t="shared" ref="A477" si="1586">A476</f>
        <v>N</v>
      </c>
      <c r="B477" s="526"/>
      <c r="C477" s="526"/>
      <c r="D477" s="527" t="s">
        <v>724</v>
      </c>
      <c r="E477" s="893"/>
      <c r="F477" s="902"/>
      <c r="G477" s="528"/>
      <c r="H477" s="549" t="s">
        <v>38</v>
      </c>
      <c r="I477" s="711">
        <v>0</v>
      </c>
      <c r="J477" s="897"/>
      <c r="K477" s="528"/>
      <c r="L477" s="549" t="s">
        <v>38</v>
      </c>
      <c r="M477" s="711">
        <f t="shared" si="1310"/>
        <v>0</v>
      </c>
      <c r="N477" s="897"/>
      <c r="O477" s="528"/>
      <c r="P477" s="547">
        <v>0</v>
      </c>
      <c r="Q477" s="547">
        <v>0</v>
      </c>
      <c r="R477" s="547">
        <v>0</v>
      </c>
      <c r="S477" s="547">
        <v>0</v>
      </c>
      <c r="T477" s="547">
        <v>0</v>
      </c>
      <c r="U477" s="547">
        <v>0</v>
      </c>
      <c r="V477" s="547">
        <v>0</v>
      </c>
      <c r="W477" s="528"/>
      <c r="X477" s="711">
        <f t="shared" si="1580"/>
        <v>0</v>
      </c>
      <c r="Y477" s="897"/>
      <c r="Z477" s="528"/>
      <c r="AA477" s="899"/>
      <c r="AB477" s="899"/>
      <c r="AC477" s="899"/>
      <c r="AD477" s="901"/>
      <c r="AE477" s="2"/>
      <c r="AF477" s="926"/>
      <c r="AG477" s="885"/>
      <c r="AH477" s="885"/>
      <c r="AI477" s="885"/>
      <c r="AJ477" s="885"/>
      <c r="AK477" s="885"/>
      <c r="AL477" s="885"/>
      <c r="AM477" s="879"/>
      <c r="AN477" s="2"/>
      <c r="AO477" s="886"/>
      <c r="AP477" s="886"/>
      <c r="AV477" t="str">
        <f t="shared" si="1507"/>
        <v xml:space="preserve">Aterro e compactação </v>
      </c>
      <c r="AW477" s="4" t="str">
        <f t="shared" si="1498"/>
        <v xml:space="preserve">   Excecução de aterro compactado - Seg.2.2B acesso km114+740</v>
      </c>
    </row>
    <row r="478" spans="1:49" ht="15.6" customHeight="1" outlineLevel="2">
      <c r="A478" s="525" t="str">
        <f t="shared" ref="A478" si="1587">IF(SUM(P478:V479)&gt;0,"S","N")</f>
        <v>N</v>
      </c>
      <c r="B478" s="526">
        <v>1060925</v>
      </c>
      <c r="C478" s="526" t="s">
        <v>726</v>
      </c>
      <c r="D478" s="527" t="s">
        <v>727</v>
      </c>
      <c r="E478" s="892" t="s">
        <v>728</v>
      </c>
      <c r="F478" s="902" t="s">
        <v>36</v>
      </c>
      <c r="G478" s="528"/>
      <c r="H478" s="546" t="s">
        <v>37</v>
      </c>
      <c r="I478" s="711">
        <v>0</v>
      </c>
      <c r="J478" s="896" t="str">
        <f t="shared" ref="J478" si="1588">IFERROR((I479/I478),"-")</f>
        <v>-</v>
      </c>
      <c r="K478" s="528"/>
      <c r="L478" s="546" t="s">
        <v>37</v>
      </c>
      <c r="M478" s="711">
        <f t="shared" ref="M478:M517" si="1589">_xlfn.XLOOKUP($N$8,$P$8:$V$8,$P478:$V478)</f>
        <v>0</v>
      </c>
      <c r="N478" s="896" t="str">
        <f t="shared" ref="N478" si="1590">IFERROR((M479/M478),"-")</f>
        <v>-</v>
      </c>
      <c r="O478" s="528"/>
      <c r="P478" s="547">
        <v>0</v>
      </c>
      <c r="Q478" s="547">
        <v>0</v>
      </c>
      <c r="R478" s="547">
        <v>0</v>
      </c>
      <c r="S478" s="547">
        <v>0</v>
      </c>
      <c r="T478" s="547">
        <v>0</v>
      </c>
      <c r="U478" s="547">
        <v>0</v>
      </c>
      <c r="V478" s="547">
        <v>0</v>
      </c>
      <c r="W478" s="528"/>
      <c r="X478" s="711">
        <f t="shared" si="1580"/>
        <v>0</v>
      </c>
      <c r="Y478" s="896" t="str">
        <f t="shared" ref="Y478" si="1591">IFERROR((X479/X478),"0")</f>
        <v>0</v>
      </c>
      <c r="Z478" s="528"/>
      <c r="AA478" s="898">
        <v>0</v>
      </c>
      <c r="AB478" s="898">
        <v>0</v>
      </c>
      <c r="AC478" s="898">
        <v>0</v>
      </c>
      <c r="AD478" s="900" t="str">
        <f t="shared" ref="AD478" si="1592">IFERROR((AC478/AB478),"-")</f>
        <v>-</v>
      </c>
      <c r="AE478" s="2"/>
      <c r="AF478" s="886">
        <v>2064.92</v>
      </c>
      <c r="AG478" s="884"/>
      <c r="AH478" s="884">
        <v>0</v>
      </c>
      <c r="AI478" s="884"/>
      <c r="AJ478" s="884"/>
      <c r="AK478" s="884">
        <f t="shared" ref="AK478" si="1593">AF478+AG478+AH478+AI478+AJ478+AC478</f>
        <v>2064.92</v>
      </c>
      <c r="AL478" s="884">
        <v>1135.75</v>
      </c>
      <c r="AM478" s="878">
        <f t="shared" ref="AM478" si="1594">IFERROR((AK478/AL478),"-")</f>
        <v>1.8181113801452786</v>
      </c>
      <c r="AN478" s="2"/>
      <c r="AO478" s="884">
        <v>2065</v>
      </c>
      <c r="AP478" s="884">
        <f t="shared" ref="AP478" si="1595">AO478-AK478</f>
        <v>7.999999999992724E-2</v>
      </c>
      <c r="AV478" t="str">
        <f t="shared" si="1507"/>
        <v xml:space="preserve">Aterro e compactação </v>
      </c>
      <c r="AW478" s="4" t="str">
        <f t="shared" si="1498"/>
        <v xml:space="preserve">   Excecução de aterro compactado - Seg.2.2B acesso km 115+606</v>
      </c>
    </row>
    <row r="479" spans="1:49" ht="15.6" customHeight="1" outlineLevel="2">
      <c r="A479" s="525" t="str">
        <f t="shared" ref="A479" si="1596">A478</f>
        <v>N</v>
      </c>
      <c r="B479" s="526"/>
      <c r="C479" s="526"/>
      <c r="D479" s="527" t="s">
        <v>727</v>
      </c>
      <c r="E479" s="893"/>
      <c r="F479" s="902"/>
      <c r="G479" s="528"/>
      <c r="H479" s="549" t="s">
        <v>38</v>
      </c>
      <c r="I479" s="711">
        <v>0</v>
      </c>
      <c r="J479" s="897"/>
      <c r="K479" s="528"/>
      <c r="L479" s="549" t="s">
        <v>38</v>
      </c>
      <c r="M479" s="711">
        <f t="shared" si="1589"/>
        <v>0</v>
      </c>
      <c r="N479" s="897"/>
      <c r="O479" s="528"/>
      <c r="P479" s="547">
        <v>0</v>
      </c>
      <c r="Q479" s="547">
        <v>0</v>
      </c>
      <c r="R479" s="547">
        <v>0</v>
      </c>
      <c r="S479" s="547">
        <v>0</v>
      </c>
      <c r="T479" s="547">
        <v>0</v>
      </c>
      <c r="U479" s="547">
        <v>0</v>
      </c>
      <c r="V479" s="547">
        <v>0</v>
      </c>
      <c r="W479" s="528"/>
      <c r="X479" s="711">
        <f t="shared" si="1580"/>
        <v>0</v>
      </c>
      <c r="Y479" s="897"/>
      <c r="Z479" s="528"/>
      <c r="AA479" s="899"/>
      <c r="AB479" s="899"/>
      <c r="AC479" s="899"/>
      <c r="AD479" s="901"/>
      <c r="AE479" s="2"/>
      <c r="AF479" s="926"/>
      <c r="AG479" s="885"/>
      <c r="AH479" s="885"/>
      <c r="AI479" s="885"/>
      <c r="AJ479" s="885"/>
      <c r="AK479" s="885"/>
      <c r="AL479" s="885"/>
      <c r="AM479" s="879"/>
      <c r="AN479" s="2"/>
      <c r="AO479" s="886"/>
      <c r="AP479" s="886"/>
      <c r="AV479" t="str">
        <f t="shared" si="1507"/>
        <v xml:space="preserve">Aterro e compactação </v>
      </c>
      <c r="AW479" s="4" t="str">
        <f t="shared" si="1498"/>
        <v xml:space="preserve">   Excecução de aterro compactado - Seg.2.2B acesso km 115+606</v>
      </c>
    </row>
    <row r="480" spans="1:49" ht="15.6" customHeight="1" outlineLevel="2">
      <c r="A480" s="545" t="str">
        <f t="shared" ref="A480" si="1597">IF(SUM(P480:V481)&gt;0,"S","N")</f>
        <v>N</v>
      </c>
      <c r="B480" s="526">
        <v>1058114</v>
      </c>
      <c r="C480" s="526" t="s">
        <v>729</v>
      </c>
      <c r="D480" s="527" t="s">
        <v>730</v>
      </c>
      <c r="E480" s="892" t="s">
        <v>731</v>
      </c>
      <c r="F480" s="902" t="s">
        <v>36</v>
      </c>
      <c r="G480" s="528"/>
      <c r="H480" s="546" t="s">
        <v>37</v>
      </c>
      <c r="I480" s="711">
        <v>0</v>
      </c>
      <c r="J480" s="896" t="str">
        <f t="shared" ref="J480" si="1598">IFERROR((I481/I480),"-")</f>
        <v>-</v>
      </c>
      <c r="K480" s="528"/>
      <c r="L480" s="546" t="s">
        <v>37</v>
      </c>
      <c r="M480" s="711">
        <f t="shared" si="1589"/>
        <v>0</v>
      </c>
      <c r="N480" s="896" t="str">
        <f t="shared" ref="N480" si="1599">IFERROR((M481/M480),"-")</f>
        <v>-</v>
      </c>
      <c r="O480" s="528"/>
      <c r="P480" s="547">
        <v>0</v>
      </c>
      <c r="Q480" s="547">
        <v>0</v>
      </c>
      <c r="R480" s="547">
        <v>0</v>
      </c>
      <c r="S480" s="547">
        <v>0</v>
      </c>
      <c r="T480" s="547">
        <v>0</v>
      </c>
      <c r="U480" s="547">
        <v>0</v>
      </c>
      <c r="V480" s="547">
        <v>0</v>
      </c>
      <c r="W480" s="528"/>
      <c r="X480" s="711">
        <f t="shared" si="1580"/>
        <v>0</v>
      </c>
      <c r="Y480" s="896" t="str">
        <f t="shared" ref="Y480" si="1600">IFERROR((X481/X480),"0")</f>
        <v>0</v>
      </c>
      <c r="Z480" s="528"/>
      <c r="AA480" s="898">
        <v>0</v>
      </c>
      <c r="AB480" s="898">
        <v>0</v>
      </c>
      <c r="AC480" s="898">
        <v>0</v>
      </c>
      <c r="AD480" s="900" t="str">
        <f t="shared" ref="AD480" si="1601">IFERROR((AC480/AB480),"-")</f>
        <v>-</v>
      </c>
      <c r="AE480" s="2"/>
      <c r="AF480" s="886">
        <v>0</v>
      </c>
      <c r="AG480" s="884"/>
      <c r="AH480" s="884">
        <v>0</v>
      </c>
      <c r="AI480" s="884"/>
      <c r="AJ480" s="884"/>
      <c r="AK480" s="884">
        <f t="shared" ref="AK480" si="1602">AF480+AG480+AH480+AI480+AJ480+AC480</f>
        <v>0</v>
      </c>
      <c r="AL480" s="884">
        <v>1789.8</v>
      </c>
      <c r="AM480" s="878">
        <f t="shared" ref="AM480" si="1603">IFERROR((AK480/AL480),"-")</f>
        <v>0</v>
      </c>
      <c r="AN480" s="2"/>
      <c r="AO480" s="884">
        <v>1789.8</v>
      </c>
      <c r="AP480" s="884">
        <f t="shared" ref="AP480" si="1604">AO480-AK480</f>
        <v>1789.8</v>
      </c>
      <c r="AV480" t="str">
        <f t="shared" si="1507"/>
        <v xml:space="preserve">Aterro e compactação </v>
      </c>
      <c r="AW480" s="4" t="str">
        <f t="shared" si="1498"/>
        <v xml:space="preserve">   Recomposição Camada Final de Aterro (PN a 100%) - Seg.2.2B C02</v>
      </c>
    </row>
    <row r="481" spans="1:49" ht="15.6" customHeight="1" outlineLevel="2">
      <c r="A481" s="545" t="str">
        <f t="shared" ref="A481" si="1605">A480</f>
        <v>N</v>
      </c>
      <c r="B481" s="526"/>
      <c r="C481" s="526"/>
      <c r="D481" s="527" t="s">
        <v>730</v>
      </c>
      <c r="E481" s="893"/>
      <c r="F481" s="902"/>
      <c r="G481" s="528"/>
      <c r="H481" s="549" t="s">
        <v>38</v>
      </c>
      <c r="I481" s="711">
        <v>0</v>
      </c>
      <c r="J481" s="897"/>
      <c r="K481" s="528"/>
      <c r="L481" s="549" t="s">
        <v>38</v>
      </c>
      <c r="M481" s="711">
        <f t="shared" si="1589"/>
        <v>0</v>
      </c>
      <c r="N481" s="897"/>
      <c r="O481" s="528"/>
      <c r="P481" s="547">
        <v>0</v>
      </c>
      <c r="Q481" s="547">
        <v>0</v>
      </c>
      <c r="R481" s="547">
        <v>0</v>
      </c>
      <c r="S481" s="547">
        <v>0</v>
      </c>
      <c r="T481" s="547">
        <v>0</v>
      </c>
      <c r="U481" s="547">
        <v>0</v>
      </c>
      <c r="V481" s="547">
        <v>0</v>
      </c>
      <c r="W481" s="528"/>
      <c r="X481" s="711">
        <f t="shared" si="1580"/>
        <v>0</v>
      </c>
      <c r="Y481" s="897"/>
      <c r="Z481" s="528"/>
      <c r="AA481" s="899"/>
      <c r="AB481" s="899"/>
      <c r="AC481" s="899"/>
      <c r="AD481" s="901"/>
      <c r="AE481" s="2"/>
      <c r="AF481" s="926"/>
      <c r="AG481" s="885"/>
      <c r="AH481" s="885"/>
      <c r="AI481" s="885"/>
      <c r="AJ481" s="885"/>
      <c r="AK481" s="885"/>
      <c r="AL481" s="885"/>
      <c r="AM481" s="879"/>
      <c r="AN481" s="2"/>
      <c r="AO481" s="886"/>
      <c r="AP481" s="886"/>
      <c r="AV481" t="str">
        <f t="shared" si="1507"/>
        <v xml:space="preserve">Aterro e compactação </v>
      </c>
      <c r="AW481" s="4" t="str">
        <f t="shared" si="1498"/>
        <v xml:space="preserve">   Recomposição Camada Final de Aterro (PN a 100%) - Seg.2.2B C02</v>
      </c>
    </row>
    <row r="482" spans="1:49" ht="15.6" customHeight="1" outlineLevel="2">
      <c r="A482" s="545" t="str">
        <f t="shared" ref="A482" si="1606">IF(SUM(P482:V483)&gt;0,"S","N")</f>
        <v>N</v>
      </c>
      <c r="B482" s="526">
        <v>1058116</v>
      </c>
      <c r="C482" s="526" t="s">
        <v>732</v>
      </c>
      <c r="D482" s="527" t="s">
        <v>733</v>
      </c>
      <c r="E482" s="892" t="s">
        <v>734</v>
      </c>
      <c r="F482" s="902" t="s">
        <v>36</v>
      </c>
      <c r="G482" s="528"/>
      <c r="H482" s="546" t="s">
        <v>37</v>
      </c>
      <c r="I482" s="711">
        <v>0</v>
      </c>
      <c r="J482" s="896" t="str">
        <f t="shared" ref="J482" si="1607">IFERROR((I483/I482),"-")</f>
        <v>-</v>
      </c>
      <c r="K482" s="528"/>
      <c r="L482" s="546" t="s">
        <v>37</v>
      </c>
      <c r="M482" s="711">
        <f t="shared" si="1589"/>
        <v>0</v>
      </c>
      <c r="N482" s="896" t="str">
        <f t="shared" ref="N482" si="1608">IFERROR((M483/M482),"-")</f>
        <v>-</v>
      </c>
      <c r="O482" s="528"/>
      <c r="P482" s="547">
        <v>0</v>
      </c>
      <c r="Q482" s="547">
        <v>0</v>
      </c>
      <c r="R482" s="547">
        <v>0</v>
      </c>
      <c r="S482" s="547">
        <v>0</v>
      </c>
      <c r="T482" s="547">
        <v>0</v>
      </c>
      <c r="U482" s="547">
        <v>0</v>
      </c>
      <c r="V482" s="547">
        <v>0</v>
      </c>
      <c r="W482" s="528"/>
      <c r="X482" s="711">
        <f t="shared" si="1580"/>
        <v>0</v>
      </c>
      <c r="Y482" s="896" t="str">
        <f t="shared" ref="Y482" si="1609">IFERROR((X483/X482),"0")</f>
        <v>0</v>
      </c>
      <c r="Z482" s="528"/>
      <c r="AA482" s="898">
        <v>0</v>
      </c>
      <c r="AB482" s="898">
        <v>0</v>
      </c>
      <c r="AC482" s="898">
        <v>0</v>
      </c>
      <c r="AD482" s="900" t="str">
        <f t="shared" ref="AD482" si="1610">IFERROR((AC482/AB482),"-")</f>
        <v>-</v>
      </c>
      <c r="AE482" s="2"/>
      <c r="AF482" s="886">
        <v>0</v>
      </c>
      <c r="AG482" s="884"/>
      <c r="AH482" s="884">
        <v>0</v>
      </c>
      <c r="AI482" s="884"/>
      <c r="AJ482" s="884"/>
      <c r="AK482" s="884">
        <f t="shared" ref="AK482" si="1611">AF482+AG482+AH482+AI482+AJ482+AC482</f>
        <v>0</v>
      </c>
      <c r="AL482" s="884">
        <v>2206</v>
      </c>
      <c r="AM482" s="878">
        <f t="shared" ref="AM482" si="1612">IFERROR((AK482/AL482),"-")</f>
        <v>0</v>
      </c>
      <c r="AN482" s="2"/>
      <c r="AO482" s="884">
        <v>2205.98</v>
      </c>
      <c r="AP482" s="884">
        <f t="shared" ref="AP482" si="1613">AO482-AK482</f>
        <v>2205.98</v>
      </c>
      <c r="AV482" t="str">
        <f t="shared" si="1507"/>
        <v xml:space="preserve">Aterro e compactação </v>
      </c>
      <c r="AW482" s="4" t="str">
        <f t="shared" si="1498"/>
        <v xml:space="preserve">   Recomposição Camada Final de Aterro (PN a 100%) - Seg.2.2B C03</v>
      </c>
    </row>
    <row r="483" spans="1:49" ht="15.6" customHeight="1" outlineLevel="2">
      <c r="A483" s="545" t="str">
        <f t="shared" ref="A483" si="1614">A482</f>
        <v>N</v>
      </c>
      <c r="B483" s="526"/>
      <c r="C483" s="526"/>
      <c r="D483" s="527" t="s">
        <v>733</v>
      </c>
      <c r="E483" s="893"/>
      <c r="F483" s="902"/>
      <c r="G483" s="528"/>
      <c r="H483" s="549" t="s">
        <v>38</v>
      </c>
      <c r="I483" s="711">
        <v>0</v>
      </c>
      <c r="J483" s="897"/>
      <c r="K483" s="528"/>
      <c r="L483" s="549" t="s">
        <v>38</v>
      </c>
      <c r="M483" s="711">
        <f t="shared" si="1589"/>
        <v>0</v>
      </c>
      <c r="N483" s="897"/>
      <c r="O483" s="528"/>
      <c r="P483" s="547">
        <v>0</v>
      </c>
      <c r="Q483" s="547">
        <v>0</v>
      </c>
      <c r="R483" s="547">
        <v>0</v>
      </c>
      <c r="S483" s="547">
        <v>0</v>
      </c>
      <c r="T483" s="547">
        <v>0</v>
      </c>
      <c r="U483" s="547">
        <v>0</v>
      </c>
      <c r="V483" s="547">
        <v>0</v>
      </c>
      <c r="W483" s="528"/>
      <c r="X483" s="711">
        <f t="shared" si="1580"/>
        <v>0</v>
      </c>
      <c r="Y483" s="897"/>
      <c r="Z483" s="528"/>
      <c r="AA483" s="899"/>
      <c r="AB483" s="899"/>
      <c r="AC483" s="899"/>
      <c r="AD483" s="901"/>
      <c r="AE483" s="2"/>
      <c r="AF483" s="926"/>
      <c r="AG483" s="885"/>
      <c r="AH483" s="885"/>
      <c r="AI483" s="885"/>
      <c r="AJ483" s="885"/>
      <c r="AK483" s="885"/>
      <c r="AL483" s="885"/>
      <c r="AM483" s="879"/>
      <c r="AN483" s="2"/>
      <c r="AO483" s="886"/>
      <c r="AP483" s="886"/>
      <c r="AV483" t="str">
        <f t="shared" si="1507"/>
        <v xml:space="preserve">Aterro e compactação </v>
      </c>
      <c r="AW483" s="4" t="str">
        <f t="shared" si="1498"/>
        <v xml:space="preserve">   Recomposição Camada Final de Aterro (PN a 100%) - Seg.2.2B C03</v>
      </c>
    </row>
    <row r="484" spans="1:49" ht="15.6" customHeight="1" outlineLevel="2">
      <c r="A484" s="545" t="str">
        <f t="shared" ref="A484" si="1615">IF(SUM(P484:V485)&gt;0,"S","N")</f>
        <v>S</v>
      </c>
      <c r="B484" s="526">
        <v>1069524</v>
      </c>
      <c r="C484" s="526" t="s">
        <v>735</v>
      </c>
      <c r="D484" s="550" t="s">
        <v>736</v>
      </c>
      <c r="E484" s="892" t="s">
        <v>737</v>
      </c>
      <c r="F484" s="902" t="s">
        <v>36</v>
      </c>
      <c r="G484" s="528"/>
      <c r="H484" s="546" t="s">
        <v>37</v>
      </c>
      <c r="I484" s="711">
        <v>0</v>
      </c>
      <c r="J484" s="896" t="str">
        <f>IFERROR((I485/I484),"-")</f>
        <v>-</v>
      </c>
      <c r="K484" s="528"/>
      <c r="L484" s="546" t="s">
        <v>37</v>
      </c>
      <c r="M484" s="711">
        <f t="shared" si="1589"/>
        <v>0</v>
      </c>
      <c r="N484" s="896" t="str">
        <f>IFERROR((M485/M484),"-")</f>
        <v>-</v>
      </c>
      <c r="O484" s="528"/>
      <c r="P484" s="547">
        <v>0</v>
      </c>
      <c r="Q484" s="547">
        <v>0</v>
      </c>
      <c r="R484" s="547">
        <v>0</v>
      </c>
      <c r="S484" s="547">
        <v>0</v>
      </c>
      <c r="T484" s="547">
        <v>0</v>
      </c>
      <c r="U484" s="547">
        <v>0</v>
      </c>
      <c r="V484" s="547">
        <v>0</v>
      </c>
      <c r="W484" s="528"/>
      <c r="X484" s="711">
        <f t="shared" si="1580"/>
        <v>0</v>
      </c>
      <c r="Y484" s="896" t="str">
        <f t="shared" ref="Y484" si="1616">IFERROR((X485/X484),"0")</f>
        <v>0</v>
      </c>
      <c r="Z484" s="528"/>
      <c r="AA484" s="898">
        <v>7379.84</v>
      </c>
      <c r="AB484" s="898">
        <v>7379.84</v>
      </c>
      <c r="AC484" s="898">
        <v>1181.6400000000001</v>
      </c>
      <c r="AD484" s="900">
        <f t="shared" ref="AD484" si="1617">IFERROR((AC484/AB484),"-")</f>
        <v>0.1601172925158269</v>
      </c>
      <c r="AE484" s="2"/>
      <c r="AF484" s="886">
        <v>0</v>
      </c>
      <c r="AG484" s="884"/>
      <c r="AH484" s="884">
        <v>0</v>
      </c>
      <c r="AI484" s="884"/>
      <c r="AJ484" s="884"/>
      <c r="AK484" s="884">
        <f t="shared" ref="AK484" si="1618">AF484+AG484+AH484+AI484+AJ484+AC484</f>
        <v>1181.6400000000001</v>
      </c>
      <c r="AL484" s="884">
        <v>7645.89</v>
      </c>
      <c r="AM484" s="878">
        <f>IFERROR((AK484/AL484),"-")</f>
        <v>0.15454577557354343</v>
      </c>
      <c r="AN484" s="2"/>
      <c r="AO484" s="884">
        <v>7645.8</v>
      </c>
      <c r="AP484" s="884">
        <f t="shared" ref="AP484" si="1619">AO484-AK484</f>
        <v>6464.16</v>
      </c>
      <c r="AV484" t="str">
        <f t="shared" si="1507"/>
        <v xml:space="preserve">Aterro e compactação </v>
      </c>
      <c r="AW484" s="4" t="str">
        <f t="shared" si="1498"/>
        <v xml:space="preserve">   Recomposição Camada Final de Aterro (PN a 100%) - Seg.2.2B C04 - 1° Trecho</v>
      </c>
    </row>
    <row r="485" spans="1:49" ht="15.6" customHeight="1" outlineLevel="2">
      <c r="A485" s="545" t="str">
        <f t="shared" ref="A485" si="1620">A484</f>
        <v>S</v>
      </c>
      <c r="B485" s="526"/>
      <c r="C485" s="526"/>
      <c r="D485" s="550" t="s">
        <v>736</v>
      </c>
      <c r="E485" s="893"/>
      <c r="F485" s="902"/>
      <c r="G485" s="528"/>
      <c r="H485" s="549" t="s">
        <v>38</v>
      </c>
      <c r="I485" s="711">
        <v>0</v>
      </c>
      <c r="J485" s="897"/>
      <c r="K485" s="528"/>
      <c r="L485" s="549" t="s">
        <v>38</v>
      </c>
      <c r="M485" s="711">
        <f t="shared" si="1589"/>
        <v>879.36000000000013</v>
      </c>
      <c r="N485" s="897"/>
      <c r="O485" s="528"/>
      <c r="P485" s="547">
        <v>302.28000000000003</v>
      </c>
      <c r="Q485" s="547">
        <v>879.36000000000013</v>
      </c>
      <c r="R485" s="547">
        <v>0</v>
      </c>
      <c r="S485" s="547">
        <v>0</v>
      </c>
      <c r="T485" s="547">
        <v>0</v>
      </c>
      <c r="U485" s="547">
        <v>0</v>
      </c>
      <c r="V485" s="547">
        <v>0</v>
      </c>
      <c r="W485" s="528"/>
      <c r="X485" s="711">
        <f t="shared" si="1580"/>
        <v>1181.6400000000001</v>
      </c>
      <c r="Y485" s="897"/>
      <c r="Z485" s="528"/>
      <c r="AA485" s="899"/>
      <c r="AB485" s="899"/>
      <c r="AC485" s="899"/>
      <c r="AD485" s="901"/>
      <c r="AE485" s="2"/>
      <c r="AF485" s="926"/>
      <c r="AG485" s="885"/>
      <c r="AH485" s="885"/>
      <c r="AI485" s="885"/>
      <c r="AJ485" s="885"/>
      <c r="AK485" s="885"/>
      <c r="AL485" s="885"/>
      <c r="AM485" s="879"/>
      <c r="AN485" s="2"/>
      <c r="AO485" s="885"/>
      <c r="AP485" s="886"/>
      <c r="AV485" t="str">
        <f t="shared" si="1507"/>
        <v xml:space="preserve">Aterro e compactação </v>
      </c>
      <c r="AW485" s="4" t="str">
        <f t="shared" si="1498"/>
        <v xml:space="preserve">   Recomposição Camada Final de Aterro (PN a 100%) - Seg.2.2B C04 - 1° Trecho</v>
      </c>
    </row>
    <row r="486" spans="1:49" ht="15.6" customHeight="1" outlineLevel="2">
      <c r="A486" s="545" t="str">
        <f t="shared" ref="A486" si="1621">IF(SUM(P486:V487)&gt;0,"S","N")</f>
        <v>N</v>
      </c>
      <c r="B486" s="526">
        <v>1058118</v>
      </c>
      <c r="C486" s="526" t="s">
        <v>738</v>
      </c>
      <c r="D486" s="527" t="s">
        <v>739</v>
      </c>
      <c r="E486" s="892" t="s">
        <v>740</v>
      </c>
      <c r="F486" s="902" t="s">
        <v>36</v>
      </c>
      <c r="G486" s="528"/>
      <c r="H486" s="546" t="s">
        <v>37</v>
      </c>
      <c r="I486" s="711">
        <v>0</v>
      </c>
      <c r="J486" s="896" t="str">
        <f t="shared" ref="J486" si="1622">IFERROR((I487/I486),"-")</f>
        <v>-</v>
      </c>
      <c r="K486" s="528"/>
      <c r="L486" s="546" t="s">
        <v>37</v>
      </c>
      <c r="M486" s="711">
        <f t="shared" si="1589"/>
        <v>0</v>
      </c>
      <c r="N486" s="896" t="str">
        <f t="shared" ref="N486" si="1623">IFERROR((M487/M486),"-")</f>
        <v>-</v>
      </c>
      <c r="O486" s="528"/>
      <c r="P486" s="547">
        <v>0</v>
      </c>
      <c r="Q486" s="547">
        <v>0</v>
      </c>
      <c r="R486" s="547">
        <v>0</v>
      </c>
      <c r="S486" s="547">
        <v>0</v>
      </c>
      <c r="T486" s="547">
        <v>0</v>
      </c>
      <c r="U486" s="547">
        <v>0</v>
      </c>
      <c r="V486" s="547">
        <v>0</v>
      </c>
      <c r="W486" s="528"/>
      <c r="X486" s="711">
        <f t="shared" si="1580"/>
        <v>0</v>
      </c>
      <c r="Y486" s="896" t="str">
        <f t="shared" ref="Y486" si="1624">IFERROR((X487/X486),"0")</f>
        <v>0</v>
      </c>
      <c r="Z486" s="528"/>
      <c r="AA486" s="898">
        <v>0</v>
      </c>
      <c r="AB486" s="898">
        <v>0</v>
      </c>
      <c r="AC486" s="898">
        <v>0</v>
      </c>
      <c r="AD486" s="900" t="str">
        <f t="shared" ref="AD486" si="1625">IFERROR((AC486/AB486),"-")</f>
        <v>-</v>
      </c>
      <c r="AE486" s="2"/>
      <c r="AF486" s="886">
        <v>0</v>
      </c>
      <c r="AG486" s="884"/>
      <c r="AH486" s="884">
        <v>0</v>
      </c>
      <c r="AI486" s="884"/>
      <c r="AJ486" s="884"/>
      <c r="AK486" s="884">
        <f t="shared" ref="AK486" si="1626">AF486+AG486+AH486+AI486+AJ486+AC486</f>
        <v>0</v>
      </c>
      <c r="AL486" s="884">
        <v>2484</v>
      </c>
      <c r="AM486" s="878">
        <f t="shared" ref="AM486" si="1627">IFERROR((AK486/AL486),"-")</f>
        <v>0</v>
      </c>
      <c r="AN486" s="2"/>
      <c r="AO486" s="884">
        <v>2484</v>
      </c>
      <c r="AP486" s="884">
        <f t="shared" ref="AP486" si="1628">AO486-AK486</f>
        <v>2484</v>
      </c>
      <c r="AV486" t="str">
        <f t="shared" si="1507"/>
        <v xml:space="preserve">Aterro e compactação </v>
      </c>
      <c r="AW486" s="4" t="str">
        <f t="shared" si="1498"/>
        <v xml:space="preserve">   Recomposição Camada Final de Aterro (PN a 100%) - Seg.2.2B C05</v>
      </c>
    </row>
    <row r="487" spans="1:49" ht="15.6" customHeight="1" outlineLevel="2">
      <c r="A487" s="545" t="str">
        <f t="shared" ref="A487" si="1629">A486</f>
        <v>N</v>
      </c>
      <c r="B487" s="526"/>
      <c r="C487" s="526"/>
      <c r="D487" s="527" t="s">
        <v>739</v>
      </c>
      <c r="E487" s="893"/>
      <c r="F487" s="902"/>
      <c r="G487" s="528"/>
      <c r="H487" s="549" t="s">
        <v>38</v>
      </c>
      <c r="I487" s="711">
        <v>0</v>
      </c>
      <c r="J487" s="897"/>
      <c r="K487" s="528"/>
      <c r="L487" s="549" t="s">
        <v>38</v>
      </c>
      <c r="M487" s="711">
        <f t="shared" si="1589"/>
        <v>0</v>
      </c>
      <c r="N487" s="897"/>
      <c r="O487" s="528"/>
      <c r="P487" s="547">
        <v>0</v>
      </c>
      <c r="Q487" s="547">
        <v>0</v>
      </c>
      <c r="R487" s="547">
        <v>0</v>
      </c>
      <c r="S487" s="547">
        <v>0</v>
      </c>
      <c r="T487" s="547">
        <v>0</v>
      </c>
      <c r="U487" s="547">
        <v>0</v>
      </c>
      <c r="V487" s="547">
        <v>0</v>
      </c>
      <c r="W487" s="528"/>
      <c r="X487" s="711">
        <f t="shared" si="1580"/>
        <v>0</v>
      </c>
      <c r="Y487" s="897"/>
      <c r="Z487" s="528"/>
      <c r="AA487" s="899"/>
      <c r="AB487" s="899"/>
      <c r="AC487" s="899"/>
      <c r="AD487" s="901"/>
      <c r="AE487" s="2"/>
      <c r="AF487" s="926"/>
      <c r="AG487" s="885"/>
      <c r="AH487" s="885"/>
      <c r="AI487" s="885"/>
      <c r="AJ487" s="885"/>
      <c r="AK487" s="885"/>
      <c r="AL487" s="885"/>
      <c r="AM487" s="879"/>
      <c r="AN487" s="2"/>
      <c r="AO487" s="886"/>
      <c r="AP487" s="886"/>
      <c r="AV487" t="str">
        <f t="shared" si="1507"/>
        <v xml:space="preserve">Aterro e compactação </v>
      </c>
      <c r="AW487" s="4" t="str">
        <f t="shared" si="1498"/>
        <v xml:space="preserve">   Recomposição Camada Final de Aterro (PN a 100%) - Seg.2.2B C05</v>
      </c>
    </row>
    <row r="488" spans="1:49" ht="15.6" customHeight="1" outlineLevel="2">
      <c r="A488" s="545" t="str">
        <f t="shared" ref="A488" si="1630">IF(SUM(P488:V489)&gt;0,"S","N")</f>
        <v>N</v>
      </c>
      <c r="B488" s="526">
        <v>1070041</v>
      </c>
      <c r="C488" s="526" t="s">
        <v>741</v>
      </c>
      <c r="D488" s="527" t="s">
        <v>742</v>
      </c>
      <c r="E488" s="892" t="s">
        <v>743</v>
      </c>
      <c r="F488" s="902" t="s">
        <v>36</v>
      </c>
      <c r="G488" s="528"/>
      <c r="H488" s="546" t="s">
        <v>37</v>
      </c>
      <c r="I488" s="711">
        <v>0</v>
      </c>
      <c r="J488" s="896" t="str">
        <f t="shared" ref="J488" si="1631">IFERROR((I489/I488),"-")</f>
        <v>-</v>
      </c>
      <c r="K488" s="528"/>
      <c r="L488" s="546" t="s">
        <v>37</v>
      </c>
      <c r="M488" s="711">
        <f t="shared" si="1589"/>
        <v>0</v>
      </c>
      <c r="N488" s="896" t="str">
        <f t="shared" ref="N488" si="1632">IFERROR((M489/M488),"-")</f>
        <v>-</v>
      </c>
      <c r="O488" s="528"/>
      <c r="P488" s="547">
        <v>0</v>
      </c>
      <c r="Q488" s="547">
        <v>0</v>
      </c>
      <c r="R488" s="547">
        <v>0</v>
      </c>
      <c r="S488" s="547">
        <v>0</v>
      </c>
      <c r="T488" s="547">
        <v>0</v>
      </c>
      <c r="U488" s="547">
        <v>0</v>
      </c>
      <c r="V488" s="547">
        <v>0</v>
      </c>
      <c r="W488" s="528"/>
      <c r="X488" s="711">
        <f t="shared" si="1580"/>
        <v>0</v>
      </c>
      <c r="Y488" s="896" t="str">
        <f t="shared" ref="Y488" si="1633">IFERROR((X489/X488),"0")</f>
        <v>0</v>
      </c>
      <c r="Z488" s="528"/>
      <c r="AA488" s="898">
        <v>249</v>
      </c>
      <c r="AB488" s="898">
        <v>0</v>
      </c>
      <c r="AC488" s="898">
        <v>0</v>
      </c>
      <c r="AD488" s="900" t="str">
        <f t="shared" ref="AD488" si="1634">IFERROR((AC488/AB488),"-")</f>
        <v>-</v>
      </c>
      <c r="AE488" s="2"/>
      <c r="AF488" s="886">
        <v>0</v>
      </c>
      <c r="AG488" s="884"/>
      <c r="AH488" s="884">
        <v>0</v>
      </c>
      <c r="AI488" s="884"/>
      <c r="AJ488" s="884"/>
      <c r="AK488" s="884">
        <f t="shared" ref="AK488" si="1635">AF488+AG488+AH488+AI488+AJ488+AC488</f>
        <v>0</v>
      </c>
      <c r="AL488" s="884">
        <v>0</v>
      </c>
      <c r="AM488" s="878" t="str">
        <f t="shared" ref="AM488" si="1636">IFERROR((AK488/AL488),"-")</f>
        <v>-</v>
      </c>
      <c r="AN488" s="2"/>
      <c r="AO488" s="884">
        <v>249</v>
      </c>
      <c r="AP488" s="884">
        <f t="shared" ref="AP488" si="1637">AO488-AK488</f>
        <v>249</v>
      </c>
      <c r="AV488" t="str">
        <f t="shared" si="1507"/>
        <v xml:space="preserve">Aterro e compactação </v>
      </c>
      <c r="AW488" s="4" t="str">
        <f t="shared" si="1498"/>
        <v xml:space="preserve">   Recomposição Camada Final de Aterro (PN a 100%) - Seg.2.2B C06</v>
      </c>
    </row>
    <row r="489" spans="1:49" ht="15.6" customHeight="1" outlineLevel="2">
      <c r="A489" s="545" t="str">
        <f t="shared" ref="A489" si="1638">A488</f>
        <v>N</v>
      </c>
      <c r="B489" s="526"/>
      <c r="C489" s="526"/>
      <c r="D489" s="527" t="s">
        <v>742</v>
      </c>
      <c r="E489" s="893"/>
      <c r="F489" s="902"/>
      <c r="G489" s="528"/>
      <c r="H489" s="549" t="s">
        <v>38</v>
      </c>
      <c r="I489" s="711">
        <v>0</v>
      </c>
      <c r="J489" s="897"/>
      <c r="K489" s="528"/>
      <c r="L489" s="549" t="s">
        <v>38</v>
      </c>
      <c r="M489" s="711">
        <f t="shared" si="1589"/>
        <v>0</v>
      </c>
      <c r="N489" s="897"/>
      <c r="O489" s="528"/>
      <c r="P489" s="547">
        <v>0</v>
      </c>
      <c r="Q489" s="547">
        <v>0</v>
      </c>
      <c r="R489" s="547">
        <v>0</v>
      </c>
      <c r="S489" s="547">
        <v>0</v>
      </c>
      <c r="T489" s="547">
        <v>0</v>
      </c>
      <c r="U489" s="547">
        <v>0</v>
      </c>
      <c r="V489" s="547">
        <v>0</v>
      </c>
      <c r="W489" s="528"/>
      <c r="X489" s="711">
        <f t="shared" si="1580"/>
        <v>0</v>
      </c>
      <c r="Y489" s="897"/>
      <c r="Z489" s="528"/>
      <c r="AA489" s="899"/>
      <c r="AB489" s="899"/>
      <c r="AC489" s="899"/>
      <c r="AD489" s="901"/>
      <c r="AE489" s="2"/>
      <c r="AF489" s="926"/>
      <c r="AG489" s="885"/>
      <c r="AH489" s="885"/>
      <c r="AI489" s="885"/>
      <c r="AJ489" s="885"/>
      <c r="AK489" s="885"/>
      <c r="AL489" s="885"/>
      <c r="AM489" s="879"/>
      <c r="AN489" s="2"/>
      <c r="AO489" s="886"/>
      <c r="AP489" s="886"/>
      <c r="AV489" t="str">
        <f t="shared" si="1507"/>
        <v xml:space="preserve">Aterro e compactação </v>
      </c>
      <c r="AW489" s="4" t="str">
        <f t="shared" si="1498"/>
        <v xml:space="preserve">   Recomposição Camada Final de Aterro (PN a 100%) - Seg.2.2B C06</v>
      </c>
    </row>
    <row r="490" spans="1:49" ht="15.6" customHeight="1" outlineLevel="2">
      <c r="A490" s="545" t="str">
        <f t="shared" ref="A490" si="1639">IF(SUM(P490:V491)&gt;0,"S","N")</f>
        <v>N</v>
      </c>
      <c r="B490" s="526">
        <v>1058119</v>
      </c>
      <c r="C490" s="526" t="s">
        <v>744</v>
      </c>
      <c r="D490" s="527" t="s">
        <v>745</v>
      </c>
      <c r="E490" s="892" t="s">
        <v>746</v>
      </c>
      <c r="F490" s="902" t="s">
        <v>36</v>
      </c>
      <c r="G490" s="528"/>
      <c r="H490" s="546" t="s">
        <v>37</v>
      </c>
      <c r="I490" s="711">
        <v>0</v>
      </c>
      <c r="J490" s="896" t="str">
        <f t="shared" ref="J490" si="1640">IFERROR((I491/I490),"-")</f>
        <v>-</v>
      </c>
      <c r="K490" s="528"/>
      <c r="L490" s="546" t="s">
        <v>37</v>
      </c>
      <c r="M490" s="711">
        <f t="shared" si="1589"/>
        <v>0</v>
      </c>
      <c r="N490" s="896" t="str">
        <f t="shared" ref="N490" si="1641">IFERROR((M491/M490),"-")</f>
        <v>-</v>
      </c>
      <c r="O490" s="528"/>
      <c r="P490" s="547">
        <v>0</v>
      </c>
      <c r="Q490" s="547">
        <v>0</v>
      </c>
      <c r="R490" s="547">
        <v>0</v>
      </c>
      <c r="S490" s="547">
        <v>0</v>
      </c>
      <c r="T490" s="547">
        <v>0</v>
      </c>
      <c r="U490" s="547">
        <v>0</v>
      </c>
      <c r="V490" s="547">
        <v>0</v>
      </c>
      <c r="W490" s="528"/>
      <c r="X490" s="711">
        <f t="shared" si="1580"/>
        <v>0</v>
      </c>
      <c r="Y490" s="896" t="str">
        <f t="shared" ref="Y490" si="1642">IFERROR((X491/X490),"0")</f>
        <v>0</v>
      </c>
      <c r="Z490" s="528"/>
      <c r="AA490" s="898">
        <v>4101</v>
      </c>
      <c r="AB490" s="898">
        <v>0</v>
      </c>
      <c r="AC490" s="898">
        <v>256.48</v>
      </c>
      <c r="AD490" s="900" t="str">
        <f t="shared" ref="AD490" si="1643">IFERROR((AC490/AB490),"-")</f>
        <v>-</v>
      </c>
      <c r="AE490" s="2"/>
      <c r="AF490" s="886">
        <v>0</v>
      </c>
      <c r="AG490" s="884"/>
      <c r="AH490" s="884">
        <v>0</v>
      </c>
      <c r="AI490" s="884"/>
      <c r="AJ490" s="884"/>
      <c r="AK490" s="884">
        <f t="shared" ref="AK490" si="1644">AF490+AG490+AH490+AI490+AJ490+AC490</f>
        <v>256.48</v>
      </c>
      <c r="AL490" s="884">
        <v>0</v>
      </c>
      <c r="AM490" s="878" t="str">
        <f t="shared" ref="AM490" si="1645">IFERROR((AK490/AL490),"-")</f>
        <v>-</v>
      </c>
      <c r="AN490" s="2"/>
      <c r="AO490" s="884">
        <v>4101</v>
      </c>
      <c r="AP490" s="884">
        <f t="shared" ref="AP490" si="1646">AO490-AK490</f>
        <v>3844.52</v>
      </c>
      <c r="AV490" t="str">
        <f t="shared" si="1507"/>
        <v xml:space="preserve">Aterro e compactação </v>
      </c>
      <c r="AW490" s="4" t="str">
        <f t="shared" si="1498"/>
        <v xml:space="preserve">   Recomposição Camada Final de Aterro (PN a 100%) - Seg.2.2B C07</v>
      </c>
    </row>
    <row r="491" spans="1:49" ht="15.6" customHeight="1" outlineLevel="2">
      <c r="A491" s="545" t="str">
        <f t="shared" ref="A491" si="1647">A490</f>
        <v>N</v>
      </c>
      <c r="B491" s="526"/>
      <c r="C491" s="526"/>
      <c r="D491" s="527" t="s">
        <v>745</v>
      </c>
      <c r="E491" s="893"/>
      <c r="F491" s="902"/>
      <c r="G491" s="528"/>
      <c r="H491" s="549" t="s">
        <v>38</v>
      </c>
      <c r="I491" s="711">
        <v>155.72</v>
      </c>
      <c r="J491" s="897"/>
      <c r="K491" s="528"/>
      <c r="L491" s="549" t="s">
        <v>38</v>
      </c>
      <c r="M491" s="711">
        <f t="shared" si="1589"/>
        <v>0</v>
      </c>
      <c r="N491" s="897"/>
      <c r="O491" s="528"/>
      <c r="P491" s="547">
        <v>0</v>
      </c>
      <c r="Q491" s="547">
        <v>0</v>
      </c>
      <c r="R491" s="547">
        <v>0</v>
      </c>
      <c r="S491" s="547">
        <v>0</v>
      </c>
      <c r="T491" s="547">
        <v>0</v>
      </c>
      <c r="U491" s="547">
        <v>0</v>
      </c>
      <c r="V491" s="547">
        <v>0</v>
      </c>
      <c r="W491" s="528"/>
      <c r="X491" s="711">
        <f t="shared" si="1580"/>
        <v>0</v>
      </c>
      <c r="Y491" s="897"/>
      <c r="Z491" s="528"/>
      <c r="AA491" s="899"/>
      <c r="AB491" s="899"/>
      <c r="AC491" s="899"/>
      <c r="AD491" s="901"/>
      <c r="AE491" s="2"/>
      <c r="AF491" s="926"/>
      <c r="AG491" s="885"/>
      <c r="AH491" s="885"/>
      <c r="AI491" s="885"/>
      <c r="AJ491" s="885"/>
      <c r="AK491" s="885"/>
      <c r="AL491" s="885"/>
      <c r="AM491" s="879"/>
      <c r="AN491" s="2"/>
      <c r="AO491" s="886"/>
      <c r="AP491" s="886"/>
      <c r="AV491" t="str">
        <f t="shared" si="1507"/>
        <v xml:space="preserve">Aterro e compactação </v>
      </c>
      <c r="AW491" s="4" t="str">
        <f t="shared" si="1498"/>
        <v xml:space="preserve">   Recomposição Camada Final de Aterro (PN a 100%) - Seg.2.2B C07</v>
      </c>
    </row>
    <row r="492" spans="1:49" ht="15.6" customHeight="1" outlineLevel="2">
      <c r="A492" s="545" t="str">
        <f t="shared" ref="A492" si="1648">IF(SUM(P492:V493)&gt;0,"S","N")</f>
        <v>N</v>
      </c>
      <c r="B492" s="526">
        <v>1058120</v>
      </c>
      <c r="C492" s="526" t="s">
        <v>747</v>
      </c>
      <c r="D492" s="527" t="s">
        <v>748</v>
      </c>
      <c r="E492" s="892" t="s">
        <v>749</v>
      </c>
      <c r="F492" s="902" t="s">
        <v>36</v>
      </c>
      <c r="G492" s="528"/>
      <c r="H492" s="546" t="s">
        <v>37</v>
      </c>
      <c r="I492" s="711">
        <v>0</v>
      </c>
      <c r="J492" s="896" t="str">
        <f>IFERROR((I493/I492),"-")</f>
        <v>-</v>
      </c>
      <c r="K492" s="528"/>
      <c r="L492" s="546" t="s">
        <v>37</v>
      </c>
      <c r="M492" s="711">
        <f t="shared" si="1589"/>
        <v>0</v>
      </c>
      <c r="N492" s="896" t="str">
        <f>IFERROR((M493/M492),"-")</f>
        <v>-</v>
      </c>
      <c r="O492" s="528"/>
      <c r="P492" s="547">
        <v>0</v>
      </c>
      <c r="Q492" s="547">
        <v>0</v>
      </c>
      <c r="R492" s="547">
        <v>0</v>
      </c>
      <c r="S492" s="547">
        <v>0</v>
      </c>
      <c r="T492" s="547">
        <v>0</v>
      </c>
      <c r="U492" s="547">
        <v>0</v>
      </c>
      <c r="V492" s="547">
        <v>0</v>
      </c>
      <c r="W492" s="528"/>
      <c r="X492" s="711">
        <f t="shared" si="1580"/>
        <v>0</v>
      </c>
      <c r="Y492" s="896" t="str">
        <f t="shared" ref="Y492" si="1649">IFERROR((X493/X492),"0")</f>
        <v>0</v>
      </c>
      <c r="Z492" s="528"/>
      <c r="AA492" s="898">
        <v>0</v>
      </c>
      <c r="AB492" s="898">
        <v>0</v>
      </c>
      <c r="AC492" s="898">
        <v>0</v>
      </c>
      <c r="AD492" s="900" t="str">
        <f t="shared" ref="AD492" si="1650">IFERROR((AC492/AB492),"-")</f>
        <v>-</v>
      </c>
      <c r="AE492" s="2"/>
      <c r="AF492" s="886">
        <v>0</v>
      </c>
      <c r="AG492" s="884"/>
      <c r="AH492" s="884">
        <v>0</v>
      </c>
      <c r="AI492" s="884"/>
      <c r="AJ492" s="884"/>
      <c r="AK492" s="884">
        <f t="shared" ref="AK492" si="1651">AF492+AG492+AH492+AI492+AJ492+AC492</f>
        <v>0</v>
      </c>
      <c r="AL492" s="884">
        <v>638.09999999999991</v>
      </c>
      <c r="AM492" s="878">
        <f t="shared" ref="AM492" si="1652">IFERROR((AK492/AL492),"-")</f>
        <v>0</v>
      </c>
      <c r="AN492" s="2"/>
      <c r="AO492" s="884">
        <v>638.1</v>
      </c>
      <c r="AP492" s="884">
        <f t="shared" ref="AP492" si="1653">AO492-AK492</f>
        <v>638.1</v>
      </c>
      <c r="AV492" t="str">
        <f t="shared" si="1507"/>
        <v xml:space="preserve">Aterro e compactação </v>
      </c>
      <c r="AW492" s="4" t="str">
        <f t="shared" si="1498"/>
        <v xml:space="preserve">   Recomposição Camada Final de Aterro (PN a 100%) - Seg.2.2B C08</v>
      </c>
    </row>
    <row r="493" spans="1:49" ht="15.6" customHeight="1" outlineLevel="2">
      <c r="A493" s="545" t="str">
        <f t="shared" ref="A493" si="1654">A492</f>
        <v>N</v>
      </c>
      <c r="B493" s="526"/>
      <c r="C493" s="526"/>
      <c r="D493" s="527" t="s">
        <v>748</v>
      </c>
      <c r="E493" s="893"/>
      <c r="F493" s="902"/>
      <c r="G493" s="528"/>
      <c r="H493" s="549" t="s">
        <v>38</v>
      </c>
      <c r="I493" s="711">
        <v>0</v>
      </c>
      <c r="J493" s="897"/>
      <c r="K493" s="528"/>
      <c r="L493" s="549" t="s">
        <v>38</v>
      </c>
      <c r="M493" s="711">
        <f t="shared" si="1589"/>
        <v>0</v>
      </c>
      <c r="N493" s="897"/>
      <c r="O493" s="528"/>
      <c r="P493" s="547">
        <v>0</v>
      </c>
      <c r="Q493" s="547">
        <v>0</v>
      </c>
      <c r="R493" s="547">
        <v>0</v>
      </c>
      <c r="S493" s="547">
        <v>0</v>
      </c>
      <c r="T493" s="547">
        <v>0</v>
      </c>
      <c r="U493" s="547">
        <v>0</v>
      </c>
      <c r="V493" s="547">
        <v>0</v>
      </c>
      <c r="W493" s="528"/>
      <c r="X493" s="711">
        <f t="shared" si="1580"/>
        <v>0</v>
      </c>
      <c r="Y493" s="897"/>
      <c r="Z493" s="528"/>
      <c r="AA493" s="899"/>
      <c r="AB493" s="899"/>
      <c r="AC493" s="899"/>
      <c r="AD493" s="901"/>
      <c r="AE493" s="2"/>
      <c r="AF493" s="926"/>
      <c r="AG493" s="885"/>
      <c r="AH493" s="885"/>
      <c r="AI493" s="885"/>
      <c r="AJ493" s="885"/>
      <c r="AK493" s="885"/>
      <c r="AL493" s="885"/>
      <c r="AM493" s="879"/>
      <c r="AN493" s="2"/>
      <c r="AO493" s="886"/>
      <c r="AP493" s="886"/>
      <c r="AV493" t="str">
        <f t="shared" si="1507"/>
        <v xml:space="preserve">Aterro e compactação </v>
      </c>
      <c r="AW493" s="4" t="str">
        <f t="shared" si="1498"/>
        <v xml:space="preserve">   Recomposição Camada Final de Aterro (PN a 100%) - Seg.2.2B C08</v>
      </c>
    </row>
    <row r="494" spans="1:49" ht="15.6" customHeight="1" outlineLevel="2">
      <c r="A494" s="545" t="str">
        <f t="shared" ref="A494" si="1655">IF(SUM(P494:V495)&gt;0,"S","N")</f>
        <v>N</v>
      </c>
      <c r="B494" s="526">
        <v>1058121</v>
      </c>
      <c r="C494" s="526" t="s">
        <v>750</v>
      </c>
      <c r="D494" s="527" t="s">
        <v>751</v>
      </c>
      <c r="E494" s="892" t="s">
        <v>752</v>
      </c>
      <c r="F494" s="902" t="s">
        <v>36</v>
      </c>
      <c r="G494" s="528"/>
      <c r="H494" s="546" t="s">
        <v>37</v>
      </c>
      <c r="I494" s="711">
        <v>0</v>
      </c>
      <c r="J494" s="896" t="str">
        <f t="shared" ref="J494" si="1656">IFERROR((I495/I494),"-")</f>
        <v>-</v>
      </c>
      <c r="K494" s="528"/>
      <c r="L494" s="546" t="s">
        <v>37</v>
      </c>
      <c r="M494" s="711">
        <f t="shared" si="1589"/>
        <v>0</v>
      </c>
      <c r="N494" s="896" t="str">
        <f t="shared" ref="N494" si="1657">IFERROR((M495/M494),"-")</f>
        <v>-</v>
      </c>
      <c r="O494" s="528"/>
      <c r="P494" s="547">
        <v>0</v>
      </c>
      <c r="Q494" s="547">
        <v>0</v>
      </c>
      <c r="R494" s="547">
        <v>0</v>
      </c>
      <c r="S494" s="547">
        <v>0</v>
      </c>
      <c r="T494" s="547">
        <v>0</v>
      </c>
      <c r="U494" s="547">
        <v>0</v>
      </c>
      <c r="V494" s="547">
        <v>0</v>
      </c>
      <c r="W494" s="528"/>
      <c r="X494" s="711">
        <f t="shared" si="1580"/>
        <v>0</v>
      </c>
      <c r="Y494" s="896" t="str">
        <f t="shared" ref="Y494" si="1658">IFERROR((X495/X494),"0")</f>
        <v>0</v>
      </c>
      <c r="Z494" s="528"/>
      <c r="AA494" s="898">
        <v>3990.9</v>
      </c>
      <c r="AB494" s="898">
        <v>1773.7199999999996</v>
      </c>
      <c r="AC494" s="898">
        <v>0</v>
      </c>
      <c r="AD494" s="900">
        <f t="shared" ref="AD494" si="1659">IFERROR((AC494/AB494),"-")</f>
        <v>0</v>
      </c>
      <c r="AE494" s="2"/>
      <c r="AF494" s="886">
        <v>3916.8290000000002</v>
      </c>
      <c r="AG494" s="884"/>
      <c r="AH494" s="884">
        <v>0</v>
      </c>
      <c r="AI494" s="884"/>
      <c r="AJ494" s="884"/>
      <c r="AK494" s="884">
        <f t="shared" ref="AK494" si="1660">AF494+AG494+AH494+AI494+AJ494+AC494</f>
        <v>3916.8290000000002</v>
      </c>
      <c r="AL494" s="884">
        <v>5684.7200000000057</v>
      </c>
      <c r="AM494" s="878">
        <f t="shared" ref="AM494" si="1661">IFERROR((AK494/AL494),"-")</f>
        <v>0.68901001280625895</v>
      </c>
      <c r="AN494" s="2"/>
      <c r="AO494" s="884">
        <v>7903</v>
      </c>
      <c r="AP494" s="884">
        <f t="shared" ref="AP494" si="1662">AO494-AK494</f>
        <v>3986.1709999999998</v>
      </c>
      <c r="AV494" t="str">
        <f t="shared" si="1507"/>
        <v xml:space="preserve">Aterro e compactação </v>
      </c>
      <c r="AW494" s="4" t="str">
        <f t="shared" si="1498"/>
        <v xml:space="preserve">   Recomposição Camada Final de Aterro (PN a 100%) - Seg.2.2B C09</v>
      </c>
    </row>
    <row r="495" spans="1:49" ht="15.6" customHeight="1" outlineLevel="2">
      <c r="A495" s="545" t="str">
        <f t="shared" ref="A495" si="1663">A494</f>
        <v>N</v>
      </c>
      <c r="B495" s="526"/>
      <c r="C495" s="526"/>
      <c r="D495" s="527" t="s">
        <v>751</v>
      </c>
      <c r="E495" s="893"/>
      <c r="F495" s="902"/>
      <c r="G495" s="528"/>
      <c r="H495" s="549" t="s">
        <v>38</v>
      </c>
      <c r="I495" s="711">
        <v>0</v>
      </c>
      <c r="J495" s="897"/>
      <c r="K495" s="528"/>
      <c r="L495" s="549" t="s">
        <v>38</v>
      </c>
      <c r="M495" s="711">
        <f t="shared" si="1589"/>
        <v>0</v>
      </c>
      <c r="N495" s="897"/>
      <c r="O495" s="528"/>
      <c r="P495" s="547">
        <v>0</v>
      </c>
      <c r="Q495" s="547">
        <v>0</v>
      </c>
      <c r="R495" s="547">
        <v>0</v>
      </c>
      <c r="S495" s="547">
        <v>0</v>
      </c>
      <c r="T495" s="547">
        <v>0</v>
      </c>
      <c r="U495" s="547">
        <v>0</v>
      </c>
      <c r="V495" s="547">
        <v>0</v>
      </c>
      <c r="W495" s="528"/>
      <c r="X495" s="711">
        <f t="shared" si="1580"/>
        <v>0</v>
      </c>
      <c r="Y495" s="897"/>
      <c r="Z495" s="528"/>
      <c r="AA495" s="899"/>
      <c r="AB495" s="899"/>
      <c r="AC495" s="899"/>
      <c r="AD495" s="901"/>
      <c r="AE495" s="2"/>
      <c r="AF495" s="926"/>
      <c r="AG495" s="885"/>
      <c r="AH495" s="885"/>
      <c r="AI495" s="885"/>
      <c r="AJ495" s="885"/>
      <c r="AK495" s="885"/>
      <c r="AL495" s="885"/>
      <c r="AM495" s="879"/>
      <c r="AN495" s="2"/>
      <c r="AO495" s="886"/>
      <c r="AP495" s="886"/>
      <c r="AV495" t="str">
        <f t="shared" si="1507"/>
        <v xml:space="preserve">Aterro e compactação </v>
      </c>
      <c r="AW495" s="4" t="str">
        <f t="shared" si="1498"/>
        <v xml:space="preserve">   Recomposição Camada Final de Aterro (PN a 100%) - Seg.2.2B C09</v>
      </c>
    </row>
    <row r="496" spans="1:49" ht="15.6" customHeight="1" outlineLevel="2">
      <c r="A496" s="545" t="str">
        <f t="shared" ref="A496" si="1664">IF(SUM(P496:V497)&gt;0,"S","N")</f>
        <v>N</v>
      </c>
      <c r="B496" s="526">
        <v>1070045</v>
      </c>
      <c r="C496" s="526" t="s">
        <v>753</v>
      </c>
      <c r="D496" s="527" t="s">
        <v>751</v>
      </c>
      <c r="E496" s="892" t="s">
        <v>752</v>
      </c>
      <c r="F496" s="902" t="s">
        <v>36</v>
      </c>
      <c r="G496" s="528"/>
      <c r="H496" s="546" t="s">
        <v>37</v>
      </c>
      <c r="I496" s="711">
        <v>0</v>
      </c>
      <c r="J496" s="896" t="str">
        <f t="shared" ref="J496" si="1665">IFERROR((I497/I496),"-")</f>
        <v>-</v>
      </c>
      <c r="K496" s="528"/>
      <c r="L496" s="546" t="s">
        <v>37</v>
      </c>
      <c r="M496" s="711">
        <f t="shared" si="1589"/>
        <v>0</v>
      </c>
      <c r="N496" s="896" t="str">
        <f t="shared" ref="N496" si="1666">IFERROR((M497/M496),"-")</f>
        <v>-</v>
      </c>
      <c r="O496" s="528"/>
      <c r="P496" s="547">
        <v>0</v>
      </c>
      <c r="Q496" s="547">
        <v>0</v>
      </c>
      <c r="R496" s="547">
        <v>0</v>
      </c>
      <c r="S496" s="547">
        <v>0</v>
      </c>
      <c r="T496" s="547">
        <v>0</v>
      </c>
      <c r="U496" s="547">
        <v>0</v>
      </c>
      <c r="V496" s="547">
        <v>0</v>
      </c>
      <c r="W496" s="528"/>
      <c r="X496" s="711">
        <f t="shared" si="1580"/>
        <v>0</v>
      </c>
      <c r="Y496" s="896" t="str">
        <f t="shared" ref="Y496" si="1667">IFERROR((X497/X496),"0")</f>
        <v>0</v>
      </c>
      <c r="Z496" s="528"/>
      <c r="AA496" s="898">
        <v>249</v>
      </c>
      <c r="AB496" s="898">
        <v>0</v>
      </c>
      <c r="AC496" s="898">
        <v>0</v>
      </c>
      <c r="AD496" s="900" t="str">
        <f t="shared" ref="AD496" si="1668">IFERROR((AC496/AB496),"-")</f>
        <v>-</v>
      </c>
      <c r="AE496" s="2"/>
      <c r="AF496" s="886">
        <v>0</v>
      </c>
      <c r="AG496" s="884"/>
      <c r="AH496" s="884">
        <v>0</v>
      </c>
      <c r="AI496" s="884"/>
      <c r="AJ496" s="884"/>
      <c r="AK496" s="884">
        <f t="shared" ref="AK496" si="1669">AF496+AG496+AH496+AI496+AJ496+AC496</f>
        <v>0</v>
      </c>
      <c r="AL496" s="884">
        <v>0</v>
      </c>
      <c r="AM496" s="878" t="str">
        <f t="shared" ref="AM496" si="1670">IFERROR((AK496/AL496),"-")</f>
        <v>-</v>
      </c>
      <c r="AN496" s="2"/>
      <c r="AO496" s="884">
        <v>249</v>
      </c>
      <c r="AP496" s="884">
        <f t="shared" ref="AP496" si="1671">AO496-AK496</f>
        <v>249</v>
      </c>
      <c r="AV496" t="str">
        <f t="shared" si="1507"/>
        <v xml:space="preserve">Aterro e compactação </v>
      </c>
      <c r="AW496" s="4" t="str">
        <f t="shared" si="1498"/>
        <v xml:space="preserve">   Recomposição Camada Final de Aterro (PN a 100%) - Seg.2.2B C09</v>
      </c>
    </row>
    <row r="497" spans="1:49" ht="15.6" customHeight="1" outlineLevel="2">
      <c r="A497" s="545" t="str">
        <f t="shared" ref="A497" si="1672">A496</f>
        <v>N</v>
      </c>
      <c r="B497" s="526"/>
      <c r="C497" s="526"/>
      <c r="D497" s="527" t="s">
        <v>751</v>
      </c>
      <c r="E497" s="893"/>
      <c r="F497" s="902"/>
      <c r="G497" s="528"/>
      <c r="H497" s="549" t="s">
        <v>38</v>
      </c>
      <c r="I497" s="711">
        <v>0</v>
      </c>
      <c r="J497" s="897"/>
      <c r="K497" s="528"/>
      <c r="L497" s="549" t="s">
        <v>38</v>
      </c>
      <c r="M497" s="711">
        <f t="shared" si="1589"/>
        <v>0</v>
      </c>
      <c r="N497" s="897"/>
      <c r="O497" s="528"/>
      <c r="P497" s="547">
        <v>0</v>
      </c>
      <c r="Q497" s="547">
        <v>0</v>
      </c>
      <c r="R497" s="547">
        <v>0</v>
      </c>
      <c r="S497" s="547">
        <v>0</v>
      </c>
      <c r="T497" s="547">
        <v>0</v>
      </c>
      <c r="U497" s="547">
        <v>0</v>
      </c>
      <c r="V497" s="547">
        <v>0</v>
      </c>
      <c r="W497" s="528"/>
      <c r="X497" s="711">
        <f t="shared" si="1580"/>
        <v>0</v>
      </c>
      <c r="Y497" s="897"/>
      <c r="Z497" s="528"/>
      <c r="AA497" s="899"/>
      <c r="AB497" s="899"/>
      <c r="AC497" s="899"/>
      <c r="AD497" s="901"/>
      <c r="AE497" s="2"/>
      <c r="AF497" s="926"/>
      <c r="AG497" s="885"/>
      <c r="AH497" s="885"/>
      <c r="AI497" s="885"/>
      <c r="AJ497" s="885"/>
      <c r="AK497" s="885"/>
      <c r="AL497" s="885"/>
      <c r="AM497" s="879"/>
      <c r="AN497" s="2"/>
      <c r="AO497" s="886"/>
      <c r="AP497" s="886"/>
      <c r="AV497" t="str">
        <f t="shared" si="1507"/>
        <v xml:space="preserve">Aterro e compactação </v>
      </c>
      <c r="AW497" s="4" t="str">
        <f t="shared" si="1498"/>
        <v xml:space="preserve">   Recomposição Camada Final de Aterro (PN a 100%) - Seg.2.2B C09</v>
      </c>
    </row>
    <row r="498" spans="1:49" ht="15.6" customHeight="1" outlineLevel="2">
      <c r="A498" s="545" t="str">
        <f t="shared" ref="A498" si="1673">IF(SUM(P498:V499)&gt;0,"S","N")</f>
        <v>N</v>
      </c>
      <c r="B498" s="526">
        <v>1058122</v>
      </c>
      <c r="C498" s="526" t="s">
        <v>754</v>
      </c>
      <c r="D498" s="527" t="s">
        <v>755</v>
      </c>
      <c r="E498" s="892" t="s">
        <v>756</v>
      </c>
      <c r="F498" s="902" t="s">
        <v>36</v>
      </c>
      <c r="G498" s="528"/>
      <c r="H498" s="546" t="s">
        <v>37</v>
      </c>
      <c r="I498" s="711">
        <v>0</v>
      </c>
      <c r="J498" s="896" t="str">
        <f t="shared" ref="J498" si="1674">IFERROR((I499/I498),"-")</f>
        <v>-</v>
      </c>
      <c r="K498" s="528"/>
      <c r="L498" s="546" t="s">
        <v>37</v>
      </c>
      <c r="M498" s="711">
        <f t="shared" si="1589"/>
        <v>0</v>
      </c>
      <c r="N498" s="896" t="str">
        <f t="shared" ref="N498" si="1675">IFERROR((M499/M498),"-")</f>
        <v>-</v>
      </c>
      <c r="O498" s="528"/>
      <c r="P498" s="547">
        <v>0</v>
      </c>
      <c r="Q498" s="547">
        <v>0</v>
      </c>
      <c r="R498" s="547">
        <v>0</v>
      </c>
      <c r="S498" s="547">
        <v>0</v>
      </c>
      <c r="T498" s="547">
        <v>0</v>
      </c>
      <c r="U498" s="547">
        <v>0</v>
      </c>
      <c r="V498" s="547">
        <v>0</v>
      </c>
      <c r="W498" s="528"/>
      <c r="X498" s="711">
        <f t="shared" si="1580"/>
        <v>0</v>
      </c>
      <c r="Y498" s="896" t="str">
        <f t="shared" ref="Y498" si="1676">IFERROR((X499/X498),"0")</f>
        <v>0</v>
      </c>
      <c r="Z498" s="528"/>
      <c r="AA498" s="898">
        <v>0</v>
      </c>
      <c r="AB498" s="898">
        <v>0</v>
      </c>
      <c r="AC498" s="898">
        <v>0</v>
      </c>
      <c r="AD498" s="900" t="str">
        <f t="shared" ref="AD498" si="1677">IFERROR((AC498/AB498),"-")</f>
        <v>-</v>
      </c>
      <c r="AE498" s="2"/>
      <c r="AF498" s="886">
        <v>0</v>
      </c>
      <c r="AG498" s="884"/>
      <c r="AH498" s="884">
        <v>0</v>
      </c>
      <c r="AI498" s="884"/>
      <c r="AJ498" s="884"/>
      <c r="AK498" s="884">
        <f t="shared" ref="AK498" si="1678">AF498+AG498+AH498+AI498+AJ498+AC498</f>
        <v>0</v>
      </c>
      <c r="AL498" s="884">
        <v>3336.6299999999997</v>
      </c>
      <c r="AM498" s="878">
        <f t="shared" ref="AM498" si="1679">IFERROR((AK498/AL498),"-")</f>
        <v>0</v>
      </c>
      <c r="AN498" s="2"/>
      <c r="AO498" s="884">
        <v>3336.61</v>
      </c>
      <c r="AP498" s="884">
        <f t="shared" ref="AP498" si="1680">AO498-AK498</f>
        <v>3336.61</v>
      </c>
      <c r="AV498" t="str">
        <f t="shared" si="1507"/>
        <v xml:space="preserve">Aterro e compactação </v>
      </c>
      <c r="AW498" s="4" t="str">
        <f t="shared" si="1498"/>
        <v xml:space="preserve">   Recomposição Camada Final de Aterro (PN a 100%) - Seg.2.2B C10</v>
      </c>
    </row>
    <row r="499" spans="1:49" ht="15.6" customHeight="1" outlineLevel="2">
      <c r="A499" s="545" t="str">
        <f t="shared" ref="A499" si="1681">A498</f>
        <v>N</v>
      </c>
      <c r="B499" s="526"/>
      <c r="C499" s="526"/>
      <c r="D499" s="527" t="s">
        <v>755</v>
      </c>
      <c r="E499" s="893"/>
      <c r="F499" s="902"/>
      <c r="G499" s="528"/>
      <c r="H499" s="549" t="s">
        <v>38</v>
      </c>
      <c r="I499" s="711">
        <v>0</v>
      </c>
      <c r="J499" s="897"/>
      <c r="K499" s="528"/>
      <c r="L499" s="549" t="s">
        <v>38</v>
      </c>
      <c r="M499" s="711">
        <f t="shared" si="1589"/>
        <v>0</v>
      </c>
      <c r="N499" s="897"/>
      <c r="O499" s="528"/>
      <c r="P499" s="547">
        <v>0</v>
      </c>
      <c r="Q499" s="547">
        <v>0</v>
      </c>
      <c r="R499" s="547">
        <v>0</v>
      </c>
      <c r="S499" s="547">
        <v>0</v>
      </c>
      <c r="T499" s="547">
        <v>0</v>
      </c>
      <c r="U499" s="547">
        <v>0</v>
      </c>
      <c r="V499" s="547">
        <v>0</v>
      </c>
      <c r="W499" s="528"/>
      <c r="X499" s="711">
        <f t="shared" si="1580"/>
        <v>0</v>
      </c>
      <c r="Y499" s="897"/>
      <c r="Z499" s="528"/>
      <c r="AA499" s="899"/>
      <c r="AB499" s="899"/>
      <c r="AC499" s="899"/>
      <c r="AD499" s="901"/>
      <c r="AE499" s="2"/>
      <c r="AF499" s="926"/>
      <c r="AG499" s="885"/>
      <c r="AH499" s="885"/>
      <c r="AI499" s="885"/>
      <c r="AJ499" s="885"/>
      <c r="AK499" s="885"/>
      <c r="AL499" s="885"/>
      <c r="AM499" s="879"/>
      <c r="AN499" s="2"/>
      <c r="AO499" s="886"/>
      <c r="AP499" s="886"/>
      <c r="AV499" t="str">
        <f t="shared" si="1507"/>
        <v xml:space="preserve">Aterro e compactação </v>
      </c>
      <c r="AW499" s="4" t="str">
        <f t="shared" si="1498"/>
        <v xml:space="preserve">   Recomposição Camada Final de Aterro (PN a 100%) - Seg.2.2B C10</v>
      </c>
    </row>
    <row r="500" spans="1:49" ht="15.6" customHeight="1" outlineLevel="2">
      <c r="A500" s="545" t="str">
        <f t="shared" ref="A500" si="1682">IF(SUM(P500:V501)&gt;0,"S","N")</f>
        <v>N</v>
      </c>
      <c r="B500" s="526">
        <v>1058123</v>
      </c>
      <c r="C500" s="526" t="s">
        <v>757</v>
      </c>
      <c r="D500" s="527" t="s">
        <v>758</v>
      </c>
      <c r="E500" s="892" t="s">
        <v>759</v>
      </c>
      <c r="F500" s="902" t="s">
        <v>36</v>
      </c>
      <c r="G500" s="528"/>
      <c r="H500" s="546" t="s">
        <v>37</v>
      </c>
      <c r="I500" s="711">
        <v>0</v>
      </c>
      <c r="J500" s="896" t="str">
        <f t="shared" ref="J500" si="1683">IFERROR((I501/I500),"-")</f>
        <v>-</v>
      </c>
      <c r="K500" s="528"/>
      <c r="L500" s="546" t="s">
        <v>37</v>
      </c>
      <c r="M500" s="711">
        <f t="shared" si="1589"/>
        <v>0</v>
      </c>
      <c r="N500" s="896" t="str">
        <f t="shared" ref="N500" si="1684">IFERROR((M501/M500),"-")</f>
        <v>-</v>
      </c>
      <c r="O500" s="528"/>
      <c r="P500" s="547">
        <v>0</v>
      </c>
      <c r="Q500" s="547">
        <v>0</v>
      </c>
      <c r="R500" s="547">
        <v>0</v>
      </c>
      <c r="S500" s="547">
        <v>0</v>
      </c>
      <c r="T500" s="547">
        <v>0</v>
      </c>
      <c r="U500" s="547">
        <v>0</v>
      </c>
      <c r="V500" s="547">
        <v>0</v>
      </c>
      <c r="W500" s="528"/>
      <c r="X500" s="711">
        <f t="shared" si="1580"/>
        <v>0</v>
      </c>
      <c r="Y500" s="896" t="str">
        <f t="shared" ref="Y500" si="1685">IFERROR((X501/X500),"0")</f>
        <v>0</v>
      </c>
      <c r="Z500" s="528"/>
      <c r="AA500" s="898">
        <v>0</v>
      </c>
      <c r="AB500" s="898">
        <v>0</v>
      </c>
      <c r="AC500" s="898">
        <v>0</v>
      </c>
      <c r="AD500" s="900" t="str">
        <f t="shared" ref="AD500" si="1686">IFERROR((AC500/AB500),"-")</f>
        <v>-</v>
      </c>
      <c r="AE500" s="2"/>
      <c r="AF500" s="886">
        <v>0</v>
      </c>
      <c r="AG500" s="884"/>
      <c r="AH500" s="884">
        <v>0</v>
      </c>
      <c r="AI500" s="884"/>
      <c r="AJ500" s="884"/>
      <c r="AK500" s="884">
        <f t="shared" ref="AK500" si="1687">AF500+AG500+AH500+AI500+AJ500+AC500</f>
        <v>0</v>
      </c>
      <c r="AL500" s="884">
        <v>3580.2</v>
      </c>
      <c r="AM500" s="878">
        <f t="shared" ref="AM500" si="1688">IFERROR((AK500/AL500),"-")</f>
        <v>0</v>
      </c>
      <c r="AN500" s="2"/>
      <c r="AO500" s="884">
        <v>3580.22</v>
      </c>
      <c r="AP500" s="884">
        <f t="shared" ref="AP500" si="1689">AO500-AK500</f>
        <v>3580.22</v>
      </c>
      <c r="AV500" t="str">
        <f t="shared" si="1507"/>
        <v xml:space="preserve">Aterro e compactação </v>
      </c>
      <c r="AW500" s="4" t="str">
        <f t="shared" si="1498"/>
        <v xml:space="preserve">   Recomposição Camada Final de Aterro (PN a 100%) - Seg.2.2B C11</v>
      </c>
    </row>
    <row r="501" spans="1:49" ht="15.6" customHeight="1" outlineLevel="2">
      <c r="A501" s="545" t="str">
        <f t="shared" ref="A501" si="1690">A500</f>
        <v>N</v>
      </c>
      <c r="B501" s="526"/>
      <c r="C501" s="526"/>
      <c r="D501" s="527" t="s">
        <v>758</v>
      </c>
      <c r="E501" s="893"/>
      <c r="F501" s="902"/>
      <c r="G501" s="528"/>
      <c r="H501" s="549" t="s">
        <v>38</v>
      </c>
      <c r="I501" s="711">
        <v>0</v>
      </c>
      <c r="J501" s="897"/>
      <c r="K501" s="528"/>
      <c r="L501" s="549" t="s">
        <v>38</v>
      </c>
      <c r="M501" s="711">
        <f t="shared" si="1589"/>
        <v>0</v>
      </c>
      <c r="N501" s="897"/>
      <c r="O501" s="528"/>
      <c r="P501" s="547">
        <v>0</v>
      </c>
      <c r="Q501" s="547">
        <v>0</v>
      </c>
      <c r="R501" s="547">
        <v>0</v>
      </c>
      <c r="S501" s="547">
        <v>0</v>
      </c>
      <c r="T501" s="547">
        <v>0</v>
      </c>
      <c r="U501" s="547">
        <v>0</v>
      </c>
      <c r="V501" s="547">
        <v>0</v>
      </c>
      <c r="W501" s="528"/>
      <c r="X501" s="711">
        <f t="shared" si="1580"/>
        <v>0</v>
      </c>
      <c r="Y501" s="897"/>
      <c r="Z501" s="528"/>
      <c r="AA501" s="899"/>
      <c r="AB501" s="899"/>
      <c r="AC501" s="899"/>
      <c r="AD501" s="901"/>
      <c r="AE501" s="2"/>
      <c r="AF501" s="926"/>
      <c r="AG501" s="885"/>
      <c r="AH501" s="885"/>
      <c r="AI501" s="885"/>
      <c r="AJ501" s="885"/>
      <c r="AK501" s="885"/>
      <c r="AL501" s="885"/>
      <c r="AM501" s="879"/>
      <c r="AN501" s="2"/>
      <c r="AO501" s="886"/>
      <c r="AP501" s="886"/>
      <c r="AV501" t="str">
        <f t="shared" si="1507"/>
        <v xml:space="preserve">Aterro e compactação </v>
      </c>
      <c r="AW501" s="4" t="str">
        <f t="shared" si="1498"/>
        <v xml:space="preserve">   Recomposição Camada Final de Aterro (PN a 100%) - Seg.2.2B C11</v>
      </c>
    </row>
    <row r="502" spans="1:49" ht="15.6" customHeight="1" outlineLevel="2">
      <c r="A502" s="525" t="str">
        <f t="shared" ref="A502" si="1691">IF(SUM(P502:V503)&gt;0,"S","N")</f>
        <v>N</v>
      </c>
      <c r="B502" s="526">
        <v>1058124</v>
      </c>
      <c r="C502" s="526" t="s">
        <v>760</v>
      </c>
      <c r="D502" s="527" t="s">
        <v>761</v>
      </c>
      <c r="E502" s="892" t="s">
        <v>762</v>
      </c>
      <c r="F502" s="902" t="s">
        <v>36</v>
      </c>
      <c r="G502" s="528"/>
      <c r="H502" s="546" t="s">
        <v>37</v>
      </c>
      <c r="I502" s="711">
        <v>0</v>
      </c>
      <c r="J502" s="896" t="str">
        <f>IFERROR((I503/I502),"-")</f>
        <v>-</v>
      </c>
      <c r="K502" s="528"/>
      <c r="L502" s="546" t="s">
        <v>37</v>
      </c>
      <c r="M502" s="711">
        <f t="shared" si="1589"/>
        <v>0</v>
      </c>
      <c r="N502" s="896" t="str">
        <f>IFERROR((M503/M502),"-")</f>
        <v>-</v>
      </c>
      <c r="O502" s="528"/>
      <c r="P502" s="547">
        <v>0</v>
      </c>
      <c r="Q502" s="547">
        <v>0</v>
      </c>
      <c r="R502" s="547">
        <v>0</v>
      </c>
      <c r="S502" s="547">
        <v>0</v>
      </c>
      <c r="T502" s="547">
        <v>0</v>
      </c>
      <c r="U502" s="547">
        <v>0</v>
      </c>
      <c r="V502" s="547">
        <v>0</v>
      </c>
      <c r="W502" s="528"/>
      <c r="X502" s="711">
        <f t="shared" si="1580"/>
        <v>0</v>
      </c>
      <c r="Y502" s="896" t="str">
        <f t="shared" ref="Y502" si="1692">IFERROR((X503/X502),"0")</f>
        <v>0</v>
      </c>
      <c r="Z502" s="528"/>
      <c r="AA502" s="898">
        <v>1794.23</v>
      </c>
      <c r="AB502" s="898">
        <v>448.54999999999995</v>
      </c>
      <c r="AC502" s="898">
        <v>0</v>
      </c>
      <c r="AD502" s="900">
        <f t="shared" ref="AD502" si="1693">IFERROR((AC502/AB502),"-")</f>
        <v>0</v>
      </c>
      <c r="AE502" s="2"/>
      <c r="AF502" s="886">
        <v>3233.7060000000001</v>
      </c>
      <c r="AG502" s="884"/>
      <c r="AH502" s="884">
        <v>0</v>
      </c>
      <c r="AI502" s="884"/>
      <c r="AJ502" s="884"/>
      <c r="AK502" s="884">
        <f t="shared" ref="AK502" si="1694">AF502+AG502+AH502+AI502+AJ502+AC502</f>
        <v>3233.7060000000001</v>
      </c>
      <c r="AL502" s="884">
        <v>4708.5499999999984</v>
      </c>
      <c r="AM502" s="878">
        <f t="shared" ref="AM502" si="1695">IFERROR((AK502/AL502),"-")</f>
        <v>0.68677321043633421</v>
      </c>
      <c r="AN502" s="2"/>
      <c r="AO502" s="884">
        <v>6412.2</v>
      </c>
      <c r="AP502" s="884">
        <f t="shared" ref="AP502" si="1696">AO502-AK502</f>
        <v>3178.4939999999997</v>
      </c>
      <c r="AV502" t="str">
        <f t="shared" si="1507"/>
        <v xml:space="preserve">Aterro e compactação </v>
      </c>
      <c r="AW502" s="4" t="str">
        <f t="shared" si="1498"/>
        <v xml:space="preserve">   Recomposição Camada Final de Aterro (PN a 100%) - Seg.2.2B C12</v>
      </c>
    </row>
    <row r="503" spans="1:49" ht="15.6" customHeight="1" outlineLevel="2">
      <c r="A503" s="525" t="str">
        <f t="shared" ref="A503" si="1697">A502</f>
        <v>N</v>
      </c>
      <c r="B503" s="526"/>
      <c r="C503" s="526"/>
      <c r="D503" s="527" t="s">
        <v>761</v>
      </c>
      <c r="E503" s="893"/>
      <c r="F503" s="902"/>
      <c r="G503" s="528"/>
      <c r="H503" s="549" t="s">
        <v>38</v>
      </c>
      <c r="I503" s="711">
        <v>0</v>
      </c>
      <c r="J503" s="897"/>
      <c r="K503" s="528"/>
      <c r="L503" s="549" t="s">
        <v>38</v>
      </c>
      <c r="M503" s="711">
        <f t="shared" si="1589"/>
        <v>0</v>
      </c>
      <c r="N503" s="897"/>
      <c r="O503" s="528"/>
      <c r="P503" s="547">
        <v>0</v>
      </c>
      <c r="Q503" s="547">
        <v>0</v>
      </c>
      <c r="R503" s="547">
        <v>0</v>
      </c>
      <c r="S503" s="547">
        <v>0</v>
      </c>
      <c r="T503" s="547">
        <v>0</v>
      </c>
      <c r="U503" s="547">
        <v>0</v>
      </c>
      <c r="V503" s="547">
        <v>0</v>
      </c>
      <c r="W503" s="528"/>
      <c r="X503" s="711">
        <f t="shared" si="1580"/>
        <v>0</v>
      </c>
      <c r="Y503" s="897"/>
      <c r="Z503" s="528"/>
      <c r="AA503" s="899"/>
      <c r="AB503" s="899"/>
      <c r="AC503" s="899"/>
      <c r="AD503" s="901"/>
      <c r="AE503" s="2"/>
      <c r="AF503" s="926"/>
      <c r="AG503" s="885"/>
      <c r="AH503" s="885"/>
      <c r="AI503" s="885"/>
      <c r="AJ503" s="885"/>
      <c r="AK503" s="885"/>
      <c r="AL503" s="885"/>
      <c r="AM503" s="879"/>
      <c r="AN503" s="2"/>
      <c r="AO503" s="886"/>
      <c r="AP503" s="886"/>
      <c r="AV503" t="str">
        <f t="shared" si="1507"/>
        <v xml:space="preserve">Aterro e compactação </v>
      </c>
      <c r="AW503" s="4" t="str">
        <f t="shared" si="1498"/>
        <v xml:space="preserve">   Recomposição Camada Final de Aterro (PN a 100%) - Seg.2.2B C12</v>
      </c>
    </row>
    <row r="504" spans="1:49" ht="15.6" customHeight="1" outlineLevel="2">
      <c r="A504" s="545" t="str">
        <f t="shared" ref="A504" si="1698">IF(SUM(P504:V505)&gt;0,"S","N")</f>
        <v>N</v>
      </c>
      <c r="B504" s="526">
        <v>1058125</v>
      </c>
      <c r="C504" s="526" t="s">
        <v>763</v>
      </c>
      <c r="D504" s="527" t="s">
        <v>764</v>
      </c>
      <c r="E504" s="892" t="s">
        <v>765</v>
      </c>
      <c r="F504" s="902" t="s">
        <v>36</v>
      </c>
      <c r="G504" s="528"/>
      <c r="H504" s="546" t="s">
        <v>37</v>
      </c>
      <c r="I504" s="711">
        <v>0</v>
      </c>
      <c r="J504" s="896" t="str">
        <f t="shared" ref="J504" si="1699">IFERROR((I505/I504),"-")</f>
        <v>-</v>
      </c>
      <c r="K504" s="528"/>
      <c r="L504" s="546" t="s">
        <v>37</v>
      </c>
      <c r="M504" s="711">
        <f t="shared" si="1589"/>
        <v>0</v>
      </c>
      <c r="N504" s="896" t="str">
        <f t="shared" ref="N504" si="1700">IFERROR((M505/M504),"-")</f>
        <v>-</v>
      </c>
      <c r="O504" s="528"/>
      <c r="P504" s="547">
        <v>0</v>
      </c>
      <c r="Q504" s="547">
        <v>0</v>
      </c>
      <c r="R504" s="547">
        <v>0</v>
      </c>
      <c r="S504" s="547">
        <v>0</v>
      </c>
      <c r="T504" s="547">
        <v>0</v>
      </c>
      <c r="U504" s="547">
        <v>0</v>
      </c>
      <c r="V504" s="547">
        <v>0</v>
      </c>
      <c r="W504" s="528"/>
      <c r="X504" s="711">
        <f t="shared" si="1580"/>
        <v>0</v>
      </c>
      <c r="Y504" s="896" t="str">
        <f t="shared" ref="Y504" si="1701">IFERROR((X505/X504),"0")</f>
        <v>0</v>
      </c>
      <c r="Z504" s="528"/>
      <c r="AA504" s="898">
        <v>1688</v>
      </c>
      <c r="AB504" s="898">
        <v>1688.0100000000002</v>
      </c>
      <c r="AC504" s="898">
        <v>0</v>
      </c>
      <c r="AD504" s="900">
        <f t="shared" ref="AD504" si="1702">IFERROR((AC504/AB504),"-")</f>
        <v>0</v>
      </c>
      <c r="AE504" s="2"/>
      <c r="AF504" s="886">
        <v>0</v>
      </c>
      <c r="AG504" s="884"/>
      <c r="AH504" s="884">
        <v>0</v>
      </c>
      <c r="AI504" s="884"/>
      <c r="AJ504" s="884"/>
      <c r="AK504" s="884">
        <f t="shared" ref="AK504" si="1703">AF504+AG504+AH504+AI504+AJ504+AC504</f>
        <v>0</v>
      </c>
      <c r="AL504" s="884">
        <v>5039.0200000000004</v>
      </c>
      <c r="AM504" s="878">
        <f t="shared" ref="AM504" si="1704">IFERROR((AK504/AL504),"-")</f>
        <v>0</v>
      </c>
      <c r="AN504" s="2"/>
      <c r="AO504" s="884">
        <v>5039.3999999999996</v>
      </c>
      <c r="AP504" s="884">
        <f t="shared" ref="AP504" si="1705">AO504-AK504</f>
        <v>5039.3999999999996</v>
      </c>
      <c r="AV504" t="str">
        <f t="shared" si="1507"/>
        <v xml:space="preserve">Aterro e compactação </v>
      </c>
      <c r="AW504" s="4" t="str">
        <f t="shared" si="1498"/>
        <v xml:space="preserve">   Recomposição Camada Final de Aterro (PN a 100%) - Seg.2.2B C13</v>
      </c>
    </row>
    <row r="505" spans="1:49" ht="15.6" customHeight="1" outlineLevel="2">
      <c r="A505" s="545" t="str">
        <f t="shared" ref="A505" si="1706">A504</f>
        <v>N</v>
      </c>
      <c r="B505" s="526"/>
      <c r="C505" s="526"/>
      <c r="D505" s="527" t="s">
        <v>764</v>
      </c>
      <c r="E505" s="893"/>
      <c r="F505" s="902"/>
      <c r="G505" s="528"/>
      <c r="H505" s="549" t="s">
        <v>38</v>
      </c>
      <c r="I505" s="711">
        <v>0</v>
      </c>
      <c r="J505" s="897"/>
      <c r="K505" s="528"/>
      <c r="L505" s="549" t="s">
        <v>38</v>
      </c>
      <c r="M505" s="711">
        <f t="shared" si="1589"/>
        <v>0</v>
      </c>
      <c r="N505" s="897"/>
      <c r="O505" s="528"/>
      <c r="P505" s="547">
        <v>0</v>
      </c>
      <c r="Q505" s="547">
        <v>0</v>
      </c>
      <c r="R505" s="547">
        <v>0</v>
      </c>
      <c r="S505" s="547">
        <v>0</v>
      </c>
      <c r="T505" s="547">
        <v>0</v>
      </c>
      <c r="U505" s="547">
        <v>0</v>
      </c>
      <c r="V505" s="547">
        <v>0</v>
      </c>
      <c r="W505" s="528"/>
      <c r="X505" s="711">
        <f t="shared" si="1580"/>
        <v>0</v>
      </c>
      <c r="Y505" s="897"/>
      <c r="Z505" s="528"/>
      <c r="AA505" s="899"/>
      <c r="AB505" s="899"/>
      <c r="AC505" s="899"/>
      <c r="AD505" s="901"/>
      <c r="AE505" s="2"/>
      <c r="AF505" s="926"/>
      <c r="AG505" s="885"/>
      <c r="AH505" s="885"/>
      <c r="AI505" s="885"/>
      <c r="AJ505" s="885"/>
      <c r="AK505" s="885"/>
      <c r="AL505" s="885"/>
      <c r="AM505" s="879"/>
      <c r="AN505" s="2"/>
      <c r="AO505" s="886"/>
      <c r="AP505" s="886"/>
      <c r="AV505" t="str">
        <f t="shared" si="1507"/>
        <v xml:space="preserve">Aterro e compactação </v>
      </c>
      <c r="AW505" s="4" t="str">
        <f t="shared" si="1498"/>
        <v xml:space="preserve">   Recomposição Camada Final de Aterro (PN a 100%) - Seg.2.2B C13</v>
      </c>
    </row>
    <row r="506" spans="1:49" ht="15.6" customHeight="1" outlineLevel="2">
      <c r="A506" s="545" t="str">
        <f t="shared" ref="A506" si="1707">IF(SUM(P506:V507)&gt;0,"S","N")</f>
        <v>N</v>
      </c>
      <c r="B506" s="526">
        <v>1070044</v>
      </c>
      <c r="C506" s="526" t="s">
        <v>766</v>
      </c>
      <c r="D506" s="527" t="s">
        <v>767</v>
      </c>
      <c r="E506" s="892" t="s">
        <v>768</v>
      </c>
      <c r="F506" s="902" t="s">
        <v>36</v>
      </c>
      <c r="G506" s="528"/>
      <c r="H506" s="546" t="s">
        <v>37</v>
      </c>
      <c r="I506" s="711">
        <v>0</v>
      </c>
      <c r="J506" s="896" t="str">
        <f t="shared" ref="J506" si="1708">IFERROR((I507/I506),"-")</f>
        <v>-</v>
      </c>
      <c r="K506" s="528"/>
      <c r="L506" s="546" t="s">
        <v>37</v>
      </c>
      <c r="M506" s="711">
        <f t="shared" si="1589"/>
        <v>0</v>
      </c>
      <c r="N506" s="896" t="str">
        <f t="shared" ref="N506" si="1709">IFERROR((M507/M506),"-")</f>
        <v>-</v>
      </c>
      <c r="O506" s="528"/>
      <c r="P506" s="547">
        <v>0</v>
      </c>
      <c r="Q506" s="547">
        <v>0</v>
      </c>
      <c r="R506" s="547">
        <v>0</v>
      </c>
      <c r="S506" s="547">
        <v>0</v>
      </c>
      <c r="T506" s="547">
        <v>0</v>
      </c>
      <c r="U506" s="547">
        <v>0</v>
      </c>
      <c r="V506" s="547">
        <v>0</v>
      </c>
      <c r="W506" s="528"/>
      <c r="X506" s="711">
        <f t="shared" si="1580"/>
        <v>0</v>
      </c>
      <c r="Y506" s="896" t="str">
        <f t="shared" ref="Y506" si="1710">IFERROR((X507/X506),"0")</f>
        <v>0</v>
      </c>
      <c r="Z506" s="528"/>
      <c r="AA506" s="898">
        <v>237.3</v>
      </c>
      <c r="AB506" s="898">
        <v>0</v>
      </c>
      <c r="AC506" s="898">
        <v>0</v>
      </c>
      <c r="AD506" s="900" t="str">
        <f t="shared" ref="AD506" si="1711">IFERROR((AC506/AB506),"-")</f>
        <v>-</v>
      </c>
      <c r="AE506" s="2"/>
      <c r="AF506" s="886">
        <v>0</v>
      </c>
      <c r="AG506" s="884"/>
      <c r="AH506" s="884">
        <v>0</v>
      </c>
      <c r="AI506" s="884"/>
      <c r="AJ506" s="884"/>
      <c r="AK506" s="884">
        <f t="shared" ref="AK506" si="1712">AF506+AG506+AH506+AI506+AJ506+AC506</f>
        <v>0</v>
      </c>
      <c r="AL506" s="884">
        <v>0</v>
      </c>
      <c r="AM506" s="878" t="str">
        <f t="shared" ref="AM506" si="1713">IFERROR((AK506/AL506),"-")</f>
        <v>-</v>
      </c>
      <c r="AN506" s="2"/>
      <c r="AO506" s="884">
        <v>237.3</v>
      </c>
      <c r="AP506" s="884">
        <f t="shared" ref="AP506" si="1714">AO506-AK506</f>
        <v>237.3</v>
      </c>
      <c r="AV506" t="str">
        <f t="shared" si="1507"/>
        <v xml:space="preserve">Aterro e compactação </v>
      </c>
      <c r="AW506" s="4" t="str">
        <f t="shared" si="1498"/>
        <v xml:space="preserve">   Recomposição Camada Final de Aterro (PN a 100%) - Seg.2.2B C14</v>
      </c>
    </row>
    <row r="507" spans="1:49" ht="15.6" customHeight="1" outlineLevel="2">
      <c r="A507" s="545" t="str">
        <f t="shared" ref="A507" si="1715">A506</f>
        <v>N</v>
      </c>
      <c r="B507" s="526"/>
      <c r="C507" s="526"/>
      <c r="D507" s="527" t="s">
        <v>767</v>
      </c>
      <c r="E507" s="893"/>
      <c r="F507" s="902"/>
      <c r="G507" s="528"/>
      <c r="H507" s="549" t="s">
        <v>38</v>
      </c>
      <c r="I507" s="711">
        <v>0</v>
      </c>
      <c r="J507" s="897"/>
      <c r="K507" s="528"/>
      <c r="L507" s="549" t="s">
        <v>38</v>
      </c>
      <c r="M507" s="711">
        <f t="shared" si="1589"/>
        <v>0</v>
      </c>
      <c r="N507" s="897"/>
      <c r="O507" s="528"/>
      <c r="P507" s="547">
        <v>0</v>
      </c>
      <c r="Q507" s="547">
        <v>0</v>
      </c>
      <c r="R507" s="547">
        <v>0</v>
      </c>
      <c r="S507" s="547">
        <v>0</v>
      </c>
      <c r="T507" s="547">
        <v>0</v>
      </c>
      <c r="U507" s="547">
        <v>0</v>
      </c>
      <c r="V507" s="547">
        <v>0</v>
      </c>
      <c r="W507" s="528"/>
      <c r="X507" s="711">
        <f t="shared" si="1580"/>
        <v>0</v>
      </c>
      <c r="Y507" s="897"/>
      <c r="Z507" s="528"/>
      <c r="AA507" s="899"/>
      <c r="AB507" s="899"/>
      <c r="AC507" s="899"/>
      <c r="AD507" s="901"/>
      <c r="AE507" s="2"/>
      <c r="AF507" s="926"/>
      <c r="AG507" s="885"/>
      <c r="AH507" s="885"/>
      <c r="AI507" s="885"/>
      <c r="AJ507" s="885"/>
      <c r="AK507" s="885"/>
      <c r="AL507" s="885"/>
      <c r="AM507" s="879"/>
      <c r="AN507" s="2"/>
      <c r="AO507" s="886"/>
      <c r="AP507" s="886"/>
      <c r="AV507" t="str">
        <f t="shared" si="1507"/>
        <v xml:space="preserve">Aterro e compactação </v>
      </c>
      <c r="AW507" s="4" t="str">
        <f t="shared" si="1498"/>
        <v xml:space="preserve">   Recomposição Camada Final de Aterro (PN a 100%) - Seg.2.2B C14</v>
      </c>
    </row>
    <row r="508" spans="1:49" ht="15.6" customHeight="1" outlineLevel="2">
      <c r="A508" s="545" t="str">
        <f t="shared" ref="A508" si="1716">IF(SUM(P508:V509)&gt;0,"S","N")</f>
        <v>N</v>
      </c>
      <c r="B508" s="526">
        <v>1058126</v>
      </c>
      <c r="C508" s="526" t="s">
        <v>769</v>
      </c>
      <c r="D508" s="527" t="s">
        <v>770</v>
      </c>
      <c r="E508" s="892" t="s">
        <v>771</v>
      </c>
      <c r="F508" s="902" t="s">
        <v>36</v>
      </c>
      <c r="G508" s="528"/>
      <c r="H508" s="546" t="s">
        <v>37</v>
      </c>
      <c r="I508" s="711">
        <v>0</v>
      </c>
      <c r="J508" s="896" t="str">
        <f t="shared" ref="J508" si="1717">IFERROR((I509/I508),"-")</f>
        <v>-</v>
      </c>
      <c r="K508" s="528"/>
      <c r="L508" s="546" t="s">
        <v>37</v>
      </c>
      <c r="M508" s="711">
        <f t="shared" si="1589"/>
        <v>0</v>
      </c>
      <c r="N508" s="896" t="str">
        <f t="shared" ref="N508" si="1718">IFERROR((M509/M508),"-")</f>
        <v>-</v>
      </c>
      <c r="O508" s="528"/>
      <c r="P508" s="547">
        <v>0</v>
      </c>
      <c r="Q508" s="547">
        <v>0</v>
      </c>
      <c r="R508" s="547">
        <v>0</v>
      </c>
      <c r="S508" s="547">
        <v>0</v>
      </c>
      <c r="T508" s="547">
        <v>0</v>
      </c>
      <c r="U508" s="547">
        <v>0</v>
      </c>
      <c r="V508" s="547">
        <v>0</v>
      </c>
      <c r="W508" s="528"/>
      <c r="X508" s="711">
        <f t="shared" si="1580"/>
        <v>0</v>
      </c>
      <c r="Y508" s="896" t="str">
        <f t="shared" ref="Y508" si="1719">IFERROR((X509/X508),"0")</f>
        <v>0</v>
      </c>
      <c r="Z508" s="528"/>
      <c r="AA508" s="898">
        <v>0</v>
      </c>
      <c r="AB508" s="898">
        <v>0</v>
      </c>
      <c r="AC508" s="898">
        <v>0</v>
      </c>
      <c r="AD508" s="900" t="str">
        <f t="shared" ref="AD508" si="1720">IFERROR((AC508/AB508),"-")</f>
        <v>-</v>
      </c>
      <c r="AE508" s="2"/>
      <c r="AF508" s="886">
        <v>0</v>
      </c>
      <c r="AG508" s="884"/>
      <c r="AH508" s="884">
        <v>0</v>
      </c>
      <c r="AI508" s="884"/>
      <c r="AJ508" s="884"/>
      <c r="AK508" s="884">
        <f t="shared" ref="AK508" si="1721">AF508+AG508+AH508+AI508+AJ508+AC508</f>
        <v>0</v>
      </c>
      <c r="AL508" s="884">
        <v>381.29000000000008</v>
      </c>
      <c r="AM508" s="878">
        <f t="shared" ref="AM508" si="1722">IFERROR((AK508/AL508),"-")</f>
        <v>0</v>
      </c>
      <c r="AN508" s="2"/>
      <c r="AO508" s="884">
        <v>381.3</v>
      </c>
      <c r="AP508" s="884">
        <f t="shared" ref="AP508" si="1723">AO508-AK508</f>
        <v>381.3</v>
      </c>
      <c r="AV508" t="str">
        <f t="shared" si="1507"/>
        <v xml:space="preserve">Aterro e compactação </v>
      </c>
      <c r="AW508" s="4" t="str">
        <f t="shared" si="1498"/>
        <v xml:space="preserve">   Recomposição Camada Final de Aterro (PN a 100%) - Seg.2.2B C15</v>
      </c>
    </row>
    <row r="509" spans="1:49" ht="15.6" customHeight="1" outlineLevel="2">
      <c r="A509" s="545" t="str">
        <f t="shared" ref="A509" si="1724">A508</f>
        <v>N</v>
      </c>
      <c r="B509" s="526"/>
      <c r="C509" s="526"/>
      <c r="D509" s="527" t="s">
        <v>770</v>
      </c>
      <c r="E509" s="893"/>
      <c r="F509" s="902"/>
      <c r="G509" s="528"/>
      <c r="H509" s="549" t="s">
        <v>38</v>
      </c>
      <c r="I509" s="711">
        <v>0</v>
      </c>
      <c r="J509" s="897"/>
      <c r="K509" s="528"/>
      <c r="L509" s="549" t="s">
        <v>38</v>
      </c>
      <c r="M509" s="711">
        <f t="shared" si="1589"/>
        <v>0</v>
      </c>
      <c r="N509" s="897"/>
      <c r="O509" s="528"/>
      <c r="P509" s="547">
        <v>0</v>
      </c>
      <c r="Q509" s="547">
        <v>0</v>
      </c>
      <c r="R509" s="547">
        <v>0</v>
      </c>
      <c r="S509" s="547">
        <v>0</v>
      </c>
      <c r="T509" s="547">
        <v>0</v>
      </c>
      <c r="U509" s="547">
        <v>0</v>
      </c>
      <c r="V509" s="547">
        <v>0</v>
      </c>
      <c r="W509" s="528"/>
      <c r="X509" s="711">
        <f t="shared" si="1580"/>
        <v>0</v>
      </c>
      <c r="Y509" s="897"/>
      <c r="Z509" s="528"/>
      <c r="AA509" s="899"/>
      <c r="AB509" s="899"/>
      <c r="AC509" s="899"/>
      <c r="AD509" s="901"/>
      <c r="AE509" s="2"/>
      <c r="AF509" s="926"/>
      <c r="AG509" s="885"/>
      <c r="AH509" s="885"/>
      <c r="AI509" s="885"/>
      <c r="AJ509" s="885"/>
      <c r="AK509" s="885"/>
      <c r="AL509" s="885"/>
      <c r="AM509" s="879"/>
      <c r="AN509" s="2"/>
      <c r="AO509" s="886"/>
      <c r="AP509" s="886"/>
      <c r="AV509" t="str">
        <f t="shared" si="1507"/>
        <v xml:space="preserve">Aterro e compactação </v>
      </c>
      <c r="AW509" s="4" t="str">
        <f t="shared" si="1498"/>
        <v xml:space="preserve">   Recomposição Camada Final de Aterro (PN a 100%) - Seg.2.2B C15</v>
      </c>
    </row>
    <row r="510" spans="1:49" ht="15.6" customHeight="1" outlineLevel="2">
      <c r="A510" s="545" t="str">
        <f t="shared" ref="A510" si="1725">IF(SUM(P510:V511)&gt;0,"S","N")</f>
        <v>N</v>
      </c>
      <c r="B510" s="526">
        <v>1070038</v>
      </c>
      <c r="C510" s="526" t="s">
        <v>772</v>
      </c>
      <c r="D510" s="527" t="s">
        <v>773</v>
      </c>
      <c r="E510" s="892" t="s">
        <v>774</v>
      </c>
      <c r="F510" s="902" t="s">
        <v>36</v>
      </c>
      <c r="G510" s="528"/>
      <c r="H510" s="546" t="s">
        <v>37</v>
      </c>
      <c r="I510" s="711">
        <v>0</v>
      </c>
      <c r="J510" s="896" t="str">
        <f>IFERROR((I511/I510),"-")</f>
        <v>-</v>
      </c>
      <c r="K510" s="528"/>
      <c r="L510" s="546" t="s">
        <v>37</v>
      </c>
      <c r="M510" s="711">
        <f t="shared" si="1589"/>
        <v>0</v>
      </c>
      <c r="N510" s="896" t="str">
        <f>IFERROR((M511/M510),"-")</f>
        <v>-</v>
      </c>
      <c r="O510" s="528"/>
      <c r="P510" s="547">
        <v>0</v>
      </c>
      <c r="Q510" s="547">
        <v>0</v>
      </c>
      <c r="R510" s="547">
        <v>0</v>
      </c>
      <c r="S510" s="547">
        <v>0</v>
      </c>
      <c r="T510" s="547">
        <v>0</v>
      </c>
      <c r="U510" s="547">
        <v>0</v>
      </c>
      <c r="V510" s="547">
        <v>0</v>
      </c>
      <c r="W510" s="528"/>
      <c r="X510" s="711">
        <f t="shared" si="1580"/>
        <v>0</v>
      </c>
      <c r="Y510" s="896" t="str">
        <f t="shared" ref="Y510" si="1726">IFERROR((X511/X510),"0")</f>
        <v>0</v>
      </c>
      <c r="Z510" s="528"/>
      <c r="AA510" s="898">
        <v>5413</v>
      </c>
      <c r="AB510" s="898">
        <v>0</v>
      </c>
      <c r="AC510" s="898">
        <v>0</v>
      </c>
      <c r="AD510" s="900" t="str">
        <f t="shared" ref="AD510" si="1727">IFERROR((AC510/AB510),"-")</f>
        <v>-</v>
      </c>
      <c r="AE510" s="2"/>
      <c r="AF510" s="886">
        <v>0</v>
      </c>
      <c r="AG510" s="884"/>
      <c r="AH510" s="884">
        <v>0</v>
      </c>
      <c r="AI510" s="884"/>
      <c r="AJ510" s="884"/>
      <c r="AK510" s="884">
        <f t="shared" ref="AK510" si="1728">AF510+AG510+AH510+AI510+AJ510+AC510</f>
        <v>0</v>
      </c>
      <c r="AL510" s="884">
        <v>0</v>
      </c>
      <c r="AM510" s="878" t="str">
        <f t="shared" ref="AM510" si="1729">IFERROR((AK510/AL510),"-")</f>
        <v>-</v>
      </c>
      <c r="AN510" s="2"/>
      <c r="AO510" s="884">
        <v>5413</v>
      </c>
      <c r="AP510" s="884">
        <f t="shared" ref="AP510" si="1730">AO510-AK510</f>
        <v>5413</v>
      </c>
      <c r="AV510" t="str">
        <f t="shared" si="1507"/>
        <v xml:space="preserve">Aterro e compactação </v>
      </c>
      <c r="AW510" s="4" t="str">
        <f t="shared" si="1498"/>
        <v xml:space="preserve">   Execução de aterro compactado - GO-156 KM 106+985,23</v>
      </c>
    </row>
    <row r="511" spans="1:49" ht="15.6" customHeight="1" outlineLevel="2">
      <c r="A511" s="545" t="str">
        <f t="shared" ref="A511" si="1731">A510</f>
        <v>N</v>
      </c>
      <c r="B511" s="526"/>
      <c r="C511" s="526"/>
      <c r="D511" s="527" t="s">
        <v>773</v>
      </c>
      <c r="E511" s="893"/>
      <c r="F511" s="902"/>
      <c r="G511" s="528"/>
      <c r="H511" s="549" t="s">
        <v>38</v>
      </c>
      <c r="I511" s="711">
        <v>0</v>
      </c>
      <c r="J511" s="897"/>
      <c r="K511" s="528"/>
      <c r="L511" s="549" t="s">
        <v>38</v>
      </c>
      <c r="M511" s="711">
        <f t="shared" si="1589"/>
        <v>0</v>
      </c>
      <c r="N511" s="897"/>
      <c r="O511" s="528"/>
      <c r="P511" s="547">
        <v>0</v>
      </c>
      <c r="Q511" s="547">
        <v>0</v>
      </c>
      <c r="R511" s="547">
        <v>0</v>
      </c>
      <c r="S511" s="547">
        <v>0</v>
      </c>
      <c r="T511" s="547">
        <v>0</v>
      </c>
      <c r="U511" s="547">
        <v>0</v>
      </c>
      <c r="V511" s="547">
        <v>0</v>
      </c>
      <c r="W511" s="528"/>
      <c r="X511" s="711">
        <f t="shared" si="1580"/>
        <v>0</v>
      </c>
      <c r="Y511" s="897"/>
      <c r="Z511" s="528"/>
      <c r="AA511" s="899"/>
      <c r="AB511" s="899"/>
      <c r="AC511" s="899"/>
      <c r="AD511" s="901"/>
      <c r="AE511" s="2"/>
      <c r="AF511" s="926"/>
      <c r="AG511" s="885"/>
      <c r="AH511" s="885"/>
      <c r="AI511" s="885"/>
      <c r="AJ511" s="885"/>
      <c r="AK511" s="885"/>
      <c r="AL511" s="885"/>
      <c r="AM511" s="879"/>
      <c r="AN511" s="2"/>
      <c r="AO511" s="886"/>
      <c r="AP511" s="886"/>
      <c r="AV511" t="str">
        <f t="shared" si="1507"/>
        <v xml:space="preserve">Aterro e compactação </v>
      </c>
      <c r="AW511" s="4" t="str">
        <f t="shared" si="1498"/>
        <v xml:space="preserve">   Execução de aterro compactado - GO-156 KM 106+985,23</v>
      </c>
    </row>
    <row r="512" spans="1:49" ht="15.6" customHeight="1" outlineLevel="2">
      <c r="A512" s="545" t="str">
        <f t="shared" ref="A512" si="1732">IF(SUM(P512:V513)&gt;0,"S","N")</f>
        <v>N</v>
      </c>
      <c r="B512" s="526">
        <v>1070028</v>
      </c>
      <c r="C512" s="526" t="s">
        <v>775</v>
      </c>
      <c r="D512" s="527" t="s">
        <v>776</v>
      </c>
      <c r="E512" s="892" t="s">
        <v>777</v>
      </c>
      <c r="F512" s="902" t="s">
        <v>36</v>
      </c>
      <c r="G512" s="528"/>
      <c r="H512" s="546" t="s">
        <v>37</v>
      </c>
      <c r="I512" s="711">
        <v>0</v>
      </c>
      <c r="J512" s="896" t="str">
        <f t="shared" ref="J512" si="1733">IFERROR((I513/I512),"-")</f>
        <v>-</v>
      </c>
      <c r="K512" s="528"/>
      <c r="L512" s="546" t="s">
        <v>37</v>
      </c>
      <c r="M512" s="711">
        <f t="shared" si="1589"/>
        <v>0</v>
      </c>
      <c r="N512" s="896" t="str">
        <f t="shared" ref="N512" si="1734">IFERROR((M513/M512),"-")</f>
        <v>-</v>
      </c>
      <c r="O512" s="528"/>
      <c r="P512" s="547">
        <v>0</v>
      </c>
      <c r="Q512" s="547">
        <v>0</v>
      </c>
      <c r="R512" s="547">
        <v>0</v>
      </c>
      <c r="S512" s="547">
        <v>0</v>
      </c>
      <c r="T512" s="547">
        <v>0</v>
      </c>
      <c r="U512" s="547">
        <v>0</v>
      </c>
      <c r="V512" s="547">
        <v>0</v>
      </c>
      <c r="W512" s="528"/>
      <c r="X512" s="711">
        <f t="shared" si="1580"/>
        <v>0</v>
      </c>
      <c r="Y512" s="896" t="str">
        <f t="shared" ref="Y512" si="1735">IFERROR((X513/X512),"0")</f>
        <v>0</v>
      </c>
      <c r="Z512" s="528"/>
      <c r="AA512" s="898">
        <v>0</v>
      </c>
      <c r="AB512" s="898">
        <v>0</v>
      </c>
      <c r="AC512" s="898">
        <v>0</v>
      </c>
      <c r="AD512" s="900" t="str">
        <f t="shared" ref="AD512" si="1736">IFERROR((AC512/AB512),"-")</f>
        <v>-</v>
      </c>
      <c r="AE512" s="2"/>
      <c r="AF512" s="886">
        <v>19111</v>
      </c>
      <c r="AG512" s="884"/>
      <c r="AH512" s="884">
        <v>0</v>
      </c>
      <c r="AI512" s="884"/>
      <c r="AJ512" s="884"/>
      <c r="AK512" s="884">
        <f t="shared" ref="AK512" si="1737">AF512+AG512+AH512+AI512+AJ512+AC512</f>
        <v>19111</v>
      </c>
      <c r="AL512" s="884">
        <v>19111</v>
      </c>
      <c r="AM512" s="878">
        <f t="shared" ref="AM512" si="1738">IFERROR((AK512/AL512),"-")</f>
        <v>1</v>
      </c>
      <c r="AN512" s="2"/>
      <c r="AO512" s="884">
        <v>19111</v>
      </c>
      <c r="AP512" s="884">
        <f t="shared" ref="AP512" si="1739">AO512-AK512</f>
        <v>0</v>
      </c>
      <c r="AV512" t="str">
        <f t="shared" si="1507"/>
        <v xml:space="preserve">Aterro e compactação </v>
      </c>
      <c r="AW512" s="4" t="str">
        <f t="shared" si="1498"/>
        <v xml:space="preserve">   Tratamento 1ª camada pós CNP - Seg. 2.2B</v>
      </c>
    </row>
    <row r="513" spans="1:49" ht="15.6" customHeight="1" outlineLevel="2">
      <c r="A513" s="545" t="str">
        <f t="shared" ref="A513" si="1740">A512</f>
        <v>N</v>
      </c>
      <c r="B513" s="526"/>
      <c r="C513" s="526"/>
      <c r="D513" s="527" t="s">
        <v>776</v>
      </c>
      <c r="E513" s="893"/>
      <c r="F513" s="902"/>
      <c r="G513" s="528"/>
      <c r="H513" s="549" t="s">
        <v>38</v>
      </c>
      <c r="I513" s="711">
        <v>0</v>
      </c>
      <c r="J513" s="897"/>
      <c r="K513" s="528"/>
      <c r="L513" s="549" t="s">
        <v>38</v>
      </c>
      <c r="M513" s="711">
        <f t="shared" si="1589"/>
        <v>0</v>
      </c>
      <c r="N513" s="897"/>
      <c r="O513" s="528"/>
      <c r="P513" s="547">
        <v>0</v>
      </c>
      <c r="Q513" s="547">
        <v>0</v>
      </c>
      <c r="R513" s="547">
        <v>0</v>
      </c>
      <c r="S513" s="547">
        <v>0</v>
      </c>
      <c r="T513" s="547">
        <v>0</v>
      </c>
      <c r="U513" s="547">
        <v>0</v>
      </c>
      <c r="V513" s="547">
        <v>0</v>
      </c>
      <c r="W513" s="528"/>
      <c r="X513" s="711">
        <f t="shared" si="1580"/>
        <v>0</v>
      </c>
      <c r="Y513" s="897"/>
      <c r="Z513" s="528"/>
      <c r="AA513" s="899"/>
      <c r="AB513" s="899"/>
      <c r="AC513" s="899"/>
      <c r="AD513" s="901"/>
      <c r="AE513" s="2"/>
      <c r="AF513" s="926"/>
      <c r="AG513" s="885"/>
      <c r="AH513" s="885"/>
      <c r="AI513" s="885"/>
      <c r="AJ513" s="885"/>
      <c r="AK513" s="885"/>
      <c r="AL513" s="885"/>
      <c r="AM513" s="879"/>
      <c r="AN513" s="2"/>
      <c r="AO513" s="886"/>
      <c r="AP513" s="886"/>
      <c r="AV513" t="str">
        <f t="shared" si="1507"/>
        <v xml:space="preserve">Aterro e compactação </v>
      </c>
      <c r="AW513" s="4" t="str">
        <f t="shared" si="1498"/>
        <v xml:space="preserve">   Tratamento 1ª camada pós CNP - Seg. 2.2B</v>
      </c>
    </row>
    <row r="514" spans="1:49" ht="15.6" customHeight="1" outlineLevel="2">
      <c r="A514" s="545" t="str">
        <f t="shared" ref="A514" si="1741">IF(SUM(P514:V515)&gt;0,"S","N")</f>
        <v>N</v>
      </c>
      <c r="B514" s="526">
        <v>1059633</v>
      </c>
      <c r="C514" s="526" t="s">
        <v>778</v>
      </c>
      <c r="D514" s="527" t="s">
        <v>779</v>
      </c>
      <c r="E514" s="892" t="s">
        <v>780</v>
      </c>
      <c r="F514" s="902" t="s">
        <v>36</v>
      </c>
      <c r="G514" s="528"/>
      <c r="H514" s="546" t="s">
        <v>37</v>
      </c>
      <c r="I514" s="711">
        <v>0</v>
      </c>
      <c r="J514" s="896" t="str">
        <f t="shared" ref="J514" si="1742">IFERROR((I515/I514),"-")</f>
        <v>-</v>
      </c>
      <c r="K514" s="528"/>
      <c r="L514" s="546" t="s">
        <v>37</v>
      </c>
      <c r="M514" s="711">
        <f t="shared" si="1589"/>
        <v>0</v>
      </c>
      <c r="N514" s="896" t="str">
        <f t="shared" ref="N514" si="1743">IFERROR((M515/M514),"-")</f>
        <v>-</v>
      </c>
      <c r="O514" s="528"/>
      <c r="P514" s="547">
        <v>0</v>
      </c>
      <c r="Q514" s="547">
        <v>0</v>
      </c>
      <c r="R514" s="547">
        <v>0</v>
      </c>
      <c r="S514" s="547">
        <v>0</v>
      </c>
      <c r="T514" s="547">
        <v>0</v>
      </c>
      <c r="U514" s="547">
        <v>0</v>
      </c>
      <c r="V514" s="547">
        <v>0</v>
      </c>
      <c r="W514" s="528"/>
      <c r="X514" s="711">
        <f t="shared" si="1580"/>
        <v>0</v>
      </c>
      <c r="Y514" s="896" t="str">
        <f t="shared" ref="Y514" si="1744">IFERROR((X515/X514),"0")</f>
        <v>0</v>
      </c>
      <c r="Z514" s="528"/>
      <c r="AA514" s="898">
        <v>0</v>
      </c>
      <c r="AB514" s="898">
        <v>0</v>
      </c>
      <c r="AC514" s="898">
        <v>0</v>
      </c>
      <c r="AD514" s="900" t="str">
        <f t="shared" ref="AD514" si="1745">IFERROR((AC514/AB514),"-")</f>
        <v>-</v>
      </c>
      <c r="AE514" s="2"/>
      <c r="AF514" s="886">
        <v>0</v>
      </c>
      <c r="AG514" s="884"/>
      <c r="AH514" s="884">
        <v>0</v>
      </c>
      <c r="AI514" s="884"/>
      <c r="AJ514" s="884"/>
      <c r="AK514" s="884">
        <f t="shared" ref="AK514" si="1746">AF514+AG514+AH514+AI514+AJ514+AC514</f>
        <v>0</v>
      </c>
      <c r="AL514" s="884">
        <v>0</v>
      </c>
      <c r="AM514" s="878" t="str">
        <f t="shared" ref="AM514" si="1747">IFERROR((AK514/AL514),"-")</f>
        <v>-</v>
      </c>
      <c r="AN514" s="2"/>
      <c r="AO514" s="884">
        <v>0</v>
      </c>
      <c r="AP514" s="884">
        <f t="shared" ref="AP514" si="1748">AO514-AK514</f>
        <v>0</v>
      </c>
      <c r="AV514" t="str">
        <f t="shared" si="1507"/>
        <v xml:space="preserve">Aterro e compactação </v>
      </c>
      <c r="AW514" s="4" t="str">
        <f t="shared" si="1498"/>
        <v xml:space="preserve">   Seg. 2.2-CA 03 - Camada Final de Aterro - CF-A-03 (PN a 100%)</v>
      </c>
    </row>
    <row r="515" spans="1:49" ht="15.6" customHeight="1" outlineLevel="2">
      <c r="A515" s="545" t="str">
        <f t="shared" ref="A515" si="1749">A514</f>
        <v>N</v>
      </c>
      <c r="B515" s="526"/>
      <c r="C515" s="526"/>
      <c r="D515" s="527" t="s">
        <v>779</v>
      </c>
      <c r="E515" s="893"/>
      <c r="F515" s="902"/>
      <c r="G515" s="528"/>
      <c r="H515" s="549" t="s">
        <v>38</v>
      </c>
      <c r="I515" s="711">
        <v>0</v>
      </c>
      <c r="J515" s="897"/>
      <c r="K515" s="528"/>
      <c r="L515" s="549" t="s">
        <v>38</v>
      </c>
      <c r="M515" s="711">
        <f t="shared" si="1589"/>
        <v>0</v>
      </c>
      <c r="N515" s="897"/>
      <c r="O515" s="528"/>
      <c r="P515" s="547">
        <v>0</v>
      </c>
      <c r="Q515" s="547">
        <v>0</v>
      </c>
      <c r="R515" s="547">
        <v>0</v>
      </c>
      <c r="S515" s="547">
        <v>0</v>
      </c>
      <c r="T515" s="547">
        <v>0</v>
      </c>
      <c r="U515" s="547">
        <v>0</v>
      </c>
      <c r="V515" s="547">
        <v>0</v>
      </c>
      <c r="W515" s="528"/>
      <c r="X515" s="711">
        <f t="shared" si="1580"/>
        <v>0</v>
      </c>
      <c r="Y515" s="897"/>
      <c r="Z515" s="528"/>
      <c r="AA515" s="899"/>
      <c r="AB515" s="899"/>
      <c r="AC515" s="899"/>
      <c r="AD515" s="901"/>
      <c r="AE515" s="2"/>
      <c r="AF515" s="926"/>
      <c r="AG515" s="885"/>
      <c r="AH515" s="885"/>
      <c r="AI515" s="885"/>
      <c r="AJ515" s="885"/>
      <c r="AK515" s="885"/>
      <c r="AL515" s="885"/>
      <c r="AM515" s="879"/>
      <c r="AN515" s="2"/>
      <c r="AO515" s="886"/>
      <c r="AP515" s="886"/>
      <c r="AV515" t="str">
        <f t="shared" si="1507"/>
        <v xml:space="preserve">Aterro e compactação </v>
      </c>
      <c r="AW515" s="4" t="str">
        <f t="shared" si="1498"/>
        <v xml:space="preserve">   Seg. 2.2-CA 03 - Camada Final de Aterro - CF-A-03 (PN a 100%)</v>
      </c>
    </row>
    <row r="516" spans="1:49" ht="15.6" customHeight="1" outlineLevel="2">
      <c r="A516" s="545" t="str">
        <f t="shared" ref="A516" si="1750">IF(SUM(P516:V517)&gt;0,"S","N")</f>
        <v>N</v>
      </c>
      <c r="B516" s="526">
        <v>1059639</v>
      </c>
      <c r="C516" s="526" t="s">
        <v>781</v>
      </c>
      <c r="D516" s="527" t="s">
        <v>782</v>
      </c>
      <c r="E516" s="892" t="s">
        <v>783</v>
      </c>
      <c r="F516" s="902" t="s">
        <v>36</v>
      </c>
      <c r="G516" s="528"/>
      <c r="H516" s="546" t="s">
        <v>37</v>
      </c>
      <c r="I516" s="711">
        <v>0</v>
      </c>
      <c r="J516" s="896" t="str">
        <f t="shared" ref="J516" si="1751">IFERROR((I517/I516),"-")</f>
        <v>-</v>
      </c>
      <c r="K516" s="528"/>
      <c r="L516" s="546" t="s">
        <v>37</v>
      </c>
      <c r="M516" s="711">
        <f t="shared" si="1589"/>
        <v>0</v>
      </c>
      <c r="N516" s="896" t="str">
        <f t="shared" ref="N516" si="1752">IFERROR((M517/M516),"-")</f>
        <v>-</v>
      </c>
      <c r="O516" s="528"/>
      <c r="P516" s="547">
        <v>0</v>
      </c>
      <c r="Q516" s="547">
        <v>0</v>
      </c>
      <c r="R516" s="547">
        <v>0</v>
      </c>
      <c r="S516" s="547">
        <v>0</v>
      </c>
      <c r="T516" s="547">
        <v>0</v>
      </c>
      <c r="U516" s="547">
        <v>0</v>
      </c>
      <c r="V516" s="547">
        <v>0</v>
      </c>
      <c r="W516" s="528"/>
      <c r="X516" s="711">
        <f t="shared" si="1580"/>
        <v>0</v>
      </c>
      <c r="Y516" s="896" t="str">
        <f t="shared" ref="Y516" si="1753">IFERROR((X517/X516),"0")</f>
        <v>0</v>
      </c>
      <c r="Z516" s="528"/>
      <c r="AA516" s="898">
        <v>244.44</v>
      </c>
      <c r="AB516" s="898">
        <v>244.44</v>
      </c>
      <c r="AC516" s="898">
        <v>0</v>
      </c>
      <c r="AD516" s="900">
        <f t="shared" ref="AD516" si="1754">IFERROR((AC516/AB516),"-")</f>
        <v>0</v>
      </c>
      <c r="AE516" s="2"/>
      <c r="AF516" s="886">
        <v>1883.2339999999999</v>
      </c>
      <c r="AG516" s="884"/>
      <c r="AH516" s="884">
        <v>0</v>
      </c>
      <c r="AI516" s="884"/>
      <c r="AJ516" s="884"/>
      <c r="AK516" s="884">
        <f t="shared" ref="AK516" si="1755">AF516+AG516+AH516+AI516+AJ516+AC516</f>
        <v>1883.2339999999999</v>
      </c>
      <c r="AL516" s="884">
        <v>2077.44</v>
      </c>
      <c r="AM516" s="878">
        <f t="shared" ref="AM516" si="1756">IFERROR((AK516/AL516),"-")</f>
        <v>0.9065166743684534</v>
      </c>
      <c r="AN516" s="2"/>
      <c r="AO516" s="884">
        <v>2077.44</v>
      </c>
      <c r="AP516" s="884">
        <f t="shared" ref="AP516" si="1757">AO516-AK516</f>
        <v>194.20600000000013</v>
      </c>
      <c r="AV516" t="str">
        <f t="shared" si="1507"/>
        <v xml:space="preserve">Aterro e compactação </v>
      </c>
      <c r="AW516" s="4" t="str">
        <f t="shared" si="1498"/>
        <v xml:space="preserve">   Seg. 2.2-A05 - Camada Final de Aterro - CF-A-05 (PN a 100%)</v>
      </c>
    </row>
    <row r="517" spans="1:49" ht="15" customHeight="1" outlineLevel="2">
      <c r="A517" s="545" t="str">
        <f t="shared" ref="A517" si="1758">A516</f>
        <v>N</v>
      </c>
      <c r="B517" s="526"/>
      <c r="C517" s="526"/>
      <c r="D517" s="527" t="s">
        <v>782</v>
      </c>
      <c r="E517" s="893"/>
      <c r="F517" s="902"/>
      <c r="G517" s="528"/>
      <c r="H517" s="549" t="s">
        <v>38</v>
      </c>
      <c r="I517" s="711">
        <v>0</v>
      </c>
      <c r="J517" s="897"/>
      <c r="K517" s="528"/>
      <c r="L517" s="549" t="s">
        <v>38</v>
      </c>
      <c r="M517" s="711">
        <f t="shared" si="1589"/>
        <v>0</v>
      </c>
      <c r="N517" s="897"/>
      <c r="O517" s="528"/>
      <c r="P517" s="547">
        <v>0</v>
      </c>
      <c r="Q517" s="547">
        <v>0</v>
      </c>
      <c r="R517" s="547">
        <v>0</v>
      </c>
      <c r="S517" s="547">
        <v>0</v>
      </c>
      <c r="T517" s="547">
        <v>0</v>
      </c>
      <c r="U517" s="547">
        <v>0</v>
      </c>
      <c r="V517" s="547">
        <v>0</v>
      </c>
      <c r="W517" s="528"/>
      <c r="X517" s="711">
        <f t="shared" si="1580"/>
        <v>0</v>
      </c>
      <c r="Y517" s="897"/>
      <c r="Z517" s="528"/>
      <c r="AA517" s="899"/>
      <c r="AB517" s="899"/>
      <c r="AC517" s="899"/>
      <c r="AD517" s="901"/>
      <c r="AE517" s="2"/>
      <c r="AF517" s="926"/>
      <c r="AG517" s="885"/>
      <c r="AH517" s="885"/>
      <c r="AI517" s="885"/>
      <c r="AJ517" s="885"/>
      <c r="AK517" s="885"/>
      <c r="AL517" s="885"/>
      <c r="AM517" s="879"/>
      <c r="AN517" s="2"/>
      <c r="AO517" s="886"/>
      <c r="AP517" s="886"/>
      <c r="AV517" t="str">
        <f t="shared" si="1507"/>
        <v xml:space="preserve">Aterro e compactação </v>
      </c>
      <c r="AW517" s="4" t="str">
        <f t="shared" si="1498"/>
        <v xml:space="preserve">   Seg. 2.2-A05 - Camada Final de Aterro - CF-A-05 (PN a 100%)</v>
      </c>
    </row>
    <row r="518" spans="1:49" ht="15" customHeight="1" outlineLevel="2">
      <c r="A518" s="545" t="str">
        <f>IF(SUM(P518:V519)&gt;0,"S","N")</f>
        <v>S</v>
      </c>
      <c r="B518" s="526">
        <v>1070022</v>
      </c>
      <c r="C518" s="526" t="s">
        <v>784</v>
      </c>
      <c r="D518" s="527" t="s">
        <v>785</v>
      </c>
      <c r="E518" s="892" t="s">
        <v>786</v>
      </c>
      <c r="F518" s="894" t="s">
        <v>36</v>
      </c>
      <c r="G518" s="528"/>
      <c r="H518" s="546" t="s">
        <v>37</v>
      </c>
      <c r="I518" s="711">
        <v>0</v>
      </c>
      <c r="J518" s="896" t="str">
        <f t="shared" ref="J518" si="1759">IFERROR((I519/I518),"-")</f>
        <v>-</v>
      </c>
      <c r="K518" s="528"/>
      <c r="L518" s="546" t="s">
        <v>37</v>
      </c>
      <c r="M518" s="711">
        <f>_xlfn.XLOOKUP($N$8,$P$8:$V$8,$P518:$V518)</f>
        <v>980</v>
      </c>
      <c r="N518" s="896">
        <f t="shared" ref="N518" si="1760">IFERROR((M519/M518),"-")</f>
        <v>0</v>
      </c>
      <c r="O518" s="528"/>
      <c r="P518" s="547">
        <v>980</v>
      </c>
      <c r="Q518" s="547">
        <v>980</v>
      </c>
      <c r="R518" s="547">
        <v>980</v>
      </c>
      <c r="S518" s="547">
        <v>980</v>
      </c>
      <c r="T518" s="547">
        <v>840</v>
      </c>
      <c r="U518" s="547">
        <v>840</v>
      </c>
      <c r="V518" s="547">
        <v>0</v>
      </c>
      <c r="W518" s="528"/>
      <c r="X518" s="711">
        <f>SUMIFS(P518:V518,$P$8:$V$8,"&gt;="&amp;$P$8,$P$8:$V$8,"&lt;="&amp;$N$8)</f>
        <v>1960</v>
      </c>
      <c r="Y518" s="896">
        <f t="shared" ref="Y518" si="1761">IFERROR((X519/X518),"-")</f>
        <v>5.1408163265306124E-2</v>
      </c>
      <c r="Z518" s="528"/>
      <c r="AA518" s="898">
        <v>0</v>
      </c>
      <c r="AB518" s="898">
        <v>0</v>
      </c>
      <c r="AC518" s="898">
        <v>1951.08</v>
      </c>
      <c r="AD518" s="900" t="str">
        <f>IFERROR((AC518/AB518),"-")</f>
        <v>-</v>
      </c>
      <c r="AE518" s="2"/>
      <c r="AF518" s="886">
        <v>2250</v>
      </c>
      <c r="AG518" s="884"/>
      <c r="AH518" s="884">
        <v>0</v>
      </c>
      <c r="AI518" s="884"/>
      <c r="AJ518" s="884"/>
      <c r="AK518" s="884">
        <f t="shared" ref="AK518" si="1762">AF518+AG518+AH518+AI518+AJ518+AC518</f>
        <v>4201.08</v>
      </c>
      <c r="AL518" s="884">
        <v>2249.9899999999998</v>
      </c>
      <c r="AM518" s="878">
        <f t="shared" ref="AM518" si="1763">IFERROR((AK518/AL518),"-")</f>
        <v>1.8671549651331785</v>
      </c>
      <c r="AN518" s="2"/>
      <c r="AO518" s="884">
        <v>2250</v>
      </c>
      <c r="AP518" s="884">
        <f t="shared" ref="AP518" si="1764">AO518-AK518</f>
        <v>-1951.08</v>
      </c>
      <c r="AV518" t="str">
        <f t="shared" si="1507"/>
        <v xml:space="preserve">Aterro e compactação </v>
      </c>
      <c r="AW518" s="4" t="str">
        <f t="shared" si="1498"/>
        <v xml:space="preserve">   Aterro 3ª categoria</v>
      </c>
    </row>
    <row r="519" spans="1:49" ht="15.6" customHeight="1" outlineLevel="2">
      <c r="A519" s="545" t="str">
        <f>A518</f>
        <v>S</v>
      </c>
      <c r="B519" s="526"/>
      <c r="C519" s="526"/>
      <c r="D519" s="527" t="s">
        <v>785</v>
      </c>
      <c r="E519" s="893"/>
      <c r="F519" s="895"/>
      <c r="G519" s="528"/>
      <c r="H519" s="549" t="s">
        <v>38</v>
      </c>
      <c r="I519" s="711">
        <v>925.16000000000008</v>
      </c>
      <c r="J519" s="897"/>
      <c r="K519" s="528"/>
      <c r="L519" s="549" t="s">
        <v>38</v>
      </c>
      <c r="M519" s="711">
        <f>_xlfn.XLOOKUP($N$8,$P$8:$V$8,$P519:$V519)</f>
        <v>0</v>
      </c>
      <c r="N519" s="897"/>
      <c r="O519" s="528"/>
      <c r="P519" s="547">
        <v>100.76</v>
      </c>
      <c r="Q519" s="547">
        <v>0</v>
      </c>
      <c r="R519" s="547">
        <v>0</v>
      </c>
      <c r="S519" s="547">
        <v>0</v>
      </c>
      <c r="T519" s="547">
        <v>0</v>
      </c>
      <c r="U519" s="547">
        <v>0</v>
      </c>
      <c r="V519" s="547">
        <v>0</v>
      </c>
      <c r="W519" s="528"/>
      <c r="X519" s="711">
        <f>SUMIFS(P519:V519,$P$8:$V$8,"&gt;="&amp;$P$8,$P$8:$V$8,"&lt;="&amp;$N$8)</f>
        <v>100.76</v>
      </c>
      <c r="Y519" s="897"/>
      <c r="Z519" s="528"/>
      <c r="AA519" s="899"/>
      <c r="AB519" s="899"/>
      <c r="AC519" s="899"/>
      <c r="AD519" s="901"/>
      <c r="AE519" s="2"/>
      <c r="AF519" s="926"/>
      <c r="AG519" s="885"/>
      <c r="AH519" s="885"/>
      <c r="AI519" s="885"/>
      <c r="AJ519" s="885"/>
      <c r="AK519" s="885"/>
      <c r="AL519" s="885"/>
      <c r="AM519" s="879"/>
      <c r="AN519" s="2"/>
      <c r="AO519" s="886"/>
      <c r="AP519" s="886"/>
      <c r="AV519" t="str">
        <f t="shared" si="1507"/>
        <v xml:space="preserve">Aterro e compactação </v>
      </c>
      <c r="AW519" s="4" t="str">
        <f t="shared" si="1498"/>
        <v xml:space="preserve">   Aterro 3ª categoria</v>
      </c>
    </row>
    <row r="520" spans="1:49" ht="15.6" customHeight="1" outlineLevel="2">
      <c r="A520" s="525" t="str">
        <f t="shared" ref="A520" si="1765">IF(SUM(P520:V521)&gt;0,"S","N")</f>
        <v>N</v>
      </c>
      <c r="B520" s="526" t="s">
        <v>266</v>
      </c>
      <c r="C520" s="526" t="s">
        <v>266</v>
      </c>
      <c r="D520" s="527" t="s">
        <v>787</v>
      </c>
      <c r="E520" s="892" t="s">
        <v>788</v>
      </c>
      <c r="F520" s="902" t="s">
        <v>36</v>
      </c>
      <c r="G520" s="528"/>
      <c r="H520" s="546" t="s">
        <v>37</v>
      </c>
      <c r="I520" s="711">
        <v>0</v>
      </c>
      <c r="J520" s="896" t="str">
        <f t="shared" ref="J520" si="1766">IFERROR((I521/I520),"-")</f>
        <v>-</v>
      </c>
      <c r="K520" s="528"/>
      <c r="L520" s="546" t="s">
        <v>37</v>
      </c>
      <c r="M520" s="711">
        <f t="shared" ref="M520:M531" si="1767">_xlfn.XLOOKUP($N$8,$P$8:$V$8,$P520:$V520)</f>
        <v>0</v>
      </c>
      <c r="N520" s="896" t="str">
        <f t="shared" ref="N520" si="1768">IFERROR((M521/M520),"-")</f>
        <v>-</v>
      </c>
      <c r="O520" s="528"/>
      <c r="P520" s="547">
        <v>0</v>
      </c>
      <c r="Q520" s="547">
        <v>0</v>
      </c>
      <c r="R520" s="547">
        <v>0</v>
      </c>
      <c r="S520" s="547">
        <v>0</v>
      </c>
      <c r="T520" s="547">
        <v>0</v>
      </c>
      <c r="U520" s="547">
        <v>0</v>
      </c>
      <c r="V520" s="547">
        <v>0</v>
      </c>
      <c r="W520" s="528"/>
      <c r="X520" s="711">
        <f t="shared" ref="X520:X531" si="1769">SUMIFS(P520:V520,$P$8:$V$8,"&gt;="&amp;$P$8,$P$8:$V$8,"&lt;="&amp;$N$8)</f>
        <v>0</v>
      </c>
      <c r="Y520" s="896" t="str">
        <f t="shared" ref="Y520" si="1770">IFERROR((X521/X520),"0")</f>
        <v>0</v>
      </c>
      <c r="Z520" s="528"/>
      <c r="AA520" s="898">
        <v>0</v>
      </c>
      <c r="AB520" s="898">
        <v>0</v>
      </c>
      <c r="AC520" s="898">
        <v>741.96</v>
      </c>
      <c r="AD520" s="900" t="str">
        <f t="shared" ref="AD520" si="1771">IFERROR((AC520/AB520),"-")</f>
        <v>-</v>
      </c>
      <c r="AE520" s="2"/>
      <c r="AF520" s="886">
        <v>0</v>
      </c>
      <c r="AG520" s="884"/>
      <c r="AH520" s="884">
        <v>0</v>
      </c>
      <c r="AI520" s="884"/>
      <c r="AJ520" s="884"/>
      <c r="AK520" s="884">
        <f t="shared" ref="AK520" si="1772">AF520+AG520+AH520+AI520+AJ520+AC520</f>
        <v>741.96</v>
      </c>
      <c r="AL520" s="884">
        <v>0</v>
      </c>
      <c r="AM520" s="878" t="str">
        <f t="shared" ref="AM520" si="1773">IFERROR((AK520/AL520),"-")</f>
        <v>-</v>
      </c>
      <c r="AN520" s="2"/>
      <c r="AO520" s="884">
        <v>0</v>
      </c>
      <c r="AP520" s="884">
        <f t="shared" ref="AP520" si="1774">AO520-AK520</f>
        <v>-741.96</v>
      </c>
      <c r="AV520" t="str">
        <f t="shared" si="1507"/>
        <v xml:space="preserve">Aterro e compactação </v>
      </c>
      <c r="AW520" s="4" t="str">
        <f t="shared" si="1498"/>
        <v>Aterro lateral PI GO-156/Troca de solo</v>
      </c>
    </row>
    <row r="521" spans="1:49" ht="15.6" customHeight="1" outlineLevel="2">
      <c r="A521" s="525" t="str">
        <f t="shared" ref="A521" si="1775">A520</f>
        <v>N</v>
      </c>
      <c r="B521" s="526"/>
      <c r="C521" s="526"/>
      <c r="D521" s="527" t="s">
        <v>787</v>
      </c>
      <c r="E521" s="893"/>
      <c r="F521" s="902"/>
      <c r="G521" s="528"/>
      <c r="H521" s="549" t="s">
        <v>38</v>
      </c>
      <c r="I521" s="711">
        <v>741.96</v>
      </c>
      <c r="J521" s="897"/>
      <c r="K521" s="528"/>
      <c r="L521" s="549" t="s">
        <v>38</v>
      </c>
      <c r="M521" s="711">
        <f t="shared" si="1767"/>
        <v>0</v>
      </c>
      <c r="N521" s="897"/>
      <c r="O521" s="528"/>
      <c r="P521" s="547">
        <v>0</v>
      </c>
      <c r="Q521" s="547">
        <v>0</v>
      </c>
      <c r="R521" s="547">
        <v>0</v>
      </c>
      <c r="S521" s="547">
        <v>0</v>
      </c>
      <c r="T521" s="547">
        <v>0</v>
      </c>
      <c r="U521" s="547">
        <v>0</v>
      </c>
      <c r="V521" s="547">
        <v>0</v>
      </c>
      <c r="W521" s="528"/>
      <c r="X521" s="711">
        <f t="shared" si="1769"/>
        <v>0</v>
      </c>
      <c r="Y521" s="897"/>
      <c r="Z521" s="528"/>
      <c r="AA521" s="899"/>
      <c r="AB521" s="899"/>
      <c r="AC521" s="899"/>
      <c r="AD521" s="901"/>
      <c r="AE521" s="2"/>
      <c r="AF521" s="926"/>
      <c r="AG521" s="885"/>
      <c r="AH521" s="885"/>
      <c r="AI521" s="885"/>
      <c r="AJ521" s="885"/>
      <c r="AK521" s="885"/>
      <c r="AL521" s="885"/>
      <c r="AM521" s="879"/>
      <c r="AN521" s="2"/>
      <c r="AO521" s="886"/>
      <c r="AP521" s="886"/>
      <c r="AV521" t="str">
        <f t="shared" si="1507"/>
        <v xml:space="preserve">Aterro e compactação </v>
      </c>
      <c r="AW521" s="4" t="str">
        <f t="shared" ref="AW521:AW584" si="1776">IF(E521&lt;&gt;"",E521,AW520)</f>
        <v>Aterro lateral PI GO-156/Troca de solo</v>
      </c>
    </row>
    <row r="522" spans="1:49" ht="15.6" customHeight="1" outlineLevel="2">
      <c r="A522" s="525" t="str">
        <f t="shared" ref="A522" si="1777">IF(SUM(P522:V523)&gt;0,"S","N")</f>
        <v>N</v>
      </c>
      <c r="B522" s="526" t="s">
        <v>266</v>
      </c>
      <c r="C522" s="526" t="s">
        <v>266</v>
      </c>
      <c r="D522" s="527" t="s">
        <v>789</v>
      </c>
      <c r="E522" s="892" t="s">
        <v>790</v>
      </c>
      <c r="F522" s="902" t="s">
        <v>36</v>
      </c>
      <c r="G522" s="528"/>
      <c r="H522" s="546" t="s">
        <v>37</v>
      </c>
      <c r="I522" s="711">
        <v>0</v>
      </c>
      <c r="J522" s="896" t="str">
        <f t="shared" ref="J522" si="1778">IFERROR((I523/I522),"-")</f>
        <v>-</v>
      </c>
      <c r="K522" s="528"/>
      <c r="L522" s="546" t="s">
        <v>37</v>
      </c>
      <c r="M522" s="711">
        <f t="shared" si="1767"/>
        <v>0</v>
      </c>
      <c r="N522" s="896" t="str">
        <f t="shared" ref="N522" si="1779">IFERROR((M523/M522),"-")</f>
        <v>-</v>
      </c>
      <c r="O522" s="528"/>
      <c r="P522" s="547">
        <v>0</v>
      </c>
      <c r="Q522" s="547">
        <v>0</v>
      </c>
      <c r="R522" s="547">
        <v>0</v>
      </c>
      <c r="S522" s="547">
        <v>0</v>
      </c>
      <c r="T522" s="547">
        <v>0</v>
      </c>
      <c r="U522" s="547">
        <v>0</v>
      </c>
      <c r="V522" s="547">
        <v>0</v>
      </c>
      <c r="W522" s="528"/>
      <c r="X522" s="711">
        <f t="shared" si="1769"/>
        <v>0</v>
      </c>
      <c r="Y522" s="896" t="str">
        <f t="shared" ref="Y522" si="1780">IFERROR((X523/X522),"0")</f>
        <v>0</v>
      </c>
      <c r="Z522" s="528"/>
      <c r="AA522" s="898">
        <v>0</v>
      </c>
      <c r="AB522" s="898">
        <v>0</v>
      </c>
      <c r="AC522" s="898">
        <v>0</v>
      </c>
      <c r="AD522" s="900" t="str">
        <f t="shared" ref="AD522" si="1781">IFERROR((AC522/AB522),"-")</f>
        <v>-</v>
      </c>
      <c r="AE522" s="2"/>
      <c r="AF522" s="886">
        <v>0</v>
      </c>
      <c r="AG522" s="884"/>
      <c r="AH522" s="884">
        <v>0</v>
      </c>
      <c r="AI522" s="884"/>
      <c r="AJ522" s="884"/>
      <c r="AK522" s="884">
        <f t="shared" ref="AK522" si="1782">AF522+AG522+AH522+AI522+AJ522+AC522</f>
        <v>0</v>
      </c>
      <c r="AL522" s="884">
        <v>0</v>
      </c>
      <c r="AM522" s="878" t="str">
        <f t="shared" ref="AM522" si="1783">IFERROR((AK522/AL522),"-")</f>
        <v>-</v>
      </c>
      <c r="AN522" s="2"/>
      <c r="AO522" s="884">
        <v>0</v>
      </c>
      <c r="AP522" s="884">
        <f t="shared" ref="AP522" si="1784">AO522-AK522</f>
        <v>0</v>
      </c>
      <c r="AV522" t="str">
        <f t="shared" ref="AV522:AV585" si="1785">IF(AX522="Y",LEFT(E522,20),IF(AX522="x",E522,AV521))</f>
        <v xml:space="preserve">Aterro e compactação </v>
      </c>
      <c r="AW522" s="4" t="str">
        <f t="shared" si="1776"/>
        <v>Sub-base GO-156</v>
      </c>
    </row>
    <row r="523" spans="1:49" ht="15.6" customHeight="1" outlineLevel="2">
      <c r="A523" s="525" t="str">
        <f t="shared" ref="A523" si="1786">A522</f>
        <v>N</v>
      </c>
      <c r="B523" s="526"/>
      <c r="C523" s="526"/>
      <c r="D523" s="527" t="s">
        <v>789</v>
      </c>
      <c r="E523" s="893"/>
      <c r="F523" s="902"/>
      <c r="G523" s="528"/>
      <c r="H523" s="549" t="s">
        <v>38</v>
      </c>
      <c r="I523" s="711">
        <v>0</v>
      </c>
      <c r="J523" s="897"/>
      <c r="K523" s="528"/>
      <c r="L523" s="549" t="s">
        <v>38</v>
      </c>
      <c r="M523" s="711">
        <f t="shared" si="1767"/>
        <v>0</v>
      </c>
      <c r="N523" s="897"/>
      <c r="O523" s="528"/>
      <c r="P523" s="547">
        <v>0</v>
      </c>
      <c r="Q523" s="547">
        <v>0</v>
      </c>
      <c r="R523" s="547">
        <v>0</v>
      </c>
      <c r="S523" s="547">
        <v>0</v>
      </c>
      <c r="T523" s="547">
        <v>0</v>
      </c>
      <c r="U523" s="547">
        <v>0</v>
      </c>
      <c r="V523" s="547">
        <v>0</v>
      </c>
      <c r="W523" s="528"/>
      <c r="X523" s="711">
        <f t="shared" si="1769"/>
        <v>0</v>
      </c>
      <c r="Y523" s="897"/>
      <c r="Z523" s="528"/>
      <c r="AA523" s="899"/>
      <c r="AB523" s="899"/>
      <c r="AC523" s="899"/>
      <c r="AD523" s="901"/>
      <c r="AE523" s="2"/>
      <c r="AF523" s="926"/>
      <c r="AG523" s="885"/>
      <c r="AH523" s="885"/>
      <c r="AI523" s="885"/>
      <c r="AJ523" s="885"/>
      <c r="AK523" s="885"/>
      <c r="AL523" s="885"/>
      <c r="AM523" s="879"/>
      <c r="AN523" s="2"/>
      <c r="AO523" s="886"/>
      <c r="AP523" s="886"/>
      <c r="AV523" t="str">
        <f t="shared" si="1785"/>
        <v xml:space="preserve">Aterro e compactação </v>
      </c>
      <c r="AW523" s="4" t="str">
        <f t="shared" si="1776"/>
        <v>Sub-base GO-156</v>
      </c>
    </row>
    <row r="524" spans="1:49" ht="15.6" customHeight="1" outlineLevel="2">
      <c r="A524" s="525" t="str">
        <f t="shared" ref="A524" si="1787">IF(SUM(P524:V525)&gt;0,"S","N")</f>
        <v>N</v>
      </c>
      <c r="B524" s="526" t="s">
        <v>266</v>
      </c>
      <c r="C524" s="526" t="s">
        <v>266</v>
      </c>
      <c r="D524" s="527" t="s">
        <v>791</v>
      </c>
      <c r="E524" s="892" t="s">
        <v>792</v>
      </c>
      <c r="F524" s="902" t="s">
        <v>36</v>
      </c>
      <c r="G524" s="528"/>
      <c r="H524" s="546" t="s">
        <v>37</v>
      </c>
      <c r="I524" s="711">
        <v>0</v>
      </c>
      <c r="J524" s="896" t="str">
        <f t="shared" ref="J524" si="1788">IFERROR((I525/I524),"-")</f>
        <v>-</v>
      </c>
      <c r="K524" s="528"/>
      <c r="L524" s="546" t="s">
        <v>37</v>
      </c>
      <c r="M524" s="711">
        <f t="shared" si="1767"/>
        <v>0</v>
      </c>
      <c r="N524" s="896" t="str">
        <f t="shared" ref="N524" si="1789">IFERROR((M525/M524),"-")</f>
        <v>-</v>
      </c>
      <c r="O524" s="528"/>
      <c r="P524" s="547">
        <v>0</v>
      </c>
      <c r="Q524" s="547">
        <v>0</v>
      </c>
      <c r="R524" s="547">
        <v>0</v>
      </c>
      <c r="S524" s="547">
        <v>0</v>
      </c>
      <c r="T524" s="547">
        <v>0</v>
      </c>
      <c r="U524" s="547">
        <v>0</v>
      </c>
      <c r="V524" s="547">
        <v>0</v>
      </c>
      <c r="W524" s="528"/>
      <c r="X524" s="711">
        <f t="shared" si="1769"/>
        <v>0</v>
      </c>
      <c r="Y524" s="896" t="str">
        <f t="shared" ref="Y524" si="1790">IFERROR((X525/X524),"0")</f>
        <v>0</v>
      </c>
      <c r="Z524" s="528"/>
      <c r="AA524" s="898">
        <v>0</v>
      </c>
      <c r="AB524" s="898">
        <v>0</v>
      </c>
      <c r="AC524" s="898">
        <v>0</v>
      </c>
      <c r="AD524" s="900" t="str">
        <f t="shared" ref="AD524" si="1791">IFERROR((AC524/AB524),"-")</f>
        <v>-</v>
      </c>
      <c r="AE524" s="2"/>
      <c r="AF524" s="886">
        <v>0</v>
      </c>
      <c r="AG524" s="884"/>
      <c r="AH524" s="884">
        <v>0</v>
      </c>
      <c r="AI524" s="884"/>
      <c r="AJ524" s="884"/>
      <c r="AK524" s="884">
        <f t="shared" ref="AK524" si="1792">AF524+AG524+AH524+AI524+AJ524+AC524</f>
        <v>0</v>
      </c>
      <c r="AL524" s="884">
        <v>0</v>
      </c>
      <c r="AM524" s="878" t="str">
        <f t="shared" ref="AM524" si="1793">IFERROR((AK524/AL524),"-")</f>
        <v>-</v>
      </c>
      <c r="AN524" s="2"/>
      <c r="AO524" s="884">
        <v>0</v>
      </c>
      <c r="AP524" s="884">
        <f t="shared" ref="AP524" si="1794">AO524-AK524</f>
        <v>0</v>
      </c>
      <c r="AV524" t="str">
        <f t="shared" si="1785"/>
        <v xml:space="preserve">Aterro e compactação </v>
      </c>
      <c r="AW524" s="4" t="str">
        <f t="shared" si="1776"/>
        <v>Aterro de acesso - km 112</v>
      </c>
    </row>
    <row r="525" spans="1:49" ht="15.6" customHeight="1" outlineLevel="2">
      <c r="A525" s="525" t="str">
        <f t="shared" ref="A525" si="1795">A524</f>
        <v>N</v>
      </c>
      <c r="B525" s="526"/>
      <c r="C525" s="526"/>
      <c r="D525" s="527" t="s">
        <v>791</v>
      </c>
      <c r="E525" s="893"/>
      <c r="F525" s="902"/>
      <c r="G525" s="528"/>
      <c r="H525" s="549" t="s">
        <v>38</v>
      </c>
      <c r="I525" s="711">
        <v>0</v>
      </c>
      <c r="J525" s="897"/>
      <c r="K525" s="528"/>
      <c r="L525" s="549" t="s">
        <v>38</v>
      </c>
      <c r="M525" s="711">
        <f t="shared" si="1767"/>
        <v>0</v>
      </c>
      <c r="N525" s="897"/>
      <c r="O525" s="528"/>
      <c r="P525" s="547">
        <v>0</v>
      </c>
      <c r="Q525" s="547">
        <v>0</v>
      </c>
      <c r="R525" s="547">
        <v>0</v>
      </c>
      <c r="S525" s="547">
        <v>0</v>
      </c>
      <c r="T525" s="547">
        <v>0</v>
      </c>
      <c r="U525" s="547">
        <v>0</v>
      </c>
      <c r="V525" s="547">
        <v>0</v>
      </c>
      <c r="W525" s="528"/>
      <c r="X525" s="711">
        <f t="shared" si="1769"/>
        <v>0</v>
      </c>
      <c r="Y525" s="897"/>
      <c r="Z525" s="528"/>
      <c r="AA525" s="899"/>
      <c r="AB525" s="899"/>
      <c r="AC525" s="899"/>
      <c r="AD525" s="901"/>
      <c r="AE525" s="2"/>
      <c r="AF525" s="926"/>
      <c r="AG525" s="885"/>
      <c r="AH525" s="885"/>
      <c r="AI525" s="885"/>
      <c r="AJ525" s="885"/>
      <c r="AK525" s="885"/>
      <c r="AL525" s="885"/>
      <c r="AM525" s="879"/>
      <c r="AN525" s="2"/>
      <c r="AO525" s="886"/>
      <c r="AP525" s="886"/>
      <c r="AV525" t="str">
        <f t="shared" si="1785"/>
        <v xml:space="preserve">Aterro e compactação </v>
      </c>
      <c r="AW525" s="4" t="str">
        <f t="shared" si="1776"/>
        <v>Aterro de acesso - km 112</v>
      </c>
    </row>
    <row r="526" spans="1:49" ht="15.6" customHeight="1" outlineLevel="2">
      <c r="A526" s="525" t="str">
        <f t="shared" ref="A526" si="1796">IF(SUM(P526:V527)&gt;0,"S","N")</f>
        <v>N</v>
      </c>
      <c r="B526" s="526" t="s">
        <v>266</v>
      </c>
      <c r="C526" s="526" t="s">
        <v>266</v>
      </c>
      <c r="D526" s="527" t="s">
        <v>793</v>
      </c>
      <c r="E526" s="929" t="s">
        <v>794</v>
      </c>
      <c r="F526" s="902" t="s">
        <v>36</v>
      </c>
      <c r="G526" s="528"/>
      <c r="H526" s="546" t="s">
        <v>37</v>
      </c>
      <c r="I526" s="711">
        <v>0</v>
      </c>
      <c r="J526" s="896" t="str">
        <f t="shared" ref="J526" si="1797">IFERROR((I527/I526),"-")</f>
        <v>-</v>
      </c>
      <c r="K526" s="528"/>
      <c r="L526" s="546" t="s">
        <v>37</v>
      </c>
      <c r="M526" s="711">
        <f t="shared" si="1767"/>
        <v>0</v>
      </c>
      <c r="N526" s="896" t="str">
        <f t="shared" ref="N526" si="1798">IFERROR((M527/M526),"-")</f>
        <v>-</v>
      </c>
      <c r="O526" s="528"/>
      <c r="P526" s="547">
        <v>0</v>
      </c>
      <c r="Q526" s="547">
        <v>0</v>
      </c>
      <c r="R526" s="547">
        <v>0</v>
      </c>
      <c r="S526" s="547">
        <v>0</v>
      </c>
      <c r="T526" s="547">
        <v>0</v>
      </c>
      <c r="U526" s="547">
        <v>0</v>
      </c>
      <c r="V526" s="547">
        <v>0</v>
      </c>
      <c r="W526" s="528"/>
      <c r="X526" s="711">
        <f t="shared" si="1769"/>
        <v>0</v>
      </c>
      <c r="Y526" s="896" t="str">
        <f t="shared" ref="Y526" si="1799">IFERROR((X527/X526),"0")</f>
        <v>0</v>
      </c>
      <c r="Z526" s="528"/>
      <c r="AA526" s="898">
        <v>0</v>
      </c>
      <c r="AB526" s="898">
        <v>0</v>
      </c>
      <c r="AC526" s="898">
        <v>1282.4000000000001</v>
      </c>
      <c r="AD526" s="900" t="str">
        <f t="shared" ref="AD526" si="1800">IFERROR((AC526/AB526),"-")</f>
        <v>-</v>
      </c>
      <c r="AE526" s="2"/>
      <c r="AF526" s="886">
        <v>0</v>
      </c>
      <c r="AG526" s="884"/>
      <c r="AH526" s="884">
        <v>0</v>
      </c>
      <c r="AI526" s="884"/>
      <c r="AJ526" s="884"/>
      <c r="AK526" s="884">
        <f t="shared" ref="AK526" si="1801">AF526+AG526+AH526+AI526+AJ526+AC526</f>
        <v>1282.4000000000001</v>
      </c>
      <c r="AL526" s="884">
        <v>0</v>
      </c>
      <c r="AM526" s="878" t="str">
        <f t="shared" ref="AM526" si="1802">IFERROR((AK526/AL526),"-")</f>
        <v>-</v>
      </c>
      <c r="AN526" s="2"/>
      <c r="AO526" s="884">
        <v>0</v>
      </c>
      <c r="AP526" s="884">
        <f t="shared" ref="AP526" si="1803">AO526-AK526</f>
        <v>-1282.4000000000001</v>
      </c>
      <c r="AV526" t="str">
        <f t="shared" si="1785"/>
        <v xml:space="preserve">Aterro e compactação </v>
      </c>
      <c r="AW526" s="4" t="str">
        <f t="shared" si="1776"/>
        <v>Seg. 2.2-CA 13 - Execução de aterro compactado - (PN a 95%) Acesso comunidade 110+660 a 110+920</v>
      </c>
    </row>
    <row r="527" spans="1:49" ht="15.6" customHeight="1" outlineLevel="2">
      <c r="A527" s="525" t="str">
        <f t="shared" ref="A527" si="1804">A526</f>
        <v>N</v>
      </c>
      <c r="B527" s="526"/>
      <c r="C527" s="526"/>
      <c r="D527" s="527" t="s">
        <v>793</v>
      </c>
      <c r="E527" s="930"/>
      <c r="F527" s="902"/>
      <c r="G527" s="528"/>
      <c r="H527" s="549" t="s">
        <v>38</v>
      </c>
      <c r="I527" s="711">
        <v>458</v>
      </c>
      <c r="J527" s="897"/>
      <c r="K527" s="528"/>
      <c r="L527" s="549" t="s">
        <v>38</v>
      </c>
      <c r="M527" s="711">
        <f t="shared" si="1767"/>
        <v>0</v>
      </c>
      <c r="N527" s="897"/>
      <c r="O527" s="528"/>
      <c r="P527" s="547">
        <v>0</v>
      </c>
      <c r="Q527" s="547">
        <v>0</v>
      </c>
      <c r="R527" s="547">
        <v>0</v>
      </c>
      <c r="S527" s="547">
        <v>0</v>
      </c>
      <c r="T527" s="547">
        <v>0</v>
      </c>
      <c r="U527" s="547">
        <v>0</v>
      </c>
      <c r="V527" s="547">
        <v>0</v>
      </c>
      <c r="W527" s="528"/>
      <c r="X527" s="711">
        <f t="shared" si="1769"/>
        <v>0</v>
      </c>
      <c r="Y527" s="897"/>
      <c r="Z527" s="528"/>
      <c r="AA527" s="899"/>
      <c r="AB527" s="899"/>
      <c r="AC527" s="899"/>
      <c r="AD527" s="901"/>
      <c r="AE527" s="2"/>
      <c r="AF527" s="926"/>
      <c r="AG527" s="885"/>
      <c r="AH527" s="885"/>
      <c r="AI527" s="885"/>
      <c r="AJ527" s="885"/>
      <c r="AK527" s="885"/>
      <c r="AL527" s="885"/>
      <c r="AM527" s="879"/>
      <c r="AN527" s="2"/>
      <c r="AO527" s="886"/>
      <c r="AP527" s="886"/>
      <c r="AV527" t="str">
        <f t="shared" si="1785"/>
        <v xml:space="preserve">Aterro e compactação </v>
      </c>
      <c r="AW527" s="4" t="str">
        <f t="shared" si="1776"/>
        <v>Seg. 2.2-CA 13 - Execução de aterro compactado - (PN a 95%) Acesso comunidade 110+660 a 110+920</v>
      </c>
    </row>
    <row r="528" spans="1:49" ht="15.6" customHeight="1" outlineLevel="2">
      <c r="A528" s="525" t="str">
        <f t="shared" ref="A528" si="1805">IF(SUM(P528:V529)&gt;0,"S","N")</f>
        <v>N</v>
      </c>
      <c r="B528" s="526" t="s">
        <v>266</v>
      </c>
      <c r="C528" s="526" t="s">
        <v>266</v>
      </c>
      <c r="D528" s="527" t="s">
        <v>795</v>
      </c>
      <c r="E528" s="892" t="s">
        <v>796</v>
      </c>
      <c r="F528" s="902" t="s">
        <v>36</v>
      </c>
      <c r="G528" s="528"/>
      <c r="H528" s="546" t="s">
        <v>37</v>
      </c>
      <c r="I528" s="711">
        <v>0</v>
      </c>
      <c r="J528" s="896" t="str">
        <f t="shared" ref="J528" si="1806">IFERROR((I529/I528),"-")</f>
        <v>-</v>
      </c>
      <c r="K528" s="528"/>
      <c r="L528" s="546" t="s">
        <v>37</v>
      </c>
      <c r="M528" s="711">
        <f t="shared" si="1767"/>
        <v>0</v>
      </c>
      <c r="N528" s="896" t="str">
        <f t="shared" ref="N528" si="1807">IFERROR((M529/M528),"-")</f>
        <v>-</v>
      </c>
      <c r="O528" s="528"/>
      <c r="P528" s="547">
        <v>0</v>
      </c>
      <c r="Q528" s="547">
        <v>0</v>
      </c>
      <c r="R528" s="547">
        <v>0</v>
      </c>
      <c r="S528" s="547">
        <v>0</v>
      </c>
      <c r="T528" s="547">
        <v>0</v>
      </c>
      <c r="U528" s="547">
        <v>0</v>
      </c>
      <c r="V528" s="547">
        <v>0</v>
      </c>
      <c r="W528" s="528"/>
      <c r="X528" s="711">
        <f t="shared" si="1769"/>
        <v>0</v>
      </c>
      <c r="Y528" s="896" t="str">
        <f t="shared" ref="Y528" si="1808">IFERROR((X529/X528),"0")</f>
        <v>0</v>
      </c>
      <c r="Z528" s="528"/>
      <c r="AA528" s="898">
        <v>0</v>
      </c>
      <c r="AB528" s="898">
        <v>0</v>
      </c>
      <c r="AC528" s="898">
        <v>0</v>
      </c>
      <c r="AD528" s="900" t="str">
        <f t="shared" ref="AD528" si="1809">IFERROR((AC528/AB528),"-")</f>
        <v>-</v>
      </c>
      <c r="AE528" s="2"/>
      <c r="AF528" s="886">
        <v>0</v>
      </c>
      <c r="AG528" s="884"/>
      <c r="AH528" s="884">
        <v>0</v>
      </c>
      <c r="AI528" s="884"/>
      <c r="AJ528" s="884"/>
      <c r="AK528" s="884">
        <f t="shared" ref="AK528" si="1810">AF528+AG528+AH528+AI528+AJ528+AC528</f>
        <v>0</v>
      </c>
      <c r="AL528" s="884">
        <v>0</v>
      </c>
      <c r="AM528" s="878" t="str">
        <f t="shared" ref="AM528" si="1811">IFERROR((AK528/AL528),"-")</f>
        <v>-</v>
      </c>
      <c r="AN528" s="2"/>
      <c r="AO528" s="884">
        <v>0</v>
      </c>
      <c r="AP528" s="884">
        <f t="shared" ref="AP528" si="1812">AO528-AK528</f>
        <v>0</v>
      </c>
      <c r="AV528" t="str">
        <f t="shared" si="1785"/>
        <v xml:space="preserve">Aterro e compactação </v>
      </c>
      <c r="AW528" s="4" t="str">
        <f t="shared" si="1776"/>
        <v>Corte 05 - Corpo de aterro</v>
      </c>
    </row>
    <row r="529" spans="1:49" ht="15" customHeight="1" outlineLevel="2">
      <c r="A529" s="525" t="str">
        <f t="shared" ref="A529" si="1813">A528</f>
        <v>N</v>
      </c>
      <c r="B529" s="526"/>
      <c r="C529" s="526"/>
      <c r="D529" s="527" t="s">
        <v>795</v>
      </c>
      <c r="E529" s="893"/>
      <c r="F529" s="902"/>
      <c r="G529" s="528"/>
      <c r="H529" s="549" t="s">
        <v>38</v>
      </c>
      <c r="I529" s="711">
        <v>0</v>
      </c>
      <c r="J529" s="897"/>
      <c r="K529" s="528"/>
      <c r="L529" s="549" t="s">
        <v>38</v>
      </c>
      <c r="M529" s="711">
        <f t="shared" si="1767"/>
        <v>0</v>
      </c>
      <c r="N529" s="897"/>
      <c r="O529" s="528"/>
      <c r="P529" s="547">
        <v>0</v>
      </c>
      <c r="Q529" s="547">
        <v>0</v>
      </c>
      <c r="R529" s="547">
        <v>0</v>
      </c>
      <c r="S529" s="547">
        <v>0</v>
      </c>
      <c r="T529" s="547">
        <v>0</v>
      </c>
      <c r="U529" s="547">
        <v>0</v>
      </c>
      <c r="V529" s="547">
        <v>0</v>
      </c>
      <c r="W529" s="528"/>
      <c r="X529" s="711">
        <f t="shared" si="1769"/>
        <v>0</v>
      </c>
      <c r="Y529" s="897"/>
      <c r="Z529" s="528"/>
      <c r="AA529" s="899"/>
      <c r="AB529" s="899"/>
      <c r="AC529" s="899"/>
      <c r="AD529" s="901"/>
      <c r="AE529" s="2"/>
      <c r="AF529" s="926"/>
      <c r="AG529" s="885"/>
      <c r="AH529" s="885"/>
      <c r="AI529" s="885"/>
      <c r="AJ529" s="885"/>
      <c r="AK529" s="885"/>
      <c r="AL529" s="885"/>
      <c r="AM529" s="879"/>
      <c r="AN529" s="2"/>
      <c r="AO529" s="886"/>
      <c r="AP529" s="886"/>
      <c r="AV529" t="str">
        <f t="shared" si="1785"/>
        <v xml:space="preserve">Aterro e compactação </v>
      </c>
      <c r="AW529" s="4" t="str">
        <f t="shared" si="1776"/>
        <v>Corte 05 - Corpo de aterro</v>
      </c>
    </row>
    <row r="530" spans="1:49" ht="15" customHeight="1" outlineLevel="1">
      <c r="A530" s="525" t="str">
        <f t="shared" ref="A530" si="1814">IF(SUM(P530:V531)&gt;0,"S","N")</f>
        <v>N</v>
      </c>
      <c r="B530" s="526" t="s">
        <v>266</v>
      </c>
      <c r="C530" s="526" t="s">
        <v>266</v>
      </c>
      <c r="D530" s="527" t="s">
        <v>797</v>
      </c>
      <c r="E530" s="892" t="s">
        <v>798</v>
      </c>
      <c r="F530" s="902" t="s">
        <v>36</v>
      </c>
      <c r="G530" s="528"/>
      <c r="H530" s="546" t="s">
        <v>37</v>
      </c>
      <c r="I530" s="711">
        <v>0</v>
      </c>
      <c r="J530" s="896" t="str">
        <f t="shared" ref="J530" si="1815">IFERROR((I531/I530),"-")</f>
        <v>-</v>
      </c>
      <c r="K530" s="528"/>
      <c r="L530" s="546" t="s">
        <v>37</v>
      </c>
      <c r="M530" s="711">
        <f t="shared" si="1767"/>
        <v>0</v>
      </c>
      <c r="N530" s="896" t="str">
        <f t="shared" ref="N530" si="1816">IFERROR((M531/M530),"-")</f>
        <v>-</v>
      </c>
      <c r="O530" s="528"/>
      <c r="P530" s="547">
        <v>0</v>
      </c>
      <c r="Q530" s="547">
        <v>0</v>
      </c>
      <c r="R530" s="547">
        <v>0</v>
      </c>
      <c r="S530" s="547">
        <v>0</v>
      </c>
      <c r="T530" s="547">
        <v>0</v>
      </c>
      <c r="U530" s="547">
        <v>0</v>
      </c>
      <c r="V530" s="547">
        <v>0</v>
      </c>
      <c r="W530" s="528"/>
      <c r="X530" s="711">
        <f t="shared" si="1769"/>
        <v>0</v>
      </c>
      <c r="Y530" s="896" t="str">
        <f t="shared" ref="Y530" si="1817">IFERROR((X531/X530),"0")</f>
        <v>0</v>
      </c>
      <c r="Z530" s="528"/>
      <c r="AA530" s="898">
        <v>0</v>
      </c>
      <c r="AB530" s="898">
        <v>0</v>
      </c>
      <c r="AC530" s="898">
        <v>0</v>
      </c>
      <c r="AD530" s="900" t="str">
        <f t="shared" ref="AD530" si="1818">IFERROR((AC530/AB530),"-")</f>
        <v>-</v>
      </c>
      <c r="AE530" s="2"/>
      <c r="AF530" s="886">
        <v>0</v>
      </c>
      <c r="AG530" s="884"/>
      <c r="AH530" s="884">
        <v>0</v>
      </c>
      <c r="AI530" s="884"/>
      <c r="AJ530" s="884"/>
      <c r="AK530" s="884">
        <f t="shared" ref="AK530" si="1819">AF530+AG530+AH530+AI530+AJ530+AC530</f>
        <v>0</v>
      </c>
      <c r="AL530" s="884">
        <v>0</v>
      </c>
      <c r="AM530" s="878" t="str">
        <f t="shared" ref="AM530" si="1820">IFERROR((AK530/AL530),"-")</f>
        <v>-</v>
      </c>
      <c r="AN530" s="2"/>
      <c r="AO530" s="884">
        <v>0</v>
      </c>
      <c r="AP530" s="884">
        <f t="shared" ref="AP530" si="1821">AO530-AK530</f>
        <v>0</v>
      </c>
      <c r="AV530" t="str">
        <f t="shared" si="1785"/>
        <v xml:space="preserve">Aterro e compactação </v>
      </c>
      <c r="AW530" s="4" t="str">
        <f t="shared" si="1776"/>
        <v>Corte 13 - Corpo de aterro</v>
      </c>
    </row>
    <row r="531" spans="1:49" ht="15.6" customHeight="1" outlineLevel="1">
      <c r="A531" s="525" t="str">
        <f t="shared" ref="A531" si="1822">A530</f>
        <v>N</v>
      </c>
      <c r="B531" s="526"/>
      <c r="C531" s="526"/>
      <c r="D531" s="527" t="s">
        <v>797</v>
      </c>
      <c r="E531" s="893"/>
      <c r="F531" s="902"/>
      <c r="G531" s="528"/>
      <c r="H531" s="549" t="s">
        <v>38</v>
      </c>
      <c r="I531" s="711">
        <v>0</v>
      </c>
      <c r="J531" s="897"/>
      <c r="K531" s="528"/>
      <c r="L531" s="549" t="s">
        <v>38</v>
      </c>
      <c r="M531" s="711">
        <f t="shared" si="1767"/>
        <v>0</v>
      </c>
      <c r="N531" s="897"/>
      <c r="O531" s="528"/>
      <c r="P531" s="547">
        <v>0</v>
      </c>
      <c r="Q531" s="547">
        <v>0</v>
      </c>
      <c r="R531" s="547">
        <v>0</v>
      </c>
      <c r="S531" s="547">
        <v>0</v>
      </c>
      <c r="T531" s="547">
        <v>0</v>
      </c>
      <c r="U531" s="547">
        <v>0</v>
      </c>
      <c r="V531" s="547">
        <v>0</v>
      </c>
      <c r="W531" s="528"/>
      <c r="X531" s="711">
        <f t="shared" si="1769"/>
        <v>0</v>
      </c>
      <c r="Y531" s="897"/>
      <c r="Z531" s="528"/>
      <c r="AA531" s="899"/>
      <c r="AB531" s="899"/>
      <c r="AC531" s="899"/>
      <c r="AD531" s="901"/>
      <c r="AE531" s="2"/>
      <c r="AF531" s="926"/>
      <c r="AG531" s="885"/>
      <c r="AH531" s="885"/>
      <c r="AI531" s="885"/>
      <c r="AJ531" s="885"/>
      <c r="AK531" s="885"/>
      <c r="AL531" s="885"/>
      <c r="AM531" s="879"/>
      <c r="AN531" s="2"/>
      <c r="AO531" s="886"/>
      <c r="AP531" s="886"/>
      <c r="AV531" t="str">
        <f t="shared" si="1785"/>
        <v xml:space="preserve">Aterro e compactação </v>
      </c>
      <c r="AW531" s="4" t="str">
        <f t="shared" si="1776"/>
        <v>Corte 13 - Corpo de aterro</v>
      </c>
    </row>
    <row r="532" spans="1:49" ht="15.6" customHeight="1" outlineLevel="1">
      <c r="A532" s="525">
        <v>0</v>
      </c>
      <c r="B532" s="526"/>
      <c r="C532" s="526"/>
      <c r="D532" s="534"/>
      <c r="E532" s="535"/>
      <c r="F532" s="536"/>
      <c r="G532" s="537"/>
      <c r="H532" s="714"/>
      <c r="I532" s="555"/>
      <c r="J532" s="714"/>
      <c r="K532" s="537"/>
      <c r="L532" s="714"/>
      <c r="M532" s="555"/>
      <c r="N532" s="714"/>
      <c r="O532" s="537"/>
      <c r="P532" s="539"/>
      <c r="Q532" s="539"/>
      <c r="R532" s="539"/>
      <c r="S532" s="539"/>
      <c r="T532" s="539"/>
      <c r="U532" s="539"/>
      <c r="V532" s="539"/>
      <c r="W532" s="537"/>
      <c r="X532" s="540"/>
      <c r="Y532" s="537"/>
      <c r="Z532" s="537"/>
      <c r="AA532" s="249"/>
      <c r="AB532" s="249"/>
      <c r="AC532" s="249"/>
      <c r="AD532" s="537"/>
      <c r="AE532" s="3"/>
      <c r="AF532" s="35"/>
      <c r="AG532" s="35"/>
      <c r="AH532" s="35"/>
      <c r="AI532" s="35"/>
      <c r="AJ532" s="35"/>
      <c r="AK532" s="35"/>
      <c r="AL532" s="35"/>
      <c r="AM532" s="3"/>
      <c r="AN532" s="3"/>
      <c r="AO532" s="35"/>
      <c r="AP532" s="35"/>
      <c r="AV532" t="str">
        <f t="shared" si="1785"/>
        <v xml:space="preserve">Aterro e compactação </v>
      </c>
      <c r="AW532" s="4" t="str">
        <f t="shared" si="1776"/>
        <v>Corte 13 - Corpo de aterro</v>
      </c>
    </row>
    <row r="533" spans="1:49" ht="15.6" customHeight="1" outlineLevel="2">
      <c r="A533" s="525">
        <v>0</v>
      </c>
      <c r="B533" s="526"/>
      <c r="C533" s="526"/>
      <c r="D533" s="557"/>
      <c r="E533" s="933" t="s">
        <v>41</v>
      </c>
      <c r="F533" s="868" t="s">
        <v>36</v>
      </c>
      <c r="G533" s="528"/>
      <c r="H533" s="542" t="s">
        <v>37</v>
      </c>
      <c r="I533" s="543">
        <f>SUMIF($L535:$L646,$L533,I535:I646)</f>
        <v>10466</v>
      </c>
      <c r="J533" s="860">
        <f>IFERROR((I534/I533),"-")</f>
        <v>0.25468755971717949</v>
      </c>
      <c r="K533" s="528"/>
      <c r="L533" s="542" t="s">
        <v>37</v>
      </c>
      <c r="M533" s="543">
        <f>SUMIF($L535:$L650,$L533,M535:M650)</f>
        <v>2940</v>
      </c>
      <c r="N533" s="860">
        <f>IFERROR((M534/M533),"-")</f>
        <v>0.37076190476190474</v>
      </c>
      <c r="O533" s="528"/>
      <c r="P533" s="543">
        <f t="shared" ref="P533:V533" si="1823">SUMIF($L535:$L650,$L533,P535:P650)</f>
        <v>2940</v>
      </c>
      <c r="Q533" s="543">
        <f t="shared" si="1823"/>
        <v>2940</v>
      </c>
      <c r="R533" s="543">
        <f t="shared" si="1823"/>
        <v>2940</v>
      </c>
      <c r="S533" s="543">
        <f t="shared" si="1823"/>
        <v>2940</v>
      </c>
      <c r="T533" s="543">
        <f t="shared" si="1823"/>
        <v>2520</v>
      </c>
      <c r="U533" s="543">
        <f t="shared" si="1823"/>
        <v>2520</v>
      </c>
      <c r="V533" s="543">
        <f t="shared" si="1823"/>
        <v>0</v>
      </c>
      <c r="W533" s="528"/>
      <c r="X533" s="543">
        <f t="shared" ref="X533:X578" si="1824">SUMIFS(P533:V533,$P$8:$V$8,"&gt;="&amp;$P$8,$P$8:$V$8,"&lt;="&amp;$N$8)</f>
        <v>5880</v>
      </c>
      <c r="Y533" s="860">
        <f>IFERROR((X534/X533),"-")</f>
        <v>0.18538095238095237</v>
      </c>
      <c r="Z533" s="528"/>
      <c r="AA533" s="814">
        <f>SUM(AA535:AA650)</f>
        <v>32525.850000000006</v>
      </c>
      <c r="AB533" s="814">
        <f>SUM(AB535:AB650)</f>
        <v>9128.1200000000008</v>
      </c>
      <c r="AC533" s="814">
        <f>SUM(AC535:AC650)</f>
        <v>7437.92</v>
      </c>
      <c r="AD533" s="911">
        <f t="shared" ref="AD533" si="1825">IFERROR((AC533/AB533),"-")</f>
        <v>0.81483591363829566</v>
      </c>
      <c r="AE533" s="2"/>
      <c r="AF533" s="888">
        <f t="shared" ref="AF533:AL533" si="1826">SUM(AF535:AF650)</f>
        <v>1375871.3419999999</v>
      </c>
      <c r="AG533" s="888">
        <f t="shared" si="1826"/>
        <v>0</v>
      </c>
      <c r="AH533" s="888">
        <f t="shared" si="1826"/>
        <v>0</v>
      </c>
      <c r="AI533" s="888">
        <f t="shared" si="1826"/>
        <v>0</v>
      </c>
      <c r="AJ533" s="888">
        <f t="shared" ref="AJ533" si="1827">SUM(AJ535:AJ650)</f>
        <v>0</v>
      </c>
      <c r="AK533" s="888">
        <f t="shared" si="1826"/>
        <v>1383309.2619999999</v>
      </c>
      <c r="AL533" s="888">
        <f t="shared" si="1826"/>
        <v>593375.59</v>
      </c>
      <c r="AM533" s="743">
        <f>IFERROR((AK533/AL533),"-")</f>
        <v>2.331254074674693</v>
      </c>
      <c r="AN533" s="2"/>
      <c r="AO533" s="888">
        <f>SUM(AO535:AO650)</f>
        <v>632014.59</v>
      </c>
      <c r="AP533" s="888">
        <f>SUM(AP535:AP650)</f>
        <v>-751294.67200000014</v>
      </c>
      <c r="AV533" t="str">
        <f t="shared" si="1785"/>
        <v xml:space="preserve">Aterro e compactação </v>
      </c>
      <c r="AW533" s="4" t="str">
        <f t="shared" si="1776"/>
        <v>Pacote 04 - Segmento 2.3 - Km 116+517 a 131+241</v>
      </c>
    </row>
    <row r="534" spans="1:49" ht="15.6" customHeight="1" outlineLevel="2">
      <c r="A534" s="525">
        <v>0</v>
      </c>
      <c r="B534" s="526"/>
      <c r="C534" s="526"/>
      <c r="D534" s="558"/>
      <c r="E534" s="934"/>
      <c r="F534" s="869"/>
      <c r="G534" s="528"/>
      <c r="H534" s="544" t="s">
        <v>38</v>
      </c>
      <c r="I534" s="543">
        <f>SUMIF($L535:$L646,$L534,I535:I646)</f>
        <v>2665.5600000000004</v>
      </c>
      <c r="J534" s="861"/>
      <c r="K534" s="528"/>
      <c r="L534" s="544" t="s">
        <v>38</v>
      </c>
      <c r="M534" s="543">
        <f>SUMIF($L535:$L650,$L534,M535:M650)</f>
        <v>1090.04</v>
      </c>
      <c r="N534" s="861"/>
      <c r="O534" s="528"/>
      <c r="P534" s="543">
        <f t="shared" ref="P534:V534" si="1828">SUMIF($L535:$L650,$L534,P535:P650)</f>
        <v>0</v>
      </c>
      <c r="Q534" s="543">
        <f t="shared" si="1828"/>
        <v>1090.04</v>
      </c>
      <c r="R534" s="543">
        <f t="shared" si="1828"/>
        <v>0</v>
      </c>
      <c r="S534" s="543">
        <f t="shared" si="1828"/>
        <v>0</v>
      </c>
      <c r="T534" s="543">
        <f t="shared" si="1828"/>
        <v>0</v>
      </c>
      <c r="U534" s="543">
        <f t="shared" si="1828"/>
        <v>0</v>
      </c>
      <c r="V534" s="543">
        <f t="shared" si="1828"/>
        <v>0</v>
      </c>
      <c r="W534" s="528"/>
      <c r="X534" s="543">
        <f t="shared" si="1824"/>
        <v>1090.04</v>
      </c>
      <c r="Y534" s="861"/>
      <c r="Z534" s="528"/>
      <c r="AA534" s="815"/>
      <c r="AB534" s="815"/>
      <c r="AC534" s="815"/>
      <c r="AD534" s="912"/>
      <c r="AE534" s="2"/>
      <c r="AF534" s="889"/>
      <c r="AG534" s="889"/>
      <c r="AH534" s="889"/>
      <c r="AI534" s="889"/>
      <c r="AJ534" s="889"/>
      <c r="AK534" s="889"/>
      <c r="AL534" s="889"/>
      <c r="AM534" s="744"/>
      <c r="AN534" s="2"/>
      <c r="AO534" s="889"/>
      <c r="AP534" s="889"/>
      <c r="AV534" t="str">
        <f t="shared" si="1785"/>
        <v xml:space="preserve">Aterro e compactação </v>
      </c>
      <c r="AW534" s="4" t="str">
        <f t="shared" si="1776"/>
        <v>Pacote 04 - Segmento 2.3 - Km 116+517 a 131+241</v>
      </c>
    </row>
    <row r="535" spans="1:49" ht="15.6" customHeight="1" outlineLevel="2">
      <c r="A535" s="545" t="str">
        <f t="shared" ref="A535" si="1829">IF(SUM(P535:V536)&gt;0,"S","N")</f>
        <v>N</v>
      </c>
      <c r="B535" s="526">
        <v>1058891</v>
      </c>
      <c r="C535" s="526" t="s">
        <v>799</v>
      </c>
      <c r="D535" s="527" t="s">
        <v>301</v>
      </c>
      <c r="E535" s="892" t="s">
        <v>800</v>
      </c>
      <c r="F535" s="894" t="s">
        <v>36</v>
      </c>
      <c r="G535" s="528"/>
      <c r="H535" s="546" t="s">
        <v>37</v>
      </c>
      <c r="I535" s="711">
        <v>0</v>
      </c>
      <c r="J535" s="896" t="str">
        <f t="shared" ref="J535" si="1830">IFERROR((I536/I535),"-")</f>
        <v>-</v>
      </c>
      <c r="K535" s="528"/>
      <c r="L535" s="546" t="s">
        <v>37</v>
      </c>
      <c r="M535" s="711">
        <f t="shared" ref="M535:M578" si="1831">_xlfn.XLOOKUP($N$8,$P$8:$V$8,$P535:$V535)</f>
        <v>0</v>
      </c>
      <c r="N535" s="896" t="str">
        <f t="shared" ref="N535" si="1832">IFERROR((M536/M535),"-")</f>
        <v>-</v>
      </c>
      <c r="O535" s="528"/>
      <c r="P535" s="547">
        <v>0</v>
      </c>
      <c r="Q535" s="547">
        <v>0</v>
      </c>
      <c r="R535" s="547">
        <v>0</v>
      </c>
      <c r="S535" s="547">
        <v>0</v>
      </c>
      <c r="T535" s="547">
        <v>0</v>
      </c>
      <c r="U535" s="547">
        <v>0</v>
      </c>
      <c r="V535" s="547">
        <v>0</v>
      </c>
      <c r="W535" s="528"/>
      <c r="X535" s="711">
        <f t="shared" si="1824"/>
        <v>0</v>
      </c>
      <c r="Y535" s="896" t="str">
        <f>IFERROR((X536/X535),"0")</f>
        <v>0</v>
      </c>
      <c r="Z535" s="528"/>
      <c r="AA535" s="898">
        <v>1392.32</v>
      </c>
      <c r="AB535" s="898">
        <v>1392.3200000000002</v>
      </c>
      <c r="AC535" s="898">
        <v>0</v>
      </c>
      <c r="AD535" s="900">
        <f t="shared" ref="AD535" si="1833">IFERROR((AC535/AB535),"-")</f>
        <v>0</v>
      </c>
      <c r="AE535" s="2"/>
      <c r="AF535" s="886">
        <v>0</v>
      </c>
      <c r="AG535" s="884"/>
      <c r="AH535" s="884">
        <v>0</v>
      </c>
      <c r="AI535" s="884"/>
      <c r="AJ535" s="884"/>
      <c r="AK535" s="884">
        <f t="shared" ref="AK535" si="1834">AF535+AG535+AH535+AI535+AJ535+AC535</f>
        <v>0</v>
      </c>
      <c r="AL535" s="884">
        <v>1392.3200000000002</v>
      </c>
      <c r="AM535" s="878">
        <f t="shared" ref="AM535" si="1835">IFERROR((AK535/AL535),"-")</f>
        <v>0</v>
      </c>
      <c r="AN535" s="2"/>
      <c r="AO535" s="884">
        <v>1392.32</v>
      </c>
      <c r="AP535" s="884">
        <f t="shared" ref="AP535" si="1836">AO535-AK535</f>
        <v>1392.32</v>
      </c>
      <c r="AV535" t="str">
        <f t="shared" si="1785"/>
        <v xml:space="preserve">Aterro e compactação </v>
      </c>
      <c r="AW535" s="4" t="str">
        <f t="shared" si="1776"/>
        <v xml:space="preserve">   Excecução de aterro compactado - Seg.2.3 acesso km 118+158</v>
      </c>
    </row>
    <row r="536" spans="1:49" ht="15.6" customHeight="1" outlineLevel="2">
      <c r="A536" s="545" t="str">
        <f t="shared" ref="A536" si="1837">A535</f>
        <v>N</v>
      </c>
      <c r="B536" s="526"/>
      <c r="C536" s="526"/>
      <c r="D536" s="527" t="s">
        <v>301</v>
      </c>
      <c r="E536" s="893"/>
      <c r="F536" s="895"/>
      <c r="G536" s="528"/>
      <c r="H536" s="549" t="s">
        <v>38</v>
      </c>
      <c r="I536" s="711">
        <v>0</v>
      </c>
      <c r="J536" s="897"/>
      <c r="K536" s="528"/>
      <c r="L536" s="549" t="s">
        <v>38</v>
      </c>
      <c r="M536" s="711">
        <f t="shared" si="1831"/>
        <v>0</v>
      </c>
      <c r="N536" s="897"/>
      <c r="O536" s="528"/>
      <c r="P536" s="547">
        <v>0</v>
      </c>
      <c r="Q536" s="547">
        <v>0</v>
      </c>
      <c r="R536" s="547">
        <v>0</v>
      </c>
      <c r="S536" s="547">
        <v>0</v>
      </c>
      <c r="T536" s="547">
        <v>0</v>
      </c>
      <c r="U536" s="547">
        <v>0</v>
      </c>
      <c r="V536" s="547">
        <v>0</v>
      </c>
      <c r="W536" s="528"/>
      <c r="X536" s="711">
        <f t="shared" si="1824"/>
        <v>0</v>
      </c>
      <c r="Y536" s="897"/>
      <c r="Z536" s="528"/>
      <c r="AA536" s="899"/>
      <c r="AB536" s="899"/>
      <c r="AC536" s="899"/>
      <c r="AD536" s="901"/>
      <c r="AE536" s="2"/>
      <c r="AF536" s="926"/>
      <c r="AG536" s="885"/>
      <c r="AH536" s="885"/>
      <c r="AI536" s="885"/>
      <c r="AJ536" s="885"/>
      <c r="AK536" s="885"/>
      <c r="AL536" s="885"/>
      <c r="AM536" s="879"/>
      <c r="AN536" s="2"/>
      <c r="AO536" s="886"/>
      <c r="AP536" s="886"/>
      <c r="AV536" t="str">
        <f t="shared" si="1785"/>
        <v xml:space="preserve">Aterro e compactação </v>
      </c>
      <c r="AW536" s="4" t="str">
        <f t="shared" si="1776"/>
        <v xml:space="preserve">   Excecução de aterro compactado - Seg.2.3 acesso km 118+158</v>
      </c>
    </row>
    <row r="537" spans="1:49" ht="15.6" customHeight="1" outlineLevel="2">
      <c r="A537" s="545" t="str">
        <f t="shared" ref="A537" si="1838">IF(SUM(P537:V538)&gt;0,"S","N")</f>
        <v>N</v>
      </c>
      <c r="B537" s="526">
        <v>1058894</v>
      </c>
      <c r="C537" s="526" t="s">
        <v>801</v>
      </c>
      <c r="D537" s="527" t="s">
        <v>304</v>
      </c>
      <c r="E537" s="892" t="s">
        <v>802</v>
      </c>
      <c r="F537" s="894" t="s">
        <v>36</v>
      </c>
      <c r="G537" s="528"/>
      <c r="H537" s="546" t="s">
        <v>37</v>
      </c>
      <c r="I537" s="711">
        <v>0</v>
      </c>
      <c r="J537" s="896" t="str">
        <f t="shared" ref="J537" si="1839">IFERROR((I538/I537),"-")</f>
        <v>-</v>
      </c>
      <c r="K537" s="528"/>
      <c r="L537" s="546" t="s">
        <v>37</v>
      </c>
      <c r="M537" s="711">
        <f t="shared" si="1831"/>
        <v>0</v>
      </c>
      <c r="N537" s="896" t="str">
        <f t="shared" ref="N537" si="1840">IFERROR((M538/M537),"-")</f>
        <v>-</v>
      </c>
      <c r="O537" s="528"/>
      <c r="P537" s="547">
        <v>0</v>
      </c>
      <c r="Q537" s="547">
        <v>0</v>
      </c>
      <c r="R537" s="547">
        <v>0</v>
      </c>
      <c r="S537" s="547">
        <v>0</v>
      </c>
      <c r="T537" s="547">
        <v>0</v>
      </c>
      <c r="U537" s="547">
        <v>0</v>
      </c>
      <c r="V537" s="547">
        <v>0</v>
      </c>
      <c r="W537" s="528"/>
      <c r="X537" s="711">
        <f t="shared" si="1824"/>
        <v>0</v>
      </c>
      <c r="Y537" s="896" t="str">
        <f>IFERROR((X538/X537),"0")</f>
        <v>0</v>
      </c>
      <c r="Z537" s="528"/>
      <c r="AA537" s="898">
        <v>1842.89</v>
      </c>
      <c r="AB537" s="898">
        <v>1842.8899999999999</v>
      </c>
      <c r="AC537" s="898">
        <v>0</v>
      </c>
      <c r="AD537" s="900">
        <f t="shared" ref="AD537" si="1841">IFERROR((AC537/AB537),"-")</f>
        <v>0</v>
      </c>
      <c r="AE537" s="2"/>
      <c r="AF537" s="886">
        <v>0</v>
      </c>
      <c r="AG537" s="884"/>
      <c r="AH537" s="884">
        <v>0</v>
      </c>
      <c r="AI537" s="884"/>
      <c r="AJ537" s="884"/>
      <c r="AK537" s="884">
        <f t="shared" ref="AK537" si="1842">AF537+AG537+AH537+AI537+AJ537+AC537</f>
        <v>0</v>
      </c>
      <c r="AL537" s="884">
        <v>1842.8899999999999</v>
      </c>
      <c r="AM537" s="878">
        <f t="shared" ref="AM537" si="1843">IFERROR((AK537/AL537),"-")</f>
        <v>0</v>
      </c>
      <c r="AN537" s="2"/>
      <c r="AO537" s="884">
        <v>1842.89</v>
      </c>
      <c r="AP537" s="884">
        <f t="shared" ref="AP537" si="1844">AO537-AK537</f>
        <v>1842.89</v>
      </c>
      <c r="AV537" t="str">
        <f t="shared" si="1785"/>
        <v xml:space="preserve">Aterro e compactação </v>
      </c>
      <c r="AW537" s="4" t="str">
        <f t="shared" si="1776"/>
        <v xml:space="preserve">   Excecução de aterro compactado - Seg.2.3 acesso km 120+026</v>
      </c>
    </row>
    <row r="538" spans="1:49" ht="15.6" customHeight="1" outlineLevel="2">
      <c r="A538" s="545" t="str">
        <f t="shared" ref="A538" si="1845">A537</f>
        <v>N</v>
      </c>
      <c r="B538" s="526"/>
      <c r="C538" s="526"/>
      <c r="D538" s="527" t="s">
        <v>304</v>
      </c>
      <c r="E538" s="893"/>
      <c r="F538" s="895"/>
      <c r="G538" s="528"/>
      <c r="H538" s="549" t="s">
        <v>38</v>
      </c>
      <c r="I538" s="711">
        <v>0</v>
      </c>
      <c r="J538" s="897"/>
      <c r="K538" s="528"/>
      <c r="L538" s="549" t="s">
        <v>38</v>
      </c>
      <c r="M538" s="711">
        <f t="shared" si="1831"/>
        <v>0</v>
      </c>
      <c r="N538" s="897"/>
      <c r="O538" s="528"/>
      <c r="P538" s="547">
        <v>0</v>
      </c>
      <c r="Q538" s="547">
        <v>0</v>
      </c>
      <c r="R538" s="547">
        <v>0</v>
      </c>
      <c r="S538" s="547">
        <v>0</v>
      </c>
      <c r="T538" s="547">
        <v>0</v>
      </c>
      <c r="U538" s="547">
        <v>0</v>
      </c>
      <c r="V538" s="547">
        <v>0</v>
      </c>
      <c r="W538" s="528"/>
      <c r="X538" s="711">
        <f t="shared" si="1824"/>
        <v>0</v>
      </c>
      <c r="Y538" s="897"/>
      <c r="Z538" s="528"/>
      <c r="AA538" s="899"/>
      <c r="AB538" s="899"/>
      <c r="AC538" s="899"/>
      <c r="AD538" s="901"/>
      <c r="AE538" s="2"/>
      <c r="AF538" s="926"/>
      <c r="AG538" s="885"/>
      <c r="AH538" s="885"/>
      <c r="AI538" s="885"/>
      <c r="AJ538" s="885"/>
      <c r="AK538" s="885"/>
      <c r="AL538" s="885"/>
      <c r="AM538" s="879"/>
      <c r="AN538" s="2"/>
      <c r="AO538" s="886"/>
      <c r="AP538" s="886"/>
      <c r="AV538" t="str">
        <f t="shared" si="1785"/>
        <v xml:space="preserve">Aterro e compactação </v>
      </c>
      <c r="AW538" s="4" t="str">
        <f t="shared" si="1776"/>
        <v xml:space="preserve">   Excecução de aterro compactado - Seg.2.3 acesso km 120+026</v>
      </c>
    </row>
    <row r="539" spans="1:49" ht="15.6" customHeight="1" outlineLevel="2">
      <c r="A539" s="545" t="str">
        <f t="shared" ref="A539" si="1846">IF(SUM(P539:V540)&gt;0,"S","N")</f>
        <v>N</v>
      </c>
      <c r="B539" s="526">
        <v>1058903</v>
      </c>
      <c r="C539" s="526" t="s">
        <v>803</v>
      </c>
      <c r="D539" s="527" t="s">
        <v>804</v>
      </c>
      <c r="E539" s="892" t="s">
        <v>805</v>
      </c>
      <c r="F539" s="894" t="s">
        <v>36</v>
      </c>
      <c r="G539" s="528"/>
      <c r="H539" s="546" t="s">
        <v>37</v>
      </c>
      <c r="I539" s="711">
        <v>0</v>
      </c>
      <c r="J539" s="896" t="str">
        <f t="shared" ref="J539" si="1847">IFERROR((I540/I539),"-")</f>
        <v>-</v>
      </c>
      <c r="K539" s="528"/>
      <c r="L539" s="546" t="s">
        <v>37</v>
      </c>
      <c r="M539" s="711">
        <f t="shared" si="1831"/>
        <v>0</v>
      </c>
      <c r="N539" s="896" t="str">
        <f t="shared" ref="N539" si="1848">IFERROR((M540/M539),"-")</f>
        <v>-</v>
      </c>
      <c r="O539" s="528"/>
      <c r="P539" s="547">
        <v>0</v>
      </c>
      <c r="Q539" s="547">
        <v>0</v>
      </c>
      <c r="R539" s="547">
        <v>0</v>
      </c>
      <c r="S539" s="547">
        <v>0</v>
      </c>
      <c r="T539" s="547">
        <v>0</v>
      </c>
      <c r="U539" s="547">
        <v>0</v>
      </c>
      <c r="V539" s="547">
        <v>0</v>
      </c>
      <c r="W539" s="528"/>
      <c r="X539" s="711">
        <f t="shared" si="1824"/>
        <v>0</v>
      </c>
      <c r="Y539" s="896" t="str">
        <f>IFERROR((X540/X539),"0")</f>
        <v>0</v>
      </c>
      <c r="Z539" s="528"/>
      <c r="AA539" s="898">
        <v>0</v>
      </c>
      <c r="AB539" s="898">
        <v>0</v>
      </c>
      <c r="AC539" s="898">
        <v>0</v>
      </c>
      <c r="AD539" s="900" t="str">
        <f t="shared" ref="AD539" si="1849">IFERROR((AC539/AB539),"-")</f>
        <v>-</v>
      </c>
      <c r="AE539" s="2"/>
      <c r="AF539" s="886">
        <v>2953</v>
      </c>
      <c r="AG539" s="884"/>
      <c r="AH539" s="884">
        <v>0</v>
      </c>
      <c r="AI539" s="884"/>
      <c r="AJ539" s="884"/>
      <c r="AK539" s="884">
        <f t="shared" ref="AK539" si="1850">AF539+AG539+AH539+AI539+AJ539+AC539</f>
        <v>2953</v>
      </c>
      <c r="AL539" s="884">
        <v>2953</v>
      </c>
      <c r="AM539" s="878">
        <f t="shared" ref="AM539" si="1851">IFERROR((AK539/AL539),"-")</f>
        <v>1</v>
      </c>
      <c r="AN539" s="2"/>
      <c r="AO539" s="884">
        <v>2953</v>
      </c>
      <c r="AP539" s="884">
        <f t="shared" ref="AP539" si="1852">AO539-AK539</f>
        <v>0</v>
      </c>
      <c r="AV539" t="str">
        <f t="shared" si="1785"/>
        <v xml:space="preserve">Aterro e compactação </v>
      </c>
      <c r="AW539" s="4" t="str">
        <f t="shared" si="1776"/>
        <v xml:space="preserve">   Excecução de aterro compactado - Seg.2.3 acesso km 126+595</v>
      </c>
    </row>
    <row r="540" spans="1:49" ht="15.6" customHeight="1" outlineLevel="2">
      <c r="A540" s="545" t="str">
        <f t="shared" ref="A540" si="1853">A539</f>
        <v>N</v>
      </c>
      <c r="B540" s="526"/>
      <c r="C540" s="526"/>
      <c r="D540" s="527" t="s">
        <v>804</v>
      </c>
      <c r="E540" s="893"/>
      <c r="F540" s="895"/>
      <c r="G540" s="528"/>
      <c r="H540" s="549" t="s">
        <v>38</v>
      </c>
      <c r="I540" s="711">
        <v>0</v>
      </c>
      <c r="J540" s="897"/>
      <c r="K540" s="528"/>
      <c r="L540" s="549" t="s">
        <v>38</v>
      </c>
      <c r="M540" s="711">
        <f t="shared" si="1831"/>
        <v>0</v>
      </c>
      <c r="N540" s="897"/>
      <c r="O540" s="528"/>
      <c r="P540" s="547">
        <v>0</v>
      </c>
      <c r="Q540" s="547">
        <v>0</v>
      </c>
      <c r="R540" s="547">
        <v>0</v>
      </c>
      <c r="S540" s="547">
        <v>0</v>
      </c>
      <c r="T540" s="547">
        <v>0</v>
      </c>
      <c r="U540" s="547">
        <v>0</v>
      </c>
      <c r="V540" s="547">
        <v>0</v>
      </c>
      <c r="W540" s="528"/>
      <c r="X540" s="711">
        <f t="shared" si="1824"/>
        <v>0</v>
      </c>
      <c r="Y540" s="897"/>
      <c r="Z540" s="528"/>
      <c r="AA540" s="899"/>
      <c r="AB540" s="899"/>
      <c r="AC540" s="899"/>
      <c r="AD540" s="901"/>
      <c r="AE540" s="2"/>
      <c r="AF540" s="926"/>
      <c r="AG540" s="885"/>
      <c r="AH540" s="885"/>
      <c r="AI540" s="885"/>
      <c r="AJ540" s="885"/>
      <c r="AK540" s="885"/>
      <c r="AL540" s="885"/>
      <c r="AM540" s="879"/>
      <c r="AN540" s="2"/>
      <c r="AO540" s="886"/>
      <c r="AP540" s="886"/>
      <c r="AV540" t="str">
        <f t="shared" si="1785"/>
        <v xml:space="preserve">Aterro e compactação </v>
      </c>
      <c r="AW540" s="4" t="str">
        <f t="shared" si="1776"/>
        <v xml:space="preserve">   Excecução de aterro compactado - Seg.2.3 acesso km 126+595</v>
      </c>
    </row>
    <row r="541" spans="1:49" ht="15.6" customHeight="1" outlineLevel="2">
      <c r="A541" s="545" t="str">
        <f t="shared" ref="A541" si="1854">IF(SUM(P541:V542)&gt;0,"S","N")</f>
        <v>N</v>
      </c>
      <c r="B541" s="526">
        <v>1058909</v>
      </c>
      <c r="C541" s="526" t="s">
        <v>806</v>
      </c>
      <c r="D541" s="527" t="s">
        <v>310</v>
      </c>
      <c r="E541" s="892" t="s">
        <v>807</v>
      </c>
      <c r="F541" s="894" t="s">
        <v>36</v>
      </c>
      <c r="G541" s="528"/>
      <c r="H541" s="546" t="s">
        <v>37</v>
      </c>
      <c r="I541" s="711">
        <v>0</v>
      </c>
      <c r="J541" s="896" t="str">
        <f t="shared" ref="J541" si="1855">IFERROR((I542/I541),"-")</f>
        <v>-</v>
      </c>
      <c r="K541" s="528"/>
      <c r="L541" s="546" t="s">
        <v>37</v>
      </c>
      <c r="M541" s="711">
        <f t="shared" si="1831"/>
        <v>0</v>
      </c>
      <c r="N541" s="896" t="str">
        <f t="shared" ref="N541" si="1856">IFERROR((M542/M541),"-")</f>
        <v>-</v>
      </c>
      <c r="O541" s="528"/>
      <c r="P541" s="547">
        <v>0</v>
      </c>
      <c r="Q541" s="547">
        <v>0</v>
      </c>
      <c r="R541" s="547">
        <v>0</v>
      </c>
      <c r="S541" s="547">
        <v>0</v>
      </c>
      <c r="T541" s="547">
        <v>0</v>
      </c>
      <c r="U541" s="547">
        <v>0</v>
      </c>
      <c r="V541" s="547">
        <v>0</v>
      </c>
      <c r="W541" s="528"/>
      <c r="X541" s="711">
        <f t="shared" si="1824"/>
        <v>0</v>
      </c>
      <c r="Y541" s="896" t="str">
        <f t="shared" ref="Y541" si="1857">IFERROR((X542/X541),"0")</f>
        <v>0</v>
      </c>
      <c r="Z541" s="528"/>
      <c r="AA541" s="898">
        <v>8522</v>
      </c>
      <c r="AB541" s="898">
        <v>0</v>
      </c>
      <c r="AC541" s="898">
        <v>0</v>
      </c>
      <c r="AD541" s="900" t="str">
        <f t="shared" ref="AD541" si="1858">IFERROR((AC541/AB541),"-")</f>
        <v>-</v>
      </c>
      <c r="AE541" s="2"/>
      <c r="AF541" s="886">
        <v>6492</v>
      </c>
      <c r="AG541" s="884"/>
      <c r="AH541" s="884">
        <v>0</v>
      </c>
      <c r="AI541" s="884"/>
      <c r="AJ541" s="884"/>
      <c r="AK541" s="884">
        <f t="shared" ref="AK541" si="1859">AF541+AG541+AH541+AI541+AJ541+AC541</f>
        <v>6492</v>
      </c>
      <c r="AL541" s="884">
        <v>0</v>
      </c>
      <c r="AM541" s="878" t="str">
        <f t="shared" ref="AM541" si="1860">IFERROR((AK541/AL541),"-")</f>
        <v>-</v>
      </c>
      <c r="AN541" s="2"/>
      <c r="AO541" s="884">
        <v>8522</v>
      </c>
      <c r="AP541" s="884">
        <f t="shared" ref="AP541" si="1861">AO541-AK541</f>
        <v>2030</v>
      </c>
      <c r="AV541" t="str">
        <f t="shared" si="1785"/>
        <v xml:space="preserve">Aterro e compactação </v>
      </c>
      <c r="AW541" s="4" t="str">
        <f t="shared" si="1776"/>
        <v xml:space="preserve">   Excecução de aterro compactado - Seg.2.3 acesso km 129+151</v>
      </c>
    </row>
    <row r="542" spans="1:49" ht="15.6" customHeight="1" outlineLevel="2">
      <c r="A542" s="545" t="str">
        <f t="shared" ref="A542" si="1862">A541</f>
        <v>N</v>
      </c>
      <c r="B542" s="526"/>
      <c r="C542" s="526"/>
      <c r="D542" s="527" t="s">
        <v>310</v>
      </c>
      <c r="E542" s="893"/>
      <c r="F542" s="895"/>
      <c r="G542" s="528"/>
      <c r="H542" s="549" t="s">
        <v>38</v>
      </c>
      <c r="I542" s="711">
        <v>0</v>
      </c>
      <c r="J542" s="897"/>
      <c r="K542" s="528"/>
      <c r="L542" s="549" t="s">
        <v>38</v>
      </c>
      <c r="M542" s="711">
        <f t="shared" si="1831"/>
        <v>0</v>
      </c>
      <c r="N542" s="897"/>
      <c r="O542" s="528"/>
      <c r="P542" s="547">
        <v>0</v>
      </c>
      <c r="Q542" s="547">
        <v>0</v>
      </c>
      <c r="R542" s="547">
        <v>0</v>
      </c>
      <c r="S542" s="547">
        <v>0</v>
      </c>
      <c r="T542" s="547">
        <v>0</v>
      </c>
      <c r="U542" s="547">
        <v>0</v>
      </c>
      <c r="V542" s="547">
        <v>0</v>
      </c>
      <c r="W542" s="528"/>
      <c r="X542" s="711">
        <f t="shared" si="1824"/>
        <v>0</v>
      </c>
      <c r="Y542" s="897"/>
      <c r="Z542" s="528"/>
      <c r="AA542" s="899"/>
      <c r="AB542" s="899"/>
      <c r="AC542" s="899"/>
      <c r="AD542" s="901"/>
      <c r="AE542" s="2"/>
      <c r="AF542" s="926"/>
      <c r="AG542" s="885"/>
      <c r="AH542" s="885"/>
      <c r="AI542" s="885"/>
      <c r="AJ542" s="885"/>
      <c r="AK542" s="885"/>
      <c r="AL542" s="885"/>
      <c r="AM542" s="879"/>
      <c r="AN542" s="2"/>
      <c r="AO542" s="886"/>
      <c r="AP542" s="886"/>
      <c r="AV542" t="str">
        <f t="shared" si="1785"/>
        <v xml:space="preserve">Aterro e compactação </v>
      </c>
      <c r="AW542" s="4" t="str">
        <f t="shared" si="1776"/>
        <v xml:space="preserve">   Excecução de aterro compactado - Seg.2.3 acesso km 129+151</v>
      </c>
    </row>
    <row r="543" spans="1:49" ht="15.6" customHeight="1" outlineLevel="2">
      <c r="A543" s="545" t="str">
        <f t="shared" ref="A543" si="1863">IF(SUM(P543:V544)&gt;0,"S","N")</f>
        <v>N</v>
      </c>
      <c r="B543" s="526">
        <v>1059666</v>
      </c>
      <c r="C543" s="526" t="s">
        <v>808</v>
      </c>
      <c r="D543" s="527" t="s">
        <v>809</v>
      </c>
      <c r="E543" s="892" t="s">
        <v>810</v>
      </c>
      <c r="F543" s="894" t="s">
        <v>36</v>
      </c>
      <c r="G543" s="528"/>
      <c r="H543" s="546" t="s">
        <v>37</v>
      </c>
      <c r="I543" s="711">
        <v>0</v>
      </c>
      <c r="J543" s="896" t="str">
        <f t="shared" ref="J543" si="1864">IFERROR((I544/I543),"-")</f>
        <v>-</v>
      </c>
      <c r="K543" s="528"/>
      <c r="L543" s="546" t="s">
        <v>37</v>
      </c>
      <c r="M543" s="711">
        <f t="shared" si="1831"/>
        <v>0</v>
      </c>
      <c r="N543" s="896" t="str">
        <f t="shared" ref="N543" si="1865">IFERROR((M544/M543),"-")</f>
        <v>-</v>
      </c>
      <c r="O543" s="528"/>
      <c r="P543" s="547">
        <v>0</v>
      </c>
      <c r="Q543" s="547">
        <v>0</v>
      </c>
      <c r="R543" s="547">
        <v>0</v>
      </c>
      <c r="S543" s="547">
        <v>0</v>
      </c>
      <c r="T543" s="547">
        <v>0</v>
      </c>
      <c r="U543" s="547">
        <v>0</v>
      </c>
      <c r="V543" s="547">
        <v>0</v>
      </c>
      <c r="W543" s="528"/>
      <c r="X543" s="711">
        <f t="shared" si="1824"/>
        <v>0</v>
      </c>
      <c r="Y543" s="896" t="str">
        <f t="shared" ref="Y543" si="1866">IFERROR((X544/X543),"0")</f>
        <v>0</v>
      </c>
      <c r="Z543" s="528"/>
      <c r="AA543" s="898">
        <v>0</v>
      </c>
      <c r="AB543" s="898">
        <v>0</v>
      </c>
      <c r="AC543" s="898">
        <v>0</v>
      </c>
      <c r="AD543" s="900" t="str">
        <f t="shared" ref="AD543" si="1867">IFERROR((AC543/AB543),"-")</f>
        <v>-</v>
      </c>
      <c r="AE543" s="2"/>
      <c r="AF543" s="886">
        <v>6073.8990000000003</v>
      </c>
      <c r="AG543" s="884"/>
      <c r="AH543" s="884">
        <v>0</v>
      </c>
      <c r="AI543" s="884"/>
      <c r="AJ543" s="884"/>
      <c r="AK543" s="884">
        <f t="shared" ref="AK543" si="1868">AF543+AG543+AH543+AI543+AJ543+AC543</f>
        <v>6073.8990000000003</v>
      </c>
      <c r="AL543" s="884">
        <v>9025.1999999999971</v>
      </c>
      <c r="AM543" s="878">
        <f t="shared" ref="AM543" si="1869">IFERROR((AK543/AL543),"-")</f>
        <v>0.67299328546735837</v>
      </c>
      <c r="AN543" s="2"/>
      <c r="AO543" s="884">
        <v>9025.16</v>
      </c>
      <c r="AP543" s="884">
        <f t="shared" ref="AP543" si="1870">AO543-AK543</f>
        <v>2951.2609999999995</v>
      </c>
      <c r="AV543" t="str">
        <f t="shared" si="1785"/>
        <v xml:space="preserve">Aterro e compactação </v>
      </c>
      <c r="AW543" s="4" t="str">
        <f t="shared" si="1776"/>
        <v xml:space="preserve">   Seg. 2.3-CA 01- Execução de aterro compactado - CA-01 (PN a 95%)</v>
      </c>
    </row>
    <row r="544" spans="1:49" ht="15.6" customHeight="1" outlineLevel="2">
      <c r="A544" s="545" t="str">
        <f t="shared" ref="A544" si="1871">A543</f>
        <v>N</v>
      </c>
      <c r="B544" s="526"/>
      <c r="C544" s="526"/>
      <c r="D544" s="527" t="s">
        <v>809</v>
      </c>
      <c r="E544" s="893"/>
      <c r="F544" s="895"/>
      <c r="G544" s="528"/>
      <c r="H544" s="549" t="s">
        <v>38</v>
      </c>
      <c r="I544" s="711">
        <v>0</v>
      </c>
      <c r="J544" s="897"/>
      <c r="K544" s="528"/>
      <c r="L544" s="549" t="s">
        <v>38</v>
      </c>
      <c r="M544" s="711">
        <f t="shared" si="1831"/>
        <v>0</v>
      </c>
      <c r="N544" s="897"/>
      <c r="O544" s="528"/>
      <c r="P544" s="547">
        <v>0</v>
      </c>
      <c r="Q544" s="547">
        <v>0</v>
      </c>
      <c r="R544" s="547">
        <v>0</v>
      </c>
      <c r="S544" s="547">
        <v>0</v>
      </c>
      <c r="T544" s="547">
        <v>0</v>
      </c>
      <c r="U544" s="547">
        <v>0</v>
      </c>
      <c r="V544" s="547">
        <v>0</v>
      </c>
      <c r="W544" s="528"/>
      <c r="X544" s="711">
        <f t="shared" si="1824"/>
        <v>0</v>
      </c>
      <c r="Y544" s="897"/>
      <c r="Z544" s="528"/>
      <c r="AA544" s="899"/>
      <c r="AB544" s="899"/>
      <c r="AC544" s="899"/>
      <c r="AD544" s="901"/>
      <c r="AE544" s="2"/>
      <c r="AF544" s="926"/>
      <c r="AG544" s="885"/>
      <c r="AH544" s="885"/>
      <c r="AI544" s="885"/>
      <c r="AJ544" s="885"/>
      <c r="AK544" s="885"/>
      <c r="AL544" s="885"/>
      <c r="AM544" s="879"/>
      <c r="AN544" s="2"/>
      <c r="AO544" s="886"/>
      <c r="AP544" s="886"/>
      <c r="AV544" t="str">
        <f t="shared" si="1785"/>
        <v xml:space="preserve">Aterro e compactação </v>
      </c>
      <c r="AW544" s="4" t="str">
        <f t="shared" si="1776"/>
        <v xml:space="preserve">   Seg. 2.3-CA 01- Execução de aterro compactado - CA-01 (PN a 95%)</v>
      </c>
    </row>
    <row r="545" spans="1:49" ht="15.6" customHeight="1" outlineLevel="2">
      <c r="A545" s="545" t="str">
        <f t="shared" ref="A545" si="1872">IF(SUM(P545:V546)&gt;0,"S","N")</f>
        <v>N</v>
      </c>
      <c r="B545" s="526">
        <v>1059670</v>
      </c>
      <c r="C545" s="526" t="s">
        <v>811</v>
      </c>
      <c r="D545" s="527" t="s">
        <v>812</v>
      </c>
      <c r="E545" s="892" t="s">
        <v>813</v>
      </c>
      <c r="F545" s="894" t="s">
        <v>36</v>
      </c>
      <c r="G545" s="528"/>
      <c r="H545" s="546" t="s">
        <v>37</v>
      </c>
      <c r="I545" s="711">
        <v>0</v>
      </c>
      <c r="J545" s="896" t="str">
        <f t="shared" ref="J545" si="1873">IFERROR((I546/I545),"-")</f>
        <v>-</v>
      </c>
      <c r="K545" s="528"/>
      <c r="L545" s="546" t="s">
        <v>37</v>
      </c>
      <c r="M545" s="711">
        <f t="shared" si="1831"/>
        <v>0</v>
      </c>
      <c r="N545" s="896" t="str">
        <f t="shared" ref="N545" si="1874">IFERROR((M546/M545),"-")</f>
        <v>-</v>
      </c>
      <c r="O545" s="528"/>
      <c r="P545" s="547">
        <v>0</v>
      </c>
      <c r="Q545" s="547">
        <v>0</v>
      </c>
      <c r="R545" s="547">
        <v>0</v>
      </c>
      <c r="S545" s="547">
        <v>0</v>
      </c>
      <c r="T545" s="547">
        <v>0</v>
      </c>
      <c r="U545" s="547">
        <v>0</v>
      </c>
      <c r="V545" s="547">
        <v>0</v>
      </c>
      <c r="W545" s="528"/>
      <c r="X545" s="711">
        <f t="shared" si="1824"/>
        <v>0</v>
      </c>
      <c r="Y545" s="896" t="str">
        <f t="shared" ref="Y545" si="1875">IFERROR((X546/X545),"0")</f>
        <v>0</v>
      </c>
      <c r="Z545" s="528"/>
      <c r="AA545" s="898">
        <v>0</v>
      </c>
      <c r="AB545" s="898">
        <v>0</v>
      </c>
      <c r="AC545" s="898">
        <v>0</v>
      </c>
      <c r="AD545" s="900" t="str">
        <f t="shared" ref="AD545" si="1876">IFERROR((AC545/AB545),"-")</f>
        <v>-</v>
      </c>
      <c r="AE545" s="2"/>
      <c r="AF545" s="886">
        <v>2256.75</v>
      </c>
      <c r="AG545" s="884"/>
      <c r="AH545" s="884">
        <v>0</v>
      </c>
      <c r="AI545" s="884"/>
      <c r="AJ545" s="884"/>
      <c r="AK545" s="884">
        <f t="shared" ref="AK545" si="1877">AF545+AG545+AH545+AI545+AJ545+AC545</f>
        <v>2256.75</v>
      </c>
      <c r="AL545" s="884">
        <v>2259.9699999999966</v>
      </c>
      <c r="AM545" s="878">
        <f t="shared" ref="AM545" si="1878">IFERROR((AK545/AL545),"-")</f>
        <v>0.99857520232569608</v>
      </c>
      <c r="AN545" s="2"/>
      <c r="AO545" s="884">
        <v>2260</v>
      </c>
      <c r="AP545" s="884">
        <f t="shared" ref="AP545" si="1879">AO545-AK545</f>
        <v>3.25</v>
      </c>
      <c r="AV545" t="str">
        <f t="shared" si="1785"/>
        <v xml:space="preserve">Aterro e compactação </v>
      </c>
      <c r="AW545" s="4" t="str">
        <f t="shared" si="1776"/>
        <v xml:space="preserve">   Seg. 2.3-CA 03- Execução de aterro compactado - CA-03 (PN a 95%)</v>
      </c>
    </row>
    <row r="546" spans="1:49" ht="15.6" customHeight="1" outlineLevel="2">
      <c r="A546" s="545" t="str">
        <f t="shared" ref="A546" si="1880">A545</f>
        <v>N</v>
      </c>
      <c r="B546" s="526"/>
      <c r="C546" s="526"/>
      <c r="D546" s="527" t="s">
        <v>812</v>
      </c>
      <c r="E546" s="893"/>
      <c r="F546" s="895"/>
      <c r="G546" s="528"/>
      <c r="H546" s="549" t="s">
        <v>38</v>
      </c>
      <c r="I546" s="711">
        <v>0</v>
      </c>
      <c r="J546" s="897"/>
      <c r="K546" s="528"/>
      <c r="L546" s="549" t="s">
        <v>38</v>
      </c>
      <c r="M546" s="711">
        <f t="shared" si="1831"/>
        <v>0</v>
      </c>
      <c r="N546" s="897"/>
      <c r="O546" s="528"/>
      <c r="P546" s="547">
        <v>0</v>
      </c>
      <c r="Q546" s="547">
        <v>0</v>
      </c>
      <c r="R546" s="547">
        <v>0</v>
      </c>
      <c r="S546" s="547">
        <v>0</v>
      </c>
      <c r="T546" s="547">
        <v>0</v>
      </c>
      <c r="U546" s="547">
        <v>0</v>
      </c>
      <c r="V546" s="547">
        <v>0</v>
      </c>
      <c r="W546" s="528"/>
      <c r="X546" s="711">
        <f t="shared" si="1824"/>
        <v>0</v>
      </c>
      <c r="Y546" s="897"/>
      <c r="Z546" s="528"/>
      <c r="AA546" s="899"/>
      <c r="AB546" s="899"/>
      <c r="AC546" s="899"/>
      <c r="AD546" s="901"/>
      <c r="AE546" s="2"/>
      <c r="AF546" s="926"/>
      <c r="AG546" s="885"/>
      <c r="AH546" s="885"/>
      <c r="AI546" s="885"/>
      <c r="AJ546" s="885"/>
      <c r="AK546" s="885"/>
      <c r="AL546" s="885"/>
      <c r="AM546" s="879"/>
      <c r="AN546" s="2"/>
      <c r="AO546" s="886"/>
      <c r="AP546" s="886"/>
      <c r="AV546" t="str">
        <f t="shared" si="1785"/>
        <v xml:space="preserve">Aterro e compactação </v>
      </c>
      <c r="AW546" s="4" t="str">
        <f t="shared" si="1776"/>
        <v xml:space="preserve">   Seg. 2.3-CA 03- Execução de aterro compactado - CA-03 (PN a 95%)</v>
      </c>
    </row>
    <row r="547" spans="1:49" ht="15.6" customHeight="1" outlineLevel="2">
      <c r="A547" s="545" t="str">
        <f t="shared" ref="A547" si="1881">IF(SUM(P547:V548)&gt;0,"S","N")</f>
        <v>N</v>
      </c>
      <c r="B547" s="526">
        <v>1059672</v>
      </c>
      <c r="C547" s="526" t="s">
        <v>814</v>
      </c>
      <c r="D547" s="527" t="s">
        <v>815</v>
      </c>
      <c r="E547" s="892" t="s">
        <v>816</v>
      </c>
      <c r="F547" s="894" t="s">
        <v>36</v>
      </c>
      <c r="G547" s="528"/>
      <c r="H547" s="546" t="s">
        <v>37</v>
      </c>
      <c r="I547" s="711">
        <v>10466</v>
      </c>
      <c r="J547" s="896">
        <f t="shared" ref="J547" si="1882">IFERROR((I548/I547),"-")</f>
        <v>0</v>
      </c>
      <c r="K547" s="528"/>
      <c r="L547" s="546" t="s">
        <v>37</v>
      </c>
      <c r="M547" s="711">
        <f t="shared" si="1831"/>
        <v>0</v>
      </c>
      <c r="N547" s="896" t="str">
        <f t="shared" ref="N547" si="1883">IFERROR((M548/M547),"-")</f>
        <v>-</v>
      </c>
      <c r="O547" s="528"/>
      <c r="P547" s="547">
        <v>0</v>
      </c>
      <c r="Q547" s="547">
        <v>0</v>
      </c>
      <c r="R547" s="547">
        <v>0</v>
      </c>
      <c r="S547" s="547">
        <v>0</v>
      </c>
      <c r="T547" s="547">
        <v>0</v>
      </c>
      <c r="U547" s="547">
        <v>0</v>
      </c>
      <c r="V547" s="547">
        <v>0</v>
      </c>
      <c r="W547" s="528"/>
      <c r="X547" s="711">
        <f t="shared" si="1824"/>
        <v>0</v>
      </c>
      <c r="Y547" s="896" t="str">
        <f t="shared" ref="Y547" si="1884">IFERROR((X548/X547),"0")</f>
        <v>0</v>
      </c>
      <c r="Z547" s="528"/>
      <c r="AA547" s="898">
        <v>0</v>
      </c>
      <c r="AB547" s="898">
        <v>0</v>
      </c>
      <c r="AC547" s="898">
        <v>0</v>
      </c>
      <c r="AD547" s="900" t="str">
        <f t="shared" ref="AD547" si="1885">IFERROR((AC547/AB547),"-")</f>
        <v>-</v>
      </c>
      <c r="AE547" s="2"/>
      <c r="AF547" s="886">
        <v>1407.569</v>
      </c>
      <c r="AG547" s="884"/>
      <c r="AH547" s="884">
        <v>0</v>
      </c>
      <c r="AI547" s="884"/>
      <c r="AJ547" s="884"/>
      <c r="AK547" s="884">
        <f t="shared" ref="AK547" si="1886">AF547+AG547+AH547+AI547+AJ547+AC547</f>
        <v>1407.569</v>
      </c>
      <c r="AL547" s="884">
        <v>1415.9600000000003</v>
      </c>
      <c r="AM547" s="878">
        <f t="shared" ref="AM547" si="1887">IFERROR((AK547/AL547),"-")</f>
        <v>0.99407398514082301</v>
      </c>
      <c r="AN547" s="2"/>
      <c r="AO547" s="884">
        <v>1416</v>
      </c>
      <c r="AP547" s="884">
        <f t="shared" ref="AP547" si="1888">AO547-AK547</f>
        <v>8.43100000000004</v>
      </c>
      <c r="AV547" t="str">
        <f t="shared" si="1785"/>
        <v xml:space="preserve">Aterro e compactação </v>
      </c>
      <c r="AW547" s="4" t="str">
        <f t="shared" si="1776"/>
        <v xml:space="preserve">   Seg. 2.3-CA 04- Execução de aterro compactado - CA-04 (PN a 95%)</v>
      </c>
    </row>
    <row r="548" spans="1:49" ht="15.6" customHeight="1" outlineLevel="2">
      <c r="A548" s="545" t="str">
        <f t="shared" ref="A548" si="1889">A547</f>
        <v>N</v>
      </c>
      <c r="B548" s="526"/>
      <c r="C548" s="526"/>
      <c r="D548" s="527" t="s">
        <v>815</v>
      </c>
      <c r="E548" s="893"/>
      <c r="F548" s="895"/>
      <c r="G548" s="528"/>
      <c r="H548" s="549" t="s">
        <v>38</v>
      </c>
      <c r="I548" s="711">
        <v>0</v>
      </c>
      <c r="J548" s="897"/>
      <c r="K548" s="528"/>
      <c r="L548" s="549" t="s">
        <v>38</v>
      </c>
      <c r="M548" s="711">
        <f t="shared" si="1831"/>
        <v>0</v>
      </c>
      <c r="N548" s="897"/>
      <c r="O548" s="528"/>
      <c r="P548" s="547">
        <v>0</v>
      </c>
      <c r="Q548" s="547">
        <v>0</v>
      </c>
      <c r="R548" s="547">
        <v>0</v>
      </c>
      <c r="S548" s="547">
        <v>0</v>
      </c>
      <c r="T548" s="547">
        <v>0</v>
      </c>
      <c r="U548" s="547">
        <v>0</v>
      </c>
      <c r="V548" s="547">
        <v>0</v>
      </c>
      <c r="W548" s="528"/>
      <c r="X548" s="711">
        <f t="shared" si="1824"/>
        <v>0</v>
      </c>
      <c r="Y548" s="897"/>
      <c r="Z548" s="528"/>
      <c r="AA548" s="899"/>
      <c r="AB548" s="899"/>
      <c r="AC548" s="899"/>
      <c r="AD548" s="901"/>
      <c r="AE548" s="2"/>
      <c r="AF548" s="926"/>
      <c r="AG548" s="885"/>
      <c r="AH548" s="885"/>
      <c r="AI548" s="885"/>
      <c r="AJ548" s="885"/>
      <c r="AK548" s="885"/>
      <c r="AL548" s="885"/>
      <c r="AM548" s="879"/>
      <c r="AN548" s="2"/>
      <c r="AO548" s="886"/>
      <c r="AP548" s="886"/>
      <c r="AV548" t="str">
        <f t="shared" si="1785"/>
        <v xml:space="preserve">Aterro e compactação </v>
      </c>
      <c r="AW548" s="4" t="str">
        <f t="shared" si="1776"/>
        <v xml:space="preserve">   Seg. 2.3-CA 04- Execução de aterro compactado - CA-04 (PN a 95%)</v>
      </c>
    </row>
    <row r="549" spans="1:49" ht="15.6" customHeight="1" outlineLevel="2">
      <c r="A549" s="545" t="str">
        <f t="shared" ref="A549" si="1890">IF(SUM(P549:V550)&gt;0,"S","N")</f>
        <v>N</v>
      </c>
      <c r="B549" s="526">
        <v>1059674</v>
      </c>
      <c r="C549" s="526" t="s">
        <v>817</v>
      </c>
      <c r="D549" s="527" t="s">
        <v>818</v>
      </c>
      <c r="E549" s="892" t="s">
        <v>819</v>
      </c>
      <c r="F549" s="894" t="s">
        <v>36</v>
      </c>
      <c r="G549" s="528"/>
      <c r="H549" s="546" t="s">
        <v>37</v>
      </c>
      <c r="I549" s="711">
        <v>0</v>
      </c>
      <c r="J549" s="896" t="str">
        <f t="shared" ref="J549" si="1891">IFERROR((I550/I549),"-")</f>
        <v>-</v>
      </c>
      <c r="K549" s="528"/>
      <c r="L549" s="546" t="s">
        <v>37</v>
      </c>
      <c r="M549" s="711">
        <f t="shared" si="1831"/>
        <v>0</v>
      </c>
      <c r="N549" s="896" t="str">
        <f t="shared" ref="N549" si="1892">IFERROR((M550/M549),"-")</f>
        <v>-</v>
      </c>
      <c r="O549" s="528"/>
      <c r="P549" s="547">
        <v>0</v>
      </c>
      <c r="Q549" s="547">
        <v>0</v>
      </c>
      <c r="R549" s="547">
        <v>0</v>
      </c>
      <c r="S549" s="547">
        <v>0</v>
      </c>
      <c r="T549" s="547">
        <v>0</v>
      </c>
      <c r="U549" s="547">
        <v>0</v>
      </c>
      <c r="V549" s="547">
        <v>0</v>
      </c>
      <c r="W549" s="528"/>
      <c r="X549" s="711">
        <f t="shared" si="1824"/>
        <v>0</v>
      </c>
      <c r="Y549" s="896" t="str">
        <f t="shared" ref="Y549" si="1893">IFERROR((X550/X549),"0")</f>
        <v>0</v>
      </c>
      <c r="Z549" s="528"/>
      <c r="AA549" s="898">
        <v>0</v>
      </c>
      <c r="AB549" s="898">
        <v>0</v>
      </c>
      <c r="AC549" s="898">
        <v>0</v>
      </c>
      <c r="AD549" s="900" t="str">
        <f t="shared" ref="AD549" si="1894">IFERROR((AC549/AB549),"-")</f>
        <v>-</v>
      </c>
      <c r="AE549" s="2"/>
      <c r="AF549" s="886">
        <v>6034.491</v>
      </c>
      <c r="AG549" s="884"/>
      <c r="AH549" s="884">
        <v>0</v>
      </c>
      <c r="AI549" s="884"/>
      <c r="AJ549" s="884"/>
      <c r="AK549" s="884">
        <f t="shared" ref="AK549" si="1895">AF549+AG549+AH549+AI549+AJ549+AC549</f>
        <v>6034.491</v>
      </c>
      <c r="AL549" s="884">
        <v>6043</v>
      </c>
      <c r="AM549" s="878">
        <f t="shared" ref="AM549" si="1896">IFERROR((AK549/AL549),"-")</f>
        <v>0.99859192454079104</v>
      </c>
      <c r="AN549" s="2"/>
      <c r="AO549" s="884">
        <v>6043</v>
      </c>
      <c r="AP549" s="884">
        <f t="shared" ref="AP549" si="1897">AO549-AK549</f>
        <v>8.5090000000000146</v>
      </c>
      <c r="AV549" t="str">
        <f t="shared" si="1785"/>
        <v xml:space="preserve">Aterro e compactação </v>
      </c>
      <c r="AW549" s="4" t="str">
        <f t="shared" si="1776"/>
        <v xml:space="preserve">   Seg. 2.3- CA 05- Execução de aterro compactado - CA-05 (PN a 95%)</v>
      </c>
    </row>
    <row r="550" spans="1:49" ht="15.6" customHeight="1" outlineLevel="2">
      <c r="A550" s="545" t="str">
        <f t="shared" ref="A550" si="1898">A549</f>
        <v>N</v>
      </c>
      <c r="B550" s="526"/>
      <c r="C550" s="526"/>
      <c r="D550" s="527" t="s">
        <v>818</v>
      </c>
      <c r="E550" s="893"/>
      <c r="F550" s="895"/>
      <c r="G550" s="528"/>
      <c r="H550" s="549" t="s">
        <v>38</v>
      </c>
      <c r="I550" s="711">
        <v>0</v>
      </c>
      <c r="J550" s="897"/>
      <c r="K550" s="528"/>
      <c r="L550" s="549" t="s">
        <v>38</v>
      </c>
      <c r="M550" s="711">
        <f t="shared" si="1831"/>
        <v>0</v>
      </c>
      <c r="N550" s="897"/>
      <c r="O550" s="528"/>
      <c r="P550" s="547">
        <v>0</v>
      </c>
      <c r="Q550" s="547">
        <v>0</v>
      </c>
      <c r="R550" s="547">
        <v>0</v>
      </c>
      <c r="S550" s="547">
        <v>0</v>
      </c>
      <c r="T550" s="547">
        <v>0</v>
      </c>
      <c r="U550" s="547">
        <v>0</v>
      </c>
      <c r="V550" s="547">
        <v>0</v>
      </c>
      <c r="W550" s="528"/>
      <c r="X550" s="711">
        <f t="shared" si="1824"/>
        <v>0</v>
      </c>
      <c r="Y550" s="897"/>
      <c r="Z550" s="528"/>
      <c r="AA550" s="899"/>
      <c r="AB550" s="899"/>
      <c r="AC550" s="899"/>
      <c r="AD550" s="901"/>
      <c r="AE550" s="2"/>
      <c r="AF550" s="926"/>
      <c r="AG550" s="885"/>
      <c r="AH550" s="885"/>
      <c r="AI550" s="885"/>
      <c r="AJ550" s="885"/>
      <c r="AK550" s="885"/>
      <c r="AL550" s="885"/>
      <c r="AM550" s="879"/>
      <c r="AN550" s="2"/>
      <c r="AO550" s="886"/>
      <c r="AP550" s="886"/>
      <c r="AV550" t="str">
        <f t="shared" si="1785"/>
        <v xml:space="preserve">Aterro e compactação </v>
      </c>
      <c r="AW550" s="4" t="str">
        <f t="shared" si="1776"/>
        <v xml:space="preserve">   Seg. 2.3- CA 05- Execução de aterro compactado - CA-05 (PN a 95%)</v>
      </c>
    </row>
    <row r="551" spans="1:49" ht="15.6" customHeight="1" outlineLevel="2">
      <c r="A551" s="545" t="str">
        <f t="shared" ref="A551" si="1899">IF(SUM(P551:V552)&gt;0,"S","N")</f>
        <v>N</v>
      </c>
      <c r="B551" s="526">
        <v>1059676</v>
      </c>
      <c r="C551" s="526" t="s">
        <v>820</v>
      </c>
      <c r="D551" s="527" t="s">
        <v>821</v>
      </c>
      <c r="E551" s="892" t="s">
        <v>822</v>
      </c>
      <c r="F551" s="894" t="s">
        <v>36</v>
      </c>
      <c r="G551" s="528"/>
      <c r="H551" s="546" t="s">
        <v>37</v>
      </c>
      <c r="I551" s="711">
        <v>0</v>
      </c>
      <c r="J551" s="896" t="str">
        <f t="shared" ref="J551" si="1900">IFERROR((I552/I551),"-")</f>
        <v>-</v>
      </c>
      <c r="K551" s="528"/>
      <c r="L551" s="546" t="s">
        <v>37</v>
      </c>
      <c r="M551" s="711">
        <f t="shared" si="1831"/>
        <v>0</v>
      </c>
      <c r="N551" s="896" t="str">
        <f t="shared" ref="N551" si="1901">IFERROR((M552/M551),"-")</f>
        <v>-</v>
      </c>
      <c r="O551" s="528"/>
      <c r="P551" s="547">
        <v>0</v>
      </c>
      <c r="Q551" s="547">
        <v>0</v>
      </c>
      <c r="R551" s="547">
        <v>0</v>
      </c>
      <c r="S551" s="547">
        <v>0</v>
      </c>
      <c r="T551" s="547">
        <v>0</v>
      </c>
      <c r="U551" s="547">
        <v>0</v>
      </c>
      <c r="V551" s="547">
        <v>0</v>
      </c>
      <c r="W551" s="528"/>
      <c r="X551" s="711">
        <f t="shared" si="1824"/>
        <v>0</v>
      </c>
      <c r="Y551" s="896" t="str">
        <f t="shared" ref="Y551" si="1902">IFERROR((X552/X551),"0")</f>
        <v>0</v>
      </c>
      <c r="Z551" s="528"/>
      <c r="AA551" s="898">
        <v>0</v>
      </c>
      <c r="AB551" s="898">
        <v>0</v>
      </c>
      <c r="AC551" s="898">
        <v>0</v>
      </c>
      <c r="AD551" s="900" t="str">
        <f t="shared" ref="AD551" si="1903">IFERROR((AC551/AB551),"-")</f>
        <v>-</v>
      </c>
      <c r="AE551" s="2"/>
      <c r="AF551" s="886">
        <v>61519.493000000002</v>
      </c>
      <c r="AG551" s="884"/>
      <c r="AH551" s="884">
        <v>0</v>
      </c>
      <c r="AI551" s="884"/>
      <c r="AJ551" s="884"/>
      <c r="AK551" s="884">
        <f t="shared" ref="AK551" si="1904">AF551+AG551+AH551+AI551+AJ551+AC551</f>
        <v>61519.493000000002</v>
      </c>
      <c r="AL551" s="884">
        <v>64293.010000000009</v>
      </c>
      <c r="AM551" s="878">
        <f t="shared" ref="AM551" si="1905">IFERROR((AK551/AL551),"-")</f>
        <v>0.95686129798558184</v>
      </c>
      <c r="AN551" s="2"/>
      <c r="AO551" s="884">
        <v>64294</v>
      </c>
      <c r="AP551" s="884">
        <f t="shared" ref="AP551" si="1906">AO551-AK551</f>
        <v>2774.5069999999978</v>
      </c>
      <c r="AV551" t="str">
        <f t="shared" si="1785"/>
        <v xml:space="preserve">Aterro e compactação </v>
      </c>
      <c r="AW551" s="4" t="str">
        <f t="shared" si="1776"/>
        <v xml:space="preserve">   Seg. 2.3- CA 06- Execução de aterro compactado - CA-06 (PN a 95%)</v>
      </c>
    </row>
    <row r="552" spans="1:49" ht="15.6" customHeight="1" outlineLevel="2">
      <c r="A552" s="545" t="str">
        <f t="shared" ref="A552" si="1907">A551</f>
        <v>N</v>
      </c>
      <c r="B552" s="526"/>
      <c r="C552" s="526"/>
      <c r="D552" s="527" t="s">
        <v>821</v>
      </c>
      <c r="E552" s="893"/>
      <c r="F552" s="895"/>
      <c r="G552" s="528"/>
      <c r="H552" s="549" t="s">
        <v>38</v>
      </c>
      <c r="I552" s="711">
        <v>0</v>
      </c>
      <c r="J552" s="897"/>
      <c r="K552" s="528"/>
      <c r="L552" s="549" t="s">
        <v>38</v>
      </c>
      <c r="M552" s="711">
        <f t="shared" si="1831"/>
        <v>0</v>
      </c>
      <c r="N552" s="897"/>
      <c r="O552" s="528"/>
      <c r="P552" s="547">
        <v>0</v>
      </c>
      <c r="Q552" s="547">
        <v>0</v>
      </c>
      <c r="R552" s="547">
        <v>0</v>
      </c>
      <c r="S552" s="547">
        <v>0</v>
      </c>
      <c r="T552" s="547">
        <v>0</v>
      </c>
      <c r="U552" s="547">
        <v>0</v>
      </c>
      <c r="V552" s="547">
        <v>0</v>
      </c>
      <c r="W552" s="528"/>
      <c r="X552" s="711">
        <f t="shared" si="1824"/>
        <v>0</v>
      </c>
      <c r="Y552" s="897"/>
      <c r="Z552" s="528"/>
      <c r="AA552" s="899"/>
      <c r="AB552" s="899"/>
      <c r="AC552" s="899"/>
      <c r="AD552" s="901"/>
      <c r="AE552" s="2"/>
      <c r="AF552" s="926"/>
      <c r="AG552" s="885"/>
      <c r="AH552" s="885"/>
      <c r="AI552" s="885"/>
      <c r="AJ552" s="885"/>
      <c r="AK552" s="885"/>
      <c r="AL552" s="885"/>
      <c r="AM552" s="879"/>
      <c r="AN552" s="2"/>
      <c r="AO552" s="886"/>
      <c r="AP552" s="886"/>
      <c r="AV552" t="str">
        <f t="shared" si="1785"/>
        <v xml:space="preserve">Aterro e compactação </v>
      </c>
      <c r="AW552" s="4" t="str">
        <f t="shared" si="1776"/>
        <v xml:space="preserve">   Seg. 2.3- CA 06- Execução de aterro compactado - CA-06 (PN a 95%)</v>
      </c>
    </row>
    <row r="553" spans="1:49" ht="15.6" customHeight="1" outlineLevel="2">
      <c r="A553" s="545" t="str">
        <f t="shared" ref="A553" si="1908">IF(SUM(P553:V554)&gt;0,"S","N")</f>
        <v>N</v>
      </c>
      <c r="B553" s="526">
        <v>1059678</v>
      </c>
      <c r="C553" s="526" t="s">
        <v>823</v>
      </c>
      <c r="D553" s="527" t="s">
        <v>824</v>
      </c>
      <c r="E553" s="892" t="s">
        <v>825</v>
      </c>
      <c r="F553" s="894" t="s">
        <v>36</v>
      </c>
      <c r="G553" s="528"/>
      <c r="H553" s="546" t="s">
        <v>37</v>
      </c>
      <c r="I553" s="711">
        <v>0</v>
      </c>
      <c r="J553" s="896" t="str">
        <f t="shared" ref="J553" si="1909">IFERROR((I554/I553),"-")</f>
        <v>-</v>
      </c>
      <c r="K553" s="528"/>
      <c r="L553" s="546" t="s">
        <v>37</v>
      </c>
      <c r="M553" s="711">
        <f t="shared" si="1831"/>
        <v>0</v>
      </c>
      <c r="N553" s="896" t="str">
        <f t="shared" ref="N553" si="1910">IFERROR((M554/M553),"-")</f>
        <v>-</v>
      </c>
      <c r="O553" s="528"/>
      <c r="P553" s="547">
        <v>0</v>
      </c>
      <c r="Q553" s="547">
        <v>0</v>
      </c>
      <c r="R553" s="547">
        <v>0</v>
      </c>
      <c r="S553" s="547">
        <v>0</v>
      </c>
      <c r="T553" s="547">
        <v>0</v>
      </c>
      <c r="U553" s="547">
        <v>0</v>
      </c>
      <c r="V553" s="547">
        <v>0</v>
      </c>
      <c r="W553" s="528"/>
      <c r="X553" s="711">
        <f t="shared" si="1824"/>
        <v>0</v>
      </c>
      <c r="Y553" s="896" t="str">
        <f t="shared" ref="Y553" si="1911">IFERROR((X554/X553),"0")</f>
        <v>0</v>
      </c>
      <c r="Z553" s="528"/>
      <c r="AA553" s="898">
        <v>0</v>
      </c>
      <c r="AB553" s="898">
        <v>0</v>
      </c>
      <c r="AC553" s="898">
        <v>0</v>
      </c>
      <c r="AD553" s="900" t="str">
        <f t="shared" ref="AD553" si="1912">IFERROR((AC553/AB553),"-")</f>
        <v>-</v>
      </c>
      <c r="AE553" s="2"/>
      <c r="AF553" s="886">
        <v>131</v>
      </c>
      <c r="AG553" s="884"/>
      <c r="AH553" s="884">
        <v>0</v>
      </c>
      <c r="AI553" s="884"/>
      <c r="AJ553" s="884"/>
      <c r="AK553" s="884">
        <f t="shared" ref="AK553" si="1913">AF553+AG553+AH553+AI553+AJ553+AC553</f>
        <v>131</v>
      </c>
      <c r="AL553" s="884">
        <v>131</v>
      </c>
      <c r="AM553" s="878">
        <f t="shared" ref="AM553" si="1914">IFERROR((AK553/AL553),"-")</f>
        <v>1</v>
      </c>
      <c r="AN553" s="2"/>
      <c r="AO553" s="884">
        <v>131</v>
      </c>
      <c r="AP553" s="884">
        <f t="shared" ref="AP553" si="1915">AO553-AK553</f>
        <v>0</v>
      </c>
      <c r="AV553" t="str">
        <f t="shared" si="1785"/>
        <v xml:space="preserve">Aterro e compactação </v>
      </c>
      <c r="AW553" s="4" t="str">
        <f t="shared" si="1776"/>
        <v xml:space="preserve">   Seg. 2.3- CA 07- Execução de aterro compactado - CA-07 (PN a 95%)</v>
      </c>
    </row>
    <row r="554" spans="1:49" ht="15.6" customHeight="1" outlineLevel="2">
      <c r="A554" s="545" t="str">
        <f t="shared" ref="A554" si="1916">A553</f>
        <v>N</v>
      </c>
      <c r="B554" s="526"/>
      <c r="C554" s="526"/>
      <c r="D554" s="527" t="s">
        <v>824</v>
      </c>
      <c r="E554" s="893"/>
      <c r="F554" s="895"/>
      <c r="G554" s="528"/>
      <c r="H554" s="549" t="s">
        <v>38</v>
      </c>
      <c r="I554" s="711">
        <v>0</v>
      </c>
      <c r="J554" s="897"/>
      <c r="K554" s="528"/>
      <c r="L554" s="549" t="s">
        <v>38</v>
      </c>
      <c r="M554" s="711">
        <f t="shared" si="1831"/>
        <v>0</v>
      </c>
      <c r="N554" s="897"/>
      <c r="O554" s="528"/>
      <c r="P554" s="547">
        <v>0</v>
      </c>
      <c r="Q554" s="547">
        <v>0</v>
      </c>
      <c r="R554" s="547">
        <v>0</v>
      </c>
      <c r="S554" s="547">
        <v>0</v>
      </c>
      <c r="T554" s="547">
        <v>0</v>
      </c>
      <c r="U554" s="547">
        <v>0</v>
      </c>
      <c r="V554" s="547">
        <v>0</v>
      </c>
      <c r="W554" s="528"/>
      <c r="X554" s="711">
        <f t="shared" si="1824"/>
        <v>0</v>
      </c>
      <c r="Y554" s="897"/>
      <c r="Z554" s="528"/>
      <c r="AA554" s="899"/>
      <c r="AB554" s="899"/>
      <c r="AC554" s="899"/>
      <c r="AD554" s="901"/>
      <c r="AE554" s="2"/>
      <c r="AF554" s="926"/>
      <c r="AG554" s="885"/>
      <c r="AH554" s="885"/>
      <c r="AI554" s="885"/>
      <c r="AJ554" s="885"/>
      <c r="AK554" s="885"/>
      <c r="AL554" s="885"/>
      <c r="AM554" s="879"/>
      <c r="AN554" s="2"/>
      <c r="AO554" s="886"/>
      <c r="AP554" s="886"/>
      <c r="AV554" t="str">
        <f t="shared" si="1785"/>
        <v xml:space="preserve">Aterro e compactação </v>
      </c>
      <c r="AW554" s="4" t="str">
        <f t="shared" si="1776"/>
        <v xml:space="preserve">   Seg. 2.3- CA 07- Execução de aterro compactado - CA-07 (PN a 95%)</v>
      </c>
    </row>
    <row r="555" spans="1:49" ht="15.6" customHeight="1" outlineLevel="2">
      <c r="A555" s="545" t="str">
        <f t="shared" ref="A555" si="1917">IF(SUM(P555:V556)&gt;0,"S","N")</f>
        <v>N</v>
      </c>
      <c r="B555" s="526">
        <v>1060144</v>
      </c>
      <c r="C555" s="526" t="s">
        <v>826</v>
      </c>
      <c r="D555" s="527" t="s">
        <v>827</v>
      </c>
      <c r="E555" s="892" t="s">
        <v>828</v>
      </c>
      <c r="F555" s="894" t="s">
        <v>36</v>
      </c>
      <c r="G555" s="528"/>
      <c r="H555" s="546" t="s">
        <v>37</v>
      </c>
      <c r="I555" s="711">
        <v>0</v>
      </c>
      <c r="J555" s="896" t="str">
        <f t="shared" ref="J555" si="1918">IFERROR((I556/I555),"-")</f>
        <v>-</v>
      </c>
      <c r="K555" s="528"/>
      <c r="L555" s="546" t="s">
        <v>37</v>
      </c>
      <c r="M555" s="711">
        <f t="shared" si="1831"/>
        <v>0</v>
      </c>
      <c r="N555" s="896" t="str">
        <f t="shared" ref="N555" si="1919">IFERROR((M556/M555),"-")</f>
        <v>-</v>
      </c>
      <c r="O555" s="528"/>
      <c r="P555" s="547">
        <v>0</v>
      </c>
      <c r="Q555" s="547">
        <v>0</v>
      </c>
      <c r="R555" s="547">
        <v>0</v>
      </c>
      <c r="S555" s="547">
        <v>0</v>
      </c>
      <c r="T555" s="547">
        <v>0</v>
      </c>
      <c r="U555" s="547">
        <v>0</v>
      </c>
      <c r="V555" s="547">
        <v>0</v>
      </c>
      <c r="W555" s="528"/>
      <c r="X555" s="711">
        <f t="shared" si="1824"/>
        <v>0</v>
      </c>
      <c r="Y555" s="896" t="str">
        <f t="shared" ref="Y555" si="1920">IFERROR((X556/X555),"0")</f>
        <v>0</v>
      </c>
      <c r="Z555" s="528"/>
      <c r="AA555" s="898">
        <v>0</v>
      </c>
      <c r="AB555" s="898">
        <v>0</v>
      </c>
      <c r="AC555" s="898">
        <v>0</v>
      </c>
      <c r="AD555" s="900" t="str">
        <f t="shared" ref="AD555" si="1921">IFERROR((AC555/AB555),"-")</f>
        <v>-</v>
      </c>
      <c r="AE555" s="2"/>
      <c r="AF555" s="886">
        <v>2638.69</v>
      </c>
      <c r="AG555" s="884"/>
      <c r="AH555" s="884">
        <v>0</v>
      </c>
      <c r="AI555" s="884"/>
      <c r="AJ555" s="884"/>
      <c r="AK555" s="884">
        <f t="shared" ref="AK555" si="1922">AF555+AG555+AH555+AI555+AJ555+AC555</f>
        <v>2638.69</v>
      </c>
      <c r="AL555" s="884">
        <v>2660.429999999998</v>
      </c>
      <c r="AM555" s="878">
        <f t="shared" ref="AM555" si="1923">IFERROR((AK555/AL555),"-")</f>
        <v>0.99182838864394174</v>
      </c>
      <c r="AN555" s="2"/>
      <c r="AO555" s="884">
        <v>2660.46</v>
      </c>
      <c r="AP555" s="884">
        <f t="shared" ref="AP555" si="1924">AO555-AK555</f>
        <v>21.769999999999982</v>
      </c>
      <c r="AV555" t="str">
        <f t="shared" si="1785"/>
        <v xml:space="preserve">Aterro e compactação </v>
      </c>
      <c r="AW555" s="4" t="str">
        <f t="shared" si="1776"/>
        <v xml:space="preserve">   Seg. 2.3-CA 02- Execução de aterro compactado - CA-02 (PN a 95%)</v>
      </c>
    </row>
    <row r="556" spans="1:49" ht="15.6" customHeight="1" outlineLevel="2">
      <c r="A556" s="545" t="str">
        <f t="shared" ref="A556" si="1925">A555</f>
        <v>N</v>
      </c>
      <c r="B556" s="526"/>
      <c r="C556" s="526"/>
      <c r="D556" s="527" t="s">
        <v>827</v>
      </c>
      <c r="E556" s="893"/>
      <c r="F556" s="895"/>
      <c r="G556" s="528"/>
      <c r="H556" s="549" t="s">
        <v>38</v>
      </c>
      <c r="I556" s="711">
        <v>0</v>
      </c>
      <c r="J556" s="897"/>
      <c r="K556" s="528"/>
      <c r="L556" s="549" t="s">
        <v>38</v>
      </c>
      <c r="M556" s="711">
        <f t="shared" si="1831"/>
        <v>0</v>
      </c>
      <c r="N556" s="897"/>
      <c r="O556" s="528"/>
      <c r="P556" s="547">
        <v>0</v>
      </c>
      <c r="Q556" s="547">
        <v>0</v>
      </c>
      <c r="R556" s="547">
        <v>0</v>
      </c>
      <c r="S556" s="547">
        <v>0</v>
      </c>
      <c r="T556" s="547">
        <v>0</v>
      </c>
      <c r="U556" s="547">
        <v>0</v>
      </c>
      <c r="V556" s="547">
        <v>0</v>
      </c>
      <c r="W556" s="528"/>
      <c r="X556" s="711">
        <f t="shared" si="1824"/>
        <v>0</v>
      </c>
      <c r="Y556" s="897"/>
      <c r="Z556" s="528"/>
      <c r="AA556" s="899"/>
      <c r="AB556" s="899"/>
      <c r="AC556" s="899"/>
      <c r="AD556" s="901"/>
      <c r="AE556" s="2"/>
      <c r="AF556" s="926"/>
      <c r="AG556" s="885"/>
      <c r="AH556" s="885"/>
      <c r="AI556" s="885"/>
      <c r="AJ556" s="885"/>
      <c r="AK556" s="885"/>
      <c r="AL556" s="885"/>
      <c r="AM556" s="879"/>
      <c r="AN556" s="2"/>
      <c r="AO556" s="886"/>
      <c r="AP556" s="886"/>
      <c r="AV556" t="str">
        <f t="shared" si="1785"/>
        <v xml:space="preserve">Aterro e compactação </v>
      </c>
      <c r="AW556" s="4" t="str">
        <f t="shared" si="1776"/>
        <v xml:space="preserve">   Seg. 2.3-CA 02- Execução de aterro compactado - CA-02 (PN a 95%)</v>
      </c>
    </row>
    <row r="557" spans="1:49" ht="15.6" customHeight="1" outlineLevel="2">
      <c r="A557" s="525" t="str">
        <f t="shared" ref="A557" si="1926">IF(SUM(P557:V558)&gt;0,"S","N")</f>
        <v>N</v>
      </c>
      <c r="B557" s="526">
        <v>1060150</v>
      </c>
      <c r="C557" s="526" t="s">
        <v>829</v>
      </c>
      <c r="D557" s="527" t="s">
        <v>830</v>
      </c>
      <c r="E557" s="892" t="s">
        <v>831</v>
      </c>
      <c r="F557" s="894" t="s">
        <v>36</v>
      </c>
      <c r="G557" s="528"/>
      <c r="H557" s="546" t="s">
        <v>37</v>
      </c>
      <c r="I557" s="711">
        <v>0</v>
      </c>
      <c r="J557" s="896" t="str">
        <f t="shared" ref="J557" si="1927">IFERROR((I558/I557),"-")</f>
        <v>-</v>
      </c>
      <c r="K557" s="528"/>
      <c r="L557" s="546" t="s">
        <v>37</v>
      </c>
      <c r="M557" s="711">
        <f t="shared" si="1831"/>
        <v>0</v>
      </c>
      <c r="N557" s="896" t="str">
        <f t="shared" ref="N557" si="1928">IFERROR((M558/M557),"-")</f>
        <v>-</v>
      </c>
      <c r="O557" s="528"/>
      <c r="P557" s="547">
        <v>0</v>
      </c>
      <c r="Q557" s="547">
        <v>0</v>
      </c>
      <c r="R557" s="547">
        <v>0</v>
      </c>
      <c r="S557" s="547">
        <v>0</v>
      </c>
      <c r="T557" s="547">
        <v>0</v>
      </c>
      <c r="U557" s="547">
        <v>0</v>
      </c>
      <c r="V557" s="547">
        <v>0</v>
      </c>
      <c r="W557" s="528"/>
      <c r="X557" s="711">
        <f t="shared" si="1824"/>
        <v>0</v>
      </c>
      <c r="Y557" s="896" t="str">
        <f t="shared" ref="Y557" si="1929">IFERROR((X558/X557),"0")</f>
        <v>0</v>
      </c>
      <c r="Z557" s="528"/>
      <c r="AA557" s="898">
        <v>0</v>
      </c>
      <c r="AB557" s="898">
        <v>0</v>
      </c>
      <c r="AC557" s="898">
        <v>0</v>
      </c>
      <c r="AD557" s="900" t="str">
        <f t="shared" ref="AD557" si="1930">IFERROR((AC557/AB557),"-")</f>
        <v>-</v>
      </c>
      <c r="AE557" s="2"/>
      <c r="AF557" s="886">
        <v>76369.971000000005</v>
      </c>
      <c r="AG557" s="884"/>
      <c r="AH557" s="884">
        <v>0</v>
      </c>
      <c r="AI557" s="884"/>
      <c r="AJ557" s="884"/>
      <c r="AK557" s="884">
        <f t="shared" ref="AK557" si="1931">AF557+AG557+AH557+AI557+AJ557+AC557</f>
        <v>76369.971000000005</v>
      </c>
      <c r="AL557" s="884">
        <v>84553</v>
      </c>
      <c r="AM557" s="878">
        <f t="shared" ref="AM557" si="1932">IFERROR((AK557/AL557),"-")</f>
        <v>0.90322012229016124</v>
      </c>
      <c r="AN557" s="2"/>
      <c r="AO557" s="884">
        <v>84553</v>
      </c>
      <c r="AP557" s="884">
        <f t="shared" ref="AP557" si="1933">AO557-AK557</f>
        <v>8183.028999999995</v>
      </c>
      <c r="AV557" t="str">
        <f t="shared" si="1785"/>
        <v xml:space="preserve">Aterro e compactação </v>
      </c>
      <c r="AW557" s="4" t="str">
        <f t="shared" si="1776"/>
        <v xml:space="preserve">   Seg. 2.3-CA 12- Execução de aterro compactado - CA-12 (PN a 95%)</v>
      </c>
    </row>
    <row r="558" spans="1:49" ht="15.6" customHeight="1" outlineLevel="2">
      <c r="A558" s="525" t="str">
        <f t="shared" ref="A558" si="1934">A557</f>
        <v>N</v>
      </c>
      <c r="B558" s="526"/>
      <c r="C558" s="526"/>
      <c r="D558" s="527" t="s">
        <v>830</v>
      </c>
      <c r="E558" s="893"/>
      <c r="F558" s="895"/>
      <c r="G558" s="528"/>
      <c r="H558" s="549" t="s">
        <v>38</v>
      </c>
      <c r="I558" s="711">
        <v>0</v>
      </c>
      <c r="J558" s="897"/>
      <c r="K558" s="528"/>
      <c r="L558" s="549" t="s">
        <v>38</v>
      </c>
      <c r="M558" s="711">
        <f t="shared" si="1831"/>
        <v>0</v>
      </c>
      <c r="N558" s="897"/>
      <c r="O558" s="528"/>
      <c r="P558" s="547">
        <v>0</v>
      </c>
      <c r="Q558" s="547">
        <v>0</v>
      </c>
      <c r="R558" s="547">
        <v>0</v>
      </c>
      <c r="S558" s="547">
        <v>0</v>
      </c>
      <c r="T558" s="547">
        <v>0</v>
      </c>
      <c r="U558" s="547">
        <v>0</v>
      </c>
      <c r="V558" s="547">
        <v>0</v>
      </c>
      <c r="W558" s="528"/>
      <c r="X558" s="711">
        <f t="shared" si="1824"/>
        <v>0</v>
      </c>
      <c r="Y558" s="897"/>
      <c r="Z558" s="528"/>
      <c r="AA558" s="899"/>
      <c r="AB558" s="899"/>
      <c r="AC558" s="899"/>
      <c r="AD558" s="901"/>
      <c r="AE558" s="2"/>
      <c r="AF558" s="926"/>
      <c r="AG558" s="885"/>
      <c r="AH558" s="885"/>
      <c r="AI558" s="885"/>
      <c r="AJ558" s="885"/>
      <c r="AK558" s="885"/>
      <c r="AL558" s="885"/>
      <c r="AM558" s="879"/>
      <c r="AN558" s="2"/>
      <c r="AO558" s="886"/>
      <c r="AP558" s="886"/>
      <c r="AV558" t="str">
        <f t="shared" si="1785"/>
        <v xml:space="preserve">Aterro e compactação </v>
      </c>
      <c r="AW558" s="4" t="str">
        <f t="shared" si="1776"/>
        <v xml:space="preserve">   Seg. 2.3-CA 12- Execução de aterro compactado - CA-12 (PN a 95%)</v>
      </c>
    </row>
    <row r="559" spans="1:49" ht="15.6" customHeight="1" outlineLevel="2">
      <c r="A559" s="545" t="str">
        <f t="shared" ref="A559" si="1935">IF(SUM(P559:V560)&gt;0,"S","N")</f>
        <v>N</v>
      </c>
      <c r="B559" s="526">
        <v>1060152</v>
      </c>
      <c r="C559" s="526" t="s">
        <v>832</v>
      </c>
      <c r="D559" s="527" t="s">
        <v>833</v>
      </c>
      <c r="E559" s="892" t="s">
        <v>834</v>
      </c>
      <c r="F559" s="894" t="s">
        <v>36</v>
      </c>
      <c r="G559" s="528"/>
      <c r="H559" s="546" t="s">
        <v>37</v>
      </c>
      <c r="I559" s="711">
        <v>0</v>
      </c>
      <c r="J559" s="896" t="str">
        <f t="shared" ref="J559" si="1936">IFERROR((I560/I559),"-")</f>
        <v>-</v>
      </c>
      <c r="K559" s="528"/>
      <c r="L559" s="546" t="s">
        <v>37</v>
      </c>
      <c r="M559" s="711">
        <f t="shared" si="1831"/>
        <v>0</v>
      </c>
      <c r="N559" s="896" t="str">
        <f t="shared" ref="N559" si="1937">IFERROR((M560/M559),"-")</f>
        <v>-</v>
      </c>
      <c r="O559" s="528"/>
      <c r="P559" s="547">
        <v>0</v>
      </c>
      <c r="Q559" s="547">
        <v>0</v>
      </c>
      <c r="R559" s="547">
        <v>0</v>
      </c>
      <c r="S559" s="547">
        <v>0</v>
      </c>
      <c r="T559" s="547">
        <v>0</v>
      </c>
      <c r="U559" s="547">
        <v>0</v>
      </c>
      <c r="V559" s="547">
        <v>0</v>
      </c>
      <c r="W559" s="528"/>
      <c r="X559" s="711">
        <f t="shared" si="1824"/>
        <v>0</v>
      </c>
      <c r="Y559" s="896" t="str">
        <f t="shared" ref="Y559" si="1938">IFERROR((X560/X559),"0")</f>
        <v>0</v>
      </c>
      <c r="Z559" s="528"/>
      <c r="AA559" s="898">
        <v>0</v>
      </c>
      <c r="AB559" s="898">
        <v>0</v>
      </c>
      <c r="AC559" s="898">
        <v>0</v>
      </c>
      <c r="AD559" s="900" t="str">
        <f t="shared" ref="AD559" si="1939">IFERROR((AC559/AB559),"-")</f>
        <v>-</v>
      </c>
      <c r="AE559" s="2"/>
      <c r="AF559" s="886">
        <v>83701.399999999994</v>
      </c>
      <c r="AG559" s="884"/>
      <c r="AH559" s="884">
        <v>0</v>
      </c>
      <c r="AI559" s="884"/>
      <c r="AJ559" s="884"/>
      <c r="AK559" s="884">
        <f t="shared" ref="AK559" si="1940">AF559+AG559+AH559+AI559+AJ559+AC559</f>
        <v>83701.399999999994</v>
      </c>
      <c r="AL559" s="884">
        <v>83934</v>
      </c>
      <c r="AM559" s="878">
        <f t="shared" ref="AM559" si="1941">IFERROR((AK559/AL559),"-")</f>
        <v>0.99722877498987295</v>
      </c>
      <c r="AN559" s="2"/>
      <c r="AO559" s="884">
        <v>83934</v>
      </c>
      <c r="AP559" s="884">
        <f t="shared" ref="AP559" si="1942">AO559-AK559</f>
        <v>232.60000000000582</v>
      </c>
      <c r="AV559" t="str">
        <f t="shared" si="1785"/>
        <v xml:space="preserve">Aterro e compactação </v>
      </c>
      <c r="AW559" s="4" t="str">
        <f t="shared" si="1776"/>
        <v xml:space="preserve">   Seg. 2.3-CA 13- Execução de aterro compactado - CA-13 (PN a 95%)</v>
      </c>
    </row>
    <row r="560" spans="1:49" ht="15.6" customHeight="1" outlineLevel="2">
      <c r="A560" s="545" t="str">
        <f t="shared" ref="A560" si="1943">A559</f>
        <v>N</v>
      </c>
      <c r="B560" s="526"/>
      <c r="C560" s="526"/>
      <c r="D560" s="527" t="s">
        <v>833</v>
      </c>
      <c r="E560" s="893"/>
      <c r="F560" s="895"/>
      <c r="G560" s="528"/>
      <c r="H560" s="549" t="s">
        <v>38</v>
      </c>
      <c r="I560" s="711">
        <v>0</v>
      </c>
      <c r="J560" s="897"/>
      <c r="K560" s="528"/>
      <c r="L560" s="549" t="s">
        <v>38</v>
      </c>
      <c r="M560" s="711">
        <f t="shared" si="1831"/>
        <v>0</v>
      </c>
      <c r="N560" s="897"/>
      <c r="O560" s="528"/>
      <c r="P560" s="547">
        <v>0</v>
      </c>
      <c r="Q560" s="547">
        <v>0</v>
      </c>
      <c r="R560" s="547">
        <v>0</v>
      </c>
      <c r="S560" s="547">
        <v>0</v>
      </c>
      <c r="T560" s="547">
        <v>0</v>
      </c>
      <c r="U560" s="547">
        <v>0</v>
      </c>
      <c r="V560" s="547">
        <v>0</v>
      </c>
      <c r="W560" s="528"/>
      <c r="X560" s="711">
        <f t="shared" si="1824"/>
        <v>0</v>
      </c>
      <c r="Y560" s="897"/>
      <c r="Z560" s="528"/>
      <c r="AA560" s="899"/>
      <c r="AB560" s="899"/>
      <c r="AC560" s="899"/>
      <c r="AD560" s="901"/>
      <c r="AE560" s="2"/>
      <c r="AF560" s="926"/>
      <c r="AG560" s="885"/>
      <c r="AH560" s="885"/>
      <c r="AI560" s="885"/>
      <c r="AJ560" s="885"/>
      <c r="AK560" s="885"/>
      <c r="AL560" s="885"/>
      <c r="AM560" s="879"/>
      <c r="AN560" s="2"/>
      <c r="AO560" s="886"/>
      <c r="AP560" s="886"/>
      <c r="AV560" t="str">
        <f t="shared" si="1785"/>
        <v xml:space="preserve">Aterro e compactação </v>
      </c>
      <c r="AW560" s="4" t="str">
        <f t="shared" si="1776"/>
        <v xml:space="preserve">   Seg. 2.3-CA 13- Execução de aterro compactado - CA-13 (PN a 95%)</v>
      </c>
    </row>
    <row r="561" spans="1:49" ht="15.6" customHeight="1" outlineLevel="2">
      <c r="A561" s="545" t="str">
        <f t="shared" ref="A561" si="1944">IF(SUM(P561:V562)&gt;0,"S","N")</f>
        <v>N</v>
      </c>
      <c r="B561" s="526">
        <v>1060156</v>
      </c>
      <c r="C561" s="526" t="s">
        <v>835</v>
      </c>
      <c r="D561" s="527" t="s">
        <v>836</v>
      </c>
      <c r="E561" s="892" t="s">
        <v>837</v>
      </c>
      <c r="F561" s="894" t="s">
        <v>36</v>
      </c>
      <c r="G561" s="528"/>
      <c r="H561" s="546" t="s">
        <v>37</v>
      </c>
      <c r="I561" s="711">
        <v>0</v>
      </c>
      <c r="J561" s="896" t="str">
        <f t="shared" ref="J561" si="1945">IFERROR((I562/I561),"-")</f>
        <v>-</v>
      </c>
      <c r="K561" s="528"/>
      <c r="L561" s="546" t="s">
        <v>37</v>
      </c>
      <c r="M561" s="711">
        <f t="shared" si="1831"/>
        <v>0</v>
      </c>
      <c r="N561" s="896" t="str">
        <f t="shared" ref="N561" si="1946">IFERROR((M562/M561),"-")</f>
        <v>-</v>
      </c>
      <c r="O561" s="528"/>
      <c r="P561" s="547">
        <v>0</v>
      </c>
      <c r="Q561" s="547">
        <v>0</v>
      </c>
      <c r="R561" s="547">
        <v>0</v>
      </c>
      <c r="S561" s="547">
        <v>0</v>
      </c>
      <c r="T561" s="547">
        <v>0</v>
      </c>
      <c r="U561" s="547">
        <v>0</v>
      </c>
      <c r="V561" s="547">
        <v>0</v>
      </c>
      <c r="W561" s="528"/>
      <c r="X561" s="711">
        <f t="shared" si="1824"/>
        <v>0</v>
      </c>
      <c r="Y561" s="896" t="str">
        <f t="shared" ref="Y561" si="1947">IFERROR((X562/X561),"0")</f>
        <v>0</v>
      </c>
      <c r="Z561" s="528"/>
      <c r="AA561" s="898">
        <v>0</v>
      </c>
      <c r="AB561" s="898">
        <v>0</v>
      </c>
      <c r="AC561" s="898">
        <v>0</v>
      </c>
      <c r="AD561" s="900" t="str">
        <f t="shared" ref="AD561" si="1948">IFERROR((AC561/AB561),"-")</f>
        <v>-</v>
      </c>
      <c r="AE561" s="2"/>
      <c r="AF561" s="886">
        <v>12686.721</v>
      </c>
      <c r="AG561" s="884"/>
      <c r="AH561" s="884">
        <v>0</v>
      </c>
      <c r="AI561" s="884"/>
      <c r="AJ561" s="884"/>
      <c r="AK561" s="884">
        <f t="shared" ref="AK561" si="1949">AF561+AG561+AH561+AI561+AJ561+AC561</f>
        <v>12686.721</v>
      </c>
      <c r="AL561" s="884">
        <v>12688.96999999999</v>
      </c>
      <c r="AM561" s="878">
        <f t="shared" ref="AM561" si="1950">IFERROR((AK561/AL561),"-")</f>
        <v>0.99982275945171351</v>
      </c>
      <c r="AN561" s="2"/>
      <c r="AO561" s="884">
        <v>12689</v>
      </c>
      <c r="AP561" s="884">
        <f t="shared" ref="AP561" si="1951">AO561-AK561</f>
        <v>2.2790000000004511</v>
      </c>
      <c r="AV561" t="str">
        <f t="shared" si="1785"/>
        <v xml:space="preserve">Aterro e compactação </v>
      </c>
      <c r="AW561" s="4" t="str">
        <f t="shared" si="1776"/>
        <v xml:space="preserve">   Seg. 2.3-CA 14- Execução de aterro compactado - CA-14 (PN a 95%)</v>
      </c>
    </row>
    <row r="562" spans="1:49" ht="15.6" customHeight="1" outlineLevel="2">
      <c r="A562" s="545" t="str">
        <f t="shared" ref="A562" si="1952">A561</f>
        <v>N</v>
      </c>
      <c r="B562" s="526"/>
      <c r="C562" s="526"/>
      <c r="D562" s="527" t="s">
        <v>836</v>
      </c>
      <c r="E562" s="893"/>
      <c r="F562" s="895"/>
      <c r="G562" s="528"/>
      <c r="H562" s="549" t="s">
        <v>38</v>
      </c>
      <c r="I562" s="711">
        <v>0</v>
      </c>
      <c r="J562" s="897"/>
      <c r="K562" s="528"/>
      <c r="L562" s="549" t="s">
        <v>38</v>
      </c>
      <c r="M562" s="711">
        <f t="shared" si="1831"/>
        <v>0</v>
      </c>
      <c r="N562" s="897"/>
      <c r="O562" s="528"/>
      <c r="P562" s="547">
        <v>0</v>
      </c>
      <c r="Q562" s="547">
        <v>0</v>
      </c>
      <c r="R562" s="547">
        <v>0</v>
      </c>
      <c r="S562" s="547">
        <v>0</v>
      </c>
      <c r="T562" s="547">
        <v>0</v>
      </c>
      <c r="U562" s="547">
        <v>0</v>
      </c>
      <c r="V562" s="547">
        <v>0</v>
      </c>
      <c r="W562" s="528"/>
      <c r="X562" s="711">
        <f t="shared" si="1824"/>
        <v>0</v>
      </c>
      <c r="Y562" s="897"/>
      <c r="Z562" s="528"/>
      <c r="AA562" s="899"/>
      <c r="AB562" s="899"/>
      <c r="AC562" s="899"/>
      <c r="AD562" s="901"/>
      <c r="AE562" s="2"/>
      <c r="AF562" s="926"/>
      <c r="AG562" s="885"/>
      <c r="AH562" s="885"/>
      <c r="AI562" s="885"/>
      <c r="AJ562" s="885"/>
      <c r="AK562" s="885"/>
      <c r="AL562" s="885"/>
      <c r="AM562" s="879"/>
      <c r="AN562" s="2"/>
      <c r="AO562" s="886"/>
      <c r="AP562" s="886"/>
      <c r="AV562" t="str">
        <f t="shared" si="1785"/>
        <v xml:space="preserve">Aterro e compactação </v>
      </c>
      <c r="AW562" s="4" t="str">
        <f t="shared" si="1776"/>
        <v xml:space="preserve">   Seg. 2.3-CA 14- Execução de aterro compactado - CA-14 (PN a 95%)</v>
      </c>
    </row>
    <row r="563" spans="1:49" ht="15.6" customHeight="1" outlineLevel="2">
      <c r="A563" s="545" t="str">
        <f t="shared" ref="A563" si="1953">IF(SUM(P563:V564)&gt;0,"S","N")</f>
        <v>N</v>
      </c>
      <c r="B563" s="526">
        <v>1060158</v>
      </c>
      <c r="C563" s="526" t="s">
        <v>838</v>
      </c>
      <c r="D563" s="527" t="s">
        <v>839</v>
      </c>
      <c r="E563" s="892" t="s">
        <v>840</v>
      </c>
      <c r="F563" s="894" t="s">
        <v>36</v>
      </c>
      <c r="G563" s="528"/>
      <c r="H563" s="546" t="s">
        <v>37</v>
      </c>
      <c r="I563" s="711">
        <v>0</v>
      </c>
      <c r="J563" s="896" t="str">
        <f t="shared" ref="J563" si="1954">IFERROR((I564/I563),"-")</f>
        <v>-</v>
      </c>
      <c r="K563" s="528"/>
      <c r="L563" s="546" t="s">
        <v>37</v>
      </c>
      <c r="M563" s="711">
        <f t="shared" si="1831"/>
        <v>0</v>
      </c>
      <c r="N563" s="896" t="str">
        <f t="shared" ref="N563" si="1955">IFERROR((M564/M563),"-")</f>
        <v>-</v>
      </c>
      <c r="O563" s="528"/>
      <c r="P563" s="547">
        <v>0</v>
      </c>
      <c r="Q563" s="547">
        <v>0</v>
      </c>
      <c r="R563" s="547">
        <v>0</v>
      </c>
      <c r="S563" s="547">
        <v>0</v>
      </c>
      <c r="T563" s="547">
        <v>0</v>
      </c>
      <c r="U563" s="547">
        <v>0</v>
      </c>
      <c r="V563" s="547">
        <v>0</v>
      </c>
      <c r="W563" s="528"/>
      <c r="X563" s="711">
        <f t="shared" si="1824"/>
        <v>0</v>
      </c>
      <c r="Y563" s="896" t="str">
        <f t="shared" ref="Y563" si="1956">IFERROR((X564/X563),"0")</f>
        <v>0</v>
      </c>
      <c r="Z563" s="528"/>
      <c r="AA563" s="898">
        <v>0</v>
      </c>
      <c r="AB563" s="898">
        <v>0</v>
      </c>
      <c r="AC563" s="898">
        <v>0</v>
      </c>
      <c r="AD563" s="900" t="str">
        <f t="shared" ref="AD563" si="1957">IFERROR((AC563/AB563),"-")</f>
        <v>-</v>
      </c>
      <c r="AE563" s="2"/>
      <c r="AF563" s="886">
        <v>120551.84299999999</v>
      </c>
      <c r="AG563" s="884"/>
      <c r="AH563" s="884">
        <v>0</v>
      </c>
      <c r="AI563" s="884"/>
      <c r="AJ563" s="884"/>
      <c r="AK563" s="884">
        <f t="shared" ref="AK563" si="1958">AF563+AG563+AH563+AI563+AJ563+AC563</f>
        <v>120551.84299999999</v>
      </c>
      <c r="AL563" s="884">
        <v>120806.9200000001</v>
      </c>
      <c r="AM563" s="878">
        <f t="shared" ref="AM563" si="1959">IFERROR((AK563/AL563),"-")</f>
        <v>0.99788855638402085</v>
      </c>
      <c r="AN563" s="2"/>
      <c r="AO563" s="884">
        <v>120807</v>
      </c>
      <c r="AP563" s="884">
        <f t="shared" ref="AP563" si="1960">AO563-AK563</f>
        <v>255.15700000000652</v>
      </c>
      <c r="AV563" t="str">
        <f t="shared" si="1785"/>
        <v xml:space="preserve">Aterro e compactação </v>
      </c>
      <c r="AW563" s="4" t="str">
        <f t="shared" si="1776"/>
        <v xml:space="preserve">   Seg. 2.3-CA 15- Execução de aterro compactado - CA-15 (PN a 95%)</v>
      </c>
    </row>
    <row r="564" spans="1:49" ht="15.6" customHeight="1" outlineLevel="2">
      <c r="A564" s="545" t="str">
        <f t="shared" ref="A564" si="1961">A563</f>
        <v>N</v>
      </c>
      <c r="B564" s="526"/>
      <c r="C564" s="526"/>
      <c r="D564" s="527" t="s">
        <v>839</v>
      </c>
      <c r="E564" s="893"/>
      <c r="F564" s="895"/>
      <c r="G564" s="528"/>
      <c r="H564" s="549" t="s">
        <v>38</v>
      </c>
      <c r="I564" s="711">
        <v>0</v>
      </c>
      <c r="J564" s="897"/>
      <c r="K564" s="528"/>
      <c r="L564" s="549" t="s">
        <v>38</v>
      </c>
      <c r="M564" s="711">
        <f t="shared" si="1831"/>
        <v>0</v>
      </c>
      <c r="N564" s="897"/>
      <c r="O564" s="528"/>
      <c r="P564" s="547">
        <v>0</v>
      </c>
      <c r="Q564" s="547">
        <v>0</v>
      </c>
      <c r="R564" s="547">
        <v>0</v>
      </c>
      <c r="S564" s="547">
        <v>0</v>
      </c>
      <c r="T564" s="547">
        <v>0</v>
      </c>
      <c r="U564" s="547">
        <v>0</v>
      </c>
      <c r="V564" s="547">
        <v>0</v>
      </c>
      <c r="W564" s="528"/>
      <c r="X564" s="711">
        <f t="shared" si="1824"/>
        <v>0</v>
      </c>
      <c r="Y564" s="897"/>
      <c r="Z564" s="528"/>
      <c r="AA564" s="899"/>
      <c r="AB564" s="899"/>
      <c r="AC564" s="899"/>
      <c r="AD564" s="901"/>
      <c r="AE564" s="2"/>
      <c r="AF564" s="926"/>
      <c r="AG564" s="885"/>
      <c r="AH564" s="885"/>
      <c r="AI564" s="885"/>
      <c r="AJ564" s="885"/>
      <c r="AK564" s="885"/>
      <c r="AL564" s="885"/>
      <c r="AM564" s="879"/>
      <c r="AN564" s="2"/>
      <c r="AO564" s="886"/>
      <c r="AP564" s="886"/>
      <c r="AV564" t="str">
        <f t="shared" si="1785"/>
        <v xml:space="preserve">Aterro e compactação </v>
      </c>
      <c r="AW564" s="4" t="str">
        <f t="shared" si="1776"/>
        <v xml:space="preserve">   Seg. 2.3-CA 15- Execução de aterro compactado - CA-15 (PN a 95%)</v>
      </c>
    </row>
    <row r="565" spans="1:49" ht="15.6" customHeight="1" outlineLevel="2">
      <c r="A565" s="545" t="str">
        <f t="shared" ref="A565" si="1962">IF(SUM(P565:V566)&gt;0,"S","N")</f>
        <v>S</v>
      </c>
      <c r="B565" s="526">
        <v>1060161</v>
      </c>
      <c r="C565" s="526" t="s">
        <v>841</v>
      </c>
      <c r="D565" s="527" t="s">
        <v>842</v>
      </c>
      <c r="E565" s="892" t="s">
        <v>843</v>
      </c>
      <c r="F565" s="894" t="s">
        <v>36</v>
      </c>
      <c r="G565" s="528"/>
      <c r="H565" s="546" t="s">
        <v>37</v>
      </c>
      <c r="I565" s="711">
        <v>0</v>
      </c>
      <c r="J565" s="896" t="str">
        <f t="shared" ref="J565" si="1963">IFERROR((I566/I565),"-")</f>
        <v>-</v>
      </c>
      <c r="K565" s="528"/>
      <c r="L565" s="546" t="s">
        <v>37</v>
      </c>
      <c r="M565" s="711">
        <f t="shared" si="1831"/>
        <v>0</v>
      </c>
      <c r="N565" s="896" t="str">
        <f t="shared" ref="N565" si="1964">IFERROR((M566/M565),"-")</f>
        <v>-</v>
      </c>
      <c r="O565" s="528"/>
      <c r="P565" s="547">
        <v>0</v>
      </c>
      <c r="Q565" s="547">
        <v>0</v>
      </c>
      <c r="R565" s="547">
        <v>0</v>
      </c>
      <c r="S565" s="547">
        <v>0</v>
      </c>
      <c r="T565" s="547">
        <v>0</v>
      </c>
      <c r="U565" s="547">
        <v>0</v>
      </c>
      <c r="V565" s="547">
        <v>0</v>
      </c>
      <c r="W565" s="528"/>
      <c r="X565" s="711">
        <f t="shared" si="1824"/>
        <v>0</v>
      </c>
      <c r="Y565" s="896" t="str">
        <f>IFERROR((X566/X565),"0")</f>
        <v>0</v>
      </c>
      <c r="Z565" s="528"/>
      <c r="AA565" s="898">
        <v>0</v>
      </c>
      <c r="AB565" s="898">
        <v>0</v>
      </c>
      <c r="AC565" s="898">
        <v>897.68000000000006</v>
      </c>
      <c r="AD565" s="900" t="str">
        <f t="shared" ref="AD565" si="1965">IFERROR((AC565/AB565),"-")</f>
        <v>-</v>
      </c>
      <c r="AE565" s="2"/>
      <c r="AF565" s="886">
        <v>62878.65</v>
      </c>
      <c r="AG565" s="884"/>
      <c r="AH565" s="884">
        <v>0</v>
      </c>
      <c r="AI565" s="884"/>
      <c r="AJ565" s="884"/>
      <c r="AK565" s="884">
        <f t="shared" ref="AK565" si="1966">AF565+AG565+AH565+AI565+AJ565+AC565</f>
        <v>63776.33</v>
      </c>
      <c r="AL565" s="884">
        <v>63461.010000000075</v>
      </c>
      <c r="AM565" s="878">
        <f t="shared" ref="AM565" si="1967">IFERROR((AK565/AL565),"-")</f>
        <v>1.0049687201637656</v>
      </c>
      <c r="AN565" s="2"/>
      <c r="AO565" s="884">
        <v>63461</v>
      </c>
      <c r="AP565" s="884">
        <f t="shared" ref="AP565" si="1968">AO565-AK565</f>
        <v>-315.33000000000175</v>
      </c>
      <c r="AV565" t="str">
        <f t="shared" si="1785"/>
        <v xml:space="preserve">Aterro e compactação </v>
      </c>
      <c r="AW565" s="4" t="str">
        <f t="shared" si="1776"/>
        <v xml:space="preserve">   Seg. 2.3-CA 16- Execução de aterro compactado - CA-16 (PN a 95%)</v>
      </c>
    </row>
    <row r="566" spans="1:49" ht="15.6" customHeight="1" outlineLevel="2">
      <c r="A566" s="545" t="str">
        <f t="shared" ref="A566" si="1969">A565</f>
        <v>S</v>
      </c>
      <c r="B566" s="526"/>
      <c r="C566" s="526"/>
      <c r="D566" s="527" t="s">
        <v>842</v>
      </c>
      <c r="E566" s="893"/>
      <c r="F566" s="895"/>
      <c r="G566" s="528"/>
      <c r="H566" s="549" t="s">
        <v>38</v>
      </c>
      <c r="I566" s="711">
        <v>0</v>
      </c>
      <c r="J566" s="897"/>
      <c r="K566" s="528"/>
      <c r="L566" s="549" t="s">
        <v>38</v>
      </c>
      <c r="M566" s="711">
        <f t="shared" si="1831"/>
        <v>897.68000000000006</v>
      </c>
      <c r="N566" s="897"/>
      <c r="O566" s="528"/>
      <c r="P566" s="547">
        <v>0</v>
      </c>
      <c r="Q566" s="547">
        <v>897.68000000000006</v>
      </c>
      <c r="R566" s="547">
        <v>0</v>
      </c>
      <c r="S566" s="547">
        <v>0</v>
      </c>
      <c r="T566" s="547">
        <v>0</v>
      </c>
      <c r="U566" s="547">
        <v>0</v>
      </c>
      <c r="V566" s="547">
        <v>0</v>
      </c>
      <c r="W566" s="528"/>
      <c r="X566" s="711">
        <f t="shared" si="1824"/>
        <v>897.68000000000006</v>
      </c>
      <c r="Y566" s="897"/>
      <c r="Z566" s="528"/>
      <c r="AA566" s="899"/>
      <c r="AB566" s="899"/>
      <c r="AC566" s="899"/>
      <c r="AD566" s="901"/>
      <c r="AE566" s="2"/>
      <c r="AF566" s="926"/>
      <c r="AG566" s="885"/>
      <c r="AH566" s="885"/>
      <c r="AI566" s="885"/>
      <c r="AJ566" s="885"/>
      <c r="AK566" s="885"/>
      <c r="AL566" s="885"/>
      <c r="AM566" s="879"/>
      <c r="AN566" s="2"/>
      <c r="AO566" s="886"/>
      <c r="AP566" s="886"/>
      <c r="AV566" t="str">
        <f t="shared" si="1785"/>
        <v xml:space="preserve">Aterro e compactação </v>
      </c>
      <c r="AW566" s="4" t="str">
        <f t="shared" si="1776"/>
        <v xml:space="preserve">   Seg. 2.3-CA 16- Execução de aterro compactado - CA-16 (PN a 95%)</v>
      </c>
    </row>
    <row r="567" spans="1:49" ht="15.6" customHeight="1" outlineLevel="2">
      <c r="A567" s="525" t="str">
        <f t="shared" ref="A567" si="1970">IF(SUM(P567:V568)&gt;0,"S","N")</f>
        <v>N</v>
      </c>
      <c r="B567" s="526">
        <v>1060164</v>
      </c>
      <c r="C567" s="526" t="s">
        <v>844</v>
      </c>
      <c r="D567" s="527" t="s">
        <v>845</v>
      </c>
      <c r="E567" s="892" t="s">
        <v>846</v>
      </c>
      <c r="F567" s="894" t="s">
        <v>36</v>
      </c>
      <c r="G567" s="528"/>
      <c r="H567" s="546" t="s">
        <v>37</v>
      </c>
      <c r="I567" s="711">
        <v>0</v>
      </c>
      <c r="J567" s="896" t="str">
        <f t="shared" ref="J567" si="1971">IFERROR((I568/I567),"-")</f>
        <v>-</v>
      </c>
      <c r="K567" s="528"/>
      <c r="L567" s="546" t="s">
        <v>37</v>
      </c>
      <c r="M567" s="711">
        <f t="shared" si="1831"/>
        <v>0</v>
      </c>
      <c r="N567" s="896" t="str">
        <f t="shared" ref="N567" si="1972">IFERROR((M568/M567),"-")</f>
        <v>-</v>
      </c>
      <c r="O567" s="528"/>
      <c r="P567" s="547">
        <v>0</v>
      </c>
      <c r="Q567" s="547">
        <v>0</v>
      </c>
      <c r="R567" s="547">
        <v>0</v>
      </c>
      <c r="S567" s="547">
        <v>0</v>
      </c>
      <c r="T567" s="547">
        <v>0</v>
      </c>
      <c r="U567" s="547">
        <v>0</v>
      </c>
      <c r="V567" s="547">
        <v>0</v>
      </c>
      <c r="W567" s="528"/>
      <c r="X567" s="711">
        <f t="shared" si="1824"/>
        <v>0</v>
      </c>
      <c r="Y567" s="896" t="str">
        <f>IFERROR((X568/X567),"0")</f>
        <v>0</v>
      </c>
      <c r="Z567" s="528"/>
      <c r="AA567" s="898">
        <v>0</v>
      </c>
      <c r="AB567" s="898">
        <v>0</v>
      </c>
      <c r="AC567" s="898">
        <v>0</v>
      </c>
      <c r="AD567" s="900" t="str">
        <f t="shared" ref="AD567" si="1973">IFERROR((AC567/AB567),"-")</f>
        <v>-</v>
      </c>
      <c r="AE567" s="2"/>
      <c r="AF567" s="886">
        <v>750766.47</v>
      </c>
      <c r="AG567" s="884"/>
      <c r="AH567" s="884">
        <v>0</v>
      </c>
      <c r="AI567" s="884"/>
      <c r="AJ567" s="884"/>
      <c r="AK567" s="884">
        <f t="shared" ref="AK567" si="1974">AF567+AG567+AH567+AI567+AJ567+AC567</f>
        <v>750766.47</v>
      </c>
      <c r="AL567" s="884">
        <v>0</v>
      </c>
      <c r="AM567" s="878" t="str">
        <f t="shared" ref="AM567" si="1975">IFERROR((AK567/AL567),"-")</f>
        <v>-</v>
      </c>
      <c r="AN567" s="2"/>
      <c r="AO567" s="884">
        <v>0</v>
      </c>
      <c r="AP567" s="884">
        <f t="shared" ref="AP567" si="1976">AO567-AK567</f>
        <v>-750766.47</v>
      </c>
      <c r="AV567" t="str">
        <f t="shared" si="1785"/>
        <v xml:space="preserve">Aterro e compactação </v>
      </c>
      <c r="AW567" s="4" t="str">
        <f t="shared" si="1776"/>
        <v xml:space="preserve">   Seg. 2.3-CA 17- Execução de aterro compactado - CA-17 (PN a 95%)</v>
      </c>
    </row>
    <row r="568" spans="1:49" ht="15.6" customHeight="1" outlineLevel="2">
      <c r="A568" s="525" t="str">
        <f t="shared" ref="A568" si="1977">A567</f>
        <v>N</v>
      </c>
      <c r="B568" s="526"/>
      <c r="C568" s="526"/>
      <c r="D568" s="527" t="s">
        <v>845</v>
      </c>
      <c r="E568" s="893"/>
      <c r="F568" s="895"/>
      <c r="G568" s="528"/>
      <c r="H568" s="549" t="s">
        <v>38</v>
      </c>
      <c r="I568" s="711">
        <v>0</v>
      </c>
      <c r="J568" s="897"/>
      <c r="K568" s="528"/>
      <c r="L568" s="549" t="s">
        <v>38</v>
      </c>
      <c r="M568" s="711">
        <f t="shared" si="1831"/>
        <v>0</v>
      </c>
      <c r="N568" s="897"/>
      <c r="O568" s="528"/>
      <c r="P568" s="547">
        <v>0</v>
      </c>
      <c r="Q568" s="547">
        <v>0</v>
      </c>
      <c r="R568" s="547">
        <v>0</v>
      </c>
      <c r="S568" s="547">
        <v>0</v>
      </c>
      <c r="T568" s="547">
        <v>0</v>
      </c>
      <c r="U568" s="547">
        <v>0</v>
      </c>
      <c r="V568" s="547">
        <v>0</v>
      </c>
      <c r="W568" s="528"/>
      <c r="X568" s="711">
        <f t="shared" si="1824"/>
        <v>0</v>
      </c>
      <c r="Y568" s="897"/>
      <c r="Z568" s="528"/>
      <c r="AA568" s="899"/>
      <c r="AB568" s="899"/>
      <c r="AC568" s="899"/>
      <c r="AD568" s="901"/>
      <c r="AE568" s="2"/>
      <c r="AF568" s="926"/>
      <c r="AG568" s="885"/>
      <c r="AH568" s="885"/>
      <c r="AI568" s="885"/>
      <c r="AJ568" s="885"/>
      <c r="AK568" s="885"/>
      <c r="AL568" s="885"/>
      <c r="AM568" s="879"/>
      <c r="AN568" s="2"/>
      <c r="AO568" s="886"/>
      <c r="AP568" s="886"/>
      <c r="AV568" t="str">
        <f t="shared" si="1785"/>
        <v xml:space="preserve">Aterro e compactação </v>
      </c>
      <c r="AW568" s="4" t="str">
        <f t="shared" si="1776"/>
        <v xml:space="preserve">   Seg. 2.3-CA 17- Execução de aterro compactado - CA-17 (PN a 95%)</v>
      </c>
    </row>
    <row r="569" spans="1:49" ht="15.6" customHeight="1" outlineLevel="2">
      <c r="A569" s="545" t="str">
        <f t="shared" ref="A569" si="1978">IF(SUM(P569:V570)&gt;0,"S","N")</f>
        <v>N</v>
      </c>
      <c r="B569" s="526">
        <v>1070012</v>
      </c>
      <c r="C569" s="526" t="s">
        <v>847</v>
      </c>
      <c r="D569" s="527" t="s">
        <v>848</v>
      </c>
      <c r="E569" s="892" t="s">
        <v>849</v>
      </c>
      <c r="F569" s="894" t="s">
        <v>36</v>
      </c>
      <c r="G569" s="528"/>
      <c r="H569" s="546" t="s">
        <v>37</v>
      </c>
      <c r="I569" s="711">
        <v>0</v>
      </c>
      <c r="J569" s="896" t="str">
        <f t="shared" ref="J569" si="1979">IFERROR((I570/I569),"-")</f>
        <v>-</v>
      </c>
      <c r="K569" s="528"/>
      <c r="L569" s="546" t="s">
        <v>37</v>
      </c>
      <c r="M569" s="711">
        <f t="shared" si="1831"/>
        <v>0</v>
      </c>
      <c r="N569" s="896" t="str">
        <f t="shared" ref="N569" si="1980">IFERROR((M570/M569),"-")</f>
        <v>-</v>
      </c>
      <c r="O569" s="528"/>
      <c r="P569" s="547">
        <v>0</v>
      </c>
      <c r="Q569" s="547">
        <v>0</v>
      </c>
      <c r="R569" s="547">
        <v>0</v>
      </c>
      <c r="S569" s="547">
        <v>0</v>
      </c>
      <c r="T569" s="547">
        <v>0</v>
      </c>
      <c r="U569" s="547">
        <v>0</v>
      </c>
      <c r="V569" s="547">
        <v>0</v>
      </c>
      <c r="W569" s="528"/>
      <c r="X569" s="711">
        <f t="shared" si="1824"/>
        <v>0</v>
      </c>
      <c r="Y569" s="896" t="str">
        <f t="shared" ref="Y569" si="1981">IFERROR((X570/X569),"0")</f>
        <v>0</v>
      </c>
      <c r="Z569" s="528"/>
      <c r="AA569" s="898">
        <v>0</v>
      </c>
      <c r="AB569" s="898">
        <v>0</v>
      </c>
      <c r="AC569" s="898">
        <v>0</v>
      </c>
      <c r="AD569" s="900" t="str">
        <f t="shared" ref="AD569" si="1982">IFERROR((AC569/AB569),"-")</f>
        <v>-</v>
      </c>
      <c r="AE569" s="2"/>
      <c r="AF569" s="886">
        <v>445.26</v>
      </c>
      <c r="AG569" s="884"/>
      <c r="AH569" s="884">
        <v>0</v>
      </c>
      <c r="AI569" s="884"/>
      <c r="AJ569" s="884"/>
      <c r="AK569" s="884">
        <f t="shared" ref="AK569" si="1983">AF569+AG569+AH569+AI569+AJ569+AC569</f>
        <v>445.26</v>
      </c>
      <c r="AL569" s="884">
        <v>450</v>
      </c>
      <c r="AM569" s="878">
        <f t="shared" ref="AM569" si="1984">IFERROR((AK569/AL569),"-")</f>
        <v>0.98946666666666661</v>
      </c>
      <c r="AN569" s="2"/>
      <c r="AO569" s="884">
        <v>450</v>
      </c>
      <c r="AP569" s="884">
        <f t="shared" ref="AP569" si="1985">AO569-AK569</f>
        <v>4.7400000000000091</v>
      </c>
      <c r="AV569" t="str">
        <f t="shared" si="1785"/>
        <v xml:space="preserve">Aterro e compactação </v>
      </c>
      <c r="AW569" s="4" t="str">
        <f t="shared" si="1776"/>
        <v xml:space="preserve">   Seg. 2.3- CA 08- Execução de aterro compactado - CA-08 (PN a 95%)</v>
      </c>
    </row>
    <row r="570" spans="1:49" ht="15.6" customHeight="1" outlineLevel="2">
      <c r="A570" s="545" t="str">
        <f t="shared" ref="A570" si="1986">A569</f>
        <v>N</v>
      </c>
      <c r="B570" s="526"/>
      <c r="C570" s="526"/>
      <c r="D570" s="527" t="s">
        <v>848</v>
      </c>
      <c r="E570" s="893"/>
      <c r="F570" s="895"/>
      <c r="G570" s="528"/>
      <c r="H570" s="549" t="s">
        <v>38</v>
      </c>
      <c r="I570" s="711">
        <v>0</v>
      </c>
      <c r="J570" s="897"/>
      <c r="K570" s="528"/>
      <c r="L570" s="549" t="s">
        <v>38</v>
      </c>
      <c r="M570" s="711">
        <f t="shared" si="1831"/>
        <v>0</v>
      </c>
      <c r="N570" s="897"/>
      <c r="O570" s="528"/>
      <c r="P570" s="547">
        <v>0</v>
      </c>
      <c r="Q570" s="547">
        <v>0</v>
      </c>
      <c r="R570" s="547">
        <v>0</v>
      </c>
      <c r="S570" s="547">
        <v>0</v>
      </c>
      <c r="T570" s="547">
        <v>0</v>
      </c>
      <c r="U570" s="547">
        <v>0</v>
      </c>
      <c r="V570" s="547">
        <v>0</v>
      </c>
      <c r="W570" s="528"/>
      <c r="X570" s="711">
        <f t="shared" si="1824"/>
        <v>0</v>
      </c>
      <c r="Y570" s="897"/>
      <c r="Z570" s="528"/>
      <c r="AA570" s="899"/>
      <c r="AB570" s="899"/>
      <c r="AC570" s="899"/>
      <c r="AD570" s="901"/>
      <c r="AE570" s="2"/>
      <c r="AF570" s="926"/>
      <c r="AG570" s="885"/>
      <c r="AH570" s="885"/>
      <c r="AI570" s="885"/>
      <c r="AJ570" s="885"/>
      <c r="AK570" s="885"/>
      <c r="AL570" s="885"/>
      <c r="AM570" s="879"/>
      <c r="AN570" s="2"/>
      <c r="AO570" s="886"/>
      <c r="AP570" s="886"/>
      <c r="AV570" t="str">
        <f t="shared" si="1785"/>
        <v xml:space="preserve">Aterro e compactação </v>
      </c>
      <c r="AW570" s="4" t="str">
        <f t="shared" si="1776"/>
        <v xml:space="preserve">   Seg. 2.3- CA 08- Execução de aterro compactado - CA-08 (PN a 95%)</v>
      </c>
    </row>
    <row r="571" spans="1:49" ht="15.6" customHeight="1" outlineLevel="2">
      <c r="A571" s="545" t="str">
        <f t="shared" ref="A571" si="1987">IF(SUM(P571:V572)&gt;0,"S","N")</f>
        <v>N</v>
      </c>
      <c r="B571" s="526">
        <v>1070013</v>
      </c>
      <c r="C571" s="526" t="s">
        <v>850</v>
      </c>
      <c r="D571" s="527" t="s">
        <v>851</v>
      </c>
      <c r="E571" s="892" t="s">
        <v>852</v>
      </c>
      <c r="F571" s="894" t="s">
        <v>36</v>
      </c>
      <c r="G571" s="528"/>
      <c r="H571" s="546" t="s">
        <v>37</v>
      </c>
      <c r="I571" s="711">
        <v>0</v>
      </c>
      <c r="J571" s="896" t="str">
        <f t="shared" ref="J571" si="1988">IFERROR((I572/I571),"-")</f>
        <v>-</v>
      </c>
      <c r="K571" s="528"/>
      <c r="L571" s="546" t="s">
        <v>37</v>
      </c>
      <c r="M571" s="711">
        <f t="shared" si="1831"/>
        <v>0</v>
      </c>
      <c r="N571" s="896" t="str">
        <f t="shared" ref="N571" si="1989">IFERROR((M572/M571),"-")</f>
        <v>-</v>
      </c>
      <c r="O571" s="528"/>
      <c r="P571" s="547">
        <v>0</v>
      </c>
      <c r="Q571" s="547">
        <v>0</v>
      </c>
      <c r="R571" s="547">
        <v>0</v>
      </c>
      <c r="S571" s="547">
        <v>0</v>
      </c>
      <c r="T571" s="547">
        <v>0</v>
      </c>
      <c r="U571" s="547">
        <v>0</v>
      </c>
      <c r="V571" s="547">
        <v>0</v>
      </c>
      <c r="W571" s="528"/>
      <c r="X571" s="711">
        <f t="shared" si="1824"/>
        <v>0</v>
      </c>
      <c r="Y571" s="896" t="str">
        <f t="shared" ref="Y571" si="1990">IFERROR((X572/X571),"0")</f>
        <v>0</v>
      </c>
      <c r="Z571" s="528"/>
      <c r="AA571" s="898">
        <v>0</v>
      </c>
      <c r="AB571" s="898">
        <v>0</v>
      </c>
      <c r="AC571" s="898">
        <v>0</v>
      </c>
      <c r="AD571" s="900" t="str">
        <f t="shared" ref="AD571" si="1991">IFERROR((AC571/AB571),"-")</f>
        <v>-</v>
      </c>
      <c r="AE571" s="2"/>
      <c r="AF571" s="886">
        <v>59</v>
      </c>
      <c r="AG571" s="884"/>
      <c r="AH571" s="884">
        <v>0</v>
      </c>
      <c r="AI571" s="884"/>
      <c r="AJ571" s="884"/>
      <c r="AK571" s="884">
        <f t="shared" ref="AK571" si="1992">AF571+AG571+AH571+AI571+AJ571+AC571</f>
        <v>59</v>
      </c>
      <c r="AL571" s="884">
        <v>59</v>
      </c>
      <c r="AM571" s="878">
        <f t="shared" ref="AM571" si="1993">IFERROR((AK571/AL571),"-")</f>
        <v>1</v>
      </c>
      <c r="AN571" s="2"/>
      <c r="AO571" s="884">
        <v>59</v>
      </c>
      <c r="AP571" s="884">
        <f t="shared" ref="AP571" si="1994">AO571-AK571</f>
        <v>0</v>
      </c>
      <c r="AV571" t="str">
        <f t="shared" si="1785"/>
        <v xml:space="preserve">Aterro e compactação </v>
      </c>
      <c r="AW571" s="4" t="str">
        <f t="shared" si="1776"/>
        <v xml:space="preserve">   Seg. 2.3- CA 09- Execução de aterro compactado - CA-09 (PN a 95%)</v>
      </c>
    </row>
    <row r="572" spans="1:49" ht="15.6" customHeight="1" outlineLevel="2">
      <c r="A572" s="545" t="str">
        <f t="shared" ref="A572" si="1995">A571</f>
        <v>N</v>
      </c>
      <c r="B572" s="526"/>
      <c r="C572" s="526"/>
      <c r="D572" s="527" t="s">
        <v>851</v>
      </c>
      <c r="E572" s="893"/>
      <c r="F572" s="895"/>
      <c r="G572" s="528"/>
      <c r="H572" s="549" t="s">
        <v>38</v>
      </c>
      <c r="I572" s="711">
        <v>0</v>
      </c>
      <c r="J572" s="897"/>
      <c r="K572" s="528"/>
      <c r="L572" s="549" t="s">
        <v>38</v>
      </c>
      <c r="M572" s="711">
        <f t="shared" si="1831"/>
        <v>0</v>
      </c>
      <c r="N572" s="897"/>
      <c r="O572" s="528"/>
      <c r="P572" s="547">
        <v>0</v>
      </c>
      <c r="Q572" s="547">
        <v>0</v>
      </c>
      <c r="R572" s="547">
        <v>0</v>
      </c>
      <c r="S572" s="547">
        <v>0</v>
      </c>
      <c r="T572" s="547">
        <v>0</v>
      </c>
      <c r="U572" s="547">
        <v>0</v>
      </c>
      <c r="V572" s="547">
        <v>0</v>
      </c>
      <c r="W572" s="528"/>
      <c r="X572" s="711">
        <f t="shared" si="1824"/>
        <v>0</v>
      </c>
      <c r="Y572" s="897"/>
      <c r="Z572" s="528"/>
      <c r="AA572" s="899"/>
      <c r="AB572" s="899"/>
      <c r="AC572" s="899"/>
      <c r="AD572" s="901"/>
      <c r="AE572" s="2"/>
      <c r="AF572" s="926"/>
      <c r="AG572" s="885"/>
      <c r="AH572" s="885"/>
      <c r="AI572" s="885"/>
      <c r="AJ572" s="885"/>
      <c r="AK572" s="885"/>
      <c r="AL572" s="885"/>
      <c r="AM572" s="879"/>
      <c r="AN572" s="2"/>
      <c r="AO572" s="886"/>
      <c r="AP572" s="886"/>
      <c r="AV572" t="str">
        <f t="shared" si="1785"/>
        <v xml:space="preserve">Aterro e compactação </v>
      </c>
      <c r="AW572" s="4" t="str">
        <f t="shared" si="1776"/>
        <v xml:space="preserve">   Seg. 2.3- CA 09- Execução de aterro compactado - CA-09 (PN a 95%)</v>
      </c>
    </row>
    <row r="573" spans="1:49" ht="15.6" customHeight="1" outlineLevel="2">
      <c r="A573" s="545" t="str">
        <f t="shared" ref="A573" si="1996">IF(SUM(P573:V574)&gt;0,"S","N")</f>
        <v>N</v>
      </c>
      <c r="B573" s="526">
        <v>1070016</v>
      </c>
      <c r="C573" s="526" t="s">
        <v>853</v>
      </c>
      <c r="D573" s="527" t="s">
        <v>854</v>
      </c>
      <c r="E573" s="892" t="s">
        <v>855</v>
      </c>
      <c r="F573" s="894" t="s">
        <v>36</v>
      </c>
      <c r="G573" s="528"/>
      <c r="H573" s="546" t="s">
        <v>37</v>
      </c>
      <c r="I573" s="711">
        <v>0</v>
      </c>
      <c r="J573" s="896" t="str">
        <f t="shared" ref="J573" si="1997">IFERROR((I574/I573),"-")</f>
        <v>-</v>
      </c>
      <c r="K573" s="528"/>
      <c r="L573" s="546" t="s">
        <v>37</v>
      </c>
      <c r="M573" s="711">
        <f t="shared" si="1831"/>
        <v>0</v>
      </c>
      <c r="N573" s="896" t="str">
        <f t="shared" ref="N573" si="1998">IFERROR((M574/M573),"-")</f>
        <v>-</v>
      </c>
      <c r="O573" s="528"/>
      <c r="P573" s="547">
        <v>0</v>
      </c>
      <c r="Q573" s="547">
        <v>0</v>
      </c>
      <c r="R573" s="547">
        <v>0</v>
      </c>
      <c r="S573" s="547">
        <v>0</v>
      </c>
      <c r="T573" s="547">
        <v>0</v>
      </c>
      <c r="U573" s="547">
        <v>0</v>
      </c>
      <c r="V573" s="547">
        <v>0</v>
      </c>
      <c r="W573" s="528"/>
      <c r="X573" s="711">
        <f t="shared" si="1824"/>
        <v>0</v>
      </c>
      <c r="Y573" s="896" t="str">
        <f t="shared" ref="Y573" si="1999">IFERROR((X574/X573),"0")</f>
        <v>0</v>
      </c>
      <c r="Z573" s="528"/>
      <c r="AA573" s="898">
        <v>216</v>
      </c>
      <c r="AB573" s="898">
        <v>0</v>
      </c>
      <c r="AC573" s="898">
        <v>0</v>
      </c>
      <c r="AD573" s="900" t="str">
        <f t="shared" ref="AD573" si="2000">IFERROR((AC573/AB573),"-")</f>
        <v>-</v>
      </c>
      <c r="AE573" s="2"/>
      <c r="AF573" s="886">
        <v>0</v>
      </c>
      <c r="AG573" s="884"/>
      <c r="AH573" s="884">
        <v>0</v>
      </c>
      <c r="AI573" s="884"/>
      <c r="AJ573" s="884"/>
      <c r="AK573" s="884">
        <f t="shared" ref="AK573" si="2001">AF573+AG573+AH573+AI573+AJ573+AC573</f>
        <v>0</v>
      </c>
      <c r="AL573" s="884">
        <v>0</v>
      </c>
      <c r="AM573" s="878" t="str">
        <f t="shared" ref="AM573" si="2002">IFERROR((AK573/AL573),"-")</f>
        <v>-</v>
      </c>
      <c r="AN573" s="2"/>
      <c r="AO573" s="884">
        <v>216</v>
      </c>
      <c r="AP573" s="884">
        <f t="shared" ref="AP573" si="2003">AO573-AK573</f>
        <v>216</v>
      </c>
      <c r="AV573" t="str">
        <f t="shared" si="1785"/>
        <v xml:space="preserve">Aterro e compactação </v>
      </c>
      <c r="AW573" s="4" t="str">
        <f t="shared" si="1776"/>
        <v xml:space="preserve">   Seg. 2.3- CA 10- Execução de aterro compactado - CA-10 (PN a 95%)</v>
      </c>
    </row>
    <row r="574" spans="1:49" ht="15.6" customHeight="1" outlineLevel="2">
      <c r="A574" s="545" t="str">
        <f t="shared" ref="A574" si="2004">A573</f>
        <v>N</v>
      </c>
      <c r="B574" s="526"/>
      <c r="C574" s="526"/>
      <c r="D574" s="527" t="s">
        <v>854</v>
      </c>
      <c r="E574" s="893"/>
      <c r="F574" s="895"/>
      <c r="G574" s="528"/>
      <c r="H574" s="549" t="s">
        <v>38</v>
      </c>
      <c r="I574" s="711">
        <v>0</v>
      </c>
      <c r="J574" s="897"/>
      <c r="K574" s="528"/>
      <c r="L574" s="549" t="s">
        <v>38</v>
      </c>
      <c r="M574" s="711">
        <f t="shared" si="1831"/>
        <v>0</v>
      </c>
      <c r="N574" s="897"/>
      <c r="O574" s="528"/>
      <c r="P574" s="547">
        <v>0</v>
      </c>
      <c r="Q574" s="547">
        <v>0</v>
      </c>
      <c r="R574" s="547">
        <v>0</v>
      </c>
      <c r="S574" s="547">
        <v>0</v>
      </c>
      <c r="T574" s="547">
        <v>0</v>
      </c>
      <c r="U574" s="547">
        <v>0</v>
      </c>
      <c r="V574" s="547">
        <v>0</v>
      </c>
      <c r="W574" s="528"/>
      <c r="X574" s="711">
        <f t="shared" si="1824"/>
        <v>0</v>
      </c>
      <c r="Y574" s="897"/>
      <c r="Z574" s="528"/>
      <c r="AA574" s="899"/>
      <c r="AB574" s="899"/>
      <c r="AC574" s="899"/>
      <c r="AD574" s="901"/>
      <c r="AE574" s="2"/>
      <c r="AF574" s="926"/>
      <c r="AG574" s="885"/>
      <c r="AH574" s="885"/>
      <c r="AI574" s="885"/>
      <c r="AJ574" s="885"/>
      <c r="AK574" s="885"/>
      <c r="AL574" s="885"/>
      <c r="AM574" s="879"/>
      <c r="AN574" s="2"/>
      <c r="AO574" s="886"/>
      <c r="AP574" s="886"/>
      <c r="AV574" t="str">
        <f t="shared" si="1785"/>
        <v xml:space="preserve">Aterro e compactação </v>
      </c>
      <c r="AW574" s="4" t="str">
        <f t="shared" si="1776"/>
        <v xml:space="preserve">   Seg. 2.3- CA 10- Execução de aterro compactado - CA-10 (PN a 95%)</v>
      </c>
    </row>
    <row r="575" spans="1:49" ht="15.6" customHeight="1" outlineLevel="2">
      <c r="A575" s="545" t="str">
        <f t="shared" ref="A575" si="2005">IF(SUM(P575:V576)&gt;0,"S","N")</f>
        <v>N</v>
      </c>
      <c r="B575" s="526">
        <v>1070017</v>
      </c>
      <c r="C575" s="526" t="s">
        <v>856</v>
      </c>
      <c r="D575" s="527" t="s">
        <v>857</v>
      </c>
      <c r="E575" s="892" t="s">
        <v>858</v>
      </c>
      <c r="F575" s="894" t="s">
        <v>36</v>
      </c>
      <c r="G575" s="528"/>
      <c r="H575" s="546" t="s">
        <v>37</v>
      </c>
      <c r="I575" s="711">
        <v>0</v>
      </c>
      <c r="J575" s="896" t="str">
        <f t="shared" ref="J575" si="2006">IFERROR((I576/I575),"-")</f>
        <v>-</v>
      </c>
      <c r="K575" s="528"/>
      <c r="L575" s="546" t="s">
        <v>37</v>
      </c>
      <c r="M575" s="711">
        <f t="shared" si="1831"/>
        <v>0</v>
      </c>
      <c r="N575" s="896" t="str">
        <f t="shared" ref="N575" si="2007">IFERROR((M576/M575),"-")</f>
        <v>-</v>
      </c>
      <c r="O575" s="528"/>
      <c r="P575" s="547">
        <v>0</v>
      </c>
      <c r="Q575" s="547">
        <v>0</v>
      </c>
      <c r="R575" s="547">
        <v>0</v>
      </c>
      <c r="S575" s="547">
        <v>0</v>
      </c>
      <c r="T575" s="547">
        <v>0</v>
      </c>
      <c r="U575" s="547">
        <v>0</v>
      </c>
      <c r="V575" s="547">
        <v>0</v>
      </c>
      <c r="W575" s="528"/>
      <c r="X575" s="711">
        <f t="shared" si="1824"/>
        <v>0</v>
      </c>
      <c r="Y575" s="896" t="str">
        <f t="shared" ref="Y575" si="2008">IFERROR((X576/X575),"0")</f>
        <v>0</v>
      </c>
      <c r="Z575" s="528"/>
      <c r="AA575" s="898">
        <v>659</v>
      </c>
      <c r="AB575" s="898">
        <v>0</v>
      </c>
      <c r="AC575" s="898">
        <v>0</v>
      </c>
      <c r="AD575" s="900" t="str">
        <f t="shared" ref="AD575" si="2009">IFERROR((AC575/AB575),"-")</f>
        <v>-</v>
      </c>
      <c r="AE575" s="2"/>
      <c r="AF575" s="886">
        <v>0</v>
      </c>
      <c r="AG575" s="884"/>
      <c r="AH575" s="884">
        <v>0</v>
      </c>
      <c r="AI575" s="884"/>
      <c r="AJ575" s="884"/>
      <c r="AK575" s="884">
        <f t="shared" ref="AK575" si="2010">AF575+AG575+AH575+AI575+AJ575+AC575</f>
        <v>0</v>
      </c>
      <c r="AL575" s="884">
        <v>0</v>
      </c>
      <c r="AM575" s="878" t="str">
        <f t="shared" ref="AM575" si="2011">IFERROR((AK575/AL575),"-")</f>
        <v>-</v>
      </c>
      <c r="AN575" s="2"/>
      <c r="AO575" s="884">
        <v>659</v>
      </c>
      <c r="AP575" s="884">
        <f t="shared" ref="AP575" si="2012">AO575-AK575</f>
        <v>659</v>
      </c>
      <c r="AV575" t="str">
        <f t="shared" si="1785"/>
        <v xml:space="preserve">Aterro e compactação </v>
      </c>
      <c r="AW575" s="4" t="str">
        <f t="shared" si="1776"/>
        <v xml:space="preserve">   Seg. 2.3- CA 11- Execução de aterro compactado - CA-11 (PN a 95%)</v>
      </c>
    </row>
    <row r="576" spans="1:49" ht="15.6" customHeight="1" outlineLevel="2">
      <c r="A576" s="545" t="str">
        <f t="shared" ref="A576" si="2013">A575</f>
        <v>N</v>
      </c>
      <c r="B576" s="526"/>
      <c r="C576" s="526"/>
      <c r="D576" s="527" t="s">
        <v>857</v>
      </c>
      <c r="E576" s="893"/>
      <c r="F576" s="895"/>
      <c r="G576" s="528"/>
      <c r="H576" s="549" t="s">
        <v>38</v>
      </c>
      <c r="I576" s="711">
        <v>0</v>
      </c>
      <c r="J576" s="897"/>
      <c r="K576" s="528"/>
      <c r="L576" s="549" t="s">
        <v>38</v>
      </c>
      <c r="M576" s="711">
        <f t="shared" si="1831"/>
        <v>0</v>
      </c>
      <c r="N576" s="897"/>
      <c r="O576" s="528"/>
      <c r="P576" s="547">
        <v>0</v>
      </c>
      <c r="Q576" s="547">
        <v>0</v>
      </c>
      <c r="R576" s="547">
        <v>0</v>
      </c>
      <c r="S576" s="547">
        <v>0</v>
      </c>
      <c r="T576" s="547">
        <v>0</v>
      </c>
      <c r="U576" s="547">
        <v>0</v>
      </c>
      <c r="V576" s="547">
        <v>0</v>
      </c>
      <c r="W576" s="528"/>
      <c r="X576" s="711">
        <f t="shared" si="1824"/>
        <v>0</v>
      </c>
      <c r="Y576" s="897"/>
      <c r="Z576" s="528"/>
      <c r="AA576" s="899"/>
      <c r="AB576" s="899"/>
      <c r="AC576" s="899"/>
      <c r="AD576" s="901"/>
      <c r="AE576" s="2"/>
      <c r="AF576" s="926"/>
      <c r="AG576" s="885"/>
      <c r="AH576" s="885"/>
      <c r="AI576" s="885"/>
      <c r="AJ576" s="885"/>
      <c r="AK576" s="885"/>
      <c r="AL576" s="885"/>
      <c r="AM576" s="879"/>
      <c r="AN576" s="2"/>
      <c r="AO576" s="886"/>
      <c r="AP576" s="886"/>
      <c r="AV576" t="str">
        <f t="shared" si="1785"/>
        <v xml:space="preserve">Aterro e compactação </v>
      </c>
      <c r="AW576" s="4" t="str">
        <f t="shared" si="1776"/>
        <v xml:space="preserve">   Seg. 2.3- CA 11- Execução de aterro compactado - CA-11 (PN a 95%)</v>
      </c>
    </row>
    <row r="577" spans="1:49" ht="15.6" customHeight="1" outlineLevel="2">
      <c r="A577" s="545" t="str">
        <f t="shared" ref="A577" si="2014">IF(SUM(P577:V578)&gt;0,"S","N")</f>
        <v>N</v>
      </c>
      <c r="B577" s="526">
        <v>1070021</v>
      </c>
      <c r="C577" s="526" t="s">
        <v>859</v>
      </c>
      <c r="D577" s="527" t="s">
        <v>860</v>
      </c>
      <c r="E577" s="892" t="s">
        <v>861</v>
      </c>
      <c r="F577" s="894" t="s">
        <v>36</v>
      </c>
      <c r="G577" s="528"/>
      <c r="H577" s="546" t="s">
        <v>37</v>
      </c>
      <c r="I577" s="711">
        <v>0</v>
      </c>
      <c r="J577" s="896" t="str">
        <f t="shared" ref="J577" si="2015">IFERROR((I578/I577),"-")</f>
        <v>-</v>
      </c>
      <c r="K577" s="528"/>
      <c r="L577" s="546" t="s">
        <v>37</v>
      </c>
      <c r="M577" s="711">
        <f t="shared" si="1831"/>
        <v>0</v>
      </c>
      <c r="N577" s="896" t="str">
        <f t="shared" ref="N577" si="2016">IFERROR((M578/M577),"-")</f>
        <v>-</v>
      </c>
      <c r="O577" s="528"/>
      <c r="P577" s="547">
        <v>0</v>
      </c>
      <c r="Q577" s="547">
        <v>0</v>
      </c>
      <c r="R577" s="547">
        <v>0</v>
      </c>
      <c r="S577" s="547">
        <v>0</v>
      </c>
      <c r="T577" s="547">
        <v>0</v>
      </c>
      <c r="U577" s="547">
        <v>0</v>
      </c>
      <c r="V577" s="547">
        <v>0</v>
      </c>
      <c r="W577" s="528"/>
      <c r="X577" s="711">
        <f t="shared" si="1824"/>
        <v>0</v>
      </c>
      <c r="Y577" s="896" t="str">
        <f t="shared" ref="Y577" si="2017">IFERROR((X578/X577),"0")</f>
        <v>0</v>
      </c>
      <c r="Z577" s="528"/>
      <c r="AA577" s="898">
        <v>391.44</v>
      </c>
      <c r="AB577" s="898">
        <v>0</v>
      </c>
      <c r="AC577" s="898">
        <v>0</v>
      </c>
      <c r="AD577" s="900" t="str">
        <f t="shared" ref="AD577" si="2018">IFERROR((AC577/AB577),"-")</f>
        <v>-</v>
      </c>
      <c r="AE577" s="2"/>
      <c r="AF577" s="886">
        <v>0</v>
      </c>
      <c r="AG577" s="884"/>
      <c r="AH577" s="884">
        <v>0</v>
      </c>
      <c r="AI577" s="884"/>
      <c r="AJ577" s="884"/>
      <c r="AK577" s="884">
        <f t="shared" ref="AK577" si="2019">AF577+AG577+AH577+AI577+AJ577+AC577</f>
        <v>0</v>
      </c>
      <c r="AL577" s="884">
        <v>0</v>
      </c>
      <c r="AM577" s="878" t="str">
        <f t="shared" ref="AM577" si="2020">IFERROR((AK577/AL577),"-")</f>
        <v>-</v>
      </c>
      <c r="AN577" s="2"/>
      <c r="AO577" s="884">
        <v>813</v>
      </c>
      <c r="AP577" s="884">
        <f t="shared" ref="AP577" si="2021">AO577-AK577</f>
        <v>813</v>
      </c>
      <c r="AV577" t="str">
        <f t="shared" si="1785"/>
        <v xml:space="preserve">Aterro e compactação </v>
      </c>
      <c r="AW577" s="4" t="str">
        <f t="shared" si="1776"/>
        <v xml:space="preserve">   Execução de aterro compactado - Seg. 2.3 CANAL-KM 125</v>
      </c>
    </row>
    <row r="578" spans="1:49" ht="15.6" customHeight="1" outlineLevel="2">
      <c r="A578" s="545" t="str">
        <f t="shared" ref="A578" si="2022">A577</f>
        <v>N</v>
      </c>
      <c r="B578" s="526"/>
      <c r="C578" s="526"/>
      <c r="D578" s="527" t="s">
        <v>860</v>
      </c>
      <c r="E578" s="893"/>
      <c r="F578" s="895"/>
      <c r="G578" s="528"/>
      <c r="H578" s="549" t="s">
        <v>38</v>
      </c>
      <c r="I578" s="711">
        <v>0</v>
      </c>
      <c r="J578" s="897"/>
      <c r="K578" s="528"/>
      <c r="L578" s="549" t="s">
        <v>38</v>
      </c>
      <c r="M578" s="711">
        <f t="shared" si="1831"/>
        <v>0</v>
      </c>
      <c r="N578" s="897"/>
      <c r="O578" s="528"/>
      <c r="P578" s="547">
        <v>0</v>
      </c>
      <c r="Q578" s="547">
        <v>0</v>
      </c>
      <c r="R578" s="547">
        <v>0</v>
      </c>
      <c r="S578" s="547">
        <v>0</v>
      </c>
      <c r="T578" s="547">
        <v>0</v>
      </c>
      <c r="U578" s="547">
        <v>0</v>
      </c>
      <c r="V578" s="547">
        <v>0</v>
      </c>
      <c r="W578" s="528"/>
      <c r="X578" s="711">
        <f t="shared" si="1824"/>
        <v>0</v>
      </c>
      <c r="Y578" s="897"/>
      <c r="Z578" s="528"/>
      <c r="AA578" s="899"/>
      <c r="AB578" s="899"/>
      <c r="AC578" s="899"/>
      <c r="AD578" s="901"/>
      <c r="AE578" s="2"/>
      <c r="AF578" s="926"/>
      <c r="AG578" s="885"/>
      <c r="AH578" s="885"/>
      <c r="AI578" s="885"/>
      <c r="AJ578" s="885"/>
      <c r="AK578" s="885"/>
      <c r="AL578" s="885"/>
      <c r="AM578" s="879"/>
      <c r="AN578" s="2"/>
      <c r="AO578" s="886"/>
      <c r="AP578" s="886"/>
      <c r="AV578" t="str">
        <f t="shared" si="1785"/>
        <v xml:space="preserve">Aterro e compactação </v>
      </c>
      <c r="AW578" s="4" t="str">
        <f t="shared" si="1776"/>
        <v xml:space="preserve">   Execução de aterro compactado - Seg. 2.3 CANAL-KM 125</v>
      </c>
    </row>
    <row r="579" spans="1:49" ht="15.6" customHeight="1" outlineLevel="2">
      <c r="A579" s="545" t="str">
        <f>IF(SUM(P579:V580)&gt;0,"S","N")</f>
        <v>N</v>
      </c>
      <c r="B579" s="526">
        <v>1070018</v>
      </c>
      <c r="C579" s="526" t="s">
        <v>862</v>
      </c>
      <c r="D579" s="527" t="s">
        <v>863</v>
      </c>
      <c r="E579" s="892" t="s">
        <v>864</v>
      </c>
      <c r="F579" s="902" t="s">
        <v>36</v>
      </c>
      <c r="G579" s="528"/>
      <c r="H579" s="546" t="s">
        <v>37</v>
      </c>
      <c r="I579" s="711">
        <v>0</v>
      </c>
      <c r="J579" s="896" t="str">
        <f t="shared" ref="J579" si="2023">IFERROR((I580/I579),"-")</f>
        <v>-</v>
      </c>
      <c r="K579" s="528"/>
      <c r="L579" s="546" t="s">
        <v>37</v>
      </c>
      <c r="M579" s="711">
        <f>_xlfn.XLOOKUP($N$8,$P$8:$V$8,$P579:$V579)</f>
        <v>0</v>
      </c>
      <c r="N579" s="896" t="str">
        <f t="shared" ref="N579" si="2024">IFERROR((M580/M579),"-")</f>
        <v>-</v>
      </c>
      <c r="O579" s="528"/>
      <c r="P579" s="547">
        <v>0</v>
      </c>
      <c r="Q579" s="547">
        <v>0</v>
      </c>
      <c r="R579" s="547">
        <v>0</v>
      </c>
      <c r="S579" s="547">
        <v>0</v>
      </c>
      <c r="T579" s="547">
        <v>0</v>
      </c>
      <c r="U579" s="547">
        <v>0</v>
      </c>
      <c r="V579" s="547">
        <v>0</v>
      </c>
      <c r="W579" s="528"/>
      <c r="X579" s="711">
        <f>SUMIFS(P579:V579,$P$8:$V$8,"&gt;="&amp;$P$8,$P$8:$V$8,"&lt;="&amp;$N$8)</f>
        <v>0</v>
      </c>
      <c r="Y579" s="896" t="str">
        <f t="shared" ref="Y579" si="2025">IFERROR((X580/X579),"0")</f>
        <v>0</v>
      </c>
      <c r="Z579" s="528"/>
      <c r="AA579" s="898">
        <v>0</v>
      </c>
      <c r="AB579" s="898">
        <v>0</v>
      </c>
      <c r="AC579" s="898">
        <v>0</v>
      </c>
      <c r="AD579" s="900" t="str">
        <f>IFERROR((AC579/AB579),"-")</f>
        <v>-</v>
      </c>
      <c r="AE579" s="2"/>
      <c r="AF579" s="886">
        <v>0</v>
      </c>
      <c r="AG579" s="884"/>
      <c r="AH579" s="884">
        <v>0</v>
      </c>
      <c r="AI579" s="884"/>
      <c r="AJ579" s="884"/>
      <c r="AK579" s="884">
        <f t="shared" ref="AK579" si="2026">AF579+AG579+AH579+AI579+AJ579+AC579</f>
        <v>0</v>
      </c>
      <c r="AL579" s="884">
        <v>1102</v>
      </c>
      <c r="AM579" s="878">
        <f t="shared" ref="AM579" si="2027">IFERROR((AK579/AL579),"-")</f>
        <v>0</v>
      </c>
      <c r="AN579" s="2"/>
      <c r="AO579" s="884">
        <v>1102</v>
      </c>
      <c r="AP579" s="884">
        <f t="shared" ref="AP579" si="2028">AO579-AK579</f>
        <v>1102</v>
      </c>
      <c r="AV579" t="str">
        <f t="shared" si="1785"/>
        <v xml:space="preserve">Aterro e compactação </v>
      </c>
      <c r="AW579" s="4" t="str">
        <f t="shared" si="1776"/>
        <v xml:space="preserve">   Execução de aterro compactado - Seg. 2.3 CANAL-KM 122</v>
      </c>
    </row>
    <row r="580" spans="1:49" ht="15.6" customHeight="1" outlineLevel="2">
      <c r="A580" s="545" t="str">
        <f>A579</f>
        <v>N</v>
      </c>
      <c r="B580" s="526"/>
      <c r="C580" s="526"/>
      <c r="D580" s="527" t="s">
        <v>863</v>
      </c>
      <c r="E580" s="893"/>
      <c r="F580" s="902"/>
      <c r="G580" s="528"/>
      <c r="H580" s="549" t="s">
        <v>38</v>
      </c>
      <c r="I580" s="711">
        <v>0</v>
      </c>
      <c r="J580" s="897"/>
      <c r="K580" s="528"/>
      <c r="L580" s="549" t="s">
        <v>38</v>
      </c>
      <c r="M580" s="711">
        <f>_xlfn.XLOOKUP($N$8,$P$8:$V$8,$P580:$V580)</f>
        <v>0</v>
      </c>
      <c r="N580" s="897"/>
      <c r="O580" s="528"/>
      <c r="P580" s="547">
        <v>0</v>
      </c>
      <c r="Q580" s="547">
        <v>0</v>
      </c>
      <c r="R580" s="547">
        <v>0</v>
      </c>
      <c r="S580" s="547">
        <v>0</v>
      </c>
      <c r="T580" s="547">
        <v>0</v>
      </c>
      <c r="U580" s="547">
        <v>0</v>
      </c>
      <c r="V580" s="547">
        <v>0</v>
      </c>
      <c r="W580" s="528"/>
      <c r="X580" s="711">
        <f>SUMIFS(P580:V580,$P$8:$V$8,"&gt;="&amp;$P$8,$P$8:$V$8,"&lt;="&amp;$N$8)</f>
        <v>0</v>
      </c>
      <c r="Y580" s="897"/>
      <c r="Z580" s="528"/>
      <c r="AA580" s="899"/>
      <c r="AB580" s="899"/>
      <c r="AC580" s="899"/>
      <c r="AD580" s="901"/>
      <c r="AE580" s="2"/>
      <c r="AF580" s="926"/>
      <c r="AG580" s="885"/>
      <c r="AH580" s="885"/>
      <c r="AI580" s="885"/>
      <c r="AJ580" s="885"/>
      <c r="AK580" s="885"/>
      <c r="AL580" s="885"/>
      <c r="AM580" s="879"/>
      <c r="AN580" s="2"/>
      <c r="AO580" s="886"/>
      <c r="AP580" s="886"/>
      <c r="AV580" t="str">
        <f t="shared" si="1785"/>
        <v xml:space="preserve">Aterro e compactação </v>
      </c>
      <c r="AW580" s="4" t="str">
        <f t="shared" si="1776"/>
        <v xml:space="preserve">   Execução de aterro compactado - Seg. 2.3 CANAL-KM 122</v>
      </c>
    </row>
    <row r="581" spans="1:49" ht="15.6" customHeight="1" outlineLevel="2">
      <c r="A581" s="545" t="str">
        <f t="shared" ref="A581" si="2029">IF(SUM(P581:V582)&gt;0,"S","N")</f>
        <v>N</v>
      </c>
      <c r="B581" s="526">
        <v>1070039</v>
      </c>
      <c r="C581" s="526" t="s">
        <v>865</v>
      </c>
      <c r="D581" s="527" t="s">
        <v>866</v>
      </c>
      <c r="E581" s="892" t="s">
        <v>867</v>
      </c>
      <c r="F581" s="894" t="s">
        <v>36</v>
      </c>
      <c r="G581" s="528"/>
      <c r="H581" s="546" t="s">
        <v>37</v>
      </c>
      <c r="I581" s="711">
        <v>0</v>
      </c>
      <c r="J581" s="896" t="str">
        <f t="shared" ref="J581" si="2030">IFERROR((I582/I581),"-")</f>
        <v>-</v>
      </c>
      <c r="K581" s="528"/>
      <c r="L581" s="546" t="s">
        <v>37</v>
      </c>
      <c r="M581" s="711">
        <f t="shared" ref="M581:M646" si="2031">_xlfn.XLOOKUP($N$8,$P$8:$V$8,$P581:$V581)</f>
        <v>0</v>
      </c>
      <c r="N581" s="896" t="str">
        <f t="shared" ref="N581" si="2032">IFERROR((M582/M581),"-")</f>
        <v>-</v>
      </c>
      <c r="O581" s="528"/>
      <c r="P581" s="547">
        <v>0</v>
      </c>
      <c r="Q581" s="547">
        <v>0</v>
      </c>
      <c r="R581" s="547">
        <v>0</v>
      </c>
      <c r="S581" s="547">
        <v>0</v>
      </c>
      <c r="T581" s="547">
        <v>0</v>
      </c>
      <c r="U581" s="547">
        <v>0</v>
      </c>
      <c r="V581" s="547">
        <v>0</v>
      </c>
      <c r="W581" s="528"/>
      <c r="X581" s="711">
        <f t="shared" ref="X581:X642" si="2033">SUMIFS(P581:V581,$P$8:$V$8,"&gt;="&amp;$P$8,$P$8:$V$8,"&lt;="&amp;$N$8)</f>
        <v>0</v>
      </c>
      <c r="Y581" s="896" t="str">
        <f t="shared" ref="Y581" si="2034">IFERROR((X582/X581),"0")</f>
        <v>0</v>
      </c>
      <c r="Z581" s="528"/>
      <c r="AA581" s="898">
        <v>3339.62</v>
      </c>
      <c r="AB581" s="898">
        <v>2109.2400000000002</v>
      </c>
      <c r="AC581" s="898">
        <v>0</v>
      </c>
      <c r="AD581" s="900">
        <f t="shared" ref="AD581" si="2035">IFERROR((AC581/AB581),"-")</f>
        <v>0</v>
      </c>
      <c r="AE581" s="2"/>
      <c r="AF581" s="886">
        <v>3535</v>
      </c>
      <c r="AG581" s="884"/>
      <c r="AH581" s="884">
        <v>0</v>
      </c>
      <c r="AI581" s="884"/>
      <c r="AJ581" s="884"/>
      <c r="AK581" s="884">
        <f t="shared" ref="AK581" si="2036">AF581+AG581+AH581+AI581+AJ581+AC581</f>
        <v>3535</v>
      </c>
      <c r="AL581" s="884">
        <v>5644.3500000000022</v>
      </c>
      <c r="AM581" s="878">
        <f t="shared" ref="AM581" si="2037">IFERROR((AK581/AL581),"-")</f>
        <v>0.62629000682098002</v>
      </c>
      <c r="AN581" s="2"/>
      <c r="AO581" s="884">
        <v>6874.62</v>
      </c>
      <c r="AP581" s="884">
        <f t="shared" ref="AP581" si="2038">AO581-AK581</f>
        <v>3339.62</v>
      </c>
      <c r="AV581" t="str">
        <f t="shared" si="1785"/>
        <v xml:space="preserve">Aterro e compactação </v>
      </c>
      <c r="AW581" s="4" t="str">
        <f t="shared" si="1776"/>
        <v xml:space="preserve">   Execução de aterro compactado - GO-336 KM 123+340</v>
      </c>
    </row>
    <row r="582" spans="1:49" ht="15.6" customHeight="1" outlineLevel="2">
      <c r="A582" s="545" t="str">
        <f t="shared" ref="A582" si="2039">A581</f>
        <v>N</v>
      </c>
      <c r="B582" s="526"/>
      <c r="C582" s="526"/>
      <c r="D582" s="527" t="s">
        <v>866</v>
      </c>
      <c r="E582" s="893"/>
      <c r="F582" s="895"/>
      <c r="G582" s="528"/>
      <c r="H582" s="549" t="s">
        <v>38</v>
      </c>
      <c r="I582" s="711">
        <v>0</v>
      </c>
      <c r="J582" s="897"/>
      <c r="K582" s="528"/>
      <c r="L582" s="549" t="s">
        <v>38</v>
      </c>
      <c r="M582" s="711">
        <f t="shared" si="2031"/>
        <v>0</v>
      </c>
      <c r="N582" s="897"/>
      <c r="O582" s="528"/>
      <c r="P582" s="547">
        <v>0</v>
      </c>
      <c r="Q582" s="547">
        <v>0</v>
      </c>
      <c r="R582" s="547">
        <v>0</v>
      </c>
      <c r="S582" s="547">
        <v>0</v>
      </c>
      <c r="T582" s="547">
        <v>0</v>
      </c>
      <c r="U582" s="547">
        <v>0</v>
      </c>
      <c r="V582" s="547">
        <v>0</v>
      </c>
      <c r="W582" s="528"/>
      <c r="X582" s="711">
        <f t="shared" si="2033"/>
        <v>0</v>
      </c>
      <c r="Y582" s="897"/>
      <c r="Z582" s="528"/>
      <c r="AA582" s="899"/>
      <c r="AB582" s="899"/>
      <c r="AC582" s="899"/>
      <c r="AD582" s="901"/>
      <c r="AE582" s="2"/>
      <c r="AF582" s="926"/>
      <c r="AG582" s="885"/>
      <c r="AH582" s="885"/>
      <c r="AI582" s="885"/>
      <c r="AJ582" s="885"/>
      <c r="AK582" s="885"/>
      <c r="AL582" s="885"/>
      <c r="AM582" s="879"/>
      <c r="AN582" s="2"/>
      <c r="AO582" s="886"/>
      <c r="AP582" s="886"/>
      <c r="AV582" t="str">
        <f t="shared" si="1785"/>
        <v xml:space="preserve">Aterro e compactação </v>
      </c>
      <c r="AW582" s="4" t="str">
        <f t="shared" si="1776"/>
        <v xml:space="preserve">   Execução de aterro compactado - GO-336 KM 123+340</v>
      </c>
    </row>
    <row r="583" spans="1:49" ht="15.6" customHeight="1" outlineLevel="2">
      <c r="A583" s="545" t="str">
        <f t="shared" ref="A583" si="2040">IF(SUM(P583:V584)&gt;0,"S","N")</f>
        <v>N</v>
      </c>
      <c r="B583" s="526">
        <v>1058128</v>
      </c>
      <c r="C583" s="526" t="s">
        <v>868</v>
      </c>
      <c r="D583" s="527" t="s">
        <v>869</v>
      </c>
      <c r="E583" s="892" t="s">
        <v>870</v>
      </c>
      <c r="F583" s="894" t="s">
        <v>36</v>
      </c>
      <c r="G583" s="528"/>
      <c r="H583" s="546" t="s">
        <v>37</v>
      </c>
      <c r="I583" s="711">
        <v>0</v>
      </c>
      <c r="J583" s="896" t="str">
        <f t="shared" ref="J583" si="2041">IFERROR((I584/I583),"-")</f>
        <v>-</v>
      </c>
      <c r="K583" s="528"/>
      <c r="L583" s="546" t="s">
        <v>37</v>
      </c>
      <c r="M583" s="711">
        <f t="shared" si="2031"/>
        <v>0</v>
      </c>
      <c r="N583" s="896" t="str">
        <f t="shared" ref="N583" si="2042">IFERROR((M584/M583),"-")</f>
        <v>-</v>
      </c>
      <c r="O583" s="528"/>
      <c r="P583" s="547">
        <v>0</v>
      </c>
      <c r="Q583" s="547">
        <v>0</v>
      </c>
      <c r="R583" s="547">
        <v>0</v>
      </c>
      <c r="S583" s="547">
        <v>0</v>
      </c>
      <c r="T583" s="547">
        <v>0</v>
      </c>
      <c r="U583" s="547">
        <v>0</v>
      </c>
      <c r="V583" s="547">
        <v>0</v>
      </c>
      <c r="W583" s="528"/>
      <c r="X583" s="711">
        <f t="shared" si="2033"/>
        <v>0</v>
      </c>
      <c r="Y583" s="896" t="str">
        <f t="shared" ref="Y583" si="2043">IFERROR((X584/X583),"0")</f>
        <v>0</v>
      </c>
      <c r="Z583" s="528"/>
      <c r="AA583" s="898">
        <v>0</v>
      </c>
      <c r="AB583" s="898">
        <v>0</v>
      </c>
      <c r="AC583" s="898">
        <v>0</v>
      </c>
      <c r="AD583" s="900" t="str">
        <f t="shared" ref="AD583" si="2044">IFERROR((AC583/AB583),"-")</f>
        <v>-</v>
      </c>
      <c r="AE583" s="2"/>
      <c r="AF583" s="886">
        <v>0</v>
      </c>
      <c r="AG583" s="884"/>
      <c r="AH583" s="884">
        <v>0</v>
      </c>
      <c r="AI583" s="884"/>
      <c r="AJ583" s="884"/>
      <c r="AK583" s="884">
        <f t="shared" ref="AK583" si="2045">AF583+AG583+AH583+AI583+AJ583+AC583</f>
        <v>0</v>
      </c>
      <c r="AL583" s="884">
        <v>1922.1000000000001</v>
      </c>
      <c r="AM583" s="878">
        <f t="shared" ref="AM583" si="2046">IFERROR((AK583/AL583),"-")</f>
        <v>0</v>
      </c>
      <c r="AN583" s="2"/>
      <c r="AO583" s="884">
        <v>1922.1</v>
      </c>
      <c r="AP583" s="884">
        <f t="shared" ref="AP583" si="2047">AO583-AK583</f>
        <v>1922.1</v>
      </c>
      <c r="AV583" t="str">
        <f t="shared" si="1785"/>
        <v xml:space="preserve">Aterro e compactação </v>
      </c>
      <c r="AW583" s="4" t="str">
        <f t="shared" si="1776"/>
        <v xml:space="preserve">   Recomposição Camada Final de Aterro (PN a 100%) - Seg.2.3 C14</v>
      </c>
    </row>
    <row r="584" spans="1:49" ht="15.6" customHeight="1" outlineLevel="2">
      <c r="A584" s="545" t="str">
        <f t="shared" ref="A584" si="2048">A583</f>
        <v>N</v>
      </c>
      <c r="B584" s="526"/>
      <c r="C584" s="526"/>
      <c r="D584" s="527" t="s">
        <v>869</v>
      </c>
      <c r="E584" s="893"/>
      <c r="F584" s="895"/>
      <c r="G584" s="528"/>
      <c r="H584" s="549" t="s">
        <v>38</v>
      </c>
      <c r="I584" s="711">
        <v>0</v>
      </c>
      <c r="J584" s="897"/>
      <c r="K584" s="528"/>
      <c r="L584" s="549" t="s">
        <v>38</v>
      </c>
      <c r="M584" s="711">
        <f t="shared" si="2031"/>
        <v>0</v>
      </c>
      <c r="N584" s="897"/>
      <c r="O584" s="528"/>
      <c r="P584" s="547">
        <v>0</v>
      </c>
      <c r="Q584" s="547">
        <v>0</v>
      </c>
      <c r="R584" s="547">
        <v>0</v>
      </c>
      <c r="S584" s="547">
        <v>0</v>
      </c>
      <c r="T584" s="547">
        <v>0</v>
      </c>
      <c r="U584" s="547">
        <v>0</v>
      </c>
      <c r="V584" s="547">
        <v>0</v>
      </c>
      <c r="W584" s="528"/>
      <c r="X584" s="711">
        <f t="shared" si="2033"/>
        <v>0</v>
      </c>
      <c r="Y584" s="897"/>
      <c r="Z584" s="528"/>
      <c r="AA584" s="899"/>
      <c r="AB584" s="899"/>
      <c r="AC584" s="899"/>
      <c r="AD584" s="901"/>
      <c r="AE584" s="2"/>
      <c r="AF584" s="926"/>
      <c r="AG584" s="885"/>
      <c r="AH584" s="885"/>
      <c r="AI584" s="885"/>
      <c r="AJ584" s="885"/>
      <c r="AK584" s="885"/>
      <c r="AL584" s="885"/>
      <c r="AM584" s="879"/>
      <c r="AN584" s="2"/>
      <c r="AO584" s="886"/>
      <c r="AP584" s="886"/>
      <c r="AV584" t="str">
        <f t="shared" si="1785"/>
        <v xml:space="preserve">Aterro e compactação </v>
      </c>
      <c r="AW584" s="4" t="str">
        <f t="shared" si="1776"/>
        <v xml:space="preserve">   Recomposição Camada Final de Aterro (PN a 100%) - Seg.2.3 C14</v>
      </c>
    </row>
    <row r="585" spans="1:49" ht="15.6" customHeight="1" outlineLevel="2">
      <c r="A585" s="545" t="str">
        <f t="shared" ref="A585" si="2049">IF(SUM(P585:V586)&gt;0,"S","N")</f>
        <v>N</v>
      </c>
      <c r="B585" s="526">
        <v>1058142</v>
      </c>
      <c r="C585" s="526" t="s">
        <v>871</v>
      </c>
      <c r="D585" s="527" t="s">
        <v>872</v>
      </c>
      <c r="E585" s="892" t="s">
        <v>873</v>
      </c>
      <c r="F585" s="894" t="s">
        <v>36</v>
      </c>
      <c r="G585" s="528"/>
      <c r="H585" s="546" t="s">
        <v>37</v>
      </c>
      <c r="I585" s="711">
        <v>0</v>
      </c>
      <c r="J585" s="896" t="str">
        <f t="shared" ref="J585" si="2050">IFERROR((I586/I585),"-")</f>
        <v>-</v>
      </c>
      <c r="K585" s="528"/>
      <c r="L585" s="546" t="s">
        <v>37</v>
      </c>
      <c r="M585" s="711">
        <f t="shared" si="2031"/>
        <v>0</v>
      </c>
      <c r="N585" s="896" t="str">
        <f t="shared" ref="N585" si="2051">IFERROR((M586/M585),"-")</f>
        <v>-</v>
      </c>
      <c r="O585" s="528"/>
      <c r="P585" s="547">
        <v>0</v>
      </c>
      <c r="Q585" s="547">
        <v>0</v>
      </c>
      <c r="R585" s="547">
        <v>0</v>
      </c>
      <c r="S585" s="547">
        <v>0</v>
      </c>
      <c r="T585" s="547">
        <v>0</v>
      </c>
      <c r="U585" s="547">
        <v>0</v>
      </c>
      <c r="V585" s="547">
        <v>0</v>
      </c>
      <c r="W585" s="528"/>
      <c r="X585" s="711">
        <f t="shared" si="2033"/>
        <v>0</v>
      </c>
      <c r="Y585" s="896" t="str">
        <f t="shared" ref="Y585" si="2052">IFERROR((X586/X585),"0")</f>
        <v>0</v>
      </c>
      <c r="Z585" s="528"/>
      <c r="AA585" s="898">
        <v>0</v>
      </c>
      <c r="AB585" s="898">
        <v>0</v>
      </c>
      <c r="AC585" s="898">
        <v>3618.2000000000003</v>
      </c>
      <c r="AD585" s="900" t="str">
        <f t="shared" ref="AD585" si="2053">IFERROR((AC585/AB585),"-")</f>
        <v>-</v>
      </c>
      <c r="AE585" s="2"/>
      <c r="AF585" s="886">
        <v>0</v>
      </c>
      <c r="AG585" s="884"/>
      <c r="AH585" s="884">
        <v>0</v>
      </c>
      <c r="AI585" s="884"/>
      <c r="AJ585" s="884"/>
      <c r="AK585" s="884">
        <f t="shared" ref="AK585" si="2054">AF585+AG585+AH585+AI585+AJ585+AC585</f>
        <v>3618.2000000000003</v>
      </c>
      <c r="AL585" s="884">
        <v>5492.48</v>
      </c>
      <c r="AM585" s="878">
        <f t="shared" ref="AM585" si="2055">IFERROR((AK585/AL585),"-")</f>
        <v>0.6587552435329761</v>
      </c>
      <c r="AN585" s="2"/>
      <c r="AO585" s="884">
        <v>5492.47</v>
      </c>
      <c r="AP585" s="884">
        <f t="shared" ref="AP585" si="2056">AO585-AK585</f>
        <v>1874.27</v>
      </c>
      <c r="AV585" t="str">
        <f t="shared" si="1785"/>
        <v xml:space="preserve">Aterro e compactação </v>
      </c>
      <c r="AW585" s="4" t="str">
        <f t="shared" ref="AW585:AW648" si="2057">IF(E585&lt;&gt;"",E585,AW584)</f>
        <v xml:space="preserve">   Recomposição Camada Final de Aterro (PN a 100%) - Seg.2.3 C05</v>
      </c>
    </row>
    <row r="586" spans="1:49" ht="15.6" customHeight="1" outlineLevel="2">
      <c r="A586" s="545" t="str">
        <f t="shared" ref="A586" si="2058">A585</f>
        <v>N</v>
      </c>
      <c r="B586" s="526"/>
      <c r="C586" s="526"/>
      <c r="D586" s="527" t="s">
        <v>872</v>
      </c>
      <c r="E586" s="893"/>
      <c r="F586" s="895"/>
      <c r="G586" s="528"/>
      <c r="H586" s="549" t="s">
        <v>38</v>
      </c>
      <c r="I586" s="711">
        <v>1190.8000000000002</v>
      </c>
      <c r="J586" s="897"/>
      <c r="K586" s="528"/>
      <c r="L586" s="549" t="s">
        <v>38</v>
      </c>
      <c r="M586" s="711">
        <f t="shared" si="2031"/>
        <v>0</v>
      </c>
      <c r="N586" s="897"/>
      <c r="O586" s="528"/>
      <c r="P586" s="547">
        <v>0</v>
      </c>
      <c r="Q586" s="547">
        <v>0</v>
      </c>
      <c r="R586" s="547">
        <v>0</v>
      </c>
      <c r="S586" s="563">
        <v>0</v>
      </c>
      <c r="T586" s="547">
        <v>0</v>
      </c>
      <c r="U586" s="547">
        <v>0</v>
      </c>
      <c r="V586" s="547">
        <v>0</v>
      </c>
      <c r="W586" s="528"/>
      <c r="X586" s="711">
        <f t="shared" si="2033"/>
        <v>0</v>
      </c>
      <c r="Y586" s="897"/>
      <c r="Z586" s="528"/>
      <c r="AA586" s="899"/>
      <c r="AB586" s="899"/>
      <c r="AC586" s="899"/>
      <c r="AD586" s="901"/>
      <c r="AE586" s="2"/>
      <c r="AF586" s="926"/>
      <c r="AG586" s="885"/>
      <c r="AH586" s="885"/>
      <c r="AI586" s="885"/>
      <c r="AJ586" s="885"/>
      <c r="AK586" s="885"/>
      <c r="AL586" s="885"/>
      <c r="AM586" s="879"/>
      <c r="AN586" s="2"/>
      <c r="AO586" s="886"/>
      <c r="AP586" s="886"/>
      <c r="AV586" t="str">
        <f t="shared" ref="AV586:AV649" si="2059">IF(AX586="Y",LEFT(E586,20),IF(AX586="x",E586,AV585))</f>
        <v xml:space="preserve">Aterro e compactação </v>
      </c>
      <c r="AW586" s="4" t="str">
        <f t="shared" si="2057"/>
        <v xml:space="preserve">   Recomposição Camada Final de Aterro (PN a 100%) - Seg.2.3 C05</v>
      </c>
    </row>
    <row r="587" spans="1:49" ht="19.350000000000001" customHeight="1" outlineLevel="2">
      <c r="A587" s="545" t="str">
        <f t="shared" ref="A587" si="2060">IF(SUM(P587:V588)&gt;0,"S","N")</f>
        <v>N</v>
      </c>
      <c r="B587" s="526">
        <v>1058143</v>
      </c>
      <c r="C587" s="526" t="s">
        <v>874</v>
      </c>
      <c r="D587" s="527" t="s">
        <v>875</v>
      </c>
      <c r="E587" s="892" t="s">
        <v>876</v>
      </c>
      <c r="F587" s="894" t="s">
        <v>36</v>
      </c>
      <c r="G587" s="528"/>
      <c r="H587" s="546" t="s">
        <v>37</v>
      </c>
      <c r="I587" s="711">
        <v>0</v>
      </c>
      <c r="J587" s="896" t="str">
        <f t="shared" ref="J587" si="2061">IFERROR((I588/I587),"-")</f>
        <v>-</v>
      </c>
      <c r="K587" s="528"/>
      <c r="L587" s="546" t="s">
        <v>37</v>
      </c>
      <c r="M587" s="711">
        <f t="shared" si="2031"/>
        <v>0</v>
      </c>
      <c r="N587" s="896" t="str">
        <f t="shared" ref="N587" si="2062">IFERROR((M588/M587),"-")</f>
        <v>-</v>
      </c>
      <c r="O587" s="528"/>
      <c r="P587" s="547">
        <v>0</v>
      </c>
      <c r="Q587" s="547">
        <v>0</v>
      </c>
      <c r="R587" s="547">
        <v>0</v>
      </c>
      <c r="S587" s="547">
        <v>0</v>
      </c>
      <c r="T587" s="547">
        <v>0</v>
      </c>
      <c r="U587" s="547">
        <v>0</v>
      </c>
      <c r="V587" s="547">
        <v>0</v>
      </c>
      <c r="W587" s="528"/>
      <c r="X587" s="711">
        <f t="shared" si="2033"/>
        <v>0</v>
      </c>
      <c r="Y587" s="896" t="str">
        <f t="shared" ref="Y587" si="2063">IFERROR((X588/X587),"0")</f>
        <v>0</v>
      </c>
      <c r="Z587" s="528"/>
      <c r="AA587" s="898">
        <v>0</v>
      </c>
      <c r="AB587" s="898">
        <v>0</v>
      </c>
      <c r="AC587" s="898">
        <v>0</v>
      </c>
      <c r="AD587" s="900" t="str">
        <f t="shared" ref="AD587" si="2064">IFERROR((AC587/AB587),"-")</f>
        <v>-</v>
      </c>
      <c r="AE587" s="2"/>
      <c r="AF587" s="886">
        <v>0</v>
      </c>
      <c r="AG587" s="884"/>
      <c r="AH587" s="884">
        <v>0</v>
      </c>
      <c r="AI587" s="884"/>
      <c r="AJ587" s="884"/>
      <c r="AK587" s="884">
        <f t="shared" ref="AK587" si="2065">AF587+AG587+AH587+AI587+AJ587+AC587</f>
        <v>0</v>
      </c>
      <c r="AL587" s="884">
        <v>889.29</v>
      </c>
      <c r="AM587" s="878">
        <f t="shared" ref="AM587" si="2066">IFERROR((AK587/AL587),"-")</f>
        <v>0</v>
      </c>
      <c r="AN587" s="2"/>
      <c r="AO587" s="884">
        <v>889.29</v>
      </c>
      <c r="AP587" s="884">
        <f t="shared" ref="AP587" si="2067">AO587-AK587</f>
        <v>889.29</v>
      </c>
      <c r="AV587" t="str">
        <f t="shared" si="2059"/>
        <v xml:space="preserve">Aterro e compactação </v>
      </c>
      <c r="AW587" s="4" t="str">
        <f t="shared" si="2057"/>
        <v xml:space="preserve">   Recomposição Camada Final de Aterro (PN a 100%) - Seg.2.3 C06</v>
      </c>
    </row>
    <row r="588" spans="1:49" ht="14.45" customHeight="1" outlineLevel="2">
      <c r="A588" s="545" t="str">
        <f t="shared" ref="A588" si="2068">A587</f>
        <v>N</v>
      </c>
      <c r="B588" s="526"/>
      <c r="C588" s="526"/>
      <c r="D588" s="527" t="s">
        <v>875</v>
      </c>
      <c r="E588" s="893"/>
      <c r="F588" s="895"/>
      <c r="G588" s="528"/>
      <c r="H588" s="549" t="s">
        <v>38</v>
      </c>
      <c r="I588" s="711">
        <v>0</v>
      </c>
      <c r="J588" s="897"/>
      <c r="K588" s="528"/>
      <c r="L588" s="549" t="s">
        <v>38</v>
      </c>
      <c r="M588" s="711">
        <f t="shared" si="2031"/>
        <v>0</v>
      </c>
      <c r="N588" s="897"/>
      <c r="O588" s="528"/>
      <c r="P588" s="547">
        <v>0</v>
      </c>
      <c r="Q588" s="547">
        <v>0</v>
      </c>
      <c r="R588" s="547">
        <v>0</v>
      </c>
      <c r="S588" s="547">
        <v>0</v>
      </c>
      <c r="T588" s="547">
        <v>0</v>
      </c>
      <c r="U588" s="547">
        <v>0</v>
      </c>
      <c r="V588" s="547">
        <v>0</v>
      </c>
      <c r="W588" s="528"/>
      <c r="X588" s="711">
        <f t="shared" si="2033"/>
        <v>0</v>
      </c>
      <c r="Y588" s="897"/>
      <c r="Z588" s="528"/>
      <c r="AA588" s="899"/>
      <c r="AB588" s="899"/>
      <c r="AC588" s="899"/>
      <c r="AD588" s="901"/>
      <c r="AE588" s="2"/>
      <c r="AF588" s="926"/>
      <c r="AG588" s="885"/>
      <c r="AH588" s="885"/>
      <c r="AI588" s="885"/>
      <c r="AJ588" s="885"/>
      <c r="AK588" s="885"/>
      <c r="AL588" s="885"/>
      <c r="AM588" s="879"/>
      <c r="AN588" s="2"/>
      <c r="AO588" s="886"/>
      <c r="AP588" s="886"/>
      <c r="AV588" t="str">
        <f t="shared" si="2059"/>
        <v xml:space="preserve">Aterro e compactação </v>
      </c>
      <c r="AW588" s="4" t="str">
        <f t="shared" si="2057"/>
        <v xml:space="preserve">   Recomposição Camada Final de Aterro (PN a 100%) - Seg.2.3 C06</v>
      </c>
    </row>
    <row r="589" spans="1:49" ht="14.45" customHeight="1" outlineLevel="2">
      <c r="A589" s="545" t="str">
        <f t="shared" ref="A589" si="2069">IF(SUM(P589:V590)&gt;0,"S","N")</f>
        <v>N</v>
      </c>
      <c r="B589" s="526">
        <v>1058144</v>
      </c>
      <c r="C589" s="526" t="s">
        <v>877</v>
      </c>
      <c r="D589" s="527" t="s">
        <v>878</v>
      </c>
      <c r="E589" s="892" t="s">
        <v>879</v>
      </c>
      <c r="F589" s="894" t="s">
        <v>36</v>
      </c>
      <c r="G589" s="528"/>
      <c r="H589" s="546" t="s">
        <v>37</v>
      </c>
      <c r="I589" s="711">
        <v>0</v>
      </c>
      <c r="J589" s="896" t="str">
        <f t="shared" ref="J589" si="2070">IFERROR((I590/I589),"-")</f>
        <v>-</v>
      </c>
      <c r="K589" s="528"/>
      <c r="L589" s="546" t="s">
        <v>37</v>
      </c>
      <c r="M589" s="711">
        <f t="shared" si="2031"/>
        <v>0</v>
      </c>
      <c r="N589" s="896" t="str">
        <f t="shared" ref="N589" si="2071">IFERROR((M590/M589),"-")</f>
        <v>-</v>
      </c>
      <c r="O589" s="528"/>
      <c r="P589" s="547">
        <v>0</v>
      </c>
      <c r="Q589" s="547">
        <v>0</v>
      </c>
      <c r="R589" s="547">
        <v>0</v>
      </c>
      <c r="S589" s="547">
        <v>0</v>
      </c>
      <c r="T589" s="547">
        <v>0</v>
      </c>
      <c r="U589" s="547">
        <v>0</v>
      </c>
      <c r="V589" s="547">
        <v>0</v>
      </c>
      <c r="W589" s="528"/>
      <c r="X589" s="711">
        <f t="shared" si="2033"/>
        <v>0</v>
      </c>
      <c r="Y589" s="896" t="str">
        <f t="shared" ref="Y589" si="2072">IFERROR((X590/X589),"0")</f>
        <v>0</v>
      </c>
      <c r="Z589" s="528"/>
      <c r="AA589" s="898">
        <v>0</v>
      </c>
      <c r="AB589" s="898">
        <v>0</v>
      </c>
      <c r="AC589" s="898">
        <v>0</v>
      </c>
      <c r="AD589" s="900" t="str">
        <f t="shared" ref="AD589" si="2073">IFERROR((AC589/AB589),"-")</f>
        <v>-</v>
      </c>
      <c r="AE589" s="2"/>
      <c r="AF589" s="886">
        <v>0</v>
      </c>
      <c r="AG589" s="884"/>
      <c r="AH589" s="884">
        <v>0</v>
      </c>
      <c r="AI589" s="884"/>
      <c r="AJ589" s="884"/>
      <c r="AK589" s="884">
        <f t="shared" ref="AK589" si="2074">AF589+AG589+AH589+AI589+AJ589+AC589</f>
        <v>0</v>
      </c>
      <c r="AL589" s="884">
        <v>4579.2500000000009</v>
      </c>
      <c r="AM589" s="878">
        <f t="shared" ref="AM589" si="2075">IFERROR((AK589/AL589),"-")</f>
        <v>0</v>
      </c>
      <c r="AN589" s="2"/>
      <c r="AO589" s="884">
        <v>4579.22</v>
      </c>
      <c r="AP589" s="884">
        <f t="shared" ref="AP589" si="2076">AO589-AK589</f>
        <v>4579.22</v>
      </c>
      <c r="AV589" t="str">
        <f t="shared" si="2059"/>
        <v xml:space="preserve">Aterro e compactação </v>
      </c>
      <c r="AW589" s="4" t="str">
        <f t="shared" si="2057"/>
        <v xml:space="preserve">   Recomposição Camada Final de Aterro (PN a 100%) - Seg.2.3 C07</v>
      </c>
    </row>
    <row r="590" spans="1:49" ht="15.6" customHeight="1" outlineLevel="2">
      <c r="A590" s="545" t="str">
        <f t="shared" ref="A590" si="2077">A589</f>
        <v>N</v>
      </c>
      <c r="B590" s="526"/>
      <c r="C590" s="526"/>
      <c r="D590" s="527" t="s">
        <v>878</v>
      </c>
      <c r="E590" s="893"/>
      <c r="F590" s="895"/>
      <c r="G590" s="528"/>
      <c r="H590" s="549" t="s">
        <v>38</v>
      </c>
      <c r="I590" s="711">
        <v>0</v>
      </c>
      <c r="J590" s="897"/>
      <c r="K590" s="528"/>
      <c r="L590" s="549" t="s">
        <v>38</v>
      </c>
      <c r="M590" s="711">
        <f t="shared" si="2031"/>
        <v>0</v>
      </c>
      <c r="N590" s="897"/>
      <c r="O590" s="528"/>
      <c r="P590" s="547">
        <v>0</v>
      </c>
      <c r="Q590" s="547">
        <v>0</v>
      </c>
      <c r="R590" s="547">
        <v>0</v>
      </c>
      <c r="S590" s="547">
        <v>0</v>
      </c>
      <c r="T590" s="547">
        <v>0</v>
      </c>
      <c r="U590" s="547">
        <v>0</v>
      </c>
      <c r="V590" s="547">
        <v>0</v>
      </c>
      <c r="W590" s="528"/>
      <c r="X590" s="711">
        <f t="shared" si="2033"/>
        <v>0</v>
      </c>
      <c r="Y590" s="897"/>
      <c r="Z590" s="528"/>
      <c r="AA590" s="899"/>
      <c r="AB590" s="899"/>
      <c r="AC590" s="899"/>
      <c r="AD590" s="901"/>
      <c r="AE590" s="2"/>
      <c r="AF590" s="926"/>
      <c r="AG590" s="885"/>
      <c r="AH590" s="885"/>
      <c r="AI590" s="885"/>
      <c r="AJ590" s="885"/>
      <c r="AK590" s="885"/>
      <c r="AL590" s="885"/>
      <c r="AM590" s="879"/>
      <c r="AN590" s="2"/>
      <c r="AO590" s="886"/>
      <c r="AP590" s="886"/>
      <c r="AV590" t="str">
        <f t="shared" si="2059"/>
        <v xml:space="preserve">Aterro e compactação </v>
      </c>
      <c r="AW590" s="4" t="str">
        <f t="shared" si="2057"/>
        <v xml:space="preserve">   Recomposição Camada Final de Aterro (PN a 100%) - Seg.2.3 C07</v>
      </c>
    </row>
    <row r="591" spans="1:49" ht="15.6" customHeight="1" outlineLevel="2">
      <c r="A591" s="545" t="str">
        <f t="shared" ref="A591" si="2078">IF(SUM(P591:V592)&gt;0,"S","N")</f>
        <v>N</v>
      </c>
      <c r="B591" s="526">
        <v>1058145</v>
      </c>
      <c r="C591" s="526" t="s">
        <v>880</v>
      </c>
      <c r="D591" s="550" t="s">
        <v>881</v>
      </c>
      <c r="E591" s="892" t="s">
        <v>882</v>
      </c>
      <c r="F591" s="894" t="s">
        <v>36</v>
      </c>
      <c r="G591" s="528"/>
      <c r="H591" s="546" t="s">
        <v>37</v>
      </c>
      <c r="I591" s="711">
        <v>0</v>
      </c>
      <c r="J591" s="896" t="str">
        <f t="shared" ref="J591" si="2079">IFERROR((I592/I591),"-")</f>
        <v>-</v>
      </c>
      <c r="K591" s="528"/>
      <c r="L591" s="546" t="s">
        <v>37</v>
      </c>
      <c r="M591" s="711">
        <f t="shared" si="2031"/>
        <v>0</v>
      </c>
      <c r="N591" s="896" t="str">
        <f t="shared" ref="N591" si="2080">IFERROR((M592/M591),"-")</f>
        <v>-</v>
      </c>
      <c r="O591" s="528"/>
      <c r="P591" s="547">
        <v>0</v>
      </c>
      <c r="Q591" s="547">
        <v>0</v>
      </c>
      <c r="R591" s="547">
        <v>0</v>
      </c>
      <c r="S591" s="547">
        <v>0</v>
      </c>
      <c r="T591" s="547">
        <v>0</v>
      </c>
      <c r="U591" s="547">
        <v>0</v>
      </c>
      <c r="V591" s="547">
        <v>0</v>
      </c>
      <c r="W591" s="528"/>
      <c r="X591" s="711">
        <f t="shared" si="2033"/>
        <v>0</v>
      </c>
      <c r="Y591" s="896" t="str">
        <f t="shared" ref="Y591" si="2081">IFERROR((X592/X591),"0")</f>
        <v>0</v>
      </c>
      <c r="Z591" s="528"/>
      <c r="AA591" s="898">
        <v>0</v>
      </c>
      <c r="AB591" s="898">
        <v>0</v>
      </c>
      <c r="AC591" s="898">
        <v>540.44000000000005</v>
      </c>
      <c r="AD591" s="900" t="str">
        <f t="shared" ref="AD591" si="2082">IFERROR((AC591/AB591),"-")</f>
        <v>-</v>
      </c>
      <c r="AE591" s="2"/>
      <c r="AF591" s="886">
        <v>1153</v>
      </c>
      <c r="AG591" s="884"/>
      <c r="AH591" s="884">
        <v>0</v>
      </c>
      <c r="AI591" s="884"/>
      <c r="AJ591" s="884"/>
      <c r="AK591" s="884">
        <f t="shared" ref="AK591" si="2083">AF591+AG591+AH591+AI591+AJ591+AC591</f>
        <v>1693.44</v>
      </c>
      <c r="AL591" s="884">
        <v>750.22999999999865</v>
      </c>
      <c r="AM591" s="878">
        <f>IFERROR((AK591/AL591),"-")</f>
        <v>2.257227783479737</v>
      </c>
      <c r="AN591" s="2"/>
      <c r="AO591" s="884">
        <v>13896.42</v>
      </c>
      <c r="AP591" s="884">
        <f t="shared" ref="AP591" si="2084">AO591-AK591</f>
        <v>12202.98</v>
      </c>
      <c r="AV591" t="str">
        <f t="shared" si="2059"/>
        <v xml:space="preserve">Aterro e compactação </v>
      </c>
      <c r="AW591" s="4" t="str">
        <f t="shared" si="2057"/>
        <v xml:space="preserve">   Recomposição Camada Final de Aterro (PN a 100%) - Seg.2.3 C08</v>
      </c>
    </row>
    <row r="592" spans="1:49" ht="15.6" customHeight="1" outlineLevel="2">
      <c r="A592" s="545" t="str">
        <f t="shared" ref="A592" si="2085">A591</f>
        <v>N</v>
      </c>
      <c r="B592" s="526"/>
      <c r="C592" s="526"/>
      <c r="D592" s="550" t="s">
        <v>881</v>
      </c>
      <c r="E592" s="893"/>
      <c r="F592" s="895"/>
      <c r="G592" s="528"/>
      <c r="H592" s="549" t="s">
        <v>38</v>
      </c>
      <c r="I592" s="711">
        <v>0</v>
      </c>
      <c r="J592" s="897"/>
      <c r="K592" s="528"/>
      <c r="L592" s="549" t="s">
        <v>38</v>
      </c>
      <c r="M592" s="711">
        <f t="shared" si="2031"/>
        <v>0</v>
      </c>
      <c r="N592" s="897"/>
      <c r="O592" s="528"/>
      <c r="P592" s="547">
        <v>0</v>
      </c>
      <c r="Q592" s="547">
        <v>0</v>
      </c>
      <c r="R592" s="547">
        <v>0</v>
      </c>
      <c r="S592" s="547">
        <v>0</v>
      </c>
      <c r="T592" s="547">
        <v>0</v>
      </c>
      <c r="U592" s="547">
        <v>0</v>
      </c>
      <c r="V592" s="547">
        <v>0</v>
      </c>
      <c r="W592" s="528"/>
      <c r="X592" s="711">
        <f t="shared" si="2033"/>
        <v>0</v>
      </c>
      <c r="Y592" s="897"/>
      <c r="Z592" s="528"/>
      <c r="AA592" s="899"/>
      <c r="AB592" s="899"/>
      <c r="AC592" s="899"/>
      <c r="AD592" s="901"/>
      <c r="AE592" s="2"/>
      <c r="AF592" s="926"/>
      <c r="AG592" s="885"/>
      <c r="AH592" s="885"/>
      <c r="AI592" s="885"/>
      <c r="AJ592" s="885"/>
      <c r="AK592" s="885"/>
      <c r="AL592" s="885"/>
      <c r="AM592" s="879"/>
      <c r="AN592" s="2"/>
      <c r="AO592" s="885"/>
      <c r="AP592" s="886"/>
      <c r="AV592" t="str">
        <f t="shared" si="2059"/>
        <v xml:space="preserve">Aterro e compactação </v>
      </c>
      <c r="AW592" s="4" t="str">
        <f t="shared" si="2057"/>
        <v xml:space="preserve">   Recomposição Camada Final de Aterro (PN a 100%) - Seg.2.3 C08</v>
      </c>
    </row>
    <row r="593" spans="1:49" ht="15.6" customHeight="1" outlineLevel="2">
      <c r="A593" s="545" t="str">
        <f t="shared" ref="A593" si="2086">IF(SUM(P593:V594)&gt;0,"S","N")</f>
        <v>N</v>
      </c>
      <c r="B593" s="526">
        <v>1058146</v>
      </c>
      <c r="C593" s="526" t="s">
        <v>883</v>
      </c>
      <c r="D593" s="527" t="s">
        <v>884</v>
      </c>
      <c r="E593" s="892" t="s">
        <v>885</v>
      </c>
      <c r="F593" s="894" t="s">
        <v>36</v>
      </c>
      <c r="G593" s="528"/>
      <c r="H593" s="546" t="s">
        <v>37</v>
      </c>
      <c r="I593" s="711">
        <v>0</v>
      </c>
      <c r="J593" s="896" t="str">
        <f t="shared" ref="J593" si="2087">IFERROR((I594/I593),"-")</f>
        <v>-</v>
      </c>
      <c r="K593" s="528"/>
      <c r="L593" s="546" t="s">
        <v>37</v>
      </c>
      <c r="M593" s="711">
        <f t="shared" si="2031"/>
        <v>0</v>
      </c>
      <c r="N593" s="896" t="str">
        <f t="shared" ref="N593" si="2088">IFERROR((M594/M593),"-")</f>
        <v>-</v>
      </c>
      <c r="O593" s="528"/>
      <c r="P593" s="547">
        <v>0</v>
      </c>
      <c r="Q593" s="547">
        <v>0</v>
      </c>
      <c r="R593" s="547">
        <v>0</v>
      </c>
      <c r="S593" s="547">
        <v>0</v>
      </c>
      <c r="T593" s="547">
        <v>0</v>
      </c>
      <c r="U593" s="547">
        <v>0</v>
      </c>
      <c r="V593" s="547">
        <v>0</v>
      </c>
      <c r="W593" s="528"/>
      <c r="X593" s="711">
        <f t="shared" si="2033"/>
        <v>0</v>
      </c>
      <c r="Y593" s="896" t="str">
        <f t="shared" ref="Y593" si="2089">IFERROR((X594/X593),"0")</f>
        <v>0</v>
      </c>
      <c r="Z593" s="528"/>
      <c r="AA593" s="898">
        <v>0</v>
      </c>
      <c r="AB593" s="898">
        <v>0</v>
      </c>
      <c r="AC593" s="898">
        <v>0</v>
      </c>
      <c r="AD593" s="900" t="str">
        <f t="shared" ref="AD593" si="2090">IFERROR((AC593/AB593),"-")</f>
        <v>-</v>
      </c>
      <c r="AE593" s="2"/>
      <c r="AF593" s="886">
        <v>2904.67</v>
      </c>
      <c r="AG593" s="884"/>
      <c r="AH593" s="884">
        <v>0</v>
      </c>
      <c r="AI593" s="884"/>
      <c r="AJ593" s="884"/>
      <c r="AK593" s="884">
        <f t="shared" ref="AK593" si="2091">AF593+AG593+AH593+AI593+AJ593+AC593</f>
        <v>2904.67</v>
      </c>
      <c r="AL593" s="884">
        <v>3073.8</v>
      </c>
      <c r="AM593" s="878">
        <f t="shared" ref="AM593" si="2092">IFERROR((AK593/AL593),"-")</f>
        <v>0.94497690155507841</v>
      </c>
      <c r="AN593" s="2"/>
      <c r="AO593" s="884">
        <v>3073.8</v>
      </c>
      <c r="AP593" s="884">
        <f t="shared" ref="AP593" si="2093">AO593-AK593</f>
        <v>169.13000000000011</v>
      </c>
      <c r="AV593" t="str">
        <f t="shared" si="2059"/>
        <v xml:space="preserve">Aterro e compactação </v>
      </c>
      <c r="AW593" s="4" t="str">
        <f t="shared" si="2057"/>
        <v xml:space="preserve">   Recomposição Camada Final de Aterro (PN a 100%) - Seg.2.3 C10</v>
      </c>
    </row>
    <row r="594" spans="1:49" ht="15.6" customHeight="1" outlineLevel="2">
      <c r="A594" s="545" t="str">
        <f t="shared" ref="A594" si="2094">A593</f>
        <v>N</v>
      </c>
      <c r="B594" s="526"/>
      <c r="C594" s="526"/>
      <c r="D594" s="527" t="s">
        <v>884</v>
      </c>
      <c r="E594" s="893"/>
      <c r="F594" s="895"/>
      <c r="G594" s="528"/>
      <c r="H594" s="549" t="s">
        <v>38</v>
      </c>
      <c r="I594" s="711">
        <v>0</v>
      </c>
      <c r="J594" s="897"/>
      <c r="K594" s="528"/>
      <c r="L594" s="549" t="s">
        <v>38</v>
      </c>
      <c r="M594" s="711">
        <f t="shared" si="2031"/>
        <v>0</v>
      </c>
      <c r="N594" s="897"/>
      <c r="O594" s="528"/>
      <c r="P594" s="547">
        <v>0</v>
      </c>
      <c r="Q594" s="547">
        <v>0</v>
      </c>
      <c r="R594" s="547">
        <v>0</v>
      </c>
      <c r="S594" s="547">
        <v>0</v>
      </c>
      <c r="T594" s="547">
        <v>0</v>
      </c>
      <c r="U594" s="547">
        <v>0</v>
      </c>
      <c r="V594" s="547">
        <v>0</v>
      </c>
      <c r="W594" s="528"/>
      <c r="X594" s="711">
        <f t="shared" si="2033"/>
        <v>0</v>
      </c>
      <c r="Y594" s="897"/>
      <c r="Z594" s="528"/>
      <c r="AA594" s="899"/>
      <c r="AB594" s="899"/>
      <c r="AC594" s="899"/>
      <c r="AD594" s="901"/>
      <c r="AE594" s="2"/>
      <c r="AF594" s="926"/>
      <c r="AG594" s="885"/>
      <c r="AH594" s="885"/>
      <c r="AI594" s="885"/>
      <c r="AJ594" s="885"/>
      <c r="AK594" s="885"/>
      <c r="AL594" s="885"/>
      <c r="AM594" s="879"/>
      <c r="AN594" s="2"/>
      <c r="AO594" s="886"/>
      <c r="AP594" s="886"/>
      <c r="AV594" t="str">
        <f t="shared" si="2059"/>
        <v xml:space="preserve">Aterro e compactação </v>
      </c>
      <c r="AW594" s="4" t="str">
        <f t="shared" si="2057"/>
        <v xml:space="preserve">   Recomposição Camada Final de Aterro (PN a 100%) - Seg.2.3 C10</v>
      </c>
    </row>
    <row r="595" spans="1:49" ht="15.6" customHeight="1" outlineLevel="2">
      <c r="A595" s="545" t="str">
        <f t="shared" ref="A595" si="2095">IF(SUM(P595:V596)&gt;0,"S","N")</f>
        <v>N</v>
      </c>
      <c r="B595" s="526">
        <v>1058147</v>
      </c>
      <c r="C595" s="526" t="s">
        <v>886</v>
      </c>
      <c r="D595" s="527" t="s">
        <v>887</v>
      </c>
      <c r="E595" s="892" t="s">
        <v>888</v>
      </c>
      <c r="F595" s="894" t="s">
        <v>36</v>
      </c>
      <c r="G595" s="528"/>
      <c r="H595" s="546" t="s">
        <v>37</v>
      </c>
      <c r="I595" s="711">
        <v>0</v>
      </c>
      <c r="J595" s="896" t="str">
        <f t="shared" ref="J595" si="2096">IFERROR((I596/I595),"-")</f>
        <v>-</v>
      </c>
      <c r="K595" s="528"/>
      <c r="L595" s="546" t="s">
        <v>37</v>
      </c>
      <c r="M595" s="711">
        <f t="shared" si="2031"/>
        <v>0</v>
      </c>
      <c r="N595" s="896" t="str">
        <f t="shared" ref="N595" si="2097">IFERROR((M596/M595),"-")</f>
        <v>-</v>
      </c>
      <c r="O595" s="528"/>
      <c r="P595" s="547">
        <v>0</v>
      </c>
      <c r="Q595" s="547">
        <v>0</v>
      </c>
      <c r="R595" s="547">
        <v>0</v>
      </c>
      <c r="S595" s="547">
        <v>0</v>
      </c>
      <c r="T595" s="547">
        <v>0</v>
      </c>
      <c r="U595" s="547">
        <v>0</v>
      </c>
      <c r="V595" s="547">
        <v>0</v>
      </c>
      <c r="W595" s="528"/>
      <c r="X595" s="711">
        <f t="shared" si="2033"/>
        <v>0</v>
      </c>
      <c r="Y595" s="896" t="str">
        <f>IFERROR((X596/X595),"0")</f>
        <v>0</v>
      </c>
      <c r="Z595" s="528"/>
      <c r="AA595" s="898">
        <v>0</v>
      </c>
      <c r="AB595" s="898">
        <v>0</v>
      </c>
      <c r="AC595" s="898">
        <v>0</v>
      </c>
      <c r="AD595" s="900" t="str">
        <f t="shared" ref="AD595" si="2098">IFERROR((AC595/AB595),"-")</f>
        <v>-</v>
      </c>
      <c r="AE595" s="2"/>
      <c r="AF595" s="886">
        <v>2602.35</v>
      </c>
      <c r="AG595" s="884"/>
      <c r="AH595" s="884">
        <v>0</v>
      </c>
      <c r="AI595" s="884"/>
      <c r="AJ595" s="884"/>
      <c r="AK595" s="884">
        <f t="shared" ref="AK595" si="2099">AF595+AG595+AH595+AI595+AJ595+AC595</f>
        <v>2602.35</v>
      </c>
      <c r="AL595" s="884">
        <v>2542.0100000000002</v>
      </c>
      <c r="AM595" s="878">
        <f t="shared" ref="AM595" si="2100">IFERROR((AK595/AL595),"-")</f>
        <v>1.0237371214117961</v>
      </c>
      <c r="AN595" s="2"/>
      <c r="AO595" s="884">
        <v>3964.23</v>
      </c>
      <c r="AP595" s="884">
        <f t="shared" ref="AP595" si="2101">AO595-AK595</f>
        <v>1361.88</v>
      </c>
      <c r="AV595" t="str">
        <f t="shared" si="2059"/>
        <v xml:space="preserve">Aterro e compactação </v>
      </c>
      <c r="AW595" s="4" t="str">
        <f t="shared" si="2057"/>
        <v xml:space="preserve">   Recomposição Camada Final de Aterro (PN a 100%) - Seg.2.3 C11</v>
      </c>
    </row>
    <row r="596" spans="1:49" ht="15.6" customHeight="1" outlineLevel="2">
      <c r="A596" s="545" t="str">
        <f t="shared" ref="A596" si="2102">A595</f>
        <v>N</v>
      </c>
      <c r="B596" s="526"/>
      <c r="C596" s="526"/>
      <c r="D596" s="527" t="s">
        <v>887</v>
      </c>
      <c r="E596" s="893"/>
      <c r="F596" s="895"/>
      <c r="G596" s="528"/>
      <c r="H596" s="549" t="s">
        <v>38</v>
      </c>
      <c r="I596" s="711">
        <v>0</v>
      </c>
      <c r="J596" s="897"/>
      <c r="K596" s="528"/>
      <c r="L596" s="549" t="s">
        <v>38</v>
      </c>
      <c r="M596" s="711">
        <f t="shared" si="2031"/>
        <v>0</v>
      </c>
      <c r="N596" s="897"/>
      <c r="O596" s="528"/>
      <c r="P596" s="547">
        <v>0</v>
      </c>
      <c r="Q596" s="547">
        <v>0</v>
      </c>
      <c r="R596" s="547">
        <v>0</v>
      </c>
      <c r="S596" s="547">
        <v>0</v>
      </c>
      <c r="T596" s="547">
        <v>0</v>
      </c>
      <c r="U596" s="547">
        <v>0</v>
      </c>
      <c r="V596" s="547">
        <v>0</v>
      </c>
      <c r="W596" s="528"/>
      <c r="X596" s="711">
        <f t="shared" si="2033"/>
        <v>0</v>
      </c>
      <c r="Y596" s="897"/>
      <c r="Z596" s="528"/>
      <c r="AA596" s="899"/>
      <c r="AB596" s="899"/>
      <c r="AC596" s="899"/>
      <c r="AD596" s="901"/>
      <c r="AE596" s="2"/>
      <c r="AF596" s="926"/>
      <c r="AG596" s="885"/>
      <c r="AH596" s="885"/>
      <c r="AI596" s="885"/>
      <c r="AJ596" s="885"/>
      <c r="AK596" s="885"/>
      <c r="AL596" s="885"/>
      <c r="AM596" s="879"/>
      <c r="AN596" s="2"/>
      <c r="AO596" s="886"/>
      <c r="AP596" s="886"/>
      <c r="AV596" t="str">
        <f t="shared" si="2059"/>
        <v xml:space="preserve">Aterro e compactação </v>
      </c>
      <c r="AW596" s="4" t="str">
        <f t="shared" si="2057"/>
        <v xml:space="preserve">   Recomposição Camada Final de Aterro (PN a 100%) - Seg.2.3 C11</v>
      </c>
    </row>
    <row r="597" spans="1:49" ht="15.6" customHeight="1" outlineLevel="2">
      <c r="A597" s="545" t="str">
        <f t="shared" ref="A597" si="2103">IF(SUM(P597:V598)&gt;0,"S","N")</f>
        <v>N</v>
      </c>
      <c r="B597" s="526">
        <v>1058148</v>
      </c>
      <c r="C597" s="526" t="s">
        <v>889</v>
      </c>
      <c r="D597" s="527" t="s">
        <v>890</v>
      </c>
      <c r="E597" s="892" t="s">
        <v>891</v>
      </c>
      <c r="F597" s="894" t="s">
        <v>36</v>
      </c>
      <c r="G597" s="528"/>
      <c r="H597" s="546" t="s">
        <v>37</v>
      </c>
      <c r="I597" s="711">
        <v>0</v>
      </c>
      <c r="J597" s="896" t="str">
        <f t="shared" ref="J597" si="2104">IFERROR((I598/I597),"-")</f>
        <v>-</v>
      </c>
      <c r="K597" s="528"/>
      <c r="L597" s="546" t="s">
        <v>37</v>
      </c>
      <c r="M597" s="711">
        <f t="shared" si="2031"/>
        <v>0</v>
      </c>
      <c r="N597" s="896" t="str">
        <f t="shared" ref="N597" si="2105">IFERROR((M598/M597),"-")</f>
        <v>-</v>
      </c>
      <c r="O597" s="528"/>
      <c r="P597" s="547">
        <v>0</v>
      </c>
      <c r="Q597" s="547">
        <v>0</v>
      </c>
      <c r="R597" s="547">
        <v>0</v>
      </c>
      <c r="S597" s="547">
        <v>0</v>
      </c>
      <c r="T597" s="547">
        <v>0</v>
      </c>
      <c r="U597" s="547">
        <v>0</v>
      </c>
      <c r="V597" s="547">
        <v>0</v>
      </c>
      <c r="W597" s="528"/>
      <c r="X597" s="711">
        <f t="shared" si="2033"/>
        <v>0</v>
      </c>
      <c r="Y597" s="896" t="str">
        <f>IFERROR((X598/X597),"0")</f>
        <v>0</v>
      </c>
      <c r="Z597" s="528"/>
      <c r="AA597" s="898">
        <v>0</v>
      </c>
      <c r="AB597" s="898">
        <v>0</v>
      </c>
      <c r="AC597" s="898">
        <v>0</v>
      </c>
      <c r="AD597" s="900" t="str">
        <f t="shared" ref="AD597" si="2106">IFERROR((AC597/AB597),"-")</f>
        <v>-</v>
      </c>
      <c r="AE597" s="2"/>
      <c r="AF597" s="886">
        <v>0</v>
      </c>
      <c r="AG597" s="884"/>
      <c r="AH597" s="884">
        <v>0</v>
      </c>
      <c r="AI597" s="884"/>
      <c r="AJ597" s="884"/>
      <c r="AK597" s="884">
        <f t="shared" ref="AK597" si="2107">AF597+AG597+AH597+AI597+AJ597+AC597</f>
        <v>0</v>
      </c>
      <c r="AL597" s="884">
        <v>1188.18</v>
      </c>
      <c r="AM597" s="878">
        <f t="shared" ref="AM597" si="2108">IFERROR((AK597/AL597),"-")</f>
        <v>0</v>
      </c>
      <c r="AN597" s="2"/>
      <c r="AO597" s="884">
        <v>1188.2</v>
      </c>
      <c r="AP597" s="884">
        <f t="shared" ref="AP597" si="2109">AO597-AK597</f>
        <v>1188.2</v>
      </c>
      <c r="AV597" t="str">
        <f t="shared" si="2059"/>
        <v xml:space="preserve">Aterro e compactação </v>
      </c>
      <c r="AW597" s="4" t="str">
        <f t="shared" si="2057"/>
        <v xml:space="preserve">   Recomposição Camada Final de Aterro (PN a 100%) - Seg.2.3 C12</v>
      </c>
    </row>
    <row r="598" spans="1:49" ht="15.6" customHeight="1" outlineLevel="2">
      <c r="A598" s="545" t="str">
        <f t="shared" ref="A598" si="2110">A597</f>
        <v>N</v>
      </c>
      <c r="B598" s="526"/>
      <c r="C598" s="526"/>
      <c r="D598" s="527" t="s">
        <v>890</v>
      </c>
      <c r="E598" s="893"/>
      <c r="F598" s="895"/>
      <c r="G598" s="528"/>
      <c r="H598" s="549" t="s">
        <v>38</v>
      </c>
      <c r="I598" s="711">
        <v>0</v>
      </c>
      <c r="J598" s="897"/>
      <c r="K598" s="528"/>
      <c r="L598" s="549" t="s">
        <v>38</v>
      </c>
      <c r="M598" s="711">
        <f t="shared" si="2031"/>
        <v>0</v>
      </c>
      <c r="N598" s="897"/>
      <c r="O598" s="528"/>
      <c r="P598" s="547">
        <v>0</v>
      </c>
      <c r="Q598" s="547">
        <v>0</v>
      </c>
      <c r="R598" s="547">
        <v>0</v>
      </c>
      <c r="S598" s="547">
        <v>0</v>
      </c>
      <c r="T598" s="547">
        <v>0</v>
      </c>
      <c r="U598" s="547">
        <v>0</v>
      </c>
      <c r="V598" s="547">
        <v>0</v>
      </c>
      <c r="W598" s="528"/>
      <c r="X598" s="711">
        <f t="shared" si="2033"/>
        <v>0</v>
      </c>
      <c r="Y598" s="897"/>
      <c r="Z598" s="528"/>
      <c r="AA598" s="899"/>
      <c r="AB598" s="899"/>
      <c r="AC598" s="899"/>
      <c r="AD598" s="901"/>
      <c r="AE598" s="2"/>
      <c r="AF598" s="926"/>
      <c r="AG598" s="885"/>
      <c r="AH598" s="885"/>
      <c r="AI598" s="885"/>
      <c r="AJ598" s="885"/>
      <c r="AK598" s="885"/>
      <c r="AL598" s="885"/>
      <c r="AM598" s="879"/>
      <c r="AN598" s="2"/>
      <c r="AO598" s="886"/>
      <c r="AP598" s="886"/>
      <c r="AV598" t="str">
        <f t="shared" si="2059"/>
        <v xml:space="preserve">Aterro e compactação </v>
      </c>
      <c r="AW598" s="4" t="str">
        <f t="shared" si="2057"/>
        <v xml:space="preserve">   Recomposição Camada Final de Aterro (PN a 100%) - Seg.2.3 C12</v>
      </c>
    </row>
    <row r="599" spans="1:49" ht="15.6" customHeight="1" outlineLevel="2">
      <c r="A599" s="545" t="str">
        <f t="shared" ref="A599" si="2111">IF(SUM(P599:V600)&gt;0,"S","N")</f>
        <v>N</v>
      </c>
      <c r="B599" s="526">
        <v>1058149</v>
      </c>
      <c r="C599" s="526" t="s">
        <v>892</v>
      </c>
      <c r="D599" s="527" t="s">
        <v>893</v>
      </c>
      <c r="E599" s="892" t="s">
        <v>894</v>
      </c>
      <c r="F599" s="894" t="s">
        <v>36</v>
      </c>
      <c r="G599" s="528"/>
      <c r="H599" s="546" t="s">
        <v>37</v>
      </c>
      <c r="I599" s="711">
        <v>0</v>
      </c>
      <c r="J599" s="896" t="str">
        <f t="shared" ref="J599" si="2112">IFERROR((I600/I599),"-")</f>
        <v>-</v>
      </c>
      <c r="K599" s="528"/>
      <c r="L599" s="546" t="s">
        <v>37</v>
      </c>
      <c r="M599" s="711">
        <f t="shared" si="2031"/>
        <v>0</v>
      </c>
      <c r="N599" s="896" t="str">
        <f t="shared" ref="N599" si="2113">IFERROR((M600/M599),"-")</f>
        <v>-</v>
      </c>
      <c r="O599" s="528"/>
      <c r="P599" s="547">
        <v>0</v>
      </c>
      <c r="Q599" s="547">
        <v>0</v>
      </c>
      <c r="R599" s="547">
        <v>0</v>
      </c>
      <c r="S599" s="547">
        <v>0</v>
      </c>
      <c r="T599" s="547">
        <v>0</v>
      </c>
      <c r="U599" s="547">
        <v>0</v>
      </c>
      <c r="V599" s="547">
        <v>0</v>
      </c>
      <c r="W599" s="528"/>
      <c r="X599" s="711">
        <f t="shared" si="2033"/>
        <v>0</v>
      </c>
      <c r="Y599" s="896" t="str">
        <f t="shared" ref="Y599" si="2114">IFERROR((X600/X599),"0")</f>
        <v>0</v>
      </c>
      <c r="Z599" s="528"/>
      <c r="AA599" s="898">
        <v>0</v>
      </c>
      <c r="AB599" s="898">
        <v>0</v>
      </c>
      <c r="AC599" s="898">
        <v>0</v>
      </c>
      <c r="AD599" s="900" t="str">
        <f t="shared" ref="AD599" si="2115">IFERROR((AC599/AB599),"-")</f>
        <v>-</v>
      </c>
      <c r="AE599" s="2"/>
      <c r="AF599" s="886">
        <v>0</v>
      </c>
      <c r="AG599" s="884"/>
      <c r="AH599" s="884">
        <v>0</v>
      </c>
      <c r="AI599" s="884"/>
      <c r="AJ599" s="884"/>
      <c r="AK599" s="884">
        <f t="shared" ref="AK599" si="2116">AF599+AG599+AH599+AI599+AJ599+AC599</f>
        <v>0</v>
      </c>
      <c r="AL599" s="884">
        <v>996</v>
      </c>
      <c r="AM599" s="878">
        <f t="shared" ref="AM599" si="2117">IFERROR((AK599/AL599),"-")</f>
        <v>0</v>
      </c>
      <c r="AN599" s="2"/>
      <c r="AO599" s="884">
        <v>996</v>
      </c>
      <c r="AP599" s="884">
        <f t="shared" ref="AP599" si="2118">AO599-AK599</f>
        <v>996</v>
      </c>
      <c r="AV599" t="str">
        <f t="shared" si="2059"/>
        <v xml:space="preserve">Aterro e compactação </v>
      </c>
      <c r="AW599" s="4" t="str">
        <f t="shared" si="2057"/>
        <v xml:space="preserve">   Recomposição Camada Final de Aterro (PN a 100%) - Seg.2.3 C13</v>
      </c>
    </row>
    <row r="600" spans="1:49" ht="15.6" customHeight="1" outlineLevel="2">
      <c r="A600" s="545" t="str">
        <f t="shared" ref="A600" si="2119">A599</f>
        <v>N</v>
      </c>
      <c r="B600" s="526"/>
      <c r="C600" s="526"/>
      <c r="D600" s="527" t="s">
        <v>893</v>
      </c>
      <c r="E600" s="893"/>
      <c r="F600" s="895"/>
      <c r="G600" s="528"/>
      <c r="H600" s="549" t="s">
        <v>38</v>
      </c>
      <c r="I600" s="711">
        <v>0</v>
      </c>
      <c r="J600" s="897"/>
      <c r="K600" s="528"/>
      <c r="L600" s="549" t="s">
        <v>38</v>
      </c>
      <c r="M600" s="711">
        <f t="shared" si="2031"/>
        <v>0</v>
      </c>
      <c r="N600" s="897"/>
      <c r="O600" s="528"/>
      <c r="P600" s="547">
        <v>0</v>
      </c>
      <c r="Q600" s="547">
        <v>0</v>
      </c>
      <c r="R600" s="547">
        <v>0</v>
      </c>
      <c r="S600" s="547">
        <v>0</v>
      </c>
      <c r="T600" s="547">
        <v>0</v>
      </c>
      <c r="U600" s="547">
        <v>0</v>
      </c>
      <c r="V600" s="547">
        <v>0</v>
      </c>
      <c r="W600" s="528"/>
      <c r="X600" s="711">
        <f t="shared" si="2033"/>
        <v>0</v>
      </c>
      <c r="Y600" s="897"/>
      <c r="Z600" s="528"/>
      <c r="AA600" s="899"/>
      <c r="AB600" s="899"/>
      <c r="AC600" s="899"/>
      <c r="AD600" s="901"/>
      <c r="AE600" s="2"/>
      <c r="AF600" s="926"/>
      <c r="AG600" s="885"/>
      <c r="AH600" s="885"/>
      <c r="AI600" s="885"/>
      <c r="AJ600" s="885"/>
      <c r="AK600" s="885"/>
      <c r="AL600" s="885"/>
      <c r="AM600" s="879"/>
      <c r="AN600" s="2"/>
      <c r="AO600" s="886"/>
      <c r="AP600" s="886"/>
      <c r="AV600" t="str">
        <f t="shared" si="2059"/>
        <v xml:space="preserve">Aterro e compactação </v>
      </c>
      <c r="AW600" s="4" t="str">
        <f t="shared" si="2057"/>
        <v xml:space="preserve">   Recomposição Camada Final de Aterro (PN a 100%) - Seg.2.3 C13</v>
      </c>
    </row>
    <row r="601" spans="1:49" ht="15.6" customHeight="1" outlineLevel="2">
      <c r="A601" s="545" t="str">
        <f t="shared" ref="A601" si="2120">IF(SUM(P601:V602)&gt;0,"S","N")</f>
        <v>N</v>
      </c>
      <c r="B601" s="526">
        <v>1059667</v>
      </c>
      <c r="C601" s="526" t="s">
        <v>895</v>
      </c>
      <c r="D601" s="527" t="s">
        <v>896</v>
      </c>
      <c r="E601" s="892" t="s">
        <v>897</v>
      </c>
      <c r="F601" s="894" t="s">
        <v>36</v>
      </c>
      <c r="G601" s="528"/>
      <c r="H601" s="546" t="s">
        <v>37</v>
      </c>
      <c r="I601" s="711">
        <v>0</v>
      </c>
      <c r="J601" s="896" t="str">
        <f t="shared" ref="J601" si="2121">IFERROR((I602/I601),"-")</f>
        <v>-</v>
      </c>
      <c r="K601" s="528"/>
      <c r="L601" s="546" t="s">
        <v>37</v>
      </c>
      <c r="M601" s="711">
        <f t="shared" si="2031"/>
        <v>0</v>
      </c>
      <c r="N601" s="896" t="str">
        <f t="shared" ref="N601" si="2122">IFERROR((M602/M601),"-")</f>
        <v>-</v>
      </c>
      <c r="O601" s="528"/>
      <c r="P601" s="547">
        <v>0</v>
      </c>
      <c r="Q601" s="547">
        <v>0</v>
      </c>
      <c r="R601" s="547">
        <v>0</v>
      </c>
      <c r="S601" s="547">
        <v>0</v>
      </c>
      <c r="T601" s="547">
        <v>0</v>
      </c>
      <c r="U601" s="547">
        <v>0</v>
      </c>
      <c r="V601" s="547">
        <v>0</v>
      </c>
      <c r="W601" s="528"/>
      <c r="X601" s="711">
        <f t="shared" si="2033"/>
        <v>0</v>
      </c>
      <c r="Y601" s="896" t="str">
        <f t="shared" ref="Y601" si="2123">IFERROR((X602/X601),"0")</f>
        <v>0</v>
      </c>
      <c r="Z601" s="528"/>
      <c r="AA601" s="898">
        <v>0</v>
      </c>
      <c r="AB601" s="898">
        <v>0</v>
      </c>
      <c r="AC601" s="898">
        <v>0</v>
      </c>
      <c r="AD601" s="900" t="str">
        <f t="shared" ref="AD601" si="2124">IFERROR((AC601/AB601),"-")</f>
        <v>-</v>
      </c>
      <c r="AE601" s="2"/>
      <c r="AF601" s="886">
        <v>1029.566</v>
      </c>
      <c r="AG601" s="884"/>
      <c r="AH601" s="884">
        <v>0</v>
      </c>
      <c r="AI601" s="884"/>
      <c r="AJ601" s="884"/>
      <c r="AK601" s="884">
        <f t="shared" ref="AK601" si="2125">AF601+AG601+AH601+AI601+AJ601+AC601</f>
        <v>1029.566</v>
      </c>
      <c r="AL601" s="884">
        <v>1030.8500000000001</v>
      </c>
      <c r="AM601" s="878">
        <f t="shared" ref="AM601" si="2126">IFERROR((AK601/AL601),"-")</f>
        <v>0.99875442595915986</v>
      </c>
      <c r="AN601" s="2"/>
      <c r="AO601" s="884">
        <v>1030.8499999999999</v>
      </c>
      <c r="AP601" s="884">
        <f t="shared" ref="AP601" si="2127">AO601-AK601</f>
        <v>1.2839999999998781</v>
      </c>
      <c r="AV601" t="str">
        <f t="shared" si="2059"/>
        <v xml:space="preserve">Aterro e compactação </v>
      </c>
      <c r="AW601" s="4" t="str">
        <f t="shared" si="2057"/>
        <v xml:space="preserve">   Seg. 2.3-CA 01- Camada Final de Aterro - CF-A-01 (PN a 100%)</v>
      </c>
    </row>
    <row r="602" spans="1:49" ht="15.6" customHeight="1" outlineLevel="2">
      <c r="A602" s="545" t="str">
        <f t="shared" ref="A602" si="2128">A601</f>
        <v>N</v>
      </c>
      <c r="B602" s="526"/>
      <c r="C602" s="526"/>
      <c r="D602" s="527" t="s">
        <v>896</v>
      </c>
      <c r="E602" s="893"/>
      <c r="F602" s="895"/>
      <c r="G602" s="528"/>
      <c r="H602" s="549" t="s">
        <v>38</v>
      </c>
      <c r="I602" s="711">
        <v>0</v>
      </c>
      <c r="J602" s="897"/>
      <c r="K602" s="528"/>
      <c r="L602" s="549" t="s">
        <v>38</v>
      </c>
      <c r="M602" s="711">
        <f t="shared" si="2031"/>
        <v>0</v>
      </c>
      <c r="N602" s="897"/>
      <c r="O602" s="528"/>
      <c r="P602" s="547">
        <v>0</v>
      </c>
      <c r="Q602" s="547">
        <v>0</v>
      </c>
      <c r="R602" s="547">
        <v>0</v>
      </c>
      <c r="S602" s="547">
        <v>0</v>
      </c>
      <c r="T602" s="547">
        <v>0</v>
      </c>
      <c r="U602" s="547">
        <v>0</v>
      </c>
      <c r="V602" s="547">
        <v>0</v>
      </c>
      <c r="W602" s="528"/>
      <c r="X602" s="711">
        <f t="shared" si="2033"/>
        <v>0</v>
      </c>
      <c r="Y602" s="897"/>
      <c r="Z602" s="528"/>
      <c r="AA602" s="899"/>
      <c r="AB602" s="899"/>
      <c r="AC602" s="899"/>
      <c r="AD602" s="901"/>
      <c r="AE602" s="2"/>
      <c r="AF602" s="926"/>
      <c r="AG602" s="885"/>
      <c r="AH602" s="885"/>
      <c r="AI602" s="885"/>
      <c r="AJ602" s="885"/>
      <c r="AK602" s="885"/>
      <c r="AL602" s="885"/>
      <c r="AM602" s="879"/>
      <c r="AN602" s="2"/>
      <c r="AO602" s="886"/>
      <c r="AP602" s="886"/>
      <c r="AV602" t="str">
        <f t="shared" si="2059"/>
        <v xml:space="preserve">Aterro e compactação </v>
      </c>
      <c r="AW602" s="4" t="str">
        <f t="shared" si="2057"/>
        <v xml:space="preserve">   Seg. 2.3-CA 01- Camada Final de Aterro - CF-A-01 (PN a 100%)</v>
      </c>
    </row>
    <row r="603" spans="1:49" ht="15.6" customHeight="1" outlineLevel="2">
      <c r="A603" s="545" t="str">
        <f t="shared" ref="A603" si="2129">IF(SUM(P603:V604)&gt;0,"S","N")</f>
        <v>N</v>
      </c>
      <c r="B603" s="526">
        <v>1059669</v>
      </c>
      <c r="C603" s="526" t="s">
        <v>898</v>
      </c>
      <c r="D603" s="527" t="s">
        <v>899</v>
      </c>
      <c r="E603" s="892" t="s">
        <v>900</v>
      </c>
      <c r="F603" s="894" t="s">
        <v>36</v>
      </c>
      <c r="G603" s="528"/>
      <c r="H603" s="546" t="s">
        <v>37</v>
      </c>
      <c r="I603" s="711">
        <v>0</v>
      </c>
      <c r="J603" s="896" t="str">
        <f t="shared" ref="J603" si="2130">IFERROR((I604/I603),"-")</f>
        <v>-</v>
      </c>
      <c r="K603" s="528"/>
      <c r="L603" s="546" t="s">
        <v>37</v>
      </c>
      <c r="M603" s="711">
        <f t="shared" si="2031"/>
        <v>0</v>
      </c>
      <c r="N603" s="896" t="str">
        <f t="shared" ref="N603" si="2131">IFERROR((M604/M603),"-")</f>
        <v>-</v>
      </c>
      <c r="O603" s="528"/>
      <c r="P603" s="547">
        <v>0</v>
      </c>
      <c r="Q603" s="547">
        <v>0</v>
      </c>
      <c r="R603" s="547">
        <v>0</v>
      </c>
      <c r="S603" s="547">
        <v>0</v>
      </c>
      <c r="T603" s="547">
        <v>0</v>
      </c>
      <c r="U603" s="547">
        <v>0</v>
      </c>
      <c r="V603" s="547">
        <v>0</v>
      </c>
      <c r="W603" s="528"/>
      <c r="X603" s="711">
        <f t="shared" si="2033"/>
        <v>0</v>
      </c>
      <c r="Y603" s="896" t="str">
        <f t="shared" ref="Y603" si="2132">IFERROR((X604/X603),"0")</f>
        <v>0</v>
      </c>
      <c r="Z603" s="528"/>
      <c r="AA603" s="898">
        <v>0</v>
      </c>
      <c r="AB603" s="898">
        <v>0</v>
      </c>
      <c r="AC603" s="898">
        <v>0</v>
      </c>
      <c r="AD603" s="900" t="str">
        <f t="shared" ref="AD603" si="2133">IFERROR((AC603/AB603),"-")</f>
        <v>-</v>
      </c>
      <c r="AE603" s="2"/>
      <c r="AF603" s="886">
        <v>5278.6459999999997</v>
      </c>
      <c r="AG603" s="884"/>
      <c r="AH603" s="884">
        <v>0</v>
      </c>
      <c r="AI603" s="884"/>
      <c r="AJ603" s="884"/>
      <c r="AK603" s="884">
        <f t="shared" ref="AK603" si="2134">AF603+AG603+AH603+AI603+AJ603+AC603</f>
        <v>5278.6459999999997</v>
      </c>
      <c r="AL603" s="884">
        <v>5280.640000000004</v>
      </c>
      <c r="AM603" s="878">
        <f t="shared" ref="AM603" si="2135">IFERROR((AK603/AL603),"-")</f>
        <v>0.99962239425524102</v>
      </c>
      <c r="AN603" s="2"/>
      <c r="AO603" s="884">
        <v>5280.65</v>
      </c>
      <c r="AP603" s="884">
        <f t="shared" ref="AP603" si="2136">AO603-AK603</f>
        <v>2.0039999999999054</v>
      </c>
      <c r="AV603" t="str">
        <f t="shared" si="2059"/>
        <v xml:space="preserve">Aterro e compactação </v>
      </c>
      <c r="AW603" s="4" t="str">
        <f t="shared" si="2057"/>
        <v xml:space="preserve">   Seg. 2.3-CA 02- Camada Final de Aterro - CF-A-02 (PN a 100%)</v>
      </c>
    </row>
    <row r="604" spans="1:49" ht="15.6" customHeight="1" outlineLevel="2">
      <c r="A604" s="545" t="str">
        <f t="shared" ref="A604" si="2137">A603</f>
        <v>N</v>
      </c>
      <c r="B604" s="526"/>
      <c r="C604" s="526"/>
      <c r="D604" s="527" t="s">
        <v>899</v>
      </c>
      <c r="E604" s="893"/>
      <c r="F604" s="895"/>
      <c r="G604" s="528"/>
      <c r="H604" s="549" t="s">
        <v>38</v>
      </c>
      <c r="I604" s="711">
        <v>0</v>
      </c>
      <c r="J604" s="897"/>
      <c r="K604" s="528"/>
      <c r="L604" s="549" t="s">
        <v>38</v>
      </c>
      <c r="M604" s="711">
        <f t="shared" si="2031"/>
        <v>0</v>
      </c>
      <c r="N604" s="897"/>
      <c r="O604" s="528"/>
      <c r="P604" s="547">
        <v>0</v>
      </c>
      <c r="Q604" s="547">
        <v>0</v>
      </c>
      <c r="R604" s="547">
        <v>0</v>
      </c>
      <c r="S604" s="547">
        <v>0</v>
      </c>
      <c r="T604" s="547">
        <v>0</v>
      </c>
      <c r="U604" s="547">
        <v>0</v>
      </c>
      <c r="V604" s="547">
        <v>0</v>
      </c>
      <c r="W604" s="528"/>
      <c r="X604" s="711">
        <f t="shared" si="2033"/>
        <v>0</v>
      </c>
      <c r="Y604" s="897"/>
      <c r="Z604" s="528"/>
      <c r="AA604" s="899"/>
      <c r="AB604" s="899"/>
      <c r="AC604" s="899"/>
      <c r="AD604" s="901"/>
      <c r="AE604" s="2"/>
      <c r="AF604" s="926"/>
      <c r="AG604" s="885"/>
      <c r="AH604" s="885"/>
      <c r="AI604" s="885"/>
      <c r="AJ604" s="885"/>
      <c r="AK604" s="885"/>
      <c r="AL604" s="885"/>
      <c r="AM604" s="879"/>
      <c r="AN604" s="2"/>
      <c r="AO604" s="886"/>
      <c r="AP604" s="886"/>
      <c r="AV604" t="str">
        <f t="shared" si="2059"/>
        <v xml:space="preserve">Aterro e compactação </v>
      </c>
      <c r="AW604" s="4" t="str">
        <f t="shared" si="2057"/>
        <v xml:space="preserve">   Seg. 2.3-CA 02- Camada Final de Aterro - CF-A-02 (PN a 100%)</v>
      </c>
    </row>
    <row r="605" spans="1:49" ht="15.6" customHeight="1" outlineLevel="2">
      <c r="A605" s="545" t="str">
        <f t="shared" ref="A605" si="2138">IF(SUM(P605:V606)&gt;0,"S","N")</f>
        <v>N</v>
      </c>
      <c r="B605" s="526">
        <v>1059671</v>
      </c>
      <c r="C605" s="526" t="s">
        <v>901</v>
      </c>
      <c r="D605" s="527" t="s">
        <v>902</v>
      </c>
      <c r="E605" s="892" t="s">
        <v>903</v>
      </c>
      <c r="F605" s="894" t="s">
        <v>36</v>
      </c>
      <c r="G605" s="528"/>
      <c r="H605" s="546" t="s">
        <v>37</v>
      </c>
      <c r="I605" s="711">
        <v>0</v>
      </c>
      <c r="J605" s="896" t="str">
        <f t="shared" ref="J605" si="2139">IFERROR((I606/I605),"-")</f>
        <v>-</v>
      </c>
      <c r="K605" s="528"/>
      <c r="L605" s="546" t="s">
        <v>37</v>
      </c>
      <c r="M605" s="711">
        <f t="shared" si="2031"/>
        <v>0</v>
      </c>
      <c r="N605" s="896" t="str">
        <f t="shared" ref="N605" si="2140">IFERROR((M606/M605),"-")</f>
        <v>-</v>
      </c>
      <c r="O605" s="528"/>
      <c r="P605" s="547">
        <v>0</v>
      </c>
      <c r="Q605" s="547">
        <v>0</v>
      </c>
      <c r="R605" s="547">
        <v>0</v>
      </c>
      <c r="S605" s="547">
        <v>0</v>
      </c>
      <c r="T605" s="547">
        <v>0</v>
      </c>
      <c r="U605" s="547">
        <v>0</v>
      </c>
      <c r="V605" s="547">
        <v>0</v>
      </c>
      <c r="W605" s="528"/>
      <c r="X605" s="711">
        <f t="shared" si="2033"/>
        <v>0</v>
      </c>
      <c r="Y605" s="896" t="str">
        <f t="shared" ref="Y605" si="2141">IFERROR((X606/X605),"0")</f>
        <v>0</v>
      </c>
      <c r="Z605" s="528"/>
      <c r="AA605" s="898">
        <v>0</v>
      </c>
      <c r="AB605" s="898">
        <v>0</v>
      </c>
      <c r="AC605" s="898">
        <v>91.6</v>
      </c>
      <c r="AD605" s="900" t="str">
        <f t="shared" ref="AD605" si="2142">IFERROR((AC605/AB605),"-")</f>
        <v>-</v>
      </c>
      <c r="AE605" s="2"/>
      <c r="AF605" s="886">
        <v>832</v>
      </c>
      <c r="AG605" s="884"/>
      <c r="AH605" s="884">
        <v>0</v>
      </c>
      <c r="AI605" s="884"/>
      <c r="AJ605" s="884"/>
      <c r="AK605" s="884">
        <f t="shared" ref="AK605" si="2143">AF605+AG605+AH605+AI605+AJ605+AC605</f>
        <v>923.6</v>
      </c>
      <c r="AL605" s="884">
        <v>1307.9999999999991</v>
      </c>
      <c r="AM605" s="878">
        <f t="shared" ref="AM605" si="2144">IFERROR((AK605/AL605),"-")</f>
        <v>0.70611620795107088</v>
      </c>
      <c r="AN605" s="2"/>
      <c r="AO605" s="884">
        <v>832</v>
      </c>
      <c r="AP605" s="884">
        <f t="shared" ref="AP605" si="2145">AO605-AK605</f>
        <v>-91.600000000000023</v>
      </c>
      <c r="AV605" t="str">
        <f t="shared" si="2059"/>
        <v xml:space="preserve">Aterro e compactação </v>
      </c>
      <c r="AW605" s="4" t="str">
        <f t="shared" si="2057"/>
        <v xml:space="preserve">   Seg. 2.3-CA 03- Camada Final de Aterro - CF-A-03 (PN a 100%)</v>
      </c>
    </row>
    <row r="606" spans="1:49" ht="15.6" customHeight="1" outlineLevel="2">
      <c r="A606" s="545" t="str">
        <f t="shared" ref="A606" si="2146">A605</f>
        <v>N</v>
      </c>
      <c r="B606" s="526"/>
      <c r="C606" s="526"/>
      <c r="D606" s="527" t="s">
        <v>902</v>
      </c>
      <c r="E606" s="893"/>
      <c r="F606" s="895"/>
      <c r="G606" s="528"/>
      <c r="H606" s="549" t="s">
        <v>38</v>
      </c>
      <c r="I606" s="711">
        <v>0</v>
      </c>
      <c r="J606" s="897"/>
      <c r="K606" s="528"/>
      <c r="L606" s="549" t="s">
        <v>38</v>
      </c>
      <c r="M606" s="711">
        <f t="shared" si="2031"/>
        <v>0</v>
      </c>
      <c r="N606" s="897"/>
      <c r="O606" s="528"/>
      <c r="P606" s="547">
        <v>0</v>
      </c>
      <c r="Q606" s="547">
        <v>0</v>
      </c>
      <c r="R606" s="547">
        <v>0</v>
      </c>
      <c r="S606" s="547">
        <v>0</v>
      </c>
      <c r="T606" s="547">
        <v>0</v>
      </c>
      <c r="U606" s="547">
        <v>0</v>
      </c>
      <c r="V606" s="547">
        <v>0</v>
      </c>
      <c r="W606" s="528"/>
      <c r="X606" s="711">
        <f t="shared" si="2033"/>
        <v>0</v>
      </c>
      <c r="Y606" s="897"/>
      <c r="Z606" s="528"/>
      <c r="AA606" s="899"/>
      <c r="AB606" s="899"/>
      <c r="AC606" s="899"/>
      <c r="AD606" s="901"/>
      <c r="AE606" s="2"/>
      <c r="AF606" s="926"/>
      <c r="AG606" s="885"/>
      <c r="AH606" s="885"/>
      <c r="AI606" s="885"/>
      <c r="AJ606" s="885"/>
      <c r="AK606" s="885"/>
      <c r="AL606" s="885"/>
      <c r="AM606" s="879"/>
      <c r="AN606" s="2"/>
      <c r="AO606" s="886"/>
      <c r="AP606" s="886"/>
      <c r="AV606" t="str">
        <f t="shared" si="2059"/>
        <v xml:space="preserve">Aterro e compactação </v>
      </c>
      <c r="AW606" s="4" t="str">
        <f t="shared" si="2057"/>
        <v xml:space="preserve">   Seg. 2.3-CA 03- Camada Final de Aterro - CF-A-03 (PN a 100%)</v>
      </c>
    </row>
    <row r="607" spans="1:49" ht="15.6" customHeight="1" outlineLevel="2">
      <c r="A607" s="545" t="str">
        <f t="shared" ref="A607" si="2147">IF(SUM(P607:V608)&gt;0,"S","N")</f>
        <v>S</v>
      </c>
      <c r="B607" s="526">
        <v>1059673</v>
      </c>
      <c r="C607" s="526" t="s">
        <v>904</v>
      </c>
      <c r="D607" s="527" t="s">
        <v>905</v>
      </c>
      <c r="E607" s="892" t="s">
        <v>906</v>
      </c>
      <c r="F607" s="894" t="s">
        <v>36</v>
      </c>
      <c r="G607" s="528"/>
      <c r="H607" s="546" t="s">
        <v>37</v>
      </c>
      <c r="I607" s="711">
        <v>0</v>
      </c>
      <c r="J607" s="896" t="str">
        <f t="shared" ref="J607" si="2148">IFERROR((I608/I607),"-")</f>
        <v>-</v>
      </c>
      <c r="K607" s="528"/>
      <c r="L607" s="546" t="s">
        <v>37</v>
      </c>
      <c r="M607" s="711">
        <f t="shared" si="2031"/>
        <v>980</v>
      </c>
      <c r="N607" s="896">
        <f t="shared" ref="N607" si="2149">IFERROR((M608/M607),"-")</f>
        <v>0</v>
      </c>
      <c r="O607" s="528"/>
      <c r="P607" s="547">
        <v>980</v>
      </c>
      <c r="Q607" s="547">
        <v>980</v>
      </c>
      <c r="R607" s="547">
        <v>980</v>
      </c>
      <c r="S607" s="547">
        <v>980</v>
      </c>
      <c r="T607" s="547">
        <v>840</v>
      </c>
      <c r="U607" s="547">
        <v>840</v>
      </c>
      <c r="V607" s="547">
        <v>0</v>
      </c>
      <c r="W607" s="528"/>
      <c r="X607" s="711">
        <f t="shared" si="2033"/>
        <v>1960</v>
      </c>
      <c r="Y607" s="896">
        <f t="shared" ref="Y607" si="2150">IFERROR((X608/X607),"0")</f>
        <v>0</v>
      </c>
      <c r="Z607" s="528"/>
      <c r="AA607" s="898">
        <v>0</v>
      </c>
      <c r="AB607" s="898">
        <v>0</v>
      </c>
      <c r="AC607" s="898">
        <v>0</v>
      </c>
      <c r="AD607" s="900" t="str">
        <f t="shared" ref="AD607" si="2151">IFERROR((AC607/AB607),"-")</f>
        <v>-</v>
      </c>
      <c r="AE607" s="2"/>
      <c r="AF607" s="886">
        <v>500.488</v>
      </c>
      <c r="AG607" s="884"/>
      <c r="AH607" s="884">
        <v>0</v>
      </c>
      <c r="AI607" s="884"/>
      <c r="AJ607" s="884"/>
      <c r="AK607" s="884">
        <f t="shared" ref="AK607" si="2152">AF607+AG607+AH607+AI607+AJ607+AC607</f>
        <v>500.488</v>
      </c>
      <c r="AL607" s="884">
        <v>504.27</v>
      </c>
      <c r="AM607" s="878">
        <f t="shared" ref="AM607" si="2153">IFERROR((AK607/AL607),"-")</f>
        <v>0.99250004957661575</v>
      </c>
      <c r="AN607" s="2"/>
      <c r="AO607" s="884">
        <v>504.25</v>
      </c>
      <c r="AP607" s="884">
        <f t="shared" ref="AP607" si="2154">AO607-AK607</f>
        <v>3.7620000000000005</v>
      </c>
      <c r="AV607" t="str">
        <f t="shared" si="2059"/>
        <v xml:space="preserve">Aterro e compactação </v>
      </c>
      <c r="AW607" s="4" t="str">
        <f t="shared" si="2057"/>
        <v xml:space="preserve">   Seg. 2.3-CA 04- Camada Final de Aterro - CF-A-04 (PN a 100%)</v>
      </c>
    </row>
    <row r="608" spans="1:49" ht="15.6" customHeight="1" outlineLevel="2">
      <c r="A608" s="545" t="str">
        <f t="shared" ref="A608" si="2155">A607</f>
        <v>S</v>
      </c>
      <c r="B608" s="526"/>
      <c r="C608" s="526"/>
      <c r="D608" s="527" t="s">
        <v>905</v>
      </c>
      <c r="E608" s="893"/>
      <c r="F608" s="895"/>
      <c r="G608" s="528"/>
      <c r="H608" s="549" t="s">
        <v>38</v>
      </c>
      <c r="I608" s="711">
        <v>0</v>
      </c>
      <c r="J608" s="897"/>
      <c r="K608" s="528"/>
      <c r="L608" s="549" t="s">
        <v>38</v>
      </c>
      <c r="M608" s="711">
        <f t="shared" si="2031"/>
        <v>0</v>
      </c>
      <c r="N608" s="897"/>
      <c r="O608" s="528"/>
      <c r="P608" s="547">
        <v>0</v>
      </c>
      <c r="Q608" s="547">
        <v>0</v>
      </c>
      <c r="R608" s="547">
        <v>0</v>
      </c>
      <c r="S608" s="547">
        <v>0</v>
      </c>
      <c r="T608" s="547">
        <v>0</v>
      </c>
      <c r="U608" s="547">
        <v>0</v>
      </c>
      <c r="V608" s="547">
        <v>0</v>
      </c>
      <c r="W608" s="528"/>
      <c r="X608" s="711">
        <f t="shared" si="2033"/>
        <v>0</v>
      </c>
      <c r="Y608" s="897"/>
      <c r="Z608" s="528"/>
      <c r="AA608" s="899"/>
      <c r="AB608" s="899"/>
      <c r="AC608" s="899"/>
      <c r="AD608" s="901"/>
      <c r="AE608" s="2"/>
      <c r="AF608" s="926"/>
      <c r="AG608" s="885"/>
      <c r="AH608" s="885"/>
      <c r="AI608" s="885"/>
      <c r="AJ608" s="885"/>
      <c r="AK608" s="885"/>
      <c r="AL608" s="885"/>
      <c r="AM608" s="879"/>
      <c r="AN608" s="2"/>
      <c r="AO608" s="886"/>
      <c r="AP608" s="886"/>
      <c r="AV608" t="str">
        <f t="shared" si="2059"/>
        <v xml:space="preserve">Aterro e compactação </v>
      </c>
      <c r="AW608" s="4" t="str">
        <f t="shared" si="2057"/>
        <v xml:space="preserve">   Seg. 2.3-CA 04- Camada Final de Aterro - CF-A-04 (PN a 100%)</v>
      </c>
    </row>
    <row r="609" spans="1:49" ht="15.6" customHeight="1" outlineLevel="2">
      <c r="A609" s="545" t="str">
        <f t="shared" ref="A609" si="2156">IF(SUM(P609:V610)&gt;0,"S","N")</f>
        <v>S</v>
      </c>
      <c r="B609" s="526">
        <v>1059675</v>
      </c>
      <c r="C609" s="526" t="s">
        <v>907</v>
      </c>
      <c r="D609" s="527" t="s">
        <v>908</v>
      </c>
      <c r="E609" s="892" t="s">
        <v>909</v>
      </c>
      <c r="F609" s="894" t="s">
        <v>36</v>
      </c>
      <c r="G609" s="528"/>
      <c r="H609" s="546" t="s">
        <v>37</v>
      </c>
      <c r="I609" s="711">
        <v>0</v>
      </c>
      <c r="J609" s="896" t="str">
        <f t="shared" ref="J609" si="2157">IFERROR((I610/I609),"-")</f>
        <v>-</v>
      </c>
      <c r="K609" s="528"/>
      <c r="L609" s="546" t="s">
        <v>37</v>
      </c>
      <c r="M609" s="711">
        <f t="shared" si="2031"/>
        <v>980</v>
      </c>
      <c r="N609" s="896">
        <f t="shared" ref="N609" si="2158">IFERROR((M610/M609),"-")</f>
        <v>0</v>
      </c>
      <c r="O609" s="528"/>
      <c r="P609" s="547">
        <v>980</v>
      </c>
      <c r="Q609" s="547">
        <v>980</v>
      </c>
      <c r="R609" s="547">
        <v>980</v>
      </c>
      <c r="S609" s="547">
        <v>980</v>
      </c>
      <c r="T609" s="547">
        <v>840</v>
      </c>
      <c r="U609" s="547">
        <v>840</v>
      </c>
      <c r="V609" s="547">
        <v>0</v>
      </c>
      <c r="W609" s="528"/>
      <c r="X609" s="711">
        <f t="shared" si="2033"/>
        <v>1960</v>
      </c>
      <c r="Y609" s="896">
        <f t="shared" ref="Y609" si="2159">IFERROR((X610/X609),"0")</f>
        <v>0</v>
      </c>
      <c r="Z609" s="528"/>
      <c r="AA609" s="898">
        <v>0</v>
      </c>
      <c r="AB609" s="898">
        <v>0</v>
      </c>
      <c r="AC609" s="898">
        <v>0</v>
      </c>
      <c r="AD609" s="900" t="str">
        <f t="shared" ref="AD609" si="2160">IFERROR((AC609/AB609),"-")</f>
        <v>-</v>
      </c>
      <c r="AE609" s="2"/>
      <c r="AF609" s="886">
        <v>1301.1849999999999</v>
      </c>
      <c r="AG609" s="884"/>
      <c r="AH609" s="884">
        <v>0</v>
      </c>
      <c r="AI609" s="884"/>
      <c r="AJ609" s="884"/>
      <c r="AK609" s="884">
        <f t="shared" ref="AK609" si="2161">AF609+AG609+AH609+AI609+AJ609+AC609</f>
        <v>1301.1849999999999</v>
      </c>
      <c r="AL609" s="884">
        <v>1301</v>
      </c>
      <c r="AM609" s="878">
        <f t="shared" ref="AM609" si="2162">IFERROR((AK609/AL609),"-")</f>
        <v>1.0001421983089931</v>
      </c>
      <c r="AN609" s="2"/>
      <c r="AO609" s="884">
        <v>1695.61</v>
      </c>
      <c r="AP609" s="884">
        <f t="shared" ref="AP609" si="2163">AO609-AK609</f>
        <v>394.42499999999995</v>
      </c>
      <c r="AV609" t="str">
        <f t="shared" si="2059"/>
        <v xml:space="preserve">Aterro e compactação </v>
      </c>
      <c r="AW609" s="4" t="str">
        <f t="shared" si="2057"/>
        <v xml:space="preserve">   Seg. 2.3- CA 05- Camada Final de Aterro - CF-A-05 (PN a 100%)</v>
      </c>
    </row>
    <row r="610" spans="1:49" ht="15.6" customHeight="1" outlineLevel="2">
      <c r="A610" s="545" t="str">
        <f t="shared" ref="A610" si="2164">A609</f>
        <v>S</v>
      </c>
      <c r="B610" s="526"/>
      <c r="C610" s="526"/>
      <c r="D610" s="527" t="s">
        <v>908</v>
      </c>
      <c r="E610" s="893"/>
      <c r="F610" s="895"/>
      <c r="G610" s="528"/>
      <c r="H610" s="549" t="s">
        <v>38</v>
      </c>
      <c r="I610" s="711">
        <v>0</v>
      </c>
      <c r="J610" s="897"/>
      <c r="K610" s="528"/>
      <c r="L610" s="549" t="s">
        <v>38</v>
      </c>
      <c r="M610" s="711">
        <f t="shared" si="2031"/>
        <v>0</v>
      </c>
      <c r="N610" s="897"/>
      <c r="O610" s="528"/>
      <c r="P610" s="547">
        <v>0</v>
      </c>
      <c r="Q610" s="547">
        <v>0</v>
      </c>
      <c r="R610" s="547">
        <v>0</v>
      </c>
      <c r="S610" s="547">
        <v>0</v>
      </c>
      <c r="T610" s="547">
        <v>0</v>
      </c>
      <c r="U610" s="547">
        <v>0</v>
      </c>
      <c r="V610" s="547">
        <v>0</v>
      </c>
      <c r="W610" s="528"/>
      <c r="X610" s="711">
        <f t="shared" si="2033"/>
        <v>0</v>
      </c>
      <c r="Y610" s="897"/>
      <c r="Z610" s="528"/>
      <c r="AA610" s="899"/>
      <c r="AB610" s="899"/>
      <c r="AC610" s="899"/>
      <c r="AD610" s="901"/>
      <c r="AE610" s="2"/>
      <c r="AF610" s="926"/>
      <c r="AG610" s="885"/>
      <c r="AH610" s="885"/>
      <c r="AI610" s="885"/>
      <c r="AJ610" s="885"/>
      <c r="AK610" s="885"/>
      <c r="AL610" s="885"/>
      <c r="AM610" s="879"/>
      <c r="AN610" s="2"/>
      <c r="AO610" s="886"/>
      <c r="AP610" s="886"/>
      <c r="AV610" t="str">
        <f t="shared" si="2059"/>
        <v xml:space="preserve">Aterro e compactação </v>
      </c>
      <c r="AW610" s="4" t="str">
        <f t="shared" si="2057"/>
        <v xml:space="preserve">   Seg. 2.3- CA 05- Camada Final de Aterro - CF-A-05 (PN a 100%)</v>
      </c>
    </row>
    <row r="611" spans="1:49" ht="15.6" customHeight="1" outlineLevel="2">
      <c r="A611" s="545" t="str">
        <f t="shared" ref="A611" si="2165">IF(SUM(P611:V612)&gt;0,"S","N")</f>
        <v>N</v>
      </c>
      <c r="B611" s="526">
        <v>1059677</v>
      </c>
      <c r="C611" s="526" t="s">
        <v>910</v>
      </c>
      <c r="D611" s="527" t="s">
        <v>911</v>
      </c>
      <c r="E611" s="892" t="s">
        <v>912</v>
      </c>
      <c r="F611" s="894" t="s">
        <v>36</v>
      </c>
      <c r="G611" s="528"/>
      <c r="H611" s="546" t="s">
        <v>37</v>
      </c>
      <c r="I611" s="711">
        <v>0</v>
      </c>
      <c r="J611" s="896" t="str">
        <f t="shared" ref="J611" si="2166">IFERROR((I612/I611),"-")</f>
        <v>-</v>
      </c>
      <c r="K611" s="528"/>
      <c r="L611" s="546" t="s">
        <v>37</v>
      </c>
      <c r="M611" s="711">
        <f t="shared" si="2031"/>
        <v>0</v>
      </c>
      <c r="N611" s="896" t="str">
        <f t="shared" ref="N611" si="2167">IFERROR((M612/M611),"-")</f>
        <v>-</v>
      </c>
      <c r="O611" s="528"/>
      <c r="P611" s="547">
        <v>0</v>
      </c>
      <c r="Q611" s="547">
        <v>0</v>
      </c>
      <c r="R611" s="547">
        <v>0</v>
      </c>
      <c r="S611" s="547">
        <v>0</v>
      </c>
      <c r="T611" s="547">
        <v>0</v>
      </c>
      <c r="U611" s="547">
        <v>0</v>
      </c>
      <c r="V611" s="547">
        <v>0</v>
      </c>
      <c r="W611" s="528"/>
      <c r="X611" s="711">
        <f t="shared" si="2033"/>
        <v>0</v>
      </c>
      <c r="Y611" s="896" t="str">
        <f t="shared" ref="Y611" si="2168">IFERROR((X612/X611),"0")</f>
        <v>0</v>
      </c>
      <c r="Z611" s="528"/>
      <c r="AA611" s="898">
        <v>0</v>
      </c>
      <c r="AB611" s="898">
        <v>0</v>
      </c>
      <c r="AC611" s="898">
        <v>0</v>
      </c>
      <c r="AD611" s="900" t="str">
        <f t="shared" ref="AD611" si="2169">IFERROR((AC611/AB611),"-")</f>
        <v>-</v>
      </c>
      <c r="AE611" s="2"/>
      <c r="AF611" s="886">
        <v>5535.7659999999996</v>
      </c>
      <c r="AG611" s="884"/>
      <c r="AH611" s="884">
        <v>0</v>
      </c>
      <c r="AI611" s="884"/>
      <c r="AJ611" s="884"/>
      <c r="AK611" s="884">
        <f t="shared" ref="AK611" si="2170">AF611+AG611+AH611+AI611+AJ611+AC611</f>
        <v>5535.7659999999996</v>
      </c>
      <c r="AL611" s="884">
        <v>5536.1100000000024</v>
      </c>
      <c r="AM611" s="878">
        <f t="shared" ref="AM611" si="2171">IFERROR((AK611/AL611),"-")</f>
        <v>0.9999378625063442</v>
      </c>
      <c r="AN611" s="2"/>
      <c r="AO611" s="884">
        <v>5536.19</v>
      </c>
      <c r="AP611" s="884">
        <f t="shared" ref="AP611" si="2172">AO611-AK611</f>
        <v>0.42399999999997817</v>
      </c>
      <c r="AV611" t="str">
        <f t="shared" si="2059"/>
        <v xml:space="preserve">Aterro e compactação </v>
      </c>
      <c r="AW611" s="4" t="str">
        <f t="shared" si="2057"/>
        <v xml:space="preserve">   Seg. 2.3- CA 06- Camada Final de Aterro - CF-A-06 (PN a 100%)</v>
      </c>
    </row>
    <row r="612" spans="1:49" ht="15.6" customHeight="1" outlineLevel="2">
      <c r="A612" s="545" t="str">
        <f t="shared" ref="A612" si="2173">A611</f>
        <v>N</v>
      </c>
      <c r="B612" s="526"/>
      <c r="C612" s="526"/>
      <c r="D612" s="527" t="s">
        <v>911</v>
      </c>
      <c r="E612" s="893"/>
      <c r="F612" s="895"/>
      <c r="G612" s="528"/>
      <c r="H612" s="549" t="s">
        <v>38</v>
      </c>
      <c r="I612" s="711">
        <v>0</v>
      </c>
      <c r="J612" s="897"/>
      <c r="K612" s="528"/>
      <c r="L612" s="549" t="s">
        <v>38</v>
      </c>
      <c r="M612" s="711">
        <f t="shared" si="2031"/>
        <v>0</v>
      </c>
      <c r="N612" s="897"/>
      <c r="O612" s="528"/>
      <c r="P612" s="547">
        <v>0</v>
      </c>
      <c r="Q612" s="547">
        <v>0</v>
      </c>
      <c r="R612" s="547">
        <v>0</v>
      </c>
      <c r="S612" s="547">
        <v>0</v>
      </c>
      <c r="T612" s="547">
        <v>0</v>
      </c>
      <c r="U612" s="547">
        <v>0</v>
      </c>
      <c r="V612" s="547">
        <v>0</v>
      </c>
      <c r="W612" s="528"/>
      <c r="X612" s="711">
        <f t="shared" si="2033"/>
        <v>0</v>
      </c>
      <c r="Y612" s="897"/>
      <c r="Z612" s="528"/>
      <c r="AA612" s="899"/>
      <c r="AB612" s="899"/>
      <c r="AC612" s="899"/>
      <c r="AD612" s="901"/>
      <c r="AE612" s="2"/>
      <c r="AF612" s="926"/>
      <c r="AG612" s="885"/>
      <c r="AH612" s="885"/>
      <c r="AI612" s="885"/>
      <c r="AJ612" s="885"/>
      <c r="AK612" s="885"/>
      <c r="AL612" s="885"/>
      <c r="AM612" s="879"/>
      <c r="AN612" s="2"/>
      <c r="AO612" s="886"/>
      <c r="AP612" s="886"/>
      <c r="AV612" t="str">
        <f t="shared" si="2059"/>
        <v xml:space="preserve">Aterro e compactação </v>
      </c>
      <c r="AW612" s="4" t="str">
        <f t="shared" si="2057"/>
        <v xml:space="preserve">   Seg. 2.3- CA 06- Camada Final de Aterro - CF-A-06 (PN a 100%)</v>
      </c>
    </row>
    <row r="613" spans="1:49" ht="15.6" customHeight="1" outlineLevel="2">
      <c r="A613" s="545" t="str">
        <f t="shared" ref="A613" si="2174">IF(SUM(P613:V614)&gt;0,"S","N")</f>
        <v>N</v>
      </c>
      <c r="B613" s="526">
        <v>1059679</v>
      </c>
      <c r="C613" s="526" t="s">
        <v>913</v>
      </c>
      <c r="D613" s="527" t="s">
        <v>914</v>
      </c>
      <c r="E613" s="892" t="s">
        <v>915</v>
      </c>
      <c r="F613" s="894" t="s">
        <v>36</v>
      </c>
      <c r="G613" s="528"/>
      <c r="H613" s="546" t="s">
        <v>37</v>
      </c>
      <c r="I613" s="711">
        <v>0</v>
      </c>
      <c r="J613" s="896" t="str">
        <f t="shared" ref="J613" si="2175">IFERROR((I614/I613),"-")</f>
        <v>-</v>
      </c>
      <c r="K613" s="528"/>
      <c r="L613" s="546" t="s">
        <v>37</v>
      </c>
      <c r="M613" s="711">
        <f t="shared" si="2031"/>
        <v>0</v>
      </c>
      <c r="N613" s="896" t="str">
        <f t="shared" ref="N613" si="2176">IFERROR((M614/M613),"-")</f>
        <v>-</v>
      </c>
      <c r="O613" s="528"/>
      <c r="P613" s="547">
        <v>0</v>
      </c>
      <c r="Q613" s="547">
        <v>0</v>
      </c>
      <c r="R613" s="547">
        <v>0</v>
      </c>
      <c r="S613" s="547">
        <v>0</v>
      </c>
      <c r="T613" s="547">
        <v>0</v>
      </c>
      <c r="U613" s="547">
        <v>0</v>
      </c>
      <c r="V613" s="547">
        <v>0</v>
      </c>
      <c r="W613" s="528"/>
      <c r="X613" s="711">
        <f t="shared" si="2033"/>
        <v>0</v>
      </c>
      <c r="Y613" s="896" t="str">
        <f t="shared" ref="Y613" si="2177">IFERROR((X614/X613),"0")</f>
        <v>0</v>
      </c>
      <c r="Z613" s="528"/>
      <c r="AA613" s="898">
        <v>0</v>
      </c>
      <c r="AB613" s="898">
        <v>0</v>
      </c>
      <c r="AC613" s="898">
        <v>0</v>
      </c>
      <c r="AD613" s="900" t="str">
        <f t="shared" ref="AD613" si="2178">IFERROR((AC613/AB613),"-")</f>
        <v>-</v>
      </c>
      <c r="AE613" s="2"/>
      <c r="AF613" s="886">
        <v>226.04</v>
      </c>
      <c r="AG613" s="884"/>
      <c r="AH613" s="884">
        <v>0</v>
      </c>
      <c r="AI613" s="884"/>
      <c r="AJ613" s="884"/>
      <c r="AK613" s="884">
        <f t="shared" ref="AK613" si="2179">AF613+AG613+AH613+AI613+AJ613+AC613</f>
        <v>226.04</v>
      </c>
      <c r="AL613" s="884">
        <v>226.04</v>
      </c>
      <c r="AM613" s="878">
        <f t="shared" ref="AM613" si="2180">IFERROR((AK613/AL613),"-")</f>
        <v>1</v>
      </c>
      <c r="AN613" s="2"/>
      <c r="AO613" s="884">
        <v>226.04</v>
      </c>
      <c r="AP613" s="884">
        <f t="shared" ref="AP613" si="2181">AO613-AK613</f>
        <v>0</v>
      </c>
      <c r="AV613" t="str">
        <f t="shared" si="2059"/>
        <v xml:space="preserve">Aterro e compactação </v>
      </c>
      <c r="AW613" s="4" t="str">
        <f t="shared" si="2057"/>
        <v xml:space="preserve">   Seg. 2.3- CA 07- Camada Final de Aterro - CF-A-07 (PN a 100%)</v>
      </c>
    </row>
    <row r="614" spans="1:49" ht="15.6" customHeight="1" outlineLevel="2">
      <c r="A614" s="545" t="str">
        <f t="shared" ref="A614" si="2182">A613</f>
        <v>N</v>
      </c>
      <c r="B614" s="526"/>
      <c r="C614" s="526"/>
      <c r="D614" s="527" t="s">
        <v>914</v>
      </c>
      <c r="E614" s="893"/>
      <c r="F614" s="895"/>
      <c r="G614" s="528"/>
      <c r="H614" s="549" t="s">
        <v>38</v>
      </c>
      <c r="I614" s="711">
        <v>0</v>
      </c>
      <c r="J614" s="897"/>
      <c r="K614" s="528"/>
      <c r="L614" s="549" t="s">
        <v>38</v>
      </c>
      <c r="M614" s="711">
        <f t="shared" si="2031"/>
        <v>0</v>
      </c>
      <c r="N614" s="897"/>
      <c r="O614" s="528"/>
      <c r="P614" s="547">
        <v>0</v>
      </c>
      <c r="Q614" s="547">
        <v>0</v>
      </c>
      <c r="R614" s="547">
        <v>0</v>
      </c>
      <c r="S614" s="547">
        <v>0</v>
      </c>
      <c r="T614" s="547">
        <v>0</v>
      </c>
      <c r="U614" s="547">
        <v>0</v>
      </c>
      <c r="V614" s="547">
        <v>0</v>
      </c>
      <c r="W614" s="528"/>
      <c r="X614" s="711">
        <f t="shared" si="2033"/>
        <v>0</v>
      </c>
      <c r="Y614" s="897"/>
      <c r="Z614" s="528"/>
      <c r="AA614" s="899"/>
      <c r="AB614" s="899"/>
      <c r="AC614" s="899"/>
      <c r="AD614" s="901"/>
      <c r="AE614" s="2"/>
      <c r="AF614" s="926"/>
      <c r="AG614" s="885"/>
      <c r="AH614" s="885"/>
      <c r="AI614" s="885"/>
      <c r="AJ614" s="885"/>
      <c r="AK614" s="885"/>
      <c r="AL614" s="885"/>
      <c r="AM614" s="879"/>
      <c r="AN614" s="2"/>
      <c r="AO614" s="886"/>
      <c r="AP614" s="886"/>
      <c r="AV614" t="str">
        <f t="shared" si="2059"/>
        <v xml:space="preserve">Aterro e compactação </v>
      </c>
      <c r="AW614" s="4" t="str">
        <f t="shared" si="2057"/>
        <v xml:space="preserve">   Seg. 2.3- CA 07- Camada Final de Aterro - CF-A-07 (PN a 100%)</v>
      </c>
    </row>
    <row r="615" spans="1:49" ht="15.6" customHeight="1" outlineLevel="2">
      <c r="A615" s="545" t="str">
        <f t="shared" ref="A615" si="2183">IF(SUM(P615:V616)&gt;0,"S","N")</f>
        <v>N</v>
      </c>
      <c r="B615" s="526">
        <v>1059681</v>
      </c>
      <c r="C615" s="526" t="s">
        <v>916</v>
      </c>
      <c r="D615" s="527" t="s">
        <v>917</v>
      </c>
      <c r="E615" s="892" t="s">
        <v>918</v>
      </c>
      <c r="F615" s="894" t="s">
        <v>36</v>
      </c>
      <c r="G615" s="528"/>
      <c r="H615" s="546" t="s">
        <v>37</v>
      </c>
      <c r="I615" s="711">
        <v>0</v>
      </c>
      <c r="J615" s="896" t="str">
        <f t="shared" ref="J615" si="2184">IFERROR((I616/I615),"-")</f>
        <v>-</v>
      </c>
      <c r="K615" s="528"/>
      <c r="L615" s="546" t="s">
        <v>37</v>
      </c>
      <c r="M615" s="711">
        <f t="shared" si="2031"/>
        <v>0</v>
      </c>
      <c r="N615" s="896" t="str">
        <f t="shared" ref="N615" si="2185">IFERROR((M616/M615),"-")</f>
        <v>-</v>
      </c>
      <c r="O615" s="528"/>
      <c r="P615" s="547">
        <v>0</v>
      </c>
      <c r="Q615" s="547">
        <v>0</v>
      </c>
      <c r="R615" s="547">
        <v>0</v>
      </c>
      <c r="S615" s="547">
        <v>0</v>
      </c>
      <c r="T615" s="547">
        <v>0</v>
      </c>
      <c r="U615" s="547">
        <v>0</v>
      </c>
      <c r="V615" s="547">
        <v>0</v>
      </c>
      <c r="W615" s="528"/>
      <c r="X615" s="711">
        <f t="shared" si="2033"/>
        <v>0</v>
      </c>
      <c r="Y615" s="896" t="str">
        <f t="shared" ref="Y615" si="2186">IFERROR((X616/X615),"0")</f>
        <v>0</v>
      </c>
      <c r="Z615" s="528"/>
      <c r="AA615" s="898">
        <v>202</v>
      </c>
      <c r="AB615" s="898">
        <v>0</v>
      </c>
      <c r="AC615" s="898">
        <v>0</v>
      </c>
      <c r="AD615" s="900" t="str">
        <f t="shared" ref="AD615" si="2187">IFERROR((AC615/AB615),"-")</f>
        <v>-</v>
      </c>
      <c r="AE615" s="2"/>
      <c r="AF615" s="886">
        <v>0</v>
      </c>
      <c r="AG615" s="884"/>
      <c r="AH615" s="884">
        <v>0</v>
      </c>
      <c r="AI615" s="884"/>
      <c r="AJ615" s="884"/>
      <c r="AK615" s="884">
        <f t="shared" ref="AK615" si="2188">AF615+AG615+AH615+AI615+AJ615+AC615</f>
        <v>0</v>
      </c>
      <c r="AL615" s="884">
        <v>0</v>
      </c>
      <c r="AM615" s="878" t="str">
        <f t="shared" ref="AM615" si="2189">IFERROR((AK615/AL615),"-")</f>
        <v>-</v>
      </c>
      <c r="AN615" s="2"/>
      <c r="AO615" s="884">
        <v>201.53</v>
      </c>
      <c r="AP615" s="884">
        <f t="shared" ref="AP615" si="2190">AO615-AK615</f>
        <v>201.53</v>
      </c>
      <c r="AV615" t="str">
        <f t="shared" si="2059"/>
        <v xml:space="preserve">Aterro e compactação </v>
      </c>
      <c r="AW615" s="4" t="str">
        <f t="shared" si="2057"/>
        <v xml:space="preserve">   Seg. 2.3- CA 09- Camada Final de Aterro - CF-A-09 (PN a 100%)</v>
      </c>
    </row>
    <row r="616" spans="1:49" ht="15.6" customHeight="1" outlineLevel="2">
      <c r="A616" s="545" t="str">
        <f t="shared" ref="A616" si="2191">A615</f>
        <v>N</v>
      </c>
      <c r="B616" s="526"/>
      <c r="C616" s="526" t="s">
        <v>916</v>
      </c>
      <c r="D616" s="527" t="s">
        <v>919</v>
      </c>
      <c r="E616" s="893"/>
      <c r="F616" s="895"/>
      <c r="G616" s="528"/>
      <c r="H616" s="549" t="s">
        <v>38</v>
      </c>
      <c r="I616" s="711">
        <v>0</v>
      </c>
      <c r="J616" s="897"/>
      <c r="K616" s="528"/>
      <c r="L616" s="549" t="s">
        <v>38</v>
      </c>
      <c r="M616" s="711">
        <f t="shared" si="2031"/>
        <v>0</v>
      </c>
      <c r="N616" s="897"/>
      <c r="O616" s="528"/>
      <c r="P616" s="547">
        <v>0</v>
      </c>
      <c r="Q616" s="547">
        <v>0</v>
      </c>
      <c r="R616" s="547">
        <v>0</v>
      </c>
      <c r="S616" s="547">
        <v>0</v>
      </c>
      <c r="T616" s="547">
        <v>0</v>
      </c>
      <c r="U616" s="547">
        <v>0</v>
      </c>
      <c r="V616" s="547">
        <v>0</v>
      </c>
      <c r="W616" s="528"/>
      <c r="X616" s="711">
        <f t="shared" si="2033"/>
        <v>0</v>
      </c>
      <c r="Y616" s="897"/>
      <c r="Z616" s="528"/>
      <c r="AA616" s="899"/>
      <c r="AB616" s="899"/>
      <c r="AC616" s="899"/>
      <c r="AD616" s="901"/>
      <c r="AE616" s="2"/>
      <c r="AF616" s="926"/>
      <c r="AG616" s="885"/>
      <c r="AH616" s="885"/>
      <c r="AI616" s="885"/>
      <c r="AJ616" s="885"/>
      <c r="AK616" s="885"/>
      <c r="AL616" s="885"/>
      <c r="AM616" s="879"/>
      <c r="AN616" s="2"/>
      <c r="AO616" s="886"/>
      <c r="AP616" s="886"/>
      <c r="AV616" t="str">
        <f t="shared" si="2059"/>
        <v xml:space="preserve">Aterro e compactação </v>
      </c>
      <c r="AW616" s="4" t="str">
        <f t="shared" si="2057"/>
        <v xml:space="preserve">   Seg. 2.3- CA 09- Camada Final de Aterro - CF-A-09 (PN a 100%)</v>
      </c>
    </row>
    <row r="617" spans="1:49" ht="15.6" customHeight="1" outlineLevel="2">
      <c r="A617" s="545" t="str">
        <f t="shared" ref="A617" si="2192">IF(SUM(P617:V618)&gt;0,"S","N")</f>
        <v>N</v>
      </c>
      <c r="B617" s="526">
        <v>1059682</v>
      </c>
      <c r="C617" s="526" t="s">
        <v>920</v>
      </c>
      <c r="D617" s="527" t="s">
        <v>921</v>
      </c>
      <c r="E617" s="892" t="s">
        <v>922</v>
      </c>
      <c r="F617" s="894" t="s">
        <v>36</v>
      </c>
      <c r="G617" s="528"/>
      <c r="H617" s="546" t="s">
        <v>37</v>
      </c>
      <c r="I617" s="711">
        <v>0</v>
      </c>
      <c r="J617" s="896" t="str">
        <f t="shared" ref="J617" si="2193">IFERROR((I618/I617),"-")</f>
        <v>-</v>
      </c>
      <c r="K617" s="528"/>
      <c r="L617" s="546" t="s">
        <v>37</v>
      </c>
      <c r="M617" s="711">
        <f t="shared" si="2031"/>
        <v>0</v>
      </c>
      <c r="N617" s="896" t="str">
        <f t="shared" ref="N617" si="2194">IFERROR((M618/M617),"-")</f>
        <v>-</v>
      </c>
      <c r="O617" s="528"/>
      <c r="P617" s="547">
        <v>0</v>
      </c>
      <c r="Q617" s="547">
        <v>0</v>
      </c>
      <c r="R617" s="547">
        <v>0</v>
      </c>
      <c r="S617" s="547">
        <v>0</v>
      </c>
      <c r="T617" s="547">
        <v>0</v>
      </c>
      <c r="U617" s="547">
        <v>0</v>
      </c>
      <c r="V617" s="547">
        <v>0</v>
      </c>
      <c r="W617" s="528"/>
      <c r="X617" s="711">
        <f t="shared" si="2033"/>
        <v>0</v>
      </c>
      <c r="Y617" s="896" t="str">
        <f t="shared" ref="Y617" si="2195">IFERROR((X618/X617),"0")</f>
        <v>0</v>
      </c>
      <c r="Z617" s="528"/>
      <c r="AA617" s="898">
        <v>383</v>
      </c>
      <c r="AB617" s="898">
        <v>0</v>
      </c>
      <c r="AC617" s="898">
        <v>0</v>
      </c>
      <c r="AD617" s="900" t="str">
        <f t="shared" ref="AD617" si="2196">IFERROR((AC617/AB617),"-")</f>
        <v>-</v>
      </c>
      <c r="AE617" s="2"/>
      <c r="AF617" s="886">
        <v>0</v>
      </c>
      <c r="AG617" s="884"/>
      <c r="AH617" s="884">
        <v>0</v>
      </c>
      <c r="AI617" s="884"/>
      <c r="AJ617" s="884"/>
      <c r="AK617" s="884">
        <f t="shared" ref="AK617" si="2197">AF617+AG617+AH617+AI617+AJ617+AC617</f>
        <v>0</v>
      </c>
      <c r="AL617" s="884">
        <v>0</v>
      </c>
      <c r="AM617" s="878" t="str">
        <f t="shared" ref="AM617" si="2198">IFERROR((AK617/AL617),"-")</f>
        <v>-</v>
      </c>
      <c r="AN617" s="2"/>
      <c r="AO617" s="884">
        <v>382.24</v>
      </c>
      <c r="AP617" s="884">
        <f t="shared" ref="AP617" si="2199">AO617-AK617</f>
        <v>382.24</v>
      </c>
      <c r="AV617" t="str">
        <f t="shared" si="2059"/>
        <v xml:space="preserve">Aterro e compactação </v>
      </c>
      <c r="AW617" s="4" t="str">
        <f t="shared" si="2057"/>
        <v xml:space="preserve">   Seg. 2.3-CA 10- Camada Final de Aterro - CF-A-10 (PN a 100%)</v>
      </c>
    </row>
    <row r="618" spans="1:49" ht="15.6" customHeight="1" outlineLevel="2">
      <c r="A618" s="545" t="str">
        <f t="shared" ref="A618" si="2200">A617</f>
        <v>N</v>
      </c>
      <c r="B618" s="526"/>
      <c r="C618" s="526" t="s">
        <v>920</v>
      </c>
      <c r="D618" s="527" t="s">
        <v>921</v>
      </c>
      <c r="E618" s="893"/>
      <c r="F618" s="895"/>
      <c r="G618" s="528"/>
      <c r="H618" s="549" t="s">
        <v>38</v>
      </c>
      <c r="I618" s="711">
        <v>0</v>
      </c>
      <c r="J618" s="897"/>
      <c r="K618" s="528"/>
      <c r="L618" s="549" t="s">
        <v>38</v>
      </c>
      <c r="M618" s="711">
        <f t="shared" si="2031"/>
        <v>0</v>
      </c>
      <c r="N618" s="897"/>
      <c r="O618" s="528"/>
      <c r="P618" s="547">
        <v>0</v>
      </c>
      <c r="Q618" s="547">
        <v>0</v>
      </c>
      <c r="R618" s="547">
        <v>0</v>
      </c>
      <c r="S618" s="547">
        <v>0</v>
      </c>
      <c r="T618" s="547">
        <v>0</v>
      </c>
      <c r="U618" s="547">
        <v>0</v>
      </c>
      <c r="V618" s="547">
        <v>0</v>
      </c>
      <c r="W618" s="528"/>
      <c r="X618" s="711">
        <f t="shared" si="2033"/>
        <v>0</v>
      </c>
      <c r="Y618" s="897"/>
      <c r="Z618" s="528"/>
      <c r="AA618" s="899"/>
      <c r="AB618" s="899"/>
      <c r="AC618" s="899"/>
      <c r="AD618" s="901"/>
      <c r="AE618" s="2"/>
      <c r="AF618" s="926"/>
      <c r="AG618" s="885"/>
      <c r="AH618" s="885"/>
      <c r="AI618" s="885"/>
      <c r="AJ618" s="885"/>
      <c r="AK618" s="885"/>
      <c r="AL618" s="885"/>
      <c r="AM618" s="879"/>
      <c r="AN618" s="2"/>
      <c r="AO618" s="886"/>
      <c r="AP618" s="886"/>
      <c r="AV618" t="str">
        <f t="shared" si="2059"/>
        <v xml:space="preserve">Aterro e compactação </v>
      </c>
      <c r="AW618" s="4" t="str">
        <f t="shared" si="2057"/>
        <v xml:space="preserve">   Seg. 2.3-CA 10- Camada Final de Aterro - CF-A-10 (PN a 100%)</v>
      </c>
    </row>
    <row r="619" spans="1:49" ht="15.6" customHeight="1" outlineLevel="2">
      <c r="A619" s="545" t="str">
        <f t="shared" ref="A619" si="2201">IF(SUM(P619:V620)&gt;0,"S","N")</f>
        <v>S</v>
      </c>
      <c r="B619" s="526">
        <v>1060145</v>
      </c>
      <c r="C619" s="526" t="s">
        <v>923</v>
      </c>
      <c r="D619" s="527" t="s">
        <v>924</v>
      </c>
      <c r="E619" s="892" t="s">
        <v>925</v>
      </c>
      <c r="F619" s="894" t="s">
        <v>36</v>
      </c>
      <c r="G619" s="528"/>
      <c r="H619" s="546" t="s">
        <v>37</v>
      </c>
      <c r="I619" s="711">
        <v>0</v>
      </c>
      <c r="J619" s="896" t="str">
        <f t="shared" ref="J619" si="2202">IFERROR((I620/I619),"-")</f>
        <v>-</v>
      </c>
      <c r="K619" s="528"/>
      <c r="L619" s="546" t="s">
        <v>37</v>
      </c>
      <c r="M619" s="711">
        <f t="shared" si="2031"/>
        <v>980</v>
      </c>
      <c r="N619" s="896">
        <f t="shared" ref="N619" si="2203">IFERROR((M620/M619),"-")</f>
        <v>0</v>
      </c>
      <c r="O619" s="528"/>
      <c r="P619" s="547">
        <v>980</v>
      </c>
      <c r="Q619" s="547">
        <v>980</v>
      </c>
      <c r="R619" s="547">
        <v>980</v>
      </c>
      <c r="S619" s="547">
        <v>980</v>
      </c>
      <c r="T619" s="547">
        <v>840</v>
      </c>
      <c r="U619" s="547">
        <v>840</v>
      </c>
      <c r="V619" s="547">
        <v>0</v>
      </c>
      <c r="W619" s="528"/>
      <c r="X619" s="711">
        <f t="shared" si="2033"/>
        <v>1960</v>
      </c>
      <c r="Y619" s="896">
        <f t="shared" ref="Y619" si="2204">IFERROR((X620/X619),"0")</f>
        <v>0</v>
      </c>
      <c r="Z619" s="528"/>
      <c r="AA619" s="898">
        <v>414.23</v>
      </c>
      <c r="AB619" s="898">
        <v>0</v>
      </c>
      <c r="AC619" s="898">
        <v>0</v>
      </c>
      <c r="AD619" s="900" t="str">
        <f t="shared" ref="AD619" si="2205">IFERROR((AC619/AB619),"-")</f>
        <v>-</v>
      </c>
      <c r="AE619" s="2"/>
      <c r="AF619" s="886">
        <v>0</v>
      </c>
      <c r="AG619" s="884"/>
      <c r="AH619" s="884">
        <v>0</v>
      </c>
      <c r="AI619" s="884"/>
      <c r="AJ619" s="884"/>
      <c r="AK619" s="884">
        <f t="shared" ref="AK619" si="2206">AF619+AG619+AH619+AI619+AJ619+AC619</f>
        <v>0</v>
      </c>
      <c r="AL619" s="884">
        <v>0</v>
      </c>
      <c r="AM619" s="878" t="str">
        <f t="shared" ref="AM619" si="2207">IFERROR((AK619/AL619),"-")</f>
        <v>-</v>
      </c>
      <c r="AN619" s="2"/>
      <c r="AO619" s="884">
        <v>414.23</v>
      </c>
      <c r="AP619" s="884">
        <f t="shared" ref="AP619" si="2208">AO619-AK619</f>
        <v>414.23</v>
      </c>
      <c r="AV619" t="str">
        <f t="shared" si="2059"/>
        <v xml:space="preserve">Aterro e compactação </v>
      </c>
      <c r="AW619" s="4" t="str">
        <f t="shared" si="2057"/>
        <v xml:space="preserve">   Seg. 2.3- CA 08- Camada Final de Aterro - CF-A-08 (PN a 100%)</v>
      </c>
    </row>
    <row r="620" spans="1:49" ht="15.6" customHeight="1" outlineLevel="2">
      <c r="A620" s="545" t="str">
        <f t="shared" ref="A620" si="2209">A619</f>
        <v>S</v>
      </c>
      <c r="B620" s="526"/>
      <c r="C620" s="526" t="s">
        <v>923</v>
      </c>
      <c r="D620" s="527" t="s">
        <v>924</v>
      </c>
      <c r="E620" s="893"/>
      <c r="F620" s="895"/>
      <c r="G620" s="528"/>
      <c r="H620" s="549" t="s">
        <v>38</v>
      </c>
      <c r="I620" s="711">
        <v>0</v>
      </c>
      <c r="J620" s="897"/>
      <c r="K620" s="528"/>
      <c r="L620" s="549" t="s">
        <v>38</v>
      </c>
      <c r="M620" s="711">
        <f t="shared" si="2031"/>
        <v>0</v>
      </c>
      <c r="N620" s="897"/>
      <c r="O620" s="528"/>
      <c r="P620" s="547">
        <v>0</v>
      </c>
      <c r="Q620" s="547">
        <v>0</v>
      </c>
      <c r="R620" s="547">
        <v>0</v>
      </c>
      <c r="S620" s="547">
        <v>0</v>
      </c>
      <c r="T620" s="547">
        <v>0</v>
      </c>
      <c r="U620" s="547">
        <v>0</v>
      </c>
      <c r="V620" s="547">
        <v>0</v>
      </c>
      <c r="W620" s="528"/>
      <c r="X620" s="711">
        <f t="shared" si="2033"/>
        <v>0</v>
      </c>
      <c r="Y620" s="897"/>
      <c r="Z620" s="528"/>
      <c r="AA620" s="899"/>
      <c r="AB620" s="899"/>
      <c r="AC620" s="899"/>
      <c r="AD620" s="901"/>
      <c r="AE620" s="2"/>
      <c r="AF620" s="926"/>
      <c r="AG620" s="885"/>
      <c r="AH620" s="885"/>
      <c r="AI620" s="885"/>
      <c r="AJ620" s="885"/>
      <c r="AK620" s="885"/>
      <c r="AL620" s="885"/>
      <c r="AM620" s="879"/>
      <c r="AN620" s="2"/>
      <c r="AO620" s="886"/>
      <c r="AP620" s="886"/>
      <c r="AV620" t="str">
        <f t="shared" si="2059"/>
        <v xml:space="preserve">Aterro e compactação </v>
      </c>
      <c r="AW620" s="4" t="str">
        <f t="shared" si="2057"/>
        <v xml:space="preserve">   Seg. 2.3- CA 08- Camada Final de Aterro - CF-A-08 (PN a 100%)</v>
      </c>
    </row>
    <row r="621" spans="1:49" ht="15.6" customHeight="1" outlineLevel="2" collapsed="1">
      <c r="A621" s="545" t="str">
        <f t="shared" ref="A621" si="2210">IF(SUM(P621:V622)&gt;0,"S","N")</f>
        <v>N</v>
      </c>
      <c r="B621" s="526">
        <v>1060148</v>
      </c>
      <c r="C621" s="526" t="s">
        <v>926</v>
      </c>
      <c r="D621" s="527" t="s">
        <v>927</v>
      </c>
      <c r="E621" s="892" t="s">
        <v>928</v>
      </c>
      <c r="F621" s="894" t="s">
        <v>36</v>
      </c>
      <c r="G621" s="528"/>
      <c r="H621" s="546" t="s">
        <v>37</v>
      </c>
      <c r="I621" s="711">
        <v>0</v>
      </c>
      <c r="J621" s="896" t="str">
        <f t="shared" ref="J621" si="2211">IFERROR((I622/I621),"-")</f>
        <v>-</v>
      </c>
      <c r="K621" s="528"/>
      <c r="L621" s="546" t="s">
        <v>37</v>
      </c>
      <c r="M621" s="711">
        <f t="shared" si="2031"/>
        <v>0</v>
      </c>
      <c r="N621" s="896" t="str">
        <f t="shared" ref="N621" si="2212">IFERROR((M622/M621),"-")</f>
        <v>-</v>
      </c>
      <c r="O621" s="528"/>
      <c r="P621" s="547">
        <v>0</v>
      </c>
      <c r="Q621" s="547">
        <v>0</v>
      </c>
      <c r="R621" s="547">
        <v>0</v>
      </c>
      <c r="S621" s="547">
        <v>0</v>
      </c>
      <c r="T621" s="547">
        <v>0</v>
      </c>
      <c r="U621" s="547">
        <v>0</v>
      </c>
      <c r="V621" s="547">
        <v>0</v>
      </c>
      <c r="W621" s="528"/>
      <c r="X621" s="711">
        <f t="shared" si="2033"/>
        <v>0</v>
      </c>
      <c r="Y621" s="896" t="str">
        <f t="shared" ref="Y621" si="2213">IFERROR((X622/X621),"0")</f>
        <v>0</v>
      </c>
      <c r="Z621" s="528"/>
      <c r="AA621" s="898">
        <v>231</v>
      </c>
      <c r="AB621" s="898">
        <v>0</v>
      </c>
      <c r="AC621" s="898">
        <v>0</v>
      </c>
      <c r="AD621" s="900" t="str">
        <f t="shared" ref="AD621" si="2214">IFERROR((AC621/AB621),"-")</f>
        <v>-</v>
      </c>
      <c r="AE621" s="2"/>
      <c r="AF621" s="886">
        <v>0</v>
      </c>
      <c r="AG621" s="884"/>
      <c r="AH621" s="884">
        <v>0</v>
      </c>
      <c r="AI621" s="884"/>
      <c r="AJ621" s="884"/>
      <c r="AK621" s="884">
        <f t="shared" ref="AK621" si="2215">AF621+AG621+AH621+AI621+AJ621+AC621</f>
        <v>0</v>
      </c>
      <c r="AL621" s="884">
        <v>0</v>
      </c>
      <c r="AM621" s="878" t="str">
        <f t="shared" ref="AM621" si="2216">IFERROR((AK621/AL621),"-")</f>
        <v>-</v>
      </c>
      <c r="AN621" s="2"/>
      <c r="AO621" s="884">
        <v>230.83</v>
      </c>
      <c r="AP621" s="884">
        <f t="shared" ref="AP621" si="2217">AO621-AK621</f>
        <v>230.83</v>
      </c>
      <c r="AV621" t="str">
        <f t="shared" si="2059"/>
        <v xml:space="preserve">Aterro e compactação </v>
      </c>
      <c r="AW621" s="4" t="str">
        <f t="shared" si="2057"/>
        <v xml:space="preserve">   Seg. 2.3-CA 11- Camada Final de Aterro - CF-A-11 (PN a 100%)</v>
      </c>
    </row>
    <row r="622" spans="1:49" ht="15.6" customHeight="1" outlineLevel="2">
      <c r="A622" s="545" t="str">
        <f t="shared" ref="A622" si="2218">A621</f>
        <v>N</v>
      </c>
      <c r="B622" s="526"/>
      <c r="C622" s="526" t="s">
        <v>926</v>
      </c>
      <c r="D622" s="527" t="s">
        <v>927</v>
      </c>
      <c r="E622" s="893"/>
      <c r="F622" s="895"/>
      <c r="G622" s="528"/>
      <c r="H622" s="549" t="s">
        <v>38</v>
      </c>
      <c r="I622" s="711">
        <v>0</v>
      </c>
      <c r="J622" s="897"/>
      <c r="K622" s="528"/>
      <c r="L622" s="549" t="s">
        <v>38</v>
      </c>
      <c r="M622" s="711">
        <f t="shared" si="2031"/>
        <v>0</v>
      </c>
      <c r="N622" s="897"/>
      <c r="O622" s="528"/>
      <c r="P622" s="547">
        <v>0</v>
      </c>
      <c r="Q622" s="547">
        <v>0</v>
      </c>
      <c r="R622" s="547">
        <v>0</v>
      </c>
      <c r="S622" s="547">
        <v>0</v>
      </c>
      <c r="T622" s="547">
        <v>0</v>
      </c>
      <c r="U622" s="547">
        <v>0</v>
      </c>
      <c r="V622" s="547">
        <v>0</v>
      </c>
      <c r="W622" s="528"/>
      <c r="X622" s="711">
        <f t="shared" si="2033"/>
        <v>0</v>
      </c>
      <c r="Y622" s="897"/>
      <c r="Z622" s="528"/>
      <c r="AA622" s="899"/>
      <c r="AB622" s="899"/>
      <c r="AC622" s="899"/>
      <c r="AD622" s="901"/>
      <c r="AE622" s="2"/>
      <c r="AF622" s="926"/>
      <c r="AG622" s="885"/>
      <c r="AH622" s="885"/>
      <c r="AI622" s="885"/>
      <c r="AJ622" s="885"/>
      <c r="AK622" s="885"/>
      <c r="AL622" s="885"/>
      <c r="AM622" s="879"/>
      <c r="AN622" s="2"/>
      <c r="AO622" s="886"/>
      <c r="AP622" s="886"/>
      <c r="AV622" t="str">
        <f t="shared" si="2059"/>
        <v xml:space="preserve">Aterro e compactação </v>
      </c>
      <c r="AW622" s="4" t="str">
        <f t="shared" si="2057"/>
        <v xml:space="preserve">   Seg. 2.3-CA 11- Camada Final de Aterro - CF-A-11 (PN a 100%)</v>
      </c>
    </row>
    <row r="623" spans="1:49" ht="15.6" customHeight="1" outlineLevel="2">
      <c r="A623" s="545" t="str">
        <f t="shared" ref="A623" si="2219">IF(SUM(P623:V624)&gt;0,"S","N")</f>
        <v>N</v>
      </c>
      <c r="B623" s="526">
        <v>1060151</v>
      </c>
      <c r="C623" s="526" t="s">
        <v>929</v>
      </c>
      <c r="D623" s="527" t="s">
        <v>930</v>
      </c>
      <c r="E623" s="892" t="s">
        <v>931</v>
      </c>
      <c r="F623" s="894" t="s">
        <v>36</v>
      </c>
      <c r="G623" s="528"/>
      <c r="H623" s="546" t="s">
        <v>37</v>
      </c>
      <c r="I623" s="711">
        <v>0</v>
      </c>
      <c r="J623" s="896" t="str">
        <f t="shared" ref="J623" si="2220">IFERROR((I624/I623),"-")</f>
        <v>-</v>
      </c>
      <c r="K623" s="528"/>
      <c r="L623" s="546" t="s">
        <v>37</v>
      </c>
      <c r="M623" s="711">
        <f t="shared" si="2031"/>
        <v>0</v>
      </c>
      <c r="N623" s="896" t="str">
        <f t="shared" ref="N623" si="2221">IFERROR((M624/M623),"-")</f>
        <v>-</v>
      </c>
      <c r="O623" s="528"/>
      <c r="P623" s="547">
        <v>0</v>
      </c>
      <c r="Q623" s="547">
        <v>0</v>
      </c>
      <c r="R623" s="547">
        <v>0</v>
      </c>
      <c r="S623" s="547">
        <v>0</v>
      </c>
      <c r="T623" s="547">
        <v>0</v>
      </c>
      <c r="U623" s="547">
        <v>0</v>
      </c>
      <c r="V623" s="547">
        <v>0</v>
      </c>
      <c r="W623" s="528"/>
      <c r="X623" s="711">
        <f t="shared" si="2033"/>
        <v>0</v>
      </c>
      <c r="Y623" s="896" t="str">
        <f>IFERROR((X624/X623),"0")</f>
        <v>0</v>
      </c>
      <c r="Z623" s="528"/>
      <c r="AA623" s="898">
        <v>0</v>
      </c>
      <c r="AB623" s="898">
        <v>0</v>
      </c>
      <c r="AC623" s="898">
        <v>0</v>
      </c>
      <c r="AD623" s="900" t="str">
        <f t="shared" ref="AD623" si="2222">IFERROR((AC623/AB623),"-")</f>
        <v>-</v>
      </c>
      <c r="AE623" s="2"/>
      <c r="AF623" s="886">
        <v>2979.84</v>
      </c>
      <c r="AG623" s="884"/>
      <c r="AH623" s="884">
        <v>0</v>
      </c>
      <c r="AI623" s="884"/>
      <c r="AJ623" s="884"/>
      <c r="AK623" s="884">
        <f t="shared" ref="AK623" si="2223">AF623+AG623+AH623+AI623+AJ623+AC623</f>
        <v>2979.84</v>
      </c>
      <c r="AL623" s="884">
        <v>3090.83</v>
      </c>
      <c r="AM623" s="878">
        <f t="shared" ref="AM623" si="2224">IFERROR((AK623/AL623),"-")</f>
        <v>0.96409055172882374</v>
      </c>
      <c r="AN623" s="2"/>
      <c r="AO623" s="884">
        <v>3090.6</v>
      </c>
      <c r="AP623" s="884">
        <f t="shared" ref="AP623" si="2225">AO623-AK623</f>
        <v>110.75999999999976</v>
      </c>
      <c r="AV623" t="str">
        <f t="shared" si="2059"/>
        <v xml:space="preserve">Aterro e compactação </v>
      </c>
      <c r="AW623" s="4" t="str">
        <f t="shared" si="2057"/>
        <v xml:space="preserve">   Seg. 2.3-CA 12- Camada Final de Aterro - CF-A-12 (PN a 100%)</v>
      </c>
    </row>
    <row r="624" spans="1:49" ht="15.6" customHeight="1" outlineLevel="2">
      <c r="A624" s="545" t="str">
        <f t="shared" ref="A624" si="2226">A623</f>
        <v>N</v>
      </c>
      <c r="B624" s="526"/>
      <c r="C624" s="526" t="s">
        <v>929</v>
      </c>
      <c r="D624" s="527" t="s">
        <v>930</v>
      </c>
      <c r="E624" s="893"/>
      <c r="F624" s="895"/>
      <c r="G624" s="528"/>
      <c r="H624" s="549" t="s">
        <v>38</v>
      </c>
      <c r="I624" s="711">
        <v>0</v>
      </c>
      <c r="J624" s="897"/>
      <c r="K624" s="528"/>
      <c r="L624" s="549" t="s">
        <v>38</v>
      </c>
      <c r="M624" s="711">
        <f t="shared" si="2031"/>
        <v>0</v>
      </c>
      <c r="N624" s="897"/>
      <c r="O624" s="528"/>
      <c r="P624" s="547">
        <v>0</v>
      </c>
      <c r="Q624" s="547">
        <v>0</v>
      </c>
      <c r="R624" s="547">
        <v>0</v>
      </c>
      <c r="S624" s="547">
        <v>0</v>
      </c>
      <c r="T624" s="547">
        <v>0</v>
      </c>
      <c r="U624" s="547">
        <v>0</v>
      </c>
      <c r="V624" s="547">
        <v>0</v>
      </c>
      <c r="W624" s="528"/>
      <c r="X624" s="711">
        <f t="shared" si="2033"/>
        <v>0</v>
      </c>
      <c r="Y624" s="897"/>
      <c r="Z624" s="528"/>
      <c r="AA624" s="899"/>
      <c r="AB624" s="899"/>
      <c r="AC624" s="899"/>
      <c r="AD624" s="901"/>
      <c r="AE624" s="2"/>
      <c r="AF624" s="926"/>
      <c r="AG624" s="885"/>
      <c r="AH624" s="885"/>
      <c r="AI624" s="885"/>
      <c r="AJ624" s="885"/>
      <c r="AK624" s="885"/>
      <c r="AL624" s="885"/>
      <c r="AM624" s="879"/>
      <c r="AN624" s="2"/>
      <c r="AO624" s="886"/>
      <c r="AP624" s="886"/>
      <c r="AV624" t="str">
        <f t="shared" si="2059"/>
        <v xml:space="preserve">Aterro e compactação </v>
      </c>
      <c r="AW624" s="4" t="str">
        <f t="shared" si="2057"/>
        <v xml:space="preserve">   Seg. 2.3-CA 12- Camada Final de Aterro - CF-A-12 (PN a 100%)</v>
      </c>
    </row>
    <row r="625" spans="1:49" ht="15.6" customHeight="1" outlineLevel="2">
      <c r="A625" s="545" t="str">
        <f t="shared" ref="A625" si="2227">IF(SUM(P625:V626)&gt;0,"S","N")</f>
        <v>N</v>
      </c>
      <c r="B625" s="526">
        <v>1060153</v>
      </c>
      <c r="C625" s="526" t="s">
        <v>932</v>
      </c>
      <c r="D625" s="527" t="s">
        <v>933</v>
      </c>
      <c r="E625" s="892" t="s">
        <v>934</v>
      </c>
      <c r="F625" s="894" t="s">
        <v>36</v>
      </c>
      <c r="G625" s="528"/>
      <c r="H625" s="546" t="s">
        <v>37</v>
      </c>
      <c r="I625" s="711">
        <v>0</v>
      </c>
      <c r="J625" s="896" t="str">
        <f t="shared" ref="J625" si="2228">IFERROR((I626/I625),"-")</f>
        <v>-</v>
      </c>
      <c r="K625" s="528"/>
      <c r="L625" s="546" t="s">
        <v>37</v>
      </c>
      <c r="M625" s="711">
        <f t="shared" si="2031"/>
        <v>0</v>
      </c>
      <c r="N625" s="896" t="str">
        <f t="shared" ref="N625" si="2229">IFERROR((M626/M625),"-")</f>
        <v>-</v>
      </c>
      <c r="O625" s="528"/>
      <c r="P625" s="547">
        <v>0</v>
      </c>
      <c r="Q625" s="547">
        <v>0</v>
      </c>
      <c r="R625" s="547">
        <v>0</v>
      </c>
      <c r="S625" s="547">
        <v>0</v>
      </c>
      <c r="T625" s="547">
        <v>0</v>
      </c>
      <c r="U625" s="547">
        <v>0</v>
      </c>
      <c r="V625" s="547">
        <v>0</v>
      </c>
      <c r="W625" s="528"/>
      <c r="X625" s="711">
        <f t="shared" si="2033"/>
        <v>0</v>
      </c>
      <c r="Y625" s="896" t="str">
        <f>IFERROR((X626/X625),"0")</f>
        <v>0</v>
      </c>
      <c r="Z625" s="528"/>
      <c r="AA625" s="898">
        <v>0</v>
      </c>
      <c r="AB625" s="898">
        <v>0</v>
      </c>
      <c r="AC625" s="898">
        <v>0</v>
      </c>
      <c r="AD625" s="900" t="str">
        <f t="shared" ref="AD625" si="2230">IFERROR((AC625/AB625),"-")</f>
        <v>-</v>
      </c>
      <c r="AE625" s="2"/>
      <c r="AF625" s="886">
        <v>1854</v>
      </c>
      <c r="AG625" s="884"/>
      <c r="AH625" s="884">
        <v>0</v>
      </c>
      <c r="AI625" s="884"/>
      <c r="AJ625" s="884"/>
      <c r="AK625" s="884">
        <f t="shared" ref="AK625" si="2231">AF625+AG625+AH625+AI625+AJ625+AC625</f>
        <v>1854</v>
      </c>
      <c r="AL625" s="884">
        <v>1854</v>
      </c>
      <c r="AM625" s="878">
        <f t="shared" ref="AM625" si="2232">IFERROR((AK625/AL625),"-")</f>
        <v>1</v>
      </c>
      <c r="AN625" s="2"/>
      <c r="AO625" s="884">
        <v>1854</v>
      </c>
      <c r="AP625" s="884">
        <f t="shared" ref="AP625" si="2233">AO625-AK625</f>
        <v>0</v>
      </c>
      <c r="AV625" t="str">
        <f t="shared" si="2059"/>
        <v xml:space="preserve">Aterro e compactação </v>
      </c>
      <c r="AW625" s="4" t="str">
        <f t="shared" si="2057"/>
        <v xml:space="preserve">   Seg. 2.3-CA 13- Camada Final de Aterro - CF-A-13 (PN a 100%)</v>
      </c>
    </row>
    <row r="626" spans="1:49" ht="15.6" customHeight="1" outlineLevel="2">
      <c r="A626" s="545" t="str">
        <f t="shared" ref="A626" si="2234">A625</f>
        <v>N</v>
      </c>
      <c r="B626" s="526"/>
      <c r="C626" s="526" t="s">
        <v>932</v>
      </c>
      <c r="D626" s="527" t="s">
        <v>933</v>
      </c>
      <c r="E626" s="893"/>
      <c r="F626" s="895"/>
      <c r="G626" s="528"/>
      <c r="H626" s="549" t="s">
        <v>38</v>
      </c>
      <c r="I626" s="711">
        <v>0</v>
      </c>
      <c r="J626" s="897"/>
      <c r="K626" s="528"/>
      <c r="L626" s="549" t="s">
        <v>38</v>
      </c>
      <c r="M626" s="711">
        <f t="shared" si="2031"/>
        <v>0</v>
      </c>
      <c r="N626" s="897"/>
      <c r="O626" s="528"/>
      <c r="P626" s="547">
        <v>0</v>
      </c>
      <c r="Q626" s="547">
        <v>0</v>
      </c>
      <c r="R626" s="547">
        <v>0</v>
      </c>
      <c r="S626" s="547">
        <v>0</v>
      </c>
      <c r="T626" s="547">
        <v>0</v>
      </c>
      <c r="U626" s="547">
        <v>0</v>
      </c>
      <c r="V626" s="547">
        <v>0</v>
      </c>
      <c r="W626" s="528"/>
      <c r="X626" s="711">
        <f t="shared" si="2033"/>
        <v>0</v>
      </c>
      <c r="Y626" s="897"/>
      <c r="Z626" s="528"/>
      <c r="AA626" s="899"/>
      <c r="AB626" s="899"/>
      <c r="AC626" s="899"/>
      <c r="AD626" s="901"/>
      <c r="AE626" s="2"/>
      <c r="AF626" s="926"/>
      <c r="AG626" s="885"/>
      <c r="AH626" s="885"/>
      <c r="AI626" s="885"/>
      <c r="AJ626" s="885"/>
      <c r="AK626" s="885"/>
      <c r="AL626" s="885"/>
      <c r="AM626" s="879"/>
      <c r="AN626" s="2"/>
      <c r="AO626" s="886"/>
      <c r="AP626" s="886"/>
      <c r="AV626" t="str">
        <f t="shared" si="2059"/>
        <v xml:space="preserve">Aterro e compactação </v>
      </c>
      <c r="AW626" s="4" t="str">
        <f t="shared" si="2057"/>
        <v xml:space="preserve">   Seg. 2.3-CA 13- Camada Final de Aterro - CF-A-13 (PN a 100%)</v>
      </c>
    </row>
    <row r="627" spans="1:49" ht="15.6" customHeight="1" outlineLevel="2">
      <c r="A627" s="545" t="str">
        <f t="shared" ref="A627" si="2235">IF(SUM(P627:V628)&gt;0,"S","N")</f>
        <v>N</v>
      </c>
      <c r="B627" s="526">
        <v>1060157</v>
      </c>
      <c r="C627" s="526" t="s">
        <v>935</v>
      </c>
      <c r="D627" s="527" t="s">
        <v>936</v>
      </c>
      <c r="E627" s="892" t="s">
        <v>937</v>
      </c>
      <c r="F627" s="894" t="s">
        <v>36</v>
      </c>
      <c r="G627" s="528"/>
      <c r="H627" s="546" t="s">
        <v>37</v>
      </c>
      <c r="I627" s="711">
        <v>0</v>
      </c>
      <c r="J627" s="896" t="str">
        <f t="shared" ref="J627" si="2236">IFERROR((I628/I627),"-")</f>
        <v>-</v>
      </c>
      <c r="K627" s="528"/>
      <c r="L627" s="546" t="s">
        <v>37</v>
      </c>
      <c r="M627" s="711">
        <f t="shared" si="2031"/>
        <v>0</v>
      </c>
      <c r="N627" s="896" t="str">
        <f t="shared" ref="N627" si="2237">IFERROR((M628/M627),"-")</f>
        <v>-</v>
      </c>
      <c r="O627" s="528"/>
      <c r="P627" s="547">
        <v>0</v>
      </c>
      <c r="Q627" s="547">
        <v>0</v>
      </c>
      <c r="R627" s="547">
        <v>0</v>
      </c>
      <c r="S627" s="547">
        <v>0</v>
      </c>
      <c r="T627" s="547">
        <v>0</v>
      </c>
      <c r="U627" s="547">
        <v>0</v>
      </c>
      <c r="V627" s="547">
        <v>0</v>
      </c>
      <c r="W627" s="528"/>
      <c r="X627" s="711">
        <f t="shared" si="2033"/>
        <v>0</v>
      </c>
      <c r="Y627" s="896" t="str">
        <f t="shared" ref="Y627" si="2238">IFERROR((X628/X627),"0")</f>
        <v>0</v>
      </c>
      <c r="Z627" s="528"/>
      <c r="AA627" s="898">
        <v>0</v>
      </c>
      <c r="AB627" s="898">
        <v>0</v>
      </c>
      <c r="AC627" s="898">
        <v>0</v>
      </c>
      <c r="AD627" s="900" t="str">
        <f t="shared" ref="AD627" si="2239">IFERROR((AC627/AB627),"-")</f>
        <v>-</v>
      </c>
      <c r="AE627" s="2"/>
      <c r="AF627" s="886">
        <v>688.43</v>
      </c>
      <c r="AG627" s="884"/>
      <c r="AH627" s="884">
        <v>0</v>
      </c>
      <c r="AI627" s="884"/>
      <c r="AJ627" s="884"/>
      <c r="AK627" s="884">
        <f t="shared" ref="AK627" si="2240">AF627+AG627+AH627+AI627+AJ627+AC627</f>
        <v>688.43</v>
      </c>
      <c r="AL627" s="884">
        <v>688.43</v>
      </c>
      <c r="AM627" s="878">
        <f t="shared" ref="AM627" si="2241">IFERROR((AK627/AL627),"-")</f>
        <v>1</v>
      </c>
      <c r="AN627" s="2"/>
      <c r="AO627" s="884">
        <v>688.43</v>
      </c>
      <c r="AP627" s="884">
        <f t="shared" ref="AP627" si="2242">AO627-AK627</f>
        <v>0</v>
      </c>
      <c r="AV627" t="str">
        <f t="shared" si="2059"/>
        <v xml:space="preserve">Aterro e compactação </v>
      </c>
      <c r="AW627" s="4" t="str">
        <f t="shared" si="2057"/>
        <v xml:space="preserve">   Seg. 2.3-CA 14- Camada Final de Aterro - CF-A-14 (PN a 100%)</v>
      </c>
    </row>
    <row r="628" spans="1:49" ht="15.6" customHeight="1" outlineLevel="2">
      <c r="A628" s="545" t="str">
        <f t="shared" ref="A628" si="2243">A627</f>
        <v>N</v>
      </c>
      <c r="B628" s="526"/>
      <c r="C628" s="526" t="s">
        <v>935</v>
      </c>
      <c r="D628" s="527" t="s">
        <v>936</v>
      </c>
      <c r="E628" s="893"/>
      <c r="F628" s="895"/>
      <c r="G628" s="528"/>
      <c r="H628" s="549" t="s">
        <v>38</v>
      </c>
      <c r="I628" s="711">
        <v>0</v>
      </c>
      <c r="J628" s="897"/>
      <c r="K628" s="528"/>
      <c r="L628" s="549" t="s">
        <v>38</v>
      </c>
      <c r="M628" s="711">
        <f t="shared" si="2031"/>
        <v>0</v>
      </c>
      <c r="N628" s="897"/>
      <c r="O628" s="528"/>
      <c r="P628" s="547">
        <v>0</v>
      </c>
      <c r="Q628" s="547">
        <v>0</v>
      </c>
      <c r="R628" s="547">
        <v>0</v>
      </c>
      <c r="S628" s="547">
        <v>0</v>
      </c>
      <c r="T628" s="547">
        <v>0</v>
      </c>
      <c r="U628" s="547">
        <v>0</v>
      </c>
      <c r="V628" s="547">
        <v>0</v>
      </c>
      <c r="W628" s="528"/>
      <c r="X628" s="711">
        <f t="shared" si="2033"/>
        <v>0</v>
      </c>
      <c r="Y628" s="897"/>
      <c r="Z628" s="528"/>
      <c r="AA628" s="899"/>
      <c r="AB628" s="899"/>
      <c r="AC628" s="899"/>
      <c r="AD628" s="901"/>
      <c r="AE628" s="2"/>
      <c r="AF628" s="926"/>
      <c r="AG628" s="885"/>
      <c r="AH628" s="885"/>
      <c r="AI628" s="885"/>
      <c r="AJ628" s="885"/>
      <c r="AK628" s="885"/>
      <c r="AL628" s="885"/>
      <c r="AM628" s="879"/>
      <c r="AN628" s="2"/>
      <c r="AO628" s="886"/>
      <c r="AP628" s="886"/>
      <c r="AV628" t="str">
        <f t="shared" si="2059"/>
        <v xml:space="preserve">Aterro e compactação </v>
      </c>
      <c r="AW628" s="4" t="str">
        <f t="shared" si="2057"/>
        <v xml:space="preserve">   Seg. 2.3-CA 14- Camada Final de Aterro - CF-A-14 (PN a 100%)</v>
      </c>
    </row>
    <row r="629" spans="1:49" ht="15.6" customHeight="1" outlineLevel="2">
      <c r="A629" s="545" t="str">
        <f t="shared" ref="A629" si="2244">IF(SUM(P629:V630)&gt;0,"S","N")</f>
        <v>N</v>
      </c>
      <c r="B629" s="526">
        <v>1060159</v>
      </c>
      <c r="C629" s="526" t="s">
        <v>938</v>
      </c>
      <c r="D629" s="527" t="s">
        <v>939</v>
      </c>
      <c r="E629" s="892" t="s">
        <v>940</v>
      </c>
      <c r="F629" s="894" t="s">
        <v>36</v>
      </c>
      <c r="G629" s="528"/>
      <c r="H629" s="546" t="s">
        <v>37</v>
      </c>
      <c r="I629" s="711">
        <v>0</v>
      </c>
      <c r="J629" s="896" t="str">
        <f t="shared" ref="J629" si="2245">IFERROR((I630/I629),"-")</f>
        <v>-</v>
      </c>
      <c r="K629" s="528"/>
      <c r="L629" s="546" t="s">
        <v>37</v>
      </c>
      <c r="M629" s="711">
        <f t="shared" si="2031"/>
        <v>0</v>
      </c>
      <c r="N629" s="896" t="str">
        <f t="shared" ref="N629" si="2246">IFERROR((M630/M629),"-")</f>
        <v>-</v>
      </c>
      <c r="O629" s="528"/>
      <c r="P629" s="547">
        <v>0</v>
      </c>
      <c r="Q629" s="547">
        <v>0</v>
      </c>
      <c r="R629" s="547">
        <v>0</v>
      </c>
      <c r="S629" s="547">
        <v>0</v>
      </c>
      <c r="T629" s="547">
        <v>0</v>
      </c>
      <c r="U629" s="547">
        <v>0</v>
      </c>
      <c r="V629" s="547">
        <v>0</v>
      </c>
      <c r="W629" s="528"/>
      <c r="X629" s="711">
        <f t="shared" si="2033"/>
        <v>0</v>
      </c>
      <c r="Y629" s="896" t="str">
        <f t="shared" ref="Y629" si="2247">IFERROR((X630/X629),"0")</f>
        <v>0</v>
      </c>
      <c r="Z629" s="528"/>
      <c r="AA629" s="898">
        <v>0</v>
      </c>
      <c r="AB629" s="898">
        <v>0</v>
      </c>
      <c r="AC629" s="898">
        <v>0</v>
      </c>
      <c r="AD629" s="900" t="str">
        <f t="shared" ref="AD629" si="2248">IFERROR((AC629/AB629),"-")</f>
        <v>-</v>
      </c>
      <c r="AE629" s="2"/>
      <c r="AF629" s="886">
        <v>4812.41</v>
      </c>
      <c r="AG629" s="884"/>
      <c r="AH629" s="884">
        <v>0</v>
      </c>
      <c r="AI629" s="884"/>
      <c r="AJ629" s="884"/>
      <c r="AK629" s="884">
        <f t="shared" ref="AK629" si="2249">AF629+AG629+AH629+AI629+AJ629+AC629</f>
        <v>4812.41</v>
      </c>
      <c r="AL629" s="884">
        <v>4812.41</v>
      </c>
      <c r="AM629" s="878">
        <f t="shared" ref="AM629" si="2250">IFERROR((AK629/AL629),"-")</f>
        <v>1</v>
      </c>
      <c r="AN629" s="2"/>
      <c r="AO629" s="884">
        <v>4812.41</v>
      </c>
      <c r="AP629" s="884">
        <f t="shared" ref="AP629" si="2251">AO629-AK629</f>
        <v>0</v>
      </c>
      <c r="AV629" t="str">
        <f t="shared" si="2059"/>
        <v xml:space="preserve">Aterro e compactação </v>
      </c>
      <c r="AW629" s="4" t="str">
        <f t="shared" si="2057"/>
        <v xml:space="preserve">   Seg. 2.3-CA 15- Camada Final de Aterro - CF-A-15 (PN a 100%)</v>
      </c>
    </row>
    <row r="630" spans="1:49" ht="15.6" customHeight="1" outlineLevel="2">
      <c r="A630" s="545" t="str">
        <f t="shared" ref="A630" si="2252">A629</f>
        <v>N</v>
      </c>
      <c r="B630" s="526"/>
      <c r="C630" s="526" t="s">
        <v>938</v>
      </c>
      <c r="D630" s="527" t="s">
        <v>939</v>
      </c>
      <c r="E630" s="893"/>
      <c r="F630" s="895"/>
      <c r="G630" s="528"/>
      <c r="H630" s="549" t="s">
        <v>38</v>
      </c>
      <c r="I630" s="711">
        <v>0</v>
      </c>
      <c r="J630" s="897"/>
      <c r="K630" s="528"/>
      <c r="L630" s="549" t="s">
        <v>38</v>
      </c>
      <c r="M630" s="711">
        <f t="shared" si="2031"/>
        <v>0</v>
      </c>
      <c r="N630" s="897"/>
      <c r="O630" s="528"/>
      <c r="P630" s="547">
        <v>0</v>
      </c>
      <c r="Q630" s="547">
        <v>0</v>
      </c>
      <c r="R630" s="547">
        <v>0</v>
      </c>
      <c r="S630" s="547">
        <v>0</v>
      </c>
      <c r="T630" s="547">
        <v>0</v>
      </c>
      <c r="U630" s="547">
        <v>0</v>
      </c>
      <c r="V630" s="547">
        <v>0</v>
      </c>
      <c r="W630" s="528"/>
      <c r="X630" s="711">
        <f t="shared" si="2033"/>
        <v>0</v>
      </c>
      <c r="Y630" s="897"/>
      <c r="Z630" s="528"/>
      <c r="AA630" s="899"/>
      <c r="AB630" s="899"/>
      <c r="AC630" s="899"/>
      <c r="AD630" s="901"/>
      <c r="AE630" s="2"/>
      <c r="AF630" s="926"/>
      <c r="AG630" s="885"/>
      <c r="AH630" s="885"/>
      <c r="AI630" s="885"/>
      <c r="AJ630" s="885"/>
      <c r="AK630" s="885"/>
      <c r="AL630" s="885"/>
      <c r="AM630" s="879"/>
      <c r="AN630" s="2"/>
      <c r="AO630" s="886"/>
      <c r="AP630" s="886"/>
      <c r="AV630" t="str">
        <f t="shared" si="2059"/>
        <v xml:space="preserve">Aterro e compactação </v>
      </c>
      <c r="AW630" s="4" t="str">
        <f t="shared" si="2057"/>
        <v xml:space="preserve">   Seg. 2.3-CA 15- Camada Final de Aterro - CF-A-15 (PN a 100%)</v>
      </c>
    </row>
    <row r="631" spans="1:49" ht="15.6" customHeight="1" outlineLevel="2">
      <c r="A631" s="545" t="str">
        <f t="shared" ref="A631" si="2253">IF(SUM(P631:V632)&gt;0,"S","N")</f>
        <v>N</v>
      </c>
      <c r="B631" s="526">
        <v>1060162</v>
      </c>
      <c r="C631" s="526" t="s">
        <v>941</v>
      </c>
      <c r="D631" s="527" t="s">
        <v>942</v>
      </c>
      <c r="E631" s="892" t="s">
        <v>943</v>
      </c>
      <c r="F631" s="894" t="s">
        <v>36</v>
      </c>
      <c r="G631" s="528"/>
      <c r="H631" s="546" t="s">
        <v>37</v>
      </c>
      <c r="I631" s="711">
        <v>0</v>
      </c>
      <c r="J631" s="896" t="str">
        <f t="shared" ref="J631" si="2254">IFERROR((I632/I631),"-")</f>
        <v>-</v>
      </c>
      <c r="K631" s="528"/>
      <c r="L631" s="546" t="s">
        <v>37</v>
      </c>
      <c r="M631" s="711">
        <f t="shared" si="2031"/>
        <v>0</v>
      </c>
      <c r="N631" s="896" t="str">
        <f t="shared" ref="N631" si="2255">IFERROR((M632/M631),"-")</f>
        <v>-</v>
      </c>
      <c r="O631" s="528"/>
      <c r="P631" s="547">
        <v>0</v>
      </c>
      <c r="Q631" s="547">
        <v>0</v>
      </c>
      <c r="R631" s="547">
        <v>0</v>
      </c>
      <c r="S631" s="547">
        <v>0</v>
      </c>
      <c r="T631" s="547">
        <v>0</v>
      </c>
      <c r="U631" s="547">
        <v>0</v>
      </c>
      <c r="V631" s="547">
        <v>0</v>
      </c>
      <c r="W631" s="528"/>
      <c r="X631" s="711">
        <f t="shared" si="2033"/>
        <v>0</v>
      </c>
      <c r="Y631" s="896" t="str">
        <f t="shared" ref="Y631" si="2256">IFERROR((X632/X631),"0")</f>
        <v>0</v>
      </c>
      <c r="Z631" s="528"/>
      <c r="AA631" s="898">
        <v>183.84</v>
      </c>
      <c r="AB631" s="898">
        <v>81.720000000000013</v>
      </c>
      <c r="AC631" s="898">
        <v>0</v>
      </c>
      <c r="AD631" s="900">
        <f t="shared" ref="AD631" si="2257">IFERROR((AC631/AB631),"-")</f>
        <v>0</v>
      </c>
      <c r="AE631" s="2"/>
      <c r="AF631" s="886">
        <v>2487</v>
      </c>
      <c r="AG631" s="884"/>
      <c r="AH631" s="884">
        <v>0</v>
      </c>
      <c r="AI631" s="884"/>
      <c r="AJ631" s="884"/>
      <c r="AK631" s="884">
        <f t="shared" ref="AK631" si="2258">AF631+AG631+AH631+AI631+AJ631+AC631</f>
        <v>2487</v>
      </c>
      <c r="AL631" s="884">
        <v>2568.6899999999996</v>
      </c>
      <c r="AM631" s="878">
        <f t="shared" ref="AM631" si="2259">IFERROR((AK631/AL631),"-")</f>
        <v>0.96819779732081346</v>
      </c>
      <c r="AN631" s="2"/>
      <c r="AO631" s="884">
        <v>2670.84</v>
      </c>
      <c r="AP631" s="884">
        <f t="shared" ref="AP631" si="2260">AO631-AK631</f>
        <v>183.84000000000015</v>
      </c>
      <c r="AV631" t="str">
        <f t="shared" si="2059"/>
        <v xml:space="preserve">Aterro e compactação </v>
      </c>
      <c r="AW631" s="4" t="str">
        <f t="shared" si="2057"/>
        <v xml:space="preserve">   Seg. 2.3-CA 16- Camada Final de Aterro - CF-A-16 (PN a 100%)</v>
      </c>
    </row>
    <row r="632" spans="1:49" ht="14.45" customHeight="1" outlineLevel="2">
      <c r="A632" s="545" t="str">
        <f t="shared" ref="A632" si="2261">A631</f>
        <v>N</v>
      </c>
      <c r="B632" s="526"/>
      <c r="C632" s="526" t="s">
        <v>941</v>
      </c>
      <c r="D632" s="527" t="s">
        <v>942</v>
      </c>
      <c r="E632" s="893"/>
      <c r="F632" s="895"/>
      <c r="G632" s="528"/>
      <c r="H632" s="549" t="s">
        <v>38</v>
      </c>
      <c r="I632" s="711">
        <v>0</v>
      </c>
      <c r="J632" s="897"/>
      <c r="K632" s="528"/>
      <c r="L632" s="549" t="s">
        <v>38</v>
      </c>
      <c r="M632" s="711">
        <f t="shared" si="2031"/>
        <v>0</v>
      </c>
      <c r="N632" s="897"/>
      <c r="O632" s="528"/>
      <c r="P632" s="547">
        <v>0</v>
      </c>
      <c r="Q632" s="547">
        <v>0</v>
      </c>
      <c r="R632" s="547">
        <v>0</v>
      </c>
      <c r="S632" s="547">
        <v>0</v>
      </c>
      <c r="T632" s="547">
        <v>0</v>
      </c>
      <c r="U632" s="547">
        <v>0</v>
      </c>
      <c r="V632" s="547">
        <v>0</v>
      </c>
      <c r="W632" s="528"/>
      <c r="X632" s="711">
        <f t="shared" si="2033"/>
        <v>0</v>
      </c>
      <c r="Y632" s="897"/>
      <c r="Z632" s="528"/>
      <c r="AA632" s="899"/>
      <c r="AB632" s="899"/>
      <c r="AC632" s="899"/>
      <c r="AD632" s="901"/>
      <c r="AE632" s="2"/>
      <c r="AF632" s="926"/>
      <c r="AG632" s="885"/>
      <c r="AH632" s="885"/>
      <c r="AI632" s="885"/>
      <c r="AJ632" s="885"/>
      <c r="AK632" s="885"/>
      <c r="AL632" s="885"/>
      <c r="AM632" s="879"/>
      <c r="AN632" s="2"/>
      <c r="AO632" s="886"/>
      <c r="AP632" s="886"/>
      <c r="AV632" t="str">
        <f t="shared" si="2059"/>
        <v xml:space="preserve">Aterro e compactação </v>
      </c>
      <c r="AW632" s="4" t="str">
        <f t="shared" si="2057"/>
        <v xml:space="preserve">   Seg. 2.3-CA 16- Camada Final de Aterro - CF-A-16 (PN a 100%)</v>
      </c>
    </row>
    <row r="633" spans="1:49" ht="14.45" customHeight="1" outlineLevel="2">
      <c r="A633" s="545" t="str">
        <f t="shared" ref="A633" si="2262">IF(SUM(P633:V634)&gt;0,"S","N")</f>
        <v>N</v>
      </c>
      <c r="B633" s="526">
        <v>1060165</v>
      </c>
      <c r="C633" s="526" t="s">
        <v>944</v>
      </c>
      <c r="D633" s="527" t="s">
        <v>945</v>
      </c>
      <c r="E633" s="892" t="s">
        <v>946</v>
      </c>
      <c r="F633" s="894" t="s">
        <v>36</v>
      </c>
      <c r="G633" s="528"/>
      <c r="H633" s="546" t="s">
        <v>37</v>
      </c>
      <c r="I633" s="711">
        <v>0</v>
      </c>
      <c r="J633" s="896" t="str">
        <f t="shared" ref="J633" si="2263">IFERROR((I634/I633),"-")</f>
        <v>-</v>
      </c>
      <c r="K633" s="528"/>
      <c r="L633" s="546" t="s">
        <v>37</v>
      </c>
      <c r="M633" s="711">
        <f t="shared" si="2031"/>
        <v>0</v>
      </c>
      <c r="N633" s="896" t="str">
        <f t="shared" ref="N633" si="2264">IFERROR((M634/M633),"-")</f>
        <v>-</v>
      </c>
      <c r="O633" s="528"/>
      <c r="P633" s="547">
        <v>0</v>
      </c>
      <c r="Q633" s="547">
        <v>0</v>
      </c>
      <c r="R633" s="547">
        <v>0</v>
      </c>
      <c r="S633" s="547">
        <v>0</v>
      </c>
      <c r="T633" s="547">
        <v>0</v>
      </c>
      <c r="U633" s="547">
        <v>0</v>
      </c>
      <c r="V633" s="547">
        <v>0</v>
      </c>
      <c r="W633" s="528"/>
      <c r="X633" s="711">
        <f t="shared" si="2033"/>
        <v>0</v>
      </c>
      <c r="Y633" s="896" t="str">
        <f t="shared" ref="Y633" si="2265">IFERROR((X634/X633),"0")</f>
        <v>0</v>
      </c>
      <c r="Z633" s="528"/>
      <c r="AA633" s="898">
        <v>2901.92</v>
      </c>
      <c r="AB633" s="898">
        <v>2901.92</v>
      </c>
      <c r="AC633" s="898">
        <v>0</v>
      </c>
      <c r="AD633" s="900">
        <f t="shared" ref="AD633" si="2266">IFERROR((AC633/AB633),"-")</f>
        <v>0</v>
      </c>
      <c r="AE633" s="2"/>
      <c r="AF633" s="886">
        <v>17494.743999999999</v>
      </c>
      <c r="AG633" s="884"/>
      <c r="AH633" s="884">
        <v>0</v>
      </c>
      <c r="AI633" s="884"/>
      <c r="AJ633" s="884"/>
      <c r="AK633" s="884">
        <f t="shared" ref="AK633" si="2267">AF633+AG633+AH633+AI633+AJ633+AC633</f>
        <v>17494.743999999999</v>
      </c>
      <c r="AL633" s="884">
        <v>18041.46</v>
      </c>
      <c r="AM633" s="878">
        <f t="shared" ref="AM633" si="2268">IFERROR((AK633/AL633),"-")</f>
        <v>0.96969668751863758</v>
      </c>
      <c r="AN633" s="2"/>
      <c r="AO633" s="884">
        <v>18041.509999999998</v>
      </c>
      <c r="AP633" s="884">
        <f t="shared" ref="AP633" si="2269">AO633-AK633</f>
        <v>546.76599999999962</v>
      </c>
      <c r="AV633" t="str">
        <f t="shared" si="2059"/>
        <v xml:space="preserve">Aterro e compactação </v>
      </c>
      <c r="AW633" s="4" t="str">
        <f t="shared" si="2057"/>
        <v xml:space="preserve">   Seg. 2.3-CA 17- Camada Final de Aterro - CF-A-17 (PN a 100%)</v>
      </c>
    </row>
    <row r="634" spans="1:49" ht="14.45" customHeight="1" outlineLevel="2">
      <c r="A634" s="545" t="str">
        <f t="shared" ref="A634" si="2270">A633</f>
        <v>N</v>
      </c>
      <c r="B634" s="526"/>
      <c r="C634" s="526" t="s">
        <v>944</v>
      </c>
      <c r="D634" s="527" t="s">
        <v>945</v>
      </c>
      <c r="E634" s="893"/>
      <c r="F634" s="895"/>
      <c r="G634" s="528"/>
      <c r="H634" s="549" t="s">
        <v>38</v>
      </c>
      <c r="I634" s="711">
        <v>0</v>
      </c>
      <c r="J634" s="897"/>
      <c r="K634" s="528"/>
      <c r="L634" s="549" t="s">
        <v>38</v>
      </c>
      <c r="M634" s="711">
        <f t="shared" si="2031"/>
        <v>0</v>
      </c>
      <c r="N634" s="897"/>
      <c r="O634" s="528"/>
      <c r="P634" s="547">
        <v>0</v>
      </c>
      <c r="Q634" s="547">
        <v>0</v>
      </c>
      <c r="R634" s="547">
        <v>0</v>
      </c>
      <c r="S634" s="547">
        <v>0</v>
      </c>
      <c r="T634" s="547">
        <v>0</v>
      </c>
      <c r="U634" s="547">
        <v>0</v>
      </c>
      <c r="V634" s="547">
        <v>0</v>
      </c>
      <c r="W634" s="528"/>
      <c r="X634" s="711">
        <f t="shared" si="2033"/>
        <v>0</v>
      </c>
      <c r="Y634" s="897"/>
      <c r="Z634" s="528"/>
      <c r="AA634" s="899"/>
      <c r="AB634" s="899"/>
      <c r="AC634" s="899"/>
      <c r="AD634" s="901"/>
      <c r="AE634" s="2"/>
      <c r="AF634" s="926"/>
      <c r="AG634" s="885"/>
      <c r="AH634" s="885"/>
      <c r="AI634" s="885"/>
      <c r="AJ634" s="885"/>
      <c r="AK634" s="885"/>
      <c r="AL634" s="885"/>
      <c r="AM634" s="879"/>
      <c r="AN634" s="2"/>
      <c r="AO634" s="886"/>
      <c r="AP634" s="886"/>
      <c r="AV634" t="str">
        <f t="shared" si="2059"/>
        <v xml:space="preserve">Aterro e compactação </v>
      </c>
      <c r="AW634" s="4" t="str">
        <f t="shared" si="2057"/>
        <v xml:space="preserve">   Seg. 2.3-CA 17- Camada Final de Aterro - CF-A-17 (PN a 100%)</v>
      </c>
    </row>
    <row r="635" spans="1:49" ht="15.6" customHeight="1" outlineLevel="2">
      <c r="A635" s="545" t="str">
        <f t="shared" ref="A635" si="2271">IF(SUM(P635:V636)&gt;0,"S","N")</f>
        <v>N</v>
      </c>
      <c r="B635" s="526">
        <v>1060166</v>
      </c>
      <c r="C635" s="526" t="s">
        <v>947</v>
      </c>
      <c r="D635" s="527" t="s">
        <v>948</v>
      </c>
      <c r="E635" s="892" t="s">
        <v>949</v>
      </c>
      <c r="F635" s="894" t="s">
        <v>36</v>
      </c>
      <c r="G635" s="528"/>
      <c r="H635" s="546" t="s">
        <v>37</v>
      </c>
      <c r="I635" s="711">
        <v>0</v>
      </c>
      <c r="J635" s="896" t="str">
        <f t="shared" ref="J635" si="2272">IFERROR((I636/I635),"-")</f>
        <v>-</v>
      </c>
      <c r="K635" s="528"/>
      <c r="L635" s="546" t="s">
        <v>37</v>
      </c>
      <c r="M635" s="711">
        <f t="shared" si="2031"/>
        <v>0</v>
      </c>
      <c r="N635" s="896" t="str">
        <f t="shared" ref="N635" si="2273">IFERROR((M636/M635),"-")</f>
        <v>-</v>
      </c>
      <c r="O635" s="528"/>
      <c r="P635" s="547">
        <v>0</v>
      </c>
      <c r="Q635" s="547">
        <v>0</v>
      </c>
      <c r="R635" s="547">
        <v>0</v>
      </c>
      <c r="S635" s="547">
        <v>0</v>
      </c>
      <c r="T635" s="547">
        <v>0</v>
      </c>
      <c r="U635" s="547">
        <v>0</v>
      </c>
      <c r="V635" s="547">
        <v>0</v>
      </c>
      <c r="W635" s="528"/>
      <c r="X635" s="711">
        <f t="shared" si="2033"/>
        <v>0</v>
      </c>
      <c r="Y635" s="896" t="str">
        <f t="shared" ref="Y635" si="2274">IFERROR((X636/X635),"0")</f>
        <v>0</v>
      </c>
      <c r="Z635" s="528"/>
      <c r="AA635" s="898">
        <v>1661.4</v>
      </c>
      <c r="AB635" s="898">
        <v>0</v>
      </c>
      <c r="AC635" s="898">
        <v>0</v>
      </c>
      <c r="AD635" s="900" t="str">
        <f t="shared" ref="AD635" si="2275">IFERROR((AC635/AB635),"-")</f>
        <v>-</v>
      </c>
      <c r="AE635" s="2"/>
      <c r="AF635" s="886">
        <v>0</v>
      </c>
      <c r="AG635" s="884"/>
      <c r="AH635" s="884">
        <v>0</v>
      </c>
      <c r="AI635" s="884"/>
      <c r="AJ635" s="884"/>
      <c r="AK635" s="884">
        <f t="shared" ref="AK635" si="2276">AF635+AG635+AH635+AI635+AJ635+AC635</f>
        <v>0</v>
      </c>
      <c r="AL635" s="884">
        <v>0</v>
      </c>
      <c r="AM635" s="878" t="str">
        <f t="shared" ref="AM635" si="2277">IFERROR((AK635/AL635),"-")</f>
        <v>-</v>
      </c>
      <c r="AN635" s="2"/>
      <c r="AO635" s="884">
        <v>1661.4</v>
      </c>
      <c r="AP635" s="884">
        <f t="shared" ref="AP635" si="2278">AO635-AK635</f>
        <v>1661.4</v>
      </c>
      <c r="AV635" t="str">
        <f t="shared" si="2059"/>
        <v xml:space="preserve">Aterro e compactação </v>
      </c>
      <c r="AW635" s="4" t="str">
        <f t="shared" si="2057"/>
        <v xml:space="preserve">   Recomposição Camada Final de Aterro (PN a 100%) - Seg.2.3 C01</v>
      </c>
    </row>
    <row r="636" spans="1:49" ht="15.6" customHeight="1" outlineLevel="2">
      <c r="A636" s="545" t="str">
        <f t="shared" ref="A636" si="2279">A635</f>
        <v>N</v>
      </c>
      <c r="B636" s="526"/>
      <c r="C636" s="526" t="s">
        <v>947</v>
      </c>
      <c r="D636" s="527" t="s">
        <v>948</v>
      </c>
      <c r="E636" s="893"/>
      <c r="F636" s="895"/>
      <c r="G636" s="528"/>
      <c r="H636" s="549" t="s">
        <v>38</v>
      </c>
      <c r="I636" s="711">
        <v>0</v>
      </c>
      <c r="J636" s="897"/>
      <c r="K636" s="528"/>
      <c r="L636" s="549" t="s">
        <v>38</v>
      </c>
      <c r="M636" s="711">
        <f t="shared" si="2031"/>
        <v>0</v>
      </c>
      <c r="N636" s="897"/>
      <c r="O636" s="528"/>
      <c r="P636" s="547">
        <v>0</v>
      </c>
      <c r="Q636" s="547">
        <v>0</v>
      </c>
      <c r="R636" s="547">
        <v>0</v>
      </c>
      <c r="S636" s="547">
        <v>0</v>
      </c>
      <c r="T636" s="547">
        <v>0</v>
      </c>
      <c r="U636" s="547">
        <v>0</v>
      </c>
      <c r="V636" s="547">
        <v>0</v>
      </c>
      <c r="W636" s="528"/>
      <c r="X636" s="711">
        <f t="shared" si="2033"/>
        <v>0</v>
      </c>
      <c r="Y636" s="897"/>
      <c r="Z636" s="528"/>
      <c r="AA636" s="899"/>
      <c r="AB636" s="899"/>
      <c r="AC636" s="899"/>
      <c r="AD636" s="901"/>
      <c r="AE636" s="2"/>
      <c r="AF636" s="926"/>
      <c r="AG636" s="885"/>
      <c r="AH636" s="885"/>
      <c r="AI636" s="885"/>
      <c r="AJ636" s="885"/>
      <c r="AK636" s="885"/>
      <c r="AL636" s="885"/>
      <c r="AM636" s="879"/>
      <c r="AN636" s="2"/>
      <c r="AO636" s="886"/>
      <c r="AP636" s="886"/>
      <c r="AV636" t="str">
        <f t="shared" si="2059"/>
        <v xml:space="preserve">Aterro e compactação </v>
      </c>
      <c r="AW636" s="4" t="str">
        <f t="shared" si="2057"/>
        <v xml:space="preserve">   Recomposição Camada Final de Aterro (PN a 100%) - Seg.2.3 C01</v>
      </c>
    </row>
    <row r="637" spans="1:49" ht="15.6" customHeight="1" outlineLevel="2">
      <c r="A637" s="545" t="str">
        <f t="shared" ref="A637" si="2280">IF(SUM(P637:V638)&gt;0,"S","N")</f>
        <v>N</v>
      </c>
      <c r="B637" s="526">
        <v>1060167</v>
      </c>
      <c r="C637" s="526" t="s">
        <v>950</v>
      </c>
      <c r="D637" s="527" t="s">
        <v>951</v>
      </c>
      <c r="E637" s="892" t="s">
        <v>952</v>
      </c>
      <c r="F637" s="894" t="s">
        <v>36</v>
      </c>
      <c r="G637" s="528"/>
      <c r="H637" s="546" t="s">
        <v>37</v>
      </c>
      <c r="I637" s="711">
        <v>0</v>
      </c>
      <c r="J637" s="896" t="str">
        <f t="shared" ref="J637" si="2281">IFERROR((I638/I637),"-")</f>
        <v>-</v>
      </c>
      <c r="K637" s="528"/>
      <c r="L637" s="546" t="s">
        <v>37</v>
      </c>
      <c r="M637" s="711">
        <f t="shared" si="2031"/>
        <v>0</v>
      </c>
      <c r="N637" s="896" t="str">
        <f t="shared" ref="N637" si="2282">IFERROR((M638/M637),"-")</f>
        <v>-</v>
      </c>
      <c r="O637" s="528"/>
      <c r="P637" s="547">
        <v>0</v>
      </c>
      <c r="Q637" s="547">
        <v>0</v>
      </c>
      <c r="R637" s="547">
        <v>0</v>
      </c>
      <c r="S637" s="547">
        <v>0</v>
      </c>
      <c r="T637" s="547">
        <v>0</v>
      </c>
      <c r="U637" s="547">
        <v>0</v>
      </c>
      <c r="V637" s="547">
        <v>0</v>
      </c>
      <c r="W637" s="528"/>
      <c r="X637" s="711">
        <f t="shared" si="2033"/>
        <v>0</v>
      </c>
      <c r="Y637" s="896" t="str">
        <f t="shared" ref="Y637" si="2283">IFERROR((X638/X637),"0")</f>
        <v>0</v>
      </c>
      <c r="Z637" s="528"/>
      <c r="AA637" s="898">
        <v>0</v>
      </c>
      <c r="AB637" s="898">
        <v>0</v>
      </c>
      <c r="AC637" s="898">
        <v>0</v>
      </c>
      <c r="AD637" s="900" t="str">
        <f t="shared" ref="AD637" si="2284">IFERROR((AC637/AB637),"-")</f>
        <v>-</v>
      </c>
      <c r="AE637" s="2"/>
      <c r="AF637" s="886">
        <v>983</v>
      </c>
      <c r="AG637" s="884"/>
      <c r="AH637" s="884">
        <v>0</v>
      </c>
      <c r="AI637" s="884"/>
      <c r="AJ637" s="884"/>
      <c r="AK637" s="884">
        <f t="shared" ref="AK637" si="2285">AF637+AG637+AH637+AI637+AJ637+AC637</f>
        <v>983</v>
      </c>
      <c r="AL637" s="884">
        <v>983</v>
      </c>
      <c r="AM637" s="878">
        <f t="shared" ref="AM637" si="2286">IFERROR((AK637/AL637),"-")</f>
        <v>1</v>
      </c>
      <c r="AN637" s="2"/>
      <c r="AO637" s="884">
        <v>1316</v>
      </c>
      <c r="AP637" s="884">
        <f t="shared" ref="AP637" si="2287">AO637-AK637</f>
        <v>333</v>
      </c>
      <c r="AV637" t="str">
        <f t="shared" si="2059"/>
        <v xml:space="preserve">Aterro e compactação </v>
      </c>
      <c r="AW637" s="4" t="str">
        <f t="shared" si="2057"/>
        <v xml:space="preserve">   Recomposição Camada Final de Aterro (PN a 100%) - Seg.2.3 C02</v>
      </c>
    </row>
    <row r="638" spans="1:49" ht="15.6" customHeight="1" outlineLevel="2">
      <c r="A638" s="545" t="str">
        <f t="shared" ref="A638" si="2288">A637</f>
        <v>N</v>
      </c>
      <c r="B638" s="526"/>
      <c r="C638" s="526" t="s">
        <v>950</v>
      </c>
      <c r="D638" s="527" t="s">
        <v>951</v>
      </c>
      <c r="E638" s="893"/>
      <c r="F638" s="895"/>
      <c r="G638" s="528"/>
      <c r="H638" s="549" t="s">
        <v>38</v>
      </c>
      <c r="I638" s="711">
        <v>0</v>
      </c>
      <c r="J638" s="897"/>
      <c r="K638" s="528"/>
      <c r="L638" s="549" t="s">
        <v>38</v>
      </c>
      <c r="M638" s="711">
        <f t="shared" si="2031"/>
        <v>0</v>
      </c>
      <c r="N638" s="897"/>
      <c r="O638" s="528"/>
      <c r="P638" s="547">
        <v>0</v>
      </c>
      <c r="Q638" s="547">
        <v>0</v>
      </c>
      <c r="R638" s="547">
        <v>0</v>
      </c>
      <c r="S638" s="547">
        <v>0</v>
      </c>
      <c r="T638" s="547">
        <v>0</v>
      </c>
      <c r="U638" s="547">
        <v>0</v>
      </c>
      <c r="V638" s="547">
        <v>0</v>
      </c>
      <c r="W638" s="528"/>
      <c r="X638" s="711">
        <f t="shared" si="2033"/>
        <v>0</v>
      </c>
      <c r="Y638" s="897"/>
      <c r="Z638" s="528"/>
      <c r="AA638" s="899"/>
      <c r="AB638" s="899"/>
      <c r="AC638" s="899"/>
      <c r="AD638" s="901"/>
      <c r="AE638" s="2"/>
      <c r="AF638" s="926"/>
      <c r="AG638" s="885"/>
      <c r="AH638" s="885"/>
      <c r="AI638" s="885"/>
      <c r="AJ638" s="885"/>
      <c r="AK638" s="885"/>
      <c r="AL638" s="885"/>
      <c r="AM638" s="879"/>
      <c r="AN638" s="2"/>
      <c r="AO638" s="886"/>
      <c r="AP638" s="886"/>
      <c r="AV638" t="str">
        <f t="shared" si="2059"/>
        <v xml:space="preserve">Aterro e compactação </v>
      </c>
      <c r="AW638" s="4" t="str">
        <f t="shared" si="2057"/>
        <v xml:space="preserve">   Recomposição Camada Final de Aterro (PN a 100%) - Seg.2.3 C02</v>
      </c>
    </row>
    <row r="639" spans="1:49" ht="15.6" customHeight="1" outlineLevel="2">
      <c r="A639" s="545" t="str">
        <f t="shared" ref="A639" si="2289">IF(SUM(P639:V640)&gt;0,"S","N")</f>
        <v>N</v>
      </c>
      <c r="B639" s="526">
        <v>1060168</v>
      </c>
      <c r="C639" s="526" t="s">
        <v>953</v>
      </c>
      <c r="D639" s="527" t="s">
        <v>954</v>
      </c>
      <c r="E639" s="892" t="s">
        <v>955</v>
      </c>
      <c r="F639" s="894" t="s">
        <v>36</v>
      </c>
      <c r="G639" s="528"/>
      <c r="H639" s="546" t="s">
        <v>37</v>
      </c>
      <c r="I639" s="711">
        <v>0</v>
      </c>
      <c r="J639" s="896" t="str">
        <f t="shared" ref="J639" si="2290">IFERROR((I640/I639),"-")</f>
        <v>-</v>
      </c>
      <c r="K639" s="528"/>
      <c r="L639" s="546" t="s">
        <v>37</v>
      </c>
      <c r="M639" s="711">
        <f t="shared" si="2031"/>
        <v>0</v>
      </c>
      <c r="N639" s="896" t="str">
        <f t="shared" ref="N639" si="2291">IFERROR((M640/M639),"-")</f>
        <v>-</v>
      </c>
      <c r="O639" s="528"/>
      <c r="P639" s="547">
        <v>0</v>
      </c>
      <c r="Q639" s="547">
        <v>0</v>
      </c>
      <c r="R639" s="547">
        <v>0</v>
      </c>
      <c r="S639" s="547">
        <v>0</v>
      </c>
      <c r="T639" s="547">
        <v>0</v>
      </c>
      <c r="U639" s="547">
        <v>0</v>
      </c>
      <c r="V639" s="547">
        <v>0</v>
      </c>
      <c r="W639" s="528"/>
      <c r="X639" s="711">
        <f t="shared" si="2033"/>
        <v>0</v>
      </c>
      <c r="Y639" s="896" t="str">
        <f t="shared" ref="Y639" si="2292">IFERROR((X640/X639),"0")</f>
        <v>0</v>
      </c>
      <c r="Z639" s="528"/>
      <c r="AA639" s="898">
        <v>0</v>
      </c>
      <c r="AB639" s="898">
        <v>0</v>
      </c>
      <c r="AC639" s="898">
        <v>0</v>
      </c>
      <c r="AD639" s="900" t="str">
        <f t="shared" ref="AD639" si="2293">IFERROR((AC639/AB639),"-")</f>
        <v>-</v>
      </c>
      <c r="AE639" s="2"/>
      <c r="AF639" s="886">
        <v>0</v>
      </c>
      <c r="AG639" s="884"/>
      <c r="AH639" s="884">
        <v>0</v>
      </c>
      <c r="AI639" s="884"/>
      <c r="AJ639" s="884"/>
      <c r="AK639" s="884">
        <f t="shared" ref="AK639" si="2294">AF639+AG639+AH639+AI639+AJ639+AC639</f>
        <v>0</v>
      </c>
      <c r="AL639" s="884">
        <v>1276.1999999999998</v>
      </c>
      <c r="AM639" s="878">
        <f t="shared" ref="AM639" si="2295">IFERROR((AK639/AL639),"-")</f>
        <v>0</v>
      </c>
      <c r="AN639" s="2"/>
      <c r="AO639" s="884">
        <v>1276.2</v>
      </c>
      <c r="AP639" s="884">
        <f t="shared" ref="AP639" si="2296">AO639-AK639</f>
        <v>1276.2</v>
      </c>
      <c r="AV639" t="str">
        <f t="shared" si="2059"/>
        <v xml:space="preserve">Aterro e compactação </v>
      </c>
      <c r="AW639" s="4" t="str">
        <f t="shared" si="2057"/>
        <v xml:space="preserve">   Recomposição Camada Final de Aterro (PN a 100%) - Seg.2.3 C03</v>
      </c>
    </row>
    <row r="640" spans="1:49" ht="15.6" customHeight="1" outlineLevel="2">
      <c r="A640" s="545" t="str">
        <f t="shared" ref="A640" si="2297">A639</f>
        <v>N</v>
      </c>
      <c r="B640" s="526"/>
      <c r="C640" s="526" t="s">
        <v>953</v>
      </c>
      <c r="D640" s="527" t="s">
        <v>954</v>
      </c>
      <c r="E640" s="893"/>
      <c r="F640" s="895"/>
      <c r="G640" s="528"/>
      <c r="H640" s="549" t="s">
        <v>38</v>
      </c>
      <c r="I640" s="711">
        <v>0</v>
      </c>
      <c r="J640" s="897"/>
      <c r="K640" s="528"/>
      <c r="L640" s="549" t="s">
        <v>38</v>
      </c>
      <c r="M640" s="711">
        <f t="shared" si="2031"/>
        <v>0</v>
      </c>
      <c r="N640" s="897"/>
      <c r="O640" s="528"/>
      <c r="P640" s="547">
        <v>0</v>
      </c>
      <c r="Q640" s="547">
        <v>0</v>
      </c>
      <c r="R640" s="547">
        <v>0</v>
      </c>
      <c r="S640" s="547">
        <v>0</v>
      </c>
      <c r="T640" s="547">
        <v>0</v>
      </c>
      <c r="U640" s="547">
        <v>0</v>
      </c>
      <c r="V640" s="547">
        <v>0</v>
      </c>
      <c r="W640" s="528"/>
      <c r="X640" s="711">
        <f t="shared" si="2033"/>
        <v>0</v>
      </c>
      <c r="Y640" s="897"/>
      <c r="Z640" s="528"/>
      <c r="AA640" s="899"/>
      <c r="AB640" s="899"/>
      <c r="AC640" s="899"/>
      <c r="AD640" s="901"/>
      <c r="AE640" s="2"/>
      <c r="AF640" s="926"/>
      <c r="AG640" s="885"/>
      <c r="AH640" s="885"/>
      <c r="AI640" s="885"/>
      <c r="AJ640" s="885"/>
      <c r="AK640" s="885"/>
      <c r="AL640" s="885"/>
      <c r="AM640" s="879"/>
      <c r="AN640" s="2"/>
      <c r="AO640" s="886"/>
      <c r="AP640" s="886"/>
      <c r="AV640" t="str">
        <f t="shared" si="2059"/>
        <v xml:space="preserve">Aterro e compactação </v>
      </c>
      <c r="AW640" s="4" t="str">
        <f t="shared" si="2057"/>
        <v xml:space="preserve">   Recomposição Camada Final de Aterro (PN a 100%) - Seg.2.3 C03</v>
      </c>
    </row>
    <row r="641" spans="1:49" ht="15.6" customHeight="1" outlineLevel="2">
      <c r="A641" s="545" t="str">
        <f t="shared" ref="A641" si="2298">IF(SUM(P641:V642)&gt;0,"S","N")</f>
        <v>S</v>
      </c>
      <c r="B641" s="526">
        <v>1060169</v>
      </c>
      <c r="C641" s="526" t="s">
        <v>956</v>
      </c>
      <c r="D641" s="527" t="s">
        <v>957</v>
      </c>
      <c r="E641" s="892" t="s">
        <v>958</v>
      </c>
      <c r="F641" s="894" t="s">
        <v>36</v>
      </c>
      <c r="G641" s="528"/>
      <c r="H641" s="546" t="s">
        <v>37</v>
      </c>
      <c r="I641" s="711">
        <v>0</v>
      </c>
      <c r="J641" s="896" t="str">
        <f t="shared" ref="J641" si="2299">IFERROR((I642/I641),"-")</f>
        <v>-</v>
      </c>
      <c r="K641" s="528"/>
      <c r="L641" s="546" t="s">
        <v>37</v>
      </c>
      <c r="M641" s="711">
        <f t="shared" si="2031"/>
        <v>0</v>
      </c>
      <c r="N641" s="896" t="str">
        <f t="shared" ref="N641" si="2300">IFERROR((M642/M641),"-")</f>
        <v>-</v>
      </c>
      <c r="O641" s="528"/>
      <c r="P641" s="547">
        <v>0</v>
      </c>
      <c r="Q641" s="547">
        <v>0</v>
      </c>
      <c r="R641" s="547">
        <v>0</v>
      </c>
      <c r="S641" s="547">
        <v>0</v>
      </c>
      <c r="T641" s="547">
        <v>0</v>
      </c>
      <c r="U641" s="547">
        <v>0</v>
      </c>
      <c r="V641" s="547">
        <v>0</v>
      </c>
      <c r="W641" s="528"/>
      <c r="X641" s="711">
        <f t="shared" si="2033"/>
        <v>0</v>
      </c>
      <c r="Y641" s="896" t="str">
        <f t="shared" ref="Y641" si="2301">IFERROR((X642/X641),"0")</f>
        <v>0</v>
      </c>
      <c r="Z641" s="528"/>
      <c r="AA641" s="898">
        <v>9385.19</v>
      </c>
      <c r="AB641" s="898">
        <v>0</v>
      </c>
      <c r="AC641" s="898">
        <v>1969.4</v>
      </c>
      <c r="AD641" s="900" t="str">
        <f t="shared" ref="AD641" si="2302">IFERROR((AC641/AB641),"-")</f>
        <v>-</v>
      </c>
      <c r="AE641" s="2"/>
      <c r="AF641" s="886">
        <v>0</v>
      </c>
      <c r="AG641" s="884"/>
      <c r="AH641" s="884">
        <v>0</v>
      </c>
      <c r="AI641" s="884"/>
      <c r="AJ641" s="884"/>
      <c r="AK641" s="884">
        <f t="shared" ref="AK641" si="2303">AF641+AG641+AH641+AI641+AJ641+AC641</f>
        <v>1969.4</v>
      </c>
      <c r="AL641" s="884">
        <v>1081</v>
      </c>
      <c r="AM641" s="878">
        <f t="shared" ref="AM641" si="2304">IFERROR((AK641/AL641),"-")</f>
        <v>1.821831637372803</v>
      </c>
      <c r="AN641" s="2"/>
      <c r="AO641" s="884">
        <v>10466.299999999999</v>
      </c>
      <c r="AP641" s="884">
        <f t="shared" ref="AP641" si="2305">AO641-AK641</f>
        <v>8496.9</v>
      </c>
      <c r="AV641" t="str">
        <f t="shared" si="2059"/>
        <v xml:space="preserve">Aterro e compactação </v>
      </c>
      <c r="AW641" s="4" t="str">
        <f t="shared" si="2057"/>
        <v xml:space="preserve">   Recomposição Camada Final de Aterro (PN a 100%) - Seg.2.3 C04</v>
      </c>
    </row>
    <row r="642" spans="1:49" ht="15.6" customHeight="1" outlineLevel="2">
      <c r="A642" s="545" t="str">
        <f t="shared" ref="A642" si="2306">A641</f>
        <v>S</v>
      </c>
      <c r="B642" s="526"/>
      <c r="C642" s="526"/>
      <c r="D642" s="527" t="s">
        <v>957</v>
      </c>
      <c r="E642" s="893"/>
      <c r="F642" s="895"/>
      <c r="G642" s="528"/>
      <c r="H642" s="549" t="s">
        <v>38</v>
      </c>
      <c r="I642" s="711">
        <v>1474.7600000000002</v>
      </c>
      <c r="J642" s="897"/>
      <c r="K642" s="528"/>
      <c r="L642" s="549" t="s">
        <v>38</v>
      </c>
      <c r="M642" s="711">
        <f t="shared" si="2031"/>
        <v>192.36</v>
      </c>
      <c r="N642" s="897"/>
      <c r="O642" s="528"/>
      <c r="P642" s="547">
        <v>0</v>
      </c>
      <c r="Q642" s="547">
        <v>192.36</v>
      </c>
      <c r="R642" s="547">
        <v>0</v>
      </c>
      <c r="S642" s="547">
        <v>0</v>
      </c>
      <c r="T642" s="547">
        <v>0</v>
      </c>
      <c r="U642" s="547">
        <v>0</v>
      </c>
      <c r="V642" s="547">
        <v>0</v>
      </c>
      <c r="W642" s="528"/>
      <c r="X642" s="711">
        <f t="shared" si="2033"/>
        <v>192.36</v>
      </c>
      <c r="Y642" s="897"/>
      <c r="Z642" s="528"/>
      <c r="AA642" s="899"/>
      <c r="AB642" s="899"/>
      <c r="AC642" s="899"/>
      <c r="AD642" s="901"/>
      <c r="AE642" s="2"/>
      <c r="AF642" s="926"/>
      <c r="AG642" s="885"/>
      <c r="AH642" s="885"/>
      <c r="AI642" s="885"/>
      <c r="AJ642" s="885"/>
      <c r="AK642" s="885"/>
      <c r="AL642" s="885"/>
      <c r="AM642" s="879"/>
      <c r="AN642" s="2"/>
      <c r="AO642" s="886"/>
      <c r="AP642" s="886"/>
      <c r="AV642" t="str">
        <f t="shared" si="2059"/>
        <v xml:space="preserve">Aterro e compactação </v>
      </c>
      <c r="AW642" s="4" t="str">
        <f t="shared" si="2057"/>
        <v xml:space="preserve">   Recomposição Camada Final de Aterro (PN a 100%) - Seg.2.3 C04</v>
      </c>
    </row>
    <row r="643" spans="1:49" ht="15.6" customHeight="1" outlineLevel="2">
      <c r="A643" s="545" t="str">
        <f t="shared" ref="A643" si="2307">IF(SUM(P643:V644)&gt;0,"S","N")</f>
        <v>N</v>
      </c>
      <c r="B643" s="526">
        <v>1070027</v>
      </c>
      <c r="C643" s="526" t="s">
        <v>959</v>
      </c>
      <c r="D643" s="527" t="s">
        <v>960</v>
      </c>
      <c r="E643" s="892" t="s">
        <v>961</v>
      </c>
      <c r="F643" s="894" t="s">
        <v>36</v>
      </c>
      <c r="G643" s="528"/>
      <c r="H643" s="546" t="s">
        <v>37</v>
      </c>
      <c r="I643" s="711">
        <v>0</v>
      </c>
      <c r="J643" s="896" t="str">
        <f t="shared" ref="J643" si="2308">IFERROR((I644/I643),"-")</f>
        <v>-</v>
      </c>
      <c r="K643" s="528"/>
      <c r="L643" s="546" t="s">
        <v>37</v>
      </c>
      <c r="M643" s="711">
        <f t="shared" si="2031"/>
        <v>0</v>
      </c>
      <c r="N643" s="896" t="str">
        <f t="shared" ref="N643" si="2309">IFERROR((M644/M643),"-")</f>
        <v>-</v>
      </c>
      <c r="O643" s="528"/>
      <c r="P643" s="547">
        <v>0</v>
      </c>
      <c r="Q643" s="547">
        <v>0</v>
      </c>
      <c r="R643" s="547">
        <v>0</v>
      </c>
      <c r="S643" s="547">
        <v>0</v>
      </c>
      <c r="T643" s="547">
        <v>0</v>
      </c>
      <c r="U643" s="547">
        <v>0</v>
      </c>
      <c r="V643" s="547">
        <v>0</v>
      </c>
      <c r="W643" s="528"/>
      <c r="X643" s="711">
        <f>SUMIFS(P643:V643,$P$8:$V$8,"&gt;="&amp;$P$8,$P$8:$V$8,"&lt;="&amp;$N$8)</f>
        <v>0</v>
      </c>
      <c r="Y643" s="896" t="str">
        <f t="shared" ref="Y643" si="2310">IFERROR((X644/X643),"-")</f>
        <v>-</v>
      </c>
      <c r="Z643" s="528"/>
      <c r="AA643" s="898">
        <v>800</v>
      </c>
      <c r="AB643" s="898">
        <v>800.03</v>
      </c>
      <c r="AC643" s="898">
        <v>0</v>
      </c>
      <c r="AD643" s="900">
        <f t="shared" ref="AD643" si="2311">IFERROR((AC643/AB643),"-")</f>
        <v>0</v>
      </c>
      <c r="AE643" s="2"/>
      <c r="AF643" s="886">
        <v>0</v>
      </c>
      <c r="AG643" s="884"/>
      <c r="AH643" s="884">
        <v>0</v>
      </c>
      <c r="AI643" s="884"/>
      <c r="AJ643" s="884"/>
      <c r="AK643" s="884">
        <f t="shared" ref="AK643" si="2312">AF643+AG643+AH643+AI643+AJ643+AC643</f>
        <v>0</v>
      </c>
      <c r="AL643" s="884">
        <v>800.03</v>
      </c>
      <c r="AM643" s="878">
        <f t="shared" ref="AM643" si="2313">IFERROR((AK643/AL643),"-")</f>
        <v>0</v>
      </c>
      <c r="AN643" s="2"/>
      <c r="AO643" s="884">
        <v>800</v>
      </c>
      <c r="AP643" s="884">
        <f t="shared" ref="AP643" si="2314">AO643-AK643</f>
        <v>800</v>
      </c>
      <c r="AV643" t="str">
        <f t="shared" si="2059"/>
        <v xml:space="preserve">Aterro e compactação </v>
      </c>
      <c r="AW643" s="4" t="str">
        <f t="shared" si="2057"/>
        <v xml:space="preserve">   Aterro Erodidos - Saldo remanescente</v>
      </c>
    </row>
    <row r="644" spans="1:49" ht="15.6" customHeight="1" outlineLevel="2">
      <c r="A644" s="545" t="str">
        <f t="shared" ref="A644" si="2315">A643</f>
        <v>N</v>
      </c>
      <c r="B644" s="526"/>
      <c r="C644" s="526"/>
      <c r="D644" s="527" t="s">
        <v>960</v>
      </c>
      <c r="E644" s="893"/>
      <c r="F644" s="895"/>
      <c r="G644" s="528"/>
      <c r="H644" s="549" t="s">
        <v>38</v>
      </c>
      <c r="I644" s="711">
        <v>0</v>
      </c>
      <c r="J644" s="897"/>
      <c r="K644" s="528"/>
      <c r="L644" s="549" t="s">
        <v>38</v>
      </c>
      <c r="M644" s="711">
        <f t="shared" si="2031"/>
        <v>0</v>
      </c>
      <c r="N644" s="897"/>
      <c r="O644" s="528"/>
      <c r="P644" s="547">
        <v>0</v>
      </c>
      <c r="Q644" s="547">
        <v>0</v>
      </c>
      <c r="R644" s="547">
        <v>0</v>
      </c>
      <c r="S644" s="547">
        <v>0</v>
      </c>
      <c r="T644" s="547">
        <v>0</v>
      </c>
      <c r="U644" s="547">
        <v>0</v>
      </c>
      <c r="V644" s="547">
        <v>0</v>
      </c>
      <c r="W644" s="528"/>
      <c r="X644" s="711">
        <f>SUMIFS(P644:V644,$P$8:$V$8,"&gt;="&amp;$P$8,$P$8:$V$8,"&lt;="&amp;$N$8)</f>
        <v>0</v>
      </c>
      <c r="Y644" s="897"/>
      <c r="Z644" s="528"/>
      <c r="AA644" s="899"/>
      <c r="AB644" s="899"/>
      <c r="AC644" s="899"/>
      <c r="AD644" s="901"/>
      <c r="AE644" s="2"/>
      <c r="AF644" s="926"/>
      <c r="AG644" s="885"/>
      <c r="AH644" s="885"/>
      <c r="AI644" s="885"/>
      <c r="AJ644" s="885"/>
      <c r="AK644" s="885"/>
      <c r="AL644" s="885"/>
      <c r="AM644" s="879"/>
      <c r="AN644" s="2"/>
      <c r="AO644" s="886"/>
      <c r="AP644" s="886"/>
      <c r="AV644" t="str">
        <f t="shared" si="2059"/>
        <v xml:space="preserve">Aterro e compactação </v>
      </c>
      <c r="AW644" s="4" t="str">
        <f t="shared" si="2057"/>
        <v xml:space="preserve">   Aterro Erodidos - Saldo remanescente</v>
      </c>
    </row>
    <row r="645" spans="1:49" ht="15.6" customHeight="1" outlineLevel="2">
      <c r="A645" s="545" t="str">
        <f t="shared" ref="A645" si="2316">IF(SUM(P645:V646)&gt;0,"S","N")</f>
        <v>N</v>
      </c>
      <c r="B645" s="526">
        <v>1070029</v>
      </c>
      <c r="C645" s="526" t="s">
        <v>962</v>
      </c>
      <c r="D645" s="527" t="s">
        <v>963</v>
      </c>
      <c r="E645" s="892" t="s">
        <v>964</v>
      </c>
      <c r="F645" s="894" t="s">
        <v>36</v>
      </c>
      <c r="G645" s="528"/>
      <c r="H645" s="546" t="s">
        <v>37</v>
      </c>
      <c r="I645" s="711">
        <v>0</v>
      </c>
      <c r="J645" s="896" t="str">
        <f t="shared" ref="J645" si="2317">IFERROR((I646/I645),"-")</f>
        <v>-</v>
      </c>
      <c r="K645" s="528"/>
      <c r="L645" s="546" t="s">
        <v>37</v>
      </c>
      <c r="M645" s="711">
        <f t="shared" si="2031"/>
        <v>0</v>
      </c>
      <c r="N645" s="896" t="str">
        <f t="shared" ref="N645" si="2318">IFERROR((M646/M645),"-")</f>
        <v>-</v>
      </c>
      <c r="O645" s="528"/>
      <c r="P645" s="547">
        <v>0</v>
      </c>
      <c r="Q645" s="547">
        <v>0</v>
      </c>
      <c r="R645" s="547">
        <v>0</v>
      </c>
      <c r="S645" s="547">
        <v>0</v>
      </c>
      <c r="T645" s="547">
        <v>0</v>
      </c>
      <c r="U645" s="547">
        <v>0</v>
      </c>
      <c r="V645" s="547">
        <v>0</v>
      </c>
      <c r="W645" s="528"/>
      <c r="X645" s="711">
        <f t="shared" ref="X645:X650" si="2319">SUMIFS(P645:V645,$P$8:$V$8,"&gt;="&amp;$P$8,$P$8:$V$8,"&lt;="&amp;$N$8)</f>
        <v>0</v>
      </c>
      <c r="Y645" s="896" t="str">
        <f t="shared" ref="Y645" si="2320">IFERROR((X646/X645),"0")</f>
        <v>0</v>
      </c>
      <c r="Z645" s="528"/>
      <c r="AA645" s="898">
        <v>0</v>
      </c>
      <c r="AB645" s="898">
        <v>0</v>
      </c>
      <c r="AC645" s="898">
        <v>0</v>
      </c>
      <c r="AD645" s="900" t="str">
        <f t="shared" ref="AD645" si="2321">IFERROR((AC645/AB645),"-")</f>
        <v>-</v>
      </c>
      <c r="AE645" s="2"/>
      <c r="AF645" s="886">
        <v>53145</v>
      </c>
      <c r="AG645" s="884"/>
      <c r="AH645" s="884">
        <v>0</v>
      </c>
      <c r="AI645" s="884"/>
      <c r="AJ645" s="884"/>
      <c r="AK645" s="884">
        <f t="shared" ref="AK645" si="2322">AF645+AG645+AH645+AI645+AJ645+AC645</f>
        <v>53145</v>
      </c>
      <c r="AL645" s="884">
        <v>53144.959999999999</v>
      </c>
      <c r="AM645" s="878">
        <f t="shared" ref="AM645" si="2323">IFERROR((AK645/AL645),"-")</f>
        <v>1.0000007526583894</v>
      </c>
      <c r="AN645" s="2"/>
      <c r="AO645" s="884">
        <v>53145</v>
      </c>
      <c r="AP645" s="884">
        <f t="shared" ref="AP645" si="2324">AO645-AK645</f>
        <v>0</v>
      </c>
      <c r="AV645" t="str">
        <f t="shared" si="2059"/>
        <v xml:space="preserve">Aterro e compactação </v>
      </c>
      <c r="AW645" s="4" t="str">
        <f t="shared" si="2057"/>
        <v xml:space="preserve">   Tratamento 1ª camada pós CNP - Seg. 2.3</v>
      </c>
    </row>
    <row r="646" spans="1:49" ht="15.6" customHeight="1" outlineLevel="2">
      <c r="A646" s="545" t="str">
        <f t="shared" ref="A646" si="2325">A645</f>
        <v>N</v>
      </c>
      <c r="B646" s="526"/>
      <c r="C646" s="526"/>
      <c r="D646" s="527" t="s">
        <v>963</v>
      </c>
      <c r="E646" s="893"/>
      <c r="F646" s="895"/>
      <c r="G646" s="528"/>
      <c r="H646" s="549" t="s">
        <v>38</v>
      </c>
      <c r="I646" s="711">
        <v>0</v>
      </c>
      <c r="J646" s="897"/>
      <c r="K646" s="528"/>
      <c r="L646" s="549" t="s">
        <v>38</v>
      </c>
      <c r="M646" s="711">
        <f t="shared" si="2031"/>
        <v>0</v>
      </c>
      <c r="N646" s="897"/>
      <c r="O646" s="528"/>
      <c r="P646" s="547">
        <v>0</v>
      </c>
      <c r="Q646" s="547">
        <v>0</v>
      </c>
      <c r="R646" s="547">
        <v>0</v>
      </c>
      <c r="S646" s="547">
        <v>0</v>
      </c>
      <c r="T646" s="547">
        <v>0</v>
      </c>
      <c r="U646" s="547">
        <v>0</v>
      </c>
      <c r="V646" s="547">
        <v>0</v>
      </c>
      <c r="W646" s="528"/>
      <c r="X646" s="711">
        <f t="shared" si="2319"/>
        <v>0</v>
      </c>
      <c r="Y646" s="897"/>
      <c r="Z646" s="528"/>
      <c r="AA646" s="899"/>
      <c r="AB646" s="899"/>
      <c r="AC646" s="899"/>
      <c r="AD646" s="901"/>
      <c r="AE646" s="2"/>
      <c r="AF646" s="926"/>
      <c r="AG646" s="885"/>
      <c r="AH646" s="885"/>
      <c r="AI646" s="885"/>
      <c r="AJ646" s="885"/>
      <c r="AK646" s="885"/>
      <c r="AL646" s="885"/>
      <c r="AM646" s="879"/>
      <c r="AN646" s="2"/>
      <c r="AO646" s="886"/>
      <c r="AP646" s="886"/>
      <c r="AV646" t="str">
        <f t="shared" si="2059"/>
        <v xml:space="preserve">Aterro e compactação </v>
      </c>
      <c r="AW646" s="4" t="str">
        <f t="shared" si="2057"/>
        <v xml:space="preserve">   Tratamento 1ª camada pós CNP - Seg. 2.3</v>
      </c>
    </row>
    <row r="647" spans="1:49" ht="15.6" customHeight="1" outlineLevel="2">
      <c r="A647" s="545" t="str">
        <f>IF(SUM(P647:V648)&gt;0,"S","N")</f>
        <v>N</v>
      </c>
      <c r="B647" s="526" t="s">
        <v>266</v>
      </c>
      <c r="C647" s="526" t="s">
        <v>266</v>
      </c>
      <c r="D647" s="564" t="s">
        <v>965</v>
      </c>
      <c r="E647" s="892" t="s">
        <v>966</v>
      </c>
      <c r="F647" s="894" t="s">
        <v>36</v>
      </c>
      <c r="G647" s="528"/>
      <c r="H647" s="546" t="s">
        <v>37</v>
      </c>
      <c r="I647" s="711">
        <v>0</v>
      </c>
      <c r="J647" s="896" t="str">
        <f t="shared" ref="J647" si="2326">IFERROR((I648/I647),"-")</f>
        <v>-</v>
      </c>
      <c r="K647" s="528"/>
      <c r="L647" s="546" t="s">
        <v>37</v>
      </c>
      <c r="M647" s="711">
        <f>_xlfn.XLOOKUP($N$8,$P$8:$V$8,$P647:$V647)</f>
        <v>0</v>
      </c>
      <c r="N647" s="896" t="str">
        <f t="shared" ref="N647" si="2327">IFERROR((M648/M647),"-")</f>
        <v>-</v>
      </c>
      <c r="O647" s="528"/>
      <c r="P647" s="547">
        <v>0</v>
      </c>
      <c r="Q647" s="547">
        <v>0</v>
      </c>
      <c r="R647" s="547">
        <v>0</v>
      </c>
      <c r="S647" s="547">
        <v>0</v>
      </c>
      <c r="T647" s="547">
        <v>0</v>
      </c>
      <c r="U647" s="547">
        <v>0</v>
      </c>
      <c r="V647" s="547">
        <v>0</v>
      </c>
      <c r="W647" s="528"/>
      <c r="X647" s="711">
        <f t="shared" si="2319"/>
        <v>0</v>
      </c>
      <c r="Y647" s="896" t="str">
        <f t="shared" ref="Y647" si="2328">IFERROR((X648/X647),"0")</f>
        <v>0</v>
      </c>
      <c r="Z647" s="528"/>
      <c r="AA647" s="898"/>
      <c r="AB647" s="898"/>
      <c r="AC647" s="898">
        <v>320.60000000000002</v>
      </c>
      <c r="AD647" s="900"/>
      <c r="AE647" s="2"/>
      <c r="AF647" s="884">
        <v>69562</v>
      </c>
      <c r="AG647" s="884"/>
      <c r="AH647" s="884">
        <v>0</v>
      </c>
      <c r="AI647" s="884"/>
      <c r="AJ647" s="884"/>
      <c r="AK647" s="884">
        <f t="shared" ref="AK647" si="2329">AF647+AG647+AH647+AI647+AJ647+AC647</f>
        <v>69882.600000000006</v>
      </c>
      <c r="AL647" s="884">
        <v>0</v>
      </c>
      <c r="AM647" s="878" t="str">
        <f t="shared" ref="AM647" si="2330">IFERROR((AK647/AL647),"-")</f>
        <v>-</v>
      </c>
      <c r="AN647" s="2"/>
      <c r="AO647" s="884">
        <v>0</v>
      </c>
      <c r="AP647" s="884">
        <f t="shared" ref="AP647" si="2331">AO647-AK647</f>
        <v>-69882.600000000006</v>
      </c>
      <c r="AV647" t="str">
        <f t="shared" si="2059"/>
        <v xml:space="preserve">Aterro e compactação </v>
      </c>
      <c r="AW647" s="4" t="str">
        <f t="shared" si="2057"/>
        <v>Corpo de aterro - Corte 04</v>
      </c>
    </row>
    <row r="648" spans="1:49" ht="15.6" customHeight="1" outlineLevel="2">
      <c r="A648" s="545" t="str">
        <f>A647</f>
        <v>N</v>
      </c>
      <c r="B648" s="526"/>
      <c r="C648" s="526"/>
      <c r="D648" s="527" t="s">
        <v>965</v>
      </c>
      <c r="E648" s="893"/>
      <c r="F648" s="895"/>
      <c r="G648" s="528"/>
      <c r="H648" s="549" t="s">
        <v>38</v>
      </c>
      <c r="I648" s="711">
        <v>0</v>
      </c>
      <c r="J648" s="897"/>
      <c r="K648" s="528"/>
      <c r="L648" s="549" t="s">
        <v>38</v>
      </c>
      <c r="M648" s="711">
        <f>_xlfn.XLOOKUP($N$8,$P$8:$V$8,$P648:$V648)</f>
        <v>0</v>
      </c>
      <c r="N648" s="897"/>
      <c r="O648" s="528"/>
      <c r="P648" s="547">
        <v>0</v>
      </c>
      <c r="Q648" s="547">
        <v>0</v>
      </c>
      <c r="R648" s="547">
        <v>0</v>
      </c>
      <c r="S648" s="547">
        <v>0</v>
      </c>
      <c r="T648" s="547">
        <v>0</v>
      </c>
      <c r="U648" s="547">
        <v>0</v>
      </c>
      <c r="V648" s="547">
        <v>0</v>
      </c>
      <c r="W648" s="528"/>
      <c r="X648" s="711">
        <f t="shared" si="2319"/>
        <v>0</v>
      </c>
      <c r="Y648" s="897"/>
      <c r="Z648" s="528"/>
      <c r="AA648" s="899"/>
      <c r="AB648" s="899"/>
      <c r="AC648" s="899"/>
      <c r="AD648" s="901"/>
      <c r="AE648" s="2"/>
      <c r="AF648" s="885"/>
      <c r="AG648" s="885"/>
      <c r="AH648" s="885"/>
      <c r="AI648" s="885"/>
      <c r="AJ648" s="885"/>
      <c r="AK648" s="885"/>
      <c r="AL648" s="885"/>
      <c r="AM648" s="879"/>
      <c r="AN648" s="2"/>
      <c r="AO648" s="886"/>
      <c r="AP648" s="886"/>
      <c r="AV648" t="str">
        <f t="shared" si="2059"/>
        <v xml:space="preserve">Aterro e compactação </v>
      </c>
      <c r="AW648" s="4" t="str">
        <f t="shared" si="2057"/>
        <v>Corpo de aterro - Corte 04</v>
      </c>
    </row>
    <row r="649" spans="1:49" ht="15.6" customHeight="1" outlineLevel="1">
      <c r="A649" s="545" t="str">
        <f>IF(SUM(P649:V650)&gt;0,"S","N")</f>
        <v>N</v>
      </c>
      <c r="B649" s="526">
        <v>1070053</v>
      </c>
      <c r="C649" s="526" t="s">
        <v>516</v>
      </c>
      <c r="D649" s="527" t="s">
        <v>967</v>
      </c>
      <c r="E649" s="892" t="s">
        <v>968</v>
      </c>
      <c r="F649" s="894" t="s">
        <v>36</v>
      </c>
      <c r="G649" s="528"/>
      <c r="H649" s="546" t="s">
        <v>37</v>
      </c>
      <c r="I649" s="711">
        <v>0</v>
      </c>
      <c r="J649" s="896" t="str">
        <f t="shared" ref="J649" si="2332">IFERROR((I650/I649),"-")</f>
        <v>-</v>
      </c>
      <c r="K649" s="528"/>
      <c r="L649" s="546" t="s">
        <v>37</v>
      </c>
      <c r="M649" s="711">
        <f>_xlfn.XLOOKUP($N$8,$P$8:$V$8,$P649:$V649)</f>
        <v>0</v>
      </c>
      <c r="N649" s="896" t="str">
        <f t="shared" ref="N649" si="2333">IFERROR((M650/M649),"-")</f>
        <v>-</v>
      </c>
      <c r="O649" s="528"/>
      <c r="P649" s="547">
        <v>0</v>
      </c>
      <c r="Q649" s="547">
        <v>0</v>
      </c>
      <c r="R649" s="547">
        <v>0</v>
      </c>
      <c r="S649" s="547">
        <v>0</v>
      </c>
      <c r="T649" s="547">
        <v>0</v>
      </c>
      <c r="U649" s="547">
        <v>0</v>
      </c>
      <c r="V649" s="547">
        <v>0</v>
      </c>
      <c r="W649" s="528"/>
      <c r="X649" s="711">
        <f t="shared" si="2319"/>
        <v>0</v>
      </c>
      <c r="Y649" s="896" t="str">
        <f t="shared" ref="Y649" si="2334">IFERROR((X650/X649),"0")</f>
        <v>0</v>
      </c>
      <c r="Z649" s="528"/>
      <c r="AA649" s="898"/>
      <c r="AB649" s="898"/>
      <c r="AC649" s="898">
        <v>0</v>
      </c>
      <c r="AD649" s="900"/>
      <c r="AE649" s="2"/>
      <c r="AF649" s="884">
        <v>0</v>
      </c>
      <c r="AG649" s="884"/>
      <c r="AH649" s="884">
        <v>0</v>
      </c>
      <c r="AI649" s="884"/>
      <c r="AJ649" s="884"/>
      <c r="AK649" s="884">
        <f t="shared" ref="AK649" si="2335">AF649+AG649+AH649+AI649+AJ649+AC649</f>
        <v>0</v>
      </c>
      <c r="AL649" s="884">
        <v>3698.2999999999997</v>
      </c>
      <c r="AM649" s="878">
        <f t="shared" ref="AM649" si="2336">IFERROR((AK649/AL649),"-")</f>
        <v>0</v>
      </c>
      <c r="AN649" s="2"/>
      <c r="AO649" s="884">
        <v>3698.3</v>
      </c>
      <c r="AP649" s="884">
        <f t="shared" ref="AP649" si="2337">AO649-AK649</f>
        <v>3698.3</v>
      </c>
      <c r="AV649" t="str">
        <f t="shared" si="2059"/>
        <v xml:space="preserve">Aterro e compactação </v>
      </c>
      <c r="AW649" s="4" t="str">
        <f t="shared" ref="AW649:AW712" si="2338">IF(E649&lt;&gt;"",E649,AW648)</f>
        <v xml:space="preserve">   Aterro escalonado - Pacotes 04 e 05</v>
      </c>
    </row>
    <row r="650" spans="1:49" ht="15.6" customHeight="1" outlineLevel="1">
      <c r="A650" s="545" t="str">
        <f>A649</f>
        <v>N</v>
      </c>
      <c r="B650" s="526"/>
      <c r="C650" s="526"/>
      <c r="D650" s="527" t="s">
        <v>967</v>
      </c>
      <c r="E650" s="893"/>
      <c r="F650" s="895"/>
      <c r="G650" s="528"/>
      <c r="H650" s="549" t="s">
        <v>38</v>
      </c>
      <c r="I650" s="711">
        <v>0</v>
      </c>
      <c r="J650" s="897"/>
      <c r="K650" s="528"/>
      <c r="L650" s="549" t="s">
        <v>38</v>
      </c>
      <c r="M650" s="711">
        <f>_xlfn.XLOOKUP($N$8,$P$8:$V$8,$P650:$V650)</f>
        <v>0</v>
      </c>
      <c r="N650" s="897"/>
      <c r="O650" s="528"/>
      <c r="P650" s="547">
        <v>0</v>
      </c>
      <c r="Q650" s="547">
        <v>0</v>
      </c>
      <c r="R650" s="547">
        <v>0</v>
      </c>
      <c r="S650" s="547">
        <v>0</v>
      </c>
      <c r="T650" s="547">
        <v>0</v>
      </c>
      <c r="U650" s="547">
        <v>0</v>
      </c>
      <c r="V650" s="547">
        <v>0</v>
      </c>
      <c r="W650" s="528"/>
      <c r="X650" s="711">
        <f t="shared" si="2319"/>
        <v>0</v>
      </c>
      <c r="Y650" s="897"/>
      <c r="Z650" s="528"/>
      <c r="AA650" s="899"/>
      <c r="AB650" s="899"/>
      <c r="AC650" s="899"/>
      <c r="AD650" s="901"/>
      <c r="AE650" s="2"/>
      <c r="AF650" s="885"/>
      <c r="AG650" s="885"/>
      <c r="AH650" s="885"/>
      <c r="AI650" s="885"/>
      <c r="AJ650" s="885"/>
      <c r="AK650" s="885"/>
      <c r="AL650" s="885"/>
      <c r="AM650" s="879"/>
      <c r="AN650" s="2"/>
      <c r="AO650" s="886"/>
      <c r="AP650" s="886"/>
      <c r="AV650" t="str">
        <f t="shared" ref="AV650:AV713" si="2339">IF(AX650="Y",LEFT(E650,20),IF(AX650="x",E650,AV649))</f>
        <v xml:space="preserve">Aterro e compactação </v>
      </c>
      <c r="AW650" s="4" t="str">
        <f t="shared" si="2338"/>
        <v xml:space="preserve">   Aterro escalonado - Pacotes 04 e 05</v>
      </c>
    </row>
    <row r="651" spans="1:49" ht="15.6" customHeight="1" outlineLevel="1">
      <c r="A651" s="525">
        <v>0</v>
      </c>
      <c r="B651" s="526"/>
      <c r="C651" s="526">
        <v>0</v>
      </c>
      <c r="D651" s="534"/>
      <c r="E651" s="535"/>
      <c r="F651" s="536"/>
      <c r="G651" s="537"/>
      <c r="H651" s="714"/>
      <c r="I651" s="555"/>
      <c r="J651" s="714"/>
      <c r="K651" s="537"/>
      <c r="L651" s="714"/>
      <c r="M651" s="555"/>
      <c r="N651" s="714"/>
      <c r="O651" s="537"/>
      <c r="P651" s="539"/>
      <c r="Q651" s="539"/>
      <c r="R651" s="539"/>
      <c r="S651" s="539"/>
      <c r="T651" s="539"/>
      <c r="U651" s="539"/>
      <c r="V651" s="539"/>
      <c r="W651" s="537"/>
      <c r="X651" s="540"/>
      <c r="Y651" s="537"/>
      <c r="Z651" s="537"/>
      <c r="AA651" s="249"/>
      <c r="AB651" s="249"/>
      <c r="AC651" s="249"/>
      <c r="AD651" s="537"/>
      <c r="AE651" s="3"/>
      <c r="AF651" s="35"/>
      <c r="AG651" s="35"/>
      <c r="AH651" s="35"/>
      <c r="AI651" s="35"/>
      <c r="AJ651" s="35"/>
      <c r="AK651" s="35"/>
      <c r="AL651" s="35"/>
      <c r="AM651" s="3"/>
      <c r="AN651" s="3"/>
      <c r="AO651" s="35"/>
      <c r="AP651" s="35"/>
      <c r="AV651" t="str">
        <f t="shared" si="2339"/>
        <v xml:space="preserve">Aterro e compactação </v>
      </c>
      <c r="AW651" s="4" t="str">
        <f t="shared" si="2338"/>
        <v xml:space="preserve">   Aterro escalonado - Pacotes 04 e 05</v>
      </c>
    </row>
    <row r="652" spans="1:49" ht="15.6" customHeight="1" outlineLevel="2">
      <c r="A652" s="525">
        <v>0</v>
      </c>
      <c r="B652" s="526"/>
      <c r="C652" s="526"/>
      <c r="D652" s="557"/>
      <c r="E652" s="933" t="s">
        <v>42</v>
      </c>
      <c r="F652" s="868" t="s">
        <v>36</v>
      </c>
      <c r="G652" s="528"/>
      <c r="H652" s="542" t="s">
        <v>37</v>
      </c>
      <c r="I652" s="543">
        <f>SUMIF($L654:$L701,$L652,I654:I701)</f>
        <v>63920</v>
      </c>
      <c r="J652" s="860">
        <f>IFERROR((I653/I652),"-")</f>
        <v>0.74733103879849816</v>
      </c>
      <c r="K652" s="528"/>
      <c r="L652" s="542" t="s">
        <v>37</v>
      </c>
      <c r="M652" s="543">
        <f>SUMIF($L654:$L701,$L652,M654:M701)</f>
        <v>8840</v>
      </c>
      <c r="N652" s="860">
        <f>IFERROR((M653/M652),"-")</f>
        <v>0.84346606334841623</v>
      </c>
      <c r="O652" s="528"/>
      <c r="P652" s="543">
        <f>SUMIF($L654:$L701,$L652,P654:P701)</f>
        <v>8840</v>
      </c>
      <c r="Q652" s="543">
        <f t="shared" ref="Q652:V652" si="2340">SUMIF($L654:$L701,$L652,Q654:Q701)</f>
        <v>8840</v>
      </c>
      <c r="R652" s="543">
        <f t="shared" si="2340"/>
        <v>8840</v>
      </c>
      <c r="S652" s="543">
        <f t="shared" si="2340"/>
        <v>8840</v>
      </c>
      <c r="T652" s="543">
        <f t="shared" si="2340"/>
        <v>7880</v>
      </c>
      <c r="U652" s="543">
        <f t="shared" si="2340"/>
        <v>7880</v>
      </c>
      <c r="V652" s="543">
        <f t="shared" si="2340"/>
        <v>0</v>
      </c>
      <c r="W652" s="528"/>
      <c r="X652" s="543">
        <f t="shared" ref="X652:X701" si="2341">SUMIFS(P652:V652,$P$8:$V$8,"&gt;="&amp;$P$8,$P$8:$V$8,"&lt;="&amp;$N$8)</f>
        <v>17680</v>
      </c>
      <c r="Y652" s="860">
        <f>IFERROR((X653/X652),"-")</f>
        <v>0.88543212669683258</v>
      </c>
      <c r="Z652" s="528"/>
      <c r="AA652" s="814">
        <f>SUM(AA654:AA701)</f>
        <v>316219.16000000003</v>
      </c>
      <c r="AB652" s="814">
        <f t="shared" ref="AB652:AC652" si="2342">SUM(AB654:AB701)</f>
        <v>88257.930000000008</v>
      </c>
      <c r="AC652" s="814">
        <f t="shared" si="2342"/>
        <v>97792.160000000062</v>
      </c>
      <c r="AD652" s="911">
        <f t="shared" ref="AD652" si="2343">IFERROR((AC652/AB652),"-")</f>
        <v>1.1080268934474222</v>
      </c>
      <c r="AE652" s="2"/>
      <c r="AF652" s="888">
        <f t="shared" ref="AF652:AL652" si="2344">SUM(AF654:AF701)</f>
        <v>300242</v>
      </c>
      <c r="AG652" s="888">
        <f t="shared" si="2344"/>
        <v>0</v>
      </c>
      <c r="AH652" s="888">
        <f t="shared" si="2344"/>
        <v>89575.640000000029</v>
      </c>
      <c r="AI652" s="888">
        <f t="shared" si="2344"/>
        <v>64122.775999999998</v>
      </c>
      <c r="AJ652" s="888">
        <f t="shared" ref="AJ652" si="2345">SUM(AJ654:AJ701)</f>
        <v>125932.781</v>
      </c>
      <c r="AK652" s="888">
        <f t="shared" si="2344"/>
        <v>677665.35700000019</v>
      </c>
      <c r="AL652" s="888">
        <f t="shared" si="2344"/>
        <v>716797.75999999954</v>
      </c>
      <c r="AM652" s="743">
        <f>IFERROR((AK652/AL652),"-")</f>
        <v>0.94540663324617624</v>
      </c>
      <c r="AN652" s="2"/>
      <c r="AO652" s="888">
        <f t="shared" ref="AO652:AP652" si="2346">SUM(AO654:AO701)</f>
        <v>1309024.6399999999</v>
      </c>
      <c r="AP652" s="888">
        <f t="shared" si="2346"/>
        <v>631359.28299999982</v>
      </c>
      <c r="AV652" t="str">
        <f t="shared" si="2339"/>
        <v xml:space="preserve">Aterro e compactação </v>
      </c>
      <c r="AW652" s="4" t="str">
        <f t="shared" si="2338"/>
        <v>Pacote 05 - Segmento 2.4 - Km 131+260 a  Km 138+000</v>
      </c>
    </row>
    <row r="653" spans="1:49" ht="15.6" customHeight="1" outlineLevel="2">
      <c r="A653" s="525">
        <v>0</v>
      </c>
      <c r="B653" s="526"/>
      <c r="C653" s="526">
        <v>0</v>
      </c>
      <c r="D653" s="558"/>
      <c r="E653" s="934"/>
      <c r="F653" s="869"/>
      <c r="G653" s="528"/>
      <c r="H653" s="544" t="s">
        <v>38</v>
      </c>
      <c r="I653" s="543">
        <f>SUMIF($L654:$L701,$L653,I654:I701)</f>
        <v>47769.4</v>
      </c>
      <c r="J653" s="861"/>
      <c r="K653" s="528"/>
      <c r="L653" s="544" t="s">
        <v>38</v>
      </c>
      <c r="M653" s="543">
        <f>SUMIF($L654:$L701,$L653,M654:M701)</f>
        <v>7456.24</v>
      </c>
      <c r="N653" s="861"/>
      <c r="O653" s="528"/>
      <c r="P653" s="543">
        <f>SUMIF($L654:$L701,$L653,P654:P701)</f>
        <v>8198.2000000000007</v>
      </c>
      <c r="Q653" s="543">
        <f t="shared" ref="Q653:V653" si="2347">SUMIF($L654:$L701,$L653,Q654:Q701)</f>
        <v>7456.24</v>
      </c>
      <c r="R653" s="543">
        <f t="shared" si="2347"/>
        <v>0</v>
      </c>
      <c r="S653" s="543">
        <f t="shared" si="2347"/>
        <v>0</v>
      </c>
      <c r="T653" s="543">
        <f t="shared" si="2347"/>
        <v>0</v>
      </c>
      <c r="U653" s="543">
        <f t="shared" si="2347"/>
        <v>0</v>
      </c>
      <c r="V653" s="543">
        <f t="shared" si="2347"/>
        <v>0</v>
      </c>
      <c r="W653" s="528"/>
      <c r="X653" s="543">
        <f t="shared" si="2341"/>
        <v>15654.44</v>
      </c>
      <c r="Y653" s="861"/>
      <c r="Z653" s="528"/>
      <c r="AA653" s="815"/>
      <c r="AB653" s="815"/>
      <c r="AC653" s="815"/>
      <c r="AD653" s="912"/>
      <c r="AE653" s="2"/>
      <c r="AF653" s="889"/>
      <c r="AG653" s="889"/>
      <c r="AH653" s="889"/>
      <c r="AI653" s="889"/>
      <c r="AJ653" s="889"/>
      <c r="AK653" s="889"/>
      <c r="AL653" s="889"/>
      <c r="AM653" s="744"/>
      <c r="AN653" s="2"/>
      <c r="AO653" s="889"/>
      <c r="AP653" s="889"/>
      <c r="AV653" t="str">
        <f t="shared" si="2339"/>
        <v xml:space="preserve">Aterro e compactação </v>
      </c>
      <c r="AW653" s="4" t="str">
        <f t="shared" si="2338"/>
        <v>Pacote 05 - Segmento 2.4 - Km 131+260 a  Km 138+000</v>
      </c>
    </row>
    <row r="654" spans="1:49" ht="15.6" customHeight="1" outlineLevel="2">
      <c r="A654" s="545" t="str">
        <f t="shared" ref="A654" si="2348">IF(SUM(P654:V655)&gt;0,"S","N")</f>
        <v>N</v>
      </c>
      <c r="B654" s="526">
        <v>1064815</v>
      </c>
      <c r="C654" s="526" t="s">
        <v>969</v>
      </c>
      <c r="D654" s="527" t="s">
        <v>970</v>
      </c>
      <c r="E654" s="892" t="s">
        <v>971</v>
      </c>
      <c r="F654" s="894" t="s">
        <v>36</v>
      </c>
      <c r="G654" s="528"/>
      <c r="H654" s="546" t="s">
        <v>37</v>
      </c>
      <c r="I654" s="711">
        <v>0</v>
      </c>
      <c r="J654" s="896" t="str">
        <f t="shared" ref="J654" si="2349">IFERROR((I655/I654),"-")</f>
        <v>-</v>
      </c>
      <c r="K654" s="528"/>
      <c r="L654" s="546" t="s">
        <v>37</v>
      </c>
      <c r="M654" s="711">
        <f t="shared" ref="M654:M701" si="2350">_xlfn.XLOOKUP($N$8,$P$8:$V$8,$P654:$V654)</f>
        <v>0</v>
      </c>
      <c r="N654" s="896" t="str">
        <f t="shared" ref="N654" si="2351">IFERROR((M655/M654),"-")</f>
        <v>-</v>
      </c>
      <c r="O654" s="528"/>
      <c r="P654" s="547">
        <v>0</v>
      </c>
      <c r="Q654" s="547">
        <v>0</v>
      </c>
      <c r="R654" s="547">
        <v>0</v>
      </c>
      <c r="S654" s="547">
        <v>0</v>
      </c>
      <c r="T654" s="547">
        <v>0</v>
      </c>
      <c r="U654" s="547">
        <v>0</v>
      </c>
      <c r="V654" s="547">
        <v>0</v>
      </c>
      <c r="W654" s="528"/>
      <c r="X654" s="711">
        <f t="shared" si="2341"/>
        <v>0</v>
      </c>
      <c r="Y654" s="896" t="str">
        <f t="shared" ref="Y654" si="2352">IFERROR((X655/X654),"0")</f>
        <v>0</v>
      </c>
      <c r="Z654" s="528"/>
      <c r="AA654" s="898">
        <v>0</v>
      </c>
      <c r="AB654" s="898">
        <v>0</v>
      </c>
      <c r="AC654" s="898">
        <v>0</v>
      </c>
      <c r="AD654" s="900" t="str">
        <f t="shared" ref="AD654" si="2353">IFERROR((AC654/AB654),"-")</f>
        <v>-</v>
      </c>
      <c r="AE654" s="2"/>
      <c r="AF654" s="884">
        <v>0</v>
      </c>
      <c r="AG654" s="884"/>
      <c r="AH654" s="884">
        <v>0</v>
      </c>
      <c r="AI654" s="884"/>
      <c r="AJ654" s="884"/>
      <c r="AK654" s="884">
        <f t="shared" ref="AK654" si="2354">AF654+AG654+AH654+AI654+AJ654+AC654</f>
        <v>0</v>
      </c>
      <c r="AL654" s="884">
        <v>0</v>
      </c>
      <c r="AM654" s="878" t="str">
        <f t="shared" ref="AM654" si="2355">IFERROR((AK654/AL654),"-")</f>
        <v>-</v>
      </c>
      <c r="AN654" s="2"/>
      <c r="AO654" s="884">
        <v>33850</v>
      </c>
      <c r="AP654" s="884">
        <f t="shared" ref="AP654" si="2356">AO654-AK654</f>
        <v>33850</v>
      </c>
      <c r="AV654" t="str">
        <f t="shared" si="2339"/>
        <v xml:space="preserve">Aterro e compactação </v>
      </c>
      <c r="AW654" s="4" t="str">
        <f t="shared" si="2338"/>
        <v xml:space="preserve">   Execução de aterro compactado - Seg.2.4 acesso km 132+000</v>
      </c>
    </row>
    <row r="655" spans="1:49" ht="15.6" customHeight="1" outlineLevel="2">
      <c r="A655" s="545" t="str">
        <f t="shared" ref="A655" si="2357">A654</f>
        <v>N</v>
      </c>
      <c r="B655" s="526"/>
      <c r="C655" s="526" t="s">
        <v>969</v>
      </c>
      <c r="D655" s="527" t="s">
        <v>970</v>
      </c>
      <c r="E655" s="893"/>
      <c r="F655" s="895"/>
      <c r="G655" s="528"/>
      <c r="H655" s="549" t="s">
        <v>38</v>
      </c>
      <c r="I655" s="711">
        <v>0</v>
      </c>
      <c r="J655" s="897"/>
      <c r="K655" s="528"/>
      <c r="L655" s="549" t="s">
        <v>38</v>
      </c>
      <c r="M655" s="711">
        <f t="shared" si="2350"/>
        <v>0</v>
      </c>
      <c r="N655" s="897"/>
      <c r="O655" s="528"/>
      <c r="P655" s="547">
        <v>0</v>
      </c>
      <c r="Q655" s="547">
        <v>0</v>
      </c>
      <c r="R655" s="547">
        <v>0</v>
      </c>
      <c r="S655" s="547">
        <v>0</v>
      </c>
      <c r="T655" s="547">
        <v>0</v>
      </c>
      <c r="U655" s="547">
        <v>0</v>
      </c>
      <c r="V655" s="547">
        <v>0</v>
      </c>
      <c r="W655" s="528"/>
      <c r="X655" s="711">
        <f t="shared" si="2341"/>
        <v>0</v>
      </c>
      <c r="Y655" s="897"/>
      <c r="Z655" s="528"/>
      <c r="AA655" s="899"/>
      <c r="AB655" s="899"/>
      <c r="AC655" s="899"/>
      <c r="AD655" s="901"/>
      <c r="AE655" s="2"/>
      <c r="AF655" s="885"/>
      <c r="AG655" s="885"/>
      <c r="AH655" s="885"/>
      <c r="AI655" s="885"/>
      <c r="AJ655" s="885"/>
      <c r="AK655" s="885"/>
      <c r="AL655" s="885"/>
      <c r="AM655" s="879"/>
      <c r="AN655" s="2"/>
      <c r="AO655" s="886"/>
      <c r="AP655" s="886"/>
      <c r="AV655" t="str">
        <f t="shared" si="2339"/>
        <v xml:space="preserve">Aterro e compactação </v>
      </c>
      <c r="AW655" s="4" t="str">
        <f t="shared" si="2338"/>
        <v xml:space="preserve">   Execução de aterro compactado - Seg.2.4 acesso km 132+000</v>
      </c>
    </row>
    <row r="656" spans="1:49" ht="15.6" customHeight="1" outlineLevel="2">
      <c r="A656" s="545" t="str">
        <f t="shared" ref="A656" si="2358">IF(SUM(P656:V657)&gt;0,"S","N")</f>
        <v>N</v>
      </c>
      <c r="B656" s="526">
        <v>1064818</v>
      </c>
      <c r="C656" s="526" t="s">
        <v>972</v>
      </c>
      <c r="D656" s="527" t="s">
        <v>973</v>
      </c>
      <c r="E656" s="892" t="s">
        <v>974</v>
      </c>
      <c r="F656" s="894" t="s">
        <v>36</v>
      </c>
      <c r="G656" s="528"/>
      <c r="H656" s="546" t="s">
        <v>37</v>
      </c>
      <c r="I656" s="711">
        <v>0</v>
      </c>
      <c r="J656" s="896" t="str">
        <f t="shared" ref="J656" si="2359">IFERROR((I657/I656),"-")</f>
        <v>-</v>
      </c>
      <c r="K656" s="528"/>
      <c r="L656" s="546" t="s">
        <v>37</v>
      </c>
      <c r="M656" s="711">
        <f t="shared" si="2350"/>
        <v>0</v>
      </c>
      <c r="N656" s="896" t="str">
        <f t="shared" ref="N656" si="2360">IFERROR((M657/M656),"-")</f>
        <v>-</v>
      </c>
      <c r="O656" s="528"/>
      <c r="P656" s="547">
        <v>0</v>
      </c>
      <c r="Q656" s="547">
        <v>0</v>
      </c>
      <c r="R656" s="547">
        <v>0</v>
      </c>
      <c r="S656" s="547">
        <v>0</v>
      </c>
      <c r="T656" s="547">
        <v>0</v>
      </c>
      <c r="U656" s="547">
        <v>0</v>
      </c>
      <c r="V656" s="547">
        <v>0</v>
      </c>
      <c r="W656" s="528"/>
      <c r="X656" s="711">
        <f t="shared" si="2341"/>
        <v>0</v>
      </c>
      <c r="Y656" s="896" t="str">
        <f t="shared" ref="Y656" si="2361">IFERROR((X657/X656),"0")</f>
        <v>0</v>
      </c>
      <c r="Z656" s="528"/>
      <c r="AA656" s="898">
        <v>0</v>
      </c>
      <c r="AB656" s="898">
        <v>0</v>
      </c>
      <c r="AC656" s="898">
        <v>0</v>
      </c>
      <c r="AD656" s="900" t="str">
        <f t="shared" ref="AD656" si="2362">IFERROR((AC656/AB656),"-")</f>
        <v>-</v>
      </c>
      <c r="AE656" s="2"/>
      <c r="AF656" s="884">
        <v>0</v>
      </c>
      <c r="AG656" s="884"/>
      <c r="AH656" s="884">
        <v>0</v>
      </c>
      <c r="AI656" s="884"/>
      <c r="AJ656" s="884"/>
      <c r="AK656" s="884">
        <f t="shared" ref="AK656" si="2363">AF656+AG656+AH656+AI656+AJ656+AC656</f>
        <v>0</v>
      </c>
      <c r="AL656" s="884">
        <v>0</v>
      </c>
      <c r="AM656" s="878" t="str">
        <f t="shared" ref="AM656" si="2364">IFERROR((AK656/AL656),"-")</f>
        <v>-</v>
      </c>
      <c r="AN656" s="2"/>
      <c r="AO656" s="884">
        <v>9380</v>
      </c>
      <c r="AP656" s="884">
        <f t="shared" ref="AP656" si="2365">AO656-AK656</f>
        <v>9380</v>
      </c>
      <c r="AV656" t="str">
        <f t="shared" si="2339"/>
        <v xml:space="preserve">Aterro e compactação </v>
      </c>
      <c r="AW656" s="4" t="str">
        <f t="shared" si="2338"/>
        <v xml:space="preserve">   Execução de aterro compactado - Seg.2.4 acesso km 137+500</v>
      </c>
    </row>
    <row r="657" spans="1:49" ht="15.6" customHeight="1" outlineLevel="2">
      <c r="A657" s="545" t="str">
        <f t="shared" ref="A657" si="2366">A656</f>
        <v>N</v>
      </c>
      <c r="B657" s="526"/>
      <c r="C657" s="526" t="s">
        <v>972</v>
      </c>
      <c r="D657" s="527" t="s">
        <v>973</v>
      </c>
      <c r="E657" s="893"/>
      <c r="F657" s="895"/>
      <c r="G657" s="528"/>
      <c r="H657" s="549" t="s">
        <v>38</v>
      </c>
      <c r="I657" s="711">
        <v>0</v>
      </c>
      <c r="J657" s="897"/>
      <c r="K657" s="528"/>
      <c r="L657" s="549" t="s">
        <v>38</v>
      </c>
      <c r="M657" s="711">
        <f t="shared" si="2350"/>
        <v>0</v>
      </c>
      <c r="N657" s="897"/>
      <c r="O657" s="528"/>
      <c r="P657" s="547">
        <v>0</v>
      </c>
      <c r="Q657" s="547">
        <v>0</v>
      </c>
      <c r="R657" s="547">
        <v>0</v>
      </c>
      <c r="S657" s="547">
        <v>0</v>
      </c>
      <c r="T657" s="547">
        <v>0</v>
      </c>
      <c r="U657" s="547">
        <v>0</v>
      </c>
      <c r="V657" s="547">
        <v>0</v>
      </c>
      <c r="W657" s="528"/>
      <c r="X657" s="711">
        <f t="shared" si="2341"/>
        <v>0</v>
      </c>
      <c r="Y657" s="897"/>
      <c r="Z657" s="528"/>
      <c r="AA657" s="899"/>
      <c r="AB657" s="899"/>
      <c r="AC657" s="899"/>
      <c r="AD657" s="901"/>
      <c r="AE657" s="2"/>
      <c r="AF657" s="885"/>
      <c r="AG657" s="885"/>
      <c r="AH657" s="885"/>
      <c r="AI657" s="885"/>
      <c r="AJ657" s="885"/>
      <c r="AK657" s="885"/>
      <c r="AL657" s="885"/>
      <c r="AM657" s="879"/>
      <c r="AN657" s="2"/>
      <c r="AO657" s="886"/>
      <c r="AP657" s="886"/>
      <c r="AV657" t="str">
        <f t="shared" si="2339"/>
        <v xml:space="preserve">Aterro e compactação </v>
      </c>
      <c r="AW657" s="4" t="str">
        <f t="shared" si="2338"/>
        <v xml:space="preserve">   Execução de aterro compactado - Seg.2.4 acesso km 137+500</v>
      </c>
    </row>
    <row r="658" spans="1:49" ht="15.6" customHeight="1" outlineLevel="2">
      <c r="A658" s="545" t="str">
        <f t="shared" ref="A658" si="2367">IF(SUM(P658:V659)&gt;0,"S","N")</f>
        <v>S</v>
      </c>
      <c r="B658" s="526">
        <v>1065404</v>
      </c>
      <c r="C658" s="526" t="s">
        <v>975</v>
      </c>
      <c r="D658" s="527" t="s">
        <v>976</v>
      </c>
      <c r="E658" s="892" t="s">
        <v>977</v>
      </c>
      <c r="F658" s="894" t="s">
        <v>36</v>
      </c>
      <c r="G658" s="528"/>
      <c r="H658" s="546" t="s">
        <v>37</v>
      </c>
      <c r="I658" s="711">
        <v>0</v>
      </c>
      <c r="J658" s="896" t="str">
        <f t="shared" ref="J658" si="2368">IFERROR((I659/I658),"-")</f>
        <v>-</v>
      </c>
      <c r="K658" s="528"/>
      <c r="L658" s="546" t="s">
        <v>37</v>
      </c>
      <c r="M658" s="711">
        <f t="shared" si="2350"/>
        <v>0</v>
      </c>
      <c r="N658" s="896" t="str">
        <f t="shared" ref="N658" si="2369">IFERROR((M659/M658),"-")</f>
        <v>-</v>
      </c>
      <c r="O658" s="528"/>
      <c r="P658" s="547">
        <v>0</v>
      </c>
      <c r="Q658" s="547">
        <v>0</v>
      </c>
      <c r="R658" s="547">
        <v>0</v>
      </c>
      <c r="S658" s="547">
        <v>0</v>
      </c>
      <c r="T658" s="547">
        <v>0</v>
      </c>
      <c r="U658" s="547">
        <v>0</v>
      </c>
      <c r="V658" s="547">
        <v>0</v>
      </c>
      <c r="W658" s="528"/>
      <c r="X658" s="711">
        <f t="shared" si="2341"/>
        <v>0</v>
      </c>
      <c r="Y658" s="896" t="str">
        <f t="shared" ref="Y658" si="2370">IFERROR((X659/X658),"0")</f>
        <v>0</v>
      </c>
      <c r="Z658" s="528"/>
      <c r="AA658" s="898">
        <v>998</v>
      </c>
      <c r="AB658" s="898">
        <v>0</v>
      </c>
      <c r="AC658" s="898">
        <v>73.28</v>
      </c>
      <c r="AD658" s="900" t="str">
        <f t="shared" ref="AD658" si="2371">IFERROR((AC658/AB658),"-")</f>
        <v>-</v>
      </c>
      <c r="AE658" s="2"/>
      <c r="AF658" s="884">
        <v>0</v>
      </c>
      <c r="AG658" s="884"/>
      <c r="AH658" s="884">
        <v>0</v>
      </c>
      <c r="AI658" s="884"/>
      <c r="AJ658" s="884"/>
      <c r="AK658" s="884">
        <f t="shared" ref="AK658" si="2372">AF658+AG658+AH658+AI658+AJ658+AC658</f>
        <v>73.28</v>
      </c>
      <c r="AL658" s="884">
        <v>0</v>
      </c>
      <c r="AM658" s="878" t="str">
        <f t="shared" ref="AM658" si="2373">IFERROR((AK658/AL658),"-")</f>
        <v>-</v>
      </c>
      <c r="AN658" s="2"/>
      <c r="AO658" s="884">
        <v>998</v>
      </c>
      <c r="AP658" s="884">
        <f t="shared" ref="AP658" si="2374">AO658-AK658</f>
        <v>924.72</v>
      </c>
      <c r="AV658" t="str">
        <f t="shared" si="2339"/>
        <v xml:space="preserve">Aterro e compactação </v>
      </c>
      <c r="AW658" s="4" t="str">
        <f t="shared" si="2338"/>
        <v xml:space="preserve">   Execução de aterro compactado (PN a 95%) - Seg.2.4 CA 02</v>
      </c>
    </row>
    <row r="659" spans="1:49" ht="15.6" customHeight="1" outlineLevel="2">
      <c r="A659" s="545" t="str">
        <f t="shared" ref="A659" si="2375">A658</f>
        <v>S</v>
      </c>
      <c r="B659" s="526"/>
      <c r="C659" s="526" t="s">
        <v>975</v>
      </c>
      <c r="D659" s="527" t="s">
        <v>976</v>
      </c>
      <c r="E659" s="893"/>
      <c r="F659" s="895"/>
      <c r="G659" s="528"/>
      <c r="H659" s="549" t="s">
        <v>38</v>
      </c>
      <c r="I659" s="711">
        <v>0</v>
      </c>
      <c r="J659" s="897"/>
      <c r="K659" s="528"/>
      <c r="L659" s="549" t="s">
        <v>38</v>
      </c>
      <c r="M659" s="711">
        <f t="shared" si="2350"/>
        <v>0</v>
      </c>
      <c r="N659" s="897"/>
      <c r="O659" s="528"/>
      <c r="P659" s="547">
        <v>73.28</v>
      </c>
      <c r="Q659" s="547">
        <v>0</v>
      </c>
      <c r="R659" s="547">
        <v>0</v>
      </c>
      <c r="S659" s="547">
        <v>0</v>
      </c>
      <c r="T659" s="547">
        <v>0</v>
      </c>
      <c r="U659" s="547">
        <v>0</v>
      </c>
      <c r="V659" s="547">
        <v>0</v>
      </c>
      <c r="W659" s="528"/>
      <c r="X659" s="711">
        <f t="shared" si="2341"/>
        <v>73.28</v>
      </c>
      <c r="Y659" s="897"/>
      <c r="Z659" s="528"/>
      <c r="AA659" s="899"/>
      <c r="AB659" s="899"/>
      <c r="AC659" s="899"/>
      <c r="AD659" s="901"/>
      <c r="AE659" s="2"/>
      <c r="AF659" s="885"/>
      <c r="AG659" s="885"/>
      <c r="AH659" s="885"/>
      <c r="AI659" s="885"/>
      <c r="AJ659" s="885"/>
      <c r="AK659" s="885"/>
      <c r="AL659" s="885"/>
      <c r="AM659" s="879"/>
      <c r="AN659" s="2"/>
      <c r="AO659" s="886"/>
      <c r="AP659" s="886"/>
      <c r="AV659" t="str">
        <f t="shared" si="2339"/>
        <v xml:space="preserve">Aterro e compactação </v>
      </c>
      <c r="AW659" s="4" t="str">
        <f t="shared" si="2338"/>
        <v xml:space="preserve">   Execução de aterro compactado (PN a 95%) - Seg.2.4 CA 02</v>
      </c>
    </row>
    <row r="660" spans="1:49" ht="15.6" customHeight="1" outlineLevel="2">
      <c r="A660" s="545" t="str">
        <f t="shared" ref="A660" si="2376">IF(SUM(P660:V661)&gt;0,"S","N")</f>
        <v>S</v>
      </c>
      <c r="B660" s="526">
        <v>1065406</v>
      </c>
      <c r="C660" s="526" t="s">
        <v>978</v>
      </c>
      <c r="D660" s="527" t="s">
        <v>979</v>
      </c>
      <c r="E660" s="892" t="s">
        <v>980</v>
      </c>
      <c r="F660" s="894" t="s">
        <v>36</v>
      </c>
      <c r="G660" s="528"/>
      <c r="H660" s="546" t="s">
        <v>37</v>
      </c>
      <c r="I660" s="711">
        <v>6400</v>
      </c>
      <c r="J660" s="896">
        <f t="shared" ref="J660" si="2377">IFERROR((I661/I660),"-")</f>
        <v>0.16459375000000001</v>
      </c>
      <c r="K660" s="528"/>
      <c r="L660" s="546" t="s">
        <v>37</v>
      </c>
      <c r="M660" s="711">
        <f t="shared" si="2350"/>
        <v>1120</v>
      </c>
      <c r="N660" s="896">
        <f t="shared" ref="N660" si="2378">IFERROR((M661/M660),"-")</f>
        <v>0</v>
      </c>
      <c r="O660" s="528"/>
      <c r="P660" s="547">
        <v>1120</v>
      </c>
      <c r="Q660" s="547">
        <v>1120</v>
      </c>
      <c r="R660" s="547">
        <v>1120</v>
      </c>
      <c r="S660" s="547">
        <v>1120</v>
      </c>
      <c r="T660" s="547">
        <v>960</v>
      </c>
      <c r="U660" s="547">
        <v>960</v>
      </c>
      <c r="V660" s="547">
        <v>0</v>
      </c>
      <c r="W660" s="528"/>
      <c r="X660" s="711">
        <f t="shared" si="2341"/>
        <v>2240</v>
      </c>
      <c r="Y660" s="896">
        <f t="shared" ref="Y660" si="2379">IFERROR((X661/X660),"0")</f>
        <v>0</v>
      </c>
      <c r="Z660" s="528"/>
      <c r="AA660" s="898">
        <v>0</v>
      </c>
      <c r="AB660" s="898">
        <v>0</v>
      </c>
      <c r="AC660" s="898">
        <v>2253.36</v>
      </c>
      <c r="AD660" s="900" t="str">
        <f t="shared" ref="AD660" si="2380">IFERROR((AC660/AB660),"-")</f>
        <v>-</v>
      </c>
      <c r="AE660" s="2"/>
      <c r="AF660" s="884">
        <v>0</v>
      </c>
      <c r="AG660" s="884"/>
      <c r="AH660" s="884">
        <v>1758.72</v>
      </c>
      <c r="AI660" s="884"/>
      <c r="AJ660" s="884"/>
      <c r="AK660" s="884">
        <f t="shared" ref="AK660" si="2381">AF660+AG660+AH660+AI660+AJ660+AC660</f>
        <v>4012.08</v>
      </c>
      <c r="AL660" s="884">
        <v>2725</v>
      </c>
      <c r="AM660" s="878">
        <f t="shared" ref="AM660" si="2382">IFERROR((AK660/AL660),"-")</f>
        <v>1.4723229357798164</v>
      </c>
      <c r="AN660" s="2"/>
      <c r="AO660" s="884">
        <v>2574.6</v>
      </c>
      <c r="AP660" s="884">
        <f t="shared" ref="AP660" si="2383">AO660-AK660</f>
        <v>-1437.48</v>
      </c>
      <c r="AV660" t="str">
        <f t="shared" si="2339"/>
        <v xml:space="preserve">Aterro e compactação </v>
      </c>
      <c r="AW660" s="4" t="str">
        <f t="shared" si="2338"/>
        <v xml:space="preserve">   Execução de aterro compactado (PN a 95%) - Seg.2.4 CA 03</v>
      </c>
    </row>
    <row r="661" spans="1:49" ht="15.6" customHeight="1" outlineLevel="2">
      <c r="A661" s="545" t="str">
        <f t="shared" ref="A661" si="2384">A660</f>
        <v>S</v>
      </c>
      <c r="B661" s="526"/>
      <c r="C661" s="526" t="s">
        <v>978</v>
      </c>
      <c r="D661" s="527" t="s">
        <v>979</v>
      </c>
      <c r="E661" s="893"/>
      <c r="F661" s="895"/>
      <c r="G661" s="528"/>
      <c r="H661" s="549" t="s">
        <v>38</v>
      </c>
      <c r="I661" s="711">
        <v>1053.4000000000001</v>
      </c>
      <c r="J661" s="897"/>
      <c r="K661" s="528"/>
      <c r="L661" s="549" t="s">
        <v>38</v>
      </c>
      <c r="M661" s="711">
        <f t="shared" si="2350"/>
        <v>0</v>
      </c>
      <c r="N661" s="897"/>
      <c r="O661" s="528"/>
      <c r="P661" s="547">
        <v>0</v>
      </c>
      <c r="Q661" s="547">
        <v>0</v>
      </c>
      <c r="R661" s="547">
        <v>0</v>
      </c>
      <c r="S661" s="547">
        <v>0</v>
      </c>
      <c r="T661" s="547">
        <v>0</v>
      </c>
      <c r="U661" s="547">
        <v>0</v>
      </c>
      <c r="V661" s="547">
        <v>0</v>
      </c>
      <c r="W661" s="528"/>
      <c r="X661" s="711">
        <f t="shared" si="2341"/>
        <v>0</v>
      </c>
      <c r="Y661" s="897"/>
      <c r="Z661" s="528"/>
      <c r="AA661" s="899"/>
      <c r="AB661" s="899"/>
      <c r="AC661" s="899"/>
      <c r="AD661" s="901"/>
      <c r="AE661" s="2"/>
      <c r="AF661" s="885"/>
      <c r="AG661" s="885"/>
      <c r="AH661" s="885"/>
      <c r="AI661" s="885"/>
      <c r="AJ661" s="885"/>
      <c r="AK661" s="885"/>
      <c r="AL661" s="885"/>
      <c r="AM661" s="879"/>
      <c r="AN661" s="2"/>
      <c r="AO661" s="886"/>
      <c r="AP661" s="886"/>
      <c r="AV661" t="str">
        <f t="shared" si="2339"/>
        <v xml:space="preserve">Aterro e compactação </v>
      </c>
      <c r="AW661" s="4" t="str">
        <f t="shared" si="2338"/>
        <v xml:space="preserve">   Execução de aterro compactado (PN a 95%) - Seg.2.4 CA 03</v>
      </c>
    </row>
    <row r="662" spans="1:49" ht="15.6" customHeight="1" outlineLevel="2">
      <c r="A662" s="545" t="str">
        <f t="shared" ref="A662" si="2385">IF(SUM(P662:V663)&gt;0,"S","N")</f>
        <v>N</v>
      </c>
      <c r="B662" s="526">
        <v>1065408</v>
      </c>
      <c r="C662" s="526" t="s">
        <v>981</v>
      </c>
      <c r="D662" s="527" t="s">
        <v>982</v>
      </c>
      <c r="E662" s="892" t="s">
        <v>983</v>
      </c>
      <c r="F662" s="894" t="s">
        <v>36</v>
      </c>
      <c r="G662" s="528"/>
      <c r="H662" s="546" t="s">
        <v>37</v>
      </c>
      <c r="I662" s="711">
        <v>6400</v>
      </c>
      <c r="J662" s="896">
        <f t="shared" ref="J662" si="2386">IFERROR((I663/I662),"-")</f>
        <v>0</v>
      </c>
      <c r="K662" s="528"/>
      <c r="L662" s="546" t="s">
        <v>37</v>
      </c>
      <c r="M662" s="711">
        <f t="shared" si="2350"/>
        <v>0</v>
      </c>
      <c r="N662" s="896" t="str">
        <f t="shared" ref="N662" si="2387">IFERROR((M663/M662),"-")</f>
        <v>-</v>
      </c>
      <c r="O662" s="528"/>
      <c r="P662" s="547">
        <v>0</v>
      </c>
      <c r="Q662" s="547">
        <v>0</v>
      </c>
      <c r="R662" s="547">
        <v>0</v>
      </c>
      <c r="S662" s="547">
        <v>0</v>
      </c>
      <c r="T662" s="547">
        <v>0</v>
      </c>
      <c r="U662" s="547">
        <v>0</v>
      </c>
      <c r="V662" s="547">
        <v>0</v>
      </c>
      <c r="W662" s="528"/>
      <c r="X662" s="711">
        <f t="shared" si="2341"/>
        <v>0</v>
      </c>
      <c r="Y662" s="896" t="str">
        <f t="shared" ref="Y662" si="2388">IFERROR((X663/X662),"0")</f>
        <v>0</v>
      </c>
      <c r="Z662" s="528"/>
      <c r="AA662" s="898">
        <v>0</v>
      </c>
      <c r="AB662" s="898">
        <v>0</v>
      </c>
      <c r="AC662" s="898">
        <v>0</v>
      </c>
      <c r="AD662" s="900" t="str">
        <f t="shared" ref="AD662" si="2389">IFERROR((AC662/AB662),"-")</f>
        <v>-</v>
      </c>
      <c r="AE662" s="2"/>
      <c r="AF662" s="884">
        <v>0</v>
      </c>
      <c r="AG662" s="884"/>
      <c r="AH662" s="884">
        <v>485.47999999999996</v>
      </c>
      <c r="AI662" s="884"/>
      <c r="AJ662" s="884"/>
      <c r="AK662" s="884">
        <f t="shared" ref="AK662" si="2390">AF662+AG662+AH662+AI662+AJ662+AC662</f>
        <v>485.47999999999996</v>
      </c>
      <c r="AL662" s="884">
        <v>2725</v>
      </c>
      <c r="AM662" s="878">
        <f t="shared" ref="AM662" si="2391">IFERROR((AK662/AL662),"-")</f>
        <v>0.1781577981651376</v>
      </c>
      <c r="AN662" s="2"/>
      <c r="AO662" s="884">
        <v>1329</v>
      </c>
      <c r="AP662" s="884">
        <f t="shared" ref="AP662" si="2392">AO662-AK662</f>
        <v>843.52</v>
      </c>
      <c r="AV662" t="str">
        <f t="shared" si="2339"/>
        <v xml:space="preserve">Aterro e compactação </v>
      </c>
      <c r="AW662" s="4" t="str">
        <f t="shared" si="2338"/>
        <v xml:space="preserve">   Execução de aterro compactado (PN a 95%) - Seg.2.4 CA 04</v>
      </c>
    </row>
    <row r="663" spans="1:49" ht="15.6" customHeight="1" outlineLevel="2">
      <c r="A663" s="545" t="str">
        <f t="shared" ref="A663" si="2393">A662</f>
        <v>N</v>
      </c>
      <c r="B663" s="526"/>
      <c r="C663" s="526" t="s">
        <v>981</v>
      </c>
      <c r="D663" s="527" t="s">
        <v>982</v>
      </c>
      <c r="E663" s="893"/>
      <c r="F663" s="895"/>
      <c r="G663" s="528"/>
      <c r="H663" s="549" t="s">
        <v>38</v>
      </c>
      <c r="I663" s="711">
        <v>0</v>
      </c>
      <c r="J663" s="897"/>
      <c r="K663" s="528"/>
      <c r="L663" s="549" t="s">
        <v>38</v>
      </c>
      <c r="M663" s="711">
        <f t="shared" si="2350"/>
        <v>0</v>
      </c>
      <c r="N663" s="897"/>
      <c r="O663" s="528"/>
      <c r="P663" s="547">
        <v>0</v>
      </c>
      <c r="Q663" s="547">
        <v>0</v>
      </c>
      <c r="R663" s="547">
        <v>0</v>
      </c>
      <c r="S663" s="547">
        <v>0</v>
      </c>
      <c r="T663" s="547">
        <v>0</v>
      </c>
      <c r="U663" s="547">
        <v>0</v>
      </c>
      <c r="V663" s="547">
        <v>0</v>
      </c>
      <c r="W663" s="528"/>
      <c r="X663" s="711">
        <f t="shared" si="2341"/>
        <v>0</v>
      </c>
      <c r="Y663" s="897"/>
      <c r="Z663" s="528"/>
      <c r="AA663" s="899"/>
      <c r="AB663" s="899"/>
      <c r="AC663" s="899"/>
      <c r="AD663" s="901"/>
      <c r="AE663" s="2"/>
      <c r="AF663" s="885"/>
      <c r="AG663" s="885"/>
      <c r="AH663" s="885"/>
      <c r="AI663" s="885"/>
      <c r="AJ663" s="885"/>
      <c r="AK663" s="885"/>
      <c r="AL663" s="885"/>
      <c r="AM663" s="879"/>
      <c r="AN663" s="2"/>
      <c r="AO663" s="886"/>
      <c r="AP663" s="886"/>
      <c r="AV663" t="str">
        <f t="shared" si="2339"/>
        <v xml:space="preserve">Aterro e compactação </v>
      </c>
      <c r="AW663" s="4" t="str">
        <f t="shared" si="2338"/>
        <v xml:space="preserve">   Execução de aterro compactado (PN a 95%) - Seg.2.4 CA 04</v>
      </c>
    </row>
    <row r="664" spans="1:49" ht="15.6" customHeight="1" outlineLevel="2">
      <c r="A664" s="525" t="str">
        <f t="shared" ref="A664" si="2394">IF(SUM(P664:V665)&gt;0,"S","N")</f>
        <v>N</v>
      </c>
      <c r="B664" s="526">
        <v>1065410</v>
      </c>
      <c r="C664" s="526" t="s">
        <v>984</v>
      </c>
      <c r="D664" s="527" t="s">
        <v>985</v>
      </c>
      <c r="E664" s="892" t="s">
        <v>983</v>
      </c>
      <c r="F664" s="894" t="s">
        <v>36</v>
      </c>
      <c r="G664" s="528"/>
      <c r="H664" s="546" t="s">
        <v>37</v>
      </c>
      <c r="I664" s="711">
        <v>0</v>
      </c>
      <c r="J664" s="896" t="str">
        <f t="shared" ref="J664" si="2395">IFERROR((I665/I664),"-")</f>
        <v>-</v>
      </c>
      <c r="K664" s="528"/>
      <c r="L664" s="546" t="s">
        <v>37</v>
      </c>
      <c r="M664" s="711">
        <f t="shared" si="2350"/>
        <v>0</v>
      </c>
      <c r="N664" s="896" t="str">
        <f t="shared" ref="N664" si="2396">IFERROR((M665/M664),"-")</f>
        <v>-</v>
      </c>
      <c r="O664" s="528"/>
      <c r="P664" s="547">
        <v>0</v>
      </c>
      <c r="Q664" s="547">
        <v>0</v>
      </c>
      <c r="R664" s="547">
        <v>0</v>
      </c>
      <c r="S664" s="547">
        <v>0</v>
      </c>
      <c r="T664" s="547">
        <v>0</v>
      </c>
      <c r="U664" s="547">
        <v>0</v>
      </c>
      <c r="V664" s="547">
        <v>0</v>
      </c>
      <c r="W664" s="528"/>
      <c r="X664" s="711">
        <f t="shared" si="2341"/>
        <v>0</v>
      </c>
      <c r="Y664" s="896" t="str">
        <f t="shared" ref="Y664" si="2397">IFERROR((X665/X664),"0")</f>
        <v>0</v>
      </c>
      <c r="Z664" s="528"/>
      <c r="AA664" s="898">
        <v>0</v>
      </c>
      <c r="AB664" s="898">
        <v>0</v>
      </c>
      <c r="AC664" s="898">
        <v>2427.4</v>
      </c>
      <c r="AD664" s="900" t="str">
        <f t="shared" ref="AD664" si="2398">IFERROR((AC664/AB664),"-")</f>
        <v>-</v>
      </c>
      <c r="AE664" s="2"/>
      <c r="AF664" s="884">
        <v>0</v>
      </c>
      <c r="AG664" s="884"/>
      <c r="AH664" s="884">
        <v>613.72</v>
      </c>
      <c r="AI664" s="884"/>
      <c r="AJ664" s="884"/>
      <c r="AK664" s="884">
        <f t="shared" ref="AK664" si="2399">AF664+AG664+AH664+AI664+AJ664+AC664</f>
        <v>3041.12</v>
      </c>
      <c r="AL664" s="884">
        <v>0</v>
      </c>
      <c r="AM664" s="878" t="str">
        <f t="shared" ref="AM664" si="2400">IFERROR((AK664/AL664),"-")</f>
        <v>-</v>
      </c>
      <c r="AN664" s="2"/>
      <c r="AO664" s="884">
        <v>1039</v>
      </c>
      <c r="AP664" s="884">
        <f t="shared" ref="AP664" si="2401">AO664-AK664</f>
        <v>-2002.12</v>
      </c>
      <c r="AV664" t="str">
        <f t="shared" si="2339"/>
        <v xml:space="preserve">Aterro e compactação </v>
      </c>
      <c r="AW664" s="4" t="str">
        <f t="shared" si="2338"/>
        <v xml:space="preserve">   Execução de aterro compactado (PN a 95%) - Seg.2.4 CA 04</v>
      </c>
    </row>
    <row r="665" spans="1:49" ht="15.6" customHeight="1" outlineLevel="2">
      <c r="A665" s="525" t="str">
        <f t="shared" ref="A665" si="2402">A664</f>
        <v>N</v>
      </c>
      <c r="B665" s="526"/>
      <c r="C665" s="526" t="s">
        <v>984</v>
      </c>
      <c r="D665" s="527" t="s">
        <v>985</v>
      </c>
      <c r="E665" s="893"/>
      <c r="F665" s="895"/>
      <c r="G665" s="528"/>
      <c r="H665" s="549" t="s">
        <v>38</v>
      </c>
      <c r="I665" s="711">
        <v>2427.4</v>
      </c>
      <c r="J665" s="897"/>
      <c r="K665" s="528"/>
      <c r="L665" s="549" t="s">
        <v>38</v>
      </c>
      <c r="M665" s="711">
        <f t="shared" si="2350"/>
        <v>0</v>
      </c>
      <c r="N665" s="897"/>
      <c r="O665" s="528"/>
      <c r="P665" s="547">
        <v>0</v>
      </c>
      <c r="Q665" s="547">
        <v>0</v>
      </c>
      <c r="R665" s="547">
        <v>0</v>
      </c>
      <c r="S665" s="547">
        <v>0</v>
      </c>
      <c r="T665" s="547">
        <v>0</v>
      </c>
      <c r="U665" s="547">
        <v>0</v>
      </c>
      <c r="V665" s="547">
        <v>0</v>
      </c>
      <c r="W665" s="528"/>
      <c r="X665" s="711">
        <f t="shared" si="2341"/>
        <v>0</v>
      </c>
      <c r="Y665" s="897"/>
      <c r="Z665" s="528"/>
      <c r="AA665" s="899"/>
      <c r="AB665" s="899"/>
      <c r="AC665" s="899"/>
      <c r="AD665" s="901"/>
      <c r="AE665" s="2"/>
      <c r="AF665" s="885"/>
      <c r="AG665" s="885"/>
      <c r="AH665" s="885"/>
      <c r="AI665" s="885"/>
      <c r="AJ665" s="885"/>
      <c r="AK665" s="885"/>
      <c r="AL665" s="885"/>
      <c r="AM665" s="879"/>
      <c r="AN665" s="2"/>
      <c r="AO665" s="886"/>
      <c r="AP665" s="886"/>
      <c r="AV665" t="str">
        <f t="shared" si="2339"/>
        <v xml:space="preserve">Aterro e compactação </v>
      </c>
      <c r="AW665" s="4" t="str">
        <f t="shared" si="2338"/>
        <v xml:space="preserve">   Execução de aterro compactado (PN a 95%) - Seg.2.4 CA 04</v>
      </c>
    </row>
    <row r="666" spans="1:49" ht="15.6" customHeight="1" outlineLevel="2">
      <c r="A666" s="525" t="str">
        <f t="shared" ref="A666" si="2403">IF(SUM(P666:V667)&gt;0,"S","N")</f>
        <v>N</v>
      </c>
      <c r="B666" s="526">
        <v>1065410</v>
      </c>
      <c r="C666" s="526" t="s">
        <v>984</v>
      </c>
      <c r="D666" s="527" t="s">
        <v>986</v>
      </c>
      <c r="E666" s="892" t="s">
        <v>987</v>
      </c>
      <c r="F666" s="894" t="s">
        <v>36</v>
      </c>
      <c r="G666" s="528"/>
      <c r="H666" s="546" t="s">
        <v>37</v>
      </c>
      <c r="I666" s="711">
        <v>0</v>
      </c>
      <c r="J666" s="896" t="str">
        <f t="shared" ref="J666" si="2404">IFERROR((I667/I666),"-")</f>
        <v>-</v>
      </c>
      <c r="K666" s="528"/>
      <c r="L666" s="546" t="s">
        <v>37</v>
      </c>
      <c r="M666" s="711">
        <f t="shared" si="2350"/>
        <v>0</v>
      </c>
      <c r="N666" s="896" t="str">
        <f t="shared" ref="N666" si="2405">IFERROR((M667/M666),"-")</f>
        <v>-</v>
      </c>
      <c r="O666" s="528"/>
      <c r="P666" s="547">
        <v>0</v>
      </c>
      <c r="Q666" s="547">
        <v>0</v>
      </c>
      <c r="R666" s="547">
        <v>0</v>
      </c>
      <c r="S666" s="547">
        <v>0</v>
      </c>
      <c r="T666" s="547">
        <v>0</v>
      </c>
      <c r="U666" s="547">
        <v>0</v>
      </c>
      <c r="V666" s="547">
        <v>0</v>
      </c>
      <c r="W666" s="528"/>
      <c r="X666" s="711">
        <f t="shared" si="2341"/>
        <v>0</v>
      </c>
      <c r="Y666" s="896" t="str">
        <f t="shared" ref="Y666" si="2406">IFERROR((X667/X666),"0")</f>
        <v>0</v>
      </c>
      <c r="Z666" s="528"/>
      <c r="AA666" s="898">
        <v>0</v>
      </c>
      <c r="AB666" s="898">
        <v>0</v>
      </c>
      <c r="AC666" s="898">
        <v>0</v>
      </c>
      <c r="AD666" s="900" t="str">
        <f t="shared" ref="AD666" si="2407">IFERROR((AC666/AB666),"-")</f>
        <v>-</v>
      </c>
      <c r="AE666" s="2"/>
      <c r="AF666" s="884">
        <v>0</v>
      </c>
      <c r="AG666" s="884"/>
      <c r="AH666" s="884">
        <v>0</v>
      </c>
      <c r="AI666" s="884"/>
      <c r="AJ666" s="884"/>
      <c r="AK666" s="884">
        <f t="shared" ref="AK666" si="2408">AF666+AG666+AH666+AI666+AJ666+AC666</f>
        <v>0</v>
      </c>
      <c r="AL666" s="884">
        <v>0</v>
      </c>
      <c r="AM666" s="878" t="str">
        <f t="shared" ref="AM666" si="2409">IFERROR((AK666/AL666),"-")</f>
        <v>-</v>
      </c>
      <c r="AN666" s="2"/>
      <c r="AO666" s="884">
        <v>1039</v>
      </c>
      <c r="AP666" s="884">
        <f t="shared" ref="AP666" si="2410">AO666-AK666</f>
        <v>1039</v>
      </c>
      <c r="AV666" t="str">
        <f t="shared" si="2339"/>
        <v xml:space="preserve">Aterro e compactação </v>
      </c>
      <c r="AW666" s="4" t="str">
        <f t="shared" si="2338"/>
        <v xml:space="preserve">   Execução de aterro compactado (PN a 95%) - Seg.2.4 CA 05</v>
      </c>
    </row>
    <row r="667" spans="1:49" ht="15.6" customHeight="1" outlineLevel="2">
      <c r="A667" s="525" t="str">
        <f t="shared" ref="A667" si="2411">A666</f>
        <v>N</v>
      </c>
      <c r="B667" s="526"/>
      <c r="C667" s="526" t="s">
        <v>984</v>
      </c>
      <c r="D667" s="527" t="s">
        <v>986</v>
      </c>
      <c r="E667" s="893"/>
      <c r="F667" s="895"/>
      <c r="G667" s="528"/>
      <c r="H667" s="549" t="s">
        <v>38</v>
      </c>
      <c r="I667" s="711">
        <v>0</v>
      </c>
      <c r="J667" s="897"/>
      <c r="K667" s="528"/>
      <c r="L667" s="549" t="s">
        <v>38</v>
      </c>
      <c r="M667" s="711">
        <f t="shared" si="2350"/>
        <v>0</v>
      </c>
      <c r="N667" s="897"/>
      <c r="O667" s="528"/>
      <c r="P667" s="547">
        <v>0</v>
      </c>
      <c r="Q667" s="547">
        <v>0</v>
      </c>
      <c r="R667" s="547">
        <v>0</v>
      </c>
      <c r="S667" s="547">
        <v>0</v>
      </c>
      <c r="T667" s="547">
        <v>0</v>
      </c>
      <c r="U667" s="547">
        <v>0</v>
      </c>
      <c r="V667" s="547">
        <v>0</v>
      </c>
      <c r="W667" s="528"/>
      <c r="X667" s="711">
        <f t="shared" si="2341"/>
        <v>0</v>
      </c>
      <c r="Y667" s="897"/>
      <c r="Z667" s="528"/>
      <c r="AA667" s="899"/>
      <c r="AB667" s="899"/>
      <c r="AC667" s="899"/>
      <c r="AD667" s="901"/>
      <c r="AE667" s="2"/>
      <c r="AF667" s="885"/>
      <c r="AG667" s="885"/>
      <c r="AH667" s="885"/>
      <c r="AI667" s="885"/>
      <c r="AJ667" s="885"/>
      <c r="AK667" s="885"/>
      <c r="AL667" s="885"/>
      <c r="AM667" s="879"/>
      <c r="AN667" s="2"/>
      <c r="AO667" s="886"/>
      <c r="AP667" s="886"/>
      <c r="AV667" t="str">
        <f t="shared" si="2339"/>
        <v xml:space="preserve">Aterro e compactação </v>
      </c>
      <c r="AW667" s="4" t="str">
        <f t="shared" si="2338"/>
        <v xml:space="preserve">   Execução de aterro compactado (PN a 95%) - Seg.2.4 CA 05</v>
      </c>
    </row>
    <row r="668" spans="1:49" ht="15.6" customHeight="1" outlineLevel="2">
      <c r="A668" s="525" t="str">
        <f t="shared" ref="A668" si="2412">IF(SUM(P668:V669)&gt;0,"S","N")</f>
        <v>N</v>
      </c>
      <c r="B668" s="526">
        <v>1065412</v>
      </c>
      <c r="C668" s="526" t="s">
        <v>988</v>
      </c>
      <c r="D668" s="527" t="s">
        <v>989</v>
      </c>
      <c r="E668" s="892" t="s">
        <v>990</v>
      </c>
      <c r="F668" s="894" t="s">
        <v>36</v>
      </c>
      <c r="G668" s="528"/>
      <c r="H668" s="546" t="s">
        <v>37</v>
      </c>
      <c r="I668" s="711">
        <v>6400</v>
      </c>
      <c r="J668" s="896">
        <f t="shared" ref="J668" si="2413">IFERROR((I669/I668),"-")</f>
        <v>0.23615625000000001</v>
      </c>
      <c r="K668" s="528"/>
      <c r="L668" s="546" t="s">
        <v>37</v>
      </c>
      <c r="M668" s="711">
        <f t="shared" si="2350"/>
        <v>0</v>
      </c>
      <c r="N668" s="896" t="str">
        <f t="shared" ref="N668" si="2414">IFERROR((M669/M668),"-")</f>
        <v>-</v>
      </c>
      <c r="O668" s="528"/>
      <c r="P668" s="547">
        <v>0</v>
      </c>
      <c r="Q668" s="547">
        <v>0</v>
      </c>
      <c r="R668" s="547">
        <v>0</v>
      </c>
      <c r="S668" s="547">
        <v>0</v>
      </c>
      <c r="T668" s="547">
        <v>0</v>
      </c>
      <c r="U668" s="547">
        <v>0</v>
      </c>
      <c r="V668" s="547">
        <v>0</v>
      </c>
      <c r="W668" s="528"/>
      <c r="X668" s="711">
        <f t="shared" si="2341"/>
        <v>0</v>
      </c>
      <c r="Y668" s="896" t="str">
        <f t="shared" ref="Y668" si="2415">IFERROR((X669/X668),"0")</f>
        <v>0</v>
      </c>
      <c r="Z668" s="528"/>
      <c r="AA668" s="898">
        <v>0</v>
      </c>
      <c r="AB668" s="898">
        <v>0</v>
      </c>
      <c r="AC668" s="898">
        <v>3141.88</v>
      </c>
      <c r="AD668" s="900" t="str">
        <f t="shared" ref="AD668" si="2416">IFERROR((AC668/AB668),"-")</f>
        <v>-</v>
      </c>
      <c r="AE668" s="2"/>
      <c r="AF668" s="884">
        <v>0</v>
      </c>
      <c r="AG668" s="884"/>
      <c r="AH668" s="884">
        <v>778.6</v>
      </c>
      <c r="AI668" s="884">
        <v>8809.4089999999997</v>
      </c>
      <c r="AJ668" s="884">
        <v>6552.4309999999996</v>
      </c>
      <c r="AK668" s="884">
        <f t="shared" ref="AK668" si="2417">AF668+AG668+AH668+AI668+AJ668+AC668</f>
        <v>19282.32</v>
      </c>
      <c r="AL668" s="884">
        <v>37959.250000000015</v>
      </c>
      <c r="AM668" s="878">
        <f t="shared" ref="AM668" si="2418">IFERROR((AK668/AL668),"-")</f>
        <v>0.50797420918484937</v>
      </c>
      <c r="AN668" s="2"/>
      <c r="AO668" s="884">
        <v>28911</v>
      </c>
      <c r="AP668" s="884">
        <f t="shared" ref="AP668" si="2419">AO668-AK668</f>
        <v>9628.68</v>
      </c>
      <c r="AV668" t="str">
        <f t="shared" si="2339"/>
        <v xml:space="preserve">Aterro e compactação </v>
      </c>
      <c r="AW668" s="4" t="str">
        <f t="shared" si="2338"/>
        <v xml:space="preserve">   Execução de aterro compactado (PN a 95%) - Seg.2.4 CA 06</v>
      </c>
    </row>
    <row r="669" spans="1:49" ht="15.6" customHeight="1" outlineLevel="2">
      <c r="A669" s="525" t="str">
        <f t="shared" ref="A669" si="2420">A668</f>
        <v>N</v>
      </c>
      <c r="B669" s="526"/>
      <c r="C669" s="526" t="s">
        <v>988</v>
      </c>
      <c r="D669" s="527" t="s">
        <v>989</v>
      </c>
      <c r="E669" s="893"/>
      <c r="F669" s="895"/>
      <c r="G669" s="528"/>
      <c r="H669" s="549" t="s">
        <v>38</v>
      </c>
      <c r="I669" s="711">
        <v>1511.4</v>
      </c>
      <c r="J669" s="897"/>
      <c r="K669" s="528"/>
      <c r="L669" s="549" t="s">
        <v>38</v>
      </c>
      <c r="M669" s="711">
        <f t="shared" si="2350"/>
        <v>0</v>
      </c>
      <c r="N669" s="897"/>
      <c r="O669" s="528"/>
      <c r="P669" s="547">
        <v>0</v>
      </c>
      <c r="Q669" s="547">
        <v>0</v>
      </c>
      <c r="R669" s="547">
        <v>0</v>
      </c>
      <c r="S669" s="547">
        <v>0</v>
      </c>
      <c r="T669" s="547">
        <v>0</v>
      </c>
      <c r="U669" s="547">
        <v>0</v>
      </c>
      <c r="V669" s="547">
        <v>0</v>
      </c>
      <c r="W669" s="528"/>
      <c r="X669" s="711">
        <f t="shared" si="2341"/>
        <v>0</v>
      </c>
      <c r="Y669" s="897"/>
      <c r="Z669" s="528"/>
      <c r="AA669" s="899"/>
      <c r="AB669" s="899"/>
      <c r="AC669" s="899"/>
      <c r="AD669" s="901"/>
      <c r="AE669" s="2"/>
      <c r="AF669" s="885"/>
      <c r="AG669" s="885"/>
      <c r="AH669" s="885"/>
      <c r="AI669" s="885"/>
      <c r="AJ669" s="885"/>
      <c r="AK669" s="885"/>
      <c r="AL669" s="885"/>
      <c r="AM669" s="879"/>
      <c r="AN669" s="2"/>
      <c r="AO669" s="886"/>
      <c r="AP669" s="886"/>
      <c r="AV669" t="str">
        <f t="shared" si="2339"/>
        <v xml:space="preserve">Aterro e compactação </v>
      </c>
      <c r="AW669" s="4" t="str">
        <f t="shared" si="2338"/>
        <v xml:space="preserve">   Execução de aterro compactado (PN a 95%) - Seg.2.4 CA 06</v>
      </c>
    </row>
    <row r="670" spans="1:49" ht="15.6" customHeight="1" outlineLevel="2">
      <c r="A670" s="525" t="str">
        <f t="shared" ref="A670" si="2421">IF(SUM(P670:V671)&gt;0,"S","N")</f>
        <v>S</v>
      </c>
      <c r="B670" s="526">
        <v>1069630</v>
      </c>
      <c r="C670" s="526" t="s">
        <v>991</v>
      </c>
      <c r="D670" s="550" t="s">
        <v>992</v>
      </c>
      <c r="E670" s="892" t="s">
        <v>993</v>
      </c>
      <c r="F670" s="894" t="s">
        <v>36</v>
      </c>
      <c r="G670" s="528"/>
      <c r="H670" s="546" t="s">
        <v>37</v>
      </c>
      <c r="I670" s="711">
        <v>44720</v>
      </c>
      <c r="J670" s="896">
        <f t="shared" ref="J670" si="2422">IFERROR((I671/I670),"-")</f>
        <v>0.95020661896243286</v>
      </c>
      <c r="K670" s="528"/>
      <c r="L670" s="546" t="s">
        <v>37</v>
      </c>
      <c r="M670" s="711">
        <f t="shared" si="2350"/>
        <v>7720</v>
      </c>
      <c r="N670" s="896">
        <f t="shared" ref="N670" si="2423">IFERROR((M671/M670),"-")</f>
        <v>0.96583419689119165</v>
      </c>
      <c r="O670" s="528"/>
      <c r="P670" s="547">
        <v>7720</v>
      </c>
      <c r="Q670" s="547">
        <v>7720</v>
      </c>
      <c r="R670" s="547">
        <v>7720</v>
      </c>
      <c r="S670" s="547">
        <v>7720</v>
      </c>
      <c r="T670" s="547">
        <v>6920</v>
      </c>
      <c r="U670" s="547">
        <v>6920</v>
      </c>
      <c r="V670" s="547">
        <v>0</v>
      </c>
      <c r="W670" s="528"/>
      <c r="X670" s="711">
        <f t="shared" si="2341"/>
        <v>15440</v>
      </c>
      <c r="Y670" s="896">
        <f t="shared" ref="Y670" si="2424">IFERROR((X671/X670),"0")</f>
        <v>0.98541191709844556</v>
      </c>
      <c r="Z670" s="528"/>
      <c r="AA670" s="898">
        <v>227725.85</v>
      </c>
      <c r="AB670" s="898">
        <v>71419.98</v>
      </c>
      <c r="AC670" s="898">
        <v>89245.880000000063</v>
      </c>
      <c r="AD670" s="900">
        <f t="shared" ref="AD670" si="2425">IFERROR((AC670/AB670),"-")</f>
        <v>1.2495926210004549</v>
      </c>
      <c r="AE670" s="2"/>
      <c r="AF670" s="884">
        <v>272395</v>
      </c>
      <c r="AG670" s="884"/>
      <c r="AH670" s="884">
        <v>84436.880000000019</v>
      </c>
      <c r="AI670" s="884">
        <v>53941.286999999997</v>
      </c>
      <c r="AJ670" s="884">
        <f>55241.35+64139</f>
        <v>119380.35</v>
      </c>
      <c r="AK670" s="884">
        <f t="shared" ref="AK670" si="2426">AF670+AG670+AH670+AI670+AJ670+AC670</f>
        <v>619399.39700000011</v>
      </c>
      <c r="AL670" s="884">
        <v>634017.05999999959</v>
      </c>
      <c r="AM670" s="878">
        <f t="shared" ref="AM670" si="2427">IFERROR((AK670/AL670),"-")</f>
        <v>0.97694436960418785</v>
      </c>
      <c r="AN670" s="2"/>
      <c r="AO670" s="884">
        <v>990722.64</v>
      </c>
      <c r="AP670" s="884">
        <f t="shared" ref="AP670" si="2428">AO670-AK670</f>
        <v>371323.2429999999</v>
      </c>
      <c r="AV670" t="str">
        <f t="shared" si="2339"/>
        <v xml:space="preserve">Aterro e compactação </v>
      </c>
      <c r="AW670" s="4" t="str">
        <f t="shared" si="2338"/>
        <v xml:space="preserve">   Execução de aterro compactado (PN a 95%) - Seg.2.4 CA 01 - A/B</v>
      </c>
    </row>
    <row r="671" spans="1:49" ht="15.6" customHeight="1" outlineLevel="2">
      <c r="A671" s="525" t="str">
        <f t="shared" ref="A671" si="2429">A670</f>
        <v>S</v>
      </c>
      <c r="B671" s="526"/>
      <c r="C671" s="526" t="s">
        <v>991</v>
      </c>
      <c r="D671" s="550" t="s">
        <v>992</v>
      </c>
      <c r="E671" s="893"/>
      <c r="F671" s="895"/>
      <c r="G671" s="528"/>
      <c r="H671" s="549" t="s">
        <v>38</v>
      </c>
      <c r="I671" s="711">
        <v>42493.24</v>
      </c>
      <c r="J671" s="897"/>
      <c r="K671" s="528"/>
      <c r="L671" s="549" t="s">
        <v>38</v>
      </c>
      <c r="M671" s="711">
        <f t="shared" si="2350"/>
        <v>7456.24</v>
      </c>
      <c r="N671" s="897"/>
      <c r="O671" s="528"/>
      <c r="P671" s="547">
        <v>7758.52</v>
      </c>
      <c r="Q671" s="547">
        <v>7456.24</v>
      </c>
      <c r="R671" s="547">
        <v>0</v>
      </c>
      <c r="S671" s="547">
        <v>0</v>
      </c>
      <c r="T671" s="547">
        <v>0</v>
      </c>
      <c r="U671" s="547">
        <v>0</v>
      </c>
      <c r="V671" s="547">
        <v>0</v>
      </c>
      <c r="W671" s="528"/>
      <c r="X671" s="711">
        <f t="shared" si="2341"/>
        <v>15214.76</v>
      </c>
      <c r="Y671" s="897"/>
      <c r="Z671" s="528"/>
      <c r="AA671" s="899"/>
      <c r="AB671" s="899"/>
      <c r="AC671" s="899"/>
      <c r="AD671" s="901"/>
      <c r="AE671" s="2"/>
      <c r="AF671" s="885"/>
      <c r="AG671" s="885"/>
      <c r="AH671" s="885"/>
      <c r="AI671" s="885"/>
      <c r="AJ671" s="885"/>
      <c r="AK671" s="885"/>
      <c r="AL671" s="885"/>
      <c r="AM671" s="879"/>
      <c r="AN671" s="2"/>
      <c r="AO671" s="885"/>
      <c r="AP671" s="886"/>
      <c r="AV671" t="str">
        <f t="shared" si="2339"/>
        <v xml:space="preserve">Aterro e compactação </v>
      </c>
      <c r="AW671" s="4" t="str">
        <f t="shared" si="2338"/>
        <v xml:space="preserve">   Execução de aterro compactado (PN a 95%) - Seg.2.4 CA 01 - A/B</v>
      </c>
    </row>
    <row r="672" spans="1:49" ht="15.6" customHeight="1" outlineLevel="2">
      <c r="A672" s="545" t="str">
        <f t="shared" ref="A672" si="2430">IF(SUM(P672:V673)&gt;0,"S","N")</f>
        <v>N</v>
      </c>
      <c r="B672" s="526">
        <v>1065403</v>
      </c>
      <c r="C672" s="526" t="s">
        <v>991</v>
      </c>
      <c r="D672" s="527" t="s">
        <v>994</v>
      </c>
      <c r="E672" s="892" t="s">
        <v>995</v>
      </c>
      <c r="F672" s="894" t="s">
        <v>36</v>
      </c>
      <c r="G672" s="528"/>
      <c r="H672" s="546" t="s">
        <v>37</v>
      </c>
      <c r="I672" s="711">
        <v>0</v>
      </c>
      <c r="J672" s="896" t="str">
        <f t="shared" ref="J672" si="2431">IFERROR((I673/I672),"-")</f>
        <v>-</v>
      </c>
      <c r="K672" s="528"/>
      <c r="L672" s="546" t="s">
        <v>37</v>
      </c>
      <c r="M672" s="711">
        <f t="shared" si="2350"/>
        <v>0</v>
      </c>
      <c r="N672" s="896" t="str">
        <f t="shared" ref="N672" si="2432">IFERROR((M673/M672),"-")</f>
        <v>-</v>
      </c>
      <c r="O672" s="528"/>
      <c r="P672" s="547">
        <v>0</v>
      </c>
      <c r="Q672" s="547">
        <v>0</v>
      </c>
      <c r="R672" s="547">
        <v>0</v>
      </c>
      <c r="S672" s="547">
        <v>0</v>
      </c>
      <c r="T672" s="547">
        <v>0</v>
      </c>
      <c r="U672" s="547">
        <v>0</v>
      </c>
      <c r="V672" s="547">
        <v>0</v>
      </c>
      <c r="W672" s="528"/>
      <c r="X672" s="711">
        <f t="shared" si="2341"/>
        <v>0</v>
      </c>
      <c r="Y672" s="896" t="str">
        <f t="shared" ref="Y672" si="2433">IFERROR((X673/X672),"0")</f>
        <v>0</v>
      </c>
      <c r="Z672" s="528"/>
      <c r="AA672" s="898">
        <v>0</v>
      </c>
      <c r="AB672" s="898">
        <v>3443</v>
      </c>
      <c r="AC672" s="898">
        <v>0</v>
      </c>
      <c r="AD672" s="900">
        <f t="shared" ref="AD672" si="2434">IFERROR((AC672/AB672),"-")</f>
        <v>0</v>
      </c>
      <c r="AE672" s="2"/>
      <c r="AF672" s="884">
        <v>0</v>
      </c>
      <c r="AG672" s="884"/>
      <c r="AH672" s="884">
        <v>0</v>
      </c>
      <c r="AI672" s="884"/>
      <c r="AJ672" s="884"/>
      <c r="AK672" s="884">
        <f t="shared" ref="AK672" si="2435">AF672+AG672+AH672+AI672+AJ672+AC672</f>
        <v>0</v>
      </c>
      <c r="AL672" s="884">
        <v>3443</v>
      </c>
      <c r="AM672" s="878">
        <f t="shared" ref="AM672" si="2436">IFERROR((AK672/AL672),"-")</f>
        <v>0</v>
      </c>
      <c r="AN672" s="2"/>
      <c r="AO672" s="884">
        <v>22797</v>
      </c>
      <c r="AP672" s="884">
        <f t="shared" ref="AP672" si="2437">AO672-AK672</f>
        <v>22797</v>
      </c>
      <c r="AV672" t="str">
        <f t="shared" si="2339"/>
        <v xml:space="preserve">Aterro e compactação </v>
      </c>
      <c r="AW672" s="4" t="str">
        <f t="shared" si="2338"/>
        <v xml:space="preserve">   Camada Final de Aterro (PN a 100%) - Seg.2.4 CA 01</v>
      </c>
    </row>
    <row r="673" spans="1:49" ht="15.6" customHeight="1" outlineLevel="2">
      <c r="A673" s="545" t="str">
        <f t="shared" ref="A673" si="2438">A672</f>
        <v>N</v>
      </c>
      <c r="B673" s="526"/>
      <c r="C673" s="526" t="s">
        <v>991</v>
      </c>
      <c r="D673" s="527" t="s">
        <v>994</v>
      </c>
      <c r="E673" s="893"/>
      <c r="F673" s="895"/>
      <c r="G673" s="528"/>
      <c r="H673" s="549" t="s">
        <v>38</v>
      </c>
      <c r="I673" s="711">
        <v>0</v>
      </c>
      <c r="J673" s="897"/>
      <c r="K673" s="528"/>
      <c r="L673" s="549" t="s">
        <v>38</v>
      </c>
      <c r="M673" s="711">
        <f t="shared" si="2350"/>
        <v>0</v>
      </c>
      <c r="N673" s="897"/>
      <c r="O673" s="528"/>
      <c r="P673" s="547">
        <v>0</v>
      </c>
      <c r="Q673" s="547">
        <v>0</v>
      </c>
      <c r="R673" s="547">
        <v>0</v>
      </c>
      <c r="S673" s="547">
        <v>0</v>
      </c>
      <c r="T673" s="547">
        <v>0</v>
      </c>
      <c r="U673" s="547">
        <v>0</v>
      </c>
      <c r="V673" s="547">
        <v>0</v>
      </c>
      <c r="W673" s="528"/>
      <c r="X673" s="711">
        <f t="shared" si="2341"/>
        <v>0</v>
      </c>
      <c r="Y673" s="897"/>
      <c r="Z673" s="528"/>
      <c r="AA673" s="899"/>
      <c r="AB673" s="899"/>
      <c r="AC673" s="899"/>
      <c r="AD673" s="901"/>
      <c r="AE673" s="2"/>
      <c r="AF673" s="885"/>
      <c r="AG673" s="885"/>
      <c r="AH673" s="885"/>
      <c r="AI673" s="885"/>
      <c r="AJ673" s="885"/>
      <c r="AK673" s="885"/>
      <c r="AL673" s="885"/>
      <c r="AM673" s="879"/>
      <c r="AN673" s="2"/>
      <c r="AO673" s="886"/>
      <c r="AP673" s="886"/>
      <c r="AV673" t="str">
        <f t="shared" si="2339"/>
        <v xml:space="preserve">Aterro e compactação </v>
      </c>
      <c r="AW673" s="4" t="str">
        <f t="shared" si="2338"/>
        <v xml:space="preserve">   Camada Final de Aterro (PN a 100%) - Seg.2.4 CA 01</v>
      </c>
    </row>
    <row r="674" spans="1:49" ht="15.6" customHeight="1" outlineLevel="2">
      <c r="A674" s="545" t="str">
        <f t="shared" ref="A674" si="2439">IF(SUM(P674:V675)&gt;0,"S","N")</f>
        <v>N</v>
      </c>
      <c r="B674" s="526">
        <v>1065405</v>
      </c>
      <c r="C674" s="526" t="s">
        <v>996</v>
      </c>
      <c r="D674" s="527" t="s">
        <v>997</v>
      </c>
      <c r="E674" s="892" t="s">
        <v>998</v>
      </c>
      <c r="F674" s="894" t="s">
        <v>36</v>
      </c>
      <c r="G674" s="528"/>
      <c r="H674" s="546" t="s">
        <v>37</v>
      </c>
      <c r="I674" s="711">
        <v>0</v>
      </c>
      <c r="J674" s="896" t="str">
        <f t="shared" ref="J674" si="2440">IFERROR((I675/I674),"-")</f>
        <v>-</v>
      </c>
      <c r="K674" s="528"/>
      <c r="L674" s="546" t="s">
        <v>37</v>
      </c>
      <c r="M674" s="711">
        <f t="shared" si="2350"/>
        <v>0</v>
      </c>
      <c r="N674" s="896" t="str">
        <f t="shared" ref="N674" si="2441">IFERROR((M675/M674),"-")</f>
        <v>-</v>
      </c>
      <c r="O674" s="528"/>
      <c r="P674" s="547">
        <v>0</v>
      </c>
      <c r="Q674" s="547">
        <v>0</v>
      </c>
      <c r="R674" s="547">
        <v>0</v>
      </c>
      <c r="S674" s="547">
        <v>0</v>
      </c>
      <c r="T674" s="547">
        <v>0</v>
      </c>
      <c r="U674" s="547">
        <v>0</v>
      </c>
      <c r="V674" s="547">
        <v>0</v>
      </c>
      <c r="W674" s="528"/>
      <c r="X674" s="711">
        <f t="shared" si="2341"/>
        <v>0</v>
      </c>
      <c r="Y674" s="896" t="str">
        <f t="shared" ref="Y674" si="2442">IFERROR((X675/X674),"0")</f>
        <v>0</v>
      </c>
      <c r="Z674" s="528"/>
      <c r="AA674" s="898">
        <v>726</v>
      </c>
      <c r="AB674" s="898">
        <v>0</v>
      </c>
      <c r="AC674" s="898">
        <v>0</v>
      </c>
      <c r="AD674" s="900" t="str">
        <f t="shared" ref="AD674" si="2443">IFERROR((AC674/AB674),"-")</f>
        <v>-</v>
      </c>
      <c r="AE674" s="2"/>
      <c r="AF674" s="884">
        <v>0</v>
      </c>
      <c r="AG674" s="884"/>
      <c r="AH674" s="884">
        <v>0</v>
      </c>
      <c r="AI674" s="884"/>
      <c r="AJ674" s="884"/>
      <c r="AK674" s="884">
        <f t="shared" ref="AK674" si="2444">AF674+AG674+AH674+AI674+AJ674+AC674</f>
        <v>0</v>
      </c>
      <c r="AL674" s="884">
        <v>0</v>
      </c>
      <c r="AM674" s="878" t="str">
        <f t="shared" ref="AM674" si="2445">IFERROR((AK674/AL674),"-")</f>
        <v>-</v>
      </c>
      <c r="AN674" s="2"/>
      <c r="AO674" s="884">
        <v>726</v>
      </c>
      <c r="AP674" s="884">
        <f t="shared" ref="AP674" si="2446">AO674-AK674</f>
        <v>726</v>
      </c>
      <c r="AV674" t="str">
        <f t="shared" si="2339"/>
        <v xml:space="preserve">Aterro e compactação </v>
      </c>
      <c r="AW674" s="4" t="str">
        <f t="shared" si="2338"/>
        <v xml:space="preserve">   Camada Final de Aterro (PN a 100%) - Seg.2.4 CA 02</v>
      </c>
    </row>
    <row r="675" spans="1:49" ht="15.6" customHeight="1" outlineLevel="2">
      <c r="A675" s="545" t="str">
        <f t="shared" ref="A675" si="2447">A674</f>
        <v>N</v>
      </c>
      <c r="B675" s="526"/>
      <c r="C675" s="526" t="s">
        <v>996</v>
      </c>
      <c r="D675" s="527" t="s">
        <v>997</v>
      </c>
      <c r="E675" s="893"/>
      <c r="F675" s="895"/>
      <c r="G675" s="528"/>
      <c r="H675" s="549" t="s">
        <v>38</v>
      </c>
      <c r="I675" s="711">
        <v>0</v>
      </c>
      <c r="J675" s="897"/>
      <c r="K675" s="528"/>
      <c r="L675" s="549" t="s">
        <v>38</v>
      </c>
      <c r="M675" s="711">
        <f t="shared" si="2350"/>
        <v>0</v>
      </c>
      <c r="N675" s="897"/>
      <c r="O675" s="528"/>
      <c r="P675" s="547">
        <v>0</v>
      </c>
      <c r="Q675" s="547">
        <v>0</v>
      </c>
      <c r="R675" s="547">
        <v>0</v>
      </c>
      <c r="S675" s="547">
        <v>0</v>
      </c>
      <c r="T675" s="547">
        <v>0</v>
      </c>
      <c r="U675" s="547">
        <v>0</v>
      </c>
      <c r="V675" s="547">
        <v>0</v>
      </c>
      <c r="W675" s="528"/>
      <c r="X675" s="711">
        <f t="shared" si="2341"/>
        <v>0</v>
      </c>
      <c r="Y675" s="897"/>
      <c r="Z675" s="528"/>
      <c r="AA675" s="899"/>
      <c r="AB675" s="899"/>
      <c r="AC675" s="899"/>
      <c r="AD675" s="901"/>
      <c r="AE675" s="2"/>
      <c r="AF675" s="885"/>
      <c r="AG675" s="885"/>
      <c r="AH675" s="885"/>
      <c r="AI675" s="885"/>
      <c r="AJ675" s="885"/>
      <c r="AK675" s="885"/>
      <c r="AL675" s="885"/>
      <c r="AM675" s="879"/>
      <c r="AN675" s="2"/>
      <c r="AO675" s="886"/>
      <c r="AP675" s="886"/>
      <c r="AV675" t="str">
        <f t="shared" si="2339"/>
        <v xml:space="preserve">Aterro e compactação </v>
      </c>
      <c r="AW675" s="4" t="str">
        <f t="shared" si="2338"/>
        <v xml:space="preserve">   Camada Final de Aterro (PN a 100%) - Seg.2.4 CA 02</v>
      </c>
    </row>
    <row r="676" spans="1:49" ht="15.6" customHeight="1" outlineLevel="2">
      <c r="A676" s="545" t="str">
        <f t="shared" ref="A676" si="2448">IF(SUM(P676:V677)&gt;0,"S","N")</f>
        <v>N</v>
      </c>
      <c r="B676" s="526">
        <v>1065407</v>
      </c>
      <c r="C676" s="526" t="s">
        <v>999</v>
      </c>
      <c r="D676" s="527" t="s">
        <v>1000</v>
      </c>
      <c r="E676" s="892" t="s">
        <v>1001</v>
      </c>
      <c r="F676" s="894" t="s">
        <v>36</v>
      </c>
      <c r="G676" s="528"/>
      <c r="H676" s="546" t="s">
        <v>37</v>
      </c>
      <c r="I676" s="711">
        <v>0</v>
      </c>
      <c r="J676" s="896" t="str">
        <f t="shared" ref="J676" si="2449">IFERROR((I677/I676),"-")</f>
        <v>-</v>
      </c>
      <c r="K676" s="528"/>
      <c r="L676" s="546" t="s">
        <v>37</v>
      </c>
      <c r="M676" s="711">
        <f t="shared" si="2350"/>
        <v>0</v>
      </c>
      <c r="N676" s="896" t="str">
        <f t="shared" ref="N676" si="2450">IFERROR((M677/M676),"-")</f>
        <v>-</v>
      </c>
      <c r="O676" s="528"/>
      <c r="P676" s="547">
        <v>0</v>
      </c>
      <c r="Q676" s="547">
        <v>0</v>
      </c>
      <c r="R676" s="547">
        <v>0</v>
      </c>
      <c r="S676" s="547">
        <v>0</v>
      </c>
      <c r="T676" s="547">
        <v>0</v>
      </c>
      <c r="U676" s="547">
        <v>0</v>
      </c>
      <c r="V676" s="547">
        <v>0</v>
      </c>
      <c r="W676" s="528"/>
      <c r="X676" s="711">
        <f t="shared" si="2341"/>
        <v>0</v>
      </c>
      <c r="Y676" s="896" t="str">
        <f t="shared" ref="Y676" si="2451">IFERROR((X677/X676),"0")</f>
        <v>0</v>
      </c>
      <c r="Z676" s="528"/>
      <c r="AA676" s="898">
        <v>457.88</v>
      </c>
      <c r="AB676" s="898">
        <v>0</v>
      </c>
      <c r="AC676" s="898">
        <v>0</v>
      </c>
      <c r="AD676" s="900" t="str">
        <f t="shared" ref="AD676" si="2452">IFERROR((AC676/AB676),"-")</f>
        <v>-</v>
      </c>
      <c r="AE676" s="2"/>
      <c r="AF676" s="884">
        <v>0</v>
      </c>
      <c r="AG676" s="884"/>
      <c r="AH676" s="884">
        <v>0</v>
      </c>
      <c r="AI676" s="884"/>
      <c r="AJ676" s="884"/>
      <c r="AK676" s="884">
        <f t="shared" ref="AK676" si="2453">AF676+AG676+AH676+AI676+AJ676+AC676</f>
        <v>0</v>
      </c>
      <c r="AL676" s="884">
        <v>0</v>
      </c>
      <c r="AM676" s="878" t="str">
        <f t="shared" ref="AM676" si="2454">IFERROR((AK676/AL676),"-")</f>
        <v>-</v>
      </c>
      <c r="AN676" s="2"/>
      <c r="AO676" s="884">
        <v>870</v>
      </c>
      <c r="AP676" s="884">
        <f t="shared" ref="AP676" si="2455">AO676-AK676</f>
        <v>870</v>
      </c>
      <c r="AV676" t="str">
        <f t="shared" si="2339"/>
        <v xml:space="preserve">Aterro e compactação </v>
      </c>
      <c r="AW676" s="4" t="str">
        <f t="shared" si="2338"/>
        <v xml:space="preserve">   Camada Final de Aterro (PN a 100%) - Seg.2.4 CA 03</v>
      </c>
    </row>
    <row r="677" spans="1:49" ht="15.6" customHeight="1" outlineLevel="2">
      <c r="A677" s="545" t="str">
        <f t="shared" ref="A677" si="2456">A676</f>
        <v>N</v>
      </c>
      <c r="B677" s="526"/>
      <c r="C677" s="526" t="s">
        <v>999</v>
      </c>
      <c r="D677" s="527" t="s">
        <v>1000</v>
      </c>
      <c r="E677" s="893"/>
      <c r="F677" s="895"/>
      <c r="G677" s="528"/>
      <c r="H677" s="549" t="s">
        <v>38</v>
      </c>
      <c r="I677" s="711">
        <v>0</v>
      </c>
      <c r="J677" s="897"/>
      <c r="K677" s="528"/>
      <c r="L677" s="549" t="s">
        <v>38</v>
      </c>
      <c r="M677" s="711">
        <f t="shared" si="2350"/>
        <v>0</v>
      </c>
      <c r="N677" s="897"/>
      <c r="O677" s="528"/>
      <c r="P677" s="547">
        <v>0</v>
      </c>
      <c r="Q677" s="547">
        <v>0</v>
      </c>
      <c r="R677" s="547">
        <v>0</v>
      </c>
      <c r="S677" s="547">
        <v>0</v>
      </c>
      <c r="T677" s="547">
        <v>0</v>
      </c>
      <c r="U677" s="547">
        <v>0</v>
      </c>
      <c r="V677" s="547">
        <v>0</v>
      </c>
      <c r="W677" s="528"/>
      <c r="X677" s="711">
        <f t="shared" si="2341"/>
        <v>0</v>
      </c>
      <c r="Y677" s="897"/>
      <c r="Z677" s="528"/>
      <c r="AA677" s="899"/>
      <c r="AB677" s="899"/>
      <c r="AC677" s="899"/>
      <c r="AD677" s="901"/>
      <c r="AE677" s="2"/>
      <c r="AF677" s="885"/>
      <c r="AG677" s="885"/>
      <c r="AH677" s="885"/>
      <c r="AI677" s="885"/>
      <c r="AJ677" s="885"/>
      <c r="AK677" s="885"/>
      <c r="AL677" s="885"/>
      <c r="AM677" s="879"/>
      <c r="AN677" s="2"/>
      <c r="AO677" s="886"/>
      <c r="AP677" s="886"/>
      <c r="AV677" t="str">
        <f t="shared" si="2339"/>
        <v xml:space="preserve">Aterro e compactação </v>
      </c>
      <c r="AW677" s="4" t="str">
        <f t="shared" si="2338"/>
        <v xml:space="preserve">   Camada Final de Aterro (PN a 100%) - Seg.2.4 CA 03</v>
      </c>
    </row>
    <row r="678" spans="1:49" ht="15.6" customHeight="1" outlineLevel="2">
      <c r="A678" s="545" t="str">
        <f t="shared" ref="A678" si="2457">IF(SUM(P678:V679)&gt;0,"S","N")</f>
        <v>N</v>
      </c>
      <c r="B678" s="526">
        <v>1065409</v>
      </c>
      <c r="C678" s="526" t="s">
        <v>1002</v>
      </c>
      <c r="D678" s="527" t="s">
        <v>1003</v>
      </c>
      <c r="E678" s="892" t="s">
        <v>1004</v>
      </c>
      <c r="F678" s="894" t="s">
        <v>36</v>
      </c>
      <c r="G678" s="528"/>
      <c r="H678" s="546" t="s">
        <v>37</v>
      </c>
      <c r="I678" s="711">
        <v>0</v>
      </c>
      <c r="J678" s="896" t="str">
        <f t="shared" ref="J678" si="2458">IFERROR((I679/I678),"-")</f>
        <v>-</v>
      </c>
      <c r="K678" s="528"/>
      <c r="L678" s="546" t="s">
        <v>37</v>
      </c>
      <c r="M678" s="711">
        <f t="shared" si="2350"/>
        <v>0</v>
      </c>
      <c r="N678" s="896" t="str">
        <f t="shared" ref="N678" si="2459">IFERROR((M679/M678),"-")</f>
        <v>-</v>
      </c>
      <c r="O678" s="528"/>
      <c r="P678" s="547">
        <v>0</v>
      </c>
      <c r="Q678" s="547">
        <v>0</v>
      </c>
      <c r="R678" s="547">
        <v>0</v>
      </c>
      <c r="S678" s="547">
        <v>0</v>
      </c>
      <c r="T678" s="547">
        <v>0</v>
      </c>
      <c r="U678" s="547">
        <v>0</v>
      </c>
      <c r="V678" s="547">
        <v>0</v>
      </c>
      <c r="W678" s="528"/>
      <c r="X678" s="711">
        <f t="shared" si="2341"/>
        <v>0</v>
      </c>
      <c r="Y678" s="896" t="str">
        <f t="shared" ref="Y678" si="2460">IFERROR((X679/X678),"0")</f>
        <v>0</v>
      </c>
      <c r="Z678" s="528"/>
      <c r="AA678" s="898">
        <v>311.45999999999998</v>
      </c>
      <c r="AB678" s="898">
        <v>0</v>
      </c>
      <c r="AC678" s="898">
        <v>0</v>
      </c>
      <c r="AD678" s="900" t="str">
        <f t="shared" ref="AD678" si="2461">IFERROR((AC678/AB678),"-")</f>
        <v>-</v>
      </c>
      <c r="AE678" s="2"/>
      <c r="AF678" s="884">
        <v>0</v>
      </c>
      <c r="AG678" s="884"/>
      <c r="AH678" s="884">
        <v>0</v>
      </c>
      <c r="AI678" s="884"/>
      <c r="AJ678" s="884"/>
      <c r="AK678" s="884">
        <f t="shared" ref="AK678" si="2462">AF678+AG678+AH678+AI678+AJ678+AC678</f>
        <v>0</v>
      </c>
      <c r="AL678" s="884">
        <v>0</v>
      </c>
      <c r="AM678" s="878" t="str">
        <f t="shared" ref="AM678" si="2463">IFERROR((AK678/AL678),"-")</f>
        <v>-</v>
      </c>
      <c r="AN678" s="2"/>
      <c r="AO678" s="884">
        <v>522</v>
      </c>
      <c r="AP678" s="884">
        <f t="shared" ref="AP678" si="2464">AO678-AK678</f>
        <v>522</v>
      </c>
      <c r="AV678" t="str">
        <f t="shared" si="2339"/>
        <v xml:space="preserve">Aterro e compactação </v>
      </c>
      <c r="AW678" s="4" t="str">
        <f t="shared" si="2338"/>
        <v xml:space="preserve">   Camada Final de Aterro (PN a 100%) - Seg.2.4 CA 04</v>
      </c>
    </row>
    <row r="679" spans="1:49" ht="15.6" customHeight="1" outlineLevel="2">
      <c r="A679" s="545" t="str">
        <f t="shared" ref="A679" si="2465">A678</f>
        <v>N</v>
      </c>
      <c r="B679" s="526"/>
      <c r="C679" s="526" t="s">
        <v>1002</v>
      </c>
      <c r="D679" s="527" t="s">
        <v>1003</v>
      </c>
      <c r="E679" s="893"/>
      <c r="F679" s="895"/>
      <c r="G679" s="528"/>
      <c r="H679" s="549" t="s">
        <v>38</v>
      </c>
      <c r="I679" s="711">
        <v>0</v>
      </c>
      <c r="J679" s="897"/>
      <c r="K679" s="528"/>
      <c r="L679" s="549" t="s">
        <v>38</v>
      </c>
      <c r="M679" s="711">
        <f t="shared" si="2350"/>
        <v>0</v>
      </c>
      <c r="N679" s="897"/>
      <c r="O679" s="528"/>
      <c r="P679" s="547">
        <v>0</v>
      </c>
      <c r="Q679" s="547">
        <v>0</v>
      </c>
      <c r="R679" s="547">
        <v>0</v>
      </c>
      <c r="S679" s="547">
        <v>0</v>
      </c>
      <c r="T679" s="547">
        <v>0</v>
      </c>
      <c r="U679" s="547">
        <v>0</v>
      </c>
      <c r="V679" s="547">
        <v>0</v>
      </c>
      <c r="W679" s="528"/>
      <c r="X679" s="711">
        <f t="shared" si="2341"/>
        <v>0</v>
      </c>
      <c r="Y679" s="897"/>
      <c r="Z679" s="528"/>
      <c r="AA679" s="899"/>
      <c r="AB679" s="899"/>
      <c r="AC679" s="899"/>
      <c r="AD679" s="901"/>
      <c r="AE679" s="2"/>
      <c r="AF679" s="885"/>
      <c r="AG679" s="885"/>
      <c r="AH679" s="885"/>
      <c r="AI679" s="885"/>
      <c r="AJ679" s="885"/>
      <c r="AK679" s="885"/>
      <c r="AL679" s="885"/>
      <c r="AM679" s="879"/>
      <c r="AN679" s="2"/>
      <c r="AO679" s="886"/>
      <c r="AP679" s="886"/>
      <c r="AV679" t="str">
        <f t="shared" si="2339"/>
        <v xml:space="preserve">Aterro e compactação </v>
      </c>
      <c r="AW679" s="4" t="str">
        <f t="shared" si="2338"/>
        <v xml:space="preserve">   Camada Final de Aterro (PN a 100%) - Seg.2.4 CA 04</v>
      </c>
    </row>
    <row r="680" spans="1:49" ht="15.6" customHeight="1" outlineLevel="2">
      <c r="A680" s="545" t="str">
        <f t="shared" ref="A680" si="2466">IF(SUM(P680:V681)&gt;0,"S","N")</f>
        <v>N</v>
      </c>
      <c r="B680" s="526">
        <v>1065411</v>
      </c>
      <c r="C680" s="526" t="s">
        <v>1005</v>
      </c>
      <c r="D680" s="527" t="s">
        <v>1006</v>
      </c>
      <c r="E680" s="892" t="s">
        <v>1007</v>
      </c>
      <c r="F680" s="894" t="s">
        <v>36</v>
      </c>
      <c r="G680" s="528"/>
      <c r="H680" s="546" t="s">
        <v>37</v>
      </c>
      <c r="I680" s="711">
        <v>0</v>
      </c>
      <c r="J680" s="896" t="str">
        <f t="shared" ref="J680" si="2467">IFERROR((I681/I680),"-")</f>
        <v>-</v>
      </c>
      <c r="K680" s="528"/>
      <c r="L680" s="546" t="s">
        <v>37</v>
      </c>
      <c r="M680" s="711">
        <f t="shared" si="2350"/>
        <v>0</v>
      </c>
      <c r="N680" s="896" t="str">
        <f t="shared" ref="N680" si="2468">IFERROR((M681/M680),"-")</f>
        <v>-</v>
      </c>
      <c r="O680" s="528"/>
      <c r="P680" s="547">
        <v>0</v>
      </c>
      <c r="Q680" s="547">
        <v>0</v>
      </c>
      <c r="R680" s="547">
        <v>0</v>
      </c>
      <c r="S680" s="547">
        <v>0</v>
      </c>
      <c r="T680" s="547">
        <v>0</v>
      </c>
      <c r="U680" s="547">
        <v>0</v>
      </c>
      <c r="V680" s="547">
        <v>0</v>
      </c>
      <c r="W680" s="528"/>
      <c r="X680" s="711">
        <f t="shared" si="2341"/>
        <v>0</v>
      </c>
      <c r="Y680" s="896" t="str">
        <f t="shared" ref="Y680" si="2469">IFERROR((X681/X680),"0")</f>
        <v>0</v>
      </c>
      <c r="Z680" s="528"/>
      <c r="AA680" s="898">
        <v>0</v>
      </c>
      <c r="AB680" s="898">
        <v>21.459999999999997</v>
      </c>
      <c r="AC680" s="898">
        <v>0</v>
      </c>
      <c r="AD680" s="900">
        <f t="shared" ref="AD680" si="2470">IFERROR((AC680/AB680),"-")</f>
        <v>0</v>
      </c>
      <c r="AE680" s="2"/>
      <c r="AF680" s="884">
        <v>0</v>
      </c>
      <c r="AG680" s="884"/>
      <c r="AH680" s="884">
        <v>0</v>
      </c>
      <c r="AI680" s="884"/>
      <c r="AJ680" s="884"/>
      <c r="AK680" s="884">
        <f t="shared" ref="AK680" si="2471">AF680+AG680+AH680+AI680+AJ680+AC680</f>
        <v>0</v>
      </c>
      <c r="AL680" s="884">
        <v>21.459999999999997</v>
      </c>
      <c r="AM680" s="878">
        <f t="shared" ref="AM680" si="2472">IFERROR((AK680/AL680),"-")</f>
        <v>0</v>
      </c>
      <c r="AN680" s="2"/>
      <c r="AO680" s="884">
        <v>656</v>
      </c>
      <c r="AP680" s="884">
        <f t="shared" ref="AP680" si="2473">AO680-AK680</f>
        <v>656</v>
      </c>
      <c r="AV680" t="str">
        <f t="shared" si="2339"/>
        <v xml:space="preserve">Aterro e compactação </v>
      </c>
      <c r="AW680" s="4" t="str">
        <f t="shared" si="2338"/>
        <v xml:space="preserve">   Camada Final de Aterro (PN a 100%) - Seg.2.4 CA 05</v>
      </c>
    </row>
    <row r="681" spans="1:49" ht="15.6" customHeight="1" outlineLevel="2">
      <c r="A681" s="545" t="str">
        <f t="shared" ref="A681" si="2474">A680</f>
        <v>N</v>
      </c>
      <c r="B681" s="526"/>
      <c r="C681" s="526" t="s">
        <v>1005</v>
      </c>
      <c r="D681" s="527" t="s">
        <v>1006</v>
      </c>
      <c r="E681" s="893"/>
      <c r="F681" s="895"/>
      <c r="G681" s="528"/>
      <c r="H681" s="549" t="s">
        <v>38</v>
      </c>
      <c r="I681" s="711">
        <v>0</v>
      </c>
      <c r="J681" s="897"/>
      <c r="K681" s="528"/>
      <c r="L681" s="549" t="s">
        <v>38</v>
      </c>
      <c r="M681" s="711">
        <f t="shared" si="2350"/>
        <v>0</v>
      </c>
      <c r="N681" s="897"/>
      <c r="O681" s="528"/>
      <c r="P681" s="547">
        <v>0</v>
      </c>
      <c r="Q681" s="547">
        <v>0</v>
      </c>
      <c r="R681" s="547">
        <v>0</v>
      </c>
      <c r="S681" s="547">
        <v>0</v>
      </c>
      <c r="T681" s="547">
        <v>0</v>
      </c>
      <c r="U681" s="547">
        <v>0</v>
      </c>
      <c r="V681" s="547">
        <v>0</v>
      </c>
      <c r="W681" s="528"/>
      <c r="X681" s="711">
        <f t="shared" si="2341"/>
        <v>0</v>
      </c>
      <c r="Y681" s="897"/>
      <c r="Z681" s="528"/>
      <c r="AA681" s="899"/>
      <c r="AB681" s="899"/>
      <c r="AC681" s="899"/>
      <c r="AD681" s="901"/>
      <c r="AE681" s="2"/>
      <c r="AF681" s="885"/>
      <c r="AG681" s="885"/>
      <c r="AH681" s="885"/>
      <c r="AI681" s="885"/>
      <c r="AJ681" s="885"/>
      <c r="AK681" s="885"/>
      <c r="AL681" s="885"/>
      <c r="AM681" s="879"/>
      <c r="AN681" s="2"/>
      <c r="AO681" s="886"/>
      <c r="AP681" s="886"/>
      <c r="AV681" t="str">
        <f t="shared" si="2339"/>
        <v xml:space="preserve">Aterro e compactação </v>
      </c>
      <c r="AW681" s="4" t="str">
        <f t="shared" si="2338"/>
        <v xml:space="preserve">   Camada Final de Aterro (PN a 100%) - Seg.2.4 CA 05</v>
      </c>
    </row>
    <row r="682" spans="1:49" ht="15.6" customHeight="1" outlineLevel="2">
      <c r="A682" s="545" t="str">
        <f t="shared" ref="A682" si="2475">IF(SUM(P682:V683)&gt;0,"S","N")</f>
        <v>N</v>
      </c>
      <c r="B682" s="526">
        <v>1065413</v>
      </c>
      <c r="C682" s="526" t="s">
        <v>1008</v>
      </c>
      <c r="D682" s="527" t="s">
        <v>1009</v>
      </c>
      <c r="E682" s="892" t="s">
        <v>1010</v>
      </c>
      <c r="F682" s="894" t="s">
        <v>36</v>
      </c>
      <c r="G682" s="528"/>
      <c r="H682" s="546" t="s">
        <v>37</v>
      </c>
      <c r="I682" s="711">
        <v>0</v>
      </c>
      <c r="J682" s="896" t="str">
        <f t="shared" ref="J682" si="2476">IFERROR((I683/I682),"-")</f>
        <v>-</v>
      </c>
      <c r="K682" s="528"/>
      <c r="L682" s="546" t="s">
        <v>37</v>
      </c>
      <c r="M682" s="711">
        <f t="shared" si="2350"/>
        <v>0</v>
      </c>
      <c r="N682" s="896" t="str">
        <f t="shared" ref="N682" si="2477">IFERROR((M683/M682),"-")</f>
        <v>-</v>
      </c>
      <c r="O682" s="528"/>
      <c r="P682" s="547">
        <v>0</v>
      </c>
      <c r="Q682" s="547">
        <v>0</v>
      </c>
      <c r="R682" s="547">
        <v>0</v>
      </c>
      <c r="S682" s="547">
        <v>0</v>
      </c>
      <c r="T682" s="547">
        <v>0</v>
      </c>
      <c r="U682" s="547">
        <v>0</v>
      </c>
      <c r="V682" s="547">
        <v>0</v>
      </c>
      <c r="W682" s="528"/>
      <c r="X682" s="711">
        <f t="shared" si="2341"/>
        <v>0</v>
      </c>
      <c r="Y682" s="896" t="str">
        <f t="shared" ref="Y682" si="2478">IFERROR((X683/X682),"0")</f>
        <v>0</v>
      </c>
      <c r="Z682" s="528"/>
      <c r="AA682" s="898">
        <v>26269</v>
      </c>
      <c r="AB682" s="898">
        <v>0</v>
      </c>
      <c r="AC682" s="898">
        <v>0</v>
      </c>
      <c r="AD682" s="900" t="str">
        <f t="shared" ref="AD682" si="2479">IFERROR((AC682/AB682),"-")</f>
        <v>-</v>
      </c>
      <c r="AE682" s="2"/>
      <c r="AF682" s="884">
        <v>0</v>
      </c>
      <c r="AG682" s="884"/>
      <c r="AH682" s="884">
        <v>0</v>
      </c>
      <c r="AI682" s="884"/>
      <c r="AJ682" s="884"/>
      <c r="AK682" s="884">
        <f t="shared" ref="AK682" si="2480">AF682+AG682+AH682+AI682+AJ682+AC682</f>
        <v>0</v>
      </c>
      <c r="AL682" s="884">
        <v>0</v>
      </c>
      <c r="AM682" s="878" t="str">
        <f t="shared" ref="AM682" si="2481">IFERROR((AK682/AL682),"-")</f>
        <v>-</v>
      </c>
      <c r="AN682" s="2"/>
      <c r="AO682" s="884">
        <v>26269</v>
      </c>
      <c r="AP682" s="884">
        <f t="shared" ref="AP682" si="2482">AO682-AK682</f>
        <v>26269</v>
      </c>
      <c r="AV682" t="str">
        <f t="shared" si="2339"/>
        <v xml:space="preserve">Aterro e compactação </v>
      </c>
      <c r="AW682" s="4" t="str">
        <f t="shared" si="2338"/>
        <v xml:space="preserve">   Camada Final de Aterro (PN a 100%) - Seg.2.4 CA 06</v>
      </c>
    </row>
    <row r="683" spans="1:49" ht="15.6" customHeight="1" outlineLevel="2">
      <c r="A683" s="545" t="str">
        <f t="shared" ref="A683" si="2483">A682</f>
        <v>N</v>
      </c>
      <c r="B683" s="526"/>
      <c r="C683" s="526" t="s">
        <v>1008</v>
      </c>
      <c r="D683" s="527" t="s">
        <v>1009</v>
      </c>
      <c r="E683" s="893"/>
      <c r="F683" s="895"/>
      <c r="G683" s="528"/>
      <c r="H683" s="549" t="s">
        <v>38</v>
      </c>
      <c r="I683" s="711">
        <v>0</v>
      </c>
      <c r="J683" s="897"/>
      <c r="K683" s="528"/>
      <c r="L683" s="549" t="s">
        <v>38</v>
      </c>
      <c r="M683" s="711">
        <f t="shared" si="2350"/>
        <v>0</v>
      </c>
      <c r="N683" s="897"/>
      <c r="O683" s="528"/>
      <c r="P683" s="547">
        <v>0</v>
      </c>
      <c r="Q683" s="547">
        <v>0</v>
      </c>
      <c r="R683" s="547">
        <v>0</v>
      </c>
      <c r="S683" s="547">
        <v>0</v>
      </c>
      <c r="T683" s="547">
        <v>0</v>
      </c>
      <c r="U683" s="547">
        <v>0</v>
      </c>
      <c r="V683" s="547">
        <v>0</v>
      </c>
      <c r="W683" s="528"/>
      <c r="X683" s="711">
        <f t="shared" si="2341"/>
        <v>0</v>
      </c>
      <c r="Y683" s="897"/>
      <c r="Z683" s="528"/>
      <c r="AA683" s="899"/>
      <c r="AB683" s="899"/>
      <c r="AC683" s="899"/>
      <c r="AD683" s="901"/>
      <c r="AE683" s="2"/>
      <c r="AF683" s="885"/>
      <c r="AG683" s="885"/>
      <c r="AH683" s="885"/>
      <c r="AI683" s="885"/>
      <c r="AJ683" s="885"/>
      <c r="AK683" s="885"/>
      <c r="AL683" s="885"/>
      <c r="AM683" s="879"/>
      <c r="AN683" s="2"/>
      <c r="AO683" s="886"/>
      <c r="AP683" s="886"/>
      <c r="AV683" t="str">
        <f t="shared" si="2339"/>
        <v xml:space="preserve">Aterro e compactação </v>
      </c>
      <c r="AW683" s="4" t="str">
        <f t="shared" si="2338"/>
        <v xml:space="preserve">   Camada Final de Aterro (PN a 100%) - Seg.2.4 CA 06</v>
      </c>
    </row>
    <row r="684" spans="1:49" ht="15.6" customHeight="1" outlineLevel="2">
      <c r="A684" s="545" t="str">
        <f t="shared" ref="A684" si="2484">IF(SUM(P684:V685)&gt;0,"S","N")</f>
        <v>N</v>
      </c>
      <c r="B684" s="526">
        <v>1070052</v>
      </c>
      <c r="C684" s="526" t="s">
        <v>1011</v>
      </c>
      <c r="D684" s="527" t="s">
        <v>1012</v>
      </c>
      <c r="E684" s="892" t="s">
        <v>1013</v>
      </c>
      <c r="F684" s="894" t="s">
        <v>36</v>
      </c>
      <c r="G684" s="528"/>
      <c r="H684" s="546" t="s">
        <v>37</v>
      </c>
      <c r="I684" s="711">
        <v>0</v>
      </c>
      <c r="J684" s="896" t="str">
        <f t="shared" ref="J684" si="2485">IFERROR((I685/I684),"-")</f>
        <v>-</v>
      </c>
      <c r="K684" s="528"/>
      <c r="L684" s="546" t="s">
        <v>37</v>
      </c>
      <c r="M684" s="711">
        <f t="shared" si="2350"/>
        <v>0</v>
      </c>
      <c r="N684" s="896" t="str">
        <f t="shared" ref="N684" si="2486">IFERROR((M685/M684),"-")</f>
        <v>-</v>
      </c>
      <c r="O684" s="528"/>
      <c r="P684" s="547">
        <v>0</v>
      </c>
      <c r="Q684" s="547">
        <v>0</v>
      </c>
      <c r="R684" s="547">
        <v>0</v>
      </c>
      <c r="S684" s="547">
        <v>0</v>
      </c>
      <c r="T684" s="547">
        <v>0</v>
      </c>
      <c r="U684" s="547">
        <v>0</v>
      </c>
      <c r="V684" s="547">
        <v>0</v>
      </c>
      <c r="W684" s="528"/>
      <c r="X684" s="711">
        <f t="shared" si="2341"/>
        <v>0</v>
      </c>
      <c r="Y684" s="896" t="str">
        <f t="shared" ref="Y684" si="2487">IFERROR((X685/X684),"0")</f>
        <v>0</v>
      </c>
      <c r="Z684" s="528"/>
      <c r="AA684" s="898">
        <v>0</v>
      </c>
      <c r="AB684" s="898">
        <v>0</v>
      </c>
      <c r="AC684" s="898">
        <v>0</v>
      </c>
      <c r="AD684" s="900" t="str">
        <f t="shared" ref="AD684" si="2488">IFERROR((AC684/AB684),"-")</f>
        <v>-</v>
      </c>
      <c r="AE684" s="2"/>
      <c r="AF684" s="886">
        <v>27847</v>
      </c>
      <c r="AG684" s="884"/>
      <c r="AH684" s="884">
        <v>0</v>
      </c>
      <c r="AI684" s="884"/>
      <c r="AJ684" s="884"/>
      <c r="AK684" s="884">
        <f t="shared" ref="AK684" si="2489">AF684+AG684+AH684+AI684+AJ684+AC684</f>
        <v>27847</v>
      </c>
      <c r="AL684" s="884">
        <v>22038.46000000001</v>
      </c>
      <c r="AM684" s="878">
        <f t="shared" ref="AM684" si="2490">IFERROR((AK684/AL684),"-")</f>
        <v>1.2635637880323756</v>
      </c>
      <c r="AN684" s="2"/>
      <c r="AO684" s="884">
        <v>22038.48</v>
      </c>
      <c r="AP684" s="884">
        <f t="shared" ref="AP684" si="2491">AO684-AK684</f>
        <v>-5808.52</v>
      </c>
      <c r="AV684" t="str">
        <f t="shared" si="2339"/>
        <v xml:space="preserve">Aterro e compactação </v>
      </c>
      <c r="AW684" s="4" t="str">
        <f t="shared" si="2338"/>
        <v xml:space="preserve">   Tratamento 1ª Camada Pós CCA - Pacotes 04 e 05</v>
      </c>
    </row>
    <row r="685" spans="1:49" ht="15.6" customHeight="1" outlineLevel="2">
      <c r="A685" s="545" t="str">
        <f t="shared" ref="A685" si="2492">A684</f>
        <v>N</v>
      </c>
      <c r="B685" s="526"/>
      <c r="C685" s="526"/>
      <c r="D685" s="527" t="s">
        <v>1012</v>
      </c>
      <c r="E685" s="893"/>
      <c r="F685" s="895"/>
      <c r="G685" s="528"/>
      <c r="H685" s="549" t="s">
        <v>38</v>
      </c>
      <c r="I685" s="711">
        <v>0</v>
      </c>
      <c r="J685" s="897"/>
      <c r="K685" s="528"/>
      <c r="L685" s="549" t="s">
        <v>38</v>
      </c>
      <c r="M685" s="711">
        <f t="shared" si="2350"/>
        <v>0</v>
      </c>
      <c r="N685" s="897"/>
      <c r="O685" s="528"/>
      <c r="P685" s="547">
        <v>0</v>
      </c>
      <c r="Q685" s="547">
        <v>0</v>
      </c>
      <c r="R685" s="547">
        <v>0</v>
      </c>
      <c r="S685" s="547">
        <v>0</v>
      </c>
      <c r="T685" s="547">
        <v>0</v>
      </c>
      <c r="U685" s="547">
        <v>0</v>
      </c>
      <c r="V685" s="547">
        <v>0</v>
      </c>
      <c r="W685" s="528"/>
      <c r="X685" s="711">
        <f t="shared" si="2341"/>
        <v>0</v>
      </c>
      <c r="Y685" s="897"/>
      <c r="Z685" s="528"/>
      <c r="AA685" s="899"/>
      <c r="AB685" s="899"/>
      <c r="AC685" s="899"/>
      <c r="AD685" s="901"/>
      <c r="AE685" s="2"/>
      <c r="AF685" s="926"/>
      <c r="AG685" s="885"/>
      <c r="AH685" s="885"/>
      <c r="AI685" s="885"/>
      <c r="AJ685" s="885"/>
      <c r="AK685" s="885"/>
      <c r="AL685" s="885"/>
      <c r="AM685" s="879"/>
      <c r="AN685" s="2"/>
      <c r="AO685" s="886"/>
      <c r="AP685" s="886"/>
      <c r="AV685" t="str">
        <f t="shared" si="2339"/>
        <v xml:space="preserve">Aterro e compactação </v>
      </c>
      <c r="AW685" s="4" t="str">
        <f t="shared" si="2338"/>
        <v xml:space="preserve">   Tratamento 1ª Camada Pós CCA - Pacotes 04 e 05</v>
      </c>
    </row>
    <row r="686" spans="1:49" ht="15.6" customHeight="1" outlineLevel="2">
      <c r="A686" s="545" t="str">
        <f t="shared" ref="A686" si="2493">IF(SUM(P686:V687)&gt;0,"S","N")</f>
        <v>N</v>
      </c>
      <c r="B686" s="526">
        <v>1070055</v>
      </c>
      <c r="C686" s="526" t="s">
        <v>1014</v>
      </c>
      <c r="D686" s="527" t="s">
        <v>1015</v>
      </c>
      <c r="E686" s="892" t="s">
        <v>1016</v>
      </c>
      <c r="F686" s="894" t="s">
        <v>36</v>
      </c>
      <c r="G686" s="528"/>
      <c r="H686" s="546" t="s">
        <v>37</v>
      </c>
      <c r="I686" s="711">
        <v>0</v>
      </c>
      <c r="J686" s="896" t="str">
        <f t="shared" ref="J686" si="2494">IFERROR((I687/I686),"-")</f>
        <v>-</v>
      </c>
      <c r="K686" s="528"/>
      <c r="L686" s="546" t="s">
        <v>37</v>
      </c>
      <c r="M686" s="711">
        <f t="shared" si="2350"/>
        <v>0</v>
      </c>
      <c r="N686" s="896" t="str">
        <f t="shared" ref="N686" si="2495">IFERROR((M687/M686),"-")</f>
        <v>-</v>
      </c>
      <c r="O686" s="528"/>
      <c r="P686" s="547">
        <v>0</v>
      </c>
      <c r="Q686" s="547">
        <v>0</v>
      </c>
      <c r="R686" s="547">
        <v>0</v>
      </c>
      <c r="S686" s="547">
        <v>0</v>
      </c>
      <c r="T686" s="547">
        <v>0</v>
      </c>
      <c r="U686" s="547">
        <v>0</v>
      </c>
      <c r="V686" s="547">
        <v>0</v>
      </c>
      <c r="W686" s="528"/>
      <c r="X686" s="711">
        <f t="shared" si="2341"/>
        <v>0</v>
      </c>
      <c r="Y686" s="896" t="str">
        <f t="shared" ref="Y686" si="2496">IFERROR((X687/X686),"0")</f>
        <v>0</v>
      </c>
      <c r="Z686" s="528"/>
      <c r="AA686" s="898">
        <v>59730.97</v>
      </c>
      <c r="AB686" s="898">
        <v>13373.49</v>
      </c>
      <c r="AC686" s="898">
        <v>0</v>
      </c>
      <c r="AD686" s="900">
        <f t="shared" ref="AD686" si="2497">IFERROR((AC686/AB686),"-")</f>
        <v>0</v>
      </c>
      <c r="AE686" s="2"/>
      <c r="AF686" s="884">
        <v>0</v>
      </c>
      <c r="AG686" s="884"/>
      <c r="AH686" s="884">
        <v>0</v>
      </c>
      <c r="AI686" s="884"/>
      <c r="AJ686" s="884"/>
      <c r="AK686" s="884">
        <f t="shared" ref="AK686" si="2498">AF686+AG686+AH686+AI686+AJ686+AC686</f>
        <v>0</v>
      </c>
      <c r="AL686" s="884">
        <v>13868.53</v>
      </c>
      <c r="AM686" s="878">
        <f t="shared" ref="AM686" si="2499">IFERROR((AK686/AL686),"-")</f>
        <v>0</v>
      </c>
      <c r="AN686" s="2"/>
      <c r="AO686" s="884">
        <v>165302.92000000001</v>
      </c>
      <c r="AP686" s="884">
        <f t="shared" ref="AP686" si="2500">AO686-AK686</f>
        <v>165302.92000000001</v>
      </c>
      <c r="AV686" t="str">
        <f t="shared" si="2339"/>
        <v xml:space="preserve">Aterro e compactação </v>
      </c>
      <c r="AW686" s="4" t="str">
        <f t="shared" si="2338"/>
        <v xml:space="preserve">   Camada Final de Aterro (PN a 100%) - Reforço de cortes - Pacotes 04 e 05</v>
      </c>
    </row>
    <row r="687" spans="1:49" ht="15.6" customHeight="1" outlineLevel="2">
      <c r="A687" s="545" t="str">
        <f t="shared" ref="A687" si="2501">A686</f>
        <v>N</v>
      </c>
      <c r="B687" s="526"/>
      <c r="C687" s="526"/>
      <c r="D687" s="527" t="s">
        <v>1015</v>
      </c>
      <c r="E687" s="893"/>
      <c r="F687" s="895"/>
      <c r="G687" s="528"/>
      <c r="H687" s="549" t="s">
        <v>38</v>
      </c>
      <c r="I687" s="711">
        <v>0</v>
      </c>
      <c r="J687" s="897"/>
      <c r="K687" s="528"/>
      <c r="L687" s="549" t="s">
        <v>38</v>
      </c>
      <c r="M687" s="711">
        <f t="shared" si="2350"/>
        <v>0</v>
      </c>
      <c r="N687" s="897"/>
      <c r="O687" s="528"/>
      <c r="P687" s="547">
        <v>0</v>
      </c>
      <c r="Q687" s="547">
        <v>0</v>
      </c>
      <c r="R687" s="547">
        <v>0</v>
      </c>
      <c r="S687" s="547">
        <v>0</v>
      </c>
      <c r="T687" s="547">
        <v>0</v>
      </c>
      <c r="U687" s="547">
        <v>0</v>
      </c>
      <c r="V687" s="547">
        <v>0</v>
      </c>
      <c r="W687" s="528"/>
      <c r="X687" s="711">
        <f t="shared" si="2341"/>
        <v>0</v>
      </c>
      <c r="Y687" s="897"/>
      <c r="Z687" s="528"/>
      <c r="AA687" s="899"/>
      <c r="AB687" s="899"/>
      <c r="AC687" s="899"/>
      <c r="AD687" s="901"/>
      <c r="AE687" s="2"/>
      <c r="AF687" s="885"/>
      <c r="AG687" s="885"/>
      <c r="AH687" s="885"/>
      <c r="AI687" s="885"/>
      <c r="AJ687" s="885"/>
      <c r="AK687" s="885"/>
      <c r="AL687" s="885"/>
      <c r="AM687" s="879"/>
      <c r="AN687" s="2"/>
      <c r="AO687" s="886"/>
      <c r="AP687" s="886"/>
      <c r="AV687" t="str">
        <f t="shared" si="2339"/>
        <v xml:space="preserve">Aterro e compactação </v>
      </c>
      <c r="AW687" s="4" t="str">
        <f t="shared" si="2338"/>
        <v xml:space="preserve">   Camada Final de Aterro (PN a 100%) - Reforço de cortes - Pacotes 04 e 05</v>
      </c>
    </row>
    <row r="688" spans="1:49" ht="15.6" customHeight="1" outlineLevel="2">
      <c r="A688" s="545" t="str">
        <f t="shared" ref="A688" si="2502">IF(SUM(P688:V689)&gt;0,"S","N")</f>
        <v>S</v>
      </c>
      <c r="B688" s="526" t="s">
        <v>1017</v>
      </c>
      <c r="C688" s="526" t="s">
        <v>266</v>
      </c>
      <c r="D688" s="527" t="s">
        <v>1018</v>
      </c>
      <c r="E688" s="892" t="s">
        <v>1019</v>
      </c>
      <c r="F688" s="894" t="s">
        <v>36</v>
      </c>
      <c r="G688" s="528"/>
      <c r="H688" s="546" t="s">
        <v>37</v>
      </c>
      <c r="I688" s="711">
        <v>0</v>
      </c>
      <c r="J688" s="896" t="str">
        <f t="shared" ref="J688" si="2503">IFERROR((I689/I688),"-")</f>
        <v>-</v>
      </c>
      <c r="K688" s="528"/>
      <c r="L688" s="546" t="s">
        <v>37</v>
      </c>
      <c r="M688" s="711">
        <f t="shared" si="2350"/>
        <v>0</v>
      </c>
      <c r="N688" s="896" t="str">
        <f t="shared" ref="N688" si="2504">IFERROR((M689/M688),"-")</f>
        <v>-</v>
      </c>
      <c r="O688" s="528"/>
      <c r="P688" s="547">
        <v>0</v>
      </c>
      <c r="Q688" s="547">
        <v>0</v>
      </c>
      <c r="R688" s="547">
        <v>0</v>
      </c>
      <c r="S688" s="547">
        <v>0</v>
      </c>
      <c r="T688" s="547">
        <v>0</v>
      </c>
      <c r="U688" s="547">
        <v>0</v>
      </c>
      <c r="V688" s="547">
        <v>0</v>
      </c>
      <c r="W688" s="528"/>
      <c r="X688" s="711">
        <f t="shared" si="2341"/>
        <v>0</v>
      </c>
      <c r="Y688" s="896" t="str">
        <f t="shared" ref="Y688" si="2505">IFERROR((X689/X688),"0")</f>
        <v>0</v>
      </c>
      <c r="Z688" s="528"/>
      <c r="AA688" s="898">
        <v>0</v>
      </c>
      <c r="AB688" s="898">
        <v>0</v>
      </c>
      <c r="AC688" s="898">
        <v>366.4</v>
      </c>
      <c r="AD688" s="900" t="str">
        <f t="shared" ref="AD688" si="2506">IFERROR((AC688/AB688),"-")</f>
        <v>-</v>
      </c>
      <c r="AE688" s="2"/>
      <c r="AF688" s="884">
        <v>0</v>
      </c>
      <c r="AG688" s="884"/>
      <c r="AH688" s="884">
        <v>0</v>
      </c>
      <c r="AI688" s="884"/>
      <c r="AJ688" s="884"/>
      <c r="AK688" s="884">
        <f t="shared" ref="AK688" si="2507">AF688+AG688+AH688+AI688+AJ688+AC688</f>
        <v>366.4</v>
      </c>
      <c r="AL688" s="884">
        <v>0</v>
      </c>
      <c r="AM688" s="878" t="str">
        <f t="shared" ref="AM688" si="2508">IFERROR((AK688/AL688),"-")</f>
        <v>-</v>
      </c>
      <c r="AN688" s="2"/>
      <c r="AO688" s="884">
        <v>0</v>
      </c>
      <c r="AP688" s="884">
        <f t="shared" ref="AP688" si="2509">AO688-AK688</f>
        <v>-366.4</v>
      </c>
      <c r="AV688" t="str">
        <f t="shared" si="2339"/>
        <v xml:space="preserve">Aterro e compactação </v>
      </c>
      <c r="AW688" s="4" t="str">
        <f t="shared" si="2338"/>
        <v xml:space="preserve">   Camada Final de Aterro (PN a 100%) - Corte 04</v>
      </c>
    </row>
    <row r="689" spans="1:49" ht="15.6" customHeight="1" outlineLevel="2">
      <c r="A689" s="545" t="str">
        <f t="shared" ref="A689" si="2510">A688</f>
        <v>S</v>
      </c>
      <c r="B689" s="526" t="s">
        <v>1017</v>
      </c>
      <c r="C689" s="526" t="s">
        <v>266</v>
      </c>
      <c r="D689" s="527" t="s">
        <v>1018</v>
      </c>
      <c r="E689" s="893"/>
      <c r="F689" s="895"/>
      <c r="G689" s="528"/>
      <c r="H689" s="549" t="s">
        <v>38</v>
      </c>
      <c r="I689" s="711">
        <v>0</v>
      </c>
      <c r="J689" s="897"/>
      <c r="K689" s="528"/>
      <c r="L689" s="549" t="s">
        <v>38</v>
      </c>
      <c r="M689" s="711">
        <f t="shared" si="2350"/>
        <v>0</v>
      </c>
      <c r="N689" s="897"/>
      <c r="O689" s="528"/>
      <c r="P689" s="547">
        <v>366.4</v>
      </c>
      <c r="Q689" s="547">
        <v>0</v>
      </c>
      <c r="R689" s="547">
        <v>0</v>
      </c>
      <c r="S689" s="547">
        <v>0</v>
      </c>
      <c r="T689" s="547">
        <v>0</v>
      </c>
      <c r="U689" s="547">
        <v>0</v>
      </c>
      <c r="V689" s="547">
        <v>0</v>
      </c>
      <c r="W689" s="528"/>
      <c r="X689" s="711">
        <f t="shared" si="2341"/>
        <v>366.4</v>
      </c>
      <c r="Y689" s="897"/>
      <c r="Z689" s="528"/>
      <c r="AA689" s="899"/>
      <c r="AB689" s="899"/>
      <c r="AC689" s="899"/>
      <c r="AD689" s="901"/>
      <c r="AE689" s="2"/>
      <c r="AF689" s="885"/>
      <c r="AG689" s="885"/>
      <c r="AH689" s="885"/>
      <c r="AI689" s="885"/>
      <c r="AJ689" s="885"/>
      <c r="AK689" s="885"/>
      <c r="AL689" s="885"/>
      <c r="AM689" s="879"/>
      <c r="AN689" s="2"/>
      <c r="AO689" s="886"/>
      <c r="AP689" s="886"/>
      <c r="AV689" t="str">
        <f t="shared" si="2339"/>
        <v xml:space="preserve">Aterro e compactação </v>
      </c>
      <c r="AW689" s="4" t="str">
        <f t="shared" si="2338"/>
        <v xml:space="preserve">   Camada Final de Aterro (PN a 100%) - Corte 04</v>
      </c>
    </row>
    <row r="690" spans="1:49" ht="15.6" customHeight="1" outlineLevel="2">
      <c r="A690" s="545" t="str">
        <f t="shared" ref="A690" si="2511">IF(SUM(P690:V691)&gt;0,"S","N")</f>
        <v>N</v>
      </c>
      <c r="B690" s="526" t="s">
        <v>1017</v>
      </c>
      <c r="C690" s="526" t="s">
        <v>266</v>
      </c>
      <c r="D690" s="527" t="s">
        <v>1017</v>
      </c>
      <c r="E690" s="892" t="s">
        <v>1020</v>
      </c>
      <c r="F690" s="894" t="s">
        <v>36</v>
      </c>
      <c r="G690" s="528"/>
      <c r="H690" s="546" t="s">
        <v>37</v>
      </c>
      <c r="I690" s="711">
        <v>0</v>
      </c>
      <c r="J690" s="896" t="str">
        <f t="shared" ref="J690" si="2512">IFERROR((I691/I690),"-")</f>
        <v>-</v>
      </c>
      <c r="K690" s="528"/>
      <c r="L690" s="546" t="s">
        <v>37</v>
      </c>
      <c r="M690" s="711">
        <f t="shared" si="2350"/>
        <v>0</v>
      </c>
      <c r="N690" s="896" t="str">
        <f t="shared" ref="N690" si="2513">IFERROR((M691/M690),"-")</f>
        <v>-</v>
      </c>
      <c r="O690" s="528"/>
      <c r="P690" s="547">
        <v>0</v>
      </c>
      <c r="Q690" s="547">
        <v>0</v>
      </c>
      <c r="R690" s="547">
        <v>0</v>
      </c>
      <c r="S690" s="547">
        <v>0</v>
      </c>
      <c r="T690" s="547">
        <v>0</v>
      </c>
      <c r="U690" s="547">
        <v>0</v>
      </c>
      <c r="V690" s="547">
        <v>0</v>
      </c>
      <c r="W690" s="528"/>
      <c r="X690" s="711">
        <f t="shared" si="2341"/>
        <v>0</v>
      </c>
      <c r="Y690" s="896" t="str">
        <f t="shared" ref="Y690" si="2514">IFERROR((X691/X690),"0")</f>
        <v>0</v>
      </c>
      <c r="Z690" s="528"/>
      <c r="AA690" s="898">
        <v>0</v>
      </c>
      <c r="AB690" s="898">
        <v>0</v>
      </c>
      <c r="AC690" s="898">
        <v>0</v>
      </c>
      <c r="AD690" s="900" t="str">
        <f t="shared" ref="AD690" si="2515">IFERROR((AC690/AB690),"-")</f>
        <v>-</v>
      </c>
      <c r="AE690" s="2"/>
      <c r="AF690" s="884">
        <v>0</v>
      </c>
      <c r="AG690" s="884"/>
      <c r="AH690" s="884">
        <v>1502.24</v>
      </c>
      <c r="AI690" s="884"/>
      <c r="AJ690" s="884"/>
      <c r="AK690" s="884">
        <f t="shared" ref="AK690" si="2516">AF690+AG690+AH690+AI690+AJ690+AC690</f>
        <v>1502.24</v>
      </c>
      <c r="AL690" s="884">
        <v>0</v>
      </c>
      <c r="AM690" s="878" t="str">
        <f t="shared" ref="AM690" si="2517">IFERROR((AK690/AL690),"-")</f>
        <v>-</v>
      </c>
      <c r="AN690" s="2"/>
      <c r="AO690" s="884">
        <v>0</v>
      </c>
      <c r="AP690" s="884">
        <f t="shared" ref="AP690" si="2518">AO690-AK690</f>
        <v>-1502.24</v>
      </c>
      <c r="AV690" t="str">
        <f t="shared" si="2339"/>
        <v xml:space="preserve">Aterro e compactação </v>
      </c>
      <c r="AW690" s="4" t="str">
        <f t="shared" si="2338"/>
        <v xml:space="preserve">   Camada Final de Aterro (PN a 100%) - Corte 05</v>
      </c>
    </row>
    <row r="691" spans="1:49" ht="15.6" customHeight="1" outlineLevel="2">
      <c r="A691" s="545" t="str">
        <f t="shared" ref="A691" si="2519">A690</f>
        <v>N</v>
      </c>
      <c r="B691" s="526" t="s">
        <v>1017</v>
      </c>
      <c r="C691" s="526" t="s">
        <v>266</v>
      </c>
      <c r="D691" s="527" t="s">
        <v>1017</v>
      </c>
      <c r="E691" s="893"/>
      <c r="F691" s="895"/>
      <c r="G691" s="528"/>
      <c r="H691" s="549" t="s">
        <v>38</v>
      </c>
      <c r="I691" s="711">
        <v>0</v>
      </c>
      <c r="J691" s="897"/>
      <c r="K691" s="528"/>
      <c r="L691" s="549" t="s">
        <v>38</v>
      </c>
      <c r="M691" s="711">
        <f t="shared" si="2350"/>
        <v>0</v>
      </c>
      <c r="N691" s="897"/>
      <c r="O691" s="528"/>
      <c r="P691" s="547">
        <v>0</v>
      </c>
      <c r="Q691" s="547">
        <v>0</v>
      </c>
      <c r="R691" s="547">
        <v>0</v>
      </c>
      <c r="S691" s="547">
        <v>0</v>
      </c>
      <c r="T691" s="547">
        <v>0</v>
      </c>
      <c r="U691" s="547">
        <v>0</v>
      </c>
      <c r="V691" s="547">
        <v>0</v>
      </c>
      <c r="W691" s="528"/>
      <c r="X691" s="711">
        <f t="shared" si="2341"/>
        <v>0</v>
      </c>
      <c r="Y691" s="897"/>
      <c r="Z691" s="528"/>
      <c r="AA691" s="899"/>
      <c r="AB691" s="899"/>
      <c r="AC691" s="899"/>
      <c r="AD691" s="901"/>
      <c r="AE691" s="2"/>
      <c r="AF691" s="885"/>
      <c r="AG691" s="885"/>
      <c r="AH691" s="885"/>
      <c r="AI691" s="885"/>
      <c r="AJ691" s="885"/>
      <c r="AK691" s="885"/>
      <c r="AL691" s="885"/>
      <c r="AM691" s="879"/>
      <c r="AN691" s="2"/>
      <c r="AO691" s="886"/>
      <c r="AP691" s="886"/>
      <c r="AV691" t="str">
        <f t="shared" si="2339"/>
        <v xml:space="preserve">Aterro e compactação </v>
      </c>
      <c r="AW691" s="4" t="str">
        <f t="shared" si="2338"/>
        <v xml:space="preserve">   Camada Final de Aterro (PN a 100%) - Corte 05</v>
      </c>
    </row>
    <row r="692" spans="1:49" ht="15.6" customHeight="1" outlineLevel="2">
      <c r="A692" s="525" t="str">
        <f t="shared" ref="A692" si="2520">IF(SUM(P692:V693)&gt;0,"S","N")</f>
        <v>N</v>
      </c>
      <c r="B692" s="526">
        <v>1070049</v>
      </c>
      <c r="C692" s="526" t="s">
        <v>1021</v>
      </c>
      <c r="D692" s="527"/>
      <c r="E692" s="892" t="s">
        <v>1022</v>
      </c>
      <c r="F692" s="894" t="s">
        <v>36</v>
      </c>
      <c r="G692" s="528"/>
      <c r="H692" s="546" t="s">
        <v>37</v>
      </c>
      <c r="I692" s="711">
        <v>0</v>
      </c>
      <c r="J692" s="896" t="str">
        <f t="shared" ref="J692" si="2521">IFERROR((I693/I692),"-")</f>
        <v>-</v>
      </c>
      <c r="K692" s="528"/>
      <c r="L692" s="546" t="s">
        <v>37</v>
      </c>
      <c r="M692" s="711">
        <f t="shared" si="2350"/>
        <v>0</v>
      </c>
      <c r="N692" s="896" t="str">
        <f t="shared" ref="N692" si="2522">IFERROR((M693/M692),"-")</f>
        <v>-</v>
      </c>
      <c r="O692" s="528"/>
      <c r="P692" s="547">
        <v>0</v>
      </c>
      <c r="Q692" s="547">
        <v>0</v>
      </c>
      <c r="R692" s="547">
        <v>0</v>
      </c>
      <c r="S692" s="547">
        <v>0</v>
      </c>
      <c r="T692" s="547">
        <v>0</v>
      </c>
      <c r="U692" s="547">
        <v>0</v>
      </c>
      <c r="V692" s="547">
        <v>0</v>
      </c>
      <c r="W692" s="528"/>
      <c r="X692" s="711">
        <f t="shared" si="2341"/>
        <v>0</v>
      </c>
      <c r="Y692" s="896" t="str">
        <f t="shared" ref="Y692" si="2523">IFERROR((X693/X692),"0")</f>
        <v>0</v>
      </c>
      <c r="Z692" s="528"/>
      <c r="AA692" s="898">
        <v>0</v>
      </c>
      <c r="AB692" s="898">
        <v>0</v>
      </c>
      <c r="AC692" s="898">
        <v>0</v>
      </c>
      <c r="AD692" s="900" t="str">
        <f t="shared" ref="AD692" si="2524">IFERROR((AC692/AB692),"-")</f>
        <v>-</v>
      </c>
      <c r="AE692" s="2"/>
      <c r="AF692" s="884">
        <v>0</v>
      </c>
      <c r="AG692" s="884"/>
      <c r="AH692" s="884">
        <v>0</v>
      </c>
      <c r="AI692" s="884"/>
      <c r="AJ692" s="884"/>
      <c r="AK692" s="884">
        <f t="shared" ref="AK692" si="2525">AF692+AG692+AH692+AI692+AJ692+AC692</f>
        <v>0</v>
      </c>
      <c r="AL692" s="884">
        <v>0</v>
      </c>
      <c r="AM692" s="878" t="str">
        <f t="shared" ref="AM692" si="2526">IFERROR((AK692/AL692),"-")</f>
        <v>-</v>
      </c>
      <c r="AN692" s="2"/>
      <c r="AO692" s="884">
        <v>0</v>
      </c>
      <c r="AP692" s="884">
        <f t="shared" ref="AP692" si="2527">AO692-AK692</f>
        <v>0</v>
      </c>
      <c r="AV692" t="str">
        <f t="shared" si="2339"/>
        <v xml:space="preserve">Aterro e compactação </v>
      </c>
      <c r="AW692" s="4" t="str">
        <f t="shared" si="2338"/>
        <v xml:space="preserve">   Saldo remanescente seg.2.4 - Execução de aterro compactado (PN a 95%) - Corpo de aterro</v>
      </c>
    </row>
    <row r="693" spans="1:49" ht="15.6" customHeight="1" outlineLevel="2">
      <c r="A693" s="525" t="str">
        <f t="shared" ref="A693" si="2528">A692</f>
        <v>N</v>
      </c>
      <c r="B693" s="526" t="s">
        <v>266</v>
      </c>
      <c r="C693" s="526"/>
      <c r="D693" s="527"/>
      <c r="E693" s="893"/>
      <c r="F693" s="895"/>
      <c r="G693" s="528"/>
      <c r="H693" s="549" t="s">
        <v>38</v>
      </c>
      <c r="I693" s="711">
        <v>0</v>
      </c>
      <c r="J693" s="897"/>
      <c r="K693" s="528"/>
      <c r="L693" s="549" t="s">
        <v>38</v>
      </c>
      <c r="M693" s="711">
        <f t="shared" si="2350"/>
        <v>0</v>
      </c>
      <c r="N693" s="897"/>
      <c r="O693" s="528"/>
      <c r="P693" s="547">
        <v>0</v>
      </c>
      <c r="Q693" s="547">
        <v>0</v>
      </c>
      <c r="R693" s="547">
        <v>0</v>
      </c>
      <c r="S693" s="547">
        <v>0</v>
      </c>
      <c r="T693" s="547">
        <v>0</v>
      </c>
      <c r="U693" s="547">
        <v>0</v>
      </c>
      <c r="V693" s="547">
        <v>0</v>
      </c>
      <c r="W693" s="528"/>
      <c r="X693" s="711">
        <f t="shared" si="2341"/>
        <v>0</v>
      </c>
      <c r="Y693" s="897"/>
      <c r="Z693" s="528"/>
      <c r="AA693" s="899"/>
      <c r="AB693" s="899"/>
      <c r="AC693" s="899"/>
      <c r="AD693" s="901"/>
      <c r="AE693" s="2"/>
      <c r="AF693" s="885"/>
      <c r="AG693" s="885"/>
      <c r="AH693" s="885"/>
      <c r="AI693" s="885"/>
      <c r="AJ693" s="885"/>
      <c r="AK693" s="885"/>
      <c r="AL693" s="885"/>
      <c r="AM693" s="879"/>
      <c r="AN693" s="2"/>
      <c r="AO693" s="886"/>
      <c r="AP693" s="886"/>
      <c r="AV693" t="str">
        <f t="shared" si="2339"/>
        <v xml:space="preserve">Aterro e compactação </v>
      </c>
      <c r="AW693" s="4" t="str">
        <f t="shared" si="2338"/>
        <v xml:space="preserve">   Saldo remanescente seg.2.4 - Execução de aterro compactado (PN a 95%) - Corpo de aterro</v>
      </c>
    </row>
    <row r="694" spans="1:49" ht="15.6" customHeight="1" outlineLevel="2">
      <c r="A694" s="525" t="str">
        <f t="shared" ref="A694" si="2529">IF(SUM(P694:V695)&gt;0,"S","N")</f>
        <v>N</v>
      </c>
      <c r="B694" s="526" t="s">
        <v>266</v>
      </c>
      <c r="C694" s="526"/>
      <c r="D694" s="527"/>
      <c r="E694" s="892" t="s">
        <v>1023</v>
      </c>
      <c r="F694" s="894" t="s">
        <v>36</v>
      </c>
      <c r="G694" s="528"/>
      <c r="H694" s="546" t="s">
        <v>37</v>
      </c>
      <c r="I694" s="711">
        <v>0</v>
      </c>
      <c r="J694" s="896" t="str">
        <f t="shared" ref="J694" si="2530">IFERROR((I695/I694),"-")</f>
        <v>-</v>
      </c>
      <c r="K694" s="528"/>
      <c r="L694" s="546" t="s">
        <v>37</v>
      </c>
      <c r="M694" s="711">
        <f t="shared" si="2350"/>
        <v>0</v>
      </c>
      <c r="N694" s="896" t="str">
        <f t="shared" ref="N694" si="2531">IFERROR((M695/M694),"-")</f>
        <v>-</v>
      </c>
      <c r="O694" s="528"/>
      <c r="P694" s="547">
        <v>0</v>
      </c>
      <c r="Q694" s="547">
        <v>0</v>
      </c>
      <c r="R694" s="547">
        <v>0</v>
      </c>
      <c r="S694" s="547">
        <v>0</v>
      </c>
      <c r="T694" s="547">
        <v>0</v>
      </c>
      <c r="U694" s="547">
        <v>0</v>
      </c>
      <c r="V694" s="547">
        <v>0</v>
      </c>
      <c r="W694" s="528"/>
      <c r="X694" s="711">
        <f t="shared" si="2341"/>
        <v>0</v>
      </c>
      <c r="Y694" s="896" t="str">
        <f t="shared" ref="Y694" si="2532">IFERROR((X695/X694),"0")</f>
        <v>0</v>
      </c>
      <c r="Z694" s="528"/>
      <c r="AA694" s="898">
        <v>0</v>
      </c>
      <c r="AB694" s="898">
        <v>0</v>
      </c>
      <c r="AC694" s="898">
        <v>0</v>
      </c>
      <c r="AD694" s="900" t="str">
        <f t="shared" ref="AD694" si="2533">IFERROR((AC694/AB694),"-")</f>
        <v>-</v>
      </c>
      <c r="AE694" s="2"/>
      <c r="AF694" s="884">
        <v>0</v>
      </c>
      <c r="AG694" s="884"/>
      <c r="AH694" s="884">
        <v>0</v>
      </c>
      <c r="AI694" s="884"/>
      <c r="AJ694" s="884"/>
      <c r="AK694" s="884">
        <f t="shared" ref="AK694" si="2534">AF694+AG694+AH694+AI694+AJ694+AC694</f>
        <v>0</v>
      </c>
      <c r="AL694" s="884">
        <v>0</v>
      </c>
      <c r="AM694" s="878" t="str">
        <f t="shared" ref="AM694" si="2535">IFERROR((AK694/AL694),"-")</f>
        <v>-</v>
      </c>
      <c r="AN694" s="2"/>
      <c r="AO694" s="884">
        <v>0</v>
      </c>
      <c r="AP694" s="884">
        <f t="shared" ref="AP694" si="2536">AO694-AK694</f>
        <v>0</v>
      </c>
      <c r="AV694" t="str">
        <f t="shared" si="2339"/>
        <v xml:space="preserve">Aterro e compactação </v>
      </c>
      <c r="AW694" s="4" t="str">
        <f t="shared" si="2338"/>
        <v>Troca de solo - Aterro 01</v>
      </c>
    </row>
    <row r="695" spans="1:49" ht="15.6" customHeight="1" outlineLevel="2">
      <c r="A695" s="525" t="str">
        <f t="shared" ref="A695" si="2537">A694</f>
        <v>N</v>
      </c>
      <c r="B695" s="526" t="s">
        <v>266</v>
      </c>
      <c r="C695" s="526"/>
      <c r="D695" s="527" t="s">
        <v>1024</v>
      </c>
      <c r="E695" s="893"/>
      <c r="F695" s="895"/>
      <c r="G695" s="528"/>
      <c r="H695" s="549" t="s">
        <v>38</v>
      </c>
      <c r="I695" s="711">
        <v>0</v>
      </c>
      <c r="J695" s="897"/>
      <c r="K695" s="528"/>
      <c r="L695" s="549" t="s">
        <v>38</v>
      </c>
      <c r="M695" s="711">
        <f t="shared" si="2350"/>
        <v>0</v>
      </c>
      <c r="N695" s="897"/>
      <c r="O695" s="528"/>
      <c r="P695" s="547">
        <v>0</v>
      </c>
      <c r="Q695" s="547">
        <v>0</v>
      </c>
      <c r="R695" s="547">
        <v>0</v>
      </c>
      <c r="S695" s="547">
        <v>0</v>
      </c>
      <c r="T695" s="547">
        <v>0</v>
      </c>
      <c r="U695" s="547">
        <v>0</v>
      </c>
      <c r="V695" s="547">
        <v>0</v>
      </c>
      <c r="W695" s="528"/>
      <c r="X695" s="711">
        <f t="shared" si="2341"/>
        <v>0</v>
      </c>
      <c r="Y695" s="897"/>
      <c r="Z695" s="528"/>
      <c r="AA695" s="899"/>
      <c r="AB695" s="899"/>
      <c r="AC695" s="899"/>
      <c r="AD695" s="901"/>
      <c r="AE695" s="2"/>
      <c r="AF695" s="885"/>
      <c r="AG695" s="885"/>
      <c r="AH695" s="885"/>
      <c r="AI695" s="885"/>
      <c r="AJ695" s="885"/>
      <c r="AK695" s="885"/>
      <c r="AL695" s="885"/>
      <c r="AM695" s="879"/>
      <c r="AN695" s="2"/>
      <c r="AO695" s="886"/>
      <c r="AP695" s="886"/>
      <c r="AV695" t="str">
        <f t="shared" si="2339"/>
        <v xml:space="preserve">Aterro e compactação </v>
      </c>
      <c r="AW695" s="4" t="str">
        <f t="shared" si="2338"/>
        <v>Troca de solo - Aterro 01</v>
      </c>
    </row>
    <row r="696" spans="1:49" ht="15.6" customHeight="1" outlineLevel="2">
      <c r="A696" s="525" t="str">
        <f t="shared" ref="A696" si="2538">IF(SUM(P696:V697)&gt;0,"S","N")</f>
        <v>N</v>
      </c>
      <c r="B696" s="526" t="s">
        <v>266</v>
      </c>
      <c r="C696" s="526"/>
      <c r="D696" s="527" t="s">
        <v>1025</v>
      </c>
      <c r="E696" s="892" t="s">
        <v>1026</v>
      </c>
      <c r="F696" s="894" t="s">
        <v>36</v>
      </c>
      <c r="G696" s="528"/>
      <c r="H696" s="546" t="s">
        <v>37</v>
      </c>
      <c r="I696" s="711">
        <v>0</v>
      </c>
      <c r="J696" s="896" t="str">
        <f t="shared" ref="J696" si="2539">IFERROR((I697/I696),"-")</f>
        <v>-</v>
      </c>
      <c r="K696" s="528"/>
      <c r="L696" s="546" t="s">
        <v>37</v>
      </c>
      <c r="M696" s="711">
        <f t="shared" si="2350"/>
        <v>0</v>
      </c>
      <c r="N696" s="896" t="str">
        <f t="shared" ref="N696" si="2540">IFERROR((M697/M696),"-")</f>
        <v>-</v>
      </c>
      <c r="O696" s="528"/>
      <c r="P696" s="547">
        <v>0</v>
      </c>
      <c r="Q696" s="547">
        <v>0</v>
      </c>
      <c r="R696" s="547">
        <v>0</v>
      </c>
      <c r="S696" s="547">
        <v>0</v>
      </c>
      <c r="T696" s="547">
        <v>0</v>
      </c>
      <c r="U696" s="547">
        <v>0</v>
      </c>
      <c r="V696" s="547">
        <v>0</v>
      </c>
      <c r="W696" s="528"/>
      <c r="X696" s="711">
        <f t="shared" si="2341"/>
        <v>0</v>
      </c>
      <c r="Y696" s="896" t="str">
        <f t="shared" ref="Y696" si="2541">IFERROR((X697/X696),"0")</f>
        <v>0</v>
      </c>
      <c r="Z696" s="528"/>
      <c r="AA696" s="898">
        <v>0</v>
      </c>
      <c r="AB696" s="898">
        <v>0</v>
      </c>
      <c r="AC696" s="898">
        <v>0</v>
      </c>
      <c r="AD696" s="900" t="str">
        <f t="shared" ref="AD696" si="2542">IFERROR((AC696/AB696),"-")</f>
        <v>-</v>
      </c>
      <c r="AE696" s="2"/>
      <c r="AF696" s="884">
        <v>0</v>
      </c>
      <c r="AG696" s="884"/>
      <c r="AH696" s="884">
        <v>0</v>
      </c>
      <c r="AI696" s="884"/>
      <c r="AJ696" s="884"/>
      <c r="AK696" s="884">
        <f t="shared" ref="AK696" si="2543">AF696+AG696+AH696+AI696+AJ696+AC696</f>
        <v>0</v>
      </c>
      <c r="AL696" s="884">
        <v>0</v>
      </c>
      <c r="AM696" s="878" t="str">
        <f t="shared" ref="AM696" si="2544">IFERROR((AK696/AL696),"-")</f>
        <v>-</v>
      </c>
      <c r="AN696" s="2"/>
      <c r="AO696" s="884">
        <v>0</v>
      </c>
      <c r="AP696" s="884">
        <f t="shared" ref="AP696" si="2545">AO696-AK696</f>
        <v>0</v>
      </c>
      <c r="AV696" t="str">
        <f t="shared" si="2339"/>
        <v xml:space="preserve">Aterro e compactação </v>
      </c>
      <c r="AW696" s="4" t="str">
        <f t="shared" si="2338"/>
        <v>Corpo de aterro - Corte 02</v>
      </c>
    </row>
    <row r="697" spans="1:49" ht="15.6" customHeight="1" outlineLevel="2">
      <c r="A697" s="525" t="str">
        <f t="shared" ref="A697" si="2546">A696</f>
        <v>N</v>
      </c>
      <c r="B697" s="526" t="s">
        <v>266</v>
      </c>
      <c r="C697" s="526"/>
      <c r="D697" s="527" t="s">
        <v>1025</v>
      </c>
      <c r="E697" s="893"/>
      <c r="F697" s="895"/>
      <c r="G697" s="528"/>
      <c r="H697" s="549" t="s">
        <v>38</v>
      </c>
      <c r="I697" s="711">
        <v>0</v>
      </c>
      <c r="J697" s="897"/>
      <c r="K697" s="528"/>
      <c r="L697" s="549" t="s">
        <v>38</v>
      </c>
      <c r="M697" s="711">
        <f t="shared" si="2350"/>
        <v>0</v>
      </c>
      <c r="N697" s="897"/>
      <c r="O697" s="528"/>
      <c r="P697" s="547">
        <v>0</v>
      </c>
      <c r="Q697" s="547">
        <v>0</v>
      </c>
      <c r="R697" s="547">
        <v>0</v>
      </c>
      <c r="S697" s="547">
        <v>0</v>
      </c>
      <c r="T697" s="547">
        <v>0</v>
      </c>
      <c r="U697" s="547">
        <v>0</v>
      </c>
      <c r="V697" s="547">
        <v>0</v>
      </c>
      <c r="W697" s="528"/>
      <c r="X697" s="711">
        <f t="shared" si="2341"/>
        <v>0</v>
      </c>
      <c r="Y697" s="897"/>
      <c r="Z697" s="528"/>
      <c r="AA697" s="899"/>
      <c r="AB697" s="899"/>
      <c r="AC697" s="899"/>
      <c r="AD697" s="901"/>
      <c r="AE697" s="2"/>
      <c r="AF697" s="885"/>
      <c r="AG697" s="885"/>
      <c r="AH697" s="885"/>
      <c r="AI697" s="885"/>
      <c r="AJ697" s="885"/>
      <c r="AK697" s="885"/>
      <c r="AL697" s="885"/>
      <c r="AM697" s="879"/>
      <c r="AN697" s="2"/>
      <c r="AO697" s="886"/>
      <c r="AP697" s="886"/>
      <c r="AV697" t="str">
        <f t="shared" si="2339"/>
        <v xml:space="preserve">Aterro e compactação </v>
      </c>
      <c r="AW697" s="4" t="str">
        <f t="shared" si="2338"/>
        <v>Corpo de aterro - Corte 02</v>
      </c>
    </row>
    <row r="698" spans="1:49" ht="15.6" customHeight="1" outlineLevel="2">
      <c r="A698" s="525" t="str">
        <f t="shared" ref="A698" si="2547">IF(SUM(P698:V699)&gt;0,"S","N")</f>
        <v>N</v>
      </c>
      <c r="B698" s="526" t="s">
        <v>266</v>
      </c>
      <c r="C698" s="526"/>
      <c r="D698" s="527" t="s">
        <v>1027</v>
      </c>
      <c r="E698" s="892" t="s">
        <v>1028</v>
      </c>
      <c r="F698" s="894" t="s">
        <v>36</v>
      </c>
      <c r="G698" s="528"/>
      <c r="H698" s="546" t="s">
        <v>37</v>
      </c>
      <c r="I698" s="711">
        <v>0</v>
      </c>
      <c r="J698" s="896" t="str">
        <f t="shared" ref="J698" si="2548">IFERROR((I699/I698),"-")</f>
        <v>-</v>
      </c>
      <c r="K698" s="528"/>
      <c r="L698" s="546" t="s">
        <v>37</v>
      </c>
      <c r="M698" s="711">
        <f t="shared" si="2350"/>
        <v>0</v>
      </c>
      <c r="N698" s="896" t="str">
        <f t="shared" ref="N698" si="2549">IFERROR((M699/M698),"-")</f>
        <v>-</v>
      </c>
      <c r="O698" s="528"/>
      <c r="P698" s="547">
        <v>0</v>
      </c>
      <c r="Q698" s="547">
        <v>0</v>
      </c>
      <c r="R698" s="547">
        <v>0</v>
      </c>
      <c r="S698" s="547">
        <v>0</v>
      </c>
      <c r="T698" s="547">
        <v>0</v>
      </c>
      <c r="U698" s="547">
        <v>0</v>
      </c>
      <c r="V698" s="547">
        <v>0</v>
      </c>
      <c r="W698" s="528"/>
      <c r="X698" s="711">
        <f t="shared" si="2341"/>
        <v>0</v>
      </c>
      <c r="Y698" s="896" t="str">
        <f t="shared" ref="Y698" si="2550">IFERROR((X699/X698),"0")</f>
        <v>0</v>
      </c>
      <c r="Z698" s="528"/>
      <c r="AA698" s="898">
        <v>0</v>
      </c>
      <c r="AB698" s="898">
        <v>0</v>
      </c>
      <c r="AC698" s="898">
        <v>0</v>
      </c>
      <c r="AD698" s="900" t="str">
        <f t="shared" ref="AD698" si="2551">IFERROR((AC698/AB698),"-")</f>
        <v>-</v>
      </c>
      <c r="AE698" s="2"/>
      <c r="AF698" s="884">
        <v>0</v>
      </c>
      <c r="AG698" s="884"/>
      <c r="AH698" s="884">
        <v>0</v>
      </c>
      <c r="AI698" s="884">
        <v>686.04</v>
      </c>
      <c r="AJ698" s="884"/>
      <c r="AK698" s="884">
        <f t="shared" ref="AK698" si="2552">AF698+AG698+AH698+AI698+AJ698+AC698</f>
        <v>686.04</v>
      </c>
      <c r="AL698" s="884">
        <v>0</v>
      </c>
      <c r="AM698" s="878" t="str">
        <f t="shared" ref="AM698" si="2553">IFERROR((AK698/AL698),"-")</f>
        <v>-</v>
      </c>
      <c r="AN698" s="2"/>
      <c r="AO698" s="884">
        <v>0</v>
      </c>
      <c r="AP698" s="884">
        <f t="shared" ref="AP698" si="2554">AO698-AK698</f>
        <v>-686.04</v>
      </c>
      <c r="AV698" t="str">
        <f t="shared" si="2339"/>
        <v xml:space="preserve">Aterro e compactação </v>
      </c>
      <c r="AW698" s="4" t="str">
        <f t="shared" si="2338"/>
        <v>Corpo de aterro - Corte 08</v>
      </c>
    </row>
    <row r="699" spans="1:49" ht="14.45" customHeight="1" outlineLevel="2">
      <c r="A699" s="525" t="str">
        <f t="shared" ref="A699" si="2555">A698</f>
        <v>N</v>
      </c>
      <c r="B699" s="526" t="s">
        <v>266</v>
      </c>
      <c r="C699" s="526"/>
      <c r="D699" s="527" t="s">
        <v>1027</v>
      </c>
      <c r="E699" s="893"/>
      <c r="F699" s="895"/>
      <c r="G699" s="528"/>
      <c r="H699" s="549" t="s">
        <v>38</v>
      </c>
      <c r="I699" s="711">
        <v>0</v>
      </c>
      <c r="J699" s="897"/>
      <c r="K699" s="528"/>
      <c r="L699" s="549" t="s">
        <v>38</v>
      </c>
      <c r="M699" s="711">
        <f t="shared" si="2350"/>
        <v>0</v>
      </c>
      <c r="N699" s="897"/>
      <c r="O699" s="528"/>
      <c r="P699" s="547">
        <v>0</v>
      </c>
      <c r="Q699" s="547">
        <v>0</v>
      </c>
      <c r="R699" s="547">
        <v>0</v>
      </c>
      <c r="S699" s="547">
        <v>0</v>
      </c>
      <c r="T699" s="547">
        <v>0</v>
      </c>
      <c r="U699" s="547">
        <v>0</v>
      </c>
      <c r="V699" s="547">
        <v>0</v>
      </c>
      <c r="W699" s="528"/>
      <c r="X699" s="711">
        <f t="shared" si="2341"/>
        <v>0</v>
      </c>
      <c r="Y699" s="897"/>
      <c r="Z699" s="528"/>
      <c r="AA699" s="899"/>
      <c r="AB699" s="899"/>
      <c r="AC699" s="899"/>
      <c r="AD699" s="901"/>
      <c r="AE699" s="2"/>
      <c r="AF699" s="885"/>
      <c r="AG699" s="885"/>
      <c r="AH699" s="885"/>
      <c r="AI699" s="885"/>
      <c r="AJ699" s="885"/>
      <c r="AK699" s="885"/>
      <c r="AL699" s="885"/>
      <c r="AM699" s="879"/>
      <c r="AN699" s="2"/>
      <c r="AO699" s="886"/>
      <c r="AP699" s="886"/>
      <c r="AV699" t="str">
        <f t="shared" si="2339"/>
        <v xml:space="preserve">Aterro e compactação </v>
      </c>
      <c r="AW699" s="4" t="str">
        <f t="shared" si="2338"/>
        <v>Corpo de aterro - Corte 08</v>
      </c>
    </row>
    <row r="700" spans="1:49" ht="18.600000000000001" customHeight="1" outlineLevel="1">
      <c r="A700" s="525" t="str">
        <f t="shared" ref="A700" si="2556">IF(SUM(P700:V701)&gt;0,"S","N")</f>
        <v>N</v>
      </c>
      <c r="B700" s="526" t="s">
        <v>266</v>
      </c>
      <c r="C700" s="526"/>
      <c r="D700" s="527" t="s">
        <v>1029</v>
      </c>
      <c r="E700" s="892" t="s">
        <v>1030</v>
      </c>
      <c r="F700" s="894" t="s">
        <v>36</v>
      </c>
      <c r="G700" s="528"/>
      <c r="H700" s="546" t="s">
        <v>37</v>
      </c>
      <c r="I700" s="711">
        <v>0</v>
      </c>
      <c r="J700" s="896" t="str">
        <f t="shared" ref="J700" si="2557">IFERROR((I701/I700),"-")</f>
        <v>-</v>
      </c>
      <c r="K700" s="528"/>
      <c r="L700" s="546" t="s">
        <v>37</v>
      </c>
      <c r="M700" s="711">
        <f t="shared" si="2350"/>
        <v>0</v>
      </c>
      <c r="N700" s="896" t="str">
        <f t="shared" ref="N700" si="2558">IFERROR((M701/M700),"-")</f>
        <v>-</v>
      </c>
      <c r="O700" s="528"/>
      <c r="P700" s="547">
        <v>0</v>
      </c>
      <c r="Q700" s="547">
        <v>0</v>
      </c>
      <c r="R700" s="547">
        <v>0</v>
      </c>
      <c r="S700" s="547">
        <v>0</v>
      </c>
      <c r="T700" s="547">
        <v>0</v>
      </c>
      <c r="U700" s="547">
        <v>0</v>
      </c>
      <c r="V700" s="547">
        <v>0</v>
      </c>
      <c r="W700" s="528"/>
      <c r="X700" s="711">
        <f t="shared" si="2341"/>
        <v>0</v>
      </c>
      <c r="Y700" s="896" t="str">
        <f t="shared" ref="Y700" si="2559">IFERROR((X701/X700),"0")</f>
        <v>0</v>
      </c>
      <c r="Z700" s="528"/>
      <c r="AA700" s="898">
        <v>0</v>
      </c>
      <c r="AB700" s="898">
        <v>0</v>
      </c>
      <c r="AC700" s="898">
        <v>283.95999999999998</v>
      </c>
      <c r="AD700" s="900" t="str">
        <f t="shared" ref="AD700" si="2560">IFERROR((AC700/AB700),"-")</f>
        <v>-</v>
      </c>
      <c r="AE700" s="2"/>
      <c r="AF700" s="884">
        <v>0</v>
      </c>
      <c r="AG700" s="884"/>
      <c r="AH700" s="884">
        <v>0</v>
      </c>
      <c r="AI700" s="884">
        <v>686.04</v>
      </c>
      <c r="AJ700" s="884"/>
      <c r="AK700" s="884">
        <f t="shared" ref="AK700" si="2561">AF700+AG700+AH700+AI700+AJ700+AC700</f>
        <v>970</v>
      </c>
      <c r="AL700" s="884">
        <v>0</v>
      </c>
      <c r="AM700" s="878" t="str">
        <f t="shared" ref="AM700" si="2562">IFERROR((AK700/AL700),"-")</f>
        <v>-</v>
      </c>
      <c r="AN700" s="2"/>
      <c r="AO700" s="884">
        <v>0</v>
      </c>
      <c r="AP700" s="884">
        <f t="shared" ref="AP700" si="2563">AO700-AK700</f>
        <v>-970</v>
      </c>
      <c r="AV700" t="str">
        <f t="shared" si="2339"/>
        <v xml:space="preserve">Aterro e compactação </v>
      </c>
      <c r="AW700" s="4" t="str">
        <f t="shared" si="2338"/>
        <v>Corpo de aterro - Corte 06</v>
      </c>
    </row>
    <row r="701" spans="1:49" ht="14.45" customHeight="1" outlineLevel="1">
      <c r="A701" s="525" t="str">
        <f t="shared" ref="A701" si="2564">A700</f>
        <v>N</v>
      </c>
      <c r="B701" s="526" t="s">
        <v>266</v>
      </c>
      <c r="C701" s="526"/>
      <c r="D701" s="527" t="s">
        <v>1029</v>
      </c>
      <c r="E701" s="893"/>
      <c r="F701" s="895"/>
      <c r="G701" s="528"/>
      <c r="H701" s="549" t="s">
        <v>38</v>
      </c>
      <c r="I701" s="711">
        <v>283.95999999999998</v>
      </c>
      <c r="J701" s="897"/>
      <c r="K701" s="528"/>
      <c r="L701" s="549" t="s">
        <v>38</v>
      </c>
      <c r="M701" s="711">
        <f t="shared" si="2350"/>
        <v>0</v>
      </c>
      <c r="N701" s="897"/>
      <c r="O701" s="528"/>
      <c r="P701" s="547">
        <v>0</v>
      </c>
      <c r="Q701" s="547">
        <v>0</v>
      </c>
      <c r="R701" s="547">
        <v>0</v>
      </c>
      <c r="S701" s="547">
        <v>0</v>
      </c>
      <c r="T701" s="547">
        <v>0</v>
      </c>
      <c r="U701" s="547">
        <v>0</v>
      </c>
      <c r="V701" s="547">
        <v>0</v>
      </c>
      <c r="W701" s="528"/>
      <c r="X701" s="711">
        <f t="shared" si="2341"/>
        <v>0</v>
      </c>
      <c r="Y701" s="897"/>
      <c r="Z701" s="528"/>
      <c r="AA701" s="899"/>
      <c r="AB701" s="899"/>
      <c r="AC701" s="899"/>
      <c r="AD701" s="901"/>
      <c r="AE701" s="2"/>
      <c r="AF701" s="885"/>
      <c r="AG701" s="885"/>
      <c r="AH701" s="885"/>
      <c r="AI701" s="885"/>
      <c r="AJ701" s="885"/>
      <c r="AK701" s="885"/>
      <c r="AL701" s="885"/>
      <c r="AM701" s="879"/>
      <c r="AN701" s="2"/>
      <c r="AO701" s="886"/>
      <c r="AP701" s="886"/>
      <c r="AV701" t="str">
        <f t="shared" si="2339"/>
        <v xml:space="preserve">Aterro e compactação </v>
      </c>
      <c r="AW701" s="4" t="str">
        <f t="shared" si="2338"/>
        <v>Corpo de aterro - Corte 06</v>
      </c>
    </row>
    <row r="702" spans="1:49" ht="14.45" customHeight="1" outlineLevel="1">
      <c r="A702" s="525">
        <v>0</v>
      </c>
      <c r="B702" s="526" t="s">
        <v>266</v>
      </c>
      <c r="C702" s="526"/>
      <c r="D702" s="534"/>
      <c r="E702" s="535"/>
      <c r="F702" s="536"/>
      <c r="G702" s="537"/>
      <c r="H702" s="714"/>
      <c r="I702" s="555"/>
      <c r="J702" s="714"/>
      <c r="K702" s="537"/>
      <c r="L702" s="714"/>
      <c r="M702" s="555"/>
      <c r="N702" s="714"/>
      <c r="O702" s="537"/>
      <c r="P702" s="539"/>
      <c r="Q702" s="539"/>
      <c r="R702" s="539"/>
      <c r="S702" s="539"/>
      <c r="T702" s="539"/>
      <c r="U702" s="539"/>
      <c r="V702" s="539"/>
      <c r="W702" s="537"/>
      <c r="X702" s="540"/>
      <c r="Y702" s="537"/>
      <c r="Z702" s="537"/>
      <c r="AA702" s="249"/>
      <c r="AB702" s="249"/>
      <c r="AC702" s="249"/>
      <c r="AD702" s="537"/>
      <c r="AE702" s="3"/>
      <c r="AF702" s="35"/>
      <c r="AG702" s="35"/>
      <c r="AH702" s="35"/>
      <c r="AI702" s="35"/>
      <c r="AJ702" s="35"/>
      <c r="AK702" s="35"/>
      <c r="AL702" s="35"/>
      <c r="AM702" s="3"/>
      <c r="AN702" s="3"/>
      <c r="AO702" s="35"/>
      <c r="AP702" s="35"/>
      <c r="AV702" t="str">
        <f t="shared" si="2339"/>
        <v xml:space="preserve">Aterro e compactação </v>
      </c>
      <c r="AW702" s="4" t="str">
        <f t="shared" si="2338"/>
        <v>Corpo de aterro - Corte 06</v>
      </c>
    </row>
    <row r="703" spans="1:49" ht="15" customHeight="1" outlineLevel="2">
      <c r="A703" s="525">
        <v>0</v>
      </c>
      <c r="B703" s="526"/>
      <c r="C703" s="526">
        <v>0</v>
      </c>
      <c r="D703" s="557"/>
      <c r="E703" s="933" t="s">
        <v>44</v>
      </c>
      <c r="F703" s="868" t="s">
        <v>36</v>
      </c>
      <c r="G703" s="528"/>
      <c r="H703" s="542" t="s">
        <v>37</v>
      </c>
      <c r="I703" s="543">
        <f t="shared" ref="I703" si="2565">SUMIF($L705:$L778,$L703,I705:I778)</f>
        <v>48576</v>
      </c>
      <c r="J703" s="860">
        <f>IFERROR((I704/I703),"-")</f>
        <v>1.1700798748353096</v>
      </c>
      <c r="K703" s="528"/>
      <c r="L703" s="542" t="s">
        <v>37</v>
      </c>
      <c r="M703" s="543">
        <f t="shared" ref="M703" si="2566">SUMIF($L705:$L778,$L703,M705:M778)</f>
        <v>8496</v>
      </c>
      <c r="N703" s="860">
        <f>IFERROR((M704/M703),"-")</f>
        <v>1.2927071563088512</v>
      </c>
      <c r="O703" s="528"/>
      <c r="P703" s="543">
        <f t="shared" ref="P703:V703" si="2567">SUMIF($L705:$L778,$L703,P705:P778)</f>
        <v>8496</v>
      </c>
      <c r="Q703" s="543">
        <f t="shared" si="2567"/>
        <v>8496</v>
      </c>
      <c r="R703" s="543">
        <f t="shared" si="2567"/>
        <v>8496</v>
      </c>
      <c r="S703" s="543">
        <f t="shared" si="2567"/>
        <v>8496</v>
      </c>
      <c r="T703" s="543">
        <f t="shared" si="2567"/>
        <v>7456</v>
      </c>
      <c r="U703" s="543">
        <f t="shared" si="2567"/>
        <v>7456</v>
      </c>
      <c r="V703" s="543">
        <f t="shared" si="2567"/>
        <v>0</v>
      </c>
      <c r="W703" s="528"/>
      <c r="X703" s="543">
        <f t="shared" ref="X703:X766" si="2568">SUMIFS(P703:V703,$P$8:$V$8,"&gt;="&amp;$P$8,$P$8:$V$8,"&lt;="&amp;$N$8)</f>
        <v>16992</v>
      </c>
      <c r="Y703" s="860">
        <f>IFERROR((X704/X703),"-")</f>
        <v>1.2970197740112994</v>
      </c>
      <c r="Z703" s="528"/>
      <c r="AA703" s="814">
        <f>SUM(AA705:AA778)</f>
        <v>220102.32</v>
      </c>
      <c r="AB703" s="814">
        <f t="shared" ref="AB703:AC703" si="2569">SUM(AB705:AB778)</f>
        <v>149620.72</v>
      </c>
      <c r="AC703" s="814">
        <f t="shared" si="2569"/>
        <v>123293.60000000002</v>
      </c>
      <c r="AD703" s="911">
        <f t="shared" ref="AD703" si="2570">IFERROR((AC703/AB703),"-")</f>
        <v>0.8240409483392408</v>
      </c>
      <c r="AE703" s="2"/>
      <c r="AF703" s="888">
        <f t="shared" ref="AF703:AL703" si="2571">SUM(AF705:AF778)</f>
        <v>46795</v>
      </c>
      <c r="AG703" s="888">
        <f t="shared" si="2571"/>
        <v>0</v>
      </c>
      <c r="AH703" s="888">
        <f t="shared" si="2571"/>
        <v>131336.35999999996</v>
      </c>
      <c r="AI703" s="888">
        <f t="shared" si="2571"/>
        <v>25156.946</v>
      </c>
      <c r="AJ703" s="888">
        <f t="shared" ref="AJ703" si="2572">SUM(AJ705:AJ778)</f>
        <v>140294.58600000001</v>
      </c>
      <c r="AK703" s="888">
        <f t="shared" si="2571"/>
        <v>466876.49200000009</v>
      </c>
      <c r="AL703" s="888">
        <f t="shared" si="2571"/>
        <v>443651.09999999992</v>
      </c>
      <c r="AM703" s="743">
        <f>IFERROR((AK703/AL703),"-")</f>
        <v>1.0523505790924448</v>
      </c>
      <c r="AN703" s="2"/>
      <c r="AO703" s="888">
        <f t="shared" ref="AO703:AP703" si="2573">SUM(AO705:AO778)</f>
        <v>954473.40999999992</v>
      </c>
      <c r="AP703" s="888">
        <f t="shared" si="2573"/>
        <v>487596.91799999989</v>
      </c>
      <c r="AV703" t="str">
        <f t="shared" si="2339"/>
        <v xml:space="preserve">Aterro e compactação </v>
      </c>
      <c r="AW703" s="4" t="str">
        <f t="shared" si="2338"/>
        <v>Pacote 05 - Segmento 2.5 - 138+160 a 153+420</v>
      </c>
    </row>
    <row r="704" spans="1:49" ht="15" customHeight="1" outlineLevel="2">
      <c r="A704" s="525">
        <v>0</v>
      </c>
      <c r="B704" s="526"/>
      <c r="C704" s="526"/>
      <c r="D704" s="558"/>
      <c r="E704" s="934"/>
      <c r="F704" s="869"/>
      <c r="G704" s="528"/>
      <c r="H704" s="544" t="s">
        <v>38</v>
      </c>
      <c r="I704" s="543">
        <f t="shared" ref="I704" si="2574">SUMIF($L705:$L778,$L704,I705:I778)</f>
        <v>56837.8</v>
      </c>
      <c r="J704" s="861"/>
      <c r="K704" s="528"/>
      <c r="L704" s="544" t="s">
        <v>38</v>
      </c>
      <c r="M704" s="543">
        <f t="shared" ref="M704" si="2575">SUMIF($L705:$L778,$L704,M705:M778)</f>
        <v>10982.84</v>
      </c>
      <c r="N704" s="861"/>
      <c r="O704" s="528"/>
      <c r="P704" s="543">
        <f t="shared" ref="P704:V704" si="2576">SUMIF($L705:$L778,$L704,P705:P778)</f>
        <v>11056.119999999999</v>
      </c>
      <c r="Q704" s="543">
        <f t="shared" si="2576"/>
        <v>10982.84</v>
      </c>
      <c r="R704" s="543">
        <f t="shared" si="2576"/>
        <v>0</v>
      </c>
      <c r="S704" s="543">
        <f t="shared" si="2576"/>
        <v>0</v>
      </c>
      <c r="T704" s="543">
        <f t="shared" si="2576"/>
        <v>0</v>
      </c>
      <c r="U704" s="543">
        <f t="shared" si="2576"/>
        <v>0</v>
      </c>
      <c r="V704" s="543">
        <f t="shared" si="2576"/>
        <v>0</v>
      </c>
      <c r="W704" s="528"/>
      <c r="X704" s="543">
        <f t="shared" si="2568"/>
        <v>22038.959999999999</v>
      </c>
      <c r="Y704" s="861"/>
      <c r="Z704" s="528"/>
      <c r="AA704" s="815"/>
      <c r="AB704" s="815"/>
      <c r="AC704" s="815"/>
      <c r="AD704" s="912"/>
      <c r="AE704" s="2"/>
      <c r="AF704" s="889"/>
      <c r="AG704" s="889"/>
      <c r="AH704" s="889"/>
      <c r="AI704" s="889"/>
      <c r="AJ704" s="889"/>
      <c r="AK704" s="889"/>
      <c r="AL704" s="889"/>
      <c r="AM704" s="744"/>
      <c r="AN704" s="2"/>
      <c r="AO704" s="889"/>
      <c r="AP704" s="889"/>
      <c r="AV704" t="str">
        <f t="shared" si="2339"/>
        <v xml:space="preserve">Aterro e compactação </v>
      </c>
      <c r="AW704" s="4" t="str">
        <f t="shared" si="2338"/>
        <v>Pacote 05 - Segmento 2.5 - 138+160 a 153+420</v>
      </c>
    </row>
    <row r="705" spans="1:49" ht="15" customHeight="1" outlineLevel="2">
      <c r="A705" s="545" t="str">
        <f t="shared" ref="A705" si="2577">IF(SUM(P705:V706)&gt;0,"S","N")</f>
        <v>N</v>
      </c>
      <c r="B705" s="526">
        <v>1065414</v>
      </c>
      <c r="C705" s="526" t="s">
        <v>1031</v>
      </c>
      <c r="D705" s="527" t="s">
        <v>1032</v>
      </c>
      <c r="E705" s="892" t="s">
        <v>1033</v>
      </c>
      <c r="F705" s="894" t="s">
        <v>36</v>
      </c>
      <c r="G705" s="528"/>
      <c r="H705" s="546" t="s">
        <v>37</v>
      </c>
      <c r="I705" s="711">
        <v>6400</v>
      </c>
      <c r="J705" s="896">
        <f t="shared" ref="J705" si="2578">IFERROR((I706/I705),"-")</f>
        <v>0.12738125</v>
      </c>
      <c r="K705" s="528"/>
      <c r="L705" s="546" t="s">
        <v>37</v>
      </c>
      <c r="M705" s="711">
        <f t="shared" ref="M705:M724" si="2579">_xlfn.XLOOKUP($N$8,$P$8:$V$8,$P705:$V705)</f>
        <v>0</v>
      </c>
      <c r="N705" s="896" t="str">
        <f t="shared" ref="N705" si="2580">IFERROR((M706/M705),"-")</f>
        <v>-</v>
      </c>
      <c r="O705" s="528"/>
      <c r="P705" s="547">
        <v>0</v>
      </c>
      <c r="Q705" s="547">
        <v>0</v>
      </c>
      <c r="R705" s="547">
        <v>0</v>
      </c>
      <c r="S705" s="547">
        <v>0</v>
      </c>
      <c r="T705" s="547">
        <v>0</v>
      </c>
      <c r="U705" s="547">
        <v>0</v>
      </c>
      <c r="V705" s="547">
        <v>0</v>
      </c>
      <c r="W705" s="528"/>
      <c r="X705" s="711">
        <f t="shared" si="2568"/>
        <v>0</v>
      </c>
      <c r="Y705" s="896" t="str">
        <f t="shared" ref="Y705" si="2581">IFERROR((X706/X705),"0")</f>
        <v>0</v>
      </c>
      <c r="Z705" s="528"/>
      <c r="AA705" s="898">
        <v>6261.17</v>
      </c>
      <c r="AB705" s="898">
        <v>6261.17</v>
      </c>
      <c r="AC705" s="898">
        <v>861.04</v>
      </c>
      <c r="AD705" s="900">
        <f t="shared" ref="AD705" si="2582">IFERROR((AC705/AB705),"-")</f>
        <v>0.13752062314232003</v>
      </c>
      <c r="AE705" s="2"/>
      <c r="AF705" s="884">
        <v>0</v>
      </c>
      <c r="AG705" s="884"/>
      <c r="AH705" s="884">
        <v>4689.92</v>
      </c>
      <c r="AI705" s="884"/>
      <c r="AJ705" s="884">
        <v>2489.4299999999998</v>
      </c>
      <c r="AK705" s="884">
        <f t="shared" ref="AK705" si="2583">AF705+AG705+AH705+AI705+AJ705+AC705</f>
        <v>8040.39</v>
      </c>
      <c r="AL705" s="884">
        <v>12533.589999999997</v>
      </c>
      <c r="AM705" s="878">
        <f t="shared" ref="AM705" si="2584">IFERROR((AK705/AL705),"-")</f>
        <v>0.64150734147199662</v>
      </c>
      <c r="AN705" s="2"/>
      <c r="AO705" s="884">
        <v>12534</v>
      </c>
      <c r="AP705" s="884">
        <f t="shared" ref="AP705" si="2585">AO705-AK705</f>
        <v>4493.6099999999997</v>
      </c>
      <c r="AV705" t="str">
        <f t="shared" si="2339"/>
        <v xml:space="preserve">Aterro e compactação </v>
      </c>
      <c r="AW705" s="4" t="str">
        <f t="shared" si="2338"/>
        <v xml:space="preserve">   Execução de aterro compactado (PN a 95%) - Seg.2.5 CA 01</v>
      </c>
    </row>
    <row r="706" spans="1:49" ht="15" customHeight="1" outlineLevel="2">
      <c r="A706" s="545" t="str">
        <f t="shared" ref="A706" si="2586">A705</f>
        <v>N</v>
      </c>
      <c r="B706" s="526"/>
      <c r="C706" s="526" t="s">
        <v>1031</v>
      </c>
      <c r="D706" s="527" t="s">
        <v>1032</v>
      </c>
      <c r="E706" s="893"/>
      <c r="F706" s="895"/>
      <c r="G706" s="528"/>
      <c r="H706" s="549" t="s">
        <v>38</v>
      </c>
      <c r="I706" s="711">
        <v>815.24</v>
      </c>
      <c r="J706" s="897"/>
      <c r="K706" s="528"/>
      <c r="L706" s="549" t="s">
        <v>38</v>
      </c>
      <c r="M706" s="711">
        <f t="shared" si="2579"/>
        <v>0</v>
      </c>
      <c r="N706" s="897"/>
      <c r="O706" s="528"/>
      <c r="P706" s="547">
        <v>0</v>
      </c>
      <c r="Q706" s="547">
        <v>0</v>
      </c>
      <c r="R706" s="547">
        <v>0</v>
      </c>
      <c r="S706" s="547">
        <v>0</v>
      </c>
      <c r="T706" s="547">
        <v>0</v>
      </c>
      <c r="U706" s="547">
        <v>0</v>
      </c>
      <c r="V706" s="547">
        <v>0</v>
      </c>
      <c r="W706" s="528"/>
      <c r="X706" s="711">
        <f t="shared" si="2568"/>
        <v>0</v>
      </c>
      <c r="Y706" s="897"/>
      <c r="Z706" s="528"/>
      <c r="AA706" s="899"/>
      <c r="AB706" s="899"/>
      <c r="AC706" s="899"/>
      <c r="AD706" s="901"/>
      <c r="AE706" s="2"/>
      <c r="AF706" s="885"/>
      <c r="AG706" s="885"/>
      <c r="AH706" s="885"/>
      <c r="AI706" s="885"/>
      <c r="AJ706" s="885"/>
      <c r="AK706" s="885"/>
      <c r="AL706" s="885"/>
      <c r="AM706" s="879"/>
      <c r="AN706" s="2"/>
      <c r="AO706" s="886"/>
      <c r="AP706" s="886"/>
      <c r="AV706" t="str">
        <f t="shared" si="2339"/>
        <v xml:space="preserve">Aterro e compactação </v>
      </c>
      <c r="AW706" s="4" t="str">
        <f t="shared" si="2338"/>
        <v xml:space="preserve">   Execução de aterro compactado (PN a 95%) - Seg.2.5 CA 01</v>
      </c>
    </row>
    <row r="707" spans="1:49" ht="15" customHeight="1" outlineLevel="2">
      <c r="A707" s="545" t="str">
        <f t="shared" ref="A707" si="2587">IF(SUM(P707:V708)&gt;0,"S","N")</f>
        <v>S</v>
      </c>
      <c r="B707" s="526">
        <v>1065416</v>
      </c>
      <c r="C707" s="526" t="s">
        <v>1034</v>
      </c>
      <c r="D707" s="527" t="s">
        <v>1035</v>
      </c>
      <c r="E707" s="892" t="s">
        <v>1036</v>
      </c>
      <c r="F707" s="894" t="s">
        <v>36</v>
      </c>
      <c r="G707" s="528"/>
      <c r="H707" s="546" t="s">
        <v>37</v>
      </c>
      <c r="I707" s="711">
        <v>6400</v>
      </c>
      <c r="J707" s="896">
        <f t="shared" ref="J707" si="2588">IFERROR((I708/I707),"-")</f>
        <v>6.0112500000000006E-2</v>
      </c>
      <c r="K707" s="528"/>
      <c r="L707" s="546" t="s">
        <v>37</v>
      </c>
      <c r="M707" s="711">
        <f t="shared" si="2579"/>
        <v>1120</v>
      </c>
      <c r="N707" s="896">
        <f t="shared" ref="N707" si="2589">IFERROR((M708/M707),"-")</f>
        <v>8.9964285714285719E-2</v>
      </c>
      <c r="O707" s="528"/>
      <c r="P707" s="547">
        <v>1120</v>
      </c>
      <c r="Q707" s="547">
        <v>1120</v>
      </c>
      <c r="R707" s="547">
        <v>1120</v>
      </c>
      <c r="S707" s="547">
        <v>1120</v>
      </c>
      <c r="T707" s="547">
        <v>960</v>
      </c>
      <c r="U707" s="547">
        <v>960</v>
      </c>
      <c r="V707" s="547">
        <v>0</v>
      </c>
      <c r="W707" s="528"/>
      <c r="X707" s="711">
        <f t="shared" si="2568"/>
        <v>2240</v>
      </c>
      <c r="Y707" s="896">
        <f t="shared" ref="Y707" si="2590">IFERROR((X708/X707),"0")</f>
        <v>0.29851785714285711</v>
      </c>
      <c r="Z707" s="528"/>
      <c r="AA707" s="898">
        <v>12159.1</v>
      </c>
      <c r="AB707" s="898">
        <v>12159.11</v>
      </c>
      <c r="AC707" s="898">
        <v>1685.4399999999998</v>
      </c>
      <c r="AD707" s="900">
        <f t="shared" ref="AD707" si="2591">IFERROR((AC707/AB707),"-")</f>
        <v>0.13861540852907817</v>
      </c>
      <c r="AE707" s="2"/>
      <c r="AF707" s="884">
        <v>0</v>
      </c>
      <c r="AG707" s="884"/>
      <c r="AH707" s="884">
        <v>5248.6800000000012</v>
      </c>
      <c r="AI707" s="884"/>
      <c r="AJ707" s="884">
        <v>1014.14</v>
      </c>
      <c r="AK707" s="884">
        <f t="shared" ref="AK707" si="2592">AF707+AG707+AH707+AI707+AJ707+AC707</f>
        <v>7948.2600000000011</v>
      </c>
      <c r="AL707" s="884">
        <v>20905.36</v>
      </c>
      <c r="AM707" s="878">
        <f t="shared" ref="AM707" si="2593">IFERROR((AK707/AL707),"-")</f>
        <v>0.380202015176969</v>
      </c>
      <c r="AN707" s="2"/>
      <c r="AO707" s="884">
        <v>20905</v>
      </c>
      <c r="AP707" s="884">
        <f t="shared" ref="AP707" si="2594">AO707-AK707</f>
        <v>12956.739999999998</v>
      </c>
      <c r="AV707" t="str">
        <f t="shared" si="2339"/>
        <v xml:space="preserve">Aterro e compactação </v>
      </c>
      <c r="AW707" s="4" t="str">
        <f t="shared" si="2338"/>
        <v xml:space="preserve">   Execução de aterro compactado (PN a 95%) - Seg.2.5 CA 03</v>
      </c>
    </row>
    <row r="708" spans="1:49" ht="15" customHeight="1" outlineLevel="2">
      <c r="A708" s="545" t="str">
        <f t="shared" ref="A708" si="2595">A707</f>
        <v>S</v>
      </c>
      <c r="B708" s="526"/>
      <c r="C708" s="526" t="s">
        <v>1034</v>
      </c>
      <c r="D708" s="527" t="s">
        <v>1035</v>
      </c>
      <c r="E708" s="893"/>
      <c r="F708" s="895"/>
      <c r="G708" s="528"/>
      <c r="H708" s="549" t="s">
        <v>38</v>
      </c>
      <c r="I708" s="711">
        <v>384.72</v>
      </c>
      <c r="J708" s="897"/>
      <c r="K708" s="528"/>
      <c r="L708" s="549" t="s">
        <v>38</v>
      </c>
      <c r="M708" s="711">
        <f t="shared" si="2579"/>
        <v>100.76</v>
      </c>
      <c r="N708" s="897"/>
      <c r="O708" s="528"/>
      <c r="P708" s="547">
        <v>567.91999999999996</v>
      </c>
      <c r="Q708" s="547">
        <v>100.76</v>
      </c>
      <c r="R708" s="547">
        <v>0</v>
      </c>
      <c r="S708" s="547">
        <v>0</v>
      </c>
      <c r="T708" s="547">
        <v>0</v>
      </c>
      <c r="U708" s="547">
        <v>0</v>
      </c>
      <c r="V708" s="547">
        <v>0</v>
      </c>
      <c r="W708" s="528"/>
      <c r="X708" s="711">
        <f t="shared" si="2568"/>
        <v>668.68</v>
      </c>
      <c r="Y708" s="897"/>
      <c r="Z708" s="528"/>
      <c r="AA708" s="899"/>
      <c r="AB708" s="899"/>
      <c r="AC708" s="899"/>
      <c r="AD708" s="901"/>
      <c r="AE708" s="2"/>
      <c r="AF708" s="885"/>
      <c r="AG708" s="885"/>
      <c r="AH708" s="885"/>
      <c r="AI708" s="885"/>
      <c r="AJ708" s="885"/>
      <c r="AK708" s="885"/>
      <c r="AL708" s="885"/>
      <c r="AM708" s="879"/>
      <c r="AN708" s="2"/>
      <c r="AO708" s="886"/>
      <c r="AP708" s="886"/>
      <c r="AV708" t="str">
        <f t="shared" si="2339"/>
        <v xml:space="preserve">Aterro e compactação </v>
      </c>
      <c r="AW708" s="4" t="str">
        <f t="shared" si="2338"/>
        <v xml:space="preserve">   Execução de aterro compactado (PN a 95%) - Seg.2.5 CA 03</v>
      </c>
    </row>
    <row r="709" spans="1:49" ht="15" customHeight="1" outlineLevel="2">
      <c r="A709" s="545" t="str">
        <f t="shared" ref="A709" si="2596">IF(SUM(P709:V710)&gt;0,"S","N")</f>
        <v>N</v>
      </c>
      <c r="B709" s="526">
        <v>1065418</v>
      </c>
      <c r="C709" s="526" t="s">
        <v>1037</v>
      </c>
      <c r="D709" s="527" t="s">
        <v>1038</v>
      </c>
      <c r="E709" s="892" t="s">
        <v>1039</v>
      </c>
      <c r="F709" s="894" t="s">
        <v>36</v>
      </c>
      <c r="G709" s="528"/>
      <c r="H709" s="546" t="s">
        <v>37</v>
      </c>
      <c r="I709" s="711">
        <v>0</v>
      </c>
      <c r="J709" s="896" t="str">
        <f t="shared" ref="J709" si="2597">IFERROR((I710/I709),"-")</f>
        <v>-</v>
      </c>
      <c r="K709" s="528"/>
      <c r="L709" s="546" t="s">
        <v>37</v>
      </c>
      <c r="M709" s="711">
        <f t="shared" si="2579"/>
        <v>0</v>
      </c>
      <c r="N709" s="896" t="str">
        <f t="shared" ref="N709" si="2598">IFERROR((M710/M709),"-")</f>
        <v>-</v>
      </c>
      <c r="O709" s="528"/>
      <c r="P709" s="547">
        <v>0</v>
      </c>
      <c r="Q709" s="547">
        <v>0</v>
      </c>
      <c r="R709" s="547">
        <v>0</v>
      </c>
      <c r="S709" s="547">
        <v>0</v>
      </c>
      <c r="T709" s="547">
        <v>0</v>
      </c>
      <c r="U709" s="547">
        <v>0</v>
      </c>
      <c r="V709" s="547">
        <v>0</v>
      </c>
      <c r="W709" s="528"/>
      <c r="X709" s="711">
        <f t="shared" si="2568"/>
        <v>0</v>
      </c>
      <c r="Y709" s="896" t="str">
        <f t="shared" ref="Y709" si="2599">IFERROR((X710/X709),"0")</f>
        <v>0</v>
      </c>
      <c r="Z709" s="528"/>
      <c r="AA709" s="898">
        <v>10429.56</v>
      </c>
      <c r="AB709" s="898">
        <v>3331.7799999999997</v>
      </c>
      <c r="AC709" s="898">
        <v>0</v>
      </c>
      <c r="AD709" s="900">
        <f t="shared" ref="AD709" si="2600">IFERROR((AC709/AB709),"-")</f>
        <v>0</v>
      </c>
      <c r="AE709" s="2"/>
      <c r="AF709" s="884">
        <v>0</v>
      </c>
      <c r="AG709" s="884"/>
      <c r="AH709" s="884">
        <v>0</v>
      </c>
      <c r="AI709" s="884"/>
      <c r="AJ709" s="884"/>
      <c r="AK709" s="884">
        <f t="shared" ref="AK709" si="2601">AF709+AG709+AH709+AI709+AJ709+AC709</f>
        <v>0</v>
      </c>
      <c r="AL709" s="884">
        <v>3331.7799999999997</v>
      </c>
      <c r="AM709" s="878">
        <f t="shared" ref="AM709" si="2602">IFERROR((AK709/AL709),"-")</f>
        <v>0</v>
      </c>
      <c r="AN709" s="2"/>
      <c r="AO709" s="884">
        <v>102139.01</v>
      </c>
      <c r="AP709" s="884">
        <f t="shared" ref="AP709" si="2603">AO709-AK709</f>
        <v>102139.01</v>
      </c>
      <c r="AV709" t="str">
        <f t="shared" si="2339"/>
        <v xml:space="preserve">Aterro e compactação </v>
      </c>
      <c r="AW709" s="4" t="str">
        <f t="shared" si="2338"/>
        <v xml:space="preserve">   Execução de aterro compactado (PN a 95%) - Seg.2.5 CA 04</v>
      </c>
    </row>
    <row r="710" spans="1:49" ht="15" customHeight="1" outlineLevel="2">
      <c r="A710" s="545" t="str">
        <f t="shared" ref="A710" si="2604">A709</f>
        <v>N</v>
      </c>
      <c r="B710" s="526"/>
      <c r="C710" s="526" t="s">
        <v>1037</v>
      </c>
      <c r="D710" s="527" t="s">
        <v>1038</v>
      </c>
      <c r="E710" s="893"/>
      <c r="F710" s="895"/>
      <c r="G710" s="528"/>
      <c r="H710" s="549" t="s">
        <v>38</v>
      </c>
      <c r="I710" s="711">
        <v>0</v>
      </c>
      <c r="J710" s="897"/>
      <c r="K710" s="528"/>
      <c r="L710" s="549" t="s">
        <v>38</v>
      </c>
      <c r="M710" s="711">
        <f t="shared" si="2579"/>
        <v>0</v>
      </c>
      <c r="N710" s="897"/>
      <c r="O710" s="528"/>
      <c r="P710" s="547">
        <v>0</v>
      </c>
      <c r="Q710" s="547">
        <v>0</v>
      </c>
      <c r="R710" s="547">
        <v>0</v>
      </c>
      <c r="S710" s="547">
        <v>0</v>
      </c>
      <c r="T710" s="547">
        <v>0</v>
      </c>
      <c r="U710" s="547">
        <v>0</v>
      </c>
      <c r="V710" s="547">
        <v>0</v>
      </c>
      <c r="W710" s="528"/>
      <c r="X710" s="711">
        <f t="shared" si="2568"/>
        <v>0</v>
      </c>
      <c r="Y710" s="897"/>
      <c r="Z710" s="528"/>
      <c r="AA710" s="899"/>
      <c r="AB710" s="899"/>
      <c r="AC710" s="899"/>
      <c r="AD710" s="901"/>
      <c r="AE710" s="2"/>
      <c r="AF710" s="885"/>
      <c r="AG710" s="885"/>
      <c r="AH710" s="885"/>
      <c r="AI710" s="885"/>
      <c r="AJ710" s="885"/>
      <c r="AK710" s="885"/>
      <c r="AL710" s="885"/>
      <c r="AM710" s="879"/>
      <c r="AN710" s="2"/>
      <c r="AO710" s="886"/>
      <c r="AP710" s="886"/>
      <c r="AV710" t="str">
        <f t="shared" si="2339"/>
        <v xml:space="preserve">Aterro e compactação </v>
      </c>
      <c r="AW710" s="4" t="str">
        <f t="shared" si="2338"/>
        <v xml:space="preserve">   Execução de aterro compactado (PN a 95%) - Seg.2.5 CA 04</v>
      </c>
    </row>
    <row r="711" spans="1:49" ht="15" customHeight="1" outlineLevel="2">
      <c r="A711" s="545" t="str">
        <f t="shared" ref="A711" si="2605">IF(SUM(P711:V712)&gt;0,"S","N")</f>
        <v>N</v>
      </c>
      <c r="B711" s="526">
        <v>1065420</v>
      </c>
      <c r="C711" s="526" t="s">
        <v>1040</v>
      </c>
      <c r="D711" s="527" t="s">
        <v>1041</v>
      </c>
      <c r="E711" s="892" t="s">
        <v>1042</v>
      </c>
      <c r="F711" s="894" t="s">
        <v>36</v>
      </c>
      <c r="G711" s="528"/>
      <c r="H711" s="546" t="s">
        <v>37</v>
      </c>
      <c r="I711" s="711">
        <v>0</v>
      </c>
      <c r="J711" s="896" t="str">
        <f t="shared" ref="J711" si="2606">IFERROR((I712/I711),"-")</f>
        <v>-</v>
      </c>
      <c r="K711" s="528"/>
      <c r="L711" s="546" t="s">
        <v>37</v>
      </c>
      <c r="M711" s="711">
        <f t="shared" si="2579"/>
        <v>0</v>
      </c>
      <c r="N711" s="896" t="str">
        <f t="shared" ref="N711" si="2607">IFERROR((M712/M711),"-")</f>
        <v>-</v>
      </c>
      <c r="O711" s="528"/>
      <c r="P711" s="547">
        <v>0</v>
      </c>
      <c r="Q711" s="547">
        <v>0</v>
      </c>
      <c r="R711" s="547">
        <v>0</v>
      </c>
      <c r="S711" s="547">
        <v>0</v>
      </c>
      <c r="T711" s="547">
        <v>0</v>
      </c>
      <c r="U711" s="547">
        <v>0</v>
      </c>
      <c r="V711" s="547">
        <v>0</v>
      </c>
      <c r="W711" s="528"/>
      <c r="X711" s="711">
        <f t="shared" si="2568"/>
        <v>0</v>
      </c>
      <c r="Y711" s="896" t="str">
        <f t="shared" ref="Y711" si="2608">IFERROR((X712/X711),"0")</f>
        <v>0</v>
      </c>
      <c r="Z711" s="528"/>
      <c r="AA711" s="898">
        <v>0</v>
      </c>
      <c r="AB711" s="898">
        <v>0</v>
      </c>
      <c r="AC711" s="898">
        <v>0</v>
      </c>
      <c r="AD711" s="900" t="str">
        <f t="shared" ref="AD711" si="2609">IFERROR((AC711/AB711),"-")</f>
        <v>-</v>
      </c>
      <c r="AE711" s="2"/>
      <c r="AF711" s="884">
        <v>0</v>
      </c>
      <c r="AG711" s="884"/>
      <c r="AH711" s="884">
        <v>0</v>
      </c>
      <c r="AI711" s="884"/>
      <c r="AJ711" s="884"/>
      <c r="AK711" s="884">
        <f t="shared" ref="AK711" si="2610">AF711+AG711+AH711+AI711+AJ711+AC711</f>
        <v>0</v>
      </c>
      <c r="AL711" s="884">
        <v>0</v>
      </c>
      <c r="AM711" s="878" t="str">
        <f t="shared" ref="AM711" si="2611">IFERROR((AK711/AL711),"-")</f>
        <v>-</v>
      </c>
      <c r="AN711" s="2"/>
      <c r="AO711" s="884">
        <v>723</v>
      </c>
      <c r="AP711" s="884">
        <f t="shared" ref="AP711" si="2612">AO711-AK711</f>
        <v>723</v>
      </c>
      <c r="AV711" t="str">
        <f t="shared" si="2339"/>
        <v xml:space="preserve">Aterro e compactação </v>
      </c>
      <c r="AW711" s="4" t="str">
        <f t="shared" si="2338"/>
        <v xml:space="preserve">   Execução de aterro compactado (PN a 95%) - Seg.2.5 CA 05</v>
      </c>
    </row>
    <row r="712" spans="1:49" ht="15" customHeight="1" outlineLevel="2">
      <c r="A712" s="545" t="str">
        <f t="shared" ref="A712" si="2613">A711</f>
        <v>N</v>
      </c>
      <c r="B712" s="526"/>
      <c r="C712" s="526" t="s">
        <v>1040</v>
      </c>
      <c r="D712" s="527" t="s">
        <v>1041</v>
      </c>
      <c r="E712" s="893"/>
      <c r="F712" s="895"/>
      <c r="G712" s="528"/>
      <c r="H712" s="549" t="s">
        <v>38</v>
      </c>
      <c r="I712" s="711">
        <v>0</v>
      </c>
      <c r="J712" s="897"/>
      <c r="K712" s="528"/>
      <c r="L712" s="549" t="s">
        <v>38</v>
      </c>
      <c r="M712" s="711">
        <f t="shared" si="2579"/>
        <v>0</v>
      </c>
      <c r="N712" s="897"/>
      <c r="O712" s="528"/>
      <c r="P712" s="547">
        <v>0</v>
      </c>
      <c r="Q712" s="547">
        <v>0</v>
      </c>
      <c r="R712" s="547">
        <v>0</v>
      </c>
      <c r="S712" s="547">
        <v>0</v>
      </c>
      <c r="T712" s="547">
        <v>0</v>
      </c>
      <c r="U712" s="547">
        <v>0</v>
      </c>
      <c r="V712" s="547">
        <v>0</v>
      </c>
      <c r="W712" s="528"/>
      <c r="X712" s="711">
        <f t="shared" si="2568"/>
        <v>0</v>
      </c>
      <c r="Y712" s="897"/>
      <c r="Z712" s="528"/>
      <c r="AA712" s="899"/>
      <c r="AB712" s="899"/>
      <c r="AC712" s="899"/>
      <c r="AD712" s="901"/>
      <c r="AE712" s="2"/>
      <c r="AF712" s="885"/>
      <c r="AG712" s="885"/>
      <c r="AH712" s="885"/>
      <c r="AI712" s="885"/>
      <c r="AJ712" s="885"/>
      <c r="AK712" s="885"/>
      <c r="AL712" s="885"/>
      <c r="AM712" s="879"/>
      <c r="AN712" s="2"/>
      <c r="AO712" s="886"/>
      <c r="AP712" s="886"/>
      <c r="AV712" t="str">
        <f t="shared" si="2339"/>
        <v xml:space="preserve">Aterro e compactação </v>
      </c>
      <c r="AW712" s="4" t="str">
        <f t="shared" si="2338"/>
        <v xml:space="preserve">   Execução de aterro compactado (PN a 95%) - Seg.2.5 CA 05</v>
      </c>
    </row>
    <row r="713" spans="1:49" ht="15" customHeight="1" outlineLevel="2">
      <c r="A713" s="545" t="str">
        <f t="shared" ref="A713" si="2614">IF(SUM(P713:V714)&gt;0,"S","N")</f>
        <v>N</v>
      </c>
      <c r="B713" s="526">
        <v>1065422</v>
      </c>
      <c r="C713" s="526" t="s">
        <v>1043</v>
      </c>
      <c r="D713" s="527" t="s">
        <v>1044</v>
      </c>
      <c r="E713" s="892" t="s">
        <v>1045</v>
      </c>
      <c r="F713" s="894" t="s">
        <v>36</v>
      </c>
      <c r="G713" s="528"/>
      <c r="H713" s="546" t="s">
        <v>37</v>
      </c>
      <c r="I713" s="711">
        <v>0</v>
      </c>
      <c r="J713" s="896" t="str">
        <f t="shared" ref="J713" si="2615">IFERROR((I714/I713),"-")</f>
        <v>-</v>
      </c>
      <c r="K713" s="528"/>
      <c r="L713" s="546" t="s">
        <v>37</v>
      </c>
      <c r="M713" s="711">
        <f t="shared" si="2579"/>
        <v>0</v>
      </c>
      <c r="N713" s="896" t="str">
        <f t="shared" ref="N713" si="2616">IFERROR((M714/M713),"-")</f>
        <v>-</v>
      </c>
      <c r="O713" s="528"/>
      <c r="P713" s="547">
        <v>0</v>
      </c>
      <c r="Q713" s="547">
        <v>0</v>
      </c>
      <c r="R713" s="547">
        <v>0</v>
      </c>
      <c r="S713" s="547">
        <v>0</v>
      </c>
      <c r="T713" s="547">
        <v>0</v>
      </c>
      <c r="U713" s="547">
        <v>0</v>
      </c>
      <c r="V713" s="547">
        <v>0</v>
      </c>
      <c r="W713" s="528"/>
      <c r="X713" s="711">
        <f t="shared" si="2568"/>
        <v>0</v>
      </c>
      <c r="Y713" s="896" t="str">
        <f t="shared" ref="Y713" si="2617">IFERROR((X714/X713),"0")</f>
        <v>0</v>
      </c>
      <c r="Z713" s="528"/>
      <c r="AA713" s="898">
        <v>0</v>
      </c>
      <c r="AB713" s="898">
        <v>0</v>
      </c>
      <c r="AC713" s="898">
        <v>595.4</v>
      </c>
      <c r="AD713" s="900" t="str">
        <f t="shared" ref="AD713" si="2618">IFERROR((AC713/AB713),"-")</f>
        <v>-</v>
      </c>
      <c r="AE713" s="2"/>
      <c r="AF713" s="884">
        <v>0</v>
      </c>
      <c r="AG713" s="884"/>
      <c r="AH713" s="884">
        <v>302.28000000000003</v>
      </c>
      <c r="AI713" s="884"/>
      <c r="AJ713" s="884"/>
      <c r="AK713" s="884">
        <f t="shared" ref="AK713" si="2619">AF713+AG713+AH713+AI713+AJ713+AC713</f>
        <v>897.68000000000006</v>
      </c>
      <c r="AL713" s="884">
        <v>0</v>
      </c>
      <c r="AM713" s="878" t="str">
        <f t="shared" ref="AM713" si="2620">IFERROR((AK713/AL713),"-")</f>
        <v>-</v>
      </c>
      <c r="AN713" s="2"/>
      <c r="AO713" s="884">
        <v>62161.599999999999</v>
      </c>
      <c r="AP713" s="884">
        <f t="shared" ref="AP713" si="2621">AO713-AK713</f>
        <v>61263.92</v>
      </c>
      <c r="AV713" t="str">
        <f t="shared" si="2339"/>
        <v xml:space="preserve">Aterro e compactação </v>
      </c>
      <c r="AW713" s="4" t="str">
        <f t="shared" ref="AW713:AW776" si="2622">IF(E713&lt;&gt;"",E713,AW712)</f>
        <v xml:space="preserve">   Execução de aterro compactado (PN a 95%) - Seg.2.5 CA 06</v>
      </c>
    </row>
    <row r="714" spans="1:49" ht="15" customHeight="1" outlineLevel="2">
      <c r="A714" s="545" t="str">
        <f t="shared" ref="A714" si="2623">A713</f>
        <v>N</v>
      </c>
      <c r="B714" s="526"/>
      <c r="C714" s="526" t="s">
        <v>1043</v>
      </c>
      <c r="D714" s="527" t="s">
        <v>1044</v>
      </c>
      <c r="E714" s="893"/>
      <c r="F714" s="895"/>
      <c r="G714" s="528"/>
      <c r="H714" s="549" t="s">
        <v>38</v>
      </c>
      <c r="I714" s="711">
        <v>0</v>
      </c>
      <c r="J714" s="897"/>
      <c r="K714" s="528"/>
      <c r="L714" s="549" t="s">
        <v>38</v>
      </c>
      <c r="M714" s="711">
        <f t="shared" si="2579"/>
        <v>0</v>
      </c>
      <c r="N714" s="897"/>
      <c r="O714" s="528"/>
      <c r="P714" s="547">
        <v>0</v>
      </c>
      <c r="Q714" s="547">
        <v>0</v>
      </c>
      <c r="R714" s="547">
        <v>0</v>
      </c>
      <c r="S714" s="547">
        <v>0</v>
      </c>
      <c r="T714" s="547">
        <v>0</v>
      </c>
      <c r="U714" s="547">
        <v>0</v>
      </c>
      <c r="V714" s="547">
        <v>0</v>
      </c>
      <c r="W714" s="528"/>
      <c r="X714" s="711">
        <f t="shared" si="2568"/>
        <v>0</v>
      </c>
      <c r="Y714" s="897"/>
      <c r="Z714" s="528"/>
      <c r="AA714" s="899"/>
      <c r="AB714" s="899"/>
      <c r="AC714" s="899"/>
      <c r="AD714" s="901"/>
      <c r="AE714" s="2"/>
      <c r="AF714" s="885"/>
      <c r="AG714" s="885"/>
      <c r="AH714" s="885"/>
      <c r="AI714" s="885"/>
      <c r="AJ714" s="885"/>
      <c r="AK714" s="885"/>
      <c r="AL714" s="885"/>
      <c r="AM714" s="879"/>
      <c r="AN714" s="2"/>
      <c r="AO714" s="886"/>
      <c r="AP714" s="886"/>
      <c r="AV714" t="str">
        <f t="shared" ref="AV714:AV777" si="2624">IF(AX714="Y",LEFT(E714,20),IF(AX714="x",E714,AV713))</f>
        <v xml:space="preserve">Aterro e compactação </v>
      </c>
      <c r="AW714" s="4" t="str">
        <f t="shared" si="2622"/>
        <v xml:space="preserve">   Execução de aterro compactado (PN a 95%) - Seg.2.5 CA 06</v>
      </c>
    </row>
    <row r="715" spans="1:49" ht="15" customHeight="1" outlineLevel="2">
      <c r="A715" s="545" t="str">
        <f t="shared" ref="A715" si="2625">IF(SUM(P715:V716)&gt;0,"S","N")</f>
        <v>S</v>
      </c>
      <c r="B715" s="526">
        <v>1065424</v>
      </c>
      <c r="C715" s="526" t="s">
        <v>1046</v>
      </c>
      <c r="D715" s="527" t="s">
        <v>1047</v>
      </c>
      <c r="E715" s="892" t="s">
        <v>1048</v>
      </c>
      <c r="F715" s="894" t="s">
        <v>36</v>
      </c>
      <c r="G715" s="528"/>
      <c r="H715" s="546" t="s">
        <v>37</v>
      </c>
      <c r="I715" s="711">
        <v>0</v>
      </c>
      <c r="J715" s="896" t="str">
        <f t="shared" ref="J715" si="2626">IFERROR((I716/I715),"-")</f>
        <v>-</v>
      </c>
      <c r="K715" s="528"/>
      <c r="L715" s="546" t="s">
        <v>37</v>
      </c>
      <c r="M715" s="711">
        <f t="shared" si="2579"/>
        <v>0</v>
      </c>
      <c r="N715" s="896" t="str">
        <f t="shared" ref="N715" si="2627">IFERROR((M716/M715),"-")</f>
        <v>-</v>
      </c>
      <c r="O715" s="528"/>
      <c r="P715" s="547">
        <v>0</v>
      </c>
      <c r="Q715" s="547">
        <v>0</v>
      </c>
      <c r="R715" s="547">
        <v>0</v>
      </c>
      <c r="S715" s="547">
        <v>0</v>
      </c>
      <c r="T715" s="547">
        <v>0</v>
      </c>
      <c r="U715" s="547">
        <v>0</v>
      </c>
      <c r="V715" s="547">
        <v>0</v>
      </c>
      <c r="W715" s="528"/>
      <c r="X715" s="711">
        <f t="shared" si="2568"/>
        <v>0</v>
      </c>
      <c r="Y715" s="896" t="str">
        <f t="shared" ref="Y715" si="2628">IFERROR((X716/X715),"0")</f>
        <v>0</v>
      </c>
      <c r="Z715" s="528"/>
      <c r="AA715" s="898">
        <v>0</v>
      </c>
      <c r="AB715" s="898">
        <v>0</v>
      </c>
      <c r="AC715" s="898">
        <v>18594.8</v>
      </c>
      <c r="AD715" s="900" t="str">
        <f t="shared" ref="AD715" si="2629">IFERROR((AC715/AB715),"-")</f>
        <v>-</v>
      </c>
      <c r="AE715" s="2"/>
      <c r="AF715" s="884">
        <v>0</v>
      </c>
      <c r="AG715" s="884"/>
      <c r="AH715" s="884">
        <v>0</v>
      </c>
      <c r="AI715" s="884"/>
      <c r="AJ715" s="884"/>
      <c r="AK715" s="884">
        <f t="shared" ref="AK715" si="2630">AF715+AG715+AH715+AI715+AJ715+AC715</f>
        <v>18594.8</v>
      </c>
      <c r="AL715" s="884">
        <v>0</v>
      </c>
      <c r="AM715" s="878" t="str">
        <f t="shared" ref="AM715" si="2631">IFERROR((AK715/AL715),"-")</f>
        <v>-</v>
      </c>
      <c r="AN715" s="2"/>
      <c r="AO715" s="884">
        <v>169484</v>
      </c>
      <c r="AP715" s="884">
        <f t="shared" ref="AP715" si="2632">AO715-AK715</f>
        <v>150889.20000000001</v>
      </c>
      <c r="AV715" t="str">
        <f t="shared" si="2624"/>
        <v xml:space="preserve">Aterro e compactação </v>
      </c>
      <c r="AW715" s="4" t="str">
        <f t="shared" si="2622"/>
        <v xml:space="preserve">   Execução de aterro compactado (PN a 95%) - Seg.2.5 CA 07</v>
      </c>
    </row>
    <row r="716" spans="1:49" ht="15" customHeight="1" outlineLevel="2">
      <c r="A716" s="545" t="str">
        <f t="shared" ref="A716" si="2633">A715</f>
        <v>S</v>
      </c>
      <c r="B716" s="526"/>
      <c r="C716" s="526" t="s">
        <v>1046</v>
      </c>
      <c r="D716" s="527" t="s">
        <v>1047</v>
      </c>
      <c r="E716" s="893"/>
      <c r="F716" s="895"/>
      <c r="G716" s="528"/>
      <c r="H716" s="549" t="s">
        <v>38</v>
      </c>
      <c r="I716" s="711">
        <v>8894.3599999999988</v>
      </c>
      <c r="J716" s="897"/>
      <c r="K716" s="528"/>
      <c r="L716" s="549" t="s">
        <v>38</v>
      </c>
      <c r="M716" s="711">
        <f t="shared" si="2579"/>
        <v>4067.04</v>
      </c>
      <c r="N716" s="897"/>
      <c r="O716" s="528"/>
      <c r="P716" s="547">
        <v>3489.9600000000005</v>
      </c>
      <c r="Q716" s="547">
        <v>4067.04</v>
      </c>
      <c r="R716" s="547">
        <v>0</v>
      </c>
      <c r="S716" s="547">
        <v>0</v>
      </c>
      <c r="T716" s="547">
        <v>0</v>
      </c>
      <c r="U716" s="547">
        <v>0</v>
      </c>
      <c r="V716" s="547">
        <v>0</v>
      </c>
      <c r="W716" s="528"/>
      <c r="X716" s="711">
        <f t="shared" si="2568"/>
        <v>7557</v>
      </c>
      <c r="Y716" s="897"/>
      <c r="Z716" s="528"/>
      <c r="AA716" s="899"/>
      <c r="AB716" s="899"/>
      <c r="AC716" s="899"/>
      <c r="AD716" s="901"/>
      <c r="AE716" s="2"/>
      <c r="AF716" s="885"/>
      <c r="AG716" s="885"/>
      <c r="AH716" s="885"/>
      <c r="AI716" s="885"/>
      <c r="AJ716" s="885"/>
      <c r="AK716" s="885"/>
      <c r="AL716" s="885"/>
      <c r="AM716" s="879"/>
      <c r="AN716" s="2"/>
      <c r="AO716" s="886"/>
      <c r="AP716" s="886"/>
      <c r="AV716" t="str">
        <f t="shared" si="2624"/>
        <v xml:space="preserve">Aterro e compactação </v>
      </c>
      <c r="AW716" s="4" t="str">
        <f t="shared" si="2622"/>
        <v xml:space="preserve">   Execução de aterro compactado (PN a 95%) - Seg.2.5 CA 07</v>
      </c>
    </row>
    <row r="717" spans="1:49" ht="15" customHeight="1" outlineLevel="2">
      <c r="A717" s="545" t="str">
        <f t="shared" ref="A717" si="2634">IF(SUM(P717:V718)&gt;0,"S","N")</f>
        <v>N</v>
      </c>
      <c r="B717" s="526">
        <v>1065426</v>
      </c>
      <c r="C717" s="526" t="s">
        <v>1049</v>
      </c>
      <c r="D717" s="527" t="s">
        <v>1050</v>
      </c>
      <c r="E717" s="892" t="s">
        <v>1051</v>
      </c>
      <c r="F717" s="894" t="s">
        <v>36</v>
      </c>
      <c r="G717" s="528"/>
      <c r="H717" s="546" t="s">
        <v>37</v>
      </c>
      <c r="I717" s="711">
        <v>0</v>
      </c>
      <c r="J717" s="896" t="str">
        <f t="shared" ref="J717" si="2635">IFERROR((I718/I717),"-")</f>
        <v>-</v>
      </c>
      <c r="K717" s="528"/>
      <c r="L717" s="546" t="s">
        <v>37</v>
      </c>
      <c r="M717" s="711">
        <f t="shared" si="2579"/>
        <v>0</v>
      </c>
      <c r="N717" s="896" t="str">
        <f t="shared" ref="N717" si="2636">IFERROR((M718/M717),"-")</f>
        <v>-</v>
      </c>
      <c r="O717" s="528"/>
      <c r="P717" s="547">
        <v>0</v>
      </c>
      <c r="Q717" s="547">
        <v>0</v>
      </c>
      <c r="R717" s="547">
        <v>0</v>
      </c>
      <c r="S717" s="547">
        <v>0</v>
      </c>
      <c r="T717" s="547">
        <v>0</v>
      </c>
      <c r="U717" s="547">
        <v>0</v>
      </c>
      <c r="V717" s="547">
        <v>0</v>
      </c>
      <c r="W717" s="528"/>
      <c r="X717" s="711">
        <f t="shared" si="2568"/>
        <v>0</v>
      </c>
      <c r="Y717" s="896" t="str">
        <f t="shared" ref="Y717" si="2637">IFERROR((X718/X717),"0")</f>
        <v>0</v>
      </c>
      <c r="Z717" s="528"/>
      <c r="AA717" s="898">
        <v>1571.07</v>
      </c>
      <c r="AB717" s="898">
        <v>0</v>
      </c>
      <c r="AC717" s="898">
        <v>0</v>
      </c>
      <c r="AD717" s="900" t="str">
        <f t="shared" ref="AD717" si="2638">IFERROR((AC717/AB717),"-")</f>
        <v>-</v>
      </c>
      <c r="AE717" s="2"/>
      <c r="AF717" s="884">
        <v>0</v>
      </c>
      <c r="AG717" s="884"/>
      <c r="AH717" s="884">
        <v>0</v>
      </c>
      <c r="AI717" s="884"/>
      <c r="AJ717" s="884"/>
      <c r="AK717" s="884">
        <f t="shared" ref="AK717" si="2639">AF717+AG717+AH717+AI717+AJ717+AC717</f>
        <v>0</v>
      </c>
      <c r="AL717" s="884">
        <v>0</v>
      </c>
      <c r="AM717" s="878" t="str">
        <f t="shared" ref="AM717" si="2640">IFERROR((AK717/AL717),"-")</f>
        <v>-</v>
      </c>
      <c r="AN717" s="2"/>
      <c r="AO717" s="884">
        <v>3263</v>
      </c>
      <c r="AP717" s="884">
        <f t="shared" ref="AP717" si="2641">AO717-AK717</f>
        <v>3263</v>
      </c>
      <c r="AV717" t="str">
        <f t="shared" si="2624"/>
        <v xml:space="preserve">Aterro e compactação </v>
      </c>
      <c r="AW717" s="4" t="str">
        <f t="shared" si="2622"/>
        <v xml:space="preserve">   Execução de aterro compactado (PN a 95%) - Seg.2.5 CA 08</v>
      </c>
    </row>
    <row r="718" spans="1:49" ht="15" customHeight="1" outlineLevel="2">
      <c r="A718" s="545" t="str">
        <f t="shared" ref="A718" si="2642">A717</f>
        <v>N</v>
      </c>
      <c r="B718" s="526"/>
      <c r="C718" s="526" t="s">
        <v>1049</v>
      </c>
      <c r="D718" s="527" t="s">
        <v>1050</v>
      </c>
      <c r="E718" s="893"/>
      <c r="F718" s="895"/>
      <c r="G718" s="528"/>
      <c r="H718" s="549" t="s">
        <v>38</v>
      </c>
      <c r="I718" s="711">
        <v>0</v>
      </c>
      <c r="J718" s="897"/>
      <c r="K718" s="528"/>
      <c r="L718" s="549" t="s">
        <v>38</v>
      </c>
      <c r="M718" s="711">
        <f t="shared" si="2579"/>
        <v>0</v>
      </c>
      <c r="N718" s="897"/>
      <c r="O718" s="528"/>
      <c r="P718" s="547">
        <v>0</v>
      </c>
      <c r="Q718" s="547">
        <v>0</v>
      </c>
      <c r="R718" s="547">
        <v>0</v>
      </c>
      <c r="S718" s="547">
        <v>0</v>
      </c>
      <c r="T718" s="547">
        <v>0</v>
      </c>
      <c r="U718" s="547">
        <v>0</v>
      </c>
      <c r="V718" s="547">
        <v>0</v>
      </c>
      <c r="W718" s="528"/>
      <c r="X718" s="711">
        <f t="shared" si="2568"/>
        <v>0</v>
      </c>
      <c r="Y718" s="897"/>
      <c r="Z718" s="528"/>
      <c r="AA718" s="899"/>
      <c r="AB718" s="899"/>
      <c r="AC718" s="899"/>
      <c r="AD718" s="901"/>
      <c r="AE718" s="2"/>
      <c r="AF718" s="885"/>
      <c r="AG718" s="885"/>
      <c r="AH718" s="885"/>
      <c r="AI718" s="885"/>
      <c r="AJ718" s="885"/>
      <c r="AK718" s="885"/>
      <c r="AL718" s="885"/>
      <c r="AM718" s="879"/>
      <c r="AN718" s="2"/>
      <c r="AO718" s="886"/>
      <c r="AP718" s="886"/>
      <c r="AV718" t="str">
        <f t="shared" si="2624"/>
        <v xml:space="preserve">Aterro e compactação </v>
      </c>
      <c r="AW718" s="4" t="str">
        <f t="shared" si="2622"/>
        <v xml:space="preserve">   Execução de aterro compactado (PN a 95%) - Seg.2.5 CA 08</v>
      </c>
    </row>
    <row r="719" spans="1:49" ht="15" customHeight="1" outlineLevel="2">
      <c r="A719" s="545" t="str">
        <f t="shared" ref="A719" si="2643">IF(SUM(P719:V720)&gt;0,"S","N")</f>
        <v>S</v>
      </c>
      <c r="B719" s="526">
        <v>1065428</v>
      </c>
      <c r="C719" s="526" t="s">
        <v>1052</v>
      </c>
      <c r="D719" s="527" t="s">
        <v>1053</v>
      </c>
      <c r="E719" s="892" t="s">
        <v>1054</v>
      </c>
      <c r="F719" s="894" t="s">
        <v>36</v>
      </c>
      <c r="G719" s="528"/>
      <c r="H719" s="546" t="s">
        <v>37</v>
      </c>
      <c r="I719" s="711">
        <v>0</v>
      </c>
      <c r="J719" s="896" t="str">
        <f t="shared" ref="J719" si="2644">IFERROR((I720/I719),"-")</f>
        <v>-</v>
      </c>
      <c r="K719" s="528"/>
      <c r="L719" s="546" t="s">
        <v>37</v>
      </c>
      <c r="M719" s="711">
        <f t="shared" si="2579"/>
        <v>2240</v>
      </c>
      <c r="N719" s="896">
        <f t="shared" ref="N719" si="2645">IFERROR((M720/M719),"-")</f>
        <v>0.8015000000000001</v>
      </c>
      <c r="O719" s="528"/>
      <c r="P719" s="547">
        <v>2240</v>
      </c>
      <c r="Q719" s="547">
        <v>2240</v>
      </c>
      <c r="R719" s="547">
        <v>2240</v>
      </c>
      <c r="S719" s="547">
        <v>2240</v>
      </c>
      <c r="T719" s="547">
        <v>1920</v>
      </c>
      <c r="U719" s="547">
        <v>1920</v>
      </c>
      <c r="V719" s="547">
        <v>0</v>
      </c>
      <c r="W719" s="528"/>
      <c r="X719" s="711">
        <f t="shared" si="2568"/>
        <v>4480</v>
      </c>
      <c r="Y719" s="896">
        <f t="shared" ref="Y719" si="2646">IFERROR((X720/X719),"0")</f>
        <v>0.80558928571428567</v>
      </c>
      <c r="Z719" s="528"/>
      <c r="AA719" s="898">
        <v>0</v>
      </c>
      <c r="AB719" s="898">
        <v>0</v>
      </c>
      <c r="AC719" s="898">
        <v>19895.52</v>
      </c>
      <c r="AD719" s="900" t="str">
        <f t="shared" ref="AD719" si="2647">IFERROR((AC719/AB719),"-")</f>
        <v>-</v>
      </c>
      <c r="AE719" s="2"/>
      <c r="AF719" s="884">
        <v>0</v>
      </c>
      <c r="AG719" s="884"/>
      <c r="AH719" s="884">
        <v>3938.7999999999997</v>
      </c>
      <c r="AI719" s="884"/>
      <c r="AJ719" s="884"/>
      <c r="AK719" s="884">
        <f t="shared" ref="AK719" si="2648">AF719+AG719+AH719+AI719+AJ719+AC719</f>
        <v>23834.32</v>
      </c>
      <c r="AL719" s="884">
        <v>1675.9999999999995</v>
      </c>
      <c r="AM719" s="878">
        <f t="shared" ref="AM719" si="2649">IFERROR((AK719/AL719),"-")</f>
        <v>14.220954653937952</v>
      </c>
      <c r="AN719" s="2"/>
      <c r="AO719" s="884">
        <v>58045</v>
      </c>
      <c r="AP719" s="884">
        <f t="shared" ref="AP719" si="2650">AO719-AK719</f>
        <v>34210.68</v>
      </c>
      <c r="AV719" t="str">
        <f t="shared" si="2624"/>
        <v xml:space="preserve">Aterro e compactação </v>
      </c>
      <c r="AW719" s="4" t="str">
        <f t="shared" si="2622"/>
        <v xml:space="preserve">   Execução de aterro compactado (PN a 95%) - Seg.2.5 CA 09</v>
      </c>
    </row>
    <row r="720" spans="1:49" ht="15" customHeight="1" outlineLevel="2">
      <c r="A720" s="545" t="str">
        <f t="shared" ref="A720" si="2651">A719</f>
        <v>S</v>
      </c>
      <c r="B720" s="526"/>
      <c r="C720" s="526" t="s">
        <v>1052</v>
      </c>
      <c r="D720" s="527" t="s">
        <v>1053</v>
      </c>
      <c r="E720" s="893"/>
      <c r="F720" s="895"/>
      <c r="G720" s="528"/>
      <c r="H720" s="549" t="s">
        <v>38</v>
      </c>
      <c r="I720" s="711">
        <v>11184.36</v>
      </c>
      <c r="J720" s="897"/>
      <c r="K720" s="528"/>
      <c r="L720" s="549" t="s">
        <v>38</v>
      </c>
      <c r="M720" s="711">
        <f t="shared" si="2579"/>
        <v>1795.3600000000001</v>
      </c>
      <c r="N720" s="897"/>
      <c r="O720" s="528"/>
      <c r="P720" s="547">
        <v>1813.68</v>
      </c>
      <c r="Q720" s="547">
        <v>1795.3600000000001</v>
      </c>
      <c r="R720" s="547">
        <v>0</v>
      </c>
      <c r="S720" s="547">
        <v>0</v>
      </c>
      <c r="T720" s="547">
        <v>0</v>
      </c>
      <c r="U720" s="547">
        <v>0</v>
      </c>
      <c r="V720" s="547">
        <v>0</v>
      </c>
      <c r="W720" s="528"/>
      <c r="X720" s="711">
        <f t="shared" si="2568"/>
        <v>3609.04</v>
      </c>
      <c r="Y720" s="897"/>
      <c r="Z720" s="528"/>
      <c r="AA720" s="899"/>
      <c r="AB720" s="899"/>
      <c r="AC720" s="899"/>
      <c r="AD720" s="901"/>
      <c r="AE720" s="2"/>
      <c r="AF720" s="885"/>
      <c r="AG720" s="885"/>
      <c r="AH720" s="885"/>
      <c r="AI720" s="885"/>
      <c r="AJ720" s="885"/>
      <c r="AK720" s="885"/>
      <c r="AL720" s="885"/>
      <c r="AM720" s="879"/>
      <c r="AN720" s="2"/>
      <c r="AO720" s="886"/>
      <c r="AP720" s="886"/>
      <c r="AV720" t="str">
        <f t="shared" si="2624"/>
        <v xml:space="preserve">Aterro e compactação </v>
      </c>
      <c r="AW720" s="4" t="str">
        <f t="shared" si="2622"/>
        <v xml:space="preserve">   Execução de aterro compactado (PN a 95%) - Seg.2.5 CA 09</v>
      </c>
    </row>
    <row r="721" spans="1:49" ht="15" customHeight="1" outlineLevel="2">
      <c r="A721" s="545" t="str">
        <f t="shared" ref="A721" si="2652">IF(SUM(P721:V722)&gt;0,"S","N")</f>
        <v>S</v>
      </c>
      <c r="B721" s="526">
        <v>1065430</v>
      </c>
      <c r="C721" s="526" t="s">
        <v>1055</v>
      </c>
      <c r="D721" s="527" t="s">
        <v>1056</v>
      </c>
      <c r="E721" s="892" t="s">
        <v>1057</v>
      </c>
      <c r="F721" s="894" t="s">
        <v>36</v>
      </c>
      <c r="G721" s="528"/>
      <c r="H721" s="546" t="s">
        <v>37</v>
      </c>
      <c r="I721" s="711">
        <v>12800</v>
      </c>
      <c r="J721" s="896">
        <f t="shared" ref="J721" si="2653">IFERROR((I722/I721),"-")</f>
        <v>0.64119999999999999</v>
      </c>
      <c r="K721" s="528"/>
      <c r="L721" s="546" t="s">
        <v>37</v>
      </c>
      <c r="M721" s="711">
        <f t="shared" si="2579"/>
        <v>1200</v>
      </c>
      <c r="N721" s="896">
        <f t="shared" ref="N721" si="2654">IFERROR((M722/M721),"-")</f>
        <v>0</v>
      </c>
      <c r="O721" s="528"/>
      <c r="P721" s="547">
        <v>1200</v>
      </c>
      <c r="Q721" s="547">
        <v>1200</v>
      </c>
      <c r="R721" s="547">
        <v>1200</v>
      </c>
      <c r="S721" s="547">
        <v>1200</v>
      </c>
      <c r="T721" s="547">
        <v>960</v>
      </c>
      <c r="U721" s="547">
        <v>960</v>
      </c>
      <c r="V721" s="547">
        <v>0</v>
      </c>
      <c r="W721" s="528"/>
      <c r="X721" s="711">
        <f t="shared" si="2568"/>
        <v>2400</v>
      </c>
      <c r="Y721" s="896">
        <f t="shared" ref="Y721" si="2655">IFERROR((X722/X721),"0")</f>
        <v>0.24808333333333332</v>
      </c>
      <c r="Z721" s="528"/>
      <c r="AA721" s="898">
        <v>0</v>
      </c>
      <c r="AB721" s="898">
        <v>0</v>
      </c>
      <c r="AC721" s="898">
        <v>15077.360000000002</v>
      </c>
      <c r="AD721" s="900" t="str">
        <f t="shared" ref="AD721" si="2656">IFERROR((AC721/AB721),"-")</f>
        <v>-</v>
      </c>
      <c r="AE721" s="2"/>
      <c r="AF721" s="884">
        <v>0</v>
      </c>
      <c r="AG721" s="884"/>
      <c r="AH721" s="884">
        <v>15452.920000000002</v>
      </c>
      <c r="AI721" s="884"/>
      <c r="AJ721" s="884">
        <v>376.71</v>
      </c>
      <c r="AK721" s="884">
        <f t="shared" ref="AK721" si="2657">AF721+AG721+AH721+AI721+AJ721+AC721</f>
        <v>30906.990000000005</v>
      </c>
      <c r="AL721" s="884">
        <v>7567.75</v>
      </c>
      <c r="AM721" s="878">
        <f t="shared" ref="AM721" si="2658">IFERROR((AK721/AL721),"-")</f>
        <v>4.0840395097618192</v>
      </c>
      <c r="AN721" s="2"/>
      <c r="AO721" s="884">
        <v>25634</v>
      </c>
      <c r="AP721" s="884">
        <f t="shared" ref="AP721" si="2659">AO721-AK721</f>
        <v>-5272.9900000000052</v>
      </c>
      <c r="AV721" t="str">
        <f t="shared" si="2624"/>
        <v xml:space="preserve">Aterro e compactação </v>
      </c>
      <c r="AW721" s="4" t="str">
        <f t="shared" si="2622"/>
        <v xml:space="preserve">   Execução de aterro compactado (PN a 95%) - Seg.2.5 CA 10</v>
      </c>
    </row>
    <row r="722" spans="1:49" ht="15" customHeight="1" outlineLevel="2">
      <c r="A722" s="545" t="str">
        <f t="shared" ref="A722" si="2660">A721</f>
        <v>S</v>
      </c>
      <c r="B722" s="526"/>
      <c r="C722" s="526" t="s">
        <v>1055</v>
      </c>
      <c r="D722" s="527" t="s">
        <v>1056</v>
      </c>
      <c r="E722" s="893"/>
      <c r="F722" s="895"/>
      <c r="G722" s="528"/>
      <c r="H722" s="549" t="s">
        <v>38</v>
      </c>
      <c r="I722" s="711">
        <v>8207.36</v>
      </c>
      <c r="J722" s="897"/>
      <c r="K722" s="528"/>
      <c r="L722" s="549" t="s">
        <v>38</v>
      </c>
      <c r="M722" s="711">
        <f t="shared" si="2579"/>
        <v>0</v>
      </c>
      <c r="N722" s="897"/>
      <c r="O722" s="528"/>
      <c r="P722" s="547">
        <v>595.4</v>
      </c>
      <c r="Q722" s="547">
        <v>0</v>
      </c>
      <c r="R722" s="547">
        <v>0</v>
      </c>
      <c r="S722" s="547">
        <v>0</v>
      </c>
      <c r="T722" s="547">
        <v>0</v>
      </c>
      <c r="U722" s="547">
        <v>0</v>
      </c>
      <c r="V722" s="547">
        <v>0</v>
      </c>
      <c r="W722" s="528"/>
      <c r="X722" s="711">
        <f t="shared" si="2568"/>
        <v>595.4</v>
      </c>
      <c r="Y722" s="897"/>
      <c r="Z722" s="528"/>
      <c r="AA722" s="899"/>
      <c r="AB722" s="899"/>
      <c r="AC722" s="899"/>
      <c r="AD722" s="901"/>
      <c r="AE722" s="2"/>
      <c r="AF722" s="885"/>
      <c r="AG722" s="885"/>
      <c r="AH722" s="885"/>
      <c r="AI722" s="885"/>
      <c r="AJ722" s="885"/>
      <c r="AK722" s="885"/>
      <c r="AL722" s="885"/>
      <c r="AM722" s="879"/>
      <c r="AN722" s="2"/>
      <c r="AO722" s="886"/>
      <c r="AP722" s="886"/>
      <c r="AV722" t="str">
        <f t="shared" si="2624"/>
        <v xml:space="preserve">Aterro e compactação </v>
      </c>
      <c r="AW722" s="4" t="str">
        <f t="shared" si="2622"/>
        <v xml:space="preserve">   Execução de aterro compactado (PN a 95%) - Seg.2.5 CA 10</v>
      </c>
    </row>
    <row r="723" spans="1:49" ht="15" customHeight="1" outlineLevel="2">
      <c r="A723" s="545" t="str">
        <f t="shared" ref="A723" si="2661">IF(SUM(P723:V724)&gt;0,"S","N")</f>
        <v>S</v>
      </c>
      <c r="B723" s="526">
        <v>1065432</v>
      </c>
      <c r="C723" s="526" t="s">
        <v>1058</v>
      </c>
      <c r="D723" s="527" t="s">
        <v>1059</v>
      </c>
      <c r="E723" s="892" t="s">
        <v>1060</v>
      </c>
      <c r="F723" s="894" t="s">
        <v>36</v>
      </c>
      <c r="G723" s="528"/>
      <c r="H723" s="546" t="s">
        <v>37</v>
      </c>
      <c r="I723" s="711">
        <v>0</v>
      </c>
      <c r="J723" s="896" t="str">
        <f t="shared" ref="J723" si="2662">IFERROR((I724/I723),"-")</f>
        <v>-</v>
      </c>
      <c r="K723" s="528"/>
      <c r="L723" s="546" t="s">
        <v>37</v>
      </c>
      <c r="M723" s="711">
        <f t="shared" si="2579"/>
        <v>0</v>
      </c>
      <c r="N723" s="896" t="str">
        <f t="shared" ref="N723" si="2663">IFERROR((M724/M723),"-")</f>
        <v>-</v>
      </c>
      <c r="O723" s="528"/>
      <c r="P723" s="547">
        <v>0</v>
      </c>
      <c r="Q723" s="547">
        <v>0</v>
      </c>
      <c r="R723" s="547">
        <v>0</v>
      </c>
      <c r="S723" s="547">
        <v>0</v>
      </c>
      <c r="T723" s="547">
        <v>0</v>
      </c>
      <c r="U723" s="547">
        <v>0</v>
      </c>
      <c r="V723" s="547">
        <v>0</v>
      </c>
      <c r="W723" s="528"/>
      <c r="X723" s="711">
        <f t="shared" si="2568"/>
        <v>0</v>
      </c>
      <c r="Y723" s="896" t="str">
        <f t="shared" ref="Y723" si="2664">IFERROR((X724/X723),"0")</f>
        <v>0</v>
      </c>
      <c r="Z723" s="528"/>
      <c r="AA723" s="898">
        <v>54225.95</v>
      </c>
      <c r="AB723" s="898">
        <v>132.71</v>
      </c>
      <c r="AC723" s="898">
        <v>8931</v>
      </c>
      <c r="AD723" s="900">
        <f t="shared" ref="AD723" si="2665">IFERROR((AC723/AB723),"-")</f>
        <v>67.297114007987332</v>
      </c>
      <c r="AE723" s="2"/>
      <c r="AF723" s="884">
        <v>0</v>
      </c>
      <c r="AG723" s="884"/>
      <c r="AH723" s="884">
        <v>3947.96</v>
      </c>
      <c r="AI723" s="884"/>
      <c r="AJ723" s="884"/>
      <c r="AK723" s="884">
        <f t="shared" ref="AK723" si="2666">AF723+AG723+AH723+AI723+AJ723+AC723</f>
        <v>12878.96</v>
      </c>
      <c r="AL723" s="884">
        <v>5509.4599999999982</v>
      </c>
      <c r="AM723" s="878">
        <f t="shared" ref="AM723" si="2667">IFERROR((AK723/AL723),"-")</f>
        <v>2.3376084044534315</v>
      </c>
      <c r="AN723" s="2"/>
      <c r="AO723" s="884">
        <v>59603</v>
      </c>
      <c r="AP723" s="884">
        <f t="shared" ref="AP723" si="2668">AO723-AK723</f>
        <v>46724.04</v>
      </c>
      <c r="AV723" t="str">
        <f t="shared" si="2624"/>
        <v xml:space="preserve">Aterro e compactação </v>
      </c>
      <c r="AW723" s="4" t="str">
        <f t="shared" si="2622"/>
        <v xml:space="preserve">   Execução de aterro compactado (PN a 95%) - Seg.2.5 CA 11</v>
      </c>
    </row>
    <row r="724" spans="1:49" ht="15" customHeight="1" outlineLevel="2">
      <c r="A724" s="545" t="str">
        <f t="shared" ref="A724" si="2669">A723</f>
        <v>S</v>
      </c>
      <c r="B724" s="526"/>
      <c r="C724" s="526" t="s">
        <v>1058</v>
      </c>
      <c r="D724" s="527" t="s">
        <v>1059</v>
      </c>
      <c r="E724" s="893"/>
      <c r="F724" s="895"/>
      <c r="G724" s="528"/>
      <c r="H724" s="549" t="s">
        <v>38</v>
      </c>
      <c r="I724" s="711">
        <v>3691.4800000000005</v>
      </c>
      <c r="J724" s="897"/>
      <c r="K724" s="528"/>
      <c r="L724" s="549" t="s">
        <v>38</v>
      </c>
      <c r="M724" s="711">
        <f t="shared" si="2579"/>
        <v>2857.92</v>
      </c>
      <c r="N724" s="897"/>
      <c r="O724" s="528"/>
      <c r="P724" s="547">
        <v>1603</v>
      </c>
      <c r="Q724" s="547">
        <v>2857.92</v>
      </c>
      <c r="R724" s="547">
        <v>0</v>
      </c>
      <c r="S724" s="547">
        <v>0</v>
      </c>
      <c r="T724" s="547">
        <v>0</v>
      </c>
      <c r="U724" s="547">
        <v>0</v>
      </c>
      <c r="V724" s="547">
        <v>0</v>
      </c>
      <c r="W724" s="528"/>
      <c r="X724" s="711">
        <f t="shared" si="2568"/>
        <v>4460.92</v>
      </c>
      <c r="Y724" s="897"/>
      <c r="Z724" s="528"/>
      <c r="AA724" s="899"/>
      <c r="AB724" s="899"/>
      <c r="AC724" s="899"/>
      <c r="AD724" s="901"/>
      <c r="AE724" s="2"/>
      <c r="AF724" s="885"/>
      <c r="AG724" s="885"/>
      <c r="AH724" s="885"/>
      <c r="AI724" s="885"/>
      <c r="AJ724" s="885"/>
      <c r="AK724" s="885"/>
      <c r="AL724" s="885"/>
      <c r="AM724" s="879"/>
      <c r="AN724" s="2"/>
      <c r="AO724" s="886"/>
      <c r="AP724" s="886"/>
      <c r="AV724" t="str">
        <f t="shared" si="2624"/>
        <v xml:space="preserve">Aterro e compactação </v>
      </c>
      <c r="AW724" s="4" t="str">
        <f t="shared" si="2622"/>
        <v xml:space="preserve">   Execução de aterro compactado (PN a 95%) - Seg.2.5 CA 11</v>
      </c>
    </row>
    <row r="725" spans="1:49" ht="15" customHeight="1" outlineLevel="2">
      <c r="A725" s="525" t="str">
        <f t="shared" ref="A725" si="2670">IF(SUM(P725:V726)&gt;0,"S","N")</f>
        <v>S</v>
      </c>
      <c r="B725" s="526">
        <v>1065435</v>
      </c>
      <c r="C725" s="526" t="s">
        <v>1061</v>
      </c>
      <c r="D725" s="527" t="s">
        <v>1062</v>
      </c>
      <c r="E725" s="892" t="s">
        <v>1063</v>
      </c>
      <c r="F725" s="894" t="s">
        <v>36</v>
      </c>
      <c r="G725" s="528"/>
      <c r="H725" s="546" t="s">
        <v>37</v>
      </c>
      <c r="I725" s="711">
        <v>22976</v>
      </c>
      <c r="J725" s="896">
        <f t="shared" ref="J725" si="2671">IFERROR((I726/I725),"-")</f>
        <v>1.0297823816155991</v>
      </c>
      <c r="K725" s="528"/>
      <c r="L725" s="546" t="s">
        <v>37</v>
      </c>
      <c r="M725" s="711">
        <f>_xlfn.XLOOKUP($N$8,$P$8:$V$8,$P725:$V725)</f>
        <v>3936</v>
      </c>
      <c r="N725" s="896">
        <f t="shared" ref="N725" si="2672">IFERROR((M726/M725),"-")</f>
        <v>0.49337398373983743</v>
      </c>
      <c r="O725" s="528"/>
      <c r="P725" s="547">
        <v>3936</v>
      </c>
      <c r="Q725" s="547">
        <v>3936</v>
      </c>
      <c r="R725" s="547">
        <v>3936</v>
      </c>
      <c r="S725" s="547">
        <v>3936</v>
      </c>
      <c r="T725" s="547">
        <v>3616</v>
      </c>
      <c r="U725" s="547">
        <v>3616</v>
      </c>
      <c r="V725" s="547">
        <v>0</v>
      </c>
      <c r="W725" s="528"/>
      <c r="X725" s="711">
        <f t="shared" si="2568"/>
        <v>7872</v>
      </c>
      <c r="Y725" s="896">
        <f t="shared" ref="Y725" si="2673">IFERROR((X726/X725),"0")</f>
        <v>0.54690040650406513</v>
      </c>
      <c r="Z725" s="528"/>
      <c r="AA725" s="898">
        <v>114313.77</v>
      </c>
      <c r="AB725" s="898">
        <v>112769.04</v>
      </c>
      <c r="AC725" s="898">
        <v>55592.040000000023</v>
      </c>
      <c r="AD725" s="900">
        <f t="shared" ref="AD725" si="2674">IFERROR((AC725/AB725),"-")</f>
        <v>0.49297253927141726</v>
      </c>
      <c r="AE725" s="2"/>
      <c r="AF725" s="884">
        <v>46795</v>
      </c>
      <c r="AG725" s="884"/>
      <c r="AH725" s="884">
        <v>96445.919999999984</v>
      </c>
      <c r="AI725" s="884">
        <v>25156.946</v>
      </c>
      <c r="AJ725" s="884">
        <v>133242.30600000001</v>
      </c>
      <c r="AK725" s="884">
        <f t="shared" ref="AK725" si="2675">AF725+AG725+AH725+AI725+AJ725+AC725</f>
        <v>357232.21200000006</v>
      </c>
      <c r="AL725" s="884">
        <v>377160.24999999994</v>
      </c>
      <c r="AM725" s="878">
        <f t="shared" ref="AM725" si="2676">IFERROR((AK725/AL725),"-")</f>
        <v>0.94716294201204954</v>
      </c>
      <c r="AN725" s="2"/>
      <c r="AO725" s="884">
        <v>378705.8</v>
      </c>
      <c r="AP725" s="884">
        <f t="shared" ref="AP725" si="2677">AO725-AK725</f>
        <v>21473.587999999931</v>
      </c>
      <c r="AV725" t="str">
        <f t="shared" si="2624"/>
        <v xml:space="preserve">Aterro e compactação </v>
      </c>
      <c r="AW725" s="4" t="str">
        <f t="shared" si="2622"/>
        <v xml:space="preserve">   Execução de aterro compactado (PN a 95%) - Seg.2.5 CA 13</v>
      </c>
    </row>
    <row r="726" spans="1:49" ht="15" customHeight="1" outlineLevel="2">
      <c r="A726" s="525" t="str">
        <f t="shared" ref="A726" si="2678">A725</f>
        <v>S</v>
      </c>
      <c r="B726" s="526"/>
      <c r="C726" s="526" t="s">
        <v>1061</v>
      </c>
      <c r="D726" s="527" t="s">
        <v>1062</v>
      </c>
      <c r="E726" s="893"/>
      <c r="F726" s="895"/>
      <c r="G726" s="528"/>
      <c r="H726" s="549" t="s">
        <v>38</v>
      </c>
      <c r="I726" s="711">
        <v>23660.280000000002</v>
      </c>
      <c r="J726" s="897"/>
      <c r="K726" s="528"/>
      <c r="L726" s="549" t="s">
        <v>38</v>
      </c>
      <c r="M726" s="711">
        <f>_xlfn.XLOOKUP($N$8,$P$8:$V$8,$P726:$V726)</f>
        <v>1941.92</v>
      </c>
      <c r="N726" s="897"/>
      <c r="O726" s="528"/>
      <c r="P726" s="547">
        <v>2363.2800000000002</v>
      </c>
      <c r="Q726" s="547">
        <v>1941.92</v>
      </c>
      <c r="R726" s="547">
        <v>0</v>
      </c>
      <c r="S726" s="547">
        <v>0</v>
      </c>
      <c r="T726" s="547">
        <v>0</v>
      </c>
      <c r="U726" s="547">
        <v>0</v>
      </c>
      <c r="V726" s="547">
        <v>0</v>
      </c>
      <c r="W726" s="528"/>
      <c r="X726" s="711">
        <f t="shared" si="2568"/>
        <v>4305.2000000000007</v>
      </c>
      <c r="Y726" s="897"/>
      <c r="Z726" s="528"/>
      <c r="AA726" s="899"/>
      <c r="AB726" s="899"/>
      <c r="AC726" s="899"/>
      <c r="AD726" s="901"/>
      <c r="AE726" s="2"/>
      <c r="AF726" s="885"/>
      <c r="AG726" s="885"/>
      <c r="AH726" s="885"/>
      <c r="AI726" s="885"/>
      <c r="AJ726" s="885"/>
      <c r="AK726" s="885"/>
      <c r="AL726" s="885"/>
      <c r="AM726" s="879"/>
      <c r="AN726" s="2"/>
      <c r="AO726" s="886"/>
      <c r="AP726" s="886"/>
      <c r="AV726" t="str">
        <f t="shared" si="2624"/>
        <v xml:space="preserve">Aterro e compactação </v>
      </c>
      <c r="AW726" s="4" t="str">
        <f t="shared" si="2622"/>
        <v xml:space="preserve">   Execução de aterro compactado (PN a 95%) - Seg.2.5 CA 13</v>
      </c>
    </row>
    <row r="727" spans="1:49" ht="15" customHeight="1" outlineLevel="2">
      <c r="A727" s="545" t="str">
        <f t="shared" ref="A727" si="2679">IF(SUM(P727:V728)&gt;0,"S","N")</f>
        <v>N</v>
      </c>
      <c r="B727" s="526">
        <v>1066120</v>
      </c>
      <c r="C727" s="526" t="s">
        <v>1064</v>
      </c>
      <c r="D727" s="527" t="s">
        <v>1065</v>
      </c>
      <c r="E727" s="892" t="s">
        <v>1066</v>
      </c>
      <c r="F727" s="894" t="s">
        <v>36</v>
      </c>
      <c r="G727" s="528"/>
      <c r="H727" s="546" t="s">
        <v>37</v>
      </c>
      <c r="I727" s="711">
        <v>0</v>
      </c>
      <c r="J727" s="896" t="str">
        <f t="shared" ref="J727" si="2680">IFERROR((I728/I727),"-")</f>
        <v>-</v>
      </c>
      <c r="K727" s="528"/>
      <c r="L727" s="546" t="s">
        <v>37</v>
      </c>
      <c r="M727" s="711">
        <f t="shared" ref="M727:M778" si="2681">_xlfn.XLOOKUP($N$8,$P$8:$V$8,$P727:$V727)</f>
        <v>0</v>
      </c>
      <c r="N727" s="896" t="str">
        <f t="shared" ref="N727" si="2682">IFERROR((M728/M727),"-")</f>
        <v>-</v>
      </c>
      <c r="O727" s="528"/>
      <c r="P727" s="547">
        <v>0</v>
      </c>
      <c r="Q727" s="547">
        <v>0</v>
      </c>
      <c r="R727" s="547">
        <v>0</v>
      </c>
      <c r="S727" s="547">
        <v>0</v>
      </c>
      <c r="T727" s="547">
        <v>0</v>
      </c>
      <c r="U727" s="547">
        <v>0</v>
      </c>
      <c r="V727" s="547">
        <v>0</v>
      </c>
      <c r="W727" s="528"/>
      <c r="X727" s="711">
        <f t="shared" si="2568"/>
        <v>0</v>
      </c>
      <c r="Y727" s="896" t="str">
        <f t="shared" ref="Y727" si="2683">IFERROR((X728/X727),"0")</f>
        <v>0</v>
      </c>
      <c r="Z727" s="528"/>
      <c r="AA727" s="898">
        <v>0</v>
      </c>
      <c r="AB727" s="898">
        <v>0</v>
      </c>
      <c r="AC727" s="898">
        <v>0</v>
      </c>
      <c r="AD727" s="900" t="str">
        <f t="shared" ref="AD727" si="2684">IFERROR((AC727/AB727),"-")</f>
        <v>-</v>
      </c>
      <c r="AE727" s="2"/>
      <c r="AF727" s="884">
        <v>0</v>
      </c>
      <c r="AG727" s="884"/>
      <c r="AH727" s="884">
        <v>0</v>
      </c>
      <c r="AI727" s="884"/>
      <c r="AJ727" s="884"/>
      <c r="AK727" s="884">
        <f t="shared" ref="AK727" si="2685">AF727+AG727+AH727+AI727+AJ727+AC727</f>
        <v>0</v>
      </c>
      <c r="AL727" s="884">
        <v>0</v>
      </c>
      <c r="AM727" s="878" t="str">
        <f t="shared" ref="AM727" si="2686">IFERROR((AK727/AL727),"-")</f>
        <v>-</v>
      </c>
      <c r="AN727" s="2"/>
      <c r="AO727" s="884">
        <v>530</v>
      </c>
      <c r="AP727" s="884">
        <f t="shared" ref="AP727" si="2687">AO727-AK727</f>
        <v>530</v>
      </c>
      <c r="AV727" t="str">
        <f t="shared" si="2624"/>
        <v xml:space="preserve">Aterro e compactação </v>
      </c>
      <c r="AW727" s="4" t="str">
        <f t="shared" si="2622"/>
        <v xml:space="preserve">   Execução de aterro compactado - Seg.2.5 acesso km 139+200</v>
      </c>
    </row>
    <row r="728" spans="1:49" ht="15" customHeight="1" outlineLevel="2">
      <c r="A728" s="545" t="str">
        <f t="shared" ref="A728" si="2688">A727</f>
        <v>N</v>
      </c>
      <c r="B728" s="526"/>
      <c r="C728" s="526" t="s">
        <v>1064</v>
      </c>
      <c r="D728" s="527" t="s">
        <v>1065</v>
      </c>
      <c r="E728" s="893"/>
      <c r="F728" s="895"/>
      <c r="G728" s="528"/>
      <c r="H728" s="549" t="s">
        <v>38</v>
      </c>
      <c r="I728" s="711">
        <v>0</v>
      </c>
      <c r="J728" s="897"/>
      <c r="K728" s="528"/>
      <c r="L728" s="549" t="s">
        <v>38</v>
      </c>
      <c r="M728" s="711">
        <f t="shared" si="2681"/>
        <v>0</v>
      </c>
      <c r="N728" s="897"/>
      <c r="O728" s="528"/>
      <c r="P728" s="547">
        <v>0</v>
      </c>
      <c r="Q728" s="547">
        <v>0</v>
      </c>
      <c r="R728" s="547">
        <v>0</v>
      </c>
      <c r="S728" s="547">
        <v>0</v>
      </c>
      <c r="T728" s="547">
        <v>0</v>
      </c>
      <c r="U728" s="547">
        <v>0</v>
      </c>
      <c r="V728" s="547">
        <v>0</v>
      </c>
      <c r="W728" s="528"/>
      <c r="X728" s="711">
        <f t="shared" si="2568"/>
        <v>0</v>
      </c>
      <c r="Y728" s="897"/>
      <c r="Z728" s="528"/>
      <c r="AA728" s="899"/>
      <c r="AB728" s="899"/>
      <c r="AC728" s="899"/>
      <c r="AD728" s="901"/>
      <c r="AE728" s="2"/>
      <c r="AF728" s="885"/>
      <c r="AG728" s="885"/>
      <c r="AH728" s="885"/>
      <c r="AI728" s="885"/>
      <c r="AJ728" s="885"/>
      <c r="AK728" s="885"/>
      <c r="AL728" s="885"/>
      <c r="AM728" s="879"/>
      <c r="AN728" s="2"/>
      <c r="AO728" s="886"/>
      <c r="AP728" s="886"/>
      <c r="AV728" t="str">
        <f t="shared" si="2624"/>
        <v xml:space="preserve">Aterro e compactação </v>
      </c>
      <c r="AW728" s="4" t="str">
        <f t="shared" si="2622"/>
        <v xml:space="preserve">   Execução de aterro compactado - Seg.2.5 acesso km 139+200</v>
      </c>
    </row>
    <row r="729" spans="1:49" ht="15" customHeight="1" outlineLevel="2">
      <c r="A729" s="545" t="str">
        <f t="shared" ref="A729" si="2689">IF(SUM(P729:V730)&gt;0,"S","N")</f>
        <v>N</v>
      </c>
      <c r="B729" s="526">
        <v>1066121</v>
      </c>
      <c r="C729" s="526" t="s">
        <v>1067</v>
      </c>
      <c r="D729" s="527" t="s">
        <v>1068</v>
      </c>
      <c r="E729" s="892" t="s">
        <v>1069</v>
      </c>
      <c r="F729" s="894" t="s">
        <v>36</v>
      </c>
      <c r="G729" s="528"/>
      <c r="H729" s="546" t="s">
        <v>37</v>
      </c>
      <c r="I729" s="711">
        <v>0</v>
      </c>
      <c r="J729" s="896" t="str">
        <f t="shared" ref="J729" si="2690">IFERROR((I730/I729),"-")</f>
        <v>-</v>
      </c>
      <c r="K729" s="528"/>
      <c r="L729" s="546" t="s">
        <v>37</v>
      </c>
      <c r="M729" s="711">
        <f t="shared" si="2681"/>
        <v>0</v>
      </c>
      <c r="N729" s="896" t="str">
        <f t="shared" ref="N729" si="2691">IFERROR((M730/M729),"-")</f>
        <v>-</v>
      </c>
      <c r="O729" s="528"/>
      <c r="P729" s="547">
        <v>0</v>
      </c>
      <c r="Q729" s="547">
        <v>0</v>
      </c>
      <c r="R729" s="547">
        <v>0</v>
      </c>
      <c r="S729" s="547">
        <v>0</v>
      </c>
      <c r="T729" s="547">
        <v>0</v>
      </c>
      <c r="U729" s="547">
        <v>0</v>
      </c>
      <c r="V729" s="547">
        <v>0</v>
      </c>
      <c r="W729" s="528"/>
      <c r="X729" s="711">
        <f t="shared" si="2568"/>
        <v>0</v>
      </c>
      <c r="Y729" s="896" t="str">
        <f t="shared" ref="Y729" si="2692">IFERROR((X730/X729),"0")</f>
        <v>0</v>
      </c>
      <c r="Z729" s="528"/>
      <c r="AA729" s="898">
        <v>0</v>
      </c>
      <c r="AB729" s="898">
        <v>0</v>
      </c>
      <c r="AC729" s="898">
        <v>0</v>
      </c>
      <c r="AD729" s="900" t="str">
        <f t="shared" ref="AD729" si="2693">IFERROR((AC729/AB729),"-")</f>
        <v>-</v>
      </c>
      <c r="AE729" s="2"/>
      <c r="AF729" s="884">
        <v>0</v>
      </c>
      <c r="AG729" s="884"/>
      <c r="AH729" s="884">
        <v>0</v>
      </c>
      <c r="AI729" s="884"/>
      <c r="AJ729" s="884"/>
      <c r="AK729" s="884">
        <f t="shared" ref="AK729" si="2694">AF729+AG729+AH729+AI729+AJ729+AC729</f>
        <v>0</v>
      </c>
      <c r="AL729" s="884">
        <v>0</v>
      </c>
      <c r="AM729" s="878" t="str">
        <f t="shared" ref="AM729" si="2695">IFERROR((AK729/AL729),"-")</f>
        <v>-</v>
      </c>
      <c r="AN729" s="2"/>
      <c r="AO729" s="884">
        <v>970</v>
      </c>
      <c r="AP729" s="884">
        <f t="shared" ref="AP729" si="2696">AO729-AK729</f>
        <v>970</v>
      </c>
      <c r="AV729" t="str">
        <f t="shared" si="2624"/>
        <v xml:space="preserve">Aterro e compactação </v>
      </c>
      <c r="AW729" s="4" t="str">
        <f t="shared" si="2622"/>
        <v xml:space="preserve">   Execução de aterro compactado - Seg.2.5 acesso km 141+800</v>
      </c>
    </row>
    <row r="730" spans="1:49" ht="15" customHeight="1" outlineLevel="2">
      <c r="A730" s="545" t="str">
        <f t="shared" ref="A730" si="2697">A729</f>
        <v>N</v>
      </c>
      <c r="B730" s="526"/>
      <c r="C730" s="526" t="s">
        <v>1067</v>
      </c>
      <c r="D730" s="527" t="s">
        <v>1068</v>
      </c>
      <c r="E730" s="893"/>
      <c r="F730" s="895"/>
      <c r="G730" s="528"/>
      <c r="H730" s="549" t="s">
        <v>38</v>
      </c>
      <c r="I730" s="711">
        <v>0</v>
      </c>
      <c r="J730" s="897"/>
      <c r="K730" s="528"/>
      <c r="L730" s="549" t="s">
        <v>38</v>
      </c>
      <c r="M730" s="711">
        <f t="shared" si="2681"/>
        <v>0</v>
      </c>
      <c r="N730" s="897"/>
      <c r="O730" s="528"/>
      <c r="P730" s="547">
        <v>0</v>
      </c>
      <c r="Q730" s="547">
        <v>0</v>
      </c>
      <c r="R730" s="547">
        <v>0</v>
      </c>
      <c r="S730" s="547">
        <v>0</v>
      </c>
      <c r="T730" s="547">
        <v>0</v>
      </c>
      <c r="U730" s="547">
        <v>0</v>
      </c>
      <c r="V730" s="547">
        <v>0</v>
      </c>
      <c r="W730" s="528"/>
      <c r="X730" s="711">
        <f t="shared" si="2568"/>
        <v>0</v>
      </c>
      <c r="Y730" s="897"/>
      <c r="Z730" s="528"/>
      <c r="AA730" s="899"/>
      <c r="AB730" s="899"/>
      <c r="AC730" s="899"/>
      <c r="AD730" s="901"/>
      <c r="AE730" s="2"/>
      <c r="AF730" s="885"/>
      <c r="AG730" s="885"/>
      <c r="AH730" s="885"/>
      <c r="AI730" s="885"/>
      <c r="AJ730" s="885"/>
      <c r="AK730" s="885"/>
      <c r="AL730" s="885"/>
      <c r="AM730" s="879"/>
      <c r="AN730" s="2"/>
      <c r="AO730" s="886"/>
      <c r="AP730" s="886"/>
      <c r="AV730" t="str">
        <f t="shared" si="2624"/>
        <v xml:space="preserve">Aterro e compactação </v>
      </c>
      <c r="AW730" s="4" t="str">
        <f t="shared" si="2622"/>
        <v xml:space="preserve">   Execução de aterro compactado - Seg.2.5 acesso km 141+800</v>
      </c>
    </row>
    <row r="731" spans="1:49" ht="15" customHeight="1" outlineLevel="2">
      <c r="A731" s="545" t="str">
        <f t="shared" ref="A731" si="2698">IF(SUM(P731:V732)&gt;0,"S","N")</f>
        <v>N</v>
      </c>
      <c r="B731" s="526">
        <v>1066122</v>
      </c>
      <c r="C731" s="526" t="s">
        <v>1070</v>
      </c>
      <c r="D731" s="527" t="s">
        <v>1071</v>
      </c>
      <c r="E731" s="892" t="s">
        <v>1072</v>
      </c>
      <c r="F731" s="894" t="s">
        <v>36</v>
      </c>
      <c r="G731" s="528"/>
      <c r="H731" s="546" t="s">
        <v>37</v>
      </c>
      <c r="I731" s="711">
        <v>0</v>
      </c>
      <c r="J731" s="896" t="str">
        <f t="shared" ref="J731" si="2699">IFERROR((I732/I731),"-")</f>
        <v>-</v>
      </c>
      <c r="K731" s="528"/>
      <c r="L731" s="546" t="s">
        <v>37</v>
      </c>
      <c r="M731" s="711">
        <f t="shared" si="2681"/>
        <v>0</v>
      </c>
      <c r="N731" s="896" t="str">
        <f t="shared" ref="N731" si="2700">IFERROR((M732/M731),"-")</f>
        <v>-</v>
      </c>
      <c r="O731" s="528"/>
      <c r="P731" s="547">
        <v>0</v>
      </c>
      <c r="Q731" s="547">
        <v>0</v>
      </c>
      <c r="R731" s="547">
        <v>0</v>
      </c>
      <c r="S731" s="547">
        <v>0</v>
      </c>
      <c r="T731" s="547">
        <v>0</v>
      </c>
      <c r="U731" s="547">
        <v>0</v>
      </c>
      <c r="V731" s="547">
        <v>0</v>
      </c>
      <c r="W731" s="528"/>
      <c r="X731" s="711">
        <f t="shared" si="2568"/>
        <v>0</v>
      </c>
      <c r="Y731" s="896" t="str">
        <f t="shared" ref="Y731" si="2701">IFERROR((X732/X731),"0")</f>
        <v>0</v>
      </c>
      <c r="Z731" s="528"/>
      <c r="AA731" s="898">
        <v>0</v>
      </c>
      <c r="AB731" s="898">
        <v>0</v>
      </c>
      <c r="AC731" s="898">
        <v>0</v>
      </c>
      <c r="AD731" s="900" t="str">
        <f t="shared" ref="AD731" si="2702">IFERROR((AC731/AB731),"-")</f>
        <v>-</v>
      </c>
      <c r="AE731" s="2"/>
      <c r="AF731" s="884">
        <v>0</v>
      </c>
      <c r="AG731" s="884"/>
      <c r="AH731" s="884">
        <v>0</v>
      </c>
      <c r="AI731" s="884"/>
      <c r="AJ731" s="884"/>
      <c r="AK731" s="884">
        <f t="shared" ref="AK731" si="2703">AF731+AG731+AH731+AI731+AJ731+AC731</f>
        <v>0</v>
      </c>
      <c r="AL731" s="884">
        <v>0</v>
      </c>
      <c r="AM731" s="878" t="str">
        <f t="shared" ref="AM731" si="2704">IFERROR((AK731/AL731),"-")</f>
        <v>-</v>
      </c>
      <c r="AN731" s="2"/>
      <c r="AO731" s="884">
        <v>1022</v>
      </c>
      <c r="AP731" s="884">
        <f t="shared" ref="AP731" si="2705">AO731-AK731</f>
        <v>1022</v>
      </c>
      <c r="AV731" t="str">
        <f t="shared" si="2624"/>
        <v xml:space="preserve">Aterro e compactação </v>
      </c>
      <c r="AW731" s="4" t="str">
        <f t="shared" si="2622"/>
        <v xml:space="preserve">   Execução de aterro compactado - Seg.2.5 acesso km 144+540</v>
      </c>
    </row>
    <row r="732" spans="1:49" ht="15" customHeight="1" outlineLevel="2">
      <c r="A732" s="545" t="str">
        <f t="shared" ref="A732" si="2706">A731</f>
        <v>N</v>
      </c>
      <c r="B732" s="526"/>
      <c r="C732" s="526" t="s">
        <v>1070</v>
      </c>
      <c r="D732" s="527" t="s">
        <v>1071</v>
      </c>
      <c r="E732" s="893"/>
      <c r="F732" s="895"/>
      <c r="G732" s="528"/>
      <c r="H732" s="549" t="s">
        <v>38</v>
      </c>
      <c r="I732" s="711">
        <v>0</v>
      </c>
      <c r="J732" s="897"/>
      <c r="K732" s="528"/>
      <c r="L732" s="549" t="s">
        <v>38</v>
      </c>
      <c r="M732" s="711">
        <f t="shared" si="2681"/>
        <v>0</v>
      </c>
      <c r="N732" s="897"/>
      <c r="O732" s="528"/>
      <c r="P732" s="547">
        <v>0</v>
      </c>
      <c r="Q732" s="547">
        <v>0</v>
      </c>
      <c r="R732" s="547">
        <v>0</v>
      </c>
      <c r="S732" s="547">
        <v>0</v>
      </c>
      <c r="T732" s="547">
        <v>0</v>
      </c>
      <c r="U732" s="547">
        <v>0</v>
      </c>
      <c r="V732" s="547">
        <v>0</v>
      </c>
      <c r="W732" s="528"/>
      <c r="X732" s="711">
        <f t="shared" si="2568"/>
        <v>0</v>
      </c>
      <c r="Y732" s="897"/>
      <c r="Z732" s="528"/>
      <c r="AA732" s="899"/>
      <c r="AB732" s="899"/>
      <c r="AC732" s="899"/>
      <c r="AD732" s="901"/>
      <c r="AE732" s="2"/>
      <c r="AF732" s="885"/>
      <c r="AG732" s="885"/>
      <c r="AH732" s="885"/>
      <c r="AI732" s="885"/>
      <c r="AJ732" s="885"/>
      <c r="AK732" s="885"/>
      <c r="AL732" s="885"/>
      <c r="AM732" s="879"/>
      <c r="AN732" s="2"/>
      <c r="AO732" s="886"/>
      <c r="AP732" s="886"/>
      <c r="AV732" t="str">
        <f t="shared" si="2624"/>
        <v xml:space="preserve">Aterro e compactação </v>
      </c>
      <c r="AW732" s="4" t="str">
        <f t="shared" si="2622"/>
        <v xml:space="preserve">   Execução de aterro compactado - Seg.2.5 acesso km 144+540</v>
      </c>
    </row>
    <row r="733" spans="1:49" ht="15" customHeight="1" outlineLevel="2">
      <c r="A733" s="545" t="str">
        <f t="shared" ref="A733" si="2707">IF(SUM(P733:V734)&gt;0,"S","N")</f>
        <v>N</v>
      </c>
      <c r="B733" s="526">
        <v>1066123</v>
      </c>
      <c r="C733" s="526" t="s">
        <v>1073</v>
      </c>
      <c r="D733" s="527" t="s">
        <v>1074</v>
      </c>
      <c r="E733" s="892" t="s">
        <v>1075</v>
      </c>
      <c r="F733" s="894" t="s">
        <v>36</v>
      </c>
      <c r="G733" s="528"/>
      <c r="H733" s="546" t="s">
        <v>37</v>
      </c>
      <c r="I733" s="711">
        <v>0</v>
      </c>
      <c r="J733" s="896" t="str">
        <f t="shared" ref="J733" si="2708">IFERROR((I734/I733),"-")</f>
        <v>-</v>
      </c>
      <c r="K733" s="528"/>
      <c r="L733" s="546" t="s">
        <v>37</v>
      </c>
      <c r="M733" s="711">
        <f t="shared" si="2681"/>
        <v>0</v>
      </c>
      <c r="N733" s="896" t="str">
        <f t="shared" ref="N733" si="2709">IFERROR((M734/M733),"-")</f>
        <v>-</v>
      </c>
      <c r="O733" s="528"/>
      <c r="P733" s="547">
        <v>0</v>
      </c>
      <c r="Q733" s="547">
        <v>0</v>
      </c>
      <c r="R733" s="547">
        <v>0</v>
      </c>
      <c r="S733" s="547">
        <v>0</v>
      </c>
      <c r="T733" s="547">
        <v>0</v>
      </c>
      <c r="U733" s="547">
        <v>0</v>
      </c>
      <c r="V733" s="547">
        <v>0</v>
      </c>
      <c r="W733" s="528"/>
      <c r="X733" s="711">
        <f t="shared" si="2568"/>
        <v>0</v>
      </c>
      <c r="Y733" s="896" t="str">
        <f t="shared" ref="Y733" si="2710">IFERROR((X734/X733),"0")</f>
        <v>0</v>
      </c>
      <c r="Z733" s="528"/>
      <c r="AA733" s="898">
        <v>0</v>
      </c>
      <c r="AB733" s="898">
        <v>0</v>
      </c>
      <c r="AC733" s="898">
        <v>0</v>
      </c>
      <c r="AD733" s="900" t="str">
        <f t="shared" ref="AD733" si="2711">IFERROR((AC733/AB733),"-")</f>
        <v>-</v>
      </c>
      <c r="AE733" s="2"/>
      <c r="AF733" s="884">
        <v>0</v>
      </c>
      <c r="AG733" s="884"/>
      <c r="AH733" s="884">
        <v>0</v>
      </c>
      <c r="AI733" s="884"/>
      <c r="AJ733" s="884"/>
      <c r="AK733" s="884">
        <f t="shared" ref="AK733" si="2712">AF733+AG733+AH733+AI733+AJ733+AC733</f>
        <v>0</v>
      </c>
      <c r="AL733" s="884">
        <v>0</v>
      </c>
      <c r="AM733" s="878" t="str">
        <f t="shared" ref="AM733" si="2713">IFERROR((AK733/AL733),"-")</f>
        <v>-</v>
      </c>
      <c r="AN733" s="2"/>
      <c r="AO733" s="884">
        <v>4099</v>
      </c>
      <c r="AP733" s="884">
        <f t="shared" ref="AP733" si="2714">AO733-AK733</f>
        <v>4099</v>
      </c>
      <c r="AV733" t="str">
        <f t="shared" si="2624"/>
        <v xml:space="preserve">Aterro e compactação </v>
      </c>
      <c r="AW733" s="4" t="str">
        <f t="shared" si="2622"/>
        <v xml:space="preserve">   Execução de aterro compactado - Seg.2.5 acesso km 147+200</v>
      </c>
    </row>
    <row r="734" spans="1:49" ht="15" customHeight="1" outlineLevel="2">
      <c r="A734" s="545" t="str">
        <f t="shared" ref="A734" si="2715">A733</f>
        <v>N</v>
      </c>
      <c r="B734" s="526"/>
      <c r="C734" s="526" t="s">
        <v>1073</v>
      </c>
      <c r="D734" s="527" t="s">
        <v>1074</v>
      </c>
      <c r="E734" s="893"/>
      <c r="F734" s="895"/>
      <c r="G734" s="528"/>
      <c r="H734" s="549" t="s">
        <v>38</v>
      </c>
      <c r="I734" s="711">
        <v>0</v>
      </c>
      <c r="J734" s="897"/>
      <c r="K734" s="528"/>
      <c r="L734" s="549" t="s">
        <v>38</v>
      </c>
      <c r="M734" s="711">
        <f t="shared" si="2681"/>
        <v>0</v>
      </c>
      <c r="N734" s="897"/>
      <c r="O734" s="528"/>
      <c r="P734" s="547">
        <v>0</v>
      </c>
      <c r="Q734" s="547">
        <v>0</v>
      </c>
      <c r="R734" s="547">
        <v>0</v>
      </c>
      <c r="S734" s="547">
        <v>0</v>
      </c>
      <c r="T734" s="547">
        <v>0</v>
      </c>
      <c r="U734" s="547">
        <v>0</v>
      </c>
      <c r="V734" s="547">
        <v>0</v>
      </c>
      <c r="W734" s="528"/>
      <c r="X734" s="711">
        <f t="shared" si="2568"/>
        <v>0</v>
      </c>
      <c r="Y734" s="897"/>
      <c r="Z734" s="528"/>
      <c r="AA734" s="899"/>
      <c r="AB734" s="899"/>
      <c r="AC734" s="899"/>
      <c r="AD734" s="901"/>
      <c r="AE734" s="2"/>
      <c r="AF734" s="885"/>
      <c r="AG734" s="885"/>
      <c r="AH734" s="885"/>
      <c r="AI734" s="885"/>
      <c r="AJ734" s="885"/>
      <c r="AK734" s="885"/>
      <c r="AL734" s="885"/>
      <c r="AM734" s="879"/>
      <c r="AN734" s="2"/>
      <c r="AO734" s="886"/>
      <c r="AP734" s="886"/>
      <c r="AV734" t="str">
        <f t="shared" si="2624"/>
        <v xml:space="preserve">Aterro e compactação </v>
      </c>
      <c r="AW734" s="4" t="str">
        <f t="shared" si="2622"/>
        <v xml:space="preserve">   Execução de aterro compactado - Seg.2.5 acesso km 147+200</v>
      </c>
    </row>
    <row r="735" spans="1:49" ht="15" customHeight="1" outlineLevel="2">
      <c r="A735" s="545" t="str">
        <f t="shared" ref="A735" si="2716">IF(SUM(P735:V736)&gt;0,"S","N")</f>
        <v>N</v>
      </c>
      <c r="B735" s="526">
        <v>1066124</v>
      </c>
      <c r="C735" s="526" t="s">
        <v>1076</v>
      </c>
      <c r="D735" s="527" t="s">
        <v>1077</v>
      </c>
      <c r="E735" s="892" t="s">
        <v>1078</v>
      </c>
      <c r="F735" s="894" t="s">
        <v>36</v>
      </c>
      <c r="G735" s="528"/>
      <c r="H735" s="546" t="s">
        <v>37</v>
      </c>
      <c r="I735" s="711">
        <v>0</v>
      </c>
      <c r="J735" s="896" t="str">
        <f t="shared" ref="J735" si="2717">IFERROR((I736/I735),"-")</f>
        <v>-</v>
      </c>
      <c r="K735" s="528"/>
      <c r="L735" s="546" t="s">
        <v>37</v>
      </c>
      <c r="M735" s="711">
        <f t="shared" si="2681"/>
        <v>0</v>
      </c>
      <c r="N735" s="896" t="str">
        <f t="shared" ref="N735" si="2718">IFERROR((M736/M735),"-")</f>
        <v>-</v>
      </c>
      <c r="O735" s="528"/>
      <c r="P735" s="547">
        <v>0</v>
      </c>
      <c r="Q735" s="547">
        <v>0</v>
      </c>
      <c r="R735" s="547">
        <v>0</v>
      </c>
      <c r="S735" s="547">
        <v>0</v>
      </c>
      <c r="T735" s="547">
        <v>0</v>
      </c>
      <c r="U735" s="547">
        <v>0</v>
      </c>
      <c r="V735" s="547">
        <v>0</v>
      </c>
      <c r="W735" s="528"/>
      <c r="X735" s="711">
        <f t="shared" si="2568"/>
        <v>0</v>
      </c>
      <c r="Y735" s="896" t="str">
        <f t="shared" ref="Y735" si="2719">IFERROR((X736/X735),"0")</f>
        <v>0</v>
      </c>
      <c r="Z735" s="528"/>
      <c r="AA735" s="898">
        <v>0</v>
      </c>
      <c r="AB735" s="898">
        <v>0</v>
      </c>
      <c r="AC735" s="898">
        <v>0</v>
      </c>
      <c r="AD735" s="900" t="str">
        <f t="shared" ref="AD735" si="2720">IFERROR((AC735/AB735),"-")</f>
        <v>-</v>
      </c>
      <c r="AE735" s="2"/>
      <c r="AF735" s="884">
        <v>0</v>
      </c>
      <c r="AG735" s="884"/>
      <c r="AH735" s="884">
        <v>0</v>
      </c>
      <c r="AI735" s="884"/>
      <c r="AJ735" s="884"/>
      <c r="AK735" s="884">
        <f t="shared" ref="AK735" si="2721">AF735+AG735+AH735+AI735+AJ735+AC735</f>
        <v>0</v>
      </c>
      <c r="AL735" s="884">
        <v>0</v>
      </c>
      <c r="AM735" s="878" t="str">
        <f t="shared" ref="AM735" si="2722">IFERROR((AK735/AL735),"-")</f>
        <v>-</v>
      </c>
      <c r="AN735" s="2"/>
      <c r="AO735" s="884">
        <v>1426</v>
      </c>
      <c r="AP735" s="884">
        <f t="shared" ref="AP735" si="2723">AO735-AK735</f>
        <v>1426</v>
      </c>
      <c r="AV735" t="str">
        <f t="shared" si="2624"/>
        <v xml:space="preserve">Aterro e compactação </v>
      </c>
      <c r="AW735" s="4" t="str">
        <f t="shared" si="2622"/>
        <v xml:space="preserve">   Execução de aterro compactado - Seg.2.5 acesso km 149+600</v>
      </c>
    </row>
    <row r="736" spans="1:49" ht="15" customHeight="1" outlineLevel="2">
      <c r="A736" s="545" t="str">
        <f t="shared" ref="A736" si="2724">A735</f>
        <v>N</v>
      </c>
      <c r="B736" s="526"/>
      <c r="C736" s="526" t="s">
        <v>1076</v>
      </c>
      <c r="D736" s="527" t="s">
        <v>1077</v>
      </c>
      <c r="E736" s="893"/>
      <c r="F736" s="895"/>
      <c r="G736" s="528"/>
      <c r="H736" s="549" t="s">
        <v>38</v>
      </c>
      <c r="I736" s="711">
        <v>0</v>
      </c>
      <c r="J736" s="897"/>
      <c r="K736" s="528"/>
      <c r="L736" s="549" t="s">
        <v>38</v>
      </c>
      <c r="M736" s="711">
        <f t="shared" si="2681"/>
        <v>0</v>
      </c>
      <c r="N736" s="897"/>
      <c r="O736" s="528"/>
      <c r="P736" s="547">
        <v>0</v>
      </c>
      <c r="Q736" s="547">
        <v>0</v>
      </c>
      <c r="R736" s="547">
        <v>0</v>
      </c>
      <c r="S736" s="547">
        <v>0</v>
      </c>
      <c r="T736" s="547">
        <v>0</v>
      </c>
      <c r="U736" s="547">
        <v>0</v>
      </c>
      <c r="V736" s="547">
        <v>0</v>
      </c>
      <c r="W736" s="528"/>
      <c r="X736" s="711">
        <f t="shared" si="2568"/>
        <v>0</v>
      </c>
      <c r="Y736" s="897"/>
      <c r="Z736" s="528"/>
      <c r="AA736" s="899"/>
      <c r="AB736" s="899"/>
      <c r="AC736" s="899"/>
      <c r="AD736" s="901"/>
      <c r="AE736" s="2"/>
      <c r="AF736" s="885"/>
      <c r="AG736" s="885"/>
      <c r="AH736" s="885"/>
      <c r="AI736" s="885"/>
      <c r="AJ736" s="885"/>
      <c r="AK736" s="885"/>
      <c r="AL736" s="885"/>
      <c r="AM736" s="879"/>
      <c r="AN736" s="2"/>
      <c r="AO736" s="886"/>
      <c r="AP736" s="886"/>
      <c r="AV736" t="str">
        <f t="shared" si="2624"/>
        <v xml:space="preserve">Aterro e compactação </v>
      </c>
      <c r="AW736" s="4" t="str">
        <f t="shared" si="2622"/>
        <v xml:space="preserve">   Execução de aterro compactado - Seg.2.5 acesso km 149+600</v>
      </c>
    </row>
    <row r="737" spans="1:49" ht="15" customHeight="1" outlineLevel="2">
      <c r="A737" s="545" t="str">
        <f t="shared" ref="A737" si="2725">IF(SUM(P737:V738)&gt;0,"S","N")</f>
        <v>N</v>
      </c>
      <c r="B737" s="526">
        <v>1066125</v>
      </c>
      <c r="C737" s="526" t="s">
        <v>1079</v>
      </c>
      <c r="D737" s="527" t="s">
        <v>1080</v>
      </c>
      <c r="E737" s="892" t="s">
        <v>1081</v>
      </c>
      <c r="F737" s="894" t="s">
        <v>36</v>
      </c>
      <c r="G737" s="528"/>
      <c r="H737" s="546" t="s">
        <v>37</v>
      </c>
      <c r="I737" s="711">
        <v>0</v>
      </c>
      <c r="J737" s="896" t="str">
        <f t="shared" ref="J737" si="2726">IFERROR((I738/I737),"-")</f>
        <v>-</v>
      </c>
      <c r="K737" s="528"/>
      <c r="L737" s="546" t="s">
        <v>37</v>
      </c>
      <c r="M737" s="711">
        <f t="shared" si="2681"/>
        <v>0</v>
      </c>
      <c r="N737" s="896" t="str">
        <f t="shared" ref="N737" si="2727">IFERROR((M738/M737),"-")</f>
        <v>-</v>
      </c>
      <c r="O737" s="528"/>
      <c r="P737" s="547">
        <v>0</v>
      </c>
      <c r="Q737" s="547">
        <v>0</v>
      </c>
      <c r="R737" s="547">
        <v>0</v>
      </c>
      <c r="S737" s="547">
        <v>0</v>
      </c>
      <c r="T737" s="547">
        <v>0</v>
      </c>
      <c r="U737" s="547">
        <v>0</v>
      </c>
      <c r="V737" s="547">
        <v>0</v>
      </c>
      <c r="W737" s="528"/>
      <c r="X737" s="711">
        <f t="shared" si="2568"/>
        <v>0</v>
      </c>
      <c r="Y737" s="896" t="str">
        <f t="shared" ref="Y737" si="2728">IFERROR((X738/X737),"0")</f>
        <v>0</v>
      </c>
      <c r="Z737" s="528"/>
      <c r="AA737" s="898">
        <v>0</v>
      </c>
      <c r="AB737" s="898">
        <v>0</v>
      </c>
      <c r="AC737" s="898">
        <v>0</v>
      </c>
      <c r="AD737" s="900" t="str">
        <f t="shared" ref="AD737" si="2729">IFERROR((AC737/AB737),"-")</f>
        <v>-</v>
      </c>
      <c r="AE737" s="2"/>
      <c r="AF737" s="884">
        <v>0</v>
      </c>
      <c r="AG737" s="884"/>
      <c r="AH737" s="884">
        <v>0</v>
      </c>
      <c r="AI737" s="884"/>
      <c r="AJ737" s="884">
        <v>3172</v>
      </c>
      <c r="AK737" s="884">
        <f t="shared" ref="AK737" si="2730">AF737+AG737+AH737+AI737+AJ737+AC737</f>
        <v>3172</v>
      </c>
      <c r="AL737" s="884">
        <v>0</v>
      </c>
      <c r="AM737" s="878" t="str">
        <f t="shared" ref="AM737" si="2731">IFERROR((AK737/AL737),"-")</f>
        <v>-</v>
      </c>
      <c r="AN737" s="2"/>
      <c r="AO737" s="884">
        <v>3990</v>
      </c>
      <c r="AP737" s="884">
        <f t="shared" ref="AP737" si="2732">AO737-AK737</f>
        <v>818</v>
      </c>
      <c r="AV737" t="str">
        <f t="shared" si="2624"/>
        <v xml:space="preserve">Aterro e compactação </v>
      </c>
      <c r="AW737" s="4" t="str">
        <f t="shared" si="2622"/>
        <v xml:space="preserve">   Execução de aterro compactado - Seg.2.5 acesso km 151+700</v>
      </c>
    </row>
    <row r="738" spans="1:49" ht="15" customHeight="1" outlineLevel="3">
      <c r="A738" s="545" t="str">
        <f t="shared" ref="A738" si="2733">A737</f>
        <v>N</v>
      </c>
      <c r="B738" s="526"/>
      <c r="C738" s="526" t="s">
        <v>1079</v>
      </c>
      <c r="D738" s="527" t="s">
        <v>1080</v>
      </c>
      <c r="E738" s="893"/>
      <c r="F738" s="895"/>
      <c r="G738" s="528"/>
      <c r="H738" s="549" t="s">
        <v>38</v>
      </c>
      <c r="I738" s="711">
        <v>0</v>
      </c>
      <c r="J738" s="897"/>
      <c r="K738" s="528"/>
      <c r="L738" s="549" t="s">
        <v>38</v>
      </c>
      <c r="M738" s="711">
        <f t="shared" si="2681"/>
        <v>0</v>
      </c>
      <c r="N738" s="897"/>
      <c r="O738" s="528"/>
      <c r="P738" s="547">
        <v>0</v>
      </c>
      <c r="Q738" s="547">
        <v>0</v>
      </c>
      <c r="R738" s="547">
        <v>0</v>
      </c>
      <c r="S738" s="547">
        <v>0</v>
      </c>
      <c r="T738" s="547">
        <v>0</v>
      </c>
      <c r="U738" s="547">
        <v>0</v>
      </c>
      <c r="V738" s="547">
        <v>0</v>
      </c>
      <c r="W738" s="528"/>
      <c r="X738" s="711">
        <f t="shared" si="2568"/>
        <v>0</v>
      </c>
      <c r="Y738" s="897"/>
      <c r="Z738" s="528"/>
      <c r="AA738" s="899"/>
      <c r="AB738" s="899"/>
      <c r="AC738" s="899"/>
      <c r="AD738" s="901"/>
      <c r="AE738" s="2"/>
      <c r="AF738" s="885"/>
      <c r="AG738" s="885"/>
      <c r="AH738" s="885"/>
      <c r="AI738" s="885"/>
      <c r="AJ738" s="885"/>
      <c r="AK738" s="885"/>
      <c r="AL738" s="885"/>
      <c r="AM738" s="879"/>
      <c r="AN738" s="2"/>
      <c r="AO738" s="886"/>
      <c r="AP738" s="886"/>
      <c r="AV738" t="str">
        <f t="shared" si="2624"/>
        <v xml:space="preserve">Aterro e compactação </v>
      </c>
      <c r="AW738" s="4" t="str">
        <f t="shared" si="2622"/>
        <v xml:space="preserve">   Execução de aterro compactado - Seg.2.5 acesso km 151+700</v>
      </c>
    </row>
    <row r="739" spans="1:49" ht="15" customHeight="1" outlineLevel="3">
      <c r="A739" s="545" t="str">
        <f t="shared" ref="A739" si="2734">IF(SUM(P739:V740)&gt;0,"S","N")</f>
        <v>N</v>
      </c>
      <c r="B739" s="526">
        <v>1069631</v>
      </c>
      <c r="C739" s="526" t="s">
        <v>1082</v>
      </c>
      <c r="D739" s="527" t="s">
        <v>1083</v>
      </c>
      <c r="E739" s="892" t="s">
        <v>1084</v>
      </c>
      <c r="F739" s="894" t="s">
        <v>36</v>
      </c>
      <c r="G739" s="528"/>
      <c r="H739" s="546" t="s">
        <v>37</v>
      </c>
      <c r="I739" s="711">
        <v>0</v>
      </c>
      <c r="J739" s="896" t="str">
        <f t="shared" ref="J739" si="2735">IFERROR((I740/I739),"-")</f>
        <v>-</v>
      </c>
      <c r="K739" s="528"/>
      <c r="L739" s="546" t="s">
        <v>37</v>
      </c>
      <c r="M739" s="711">
        <f t="shared" si="2681"/>
        <v>0</v>
      </c>
      <c r="N739" s="896" t="str">
        <f t="shared" ref="N739" si="2736">IFERROR((M740/M739),"-")</f>
        <v>-</v>
      </c>
      <c r="O739" s="528"/>
      <c r="P739" s="547">
        <v>0</v>
      </c>
      <c r="Q739" s="547">
        <v>0</v>
      </c>
      <c r="R739" s="547">
        <v>0</v>
      </c>
      <c r="S739" s="547">
        <v>0</v>
      </c>
      <c r="T739" s="547">
        <v>0</v>
      </c>
      <c r="U739" s="547">
        <v>0</v>
      </c>
      <c r="V739" s="547">
        <v>0</v>
      </c>
      <c r="W739" s="528"/>
      <c r="X739" s="711">
        <f t="shared" si="2568"/>
        <v>0</v>
      </c>
      <c r="Y739" s="896" t="str">
        <f t="shared" ref="Y739" si="2737">IFERROR((X740/X739),"0")</f>
        <v>0</v>
      </c>
      <c r="Z739" s="528"/>
      <c r="AA739" s="898">
        <v>28</v>
      </c>
      <c r="AB739" s="898">
        <v>0</v>
      </c>
      <c r="AC739" s="898">
        <v>0</v>
      </c>
      <c r="AD739" s="900" t="str">
        <f t="shared" ref="AD739" si="2738">IFERROR((AC739/AB739),"-")</f>
        <v>-</v>
      </c>
      <c r="AE739" s="2"/>
      <c r="AF739" s="884">
        <v>0</v>
      </c>
      <c r="AG739" s="884"/>
      <c r="AH739" s="884">
        <v>0</v>
      </c>
      <c r="AI739" s="884"/>
      <c r="AJ739" s="884"/>
      <c r="AK739" s="884">
        <f t="shared" ref="AK739" si="2739">AF739+AG739+AH739+AI739+AJ739+AC739</f>
        <v>0</v>
      </c>
      <c r="AL739" s="884">
        <v>0</v>
      </c>
      <c r="AM739" s="878" t="str">
        <f t="shared" ref="AM739" si="2740">IFERROR((AK739/AL739),"-")</f>
        <v>-</v>
      </c>
      <c r="AN739" s="2"/>
      <c r="AO739" s="884">
        <v>28</v>
      </c>
      <c r="AP739" s="884">
        <f t="shared" ref="AP739" si="2741">AO739-AK739</f>
        <v>28</v>
      </c>
      <c r="AV739" t="str">
        <f t="shared" si="2624"/>
        <v xml:space="preserve">Aterro e compactação </v>
      </c>
      <c r="AW739" s="4" t="str">
        <f t="shared" si="2622"/>
        <v xml:space="preserve">   Execução de aterro compactado (PN a 95%) - Seg.2.5 CA 12</v>
      </c>
    </row>
    <row r="740" spans="1:49" ht="15" customHeight="1" outlineLevel="3">
      <c r="A740" s="545" t="str">
        <f t="shared" ref="A740" si="2742">A739</f>
        <v>N</v>
      </c>
      <c r="B740" s="526"/>
      <c r="C740" s="526" t="s">
        <v>1082</v>
      </c>
      <c r="D740" s="527" t="s">
        <v>1083</v>
      </c>
      <c r="E740" s="893"/>
      <c r="F740" s="895"/>
      <c r="G740" s="528"/>
      <c r="H740" s="549" t="s">
        <v>38</v>
      </c>
      <c r="I740" s="711">
        <v>0</v>
      </c>
      <c r="J740" s="897"/>
      <c r="K740" s="528"/>
      <c r="L740" s="549" t="s">
        <v>38</v>
      </c>
      <c r="M740" s="711">
        <f t="shared" si="2681"/>
        <v>0</v>
      </c>
      <c r="N740" s="897"/>
      <c r="O740" s="528"/>
      <c r="P740" s="547">
        <v>0</v>
      </c>
      <c r="Q740" s="547">
        <v>0</v>
      </c>
      <c r="R740" s="547">
        <v>0</v>
      </c>
      <c r="S740" s="547">
        <v>0</v>
      </c>
      <c r="T740" s="547">
        <v>0</v>
      </c>
      <c r="U740" s="547">
        <v>0</v>
      </c>
      <c r="V740" s="547">
        <v>0</v>
      </c>
      <c r="W740" s="528"/>
      <c r="X740" s="711">
        <f t="shared" si="2568"/>
        <v>0</v>
      </c>
      <c r="Y740" s="897"/>
      <c r="Z740" s="528"/>
      <c r="AA740" s="899"/>
      <c r="AB740" s="899"/>
      <c r="AC740" s="899"/>
      <c r="AD740" s="901"/>
      <c r="AE740" s="2"/>
      <c r="AF740" s="885"/>
      <c r="AG740" s="885"/>
      <c r="AH740" s="885"/>
      <c r="AI740" s="885"/>
      <c r="AJ740" s="885"/>
      <c r="AK740" s="885"/>
      <c r="AL740" s="885"/>
      <c r="AM740" s="879"/>
      <c r="AN740" s="2"/>
      <c r="AO740" s="886"/>
      <c r="AP740" s="886"/>
      <c r="AV740" t="str">
        <f t="shared" si="2624"/>
        <v xml:space="preserve">Aterro e compactação </v>
      </c>
      <c r="AW740" s="4" t="str">
        <f t="shared" si="2622"/>
        <v xml:space="preserve">   Execução de aterro compactado (PN a 95%) - Seg.2.5 CA 12</v>
      </c>
    </row>
    <row r="741" spans="1:49" ht="15" customHeight="1" outlineLevel="3">
      <c r="A741" s="545" t="str">
        <f t="shared" ref="A741" si="2743">IF(SUM(P741:V742)&gt;0,"S","N")</f>
        <v>N</v>
      </c>
      <c r="B741" s="526">
        <v>1065415</v>
      </c>
      <c r="C741" s="526" t="s">
        <v>1085</v>
      </c>
      <c r="D741" s="527" t="s">
        <v>1086</v>
      </c>
      <c r="E741" s="892" t="s">
        <v>1087</v>
      </c>
      <c r="F741" s="894" t="s">
        <v>36</v>
      </c>
      <c r="G741" s="528"/>
      <c r="H741" s="546" t="s">
        <v>37</v>
      </c>
      <c r="I741" s="711">
        <v>0</v>
      </c>
      <c r="J741" s="896" t="str">
        <f t="shared" ref="J741" si="2744">IFERROR((I742/I741),"-")</f>
        <v>-</v>
      </c>
      <c r="K741" s="528"/>
      <c r="L741" s="546" t="s">
        <v>37</v>
      </c>
      <c r="M741" s="711">
        <f t="shared" si="2681"/>
        <v>0</v>
      </c>
      <c r="N741" s="896" t="str">
        <f t="shared" ref="N741" si="2745">IFERROR((M742/M741),"-")</f>
        <v>-</v>
      </c>
      <c r="O741" s="528"/>
      <c r="P741" s="547">
        <v>0</v>
      </c>
      <c r="Q741" s="547">
        <v>0</v>
      </c>
      <c r="R741" s="547">
        <v>0</v>
      </c>
      <c r="S741" s="547">
        <v>0</v>
      </c>
      <c r="T741" s="547">
        <v>0</v>
      </c>
      <c r="U741" s="547">
        <v>0</v>
      </c>
      <c r="V741" s="547">
        <v>0</v>
      </c>
      <c r="W741" s="528"/>
      <c r="X741" s="711">
        <f t="shared" si="2568"/>
        <v>0</v>
      </c>
      <c r="Y741" s="896" t="str">
        <f t="shared" ref="Y741" si="2746">IFERROR((X742/X741),"0")</f>
        <v>0</v>
      </c>
      <c r="Z741" s="528"/>
      <c r="AA741" s="898">
        <v>131.69999999999999</v>
      </c>
      <c r="AB741" s="898">
        <v>13442.559999999998</v>
      </c>
      <c r="AC741" s="898">
        <v>0</v>
      </c>
      <c r="AD741" s="900">
        <f t="shared" ref="AD741" si="2747">IFERROR((AC741/AB741),"-")</f>
        <v>0</v>
      </c>
      <c r="AE741" s="2"/>
      <c r="AF741" s="884">
        <v>0</v>
      </c>
      <c r="AG741" s="884"/>
      <c r="AH741" s="884">
        <v>0</v>
      </c>
      <c r="AI741" s="884"/>
      <c r="AJ741" s="884"/>
      <c r="AK741" s="884">
        <f t="shared" ref="AK741" si="2748">AF741+AG741+AH741+AI741+AJ741+AC741</f>
        <v>0</v>
      </c>
      <c r="AL741" s="884">
        <v>13442.559999999998</v>
      </c>
      <c r="AM741" s="878">
        <f t="shared" ref="AM741" si="2749">IFERROR((AK741/AL741),"-")</f>
        <v>0</v>
      </c>
      <c r="AN741" s="2"/>
      <c r="AO741" s="884">
        <v>1778</v>
      </c>
      <c r="AP741" s="884">
        <f t="shared" ref="AP741" si="2750">AO741-AK741</f>
        <v>1778</v>
      </c>
      <c r="AV741" t="str">
        <f t="shared" si="2624"/>
        <v xml:space="preserve">Aterro e compactação </v>
      </c>
      <c r="AW741" s="4" t="str">
        <f t="shared" si="2622"/>
        <v xml:space="preserve">   Camada Final de Aterro (PN a 100%) - Seg.2.5 CA 01</v>
      </c>
    </row>
    <row r="742" spans="1:49" ht="15" customHeight="1" outlineLevel="3">
      <c r="A742" s="545" t="str">
        <f t="shared" ref="A742" si="2751">A741</f>
        <v>N</v>
      </c>
      <c r="B742" s="526"/>
      <c r="C742" s="526" t="s">
        <v>1085</v>
      </c>
      <c r="D742" s="527" t="s">
        <v>1086</v>
      </c>
      <c r="E742" s="893"/>
      <c r="F742" s="895"/>
      <c r="G742" s="528"/>
      <c r="H742" s="549" t="s">
        <v>38</v>
      </c>
      <c r="I742" s="711">
        <v>0</v>
      </c>
      <c r="J742" s="897"/>
      <c r="K742" s="528"/>
      <c r="L742" s="549" t="s">
        <v>38</v>
      </c>
      <c r="M742" s="711">
        <f t="shared" si="2681"/>
        <v>0</v>
      </c>
      <c r="N742" s="897"/>
      <c r="O742" s="528"/>
      <c r="P742" s="547">
        <v>0</v>
      </c>
      <c r="Q742" s="547">
        <v>0</v>
      </c>
      <c r="R742" s="547">
        <v>0</v>
      </c>
      <c r="S742" s="547">
        <v>0</v>
      </c>
      <c r="T742" s="547">
        <v>0</v>
      </c>
      <c r="U742" s="547">
        <v>0</v>
      </c>
      <c r="V742" s="547">
        <v>0</v>
      </c>
      <c r="W742" s="528"/>
      <c r="X742" s="711">
        <f t="shared" si="2568"/>
        <v>0</v>
      </c>
      <c r="Y742" s="897"/>
      <c r="Z742" s="528"/>
      <c r="AA742" s="899"/>
      <c r="AB742" s="899"/>
      <c r="AC742" s="899"/>
      <c r="AD742" s="901"/>
      <c r="AE742" s="2"/>
      <c r="AF742" s="885"/>
      <c r="AG742" s="885"/>
      <c r="AH742" s="885"/>
      <c r="AI742" s="885"/>
      <c r="AJ742" s="885"/>
      <c r="AK742" s="885"/>
      <c r="AL742" s="885"/>
      <c r="AM742" s="879"/>
      <c r="AN742" s="2"/>
      <c r="AO742" s="886"/>
      <c r="AP742" s="886"/>
      <c r="AV742" t="str">
        <f t="shared" si="2624"/>
        <v xml:space="preserve">Aterro e compactação </v>
      </c>
      <c r="AW742" s="4" t="str">
        <f t="shared" si="2622"/>
        <v xml:space="preserve">   Camada Final de Aterro (PN a 100%) - Seg.2.5 CA 01</v>
      </c>
    </row>
    <row r="743" spans="1:49" ht="15" customHeight="1" outlineLevel="3">
      <c r="A743" s="545" t="str">
        <f t="shared" ref="A743" si="2752">IF(SUM(P743:V744)&gt;0,"S","N")</f>
        <v>N</v>
      </c>
      <c r="B743" s="526">
        <v>1065421</v>
      </c>
      <c r="C743" s="526" t="s">
        <v>1088</v>
      </c>
      <c r="D743" s="527" t="s">
        <v>1089</v>
      </c>
      <c r="E743" s="892" t="s">
        <v>1090</v>
      </c>
      <c r="F743" s="894" t="s">
        <v>36</v>
      </c>
      <c r="G743" s="528"/>
      <c r="H743" s="546" t="s">
        <v>37</v>
      </c>
      <c r="I743" s="711">
        <v>0</v>
      </c>
      <c r="J743" s="896" t="str">
        <f t="shared" ref="J743" si="2753">IFERROR((I744/I743),"-")</f>
        <v>-</v>
      </c>
      <c r="K743" s="528"/>
      <c r="L743" s="546" t="s">
        <v>37</v>
      </c>
      <c r="M743" s="711">
        <f t="shared" si="2681"/>
        <v>0</v>
      </c>
      <c r="N743" s="896" t="str">
        <f t="shared" ref="N743" si="2754">IFERROR((M744/M743),"-")</f>
        <v>-</v>
      </c>
      <c r="O743" s="528"/>
      <c r="P743" s="547">
        <v>0</v>
      </c>
      <c r="Q743" s="547">
        <v>0</v>
      </c>
      <c r="R743" s="547">
        <v>0</v>
      </c>
      <c r="S743" s="547">
        <v>0</v>
      </c>
      <c r="T743" s="547">
        <v>0</v>
      </c>
      <c r="U743" s="547">
        <v>0</v>
      </c>
      <c r="V743" s="547">
        <v>0</v>
      </c>
      <c r="W743" s="528"/>
      <c r="X743" s="711">
        <f t="shared" si="2568"/>
        <v>0</v>
      </c>
      <c r="Y743" s="896" t="str">
        <f t="shared" ref="Y743" si="2755">IFERROR((X744/X743),"0")</f>
        <v>0</v>
      </c>
      <c r="Z743" s="528"/>
      <c r="AA743" s="898">
        <v>0</v>
      </c>
      <c r="AB743" s="898">
        <v>0</v>
      </c>
      <c r="AC743" s="898">
        <v>0</v>
      </c>
      <c r="AD743" s="900" t="str">
        <f t="shared" ref="AD743" si="2756">IFERROR((AC743/AB743),"-")</f>
        <v>-</v>
      </c>
      <c r="AE743" s="2"/>
      <c r="AF743" s="884">
        <v>0</v>
      </c>
      <c r="AG743" s="884"/>
      <c r="AH743" s="884">
        <v>0</v>
      </c>
      <c r="AI743" s="884"/>
      <c r="AJ743" s="884"/>
      <c r="AK743" s="884">
        <f t="shared" ref="AK743" si="2757">AF743+AG743+AH743+AI743+AJ743+AC743</f>
        <v>0</v>
      </c>
      <c r="AL743" s="884">
        <v>0</v>
      </c>
      <c r="AM743" s="878" t="str">
        <f t="shared" ref="AM743" si="2758">IFERROR((AK743/AL743),"-")</f>
        <v>-</v>
      </c>
      <c r="AN743" s="2"/>
      <c r="AO743" s="884">
        <v>434</v>
      </c>
      <c r="AP743" s="884">
        <f t="shared" ref="AP743" si="2759">AO743-AK743</f>
        <v>434</v>
      </c>
      <c r="AV743" t="str">
        <f t="shared" si="2624"/>
        <v xml:space="preserve">Aterro e compactação </v>
      </c>
      <c r="AW743" s="4" t="str">
        <f t="shared" si="2622"/>
        <v xml:space="preserve">   Camada Final de Aterro (PN a 100%) - Seg.2.5 CA 05</v>
      </c>
    </row>
    <row r="744" spans="1:49" ht="15" customHeight="1" outlineLevel="3">
      <c r="A744" s="545" t="str">
        <f t="shared" ref="A744" si="2760">A743</f>
        <v>N</v>
      </c>
      <c r="B744" s="526"/>
      <c r="C744" s="526" t="s">
        <v>1088</v>
      </c>
      <c r="D744" s="527" t="s">
        <v>1089</v>
      </c>
      <c r="E744" s="893"/>
      <c r="F744" s="895"/>
      <c r="G744" s="528"/>
      <c r="H744" s="549" t="s">
        <v>38</v>
      </c>
      <c r="I744" s="711">
        <v>0</v>
      </c>
      <c r="J744" s="897"/>
      <c r="K744" s="528"/>
      <c r="L744" s="549" t="s">
        <v>38</v>
      </c>
      <c r="M744" s="711">
        <f t="shared" si="2681"/>
        <v>0</v>
      </c>
      <c r="N744" s="897"/>
      <c r="O744" s="528"/>
      <c r="P744" s="547">
        <v>0</v>
      </c>
      <c r="Q744" s="547">
        <v>0</v>
      </c>
      <c r="R744" s="547">
        <v>0</v>
      </c>
      <c r="S744" s="547">
        <v>0</v>
      </c>
      <c r="T744" s="547">
        <v>0</v>
      </c>
      <c r="U744" s="547">
        <v>0</v>
      </c>
      <c r="V744" s="547">
        <v>0</v>
      </c>
      <c r="W744" s="528"/>
      <c r="X744" s="711">
        <f t="shared" si="2568"/>
        <v>0</v>
      </c>
      <c r="Y744" s="897"/>
      <c r="Z744" s="528"/>
      <c r="AA744" s="899"/>
      <c r="AB744" s="899"/>
      <c r="AC744" s="899"/>
      <c r="AD744" s="901"/>
      <c r="AE744" s="2"/>
      <c r="AF744" s="885"/>
      <c r="AG744" s="885"/>
      <c r="AH744" s="885"/>
      <c r="AI744" s="885"/>
      <c r="AJ744" s="885"/>
      <c r="AK744" s="885"/>
      <c r="AL744" s="885"/>
      <c r="AM744" s="879"/>
      <c r="AN744" s="2"/>
      <c r="AO744" s="886"/>
      <c r="AP744" s="886"/>
      <c r="AV744" t="str">
        <f t="shared" si="2624"/>
        <v xml:space="preserve">Aterro e compactação </v>
      </c>
      <c r="AW744" s="4" t="str">
        <f t="shared" si="2622"/>
        <v xml:space="preserve">   Camada Final de Aterro (PN a 100%) - Seg.2.5 CA 05</v>
      </c>
    </row>
    <row r="745" spans="1:49" ht="15" customHeight="1" outlineLevel="3">
      <c r="A745" s="545" t="str">
        <f t="shared" ref="A745" si="2761">IF(SUM(P745:V746)&gt;0,"S","N")</f>
        <v>N</v>
      </c>
      <c r="B745" s="526">
        <v>1065423</v>
      </c>
      <c r="C745" s="526" t="s">
        <v>1091</v>
      </c>
      <c r="D745" s="527" t="s">
        <v>1092</v>
      </c>
      <c r="E745" s="892" t="s">
        <v>1093</v>
      </c>
      <c r="F745" s="894" t="s">
        <v>36</v>
      </c>
      <c r="G745" s="528"/>
      <c r="H745" s="546" t="s">
        <v>37</v>
      </c>
      <c r="I745" s="711">
        <v>0</v>
      </c>
      <c r="J745" s="896" t="str">
        <f t="shared" ref="J745" si="2762">IFERROR((I746/I745),"-")</f>
        <v>-</v>
      </c>
      <c r="K745" s="528"/>
      <c r="L745" s="546" t="s">
        <v>37</v>
      </c>
      <c r="M745" s="711">
        <f t="shared" si="2681"/>
        <v>0</v>
      </c>
      <c r="N745" s="896" t="str">
        <f t="shared" ref="N745" si="2763">IFERROR((M746/M745),"-")</f>
        <v>-</v>
      </c>
      <c r="O745" s="528"/>
      <c r="P745" s="547">
        <v>0</v>
      </c>
      <c r="Q745" s="547">
        <v>0</v>
      </c>
      <c r="R745" s="547">
        <v>0</v>
      </c>
      <c r="S745" s="547">
        <v>0</v>
      </c>
      <c r="T745" s="547">
        <v>0</v>
      </c>
      <c r="U745" s="547">
        <v>0</v>
      </c>
      <c r="V745" s="547">
        <v>0</v>
      </c>
      <c r="W745" s="528"/>
      <c r="X745" s="711">
        <f t="shared" si="2568"/>
        <v>0</v>
      </c>
      <c r="Y745" s="896" t="str">
        <f t="shared" ref="Y745" si="2764">IFERROR((X746/X745),"0")</f>
        <v>0</v>
      </c>
      <c r="Z745" s="528"/>
      <c r="AA745" s="898">
        <v>0</v>
      </c>
      <c r="AB745" s="898">
        <v>0</v>
      </c>
      <c r="AC745" s="898">
        <v>0</v>
      </c>
      <c r="AD745" s="900" t="str">
        <f t="shared" ref="AD745" si="2765">IFERROR((AC745/AB745),"-")</f>
        <v>-</v>
      </c>
      <c r="AE745" s="2"/>
      <c r="AF745" s="884">
        <v>0</v>
      </c>
      <c r="AG745" s="884"/>
      <c r="AH745" s="884">
        <v>0</v>
      </c>
      <c r="AI745" s="884"/>
      <c r="AJ745" s="884"/>
      <c r="AK745" s="884">
        <f t="shared" ref="AK745" si="2766">AF745+AG745+AH745+AI745+AJ745+AC745</f>
        <v>0</v>
      </c>
      <c r="AL745" s="884">
        <v>0</v>
      </c>
      <c r="AM745" s="878" t="str">
        <f t="shared" ref="AM745" si="2767">IFERROR((AK745/AL745),"-")</f>
        <v>-</v>
      </c>
      <c r="AN745" s="2"/>
      <c r="AO745" s="884">
        <v>4417</v>
      </c>
      <c r="AP745" s="884">
        <f t="shared" ref="AP745" si="2768">AO745-AK745</f>
        <v>4417</v>
      </c>
      <c r="AV745" t="str">
        <f t="shared" si="2624"/>
        <v xml:space="preserve">Aterro e compactação </v>
      </c>
      <c r="AW745" s="4" t="str">
        <f t="shared" si="2622"/>
        <v xml:space="preserve">   Camada Final de Aterro (PN a 100%) - Seg.2.5 CA 06</v>
      </c>
    </row>
    <row r="746" spans="1:49" ht="15" customHeight="1" outlineLevel="3">
      <c r="A746" s="545" t="str">
        <f t="shared" ref="A746" si="2769">A745</f>
        <v>N</v>
      </c>
      <c r="B746" s="526"/>
      <c r="C746" s="526" t="s">
        <v>1091</v>
      </c>
      <c r="D746" s="527" t="s">
        <v>1092</v>
      </c>
      <c r="E746" s="893"/>
      <c r="F746" s="895"/>
      <c r="G746" s="528"/>
      <c r="H746" s="549" t="s">
        <v>38</v>
      </c>
      <c r="I746" s="711">
        <v>0</v>
      </c>
      <c r="J746" s="897"/>
      <c r="K746" s="528"/>
      <c r="L746" s="549" t="s">
        <v>38</v>
      </c>
      <c r="M746" s="711">
        <f t="shared" si="2681"/>
        <v>0</v>
      </c>
      <c r="N746" s="897"/>
      <c r="O746" s="528"/>
      <c r="P746" s="547">
        <v>0</v>
      </c>
      <c r="Q746" s="547">
        <v>0</v>
      </c>
      <c r="R746" s="547">
        <v>0</v>
      </c>
      <c r="S746" s="547">
        <v>0</v>
      </c>
      <c r="T746" s="547">
        <v>0</v>
      </c>
      <c r="U746" s="547">
        <v>0</v>
      </c>
      <c r="V746" s="547">
        <v>0</v>
      </c>
      <c r="W746" s="528"/>
      <c r="X746" s="711">
        <f t="shared" si="2568"/>
        <v>0</v>
      </c>
      <c r="Y746" s="897"/>
      <c r="Z746" s="528"/>
      <c r="AA746" s="899"/>
      <c r="AB746" s="899"/>
      <c r="AC746" s="899"/>
      <c r="AD746" s="901"/>
      <c r="AE746" s="2"/>
      <c r="AF746" s="885"/>
      <c r="AG746" s="885"/>
      <c r="AH746" s="885"/>
      <c r="AI746" s="885"/>
      <c r="AJ746" s="885"/>
      <c r="AK746" s="885"/>
      <c r="AL746" s="885"/>
      <c r="AM746" s="879"/>
      <c r="AN746" s="2"/>
      <c r="AO746" s="886"/>
      <c r="AP746" s="886"/>
      <c r="AV746" t="str">
        <f t="shared" si="2624"/>
        <v xml:space="preserve">Aterro e compactação </v>
      </c>
      <c r="AW746" s="4" t="str">
        <f t="shared" si="2622"/>
        <v xml:space="preserve">   Camada Final de Aterro (PN a 100%) - Seg.2.5 CA 06</v>
      </c>
    </row>
    <row r="747" spans="1:49" ht="15" customHeight="1" outlineLevel="3">
      <c r="A747" s="545" t="str">
        <f t="shared" ref="A747" si="2770">IF(SUM(P747:V748)&gt;0,"S","N")</f>
        <v>N</v>
      </c>
      <c r="B747" s="526">
        <v>1065425</v>
      </c>
      <c r="C747" s="526" t="s">
        <v>1094</v>
      </c>
      <c r="D747" s="527" t="s">
        <v>1095</v>
      </c>
      <c r="E747" s="892" t="s">
        <v>1096</v>
      </c>
      <c r="F747" s="894" t="s">
        <v>36</v>
      </c>
      <c r="G747" s="528"/>
      <c r="H747" s="546" t="s">
        <v>37</v>
      </c>
      <c r="I747" s="711">
        <v>0</v>
      </c>
      <c r="J747" s="896" t="str">
        <f t="shared" ref="J747" si="2771">IFERROR((I748/I747),"-")</f>
        <v>-</v>
      </c>
      <c r="K747" s="528"/>
      <c r="L747" s="546" t="s">
        <v>37</v>
      </c>
      <c r="M747" s="711">
        <f t="shared" si="2681"/>
        <v>0</v>
      </c>
      <c r="N747" s="896" t="str">
        <f t="shared" ref="N747" si="2772">IFERROR((M748/M747),"-")</f>
        <v>-</v>
      </c>
      <c r="O747" s="528"/>
      <c r="P747" s="547">
        <v>0</v>
      </c>
      <c r="Q747" s="547">
        <v>0</v>
      </c>
      <c r="R747" s="547">
        <v>0</v>
      </c>
      <c r="S747" s="547">
        <v>0</v>
      </c>
      <c r="T747" s="547">
        <v>0</v>
      </c>
      <c r="U747" s="547">
        <v>0</v>
      </c>
      <c r="V747" s="547">
        <v>0</v>
      </c>
      <c r="W747" s="528"/>
      <c r="X747" s="711">
        <f t="shared" si="2568"/>
        <v>0</v>
      </c>
      <c r="Y747" s="896" t="str">
        <f t="shared" ref="Y747" si="2773">IFERROR((X748/X747),"0")</f>
        <v>0</v>
      </c>
      <c r="Z747" s="528"/>
      <c r="AA747" s="898">
        <v>0</v>
      </c>
      <c r="AB747" s="898">
        <v>0</v>
      </c>
      <c r="AC747" s="898">
        <v>0</v>
      </c>
      <c r="AD747" s="900" t="str">
        <f t="shared" ref="AD747" si="2774">IFERROR((AC747/AB747),"-")</f>
        <v>-</v>
      </c>
      <c r="AE747" s="2"/>
      <c r="AF747" s="884">
        <v>0</v>
      </c>
      <c r="AG747" s="884"/>
      <c r="AH747" s="884">
        <v>0</v>
      </c>
      <c r="AI747" s="884"/>
      <c r="AJ747" s="884"/>
      <c r="AK747" s="884">
        <f t="shared" ref="AK747" si="2775">AF747+AG747+AH747+AI747+AJ747+AC747</f>
        <v>0</v>
      </c>
      <c r="AL747" s="884">
        <v>0</v>
      </c>
      <c r="AM747" s="878" t="str">
        <f t="shared" ref="AM747" si="2776">IFERROR((AK747/AL747),"-")</f>
        <v>-</v>
      </c>
      <c r="AN747" s="2"/>
      <c r="AO747" s="884">
        <v>8549</v>
      </c>
      <c r="AP747" s="884">
        <f t="shared" ref="AP747" si="2777">AO747-AK747</f>
        <v>8549</v>
      </c>
      <c r="AV747" t="str">
        <f t="shared" si="2624"/>
        <v xml:space="preserve">Aterro e compactação </v>
      </c>
      <c r="AW747" s="4" t="str">
        <f t="shared" si="2622"/>
        <v xml:space="preserve">   Camada Final de Aterro (PN a 100%) - Seg.2.5 CA 07</v>
      </c>
    </row>
    <row r="748" spans="1:49" ht="15" customHeight="1" outlineLevel="3">
      <c r="A748" s="545" t="str">
        <f t="shared" ref="A748" si="2778">A747</f>
        <v>N</v>
      </c>
      <c r="B748" s="526"/>
      <c r="C748" s="526" t="s">
        <v>1094</v>
      </c>
      <c r="D748" s="527" t="s">
        <v>1095</v>
      </c>
      <c r="E748" s="893"/>
      <c r="F748" s="895"/>
      <c r="G748" s="528"/>
      <c r="H748" s="549" t="s">
        <v>38</v>
      </c>
      <c r="I748" s="711">
        <v>0</v>
      </c>
      <c r="J748" s="897"/>
      <c r="K748" s="528"/>
      <c r="L748" s="549" t="s">
        <v>38</v>
      </c>
      <c r="M748" s="711">
        <f t="shared" si="2681"/>
        <v>0</v>
      </c>
      <c r="N748" s="897"/>
      <c r="O748" s="528"/>
      <c r="P748" s="547">
        <v>0</v>
      </c>
      <c r="Q748" s="547">
        <v>0</v>
      </c>
      <c r="R748" s="547">
        <v>0</v>
      </c>
      <c r="S748" s="547">
        <v>0</v>
      </c>
      <c r="T748" s="547">
        <v>0</v>
      </c>
      <c r="U748" s="547">
        <v>0</v>
      </c>
      <c r="V748" s="547">
        <v>0</v>
      </c>
      <c r="W748" s="528"/>
      <c r="X748" s="711">
        <f t="shared" si="2568"/>
        <v>0</v>
      </c>
      <c r="Y748" s="897"/>
      <c r="Z748" s="528"/>
      <c r="AA748" s="899"/>
      <c r="AB748" s="899"/>
      <c r="AC748" s="899"/>
      <c r="AD748" s="901"/>
      <c r="AE748" s="2"/>
      <c r="AF748" s="885"/>
      <c r="AG748" s="885"/>
      <c r="AH748" s="885"/>
      <c r="AI748" s="885"/>
      <c r="AJ748" s="885"/>
      <c r="AK748" s="885"/>
      <c r="AL748" s="885"/>
      <c r="AM748" s="879"/>
      <c r="AN748" s="2"/>
      <c r="AO748" s="886"/>
      <c r="AP748" s="886"/>
      <c r="AV748" t="str">
        <f t="shared" si="2624"/>
        <v xml:space="preserve">Aterro e compactação </v>
      </c>
      <c r="AW748" s="4" t="str">
        <f t="shared" si="2622"/>
        <v xml:space="preserve">   Camada Final de Aterro (PN a 100%) - Seg.2.5 CA 07</v>
      </c>
    </row>
    <row r="749" spans="1:49" ht="17.45" customHeight="1" outlineLevel="3">
      <c r="A749" s="545" t="str">
        <f t="shared" ref="A749" si="2779">IF(SUM(P749:V750)&gt;0,"S","N")</f>
        <v>N</v>
      </c>
      <c r="B749" s="526">
        <v>1065427</v>
      </c>
      <c r="C749" s="526" t="s">
        <v>1097</v>
      </c>
      <c r="D749" s="527" t="s">
        <v>1098</v>
      </c>
      <c r="E749" s="892" t="s">
        <v>1099</v>
      </c>
      <c r="F749" s="894" t="s">
        <v>36</v>
      </c>
      <c r="G749" s="528"/>
      <c r="H749" s="546" t="s">
        <v>37</v>
      </c>
      <c r="I749" s="711">
        <v>0</v>
      </c>
      <c r="J749" s="896" t="str">
        <f t="shared" ref="J749" si="2780">IFERROR((I750/I749),"-")</f>
        <v>-</v>
      </c>
      <c r="K749" s="528"/>
      <c r="L749" s="546" t="s">
        <v>37</v>
      </c>
      <c r="M749" s="711">
        <f t="shared" si="2681"/>
        <v>0</v>
      </c>
      <c r="N749" s="896" t="str">
        <f t="shared" ref="N749" si="2781">IFERROR((M750/M749),"-")</f>
        <v>-</v>
      </c>
      <c r="O749" s="528"/>
      <c r="P749" s="547">
        <v>0</v>
      </c>
      <c r="Q749" s="547">
        <v>0</v>
      </c>
      <c r="R749" s="547">
        <v>0</v>
      </c>
      <c r="S749" s="547">
        <v>0</v>
      </c>
      <c r="T749" s="547">
        <v>0</v>
      </c>
      <c r="U749" s="547">
        <v>0</v>
      </c>
      <c r="V749" s="547">
        <v>0</v>
      </c>
      <c r="W749" s="528"/>
      <c r="X749" s="711">
        <f t="shared" si="2568"/>
        <v>0</v>
      </c>
      <c r="Y749" s="896" t="str">
        <f t="shared" ref="Y749" si="2782">IFERROR((X750/X749),"0")</f>
        <v>0</v>
      </c>
      <c r="Z749" s="528"/>
      <c r="AA749" s="898">
        <v>0</v>
      </c>
      <c r="AB749" s="898">
        <v>0</v>
      </c>
      <c r="AC749" s="898">
        <v>0</v>
      </c>
      <c r="AD749" s="900" t="str">
        <f t="shared" ref="AD749" si="2783">IFERROR((AC749/AB749),"-")</f>
        <v>-</v>
      </c>
      <c r="AE749" s="2"/>
      <c r="AF749" s="884">
        <v>0</v>
      </c>
      <c r="AG749" s="884"/>
      <c r="AH749" s="884">
        <v>0</v>
      </c>
      <c r="AI749" s="884"/>
      <c r="AJ749" s="884"/>
      <c r="AK749" s="884">
        <f t="shared" ref="AK749" si="2784">AF749+AG749+AH749+AI749+AJ749+AC749</f>
        <v>0</v>
      </c>
      <c r="AL749" s="884">
        <v>0</v>
      </c>
      <c r="AM749" s="878" t="str">
        <f t="shared" ref="AM749" si="2785">IFERROR((AK749/AL749),"-")</f>
        <v>-</v>
      </c>
      <c r="AN749" s="2"/>
      <c r="AO749" s="884">
        <v>689</v>
      </c>
      <c r="AP749" s="884">
        <f t="shared" ref="AP749" si="2786">AO749-AK749</f>
        <v>689</v>
      </c>
      <c r="AV749" t="str">
        <f t="shared" si="2624"/>
        <v xml:space="preserve">Aterro e compactação </v>
      </c>
      <c r="AW749" s="4" t="str">
        <f t="shared" si="2622"/>
        <v xml:space="preserve">   Camada Final de Aterro (PN a 100%) - Seg.2.5 CA 08</v>
      </c>
    </row>
    <row r="750" spans="1:49" ht="17.45" customHeight="1" outlineLevel="3">
      <c r="A750" s="545" t="str">
        <f t="shared" ref="A750" si="2787">A749</f>
        <v>N</v>
      </c>
      <c r="B750" s="526"/>
      <c r="C750" s="526" t="s">
        <v>1097</v>
      </c>
      <c r="D750" s="527" t="s">
        <v>1098</v>
      </c>
      <c r="E750" s="893"/>
      <c r="F750" s="895"/>
      <c r="G750" s="528"/>
      <c r="H750" s="549" t="s">
        <v>38</v>
      </c>
      <c r="I750" s="711">
        <v>0</v>
      </c>
      <c r="J750" s="897"/>
      <c r="K750" s="528"/>
      <c r="L750" s="549" t="s">
        <v>38</v>
      </c>
      <c r="M750" s="711">
        <f t="shared" si="2681"/>
        <v>0</v>
      </c>
      <c r="N750" s="897"/>
      <c r="O750" s="528"/>
      <c r="P750" s="547">
        <v>0</v>
      </c>
      <c r="Q750" s="547">
        <v>0</v>
      </c>
      <c r="R750" s="547">
        <v>0</v>
      </c>
      <c r="S750" s="547">
        <v>0</v>
      </c>
      <c r="T750" s="547">
        <v>0</v>
      </c>
      <c r="U750" s="547">
        <v>0</v>
      </c>
      <c r="V750" s="547">
        <v>0</v>
      </c>
      <c r="W750" s="528"/>
      <c r="X750" s="711">
        <f t="shared" si="2568"/>
        <v>0</v>
      </c>
      <c r="Y750" s="897"/>
      <c r="Z750" s="528"/>
      <c r="AA750" s="899"/>
      <c r="AB750" s="899"/>
      <c r="AC750" s="899"/>
      <c r="AD750" s="901"/>
      <c r="AE750" s="2"/>
      <c r="AF750" s="885"/>
      <c r="AG750" s="885"/>
      <c r="AH750" s="885"/>
      <c r="AI750" s="885"/>
      <c r="AJ750" s="885"/>
      <c r="AK750" s="885"/>
      <c r="AL750" s="885"/>
      <c r="AM750" s="879"/>
      <c r="AN750" s="2"/>
      <c r="AO750" s="886"/>
      <c r="AP750" s="886"/>
      <c r="AV750" t="str">
        <f t="shared" si="2624"/>
        <v xml:space="preserve">Aterro e compactação </v>
      </c>
      <c r="AW750" s="4" t="str">
        <f t="shared" si="2622"/>
        <v xml:space="preserve">   Camada Final de Aterro (PN a 100%) - Seg.2.5 CA 08</v>
      </c>
    </row>
    <row r="751" spans="1:49" ht="17.45" customHeight="1" outlineLevel="3">
      <c r="A751" s="545" t="str">
        <f t="shared" ref="A751" si="2788">IF(SUM(P751:V752)&gt;0,"S","N")</f>
        <v>N</v>
      </c>
      <c r="B751" s="526">
        <v>1065429</v>
      </c>
      <c r="C751" s="526" t="s">
        <v>1100</v>
      </c>
      <c r="D751" s="527" t="s">
        <v>1101</v>
      </c>
      <c r="E751" s="892" t="s">
        <v>1102</v>
      </c>
      <c r="F751" s="894" t="s">
        <v>36</v>
      </c>
      <c r="G751" s="528"/>
      <c r="H751" s="546" t="s">
        <v>37</v>
      </c>
      <c r="I751" s="711">
        <v>0</v>
      </c>
      <c r="J751" s="896" t="str">
        <f t="shared" ref="J751" si="2789">IFERROR((I752/I751),"-")</f>
        <v>-</v>
      </c>
      <c r="K751" s="528"/>
      <c r="L751" s="546" t="s">
        <v>37</v>
      </c>
      <c r="M751" s="711">
        <f t="shared" si="2681"/>
        <v>0</v>
      </c>
      <c r="N751" s="896" t="str">
        <f t="shared" ref="N751" si="2790">IFERROR((M752/M751),"-")</f>
        <v>-</v>
      </c>
      <c r="O751" s="528"/>
      <c r="P751" s="547">
        <v>0</v>
      </c>
      <c r="Q751" s="547">
        <v>0</v>
      </c>
      <c r="R751" s="547">
        <v>0</v>
      </c>
      <c r="S751" s="547">
        <v>0</v>
      </c>
      <c r="T751" s="547">
        <v>0</v>
      </c>
      <c r="U751" s="547">
        <v>0</v>
      </c>
      <c r="V751" s="547">
        <v>0</v>
      </c>
      <c r="W751" s="528"/>
      <c r="X751" s="711">
        <f t="shared" si="2568"/>
        <v>0</v>
      </c>
      <c r="Y751" s="896" t="str">
        <f t="shared" ref="Y751" si="2791">IFERROR((X752/X751),"0")</f>
        <v>0</v>
      </c>
      <c r="Z751" s="528"/>
      <c r="AA751" s="898">
        <v>0</v>
      </c>
      <c r="AB751" s="898">
        <v>0</v>
      </c>
      <c r="AC751" s="898">
        <v>0</v>
      </c>
      <c r="AD751" s="900" t="str">
        <f t="shared" ref="AD751" si="2792">IFERROR((AC751/AB751),"-")</f>
        <v>-</v>
      </c>
      <c r="AE751" s="2"/>
      <c r="AF751" s="884">
        <v>0</v>
      </c>
      <c r="AG751" s="884"/>
      <c r="AH751" s="884">
        <v>0</v>
      </c>
      <c r="AI751" s="884"/>
      <c r="AJ751" s="884"/>
      <c r="AK751" s="884">
        <f t="shared" ref="AK751" si="2793">AF751+AG751+AH751+AI751+AJ751+AC751</f>
        <v>0</v>
      </c>
      <c r="AL751" s="884">
        <v>0</v>
      </c>
      <c r="AM751" s="878" t="str">
        <f t="shared" ref="AM751" si="2794">IFERROR((AK751/AL751),"-")</f>
        <v>-</v>
      </c>
      <c r="AN751" s="2"/>
      <c r="AO751" s="884">
        <v>5527</v>
      </c>
      <c r="AP751" s="884">
        <f t="shared" ref="AP751" si="2795">AO751-AK751</f>
        <v>5527</v>
      </c>
      <c r="AV751" t="str">
        <f t="shared" si="2624"/>
        <v xml:space="preserve">Aterro e compactação </v>
      </c>
      <c r="AW751" s="4" t="str">
        <f t="shared" si="2622"/>
        <v xml:space="preserve">   Camada Final de Aterro (PN a 100%) - Seg.2.5 CA 09</v>
      </c>
    </row>
    <row r="752" spans="1:49" ht="17.45" customHeight="1" outlineLevel="3">
      <c r="A752" s="545" t="str">
        <f t="shared" ref="A752" si="2796">A751</f>
        <v>N</v>
      </c>
      <c r="B752" s="526"/>
      <c r="C752" s="526" t="s">
        <v>1100</v>
      </c>
      <c r="D752" s="527" t="s">
        <v>1101</v>
      </c>
      <c r="E752" s="893"/>
      <c r="F752" s="895"/>
      <c r="G752" s="528"/>
      <c r="H752" s="549" t="s">
        <v>38</v>
      </c>
      <c r="I752" s="711">
        <v>0</v>
      </c>
      <c r="J752" s="897"/>
      <c r="K752" s="528"/>
      <c r="L752" s="549" t="s">
        <v>38</v>
      </c>
      <c r="M752" s="711">
        <f t="shared" si="2681"/>
        <v>0</v>
      </c>
      <c r="N752" s="897"/>
      <c r="O752" s="528"/>
      <c r="P752" s="547">
        <v>0</v>
      </c>
      <c r="Q752" s="547">
        <v>0</v>
      </c>
      <c r="R752" s="547">
        <v>0</v>
      </c>
      <c r="S752" s="547">
        <v>0</v>
      </c>
      <c r="T752" s="547">
        <v>0</v>
      </c>
      <c r="U752" s="547">
        <v>0</v>
      </c>
      <c r="V752" s="547">
        <v>0</v>
      </c>
      <c r="W752" s="528"/>
      <c r="X752" s="711">
        <f t="shared" si="2568"/>
        <v>0</v>
      </c>
      <c r="Y752" s="897"/>
      <c r="Z752" s="528"/>
      <c r="AA752" s="899"/>
      <c r="AB752" s="899"/>
      <c r="AC752" s="899"/>
      <c r="AD752" s="901"/>
      <c r="AE752" s="2"/>
      <c r="AF752" s="885"/>
      <c r="AG752" s="885"/>
      <c r="AH752" s="885"/>
      <c r="AI752" s="885"/>
      <c r="AJ752" s="885"/>
      <c r="AK752" s="885"/>
      <c r="AL752" s="885"/>
      <c r="AM752" s="879"/>
      <c r="AN752" s="2"/>
      <c r="AO752" s="886"/>
      <c r="AP752" s="886"/>
      <c r="AV752" t="str">
        <f t="shared" si="2624"/>
        <v xml:space="preserve">Aterro e compactação </v>
      </c>
      <c r="AW752" s="4" t="str">
        <f t="shared" si="2622"/>
        <v xml:space="preserve">   Camada Final de Aterro (PN a 100%) - Seg.2.5 CA 09</v>
      </c>
    </row>
    <row r="753" spans="1:49" ht="17.45" customHeight="1" outlineLevel="3">
      <c r="A753" s="545" t="str">
        <f t="shared" ref="A753" si="2797">IF(SUM(P753:V754)&gt;0,"S","N")</f>
        <v>N</v>
      </c>
      <c r="B753" s="526">
        <v>1065431</v>
      </c>
      <c r="C753" s="526" t="s">
        <v>1103</v>
      </c>
      <c r="D753" s="527" t="s">
        <v>1104</v>
      </c>
      <c r="E753" s="892" t="s">
        <v>1105</v>
      </c>
      <c r="F753" s="894" t="s">
        <v>36</v>
      </c>
      <c r="G753" s="528"/>
      <c r="H753" s="546" t="s">
        <v>37</v>
      </c>
      <c r="I753" s="711">
        <v>0</v>
      </c>
      <c r="J753" s="896" t="str">
        <f t="shared" ref="J753" si="2798">IFERROR((I754/I753),"-")</f>
        <v>-</v>
      </c>
      <c r="K753" s="528"/>
      <c r="L753" s="546" t="s">
        <v>37</v>
      </c>
      <c r="M753" s="711">
        <f t="shared" si="2681"/>
        <v>0</v>
      </c>
      <c r="N753" s="896" t="str">
        <f t="shared" ref="N753" si="2799">IFERROR((M754/M753),"-")</f>
        <v>-</v>
      </c>
      <c r="O753" s="528"/>
      <c r="P753" s="547">
        <v>0</v>
      </c>
      <c r="Q753" s="547">
        <v>0</v>
      </c>
      <c r="R753" s="547">
        <v>0</v>
      </c>
      <c r="S753" s="547">
        <v>0</v>
      </c>
      <c r="T753" s="547">
        <v>0</v>
      </c>
      <c r="U753" s="547">
        <v>0</v>
      </c>
      <c r="V753" s="547">
        <v>0</v>
      </c>
      <c r="W753" s="528"/>
      <c r="X753" s="711">
        <f t="shared" si="2568"/>
        <v>0</v>
      </c>
      <c r="Y753" s="896" t="str">
        <f t="shared" ref="Y753" si="2800">IFERROR((X754/X753),"0")</f>
        <v>0</v>
      </c>
      <c r="Z753" s="528"/>
      <c r="AA753" s="898">
        <v>0</v>
      </c>
      <c r="AB753" s="898">
        <v>0</v>
      </c>
      <c r="AC753" s="898">
        <v>0</v>
      </c>
      <c r="AD753" s="900" t="str">
        <f t="shared" ref="AD753" si="2801">IFERROR((AC753/AB753),"-")</f>
        <v>-</v>
      </c>
      <c r="AE753" s="2"/>
      <c r="AF753" s="884">
        <v>0</v>
      </c>
      <c r="AG753" s="884"/>
      <c r="AH753" s="884">
        <v>0</v>
      </c>
      <c r="AI753" s="884"/>
      <c r="AJ753" s="884"/>
      <c r="AK753" s="884">
        <f t="shared" ref="AK753" si="2802">AF753+AG753+AH753+AI753+AJ753+AC753</f>
        <v>0</v>
      </c>
      <c r="AL753" s="884">
        <v>0</v>
      </c>
      <c r="AM753" s="878" t="str">
        <f t="shared" ref="AM753" si="2803">IFERROR((AK753/AL753),"-")</f>
        <v>-</v>
      </c>
      <c r="AN753" s="2"/>
      <c r="AO753" s="884">
        <v>3046</v>
      </c>
      <c r="AP753" s="884">
        <f t="shared" ref="AP753" si="2804">AO753-AK753</f>
        <v>3046</v>
      </c>
      <c r="AV753" t="str">
        <f t="shared" si="2624"/>
        <v xml:space="preserve">Aterro e compactação </v>
      </c>
      <c r="AW753" s="4" t="str">
        <f t="shared" si="2622"/>
        <v xml:space="preserve">   Camada Final de Aterro (PN a 100%) - Seg.2.5 CA 10</v>
      </c>
    </row>
    <row r="754" spans="1:49" ht="17.45" customHeight="1" outlineLevel="3">
      <c r="A754" s="545" t="str">
        <f t="shared" ref="A754" si="2805">A753</f>
        <v>N</v>
      </c>
      <c r="B754" s="526"/>
      <c r="C754" s="526" t="s">
        <v>1103</v>
      </c>
      <c r="D754" s="527" t="s">
        <v>1104</v>
      </c>
      <c r="E754" s="893"/>
      <c r="F754" s="895"/>
      <c r="G754" s="528"/>
      <c r="H754" s="549" t="s">
        <v>38</v>
      </c>
      <c r="I754" s="711">
        <v>0</v>
      </c>
      <c r="J754" s="897"/>
      <c r="K754" s="528"/>
      <c r="L754" s="549" t="s">
        <v>38</v>
      </c>
      <c r="M754" s="711">
        <f t="shared" si="2681"/>
        <v>0</v>
      </c>
      <c r="N754" s="897"/>
      <c r="O754" s="528"/>
      <c r="P754" s="547">
        <v>0</v>
      </c>
      <c r="Q754" s="547">
        <v>0</v>
      </c>
      <c r="R754" s="547">
        <v>0</v>
      </c>
      <c r="S754" s="547">
        <v>0</v>
      </c>
      <c r="T754" s="547">
        <v>0</v>
      </c>
      <c r="U754" s="547">
        <v>0</v>
      </c>
      <c r="V754" s="547">
        <v>0</v>
      </c>
      <c r="W754" s="528"/>
      <c r="X754" s="711">
        <f t="shared" si="2568"/>
        <v>0</v>
      </c>
      <c r="Y754" s="897"/>
      <c r="Z754" s="528"/>
      <c r="AA754" s="899"/>
      <c r="AB754" s="899"/>
      <c r="AC754" s="899"/>
      <c r="AD754" s="901"/>
      <c r="AE754" s="2"/>
      <c r="AF754" s="885"/>
      <c r="AG754" s="885"/>
      <c r="AH754" s="885"/>
      <c r="AI754" s="885"/>
      <c r="AJ754" s="885"/>
      <c r="AK754" s="885"/>
      <c r="AL754" s="885"/>
      <c r="AM754" s="879"/>
      <c r="AN754" s="2"/>
      <c r="AO754" s="886"/>
      <c r="AP754" s="886"/>
      <c r="AV754" t="str">
        <f t="shared" si="2624"/>
        <v xml:space="preserve">Aterro e compactação </v>
      </c>
      <c r="AW754" s="4" t="str">
        <f t="shared" si="2622"/>
        <v xml:space="preserve">   Camada Final de Aterro (PN a 100%) - Seg.2.5 CA 10</v>
      </c>
    </row>
    <row r="755" spans="1:49" ht="17.45" customHeight="1" outlineLevel="3">
      <c r="A755" s="545" t="str">
        <f t="shared" ref="A755" si="2806">IF(SUM(P755:V756)&gt;0,"S","N")</f>
        <v>N</v>
      </c>
      <c r="B755" s="526">
        <v>1065434</v>
      </c>
      <c r="C755" s="526" t="s">
        <v>1106</v>
      </c>
      <c r="D755" s="527" t="s">
        <v>1107</v>
      </c>
      <c r="E755" s="892" t="s">
        <v>1108</v>
      </c>
      <c r="F755" s="894" t="s">
        <v>36</v>
      </c>
      <c r="G755" s="528"/>
      <c r="H755" s="546" t="s">
        <v>37</v>
      </c>
      <c r="I755" s="711">
        <v>0</v>
      </c>
      <c r="J755" s="896" t="str">
        <f t="shared" ref="J755" si="2807">IFERROR((I756/I755),"-")</f>
        <v>-</v>
      </c>
      <c r="K755" s="528"/>
      <c r="L755" s="546" t="s">
        <v>37</v>
      </c>
      <c r="M755" s="711">
        <f t="shared" si="2681"/>
        <v>0</v>
      </c>
      <c r="N755" s="896" t="str">
        <f t="shared" ref="N755" si="2808">IFERROR((M756/M755),"-")</f>
        <v>-</v>
      </c>
      <c r="O755" s="528"/>
      <c r="P755" s="547">
        <v>0</v>
      </c>
      <c r="Q755" s="547">
        <v>0</v>
      </c>
      <c r="R755" s="547">
        <v>0</v>
      </c>
      <c r="S755" s="547">
        <v>0</v>
      </c>
      <c r="T755" s="547">
        <v>0</v>
      </c>
      <c r="U755" s="547">
        <v>0</v>
      </c>
      <c r="V755" s="547">
        <v>0</v>
      </c>
      <c r="W755" s="528"/>
      <c r="X755" s="711">
        <f t="shared" si="2568"/>
        <v>0</v>
      </c>
      <c r="Y755" s="896" t="str">
        <f t="shared" ref="Y755" si="2809">IFERROR((X756/X755),"0")</f>
        <v>0</v>
      </c>
      <c r="Z755" s="528"/>
      <c r="AA755" s="898">
        <v>67</v>
      </c>
      <c r="AB755" s="898">
        <v>0</v>
      </c>
      <c r="AC755" s="898">
        <v>0</v>
      </c>
      <c r="AD755" s="900" t="str">
        <f t="shared" ref="AD755" si="2810">IFERROR((AC755/AB755),"-")</f>
        <v>-</v>
      </c>
      <c r="AE755" s="2"/>
      <c r="AF755" s="884">
        <v>0</v>
      </c>
      <c r="AG755" s="884"/>
      <c r="AH755" s="884">
        <v>0</v>
      </c>
      <c r="AI755" s="884"/>
      <c r="AJ755" s="884"/>
      <c r="AK755" s="884">
        <f t="shared" ref="AK755" si="2811">AF755+AG755+AH755+AI755+AJ755+AC755</f>
        <v>0</v>
      </c>
      <c r="AL755" s="884">
        <v>0</v>
      </c>
      <c r="AM755" s="878" t="str">
        <f t="shared" ref="AM755" si="2812">IFERROR((AK755/AL755),"-")</f>
        <v>-</v>
      </c>
      <c r="AN755" s="2"/>
      <c r="AO755" s="884">
        <v>67</v>
      </c>
      <c r="AP755" s="884">
        <f t="shared" ref="AP755" si="2813">AO755-AK755</f>
        <v>67</v>
      </c>
      <c r="AV755" t="str">
        <f t="shared" si="2624"/>
        <v xml:space="preserve">Aterro e compactação </v>
      </c>
      <c r="AW755" s="4" t="str">
        <f t="shared" si="2622"/>
        <v xml:space="preserve">   Camada Final de Aterro (PN a 100%) - Seg.2.5 CA 12</v>
      </c>
    </row>
    <row r="756" spans="1:49" ht="17.45" customHeight="1" outlineLevel="3">
      <c r="A756" s="545" t="str">
        <f t="shared" ref="A756" si="2814">A755</f>
        <v>N</v>
      </c>
      <c r="B756" s="526"/>
      <c r="C756" s="526" t="s">
        <v>1106</v>
      </c>
      <c r="D756" s="527" t="s">
        <v>1107</v>
      </c>
      <c r="E756" s="893"/>
      <c r="F756" s="895"/>
      <c r="G756" s="528"/>
      <c r="H756" s="549" t="s">
        <v>38</v>
      </c>
      <c r="I756" s="711">
        <v>0</v>
      </c>
      <c r="J756" s="897"/>
      <c r="K756" s="528"/>
      <c r="L756" s="549" t="s">
        <v>38</v>
      </c>
      <c r="M756" s="711">
        <f t="shared" si="2681"/>
        <v>0</v>
      </c>
      <c r="N756" s="897"/>
      <c r="O756" s="528"/>
      <c r="P756" s="547">
        <v>0</v>
      </c>
      <c r="Q756" s="547">
        <v>0</v>
      </c>
      <c r="R756" s="547">
        <v>0</v>
      </c>
      <c r="S756" s="547">
        <v>0</v>
      </c>
      <c r="T756" s="547">
        <v>0</v>
      </c>
      <c r="U756" s="547">
        <v>0</v>
      </c>
      <c r="V756" s="547">
        <v>0</v>
      </c>
      <c r="W756" s="528"/>
      <c r="X756" s="711">
        <f t="shared" si="2568"/>
        <v>0</v>
      </c>
      <c r="Y756" s="897"/>
      <c r="Z756" s="528"/>
      <c r="AA756" s="899"/>
      <c r="AB756" s="899"/>
      <c r="AC756" s="899"/>
      <c r="AD756" s="901"/>
      <c r="AE756" s="2"/>
      <c r="AF756" s="885"/>
      <c r="AG756" s="885"/>
      <c r="AH756" s="885"/>
      <c r="AI756" s="885"/>
      <c r="AJ756" s="885"/>
      <c r="AK756" s="885"/>
      <c r="AL756" s="885"/>
      <c r="AM756" s="879"/>
      <c r="AN756" s="2"/>
      <c r="AO756" s="886"/>
      <c r="AP756" s="886"/>
      <c r="AV756" t="str">
        <f t="shared" si="2624"/>
        <v xml:space="preserve">Aterro e compactação </v>
      </c>
      <c r="AW756" s="4" t="str">
        <f t="shared" si="2622"/>
        <v xml:space="preserve">   Camada Final de Aterro (PN a 100%) - Seg.2.5 CA 12</v>
      </c>
    </row>
    <row r="757" spans="1:49" ht="17.45" customHeight="1" outlineLevel="3">
      <c r="A757" s="525" t="str">
        <f t="shared" ref="A757" si="2815">IF(SUM(P757:V758)&gt;0,"S","N")</f>
        <v>N</v>
      </c>
      <c r="B757" s="526">
        <v>1065436</v>
      </c>
      <c r="C757" s="526" t="s">
        <v>1109</v>
      </c>
      <c r="D757" s="527" t="s">
        <v>1110</v>
      </c>
      <c r="E757" s="892" t="s">
        <v>1111</v>
      </c>
      <c r="F757" s="894" t="s">
        <v>36</v>
      </c>
      <c r="G757" s="528"/>
      <c r="H757" s="546" t="s">
        <v>37</v>
      </c>
      <c r="I757" s="711">
        <v>0</v>
      </c>
      <c r="J757" s="896" t="str">
        <f t="shared" ref="J757" si="2816">IFERROR((I758/I757),"-")</f>
        <v>-</v>
      </c>
      <c r="K757" s="528"/>
      <c r="L757" s="546" t="s">
        <v>37</v>
      </c>
      <c r="M757" s="711">
        <f t="shared" si="2681"/>
        <v>0</v>
      </c>
      <c r="N757" s="896" t="str">
        <f t="shared" ref="N757" si="2817">IFERROR((M758/M757),"-")</f>
        <v>-</v>
      </c>
      <c r="O757" s="528"/>
      <c r="P757" s="547">
        <v>0</v>
      </c>
      <c r="Q757" s="547">
        <v>0</v>
      </c>
      <c r="R757" s="547">
        <v>0</v>
      </c>
      <c r="S757" s="547">
        <v>0</v>
      </c>
      <c r="T757" s="547">
        <v>0</v>
      </c>
      <c r="U757" s="547">
        <v>0</v>
      </c>
      <c r="V757" s="547">
        <v>0</v>
      </c>
      <c r="W757" s="528"/>
      <c r="X757" s="711">
        <f t="shared" si="2568"/>
        <v>0</v>
      </c>
      <c r="Y757" s="896" t="str">
        <f t="shared" ref="Y757" si="2818">IFERROR((X758/X757),"0")</f>
        <v>0</v>
      </c>
      <c r="Z757" s="528"/>
      <c r="AA757" s="898">
        <v>13308</v>
      </c>
      <c r="AB757" s="898">
        <v>0</v>
      </c>
      <c r="AC757" s="898">
        <v>0</v>
      </c>
      <c r="AD757" s="900" t="str">
        <f t="shared" ref="AD757" si="2819">IFERROR((AC757/AB757),"-")</f>
        <v>-</v>
      </c>
      <c r="AE757" s="2"/>
      <c r="AF757" s="884">
        <v>0</v>
      </c>
      <c r="AG757" s="884"/>
      <c r="AH757" s="884">
        <v>0</v>
      </c>
      <c r="AI757" s="884"/>
      <c r="AJ757" s="884"/>
      <c r="AK757" s="884">
        <f t="shared" ref="AK757" si="2820">AF757+AG757+AH757+AI757+AJ757+AC757</f>
        <v>0</v>
      </c>
      <c r="AL757" s="884">
        <v>0</v>
      </c>
      <c r="AM757" s="878" t="str">
        <f t="shared" ref="AM757" si="2821">IFERROR((AK757/AL757),"-")</f>
        <v>-</v>
      </c>
      <c r="AN757" s="2"/>
      <c r="AO757" s="884">
        <v>13308</v>
      </c>
      <c r="AP757" s="884">
        <f t="shared" ref="AP757" si="2822">AO757-AK757</f>
        <v>13308</v>
      </c>
      <c r="AV757" t="str">
        <f t="shared" si="2624"/>
        <v xml:space="preserve">Aterro e compactação </v>
      </c>
      <c r="AW757" s="4" t="str">
        <f t="shared" si="2622"/>
        <v xml:space="preserve">   Camada Final de Aterro (PN a 100%) - Seg.2.5 CA 13</v>
      </c>
    </row>
    <row r="758" spans="1:49" ht="17.45" customHeight="1" outlineLevel="3">
      <c r="A758" s="525" t="str">
        <f t="shared" ref="A758" si="2823">A757</f>
        <v>N</v>
      </c>
      <c r="B758" s="526"/>
      <c r="C758" s="526" t="s">
        <v>1109</v>
      </c>
      <c r="D758" s="527" t="s">
        <v>1110</v>
      </c>
      <c r="E758" s="893"/>
      <c r="F758" s="895"/>
      <c r="G758" s="528"/>
      <c r="H758" s="549" t="s">
        <v>38</v>
      </c>
      <c r="I758" s="711">
        <v>0</v>
      </c>
      <c r="J758" s="897"/>
      <c r="K758" s="528"/>
      <c r="L758" s="549" t="s">
        <v>38</v>
      </c>
      <c r="M758" s="711">
        <f t="shared" si="2681"/>
        <v>0</v>
      </c>
      <c r="N758" s="897"/>
      <c r="O758" s="528"/>
      <c r="P758" s="547">
        <v>0</v>
      </c>
      <c r="Q758" s="547">
        <v>0</v>
      </c>
      <c r="R758" s="547">
        <v>0</v>
      </c>
      <c r="S758" s="547">
        <v>0</v>
      </c>
      <c r="T758" s="547">
        <v>0</v>
      </c>
      <c r="U758" s="547">
        <v>0</v>
      </c>
      <c r="V758" s="547">
        <v>0</v>
      </c>
      <c r="W758" s="528"/>
      <c r="X758" s="711">
        <f t="shared" si="2568"/>
        <v>0</v>
      </c>
      <c r="Y758" s="897"/>
      <c r="Z758" s="528"/>
      <c r="AA758" s="899"/>
      <c r="AB758" s="899"/>
      <c r="AC758" s="899"/>
      <c r="AD758" s="901"/>
      <c r="AE758" s="2"/>
      <c r="AF758" s="885"/>
      <c r="AG758" s="885"/>
      <c r="AH758" s="885"/>
      <c r="AI758" s="885"/>
      <c r="AJ758" s="885"/>
      <c r="AK758" s="885"/>
      <c r="AL758" s="885"/>
      <c r="AM758" s="879"/>
      <c r="AN758" s="2"/>
      <c r="AO758" s="886"/>
      <c r="AP758" s="886"/>
      <c r="AV758" t="str">
        <f t="shared" si="2624"/>
        <v xml:space="preserve">Aterro e compactação </v>
      </c>
      <c r="AW758" s="4" t="str">
        <f t="shared" si="2622"/>
        <v xml:space="preserve">   Camada Final de Aterro (PN a 100%) - Seg.2.5 CA 13</v>
      </c>
    </row>
    <row r="759" spans="1:49" ht="17.45" customHeight="1" outlineLevel="3">
      <c r="A759" s="545" t="str">
        <f t="shared" ref="A759" si="2824">IF(SUM(P759:V760)&gt;0,"S","N")</f>
        <v>N</v>
      </c>
      <c r="B759" s="526">
        <v>1065417</v>
      </c>
      <c r="C759" s="526" t="s">
        <v>1112</v>
      </c>
      <c r="D759" s="527" t="s">
        <v>1113</v>
      </c>
      <c r="E759" s="892" t="s">
        <v>1114</v>
      </c>
      <c r="F759" s="894" t="s">
        <v>36</v>
      </c>
      <c r="G759" s="528"/>
      <c r="H759" s="546" t="s">
        <v>37</v>
      </c>
      <c r="I759" s="711">
        <v>0</v>
      </c>
      <c r="J759" s="896" t="str">
        <f t="shared" ref="J759" si="2825">IFERROR((I760/I759),"-")</f>
        <v>-</v>
      </c>
      <c r="K759" s="528"/>
      <c r="L759" s="546" t="s">
        <v>37</v>
      </c>
      <c r="M759" s="711">
        <f t="shared" si="2681"/>
        <v>0</v>
      </c>
      <c r="N759" s="896" t="str">
        <f t="shared" ref="N759" si="2826">IFERROR((M760/M759),"-")</f>
        <v>-</v>
      </c>
      <c r="O759" s="528"/>
      <c r="P759" s="547">
        <v>0</v>
      </c>
      <c r="Q759" s="547">
        <v>0</v>
      </c>
      <c r="R759" s="547">
        <v>0</v>
      </c>
      <c r="S759" s="547">
        <v>0</v>
      </c>
      <c r="T759" s="547">
        <v>0</v>
      </c>
      <c r="U759" s="547">
        <v>0</v>
      </c>
      <c r="V759" s="547">
        <v>0</v>
      </c>
      <c r="W759" s="528"/>
      <c r="X759" s="711">
        <f t="shared" si="2568"/>
        <v>0</v>
      </c>
      <c r="Y759" s="896" t="str">
        <f t="shared" ref="Y759" si="2827">IFERROR((X760/X759),"-")</f>
        <v>-</v>
      </c>
      <c r="Z759" s="528"/>
      <c r="AA759" s="898">
        <v>3100</v>
      </c>
      <c r="AB759" s="898">
        <v>0</v>
      </c>
      <c r="AC759" s="898">
        <v>0</v>
      </c>
      <c r="AD759" s="900" t="str">
        <f t="shared" ref="AD759" si="2828">IFERROR((AC759/AB759),"-")</f>
        <v>-</v>
      </c>
      <c r="AE759" s="2"/>
      <c r="AF759" s="884">
        <v>0</v>
      </c>
      <c r="AG759" s="884"/>
      <c r="AH759" s="884">
        <v>0</v>
      </c>
      <c r="AI759" s="884"/>
      <c r="AJ759" s="884"/>
      <c r="AK759" s="884">
        <f t="shared" ref="AK759" si="2829">AF759+AG759+AH759+AI759+AJ759+AC759</f>
        <v>0</v>
      </c>
      <c r="AL759" s="884">
        <v>0</v>
      </c>
      <c r="AM759" s="878" t="str">
        <f t="shared" ref="AM759" si="2830">IFERROR((AK759/AL759),"-")</f>
        <v>-</v>
      </c>
      <c r="AN759" s="2"/>
      <c r="AO759" s="884">
        <v>3100</v>
      </c>
      <c r="AP759" s="884">
        <f t="shared" ref="AP759" si="2831">AO759-AK759</f>
        <v>3100</v>
      </c>
      <c r="AV759" t="str">
        <f t="shared" si="2624"/>
        <v xml:space="preserve">Aterro e compactação </v>
      </c>
      <c r="AW759" s="4" t="str">
        <f t="shared" si="2622"/>
        <v xml:space="preserve">   Camada Final de Aterro (PN a 100%) - Seg.2.5 CA 03</v>
      </c>
    </row>
    <row r="760" spans="1:49" ht="17.45" customHeight="1" outlineLevel="3">
      <c r="A760" s="545" t="str">
        <f t="shared" ref="A760" si="2832">A759</f>
        <v>N</v>
      </c>
      <c r="B760" s="526"/>
      <c r="C760" s="526"/>
      <c r="D760" s="527" t="s">
        <v>1113</v>
      </c>
      <c r="E760" s="893"/>
      <c r="F760" s="895"/>
      <c r="G760" s="528"/>
      <c r="H760" s="549" t="s">
        <v>38</v>
      </c>
      <c r="I760" s="711">
        <v>0</v>
      </c>
      <c r="J760" s="897"/>
      <c r="K760" s="528"/>
      <c r="L760" s="549" t="s">
        <v>38</v>
      </c>
      <c r="M760" s="711">
        <f t="shared" si="2681"/>
        <v>0</v>
      </c>
      <c r="N760" s="897"/>
      <c r="O760" s="528"/>
      <c r="P760" s="547">
        <v>0</v>
      </c>
      <c r="Q760" s="547">
        <v>0</v>
      </c>
      <c r="R760" s="547">
        <v>0</v>
      </c>
      <c r="S760" s="547">
        <v>0</v>
      </c>
      <c r="T760" s="547">
        <v>0</v>
      </c>
      <c r="U760" s="547">
        <v>0</v>
      </c>
      <c r="V760" s="547">
        <v>0</v>
      </c>
      <c r="W760" s="528"/>
      <c r="X760" s="711">
        <f t="shared" si="2568"/>
        <v>0</v>
      </c>
      <c r="Y760" s="897"/>
      <c r="Z760" s="528"/>
      <c r="AA760" s="899"/>
      <c r="AB760" s="899"/>
      <c r="AC760" s="899"/>
      <c r="AD760" s="901"/>
      <c r="AE760" s="2"/>
      <c r="AF760" s="885"/>
      <c r="AG760" s="885"/>
      <c r="AH760" s="885"/>
      <c r="AI760" s="885"/>
      <c r="AJ760" s="885"/>
      <c r="AK760" s="885"/>
      <c r="AL760" s="885"/>
      <c r="AM760" s="879"/>
      <c r="AN760" s="2"/>
      <c r="AO760" s="886"/>
      <c r="AP760" s="886"/>
      <c r="AV760" t="str">
        <f t="shared" si="2624"/>
        <v xml:space="preserve">Aterro e compactação </v>
      </c>
      <c r="AW760" s="4" t="str">
        <f t="shared" si="2622"/>
        <v xml:space="preserve">   Camada Final de Aterro (PN a 100%) - Seg.2.5 CA 03</v>
      </c>
    </row>
    <row r="761" spans="1:49" ht="17.45" customHeight="1" outlineLevel="3">
      <c r="A761" s="545" t="str">
        <f t="shared" ref="A761" si="2833">IF(SUM(P761:V762)&gt;0,"S","N")</f>
        <v>N</v>
      </c>
      <c r="B761" s="526">
        <v>1065419</v>
      </c>
      <c r="C761" s="526" t="s">
        <v>1115</v>
      </c>
      <c r="D761" s="527" t="s">
        <v>1116</v>
      </c>
      <c r="E761" s="892" t="s">
        <v>1117</v>
      </c>
      <c r="F761" s="894" t="s">
        <v>36</v>
      </c>
      <c r="G761" s="528"/>
      <c r="H761" s="546" t="s">
        <v>37</v>
      </c>
      <c r="I761" s="711">
        <v>0</v>
      </c>
      <c r="J761" s="896" t="str">
        <f t="shared" ref="J761" si="2834">IFERROR((I762/I761),"-")</f>
        <v>-</v>
      </c>
      <c r="K761" s="528"/>
      <c r="L761" s="546" t="s">
        <v>37</v>
      </c>
      <c r="M761" s="711">
        <f t="shared" si="2681"/>
        <v>0</v>
      </c>
      <c r="N761" s="896" t="str">
        <f t="shared" ref="N761" si="2835">IFERROR((M762/M761),"-")</f>
        <v>-</v>
      </c>
      <c r="O761" s="528"/>
      <c r="P761" s="547">
        <v>0</v>
      </c>
      <c r="Q761" s="547">
        <v>0</v>
      </c>
      <c r="R761" s="547">
        <v>0</v>
      </c>
      <c r="S761" s="547">
        <v>0</v>
      </c>
      <c r="T761" s="547">
        <v>0</v>
      </c>
      <c r="U761" s="547">
        <v>0</v>
      </c>
      <c r="V761" s="547">
        <v>0</v>
      </c>
      <c r="W761" s="528"/>
      <c r="X761" s="711">
        <f t="shared" si="2568"/>
        <v>0</v>
      </c>
      <c r="Y761" s="896" t="str">
        <f t="shared" ref="Y761" si="2836">IFERROR((X762/X761),"-")</f>
        <v>-</v>
      </c>
      <c r="Z761" s="528"/>
      <c r="AA761" s="898">
        <v>0</v>
      </c>
      <c r="AB761" s="898">
        <v>1524.3500000000001</v>
      </c>
      <c r="AC761" s="898">
        <v>0</v>
      </c>
      <c r="AD761" s="900">
        <f t="shared" ref="AD761" si="2837">IFERROR((AC761/AB761),"-")</f>
        <v>0</v>
      </c>
      <c r="AE761" s="2"/>
      <c r="AF761" s="884">
        <v>0</v>
      </c>
      <c r="AG761" s="884"/>
      <c r="AH761" s="884">
        <v>0</v>
      </c>
      <c r="AI761" s="884"/>
      <c r="AJ761" s="884"/>
      <c r="AK761" s="884">
        <f t="shared" ref="AK761" si="2838">AF761+AG761+AH761+AI761+AJ761+AC761</f>
        <v>0</v>
      </c>
      <c r="AL761" s="884">
        <v>1524.3500000000001</v>
      </c>
      <c r="AM761" s="878">
        <f t="shared" ref="AM761" si="2839">IFERROR((AK761/AL761),"-")</f>
        <v>0</v>
      </c>
      <c r="AN761" s="2"/>
      <c r="AO761" s="884">
        <v>3789</v>
      </c>
      <c r="AP761" s="884">
        <f t="shared" ref="AP761" si="2840">AO761-AK761</f>
        <v>3789</v>
      </c>
      <c r="AV761" t="str">
        <f t="shared" si="2624"/>
        <v xml:space="preserve">Aterro e compactação </v>
      </c>
      <c r="AW761" s="4" t="str">
        <f t="shared" si="2622"/>
        <v xml:space="preserve">   Camada Final de Aterro (PN a 100%) - Seg.2.5 CA 04</v>
      </c>
    </row>
    <row r="762" spans="1:49" ht="17.45" customHeight="1" outlineLevel="3">
      <c r="A762" s="545" t="str">
        <f t="shared" ref="A762" si="2841">A761</f>
        <v>N</v>
      </c>
      <c r="B762" s="526"/>
      <c r="C762" s="526"/>
      <c r="D762" s="527" t="s">
        <v>1116</v>
      </c>
      <c r="E762" s="893"/>
      <c r="F762" s="895"/>
      <c r="G762" s="528"/>
      <c r="H762" s="549" t="s">
        <v>38</v>
      </c>
      <c r="I762" s="711">
        <v>0</v>
      </c>
      <c r="J762" s="897"/>
      <c r="K762" s="528"/>
      <c r="L762" s="549" t="s">
        <v>38</v>
      </c>
      <c r="M762" s="711">
        <f t="shared" si="2681"/>
        <v>0</v>
      </c>
      <c r="N762" s="897"/>
      <c r="O762" s="528"/>
      <c r="P762" s="547">
        <v>0</v>
      </c>
      <c r="Q762" s="547">
        <v>0</v>
      </c>
      <c r="R762" s="547">
        <v>0</v>
      </c>
      <c r="S762" s="547">
        <v>0</v>
      </c>
      <c r="T762" s="547">
        <v>0</v>
      </c>
      <c r="U762" s="547">
        <v>0</v>
      </c>
      <c r="V762" s="547">
        <v>0</v>
      </c>
      <c r="W762" s="528"/>
      <c r="X762" s="711">
        <f t="shared" si="2568"/>
        <v>0</v>
      </c>
      <c r="Y762" s="897"/>
      <c r="Z762" s="528"/>
      <c r="AA762" s="899"/>
      <c r="AB762" s="899"/>
      <c r="AC762" s="899"/>
      <c r="AD762" s="901"/>
      <c r="AE762" s="2"/>
      <c r="AF762" s="885"/>
      <c r="AG762" s="885"/>
      <c r="AH762" s="885"/>
      <c r="AI762" s="885"/>
      <c r="AJ762" s="885"/>
      <c r="AK762" s="885"/>
      <c r="AL762" s="885"/>
      <c r="AM762" s="879"/>
      <c r="AN762" s="2"/>
      <c r="AO762" s="886"/>
      <c r="AP762" s="886"/>
      <c r="AV762" t="str">
        <f t="shared" si="2624"/>
        <v xml:space="preserve">Aterro e compactação </v>
      </c>
      <c r="AW762" s="4" t="str">
        <f t="shared" si="2622"/>
        <v xml:space="preserve">   Camada Final de Aterro (PN a 100%) - Seg.2.5 CA 04</v>
      </c>
    </row>
    <row r="763" spans="1:49" ht="17.45" customHeight="1" outlineLevel="3">
      <c r="A763" s="545" t="str">
        <f t="shared" ref="A763" si="2842">IF(SUM(P763:V764)&gt;0,"S","N")</f>
        <v>N</v>
      </c>
      <c r="B763" s="526">
        <v>1065433</v>
      </c>
      <c r="C763" s="526" t="s">
        <v>1118</v>
      </c>
      <c r="D763" s="527" t="s">
        <v>1089</v>
      </c>
      <c r="E763" s="892" t="s">
        <v>1119</v>
      </c>
      <c r="F763" s="894" t="s">
        <v>36</v>
      </c>
      <c r="G763" s="528"/>
      <c r="H763" s="546" t="s">
        <v>37</v>
      </c>
      <c r="I763" s="711">
        <v>0</v>
      </c>
      <c r="J763" s="896" t="str">
        <f t="shared" ref="J763" si="2843">IFERROR((I764/I763),"-")</f>
        <v>-</v>
      </c>
      <c r="K763" s="528"/>
      <c r="L763" s="546" t="s">
        <v>37</v>
      </c>
      <c r="M763" s="711">
        <f t="shared" si="2681"/>
        <v>0</v>
      </c>
      <c r="N763" s="896" t="str">
        <f t="shared" ref="N763" si="2844">IFERROR((M764/M763),"-")</f>
        <v>-</v>
      </c>
      <c r="O763" s="528"/>
      <c r="P763" s="547">
        <v>0</v>
      </c>
      <c r="Q763" s="547">
        <v>0</v>
      </c>
      <c r="R763" s="547">
        <v>0</v>
      </c>
      <c r="S763" s="547">
        <v>0</v>
      </c>
      <c r="T763" s="547">
        <v>0</v>
      </c>
      <c r="U763" s="547">
        <v>0</v>
      </c>
      <c r="V763" s="547">
        <v>0</v>
      </c>
      <c r="W763" s="528"/>
      <c r="X763" s="711">
        <f t="shared" si="2568"/>
        <v>0</v>
      </c>
      <c r="Y763" s="896" t="str">
        <f t="shared" ref="Y763" si="2845">IFERROR((X764/X763),"-")</f>
        <v>-</v>
      </c>
      <c r="Z763" s="528"/>
      <c r="AA763" s="898">
        <v>4507</v>
      </c>
      <c r="AB763" s="898">
        <v>0</v>
      </c>
      <c r="AC763" s="898">
        <v>0</v>
      </c>
      <c r="AD763" s="900" t="str">
        <f t="shared" ref="AD763" si="2846">IFERROR((AC763/AB763),"-")</f>
        <v>-</v>
      </c>
      <c r="AE763" s="2"/>
      <c r="AF763" s="884">
        <v>0</v>
      </c>
      <c r="AG763" s="884"/>
      <c r="AH763" s="884">
        <v>0</v>
      </c>
      <c r="AI763" s="884"/>
      <c r="AJ763" s="884"/>
      <c r="AK763" s="884">
        <f t="shared" ref="AK763" si="2847">AF763+AG763+AH763+AI763+AJ763+AC763</f>
        <v>0</v>
      </c>
      <c r="AL763" s="884">
        <v>0</v>
      </c>
      <c r="AM763" s="878" t="str">
        <f t="shared" ref="AM763" si="2848">IFERROR((AK763/AL763),"-")</f>
        <v>-</v>
      </c>
      <c r="AN763" s="2"/>
      <c r="AO763" s="884">
        <v>4507</v>
      </c>
      <c r="AP763" s="884">
        <f t="shared" ref="AP763" si="2849">AO763-AK763</f>
        <v>4507</v>
      </c>
      <c r="AV763" t="str">
        <f t="shared" si="2624"/>
        <v xml:space="preserve">Aterro e compactação </v>
      </c>
      <c r="AW763" s="4" t="str">
        <f t="shared" si="2622"/>
        <v xml:space="preserve">   Camada Final de Aterro (PN a 100%) - Seg.2.5 CA 11</v>
      </c>
    </row>
    <row r="764" spans="1:49" ht="20.25" customHeight="1" outlineLevel="3">
      <c r="A764" s="545" t="str">
        <f t="shared" ref="A764" si="2850">A763</f>
        <v>N</v>
      </c>
      <c r="B764" s="526"/>
      <c r="C764" s="526"/>
      <c r="D764" s="527" t="s">
        <v>1089</v>
      </c>
      <c r="E764" s="893"/>
      <c r="F764" s="895"/>
      <c r="G764" s="528"/>
      <c r="H764" s="549" t="s">
        <v>38</v>
      </c>
      <c r="I764" s="711">
        <v>0</v>
      </c>
      <c r="J764" s="897"/>
      <c r="K764" s="528"/>
      <c r="L764" s="549" t="s">
        <v>38</v>
      </c>
      <c r="M764" s="711">
        <f t="shared" si="2681"/>
        <v>0</v>
      </c>
      <c r="N764" s="897"/>
      <c r="O764" s="528"/>
      <c r="P764" s="547">
        <v>0</v>
      </c>
      <c r="Q764" s="547">
        <v>0</v>
      </c>
      <c r="R764" s="547">
        <v>0</v>
      </c>
      <c r="S764" s="547">
        <v>0</v>
      </c>
      <c r="T764" s="547">
        <v>0</v>
      </c>
      <c r="U764" s="547">
        <v>0</v>
      </c>
      <c r="V764" s="547">
        <v>0</v>
      </c>
      <c r="W764" s="528"/>
      <c r="X764" s="711">
        <f t="shared" si="2568"/>
        <v>0</v>
      </c>
      <c r="Y764" s="897"/>
      <c r="Z764" s="528"/>
      <c r="AA764" s="899"/>
      <c r="AB764" s="899"/>
      <c r="AC764" s="899"/>
      <c r="AD764" s="901"/>
      <c r="AE764" s="2"/>
      <c r="AF764" s="885"/>
      <c r="AG764" s="885"/>
      <c r="AH764" s="885"/>
      <c r="AI764" s="885"/>
      <c r="AJ764" s="885"/>
      <c r="AK764" s="885"/>
      <c r="AL764" s="885"/>
      <c r="AM764" s="879"/>
      <c r="AN764" s="2"/>
      <c r="AO764" s="886"/>
      <c r="AP764" s="886"/>
      <c r="AV764" t="str">
        <f t="shared" si="2624"/>
        <v xml:space="preserve">Aterro e compactação </v>
      </c>
      <c r="AW764" s="4" t="str">
        <f t="shared" si="2622"/>
        <v xml:space="preserve">   Camada Final de Aterro (PN a 100%) - Seg.2.5 CA 11</v>
      </c>
    </row>
    <row r="765" spans="1:49" ht="20.25" customHeight="1" outlineLevel="3">
      <c r="A765" s="525" t="str">
        <f t="shared" ref="A765" si="2851">IF(SUM(P765:V766)&gt;0,"S","N")</f>
        <v>N</v>
      </c>
      <c r="B765" s="565">
        <v>1070050</v>
      </c>
      <c r="C765" s="565" t="s">
        <v>1120</v>
      </c>
      <c r="D765" s="527"/>
      <c r="E765" s="892" t="s">
        <v>1121</v>
      </c>
      <c r="F765" s="894" t="s">
        <v>36</v>
      </c>
      <c r="G765" s="528"/>
      <c r="H765" s="546" t="s">
        <v>37</v>
      </c>
      <c r="I765" s="711">
        <v>0</v>
      </c>
      <c r="J765" s="896" t="str">
        <f t="shared" ref="J765" si="2852">IFERROR((I766/I765),"-")</f>
        <v>-</v>
      </c>
      <c r="K765" s="528"/>
      <c r="L765" s="546" t="s">
        <v>37</v>
      </c>
      <c r="M765" s="711">
        <f t="shared" si="2681"/>
        <v>0</v>
      </c>
      <c r="N765" s="896" t="str">
        <f t="shared" ref="N765" si="2853">IFERROR((M766/M765),"-")</f>
        <v>-</v>
      </c>
      <c r="O765" s="528"/>
      <c r="P765" s="547">
        <v>0</v>
      </c>
      <c r="Q765" s="547">
        <v>0</v>
      </c>
      <c r="R765" s="547">
        <v>0</v>
      </c>
      <c r="S765" s="547">
        <v>0</v>
      </c>
      <c r="T765" s="547">
        <v>0</v>
      </c>
      <c r="U765" s="547">
        <v>0</v>
      </c>
      <c r="V765" s="547">
        <v>0</v>
      </c>
      <c r="W765" s="528"/>
      <c r="X765" s="711">
        <f t="shared" si="2568"/>
        <v>0</v>
      </c>
      <c r="Y765" s="896" t="str">
        <f t="shared" ref="Y765" si="2854">IFERROR((X766/X765),"-")</f>
        <v>-</v>
      </c>
      <c r="Z765" s="528"/>
      <c r="AA765" s="898">
        <v>0</v>
      </c>
      <c r="AB765" s="898">
        <v>0</v>
      </c>
      <c r="AC765" s="898">
        <v>0</v>
      </c>
      <c r="AD765" s="900" t="str">
        <f t="shared" ref="AD765" si="2855">IFERROR((AC765/AB765),"-")</f>
        <v>-</v>
      </c>
      <c r="AE765" s="2"/>
      <c r="AF765" s="884">
        <v>0</v>
      </c>
      <c r="AG765" s="884"/>
      <c r="AH765" s="884">
        <v>0</v>
      </c>
      <c r="AI765" s="884"/>
      <c r="AJ765" s="884"/>
      <c r="AK765" s="884">
        <f t="shared" ref="AK765" si="2856">AF765+AG765+AH765+AI765+AJ765+AC765</f>
        <v>0</v>
      </c>
      <c r="AL765" s="884">
        <v>0</v>
      </c>
      <c r="AM765" s="878" t="str">
        <f t="shared" ref="AM765" si="2857">IFERROR((AK765/AL765),"-")</f>
        <v>-</v>
      </c>
      <c r="AN765" s="2"/>
      <c r="AO765" s="884">
        <v>0</v>
      </c>
      <c r="AP765" s="884">
        <f t="shared" ref="AP765" si="2858">AO765-AK765</f>
        <v>0</v>
      </c>
      <c r="AV765" t="str">
        <f t="shared" si="2624"/>
        <v xml:space="preserve">Aterro e compactação </v>
      </c>
      <c r="AW765" s="4" t="str">
        <f t="shared" si="2622"/>
        <v xml:space="preserve">   Saldo remanescente seg.2.5 - Execução de aterro compactado (PN a 95%) - Corpo de aterro</v>
      </c>
    </row>
    <row r="766" spans="1:49" ht="24" customHeight="1" outlineLevel="3">
      <c r="A766" s="525" t="str">
        <f t="shared" ref="A766" si="2859">A765</f>
        <v>N</v>
      </c>
      <c r="B766" s="526"/>
      <c r="C766" s="526"/>
      <c r="D766" s="527"/>
      <c r="E766" s="893"/>
      <c r="F766" s="895"/>
      <c r="G766" s="528"/>
      <c r="H766" s="549" t="s">
        <v>38</v>
      </c>
      <c r="I766" s="711">
        <v>0</v>
      </c>
      <c r="J766" s="897"/>
      <c r="K766" s="528"/>
      <c r="L766" s="549" t="s">
        <v>38</v>
      </c>
      <c r="M766" s="711">
        <f t="shared" si="2681"/>
        <v>0</v>
      </c>
      <c r="N766" s="897"/>
      <c r="O766" s="528"/>
      <c r="P766" s="547">
        <v>0</v>
      </c>
      <c r="Q766" s="547">
        <v>0</v>
      </c>
      <c r="R766" s="547">
        <v>0</v>
      </c>
      <c r="S766" s="547">
        <v>0</v>
      </c>
      <c r="T766" s="547">
        <v>0</v>
      </c>
      <c r="U766" s="547">
        <v>0</v>
      </c>
      <c r="V766" s="547">
        <v>0</v>
      </c>
      <c r="W766" s="528"/>
      <c r="X766" s="711">
        <f t="shared" si="2568"/>
        <v>0</v>
      </c>
      <c r="Y766" s="897"/>
      <c r="Z766" s="528"/>
      <c r="AA766" s="899"/>
      <c r="AB766" s="899"/>
      <c r="AC766" s="899"/>
      <c r="AD766" s="901"/>
      <c r="AE766" s="2"/>
      <c r="AF766" s="885"/>
      <c r="AG766" s="885"/>
      <c r="AH766" s="885"/>
      <c r="AI766" s="885"/>
      <c r="AJ766" s="885"/>
      <c r="AK766" s="885"/>
      <c r="AL766" s="885"/>
      <c r="AM766" s="879"/>
      <c r="AN766" s="2"/>
      <c r="AO766" s="886"/>
      <c r="AP766" s="886"/>
      <c r="AV766" t="str">
        <f t="shared" si="2624"/>
        <v xml:space="preserve">Aterro e compactação </v>
      </c>
      <c r="AW766" s="4" t="str">
        <f t="shared" si="2622"/>
        <v xml:space="preserve">   Saldo remanescente seg.2.5 - Execução de aterro compactado (PN a 95%) - Corpo de aterro</v>
      </c>
    </row>
    <row r="767" spans="1:49" ht="24" customHeight="1" outlineLevel="3">
      <c r="A767" s="525" t="str">
        <f t="shared" ref="A767" si="2860">IF(SUM(P767:V768)&gt;0,"S","N")</f>
        <v>N</v>
      </c>
      <c r="B767" s="526" t="s">
        <v>266</v>
      </c>
      <c r="C767" s="526" t="s">
        <v>266</v>
      </c>
      <c r="D767" s="527" t="s">
        <v>1122</v>
      </c>
      <c r="E767" s="892" t="s">
        <v>1123</v>
      </c>
      <c r="F767" s="894" t="s">
        <v>36</v>
      </c>
      <c r="G767" s="528"/>
      <c r="H767" s="546" t="s">
        <v>37</v>
      </c>
      <c r="I767" s="711">
        <v>0</v>
      </c>
      <c r="J767" s="896" t="str">
        <f t="shared" ref="J767" si="2861">IFERROR((I768/I767),"-")</f>
        <v>-</v>
      </c>
      <c r="K767" s="528"/>
      <c r="L767" s="546" t="s">
        <v>37</v>
      </c>
      <c r="M767" s="711">
        <f t="shared" si="2681"/>
        <v>0</v>
      </c>
      <c r="N767" s="896" t="str">
        <f t="shared" ref="N767" si="2862">IFERROR((M768/M767),"-")</f>
        <v>-</v>
      </c>
      <c r="O767" s="528"/>
      <c r="P767" s="547">
        <v>0</v>
      </c>
      <c r="Q767" s="547">
        <v>0</v>
      </c>
      <c r="R767" s="547">
        <v>0</v>
      </c>
      <c r="S767" s="547">
        <v>0</v>
      </c>
      <c r="T767" s="547">
        <v>0</v>
      </c>
      <c r="U767" s="547">
        <v>0</v>
      </c>
      <c r="V767" s="547">
        <v>0</v>
      </c>
      <c r="W767" s="528"/>
      <c r="X767" s="711">
        <f t="shared" ref="X767:X778" si="2863">SUMIFS(P767:V767,$P$8:$V$8,"&gt;="&amp;$P$8,$P$8:$V$8,"&lt;="&amp;$N$8)</f>
        <v>0</v>
      </c>
      <c r="Y767" s="896" t="str">
        <f t="shared" ref="Y767" si="2864">IFERROR((X768/X767),"-")</f>
        <v>-</v>
      </c>
      <c r="Z767" s="528"/>
      <c r="AA767" s="898">
        <v>0</v>
      </c>
      <c r="AB767" s="898">
        <v>0</v>
      </c>
      <c r="AC767" s="898">
        <v>879.36</v>
      </c>
      <c r="AD767" s="900" t="str">
        <f t="shared" ref="AD767" si="2865">IFERROR((AC767/AB767),"-")</f>
        <v>-</v>
      </c>
      <c r="AE767" s="2"/>
      <c r="AF767" s="884">
        <v>0</v>
      </c>
      <c r="AG767" s="884"/>
      <c r="AH767" s="884">
        <v>0</v>
      </c>
      <c r="AI767" s="884"/>
      <c r="AJ767" s="884"/>
      <c r="AK767" s="884">
        <f t="shared" ref="AK767" si="2866">AF767+AG767+AH767+AI767+AJ767+AC767</f>
        <v>879.36</v>
      </c>
      <c r="AL767" s="884">
        <v>0</v>
      </c>
      <c r="AM767" s="878" t="str">
        <f t="shared" ref="AM767" si="2867">IFERROR((AK767/AL767),"-")</f>
        <v>-</v>
      </c>
      <c r="AN767" s="2"/>
      <c r="AO767" s="884">
        <v>0</v>
      </c>
      <c r="AP767" s="884">
        <f t="shared" ref="AP767" si="2868">AO767-AK767</f>
        <v>-879.36</v>
      </c>
      <c r="AV767" t="str">
        <f t="shared" si="2624"/>
        <v xml:space="preserve">Aterro e compactação </v>
      </c>
      <c r="AW767" s="4" t="str">
        <f t="shared" si="2622"/>
        <v xml:space="preserve">   Execução de aterro compactado (PN a 95%) - Seg.2.5 C 01</v>
      </c>
    </row>
    <row r="768" spans="1:49" ht="15.6" customHeight="1" outlineLevel="3">
      <c r="A768" s="525" t="str">
        <f t="shared" ref="A768" si="2869">A767</f>
        <v>N</v>
      </c>
      <c r="B768" s="526" t="s">
        <v>266</v>
      </c>
      <c r="C768" s="526" t="s">
        <v>266</v>
      </c>
      <c r="D768" s="527" t="s">
        <v>1122</v>
      </c>
      <c r="E768" s="893"/>
      <c r="F768" s="895"/>
      <c r="G768" s="528"/>
      <c r="H768" s="549" t="s">
        <v>38</v>
      </c>
      <c r="I768" s="711">
        <v>0</v>
      </c>
      <c r="J768" s="897"/>
      <c r="K768" s="528"/>
      <c r="L768" s="549" t="s">
        <v>38</v>
      </c>
      <c r="M768" s="711">
        <f t="shared" si="2681"/>
        <v>0</v>
      </c>
      <c r="N768" s="897"/>
      <c r="O768" s="528"/>
      <c r="P768" s="547">
        <v>0</v>
      </c>
      <c r="Q768" s="547">
        <v>0</v>
      </c>
      <c r="R768" s="547">
        <v>0</v>
      </c>
      <c r="S768" s="547">
        <v>0</v>
      </c>
      <c r="T768" s="547">
        <v>0</v>
      </c>
      <c r="U768" s="547">
        <v>0</v>
      </c>
      <c r="V768" s="547">
        <v>0</v>
      </c>
      <c r="W768" s="528"/>
      <c r="X768" s="711">
        <f t="shared" si="2863"/>
        <v>0</v>
      </c>
      <c r="Y768" s="897"/>
      <c r="Z768" s="528"/>
      <c r="AA768" s="899"/>
      <c r="AB768" s="899"/>
      <c r="AC768" s="899"/>
      <c r="AD768" s="901"/>
      <c r="AE768" s="2"/>
      <c r="AF768" s="885"/>
      <c r="AG768" s="885"/>
      <c r="AH768" s="885"/>
      <c r="AI768" s="885"/>
      <c r="AJ768" s="885"/>
      <c r="AK768" s="885"/>
      <c r="AL768" s="885"/>
      <c r="AM768" s="879"/>
      <c r="AN768" s="2"/>
      <c r="AO768" s="886"/>
      <c r="AP768" s="886"/>
      <c r="AV768" t="str">
        <f t="shared" si="2624"/>
        <v xml:space="preserve">Aterro e compactação </v>
      </c>
      <c r="AW768" s="4" t="str">
        <f t="shared" si="2622"/>
        <v xml:space="preserve">   Execução de aterro compactado (PN a 95%) - Seg.2.5 C 01</v>
      </c>
    </row>
    <row r="769" spans="1:50" ht="15.6" customHeight="1" outlineLevel="3">
      <c r="A769" s="525" t="str">
        <f t="shared" ref="A769" si="2870">IF(SUM(P769:V770)&gt;0,"S","N")</f>
        <v>N</v>
      </c>
      <c r="B769" s="526" t="s">
        <v>266</v>
      </c>
      <c r="C769" s="526" t="s">
        <v>266</v>
      </c>
      <c r="D769" s="527" t="s">
        <v>1124</v>
      </c>
      <c r="E769" s="892" t="s">
        <v>1125</v>
      </c>
      <c r="F769" s="894" t="s">
        <v>36</v>
      </c>
      <c r="G769" s="528"/>
      <c r="H769" s="546" t="s">
        <v>37</v>
      </c>
      <c r="I769" s="711">
        <v>0</v>
      </c>
      <c r="J769" s="896" t="str">
        <f t="shared" ref="J769" si="2871">IFERROR((I770/I769),"-")</f>
        <v>-</v>
      </c>
      <c r="K769" s="528"/>
      <c r="L769" s="546" t="s">
        <v>37</v>
      </c>
      <c r="M769" s="711">
        <f t="shared" si="2681"/>
        <v>0</v>
      </c>
      <c r="N769" s="896" t="str">
        <f t="shared" ref="N769" si="2872">IFERROR((M770/M769),"-")</f>
        <v>-</v>
      </c>
      <c r="O769" s="528"/>
      <c r="P769" s="547">
        <v>0</v>
      </c>
      <c r="Q769" s="547">
        <v>0</v>
      </c>
      <c r="R769" s="547">
        <v>0</v>
      </c>
      <c r="S769" s="547">
        <v>0</v>
      </c>
      <c r="T769" s="547">
        <v>0</v>
      </c>
      <c r="U769" s="547">
        <v>0</v>
      </c>
      <c r="V769" s="547">
        <v>0</v>
      </c>
      <c r="W769" s="528"/>
      <c r="X769" s="711">
        <f t="shared" si="2863"/>
        <v>0</v>
      </c>
      <c r="Y769" s="896" t="str">
        <f t="shared" ref="Y769" si="2873">IFERROR((X770/X769),"-")</f>
        <v>-</v>
      </c>
      <c r="Z769" s="528"/>
      <c r="AA769" s="898">
        <v>0</v>
      </c>
      <c r="AB769" s="898">
        <v>0</v>
      </c>
      <c r="AC769" s="898">
        <v>338.92</v>
      </c>
      <c r="AD769" s="900" t="str">
        <f t="shared" ref="AD769" si="2874">IFERROR((AC769/AB769),"-")</f>
        <v>-</v>
      </c>
      <c r="AE769" s="2"/>
      <c r="AF769" s="884">
        <v>0</v>
      </c>
      <c r="AG769" s="884"/>
      <c r="AH769" s="884">
        <v>100.76</v>
      </c>
      <c r="AI769" s="884"/>
      <c r="AJ769" s="884"/>
      <c r="AK769" s="884">
        <f t="shared" ref="AK769" si="2875">AF769+AG769+AH769+AI769+AJ769+AC769</f>
        <v>439.68</v>
      </c>
      <c r="AL769" s="884">
        <v>0</v>
      </c>
      <c r="AM769" s="878" t="str">
        <f t="shared" ref="AM769" si="2876">IFERROR((AK769/AL769),"-")</f>
        <v>-</v>
      </c>
      <c r="AN769" s="2"/>
      <c r="AO769" s="884">
        <v>0</v>
      </c>
      <c r="AP769" s="884">
        <f t="shared" ref="AP769" si="2877">AO769-AK769</f>
        <v>-439.68</v>
      </c>
      <c r="AV769" t="str">
        <f t="shared" si="2624"/>
        <v xml:space="preserve">Aterro e compactação </v>
      </c>
      <c r="AW769" s="4" t="str">
        <f t="shared" si="2622"/>
        <v xml:space="preserve">   Execução de aterro compactado (PN a 95%) - Seg.2.5 C 09</v>
      </c>
    </row>
    <row r="770" spans="1:50" ht="15.6" customHeight="1" outlineLevel="3">
      <c r="A770" s="525" t="str">
        <f t="shared" ref="A770" si="2878">A769</f>
        <v>N</v>
      </c>
      <c r="B770" s="526" t="s">
        <v>266</v>
      </c>
      <c r="C770" s="526" t="s">
        <v>266</v>
      </c>
      <c r="D770" s="527" t="s">
        <v>1124</v>
      </c>
      <c r="E770" s="893"/>
      <c r="F770" s="895"/>
      <c r="G770" s="528"/>
      <c r="H770" s="549" t="s">
        <v>38</v>
      </c>
      <c r="I770" s="711">
        <v>0</v>
      </c>
      <c r="J770" s="897"/>
      <c r="K770" s="528"/>
      <c r="L770" s="549" t="s">
        <v>38</v>
      </c>
      <c r="M770" s="711">
        <f t="shared" si="2681"/>
        <v>0</v>
      </c>
      <c r="N770" s="897"/>
      <c r="O770" s="528"/>
      <c r="P770" s="547">
        <v>0</v>
      </c>
      <c r="Q770" s="547">
        <v>0</v>
      </c>
      <c r="R770" s="547">
        <v>0</v>
      </c>
      <c r="S770" s="547">
        <v>0</v>
      </c>
      <c r="T770" s="547">
        <v>0</v>
      </c>
      <c r="U770" s="547">
        <v>0</v>
      </c>
      <c r="V770" s="547">
        <v>0</v>
      </c>
      <c r="W770" s="528"/>
      <c r="X770" s="711">
        <f t="shared" si="2863"/>
        <v>0</v>
      </c>
      <c r="Y770" s="897"/>
      <c r="Z770" s="528"/>
      <c r="AA770" s="899"/>
      <c r="AB770" s="899"/>
      <c r="AC770" s="899"/>
      <c r="AD770" s="901"/>
      <c r="AE770" s="2"/>
      <c r="AF770" s="885"/>
      <c r="AG770" s="885"/>
      <c r="AH770" s="885"/>
      <c r="AI770" s="885"/>
      <c r="AJ770" s="885"/>
      <c r="AK770" s="885"/>
      <c r="AL770" s="885"/>
      <c r="AM770" s="879"/>
      <c r="AN770" s="2"/>
      <c r="AO770" s="886"/>
      <c r="AP770" s="886"/>
      <c r="AV770" t="str">
        <f t="shared" si="2624"/>
        <v xml:space="preserve">Aterro e compactação </v>
      </c>
      <c r="AW770" s="4" t="str">
        <f t="shared" si="2622"/>
        <v xml:space="preserve">   Execução de aterro compactado (PN a 95%) - Seg.2.5 C 09</v>
      </c>
      <c r="AX770" s="4"/>
    </row>
    <row r="771" spans="1:50" ht="15.6" customHeight="1" outlineLevel="3">
      <c r="A771" s="525" t="str">
        <f t="shared" ref="A771" si="2879">IF(SUM(P771:V772)&gt;0,"S","N")</f>
        <v>S</v>
      </c>
      <c r="B771" s="526" t="s">
        <v>266</v>
      </c>
      <c r="C771" s="526" t="s">
        <v>266</v>
      </c>
      <c r="D771" s="527" t="s">
        <v>1126</v>
      </c>
      <c r="E771" s="892" t="s">
        <v>1127</v>
      </c>
      <c r="F771" s="894" t="s">
        <v>36</v>
      </c>
      <c r="G771" s="528"/>
      <c r="H771" s="546" t="s">
        <v>37</v>
      </c>
      <c r="I771" s="711">
        <v>0</v>
      </c>
      <c r="J771" s="896" t="str">
        <f t="shared" ref="J771" si="2880">IFERROR((I772/I771),"-")</f>
        <v>-</v>
      </c>
      <c r="K771" s="528"/>
      <c r="L771" s="546" t="s">
        <v>37</v>
      </c>
      <c r="M771" s="711">
        <f t="shared" si="2681"/>
        <v>0</v>
      </c>
      <c r="N771" s="896" t="str">
        <f t="shared" ref="N771" si="2881">IFERROR((M772/M771),"-")</f>
        <v>-</v>
      </c>
      <c r="O771" s="528"/>
      <c r="P771" s="547">
        <v>0</v>
      </c>
      <c r="Q771" s="547">
        <v>0</v>
      </c>
      <c r="R771" s="547">
        <v>0</v>
      </c>
      <c r="S771" s="547">
        <v>0</v>
      </c>
      <c r="T771" s="547">
        <v>0</v>
      </c>
      <c r="U771" s="547">
        <v>0</v>
      </c>
      <c r="V771" s="547">
        <v>0</v>
      </c>
      <c r="W771" s="528"/>
      <c r="X771" s="711">
        <f t="shared" si="2863"/>
        <v>0</v>
      </c>
      <c r="Y771" s="896" t="str">
        <f t="shared" ref="Y771" si="2882">IFERROR((X772/X771),"-")</f>
        <v>-</v>
      </c>
      <c r="Z771" s="528"/>
      <c r="AA771" s="898">
        <v>0</v>
      </c>
      <c r="AB771" s="898">
        <v>0</v>
      </c>
      <c r="AC771" s="898">
        <v>622.88</v>
      </c>
      <c r="AD771" s="900" t="str">
        <f t="shared" ref="AD771" si="2883">IFERROR((AC771/AB771),"-")</f>
        <v>-</v>
      </c>
      <c r="AE771" s="2"/>
      <c r="AF771" s="884">
        <v>0</v>
      </c>
      <c r="AG771" s="884"/>
      <c r="AH771" s="884">
        <v>0</v>
      </c>
      <c r="AI771" s="884"/>
      <c r="AJ771" s="884"/>
      <c r="AK771" s="884">
        <f t="shared" ref="AK771" si="2884">AF771+AG771+AH771+AI771+AJ771+AC771</f>
        <v>622.88</v>
      </c>
      <c r="AL771" s="884">
        <v>0</v>
      </c>
      <c r="AM771" s="878" t="str">
        <f t="shared" ref="AM771" si="2885">IFERROR((AK771/AL771),"-")</f>
        <v>-</v>
      </c>
      <c r="AN771" s="2"/>
      <c r="AO771" s="884">
        <v>0</v>
      </c>
      <c r="AP771" s="884">
        <f t="shared" ref="AP771" si="2886">AO771-AK771</f>
        <v>-622.88</v>
      </c>
      <c r="AV771" t="str">
        <f t="shared" si="2624"/>
        <v xml:space="preserve">Aterro e compactação </v>
      </c>
      <c r="AW771" s="4" t="str">
        <f t="shared" si="2622"/>
        <v xml:space="preserve">   Execução de aterro compactado (PN a 95%) - Seg.2.5 C 10</v>
      </c>
    </row>
    <row r="772" spans="1:50" ht="15.6" customHeight="1" outlineLevel="3">
      <c r="A772" s="525" t="str">
        <f t="shared" ref="A772" si="2887">A771</f>
        <v>S</v>
      </c>
      <c r="B772" s="526" t="s">
        <v>266</v>
      </c>
      <c r="C772" s="526" t="s">
        <v>266</v>
      </c>
      <c r="D772" s="527" t="s">
        <v>1126</v>
      </c>
      <c r="E772" s="893"/>
      <c r="F772" s="895"/>
      <c r="G772" s="528"/>
      <c r="H772" s="549" t="s">
        <v>38</v>
      </c>
      <c r="I772" s="711">
        <v>0</v>
      </c>
      <c r="J772" s="897"/>
      <c r="K772" s="528"/>
      <c r="L772" s="549" t="s">
        <v>38</v>
      </c>
      <c r="M772" s="711">
        <f t="shared" si="2681"/>
        <v>0</v>
      </c>
      <c r="N772" s="897"/>
      <c r="O772" s="528"/>
      <c r="P772" s="547">
        <v>622.88</v>
      </c>
      <c r="Q772" s="547">
        <v>0</v>
      </c>
      <c r="R772" s="547">
        <v>0</v>
      </c>
      <c r="S772" s="547">
        <v>0</v>
      </c>
      <c r="T772" s="547">
        <v>0</v>
      </c>
      <c r="U772" s="547">
        <v>0</v>
      </c>
      <c r="V772" s="547">
        <v>0</v>
      </c>
      <c r="W772" s="528"/>
      <c r="X772" s="711">
        <f t="shared" si="2863"/>
        <v>622.88</v>
      </c>
      <c r="Y772" s="897"/>
      <c r="Z772" s="528"/>
      <c r="AA772" s="899"/>
      <c r="AB772" s="899"/>
      <c r="AC772" s="899"/>
      <c r="AD772" s="901"/>
      <c r="AE772" s="2"/>
      <c r="AF772" s="885"/>
      <c r="AG772" s="885"/>
      <c r="AH772" s="885"/>
      <c r="AI772" s="885"/>
      <c r="AJ772" s="885"/>
      <c r="AK772" s="885"/>
      <c r="AL772" s="885"/>
      <c r="AM772" s="879"/>
      <c r="AN772" s="2"/>
      <c r="AO772" s="886"/>
      <c r="AP772" s="886"/>
      <c r="AV772" t="str">
        <f t="shared" si="2624"/>
        <v xml:space="preserve">Aterro e compactação </v>
      </c>
      <c r="AW772" s="4" t="str">
        <f t="shared" si="2622"/>
        <v xml:space="preserve">   Execução de aterro compactado (PN a 95%) - Seg.2.5 C 10</v>
      </c>
    </row>
    <row r="773" spans="1:50" ht="15.6" customHeight="1" outlineLevel="3">
      <c r="A773" s="525" t="str">
        <f t="shared" ref="A773" si="2888">IF(SUM(P773:V774)&gt;0,"S","N")</f>
        <v>N</v>
      </c>
      <c r="B773" s="526" t="s">
        <v>266</v>
      </c>
      <c r="C773" s="526" t="s">
        <v>266</v>
      </c>
      <c r="D773" s="527" t="s">
        <v>1128</v>
      </c>
      <c r="E773" s="892" t="s">
        <v>1127</v>
      </c>
      <c r="F773" s="894" t="s">
        <v>36</v>
      </c>
      <c r="G773" s="528"/>
      <c r="H773" s="546" t="s">
        <v>37</v>
      </c>
      <c r="I773" s="711">
        <v>0</v>
      </c>
      <c r="J773" s="896" t="str">
        <f t="shared" ref="J773" si="2889">IFERROR((I774/I773),"-")</f>
        <v>-</v>
      </c>
      <c r="K773" s="528"/>
      <c r="L773" s="546" t="s">
        <v>37</v>
      </c>
      <c r="M773" s="711">
        <f t="shared" si="2681"/>
        <v>0</v>
      </c>
      <c r="N773" s="896" t="str">
        <f t="shared" ref="N773" si="2890">IFERROR((M774/M773),"-")</f>
        <v>-</v>
      </c>
      <c r="O773" s="528"/>
      <c r="P773" s="547">
        <v>0</v>
      </c>
      <c r="Q773" s="547">
        <v>0</v>
      </c>
      <c r="R773" s="547">
        <v>0</v>
      </c>
      <c r="S773" s="547">
        <v>0</v>
      </c>
      <c r="T773" s="547">
        <v>0</v>
      </c>
      <c r="U773" s="547">
        <v>0</v>
      </c>
      <c r="V773" s="547">
        <v>0</v>
      </c>
      <c r="W773" s="528"/>
      <c r="X773" s="711">
        <f t="shared" si="2863"/>
        <v>0</v>
      </c>
      <c r="Y773" s="896" t="str">
        <f t="shared" ref="Y773" si="2891">IFERROR((X774/X773),"-")</f>
        <v>-</v>
      </c>
      <c r="Z773" s="528"/>
      <c r="AA773" s="898">
        <v>0</v>
      </c>
      <c r="AB773" s="898">
        <v>0</v>
      </c>
      <c r="AC773" s="898">
        <v>0</v>
      </c>
      <c r="AD773" s="900" t="str">
        <f t="shared" ref="AD773" si="2892">IFERROR((AC773/AB773),"-")</f>
        <v>-</v>
      </c>
      <c r="AE773" s="2"/>
      <c r="AF773" s="884">
        <v>0</v>
      </c>
      <c r="AG773" s="884"/>
      <c r="AH773" s="884">
        <v>1007.6</v>
      </c>
      <c r="AI773" s="884"/>
      <c r="AJ773" s="884"/>
      <c r="AK773" s="884">
        <f t="shared" ref="AK773" si="2893">AF773+AG773+AH773+AI773+AJ773+AC773</f>
        <v>1007.6</v>
      </c>
      <c r="AL773" s="884">
        <v>0</v>
      </c>
      <c r="AM773" s="878" t="str">
        <f t="shared" ref="AM773" si="2894">IFERROR((AK773/AL773),"-")</f>
        <v>-</v>
      </c>
      <c r="AN773" s="2"/>
      <c r="AO773" s="884">
        <v>0</v>
      </c>
      <c r="AP773" s="884">
        <f t="shared" ref="AP773" si="2895">AO773-AK773</f>
        <v>-1007.6</v>
      </c>
      <c r="AV773" t="str">
        <f t="shared" si="2624"/>
        <v xml:space="preserve">Aterro e compactação </v>
      </c>
      <c r="AW773" s="4" t="str">
        <f t="shared" si="2622"/>
        <v xml:space="preserve">   Execução de aterro compactado (PN a 95%) - Seg.2.5 C 10</v>
      </c>
    </row>
    <row r="774" spans="1:50" ht="15.6" customHeight="1" outlineLevel="3">
      <c r="A774" s="525" t="str">
        <f t="shared" ref="A774" si="2896">A773</f>
        <v>N</v>
      </c>
      <c r="B774" s="526" t="s">
        <v>266</v>
      </c>
      <c r="C774" s="526" t="s">
        <v>266</v>
      </c>
      <c r="D774" s="527" t="s">
        <v>1128</v>
      </c>
      <c r="E774" s="893"/>
      <c r="F774" s="895"/>
      <c r="G774" s="528"/>
      <c r="H774" s="549" t="s">
        <v>38</v>
      </c>
      <c r="I774" s="711">
        <v>0</v>
      </c>
      <c r="J774" s="897"/>
      <c r="K774" s="528"/>
      <c r="L774" s="549" t="s">
        <v>38</v>
      </c>
      <c r="M774" s="711">
        <f t="shared" si="2681"/>
        <v>0</v>
      </c>
      <c r="N774" s="897"/>
      <c r="O774" s="528"/>
      <c r="P774" s="547">
        <v>0</v>
      </c>
      <c r="Q774" s="547">
        <v>0</v>
      </c>
      <c r="R774" s="547">
        <v>0</v>
      </c>
      <c r="S774" s="547">
        <v>0</v>
      </c>
      <c r="T774" s="547">
        <v>0</v>
      </c>
      <c r="U774" s="547">
        <v>0</v>
      </c>
      <c r="V774" s="547">
        <v>0</v>
      </c>
      <c r="W774" s="528"/>
      <c r="X774" s="711">
        <f t="shared" si="2863"/>
        <v>0</v>
      </c>
      <c r="Y774" s="897"/>
      <c r="Z774" s="528"/>
      <c r="AA774" s="899"/>
      <c r="AB774" s="899"/>
      <c r="AC774" s="899"/>
      <c r="AD774" s="901"/>
      <c r="AE774" s="2"/>
      <c r="AF774" s="885"/>
      <c r="AG774" s="885"/>
      <c r="AH774" s="885"/>
      <c r="AI774" s="885"/>
      <c r="AJ774" s="885"/>
      <c r="AK774" s="885"/>
      <c r="AL774" s="885"/>
      <c r="AM774" s="879"/>
      <c r="AN774" s="2"/>
      <c r="AO774" s="886"/>
      <c r="AP774" s="886"/>
      <c r="AV774" t="str">
        <f t="shared" si="2624"/>
        <v xml:space="preserve">Aterro e compactação </v>
      </c>
      <c r="AW774" s="4" t="str">
        <f t="shared" si="2622"/>
        <v xml:space="preserve">   Execução de aterro compactado (PN a 95%) - Seg.2.5 C 10</v>
      </c>
    </row>
    <row r="775" spans="1:50" ht="15.6" customHeight="1" outlineLevel="1">
      <c r="A775" s="525" t="str">
        <f t="shared" ref="A775" si="2897">IF(SUM(P775:V776)&gt;0,"S","N")</f>
        <v>N</v>
      </c>
      <c r="B775" s="526" t="s">
        <v>266</v>
      </c>
      <c r="C775" s="526" t="s">
        <v>266</v>
      </c>
      <c r="D775" s="527" t="s">
        <v>1129</v>
      </c>
      <c r="E775" s="892" t="s">
        <v>1130</v>
      </c>
      <c r="F775" s="894" t="s">
        <v>36</v>
      </c>
      <c r="G775" s="528"/>
      <c r="H775" s="546" t="s">
        <v>37</v>
      </c>
      <c r="I775" s="711">
        <v>0</v>
      </c>
      <c r="J775" s="896" t="str">
        <f t="shared" ref="J775" si="2898">IFERROR((I776/I775),"-")</f>
        <v>-</v>
      </c>
      <c r="K775" s="528"/>
      <c r="L775" s="546" t="s">
        <v>37</v>
      </c>
      <c r="M775" s="711">
        <f t="shared" si="2681"/>
        <v>0</v>
      </c>
      <c r="N775" s="896" t="str">
        <f t="shared" ref="N775" si="2899">IFERROR((M776/M775),"-")</f>
        <v>-</v>
      </c>
      <c r="O775" s="528"/>
      <c r="P775" s="547">
        <v>0</v>
      </c>
      <c r="Q775" s="547">
        <v>0</v>
      </c>
      <c r="R775" s="547">
        <v>0</v>
      </c>
      <c r="S775" s="547">
        <v>0</v>
      </c>
      <c r="T775" s="547">
        <v>0</v>
      </c>
      <c r="U775" s="547">
        <v>0</v>
      </c>
      <c r="V775" s="547">
        <v>0</v>
      </c>
      <c r="W775" s="528"/>
      <c r="X775" s="711">
        <f t="shared" si="2863"/>
        <v>0</v>
      </c>
      <c r="Y775" s="896" t="str">
        <f t="shared" ref="Y775" si="2900">IFERROR((X776/X775),"-")</f>
        <v>-</v>
      </c>
      <c r="Z775" s="528"/>
      <c r="AA775" s="898">
        <v>0</v>
      </c>
      <c r="AB775" s="898">
        <v>0</v>
      </c>
      <c r="AC775" s="898">
        <v>0</v>
      </c>
      <c r="AD775" s="900" t="str">
        <f t="shared" ref="AD775" si="2901">IFERROR((AC775/AB775),"-")</f>
        <v>-</v>
      </c>
      <c r="AE775" s="2"/>
      <c r="AF775" s="884">
        <v>0</v>
      </c>
      <c r="AG775" s="884"/>
      <c r="AH775" s="884">
        <v>201.52</v>
      </c>
      <c r="AI775" s="884"/>
      <c r="AJ775" s="884"/>
      <c r="AK775" s="884">
        <f t="shared" ref="AK775" si="2902">AF775+AG775+AH775+AI775+AJ775+AC775</f>
        <v>201.52</v>
      </c>
      <c r="AL775" s="884">
        <v>0</v>
      </c>
      <c r="AM775" s="878" t="str">
        <f t="shared" ref="AM775" si="2903">IFERROR((AK775/AL775),"-")</f>
        <v>-</v>
      </c>
      <c r="AN775" s="2"/>
      <c r="AO775" s="884">
        <v>0</v>
      </c>
      <c r="AP775" s="884">
        <f t="shared" ref="AP775" si="2904">AO775-AK775</f>
        <v>-201.52</v>
      </c>
      <c r="AV775" t="str">
        <f t="shared" si="2624"/>
        <v xml:space="preserve">Aterro e compactação </v>
      </c>
      <c r="AW775" s="4" t="str">
        <f t="shared" si="2622"/>
        <v>ACESSO 0+260 A 0+320</v>
      </c>
    </row>
    <row r="776" spans="1:50" ht="15.6" customHeight="1" outlineLevel="1">
      <c r="A776" s="525" t="str">
        <f t="shared" ref="A776" si="2905">A775</f>
        <v>N</v>
      </c>
      <c r="B776" s="526" t="s">
        <v>266</v>
      </c>
      <c r="C776" s="526" t="s">
        <v>266</v>
      </c>
      <c r="D776" s="527" t="s">
        <v>1129</v>
      </c>
      <c r="E776" s="893"/>
      <c r="F776" s="895"/>
      <c r="G776" s="528"/>
      <c r="H776" s="549" t="s">
        <v>38</v>
      </c>
      <c r="I776" s="711">
        <v>0</v>
      </c>
      <c r="J776" s="897"/>
      <c r="K776" s="528"/>
      <c r="L776" s="549" t="s">
        <v>38</v>
      </c>
      <c r="M776" s="711">
        <f t="shared" si="2681"/>
        <v>0</v>
      </c>
      <c r="N776" s="897"/>
      <c r="O776" s="528"/>
      <c r="P776" s="547">
        <v>0</v>
      </c>
      <c r="Q776" s="547">
        <v>0</v>
      </c>
      <c r="R776" s="547">
        <v>0</v>
      </c>
      <c r="S776" s="547">
        <v>0</v>
      </c>
      <c r="T776" s="547">
        <v>0</v>
      </c>
      <c r="U776" s="547">
        <v>0</v>
      </c>
      <c r="V776" s="547">
        <v>0</v>
      </c>
      <c r="W776" s="528"/>
      <c r="X776" s="711">
        <f t="shared" si="2863"/>
        <v>0</v>
      </c>
      <c r="Y776" s="897"/>
      <c r="Z776" s="528"/>
      <c r="AA776" s="899"/>
      <c r="AB776" s="899"/>
      <c r="AC776" s="899"/>
      <c r="AD776" s="901"/>
      <c r="AE776" s="2"/>
      <c r="AF776" s="885"/>
      <c r="AG776" s="885"/>
      <c r="AH776" s="885"/>
      <c r="AI776" s="885"/>
      <c r="AJ776" s="885"/>
      <c r="AK776" s="885"/>
      <c r="AL776" s="885"/>
      <c r="AM776" s="879"/>
      <c r="AN776" s="2"/>
      <c r="AO776" s="886"/>
      <c r="AP776" s="886"/>
      <c r="AV776" t="str">
        <f t="shared" si="2624"/>
        <v xml:space="preserve">Aterro e compactação </v>
      </c>
      <c r="AW776" s="4" t="str">
        <f t="shared" si="2622"/>
        <v>ACESSO 0+260 A 0+320</v>
      </c>
    </row>
    <row r="777" spans="1:50" ht="15.6" customHeight="1" outlineLevel="1">
      <c r="A777" s="525" t="str">
        <f t="shared" ref="A777" si="2906">IF(SUM(P777:V778)&gt;0,"S","N")</f>
        <v>S</v>
      </c>
      <c r="B777" s="526" t="s">
        <v>266</v>
      </c>
      <c r="C777" s="526" t="s">
        <v>266</v>
      </c>
      <c r="D777" s="527" t="s">
        <v>1131</v>
      </c>
      <c r="E777" s="892" t="s">
        <v>1130</v>
      </c>
      <c r="F777" s="894" t="s">
        <v>36</v>
      </c>
      <c r="G777" s="528"/>
      <c r="H777" s="546" t="s">
        <v>37</v>
      </c>
      <c r="I777" s="711">
        <v>0</v>
      </c>
      <c r="J777" s="896" t="str">
        <f t="shared" ref="J777" si="2907">IFERROR((I778/I777),"-")</f>
        <v>-</v>
      </c>
      <c r="K777" s="528"/>
      <c r="L777" s="546" t="s">
        <v>37</v>
      </c>
      <c r="M777" s="711">
        <f t="shared" si="2681"/>
        <v>0</v>
      </c>
      <c r="N777" s="896" t="str">
        <f t="shared" ref="N777" si="2908">IFERROR((M778/M777),"-")</f>
        <v>-</v>
      </c>
      <c r="O777" s="528"/>
      <c r="P777" s="547">
        <v>0</v>
      </c>
      <c r="Q777" s="547">
        <v>0</v>
      </c>
      <c r="R777" s="547">
        <v>0</v>
      </c>
      <c r="S777" s="547">
        <v>0</v>
      </c>
      <c r="T777" s="547">
        <v>0</v>
      </c>
      <c r="U777" s="547">
        <v>0</v>
      </c>
      <c r="V777" s="547">
        <v>0</v>
      </c>
      <c r="W777" s="528"/>
      <c r="X777" s="711">
        <f t="shared" si="2863"/>
        <v>0</v>
      </c>
      <c r="Y777" s="896" t="str">
        <f t="shared" ref="Y777" si="2909">IFERROR((X778/X777),"-")</f>
        <v>-</v>
      </c>
      <c r="Z777" s="528"/>
      <c r="AA777" s="898">
        <v>0</v>
      </c>
      <c r="AB777" s="898">
        <v>0</v>
      </c>
      <c r="AC777" s="898">
        <v>219.84</v>
      </c>
      <c r="AD777" s="900" t="str">
        <f t="shared" ref="AD777" si="2910">IFERROR((AC777/AB777),"-")</f>
        <v>-</v>
      </c>
      <c r="AE777" s="2"/>
      <c r="AF777" s="884">
        <v>0</v>
      </c>
      <c r="AG777" s="884"/>
      <c r="AH777" s="884">
        <v>0</v>
      </c>
      <c r="AI777" s="884"/>
      <c r="AJ777" s="884"/>
      <c r="AK777" s="884">
        <f t="shared" ref="AK777" si="2911">AF777+AG777+AH777+AI777+AJ777+AC777</f>
        <v>219.84</v>
      </c>
      <c r="AL777" s="884">
        <v>0</v>
      </c>
      <c r="AM777" s="878" t="str">
        <f t="shared" ref="AM777" si="2912">IFERROR((AK777/AL777),"-")</f>
        <v>-</v>
      </c>
      <c r="AN777" s="2"/>
      <c r="AO777" s="884">
        <v>0</v>
      </c>
      <c r="AP777" s="884">
        <f t="shared" ref="AP777" si="2913">AO777-AK777</f>
        <v>-219.84</v>
      </c>
      <c r="AV777" t="str">
        <f t="shared" si="2624"/>
        <v xml:space="preserve">Aterro e compactação </v>
      </c>
      <c r="AW777" s="4" t="str">
        <f t="shared" ref="AW777:AW840" si="2914">IF(E777&lt;&gt;"",E777,AW776)</f>
        <v>ACESSO 0+260 A 0+320</v>
      </c>
    </row>
    <row r="778" spans="1:50" ht="15.6" customHeight="1" outlineLevel="1">
      <c r="A778" s="525" t="str">
        <f t="shared" ref="A778" si="2915">A777</f>
        <v>S</v>
      </c>
      <c r="B778" s="526" t="s">
        <v>266</v>
      </c>
      <c r="C778" s="526" t="s">
        <v>266</v>
      </c>
      <c r="D778" s="527" t="s">
        <v>1131</v>
      </c>
      <c r="E778" s="893"/>
      <c r="F778" s="895"/>
      <c r="G778" s="528"/>
      <c r="H778" s="549" t="s">
        <v>38</v>
      </c>
      <c r="I778" s="711">
        <v>0</v>
      </c>
      <c r="J778" s="897"/>
      <c r="K778" s="528"/>
      <c r="L778" s="549" t="s">
        <v>38</v>
      </c>
      <c r="M778" s="711">
        <f t="shared" si="2681"/>
        <v>219.84</v>
      </c>
      <c r="N778" s="897"/>
      <c r="O778" s="528"/>
      <c r="P778" s="547">
        <v>0</v>
      </c>
      <c r="Q778" s="547">
        <v>219.84</v>
      </c>
      <c r="R778" s="547">
        <v>0</v>
      </c>
      <c r="S778" s="547">
        <v>0</v>
      </c>
      <c r="T778" s="547">
        <v>0</v>
      </c>
      <c r="U778" s="547">
        <v>0</v>
      </c>
      <c r="V778" s="547">
        <v>0</v>
      </c>
      <c r="W778" s="528"/>
      <c r="X778" s="711">
        <f t="shared" si="2863"/>
        <v>219.84</v>
      </c>
      <c r="Y778" s="897"/>
      <c r="Z778" s="528"/>
      <c r="AA778" s="899"/>
      <c r="AB778" s="899"/>
      <c r="AC778" s="899"/>
      <c r="AD778" s="901"/>
      <c r="AE778" s="2"/>
      <c r="AF778" s="885"/>
      <c r="AG778" s="885"/>
      <c r="AH778" s="885"/>
      <c r="AI778" s="885"/>
      <c r="AJ778" s="885"/>
      <c r="AK778" s="885"/>
      <c r="AL778" s="885"/>
      <c r="AM778" s="879"/>
      <c r="AN778" s="2"/>
      <c r="AO778" s="886"/>
      <c r="AP778" s="886"/>
      <c r="AV778" t="str">
        <f t="shared" ref="AV778:AV843" si="2916">IF(AX778="Y",LEFT(E778,20),IF(AX778="x",E778,AV777))</f>
        <v xml:space="preserve">Aterro e compactação </v>
      </c>
      <c r="AW778" s="4" t="str">
        <f t="shared" si="2914"/>
        <v>ACESSO 0+260 A 0+320</v>
      </c>
      <c r="AX778" s="4"/>
    </row>
    <row r="779" spans="1:50" ht="15.6" customHeight="1" outlineLevel="1">
      <c r="A779" s="525">
        <v>0</v>
      </c>
      <c r="B779" s="526"/>
      <c r="C779" s="526"/>
      <c r="D779" s="534"/>
      <c r="E779" s="535"/>
      <c r="F779" s="536"/>
      <c r="G779" s="537"/>
      <c r="H779" s="714"/>
      <c r="I779" s="555"/>
      <c r="J779" s="714"/>
      <c r="K779" s="537"/>
      <c r="L779" s="714"/>
      <c r="M779" s="555"/>
      <c r="N779" s="714"/>
      <c r="O779" s="537"/>
      <c r="P779" s="539"/>
      <c r="Q779" s="539"/>
      <c r="R779" s="539"/>
      <c r="S779" s="539"/>
      <c r="T779" s="539"/>
      <c r="U779" s="539"/>
      <c r="V779" s="539"/>
      <c r="W779" s="537"/>
      <c r="X779" s="540"/>
      <c r="Y779" s="537"/>
      <c r="Z779" s="537"/>
      <c r="AA779" s="249"/>
      <c r="AB779" s="249"/>
      <c r="AC779" s="249"/>
      <c r="AD779" s="537"/>
      <c r="AE779" s="3"/>
      <c r="AF779" s="35"/>
      <c r="AG779" s="35"/>
      <c r="AH779" s="35"/>
      <c r="AI779" s="35"/>
      <c r="AJ779" s="35"/>
      <c r="AK779" s="35"/>
      <c r="AL779" s="35"/>
      <c r="AM779" s="3"/>
      <c r="AN779" s="3"/>
      <c r="AO779" s="35"/>
      <c r="AP779" s="35"/>
      <c r="AV779" t="str">
        <f t="shared" si="2916"/>
        <v xml:space="preserve">Aterro e compactação </v>
      </c>
      <c r="AW779" s="4" t="str">
        <f t="shared" si="2914"/>
        <v>ACESSO 0+260 A 0+320</v>
      </c>
    </row>
    <row r="780" spans="1:50" ht="15.6" customHeight="1" outlineLevel="1">
      <c r="A780" s="525">
        <v>0</v>
      </c>
      <c r="B780" s="526"/>
      <c r="C780" s="526"/>
      <c r="D780" s="534"/>
      <c r="E780" s="535"/>
      <c r="F780" s="541"/>
      <c r="G780" s="537"/>
      <c r="H780" s="537"/>
      <c r="I780" s="249"/>
      <c r="J780" s="537"/>
      <c r="K780" s="537"/>
      <c r="L780" s="537"/>
      <c r="M780" s="249"/>
      <c r="N780" s="537"/>
      <c r="O780" s="537"/>
      <c r="P780" s="539"/>
      <c r="Q780" s="539"/>
      <c r="R780" s="539"/>
      <c r="S780" s="539"/>
      <c r="T780" s="539"/>
      <c r="U780" s="539"/>
      <c r="V780" s="539"/>
      <c r="W780" s="537"/>
      <c r="X780" s="540"/>
      <c r="Y780" s="537"/>
      <c r="Z780" s="537"/>
      <c r="AA780" s="249"/>
      <c r="AB780" s="249"/>
      <c r="AC780" s="249"/>
      <c r="AD780" s="537"/>
      <c r="AE780" s="3"/>
      <c r="AF780" s="35"/>
      <c r="AG780" s="35"/>
      <c r="AH780" s="35"/>
      <c r="AI780" s="35"/>
      <c r="AJ780" s="35"/>
      <c r="AK780" s="35"/>
      <c r="AL780" s="35"/>
      <c r="AM780" s="3"/>
      <c r="AN780" s="3"/>
      <c r="AO780" s="35"/>
      <c r="AP780" s="35"/>
      <c r="AV780" t="str">
        <f t="shared" si="2916"/>
        <v xml:space="preserve">Aterro e compactação </v>
      </c>
      <c r="AW780" s="4" t="str">
        <f t="shared" si="2914"/>
        <v>ACESSO 0+260 A 0+320</v>
      </c>
    </row>
    <row r="781" spans="1:50" ht="15.6" customHeight="1" outlineLevel="1">
      <c r="A781" s="525">
        <v>0</v>
      </c>
      <c r="B781" s="526"/>
      <c r="C781" s="526"/>
      <c r="D781" s="557"/>
      <c r="E781" s="933" t="s">
        <v>45</v>
      </c>
      <c r="F781" s="868" t="s">
        <v>36</v>
      </c>
      <c r="G781" s="528"/>
      <c r="H781" s="542" t="s">
        <v>37</v>
      </c>
      <c r="I781" s="543">
        <f>SUMIF($L783:$L846,$L781,I783:I846)</f>
        <v>0</v>
      </c>
      <c r="J781" s="860" t="str">
        <f>IFERROR((I782/I781),"-")</f>
        <v>-</v>
      </c>
      <c r="K781" s="528"/>
      <c r="L781" s="542" t="s">
        <v>37</v>
      </c>
      <c r="M781" s="543">
        <f>SUMIF($L783:$L840,$L781,M783:M840)</f>
        <v>1200</v>
      </c>
      <c r="N781" s="860">
        <f>IFERROR((M782/M781),"-")</f>
        <v>3.2441666666666671</v>
      </c>
      <c r="O781" s="528"/>
      <c r="P781" s="543">
        <f>SUMIF($L$783:$L$846,$L781,P$783:P$846)</f>
        <v>1200</v>
      </c>
      <c r="Q781" s="543">
        <f t="shared" ref="Q781:V782" si="2917">SUMIF($L$783:$L$846,$L781,Q$783:Q$846)</f>
        <v>1200</v>
      </c>
      <c r="R781" s="543">
        <f t="shared" si="2917"/>
        <v>1200</v>
      </c>
      <c r="S781" s="543">
        <f t="shared" si="2917"/>
        <v>1200</v>
      </c>
      <c r="T781" s="543">
        <f t="shared" si="2917"/>
        <v>960</v>
      </c>
      <c r="U781" s="543">
        <f t="shared" si="2917"/>
        <v>960</v>
      </c>
      <c r="V781" s="543">
        <f t="shared" si="2917"/>
        <v>0</v>
      </c>
      <c r="W781" s="528"/>
      <c r="X781" s="543">
        <f t="shared" ref="X781:X844" si="2918">SUMIFS(P781:V781,$P$8:$V$8,"&gt;="&amp;$P$8,$P$8:$V$8,"&lt;="&amp;$N$8)</f>
        <v>2400</v>
      </c>
      <c r="Y781" s="860">
        <f>IFERROR((X782/X781),"-")</f>
        <v>3.4121000000000006</v>
      </c>
      <c r="Z781" s="528"/>
      <c r="AA781" s="814">
        <f>SUM(AA783:AA846)</f>
        <v>76681.649999999994</v>
      </c>
      <c r="AB781" s="814">
        <f t="shared" ref="AB781:AC781" si="2919">SUM(AB783:AB846)</f>
        <v>26763.72</v>
      </c>
      <c r="AC781" s="814">
        <f t="shared" si="2919"/>
        <v>28194.479999999996</v>
      </c>
      <c r="AD781" s="911">
        <f t="shared" ref="AD781" si="2920">IFERROR((AC781/AB781),"-")</f>
        <v>1.0534589362016937</v>
      </c>
      <c r="AE781" s="2"/>
      <c r="AF781" s="888">
        <f t="shared" ref="AF781:AL781" si="2921">SUM(AF783:AF846)</f>
        <v>65323.24</v>
      </c>
      <c r="AG781" s="888">
        <f t="shared" si="2921"/>
        <v>49.744</v>
      </c>
      <c r="AH781" s="888">
        <f t="shared" si="2921"/>
        <v>30324.879999999997</v>
      </c>
      <c r="AI781" s="888">
        <f t="shared" si="2921"/>
        <v>414.435</v>
      </c>
      <c r="AJ781" s="888">
        <f t="shared" ref="AJ781" si="2922">SUM(AJ783:AJ846)</f>
        <v>0</v>
      </c>
      <c r="AK781" s="888">
        <f t="shared" si="2921"/>
        <v>124306.77899999999</v>
      </c>
      <c r="AL781" s="888">
        <f t="shared" si="2921"/>
        <v>120884.97</v>
      </c>
      <c r="AM781" s="743">
        <f>IFERROR((AK781/AL781),"-")</f>
        <v>1.0283063229448623</v>
      </c>
      <c r="AN781" s="2"/>
      <c r="AO781" s="888">
        <f t="shared" ref="AO781:AP781" si="2923">SUM(AO783:AO846)</f>
        <v>302698.57</v>
      </c>
      <c r="AP781" s="888">
        <f t="shared" si="2923"/>
        <v>178391.79100000003</v>
      </c>
      <c r="AV781" t="str">
        <f t="shared" si="2916"/>
        <v xml:space="preserve">Aterro e compactação </v>
      </c>
      <c r="AW781" s="4" t="str">
        <f t="shared" si="2914"/>
        <v>Pacote 05 - Segmento 3.1 - 153+000 a 167+400</v>
      </c>
    </row>
    <row r="782" spans="1:50" ht="15.6" customHeight="1" outlineLevel="1">
      <c r="A782" s="525">
        <v>0</v>
      </c>
      <c r="B782" s="526"/>
      <c r="C782" s="526"/>
      <c r="D782" s="558"/>
      <c r="E782" s="934"/>
      <c r="F782" s="869"/>
      <c r="G782" s="528"/>
      <c r="H782" s="544" t="s">
        <v>38</v>
      </c>
      <c r="I782" s="543">
        <f>SUMIF($L784:$L846,$L782,I784:I846)</f>
        <v>11733.96</v>
      </c>
      <c r="J782" s="861"/>
      <c r="K782" s="528"/>
      <c r="L782" s="544" t="s">
        <v>38</v>
      </c>
      <c r="M782" s="543">
        <f>SUMIF($L784:$L846,$L782,M784:M846)</f>
        <v>3893.0000000000005</v>
      </c>
      <c r="N782" s="861"/>
      <c r="O782" s="528"/>
      <c r="P782" s="543">
        <f>SUMIF($L$783:$L$846,$L782,P$783:P$846)</f>
        <v>4296.04</v>
      </c>
      <c r="Q782" s="543">
        <f t="shared" si="2917"/>
        <v>3893.0000000000005</v>
      </c>
      <c r="R782" s="543">
        <f t="shared" si="2917"/>
        <v>0</v>
      </c>
      <c r="S782" s="543">
        <f t="shared" si="2917"/>
        <v>0</v>
      </c>
      <c r="T782" s="543">
        <f t="shared" si="2917"/>
        <v>0</v>
      </c>
      <c r="U782" s="543">
        <f t="shared" si="2917"/>
        <v>0</v>
      </c>
      <c r="V782" s="543">
        <f t="shared" si="2917"/>
        <v>0</v>
      </c>
      <c r="W782" s="528"/>
      <c r="X782" s="543">
        <f t="shared" si="2918"/>
        <v>8189.0400000000009</v>
      </c>
      <c r="Y782" s="861"/>
      <c r="Z782" s="528"/>
      <c r="AA782" s="815"/>
      <c r="AB782" s="815"/>
      <c r="AC782" s="815"/>
      <c r="AD782" s="912"/>
      <c r="AE782" s="2"/>
      <c r="AF782" s="889"/>
      <c r="AG782" s="889"/>
      <c r="AH782" s="889"/>
      <c r="AI782" s="889"/>
      <c r="AJ782" s="889"/>
      <c r="AK782" s="889"/>
      <c r="AL782" s="889"/>
      <c r="AM782" s="744"/>
      <c r="AN782" s="2"/>
      <c r="AO782" s="889"/>
      <c r="AP782" s="889"/>
      <c r="AV782" t="str">
        <f t="shared" si="2916"/>
        <v xml:space="preserve">Aterro e compactação </v>
      </c>
      <c r="AW782" s="4" t="str">
        <f t="shared" si="2914"/>
        <v>Pacote 05 - Segmento 3.1 - 153+000 a 167+400</v>
      </c>
    </row>
    <row r="783" spans="1:50" ht="15.6" customHeight="1" outlineLevel="1">
      <c r="A783" s="545" t="str">
        <f t="shared" ref="A783" si="2924">IF(SUM(P783:V784)&gt;0,"S","N")</f>
        <v>N</v>
      </c>
      <c r="B783" s="526">
        <v>1063841</v>
      </c>
      <c r="C783" s="526" t="s">
        <v>1132</v>
      </c>
      <c r="D783" s="527" t="s">
        <v>575</v>
      </c>
      <c r="E783" s="892" t="s">
        <v>1133</v>
      </c>
      <c r="F783" s="946" t="s">
        <v>36</v>
      </c>
      <c r="G783" s="559"/>
      <c r="H783" s="546" t="s">
        <v>37</v>
      </c>
      <c r="I783" s="711">
        <v>0</v>
      </c>
      <c r="J783" s="944" t="str">
        <f t="shared" ref="J783" si="2925">IFERROR((I784/I783),"-")</f>
        <v>-</v>
      </c>
      <c r="K783" s="559"/>
      <c r="L783" s="546" t="s">
        <v>37</v>
      </c>
      <c r="M783" s="711">
        <f t="shared" ref="M783:M846" si="2926">_xlfn.XLOOKUP($N$8,$P$8:$V$8,$P783:$V783)</f>
        <v>0</v>
      </c>
      <c r="N783" s="944" t="str">
        <f t="shared" ref="N783" si="2927">IFERROR((M784/M783),"-")</f>
        <v>-</v>
      </c>
      <c r="O783" s="559"/>
      <c r="P783" s="547">
        <v>0</v>
      </c>
      <c r="Q783" s="547">
        <v>0</v>
      </c>
      <c r="R783" s="547">
        <v>0</v>
      </c>
      <c r="S783" s="547">
        <v>0</v>
      </c>
      <c r="T783" s="547">
        <v>0</v>
      </c>
      <c r="U783" s="547">
        <v>0</v>
      </c>
      <c r="V783" s="547">
        <v>0</v>
      </c>
      <c r="W783" s="559"/>
      <c r="X783" s="711">
        <f t="shared" si="2918"/>
        <v>0</v>
      </c>
      <c r="Y783" s="944" t="str">
        <f>IFERROR((X784/X783),"-")</f>
        <v>-</v>
      </c>
      <c r="Z783" s="559"/>
      <c r="AA783" s="898">
        <v>0</v>
      </c>
      <c r="AB783" s="898">
        <v>0</v>
      </c>
      <c r="AC783" s="898">
        <v>0</v>
      </c>
      <c r="AD783" s="900" t="str">
        <f t="shared" ref="AD783" si="2928">IFERROR((AC783/AB783),"-")</f>
        <v>-</v>
      </c>
      <c r="AE783" s="94"/>
      <c r="AF783" s="884">
        <v>0</v>
      </c>
      <c r="AG783" s="948">
        <v>49.744</v>
      </c>
      <c r="AH783" s="884">
        <v>0</v>
      </c>
      <c r="AI783" s="948">
        <v>414.435</v>
      </c>
      <c r="AJ783" s="948"/>
      <c r="AK783" s="884">
        <f t="shared" ref="AK783" si="2929">AF783+AG783+AH783+AI783+AJ783+AC783</f>
        <v>464.17899999999997</v>
      </c>
      <c r="AL783" s="884">
        <v>3182.0099999999993</v>
      </c>
      <c r="AM783" s="878">
        <f t="shared" ref="AM783" si="2930">IFERROR((AK783/AL783),"-")</f>
        <v>0.14587603433050181</v>
      </c>
      <c r="AN783" s="2"/>
      <c r="AO783" s="884">
        <v>460</v>
      </c>
      <c r="AP783" s="884">
        <f t="shared" ref="AP783" si="2931">AO783-AK783</f>
        <v>-4.1789999999999736</v>
      </c>
      <c r="AV783" t="str">
        <f t="shared" si="2916"/>
        <v xml:space="preserve">Aterro e compactação </v>
      </c>
      <c r="AW783" s="4" t="str">
        <f t="shared" si="2914"/>
        <v xml:space="preserve">   Execução de aterro compactado</v>
      </c>
    </row>
    <row r="784" spans="1:50" ht="15.6" customHeight="1" outlineLevel="1">
      <c r="A784" s="545" t="str">
        <f t="shared" ref="A784" si="2932">A783</f>
        <v>N</v>
      </c>
      <c r="B784" s="526"/>
      <c r="C784" s="526" t="s">
        <v>1132</v>
      </c>
      <c r="D784" s="527" t="s">
        <v>575</v>
      </c>
      <c r="E784" s="893"/>
      <c r="F784" s="947"/>
      <c r="G784" s="559"/>
      <c r="H784" s="549" t="s">
        <v>38</v>
      </c>
      <c r="I784" s="711">
        <v>0</v>
      </c>
      <c r="J784" s="945"/>
      <c r="K784" s="559"/>
      <c r="L784" s="549" t="s">
        <v>38</v>
      </c>
      <c r="M784" s="711">
        <f t="shared" si="2926"/>
        <v>0</v>
      </c>
      <c r="N784" s="945"/>
      <c r="O784" s="559"/>
      <c r="P784" s="547">
        <v>0</v>
      </c>
      <c r="Q784" s="547">
        <v>0</v>
      </c>
      <c r="R784" s="547">
        <v>0</v>
      </c>
      <c r="S784" s="547">
        <v>0</v>
      </c>
      <c r="T784" s="547">
        <v>0</v>
      </c>
      <c r="U784" s="547">
        <v>0</v>
      </c>
      <c r="V784" s="547">
        <v>0</v>
      </c>
      <c r="W784" s="559"/>
      <c r="X784" s="711">
        <f t="shared" si="2918"/>
        <v>0</v>
      </c>
      <c r="Y784" s="945"/>
      <c r="Z784" s="559"/>
      <c r="AA784" s="899"/>
      <c r="AB784" s="899"/>
      <c r="AC784" s="899"/>
      <c r="AD784" s="901"/>
      <c r="AE784" s="94"/>
      <c r="AF784" s="885"/>
      <c r="AG784" s="949"/>
      <c r="AH784" s="885"/>
      <c r="AI784" s="949"/>
      <c r="AJ784" s="949"/>
      <c r="AK784" s="885"/>
      <c r="AL784" s="885"/>
      <c r="AM784" s="879"/>
      <c r="AN784" s="2"/>
      <c r="AO784" s="886"/>
      <c r="AP784" s="886"/>
      <c r="AV784" t="str">
        <f t="shared" si="2916"/>
        <v xml:space="preserve">Aterro e compactação </v>
      </c>
      <c r="AW784" s="4" t="str">
        <f t="shared" si="2914"/>
        <v xml:space="preserve">   Execução de aterro compactado</v>
      </c>
      <c r="AX784" s="4"/>
    </row>
    <row r="785" spans="1:50" ht="15.6" customHeight="1" outlineLevel="1">
      <c r="A785" s="545" t="str">
        <f t="shared" ref="A785" si="2933">IF(SUM(P785:V786)&gt;0,"S","N")</f>
        <v>S</v>
      </c>
      <c r="B785" s="526">
        <v>1064165</v>
      </c>
      <c r="C785" s="526" t="s">
        <v>1134</v>
      </c>
      <c r="D785" s="527" t="s">
        <v>1135</v>
      </c>
      <c r="E785" s="892" t="s">
        <v>1136</v>
      </c>
      <c r="F785" s="946" t="s">
        <v>36</v>
      </c>
      <c r="G785" s="559"/>
      <c r="H785" s="546" t="s">
        <v>37</v>
      </c>
      <c r="I785" s="711">
        <v>0</v>
      </c>
      <c r="J785" s="944" t="str">
        <f t="shared" ref="J785" si="2934">IFERROR((I786/I785),"-")</f>
        <v>-</v>
      </c>
      <c r="K785" s="559"/>
      <c r="L785" s="546" t="s">
        <v>37</v>
      </c>
      <c r="M785" s="711">
        <f t="shared" si="2926"/>
        <v>0</v>
      </c>
      <c r="N785" s="944" t="str">
        <f t="shared" ref="N785" si="2935">IFERROR((M786/M785),"-")</f>
        <v>-</v>
      </c>
      <c r="O785" s="559"/>
      <c r="P785" s="547">
        <v>0</v>
      </c>
      <c r="Q785" s="547">
        <v>0</v>
      </c>
      <c r="R785" s="547">
        <v>0</v>
      </c>
      <c r="S785" s="547">
        <v>0</v>
      </c>
      <c r="T785" s="547">
        <v>0</v>
      </c>
      <c r="U785" s="547">
        <v>0</v>
      </c>
      <c r="V785" s="547">
        <v>0</v>
      </c>
      <c r="W785" s="559"/>
      <c r="X785" s="711">
        <f t="shared" si="2918"/>
        <v>0</v>
      </c>
      <c r="Y785" s="944" t="str">
        <f>IFERROR((X786/X785),"-")</f>
        <v>-</v>
      </c>
      <c r="Z785" s="559"/>
      <c r="AA785" s="898">
        <v>7340.7</v>
      </c>
      <c r="AB785" s="898">
        <v>7340.7</v>
      </c>
      <c r="AC785" s="898">
        <v>19162.719999999998</v>
      </c>
      <c r="AD785" s="900">
        <f t="shared" ref="AD785" si="2936">IFERROR((AC785/AB785),"-")</f>
        <v>2.6104758401787294</v>
      </c>
      <c r="AE785" s="94"/>
      <c r="AF785" s="884">
        <v>0</v>
      </c>
      <c r="AG785" s="948"/>
      <c r="AH785" s="884">
        <v>8711.16</v>
      </c>
      <c r="AI785" s="948"/>
      <c r="AJ785" s="948"/>
      <c r="AK785" s="884">
        <f t="shared" ref="AK785" si="2937">AF785+AG785+AH785+AI785+AJ785+AC785</f>
        <v>27873.879999999997</v>
      </c>
      <c r="AL785" s="884">
        <v>7340.7</v>
      </c>
      <c r="AM785" s="878">
        <f t="shared" ref="AM785" si="2938">IFERROR((AK785/AL785),"-")</f>
        <v>3.7971692072963066</v>
      </c>
      <c r="AN785" s="2"/>
      <c r="AO785" s="884">
        <v>7340.7</v>
      </c>
      <c r="AP785" s="884">
        <f t="shared" ref="AP785" si="2939">AO785-AK785</f>
        <v>-20533.179999999997</v>
      </c>
      <c r="AV785" t="str">
        <f t="shared" si="2916"/>
        <v xml:space="preserve">Aterro e compactação </v>
      </c>
      <c r="AW785" s="4" t="str">
        <f t="shared" si="2914"/>
        <v xml:space="preserve">   Execução de aterro compactado (PN a 95%) - Seg.3.1 CA 10</v>
      </c>
    </row>
    <row r="786" spans="1:50" ht="15.6" customHeight="1" outlineLevel="1">
      <c r="A786" s="545" t="str">
        <f t="shared" ref="A786" si="2940">A785</f>
        <v>S</v>
      </c>
      <c r="B786" s="526"/>
      <c r="C786" s="526" t="s">
        <v>1134</v>
      </c>
      <c r="D786" s="527" t="s">
        <v>1135</v>
      </c>
      <c r="E786" s="893"/>
      <c r="F786" s="947"/>
      <c r="G786" s="559"/>
      <c r="H786" s="549" t="s">
        <v>38</v>
      </c>
      <c r="I786" s="711">
        <v>8106.5999999999995</v>
      </c>
      <c r="J786" s="945"/>
      <c r="K786" s="559"/>
      <c r="L786" s="549" t="s">
        <v>38</v>
      </c>
      <c r="M786" s="711">
        <f t="shared" si="2926"/>
        <v>1401.48</v>
      </c>
      <c r="N786" s="945"/>
      <c r="O786" s="559"/>
      <c r="P786" s="547">
        <v>1722.08</v>
      </c>
      <c r="Q786" s="547">
        <v>1401.48</v>
      </c>
      <c r="R786" s="547">
        <v>0</v>
      </c>
      <c r="S786" s="547">
        <v>0</v>
      </c>
      <c r="T786" s="547">
        <v>0</v>
      </c>
      <c r="U786" s="547">
        <v>0</v>
      </c>
      <c r="V786" s="547">
        <v>0</v>
      </c>
      <c r="W786" s="559"/>
      <c r="X786" s="711">
        <f t="shared" si="2918"/>
        <v>3123.56</v>
      </c>
      <c r="Y786" s="945"/>
      <c r="Z786" s="559"/>
      <c r="AA786" s="899"/>
      <c r="AB786" s="899"/>
      <c r="AC786" s="899"/>
      <c r="AD786" s="901"/>
      <c r="AE786" s="94"/>
      <c r="AF786" s="885"/>
      <c r="AG786" s="949"/>
      <c r="AH786" s="885"/>
      <c r="AI786" s="949"/>
      <c r="AJ786" s="949"/>
      <c r="AK786" s="885"/>
      <c r="AL786" s="885"/>
      <c r="AM786" s="879"/>
      <c r="AN786" s="2"/>
      <c r="AO786" s="886"/>
      <c r="AP786" s="886"/>
      <c r="AV786" t="str">
        <f t="shared" si="2916"/>
        <v xml:space="preserve">Aterro e compactação </v>
      </c>
      <c r="AW786" s="4" t="str">
        <f t="shared" si="2914"/>
        <v xml:space="preserve">   Execução de aterro compactado (PN a 95%) - Seg.3.1 CA 10</v>
      </c>
    </row>
    <row r="787" spans="1:50" ht="15.6" customHeight="1" outlineLevel="1">
      <c r="A787" s="545" t="str">
        <f t="shared" ref="A787" si="2941">IF(SUM(P787:V788)&gt;0,"S","N")</f>
        <v>S</v>
      </c>
      <c r="B787" s="526">
        <v>1065437</v>
      </c>
      <c r="C787" s="526" t="s">
        <v>1137</v>
      </c>
      <c r="D787" s="527" t="s">
        <v>1138</v>
      </c>
      <c r="E787" s="892" t="s">
        <v>1139</v>
      </c>
      <c r="F787" s="946" t="s">
        <v>36</v>
      </c>
      <c r="G787" s="559"/>
      <c r="H787" s="546" t="s">
        <v>37</v>
      </c>
      <c r="I787" s="711">
        <v>0</v>
      </c>
      <c r="J787" s="944" t="str">
        <f t="shared" ref="J787" si="2942">IFERROR((I788/I787),"-")</f>
        <v>-</v>
      </c>
      <c r="K787" s="559"/>
      <c r="L787" s="546" t="s">
        <v>37</v>
      </c>
      <c r="M787" s="711">
        <f t="shared" si="2926"/>
        <v>0</v>
      </c>
      <c r="N787" s="944" t="str">
        <f t="shared" ref="N787" si="2943">IFERROR((M788/M787),"-")</f>
        <v>-</v>
      </c>
      <c r="O787" s="559"/>
      <c r="P787" s="547">
        <v>0</v>
      </c>
      <c r="Q787" s="547">
        <v>0</v>
      </c>
      <c r="R787" s="547">
        <v>0</v>
      </c>
      <c r="S787" s="547">
        <v>0</v>
      </c>
      <c r="T787" s="547">
        <v>0</v>
      </c>
      <c r="U787" s="547">
        <v>0</v>
      </c>
      <c r="V787" s="547">
        <v>0</v>
      </c>
      <c r="W787" s="559"/>
      <c r="X787" s="711">
        <f t="shared" si="2918"/>
        <v>0</v>
      </c>
      <c r="Y787" s="944" t="str">
        <f>IFERROR((X788/X787),"-")</f>
        <v>-</v>
      </c>
      <c r="Z787" s="559"/>
      <c r="AA787" s="898">
        <v>17112.259999999998</v>
      </c>
      <c r="AB787" s="898">
        <v>12201</v>
      </c>
      <c r="AC787" s="898">
        <v>3993.76</v>
      </c>
      <c r="AD787" s="900">
        <f t="shared" ref="AD787" si="2944">IFERROR((AC787/AB787),"-")</f>
        <v>0.32733054667650197</v>
      </c>
      <c r="AE787" s="94"/>
      <c r="AF787" s="884">
        <v>61461</v>
      </c>
      <c r="AG787" s="948"/>
      <c r="AH787" s="884">
        <v>8530.7199999999993</v>
      </c>
      <c r="AI787" s="948"/>
      <c r="AJ787" s="948"/>
      <c r="AK787" s="884">
        <f t="shared" ref="AK787" si="2945">AF787+AG787+AH787+AI787+AJ787+AC787</f>
        <v>73985.48</v>
      </c>
      <c r="AL787" s="884">
        <v>86352.920000000013</v>
      </c>
      <c r="AM787" s="878">
        <f t="shared" ref="AM787" si="2946">IFERROR((AK787/AL787),"-")</f>
        <v>0.85678029185347737</v>
      </c>
      <c r="AN787" s="2"/>
      <c r="AO787" s="884">
        <v>91266</v>
      </c>
      <c r="AP787" s="884">
        <f t="shared" ref="AP787" si="2947">AO787-AK787</f>
        <v>17280.520000000004</v>
      </c>
      <c r="AV787" t="str">
        <f t="shared" si="2916"/>
        <v xml:space="preserve">Aterro e compactação </v>
      </c>
      <c r="AW787" s="4" t="str">
        <f t="shared" si="2914"/>
        <v xml:space="preserve">   Execução de aterro compactado (PN a 95%) - Seg.3.1CA 02</v>
      </c>
    </row>
    <row r="788" spans="1:50" ht="15.6" customHeight="1" outlineLevel="1">
      <c r="A788" s="545" t="str">
        <f t="shared" ref="A788" si="2948">A787</f>
        <v>S</v>
      </c>
      <c r="B788" s="526"/>
      <c r="C788" s="526" t="s">
        <v>1137</v>
      </c>
      <c r="D788" s="527" t="s">
        <v>1138</v>
      </c>
      <c r="E788" s="893"/>
      <c r="F788" s="947"/>
      <c r="G788" s="559"/>
      <c r="H788" s="549" t="s">
        <v>38</v>
      </c>
      <c r="I788" s="711">
        <v>1291.56</v>
      </c>
      <c r="J788" s="945"/>
      <c r="K788" s="559"/>
      <c r="L788" s="549" t="s">
        <v>38</v>
      </c>
      <c r="M788" s="711">
        <f t="shared" si="2926"/>
        <v>1612.16</v>
      </c>
      <c r="N788" s="945"/>
      <c r="O788" s="559"/>
      <c r="P788" s="547">
        <v>1090.04</v>
      </c>
      <c r="Q788" s="547">
        <v>1612.16</v>
      </c>
      <c r="R788" s="547">
        <v>0</v>
      </c>
      <c r="S788" s="547">
        <v>0</v>
      </c>
      <c r="T788" s="547">
        <v>0</v>
      </c>
      <c r="U788" s="547">
        <v>0</v>
      </c>
      <c r="V788" s="547">
        <v>0</v>
      </c>
      <c r="W788" s="559"/>
      <c r="X788" s="711">
        <f t="shared" si="2918"/>
        <v>2702.2</v>
      </c>
      <c r="Y788" s="945"/>
      <c r="Z788" s="559"/>
      <c r="AA788" s="899"/>
      <c r="AB788" s="899"/>
      <c r="AC788" s="899"/>
      <c r="AD788" s="901"/>
      <c r="AE788" s="94"/>
      <c r="AF788" s="885"/>
      <c r="AG788" s="949"/>
      <c r="AH788" s="885"/>
      <c r="AI788" s="949"/>
      <c r="AJ788" s="949"/>
      <c r="AK788" s="885"/>
      <c r="AL788" s="885"/>
      <c r="AM788" s="879"/>
      <c r="AN788" s="2"/>
      <c r="AO788" s="886"/>
      <c r="AP788" s="886"/>
      <c r="AV788" t="str">
        <f t="shared" si="2916"/>
        <v xml:space="preserve">Aterro e compactação </v>
      </c>
      <c r="AW788" s="4" t="str">
        <f t="shared" si="2914"/>
        <v xml:space="preserve">   Execução de aterro compactado (PN a 95%) - Seg.3.1CA 02</v>
      </c>
    </row>
    <row r="789" spans="1:50" ht="15.6" customHeight="1" outlineLevel="1">
      <c r="A789" s="545" t="str">
        <f t="shared" ref="A789" si="2949">IF(SUM(P789:V790)&gt;0,"S","N")</f>
        <v>S</v>
      </c>
      <c r="B789" s="526">
        <v>1065439</v>
      </c>
      <c r="C789" s="526" t="s">
        <v>1140</v>
      </c>
      <c r="D789" s="527" t="s">
        <v>1141</v>
      </c>
      <c r="E789" s="892" t="s">
        <v>1142</v>
      </c>
      <c r="F789" s="946" t="s">
        <v>36</v>
      </c>
      <c r="G789" s="559"/>
      <c r="H789" s="546" t="s">
        <v>37</v>
      </c>
      <c r="I789" s="711">
        <v>0</v>
      </c>
      <c r="J789" s="944" t="str">
        <f t="shared" ref="J789" si="2950">IFERROR((I790/I789),"-")</f>
        <v>-</v>
      </c>
      <c r="K789" s="559"/>
      <c r="L789" s="546" t="s">
        <v>37</v>
      </c>
      <c r="M789" s="711">
        <f t="shared" si="2926"/>
        <v>1200</v>
      </c>
      <c r="N789" s="944">
        <f t="shared" ref="N789" si="2951">IFERROR((M790/M789),"-")</f>
        <v>0.73280000000000001</v>
      </c>
      <c r="O789" s="559"/>
      <c r="P789" s="547">
        <v>1200</v>
      </c>
      <c r="Q789" s="547">
        <v>1200</v>
      </c>
      <c r="R789" s="547">
        <v>1200</v>
      </c>
      <c r="S789" s="547">
        <v>1200</v>
      </c>
      <c r="T789" s="547">
        <v>960</v>
      </c>
      <c r="U789" s="547">
        <v>960</v>
      </c>
      <c r="V789" s="547">
        <v>0</v>
      </c>
      <c r="W789" s="559"/>
      <c r="X789" s="711">
        <f t="shared" si="2918"/>
        <v>2400</v>
      </c>
      <c r="Y789" s="944">
        <f>IFERROR((X790/X789),"-")</f>
        <v>0.98470000000000013</v>
      </c>
      <c r="Z789" s="559"/>
      <c r="AA789" s="898">
        <v>7236.69</v>
      </c>
      <c r="AB789" s="898">
        <v>0</v>
      </c>
      <c r="AC789" s="898">
        <v>3664</v>
      </c>
      <c r="AD789" s="900" t="str">
        <f t="shared" ref="AD789" si="2952">IFERROR((AC789/AB789),"-")</f>
        <v>-</v>
      </c>
      <c r="AE789" s="94"/>
      <c r="AF789" s="884">
        <v>1598</v>
      </c>
      <c r="AG789" s="948"/>
      <c r="AH789" s="884">
        <v>0</v>
      </c>
      <c r="AI789" s="948"/>
      <c r="AJ789" s="948"/>
      <c r="AK789" s="884">
        <f t="shared" ref="AK789" si="2953">AF789+AG789+AH789+AI789+AJ789+AC789</f>
        <v>5262</v>
      </c>
      <c r="AL789" s="884">
        <v>1598</v>
      </c>
      <c r="AM789" s="878">
        <f t="shared" ref="AM789" si="2954">IFERROR((AK789/AL789),"-")</f>
        <v>3.2928660826032541</v>
      </c>
      <c r="AN789" s="2"/>
      <c r="AO789" s="884">
        <v>9800</v>
      </c>
      <c r="AP789" s="884">
        <f t="shared" ref="AP789" si="2955">AO789-AK789</f>
        <v>4538</v>
      </c>
      <c r="AV789" t="str">
        <f t="shared" si="2916"/>
        <v xml:space="preserve">Aterro e compactação </v>
      </c>
      <c r="AW789" s="4" t="str">
        <f t="shared" si="2914"/>
        <v xml:space="preserve">   Execução de aterro compactado (PN a 95%) - Seg.3.1 CA 03</v>
      </c>
    </row>
    <row r="790" spans="1:50" ht="15.6" customHeight="1" outlineLevel="1">
      <c r="A790" s="545" t="str">
        <f t="shared" ref="A790" si="2956">A789</f>
        <v>S</v>
      </c>
      <c r="B790" s="526"/>
      <c r="C790" s="526" t="s">
        <v>1140</v>
      </c>
      <c r="D790" s="527" t="s">
        <v>1141</v>
      </c>
      <c r="E790" s="893"/>
      <c r="F790" s="947"/>
      <c r="G790" s="559"/>
      <c r="H790" s="549" t="s">
        <v>38</v>
      </c>
      <c r="I790" s="711">
        <v>1300.72</v>
      </c>
      <c r="J790" s="945"/>
      <c r="K790" s="559"/>
      <c r="L790" s="549" t="s">
        <v>38</v>
      </c>
      <c r="M790" s="711">
        <f t="shared" si="2926"/>
        <v>879.36</v>
      </c>
      <c r="N790" s="945"/>
      <c r="O790" s="559"/>
      <c r="P790" s="547">
        <v>1483.92</v>
      </c>
      <c r="Q790" s="547">
        <v>879.36</v>
      </c>
      <c r="R790" s="547">
        <v>0</v>
      </c>
      <c r="S790" s="547">
        <v>0</v>
      </c>
      <c r="T790" s="547">
        <v>0</v>
      </c>
      <c r="U790" s="547">
        <v>0</v>
      </c>
      <c r="V790" s="547">
        <v>0</v>
      </c>
      <c r="W790" s="559"/>
      <c r="X790" s="711">
        <f t="shared" si="2918"/>
        <v>2363.2800000000002</v>
      </c>
      <c r="Y790" s="945"/>
      <c r="Z790" s="559"/>
      <c r="AA790" s="899"/>
      <c r="AB790" s="899"/>
      <c r="AC790" s="899"/>
      <c r="AD790" s="901"/>
      <c r="AE790" s="94"/>
      <c r="AF790" s="885"/>
      <c r="AG790" s="949"/>
      <c r="AH790" s="885"/>
      <c r="AI790" s="949"/>
      <c r="AJ790" s="949"/>
      <c r="AK790" s="885"/>
      <c r="AL790" s="885"/>
      <c r="AM790" s="879"/>
      <c r="AN790" s="2"/>
      <c r="AO790" s="886"/>
      <c r="AP790" s="886"/>
      <c r="AV790" t="str">
        <f t="shared" si="2916"/>
        <v xml:space="preserve">Aterro e compactação </v>
      </c>
      <c r="AW790" s="4" t="str">
        <f t="shared" si="2914"/>
        <v xml:space="preserve">   Execução de aterro compactado (PN a 95%) - Seg.3.1 CA 03</v>
      </c>
    </row>
    <row r="791" spans="1:50" ht="15.6" customHeight="1" outlineLevel="1">
      <c r="A791" s="525" t="str">
        <f t="shared" ref="A791" si="2957">IF(SUM(P791:V792)&gt;0,"S","N")</f>
        <v>N</v>
      </c>
      <c r="B791" s="526">
        <v>1065441</v>
      </c>
      <c r="C791" s="526" t="s">
        <v>1143</v>
      </c>
      <c r="D791" s="527" t="s">
        <v>1144</v>
      </c>
      <c r="E791" s="892" t="s">
        <v>1145</v>
      </c>
      <c r="F791" s="946" t="s">
        <v>36</v>
      </c>
      <c r="G791" s="559"/>
      <c r="H791" s="546" t="s">
        <v>37</v>
      </c>
      <c r="I791" s="711">
        <v>0</v>
      </c>
      <c r="J791" s="944" t="str">
        <f t="shared" ref="J791" si="2958">IFERROR((I792/I791),"-")</f>
        <v>-</v>
      </c>
      <c r="K791" s="559"/>
      <c r="L791" s="546" t="s">
        <v>37</v>
      </c>
      <c r="M791" s="711">
        <f t="shared" si="2926"/>
        <v>0</v>
      </c>
      <c r="N791" s="944" t="str">
        <f t="shared" ref="N791" si="2959">IFERROR((M792/M791),"-")</f>
        <v>-</v>
      </c>
      <c r="O791" s="559"/>
      <c r="P791" s="547">
        <v>0</v>
      </c>
      <c r="Q791" s="547">
        <v>0</v>
      </c>
      <c r="R791" s="547">
        <v>0</v>
      </c>
      <c r="S791" s="547">
        <v>0</v>
      </c>
      <c r="T791" s="547">
        <v>0</v>
      </c>
      <c r="U791" s="547">
        <v>0</v>
      </c>
      <c r="V791" s="547">
        <v>0</v>
      </c>
      <c r="W791" s="559"/>
      <c r="X791" s="711">
        <f t="shared" si="2918"/>
        <v>0</v>
      </c>
      <c r="Y791" s="944" t="str">
        <f>IFERROR((X792/X791),"-")</f>
        <v>-</v>
      </c>
      <c r="Z791" s="559"/>
      <c r="AA791" s="898">
        <v>0</v>
      </c>
      <c r="AB791" s="898">
        <v>0</v>
      </c>
      <c r="AC791" s="898">
        <v>338.92</v>
      </c>
      <c r="AD791" s="900" t="str">
        <f t="shared" ref="AD791" si="2960">IFERROR((AC791/AB791),"-")</f>
        <v>-</v>
      </c>
      <c r="AE791" s="94"/>
      <c r="AF791" s="884">
        <v>0</v>
      </c>
      <c r="AG791" s="948"/>
      <c r="AH791" s="884">
        <v>0</v>
      </c>
      <c r="AI791" s="948"/>
      <c r="AJ791" s="948"/>
      <c r="AK791" s="884">
        <f t="shared" ref="AK791" si="2961">AF791+AG791+AH791+AI791+AJ791+AC791</f>
        <v>338.92</v>
      </c>
      <c r="AL791" s="884">
        <v>0</v>
      </c>
      <c r="AM791" s="878" t="str">
        <f t="shared" ref="AM791" si="2962">IFERROR((AK791/AL791),"-")</f>
        <v>-</v>
      </c>
      <c r="AN791" s="2"/>
      <c r="AO791" s="884">
        <v>43253</v>
      </c>
      <c r="AP791" s="884">
        <f t="shared" ref="AP791" si="2963">AO791-AK791</f>
        <v>42914.080000000002</v>
      </c>
      <c r="AV791" t="str">
        <f t="shared" si="2916"/>
        <v xml:space="preserve">Aterro e compactação </v>
      </c>
      <c r="AW791" s="4" t="str">
        <f t="shared" si="2914"/>
        <v xml:space="preserve">   Execução de aterro compactado (PN a 95%) - Seg.3.1 CA 04</v>
      </c>
    </row>
    <row r="792" spans="1:50" ht="15.6" customHeight="1" outlineLevel="1">
      <c r="A792" s="525" t="str">
        <f t="shared" ref="A792" si="2964">A791</f>
        <v>N</v>
      </c>
      <c r="B792" s="526"/>
      <c r="C792" s="526" t="s">
        <v>1143</v>
      </c>
      <c r="D792" s="527" t="s">
        <v>1144</v>
      </c>
      <c r="E792" s="893"/>
      <c r="F792" s="947"/>
      <c r="G792" s="559"/>
      <c r="H792" s="549" t="s">
        <v>38</v>
      </c>
      <c r="I792" s="711">
        <v>0</v>
      </c>
      <c r="J792" s="945"/>
      <c r="K792" s="559"/>
      <c r="L792" s="549" t="s">
        <v>38</v>
      </c>
      <c r="M792" s="711">
        <f t="shared" si="2926"/>
        <v>0</v>
      </c>
      <c r="N792" s="945"/>
      <c r="O792" s="559"/>
      <c r="P792" s="547">
        <v>0</v>
      </c>
      <c r="Q792" s="547">
        <v>0</v>
      </c>
      <c r="R792" s="547">
        <v>0</v>
      </c>
      <c r="S792" s="547">
        <v>0</v>
      </c>
      <c r="T792" s="547">
        <v>0</v>
      </c>
      <c r="U792" s="547">
        <v>0</v>
      </c>
      <c r="V792" s="547">
        <v>0</v>
      </c>
      <c r="W792" s="559"/>
      <c r="X792" s="711">
        <f t="shared" si="2918"/>
        <v>0</v>
      </c>
      <c r="Y792" s="945"/>
      <c r="Z792" s="559"/>
      <c r="AA792" s="899"/>
      <c r="AB792" s="899"/>
      <c r="AC792" s="899"/>
      <c r="AD792" s="901"/>
      <c r="AE792" s="94"/>
      <c r="AF792" s="885"/>
      <c r="AG792" s="949"/>
      <c r="AH792" s="885"/>
      <c r="AI792" s="949"/>
      <c r="AJ792" s="949"/>
      <c r="AK792" s="885"/>
      <c r="AL792" s="885"/>
      <c r="AM792" s="879"/>
      <c r="AN792" s="2"/>
      <c r="AO792" s="886"/>
      <c r="AP792" s="886"/>
      <c r="AV792" t="str">
        <f t="shared" si="2916"/>
        <v xml:space="preserve">Aterro e compactação </v>
      </c>
      <c r="AW792" s="4" t="str">
        <f t="shared" si="2914"/>
        <v xml:space="preserve">   Execução de aterro compactado (PN a 95%) - Seg.3.1 CA 04</v>
      </c>
      <c r="AX792" s="4"/>
    </row>
    <row r="793" spans="1:50" ht="15.6" customHeight="1" outlineLevel="1">
      <c r="A793" s="545" t="str">
        <f t="shared" ref="A793" si="2965">IF(SUM(P793:V794)&gt;0,"S","N")</f>
        <v>N</v>
      </c>
      <c r="B793" s="526">
        <v>1065443</v>
      </c>
      <c r="C793" s="526" t="s">
        <v>1146</v>
      </c>
      <c r="D793" s="527" t="s">
        <v>1147</v>
      </c>
      <c r="E793" s="892" t="s">
        <v>1148</v>
      </c>
      <c r="F793" s="946" t="s">
        <v>36</v>
      </c>
      <c r="G793" s="559"/>
      <c r="H793" s="546" t="s">
        <v>37</v>
      </c>
      <c r="I793" s="711">
        <v>0</v>
      </c>
      <c r="J793" s="944" t="str">
        <f t="shared" ref="J793" si="2966">IFERROR((I794/I793),"-")</f>
        <v>-</v>
      </c>
      <c r="K793" s="559"/>
      <c r="L793" s="546" t="s">
        <v>37</v>
      </c>
      <c r="M793" s="711">
        <f t="shared" si="2926"/>
        <v>0</v>
      </c>
      <c r="N793" s="944" t="str">
        <f t="shared" ref="N793" si="2967">IFERROR((M794/M793),"-")</f>
        <v>-</v>
      </c>
      <c r="O793" s="559"/>
      <c r="P793" s="547">
        <v>0</v>
      </c>
      <c r="Q793" s="547">
        <v>0</v>
      </c>
      <c r="R793" s="547">
        <v>0</v>
      </c>
      <c r="S793" s="547">
        <v>0</v>
      </c>
      <c r="T793" s="547">
        <v>0</v>
      </c>
      <c r="U793" s="547">
        <v>0</v>
      </c>
      <c r="V793" s="547">
        <v>0</v>
      </c>
      <c r="W793" s="559"/>
      <c r="X793" s="711">
        <f t="shared" si="2918"/>
        <v>0</v>
      </c>
      <c r="Y793" s="944" t="str">
        <f>IFERROR((X794/X793),"-")</f>
        <v>-</v>
      </c>
      <c r="Z793" s="559"/>
      <c r="AA793" s="898">
        <v>0</v>
      </c>
      <c r="AB793" s="898">
        <v>0</v>
      </c>
      <c r="AC793" s="898">
        <v>0</v>
      </c>
      <c r="AD793" s="900" t="str">
        <f t="shared" ref="AD793" si="2968">IFERROR((AC793/AB793),"-")</f>
        <v>-</v>
      </c>
      <c r="AE793" s="94"/>
      <c r="AF793" s="884">
        <v>0</v>
      </c>
      <c r="AG793" s="948"/>
      <c r="AH793" s="884">
        <v>0</v>
      </c>
      <c r="AI793" s="948"/>
      <c r="AJ793" s="948"/>
      <c r="AK793" s="884">
        <f t="shared" ref="AK793" si="2969">AF793+AG793+AH793+AI793+AJ793+AC793</f>
        <v>0</v>
      </c>
      <c r="AL793" s="884">
        <v>0</v>
      </c>
      <c r="AM793" s="878" t="str">
        <f t="shared" ref="AM793" si="2970">IFERROR((AK793/AL793),"-")</f>
        <v>-</v>
      </c>
      <c r="AN793" s="2"/>
      <c r="AO793" s="884">
        <v>11314</v>
      </c>
      <c r="AP793" s="884">
        <f t="shared" ref="AP793" si="2971">AO793-AK793</f>
        <v>11314</v>
      </c>
      <c r="AV793" t="str">
        <f t="shared" si="2916"/>
        <v xml:space="preserve">Aterro e compactação </v>
      </c>
      <c r="AW793" s="4" t="str">
        <f t="shared" si="2914"/>
        <v xml:space="preserve">   Execução de aterro compactado (PN a 95%) - Seg.3.1 CA 05</v>
      </c>
    </row>
    <row r="794" spans="1:50" ht="15.6" customHeight="1" outlineLevel="1">
      <c r="A794" s="545" t="str">
        <f t="shared" ref="A794" si="2972">A793</f>
        <v>N</v>
      </c>
      <c r="B794" s="526"/>
      <c r="C794" s="526" t="s">
        <v>1146</v>
      </c>
      <c r="D794" s="527" t="s">
        <v>1147</v>
      </c>
      <c r="E794" s="893"/>
      <c r="F794" s="947"/>
      <c r="G794" s="559"/>
      <c r="H794" s="549" t="s">
        <v>38</v>
      </c>
      <c r="I794" s="711">
        <v>0</v>
      </c>
      <c r="J794" s="945"/>
      <c r="K794" s="559"/>
      <c r="L794" s="549" t="s">
        <v>38</v>
      </c>
      <c r="M794" s="711">
        <f t="shared" si="2926"/>
        <v>0</v>
      </c>
      <c r="N794" s="945"/>
      <c r="O794" s="559"/>
      <c r="P794" s="547">
        <v>0</v>
      </c>
      <c r="Q794" s="547">
        <v>0</v>
      </c>
      <c r="R794" s="547">
        <v>0</v>
      </c>
      <c r="S794" s="547">
        <v>0</v>
      </c>
      <c r="T794" s="547">
        <v>0</v>
      </c>
      <c r="U794" s="547">
        <v>0</v>
      </c>
      <c r="V794" s="547">
        <v>0</v>
      </c>
      <c r="W794" s="559"/>
      <c r="X794" s="711">
        <f t="shared" si="2918"/>
        <v>0</v>
      </c>
      <c r="Y794" s="945"/>
      <c r="Z794" s="559"/>
      <c r="AA794" s="899"/>
      <c r="AB794" s="899"/>
      <c r="AC794" s="899"/>
      <c r="AD794" s="901"/>
      <c r="AE794" s="94"/>
      <c r="AF794" s="885"/>
      <c r="AG794" s="949"/>
      <c r="AH794" s="885"/>
      <c r="AI794" s="949"/>
      <c r="AJ794" s="949"/>
      <c r="AK794" s="885"/>
      <c r="AL794" s="885"/>
      <c r="AM794" s="879"/>
      <c r="AN794" s="2"/>
      <c r="AO794" s="886"/>
      <c r="AP794" s="886"/>
      <c r="AV794" t="str">
        <f t="shared" si="2916"/>
        <v xml:space="preserve">Aterro e compactação </v>
      </c>
      <c r="AW794" s="4" t="str">
        <f t="shared" si="2914"/>
        <v xml:space="preserve">   Execução de aterro compactado (PN a 95%) - Seg.3.1 CA 05</v>
      </c>
    </row>
    <row r="795" spans="1:50" ht="15.6" customHeight="1" outlineLevel="1">
      <c r="A795" s="545" t="str">
        <f t="shared" ref="A795" si="2973">IF(SUM(P795:V796)&gt;0,"S","N")</f>
        <v>N</v>
      </c>
      <c r="B795" s="526">
        <v>1065445</v>
      </c>
      <c r="C795" s="526" t="s">
        <v>1149</v>
      </c>
      <c r="D795" s="527" t="s">
        <v>1150</v>
      </c>
      <c r="E795" s="892" t="s">
        <v>1151</v>
      </c>
      <c r="F795" s="946" t="s">
        <v>36</v>
      </c>
      <c r="G795" s="559"/>
      <c r="H795" s="546" t="s">
        <v>37</v>
      </c>
      <c r="I795" s="711">
        <v>0</v>
      </c>
      <c r="J795" s="944" t="str">
        <f t="shared" ref="J795" si="2974">IFERROR((I796/I795),"-")</f>
        <v>-</v>
      </c>
      <c r="K795" s="559"/>
      <c r="L795" s="546" t="s">
        <v>37</v>
      </c>
      <c r="M795" s="711">
        <f t="shared" si="2926"/>
        <v>0</v>
      </c>
      <c r="N795" s="944" t="str">
        <f t="shared" ref="N795" si="2975">IFERROR((M796/M795),"-")</f>
        <v>-</v>
      </c>
      <c r="O795" s="559"/>
      <c r="P795" s="547">
        <v>0</v>
      </c>
      <c r="Q795" s="547">
        <v>0</v>
      </c>
      <c r="R795" s="547">
        <v>0</v>
      </c>
      <c r="S795" s="547">
        <v>0</v>
      </c>
      <c r="T795" s="547">
        <v>0</v>
      </c>
      <c r="U795" s="547">
        <v>0</v>
      </c>
      <c r="V795" s="547">
        <v>0</v>
      </c>
      <c r="W795" s="559"/>
      <c r="X795" s="711">
        <f t="shared" si="2918"/>
        <v>0</v>
      </c>
      <c r="Y795" s="944" t="str">
        <f>IFERROR((X796/X795),"-")</f>
        <v>-</v>
      </c>
      <c r="Z795" s="559"/>
      <c r="AA795" s="898">
        <v>0</v>
      </c>
      <c r="AB795" s="898">
        <v>0</v>
      </c>
      <c r="AC795" s="898">
        <v>0</v>
      </c>
      <c r="AD795" s="900" t="str">
        <f t="shared" ref="AD795" si="2976">IFERROR((AC795/AB795),"-")</f>
        <v>-</v>
      </c>
      <c r="AE795" s="94"/>
      <c r="AF795" s="884">
        <v>0</v>
      </c>
      <c r="AG795" s="948"/>
      <c r="AH795" s="884">
        <v>0</v>
      </c>
      <c r="AI795" s="948"/>
      <c r="AJ795" s="948"/>
      <c r="AK795" s="884">
        <f t="shared" ref="AK795" si="2977">AF795+AG795+AH795+AI795+AJ795+AC795</f>
        <v>0</v>
      </c>
      <c r="AL795" s="884">
        <v>0</v>
      </c>
      <c r="AM795" s="878" t="str">
        <f t="shared" ref="AM795" si="2978">IFERROR((AK795/AL795),"-")</f>
        <v>-</v>
      </c>
      <c r="AN795" s="2"/>
      <c r="AO795" s="884">
        <v>23460</v>
      </c>
      <c r="AP795" s="884">
        <f t="shared" ref="AP795" si="2979">AO795-AK795</f>
        <v>23460</v>
      </c>
      <c r="AV795" t="str">
        <f t="shared" si="2916"/>
        <v xml:space="preserve">Aterro e compactação </v>
      </c>
      <c r="AW795" s="4" t="str">
        <f t="shared" si="2914"/>
        <v xml:space="preserve">   Execução de aterro compactado (PN a 95%) - Seg.3.1 CA 06</v>
      </c>
    </row>
    <row r="796" spans="1:50" ht="15.6" customHeight="1" outlineLevel="1">
      <c r="A796" s="545" t="str">
        <f t="shared" ref="A796" si="2980">A795</f>
        <v>N</v>
      </c>
      <c r="B796" s="526"/>
      <c r="C796" s="526" t="s">
        <v>1149</v>
      </c>
      <c r="D796" s="527" t="s">
        <v>1150</v>
      </c>
      <c r="E796" s="893"/>
      <c r="F796" s="947"/>
      <c r="G796" s="559"/>
      <c r="H796" s="549" t="s">
        <v>38</v>
      </c>
      <c r="I796" s="711">
        <v>0</v>
      </c>
      <c r="J796" s="945"/>
      <c r="K796" s="559"/>
      <c r="L796" s="549" t="s">
        <v>38</v>
      </c>
      <c r="M796" s="711">
        <f t="shared" si="2926"/>
        <v>0</v>
      </c>
      <c r="N796" s="945"/>
      <c r="O796" s="559"/>
      <c r="P796" s="547">
        <v>0</v>
      </c>
      <c r="Q796" s="547">
        <v>0</v>
      </c>
      <c r="R796" s="547">
        <v>0</v>
      </c>
      <c r="S796" s="547">
        <v>0</v>
      </c>
      <c r="T796" s="547">
        <v>0</v>
      </c>
      <c r="U796" s="547">
        <v>0</v>
      </c>
      <c r="V796" s="547">
        <v>0</v>
      </c>
      <c r="W796" s="559"/>
      <c r="X796" s="711">
        <f t="shared" si="2918"/>
        <v>0</v>
      </c>
      <c r="Y796" s="945"/>
      <c r="Z796" s="559"/>
      <c r="AA796" s="899"/>
      <c r="AB796" s="899"/>
      <c r="AC796" s="899"/>
      <c r="AD796" s="901"/>
      <c r="AE796" s="94"/>
      <c r="AF796" s="885"/>
      <c r="AG796" s="949"/>
      <c r="AH796" s="885"/>
      <c r="AI796" s="949"/>
      <c r="AJ796" s="949"/>
      <c r="AK796" s="885"/>
      <c r="AL796" s="885"/>
      <c r="AM796" s="879"/>
      <c r="AN796" s="2"/>
      <c r="AO796" s="886"/>
      <c r="AP796" s="886"/>
      <c r="AV796" t="str">
        <f t="shared" si="2916"/>
        <v xml:space="preserve">Aterro e compactação </v>
      </c>
      <c r="AW796" s="4" t="str">
        <f t="shared" si="2914"/>
        <v xml:space="preserve">   Execução de aterro compactado (PN a 95%) - Seg.3.1 CA 06</v>
      </c>
      <c r="AX796" s="4"/>
    </row>
    <row r="797" spans="1:50" ht="15.6" customHeight="1" outlineLevel="1" collapsed="1">
      <c r="A797" s="545" t="str">
        <f t="shared" ref="A797" si="2981">IF(SUM(P797:V798)&gt;0,"S","N")</f>
        <v>N</v>
      </c>
      <c r="B797" s="526">
        <v>1065447</v>
      </c>
      <c r="C797" s="526" t="s">
        <v>1152</v>
      </c>
      <c r="D797" s="527" t="s">
        <v>1153</v>
      </c>
      <c r="E797" s="892" t="s">
        <v>1154</v>
      </c>
      <c r="F797" s="946" t="s">
        <v>36</v>
      </c>
      <c r="G797" s="559"/>
      <c r="H797" s="546" t="s">
        <v>37</v>
      </c>
      <c r="I797" s="711">
        <v>0</v>
      </c>
      <c r="J797" s="944" t="str">
        <f t="shared" ref="J797" si="2982">IFERROR((I798/I797),"-")</f>
        <v>-</v>
      </c>
      <c r="K797" s="559"/>
      <c r="L797" s="546" t="s">
        <v>37</v>
      </c>
      <c r="M797" s="711">
        <f t="shared" si="2926"/>
        <v>0</v>
      </c>
      <c r="N797" s="944" t="str">
        <f t="shared" ref="N797" si="2983">IFERROR((M798/M797),"-")</f>
        <v>-</v>
      </c>
      <c r="O797" s="559"/>
      <c r="P797" s="547">
        <v>0</v>
      </c>
      <c r="Q797" s="547">
        <v>0</v>
      </c>
      <c r="R797" s="547">
        <v>0</v>
      </c>
      <c r="S797" s="547">
        <v>0</v>
      </c>
      <c r="T797" s="547">
        <v>0</v>
      </c>
      <c r="U797" s="547">
        <v>0</v>
      </c>
      <c r="V797" s="547">
        <v>0</v>
      </c>
      <c r="W797" s="559"/>
      <c r="X797" s="711">
        <f t="shared" si="2918"/>
        <v>0</v>
      </c>
      <c r="Y797" s="944" t="str">
        <f>IFERROR((X798/X797),"-")</f>
        <v>-</v>
      </c>
      <c r="Z797" s="559"/>
      <c r="AA797" s="898">
        <v>0</v>
      </c>
      <c r="AB797" s="898">
        <v>0</v>
      </c>
      <c r="AC797" s="898">
        <v>0</v>
      </c>
      <c r="AD797" s="900" t="str">
        <f t="shared" ref="AD797" si="2984">IFERROR((AC797/AB797),"-")</f>
        <v>-</v>
      </c>
      <c r="AE797" s="94"/>
      <c r="AF797" s="884">
        <v>0</v>
      </c>
      <c r="AG797" s="948"/>
      <c r="AH797" s="884">
        <v>0</v>
      </c>
      <c r="AI797" s="948"/>
      <c r="AJ797" s="948"/>
      <c r="AK797" s="884">
        <f t="shared" ref="AK797" si="2985">AF797+AG797+AH797+AI797+AJ797+AC797</f>
        <v>0</v>
      </c>
      <c r="AL797" s="884">
        <v>0</v>
      </c>
      <c r="AM797" s="878" t="str">
        <f t="shared" ref="AM797" si="2986">IFERROR((AK797/AL797),"-")</f>
        <v>-</v>
      </c>
      <c r="AN797" s="2"/>
      <c r="AO797" s="884">
        <v>30300</v>
      </c>
      <c r="AP797" s="884">
        <f t="shared" ref="AP797" si="2987">AO797-AK797</f>
        <v>30300</v>
      </c>
      <c r="AV797" t="str">
        <f t="shared" si="2916"/>
        <v xml:space="preserve">Aterro e compactação </v>
      </c>
      <c r="AW797" s="4" t="str">
        <f t="shared" si="2914"/>
        <v xml:space="preserve">   Execução de aterro compactado (PN a 95%) - Seg.3.1 CA 07</v>
      </c>
      <c r="AX797" s="4"/>
    </row>
    <row r="798" spans="1:50" ht="15.6" customHeight="1" outlineLevel="1">
      <c r="A798" s="545" t="str">
        <f t="shared" ref="A798" si="2988">A797</f>
        <v>N</v>
      </c>
      <c r="B798" s="526"/>
      <c r="C798" s="526" t="s">
        <v>1152</v>
      </c>
      <c r="D798" s="527" t="s">
        <v>1153</v>
      </c>
      <c r="E798" s="893"/>
      <c r="F798" s="947"/>
      <c r="G798" s="559"/>
      <c r="H798" s="549" t="s">
        <v>38</v>
      </c>
      <c r="I798" s="711">
        <v>0</v>
      </c>
      <c r="J798" s="945"/>
      <c r="K798" s="559"/>
      <c r="L798" s="549" t="s">
        <v>38</v>
      </c>
      <c r="M798" s="711">
        <f t="shared" si="2926"/>
        <v>0</v>
      </c>
      <c r="N798" s="945"/>
      <c r="O798" s="559"/>
      <c r="P798" s="547">
        <v>0</v>
      </c>
      <c r="Q798" s="547">
        <v>0</v>
      </c>
      <c r="R798" s="547">
        <v>0</v>
      </c>
      <c r="S798" s="547">
        <v>0</v>
      </c>
      <c r="T798" s="547">
        <v>0</v>
      </c>
      <c r="U798" s="547">
        <v>0</v>
      </c>
      <c r="V798" s="547">
        <v>0</v>
      </c>
      <c r="W798" s="559"/>
      <c r="X798" s="711">
        <f t="shared" si="2918"/>
        <v>0</v>
      </c>
      <c r="Y798" s="945"/>
      <c r="Z798" s="559"/>
      <c r="AA798" s="899"/>
      <c r="AB798" s="899"/>
      <c r="AC798" s="899"/>
      <c r="AD798" s="901"/>
      <c r="AE798" s="94"/>
      <c r="AF798" s="885"/>
      <c r="AG798" s="949"/>
      <c r="AH798" s="885"/>
      <c r="AI798" s="949"/>
      <c r="AJ798" s="949"/>
      <c r="AK798" s="885"/>
      <c r="AL798" s="885"/>
      <c r="AM798" s="879"/>
      <c r="AN798" s="2"/>
      <c r="AO798" s="886"/>
      <c r="AP798" s="886"/>
      <c r="AV798" t="str">
        <f t="shared" si="2916"/>
        <v xml:space="preserve">Aterro e compactação </v>
      </c>
      <c r="AW798" s="4" t="str">
        <f t="shared" si="2914"/>
        <v xml:space="preserve">   Execução de aterro compactado (PN a 95%) - Seg.3.1 CA 07</v>
      </c>
      <c r="AX798" s="4"/>
    </row>
    <row r="799" spans="1:50" ht="15.6" customHeight="1" outlineLevel="1">
      <c r="A799" s="545" t="str">
        <f t="shared" ref="A799" si="2989">IF(SUM(P799:V800)&gt;0,"S","N")</f>
        <v>N</v>
      </c>
      <c r="B799" s="526">
        <v>1066126</v>
      </c>
      <c r="C799" s="526" t="s">
        <v>1155</v>
      </c>
      <c r="D799" s="527" t="s">
        <v>1156</v>
      </c>
      <c r="E799" s="892" t="s">
        <v>1157</v>
      </c>
      <c r="F799" s="946" t="s">
        <v>36</v>
      </c>
      <c r="G799" s="559"/>
      <c r="H799" s="546" t="s">
        <v>37</v>
      </c>
      <c r="I799" s="711">
        <v>0</v>
      </c>
      <c r="J799" s="944" t="str">
        <f t="shared" ref="J799" si="2990">IFERROR((I800/I799),"-")</f>
        <v>-</v>
      </c>
      <c r="K799" s="559"/>
      <c r="L799" s="546" t="s">
        <v>37</v>
      </c>
      <c r="M799" s="711">
        <f t="shared" si="2926"/>
        <v>0</v>
      </c>
      <c r="N799" s="944" t="str">
        <f t="shared" ref="N799" si="2991">IFERROR((M800/M799),"-")</f>
        <v>-</v>
      </c>
      <c r="O799" s="559"/>
      <c r="P799" s="547">
        <v>0</v>
      </c>
      <c r="Q799" s="547">
        <v>0</v>
      </c>
      <c r="R799" s="547">
        <v>0</v>
      </c>
      <c r="S799" s="547">
        <v>0</v>
      </c>
      <c r="T799" s="547">
        <v>0</v>
      </c>
      <c r="U799" s="547">
        <v>0</v>
      </c>
      <c r="V799" s="547">
        <v>0</v>
      </c>
      <c r="W799" s="559"/>
      <c r="X799" s="711">
        <f t="shared" si="2918"/>
        <v>0</v>
      </c>
      <c r="Y799" s="944" t="str">
        <f>IFERROR((X800/X799),"-")</f>
        <v>-</v>
      </c>
      <c r="Z799" s="559"/>
      <c r="AA799" s="898">
        <v>0</v>
      </c>
      <c r="AB799" s="898">
        <v>0</v>
      </c>
      <c r="AC799" s="898">
        <v>0</v>
      </c>
      <c r="AD799" s="900" t="str">
        <f t="shared" ref="AD799" si="2992">IFERROR((AC799/AB799),"-")</f>
        <v>-</v>
      </c>
      <c r="AE799" s="94"/>
      <c r="AF799" s="884">
        <v>0</v>
      </c>
      <c r="AG799" s="948"/>
      <c r="AH799" s="884">
        <v>0</v>
      </c>
      <c r="AI799" s="948"/>
      <c r="AJ799" s="948"/>
      <c r="AK799" s="884">
        <f t="shared" ref="AK799" si="2993">AF799+AG799+AH799+AI799+AJ799+AC799</f>
        <v>0</v>
      </c>
      <c r="AL799" s="884">
        <v>0</v>
      </c>
      <c r="AM799" s="878" t="str">
        <f t="shared" ref="AM799" si="2994">IFERROR((AK799/AL799),"-")</f>
        <v>-</v>
      </c>
      <c r="AN799" s="2"/>
      <c r="AO799" s="884">
        <v>13867</v>
      </c>
      <c r="AP799" s="884">
        <f t="shared" ref="AP799" si="2995">AO799-AK799</f>
        <v>13867</v>
      </c>
      <c r="AV799" t="str">
        <f t="shared" si="2916"/>
        <v xml:space="preserve">Aterro e compactação </v>
      </c>
      <c r="AW799" s="4" t="str">
        <f t="shared" si="2914"/>
        <v xml:space="preserve">   Execução de aterro compactado- Seg.3.1 acesso km 154+755</v>
      </c>
      <c r="AX799" s="4"/>
    </row>
    <row r="800" spans="1:50" ht="15.6" customHeight="1" outlineLevel="1">
      <c r="A800" s="545" t="str">
        <f t="shared" ref="A800" si="2996">A799</f>
        <v>N</v>
      </c>
      <c r="B800" s="526"/>
      <c r="C800" s="526" t="s">
        <v>1155</v>
      </c>
      <c r="D800" s="527" t="s">
        <v>1156</v>
      </c>
      <c r="E800" s="893"/>
      <c r="F800" s="947"/>
      <c r="G800" s="559"/>
      <c r="H800" s="549" t="s">
        <v>38</v>
      </c>
      <c r="I800" s="711">
        <v>0</v>
      </c>
      <c r="J800" s="945"/>
      <c r="K800" s="559"/>
      <c r="L800" s="549" t="s">
        <v>38</v>
      </c>
      <c r="M800" s="711">
        <f t="shared" si="2926"/>
        <v>0</v>
      </c>
      <c r="N800" s="945"/>
      <c r="O800" s="559"/>
      <c r="P800" s="547">
        <v>0</v>
      </c>
      <c r="Q800" s="547">
        <v>0</v>
      </c>
      <c r="R800" s="547">
        <v>0</v>
      </c>
      <c r="S800" s="547">
        <v>0</v>
      </c>
      <c r="T800" s="547">
        <v>0</v>
      </c>
      <c r="U800" s="547">
        <v>0</v>
      </c>
      <c r="V800" s="547">
        <v>0</v>
      </c>
      <c r="W800" s="559"/>
      <c r="X800" s="711">
        <f t="shared" si="2918"/>
        <v>0</v>
      </c>
      <c r="Y800" s="945"/>
      <c r="Z800" s="559"/>
      <c r="AA800" s="899"/>
      <c r="AB800" s="899"/>
      <c r="AC800" s="899"/>
      <c r="AD800" s="901"/>
      <c r="AE800" s="94"/>
      <c r="AF800" s="885"/>
      <c r="AG800" s="949"/>
      <c r="AH800" s="885"/>
      <c r="AI800" s="949"/>
      <c r="AJ800" s="949"/>
      <c r="AK800" s="885"/>
      <c r="AL800" s="885"/>
      <c r="AM800" s="879"/>
      <c r="AN800" s="2"/>
      <c r="AO800" s="886"/>
      <c r="AP800" s="886"/>
      <c r="AV800" t="str">
        <f t="shared" si="2916"/>
        <v xml:space="preserve">Aterro e compactação </v>
      </c>
      <c r="AW800" s="4" t="str">
        <f t="shared" si="2914"/>
        <v xml:space="preserve">   Execução de aterro compactado- Seg.3.1 acesso km 154+755</v>
      </c>
      <c r="AX800" s="4"/>
    </row>
    <row r="801" spans="1:50" ht="15" customHeight="1" outlineLevel="1">
      <c r="A801" s="545" t="str">
        <f t="shared" ref="A801" si="2997">IF(SUM(P801:V802)&gt;0,"S","N")</f>
        <v>N</v>
      </c>
      <c r="B801" s="526">
        <v>1066127</v>
      </c>
      <c r="C801" s="526" t="s">
        <v>1158</v>
      </c>
      <c r="D801" s="527" t="s">
        <v>1159</v>
      </c>
      <c r="E801" s="892" t="s">
        <v>1160</v>
      </c>
      <c r="F801" s="946" t="s">
        <v>36</v>
      </c>
      <c r="G801" s="559"/>
      <c r="H801" s="546" t="s">
        <v>37</v>
      </c>
      <c r="I801" s="711">
        <v>0</v>
      </c>
      <c r="J801" s="944" t="str">
        <f t="shared" ref="J801" si="2998">IFERROR((I802/I801),"-")</f>
        <v>-</v>
      </c>
      <c r="K801" s="559"/>
      <c r="L801" s="546" t="s">
        <v>37</v>
      </c>
      <c r="M801" s="711">
        <f t="shared" si="2926"/>
        <v>0</v>
      </c>
      <c r="N801" s="944" t="str">
        <f t="shared" ref="N801" si="2999">IFERROR((M802/M801),"-")</f>
        <v>-</v>
      </c>
      <c r="O801" s="559"/>
      <c r="P801" s="547">
        <v>0</v>
      </c>
      <c r="Q801" s="547">
        <v>0</v>
      </c>
      <c r="R801" s="547">
        <v>0</v>
      </c>
      <c r="S801" s="547">
        <v>0</v>
      </c>
      <c r="T801" s="547">
        <v>0</v>
      </c>
      <c r="U801" s="547">
        <v>0</v>
      </c>
      <c r="V801" s="547">
        <v>0</v>
      </c>
      <c r="W801" s="559"/>
      <c r="X801" s="711">
        <f t="shared" si="2918"/>
        <v>0</v>
      </c>
      <c r="Y801" s="944" t="str">
        <f>IFERROR((X802/X801),"-")</f>
        <v>-</v>
      </c>
      <c r="Z801" s="559"/>
      <c r="AA801" s="898">
        <v>0</v>
      </c>
      <c r="AB801" s="898">
        <v>0</v>
      </c>
      <c r="AC801" s="898">
        <v>0</v>
      </c>
      <c r="AD801" s="900" t="str">
        <f t="shared" ref="AD801" si="3000">IFERROR((AC801/AB801),"-")</f>
        <v>-</v>
      </c>
      <c r="AE801" s="94"/>
      <c r="AF801" s="884">
        <v>0</v>
      </c>
      <c r="AG801" s="948"/>
      <c r="AH801" s="884">
        <v>0</v>
      </c>
      <c r="AI801" s="948"/>
      <c r="AJ801" s="948"/>
      <c r="AK801" s="884">
        <f t="shared" ref="AK801" si="3001">AF801+AG801+AH801+AI801+AJ801+AC801</f>
        <v>0</v>
      </c>
      <c r="AL801" s="884">
        <v>0</v>
      </c>
      <c r="AM801" s="878" t="str">
        <f t="shared" ref="AM801" si="3002">IFERROR((AK801/AL801),"-")</f>
        <v>-</v>
      </c>
      <c r="AN801" s="2"/>
      <c r="AO801" s="884">
        <v>942</v>
      </c>
      <c r="AP801" s="884">
        <f t="shared" ref="AP801" si="3003">AO801-AK801</f>
        <v>942</v>
      </c>
      <c r="AV801" t="str">
        <f t="shared" si="2916"/>
        <v xml:space="preserve">Aterro e compactação </v>
      </c>
      <c r="AW801" s="4" t="str">
        <f t="shared" si="2914"/>
        <v xml:space="preserve">   Execução de aterro compactado- Seg.3.1 acesso km 159+900</v>
      </c>
      <c r="AX801" s="4"/>
    </row>
    <row r="802" spans="1:50" ht="15" customHeight="1" outlineLevel="1">
      <c r="A802" s="545" t="str">
        <f t="shared" ref="A802" si="3004">A801</f>
        <v>N</v>
      </c>
      <c r="B802" s="526"/>
      <c r="C802" s="526" t="s">
        <v>1158</v>
      </c>
      <c r="D802" s="527" t="s">
        <v>1159</v>
      </c>
      <c r="E802" s="893"/>
      <c r="F802" s="947"/>
      <c r="G802" s="559"/>
      <c r="H802" s="549" t="s">
        <v>38</v>
      </c>
      <c r="I802" s="711">
        <v>0</v>
      </c>
      <c r="J802" s="945"/>
      <c r="K802" s="559"/>
      <c r="L802" s="549" t="s">
        <v>38</v>
      </c>
      <c r="M802" s="711">
        <f t="shared" si="2926"/>
        <v>0</v>
      </c>
      <c r="N802" s="945"/>
      <c r="O802" s="559"/>
      <c r="P802" s="547">
        <v>0</v>
      </c>
      <c r="Q802" s="547">
        <v>0</v>
      </c>
      <c r="R802" s="547">
        <v>0</v>
      </c>
      <c r="S802" s="547">
        <v>0</v>
      </c>
      <c r="T802" s="547">
        <v>0</v>
      </c>
      <c r="U802" s="547">
        <v>0</v>
      </c>
      <c r="V802" s="547">
        <v>0</v>
      </c>
      <c r="W802" s="559"/>
      <c r="X802" s="711">
        <f t="shared" si="2918"/>
        <v>0</v>
      </c>
      <c r="Y802" s="945"/>
      <c r="Z802" s="559"/>
      <c r="AA802" s="899"/>
      <c r="AB802" s="899"/>
      <c r="AC802" s="899"/>
      <c r="AD802" s="901"/>
      <c r="AE802" s="94"/>
      <c r="AF802" s="885"/>
      <c r="AG802" s="949"/>
      <c r="AH802" s="885"/>
      <c r="AI802" s="949"/>
      <c r="AJ802" s="949"/>
      <c r="AK802" s="885"/>
      <c r="AL802" s="885"/>
      <c r="AM802" s="879"/>
      <c r="AN802" s="2"/>
      <c r="AO802" s="886"/>
      <c r="AP802" s="886"/>
      <c r="AU802" s="4"/>
      <c r="AV802" s="4" t="str">
        <f t="shared" si="2916"/>
        <v xml:space="preserve">Aterro e compactação </v>
      </c>
      <c r="AW802" s="4" t="str">
        <f t="shared" si="2914"/>
        <v xml:space="preserve">   Execução de aterro compactado- Seg.3.1 acesso km 159+900</v>
      </c>
      <c r="AX802" s="4"/>
    </row>
    <row r="803" spans="1:50" ht="15" customHeight="1" outlineLevel="1">
      <c r="A803" s="545" t="str">
        <f t="shared" ref="A803" si="3005">IF(SUM(P803:V804)&gt;0,"S","N")</f>
        <v>N</v>
      </c>
      <c r="B803" s="526">
        <v>1066128</v>
      </c>
      <c r="C803" s="526" t="s">
        <v>1161</v>
      </c>
      <c r="D803" s="527" t="s">
        <v>1162</v>
      </c>
      <c r="E803" s="892" t="s">
        <v>1163</v>
      </c>
      <c r="F803" s="946" t="s">
        <v>36</v>
      </c>
      <c r="G803" s="559"/>
      <c r="H803" s="546" t="s">
        <v>37</v>
      </c>
      <c r="I803" s="711">
        <v>0</v>
      </c>
      <c r="J803" s="944" t="str">
        <f t="shared" ref="J803" si="3006">IFERROR((I804/I803),"-")</f>
        <v>-</v>
      </c>
      <c r="K803" s="559"/>
      <c r="L803" s="546" t="s">
        <v>37</v>
      </c>
      <c r="M803" s="711">
        <f t="shared" si="2926"/>
        <v>0</v>
      </c>
      <c r="N803" s="944" t="str">
        <f t="shared" ref="N803" si="3007">IFERROR((M804/M803),"-")</f>
        <v>-</v>
      </c>
      <c r="O803" s="559"/>
      <c r="P803" s="547">
        <v>0</v>
      </c>
      <c r="Q803" s="547">
        <v>0</v>
      </c>
      <c r="R803" s="547">
        <v>0</v>
      </c>
      <c r="S803" s="547">
        <v>0</v>
      </c>
      <c r="T803" s="547">
        <v>0</v>
      </c>
      <c r="U803" s="547">
        <v>0</v>
      </c>
      <c r="V803" s="547">
        <v>0</v>
      </c>
      <c r="W803" s="559"/>
      <c r="X803" s="711">
        <f t="shared" si="2918"/>
        <v>0</v>
      </c>
      <c r="Y803" s="944" t="str">
        <f>IFERROR((X804/X803),"-")</f>
        <v>-</v>
      </c>
      <c r="Z803" s="559"/>
      <c r="AA803" s="898">
        <v>0</v>
      </c>
      <c r="AB803" s="898">
        <v>0</v>
      </c>
      <c r="AC803" s="898">
        <v>0</v>
      </c>
      <c r="AD803" s="900" t="str">
        <f t="shared" ref="AD803" si="3008">IFERROR((AC803/AB803),"-")</f>
        <v>-</v>
      </c>
      <c r="AE803" s="94"/>
      <c r="AF803" s="884">
        <v>0</v>
      </c>
      <c r="AG803" s="948"/>
      <c r="AH803" s="884">
        <v>0</v>
      </c>
      <c r="AI803" s="948"/>
      <c r="AJ803" s="948"/>
      <c r="AK803" s="884">
        <f t="shared" ref="AK803" si="3009">AF803+AG803+AH803+AI803+AJ803+AC803</f>
        <v>0</v>
      </c>
      <c r="AL803" s="884">
        <v>0</v>
      </c>
      <c r="AM803" s="878" t="str">
        <f t="shared" ref="AM803" si="3010">IFERROR((AK803/AL803),"-")</f>
        <v>-</v>
      </c>
      <c r="AN803" s="2"/>
      <c r="AO803" s="884">
        <v>24</v>
      </c>
      <c r="AP803" s="884">
        <f t="shared" ref="AP803" si="3011">AO803-AK803</f>
        <v>24</v>
      </c>
      <c r="AU803" s="4"/>
      <c r="AV803" s="4" t="str">
        <f t="shared" si="2916"/>
        <v xml:space="preserve">Aterro e compactação </v>
      </c>
      <c r="AW803" s="4" t="str">
        <f t="shared" si="2914"/>
        <v xml:space="preserve">   Execução de aterro compactado- Seg.3.1 acesso km 165+850</v>
      </c>
      <c r="AX803" s="4"/>
    </row>
    <row r="804" spans="1:50" ht="15.6" customHeight="1" outlineLevel="1">
      <c r="A804" s="545" t="str">
        <f t="shared" ref="A804" si="3012">A803</f>
        <v>N</v>
      </c>
      <c r="B804" s="526"/>
      <c r="C804" s="526" t="s">
        <v>1161</v>
      </c>
      <c r="D804" s="527" t="s">
        <v>1162</v>
      </c>
      <c r="E804" s="893"/>
      <c r="F804" s="947"/>
      <c r="G804" s="559"/>
      <c r="H804" s="549" t="s">
        <v>38</v>
      </c>
      <c r="I804" s="711">
        <v>0</v>
      </c>
      <c r="J804" s="945"/>
      <c r="K804" s="559"/>
      <c r="L804" s="549" t="s">
        <v>38</v>
      </c>
      <c r="M804" s="711">
        <f t="shared" si="2926"/>
        <v>0</v>
      </c>
      <c r="N804" s="945"/>
      <c r="O804" s="559"/>
      <c r="P804" s="547">
        <v>0</v>
      </c>
      <c r="Q804" s="547">
        <v>0</v>
      </c>
      <c r="R804" s="547">
        <v>0</v>
      </c>
      <c r="S804" s="547">
        <v>0</v>
      </c>
      <c r="T804" s="547">
        <v>0</v>
      </c>
      <c r="U804" s="547">
        <v>0</v>
      </c>
      <c r="V804" s="547">
        <v>0</v>
      </c>
      <c r="W804" s="559"/>
      <c r="X804" s="711">
        <f t="shared" si="2918"/>
        <v>0</v>
      </c>
      <c r="Y804" s="945"/>
      <c r="Z804" s="559"/>
      <c r="AA804" s="899"/>
      <c r="AB804" s="899"/>
      <c r="AC804" s="899"/>
      <c r="AD804" s="901"/>
      <c r="AE804" s="94"/>
      <c r="AF804" s="885"/>
      <c r="AG804" s="949"/>
      <c r="AH804" s="885"/>
      <c r="AI804" s="949"/>
      <c r="AJ804" s="949"/>
      <c r="AK804" s="885"/>
      <c r="AL804" s="885"/>
      <c r="AM804" s="879"/>
      <c r="AN804" s="2"/>
      <c r="AO804" s="886"/>
      <c r="AP804" s="886"/>
      <c r="AU804" s="4"/>
      <c r="AV804" s="4" t="str">
        <f t="shared" si="2916"/>
        <v xml:space="preserve">Aterro e compactação </v>
      </c>
      <c r="AW804" s="4" t="str">
        <f t="shared" si="2914"/>
        <v xml:space="preserve">   Execução de aterro compactado- Seg.3.1 acesso km 165+850</v>
      </c>
      <c r="AX804" s="4"/>
    </row>
    <row r="805" spans="1:50" ht="15.6" customHeight="1" outlineLevel="1">
      <c r="A805" s="525" t="str">
        <f t="shared" ref="A805" si="3013">IF(SUM(P805:V806)&gt;0,"S","N")</f>
        <v>N</v>
      </c>
      <c r="B805" s="526">
        <v>1069634</v>
      </c>
      <c r="C805" s="526" t="s">
        <v>1164</v>
      </c>
      <c r="D805" s="527" t="s">
        <v>1165</v>
      </c>
      <c r="E805" s="892" t="s">
        <v>1166</v>
      </c>
      <c r="F805" s="946" t="s">
        <v>36</v>
      </c>
      <c r="G805" s="559"/>
      <c r="H805" s="546" t="s">
        <v>37</v>
      </c>
      <c r="I805" s="711">
        <v>0</v>
      </c>
      <c r="J805" s="944" t="str">
        <f t="shared" ref="J805" si="3014">IFERROR((I806/I805),"-")</f>
        <v>-</v>
      </c>
      <c r="K805" s="559"/>
      <c r="L805" s="546" t="s">
        <v>37</v>
      </c>
      <c r="M805" s="711">
        <f t="shared" si="2926"/>
        <v>0</v>
      </c>
      <c r="N805" s="944" t="str">
        <f t="shared" ref="N805" si="3015">IFERROR((M806/M805),"-")</f>
        <v>-</v>
      </c>
      <c r="O805" s="559"/>
      <c r="P805" s="547">
        <v>0</v>
      </c>
      <c r="Q805" s="547">
        <v>0</v>
      </c>
      <c r="R805" s="547">
        <v>0</v>
      </c>
      <c r="S805" s="547">
        <v>0</v>
      </c>
      <c r="T805" s="547">
        <v>0</v>
      </c>
      <c r="U805" s="547">
        <v>0</v>
      </c>
      <c r="V805" s="547">
        <v>0</v>
      </c>
      <c r="W805" s="559"/>
      <c r="X805" s="711">
        <f t="shared" si="2918"/>
        <v>0</v>
      </c>
      <c r="Y805" s="944" t="str">
        <f>IFERROR((X806/X805),"-")</f>
        <v>-</v>
      </c>
      <c r="Z805" s="559"/>
      <c r="AA805" s="898">
        <v>0</v>
      </c>
      <c r="AB805" s="898">
        <v>0</v>
      </c>
      <c r="AC805" s="898">
        <v>0</v>
      </c>
      <c r="AD805" s="900" t="str">
        <f t="shared" ref="AD805" si="3016">IFERROR((AC805/AB805),"-")</f>
        <v>-</v>
      </c>
      <c r="AE805" s="94"/>
      <c r="AF805" s="884">
        <v>0</v>
      </c>
      <c r="AG805" s="948"/>
      <c r="AH805" s="884">
        <v>0</v>
      </c>
      <c r="AI805" s="948"/>
      <c r="AJ805" s="948"/>
      <c r="AK805" s="884">
        <f t="shared" ref="AK805" si="3017">AF805+AG805+AH805+AI805+AJ805+AC805</f>
        <v>0</v>
      </c>
      <c r="AL805" s="884">
        <v>0</v>
      </c>
      <c r="AM805" s="878" t="str">
        <f t="shared" ref="AM805" si="3018">IFERROR((AK805/AL805),"-")</f>
        <v>-</v>
      </c>
      <c r="AN805" s="2"/>
      <c r="AO805" s="884">
        <v>374</v>
      </c>
      <c r="AP805" s="884">
        <f t="shared" ref="AP805" si="3019">AO805-AK805</f>
        <v>374</v>
      </c>
      <c r="AV805" t="str">
        <f t="shared" si="2916"/>
        <v xml:space="preserve">Aterro e compactação </v>
      </c>
      <c r="AW805" s="4" t="str">
        <f t="shared" si="2914"/>
        <v xml:space="preserve">   Execução de aterro compactado (PN a 95%) - Seg.3.1 CA 08</v>
      </c>
    </row>
    <row r="806" spans="1:50" ht="15.6" customHeight="1" outlineLevel="1">
      <c r="A806" s="525" t="str">
        <f t="shared" ref="A806" si="3020">A805</f>
        <v>N</v>
      </c>
      <c r="B806" s="526"/>
      <c r="C806" s="526" t="s">
        <v>1164</v>
      </c>
      <c r="D806" s="527" t="s">
        <v>1165</v>
      </c>
      <c r="E806" s="893"/>
      <c r="F806" s="947"/>
      <c r="G806" s="559"/>
      <c r="H806" s="549" t="s">
        <v>38</v>
      </c>
      <c r="I806" s="711">
        <v>0</v>
      </c>
      <c r="J806" s="945"/>
      <c r="K806" s="559"/>
      <c r="L806" s="549" t="s">
        <v>38</v>
      </c>
      <c r="M806" s="711">
        <f t="shared" si="2926"/>
        <v>0</v>
      </c>
      <c r="N806" s="945"/>
      <c r="O806" s="559"/>
      <c r="P806" s="547">
        <v>0</v>
      </c>
      <c r="Q806" s="547">
        <v>0</v>
      </c>
      <c r="R806" s="547">
        <v>0</v>
      </c>
      <c r="S806" s="547">
        <v>0</v>
      </c>
      <c r="T806" s="547">
        <v>0</v>
      </c>
      <c r="U806" s="547">
        <v>0</v>
      </c>
      <c r="V806" s="547">
        <v>0</v>
      </c>
      <c r="W806" s="559"/>
      <c r="X806" s="711">
        <f t="shared" si="2918"/>
        <v>0</v>
      </c>
      <c r="Y806" s="945"/>
      <c r="Z806" s="559"/>
      <c r="AA806" s="899"/>
      <c r="AB806" s="899"/>
      <c r="AC806" s="899"/>
      <c r="AD806" s="901"/>
      <c r="AE806" s="94"/>
      <c r="AF806" s="885"/>
      <c r="AG806" s="949"/>
      <c r="AH806" s="885"/>
      <c r="AI806" s="949"/>
      <c r="AJ806" s="949"/>
      <c r="AK806" s="885"/>
      <c r="AL806" s="885"/>
      <c r="AM806" s="879"/>
      <c r="AN806" s="2"/>
      <c r="AO806" s="886"/>
      <c r="AP806" s="886"/>
      <c r="AV806" t="str">
        <f t="shared" si="2916"/>
        <v xml:space="preserve">Aterro e compactação </v>
      </c>
      <c r="AW806" s="4" t="str">
        <f t="shared" si="2914"/>
        <v xml:space="preserve">   Execução de aterro compactado (PN a 95%) - Seg.3.1 CA 08</v>
      </c>
    </row>
    <row r="807" spans="1:50" ht="15.6" customHeight="1" outlineLevel="1">
      <c r="A807" s="525" t="str">
        <f t="shared" ref="A807" si="3021">IF(SUM(P807:V808)&gt;0,"S","N")</f>
        <v>N</v>
      </c>
      <c r="B807" s="526">
        <v>1069635</v>
      </c>
      <c r="C807" s="526" t="s">
        <v>1167</v>
      </c>
      <c r="D807" s="527" t="s">
        <v>1168</v>
      </c>
      <c r="E807" s="892" t="s">
        <v>1169</v>
      </c>
      <c r="F807" s="946" t="s">
        <v>36</v>
      </c>
      <c r="G807" s="559"/>
      <c r="H807" s="546" t="s">
        <v>37</v>
      </c>
      <c r="I807" s="711">
        <v>0</v>
      </c>
      <c r="J807" s="944" t="str">
        <f t="shared" ref="J807" si="3022">IFERROR((I808/I807),"-")</f>
        <v>-</v>
      </c>
      <c r="K807" s="559"/>
      <c r="L807" s="546" t="s">
        <v>37</v>
      </c>
      <c r="M807" s="711">
        <f t="shared" si="2926"/>
        <v>0</v>
      </c>
      <c r="N807" s="944" t="str">
        <f t="shared" ref="N807" si="3023">IFERROR((M808/M807),"-")</f>
        <v>-</v>
      </c>
      <c r="O807" s="559"/>
      <c r="P807" s="547">
        <v>0</v>
      </c>
      <c r="Q807" s="547">
        <v>0</v>
      </c>
      <c r="R807" s="547">
        <v>0</v>
      </c>
      <c r="S807" s="547">
        <v>0</v>
      </c>
      <c r="T807" s="547">
        <v>0</v>
      </c>
      <c r="U807" s="547">
        <v>0</v>
      </c>
      <c r="V807" s="547">
        <v>0</v>
      </c>
      <c r="W807" s="559"/>
      <c r="X807" s="711">
        <f t="shared" si="2918"/>
        <v>0</v>
      </c>
      <c r="Y807" s="944" t="str">
        <f>IFERROR((X808/X807),"-")</f>
        <v>-</v>
      </c>
      <c r="Z807" s="559"/>
      <c r="AA807" s="898">
        <v>0</v>
      </c>
      <c r="AB807" s="898">
        <v>0</v>
      </c>
      <c r="AC807" s="898">
        <v>0</v>
      </c>
      <c r="AD807" s="900" t="str">
        <f t="shared" ref="AD807" si="3024">IFERROR((AC807/AB807),"-")</f>
        <v>-</v>
      </c>
      <c r="AE807" s="94"/>
      <c r="AF807" s="884">
        <v>0</v>
      </c>
      <c r="AG807" s="948"/>
      <c r="AH807" s="884">
        <v>0</v>
      </c>
      <c r="AI807" s="948"/>
      <c r="AJ807" s="948"/>
      <c r="AK807" s="884">
        <f t="shared" ref="AK807" si="3025">AF807+AG807+AH807+AI807+AJ807+AC807</f>
        <v>0</v>
      </c>
      <c r="AL807" s="884">
        <v>0</v>
      </c>
      <c r="AM807" s="878" t="str">
        <f t="shared" ref="AM807" si="3026">IFERROR((AK807/AL807),"-")</f>
        <v>-</v>
      </c>
      <c r="AN807" s="2"/>
      <c r="AO807" s="884">
        <v>0</v>
      </c>
      <c r="AP807" s="884">
        <f t="shared" ref="AP807" si="3027">AO807-AK807</f>
        <v>0</v>
      </c>
      <c r="AV807" t="str">
        <f t="shared" si="2916"/>
        <v xml:space="preserve">Aterro e compactação </v>
      </c>
      <c r="AW807" s="4" t="str">
        <f t="shared" si="2914"/>
        <v xml:space="preserve">   Execução de aterro compactado (PN a 95%) - Seg.3.1 CA 09</v>
      </c>
    </row>
    <row r="808" spans="1:50" ht="15.6" customHeight="1" outlineLevel="1">
      <c r="A808" s="525" t="str">
        <f t="shared" ref="A808" si="3028">A807</f>
        <v>N</v>
      </c>
      <c r="B808" s="526"/>
      <c r="C808" s="526" t="s">
        <v>1167</v>
      </c>
      <c r="D808" s="527" t="s">
        <v>1168</v>
      </c>
      <c r="E808" s="893"/>
      <c r="F808" s="947"/>
      <c r="G808" s="559"/>
      <c r="H808" s="549" t="s">
        <v>38</v>
      </c>
      <c r="I808" s="711">
        <v>0</v>
      </c>
      <c r="J808" s="945"/>
      <c r="K808" s="559"/>
      <c r="L808" s="549" t="s">
        <v>38</v>
      </c>
      <c r="M808" s="711">
        <f t="shared" si="2926"/>
        <v>0</v>
      </c>
      <c r="N808" s="945"/>
      <c r="O808" s="559"/>
      <c r="P808" s="547">
        <v>0</v>
      </c>
      <c r="Q808" s="547">
        <v>0</v>
      </c>
      <c r="R808" s="547">
        <v>0</v>
      </c>
      <c r="S808" s="547">
        <v>0</v>
      </c>
      <c r="T808" s="547">
        <v>0</v>
      </c>
      <c r="U808" s="547">
        <v>0</v>
      </c>
      <c r="V808" s="547">
        <v>0</v>
      </c>
      <c r="W808" s="559"/>
      <c r="X808" s="711">
        <f t="shared" si="2918"/>
        <v>0</v>
      </c>
      <c r="Y808" s="945"/>
      <c r="Z808" s="559"/>
      <c r="AA808" s="899"/>
      <c r="AB808" s="899"/>
      <c r="AC808" s="899"/>
      <c r="AD808" s="901"/>
      <c r="AE808" s="94"/>
      <c r="AF808" s="885"/>
      <c r="AG808" s="949"/>
      <c r="AH808" s="885"/>
      <c r="AI808" s="949"/>
      <c r="AJ808" s="949"/>
      <c r="AK808" s="885"/>
      <c r="AL808" s="885"/>
      <c r="AM808" s="879"/>
      <c r="AN808" s="2"/>
      <c r="AO808" s="886"/>
      <c r="AP808" s="886"/>
      <c r="AV808" t="str">
        <f t="shared" si="2916"/>
        <v xml:space="preserve">Aterro e compactação </v>
      </c>
      <c r="AW808" s="4" t="str">
        <f t="shared" si="2914"/>
        <v xml:space="preserve">   Execução de aterro compactado (PN a 95%) - Seg.3.1 CA 09</v>
      </c>
    </row>
    <row r="809" spans="1:50" ht="15.6" customHeight="1" outlineLevel="1">
      <c r="A809" s="545" t="str">
        <f t="shared" ref="A809" si="3029">IF(SUM(P809:V810)&gt;0,"S","N")</f>
        <v>N</v>
      </c>
      <c r="B809" s="526">
        <v>1069786</v>
      </c>
      <c r="C809" s="526" t="s">
        <v>1170</v>
      </c>
      <c r="D809" s="527" t="s">
        <v>1171</v>
      </c>
      <c r="E809" s="892" t="s">
        <v>1172</v>
      </c>
      <c r="F809" s="946" t="s">
        <v>36</v>
      </c>
      <c r="G809" s="559"/>
      <c r="H809" s="546" t="s">
        <v>37</v>
      </c>
      <c r="I809" s="711">
        <v>0</v>
      </c>
      <c r="J809" s="944" t="str">
        <f t="shared" ref="J809" si="3030">IFERROR((I810/I809),"-")</f>
        <v>-</v>
      </c>
      <c r="K809" s="559"/>
      <c r="L809" s="546" t="s">
        <v>37</v>
      </c>
      <c r="M809" s="711">
        <f t="shared" si="2926"/>
        <v>0</v>
      </c>
      <c r="N809" s="944" t="str">
        <f t="shared" ref="N809" si="3031">IFERROR((M810/M809),"-")</f>
        <v>-</v>
      </c>
      <c r="O809" s="559"/>
      <c r="P809" s="547">
        <v>0</v>
      </c>
      <c r="Q809" s="547">
        <v>0</v>
      </c>
      <c r="R809" s="547">
        <v>0</v>
      </c>
      <c r="S809" s="547">
        <v>0</v>
      </c>
      <c r="T809" s="547">
        <v>0</v>
      </c>
      <c r="U809" s="547">
        <v>0</v>
      </c>
      <c r="V809" s="547">
        <v>0</v>
      </c>
      <c r="W809" s="559"/>
      <c r="X809" s="711">
        <f t="shared" si="2918"/>
        <v>0</v>
      </c>
      <c r="Y809" s="944" t="str">
        <f>IFERROR((X810/X809),"-")</f>
        <v>-</v>
      </c>
      <c r="Z809" s="559"/>
      <c r="AA809" s="898">
        <v>34449</v>
      </c>
      <c r="AB809" s="898">
        <v>7222.02</v>
      </c>
      <c r="AC809" s="898">
        <v>0</v>
      </c>
      <c r="AD809" s="900">
        <f t="shared" ref="AD809" si="3032">IFERROR((AC809/AB809),"-")</f>
        <v>0</v>
      </c>
      <c r="AE809" s="94"/>
      <c r="AF809" s="884">
        <v>2264.2399999999998</v>
      </c>
      <c r="AG809" s="948"/>
      <c r="AH809" s="884">
        <v>0</v>
      </c>
      <c r="AI809" s="948"/>
      <c r="AJ809" s="948"/>
      <c r="AK809" s="884">
        <f t="shared" ref="AK809" si="3033">AF809+AG809+AH809+AI809+AJ809+AC809</f>
        <v>2264.2399999999998</v>
      </c>
      <c r="AL809" s="884">
        <v>7222.02</v>
      </c>
      <c r="AM809" s="878">
        <f t="shared" ref="AM809" si="3034">IFERROR((AK809/AL809),"-")</f>
        <v>0.31351893237626033</v>
      </c>
      <c r="AN809" s="2"/>
      <c r="AO809" s="884">
        <v>34449</v>
      </c>
      <c r="AP809" s="884">
        <f t="shared" ref="AP809" si="3035">AO809-AK809</f>
        <v>32184.760000000002</v>
      </c>
      <c r="AV809" t="str">
        <f t="shared" si="2916"/>
        <v xml:space="preserve">Aterro e compactação </v>
      </c>
      <c r="AW809" s="4" t="str">
        <f t="shared" si="2914"/>
        <v xml:space="preserve">   Execução de aterro compactado - CA-01 (PN a 95%)</v>
      </c>
    </row>
    <row r="810" spans="1:50" ht="15.6" customHeight="1" outlineLevel="1">
      <c r="A810" s="545" t="str">
        <f t="shared" ref="A810" si="3036">A809</f>
        <v>N</v>
      </c>
      <c r="B810" s="526"/>
      <c r="C810" s="526" t="s">
        <v>1170</v>
      </c>
      <c r="D810" s="527" t="s">
        <v>1171</v>
      </c>
      <c r="E810" s="893"/>
      <c r="F810" s="947"/>
      <c r="G810" s="559"/>
      <c r="H810" s="549" t="s">
        <v>38</v>
      </c>
      <c r="I810" s="711">
        <v>0</v>
      </c>
      <c r="J810" s="945"/>
      <c r="K810" s="559"/>
      <c r="L810" s="549" t="s">
        <v>38</v>
      </c>
      <c r="M810" s="711">
        <f t="shared" si="2926"/>
        <v>0</v>
      </c>
      <c r="N810" s="945"/>
      <c r="O810" s="559"/>
      <c r="P810" s="547">
        <v>0</v>
      </c>
      <c r="Q810" s="547">
        <v>0</v>
      </c>
      <c r="R810" s="547">
        <v>0</v>
      </c>
      <c r="S810" s="547">
        <v>0</v>
      </c>
      <c r="T810" s="547">
        <v>0</v>
      </c>
      <c r="U810" s="547">
        <v>0</v>
      </c>
      <c r="V810" s="547">
        <v>0</v>
      </c>
      <c r="W810" s="559"/>
      <c r="X810" s="711">
        <f t="shared" si="2918"/>
        <v>0</v>
      </c>
      <c r="Y810" s="945"/>
      <c r="Z810" s="559"/>
      <c r="AA810" s="899"/>
      <c r="AB810" s="899"/>
      <c r="AC810" s="899"/>
      <c r="AD810" s="901"/>
      <c r="AE810" s="94"/>
      <c r="AF810" s="885"/>
      <c r="AG810" s="949"/>
      <c r="AH810" s="885"/>
      <c r="AI810" s="949"/>
      <c r="AJ810" s="949"/>
      <c r="AK810" s="885"/>
      <c r="AL810" s="885"/>
      <c r="AM810" s="879"/>
      <c r="AN810" s="2"/>
      <c r="AO810" s="886"/>
      <c r="AP810" s="886"/>
      <c r="AV810" t="str">
        <f t="shared" si="2916"/>
        <v xml:space="preserve">Aterro e compactação </v>
      </c>
      <c r="AW810" s="4" t="str">
        <f t="shared" si="2914"/>
        <v xml:space="preserve">   Execução de aterro compactado - CA-01 (PN a 95%)</v>
      </c>
    </row>
    <row r="811" spans="1:50" ht="15.6" customHeight="1" outlineLevel="1">
      <c r="A811" s="545" t="str">
        <f t="shared" ref="A811" si="3037">IF(SUM(P811:V812)&gt;0,"S","N")</f>
        <v>N</v>
      </c>
      <c r="B811" s="526">
        <v>1064167</v>
      </c>
      <c r="C811" s="526" t="s">
        <v>1173</v>
      </c>
      <c r="D811" s="527" t="s">
        <v>1174</v>
      </c>
      <c r="E811" s="892" t="s">
        <v>1175</v>
      </c>
      <c r="F811" s="946" t="s">
        <v>36</v>
      </c>
      <c r="G811" s="559"/>
      <c r="H811" s="546" t="s">
        <v>37</v>
      </c>
      <c r="I811" s="711">
        <v>0</v>
      </c>
      <c r="J811" s="944" t="str">
        <f t="shared" ref="J811" si="3038">IFERROR((I812/I811),"-")</f>
        <v>-</v>
      </c>
      <c r="K811" s="559"/>
      <c r="L811" s="546" t="s">
        <v>37</v>
      </c>
      <c r="M811" s="711">
        <f t="shared" si="2926"/>
        <v>0</v>
      </c>
      <c r="N811" s="944" t="str">
        <f t="shared" ref="N811" si="3039">IFERROR((M812/M811),"-")</f>
        <v>-</v>
      </c>
      <c r="O811" s="559"/>
      <c r="P811" s="547">
        <v>0</v>
      </c>
      <c r="Q811" s="547">
        <v>0</v>
      </c>
      <c r="R811" s="547">
        <v>0</v>
      </c>
      <c r="S811" s="547">
        <v>0</v>
      </c>
      <c r="T811" s="547">
        <v>0</v>
      </c>
      <c r="U811" s="547">
        <v>0</v>
      </c>
      <c r="V811" s="547">
        <v>0</v>
      </c>
      <c r="W811" s="559"/>
      <c r="X811" s="711">
        <f t="shared" si="2918"/>
        <v>0</v>
      </c>
      <c r="Y811" s="944" t="str">
        <f>IFERROR((X812/X811),"-")</f>
        <v>-</v>
      </c>
      <c r="Z811" s="559"/>
      <c r="AA811" s="898">
        <v>3443</v>
      </c>
      <c r="AB811" s="898">
        <v>0</v>
      </c>
      <c r="AC811" s="898">
        <v>0</v>
      </c>
      <c r="AD811" s="900" t="str">
        <f t="shared" ref="AD811" si="3040">IFERROR((AC811/AB811),"-")</f>
        <v>-</v>
      </c>
      <c r="AE811" s="94"/>
      <c r="AF811" s="884">
        <v>0</v>
      </c>
      <c r="AG811" s="948"/>
      <c r="AH811" s="884">
        <v>0</v>
      </c>
      <c r="AI811" s="948"/>
      <c r="AJ811" s="948"/>
      <c r="AK811" s="884">
        <f t="shared" ref="AK811" si="3041">AF811+AG811+AH811+AI811+AJ811+AC811</f>
        <v>0</v>
      </c>
      <c r="AL811" s="884">
        <v>0</v>
      </c>
      <c r="AM811" s="878" t="str">
        <f t="shared" ref="AM811" si="3042">IFERROR((AK811/AL811),"-")</f>
        <v>-</v>
      </c>
      <c r="AN811" s="2"/>
      <c r="AO811" s="884">
        <v>3443</v>
      </c>
      <c r="AP811" s="884">
        <f t="shared" ref="AP811" si="3043">AO811-AK811</f>
        <v>3443</v>
      </c>
      <c r="AV811" t="str">
        <f t="shared" si="2916"/>
        <v xml:space="preserve">Aterro e compactação </v>
      </c>
      <c r="AW811" s="4" t="str">
        <f t="shared" si="2914"/>
        <v xml:space="preserve">   Camada Final de Aterro (PN a 100%) -Seg.3.1 CA 10</v>
      </c>
    </row>
    <row r="812" spans="1:50" ht="15.6" customHeight="1" outlineLevel="1">
      <c r="A812" s="545" t="str">
        <f t="shared" ref="A812" si="3044">A811</f>
        <v>N</v>
      </c>
      <c r="B812" s="526"/>
      <c r="C812" s="526" t="s">
        <v>1173</v>
      </c>
      <c r="D812" s="527" t="s">
        <v>1174</v>
      </c>
      <c r="E812" s="893"/>
      <c r="F812" s="947"/>
      <c r="G812" s="559"/>
      <c r="H812" s="549" t="s">
        <v>38</v>
      </c>
      <c r="I812" s="711">
        <v>0</v>
      </c>
      <c r="J812" s="945"/>
      <c r="K812" s="559"/>
      <c r="L812" s="549" t="s">
        <v>38</v>
      </c>
      <c r="M812" s="711">
        <f t="shared" si="2926"/>
        <v>0</v>
      </c>
      <c r="N812" s="945"/>
      <c r="O812" s="559"/>
      <c r="P812" s="547">
        <v>0</v>
      </c>
      <c r="Q812" s="547">
        <v>0</v>
      </c>
      <c r="R812" s="547">
        <v>0</v>
      </c>
      <c r="S812" s="547">
        <v>0</v>
      </c>
      <c r="T812" s="547">
        <v>0</v>
      </c>
      <c r="U812" s="547">
        <v>0</v>
      </c>
      <c r="V812" s="547">
        <v>0</v>
      </c>
      <c r="W812" s="559"/>
      <c r="X812" s="711">
        <f t="shared" si="2918"/>
        <v>0</v>
      </c>
      <c r="Y812" s="945"/>
      <c r="Z812" s="559"/>
      <c r="AA812" s="899"/>
      <c r="AB812" s="899"/>
      <c r="AC812" s="899"/>
      <c r="AD812" s="901"/>
      <c r="AE812" s="94"/>
      <c r="AF812" s="885"/>
      <c r="AG812" s="949"/>
      <c r="AH812" s="885"/>
      <c r="AI812" s="949"/>
      <c r="AJ812" s="949"/>
      <c r="AK812" s="885"/>
      <c r="AL812" s="885"/>
      <c r="AM812" s="879"/>
      <c r="AN812" s="2"/>
      <c r="AO812" s="886"/>
      <c r="AP812" s="886"/>
      <c r="AV812" t="str">
        <f t="shared" si="2916"/>
        <v xml:space="preserve">Aterro e compactação </v>
      </c>
      <c r="AW812" s="4" t="str">
        <f t="shared" si="2914"/>
        <v xml:space="preserve">   Camada Final de Aterro (PN a 100%) -Seg.3.1 CA 10</v>
      </c>
    </row>
    <row r="813" spans="1:50" ht="15.6" customHeight="1" outlineLevel="1">
      <c r="A813" s="545" t="str">
        <f t="shared" ref="A813" si="3045">IF(SUM(P813:V814)&gt;0,"S","N")</f>
        <v>N</v>
      </c>
      <c r="B813" s="526">
        <v>1065438</v>
      </c>
      <c r="C813" s="526" t="s">
        <v>1176</v>
      </c>
      <c r="D813" s="527" t="s">
        <v>1177</v>
      </c>
      <c r="E813" s="892" t="s">
        <v>1178</v>
      </c>
      <c r="F813" s="946" t="s">
        <v>36</v>
      </c>
      <c r="G813" s="559"/>
      <c r="H813" s="546" t="s">
        <v>37</v>
      </c>
      <c r="I813" s="711">
        <v>0</v>
      </c>
      <c r="J813" s="944" t="str">
        <f t="shared" ref="J813" si="3046">IFERROR((I814/I813),"-")</f>
        <v>-</v>
      </c>
      <c r="K813" s="559"/>
      <c r="L813" s="546" t="s">
        <v>37</v>
      </c>
      <c r="M813" s="711">
        <f t="shared" si="2926"/>
        <v>0</v>
      </c>
      <c r="N813" s="944" t="str">
        <f t="shared" ref="N813" si="3047">IFERROR((M814/M813),"-")</f>
        <v>-</v>
      </c>
      <c r="O813" s="559"/>
      <c r="P813" s="547">
        <v>0</v>
      </c>
      <c r="Q813" s="547">
        <v>0</v>
      </c>
      <c r="R813" s="547">
        <v>0</v>
      </c>
      <c r="S813" s="547">
        <v>0</v>
      </c>
      <c r="T813" s="547">
        <v>0</v>
      </c>
      <c r="U813" s="547">
        <v>0</v>
      </c>
      <c r="V813" s="547">
        <v>0</v>
      </c>
      <c r="W813" s="559"/>
      <c r="X813" s="711">
        <f t="shared" si="2918"/>
        <v>0</v>
      </c>
      <c r="Y813" s="944" t="str">
        <f>IFERROR((X814/X813),"-")</f>
        <v>-</v>
      </c>
      <c r="Z813" s="559"/>
      <c r="AA813" s="898">
        <v>7100</v>
      </c>
      <c r="AB813" s="898">
        <v>0</v>
      </c>
      <c r="AC813" s="898">
        <v>0</v>
      </c>
      <c r="AD813" s="900" t="str">
        <f t="shared" ref="AD813" si="3048">IFERROR((AC813/AB813),"-")</f>
        <v>-</v>
      </c>
      <c r="AE813" s="94"/>
      <c r="AF813" s="884">
        <v>0</v>
      </c>
      <c r="AG813" s="948"/>
      <c r="AH813" s="884">
        <v>0</v>
      </c>
      <c r="AI813" s="948"/>
      <c r="AJ813" s="948"/>
      <c r="AK813" s="884">
        <f t="shared" ref="AK813" si="3049">AF813+AG813+AH813+AI813+AJ813+AC813</f>
        <v>0</v>
      </c>
      <c r="AL813" s="884">
        <v>0</v>
      </c>
      <c r="AM813" s="878" t="str">
        <f t="shared" ref="AM813" si="3050">IFERROR((AK813/AL813),"-")</f>
        <v>-</v>
      </c>
      <c r="AN813" s="2"/>
      <c r="AO813" s="884">
        <v>7100</v>
      </c>
      <c r="AP813" s="884">
        <f t="shared" ref="AP813" si="3051">AO813-AK813</f>
        <v>7100</v>
      </c>
      <c r="AV813" t="str">
        <f t="shared" si="2916"/>
        <v xml:space="preserve">Aterro e compactação </v>
      </c>
      <c r="AW813" s="4" t="str">
        <f t="shared" si="2914"/>
        <v xml:space="preserve">   Camada Final de Aterro (PN a 100%) - Seg.3.1 CA 02</v>
      </c>
    </row>
    <row r="814" spans="1:50" ht="15.6" customHeight="1" outlineLevel="1">
      <c r="A814" s="545" t="str">
        <f t="shared" ref="A814" si="3052">A813</f>
        <v>N</v>
      </c>
      <c r="B814" s="526"/>
      <c r="C814" s="526" t="s">
        <v>1176</v>
      </c>
      <c r="D814" s="527" t="s">
        <v>1177</v>
      </c>
      <c r="E814" s="893"/>
      <c r="F814" s="947"/>
      <c r="G814" s="559"/>
      <c r="H814" s="549" t="s">
        <v>38</v>
      </c>
      <c r="I814" s="711">
        <v>0</v>
      </c>
      <c r="J814" s="945"/>
      <c r="K814" s="559"/>
      <c r="L814" s="549" t="s">
        <v>38</v>
      </c>
      <c r="M814" s="711">
        <f t="shared" si="2926"/>
        <v>0</v>
      </c>
      <c r="N814" s="945"/>
      <c r="O814" s="559"/>
      <c r="P814" s="547">
        <v>0</v>
      </c>
      <c r="Q814" s="547">
        <v>0</v>
      </c>
      <c r="R814" s="547">
        <v>0</v>
      </c>
      <c r="S814" s="547">
        <v>0</v>
      </c>
      <c r="T814" s="547">
        <v>0</v>
      </c>
      <c r="U814" s="547">
        <v>0</v>
      </c>
      <c r="V814" s="547">
        <v>0</v>
      </c>
      <c r="W814" s="559"/>
      <c r="X814" s="711">
        <f t="shared" si="2918"/>
        <v>0</v>
      </c>
      <c r="Y814" s="945"/>
      <c r="Z814" s="559"/>
      <c r="AA814" s="899"/>
      <c r="AB814" s="899"/>
      <c r="AC814" s="899"/>
      <c r="AD814" s="901"/>
      <c r="AE814" s="94"/>
      <c r="AF814" s="885"/>
      <c r="AG814" s="949"/>
      <c r="AH814" s="885"/>
      <c r="AI814" s="949"/>
      <c r="AJ814" s="949"/>
      <c r="AK814" s="885"/>
      <c r="AL814" s="885"/>
      <c r="AM814" s="879"/>
      <c r="AN814" s="2"/>
      <c r="AO814" s="886"/>
      <c r="AP814" s="886"/>
      <c r="AV814" t="str">
        <f t="shared" si="2916"/>
        <v xml:space="preserve">Aterro e compactação </v>
      </c>
      <c r="AW814" s="4" t="str">
        <f t="shared" si="2914"/>
        <v xml:space="preserve">   Camada Final de Aterro (PN a 100%) - Seg.3.1 CA 02</v>
      </c>
    </row>
    <row r="815" spans="1:50" ht="15.6" customHeight="1" outlineLevel="1">
      <c r="A815" s="545" t="str">
        <f t="shared" ref="A815" si="3053">IF(SUM(P815:V816)&gt;0,"S","N")</f>
        <v>N</v>
      </c>
      <c r="B815" s="526">
        <v>1065440</v>
      </c>
      <c r="C815" s="526" t="s">
        <v>1179</v>
      </c>
      <c r="D815" s="527" t="s">
        <v>1180</v>
      </c>
      <c r="E815" s="892" t="s">
        <v>1181</v>
      </c>
      <c r="F815" s="946" t="s">
        <v>36</v>
      </c>
      <c r="G815" s="559"/>
      <c r="H815" s="546" t="s">
        <v>37</v>
      </c>
      <c r="I815" s="711">
        <v>0</v>
      </c>
      <c r="J815" s="944" t="str">
        <f t="shared" ref="J815" si="3054">IFERROR((I816/I815),"-")</f>
        <v>-</v>
      </c>
      <c r="K815" s="559"/>
      <c r="L815" s="546" t="s">
        <v>37</v>
      </c>
      <c r="M815" s="711">
        <f t="shared" si="2926"/>
        <v>0</v>
      </c>
      <c r="N815" s="944" t="str">
        <f t="shared" ref="N815" si="3055">IFERROR((M816/M815),"-")</f>
        <v>-</v>
      </c>
      <c r="O815" s="559"/>
      <c r="P815" s="547">
        <v>0</v>
      </c>
      <c r="Q815" s="547">
        <v>0</v>
      </c>
      <c r="R815" s="547">
        <v>0</v>
      </c>
      <c r="S815" s="547">
        <v>0</v>
      </c>
      <c r="T815" s="547">
        <v>0</v>
      </c>
      <c r="U815" s="547">
        <v>0</v>
      </c>
      <c r="V815" s="547">
        <v>0</v>
      </c>
      <c r="W815" s="559"/>
      <c r="X815" s="711">
        <f t="shared" si="2918"/>
        <v>0</v>
      </c>
      <c r="Y815" s="944" t="str">
        <f>IFERROR((X816/X815),"-")</f>
        <v>-</v>
      </c>
      <c r="Z815" s="559"/>
      <c r="AA815" s="898">
        <v>0</v>
      </c>
      <c r="AB815" s="898">
        <v>0</v>
      </c>
      <c r="AC815" s="898">
        <v>0</v>
      </c>
      <c r="AD815" s="900" t="str">
        <f t="shared" ref="AD815" si="3056">IFERROR((AC815/AB815),"-")</f>
        <v>-</v>
      </c>
      <c r="AE815" s="94"/>
      <c r="AF815" s="884">
        <v>0</v>
      </c>
      <c r="AG815" s="948"/>
      <c r="AH815" s="884">
        <v>0</v>
      </c>
      <c r="AI815" s="948"/>
      <c r="AJ815" s="948"/>
      <c r="AK815" s="884">
        <f t="shared" ref="AK815" si="3057">AF815+AG815+AH815+AI815+AJ815+AC815</f>
        <v>0</v>
      </c>
      <c r="AL815" s="884">
        <v>0</v>
      </c>
      <c r="AM815" s="878" t="str">
        <f t="shared" ref="AM815" si="3058">IFERROR((AK815/AL815),"-")</f>
        <v>-</v>
      </c>
      <c r="AN815" s="2"/>
      <c r="AO815" s="884">
        <v>979</v>
      </c>
      <c r="AP815" s="884">
        <f t="shared" ref="AP815" si="3059">AO815-AK815</f>
        <v>979</v>
      </c>
      <c r="AV815" t="str">
        <f t="shared" si="2916"/>
        <v xml:space="preserve">Aterro e compactação </v>
      </c>
      <c r="AW815" s="4" t="str">
        <f t="shared" si="2914"/>
        <v xml:space="preserve">   Camada Final de Aterro (PN a 100%) - Seg.3.1 CA 03</v>
      </c>
    </row>
    <row r="816" spans="1:50" ht="15.6" customHeight="1" outlineLevel="1">
      <c r="A816" s="545" t="str">
        <f t="shared" ref="A816" si="3060">A815</f>
        <v>N</v>
      </c>
      <c r="B816" s="526"/>
      <c r="C816" s="526" t="s">
        <v>1179</v>
      </c>
      <c r="D816" s="527" t="s">
        <v>1180</v>
      </c>
      <c r="E816" s="893"/>
      <c r="F816" s="947"/>
      <c r="G816" s="559"/>
      <c r="H816" s="549" t="s">
        <v>38</v>
      </c>
      <c r="I816" s="711">
        <v>0</v>
      </c>
      <c r="J816" s="945"/>
      <c r="K816" s="559"/>
      <c r="L816" s="549" t="s">
        <v>38</v>
      </c>
      <c r="M816" s="711">
        <f t="shared" si="2926"/>
        <v>0</v>
      </c>
      <c r="N816" s="945"/>
      <c r="O816" s="559"/>
      <c r="P816" s="547">
        <v>0</v>
      </c>
      <c r="Q816" s="547">
        <v>0</v>
      </c>
      <c r="R816" s="547">
        <v>0</v>
      </c>
      <c r="S816" s="547">
        <v>0</v>
      </c>
      <c r="T816" s="547">
        <v>0</v>
      </c>
      <c r="U816" s="547">
        <v>0</v>
      </c>
      <c r="V816" s="547">
        <v>0</v>
      </c>
      <c r="W816" s="559"/>
      <c r="X816" s="711">
        <f t="shared" si="2918"/>
        <v>0</v>
      </c>
      <c r="Y816" s="945"/>
      <c r="Z816" s="559"/>
      <c r="AA816" s="899"/>
      <c r="AB816" s="899"/>
      <c r="AC816" s="899"/>
      <c r="AD816" s="901"/>
      <c r="AE816" s="94"/>
      <c r="AF816" s="885"/>
      <c r="AG816" s="949"/>
      <c r="AH816" s="885"/>
      <c r="AI816" s="949"/>
      <c r="AJ816" s="949"/>
      <c r="AK816" s="885"/>
      <c r="AL816" s="885"/>
      <c r="AM816" s="879"/>
      <c r="AN816" s="2"/>
      <c r="AO816" s="886"/>
      <c r="AP816" s="886"/>
      <c r="AV816" t="str">
        <f t="shared" si="2916"/>
        <v xml:space="preserve">Aterro e compactação </v>
      </c>
      <c r="AW816" s="4" t="str">
        <f t="shared" si="2914"/>
        <v xml:space="preserve">   Camada Final de Aterro (PN a 100%) - Seg.3.1 CA 03</v>
      </c>
    </row>
    <row r="817" spans="1:50" ht="15.6" customHeight="1" outlineLevel="1">
      <c r="A817" s="545" t="str">
        <f t="shared" ref="A817" si="3061">IF(SUM(P817:V818)&gt;0,"S","N")</f>
        <v>N</v>
      </c>
      <c r="B817" s="526">
        <v>1065442</v>
      </c>
      <c r="C817" s="526" t="s">
        <v>1182</v>
      </c>
      <c r="D817" s="527" t="s">
        <v>1183</v>
      </c>
      <c r="E817" s="892" t="s">
        <v>1184</v>
      </c>
      <c r="F817" s="946" t="s">
        <v>36</v>
      </c>
      <c r="G817" s="559"/>
      <c r="H817" s="546" t="s">
        <v>37</v>
      </c>
      <c r="I817" s="711">
        <v>0</v>
      </c>
      <c r="J817" s="944" t="str">
        <f t="shared" ref="J817" si="3062">IFERROR((I818/I817),"-")</f>
        <v>-</v>
      </c>
      <c r="K817" s="559"/>
      <c r="L817" s="546" t="s">
        <v>37</v>
      </c>
      <c r="M817" s="711">
        <f t="shared" si="2926"/>
        <v>0</v>
      </c>
      <c r="N817" s="944" t="str">
        <f t="shared" ref="N817" si="3063">IFERROR((M818/M817),"-")</f>
        <v>-</v>
      </c>
      <c r="O817" s="559"/>
      <c r="P817" s="547">
        <v>0</v>
      </c>
      <c r="Q817" s="547">
        <v>0</v>
      </c>
      <c r="R817" s="547">
        <v>0</v>
      </c>
      <c r="S817" s="547">
        <v>0</v>
      </c>
      <c r="T817" s="547">
        <v>0</v>
      </c>
      <c r="U817" s="547">
        <v>0</v>
      </c>
      <c r="V817" s="547">
        <v>0</v>
      </c>
      <c r="W817" s="559"/>
      <c r="X817" s="711">
        <f t="shared" si="2918"/>
        <v>0</v>
      </c>
      <c r="Y817" s="944" t="str">
        <f>IFERROR((X818/X817),"-")</f>
        <v>-</v>
      </c>
      <c r="Z817" s="559"/>
      <c r="AA817" s="898">
        <v>0</v>
      </c>
      <c r="AB817" s="898">
        <v>0</v>
      </c>
      <c r="AC817" s="898">
        <v>0</v>
      </c>
      <c r="AD817" s="900" t="str">
        <f t="shared" ref="AD817" si="3064">IFERROR((AC817/AB817),"-")</f>
        <v>-</v>
      </c>
      <c r="AE817" s="94"/>
      <c r="AF817" s="884">
        <v>0</v>
      </c>
      <c r="AG817" s="948"/>
      <c r="AH817" s="884">
        <v>0</v>
      </c>
      <c r="AI817" s="948"/>
      <c r="AJ817" s="948"/>
      <c r="AK817" s="884">
        <f t="shared" ref="AK817" si="3065">AF817+AG817+AH817+AI817+AJ817+AC817</f>
        <v>0</v>
      </c>
      <c r="AL817" s="884">
        <v>0</v>
      </c>
      <c r="AM817" s="878" t="str">
        <f t="shared" ref="AM817" si="3066">IFERROR((AK817/AL817),"-")</f>
        <v>-</v>
      </c>
      <c r="AN817" s="2"/>
      <c r="AO817" s="884">
        <v>2683</v>
      </c>
      <c r="AP817" s="884">
        <f t="shared" ref="AP817" si="3067">AO817-AK817</f>
        <v>2683</v>
      </c>
      <c r="AV817" t="str">
        <f t="shared" si="2916"/>
        <v xml:space="preserve">Aterro e compactação </v>
      </c>
      <c r="AW817" s="4" t="str">
        <f t="shared" si="2914"/>
        <v xml:space="preserve">   Camada Final de Aterro (PN a 100%) - Seg.3.1 CA 04</v>
      </c>
    </row>
    <row r="818" spans="1:50" ht="15.6" customHeight="1" outlineLevel="1">
      <c r="A818" s="545" t="str">
        <f t="shared" ref="A818" si="3068">A817</f>
        <v>N</v>
      </c>
      <c r="B818" s="526"/>
      <c r="C818" s="526" t="s">
        <v>1182</v>
      </c>
      <c r="D818" s="527" t="s">
        <v>1183</v>
      </c>
      <c r="E818" s="893"/>
      <c r="F818" s="947"/>
      <c r="G818" s="559"/>
      <c r="H818" s="549" t="s">
        <v>38</v>
      </c>
      <c r="I818" s="711">
        <v>0</v>
      </c>
      <c r="J818" s="945"/>
      <c r="K818" s="559"/>
      <c r="L818" s="549" t="s">
        <v>38</v>
      </c>
      <c r="M818" s="711">
        <f t="shared" si="2926"/>
        <v>0</v>
      </c>
      <c r="N818" s="945"/>
      <c r="O818" s="559"/>
      <c r="P818" s="547">
        <v>0</v>
      </c>
      <c r="Q818" s="547">
        <v>0</v>
      </c>
      <c r="R818" s="547">
        <v>0</v>
      </c>
      <c r="S818" s="547">
        <v>0</v>
      </c>
      <c r="T818" s="547">
        <v>0</v>
      </c>
      <c r="U818" s="547">
        <v>0</v>
      </c>
      <c r="V818" s="547">
        <v>0</v>
      </c>
      <c r="W818" s="559"/>
      <c r="X818" s="711">
        <f t="shared" si="2918"/>
        <v>0</v>
      </c>
      <c r="Y818" s="945"/>
      <c r="Z818" s="559"/>
      <c r="AA818" s="899"/>
      <c r="AB818" s="899"/>
      <c r="AC818" s="899"/>
      <c r="AD818" s="901"/>
      <c r="AE818" s="94"/>
      <c r="AF818" s="885"/>
      <c r="AG818" s="949"/>
      <c r="AH818" s="885"/>
      <c r="AI818" s="949"/>
      <c r="AJ818" s="949"/>
      <c r="AK818" s="885"/>
      <c r="AL818" s="885"/>
      <c r="AM818" s="879"/>
      <c r="AN818" s="2"/>
      <c r="AO818" s="886"/>
      <c r="AP818" s="886"/>
      <c r="AV818" t="str">
        <f t="shared" si="2916"/>
        <v xml:space="preserve">Aterro e compactação </v>
      </c>
      <c r="AW818" s="4" t="str">
        <f t="shared" si="2914"/>
        <v xml:space="preserve">   Camada Final de Aterro (PN a 100%) - Seg.3.1 CA 04</v>
      </c>
    </row>
    <row r="819" spans="1:50" ht="15.6" customHeight="1" outlineLevel="1">
      <c r="A819" s="545" t="str">
        <f t="shared" ref="A819" si="3069">IF(SUM(P819:V820)&gt;0,"S","N")</f>
        <v>N</v>
      </c>
      <c r="B819" s="526">
        <v>1065444</v>
      </c>
      <c r="C819" s="526" t="s">
        <v>1185</v>
      </c>
      <c r="D819" s="527" t="s">
        <v>1186</v>
      </c>
      <c r="E819" s="892" t="s">
        <v>1187</v>
      </c>
      <c r="F819" s="946" t="s">
        <v>36</v>
      </c>
      <c r="G819" s="559"/>
      <c r="H819" s="546" t="s">
        <v>37</v>
      </c>
      <c r="I819" s="711">
        <v>0</v>
      </c>
      <c r="J819" s="944" t="str">
        <f t="shared" ref="J819" si="3070">IFERROR((I820/I819),"-")</f>
        <v>-</v>
      </c>
      <c r="K819" s="559"/>
      <c r="L819" s="546" t="s">
        <v>37</v>
      </c>
      <c r="M819" s="711">
        <f t="shared" si="2926"/>
        <v>0</v>
      </c>
      <c r="N819" s="944" t="str">
        <f t="shared" ref="N819" si="3071">IFERROR((M820/M819),"-")</f>
        <v>-</v>
      </c>
      <c r="O819" s="559"/>
      <c r="P819" s="547">
        <v>0</v>
      </c>
      <c r="Q819" s="547">
        <v>0</v>
      </c>
      <c r="R819" s="547">
        <v>0</v>
      </c>
      <c r="S819" s="547">
        <v>0</v>
      </c>
      <c r="T819" s="547">
        <v>0</v>
      </c>
      <c r="U819" s="547">
        <v>0</v>
      </c>
      <c r="V819" s="547">
        <v>0</v>
      </c>
      <c r="W819" s="559"/>
      <c r="X819" s="711">
        <f t="shared" si="2918"/>
        <v>0</v>
      </c>
      <c r="Y819" s="944" t="str">
        <f>IFERROR((X820/X819),"-")</f>
        <v>-</v>
      </c>
      <c r="Z819" s="559"/>
      <c r="AA819" s="898">
        <v>0</v>
      </c>
      <c r="AB819" s="898">
        <v>0</v>
      </c>
      <c r="AC819" s="898">
        <v>0</v>
      </c>
      <c r="AD819" s="900" t="str">
        <f t="shared" ref="AD819" si="3072">IFERROR((AC819/AB819),"-")</f>
        <v>-</v>
      </c>
      <c r="AE819" s="94"/>
      <c r="AF819" s="884">
        <v>0</v>
      </c>
      <c r="AG819" s="948"/>
      <c r="AH819" s="884">
        <v>0</v>
      </c>
      <c r="AI819" s="948"/>
      <c r="AJ819" s="948"/>
      <c r="AK819" s="884">
        <f t="shared" ref="AK819" si="3073">AF819+AG819+AH819+AI819+AJ819+AC819</f>
        <v>0</v>
      </c>
      <c r="AL819" s="884">
        <v>0</v>
      </c>
      <c r="AM819" s="878" t="str">
        <f t="shared" ref="AM819" si="3074">IFERROR((AK819/AL819),"-")</f>
        <v>-</v>
      </c>
      <c r="AN819" s="2"/>
      <c r="AO819" s="884">
        <v>1479</v>
      </c>
      <c r="AP819" s="884">
        <f t="shared" ref="AP819" si="3075">AO819-AK819</f>
        <v>1479</v>
      </c>
      <c r="AU819" s="4"/>
      <c r="AV819" t="str">
        <f t="shared" si="2916"/>
        <v xml:space="preserve">Aterro e compactação </v>
      </c>
      <c r="AW819" s="4" t="str">
        <f t="shared" si="2914"/>
        <v xml:space="preserve">   Camada Final de Aterro (PN a 100%) - Seg.3.1 CA 05</v>
      </c>
      <c r="AX819" s="4"/>
    </row>
    <row r="820" spans="1:50" ht="15.6" customHeight="1" outlineLevel="1">
      <c r="A820" s="545" t="str">
        <f t="shared" ref="A820" si="3076">A819</f>
        <v>N</v>
      </c>
      <c r="B820" s="526"/>
      <c r="C820" s="526" t="s">
        <v>1185</v>
      </c>
      <c r="D820" s="527" t="s">
        <v>1186</v>
      </c>
      <c r="E820" s="893"/>
      <c r="F820" s="947"/>
      <c r="G820" s="559"/>
      <c r="H820" s="549" t="s">
        <v>38</v>
      </c>
      <c r="I820" s="711">
        <v>0</v>
      </c>
      <c r="J820" s="945"/>
      <c r="K820" s="559"/>
      <c r="L820" s="549" t="s">
        <v>38</v>
      </c>
      <c r="M820" s="711">
        <f t="shared" si="2926"/>
        <v>0</v>
      </c>
      <c r="N820" s="945"/>
      <c r="O820" s="559"/>
      <c r="P820" s="547">
        <v>0</v>
      </c>
      <c r="Q820" s="547">
        <v>0</v>
      </c>
      <c r="R820" s="547">
        <v>0</v>
      </c>
      <c r="S820" s="547">
        <v>0</v>
      </c>
      <c r="T820" s="547">
        <v>0</v>
      </c>
      <c r="U820" s="547">
        <v>0</v>
      </c>
      <c r="V820" s="547">
        <v>0</v>
      </c>
      <c r="W820" s="559"/>
      <c r="X820" s="711">
        <f t="shared" si="2918"/>
        <v>0</v>
      </c>
      <c r="Y820" s="945"/>
      <c r="Z820" s="559"/>
      <c r="AA820" s="899"/>
      <c r="AB820" s="899"/>
      <c r="AC820" s="899"/>
      <c r="AD820" s="901"/>
      <c r="AE820" s="94"/>
      <c r="AF820" s="885"/>
      <c r="AG820" s="949"/>
      <c r="AH820" s="885"/>
      <c r="AI820" s="949"/>
      <c r="AJ820" s="949"/>
      <c r="AK820" s="885"/>
      <c r="AL820" s="885"/>
      <c r="AM820" s="879"/>
      <c r="AN820" s="2"/>
      <c r="AO820" s="886"/>
      <c r="AP820" s="886"/>
      <c r="AU820" s="4"/>
      <c r="AV820" t="str">
        <f t="shared" si="2916"/>
        <v xml:space="preserve">Aterro e compactação </v>
      </c>
      <c r="AW820" s="4" t="str">
        <f t="shared" si="2914"/>
        <v xml:space="preserve">   Camada Final de Aterro (PN a 100%) - Seg.3.1 CA 05</v>
      </c>
      <c r="AX820" s="4"/>
    </row>
    <row r="821" spans="1:50" ht="15.6" customHeight="1" outlineLevel="1">
      <c r="A821" s="545" t="str">
        <f t="shared" ref="A821" si="3077">IF(SUM(P821:V822)&gt;0,"S","N")</f>
        <v>N</v>
      </c>
      <c r="B821" s="526">
        <v>1065446</v>
      </c>
      <c r="C821" s="526" t="s">
        <v>1188</v>
      </c>
      <c r="D821" s="527" t="s">
        <v>1189</v>
      </c>
      <c r="E821" s="892" t="s">
        <v>1190</v>
      </c>
      <c r="F821" s="946" t="s">
        <v>36</v>
      </c>
      <c r="G821" s="559"/>
      <c r="H821" s="546" t="s">
        <v>37</v>
      </c>
      <c r="I821" s="711">
        <v>0</v>
      </c>
      <c r="J821" s="944" t="str">
        <f t="shared" ref="J821" si="3078">IFERROR((I822/I821),"-")</f>
        <v>-</v>
      </c>
      <c r="K821" s="559"/>
      <c r="L821" s="546" t="s">
        <v>37</v>
      </c>
      <c r="M821" s="711">
        <f t="shared" si="2926"/>
        <v>0</v>
      </c>
      <c r="N821" s="944" t="str">
        <f t="shared" ref="N821" si="3079">IFERROR((M822/M821),"-")</f>
        <v>-</v>
      </c>
      <c r="O821" s="559"/>
      <c r="P821" s="547">
        <v>0</v>
      </c>
      <c r="Q821" s="547">
        <v>0</v>
      </c>
      <c r="R821" s="547">
        <v>0</v>
      </c>
      <c r="S821" s="547">
        <v>0</v>
      </c>
      <c r="T821" s="547">
        <v>0</v>
      </c>
      <c r="U821" s="547">
        <v>0</v>
      </c>
      <c r="V821" s="547">
        <v>0</v>
      </c>
      <c r="W821" s="559"/>
      <c r="X821" s="711">
        <f t="shared" si="2918"/>
        <v>0</v>
      </c>
      <c r="Y821" s="944" t="str">
        <f>IFERROR((X822/X821),"-")</f>
        <v>-</v>
      </c>
      <c r="Z821" s="559"/>
      <c r="AA821" s="898">
        <v>0</v>
      </c>
      <c r="AB821" s="898">
        <v>0</v>
      </c>
      <c r="AC821" s="898">
        <v>0</v>
      </c>
      <c r="AD821" s="900" t="str">
        <f t="shared" ref="AD821" si="3080">IFERROR((AC821/AB821),"-")</f>
        <v>-</v>
      </c>
      <c r="AE821" s="94"/>
      <c r="AF821" s="884">
        <v>0</v>
      </c>
      <c r="AG821" s="948"/>
      <c r="AH821" s="884">
        <v>0</v>
      </c>
      <c r="AI821" s="948"/>
      <c r="AJ821" s="948"/>
      <c r="AK821" s="884">
        <f t="shared" ref="AK821" si="3081">AF821+AG821+AH821+AI821+AJ821+AC821</f>
        <v>0</v>
      </c>
      <c r="AL821" s="884">
        <v>0</v>
      </c>
      <c r="AM821" s="878" t="str">
        <f t="shared" ref="AM821" si="3082">IFERROR((AK821/AL821),"-")</f>
        <v>-</v>
      </c>
      <c r="AN821" s="2"/>
      <c r="AO821" s="884">
        <v>1766</v>
      </c>
      <c r="AP821" s="884">
        <f t="shared" ref="AP821" si="3083">AO821-AK821</f>
        <v>1766</v>
      </c>
      <c r="AU821" s="4"/>
      <c r="AV821" t="str">
        <f t="shared" si="2916"/>
        <v xml:space="preserve">Aterro e compactação </v>
      </c>
      <c r="AW821" s="4" t="str">
        <f t="shared" si="2914"/>
        <v xml:space="preserve">   Camada Final de Aterro (PN a 100%) - Seg.3.1 CA 06</v>
      </c>
      <c r="AX821" s="4"/>
    </row>
    <row r="822" spans="1:50" ht="15.6" customHeight="1" outlineLevel="1">
      <c r="A822" s="545" t="str">
        <f t="shared" ref="A822" si="3084">A821</f>
        <v>N</v>
      </c>
      <c r="B822" s="526"/>
      <c r="C822" s="526" t="s">
        <v>1188</v>
      </c>
      <c r="D822" s="527" t="s">
        <v>1189</v>
      </c>
      <c r="E822" s="893"/>
      <c r="F822" s="947"/>
      <c r="G822" s="559"/>
      <c r="H822" s="549" t="s">
        <v>38</v>
      </c>
      <c r="I822" s="711">
        <v>0</v>
      </c>
      <c r="J822" s="945"/>
      <c r="K822" s="559"/>
      <c r="L822" s="549" t="s">
        <v>38</v>
      </c>
      <c r="M822" s="711">
        <f t="shared" si="2926"/>
        <v>0</v>
      </c>
      <c r="N822" s="945"/>
      <c r="O822" s="559"/>
      <c r="P822" s="547">
        <v>0</v>
      </c>
      <c r="Q822" s="547">
        <v>0</v>
      </c>
      <c r="R822" s="547">
        <v>0</v>
      </c>
      <c r="S822" s="547">
        <v>0</v>
      </c>
      <c r="T822" s="547">
        <v>0</v>
      </c>
      <c r="U822" s="547">
        <v>0</v>
      </c>
      <c r="V822" s="547">
        <v>0</v>
      </c>
      <c r="W822" s="559"/>
      <c r="X822" s="711">
        <f t="shared" si="2918"/>
        <v>0</v>
      </c>
      <c r="Y822" s="945"/>
      <c r="Z822" s="559"/>
      <c r="AA822" s="899"/>
      <c r="AB822" s="899"/>
      <c r="AC822" s="899"/>
      <c r="AD822" s="901"/>
      <c r="AE822" s="94"/>
      <c r="AF822" s="885"/>
      <c r="AG822" s="949"/>
      <c r="AH822" s="885"/>
      <c r="AI822" s="949"/>
      <c r="AJ822" s="949"/>
      <c r="AK822" s="885"/>
      <c r="AL822" s="885"/>
      <c r="AM822" s="879"/>
      <c r="AN822" s="2"/>
      <c r="AO822" s="886"/>
      <c r="AP822" s="886"/>
      <c r="AV822" t="str">
        <f t="shared" si="2916"/>
        <v xml:space="preserve">Aterro e compactação </v>
      </c>
      <c r="AW822" s="4" t="str">
        <f t="shared" si="2914"/>
        <v xml:space="preserve">   Camada Final de Aterro (PN a 100%) - Seg.3.1 CA 06</v>
      </c>
    </row>
    <row r="823" spans="1:50" ht="15.6" customHeight="1" outlineLevel="1">
      <c r="A823" s="545" t="str">
        <f t="shared" ref="A823" si="3085">IF(SUM(P823:V824)&gt;0,"S","N")</f>
        <v>N</v>
      </c>
      <c r="B823" s="526">
        <v>1065448</v>
      </c>
      <c r="C823" s="526" t="s">
        <v>1191</v>
      </c>
      <c r="D823" s="527" t="s">
        <v>1192</v>
      </c>
      <c r="E823" s="892" t="s">
        <v>1193</v>
      </c>
      <c r="F823" s="946" t="s">
        <v>36</v>
      </c>
      <c r="G823" s="559"/>
      <c r="H823" s="546" t="s">
        <v>37</v>
      </c>
      <c r="I823" s="711">
        <v>0</v>
      </c>
      <c r="J823" s="944" t="str">
        <f t="shared" ref="J823" si="3086">IFERROR((I824/I823),"-")</f>
        <v>-</v>
      </c>
      <c r="K823" s="559"/>
      <c r="L823" s="546" t="s">
        <v>37</v>
      </c>
      <c r="M823" s="711">
        <f t="shared" si="2926"/>
        <v>0</v>
      </c>
      <c r="N823" s="944" t="str">
        <f t="shared" ref="N823" si="3087">IFERROR((M824/M823),"-")</f>
        <v>-</v>
      </c>
      <c r="O823" s="559"/>
      <c r="P823" s="547">
        <v>0</v>
      </c>
      <c r="Q823" s="547">
        <v>0</v>
      </c>
      <c r="R823" s="547">
        <v>0</v>
      </c>
      <c r="S823" s="547">
        <v>0</v>
      </c>
      <c r="T823" s="547">
        <v>0</v>
      </c>
      <c r="U823" s="547">
        <v>0</v>
      </c>
      <c r="V823" s="547">
        <v>0</v>
      </c>
      <c r="W823" s="559"/>
      <c r="X823" s="711">
        <f t="shared" si="2918"/>
        <v>0</v>
      </c>
      <c r="Y823" s="944" t="str">
        <f>IFERROR((X824/X823),"-")</f>
        <v>-</v>
      </c>
      <c r="Z823" s="559"/>
      <c r="AA823" s="898">
        <v>0</v>
      </c>
      <c r="AB823" s="898">
        <v>0</v>
      </c>
      <c r="AC823" s="898">
        <v>0</v>
      </c>
      <c r="AD823" s="900" t="str">
        <f t="shared" ref="AD823" si="3088">IFERROR((AC823/AB823),"-")</f>
        <v>-</v>
      </c>
      <c r="AE823" s="94"/>
      <c r="AF823" s="884">
        <v>0</v>
      </c>
      <c r="AG823" s="948"/>
      <c r="AH823" s="884">
        <v>0</v>
      </c>
      <c r="AI823" s="948"/>
      <c r="AJ823" s="948"/>
      <c r="AK823" s="884">
        <f t="shared" ref="AK823" si="3089">AF823+AG823+AH823+AI823+AJ823+AC823</f>
        <v>0</v>
      </c>
      <c r="AL823" s="884">
        <v>0</v>
      </c>
      <c r="AM823" s="878" t="str">
        <f t="shared" ref="AM823" si="3090">IFERROR((AK823/AL823),"-")</f>
        <v>-</v>
      </c>
      <c r="AN823" s="2"/>
      <c r="AO823" s="884">
        <v>4812</v>
      </c>
      <c r="AP823" s="884">
        <f t="shared" ref="AP823" si="3091">AO823-AK823</f>
        <v>4812</v>
      </c>
      <c r="AV823" t="str">
        <f t="shared" si="2916"/>
        <v xml:space="preserve">Aterro e compactação </v>
      </c>
      <c r="AW823" s="4" t="str">
        <f t="shared" si="2914"/>
        <v xml:space="preserve">   Camada Final de Aterro (PN a 100%) - Seg.3.1 CA 07</v>
      </c>
    </row>
    <row r="824" spans="1:50" ht="15.6" customHeight="1" outlineLevel="1">
      <c r="A824" s="545" t="str">
        <f t="shared" ref="A824" si="3092">A823</f>
        <v>N</v>
      </c>
      <c r="B824" s="526"/>
      <c r="C824" s="526" t="s">
        <v>1191</v>
      </c>
      <c r="D824" s="527" t="s">
        <v>1192</v>
      </c>
      <c r="E824" s="893"/>
      <c r="F824" s="947"/>
      <c r="G824" s="559"/>
      <c r="H824" s="549" t="s">
        <v>38</v>
      </c>
      <c r="I824" s="711">
        <v>0</v>
      </c>
      <c r="J824" s="945"/>
      <c r="K824" s="559"/>
      <c r="L824" s="549" t="s">
        <v>38</v>
      </c>
      <c r="M824" s="711">
        <f t="shared" si="2926"/>
        <v>0</v>
      </c>
      <c r="N824" s="945"/>
      <c r="O824" s="559"/>
      <c r="P824" s="547">
        <v>0</v>
      </c>
      <c r="Q824" s="547">
        <v>0</v>
      </c>
      <c r="R824" s="547">
        <v>0</v>
      </c>
      <c r="S824" s="547">
        <v>0</v>
      </c>
      <c r="T824" s="547">
        <v>0</v>
      </c>
      <c r="U824" s="547">
        <v>0</v>
      </c>
      <c r="V824" s="547">
        <v>0</v>
      </c>
      <c r="W824" s="559"/>
      <c r="X824" s="711">
        <f t="shared" si="2918"/>
        <v>0</v>
      </c>
      <c r="Y824" s="945"/>
      <c r="Z824" s="559"/>
      <c r="AA824" s="899"/>
      <c r="AB824" s="899"/>
      <c r="AC824" s="899"/>
      <c r="AD824" s="901"/>
      <c r="AE824" s="94"/>
      <c r="AF824" s="885"/>
      <c r="AG824" s="949"/>
      <c r="AH824" s="885"/>
      <c r="AI824" s="949"/>
      <c r="AJ824" s="949"/>
      <c r="AK824" s="885"/>
      <c r="AL824" s="885"/>
      <c r="AM824" s="879"/>
      <c r="AN824" s="2"/>
      <c r="AO824" s="886"/>
      <c r="AP824" s="886"/>
      <c r="AV824" t="str">
        <f t="shared" si="2916"/>
        <v xml:space="preserve">Aterro e compactação </v>
      </c>
      <c r="AW824" s="4" t="str">
        <f t="shared" si="2914"/>
        <v xml:space="preserve">   Camada Final de Aterro (PN a 100%) - Seg.3.1 CA 07</v>
      </c>
    </row>
    <row r="825" spans="1:50" ht="15.6" customHeight="1" outlineLevel="1">
      <c r="A825" s="545" t="str">
        <f t="shared" ref="A825" si="3093">IF(SUM(P825:V826)&gt;0,"S","N")</f>
        <v>N</v>
      </c>
      <c r="B825" s="526">
        <v>1065449</v>
      </c>
      <c r="C825" s="526" t="s">
        <v>1194</v>
      </c>
      <c r="D825" s="527" t="s">
        <v>1195</v>
      </c>
      <c r="E825" s="892" t="s">
        <v>1196</v>
      </c>
      <c r="F825" s="946" t="s">
        <v>36</v>
      </c>
      <c r="G825" s="559"/>
      <c r="H825" s="546" t="s">
        <v>37</v>
      </c>
      <c r="I825" s="711">
        <v>0</v>
      </c>
      <c r="J825" s="944" t="str">
        <f t="shared" ref="J825" si="3094">IFERROR((I826/I825),"-")</f>
        <v>-</v>
      </c>
      <c r="K825" s="559"/>
      <c r="L825" s="546" t="s">
        <v>37</v>
      </c>
      <c r="M825" s="711">
        <f t="shared" si="2926"/>
        <v>0</v>
      </c>
      <c r="N825" s="944" t="str">
        <f t="shared" ref="N825" si="3095">IFERROR((M826/M825),"-")</f>
        <v>-</v>
      </c>
      <c r="O825" s="559"/>
      <c r="P825" s="547">
        <v>0</v>
      </c>
      <c r="Q825" s="547">
        <v>0</v>
      </c>
      <c r="R825" s="547">
        <v>0</v>
      </c>
      <c r="S825" s="547">
        <v>0</v>
      </c>
      <c r="T825" s="547">
        <v>0</v>
      </c>
      <c r="U825" s="547">
        <v>0</v>
      </c>
      <c r="V825" s="547">
        <v>0</v>
      </c>
      <c r="W825" s="559"/>
      <c r="X825" s="711">
        <f t="shared" si="2918"/>
        <v>0</v>
      </c>
      <c r="Y825" s="944" t="str">
        <f>IFERROR((X826/X825),"-")</f>
        <v>-</v>
      </c>
      <c r="Z825" s="559"/>
      <c r="AA825" s="898">
        <v>0</v>
      </c>
      <c r="AB825" s="898">
        <v>0</v>
      </c>
      <c r="AC825" s="898">
        <v>0</v>
      </c>
      <c r="AD825" s="900" t="str">
        <f t="shared" ref="AD825" si="3096">IFERROR((AC825/AB825),"-")</f>
        <v>-</v>
      </c>
      <c r="AE825" s="94"/>
      <c r="AF825" s="884">
        <v>0</v>
      </c>
      <c r="AG825" s="948"/>
      <c r="AH825" s="884">
        <v>0</v>
      </c>
      <c r="AI825" s="948"/>
      <c r="AJ825" s="948"/>
      <c r="AK825" s="884">
        <f t="shared" ref="AK825" si="3097">AF825+AG825+AH825+AI825+AJ825+AC825</f>
        <v>0</v>
      </c>
      <c r="AL825" s="884">
        <v>0</v>
      </c>
      <c r="AM825" s="878" t="str">
        <f t="shared" ref="AM825" si="3098">IFERROR((AK825/AL825),"-")</f>
        <v>-</v>
      </c>
      <c r="AN825" s="2"/>
      <c r="AO825" s="884">
        <v>336</v>
      </c>
      <c r="AP825" s="884">
        <f t="shared" ref="AP825" si="3099">AO825-AK825</f>
        <v>336</v>
      </c>
      <c r="AV825" t="str">
        <f t="shared" si="2916"/>
        <v xml:space="preserve">Aterro e compactação </v>
      </c>
      <c r="AW825" s="4" t="str">
        <f t="shared" si="2914"/>
        <v xml:space="preserve">   Camada Final de Aterro (PN a 100%) - Seg.3.1 CA 08</v>
      </c>
    </row>
    <row r="826" spans="1:50" ht="15.6" customHeight="1" outlineLevel="1">
      <c r="A826" s="545" t="str">
        <f t="shared" ref="A826" si="3100">A825</f>
        <v>N</v>
      </c>
      <c r="B826" s="526"/>
      <c r="C826" s="526" t="s">
        <v>1194</v>
      </c>
      <c r="D826" s="527" t="s">
        <v>1195</v>
      </c>
      <c r="E826" s="893"/>
      <c r="F826" s="947"/>
      <c r="G826" s="559"/>
      <c r="H826" s="549" t="s">
        <v>38</v>
      </c>
      <c r="I826" s="711">
        <v>0</v>
      </c>
      <c r="J826" s="945"/>
      <c r="K826" s="559"/>
      <c r="L826" s="549" t="s">
        <v>38</v>
      </c>
      <c r="M826" s="711">
        <f t="shared" si="2926"/>
        <v>0</v>
      </c>
      <c r="N826" s="945"/>
      <c r="O826" s="559"/>
      <c r="P826" s="547">
        <v>0</v>
      </c>
      <c r="Q826" s="547">
        <v>0</v>
      </c>
      <c r="R826" s="547">
        <v>0</v>
      </c>
      <c r="S826" s="547">
        <v>0</v>
      </c>
      <c r="T826" s="547">
        <v>0</v>
      </c>
      <c r="U826" s="547">
        <v>0</v>
      </c>
      <c r="V826" s="547">
        <v>0</v>
      </c>
      <c r="W826" s="559"/>
      <c r="X826" s="711">
        <f t="shared" si="2918"/>
        <v>0</v>
      </c>
      <c r="Y826" s="945"/>
      <c r="Z826" s="559"/>
      <c r="AA826" s="899"/>
      <c r="AB826" s="899"/>
      <c r="AC826" s="899"/>
      <c r="AD826" s="901"/>
      <c r="AE826" s="94"/>
      <c r="AF826" s="885"/>
      <c r="AG826" s="949"/>
      <c r="AH826" s="885"/>
      <c r="AI826" s="949"/>
      <c r="AJ826" s="949"/>
      <c r="AK826" s="885"/>
      <c r="AL826" s="885"/>
      <c r="AM826" s="879"/>
      <c r="AN826" s="2"/>
      <c r="AO826" s="886"/>
      <c r="AP826" s="886"/>
      <c r="AV826" t="str">
        <f t="shared" si="2916"/>
        <v xml:space="preserve">Aterro e compactação </v>
      </c>
      <c r="AW826" s="4" t="str">
        <f t="shared" si="2914"/>
        <v xml:space="preserve">   Camada Final de Aterro (PN a 100%) - Seg.3.1 CA 08</v>
      </c>
      <c r="AX826" s="4"/>
    </row>
    <row r="827" spans="1:50" ht="15.6" customHeight="1" outlineLevel="1">
      <c r="A827" s="545" t="str">
        <f t="shared" ref="A827" si="3101">IF(SUM(P827:V828)&gt;0,"S","N")</f>
        <v>N</v>
      </c>
      <c r="B827" s="526">
        <v>1065450</v>
      </c>
      <c r="C827" s="526" t="s">
        <v>1197</v>
      </c>
      <c r="D827" s="527" t="s">
        <v>1198</v>
      </c>
      <c r="E827" s="892" t="s">
        <v>1199</v>
      </c>
      <c r="F827" s="946" t="s">
        <v>36</v>
      </c>
      <c r="G827" s="559"/>
      <c r="H827" s="546" t="s">
        <v>37</v>
      </c>
      <c r="I827" s="711">
        <v>0</v>
      </c>
      <c r="J827" s="944" t="str">
        <f t="shared" ref="J827" si="3102">IFERROR((I828/I827),"-")</f>
        <v>-</v>
      </c>
      <c r="K827" s="559"/>
      <c r="L827" s="546" t="s">
        <v>37</v>
      </c>
      <c r="M827" s="711">
        <f t="shared" si="2926"/>
        <v>0</v>
      </c>
      <c r="N827" s="944" t="str">
        <f t="shared" ref="N827" si="3103">IFERROR((M828/M827),"-")</f>
        <v>-</v>
      </c>
      <c r="O827" s="559"/>
      <c r="P827" s="547">
        <v>0</v>
      </c>
      <c r="Q827" s="547">
        <v>0</v>
      </c>
      <c r="R827" s="547">
        <v>0</v>
      </c>
      <c r="S827" s="547">
        <v>0</v>
      </c>
      <c r="T827" s="547">
        <v>0</v>
      </c>
      <c r="U827" s="547">
        <v>0</v>
      </c>
      <c r="V827" s="547">
        <v>0</v>
      </c>
      <c r="W827" s="559"/>
      <c r="X827" s="711">
        <f t="shared" si="2918"/>
        <v>0</v>
      </c>
      <c r="Y827" s="944" t="str">
        <f>IFERROR((X828/X827),"-")</f>
        <v>-</v>
      </c>
      <c r="Z827" s="559"/>
      <c r="AA827" s="898">
        <v>0</v>
      </c>
      <c r="AB827" s="898">
        <v>0</v>
      </c>
      <c r="AC827" s="898">
        <v>0</v>
      </c>
      <c r="AD827" s="900" t="str">
        <f t="shared" ref="AD827" si="3104">IFERROR((AC827/AB827),"-")</f>
        <v>-</v>
      </c>
      <c r="AE827" s="94"/>
      <c r="AF827" s="884">
        <v>0</v>
      </c>
      <c r="AG827" s="948"/>
      <c r="AH827" s="884">
        <v>0</v>
      </c>
      <c r="AI827" s="948"/>
      <c r="AJ827" s="948"/>
      <c r="AK827" s="884">
        <f t="shared" ref="AK827" si="3105">AF827+AG827+AH827+AI827+AJ827+AC827</f>
        <v>0</v>
      </c>
      <c r="AL827" s="884">
        <v>0</v>
      </c>
      <c r="AM827" s="878" t="str">
        <f t="shared" ref="AM827" si="3106">IFERROR((AK827/AL827),"-")</f>
        <v>-</v>
      </c>
      <c r="AN827" s="2"/>
      <c r="AO827" s="884">
        <v>168</v>
      </c>
      <c r="AP827" s="884">
        <f t="shared" ref="AP827" si="3107">AO827-AK827</f>
        <v>168</v>
      </c>
      <c r="AV827" t="str">
        <f t="shared" si="2916"/>
        <v xml:space="preserve">Aterro e compactação </v>
      </c>
      <c r="AW827" s="4" t="str">
        <f t="shared" si="2914"/>
        <v xml:space="preserve">   Camada Final de Aterro (PN a 100%) - Seg.3.1 CA 09</v>
      </c>
    </row>
    <row r="828" spans="1:50" ht="16.899999999999999" customHeight="1" outlineLevel="1">
      <c r="A828" s="545" t="str">
        <f t="shared" ref="A828" si="3108">A827</f>
        <v>N</v>
      </c>
      <c r="B828" s="526"/>
      <c r="C828" s="526" t="s">
        <v>1197</v>
      </c>
      <c r="D828" s="527" t="s">
        <v>1198</v>
      </c>
      <c r="E828" s="893"/>
      <c r="F828" s="947"/>
      <c r="G828" s="559"/>
      <c r="H828" s="549" t="s">
        <v>38</v>
      </c>
      <c r="I828" s="711">
        <v>0</v>
      </c>
      <c r="J828" s="945"/>
      <c r="K828" s="559"/>
      <c r="L828" s="549" t="s">
        <v>38</v>
      </c>
      <c r="M828" s="711">
        <f t="shared" si="2926"/>
        <v>0</v>
      </c>
      <c r="N828" s="945"/>
      <c r="O828" s="559"/>
      <c r="P828" s="547">
        <v>0</v>
      </c>
      <c r="Q828" s="547">
        <v>0</v>
      </c>
      <c r="R828" s="547">
        <v>0</v>
      </c>
      <c r="S828" s="547">
        <v>0</v>
      </c>
      <c r="T828" s="547">
        <v>0</v>
      </c>
      <c r="U828" s="547">
        <v>0</v>
      </c>
      <c r="V828" s="547">
        <v>0</v>
      </c>
      <c r="W828" s="559"/>
      <c r="X828" s="711">
        <f t="shared" si="2918"/>
        <v>0</v>
      </c>
      <c r="Y828" s="945"/>
      <c r="Z828" s="559"/>
      <c r="AA828" s="899"/>
      <c r="AB828" s="899"/>
      <c r="AC828" s="899"/>
      <c r="AD828" s="901"/>
      <c r="AE828" s="94"/>
      <c r="AF828" s="885"/>
      <c r="AG828" s="949"/>
      <c r="AH828" s="885"/>
      <c r="AI828" s="949"/>
      <c r="AJ828" s="949"/>
      <c r="AK828" s="885"/>
      <c r="AL828" s="885"/>
      <c r="AM828" s="879"/>
      <c r="AN828" s="2"/>
      <c r="AO828" s="886"/>
      <c r="AP828" s="886"/>
      <c r="AV828" t="str">
        <f t="shared" si="2916"/>
        <v xml:space="preserve">Aterro e compactação </v>
      </c>
      <c r="AW828" s="4" t="str">
        <f t="shared" si="2914"/>
        <v xml:space="preserve">   Camada Final de Aterro (PN a 100%) - Seg.3.1 CA 09</v>
      </c>
      <c r="AX828" s="4"/>
    </row>
    <row r="829" spans="1:50" ht="16.899999999999999" customHeight="1" outlineLevel="1">
      <c r="A829" s="545" t="str">
        <f t="shared" ref="A829" si="3109">IF(SUM(P829:V830)&gt;0,"S","N")</f>
        <v>N</v>
      </c>
      <c r="B829" s="550">
        <v>1070059</v>
      </c>
      <c r="C829" s="550" t="s">
        <v>1200</v>
      </c>
      <c r="D829" s="527" t="s">
        <v>1201</v>
      </c>
      <c r="E829" s="892" t="s">
        <v>1202</v>
      </c>
      <c r="F829" s="946" t="s">
        <v>36</v>
      </c>
      <c r="G829" s="559"/>
      <c r="H829" s="546" t="s">
        <v>37</v>
      </c>
      <c r="I829" s="711">
        <v>0</v>
      </c>
      <c r="J829" s="944" t="str">
        <f t="shared" ref="J829" si="3110">IFERROR((I830/I829),"-")</f>
        <v>-</v>
      </c>
      <c r="K829" s="559"/>
      <c r="L829" s="546" t="s">
        <v>37</v>
      </c>
      <c r="M829" s="711">
        <f t="shared" si="2926"/>
        <v>0</v>
      </c>
      <c r="N829" s="944" t="str">
        <f t="shared" ref="N829" si="3111">IFERROR((M830/M829),"-")</f>
        <v>-</v>
      </c>
      <c r="O829" s="559"/>
      <c r="P829" s="547">
        <v>0</v>
      </c>
      <c r="Q829" s="547">
        <v>0</v>
      </c>
      <c r="R829" s="547">
        <v>0</v>
      </c>
      <c r="S829" s="547">
        <v>0</v>
      </c>
      <c r="T829" s="547">
        <v>0</v>
      </c>
      <c r="U829" s="547">
        <v>0</v>
      </c>
      <c r="V829" s="547">
        <v>0</v>
      </c>
      <c r="W829" s="559"/>
      <c r="X829" s="711">
        <f t="shared" si="2918"/>
        <v>0</v>
      </c>
      <c r="Y829" s="944" t="str">
        <f>IFERROR((X830/X829),"-")</f>
        <v>-</v>
      </c>
      <c r="Z829" s="559"/>
      <c r="AA829" s="898">
        <v>0</v>
      </c>
      <c r="AB829" s="898">
        <v>0</v>
      </c>
      <c r="AC829" s="898">
        <v>0</v>
      </c>
      <c r="AD829" s="900" t="str">
        <f t="shared" ref="AD829" si="3112">IFERROR((AC829/AB829),"-")</f>
        <v>-</v>
      </c>
      <c r="AE829" s="94"/>
      <c r="AF829" s="884">
        <v>0</v>
      </c>
      <c r="AG829" s="948"/>
      <c r="AH829" s="884">
        <v>13083</v>
      </c>
      <c r="AI829" s="948"/>
      <c r="AJ829" s="948"/>
      <c r="AK829" s="884">
        <f t="shared" ref="AK829" si="3113">AF829+AG829+AH829+AI829+AJ829+AC829</f>
        <v>13083</v>
      </c>
      <c r="AL829" s="884">
        <v>15189.32</v>
      </c>
      <c r="AM829" s="878">
        <f t="shared" ref="AM829" si="3114">IFERROR((AK829/AL829),"-")</f>
        <v>0.86132888108223415</v>
      </c>
      <c r="AN829" s="2"/>
      <c r="AO829" s="884">
        <v>13082.869999999999</v>
      </c>
      <c r="AP829" s="884">
        <f t="shared" ref="AP829" si="3115">AO829-AK829</f>
        <v>-0.13000000000101863</v>
      </c>
      <c r="AV829" t="str">
        <f t="shared" si="2916"/>
        <v xml:space="preserve">Aterro e compactação </v>
      </c>
      <c r="AW829" s="4" t="str">
        <f t="shared" si="2914"/>
        <v xml:space="preserve">   Execução de aterro compactado (PN a 95%) - Corpo de aterro</v>
      </c>
    </row>
    <row r="830" spans="1:50" ht="15.6" customHeight="1" outlineLevel="1">
      <c r="A830" s="545" t="str">
        <f t="shared" ref="A830" si="3116">A829</f>
        <v>N</v>
      </c>
      <c r="B830" s="550"/>
      <c r="C830" s="550"/>
      <c r="D830" s="527" t="s">
        <v>1203</v>
      </c>
      <c r="E830" s="893"/>
      <c r="F830" s="947"/>
      <c r="G830" s="559"/>
      <c r="H830" s="549" t="s">
        <v>38</v>
      </c>
      <c r="I830" s="711">
        <v>0</v>
      </c>
      <c r="J830" s="945"/>
      <c r="K830" s="559"/>
      <c r="L830" s="549" t="s">
        <v>38</v>
      </c>
      <c r="M830" s="711">
        <f t="shared" si="2926"/>
        <v>0</v>
      </c>
      <c r="N830" s="945"/>
      <c r="O830" s="559"/>
      <c r="P830" s="547">
        <v>0</v>
      </c>
      <c r="Q830" s="547">
        <v>0</v>
      </c>
      <c r="R830" s="547">
        <v>0</v>
      </c>
      <c r="S830" s="547">
        <v>0</v>
      </c>
      <c r="T830" s="547">
        <v>0</v>
      </c>
      <c r="U830" s="547">
        <v>0</v>
      </c>
      <c r="V830" s="547">
        <v>0</v>
      </c>
      <c r="W830" s="559"/>
      <c r="X830" s="711">
        <f t="shared" si="2918"/>
        <v>0</v>
      </c>
      <c r="Y830" s="945"/>
      <c r="Z830" s="559"/>
      <c r="AA830" s="899"/>
      <c r="AB830" s="899"/>
      <c r="AC830" s="899"/>
      <c r="AD830" s="901"/>
      <c r="AE830" s="94"/>
      <c r="AF830" s="885"/>
      <c r="AG830" s="949"/>
      <c r="AH830" s="885"/>
      <c r="AI830" s="949"/>
      <c r="AJ830" s="949"/>
      <c r="AK830" s="885"/>
      <c r="AL830" s="885"/>
      <c r="AM830" s="879"/>
      <c r="AN830" s="2"/>
      <c r="AO830" s="885"/>
      <c r="AP830" s="886"/>
      <c r="AV830" t="str">
        <f t="shared" si="2916"/>
        <v xml:space="preserve">Aterro e compactação </v>
      </c>
      <c r="AW830" s="4" t="str">
        <f t="shared" si="2914"/>
        <v xml:space="preserve">   Execução de aterro compactado (PN a 95%) - Corpo de aterro</v>
      </c>
    </row>
    <row r="831" spans="1:50" ht="15.6" customHeight="1">
      <c r="A831" s="545" t="str">
        <f t="shared" ref="A831" si="3117">IF(SUM(P831:V832)&gt;0,"S","N")</f>
        <v>N</v>
      </c>
      <c r="B831" s="565">
        <v>1070051</v>
      </c>
      <c r="C831" s="565" t="s">
        <v>1204</v>
      </c>
      <c r="D831" s="526"/>
      <c r="E831" s="892" t="s">
        <v>1205</v>
      </c>
      <c r="F831" s="946" t="s">
        <v>36</v>
      </c>
      <c r="G831" s="559"/>
      <c r="H831" s="546" t="s">
        <v>37</v>
      </c>
      <c r="I831" s="711">
        <v>0</v>
      </c>
      <c r="J831" s="944" t="str">
        <f t="shared" ref="J831" si="3118">IFERROR((I832/I831),"-")</f>
        <v>-</v>
      </c>
      <c r="K831" s="559"/>
      <c r="L831" s="546" t="s">
        <v>37</v>
      </c>
      <c r="M831" s="711">
        <f t="shared" si="2926"/>
        <v>0</v>
      </c>
      <c r="N831" s="944" t="str">
        <f t="shared" ref="N831" si="3119">IFERROR((M832/M831),"-")</f>
        <v>-</v>
      </c>
      <c r="O831" s="559"/>
      <c r="P831" s="547">
        <v>0</v>
      </c>
      <c r="Q831" s="547">
        <v>0</v>
      </c>
      <c r="R831" s="547">
        <v>0</v>
      </c>
      <c r="S831" s="547">
        <v>0</v>
      </c>
      <c r="T831" s="547">
        <v>0</v>
      </c>
      <c r="U831" s="547">
        <v>0</v>
      </c>
      <c r="V831" s="547">
        <v>0</v>
      </c>
      <c r="W831" s="559"/>
      <c r="X831" s="711">
        <f t="shared" si="2918"/>
        <v>0</v>
      </c>
      <c r="Y831" s="944" t="str">
        <f>IFERROR((X832/X831),"-")</f>
        <v>-</v>
      </c>
      <c r="Z831" s="559"/>
      <c r="AA831" s="898">
        <v>0</v>
      </c>
      <c r="AB831" s="898">
        <v>0</v>
      </c>
      <c r="AC831" s="898">
        <v>0</v>
      </c>
      <c r="AD831" s="900" t="str">
        <f t="shared" ref="AD831" si="3120">IFERROR((AC831/AB831),"-")</f>
        <v>-</v>
      </c>
      <c r="AE831" s="94"/>
      <c r="AF831" s="884">
        <v>0</v>
      </c>
      <c r="AG831" s="948"/>
      <c r="AH831" s="884">
        <v>0</v>
      </c>
      <c r="AI831" s="948"/>
      <c r="AJ831" s="948"/>
      <c r="AK831" s="884">
        <f t="shared" ref="AK831" si="3121">AF831+AG831+AH831+AI831+AJ831+AC831</f>
        <v>0</v>
      </c>
      <c r="AL831" s="884">
        <v>0</v>
      </c>
      <c r="AM831" s="878" t="str">
        <f t="shared" ref="AM831" si="3122">IFERROR((AK831/AL831),"-")</f>
        <v>-</v>
      </c>
      <c r="AN831" s="2"/>
      <c r="AO831" s="884">
        <v>0</v>
      </c>
      <c r="AP831" s="884">
        <f t="shared" ref="AP831" si="3123">AO831-AK831</f>
        <v>0</v>
      </c>
      <c r="AV831" t="str">
        <f t="shared" si="2916"/>
        <v xml:space="preserve">Aterro e compactação </v>
      </c>
      <c r="AW831" s="4" t="str">
        <f t="shared" si="2914"/>
        <v xml:space="preserve">   Saldo remanescente seg.3.1 - Execução de aterro compactado (PN a 95%) - Corpo de aterro</v>
      </c>
    </row>
    <row r="832" spans="1:50" ht="15.6" customHeight="1">
      <c r="A832" s="545" t="str">
        <f t="shared" ref="A832" si="3124">A831</f>
        <v>N</v>
      </c>
      <c r="B832" s="565">
        <v>1070051</v>
      </c>
      <c r="C832" s="565" t="s">
        <v>1204</v>
      </c>
      <c r="D832" s="526"/>
      <c r="E832" s="893"/>
      <c r="F832" s="947"/>
      <c r="G832" s="559"/>
      <c r="H832" s="549" t="s">
        <v>38</v>
      </c>
      <c r="I832" s="711">
        <v>0</v>
      </c>
      <c r="J832" s="945"/>
      <c r="K832" s="559"/>
      <c r="L832" s="549" t="s">
        <v>38</v>
      </c>
      <c r="M832" s="711">
        <f t="shared" si="2926"/>
        <v>0</v>
      </c>
      <c r="N832" s="945"/>
      <c r="O832" s="559"/>
      <c r="P832" s="547">
        <v>0</v>
      </c>
      <c r="Q832" s="547">
        <v>0</v>
      </c>
      <c r="R832" s="547">
        <v>0</v>
      </c>
      <c r="S832" s="547">
        <v>0</v>
      </c>
      <c r="T832" s="547">
        <v>0</v>
      </c>
      <c r="U832" s="547">
        <v>0</v>
      </c>
      <c r="V832" s="547">
        <v>0</v>
      </c>
      <c r="W832" s="559"/>
      <c r="X832" s="711">
        <f t="shared" si="2918"/>
        <v>0</v>
      </c>
      <c r="Y832" s="945"/>
      <c r="Z832" s="559"/>
      <c r="AA832" s="899"/>
      <c r="AB832" s="899"/>
      <c r="AC832" s="899"/>
      <c r="AD832" s="901"/>
      <c r="AE832" s="94"/>
      <c r="AF832" s="885"/>
      <c r="AG832" s="949"/>
      <c r="AH832" s="885"/>
      <c r="AI832" s="949"/>
      <c r="AJ832" s="949"/>
      <c r="AK832" s="885"/>
      <c r="AL832" s="885"/>
      <c r="AM832" s="879"/>
      <c r="AN832" s="2"/>
      <c r="AO832" s="886"/>
      <c r="AP832" s="886"/>
      <c r="AV832" t="str">
        <f t="shared" si="2916"/>
        <v xml:space="preserve">Aterro e compactação </v>
      </c>
      <c r="AW832" s="4" t="str">
        <f t="shared" si="2914"/>
        <v xml:space="preserve">   Saldo remanescente seg.3.1 - Execução de aterro compactado (PN a 95%) - Corpo de aterro</v>
      </c>
    </row>
    <row r="833" spans="1:50" ht="15.6" customHeight="1">
      <c r="A833" s="545" t="str">
        <f t="shared" ref="A833" si="3125">IF(SUM(P833:V834)&gt;0,"S","N")</f>
        <v>N</v>
      </c>
      <c r="B833" s="526">
        <v>1070122</v>
      </c>
      <c r="C833" s="526" t="s">
        <v>1206</v>
      </c>
      <c r="D833" s="526"/>
      <c r="E833" s="892" t="s">
        <v>1207</v>
      </c>
      <c r="F833" s="946" t="s">
        <v>36</v>
      </c>
      <c r="G833" s="559"/>
      <c r="H833" s="546" t="s">
        <v>37</v>
      </c>
      <c r="I833" s="711">
        <v>0</v>
      </c>
      <c r="J833" s="944" t="str">
        <f t="shared" ref="J833" si="3126">IFERROR((I834/I833),"-")</f>
        <v>-</v>
      </c>
      <c r="K833" s="559"/>
      <c r="L833" s="546" t="s">
        <v>37</v>
      </c>
      <c r="M833" s="711">
        <f t="shared" si="2926"/>
        <v>0</v>
      </c>
      <c r="N833" s="944" t="str">
        <f t="shared" ref="N833" si="3127">IFERROR((M834/M833),"-")</f>
        <v>-</v>
      </c>
      <c r="O833" s="559"/>
      <c r="P833" s="547">
        <v>0</v>
      </c>
      <c r="Q833" s="547">
        <v>0</v>
      </c>
      <c r="R833" s="547">
        <v>0</v>
      </c>
      <c r="S833" s="547">
        <v>0</v>
      </c>
      <c r="T833" s="547">
        <v>0</v>
      </c>
      <c r="U833" s="547">
        <v>0</v>
      </c>
      <c r="V833" s="547">
        <v>0</v>
      </c>
      <c r="W833" s="559"/>
      <c r="X833" s="711">
        <f t="shared" si="2918"/>
        <v>0</v>
      </c>
      <c r="Y833" s="944" t="str">
        <f>IFERROR((X834/X833),"-")</f>
        <v>-</v>
      </c>
      <c r="Z833" s="559"/>
      <c r="AA833" s="898">
        <v>0</v>
      </c>
      <c r="AB833" s="898">
        <v>0</v>
      </c>
      <c r="AC833" s="898">
        <v>0</v>
      </c>
      <c r="AD833" s="900" t="str">
        <f t="shared" ref="AD833" si="3128">IFERROR((AC833/AB833),"-")</f>
        <v>-</v>
      </c>
      <c r="AE833" s="94"/>
      <c r="AF833" s="884">
        <v>0</v>
      </c>
      <c r="AG833" s="948"/>
      <c r="AH833" s="884">
        <v>0</v>
      </c>
      <c r="AI833" s="948"/>
      <c r="AJ833" s="948"/>
      <c r="AK833" s="884">
        <f t="shared" ref="AK833" si="3129">AF833+AG833+AH833+AI833+AJ833+AC833</f>
        <v>0</v>
      </c>
      <c r="AL833" s="884">
        <v>0</v>
      </c>
      <c r="AM833" s="878" t="str">
        <f t="shared" ref="AM833" si="3130">IFERROR((AK833/AL833),"-")</f>
        <v>-</v>
      </c>
      <c r="AN833" s="2"/>
      <c r="AO833" s="884">
        <v>0</v>
      </c>
      <c r="AP833" s="884">
        <f t="shared" ref="AP833" si="3131">AO833-AK833</f>
        <v>0</v>
      </c>
      <c r="AV833" s="4" t="str">
        <f t="shared" si="2916"/>
        <v xml:space="preserve">Aterro e compactação </v>
      </c>
      <c r="AW833" s="4" t="str">
        <f t="shared" si="2914"/>
        <v xml:space="preserve">   Saldo remascente geral</v>
      </c>
      <c r="AX833" s="4"/>
    </row>
    <row r="834" spans="1:50" ht="21.6" customHeight="1">
      <c r="A834" s="545" t="str">
        <f t="shared" ref="A834" si="3132">A833</f>
        <v>N</v>
      </c>
      <c r="B834" s="526">
        <v>1070122</v>
      </c>
      <c r="C834" s="526" t="s">
        <v>1206</v>
      </c>
      <c r="D834" s="526"/>
      <c r="E834" s="893"/>
      <c r="F834" s="947"/>
      <c r="G834" s="559"/>
      <c r="H834" s="549" t="s">
        <v>38</v>
      </c>
      <c r="I834" s="711">
        <v>0</v>
      </c>
      <c r="J834" s="945"/>
      <c r="K834" s="559"/>
      <c r="L834" s="549" t="s">
        <v>38</v>
      </c>
      <c r="M834" s="711">
        <f t="shared" si="2926"/>
        <v>0</v>
      </c>
      <c r="N834" s="945"/>
      <c r="O834" s="559"/>
      <c r="P834" s="547">
        <v>0</v>
      </c>
      <c r="Q834" s="547">
        <v>0</v>
      </c>
      <c r="R834" s="547">
        <v>0</v>
      </c>
      <c r="S834" s="547">
        <v>0</v>
      </c>
      <c r="T834" s="547">
        <v>0</v>
      </c>
      <c r="U834" s="547">
        <v>0</v>
      </c>
      <c r="V834" s="547">
        <v>0</v>
      </c>
      <c r="W834" s="559"/>
      <c r="X834" s="711">
        <f t="shared" si="2918"/>
        <v>0</v>
      </c>
      <c r="Y834" s="945"/>
      <c r="Z834" s="559"/>
      <c r="AA834" s="899"/>
      <c r="AB834" s="899"/>
      <c r="AC834" s="899"/>
      <c r="AD834" s="901"/>
      <c r="AE834" s="94"/>
      <c r="AF834" s="885"/>
      <c r="AG834" s="949"/>
      <c r="AH834" s="885"/>
      <c r="AI834" s="949"/>
      <c r="AJ834" s="949"/>
      <c r="AK834" s="885"/>
      <c r="AL834" s="885"/>
      <c r="AM834" s="879"/>
      <c r="AN834" s="2"/>
      <c r="AO834" s="886"/>
      <c r="AP834" s="886"/>
      <c r="AV834" s="4" t="str">
        <f t="shared" si="2916"/>
        <v xml:space="preserve">Aterro e compactação </v>
      </c>
      <c r="AW834" s="4" t="str">
        <f t="shared" si="2914"/>
        <v xml:space="preserve">   Saldo remascente geral</v>
      </c>
      <c r="AX834" s="4"/>
    </row>
    <row r="835" spans="1:50" ht="21.6" customHeight="1">
      <c r="A835" s="545" t="str">
        <f t="shared" ref="A835" si="3133">IF(SUM(P835:V836)&gt;0,"S","N")</f>
        <v>N</v>
      </c>
      <c r="B835" s="526" t="s">
        <v>266</v>
      </c>
      <c r="C835" s="526" t="s">
        <v>266</v>
      </c>
      <c r="D835" s="526" t="s">
        <v>1208</v>
      </c>
      <c r="E835" s="892" t="s">
        <v>1209</v>
      </c>
      <c r="F835" s="946" t="s">
        <v>36</v>
      </c>
      <c r="G835" s="559"/>
      <c r="H835" s="546" t="s">
        <v>37</v>
      </c>
      <c r="I835" s="711">
        <v>0</v>
      </c>
      <c r="J835" s="944" t="str">
        <f t="shared" ref="J835" si="3134">IFERROR((I836/I835),"-")</f>
        <v>-</v>
      </c>
      <c r="K835" s="559"/>
      <c r="L835" s="546" t="s">
        <v>37</v>
      </c>
      <c r="M835" s="711">
        <f t="shared" si="2926"/>
        <v>0</v>
      </c>
      <c r="N835" s="944" t="str">
        <f t="shared" ref="N835" si="3135">IFERROR((M836/M835),"-")</f>
        <v>-</v>
      </c>
      <c r="O835" s="559"/>
      <c r="P835" s="547">
        <v>0</v>
      </c>
      <c r="Q835" s="547">
        <v>0</v>
      </c>
      <c r="R835" s="547">
        <v>0</v>
      </c>
      <c r="S835" s="547">
        <v>0</v>
      </c>
      <c r="T835" s="547">
        <v>0</v>
      </c>
      <c r="U835" s="547">
        <v>0</v>
      </c>
      <c r="V835" s="547">
        <v>0</v>
      </c>
      <c r="W835" s="559"/>
      <c r="X835" s="711">
        <f t="shared" si="2918"/>
        <v>0</v>
      </c>
      <c r="Y835" s="944" t="str">
        <f>IFERROR((X836/X835),"-")</f>
        <v>-</v>
      </c>
      <c r="Z835" s="559"/>
      <c r="AA835" s="898">
        <v>0</v>
      </c>
      <c r="AB835" s="898">
        <v>0</v>
      </c>
      <c r="AC835" s="898">
        <v>0</v>
      </c>
      <c r="AD835" s="900" t="str">
        <f t="shared" ref="AD835" si="3136">IFERROR((AC835/AB835),"-")</f>
        <v>-</v>
      </c>
      <c r="AE835" s="94"/>
      <c r="AF835" s="884">
        <v>0</v>
      </c>
      <c r="AG835" s="948"/>
      <c r="AH835" s="884">
        <v>0</v>
      </c>
      <c r="AI835" s="948"/>
      <c r="AJ835" s="948"/>
      <c r="AK835" s="884">
        <f t="shared" ref="AK835" si="3137">AF835+AG835+AH835+AI835+AJ835+AC835</f>
        <v>0</v>
      </c>
      <c r="AL835" s="884">
        <v>0</v>
      </c>
      <c r="AM835" s="878" t="str">
        <f t="shared" ref="AM835" si="3138">IFERROR((AK835/AL835),"-")</f>
        <v>-</v>
      </c>
      <c r="AN835" s="2"/>
      <c r="AO835" s="884">
        <v>0</v>
      </c>
      <c r="AP835" s="884">
        <f t="shared" ref="AP835" si="3139">AO835-AK835</f>
        <v>0</v>
      </c>
      <c r="AV835" t="str">
        <f t="shared" si="2916"/>
        <v xml:space="preserve">Aterro e compactação </v>
      </c>
      <c r="AW835" s="4" t="str">
        <f t="shared" si="2914"/>
        <v>Interseção - Bueiro da alça do pátio</v>
      </c>
    </row>
    <row r="836" spans="1:50" ht="15.6" customHeight="1">
      <c r="A836" s="545" t="str">
        <f t="shared" ref="A836" si="3140">A835</f>
        <v>N</v>
      </c>
      <c r="B836" s="526" t="s">
        <v>266</v>
      </c>
      <c r="C836" s="526" t="s">
        <v>266</v>
      </c>
      <c r="D836" s="526" t="s">
        <v>1208</v>
      </c>
      <c r="E836" s="893"/>
      <c r="F836" s="947"/>
      <c r="G836" s="559"/>
      <c r="H836" s="549" t="s">
        <v>38</v>
      </c>
      <c r="I836" s="711">
        <v>0</v>
      </c>
      <c r="J836" s="945"/>
      <c r="K836" s="559"/>
      <c r="L836" s="549" t="s">
        <v>38</v>
      </c>
      <c r="M836" s="711">
        <f t="shared" si="2926"/>
        <v>0</v>
      </c>
      <c r="N836" s="945"/>
      <c r="O836" s="559"/>
      <c r="P836" s="547">
        <v>0</v>
      </c>
      <c r="Q836" s="547">
        <v>0</v>
      </c>
      <c r="R836" s="547">
        <v>0</v>
      </c>
      <c r="S836" s="547">
        <v>0</v>
      </c>
      <c r="T836" s="547">
        <v>0</v>
      </c>
      <c r="U836" s="547">
        <v>0</v>
      </c>
      <c r="V836" s="547">
        <v>0</v>
      </c>
      <c r="W836" s="559"/>
      <c r="X836" s="711">
        <f t="shared" si="2918"/>
        <v>0</v>
      </c>
      <c r="Y836" s="945"/>
      <c r="Z836" s="559"/>
      <c r="AA836" s="899"/>
      <c r="AB836" s="899"/>
      <c r="AC836" s="899"/>
      <c r="AD836" s="901"/>
      <c r="AE836" s="94"/>
      <c r="AF836" s="885"/>
      <c r="AG836" s="949"/>
      <c r="AH836" s="885"/>
      <c r="AI836" s="949"/>
      <c r="AJ836" s="949"/>
      <c r="AK836" s="885"/>
      <c r="AL836" s="885"/>
      <c r="AM836" s="879"/>
      <c r="AN836" s="2"/>
      <c r="AO836" s="886"/>
      <c r="AP836" s="886"/>
      <c r="AV836" t="str">
        <f t="shared" si="2916"/>
        <v xml:space="preserve">Aterro e compactação </v>
      </c>
      <c r="AW836" s="4" t="str">
        <f t="shared" si="2914"/>
        <v>Interseção - Bueiro da alça do pátio</v>
      </c>
    </row>
    <row r="837" spans="1:50" ht="21.6" customHeight="1">
      <c r="A837" s="545" t="str">
        <f t="shared" ref="A837" si="3141">IF(SUM(P837:V838)&gt;0,"S","N")</f>
        <v>N</v>
      </c>
      <c r="B837" s="526" t="s">
        <v>266</v>
      </c>
      <c r="C837" s="526" t="s">
        <v>266</v>
      </c>
      <c r="D837" s="526" t="s">
        <v>1210</v>
      </c>
      <c r="E837" s="892" t="s">
        <v>1211</v>
      </c>
      <c r="F837" s="946" t="s">
        <v>36</v>
      </c>
      <c r="G837" s="559"/>
      <c r="H837" s="546" t="s">
        <v>37</v>
      </c>
      <c r="I837" s="711">
        <v>0</v>
      </c>
      <c r="J837" s="944" t="str">
        <f t="shared" ref="J837" si="3142">IFERROR((I838/I837),"-")</f>
        <v>-</v>
      </c>
      <c r="K837" s="559"/>
      <c r="L837" s="546" t="s">
        <v>37</v>
      </c>
      <c r="M837" s="711">
        <f t="shared" si="2926"/>
        <v>0</v>
      </c>
      <c r="N837" s="944" t="str">
        <f t="shared" ref="N837" si="3143">IFERROR((M838/M837),"-")</f>
        <v>-</v>
      </c>
      <c r="O837" s="559"/>
      <c r="P837" s="547">
        <v>0</v>
      </c>
      <c r="Q837" s="547">
        <v>0</v>
      </c>
      <c r="R837" s="547">
        <v>0</v>
      </c>
      <c r="S837" s="547">
        <v>0</v>
      </c>
      <c r="T837" s="547">
        <v>0</v>
      </c>
      <c r="U837" s="547">
        <v>0</v>
      </c>
      <c r="V837" s="547">
        <v>0</v>
      </c>
      <c r="W837" s="559"/>
      <c r="X837" s="711">
        <f t="shared" si="2918"/>
        <v>0</v>
      </c>
      <c r="Y837" s="944" t="str">
        <f>IFERROR((X838/X837),"-")</f>
        <v>-</v>
      </c>
      <c r="Z837" s="559"/>
      <c r="AA837" s="898">
        <v>0</v>
      </c>
      <c r="AB837" s="898">
        <v>0</v>
      </c>
      <c r="AC837" s="898">
        <v>1035.08</v>
      </c>
      <c r="AD837" s="900" t="str">
        <f t="shared" ref="AD837" si="3144">IFERROR((AC837/AB837),"-")</f>
        <v>-</v>
      </c>
      <c r="AE837" s="94"/>
      <c r="AF837" s="884">
        <v>0</v>
      </c>
      <c r="AG837" s="948"/>
      <c r="AH837" s="884">
        <v>0</v>
      </c>
      <c r="AI837" s="948"/>
      <c r="AJ837" s="948"/>
      <c r="AK837" s="884">
        <f t="shared" ref="AK837" si="3145">AF837+AG837+AH837+AI837+AJ837+AC837</f>
        <v>1035.08</v>
      </c>
      <c r="AL837" s="884">
        <v>0</v>
      </c>
      <c r="AM837" s="878" t="str">
        <f t="shared" ref="AM837" si="3146">IFERROR((AK837/AL837),"-")</f>
        <v>-</v>
      </c>
      <c r="AN837" s="2"/>
      <c r="AO837" s="884">
        <v>0</v>
      </c>
      <c r="AP837" s="884">
        <f t="shared" ref="AP837" si="3147">AO837-AK837</f>
        <v>-1035.08</v>
      </c>
      <c r="AV837" t="str">
        <f t="shared" si="2916"/>
        <v xml:space="preserve">Aterro e compactação </v>
      </c>
      <c r="AW837" s="4" t="str">
        <f t="shared" si="2914"/>
        <v>Corpo de Aterro - Corte 01 (Reforço de Subleito)</v>
      </c>
    </row>
    <row r="838" spans="1:50" ht="15.6" customHeight="1">
      <c r="A838" s="545" t="str">
        <f t="shared" ref="A838" si="3148">A837</f>
        <v>N</v>
      </c>
      <c r="B838" s="526" t="s">
        <v>266</v>
      </c>
      <c r="C838" s="526" t="s">
        <v>266</v>
      </c>
      <c r="D838" s="526" t="s">
        <v>1210</v>
      </c>
      <c r="E838" s="893"/>
      <c r="F838" s="947"/>
      <c r="G838" s="559"/>
      <c r="H838" s="549" t="s">
        <v>38</v>
      </c>
      <c r="I838" s="711">
        <v>1035.08</v>
      </c>
      <c r="J838" s="945"/>
      <c r="K838" s="559"/>
      <c r="L838" s="549" t="s">
        <v>38</v>
      </c>
      <c r="M838" s="711">
        <f t="shared" si="2926"/>
        <v>0</v>
      </c>
      <c r="N838" s="945"/>
      <c r="O838" s="559"/>
      <c r="P838" s="547">
        <v>0</v>
      </c>
      <c r="Q838" s="547">
        <v>0</v>
      </c>
      <c r="R838" s="547">
        <v>0</v>
      </c>
      <c r="S838" s="547">
        <v>0</v>
      </c>
      <c r="T838" s="547">
        <v>0</v>
      </c>
      <c r="U838" s="547">
        <v>0</v>
      </c>
      <c r="V838" s="547">
        <v>0</v>
      </c>
      <c r="W838" s="559"/>
      <c r="X838" s="711">
        <f t="shared" si="2918"/>
        <v>0</v>
      </c>
      <c r="Y838" s="945"/>
      <c r="Z838" s="559"/>
      <c r="AA838" s="899"/>
      <c r="AB838" s="899"/>
      <c r="AC838" s="899"/>
      <c r="AD838" s="901"/>
      <c r="AE838" s="94"/>
      <c r="AF838" s="885"/>
      <c r="AG838" s="949"/>
      <c r="AH838" s="885"/>
      <c r="AI838" s="949"/>
      <c r="AJ838" s="949"/>
      <c r="AK838" s="885"/>
      <c r="AL838" s="885"/>
      <c r="AM838" s="879"/>
      <c r="AN838" s="2"/>
      <c r="AO838" s="886"/>
      <c r="AP838" s="886"/>
      <c r="AV838" t="str">
        <f t="shared" si="2916"/>
        <v xml:space="preserve">Aterro e compactação </v>
      </c>
      <c r="AW838" s="4" t="str">
        <f t="shared" si="2914"/>
        <v>Corpo de Aterro - Corte 01 (Reforço de Subleito)</v>
      </c>
    </row>
    <row r="839" spans="1:50" ht="15.6" customHeight="1">
      <c r="A839" s="545" t="str">
        <f t="shared" ref="A839" si="3149">IF(SUM(P839:V840)&gt;0,"S","N")</f>
        <v>N</v>
      </c>
      <c r="B839" s="526" t="s">
        <v>266</v>
      </c>
      <c r="C839" s="526" t="s">
        <v>266</v>
      </c>
      <c r="D839" s="526" t="s">
        <v>1212</v>
      </c>
      <c r="E839" s="892" t="s">
        <v>1213</v>
      </c>
      <c r="F839" s="946" t="s">
        <v>36</v>
      </c>
      <c r="G839" s="559"/>
      <c r="H839" s="546" t="s">
        <v>37</v>
      </c>
      <c r="I839" s="711">
        <v>0</v>
      </c>
      <c r="J839" s="944" t="str">
        <f t="shared" ref="J839" si="3150">IFERROR((I840/I839),"-")</f>
        <v>-</v>
      </c>
      <c r="K839" s="559"/>
      <c r="L839" s="546" t="s">
        <v>37</v>
      </c>
      <c r="M839" s="711">
        <f t="shared" si="2926"/>
        <v>0</v>
      </c>
      <c r="N839" s="944" t="str">
        <f t="shared" ref="N839" si="3151">IFERROR((M840/M839),"-")</f>
        <v>-</v>
      </c>
      <c r="O839" s="559"/>
      <c r="P839" s="547">
        <v>0</v>
      </c>
      <c r="Q839" s="547">
        <v>0</v>
      </c>
      <c r="R839" s="547">
        <v>0</v>
      </c>
      <c r="S839" s="547">
        <v>0</v>
      </c>
      <c r="T839" s="547">
        <v>0</v>
      </c>
      <c r="U839" s="547">
        <v>0</v>
      </c>
      <c r="V839" s="547">
        <v>0</v>
      </c>
      <c r="W839" s="559"/>
      <c r="X839" s="711">
        <f t="shared" si="2918"/>
        <v>0</v>
      </c>
      <c r="Y839" s="944" t="str">
        <f>IFERROR((X840/X839),"-")</f>
        <v>-</v>
      </c>
      <c r="Z839" s="559"/>
      <c r="AA839" s="898">
        <v>0</v>
      </c>
      <c r="AB839" s="898">
        <v>0</v>
      </c>
      <c r="AC839" s="898">
        <v>0</v>
      </c>
      <c r="AD839" s="900" t="str">
        <f t="shared" ref="AD839" si="3152">IFERROR((AC839/AB839),"-")</f>
        <v>-</v>
      </c>
      <c r="AE839" s="94"/>
      <c r="AF839" s="884">
        <v>0</v>
      </c>
      <c r="AG839" s="948"/>
      <c r="AH839" s="884">
        <v>0</v>
      </c>
      <c r="AI839" s="948"/>
      <c r="AJ839" s="948"/>
      <c r="AK839" s="884">
        <f t="shared" ref="AK839" si="3153">AF839+AG839+AH839+AI839+AJ839+AC839</f>
        <v>0</v>
      </c>
      <c r="AL839" s="884">
        <v>0</v>
      </c>
      <c r="AM839" s="878" t="str">
        <f t="shared" ref="AM839" si="3154">IFERROR((AK839/AL839),"-")</f>
        <v>-</v>
      </c>
      <c r="AN839" s="2"/>
      <c r="AO839" s="884">
        <v>0</v>
      </c>
      <c r="AP839" s="884">
        <f t="shared" ref="AP839" si="3155">AO839-AK839</f>
        <v>0</v>
      </c>
      <c r="AV839" t="str">
        <f t="shared" si="2916"/>
        <v xml:space="preserve">Aterro e compactação </v>
      </c>
      <c r="AW839" s="4" t="str">
        <f t="shared" si="2914"/>
        <v>Corpo de Aterro - Corte 08</v>
      </c>
    </row>
    <row r="840" spans="1:50" ht="32.25" customHeight="1">
      <c r="A840" s="545" t="str">
        <f t="shared" ref="A840" si="3156">A839</f>
        <v>N</v>
      </c>
      <c r="B840" s="526" t="s">
        <v>266</v>
      </c>
      <c r="C840" s="526" t="s">
        <v>266</v>
      </c>
      <c r="D840" s="526" t="s">
        <v>1212</v>
      </c>
      <c r="E840" s="893"/>
      <c r="F840" s="947"/>
      <c r="G840" s="559"/>
      <c r="H840" s="549" t="s">
        <v>38</v>
      </c>
      <c r="I840" s="711">
        <v>0</v>
      </c>
      <c r="J840" s="945"/>
      <c r="K840" s="559"/>
      <c r="L840" s="549" t="s">
        <v>38</v>
      </c>
      <c r="M840" s="711">
        <f t="shared" si="2926"/>
        <v>0</v>
      </c>
      <c r="N840" s="945"/>
      <c r="O840" s="559"/>
      <c r="P840" s="547">
        <v>0</v>
      </c>
      <c r="Q840" s="547">
        <v>0</v>
      </c>
      <c r="R840" s="547">
        <v>0</v>
      </c>
      <c r="S840" s="547">
        <v>0</v>
      </c>
      <c r="T840" s="547">
        <v>0</v>
      </c>
      <c r="U840" s="547">
        <v>0</v>
      </c>
      <c r="V840" s="547">
        <v>0</v>
      </c>
      <c r="W840" s="559"/>
      <c r="X840" s="711">
        <f t="shared" si="2918"/>
        <v>0</v>
      </c>
      <c r="Y840" s="945"/>
      <c r="Z840" s="559"/>
      <c r="AA840" s="899"/>
      <c r="AB840" s="899"/>
      <c r="AC840" s="899"/>
      <c r="AD840" s="901"/>
      <c r="AE840" s="94"/>
      <c r="AF840" s="885"/>
      <c r="AG840" s="949"/>
      <c r="AH840" s="885"/>
      <c r="AI840" s="949"/>
      <c r="AJ840" s="949"/>
      <c r="AK840" s="885"/>
      <c r="AL840" s="885"/>
      <c r="AM840" s="879"/>
      <c r="AN840" s="2"/>
      <c r="AO840" s="886"/>
      <c r="AP840" s="886"/>
      <c r="AV840" t="str">
        <f>IF(AX840="Y",LEFT(E840,20),IF(AX840="x",E840,AV839))</f>
        <v xml:space="preserve">Aterro e compactação </v>
      </c>
      <c r="AW840" t="str">
        <f t="shared" si="2914"/>
        <v>Corpo de Aterro - Corte 08</v>
      </c>
    </row>
    <row r="841" spans="1:50" ht="32.25" customHeight="1">
      <c r="A841" s="545" t="str">
        <f t="shared" ref="A841" si="3157">IF(SUM(P841:V842)&gt;0,"S","N")</f>
        <v>N</v>
      </c>
      <c r="B841" s="526" t="s">
        <v>266</v>
      </c>
      <c r="C841" s="526" t="s">
        <v>266</v>
      </c>
      <c r="D841" s="526" t="s">
        <v>1214</v>
      </c>
      <c r="E841" s="892" t="s">
        <v>1215</v>
      </c>
      <c r="F841" s="946" t="s">
        <v>36</v>
      </c>
      <c r="G841" s="559"/>
      <c r="H841" s="546" t="s">
        <v>37</v>
      </c>
      <c r="I841" s="711">
        <v>0</v>
      </c>
      <c r="J841" s="944" t="str">
        <f t="shared" ref="J841" si="3158">IFERROR((I842/I841),"-")</f>
        <v>-</v>
      </c>
      <c r="K841" s="559"/>
      <c r="L841" s="546" t="s">
        <v>37</v>
      </c>
      <c r="M841" s="711">
        <f t="shared" si="2926"/>
        <v>0</v>
      </c>
      <c r="N841" s="944" t="str">
        <f t="shared" ref="N841" si="3159">IFERROR((M842/M841),"-")</f>
        <v>-</v>
      </c>
      <c r="O841" s="559"/>
      <c r="P841" s="547">
        <v>0</v>
      </c>
      <c r="Q841" s="547">
        <v>0</v>
      </c>
      <c r="R841" s="547">
        <v>0</v>
      </c>
      <c r="S841" s="547">
        <v>0</v>
      </c>
      <c r="T841" s="547">
        <v>0</v>
      </c>
      <c r="U841" s="547">
        <v>0</v>
      </c>
      <c r="V841" s="547">
        <v>0</v>
      </c>
      <c r="W841" s="559"/>
      <c r="X841" s="711">
        <f t="shared" si="2918"/>
        <v>0</v>
      </c>
      <c r="Y841" s="944" t="str">
        <f>IFERROR((X842/X841),"-")</f>
        <v>-</v>
      </c>
      <c r="Z841" s="559"/>
      <c r="AA841" s="898">
        <v>0</v>
      </c>
      <c r="AB841" s="898">
        <v>0</v>
      </c>
      <c r="AC841" s="898">
        <v>0</v>
      </c>
      <c r="AD841" s="900" t="str">
        <f t="shared" ref="AD841" si="3160">IFERROR((AC841/AB841),"-")</f>
        <v>-</v>
      </c>
      <c r="AE841" s="94"/>
      <c r="AF841" s="884">
        <v>0</v>
      </c>
      <c r="AG841" s="948"/>
      <c r="AH841" s="884">
        <v>0</v>
      </c>
      <c r="AI841" s="948"/>
      <c r="AJ841" s="948"/>
      <c r="AK841" s="884">
        <f t="shared" ref="AK841" si="3161">AF841+AG841+AH841+AI841+AJ841+AC841</f>
        <v>0</v>
      </c>
      <c r="AL841" s="884">
        <v>0</v>
      </c>
      <c r="AM841" s="878" t="str">
        <f t="shared" ref="AM841" si="3162">IFERROR((AK841/AL841),"-")</f>
        <v>-</v>
      </c>
      <c r="AN841" s="2"/>
      <c r="AO841" s="884">
        <v>0</v>
      </c>
      <c r="AP841" s="884">
        <f t="shared" ref="AP841" si="3163">AO841-AK841</f>
        <v>0</v>
      </c>
      <c r="AV841" t="str">
        <f t="shared" si="2916"/>
        <v xml:space="preserve">Aterro e compactação </v>
      </c>
      <c r="AW841" s="4" t="str">
        <f t="shared" ref="AW841:AW904" si="3164">IF(E841&lt;&gt;"",E841,AW840)</f>
        <v>ADME - Corte 3</v>
      </c>
    </row>
    <row r="842" spans="1:50" ht="15" customHeight="1">
      <c r="A842" s="545" t="str">
        <f t="shared" ref="A842" si="3165">A841</f>
        <v>N</v>
      </c>
      <c r="B842" s="526" t="s">
        <v>266</v>
      </c>
      <c r="C842" s="526" t="s">
        <v>266</v>
      </c>
      <c r="D842" s="526" t="s">
        <v>1214</v>
      </c>
      <c r="E842" s="893"/>
      <c r="F842" s="947"/>
      <c r="G842" s="559"/>
      <c r="H842" s="549" t="s">
        <v>38</v>
      </c>
      <c r="I842" s="711">
        <v>0</v>
      </c>
      <c r="J842" s="945"/>
      <c r="K842" s="559"/>
      <c r="L842" s="549" t="s">
        <v>38</v>
      </c>
      <c r="M842" s="711">
        <f t="shared" si="2926"/>
        <v>0</v>
      </c>
      <c r="N842" s="945"/>
      <c r="O842" s="559"/>
      <c r="P842" s="547">
        <v>0</v>
      </c>
      <c r="Q842" s="547">
        <v>0</v>
      </c>
      <c r="R842" s="547">
        <v>0</v>
      </c>
      <c r="S842" s="547">
        <v>0</v>
      </c>
      <c r="T842" s="547">
        <v>0</v>
      </c>
      <c r="U842" s="547">
        <v>0</v>
      </c>
      <c r="V842" s="547">
        <v>0</v>
      </c>
      <c r="W842" s="559"/>
      <c r="X842" s="711">
        <f t="shared" si="2918"/>
        <v>0</v>
      </c>
      <c r="Y842" s="945"/>
      <c r="Z842" s="559"/>
      <c r="AA842" s="899"/>
      <c r="AB842" s="899"/>
      <c r="AC842" s="899"/>
      <c r="AD842" s="901"/>
      <c r="AE842" s="94"/>
      <c r="AF842" s="885"/>
      <c r="AG842" s="949"/>
      <c r="AH842" s="885"/>
      <c r="AI842" s="949"/>
      <c r="AJ842" s="949"/>
      <c r="AK842" s="885"/>
      <c r="AL842" s="885"/>
      <c r="AM842" s="879"/>
      <c r="AN842" s="2"/>
      <c r="AO842" s="886"/>
      <c r="AP842" s="886"/>
      <c r="AV842" t="str">
        <f t="shared" ref="AV842:AV905" si="3166">IF(AX842="Y",LEFT(E842,20),IF(AX842="x",E842,AV841))</f>
        <v xml:space="preserve">Aterro e compactação </v>
      </c>
      <c r="AW842" s="4" t="str">
        <f t="shared" si="3164"/>
        <v>ADME - Corte 3</v>
      </c>
    </row>
    <row r="843" spans="1:50" ht="15" customHeight="1">
      <c r="A843" s="545" t="str">
        <f t="shared" ref="A843" si="3167">IF(SUM(P843:V844)&gt;0,"S","N")</f>
        <v>N</v>
      </c>
      <c r="B843" s="526" t="s">
        <v>266</v>
      </c>
      <c r="C843" s="526" t="s">
        <v>266</v>
      </c>
      <c r="D843" s="526" t="s">
        <v>1216</v>
      </c>
      <c r="E843" s="892" t="s">
        <v>1217</v>
      </c>
      <c r="F843" s="946" t="s">
        <v>36</v>
      </c>
      <c r="G843" s="559"/>
      <c r="H843" s="546" t="s">
        <v>37</v>
      </c>
      <c r="I843" s="711">
        <v>0</v>
      </c>
      <c r="J843" s="944" t="str">
        <f t="shared" ref="J843" si="3168">IFERROR((I844/I843),"-")</f>
        <v>-</v>
      </c>
      <c r="K843" s="559"/>
      <c r="L843" s="546" t="s">
        <v>37</v>
      </c>
      <c r="M843" s="711">
        <f t="shared" si="2926"/>
        <v>0</v>
      </c>
      <c r="N843" s="944" t="str">
        <f t="shared" ref="N843" si="3169">IFERROR((M844/M843),"-")</f>
        <v>-</v>
      </c>
      <c r="O843" s="559"/>
      <c r="P843" s="547">
        <v>0</v>
      </c>
      <c r="Q843" s="547">
        <v>0</v>
      </c>
      <c r="R843" s="547">
        <v>0</v>
      </c>
      <c r="S843" s="547">
        <v>0</v>
      </c>
      <c r="T843" s="547">
        <v>0</v>
      </c>
      <c r="U843" s="547">
        <v>0</v>
      </c>
      <c r="V843" s="547">
        <v>0</v>
      </c>
      <c r="W843" s="559"/>
      <c r="X843" s="711">
        <f t="shared" si="2918"/>
        <v>0</v>
      </c>
      <c r="Y843" s="944" t="str">
        <f>IFERROR((X844/X843),"-")</f>
        <v>-</v>
      </c>
      <c r="Z843" s="559"/>
      <c r="AA843" s="898">
        <v>0</v>
      </c>
      <c r="AB843" s="898">
        <v>0</v>
      </c>
      <c r="AC843" s="898">
        <v>0</v>
      </c>
      <c r="AD843" s="900" t="str">
        <f t="shared" ref="AD843" si="3170">IFERROR((AC843/AB843),"-")</f>
        <v>-</v>
      </c>
      <c r="AE843" s="94"/>
      <c r="AF843" s="884">
        <v>0</v>
      </c>
      <c r="AG843" s="948"/>
      <c r="AH843" s="884">
        <v>0</v>
      </c>
      <c r="AI843" s="948"/>
      <c r="AJ843" s="948"/>
      <c r="AK843" s="884">
        <f t="shared" ref="AK843" si="3171">AF843+AG843+AH843+AI843+AJ843+AC843</f>
        <v>0</v>
      </c>
      <c r="AL843" s="884">
        <v>0</v>
      </c>
      <c r="AM843" s="878" t="str">
        <f t="shared" ref="AM843" si="3172">IFERROR((AK843/AL843),"-")</f>
        <v>-</v>
      </c>
      <c r="AN843" s="2"/>
      <c r="AO843" s="884">
        <v>0</v>
      </c>
      <c r="AP843" s="884">
        <f t="shared" ref="AP843" si="3173">AO843-AK843</f>
        <v>0</v>
      </c>
      <c r="AV843" t="str">
        <f t="shared" si="2916"/>
        <v xml:space="preserve">Aterro e compactação </v>
      </c>
      <c r="AW843" s="4" t="str">
        <f t="shared" si="3164"/>
        <v>Corpo de Aterro - Corte 01</v>
      </c>
    </row>
    <row r="844" spans="1:50" ht="36" customHeight="1">
      <c r="A844" s="545" t="str">
        <f t="shared" ref="A844" si="3174">A843</f>
        <v>N</v>
      </c>
      <c r="B844" s="526" t="s">
        <v>266</v>
      </c>
      <c r="C844" s="526" t="s">
        <v>266</v>
      </c>
      <c r="D844" s="526" t="s">
        <v>1216</v>
      </c>
      <c r="E844" s="893"/>
      <c r="F844" s="947"/>
      <c r="G844" s="559"/>
      <c r="H844" s="549" t="s">
        <v>38</v>
      </c>
      <c r="I844" s="711">
        <v>0</v>
      </c>
      <c r="J844" s="945"/>
      <c r="K844" s="559"/>
      <c r="L844" s="549" t="s">
        <v>38</v>
      </c>
      <c r="M844" s="711">
        <f t="shared" si="2926"/>
        <v>0</v>
      </c>
      <c r="N844" s="945"/>
      <c r="O844" s="559"/>
      <c r="P844" s="547">
        <v>0</v>
      </c>
      <c r="Q844" s="547">
        <v>0</v>
      </c>
      <c r="R844" s="547">
        <v>0</v>
      </c>
      <c r="S844" s="547">
        <v>0</v>
      </c>
      <c r="T844" s="547">
        <v>0</v>
      </c>
      <c r="U844" s="547">
        <v>0</v>
      </c>
      <c r="V844" s="547">
        <v>0</v>
      </c>
      <c r="W844" s="559"/>
      <c r="X844" s="711">
        <f t="shared" si="2918"/>
        <v>0</v>
      </c>
      <c r="Y844" s="945"/>
      <c r="Z844" s="559"/>
      <c r="AA844" s="899"/>
      <c r="AB844" s="899"/>
      <c r="AC844" s="899"/>
      <c r="AD844" s="901"/>
      <c r="AE844" s="94"/>
      <c r="AF844" s="885"/>
      <c r="AG844" s="949"/>
      <c r="AH844" s="885"/>
      <c r="AI844" s="949"/>
      <c r="AJ844" s="949"/>
      <c r="AK844" s="885"/>
      <c r="AL844" s="885"/>
      <c r="AM844" s="879"/>
      <c r="AN844" s="2"/>
      <c r="AO844" s="886"/>
      <c r="AP844" s="886"/>
      <c r="AV844" t="str">
        <f t="shared" ref="AV844" si="3175">IF(AX844="Y",LEFT(E844,20),IF(AX844="x",E844,AV843))</f>
        <v xml:space="preserve">Aterro e compactação </v>
      </c>
      <c r="AW844" t="str">
        <f t="shared" si="3164"/>
        <v>Corpo de Aterro - Corte 01</v>
      </c>
    </row>
    <row r="845" spans="1:50" ht="36" customHeight="1">
      <c r="A845" s="545" t="str">
        <f t="shared" ref="A845" si="3176">IF(SUM(P845:V846)&gt;0,"S","N")</f>
        <v>N</v>
      </c>
      <c r="B845" s="526" t="s">
        <v>266</v>
      </c>
      <c r="C845" s="526" t="s">
        <v>266</v>
      </c>
      <c r="D845" s="526" t="s">
        <v>1218</v>
      </c>
      <c r="E845" s="892" t="s">
        <v>1219</v>
      </c>
      <c r="F845" s="946" t="s">
        <v>36</v>
      </c>
      <c r="G845" s="559"/>
      <c r="H845" s="546" t="s">
        <v>37</v>
      </c>
      <c r="I845" s="711">
        <v>0</v>
      </c>
      <c r="J845" s="944" t="str">
        <f t="shared" ref="J845" si="3177">IFERROR((I846/I845),"-")</f>
        <v>-</v>
      </c>
      <c r="K845" s="559"/>
      <c r="L845" s="546" t="s">
        <v>37</v>
      </c>
      <c r="M845" s="711">
        <f t="shared" si="2926"/>
        <v>0</v>
      </c>
      <c r="N845" s="944" t="str">
        <f t="shared" ref="N845" si="3178">IFERROR((M846/M845),"-")</f>
        <v>-</v>
      </c>
      <c r="O845" s="559"/>
      <c r="P845" s="547">
        <v>0</v>
      </c>
      <c r="Q845" s="547">
        <v>0</v>
      </c>
      <c r="R845" s="547">
        <v>0</v>
      </c>
      <c r="S845" s="547">
        <v>0</v>
      </c>
      <c r="T845" s="547">
        <v>0</v>
      </c>
      <c r="U845" s="547">
        <v>0</v>
      </c>
      <c r="V845" s="547">
        <v>0</v>
      </c>
      <c r="W845" s="559"/>
      <c r="X845" s="711">
        <f t="shared" ref="X845:X846" si="3179">SUMIFS(P845:V845,$P$8:$V$8,"&gt;="&amp;$P$8,$P$8:$V$8,"&lt;="&amp;$N$8)</f>
        <v>0</v>
      </c>
      <c r="Y845" s="944" t="str">
        <f>IFERROR((X846/X845),"-")</f>
        <v>-</v>
      </c>
      <c r="Z845" s="559"/>
      <c r="AA845" s="898">
        <v>0</v>
      </c>
      <c r="AB845" s="898">
        <v>0</v>
      </c>
      <c r="AC845" s="898">
        <v>0</v>
      </c>
      <c r="AD845" s="900" t="str">
        <f t="shared" ref="AD845" si="3180">IFERROR((AC845/AB845),"-")</f>
        <v>-</v>
      </c>
      <c r="AE845" s="94"/>
      <c r="AF845" s="884">
        <v>0</v>
      </c>
      <c r="AG845" s="948"/>
      <c r="AH845" s="884">
        <v>0</v>
      </c>
      <c r="AI845" s="948"/>
      <c r="AJ845" s="948"/>
      <c r="AK845" s="884">
        <f t="shared" ref="AK845" si="3181">AF845+AG845+AH845+AI845+AJ845+AC845</f>
        <v>0</v>
      </c>
      <c r="AL845" s="884">
        <v>0</v>
      </c>
      <c r="AM845" s="878" t="str">
        <f t="shared" ref="AM845" si="3182">IFERROR((AK845/AL845),"-")</f>
        <v>-</v>
      </c>
      <c r="AN845" s="2"/>
      <c r="AO845" s="884">
        <v>0</v>
      </c>
      <c r="AP845" s="884">
        <f t="shared" ref="AP845" si="3183">AO845-AK845</f>
        <v>0</v>
      </c>
      <c r="AV845" t="str">
        <f t="shared" si="3166"/>
        <v xml:space="preserve">Aterro e compactação </v>
      </c>
      <c r="AW845" s="4" t="str">
        <f t="shared" si="3164"/>
        <v>Corpo de Aterro - Corte 07</v>
      </c>
    </row>
    <row r="846" spans="1:50" ht="15.6" customHeight="1" outlineLevel="1">
      <c r="A846" s="545" t="str">
        <f t="shared" ref="A846" si="3184">A845</f>
        <v>N</v>
      </c>
      <c r="B846" s="526" t="s">
        <v>266</v>
      </c>
      <c r="C846" s="526" t="s">
        <v>266</v>
      </c>
      <c r="D846" s="526" t="s">
        <v>1218</v>
      </c>
      <c r="E846" s="893"/>
      <c r="F846" s="947"/>
      <c r="G846" s="559"/>
      <c r="H846" s="549" t="s">
        <v>38</v>
      </c>
      <c r="I846" s="711">
        <v>0</v>
      </c>
      <c r="J846" s="945"/>
      <c r="K846" s="559"/>
      <c r="L846" s="549" t="s">
        <v>38</v>
      </c>
      <c r="M846" s="711">
        <f t="shared" si="2926"/>
        <v>0</v>
      </c>
      <c r="N846" s="945"/>
      <c r="O846" s="559"/>
      <c r="P846" s="547">
        <v>0</v>
      </c>
      <c r="Q846" s="547">
        <v>0</v>
      </c>
      <c r="R846" s="547">
        <v>0</v>
      </c>
      <c r="S846" s="547">
        <v>0</v>
      </c>
      <c r="T846" s="547">
        <v>0</v>
      </c>
      <c r="U846" s="547">
        <v>0</v>
      </c>
      <c r="V846" s="547">
        <v>0</v>
      </c>
      <c r="W846" s="559"/>
      <c r="X846" s="711">
        <f t="shared" si="3179"/>
        <v>0</v>
      </c>
      <c r="Y846" s="945"/>
      <c r="Z846" s="559"/>
      <c r="AA846" s="899"/>
      <c r="AB846" s="899"/>
      <c r="AC846" s="899"/>
      <c r="AD846" s="901"/>
      <c r="AE846" s="94"/>
      <c r="AF846" s="885"/>
      <c r="AG846" s="949"/>
      <c r="AH846" s="885"/>
      <c r="AI846" s="949"/>
      <c r="AJ846" s="949"/>
      <c r="AK846" s="885"/>
      <c r="AL846" s="885"/>
      <c r="AM846" s="879"/>
      <c r="AN846" s="2"/>
      <c r="AO846" s="886"/>
      <c r="AP846" s="886"/>
      <c r="AV846" t="str">
        <f t="shared" si="3166"/>
        <v xml:space="preserve">Aterro e compactação </v>
      </c>
      <c r="AW846" s="4" t="str">
        <f t="shared" si="3164"/>
        <v>Corpo de Aterro - Corte 07</v>
      </c>
    </row>
    <row r="847" spans="1:50" ht="15.6" customHeight="1" outlineLevel="2">
      <c r="A847" s="525">
        <v>0</v>
      </c>
      <c r="B847" s="526"/>
      <c r="C847" s="526"/>
      <c r="D847" s="534"/>
      <c r="E847" s="535"/>
      <c r="F847" s="541"/>
      <c r="G847" s="537"/>
      <c r="H847" s="537"/>
      <c r="I847" s="250"/>
      <c r="J847" s="537"/>
      <c r="K847" s="537"/>
      <c r="L847" s="537"/>
      <c r="M847" s="250"/>
      <c r="N847" s="537"/>
      <c r="O847" s="537"/>
      <c r="P847" s="539"/>
      <c r="Q847" s="539"/>
      <c r="R847" s="539"/>
      <c r="S847" s="539"/>
      <c r="T847" s="539"/>
      <c r="U847" s="539"/>
      <c r="V847" s="539"/>
      <c r="W847" s="537"/>
      <c r="X847" s="540"/>
      <c r="Y847" s="537"/>
      <c r="Z847" s="537"/>
      <c r="AA847" s="250"/>
      <c r="AB847" s="250"/>
      <c r="AC847" s="249"/>
      <c r="AD847" s="537"/>
      <c r="AE847" s="3"/>
      <c r="AF847" s="36"/>
      <c r="AG847" s="36"/>
      <c r="AH847" s="36"/>
      <c r="AI847" s="36"/>
      <c r="AJ847" s="36"/>
      <c r="AK847" s="36"/>
      <c r="AL847" s="36"/>
      <c r="AM847" s="3"/>
      <c r="AN847" s="3"/>
      <c r="AO847" s="36"/>
      <c r="AP847" s="36"/>
      <c r="AV847" t="str">
        <f t="shared" si="3166"/>
        <v xml:space="preserve">Aterro e compactação </v>
      </c>
      <c r="AW847" s="4" t="str">
        <f t="shared" si="3164"/>
        <v>Corpo de Aterro - Corte 07</v>
      </c>
    </row>
    <row r="848" spans="1:50" ht="24" customHeight="1" outlineLevel="2">
      <c r="A848" s="525">
        <v>0</v>
      </c>
      <c r="B848" s="526"/>
      <c r="C848" s="526"/>
      <c r="D848" s="558"/>
      <c r="E848" s="870" t="s">
        <v>1220</v>
      </c>
      <c r="F848" s="894" t="s">
        <v>36</v>
      </c>
      <c r="G848" s="528"/>
      <c r="H848" s="529" t="s">
        <v>37</v>
      </c>
      <c r="I848" s="532">
        <f>I886+I851+I924+I941+I971</f>
        <v>12500</v>
      </c>
      <c r="J848" s="900">
        <f>IFERROR((I849/I848),"-")</f>
        <v>0.504</v>
      </c>
      <c r="K848" s="528"/>
      <c r="L848" s="529" t="s">
        <v>37</v>
      </c>
      <c r="M848" s="532">
        <f>M886+M851+M924+M941+M971</f>
        <v>1575</v>
      </c>
      <c r="N848" s="900">
        <f>IFERROR((M849/M848),"-")</f>
        <v>0.33333333333333331</v>
      </c>
      <c r="O848" s="528"/>
      <c r="P848" s="532">
        <f t="shared" ref="P848:V849" si="3185">P886+P851+P924+P941+P971</f>
        <v>1575</v>
      </c>
      <c r="Q848" s="532">
        <f t="shared" si="3185"/>
        <v>1575</v>
      </c>
      <c r="R848" s="532">
        <f t="shared" si="3185"/>
        <v>1575</v>
      </c>
      <c r="S848" s="532">
        <f t="shared" si="3185"/>
        <v>1575</v>
      </c>
      <c r="T848" s="532">
        <f t="shared" si="3185"/>
        <v>1350</v>
      </c>
      <c r="U848" s="532">
        <f t="shared" si="3185"/>
        <v>1350</v>
      </c>
      <c r="V848" s="532">
        <f t="shared" si="3185"/>
        <v>0</v>
      </c>
      <c r="W848" s="528"/>
      <c r="X848" s="707">
        <f>SUMIFS(P848:V848,$P$8:$V$8,"&gt;="&amp;$P$8,$P$8:$V$8,"&lt;="&amp;$N$8)</f>
        <v>3150</v>
      </c>
      <c r="Y848" s="900">
        <f>IFERROR((X849/X848),"-")</f>
        <v>0.5</v>
      </c>
      <c r="Z848" s="528"/>
      <c r="AA848" s="755">
        <f>AA851+AA886+AA924+AA941+AA971</f>
        <v>90415.55</v>
      </c>
      <c r="AB848" s="989">
        <f>AB851+AB886+AB924+AB941+AB971</f>
        <v>20321.329999999998</v>
      </c>
      <c r="AC848" s="989">
        <f>AC851+AC886+AC924+AC941+AC971</f>
        <v>13725</v>
      </c>
      <c r="AD848" s="900">
        <f t="shared" ref="AD848" si="3186">IFERROR((AC848/AB848),"-")</f>
        <v>0.6753987066791397</v>
      </c>
      <c r="AE848" s="528"/>
      <c r="AF848" s="755">
        <f t="shared" ref="AF848:AL848" si="3187">AF851+AF886+AF924+AF941+AF971</f>
        <v>2901.902</v>
      </c>
      <c r="AG848" s="755">
        <f t="shared" si="3187"/>
        <v>3417.9539999999997</v>
      </c>
      <c r="AH848" s="755">
        <f t="shared" si="3187"/>
        <v>11550</v>
      </c>
      <c r="AI848" s="755">
        <f t="shared" si="3187"/>
        <v>1804.17</v>
      </c>
      <c r="AJ848" s="755">
        <f t="shared" si="3187"/>
        <v>2266.2660000000001</v>
      </c>
      <c r="AK848" s="755">
        <f t="shared" si="3187"/>
        <v>35665.292000000001</v>
      </c>
      <c r="AL848" s="755">
        <f t="shared" si="3187"/>
        <v>112950.40000000002</v>
      </c>
      <c r="AM848" s="900">
        <f>IFERROR((AK848/AL848),"-")</f>
        <v>0.31576065246338209</v>
      </c>
      <c r="AN848" s="528"/>
      <c r="AO848" s="755">
        <f>AO851+AO886+AO924+AO941+AO971</f>
        <v>299783.50000000006</v>
      </c>
      <c r="AP848" s="755">
        <f>AP851+AP886+AP924+AP941+AP971</f>
        <v>264118.20800000004</v>
      </c>
      <c r="AV848" s="275" t="str">
        <f t="shared" si="3166"/>
        <v>Sobrelargura</v>
      </c>
      <c r="AW848" s="275" t="str">
        <f t="shared" si="3164"/>
        <v>Sobrelargura</v>
      </c>
      <c r="AX848" s="275" t="s">
        <v>176</v>
      </c>
    </row>
    <row r="849" spans="1:49" ht="24" customHeight="1" outlineLevel="2">
      <c r="A849" s="525">
        <v>0</v>
      </c>
      <c r="B849" s="526"/>
      <c r="C849" s="526"/>
      <c r="D849" s="558"/>
      <c r="E849" s="871"/>
      <c r="F849" s="895"/>
      <c r="G849" s="528"/>
      <c r="H849" s="531" t="s">
        <v>38</v>
      </c>
      <c r="I849" s="532">
        <f>I887+I852+I925+I942+I972</f>
        <v>6300</v>
      </c>
      <c r="J849" s="901"/>
      <c r="K849" s="528"/>
      <c r="L849" s="531" t="s">
        <v>38</v>
      </c>
      <c r="M849" s="532">
        <f>M887+M852+M925+M942+M972</f>
        <v>525</v>
      </c>
      <c r="N849" s="901"/>
      <c r="O849" s="528"/>
      <c r="P849" s="532">
        <f t="shared" si="3185"/>
        <v>1050</v>
      </c>
      <c r="Q849" s="532">
        <f t="shared" si="3185"/>
        <v>525</v>
      </c>
      <c r="R849" s="532">
        <f t="shared" si="3185"/>
        <v>0</v>
      </c>
      <c r="S849" s="532">
        <f t="shared" si="3185"/>
        <v>0</v>
      </c>
      <c r="T849" s="532">
        <f t="shared" si="3185"/>
        <v>0</v>
      </c>
      <c r="U849" s="532">
        <f t="shared" si="3185"/>
        <v>0</v>
      </c>
      <c r="V849" s="532">
        <f t="shared" si="3185"/>
        <v>0</v>
      </c>
      <c r="W849" s="528"/>
      <c r="X849" s="707">
        <f t="shared" ref="X849" si="3188">SUMIFS(P849:V849,$P$8:$V$8,"&gt;="&amp;$P$8,$P$8:$V$8,"&lt;="&amp;$N$8)</f>
        <v>1575</v>
      </c>
      <c r="Y849" s="901"/>
      <c r="Z849" s="528"/>
      <c r="AA849" s="756"/>
      <c r="AB849" s="990"/>
      <c r="AC849" s="990"/>
      <c r="AD849" s="901"/>
      <c r="AE849" s="528"/>
      <c r="AF849" s="756"/>
      <c r="AG849" s="756"/>
      <c r="AH849" s="756"/>
      <c r="AI849" s="756"/>
      <c r="AJ849" s="756"/>
      <c r="AK849" s="756"/>
      <c r="AL849" s="756"/>
      <c r="AM849" s="901"/>
      <c r="AN849" s="528"/>
      <c r="AO849" s="756"/>
      <c r="AP849" s="756"/>
      <c r="AV849" t="str">
        <f t="shared" si="3166"/>
        <v>Sobrelargura</v>
      </c>
      <c r="AW849" s="4" t="str">
        <f t="shared" si="3164"/>
        <v>Sobrelargura</v>
      </c>
    </row>
    <row r="850" spans="1:49" ht="15.6" customHeight="1" outlineLevel="2">
      <c r="A850" s="209">
        <v>0</v>
      </c>
      <c r="B850" s="150"/>
      <c r="C850" s="150"/>
      <c r="D850" s="117"/>
      <c r="E850" s="535"/>
      <c r="F850" s="541"/>
      <c r="G850" s="537"/>
      <c r="H850" s="537"/>
      <c r="I850" s="250"/>
      <c r="J850" s="537"/>
      <c r="K850" s="537"/>
      <c r="L850" s="537"/>
      <c r="M850" s="250"/>
      <c r="N850" s="537"/>
      <c r="O850" s="537"/>
      <c r="P850" s="539"/>
      <c r="Q850" s="539"/>
      <c r="R850" s="539"/>
      <c r="S850" s="539"/>
      <c r="T850" s="539"/>
      <c r="U850" s="539"/>
      <c r="V850" s="539"/>
      <c r="W850" s="537"/>
      <c r="X850" s="540"/>
      <c r="Y850" s="537"/>
      <c r="Z850" s="537"/>
      <c r="AA850" s="250"/>
      <c r="AB850" s="250"/>
      <c r="AC850" s="249"/>
      <c r="AD850" s="537"/>
      <c r="AE850" s="3"/>
      <c r="AF850" s="36"/>
      <c r="AG850" s="36"/>
      <c r="AH850" s="36"/>
      <c r="AI850" s="36"/>
      <c r="AJ850" s="36"/>
      <c r="AK850" s="36"/>
      <c r="AL850" s="36"/>
      <c r="AM850" s="3"/>
      <c r="AN850" s="3"/>
      <c r="AO850" s="36"/>
      <c r="AP850" s="36"/>
      <c r="AV850" t="str">
        <f t="shared" si="3166"/>
        <v>Sobrelargura</v>
      </c>
      <c r="AW850" s="4" t="str">
        <f t="shared" si="3164"/>
        <v>Sobrelargura</v>
      </c>
    </row>
    <row r="851" spans="1:49" ht="15.6" customHeight="1" outlineLevel="2">
      <c r="A851" s="209">
        <v>0</v>
      </c>
      <c r="B851" s="150"/>
      <c r="C851" s="150"/>
      <c r="D851" s="118"/>
      <c r="E851" s="913" t="s">
        <v>39</v>
      </c>
      <c r="F851" s="859" t="s">
        <v>36</v>
      </c>
      <c r="G851" s="528"/>
      <c r="H851" s="542" t="s">
        <v>37</v>
      </c>
      <c r="I851" s="543">
        <f>SUMIF($L853:$L884,$L851,I853:I884)</f>
        <v>12500</v>
      </c>
      <c r="J851" s="860">
        <f>IFERROR((I852/I851),"-")</f>
        <v>0.504</v>
      </c>
      <c r="K851" s="528"/>
      <c r="L851" s="542" t="s">
        <v>37</v>
      </c>
      <c r="M851" s="543">
        <f>SUMIF($L853:$L884,$L851,M853:M884)</f>
        <v>1575</v>
      </c>
      <c r="N851" s="860">
        <f>IFERROR((M852/M851),"-")</f>
        <v>0.33333333333333331</v>
      </c>
      <c r="O851" s="528"/>
      <c r="P851" s="543">
        <f t="shared" ref="P851:V851" si="3189">SUMIF($L853:$L884,$L851,P853:P884)</f>
        <v>1575</v>
      </c>
      <c r="Q851" s="543">
        <f t="shared" si="3189"/>
        <v>1575</v>
      </c>
      <c r="R851" s="543">
        <f t="shared" si="3189"/>
        <v>1575</v>
      </c>
      <c r="S851" s="543">
        <f t="shared" si="3189"/>
        <v>1575</v>
      </c>
      <c r="T851" s="543">
        <f t="shared" si="3189"/>
        <v>1350</v>
      </c>
      <c r="U851" s="543">
        <f t="shared" si="3189"/>
        <v>1350</v>
      </c>
      <c r="V851" s="543">
        <f t="shared" si="3189"/>
        <v>0</v>
      </c>
      <c r="W851" s="528"/>
      <c r="X851" s="543">
        <f t="shared" ref="X851:X856" si="3190">SUMIFS(P851:V851,$P$8:$V$8,"&gt;="&amp;$P$8,$P$8:$V$8,"&lt;="&amp;$N$8)</f>
        <v>3150</v>
      </c>
      <c r="Y851" s="860">
        <f>IFERROR((X852/X851),"-")</f>
        <v>0.5</v>
      </c>
      <c r="Z851" s="528"/>
      <c r="AA851" s="814">
        <f>SUM(AA853:AA884)</f>
        <v>8949.94</v>
      </c>
      <c r="AB851" s="814">
        <f>SUM(AB853:AB884)</f>
        <v>8949.9399999999987</v>
      </c>
      <c r="AC851" s="814">
        <f>SUM(AC853:AC884)</f>
        <v>13725</v>
      </c>
      <c r="AD851" s="900">
        <f t="shared" ref="AD851" si="3191">IFERROR((AC851/AB851),"-")</f>
        <v>1.533529833719556</v>
      </c>
      <c r="AE851" s="2"/>
      <c r="AF851" s="888">
        <f t="shared" ref="AF851:AL851" si="3192">SUM(AF853:AF884)</f>
        <v>2901.902</v>
      </c>
      <c r="AG851" s="888">
        <f t="shared" si="3192"/>
        <v>3417.9539999999997</v>
      </c>
      <c r="AH851" s="888">
        <f t="shared" si="3192"/>
        <v>11550</v>
      </c>
      <c r="AI851" s="888">
        <f t="shared" si="3192"/>
        <v>1804.17</v>
      </c>
      <c r="AJ851" s="888">
        <f t="shared" ref="AJ851" si="3193">SUM(AJ853:AJ884)</f>
        <v>2266.2660000000001</v>
      </c>
      <c r="AK851" s="888">
        <f t="shared" si="3192"/>
        <v>35665.292000000001</v>
      </c>
      <c r="AL851" s="888">
        <f t="shared" si="3192"/>
        <v>61341.690000000031</v>
      </c>
      <c r="AM851" s="743">
        <f>IFERROR((AK851/AL851),"-")</f>
        <v>0.58142010759729612</v>
      </c>
      <c r="AN851" s="2"/>
      <c r="AO851" s="888">
        <f t="shared" ref="AO851:AP851" si="3194">SUM(AO853:AO884)</f>
        <v>54542.229999999996</v>
      </c>
      <c r="AP851" s="888">
        <f t="shared" si="3194"/>
        <v>18876.937999999998</v>
      </c>
      <c r="AV851" t="str">
        <f t="shared" si="3166"/>
        <v>Sobrelargura</v>
      </c>
      <c r="AW851" s="4" t="str">
        <f t="shared" si="3164"/>
        <v>Pacote 04 - Segmento 2.2B- Km 104+500 a Km 116+400</v>
      </c>
    </row>
    <row r="852" spans="1:49" ht="15.6" customHeight="1" outlineLevel="2">
      <c r="A852" s="209">
        <v>0</v>
      </c>
      <c r="B852" s="150"/>
      <c r="C852" s="150"/>
      <c r="D852" s="118"/>
      <c r="E852" s="913"/>
      <c r="F852" s="859"/>
      <c r="G852" s="528"/>
      <c r="H852" s="544" t="s">
        <v>38</v>
      </c>
      <c r="I852" s="543">
        <f>SUMIF($L853:$L884,$L852,I853:I884)</f>
        <v>6300</v>
      </c>
      <c r="J852" s="861"/>
      <c r="K852" s="528"/>
      <c r="L852" s="544" t="s">
        <v>38</v>
      </c>
      <c r="M852" s="543">
        <f>SUMIF($L853:$L884,$L852,M853:M884)</f>
        <v>525</v>
      </c>
      <c r="N852" s="861"/>
      <c r="O852" s="528"/>
      <c r="P852" s="543">
        <f t="shared" ref="P852:V852" si="3195">SUMIF($L853:$L884,$L852,P853:P884)</f>
        <v>1050</v>
      </c>
      <c r="Q852" s="543">
        <f t="shared" si="3195"/>
        <v>525</v>
      </c>
      <c r="R852" s="543">
        <f t="shared" si="3195"/>
        <v>0</v>
      </c>
      <c r="S852" s="543">
        <f t="shared" si="3195"/>
        <v>0</v>
      </c>
      <c r="T852" s="543">
        <f t="shared" si="3195"/>
        <v>0</v>
      </c>
      <c r="U852" s="543">
        <f t="shared" si="3195"/>
        <v>0</v>
      </c>
      <c r="V852" s="543">
        <f t="shared" si="3195"/>
        <v>0</v>
      </c>
      <c r="W852" s="528"/>
      <c r="X852" s="543">
        <f t="shared" si="3190"/>
        <v>1575</v>
      </c>
      <c r="Y852" s="861"/>
      <c r="Z852" s="528"/>
      <c r="AA852" s="815"/>
      <c r="AB852" s="815"/>
      <c r="AC852" s="815"/>
      <c r="AD852" s="901"/>
      <c r="AE852" s="2"/>
      <c r="AF852" s="889"/>
      <c r="AG852" s="889"/>
      <c r="AH852" s="889"/>
      <c r="AI852" s="889"/>
      <c r="AJ852" s="889"/>
      <c r="AK852" s="889"/>
      <c r="AL852" s="889"/>
      <c r="AM852" s="744"/>
      <c r="AN852" s="2"/>
      <c r="AO852" s="889"/>
      <c r="AP852" s="889"/>
      <c r="AV852" t="str">
        <f t="shared" si="3166"/>
        <v>Sobrelargura</v>
      </c>
      <c r="AW852" s="4" t="str">
        <f t="shared" si="3164"/>
        <v>Pacote 04 - Segmento 2.2B- Km 104+500 a Km 116+400</v>
      </c>
    </row>
    <row r="853" spans="1:49" ht="15.6" customHeight="1" outlineLevel="2">
      <c r="A853" s="8" t="str">
        <f t="shared" ref="A853" si="3196">IF(SUM(P853:V854)&gt;0,"S","N")</f>
        <v>S</v>
      </c>
      <c r="B853" s="150">
        <v>1069847</v>
      </c>
      <c r="C853" s="150" t="s">
        <v>1221</v>
      </c>
      <c r="D853" s="120" t="s">
        <v>1222</v>
      </c>
      <c r="E853" s="892" t="s">
        <v>1223</v>
      </c>
      <c r="F853" s="902" t="s">
        <v>36</v>
      </c>
      <c r="G853" s="528"/>
      <c r="H853" s="546" t="s">
        <v>37</v>
      </c>
      <c r="I853" s="711">
        <v>2600</v>
      </c>
      <c r="J853" s="896">
        <f>IFERROR((I854/I853),"-")</f>
        <v>1.6153846153846154</v>
      </c>
      <c r="K853" s="528"/>
      <c r="L853" s="546" t="s">
        <v>37</v>
      </c>
      <c r="M853" s="711">
        <f t="shared" ref="M853:M884" si="3197">_xlfn.XLOOKUP($N$8,$P$8:$V$8,$P853:$V853)</f>
        <v>1050</v>
      </c>
      <c r="N853" s="896">
        <f>IFERROR((M854/M853),"-")</f>
        <v>0.5</v>
      </c>
      <c r="O853" s="528"/>
      <c r="P853" s="547">
        <v>1050</v>
      </c>
      <c r="Q853" s="547">
        <v>1050</v>
      </c>
      <c r="R853" s="547">
        <v>1050</v>
      </c>
      <c r="S853" s="547">
        <v>1050</v>
      </c>
      <c r="T853" s="547">
        <v>900</v>
      </c>
      <c r="U853" s="547">
        <v>900</v>
      </c>
      <c r="V853" s="548">
        <v>0</v>
      </c>
      <c r="W853" s="528"/>
      <c r="X853" s="711">
        <f t="shared" si="3190"/>
        <v>2100</v>
      </c>
      <c r="Y853" s="896">
        <f>IFERROR((X854/X853),"0")</f>
        <v>0.5</v>
      </c>
      <c r="Z853" s="528"/>
      <c r="AA853" s="898">
        <v>717.24</v>
      </c>
      <c r="AB853" s="898">
        <v>717.24</v>
      </c>
      <c r="AC853" s="903">
        <v>9150</v>
      </c>
      <c r="AD853" s="896">
        <f t="shared" ref="AD853" si="3198">IFERROR((AC853/AB853),"-")</f>
        <v>12.75723607160783</v>
      </c>
      <c r="AE853" s="2"/>
      <c r="AF853" s="884">
        <v>0</v>
      </c>
      <c r="AG853" s="884"/>
      <c r="AH853" s="884">
        <v>8400</v>
      </c>
      <c r="AI853" s="884"/>
      <c r="AJ853" s="884"/>
      <c r="AK853" s="884">
        <f t="shared" ref="AK853" si="3199">AF853+AG853+AH853+AI853+AJ853+AC853</f>
        <v>17550</v>
      </c>
      <c r="AL853" s="884">
        <v>7949.49</v>
      </c>
      <c r="AM853" s="878">
        <f t="shared" ref="AM853" si="3200">IFERROR((AK853/AL853),"-")</f>
        <v>2.2076887951302537</v>
      </c>
      <c r="AN853" s="2"/>
      <c r="AO853" s="884">
        <v>1150</v>
      </c>
      <c r="AP853" s="884">
        <f t="shared" ref="AP853" si="3201">AO853-AK853</f>
        <v>-16400</v>
      </c>
      <c r="AV853" t="str">
        <f t="shared" si="3166"/>
        <v>Sobrelargura</v>
      </c>
      <c r="AW853" s="4" t="str">
        <f t="shared" si="3164"/>
        <v xml:space="preserve">   Remoção de sobrelargura - E2 - Aterro 01 - Rio Vermelho</v>
      </c>
    </row>
    <row r="854" spans="1:49" ht="15.6" customHeight="1" outlineLevel="2">
      <c r="A854" s="8" t="str">
        <f t="shared" ref="A854" si="3202">A853</f>
        <v>S</v>
      </c>
      <c r="B854" s="150"/>
      <c r="C854" s="150" t="s">
        <v>1221</v>
      </c>
      <c r="D854" s="120" t="s">
        <v>1222</v>
      </c>
      <c r="E854" s="893"/>
      <c r="F854" s="902"/>
      <c r="G854" s="528"/>
      <c r="H854" s="549" t="s">
        <v>38</v>
      </c>
      <c r="I854" s="711">
        <v>4200</v>
      </c>
      <c r="J854" s="897"/>
      <c r="K854" s="528"/>
      <c r="L854" s="549" t="s">
        <v>38</v>
      </c>
      <c r="M854" s="711">
        <f t="shared" si="3197"/>
        <v>525</v>
      </c>
      <c r="N854" s="897"/>
      <c r="O854" s="528"/>
      <c r="P854" s="548">
        <v>525</v>
      </c>
      <c r="Q854" s="548">
        <v>525</v>
      </c>
      <c r="R854" s="548">
        <v>0</v>
      </c>
      <c r="S854" s="548">
        <v>0</v>
      </c>
      <c r="T854" s="548">
        <v>0</v>
      </c>
      <c r="U854" s="548">
        <v>0</v>
      </c>
      <c r="V854" s="548">
        <v>0</v>
      </c>
      <c r="W854" s="528"/>
      <c r="X854" s="711">
        <f t="shared" si="3190"/>
        <v>1050</v>
      </c>
      <c r="Y854" s="897"/>
      <c r="Z854" s="528"/>
      <c r="AA854" s="899"/>
      <c r="AB854" s="899"/>
      <c r="AC854" s="904"/>
      <c r="AD854" s="905"/>
      <c r="AE854" s="2"/>
      <c r="AF854" s="885"/>
      <c r="AG854" s="885"/>
      <c r="AH854" s="885"/>
      <c r="AI854" s="885"/>
      <c r="AJ854" s="885"/>
      <c r="AK854" s="885"/>
      <c r="AL854" s="885"/>
      <c r="AM854" s="879"/>
      <c r="AN854" s="2"/>
      <c r="AO854" s="886"/>
      <c r="AP854" s="886"/>
      <c r="AV854" t="str">
        <f t="shared" si="3166"/>
        <v>Sobrelargura</v>
      </c>
      <c r="AW854" s="4" t="str">
        <f t="shared" si="3164"/>
        <v xml:space="preserve">   Remoção de sobrelargura - E2 - Aterro 01 - Rio Vermelho</v>
      </c>
    </row>
    <row r="855" spans="1:49" ht="15.6" customHeight="1" outlineLevel="2">
      <c r="A855" s="8" t="str">
        <f t="shared" ref="A855" si="3203">IF(SUM(P855:V856)&gt;0,"S","N")</f>
        <v>N</v>
      </c>
      <c r="B855" s="150">
        <v>1069815</v>
      </c>
      <c r="C855" s="150" t="s">
        <v>1224</v>
      </c>
      <c r="D855" s="120" t="s">
        <v>1225</v>
      </c>
      <c r="E855" s="892" t="s">
        <v>1226</v>
      </c>
      <c r="F855" s="902" t="s">
        <v>36</v>
      </c>
      <c r="G855" s="528"/>
      <c r="H855" s="546" t="s">
        <v>37</v>
      </c>
      <c r="I855" s="711">
        <v>0</v>
      </c>
      <c r="J855" s="896" t="str">
        <f>IFERROR((I856/I855),"-")</f>
        <v>-</v>
      </c>
      <c r="K855" s="528"/>
      <c r="L855" s="546" t="s">
        <v>37</v>
      </c>
      <c r="M855" s="711">
        <f t="shared" si="3197"/>
        <v>0</v>
      </c>
      <c r="N855" s="896" t="str">
        <f>IFERROR((M856/M855),"-")</f>
        <v>-</v>
      </c>
      <c r="O855" s="528"/>
      <c r="P855" s="547">
        <v>0</v>
      </c>
      <c r="Q855" s="547">
        <v>0</v>
      </c>
      <c r="R855" s="547">
        <v>0</v>
      </c>
      <c r="S855" s="547">
        <v>0</v>
      </c>
      <c r="T855" s="547">
        <v>0</v>
      </c>
      <c r="U855" s="547">
        <v>0</v>
      </c>
      <c r="V855" s="548">
        <v>0</v>
      </c>
      <c r="W855" s="528"/>
      <c r="X855" s="711">
        <f t="shared" si="3190"/>
        <v>0</v>
      </c>
      <c r="Y855" s="896" t="str">
        <f>IFERROR((X856/X855),"0")</f>
        <v>0</v>
      </c>
      <c r="Z855" s="528"/>
      <c r="AA855" s="898">
        <v>0</v>
      </c>
      <c r="AB855" s="898">
        <v>0</v>
      </c>
      <c r="AC855" s="903">
        <v>0</v>
      </c>
      <c r="AD855" s="896" t="str">
        <f t="shared" ref="AD855" si="3204">IFERROR((AC855/AB855),"-")</f>
        <v>-</v>
      </c>
      <c r="AE855" s="2"/>
      <c r="AF855" s="884">
        <v>0</v>
      </c>
      <c r="AG855" s="884"/>
      <c r="AH855" s="884">
        <v>0</v>
      </c>
      <c r="AI855" s="884"/>
      <c r="AJ855" s="884"/>
      <c r="AK855" s="884">
        <f t="shared" ref="AK855" si="3205">AF855+AG855+AH855+AI855+AJ855+AC855</f>
        <v>0</v>
      </c>
      <c r="AL855" s="884">
        <v>2024.71</v>
      </c>
      <c r="AM855" s="878">
        <f t="shared" ref="AM855" si="3206">IFERROR((AK855/AL855),"-")</f>
        <v>0</v>
      </c>
      <c r="AN855" s="2"/>
      <c r="AO855" s="884">
        <v>2024.7</v>
      </c>
      <c r="AP855" s="884">
        <f t="shared" ref="AP855" si="3207">AO855-AK855</f>
        <v>2024.7</v>
      </c>
      <c r="AV855" t="str">
        <f t="shared" si="3166"/>
        <v>Sobrelargura</v>
      </c>
      <c r="AW855" s="4" t="str">
        <f t="shared" si="3164"/>
        <v xml:space="preserve">   Remoção de sobrelargura</v>
      </c>
    </row>
    <row r="856" spans="1:49" ht="15.6" customHeight="1" outlineLevel="2">
      <c r="A856" s="8" t="str">
        <f t="shared" ref="A856" si="3208">A855</f>
        <v>N</v>
      </c>
      <c r="B856" s="150"/>
      <c r="C856" s="150" t="s">
        <v>1224</v>
      </c>
      <c r="D856" s="120" t="s">
        <v>1225</v>
      </c>
      <c r="E856" s="893"/>
      <c r="F856" s="902"/>
      <c r="G856" s="528"/>
      <c r="H856" s="549" t="s">
        <v>38</v>
      </c>
      <c r="I856" s="711">
        <v>0</v>
      </c>
      <c r="J856" s="897"/>
      <c r="K856" s="528"/>
      <c r="L856" s="549" t="s">
        <v>38</v>
      </c>
      <c r="M856" s="711">
        <f t="shared" si="3197"/>
        <v>0</v>
      </c>
      <c r="N856" s="897"/>
      <c r="O856" s="528"/>
      <c r="P856" s="548">
        <v>0</v>
      </c>
      <c r="Q856" s="548">
        <v>0</v>
      </c>
      <c r="R856" s="548">
        <v>0</v>
      </c>
      <c r="S856" s="548">
        <v>0</v>
      </c>
      <c r="T856" s="548">
        <v>0</v>
      </c>
      <c r="U856" s="548">
        <v>0</v>
      </c>
      <c r="V856" s="548">
        <v>0</v>
      </c>
      <c r="W856" s="528"/>
      <c r="X856" s="711">
        <f t="shared" si="3190"/>
        <v>0</v>
      </c>
      <c r="Y856" s="897"/>
      <c r="Z856" s="528"/>
      <c r="AA856" s="899"/>
      <c r="AB856" s="899"/>
      <c r="AC856" s="904"/>
      <c r="AD856" s="905"/>
      <c r="AE856" s="2"/>
      <c r="AF856" s="885"/>
      <c r="AG856" s="885"/>
      <c r="AH856" s="885"/>
      <c r="AI856" s="885"/>
      <c r="AJ856" s="885"/>
      <c r="AK856" s="885"/>
      <c r="AL856" s="885"/>
      <c r="AM856" s="879"/>
      <c r="AN856" s="2"/>
      <c r="AO856" s="886"/>
      <c r="AP856" s="886"/>
      <c r="AV856" t="str">
        <f t="shared" si="3166"/>
        <v>Sobrelargura</v>
      </c>
      <c r="AW856" s="4" t="str">
        <f t="shared" si="3164"/>
        <v xml:space="preserve">   Remoção de sobrelargura</v>
      </c>
    </row>
    <row r="857" spans="1:49" ht="15.6" customHeight="1" outlineLevel="2">
      <c r="A857" s="8" t="str">
        <f t="shared" ref="A857" si="3209">IF(SUM(P857:V858)&gt;0,"S","N")</f>
        <v>N</v>
      </c>
      <c r="B857" s="150">
        <v>1069816</v>
      </c>
      <c r="C857" s="150" t="s">
        <v>1227</v>
      </c>
      <c r="D857" s="120" t="s">
        <v>779</v>
      </c>
      <c r="E857" s="892" t="s">
        <v>1226</v>
      </c>
      <c r="F857" s="902" t="s">
        <v>36</v>
      </c>
      <c r="G857" s="528"/>
      <c r="H857" s="546" t="s">
        <v>37</v>
      </c>
      <c r="I857" s="711">
        <v>0</v>
      </c>
      <c r="J857" s="896" t="str">
        <f>IFERROR((I858/I857),"-")</f>
        <v>-</v>
      </c>
      <c r="K857" s="528"/>
      <c r="L857" s="546" t="s">
        <v>37</v>
      </c>
      <c r="M857" s="711">
        <f t="shared" si="3197"/>
        <v>0</v>
      </c>
      <c r="N857" s="896" t="str">
        <f>IFERROR((M858/M857),"-")</f>
        <v>-</v>
      </c>
      <c r="O857" s="528"/>
      <c r="P857" s="547">
        <v>0</v>
      </c>
      <c r="Q857" s="547">
        <v>0</v>
      </c>
      <c r="R857" s="547">
        <v>0</v>
      </c>
      <c r="S857" s="547">
        <v>0</v>
      </c>
      <c r="T857" s="547">
        <v>0</v>
      </c>
      <c r="U857" s="547">
        <v>0</v>
      </c>
      <c r="V857" s="548">
        <v>0</v>
      </c>
      <c r="W857" s="528"/>
      <c r="X857" s="711">
        <f>SUMIFS(P857:V857,$P$8:$V$8,"&gt;="&amp;$P$8,$P$8:$V$8,"&lt;="&amp;$N$8)</f>
        <v>0</v>
      </c>
      <c r="Y857" s="896" t="str">
        <f>IFERROR((X858/X857),"0")</f>
        <v>0</v>
      </c>
      <c r="Z857" s="528"/>
      <c r="AA857" s="898">
        <v>0</v>
      </c>
      <c r="AB857" s="898">
        <v>0</v>
      </c>
      <c r="AC857" s="903">
        <v>0</v>
      </c>
      <c r="AD857" s="896" t="str">
        <f t="shared" ref="AD857" si="3210">IFERROR((AC857/AB857),"-")</f>
        <v>-</v>
      </c>
      <c r="AE857" s="2"/>
      <c r="AF857" s="884">
        <v>0</v>
      </c>
      <c r="AG857" s="884"/>
      <c r="AH857" s="884">
        <v>0</v>
      </c>
      <c r="AI857" s="884"/>
      <c r="AJ857" s="884"/>
      <c r="AK857" s="884">
        <f t="shared" ref="AK857" si="3211">AF857+AG857+AH857+AI857+AJ857+AC857</f>
        <v>0</v>
      </c>
      <c r="AL857" s="884">
        <v>240.6</v>
      </c>
      <c r="AM857" s="878">
        <f t="shared" ref="AM857" si="3212">IFERROR((AK857/AL857),"-")</f>
        <v>0</v>
      </c>
      <c r="AN857" s="2"/>
      <c r="AO857" s="884">
        <v>240.6</v>
      </c>
      <c r="AP857" s="884">
        <f t="shared" ref="AP857" si="3213">AO857-AK857</f>
        <v>240.6</v>
      </c>
      <c r="AV857" t="str">
        <f t="shared" si="3166"/>
        <v>Sobrelargura</v>
      </c>
      <c r="AW857" s="4" t="str">
        <f t="shared" si="3164"/>
        <v xml:space="preserve">   Remoção de sobrelargura</v>
      </c>
    </row>
    <row r="858" spans="1:49" ht="13.35" customHeight="1" outlineLevel="2">
      <c r="A858" s="8" t="str">
        <f t="shared" ref="A858" si="3214">A857</f>
        <v>N</v>
      </c>
      <c r="B858" s="150"/>
      <c r="C858" s="150" t="s">
        <v>1227</v>
      </c>
      <c r="D858" s="120" t="s">
        <v>779</v>
      </c>
      <c r="E858" s="893"/>
      <c r="F858" s="902"/>
      <c r="G858" s="528"/>
      <c r="H858" s="549" t="s">
        <v>38</v>
      </c>
      <c r="I858" s="711">
        <v>0</v>
      </c>
      <c r="J858" s="897"/>
      <c r="K858" s="528"/>
      <c r="L858" s="549" t="s">
        <v>38</v>
      </c>
      <c r="M858" s="711">
        <f t="shared" si="3197"/>
        <v>0</v>
      </c>
      <c r="N858" s="897"/>
      <c r="O858" s="528"/>
      <c r="P858" s="548">
        <v>0</v>
      </c>
      <c r="Q858" s="548">
        <v>0</v>
      </c>
      <c r="R858" s="548">
        <v>0</v>
      </c>
      <c r="S858" s="548">
        <v>0</v>
      </c>
      <c r="T858" s="548">
        <v>0</v>
      </c>
      <c r="U858" s="548">
        <v>0</v>
      </c>
      <c r="V858" s="548">
        <v>0</v>
      </c>
      <c r="W858" s="528"/>
      <c r="X858" s="711">
        <f>SUMIFS(P858:V858,$P$8:$V$8,"&gt;="&amp;$P$8,$P$8:$V$8,"&lt;="&amp;$N$8)</f>
        <v>0</v>
      </c>
      <c r="Y858" s="897"/>
      <c r="Z858" s="528"/>
      <c r="AA858" s="899"/>
      <c r="AB858" s="899"/>
      <c r="AC858" s="904"/>
      <c r="AD858" s="905"/>
      <c r="AE858" s="2"/>
      <c r="AF858" s="885"/>
      <c r="AG858" s="885"/>
      <c r="AH858" s="885"/>
      <c r="AI858" s="885"/>
      <c r="AJ858" s="885"/>
      <c r="AK858" s="885"/>
      <c r="AL858" s="885"/>
      <c r="AM858" s="879"/>
      <c r="AN858" s="2"/>
      <c r="AO858" s="886"/>
      <c r="AP858" s="886"/>
      <c r="AV858" t="str">
        <f t="shared" si="3166"/>
        <v>Sobrelargura</v>
      </c>
      <c r="AW858" s="4" t="str">
        <f t="shared" si="3164"/>
        <v xml:space="preserve">   Remoção de sobrelargura</v>
      </c>
    </row>
    <row r="859" spans="1:49" ht="14.45" customHeight="1" outlineLevel="2">
      <c r="A859" s="8" t="str">
        <f t="shared" ref="A859" si="3215">IF(SUM(P859:V860)&gt;0,"S","N")</f>
        <v>N</v>
      </c>
      <c r="B859" s="150">
        <v>1069817</v>
      </c>
      <c r="C859" s="150" t="s">
        <v>1228</v>
      </c>
      <c r="D859" s="120" t="s">
        <v>1229</v>
      </c>
      <c r="E859" s="892" t="s">
        <v>1226</v>
      </c>
      <c r="F859" s="902" t="s">
        <v>36</v>
      </c>
      <c r="G859" s="528"/>
      <c r="H859" s="546" t="s">
        <v>37</v>
      </c>
      <c r="I859" s="711">
        <v>0</v>
      </c>
      <c r="J859" s="896" t="str">
        <f t="shared" ref="J859" si="3216">IFERROR((I860/I859),"-")</f>
        <v>-</v>
      </c>
      <c r="K859" s="528"/>
      <c r="L859" s="546" t="s">
        <v>37</v>
      </c>
      <c r="M859" s="711">
        <f t="shared" si="3197"/>
        <v>0</v>
      </c>
      <c r="N859" s="896" t="str">
        <f t="shared" ref="N859" si="3217">IFERROR((M860/M859),"-")</f>
        <v>-</v>
      </c>
      <c r="O859" s="528"/>
      <c r="P859" s="547">
        <v>0</v>
      </c>
      <c r="Q859" s="547">
        <v>0</v>
      </c>
      <c r="R859" s="547">
        <v>0</v>
      </c>
      <c r="S859" s="547">
        <v>0</v>
      </c>
      <c r="T859" s="547">
        <v>0</v>
      </c>
      <c r="U859" s="547">
        <v>0</v>
      </c>
      <c r="V859" s="548">
        <v>0</v>
      </c>
      <c r="W859" s="528"/>
      <c r="X859" s="711">
        <f t="shared" ref="X859:X884" si="3218">SUMIFS(P859:V859,$P$8:$V$8,"&gt;="&amp;$P$8,$P$8:$V$8,"&lt;="&amp;$N$8)</f>
        <v>0</v>
      </c>
      <c r="Y859" s="896" t="str">
        <f t="shared" ref="Y859" si="3219">IFERROR((X860/X859),"0")</f>
        <v>0</v>
      </c>
      <c r="Z859" s="528"/>
      <c r="AA859" s="898">
        <v>0</v>
      </c>
      <c r="AB859" s="898">
        <v>0</v>
      </c>
      <c r="AC859" s="903">
        <v>0</v>
      </c>
      <c r="AD859" s="896" t="str">
        <f t="shared" ref="AD859" si="3220">IFERROR((AC859/AB859),"-")</f>
        <v>-</v>
      </c>
      <c r="AE859" s="2"/>
      <c r="AF859" s="884">
        <v>0</v>
      </c>
      <c r="AG859" s="884"/>
      <c r="AH859" s="884">
        <v>0</v>
      </c>
      <c r="AI859" s="884"/>
      <c r="AJ859" s="884"/>
      <c r="AK859" s="884">
        <f t="shared" ref="AK859" si="3221">AF859+AG859+AH859+AI859+AJ859+AC859</f>
        <v>0</v>
      </c>
      <c r="AL859" s="884">
        <v>2280.8000000000002</v>
      </c>
      <c r="AM859" s="878">
        <f t="shared" ref="AM859" si="3222">IFERROR((AK859/AL859),"-")</f>
        <v>0</v>
      </c>
      <c r="AN859" s="2"/>
      <c r="AO859" s="884">
        <v>2280.79</v>
      </c>
      <c r="AP859" s="884">
        <f t="shared" ref="AP859" si="3223">AO859-AK859</f>
        <v>2280.79</v>
      </c>
      <c r="AV859" t="str">
        <f t="shared" si="3166"/>
        <v>Sobrelargura</v>
      </c>
      <c r="AW859" s="4" t="str">
        <f t="shared" si="3164"/>
        <v xml:space="preserve">   Remoção de sobrelargura</v>
      </c>
    </row>
    <row r="860" spans="1:49" ht="14.45" customHeight="1" outlineLevel="2">
      <c r="A860" s="8" t="str">
        <f t="shared" ref="A860" si="3224">A859</f>
        <v>N</v>
      </c>
      <c r="B860" s="150"/>
      <c r="C860" s="150" t="s">
        <v>1228</v>
      </c>
      <c r="D860" s="120" t="s">
        <v>1229</v>
      </c>
      <c r="E860" s="893"/>
      <c r="F860" s="902"/>
      <c r="G860" s="528"/>
      <c r="H860" s="549" t="s">
        <v>38</v>
      </c>
      <c r="I860" s="711">
        <v>0</v>
      </c>
      <c r="J860" s="897"/>
      <c r="K860" s="528"/>
      <c r="L860" s="549" t="s">
        <v>38</v>
      </c>
      <c r="M860" s="711">
        <f t="shared" si="3197"/>
        <v>0</v>
      </c>
      <c r="N860" s="897"/>
      <c r="O860" s="528"/>
      <c r="P860" s="548">
        <v>0</v>
      </c>
      <c r="Q860" s="548">
        <v>0</v>
      </c>
      <c r="R860" s="548">
        <v>0</v>
      </c>
      <c r="S860" s="548">
        <v>0</v>
      </c>
      <c r="T860" s="548">
        <v>0</v>
      </c>
      <c r="U860" s="548">
        <v>0</v>
      </c>
      <c r="V860" s="548">
        <v>0</v>
      </c>
      <c r="W860" s="528"/>
      <c r="X860" s="711">
        <f t="shared" si="3218"/>
        <v>0</v>
      </c>
      <c r="Y860" s="897"/>
      <c r="Z860" s="528"/>
      <c r="AA860" s="899"/>
      <c r="AB860" s="899"/>
      <c r="AC860" s="904"/>
      <c r="AD860" s="905"/>
      <c r="AE860" s="2"/>
      <c r="AF860" s="885"/>
      <c r="AG860" s="885"/>
      <c r="AH860" s="885"/>
      <c r="AI860" s="885"/>
      <c r="AJ860" s="885"/>
      <c r="AK860" s="885"/>
      <c r="AL860" s="885"/>
      <c r="AM860" s="879"/>
      <c r="AN860" s="2"/>
      <c r="AO860" s="886"/>
      <c r="AP860" s="886"/>
      <c r="AV860" t="str">
        <f t="shared" si="3166"/>
        <v>Sobrelargura</v>
      </c>
      <c r="AW860" s="4" t="str">
        <f t="shared" si="3164"/>
        <v xml:space="preserve">   Remoção de sobrelargura</v>
      </c>
    </row>
    <row r="861" spans="1:49" ht="15.6" customHeight="1" outlineLevel="2">
      <c r="A861" s="8" t="str">
        <f t="shared" ref="A861" si="3225">IF(SUM(P861:V862)&gt;0,"S","N")</f>
        <v>N</v>
      </c>
      <c r="B861" s="150">
        <v>1069818</v>
      </c>
      <c r="C861" s="150" t="s">
        <v>1230</v>
      </c>
      <c r="D861" s="120" t="s">
        <v>782</v>
      </c>
      <c r="E861" s="892" t="s">
        <v>1226</v>
      </c>
      <c r="F861" s="902" t="s">
        <v>36</v>
      </c>
      <c r="G861" s="528"/>
      <c r="H861" s="546" t="s">
        <v>37</v>
      </c>
      <c r="I861" s="711">
        <v>0</v>
      </c>
      <c r="J861" s="896" t="str">
        <f t="shared" ref="J861" si="3226">IFERROR((I862/I861),"-")</f>
        <v>-</v>
      </c>
      <c r="K861" s="528"/>
      <c r="L861" s="546" t="s">
        <v>37</v>
      </c>
      <c r="M861" s="711">
        <f t="shared" si="3197"/>
        <v>0</v>
      </c>
      <c r="N861" s="896" t="str">
        <f t="shared" ref="N861" si="3227">IFERROR((M862/M861),"-")</f>
        <v>-</v>
      </c>
      <c r="O861" s="528"/>
      <c r="P861" s="547">
        <v>0</v>
      </c>
      <c r="Q861" s="547">
        <v>0</v>
      </c>
      <c r="R861" s="547">
        <v>0</v>
      </c>
      <c r="S861" s="547">
        <v>0</v>
      </c>
      <c r="T861" s="547">
        <v>0</v>
      </c>
      <c r="U861" s="547">
        <v>0</v>
      </c>
      <c r="V861" s="548">
        <v>0</v>
      </c>
      <c r="W861" s="528"/>
      <c r="X861" s="711">
        <f t="shared" si="3218"/>
        <v>0</v>
      </c>
      <c r="Y861" s="896" t="str">
        <f t="shared" ref="Y861" si="3228">IFERROR((X862/X861),"0")</f>
        <v>0</v>
      </c>
      <c r="Z861" s="528"/>
      <c r="AA861" s="898">
        <v>0</v>
      </c>
      <c r="AB861" s="898">
        <v>0</v>
      </c>
      <c r="AC861" s="903">
        <v>0</v>
      </c>
      <c r="AD861" s="896" t="str">
        <f t="shared" ref="AD861" si="3229">IFERROR((AC861/AB861),"-")</f>
        <v>-</v>
      </c>
      <c r="AE861" s="2"/>
      <c r="AF861" s="884">
        <v>461.09800000000001</v>
      </c>
      <c r="AG861" s="884"/>
      <c r="AH861" s="884">
        <v>0</v>
      </c>
      <c r="AI861" s="884"/>
      <c r="AJ861" s="884"/>
      <c r="AK861" s="884">
        <f t="shared" ref="AK861" si="3230">AF861+AG861+AH861+AI861+AJ861+AC861</f>
        <v>461.09800000000001</v>
      </c>
      <c r="AL861" s="884">
        <v>0</v>
      </c>
      <c r="AM861" s="878" t="str">
        <f t="shared" ref="AM861" si="3231">IFERROR((AK861/AL861),"-")</f>
        <v>-</v>
      </c>
      <c r="AN861" s="2"/>
      <c r="AO861" s="884">
        <v>0</v>
      </c>
      <c r="AP861" s="884">
        <f t="shared" ref="AP861" si="3232">AO861-AK861</f>
        <v>-461.09800000000001</v>
      </c>
      <c r="AV861" t="str">
        <f t="shared" si="3166"/>
        <v>Sobrelargura</v>
      </c>
      <c r="AW861" s="4" t="str">
        <f t="shared" si="3164"/>
        <v xml:space="preserve">   Remoção de sobrelargura</v>
      </c>
    </row>
    <row r="862" spans="1:49" ht="15.6" customHeight="1" outlineLevel="2">
      <c r="A862" s="8" t="str">
        <f t="shared" ref="A862" si="3233">A861</f>
        <v>N</v>
      </c>
      <c r="B862" s="150"/>
      <c r="C862" s="150" t="s">
        <v>1230</v>
      </c>
      <c r="D862" s="120" t="s">
        <v>782</v>
      </c>
      <c r="E862" s="893"/>
      <c r="F862" s="902"/>
      <c r="G862" s="528"/>
      <c r="H862" s="549" t="s">
        <v>38</v>
      </c>
      <c r="I862" s="711">
        <v>0</v>
      </c>
      <c r="J862" s="897"/>
      <c r="K862" s="528"/>
      <c r="L862" s="549" t="s">
        <v>38</v>
      </c>
      <c r="M862" s="711">
        <f t="shared" si="3197"/>
        <v>0</v>
      </c>
      <c r="N862" s="897"/>
      <c r="O862" s="528"/>
      <c r="P862" s="548">
        <v>0</v>
      </c>
      <c r="Q862" s="548">
        <v>0</v>
      </c>
      <c r="R862" s="548">
        <v>0</v>
      </c>
      <c r="S862" s="548">
        <v>0</v>
      </c>
      <c r="T862" s="548">
        <v>0</v>
      </c>
      <c r="U862" s="548">
        <v>0</v>
      </c>
      <c r="V862" s="548">
        <v>0</v>
      </c>
      <c r="W862" s="528"/>
      <c r="X862" s="711">
        <f t="shared" si="3218"/>
        <v>0</v>
      </c>
      <c r="Y862" s="897"/>
      <c r="Z862" s="528"/>
      <c r="AA862" s="899"/>
      <c r="AB862" s="899"/>
      <c r="AC862" s="904"/>
      <c r="AD862" s="905"/>
      <c r="AE862" s="2"/>
      <c r="AF862" s="885"/>
      <c r="AG862" s="885"/>
      <c r="AH862" s="885"/>
      <c r="AI862" s="885"/>
      <c r="AJ862" s="885"/>
      <c r="AK862" s="885"/>
      <c r="AL862" s="885"/>
      <c r="AM862" s="879"/>
      <c r="AN862" s="2"/>
      <c r="AO862" s="886"/>
      <c r="AP862" s="886"/>
      <c r="AV862" t="str">
        <f t="shared" si="3166"/>
        <v>Sobrelargura</v>
      </c>
      <c r="AW862" s="4" t="str">
        <f t="shared" si="3164"/>
        <v xml:space="preserve">   Remoção de sobrelargura</v>
      </c>
    </row>
    <row r="863" spans="1:49" ht="15.6" customHeight="1" outlineLevel="2">
      <c r="A863" s="8" t="str">
        <f t="shared" ref="A863" si="3234">IF(SUM(P863:V864)&gt;0,"S","N")</f>
        <v>N</v>
      </c>
      <c r="B863" s="150">
        <v>1069819</v>
      </c>
      <c r="C863" s="150" t="s">
        <v>1231</v>
      </c>
      <c r="D863" s="120" t="s">
        <v>275</v>
      </c>
      <c r="E863" s="892" t="s">
        <v>1226</v>
      </c>
      <c r="F863" s="902" t="s">
        <v>36</v>
      </c>
      <c r="G863" s="528"/>
      <c r="H863" s="546" t="s">
        <v>37</v>
      </c>
      <c r="I863" s="711">
        <v>0</v>
      </c>
      <c r="J863" s="896" t="str">
        <f t="shared" ref="J863" si="3235">IFERROR((I864/I863),"-")</f>
        <v>-</v>
      </c>
      <c r="K863" s="528"/>
      <c r="L863" s="546" t="s">
        <v>37</v>
      </c>
      <c r="M863" s="711">
        <f t="shared" si="3197"/>
        <v>0</v>
      </c>
      <c r="N863" s="896" t="str">
        <f t="shared" ref="N863" si="3236">IFERROR((M864/M863),"-")</f>
        <v>-</v>
      </c>
      <c r="O863" s="528"/>
      <c r="P863" s="547">
        <v>0</v>
      </c>
      <c r="Q863" s="547">
        <v>0</v>
      </c>
      <c r="R863" s="547">
        <v>0</v>
      </c>
      <c r="S863" s="547">
        <v>0</v>
      </c>
      <c r="T863" s="547">
        <v>0</v>
      </c>
      <c r="U863" s="547">
        <v>0</v>
      </c>
      <c r="V863" s="548">
        <v>0</v>
      </c>
      <c r="W863" s="528"/>
      <c r="X863" s="711">
        <f t="shared" si="3218"/>
        <v>0</v>
      </c>
      <c r="Y863" s="896" t="str">
        <f t="shared" ref="Y863" si="3237">IFERROR((X864/X863),"0")</f>
        <v>0</v>
      </c>
      <c r="Z863" s="528"/>
      <c r="AA863" s="898">
        <v>0</v>
      </c>
      <c r="AB863" s="898">
        <v>0</v>
      </c>
      <c r="AC863" s="903">
        <v>0</v>
      </c>
      <c r="AD863" s="896" t="str">
        <f t="shared" ref="AD863" si="3238">IFERROR((AC863/AB863),"-")</f>
        <v>-</v>
      </c>
      <c r="AE863" s="2"/>
      <c r="AF863" s="884">
        <v>0</v>
      </c>
      <c r="AG863" s="884"/>
      <c r="AH863" s="884">
        <v>0</v>
      </c>
      <c r="AI863" s="884"/>
      <c r="AJ863" s="884"/>
      <c r="AK863" s="884">
        <f t="shared" ref="AK863" si="3239">AF863+AG863+AH863+AI863+AJ863+AC863</f>
        <v>0</v>
      </c>
      <c r="AL863" s="884">
        <v>4413.3999999999987</v>
      </c>
      <c r="AM863" s="878">
        <f t="shared" ref="AM863" si="3240">IFERROR((AK863/AL863),"-")</f>
        <v>0</v>
      </c>
      <c r="AN863" s="2"/>
      <c r="AO863" s="884">
        <v>4413.46</v>
      </c>
      <c r="AP863" s="884">
        <f t="shared" ref="AP863" si="3241">AO863-AK863</f>
        <v>4413.46</v>
      </c>
      <c r="AV863" t="str">
        <f t="shared" si="3166"/>
        <v>Sobrelargura</v>
      </c>
      <c r="AW863" s="4" t="str">
        <f t="shared" si="3164"/>
        <v xml:space="preserve">   Remoção de sobrelargura</v>
      </c>
    </row>
    <row r="864" spans="1:49" ht="15.6" customHeight="1" outlineLevel="2">
      <c r="A864" s="8" t="str">
        <f t="shared" ref="A864" si="3242">A863</f>
        <v>N</v>
      </c>
      <c r="B864" s="150"/>
      <c r="C864" s="150" t="s">
        <v>1231</v>
      </c>
      <c r="D864" s="120" t="s">
        <v>275</v>
      </c>
      <c r="E864" s="893"/>
      <c r="F864" s="902"/>
      <c r="G864" s="528"/>
      <c r="H864" s="549" t="s">
        <v>38</v>
      </c>
      <c r="I864" s="711">
        <v>0</v>
      </c>
      <c r="J864" s="897"/>
      <c r="K864" s="528"/>
      <c r="L864" s="549" t="s">
        <v>38</v>
      </c>
      <c r="M864" s="711">
        <f t="shared" si="3197"/>
        <v>0</v>
      </c>
      <c r="N864" s="897"/>
      <c r="O864" s="528"/>
      <c r="P864" s="548">
        <v>0</v>
      </c>
      <c r="Q864" s="548">
        <v>0</v>
      </c>
      <c r="R864" s="548">
        <v>0</v>
      </c>
      <c r="S864" s="548">
        <v>0</v>
      </c>
      <c r="T864" s="548">
        <v>0</v>
      </c>
      <c r="U864" s="548">
        <v>0</v>
      </c>
      <c r="V864" s="548">
        <v>0</v>
      </c>
      <c r="W864" s="528"/>
      <c r="X864" s="711">
        <f t="shared" si="3218"/>
        <v>0</v>
      </c>
      <c r="Y864" s="897"/>
      <c r="Z864" s="528"/>
      <c r="AA864" s="899"/>
      <c r="AB864" s="899"/>
      <c r="AC864" s="904"/>
      <c r="AD864" s="905"/>
      <c r="AE864" s="2"/>
      <c r="AF864" s="885"/>
      <c r="AG864" s="885"/>
      <c r="AH864" s="885"/>
      <c r="AI864" s="885"/>
      <c r="AJ864" s="885"/>
      <c r="AK864" s="885"/>
      <c r="AL864" s="885"/>
      <c r="AM864" s="879"/>
      <c r="AN864" s="2"/>
      <c r="AO864" s="886"/>
      <c r="AP864" s="886"/>
      <c r="AV864" t="str">
        <f t="shared" si="3166"/>
        <v>Sobrelargura</v>
      </c>
      <c r="AW864" s="4" t="str">
        <f t="shared" si="3164"/>
        <v xml:space="preserve">   Remoção de sobrelargura</v>
      </c>
    </row>
    <row r="865" spans="1:49" ht="15.6" customHeight="1" outlineLevel="2">
      <c r="A865" s="8" t="str">
        <f t="shared" ref="A865" si="3243">IF(SUM(P865:V866)&gt;0,"S","N")</f>
        <v>N</v>
      </c>
      <c r="B865" s="150">
        <v>1069820</v>
      </c>
      <c r="C865" s="150" t="s">
        <v>1232</v>
      </c>
      <c r="D865" s="120" t="s">
        <v>1233</v>
      </c>
      <c r="E865" s="892" t="s">
        <v>1226</v>
      </c>
      <c r="F865" s="902" t="s">
        <v>36</v>
      </c>
      <c r="G865" s="528"/>
      <c r="H865" s="546" t="s">
        <v>37</v>
      </c>
      <c r="I865" s="711">
        <v>0</v>
      </c>
      <c r="J865" s="896" t="str">
        <f t="shared" ref="J865" si="3244">IFERROR((I866/I865),"-")</f>
        <v>-</v>
      </c>
      <c r="K865" s="528"/>
      <c r="L865" s="546" t="s">
        <v>37</v>
      </c>
      <c r="M865" s="711">
        <f t="shared" si="3197"/>
        <v>0</v>
      </c>
      <c r="N865" s="896" t="str">
        <f t="shared" ref="N865" si="3245">IFERROR((M866/M865),"-")</f>
        <v>-</v>
      </c>
      <c r="O865" s="528"/>
      <c r="P865" s="547">
        <v>0</v>
      </c>
      <c r="Q865" s="547">
        <v>0</v>
      </c>
      <c r="R865" s="547">
        <v>0</v>
      </c>
      <c r="S865" s="547">
        <v>0</v>
      </c>
      <c r="T865" s="547">
        <v>0</v>
      </c>
      <c r="U865" s="547">
        <v>0</v>
      </c>
      <c r="V865" s="548">
        <v>0</v>
      </c>
      <c r="W865" s="528"/>
      <c r="X865" s="711">
        <f t="shared" si="3218"/>
        <v>0</v>
      </c>
      <c r="Y865" s="896" t="str">
        <f t="shared" ref="Y865" si="3246">IFERROR((X866/X865),"0")</f>
        <v>0</v>
      </c>
      <c r="Z865" s="528"/>
      <c r="AA865" s="898">
        <v>0</v>
      </c>
      <c r="AB865" s="898">
        <v>0</v>
      </c>
      <c r="AC865" s="903">
        <v>0</v>
      </c>
      <c r="AD865" s="896" t="str">
        <f t="shared" ref="AD865" si="3247">IFERROR((AC865/AB865),"-")</f>
        <v>-</v>
      </c>
      <c r="AE865" s="2"/>
      <c r="AF865" s="884">
        <v>0</v>
      </c>
      <c r="AG865" s="884"/>
      <c r="AH865" s="884">
        <v>0</v>
      </c>
      <c r="AI865" s="884"/>
      <c r="AJ865" s="884"/>
      <c r="AK865" s="884">
        <f t="shared" ref="AK865" si="3248">AF865+AG865+AH865+AI865+AJ865+AC865</f>
        <v>0</v>
      </c>
      <c r="AL865" s="884">
        <v>477.32</v>
      </c>
      <c r="AM865" s="878">
        <f t="shared" ref="AM865" si="3249">IFERROR((AK865/AL865),"-")</f>
        <v>0</v>
      </c>
      <c r="AN865" s="2"/>
      <c r="AO865" s="884">
        <v>477.32</v>
      </c>
      <c r="AP865" s="884">
        <f t="shared" ref="AP865" si="3250">AO865-AK865</f>
        <v>477.32</v>
      </c>
      <c r="AV865" t="str">
        <f t="shared" si="3166"/>
        <v>Sobrelargura</v>
      </c>
      <c r="AW865" s="4" t="str">
        <f t="shared" si="3164"/>
        <v xml:space="preserve">   Remoção de sobrelargura</v>
      </c>
    </row>
    <row r="866" spans="1:49" ht="15.6" customHeight="1" outlineLevel="2">
      <c r="A866" s="8" t="str">
        <f t="shared" ref="A866" si="3251">A865</f>
        <v>N</v>
      </c>
      <c r="B866" s="150"/>
      <c r="C866" s="150" t="s">
        <v>1232</v>
      </c>
      <c r="D866" s="120" t="s">
        <v>1233</v>
      </c>
      <c r="E866" s="893"/>
      <c r="F866" s="902"/>
      <c r="G866" s="528"/>
      <c r="H866" s="549" t="s">
        <v>38</v>
      </c>
      <c r="I866" s="711">
        <v>0</v>
      </c>
      <c r="J866" s="897"/>
      <c r="K866" s="528"/>
      <c r="L866" s="549" t="s">
        <v>38</v>
      </c>
      <c r="M866" s="711">
        <f t="shared" si="3197"/>
        <v>0</v>
      </c>
      <c r="N866" s="897"/>
      <c r="O866" s="528"/>
      <c r="P866" s="548">
        <v>0</v>
      </c>
      <c r="Q866" s="548">
        <v>0</v>
      </c>
      <c r="R866" s="548">
        <v>0</v>
      </c>
      <c r="S866" s="548">
        <v>0</v>
      </c>
      <c r="T866" s="548">
        <v>0</v>
      </c>
      <c r="U866" s="548">
        <v>0</v>
      </c>
      <c r="V866" s="548">
        <v>0</v>
      </c>
      <c r="W866" s="528"/>
      <c r="X866" s="711">
        <f t="shared" si="3218"/>
        <v>0</v>
      </c>
      <c r="Y866" s="897"/>
      <c r="Z866" s="528"/>
      <c r="AA866" s="899"/>
      <c r="AB866" s="899"/>
      <c r="AC866" s="904"/>
      <c r="AD866" s="905"/>
      <c r="AE866" s="2"/>
      <c r="AF866" s="885"/>
      <c r="AG866" s="885"/>
      <c r="AH866" s="885"/>
      <c r="AI866" s="885"/>
      <c r="AJ866" s="885"/>
      <c r="AK866" s="885"/>
      <c r="AL866" s="885"/>
      <c r="AM866" s="879"/>
      <c r="AN866" s="2"/>
      <c r="AO866" s="886"/>
      <c r="AP866" s="886"/>
      <c r="AV866" t="str">
        <f t="shared" si="3166"/>
        <v>Sobrelargura</v>
      </c>
      <c r="AW866" s="4" t="str">
        <f t="shared" si="3164"/>
        <v xml:space="preserve">   Remoção de sobrelargura</v>
      </c>
    </row>
    <row r="867" spans="1:49" ht="15.6" customHeight="1" outlineLevel="2">
      <c r="A867" s="8" t="str">
        <f t="shared" ref="A867" si="3252">IF(SUM(P867:V868)&gt;0,"S","N")</f>
        <v>N</v>
      </c>
      <c r="B867" s="150">
        <v>1069821</v>
      </c>
      <c r="C867" s="150" t="s">
        <v>1234</v>
      </c>
      <c r="D867" s="120" t="s">
        <v>1235</v>
      </c>
      <c r="E867" s="892" t="s">
        <v>1226</v>
      </c>
      <c r="F867" s="902" t="s">
        <v>36</v>
      </c>
      <c r="G867" s="528"/>
      <c r="H867" s="546" t="s">
        <v>37</v>
      </c>
      <c r="I867" s="711">
        <v>0</v>
      </c>
      <c r="J867" s="896" t="str">
        <f t="shared" ref="J867" si="3253">IFERROR((I868/I867),"-")</f>
        <v>-</v>
      </c>
      <c r="K867" s="528"/>
      <c r="L867" s="546" t="s">
        <v>37</v>
      </c>
      <c r="M867" s="711">
        <f t="shared" si="3197"/>
        <v>0</v>
      </c>
      <c r="N867" s="896" t="str">
        <f t="shared" ref="N867" si="3254">IFERROR((M868/M867),"-")</f>
        <v>-</v>
      </c>
      <c r="O867" s="528"/>
      <c r="P867" s="547">
        <v>0</v>
      </c>
      <c r="Q867" s="547">
        <v>0</v>
      </c>
      <c r="R867" s="547">
        <v>0</v>
      </c>
      <c r="S867" s="547">
        <v>0</v>
      </c>
      <c r="T867" s="547">
        <v>0</v>
      </c>
      <c r="U867" s="547">
        <v>0</v>
      </c>
      <c r="V867" s="548">
        <v>0</v>
      </c>
      <c r="W867" s="528"/>
      <c r="X867" s="711">
        <f t="shared" si="3218"/>
        <v>0</v>
      </c>
      <c r="Y867" s="896" t="str">
        <f t="shared" ref="Y867" si="3255">IFERROR((X868/X867),"0")</f>
        <v>0</v>
      </c>
      <c r="Z867" s="528"/>
      <c r="AA867" s="898">
        <v>0</v>
      </c>
      <c r="AB867" s="898">
        <v>0</v>
      </c>
      <c r="AC867" s="903">
        <v>0</v>
      </c>
      <c r="AD867" s="896" t="str">
        <f t="shared" ref="AD867" si="3256">IFERROR((AC867/AB867),"-")</f>
        <v>-</v>
      </c>
      <c r="AE867" s="2"/>
      <c r="AF867" s="884">
        <v>0</v>
      </c>
      <c r="AG867" s="884"/>
      <c r="AH867" s="884">
        <v>0</v>
      </c>
      <c r="AI867" s="884"/>
      <c r="AJ867" s="884"/>
      <c r="AK867" s="884">
        <f t="shared" ref="AK867" si="3257">AF867+AG867+AH867+AI867+AJ867+AC867</f>
        <v>0</v>
      </c>
      <c r="AL867" s="884">
        <v>1268.58</v>
      </c>
      <c r="AM867" s="878">
        <f t="shared" ref="AM867" si="3258">IFERROR((AK867/AL867),"-")</f>
        <v>0</v>
      </c>
      <c r="AN867" s="2"/>
      <c r="AO867" s="884">
        <v>1268.58</v>
      </c>
      <c r="AP867" s="884">
        <f t="shared" ref="AP867" si="3259">AO867-AK867</f>
        <v>1268.58</v>
      </c>
      <c r="AV867" t="str">
        <f t="shared" si="3166"/>
        <v>Sobrelargura</v>
      </c>
      <c r="AW867" s="4" t="str">
        <f t="shared" si="3164"/>
        <v xml:space="preserve">   Remoção de sobrelargura</v>
      </c>
    </row>
    <row r="868" spans="1:49" ht="15.6" customHeight="1" outlineLevel="2">
      <c r="A868" s="8" t="str">
        <f t="shared" ref="A868" si="3260">A867</f>
        <v>N</v>
      </c>
      <c r="B868" s="150"/>
      <c r="C868" s="150" t="s">
        <v>1234</v>
      </c>
      <c r="D868" s="120" t="s">
        <v>1235</v>
      </c>
      <c r="E868" s="893"/>
      <c r="F868" s="902"/>
      <c r="G868" s="528"/>
      <c r="H868" s="549" t="s">
        <v>38</v>
      </c>
      <c r="I868" s="711">
        <v>0</v>
      </c>
      <c r="J868" s="897"/>
      <c r="K868" s="528"/>
      <c r="L868" s="549" t="s">
        <v>38</v>
      </c>
      <c r="M868" s="711">
        <f t="shared" si="3197"/>
        <v>0</v>
      </c>
      <c r="N868" s="897"/>
      <c r="O868" s="528"/>
      <c r="P868" s="548">
        <v>0</v>
      </c>
      <c r="Q868" s="548">
        <v>0</v>
      </c>
      <c r="R868" s="548">
        <v>0</v>
      </c>
      <c r="S868" s="548">
        <v>0</v>
      </c>
      <c r="T868" s="548">
        <v>0</v>
      </c>
      <c r="U868" s="548">
        <v>0</v>
      </c>
      <c r="V868" s="548">
        <v>0</v>
      </c>
      <c r="W868" s="528"/>
      <c r="X868" s="711">
        <f t="shared" si="3218"/>
        <v>0</v>
      </c>
      <c r="Y868" s="897"/>
      <c r="Z868" s="528"/>
      <c r="AA868" s="899"/>
      <c r="AB868" s="899"/>
      <c r="AC868" s="904"/>
      <c r="AD868" s="905"/>
      <c r="AE868" s="2"/>
      <c r="AF868" s="885"/>
      <c r="AG868" s="885"/>
      <c r="AH868" s="885"/>
      <c r="AI868" s="885"/>
      <c r="AJ868" s="885"/>
      <c r="AK868" s="885"/>
      <c r="AL868" s="885"/>
      <c r="AM868" s="879"/>
      <c r="AN868" s="2"/>
      <c r="AO868" s="886"/>
      <c r="AP868" s="886"/>
      <c r="AV868" t="str">
        <f t="shared" si="3166"/>
        <v>Sobrelargura</v>
      </c>
      <c r="AW868" s="4" t="str">
        <f t="shared" si="3164"/>
        <v xml:space="preserve">   Remoção de sobrelargura</v>
      </c>
    </row>
    <row r="869" spans="1:49" ht="15.6" customHeight="1" outlineLevel="2">
      <c r="A869" s="8" t="str">
        <f t="shared" ref="A869" si="3261">IF(SUM(P869:V870)&gt;0,"S","N")</f>
        <v>N</v>
      </c>
      <c r="B869" s="150">
        <v>1069822</v>
      </c>
      <c r="C869" s="150" t="s">
        <v>1236</v>
      </c>
      <c r="D869" s="120" t="s">
        <v>1237</v>
      </c>
      <c r="E869" s="892" t="s">
        <v>1226</v>
      </c>
      <c r="F869" s="902" t="s">
        <v>36</v>
      </c>
      <c r="G869" s="528"/>
      <c r="H869" s="546" t="s">
        <v>37</v>
      </c>
      <c r="I869" s="711">
        <v>0</v>
      </c>
      <c r="J869" s="896" t="str">
        <f t="shared" ref="J869" si="3262">IFERROR((I870/I869),"-")</f>
        <v>-</v>
      </c>
      <c r="K869" s="528"/>
      <c r="L869" s="546" t="s">
        <v>37</v>
      </c>
      <c r="M869" s="711">
        <f t="shared" si="3197"/>
        <v>0</v>
      </c>
      <c r="N869" s="896" t="str">
        <f t="shared" ref="N869" si="3263">IFERROR((M870/M869),"-")</f>
        <v>-</v>
      </c>
      <c r="O869" s="528"/>
      <c r="P869" s="547">
        <v>0</v>
      </c>
      <c r="Q869" s="547">
        <v>0</v>
      </c>
      <c r="R869" s="547">
        <v>0</v>
      </c>
      <c r="S869" s="547">
        <v>0</v>
      </c>
      <c r="T869" s="547">
        <v>0</v>
      </c>
      <c r="U869" s="547">
        <v>0</v>
      </c>
      <c r="V869" s="548">
        <v>0</v>
      </c>
      <c r="W869" s="528"/>
      <c r="X869" s="711">
        <f t="shared" si="3218"/>
        <v>0</v>
      </c>
      <c r="Y869" s="896" t="str">
        <f t="shared" ref="Y869" si="3264">IFERROR((X870/X869),"0")</f>
        <v>0</v>
      </c>
      <c r="Z869" s="528"/>
      <c r="AA869" s="898">
        <v>0</v>
      </c>
      <c r="AB869" s="898">
        <v>0</v>
      </c>
      <c r="AC869" s="903">
        <v>0</v>
      </c>
      <c r="AD869" s="896" t="str">
        <f t="shared" ref="AD869" si="3265">IFERROR((AC869/AB869),"-")</f>
        <v>-</v>
      </c>
      <c r="AE869" s="2"/>
      <c r="AF869" s="884">
        <v>0</v>
      </c>
      <c r="AG869" s="884"/>
      <c r="AH869" s="884">
        <v>0</v>
      </c>
      <c r="AI869" s="884"/>
      <c r="AJ869" s="884"/>
      <c r="AK869" s="884">
        <f t="shared" ref="AK869" si="3266">AF869+AG869+AH869+AI869+AJ869+AC869</f>
        <v>0</v>
      </c>
      <c r="AL869" s="884">
        <v>2829.86</v>
      </c>
      <c r="AM869" s="878">
        <f t="shared" ref="AM869" si="3267">IFERROR((AK869/AL869),"-")</f>
        <v>0</v>
      </c>
      <c r="AN869" s="2"/>
      <c r="AO869" s="884">
        <v>2829.86</v>
      </c>
      <c r="AP869" s="884">
        <f t="shared" ref="AP869" si="3268">AO869-AK869</f>
        <v>2829.86</v>
      </c>
      <c r="AV869" t="str">
        <f t="shared" si="3166"/>
        <v>Sobrelargura</v>
      </c>
      <c r="AW869" s="4" t="str">
        <f t="shared" si="3164"/>
        <v xml:space="preserve">   Remoção de sobrelargura</v>
      </c>
    </row>
    <row r="870" spans="1:49" ht="15.6" customHeight="1" outlineLevel="2">
      <c r="A870" s="8" t="str">
        <f t="shared" ref="A870" si="3269">A869</f>
        <v>N</v>
      </c>
      <c r="B870" s="150"/>
      <c r="C870" s="150" t="s">
        <v>1236</v>
      </c>
      <c r="D870" s="120" t="s">
        <v>1237</v>
      </c>
      <c r="E870" s="893"/>
      <c r="F870" s="902"/>
      <c r="G870" s="528"/>
      <c r="H870" s="549" t="s">
        <v>38</v>
      </c>
      <c r="I870" s="711">
        <v>0</v>
      </c>
      <c r="J870" s="897"/>
      <c r="K870" s="528"/>
      <c r="L870" s="549" t="s">
        <v>38</v>
      </c>
      <c r="M870" s="711">
        <f t="shared" si="3197"/>
        <v>0</v>
      </c>
      <c r="N870" s="897"/>
      <c r="O870" s="528"/>
      <c r="P870" s="548">
        <v>0</v>
      </c>
      <c r="Q870" s="548">
        <v>0</v>
      </c>
      <c r="R870" s="548">
        <v>0</v>
      </c>
      <c r="S870" s="548">
        <v>0</v>
      </c>
      <c r="T870" s="548">
        <v>0</v>
      </c>
      <c r="U870" s="548">
        <v>0</v>
      </c>
      <c r="V870" s="548">
        <v>0</v>
      </c>
      <c r="W870" s="528"/>
      <c r="X870" s="711">
        <f t="shared" si="3218"/>
        <v>0</v>
      </c>
      <c r="Y870" s="897"/>
      <c r="Z870" s="528"/>
      <c r="AA870" s="899"/>
      <c r="AB870" s="899"/>
      <c r="AC870" s="904"/>
      <c r="AD870" s="905"/>
      <c r="AE870" s="2"/>
      <c r="AF870" s="885"/>
      <c r="AG870" s="885"/>
      <c r="AH870" s="885"/>
      <c r="AI870" s="885"/>
      <c r="AJ870" s="885"/>
      <c r="AK870" s="885"/>
      <c r="AL870" s="885"/>
      <c r="AM870" s="879"/>
      <c r="AN870" s="2"/>
      <c r="AO870" s="886"/>
      <c r="AP870" s="886"/>
      <c r="AV870" t="str">
        <f t="shared" si="3166"/>
        <v>Sobrelargura</v>
      </c>
      <c r="AW870" s="4" t="str">
        <f t="shared" si="3164"/>
        <v xml:space="preserve">   Remoção de sobrelargura</v>
      </c>
    </row>
    <row r="871" spans="1:49" ht="15.6" customHeight="1" outlineLevel="2">
      <c r="A871" s="8" t="str">
        <f t="shared" ref="A871" si="3270">IF(SUM(P871:V872)&gt;0,"S","N")</f>
        <v>N</v>
      </c>
      <c r="B871" s="150">
        <v>1069823</v>
      </c>
      <c r="C871" s="150" t="s">
        <v>1238</v>
      </c>
      <c r="D871" s="120" t="s">
        <v>1239</v>
      </c>
      <c r="E871" s="892" t="s">
        <v>1226</v>
      </c>
      <c r="F871" s="902" t="s">
        <v>36</v>
      </c>
      <c r="G871" s="528"/>
      <c r="H871" s="546" t="s">
        <v>37</v>
      </c>
      <c r="I871" s="711">
        <v>0</v>
      </c>
      <c r="J871" s="896" t="str">
        <f t="shared" ref="J871" si="3271">IFERROR((I872/I871),"-")</f>
        <v>-</v>
      </c>
      <c r="K871" s="528"/>
      <c r="L871" s="546" t="s">
        <v>37</v>
      </c>
      <c r="M871" s="711">
        <f t="shared" si="3197"/>
        <v>0</v>
      </c>
      <c r="N871" s="896" t="str">
        <f t="shared" ref="N871" si="3272">IFERROR((M872/M871),"-")</f>
        <v>-</v>
      </c>
      <c r="O871" s="528"/>
      <c r="P871" s="547">
        <v>0</v>
      </c>
      <c r="Q871" s="547">
        <v>0</v>
      </c>
      <c r="R871" s="547">
        <v>0</v>
      </c>
      <c r="S871" s="547">
        <v>0</v>
      </c>
      <c r="T871" s="547">
        <v>0</v>
      </c>
      <c r="U871" s="547">
        <v>0</v>
      </c>
      <c r="V871" s="548">
        <v>0</v>
      </c>
      <c r="W871" s="528"/>
      <c r="X871" s="711">
        <f t="shared" si="3218"/>
        <v>0</v>
      </c>
      <c r="Y871" s="896" t="str">
        <f t="shared" ref="Y871" si="3273">IFERROR((X872/X871),"0")</f>
        <v>0</v>
      </c>
      <c r="Z871" s="528"/>
      <c r="AA871" s="898">
        <v>0</v>
      </c>
      <c r="AB871" s="898">
        <v>0</v>
      </c>
      <c r="AC871" s="903">
        <v>0</v>
      </c>
      <c r="AD871" s="896" t="str">
        <f t="shared" ref="AD871" si="3274">IFERROR((AC871/AB871),"-")</f>
        <v>-</v>
      </c>
      <c r="AE871" s="2"/>
      <c r="AF871" s="884">
        <v>1362.8219999999999</v>
      </c>
      <c r="AG871" s="884"/>
      <c r="AH871" s="884">
        <v>0</v>
      </c>
      <c r="AI871" s="884"/>
      <c r="AJ871" s="884"/>
      <c r="AK871" s="884">
        <f t="shared" ref="AK871" si="3275">AF871+AG871+AH871+AI871+AJ871+AC871</f>
        <v>1362.8219999999999</v>
      </c>
      <c r="AL871" s="884">
        <v>4314.57</v>
      </c>
      <c r="AM871" s="878">
        <f t="shared" ref="AM871" si="3276">IFERROR((AK871/AL871),"-")</f>
        <v>0.31586508041357542</v>
      </c>
      <c r="AN871" s="2"/>
      <c r="AO871" s="884">
        <v>4314.57</v>
      </c>
      <c r="AP871" s="884">
        <f t="shared" ref="AP871" si="3277">AO871-AK871</f>
        <v>2951.7479999999996</v>
      </c>
      <c r="AV871" t="str">
        <f t="shared" si="3166"/>
        <v>Sobrelargura</v>
      </c>
      <c r="AW871" s="4" t="str">
        <f t="shared" si="3164"/>
        <v xml:space="preserve">   Remoção de sobrelargura</v>
      </c>
    </row>
    <row r="872" spans="1:49" ht="15.6" customHeight="1" outlineLevel="2">
      <c r="A872" s="8" t="str">
        <f t="shared" ref="A872" si="3278">A871</f>
        <v>N</v>
      </c>
      <c r="B872" s="150"/>
      <c r="C872" s="150" t="s">
        <v>1238</v>
      </c>
      <c r="D872" s="120" t="s">
        <v>1239</v>
      </c>
      <c r="E872" s="893"/>
      <c r="F872" s="902"/>
      <c r="G872" s="528"/>
      <c r="H872" s="549" t="s">
        <v>38</v>
      </c>
      <c r="I872" s="711">
        <v>0</v>
      </c>
      <c r="J872" s="897"/>
      <c r="K872" s="528"/>
      <c r="L872" s="549" t="s">
        <v>38</v>
      </c>
      <c r="M872" s="711">
        <f t="shared" si="3197"/>
        <v>0</v>
      </c>
      <c r="N872" s="897"/>
      <c r="O872" s="528"/>
      <c r="P872" s="548">
        <v>0</v>
      </c>
      <c r="Q872" s="548">
        <v>0</v>
      </c>
      <c r="R872" s="548">
        <v>0</v>
      </c>
      <c r="S872" s="548">
        <v>0</v>
      </c>
      <c r="T872" s="548">
        <v>0</v>
      </c>
      <c r="U872" s="548">
        <v>0</v>
      </c>
      <c r="V872" s="548">
        <v>0</v>
      </c>
      <c r="W872" s="528"/>
      <c r="X872" s="711">
        <f t="shared" si="3218"/>
        <v>0</v>
      </c>
      <c r="Y872" s="897"/>
      <c r="Z872" s="528"/>
      <c r="AA872" s="899"/>
      <c r="AB872" s="899"/>
      <c r="AC872" s="904"/>
      <c r="AD872" s="905"/>
      <c r="AE872" s="2"/>
      <c r="AF872" s="885"/>
      <c r="AG872" s="885"/>
      <c r="AH872" s="885"/>
      <c r="AI872" s="885"/>
      <c r="AJ872" s="885"/>
      <c r="AK872" s="885"/>
      <c r="AL872" s="885"/>
      <c r="AM872" s="879"/>
      <c r="AN872" s="2"/>
      <c r="AO872" s="886"/>
      <c r="AP872" s="886"/>
      <c r="AV872" t="str">
        <f t="shared" si="3166"/>
        <v>Sobrelargura</v>
      </c>
      <c r="AW872" s="4" t="str">
        <f t="shared" si="3164"/>
        <v xml:space="preserve">   Remoção de sobrelargura</v>
      </c>
    </row>
    <row r="873" spans="1:49" ht="15.6" customHeight="1" outlineLevel="2">
      <c r="A873" s="8" t="str">
        <f t="shared" ref="A873" si="3279">IF(SUM(P873:V874)&gt;0,"S","N")</f>
        <v>N</v>
      </c>
      <c r="B873" s="150">
        <v>1069824</v>
      </c>
      <c r="C873" s="150" t="s">
        <v>1240</v>
      </c>
      <c r="D873" s="120" t="s">
        <v>1241</v>
      </c>
      <c r="E873" s="892" t="s">
        <v>1226</v>
      </c>
      <c r="F873" s="902" t="s">
        <v>36</v>
      </c>
      <c r="G873" s="528"/>
      <c r="H873" s="546" t="s">
        <v>37</v>
      </c>
      <c r="I873" s="711">
        <v>0</v>
      </c>
      <c r="J873" s="896" t="str">
        <f t="shared" ref="J873" si="3280">IFERROR((I874/I873),"-")</f>
        <v>-</v>
      </c>
      <c r="K873" s="528"/>
      <c r="L873" s="546" t="s">
        <v>37</v>
      </c>
      <c r="M873" s="711">
        <f t="shared" si="3197"/>
        <v>0</v>
      </c>
      <c r="N873" s="896" t="str">
        <f t="shared" ref="N873" si="3281">IFERROR((M874/M873),"-")</f>
        <v>-</v>
      </c>
      <c r="O873" s="528"/>
      <c r="P873" s="547">
        <v>0</v>
      </c>
      <c r="Q873" s="547">
        <v>0</v>
      </c>
      <c r="R873" s="547">
        <v>0</v>
      </c>
      <c r="S873" s="547">
        <v>0</v>
      </c>
      <c r="T873" s="547">
        <v>0</v>
      </c>
      <c r="U873" s="547">
        <v>0</v>
      </c>
      <c r="V873" s="548">
        <v>0</v>
      </c>
      <c r="W873" s="528"/>
      <c r="X873" s="711">
        <f t="shared" si="3218"/>
        <v>0</v>
      </c>
      <c r="Y873" s="896" t="str">
        <f t="shared" ref="Y873" si="3282">IFERROR((X874/X873),"0")</f>
        <v>0</v>
      </c>
      <c r="Z873" s="528"/>
      <c r="AA873" s="898">
        <v>0</v>
      </c>
      <c r="AB873" s="898">
        <v>0</v>
      </c>
      <c r="AC873" s="903">
        <v>0</v>
      </c>
      <c r="AD873" s="896" t="str">
        <f t="shared" ref="AD873" si="3283">IFERROR((AC873/AB873),"-")</f>
        <v>-</v>
      </c>
      <c r="AE873" s="2"/>
      <c r="AF873" s="884">
        <v>1077.982</v>
      </c>
      <c r="AG873" s="884">
        <v>149.553</v>
      </c>
      <c r="AH873" s="884">
        <v>0</v>
      </c>
      <c r="AI873" s="884"/>
      <c r="AJ873" s="884"/>
      <c r="AK873" s="884">
        <f t="shared" ref="AK873" si="3284">AF873+AG873+AH873+AI873+AJ873+AC873</f>
        <v>1227.5349999999999</v>
      </c>
      <c r="AL873" s="884">
        <v>5912.66</v>
      </c>
      <c r="AM873" s="878">
        <f t="shared" ref="AM873" si="3285">IFERROR((AK873/AL873),"-")</f>
        <v>0.20761129508546067</v>
      </c>
      <c r="AN873" s="2"/>
      <c r="AO873" s="884">
        <v>5912.7</v>
      </c>
      <c r="AP873" s="884">
        <f t="shared" ref="AP873" si="3286">AO873-AK873</f>
        <v>4685.165</v>
      </c>
      <c r="AV873" t="str">
        <f t="shared" si="3166"/>
        <v>Sobrelargura</v>
      </c>
      <c r="AW873" s="4" t="str">
        <f t="shared" si="3164"/>
        <v xml:space="preserve">   Remoção de sobrelargura</v>
      </c>
    </row>
    <row r="874" spans="1:49" ht="15.6" customHeight="1" outlineLevel="2">
      <c r="A874" s="8" t="str">
        <f t="shared" ref="A874" si="3287">A873</f>
        <v>N</v>
      </c>
      <c r="B874" s="150"/>
      <c r="C874" s="150" t="s">
        <v>1240</v>
      </c>
      <c r="D874" s="120" t="s">
        <v>1241</v>
      </c>
      <c r="E874" s="893"/>
      <c r="F874" s="902"/>
      <c r="G874" s="528"/>
      <c r="H874" s="549" t="s">
        <v>38</v>
      </c>
      <c r="I874" s="711">
        <v>0</v>
      </c>
      <c r="J874" s="897"/>
      <c r="K874" s="528"/>
      <c r="L874" s="549" t="s">
        <v>38</v>
      </c>
      <c r="M874" s="711">
        <f t="shared" si="3197"/>
        <v>0</v>
      </c>
      <c r="N874" s="897"/>
      <c r="O874" s="528"/>
      <c r="P874" s="548">
        <v>0</v>
      </c>
      <c r="Q874" s="548">
        <v>0</v>
      </c>
      <c r="R874" s="548">
        <v>0</v>
      </c>
      <c r="S874" s="548">
        <v>0</v>
      </c>
      <c r="T874" s="548">
        <v>0</v>
      </c>
      <c r="U874" s="548">
        <v>0</v>
      </c>
      <c r="V874" s="548">
        <v>0</v>
      </c>
      <c r="W874" s="528"/>
      <c r="X874" s="711">
        <f t="shared" si="3218"/>
        <v>0</v>
      </c>
      <c r="Y874" s="897"/>
      <c r="Z874" s="528"/>
      <c r="AA874" s="899"/>
      <c r="AB874" s="899"/>
      <c r="AC874" s="904"/>
      <c r="AD874" s="905"/>
      <c r="AE874" s="2"/>
      <c r="AF874" s="885"/>
      <c r="AG874" s="885"/>
      <c r="AH874" s="885"/>
      <c r="AI874" s="885"/>
      <c r="AJ874" s="885"/>
      <c r="AK874" s="885"/>
      <c r="AL874" s="885"/>
      <c r="AM874" s="879"/>
      <c r="AN874" s="2"/>
      <c r="AO874" s="886"/>
      <c r="AP874" s="886"/>
      <c r="AV874" t="str">
        <f t="shared" si="3166"/>
        <v>Sobrelargura</v>
      </c>
      <c r="AW874" s="4" t="str">
        <f t="shared" si="3164"/>
        <v xml:space="preserve">   Remoção de sobrelargura</v>
      </c>
    </row>
    <row r="875" spans="1:49" ht="15.6" customHeight="1" outlineLevel="2">
      <c r="A875" s="209" t="str">
        <f t="shared" ref="A875" si="3288">IF(SUM(P875:V876)&gt;0,"S","N")</f>
        <v>S</v>
      </c>
      <c r="B875" s="150">
        <v>1069825</v>
      </c>
      <c r="C875" s="150" t="s">
        <v>1242</v>
      </c>
      <c r="D875" s="120" t="s">
        <v>1243</v>
      </c>
      <c r="E875" s="892" t="s">
        <v>1244</v>
      </c>
      <c r="F875" s="902" t="s">
        <v>36</v>
      </c>
      <c r="G875" s="528"/>
      <c r="H875" s="546" t="s">
        <v>37</v>
      </c>
      <c r="I875" s="711">
        <v>6000</v>
      </c>
      <c r="J875" s="896">
        <f t="shared" ref="J875" si="3289">IFERROR((I876/I875),"-")</f>
        <v>0</v>
      </c>
      <c r="K875" s="528"/>
      <c r="L875" s="546" t="s">
        <v>37</v>
      </c>
      <c r="M875" s="711">
        <f t="shared" si="3197"/>
        <v>0</v>
      </c>
      <c r="N875" s="896" t="str">
        <f t="shared" ref="N875" si="3290">IFERROR((M876/M875),"-")</f>
        <v>-</v>
      </c>
      <c r="O875" s="528"/>
      <c r="P875" s="547">
        <v>0</v>
      </c>
      <c r="Q875" s="547">
        <v>0</v>
      </c>
      <c r="R875" s="547">
        <v>0</v>
      </c>
      <c r="S875" s="547">
        <v>0</v>
      </c>
      <c r="T875" s="547">
        <v>0</v>
      </c>
      <c r="U875" s="547">
        <v>0</v>
      </c>
      <c r="V875" s="548">
        <v>0</v>
      </c>
      <c r="W875" s="528"/>
      <c r="X875" s="711">
        <f t="shared" si="3218"/>
        <v>0</v>
      </c>
      <c r="Y875" s="896" t="str">
        <f t="shared" ref="Y875" si="3291">IFERROR((X876/X875),"0")</f>
        <v>0</v>
      </c>
      <c r="Z875" s="528"/>
      <c r="AA875" s="898">
        <v>509.34</v>
      </c>
      <c r="AB875" s="898">
        <v>509.34000000000003</v>
      </c>
      <c r="AC875" s="903">
        <v>1575</v>
      </c>
      <c r="AD875" s="896">
        <f t="shared" ref="AD875" si="3292">IFERROR((AC875/AB875),"-")</f>
        <v>3.0922370126045471</v>
      </c>
      <c r="AE875" s="2"/>
      <c r="AF875" s="884">
        <v>0</v>
      </c>
      <c r="AG875" s="884">
        <v>3268.4009999999998</v>
      </c>
      <c r="AH875" s="884">
        <v>3150</v>
      </c>
      <c r="AI875" s="884">
        <v>1804.17</v>
      </c>
      <c r="AJ875" s="884">
        <v>2266.2660000000001</v>
      </c>
      <c r="AK875" s="884">
        <f t="shared" ref="AK875" si="3293">AF875+AG875+AH875+AI875+AJ875+AC875</f>
        <v>12063.837</v>
      </c>
      <c r="AL875" s="884">
        <v>20333.590000000029</v>
      </c>
      <c r="AM875" s="878">
        <f t="shared" ref="AM875" si="3294">IFERROR((AK875/AL875),"-")</f>
        <v>0.59329596987054334</v>
      </c>
      <c r="AN875" s="2"/>
      <c r="AO875" s="884">
        <v>20333.62</v>
      </c>
      <c r="AP875" s="884">
        <f t="shared" ref="AP875" si="3295">AO875-AK875</f>
        <v>8269.7829999999994</v>
      </c>
      <c r="AV875" t="str">
        <f t="shared" si="3166"/>
        <v>Sobrelargura</v>
      </c>
      <c r="AW875" s="4" t="str">
        <f t="shared" si="3164"/>
        <v xml:space="preserve">   Remoção de sobrelargura - Aterro 12</v>
      </c>
    </row>
    <row r="876" spans="1:49" ht="15.6" customHeight="1" outlineLevel="2">
      <c r="A876" s="209" t="str">
        <f t="shared" ref="A876" si="3296">A875</f>
        <v>S</v>
      </c>
      <c r="B876" s="150"/>
      <c r="C876" s="150" t="s">
        <v>1242</v>
      </c>
      <c r="D876" s="120" t="s">
        <v>1243</v>
      </c>
      <c r="E876" s="893"/>
      <c r="F876" s="902"/>
      <c r="G876" s="528"/>
      <c r="H876" s="549" t="s">
        <v>38</v>
      </c>
      <c r="I876" s="711">
        <v>0</v>
      </c>
      <c r="J876" s="897"/>
      <c r="K876" s="528"/>
      <c r="L876" s="549" t="s">
        <v>38</v>
      </c>
      <c r="M876" s="711">
        <f t="shared" si="3197"/>
        <v>0</v>
      </c>
      <c r="N876" s="897"/>
      <c r="O876" s="528"/>
      <c r="P876" s="548">
        <v>525</v>
      </c>
      <c r="Q876" s="548">
        <v>0</v>
      </c>
      <c r="R876" s="548">
        <v>0</v>
      </c>
      <c r="S876" s="548">
        <v>0</v>
      </c>
      <c r="T876" s="548">
        <v>0</v>
      </c>
      <c r="U876" s="548">
        <v>0</v>
      </c>
      <c r="V876" s="548">
        <v>0</v>
      </c>
      <c r="W876" s="528"/>
      <c r="X876" s="711">
        <f t="shared" si="3218"/>
        <v>525</v>
      </c>
      <c r="Y876" s="897"/>
      <c r="Z876" s="528"/>
      <c r="AA876" s="899"/>
      <c r="AB876" s="899"/>
      <c r="AC876" s="904"/>
      <c r="AD876" s="905"/>
      <c r="AE876" s="2"/>
      <c r="AF876" s="885"/>
      <c r="AG876" s="885"/>
      <c r="AH876" s="885"/>
      <c r="AI876" s="885"/>
      <c r="AJ876" s="885"/>
      <c r="AK876" s="885"/>
      <c r="AL876" s="885"/>
      <c r="AM876" s="879"/>
      <c r="AN876" s="2"/>
      <c r="AO876" s="886"/>
      <c r="AP876" s="886"/>
      <c r="AV876" t="str">
        <f t="shared" si="3166"/>
        <v>Sobrelargura</v>
      </c>
      <c r="AW876" s="4" t="str">
        <f t="shared" si="3164"/>
        <v xml:space="preserve">   Remoção de sobrelargura - Aterro 12</v>
      </c>
    </row>
    <row r="877" spans="1:49" ht="15.6" customHeight="1" outlineLevel="2">
      <c r="A877" s="8" t="str">
        <f t="shared" ref="A877" si="3297">IF(SUM(P877:V878)&gt;0,"S","N")</f>
        <v>S</v>
      </c>
      <c r="B877" s="150">
        <v>1069826</v>
      </c>
      <c r="C877" s="150" t="s">
        <v>1245</v>
      </c>
      <c r="D877" s="120" t="s">
        <v>273</v>
      </c>
      <c r="E877" s="892" t="s">
        <v>1246</v>
      </c>
      <c r="F877" s="902" t="s">
        <v>36</v>
      </c>
      <c r="G877" s="528"/>
      <c r="H877" s="546" t="s">
        <v>37</v>
      </c>
      <c r="I877" s="711">
        <v>3900</v>
      </c>
      <c r="J877" s="896">
        <f t="shared" ref="J877" si="3298">IFERROR((I878/I877),"-")</f>
        <v>0.53846153846153844</v>
      </c>
      <c r="K877" s="528"/>
      <c r="L877" s="546" t="s">
        <v>37</v>
      </c>
      <c r="M877" s="711">
        <f t="shared" si="3197"/>
        <v>525</v>
      </c>
      <c r="N877" s="896">
        <f t="shared" ref="N877" si="3299">IFERROR((M878/M877),"-")</f>
        <v>0</v>
      </c>
      <c r="O877" s="528"/>
      <c r="P877" s="547">
        <v>525</v>
      </c>
      <c r="Q877" s="547">
        <v>525</v>
      </c>
      <c r="R877" s="547">
        <v>525</v>
      </c>
      <c r="S877" s="547">
        <v>525</v>
      </c>
      <c r="T877" s="547">
        <v>450</v>
      </c>
      <c r="U877" s="547">
        <v>450</v>
      </c>
      <c r="V877" s="548">
        <v>0</v>
      </c>
      <c r="W877" s="528"/>
      <c r="X877" s="711">
        <f t="shared" si="3218"/>
        <v>1050</v>
      </c>
      <c r="Y877" s="896">
        <f t="shared" ref="Y877" si="3300">IFERROR((X878/X877),"0")</f>
        <v>0</v>
      </c>
      <c r="Z877" s="528"/>
      <c r="AA877" s="898">
        <v>3654.86</v>
      </c>
      <c r="AB877" s="898">
        <v>3654.8599999999997</v>
      </c>
      <c r="AC877" s="903">
        <v>3000</v>
      </c>
      <c r="AD877" s="896">
        <f t="shared" ref="AD877" si="3301">IFERROR((AC877/AB877),"-")</f>
        <v>0.82082487427699014</v>
      </c>
      <c r="AE877" s="2"/>
      <c r="AF877" s="884">
        <v>0</v>
      </c>
      <c r="AG877" s="884"/>
      <c r="AH877" s="884">
        <v>0</v>
      </c>
      <c r="AI877" s="884"/>
      <c r="AJ877" s="884"/>
      <c r="AK877" s="884">
        <f t="shared" ref="AK877" si="3302">AF877+AG877+AH877+AI877+AJ877+AC877</f>
        <v>3000</v>
      </c>
      <c r="AL877" s="884">
        <v>5227.6100000000006</v>
      </c>
      <c r="AM877" s="878">
        <f t="shared" ref="AM877" si="3303">IFERROR((AK877/AL877),"-")</f>
        <v>0.57387601599966331</v>
      </c>
      <c r="AN877" s="2"/>
      <c r="AO877" s="884">
        <v>5227.53</v>
      </c>
      <c r="AP877" s="884">
        <f t="shared" ref="AP877" si="3304">AO877-AK877</f>
        <v>2227.5299999999997</v>
      </c>
      <c r="AV877" t="str">
        <f t="shared" si="3166"/>
        <v>Sobrelargura</v>
      </c>
      <c r="AW877" s="4" t="str">
        <f t="shared" si="3164"/>
        <v xml:space="preserve">   Remoção de sobrelargura - Aterro 13</v>
      </c>
    </row>
    <row r="878" spans="1:49" ht="15.6" customHeight="1" outlineLevel="2">
      <c r="A878" s="8" t="str">
        <f t="shared" ref="A878" si="3305">A877</f>
        <v>S</v>
      </c>
      <c r="B878" s="150"/>
      <c r="C878" s="150" t="s">
        <v>1245</v>
      </c>
      <c r="D878" s="120" t="s">
        <v>273</v>
      </c>
      <c r="E878" s="893"/>
      <c r="F878" s="902"/>
      <c r="G878" s="528"/>
      <c r="H878" s="549" t="s">
        <v>38</v>
      </c>
      <c r="I878" s="711">
        <v>2100</v>
      </c>
      <c r="J878" s="897"/>
      <c r="K878" s="528"/>
      <c r="L878" s="549" t="s">
        <v>38</v>
      </c>
      <c r="M878" s="711">
        <f t="shared" si="3197"/>
        <v>0</v>
      </c>
      <c r="N878" s="897"/>
      <c r="O878" s="528"/>
      <c r="P878" s="548">
        <v>0</v>
      </c>
      <c r="Q878" s="548">
        <v>0</v>
      </c>
      <c r="R878" s="548">
        <v>0</v>
      </c>
      <c r="S878" s="548">
        <v>0</v>
      </c>
      <c r="T878" s="548">
        <v>0</v>
      </c>
      <c r="U878" s="548">
        <v>0</v>
      </c>
      <c r="V878" s="548">
        <v>0</v>
      </c>
      <c r="W878" s="528"/>
      <c r="X878" s="711">
        <f t="shared" si="3218"/>
        <v>0</v>
      </c>
      <c r="Y878" s="897"/>
      <c r="Z878" s="528"/>
      <c r="AA878" s="899"/>
      <c r="AB878" s="899"/>
      <c r="AC878" s="904"/>
      <c r="AD878" s="905"/>
      <c r="AE878" s="2"/>
      <c r="AF878" s="885"/>
      <c r="AG878" s="885"/>
      <c r="AH878" s="885"/>
      <c r="AI878" s="885"/>
      <c r="AJ878" s="885"/>
      <c r="AK878" s="885"/>
      <c r="AL878" s="885"/>
      <c r="AM878" s="879"/>
      <c r="AN878" s="2"/>
      <c r="AO878" s="886"/>
      <c r="AP878" s="886"/>
      <c r="AV878" t="str">
        <f t="shared" si="3166"/>
        <v>Sobrelargura</v>
      </c>
      <c r="AW878" s="4" t="str">
        <f t="shared" si="3164"/>
        <v xml:space="preserve">   Remoção de sobrelargura - Aterro 13</v>
      </c>
    </row>
    <row r="879" spans="1:49" ht="15.6" customHeight="1" outlineLevel="2">
      <c r="A879" s="8" t="str">
        <f t="shared" ref="A879" si="3306">IF(SUM(P879:V880)&gt;0,"S","N")</f>
        <v>N</v>
      </c>
      <c r="B879" s="150">
        <v>1069827</v>
      </c>
      <c r="C879" s="150" t="s">
        <v>1247</v>
      </c>
      <c r="D879" s="120" t="s">
        <v>1248</v>
      </c>
      <c r="E879" s="892" t="s">
        <v>1226</v>
      </c>
      <c r="F879" s="902" t="s">
        <v>36</v>
      </c>
      <c r="G879" s="528"/>
      <c r="H879" s="546" t="s">
        <v>37</v>
      </c>
      <c r="I879" s="711">
        <v>0</v>
      </c>
      <c r="J879" s="896" t="str">
        <f t="shared" ref="J879" si="3307">IFERROR((I880/I879),"-")</f>
        <v>-</v>
      </c>
      <c r="K879" s="528"/>
      <c r="L879" s="546" t="s">
        <v>37</v>
      </c>
      <c r="M879" s="711">
        <f t="shared" si="3197"/>
        <v>0</v>
      </c>
      <c r="N879" s="896" t="str">
        <f t="shared" ref="N879" si="3308">IFERROR((M880/M879),"-")</f>
        <v>-</v>
      </c>
      <c r="O879" s="528"/>
      <c r="P879" s="547">
        <v>0</v>
      </c>
      <c r="Q879" s="547">
        <v>0</v>
      </c>
      <c r="R879" s="547">
        <v>0</v>
      </c>
      <c r="S879" s="547">
        <v>0</v>
      </c>
      <c r="T879" s="547">
        <v>0</v>
      </c>
      <c r="U879" s="547">
        <v>0</v>
      </c>
      <c r="V879" s="548">
        <v>0</v>
      </c>
      <c r="W879" s="528"/>
      <c r="X879" s="711">
        <f t="shared" si="3218"/>
        <v>0</v>
      </c>
      <c r="Y879" s="896" t="str">
        <f t="shared" ref="Y879" si="3309">IFERROR((X880/X879),"0")</f>
        <v>0</v>
      </c>
      <c r="Z879" s="528"/>
      <c r="AA879" s="898">
        <v>2034.25</v>
      </c>
      <c r="AB879" s="898">
        <v>2034.25</v>
      </c>
      <c r="AC879" s="903">
        <v>0</v>
      </c>
      <c r="AD879" s="896">
        <f t="shared" ref="AD879" si="3310">IFERROR((AC879/AB879),"-")</f>
        <v>0</v>
      </c>
      <c r="AE879" s="2"/>
      <c r="AF879" s="884">
        <v>0</v>
      </c>
      <c r="AG879" s="884"/>
      <c r="AH879" s="884">
        <v>0</v>
      </c>
      <c r="AI879" s="884"/>
      <c r="AJ879" s="884"/>
      <c r="AK879" s="884">
        <f t="shared" ref="AK879" si="3311">AF879+AG879+AH879+AI879+AJ879+AC879</f>
        <v>0</v>
      </c>
      <c r="AL879" s="884">
        <v>2034.25</v>
      </c>
      <c r="AM879" s="878">
        <f t="shared" ref="AM879" si="3312">IFERROR((AK879/AL879),"-")</f>
        <v>0</v>
      </c>
      <c r="AN879" s="2"/>
      <c r="AO879" s="884">
        <v>2034.25</v>
      </c>
      <c r="AP879" s="884">
        <f t="shared" ref="AP879" si="3313">AO879-AK879</f>
        <v>2034.25</v>
      </c>
      <c r="AV879" t="str">
        <f t="shared" si="3166"/>
        <v>Sobrelargura</v>
      </c>
      <c r="AW879" s="4" t="str">
        <f t="shared" si="3164"/>
        <v xml:space="preserve">   Remoção de sobrelargura</v>
      </c>
    </row>
    <row r="880" spans="1:49" ht="15.6" customHeight="1" outlineLevel="2">
      <c r="A880" s="8" t="str">
        <f t="shared" ref="A880" si="3314">A879</f>
        <v>N</v>
      </c>
      <c r="B880" s="150"/>
      <c r="C880" s="150" t="s">
        <v>1247</v>
      </c>
      <c r="D880" s="120" t="s">
        <v>1248</v>
      </c>
      <c r="E880" s="893"/>
      <c r="F880" s="902"/>
      <c r="G880" s="528"/>
      <c r="H880" s="549" t="s">
        <v>38</v>
      </c>
      <c r="I880" s="711">
        <v>0</v>
      </c>
      <c r="J880" s="897"/>
      <c r="K880" s="528"/>
      <c r="L880" s="549" t="s">
        <v>38</v>
      </c>
      <c r="M880" s="711">
        <f t="shared" si="3197"/>
        <v>0</v>
      </c>
      <c r="N880" s="897"/>
      <c r="O880" s="528"/>
      <c r="P880" s="548">
        <v>0</v>
      </c>
      <c r="Q880" s="548">
        <v>0</v>
      </c>
      <c r="R880" s="548">
        <v>0</v>
      </c>
      <c r="S880" s="548">
        <v>0</v>
      </c>
      <c r="T880" s="548">
        <v>0</v>
      </c>
      <c r="U880" s="548">
        <v>0</v>
      </c>
      <c r="V880" s="548">
        <v>0</v>
      </c>
      <c r="W880" s="528"/>
      <c r="X880" s="711">
        <f t="shared" si="3218"/>
        <v>0</v>
      </c>
      <c r="Y880" s="897"/>
      <c r="Z880" s="528"/>
      <c r="AA880" s="899"/>
      <c r="AB880" s="899"/>
      <c r="AC880" s="904"/>
      <c r="AD880" s="905"/>
      <c r="AE880" s="2"/>
      <c r="AF880" s="885"/>
      <c r="AG880" s="885"/>
      <c r="AH880" s="885"/>
      <c r="AI880" s="885"/>
      <c r="AJ880" s="885"/>
      <c r="AK880" s="885"/>
      <c r="AL880" s="885"/>
      <c r="AM880" s="879"/>
      <c r="AN880" s="2"/>
      <c r="AO880" s="886"/>
      <c r="AP880" s="886"/>
      <c r="AV880" t="str">
        <f t="shared" si="3166"/>
        <v>Sobrelargura</v>
      </c>
      <c r="AW880" s="4" t="str">
        <f t="shared" si="3164"/>
        <v xml:space="preserve">   Remoção de sobrelargura</v>
      </c>
    </row>
    <row r="881" spans="1:49" ht="15.6" customHeight="1" outlineLevel="2">
      <c r="A881" s="8" t="str">
        <f t="shared" ref="A881" si="3315">IF(SUM(P881:V882)&gt;0,"S","N")</f>
        <v>N</v>
      </c>
      <c r="B881" s="150">
        <v>1069828</v>
      </c>
      <c r="C881" s="150" t="s">
        <v>1249</v>
      </c>
      <c r="D881" s="120" t="s">
        <v>1250</v>
      </c>
      <c r="E881" s="892" t="s">
        <v>1226</v>
      </c>
      <c r="F881" s="902" t="s">
        <v>36</v>
      </c>
      <c r="G881" s="528"/>
      <c r="H881" s="546" t="s">
        <v>37</v>
      </c>
      <c r="I881" s="711">
        <v>0</v>
      </c>
      <c r="J881" s="896" t="str">
        <f t="shared" ref="J881" si="3316">IFERROR((I882/I881),"-")</f>
        <v>-</v>
      </c>
      <c r="K881" s="528"/>
      <c r="L881" s="546" t="s">
        <v>37</v>
      </c>
      <c r="M881" s="711">
        <f t="shared" si="3197"/>
        <v>0</v>
      </c>
      <c r="N881" s="896" t="str">
        <f t="shared" ref="N881" si="3317">IFERROR((M882/M881),"-")</f>
        <v>-</v>
      </c>
      <c r="O881" s="528"/>
      <c r="P881" s="547">
        <v>0</v>
      </c>
      <c r="Q881" s="547">
        <v>0</v>
      </c>
      <c r="R881" s="547">
        <v>0</v>
      </c>
      <c r="S881" s="547">
        <v>0</v>
      </c>
      <c r="T881" s="547">
        <v>0</v>
      </c>
      <c r="U881" s="547">
        <v>0</v>
      </c>
      <c r="V881" s="548">
        <v>0</v>
      </c>
      <c r="W881" s="528"/>
      <c r="X881" s="711">
        <f t="shared" si="3218"/>
        <v>0</v>
      </c>
      <c r="Y881" s="896" t="str">
        <f t="shared" ref="Y881" si="3318">IFERROR((X882/X881),"0")</f>
        <v>0</v>
      </c>
      <c r="Z881" s="528"/>
      <c r="AA881" s="898">
        <v>2034.25</v>
      </c>
      <c r="AB881" s="898">
        <v>2034.25</v>
      </c>
      <c r="AC881" s="903">
        <v>0</v>
      </c>
      <c r="AD881" s="896">
        <f t="shared" ref="AD881" si="3319">IFERROR((AC881/AB881),"-")</f>
        <v>0</v>
      </c>
      <c r="AE881" s="2"/>
      <c r="AF881" s="884">
        <v>0</v>
      </c>
      <c r="AG881" s="884"/>
      <c r="AH881" s="884">
        <v>0</v>
      </c>
      <c r="AI881" s="884"/>
      <c r="AJ881" s="884"/>
      <c r="AK881" s="884">
        <f t="shared" ref="AK881" si="3320">AF881+AG881+AH881+AI881+AJ881+AC881</f>
        <v>0</v>
      </c>
      <c r="AL881" s="884">
        <v>2034.25</v>
      </c>
      <c r="AM881" s="878">
        <f t="shared" ref="AM881" si="3321">IFERROR((AK881/AL881),"-")</f>
        <v>0</v>
      </c>
      <c r="AN881" s="2"/>
      <c r="AO881" s="884">
        <v>2034.25</v>
      </c>
      <c r="AP881" s="884">
        <f t="shared" ref="AP881" si="3322">AO881-AK881</f>
        <v>2034.25</v>
      </c>
      <c r="AV881" t="str">
        <f t="shared" si="3166"/>
        <v>Sobrelargura</v>
      </c>
      <c r="AW881" s="4" t="str">
        <f t="shared" si="3164"/>
        <v xml:space="preserve">   Remoção de sobrelargura</v>
      </c>
    </row>
    <row r="882" spans="1:49" ht="15.6" customHeight="1" outlineLevel="2">
      <c r="A882" s="8" t="str">
        <f t="shared" ref="A882" si="3323">A881</f>
        <v>N</v>
      </c>
      <c r="B882" s="150"/>
      <c r="C882" s="150" t="s">
        <v>1249</v>
      </c>
      <c r="D882" s="120" t="s">
        <v>1250</v>
      </c>
      <c r="E882" s="893"/>
      <c r="F882" s="902"/>
      <c r="G882" s="528"/>
      <c r="H882" s="549" t="s">
        <v>38</v>
      </c>
      <c r="I882" s="711">
        <v>0</v>
      </c>
      <c r="J882" s="897"/>
      <c r="K882" s="528"/>
      <c r="L882" s="549" t="s">
        <v>38</v>
      </c>
      <c r="M882" s="711">
        <f t="shared" si="3197"/>
        <v>0</v>
      </c>
      <c r="N882" s="897"/>
      <c r="O882" s="528"/>
      <c r="P882" s="548">
        <v>0</v>
      </c>
      <c r="Q882" s="548">
        <v>0</v>
      </c>
      <c r="R882" s="548">
        <v>0</v>
      </c>
      <c r="S882" s="548">
        <v>0</v>
      </c>
      <c r="T882" s="548">
        <v>0</v>
      </c>
      <c r="U882" s="548">
        <v>0</v>
      </c>
      <c r="V882" s="548">
        <v>0</v>
      </c>
      <c r="W882" s="528"/>
      <c r="X882" s="711">
        <f t="shared" si="3218"/>
        <v>0</v>
      </c>
      <c r="Y882" s="897"/>
      <c r="Z882" s="528"/>
      <c r="AA882" s="899"/>
      <c r="AB882" s="899"/>
      <c r="AC882" s="904"/>
      <c r="AD882" s="905"/>
      <c r="AE882" s="2"/>
      <c r="AF882" s="885"/>
      <c r="AG882" s="885"/>
      <c r="AH882" s="885"/>
      <c r="AI882" s="885"/>
      <c r="AJ882" s="885"/>
      <c r="AK882" s="885"/>
      <c r="AL882" s="885"/>
      <c r="AM882" s="879"/>
      <c r="AN882" s="2"/>
      <c r="AO882" s="886"/>
      <c r="AP882" s="886"/>
      <c r="AV882" t="str">
        <f t="shared" si="3166"/>
        <v>Sobrelargura</v>
      </c>
      <c r="AW882" s="4" t="str">
        <f t="shared" si="3164"/>
        <v xml:space="preserve">   Remoção de sobrelargura</v>
      </c>
    </row>
    <row r="883" spans="1:49" ht="15.6" customHeight="1" outlineLevel="2">
      <c r="A883" s="209" t="str">
        <f t="shared" ref="A883" si="3324">IF(SUM(P883:V884)&gt;0,"S","N")</f>
        <v>N</v>
      </c>
      <c r="B883" s="150" t="s">
        <v>266</v>
      </c>
      <c r="C883" s="150" t="s">
        <v>266</v>
      </c>
      <c r="D883" s="150" t="s">
        <v>266</v>
      </c>
      <c r="E883" s="892"/>
      <c r="F883" s="902" t="s">
        <v>36</v>
      </c>
      <c r="G883" s="528"/>
      <c r="H883" s="546" t="s">
        <v>37</v>
      </c>
      <c r="I883" s="711">
        <v>0</v>
      </c>
      <c r="J883" s="896" t="str">
        <f t="shared" ref="J883" si="3325">IFERROR((I884/I883),"-")</f>
        <v>-</v>
      </c>
      <c r="K883" s="528"/>
      <c r="L883" s="546" t="s">
        <v>37</v>
      </c>
      <c r="M883" s="711">
        <f t="shared" si="3197"/>
        <v>0</v>
      </c>
      <c r="N883" s="896" t="str">
        <f t="shared" ref="N883" si="3326">IFERROR((M884/M883),"-")</f>
        <v>-</v>
      </c>
      <c r="O883" s="528"/>
      <c r="P883" s="547">
        <v>0</v>
      </c>
      <c r="Q883" s="547">
        <v>0</v>
      </c>
      <c r="R883" s="547">
        <v>0</v>
      </c>
      <c r="S883" s="547">
        <v>0</v>
      </c>
      <c r="T883" s="547">
        <v>0</v>
      </c>
      <c r="U883" s="547">
        <v>0</v>
      </c>
      <c r="V883" s="548">
        <v>0</v>
      </c>
      <c r="W883" s="528"/>
      <c r="X883" s="711">
        <f t="shared" si="3218"/>
        <v>0</v>
      </c>
      <c r="Y883" s="896" t="str">
        <f t="shared" ref="Y883" si="3327">IFERROR((X884/X883),"0")</f>
        <v>0</v>
      </c>
      <c r="Z883" s="528"/>
      <c r="AA883" s="898">
        <v>0</v>
      </c>
      <c r="AB883" s="898">
        <v>0</v>
      </c>
      <c r="AC883" s="903">
        <v>0</v>
      </c>
      <c r="AD883" s="896" t="str">
        <f t="shared" ref="AD883" si="3328">IFERROR((AC883/AB883),"-")</f>
        <v>-</v>
      </c>
      <c r="AE883" s="2"/>
      <c r="AF883" s="884">
        <v>0</v>
      </c>
      <c r="AG883" s="884"/>
      <c r="AH883" s="884">
        <v>0</v>
      </c>
      <c r="AI883" s="884"/>
      <c r="AJ883" s="884"/>
      <c r="AK883" s="884">
        <f t="shared" ref="AK883" si="3329">AF883+AG883+AH883+AI883+AJ883+AC883</f>
        <v>0</v>
      </c>
      <c r="AL883" s="884">
        <v>0</v>
      </c>
      <c r="AM883" s="878" t="str">
        <f t="shared" ref="AM883" si="3330">IFERROR((AK883/AL883),"-")</f>
        <v>-</v>
      </c>
      <c r="AN883" s="2"/>
      <c r="AO883" s="884">
        <v>0</v>
      </c>
      <c r="AP883" s="884">
        <f t="shared" ref="AP883" si="3331">AO883-AK883</f>
        <v>0</v>
      </c>
      <c r="AV883" t="str">
        <f t="shared" si="3166"/>
        <v>Sobrelargura</v>
      </c>
      <c r="AW883" s="4" t="str">
        <f t="shared" si="3164"/>
        <v xml:space="preserve">   Remoção de sobrelargura</v>
      </c>
    </row>
    <row r="884" spans="1:49" ht="15.6" customHeight="1" outlineLevel="2">
      <c r="A884" s="209" t="str">
        <f t="shared" ref="A884" si="3332">A883</f>
        <v>N</v>
      </c>
      <c r="B884" s="150"/>
      <c r="C884" s="150" t="s">
        <v>266</v>
      </c>
      <c r="D884" s="120"/>
      <c r="E884" s="893"/>
      <c r="F884" s="902"/>
      <c r="G884" s="528"/>
      <c r="H884" s="549" t="s">
        <v>38</v>
      </c>
      <c r="I884" s="711">
        <v>0</v>
      </c>
      <c r="J884" s="897"/>
      <c r="K884" s="528"/>
      <c r="L884" s="549" t="s">
        <v>38</v>
      </c>
      <c r="M884" s="711">
        <f t="shared" si="3197"/>
        <v>0</v>
      </c>
      <c r="N884" s="897"/>
      <c r="O884" s="528"/>
      <c r="P884" s="548">
        <v>0</v>
      </c>
      <c r="Q884" s="548">
        <v>0</v>
      </c>
      <c r="R884" s="548">
        <v>0</v>
      </c>
      <c r="S884" s="548">
        <v>0</v>
      </c>
      <c r="T884" s="548">
        <v>0</v>
      </c>
      <c r="U884" s="548">
        <v>0</v>
      </c>
      <c r="V884" s="548">
        <v>0</v>
      </c>
      <c r="W884" s="528"/>
      <c r="X884" s="711">
        <f t="shared" si="3218"/>
        <v>0</v>
      </c>
      <c r="Y884" s="897"/>
      <c r="Z884" s="528"/>
      <c r="AA884" s="899"/>
      <c r="AB884" s="899"/>
      <c r="AC884" s="904"/>
      <c r="AD884" s="905"/>
      <c r="AE884" s="2"/>
      <c r="AF884" s="885"/>
      <c r="AG884" s="885"/>
      <c r="AH884" s="885"/>
      <c r="AI884" s="885"/>
      <c r="AJ884" s="885"/>
      <c r="AK884" s="885"/>
      <c r="AL884" s="885"/>
      <c r="AM884" s="879"/>
      <c r="AN884" s="2"/>
      <c r="AO884" s="886"/>
      <c r="AP884" s="886"/>
      <c r="AV884" t="str">
        <f t="shared" si="3166"/>
        <v>Sobrelargura</v>
      </c>
      <c r="AW884" s="4" t="str">
        <f t="shared" si="3164"/>
        <v xml:space="preserve">   Remoção de sobrelargura</v>
      </c>
    </row>
    <row r="885" spans="1:49" ht="15.6" customHeight="1" outlineLevel="2">
      <c r="A885" s="209">
        <v>0</v>
      </c>
      <c r="B885" s="150"/>
      <c r="C885" s="150"/>
      <c r="D885" s="117"/>
      <c r="E885" s="535"/>
      <c r="F885" s="536"/>
      <c r="G885" s="537"/>
      <c r="H885" s="714"/>
      <c r="I885" s="555"/>
      <c r="J885" s="714"/>
      <c r="K885" s="537"/>
      <c r="L885" s="714"/>
      <c r="M885" s="555"/>
      <c r="N885" s="714"/>
      <c r="O885" s="537"/>
      <c r="P885" s="539"/>
      <c r="Q885" s="539"/>
      <c r="R885" s="539"/>
      <c r="S885" s="539"/>
      <c r="T885" s="539"/>
      <c r="U885" s="539"/>
      <c r="V885" s="539"/>
      <c r="W885" s="537"/>
      <c r="X885" s="540"/>
      <c r="Y885" s="537"/>
      <c r="Z885" s="537"/>
      <c r="AA885" s="249"/>
      <c r="AB885" s="249"/>
      <c r="AC885" s="249"/>
      <c r="AD885" s="537"/>
      <c r="AE885" s="3"/>
      <c r="AF885" s="35"/>
      <c r="AG885" s="35"/>
      <c r="AH885" s="35"/>
      <c r="AI885" s="35"/>
      <c r="AJ885" s="35"/>
      <c r="AK885" s="35"/>
      <c r="AL885" s="35"/>
      <c r="AM885" s="3"/>
      <c r="AN885" s="3"/>
      <c r="AO885" s="35"/>
      <c r="AP885" s="35"/>
      <c r="AV885" t="str">
        <f t="shared" si="3166"/>
        <v>Sobrelargura</v>
      </c>
      <c r="AW885" s="4" t="str">
        <f t="shared" si="3164"/>
        <v xml:space="preserve">   Remoção de sobrelargura</v>
      </c>
    </row>
    <row r="886" spans="1:49" ht="15.6" customHeight="1" outlineLevel="2">
      <c r="A886" s="209">
        <v>0</v>
      </c>
      <c r="B886" s="150"/>
      <c r="C886" s="150"/>
      <c r="D886" s="122"/>
      <c r="E886" s="933" t="s">
        <v>41</v>
      </c>
      <c r="F886" s="868" t="s">
        <v>36</v>
      </c>
      <c r="G886" s="528"/>
      <c r="H886" s="542" t="s">
        <v>37</v>
      </c>
      <c r="I886" s="543">
        <f>SUMIF($L888:$L921,$L886,I888:I921)</f>
        <v>0</v>
      </c>
      <c r="J886" s="860" t="str">
        <f>IFERROR((I887/I886),"-")</f>
        <v>-</v>
      </c>
      <c r="K886" s="528"/>
      <c r="L886" s="542" t="s">
        <v>37</v>
      </c>
      <c r="M886" s="543">
        <f>SUMIF($L888:$L921,$L886,M888:M921)</f>
        <v>0</v>
      </c>
      <c r="N886" s="860" t="str">
        <f>IFERROR((M887/M886),"-")</f>
        <v>-</v>
      </c>
      <c r="O886" s="528"/>
      <c r="P886" s="543">
        <f t="shared" ref="P886:U886" si="3333">SUMIF($L888:$L921,$L886,P888:P921)</f>
        <v>0</v>
      </c>
      <c r="Q886" s="543">
        <f t="shared" si="3333"/>
        <v>0</v>
      </c>
      <c r="R886" s="543">
        <f t="shared" si="3333"/>
        <v>0</v>
      </c>
      <c r="S886" s="543">
        <f t="shared" si="3333"/>
        <v>0</v>
      </c>
      <c r="T886" s="543">
        <f t="shared" si="3333"/>
        <v>0</v>
      </c>
      <c r="U886" s="543">
        <f t="shared" si="3333"/>
        <v>0</v>
      </c>
      <c r="V886" s="543"/>
      <c r="W886" s="528"/>
      <c r="X886" s="543">
        <f t="shared" ref="X886:X921" si="3334">SUMIFS(P886:V886,$P$8:$V$8,"&gt;="&amp;$P$8,$P$8:$V$8,"&lt;="&amp;$N$8)</f>
        <v>0</v>
      </c>
      <c r="Y886" s="860" t="str">
        <f>IFERROR((X887/X886),"-")</f>
        <v>-</v>
      </c>
      <c r="Z886" s="528"/>
      <c r="AA886" s="814">
        <f>SUM(AA888:AA921)</f>
        <v>65568.990000000005</v>
      </c>
      <c r="AB886" s="814">
        <f>SUM(AB888:AB921)</f>
        <v>11371.39</v>
      </c>
      <c r="AC886" s="814">
        <f>SUM(AC888:AC921)</f>
        <v>0</v>
      </c>
      <c r="AD886" s="900">
        <f t="shared" ref="AD886" si="3335">IFERROR((AC886/AB886),"-")</f>
        <v>0</v>
      </c>
      <c r="AE886" s="2"/>
      <c r="AF886" s="888">
        <f t="shared" ref="AF886:AL886" si="3336">SUM(AF888:AF921)</f>
        <v>0</v>
      </c>
      <c r="AG886" s="888">
        <f t="shared" si="3336"/>
        <v>0</v>
      </c>
      <c r="AH886" s="888">
        <f t="shared" si="3336"/>
        <v>0</v>
      </c>
      <c r="AI886" s="888">
        <f t="shared" si="3336"/>
        <v>0</v>
      </c>
      <c r="AJ886" s="888">
        <f t="shared" si="3336"/>
        <v>0</v>
      </c>
      <c r="AK886" s="888">
        <f t="shared" si="3336"/>
        <v>0</v>
      </c>
      <c r="AL886" s="888">
        <f t="shared" si="3336"/>
        <v>51608.71</v>
      </c>
      <c r="AM886" s="743">
        <f>IFERROR((AK886/AL886),"-")</f>
        <v>0</v>
      </c>
      <c r="AN886" s="2"/>
      <c r="AO886" s="888">
        <f>SUM(AO888:AO921)</f>
        <v>105806.29000000001</v>
      </c>
      <c r="AP886" s="888">
        <f>SUM(AP888:AP921)</f>
        <v>105806.29000000001</v>
      </c>
      <c r="AV886" t="str">
        <f t="shared" si="3166"/>
        <v>Sobrelargura</v>
      </c>
      <c r="AW886" s="4" t="str">
        <f t="shared" si="3164"/>
        <v>Pacote 04 - Segmento 2.3 - Km 116+517 a 131+241</v>
      </c>
    </row>
    <row r="887" spans="1:49" ht="13.35" customHeight="1" outlineLevel="2">
      <c r="A887" s="209">
        <v>0</v>
      </c>
      <c r="B887" s="150"/>
      <c r="C887" s="150">
        <v>0</v>
      </c>
      <c r="D887" s="123"/>
      <c r="E887" s="934"/>
      <c r="F887" s="869"/>
      <c r="G887" s="528"/>
      <c r="H887" s="544" t="s">
        <v>38</v>
      </c>
      <c r="I887" s="543">
        <f>SUMIF($L888:$L921,$L887,I888:I921)</f>
        <v>0</v>
      </c>
      <c r="J887" s="861"/>
      <c r="K887" s="528"/>
      <c r="L887" s="544" t="s">
        <v>38</v>
      </c>
      <c r="M887" s="543">
        <f>SUMIF($L888:$L921,$L887,M888:M921)</f>
        <v>0</v>
      </c>
      <c r="N887" s="861"/>
      <c r="O887" s="528"/>
      <c r="P887" s="543">
        <f t="shared" ref="P887:U887" si="3337">SUMIF($L888:$L921,$L887,P888:P921)</f>
        <v>0</v>
      </c>
      <c r="Q887" s="543">
        <f t="shared" si="3337"/>
        <v>0</v>
      </c>
      <c r="R887" s="543">
        <f t="shared" si="3337"/>
        <v>0</v>
      </c>
      <c r="S887" s="543">
        <f t="shared" si="3337"/>
        <v>0</v>
      </c>
      <c r="T887" s="543">
        <f t="shared" si="3337"/>
        <v>0</v>
      </c>
      <c r="U887" s="543">
        <f t="shared" si="3337"/>
        <v>0</v>
      </c>
      <c r="V887" s="543"/>
      <c r="W887" s="528"/>
      <c r="X887" s="543">
        <f t="shared" si="3334"/>
        <v>0</v>
      </c>
      <c r="Y887" s="861"/>
      <c r="Z887" s="528"/>
      <c r="AA887" s="815"/>
      <c r="AB887" s="815"/>
      <c r="AC887" s="815"/>
      <c r="AD887" s="901"/>
      <c r="AE887" s="2"/>
      <c r="AF887" s="889"/>
      <c r="AG887" s="889"/>
      <c r="AH887" s="889"/>
      <c r="AI887" s="889"/>
      <c r="AJ887" s="889"/>
      <c r="AK887" s="889"/>
      <c r="AL887" s="889"/>
      <c r="AM887" s="744"/>
      <c r="AN887" s="2"/>
      <c r="AO887" s="888"/>
      <c r="AP887" s="888"/>
      <c r="AV887" t="str">
        <f t="shared" si="3166"/>
        <v>Sobrelargura</v>
      </c>
      <c r="AW887" s="4" t="str">
        <f t="shared" si="3164"/>
        <v>Pacote 04 - Segmento 2.3 - Km 116+517 a 131+241</v>
      </c>
    </row>
    <row r="888" spans="1:49" ht="13.35" customHeight="1" outlineLevel="2">
      <c r="A888" s="8" t="str">
        <f t="shared" ref="A888" si="3338">IF(SUM(P888:V889)&gt;0,"S","N")</f>
        <v>N</v>
      </c>
      <c r="B888" s="150">
        <v>1069131</v>
      </c>
      <c r="C888" s="150" t="s">
        <v>1251</v>
      </c>
      <c r="D888" s="120" t="s">
        <v>1252</v>
      </c>
      <c r="E888" s="892" t="s">
        <v>1226</v>
      </c>
      <c r="F888" s="902" t="s">
        <v>36</v>
      </c>
      <c r="G888" s="528"/>
      <c r="H888" s="546" t="s">
        <v>37</v>
      </c>
      <c r="I888" s="711">
        <v>0</v>
      </c>
      <c r="J888" s="896" t="str">
        <f t="shared" ref="J888" si="3339">IFERROR((I889/I888),"-")</f>
        <v>-</v>
      </c>
      <c r="K888" s="528"/>
      <c r="L888" s="546" t="s">
        <v>37</v>
      </c>
      <c r="M888" s="711">
        <f t="shared" ref="M888:M921" si="3340">_xlfn.XLOOKUP($N$8,$P$8:$V$8,$P888:$V888)</f>
        <v>0</v>
      </c>
      <c r="N888" s="896" t="str">
        <f t="shared" ref="N888" si="3341">IFERROR((M889/M888),"-")</f>
        <v>-</v>
      </c>
      <c r="O888" s="528"/>
      <c r="P888" s="547">
        <v>0</v>
      </c>
      <c r="Q888" s="547">
        <v>0</v>
      </c>
      <c r="R888" s="547">
        <v>0</v>
      </c>
      <c r="S888" s="547">
        <v>0</v>
      </c>
      <c r="T888" s="547">
        <v>0</v>
      </c>
      <c r="U888" s="547">
        <v>0</v>
      </c>
      <c r="V888" s="548">
        <v>0</v>
      </c>
      <c r="W888" s="528"/>
      <c r="X888" s="711">
        <f t="shared" si="3334"/>
        <v>0</v>
      </c>
      <c r="Y888" s="896" t="str">
        <f t="shared" ref="Y888" si="3342">IFERROR((X889/X888),"0")</f>
        <v>0</v>
      </c>
      <c r="Z888" s="528"/>
      <c r="AA888" s="898">
        <v>1900.02</v>
      </c>
      <c r="AB888" s="898">
        <v>1900.02</v>
      </c>
      <c r="AC888" s="903">
        <v>0</v>
      </c>
      <c r="AD888" s="896">
        <f t="shared" ref="AD888" si="3343">IFERROR((AC888/AB888),"-")</f>
        <v>0</v>
      </c>
      <c r="AE888" s="2"/>
      <c r="AF888" s="884">
        <v>0</v>
      </c>
      <c r="AG888" s="884"/>
      <c r="AH888" s="884"/>
      <c r="AI888" s="884"/>
      <c r="AJ888" s="884"/>
      <c r="AK888" s="884">
        <f t="shared" ref="AK888" si="3344">AF888+AG888+AH888+AI888+AJ888+AC888</f>
        <v>0</v>
      </c>
      <c r="AL888" s="884">
        <v>1900.02</v>
      </c>
      <c r="AM888" s="878">
        <f t="shared" ref="AM888" si="3345">IFERROR((AK888/AL888),"-")</f>
        <v>0</v>
      </c>
      <c r="AN888" s="2"/>
      <c r="AO888" s="884">
        <v>1900.02</v>
      </c>
      <c r="AP888" s="884">
        <f t="shared" ref="AP888" si="3346">AO888-AK888</f>
        <v>1900.02</v>
      </c>
      <c r="AV888" t="str">
        <f t="shared" si="3166"/>
        <v>Sobrelargura</v>
      </c>
      <c r="AW888" s="4" t="str">
        <f t="shared" si="3164"/>
        <v xml:space="preserve">   Remoção de sobrelargura</v>
      </c>
    </row>
    <row r="889" spans="1:49" ht="14.45" customHeight="1" outlineLevel="2">
      <c r="A889" s="8" t="str">
        <f t="shared" ref="A889" si="3347">A888</f>
        <v>N</v>
      </c>
      <c r="B889" s="150"/>
      <c r="C889" s="150" t="s">
        <v>1251</v>
      </c>
      <c r="D889" s="120" t="s">
        <v>1252</v>
      </c>
      <c r="E889" s="893"/>
      <c r="F889" s="902"/>
      <c r="G889" s="528"/>
      <c r="H889" s="549" t="s">
        <v>38</v>
      </c>
      <c r="I889" s="711">
        <v>0</v>
      </c>
      <c r="J889" s="897"/>
      <c r="K889" s="528"/>
      <c r="L889" s="549" t="s">
        <v>38</v>
      </c>
      <c r="M889" s="711">
        <f t="shared" si="3340"/>
        <v>0</v>
      </c>
      <c r="N889" s="897"/>
      <c r="O889" s="528"/>
      <c r="P889" s="548">
        <v>0</v>
      </c>
      <c r="Q889" s="548">
        <v>0</v>
      </c>
      <c r="R889" s="548">
        <v>0</v>
      </c>
      <c r="S889" s="548">
        <v>0</v>
      </c>
      <c r="T889" s="548">
        <v>0</v>
      </c>
      <c r="U889" s="548">
        <v>0</v>
      </c>
      <c r="V889" s="548">
        <v>0</v>
      </c>
      <c r="W889" s="528"/>
      <c r="X889" s="711">
        <f t="shared" si="3334"/>
        <v>0</v>
      </c>
      <c r="Y889" s="897"/>
      <c r="Z889" s="528"/>
      <c r="AA889" s="899"/>
      <c r="AB889" s="899"/>
      <c r="AC889" s="904"/>
      <c r="AD889" s="905"/>
      <c r="AE889" s="2"/>
      <c r="AF889" s="885"/>
      <c r="AG889" s="885"/>
      <c r="AH889" s="885"/>
      <c r="AI889" s="885"/>
      <c r="AJ889" s="885"/>
      <c r="AK889" s="885"/>
      <c r="AL889" s="885"/>
      <c r="AM889" s="879"/>
      <c r="AN889" s="2"/>
      <c r="AO889" s="886"/>
      <c r="AP889" s="886"/>
      <c r="AV889" t="str">
        <f t="shared" si="3166"/>
        <v>Sobrelargura</v>
      </c>
      <c r="AW889" s="4" t="str">
        <f t="shared" si="3164"/>
        <v xml:space="preserve">   Remoção de sobrelargura</v>
      </c>
    </row>
    <row r="890" spans="1:49" ht="14.45" customHeight="1" outlineLevel="2">
      <c r="A890" s="8" t="str">
        <f t="shared" ref="A890" si="3348">IF(SUM(P890:V891)&gt;0,"S","N")</f>
        <v>N</v>
      </c>
      <c r="B890" s="150">
        <v>1069132</v>
      </c>
      <c r="C890" s="150" t="s">
        <v>1253</v>
      </c>
      <c r="D890" s="120" t="s">
        <v>1254</v>
      </c>
      <c r="E890" s="892" t="s">
        <v>1226</v>
      </c>
      <c r="F890" s="902" t="s">
        <v>36</v>
      </c>
      <c r="G890" s="528"/>
      <c r="H890" s="546" t="s">
        <v>37</v>
      </c>
      <c r="I890" s="711">
        <v>0</v>
      </c>
      <c r="J890" s="896" t="str">
        <f t="shared" ref="J890" si="3349">IFERROR((I891/I890),"-")</f>
        <v>-</v>
      </c>
      <c r="K890" s="528"/>
      <c r="L890" s="546" t="s">
        <v>37</v>
      </c>
      <c r="M890" s="711">
        <f t="shared" si="3340"/>
        <v>0</v>
      </c>
      <c r="N890" s="896" t="str">
        <f t="shared" ref="N890" si="3350">IFERROR((M891/M890),"-")</f>
        <v>-</v>
      </c>
      <c r="O890" s="528"/>
      <c r="P890" s="547">
        <v>0</v>
      </c>
      <c r="Q890" s="547">
        <v>0</v>
      </c>
      <c r="R890" s="547">
        <v>0</v>
      </c>
      <c r="S890" s="547">
        <v>0</v>
      </c>
      <c r="T890" s="547">
        <v>0</v>
      </c>
      <c r="U890" s="547">
        <v>0</v>
      </c>
      <c r="V890" s="548">
        <v>0</v>
      </c>
      <c r="W890" s="528"/>
      <c r="X890" s="711">
        <f t="shared" si="3334"/>
        <v>0</v>
      </c>
      <c r="Y890" s="896" t="str">
        <f t="shared" ref="Y890" si="3351">IFERROR((X891/X890),"0")</f>
        <v>0</v>
      </c>
      <c r="Z890" s="528"/>
      <c r="AA890" s="898">
        <v>5667.18</v>
      </c>
      <c r="AB890" s="898">
        <v>5667.1900000000005</v>
      </c>
      <c r="AC890" s="903">
        <v>0</v>
      </c>
      <c r="AD890" s="896">
        <f t="shared" ref="AD890" si="3352">IFERROR((AC890/AB890),"-")</f>
        <v>0</v>
      </c>
      <c r="AE890" s="2"/>
      <c r="AF890" s="884">
        <v>0</v>
      </c>
      <c r="AG890" s="884"/>
      <c r="AH890" s="884"/>
      <c r="AI890" s="884"/>
      <c r="AJ890" s="884"/>
      <c r="AK890" s="884">
        <f t="shared" ref="AK890" si="3353">AF890+AG890+AH890+AI890+AJ890+AC890</f>
        <v>0</v>
      </c>
      <c r="AL890" s="884">
        <v>5667.1900000000005</v>
      </c>
      <c r="AM890" s="878">
        <f t="shared" ref="AM890" si="3354">IFERROR((AK890/AL890),"-")</f>
        <v>0</v>
      </c>
      <c r="AN890" s="2"/>
      <c r="AO890" s="884">
        <v>5667.18</v>
      </c>
      <c r="AP890" s="884">
        <f t="shared" ref="AP890" si="3355">AO890-AK890</f>
        <v>5667.18</v>
      </c>
      <c r="AV890" t="str">
        <f t="shared" si="3166"/>
        <v>Sobrelargura</v>
      </c>
      <c r="AW890" s="4" t="str">
        <f t="shared" si="3164"/>
        <v xml:space="preserve">   Remoção de sobrelargura</v>
      </c>
    </row>
    <row r="891" spans="1:49" ht="15.6" customHeight="1" outlineLevel="2">
      <c r="A891" s="8" t="str">
        <f t="shared" ref="A891" si="3356">A890</f>
        <v>N</v>
      </c>
      <c r="B891" s="150"/>
      <c r="C891" s="150" t="s">
        <v>1253</v>
      </c>
      <c r="D891" s="120" t="s">
        <v>1254</v>
      </c>
      <c r="E891" s="893"/>
      <c r="F891" s="902"/>
      <c r="G891" s="528"/>
      <c r="H891" s="549" t="s">
        <v>38</v>
      </c>
      <c r="I891" s="711">
        <v>0</v>
      </c>
      <c r="J891" s="897"/>
      <c r="K891" s="528"/>
      <c r="L891" s="549" t="s">
        <v>38</v>
      </c>
      <c r="M891" s="711">
        <f t="shared" si="3340"/>
        <v>0</v>
      </c>
      <c r="N891" s="897"/>
      <c r="O891" s="528"/>
      <c r="P891" s="548">
        <v>0</v>
      </c>
      <c r="Q891" s="548">
        <v>0</v>
      </c>
      <c r="R891" s="548">
        <v>0</v>
      </c>
      <c r="S891" s="548">
        <v>0</v>
      </c>
      <c r="T891" s="548">
        <v>0</v>
      </c>
      <c r="U891" s="548">
        <v>0</v>
      </c>
      <c r="V891" s="548">
        <v>0</v>
      </c>
      <c r="W891" s="528"/>
      <c r="X891" s="711">
        <f t="shared" si="3334"/>
        <v>0</v>
      </c>
      <c r="Y891" s="897"/>
      <c r="Z891" s="528"/>
      <c r="AA891" s="899"/>
      <c r="AB891" s="899"/>
      <c r="AC891" s="904"/>
      <c r="AD891" s="905"/>
      <c r="AE891" s="2"/>
      <c r="AF891" s="885"/>
      <c r="AG891" s="885"/>
      <c r="AH891" s="885"/>
      <c r="AI891" s="885"/>
      <c r="AJ891" s="885"/>
      <c r="AK891" s="885"/>
      <c r="AL891" s="885"/>
      <c r="AM891" s="879"/>
      <c r="AN891" s="2"/>
      <c r="AO891" s="886"/>
      <c r="AP891" s="886"/>
      <c r="AV891" t="str">
        <f t="shared" si="3166"/>
        <v>Sobrelargura</v>
      </c>
      <c r="AW891" s="4" t="str">
        <f t="shared" si="3164"/>
        <v xml:space="preserve">   Remoção de sobrelargura</v>
      </c>
    </row>
    <row r="892" spans="1:49" ht="15.6" customHeight="1" outlineLevel="2">
      <c r="A892" s="8" t="str">
        <f t="shared" ref="A892" si="3357">IF(SUM(P892:V893)&gt;0,"S","N")</f>
        <v>N</v>
      </c>
      <c r="B892" s="150">
        <v>1069133</v>
      </c>
      <c r="C892" s="150" t="s">
        <v>1255</v>
      </c>
      <c r="D892" s="120" t="s">
        <v>1256</v>
      </c>
      <c r="E892" s="892" t="s">
        <v>1226</v>
      </c>
      <c r="F892" s="902" t="s">
        <v>36</v>
      </c>
      <c r="G892" s="528"/>
      <c r="H892" s="546" t="s">
        <v>37</v>
      </c>
      <c r="I892" s="711">
        <v>0</v>
      </c>
      <c r="J892" s="896" t="str">
        <f t="shared" ref="J892" si="3358">IFERROR((I893/I892),"-")</f>
        <v>-</v>
      </c>
      <c r="K892" s="528"/>
      <c r="L892" s="546" t="s">
        <v>37</v>
      </c>
      <c r="M892" s="711">
        <f t="shared" si="3340"/>
        <v>0</v>
      </c>
      <c r="N892" s="896" t="str">
        <f t="shared" ref="N892" si="3359">IFERROR((M893/M892),"-")</f>
        <v>-</v>
      </c>
      <c r="O892" s="528"/>
      <c r="P892" s="547">
        <v>0</v>
      </c>
      <c r="Q892" s="547">
        <v>0</v>
      </c>
      <c r="R892" s="547">
        <v>0</v>
      </c>
      <c r="S892" s="547">
        <v>0</v>
      </c>
      <c r="T892" s="547">
        <v>0</v>
      </c>
      <c r="U892" s="547">
        <v>0</v>
      </c>
      <c r="V892" s="548">
        <v>0</v>
      </c>
      <c r="W892" s="528"/>
      <c r="X892" s="711">
        <f t="shared" si="3334"/>
        <v>0</v>
      </c>
      <c r="Y892" s="896" t="str">
        <f t="shared" ref="Y892" si="3360">IFERROR((X893/X892),"0")</f>
        <v>0</v>
      </c>
      <c r="Z892" s="528"/>
      <c r="AA892" s="898">
        <v>479.87</v>
      </c>
      <c r="AB892" s="898">
        <v>479.87</v>
      </c>
      <c r="AC892" s="903">
        <v>0</v>
      </c>
      <c r="AD892" s="896">
        <f t="shared" ref="AD892" si="3361">IFERROR((AC892/AB892),"-")</f>
        <v>0</v>
      </c>
      <c r="AE892" s="2"/>
      <c r="AF892" s="884">
        <v>0</v>
      </c>
      <c r="AG892" s="884"/>
      <c r="AH892" s="884"/>
      <c r="AI892" s="884"/>
      <c r="AJ892" s="884"/>
      <c r="AK892" s="884">
        <f t="shared" ref="AK892" si="3362">AF892+AG892+AH892+AI892+AJ892+AC892</f>
        <v>0</v>
      </c>
      <c r="AL892" s="884">
        <v>479.87</v>
      </c>
      <c r="AM892" s="878">
        <f t="shared" ref="AM892" si="3363">IFERROR((AK892/AL892),"-")</f>
        <v>0</v>
      </c>
      <c r="AN892" s="2"/>
      <c r="AO892" s="884">
        <v>479.87</v>
      </c>
      <c r="AP892" s="884">
        <f t="shared" ref="AP892" si="3364">AO892-AK892</f>
        <v>479.87</v>
      </c>
      <c r="AV892" t="str">
        <f t="shared" si="3166"/>
        <v>Sobrelargura</v>
      </c>
      <c r="AW892" s="4" t="str">
        <f t="shared" si="3164"/>
        <v xml:space="preserve">   Remoção de sobrelargura</v>
      </c>
    </row>
    <row r="893" spans="1:49" ht="15.6" customHeight="1" outlineLevel="2">
      <c r="A893" s="8" t="str">
        <f t="shared" ref="A893" si="3365">A892</f>
        <v>N</v>
      </c>
      <c r="B893" s="150"/>
      <c r="C893" s="150" t="s">
        <v>1255</v>
      </c>
      <c r="D893" s="120" t="s">
        <v>1256</v>
      </c>
      <c r="E893" s="893"/>
      <c r="F893" s="902"/>
      <c r="G893" s="528"/>
      <c r="H893" s="549" t="s">
        <v>38</v>
      </c>
      <c r="I893" s="711">
        <v>0</v>
      </c>
      <c r="J893" s="897"/>
      <c r="K893" s="528"/>
      <c r="L893" s="549" t="s">
        <v>38</v>
      </c>
      <c r="M893" s="711">
        <f t="shared" si="3340"/>
        <v>0</v>
      </c>
      <c r="N893" s="897"/>
      <c r="O893" s="528"/>
      <c r="P893" s="548">
        <v>0</v>
      </c>
      <c r="Q893" s="548">
        <v>0</v>
      </c>
      <c r="R893" s="548">
        <v>0</v>
      </c>
      <c r="S893" s="548">
        <v>0</v>
      </c>
      <c r="T893" s="548">
        <v>0</v>
      </c>
      <c r="U893" s="548">
        <v>0</v>
      </c>
      <c r="V893" s="548">
        <v>0</v>
      </c>
      <c r="W893" s="528"/>
      <c r="X893" s="711">
        <f t="shared" si="3334"/>
        <v>0</v>
      </c>
      <c r="Y893" s="897"/>
      <c r="Z893" s="528"/>
      <c r="AA893" s="899"/>
      <c r="AB893" s="899"/>
      <c r="AC893" s="904"/>
      <c r="AD893" s="905"/>
      <c r="AE893" s="2"/>
      <c r="AF893" s="885"/>
      <c r="AG893" s="885"/>
      <c r="AH893" s="885"/>
      <c r="AI893" s="885"/>
      <c r="AJ893" s="885"/>
      <c r="AK893" s="885"/>
      <c r="AL893" s="885"/>
      <c r="AM893" s="879"/>
      <c r="AN893" s="2"/>
      <c r="AO893" s="886"/>
      <c r="AP893" s="886"/>
      <c r="AV893" t="str">
        <f t="shared" si="3166"/>
        <v>Sobrelargura</v>
      </c>
      <c r="AW893" s="4" t="str">
        <f t="shared" si="3164"/>
        <v xml:space="preserve">   Remoção de sobrelargura</v>
      </c>
    </row>
    <row r="894" spans="1:49" ht="15.6" customHeight="1" outlineLevel="2">
      <c r="A894" s="8" t="str">
        <f t="shared" ref="A894" si="3366">IF(SUM(P894:V895)&gt;0,"S","N")</f>
        <v>N</v>
      </c>
      <c r="B894" s="150">
        <v>1069134</v>
      </c>
      <c r="C894" s="150" t="s">
        <v>1257</v>
      </c>
      <c r="D894" s="120" t="s">
        <v>1258</v>
      </c>
      <c r="E894" s="892" t="s">
        <v>1226</v>
      </c>
      <c r="F894" s="902" t="s">
        <v>36</v>
      </c>
      <c r="G894" s="528"/>
      <c r="H894" s="546" t="s">
        <v>37</v>
      </c>
      <c r="I894" s="711">
        <v>0</v>
      </c>
      <c r="J894" s="896" t="str">
        <f t="shared" ref="J894" si="3367">IFERROR((I895/I894),"-")</f>
        <v>-</v>
      </c>
      <c r="K894" s="528"/>
      <c r="L894" s="546" t="s">
        <v>37</v>
      </c>
      <c r="M894" s="711">
        <f t="shared" si="3340"/>
        <v>0</v>
      </c>
      <c r="N894" s="896" t="str">
        <f t="shared" ref="N894" si="3368">IFERROR((M895/M894),"-")</f>
        <v>-</v>
      </c>
      <c r="O894" s="528"/>
      <c r="P894" s="547">
        <v>0</v>
      </c>
      <c r="Q894" s="547">
        <v>0</v>
      </c>
      <c r="R894" s="547">
        <v>0</v>
      </c>
      <c r="S894" s="547">
        <v>0</v>
      </c>
      <c r="T894" s="547">
        <v>0</v>
      </c>
      <c r="U894" s="547">
        <v>0</v>
      </c>
      <c r="V894" s="548">
        <v>0</v>
      </c>
      <c r="W894" s="528"/>
      <c r="X894" s="711">
        <f t="shared" si="3334"/>
        <v>0</v>
      </c>
      <c r="Y894" s="896" t="str">
        <f t="shared" ref="Y894" si="3369">IFERROR((X895/X894),"0")</f>
        <v>0</v>
      </c>
      <c r="Z894" s="528"/>
      <c r="AA894" s="898">
        <v>356.51</v>
      </c>
      <c r="AB894" s="898">
        <v>356.51</v>
      </c>
      <c r="AC894" s="903">
        <v>0</v>
      </c>
      <c r="AD894" s="896">
        <f t="shared" ref="AD894" si="3370">IFERROR((AC894/AB894),"-")</f>
        <v>0</v>
      </c>
      <c r="AE894" s="2"/>
      <c r="AF894" s="884">
        <v>0</v>
      </c>
      <c r="AG894" s="884"/>
      <c r="AH894" s="884"/>
      <c r="AI894" s="884"/>
      <c r="AJ894" s="884"/>
      <c r="AK894" s="884">
        <f t="shared" ref="AK894" si="3371">AF894+AG894+AH894+AI894+AJ894+AC894</f>
        <v>0</v>
      </c>
      <c r="AL894" s="884">
        <v>356.51</v>
      </c>
      <c r="AM894" s="878">
        <f t="shared" ref="AM894" si="3372">IFERROR((AK894/AL894),"-")</f>
        <v>0</v>
      </c>
      <c r="AN894" s="2"/>
      <c r="AO894" s="884">
        <v>356.51</v>
      </c>
      <c r="AP894" s="884">
        <f t="shared" ref="AP894" si="3373">AO894-AK894</f>
        <v>356.51</v>
      </c>
      <c r="AV894" t="str">
        <f t="shared" si="3166"/>
        <v>Sobrelargura</v>
      </c>
      <c r="AW894" s="4" t="str">
        <f t="shared" si="3164"/>
        <v xml:space="preserve">   Remoção de sobrelargura</v>
      </c>
    </row>
    <row r="895" spans="1:49" ht="15.6" customHeight="1" outlineLevel="2">
      <c r="A895" s="8" t="str">
        <f t="shared" ref="A895" si="3374">A894</f>
        <v>N</v>
      </c>
      <c r="B895" s="150"/>
      <c r="C895" s="150" t="s">
        <v>1257</v>
      </c>
      <c r="D895" s="120" t="s">
        <v>1258</v>
      </c>
      <c r="E895" s="893"/>
      <c r="F895" s="902"/>
      <c r="G895" s="528"/>
      <c r="H895" s="549" t="s">
        <v>38</v>
      </c>
      <c r="I895" s="711">
        <v>0</v>
      </c>
      <c r="J895" s="897"/>
      <c r="K895" s="528"/>
      <c r="L895" s="549" t="s">
        <v>38</v>
      </c>
      <c r="M895" s="711">
        <f t="shared" si="3340"/>
        <v>0</v>
      </c>
      <c r="N895" s="897"/>
      <c r="O895" s="528"/>
      <c r="P895" s="548">
        <v>0</v>
      </c>
      <c r="Q895" s="548">
        <v>0</v>
      </c>
      <c r="R895" s="548">
        <v>0</v>
      </c>
      <c r="S895" s="548">
        <v>0</v>
      </c>
      <c r="T895" s="548">
        <v>0</v>
      </c>
      <c r="U895" s="548">
        <v>0</v>
      </c>
      <c r="V895" s="548">
        <v>0</v>
      </c>
      <c r="W895" s="528"/>
      <c r="X895" s="711">
        <f t="shared" si="3334"/>
        <v>0</v>
      </c>
      <c r="Y895" s="897"/>
      <c r="Z895" s="528"/>
      <c r="AA895" s="899"/>
      <c r="AB895" s="899"/>
      <c r="AC895" s="904"/>
      <c r="AD895" s="905"/>
      <c r="AE895" s="2"/>
      <c r="AF895" s="885"/>
      <c r="AG895" s="885"/>
      <c r="AH895" s="885"/>
      <c r="AI895" s="885"/>
      <c r="AJ895" s="885"/>
      <c r="AK895" s="885"/>
      <c r="AL895" s="885"/>
      <c r="AM895" s="879"/>
      <c r="AN895" s="2"/>
      <c r="AO895" s="886"/>
      <c r="AP895" s="886"/>
      <c r="AV895" t="str">
        <f t="shared" si="3166"/>
        <v>Sobrelargura</v>
      </c>
      <c r="AW895" s="4" t="str">
        <f t="shared" si="3164"/>
        <v xml:space="preserve">   Remoção de sobrelargura</v>
      </c>
    </row>
    <row r="896" spans="1:49" ht="15.6" customHeight="1" outlineLevel="2">
      <c r="A896" s="8" t="str">
        <f t="shared" ref="A896" si="3375">IF(SUM(P896:V897)&gt;0,"S","N")</f>
        <v>N</v>
      </c>
      <c r="B896" s="150">
        <v>1069135</v>
      </c>
      <c r="C896" s="150" t="s">
        <v>1259</v>
      </c>
      <c r="D896" s="120" t="s">
        <v>1260</v>
      </c>
      <c r="E896" s="892" t="s">
        <v>1226</v>
      </c>
      <c r="F896" s="902" t="s">
        <v>36</v>
      </c>
      <c r="G896" s="528"/>
      <c r="H896" s="546" t="s">
        <v>37</v>
      </c>
      <c r="I896" s="711">
        <v>0</v>
      </c>
      <c r="J896" s="896" t="str">
        <f t="shared" ref="J896" si="3376">IFERROR((I897/I896),"-")</f>
        <v>-</v>
      </c>
      <c r="K896" s="528"/>
      <c r="L896" s="546" t="s">
        <v>37</v>
      </c>
      <c r="M896" s="711">
        <f t="shared" si="3340"/>
        <v>0</v>
      </c>
      <c r="N896" s="896" t="str">
        <f t="shared" ref="N896" si="3377">IFERROR((M897/M896),"-")</f>
        <v>-</v>
      </c>
      <c r="O896" s="528"/>
      <c r="P896" s="547">
        <v>0</v>
      </c>
      <c r="Q896" s="547">
        <v>0</v>
      </c>
      <c r="R896" s="547">
        <v>0</v>
      </c>
      <c r="S896" s="547">
        <v>0</v>
      </c>
      <c r="T896" s="547">
        <v>0</v>
      </c>
      <c r="U896" s="547">
        <v>0</v>
      </c>
      <c r="V896" s="548">
        <v>0</v>
      </c>
      <c r="W896" s="528"/>
      <c r="X896" s="711">
        <f t="shared" si="3334"/>
        <v>0</v>
      </c>
      <c r="Y896" s="896" t="str">
        <f t="shared" ref="Y896" si="3378">IFERROR((X897/X896),"0")</f>
        <v>0</v>
      </c>
      <c r="Z896" s="528"/>
      <c r="AA896" s="898">
        <v>1780.21</v>
      </c>
      <c r="AB896" s="898">
        <v>1780.21</v>
      </c>
      <c r="AC896" s="903">
        <v>0</v>
      </c>
      <c r="AD896" s="896">
        <f t="shared" ref="AD896" si="3379">IFERROR((AC896/AB896),"-")</f>
        <v>0</v>
      </c>
      <c r="AE896" s="2"/>
      <c r="AF896" s="884">
        <v>0</v>
      </c>
      <c r="AG896" s="884"/>
      <c r="AH896" s="884"/>
      <c r="AI896" s="884"/>
      <c r="AJ896" s="884"/>
      <c r="AK896" s="884">
        <f t="shared" ref="AK896" si="3380">AF896+AG896+AH896+AI896+AJ896+AC896</f>
        <v>0</v>
      </c>
      <c r="AL896" s="884">
        <v>1780.21</v>
      </c>
      <c r="AM896" s="878">
        <f t="shared" ref="AM896" si="3381">IFERROR((AK896/AL896),"-")</f>
        <v>0</v>
      </c>
      <c r="AN896" s="2"/>
      <c r="AO896" s="884">
        <v>1780.21</v>
      </c>
      <c r="AP896" s="884">
        <f t="shared" ref="AP896" si="3382">AO896-AK896</f>
        <v>1780.21</v>
      </c>
      <c r="AV896" t="str">
        <f t="shared" si="3166"/>
        <v>Sobrelargura</v>
      </c>
      <c r="AW896" s="4" t="str">
        <f t="shared" si="3164"/>
        <v xml:space="preserve">   Remoção de sobrelargura</v>
      </c>
    </row>
    <row r="897" spans="1:49" ht="15.6" customHeight="1" outlineLevel="2">
      <c r="A897" s="8" t="str">
        <f t="shared" ref="A897" si="3383">A896</f>
        <v>N</v>
      </c>
      <c r="B897" s="150"/>
      <c r="C897" s="150" t="s">
        <v>1259</v>
      </c>
      <c r="D897" s="120" t="s">
        <v>1260</v>
      </c>
      <c r="E897" s="893"/>
      <c r="F897" s="902"/>
      <c r="G897" s="528"/>
      <c r="H897" s="549" t="s">
        <v>38</v>
      </c>
      <c r="I897" s="711">
        <v>0</v>
      </c>
      <c r="J897" s="897"/>
      <c r="K897" s="528"/>
      <c r="L897" s="549" t="s">
        <v>38</v>
      </c>
      <c r="M897" s="711">
        <f t="shared" si="3340"/>
        <v>0</v>
      </c>
      <c r="N897" s="897"/>
      <c r="O897" s="528"/>
      <c r="P897" s="548">
        <v>0</v>
      </c>
      <c r="Q897" s="548">
        <v>0</v>
      </c>
      <c r="R897" s="548">
        <v>0</v>
      </c>
      <c r="S897" s="548">
        <v>0</v>
      </c>
      <c r="T897" s="548">
        <v>0</v>
      </c>
      <c r="U897" s="548">
        <v>0</v>
      </c>
      <c r="V897" s="548">
        <v>0</v>
      </c>
      <c r="W897" s="528"/>
      <c r="X897" s="711">
        <f t="shared" si="3334"/>
        <v>0</v>
      </c>
      <c r="Y897" s="897"/>
      <c r="Z897" s="528"/>
      <c r="AA897" s="899"/>
      <c r="AB897" s="899"/>
      <c r="AC897" s="904"/>
      <c r="AD897" s="905"/>
      <c r="AE897" s="2"/>
      <c r="AF897" s="885"/>
      <c r="AG897" s="885"/>
      <c r="AH897" s="885"/>
      <c r="AI897" s="885"/>
      <c r="AJ897" s="885"/>
      <c r="AK897" s="885"/>
      <c r="AL897" s="885"/>
      <c r="AM897" s="879"/>
      <c r="AN897" s="2"/>
      <c r="AO897" s="886"/>
      <c r="AP897" s="886"/>
      <c r="AV897" t="str">
        <f t="shared" si="3166"/>
        <v>Sobrelargura</v>
      </c>
      <c r="AW897" s="4" t="str">
        <f t="shared" si="3164"/>
        <v xml:space="preserve">   Remoção de sobrelargura</v>
      </c>
    </row>
    <row r="898" spans="1:49" ht="15.6" customHeight="1" outlineLevel="2">
      <c r="A898" s="8" t="str">
        <f t="shared" ref="A898" si="3384">IF(SUM(P898:V899)&gt;0,"S","N")</f>
        <v>N</v>
      </c>
      <c r="B898" s="150">
        <v>1069136</v>
      </c>
      <c r="C898" s="150" t="s">
        <v>1261</v>
      </c>
      <c r="D898" s="120" t="s">
        <v>1262</v>
      </c>
      <c r="E898" s="892" t="s">
        <v>1226</v>
      </c>
      <c r="F898" s="902" t="s">
        <v>36</v>
      </c>
      <c r="G898" s="528"/>
      <c r="H898" s="546" t="s">
        <v>37</v>
      </c>
      <c r="I898" s="711">
        <v>0</v>
      </c>
      <c r="J898" s="896" t="str">
        <f t="shared" ref="J898" si="3385">IFERROR((I899/I898),"-")</f>
        <v>-</v>
      </c>
      <c r="K898" s="528"/>
      <c r="L898" s="546" t="s">
        <v>37</v>
      </c>
      <c r="M898" s="711">
        <f t="shared" si="3340"/>
        <v>0</v>
      </c>
      <c r="N898" s="896" t="str">
        <f t="shared" ref="N898" si="3386">IFERROR((M899/M898),"-")</f>
        <v>-</v>
      </c>
      <c r="O898" s="528"/>
      <c r="P898" s="547">
        <v>0</v>
      </c>
      <c r="Q898" s="547">
        <v>0</v>
      </c>
      <c r="R898" s="547">
        <v>0</v>
      </c>
      <c r="S898" s="547">
        <v>0</v>
      </c>
      <c r="T898" s="547">
        <v>0</v>
      </c>
      <c r="U898" s="547">
        <v>0</v>
      </c>
      <c r="V898" s="548">
        <v>0</v>
      </c>
      <c r="W898" s="528"/>
      <c r="X898" s="711">
        <f t="shared" si="3334"/>
        <v>0</v>
      </c>
      <c r="Y898" s="896" t="str">
        <f t="shared" ref="Y898" si="3387">IFERROR((X899/X898),"0")</f>
        <v>0</v>
      </c>
      <c r="Z898" s="528"/>
      <c r="AA898" s="898">
        <v>7762.38</v>
      </c>
      <c r="AB898" s="898">
        <v>1187.5899999999999</v>
      </c>
      <c r="AC898" s="903">
        <v>0</v>
      </c>
      <c r="AD898" s="896">
        <f t="shared" ref="AD898" si="3388">IFERROR((AC898/AB898),"-")</f>
        <v>0</v>
      </c>
      <c r="AE898" s="2"/>
      <c r="AF898" s="884">
        <v>0</v>
      </c>
      <c r="AG898" s="884"/>
      <c r="AH898" s="884"/>
      <c r="AI898" s="884"/>
      <c r="AJ898" s="884"/>
      <c r="AK898" s="884">
        <f t="shared" ref="AK898" si="3389">AF898+AG898+AH898+AI898+AJ898+AC898</f>
        <v>0</v>
      </c>
      <c r="AL898" s="884">
        <v>1187.5899999999999</v>
      </c>
      <c r="AM898" s="878">
        <f t="shared" ref="AM898" si="3390">IFERROR((AK898/AL898),"-")</f>
        <v>0</v>
      </c>
      <c r="AN898" s="2"/>
      <c r="AO898" s="884">
        <v>7762.38</v>
      </c>
      <c r="AP898" s="884">
        <f t="shared" ref="AP898" si="3391">AO898-AK898</f>
        <v>7762.38</v>
      </c>
      <c r="AV898" t="str">
        <f t="shared" si="3166"/>
        <v>Sobrelargura</v>
      </c>
      <c r="AW898" s="4" t="str">
        <f t="shared" si="3164"/>
        <v xml:space="preserve">   Remoção de sobrelargura</v>
      </c>
    </row>
    <row r="899" spans="1:49" ht="15.6" customHeight="1" outlineLevel="2">
      <c r="A899" s="8" t="str">
        <f t="shared" ref="A899" si="3392">A898</f>
        <v>N</v>
      </c>
      <c r="B899" s="150"/>
      <c r="C899" s="150" t="s">
        <v>1261</v>
      </c>
      <c r="D899" s="120" t="s">
        <v>1262</v>
      </c>
      <c r="E899" s="893"/>
      <c r="F899" s="902"/>
      <c r="G899" s="528"/>
      <c r="H899" s="549" t="s">
        <v>38</v>
      </c>
      <c r="I899" s="711">
        <v>0</v>
      </c>
      <c r="J899" s="897"/>
      <c r="K899" s="528"/>
      <c r="L899" s="549" t="s">
        <v>38</v>
      </c>
      <c r="M899" s="711">
        <f t="shared" si="3340"/>
        <v>0</v>
      </c>
      <c r="N899" s="897"/>
      <c r="O899" s="528"/>
      <c r="P899" s="548">
        <v>0</v>
      </c>
      <c r="Q899" s="548">
        <v>0</v>
      </c>
      <c r="R899" s="548">
        <v>0</v>
      </c>
      <c r="S899" s="548">
        <v>0</v>
      </c>
      <c r="T899" s="548">
        <v>0</v>
      </c>
      <c r="U899" s="548">
        <v>0</v>
      </c>
      <c r="V899" s="548">
        <v>0</v>
      </c>
      <c r="W899" s="528"/>
      <c r="X899" s="711">
        <f t="shared" si="3334"/>
        <v>0</v>
      </c>
      <c r="Y899" s="897"/>
      <c r="Z899" s="528"/>
      <c r="AA899" s="899"/>
      <c r="AB899" s="899"/>
      <c r="AC899" s="904"/>
      <c r="AD899" s="905"/>
      <c r="AE899" s="2"/>
      <c r="AF899" s="885"/>
      <c r="AG899" s="885"/>
      <c r="AH899" s="885"/>
      <c r="AI899" s="885"/>
      <c r="AJ899" s="885"/>
      <c r="AK899" s="885"/>
      <c r="AL899" s="885"/>
      <c r="AM899" s="879"/>
      <c r="AN899" s="2"/>
      <c r="AO899" s="886"/>
      <c r="AP899" s="886"/>
      <c r="AV899" t="str">
        <f t="shared" si="3166"/>
        <v>Sobrelargura</v>
      </c>
      <c r="AW899" s="4" t="str">
        <f t="shared" si="3164"/>
        <v xml:space="preserve">   Remoção de sobrelargura</v>
      </c>
    </row>
    <row r="900" spans="1:49" ht="15.6" customHeight="1" outlineLevel="2">
      <c r="A900" s="8" t="str">
        <f t="shared" ref="A900" si="3393">IF(SUM(P900:V901)&gt;0,"S","N")</f>
        <v>N</v>
      </c>
      <c r="B900" s="150">
        <v>1069137</v>
      </c>
      <c r="C900" s="150" t="s">
        <v>1263</v>
      </c>
      <c r="D900" s="120" t="s">
        <v>1264</v>
      </c>
      <c r="E900" s="892" t="s">
        <v>1226</v>
      </c>
      <c r="F900" s="902" t="s">
        <v>36</v>
      </c>
      <c r="G900" s="528"/>
      <c r="H900" s="546" t="s">
        <v>37</v>
      </c>
      <c r="I900" s="711">
        <v>0</v>
      </c>
      <c r="J900" s="896" t="str">
        <f t="shared" ref="J900" si="3394">IFERROR((I901/I900),"-")</f>
        <v>-</v>
      </c>
      <c r="K900" s="528"/>
      <c r="L900" s="546" t="s">
        <v>37</v>
      </c>
      <c r="M900" s="711">
        <f t="shared" si="3340"/>
        <v>0</v>
      </c>
      <c r="N900" s="896" t="str">
        <f t="shared" ref="N900" si="3395">IFERROR((M901/M900),"-")</f>
        <v>-</v>
      </c>
      <c r="O900" s="528"/>
      <c r="P900" s="547">
        <v>0</v>
      </c>
      <c r="Q900" s="547">
        <v>0</v>
      </c>
      <c r="R900" s="547">
        <v>0</v>
      </c>
      <c r="S900" s="547">
        <v>0</v>
      </c>
      <c r="T900" s="547">
        <v>0</v>
      </c>
      <c r="U900" s="547">
        <v>0</v>
      </c>
      <c r="V900" s="548">
        <v>0</v>
      </c>
      <c r="W900" s="528"/>
      <c r="X900" s="711">
        <f t="shared" si="3334"/>
        <v>0</v>
      </c>
      <c r="Y900" s="896" t="str">
        <f t="shared" ref="Y900" si="3396">IFERROR((X901/X900),"0")</f>
        <v>0</v>
      </c>
      <c r="Z900" s="528"/>
      <c r="AA900" s="898">
        <v>92.35</v>
      </c>
      <c r="AB900" s="898">
        <v>0</v>
      </c>
      <c r="AC900" s="903">
        <v>0</v>
      </c>
      <c r="AD900" s="896" t="str">
        <f t="shared" ref="AD900" si="3397">IFERROR((AC900/AB900),"-")</f>
        <v>-</v>
      </c>
      <c r="AE900" s="2"/>
      <c r="AF900" s="884">
        <v>0</v>
      </c>
      <c r="AG900" s="884"/>
      <c r="AH900" s="884"/>
      <c r="AI900" s="884"/>
      <c r="AJ900" s="884"/>
      <c r="AK900" s="884">
        <f t="shared" ref="AK900" si="3398">AF900+AG900+AH900+AI900+AJ900+AC900</f>
        <v>0</v>
      </c>
      <c r="AL900" s="884">
        <v>0</v>
      </c>
      <c r="AM900" s="878" t="str">
        <f t="shared" ref="AM900" si="3399">IFERROR((AK900/AL900),"-")</f>
        <v>-</v>
      </c>
      <c r="AN900" s="2"/>
      <c r="AO900" s="884">
        <v>92.35</v>
      </c>
      <c r="AP900" s="884">
        <f t="shared" ref="AP900" si="3400">AO900-AK900</f>
        <v>92.35</v>
      </c>
      <c r="AV900" t="str">
        <f t="shared" si="3166"/>
        <v>Sobrelargura</v>
      </c>
      <c r="AW900" s="4" t="str">
        <f t="shared" si="3164"/>
        <v xml:space="preserve">   Remoção de sobrelargura</v>
      </c>
    </row>
    <row r="901" spans="1:49" ht="15.6" customHeight="1" outlineLevel="2">
      <c r="A901" s="8" t="str">
        <f t="shared" ref="A901" si="3401">A900</f>
        <v>N</v>
      </c>
      <c r="B901" s="150"/>
      <c r="C901" s="150" t="s">
        <v>1263</v>
      </c>
      <c r="D901" s="120" t="s">
        <v>1264</v>
      </c>
      <c r="E901" s="893"/>
      <c r="F901" s="902"/>
      <c r="G901" s="528"/>
      <c r="H901" s="549" t="s">
        <v>38</v>
      </c>
      <c r="I901" s="711">
        <v>0</v>
      </c>
      <c r="J901" s="897"/>
      <c r="K901" s="528"/>
      <c r="L901" s="549" t="s">
        <v>38</v>
      </c>
      <c r="M901" s="711">
        <f t="shared" si="3340"/>
        <v>0</v>
      </c>
      <c r="N901" s="897"/>
      <c r="O901" s="528"/>
      <c r="P901" s="548">
        <v>0</v>
      </c>
      <c r="Q901" s="548">
        <v>0</v>
      </c>
      <c r="R901" s="548">
        <v>0</v>
      </c>
      <c r="S901" s="548">
        <v>0</v>
      </c>
      <c r="T901" s="548">
        <v>0</v>
      </c>
      <c r="U901" s="548">
        <v>0</v>
      </c>
      <c r="V901" s="548">
        <v>0</v>
      </c>
      <c r="W901" s="528"/>
      <c r="X901" s="711">
        <f t="shared" si="3334"/>
        <v>0</v>
      </c>
      <c r="Y901" s="897"/>
      <c r="Z901" s="528"/>
      <c r="AA901" s="899"/>
      <c r="AB901" s="899"/>
      <c r="AC901" s="904"/>
      <c r="AD901" s="905"/>
      <c r="AE901" s="2"/>
      <c r="AF901" s="885"/>
      <c r="AG901" s="885"/>
      <c r="AH901" s="885"/>
      <c r="AI901" s="885"/>
      <c r="AJ901" s="885"/>
      <c r="AK901" s="885"/>
      <c r="AL901" s="885"/>
      <c r="AM901" s="879"/>
      <c r="AN901" s="2"/>
      <c r="AO901" s="886"/>
      <c r="AP901" s="886"/>
      <c r="AV901" t="str">
        <f t="shared" si="3166"/>
        <v>Sobrelargura</v>
      </c>
      <c r="AW901" s="4" t="str">
        <f t="shared" si="3164"/>
        <v xml:space="preserve">   Remoção de sobrelargura</v>
      </c>
    </row>
    <row r="902" spans="1:49" ht="15.6" customHeight="1" outlineLevel="2">
      <c r="A902" s="8" t="str">
        <f t="shared" ref="A902" si="3402">IF(SUM(P902:V903)&gt;0,"S","N")</f>
        <v>N</v>
      </c>
      <c r="B902" s="150">
        <v>1069138</v>
      </c>
      <c r="C902" s="150" t="s">
        <v>1265</v>
      </c>
      <c r="D902" s="120" t="s">
        <v>1266</v>
      </c>
      <c r="E902" s="892" t="s">
        <v>1226</v>
      </c>
      <c r="F902" s="902" t="s">
        <v>36</v>
      </c>
      <c r="G902" s="528"/>
      <c r="H902" s="546" t="s">
        <v>37</v>
      </c>
      <c r="I902" s="711">
        <v>0</v>
      </c>
      <c r="J902" s="896" t="str">
        <f t="shared" ref="J902" si="3403">IFERROR((I903/I902),"-")</f>
        <v>-</v>
      </c>
      <c r="K902" s="528"/>
      <c r="L902" s="546" t="s">
        <v>37</v>
      </c>
      <c r="M902" s="711">
        <f t="shared" si="3340"/>
        <v>0</v>
      </c>
      <c r="N902" s="896" t="str">
        <f t="shared" ref="N902" si="3404">IFERROR((M903/M902),"-")</f>
        <v>-</v>
      </c>
      <c r="O902" s="528"/>
      <c r="P902" s="547">
        <v>0</v>
      </c>
      <c r="Q902" s="547">
        <v>0</v>
      </c>
      <c r="R902" s="547">
        <v>0</v>
      </c>
      <c r="S902" s="547">
        <v>0</v>
      </c>
      <c r="T902" s="547">
        <v>0</v>
      </c>
      <c r="U902" s="547">
        <v>0</v>
      </c>
      <c r="V902" s="548">
        <v>0</v>
      </c>
      <c r="W902" s="528"/>
      <c r="X902" s="711">
        <f t="shared" si="3334"/>
        <v>0</v>
      </c>
      <c r="Y902" s="896" t="str">
        <f t="shared" ref="Y902" si="3405">IFERROR((X903/X902),"0")</f>
        <v>0</v>
      </c>
      <c r="Z902" s="528"/>
      <c r="AA902" s="898">
        <v>350</v>
      </c>
      <c r="AB902" s="898">
        <v>0</v>
      </c>
      <c r="AC902" s="903">
        <v>0</v>
      </c>
      <c r="AD902" s="896" t="str">
        <f t="shared" ref="AD902" si="3406">IFERROR((AC902/AB902),"-")</f>
        <v>-</v>
      </c>
      <c r="AE902" s="2"/>
      <c r="AF902" s="884">
        <v>0</v>
      </c>
      <c r="AG902" s="884"/>
      <c r="AH902" s="884"/>
      <c r="AI902" s="884"/>
      <c r="AJ902" s="884"/>
      <c r="AK902" s="884">
        <f t="shared" ref="AK902" si="3407">AF902+AG902+AH902+AI902+AJ902+AC902</f>
        <v>0</v>
      </c>
      <c r="AL902" s="884">
        <v>0</v>
      </c>
      <c r="AM902" s="878" t="str">
        <f t="shared" ref="AM902" si="3408">IFERROR((AK902/AL902),"-")</f>
        <v>-</v>
      </c>
      <c r="AN902" s="2"/>
      <c r="AO902" s="884">
        <v>350</v>
      </c>
      <c r="AP902" s="884">
        <f t="shared" ref="AP902" si="3409">AO902-AK902</f>
        <v>350</v>
      </c>
      <c r="AV902" t="str">
        <f t="shared" si="3166"/>
        <v>Sobrelargura</v>
      </c>
      <c r="AW902" s="4" t="str">
        <f t="shared" si="3164"/>
        <v xml:space="preserve">   Remoção de sobrelargura</v>
      </c>
    </row>
    <row r="903" spans="1:49" ht="15.6" customHeight="1" outlineLevel="2">
      <c r="A903" s="8" t="str">
        <f t="shared" ref="A903" si="3410">A902</f>
        <v>N</v>
      </c>
      <c r="B903" s="150"/>
      <c r="C903" s="150" t="s">
        <v>1265</v>
      </c>
      <c r="D903" s="120" t="s">
        <v>1266</v>
      </c>
      <c r="E903" s="893"/>
      <c r="F903" s="902"/>
      <c r="G903" s="528"/>
      <c r="H903" s="549" t="s">
        <v>38</v>
      </c>
      <c r="I903" s="711">
        <v>0</v>
      </c>
      <c r="J903" s="897"/>
      <c r="K903" s="528"/>
      <c r="L903" s="549" t="s">
        <v>38</v>
      </c>
      <c r="M903" s="711">
        <f t="shared" si="3340"/>
        <v>0</v>
      </c>
      <c r="N903" s="897"/>
      <c r="O903" s="528"/>
      <c r="P903" s="548">
        <v>0</v>
      </c>
      <c r="Q903" s="548">
        <v>0</v>
      </c>
      <c r="R903" s="548">
        <v>0</v>
      </c>
      <c r="S903" s="548">
        <v>0</v>
      </c>
      <c r="T903" s="548">
        <v>0</v>
      </c>
      <c r="U903" s="548">
        <v>0</v>
      </c>
      <c r="V903" s="548">
        <v>0</v>
      </c>
      <c r="W903" s="528"/>
      <c r="X903" s="711">
        <f t="shared" si="3334"/>
        <v>0</v>
      </c>
      <c r="Y903" s="897"/>
      <c r="Z903" s="528"/>
      <c r="AA903" s="899"/>
      <c r="AB903" s="899"/>
      <c r="AC903" s="904"/>
      <c r="AD903" s="905"/>
      <c r="AE903" s="2"/>
      <c r="AF903" s="885"/>
      <c r="AG903" s="885"/>
      <c r="AH903" s="885"/>
      <c r="AI903" s="885"/>
      <c r="AJ903" s="885"/>
      <c r="AK903" s="885"/>
      <c r="AL903" s="885"/>
      <c r="AM903" s="879"/>
      <c r="AN903" s="2"/>
      <c r="AO903" s="886"/>
      <c r="AP903" s="886"/>
      <c r="AV903" t="str">
        <f t="shared" si="3166"/>
        <v>Sobrelargura</v>
      </c>
      <c r="AW903" s="4" t="str">
        <f t="shared" si="3164"/>
        <v xml:space="preserve">   Remoção de sobrelargura</v>
      </c>
    </row>
    <row r="904" spans="1:49" ht="15.6" customHeight="1" outlineLevel="2">
      <c r="A904" s="8" t="str">
        <f t="shared" ref="A904" si="3411">IF(SUM(P904:V905)&gt;0,"S","N")</f>
        <v>N</v>
      </c>
      <c r="B904" s="150">
        <v>1069139</v>
      </c>
      <c r="C904" s="150" t="s">
        <v>1267</v>
      </c>
      <c r="D904" s="120" t="s">
        <v>919</v>
      </c>
      <c r="E904" s="892" t="s">
        <v>1226</v>
      </c>
      <c r="F904" s="902" t="s">
        <v>36</v>
      </c>
      <c r="G904" s="528"/>
      <c r="H904" s="546" t="s">
        <v>37</v>
      </c>
      <c r="I904" s="711">
        <v>0</v>
      </c>
      <c r="J904" s="896" t="str">
        <f t="shared" ref="J904" si="3412">IFERROR((I905/I904),"-")</f>
        <v>-</v>
      </c>
      <c r="K904" s="528"/>
      <c r="L904" s="546" t="s">
        <v>37</v>
      </c>
      <c r="M904" s="711">
        <f t="shared" si="3340"/>
        <v>0</v>
      </c>
      <c r="N904" s="896" t="str">
        <f t="shared" ref="N904" si="3413">IFERROR((M905/M904),"-")</f>
        <v>-</v>
      </c>
      <c r="O904" s="528"/>
      <c r="P904" s="547">
        <v>0</v>
      </c>
      <c r="Q904" s="547">
        <v>0</v>
      </c>
      <c r="R904" s="547">
        <v>0</v>
      </c>
      <c r="S904" s="547">
        <v>0</v>
      </c>
      <c r="T904" s="547">
        <v>0</v>
      </c>
      <c r="U904" s="547">
        <v>0</v>
      </c>
      <c r="V904" s="548">
        <v>0</v>
      </c>
      <c r="W904" s="528"/>
      <c r="X904" s="711">
        <f t="shared" si="3334"/>
        <v>0</v>
      </c>
      <c r="Y904" s="896" t="str">
        <f t="shared" ref="Y904" si="3414">IFERROR((X905/X904),"0")</f>
        <v>0</v>
      </c>
      <c r="Z904" s="528"/>
      <c r="AA904" s="898">
        <v>500</v>
      </c>
      <c r="AB904" s="898">
        <v>0</v>
      </c>
      <c r="AC904" s="903">
        <v>0</v>
      </c>
      <c r="AD904" s="896" t="str">
        <f t="shared" ref="AD904" si="3415">IFERROR((AC904/AB904),"-")</f>
        <v>-</v>
      </c>
      <c r="AE904" s="2"/>
      <c r="AF904" s="884">
        <v>0</v>
      </c>
      <c r="AG904" s="884"/>
      <c r="AH904" s="884"/>
      <c r="AI904" s="884"/>
      <c r="AJ904" s="884"/>
      <c r="AK904" s="884">
        <f t="shared" ref="AK904" si="3416">AF904+AG904+AH904+AI904+AJ904+AC904</f>
        <v>0</v>
      </c>
      <c r="AL904" s="884">
        <v>0</v>
      </c>
      <c r="AM904" s="878" t="str">
        <f t="shared" ref="AM904" si="3417">IFERROR((AK904/AL904),"-")</f>
        <v>-</v>
      </c>
      <c r="AN904" s="2"/>
      <c r="AO904" s="884">
        <v>500</v>
      </c>
      <c r="AP904" s="884">
        <f t="shared" ref="AP904" si="3418">AO904-AK904</f>
        <v>500</v>
      </c>
      <c r="AV904" t="str">
        <f t="shared" si="3166"/>
        <v>Sobrelargura</v>
      </c>
      <c r="AW904" s="4" t="str">
        <f t="shared" si="3164"/>
        <v xml:space="preserve">   Remoção de sobrelargura</v>
      </c>
    </row>
    <row r="905" spans="1:49" ht="15.6" customHeight="1" outlineLevel="2">
      <c r="A905" s="8" t="str">
        <f t="shared" ref="A905" si="3419">A904</f>
        <v>N</v>
      </c>
      <c r="B905" s="150"/>
      <c r="C905" s="150" t="s">
        <v>1267</v>
      </c>
      <c r="D905" s="120" t="s">
        <v>919</v>
      </c>
      <c r="E905" s="893"/>
      <c r="F905" s="902"/>
      <c r="G905" s="528"/>
      <c r="H905" s="549" t="s">
        <v>38</v>
      </c>
      <c r="I905" s="711">
        <v>0</v>
      </c>
      <c r="J905" s="897"/>
      <c r="K905" s="528"/>
      <c r="L905" s="549" t="s">
        <v>38</v>
      </c>
      <c r="M905" s="711">
        <f t="shared" si="3340"/>
        <v>0</v>
      </c>
      <c r="N905" s="897"/>
      <c r="O905" s="528"/>
      <c r="P905" s="548">
        <v>0</v>
      </c>
      <c r="Q905" s="548">
        <v>0</v>
      </c>
      <c r="R905" s="548">
        <v>0</v>
      </c>
      <c r="S905" s="548">
        <v>0</v>
      </c>
      <c r="T905" s="548">
        <v>0</v>
      </c>
      <c r="U905" s="548">
        <v>0</v>
      </c>
      <c r="V905" s="548">
        <v>0</v>
      </c>
      <c r="W905" s="528"/>
      <c r="X905" s="711">
        <f t="shared" si="3334"/>
        <v>0</v>
      </c>
      <c r="Y905" s="897"/>
      <c r="Z905" s="528"/>
      <c r="AA905" s="899"/>
      <c r="AB905" s="899"/>
      <c r="AC905" s="904"/>
      <c r="AD905" s="905"/>
      <c r="AE905" s="2"/>
      <c r="AF905" s="885"/>
      <c r="AG905" s="885"/>
      <c r="AH905" s="885"/>
      <c r="AI905" s="885"/>
      <c r="AJ905" s="885"/>
      <c r="AK905" s="885"/>
      <c r="AL905" s="885"/>
      <c r="AM905" s="879"/>
      <c r="AN905" s="2"/>
      <c r="AO905" s="886"/>
      <c r="AP905" s="886"/>
      <c r="AV905" t="str">
        <f t="shared" si="3166"/>
        <v>Sobrelargura</v>
      </c>
      <c r="AW905" s="4" t="str">
        <f t="shared" ref="AW905:AW968" si="3420">IF(E905&lt;&gt;"",E905,AW904)</f>
        <v xml:space="preserve">   Remoção de sobrelargura</v>
      </c>
    </row>
    <row r="906" spans="1:49" ht="15.6" customHeight="1" outlineLevel="2">
      <c r="A906" s="8" t="str">
        <f t="shared" ref="A906" si="3421">IF(SUM(P906:V907)&gt;0,"S","N")</f>
        <v>N</v>
      </c>
      <c r="B906" s="150">
        <v>1069140</v>
      </c>
      <c r="C906" s="150" t="s">
        <v>1268</v>
      </c>
      <c r="D906" s="120" t="s">
        <v>1269</v>
      </c>
      <c r="E906" s="892" t="s">
        <v>1226</v>
      </c>
      <c r="F906" s="902" t="s">
        <v>36</v>
      </c>
      <c r="G906" s="528"/>
      <c r="H906" s="546" t="s">
        <v>37</v>
      </c>
      <c r="I906" s="711">
        <v>0</v>
      </c>
      <c r="J906" s="896" t="str">
        <f t="shared" ref="J906" si="3422">IFERROR((I907/I906),"-")</f>
        <v>-</v>
      </c>
      <c r="K906" s="528"/>
      <c r="L906" s="546" t="s">
        <v>37</v>
      </c>
      <c r="M906" s="711">
        <f t="shared" si="3340"/>
        <v>0</v>
      </c>
      <c r="N906" s="896" t="str">
        <f t="shared" ref="N906" si="3423">IFERROR((M907/M906),"-")</f>
        <v>-</v>
      </c>
      <c r="O906" s="528"/>
      <c r="P906" s="547">
        <v>0</v>
      </c>
      <c r="Q906" s="547">
        <v>0</v>
      </c>
      <c r="R906" s="547">
        <v>0</v>
      </c>
      <c r="S906" s="547">
        <v>0</v>
      </c>
      <c r="T906" s="547">
        <v>0</v>
      </c>
      <c r="U906" s="547">
        <v>0</v>
      </c>
      <c r="V906" s="548">
        <v>0</v>
      </c>
      <c r="W906" s="528"/>
      <c r="X906" s="711">
        <f t="shared" si="3334"/>
        <v>0</v>
      </c>
      <c r="Y906" s="896" t="str">
        <f t="shared" ref="Y906" si="3424">IFERROR((X907/X906),"0")</f>
        <v>0</v>
      </c>
      <c r="Z906" s="528"/>
      <c r="AA906" s="898">
        <v>428.57</v>
      </c>
      <c r="AB906" s="898">
        <v>0</v>
      </c>
      <c r="AC906" s="903">
        <v>0</v>
      </c>
      <c r="AD906" s="896" t="str">
        <f t="shared" ref="AD906" si="3425">IFERROR((AC906/AB906),"-")</f>
        <v>-</v>
      </c>
      <c r="AE906" s="2"/>
      <c r="AF906" s="884">
        <v>0</v>
      </c>
      <c r="AG906" s="884"/>
      <c r="AH906" s="884"/>
      <c r="AI906" s="884"/>
      <c r="AJ906" s="884"/>
      <c r="AK906" s="884">
        <f t="shared" ref="AK906" si="3426">AF906+AG906+AH906+AI906+AJ906+AC906</f>
        <v>0</v>
      </c>
      <c r="AL906" s="884">
        <v>0</v>
      </c>
      <c r="AM906" s="878" t="str">
        <f t="shared" ref="AM906" si="3427">IFERROR((AK906/AL906),"-")</f>
        <v>-</v>
      </c>
      <c r="AN906" s="2"/>
      <c r="AO906" s="884">
        <v>428.57</v>
      </c>
      <c r="AP906" s="884">
        <f t="shared" ref="AP906" si="3428">AO906-AK906</f>
        <v>428.57</v>
      </c>
      <c r="AV906" t="str">
        <f t="shared" ref="AV906:AV969" si="3429">IF(AX906="Y",LEFT(E906,20),IF(AX906="x",E906,AV905))</f>
        <v>Sobrelargura</v>
      </c>
      <c r="AW906" s="4" t="str">
        <f t="shared" si="3420"/>
        <v xml:space="preserve">   Remoção de sobrelargura</v>
      </c>
    </row>
    <row r="907" spans="1:49" ht="15.6" customHeight="1" outlineLevel="2">
      <c r="A907" s="8" t="str">
        <f t="shared" ref="A907" si="3430">A906</f>
        <v>N</v>
      </c>
      <c r="B907" s="150"/>
      <c r="C907" s="150" t="s">
        <v>1268</v>
      </c>
      <c r="D907" s="120" t="s">
        <v>1269</v>
      </c>
      <c r="E907" s="893"/>
      <c r="F907" s="902"/>
      <c r="G907" s="528"/>
      <c r="H907" s="549" t="s">
        <v>38</v>
      </c>
      <c r="I907" s="711">
        <v>0</v>
      </c>
      <c r="J907" s="897"/>
      <c r="K907" s="528"/>
      <c r="L907" s="549" t="s">
        <v>38</v>
      </c>
      <c r="M907" s="711">
        <f t="shared" si="3340"/>
        <v>0</v>
      </c>
      <c r="N907" s="897"/>
      <c r="O907" s="528"/>
      <c r="P907" s="548">
        <v>0</v>
      </c>
      <c r="Q907" s="548">
        <v>0</v>
      </c>
      <c r="R907" s="548">
        <v>0</v>
      </c>
      <c r="S907" s="548">
        <v>0</v>
      </c>
      <c r="T907" s="548">
        <v>0</v>
      </c>
      <c r="U907" s="548">
        <v>0</v>
      </c>
      <c r="V907" s="548">
        <v>0</v>
      </c>
      <c r="W907" s="528"/>
      <c r="X907" s="711">
        <f t="shared" si="3334"/>
        <v>0</v>
      </c>
      <c r="Y907" s="897"/>
      <c r="Z907" s="528"/>
      <c r="AA907" s="899"/>
      <c r="AB907" s="899"/>
      <c r="AC907" s="904"/>
      <c r="AD907" s="905"/>
      <c r="AE907" s="2"/>
      <c r="AF907" s="885"/>
      <c r="AG907" s="885"/>
      <c r="AH907" s="885"/>
      <c r="AI907" s="885"/>
      <c r="AJ907" s="885"/>
      <c r="AK907" s="885"/>
      <c r="AL907" s="885"/>
      <c r="AM907" s="879"/>
      <c r="AN907" s="2"/>
      <c r="AO907" s="886"/>
      <c r="AP907" s="886"/>
      <c r="AV907" t="str">
        <f t="shared" si="3429"/>
        <v>Sobrelargura</v>
      </c>
      <c r="AW907" s="4" t="str">
        <f t="shared" si="3420"/>
        <v xml:space="preserve">   Remoção de sobrelargura</v>
      </c>
    </row>
    <row r="908" spans="1:49" ht="15.6" customHeight="1" outlineLevel="2">
      <c r="A908" s="8" t="str">
        <f t="shared" ref="A908" si="3431">IF(SUM(P908:V909)&gt;0,"S","N")</f>
        <v>N</v>
      </c>
      <c r="B908" s="150">
        <v>1069141</v>
      </c>
      <c r="C908" s="150" t="s">
        <v>1270</v>
      </c>
      <c r="D908" s="120" t="s">
        <v>1271</v>
      </c>
      <c r="E908" s="892" t="s">
        <v>1226</v>
      </c>
      <c r="F908" s="902" t="s">
        <v>36</v>
      </c>
      <c r="G908" s="528"/>
      <c r="H908" s="546" t="s">
        <v>37</v>
      </c>
      <c r="I908" s="711">
        <v>0</v>
      </c>
      <c r="J908" s="896" t="str">
        <f t="shared" ref="J908" si="3432">IFERROR((I909/I908),"-")</f>
        <v>-</v>
      </c>
      <c r="K908" s="528"/>
      <c r="L908" s="546" t="s">
        <v>37</v>
      </c>
      <c r="M908" s="711">
        <f t="shared" si="3340"/>
        <v>0</v>
      </c>
      <c r="N908" s="896" t="str">
        <f t="shared" ref="N908" si="3433">IFERROR((M909/M908),"-")</f>
        <v>-</v>
      </c>
      <c r="O908" s="528"/>
      <c r="P908" s="547">
        <v>0</v>
      </c>
      <c r="Q908" s="547">
        <v>0</v>
      </c>
      <c r="R908" s="547">
        <v>0</v>
      </c>
      <c r="S908" s="547">
        <v>0</v>
      </c>
      <c r="T908" s="547">
        <v>0</v>
      </c>
      <c r="U908" s="547">
        <v>0</v>
      </c>
      <c r="V908" s="548">
        <v>0</v>
      </c>
      <c r="W908" s="528"/>
      <c r="X908" s="711">
        <f t="shared" si="3334"/>
        <v>0</v>
      </c>
      <c r="Y908" s="896" t="str">
        <f t="shared" ref="Y908" si="3434">IFERROR((X909/X908),"0")</f>
        <v>0</v>
      </c>
      <c r="Z908" s="528"/>
      <c r="AA908" s="898">
        <v>668.63</v>
      </c>
      <c r="AB908" s="898">
        <v>0</v>
      </c>
      <c r="AC908" s="903">
        <v>0</v>
      </c>
      <c r="AD908" s="896" t="str">
        <f t="shared" ref="AD908" si="3435">IFERROR((AC908/AB908),"-")</f>
        <v>-</v>
      </c>
      <c r="AE908" s="2"/>
      <c r="AF908" s="884">
        <v>0</v>
      </c>
      <c r="AG908" s="884"/>
      <c r="AH908" s="884"/>
      <c r="AI908" s="884"/>
      <c r="AJ908" s="884"/>
      <c r="AK908" s="884">
        <f t="shared" ref="AK908" si="3436">AF908+AG908+AH908+AI908+AJ908+AC908</f>
        <v>0</v>
      </c>
      <c r="AL908" s="884">
        <v>0</v>
      </c>
      <c r="AM908" s="878" t="str">
        <f t="shared" ref="AM908" si="3437">IFERROR((AK908/AL908),"-")</f>
        <v>-</v>
      </c>
      <c r="AN908" s="2"/>
      <c r="AO908" s="884">
        <v>668.63</v>
      </c>
      <c r="AP908" s="884">
        <f t="shared" ref="AP908" si="3438">AO908-AK908</f>
        <v>668.63</v>
      </c>
      <c r="AV908" t="str">
        <f t="shared" si="3429"/>
        <v>Sobrelargura</v>
      </c>
      <c r="AW908" s="4" t="str">
        <f t="shared" si="3420"/>
        <v xml:space="preserve">   Remoção de sobrelargura</v>
      </c>
    </row>
    <row r="909" spans="1:49" ht="15.6" customHeight="1" outlineLevel="2">
      <c r="A909" s="8" t="str">
        <f t="shared" ref="A909" si="3439">A908</f>
        <v>N</v>
      </c>
      <c r="B909" s="150"/>
      <c r="C909" s="150" t="s">
        <v>1270</v>
      </c>
      <c r="D909" s="120" t="s">
        <v>1271</v>
      </c>
      <c r="E909" s="893"/>
      <c r="F909" s="902"/>
      <c r="G909" s="528"/>
      <c r="H909" s="549" t="s">
        <v>38</v>
      </c>
      <c r="I909" s="711">
        <v>0</v>
      </c>
      <c r="J909" s="897"/>
      <c r="K909" s="528"/>
      <c r="L909" s="549" t="s">
        <v>38</v>
      </c>
      <c r="M909" s="711">
        <f t="shared" si="3340"/>
        <v>0</v>
      </c>
      <c r="N909" s="897"/>
      <c r="O909" s="528"/>
      <c r="P909" s="548">
        <v>0</v>
      </c>
      <c r="Q909" s="548">
        <v>0</v>
      </c>
      <c r="R909" s="548">
        <v>0</v>
      </c>
      <c r="S909" s="548">
        <v>0</v>
      </c>
      <c r="T909" s="548">
        <v>0</v>
      </c>
      <c r="U909" s="548">
        <v>0</v>
      </c>
      <c r="V909" s="548">
        <v>0</v>
      </c>
      <c r="W909" s="528"/>
      <c r="X909" s="711">
        <f t="shared" si="3334"/>
        <v>0</v>
      </c>
      <c r="Y909" s="897"/>
      <c r="Z909" s="528"/>
      <c r="AA909" s="899"/>
      <c r="AB909" s="899"/>
      <c r="AC909" s="904"/>
      <c r="AD909" s="905"/>
      <c r="AE909" s="2"/>
      <c r="AF909" s="885"/>
      <c r="AG909" s="885"/>
      <c r="AH909" s="885"/>
      <c r="AI909" s="885"/>
      <c r="AJ909" s="885"/>
      <c r="AK909" s="885"/>
      <c r="AL909" s="885"/>
      <c r="AM909" s="879"/>
      <c r="AN909" s="2"/>
      <c r="AO909" s="886"/>
      <c r="AP909" s="886"/>
      <c r="AV909" t="str">
        <f t="shared" si="3429"/>
        <v>Sobrelargura</v>
      </c>
      <c r="AW909" s="4" t="str">
        <f t="shared" si="3420"/>
        <v xml:space="preserve">   Remoção de sobrelargura</v>
      </c>
    </row>
    <row r="910" spans="1:49" ht="15.6" customHeight="1" outlineLevel="2">
      <c r="A910" s="8" t="str">
        <f t="shared" ref="A910" si="3440">IF(SUM(P910:V911)&gt;0,"S","N")</f>
        <v>N</v>
      </c>
      <c r="B910" s="150">
        <v>1069124</v>
      </c>
      <c r="C910" s="150" t="s">
        <v>1272</v>
      </c>
      <c r="D910" s="120" t="s">
        <v>1273</v>
      </c>
      <c r="E910" s="892" t="s">
        <v>1226</v>
      </c>
      <c r="F910" s="902" t="s">
        <v>36</v>
      </c>
      <c r="G910" s="528"/>
      <c r="H910" s="546" t="s">
        <v>37</v>
      </c>
      <c r="I910" s="711">
        <v>0</v>
      </c>
      <c r="J910" s="896" t="str">
        <f t="shared" ref="J910" si="3441">IFERROR((I911/I910),"-")</f>
        <v>-</v>
      </c>
      <c r="K910" s="528"/>
      <c r="L910" s="546" t="s">
        <v>37</v>
      </c>
      <c r="M910" s="711">
        <f t="shared" si="3340"/>
        <v>0</v>
      </c>
      <c r="N910" s="896" t="str">
        <f t="shared" ref="N910" si="3442">IFERROR((M911/M910),"-")</f>
        <v>-</v>
      </c>
      <c r="O910" s="528"/>
      <c r="P910" s="547">
        <v>0</v>
      </c>
      <c r="Q910" s="547">
        <v>0</v>
      </c>
      <c r="R910" s="547">
        <v>0</v>
      </c>
      <c r="S910" s="547">
        <v>0</v>
      </c>
      <c r="T910" s="547">
        <v>0</v>
      </c>
      <c r="U910" s="547">
        <v>0</v>
      </c>
      <c r="V910" s="548">
        <v>0</v>
      </c>
      <c r="W910" s="528"/>
      <c r="X910" s="711">
        <f t="shared" si="3334"/>
        <v>0</v>
      </c>
      <c r="Y910" s="896" t="str">
        <f t="shared" ref="Y910" si="3443">IFERROR((X911/X910),"0")</f>
        <v>0</v>
      </c>
      <c r="Z910" s="528"/>
      <c r="AA910" s="898">
        <v>0</v>
      </c>
      <c r="AB910" s="898">
        <v>0</v>
      </c>
      <c r="AC910" s="903">
        <v>0</v>
      </c>
      <c r="AD910" s="896" t="str">
        <f t="shared" ref="AD910" si="3444">IFERROR((AC910/AB910),"-")</f>
        <v>-</v>
      </c>
      <c r="AE910" s="2"/>
      <c r="AF910" s="884">
        <v>0</v>
      </c>
      <c r="AG910" s="884"/>
      <c r="AH910" s="884"/>
      <c r="AI910" s="884"/>
      <c r="AJ910" s="884"/>
      <c r="AK910" s="884">
        <f t="shared" ref="AK910" si="3445">AF910+AG910+AH910+AI910+AJ910+AC910</f>
        <v>0</v>
      </c>
      <c r="AL910" s="884">
        <v>7284.46</v>
      </c>
      <c r="AM910" s="878">
        <f t="shared" ref="AM910" si="3446">IFERROR((AK910/AL910),"-")</f>
        <v>0</v>
      </c>
      <c r="AN910" s="2"/>
      <c r="AO910" s="884">
        <v>7284.45</v>
      </c>
      <c r="AP910" s="884">
        <f t="shared" ref="AP910" si="3447">AO910-AK910</f>
        <v>7284.45</v>
      </c>
      <c r="AV910" t="str">
        <f t="shared" si="3429"/>
        <v>Sobrelargura</v>
      </c>
      <c r="AW910" s="4" t="str">
        <f t="shared" si="3420"/>
        <v xml:space="preserve">   Remoção de sobrelargura</v>
      </c>
    </row>
    <row r="911" spans="1:49" ht="13.35" customHeight="1" outlineLevel="2">
      <c r="A911" s="8" t="str">
        <f t="shared" ref="A911" si="3448">A910</f>
        <v>N</v>
      </c>
      <c r="B911" s="150"/>
      <c r="C911" s="150" t="s">
        <v>1272</v>
      </c>
      <c r="D911" s="120" t="s">
        <v>1273</v>
      </c>
      <c r="E911" s="893"/>
      <c r="F911" s="902"/>
      <c r="G911" s="528"/>
      <c r="H911" s="549" t="s">
        <v>38</v>
      </c>
      <c r="I911" s="711">
        <v>0</v>
      </c>
      <c r="J911" s="897"/>
      <c r="K911" s="528"/>
      <c r="L911" s="549" t="s">
        <v>38</v>
      </c>
      <c r="M911" s="711">
        <f t="shared" si="3340"/>
        <v>0</v>
      </c>
      <c r="N911" s="897"/>
      <c r="O911" s="528"/>
      <c r="P911" s="548">
        <v>0</v>
      </c>
      <c r="Q911" s="548">
        <v>0</v>
      </c>
      <c r="R911" s="548">
        <v>0</v>
      </c>
      <c r="S911" s="548">
        <v>0</v>
      </c>
      <c r="T911" s="548">
        <v>0</v>
      </c>
      <c r="U911" s="548">
        <v>0</v>
      </c>
      <c r="V911" s="548">
        <v>0</v>
      </c>
      <c r="W911" s="528"/>
      <c r="X911" s="711">
        <f t="shared" si="3334"/>
        <v>0</v>
      </c>
      <c r="Y911" s="897"/>
      <c r="Z911" s="528"/>
      <c r="AA911" s="899"/>
      <c r="AB911" s="899"/>
      <c r="AC911" s="904"/>
      <c r="AD911" s="905"/>
      <c r="AE911" s="2"/>
      <c r="AF911" s="885"/>
      <c r="AG911" s="885"/>
      <c r="AH911" s="885"/>
      <c r="AI911" s="885"/>
      <c r="AJ911" s="885"/>
      <c r="AK911" s="885"/>
      <c r="AL911" s="885"/>
      <c r="AM911" s="879"/>
      <c r="AN911" s="2"/>
      <c r="AO911" s="886"/>
      <c r="AP911" s="886"/>
      <c r="AV911" t="str">
        <f t="shared" si="3429"/>
        <v>Sobrelargura</v>
      </c>
      <c r="AW911" s="4" t="str">
        <f t="shared" si="3420"/>
        <v xml:space="preserve">   Remoção de sobrelargura</v>
      </c>
    </row>
    <row r="912" spans="1:49" ht="20.25" customHeight="1" outlineLevel="2">
      <c r="A912" s="8" t="str">
        <f t="shared" ref="A912" si="3449">IF(SUM(P912:V913)&gt;0,"S","N")</f>
        <v>N</v>
      </c>
      <c r="B912" s="150">
        <v>1069126</v>
      </c>
      <c r="C912" s="150" t="s">
        <v>1274</v>
      </c>
      <c r="D912" s="120" t="s">
        <v>1275</v>
      </c>
      <c r="E912" s="892" t="s">
        <v>1226</v>
      </c>
      <c r="F912" s="902" t="s">
        <v>36</v>
      </c>
      <c r="G912" s="528"/>
      <c r="H912" s="546" t="s">
        <v>37</v>
      </c>
      <c r="I912" s="711">
        <v>0</v>
      </c>
      <c r="J912" s="896" t="str">
        <f t="shared" ref="J912" si="3450">IFERROR((I913/I912),"-")</f>
        <v>-</v>
      </c>
      <c r="K912" s="528"/>
      <c r="L912" s="546" t="s">
        <v>37</v>
      </c>
      <c r="M912" s="711">
        <f t="shared" si="3340"/>
        <v>0</v>
      </c>
      <c r="N912" s="896" t="str">
        <f t="shared" ref="N912" si="3451">IFERROR((M913/M912),"-")</f>
        <v>-</v>
      </c>
      <c r="O912" s="528"/>
      <c r="P912" s="547">
        <v>0</v>
      </c>
      <c r="Q912" s="547">
        <v>0</v>
      </c>
      <c r="R912" s="547">
        <v>0</v>
      </c>
      <c r="S912" s="547">
        <v>0</v>
      </c>
      <c r="T912" s="547">
        <v>0</v>
      </c>
      <c r="U912" s="547">
        <v>0</v>
      </c>
      <c r="V912" s="548">
        <v>0</v>
      </c>
      <c r="W912" s="528"/>
      <c r="X912" s="711">
        <f t="shared" si="3334"/>
        <v>0</v>
      </c>
      <c r="Y912" s="896" t="str">
        <f t="shared" ref="Y912" si="3452">IFERROR((X913/X912),"0")</f>
        <v>0</v>
      </c>
      <c r="Z912" s="528"/>
      <c r="AA912" s="898">
        <v>5423.76</v>
      </c>
      <c r="AB912" s="898">
        <v>0</v>
      </c>
      <c r="AC912" s="903">
        <v>0</v>
      </c>
      <c r="AD912" s="896" t="str">
        <f t="shared" ref="AD912" si="3453">IFERROR((AC912/AB912),"-")</f>
        <v>-</v>
      </c>
      <c r="AE912" s="2"/>
      <c r="AF912" s="884">
        <v>0</v>
      </c>
      <c r="AG912" s="884"/>
      <c r="AH912" s="884"/>
      <c r="AI912" s="884"/>
      <c r="AJ912" s="884"/>
      <c r="AK912" s="884">
        <f t="shared" ref="AK912" si="3454">AF912+AG912+AH912+AI912+AJ912+AC912</f>
        <v>0</v>
      </c>
      <c r="AL912" s="884">
        <v>0</v>
      </c>
      <c r="AM912" s="878" t="str">
        <f t="shared" ref="AM912" si="3455">IFERROR((AK912/AL912),"-")</f>
        <v>-</v>
      </c>
      <c r="AN912" s="2"/>
      <c r="AO912" s="884">
        <v>5423.76</v>
      </c>
      <c r="AP912" s="884">
        <f t="shared" ref="AP912" si="3456">AO912-AK912</f>
        <v>5423.76</v>
      </c>
      <c r="AV912" t="str">
        <f t="shared" si="3429"/>
        <v>Sobrelargura</v>
      </c>
      <c r="AW912" s="4" t="str">
        <f t="shared" si="3420"/>
        <v xml:space="preserve">   Remoção de sobrelargura</v>
      </c>
    </row>
    <row r="913" spans="1:49" ht="14.85" customHeight="1" outlineLevel="2">
      <c r="A913" s="8" t="str">
        <f t="shared" ref="A913" si="3457">A912</f>
        <v>N</v>
      </c>
      <c r="B913" s="150"/>
      <c r="C913" s="150" t="s">
        <v>1274</v>
      </c>
      <c r="D913" s="120" t="s">
        <v>1275</v>
      </c>
      <c r="E913" s="893"/>
      <c r="F913" s="902"/>
      <c r="G913" s="528"/>
      <c r="H913" s="549" t="s">
        <v>38</v>
      </c>
      <c r="I913" s="711">
        <v>0</v>
      </c>
      <c r="J913" s="897"/>
      <c r="K913" s="528"/>
      <c r="L913" s="549" t="s">
        <v>38</v>
      </c>
      <c r="M913" s="711">
        <f t="shared" si="3340"/>
        <v>0</v>
      </c>
      <c r="N913" s="897"/>
      <c r="O913" s="528"/>
      <c r="P913" s="548">
        <v>0</v>
      </c>
      <c r="Q913" s="548">
        <v>0</v>
      </c>
      <c r="R913" s="548">
        <v>0</v>
      </c>
      <c r="S913" s="548">
        <v>0</v>
      </c>
      <c r="T913" s="548">
        <v>0</v>
      </c>
      <c r="U913" s="548">
        <v>0</v>
      </c>
      <c r="V913" s="548">
        <v>0</v>
      </c>
      <c r="W913" s="528"/>
      <c r="X913" s="711">
        <f t="shared" si="3334"/>
        <v>0</v>
      </c>
      <c r="Y913" s="897"/>
      <c r="Z913" s="528"/>
      <c r="AA913" s="899"/>
      <c r="AB913" s="899"/>
      <c r="AC913" s="904"/>
      <c r="AD913" s="905"/>
      <c r="AE913" s="2"/>
      <c r="AF913" s="885"/>
      <c r="AG913" s="885"/>
      <c r="AH913" s="885"/>
      <c r="AI913" s="885"/>
      <c r="AJ913" s="885"/>
      <c r="AK913" s="885"/>
      <c r="AL913" s="885"/>
      <c r="AM913" s="879"/>
      <c r="AN913" s="2"/>
      <c r="AO913" s="886"/>
      <c r="AP913" s="886"/>
      <c r="AV913" t="str">
        <f t="shared" si="3429"/>
        <v>Sobrelargura</v>
      </c>
      <c r="AW913" s="4" t="str">
        <f t="shared" si="3420"/>
        <v xml:space="preserve">   Remoção de sobrelargura</v>
      </c>
    </row>
    <row r="914" spans="1:49" ht="23.1" customHeight="1" outlineLevel="2">
      <c r="A914" s="8" t="str">
        <f t="shared" ref="A914" si="3458">IF(SUM(P914:V915)&gt;0,"S","N")</f>
        <v>N</v>
      </c>
      <c r="B914" s="150">
        <v>1069128</v>
      </c>
      <c r="C914" s="150" t="s">
        <v>1276</v>
      </c>
      <c r="D914" s="120" t="s">
        <v>1277</v>
      </c>
      <c r="E914" s="892" t="s">
        <v>1226</v>
      </c>
      <c r="F914" s="902" t="s">
        <v>36</v>
      </c>
      <c r="G914" s="528"/>
      <c r="H914" s="546" t="s">
        <v>37</v>
      </c>
      <c r="I914" s="711">
        <v>0</v>
      </c>
      <c r="J914" s="896" t="str">
        <f t="shared" ref="J914" si="3459">IFERROR((I915/I914),"-")</f>
        <v>-</v>
      </c>
      <c r="K914" s="528"/>
      <c r="L914" s="546" t="s">
        <v>37</v>
      </c>
      <c r="M914" s="711">
        <f t="shared" si="3340"/>
        <v>0</v>
      </c>
      <c r="N914" s="896" t="str">
        <f t="shared" ref="N914" si="3460">IFERROR((M915/M914),"-")</f>
        <v>-</v>
      </c>
      <c r="O914" s="528"/>
      <c r="P914" s="547">
        <v>0</v>
      </c>
      <c r="Q914" s="547">
        <v>0</v>
      </c>
      <c r="R914" s="547">
        <v>0</v>
      </c>
      <c r="S914" s="547">
        <v>0</v>
      </c>
      <c r="T914" s="547">
        <v>0</v>
      </c>
      <c r="U914" s="547">
        <v>0</v>
      </c>
      <c r="V914" s="548">
        <v>0</v>
      </c>
      <c r="W914" s="528"/>
      <c r="X914" s="711">
        <f t="shared" si="3334"/>
        <v>0</v>
      </c>
      <c r="Y914" s="896" t="str">
        <f t="shared" ref="Y914" si="3461">IFERROR((X915/X914),"0")</f>
        <v>0</v>
      </c>
      <c r="Z914" s="528"/>
      <c r="AA914" s="898">
        <v>1046.1400000000001</v>
      </c>
      <c r="AB914" s="898">
        <v>0</v>
      </c>
      <c r="AC914" s="903">
        <v>0</v>
      </c>
      <c r="AD914" s="896" t="str">
        <f t="shared" ref="AD914" si="3462">IFERROR((AC914/AB914),"-")</f>
        <v>-</v>
      </c>
      <c r="AE914" s="2"/>
      <c r="AF914" s="884">
        <v>0</v>
      </c>
      <c r="AG914" s="884"/>
      <c r="AH914" s="884"/>
      <c r="AI914" s="884"/>
      <c r="AJ914" s="884"/>
      <c r="AK914" s="884">
        <f t="shared" ref="AK914" si="3463">AF914+AG914+AH914+AI914+AJ914+AC914</f>
        <v>0</v>
      </c>
      <c r="AL914" s="884">
        <v>0</v>
      </c>
      <c r="AM914" s="878" t="str">
        <f t="shared" ref="AM914" si="3464">IFERROR((AK914/AL914),"-")</f>
        <v>-</v>
      </c>
      <c r="AN914" s="2"/>
      <c r="AO914" s="884">
        <v>1046.1400000000001</v>
      </c>
      <c r="AP914" s="884">
        <f t="shared" ref="AP914" si="3465">AO914-AK914</f>
        <v>1046.1400000000001</v>
      </c>
      <c r="AV914" t="str">
        <f t="shared" si="3429"/>
        <v>Sobrelargura</v>
      </c>
      <c r="AW914" s="4" t="str">
        <f t="shared" si="3420"/>
        <v xml:space="preserve">   Remoção de sobrelargura</v>
      </c>
    </row>
    <row r="915" spans="1:49" ht="23.1" customHeight="1" outlineLevel="2">
      <c r="A915" s="8" t="str">
        <f t="shared" ref="A915" si="3466">A914</f>
        <v>N</v>
      </c>
      <c r="B915" s="150"/>
      <c r="C915" s="150" t="s">
        <v>1276</v>
      </c>
      <c r="D915" s="120" t="s">
        <v>1277</v>
      </c>
      <c r="E915" s="893"/>
      <c r="F915" s="902"/>
      <c r="G915" s="528"/>
      <c r="H915" s="549" t="s">
        <v>38</v>
      </c>
      <c r="I915" s="711">
        <v>0</v>
      </c>
      <c r="J915" s="897"/>
      <c r="K915" s="528"/>
      <c r="L915" s="549" t="s">
        <v>38</v>
      </c>
      <c r="M915" s="711">
        <f t="shared" si="3340"/>
        <v>0</v>
      </c>
      <c r="N915" s="897"/>
      <c r="O915" s="528"/>
      <c r="P915" s="548">
        <v>0</v>
      </c>
      <c r="Q915" s="548">
        <v>0</v>
      </c>
      <c r="R915" s="548">
        <v>0</v>
      </c>
      <c r="S915" s="548">
        <v>0</v>
      </c>
      <c r="T915" s="548">
        <v>0</v>
      </c>
      <c r="U915" s="548">
        <v>0</v>
      </c>
      <c r="V915" s="548">
        <v>0</v>
      </c>
      <c r="W915" s="528"/>
      <c r="X915" s="711">
        <f t="shared" si="3334"/>
        <v>0</v>
      </c>
      <c r="Y915" s="897"/>
      <c r="Z915" s="528"/>
      <c r="AA915" s="899"/>
      <c r="AB915" s="899"/>
      <c r="AC915" s="904"/>
      <c r="AD915" s="905"/>
      <c r="AE915" s="2"/>
      <c r="AF915" s="885"/>
      <c r="AG915" s="885"/>
      <c r="AH915" s="885"/>
      <c r="AI915" s="885"/>
      <c r="AJ915" s="885"/>
      <c r="AK915" s="885"/>
      <c r="AL915" s="885"/>
      <c r="AM915" s="879"/>
      <c r="AN915" s="2"/>
      <c r="AO915" s="886"/>
      <c r="AP915" s="886"/>
      <c r="AV915" t="str">
        <f t="shared" si="3429"/>
        <v>Sobrelargura</v>
      </c>
      <c r="AW915" s="4" t="str">
        <f t="shared" si="3420"/>
        <v xml:space="preserve">   Remoção de sobrelargura</v>
      </c>
    </row>
    <row r="916" spans="1:49" ht="14.45" customHeight="1" outlineLevel="2">
      <c r="A916" s="8" t="str">
        <f t="shared" ref="A916" si="3467">IF(SUM(P916:V917)&gt;0,"S","N")</f>
        <v>N</v>
      </c>
      <c r="B916" s="150">
        <v>1069120</v>
      </c>
      <c r="C916" s="150" t="s">
        <v>1278</v>
      </c>
      <c r="D916" s="120" t="s">
        <v>1279</v>
      </c>
      <c r="E916" s="892" t="s">
        <v>1226</v>
      </c>
      <c r="F916" s="902" t="s">
        <v>36</v>
      </c>
      <c r="G916" s="528"/>
      <c r="H916" s="546" t="s">
        <v>37</v>
      </c>
      <c r="I916" s="711">
        <v>0</v>
      </c>
      <c r="J916" s="896" t="str">
        <f t="shared" ref="J916" si="3468">IFERROR((I917/I916),"-")</f>
        <v>-</v>
      </c>
      <c r="K916" s="528"/>
      <c r="L916" s="546" t="s">
        <v>37</v>
      </c>
      <c r="M916" s="711">
        <f t="shared" si="3340"/>
        <v>0</v>
      </c>
      <c r="N916" s="896" t="str">
        <f t="shared" ref="N916" si="3469">IFERROR((M917/M916),"-")</f>
        <v>-</v>
      </c>
      <c r="O916" s="528"/>
      <c r="P916" s="547">
        <v>0</v>
      </c>
      <c r="Q916" s="547">
        <v>0</v>
      </c>
      <c r="R916" s="547">
        <v>0</v>
      </c>
      <c r="S916" s="547">
        <v>0</v>
      </c>
      <c r="T916" s="547">
        <v>0</v>
      </c>
      <c r="U916" s="547">
        <v>0</v>
      </c>
      <c r="V916" s="548">
        <v>0</v>
      </c>
      <c r="W916" s="528"/>
      <c r="X916" s="711">
        <f t="shared" si="3334"/>
        <v>0</v>
      </c>
      <c r="Y916" s="896" t="str">
        <f t="shared" ref="Y916" si="3470">IFERROR((X917/X916),"0")</f>
        <v>0</v>
      </c>
      <c r="Z916" s="528"/>
      <c r="AA916" s="898">
        <v>10251.209999999999</v>
      </c>
      <c r="AB916" s="898">
        <v>0</v>
      </c>
      <c r="AC916" s="903">
        <v>0</v>
      </c>
      <c r="AD916" s="896" t="str">
        <f t="shared" ref="AD916" si="3471">IFERROR((AC916/AB916),"-")</f>
        <v>-</v>
      </c>
      <c r="AE916" s="2"/>
      <c r="AF916" s="884">
        <v>0</v>
      </c>
      <c r="AG916" s="884"/>
      <c r="AH916" s="884"/>
      <c r="AI916" s="884"/>
      <c r="AJ916" s="884"/>
      <c r="AK916" s="884">
        <f t="shared" ref="AK916" si="3472">AF916+AG916+AH916+AI916+AJ916+AC916</f>
        <v>0</v>
      </c>
      <c r="AL916" s="884">
        <v>0</v>
      </c>
      <c r="AM916" s="878" t="str">
        <f t="shared" ref="AM916" si="3473">IFERROR((AK916/AL916),"-")</f>
        <v>-</v>
      </c>
      <c r="AN916" s="2"/>
      <c r="AO916" s="884">
        <v>10251.209999999999</v>
      </c>
      <c r="AP916" s="884">
        <f t="shared" ref="AP916" si="3474">AO916-AK916</f>
        <v>10251.209999999999</v>
      </c>
      <c r="AV916" t="str">
        <f t="shared" si="3429"/>
        <v>Sobrelargura</v>
      </c>
      <c r="AW916" s="4" t="str">
        <f t="shared" si="3420"/>
        <v xml:space="preserve">   Remoção de sobrelargura</v>
      </c>
    </row>
    <row r="917" spans="1:49" ht="15.6" customHeight="1" outlineLevel="2">
      <c r="A917" s="8" t="str">
        <f t="shared" ref="A917" si="3475">A916</f>
        <v>N</v>
      </c>
      <c r="B917" s="150"/>
      <c r="C917" s="150" t="s">
        <v>1278</v>
      </c>
      <c r="D917" s="120" t="s">
        <v>1279</v>
      </c>
      <c r="E917" s="893"/>
      <c r="F917" s="902"/>
      <c r="G917" s="528"/>
      <c r="H917" s="549" t="s">
        <v>38</v>
      </c>
      <c r="I917" s="711">
        <v>0</v>
      </c>
      <c r="J917" s="897"/>
      <c r="K917" s="528"/>
      <c r="L917" s="549" t="s">
        <v>38</v>
      </c>
      <c r="M917" s="711">
        <f t="shared" si="3340"/>
        <v>0</v>
      </c>
      <c r="N917" s="897"/>
      <c r="O917" s="528"/>
      <c r="P917" s="548">
        <v>0</v>
      </c>
      <c r="Q917" s="548">
        <v>0</v>
      </c>
      <c r="R917" s="548">
        <v>0</v>
      </c>
      <c r="S917" s="548">
        <v>0</v>
      </c>
      <c r="T917" s="548">
        <v>0</v>
      </c>
      <c r="U917" s="548">
        <v>0</v>
      </c>
      <c r="V917" s="548">
        <v>0</v>
      </c>
      <c r="W917" s="528"/>
      <c r="X917" s="711">
        <f t="shared" si="3334"/>
        <v>0</v>
      </c>
      <c r="Y917" s="897"/>
      <c r="Z917" s="528"/>
      <c r="AA917" s="899"/>
      <c r="AB917" s="899"/>
      <c r="AC917" s="904"/>
      <c r="AD917" s="905"/>
      <c r="AE917" s="2"/>
      <c r="AF917" s="885"/>
      <c r="AG917" s="885"/>
      <c r="AH917" s="885"/>
      <c r="AI917" s="885"/>
      <c r="AJ917" s="885"/>
      <c r="AK917" s="885"/>
      <c r="AL917" s="885"/>
      <c r="AM917" s="879"/>
      <c r="AN917" s="2"/>
      <c r="AO917" s="886"/>
      <c r="AP917" s="886"/>
      <c r="AV917" t="str">
        <f t="shared" si="3429"/>
        <v>Sobrelargura</v>
      </c>
      <c r="AW917" s="4" t="str">
        <f t="shared" si="3420"/>
        <v xml:space="preserve">   Remoção de sobrelargura</v>
      </c>
    </row>
    <row r="918" spans="1:49" ht="15.6" customHeight="1" outlineLevel="2">
      <c r="A918" s="8" t="str">
        <f t="shared" ref="A918" si="3476">IF(SUM(P918:V919)&gt;0,"S","N")</f>
        <v>N</v>
      </c>
      <c r="B918" s="150">
        <v>1069122</v>
      </c>
      <c r="C918" s="150" t="s">
        <v>1280</v>
      </c>
      <c r="D918" s="120" t="s">
        <v>1281</v>
      </c>
      <c r="E918" s="892" t="s">
        <v>1226</v>
      </c>
      <c r="F918" s="902" t="s">
        <v>36</v>
      </c>
      <c r="G918" s="528"/>
      <c r="H918" s="546" t="s">
        <v>37</v>
      </c>
      <c r="I918" s="711">
        <v>0</v>
      </c>
      <c r="J918" s="896" t="str">
        <f t="shared" ref="J918" si="3477">IFERROR((I919/I918),"-")</f>
        <v>-</v>
      </c>
      <c r="K918" s="528"/>
      <c r="L918" s="546" t="s">
        <v>37</v>
      </c>
      <c r="M918" s="711">
        <f t="shared" si="3340"/>
        <v>0</v>
      </c>
      <c r="N918" s="896" t="str">
        <f t="shared" ref="N918" si="3478">IFERROR((M919/M918),"-")</f>
        <v>-</v>
      </c>
      <c r="O918" s="528"/>
      <c r="P918" s="547">
        <v>0</v>
      </c>
      <c r="Q918" s="547">
        <v>0</v>
      </c>
      <c r="R918" s="547">
        <v>0</v>
      </c>
      <c r="S918" s="547">
        <v>0</v>
      </c>
      <c r="T918" s="547">
        <v>0</v>
      </c>
      <c r="U918" s="547">
        <v>0</v>
      </c>
      <c r="V918" s="548">
        <v>0</v>
      </c>
      <c r="W918" s="528"/>
      <c r="X918" s="711">
        <f t="shared" si="3334"/>
        <v>0</v>
      </c>
      <c r="Y918" s="896" t="str">
        <f t="shared" ref="Y918" si="3479">IFERROR((X919/X918),"0")</f>
        <v>0</v>
      </c>
      <c r="Z918" s="528"/>
      <c r="AA918" s="898">
        <v>0</v>
      </c>
      <c r="AB918" s="898">
        <v>0</v>
      </c>
      <c r="AC918" s="903">
        <v>0</v>
      </c>
      <c r="AD918" s="896" t="str">
        <f t="shared" ref="AD918" si="3480">IFERROR((AC918/AB918),"-")</f>
        <v>-</v>
      </c>
      <c r="AE918" s="2"/>
      <c r="AF918" s="884">
        <v>0</v>
      </c>
      <c r="AG918" s="884"/>
      <c r="AH918" s="884"/>
      <c r="AI918" s="884"/>
      <c r="AJ918" s="884"/>
      <c r="AK918" s="884">
        <f t="shared" ref="AK918" si="3481">AF918+AG918+AH918+AI918+AJ918+AC918</f>
        <v>0</v>
      </c>
      <c r="AL918" s="884">
        <v>5223.01</v>
      </c>
      <c r="AM918" s="878">
        <f t="shared" ref="AM918" si="3482">IFERROR((AK918/AL918),"-")</f>
        <v>0</v>
      </c>
      <c r="AN918" s="2"/>
      <c r="AO918" s="884">
        <v>5223.01</v>
      </c>
      <c r="AP918" s="884">
        <f t="shared" ref="AP918" si="3483">AO918-AK918</f>
        <v>5223.01</v>
      </c>
      <c r="AV918" t="str">
        <f t="shared" si="3429"/>
        <v>Sobrelargura</v>
      </c>
      <c r="AW918" s="4" t="str">
        <f t="shared" si="3420"/>
        <v xml:space="preserve">   Remoção de sobrelargura</v>
      </c>
    </row>
    <row r="919" spans="1:49" ht="15.6" customHeight="1" outlineLevel="2">
      <c r="A919" s="8" t="str">
        <f t="shared" ref="A919" si="3484">A918</f>
        <v>N</v>
      </c>
      <c r="B919" s="150"/>
      <c r="C919" s="150" t="s">
        <v>1280</v>
      </c>
      <c r="D919" s="120" t="s">
        <v>1281</v>
      </c>
      <c r="E919" s="893"/>
      <c r="F919" s="902"/>
      <c r="G919" s="528"/>
      <c r="H919" s="549" t="s">
        <v>38</v>
      </c>
      <c r="I919" s="711">
        <v>0</v>
      </c>
      <c r="J919" s="897"/>
      <c r="K919" s="528"/>
      <c r="L919" s="549" t="s">
        <v>38</v>
      </c>
      <c r="M919" s="711">
        <f t="shared" si="3340"/>
        <v>0</v>
      </c>
      <c r="N919" s="897"/>
      <c r="O919" s="528"/>
      <c r="P919" s="548">
        <v>0</v>
      </c>
      <c r="Q919" s="548">
        <v>0</v>
      </c>
      <c r="R919" s="548">
        <v>0</v>
      </c>
      <c r="S919" s="548">
        <v>0</v>
      </c>
      <c r="T919" s="548">
        <v>0</v>
      </c>
      <c r="U919" s="548">
        <v>0</v>
      </c>
      <c r="V919" s="548">
        <v>0</v>
      </c>
      <c r="W919" s="528"/>
      <c r="X919" s="711">
        <f t="shared" si="3334"/>
        <v>0</v>
      </c>
      <c r="Y919" s="897"/>
      <c r="Z919" s="528"/>
      <c r="AA919" s="899"/>
      <c r="AB919" s="899"/>
      <c r="AC919" s="904"/>
      <c r="AD919" s="905"/>
      <c r="AE919" s="2"/>
      <c r="AF919" s="885"/>
      <c r="AG919" s="885"/>
      <c r="AH919" s="885"/>
      <c r="AI919" s="885"/>
      <c r="AJ919" s="885"/>
      <c r="AK919" s="885"/>
      <c r="AL919" s="885"/>
      <c r="AM919" s="879"/>
      <c r="AN919" s="2"/>
      <c r="AO919" s="886"/>
      <c r="AP919" s="886"/>
      <c r="AV919" t="str">
        <f t="shared" si="3429"/>
        <v>Sobrelargura</v>
      </c>
      <c r="AW919" s="4" t="str">
        <f t="shared" si="3420"/>
        <v xml:space="preserve">   Remoção de sobrelargura</v>
      </c>
    </row>
    <row r="920" spans="1:49" ht="15.6" customHeight="1" outlineLevel="2">
      <c r="A920" s="8" t="str">
        <f t="shared" ref="A920" si="3485">IF(SUM(P920:V921)&gt;0,"S","N")</f>
        <v>N</v>
      </c>
      <c r="B920" s="150">
        <v>1069118</v>
      </c>
      <c r="C920" s="150" t="s">
        <v>1282</v>
      </c>
      <c r="D920" s="120" t="s">
        <v>370</v>
      </c>
      <c r="E920" s="892" t="s">
        <v>1226</v>
      </c>
      <c r="F920" s="902" t="s">
        <v>36</v>
      </c>
      <c r="G920" s="528"/>
      <c r="H920" s="546" t="s">
        <v>37</v>
      </c>
      <c r="I920" s="711">
        <v>0</v>
      </c>
      <c r="J920" s="896" t="str">
        <f t="shared" ref="J920" si="3486">IFERROR((I921/I920),"-")</f>
        <v>-</v>
      </c>
      <c r="K920" s="528"/>
      <c r="L920" s="546" t="s">
        <v>37</v>
      </c>
      <c r="M920" s="711">
        <f t="shared" si="3340"/>
        <v>0</v>
      </c>
      <c r="N920" s="896" t="str">
        <f t="shared" ref="N920" si="3487">IFERROR((M921/M920),"-")</f>
        <v>-</v>
      </c>
      <c r="O920" s="528"/>
      <c r="P920" s="547">
        <v>0</v>
      </c>
      <c r="Q920" s="547">
        <v>0</v>
      </c>
      <c r="R920" s="547">
        <v>0</v>
      </c>
      <c r="S920" s="547">
        <v>0</v>
      </c>
      <c r="T920" s="547">
        <v>0</v>
      </c>
      <c r="U920" s="547">
        <v>0</v>
      </c>
      <c r="V920" s="548">
        <v>0</v>
      </c>
      <c r="W920" s="528"/>
      <c r="X920" s="711">
        <f t="shared" si="3334"/>
        <v>0</v>
      </c>
      <c r="Y920" s="896" t="str">
        <f t="shared" ref="Y920" si="3488">IFERROR((X921/X920),"0")</f>
        <v>0</v>
      </c>
      <c r="Z920" s="528"/>
      <c r="AA920" s="898">
        <v>28862.16</v>
      </c>
      <c r="AB920" s="898">
        <v>0</v>
      </c>
      <c r="AC920" s="903">
        <v>0</v>
      </c>
      <c r="AD920" s="896" t="str">
        <f t="shared" ref="AD920" si="3489">IFERROR((AC920/AB920),"-")</f>
        <v>-</v>
      </c>
      <c r="AE920" s="2"/>
      <c r="AF920" s="884">
        <v>0</v>
      </c>
      <c r="AG920" s="884"/>
      <c r="AH920" s="884"/>
      <c r="AI920" s="884"/>
      <c r="AJ920" s="884"/>
      <c r="AK920" s="884">
        <f t="shared" ref="AK920" si="3490">AF920+AG920+AH920+AI920+AJ920+AC920</f>
        <v>0</v>
      </c>
      <c r="AL920" s="884">
        <v>27729.85</v>
      </c>
      <c r="AM920" s="878">
        <f t="shared" ref="AM920" si="3491">IFERROR((AK920/AL920),"-")</f>
        <v>0</v>
      </c>
      <c r="AN920" s="2"/>
      <c r="AO920" s="884">
        <v>56592</v>
      </c>
      <c r="AP920" s="884">
        <f t="shared" ref="AP920" si="3492">AO920-AK920</f>
        <v>56592</v>
      </c>
      <c r="AV920" t="str">
        <f t="shared" si="3429"/>
        <v>Sobrelargura</v>
      </c>
      <c r="AW920" s="4" t="str">
        <f t="shared" si="3420"/>
        <v xml:space="preserve">   Remoção de sobrelargura</v>
      </c>
    </row>
    <row r="921" spans="1:49" ht="15.6" customHeight="1" outlineLevel="2">
      <c r="A921" s="8" t="str">
        <f t="shared" ref="A921" si="3493">A920</f>
        <v>N</v>
      </c>
      <c r="B921" s="150"/>
      <c r="C921" s="150" t="s">
        <v>1282</v>
      </c>
      <c r="D921" s="120" t="s">
        <v>370</v>
      </c>
      <c r="E921" s="893"/>
      <c r="F921" s="902"/>
      <c r="G921" s="528"/>
      <c r="H921" s="549" t="s">
        <v>38</v>
      </c>
      <c r="I921" s="711">
        <v>0</v>
      </c>
      <c r="J921" s="897"/>
      <c r="K921" s="528"/>
      <c r="L921" s="549" t="s">
        <v>38</v>
      </c>
      <c r="M921" s="711">
        <f t="shared" si="3340"/>
        <v>0</v>
      </c>
      <c r="N921" s="897"/>
      <c r="O921" s="528"/>
      <c r="P921" s="548">
        <v>0</v>
      </c>
      <c r="Q921" s="548">
        <v>0</v>
      </c>
      <c r="R921" s="548">
        <v>0</v>
      </c>
      <c r="S921" s="548">
        <v>0</v>
      </c>
      <c r="T921" s="548">
        <v>0</v>
      </c>
      <c r="U921" s="548">
        <v>0</v>
      </c>
      <c r="V921" s="548">
        <v>0</v>
      </c>
      <c r="W921" s="528"/>
      <c r="X921" s="711">
        <f t="shared" si="3334"/>
        <v>0</v>
      </c>
      <c r="Y921" s="897"/>
      <c r="Z921" s="528"/>
      <c r="AA921" s="899"/>
      <c r="AB921" s="899"/>
      <c r="AC921" s="904"/>
      <c r="AD921" s="905"/>
      <c r="AE921" s="2"/>
      <c r="AF921" s="885"/>
      <c r="AG921" s="885"/>
      <c r="AH921" s="885"/>
      <c r="AI921" s="885"/>
      <c r="AJ921" s="885"/>
      <c r="AK921" s="885"/>
      <c r="AL921" s="885"/>
      <c r="AM921" s="879"/>
      <c r="AN921" s="2"/>
      <c r="AO921" s="886"/>
      <c r="AP921" s="886"/>
      <c r="AV921" t="str">
        <f t="shared" si="3429"/>
        <v>Sobrelargura</v>
      </c>
      <c r="AW921" s="4" t="str">
        <f t="shared" si="3420"/>
        <v xml:space="preserve">   Remoção de sobrelargura</v>
      </c>
    </row>
    <row r="922" spans="1:49" ht="15.6" customHeight="1" outlineLevel="2">
      <c r="A922" s="209">
        <v>0</v>
      </c>
      <c r="B922" s="150"/>
      <c r="C922" s="150"/>
      <c r="D922" s="117"/>
      <c r="E922" s="535"/>
      <c r="F922" s="536"/>
      <c r="G922" s="537"/>
      <c r="H922" s="714"/>
      <c r="I922" s="555"/>
      <c r="J922" s="1319"/>
      <c r="K922" s="537"/>
      <c r="L922" s="714"/>
      <c r="M922" s="555"/>
      <c r="N922" s="714"/>
      <c r="O922" s="537"/>
      <c r="P922" s="539"/>
      <c r="Q922" s="539"/>
      <c r="R922" s="539"/>
      <c r="S922" s="539"/>
      <c r="T922" s="539"/>
      <c r="U922" s="539"/>
      <c r="V922" s="539"/>
      <c r="W922" s="539"/>
      <c r="X922" s="539"/>
      <c r="Y922" s="537"/>
      <c r="Z922" s="537"/>
      <c r="AA922" s="249"/>
      <c r="AB922" s="249"/>
      <c r="AC922" s="249"/>
      <c r="AD922" s="537"/>
      <c r="AE922" s="3"/>
      <c r="AF922" s="1320"/>
      <c r="AG922" s="1320"/>
      <c r="AH922" s="1320"/>
      <c r="AI922" s="1320"/>
      <c r="AJ922" s="1320"/>
      <c r="AK922" s="35"/>
      <c r="AL922" s="35"/>
      <c r="AM922" s="3"/>
      <c r="AN922" s="3"/>
      <c r="AO922" s="35"/>
      <c r="AP922" s="35"/>
      <c r="AV922" t="str">
        <f t="shared" si="3429"/>
        <v>Sobrelargura</v>
      </c>
      <c r="AW922" s="4" t="str">
        <f t="shared" si="3420"/>
        <v xml:space="preserve">   Remoção de sobrelargura</v>
      </c>
    </row>
    <row r="923" spans="1:49" ht="15.6" customHeight="1" outlineLevel="2">
      <c r="A923" s="209">
        <v>0</v>
      </c>
      <c r="B923" s="150"/>
      <c r="C923" s="150"/>
      <c r="D923" s="117"/>
      <c r="E923" s="535"/>
      <c r="F923" s="536"/>
      <c r="G923" s="537"/>
      <c r="H923" s="714"/>
      <c r="I923" s="555"/>
      <c r="J923" s="1319"/>
      <c r="K923" s="537"/>
      <c r="L923" s="714"/>
      <c r="M923" s="555"/>
      <c r="N923" s="714"/>
      <c r="O923" s="537"/>
      <c r="P923" s="539"/>
      <c r="Q923" s="539"/>
      <c r="R923" s="539"/>
      <c r="S923" s="539"/>
      <c r="T923" s="539"/>
      <c r="U923" s="539"/>
      <c r="V923" s="539"/>
      <c r="W923" s="539"/>
      <c r="X923" s="539"/>
      <c r="Y923" s="537"/>
      <c r="Z923" s="537"/>
      <c r="AA923" s="249"/>
      <c r="AB923" s="249"/>
      <c r="AC923" s="249"/>
      <c r="AD923" s="537"/>
      <c r="AE923" s="3"/>
      <c r="AF923" s="1320"/>
      <c r="AG923" s="1320"/>
      <c r="AH923" s="1320"/>
      <c r="AI923" s="1320"/>
      <c r="AJ923" s="1320"/>
      <c r="AK923" s="35"/>
      <c r="AL923" s="35"/>
      <c r="AM923" s="3"/>
      <c r="AN923" s="3"/>
      <c r="AO923" s="35"/>
      <c r="AP923" s="35"/>
      <c r="AV923" t="str">
        <f t="shared" si="3429"/>
        <v>Sobrelargura</v>
      </c>
      <c r="AW923" s="4" t="str">
        <f t="shared" si="3420"/>
        <v xml:space="preserve">   Remoção de sobrelargura</v>
      </c>
    </row>
    <row r="924" spans="1:49" ht="15.6" customHeight="1" outlineLevel="2">
      <c r="A924" s="209">
        <v>0</v>
      </c>
      <c r="B924" s="150"/>
      <c r="C924" s="150"/>
      <c r="D924" s="122"/>
      <c r="E924" s="933" t="s">
        <v>42</v>
      </c>
      <c r="F924" s="868" t="s">
        <v>36</v>
      </c>
      <c r="G924" s="528"/>
      <c r="H924" s="542" t="s">
        <v>37</v>
      </c>
      <c r="I924" s="543">
        <f>SUMIF($L926:$L939,$L924,I926:I939)</f>
        <v>0</v>
      </c>
      <c r="J924" s="860" t="str">
        <f>IFERROR((I925/I924),"-")</f>
        <v>-</v>
      </c>
      <c r="K924" s="528"/>
      <c r="L924" s="542" t="s">
        <v>37</v>
      </c>
      <c r="M924" s="543">
        <f>SUMIF($L926:$L939,$L924,M926:M939)</f>
        <v>0</v>
      </c>
      <c r="N924" s="860" t="str">
        <f>IFERROR((M925/M924),"-")</f>
        <v>-</v>
      </c>
      <c r="O924" s="528"/>
      <c r="P924" s="566">
        <f t="shared" ref="P924:U925" si="3494">P926+P928+P930</f>
        <v>0</v>
      </c>
      <c r="Q924" s="566">
        <f t="shared" si="3494"/>
        <v>0</v>
      </c>
      <c r="R924" s="566">
        <f t="shared" si="3494"/>
        <v>0</v>
      </c>
      <c r="S924" s="566">
        <f t="shared" si="3494"/>
        <v>0</v>
      </c>
      <c r="T924" s="566">
        <f t="shared" si="3494"/>
        <v>0</v>
      </c>
      <c r="U924" s="566">
        <f t="shared" si="3494"/>
        <v>0</v>
      </c>
      <c r="V924" s="566"/>
      <c r="W924" s="528"/>
      <c r="X924" s="543">
        <f t="shared" ref="X924:X939" si="3495">SUMIFS(P924:V924,$P$8:$V$8,"&gt;="&amp;$P$8,$P$8:$V$8,"&lt;="&amp;$N$8)</f>
        <v>0</v>
      </c>
      <c r="Y924" s="860" t="str">
        <f>IFERROR((X925/X924),"-")</f>
        <v>-</v>
      </c>
      <c r="Z924" s="528"/>
      <c r="AA924" s="814">
        <f>SUM(AA926:AA939)</f>
        <v>2232.89</v>
      </c>
      <c r="AB924" s="814">
        <f>SUM(AB926:AB939)</f>
        <v>0</v>
      </c>
      <c r="AC924" s="814">
        <f>SUM(AC926:AC939)</f>
        <v>0</v>
      </c>
      <c r="AD924" s="900" t="str">
        <f t="shared" ref="AD924" si="3496">IFERROR((AC924/AB924),"-")</f>
        <v>-</v>
      </c>
      <c r="AE924" s="2"/>
      <c r="AF924" s="888">
        <f t="shared" ref="AF924" si="3497">SUM(AF926:AF939)</f>
        <v>0</v>
      </c>
      <c r="AG924" s="888">
        <f t="shared" ref="AG924:AL924" si="3498">SUM(AG926:AG939)</f>
        <v>0</v>
      </c>
      <c r="AH924" s="888">
        <f t="shared" si="3498"/>
        <v>0</v>
      </c>
      <c r="AI924" s="888">
        <f t="shared" si="3498"/>
        <v>0</v>
      </c>
      <c r="AJ924" s="888">
        <f t="shared" si="3498"/>
        <v>0</v>
      </c>
      <c r="AK924" s="888">
        <f t="shared" si="3498"/>
        <v>0</v>
      </c>
      <c r="AL924" s="888">
        <f t="shared" si="3498"/>
        <v>0</v>
      </c>
      <c r="AM924" s="743" t="str">
        <f>IFERROR((AK924/AL924),"-")</f>
        <v>-</v>
      </c>
      <c r="AN924" s="2"/>
      <c r="AO924" s="888">
        <f>SUM(AO926:AO939)</f>
        <v>10893.42</v>
      </c>
      <c r="AP924" s="888">
        <f>SUM(AP926:AP939)</f>
        <v>10893.42</v>
      </c>
      <c r="AV924" t="str">
        <f t="shared" si="3429"/>
        <v>Sobrelargura</v>
      </c>
      <c r="AW924" s="4" t="str">
        <f t="shared" si="3420"/>
        <v>Pacote 05 - Segmento 2.4 - Km 131+260 a  Km 138+000</v>
      </c>
    </row>
    <row r="925" spans="1:49" ht="15.6" customHeight="1" outlineLevel="2">
      <c r="A925" s="209">
        <v>0</v>
      </c>
      <c r="B925" s="150"/>
      <c r="C925" s="150">
        <v>0</v>
      </c>
      <c r="D925" s="123"/>
      <c r="E925" s="934"/>
      <c r="F925" s="869"/>
      <c r="G925" s="528"/>
      <c r="H925" s="544" t="s">
        <v>38</v>
      </c>
      <c r="I925" s="543">
        <f>SUMIF($L926:$L939,$L925,I926:I939)</f>
        <v>0</v>
      </c>
      <c r="J925" s="861"/>
      <c r="K925" s="528"/>
      <c r="L925" s="544" t="s">
        <v>38</v>
      </c>
      <c r="M925" s="543">
        <f>SUMIF($L926:$L939,$L925,M926:M939)</f>
        <v>0</v>
      </c>
      <c r="N925" s="861"/>
      <c r="O925" s="528"/>
      <c r="P925" s="566">
        <f t="shared" si="3494"/>
        <v>0</v>
      </c>
      <c r="Q925" s="566">
        <f t="shared" si="3494"/>
        <v>0</v>
      </c>
      <c r="R925" s="566">
        <f t="shared" si="3494"/>
        <v>0</v>
      </c>
      <c r="S925" s="566">
        <f t="shared" si="3494"/>
        <v>0</v>
      </c>
      <c r="T925" s="566">
        <f t="shared" si="3494"/>
        <v>0</v>
      </c>
      <c r="U925" s="566">
        <f t="shared" si="3494"/>
        <v>0</v>
      </c>
      <c r="V925" s="566"/>
      <c r="W925" s="528"/>
      <c r="X925" s="543">
        <f t="shared" si="3495"/>
        <v>0</v>
      </c>
      <c r="Y925" s="861"/>
      <c r="Z925" s="528"/>
      <c r="AA925" s="815"/>
      <c r="AB925" s="815"/>
      <c r="AC925" s="815"/>
      <c r="AD925" s="901"/>
      <c r="AE925" s="2"/>
      <c r="AF925" s="889"/>
      <c r="AG925" s="889"/>
      <c r="AH925" s="889"/>
      <c r="AI925" s="889"/>
      <c r="AJ925" s="889"/>
      <c r="AK925" s="889"/>
      <c r="AL925" s="889"/>
      <c r="AM925" s="744"/>
      <c r="AN925" s="2"/>
      <c r="AO925" s="889"/>
      <c r="AP925" s="889"/>
      <c r="AV925" t="str">
        <f t="shared" si="3429"/>
        <v>Sobrelargura</v>
      </c>
      <c r="AW925" s="4" t="str">
        <f t="shared" si="3420"/>
        <v>Pacote 05 - Segmento 2.4 - Km 131+260 a  Km 138+000</v>
      </c>
    </row>
    <row r="926" spans="1:49" ht="15.6" customHeight="1" outlineLevel="2">
      <c r="A926" s="8" t="str">
        <f t="shared" ref="A926" si="3499">IF(SUM(P926:V927)&gt;0,"S","N")</f>
        <v>N</v>
      </c>
      <c r="B926" s="150">
        <v>1070123</v>
      </c>
      <c r="C926" s="150" t="s">
        <v>1283</v>
      </c>
      <c r="D926" s="120" t="s">
        <v>421</v>
      </c>
      <c r="E926" s="892" t="s">
        <v>1226</v>
      </c>
      <c r="F926" s="902" t="s">
        <v>36</v>
      </c>
      <c r="G926" s="528"/>
      <c r="H926" s="546" t="s">
        <v>37</v>
      </c>
      <c r="I926" s="711">
        <v>0</v>
      </c>
      <c r="J926" s="896" t="str">
        <f t="shared" ref="J926" si="3500">IFERROR((I927/I926),"-")</f>
        <v>-</v>
      </c>
      <c r="K926" s="528"/>
      <c r="L926" s="546" t="s">
        <v>37</v>
      </c>
      <c r="M926" s="711">
        <f t="shared" ref="M926:M939" si="3501">_xlfn.XLOOKUP($N$8,$P$8:$V$8,$P926:$V926)</f>
        <v>0</v>
      </c>
      <c r="N926" s="896" t="str">
        <f t="shared" ref="N926" si="3502">IFERROR((M927/M926),"-")</f>
        <v>-</v>
      </c>
      <c r="O926" s="528"/>
      <c r="P926" s="547">
        <v>0</v>
      </c>
      <c r="Q926" s="547">
        <v>0</v>
      </c>
      <c r="R926" s="547">
        <v>0</v>
      </c>
      <c r="S926" s="547">
        <v>0</v>
      </c>
      <c r="T926" s="547">
        <v>0</v>
      </c>
      <c r="U926" s="547">
        <v>0</v>
      </c>
      <c r="V926" s="548">
        <v>0</v>
      </c>
      <c r="W926" s="528"/>
      <c r="X926" s="711">
        <f t="shared" si="3495"/>
        <v>0</v>
      </c>
      <c r="Y926" s="896" t="str">
        <f t="shared" ref="Y926" si="3503">IFERROR((X927/X926),"0")</f>
        <v>0</v>
      </c>
      <c r="Z926" s="528"/>
      <c r="AA926" s="898">
        <v>0</v>
      </c>
      <c r="AB926" s="898">
        <v>0</v>
      </c>
      <c r="AC926" s="903">
        <v>0</v>
      </c>
      <c r="AD926" s="900" t="str">
        <f t="shared" ref="AD926" si="3504">IFERROR((AC926/AB926),"-")</f>
        <v>-</v>
      </c>
      <c r="AE926" s="2"/>
      <c r="AF926" s="884">
        <v>0</v>
      </c>
      <c r="AG926" s="884"/>
      <c r="AH926" s="884"/>
      <c r="AI926" s="884"/>
      <c r="AJ926" s="884"/>
      <c r="AK926" s="884">
        <f t="shared" ref="AK926" si="3505">AF926+AG926+AH926+AI926+AJ926+AC926</f>
        <v>0</v>
      </c>
      <c r="AL926" s="884">
        <v>0</v>
      </c>
      <c r="AM926" s="878" t="str">
        <f t="shared" ref="AM926" si="3506">IFERROR((AK926/AL926),"-")</f>
        <v>-</v>
      </c>
      <c r="AN926" s="2"/>
      <c r="AO926" s="884">
        <v>1</v>
      </c>
      <c r="AP926" s="884">
        <f t="shared" ref="AP926" si="3507">AO926-AK926</f>
        <v>1</v>
      </c>
      <c r="AV926" t="str">
        <f t="shared" si="3429"/>
        <v>Sobrelargura</v>
      </c>
      <c r="AW926" s="4" t="str">
        <f t="shared" si="3420"/>
        <v xml:space="preserve">   Remoção de sobrelargura</v>
      </c>
    </row>
    <row r="927" spans="1:49" ht="15.6" customHeight="1" outlineLevel="2">
      <c r="A927" s="8" t="str">
        <f t="shared" ref="A927" si="3508">A926</f>
        <v>N</v>
      </c>
      <c r="B927" s="150"/>
      <c r="C927" s="150"/>
      <c r="D927" s="120" t="s">
        <v>421</v>
      </c>
      <c r="E927" s="893"/>
      <c r="F927" s="902"/>
      <c r="G927" s="528"/>
      <c r="H927" s="549" t="s">
        <v>38</v>
      </c>
      <c r="I927" s="711">
        <v>0</v>
      </c>
      <c r="J927" s="897"/>
      <c r="K927" s="528"/>
      <c r="L927" s="549" t="s">
        <v>38</v>
      </c>
      <c r="M927" s="711">
        <f t="shared" si="3501"/>
        <v>0</v>
      </c>
      <c r="N927" s="897"/>
      <c r="O927" s="528"/>
      <c r="P927" s="548"/>
      <c r="Q927" s="548"/>
      <c r="R927" s="548"/>
      <c r="S927" s="548"/>
      <c r="T927" s="547"/>
      <c r="U927" s="548"/>
      <c r="V927" s="548"/>
      <c r="W927" s="528"/>
      <c r="X927" s="711">
        <f t="shared" si="3495"/>
        <v>0</v>
      </c>
      <c r="Y927" s="897"/>
      <c r="Z927" s="528"/>
      <c r="AA927" s="899"/>
      <c r="AB927" s="899"/>
      <c r="AC927" s="904"/>
      <c r="AD927" s="901"/>
      <c r="AE927" s="2"/>
      <c r="AF927" s="885"/>
      <c r="AG927" s="885"/>
      <c r="AH927" s="885"/>
      <c r="AI927" s="885"/>
      <c r="AJ927" s="885"/>
      <c r="AK927" s="885"/>
      <c r="AL927" s="885"/>
      <c r="AM927" s="879"/>
      <c r="AN927" s="2"/>
      <c r="AO927" s="886"/>
      <c r="AP927" s="886"/>
      <c r="AV927" t="str">
        <f t="shared" si="3429"/>
        <v>Sobrelargura</v>
      </c>
      <c r="AW927" s="4" t="str">
        <f t="shared" si="3420"/>
        <v xml:space="preserve">   Remoção de sobrelargura</v>
      </c>
    </row>
    <row r="928" spans="1:49" ht="15.6" customHeight="1" outlineLevel="2">
      <c r="A928" s="8" t="str">
        <f t="shared" ref="A928" si="3509">IF(SUM(P928:V929)&gt;0,"S","N")</f>
        <v>N</v>
      </c>
      <c r="B928" s="150">
        <v>1070124</v>
      </c>
      <c r="C928" s="150" t="s">
        <v>1284</v>
      </c>
      <c r="D928" s="120" t="s">
        <v>434</v>
      </c>
      <c r="E928" s="892" t="s">
        <v>1226</v>
      </c>
      <c r="F928" s="902" t="s">
        <v>36</v>
      </c>
      <c r="G928" s="528"/>
      <c r="H928" s="546" t="s">
        <v>37</v>
      </c>
      <c r="I928" s="711">
        <v>0</v>
      </c>
      <c r="J928" s="896" t="str">
        <f t="shared" ref="J928" si="3510">IFERROR((I929/I928),"-")</f>
        <v>-</v>
      </c>
      <c r="K928" s="528"/>
      <c r="L928" s="546" t="s">
        <v>37</v>
      </c>
      <c r="M928" s="711">
        <f t="shared" si="3501"/>
        <v>0</v>
      </c>
      <c r="N928" s="896" t="str">
        <f t="shared" ref="N928" si="3511">IFERROR((M929/M928),"-")</f>
        <v>-</v>
      </c>
      <c r="O928" s="528"/>
      <c r="P928" s="547">
        <v>0</v>
      </c>
      <c r="Q928" s="547">
        <v>0</v>
      </c>
      <c r="R928" s="547">
        <v>0</v>
      </c>
      <c r="S928" s="547">
        <v>0</v>
      </c>
      <c r="T928" s="547">
        <v>0</v>
      </c>
      <c r="U928" s="547">
        <v>0</v>
      </c>
      <c r="V928" s="548">
        <v>0</v>
      </c>
      <c r="W928" s="528"/>
      <c r="X928" s="711">
        <f t="shared" si="3495"/>
        <v>0</v>
      </c>
      <c r="Y928" s="896" t="str">
        <f t="shared" ref="Y928" si="3512">IFERROR((X929/X928),"0")</f>
        <v>0</v>
      </c>
      <c r="Z928" s="528"/>
      <c r="AA928" s="898">
        <v>0</v>
      </c>
      <c r="AB928" s="898">
        <v>0</v>
      </c>
      <c r="AC928" s="903">
        <v>0</v>
      </c>
      <c r="AD928" s="896" t="str">
        <f t="shared" ref="AD928" si="3513">IFERROR((AC928/AB928),"-")</f>
        <v>-</v>
      </c>
      <c r="AE928" s="2"/>
      <c r="AF928" s="884">
        <v>0</v>
      </c>
      <c r="AG928" s="884"/>
      <c r="AH928" s="884"/>
      <c r="AI928" s="884"/>
      <c r="AJ928" s="884"/>
      <c r="AK928" s="884">
        <f t="shared" ref="AK928" si="3514">AF928+AG928+AH928+AI928+AJ928+AC928</f>
        <v>0</v>
      </c>
      <c r="AL928" s="884">
        <v>0</v>
      </c>
      <c r="AM928" s="878" t="str">
        <f t="shared" ref="AM928" si="3515">IFERROR((AK928/AL928),"-")</f>
        <v>-</v>
      </c>
      <c r="AN928" s="2"/>
      <c r="AO928" s="884">
        <v>174.25</v>
      </c>
      <c r="AP928" s="884">
        <f t="shared" ref="AP928" si="3516">AO928-AK928</f>
        <v>174.25</v>
      </c>
      <c r="AV928" t="str">
        <f t="shared" si="3429"/>
        <v>Sobrelargura</v>
      </c>
      <c r="AW928" s="4" t="str">
        <f t="shared" si="3420"/>
        <v xml:space="preserve">   Remoção de sobrelargura</v>
      </c>
    </row>
    <row r="929" spans="1:50" ht="15.6" customHeight="1" outlineLevel="2">
      <c r="A929" s="8" t="str">
        <f t="shared" ref="A929" si="3517">A928</f>
        <v>N</v>
      </c>
      <c r="B929" s="150"/>
      <c r="C929" s="150"/>
      <c r="D929" s="120" t="s">
        <v>434</v>
      </c>
      <c r="E929" s="893"/>
      <c r="F929" s="902"/>
      <c r="G929" s="528"/>
      <c r="H929" s="549" t="s">
        <v>38</v>
      </c>
      <c r="I929" s="711">
        <v>0</v>
      </c>
      <c r="J929" s="897"/>
      <c r="K929" s="528"/>
      <c r="L929" s="549" t="s">
        <v>38</v>
      </c>
      <c r="M929" s="711">
        <f t="shared" si="3501"/>
        <v>0</v>
      </c>
      <c r="N929" s="897"/>
      <c r="O929" s="528"/>
      <c r="P929" s="548"/>
      <c r="Q929" s="548"/>
      <c r="R929" s="548"/>
      <c r="S929" s="548"/>
      <c r="T929" s="547"/>
      <c r="U929" s="548"/>
      <c r="V929" s="548"/>
      <c r="W929" s="528"/>
      <c r="X929" s="711">
        <f t="shared" si="3495"/>
        <v>0</v>
      </c>
      <c r="Y929" s="897"/>
      <c r="Z929" s="528"/>
      <c r="AA929" s="899"/>
      <c r="AB929" s="899"/>
      <c r="AC929" s="904"/>
      <c r="AD929" s="905"/>
      <c r="AE929" s="2"/>
      <c r="AF929" s="885"/>
      <c r="AG929" s="885"/>
      <c r="AH929" s="885"/>
      <c r="AI929" s="885"/>
      <c r="AJ929" s="885"/>
      <c r="AK929" s="885"/>
      <c r="AL929" s="885"/>
      <c r="AM929" s="879"/>
      <c r="AN929" s="2"/>
      <c r="AO929" s="886"/>
      <c r="AP929" s="886"/>
      <c r="AV929" t="str">
        <f t="shared" si="3429"/>
        <v>Sobrelargura</v>
      </c>
      <c r="AW929" s="4" t="str">
        <f t="shared" si="3420"/>
        <v xml:space="preserve">   Remoção de sobrelargura</v>
      </c>
    </row>
    <row r="930" spans="1:50" ht="15.6" customHeight="1" outlineLevel="2">
      <c r="A930" s="8" t="str">
        <f t="shared" ref="A930" si="3518">IF(SUM(P930:V931)&gt;0,"S","N")</f>
        <v>N</v>
      </c>
      <c r="B930" s="150">
        <v>1069789</v>
      </c>
      <c r="C930" s="150" t="s">
        <v>1285</v>
      </c>
      <c r="D930" s="120" t="s">
        <v>425</v>
      </c>
      <c r="E930" s="892" t="s">
        <v>1226</v>
      </c>
      <c r="F930" s="902" t="s">
        <v>36</v>
      </c>
      <c r="G930" s="528"/>
      <c r="H930" s="546" t="s">
        <v>37</v>
      </c>
      <c r="I930" s="711">
        <v>0</v>
      </c>
      <c r="J930" s="896" t="str">
        <f t="shared" ref="J930" si="3519">IFERROR((I931/I930),"-")</f>
        <v>-</v>
      </c>
      <c r="K930" s="528"/>
      <c r="L930" s="546" t="s">
        <v>37</v>
      </c>
      <c r="M930" s="711">
        <f t="shared" si="3501"/>
        <v>0</v>
      </c>
      <c r="N930" s="896" t="str">
        <f t="shared" ref="N930" si="3520">IFERROR((M931/M930),"-")</f>
        <v>-</v>
      </c>
      <c r="O930" s="528"/>
      <c r="P930" s="547">
        <v>0</v>
      </c>
      <c r="Q930" s="547">
        <v>0</v>
      </c>
      <c r="R930" s="547">
        <v>0</v>
      </c>
      <c r="S930" s="547">
        <v>0</v>
      </c>
      <c r="T930" s="547">
        <v>0</v>
      </c>
      <c r="U930" s="547">
        <v>0</v>
      </c>
      <c r="V930" s="548">
        <v>0</v>
      </c>
      <c r="W930" s="528"/>
      <c r="X930" s="711">
        <f t="shared" si="3495"/>
        <v>0</v>
      </c>
      <c r="Y930" s="896" t="str">
        <f t="shared" ref="Y930" si="3521">IFERROR((X931/X930),"0")</f>
        <v>0</v>
      </c>
      <c r="Z930" s="528"/>
      <c r="AA930" s="898">
        <v>0</v>
      </c>
      <c r="AB930" s="898">
        <v>0</v>
      </c>
      <c r="AC930" s="903">
        <v>0</v>
      </c>
      <c r="AD930" s="896" t="str">
        <f t="shared" ref="AD930" si="3522">IFERROR((AC930/AB930),"-")</f>
        <v>-</v>
      </c>
      <c r="AE930" s="2"/>
      <c r="AF930" s="884">
        <v>0</v>
      </c>
      <c r="AG930" s="884"/>
      <c r="AH930" s="884"/>
      <c r="AI930" s="884"/>
      <c r="AJ930" s="884"/>
      <c r="AK930" s="884">
        <f t="shared" ref="AK930" si="3523">AF930+AG930+AH930+AI930+AJ930+AC930</f>
        <v>0</v>
      </c>
      <c r="AL930" s="884">
        <v>0</v>
      </c>
      <c r="AM930" s="878" t="str">
        <f t="shared" ref="AM930" si="3524">IFERROR((AK930/AL930),"-")</f>
        <v>-</v>
      </c>
      <c r="AN930" s="2"/>
      <c r="AO930" s="884">
        <v>270.24</v>
      </c>
      <c r="AP930" s="884">
        <f t="shared" ref="AP930" si="3525">AO930-AK930</f>
        <v>270.24</v>
      </c>
      <c r="AV930" t="str">
        <f t="shared" si="3429"/>
        <v>Sobrelargura</v>
      </c>
      <c r="AW930" s="4" t="str">
        <f t="shared" si="3420"/>
        <v xml:space="preserve">   Remoção de sobrelargura</v>
      </c>
    </row>
    <row r="931" spans="1:50" ht="15.6" customHeight="1" outlineLevel="2">
      <c r="A931" s="8" t="str">
        <f t="shared" ref="A931" si="3526">A930</f>
        <v>N</v>
      </c>
      <c r="B931" s="150"/>
      <c r="C931" s="150"/>
      <c r="D931" s="120" t="s">
        <v>425</v>
      </c>
      <c r="E931" s="893"/>
      <c r="F931" s="902"/>
      <c r="G931" s="528"/>
      <c r="H931" s="549" t="s">
        <v>38</v>
      </c>
      <c r="I931" s="711">
        <v>0</v>
      </c>
      <c r="J931" s="897"/>
      <c r="K931" s="528"/>
      <c r="L931" s="549" t="s">
        <v>38</v>
      </c>
      <c r="M931" s="711">
        <f t="shared" si="3501"/>
        <v>0</v>
      </c>
      <c r="N931" s="897"/>
      <c r="O931" s="528"/>
      <c r="P931" s="548"/>
      <c r="Q931" s="548"/>
      <c r="R931" s="548"/>
      <c r="S931" s="548"/>
      <c r="T931" s="547"/>
      <c r="U931" s="548"/>
      <c r="V931" s="548"/>
      <c r="W931" s="528"/>
      <c r="X931" s="711">
        <f t="shared" si="3495"/>
        <v>0</v>
      </c>
      <c r="Y931" s="897"/>
      <c r="Z931" s="528"/>
      <c r="AA931" s="899"/>
      <c r="AB931" s="899"/>
      <c r="AC931" s="904"/>
      <c r="AD931" s="905"/>
      <c r="AE931" s="2"/>
      <c r="AF931" s="885"/>
      <c r="AG931" s="885"/>
      <c r="AH931" s="885"/>
      <c r="AI931" s="885"/>
      <c r="AJ931" s="885"/>
      <c r="AK931" s="885"/>
      <c r="AL931" s="885"/>
      <c r="AM931" s="879"/>
      <c r="AN931" s="2"/>
      <c r="AO931" s="886"/>
      <c r="AP931" s="886"/>
      <c r="AV931" t="str">
        <f t="shared" si="3429"/>
        <v>Sobrelargura</v>
      </c>
      <c r="AW931" s="4" t="str">
        <f t="shared" si="3420"/>
        <v xml:space="preserve">   Remoção de sobrelargura</v>
      </c>
    </row>
    <row r="932" spans="1:50" ht="15.6" customHeight="1" outlineLevel="2">
      <c r="A932" s="8" t="str">
        <f t="shared" ref="A932" si="3527">IF(SUM(P932:V933)&gt;0,"S","N")</f>
        <v>N</v>
      </c>
      <c r="B932" s="150">
        <v>1069790</v>
      </c>
      <c r="C932" s="150" t="s">
        <v>1286</v>
      </c>
      <c r="D932" s="120" t="s">
        <v>1287</v>
      </c>
      <c r="E932" s="892" t="s">
        <v>1226</v>
      </c>
      <c r="F932" s="902" t="s">
        <v>36</v>
      </c>
      <c r="G932" s="528"/>
      <c r="H932" s="546" t="s">
        <v>37</v>
      </c>
      <c r="I932" s="711">
        <v>0</v>
      </c>
      <c r="J932" s="896" t="str">
        <f t="shared" ref="J932" si="3528">IFERROR((I933/I932),"-")</f>
        <v>-</v>
      </c>
      <c r="K932" s="528"/>
      <c r="L932" s="546" t="s">
        <v>37</v>
      </c>
      <c r="M932" s="711">
        <f t="shared" si="3501"/>
        <v>0</v>
      </c>
      <c r="N932" s="896" t="str">
        <f t="shared" ref="N932" si="3529">IFERROR((M933/M932),"-")</f>
        <v>-</v>
      </c>
      <c r="O932" s="528"/>
      <c r="P932" s="547">
        <v>0</v>
      </c>
      <c r="Q932" s="547">
        <v>0</v>
      </c>
      <c r="R932" s="547">
        <v>0</v>
      </c>
      <c r="S932" s="547">
        <v>0</v>
      </c>
      <c r="T932" s="547">
        <v>0</v>
      </c>
      <c r="U932" s="547">
        <v>0</v>
      </c>
      <c r="V932" s="548">
        <v>0</v>
      </c>
      <c r="W932" s="528"/>
      <c r="X932" s="711">
        <f t="shared" si="3495"/>
        <v>0</v>
      </c>
      <c r="Y932" s="896" t="str">
        <f t="shared" ref="Y932" si="3530">IFERROR((X933/X932),"0")</f>
        <v>0</v>
      </c>
      <c r="Z932" s="528"/>
      <c r="AA932" s="898">
        <v>0</v>
      </c>
      <c r="AB932" s="898">
        <v>0</v>
      </c>
      <c r="AC932" s="903">
        <v>0</v>
      </c>
      <c r="AD932" s="896" t="str">
        <f t="shared" ref="AD932" si="3531">IFERROR((AC932/AB932),"-")</f>
        <v>-</v>
      </c>
      <c r="AE932" s="2"/>
      <c r="AF932" s="884">
        <v>0</v>
      </c>
      <c r="AG932" s="884"/>
      <c r="AH932" s="884"/>
      <c r="AI932" s="884"/>
      <c r="AJ932" s="884"/>
      <c r="AK932" s="884">
        <f t="shared" ref="AK932" si="3532">AF932+AG932+AH932+AI932+AJ932+AC932</f>
        <v>0</v>
      </c>
      <c r="AL932" s="884">
        <v>0</v>
      </c>
      <c r="AM932" s="878" t="str">
        <f t="shared" ref="AM932" si="3533">IFERROR((AK932/AL932),"-")</f>
        <v>-</v>
      </c>
      <c r="AN932" s="2"/>
      <c r="AO932" s="884">
        <v>254.5</v>
      </c>
      <c r="AP932" s="884">
        <f t="shared" ref="AP932" si="3534">AO932-AK932</f>
        <v>254.5</v>
      </c>
      <c r="AV932" t="str">
        <f t="shared" si="3429"/>
        <v>Sobrelargura</v>
      </c>
      <c r="AW932" s="4" t="str">
        <f t="shared" si="3420"/>
        <v xml:space="preserve">   Remoção de sobrelargura</v>
      </c>
      <c r="AX932" s="4"/>
    </row>
    <row r="933" spans="1:50" ht="15.6" customHeight="1" outlineLevel="2">
      <c r="A933" s="8" t="str">
        <f t="shared" ref="A933" si="3535">A932</f>
        <v>N</v>
      </c>
      <c r="B933" s="150"/>
      <c r="C933" s="150"/>
      <c r="D933" s="120" t="s">
        <v>1287</v>
      </c>
      <c r="E933" s="893"/>
      <c r="F933" s="902"/>
      <c r="G933" s="528"/>
      <c r="H933" s="549" t="s">
        <v>38</v>
      </c>
      <c r="I933" s="711">
        <v>0</v>
      </c>
      <c r="J933" s="897"/>
      <c r="K933" s="528"/>
      <c r="L933" s="549" t="s">
        <v>38</v>
      </c>
      <c r="M933" s="711">
        <f t="shared" si="3501"/>
        <v>0</v>
      </c>
      <c r="N933" s="897"/>
      <c r="O933" s="528"/>
      <c r="P933" s="548"/>
      <c r="Q933" s="548"/>
      <c r="R933" s="548"/>
      <c r="S933" s="548"/>
      <c r="T933" s="547"/>
      <c r="U933" s="548"/>
      <c r="V933" s="548"/>
      <c r="W933" s="528"/>
      <c r="X933" s="711">
        <f t="shared" si="3495"/>
        <v>0</v>
      </c>
      <c r="Y933" s="897"/>
      <c r="Z933" s="528"/>
      <c r="AA933" s="899"/>
      <c r="AB933" s="899"/>
      <c r="AC933" s="904"/>
      <c r="AD933" s="905"/>
      <c r="AE933" s="2"/>
      <c r="AF933" s="885"/>
      <c r="AG933" s="885"/>
      <c r="AH933" s="885"/>
      <c r="AI933" s="885"/>
      <c r="AJ933" s="885"/>
      <c r="AK933" s="885"/>
      <c r="AL933" s="885"/>
      <c r="AM933" s="879"/>
      <c r="AN933" s="2"/>
      <c r="AO933" s="886"/>
      <c r="AP933" s="886"/>
      <c r="AV933" t="str">
        <f t="shared" si="3429"/>
        <v>Sobrelargura</v>
      </c>
      <c r="AW933" s="4" t="str">
        <f t="shared" si="3420"/>
        <v xml:space="preserve">   Remoção de sobrelargura</v>
      </c>
      <c r="AX933" s="4"/>
    </row>
    <row r="934" spans="1:50" ht="15.6" customHeight="1" outlineLevel="2">
      <c r="A934" s="8" t="str">
        <f t="shared" ref="A934" si="3536">IF(SUM(P934:V935)&gt;0,"S","N")</f>
        <v>N</v>
      </c>
      <c r="B934" s="150">
        <v>1069791</v>
      </c>
      <c r="C934" s="150" t="s">
        <v>1288</v>
      </c>
      <c r="D934" s="120" t="s">
        <v>438</v>
      </c>
      <c r="E934" s="892" t="s">
        <v>1226</v>
      </c>
      <c r="F934" s="902" t="s">
        <v>36</v>
      </c>
      <c r="G934" s="528"/>
      <c r="H934" s="546" t="s">
        <v>37</v>
      </c>
      <c r="I934" s="711">
        <v>0</v>
      </c>
      <c r="J934" s="896" t="str">
        <f t="shared" ref="J934" si="3537">IFERROR((I935/I934),"-")</f>
        <v>-</v>
      </c>
      <c r="K934" s="528"/>
      <c r="L934" s="546" t="s">
        <v>37</v>
      </c>
      <c r="M934" s="711">
        <f t="shared" si="3501"/>
        <v>0</v>
      </c>
      <c r="N934" s="896" t="str">
        <f t="shared" ref="N934" si="3538">IFERROR((M935/M934),"-")</f>
        <v>-</v>
      </c>
      <c r="O934" s="528"/>
      <c r="P934" s="547">
        <v>0</v>
      </c>
      <c r="Q934" s="547">
        <v>0</v>
      </c>
      <c r="R934" s="547">
        <v>0</v>
      </c>
      <c r="S934" s="547">
        <v>0</v>
      </c>
      <c r="T934" s="547">
        <v>0</v>
      </c>
      <c r="U934" s="547">
        <v>0</v>
      </c>
      <c r="V934" s="548">
        <v>0</v>
      </c>
      <c r="W934" s="528"/>
      <c r="X934" s="711">
        <f t="shared" si="3495"/>
        <v>0</v>
      </c>
      <c r="Y934" s="896" t="str">
        <f t="shared" ref="Y934" si="3539">IFERROR((X935/X934),"0")</f>
        <v>0</v>
      </c>
      <c r="Z934" s="528"/>
      <c r="AA934" s="898">
        <v>0</v>
      </c>
      <c r="AB934" s="898">
        <v>0</v>
      </c>
      <c r="AC934" s="903">
        <v>0</v>
      </c>
      <c r="AD934" s="896" t="str">
        <f t="shared" ref="AD934" si="3540">IFERROR((AC934/AB934),"-")</f>
        <v>-</v>
      </c>
      <c r="AE934" s="2"/>
      <c r="AF934" s="884">
        <v>0</v>
      </c>
      <c r="AG934" s="884"/>
      <c r="AH934" s="884"/>
      <c r="AI934" s="884"/>
      <c r="AJ934" s="884"/>
      <c r="AK934" s="884">
        <f t="shared" ref="AK934" si="3541">AF934+AG934+AH934+AI934+AJ934+AC934</f>
        <v>0</v>
      </c>
      <c r="AL934" s="884">
        <v>0</v>
      </c>
      <c r="AM934" s="878" t="str">
        <f t="shared" ref="AM934" si="3542">IFERROR((AK934/AL934),"-")</f>
        <v>-</v>
      </c>
      <c r="AN934" s="2"/>
      <c r="AO934" s="884">
        <v>193.44</v>
      </c>
      <c r="AP934" s="884">
        <f t="shared" ref="AP934" si="3543">AO934-AK934</f>
        <v>193.44</v>
      </c>
      <c r="AV934" t="str">
        <f t="shared" si="3429"/>
        <v>Sobrelargura</v>
      </c>
      <c r="AW934" s="4" t="str">
        <f t="shared" si="3420"/>
        <v xml:space="preserve">   Remoção de sobrelargura</v>
      </c>
    </row>
    <row r="935" spans="1:50" ht="15.6" customHeight="1" outlineLevel="2">
      <c r="A935" s="8" t="str">
        <f t="shared" ref="A935" si="3544">A934</f>
        <v>N</v>
      </c>
      <c r="B935" s="150"/>
      <c r="C935" s="150"/>
      <c r="D935" s="120" t="s">
        <v>438</v>
      </c>
      <c r="E935" s="893"/>
      <c r="F935" s="902"/>
      <c r="G935" s="528"/>
      <c r="H935" s="549" t="s">
        <v>38</v>
      </c>
      <c r="I935" s="711">
        <v>0</v>
      </c>
      <c r="J935" s="897"/>
      <c r="K935" s="528"/>
      <c r="L935" s="549" t="s">
        <v>38</v>
      </c>
      <c r="M935" s="711">
        <f t="shared" si="3501"/>
        <v>0</v>
      </c>
      <c r="N935" s="897"/>
      <c r="O935" s="528"/>
      <c r="P935" s="548"/>
      <c r="Q935" s="548"/>
      <c r="R935" s="548"/>
      <c r="S935" s="548"/>
      <c r="T935" s="547"/>
      <c r="U935" s="548"/>
      <c r="V935" s="548"/>
      <c r="W935" s="528"/>
      <c r="X935" s="711">
        <f t="shared" si="3495"/>
        <v>0</v>
      </c>
      <c r="Y935" s="897"/>
      <c r="Z935" s="528"/>
      <c r="AA935" s="899"/>
      <c r="AB935" s="899"/>
      <c r="AC935" s="904"/>
      <c r="AD935" s="905"/>
      <c r="AE935" s="2"/>
      <c r="AF935" s="885"/>
      <c r="AG935" s="885"/>
      <c r="AH935" s="885"/>
      <c r="AI935" s="885"/>
      <c r="AJ935" s="885"/>
      <c r="AK935" s="885"/>
      <c r="AL935" s="885"/>
      <c r="AM935" s="879"/>
      <c r="AN935" s="2"/>
      <c r="AO935" s="886"/>
      <c r="AP935" s="886"/>
      <c r="AV935" t="str">
        <f t="shared" si="3429"/>
        <v>Sobrelargura</v>
      </c>
      <c r="AW935" s="4" t="str">
        <f t="shared" si="3420"/>
        <v xml:space="preserve">   Remoção de sobrelargura</v>
      </c>
    </row>
    <row r="936" spans="1:50" ht="15.6" customHeight="1" outlineLevel="2">
      <c r="A936" s="8" t="str">
        <f t="shared" ref="A936" si="3545">IF(SUM(P936:V937)&gt;0,"S","N")</f>
        <v>N</v>
      </c>
      <c r="B936" s="150">
        <v>1069792</v>
      </c>
      <c r="C936" s="150" t="s">
        <v>1289</v>
      </c>
      <c r="D936" s="120" t="s">
        <v>436</v>
      </c>
      <c r="E936" s="892" t="s">
        <v>1226</v>
      </c>
      <c r="F936" s="902" t="s">
        <v>36</v>
      </c>
      <c r="G936" s="528"/>
      <c r="H936" s="546" t="s">
        <v>37</v>
      </c>
      <c r="I936" s="711">
        <v>0</v>
      </c>
      <c r="J936" s="896" t="str">
        <f t="shared" ref="J936" si="3546">IFERROR((I937/I936),"-")</f>
        <v>-</v>
      </c>
      <c r="K936" s="528"/>
      <c r="L936" s="546" t="s">
        <v>37</v>
      </c>
      <c r="M936" s="711">
        <f t="shared" si="3501"/>
        <v>0</v>
      </c>
      <c r="N936" s="896" t="str">
        <f t="shared" ref="N936" si="3547">IFERROR((M937/M936),"-")</f>
        <v>-</v>
      </c>
      <c r="O936" s="528"/>
      <c r="P936" s="547">
        <v>0</v>
      </c>
      <c r="Q936" s="547">
        <v>0</v>
      </c>
      <c r="R936" s="547">
        <v>0</v>
      </c>
      <c r="S936" s="547">
        <v>0</v>
      </c>
      <c r="T936" s="547">
        <v>0</v>
      </c>
      <c r="U936" s="547">
        <v>0</v>
      </c>
      <c r="V936" s="548">
        <v>0</v>
      </c>
      <c r="W936" s="528"/>
      <c r="X936" s="711">
        <f t="shared" si="3495"/>
        <v>0</v>
      </c>
      <c r="Y936" s="896" t="str">
        <f t="shared" ref="Y936" si="3548">IFERROR((X937/X936),"0")</f>
        <v>0</v>
      </c>
      <c r="Z936" s="528"/>
      <c r="AA936" s="898">
        <v>2232.89</v>
      </c>
      <c r="AB936" s="898">
        <v>0</v>
      </c>
      <c r="AC936" s="903">
        <v>0</v>
      </c>
      <c r="AD936" s="896" t="str">
        <f t="shared" ref="AD936" si="3549">IFERROR((AC936/AB936),"-")</f>
        <v>-</v>
      </c>
      <c r="AE936" s="2"/>
      <c r="AF936" s="884">
        <v>0</v>
      </c>
      <c r="AG936" s="884"/>
      <c r="AH936" s="884"/>
      <c r="AI936" s="884"/>
      <c r="AJ936" s="884"/>
      <c r="AK936" s="884">
        <f t="shared" ref="AK936" si="3550">AF936+AG936+AH936+AI936+AJ936+AC936</f>
        <v>0</v>
      </c>
      <c r="AL936" s="884">
        <v>0</v>
      </c>
      <c r="AM936" s="878" t="str">
        <f t="shared" ref="AM936" si="3551">IFERROR((AK936/AL936),"-")</f>
        <v>-</v>
      </c>
      <c r="AN936" s="2"/>
      <c r="AO936" s="884">
        <v>9999.99</v>
      </c>
      <c r="AP936" s="884">
        <f t="shared" ref="AP936" si="3552">AO936-AK936</f>
        <v>9999.99</v>
      </c>
      <c r="AV936" t="str">
        <f t="shared" si="3429"/>
        <v>Sobrelargura</v>
      </c>
      <c r="AW936" s="4" t="str">
        <f t="shared" si="3420"/>
        <v xml:space="preserve">   Remoção de sobrelargura</v>
      </c>
    </row>
    <row r="937" spans="1:50" ht="14.45" customHeight="1" outlineLevel="2">
      <c r="A937" s="8" t="str">
        <f t="shared" ref="A937" si="3553">A936</f>
        <v>N</v>
      </c>
      <c r="B937" s="150"/>
      <c r="C937" s="150"/>
      <c r="D937" s="120" t="s">
        <v>436</v>
      </c>
      <c r="E937" s="893"/>
      <c r="F937" s="902"/>
      <c r="G937" s="528"/>
      <c r="H937" s="549" t="s">
        <v>38</v>
      </c>
      <c r="I937" s="711">
        <v>0</v>
      </c>
      <c r="J937" s="897"/>
      <c r="K937" s="528"/>
      <c r="L937" s="549" t="s">
        <v>38</v>
      </c>
      <c r="M937" s="711">
        <f t="shared" si="3501"/>
        <v>0</v>
      </c>
      <c r="N937" s="897"/>
      <c r="O937" s="528"/>
      <c r="P937" s="548"/>
      <c r="Q937" s="548"/>
      <c r="R937" s="548"/>
      <c r="S937" s="548"/>
      <c r="T937" s="547"/>
      <c r="U937" s="548"/>
      <c r="V937" s="548"/>
      <c r="W937" s="528"/>
      <c r="X937" s="711">
        <f t="shared" si="3495"/>
        <v>0</v>
      </c>
      <c r="Y937" s="897"/>
      <c r="Z937" s="528"/>
      <c r="AA937" s="899"/>
      <c r="AB937" s="899"/>
      <c r="AC937" s="904"/>
      <c r="AD937" s="905"/>
      <c r="AE937" s="2"/>
      <c r="AF937" s="885"/>
      <c r="AG937" s="885"/>
      <c r="AH937" s="885"/>
      <c r="AI937" s="885"/>
      <c r="AJ937" s="885"/>
      <c r="AK937" s="885"/>
      <c r="AL937" s="885"/>
      <c r="AM937" s="879"/>
      <c r="AN937" s="2"/>
      <c r="AO937" s="886"/>
      <c r="AP937" s="886"/>
      <c r="AV937" t="str">
        <f t="shared" si="3429"/>
        <v>Sobrelargura</v>
      </c>
      <c r="AW937" s="4" t="str">
        <f t="shared" si="3420"/>
        <v xml:space="preserve">   Remoção de sobrelargura</v>
      </c>
    </row>
    <row r="938" spans="1:50" ht="14.45" customHeight="1" outlineLevel="2">
      <c r="A938" s="8" t="str">
        <f t="shared" ref="A938" si="3554">IF(SUM(P938:V939)&gt;0,"S","N")</f>
        <v>N</v>
      </c>
      <c r="B938" s="150"/>
      <c r="C938" s="150" t="s">
        <v>266</v>
      </c>
      <c r="D938" s="120" t="s">
        <v>266</v>
      </c>
      <c r="E938" s="892"/>
      <c r="F938" s="902" t="s">
        <v>36</v>
      </c>
      <c r="G938" s="528"/>
      <c r="H938" s="546" t="s">
        <v>37</v>
      </c>
      <c r="I938" s="711">
        <v>0</v>
      </c>
      <c r="J938" s="896" t="str">
        <f t="shared" ref="J938" si="3555">IFERROR((I939/I938),"-")</f>
        <v>-</v>
      </c>
      <c r="K938" s="528"/>
      <c r="L938" s="546" t="s">
        <v>37</v>
      </c>
      <c r="M938" s="711">
        <f t="shared" si="3501"/>
        <v>0</v>
      </c>
      <c r="N938" s="896" t="str">
        <f t="shared" ref="N938" si="3556">IFERROR((M939/M938),"-")</f>
        <v>-</v>
      </c>
      <c r="O938" s="528"/>
      <c r="P938" s="547">
        <v>0</v>
      </c>
      <c r="Q938" s="547">
        <v>0</v>
      </c>
      <c r="R938" s="547">
        <v>0</v>
      </c>
      <c r="S938" s="547">
        <v>0</v>
      </c>
      <c r="T938" s="547">
        <v>0</v>
      </c>
      <c r="U938" s="547">
        <v>0</v>
      </c>
      <c r="V938" s="548">
        <v>0</v>
      </c>
      <c r="W938" s="528"/>
      <c r="X938" s="711">
        <f t="shared" si="3495"/>
        <v>0</v>
      </c>
      <c r="Y938" s="896" t="str">
        <f t="shared" ref="Y938" si="3557">IFERROR((X939/X938),"0")</f>
        <v>0</v>
      </c>
      <c r="Z938" s="528"/>
      <c r="AA938" s="898">
        <v>0</v>
      </c>
      <c r="AB938" s="898">
        <v>0</v>
      </c>
      <c r="AC938" s="903">
        <v>0</v>
      </c>
      <c r="AD938" s="896" t="str">
        <f t="shared" ref="AD938" si="3558">IFERROR((AC938/AB938),"-")</f>
        <v>-</v>
      </c>
      <c r="AE938" s="2"/>
      <c r="AF938" s="884">
        <v>0</v>
      </c>
      <c r="AG938" s="884"/>
      <c r="AH938" s="884"/>
      <c r="AI938" s="884"/>
      <c r="AJ938" s="884"/>
      <c r="AK938" s="884">
        <f t="shared" ref="AK938" si="3559">AF938+AG938+AH938+AI938+AJ938+AC938</f>
        <v>0</v>
      </c>
      <c r="AL938" s="884">
        <v>0</v>
      </c>
      <c r="AM938" s="878" t="str">
        <f t="shared" ref="AM938" si="3560">IFERROR((AK938/AL938),"-")</f>
        <v>-</v>
      </c>
      <c r="AN938" s="2"/>
      <c r="AO938" s="884">
        <v>0</v>
      </c>
      <c r="AP938" s="884">
        <f t="shared" ref="AP938" si="3561">AO938-AK938</f>
        <v>0</v>
      </c>
      <c r="AV938" t="str">
        <f t="shared" si="3429"/>
        <v>Sobrelargura</v>
      </c>
      <c r="AW938" s="4" t="str">
        <f t="shared" si="3420"/>
        <v xml:space="preserve">   Remoção de sobrelargura</v>
      </c>
    </row>
    <row r="939" spans="1:50" ht="14.45" customHeight="1" outlineLevel="2">
      <c r="A939" s="8" t="str">
        <f t="shared" ref="A939" si="3562">A938</f>
        <v>N</v>
      </c>
      <c r="B939" s="150"/>
      <c r="C939" s="150"/>
      <c r="D939" s="120"/>
      <c r="E939" s="893"/>
      <c r="F939" s="902"/>
      <c r="G939" s="528"/>
      <c r="H939" s="549" t="s">
        <v>38</v>
      </c>
      <c r="I939" s="711">
        <v>0</v>
      </c>
      <c r="J939" s="897"/>
      <c r="K939" s="528"/>
      <c r="L939" s="549" t="s">
        <v>38</v>
      </c>
      <c r="M939" s="711">
        <f t="shared" si="3501"/>
        <v>0</v>
      </c>
      <c r="N939" s="897"/>
      <c r="O939" s="528"/>
      <c r="P939" s="548"/>
      <c r="Q939" s="548"/>
      <c r="R939" s="548"/>
      <c r="S939" s="548"/>
      <c r="T939" s="547"/>
      <c r="U939" s="548"/>
      <c r="V939" s="548"/>
      <c r="W939" s="528"/>
      <c r="X939" s="711">
        <f t="shared" si="3495"/>
        <v>0</v>
      </c>
      <c r="Y939" s="897"/>
      <c r="Z939" s="528"/>
      <c r="AA939" s="899"/>
      <c r="AB939" s="899"/>
      <c r="AC939" s="904"/>
      <c r="AD939" s="905"/>
      <c r="AE939" s="2"/>
      <c r="AF939" s="885"/>
      <c r="AG939" s="885"/>
      <c r="AH939" s="885"/>
      <c r="AI939" s="885"/>
      <c r="AJ939" s="885"/>
      <c r="AK939" s="885"/>
      <c r="AL939" s="885"/>
      <c r="AM939" s="879"/>
      <c r="AN939" s="2"/>
      <c r="AO939" s="886"/>
      <c r="AP939" s="886"/>
      <c r="AV939" t="str">
        <f t="shared" si="3429"/>
        <v>Sobrelargura</v>
      </c>
      <c r="AW939" s="4" t="str">
        <f t="shared" si="3420"/>
        <v xml:space="preserve">   Remoção de sobrelargura</v>
      </c>
    </row>
    <row r="940" spans="1:50" ht="15.6" customHeight="1" outlineLevel="2">
      <c r="A940" s="209">
        <v>0</v>
      </c>
      <c r="B940" s="150"/>
      <c r="C940" s="150"/>
      <c r="D940" s="117"/>
      <c r="E940" s="535"/>
      <c r="F940" s="536"/>
      <c r="G940" s="537"/>
      <c r="H940" s="714"/>
      <c r="I940" s="555"/>
      <c r="J940" s="714"/>
      <c r="K940" s="537"/>
      <c r="L940" s="714"/>
      <c r="M940" s="555"/>
      <c r="N940" s="714"/>
      <c r="O940" s="537"/>
      <c r="P940" s="539"/>
      <c r="Q940" s="539"/>
      <c r="R940" s="539"/>
      <c r="S940" s="539"/>
      <c r="T940" s="539"/>
      <c r="U940" s="539"/>
      <c r="V940" s="539"/>
      <c r="W940" s="539"/>
      <c r="X940" s="540"/>
      <c r="Y940" s="537"/>
      <c r="Z940" s="537"/>
      <c r="AA940" s="249"/>
      <c r="AB940" s="249"/>
      <c r="AC940" s="249"/>
      <c r="AD940" s="537"/>
      <c r="AE940" s="3"/>
      <c r="AF940" s="35"/>
      <c r="AG940" s="35"/>
      <c r="AH940" s="35"/>
      <c r="AI940" s="35"/>
      <c r="AJ940" s="35"/>
      <c r="AK940" s="35"/>
      <c r="AL940" s="35"/>
      <c r="AM940" s="3"/>
      <c r="AN940" s="3"/>
      <c r="AO940" s="35"/>
      <c r="AP940" s="35"/>
      <c r="AV940" t="str">
        <f t="shared" si="3429"/>
        <v>Sobrelargura</v>
      </c>
      <c r="AW940" s="4" t="str">
        <f t="shared" si="3420"/>
        <v xml:space="preserve">   Remoção de sobrelargura</v>
      </c>
    </row>
    <row r="941" spans="1:50" ht="15.6" customHeight="1" outlineLevel="2">
      <c r="A941" s="209">
        <v>0</v>
      </c>
      <c r="B941" s="150"/>
      <c r="C941" s="150"/>
      <c r="D941" s="122"/>
      <c r="E941" s="913" t="s">
        <v>44</v>
      </c>
      <c r="F941" s="868" t="s">
        <v>36</v>
      </c>
      <c r="G941" s="528"/>
      <c r="H941" s="542" t="s">
        <v>37</v>
      </c>
      <c r="I941" s="543">
        <f>SUMIF($L943:$L968,$L941,I943:I968)</f>
        <v>0</v>
      </c>
      <c r="J941" s="860" t="str">
        <f>IFERROR((I942/I941),"-")</f>
        <v>-</v>
      </c>
      <c r="K941" s="528"/>
      <c r="L941" s="542" t="s">
        <v>37</v>
      </c>
      <c r="M941" s="543">
        <f>SUMIF($L943:$L968,$L941,M943:M968)</f>
        <v>0</v>
      </c>
      <c r="N941" s="860" t="str">
        <f>IFERROR((M942/M941),"-")</f>
        <v>-</v>
      </c>
      <c r="O941" s="528"/>
      <c r="P941" s="543">
        <f t="shared" ref="P941:U941" si="3563">SUMIF($L943:$L968,$L941,P943:P968)</f>
        <v>0</v>
      </c>
      <c r="Q941" s="543">
        <f t="shared" si="3563"/>
        <v>0</v>
      </c>
      <c r="R941" s="543">
        <f t="shared" si="3563"/>
        <v>0</v>
      </c>
      <c r="S941" s="543">
        <f t="shared" si="3563"/>
        <v>0</v>
      </c>
      <c r="T941" s="543">
        <f t="shared" si="3563"/>
        <v>0</v>
      </c>
      <c r="U941" s="543">
        <f t="shared" si="3563"/>
        <v>0</v>
      </c>
      <c r="V941" s="543"/>
      <c r="W941" s="528"/>
      <c r="X941" s="543">
        <f t="shared" ref="X941:X968" si="3564">SUMIFS(P941:V941,$P$8:$V$8,"&gt;="&amp;$P$8,$P$8:$V$8,"&lt;="&amp;$N$8)</f>
        <v>0</v>
      </c>
      <c r="Y941" s="860" t="str">
        <f>IFERROR((X942/X941),"-")</f>
        <v>-</v>
      </c>
      <c r="Z941" s="528"/>
      <c r="AA941" s="814">
        <f>SUM(AA943:AA968)</f>
        <v>13663.73</v>
      </c>
      <c r="AB941" s="814">
        <f>SUM(AB943:AB968)</f>
        <v>0</v>
      </c>
      <c r="AC941" s="814">
        <f>SUM(AC943:AC968)</f>
        <v>0</v>
      </c>
      <c r="AD941" s="900" t="str">
        <f t="shared" ref="AD941" si="3565">IFERROR((AC941/AB941),"-")</f>
        <v>-</v>
      </c>
      <c r="AE941" s="2"/>
      <c r="AF941" s="888">
        <f t="shared" ref="AF941" si="3566">SUM(AF943:AF968)</f>
        <v>0</v>
      </c>
      <c r="AG941" s="888">
        <f t="shared" ref="AG941:AL941" si="3567">SUM(AG943:AG968)</f>
        <v>0</v>
      </c>
      <c r="AH941" s="888">
        <f t="shared" si="3567"/>
        <v>0</v>
      </c>
      <c r="AI941" s="888">
        <f t="shared" si="3567"/>
        <v>0</v>
      </c>
      <c r="AJ941" s="888">
        <f t="shared" si="3567"/>
        <v>0</v>
      </c>
      <c r="AK941" s="888">
        <f t="shared" si="3567"/>
        <v>0</v>
      </c>
      <c r="AL941" s="888">
        <f t="shared" si="3567"/>
        <v>0</v>
      </c>
      <c r="AM941" s="743" t="str">
        <f>IFERROR((AK941/AL941),"-")</f>
        <v>-</v>
      </c>
      <c r="AN941" s="2"/>
      <c r="AO941" s="888">
        <f>SUM(AO943:AO968)</f>
        <v>104585.54000000001</v>
      </c>
      <c r="AP941" s="888">
        <f>SUM(AP943:AP968)</f>
        <v>104585.54000000001</v>
      </c>
      <c r="AV941" t="str">
        <f t="shared" si="3429"/>
        <v>Sobrelargura</v>
      </c>
      <c r="AW941" s="4" t="str">
        <f t="shared" si="3420"/>
        <v>Pacote 05 - Segmento 2.5 - 138+160 a 153+420</v>
      </c>
    </row>
    <row r="942" spans="1:50" ht="15.6" customHeight="1" outlineLevel="2">
      <c r="A942" s="209">
        <v>0</v>
      </c>
      <c r="B942" s="150"/>
      <c r="C942" s="150"/>
      <c r="D942" s="123"/>
      <c r="E942" s="913"/>
      <c r="F942" s="869"/>
      <c r="G942" s="528"/>
      <c r="H942" s="544" t="s">
        <v>38</v>
      </c>
      <c r="I942" s="543">
        <f>SUMIF($L943:$L968,$L942,I943:I968)</f>
        <v>0</v>
      </c>
      <c r="J942" s="861"/>
      <c r="K942" s="528"/>
      <c r="L942" s="544" t="s">
        <v>38</v>
      </c>
      <c r="M942" s="543">
        <f>SUMIF($L943:$L968,$L942,M943:M968)</f>
        <v>0</v>
      </c>
      <c r="N942" s="861"/>
      <c r="O942" s="528"/>
      <c r="P942" s="543">
        <f t="shared" ref="P942:U942" si="3568">SUMIF($L943:$L968,$L942,P943:P968)</f>
        <v>0</v>
      </c>
      <c r="Q942" s="543">
        <f t="shared" si="3568"/>
        <v>0</v>
      </c>
      <c r="R942" s="543">
        <f t="shared" si="3568"/>
        <v>0</v>
      </c>
      <c r="S942" s="543">
        <f t="shared" si="3568"/>
        <v>0</v>
      </c>
      <c r="T942" s="543">
        <f t="shared" si="3568"/>
        <v>0</v>
      </c>
      <c r="U942" s="543">
        <f t="shared" si="3568"/>
        <v>0</v>
      </c>
      <c r="V942" s="543"/>
      <c r="W942" s="528"/>
      <c r="X942" s="543">
        <f t="shared" si="3564"/>
        <v>0</v>
      </c>
      <c r="Y942" s="861"/>
      <c r="Z942" s="528"/>
      <c r="AA942" s="815"/>
      <c r="AB942" s="815"/>
      <c r="AC942" s="815"/>
      <c r="AD942" s="901"/>
      <c r="AE942" s="2"/>
      <c r="AF942" s="889"/>
      <c r="AG942" s="889"/>
      <c r="AH942" s="889"/>
      <c r="AI942" s="889"/>
      <c r="AJ942" s="889"/>
      <c r="AK942" s="889"/>
      <c r="AL942" s="889"/>
      <c r="AM942" s="744"/>
      <c r="AN942" s="2"/>
      <c r="AO942" s="889"/>
      <c r="AP942" s="889"/>
      <c r="AV942" t="str">
        <f t="shared" si="3429"/>
        <v>Sobrelargura</v>
      </c>
      <c r="AW942" s="4" t="str">
        <f t="shared" si="3420"/>
        <v>Pacote 05 - Segmento 2.5 - 138+160 a 153+420</v>
      </c>
    </row>
    <row r="943" spans="1:50" ht="15.6" customHeight="1" outlineLevel="2" collapsed="1">
      <c r="A943" s="8" t="str">
        <f t="shared" ref="A943" si="3569">IF(SUM(P943:V944)&gt;0,"S","N")</f>
        <v>N</v>
      </c>
      <c r="B943" s="150">
        <v>1069793</v>
      </c>
      <c r="C943" s="150" t="s">
        <v>1290</v>
      </c>
      <c r="D943" s="120" t="s">
        <v>1291</v>
      </c>
      <c r="E943" s="892" t="s">
        <v>1226</v>
      </c>
      <c r="F943" s="902" t="s">
        <v>36</v>
      </c>
      <c r="G943" s="528"/>
      <c r="H943" s="546" t="s">
        <v>37</v>
      </c>
      <c r="I943" s="711">
        <v>0</v>
      </c>
      <c r="J943" s="896" t="str">
        <f t="shared" ref="J943" si="3570">IFERROR((I944/I943),"-")</f>
        <v>-</v>
      </c>
      <c r="K943" s="528"/>
      <c r="L943" s="546" t="s">
        <v>37</v>
      </c>
      <c r="M943" s="711">
        <f t="shared" ref="M943:M968" si="3571">_xlfn.XLOOKUP($N$8,$P$8:$V$8,$P943:$V943)</f>
        <v>0</v>
      </c>
      <c r="N943" s="896" t="str">
        <f t="shared" ref="N943" si="3572">IFERROR((M944/M943),"-")</f>
        <v>-</v>
      </c>
      <c r="O943" s="528"/>
      <c r="P943" s="547">
        <v>0</v>
      </c>
      <c r="Q943" s="547">
        <v>0</v>
      </c>
      <c r="R943" s="547">
        <v>0</v>
      </c>
      <c r="S943" s="547">
        <v>0</v>
      </c>
      <c r="T943" s="547">
        <v>0</v>
      </c>
      <c r="U943" s="547">
        <v>0</v>
      </c>
      <c r="V943" s="548">
        <v>0</v>
      </c>
      <c r="W943" s="528"/>
      <c r="X943" s="711">
        <f t="shared" si="3564"/>
        <v>0</v>
      </c>
      <c r="Y943" s="896" t="str">
        <f t="shared" ref="Y943" si="3573">IFERROR((X944/X943),"0")</f>
        <v>0</v>
      </c>
      <c r="Z943" s="528"/>
      <c r="AA943" s="898">
        <v>0</v>
      </c>
      <c r="AB943" s="898">
        <v>0</v>
      </c>
      <c r="AC943" s="903">
        <v>0</v>
      </c>
      <c r="AD943" s="896" t="str">
        <f t="shared" ref="AD943" si="3574">IFERROR((AC943/AB943),"-")</f>
        <v>-</v>
      </c>
      <c r="AE943" s="2"/>
      <c r="AF943" s="884">
        <v>0</v>
      </c>
      <c r="AG943" s="884"/>
      <c r="AH943" s="884"/>
      <c r="AI943" s="884"/>
      <c r="AJ943" s="884"/>
      <c r="AK943" s="884">
        <f t="shared" ref="AK943" si="3575">AF943+AG943+AH943+AI943+AJ943+AC943</f>
        <v>0</v>
      </c>
      <c r="AL943" s="884">
        <v>0</v>
      </c>
      <c r="AM943" s="878" t="str">
        <f t="shared" ref="AM943" si="3576">IFERROR((AK943/AL943),"-")</f>
        <v>-</v>
      </c>
      <c r="AN943" s="2"/>
      <c r="AO943" s="884">
        <v>6453.01</v>
      </c>
      <c r="AP943" s="884">
        <f t="shared" ref="AP943" si="3577">AO943-AK943</f>
        <v>6453.01</v>
      </c>
      <c r="AV943" t="str">
        <f t="shared" si="3429"/>
        <v>Sobrelargura</v>
      </c>
      <c r="AW943" s="4" t="str">
        <f t="shared" si="3420"/>
        <v xml:space="preserve">   Remoção de sobrelargura</v>
      </c>
    </row>
    <row r="944" spans="1:50" ht="15.6" customHeight="1" outlineLevel="2">
      <c r="A944" s="8" t="str">
        <f t="shared" ref="A944" si="3578">A943</f>
        <v>N</v>
      </c>
      <c r="B944" s="150"/>
      <c r="C944" s="150"/>
      <c r="D944" s="120" t="s">
        <v>1291</v>
      </c>
      <c r="E944" s="893"/>
      <c r="F944" s="902"/>
      <c r="G944" s="528"/>
      <c r="H944" s="549" t="s">
        <v>38</v>
      </c>
      <c r="I944" s="711">
        <v>0</v>
      </c>
      <c r="J944" s="897"/>
      <c r="K944" s="528"/>
      <c r="L944" s="549" t="s">
        <v>38</v>
      </c>
      <c r="M944" s="711">
        <f t="shared" si="3571"/>
        <v>0</v>
      </c>
      <c r="N944" s="897"/>
      <c r="O944" s="528"/>
      <c r="P944" s="548"/>
      <c r="Q944" s="548"/>
      <c r="R944" s="548"/>
      <c r="S944" s="548"/>
      <c r="T944" s="547"/>
      <c r="U944" s="548"/>
      <c r="V944" s="548"/>
      <c r="W944" s="528"/>
      <c r="X944" s="711">
        <f t="shared" si="3564"/>
        <v>0</v>
      </c>
      <c r="Y944" s="897"/>
      <c r="Z944" s="528"/>
      <c r="AA944" s="899"/>
      <c r="AB944" s="899"/>
      <c r="AC944" s="904"/>
      <c r="AD944" s="905"/>
      <c r="AE944" s="2"/>
      <c r="AF944" s="885"/>
      <c r="AG944" s="885"/>
      <c r="AH944" s="885"/>
      <c r="AI944" s="885"/>
      <c r="AJ944" s="885"/>
      <c r="AK944" s="885"/>
      <c r="AL944" s="885"/>
      <c r="AM944" s="879"/>
      <c r="AN944" s="2"/>
      <c r="AO944" s="886"/>
      <c r="AP944" s="886"/>
      <c r="AV944" t="str">
        <f t="shared" si="3429"/>
        <v>Sobrelargura</v>
      </c>
      <c r="AW944" s="4" t="str">
        <f t="shared" si="3420"/>
        <v xml:space="preserve">   Remoção de sobrelargura</v>
      </c>
    </row>
    <row r="945" spans="1:49" ht="15.6" customHeight="1" outlineLevel="2">
      <c r="A945" s="8" t="str">
        <f t="shared" ref="A945" si="3579">IF(SUM(P945:V946)&gt;0,"S","N")</f>
        <v>N</v>
      </c>
      <c r="B945" s="150">
        <v>1069794</v>
      </c>
      <c r="C945" s="150" t="s">
        <v>1292</v>
      </c>
      <c r="D945" s="120" t="s">
        <v>534</v>
      </c>
      <c r="E945" s="892" t="s">
        <v>1226</v>
      </c>
      <c r="F945" s="902" t="s">
        <v>36</v>
      </c>
      <c r="G945" s="528"/>
      <c r="H945" s="546" t="s">
        <v>37</v>
      </c>
      <c r="I945" s="711">
        <v>0</v>
      </c>
      <c r="J945" s="896" t="str">
        <f t="shared" ref="J945" si="3580">IFERROR((I946/I945),"-")</f>
        <v>-</v>
      </c>
      <c r="K945" s="528"/>
      <c r="L945" s="546" t="s">
        <v>37</v>
      </c>
      <c r="M945" s="711">
        <f t="shared" si="3571"/>
        <v>0</v>
      </c>
      <c r="N945" s="896" t="str">
        <f t="shared" ref="N945" si="3581">IFERROR((M946/M945),"-")</f>
        <v>-</v>
      </c>
      <c r="O945" s="528"/>
      <c r="P945" s="547">
        <v>0</v>
      </c>
      <c r="Q945" s="547">
        <v>0</v>
      </c>
      <c r="R945" s="547">
        <v>0</v>
      </c>
      <c r="S945" s="547">
        <v>0</v>
      </c>
      <c r="T945" s="547">
        <v>0</v>
      </c>
      <c r="U945" s="547">
        <v>0</v>
      </c>
      <c r="V945" s="548">
        <v>0</v>
      </c>
      <c r="W945" s="528"/>
      <c r="X945" s="711">
        <f t="shared" si="3564"/>
        <v>0</v>
      </c>
      <c r="Y945" s="896" t="str">
        <f t="shared" ref="Y945" si="3582">IFERROR((X946/X945),"0")</f>
        <v>0</v>
      </c>
      <c r="Z945" s="528"/>
      <c r="AA945" s="898">
        <v>0</v>
      </c>
      <c r="AB945" s="898">
        <v>0</v>
      </c>
      <c r="AC945" s="903">
        <v>0</v>
      </c>
      <c r="AD945" s="896" t="str">
        <f t="shared" ref="AD945" si="3583">IFERROR((AC945/AB945),"-")</f>
        <v>-</v>
      </c>
      <c r="AE945" s="2"/>
      <c r="AF945" s="884">
        <v>0</v>
      </c>
      <c r="AG945" s="884"/>
      <c r="AH945" s="884"/>
      <c r="AI945" s="884"/>
      <c r="AJ945" s="884"/>
      <c r="AK945" s="884">
        <f t="shared" ref="AK945" si="3584">AF945+AG945+AH945+AI945+AJ945+AC945</f>
        <v>0</v>
      </c>
      <c r="AL945" s="884">
        <v>0</v>
      </c>
      <c r="AM945" s="878" t="str">
        <f t="shared" ref="AM945" si="3585">IFERROR((AK945/AL945),"-")</f>
        <v>-</v>
      </c>
      <c r="AN945" s="2"/>
      <c r="AO945" s="884">
        <v>3383.08</v>
      </c>
      <c r="AP945" s="884">
        <f t="shared" ref="AP945" si="3586">AO945-AK945</f>
        <v>3383.08</v>
      </c>
      <c r="AV945" t="str">
        <f t="shared" si="3429"/>
        <v>Sobrelargura</v>
      </c>
      <c r="AW945" s="4" t="str">
        <f t="shared" si="3420"/>
        <v xml:space="preserve">   Remoção de sobrelargura</v>
      </c>
    </row>
    <row r="946" spans="1:49" ht="15.6" customHeight="1" outlineLevel="2">
      <c r="A946" s="8" t="str">
        <f t="shared" ref="A946" si="3587">A945</f>
        <v>N</v>
      </c>
      <c r="B946" s="150"/>
      <c r="C946" s="150"/>
      <c r="D946" s="120" t="s">
        <v>534</v>
      </c>
      <c r="E946" s="893"/>
      <c r="F946" s="902"/>
      <c r="G946" s="528"/>
      <c r="H946" s="549" t="s">
        <v>38</v>
      </c>
      <c r="I946" s="711">
        <v>0</v>
      </c>
      <c r="J946" s="897"/>
      <c r="K946" s="528"/>
      <c r="L946" s="549" t="s">
        <v>38</v>
      </c>
      <c r="M946" s="711">
        <f t="shared" si="3571"/>
        <v>0</v>
      </c>
      <c r="N946" s="897"/>
      <c r="O946" s="528"/>
      <c r="P946" s="548"/>
      <c r="Q946" s="548"/>
      <c r="R946" s="548"/>
      <c r="S946" s="548"/>
      <c r="T946" s="547"/>
      <c r="U946" s="548"/>
      <c r="V946" s="548"/>
      <c r="W946" s="528"/>
      <c r="X946" s="711">
        <f t="shared" si="3564"/>
        <v>0</v>
      </c>
      <c r="Y946" s="897"/>
      <c r="Z946" s="528"/>
      <c r="AA946" s="899"/>
      <c r="AB946" s="899"/>
      <c r="AC946" s="904"/>
      <c r="AD946" s="905"/>
      <c r="AE946" s="2"/>
      <c r="AF946" s="885"/>
      <c r="AG946" s="885"/>
      <c r="AH946" s="885"/>
      <c r="AI946" s="885"/>
      <c r="AJ946" s="885"/>
      <c r="AK946" s="885"/>
      <c r="AL946" s="885"/>
      <c r="AM946" s="879"/>
      <c r="AN946" s="2"/>
      <c r="AO946" s="886"/>
      <c r="AP946" s="886"/>
      <c r="AV946" t="str">
        <f t="shared" si="3429"/>
        <v>Sobrelargura</v>
      </c>
      <c r="AW946" s="4" t="str">
        <f t="shared" si="3420"/>
        <v xml:space="preserve">   Remoção de sobrelargura</v>
      </c>
    </row>
    <row r="947" spans="1:49" ht="15.6" customHeight="1" outlineLevel="2">
      <c r="A947" s="8" t="str">
        <f t="shared" ref="A947" si="3588">IF(SUM(P947:V948)&gt;0,"S","N")</f>
        <v>N</v>
      </c>
      <c r="B947" s="150">
        <v>1069795</v>
      </c>
      <c r="C947" s="150" t="s">
        <v>1293</v>
      </c>
      <c r="D947" s="120" t="s">
        <v>524</v>
      </c>
      <c r="E947" s="892" t="s">
        <v>1226</v>
      </c>
      <c r="F947" s="902" t="s">
        <v>36</v>
      </c>
      <c r="G947" s="528"/>
      <c r="H947" s="546" t="s">
        <v>37</v>
      </c>
      <c r="I947" s="711">
        <v>0</v>
      </c>
      <c r="J947" s="896" t="str">
        <f t="shared" ref="J947" si="3589">IFERROR((I948/I947),"-")</f>
        <v>-</v>
      </c>
      <c r="K947" s="528"/>
      <c r="L947" s="546" t="s">
        <v>37</v>
      </c>
      <c r="M947" s="711">
        <f t="shared" si="3571"/>
        <v>0</v>
      </c>
      <c r="N947" s="896" t="str">
        <f t="shared" ref="N947" si="3590">IFERROR((M948/M947),"-")</f>
        <v>-</v>
      </c>
      <c r="O947" s="528"/>
      <c r="P947" s="547">
        <v>0</v>
      </c>
      <c r="Q947" s="547">
        <v>0</v>
      </c>
      <c r="R947" s="547">
        <v>0</v>
      </c>
      <c r="S947" s="547">
        <v>0</v>
      </c>
      <c r="T947" s="547">
        <v>0</v>
      </c>
      <c r="U947" s="547">
        <v>0</v>
      </c>
      <c r="V947" s="548">
        <v>0</v>
      </c>
      <c r="W947" s="528"/>
      <c r="X947" s="711">
        <f t="shared" si="3564"/>
        <v>0</v>
      </c>
      <c r="Y947" s="896" t="str">
        <f t="shared" ref="Y947" si="3591">IFERROR((X948/X947),"0")</f>
        <v>0</v>
      </c>
      <c r="Z947" s="528"/>
      <c r="AA947" s="898">
        <v>0</v>
      </c>
      <c r="AB947" s="898">
        <v>0</v>
      </c>
      <c r="AC947" s="903">
        <v>0</v>
      </c>
      <c r="AD947" s="896" t="str">
        <f t="shared" ref="AD947" si="3592">IFERROR((AC947/AB947),"-")</f>
        <v>-</v>
      </c>
      <c r="AE947" s="2"/>
      <c r="AF947" s="884">
        <v>0</v>
      </c>
      <c r="AG947" s="884"/>
      <c r="AH947" s="884"/>
      <c r="AI947" s="884"/>
      <c r="AJ947" s="884"/>
      <c r="AK947" s="884">
        <f t="shared" ref="AK947" si="3593">AF947+AG947+AH947+AI947+AJ947+AC947</f>
        <v>0</v>
      </c>
      <c r="AL947" s="884">
        <v>0</v>
      </c>
      <c r="AM947" s="878" t="str">
        <f t="shared" ref="AM947" si="3594">IFERROR((AK947/AL947),"-")</f>
        <v>-</v>
      </c>
      <c r="AN947" s="2"/>
      <c r="AO947" s="884">
        <v>8236.43</v>
      </c>
      <c r="AP947" s="884">
        <f t="shared" ref="AP947" si="3595">AO947-AK947</f>
        <v>8236.43</v>
      </c>
      <c r="AV947" t="str">
        <f t="shared" si="3429"/>
        <v>Sobrelargura</v>
      </c>
      <c r="AW947" s="4" t="str">
        <f t="shared" si="3420"/>
        <v xml:space="preserve">   Remoção de sobrelargura</v>
      </c>
    </row>
    <row r="948" spans="1:49" ht="15.6" customHeight="1" outlineLevel="2">
      <c r="A948" s="8" t="str">
        <f t="shared" ref="A948" si="3596">A947</f>
        <v>N</v>
      </c>
      <c r="B948" s="150"/>
      <c r="C948" s="150"/>
      <c r="D948" s="120" t="s">
        <v>524</v>
      </c>
      <c r="E948" s="893"/>
      <c r="F948" s="902"/>
      <c r="G948" s="528"/>
      <c r="H948" s="549" t="s">
        <v>38</v>
      </c>
      <c r="I948" s="711">
        <v>0</v>
      </c>
      <c r="J948" s="897"/>
      <c r="K948" s="528"/>
      <c r="L948" s="549" t="s">
        <v>38</v>
      </c>
      <c r="M948" s="711">
        <f t="shared" si="3571"/>
        <v>0</v>
      </c>
      <c r="N948" s="897"/>
      <c r="O948" s="528"/>
      <c r="P948" s="548"/>
      <c r="Q948" s="548"/>
      <c r="R948" s="548"/>
      <c r="S948" s="548"/>
      <c r="T948" s="547"/>
      <c r="U948" s="548"/>
      <c r="V948" s="548"/>
      <c r="W948" s="528"/>
      <c r="X948" s="711">
        <f t="shared" si="3564"/>
        <v>0</v>
      </c>
      <c r="Y948" s="897"/>
      <c r="Z948" s="528"/>
      <c r="AA948" s="899"/>
      <c r="AB948" s="899"/>
      <c r="AC948" s="904"/>
      <c r="AD948" s="905"/>
      <c r="AE948" s="2"/>
      <c r="AF948" s="885"/>
      <c r="AG948" s="885"/>
      <c r="AH948" s="885"/>
      <c r="AI948" s="885"/>
      <c r="AJ948" s="885"/>
      <c r="AK948" s="885"/>
      <c r="AL948" s="885"/>
      <c r="AM948" s="879"/>
      <c r="AN948" s="2"/>
      <c r="AO948" s="886"/>
      <c r="AP948" s="886"/>
      <c r="AV948" t="str">
        <f t="shared" si="3429"/>
        <v>Sobrelargura</v>
      </c>
      <c r="AW948" s="4" t="str">
        <f t="shared" si="3420"/>
        <v xml:space="preserve">   Remoção de sobrelargura</v>
      </c>
    </row>
    <row r="949" spans="1:49" ht="15.6" customHeight="1" outlineLevel="2">
      <c r="A949" s="8" t="str">
        <f t="shared" ref="A949" si="3597">IF(SUM(P949:V950)&gt;0,"S","N")</f>
        <v>N</v>
      </c>
      <c r="B949" s="150">
        <v>1069796</v>
      </c>
      <c r="C949" s="150" t="s">
        <v>1294</v>
      </c>
      <c r="D949" s="120" t="s">
        <v>1295</v>
      </c>
      <c r="E949" s="892" t="s">
        <v>1226</v>
      </c>
      <c r="F949" s="902" t="s">
        <v>36</v>
      </c>
      <c r="G949" s="528"/>
      <c r="H949" s="546" t="s">
        <v>37</v>
      </c>
      <c r="I949" s="711">
        <v>0</v>
      </c>
      <c r="J949" s="896" t="str">
        <f t="shared" ref="J949" si="3598">IFERROR((I950/I949),"-")</f>
        <v>-</v>
      </c>
      <c r="K949" s="528"/>
      <c r="L949" s="546" t="s">
        <v>37</v>
      </c>
      <c r="M949" s="711">
        <f t="shared" si="3571"/>
        <v>0</v>
      </c>
      <c r="N949" s="896" t="str">
        <f t="shared" ref="N949" si="3599">IFERROR((M950/M949),"-")</f>
        <v>-</v>
      </c>
      <c r="O949" s="528"/>
      <c r="P949" s="547">
        <v>0</v>
      </c>
      <c r="Q949" s="547">
        <v>0</v>
      </c>
      <c r="R949" s="547">
        <v>0</v>
      </c>
      <c r="S949" s="547">
        <v>0</v>
      </c>
      <c r="T949" s="547">
        <v>0</v>
      </c>
      <c r="U949" s="547">
        <v>0</v>
      </c>
      <c r="V949" s="548">
        <v>0</v>
      </c>
      <c r="W949" s="528"/>
      <c r="X949" s="711">
        <f t="shared" si="3564"/>
        <v>0</v>
      </c>
      <c r="Y949" s="896" t="str">
        <f t="shared" ref="Y949" si="3600">IFERROR((X950/X949),"0")</f>
        <v>0</v>
      </c>
      <c r="Z949" s="528"/>
      <c r="AA949" s="898">
        <v>0</v>
      </c>
      <c r="AB949" s="898">
        <v>0</v>
      </c>
      <c r="AC949" s="903">
        <v>0</v>
      </c>
      <c r="AD949" s="896" t="str">
        <f t="shared" ref="AD949" si="3601">IFERROR((AC949/AB949),"-")</f>
        <v>-</v>
      </c>
      <c r="AE949" s="2"/>
      <c r="AF949" s="884">
        <v>0</v>
      </c>
      <c r="AG949" s="884"/>
      <c r="AH949" s="884"/>
      <c r="AI949" s="884"/>
      <c r="AJ949" s="884"/>
      <c r="AK949" s="884">
        <f t="shared" ref="AK949" si="3602">AF949+AG949+AH949+AI949+AJ949+AC949</f>
        <v>0</v>
      </c>
      <c r="AL949" s="884">
        <v>0</v>
      </c>
      <c r="AM949" s="878" t="str">
        <f t="shared" ref="AM949" si="3603">IFERROR((AK949/AL949),"-")</f>
        <v>-</v>
      </c>
      <c r="AN949" s="2"/>
      <c r="AO949" s="884">
        <v>426.22</v>
      </c>
      <c r="AP949" s="884">
        <f t="shared" ref="AP949" si="3604">AO949-AK949</f>
        <v>426.22</v>
      </c>
      <c r="AV949" t="str">
        <f t="shared" si="3429"/>
        <v>Sobrelargura</v>
      </c>
      <c r="AW949" s="4" t="str">
        <f t="shared" si="3420"/>
        <v xml:space="preserve">   Remoção de sobrelargura</v>
      </c>
    </row>
    <row r="950" spans="1:49" ht="15.6" customHeight="1" outlineLevel="2">
      <c r="A950" s="8" t="str">
        <f t="shared" ref="A950" si="3605">A949</f>
        <v>N</v>
      </c>
      <c r="B950" s="150"/>
      <c r="C950" s="150"/>
      <c r="D950" s="120" t="s">
        <v>1295</v>
      </c>
      <c r="E950" s="893"/>
      <c r="F950" s="902"/>
      <c r="G950" s="528"/>
      <c r="H950" s="549" t="s">
        <v>38</v>
      </c>
      <c r="I950" s="711">
        <v>0</v>
      </c>
      <c r="J950" s="897"/>
      <c r="K950" s="528"/>
      <c r="L950" s="549" t="s">
        <v>38</v>
      </c>
      <c r="M950" s="711">
        <f t="shared" si="3571"/>
        <v>0</v>
      </c>
      <c r="N950" s="897"/>
      <c r="O950" s="528"/>
      <c r="P950" s="548"/>
      <c r="Q950" s="548"/>
      <c r="R950" s="548"/>
      <c r="S950" s="548"/>
      <c r="T950" s="547"/>
      <c r="U950" s="548"/>
      <c r="V950" s="548"/>
      <c r="W950" s="528"/>
      <c r="X950" s="711">
        <f t="shared" si="3564"/>
        <v>0</v>
      </c>
      <c r="Y950" s="897"/>
      <c r="Z950" s="528"/>
      <c r="AA950" s="899"/>
      <c r="AB950" s="899"/>
      <c r="AC950" s="904"/>
      <c r="AD950" s="905"/>
      <c r="AE950" s="2"/>
      <c r="AF950" s="885"/>
      <c r="AG950" s="885"/>
      <c r="AH950" s="885"/>
      <c r="AI950" s="885"/>
      <c r="AJ950" s="885"/>
      <c r="AK950" s="885"/>
      <c r="AL950" s="885"/>
      <c r="AM950" s="879"/>
      <c r="AN950" s="2"/>
      <c r="AO950" s="886"/>
      <c r="AP950" s="886"/>
      <c r="AV950" t="str">
        <f t="shared" si="3429"/>
        <v>Sobrelargura</v>
      </c>
      <c r="AW950" s="4" t="str">
        <f t="shared" si="3420"/>
        <v xml:space="preserve">   Remoção de sobrelargura</v>
      </c>
    </row>
    <row r="951" spans="1:49" ht="15.6" customHeight="1" outlineLevel="2">
      <c r="A951" s="8" t="str">
        <f t="shared" ref="A951" si="3606">IF(SUM(P951:V952)&gt;0,"S","N")</f>
        <v>N</v>
      </c>
      <c r="B951" s="150">
        <v>1069797</v>
      </c>
      <c r="C951" s="150" t="s">
        <v>1296</v>
      </c>
      <c r="D951" s="120" t="s">
        <v>532</v>
      </c>
      <c r="E951" s="892" t="s">
        <v>1226</v>
      </c>
      <c r="F951" s="902" t="s">
        <v>36</v>
      </c>
      <c r="G951" s="528"/>
      <c r="H951" s="546" t="s">
        <v>37</v>
      </c>
      <c r="I951" s="711">
        <v>0</v>
      </c>
      <c r="J951" s="896" t="str">
        <f t="shared" ref="J951" si="3607">IFERROR((I952/I951),"-")</f>
        <v>-</v>
      </c>
      <c r="K951" s="528"/>
      <c r="L951" s="546" t="s">
        <v>37</v>
      </c>
      <c r="M951" s="711">
        <f t="shared" si="3571"/>
        <v>0</v>
      </c>
      <c r="N951" s="896" t="str">
        <f t="shared" ref="N951" si="3608">IFERROR((M952/M951),"-")</f>
        <v>-</v>
      </c>
      <c r="O951" s="528"/>
      <c r="P951" s="547">
        <v>0</v>
      </c>
      <c r="Q951" s="547">
        <v>0</v>
      </c>
      <c r="R951" s="547">
        <v>0</v>
      </c>
      <c r="S951" s="547">
        <v>0</v>
      </c>
      <c r="T951" s="547">
        <v>0</v>
      </c>
      <c r="U951" s="547">
        <v>0</v>
      </c>
      <c r="V951" s="548">
        <v>0</v>
      </c>
      <c r="W951" s="528"/>
      <c r="X951" s="711">
        <f t="shared" si="3564"/>
        <v>0</v>
      </c>
      <c r="Y951" s="896" t="str">
        <f t="shared" ref="Y951" si="3609">IFERROR((X952/X951),"0")</f>
        <v>0</v>
      </c>
      <c r="Z951" s="528"/>
      <c r="AA951" s="898">
        <v>0</v>
      </c>
      <c r="AB951" s="898">
        <v>0</v>
      </c>
      <c r="AC951" s="903">
        <v>0</v>
      </c>
      <c r="AD951" s="896" t="str">
        <f t="shared" ref="AD951" si="3610">IFERROR((AC951/AB951),"-")</f>
        <v>-</v>
      </c>
      <c r="AE951" s="2"/>
      <c r="AF951" s="884">
        <v>0</v>
      </c>
      <c r="AG951" s="884"/>
      <c r="AH951" s="884"/>
      <c r="AI951" s="884"/>
      <c r="AJ951" s="884"/>
      <c r="AK951" s="884">
        <f t="shared" ref="AK951" si="3611">AF951+AG951+AH951+AI951+AJ951+AC951</f>
        <v>0</v>
      </c>
      <c r="AL951" s="884">
        <v>0</v>
      </c>
      <c r="AM951" s="878" t="str">
        <f t="shared" ref="AM951" si="3612">IFERROR((AK951/AL951),"-")</f>
        <v>-</v>
      </c>
      <c r="AN951" s="2"/>
      <c r="AO951" s="884">
        <v>9060.39</v>
      </c>
      <c r="AP951" s="884">
        <f t="shared" ref="AP951" si="3613">AO951-AK951</f>
        <v>9060.39</v>
      </c>
      <c r="AV951" t="str">
        <f t="shared" si="3429"/>
        <v>Sobrelargura</v>
      </c>
      <c r="AW951" s="4" t="str">
        <f t="shared" si="3420"/>
        <v xml:space="preserve">   Remoção de sobrelargura</v>
      </c>
    </row>
    <row r="952" spans="1:49" ht="15.6" customHeight="1" outlineLevel="2">
      <c r="A952" s="8" t="str">
        <f t="shared" ref="A952" si="3614">A951</f>
        <v>N</v>
      </c>
      <c r="B952" s="150"/>
      <c r="C952" s="150"/>
      <c r="D952" s="120" t="s">
        <v>532</v>
      </c>
      <c r="E952" s="893"/>
      <c r="F952" s="902"/>
      <c r="G952" s="528"/>
      <c r="H952" s="549" t="s">
        <v>38</v>
      </c>
      <c r="I952" s="711">
        <v>0</v>
      </c>
      <c r="J952" s="897"/>
      <c r="K952" s="528"/>
      <c r="L952" s="549" t="s">
        <v>38</v>
      </c>
      <c r="M952" s="711">
        <f t="shared" si="3571"/>
        <v>0</v>
      </c>
      <c r="N952" s="897"/>
      <c r="O952" s="528"/>
      <c r="P952" s="548"/>
      <c r="Q952" s="548"/>
      <c r="R952" s="548"/>
      <c r="S952" s="548"/>
      <c r="T952" s="547"/>
      <c r="U952" s="548"/>
      <c r="V952" s="548"/>
      <c r="W952" s="528"/>
      <c r="X952" s="711">
        <f t="shared" si="3564"/>
        <v>0</v>
      </c>
      <c r="Y952" s="897"/>
      <c r="Z952" s="528"/>
      <c r="AA952" s="899"/>
      <c r="AB952" s="899"/>
      <c r="AC952" s="904"/>
      <c r="AD952" s="905"/>
      <c r="AE952" s="2"/>
      <c r="AF952" s="885"/>
      <c r="AG952" s="885"/>
      <c r="AH952" s="885"/>
      <c r="AI952" s="885"/>
      <c r="AJ952" s="885"/>
      <c r="AK952" s="885"/>
      <c r="AL952" s="885"/>
      <c r="AM952" s="879"/>
      <c r="AN952" s="2"/>
      <c r="AO952" s="886"/>
      <c r="AP952" s="886"/>
      <c r="AV952" t="str">
        <f t="shared" si="3429"/>
        <v>Sobrelargura</v>
      </c>
      <c r="AW952" s="4" t="str">
        <f t="shared" si="3420"/>
        <v xml:space="preserve">   Remoção de sobrelargura</v>
      </c>
    </row>
    <row r="953" spans="1:49" ht="15.6" customHeight="1" outlineLevel="2">
      <c r="A953" s="8" t="str">
        <f t="shared" ref="A953" si="3615">IF(SUM(P953:V954)&gt;0,"S","N")</f>
        <v>N</v>
      </c>
      <c r="B953" s="150">
        <v>1069798</v>
      </c>
      <c r="C953" s="150" t="s">
        <v>1297</v>
      </c>
      <c r="D953" s="120" t="s">
        <v>528</v>
      </c>
      <c r="E953" s="892" t="s">
        <v>1226</v>
      </c>
      <c r="F953" s="902" t="s">
        <v>36</v>
      </c>
      <c r="G953" s="528"/>
      <c r="H953" s="546" t="s">
        <v>37</v>
      </c>
      <c r="I953" s="711">
        <v>0</v>
      </c>
      <c r="J953" s="896" t="str">
        <f t="shared" ref="J953" si="3616">IFERROR((I954/I953),"-")</f>
        <v>-</v>
      </c>
      <c r="K953" s="528"/>
      <c r="L953" s="546" t="s">
        <v>37</v>
      </c>
      <c r="M953" s="711">
        <f t="shared" si="3571"/>
        <v>0</v>
      </c>
      <c r="N953" s="896" t="str">
        <f t="shared" ref="N953" si="3617">IFERROR((M954/M953),"-")</f>
        <v>-</v>
      </c>
      <c r="O953" s="528"/>
      <c r="P953" s="547">
        <v>0</v>
      </c>
      <c r="Q953" s="547">
        <v>0</v>
      </c>
      <c r="R953" s="547">
        <v>0</v>
      </c>
      <c r="S953" s="547">
        <v>0</v>
      </c>
      <c r="T953" s="547">
        <v>0</v>
      </c>
      <c r="U953" s="547">
        <v>0</v>
      </c>
      <c r="V953" s="548">
        <v>0</v>
      </c>
      <c r="W953" s="528"/>
      <c r="X953" s="711">
        <f t="shared" si="3564"/>
        <v>0</v>
      </c>
      <c r="Y953" s="896" t="str">
        <f t="shared" ref="Y953" si="3618">IFERROR((X954/X953),"0")</f>
        <v>0</v>
      </c>
      <c r="Z953" s="528"/>
      <c r="AA953" s="898">
        <v>0</v>
      </c>
      <c r="AB953" s="898">
        <v>0</v>
      </c>
      <c r="AC953" s="903">
        <v>0</v>
      </c>
      <c r="AD953" s="896" t="str">
        <f t="shared" ref="AD953" si="3619">IFERROR((AC953/AB953),"-")</f>
        <v>-</v>
      </c>
      <c r="AE953" s="2"/>
      <c r="AF953" s="884">
        <v>0</v>
      </c>
      <c r="AG953" s="884"/>
      <c r="AH953" s="884"/>
      <c r="AI953" s="884"/>
      <c r="AJ953" s="884"/>
      <c r="AK953" s="884">
        <f t="shared" ref="AK953" si="3620">AF953+AG953+AH953+AI953+AJ953+AC953</f>
        <v>0</v>
      </c>
      <c r="AL953" s="884">
        <v>0</v>
      </c>
      <c r="AM953" s="878" t="str">
        <f t="shared" ref="AM953" si="3621">IFERROR((AK953/AL953),"-")</f>
        <v>-</v>
      </c>
      <c r="AN953" s="2"/>
      <c r="AO953" s="884">
        <v>25901.77</v>
      </c>
      <c r="AP953" s="884">
        <f t="shared" ref="AP953" si="3622">AO953-AK953</f>
        <v>25901.77</v>
      </c>
      <c r="AV953" t="str">
        <f t="shared" si="3429"/>
        <v>Sobrelargura</v>
      </c>
      <c r="AW953" s="4" t="str">
        <f t="shared" si="3420"/>
        <v xml:space="preserve">   Remoção de sobrelargura</v>
      </c>
    </row>
    <row r="954" spans="1:49" ht="15.6" customHeight="1" outlineLevel="2">
      <c r="A954" s="8" t="str">
        <f t="shared" ref="A954" si="3623">A953</f>
        <v>N</v>
      </c>
      <c r="B954" s="150"/>
      <c r="C954" s="150"/>
      <c r="D954" s="120" t="s">
        <v>528</v>
      </c>
      <c r="E954" s="893"/>
      <c r="F954" s="902"/>
      <c r="G954" s="528"/>
      <c r="H954" s="549" t="s">
        <v>38</v>
      </c>
      <c r="I954" s="711">
        <v>0</v>
      </c>
      <c r="J954" s="897"/>
      <c r="K954" s="528"/>
      <c r="L954" s="549" t="s">
        <v>38</v>
      </c>
      <c r="M954" s="711">
        <f t="shared" si="3571"/>
        <v>0</v>
      </c>
      <c r="N954" s="897"/>
      <c r="O954" s="528"/>
      <c r="P954" s="548"/>
      <c r="Q954" s="548"/>
      <c r="R954" s="548"/>
      <c r="S954" s="548"/>
      <c r="T954" s="547"/>
      <c r="U954" s="548"/>
      <c r="V954" s="548"/>
      <c r="W954" s="528"/>
      <c r="X954" s="711">
        <f t="shared" si="3564"/>
        <v>0</v>
      </c>
      <c r="Y954" s="897"/>
      <c r="Z954" s="528"/>
      <c r="AA954" s="899"/>
      <c r="AB954" s="899"/>
      <c r="AC954" s="904"/>
      <c r="AD954" s="905"/>
      <c r="AE954" s="2"/>
      <c r="AF954" s="885"/>
      <c r="AG954" s="885"/>
      <c r="AH954" s="885"/>
      <c r="AI954" s="885"/>
      <c r="AJ954" s="885"/>
      <c r="AK954" s="885"/>
      <c r="AL954" s="885"/>
      <c r="AM954" s="879"/>
      <c r="AN954" s="2"/>
      <c r="AO954" s="886"/>
      <c r="AP954" s="886"/>
      <c r="AV954" t="str">
        <f t="shared" si="3429"/>
        <v>Sobrelargura</v>
      </c>
      <c r="AW954" s="4" t="str">
        <f t="shared" si="3420"/>
        <v xml:space="preserve">   Remoção de sobrelargura</v>
      </c>
    </row>
    <row r="955" spans="1:49" ht="15.6" customHeight="1" outlineLevel="2">
      <c r="A955" s="8" t="str">
        <f t="shared" ref="A955" si="3624">IF(SUM(P955:V956)&gt;0,"S","N")</f>
        <v>N</v>
      </c>
      <c r="B955" s="150">
        <v>1069799</v>
      </c>
      <c r="C955" s="150" t="s">
        <v>1298</v>
      </c>
      <c r="D955" s="120" t="s">
        <v>1299</v>
      </c>
      <c r="E955" s="892" t="s">
        <v>1226</v>
      </c>
      <c r="F955" s="902" t="s">
        <v>36</v>
      </c>
      <c r="G955" s="528"/>
      <c r="H955" s="546" t="s">
        <v>37</v>
      </c>
      <c r="I955" s="711">
        <v>0</v>
      </c>
      <c r="J955" s="896" t="str">
        <f t="shared" ref="J955" si="3625">IFERROR((I956/I955),"-")</f>
        <v>-</v>
      </c>
      <c r="K955" s="528"/>
      <c r="L955" s="546" t="s">
        <v>37</v>
      </c>
      <c r="M955" s="711">
        <f t="shared" si="3571"/>
        <v>0</v>
      </c>
      <c r="N955" s="896" t="str">
        <f t="shared" ref="N955" si="3626">IFERROR((M956/M955),"-")</f>
        <v>-</v>
      </c>
      <c r="O955" s="528"/>
      <c r="P955" s="547">
        <v>0</v>
      </c>
      <c r="Q955" s="547">
        <v>0</v>
      </c>
      <c r="R955" s="547">
        <v>0</v>
      </c>
      <c r="S955" s="547">
        <v>0</v>
      </c>
      <c r="T955" s="547">
        <v>0</v>
      </c>
      <c r="U955" s="547">
        <v>0</v>
      </c>
      <c r="V955" s="548">
        <v>0</v>
      </c>
      <c r="W955" s="528"/>
      <c r="X955" s="711">
        <f t="shared" si="3564"/>
        <v>0</v>
      </c>
      <c r="Y955" s="896" t="str">
        <f t="shared" ref="Y955" si="3627">IFERROR((X956/X955),"0")</f>
        <v>0</v>
      </c>
      <c r="Z955" s="528"/>
      <c r="AA955" s="898">
        <v>0</v>
      </c>
      <c r="AB955" s="898">
        <v>0</v>
      </c>
      <c r="AC955" s="903">
        <v>0</v>
      </c>
      <c r="AD955" s="896" t="str">
        <f t="shared" ref="AD955" si="3628">IFERROR((AC955/AB955),"-")</f>
        <v>-</v>
      </c>
      <c r="AE955" s="2"/>
      <c r="AF955" s="884">
        <v>0</v>
      </c>
      <c r="AG955" s="884"/>
      <c r="AH955" s="884"/>
      <c r="AI955" s="884"/>
      <c r="AJ955" s="884"/>
      <c r="AK955" s="884">
        <f t="shared" ref="AK955" si="3629">AF955+AG955+AH955+AI955+AJ955+AC955</f>
        <v>0</v>
      </c>
      <c r="AL955" s="884">
        <v>0</v>
      </c>
      <c r="AM955" s="878" t="str">
        <f t="shared" ref="AM955" si="3630">IFERROR((AK955/AL955),"-")</f>
        <v>-</v>
      </c>
      <c r="AN955" s="2"/>
      <c r="AO955" s="884">
        <v>440.68</v>
      </c>
      <c r="AP955" s="884">
        <f t="shared" ref="AP955" si="3631">AO955-AK955</f>
        <v>440.68</v>
      </c>
      <c r="AV955" t="str">
        <f t="shared" si="3429"/>
        <v>Sobrelargura</v>
      </c>
      <c r="AW955" s="4" t="str">
        <f t="shared" si="3420"/>
        <v xml:space="preserve">   Remoção de sobrelargura</v>
      </c>
    </row>
    <row r="956" spans="1:49" ht="15.6" customHeight="1" outlineLevel="2">
      <c r="A956" s="8" t="str">
        <f t="shared" ref="A956" si="3632">A955</f>
        <v>N</v>
      </c>
      <c r="B956" s="150"/>
      <c r="C956" s="150"/>
      <c r="D956" s="120" t="s">
        <v>1299</v>
      </c>
      <c r="E956" s="893"/>
      <c r="F956" s="902"/>
      <c r="G956" s="528"/>
      <c r="H956" s="549" t="s">
        <v>38</v>
      </c>
      <c r="I956" s="711">
        <v>0</v>
      </c>
      <c r="J956" s="897"/>
      <c r="K956" s="528"/>
      <c r="L956" s="549" t="s">
        <v>38</v>
      </c>
      <c r="M956" s="711">
        <f t="shared" si="3571"/>
        <v>0</v>
      </c>
      <c r="N956" s="897"/>
      <c r="O956" s="528"/>
      <c r="P956" s="548"/>
      <c r="Q956" s="548"/>
      <c r="R956" s="548"/>
      <c r="S956" s="548"/>
      <c r="T956" s="547"/>
      <c r="U956" s="548"/>
      <c r="V956" s="548"/>
      <c r="W956" s="528"/>
      <c r="X956" s="711">
        <f t="shared" si="3564"/>
        <v>0</v>
      </c>
      <c r="Y956" s="897"/>
      <c r="Z956" s="528"/>
      <c r="AA956" s="899"/>
      <c r="AB956" s="899"/>
      <c r="AC956" s="904"/>
      <c r="AD956" s="905"/>
      <c r="AE956" s="2"/>
      <c r="AF956" s="885"/>
      <c r="AG956" s="885"/>
      <c r="AH956" s="885"/>
      <c r="AI956" s="885"/>
      <c r="AJ956" s="885"/>
      <c r="AK956" s="885"/>
      <c r="AL956" s="885"/>
      <c r="AM956" s="879"/>
      <c r="AN956" s="2"/>
      <c r="AO956" s="886"/>
      <c r="AP956" s="886"/>
      <c r="AV956" t="str">
        <f t="shared" si="3429"/>
        <v>Sobrelargura</v>
      </c>
      <c r="AW956" s="4" t="str">
        <f t="shared" si="3420"/>
        <v xml:space="preserve">   Remoção de sobrelargura</v>
      </c>
    </row>
    <row r="957" spans="1:49" ht="15.6" customHeight="1" outlineLevel="2">
      <c r="A957" s="8" t="str">
        <f t="shared" ref="A957" si="3633">IF(SUM(P957:V958)&gt;0,"S","N")</f>
        <v>N</v>
      </c>
      <c r="B957" s="150">
        <v>1069800</v>
      </c>
      <c r="C957" s="150" t="s">
        <v>1300</v>
      </c>
      <c r="D957" s="120" t="s">
        <v>536</v>
      </c>
      <c r="E957" s="892" t="s">
        <v>1226</v>
      </c>
      <c r="F957" s="902" t="s">
        <v>36</v>
      </c>
      <c r="G957" s="528"/>
      <c r="H957" s="546" t="s">
        <v>37</v>
      </c>
      <c r="I957" s="711">
        <v>0</v>
      </c>
      <c r="J957" s="896" t="str">
        <f t="shared" ref="J957" si="3634">IFERROR((I958/I957),"-")</f>
        <v>-</v>
      </c>
      <c r="K957" s="528"/>
      <c r="L957" s="546" t="s">
        <v>37</v>
      </c>
      <c r="M957" s="711">
        <f t="shared" si="3571"/>
        <v>0</v>
      </c>
      <c r="N957" s="896" t="str">
        <f t="shared" ref="N957" si="3635">IFERROR((M958/M957),"-")</f>
        <v>-</v>
      </c>
      <c r="O957" s="528"/>
      <c r="P957" s="547">
        <v>0</v>
      </c>
      <c r="Q957" s="547">
        <v>0</v>
      </c>
      <c r="R957" s="547">
        <v>0</v>
      </c>
      <c r="S957" s="547">
        <v>0</v>
      </c>
      <c r="T957" s="547">
        <v>0</v>
      </c>
      <c r="U957" s="547">
        <v>0</v>
      </c>
      <c r="V957" s="548">
        <v>0</v>
      </c>
      <c r="W957" s="528"/>
      <c r="X957" s="711">
        <f t="shared" si="3564"/>
        <v>0</v>
      </c>
      <c r="Y957" s="896" t="str">
        <f t="shared" ref="Y957" si="3636">IFERROR((X958/X957),"0")</f>
        <v>0</v>
      </c>
      <c r="Z957" s="528"/>
      <c r="AA957" s="898">
        <v>0</v>
      </c>
      <c r="AB957" s="898">
        <v>0</v>
      </c>
      <c r="AC957" s="903">
        <v>0</v>
      </c>
      <c r="AD957" s="896" t="str">
        <f t="shared" ref="AD957" si="3637">IFERROR((AC957/AB957),"-")</f>
        <v>-</v>
      </c>
      <c r="AE957" s="2"/>
      <c r="AF957" s="884">
        <v>0</v>
      </c>
      <c r="AG957" s="884"/>
      <c r="AH957" s="884"/>
      <c r="AI957" s="884"/>
      <c r="AJ957" s="884"/>
      <c r="AK957" s="884">
        <f t="shared" ref="AK957" si="3638">AF957+AG957+AH957+AI957+AJ957+AC957</f>
        <v>0</v>
      </c>
      <c r="AL957" s="884">
        <v>0</v>
      </c>
      <c r="AM957" s="878" t="str">
        <f t="shared" ref="AM957" si="3639">IFERROR((AK957/AL957),"-")</f>
        <v>-</v>
      </c>
      <c r="AN957" s="2"/>
      <c r="AO957" s="884">
        <v>9521.76</v>
      </c>
      <c r="AP957" s="884">
        <f t="shared" ref="AP957" si="3640">AO957-AK957</f>
        <v>9521.76</v>
      </c>
      <c r="AV957" t="str">
        <f t="shared" si="3429"/>
        <v>Sobrelargura</v>
      </c>
      <c r="AW957" s="4" t="str">
        <f t="shared" si="3420"/>
        <v xml:space="preserve">   Remoção de sobrelargura</v>
      </c>
    </row>
    <row r="958" spans="1:49" ht="15.6" customHeight="1" outlineLevel="2">
      <c r="A958" s="8" t="str">
        <f t="shared" ref="A958" si="3641">A957</f>
        <v>N</v>
      </c>
      <c r="B958" s="150"/>
      <c r="C958" s="150"/>
      <c r="D958" s="120" t="s">
        <v>536</v>
      </c>
      <c r="E958" s="893"/>
      <c r="F958" s="902"/>
      <c r="G958" s="528"/>
      <c r="H958" s="549" t="s">
        <v>38</v>
      </c>
      <c r="I958" s="711">
        <v>0</v>
      </c>
      <c r="J958" s="897"/>
      <c r="K958" s="528"/>
      <c r="L958" s="549" t="s">
        <v>38</v>
      </c>
      <c r="M958" s="711">
        <f t="shared" si="3571"/>
        <v>0</v>
      </c>
      <c r="N958" s="897"/>
      <c r="O958" s="528"/>
      <c r="P958" s="548"/>
      <c r="Q958" s="548"/>
      <c r="R958" s="548"/>
      <c r="S958" s="548"/>
      <c r="T958" s="547"/>
      <c r="U958" s="548"/>
      <c r="V958" s="548"/>
      <c r="W958" s="528"/>
      <c r="X958" s="711">
        <f t="shared" si="3564"/>
        <v>0</v>
      </c>
      <c r="Y958" s="897"/>
      <c r="Z958" s="528"/>
      <c r="AA958" s="899"/>
      <c r="AB958" s="899"/>
      <c r="AC958" s="904"/>
      <c r="AD958" s="905"/>
      <c r="AE958" s="2"/>
      <c r="AF958" s="885"/>
      <c r="AG958" s="885"/>
      <c r="AH958" s="885"/>
      <c r="AI958" s="885"/>
      <c r="AJ958" s="885"/>
      <c r="AK958" s="885"/>
      <c r="AL958" s="885"/>
      <c r="AM958" s="879"/>
      <c r="AN958" s="2"/>
      <c r="AO958" s="886"/>
      <c r="AP958" s="886"/>
      <c r="AV958" t="str">
        <f t="shared" si="3429"/>
        <v>Sobrelargura</v>
      </c>
      <c r="AW958" s="4" t="str">
        <f t="shared" si="3420"/>
        <v xml:space="preserve">   Remoção de sobrelargura</v>
      </c>
    </row>
    <row r="959" spans="1:49" ht="15.6" customHeight="1" outlineLevel="2">
      <c r="A959" s="8" t="str">
        <f t="shared" ref="A959" si="3642">IF(SUM(P959:V960)&gt;0,"S","N")</f>
        <v>N</v>
      </c>
      <c r="B959" s="150">
        <v>1069801</v>
      </c>
      <c r="C959" s="150" t="s">
        <v>1301</v>
      </c>
      <c r="D959" s="120" t="s">
        <v>530</v>
      </c>
      <c r="E959" s="892" t="s">
        <v>1226</v>
      </c>
      <c r="F959" s="902" t="s">
        <v>36</v>
      </c>
      <c r="G959" s="528"/>
      <c r="H959" s="546" t="s">
        <v>37</v>
      </c>
      <c r="I959" s="711">
        <v>0</v>
      </c>
      <c r="J959" s="896" t="str">
        <f t="shared" ref="J959" si="3643">IFERROR((I960/I959),"-")</f>
        <v>-</v>
      </c>
      <c r="K959" s="528"/>
      <c r="L959" s="546" t="s">
        <v>37</v>
      </c>
      <c r="M959" s="711">
        <f t="shared" si="3571"/>
        <v>0</v>
      </c>
      <c r="N959" s="896" t="str">
        <f t="shared" ref="N959" si="3644">IFERROR((M960/M959),"-")</f>
        <v>-</v>
      </c>
      <c r="O959" s="528"/>
      <c r="P959" s="547">
        <v>0</v>
      </c>
      <c r="Q959" s="547">
        <v>0</v>
      </c>
      <c r="R959" s="547">
        <v>0</v>
      </c>
      <c r="S959" s="547">
        <v>0</v>
      </c>
      <c r="T959" s="547">
        <v>0</v>
      </c>
      <c r="U959" s="547">
        <v>0</v>
      </c>
      <c r="V959" s="548">
        <v>0</v>
      </c>
      <c r="W959" s="528"/>
      <c r="X959" s="711">
        <f t="shared" si="3564"/>
        <v>0</v>
      </c>
      <c r="Y959" s="896" t="str">
        <f t="shared" ref="Y959" si="3645">IFERROR((X960/X959),"0")</f>
        <v>0</v>
      </c>
      <c r="Z959" s="528"/>
      <c r="AA959" s="898">
        <v>0</v>
      </c>
      <c r="AB959" s="898">
        <v>0</v>
      </c>
      <c r="AC959" s="903">
        <v>0</v>
      </c>
      <c r="AD959" s="896" t="str">
        <f t="shared" ref="AD959" si="3646">IFERROR((AC959/AB959),"-")</f>
        <v>-</v>
      </c>
      <c r="AE959" s="2"/>
      <c r="AF959" s="884">
        <v>0</v>
      </c>
      <c r="AG959" s="884"/>
      <c r="AH959" s="884"/>
      <c r="AI959" s="884"/>
      <c r="AJ959" s="884"/>
      <c r="AK959" s="884">
        <f t="shared" ref="AK959" si="3647">AF959+AG959+AH959+AI959+AJ959+AC959</f>
        <v>0</v>
      </c>
      <c r="AL959" s="884">
        <v>0</v>
      </c>
      <c r="AM959" s="878" t="str">
        <f t="shared" ref="AM959" si="3648">IFERROR((AK959/AL959),"-")</f>
        <v>-</v>
      </c>
      <c r="AN959" s="2"/>
      <c r="AO959" s="884">
        <v>3150.23</v>
      </c>
      <c r="AP959" s="884">
        <f t="shared" ref="AP959" si="3649">AO959-AK959</f>
        <v>3150.23</v>
      </c>
      <c r="AV959" t="str">
        <f t="shared" si="3429"/>
        <v>Sobrelargura</v>
      </c>
      <c r="AW959" s="4" t="str">
        <f t="shared" si="3420"/>
        <v xml:space="preserve">   Remoção de sobrelargura</v>
      </c>
    </row>
    <row r="960" spans="1:49" ht="15.6" customHeight="1" outlineLevel="2">
      <c r="A960" s="8" t="str">
        <f t="shared" ref="A960" si="3650">A959</f>
        <v>N</v>
      </c>
      <c r="B960" s="150"/>
      <c r="C960" s="150"/>
      <c r="D960" s="120" t="s">
        <v>530</v>
      </c>
      <c r="E960" s="893"/>
      <c r="F960" s="902"/>
      <c r="G960" s="528"/>
      <c r="H960" s="549" t="s">
        <v>38</v>
      </c>
      <c r="I960" s="711">
        <v>0</v>
      </c>
      <c r="J960" s="897"/>
      <c r="K960" s="528"/>
      <c r="L960" s="549" t="s">
        <v>38</v>
      </c>
      <c r="M960" s="711">
        <f t="shared" si="3571"/>
        <v>0</v>
      </c>
      <c r="N960" s="897"/>
      <c r="O960" s="528"/>
      <c r="P960" s="548"/>
      <c r="Q960" s="548"/>
      <c r="R960" s="548"/>
      <c r="S960" s="548"/>
      <c r="T960" s="547"/>
      <c r="U960" s="548"/>
      <c r="V960" s="548"/>
      <c r="W960" s="528"/>
      <c r="X960" s="711">
        <f t="shared" si="3564"/>
        <v>0</v>
      </c>
      <c r="Y960" s="897"/>
      <c r="Z960" s="528"/>
      <c r="AA960" s="899"/>
      <c r="AB960" s="899"/>
      <c r="AC960" s="904"/>
      <c r="AD960" s="905"/>
      <c r="AE960" s="2"/>
      <c r="AF960" s="885"/>
      <c r="AG960" s="885"/>
      <c r="AH960" s="885"/>
      <c r="AI960" s="885"/>
      <c r="AJ960" s="885"/>
      <c r="AK960" s="885"/>
      <c r="AL960" s="885"/>
      <c r="AM960" s="879"/>
      <c r="AN960" s="2"/>
      <c r="AO960" s="886"/>
      <c r="AP960" s="886"/>
      <c r="AV960" t="str">
        <f t="shared" si="3429"/>
        <v>Sobrelargura</v>
      </c>
      <c r="AW960" s="4" t="str">
        <f t="shared" si="3420"/>
        <v xml:space="preserve">   Remoção de sobrelargura</v>
      </c>
    </row>
    <row r="961" spans="1:50" ht="15.6" customHeight="1" outlineLevel="2">
      <c r="A961" s="8" t="str">
        <f t="shared" ref="A961" si="3651">IF(SUM(P961:V962)&gt;0,"S","N")</f>
        <v>N</v>
      </c>
      <c r="B961" s="150">
        <v>1069802</v>
      </c>
      <c r="C961" s="150" t="s">
        <v>1302</v>
      </c>
      <c r="D961" s="120" t="s">
        <v>518</v>
      </c>
      <c r="E961" s="892" t="s">
        <v>1226</v>
      </c>
      <c r="F961" s="902" t="s">
        <v>36</v>
      </c>
      <c r="G961" s="528"/>
      <c r="H961" s="546" t="s">
        <v>37</v>
      </c>
      <c r="I961" s="711">
        <v>0</v>
      </c>
      <c r="J961" s="896" t="str">
        <f t="shared" ref="J961" si="3652">IFERROR((I962/I961),"-")</f>
        <v>-</v>
      </c>
      <c r="K961" s="528"/>
      <c r="L961" s="546" t="s">
        <v>37</v>
      </c>
      <c r="M961" s="711">
        <f t="shared" si="3571"/>
        <v>0</v>
      </c>
      <c r="N961" s="896" t="str">
        <f t="shared" ref="N961" si="3653">IFERROR((M962/M961),"-")</f>
        <v>-</v>
      </c>
      <c r="O961" s="528"/>
      <c r="P961" s="547">
        <v>0</v>
      </c>
      <c r="Q961" s="547">
        <v>0</v>
      </c>
      <c r="R961" s="547">
        <v>0</v>
      </c>
      <c r="S961" s="547">
        <v>0</v>
      </c>
      <c r="T961" s="547">
        <v>0</v>
      </c>
      <c r="U961" s="547">
        <v>0</v>
      </c>
      <c r="V961" s="548">
        <v>0</v>
      </c>
      <c r="W961" s="528"/>
      <c r="X961" s="711">
        <f t="shared" si="3564"/>
        <v>0</v>
      </c>
      <c r="Y961" s="896" t="str">
        <f t="shared" ref="Y961" si="3654">IFERROR((X962/X961),"0")</f>
        <v>0</v>
      </c>
      <c r="Z961" s="528"/>
      <c r="AA961" s="898">
        <v>0</v>
      </c>
      <c r="AB961" s="898">
        <v>0</v>
      </c>
      <c r="AC961" s="903">
        <v>0</v>
      </c>
      <c r="AD961" s="896" t="str">
        <f t="shared" ref="AD961" si="3655">IFERROR((AC961/AB961),"-")</f>
        <v>-</v>
      </c>
      <c r="AE961" s="2"/>
      <c r="AF961" s="884">
        <v>0</v>
      </c>
      <c r="AG961" s="884"/>
      <c r="AH961" s="884"/>
      <c r="AI961" s="884"/>
      <c r="AJ961" s="884"/>
      <c r="AK961" s="884">
        <f t="shared" ref="AK961" si="3656">AF961+AG961+AH961+AI961+AJ961+AC961</f>
        <v>0</v>
      </c>
      <c r="AL961" s="884">
        <v>0</v>
      </c>
      <c r="AM961" s="878" t="str">
        <f t="shared" ref="AM961" si="3657">IFERROR((AK961/AL961),"-")</f>
        <v>-</v>
      </c>
      <c r="AN961" s="2"/>
      <c r="AO961" s="884">
        <v>6398.27</v>
      </c>
      <c r="AP961" s="884">
        <f t="shared" ref="AP961" si="3658">AO961-AK961</f>
        <v>6398.27</v>
      </c>
      <c r="AV961" t="str">
        <f t="shared" si="3429"/>
        <v>Sobrelargura</v>
      </c>
      <c r="AW961" s="4" t="str">
        <f t="shared" si="3420"/>
        <v xml:space="preserve">   Remoção de sobrelargura</v>
      </c>
    </row>
    <row r="962" spans="1:50" ht="15.6" customHeight="1" outlineLevel="2">
      <c r="A962" s="8" t="str">
        <f t="shared" ref="A962" si="3659">A961</f>
        <v>N</v>
      </c>
      <c r="B962" s="150"/>
      <c r="C962" s="150"/>
      <c r="D962" s="120" t="s">
        <v>518</v>
      </c>
      <c r="E962" s="893"/>
      <c r="F962" s="902"/>
      <c r="G962" s="528"/>
      <c r="H962" s="549" t="s">
        <v>38</v>
      </c>
      <c r="I962" s="711">
        <v>0</v>
      </c>
      <c r="J962" s="897"/>
      <c r="K962" s="528"/>
      <c r="L962" s="549" t="s">
        <v>38</v>
      </c>
      <c r="M962" s="711">
        <f t="shared" si="3571"/>
        <v>0</v>
      </c>
      <c r="N962" s="897"/>
      <c r="O962" s="528"/>
      <c r="P962" s="548"/>
      <c r="Q962" s="548"/>
      <c r="R962" s="548"/>
      <c r="S962" s="548"/>
      <c r="T962" s="547"/>
      <c r="U962" s="548"/>
      <c r="V962" s="548"/>
      <c r="W962" s="528"/>
      <c r="X962" s="711">
        <f t="shared" si="3564"/>
        <v>0</v>
      </c>
      <c r="Y962" s="897"/>
      <c r="Z962" s="528"/>
      <c r="AA962" s="899"/>
      <c r="AB962" s="899"/>
      <c r="AC962" s="904"/>
      <c r="AD962" s="905"/>
      <c r="AE962" s="2"/>
      <c r="AF962" s="885"/>
      <c r="AG962" s="885"/>
      <c r="AH962" s="885"/>
      <c r="AI962" s="885"/>
      <c r="AJ962" s="885"/>
      <c r="AK962" s="885"/>
      <c r="AL962" s="885"/>
      <c r="AM962" s="879"/>
      <c r="AN962" s="2"/>
      <c r="AO962" s="886"/>
      <c r="AP962" s="886"/>
      <c r="AV962" t="str">
        <f t="shared" si="3429"/>
        <v>Sobrelargura</v>
      </c>
      <c r="AW962" s="4" t="str">
        <f t="shared" si="3420"/>
        <v xml:space="preserve">   Remoção de sobrelargura</v>
      </c>
    </row>
    <row r="963" spans="1:50" ht="15.6" customHeight="1" outlineLevel="2">
      <c r="A963" s="8" t="str">
        <f t="shared" ref="A963" si="3660">IF(SUM(P963:V964)&gt;0,"S","N")</f>
        <v>N</v>
      </c>
      <c r="B963" s="150">
        <v>1069803</v>
      </c>
      <c r="C963" s="150" t="s">
        <v>1303</v>
      </c>
      <c r="D963" s="120" t="s">
        <v>1304</v>
      </c>
      <c r="E963" s="892" t="s">
        <v>1226</v>
      </c>
      <c r="F963" s="902" t="s">
        <v>36</v>
      </c>
      <c r="G963" s="528"/>
      <c r="H963" s="546" t="s">
        <v>37</v>
      </c>
      <c r="I963" s="711">
        <v>0</v>
      </c>
      <c r="J963" s="896" t="str">
        <f t="shared" ref="J963" si="3661">IFERROR((I964/I963),"-")</f>
        <v>-</v>
      </c>
      <c r="K963" s="528"/>
      <c r="L963" s="546" t="s">
        <v>37</v>
      </c>
      <c r="M963" s="711">
        <f t="shared" si="3571"/>
        <v>0</v>
      </c>
      <c r="N963" s="896" t="str">
        <f t="shared" ref="N963" si="3662">IFERROR((M964/M963),"-")</f>
        <v>-</v>
      </c>
      <c r="O963" s="528"/>
      <c r="P963" s="547">
        <v>0</v>
      </c>
      <c r="Q963" s="547">
        <v>0</v>
      </c>
      <c r="R963" s="547">
        <v>0</v>
      </c>
      <c r="S963" s="547">
        <v>0</v>
      </c>
      <c r="T963" s="547">
        <v>0</v>
      </c>
      <c r="U963" s="547">
        <v>0</v>
      </c>
      <c r="V963" s="548">
        <v>0</v>
      </c>
      <c r="W963" s="528"/>
      <c r="X963" s="711">
        <f t="shared" si="3564"/>
        <v>0</v>
      </c>
      <c r="Y963" s="896" t="str">
        <f t="shared" ref="Y963" si="3663">IFERROR((X964/X963),"0")</f>
        <v>0</v>
      </c>
      <c r="Z963" s="528"/>
      <c r="AA963" s="898">
        <v>0</v>
      </c>
      <c r="AB963" s="898">
        <v>0</v>
      </c>
      <c r="AC963" s="903">
        <v>0</v>
      </c>
      <c r="AD963" s="896" t="str">
        <f t="shared" ref="AD963" si="3664">IFERROR((AC963/AB963),"-")</f>
        <v>-</v>
      </c>
      <c r="AE963" s="2"/>
      <c r="AF963" s="884">
        <v>0</v>
      </c>
      <c r="AG963" s="884"/>
      <c r="AH963" s="884"/>
      <c r="AI963" s="884"/>
      <c r="AJ963" s="884"/>
      <c r="AK963" s="884">
        <f t="shared" ref="AK963" si="3665">AF963+AG963+AH963+AI963+AJ963+AC963</f>
        <v>0</v>
      </c>
      <c r="AL963" s="884">
        <v>0</v>
      </c>
      <c r="AM963" s="878" t="str">
        <f t="shared" ref="AM963" si="3666">IFERROR((AK963/AL963),"-")</f>
        <v>-</v>
      </c>
      <c r="AN963" s="2"/>
      <c r="AO963" s="884">
        <v>0.01</v>
      </c>
      <c r="AP963" s="884">
        <f t="shared" ref="AP963" si="3667">AO963-AK963</f>
        <v>0.01</v>
      </c>
      <c r="AV963" t="str">
        <f t="shared" si="3429"/>
        <v>Sobrelargura</v>
      </c>
      <c r="AW963" s="4" t="str">
        <f t="shared" si="3420"/>
        <v xml:space="preserve">   Remoção de sobrelargura</v>
      </c>
    </row>
    <row r="964" spans="1:50" ht="15.6" customHeight="1" outlineLevel="2">
      <c r="A964" s="8" t="str">
        <f t="shared" ref="A964" si="3668">A963</f>
        <v>N</v>
      </c>
      <c r="B964" s="150"/>
      <c r="C964" s="150"/>
      <c r="D964" s="120" t="s">
        <v>1304</v>
      </c>
      <c r="E964" s="893"/>
      <c r="F964" s="902"/>
      <c r="G964" s="528"/>
      <c r="H964" s="549" t="s">
        <v>38</v>
      </c>
      <c r="I964" s="711">
        <v>0</v>
      </c>
      <c r="J964" s="897"/>
      <c r="K964" s="528"/>
      <c r="L964" s="549" t="s">
        <v>38</v>
      </c>
      <c r="M964" s="711">
        <f t="shared" si="3571"/>
        <v>0</v>
      </c>
      <c r="N964" s="897"/>
      <c r="O964" s="528"/>
      <c r="P964" s="548"/>
      <c r="Q964" s="548"/>
      <c r="R964" s="548"/>
      <c r="S964" s="548"/>
      <c r="T964" s="547"/>
      <c r="U964" s="548"/>
      <c r="V964" s="548"/>
      <c r="W964" s="528"/>
      <c r="X964" s="711">
        <f t="shared" si="3564"/>
        <v>0</v>
      </c>
      <c r="Y964" s="897"/>
      <c r="Z964" s="528"/>
      <c r="AA964" s="899"/>
      <c r="AB964" s="899"/>
      <c r="AC964" s="904"/>
      <c r="AD964" s="905"/>
      <c r="AE964" s="2"/>
      <c r="AF964" s="885"/>
      <c r="AG964" s="885"/>
      <c r="AH964" s="885"/>
      <c r="AI964" s="885"/>
      <c r="AJ964" s="885"/>
      <c r="AK964" s="885"/>
      <c r="AL964" s="885"/>
      <c r="AM964" s="879"/>
      <c r="AN964" s="2"/>
      <c r="AO964" s="886"/>
      <c r="AP964" s="886"/>
      <c r="AV964" t="str">
        <f t="shared" si="3429"/>
        <v>Sobrelargura</v>
      </c>
      <c r="AW964" s="4" t="str">
        <f t="shared" si="3420"/>
        <v xml:space="preserve">   Remoção de sobrelargura</v>
      </c>
    </row>
    <row r="965" spans="1:50" ht="15.6" customHeight="1" outlineLevel="1">
      <c r="A965" s="8" t="str">
        <f t="shared" ref="A965" si="3669">IF(SUM(P965:V966)&gt;0,"S","N")</f>
        <v>N</v>
      </c>
      <c r="B965" s="150">
        <v>1069804</v>
      </c>
      <c r="C965" s="150" t="s">
        <v>1305</v>
      </c>
      <c r="D965" s="120" t="s">
        <v>520</v>
      </c>
      <c r="E965" s="892" t="s">
        <v>1226</v>
      </c>
      <c r="F965" s="902" t="s">
        <v>36</v>
      </c>
      <c r="G965" s="528"/>
      <c r="H965" s="546" t="s">
        <v>37</v>
      </c>
      <c r="I965" s="711">
        <v>0</v>
      </c>
      <c r="J965" s="896" t="str">
        <f t="shared" ref="J965" si="3670">IFERROR((I966/I965),"-")</f>
        <v>-</v>
      </c>
      <c r="K965" s="528"/>
      <c r="L965" s="546" t="s">
        <v>37</v>
      </c>
      <c r="M965" s="711">
        <f t="shared" si="3571"/>
        <v>0</v>
      </c>
      <c r="N965" s="896" t="str">
        <f t="shared" ref="N965" si="3671">IFERROR((M966/M965),"-")</f>
        <v>-</v>
      </c>
      <c r="O965" s="528"/>
      <c r="P965" s="547">
        <v>0</v>
      </c>
      <c r="Q965" s="547">
        <v>0</v>
      </c>
      <c r="R965" s="547">
        <v>0</v>
      </c>
      <c r="S965" s="547">
        <v>0</v>
      </c>
      <c r="T965" s="547">
        <v>0</v>
      </c>
      <c r="U965" s="547">
        <v>0</v>
      </c>
      <c r="V965" s="548">
        <v>0</v>
      </c>
      <c r="W965" s="528"/>
      <c r="X965" s="711">
        <f t="shared" si="3564"/>
        <v>0</v>
      </c>
      <c r="Y965" s="896" t="str">
        <f t="shared" ref="Y965" si="3672">IFERROR((X966/X965),"0")</f>
        <v>0</v>
      </c>
      <c r="Z965" s="528"/>
      <c r="AA965" s="898">
        <v>13663.73</v>
      </c>
      <c r="AB965" s="898">
        <v>0</v>
      </c>
      <c r="AC965" s="903">
        <v>0</v>
      </c>
      <c r="AD965" s="896" t="str">
        <f t="shared" ref="AD965" si="3673">IFERROR((AC965/AB965),"-")</f>
        <v>-</v>
      </c>
      <c r="AE965" s="2"/>
      <c r="AF965" s="884">
        <v>0</v>
      </c>
      <c r="AG965" s="884"/>
      <c r="AH965" s="884"/>
      <c r="AI965" s="884"/>
      <c r="AJ965" s="884"/>
      <c r="AK965" s="884">
        <f t="shared" ref="AK965" si="3674">AF965+AG965+AH965+AI965+AJ965+AC965</f>
        <v>0</v>
      </c>
      <c r="AL965" s="884">
        <v>0</v>
      </c>
      <c r="AM965" s="878" t="str">
        <f t="shared" ref="AM965" si="3675">IFERROR((AK965/AL965),"-")</f>
        <v>-</v>
      </c>
      <c r="AN965" s="2"/>
      <c r="AO965" s="884">
        <v>31613.69</v>
      </c>
      <c r="AP965" s="884">
        <f t="shared" ref="AP965" si="3676">AO965-AK965</f>
        <v>31613.69</v>
      </c>
      <c r="AU965" s="4"/>
      <c r="AV965" s="4" t="str">
        <f t="shared" si="3429"/>
        <v>Sobrelargura</v>
      </c>
      <c r="AW965" s="4" t="str">
        <f t="shared" si="3420"/>
        <v xml:space="preserve">   Remoção de sobrelargura</v>
      </c>
      <c r="AX965" s="4"/>
    </row>
    <row r="966" spans="1:50" ht="15.6" customHeight="1" outlineLevel="1">
      <c r="A966" s="8" t="str">
        <f t="shared" ref="A966" si="3677">A965</f>
        <v>N</v>
      </c>
      <c r="B966" s="150"/>
      <c r="C966" s="150"/>
      <c r="D966" s="120" t="s">
        <v>520</v>
      </c>
      <c r="E966" s="893"/>
      <c r="F966" s="902"/>
      <c r="G966" s="528"/>
      <c r="H966" s="549" t="s">
        <v>38</v>
      </c>
      <c r="I966" s="711">
        <v>0</v>
      </c>
      <c r="J966" s="897"/>
      <c r="K966" s="528"/>
      <c r="L966" s="549" t="s">
        <v>38</v>
      </c>
      <c r="M966" s="711">
        <f t="shared" si="3571"/>
        <v>0</v>
      </c>
      <c r="N966" s="897"/>
      <c r="O966" s="528"/>
      <c r="P966" s="548"/>
      <c r="Q966" s="548"/>
      <c r="R966" s="548"/>
      <c r="S966" s="548"/>
      <c r="T966" s="547"/>
      <c r="U966" s="548"/>
      <c r="V966" s="548"/>
      <c r="W966" s="528"/>
      <c r="X966" s="711">
        <f t="shared" si="3564"/>
        <v>0</v>
      </c>
      <c r="Y966" s="897"/>
      <c r="Z966" s="528"/>
      <c r="AA966" s="899"/>
      <c r="AB966" s="899"/>
      <c r="AC966" s="904"/>
      <c r="AD966" s="905"/>
      <c r="AE966" s="2"/>
      <c r="AF966" s="885"/>
      <c r="AG966" s="885"/>
      <c r="AH966" s="885"/>
      <c r="AI966" s="885"/>
      <c r="AJ966" s="885"/>
      <c r="AK966" s="885"/>
      <c r="AL966" s="885"/>
      <c r="AM966" s="879"/>
      <c r="AN966" s="2"/>
      <c r="AO966" s="886"/>
      <c r="AP966" s="886"/>
      <c r="AU966" s="4"/>
      <c r="AV966" s="4" t="str">
        <f t="shared" si="3429"/>
        <v>Sobrelargura</v>
      </c>
      <c r="AW966" s="4" t="str">
        <f t="shared" si="3420"/>
        <v xml:space="preserve">   Remoção de sobrelargura</v>
      </c>
      <c r="AX966" s="4"/>
    </row>
    <row r="967" spans="1:50" ht="15.6" customHeight="1" outlineLevel="1">
      <c r="A967" s="8" t="str">
        <f t="shared" ref="A967" si="3678">IF(SUM(P967:V968)&gt;0,"S","N")</f>
        <v>N</v>
      </c>
      <c r="B967" s="150" t="s">
        <v>266</v>
      </c>
      <c r="C967" s="150" t="s">
        <v>266</v>
      </c>
      <c r="D967" s="120" t="s">
        <v>266</v>
      </c>
      <c r="E967" s="892" t="s">
        <v>1306</v>
      </c>
      <c r="F967" s="902" t="s">
        <v>36</v>
      </c>
      <c r="G967" s="528"/>
      <c r="H967" s="546" t="s">
        <v>37</v>
      </c>
      <c r="I967" s="711">
        <v>0</v>
      </c>
      <c r="J967" s="896" t="str">
        <f t="shared" ref="J967" si="3679">IFERROR((I968/I967),"-")</f>
        <v>-</v>
      </c>
      <c r="K967" s="528"/>
      <c r="L967" s="546" t="s">
        <v>37</v>
      </c>
      <c r="M967" s="711">
        <f t="shared" si="3571"/>
        <v>0</v>
      </c>
      <c r="N967" s="896" t="str">
        <f t="shared" ref="N967" si="3680">IFERROR((M968/M967),"-")</f>
        <v>-</v>
      </c>
      <c r="O967" s="528"/>
      <c r="P967" s="547">
        <v>0</v>
      </c>
      <c r="Q967" s="547">
        <v>0</v>
      </c>
      <c r="R967" s="547">
        <v>0</v>
      </c>
      <c r="S967" s="547">
        <v>0</v>
      </c>
      <c r="T967" s="547">
        <v>0</v>
      </c>
      <c r="U967" s="547">
        <v>0</v>
      </c>
      <c r="V967" s="548">
        <v>0</v>
      </c>
      <c r="W967" s="528"/>
      <c r="X967" s="711">
        <f t="shared" si="3564"/>
        <v>0</v>
      </c>
      <c r="Y967" s="896" t="str">
        <f t="shared" ref="Y967" si="3681">IFERROR((X968/X967),"0")</f>
        <v>0</v>
      </c>
      <c r="Z967" s="528"/>
      <c r="AA967" s="898">
        <v>0</v>
      </c>
      <c r="AB967" s="898">
        <v>0</v>
      </c>
      <c r="AC967" s="903">
        <v>0</v>
      </c>
      <c r="AD967" s="896" t="str">
        <f t="shared" ref="AD967" si="3682">IFERROR((AC967/AB967),"-")</f>
        <v>-</v>
      </c>
      <c r="AE967" s="2"/>
      <c r="AF967" s="884">
        <v>0</v>
      </c>
      <c r="AG967" s="884"/>
      <c r="AH967" s="884"/>
      <c r="AI967" s="884"/>
      <c r="AJ967" s="884"/>
      <c r="AK967" s="884">
        <f t="shared" ref="AK967" si="3683">AF967+AG967+AH967+AI967+AJ967+AC967</f>
        <v>0</v>
      </c>
      <c r="AL967" s="884">
        <v>0</v>
      </c>
      <c r="AM967" s="878" t="str">
        <f t="shared" ref="AM967" si="3684">IFERROR((AK967/AL967),"-")</f>
        <v>-</v>
      </c>
      <c r="AN967" s="2"/>
      <c r="AO967" s="884">
        <v>0</v>
      </c>
      <c r="AP967" s="884">
        <f t="shared" ref="AP967" si="3685">AO967-AK967</f>
        <v>0</v>
      </c>
      <c r="AV967" s="4" t="str">
        <f t="shared" si="3429"/>
        <v>Sobrelargura</v>
      </c>
      <c r="AW967" s="4" t="str">
        <f t="shared" si="3420"/>
        <v>---</v>
      </c>
    </row>
    <row r="968" spans="1:50" ht="15.6" customHeight="1" outlineLevel="1">
      <c r="A968" s="8" t="str">
        <f t="shared" ref="A968" si="3686">A967</f>
        <v>N</v>
      </c>
      <c r="B968" s="150"/>
      <c r="C968" s="150"/>
      <c r="D968" s="120"/>
      <c r="E968" s="893"/>
      <c r="F968" s="902"/>
      <c r="G968" s="528"/>
      <c r="H968" s="549" t="s">
        <v>38</v>
      </c>
      <c r="I968" s="711">
        <v>0</v>
      </c>
      <c r="J968" s="897"/>
      <c r="K968" s="528"/>
      <c r="L968" s="549" t="s">
        <v>38</v>
      </c>
      <c r="M968" s="711">
        <f t="shared" si="3571"/>
        <v>0</v>
      </c>
      <c r="N968" s="897"/>
      <c r="O968" s="528"/>
      <c r="P968" s="548"/>
      <c r="Q968" s="548"/>
      <c r="R968" s="548"/>
      <c r="S968" s="548"/>
      <c r="T968" s="547"/>
      <c r="U968" s="548"/>
      <c r="V968" s="548"/>
      <c r="W968" s="528"/>
      <c r="X968" s="711">
        <f t="shared" si="3564"/>
        <v>0</v>
      </c>
      <c r="Y968" s="897"/>
      <c r="Z968" s="528"/>
      <c r="AA968" s="899"/>
      <c r="AB968" s="899"/>
      <c r="AC968" s="904"/>
      <c r="AD968" s="905"/>
      <c r="AE968" s="2"/>
      <c r="AF968" s="885"/>
      <c r="AG968" s="885"/>
      <c r="AH968" s="885"/>
      <c r="AI968" s="885"/>
      <c r="AJ968" s="885"/>
      <c r="AK968" s="885"/>
      <c r="AL968" s="885"/>
      <c r="AM968" s="879"/>
      <c r="AN968" s="2"/>
      <c r="AO968" s="886"/>
      <c r="AP968" s="886"/>
      <c r="AV968" s="4" t="str">
        <f t="shared" si="3429"/>
        <v>Sobrelargura</v>
      </c>
      <c r="AW968" s="4" t="str">
        <f t="shared" si="3420"/>
        <v>---</v>
      </c>
    </row>
    <row r="969" spans="1:50" ht="15.6" customHeight="1">
      <c r="A969" s="209">
        <v>0</v>
      </c>
      <c r="B969" s="150"/>
      <c r="C969" s="150"/>
      <c r="D969" s="117"/>
      <c r="E969" s="535"/>
      <c r="F969" s="536"/>
      <c r="G969" s="537"/>
      <c r="H969" s="714"/>
      <c r="I969" s="555"/>
      <c r="J969" s="714"/>
      <c r="K969" s="537"/>
      <c r="L969" s="714"/>
      <c r="M969" s="555"/>
      <c r="N969" s="714"/>
      <c r="O969" s="537"/>
      <c r="P969" s="539"/>
      <c r="Q969" s="539"/>
      <c r="R969" s="539"/>
      <c r="S969" s="539"/>
      <c r="T969" s="539"/>
      <c r="U969" s="539"/>
      <c r="V969" s="539"/>
      <c r="W969" s="537"/>
      <c r="X969" s="540"/>
      <c r="Y969" s="537"/>
      <c r="Z969" s="537"/>
      <c r="AA969" s="249"/>
      <c r="AB969" s="249"/>
      <c r="AC969" s="249"/>
      <c r="AD969" s="537"/>
      <c r="AE969" s="3"/>
      <c r="AF969" s="35"/>
      <c r="AG969" s="35"/>
      <c r="AH969" s="35"/>
      <c r="AI969" s="35"/>
      <c r="AJ969" s="35"/>
      <c r="AK969" s="35"/>
      <c r="AL969" s="35"/>
      <c r="AM969" s="3"/>
      <c r="AN969" s="3"/>
      <c r="AO969" s="35"/>
      <c r="AP969" s="35"/>
      <c r="AU969" s="4"/>
      <c r="AV969" s="4" t="str">
        <f t="shared" si="3429"/>
        <v>Sobrelargura</v>
      </c>
      <c r="AW969" s="4" t="str">
        <f t="shared" ref="AW969:AW1032" si="3687">IF(E969&lt;&gt;"",E969,AW968)</f>
        <v>---</v>
      </c>
      <c r="AX969" s="4"/>
    </row>
    <row r="970" spans="1:50" ht="15.6" customHeight="1">
      <c r="A970" s="209">
        <v>0</v>
      </c>
      <c r="B970" s="150"/>
      <c r="C970" s="150"/>
      <c r="D970" s="117"/>
      <c r="E970" s="535"/>
      <c r="F970" s="536"/>
      <c r="G970" s="537"/>
      <c r="H970" s="714"/>
      <c r="I970" s="555"/>
      <c r="J970" s="714"/>
      <c r="K970" s="537"/>
      <c r="L970" s="714"/>
      <c r="M970" s="555"/>
      <c r="N970" s="714"/>
      <c r="O970" s="537"/>
      <c r="P970" s="539"/>
      <c r="Q970" s="539"/>
      <c r="R970" s="539"/>
      <c r="S970" s="539"/>
      <c r="T970" s="539"/>
      <c r="U970" s="539"/>
      <c r="V970" s="539"/>
      <c r="W970" s="537"/>
      <c r="X970" s="540"/>
      <c r="Y970" s="537"/>
      <c r="Z970" s="537"/>
      <c r="AA970" s="249"/>
      <c r="AB970" s="249"/>
      <c r="AC970" s="249"/>
      <c r="AD970" s="537"/>
      <c r="AE970" s="3"/>
      <c r="AF970" s="35"/>
      <c r="AG970" s="35"/>
      <c r="AH970" s="35"/>
      <c r="AI970" s="35"/>
      <c r="AJ970" s="35"/>
      <c r="AK970" s="35"/>
      <c r="AL970" s="35"/>
      <c r="AM970" s="3"/>
      <c r="AN970" s="3"/>
      <c r="AO970" s="35"/>
      <c r="AP970" s="35"/>
      <c r="AU970" s="4"/>
      <c r="AV970" s="4" t="str">
        <f t="shared" ref="AV970:AV1033" si="3688">IF(AX970="Y",LEFT(E970,20),IF(AX970="x",E970,AV969))</f>
        <v>Sobrelargura</v>
      </c>
      <c r="AW970" s="4" t="str">
        <f t="shared" si="3687"/>
        <v>---</v>
      </c>
      <c r="AX970" s="4"/>
    </row>
    <row r="971" spans="1:50" ht="15.6" customHeight="1">
      <c r="A971" s="209">
        <v>0</v>
      </c>
      <c r="B971" s="150"/>
      <c r="C971" s="150"/>
      <c r="D971" s="122"/>
      <c r="E971" s="913" t="s">
        <v>45</v>
      </c>
      <c r="F971" s="868" t="s">
        <v>36</v>
      </c>
      <c r="G971" s="528"/>
      <c r="H971" s="542" t="s">
        <v>37</v>
      </c>
      <c r="I971" s="543">
        <f>SUMIF($L973:$L992,$L971,I973:I992)</f>
        <v>0</v>
      </c>
      <c r="J971" s="860" t="str">
        <f>IFERROR((I972/I971),"-")</f>
        <v>-</v>
      </c>
      <c r="K971" s="528"/>
      <c r="L971" s="542" t="s">
        <v>37</v>
      </c>
      <c r="M971" s="543">
        <f>SUMIF($L973:$L992,$L971,M973:M992)</f>
        <v>0</v>
      </c>
      <c r="N971" s="860" t="str">
        <f>IFERROR((M972/M971),"-")</f>
        <v>-</v>
      </c>
      <c r="O971" s="528"/>
      <c r="P971" s="543">
        <f t="shared" ref="P971:U971" si="3689">SUMIF($L973:$L992,$L971,P973:P992)</f>
        <v>0</v>
      </c>
      <c r="Q971" s="543">
        <f t="shared" si="3689"/>
        <v>0</v>
      </c>
      <c r="R971" s="543">
        <f t="shared" si="3689"/>
        <v>0</v>
      </c>
      <c r="S971" s="543">
        <f t="shared" si="3689"/>
        <v>0</v>
      </c>
      <c r="T971" s="543">
        <f t="shared" si="3689"/>
        <v>0</v>
      </c>
      <c r="U971" s="543">
        <f t="shared" si="3689"/>
        <v>0</v>
      </c>
      <c r="V971" s="543"/>
      <c r="W971" s="528"/>
      <c r="X971" s="543">
        <f t="shared" ref="X971:X992" si="3690">SUMIFS(P971:V971,$P$8:$V$8,"&gt;="&amp;$P$8,$P$8:$V$8,"&lt;="&amp;$N$8)</f>
        <v>0</v>
      </c>
      <c r="Y971" s="860" t="str">
        <f>IFERROR((X972/X971),"-")</f>
        <v>-</v>
      </c>
      <c r="Z971" s="528"/>
      <c r="AA971" s="814">
        <f>SUM(AA973:AA992)</f>
        <v>0</v>
      </c>
      <c r="AB971" s="814">
        <f>SUM(AB973:AB992)</f>
        <v>0</v>
      </c>
      <c r="AC971" s="814">
        <f>SUM(AC973:AC992)</f>
        <v>0</v>
      </c>
      <c r="AD971" s="860" t="str">
        <f>IFERROR((AB971/AC971),"-")</f>
        <v>-</v>
      </c>
      <c r="AE971" s="2"/>
      <c r="AF971" s="888">
        <f t="shared" ref="AF971" si="3691">SUM(AF973:AF992)</f>
        <v>0</v>
      </c>
      <c r="AG971" s="888">
        <f t="shared" ref="AG971:AL971" si="3692">SUM(AG973:AG992)</f>
        <v>0</v>
      </c>
      <c r="AH971" s="888">
        <f t="shared" si="3692"/>
        <v>0</v>
      </c>
      <c r="AI971" s="888">
        <f t="shared" si="3692"/>
        <v>0</v>
      </c>
      <c r="AJ971" s="888">
        <f t="shared" si="3692"/>
        <v>0</v>
      </c>
      <c r="AK971" s="888">
        <f t="shared" si="3692"/>
        <v>0</v>
      </c>
      <c r="AL971" s="888">
        <f t="shared" si="3692"/>
        <v>0</v>
      </c>
      <c r="AM971" s="743" t="str">
        <f>IFERROR((AK971/AL971),"-")</f>
        <v>-</v>
      </c>
      <c r="AN971" s="2"/>
      <c r="AO971" s="888">
        <f>SUM(AO973:AO992)</f>
        <v>23956.02</v>
      </c>
      <c r="AP971" s="888">
        <f>SUM(AP973:AP992)</f>
        <v>23956.02</v>
      </c>
      <c r="AU971" s="4"/>
      <c r="AV971" s="4" t="str">
        <f t="shared" si="3688"/>
        <v>Sobrelargura</v>
      </c>
      <c r="AW971" s="4" t="str">
        <f t="shared" si="3687"/>
        <v>Pacote 05 - Segmento 3.1 - 153+000 a 167+400</v>
      </c>
      <c r="AX971" s="4"/>
    </row>
    <row r="972" spans="1:50" ht="15.6" customHeight="1">
      <c r="A972" s="209">
        <v>0</v>
      </c>
      <c r="B972" s="150"/>
      <c r="C972" s="150"/>
      <c r="D972" s="123"/>
      <c r="E972" s="913"/>
      <c r="F972" s="869"/>
      <c r="G972" s="528"/>
      <c r="H972" s="544" t="s">
        <v>38</v>
      </c>
      <c r="I972" s="543">
        <f>SUMIF($L973:$L992,$L972,I973:I992)</f>
        <v>0</v>
      </c>
      <c r="J972" s="861"/>
      <c r="K972" s="528"/>
      <c r="L972" s="544" t="s">
        <v>38</v>
      </c>
      <c r="M972" s="543">
        <f>SUMIF($L973:$L992,$L972,M973:M992)</f>
        <v>0</v>
      </c>
      <c r="N972" s="861"/>
      <c r="O972" s="528"/>
      <c r="P972" s="543">
        <f t="shared" ref="P972:U972" si="3693">SUMIF($L973:$L992,$L972,P973:P992)</f>
        <v>0</v>
      </c>
      <c r="Q972" s="543">
        <f t="shared" si="3693"/>
        <v>0</v>
      </c>
      <c r="R972" s="543">
        <f t="shared" si="3693"/>
        <v>0</v>
      </c>
      <c r="S972" s="543">
        <f t="shared" si="3693"/>
        <v>0</v>
      </c>
      <c r="T972" s="543">
        <f t="shared" si="3693"/>
        <v>0</v>
      </c>
      <c r="U972" s="543">
        <f t="shared" si="3693"/>
        <v>0</v>
      </c>
      <c r="V972" s="543"/>
      <c r="W972" s="528"/>
      <c r="X972" s="543">
        <f t="shared" si="3690"/>
        <v>0</v>
      </c>
      <c r="Y972" s="861"/>
      <c r="Z972" s="528"/>
      <c r="AA972" s="815"/>
      <c r="AB972" s="815"/>
      <c r="AC972" s="815"/>
      <c r="AD972" s="861"/>
      <c r="AE972" s="2"/>
      <c r="AF972" s="889"/>
      <c r="AG972" s="889"/>
      <c r="AH972" s="889"/>
      <c r="AI972" s="889"/>
      <c r="AJ972" s="889"/>
      <c r="AK972" s="889"/>
      <c r="AL972" s="889"/>
      <c r="AM972" s="744"/>
      <c r="AN972" s="2"/>
      <c r="AO972" s="889"/>
      <c r="AP972" s="889"/>
      <c r="AU972" s="4"/>
      <c r="AV972" s="4" t="str">
        <f t="shared" si="3688"/>
        <v>Sobrelargura</v>
      </c>
      <c r="AW972" s="4" t="str">
        <f t="shared" si="3687"/>
        <v>Pacote 05 - Segmento 3.1 - 153+000 a 167+400</v>
      </c>
      <c r="AX972" s="4"/>
    </row>
    <row r="973" spans="1:50" ht="15.6" customHeight="1">
      <c r="A973" s="8" t="str">
        <f t="shared" ref="A973" si="3694">IF(SUM(P973:V974)&gt;0,"S","N")</f>
        <v>N</v>
      </c>
      <c r="B973" s="150">
        <v>1069805</v>
      </c>
      <c r="C973" s="150" t="s">
        <v>1307</v>
      </c>
      <c r="D973" s="120" t="s">
        <v>594</v>
      </c>
      <c r="E973" s="892" t="s">
        <v>1226</v>
      </c>
      <c r="F973" s="902" t="s">
        <v>36</v>
      </c>
      <c r="G973" s="528"/>
      <c r="H973" s="546" t="s">
        <v>37</v>
      </c>
      <c r="I973" s="711">
        <v>0</v>
      </c>
      <c r="J973" s="896" t="str">
        <f t="shared" ref="J973" si="3695">IFERROR((I974/I973),"-")</f>
        <v>-</v>
      </c>
      <c r="K973" s="528"/>
      <c r="L973" s="546" t="s">
        <v>37</v>
      </c>
      <c r="M973" s="711">
        <f t="shared" ref="M973:M992" si="3696">_xlfn.XLOOKUP($N$8,$P$8:$V$8,$P973:$V973)</f>
        <v>0</v>
      </c>
      <c r="N973" s="896" t="str">
        <f t="shared" ref="N973" si="3697">IFERROR((M974/M973),"-")</f>
        <v>-</v>
      </c>
      <c r="O973" s="528"/>
      <c r="P973" s="547">
        <v>0</v>
      </c>
      <c r="Q973" s="547">
        <v>0</v>
      </c>
      <c r="R973" s="547">
        <v>0</v>
      </c>
      <c r="S973" s="547">
        <v>0</v>
      </c>
      <c r="T973" s="547">
        <v>0</v>
      </c>
      <c r="U973" s="547">
        <v>0</v>
      </c>
      <c r="V973" s="548">
        <v>0</v>
      </c>
      <c r="W973" s="528"/>
      <c r="X973" s="711">
        <f t="shared" si="3690"/>
        <v>0</v>
      </c>
      <c r="Y973" s="896" t="str">
        <f t="shared" ref="Y973" si="3698">IFERROR((X974/X973),"0")</f>
        <v>0</v>
      </c>
      <c r="Z973" s="528"/>
      <c r="AA973" s="898">
        <v>0</v>
      </c>
      <c r="AB973" s="898">
        <v>0</v>
      </c>
      <c r="AC973" s="903">
        <v>0</v>
      </c>
      <c r="AD973" s="896" t="str">
        <f t="shared" ref="AD973" si="3699">IFERROR((AC973/AB973),"-")</f>
        <v>-</v>
      </c>
      <c r="AE973" s="2"/>
      <c r="AF973" s="884">
        <v>0</v>
      </c>
      <c r="AG973" s="884"/>
      <c r="AH973" s="884"/>
      <c r="AI973" s="884"/>
      <c r="AJ973" s="884"/>
      <c r="AK973" s="884">
        <f t="shared" ref="AK973" si="3700">AF973+AG973+AH973+AI973+AJ973+AC973</f>
        <v>0</v>
      </c>
      <c r="AL973" s="884">
        <v>0</v>
      </c>
      <c r="AM973" s="878" t="str">
        <f t="shared" ref="AM973" si="3701">IFERROR((AK973/AL973),"-")</f>
        <v>-</v>
      </c>
      <c r="AN973" s="2"/>
      <c r="AO973" s="884">
        <v>9114.4599999999991</v>
      </c>
      <c r="AP973" s="884">
        <f t="shared" ref="AP973" si="3702">AO973-AK973</f>
        <v>9114.4599999999991</v>
      </c>
      <c r="AU973" s="4"/>
      <c r="AV973" s="4" t="str">
        <f t="shared" si="3688"/>
        <v>Sobrelargura</v>
      </c>
      <c r="AW973" s="4" t="str">
        <f t="shared" si="3687"/>
        <v xml:space="preserve">   Remoção de sobrelargura</v>
      </c>
      <c r="AX973" s="4"/>
    </row>
    <row r="974" spans="1:50" ht="15.6" customHeight="1">
      <c r="A974" s="8" t="str">
        <f t="shared" ref="A974" si="3703">A973</f>
        <v>N</v>
      </c>
      <c r="B974" s="150"/>
      <c r="C974" s="150"/>
      <c r="D974" s="120" t="s">
        <v>594</v>
      </c>
      <c r="E974" s="893"/>
      <c r="F974" s="902"/>
      <c r="G974" s="528"/>
      <c r="H974" s="549" t="s">
        <v>38</v>
      </c>
      <c r="I974" s="711">
        <v>0</v>
      </c>
      <c r="J974" s="897"/>
      <c r="K974" s="528"/>
      <c r="L974" s="549" t="s">
        <v>38</v>
      </c>
      <c r="M974" s="711">
        <f t="shared" si="3696"/>
        <v>0</v>
      </c>
      <c r="N974" s="897"/>
      <c r="O974" s="528"/>
      <c r="P974" s="548"/>
      <c r="Q974" s="548"/>
      <c r="R974" s="548"/>
      <c r="S974" s="548"/>
      <c r="T974" s="547"/>
      <c r="U974" s="548"/>
      <c r="V974" s="548"/>
      <c r="W974" s="528"/>
      <c r="X974" s="711">
        <f t="shared" si="3690"/>
        <v>0</v>
      </c>
      <c r="Y974" s="897"/>
      <c r="Z974" s="528"/>
      <c r="AA974" s="899"/>
      <c r="AB974" s="899"/>
      <c r="AC974" s="904"/>
      <c r="AD974" s="905"/>
      <c r="AE974" s="2"/>
      <c r="AF974" s="885"/>
      <c r="AG974" s="885"/>
      <c r="AH974" s="885"/>
      <c r="AI974" s="885"/>
      <c r="AJ974" s="885"/>
      <c r="AK974" s="885"/>
      <c r="AL974" s="885"/>
      <c r="AM974" s="879"/>
      <c r="AN974" s="2"/>
      <c r="AO974" s="886"/>
      <c r="AP974" s="886"/>
      <c r="AU974" s="4"/>
      <c r="AV974" s="4" t="str">
        <f t="shared" si="3688"/>
        <v>Sobrelargura</v>
      </c>
      <c r="AW974" s="4" t="str">
        <f t="shared" si="3687"/>
        <v xml:space="preserve">   Remoção de sobrelargura</v>
      </c>
      <c r="AX974" s="4"/>
    </row>
    <row r="975" spans="1:50" ht="15.6" customHeight="1">
      <c r="A975" s="8" t="str">
        <f t="shared" ref="A975" si="3704">IF(SUM(P975:V976)&gt;0,"S","N")</f>
        <v>N</v>
      </c>
      <c r="B975" s="150">
        <v>1069806</v>
      </c>
      <c r="C975" s="150" t="s">
        <v>1308</v>
      </c>
      <c r="D975" s="120" t="s">
        <v>596</v>
      </c>
      <c r="E975" s="892" t="s">
        <v>1226</v>
      </c>
      <c r="F975" s="902" t="s">
        <v>36</v>
      </c>
      <c r="G975" s="528"/>
      <c r="H975" s="546" t="s">
        <v>37</v>
      </c>
      <c r="I975" s="711">
        <v>0</v>
      </c>
      <c r="J975" s="896" t="str">
        <f t="shared" ref="J975" si="3705">IFERROR((I976/I975),"-")</f>
        <v>-</v>
      </c>
      <c r="K975" s="528"/>
      <c r="L975" s="546" t="s">
        <v>37</v>
      </c>
      <c r="M975" s="711">
        <f t="shared" si="3696"/>
        <v>0</v>
      </c>
      <c r="N975" s="896" t="str">
        <f t="shared" ref="N975" si="3706">IFERROR((M976/M975),"-")</f>
        <v>-</v>
      </c>
      <c r="O975" s="528"/>
      <c r="P975" s="547">
        <v>0</v>
      </c>
      <c r="Q975" s="547">
        <v>0</v>
      </c>
      <c r="R975" s="547">
        <v>0</v>
      </c>
      <c r="S975" s="547">
        <v>0</v>
      </c>
      <c r="T975" s="547">
        <v>0</v>
      </c>
      <c r="U975" s="547">
        <v>0</v>
      </c>
      <c r="V975" s="548">
        <v>0</v>
      </c>
      <c r="W975" s="528"/>
      <c r="X975" s="711">
        <f t="shared" si="3690"/>
        <v>0</v>
      </c>
      <c r="Y975" s="896" t="str">
        <f t="shared" ref="Y975" si="3707">IFERROR((X976/X975),"0")</f>
        <v>0</v>
      </c>
      <c r="Z975" s="528"/>
      <c r="AA975" s="898">
        <v>0</v>
      </c>
      <c r="AB975" s="898">
        <v>0</v>
      </c>
      <c r="AC975" s="903">
        <v>0</v>
      </c>
      <c r="AD975" s="896" t="str">
        <f t="shared" ref="AD975" si="3708">IFERROR((AC975/AB975),"-")</f>
        <v>-</v>
      </c>
      <c r="AE975" s="2"/>
      <c r="AF975" s="884">
        <v>0</v>
      </c>
      <c r="AG975" s="884"/>
      <c r="AH975" s="884"/>
      <c r="AI975" s="884"/>
      <c r="AJ975" s="884"/>
      <c r="AK975" s="884">
        <f t="shared" ref="AK975" si="3709">AF975+AG975+AH975+AI975+AJ975+AC975</f>
        <v>0</v>
      </c>
      <c r="AL975" s="884">
        <v>0</v>
      </c>
      <c r="AM975" s="878" t="str">
        <f t="shared" ref="AM975" si="3710">IFERROR((AK975/AL975),"-")</f>
        <v>-</v>
      </c>
      <c r="AN975" s="2"/>
      <c r="AO975" s="884">
        <v>0.01</v>
      </c>
      <c r="AP975" s="884">
        <f t="shared" ref="AP975" si="3711">AO975-AK975</f>
        <v>0.01</v>
      </c>
      <c r="AU975" s="4"/>
      <c r="AV975" s="4" t="str">
        <f t="shared" si="3688"/>
        <v>Sobrelargura</v>
      </c>
      <c r="AW975" s="4" t="str">
        <f t="shared" si="3687"/>
        <v xml:space="preserve">   Remoção de sobrelargura</v>
      </c>
      <c r="AX975" s="4"/>
    </row>
    <row r="976" spans="1:50" ht="15.6" customHeight="1">
      <c r="A976" s="8" t="str">
        <f t="shared" ref="A976" si="3712">A975</f>
        <v>N</v>
      </c>
      <c r="B976" s="150"/>
      <c r="C976" s="150"/>
      <c r="D976" s="120" t="s">
        <v>596</v>
      </c>
      <c r="E976" s="893"/>
      <c r="F976" s="902"/>
      <c r="G976" s="528"/>
      <c r="H976" s="549" t="s">
        <v>38</v>
      </c>
      <c r="I976" s="711">
        <v>0</v>
      </c>
      <c r="J976" s="897"/>
      <c r="K976" s="528"/>
      <c r="L976" s="549" t="s">
        <v>38</v>
      </c>
      <c r="M976" s="711">
        <f t="shared" si="3696"/>
        <v>0</v>
      </c>
      <c r="N976" s="897"/>
      <c r="O976" s="528"/>
      <c r="P976" s="548"/>
      <c r="Q976" s="548"/>
      <c r="R976" s="548"/>
      <c r="S976" s="548"/>
      <c r="T976" s="547"/>
      <c r="U976" s="548"/>
      <c r="V976" s="548"/>
      <c r="W976" s="528"/>
      <c r="X976" s="711">
        <f t="shared" si="3690"/>
        <v>0</v>
      </c>
      <c r="Y976" s="897"/>
      <c r="Z976" s="528"/>
      <c r="AA976" s="899"/>
      <c r="AB976" s="899"/>
      <c r="AC976" s="904"/>
      <c r="AD976" s="905"/>
      <c r="AE976" s="2"/>
      <c r="AF976" s="885"/>
      <c r="AG976" s="885"/>
      <c r="AH976" s="885"/>
      <c r="AI976" s="885"/>
      <c r="AJ976" s="885"/>
      <c r="AK976" s="885"/>
      <c r="AL976" s="885"/>
      <c r="AM976" s="879"/>
      <c r="AN976" s="2"/>
      <c r="AO976" s="886"/>
      <c r="AP976" s="886"/>
      <c r="AU976" s="4"/>
      <c r="AV976" s="4" t="str">
        <f t="shared" si="3688"/>
        <v>Sobrelargura</v>
      </c>
      <c r="AW976" s="4" t="str">
        <f t="shared" si="3687"/>
        <v xml:space="preserve">   Remoção de sobrelargura</v>
      </c>
      <c r="AX976" s="4"/>
    </row>
    <row r="977" spans="1:50" ht="15.6" customHeight="1">
      <c r="A977" s="8" t="str">
        <f t="shared" ref="A977" si="3713">IF(SUM(P977:V978)&gt;0,"S","N")</f>
        <v>N</v>
      </c>
      <c r="B977" s="150">
        <v>1069807</v>
      </c>
      <c r="C977" s="150" t="s">
        <v>1309</v>
      </c>
      <c r="D977" s="120" t="s">
        <v>600</v>
      </c>
      <c r="E977" s="892" t="s">
        <v>1226</v>
      </c>
      <c r="F977" s="902" t="s">
        <v>36</v>
      </c>
      <c r="G977" s="528"/>
      <c r="H977" s="546" t="s">
        <v>37</v>
      </c>
      <c r="I977" s="711">
        <v>0</v>
      </c>
      <c r="J977" s="896" t="str">
        <f t="shared" ref="J977" si="3714">IFERROR((I978/I977),"-")</f>
        <v>-</v>
      </c>
      <c r="K977" s="528"/>
      <c r="L977" s="546" t="s">
        <v>37</v>
      </c>
      <c r="M977" s="711">
        <f t="shared" si="3696"/>
        <v>0</v>
      </c>
      <c r="N977" s="896" t="str">
        <f t="shared" ref="N977" si="3715">IFERROR((M978/M977),"-")</f>
        <v>-</v>
      </c>
      <c r="O977" s="528"/>
      <c r="P977" s="547">
        <v>0</v>
      </c>
      <c r="Q977" s="547">
        <v>0</v>
      </c>
      <c r="R977" s="547">
        <v>0</v>
      </c>
      <c r="S977" s="547">
        <v>0</v>
      </c>
      <c r="T977" s="547">
        <v>0</v>
      </c>
      <c r="U977" s="547">
        <v>0</v>
      </c>
      <c r="V977" s="548">
        <v>0</v>
      </c>
      <c r="W977" s="528"/>
      <c r="X977" s="711">
        <f t="shared" si="3690"/>
        <v>0</v>
      </c>
      <c r="Y977" s="896" t="str">
        <f t="shared" ref="Y977" si="3716">IFERROR((X978/X977),"0")</f>
        <v>0</v>
      </c>
      <c r="Z977" s="528"/>
      <c r="AA977" s="898">
        <v>0</v>
      </c>
      <c r="AB977" s="898">
        <v>0</v>
      </c>
      <c r="AC977" s="903">
        <v>0</v>
      </c>
      <c r="AD977" s="896" t="str">
        <f t="shared" ref="AD977" si="3717">IFERROR((AC977/AB977),"-")</f>
        <v>-</v>
      </c>
      <c r="AE977" s="2"/>
      <c r="AF977" s="884">
        <v>0</v>
      </c>
      <c r="AG977" s="884"/>
      <c r="AH977" s="884"/>
      <c r="AI977" s="884"/>
      <c r="AJ977" s="884"/>
      <c r="AK977" s="884">
        <f t="shared" ref="AK977" si="3718">AF977+AG977+AH977+AI977+AJ977+AC977</f>
        <v>0</v>
      </c>
      <c r="AL977" s="884">
        <v>0</v>
      </c>
      <c r="AM977" s="878" t="str">
        <f t="shared" ref="AM977" si="3719">IFERROR((AK977/AL977),"-")</f>
        <v>-</v>
      </c>
      <c r="AN977" s="2"/>
      <c r="AO977" s="884">
        <v>4345.4399999999996</v>
      </c>
      <c r="AP977" s="884">
        <f t="shared" ref="AP977" si="3720">AO977-AK977</f>
        <v>4345.4399999999996</v>
      </c>
      <c r="AU977" s="4"/>
      <c r="AV977" s="4" t="str">
        <f t="shared" si="3688"/>
        <v>Sobrelargura</v>
      </c>
      <c r="AW977" s="4" t="str">
        <f t="shared" si="3687"/>
        <v xml:space="preserve">   Remoção de sobrelargura</v>
      </c>
      <c r="AX977" s="4"/>
    </row>
    <row r="978" spans="1:50" ht="15.6" customHeight="1">
      <c r="A978" s="8" t="str">
        <f t="shared" ref="A978" si="3721">A977</f>
        <v>N</v>
      </c>
      <c r="B978" s="150"/>
      <c r="C978" s="150"/>
      <c r="D978" s="120" t="s">
        <v>600</v>
      </c>
      <c r="E978" s="893"/>
      <c r="F978" s="902"/>
      <c r="G978" s="528"/>
      <c r="H978" s="549" t="s">
        <v>38</v>
      </c>
      <c r="I978" s="711">
        <v>0</v>
      </c>
      <c r="J978" s="897"/>
      <c r="K978" s="528"/>
      <c r="L978" s="549" t="s">
        <v>38</v>
      </c>
      <c r="M978" s="711">
        <f t="shared" si="3696"/>
        <v>0</v>
      </c>
      <c r="N978" s="897"/>
      <c r="O978" s="528"/>
      <c r="P978" s="548"/>
      <c r="Q978" s="548"/>
      <c r="R978" s="548"/>
      <c r="S978" s="548"/>
      <c r="T978" s="547"/>
      <c r="U978" s="548"/>
      <c r="V978" s="548"/>
      <c r="W978" s="528"/>
      <c r="X978" s="711">
        <f t="shared" si="3690"/>
        <v>0</v>
      </c>
      <c r="Y978" s="897"/>
      <c r="Z978" s="528"/>
      <c r="AA978" s="899"/>
      <c r="AB978" s="899"/>
      <c r="AC978" s="904"/>
      <c r="AD978" s="905"/>
      <c r="AE978" s="2"/>
      <c r="AF978" s="885"/>
      <c r="AG978" s="885"/>
      <c r="AH978" s="885"/>
      <c r="AI978" s="885"/>
      <c r="AJ978" s="885"/>
      <c r="AK978" s="885"/>
      <c r="AL978" s="885"/>
      <c r="AM978" s="879"/>
      <c r="AN978" s="2"/>
      <c r="AO978" s="886"/>
      <c r="AP978" s="886"/>
      <c r="AU978" s="4"/>
      <c r="AV978" s="4" t="str">
        <f t="shared" si="3688"/>
        <v>Sobrelargura</v>
      </c>
      <c r="AW978" s="4" t="str">
        <f t="shared" si="3687"/>
        <v xml:space="preserve">   Remoção de sobrelargura</v>
      </c>
      <c r="AX978" s="4"/>
    </row>
    <row r="979" spans="1:50" ht="15.6" customHeight="1">
      <c r="A979" s="8" t="str">
        <f t="shared" ref="A979" si="3722">IF(SUM(P979:V980)&gt;0,"S","N")</f>
        <v>N</v>
      </c>
      <c r="B979" s="150">
        <v>1069808</v>
      </c>
      <c r="C979" s="150" t="s">
        <v>1310</v>
      </c>
      <c r="D979" s="120" t="s">
        <v>1311</v>
      </c>
      <c r="E979" s="892" t="s">
        <v>1226</v>
      </c>
      <c r="F979" s="902" t="s">
        <v>36</v>
      </c>
      <c r="G979" s="528"/>
      <c r="H979" s="546" t="s">
        <v>37</v>
      </c>
      <c r="I979" s="711">
        <v>0</v>
      </c>
      <c r="J979" s="896" t="str">
        <f t="shared" ref="J979" si="3723">IFERROR((I980/I979),"-")</f>
        <v>-</v>
      </c>
      <c r="K979" s="528"/>
      <c r="L979" s="546" t="s">
        <v>37</v>
      </c>
      <c r="M979" s="711">
        <f t="shared" si="3696"/>
        <v>0</v>
      </c>
      <c r="N979" s="896" t="str">
        <f t="shared" ref="N979" si="3724">IFERROR((M980/M979),"-")</f>
        <v>-</v>
      </c>
      <c r="O979" s="528"/>
      <c r="P979" s="547">
        <v>0</v>
      </c>
      <c r="Q979" s="547">
        <v>0</v>
      </c>
      <c r="R979" s="547">
        <v>0</v>
      </c>
      <c r="S979" s="547">
        <v>0</v>
      </c>
      <c r="T979" s="547">
        <v>0</v>
      </c>
      <c r="U979" s="547">
        <v>0</v>
      </c>
      <c r="V979" s="548">
        <v>0</v>
      </c>
      <c r="W979" s="528"/>
      <c r="X979" s="711">
        <f t="shared" si="3690"/>
        <v>0</v>
      </c>
      <c r="Y979" s="896" t="str">
        <f t="shared" ref="Y979" si="3725">IFERROR((X980/X979),"0")</f>
        <v>0</v>
      </c>
      <c r="Z979" s="528"/>
      <c r="AA979" s="898">
        <v>0</v>
      </c>
      <c r="AB979" s="898">
        <v>0</v>
      </c>
      <c r="AC979" s="903">
        <v>0</v>
      </c>
      <c r="AD979" s="896" t="str">
        <f t="shared" ref="AD979" si="3726">IFERROR((AC979/AB979),"-")</f>
        <v>-</v>
      </c>
      <c r="AE979" s="2"/>
      <c r="AF979" s="884">
        <v>0</v>
      </c>
      <c r="AG979" s="884"/>
      <c r="AH979" s="884"/>
      <c r="AI979" s="884"/>
      <c r="AJ979" s="884"/>
      <c r="AK979" s="884">
        <f t="shared" ref="AK979" si="3727">AF979+AG979+AH979+AI979+AJ979+AC979</f>
        <v>0</v>
      </c>
      <c r="AL979" s="884">
        <v>0</v>
      </c>
      <c r="AM979" s="878" t="str">
        <f t="shared" ref="AM979" si="3728">IFERROR((AK979/AL979),"-")</f>
        <v>-</v>
      </c>
      <c r="AN979" s="2"/>
      <c r="AO979" s="884">
        <v>1492.7</v>
      </c>
      <c r="AP979" s="884">
        <f t="shared" ref="AP979" si="3729">AO979-AK979</f>
        <v>1492.7</v>
      </c>
      <c r="AV979" t="str">
        <f t="shared" si="3688"/>
        <v>Sobrelargura</v>
      </c>
      <c r="AW979" s="4" t="str">
        <f t="shared" si="3687"/>
        <v xml:space="preserve">   Remoção de sobrelargura</v>
      </c>
    </row>
    <row r="980" spans="1:50" ht="21.6" customHeight="1">
      <c r="A980" s="8" t="str">
        <f t="shared" ref="A980" si="3730">A979</f>
        <v>N</v>
      </c>
      <c r="B980" s="150"/>
      <c r="C980" s="150"/>
      <c r="D980" s="120" t="s">
        <v>1311</v>
      </c>
      <c r="E980" s="893"/>
      <c r="F980" s="902"/>
      <c r="G980" s="528"/>
      <c r="H980" s="549" t="s">
        <v>38</v>
      </c>
      <c r="I980" s="711">
        <v>0</v>
      </c>
      <c r="J980" s="897"/>
      <c r="K980" s="528"/>
      <c r="L980" s="549" t="s">
        <v>38</v>
      </c>
      <c r="M980" s="711">
        <f t="shared" si="3696"/>
        <v>0</v>
      </c>
      <c r="N980" s="897"/>
      <c r="O980" s="528"/>
      <c r="P980" s="548"/>
      <c r="Q980" s="548"/>
      <c r="R980" s="548"/>
      <c r="S980" s="548"/>
      <c r="T980" s="547"/>
      <c r="U980" s="548"/>
      <c r="V980" s="548"/>
      <c r="W980" s="528"/>
      <c r="X980" s="711">
        <f t="shared" si="3690"/>
        <v>0</v>
      </c>
      <c r="Y980" s="897"/>
      <c r="Z980" s="528"/>
      <c r="AA980" s="899"/>
      <c r="AB980" s="899"/>
      <c r="AC980" s="904"/>
      <c r="AD980" s="905"/>
      <c r="AE980" s="2"/>
      <c r="AF980" s="885"/>
      <c r="AG980" s="885"/>
      <c r="AH980" s="885"/>
      <c r="AI980" s="885"/>
      <c r="AJ980" s="885"/>
      <c r="AK980" s="885"/>
      <c r="AL980" s="885"/>
      <c r="AM980" s="879"/>
      <c r="AN980" s="2"/>
      <c r="AO980" s="886"/>
      <c r="AP980" s="886"/>
      <c r="AV980" s="4" t="str">
        <f t="shared" si="3688"/>
        <v>Sobrelargura</v>
      </c>
      <c r="AW980" s="4" t="str">
        <f t="shared" si="3687"/>
        <v xml:space="preserve">   Remoção de sobrelargura</v>
      </c>
      <c r="AX980" s="4"/>
    </row>
    <row r="981" spans="1:50" ht="21.6" customHeight="1">
      <c r="A981" s="8" t="str">
        <f t="shared" ref="A981" si="3731">IF(SUM(P981:V982)&gt;0,"S","N")</f>
        <v>N</v>
      </c>
      <c r="B981" s="150">
        <v>1069809</v>
      </c>
      <c r="C981" s="150" t="s">
        <v>1312</v>
      </c>
      <c r="D981" s="120" t="s">
        <v>1313</v>
      </c>
      <c r="E981" s="892" t="s">
        <v>1226</v>
      </c>
      <c r="F981" s="902" t="s">
        <v>36</v>
      </c>
      <c r="G981" s="528"/>
      <c r="H981" s="546" t="s">
        <v>37</v>
      </c>
      <c r="I981" s="711">
        <v>0</v>
      </c>
      <c r="J981" s="896" t="str">
        <f t="shared" ref="J981" si="3732">IFERROR((I982/I981),"-")</f>
        <v>-</v>
      </c>
      <c r="K981" s="528"/>
      <c r="L981" s="546" t="s">
        <v>37</v>
      </c>
      <c r="M981" s="711">
        <f t="shared" si="3696"/>
        <v>0</v>
      </c>
      <c r="N981" s="896" t="str">
        <f t="shared" ref="N981" si="3733">IFERROR((M982/M981),"-")</f>
        <v>-</v>
      </c>
      <c r="O981" s="528"/>
      <c r="P981" s="547">
        <v>0</v>
      </c>
      <c r="Q981" s="547">
        <v>0</v>
      </c>
      <c r="R981" s="547">
        <v>0</v>
      </c>
      <c r="S981" s="547">
        <v>0</v>
      </c>
      <c r="T981" s="547">
        <v>0</v>
      </c>
      <c r="U981" s="547">
        <v>0</v>
      </c>
      <c r="V981" s="548">
        <v>0</v>
      </c>
      <c r="W981" s="528"/>
      <c r="X981" s="711">
        <f t="shared" si="3690"/>
        <v>0</v>
      </c>
      <c r="Y981" s="896" t="str">
        <f t="shared" ref="Y981" si="3734">IFERROR((X982/X981),"0")</f>
        <v>0</v>
      </c>
      <c r="Z981" s="528"/>
      <c r="AA981" s="898">
        <v>0</v>
      </c>
      <c r="AB981" s="898">
        <v>0</v>
      </c>
      <c r="AC981" s="903">
        <v>0</v>
      </c>
      <c r="AD981" s="896" t="str">
        <f t="shared" ref="AD981" si="3735">IFERROR((AC981/AB981),"-")</f>
        <v>-</v>
      </c>
      <c r="AE981" s="2"/>
      <c r="AF981" s="884">
        <v>0</v>
      </c>
      <c r="AG981" s="884"/>
      <c r="AH981" s="884"/>
      <c r="AI981" s="884"/>
      <c r="AJ981" s="884"/>
      <c r="AK981" s="884">
        <f t="shared" ref="AK981" si="3736">AF981+AG981+AH981+AI981+AJ981+AC981</f>
        <v>0</v>
      </c>
      <c r="AL981" s="884">
        <v>0</v>
      </c>
      <c r="AM981" s="878" t="str">
        <f t="shared" ref="AM981" si="3737">IFERROR((AK981/AL981),"-")</f>
        <v>-</v>
      </c>
      <c r="AN981" s="2"/>
      <c r="AO981" s="884">
        <v>2376.58</v>
      </c>
      <c r="AP981" s="884">
        <f t="shared" ref="AP981" si="3738">AO981-AK981</f>
        <v>2376.58</v>
      </c>
      <c r="AV981" s="4" t="str">
        <f t="shared" ref="AV981:AV992" si="3739">IF(AX981="Y",LEFT(E981,20),IF(AX981="x",E981,AV980))</f>
        <v>Sobrelargura</v>
      </c>
      <c r="AW981" s="4" t="str">
        <f t="shared" ref="AW981:AW992" si="3740">IF(E981&lt;&gt;"",E981,AW980)</f>
        <v xml:space="preserve">   Remoção de sobrelargura</v>
      </c>
      <c r="AX981" s="4"/>
    </row>
    <row r="982" spans="1:50" ht="15.6" customHeight="1">
      <c r="A982" s="8" t="str">
        <f t="shared" ref="A982" si="3741">A981</f>
        <v>N</v>
      </c>
      <c r="B982" s="150"/>
      <c r="C982" s="150"/>
      <c r="D982" s="120" t="s">
        <v>1313</v>
      </c>
      <c r="E982" s="893"/>
      <c r="F982" s="902"/>
      <c r="G982" s="528"/>
      <c r="H982" s="549" t="s">
        <v>38</v>
      </c>
      <c r="I982" s="711">
        <v>0</v>
      </c>
      <c r="J982" s="897"/>
      <c r="K982" s="528"/>
      <c r="L982" s="549" t="s">
        <v>38</v>
      </c>
      <c r="M982" s="711">
        <f t="shared" si="3696"/>
        <v>0</v>
      </c>
      <c r="N982" s="897"/>
      <c r="O982" s="528"/>
      <c r="P982" s="548"/>
      <c r="Q982" s="548"/>
      <c r="R982" s="548"/>
      <c r="S982" s="548"/>
      <c r="T982" s="547"/>
      <c r="U982" s="548"/>
      <c r="V982" s="548"/>
      <c r="W982" s="528"/>
      <c r="X982" s="711">
        <f t="shared" si="3690"/>
        <v>0</v>
      </c>
      <c r="Y982" s="897"/>
      <c r="Z982" s="528"/>
      <c r="AA982" s="899"/>
      <c r="AB982" s="899"/>
      <c r="AC982" s="904"/>
      <c r="AD982" s="905"/>
      <c r="AE982" s="2"/>
      <c r="AF982" s="885"/>
      <c r="AG982" s="885"/>
      <c r="AH982" s="885"/>
      <c r="AI982" s="885"/>
      <c r="AJ982" s="885"/>
      <c r="AK982" s="885"/>
      <c r="AL982" s="885"/>
      <c r="AM982" s="879"/>
      <c r="AN982" s="2"/>
      <c r="AO982" s="886"/>
      <c r="AP982" s="886"/>
      <c r="AU982" s="4"/>
      <c r="AV982" s="4" t="str">
        <f t="shared" si="3739"/>
        <v>Sobrelargura</v>
      </c>
      <c r="AW982" s="4" t="str">
        <f t="shared" si="3740"/>
        <v xml:space="preserve">   Remoção de sobrelargura</v>
      </c>
      <c r="AX982" s="4"/>
    </row>
    <row r="983" spans="1:50" ht="15.6" customHeight="1">
      <c r="A983" s="8" t="str">
        <f t="shared" ref="A983" si="3742">IF(SUM(P983:V984)&gt;0,"S","N")</f>
        <v>N</v>
      </c>
      <c r="B983" s="150">
        <v>1069810</v>
      </c>
      <c r="C983" s="150" t="s">
        <v>1314</v>
      </c>
      <c r="D983" s="120" t="s">
        <v>1315</v>
      </c>
      <c r="E983" s="892" t="s">
        <v>1226</v>
      </c>
      <c r="F983" s="902" t="s">
        <v>36</v>
      </c>
      <c r="G983" s="528"/>
      <c r="H983" s="546" t="s">
        <v>37</v>
      </c>
      <c r="I983" s="711">
        <v>0</v>
      </c>
      <c r="J983" s="896" t="str">
        <f t="shared" ref="J983" si="3743">IFERROR((I984/I983),"-")</f>
        <v>-</v>
      </c>
      <c r="K983" s="528"/>
      <c r="L983" s="546" t="s">
        <v>37</v>
      </c>
      <c r="M983" s="711">
        <f t="shared" si="3696"/>
        <v>0</v>
      </c>
      <c r="N983" s="896" t="str">
        <f t="shared" ref="N983" si="3744">IFERROR((M984/M983),"-")</f>
        <v>-</v>
      </c>
      <c r="O983" s="528"/>
      <c r="P983" s="547">
        <v>0</v>
      </c>
      <c r="Q983" s="547">
        <v>0</v>
      </c>
      <c r="R983" s="547">
        <v>0</v>
      </c>
      <c r="S983" s="547">
        <v>0</v>
      </c>
      <c r="T983" s="547">
        <v>0</v>
      </c>
      <c r="U983" s="547">
        <v>0</v>
      </c>
      <c r="V983" s="548">
        <v>0</v>
      </c>
      <c r="W983" s="528"/>
      <c r="X983" s="711">
        <f t="shared" si="3690"/>
        <v>0</v>
      </c>
      <c r="Y983" s="896" t="str">
        <f t="shared" ref="Y983" si="3745">IFERROR((X984/X983),"0")</f>
        <v>0</v>
      </c>
      <c r="Z983" s="528"/>
      <c r="AA983" s="898">
        <v>0</v>
      </c>
      <c r="AB983" s="898">
        <v>0</v>
      </c>
      <c r="AC983" s="903">
        <v>0</v>
      </c>
      <c r="AD983" s="896" t="str">
        <f t="shared" ref="AD983" si="3746">IFERROR((AC983/AB983),"-")</f>
        <v>-</v>
      </c>
      <c r="AE983" s="2"/>
      <c r="AF983" s="884">
        <v>0</v>
      </c>
      <c r="AG983" s="884"/>
      <c r="AH983" s="884"/>
      <c r="AI983" s="884"/>
      <c r="AJ983" s="884"/>
      <c r="AK983" s="884">
        <f t="shared" ref="AK983" si="3747">AF983+AG983+AH983+AI983+AJ983+AC983</f>
        <v>0</v>
      </c>
      <c r="AL983" s="884">
        <v>0</v>
      </c>
      <c r="AM983" s="878" t="str">
        <f t="shared" ref="AM983" si="3748">IFERROR((AK983/AL983),"-")</f>
        <v>-</v>
      </c>
      <c r="AN983" s="2"/>
      <c r="AO983" s="884">
        <v>4899.2</v>
      </c>
      <c r="AP983" s="884">
        <f t="shared" ref="AP983" si="3749">AO983-AK983</f>
        <v>4899.2</v>
      </c>
      <c r="AU983" s="4"/>
      <c r="AV983" s="4" t="str">
        <f t="shared" si="3739"/>
        <v>Sobrelargura</v>
      </c>
      <c r="AW983" s="4" t="str">
        <f t="shared" si="3740"/>
        <v xml:space="preserve">   Remoção de sobrelargura</v>
      </c>
      <c r="AX983" s="4"/>
    </row>
    <row r="984" spans="1:50" ht="15.6" customHeight="1">
      <c r="A984" s="8" t="str">
        <f t="shared" ref="A984" si="3750">A983</f>
        <v>N</v>
      </c>
      <c r="B984" s="150"/>
      <c r="C984" s="150"/>
      <c r="D984" s="120" t="s">
        <v>1315</v>
      </c>
      <c r="E984" s="893"/>
      <c r="F984" s="902"/>
      <c r="G984" s="528"/>
      <c r="H984" s="549" t="s">
        <v>38</v>
      </c>
      <c r="I984" s="711">
        <v>0</v>
      </c>
      <c r="J984" s="897"/>
      <c r="K984" s="528"/>
      <c r="L984" s="549" t="s">
        <v>38</v>
      </c>
      <c r="M984" s="711">
        <f t="shared" si="3696"/>
        <v>0</v>
      </c>
      <c r="N984" s="897"/>
      <c r="O984" s="528"/>
      <c r="P984" s="548"/>
      <c r="Q984" s="548"/>
      <c r="R984" s="548"/>
      <c r="S984" s="548"/>
      <c r="T984" s="547"/>
      <c r="U984" s="548"/>
      <c r="V984" s="548"/>
      <c r="W984" s="528"/>
      <c r="X984" s="711">
        <f t="shared" si="3690"/>
        <v>0</v>
      </c>
      <c r="Y984" s="897"/>
      <c r="Z984" s="528"/>
      <c r="AA984" s="899"/>
      <c r="AB984" s="899"/>
      <c r="AC984" s="904"/>
      <c r="AD984" s="905"/>
      <c r="AE984" s="2"/>
      <c r="AF984" s="885"/>
      <c r="AG984" s="885"/>
      <c r="AH984" s="885"/>
      <c r="AI984" s="885"/>
      <c r="AJ984" s="885"/>
      <c r="AK984" s="885"/>
      <c r="AL984" s="885"/>
      <c r="AM984" s="879"/>
      <c r="AN984" s="2"/>
      <c r="AO984" s="886"/>
      <c r="AP984" s="886"/>
      <c r="AU984" s="4"/>
      <c r="AV984" s="4" t="str">
        <f t="shared" si="3739"/>
        <v>Sobrelargura</v>
      </c>
      <c r="AW984" s="4" t="str">
        <f t="shared" si="3740"/>
        <v xml:space="preserve">   Remoção de sobrelargura</v>
      </c>
      <c r="AX984" s="4"/>
    </row>
    <row r="985" spans="1:50" ht="15.6" customHeight="1">
      <c r="A985" s="8" t="str">
        <f t="shared" ref="A985" si="3751">IF(SUM(P985:V986)&gt;0,"S","N")</f>
        <v>N</v>
      </c>
      <c r="B985" s="150">
        <v>1069811</v>
      </c>
      <c r="C985" s="150" t="s">
        <v>1316</v>
      </c>
      <c r="D985" s="120" t="s">
        <v>1317</v>
      </c>
      <c r="E985" s="892" t="s">
        <v>1226</v>
      </c>
      <c r="F985" s="902" t="s">
        <v>36</v>
      </c>
      <c r="G985" s="528"/>
      <c r="H985" s="546" t="s">
        <v>37</v>
      </c>
      <c r="I985" s="711">
        <v>0</v>
      </c>
      <c r="J985" s="896" t="str">
        <f t="shared" ref="J985" si="3752">IFERROR((I986/I985),"-")</f>
        <v>-</v>
      </c>
      <c r="K985" s="528"/>
      <c r="L985" s="546" t="s">
        <v>37</v>
      </c>
      <c r="M985" s="711">
        <f t="shared" si="3696"/>
        <v>0</v>
      </c>
      <c r="N985" s="896" t="str">
        <f t="shared" ref="N985" si="3753">IFERROR((M986/M985),"-")</f>
        <v>-</v>
      </c>
      <c r="O985" s="528"/>
      <c r="P985" s="547">
        <v>0</v>
      </c>
      <c r="Q985" s="547">
        <v>0</v>
      </c>
      <c r="R985" s="547">
        <v>0</v>
      </c>
      <c r="S985" s="547">
        <v>0</v>
      </c>
      <c r="T985" s="547">
        <v>0</v>
      </c>
      <c r="U985" s="547">
        <v>0</v>
      </c>
      <c r="V985" s="548">
        <v>0</v>
      </c>
      <c r="W985" s="528"/>
      <c r="X985" s="711">
        <f t="shared" si="3690"/>
        <v>0</v>
      </c>
      <c r="Y985" s="896" t="str">
        <f t="shared" ref="Y985" si="3754">IFERROR((X986/X985),"0")</f>
        <v>0</v>
      </c>
      <c r="Z985" s="528"/>
      <c r="AA985" s="898">
        <v>0</v>
      </c>
      <c r="AB985" s="898">
        <v>0</v>
      </c>
      <c r="AC985" s="903">
        <v>0</v>
      </c>
      <c r="AD985" s="896" t="str">
        <f t="shared" ref="AD985" si="3755">IFERROR((AC985/AB985),"-")</f>
        <v>-</v>
      </c>
      <c r="AE985" s="2"/>
      <c r="AF985" s="884">
        <v>0</v>
      </c>
      <c r="AG985" s="884"/>
      <c r="AH985" s="884"/>
      <c r="AI985" s="884"/>
      <c r="AJ985" s="884"/>
      <c r="AK985" s="884">
        <f t="shared" ref="AK985" si="3756">AF985+AG985+AH985+AI985+AJ985+AC985</f>
        <v>0</v>
      </c>
      <c r="AL985" s="884">
        <v>0</v>
      </c>
      <c r="AM985" s="878" t="str">
        <f t="shared" ref="AM985" si="3757">IFERROR((AK985/AL985),"-")</f>
        <v>-</v>
      </c>
      <c r="AN985" s="2"/>
      <c r="AO985" s="884">
        <v>78.959999999999994</v>
      </c>
      <c r="AP985" s="884">
        <f t="shared" ref="AP985" si="3758">AO985-AK985</f>
        <v>78.959999999999994</v>
      </c>
      <c r="AU985" s="4"/>
      <c r="AV985" s="4" t="str">
        <f t="shared" si="3739"/>
        <v>Sobrelargura</v>
      </c>
      <c r="AW985" s="4" t="str">
        <f t="shared" si="3740"/>
        <v xml:space="preserve">   Remoção de sobrelargura</v>
      </c>
      <c r="AX985" s="4"/>
    </row>
    <row r="986" spans="1:50" ht="35.25" customHeight="1">
      <c r="A986" s="8" t="str">
        <f t="shared" ref="A986" si="3759">A985</f>
        <v>N</v>
      </c>
      <c r="B986" s="150"/>
      <c r="C986" s="150"/>
      <c r="D986" s="120" t="s">
        <v>1317</v>
      </c>
      <c r="E986" s="893"/>
      <c r="F986" s="902"/>
      <c r="G986" s="528"/>
      <c r="H986" s="549" t="s">
        <v>38</v>
      </c>
      <c r="I986" s="711">
        <v>0</v>
      </c>
      <c r="J986" s="897"/>
      <c r="K986" s="528"/>
      <c r="L986" s="549" t="s">
        <v>38</v>
      </c>
      <c r="M986" s="711">
        <f t="shared" si="3696"/>
        <v>0</v>
      </c>
      <c r="N986" s="897"/>
      <c r="O986" s="528"/>
      <c r="P986" s="548"/>
      <c r="Q986" s="548"/>
      <c r="R986" s="548"/>
      <c r="S986" s="548"/>
      <c r="T986" s="547"/>
      <c r="U986" s="548"/>
      <c r="V986" s="548"/>
      <c r="W986" s="528"/>
      <c r="X986" s="711">
        <f t="shared" si="3690"/>
        <v>0</v>
      </c>
      <c r="Y986" s="897"/>
      <c r="Z986" s="528"/>
      <c r="AA986" s="899"/>
      <c r="AB986" s="899"/>
      <c r="AC986" s="904"/>
      <c r="AD986" s="905"/>
      <c r="AE986" s="2"/>
      <c r="AF986" s="885"/>
      <c r="AG986" s="885"/>
      <c r="AH986" s="885"/>
      <c r="AI986" s="885"/>
      <c r="AJ986" s="885"/>
      <c r="AK986" s="885"/>
      <c r="AL986" s="885"/>
      <c r="AM986" s="879"/>
      <c r="AN986" s="2"/>
      <c r="AO986" s="886"/>
      <c r="AP986" s="886"/>
      <c r="AU986" s="4"/>
      <c r="AV986" s="4" t="str">
        <f t="shared" si="3739"/>
        <v>Sobrelargura</v>
      </c>
      <c r="AW986" s="4" t="str">
        <f t="shared" si="3740"/>
        <v xml:space="preserve">   Remoção de sobrelargura</v>
      </c>
      <c r="AX986" s="4"/>
    </row>
    <row r="987" spans="1:50" ht="35.25" customHeight="1">
      <c r="A987" s="8" t="str">
        <f t="shared" ref="A987" si="3760">IF(SUM(P987:V988)&gt;0,"S","N")</f>
        <v>N</v>
      </c>
      <c r="B987" s="150">
        <v>1069812</v>
      </c>
      <c r="C987" s="150" t="s">
        <v>1318</v>
      </c>
      <c r="D987" s="120" t="s">
        <v>582</v>
      </c>
      <c r="E987" s="892" t="s">
        <v>1226</v>
      </c>
      <c r="F987" s="902" t="s">
        <v>36</v>
      </c>
      <c r="G987" s="528"/>
      <c r="H987" s="546" t="s">
        <v>37</v>
      </c>
      <c r="I987" s="711">
        <v>0</v>
      </c>
      <c r="J987" s="896" t="str">
        <f t="shared" ref="J987" si="3761">IFERROR((I988/I987),"-")</f>
        <v>-</v>
      </c>
      <c r="K987" s="528"/>
      <c r="L987" s="546" t="s">
        <v>37</v>
      </c>
      <c r="M987" s="711">
        <f t="shared" si="3696"/>
        <v>0</v>
      </c>
      <c r="N987" s="896" t="str">
        <f t="shared" ref="N987" si="3762">IFERROR((M988/M987),"-")</f>
        <v>-</v>
      </c>
      <c r="O987" s="528"/>
      <c r="P987" s="547">
        <v>0</v>
      </c>
      <c r="Q987" s="547">
        <v>0</v>
      </c>
      <c r="R987" s="547">
        <v>0</v>
      </c>
      <c r="S987" s="547">
        <v>0</v>
      </c>
      <c r="T987" s="547">
        <v>0</v>
      </c>
      <c r="U987" s="547">
        <v>0</v>
      </c>
      <c r="V987" s="548">
        <v>0</v>
      </c>
      <c r="W987" s="528"/>
      <c r="X987" s="711">
        <f t="shared" si="3690"/>
        <v>0</v>
      </c>
      <c r="Y987" s="896" t="str">
        <f t="shared" ref="Y987" si="3763">IFERROR((X988/X987),"0")</f>
        <v>0</v>
      </c>
      <c r="Z987" s="528"/>
      <c r="AA987" s="898">
        <v>0</v>
      </c>
      <c r="AB987" s="898">
        <v>0</v>
      </c>
      <c r="AC987" s="903">
        <v>0</v>
      </c>
      <c r="AD987" s="896" t="str">
        <f t="shared" ref="AD987" si="3764">IFERROR((AC987/AB987),"-")</f>
        <v>-</v>
      </c>
      <c r="AE987" s="2"/>
      <c r="AF987" s="884">
        <v>0</v>
      </c>
      <c r="AG987" s="884"/>
      <c r="AH987" s="884"/>
      <c r="AI987" s="884"/>
      <c r="AJ987" s="884"/>
      <c r="AK987" s="884">
        <f t="shared" ref="AK987" si="3765">AF987+AG987+AH987+AI987+AJ987+AC987</f>
        <v>0</v>
      </c>
      <c r="AL987" s="884">
        <v>0</v>
      </c>
      <c r="AM987" s="878" t="str">
        <f t="shared" ref="AM987" si="3766">IFERROR((AK987/AL987),"-")</f>
        <v>-</v>
      </c>
      <c r="AN987" s="2"/>
      <c r="AO987" s="884">
        <v>78.959999999999994</v>
      </c>
      <c r="AP987" s="884">
        <f t="shared" ref="AP987" si="3767">AO987-AK987</f>
        <v>78.959999999999994</v>
      </c>
      <c r="AU987" s="4"/>
      <c r="AV987" s="4" t="str">
        <f t="shared" si="3739"/>
        <v>Sobrelargura</v>
      </c>
      <c r="AW987" s="4" t="str">
        <f t="shared" si="3740"/>
        <v xml:space="preserve">   Remoção de sobrelargura</v>
      </c>
      <c r="AX987" s="4"/>
    </row>
    <row r="988" spans="1:50" ht="15.6" customHeight="1">
      <c r="A988" s="8" t="str">
        <f t="shared" ref="A988" si="3768">A987</f>
        <v>N</v>
      </c>
      <c r="B988" s="150"/>
      <c r="C988" s="150"/>
      <c r="D988" s="120" t="s">
        <v>582</v>
      </c>
      <c r="E988" s="893"/>
      <c r="F988" s="902"/>
      <c r="G988" s="528"/>
      <c r="H988" s="549" t="s">
        <v>38</v>
      </c>
      <c r="I988" s="711">
        <v>0</v>
      </c>
      <c r="J988" s="897"/>
      <c r="K988" s="528"/>
      <c r="L988" s="549" t="s">
        <v>38</v>
      </c>
      <c r="M988" s="711">
        <f t="shared" si="3696"/>
        <v>0</v>
      </c>
      <c r="N988" s="897"/>
      <c r="O988" s="528"/>
      <c r="P988" s="548"/>
      <c r="Q988" s="548"/>
      <c r="R988" s="548"/>
      <c r="S988" s="548"/>
      <c r="T988" s="547"/>
      <c r="U988" s="548"/>
      <c r="V988" s="548"/>
      <c r="W988" s="528"/>
      <c r="X988" s="711">
        <f t="shared" si="3690"/>
        <v>0</v>
      </c>
      <c r="Y988" s="897"/>
      <c r="Z988" s="528"/>
      <c r="AA988" s="899"/>
      <c r="AB988" s="899"/>
      <c r="AC988" s="904"/>
      <c r="AD988" s="905"/>
      <c r="AE988" s="2"/>
      <c r="AF988" s="885"/>
      <c r="AG988" s="885"/>
      <c r="AH988" s="885"/>
      <c r="AI988" s="885"/>
      <c r="AJ988" s="885"/>
      <c r="AK988" s="885"/>
      <c r="AL988" s="885"/>
      <c r="AM988" s="879"/>
      <c r="AN988" s="2"/>
      <c r="AO988" s="886"/>
      <c r="AP988" s="886"/>
      <c r="AU988" s="4"/>
      <c r="AV988" s="4" t="str">
        <f t="shared" si="3739"/>
        <v>Sobrelargura</v>
      </c>
      <c r="AW988" s="4" t="str">
        <f t="shared" si="3740"/>
        <v xml:space="preserve">   Remoção de sobrelargura</v>
      </c>
      <c r="AX988" s="4"/>
    </row>
    <row r="989" spans="1:50" ht="15.6" customHeight="1">
      <c r="A989" s="8" t="str">
        <f t="shared" ref="A989" si="3769">IF(SUM(P989:V990)&gt;0,"S","N")</f>
        <v>N</v>
      </c>
      <c r="B989" s="150">
        <v>1069813</v>
      </c>
      <c r="C989" s="150" t="s">
        <v>1319</v>
      </c>
      <c r="D989" s="120" t="s">
        <v>586</v>
      </c>
      <c r="E989" s="892" t="s">
        <v>1226</v>
      </c>
      <c r="F989" s="902" t="s">
        <v>36</v>
      </c>
      <c r="G989" s="528"/>
      <c r="H989" s="546" t="s">
        <v>37</v>
      </c>
      <c r="I989" s="711">
        <v>0</v>
      </c>
      <c r="J989" s="896" t="str">
        <f t="shared" ref="J989" si="3770">IFERROR((I990/I989),"-")</f>
        <v>-</v>
      </c>
      <c r="K989" s="528"/>
      <c r="L989" s="546" t="s">
        <v>37</v>
      </c>
      <c r="M989" s="711">
        <f t="shared" si="3696"/>
        <v>0</v>
      </c>
      <c r="N989" s="896" t="str">
        <f t="shared" ref="N989" si="3771">IFERROR((M990/M989),"-")</f>
        <v>-</v>
      </c>
      <c r="O989" s="528"/>
      <c r="P989" s="547">
        <v>0</v>
      </c>
      <c r="Q989" s="547">
        <v>0</v>
      </c>
      <c r="R989" s="547">
        <v>0</v>
      </c>
      <c r="S989" s="547">
        <v>0</v>
      </c>
      <c r="T989" s="547">
        <v>0</v>
      </c>
      <c r="U989" s="547">
        <v>0</v>
      </c>
      <c r="V989" s="548">
        <v>0</v>
      </c>
      <c r="W989" s="528"/>
      <c r="X989" s="711">
        <f t="shared" si="3690"/>
        <v>0</v>
      </c>
      <c r="Y989" s="896" t="str">
        <f t="shared" ref="Y989" si="3772">IFERROR((X990/X989),"0")</f>
        <v>0</v>
      </c>
      <c r="Z989" s="528"/>
      <c r="AA989" s="898">
        <v>0</v>
      </c>
      <c r="AB989" s="898">
        <v>0</v>
      </c>
      <c r="AC989" s="903">
        <v>0</v>
      </c>
      <c r="AD989" s="896" t="str">
        <f t="shared" ref="AD989" si="3773">IFERROR((AC989/AB989),"-")</f>
        <v>-</v>
      </c>
      <c r="AE989" s="2"/>
      <c r="AF989" s="884">
        <v>0</v>
      </c>
      <c r="AG989" s="884"/>
      <c r="AH989" s="884"/>
      <c r="AI989" s="884"/>
      <c r="AJ989" s="884"/>
      <c r="AK989" s="884">
        <f t="shared" ref="AK989" si="3774">AF989+AG989+AH989+AI989+AJ989+AC989</f>
        <v>0</v>
      </c>
      <c r="AL989" s="884">
        <v>0</v>
      </c>
      <c r="AM989" s="878" t="str">
        <f t="shared" ref="AM989" si="3775">IFERROR((AK989/AL989),"-")</f>
        <v>-</v>
      </c>
      <c r="AN989" s="2"/>
      <c r="AO989" s="884">
        <v>1569.71</v>
      </c>
      <c r="AP989" s="884">
        <f t="shared" ref="AP989" si="3776">AO989-AK989</f>
        <v>1569.71</v>
      </c>
      <c r="AU989" s="4"/>
      <c r="AV989" s="4" t="str">
        <f t="shared" si="3739"/>
        <v>Sobrelargura</v>
      </c>
      <c r="AW989" s="4" t="str">
        <f t="shared" si="3740"/>
        <v xml:space="preserve">   Remoção de sobrelargura</v>
      </c>
      <c r="AX989" s="4"/>
    </row>
    <row r="990" spans="1:50" ht="29.25" customHeight="1">
      <c r="A990" s="8" t="str">
        <f t="shared" ref="A990" si="3777">A989</f>
        <v>N</v>
      </c>
      <c r="B990" s="150"/>
      <c r="C990" s="150"/>
      <c r="D990" s="120" t="s">
        <v>586</v>
      </c>
      <c r="E990" s="893"/>
      <c r="F990" s="902"/>
      <c r="G990" s="528"/>
      <c r="H990" s="549" t="s">
        <v>38</v>
      </c>
      <c r="I990" s="711">
        <v>0</v>
      </c>
      <c r="J990" s="897"/>
      <c r="K990" s="528"/>
      <c r="L990" s="549" t="s">
        <v>38</v>
      </c>
      <c r="M990" s="711">
        <f t="shared" si="3696"/>
        <v>0</v>
      </c>
      <c r="N990" s="897"/>
      <c r="O990" s="528"/>
      <c r="P990" s="548"/>
      <c r="Q990" s="548"/>
      <c r="R990" s="548"/>
      <c r="S990" s="548"/>
      <c r="T990" s="547"/>
      <c r="U990" s="548"/>
      <c r="V990" s="548"/>
      <c r="W990" s="528"/>
      <c r="X990" s="711">
        <f t="shared" si="3690"/>
        <v>0</v>
      </c>
      <c r="Y990" s="897"/>
      <c r="Z990" s="528"/>
      <c r="AA990" s="899"/>
      <c r="AB990" s="899"/>
      <c r="AC990" s="904"/>
      <c r="AD990" s="905"/>
      <c r="AE990" s="2"/>
      <c r="AF990" s="885"/>
      <c r="AG990" s="885"/>
      <c r="AH990" s="885"/>
      <c r="AI990" s="885"/>
      <c r="AJ990" s="885"/>
      <c r="AK990" s="885"/>
      <c r="AL990" s="885"/>
      <c r="AM990" s="879"/>
      <c r="AN990" s="2"/>
      <c r="AO990" s="886"/>
      <c r="AP990" s="886"/>
      <c r="AU990" s="4"/>
      <c r="AV990" s="4" t="str">
        <f t="shared" si="3739"/>
        <v>Sobrelargura</v>
      </c>
      <c r="AW990" s="4" t="str">
        <f t="shared" si="3740"/>
        <v xml:space="preserve">   Remoção de sobrelargura</v>
      </c>
      <c r="AX990" s="4"/>
    </row>
    <row r="991" spans="1:50" ht="29.25" customHeight="1">
      <c r="A991" s="8" t="str">
        <f t="shared" ref="A991" si="3778">IF(SUM(P991:V992)&gt;0,"S","N")</f>
        <v>N</v>
      </c>
      <c r="B991" s="150" t="s">
        <v>266</v>
      </c>
      <c r="C991" s="150" t="s">
        <v>266</v>
      </c>
      <c r="D991" s="120" t="s">
        <v>266</v>
      </c>
      <c r="E991" s="892"/>
      <c r="F991" s="902" t="s">
        <v>36</v>
      </c>
      <c r="G991" s="528"/>
      <c r="H991" s="546" t="s">
        <v>37</v>
      </c>
      <c r="I991" s="711">
        <v>0</v>
      </c>
      <c r="J991" s="896" t="str">
        <f t="shared" ref="J991" si="3779">IFERROR((I992/I991),"-")</f>
        <v>-</v>
      </c>
      <c r="K991" s="528"/>
      <c r="L991" s="546" t="s">
        <v>37</v>
      </c>
      <c r="M991" s="711">
        <f t="shared" si="3696"/>
        <v>0</v>
      </c>
      <c r="N991" s="896" t="str">
        <f t="shared" ref="N991" si="3780">IFERROR((M992/M991),"-")</f>
        <v>-</v>
      </c>
      <c r="O991" s="528"/>
      <c r="P991" s="547">
        <v>0</v>
      </c>
      <c r="Q991" s="547">
        <v>0</v>
      </c>
      <c r="R991" s="547">
        <v>0</v>
      </c>
      <c r="S991" s="547">
        <v>0</v>
      </c>
      <c r="T991" s="547">
        <v>0</v>
      </c>
      <c r="U991" s="547">
        <v>0</v>
      </c>
      <c r="V991" s="548">
        <v>0</v>
      </c>
      <c r="W991" s="528"/>
      <c r="X991" s="711">
        <f t="shared" si="3690"/>
        <v>0</v>
      </c>
      <c r="Y991" s="896" t="str">
        <f t="shared" ref="Y991" si="3781">IFERROR((X992/X991),"0")</f>
        <v>0</v>
      </c>
      <c r="Z991" s="528"/>
      <c r="AA991" s="898">
        <v>0</v>
      </c>
      <c r="AB991" s="898">
        <v>0</v>
      </c>
      <c r="AC991" s="903">
        <v>0</v>
      </c>
      <c r="AD991" s="896" t="str">
        <f t="shared" ref="AD991" si="3782">IFERROR((AC991/AB991),"-")</f>
        <v>-</v>
      </c>
      <c r="AE991" s="2"/>
      <c r="AF991" s="884">
        <v>0</v>
      </c>
      <c r="AG991" s="884"/>
      <c r="AH991" s="884"/>
      <c r="AI991" s="884"/>
      <c r="AJ991" s="884"/>
      <c r="AK991" s="884">
        <f t="shared" ref="AK991" si="3783">AF991+AG991+AH991+AI991+AJ991+AC991</f>
        <v>0</v>
      </c>
      <c r="AL991" s="884">
        <v>0</v>
      </c>
      <c r="AM991" s="878" t="str">
        <f t="shared" ref="AM991" si="3784">IFERROR((AK991/AL991),"-")</f>
        <v>-</v>
      </c>
      <c r="AN991" s="2"/>
      <c r="AO991" s="884">
        <v>0</v>
      </c>
      <c r="AP991" s="884">
        <f t="shared" ref="AP991" si="3785">AO991-AK991</f>
        <v>0</v>
      </c>
      <c r="AV991" s="4" t="str">
        <f t="shared" si="3739"/>
        <v>Sobrelargura</v>
      </c>
      <c r="AW991" s="4" t="str">
        <f t="shared" si="3740"/>
        <v xml:space="preserve">   Remoção de sobrelargura</v>
      </c>
      <c r="AX991" s="4"/>
    </row>
    <row r="992" spans="1:50" ht="15.6" customHeight="1">
      <c r="A992" s="8" t="str">
        <f t="shared" ref="A992" si="3786">A991</f>
        <v>N</v>
      </c>
      <c r="B992" s="150"/>
      <c r="C992" s="150" t="s">
        <v>266</v>
      </c>
      <c r="D992" s="120" t="s">
        <v>266</v>
      </c>
      <c r="E992" s="893"/>
      <c r="F992" s="902"/>
      <c r="G992" s="528"/>
      <c r="H992" s="549" t="s">
        <v>38</v>
      </c>
      <c r="I992" s="711">
        <v>0</v>
      </c>
      <c r="J992" s="897"/>
      <c r="K992" s="528"/>
      <c r="L992" s="549" t="s">
        <v>38</v>
      </c>
      <c r="M992" s="711">
        <f t="shared" si="3696"/>
        <v>0</v>
      </c>
      <c r="N992" s="897"/>
      <c r="O992" s="528"/>
      <c r="P992" s="548"/>
      <c r="Q992" s="548"/>
      <c r="R992" s="548"/>
      <c r="S992" s="548"/>
      <c r="T992" s="547"/>
      <c r="U992" s="548"/>
      <c r="V992" s="548"/>
      <c r="W992" s="528"/>
      <c r="X992" s="711">
        <f t="shared" si="3690"/>
        <v>0</v>
      </c>
      <c r="Y992" s="897"/>
      <c r="Z992" s="528"/>
      <c r="AA992" s="899"/>
      <c r="AB992" s="899"/>
      <c r="AC992" s="904"/>
      <c r="AD992" s="905"/>
      <c r="AE992" s="2"/>
      <c r="AF992" s="885"/>
      <c r="AG992" s="885"/>
      <c r="AH992" s="885"/>
      <c r="AI992" s="885"/>
      <c r="AJ992" s="885"/>
      <c r="AK992" s="885"/>
      <c r="AL992" s="885"/>
      <c r="AM992" s="879"/>
      <c r="AN992" s="2"/>
      <c r="AO992" s="886"/>
      <c r="AP992" s="886"/>
      <c r="AV992" s="4" t="str">
        <f t="shared" si="3739"/>
        <v>Sobrelargura</v>
      </c>
      <c r="AW992" s="4" t="str">
        <f t="shared" si="3740"/>
        <v xml:space="preserve">   Remoção de sobrelargura</v>
      </c>
      <c r="AX992" s="4"/>
    </row>
    <row r="993" spans="1:49" ht="15.6" customHeight="1" outlineLevel="1">
      <c r="A993" s="209">
        <v>0</v>
      </c>
      <c r="B993" s="150"/>
      <c r="C993" s="150"/>
      <c r="D993" s="117"/>
      <c r="E993" s="535"/>
      <c r="F993" s="536"/>
      <c r="G993" s="537"/>
      <c r="H993" s="714"/>
      <c r="I993" s="555"/>
      <c r="J993" s="714"/>
      <c r="K993" s="537"/>
      <c r="L993" s="714"/>
      <c r="M993" s="555"/>
      <c r="N993" s="714"/>
      <c r="O993" s="537"/>
      <c r="P993" s="539"/>
      <c r="Q993" s="539"/>
      <c r="R993" s="539"/>
      <c r="S993" s="539"/>
      <c r="T993" s="539"/>
      <c r="U993" s="539"/>
      <c r="V993" s="539"/>
      <c r="W993" s="537"/>
      <c r="X993" s="540"/>
      <c r="Y993" s="537"/>
      <c r="Z993" s="537"/>
      <c r="AA993" s="249"/>
      <c r="AB993" s="249"/>
      <c r="AC993" s="249"/>
      <c r="AD993" s="537"/>
      <c r="AE993" s="3"/>
      <c r="AF993" s="35"/>
      <c r="AG993" s="35"/>
      <c r="AH993" s="35"/>
      <c r="AI993" s="35"/>
      <c r="AJ993" s="35"/>
      <c r="AK993" s="35"/>
      <c r="AL993" s="35"/>
      <c r="AM993" s="3"/>
      <c r="AN993" s="3"/>
      <c r="AO993" s="35"/>
      <c r="AP993" s="35"/>
      <c r="AV993" t="str">
        <f t="shared" si="3688"/>
        <v>Sobrelargura</v>
      </c>
      <c r="AW993" s="4" t="str">
        <f t="shared" si="3687"/>
        <v xml:space="preserve">   Remoção de sobrelargura</v>
      </c>
    </row>
    <row r="994" spans="1:49" ht="20.65" customHeight="1" outlineLevel="1">
      <c r="A994" s="525">
        <v>0</v>
      </c>
      <c r="B994" s="526"/>
      <c r="C994" s="526">
        <v>0</v>
      </c>
      <c r="D994" s="558"/>
      <c r="E994" s="870" t="s">
        <v>1320</v>
      </c>
      <c r="F994" s="894" t="s">
        <v>52</v>
      </c>
      <c r="G994" s="528"/>
      <c r="H994" s="529" t="s">
        <v>37</v>
      </c>
      <c r="I994" s="532">
        <f>I997+I1020+I1085</f>
        <v>38.200000000000003</v>
      </c>
      <c r="J994" s="900">
        <f t="shared" ref="J994" si="3787">IFERROR((I995/I994),"-")</f>
        <v>0.68926701570680615</v>
      </c>
      <c r="K994" s="528"/>
      <c r="L994" s="529" t="s">
        <v>37</v>
      </c>
      <c r="M994" s="707">
        <f>M997+M1020+M1085</f>
        <v>6</v>
      </c>
      <c r="N994" s="900">
        <f t="shared" ref="N994" si="3788">IFERROR((M995/M994),"-")</f>
        <v>0.16666666666666666</v>
      </c>
      <c r="O994" s="567"/>
      <c r="P994" s="532">
        <f t="shared" ref="P994:V995" si="3789">P997+P1020+P1085</f>
        <v>6</v>
      </c>
      <c r="Q994" s="532">
        <f t="shared" si="3789"/>
        <v>6</v>
      </c>
      <c r="R994" s="532">
        <f t="shared" si="3789"/>
        <v>5</v>
      </c>
      <c r="S994" s="532">
        <f t="shared" si="3789"/>
        <v>5</v>
      </c>
      <c r="T994" s="532">
        <f t="shared" si="3789"/>
        <v>5</v>
      </c>
      <c r="U994" s="532">
        <f t="shared" si="3789"/>
        <v>5.2833333333333332</v>
      </c>
      <c r="V994" s="530">
        <f t="shared" si="3789"/>
        <v>0</v>
      </c>
      <c r="W994" s="528"/>
      <c r="X994" s="532">
        <f>SUMIFS(P994:V994,$P$8:$V$8,"&gt;="&amp;$P$8,$P$8:$V$8,"&lt;="&amp;$N$8)</f>
        <v>12</v>
      </c>
      <c r="Y994" s="900">
        <f t="shared" ref="Y994" si="3790">IFERROR((X995/X994),"-")</f>
        <v>0.41666666666666669</v>
      </c>
      <c r="Z994" s="528"/>
      <c r="AA994" s="755">
        <f>AA997+AA1020+AA1085</f>
        <v>57.93</v>
      </c>
      <c r="AB994" s="755">
        <f>AB997+AB1020+AB1085</f>
        <v>28.160000000000004</v>
      </c>
      <c r="AC994" s="755">
        <f>AC997+AC1020+AC1085</f>
        <v>31.33</v>
      </c>
      <c r="AD994" s="900">
        <f t="shared" ref="AD994" si="3791">IFERROR((AC994/AB994),"-")</f>
        <v>1.1125710227272725</v>
      </c>
      <c r="AE994" s="528"/>
      <c r="AF994" s="755">
        <f t="shared" ref="AF994:AL994" si="3792">AF997+AF1020+AF1085</f>
        <v>753</v>
      </c>
      <c r="AG994" s="755">
        <f t="shared" si="3792"/>
        <v>0</v>
      </c>
      <c r="AH994" s="755">
        <f t="shared" si="3792"/>
        <v>20</v>
      </c>
      <c r="AI994" s="755">
        <f t="shared" si="3792"/>
        <v>51</v>
      </c>
      <c r="AJ994" s="755">
        <f t="shared" si="3792"/>
        <v>86</v>
      </c>
      <c r="AK994" s="755">
        <f t="shared" si="3792"/>
        <v>914.32999999999993</v>
      </c>
      <c r="AL994" s="755">
        <f t="shared" si="3792"/>
        <v>951.85</v>
      </c>
      <c r="AM994" s="900">
        <f>IFERROR((AK994/AL994),"-")</f>
        <v>0.96058202447864671</v>
      </c>
      <c r="AN994" s="528"/>
      <c r="AO994" s="755">
        <f>AO997+AO1020+AO1085</f>
        <v>1192.9099999999999</v>
      </c>
      <c r="AP994" s="755">
        <f>AP997+AP1020+AP1085</f>
        <v>278.58000000000004</v>
      </c>
      <c r="AV994" t="str">
        <f t="shared" si="3688"/>
        <v>Sobrelargura</v>
      </c>
      <c r="AW994" s="4" t="str">
        <f t="shared" si="3687"/>
        <v>OAC - Obra de Arte Corrente - Corpo</v>
      </c>
    </row>
    <row r="995" spans="1:49" ht="20.65" customHeight="1" outlineLevel="2">
      <c r="A995" s="525">
        <v>0</v>
      </c>
      <c r="B995" s="526"/>
      <c r="C995" s="526"/>
      <c r="D995" s="558"/>
      <c r="E995" s="871"/>
      <c r="F995" s="895"/>
      <c r="G995" s="528"/>
      <c r="H995" s="531" t="s">
        <v>38</v>
      </c>
      <c r="I995" s="532">
        <f>I998+I1021+I1086</f>
        <v>26.33</v>
      </c>
      <c r="J995" s="901"/>
      <c r="K995" s="528"/>
      <c r="L995" s="531" t="s">
        <v>38</v>
      </c>
      <c r="M995" s="707">
        <f>M998+M1021+M1086</f>
        <v>1</v>
      </c>
      <c r="N995" s="901"/>
      <c r="O995" s="567"/>
      <c r="P995" s="532">
        <f t="shared" si="3789"/>
        <v>4</v>
      </c>
      <c r="Q995" s="532">
        <f t="shared" si="3789"/>
        <v>1</v>
      </c>
      <c r="R995" s="532">
        <f t="shared" si="3789"/>
        <v>0</v>
      </c>
      <c r="S995" s="532">
        <f t="shared" si="3789"/>
        <v>0</v>
      </c>
      <c r="T995" s="532">
        <f t="shared" si="3789"/>
        <v>0</v>
      </c>
      <c r="U995" s="532">
        <f t="shared" si="3789"/>
        <v>0</v>
      </c>
      <c r="V995" s="532">
        <f t="shared" si="3789"/>
        <v>0</v>
      </c>
      <c r="W995" s="528"/>
      <c r="X995" s="532">
        <f>SUMIFS(P995:V995,$P$8:$V$8,"&gt;="&amp;$P$8,$P$8:$V$8,"&lt;="&amp;$N$8)</f>
        <v>5</v>
      </c>
      <c r="Y995" s="901"/>
      <c r="Z995" s="528"/>
      <c r="AA995" s="756"/>
      <c r="AB995" s="756"/>
      <c r="AC995" s="756"/>
      <c r="AD995" s="901"/>
      <c r="AE995" s="528"/>
      <c r="AF995" s="756"/>
      <c r="AG995" s="756"/>
      <c r="AH995" s="756"/>
      <c r="AI995" s="756"/>
      <c r="AJ995" s="756"/>
      <c r="AK995" s="756"/>
      <c r="AL995" s="756"/>
      <c r="AM995" s="901"/>
      <c r="AN995" s="528"/>
      <c r="AO995" s="756"/>
      <c r="AP995" s="756"/>
      <c r="AV995" t="str">
        <f t="shared" si="3688"/>
        <v>Sobrelargura</v>
      </c>
      <c r="AW995" s="4" t="str">
        <f t="shared" si="3687"/>
        <v>OAC - Obra de Arte Corrente - Corpo</v>
      </c>
    </row>
    <row r="996" spans="1:49" ht="14.65" customHeight="1" outlineLevel="2">
      <c r="A996" s="209">
        <v>0</v>
      </c>
      <c r="B996" s="150"/>
      <c r="C996" s="150"/>
      <c r="D996" s="117"/>
      <c r="E996" s="535"/>
      <c r="F996" s="541"/>
      <c r="G996" s="537"/>
      <c r="H996" s="537"/>
      <c r="I996" s="250"/>
      <c r="J996" s="537"/>
      <c r="K996" s="537"/>
      <c r="L996" s="537"/>
      <c r="M996" s="250"/>
      <c r="N996" s="537"/>
      <c r="O996" s="537"/>
      <c r="P996" s="539"/>
      <c r="Q996" s="539"/>
      <c r="R996" s="539"/>
      <c r="S996" s="539"/>
      <c r="T996" s="539"/>
      <c r="U996" s="539"/>
      <c r="V996" s="539"/>
      <c r="W996" s="537"/>
      <c r="X996" s="540"/>
      <c r="Y996" s="537"/>
      <c r="Z996" s="537"/>
      <c r="AA996" s="250"/>
      <c r="AB996" s="250"/>
      <c r="AC996" s="249"/>
      <c r="AD996" s="537"/>
      <c r="AE996" s="3"/>
      <c r="AF996" s="36"/>
      <c r="AG996" s="36"/>
      <c r="AH996" s="36"/>
      <c r="AI996" s="36"/>
      <c r="AJ996" s="36"/>
      <c r="AK996" s="36"/>
      <c r="AL996" s="36"/>
      <c r="AM996" s="3"/>
      <c r="AN996" s="3"/>
      <c r="AO996" s="36"/>
      <c r="AP996" s="36"/>
      <c r="AV996" t="str">
        <f t="shared" si="3688"/>
        <v>Sobrelargura</v>
      </c>
      <c r="AW996" s="4" t="str">
        <f t="shared" si="3687"/>
        <v>OAC - Obra de Arte Corrente - Corpo</v>
      </c>
    </row>
    <row r="997" spans="1:49" ht="15.6" customHeight="1" outlineLevel="2">
      <c r="A997" s="209">
        <v>0</v>
      </c>
      <c r="B997" s="150"/>
      <c r="C997" s="150"/>
      <c r="D997" s="122"/>
      <c r="E997" s="913" t="s">
        <v>42</v>
      </c>
      <c r="F997" s="859" t="s">
        <v>52</v>
      </c>
      <c r="G997" s="528"/>
      <c r="H997" s="542" t="s">
        <v>37</v>
      </c>
      <c r="I997" s="543">
        <f>SUMIF($L999:$L1018,$L997,I999:I1018)</f>
        <v>0</v>
      </c>
      <c r="J997" s="927" t="str">
        <f>IFERROR((I998/I997),"-")</f>
        <v>-</v>
      </c>
      <c r="K997" s="567"/>
      <c r="L997" s="568" t="s">
        <v>37</v>
      </c>
      <c r="M997" s="543">
        <f>SUMIF($L999:$L1018,$L997,M999:M1018)</f>
        <v>0</v>
      </c>
      <c r="N997" s="860"/>
      <c r="O997" s="528"/>
      <c r="P997" s="543">
        <f t="shared" ref="P997:U997" si="3793">SUMIF($L999:$L1018,$L997,P999:P1018)</f>
        <v>0</v>
      </c>
      <c r="Q997" s="543">
        <f t="shared" si="3793"/>
        <v>0</v>
      </c>
      <c r="R997" s="543">
        <f t="shared" si="3793"/>
        <v>0</v>
      </c>
      <c r="S997" s="543">
        <f t="shared" si="3793"/>
        <v>0</v>
      </c>
      <c r="T997" s="543">
        <f t="shared" si="3793"/>
        <v>0</v>
      </c>
      <c r="U997" s="543">
        <f t="shared" si="3793"/>
        <v>0</v>
      </c>
      <c r="V997" s="543"/>
      <c r="W997" s="528"/>
      <c r="X997" s="569">
        <f t="shared" ref="X997:X1018" si="3794">SUMIFS(P997:V997,$P$8:$V$8,"&gt;="&amp;$P$8,$P$8:$V$8,"&lt;="&amp;$N$8)</f>
        <v>0</v>
      </c>
      <c r="Y997" s="860" t="str">
        <f>IFERROR((X998/X997),"-")</f>
        <v>-</v>
      </c>
      <c r="Z997" s="528"/>
      <c r="AA997" s="814">
        <f>SUM(AA999:AA1018)</f>
        <v>0</v>
      </c>
      <c r="AB997" s="814">
        <f>SUM(AB999:AB1018)</f>
        <v>0</v>
      </c>
      <c r="AC997" s="814">
        <f>SUM(AC999:AC1018)</f>
        <v>0</v>
      </c>
      <c r="AD997" s="900" t="str">
        <f t="shared" ref="AD997" si="3795">IFERROR((AC997/AB997),"-")</f>
        <v>-</v>
      </c>
      <c r="AE997" s="2"/>
      <c r="AF997" s="888">
        <f t="shared" ref="AF997:AI997" si="3796">SUM(AF999:AF1018)</f>
        <v>303</v>
      </c>
      <c r="AG997" s="888">
        <f t="shared" si="3796"/>
        <v>0</v>
      </c>
      <c r="AH997" s="888">
        <f t="shared" si="3796"/>
        <v>0</v>
      </c>
      <c r="AI997" s="888">
        <f t="shared" si="3796"/>
        <v>0</v>
      </c>
      <c r="AJ997" s="888">
        <f t="shared" ref="AJ997:AL997" si="3797">SUM(AJ999:AJ1018)</f>
        <v>0</v>
      </c>
      <c r="AK997" s="888">
        <f t="shared" si="3797"/>
        <v>303</v>
      </c>
      <c r="AL997" s="888">
        <f t="shared" si="3797"/>
        <v>314.39</v>
      </c>
      <c r="AM997" s="743">
        <f>IFERROR((AK997/AL997),"-")</f>
        <v>0.9637711123127326</v>
      </c>
      <c r="AN997" s="2"/>
      <c r="AO997" s="888">
        <f>SUM(AO999:AO1018)</f>
        <v>335.39</v>
      </c>
      <c r="AP997" s="888">
        <f>SUM(AP999:AP1018)</f>
        <v>32.39</v>
      </c>
      <c r="AV997" t="str">
        <f t="shared" si="3688"/>
        <v>Sobrelargura</v>
      </c>
      <c r="AW997" s="4" t="str">
        <f t="shared" si="3687"/>
        <v>Pacote 05 - Segmento 2.4 - Km 131+260 a  Km 138+000</v>
      </c>
    </row>
    <row r="998" spans="1:49" ht="15.6" customHeight="1" outlineLevel="2">
      <c r="A998" s="209">
        <v>0</v>
      </c>
      <c r="B998" s="150"/>
      <c r="C998" s="150">
        <v>0</v>
      </c>
      <c r="D998" s="123"/>
      <c r="E998" s="913"/>
      <c r="F998" s="859"/>
      <c r="G998" s="528"/>
      <c r="H998" s="544" t="s">
        <v>38</v>
      </c>
      <c r="I998" s="543">
        <f>SUMIF($L999:$L1018,$L998,I999:I1018)</f>
        <v>0</v>
      </c>
      <c r="J998" s="928"/>
      <c r="K998" s="567"/>
      <c r="L998" s="570" t="s">
        <v>38</v>
      </c>
      <c r="M998" s="543">
        <f>SUMIF($L999:$L1018,$L998,M999:M1018)</f>
        <v>0</v>
      </c>
      <c r="N998" s="861"/>
      <c r="O998" s="528"/>
      <c r="P998" s="543">
        <f t="shared" ref="P998:U998" si="3798">SUMIF($L999:$L1018,$L998,P999:P1018)</f>
        <v>0</v>
      </c>
      <c r="Q998" s="543">
        <f t="shared" si="3798"/>
        <v>0</v>
      </c>
      <c r="R998" s="543">
        <f t="shared" si="3798"/>
        <v>0</v>
      </c>
      <c r="S998" s="543">
        <f t="shared" si="3798"/>
        <v>0</v>
      </c>
      <c r="T998" s="543">
        <f t="shared" si="3798"/>
        <v>0</v>
      </c>
      <c r="U998" s="543">
        <f t="shared" si="3798"/>
        <v>0</v>
      </c>
      <c r="V998" s="543"/>
      <c r="W998" s="528"/>
      <c r="X998" s="569">
        <f t="shared" si="3794"/>
        <v>0</v>
      </c>
      <c r="Y998" s="861"/>
      <c r="Z998" s="528"/>
      <c r="AA998" s="815"/>
      <c r="AB998" s="815"/>
      <c r="AC998" s="815"/>
      <c r="AD998" s="901"/>
      <c r="AE998" s="2"/>
      <c r="AF998" s="889"/>
      <c r="AG998" s="889"/>
      <c r="AH998" s="889"/>
      <c r="AI998" s="889"/>
      <c r="AJ998" s="889"/>
      <c r="AK998" s="889"/>
      <c r="AL998" s="889"/>
      <c r="AM998" s="744"/>
      <c r="AN998" s="2"/>
      <c r="AO998" s="889"/>
      <c r="AP998" s="889"/>
      <c r="AV998" t="str">
        <f t="shared" si="3688"/>
        <v>Sobrelargura</v>
      </c>
      <c r="AW998" s="4" t="str">
        <f t="shared" si="3687"/>
        <v>Pacote 05 - Segmento 2.4 - Km 131+260 a  Km 138+000</v>
      </c>
    </row>
    <row r="999" spans="1:49" ht="15.6" customHeight="1" outlineLevel="2">
      <c r="A999" s="8" t="str">
        <f t="shared" ref="A999" si="3799">IF(SUM(P999:V1000)&gt;0,"S","N")</f>
        <v>N</v>
      </c>
      <c r="B999" s="150">
        <v>1064237</v>
      </c>
      <c r="C999" s="150" t="s">
        <v>1321</v>
      </c>
      <c r="D999" s="120" t="s">
        <v>1322</v>
      </c>
      <c r="E999" s="892" t="s">
        <v>1322</v>
      </c>
      <c r="F999" s="902" t="s">
        <v>52</v>
      </c>
      <c r="G999" s="528"/>
      <c r="H999" s="546" t="s">
        <v>37</v>
      </c>
      <c r="I999" s="711">
        <v>0</v>
      </c>
      <c r="J999" s="896" t="str">
        <f t="shared" ref="J999" si="3800">IFERROR((I1000/I999),"-")</f>
        <v>-</v>
      </c>
      <c r="K999" s="528"/>
      <c r="L999" s="546" t="s">
        <v>37</v>
      </c>
      <c r="M999" s="711">
        <f t="shared" ref="M999:M1018" si="3801">_xlfn.XLOOKUP($N$8,$P$8:$V$8,$P999:$V999)</f>
        <v>0</v>
      </c>
      <c r="N999" s="896" t="str">
        <f t="shared" ref="N999" si="3802">IFERROR((M1000/M999),"-")</f>
        <v>-</v>
      </c>
      <c r="O999" s="528"/>
      <c r="P999" s="547">
        <v>0</v>
      </c>
      <c r="Q999" s="547">
        <v>0</v>
      </c>
      <c r="R999" s="547">
        <v>0</v>
      </c>
      <c r="S999" s="547">
        <v>0</v>
      </c>
      <c r="T999" s="547">
        <v>0</v>
      </c>
      <c r="U999" s="547">
        <v>0</v>
      </c>
      <c r="V999" s="548">
        <v>0</v>
      </c>
      <c r="W999" s="528"/>
      <c r="X999" s="711">
        <f t="shared" si="3794"/>
        <v>0</v>
      </c>
      <c r="Y999" s="896" t="str">
        <f t="shared" ref="Y999" si="3803">IFERROR((X1000/X999),"0")</f>
        <v>0</v>
      </c>
      <c r="Z999" s="528"/>
      <c r="AA999" s="898">
        <v>0</v>
      </c>
      <c r="AB999" s="898">
        <v>0</v>
      </c>
      <c r="AC999" s="903">
        <v>0</v>
      </c>
      <c r="AD999" s="896" t="str">
        <f t="shared" ref="AD999" si="3804">IFERROR((AC999/AB999),"-")</f>
        <v>-</v>
      </c>
      <c r="AE999" s="2"/>
      <c r="AF999" s="886">
        <v>60</v>
      </c>
      <c r="AG999" s="884"/>
      <c r="AH999" s="921">
        <v>0</v>
      </c>
      <c r="AI999" s="884"/>
      <c r="AJ999" s="884"/>
      <c r="AK999" s="884">
        <f t="shared" ref="AK999" si="3805">AF999+AG999+AH999+AI999+AJ999+AC999</f>
        <v>60</v>
      </c>
      <c r="AL999" s="884">
        <v>60</v>
      </c>
      <c r="AM999" s="878">
        <f t="shared" ref="AM999" si="3806">IFERROR((AK999/AL999),"-")</f>
        <v>1</v>
      </c>
      <c r="AN999" s="2"/>
      <c r="AO999" s="886">
        <v>60</v>
      </c>
      <c r="AP999" s="884">
        <f t="shared" ref="AP999" si="3807">AO999-AK999</f>
        <v>0</v>
      </c>
      <c r="AV999" t="str">
        <f t="shared" si="3688"/>
        <v>Sobrelargura</v>
      </c>
      <c r="AW999" s="4" t="str">
        <f t="shared" si="3687"/>
        <v>2.4-BDT PEAD DN 1,20m - km 133+019 - Aterro A1 - Bueiro de PEAD</v>
      </c>
    </row>
    <row r="1000" spans="1:49" ht="14.45" customHeight="1" outlineLevel="2">
      <c r="A1000" s="8" t="str">
        <f t="shared" ref="A1000" si="3808">A999</f>
        <v>N</v>
      </c>
      <c r="B1000" s="150"/>
      <c r="C1000" s="150"/>
      <c r="D1000" s="120"/>
      <c r="E1000" s="893"/>
      <c r="F1000" s="902"/>
      <c r="G1000" s="528"/>
      <c r="H1000" s="549" t="s">
        <v>38</v>
      </c>
      <c r="I1000" s="711">
        <v>0</v>
      </c>
      <c r="J1000" s="897"/>
      <c r="K1000" s="528"/>
      <c r="L1000" s="549" t="s">
        <v>38</v>
      </c>
      <c r="M1000" s="711">
        <f t="shared" si="3801"/>
        <v>0</v>
      </c>
      <c r="N1000" s="897"/>
      <c r="O1000" s="528"/>
      <c r="P1000" s="548">
        <v>0</v>
      </c>
      <c r="Q1000" s="548">
        <v>0</v>
      </c>
      <c r="R1000" s="548">
        <v>0</v>
      </c>
      <c r="S1000" s="548">
        <v>0</v>
      </c>
      <c r="T1000" s="548">
        <v>0</v>
      </c>
      <c r="U1000" s="548">
        <v>0</v>
      </c>
      <c r="V1000" s="548">
        <v>0</v>
      </c>
      <c r="W1000" s="528"/>
      <c r="X1000" s="711">
        <f t="shared" si="3794"/>
        <v>0</v>
      </c>
      <c r="Y1000" s="897"/>
      <c r="Z1000" s="528"/>
      <c r="AA1000" s="899"/>
      <c r="AB1000" s="899"/>
      <c r="AC1000" s="904"/>
      <c r="AD1000" s="905"/>
      <c r="AE1000" s="2"/>
      <c r="AF1000" s="926"/>
      <c r="AG1000" s="885"/>
      <c r="AH1000" s="922"/>
      <c r="AI1000" s="885"/>
      <c r="AJ1000" s="885"/>
      <c r="AK1000" s="885"/>
      <c r="AL1000" s="885"/>
      <c r="AM1000" s="879"/>
      <c r="AN1000" s="2"/>
      <c r="AO1000" s="886"/>
      <c r="AP1000" s="886"/>
      <c r="AV1000" t="str">
        <f t="shared" si="3688"/>
        <v>Sobrelargura</v>
      </c>
      <c r="AW1000" s="4" t="str">
        <f t="shared" si="3687"/>
        <v>2.4-BDT PEAD DN 1,20m - km 133+019 - Aterro A1 - Bueiro de PEAD</v>
      </c>
    </row>
    <row r="1001" spans="1:49" ht="14.45" customHeight="1" outlineLevel="2">
      <c r="A1001" s="8" t="str">
        <f t="shared" ref="A1001" si="3809">IF(SUM(P1001:V1002)&gt;0,"S","N")</f>
        <v>N</v>
      </c>
      <c r="B1001" s="150">
        <v>1064245</v>
      </c>
      <c r="C1001" s="150" t="s">
        <v>1323</v>
      </c>
      <c r="D1001" s="120" t="s">
        <v>1324</v>
      </c>
      <c r="E1001" s="892" t="s">
        <v>1324</v>
      </c>
      <c r="F1001" s="902" t="s">
        <v>52</v>
      </c>
      <c r="G1001" s="528"/>
      <c r="H1001" s="546" t="s">
        <v>37</v>
      </c>
      <c r="I1001" s="711">
        <v>0</v>
      </c>
      <c r="J1001" s="896" t="str">
        <f t="shared" ref="J1001" si="3810">IFERROR((I1002/I1001),"-")</f>
        <v>-</v>
      </c>
      <c r="K1001" s="528"/>
      <c r="L1001" s="546" t="s">
        <v>37</v>
      </c>
      <c r="M1001" s="711">
        <f t="shared" si="3801"/>
        <v>0</v>
      </c>
      <c r="N1001" s="896" t="str">
        <f t="shared" ref="N1001" si="3811">IFERROR((M1002/M1001),"-")</f>
        <v>-</v>
      </c>
      <c r="O1001" s="528"/>
      <c r="P1001" s="547">
        <v>0</v>
      </c>
      <c r="Q1001" s="547">
        <v>0</v>
      </c>
      <c r="R1001" s="547">
        <v>0</v>
      </c>
      <c r="S1001" s="547">
        <v>0</v>
      </c>
      <c r="T1001" s="547">
        <v>0</v>
      </c>
      <c r="U1001" s="547">
        <v>0</v>
      </c>
      <c r="V1001" s="548">
        <v>0</v>
      </c>
      <c r="W1001" s="528"/>
      <c r="X1001" s="711">
        <f t="shared" si="3794"/>
        <v>0</v>
      </c>
      <c r="Y1001" s="896" t="str">
        <f t="shared" ref="Y1001" si="3812">IFERROR((X1002/X1001),"0")</f>
        <v>0</v>
      </c>
      <c r="Z1001" s="528"/>
      <c r="AA1001" s="898">
        <v>0</v>
      </c>
      <c r="AB1001" s="898">
        <v>0</v>
      </c>
      <c r="AC1001" s="903">
        <v>0</v>
      </c>
      <c r="AD1001" s="896" t="str">
        <f t="shared" ref="AD1001" si="3813">IFERROR((AC1001/AB1001),"-")</f>
        <v>-</v>
      </c>
      <c r="AE1001" s="2"/>
      <c r="AF1001" s="886">
        <v>88</v>
      </c>
      <c r="AG1001" s="884"/>
      <c r="AH1001" s="921">
        <v>0</v>
      </c>
      <c r="AI1001" s="884"/>
      <c r="AJ1001" s="884"/>
      <c r="AK1001" s="884">
        <f t="shared" ref="AK1001" si="3814">AF1001+AG1001+AH1001+AI1001+AJ1001+AC1001</f>
        <v>88</v>
      </c>
      <c r="AL1001" s="884">
        <v>96</v>
      </c>
      <c r="AM1001" s="878">
        <f t="shared" ref="AM1001" si="3815">IFERROR((AK1001/AL1001),"-")</f>
        <v>0.91666666666666663</v>
      </c>
      <c r="AN1001" s="2"/>
      <c r="AO1001" s="886">
        <v>96</v>
      </c>
      <c r="AP1001" s="884">
        <f t="shared" ref="AP1001" si="3816">AO1001-AK1001</f>
        <v>8</v>
      </c>
      <c r="AV1001" t="str">
        <f t="shared" si="3688"/>
        <v>Sobrelargura</v>
      </c>
      <c r="AW1001" s="4" t="str">
        <f t="shared" si="3687"/>
        <v>2.4-BTCC 3,00x3,00 - Km 133+870 - Aterro A1 - Bueiro de Concreto</v>
      </c>
    </row>
    <row r="1002" spans="1:49" ht="14.45" customHeight="1" outlineLevel="2">
      <c r="A1002" s="8" t="str">
        <f t="shared" ref="A1002" si="3817">A1001</f>
        <v>N</v>
      </c>
      <c r="B1002" s="150"/>
      <c r="C1002" s="150"/>
      <c r="D1002" s="120"/>
      <c r="E1002" s="893"/>
      <c r="F1002" s="902"/>
      <c r="G1002" s="528"/>
      <c r="H1002" s="549" t="s">
        <v>38</v>
      </c>
      <c r="I1002" s="711">
        <v>0</v>
      </c>
      <c r="J1002" s="897"/>
      <c r="K1002" s="528"/>
      <c r="L1002" s="549" t="s">
        <v>38</v>
      </c>
      <c r="M1002" s="711">
        <f t="shared" si="3801"/>
        <v>0</v>
      </c>
      <c r="N1002" s="897"/>
      <c r="O1002" s="528"/>
      <c r="P1002" s="548">
        <v>0</v>
      </c>
      <c r="Q1002" s="548">
        <v>0</v>
      </c>
      <c r="R1002" s="548">
        <v>0</v>
      </c>
      <c r="S1002" s="548">
        <v>0</v>
      </c>
      <c r="T1002" s="548">
        <v>0</v>
      </c>
      <c r="U1002" s="548">
        <v>0</v>
      </c>
      <c r="V1002" s="548">
        <v>0</v>
      </c>
      <c r="W1002" s="528"/>
      <c r="X1002" s="711">
        <f t="shared" si="3794"/>
        <v>0</v>
      </c>
      <c r="Y1002" s="897"/>
      <c r="Z1002" s="528"/>
      <c r="AA1002" s="899"/>
      <c r="AB1002" s="899"/>
      <c r="AC1002" s="904"/>
      <c r="AD1002" s="905"/>
      <c r="AE1002" s="2"/>
      <c r="AF1002" s="926"/>
      <c r="AG1002" s="885"/>
      <c r="AH1002" s="922"/>
      <c r="AI1002" s="885"/>
      <c r="AJ1002" s="885"/>
      <c r="AK1002" s="885"/>
      <c r="AL1002" s="885"/>
      <c r="AM1002" s="879"/>
      <c r="AN1002" s="2"/>
      <c r="AO1002" s="886"/>
      <c r="AP1002" s="886"/>
      <c r="AV1002" t="str">
        <f t="shared" si="3688"/>
        <v>Sobrelargura</v>
      </c>
      <c r="AW1002" s="4" t="str">
        <f t="shared" si="3687"/>
        <v>2.4-BTCC 3,00x3,00 - Km 133+870 - Aterro A1 - Bueiro de Concreto</v>
      </c>
    </row>
    <row r="1003" spans="1:49" ht="15.6" customHeight="1" outlineLevel="2">
      <c r="A1003" s="8" t="str">
        <f t="shared" ref="A1003" si="3818">IF(SUM(P1003:V1004)&gt;0,"S","N")</f>
        <v>N</v>
      </c>
      <c r="B1003" s="150">
        <v>1064254</v>
      </c>
      <c r="C1003" s="150" t="s">
        <v>1325</v>
      </c>
      <c r="D1003" s="120" t="s">
        <v>1326</v>
      </c>
      <c r="E1003" s="892" t="s">
        <v>1326</v>
      </c>
      <c r="F1003" s="902" t="s">
        <v>52</v>
      </c>
      <c r="G1003" s="528"/>
      <c r="H1003" s="546" t="s">
        <v>37</v>
      </c>
      <c r="I1003" s="711">
        <v>0</v>
      </c>
      <c r="J1003" s="896" t="str">
        <f t="shared" ref="J1003" si="3819">IFERROR((I1004/I1003),"-")</f>
        <v>-</v>
      </c>
      <c r="K1003" s="528"/>
      <c r="L1003" s="546" t="s">
        <v>37</v>
      </c>
      <c r="M1003" s="711">
        <f t="shared" si="3801"/>
        <v>0</v>
      </c>
      <c r="N1003" s="896" t="str">
        <f t="shared" ref="N1003" si="3820">IFERROR((M1004/M1003),"-")</f>
        <v>-</v>
      </c>
      <c r="O1003" s="528"/>
      <c r="P1003" s="547">
        <v>0</v>
      </c>
      <c r="Q1003" s="547">
        <v>0</v>
      </c>
      <c r="R1003" s="547">
        <v>0</v>
      </c>
      <c r="S1003" s="547">
        <v>0</v>
      </c>
      <c r="T1003" s="547">
        <v>0</v>
      </c>
      <c r="U1003" s="547">
        <v>0</v>
      </c>
      <c r="V1003" s="548">
        <v>0</v>
      </c>
      <c r="W1003" s="528"/>
      <c r="X1003" s="711">
        <f t="shared" si="3794"/>
        <v>0</v>
      </c>
      <c r="Y1003" s="896" t="str">
        <f t="shared" ref="Y1003" si="3821">IFERROR((X1004/X1003),"0")</f>
        <v>0</v>
      </c>
      <c r="Z1003" s="528"/>
      <c r="AA1003" s="898">
        <v>0</v>
      </c>
      <c r="AB1003" s="898">
        <v>0</v>
      </c>
      <c r="AC1003" s="903">
        <v>0</v>
      </c>
      <c r="AD1003" s="896" t="str">
        <f t="shared" ref="AD1003" si="3822">IFERROR((AC1003/AB1003),"-")</f>
        <v>-</v>
      </c>
      <c r="AE1003" s="2"/>
      <c r="AF1003" s="886">
        <v>42</v>
      </c>
      <c r="AG1003" s="884"/>
      <c r="AH1003" s="921">
        <v>0</v>
      </c>
      <c r="AI1003" s="884"/>
      <c r="AJ1003" s="884"/>
      <c r="AK1003" s="884">
        <f t="shared" ref="AK1003" si="3823">AF1003+AG1003+AH1003+AI1003+AJ1003+AC1003</f>
        <v>42</v>
      </c>
      <c r="AL1003" s="884">
        <v>41.99</v>
      </c>
      <c r="AM1003" s="878">
        <f t="shared" ref="AM1003" si="3824">IFERROR((AK1003/AL1003),"-")</f>
        <v>1.0002381519409382</v>
      </c>
      <c r="AN1003" s="2"/>
      <c r="AO1003" s="884">
        <v>42</v>
      </c>
      <c r="AP1003" s="884">
        <f t="shared" ref="AP1003" si="3825">AO1003-AK1003</f>
        <v>0</v>
      </c>
      <c r="AV1003" t="str">
        <f t="shared" si="3688"/>
        <v>Sobrelargura</v>
      </c>
      <c r="AW1003" s="4" t="str">
        <f t="shared" si="3687"/>
        <v>2.4-BDCC 2,50x2,00 - km 134+743- Aterro A1 - Bueiro de concreto</v>
      </c>
    </row>
    <row r="1004" spans="1:49" ht="15.6" customHeight="1" outlineLevel="2">
      <c r="A1004" s="8" t="str">
        <f t="shared" ref="A1004" si="3826">A1003</f>
        <v>N</v>
      </c>
      <c r="B1004" s="150"/>
      <c r="C1004" s="150"/>
      <c r="D1004" s="120"/>
      <c r="E1004" s="893"/>
      <c r="F1004" s="902"/>
      <c r="G1004" s="528"/>
      <c r="H1004" s="549" t="s">
        <v>38</v>
      </c>
      <c r="I1004" s="711">
        <v>0</v>
      </c>
      <c r="J1004" s="897"/>
      <c r="K1004" s="528"/>
      <c r="L1004" s="549" t="s">
        <v>38</v>
      </c>
      <c r="M1004" s="711">
        <f t="shared" si="3801"/>
        <v>0</v>
      </c>
      <c r="N1004" s="897"/>
      <c r="O1004" s="528"/>
      <c r="P1004" s="548">
        <v>0</v>
      </c>
      <c r="Q1004" s="548">
        <v>0</v>
      </c>
      <c r="R1004" s="548">
        <v>0</v>
      </c>
      <c r="S1004" s="548">
        <v>0</v>
      </c>
      <c r="T1004" s="548">
        <v>0</v>
      </c>
      <c r="U1004" s="548">
        <v>0</v>
      </c>
      <c r="V1004" s="548">
        <v>0</v>
      </c>
      <c r="W1004" s="528"/>
      <c r="X1004" s="711">
        <f t="shared" si="3794"/>
        <v>0</v>
      </c>
      <c r="Y1004" s="897"/>
      <c r="Z1004" s="528"/>
      <c r="AA1004" s="899"/>
      <c r="AB1004" s="899"/>
      <c r="AC1004" s="904"/>
      <c r="AD1004" s="905"/>
      <c r="AE1004" s="2"/>
      <c r="AF1004" s="926"/>
      <c r="AG1004" s="885"/>
      <c r="AH1004" s="922"/>
      <c r="AI1004" s="885"/>
      <c r="AJ1004" s="885"/>
      <c r="AK1004" s="885"/>
      <c r="AL1004" s="885"/>
      <c r="AM1004" s="879"/>
      <c r="AN1004" s="2"/>
      <c r="AO1004" s="886"/>
      <c r="AP1004" s="886"/>
      <c r="AV1004" t="str">
        <f t="shared" si="3688"/>
        <v>Sobrelargura</v>
      </c>
      <c r="AW1004" s="4" t="str">
        <f t="shared" si="3687"/>
        <v>2.4-BDCC 2,50x2,00 - km 134+743- Aterro A1 - Bueiro de concreto</v>
      </c>
    </row>
    <row r="1005" spans="1:49" ht="15.6" customHeight="1" outlineLevel="2">
      <c r="A1005" s="8" t="str">
        <f t="shared" ref="A1005" si="3827">IF(SUM(P1005:V1006)&gt;0,"S","N")</f>
        <v>N</v>
      </c>
      <c r="B1005" s="150">
        <v>1064266</v>
      </c>
      <c r="C1005" s="150" t="s">
        <v>1327</v>
      </c>
      <c r="D1005" s="120" t="s">
        <v>1328</v>
      </c>
      <c r="E1005" s="892" t="s">
        <v>1328</v>
      </c>
      <c r="F1005" s="902" t="s">
        <v>52</v>
      </c>
      <c r="G1005" s="528"/>
      <c r="H1005" s="546" t="s">
        <v>37</v>
      </c>
      <c r="I1005" s="711">
        <v>0</v>
      </c>
      <c r="J1005" s="896" t="str">
        <f t="shared" ref="J1005" si="3828">IFERROR((I1006/I1005),"-")</f>
        <v>-</v>
      </c>
      <c r="K1005" s="528"/>
      <c r="L1005" s="546" t="s">
        <v>37</v>
      </c>
      <c r="M1005" s="711">
        <f t="shared" si="3801"/>
        <v>0</v>
      </c>
      <c r="N1005" s="896" t="str">
        <f t="shared" ref="N1005" si="3829">IFERROR((M1006/M1005),"-")</f>
        <v>-</v>
      </c>
      <c r="O1005" s="528"/>
      <c r="P1005" s="547">
        <v>0</v>
      </c>
      <c r="Q1005" s="547">
        <v>0</v>
      </c>
      <c r="R1005" s="547">
        <v>0</v>
      </c>
      <c r="S1005" s="547">
        <v>0</v>
      </c>
      <c r="T1005" s="547">
        <v>0</v>
      </c>
      <c r="U1005" s="547">
        <v>0</v>
      </c>
      <c r="V1005" s="548">
        <v>0</v>
      </c>
      <c r="W1005" s="528"/>
      <c r="X1005" s="711">
        <f t="shared" si="3794"/>
        <v>0</v>
      </c>
      <c r="Y1005" s="896" t="str">
        <f t="shared" ref="Y1005" si="3830">IFERROR((X1006/X1005),"0")</f>
        <v>0</v>
      </c>
      <c r="Z1005" s="528"/>
      <c r="AA1005" s="898">
        <v>0</v>
      </c>
      <c r="AB1005" s="898">
        <v>0</v>
      </c>
      <c r="AC1005" s="903">
        <v>0</v>
      </c>
      <c r="AD1005" s="896" t="str">
        <f t="shared" ref="AD1005" si="3831">IFERROR((AC1005/AB1005),"-")</f>
        <v>-</v>
      </c>
      <c r="AE1005" s="2"/>
      <c r="AF1005" s="886">
        <v>17</v>
      </c>
      <c r="AG1005" s="884"/>
      <c r="AH1005" s="921">
        <v>0</v>
      </c>
      <c r="AI1005" s="884"/>
      <c r="AJ1005" s="884"/>
      <c r="AK1005" s="884">
        <f t="shared" ref="AK1005" si="3832">AF1005+AG1005+AH1005+AI1005+AJ1005+AC1005</f>
        <v>17</v>
      </c>
      <c r="AL1005" s="884">
        <v>20.39</v>
      </c>
      <c r="AM1005" s="878">
        <f t="shared" ref="AM1005" si="3833">IFERROR((AK1005/AL1005),"-")</f>
        <v>0.8337420304070623</v>
      </c>
      <c r="AN1005" s="2"/>
      <c r="AO1005" s="884">
        <v>20.39</v>
      </c>
      <c r="AP1005" s="884">
        <f t="shared" ref="AP1005" si="3834">AO1005-AK1005</f>
        <v>3.3900000000000006</v>
      </c>
      <c r="AV1005" t="str">
        <f t="shared" si="3688"/>
        <v>Sobrelargura</v>
      </c>
      <c r="AW1005" s="4" t="str">
        <f t="shared" si="3687"/>
        <v>2.4-BDCC 2,50x2,00 - km 136+287- Aterro A1 - Bueiro de concreto</v>
      </c>
    </row>
    <row r="1006" spans="1:49" ht="15.6" customHeight="1" outlineLevel="2">
      <c r="A1006" s="8" t="str">
        <f t="shared" ref="A1006" si="3835">A1005</f>
        <v>N</v>
      </c>
      <c r="B1006" s="150"/>
      <c r="C1006" s="150"/>
      <c r="D1006" s="120"/>
      <c r="E1006" s="893"/>
      <c r="F1006" s="902"/>
      <c r="G1006" s="528"/>
      <c r="H1006" s="549" t="s">
        <v>38</v>
      </c>
      <c r="I1006" s="711">
        <v>0</v>
      </c>
      <c r="J1006" s="897"/>
      <c r="K1006" s="528"/>
      <c r="L1006" s="549" t="s">
        <v>38</v>
      </c>
      <c r="M1006" s="711">
        <f t="shared" si="3801"/>
        <v>0</v>
      </c>
      <c r="N1006" s="897"/>
      <c r="O1006" s="528"/>
      <c r="P1006" s="548">
        <v>0</v>
      </c>
      <c r="Q1006" s="548">
        <v>0</v>
      </c>
      <c r="R1006" s="548">
        <v>0</v>
      </c>
      <c r="S1006" s="548">
        <v>0</v>
      </c>
      <c r="T1006" s="548">
        <v>0</v>
      </c>
      <c r="U1006" s="548">
        <v>0</v>
      </c>
      <c r="V1006" s="548">
        <v>0</v>
      </c>
      <c r="W1006" s="528"/>
      <c r="X1006" s="711">
        <f t="shared" si="3794"/>
        <v>0</v>
      </c>
      <c r="Y1006" s="897"/>
      <c r="Z1006" s="528"/>
      <c r="AA1006" s="899"/>
      <c r="AB1006" s="899"/>
      <c r="AC1006" s="904"/>
      <c r="AD1006" s="905"/>
      <c r="AE1006" s="2"/>
      <c r="AF1006" s="926"/>
      <c r="AG1006" s="885"/>
      <c r="AH1006" s="922"/>
      <c r="AI1006" s="885"/>
      <c r="AJ1006" s="885"/>
      <c r="AK1006" s="885"/>
      <c r="AL1006" s="885"/>
      <c r="AM1006" s="879"/>
      <c r="AN1006" s="2"/>
      <c r="AO1006" s="886"/>
      <c r="AP1006" s="886"/>
      <c r="AV1006" t="str">
        <f t="shared" si="3688"/>
        <v>Sobrelargura</v>
      </c>
      <c r="AW1006" s="4" t="str">
        <f t="shared" si="3687"/>
        <v>2.4-BDCC 2,50x2,00 - km 136+287- Aterro A1 - Bueiro de concreto</v>
      </c>
    </row>
    <row r="1007" spans="1:49" ht="15.6" customHeight="1" outlineLevel="2">
      <c r="A1007" s="8" t="str">
        <f t="shared" ref="A1007" si="3836">IF(SUM(P1007:V1008)&gt;0,"S","N")</f>
        <v>N</v>
      </c>
      <c r="B1007" s="150">
        <v>1064273</v>
      </c>
      <c r="C1007" s="150" t="s">
        <v>1329</v>
      </c>
      <c r="D1007" s="120" t="s">
        <v>1330</v>
      </c>
      <c r="E1007" s="892" t="s">
        <v>1330</v>
      </c>
      <c r="F1007" s="902" t="s">
        <v>52</v>
      </c>
      <c r="G1007" s="528"/>
      <c r="H1007" s="546" t="s">
        <v>37</v>
      </c>
      <c r="I1007" s="711">
        <v>0</v>
      </c>
      <c r="J1007" s="896" t="str">
        <f t="shared" ref="J1007" si="3837">IFERROR((I1008/I1007),"-")</f>
        <v>-</v>
      </c>
      <c r="K1007" s="528"/>
      <c r="L1007" s="546" t="s">
        <v>37</v>
      </c>
      <c r="M1007" s="711">
        <f t="shared" si="3801"/>
        <v>0</v>
      </c>
      <c r="N1007" s="896" t="str">
        <f t="shared" ref="N1007" si="3838">IFERROR((M1008/M1007),"-")</f>
        <v>-</v>
      </c>
      <c r="O1007" s="528"/>
      <c r="P1007" s="547">
        <v>0</v>
      </c>
      <c r="Q1007" s="547">
        <v>0</v>
      </c>
      <c r="R1007" s="547">
        <v>0</v>
      </c>
      <c r="S1007" s="547">
        <v>0</v>
      </c>
      <c r="T1007" s="547">
        <v>0</v>
      </c>
      <c r="U1007" s="547">
        <v>0</v>
      </c>
      <c r="V1007" s="548">
        <v>0</v>
      </c>
      <c r="W1007" s="528"/>
      <c r="X1007" s="711">
        <f t="shared" si="3794"/>
        <v>0</v>
      </c>
      <c r="Y1007" s="896" t="str">
        <f t="shared" ref="Y1007" si="3839">IFERROR((X1008/X1007),"0")</f>
        <v>0</v>
      </c>
      <c r="Z1007" s="528"/>
      <c r="AA1007" s="898">
        <v>0</v>
      </c>
      <c r="AB1007" s="898">
        <v>0</v>
      </c>
      <c r="AC1007" s="903">
        <v>0</v>
      </c>
      <c r="AD1007" s="896" t="str">
        <f t="shared" ref="AD1007" si="3840">IFERROR((AC1007/AB1007),"-")</f>
        <v>-</v>
      </c>
      <c r="AE1007" s="2"/>
      <c r="AF1007" s="886">
        <v>19</v>
      </c>
      <c r="AG1007" s="884"/>
      <c r="AH1007" s="921">
        <v>0</v>
      </c>
      <c r="AI1007" s="884"/>
      <c r="AJ1007" s="884"/>
      <c r="AK1007" s="884">
        <f t="shared" ref="AK1007" si="3841">AF1007+AG1007+AH1007+AI1007+AJ1007+AC1007</f>
        <v>19</v>
      </c>
      <c r="AL1007" s="884">
        <v>19</v>
      </c>
      <c r="AM1007" s="878">
        <f t="shared" ref="AM1007" si="3842">IFERROR((AK1007/AL1007),"-")</f>
        <v>1</v>
      </c>
      <c r="AN1007" s="2"/>
      <c r="AO1007" s="884">
        <v>19</v>
      </c>
      <c r="AP1007" s="884">
        <f t="shared" ref="AP1007" si="3843">AO1007-AK1007</f>
        <v>0</v>
      </c>
      <c r="AV1007" t="str">
        <f t="shared" si="3688"/>
        <v>Sobrelargura</v>
      </c>
      <c r="AW1007" s="4" t="str">
        <f t="shared" si="3687"/>
        <v>2.4-BDT PEAD DN 1,20m - km 136+635 - Aterro A4 - Bueiro de PEAD</v>
      </c>
    </row>
    <row r="1008" spans="1:49" ht="15.6" customHeight="1" outlineLevel="2">
      <c r="A1008" s="8" t="str">
        <f t="shared" ref="A1008" si="3844">A1007</f>
        <v>N</v>
      </c>
      <c r="B1008" s="150"/>
      <c r="C1008" s="150"/>
      <c r="D1008" s="120"/>
      <c r="E1008" s="893"/>
      <c r="F1008" s="902"/>
      <c r="G1008" s="528"/>
      <c r="H1008" s="549" t="s">
        <v>38</v>
      </c>
      <c r="I1008" s="711">
        <v>0</v>
      </c>
      <c r="J1008" s="897"/>
      <c r="K1008" s="528"/>
      <c r="L1008" s="549" t="s">
        <v>38</v>
      </c>
      <c r="M1008" s="711">
        <f t="shared" si="3801"/>
        <v>0</v>
      </c>
      <c r="N1008" s="897"/>
      <c r="O1008" s="528"/>
      <c r="P1008" s="548">
        <v>0</v>
      </c>
      <c r="Q1008" s="548">
        <v>0</v>
      </c>
      <c r="R1008" s="548">
        <v>0</v>
      </c>
      <c r="S1008" s="548">
        <v>0</v>
      </c>
      <c r="T1008" s="548">
        <v>0</v>
      </c>
      <c r="U1008" s="548">
        <v>0</v>
      </c>
      <c r="V1008" s="548">
        <v>0</v>
      </c>
      <c r="W1008" s="528"/>
      <c r="X1008" s="711">
        <f t="shared" si="3794"/>
        <v>0</v>
      </c>
      <c r="Y1008" s="897"/>
      <c r="Z1008" s="528"/>
      <c r="AA1008" s="899"/>
      <c r="AB1008" s="899"/>
      <c r="AC1008" s="904"/>
      <c r="AD1008" s="905"/>
      <c r="AE1008" s="2"/>
      <c r="AF1008" s="926"/>
      <c r="AG1008" s="885"/>
      <c r="AH1008" s="922"/>
      <c r="AI1008" s="885"/>
      <c r="AJ1008" s="885"/>
      <c r="AK1008" s="885"/>
      <c r="AL1008" s="885"/>
      <c r="AM1008" s="879"/>
      <c r="AN1008" s="2"/>
      <c r="AO1008" s="886"/>
      <c r="AP1008" s="886"/>
      <c r="AV1008" t="str">
        <f t="shared" si="3688"/>
        <v>Sobrelargura</v>
      </c>
      <c r="AW1008" s="4" t="str">
        <f t="shared" si="3687"/>
        <v>2.4-BDT PEAD DN 1,20m - km 136+635 - Aterro A4 - Bueiro de PEAD</v>
      </c>
    </row>
    <row r="1009" spans="1:49" ht="15.6" customHeight="1" outlineLevel="2">
      <c r="A1009" s="8" t="str">
        <f t="shared" ref="A1009" si="3845">IF(SUM(P1009:V1010)&gt;0,"S","N")</f>
        <v>N</v>
      </c>
      <c r="B1009" s="150">
        <v>1064280</v>
      </c>
      <c r="C1009" s="150" t="s">
        <v>1331</v>
      </c>
      <c r="D1009" s="120" t="s">
        <v>1332</v>
      </c>
      <c r="E1009" s="892" t="s">
        <v>1332</v>
      </c>
      <c r="F1009" s="902" t="s">
        <v>52</v>
      </c>
      <c r="G1009" s="528"/>
      <c r="H1009" s="546" t="s">
        <v>37</v>
      </c>
      <c r="I1009" s="711">
        <v>0</v>
      </c>
      <c r="J1009" s="896" t="str">
        <f t="shared" ref="J1009" si="3846">IFERROR((I1010/I1009),"-")</f>
        <v>-</v>
      </c>
      <c r="K1009" s="528"/>
      <c r="L1009" s="546" t="s">
        <v>37</v>
      </c>
      <c r="M1009" s="711">
        <f t="shared" si="3801"/>
        <v>0</v>
      </c>
      <c r="N1009" s="896" t="str">
        <f t="shared" ref="N1009" si="3847">IFERROR((M1010/M1009),"-")</f>
        <v>-</v>
      </c>
      <c r="O1009" s="528"/>
      <c r="P1009" s="547">
        <v>0</v>
      </c>
      <c r="Q1009" s="547">
        <v>0</v>
      </c>
      <c r="R1009" s="547">
        <v>0</v>
      </c>
      <c r="S1009" s="547">
        <v>0</v>
      </c>
      <c r="T1009" s="547">
        <v>0</v>
      </c>
      <c r="U1009" s="547">
        <v>0</v>
      </c>
      <c r="V1009" s="548">
        <v>0</v>
      </c>
      <c r="W1009" s="528"/>
      <c r="X1009" s="711">
        <f t="shared" si="3794"/>
        <v>0</v>
      </c>
      <c r="Y1009" s="896" t="str">
        <f t="shared" ref="Y1009" si="3848">IFERROR((X1010/X1009),"0")</f>
        <v>0</v>
      </c>
      <c r="Z1009" s="528"/>
      <c r="AA1009" s="898">
        <v>0</v>
      </c>
      <c r="AB1009" s="898">
        <v>0</v>
      </c>
      <c r="AC1009" s="903">
        <v>0</v>
      </c>
      <c r="AD1009" s="896" t="str">
        <f t="shared" ref="AD1009" si="3849">IFERROR((AC1009/AB1009),"-")</f>
        <v>-</v>
      </c>
      <c r="AE1009" s="2"/>
      <c r="AF1009" s="886">
        <v>22</v>
      </c>
      <c r="AG1009" s="884"/>
      <c r="AH1009" s="921">
        <v>0</v>
      </c>
      <c r="AI1009" s="884"/>
      <c r="AJ1009" s="884"/>
      <c r="AK1009" s="884">
        <f t="shared" ref="AK1009" si="3850">AF1009+AG1009+AH1009+AI1009+AJ1009+AC1009</f>
        <v>22</v>
      </c>
      <c r="AL1009" s="884">
        <v>22</v>
      </c>
      <c r="AM1009" s="878">
        <f t="shared" ref="AM1009" si="3851">IFERROR((AK1009/AL1009),"-")</f>
        <v>1</v>
      </c>
      <c r="AN1009" s="2"/>
      <c r="AO1009" s="884">
        <v>22</v>
      </c>
      <c r="AP1009" s="884">
        <f t="shared" ref="AP1009" si="3852">AO1009-AK1009</f>
        <v>0</v>
      </c>
      <c r="AV1009" t="str">
        <f t="shared" si="3688"/>
        <v>Sobrelargura</v>
      </c>
      <c r="AW1009" s="4" t="str">
        <f t="shared" si="3687"/>
        <v>2.4-BDT PEAD DN 1,20m - km 136+844 - Aterro A5 - Bueiro de PEAD</v>
      </c>
    </row>
    <row r="1010" spans="1:49" ht="15.6" customHeight="1" outlineLevel="2">
      <c r="A1010" s="8" t="str">
        <f t="shared" ref="A1010" si="3853">A1009</f>
        <v>N</v>
      </c>
      <c r="B1010" s="150"/>
      <c r="C1010" s="150"/>
      <c r="D1010" s="120"/>
      <c r="E1010" s="893"/>
      <c r="F1010" s="902"/>
      <c r="G1010" s="528"/>
      <c r="H1010" s="549" t="s">
        <v>38</v>
      </c>
      <c r="I1010" s="711">
        <v>0</v>
      </c>
      <c r="J1010" s="897"/>
      <c r="K1010" s="528"/>
      <c r="L1010" s="549" t="s">
        <v>38</v>
      </c>
      <c r="M1010" s="711">
        <f t="shared" si="3801"/>
        <v>0</v>
      </c>
      <c r="N1010" s="897"/>
      <c r="O1010" s="528"/>
      <c r="P1010" s="548">
        <v>0</v>
      </c>
      <c r="Q1010" s="548">
        <v>0</v>
      </c>
      <c r="R1010" s="548">
        <v>0</v>
      </c>
      <c r="S1010" s="548">
        <v>0</v>
      </c>
      <c r="T1010" s="548">
        <v>0</v>
      </c>
      <c r="U1010" s="548">
        <v>0</v>
      </c>
      <c r="V1010" s="548">
        <v>0</v>
      </c>
      <c r="W1010" s="528"/>
      <c r="X1010" s="711">
        <f t="shared" si="3794"/>
        <v>0</v>
      </c>
      <c r="Y1010" s="897"/>
      <c r="Z1010" s="528"/>
      <c r="AA1010" s="899"/>
      <c r="AB1010" s="899"/>
      <c r="AC1010" s="904"/>
      <c r="AD1010" s="905"/>
      <c r="AE1010" s="2"/>
      <c r="AF1010" s="926"/>
      <c r="AG1010" s="885"/>
      <c r="AH1010" s="922"/>
      <c r="AI1010" s="885"/>
      <c r="AJ1010" s="885"/>
      <c r="AK1010" s="885"/>
      <c r="AL1010" s="885"/>
      <c r="AM1010" s="879"/>
      <c r="AN1010" s="2"/>
      <c r="AO1010" s="886"/>
      <c r="AP1010" s="886"/>
      <c r="AV1010" t="str">
        <f t="shared" si="3688"/>
        <v>Sobrelargura</v>
      </c>
      <c r="AW1010" s="4" t="str">
        <f t="shared" si="3687"/>
        <v>2.4-BDT PEAD DN 1,20m - km 136+844 - Aterro A5 - Bueiro de PEAD</v>
      </c>
    </row>
    <row r="1011" spans="1:49" ht="15" customHeight="1" outlineLevel="2">
      <c r="A1011" s="8" t="str">
        <f t="shared" ref="A1011" si="3854">IF(SUM(P1011:V1012)&gt;0,"S","N")</f>
        <v>N</v>
      </c>
      <c r="B1011" s="150">
        <v>1064286</v>
      </c>
      <c r="C1011" s="150" t="s">
        <v>1333</v>
      </c>
      <c r="D1011" s="120" t="s">
        <v>1334</v>
      </c>
      <c r="E1011" s="892" t="s">
        <v>1334</v>
      </c>
      <c r="F1011" s="902" t="s">
        <v>52</v>
      </c>
      <c r="G1011" s="528"/>
      <c r="H1011" s="546" t="s">
        <v>37</v>
      </c>
      <c r="I1011" s="711">
        <v>0</v>
      </c>
      <c r="J1011" s="896" t="str">
        <f t="shared" ref="J1011" si="3855">IFERROR((I1012/I1011),"-")</f>
        <v>-</v>
      </c>
      <c r="K1011" s="528"/>
      <c r="L1011" s="546" t="s">
        <v>37</v>
      </c>
      <c r="M1011" s="711">
        <f t="shared" si="3801"/>
        <v>0</v>
      </c>
      <c r="N1011" s="896" t="str">
        <f t="shared" ref="N1011" si="3856">IFERROR((M1012/M1011),"-")</f>
        <v>-</v>
      </c>
      <c r="O1011" s="528"/>
      <c r="P1011" s="547">
        <v>0</v>
      </c>
      <c r="Q1011" s="547">
        <v>0</v>
      </c>
      <c r="R1011" s="547">
        <v>0</v>
      </c>
      <c r="S1011" s="547">
        <v>0</v>
      </c>
      <c r="T1011" s="547">
        <v>0</v>
      </c>
      <c r="U1011" s="547">
        <v>0</v>
      </c>
      <c r="V1011" s="548">
        <v>0</v>
      </c>
      <c r="W1011" s="528"/>
      <c r="X1011" s="711">
        <f t="shared" si="3794"/>
        <v>0</v>
      </c>
      <c r="Y1011" s="896" t="str">
        <f t="shared" ref="Y1011" si="3857">IFERROR((X1012/X1011),"0")</f>
        <v>0</v>
      </c>
      <c r="Z1011" s="528"/>
      <c r="AA1011" s="898">
        <v>0</v>
      </c>
      <c r="AB1011" s="898">
        <v>0</v>
      </c>
      <c r="AC1011" s="903">
        <v>0</v>
      </c>
      <c r="AD1011" s="896" t="str">
        <f t="shared" ref="AD1011" si="3858">IFERROR((AC1011/AB1011),"-")</f>
        <v>-</v>
      </c>
      <c r="AE1011" s="2"/>
      <c r="AF1011" s="886">
        <v>13</v>
      </c>
      <c r="AG1011" s="884"/>
      <c r="AH1011" s="921">
        <v>0</v>
      </c>
      <c r="AI1011" s="884"/>
      <c r="AJ1011" s="884"/>
      <c r="AK1011" s="884">
        <f t="shared" ref="AK1011" si="3859">AF1011+AG1011+AH1011+AI1011+AJ1011+AC1011</f>
        <v>13</v>
      </c>
      <c r="AL1011" s="884">
        <v>13.010000000000002</v>
      </c>
      <c r="AM1011" s="878">
        <f t="shared" ref="AM1011" si="3860">IFERROR((AK1011/AL1011),"-")</f>
        <v>0.99923136049192918</v>
      </c>
      <c r="AN1011" s="2"/>
      <c r="AO1011" s="884">
        <v>13</v>
      </c>
      <c r="AP1011" s="884">
        <f t="shared" ref="AP1011" si="3861">AO1011-AK1011</f>
        <v>0</v>
      </c>
      <c r="AV1011" t="str">
        <f t="shared" si="3688"/>
        <v>Sobrelargura</v>
      </c>
      <c r="AW1011" s="4" t="str">
        <f t="shared" si="3687"/>
        <v>2.4-PG BSCC 2,5 0x 2,50m - km 137+450 - Aterro A6 - Bueiro de Concreto</v>
      </c>
    </row>
    <row r="1012" spans="1:49" ht="15" customHeight="1" outlineLevel="2">
      <c r="A1012" s="8" t="str">
        <f t="shared" ref="A1012" si="3862">A1011</f>
        <v>N</v>
      </c>
      <c r="B1012" s="150"/>
      <c r="C1012" s="150"/>
      <c r="D1012" s="120"/>
      <c r="E1012" s="893"/>
      <c r="F1012" s="902"/>
      <c r="G1012" s="528"/>
      <c r="H1012" s="549" t="s">
        <v>38</v>
      </c>
      <c r="I1012" s="711">
        <v>0</v>
      </c>
      <c r="J1012" s="897"/>
      <c r="K1012" s="528"/>
      <c r="L1012" s="549" t="s">
        <v>38</v>
      </c>
      <c r="M1012" s="711">
        <f t="shared" si="3801"/>
        <v>0</v>
      </c>
      <c r="N1012" s="897"/>
      <c r="O1012" s="528"/>
      <c r="P1012" s="548">
        <v>0</v>
      </c>
      <c r="Q1012" s="548">
        <v>0</v>
      </c>
      <c r="R1012" s="548">
        <v>0</v>
      </c>
      <c r="S1012" s="548">
        <v>0</v>
      </c>
      <c r="T1012" s="548">
        <v>0</v>
      </c>
      <c r="U1012" s="548">
        <v>0</v>
      </c>
      <c r="V1012" s="548">
        <v>0</v>
      </c>
      <c r="W1012" s="528"/>
      <c r="X1012" s="711">
        <f t="shared" si="3794"/>
        <v>0</v>
      </c>
      <c r="Y1012" s="897"/>
      <c r="Z1012" s="528"/>
      <c r="AA1012" s="899"/>
      <c r="AB1012" s="899"/>
      <c r="AC1012" s="904"/>
      <c r="AD1012" s="905"/>
      <c r="AE1012" s="2"/>
      <c r="AF1012" s="926"/>
      <c r="AG1012" s="885"/>
      <c r="AH1012" s="922"/>
      <c r="AI1012" s="885"/>
      <c r="AJ1012" s="885"/>
      <c r="AK1012" s="885"/>
      <c r="AL1012" s="885"/>
      <c r="AM1012" s="879"/>
      <c r="AN1012" s="2"/>
      <c r="AO1012" s="886"/>
      <c r="AP1012" s="886"/>
      <c r="AV1012" t="str">
        <f t="shared" si="3688"/>
        <v>Sobrelargura</v>
      </c>
      <c r="AW1012" s="4" t="str">
        <f t="shared" si="3687"/>
        <v>2.4-PG BSCC 2,5 0x 2,50m - km 137+450 - Aterro A6 - Bueiro de Concreto</v>
      </c>
    </row>
    <row r="1013" spans="1:49" ht="15.6" customHeight="1" outlineLevel="2">
      <c r="A1013" s="8" t="str">
        <f t="shared" ref="A1013" si="3863">IF(SUM(P1013:V1014)&gt;0,"S","N")</f>
        <v>N</v>
      </c>
      <c r="B1013" s="150">
        <v>1064829</v>
      </c>
      <c r="C1013" s="150" t="s">
        <v>1335</v>
      </c>
      <c r="D1013" s="120" t="s">
        <v>1336</v>
      </c>
      <c r="E1013" s="892" t="s">
        <v>1336</v>
      </c>
      <c r="F1013" s="902" t="s">
        <v>52</v>
      </c>
      <c r="G1013" s="528"/>
      <c r="H1013" s="546" t="s">
        <v>37</v>
      </c>
      <c r="I1013" s="711">
        <v>0</v>
      </c>
      <c r="J1013" s="896" t="str">
        <f t="shared" ref="J1013" si="3864">IFERROR((I1014/I1013),"-")</f>
        <v>-</v>
      </c>
      <c r="K1013" s="528"/>
      <c r="L1013" s="546" t="s">
        <v>37</v>
      </c>
      <c r="M1013" s="711">
        <f t="shared" si="3801"/>
        <v>0</v>
      </c>
      <c r="N1013" s="896" t="str">
        <f t="shared" ref="N1013" si="3865">IFERROR((M1014/M1013),"-")</f>
        <v>-</v>
      </c>
      <c r="O1013" s="528"/>
      <c r="P1013" s="547">
        <v>0</v>
      </c>
      <c r="Q1013" s="547">
        <v>0</v>
      </c>
      <c r="R1013" s="547">
        <v>0</v>
      </c>
      <c r="S1013" s="547">
        <v>0</v>
      </c>
      <c r="T1013" s="547">
        <v>0</v>
      </c>
      <c r="U1013" s="547">
        <v>0</v>
      </c>
      <c r="V1013" s="548">
        <v>0</v>
      </c>
      <c r="W1013" s="528"/>
      <c r="X1013" s="711">
        <f t="shared" si="3794"/>
        <v>0</v>
      </c>
      <c r="Y1013" s="896" t="str">
        <f t="shared" ref="Y1013" si="3866">IFERROR((X1014/X1013),"0")</f>
        <v>0</v>
      </c>
      <c r="Z1013" s="528"/>
      <c r="AA1013" s="898">
        <v>0</v>
      </c>
      <c r="AB1013" s="898">
        <v>0</v>
      </c>
      <c r="AC1013" s="903">
        <v>0</v>
      </c>
      <c r="AD1013" s="896" t="str">
        <f t="shared" ref="AD1013" si="3867">IFERROR((AC1013/AB1013),"-")</f>
        <v>-</v>
      </c>
      <c r="AE1013" s="2"/>
      <c r="AF1013" s="886">
        <v>21</v>
      </c>
      <c r="AG1013" s="884"/>
      <c r="AH1013" s="921">
        <v>0</v>
      </c>
      <c r="AI1013" s="884"/>
      <c r="AJ1013" s="884"/>
      <c r="AK1013" s="884">
        <f t="shared" ref="AK1013" si="3868">AF1013+AG1013+AH1013+AI1013+AJ1013+AC1013</f>
        <v>21</v>
      </c>
      <c r="AL1013" s="884">
        <v>21</v>
      </c>
      <c r="AM1013" s="878">
        <f t="shared" ref="AM1013" si="3869">IFERROR((AK1013/AL1013),"-")</f>
        <v>1</v>
      </c>
      <c r="AN1013" s="2"/>
      <c r="AO1013" s="884">
        <v>21</v>
      </c>
      <c r="AP1013" s="884">
        <f t="shared" ref="AP1013" si="3870">AO1013-AK1013</f>
        <v>0</v>
      </c>
      <c r="AV1013" t="str">
        <f t="shared" si="3688"/>
        <v>Sobrelargura</v>
      </c>
      <c r="AW1013" s="4" t="str">
        <f t="shared" si="3687"/>
        <v>2.4-BST PEAD DN 0,80m - Km 0+254 - acesso km 132+060 LD - Bueiro de PEAD</v>
      </c>
    </row>
    <row r="1014" spans="1:49" ht="15.6" customHeight="1" outlineLevel="2">
      <c r="A1014" s="8" t="str">
        <f t="shared" ref="A1014" si="3871">A1013</f>
        <v>N</v>
      </c>
      <c r="B1014" s="150"/>
      <c r="C1014" s="150"/>
      <c r="D1014" s="120"/>
      <c r="E1014" s="893"/>
      <c r="F1014" s="902"/>
      <c r="G1014" s="528"/>
      <c r="H1014" s="549" t="s">
        <v>38</v>
      </c>
      <c r="I1014" s="711">
        <v>0</v>
      </c>
      <c r="J1014" s="897"/>
      <c r="K1014" s="528"/>
      <c r="L1014" s="549" t="s">
        <v>38</v>
      </c>
      <c r="M1014" s="711">
        <f t="shared" si="3801"/>
        <v>0</v>
      </c>
      <c r="N1014" s="897"/>
      <c r="O1014" s="528"/>
      <c r="P1014" s="548">
        <v>0</v>
      </c>
      <c r="Q1014" s="548">
        <v>0</v>
      </c>
      <c r="R1014" s="548">
        <v>0</v>
      </c>
      <c r="S1014" s="548">
        <v>0</v>
      </c>
      <c r="T1014" s="548">
        <v>0</v>
      </c>
      <c r="U1014" s="548">
        <v>0</v>
      </c>
      <c r="V1014" s="548">
        <v>0</v>
      </c>
      <c r="W1014" s="528"/>
      <c r="X1014" s="711">
        <f t="shared" si="3794"/>
        <v>0</v>
      </c>
      <c r="Y1014" s="897"/>
      <c r="Z1014" s="528"/>
      <c r="AA1014" s="899"/>
      <c r="AB1014" s="899"/>
      <c r="AC1014" s="904"/>
      <c r="AD1014" s="905"/>
      <c r="AE1014" s="2"/>
      <c r="AF1014" s="926"/>
      <c r="AG1014" s="885"/>
      <c r="AH1014" s="922"/>
      <c r="AI1014" s="885"/>
      <c r="AJ1014" s="885"/>
      <c r="AK1014" s="885"/>
      <c r="AL1014" s="885"/>
      <c r="AM1014" s="879"/>
      <c r="AN1014" s="2"/>
      <c r="AO1014" s="886"/>
      <c r="AP1014" s="886"/>
      <c r="AV1014" t="str">
        <f t="shared" si="3688"/>
        <v>Sobrelargura</v>
      </c>
      <c r="AW1014" s="4" t="str">
        <f t="shared" si="3687"/>
        <v>2.4-BST PEAD DN 0,80m - Km 0+254 - acesso km 132+060 LD - Bueiro de PEAD</v>
      </c>
    </row>
    <row r="1015" spans="1:49" ht="15.6" customHeight="1" outlineLevel="2">
      <c r="A1015" s="8" t="str">
        <f t="shared" ref="A1015" si="3872">IF(SUM(P1015:V1016)&gt;0,"S","N")</f>
        <v>N</v>
      </c>
      <c r="B1015" s="150">
        <v>1064834</v>
      </c>
      <c r="C1015" s="150" t="s">
        <v>1337</v>
      </c>
      <c r="D1015" s="120" t="s">
        <v>1338</v>
      </c>
      <c r="E1015" s="892" t="s">
        <v>1338</v>
      </c>
      <c r="F1015" s="902" t="s">
        <v>52</v>
      </c>
      <c r="G1015" s="528"/>
      <c r="H1015" s="546" t="s">
        <v>37</v>
      </c>
      <c r="I1015" s="711">
        <v>0</v>
      </c>
      <c r="J1015" s="896" t="str">
        <f t="shared" ref="J1015" si="3873">IFERROR((I1016/I1015),"-")</f>
        <v>-</v>
      </c>
      <c r="K1015" s="528"/>
      <c r="L1015" s="546" t="s">
        <v>37</v>
      </c>
      <c r="M1015" s="711">
        <f t="shared" si="3801"/>
        <v>0</v>
      </c>
      <c r="N1015" s="896" t="str">
        <f t="shared" ref="N1015" si="3874">IFERROR((M1016/M1015),"-")</f>
        <v>-</v>
      </c>
      <c r="O1015" s="528"/>
      <c r="P1015" s="547">
        <v>0</v>
      </c>
      <c r="Q1015" s="547">
        <v>0</v>
      </c>
      <c r="R1015" s="547">
        <v>0</v>
      </c>
      <c r="S1015" s="547">
        <v>0</v>
      </c>
      <c r="T1015" s="547">
        <v>0</v>
      </c>
      <c r="U1015" s="547">
        <v>0</v>
      </c>
      <c r="V1015" s="548">
        <v>0</v>
      </c>
      <c r="W1015" s="528"/>
      <c r="X1015" s="711">
        <f t="shared" si="3794"/>
        <v>0</v>
      </c>
      <c r="Y1015" s="896" t="str">
        <f t="shared" ref="Y1015" si="3875">IFERROR((X1016/X1015),"0")</f>
        <v>0</v>
      </c>
      <c r="Z1015" s="528"/>
      <c r="AA1015" s="898">
        <v>0</v>
      </c>
      <c r="AB1015" s="898">
        <v>0</v>
      </c>
      <c r="AC1015" s="903">
        <v>0</v>
      </c>
      <c r="AD1015" s="896" t="str">
        <f t="shared" ref="AD1015" si="3876">IFERROR((AC1015/AB1015),"-")</f>
        <v>-</v>
      </c>
      <c r="AE1015" s="2"/>
      <c r="AF1015" s="886">
        <v>21</v>
      </c>
      <c r="AG1015" s="884"/>
      <c r="AH1015" s="921">
        <v>0</v>
      </c>
      <c r="AI1015" s="884"/>
      <c r="AJ1015" s="884"/>
      <c r="AK1015" s="884">
        <f t="shared" ref="AK1015" si="3877">AF1015+AG1015+AH1015+AI1015+AJ1015+AC1015</f>
        <v>21</v>
      </c>
      <c r="AL1015" s="884">
        <v>21</v>
      </c>
      <c r="AM1015" s="878">
        <f t="shared" ref="AM1015" si="3878">IFERROR((AK1015/AL1015),"-")</f>
        <v>1</v>
      </c>
      <c r="AN1015" s="2"/>
      <c r="AO1015" s="884">
        <v>21</v>
      </c>
      <c r="AP1015" s="884">
        <f t="shared" ref="AP1015" si="3879">AO1015-AK1015</f>
        <v>0</v>
      </c>
      <c r="AV1015" t="str">
        <f t="shared" si="3688"/>
        <v>Sobrelargura</v>
      </c>
      <c r="AW1015" s="4" t="str">
        <f t="shared" si="3687"/>
        <v>2.4-BST PEAD DN 0,80m - Km 0+292 - acesso acesso km 132+060 LE - Bueiro de PEAD</v>
      </c>
    </row>
    <row r="1016" spans="1:49" ht="15.6" customHeight="1" outlineLevel="2">
      <c r="A1016" s="8" t="str">
        <f t="shared" ref="A1016" si="3880">A1015</f>
        <v>N</v>
      </c>
      <c r="B1016" s="150"/>
      <c r="C1016" s="150"/>
      <c r="D1016" s="120"/>
      <c r="E1016" s="893"/>
      <c r="F1016" s="902"/>
      <c r="G1016" s="528"/>
      <c r="H1016" s="549" t="s">
        <v>38</v>
      </c>
      <c r="I1016" s="711">
        <v>0</v>
      </c>
      <c r="J1016" s="897"/>
      <c r="K1016" s="528"/>
      <c r="L1016" s="549" t="s">
        <v>38</v>
      </c>
      <c r="M1016" s="711">
        <f t="shared" si="3801"/>
        <v>0</v>
      </c>
      <c r="N1016" s="897"/>
      <c r="O1016" s="528"/>
      <c r="P1016" s="548">
        <v>0</v>
      </c>
      <c r="Q1016" s="548">
        <v>0</v>
      </c>
      <c r="R1016" s="548">
        <v>0</v>
      </c>
      <c r="S1016" s="548">
        <v>0</v>
      </c>
      <c r="T1016" s="548">
        <v>0</v>
      </c>
      <c r="U1016" s="548">
        <v>0</v>
      </c>
      <c r="V1016" s="548">
        <v>0</v>
      </c>
      <c r="W1016" s="528"/>
      <c r="X1016" s="711">
        <f t="shared" si="3794"/>
        <v>0</v>
      </c>
      <c r="Y1016" s="897"/>
      <c r="Z1016" s="528"/>
      <c r="AA1016" s="899"/>
      <c r="AB1016" s="899"/>
      <c r="AC1016" s="904"/>
      <c r="AD1016" s="905"/>
      <c r="AE1016" s="2"/>
      <c r="AF1016" s="926"/>
      <c r="AG1016" s="885"/>
      <c r="AH1016" s="922"/>
      <c r="AI1016" s="885"/>
      <c r="AJ1016" s="885"/>
      <c r="AK1016" s="885"/>
      <c r="AL1016" s="885"/>
      <c r="AM1016" s="879"/>
      <c r="AN1016" s="2"/>
      <c r="AO1016" s="886"/>
      <c r="AP1016" s="886"/>
      <c r="AV1016" t="str">
        <f t="shared" si="3688"/>
        <v>Sobrelargura</v>
      </c>
      <c r="AW1016" s="4" t="str">
        <f t="shared" si="3687"/>
        <v>2.4-BST PEAD DN 0,80m - Km 0+292 - acesso acesso km 132+060 LE - Bueiro de PEAD</v>
      </c>
    </row>
    <row r="1017" spans="1:49" ht="15.6" customHeight="1" outlineLevel="2">
      <c r="A1017" s="8" t="str">
        <f t="shared" ref="A1017" si="3881">IF(SUM(P1017:V1018)&gt;0,"S","N")</f>
        <v>N</v>
      </c>
      <c r="B1017" s="150">
        <v>1064840</v>
      </c>
      <c r="C1017" s="150" t="s">
        <v>1339</v>
      </c>
      <c r="D1017" s="120" t="s">
        <v>1340</v>
      </c>
      <c r="E1017" s="892" t="s">
        <v>1340</v>
      </c>
      <c r="F1017" s="902" t="s">
        <v>52</v>
      </c>
      <c r="G1017" s="528"/>
      <c r="H1017" s="546" t="s">
        <v>37</v>
      </c>
      <c r="I1017" s="711">
        <v>0</v>
      </c>
      <c r="J1017" s="896" t="str">
        <f t="shared" ref="J1017" si="3882">IFERROR((I1018/I1017),"-")</f>
        <v>-</v>
      </c>
      <c r="K1017" s="528"/>
      <c r="L1017" s="546" t="s">
        <v>37</v>
      </c>
      <c r="M1017" s="711">
        <f t="shared" si="3801"/>
        <v>0</v>
      </c>
      <c r="N1017" s="896" t="str">
        <f t="shared" ref="N1017" si="3883">IFERROR((M1018/M1017),"-")</f>
        <v>-</v>
      </c>
      <c r="O1017" s="528"/>
      <c r="P1017" s="547">
        <v>0</v>
      </c>
      <c r="Q1017" s="547">
        <v>0</v>
      </c>
      <c r="R1017" s="547">
        <v>0</v>
      </c>
      <c r="S1017" s="547">
        <v>0</v>
      </c>
      <c r="T1017" s="547">
        <v>0</v>
      </c>
      <c r="U1017" s="547">
        <v>0</v>
      </c>
      <c r="V1017" s="548">
        <v>0</v>
      </c>
      <c r="W1017" s="528"/>
      <c r="X1017" s="711">
        <f t="shared" si="3794"/>
        <v>0</v>
      </c>
      <c r="Y1017" s="896" t="str">
        <f t="shared" ref="Y1017" si="3884">IFERROR((X1018/X1017),"0")</f>
        <v>0</v>
      </c>
      <c r="Z1017" s="528"/>
      <c r="AA1017" s="898">
        <v>0</v>
      </c>
      <c r="AB1017" s="898">
        <v>0</v>
      </c>
      <c r="AC1017" s="903">
        <v>0</v>
      </c>
      <c r="AD1017" s="896" t="str">
        <f t="shared" ref="AD1017" si="3885">IFERROR((AC1017/AB1017),"-")</f>
        <v>-</v>
      </c>
      <c r="AE1017" s="2"/>
      <c r="AF1017" s="886">
        <v>0</v>
      </c>
      <c r="AG1017" s="884"/>
      <c r="AH1017" s="921">
        <v>0</v>
      </c>
      <c r="AI1017" s="884"/>
      <c r="AJ1017" s="884"/>
      <c r="AK1017" s="884">
        <f t="shared" ref="AK1017" si="3886">AF1017+AG1017+AH1017+AI1017+AJ1017+AC1017</f>
        <v>0</v>
      </c>
      <c r="AL1017" s="884">
        <v>0</v>
      </c>
      <c r="AM1017" s="878" t="str">
        <f t="shared" ref="AM1017" si="3887">IFERROR((AK1017/AL1017),"-")</f>
        <v>-</v>
      </c>
      <c r="AN1017" s="2"/>
      <c r="AO1017" s="884">
        <v>21</v>
      </c>
      <c r="AP1017" s="884">
        <f t="shared" ref="AP1017" si="3888">AO1017-AK1017</f>
        <v>21</v>
      </c>
      <c r="AV1017" t="str">
        <f t="shared" si="3688"/>
        <v>Sobrelargura</v>
      </c>
      <c r="AW1017" s="4" t="str">
        <f t="shared" si="3687"/>
        <v>2.4-BST PEAD DN 0,80m - Km 0+153 - acesso km 137+500 LD - Bueiro de PEAD</v>
      </c>
    </row>
    <row r="1018" spans="1:49" ht="15.6" customHeight="1" outlineLevel="2">
      <c r="A1018" s="8" t="str">
        <f t="shared" ref="A1018" si="3889">A1017</f>
        <v>N</v>
      </c>
      <c r="B1018" s="150"/>
      <c r="C1018" s="150"/>
      <c r="D1018" s="120"/>
      <c r="E1018" s="893"/>
      <c r="F1018" s="902"/>
      <c r="G1018" s="528"/>
      <c r="H1018" s="549" t="s">
        <v>38</v>
      </c>
      <c r="I1018" s="711">
        <v>0</v>
      </c>
      <c r="J1018" s="897"/>
      <c r="K1018" s="528"/>
      <c r="L1018" s="549" t="s">
        <v>38</v>
      </c>
      <c r="M1018" s="711">
        <f t="shared" si="3801"/>
        <v>0</v>
      </c>
      <c r="N1018" s="897"/>
      <c r="O1018" s="528"/>
      <c r="P1018" s="548">
        <v>0</v>
      </c>
      <c r="Q1018" s="548">
        <v>0</v>
      </c>
      <c r="R1018" s="548">
        <v>0</v>
      </c>
      <c r="S1018" s="548">
        <v>0</v>
      </c>
      <c r="T1018" s="548">
        <v>0</v>
      </c>
      <c r="U1018" s="548">
        <v>0</v>
      </c>
      <c r="V1018" s="548">
        <v>0</v>
      </c>
      <c r="W1018" s="528"/>
      <c r="X1018" s="711">
        <f t="shared" si="3794"/>
        <v>0</v>
      </c>
      <c r="Y1018" s="897"/>
      <c r="Z1018" s="528"/>
      <c r="AA1018" s="899"/>
      <c r="AB1018" s="899"/>
      <c r="AC1018" s="904"/>
      <c r="AD1018" s="905"/>
      <c r="AE1018" s="2"/>
      <c r="AF1018" s="996"/>
      <c r="AG1018" s="908"/>
      <c r="AH1018" s="922"/>
      <c r="AI1018" s="908"/>
      <c r="AJ1018" s="908"/>
      <c r="AK1018" s="885"/>
      <c r="AL1018" s="885"/>
      <c r="AM1018" s="879"/>
      <c r="AN1018" s="2"/>
      <c r="AO1018" s="886"/>
      <c r="AP1018" s="886"/>
      <c r="AV1018" t="str">
        <f t="shared" si="3688"/>
        <v>Sobrelargura</v>
      </c>
      <c r="AW1018" s="4" t="str">
        <f t="shared" si="3687"/>
        <v>2.4-BST PEAD DN 0,80m - Km 0+153 - acesso km 137+500 LD - Bueiro de PEAD</v>
      </c>
    </row>
    <row r="1019" spans="1:49" ht="15.6" customHeight="1" outlineLevel="2">
      <c r="A1019" s="209">
        <v>0</v>
      </c>
      <c r="B1019" s="150"/>
      <c r="C1019" s="150"/>
      <c r="D1019" s="117"/>
      <c r="E1019" s="535"/>
      <c r="F1019" s="536"/>
      <c r="G1019" s="537"/>
      <c r="H1019" s="714"/>
      <c r="I1019" s="571"/>
      <c r="J1019" s="714"/>
      <c r="K1019" s="537"/>
      <c r="L1019" s="714"/>
      <c r="M1019" s="571"/>
      <c r="N1019" s="714"/>
      <c r="O1019" s="537"/>
      <c r="P1019" s="572"/>
      <c r="Q1019" s="572"/>
      <c r="R1019" s="572"/>
      <c r="S1019" s="572"/>
      <c r="T1019" s="572"/>
      <c r="U1019" s="572"/>
      <c r="V1019" s="572"/>
      <c r="W1019" s="537"/>
      <c r="X1019" s="573"/>
      <c r="Y1019" s="537"/>
      <c r="Z1019" s="537"/>
      <c r="AA1019" s="249"/>
      <c r="AB1019" s="249"/>
      <c r="AC1019" s="249"/>
      <c r="AD1019" s="537"/>
      <c r="AE1019" s="3"/>
      <c r="AF1019" s="35"/>
      <c r="AG1019" s="35"/>
      <c r="AH1019" s="35"/>
      <c r="AI1019" s="35"/>
      <c r="AJ1019" s="35"/>
      <c r="AK1019" s="35"/>
      <c r="AL1019" s="35"/>
      <c r="AM1019" s="3"/>
      <c r="AN1019" s="3"/>
      <c r="AO1019" s="35"/>
      <c r="AP1019" s="35"/>
      <c r="AV1019" t="str">
        <f t="shared" si="3688"/>
        <v>Sobrelargura</v>
      </c>
      <c r="AW1019" s="4" t="str">
        <f t="shared" si="3687"/>
        <v>2.4-BST PEAD DN 0,80m - Km 0+153 - acesso km 137+500 LD - Bueiro de PEAD</v>
      </c>
    </row>
    <row r="1020" spans="1:49" ht="15.6" customHeight="1" outlineLevel="2">
      <c r="A1020" s="209">
        <v>0</v>
      </c>
      <c r="B1020" s="150"/>
      <c r="C1020" s="150"/>
      <c r="D1020" s="122"/>
      <c r="E1020" s="913" t="s">
        <v>44</v>
      </c>
      <c r="F1020" s="868" t="s">
        <v>52</v>
      </c>
      <c r="G1020" s="528"/>
      <c r="H1020" s="542" t="s">
        <v>37</v>
      </c>
      <c r="I1020" s="543">
        <f>SUMIF($L1022:$L1081,$L1020,I1022:I1081)</f>
        <v>0</v>
      </c>
      <c r="J1020" s="860" t="str">
        <f>IFERROR((I1021/I1020),"-")</f>
        <v>-</v>
      </c>
      <c r="K1020" s="528"/>
      <c r="L1020" s="542" t="s">
        <v>37</v>
      </c>
      <c r="M1020" s="543">
        <f>SUMIF($L1022:$L1081,$L1020,M1022:M1081)</f>
        <v>0</v>
      </c>
      <c r="N1020" s="860"/>
      <c r="O1020" s="528"/>
      <c r="P1020" s="543">
        <f t="shared" ref="P1020:U1020" si="3890">SUMIF($L1022:$L1081,$L1020,P1022:P1081)</f>
        <v>0</v>
      </c>
      <c r="Q1020" s="543">
        <f t="shared" si="3890"/>
        <v>0</v>
      </c>
      <c r="R1020" s="543">
        <f t="shared" si="3890"/>
        <v>0</v>
      </c>
      <c r="S1020" s="543">
        <f t="shared" si="3890"/>
        <v>0</v>
      </c>
      <c r="T1020" s="543">
        <f t="shared" si="3890"/>
        <v>0</v>
      </c>
      <c r="U1020" s="543">
        <f t="shared" si="3890"/>
        <v>0</v>
      </c>
      <c r="V1020" s="543"/>
      <c r="W1020" s="528"/>
      <c r="X1020" s="543">
        <f t="shared" ref="X1020:X1083" si="3891">SUMIFS(P1020:V1020,$P$8:$V$8,"&gt;="&amp;$P$8,$P$8:$V$8,"&lt;="&amp;$N$8)</f>
        <v>0</v>
      </c>
      <c r="Y1020" s="860" t="str">
        <f>IFERROR((X1021/X1020),"-")</f>
        <v>-</v>
      </c>
      <c r="Z1020" s="528"/>
      <c r="AA1020" s="814">
        <f>SUM(AA1022:AA1081)</f>
        <v>28.16</v>
      </c>
      <c r="AB1020" s="814">
        <f>SUM(AB1022:AB1081)</f>
        <v>28.160000000000004</v>
      </c>
      <c r="AC1020" s="814">
        <f>SUM(AC1022:AC1081)</f>
        <v>25</v>
      </c>
      <c r="AD1020" s="900">
        <f t="shared" ref="AD1020" si="3892">IFERROR((AC1020/AB1020),"-")</f>
        <v>0.88778409090909083</v>
      </c>
      <c r="AE1020" s="2"/>
      <c r="AF1020" s="888">
        <f>SUM(AF1022:AF1083)</f>
        <v>332</v>
      </c>
      <c r="AG1020" s="888">
        <f t="shared" ref="AG1020:AL1020" si="3893">SUM(AG1022:AG1083)</f>
        <v>0</v>
      </c>
      <c r="AH1020" s="888">
        <f t="shared" si="3893"/>
        <v>20</v>
      </c>
      <c r="AI1020" s="888">
        <f t="shared" si="3893"/>
        <v>13</v>
      </c>
      <c r="AJ1020" s="888">
        <f t="shared" si="3893"/>
        <v>0</v>
      </c>
      <c r="AK1020" s="888">
        <f t="shared" si="3893"/>
        <v>390</v>
      </c>
      <c r="AL1020" s="888">
        <f t="shared" si="3893"/>
        <v>454.49</v>
      </c>
      <c r="AM1020" s="743">
        <f>IFERROR((AK1020/AL1020),"-")</f>
        <v>0.85810468877203017</v>
      </c>
      <c r="AN1020" s="2"/>
      <c r="AO1020" s="888">
        <f t="shared" ref="AO1020:AP1020" si="3894">SUM(AO1022:AO1083)</f>
        <v>546.73</v>
      </c>
      <c r="AP1020" s="888">
        <f t="shared" si="3894"/>
        <v>156.73000000000002</v>
      </c>
      <c r="AV1020" t="str">
        <f t="shared" si="3688"/>
        <v>Sobrelargura</v>
      </c>
      <c r="AW1020" s="4" t="str">
        <f t="shared" si="3687"/>
        <v>Pacote 05 - Segmento 2.5 - 138+160 a 153+420</v>
      </c>
    </row>
    <row r="1021" spans="1:49" ht="15.6" customHeight="1" outlineLevel="2">
      <c r="A1021" s="209">
        <v>0</v>
      </c>
      <c r="B1021" s="150"/>
      <c r="C1021" s="150"/>
      <c r="D1021" s="123"/>
      <c r="E1021" s="913"/>
      <c r="F1021" s="869"/>
      <c r="G1021" s="528"/>
      <c r="H1021" s="544" t="s">
        <v>38</v>
      </c>
      <c r="I1021" s="543">
        <f>SUMIF($L1022:$L1081,$L1021,I1022:I1081)</f>
        <v>21</v>
      </c>
      <c r="J1021" s="861"/>
      <c r="K1021" s="528"/>
      <c r="L1021" s="544" t="s">
        <v>38</v>
      </c>
      <c r="M1021" s="543">
        <f>SUMIF($L1022:$L1081,$L1021,M1022:M1081)</f>
        <v>0</v>
      </c>
      <c r="N1021" s="861"/>
      <c r="O1021" s="528"/>
      <c r="P1021" s="543">
        <f t="shared" ref="P1021:U1021" si="3895">SUMIF($L1022:$L1081,$L1021,P1022:P1081)</f>
        <v>4</v>
      </c>
      <c r="Q1021" s="543">
        <f t="shared" si="3895"/>
        <v>0</v>
      </c>
      <c r="R1021" s="543">
        <f t="shared" si="3895"/>
        <v>0</v>
      </c>
      <c r="S1021" s="543">
        <f t="shared" si="3895"/>
        <v>0</v>
      </c>
      <c r="T1021" s="543">
        <f t="shared" si="3895"/>
        <v>0</v>
      </c>
      <c r="U1021" s="543">
        <f t="shared" si="3895"/>
        <v>0</v>
      </c>
      <c r="V1021" s="543"/>
      <c r="W1021" s="528"/>
      <c r="X1021" s="543">
        <f t="shared" si="3891"/>
        <v>4</v>
      </c>
      <c r="Y1021" s="861"/>
      <c r="Z1021" s="528"/>
      <c r="AA1021" s="815"/>
      <c r="AB1021" s="815"/>
      <c r="AC1021" s="815"/>
      <c r="AD1021" s="901"/>
      <c r="AE1021" s="2"/>
      <c r="AF1021" s="889"/>
      <c r="AG1021" s="889"/>
      <c r="AH1021" s="889"/>
      <c r="AI1021" s="889"/>
      <c r="AJ1021" s="889"/>
      <c r="AK1021" s="889"/>
      <c r="AL1021" s="889"/>
      <c r="AM1021" s="744"/>
      <c r="AN1021" s="2"/>
      <c r="AO1021" s="889"/>
      <c r="AP1021" s="889"/>
      <c r="AV1021" t="str">
        <f t="shared" si="3688"/>
        <v>Sobrelargura</v>
      </c>
      <c r="AW1021" s="4" t="str">
        <f t="shared" si="3687"/>
        <v>Pacote 05 - Segmento 2.5 - 138+160 a 153+420</v>
      </c>
    </row>
    <row r="1022" spans="1:49" ht="15.6" customHeight="1" outlineLevel="2">
      <c r="A1022" s="8" t="str">
        <f t="shared" ref="A1022" si="3896">IF(SUM(P1022:V1023)&gt;0,"S","N")</f>
        <v>N</v>
      </c>
      <c r="B1022" s="150">
        <v>1064311</v>
      </c>
      <c r="C1022" s="150" t="s">
        <v>1341</v>
      </c>
      <c r="D1022" s="120" t="s">
        <v>1342</v>
      </c>
      <c r="E1022" s="892" t="s">
        <v>1342</v>
      </c>
      <c r="F1022" s="902" t="s">
        <v>52</v>
      </c>
      <c r="G1022" s="528"/>
      <c r="H1022" s="546" t="s">
        <v>37</v>
      </c>
      <c r="I1022" s="711">
        <v>0</v>
      </c>
      <c r="J1022" s="896" t="str">
        <f t="shared" ref="J1022" si="3897">IFERROR((I1023/I1022),"-")</f>
        <v>-</v>
      </c>
      <c r="K1022" s="528"/>
      <c r="L1022" s="546" t="s">
        <v>37</v>
      </c>
      <c r="M1022" s="711">
        <f t="shared" ref="M1022:M1083" si="3898">_xlfn.XLOOKUP($N$8,$P$8:$V$8,$P1022:$V1022)</f>
        <v>0</v>
      </c>
      <c r="N1022" s="896" t="str">
        <f t="shared" ref="N1022" si="3899">IFERROR((M1023/M1022),"-")</f>
        <v>-</v>
      </c>
      <c r="O1022" s="528"/>
      <c r="P1022" s="547">
        <v>0</v>
      </c>
      <c r="Q1022" s="547">
        <v>0</v>
      </c>
      <c r="R1022" s="547">
        <v>0</v>
      </c>
      <c r="S1022" s="547">
        <v>0</v>
      </c>
      <c r="T1022" s="547">
        <v>0</v>
      </c>
      <c r="U1022" s="547">
        <v>0</v>
      </c>
      <c r="V1022" s="548">
        <v>0</v>
      </c>
      <c r="W1022" s="528"/>
      <c r="X1022" s="711">
        <f t="shared" si="3891"/>
        <v>0</v>
      </c>
      <c r="Y1022" s="896" t="str">
        <f t="shared" ref="Y1022" si="3900">IFERROR((X1023/X1022),"0")</f>
        <v>0</v>
      </c>
      <c r="Z1022" s="528"/>
      <c r="AA1022" s="898">
        <v>0</v>
      </c>
      <c r="AB1022" s="898">
        <v>0</v>
      </c>
      <c r="AC1022" s="903">
        <v>0</v>
      </c>
      <c r="AD1022" s="896" t="str">
        <f t="shared" ref="AD1022" si="3901">IFERROR((AC1022/AB1022),"-")</f>
        <v>-</v>
      </c>
      <c r="AE1022" s="2"/>
      <c r="AF1022" s="886">
        <v>0</v>
      </c>
      <c r="AG1022" s="884"/>
      <c r="AH1022" s="921">
        <v>0</v>
      </c>
      <c r="AI1022" s="884"/>
      <c r="AJ1022" s="884"/>
      <c r="AK1022" s="884">
        <f t="shared" ref="AK1022" si="3902">AF1022+AG1022+AH1022+AI1022+AJ1022+AC1022</f>
        <v>0</v>
      </c>
      <c r="AL1022" s="884">
        <v>6</v>
      </c>
      <c r="AM1022" s="878">
        <f t="shared" ref="AM1022" si="3903">IFERROR((AK1022/AL1022),"-")</f>
        <v>0</v>
      </c>
      <c r="AN1022" s="2"/>
      <c r="AO1022" s="886">
        <v>6</v>
      </c>
      <c r="AP1022" s="884">
        <f t="shared" ref="AP1022" si="3904">AO1022-AK1022</f>
        <v>6</v>
      </c>
      <c r="AV1022" t="str">
        <f t="shared" si="3688"/>
        <v>Sobrelargura</v>
      </c>
      <c r="AW1022" s="4" t="str">
        <f t="shared" si="3687"/>
        <v>2.5-BDCC 2,50 x 2,50 m - Km 140+572 - Aterro A4 - Bueiro de Concreto</v>
      </c>
    </row>
    <row r="1023" spans="1:49" ht="15.6" customHeight="1" outlineLevel="2">
      <c r="A1023" s="8" t="str">
        <f t="shared" ref="A1023" si="3905">A1022</f>
        <v>N</v>
      </c>
      <c r="B1023" s="150"/>
      <c r="C1023" s="150"/>
      <c r="D1023" s="120"/>
      <c r="E1023" s="893"/>
      <c r="F1023" s="902"/>
      <c r="G1023" s="528"/>
      <c r="H1023" s="549" t="s">
        <v>38</v>
      </c>
      <c r="I1023" s="711">
        <v>0</v>
      </c>
      <c r="J1023" s="897"/>
      <c r="K1023" s="528"/>
      <c r="L1023" s="549" t="s">
        <v>38</v>
      </c>
      <c r="M1023" s="711">
        <f t="shared" si="3898"/>
        <v>0</v>
      </c>
      <c r="N1023" s="897"/>
      <c r="O1023" s="528"/>
      <c r="P1023" s="548">
        <v>0</v>
      </c>
      <c r="Q1023" s="548">
        <v>0</v>
      </c>
      <c r="R1023" s="548">
        <v>0</v>
      </c>
      <c r="S1023" s="548">
        <v>0</v>
      </c>
      <c r="T1023" s="548">
        <v>0</v>
      </c>
      <c r="U1023" s="548">
        <v>0</v>
      </c>
      <c r="V1023" s="548">
        <v>0</v>
      </c>
      <c r="W1023" s="528"/>
      <c r="X1023" s="711">
        <f t="shared" si="3891"/>
        <v>0</v>
      </c>
      <c r="Y1023" s="897"/>
      <c r="Z1023" s="528"/>
      <c r="AA1023" s="899"/>
      <c r="AB1023" s="899"/>
      <c r="AC1023" s="904"/>
      <c r="AD1023" s="905"/>
      <c r="AE1023" s="2"/>
      <c r="AF1023" s="926"/>
      <c r="AG1023" s="885"/>
      <c r="AH1023" s="922"/>
      <c r="AI1023" s="885"/>
      <c r="AJ1023" s="885"/>
      <c r="AK1023" s="885"/>
      <c r="AL1023" s="885"/>
      <c r="AM1023" s="879"/>
      <c r="AN1023" s="2"/>
      <c r="AO1023" s="886"/>
      <c r="AP1023" s="886"/>
      <c r="AV1023" t="str">
        <f t="shared" si="3688"/>
        <v>Sobrelargura</v>
      </c>
      <c r="AW1023" s="4" t="str">
        <f t="shared" si="3687"/>
        <v>2.5-BDCC 2,50 x 2,50 m - Km 140+572 - Aterro A4 - Bueiro de Concreto</v>
      </c>
    </row>
    <row r="1024" spans="1:49" ht="15.6" customHeight="1" outlineLevel="2">
      <c r="A1024" s="8" t="str">
        <f t="shared" ref="A1024" si="3906">IF(SUM(P1024:V1025)&gt;0,"S","N")</f>
        <v>N</v>
      </c>
      <c r="B1024" s="150">
        <v>1064323</v>
      </c>
      <c r="C1024" s="150" t="s">
        <v>1343</v>
      </c>
      <c r="D1024" s="120" t="s">
        <v>1344</v>
      </c>
      <c r="E1024" s="892" t="s">
        <v>1344</v>
      </c>
      <c r="F1024" s="902" t="s">
        <v>52</v>
      </c>
      <c r="G1024" s="528"/>
      <c r="H1024" s="546" t="s">
        <v>37</v>
      </c>
      <c r="I1024" s="711">
        <v>0</v>
      </c>
      <c r="J1024" s="896" t="str">
        <f t="shared" ref="J1024" si="3907">IFERROR((I1025/I1024),"-")</f>
        <v>-</v>
      </c>
      <c r="K1024" s="528"/>
      <c r="L1024" s="546" t="s">
        <v>37</v>
      </c>
      <c r="M1024" s="711">
        <f t="shared" si="3898"/>
        <v>0</v>
      </c>
      <c r="N1024" s="896" t="str">
        <f t="shared" ref="N1024" si="3908">IFERROR((M1025/M1024),"-")</f>
        <v>-</v>
      </c>
      <c r="O1024" s="528"/>
      <c r="P1024" s="547">
        <v>0</v>
      </c>
      <c r="Q1024" s="547">
        <v>0</v>
      </c>
      <c r="R1024" s="547">
        <v>0</v>
      </c>
      <c r="S1024" s="547">
        <v>0</v>
      </c>
      <c r="T1024" s="547">
        <v>0</v>
      </c>
      <c r="U1024" s="547">
        <v>0</v>
      </c>
      <c r="V1024" s="548">
        <v>0</v>
      </c>
      <c r="W1024" s="528"/>
      <c r="X1024" s="711">
        <f t="shared" si="3891"/>
        <v>0</v>
      </c>
      <c r="Y1024" s="896" t="str">
        <f t="shared" ref="Y1024" si="3909">IFERROR((X1025/X1024),"0")</f>
        <v>0</v>
      </c>
      <c r="Z1024" s="528"/>
      <c r="AA1024" s="898">
        <v>0</v>
      </c>
      <c r="AB1024" s="898">
        <v>0</v>
      </c>
      <c r="AC1024" s="903">
        <v>0</v>
      </c>
      <c r="AD1024" s="896" t="str">
        <f t="shared" ref="AD1024" si="3910">IFERROR((AC1024/AB1024),"-")</f>
        <v>-</v>
      </c>
      <c r="AE1024" s="2"/>
      <c r="AF1024" s="886">
        <v>11</v>
      </c>
      <c r="AG1024" s="884"/>
      <c r="AH1024" s="921">
        <v>0</v>
      </c>
      <c r="AI1024" s="884"/>
      <c r="AJ1024" s="884"/>
      <c r="AK1024" s="884">
        <f t="shared" ref="AK1024" si="3911">AF1024+AG1024+AH1024+AI1024+AJ1024+AC1024</f>
        <v>11</v>
      </c>
      <c r="AL1024" s="884">
        <v>11</v>
      </c>
      <c r="AM1024" s="878">
        <f t="shared" ref="AM1024" si="3912">IFERROR((AK1024/AL1024),"-")</f>
        <v>1</v>
      </c>
      <c r="AN1024" s="2"/>
      <c r="AO1024" s="884">
        <v>11</v>
      </c>
      <c r="AP1024" s="884">
        <f t="shared" ref="AP1024" si="3913">AO1024-AK1024</f>
        <v>0</v>
      </c>
      <c r="AV1024" t="str">
        <f t="shared" si="3688"/>
        <v>Sobrelargura</v>
      </c>
      <c r="AW1024" s="4" t="str">
        <f t="shared" si="3687"/>
        <v>2.5-PG BSCC 2,5 x 2,5 m - Km 141+880 - Aterro A6 - Bueiro de Concreto</v>
      </c>
    </row>
    <row r="1025" spans="1:49" ht="15.6" customHeight="1" outlineLevel="2">
      <c r="A1025" s="8" t="str">
        <f t="shared" ref="A1025" si="3914">A1024</f>
        <v>N</v>
      </c>
      <c r="B1025" s="150"/>
      <c r="C1025" s="150"/>
      <c r="D1025" s="120"/>
      <c r="E1025" s="893"/>
      <c r="F1025" s="902"/>
      <c r="G1025" s="528"/>
      <c r="H1025" s="549" t="s">
        <v>38</v>
      </c>
      <c r="I1025" s="711">
        <v>0</v>
      </c>
      <c r="J1025" s="897"/>
      <c r="K1025" s="528"/>
      <c r="L1025" s="549" t="s">
        <v>38</v>
      </c>
      <c r="M1025" s="711">
        <f t="shared" si="3898"/>
        <v>0</v>
      </c>
      <c r="N1025" s="897"/>
      <c r="O1025" s="528"/>
      <c r="P1025" s="548">
        <v>0</v>
      </c>
      <c r="Q1025" s="548">
        <v>0</v>
      </c>
      <c r="R1025" s="548">
        <v>0</v>
      </c>
      <c r="S1025" s="548">
        <v>0</v>
      </c>
      <c r="T1025" s="548">
        <v>0</v>
      </c>
      <c r="U1025" s="548">
        <v>0</v>
      </c>
      <c r="V1025" s="548">
        <v>0</v>
      </c>
      <c r="W1025" s="528"/>
      <c r="X1025" s="711">
        <f t="shared" si="3891"/>
        <v>0</v>
      </c>
      <c r="Y1025" s="897"/>
      <c r="Z1025" s="528"/>
      <c r="AA1025" s="899"/>
      <c r="AB1025" s="899"/>
      <c r="AC1025" s="904"/>
      <c r="AD1025" s="905"/>
      <c r="AE1025" s="2"/>
      <c r="AF1025" s="926"/>
      <c r="AG1025" s="885"/>
      <c r="AH1025" s="922"/>
      <c r="AI1025" s="885"/>
      <c r="AJ1025" s="885"/>
      <c r="AK1025" s="885"/>
      <c r="AL1025" s="885"/>
      <c r="AM1025" s="879"/>
      <c r="AN1025" s="2"/>
      <c r="AO1025" s="886"/>
      <c r="AP1025" s="886"/>
      <c r="AV1025" t="str">
        <f t="shared" si="3688"/>
        <v>Sobrelargura</v>
      </c>
      <c r="AW1025" s="4" t="str">
        <f t="shared" si="3687"/>
        <v>2.5-PG BSCC 2,5 x 2,5 m - Km 141+880 - Aterro A6 - Bueiro de Concreto</v>
      </c>
    </row>
    <row r="1026" spans="1:49" ht="15.6" customHeight="1" outlineLevel="2">
      <c r="A1026" s="8" t="str">
        <f t="shared" ref="A1026" si="3915">IF(SUM(P1026:V1027)&gt;0,"S","N")</f>
        <v>N</v>
      </c>
      <c r="B1026" s="150">
        <v>1064338</v>
      </c>
      <c r="C1026" s="150" t="s">
        <v>1345</v>
      </c>
      <c r="D1026" s="120" t="s">
        <v>1346</v>
      </c>
      <c r="E1026" s="892" t="s">
        <v>1346</v>
      </c>
      <c r="F1026" s="902" t="s">
        <v>52</v>
      </c>
      <c r="G1026" s="528"/>
      <c r="H1026" s="546" t="s">
        <v>37</v>
      </c>
      <c r="I1026" s="711">
        <v>0</v>
      </c>
      <c r="J1026" s="896" t="str">
        <f t="shared" ref="J1026" si="3916">IFERROR((I1027/I1026),"-")</f>
        <v>-</v>
      </c>
      <c r="K1026" s="528"/>
      <c r="L1026" s="546" t="s">
        <v>37</v>
      </c>
      <c r="M1026" s="711">
        <f t="shared" si="3898"/>
        <v>0</v>
      </c>
      <c r="N1026" s="896" t="str">
        <f t="shared" ref="N1026" si="3917">IFERROR((M1027/M1026),"-")</f>
        <v>-</v>
      </c>
      <c r="O1026" s="528"/>
      <c r="P1026" s="547">
        <v>0</v>
      </c>
      <c r="Q1026" s="547">
        <v>0</v>
      </c>
      <c r="R1026" s="547">
        <v>0</v>
      </c>
      <c r="S1026" s="547">
        <v>0</v>
      </c>
      <c r="T1026" s="547">
        <v>0</v>
      </c>
      <c r="U1026" s="547">
        <v>0</v>
      </c>
      <c r="V1026" s="548">
        <v>0</v>
      </c>
      <c r="W1026" s="528"/>
      <c r="X1026" s="711">
        <f t="shared" si="3891"/>
        <v>0</v>
      </c>
      <c r="Y1026" s="896" t="str">
        <f t="shared" ref="Y1026" si="3918">IFERROR((X1027/X1026),"0")</f>
        <v>0</v>
      </c>
      <c r="Z1026" s="528"/>
      <c r="AA1026" s="898">
        <v>0</v>
      </c>
      <c r="AB1026" s="898">
        <v>0</v>
      </c>
      <c r="AC1026" s="903">
        <v>0</v>
      </c>
      <c r="AD1026" s="896" t="str">
        <f t="shared" ref="AD1026" si="3919">IFERROR((AC1026/AB1026),"-")</f>
        <v>-</v>
      </c>
      <c r="AE1026" s="2"/>
      <c r="AF1026" s="886">
        <v>0</v>
      </c>
      <c r="AG1026" s="884"/>
      <c r="AH1026" s="921">
        <v>0</v>
      </c>
      <c r="AI1026" s="884"/>
      <c r="AJ1026" s="884"/>
      <c r="AK1026" s="884">
        <f t="shared" ref="AK1026" si="3920">AF1026+AG1026+AH1026+AI1026+AJ1026+AC1026</f>
        <v>0</v>
      </c>
      <c r="AL1026" s="884">
        <v>0</v>
      </c>
      <c r="AM1026" s="878" t="str">
        <f t="shared" ref="AM1026" si="3921">IFERROR((AK1026/AL1026),"-")</f>
        <v>-</v>
      </c>
      <c r="AN1026" s="2"/>
      <c r="AO1026" s="886">
        <v>5</v>
      </c>
      <c r="AP1026" s="884">
        <f t="shared" ref="AP1026" si="3922">AO1026-AK1026</f>
        <v>5</v>
      </c>
      <c r="AV1026" t="str">
        <f t="shared" si="3688"/>
        <v>Sobrelargura</v>
      </c>
      <c r="AW1026" s="4" t="str">
        <f t="shared" si="3687"/>
        <v>2.5-BSCC 1,50 x 1,50 m - Km 143+530 BSCC - Aterro A7 - Bueiro de Concreto</v>
      </c>
    </row>
    <row r="1027" spans="1:49" ht="15.6" customHeight="1" outlineLevel="2">
      <c r="A1027" s="8" t="str">
        <f t="shared" ref="A1027" si="3923">A1026</f>
        <v>N</v>
      </c>
      <c r="B1027" s="150"/>
      <c r="C1027" s="150"/>
      <c r="D1027" s="120"/>
      <c r="E1027" s="893"/>
      <c r="F1027" s="902"/>
      <c r="G1027" s="528"/>
      <c r="H1027" s="549" t="s">
        <v>38</v>
      </c>
      <c r="I1027" s="711">
        <v>0</v>
      </c>
      <c r="J1027" s="897"/>
      <c r="K1027" s="528"/>
      <c r="L1027" s="549" t="s">
        <v>38</v>
      </c>
      <c r="M1027" s="711">
        <f t="shared" si="3898"/>
        <v>0</v>
      </c>
      <c r="N1027" s="897"/>
      <c r="O1027" s="528"/>
      <c r="P1027" s="548">
        <v>0</v>
      </c>
      <c r="Q1027" s="548">
        <v>0</v>
      </c>
      <c r="R1027" s="548">
        <v>0</v>
      </c>
      <c r="S1027" s="548">
        <v>0</v>
      </c>
      <c r="T1027" s="548">
        <v>0</v>
      </c>
      <c r="U1027" s="548">
        <v>0</v>
      </c>
      <c r="V1027" s="548">
        <v>0</v>
      </c>
      <c r="W1027" s="528"/>
      <c r="X1027" s="711">
        <f t="shared" si="3891"/>
        <v>0</v>
      </c>
      <c r="Y1027" s="897"/>
      <c r="Z1027" s="528"/>
      <c r="AA1027" s="899"/>
      <c r="AB1027" s="899"/>
      <c r="AC1027" s="904"/>
      <c r="AD1027" s="905"/>
      <c r="AE1027" s="2"/>
      <c r="AF1027" s="926"/>
      <c r="AG1027" s="885"/>
      <c r="AH1027" s="922"/>
      <c r="AI1027" s="885"/>
      <c r="AJ1027" s="885"/>
      <c r="AK1027" s="885"/>
      <c r="AL1027" s="885"/>
      <c r="AM1027" s="879"/>
      <c r="AN1027" s="2"/>
      <c r="AO1027" s="886"/>
      <c r="AP1027" s="886"/>
      <c r="AV1027" t="str">
        <f t="shared" si="3688"/>
        <v>Sobrelargura</v>
      </c>
      <c r="AW1027" s="4" t="str">
        <f t="shared" si="3687"/>
        <v>2.5-BSCC 1,50 x 1,50 m - Km 143+530 BSCC - Aterro A7 - Bueiro de Concreto</v>
      </c>
    </row>
    <row r="1028" spans="1:49" ht="15.6" customHeight="1" outlineLevel="2">
      <c r="A1028" s="8" t="str">
        <f t="shared" ref="A1028" si="3924">IF(SUM(P1028:V1029)&gt;0,"S","N")</f>
        <v>N</v>
      </c>
      <c r="B1028" s="150">
        <v>1064358</v>
      </c>
      <c r="C1028" s="150" t="s">
        <v>1347</v>
      </c>
      <c r="D1028" s="120" t="s">
        <v>1348</v>
      </c>
      <c r="E1028" s="892" t="s">
        <v>1348</v>
      </c>
      <c r="F1028" s="902" t="s">
        <v>52</v>
      </c>
      <c r="G1028" s="528"/>
      <c r="H1028" s="546" t="s">
        <v>37</v>
      </c>
      <c r="I1028" s="711">
        <v>0</v>
      </c>
      <c r="J1028" s="896" t="str">
        <f t="shared" ref="J1028" si="3925">IFERROR((I1029/I1028),"-")</f>
        <v>-</v>
      </c>
      <c r="K1028" s="528"/>
      <c r="L1028" s="546" t="s">
        <v>37</v>
      </c>
      <c r="M1028" s="711">
        <f t="shared" si="3898"/>
        <v>0</v>
      </c>
      <c r="N1028" s="896" t="str">
        <f t="shared" ref="N1028" si="3926">IFERROR((M1029/M1028),"-")</f>
        <v>-</v>
      </c>
      <c r="O1028" s="528"/>
      <c r="P1028" s="547">
        <v>0</v>
      </c>
      <c r="Q1028" s="547">
        <v>0</v>
      </c>
      <c r="R1028" s="547">
        <v>0</v>
      </c>
      <c r="S1028" s="547">
        <v>0</v>
      </c>
      <c r="T1028" s="547">
        <v>0</v>
      </c>
      <c r="U1028" s="547">
        <v>0</v>
      </c>
      <c r="V1028" s="548">
        <v>0</v>
      </c>
      <c r="W1028" s="528"/>
      <c r="X1028" s="711">
        <f t="shared" si="3891"/>
        <v>0</v>
      </c>
      <c r="Y1028" s="896" t="str">
        <f t="shared" ref="Y1028" si="3927">IFERROR((X1029/X1028),"0")</f>
        <v>0</v>
      </c>
      <c r="Z1028" s="528"/>
      <c r="AA1028" s="898">
        <v>0</v>
      </c>
      <c r="AB1028" s="898">
        <v>0</v>
      </c>
      <c r="AC1028" s="903">
        <v>0</v>
      </c>
      <c r="AD1028" s="896" t="str">
        <f t="shared" ref="AD1028" si="3928">IFERROR((AC1028/AB1028),"-")</f>
        <v>-</v>
      </c>
      <c r="AE1028" s="2"/>
      <c r="AF1028" s="886">
        <v>10</v>
      </c>
      <c r="AG1028" s="884"/>
      <c r="AH1028" s="921">
        <v>0</v>
      </c>
      <c r="AI1028" s="884"/>
      <c r="AJ1028" s="884"/>
      <c r="AK1028" s="884">
        <f t="shared" ref="AK1028" si="3929">AF1028+AG1028+AH1028+AI1028+AJ1028+AC1028</f>
        <v>10</v>
      </c>
      <c r="AL1028" s="884">
        <v>10</v>
      </c>
      <c r="AM1028" s="878">
        <f t="shared" ref="AM1028" si="3930">IFERROR((AK1028/AL1028),"-")</f>
        <v>1</v>
      </c>
      <c r="AN1028" s="2"/>
      <c r="AO1028" s="884">
        <v>10</v>
      </c>
      <c r="AP1028" s="884">
        <f t="shared" ref="AP1028" si="3931">AO1028-AK1028</f>
        <v>0</v>
      </c>
      <c r="AV1028" t="str">
        <f t="shared" si="3688"/>
        <v>Sobrelargura</v>
      </c>
      <c r="AW1028" s="4" t="str">
        <f t="shared" si="3687"/>
        <v>2.5-PG BSCC 3,0 x 3,0 m - Km 144+610 - Aterro A8 - Bueiro de Concreto</v>
      </c>
    </row>
    <row r="1029" spans="1:49" ht="15.6" customHeight="1" outlineLevel="2">
      <c r="A1029" s="8" t="str">
        <f t="shared" ref="A1029" si="3932">A1028</f>
        <v>N</v>
      </c>
      <c r="B1029" s="150"/>
      <c r="C1029" s="150"/>
      <c r="D1029" s="120"/>
      <c r="E1029" s="893"/>
      <c r="F1029" s="902"/>
      <c r="G1029" s="528"/>
      <c r="H1029" s="549" t="s">
        <v>38</v>
      </c>
      <c r="I1029" s="711">
        <v>0</v>
      </c>
      <c r="J1029" s="897"/>
      <c r="K1029" s="528"/>
      <c r="L1029" s="549" t="s">
        <v>38</v>
      </c>
      <c r="M1029" s="711">
        <f t="shared" si="3898"/>
        <v>0</v>
      </c>
      <c r="N1029" s="897"/>
      <c r="O1029" s="528"/>
      <c r="P1029" s="548">
        <v>0</v>
      </c>
      <c r="Q1029" s="548">
        <v>0</v>
      </c>
      <c r="R1029" s="548">
        <v>0</v>
      </c>
      <c r="S1029" s="548">
        <v>0</v>
      </c>
      <c r="T1029" s="548">
        <v>0</v>
      </c>
      <c r="U1029" s="548">
        <v>0</v>
      </c>
      <c r="V1029" s="548">
        <v>0</v>
      </c>
      <c r="W1029" s="528"/>
      <c r="X1029" s="711">
        <f t="shared" si="3891"/>
        <v>0</v>
      </c>
      <c r="Y1029" s="897"/>
      <c r="Z1029" s="528"/>
      <c r="AA1029" s="899"/>
      <c r="AB1029" s="899"/>
      <c r="AC1029" s="904"/>
      <c r="AD1029" s="905"/>
      <c r="AE1029" s="2"/>
      <c r="AF1029" s="926"/>
      <c r="AG1029" s="885"/>
      <c r="AH1029" s="922"/>
      <c r="AI1029" s="885"/>
      <c r="AJ1029" s="885"/>
      <c r="AK1029" s="885"/>
      <c r="AL1029" s="885"/>
      <c r="AM1029" s="879"/>
      <c r="AN1029" s="2"/>
      <c r="AO1029" s="886"/>
      <c r="AP1029" s="886"/>
      <c r="AV1029" t="str">
        <f t="shared" si="3688"/>
        <v>Sobrelargura</v>
      </c>
      <c r="AW1029" s="4" t="str">
        <f t="shared" si="3687"/>
        <v>2.5-PG BSCC 3,0 x 3,0 m - Km 144+610 - Aterro A8 - Bueiro de Concreto</v>
      </c>
    </row>
    <row r="1030" spans="1:49" ht="15.6" customHeight="1" outlineLevel="2">
      <c r="A1030" s="8" t="str">
        <f t="shared" ref="A1030" si="3933">IF(SUM(P1030:V1031)&gt;0,"S","N")</f>
        <v>S</v>
      </c>
      <c r="B1030" s="150">
        <v>1064364</v>
      </c>
      <c r="C1030" s="150" t="s">
        <v>1349</v>
      </c>
      <c r="D1030" s="120" t="s">
        <v>1350</v>
      </c>
      <c r="E1030" s="892" t="s">
        <v>1350</v>
      </c>
      <c r="F1030" s="902" t="s">
        <v>52</v>
      </c>
      <c r="G1030" s="528"/>
      <c r="H1030" s="546" t="s">
        <v>37</v>
      </c>
      <c r="I1030" s="711">
        <v>0</v>
      </c>
      <c r="J1030" s="896" t="str">
        <f t="shared" ref="J1030" si="3934">IFERROR((I1031/I1030),"-")</f>
        <v>-</v>
      </c>
      <c r="K1030" s="528"/>
      <c r="L1030" s="546" t="s">
        <v>37</v>
      </c>
      <c r="M1030" s="711">
        <f t="shared" si="3898"/>
        <v>0</v>
      </c>
      <c r="N1030" s="896" t="str">
        <f t="shared" ref="N1030" si="3935">IFERROR((M1031/M1030),"-")</f>
        <v>-</v>
      </c>
      <c r="O1030" s="528"/>
      <c r="P1030" s="547">
        <v>0</v>
      </c>
      <c r="Q1030" s="547">
        <v>0</v>
      </c>
      <c r="R1030" s="547">
        <v>0</v>
      </c>
      <c r="S1030" s="547">
        <v>0</v>
      </c>
      <c r="T1030" s="547">
        <v>0</v>
      </c>
      <c r="U1030" s="547">
        <v>0</v>
      </c>
      <c r="V1030" s="548">
        <v>0</v>
      </c>
      <c r="W1030" s="528"/>
      <c r="X1030" s="711">
        <f t="shared" si="3891"/>
        <v>0</v>
      </c>
      <c r="Y1030" s="896" t="str">
        <f t="shared" ref="Y1030" si="3936">IFERROR((X1031/X1030),"0")</f>
        <v>0</v>
      </c>
      <c r="Z1030" s="528"/>
      <c r="AA1030" s="898">
        <v>0</v>
      </c>
      <c r="AB1030" s="898">
        <v>0</v>
      </c>
      <c r="AC1030" s="903">
        <v>11</v>
      </c>
      <c r="AD1030" s="896" t="str">
        <f t="shared" ref="AD1030" si="3937">IFERROR((AC1030/AB1030),"-")</f>
        <v>-</v>
      </c>
      <c r="AE1030" s="2"/>
      <c r="AF1030" s="886">
        <v>0</v>
      </c>
      <c r="AG1030" s="884"/>
      <c r="AH1030" s="921">
        <v>0</v>
      </c>
      <c r="AI1030" s="884"/>
      <c r="AJ1030" s="884"/>
      <c r="AK1030" s="884">
        <f t="shared" ref="AK1030" si="3938">AF1030+AG1030+AH1030+AI1030+AJ1030+AC1030</f>
        <v>11</v>
      </c>
      <c r="AL1030" s="884">
        <v>0</v>
      </c>
      <c r="AM1030" s="878" t="str">
        <f t="shared" ref="AM1030" si="3939">IFERROR((AK1030/AL1030),"-")</f>
        <v>-</v>
      </c>
      <c r="AN1030" s="2"/>
      <c r="AO1030" s="884">
        <v>11</v>
      </c>
      <c r="AP1030" s="884">
        <f t="shared" ref="AP1030" si="3940">AO1030-AK1030</f>
        <v>0</v>
      </c>
      <c r="AV1030" t="str">
        <f t="shared" si="3688"/>
        <v>Sobrelargura</v>
      </c>
      <c r="AW1030" s="4" t="str">
        <f t="shared" si="3687"/>
        <v>2.5-PG BSCC 3,0 x 3,0 m - Km 145+180 - Aterro A9 - Bueiro de Concreto</v>
      </c>
    </row>
    <row r="1031" spans="1:49" ht="15.6" customHeight="1" outlineLevel="2">
      <c r="A1031" s="8" t="str">
        <f t="shared" ref="A1031" si="3941">A1030</f>
        <v>S</v>
      </c>
      <c r="B1031" s="150"/>
      <c r="C1031" s="150"/>
      <c r="D1031" s="120"/>
      <c r="E1031" s="893"/>
      <c r="F1031" s="902"/>
      <c r="G1031" s="528"/>
      <c r="H1031" s="549" t="s">
        <v>38</v>
      </c>
      <c r="I1031" s="711">
        <v>7</v>
      </c>
      <c r="J1031" s="897"/>
      <c r="K1031" s="528"/>
      <c r="L1031" s="549" t="s">
        <v>38</v>
      </c>
      <c r="M1031" s="711">
        <f t="shared" si="3898"/>
        <v>0</v>
      </c>
      <c r="N1031" s="897"/>
      <c r="O1031" s="528"/>
      <c r="P1031" s="548">
        <v>4</v>
      </c>
      <c r="Q1031" s="548">
        <v>0</v>
      </c>
      <c r="R1031" s="548">
        <v>0</v>
      </c>
      <c r="S1031" s="548">
        <v>0</v>
      </c>
      <c r="T1031" s="548">
        <v>0</v>
      </c>
      <c r="U1031" s="548">
        <v>0</v>
      </c>
      <c r="V1031" s="548">
        <v>0</v>
      </c>
      <c r="W1031" s="528"/>
      <c r="X1031" s="711">
        <f t="shared" si="3891"/>
        <v>4</v>
      </c>
      <c r="Y1031" s="897"/>
      <c r="Z1031" s="528"/>
      <c r="AA1031" s="899"/>
      <c r="AB1031" s="899"/>
      <c r="AC1031" s="904"/>
      <c r="AD1031" s="905"/>
      <c r="AE1031" s="2"/>
      <c r="AF1031" s="926"/>
      <c r="AG1031" s="885"/>
      <c r="AH1031" s="922"/>
      <c r="AI1031" s="885"/>
      <c r="AJ1031" s="885"/>
      <c r="AK1031" s="885"/>
      <c r="AL1031" s="885"/>
      <c r="AM1031" s="879"/>
      <c r="AN1031" s="2"/>
      <c r="AO1031" s="886"/>
      <c r="AP1031" s="886"/>
      <c r="AV1031" t="str">
        <f t="shared" si="3688"/>
        <v>Sobrelargura</v>
      </c>
      <c r="AW1031" s="4" t="str">
        <f t="shared" si="3687"/>
        <v>2.5-PG BSCC 3,0 x 3,0 m - Km 145+180 - Aterro A9 - Bueiro de Concreto</v>
      </c>
    </row>
    <row r="1032" spans="1:49" ht="15.6" customHeight="1" outlineLevel="2">
      <c r="A1032" s="8" t="str">
        <f t="shared" ref="A1032" si="3942">IF(SUM(P1032:V1033)&gt;0,"S","N")</f>
        <v>N</v>
      </c>
      <c r="B1032" s="150">
        <v>1064368</v>
      </c>
      <c r="C1032" s="150" t="s">
        <v>1351</v>
      </c>
      <c r="D1032" s="120" t="s">
        <v>1352</v>
      </c>
      <c r="E1032" s="892" t="s">
        <v>1352</v>
      </c>
      <c r="F1032" s="902" t="s">
        <v>52</v>
      </c>
      <c r="G1032" s="528"/>
      <c r="H1032" s="546" t="s">
        <v>37</v>
      </c>
      <c r="I1032" s="711">
        <v>0</v>
      </c>
      <c r="J1032" s="896" t="str">
        <f t="shared" ref="J1032" si="3943">IFERROR((I1033/I1032),"-")</f>
        <v>-</v>
      </c>
      <c r="K1032" s="528"/>
      <c r="L1032" s="546" t="s">
        <v>37</v>
      </c>
      <c r="M1032" s="711">
        <f t="shared" si="3898"/>
        <v>0</v>
      </c>
      <c r="N1032" s="896" t="str">
        <f t="shared" ref="N1032" si="3944">IFERROR((M1033/M1032),"-")</f>
        <v>-</v>
      </c>
      <c r="O1032" s="528"/>
      <c r="P1032" s="547">
        <v>0</v>
      </c>
      <c r="Q1032" s="547">
        <v>0</v>
      </c>
      <c r="R1032" s="547">
        <v>0</v>
      </c>
      <c r="S1032" s="547">
        <v>0</v>
      </c>
      <c r="T1032" s="547">
        <v>0</v>
      </c>
      <c r="U1032" s="547">
        <v>0</v>
      </c>
      <c r="V1032" s="548">
        <v>0</v>
      </c>
      <c r="W1032" s="528"/>
      <c r="X1032" s="711">
        <f t="shared" si="3891"/>
        <v>0</v>
      </c>
      <c r="Y1032" s="896" t="str">
        <f t="shared" ref="Y1032" si="3945">IFERROR((X1033/X1032),"0")</f>
        <v>0</v>
      </c>
      <c r="Z1032" s="528"/>
      <c r="AA1032" s="898">
        <v>0</v>
      </c>
      <c r="AB1032" s="898">
        <v>0</v>
      </c>
      <c r="AC1032" s="903">
        <v>0</v>
      </c>
      <c r="AD1032" s="896" t="str">
        <f t="shared" ref="AD1032" si="3946">IFERROR((AC1032/AB1032),"-")</f>
        <v>-</v>
      </c>
      <c r="AE1032" s="2"/>
      <c r="AF1032" s="886">
        <v>0</v>
      </c>
      <c r="AG1032" s="884"/>
      <c r="AH1032" s="921">
        <v>0</v>
      </c>
      <c r="AI1032" s="884"/>
      <c r="AJ1032" s="884"/>
      <c r="AK1032" s="884">
        <f t="shared" ref="AK1032" si="3947">AF1032+AG1032+AH1032+AI1032+AJ1032+AC1032</f>
        <v>0</v>
      </c>
      <c r="AL1032" s="884">
        <v>0</v>
      </c>
      <c r="AM1032" s="878" t="str">
        <f t="shared" ref="AM1032" si="3948">IFERROR((AK1032/AL1032),"-")</f>
        <v>-</v>
      </c>
      <c r="AN1032" s="2"/>
      <c r="AO1032" s="886">
        <v>2</v>
      </c>
      <c r="AP1032" s="884">
        <f t="shared" ref="AP1032" si="3949">AO1032-AK1032</f>
        <v>2</v>
      </c>
      <c r="AV1032" t="str">
        <f t="shared" si="3688"/>
        <v>Sobrelargura</v>
      </c>
      <c r="AW1032" s="4" t="str">
        <f t="shared" si="3687"/>
        <v>2.5-BSCC 2,50 x 2,50 m - Km 145+308 - Aterro A9 - Bueiro de Concreto</v>
      </c>
    </row>
    <row r="1033" spans="1:49" ht="15.6" customHeight="1" outlineLevel="2">
      <c r="A1033" s="8" t="str">
        <f t="shared" ref="A1033" si="3950">A1032</f>
        <v>N</v>
      </c>
      <c r="B1033" s="150"/>
      <c r="C1033" s="150"/>
      <c r="D1033" s="120"/>
      <c r="E1033" s="893"/>
      <c r="F1033" s="902"/>
      <c r="G1033" s="528"/>
      <c r="H1033" s="549" t="s">
        <v>38</v>
      </c>
      <c r="I1033" s="711">
        <v>0</v>
      </c>
      <c r="J1033" s="897"/>
      <c r="K1033" s="528"/>
      <c r="L1033" s="549" t="s">
        <v>38</v>
      </c>
      <c r="M1033" s="711">
        <f t="shared" si="3898"/>
        <v>0</v>
      </c>
      <c r="N1033" s="897"/>
      <c r="O1033" s="528"/>
      <c r="P1033" s="548">
        <v>0</v>
      </c>
      <c r="Q1033" s="548">
        <v>0</v>
      </c>
      <c r="R1033" s="548">
        <v>0</v>
      </c>
      <c r="S1033" s="548">
        <v>0</v>
      </c>
      <c r="T1033" s="548">
        <v>0</v>
      </c>
      <c r="U1033" s="548">
        <v>0</v>
      </c>
      <c r="V1033" s="548">
        <v>0</v>
      </c>
      <c r="W1033" s="528"/>
      <c r="X1033" s="711">
        <f t="shared" si="3891"/>
        <v>0</v>
      </c>
      <c r="Y1033" s="897"/>
      <c r="Z1033" s="528"/>
      <c r="AA1033" s="899"/>
      <c r="AB1033" s="899"/>
      <c r="AC1033" s="904"/>
      <c r="AD1033" s="905"/>
      <c r="AE1033" s="2"/>
      <c r="AF1033" s="926"/>
      <c r="AG1033" s="885"/>
      <c r="AH1033" s="922"/>
      <c r="AI1033" s="885"/>
      <c r="AJ1033" s="885"/>
      <c r="AK1033" s="885"/>
      <c r="AL1033" s="885"/>
      <c r="AM1033" s="879"/>
      <c r="AN1033" s="2"/>
      <c r="AO1033" s="886"/>
      <c r="AP1033" s="886"/>
      <c r="AV1033" t="str">
        <f t="shared" si="3688"/>
        <v>Sobrelargura</v>
      </c>
      <c r="AW1033" s="4" t="str">
        <f t="shared" ref="AW1033:AW1096" si="3951">IF(E1033&lt;&gt;"",E1033,AW1032)</f>
        <v>2.5-BSCC 2,50 x 2,50 m - Km 145+308 - Aterro A9 - Bueiro de Concreto</v>
      </c>
    </row>
    <row r="1034" spans="1:49" ht="15.6" customHeight="1" outlineLevel="2">
      <c r="A1034" s="8" t="str">
        <f t="shared" ref="A1034" si="3952">IF(SUM(P1034:V1035)&gt;0,"S","N")</f>
        <v>N</v>
      </c>
      <c r="B1034" s="150">
        <v>1064373</v>
      </c>
      <c r="C1034" s="150" t="s">
        <v>1353</v>
      </c>
      <c r="D1034" s="120" t="s">
        <v>1354</v>
      </c>
      <c r="E1034" s="892" t="s">
        <v>1354</v>
      </c>
      <c r="F1034" s="902" t="s">
        <v>52</v>
      </c>
      <c r="G1034" s="528"/>
      <c r="H1034" s="546" t="s">
        <v>37</v>
      </c>
      <c r="I1034" s="711">
        <v>0</v>
      </c>
      <c r="J1034" s="896" t="str">
        <f t="shared" ref="J1034" si="3953">IFERROR((I1035/I1034),"-")</f>
        <v>-</v>
      </c>
      <c r="K1034" s="528"/>
      <c r="L1034" s="546" t="s">
        <v>37</v>
      </c>
      <c r="M1034" s="711">
        <f t="shared" si="3898"/>
        <v>0</v>
      </c>
      <c r="N1034" s="896" t="str">
        <f t="shared" ref="N1034" si="3954">IFERROR((M1035/M1034),"-")</f>
        <v>-</v>
      </c>
      <c r="O1034" s="528"/>
      <c r="P1034" s="547">
        <v>0</v>
      </c>
      <c r="Q1034" s="547">
        <v>0</v>
      </c>
      <c r="R1034" s="547">
        <v>0</v>
      </c>
      <c r="S1034" s="547">
        <v>0</v>
      </c>
      <c r="T1034" s="547">
        <v>0</v>
      </c>
      <c r="U1034" s="547">
        <v>0</v>
      </c>
      <c r="V1034" s="548">
        <v>0</v>
      </c>
      <c r="W1034" s="528"/>
      <c r="X1034" s="711">
        <f t="shared" si="3891"/>
        <v>0</v>
      </c>
      <c r="Y1034" s="896" t="str">
        <f t="shared" ref="Y1034" si="3955">IFERROR((X1035/X1034),"0")</f>
        <v>0</v>
      </c>
      <c r="Z1034" s="528"/>
      <c r="AA1034" s="898">
        <v>3.85</v>
      </c>
      <c r="AB1034" s="898">
        <v>3.85</v>
      </c>
      <c r="AC1034" s="903">
        <v>0</v>
      </c>
      <c r="AD1034" s="896">
        <f t="shared" ref="AD1034" si="3956">IFERROR((AC1034/AB1034),"-")</f>
        <v>0</v>
      </c>
      <c r="AE1034" s="2"/>
      <c r="AF1034" s="886">
        <v>0</v>
      </c>
      <c r="AG1034" s="884"/>
      <c r="AH1034" s="921">
        <v>0</v>
      </c>
      <c r="AI1034" s="884"/>
      <c r="AJ1034" s="884"/>
      <c r="AK1034" s="884">
        <f t="shared" ref="AK1034" si="3957">AF1034+AG1034+AH1034+AI1034+AJ1034+AC1034</f>
        <v>0</v>
      </c>
      <c r="AL1034" s="884">
        <v>3.85</v>
      </c>
      <c r="AM1034" s="878">
        <f t="shared" ref="AM1034" si="3958">IFERROR((AK1034/AL1034),"-")</f>
        <v>0</v>
      </c>
      <c r="AN1034" s="2"/>
      <c r="AO1034" s="886">
        <v>4</v>
      </c>
      <c r="AP1034" s="884">
        <f t="shared" ref="AP1034" si="3959">AO1034-AK1034</f>
        <v>4</v>
      </c>
      <c r="AV1034" t="str">
        <f t="shared" ref="AV1034:AV1097" si="3960">IF(AX1034="Y",LEFT(E1034,20),IF(AX1034="x",E1034,AV1033))</f>
        <v>Sobrelargura</v>
      </c>
      <c r="AW1034" s="4" t="str">
        <f t="shared" si="3951"/>
        <v>2.5-BSCC 2,0 x 2,0 m - Km 145+556 - Aterro A9 - Bueiro de Concreto</v>
      </c>
    </row>
    <row r="1035" spans="1:49" ht="15.6" customHeight="1" outlineLevel="2">
      <c r="A1035" s="8" t="str">
        <f t="shared" ref="A1035" si="3961">A1034</f>
        <v>N</v>
      </c>
      <c r="B1035" s="150"/>
      <c r="C1035" s="150"/>
      <c r="D1035" s="120"/>
      <c r="E1035" s="893"/>
      <c r="F1035" s="902"/>
      <c r="G1035" s="528"/>
      <c r="H1035" s="549" t="s">
        <v>38</v>
      </c>
      <c r="I1035" s="711">
        <v>0</v>
      </c>
      <c r="J1035" s="897"/>
      <c r="K1035" s="528"/>
      <c r="L1035" s="549" t="s">
        <v>38</v>
      </c>
      <c r="M1035" s="711">
        <f t="shared" si="3898"/>
        <v>0</v>
      </c>
      <c r="N1035" s="897"/>
      <c r="O1035" s="528"/>
      <c r="P1035" s="548">
        <v>0</v>
      </c>
      <c r="Q1035" s="548">
        <v>0</v>
      </c>
      <c r="R1035" s="548">
        <v>0</v>
      </c>
      <c r="S1035" s="548">
        <v>0</v>
      </c>
      <c r="T1035" s="548">
        <v>0</v>
      </c>
      <c r="U1035" s="548">
        <v>0</v>
      </c>
      <c r="V1035" s="548">
        <v>0</v>
      </c>
      <c r="W1035" s="528"/>
      <c r="X1035" s="711">
        <f t="shared" si="3891"/>
        <v>0</v>
      </c>
      <c r="Y1035" s="897"/>
      <c r="Z1035" s="528"/>
      <c r="AA1035" s="899"/>
      <c r="AB1035" s="899"/>
      <c r="AC1035" s="904"/>
      <c r="AD1035" s="905"/>
      <c r="AE1035" s="2"/>
      <c r="AF1035" s="926"/>
      <c r="AG1035" s="885"/>
      <c r="AH1035" s="922"/>
      <c r="AI1035" s="885"/>
      <c r="AJ1035" s="885"/>
      <c r="AK1035" s="885"/>
      <c r="AL1035" s="885"/>
      <c r="AM1035" s="879"/>
      <c r="AN1035" s="2"/>
      <c r="AO1035" s="886"/>
      <c r="AP1035" s="886"/>
      <c r="AV1035" t="str">
        <f t="shared" si="3960"/>
        <v>Sobrelargura</v>
      </c>
      <c r="AW1035" s="4" t="str">
        <f t="shared" si="3951"/>
        <v>2.5-BSCC 2,0 x 2,0 m - Km 145+556 - Aterro A9 - Bueiro de Concreto</v>
      </c>
    </row>
    <row r="1036" spans="1:49" ht="15.6" customHeight="1" outlineLevel="2">
      <c r="A1036" s="8" t="str">
        <f t="shared" ref="A1036" si="3962">IF(SUM(P1036:V1037)&gt;0,"S","N")</f>
        <v>N</v>
      </c>
      <c r="B1036" s="150">
        <v>1064382</v>
      </c>
      <c r="C1036" s="150" t="s">
        <v>1355</v>
      </c>
      <c r="D1036" s="120" t="s">
        <v>1356</v>
      </c>
      <c r="E1036" s="892" t="s">
        <v>1356</v>
      </c>
      <c r="F1036" s="902" t="s">
        <v>52</v>
      </c>
      <c r="G1036" s="528"/>
      <c r="H1036" s="546" t="s">
        <v>37</v>
      </c>
      <c r="I1036" s="711">
        <v>0</v>
      </c>
      <c r="J1036" s="896" t="str">
        <f t="shared" ref="J1036" si="3963">IFERROR((I1037/I1036),"-")</f>
        <v>-</v>
      </c>
      <c r="K1036" s="528"/>
      <c r="L1036" s="546" t="s">
        <v>37</v>
      </c>
      <c r="M1036" s="711">
        <f t="shared" si="3898"/>
        <v>0</v>
      </c>
      <c r="N1036" s="896" t="str">
        <f t="shared" ref="N1036" si="3964">IFERROR((M1037/M1036),"-")</f>
        <v>-</v>
      </c>
      <c r="O1036" s="528"/>
      <c r="P1036" s="547">
        <v>0</v>
      </c>
      <c r="Q1036" s="547">
        <v>0</v>
      </c>
      <c r="R1036" s="547">
        <v>0</v>
      </c>
      <c r="S1036" s="547">
        <v>0</v>
      </c>
      <c r="T1036" s="547">
        <v>0</v>
      </c>
      <c r="U1036" s="547">
        <v>0</v>
      </c>
      <c r="V1036" s="548">
        <v>0</v>
      </c>
      <c r="W1036" s="528"/>
      <c r="X1036" s="711">
        <f t="shared" si="3891"/>
        <v>0</v>
      </c>
      <c r="Y1036" s="896" t="str">
        <f t="shared" ref="Y1036" si="3965">IFERROR((X1037/X1036),"0")</f>
        <v>0</v>
      </c>
      <c r="Z1036" s="528"/>
      <c r="AA1036" s="898">
        <v>0</v>
      </c>
      <c r="AB1036" s="898">
        <v>0</v>
      </c>
      <c r="AC1036" s="903">
        <v>0</v>
      </c>
      <c r="AD1036" s="896" t="str">
        <f t="shared" ref="AD1036" si="3966">IFERROR((AC1036/AB1036),"-")</f>
        <v>-</v>
      </c>
      <c r="AE1036" s="2"/>
      <c r="AF1036" s="886">
        <v>22</v>
      </c>
      <c r="AG1036" s="884"/>
      <c r="AH1036" s="921">
        <v>0</v>
      </c>
      <c r="AI1036" s="884"/>
      <c r="AJ1036" s="884"/>
      <c r="AK1036" s="884">
        <f t="shared" ref="AK1036" si="3967">AF1036+AG1036+AH1036+AI1036+AJ1036+AC1036</f>
        <v>22</v>
      </c>
      <c r="AL1036" s="884">
        <v>0</v>
      </c>
      <c r="AM1036" s="878" t="str">
        <f t="shared" ref="AM1036" si="3968">IFERROR((AK1036/AL1036),"-")</f>
        <v>-</v>
      </c>
      <c r="AN1036" s="2"/>
      <c r="AO1036" s="884">
        <v>26</v>
      </c>
      <c r="AP1036" s="884">
        <f t="shared" ref="AP1036" si="3969">AO1036-AK1036</f>
        <v>4</v>
      </c>
      <c r="AV1036" t="str">
        <f t="shared" si="3960"/>
        <v>Sobrelargura</v>
      </c>
      <c r="AW1036" s="4" t="str">
        <f t="shared" si="3951"/>
        <v>2.5-BSCC-2,00x1,50 m - km 149+185 - Bueiro de Concreto - Aterro 10</v>
      </c>
    </row>
    <row r="1037" spans="1:49" ht="15.6" customHeight="1" outlineLevel="2">
      <c r="A1037" s="8" t="str">
        <f t="shared" ref="A1037" si="3970">A1036</f>
        <v>N</v>
      </c>
      <c r="B1037" s="150"/>
      <c r="C1037" s="150"/>
      <c r="D1037" s="120"/>
      <c r="E1037" s="893"/>
      <c r="F1037" s="902"/>
      <c r="G1037" s="528"/>
      <c r="H1037" s="549" t="s">
        <v>38</v>
      </c>
      <c r="I1037" s="711">
        <v>0</v>
      </c>
      <c r="J1037" s="897"/>
      <c r="K1037" s="528"/>
      <c r="L1037" s="549" t="s">
        <v>38</v>
      </c>
      <c r="M1037" s="711">
        <f t="shared" si="3898"/>
        <v>0</v>
      </c>
      <c r="N1037" s="897"/>
      <c r="O1037" s="528"/>
      <c r="P1037" s="548">
        <v>0</v>
      </c>
      <c r="Q1037" s="548">
        <v>0</v>
      </c>
      <c r="R1037" s="548">
        <v>0</v>
      </c>
      <c r="S1037" s="548">
        <v>0</v>
      </c>
      <c r="T1037" s="548">
        <v>0</v>
      </c>
      <c r="U1037" s="548">
        <v>0</v>
      </c>
      <c r="V1037" s="548">
        <v>0</v>
      </c>
      <c r="W1037" s="528"/>
      <c r="X1037" s="711">
        <f t="shared" si="3891"/>
        <v>0</v>
      </c>
      <c r="Y1037" s="897"/>
      <c r="Z1037" s="528"/>
      <c r="AA1037" s="899"/>
      <c r="AB1037" s="899"/>
      <c r="AC1037" s="904"/>
      <c r="AD1037" s="905"/>
      <c r="AE1037" s="2"/>
      <c r="AF1037" s="926"/>
      <c r="AG1037" s="885"/>
      <c r="AH1037" s="922"/>
      <c r="AI1037" s="885"/>
      <c r="AJ1037" s="885"/>
      <c r="AK1037" s="885"/>
      <c r="AL1037" s="885"/>
      <c r="AM1037" s="879"/>
      <c r="AN1037" s="2"/>
      <c r="AO1037" s="886"/>
      <c r="AP1037" s="886"/>
      <c r="AV1037" t="str">
        <f t="shared" si="3960"/>
        <v>Sobrelargura</v>
      </c>
      <c r="AW1037" s="4" t="str">
        <f t="shared" si="3951"/>
        <v>2.5-BSCC-2,00x1,50 m - km 149+185 - Bueiro de Concreto - Aterro 10</v>
      </c>
    </row>
    <row r="1038" spans="1:49" ht="15.6" customHeight="1" outlineLevel="2">
      <c r="A1038" s="8" t="str">
        <f t="shared" ref="A1038" si="3971">IF(SUM(P1038:V1039)&gt;0,"S","N")</f>
        <v>N</v>
      </c>
      <c r="B1038" s="150">
        <v>1064389</v>
      </c>
      <c r="C1038" s="150" t="s">
        <v>1357</v>
      </c>
      <c r="D1038" s="120" t="s">
        <v>1358</v>
      </c>
      <c r="E1038" s="892" t="s">
        <v>1358</v>
      </c>
      <c r="F1038" s="902" t="s">
        <v>52</v>
      </c>
      <c r="G1038" s="528"/>
      <c r="H1038" s="546" t="s">
        <v>37</v>
      </c>
      <c r="I1038" s="711">
        <v>0</v>
      </c>
      <c r="J1038" s="896" t="str">
        <f t="shared" ref="J1038" si="3972">IFERROR((I1039/I1038),"-")</f>
        <v>-</v>
      </c>
      <c r="K1038" s="528"/>
      <c r="L1038" s="546" t="s">
        <v>37</v>
      </c>
      <c r="M1038" s="711">
        <f t="shared" si="3898"/>
        <v>0</v>
      </c>
      <c r="N1038" s="896" t="str">
        <f t="shared" ref="N1038" si="3973">IFERROR((M1039/M1038),"-")</f>
        <v>-</v>
      </c>
      <c r="O1038" s="528"/>
      <c r="P1038" s="547">
        <v>0</v>
      </c>
      <c r="Q1038" s="547">
        <v>0</v>
      </c>
      <c r="R1038" s="547">
        <v>0</v>
      </c>
      <c r="S1038" s="547">
        <v>0</v>
      </c>
      <c r="T1038" s="547">
        <v>0</v>
      </c>
      <c r="U1038" s="547">
        <v>0</v>
      </c>
      <c r="V1038" s="548">
        <v>0</v>
      </c>
      <c r="W1038" s="528"/>
      <c r="X1038" s="711">
        <f t="shared" si="3891"/>
        <v>0</v>
      </c>
      <c r="Y1038" s="896" t="str">
        <f t="shared" ref="Y1038" si="3974">IFERROR((X1039/X1038),"0")</f>
        <v>0</v>
      </c>
      <c r="Z1038" s="528"/>
      <c r="AA1038" s="898">
        <v>0</v>
      </c>
      <c r="AB1038" s="898">
        <v>0</v>
      </c>
      <c r="AC1038" s="903">
        <v>0</v>
      </c>
      <c r="AD1038" s="896" t="str">
        <f t="shared" ref="AD1038" si="3975">IFERROR((AC1038/AB1038),"-")</f>
        <v>-</v>
      </c>
      <c r="AE1038" s="2"/>
      <c r="AF1038" s="886">
        <v>11</v>
      </c>
      <c r="AG1038" s="884"/>
      <c r="AH1038" s="921">
        <v>0</v>
      </c>
      <c r="AI1038" s="884"/>
      <c r="AJ1038" s="884"/>
      <c r="AK1038" s="884">
        <f t="shared" ref="AK1038" si="3976">AF1038+AG1038+AH1038+AI1038+AJ1038+AC1038</f>
        <v>11</v>
      </c>
      <c r="AL1038" s="884">
        <v>11</v>
      </c>
      <c r="AM1038" s="878">
        <f t="shared" ref="AM1038" si="3977">IFERROR((AK1038/AL1038),"-")</f>
        <v>1</v>
      </c>
      <c r="AN1038" s="2"/>
      <c r="AO1038" s="884">
        <v>11</v>
      </c>
      <c r="AP1038" s="884">
        <f t="shared" ref="AP1038" si="3978">AO1038-AK1038</f>
        <v>0</v>
      </c>
      <c r="AV1038" t="str">
        <f t="shared" si="3960"/>
        <v>Sobrelargura</v>
      </c>
      <c r="AW1038" s="4" t="str">
        <f t="shared" si="3951"/>
        <v>2.5-PG BSCC 3,0 x 3,0m - km 149+260 - Aterro A10 - Bueiro de Concreto</v>
      </c>
    </row>
    <row r="1039" spans="1:49" ht="11.1" customHeight="1" outlineLevel="2">
      <c r="A1039" s="8" t="str">
        <f t="shared" ref="A1039" si="3979">A1038</f>
        <v>N</v>
      </c>
      <c r="B1039" s="150"/>
      <c r="C1039" s="150"/>
      <c r="D1039" s="120"/>
      <c r="E1039" s="893"/>
      <c r="F1039" s="902"/>
      <c r="G1039" s="528"/>
      <c r="H1039" s="549" t="s">
        <v>38</v>
      </c>
      <c r="I1039" s="711">
        <v>0</v>
      </c>
      <c r="J1039" s="897"/>
      <c r="K1039" s="528"/>
      <c r="L1039" s="549" t="s">
        <v>38</v>
      </c>
      <c r="M1039" s="711">
        <f t="shared" si="3898"/>
        <v>0</v>
      </c>
      <c r="N1039" s="897"/>
      <c r="O1039" s="528"/>
      <c r="P1039" s="548">
        <v>0</v>
      </c>
      <c r="Q1039" s="548">
        <v>0</v>
      </c>
      <c r="R1039" s="548">
        <v>0</v>
      </c>
      <c r="S1039" s="548">
        <v>0</v>
      </c>
      <c r="T1039" s="548">
        <v>0</v>
      </c>
      <c r="U1039" s="548">
        <v>0</v>
      </c>
      <c r="V1039" s="548">
        <v>0</v>
      </c>
      <c r="W1039" s="528"/>
      <c r="X1039" s="711">
        <f t="shared" si="3891"/>
        <v>0</v>
      </c>
      <c r="Y1039" s="897"/>
      <c r="Z1039" s="528"/>
      <c r="AA1039" s="899"/>
      <c r="AB1039" s="899"/>
      <c r="AC1039" s="904"/>
      <c r="AD1039" s="905"/>
      <c r="AE1039" s="2"/>
      <c r="AF1039" s="926"/>
      <c r="AG1039" s="885"/>
      <c r="AH1039" s="922"/>
      <c r="AI1039" s="885"/>
      <c r="AJ1039" s="885"/>
      <c r="AK1039" s="885"/>
      <c r="AL1039" s="885"/>
      <c r="AM1039" s="879"/>
      <c r="AN1039" s="2"/>
      <c r="AO1039" s="886"/>
      <c r="AP1039" s="886"/>
      <c r="AV1039" t="str">
        <f t="shared" si="3960"/>
        <v>Sobrelargura</v>
      </c>
      <c r="AW1039" s="4" t="str">
        <f t="shared" si="3951"/>
        <v>2.5-PG BSCC 3,0 x 3,0m - km 149+260 - Aterro A10 - Bueiro de Concreto</v>
      </c>
    </row>
    <row r="1040" spans="1:49" ht="9" customHeight="1" outlineLevel="2">
      <c r="A1040" s="8" t="str">
        <f t="shared" ref="A1040" si="3980">IF(SUM(P1040:V1041)&gt;0,"S","N")</f>
        <v>N</v>
      </c>
      <c r="B1040" s="150">
        <v>1064396</v>
      </c>
      <c r="C1040" s="150" t="s">
        <v>1359</v>
      </c>
      <c r="D1040" s="120" t="s">
        <v>1360</v>
      </c>
      <c r="E1040" s="892" t="s">
        <v>1360</v>
      </c>
      <c r="F1040" s="902" t="s">
        <v>52</v>
      </c>
      <c r="G1040" s="528"/>
      <c r="H1040" s="546" t="s">
        <v>37</v>
      </c>
      <c r="I1040" s="711">
        <v>0</v>
      </c>
      <c r="J1040" s="896" t="str">
        <f t="shared" ref="J1040" si="3981">IFERROR((I1041/I1040),"-")</f>
        <v>-</v>
      </c>
      <c r="K1040" s="528"/>
      <c r="L1040" s="546" t="s">
        <v>37</v>
      </c>
      <c r="M1040" s="711">
        <f t="shared" si="3898"/>
        <v>0</v>
      </c>
      <c r="N1040" s="896" t="str">
        <f t="shared" ref="N1040" si="3982">IFERROR((M1041/M1040),"-")</f>
        <v>-</v>
      </c>
      <c r="O1040" s="528"/>
      <c r="P1040" s="547">
        <v>0</v>
      </c>
      <c r="Q1040" s="547">
        <v>0</v>
      </c>
      <c r="R1040" s="547">
        <v>0</v>
      </c>
      <c r="S1040" s="547">
        <v>0</v>
      </c>
      <c r="T1040" s="547">
        <v>0</v>
      </c>
      <c r="U1040" s="547">
        <v>0</v>
      </c>
      <c r="V1040" s="548">
        <v>0</v>
      </c>
      <c r="W1040" s="528"/>
      <c r="X1040" s="711">
        <f t="shared" si="3891"/>
        <v>0</v>
      </c>
      <c r="Y1040" s="896" t="str">
        <f t="shared" ref="Y1040" si="3983">IFERROR((X1041/X1040),"0")</f>
        <v>0</v>
      </c>
      <c r="Z1040" s="528"/>
      <c r="AA1040" s="898">
        <v>0</v>
      </c>
      <c r="AB1040" s="898">
        <v>0</v>
      </c>
      <c r="AC1040" s="903">
        <v>0</v>
      </c>
      <c r="AD1040" s="896" t="str">
        <f t="shared" ref="AD1040" si="3984">IFERROR((AC1040/AB1040),"-")</f>
        <v>-</v>
      </c>
      <c r="AE1040" s="2"/>
      <c r="AF1040" s="886">
        <v>28</v>
      </c>
      <c r="AG1040" s="884"/>
      <c r="AH1040" s="921">
        <v>0</v>
      </c>
      <c r="AI1040" s="884"/>
      <c r="AJ1040" s="884"/>
      <c r="AK1040" s="884">
        <f t="shared" ref="AK1040" si="3985">AF1040+AG1040+AH1040+AI1040+AJ1040+AC1040</f>
        <v>28</v>
      </c>
      <c r="AL1040" s="884">
        <v>30.42</v>
      </c>
      <c r="AM1040" s="878">
        <f t="shared" ref="AM1040" si="3986">IFERROR((AK1040/AL1040),"-")</f>
        <v>0.92044707429322814</v>
      </c>
      <c r="AN1040" s="2"/>
      <c r="AO1040" s="884">
        <v>30.42</v>
      </c>
      <c r="AP1040" s="884">
        <f t="shared" ref="AP1040" si="3987">AO1040-AK1040</f>
        <v>2.4200000000000017</v>
      </c>
      <c r="AV1040" t="str">
        <f t="shared" si="3960"/>
        <v>Sobrelargura</v>
      </c>
      <c r="AW1040" s="4" t="str">
        <f t="shared" si="3951"/>
        <v>2.5-BSCC2,0 x 2,0m - km 149+411 - Aterro A10 - Bueiro de Concreto</v>
      </c>
    </row>
    <row r="1041" spans="1:50" ht="20.25" customHeight="1" outlineLevel="2">
      <c r="A1041" s="8" t="str">
        <f t="shared" ref="A1041" si="3988">A1040</f>
        <v>N</v>
      </c>
      <c r="B1041" s="150"/>
      <c r="C1041" s="150"/>
      <c r="D1041" s="120"/>
      <c r="E1041" s="893"/>
      <c r="F1041" s="902"/>
      <c r="G1041" s="528"/>
      <c r="H1041" s="549" t="s">
        <v>38</v>
      </c>
      <c r="I1041" s="711">
        <v>0</v>
      </c>
      <c r="J1041" s="897"/>
      <c r="K1041" s="528"/>
      <c r="L1041" s="549" t="s">
        <v>38</v>
      </c>
      <c r="M1041" s="711">
        <f t="shared" si="3898"/>
        <v>0</v>
      </c>
      <c r="N1041" s="897"/>
      <c r="O1041" s="528"/>
      <c r="P1041" s="548">
        <v>0</v>
      </c>
      <c r="Q1041" s="548">
        <v>0</v>
      </c>
      <c r="R1041" s="548">
        <v>0</v>
      </c>
      <c r="S1041" s="548">
        <v>0</v>
      </c>
      <c r="T1041" s="548">
        <v>0</v>
      </c>
      <c r="U1041" s="548">
        <v>0</v>
      </c>
      <c r="V1041" s="548">
        <v>0</v>
      </c>
      <c r="W1041" s="528"/>
      <c r="X1041" s="711">
        <f t="shared" si="3891"/>
        <v>0</v>
      </c>
      <c r="Y1041" s="897"/>
      <c r="Z1041" s="528"/>
      <c r="AA1041" s="899"/>
      <c r="AB1041" s="899"/>
      <c r="AC1041" s="904"/>
      <c r="AD1041" s="905"/>
      <c r="AE1041" s="2"/>
      <c r="AF1041" s="926"/>
      <c r="AG1041" s="885"/>
      <c r="AH1041" s="922"/>
      <c r="AI1041" s="885"/>
      <c r="AJ1041" s="885"/>
      <c r="AK1041" s="885"/>
      <c r="AL1041" s="885"/>
      <c r="AM1041" s="879"/>
      <c r="AN1041" s="2"/>
      <c r="AO1041" s="886"/>
      <c r="AP1041" s="886"/>
      <c r="AV1041" t="str">
        <f t="shared" si="3960"/>
        <v>Sobrelargura</v>
      </c>
      <c r="AW1041" s="4" t="str">
        <f t="shared" si="3951"/>
        <v>2.5-BSCC2,0 x 2,0m - km 149+411 - Aterro A10 - Bueiro de Concreto</v>
      </c>
    </row>
    <row r="1042" spans="1:50" ht="20.25" customHeight="1" outlineLevel="2">
      <c r="A1042" s="8" t="str">
        <f t="shared" ref="A1042" si="3989">IF(SUM(P1042:V1043)&gt;0,"S","N")</f>
        <v>N</v>
      </c>
      <c r="B1042" s="150">
        <v>1064403</v>
      </c>
      <c r="C1042" s="150" t="s">
        <v>1361</v>
      </c>
      <c r="D1042" s="120" t="s">
        <v>1362</v>
      </c>
      <c r="E1042" s="892" t="s">
        <v>1362</v>
      </c>
      <c r="F1042" s="902" t="s">
        <v>52</v>
      </c>
      <c r="G1042" s="528"/>
      <c r="H1042" s="546" t="s">
        <v>37</v>
      </c>
      <c r="I1042" s="711">
        <v>0</v>
      </c>
      <c r="J1042" s="896" t="str">
        <f t="shared" ref="J1042" si="3990">IFERROR((I1043/I1042),"-")</f>
        <v>-</v>
      </c>
      <c r="K1042" s="528"/>
      <c r="L1042" s="546" t="s">
        <v>37</v>
      </c>
      <c r="M1042" s="711">
        <f t="shared" si="3898"/>
        <v>0</v>
      </c>
      <c r="N1042" s="896" t="str">
        <f t="shared" ref="N1042" si="3991">IFERROR((M1043/M1042),"-")</f>
        <v>-</v>
      </c>
      <c r="O1042" s="528"/>
      <c r="P1042" s="547">
        <v>0</v>
      </c>
      <c r="Q1042" s="547">
        <v>0</v>
      </c>
      <c r="R1042" s="547">
        <v>0</v>
      </c>
      <c r="S1042" s="547">
        <v>0</v>
      </c>
      <c r="T1042" s="547">
        <v>0</v>
      </c>
      <c r="U1042" s="547">
        <v>0</v>
      </c>
      <c r="V1042" s="548">
        <v>0</v>
      </c>
      <c r="W1042" s="528"/>
      <c r="X1042" s="711">
        <f t="shared" si="3891"/>
        <v>0</v>
      </c>
      <c r="Y1042" s="896" t="str">
        <f t="shared" ref="Y1042" si="3992">IFERROR((X1043/X1042),"0")</f>
        <v>0</v>
      </c>
      <c r="Z1042" s="528"/>
      <c r="AA1042" s="898">
        <v>0</v>
      </c>
      <c r="AB1042" s="898">
        <v>0</v>
      </c>
      <c r="AC1042" s="903">
        <v>0</v>
      </c>
      <c r="AD1042" s="896" t="str">
        <f t="shared" ref="AD1042" si="3993">IFERROR((AC1042/AB1042),"-")</f>
        <v>-</v>
      </c>
      <c r="AE1042" s="2"/>
      <c r="AF1042" s="886">
        <v>12</v>
      </c>
      <c r="AG1042" s="884"/>
      <c r="AH1042" s="921">
        <v>0</v>
      </c>
      <c r="AI1042" s="884"/>
      <c r="AJ1042" s="884"/>
      <c r="AK1042" s="884">
        <f t="shared" ref="AK1042" si="3994">AF1042+AG1042+AH1042+AI1042+AJ1042+AC1042</f>
        <v>12</v>
      </c>
      <c r="AL1042" s="884">
        <v>12</v>
      </c>
      <c r="AM1042" s="878">
        <f t="shared" ref="AM1042" si="3995">IFERROR((AK1042/AL1042),"-")</f>
        <v>1</v>
      </c>
      <c r="AN1042" s="2"/>
      <c r="AO1042" s="884">
        <v>12</v>
      </c>
      <c r="AP1042" s="884">
        <f t="shared" ref="AP1042" si="3996">AO1042-AK1042</f>
        <v>0</v>
      </c>
      <c r="AV1042" t="str">
        <f t="shared" si="3960"/>
        <v>Sobrelargura</v>
      </c>
      <c r="AW1042" s="4" t="str">
        <f t="shared" si="3951"/>
        <v>2.5-PG BSCC 3,0 x 3,0m - km 150+110 - Aterro A11 - Bueiro de Concreto</v>
      </c>
    </row>
    <row r="1043" spans="1:50" ht="20.100000000000001" customHeight="1" outlineLevel="2">
      <c r="A1043" s="8" t="str">
        <f t="shared" ref="A1043" si="3997">A1042</f>
        <v>N</v>
      </c>
      <c r="B1043" s="150"/>
      <c r="C1043" s="150"/>
      <c r="D1043" s="120"/>
      <c r="E1043" s="893"/>
      <c r="F1043" s="902"/>
      <c r="G1043" s="528"/>
      <c r="H1043" s="549" t="s">
        <v>38</v>
      </c>
      <c r="I1043" s="711">
        <v>0</v>
      </c>
      <c r="J1043" s="897"/>
      <c r="K1043" s="528"/>
      <c r="L1043" s="549" t="s">
        <v>38</v>
      </c>
      <c r="M1043" s="711">
        <f t="shared" si="3898"/>
        <v>0</v>
      </c>
      <c r="N1043" s="897"/>
      <c r="O1043" s="528"/>
      <c r="P1043" s="548">
        <v>0</v>
      </c>
      <c r="Q1043" s="548">
        <v>0</v>
      </c>
      <c r="R1043" s="548">
        <v>0</v>
      </c>
      <c r="S1043" s="548">
        <v>0</v>
      </c>
      <c r="T1043" s="548">
        <v>0</v>
      </c>
      <c r="U1043" s="548">
        <v>0</v>
      </c>
      <c r="V1043" s="548">
        <v>0</v>
      </c>
      <c r="W1043" s="528"/>
      <c r="X1043" s="711">
        <f t="shared" si="3891"/>
        <v>0</v>
      </c>
      <c r="Y1043" s="897"/>
      <c r="Z1043" s="528"/>
      <c r="AA1043" s="899"/>
      <c r="AB1043" s="899"/>
      <c r="AC1043" s="904"/>
      <c r="AD1043" s="905"/>
      <c r="AE1043" s="2"/>
      <c r="AF1043" s="926"/>
      <c r="AG1043" s="885"/>
      <c r="AH1043" s="922"/>
      <c r="AI1043" s="885"/>
      <c r="AJ1043" s="885"/>
      <c r="AK1043" s="885"/>
      <c r="AL1043" s="885"/>
      <c r="AM1043" s="879"/>
      <c r="AN1043" s="2"/>
      <c r="AO1043" s="886"/>
      <c r="AP1043" s="886"/>
      <c r="AV1043" t="str">
        <f t="shared" si="3960"/>
        <v>Sobrelargura</v>
      </c>
      <c r="AW1043" s="4" t="str">
        <f t="shared" si="3951"/>
        <v>2.5-PG BSCC 3,0 x 3,0m - km 150+110 - Aterro A11 - Bueiro de Concreto</v>
      </c>
    </row>
    <row r="1044" spans="1:50" ht="20.100000000000001" customHeight="1" outlineLevel="2">
      <c r="A1044" s="8" t="str">
        <f t="shared" ref="A1044" si="3998">IF(SUM(P1044:V1045)&gt;0,"S","N")</f>
        <v>N</v>
      </c>
      <c r="B1044" s="150">
        <v>1064408</v>
      </c>
      <c r="C1044" s="150" t="s">
        <v>1363</v>
      </c>
      <c r="D1044" s="120" t="s">
        <v>1364</v>
      </c>
      <c r="E1044" s="892" t="s">
        <v>1364</v>
      </c>
      <c r="F1044" s="902" t="s">
        <v>52</v>
      </c>
      <c r="G1044" s="528"/>
      <c r="H1044" s="546" t="s">
        <v>37</v>
      </c>
      <c r="I1044" s="711">
        <v>0</v>
      </c>
      <c r="J1044" s="896" t="str">
        <f t="shared" ref="J1044" si="3999">IFERROR((I1045/I1044),"-")</f>
        <v>-</v>
      </c>
      <c r="K1044" s="528"/>
      <c r="L1044" s="546" t="s">
        <v>37</v>
      </c>
      <c r="M1044" s="711">
        <f t="shared" si="3898"/>
        <v>0</v>
      </c>
      <c r="N1044" s="896" t="str">
        <f t="shared" ref="N1044" si="4000">IFERROR((M1045/M1044),"-")</f>
        <v>-</v>
      </c>
      <c r="O1044" s="528"/>
      <c r="P1044" s="547">
        <v>0</v>
      </c>
      <c r="Q1044" s="547">
        <v>0</v>
      </c>
      <c r="R1044" s="547">
        <v>0</v>
      </c>
      <c r="S1044" s="547">
        <v>0</v>
      </c>
      <c r="T1044" s="547">
        <v>0</v>
      </c>
      <c r="U1044" s="547">
        <v>0</v>
      </c>
      <c r="V1044" s="548">
        <v>0</v>
      </c>
      <c r="W1044" s="528"/>
      <c r="X1044" s="711">
        <f t="shared" si="3891"/>
        <v>0</v>
      </c>
      <c r="Y1044" s="896" t="str">
        <f t="shared" ref="Y1044" si="4001">IFERROR((X1045/X1044),"0")</f>
        <v>0</v>
      </c>
      <c r="Z1044" s="528"/>
      <c r="AA1044" s="898">
        <v>0</v>
      </c>
      <c r="AB1044" s="898">
        <v>0</v>
      </c>
      <c r="AC1044" s="903">
        <v>0</v>
      </c>
      <c r="AD1044" s="896" t="str">
        <f t="shared" ref="AD1044" si="4002">IFERROR((AC1044/AB1044),"-")</f>
        <v>-</v>
      </c>
      <c r="AE1044" s="2"/>
      <c r="AF1044" s="886">
        <v>32</v>
      </c>
      <c r="AG1044" s="884"/>
      <c r="AH1044" s="921">
        <v>0</v>
      </c>
      <c r="AI1044" s="884"/>
      <c r="AJ1044" s="884"/>
      <c r="AK1044" s="884">
        <f t="shared" ref="AK1044" si="4003">AF1044+AG1044+AH1044+AI1044+AJ1044+AC1044</f>
        <v>32</v>
      </c>
      <c r="AL1044" s="884">
        <v>32</v>
      </c>
      <c r="AM1044" s="878">
        <f t="shared" ref="AM1044" si="4004">IFERROR((AK1044/AL1044),"-")</f>
        <v>1</v>
      </c>
      <c r="AN1044" s="2"/>
      <c r="AO1044" s="884">
        <v>32</v>
      </c>
      <c r="AP1044" s="884">
        <f t="shared" ref="AP1044" si="4005">AO1044-AK1044</f>
        <v>0</v>
      </c>
      <c r="AV1044" t="str">
        <f t="shared" si="3960"/>
        <v>Sobrelargura</v>
      </c>
      <c r="AW1044" s="4" t="str">
        <f t="shared" si="3951"/>
        <v>2.5-BDT PEAD DN 1,20m - km 150+153 - Aterro A11- Bueiro de PEAD</v>
      </c>
    </row>
    <row r="1045" spans="1:50" ht="14.45" customHeight="1" outlineLevel="2">
      <c r="A1045" s="8" t="str">
        <f t="shared" ref="A1045" si="4006">A1044</f>
        <v>N</v>
      </c>
      <c r="B1045" s="150"/>
      <c r="C1045" s="150"/>
      <c r="D1045" s="120"/>
      <c r="E1045" s="893"/>
      <c r="F1045" s="902"/>
      <c r="G1045" s="528"/>
      <c r="H1045" s="549" t="s">
        <v>38</v>
      </c>
      <c r="I1045" s="711">
        <v>0</v>
      </c>
      <c r="J1045" s="897"/>
      <c r="K1045" s="528"/>
      <c r="L1045" s="549" t="s">
        <v>38</v>
      </c>
      <c r="M1045" s="711">
        <f t="shared" si="3898"/>
        <v>0</v>
      </c>
      <c r="N1045" s="897"/>
      <c r="O1045" s="528"/>
      <c r="P1045" s="548">
        <v>0</v>
      </c>
      <c r="Q1045" s="548">
        <v>0</v>
      </c>
      <c r="R1045" s="548">
        <v>0</v>
      </c>
      <c r="S1045" s="548">
        <v>0</v>
      </c>
      <c r="T1045" s="548">
        <v>0</v>
      </c>
      <c r="U1045" s="548">
        <v>0</v>
      </c>
      <c r="V1045" s="548">
        <v>0</v>
      </c>
      <c r="W1045" s="528"/>
      <c r="X1045" s="711">
        <f t="shared" si="3891"/>
        <v>0</v>
      </c>
      <c r="Y1045" s="897"/>
      <c r="Z1045" s="528"/>
      <c r="AA1045" s="899"/>
      <c r="AB1045" s="899"/>
      <c r="AC1045" s="904"/>
      <c r="AD1045" s="905"/>
      <c r="AE1045" s="2"/>
      <c r="AF1045" s="926"/>
      <c r="AG1045" s="885"/>
      <c r="AH1045" s="922"/>
      <c r="AI1045" s="885"/>
      <c r="AJ1045" s="885"/>
      <c r="AK1045" s="885"/>
      <c r="AL1045" s="885"/>
      <c r="AM1045" s="879"/>
      <c r="AN1045" s="2"/>
      <c r="AO1045" s="886"/>
      <c r="AP1045" s="886"/>
      <c r="AV1045" t="str">
        <f t="shared" si="3960"/>
        <v>Sobrelargura</v>
      </c>
      <c r="AW1045" s="4" t="str">
        <f t="shared" si="3951"/>
        <v>2.5-BDT PEAD DN 1,20m - km 150+153 - Aterro A11- Bueiro de PEAD</v>
      </c>
    </row>
    <row r="1046" spans="1:50" ht="15.6" customHeight="1" outlineLevel="2">
      <c r="A1046" s="8" t="str">
        <f t="shared" ref="A1046" si="4007">IF(SUM(P1046:V1047)&gt;0,"S","N")</f>
        <v>N</v>
      </c>
      <c r="B1046" s="150">
        <v>1064413</v>
      </c>
      <c r="C1046" s="150" t="s">
        <v>1365</v>
      </c>
      <c r="D1046" s="120" t="s">
        <v>1366</v>
      </c>
      <c r="E1046" s="892" t="s">
        <v>1366</v>
      </c>
      <c r="F1046" s="902" t="s">
        <v>52</v>
      </c>
      <c r="G1046" s="528"/>
      <c r="H1046" s="546" t="s">
        <v>37</v>
      </c>
      <c r="I1046" s="711">
        <v>0</v>
      </c>
      <c r="J1046" s="896" t="str">
        <f t="shared" ref="J1046" si="4008">IFERROR((I1047/I1046),"-")</f>
        <v>-</v>
      </c>
      <c r="K1046" s="528"/>
      <c r="L1046" s="546" t="s">
        <v>37</v>
      </c>
      <c r="M1046" s="711">
        <f t="shared" si="3898"/>
        <v>0</v>
      </c>
      <c r="N1046" s="896" t="str">
        <f t="shared" ref="N1046" si="4009">IFERROR((M1047/M1046),"-")</f>
        <v>-</v>
      </c>
      <c r="O1046" s="528"/>
      <c r="P1046" s="547">
        <v>0</v>
      </c>
      <c r="Q1046" s="547">
        <v>0</v>
      </c>
      <c r="R1046" s="547">
        <v>0</v>
      </c>
      <c r="S1046" s="547">
        <v>0</v>
      </c>
      <c r="T1046" s="547">
        <v>0</v>
      </c>
      <c r="U1046" s="547">
        <v>0</v>
      </c>
      <c r="V1046" s="548">
        <v>0</v>
      </c>
      <c r="W1046" s="528"/>
      <c r="X1046" s="711">
        <f t="shared" si="3891"/>
        <v>0</v>
      </c>
      <c r="Y1046" s="896" t="str">
        <f t="shared" ref="Y1046" si="4010">IFERROR((X1047/X1046),"0")</f>
        <v>0</v>
      </c>
      <c r="Z1046" s="528"/>
      <c r="AA1046" s="898">
        <v>0</v>
      </c>
      <c r="AB1046" s="898">
        <v>0</v>
      </c>
      <c r="AC1046" s="903">
        <v>0</v>
      </c>
      <c r="AD1046" s="896" t="str">
        <f t="shared" ref="AD1046" si="4011">IFERROR((AC1046/AB1046),"-")</f>
        <v>-</v>
      </c>
      <c r="AE1046" s="2"/>
      <c r="AF1046" s="886">
        <v>29</v>
      </c>
      <c r="AG1046" s="884"/>
      <c r="AH1046" s="921">
        <v>0</v>
      </c>
      <c r="AI1046" s="884"/>
      <c r="AJ1046" s="884"/>
      <c r="AK1046" s="884">
        <f t="shared" ref="AK1046" si="4012">AF1046+AG1046+AH1046+AI1046+AJ1046+AC1046</f>
        <v>29</v>
      </c>
      <c r="AL1046" s="884">
        <v>29</v>
      </c>
      <c r="AM1046" s="878">
        <f t="shared" ref="AM1046" si="4013">IFERROR((AK1046/AL1046),"-")</f>
        <v>1</v>
      </c>
      <c r="AN1046" s="2"/>
      <c r="AO1046" s="884">
        <v>29</v>
      </c>
      <c r="AP1046" s="884">
        <f t="shared" ref="AP1046" si="4014">AO1046-AK1046</f>
        <v>0</v>
      </c>
      <c r="AV1046" t="str">
        <f t="shared" si="3960"/>
        <v>Sobrelargura</v>
      </c>
      <c r="AW1046" s="4" t="str">
        <f t="shared" si="3951"/>
        <v>2.5-BDT PEAD DN 1,20m - km 150+368 - Aterro A11- Bueiro de PEAD</v>
      </c>
    </row>
    <row r="1047" spans="1:50" ht="15.6" customHeight="1" outlineLevel="2">
      <c r="A1047" s="8" t="str">
        <f t="shared" ref="A1047" si="4015">A1046</f>
        <v>N</v>
      </c>
      <c r="B1047" s="150"/>
      <c r="C1047" s="150"/>
      <c r="D1047" s="120"/>
      <c r="E1047" s="893"/>
      <c r="F1047" s="902"/>
      <c r="G1047" s="528"/>
      <c r="H1047" s="549" t="s">
        <v>38</v>
      </c>
      <c r="I1047" s="711">
        <v>0</v>
      </c>
      <c r="J1047" s="897"/>
      <c r="K1047" s="528"/>
      <c r="L1047" s="549" t="s">
        <v>38</v>
      </c>
      <c r="M1047" s="711">
        <f t="shared" si="3898"/>
        <v>0</v>
      </c>
      <c r="N1047" s="897"/>
      <c r="O1047" s="528"/>
      <c r="P1047" s="548">
        <v>0</v>
      </c>
      <c r="Q1047" s="548">
        <v>0</v>
      </c>
      <c r="R1047" s="548">
        <v>0</v>
      </c>
      <c r="S1047" s="548">
        <v>0</v>
      </c>
      <c r="T1047" s="548">
        <v>0</v>
      </c>
      <c r="U1047" s="548">
        <v>0</v>
      </c>
      <c r="V1047" s="548">
        <v>0</v>
      </c>
      <c r="W1047" s="528"/>
      <c r="X1047" s="711">
        <f t="shared" si="3891"/>
        <v>0</v>
      </c>
      <c r="Y1047" s="897"/>
      <c r="Z1047" s="528"/>
      <c r="AA1047" s="899"/>
      <c r="AB1047" s="899"/>
      <c r="AC1047" s="904"/>
      <c r="AD1047" s="905"/>
      <c r="AE1047" s="2"/>
      <c r="AF1047" s="926"/>
      <c r="AG1047" s="885"/>
      <c r="AH1047" s="922"/>
      <c r="AI1047" s="885"/>
      <c r="AJ1047" s="885"/>
      <c r="AK1047" s="885"/>
      <c r="AL1047" s="885"/>
      <c r="AM1047" s="879"/>
      <c r="AN1047" s="2"/>
      <c r="AO1047" s="886"/>
      <c r="AP1047" s="886"/>
      <c r="AV1047" t="str">
        <f t="shared" si="3960"/>
        <v>Sobrelargura</v>
      </c>
      <c r="AW1047" s="4" t="str">
        <f t="shared" si="3951"/>
        <v>2.5-BDT PEAD DN 1,20m - km 150+368 - Aterro A11- Bueiro de PEAD</v>
      </c>
      <c r="AX1047" s="4"/>
    </row>
    <row r="1048" spans="1:50" ht="15.6" customHeight="1" outlineLevel="2">
      <c r="A1048" s="8" t="str">
        <f t="shared" ref="A1048" si="4016">IF(SUM(P1048:V1049)&gt;0,"S","N")</f>
        <v>N</v>
      </c>
      <c r="B1048" s="150">
        <v>1064420</v>
      </c>
      <c r="C1048" s="150" t="s">
        <v>1367</v>
      </c>
      <c r="D1048" s="120" t="s">
        <v>1368</v>
      </c>
      <c r="E1048" s="892" t="s">
        <v>1368</v>
      </c>
      <c r="F1048" s="902" t="s">
        <v>52</v>
      </c>
      <c r="G1048" s="528"/>
      <c r="H1048" s="546" t="s">
        <v>37</v>
      </c>
      <c r="I1048" s="711">
        <v>0</v>
      </c>
      <c r="J1048" s="896" t="str">
        <f t="shared" ref="J1048" si="4017">IFERROR((I1049/I1048),"-")</f>
        <v>-</v>
      </c>
      <c r="K1048" s="528"/>
      <c r="L1048" s="546" t="s">
        <v>37</v>
      </c>
      <c r="M1048" s="711">
        <f t="shared" si="3898"/>
        <v>0</v>
      </c>
      <c r="N1048" s="896" t="str">
        <f t="shared" ref="N1048" si="4018">IFERROR((M1049/M1048),"-")</f>
        <v>-</v>
      </c>
      <c r="O1048" s="528"/>
      <c r="P1048" s="547">
        <v>0</v>
      </c>
      <c r="Q1048" s="547">
        <v>0</v>
      </c>
      <c r="R1048" s="547">
        <v>0</v>
      </c>
      <c r="S1048" s="547">
        <v>0</v>
      </c>
      <c r="T1048" s="547">
        <v>0</v>
      </c>
      <c r="U1048" s="547">
        <v>0</v>
      </c>
      <c r="V1048" s="548">
        <v>0</v>
      </c>
      <c r="W1048" s="528"/>
      <c r="X1048" s="711">
        <f t="shared" si="3891"/>
        <v>0</v>
      </c>
      <c r="Y1048" s="896" t="str">
        <f t="shared" ref="Y1048" si="4019">IFERROR((X1049/X1048),"0")</f>
        <v>0</v>
      </c>
      <c r="Z1048" s="528"/>
      <c r="AA1048" s="898">
        <v>0</v>
      </c>
      <c r="AB1048" s="898">
        <v>0</v>
      </c>
      <c r="AC1048" s="903">
        <v>0</v>
      </c>
      <c r="AD1048" s="896" t="str">
        <f t="shared" ref="AD1048" si="4020">IFERROR((AC1048/AB1048),"-")</f>
        <v>-</v>
      </c>
      <c r="AE1048" s="2"/>
      <c r="AF1048" s="886">
        <v>0</v>
      </c>
      <c r="AG1048" s="884"/>
      <c r="AH1048" s="921">
        <v>0</v>
      </c>
      <c r="AI1048" s="884"/>
      <c r="AJ1048" s="884"/>
      <c r="AK1048" s="884">
        <f t="shared" ref="AK1048" si="4021">AF1048+AG1048+AH1048+AI1048+AJ1048+AC1048</f>
        <v>0</v>
      </c>
      <c r="AL1048" s="884">
        <v>25</v>
      </c>
      <c r="AM1048" s="878">
        <f t="shared" ref="AM1048" si="4022">IFERROR((AK1048/AL1048),"-")</f>
        <v>0</v>
      </c>
      <c r="AN1048" s="2"/>
      <c r="AO1048" s="884">
        <v>25</v>
      </c>
      <c r="AP1048" s="884">
        <f t="shared" ref="AP1048" si="4023">AO1048-AK1048</f>
        <v>25</v>
      </c>
      <c r="AV1048" t="str">
        <f t="shared" si="3960"/>
        <v>Sobrelargura</v>
      </c>
      <c r="AW1048" s="4" t="str">
        <f t="shared" si="3951"/>
        <v>2.5-BDT PEAD DN 1,20m - km 150+612 - Aterro A11- Bueiro de PEAD</v>
      </c>
    </row>
    <row r="1049" spans="1:50" ht="15.6" customHeight="1" outlineLevel="2">
      <c r="A1049" s="8" t="str">
        <f t="shared" ref="A1049" si="4024">A1048</f>
        <v>N</v>
      </c>
      <c r="B1049" s="150"/>
      <c r="C1049" s="150"/>
      <c r="D1049" s="120"/>
      <c r="E1049" s="893"/>
      <c r="F1049" s="902"/>
      <c r="G1049" s="528"/>
      <c r="H1049" s="549" t="s">
        <v>38</v>
      </c>
      <c r="I1049" s="711">
        <v>0</v>
      </c>
      <c r="J1049" s="897"/>
      <c r="K1049" s="528"/>
      <c r="L1049" s="549" t="s">
        <v>38</v>
      </c>
      <c r="M1049" s="711">
        <f t="shared" si="3898"/>
        <v>0</v>
      </c>
      <c r="N1049" s="897"/>
      <c r="O1049" s="528"/>
      <c r="P1049" s="548">
        <v>0</v>
      </c>
      <c r="Q1049" s="548">
        <v>0</v>
      </c>
      <c r="R1049" s="548">
        <v>0</v>
      </c>
      <c r="S1049" s="548">
        <v>0</v>
      </c>
      <c r="T1049" s="548">
        <v>0</v>
      </c>
      <c r="U1049" s="548">
        <v>0</v>
      </c>
      <c r="V1049" s="548">
        <v>0</v>
      </c>
      <c r="W1049" s="528"/>
      <c r="X1049" s="711">
        <f t="shared" si="3891"/>
        <v>0</v>
      </c>
      <c r="Y1049" s="897"/>
      <c r="Z1049" s="528"/>
      <c r="AA1049" s="899"/>
      <c r="AB1049" s="899"/>
      <c r="AC1049" s="904"/>
      <c r="AD1049" s="905"/>
      <c r="AE1049" s="2"/>
      <c r="AF1049" s="926"/>
      <c r="AG1049" s="885"/>
      <c r="AH1049" s="922"/>
      <c r="AI1049" s="885"/>
      <c r="AJ1049" s="885"/>
      <c r="AK1049" s="885"/>
      <c r="AL1049" s="885"/>
      <c r="AM1049" s="879"/>
      <c r="AN1049" s="2"/>
      <c r="AO1049" s="886"/>
      <c r="AP1049" s="886"/>
      <c r="AV1049" t="str">
        <f t="shared" si="3960"/>
        <v>Sobrelargura</v>
      </c>
      <c r="AW1049" s="4" t="str">
        <f t="shared" si="3951"/>
        <v>2.5-BDT PEAD DN 1,20m - km 150+612 - Aterro A11- Bueiro de PEAD</v>
      </c>
    </row>
    <row r="1050" spans="1:50" ht="15.6" customHeight="1" outlineLevel="2">
      <c r="A1050" s="8" t="str">
        <f t="shared" ref="A1050" si="4025">IF(SUM(P1050:V1051)&gt;0,"S","N")</f>
        <v>N</v>
      </c>
      <c r="B1050" s="150">
        <v>1064426</v>
      </c>
      <c r="C1050" s="150" t="s">
        <v>1369</v>
      </c>
      <c r="D1050" s="120" t="s">
        <v>1370</v>
      </c>
      <c r="E1050" s="892" t="s">
        <v>1370</v>
      </c>
      <c r="F1050" s="902" t="s">
        <v>52</v>
      </c>
      <c r="G1050" s="528"/>
      <c r="H1050" s="546" t="s">
        <v>37</v>
      </c>
      <c r="I1050" s="711">
        <v>0</v>
      </c>
      <c r="J1050" s="896" t="str">
        <f t="shared" ref="J1050" si="4026">IFERROR((I1051/I1050),"-")</f>
        <v>-</v>
      </c>
      <c r="K1050" s="528"/>
      <c r="L1050" s="546" t="s">
        <v>37</v>
      </c>
      <c r="M1050" s="711">
        <f t="shared" si="3898"/>
        <v>0</v>
      </c>
      <c r="N1050" s="896" t="str">
        <f t="shared" ref="N1050" si="4027">IFERROR((M1051/M1050),"-")</f>
        <v>-</v>
      </c>
      <c r="O1050" s="528"/>
      <c r="P1050" s="547">
        <v>0</v>
      </c>
      <c r="Q1050" s="547">
        <v>0</v>
      </c>
      <c r="R1050" s="547">
        <v>0</v>
      </c>
      <c r="S1050" s="547">
        <v>0</v>
      </c>
      <c r="T1050" s="547">
        <v>0</v>
      </c>
      <c r="U1050" s="547">
        <v>0</v>
      </c>
      <c r="V1050" s="548">
        <v>0</v>
      </c>
      <c r="W1050" s="528"/>
      <c r="X1050" s="711">
        <f t="shared" si="3891"/>
        <v>0</v>
      </c>
      <c r="Y1050" s="896" t="str">
        <f t="shared" ref="Y1050" si="4028">IFERROR((X1051/X1050),"0")</f>
        <v>0</v>
      </c>
      <c r="Z1050" s="528"/>
      <c r="AA1050" s="898">
        <v>0</v>
      </c>
      <c r="AB1050" s="898">
        <v>0</v>
      </c>
      <c r="AC1050" s="903">
        <v>0</v>
      </c>
      <c r="AD1050" s="896" t="str">
        <f t="shared" ref="AD1050" si="4029">IFERROR((AC1050/AB1050),"-")</f>
        <v>-</v>
      </c>
      <c r="AE1050" s="2"/>
      <c r="AF1050" s="886">
        <v>13</v>
      </c>
      <c r="AG1050" s="884"/>
      <c r="AH1050" s="921">
        <v>0</v>
      </c>
      <c r="AI1050" s="884"/>
      <c r="AJ1050" s="884"/>
      <c r="AK1050" s="884">
        <f t="shared" ref="AK1050" si="4030">AF1050+AG1050+AH1050+AI1050+AJ1050+AC1050</f>
        <v>13</v>
      </c>
      <c r="AL1050" s="884">
        <v>0</v>
      </c>
      <c r="AM1050" s="878" t="str">
        <f t="shared" ref="AM1050" si="4031">IFERROR((AK1050/AL1050),"-")</f>
        <v>-</v>
      </c>
      <c r="AN1050" s="2"/>
      <c r="AO1050" s="884">
        <v>0</v>
      </c>
      <c r="AP1050" s="884">
        <f t="shared" ref="AP1050" si="4032">AO1050-AK1050</f>
        <v>-13</v>
      </c>
      <c r="AV1050" t="str">
        <f t="shared" si="3960"/>
        <v>Sobrelargura</v>
      </c>
      <c r="AW1050" s="4" t="str">
        <f t="shared" si="3951"/>
        <v>2.5-PG BSCC 3,0 x 3,0m - km 150+650 - Aterro A11 - Bueiro de Concreto</v>
      </c>
    </row>
    <row r="1051" spans="1:50" ht="15.6" customHeight="1" outlineLevel="2">
      <c r="A1051" s="8" t="str">
        <f t="shared" ref="A1051" si="4033">A1050</f>
        <v>N</v>
      </c>
      <c r="B1051" s="150"/>
      <c r="C1051" s="150"/>
      <c r="D1051" s="120"/>
      <c r="E1051" s="893"/>
      <c r="F1051" s="902"/>
      <c r="G1051" s="528"/>
      <c r="H1051" s="549" t="s">
        <v>38</v>
      </c>
      <c r="I1051" s="711">
        <v>0</v>
      </c>
      <c r="J1051" s="897"/>
      <c r="K1051" s="528"/>
      <c r="L1051" s="549" t="s">
        <v>38</v>
      </c>
      <c r="M1051" s="711">
        <f t="shared" si="3898"/>
        <v>0</v>
      </c>
      <c r="N1051" s="897"/>
      <c r="O1051" s="528"/>
      <c r="P1051" s="548">
        <v>0</v>
      </c>
      <c r="Q1051" s="548">
        <v>0</v>
      </c>
      <c r="R1051" s="548">
        <v>0</v>
      </c>
      <c r="S1051" s="548">
        <v>0</v>
      </c>
      <c r="T1051" s="548">
        <v>0</v>
      </c>
      <c r="U1051" s="548">
        <v>0</v>
      </c>
      <c r="V1051" s="548">
        <v>0</v>
      </c>
      <c r="W1051" s="528"/>
      <c r="X1051" s="711">
        <f t="shared" si="3891"/>
        <v>0</v>
      </c>
      <c r="Y1051" s="897"/>
      <c r="Z1051" s="528"/>
      <c r="AA1051" s="899"/>
      <c r="AB1051" s="899"/>
      <c r="AC1051" s="904"/>
      <c r="AD1051" s="905"/>
      <c r="AE1051" s="2"/>
      <c r="AF1051" s="926"/>
      <c r="AG1051" s="885"/>
      <c r="AH1051" s="922"/>
      <c r="AI1051" s="885"/>
      <c r="AJ1051" s="885"/>
      <c r="AK1051" s="885"/>
      <c r="AL1051" s="885"/>
      <c r="AM1051" s="879"/>
      <c r="AN1051" s="2"/>
      <c r="AO1051" s="886"/>
      <c r="AP1051" s="886"/>
      <c r="AV1051" t="str">
        <f t="shared" si="3960"/>
        <v>Sobrelargura</v>
      </c>
      <c r="AW1051" s="4" t="str">
        <f t="shared" si="3951"/>
        <v>2.5-PG BSCC 3,0 x 3,0m - km 150+650 - Aterro A11 - Bueiro de Concreto</v>
      </c>
    </row>
    <row r="1052" spans="1:50" ht="15.6" customHeight="1" outlineLevel="2">
      <c r="A1052" s="8" t="str">
        <f t="shared" ref="A1052" si="4034">IF(SUM(P1052:V1053)&gt;0,"S","N")</f>
        <v>N</v>
      </c>
      <c r="B1052" s="150">
        <v>1064433</v>
      </c>
      <c r="C1052" s="150" t="s">
        <v>1371</v>
      </c>
      <c r="D1052" s="120" t="s">
        <v>1372</v>
      </c>
      <c r="E1052" s="892" t="s">
        <v>1372</v>
      </c>
      <c r="F1052" s="902" t="s">
        <v>52</v>
      </c>
      <c r="G1052" s="528"/>
      <c r="H1052" s="546" t="s">
        <v>37</v>
      </c>
      <c r="I1052" s="711">
        <v>0</v>
      </c>
      <c r="J1052" s="896" t="str">
        <f t="shared" ref="J1052" si="4035">IFERROR((I1053/I1052),"-")</f>
        <v>-</v>
      </c>
      <c r="K1052" s="528"/>
      <c r="L1052" s="546" t="s">
        <v>37</v>
      </c>
      <c r="M1052" s="711">
        <f t="shared" si="3898"/>
        <v>0</v>
      </c>
      <c r="N1052" s="896" t="str">
        <f t="shared" ref="N1052" si="4036">IFERROR((M1053/M1052),"-")</f>
        <v>-</v>
      </c>
      <c r="O1052" s="528"/>
      <c r="P1052" s="547">
        <v>0</v>
      </c>
      <c r="Q1052" s="547">
        <v>0</v>
      </c>
      <c r="R1052" s="547">
        <v>0</v>
      </c>
      <c r="S1052" s="547">
        <v>0</v>
      </c>
      <c r="T1052" s="547">
        <v>0</v>
      </c>
      <c r="U1052" s="547">
        <v>0</v>
      </c>
      <c r="V1052" s="548">
        <v>0</v>
      </c>
      <c r="W1052" s="528"/>
      <c r="X1052" s="711">
        <f t="shared" si="3891"/>
        <v>0</v>
      </c>
      <c r="Y1052" s="896" t="str">
        <f t="shared" ref="Y1052" si="4037">IFERROR((X1053/X1052),"0")</f>
        <v>0</v>
      </c>
      <c r="Z1052" s="528"/>
      <c r="AA1052" s="898">
        <v>0</v>
      </c>
      <c r="AB1052" s="898">
        <v>0</v>
      </c>
      <c r="AC1052" s="903">
        <v>0</v>
      </c>
      <c r="AD1052" s="896" t="str">
        <f t="shared" ref="AD1052" si="4038">IFERROR((AC1052/AB1052),"-")</f>
        <v>-</v>
      </c>
      <c r="AE1052" s="2"/>
      <c r="AF1052" s="886">
        <v>16</v>
      </c>
      <c r="AG1052" s="884"/>
      <c r="AH1052" s="921">
        <v>0</v>
      </c>
      <c r="AI1052" s="884"/>
      <c r="AJ1052" s="884"/>
      <c r="AK1052" s="884">
        <f t="shared" ref="AK1052" si="4039">AF1052+AG1052+AH1052+AI1052+AJ1052+AC1052</f>
        <v>16</v>
      </c>
      <c r="AL1052" s="884">
        <v>0</v>
      </c>
      <c r="AM1052" s="878" t="str">
        <f t="shared" ref="AM1052" si="4040">IFERROR((AK1052/AL1052),"-")</f>
        <v>-</v>
      </c>
      <c r="AN1052" s="2"/>
      <c r="AO1052" s="884">
        <v>0</v>
      </c>
      <c r="AP1052" s="884">
        <f t="shared" ref="AP1052" si="4041">AO1052-AK1052</f>
        <v>-16</v>
      </c>
      <c r="AV1052" t="str">
        <f t="shared" si="3960"/>
        <v>Sobrelargura</v>
      </c>
      <c r="AW1052" s="4" t="str">
        <f t="shared" si="3951"/>
        <v>2.5-BSTC DN 1,20m - Km 151+074 - Aterro A12 - Bueiro de Concreto</v>
      </c>
    </row>
    <row r="1053" spans="1:50" ht="15.6" customHeight="1" outlineLevel="2">
      <c r="A1053" s="8" t="str">
        <f t="shared" ref="A1053" si="4042">A1052</f>
        <v>N</v>
      </c>
      <c r="B1053" s="150"/>
      <c r="C1053" s="150"/>
      <c r="D1053" s="120"/>
      <c r="E1053" s="893"/>
      <c r="F1053" s="902"/>
      <c r="G1053" s="528"/>
      <c r="H1053" s="549" t="s">
        <v>38</v>
      </c>
      <c r="I1053" s="711">
        <v>0</v>
      </c>
      <c r="J1053" s="897"/>
      <c r="K1053" s="528"/>
      <c r="L1053" s="549" t="s">
        <v>38</v>
      </c>
      <c r="M1053" s="711">
        <f t="shared" si="3898"/>
        <v>0</v>
      </c>
      <c r="N1053" s="897"/>
      <c r="O1053" s="528"/>
      <c r="P1053" s="548">
        <v>0</v>
      </c>
      <c r="Q1053" s="548">
        <v>0</v>
      </c>
      <c r="R1053" s="548">
        <v>0</v>
      </c>
      <c r="S1053" s="548">
        <v>0</v>
      </c>
      <c r="T1053" s="548">
        <v>0</v>
      </c>
      <c r="U1053" s="548">
        <v>0</v>
      </c>
      <c r="V1053" s="548">
        <v>0</v>
      </c>
      <c r="W1053" s="528"/>
      <c r="X1053" s="711">
        <f t="shared" si="3891"/>
        <v>0</v>
      </c>
      <c r="Y1053" s="897"/>
      <c r="Z1053" s="528"/>
      <c r="AA1053" s="899"/>
      <c r="AB1053" s="899"/>
      <c r="AC1053" s="904"/>
      <c r="AD1053" s="905"/>
      <c r="AE1053" s="2"/>
      <c r="AF1053" s="926"/>
      <c r="AG1053" s="885"/>
      <c r="AH1053" s="922"/>
      <c r="AI1053" s="885"/>
      <c r="AJ1053" s="885"/>
      <c r="AK1053" s="885"/>
      <c r="AL1053" s="885"/>
      <c r="AM1053" s="879"/>
      <c r="AN1053" s="2"/>
      <c r="AO1053" s="886"/>
      <c r="AP1053" s="886"/>
      <c r="AV1053" t="str">
        <f t="shared" si="3960"/>
        <v>Sobrelargura</v>
      </c>
      <c r="AW1053" s="4" t="str">
        <f t="shared" si="3951"/>
        <v>2.5-BSTC DN 1,20m - Km 151+074 - Aterro A12 - Bueiro de Concreto</v>
      </c>
    </row>
    <row r="1054" spans="1:50" ht="15.6" customHeight="1" outlineLevel="2">
      <c r="A1054" s="8" t="str">
        <f t="shared" ref="A1054" si="4043">IF(SUM(P1054:V1055)&gt;0,"S","N")</f>
        <v>N</v>
      </c>
      <c r="B1054" s="150">
        <v>1064441</v>
      </c>
      <c r="C1054" s="150" t="s">
        <v>1373</v>
      </c>
      <c r="D1054" s="120" t="s">
        <v>1374</v>
      </c>
      <c r="E1054" s="892" t="s">
        <v>1374</v>
      </c>
      <c r="F1054" s="902" t="s">
        <v>52</v>
      </c>
      <c r="G1054" s="528"/>
      <c r="H1054" s="546" t="s">
        <v>37</v>
      </c>
      <c r="I1054" s="711">
        <v>0</v>
      </c>
      <c r="J1054" s="896" t="str">
        <f t="shared" ref="J1054" si="4044">IFERROR((I1055/I1054),"-")</f>
        <v>-</v>
      </c>
      <c r="K1054" s="528"/>
      <c r="L1054" s="546" t="s">
        <v>37</v>
      </c>
      <c r="M1054" s="711">
        <f t="shared" si="3898"/>
        <v>0</v>
      </c>
      <c r="N1054" s="896" t="str">
        <f t="shared" ref="N1054" si="4045">IFERROR((M1055/M1054),"-")</f>
        <v>-</v>
      </c>
      <c r="O1054" s="528"/>
      <c r="P1054" s="547">
        <v>0</v>
      </c>
      <c r="Q1054" s="547">
        <v>0</v>
      </c>
      <c r="R1054" s="547">
        <v>0</v>
      </c>
      <c r="S1054" s="547">
        <v>0</v>
      </c>
      <c r="T1054" s="547">
        <v>0</v>
      </c>
      <c r="U1054" s="547">
        <v>0</v>
      </c>
      <c r="V1054" s="548">
        <v>0</v>
      </c>
      <c r="W1054" s="528"/>
      <c r="X1054" s="711">
        <f t="shared" si="3891"/>
        <v>0</v>
      </c>
      <c r="Y1054" s="896" t="str">
        <f t="shared" ref="Y1054" si="4046">IFERROR((X1055/X1054),"0")</f>
        <v>0</v>
      </c>
      <c r="Z1054" s="528"/>
      <c r="AA1054" s="898">
        <v>0</v>
      </c>
      <c r="AB1054" s="898">
        <v>0</v>
      </c>
      <c r="AC1054" s="903">
        <v>0</v>
      </c>
      <c r="AD1054" s="896" t="str">
        <f t="shared" ref="AD1054" si="4047">IFERROR((AC1054/AB1054),"-")</f>
        <v>-</v>
      </c>
      <c r="AE1054" s="2"/>
      <c r="AF1054" s="886">
        <v>19</v>
      </c>
      <c r="AG1054" s="884"/>
      <c r="AH1054" s="921">
        <v>0</v>
      </c>
      <c r="AI1054" s="884"/>
      <c r="AJ1054" s="884"/>
      <c r="AK1054" s="884">
        <f t="shared" ref="AK1054" si="4048">AF1054+AG1054+AH1054+AI1054+AJ1054+AC1054</f>
        <v>19</v>
      </c>
      <c r="AL1054" s="884">
        <v>19</v>
      </c>
      <c r="AM1054" s="878">
        <f t="shared" ref="AM1054" si="4049">IFERROR((AK1054/AL1054),"-")</f>
        <v>1</v>
      </c>
      <c r="AN1054" s="2"/>
      <c r="AO1054" s="884">
        <v>19</v>
      </c>
      <c r="AP1054" s="884">
        <f t="shared" ref="AP1054" si="4050">AO1054-AK1054</f>
        <v>0</v>
      </c>
      <c r="AV1054" t="str">
        <f t="shared" si="3960"/>
        <v>Sobrelargura</v>
      </c>
      <c r="AW1054" s="4" t="str">
        <f t="shared" si="3951"/>
        <v>2.5-BST PEAD DN 1,20m - Km 151+407 - Aterro A13 - Bueiro de PEAD</v>
      </c>
    </row>
    <row r="1055" spans="1:50" ht="15.6" customHeight="1" outlineLevel="2">
      <c r="A1055" s="8" t="str">
        <f t="shared" ref="A1055" si="4051">A1054</f>
        <v>N</v>
      </c>
      <c r="B1055" s="150"/>
      <c r="C1055" s="150"/>
      <c r="D1055" s="120"/>
      <c r="E1055" s="893"/>
      <c r="F1055" s="902"/>
      <c r="G1055" s="528"/>
      <c r="H1055" s="549" t="s">
        <v>38</v>
      </c>
      <c r="I1055" s="711">
        <v>0</v>
      </c>
      <c r="J1055" s="897"/>
      <c r="K1055" s="528"/>
      <c r="L1055" s="549" t="s">
        <v>38</v>
      </c>
      <c r="M1055" s="711">
        <f t="shared" si="3898"/>
        <v>0</v>
      </c>
      <c r="N1055" s="897"/>
      <c r="O1055" s="528"/>
      <c r="P1055" s="548">
        <v>0</v>
      </c>
      <c r="Q1055" s="548">
        <v>0</v>
      </c>
      <c r="R1055" s="548">
        <v>0</v>
      </c>
      <c r="S1055" s="548">
        <v>0</v>
      </c>
      <c r="T1055" s="548">
        <v>0</v>
      </c>
      <c r="U1055" s="548">
        <v>0</v>
      </c>
      <c r="V1055" s="548">
        <v>0</v>
      </c>
      <c r="W1055" s="528"/>
      <c r="X1055" s="711">
        <f t="shared" si="3891"/>
        <v>0</v>
      </c>
      <c r="Y1055" s="897"/>
      <c r="Z1055" s="528"/>
      <c r="AA1055" s="899"/>
      <c r="AB1055" s="899"/>
      <c r="AC1055" s="904"/>
      <c r="AD1055" s="905"/>
      <c r="AE1055" s="2"/>
      <c r="AF1055" s="926"/>
      <c r="AG1055" s="885"/>
      <c r="AH1055" s="922"/>
      <c r="AI1055" s="885"/>
      <c r="AJ1055" s="885"/>
      <c r="AK1055" s="885"/>
      <c r="AL1055" s="885"/>
      <c r="AM1055" s="879"/>
      <c r="AN1055" s="2"/>
      <c r="AO1055" s="886"/>
      <c r="AP1055" s="886"/>
      <c r="AV1055" t="str">
        <f t="shared" si="3960"/>
        <v>Sobrelargura</v>
      </c>
      <c r="AW1055" s="4" t="str">
        <f t="shared" si="3951"/>
        <v>2.5-BST PEAD DN 1,20m - Km 151+407 - Aterro A13 - Bueiro de PEAD</v>
      </c>
      <c r="AX1055" s="4"/>
    </row>
    <row r="1056" spans="1:50" ht="15.6" customHeight="1" outlineLevel="2">
      <c r="A1056" s="8" t="str">
        <f t="shared" ref="A1056" si="4052">IF(SUM(P1056:V1057)&gt;0,"S","N")</f>
        <v>N</v>
      </c>
      <c r="B1056" s="150">
        <v>1064449</v>
      </c>
      <c r="C1056" s="150" t="s">
        <v>1375</v>
      </c>
      <c r="D1056" s="120" t="s">
        <v>1376</v>
      </c>
      <c r="E1056" s="892" t="s">
        <v>1376</v>
      </c>
      <c r="F1056" s="902" t="s">
        <v>52</v>
      </c>
      <c r="G1056" s="528"/>
      <c r="H1056" s="546" t="s">
        <v>37</v>
      </c>
      <c r="I1056" s="711">
        <v>0</v>
      </c>
      <c r="J1056" s="896" t="str">
        <f t="shared" ref="J1056" si="4053">IFERROR((I1057/I1056),"-")</f>
        <v>-</v>
      </c>
      <c r="K1056" s="528"/>
      <c r="L1056" s="546" t="s">
        <v>37</v>
      </c>
      <c r="M1056" s="711">
        <f t="shared" si="3898"/>
        <v>0</v>
      </c>
      <c r="N1056" s="896" t="str">
        <f t="shared" ref="N1056" si="4054">IFERROR((M1057/M1056),"-")</f>
        <v>-</v>
      </c>
      <c r="O1056" s="528"/>
      <c r="P1056" s="547">
        <v>0</v>
      </c>
      <c r="Q1056" s="547">
        <v>0</v>
      </c>
      <c r="R1056" s="547">
        <v>0</v>
      </c>
      <c r="S1056" s="547">
        <v>0</v>
      </c>
      <c r="T1056" s="547">
        <v>0</v>
      </c>
      <c r="U1056" s="547">
        <v>0</v>
      </c>
      <c r="V1056" s="548">
        <v>0</v>
      </c>
      <c r="W1056" s="528"/>
      <c r="X1056" s="711">
        <f t="shared" si="3891"/>
        <v>0</v>
      </c>
      <c r="Y1056" s="896" t="str">
        <f t="shared" ref="Y1056" si="4055">IFERROR((X1057/X1056),"0")</f>
        <v>0</v>
      </c>
      <c r="Z1056" s="528"/>
      <c r="AA1056" s="898">
        <v>24.31</v>
      </c>
      <c r="AB1056" s="898">
        <v>24.310000000000002</v>
      </c>
      <c r="AC1056" s="903">
        <v>0</v>
      </c>
      <c r="AD1056" s="896">
        <f t="shared" ref="AD1056" si="4056">IFERROR((AC1056/AB1056),"-")</f>
        <v>0</v>
      </c>
      <c r="AE1056" s="2"/>
      <c r="AF1056" s="886">
        <v>0</v>
      </c>
      <c r="AG1056" s="884"/>
      <c r="AH1056" s="921">
        <v>20</v>
      </c>
      <c r="AI1056" s="884"/>
      <c r="AJ1056" s="884"/>
      <c r="AK1056" s="884">
        <f t="shared" ref="AK1056" si="4057">AF1056+AG1056+AH1056+AI1056+AJ1056+AC1056</f>
        <v>20</v>
      </c>
      <c r="AL1056" s="884">
        <v>44.310000000000009</v>
      </c>
      <c r="AM1056" s="878">
        <f t="shared" ref="AM1056" si="4058">IFERROR((AK1056/AL1056),"-")</f>
        <v>0.45136538027533279</v>
      </c>
      <c r="AN1056" s="2"/>
      <c r="AO1056" s="884">
        <v>44.31</v>
      </c>
      <c r="AP1056" s="884">
        <f t="shared" ref="AP1056" si="4059">AO1056-AK1056</f>
        <v>24.310000000000002</v>
      </c>
      <c r="AV1056" t="str">
        <f t="shared" si="3960"/>
        <v>Sobrelargura</v>
      </c>
      <c r="AW1056" s="4" t="str">
        <f t="shared" si="3951"/>
        <v>2.5-BSCC 3,50 x 3,50 m - Km 152+800 -Aterro A13 - Bueiro de Concreto</v>
      </c>
    </row>
    <row r="1057" spans="1:50" ht="15.6" customHeight="1" outlineLevel="2">
      <c r="A1057" s="8" t="str">
        <f t="shared" ref="A1057" si="4060">A1056</f>
        <v>N</v>
      </c>
      <c r="B1057" s="150"/>
      <c r="C1057" s="150"/>
      <c r="D1057" s="120"/>
      <c r="E1057" s="893"/>
      <c r="F1057" s="902"/>
      <c r="G1057" s="528"/>
      <c r="H1057" s="549" t="s">
        <v>38</v>
      </c>
      <c r="I1057" s="711">
        <v>0</v>
      </c>
      <c r="J1057" s="897"/>
      <c r="K1057" s="528"/>
      <c r="L1057" s="549" t="s">
        <v>38</v>
      </c>
      <c r="M1057" s="711">
        <f t="shared" si="3898"/>
        <v>0</v>
      </c>
      <c r="N1057" s="897"/>
      <c r="O1057" s="528"/>
      <c r="P1057" s="548">
        <v>0</v>
      </c>
      <c r="Q1057" s="548">
        <v>0</v>
      </c>
      <c r="R1057" s="548">
        <v>0</v>
      </c>
      <c r="S1057" s="548">
        <v>0</v>
      </c>
      <c r="T1057" s="548">
        <v>0</v>
      </c>
      <c r="U1057" s="548">
        <v>0</v>
      </c>
      <c r="V1057" s="548">
        <v>0</v>
      </c>
      <c r="W1057" s="528"/>
      <c r="X1057" s="711">
        <f t="shared" si="3891"/>
        <v>0</v>
      </c>
      <c r="Y1057" s="897"/>
      <c r="Z1057" s="528"/>
      <c r="AA1057" s="899"/>
      <c r="AB1057" s="899"/>
      <c r="AC1057" s="904"/>
      <c r="AD1057" s="905"/>
      <c r="AE1057" s="2"/>
      <c r="AF1057" s="926"/>
      <c r="AG1057" s="885"/>
      <c r="AH1057" s="922"/>
      <c r="AI1057" s="885"/>
      <c r="AJ1057" s="885"/>
      <c r="AK1057" s="885"/>
      <c r="AL1057" s="885"/>
      <c r="AM1057" s="879"/>
      <c r="AN1057" s="2"/>
      <c r="AO1057" s="886"/>
      <c r="AP1057" s="886"/>
      <c r="AV1057" t="str">
        <f t="shared" si="3960"/>
        <v>Sobrelargura</v>
      </c>
      <c r="AW1057" s="4" t="str">
        <f t="shared" si="3951"/>
        <v>2.5-BSCC 3,50 x 3,50 m - Km 152+800 -Aterro A13 - Bueiro de Concreto</v>
      </c>
    </row>
    <row r="1058" spans="1:50" ht="15.6" customHeight="1" outlineLevel="2">
      <c r="A1058" s="8" t="str">
        <f t="shared" ref="A1058" si="4061">IF(SUM(P1058:V1059)&gt;0,"S","N")</f>
        <v>N</v>
      </c>
      <c r="B1058" s="150">
        <v>1064456</v>
      </c>
      <c r="C1058" s="150" t="s">
        <v>1377</v>
      </c>
      <c r="D1058" s="120" t="s">
        <v>1378</v>
      </c>
      <c r="E1058" s="892" t="s">
        <v>1378</v>
      </c>
      <c r="F1058" s="902" t="s">
        <v>52</v>
      </c>
      <c r="G1058" s="528"/>
      <c r="H1058" s="546" t="s">
        <v>37</v>
      </c>
      <c r="I1058" s="711">
        <v>0</v>
      </c>
      <c r="J1058" s="896" t="str">
        <f t="shared" ref="J1058" si="4062">IFERROR((I1059/I1058),"-")</f>
        <v>-</v>
      </c>
      <c r="K1058" s="528"/>
      <c r="L1058" s="546" t="s">
        <v>37</v>
      </c>
      <c r="M1058" s="711">
        <f t="shared" si="3898"/>
        <v>0</v>
      </c>
      <c r="N1058" s="896" t="str">
        <f t="shared" ref="N1058" si="4063">IFERROR((M1059/M1058),"-")</f>
        <v>-</v>
      </c>
      <c r="O1058" s="528"/>
      <c r="P1058" s="547">
        <v>0</v>
      </c>
      <c r="Q1058" s="547">
        <v>0</v>
      </c>
      <c r="R1058" s="547">
        <v>0</v>
      </c>
      <c r="S1058" s="547">
        <v>0</v>
      </c>
      <c r="T1058" s="547">
        <v>0</v>
      </c>
      <c r="U1058" s="547">
        <v>0</v>
      </c>
      <c r="V1058" s="548">
        <v>0</v>
      </c>
      <c r="W1058" s="528"/>
      <c r="X1058" s="711">
        <f t="shared" si="3891"/>
        <v>0</v>
      </c>
      <c r="Y1058" s="896" t="str">
        <f t="shared" ref="Y1058" si="4064">IFERROR((X1059/X1058),"0")</f>
        <v>0</v>
      </c>
      <c r="Z1058" s="528"/>
      <c r="AA1058" s="898">
        <v>0</v>
      </c>
      <c r="AB1058" s="898">
        <v>0</v>
      </c>
      <c r="AC1058" s="903">
        <v>0</v>
      </c>
      <c r="AD1058" s="896" t="str">
        <f t="shared" ref="AD1058" si="4065">IFERROR((AC1058/AB1058),"-")</f>
        <v>-</v>
      </c>
      <c r="AE1058" s="2"/>
      <c r="AF1058" s="886">
        <v>14</v>
      </c>
      <c r="AG1058" s="884"/>
      <c r="AH1058" s="921">
        <v>0</v>
      </c>
      <c r="AI1058" s="884"/>
      <c r="AJ1058" s="884"/>
      <c r="AK1058" s="884">
        <f t="shared" ref="AK1058" si="4066">AF1058+AG1058+AH1058+AI1058+AJ1058+AC1058</f>
        <v>14</v>
      </c>
      <c r="AL1058" s="884">
        <v>14</v>
      </c>
      <c r="AM1058" s="878">
        <f t="shared" ref="AM1058" si="4067">IFERROR((AK1058/AL1058),"-")</f>
        <v>1</v>
      </c>
      <c r="AN1058" s="2"/>
      <c r="AO1058" s="884">
        <v>14</v>
      </c>
      <c r="AP1058" s="884">
        <f t="shared" ref="AP1058" si="4068">AO1058-AK1058</f>
        <v>0</v>
      </c>
      <c r="AV1058" t="str">
        <f t="shared" si="3960"/>
        <v>Sobrelargura</v>
      </c>
      <c r="AW1058" s="4" t="str">
        <f t="shared" si="3951"/>
        <v>2.5-PG BSCC 2,5 x 2,5 m - Km 152+920- Aterro A13 - Bueiro de Concreto</v>
      </c>
    </row>
    <row r="1059" spans="1:50" ht="15.6" customHeight="1" outlineLevel="2">
      <c r="A1059" s="8" t="str">
        <f t="shared" ref="A1059" si="4069">A1058</f>
        <v>N</v>
      </c>
      <c r="B1059" s="150"/>
      <c r="C1059" s="150"/>
      <c r="D1059" s="120"/>
      <c r="E1059" s="893"/>
      <c r="F1059" s="902"/>
      <c r="G1059" s="528"/>
      <c r="H1059" s="549" t="s">
        <v>38</v>
      </c>
      <c r="I1059" s="711">
        <v>0</v>
      </c>
      <c r="J1059" s="897"/>
      <c r="K1059" s="528"/>
      <c r="L1059" s="549" t="s">
        <v>38</v>
      </c>
      <c r="M1059" s="711">
        <f t="shared" si="3898"/>
        <v>0</v>
      </c>
      <c r="N1059" s="897"/>
      <c r="O1059" s="528"/>
      <c r="P1059" s="548">
        <v>0</v>
      </c>
      <c r="Q1059" s="548">
        <v>0</v>
      </c>
      <c r="R1059" s="548">
        <v>0</v>
      </c>
      <c r="S1059" s="548">
        <v>0</v>
      </c>
      <c r="T1059" s="548">
        <v>0</v>
      </c>
      <c r="U1059" s="548">
        <v>0</v>
      </c>
      <c r="V1059" s="548">
        <v>0</v>
      </c>
      <c r="W1059" s="528"/>
      <c r="X1059" s="711">
        <f t="shared" si="3891"/>
        <v>0</v>
      </c>
      <c r="Y1059" s="897"/>
      <c r="Z1059" s="528"/>
      <c r="AA1059" s="899"/>
      <c r="AB1059" s="899"/>
      <c r="AC1059" s="904"/>
      <c r="AD1059" s="905"/>
      <c r="AE1059" s="2"/>
      <c r="AF1059" s="926"/>
      <c r="AG1059" s="885"/>
      <c r="AH1059" s="922"/>
      <c r="AI1059" s="885"/>
      <c r="AJ1059" s="885"/>
      <c r="AK1059" s="885"/>
      <c r="AL1059" s="885"/>
      <c r="AM1059" s="879"/>
      <c r="AN1059" s="2"/>
      <c r="AO1059" s="886"/>
      <c r="AP1059" s="886"/>
      <c r="AV1059" t="str">
        <f t="shared" si="3960"/>
        <v>Sobrelargura</v>
      </c>
      <c r="AW1059" s="4" t="str">
        <f t="shared" si="3951"/>
        <v>2.5-PG BSCC 2,5 x 2,5 m - Km 152+920- Aterro A13 - Bueiro de Concreto</v>
      </c>
    </row>
    <row r="1060" spans="1:50" ht="15.6" customHeight="1" outlineLevel="2">
      <c r="A1060" s="209" t="str">
        <f t="shared" ref="A1060" si="4070">IF(SUM(P1060:V1061)&gt;0,"S","N")</f>
        <v>N</v>
      </c>
      <c r="B1060" s="150">
        <v>1064462</v>
      </c>
      <c r="C1060" s="150" t="s">
        <v>1379</v>
      </c>
      <c r="D1060" s="120" t="s">
        <v>1380</v>
      </c>
      <c r="E1060" s="892" t="s">
        <v>1380</v>
      </c>
      <c r="F1060" s="902" t="s">
        <v>52</v>
      </c>
      <c r="G1060" s="528"/>
      <c r="H1060" s="546" t="s">
        <v>37</v>
      </c>
      <c r="I1060" s="711">
        <v>0</v>
      </c>
      <c r="J1060" s="896" t="str">
        <f t="shared" ref="J1060" si="4071">IFERROR((I1061/I1060),"-")</f>
        <v>-</v>
      </c>
      <c r="K1060" s="528"/>
      <c r="L1060" s="546" t="s">
        <v>37</v>
      </c>
      <c r="M1060" s="711">
        <f t="shared" si="3898"/>
        <v>0</v>
      </c>
      <c r="N1060" s="896" t="str">
        <f t="shared" ref="N1060" si="4072">IFERROR((M1061/M1060),"-")</f>
        <v>-</v>
      </c>
      <c r="O1060" s="528"/>
      <c r="P1060" s="547">
        <v>0</v>
      </c>
      <c r="Q1060" s="547">
        <v>0</v>
      </c>
      <c r="R1060" s="547">
        <v>0</v>
      </c>
      <c r="S1060" s="547">
        <v>0</v>
      </c>
      <c r="T1060" s="547">
        <v>0</v>
      </c>
      <c r="U1060" s="547">
        <v>0</v>
      </c>
      <c r="V1060" s="548">
        <v>0</v>
      </c>
      <c r="W1060" s="528"/>
      <c r="X1060" s="711">
        <f t="shared" si="3891"/>
        <v>0</v>
      </c>
      <c r="Y1060" s="896" t="str">
        <f t="shared" ref="Y1060" si="4073">IFERROR((X1061/X1060),"0")</f>
        <v>0</v>
      </c>
      <c r="Z1060" s="528"/>
      <c r="AA1060" s="898">
        <v>0</v>
      </c>
      <c r="AB1060" s="898">
        <v>0</v>
      </c>
      <c r="AC1060" s="903">
        <v>0</v>
      </c>
      <c r="AD1060" s="896" t="str">
        <f t="shared" ref="AD1060" si="4074">IFERROR((AC1060/AB1060),"-")</f>
        <v>-</v>
      </c>
      <c r="AE1060" s="2"/>
      <c r="AF1060" s="886">
        <v>41</v>
      </c>
      <c r="AG1060" s="884"/>
      <c r="AH1060" s="921">
        <v>0</v>
      </c>
      <c r="AI1060" s="884"/>
      <c r="AJ1060" s="884"/>
      <c r="AK1060" s="884">
        <f t="shared" ref="AK1060" si="4075">AF1060+AG1060+AH1060+AI1060+AJ1060+AC1060</f>
        <v>41</v>
      </c>
      <c r="AL1060" s="884">
        <v>40.99</v>
      </c>
      <c r="AM1060" s="878">
        <f t="shared" ref="AM1060" si="4076">IFERROR((AK1060/AL1060),"-")</f>
        <v>1.000243961941937</v>
      </c>
      <c r="AN1060" s="2"/>
      <c r="AO1060" s="884">
        <v>41</v>
      </c>
      <c r="AP1060" s="884">
        <f t="shared" ref="AP1060" si="4077">AO1060-AK1060</f>
        <v>0</v>
      </c>
      <c r="AV1060" t="str">
        <f t="shared" si="3960"/>
        <v>Sobrelargura</v>
      </c>
      <c r="AW1060" s="4" t="str">
        <f t="shared" si="3951"/>
        <v>2.5-BDT PEAD DN 1,20m - km 153+189 - Aterro A13 - Bueiro de PEAD</v>
      </c>
    </row>
    <row r="1061" spans="1:50" ht="15.6" customHeight="1" outlineLevel="2">
      <c r="A1061" s="209" t="str">
        <f>A1060</f>
        <v>N</v>
      </c>
      <c r="B1061" s="150"/>
      <c r="C1061" s="150"/>
      <c r="D1061" s="120"/>
      <c r="E1061" s="893"/>
      <c r="F1061" s="902"/>
      <c r="G1061" s="528"/>
      <c r="H1061" s="549" t="s">
        <v>38</v>
      </c>
      <c r="I1061" s="711">
        <v>0</v>
      </c>
      <c r="J1061" s="897"/>
      <c r="K1061" s="528"/>
      <c r="L1061" s="549" t="s">
        <v>38</v>
      </c>
      <c r="M1061" s="711">
        <f t="shared" si="3898"/>
        <v>0</v>
      </c>
      <c r="N1061" s="897"/>
      <c r="O1061" s="528"/>
      <c r="P1061" s="548">
        <v>0</v>
      </c>
      <c r="Q1061" s="548">
        <v>0</v>
      </c>
      <c r="R1061" s="548">
        <v>0</v>
      </c>
      <c r="S1061" s="548">
        <v>0</v>
      </c>
      <c r="T1061" s="548">
        <v>0</v>
      </c>
      <c r="U1061" s="548">
        <v>0</v>
      </c>
      <c r="V1061" s="548">
        <v>0</v>
      </c>
      <c r="W1061" s="528"/>
      <c r="X1061" s="711">
        <f t="shared" si="3891"/>
        <v>0</v>
      </c>
      <c r="Y1061" s="897"/>
      <c r="Z1061" s="528"/>
      <c r="AA1061" s="899"/>
      <c r="AB1061" s="899"/>
      <c r="AC1061" s="904"/>
      <c r="AD1061" s="905"/>
      <c r="AE1061" s="2"/>
      <c r="AF1061" s="926"/>
      <c r="AG1061" s="885"/>
      <c r="AH1061" s="922"/>
      <c r="AI1061" s="885"/>
      <c r="AJ1061" s="885"/>
      <c r="AK1061" s="885"/>
      <c r="AL1061" s="885"/>
      <c r="AM1061" s="879"/>
      <c r="AN1061" s="2"/>
      <c r="AO1061" s="886"/>
      <c r="AP1061" s="886"/>
      <c r="AV1061" t="str">
        <f t="shared" si="3960"/>
        <v>Sobrelargura</v>
      </c>
      <c r="AW1061" s="4" t="str">
        <f t="shared" si="3951"/>
        <v>2.5-BDT PEAD DN 1,20m - km 153+189 - Aterro A13 - Bueiro de PEAD</v>
      </c>
      <c r="AX1061" s="4"/>
    </row>
    <row r="1062" spans="1:50" ht="15.6" customHeight="1" outlineLevel="2">
      <c r="A1062" s="8" t="str">
        <f t="shared" ref="A1062" si="4078">IF(SUM(P1062:V1063)&gt;0,"S","N")</f>
        <v>N</v>
      </c>
      <c r="B1062" s="150">
        <v>1064469</v>
      </c>
      <c r="C1062" s="150" t="s">
        <v>1381</v>
      </c>
      <c r="D1062" s="120" t="s">
        <v>1382</v>
      </c>
      <c r="E1062" s="892" t="s">
        <v>1382</v>
      </c>
      <c r="F1062" s="902" t="s">
        <v>52</v>
      </c>
      <c r="G1062" s="528"/>
      <c r="H1062" s="546" t="s">
        <v>37</v>
      </c>
      <c r="I1062" s="711">
        <v>0</v>
      </c>
      <c r="J1062" s="896" t="str">
        <f t="shared" ref="J1062" si="4079">IFERROR((I1063/I1062),"-")</f>
        <v>-</v>
      </c>
      <c r="K1062" s="528"/>
      <c r="L1062" s="546" t="s">
        <v>37</v>
      </c>
      <c r="M1062" s="711">
        <f t="shared" si="3898"/>
        <v>0</v>
      </c>
      <c r="N1062" s="896" t="str">
        <f t="shared" ref="N1062" si="4080">IFERROR((M1063/M1062),"-")</f>
        <v>-</v>
      </c>
      <c r="O1062" s="528"/>
      <c r="P1062" s="547">
        <v>0</v>
      </c>
      <c r="Q1062" s="547">
        <v>0</v>
      </c>
      <c r="R1062" s="547">
        <v>0</v>
      </c>
      <c r="S1062" s="547">
        <v>0</v>
      </c>
      <c r="T1062" s="547">
        <v>0</v>
      </c>
      <c r="U1062" s="547">
        <v>0</v>
      </c>
      <c r="V1062" s="548">
        <v>0</v>
      </c>
      <c r="W1062" s="528"/>
      <c r="X1062" s="711">
        <f t="shared" si="3891"/>
        <v>0</v>
      </c>
      <c r="Y1062" s="896" t="str">
        <f t="shared" ref="Y1062" si="4081">IFERROR((X1063/X1062),"0")</f>
        <v>0</v>
      </c>
      <c r="Z1062" s="528"/>
      <c r="AA1062" s="898">
        <v>0</v>
      </c>
      <c r="AB1062" s="898">
        <v>0</v>
      </c>
      <c r="AC1062" s="903">
        <v>0</v>
      </c>
      <c r="AD1062" s="896" t="str">
        <f t="shared" ref="AD1062" si="4082">IFERROR((AC1062/AB1062),"-")</f>
        <v>-</v>
      </c>
      <c r="AE1062" s="2"/>
      <c r="AF1062" s="886">
        <v>18</v>
      </c>
      <c r="AG1062" s="884"/>
      <c r="AH1062" s="921">
        <v>0</v>
      </c>
      <c r="AI1062" s="884"/>
      <c r="AJ1062" s="884"/>
      <c r="AK1062" s="884">
        <f t="shared" ref="AK1062" si="4083">AF1062+AG1062+AH1062+AI1062+AJ1062+AC1062</f>
        <v>18</v>
      </c>
      <c r="AL1062" s="884">
        <v>18.010000000000002</v>
      </c>
      <c r="AM1062" s="878">
        <f t="shared" ref="AM1062" si="4084">IFERROR((AK1062/AL1062),"-")</f>
        <v>0.99944475291504709</v>
      </c>
      <c r="AN1062" s="2"/>
      <c r="AO1062" s="884">
        <v>34</v>
      </c>
      <c r="AP1062" s="884">
        <f t="shared" ref="AP1062" si="4085">AO1062-AK1062</f>
        <v>16</v>
      </c>
      <c r="AV1062" t="str">
        <f t="shared" si="3960"/>
        <v>Sobrelargura</v>
      </c>
      <c r="AW1062" s="4" t="str">
        <f t="shared" si="3951"/>
        <v>2.5-BDT PEAD DN 1,0m - km 153+306 - Aterro A13 - Bueiro de PEAD</v>
      </c>
    </row>
    <row r="1063" spans="1:50" ht="15.6" customHeight="1" outlineLevel="2">
      <c r="A1063" s="8" t="str">
        <f t="shared" ref="A1063" si="4086">A1062</f>
        <v>N</v>
      </c>
      <c r="B1063" s="150"/>
      <c r="C1063" s="150"/>
      <c r="D1063" s="120"/>
      <c r="E1063" s="893"/>
      <c r="F1063" s="902"/>
      <c r="G1063" s="528"/>
      <c r="H1063" s="549" t="s">
        <v>38</v>
      </c>
      <c r="I1063" s="711">
        <v>0</v>
      </c>
      <c r="J1063" s="897"/>
      <c r="K1063" s="528"/>
      <c r="L1063" s="549" t="s">
        <v>38</v>
      </c>
      <c r="M1063" s="711">
        <f t="shared" si="3898"/>
        <v>0</v>
      </c>
      <c r="N1063" s="897"/>
      <c r="O1063" s="528"/>
      <c r="P1063" s="548">
        <v>0</v>
      </c>
      <c r="Q1063" s="548">
        <v>0</v>
      </c>
      <c r="R1063" s="548">
        <v>0</v>
      </c>
      <c r="S1063" s="548">
        <v>0</v>
      </c>
      <c r="T1063" s="548">
        <v>0</v>
      </c>
      <c r="U1063" s="548">
        <v>0</v>
      </c>
      <c r="V1063" s="548">
        <v>0</v>
      </c>
      <c r="W1063" s="528"/>
      <c r="X1063" s="711">
        <f t="shared" si="3891"/>
        <v>0</v>
      </c>
      <c r="Y1063" s="897"/>
      <c r="Z1063" s="528"/>
      <c r="AA1063" s="899"/>
      <c r="AB1063" s="899"/>
      <c r="AC1063" s="904"/>
      <c r="AD1063" s="905"/>
      <c r="AE1063" s="2"/>
      <c r="AF1063" s="926"/>
      <c r="AG1063" s="885"/>
      <c r="AH1063" s="922"/>
      <c r="AI1063" s="885"/>
      <c r="AJ1063" s="885"/>
      <c r="AK1063" s="885"/>
      <c r="AL1063" s="885"/>
      <c r="AM1063" s="879"/>
      <c r="AN1063" s="2"/>
      <c r="AO1063" s="886"/>
      <c r="AP1063" s="886"/>
      <c r="AV1063" t="str">
        <f t="shared" si="3960"/>
        <v>Sobrelargura</v>
      </c>
      <c r="AW1063" s="4" t="str">
        <f t="shared" si="3951"/>
        <v>2.5-BDT PEAD DN 1,0m - km 153+306 - Aterro A13 - Bueiro de PEAD</v>
      </c>
    </row>
    <row r="1064" spans="1:50" ht="15.6" customHeight="1" outlineLevel="2">
      <c r="A1064" s="8" t="str">
        <f t="shared" ref="A1064" si="4087">IF(SUM(P1064:V1065)&gt;0,"S","N")</f>
        <v>N</v>
      </c>
      <c r="B1064" s="150">
        <v>1064848</v>
      </c>
      <c r="C1064" s="150" t="s">
        <v>1383</v>
      </c>
      <c r="D1064" s="120" t="s">
        <v>1384</v>
      </c>
      <c r="E1064" s="892" t="s">
        <v>1384</v>
      </c>
      <c r="F1064" s="902" t="s">
        <v>52</v>
      </c>
      <c r="G1064" s="528"/>
      <c r="H1064" s="546" t="s">
        <v>37</v>
      </c>
      <c r="I1064" s="711">
        <v>0</v>
      </c>
      <c r="J1064" s="896" t="str">
        <f t="shared" ref="J1064" si="4088">IFERROR((I1065/I1064),"-")</f>
        <v>-</v>
      </c>
      <c r="K1064" s="528"/>
      <c r="L1064" s="546" t="s">
        <v>37</v>
      </c>
      <c r="M1064" s="711">
        <f t="shared" si="3898"/>
        <v>0</v>
      </c>
      <c r="N1064" s="896" t="str">
        <f t="shared" ref="N1064" si="4089">IFERROR((M1065/M1064),"-")</f>
        <v>-</v>
      </c>
      <c r="O1064" s="528"/>
      <c r="P1064" s="547">
        <v>0</v>
      </c>
      <c r="Q1064" s="547">
        <v>0</v>
      </c>
      <c r="R1064" s="547">
        <v>0</v>
      </c>
      <c r="S1064" s="547">
        <v>0</v>
      </c>
      <c r="T1064" s="547">
        <v>0</v>
      </c>
      <c r="U1064" s="547">
        <v>0</v>
      </c>
      <c r="V1064" s="548">
        <v>0</v>
      </c>
      <c r="W1064" s="528"/>
      <c r="X1064" s="711">
        <f t="shared" si="3891"/>
        <v>0</v>
      </c>
      <c r="Y1064" s="896" t="str">
        <f t="shared" ref="Y1064" si="4090">IFERROR((X1065/X1064),"0")</f>
        <v>0</v>
      </c>
      <c r="Z1064" s="528"/>
      <c r="AA1064" s="898">
        <v>0</v>
      </c>
      <c r="AB1064" s="898">
        <v>0</v>
      </c>
      <c r="AC1064" s="903">
        <v>0</v>
      </c>
      <c r="AD1064" s="896" t="str">
        <f t="shared" ref="AD1064" si="4091">IFERROR((AC1064/AB1064),"-")</f>
        <v>-</v>
      </c>
      <c r="AE1064" s="2"/>
      <c r="AF1064" s="886">
        <v>10</v>
      </c>
      <c r="AG1064" s="884"/>
      <c r="AH1064" s="921">
        <v>0</v>
      </c>
      <c r="AI1064" s="884"/>
      <c r="AJ1064" s="884"/>
      <c r="AK1064" s="884">
        <f t="shared" ref="AK1064" si="4092">AF1064+AG1064+AH1064+AI1064+AJ1064+AC1064</f>
        <v>10</v>
      </c>
      <c r="AL1064" s="884">
        <v>10</v>
      </c>
      <c r="AM1064" s="878">
        <f t="shared" ref="AM1064" si="4093">IFERROR((AK1064/AL1064),"-")</f>
        <v>1</v>
      </c>
      <c r="AN1064" s="2"/>
      <c r="AO1064" s="884">
        <v>10</v>
      </c>
      <c r="AP1064" s="884">
        <f t="shared" ref="AP1064" si="4094">AO1064-AK1064</f>
        <v>0</v>
      </c>
      <c r="AV1064" t="str">
        <f t="shared" si="3960"/>
        <v>Sobrelargura</v>
      </c>
      <c r="AW1064" s="4" t="str">
        <f t="shared" si="3951"/>
        <v>2.5-BSTC DN 0,80m - Km 0+253 - acesso km 139+190 LD - Bueiro de Concreto</v>
      </c>
    </row>
    <row r="1065" spans="1:50" ht="15.6" customHeight="1" outlineLevel="2">
      <c r="A1065" s="8" t="str">
        <f t="shared" ref="A1065" si="4095">A1064</f>
        <v>N</v>
      </c>
      <c r="B1065" s="150"/>
      <c r="C1065" s="150"/>
      <c r="D1065" s="120"/>
      <c r="E1065" s="893"/>
      <c r="F1065" s="902"/>
      <c r="G1065" s="528"/>
      <c r="H1065" s="549" t="s">
        <v>38</v>
      </c>
      <c r="I1065" s="711">
        <v>0</v>
      </c>
      <c r="J1065" s="897"/>
      <c r="K1065" s="528"/>
      <c r="L1065" s="549" t="s">
        <v>38</v>
      </c>
      <c r="M1065" s="711">
        <f t="shared" si="3898"/>
        <v>0</v>
      </c>
      <c r="N1065" s="897"/>
      <c r="O1065" s="528"/>
      <c r="P1065" s="548">
        <v>0</v>
      </c>
      <c r="Q1065" s="548">
        <v>0</v>
      </c>
      <c r="R1065" s="548">
        <v>0</v>
      </c>
      <c r="S1065" s="548">
        <v>0</v>
      </c>
      <c r="T1065" s="548">
        <v>0</v>
      </c>
      <c r="U1065" s="548">
        <v>0</v>
      </c>
      <c r="V1065" s="548">
        <v>0</v>
      </c>
      <c r="W1065" s="528"/>
      <c r="X1065" s="711">
        <f t="shared" si="3891"/>
        <v>0</v>
      </c>
      <c r="Y1065" s="897"/>
      <c r="Z1065" s="528"/>
      <c r="AA1065" s="899"/>
      <c r="AB1065" s="899"/>
      <c r="AC1065" s="904"/>
      <c r="AD1065" s="905"/>
      <c r="AE1065" s="2"/>
      <c r="AF1065" s="926"/>
      <c r="AG1065" s="885"/>
      <c r="AH1065" s="922"/>
      <c r="AI1065" s="885"/>
      <c r="AJ1065" s="885"/>
      <c r="AK1065" s="885"/>
      <c r="AL1065" s="885"/>
      <c r="AM1065" s="879"/>
      <c r="AN1065" s="2"/>
      <c r="AO1065" s="886"/>
      <c r="AP1065" s="886"/>
      <c r="AV1065" t="str">
        <f t="shared" si="3960"/>
        <v>Sobrelargura</v>
      </c>
      <c r="AW1065" s="4" t="str">
        <f t="shared" si="3951"/>
        <v>2.5-BSTC DN 0,80m - Km 0+253 - acesso km 139+190 LD - Bueiro de Concreto</v>
      </c>
    </row>
    <row r="1066" spans="1:50" ht="15.6" customHeight="1" outlineLevel="2">
      <c r="A1066" s="8" t="str">
        <f t="shared" ref="A1066" si="4096">IF(SUM(P1066:V1067)&gt;0,"S","N")</f>
        <v>N</v>
      </c>
      <c r="B1066" s="150">
        <v>1064856</v>
      </c>
      <c r="C1066" s="150" t="s">
        <v>1385</v>
      </c>
      <c r="D1066" s="120" t="s">
        <v>1386</v>
      </c>
      <c r="E1066" s="892" t="s">
        <v>1386</v>
      </c>
      <c r="F1066" s="902" t="s">
        <v>52</v>
      </c>
      <c r="G1066" s="528"/>
      <c r="H1066" s="546" t="s">
        <v>37</v>
      </c>
      <c r="I1066" s="711">
        <v>0</v>
      </c>
      <c r="J1066" s="896" t="str">
        <f t="shared" ref="J1066" si="4097">IFERROR((I1067/I1066),"-")</f>
        <v>-</v>
      </c>
      <c r="K1066" s="528"/>
      <c r="L1066" s="546" t="s">
        <v>37</v>
      </c>
      <c r="M1066" s="711">
        <f t="shared" si="3898"/>
        <v>0</v>
      </c>
      <c r="N1066" s="896" t="str">
        <f t="shared" ref="N1066" si="4098">IFERROR((M1067/M1066),"-")</f>
        <v>-</v>
      </c>
      <c r="O1066" s="528"/>
      <c r="P1066" s="547">
        <v>0</v>
      </c>
      <c r="Q1066" s="547">
        <v>0</v>
      </c>
      <c r="R1066" s="547">
        <v>0</v>
      </c>
      <c r="S1066" s="547">
        <v>0</v>
      </c>
      <c r="T1066" s="547">
        <v>0</v>
      </c>
      <c r="U1066" s="547">
        <v>0</v>
      </c>
      <c r="V1066" s="548">
        <v>0</v>
      </c>
      <c r="W1066" s="528"/>
      <c r="X1066" s="711">
        <f t="shared" si="3891"/>
        <v>0</v>
      </c>
      <c r="Y1066" s="896" t="str">
        <f t="shared" ref="Y1066" si="4099">IFERROR((X1067/X1066),"0")</f>
        <v>0</v>
      </c>
      <c r="Z1066" s="528"/>
      <c r="AA1066" s="898">
        <v>0</v>
      </c>
      <c r="AB1066" s="898">
        <v>0</v>
      </c>
      <c r="AC1066" s="903">
        <v>11</v>
      </c>
      <c r="AD1066" s="896" t="str">
        <f t="shared" ref="AD1066" si="4100">IFERROR((AC1066/AB1066),"-")</f>
        <v>-</v>
      </c>
      <c r="AE1066" s="2"/>
      <c r="AF1066" s="886">
        <v>0</v>
      </c>
      <c r="AG1066" s="884"/>
      <c r="AH1066" s="921">
        <v>0</v>
      </c>
      <c r="AI1066" s="884"/>
      <c r="AJ1066" s="884"/>
      <c r="AK1066" s="884">
        <f t="shared" ref="AK1066" si="4101">AF1066+AG1066+AH1066+AI1066+AJ1066+AC1066</f>
        <v>11</v>
      </c>
      <c r="AL1066" s="884">
        <v>0</v>
      </c>
      <c r="AM1066" s="878" t="str">
        <f t="shared" ref="AM1066" si="4102">IFERROR((AK1066/AL1066),"-")</f>
        <v>-</v>
      </c>
      <c r="AN1066" s="2"/>
      <c r="AO1066" s="884">
        <v>11</v>
      </c>
      <c r="AP1066" s="884">
        <f t="shared" ref="AP1066" si="4103">AO1066-AK1066</f>
        <v>0</v>
      </c>
      <c r="AV1066" t="str">
        <f t="shared" si="3960"/>
        <v>Sobrelargura</v>
      </c>
      <c r="AW1066" s="4" t="str">
        <f t="shared" si="3951"/>
        <v>2.5-BST PEAD DN 1,0m - Km 0+331 - acesso km 139+190 LE - Bueiro de PEAD</v>
      </c>
    </row>
    <row r="1067" spans="1:50" ht="15.6" customHeight="1" outlineLevel="2">
      <c r="A1067" s="8" t="str">
        <f t="shared" ref="A1067" si="4104">A1066</f>
        <v>N</v>
      </c>
      <c r="B1067" s="150"/>
      <c r="C1067" s="150"/>
      <c r="D1067" s="120"/>
      <c r="E1067" s="893"/>
      <c r="F1067" s="902"/>
      <c r="G1067" s="528"/>
      <c r="H1067" s="549" t="s">
        <v>38</v>
      </c>
      <c r="I1067" s="711">
        <v>11</v>
      </c>
      <c r="J1067" s="897"/>
      <c r="K1067" s="528"/>
      <c r="L1067" s="549" t="s">
        <v>38</v>
      </c>
      <c r="M1067" s="711">
        <f t="shared" si="3898"/>
        <v>0</v>
      </c>
      <c r="N1067" s="897"/>
      <c r="O1067" s="528"/>
      <c r="P1067" s="548">
        <v>0</v>
      </c>
      <c r="Q1067" s="548">
        <v>0</v>
      </c>
      <c r="R1067" s="548">
        <v>0</v>
      </c>
      <c r="S1067" s="548">
        <v>0</v>
      </c>
      <c r="T1067" s="548">
        <v>0</v>
      </c>
      <c r="U1067" s="548">
        <v>0</v>
      </c>
      <c r="V1067" s="548">
        <v>0</v>
      </c>
      <c r="W1067" s="528"/>
      <c r="X1067" s="711">
        <f t="shared" si="3891"/>
        <v>0</v>
      </c>
      <c r="Y1067" s="897"/>
      <c r="Z1067" s="528"/>
      <c r="AA1067" s="899"/>
      <c r="AB1067" s="899"/>
      <c r="AC1067" s="904"/>
      <c r="AD1067" s="905"/>
      <c r="AE1067" s="2"/>
      <c r="AF1067" s="926"/>
      <c r="AG1067" s="885"/>
      <c r="AH1067" s="922"/>
      <c r="AI1067" s="885"/>
      <c r="AJ1067" s="885"/>
      <c r="AK1067" s="885"/>
      <c r="AL1067" s="885"/>
      <c r="AM1067" s="879"/>
      <c r="AN1067" s="2"/>
      <c r="AO1067" s="886"/>
      <c r="AP1067" s="886"/>
      <c r="AV1067" t="str">
        <f t="shared" si="3960"/>
        <v>Sobrelargura</v>
      </c>
      <c r="AW1067" s="4" t="str">
        <f t="shared" si="3951"/>
        <v>2.5-BST PEAD DN 1,0m - Km 0+331 - acesso km 139+190 LE - Bueiro de PEAD</v>
      </c>
    </row>
    <row r="1068" spans="1:50" ht="15.6" customHeight="1" outlineLevel="2">
      <c r="A1068" s="8" t="str">
        <f t="shared" ref="A1068" si="4105">IF(SUM(P1068:V1069)&gt;0,"S","N")</f>
        <v>N</v>
      </c>
      <c r="B1068" s="150">
        <v>1064880</v>
      </c>
      <c r="C1068" s="150" t="s">
        <v>1387</v>
      </c>
      <c r="D1068" s="120" t="s">
        <v>1388</v>
      </c>
      <c r="E1068" s="892" t="s">
        <v>1388</v>
      </c>
      <c r="F1068" s="902" t="s">
        <v>52</v>
      </c>
      <c r="G1068" s="528"/>
      <c r="H1068" s="546" t="s">
        <v>37</v>
      </c>
      <c r="I1068" s="711">
        <v>0</v>
      </c>
      <c r="J1068" s="896" t="str">
        <f t="shared" ref="J1068" si="4106">IFERROR((I1069/I1068),"-")</f>
        <v>-</v>
      </c>
      <c r="K1068" s="528"/>
      <c r="L1068" s="546" t="s">
        <v>37</v>
      </c>
      <c r="M1068" s="711">
        <f t="shared" si="3898"/>
        <v>0</v>
      </c>
      <c r="N1068" s="896" t="str">
        <f t="shared" ref="N1068" si="4107">IFERROR((M1069/M1068),"-")</f>
        <v>-</v>
      </c>
      <c r="O1068" s="528"/>
      <c r="P1068" s="547">
        <v>0</v>
      </c>
      <c r="Q1068" s="547">
        <v>0</v>
      </c>
      <c r="R1068" s="547">
        <v>0</v>
      </c>
      <c r="S1068" s="547">
        <v>0</v>
      </c>
      <c r="T1068" s="547">
        <v>0</v>
      </c>
      <c r="U1068" s="547">
        <v>0</v>
      </c>
      <c r="V1068" s="548">
        <v>0</v>
      </c>
      <c r="W1068" s="528"/>
      <c r="X1068" s="711">
        <f t="shared" si="3891"/>
        <v>0</v>
      </c>
      <c r="Y1068" s="896" t="str">
        <f t="shared" ref="Y1068" si="4108">IFERROR((X1069/X1068),"0")</f>
        <v>0</v>
      </c>
      <c r="Z1068" s="528"/>
      <c r="AA1068" s="898">
        <v>0</v>
      </c>
      <c r="AB1068" s="898">
        <v>0</v>
      </c>
      <c r="AC1068" s="903">
        <v>0</v>
      </c>
      <c r="AD1068" s="896" t="str">
        <f t="shared" ref="AD1068" si="4109">IFERROR((AC1068/AB1068),"-")</f>
        <v>-</v>
      </c>
      <c r="AE1068" s="2"/>
      <c r="AF1068" s="886">
        <v>11</v>
      </c>
      <c r="AG1068" s="884"/>
      <c r="AH1068" s="921">
        <v>0</v>
      </c>
      <c r="AI1068" s="884"/>
      <c r="AJ1068" s="884"/>
      <c r="AK1068" s="884">
        <f t="shared" ref="AK1068" si="4110">AF1068+AG1068+AH1068+AI1068+AJ1068+AC1068</f>
        <v>11</v>
      </c>
      <c r="AL1068" s="884">
        <v>11.01</v>
      </c>
      <c r="AM1068" s="878">
        <f t="shared" ref="AM1068" si="4111">IFERROR((AK1068/AL1068),"-")</f>
        <v>0.99909173478655766</v>
      </c>
      <c r="AN1068" s="2"/>
      <c r="AO1068" s="884">
        <v>11</v>
      </c>
      <c r="AP1068" s="884">
        <f t="shared" ref="AP1068" si="4112">AO1068-AK1068</f>
        <v>0</v>
      </c>
      <c r="AV1068" t="str">
        <f t="shared" si="3960"/>
        <v>Sobrelargura</v>
      </c>
      <c r="AW1068" s="4" t="str">
        <f t="shared" si="3951"/>
        <v>2.5-BSTC DN 1,0m - Km 0+185 - acesso km 144+540 LE - Bueiro de Concreto</v>
      </c>
    </row>
    <row r="1069" spans="1:50" ht="15.6" customHeight="1" outlineLevel="2">
      <c r="A1069" s="8" t="str">
        <f t="shared" ref="A1069" si="4113">A1068</f>
        <v>N</v>
      </c>
      <c r="B1069" s="150"/>
      <c r="C1069" s="150"/>
      <c r="D1069" s="120"/>
      <c r="E1069" s="893"/>
      <c r="F1069" s="902"/>
      <c r="G1069" s="528"/>
      <c r="H1069" s="549" t="s">
        <v>38</v>
      </c>
      <c r="I1069" s="711">
        <v>0</v>
      </c>
      <c r="J1069" s="897"/>
      <c r="K1069" s="528"/>
      <c r="L1069" s="549" t="s">
        <v>38</v>
      </c>
      <c r="M1069" s="711">
        <f t="shared" si="3898"/>
        <v>0</v>
      </c>
      <c r="N1069" s="897"/>
      <c r="O1069" s="528"/>
      <c r="P1069" s="548">
        <v>0</v>
      </c>
      <c r="Q1069" s="548">
        <v>0</v>
      </c>
      <c r="R1069" s="548">
        <v>0</v>
      </c>
      <c r="S1069" s="548">
        <v>0</v>
      </c>
      <c r="T1069" s="548">
        <v>0</v>
      </c>
      <c r="U1069" s="548">
        <v>0</v>
      </c>
      <c r="V1069" s="548">
        <v>0</v>
      </c>
      <c r="W1069" s="528"/>
      <c r="X1069" s="711">
        <f t="shared" si="3891"/>
        <v>0</v>
      </c>
      <c r="Y1069" s="897"/>
      <c r="Z1069" s="528"/>
      <c r="AA1069" s="899"/>
      <c r="AB1069" s="899"/>
      <c r="AC1069" s="904"/>
      <c r="AD1069" s="905"/>
      <c r="AE1069" s="2"/>
      <c r="AF1069" s="926"/>
      <c r="AG1069" s="885"/>
      <c r="AH1069" s="922"/>
      <c r="AI1069" s="885"/>
      <c r="AJ1069" s="885"/>
      <c r="AK1069" s="885"/>
      <c r="AL1069" s="885"/>
      <c r="AM1069" s="879"/>
      <c r="AN1069" s="2"/>
      <c r="AO1069" s="886"/>
      <c r="AP1069" s="886"/>
      <c r="AV1069" t="str">
        <f t="shared" si="3960"/>
        <v>Sobrelargura</v>
      </c>
      <c r="AW1069" s="4" t="str">
        <f t="shared" si="3951"/>
        <v>2.5-BSTC DN 1,0m - Km 0+185 - acesso km 144+540 LE - Bueiro de Concreto</v>
      </c>
      <c r="AX1069" s="4"/>
    </row>
    <row r="1070" spans="1:50" ht="15.6" customHeight="1" outlineLevel="2">
      <c r="A1070" s="8" t="str">
        <f t="shared" ref="A1070" si="4114">IF(SUM(P1070:V1071)&gt;0,"S","N")</f>
        <v>N</v>
      </c>
      <c r="B1070" s="150">
        <v>1064888</v>
      </c>
      <c r="C1070" s="150" t="s">
        <v>1389</v>
      </c>
      <c r="D1070" s="120" t="s">
        <v>1390</v>
      </c>
      <c r="E1070" s="892" t="s">
        <v>1390</v>
      </c>
      <c r="F1070" s="902" t="s">
        <v>52</v>
      </c>
      <c r="G1070" s="528"/>
      <c r="H1070" s="546" t="s">
        <v>37</v>
      </c>
      <c r="I1070" s="711">
        <v>0</v>
      </c>
      <c r="J1070" s="896" t="str">
        <f t="shared" ref="J1070" si="4115">IFERROR((I1071/I1070),"-")</f>
        <v>-</v>
      </c>
      <c r="K1070" s="528"/>
      <c r="L1070" s="546" t="s">
        <v>37</v>
      </c>
      <c r="M1070" s="711">
        <f t="shared" si="3898"/>
        <v>0</v>
      </c>
      <c r="N1070" s="896" t="str">
        <f t="shared" ref="N1070" si="4116">IFERROR((M1071/M1070),"-")</f>
        <v>-</v>
      </c>
      <c r="O1070" s="528"/>
      <c r="P1070" s="547">
        <v>0</v>
      </c>
      <c r="Q1070" s="547">
        <v>0</v>
      </c>
      <c r="R1070" s="547">
        <v>0</v>
      </c>
      <c r="S1070" s="547">
        <v>0</v>
      </c>
      <c r="T1070" s="547">
        <v>0</v>
      </c>
      <c r="U1070" s="547">
        <v>0</v>
      </c>
      <c r="V1070" s="548">
        <v>0</v>
      </c>
      <c r="W1070" s="528"/>
      <c r="X1070" s="711">
        <f t="shared" si="3891"/>
        <v>0</v>
      </c>
      <c r="Y1070" s="896" t="str">
        <f t="shared" ref="Y1070" si="4117">IFERROR((X1071/X1070),"0")</f>
        <v>0</v>
      </c>
      <c r="Z1070" s="528"/>
      <c r="AA1070" s="898">
        <v>0</v>
      </c>
      <c r="AB1070" s="898">
        <v>0</v>
      </c>
      <c r="AC1070" s="903">
        <v>0</v>
      </c>
      <c r="AD1070" s="896" t="str">
        <f t="shared" ref="AD1070" si="4118">IFERROR((AC1070/AB1070),"-")</f>
        <v>-</v>
      </c>
      <c r="AE1070" s="2"/>
      <c r="AF1070" s="886">
        <v>16</v>
      </c>
      <c r="AG1070" s="884"/>
      <c r="AH1070" s="921">
        <v>0</v>
      </c>
      <c r="AI1070" s="884"/>
      <c r="AJ1070" s="884"/>
      <c r="AK1070" s="884">
        <f t="shared" ref="AK1070" si="4119">AF1070+AG1070+AH1070+AI1070+AJ1070+AC1070</f>
        <v>16</v>
      </c>
      <c r="AL1070" s="884">
        <v>16</v>
      </c>
      <c r="AM1070" s="878">
        <f t="shared" ref="AM1070" si="4120">IFERROR((AK1070/AL1070),"-")</f>
        <v>1</v>
      </c>
      <c r="AN1070" s="2"/>
      <c r="AO1070" s="884">
        <v>16</v>
      </c>
      <c r="AP1070" s="884">
        <f t="shared" ref="AP1070" si="4121">AO1070-AK1070</f>
        <v>0</v>
      </c>
      <c r="AV1070" t="str">
        <f t="shared" si="3960"/>
        <v>Sobrelargura</v>
      </c>
      <c r="AW1070" s="4" t="str">
        <f t="shared" si="3951"/>
        <v>2.5-BSTC DN 1,0m - Km 0+242 - acesso km 144+540 LD - Bueiro de Concreto</v>
      </c>
      <c r="AX1070" s="4"/>
    </row>
    <row r="1071" spans="1:50" ht="15.6" customHeight="1" outlineLevel="2" collapsed="1">
      <c r="A1071" s="8" t="str">
        <f t="shared" ref="A1071" si="4122">A1070</f>
        <v>N</v>
      </c>
      <c r="B1071" s="150"/>
      <c r="C1071" s="150"/>
      <c r="D1071" s="120"/>
      <c r="E1071" s="893"/>
      <c r="F1071" s="902"/>
      <c r="G1071" s="528"/>
      <c r="H1071" s="549" t="s">
        <v>38</v>
      </c>
      <c r="I1071" s="711">
        <v>0</v>
      </c>
      <c r="J1071" s="897"/>
      <c r="K1071" s="528"/>
      <c r="L1071" s="549" t="s">
        <v>38</v>
      </c>
      <c r="M1071" s="711">
        <f t="shared" si="3898"/>
        <v>0</v>
      </c>
      <c r="N1071" s="897"/>
      <c r="O1071" s="528"/>
      <c r="P1071" s="548">
        <v>0</v>
      </c>
      <c r="Q1071" s="548">
        <v>0</v>
      </c>
      <c r="R1071" s="548">
        <v>0</v>
      </c>
      <c r="S1071" s="548">
        <v>0</v>
      </c>
      <c r="T1071" s="548">
        <v>0</v>
      </c>
      <c r="U1071" s="548">
        <v>0</v>
      </c>
      <c r="V1071" s="548">
        <v>0</v>
      </c>
      <c r="W1071" s="528"/>
      <c r="X1071" s="711">
        <f t="shared" si="3891"/>
        <v>0</v>
      </c>
      <c r="Y1071" s="897"/>
      <c r="Z1071" s="528"/>
      <c r="AA1071" s="899"/>
      <c r="AB1071" s="899"/>
      <c r="AC1071" s="904"/>
      <c r="AD1071" s="905"/>
      <c r="AE1071" s="2"/>
      <c r="AF1071" s="926"/>
      <c r="AG1071" s="885"/>
      <c r="AH1071" s="922"/>
      <c r="AI1071" s="885"/>
      <c r="AJ1071" s="885"/>
      <c r="AK1071" s="885"/>
      <c r="AL1071" s="885"/>
      <c r="AM1071" s="879"/>
      <c r="AN1071" s="2"/>
      <c r="AO1071" s="886"/>
      <c r="AP1071" s="886"/>
      <c r="AV1071" t="str">
        <f t="shared" si="3960"/>
        <v>Sobrelargura</v>
      </c>
      <c r="AW1071" s="4" t="str">
        <f t="shared" si="3951"/>
        <v>2.5-BSTC DN 1,0m - Km 0+242 - acesso km 144+540 LD - Bueiro de Concreto</v>
      </c>
      <c r="AX1071" s="4"/>
    </row>
    <row r="1072" spans="1:50" ht="15.6" customHeight="1" outlineLevel="2">
      <c r="A1072" s="8" t="str">
        <f t="shared" ref="A1072" si="4123">IF(SUM(P1072:V1073)&gt;0,"S","N")</f>
        <v>N</v>
      </c>
      <c r="B1072" s="150">
        <v>1064895</v>
      </c>
      <c r="C1072" s="150" t="s">
        <v>1391</v>
      </c>
      <c r="D1072" s="120" t="s">
        <v>1392</v>
      </c>
      <c r="E1072" s="892" t="s">
        <v>1392</v>
      </c>
      <c r="F1072" s="902" t="s">
        <v>52</v>
      </c>
      <c r="G1072" s="528"/>
      <c r="H1072" s="546" t="s">
        <v>37</v>
      </c>
      <c r="I1072" s="711">
        <v>0</v>
      </c>
      <c r="J1072" s="896" t="str">
        <f t="shared" ref="J1072" si="4124">IFERROR((I1073/I1072),"-")</f>
        <v>-</v>
      </c>
      <c r="K1072" s="528"/>
      <c r="L1072" s="546" t="s">
        <v>37</v>
      </c>
      <c r="M1072" s="711">
        <f t="shared" si="3898"/>
        <v>0</v>
      </c>
      <c r="N1072" s="896" t="str">
        <f t="shared" ref="N1072" si="4125">IFERROR((M1073/M1072),"-")</f>
        <v>-</v>
      </c>
      <c r="O1072" s="528"/>
      <c r="P1072" s="547">
        <v>0</v>
      </c>
      <c r="Q1072" s="547">
        <v>0</v>
      </c>
      <c r="R1072" s="547">
        <v>0</v>
      </c>
      <c r="S1072" s="547">
        <v>0</v>
      </c>
      <c r="T1072" s="547">
        <v>0</v>
      </c>
      <c r="U1072" s="547">
        <v>0</v>
      </c>
      <c r="V1072" s="548">
        <v>0</v>
      </c>
      <c r="W1072" s="528"/>
      <c r="X1072" s="711">
        <f t="shared" si="3891"/>
        <v>0</v>
      </c>
      <c r="Y1072" s="896" t="str">
        <f t="shared" ref="Y1072" si="4126">IFERROR((X1073/X1072),"0")</f>
        <v>0</v>
      </c>
      <c r="Z1072" s="528"/>
      <c r="AA1072" s="898">
        <v>0</v>
      </c>
      <c r="AB1072" s="898">
        <v>0</v>
      </c>
      <c r="AC1072" s="903">
        <v>0</v>
      </c>
      <c r="AD1072" s="896" t="str">
        <f t="shared" ref="AD1072" si="4127">IFERROR((AC1072/AB1072),"-")</f>
        <v>-</v>
      </c>
      <c r="AE1072" s="2"/>
      <c r="AF1072" s="886">
        <v>0</v>
      </c>
      <c r="AG1072" s="884"/>
      <c r="AH1072" s="921">
        <v>0</v>
      </c>
      <c r="AI1072" s="884">
        <v>13</v>
      </c>
      <c r="AJ1072" s="884"/>
      <c r="AK1072" s="884">
        <f t="shared" ref="AK1072" si="4128">AF1072+AG1072+AH1072+AI1072+AJ1072+AC1072</f>
        <v>13</v>
      </c>
      <c r="AL1072" s="884">
        <v>12.919999999999998</v>
      </c>
      <c r="AM1072" s="878">
        <f t="shared" ref="AM1072" si="4129">IFERROR((AK1072/AL1072),"-")</f>
        <v>1.0061919504643964</v>
      </c>
      <c r="AN1072" s="2"/>
      <c r="AO1072" s="884">
        <v>13</v>
      </c>
      <c r="AP1072" s="884">
        <f t="shared" ref="AP1072" si="4130">AO1072-AK1072</f>
        <v>0</v>
      </c>
      <c r="AV1072" t="str">
        <f t="shared" si="3960"/>
        <v>Sobrelargura</v>
      </c>
      <c r="AW1072" s="4" t="str">
        <f t="shared" si="3951"/>
        <v>2.5-BST PEAD DN 0,80m - Km 0+280 - acesso km 149+600 LE - Bueiro de PEAD</v>
      </c>
      <c r="AX1072" s="4"/>
    </row>
    <row r="1073" spans="1:50" ht="15.6" customHeight="1" outlineLevel="2">
      <c r="A1073" s="8" t="str">
        <f t="shared" ref="A1073" si="4131">A1072</f>
        <v>N</v>
      </c>
      <c r="B1073" s="150"/>
      <c r="C1073" s="150"/>
      <c r="D1073" s="120"/>
      <c r="E1073" s="893"/>
      <c r="F1073" s="902"/>
      <c r="G1073" s="528"/>
      <c r="H1073" s="549" t="s">
        <v>38</v>
      </c>
      <c r="I1073" s="711">
        <v>0</v>
      </c>
      <c r="J1073" s="897"/>
      <c r="K1073" s="528"/>
      <c r="L1073" s="549" t="s">
        <v>38</v>
      </c>
      <c r="M1073" s="711">
        <f t="shared" si="3898"/>
        <v>0</v>
      </c>
      <c r="N1073" s="897"/>
      <c r="O1073" s="528"/>
      <c r="P1073" s="548">
        <v>0</v>
      </c>
      <c r="Q1073" s="548">
        <v>0</v>
      </c>
      <c r="R1073" s="548">
        <v>0</v>
      </c>
      <c r="S1073" s="548">
        <v>0</v>
      </c>
      <c r="T1073" s="548">
        <v>0</v>
      </c>
      <c r="U1073" s="548">
        <v>0</v>
      </c>
      <c r="V1073" s="548">
        <v>0</v>
      </c>
      <c r="W1073" s="528"/>
      <c r="X1073" s="711">
        <f t="shared" si="3891"/>
        <v>0</v>
      </c>
      <c r="Y1073" s="897"/>
      <c r="Z1073" s="528"/>
      <c r="AA1073" s="899"/>
      <c r="AB1073" s="899"/>
      <c r="AC1073" s="904"/>
      <c r="AD1073" s="905"/>
      <c r="AE1073" s="2"/>
      <c r="AF1073" s="926"/>
      <c r="AG1073" s="885"/>
      <c r="AH1073" s="922"/>
      <c r="AI1073" s="885"/>
      <c r="AJ1073" s="885"/>
      <c r="AK1073" s="885"/>
      <c r="AL1073" s="885"/>
      <c r="AM1073" s="879"/>
      <c r="AN1073" s="2"/>
      <c r="AO1073" s="886"/>
      <c r="AP1073" s="886"/>
      <c r="AV1073" t="str">
        <f t="shared" si="3960"/>
        <v>Sobrelargura</v>
      </c>
      <c r="AW1073" s="4" t="str">
        <f t="shared" si="3951"/>
        <v>2.5-BST PEAD DN 0,80m - Km 0+280 - acesso km 149+600 LE - Bueiro de PEAD</v>
      </c>
      <c r="AX1073" s="4"/>
    </row>
    <row r="1074" spans="1:50" ht="15.6" customHeight="1" outlineLevel="2">
      <c r="A1074" s="8" t="str">
        <f t="shared" ref="A1074" si="4132">IF(SUM(P1074:V1075)&gt;0,"S","N")</f>
        <v>N</v>
      </c>
      <c r="B1074" s="150">
        <v>1064903</v>
      </c>
      <c r="C1074" s="150" t="s">
        <v>1393</v>
      </c>
      <c r="D1074" s="120" t="s">
        <v>1394</v>
      </c>
      <c r="E1074" s="892" t="s">
        <v>1394</v>
      </c>
      <c r="F1074" s="902" t="s">
        <v>52</v>
      </c>
      <c r="G1074" s="528"/>
      <c r="H1074" s="546" t="s">
        <v>37</v>
      </c>
      <c r="I1074" s="711">
        <v>0</v>
      </c>
      <c r="J1074" s="896" t="str">
        <f t="shared" ref="J1074" si="4133">IFERROR((I1075/I1074),"-")</f>
        <v>-</v>
      </c>
      <c r="K1074" s="528"/>
      <c r="L1074" s="546" t="s">
        <v>37</v>
      </c>
      <c r="M1074" s="711">
        <f t="shared" si="3898"/>
        <v>0</v>
      </c>
      <c r="N1074" s="896" t="str">
        <f t="shared" ref="N1074" si="4134">IFERROR((M1075/M1074),"-")</f>
        <v>-</v>
      </c>
      <c r="O1074" s="528"/>
      <c r="P1074" s="547">
        <v>0</v>
      </c>
      <c r="Q1074" s="547">
        <v>0</v>
      </c>
      <c r="R1074" s="547">
        <v>0</v>
      </c>
      <c r="S1074" s="547">
        <v>0</v>
      </c>
      <c r="T1074" s="547">
        <v>0</v>
      </c>
      <c r="U1074" s="547">
        <v>0</v>
      </c>
      <c r="V1074" s="548">
        <v>0</v>
      </c>
      <c r="W1074" s="528"/>
      <c r="X1074" s="711">
        <f t="shared" si="3891"/>
        <v>0</v>
      </c>
      <c r="Y1074" s="896" t="str">
        <f t="shared" ref="Y1074" si="4135">IFERROR((X1075/X1074),"0")</f>
        <v>0</v>
      </c>
      <c r="Z1074" s="528"/>
      <c r="AA1074" s="898">
        <v>0</v>
      </c>
      <c r="AB1074" s="898">
        <v>0</v>
      </c>
      <c r="AC1074" s="903">
        <v>0</v>
      </c>
      <c r="AD1074" s="896" t="str">
        <f t="shared" ref="AD1074" si="4136">IFERROR((AC1074/AB1074),"-")</f>
        <v>-</v>
      </c>
      <c r="AE1074" s="2"/>
      <c r="AF1074" s="886">
        <v>0</v>
      </c>
      <c r="AG1074" s="884"/>
      <c r="AH1074" s="921">
        <v>0</v>
      </c>
      <c r="AI1074" s="884"/>
      <c r="AJ1074" s="884"/>
      <c r="AK1074" s="884">
        <f t="shared" ref="AK1074" si="4137">AF1074+AG1074+AH1074+AI1074+AJ1074+AC1074</f>
        <v>0</v>
      </c>
      <c r="AL1074" s="884">
        <v>0</v>
      </c>
      <c r="AM1074" s="878" t="str">
        <f t="shared" ref="AM1074" si="4138">IFERROR((AK1074/AL1074),"-")</f>
        <v>-</v>
      </c>
      <c r="AN1074" s="2"/>
      <c r="AO1074" s="884">
        <v>9</v>
      </c>
      <c r="AP1074" s="884">
        <f t="shared" ref="AP1074" si="4139">AO1074-AK1074</f>
        <v>9</v>
      </c>
      <c r="AV1074" t="str">
        <f t="shared" si="3960"/>
        <v>Sobrelargura</v>
      </c>
      <c r="AW1074" s="4" t="str">
        <f t="shared" si="3951"/>
        <v>2.5-BSTC DN 0,80 m - Km 0+762 - acesso km 147+195 LE - Bueiro de Concreto</v>
      </c>
      <c r="AX1074" s="4"/>
    </row>
    <row r="1075" spans="1:50" ht="15.6" customHeight="1" outlineLevel="2">
      <c r="A1075" s="8" t="str">
        <f t="shared" ref="A1075" si="4140">A1074</f>
        <v>N</v>
      </c>
      <c r="B1075" s="150"/>
      <c r="C1075" s="150"/>
      <c r="D1075" s="120"/>
      <c r="E1075" s="893"/>
      <c r="F1075" s="902"/>
      <c r="G1075" s="528"/>
      <c r="H1075" s="549" t="s">
        <v>38</v>
      </c>
      <c r="I1075" s="711">
        <v>0</v>
      </c>
      <c r="J1075" s="897"/>
      <c r="K1075" s="528"/>
      <c r="L1075" s="549" t="s">
        <v>38</v>
      </c>
      <c r="M1075" s="711">
        <f t="shared" si="3898"/>
        <v>0</v>
      </c>
      <c r="N1075" s="897"/>
      <c r="O1075" s="528"/>
      <c r="P1075" s="548">
        <v>0</v>
      </c>
      <c r="Q1075" s="548">
        <v>0</v>
      </c>
      <c r="R1075" s="548">
        <v>0</v>
      </c>
      <c r="S1075" s="548">
        <v>0</v>
      </c>
      <c r="T1075" s="548">
        <v>0</v>
      </c>
      <c r="U1075" s="548">
        <v>0</v>
      </c>
      <c r="V1075" s="548">
        <v>0</v>
      </c>
      <c r="W1075" s="528"/>
      <c r="X1075" s="711">
        <f t="shared" si="3891"/>
        <v>0</v>
      </c>
      <c r="Y1075" s="897"/>
      <c r="Z1075" s="528"/>
      <c r="AA1075" s="899"/>
      <c r="AB1075" s="899"/>
      <c r="AC1075" s="904"/>
      <c r="AD1075" s="905"/>
      <c r="AE1075" s="2"/>
      <c r="AF1075" s="926"/>
      <c r="AG1075" s="885"/>
      <c r="AH1075" s="922"/>
      <c r="AI1075" s="885"/>
      <c r="AJ1075" s="885"/>
      <c r="AK1075" s="885"/>
      <c r="AL1075" s="885"/>
      <c r="AM1075" s="879"/>
      <c r="AN1075" s="2"/>
      <c r="AO1075" s="886"/>
      <c r="AP1075" s="886"/>
      <c r="AV1075" t="str">
        <f t="shared" si="3960"/>
        <v>Sobrelargura</v>
      </c>
      <c r="AW1075" s="4" t="str">
        <f t="shared" si="3951"/>
        <v>2.5-BSTC DN 0,80 m - Km 0+762 - acesso km 147+195 LE - Bueiro de Concreto</v>
      </c>
      <c r="AX1075" s="4"/>
    </row>
    <row r="1076" spans="1:50" ht="15.6" customHeight="1" outlineLevel="2">
      <c r="A1076" s="8" t="str">
        <f t="shared" ref="A1076" si="4141">IF(SUM(P1076:V1077)&gt;0,"S","N")</f>
        <v>N</v>
      </c>
      <c r="B1076" s="150">
        <v>1064910</v>
      </c>
      <c r="C1076" s="150" t="s">
        <v>1395</v>
      </c>
      <c r="D1076" s="120" t="s">
        <v>1396</v>
      </c>
      <c r="E1076" s="892" t="s">
        <v>1396</v>
      </c>
      <c r="F1076" s="902" t="s">
        <v>52</v>
      </c>
      <c r="G1076" s="528"/>
      <c r="H1076" s="546" t="s">
        <v>37</v>
      </c>
      <c r="I1076" s="711">
        <v>0</v>
      </c>
      <c r="J1076" s="896" t="str">
        <f t="shared" ref="J1076" si="4142">IFERROR((I1077/I1076),"-")</f>
        <v>-</v>
      </c>
      <c r="K1076" s="528"/>
      <c r="L1076" s="546" t="s">
        <v>37</v>
      </c>
      <c r="M1076" s="711">
        <f t="shared" si="3898"/>
        <v>0</v>
      </c>
      <c r="N1076" s="896" t="str">
        <f t="shared" ref="N1076" si="4143">IFERROR((M1077/M1076),"-")</f>
        <v>-</v>
      </c>
      <c r="O1076" s="528"/>
      <c r="P1076" s="547">
        <v>0</v>
      </c>
      <c r="Q1076" s="547">
        <v>0</v>
      </c>
      <c r="R1076" s="547">
        <v>0</v>
      </c>
      <c r="S1076" s="547">
        <v>0</v>
      </c>
      <c r="T1076" s="547">
        <v>0</v>
      </c>
      <c r="U1076" s="547">
        <v>0</v>
      </c>
      <c r="V1076" s="548">
        <v>0</v>
      </c>
      <c r="W1076" s="528"/>
      <c r="X1076" s="711">
        <f t="shared" si="3891"/>
        <v>0</v>
      </c>
      <c r="Y1076" s="896" t="str">
        <f t="shared" ref="Y1076" si="4144">IFERROR((X1077/X1076),"0")</f>
        <v>0</v>
      </c>
      <c r="Z1076" s="528"/>
      <c r="AA1076" s="898">
        <v>0</v>
      </c>
      <c r="AB1076" s="898">
        <v>0</v>
      </c>
      <c r="AC1076" s="903">
        <v>0</v>
      </c>
      <c r="AD1076" s="896" t="str">
        <f t="shared" ref="AD1076" si="4145">IFERROR((AC1076/AB1076),"-")</f>
        <v>-</v>
      </c>
      <c r="AE1076" s="2"/>
      <c r="AF1076" s="884">
        <v>0</v>
      </c>
      <c r="AG1076" s="884"/>
      <c r="AH1076" s="921">
        <v>0</v>
      </c>
      <c r="AI1076" s="884"/>
      <c r="AJ1076" s="884"/>
      <c r="AK1076" s="884">
        <f t="shared" ref="AK1076" si="4146">AF1076+AG1076+AH1076+AI1076+AJ1076+AC1076</f>
        <v>0</v>
      </c>
      <c r="AL1076" s="884">
        <v>0</v>
      </c>
      <c r="AM1076" s="878" t="str">
        <f t="shared" ref="AM1076" si="4147">IFERROR((AK1076/AL1076),"-")</f>
        <v>-</v>
      </c>
      <c r="AN1076" s="2"/>
      <c r="AO1076" s="884">
        <v>12</v>
      </c>
      <c r="AP1076" s="884">
        <f t="shared" ref="AP1076" si="4148">AO1076-AK1076</f>
        <v>12</v>
      </c>
      <c r="AV1076" t="str">
        <f t="shared" si="3960"/>
        <v>Sobrelargura</v>
      </c>
      <c r="AW1076" s="4" t="str">
        <f t="shared" si="3951"/>
        <v>2.5-BST PEAD DN 0,80m - Km 0+414 - acesso km 151+700 LD - Bueiro de PEAD</v>
      </c>
      <c r="AX1076" s="4"/>
    </row>
    <row r="1077" spans="1:50" ht="15.6" customHeight="1" outlineLevel="2">
      <c r="A1077" s="8" t="str">
        <f t="shared" ref="A1077" si="4149">A1076</f>
        <v>N</v>
      </c>
      <c r="B1077" s="150"/>
      <c r="C1077" s="150"/>
      <c r="D1077" s="120"/>
      <c r="E1077" s="893"/>
      <c r="F1077" s="902"/>
      <c r="G1077" s="528"/>
      <c r="H1077" s="549" t="s">
        <v>38</v>
      </c>
      <c r="I1077" s="711">
        <v>0</v>
      </c>
      <c r="J1077" s="897"/>
      <c r="K1077" s="528"/>
      <c r="L1077" s="549" t="s">
        <v>38</v>
      </c>
      <c r="M1077" s="711">
        <f t="shared" si="3898"/>
        <v>0</v>
      </c>
      <c r="N1077" s="897"/>
      <c r="O1077" s="528"/>
      <c r="P1077" s="548">
        <v>0</v>
      </c>
      <c r="Q1077" s="548">
        <v>0</v>
      </c>
      <c r="R1077" s="548">
        <v>0</v>
      </c>
      <c r="S1077" s="548">
        <v>0</v>
      </c>
      <c r="T1077" s="548">
        <v>0</v>
      </c>
      <c r="U1077" s="548">
        <v>0</v>
      </c>
      <c r="V1077" s="548">
        <v>0</v>
      </c>
      <c r="W1077" s="528"/>
      <c r="X1077" s="711">
        <f t="shared" si="3891"/>
        <v>0</v>
      </c>
      <c r="Y1077" s="897"/>
      <c r="Z1077" s="528"/>
      <c r="AA1077" s="899"/>
      <c r="AB1077" s="899"/>
      <c r="AC1077" s="904"/>
      <c r="AD1077" s="905"/>
      <c r="AE1077" s="2"/>
      <c r="AF1077" s="885"/>
      <c r="AG1077" s="885"/>
      <c r="AH1077" s="922"/>
      <c r="AI1077" s="885"/>
      <c r="AJ1077" s="885"/>
      <c r="AK1077" s="885"/>
      <c r="AL1077" s="885"/>
      <c r="AM1077" s="879"/>
      <c r="AN1077" s="2"/>
      <c r="AO1077" s="886"/>
      <c r="AP1077" s="886"/>
      <c r="AV1077" t="str">
        <f t="shared" si="3960"/>
        <v>Sobrelargura</v>
      </c>
      <c r="AW1077" s="4" t="str">
        <f t="shared" si="3951"/>
        <v>2.5-BST PEAD DN 0,80m - Km 0+414 - acesso km 151+700 LD - Bueiro de PEAD</v>
      </c>
      <c r="AX1077" s="4"/>
    </row>
    <row r="1078" spans="1:50" ht="15.6" customHeight="1" outlineLevel="2">
      <c r="A1078" s="8" t="str">
        <f t="shared" ref="A1078" si="4150">IF(SUM(P1078:V1079)&gt;0,"S","N")</f>
        <v>N</v>
      </c>
      <c r="B1078" s="150">
        <v>1069225</v>
      </c>
      <c r="C1078" s="150" t="s">
        <v>1397</v>
      </c>
      <c r="D1078" s="120" t="s">
        <v>1398</v>
      </c>
      <c r="E1078" s="892" t="s">
        <v>1398</v>
      </c>
      <c r="F1078" s="902" t="s">
        <v>52</v>
      </c>
      <c r="G1078" s="528"/>
      <c r="H1078" s="546" t="s">
        <v>37</v>
      </c>
      <c r="I1078" s="711">
        <v>0</v>
      </c>
      <c r="J1078" s="896" t="str">
        <f t="shared" ref="J1078" si="4151">IFERROR((I1079/I1078),"-")</f>
        <v>-</v>
      </c>
      <c r="K1078" s="528"/>
      <c r="L1078" s="546" t="s">
        <v>37</v>
      </c>
      <c r="M1078" s="711">
        <f t="shared" si="3898"/>
        <v>0</v>
      </c>
      <c r="N1078" s="896" t="str">
        <f t="shared" ref="N1078" si="4152">IFERROR((M1079/M1078),"-")</f>
        <v>-</v>
      </c>
      <c r="O1078" s="528"/>
      <c r="P1078" s="547">
        <v>0</v>
      </c>
      <c r="Q1078" s="547">
        <v>0</v>
      </c>
      <c r="R1078" s="547">
        <v>0</v>
      </c>
      <c r="S1078" s="547">
        <v>0</v>
      </c>
      <c r="T1078" s="547">
        <v>0</v>
      </c>
      <c r="U1078" s="547">
        <v>0</v>
      </c>
      <c r="V1078" s="548">
        <v>0</v>
      </c>
      <c r="W1078" s="528"/>
      <c r="X1078" s="711">
        <f t="shared" si="3891"/>
        <v>0</v>
      </c>
      <c r="Y1078" s="896" t="str">
        <f t="shared" ref="Y1078" si="4153">IFERROR((X1079/X1078),"0")</f>
        <v>0</v>
      </c>
      <c r="Z1078" s="528"/>
      <c r="AA1078" s="898">
        <v>0</v>
      </c>
      <c r="AB1078" s="898">
        <v>0</v>
      </c>
      <c r="AC1078" s="903">
        <v>0</v>
      </c>
      <c r="AD1078" s="896" t="str">
        <f t="shared" ref="AD1078" si="4154">IFERROR((AC1078/AB1078),"-")</f>
        <v>-</v>
      </c>
      <c r="AE1078" s="2"/>
      <c r="AF1078" s="884">
        <v>0</v>
      </c>
      <c r="AG1078" s="884"/>
      <c r="AH1078" s="921">
        <v>0</v>
      </c>
      <c r="AI1078" s="884"/>
      <c r="AJ1078" s="884"/>
      <c r="AK1078" s="884">
        <f t="shared" ref="AK1078" si="4155">AF1078+AG1078+AH1078+AI1078+AJ1078+AC1078</f>
        <v>0</v>
      </c>
      <c r="AL1078" s="884">
        <v>48.99</v>
      </c>
      <c r="AM1078" s="878">
        <f t="shared" ref="AM1078" si="4156">IFERROR((AK1078/AL1078),"-")</f>
        <v>0</v>
      </c>
      <c r="AN1078" s="2"/>
      <c r="AO1078" s="884">
        <v>49</v>
      </c>
      <c r="AP1078" s="884">
        <f t="shared" ref="AP1078" si="4157">AO1078-AK1078</f>
        <v>49</v>
      </c>
      <c r="AV1078" t="str">
        <f t="shared" si="3960"/>
        <v>Sobrelargura</v>
      </c>
      <c r="AW1078" s="4" t="str">
        <f t="shared" si="3951"/>
        <v>2.5-BSCC 2,00 x 2,00 - Km 152+340 - Aterro A13 - Bueiro de Concreto</v>
      </c>
      <c r="AX1078" s="4"/>
    </row>
    <row r="1079" spans="1:50" ht="15.6" customHeight="1" outlineLevel="2">
      <c r="A1079" s="8" t="str">
        <f t="shared" ref="A1079" si="4158">A1078</f>
        <v>N</v>
      </c>
      <c r="B1079" s="150"/>
      <c r="C1079" s="150"/>
      <c r="D1079" s="120"/>
      <c r="E1079" s="893"/>
      <c r="F1079" s="902"/>
      <c r="G1079" s="528"/>
      <c r="H1079" s="549" t="s">
        <v>38</v>
      </c>
      <c r="I1079" s="711">
        <v>0</v>
      </c>
      <c r="J1079" s="897"/>
      <c r="K1079" s="528"/>
      <c r="L1079" s="549" t="s">
        <v>38</v>
      </c>
      <c r="M1079" s="711">
        <f t="shared" si="3898"/>
        <v>0</v>
      </c>
      <c r="N1079" s="897"/>
      <c r="O1079" s="528"/>
      <c r="P1079" s="548">
        <v>0</v>
      </c>
      <c r="Q1079" s="548">
        <v>0</v>
      </c>
      <c r="R1079" s="548">
        <v>0</v>
      </c>
      <c r="S1079" s="548">
        <v>0</v>
      </c>
      <c r="T1079" s="548">
        <v>0</v>
      </c>
      <c r="U1079" s="548">
        <v>0</v>
      </c>
      <c r="V1079" s="548">
        <v>0</v>
      </c>
      <c r="W1079" s="528"/>
      <c r="X1079" s="711">
        <f t="shared" si="3891"/>
        <v>0</v>
      </c>
      <c r="Y1079" s="897"/>
      <c r="Z1079" s="528"/>
      <c r="AA1079" s="899"/>
      <c r="AB1079" s="899"/>
      <c r="AC1079" s="904"/>
      <c r="AD1079" s="905"/>
      <c r="AE1079" s="2"/>
      <c r="AF1079" s="908"/>
      <c r="AG1079" s="908"/>
      <c r="AH1079" s="922"/>
      <c r="AI1079" s="908"/>
      <c r="AJ1079" s="908"/>
      <c r="AK1079" s="885"/>
      <c r="AL1079" s="885"/>
      <c r="AM1079" s="879"/>
      <c r="AN1079" s="2"/>
      <c r="AO1079" s="886"/>
      <c r="AP1079" s="886"/>
      <c r="AV1079" t="str">
        <f t="shared" si="3960"/>
        <v>Sobrelargura</v>
      </c>
      <c r="AW1079" s="4" t="str">
        <f t="shared" si="3951"/>
        <v>2.5-BSCC 2,00 x 2,00 - Km 152+340 - Aterro A13 - Bueiro de Concreto</v>
      </c>
    </row>
    <row r="1080" spans="1:50" ht="15.6" customHeight="1" outlineLevel="2">
      <c r="A1080" s="8" t="str">
        <f t="shared" ref="A1080" si="4159">IF(SUM(P1080:V1081)&gt;0,"S","N")</f>
        <v>N</v>
      </c>
      <c r="B1080" s="150">
        <v>1069225</v>
      </c>
      <c r="C1080" s="150" t="s">
        <v>1397</v>
      </c>
      <c r="D1080" s="120" t="s">
        <v>1399</v>
      </c>
      <c r="E1080" s="892" t="s">
        <v>1398</v>
      </c>
      <c r="F1080" s="902" t="s">
        <v>52</v>
      </c>
      <c r="G1080" s="528"/>
      <c r="H1080" s="546" t="s">
        <v>37</v>
      </c>
      <c r="I1080" s="711">
        <v>0</v>
      </c>
      <c r="J1080" s="896" t="str">
        <f t="shared" ref="J1080" si="4160">IFERROR((I1081/I1080),"-")</f>
        <v>-</v>
      </c>
      <c r="K1080" s="528"/>
      <c r="L1080" s="546" t="s">
        <v>37</v>
      </c>
      <c r="M1080" s="711">
        <f t="shared" si="3898"/>
        <v>0</v>
      </c>
      <c r="N1080" s="896" t="str">
        <f t="shared" ref="N1080" si="4161">IFERROR((M1081/M1080),"-")</f>
        <v>-</v>
      </c>
      <c r="O1080" s="528"/>
      <c r="P1080" s="547">
        <v>0</v>
      </c>
      <c r="Q1080" s="547">
        <v>0</v>
      </c>
      <c r="R1080" s="547">
        <v>0</v>
      </c>
      <c r="S1080" s="547">
        <v>0</v>
      </c>
      <c r="T1080" s="547">
        <v>0</v>
      </c>
      <c r="U1080" s="547">
        <v>0</v>
      </c>
      <c r="V1080" s="548">
        <v>0</v>
      </c>
      <c r="W1080" s="528"/>
      <c r="X1080" s="711">
        <f t="shared" si="3891"/>
        <v>0</v>
      </c>
      <c r="Y1080" s="896" t="str">
        <f t="shared" ref="Y1080" si="4162">IFERROR((X1081/X1080),"0")</f>
        <v>0</v>
      </c>
      <c r="Z1080" s="528"/>
      <c r="AA1080" s="898">
        <v>0</v>
      </c>
      <c r="AB1080" s="898">
        <v>0</v>
      </c>
      <c r="AC1080" s="903">
        <v>3</v>
      </c>
      <c r="AD1080" s="896" t="str">
        <f t="shared" ref="AD1080" si="4163">IFERROR((AC1080/AB1080),"-")</f>
        <v>-</v>
      </c>
      <c r="AE1080" s="2"/>
      <c r="AF1080" s="884">
        <v>0</v>
      </c>
      <c r="AG1080" s="884"/>
      <c r="AH1080" s="921">
        <v>0</v>
      </c>
      <c r="AI1080" s="884"/>
      <c r="AJ1080" s="884"/>
      <c r="AK1080" s="884">
        <f t="shared" ref="AK1080" si="4164">AF1080+AG1080+AH1080+AI1080+AJ1080+AC1080</f>
        <v>3</v>
      </c>
      <c r="AL1080" s="884">
        <v>48.99</v>
      </c>
      <c r="AM1080" s="878">
        <f t="shared" ref="AM1080" si="4165">IFERROR((AK1080/AL1080),"-")</f>
        <v>6.12369871402327E-2</v>
      </c>
      <c r="AN1080" s="2"/>
      <c r="AO1080" s="884">
        <v>49</v>
      </c>
      <c r="AP1080" s="884">
        <f t="shared" ref="AP1080" si="4166">AO1080-AK1080</f>
        <v>46</v>
      </c>
      <c r="AV1080" t="str">
        <f t="shared" si="3960"/>
        <v>Sobrelargura</v>
      </c>
      <c r="AW1080" s="4" t="str">
        <f t="shared" si="3951"/>
        <v>2.5-BSCC 2,00 x 2,00 - Km 152+340 - Aterro A13 - Bueiro de Concreto</v>
      </c>
    </row>
    <row r="1081" spans="1:50" ht="15.6" customHeight="1" outlineLevel="2">
      <c r="A1081" s="8" t="str">
        <f t="shared" ref="A1081" si="4167">A1080</f>
        <v>N</v>
      </c>
      <c r="B1081" s="150"/>
      <c r="C1081" s="150"/>
      <c r="D1081" s="120"/>
      <c r="E1081" s="893"/>
      <c r="F1081" s="902"/>
      <c r="G1081" s="528"/>
      <c r="H1081" s="549" t="s">
        <v>38</v>
      </c>
      <c r="I1081" s="711">
        <v>3</v>
      </c>
      <c r="J1081" s="897"/>
      <c r="K1081" s="528"/>
      <c r="L1081" s="549" t="s">
        <v>38</v>
      </c>
      <c r="M1081" s="711">
        <f t="shared" si="3898"/>
        <v>0</v>
      </c>
      <c r="N1081" s="897"/>
      <c r="O1081" s="528"/>
      <c r="P1081" s="548">
        <v>0</v>
      </c>
      <c r="Q1081" s="548">
        <v>0</v>
      </c>
      <c r="R1081" s="548">
        <v>0</v>
      </c>
      <c r="S1081" s="548">
        <v>0</v>
      </c>
      <c r="T1081" s="548">
        <v>0</v>
      </c>
      <c r="U1081" s="548">
        <v>0</v>
      </c>
      <c r="V1081" s="548">
        <v>0</v>
      </c>
      <c r="W1081" s="528"/>
      <c r="X1081" s="711">
        <f t="shared" si="3891"/>
        <v>0</v>
      </c>
      <c r="Y1081" s="897"/>
      <c r="Z1081" s="528"/>
      <c r="AA1081" s="899"/>
      <c r="AB1081" s="899"/>
      <c r="AC1081" s="904"/>
      <c r="AD1081" s="905"/>
      <c r="AE1081" s="2"/>
      <c r="AF1081" s="908"/>
      <c r="AG1081" s="908"/>
      <c r="AH1081" s="922"/>
      <c r="AI1081" s="908"/>
      <c r="AJ1081" s="908"/>
      <c r="AK1081" s="885"/>
      <c r="AL1081" s="885"/>
      <c r="AM1081" s="879"/>
      <c r="AN1081" s="2"/>
      <c r="AO1081" s="886"/>
      <c r="AP1081" s="886"/>
      <c r="AV1081" t="str">
        <f t="shared" si="3960"/>
        <v>Sobrelargura</v>
      </c>
      <c r="AW1081" s="4" t="str">
        <f t="shared" si="3951"/>
        <v>2.5-BSCC 2,00 x 2,00 - Km 152+340 - Aterro A13 - Bueiro de Concreto</v>
      </c>
    </row>
    <row r="1082" spans="1:50" ht="15.6" customHeight="1" outlineLevel="2">
      <c r="A1082" s="8" t="str">
        <f t="shared" ref="A1082" si="4168">IF(SUM(P1082:V1083)&gt;0,"S","N")</f>
        <v>N</v>
      </c>
      <c r="B1082" s="150" t="s">
        <v>266</v>
      </c>
      <c r="C1082" s="150"/>
      <c r="D1082" s="120"/>
      <c r="E1082" s="892" t="s">
        <v>1400</v>
      </c>
      <c r="F1082" s="902" t="s">
        <v>52</v>
      </c>
      <c r="G1082" s="528"/>
      <c r="H1082" s="546" t="s">
        <v>37</v>
      </c>
      <c r="I1082" s="711">
        <v>0</v>
      </c>
      <c r="J1082" s="896" t="str">
        <f t="shared" ref="J1082" si="4169">IFERROR((I1083/I1082),"-")</f>
        <v>-</v>
      </c>
      <c r="K1082" s="528"/>
      <c r="L1082" s="546" t="s">
        <v>37</v>
      </c>
      <c r="M1082" s="711">
        <f t="shared" si="3898"/>
        <v>0</v>
      </c>
      <c r="N1082" s="896" t="str">
        <f t="shared" ref="N1082" si="4170">IFERROR((M1083/M1082),"-")</f>
        <v>-</v>
      </c>
      <c r="O1082" s="528"/>
      <c r="P1082" s="547">
        <v>0</v>
      </c>
      <c r="Q1082" s="547">
        <v>0</v>
      </c>
      <c r="R1082" s="547">
        <v>0</v>
      </c>
      <c r="S1082" s="547">
        <v>0</v>
      </c>
      <c r="T1082" s="547">
        <v>0</v>
      </c>
      <c r="U1082" s="547">
        <v>0</v>
      </c>
      <c r="V1082" s="548">
        <v>0</v>
      </c>
      <c r="W1082" s="528"/>
      <c r="X1082" s="711">
        <f t="shared" si="3891"/>
        <v>0</v>
      </c>
      <c r="Y1082" s="896" t="str">
        <f t="shared" ref="Y1082" si="4171">IFERROR((X1083/X1082),"0")</f>
        <v>0</v>
      </c>
      <c r="Z1082" s="528"/>
      <c r="AA1082" s="898">
        <v>0</v>
      </c>
      <c r="AB1082" s="898">
        <v>0</v>
      </c>
      <c r="AC1082" s="903">
        <v>0</v>
      </c>
      <c r="AD1082" s="896" t="str">
        <f t="shared" ref="AD1082" si="4172">IFERROR((AC1082/AB1082),"-")</f>
        <v>-</v>
      </c>
      <c r="AE1082" s="2"/>
      <c r="AF1082" s="884">
        <v>19</v>
      </c>
      <c r="AG1082" s="884"/>
      <c r="AH1082" s="921">
        <v>0</v>
      </c>
      <c r="AI1082" s="884"/>
      <c r="AJ1082" s="884"/>
      <c r="AK1082" s="884">
        <f t="shared" ref="AK1082" si="4173">AF1082+AG1082+AH1082+AI1082+AJ1082+AC1082</f>
        <v>19</v>
      </c>
      <c r="AL1082" s="884">
        <v>0</v>
      </c>
      <c r="AM1082" s="878" t="str">
        <f t="shared" ref="AM1082" si="4174">IFERROR((AK1082/AL1082),"-")</f>
        <v>-</v>
      </c>
      <c r="AN1082" s="2"/>
      <c r="AO1082" s="884">
        <v>0</v>
      </c>
      <c r="AP1082" s="884">
        <f t="shared" ref="AP1082" si="4175">AO1082-AK1082</f>
        <v>-19</v>
      </c>
      <c r="AV1082" t="str">
        <f t="shared" si="3960"/>
        <v>Sobrelargura</v>
      </c>
      <c r="AW1082" s="4" t="str">
        <f t="shared" si="3951"/>
        <v>Montagem de BSCC 1,50x1,50  -  KM_144+588</v>
      </c>
    </row>
    <row r="1083" spans="1:50" ht="15.6" customHeight="1" outlineLevel="2">
      <c r="A1083" s="8" t="str">
        <f t="shared" ref="A1083" si="4176">A1082</f>
        <v>N</v>
      </c>
      <c r="B1083" s="150" t="s">
        <v>266</v>
      </c>
      <c r="C1083" s="150"/>
      <c r="D1083" s="120"/>
      <c r="E1083" s="893"/>
      <c r="F1083" s="902"/>
      <c r="G1083" s="528"/>
      <c r="H1083" s="549" t="s">
        <v>38</v>
      </c>
      <c r="I1083" s="711">
        <v>0</v>
      </c>
      <c r="J1083" s="897"/>
      <c r="K1083" s="528"/>
      <c r="L1083" s="549" t="s">
        <v>38</v>
      </c>
      <c r="M1083" s="711">
        <f t="shared" si="3898"/>
        <v>0</v>
      </c>
      <c r="N1083" s="897"/>
      <c r="O1083" s="528"/>
      <c r="P1083" s="548">
        <v>0</v>
      </c>
      <c r="Q1083" s="548">
        <v>0</v>
      </c>
      <c r="R1083" s="548">
        <v>0</v>
      </c>
      <c r="S1083" s="548">
        <v>0</v>
      </c>
      <c r="T1083" s="548">
        <v>0</v>
      </c>
      <c r="U1083" s="548">
        <v>0</v>
      </c>
      <c r="V1083" s="548">
        <v>0</v>
      </c>
      <c r="W1083" s="528"/>
      <c r="X1083" s="711">
        <f t="shared" si="3891"/>
        <v>0</v>
      </c>
      <c r="Y1083" s="897"/>
      <c r="Z1083" s="528"/>
      <c r="AA1083" s="899"/>
      <c r="AB1083" s="899"/>
      <c r="AC1083" s="904"/>
      <c r="AD1083" s="905"/>
      <c r="AE1083" s="2"/>
      <c r="AF1083" s="908"/>
      <c r="AG1083" s="908"/>
      <c r="AH1083" s="922"/>
      <c r="AI1083" s="908"/>
      <c r="AJ1083" s="908"/>
      <c r="AK1083" s="885"/>
      <c r="AL1083" s="885"/>
      <c r="AM1083" s="879"/>
      <c r="AN1083" s="2"/>
      <c r="AO1083" s="886"/>
      <c r="AP1083" s="886"/>
      <c r="AV1083" t="str">
        <f t="shared" si="3960"/>
        <v>Sobrelargura</v>
      </c>
      <c r="AW1083" s="4" t="str">
        <f t="shared" si="3951"/>
        <v>Montagem de BSCC 1,50x1,50  -  KM_144+588</v>
      </c>
    </row>
    <row r="1084" spans="1:50" ht="15.6" customHeight="1" outlineLevel="2">
      <c r="A1084" s="209">
        <v>0</v>
      </c>
      <c r="B1084" s="150"/>
      <c r="C1084" s="150">
        <v>0</v>
      </c>
      <c r="D1084" s="120"/>
      <c r="E1084" s="535"/>
      <c r="F1084" s="536"/>
      <c r="G1084" s="537"/>
      <c r="H1084" s="714"/>
      <c r="I1084" s="571"/>
      <c r="J1084" s="714"/>
      <c r="K1084" s="537"/>
      <c r="L1084" s="714"/>
      <c r="M1084" s="571"/>
      <c r="N1084" s="714"/>
      <c r="O1084" s="537"/>
      <c r="P1084" s="572"/>
      <c r="Q1084" s="572"/>
      <c r="R1084" s="572"/>
      <c r="S1084" s="572"/>
      <c r="T1084" s="572"/>
      <c r="U1084" s="572"/>
      <c r="V1084" s="572"/>
      <c r="W1084" s="537"/>
      <c r="X1084" s="573"/>
      <c r="Y1084" s="537"/>
      <c r="Z1084" s="537"/>
      <c r="AA1084" s="249"/>
      <c r="AB1084" s="249"/>
      <c r="AC1084" s="249"/>
      <c r="AD1084" s="537"/>
      <c r="AE1084" s="3"/>
      <c r="AF1084" s="35"/>
      <c r="AG1084" s="35"/>
      <c r="AH1084" s="35"/>
      <c r="AI1084" s="35"/>
      <c r="AJ1084" s="35"/>
      <c r="AK1084" s="35"/>
      <c r="AL1084" s="35"/>
      <c r="AM1084" s="3"/>
      <c r="AN1084" s="3"/>
      <c r="AO1084" s="35"/>
      <c r="AP1084" s="35"/>
      <c r="AV1084" t="str">
        <f t="shared" si="3960"/>
        <v>Sobrelargura</v>
      </c>
      <c r="AW1084" s="4" t="str">
        <f t="shared" si="3951"/>
        <v>Montagem de BSCC 1,50x1,50  -  KM_144+588</v>
      </c>
    </row>
    <row r="1085" spans="1:50" ht="15.6" customHeight="1" outlineLevel="2">
      <c r="A1085" s="209">
        <v>0</v>
      </c>
      <c r="B1085" s="150"/>
      <c r="C1085" s="150"/>
      <c r="D1085" s="120"/>
      <c r="E1085" s="913" t="s">
        <v>45</v>
      </c>
      <c r="F1085" s="923" t="s">
        <v>52</v>
      </c>
      <c r="G1085" s="528"/>
      <c r="H1085" s="542" t="s">
        <v>37</v>
      </c>
      <c r="I1085" s="543">
        <f>SUMIF($L1087:$L1118,$L1085,I1087:I1118)</f>
        <v>38.200000000000003</v>
      </c>
      <c r="J1085" s="860">
        <f>IFERROR((I1086/I1085),"-")</f>
        <v>0.13952879581151831</v>
      </c>
      <c r="K1085" s="528"/>
      <c r="L1085" s="542" t="s">
        <v>37</v>
      </c>
      <c r="M1085" s="543">
        <f>SUMIF($L1087:$L1118,$L1085,M1087:M1118)</f>
        <v>6</v>
      </c>
      <c r="N1085" s="860"/>
      <c r="O1085" s="528"/>
      <c r="P1085" s="543">
        <f t="shared" ref="P1085:U1085" si="4177">SUMIF($L1087:$L1118,$L1085,P1087:P1118)</f>
        <v>6</v>
      </c>
      <c r="Q1085" s="543">
        <f t="shared" si="4177"/>
        <v>6</v>
      </c>
      <c r="R1085" s="543">
        <f t="shared" si="4177"/>
        <v>5</v>
      </c>
      <c r="S1085" s="543">
        <f t="shared" si="4177"/>
        <v>5</v>
      </c>
      <c r="T1085" s="543">
        <f t="shared" si="4177"/>
        <v>5</v>
      </c>
      <c r="U1085" s="543">
        <f t="shared" si="4177"/>
        <v>5.2833333333333332</v>
      </c>
      <c r="V1085" s="543"/>
      <c r="W1085" s="528"/>
      <c r="X1085" s="543">
        <f t="shared" ref="X1085:X1122" si="4178">SUMIFS(P1085:V1085,$P$8:$V$8,"&gt;="&amp;$P$8,$P$8:$V$8,"&lt;="&amp;$N$8)</f>
        <v>12</v>
      </c>
      <c r="Y1085" s="860">
        <f>IFERROR((X1086/X1085),"-")</f>
        <v>8.3333333333333329E-2</v>
      </c>
      <c r="Z1085" s="528"/>
      <c r="AA1085" s="814">
        <f>SUM(AA1087:AA1118)</f>
        <v>29.77</v>
      </c>
      <c r="AB1085" s="814">
        <f>SUM(AB1087:AB1118)</f>
        <v>0</v>
      </c>
      <c r="AC1085" s="814">
        <f>SUM(AC1087:AC1118)</f>
        <v>6.33</v>
      </c>
      <c r="AD1085" s="900" t="str">
        <f t="shared" ref="AD1085" si="4179">IFERROR((AC1085/AB1085),"-")</f>
        <v>-</v>
      </c>
      <c r="AE1085" s="2"/>
      <c r="AF1085" s="888">
        <f t="shared" ref="AF1085:AH1085" si="4180">SUM(AF1087:AF1122)</f>
        <v>118</v>
      </c>
      <c r="AG1085" s="888">
        <f t="shared" si="4180"/>
        <v>0</v>
      </c>
      <c r="AH1085" s="888">
        <f t="shared" si="4180"/>
        <v>0</v>
      </c>
      <c r="AI1085" s="888">
        <f>SUM(AI1087:AI1122)</f>
        <v>38</v>
      </c>
      <c r="AJ1085" s="888">
        <f>SUM(AJ1087:AJ1122)</f>
        <v>86</v>
      </c>
      <c r="AK1085" s="888">
        <f t="shared" ref="AK1085:AL1085" si="4181">SUM(AK1087:AK1120)</f>
        <v>221.32999999999998</v>
      </c>
      <c r="AL1085" s="888">
        <f t="shared" si="4181"/>
        <v>182.97</v>
      </c>
      <c r="AM1085" s="743">
        <f>IFERROR((AK1085/AL1085),"-")</f>
        <v>1.2096518554954363</v>
      </c>
      <c r="AN1085" s="2"/>
      <c r="AO1085" s="888">
        <f t="shared" ref="AO1085:AP1085" si="4182">SUM(AO1087:AO1120)</f>
        <v>310.78999999999996</v>
      </c>
      <c r="AP1085" s="888">
        <f t="shared" si="4182"/>
        <v>89.460000000000008</v>
      </c>
      <c r="AV1085" t="str">
        <f t="shared" si="3960"/>
        <v>Sobrelargura</v>
      </c>
      <c r="AW1085" s="4" t="str">
        <f t="shared" si="3951"/>
        <v>Pacote 05 - Segmento 3.1 - 153+000 a 167+400</v>
      </c>
    </row>
    <row r="1086" spans="1:50" ht="15.6" customHeight="1" outlineLevel="2">
      <c r="A1086" s="209">
        <v>0</v>
      </c>
      <c r="B1086" s="150"/>
      <c r="C1086" s="150">
        <v>0</v>
      </c>
      <c r="D1086" s="120"/>
      <c r="E1086" s="913"/>
      <c r="F1086" s="923"/>
      <c r="G1086" s="528"/>
      <c r="H1086" s="544" t="s">
        <v>38</v>
      </c>
      <c r="I1086" s="543">
        <f>SUMIF($L1087:$L1118,$L1086,I1087:I1118)</f>
        <v>5.33</v>
      </c>
      <c r="J1086" s="861"/>
      <c r="K1086" s="528"/>
      <c r="L1086" s="544" t="s">
        <v>38</v>
      </c>
      <c r="M1086" s="543">
        <f>SUMIF($L1087:$L1118,$L1086,M1087:M1118)</f>
        <v>1</v>
      </c>
      <c r="N1086" s="861"/>
      <c r="O1086" s="528"/>
      <c r="P1086" s="543">
        <f t="shared" ref="P1086:U1086" si="4183">SUMIF($L1087:$L1118,$L1086,P1087:P1118)</f>
        <v>0</v>
      </c>
      <c r="Q1086" s="543">
        <f t="shared" si="4183"/>
        <v>1</v>
      </c>
      <c r="R1086" s="543">
        <f t="shared" si="4183"/>
        <v>0</v>
      </c>
      <c r="S1086" s="543">
        <f t="shared" si="4183"/>
        <v>0</v>
      </c>
      <c r="T1086" s="543">
        <f t="shared" si="4183"/>
        <v>0</v>
      </c>
      <c r="U1086" s="543">
        <f t="shared" si="4183"/>
        <v>0</v>
      </c>
      <c r="V1086" s="543"/>
      <c r="W1086" s="528"/>
      <c r="X1086" s="543">
        <f t="shared" si="4178"/>
        <v>1</v>
      </c>
      <c r="Y1086" s="861"/>
      <c r="Z1086" s="528"/>
      <c r="AA1086" s="815"/>
      <c r="AB1086" s="815"/>
      <c r="AC1086" s="815"/>
      <c r="AD1086" s="901"/>
      <c r="AE1086" s="2"/>
      <c r="AF1086" s="889"/>
      <c r="AG1086" s="889"/>
      <c r="AH1086" s="889"/>
      <c r="AI1086" s="889"/>
      <c r="AJ1086" s="889"/>
      <c r="AK1086" s="889"/>
      <c r="AL1086" s="889"/>
      <c r="AM1086" s="744"/>
      <c r="AN1086" s="2"/>
      <c r="AO1086" s="889"/>
      <c r="AP1086" s="889"/>
      <c r="AV1086" t="str">
        <f t="shared" si="3960"/>
        <v>Sobrelargura</v>
      </c>
      <c r="AW1086" s="4" t="str">
        <f t="shared" si="3951"/>
        <v>Pacote 05 - Segmento 3.1 - 153+000 a 167+400</v>
      </c>
    </row>
    <row r="1087" spans="1:50" ht="15.6" customHeight="1" outlineLevel="2">
      <c r="A1087" s="8" t="str">
        <f t="shared" ref="A1087" si="4184">IF(SUM(P1087:V1088)&gt;0,"S","N")</f>
        <v>N</v>
      </c>
      <c r="B1087" s="150">
        <v>1064491</v>
      </c>
      <c r="C1087" s="150" t="s">
        <v>1401</v>
      </c>
      <c r="D1087" s="120" t="s">
        <v>1402</v>
      </c>
      <c r="E1087" s="892" t="s">
        <v>1402</v>
      </c>
      <c r="F1087" s="902" t="s">
        <v>52</v>
      </c>
      <c r="G1087" s="528"/>
      <c r="H1087" s="546" t="s">
        <v>37</v>
      </c>
      <c r="I1087" s="711">
        <v>0</v>
      </c>
      <c r="J1087" s="896" t="str">
        <f t="shared" ref="J1087" si="4185">IFERROR((I1088/I1087),"-")</f>
        <v>-</v>
      </c>
      <c r="K1087" s="528"/>
      <c r="L1087" s="546" t="s">
        <v>37</v>
      </c>
      <c r="M1087" s="711">
        <f t="shared" ref="M1087:M1122" si="4186">_xlfn.XLOOKUP($N$8,$P$8:$V$8,$P1087:$V1087)</f>
        <v>0</v>
      </c>
      <c r="N1087" s="896" t="str">
        <f t="shared" ref="N1087" si="4187">IFERROR((M1088/M1087),"-")</f>
        <v>-</v>
      </c>
      <c r="O1087" s="528"/>
      <c r="P1087" s="547">
        <v>0</v>
      </c>
      <c r="Q1087" s="547">
        <v>0</v>
      </c>
      <c r="R1087" s="547">
        <v>0</v>
      </c>
      <c r="S1087" s="547">
        <v>0</v>
      </c>
      <c r="T1087" s="547">
        <v>0</v>
      </c>
      <c r="U1087" s="547">
        <v>0</v>
      </c>
      <c r="V1087" s="548">
        <v>0</v>
      </c>
      <c r="W1087" s="528"/>
      <c r="X1087" s="711">
        <f t="shared" si="4178"/>
        <v>0</v>
      </c>
      <c r="Y1087" s="896" t="str">
        <f t="shared" ref="Y1087" si="4188">IFERROR((X1088/X1087),"0")</f>
        <v>0</v>
      </c>
      <c r="Z1087" s="528"/>
      <c r="AA1087" s="898">
        <v>4.4000000000000004</v>
      </c>
      <c r="AB1087" s="898">
        <v>0</v>
      </c>
      <c r="AC1087" s="903">
        <v>0</v>
      </c>
      <c r="AD1087" s="896" t="str">
        <f t="shared" ref="AD1087" si="4189">IFERROR((AC1087/AB1087),"-")</f>
        <v>-</v>
      </c>
      <c r="AE1087" s="2"/>
      <c r="AF1087" s="884">
        <v>0</v>
      </c>
      <c r="AG1087" s="884"/>
      <c r="AH1087" s="921">
        <v>0</v>
      </c>
      <c r="AI1087" s="884"/>
      <c r="AJ1087" s="884"/>
      <c r="AK1087" s="884">
        <f t="shared" ref="AK1087" si="4190">AF1087+AG1087+AH1087+AI1087+AJ1087+AC1087</f>
        <v>0</v>
      </c>
      <c r="AL1087" s="884">
        <v>0</v>
      </c>
      <c r="AM1087" s="878" t="str">
        <f t="shared" ref="AM1087" si="4191">IFERROR((AK1087/AL1087),"-")</f>
        <v>-</v>
      </c>
      <c r="AN1087" s="2"/>
      <c r="AO1087" s="884">
        <v>10</v>
      </c>
      <c r="AP1087" s="884">
        <f t="shared" ref="AP1087" si="4192">AO1087-AK1087</f>
        <v>10</v>
      </c>
      <c r="AV1087" t="str">
        <f t="shared" si="3960"/>
        <v>Sobrelargura</v>
      </c>
      <c r="AW1087" s="4" t="str">
        <f t="shared" si="3951"/>
        <v>3.1-PG BSCC 3,0 x 3,0m - km 158+725 - Aterro A4 - Bueiro de Concreto</v>
      </c>
    </row>
    <row r="1088" spans="1:50" ht="15.6" customHeight="1" outlineLevel="2">
      <c r="A1088" s="8" t="str">
        <f t="shared" ref="A1088" si="4193">A1087</f>
        <v>N</v>
      </c>
      <c r="B1088" s="150"/>
      <c r="C1088" s="150"/>
      <c r="D1088" s="120"/>
      <c r="E1088" s="893"/>
      <c r="F1088" s="902"/>
      <c r="G1088" s="528"/>
      <c r="H1088" s="549" t="s">
        <v>38</v>
      </c>
      <c r="I1088" s="711">
        <v>0</v>
      </c>
      <c r="J1088" s="897"/>
      <c r="K1088" s="528"/>
      <c r="L1088" s="549" t="s">
        <v>38</v>
      </c>
      <c r="M1088" s="711">
        <f t="shared" si="4186"/>
        <v>0</v>
      </c>
      <c r="N1088" s="897"/>
      <c r="O1088" s="528"/>
      <c r="P1088" s="548">
        <v>0</v>
      </c>
      <c r="Q1088" s="548">
        <v>0</v>
      </c>
      <c r="R1088" s="548">
        <v>0</v>
      </c>
      <c r="S1088" s="548">
        <v>0</v>
      </c>
      <c r="T1088" s="548">
        <v>0</v>
      </c>
      <c r="U1088" s="548">
        <v>0</v>
      </c>
      <c r="V1088" s="548">
        <v>0</v>
      </c>
      <c r="W1088" s="528"/>
      <c r="X1088" s="711">
        <f t="shared" si="4178"/>
        <v>0</v>
      </c>
      <c r="Y1088" s="897"/>
      <c r="Z1088" s="528"/>
      <c r="AA1088" s="899"/>
      <c r="AB1088" s="899"/>
      <c r="AC1088" s="904"/>
      <c r="AD1088" s="905"/>
      <c r="AE1088" s="2"/>
      <c r="AF1088" s="885"/>
      <c r="AG1088" s="885"/>
      <c r="AH1088" s="922"/>
      <c r="AI1088" s="885"/>
      <c r="AJ1088" s="885"/>
      <c r="AK1088" s="885"/>
      <c r="AL1088" s="885"/>
      <c r="AM1088" s="879"/>
      <c r="AN1088" s="2"/>
      <c r="AO1088" s="886"/>
      <c r="AP1088" s="886"/>
      <c r="AV1088" t="str">
        <f t="shared" si="3960"/>
        <v>Sobrelargura</v>
      </c>
      <c r="AW1088" s="4" t="str">
        <f t="shared" si="3951"/>
        <v>3.1-PG BSCC 3,0 x 3,0m - km 158+725 - Aterro A4 - Bueiro de Concreto</v>
      </c>
    </row>
    <row r="1089" spans="1:50" ht="15.6" customHeight="1" outlineLevel="2">
      <c r="A1089" s="8" t="str">
        <f t="shared" ref="A1089" si="4194">IF(SUM(P1089:V1090)&gt;0,"S","N")</f>
        <v>S</v>
      </c>
      <c r="B1089" s="150">
        <v>1064497</v>
      </c>
      <c r="C1089" s="150" t="s">
        <v>1403</v>
      </c>
      <c r="D1089" s="120" t="s">
        <v>1404</v>
      </c>
      <c r="E1089" s="892" t="s">
        <v>1404</v>
      </c>
      <c r="F1089" s="902" t="s">
        <v>52</v>
      </c>
      <c r="G1089" s="528"/>
      <c r="H1089" s="546" t="s">
        <v>37</v>
      </c>
      <c r="I1089" s="711">
        <v>37.200000000000003</v>
      </c>
      <c r="J1089" s="896">
        <f t="shared" ref="J1089" si="4195">IFERROR((I1090/I1089),"-")</f>
        <v>0.14327956989247312</v>
      </c>
      <c r="K1089" s="528"/>
      <c r="L1089" s="546" t="s">
        <v>37</v>
      </c>
      <c r="M1089" s="711">
        <f t="shared" si="4186"/>
        <v>6</v>
      </c>
      <c r="N1089" s="896">
        <f t="shared" ref="N1089" si="4196">IFERROR((M1090/M1089),"-")</f>
        <v>0.16666666666666666</v>
      </c>
      <c r="O1089" s="528"/>
      <c r="P1089" s="547">
        <v>6</v>
      </c>
      <c r="Q1089" s="547">
        <v>6</v>
      </c>
      <c r="R1089" s="547">
        <v>5</v>
      </c>
      <c r="S1089" s="547">
        <v>5</v>
      </c>
      <c r="T1089" s="547">
        <v>5</v>
      </c>
      <c r="U1089" s="547">
        <v>5.2833333333333332</v>
      </c>
      <c r="V1089" s="548">
        <v>0</v>
      </c>
      <c r="W1089" s="528"/>
      <c r="X1089" s="711">
        <f t="shared" si="4178"/>
        <v>12</v>
      </c>
      <c r="Y1089" s="896">
        <f t="shared" ref="Y1089" si="4197">IFERROR((X1090/X1089),"0")</f>
        <v>8.3333333333333329E-2</v>
      </c>
      <c r="Z1089" s="528"/>
      <c r="AA1089" s="898">
        <v>25.06</v>
      </c>
      <c r="AB1089" s="898">
        <v>0</v>
      </c>
      <c r="AC1089" s="903">
        <v>6.33</v>
      </c>
      <c r="AD1089" s="896" t="str">
        <f t="shared" ref="AD1089" si="4198">IFERROR((AC1089/AB1089),"-")</f>
        <v>-</v>
      </c>
      <c r="AE1089" s="2"/>
      <c r="AF1089" s="884">
        <v>0</v>
      </c>
      <c r="AG1089" s="884"/>
      <c r="AH1089" s="921">
        <v>0</v>
      </c>
      <c r="AI1089" s="884"/>
      <c r="AJ1089" s="884"/>
      <c r="AK1089" s="884">
        <f t="shared" ref="AK1089" si="4199">AF1089+AG1089+AH1089+AI1089+AJ1089+AC1089</f>
        <v>6.33</v>
      </c>
      <c r="AL1089" s="884">
        <v>12.000000000000007</v>
      </c>
      <c r="AM1089" s="878">
        <f t="shared" ref="AM1089" si="4200">IFERROR((AK1089/AL1089),"-")</f>
        <v>0.52749999999999975</v>
      </c>
      <c r="AN1089" s="2"/>
      <c r="AO1089" s="884">
        <v>37.06</v>
      </c>
      <c r="AP1089" s="884">
        <f t="shared" ref="AP1089" si="4201">AO1089-AK1089</f>
        <v>30.730000000000004</v>
      </c>
      <c r="AV1089" t="str">
        <f t="shared" si="3960"/>
        <v>Sobrelargura</v>
      </c>
      <c r="AW1089" s="4" t="str">
        <f t="shared" si="3951"/>
        <v>3.1-BTCC 3,00x3,00 - Km 158+964 - Aterro A4 - Bueiro de Concreto</v>
      </c>
    </row>
    <row r="1090" spans="1:50" ht="15.6" customHeight="1" outlineLevel="2">
      <c r="A1090" s="8" t="str">
        <f t="shared" ref="A1090" si="4202">A1089</f>
        <v>S</v>
      </c>
      <c r="B1090" s="150"/>
      <c r="C1090" s="150"/>
      <c r="D1090" s="120"/>
      <c r="E1090" s="893"/>
      <c r="F1090" s="902"/>
      <c r="G1090" s="528"/>
      <c r="H1090" s="549" t="s">
        <v>38</v>
      </c>
      <c r="I1090" s="711">
        <v>5.33</v>
      </c>
      <c r="J1090" s="897"/>
      <c r="K1090" s="528"/>
      <c r="L1090" s="549" t="s">
        <v>38</v>
      </c>
      <c r="M1090" s="711">
        <f t="shared" si="4186"/>
        <v>1</v>
      </c>
      <c r="N1090" s="897"/>
      <c r="O1090" s="528"/>
      <c r="P1090" s="548">
        <v>0</v>
      </c>
      <c r="Q1090" s="548">
        <v>1</v>
      </c>
      <c r="R1090" s="548">
        <v>0</v>
      </c>
      <c r="S1090" s="548"/>
      <c r="T1090" s="548">
        <v>0</v>
      </c>
      <c r="U1090" s="548">
        <v>0</v>
      </c>
      <c r="V1090" s="548">
        <v>0</v>
      </c>
      <c r="W1090" s="528"/>
      <c r="X1090" s="711">
        <f t="shared" si="4178"/>
        <v>1</v>
      </c>
      <c r="Y1090" s="897"/>
      <c r="Z1090" s="528"/>
      <c r="AA1090" s="899"/>
      <c r="AB1090" s="899"/>
      <c r="AC1090" s="904"/>
      <c r="AD1090" s="905"/>
      <c r="AE1090" s="2"/>
      <c r="AF1090" s="885"/>
      <c r="AG1090" s="885"/>
      <c r="AH1090" s="922"/>
      <c r="AI1090" s="885"/>
      <c r="AJ1090" s="885"/>
      <c r="AK1090" s="885"/>
      <c r="AL1090" s="885"/>
      <c r="AM1090" s="879"/>
      <c r="AN1090" s="2"/>
      <c r="AO1090" s="886"/>
      <c r="AP1090" s="886"/>
      <c r="AV1090" t="str">
        <f t="shared" si="3960"/>
        <v>Sobrelargura</v>
      </c>
      <c r="AW1090" s="4" t="str">
        <f t="shared" si="3951"/>
        <v>3.1-BTCC 3,00x3,00 - Km 158+964 - Aterro A4 - Bueiro de Concreto</v>
      </c>
    </row>
    <row r="1091" spans="1:50" ht="15.6" customHeight="1" outlineLevel="2">
      <c r="A1091" s="8" t="str">
        <f t="shared" ref="A1091" si="4203">IF(SUM(P1091:V1092)&gt;0,"S","N")</f>
        <v>N</v>
      </c>
      <c r="B1091" s="150">
        <v>1064504</v>
      </c>
      <c r="C1091" s="150" t="s">
        <v>1405</v>
      </c>
      <c r="D1091" s="120" t="s">
        <v>1406</v>
      </c>
      <c r="E1091" s="892" t="s">
        <v>1406</v>
      </c>
      <c r="F1091" s="902" t="s">
        <v>52</v>
      </c>
      <c r="G1091" s="528"/>
      <c r="H1091" s="546" t="s">
        <v>37</v>
      </c>
      <c r="I1091" s="711">
        <v>1</v>
      </c>
      <c r="J1091" s="896">
        <f t="shared" ref="J1091" si="4204">IFERROR((I1092/I1091),"-")</f>
        <v>0</v>
      </c>
      <c r="K1091" s="528"/>
      <c r="L1091" s="546" t="s">
        <v>37</v>
      </c>
      <c r="M1091" s="711">
        <f t="shared" si="4186"/>
        <v>0</v>
      </c>
      <c r="N1091" s="896" t="str">
        <f t="shared" ref="N1091" si="4205">IFERROR((M1092/M1091),"-")</f>
        <v>-</v>
      </c>
      <c r="O1091" s="528"/>
      <c r="P1091" s="547">
        <v>0</v>
      </c>
      <c r="Q1091" s="547">
        <v>0</v>
      </c>
      <c r="R1091" s="547">
        <v>0</v>
      </c>
      <c r="S1091" s="547">
        <v>0</v>
      </c>
      <c r="T1091" s="547">
        <v>0</v>
      </c>
      <c r="U1091" s="547">
        <v>0</v>
      </c>
      <c r="V1091" s="548">
        <v>0</v>
      </c>
      <c r="W1091" s="528"/>
      <c r="X1091" s="711">
        <f t="shared" si="4178"/>
        <v>0</v>
      </c>
      <c r="Y1091" s="896" t="str">
        <f t="shared" ref="Y1091" si="4206">IFERROR((X1092/X1091),"0")</f>
        <v>0</v>
      </c>
      <c r="Z1091" s="528"/>
      <c r="AA1091" s="898">
        <v>0</v>
      </c>
      <c r="AB1091" s="898">
        <v>0</v>
      </c>
      <c r="AC1091" s="903">
        <v>0</v>
      </c>
      <c r="AD1091" s="896" t="str">
        <f t="shared" ref="AD1091" si="4207">IFERROR((AC1091/AB1091),"-")</f>
        <v>-</v>
      </c>
      <c r="AE1091" s="2"/>
      <c r="AF1091" s="884">
        <v>0</v>
      </c>
      <c r="AG1091" s="884"/>
      <c r="AH1091" s="921">
        <v>0</v>
      </c>
      <c r="AI1091" s="884"/>
      <c r="AJ1091" s="884"/>
      <c r="AK1091" s="884">
        <f t="shared" ref="AK1091" si="4208">AF1091+AG1091+AH1091+AI1091+AJ1091+AC1091</f>
        <v>0</v>
      </c>
      <c r="AL1091" s="884">
        <v>0</v>
      </c>
      <c r="AM1091" s="878" t="str">
        <f t="shared" ref="AM1091" si="4209">IFERROR((AK1091/AL1091),"-")</f>
        <v>-</v>
      </c>
      <c r="AN1091" s="2"/>
      <c r="AO1091" s="884">
        <v>26.02</v>
      </c>
      <c r="AP1091" s="884">
        <f t="shared" ref="AP1091" si="4210">AO1091-AK1091</f>
        <v>26.02</v>
      </c>
      <c r="AV1091" t="str">
        <f t="shared" si="3960"/>
        <v>Sobrelargura</v>
      </c>
      <c r="AW1091" s="4" t="str">
        <f t="shared" si="3951"/>
        <v>3.1-BSCC 3,0 x 250m - Km 159+871 - Aterro A5 - Bueiro de Concreto</v>
      </c>
    </row>
    <row r="1092" spans="1:50" ht="15.6" customHeight="1" outlineLevel="2">
      <c r="A1092" s="8" t="str">
        <f t="shared" ref="A1092" si="4211">A1091</f>
        <v>N</v>
      </c>
      <c r="B1092" s="150"/>
      <c r="C1092" s="150"/>
      <c r="D1092" s="120"/>
      <c r="E1092" s="893"/>
      <c r="F1092" s="902"/>
      <c r="G1092" s="528"/>
      <c r="H1092" s="549" t="s">
        <v>38</v>
      </c>
      <c r="I1092" s="711">
        <v>0</v>
      </c>
      <c r="J1092" s="897"/>
      <c r="K1092" s="528"/>
      <c r="L1092" s="549" t="s">
        <v>38</v>
      </c>
      <c r="M1092" s="711">
        <f t="shared" si="4186"/>
        <v>0</v>
      </c>
      <c r="N1092" s="897"/>
      <c r="O1092" s="528"/>
      <c r="P1092" s="548">
        <v>0</v>
      </c>
      <c r="Q1092" s="548">
        <v>0</v>
      </c>
      <c r="R1092" s="548">
        <v>0</v>
      </c>
      <c r="S1092" s="548">
        <v>0</v>
      </c>
      <c r="T1092" s="548">
        <v>0</v>
      </c>
      <c r="U1092" s="548">
        <v>0</v>
      </c>
      <c r="V1092" s="548">
        <v>0</v>
      </c>
      <c r="W1092" s="528"/>
      <c r="X1092" s="711">
        <f t="shared" si="4178"/>
        <v>0</v>
      </c>
      <c r="Y1092" s="897"/>
      <c r="Z1092" s="528"/>
      <c r="AA1092" s="899"/>
      <c r="AB1092" s="899"/>
      <c r="AC1092" s="904"/>
      <c r="AD1092" s="905"/>
      <c r="AE1092" s="2"/>
      <c r="AF1092" s="885"/>
      <c r="AG1092" s="885"/>
      <c r="AH1092" s="922"/>
      <c r="AI1092" s="885"/>
      <c r="AJ1092" s="885"/>
      <c r="AK1092" s="885"/>
      <c r="AL1092" s="885"/>
      <c r="AM1092" s="879"/>
      <c r="AN1092" s="2"/>
      <c r="AO1092" s="886"/>
      <c r="AP1092" s="886"/>
      <c r="AV1092" t="str">
        <f t="shared" si="3960"/>
        <v>Sobrelargura</v>
      </c>
      <c r="AW1092" s="4" t="str">
        <f t="shared" si="3951"/>
        <v>3.1-BSCC 3,0 x 250m - Km 159+871 - Aterro A5 - Bueiro de Concreto</v>
      </c>
    </row>
    <row r="1093" spans="1:50" ht="15.6" customHeight="1" outlineLevel="2">
      <c r="A1093" s="8" t="str">
        <f t="shared" ref="A1093" si="4212">IF(SUM(P1093:V1094)&gt;0,"S","N")</f>
        <v>N</v>
      </c>
      <c r="B1093" s="150">
        <v>1064510</v>
      </c>
      <c r="C1093" s="150" t="s">
        <v>1407</v>
      </c>
      <c r="D1093" s="120" t="s">
        <v>1408</v>
      </c>
      <c r="E1093" s="892" t="s">
        <v>1408</v>
      </c>
      <c r="F1093" s="902" t="s">
        <v>52</v>
      </c>
      <c r="G1093" s="528"/>
      <c r="H1093" s="546" t="s">
        <v>37</v>
      </c>
      <c r="I1093" s="711">
        <v>0</v>
      </c>
      <c r="J1093" s="896" t="str">
        <f t="shared" ref="J1093" si="4213">IFERROR((I1094/I1093),"-")</f>
        <v>-</v>
      </c>
      <c r="K1093" s="528"/>
      <c r="L1093" s="546" t="s">
        <v>37</v>
      </c>
      <c r="M1093" s="711">
        <f t="shared" si="4186"/>
        <v>0</v>
      </c>
      <c r="N1093" s="896" t="str">
        <f t="shared" ref="N1093" si="4214">IFERROR((M1094/M1093),"-")</f>
        <v>-</v>
      </c>
      <c r="O1093" s="528"/>
      <c r="P1093" s="547">
        <v>0</v>
      </c>
      <c r="Q1093" s="547">
        <v>0</v>
      </c>
      <c r="R1093" s="547">
        <v>0</v>
      </c>
      <c r="S1093" s="547">
        <v>0</v>
      </c>
      <c r="T1093" s="547">
        <v>0</v>
      </c>
      <c r="U1093" s="547">
        <v>0</v>
      </c>
      <c r="V1093" s="548">
        <v>0</v>
      </c>
      <c r="W1093" s="528"/>
      <c r="X1093" s="711">
        <f t="shared" si="4178"/>
        <v>0</v>
      </c>
      <c r="Y1093" s="896" t="str">
        <f t="shared" ref="Y1093" si="4215">IFERROR((X1094/X1093),"0")</f>
        <v>0</v>
      </c>
      <c r="Z1093" s="528"/>
      <c r="AA1093" s="898">
        <v>0</v>
      </c>
      <c r="AB1093" s="898">
        <v>0</v>
      </c>
      <c r="AC1093" s="903">
        <v>0</v>
      </c>
      <c r="AD1093" s="896" t="str">
        <f t="shared" ref="AD1093" si="4216">IFERROR((AC1093/AB1093),"-")</f>
        <v>-</v>
      </c>
      <c r="AE1093" s="2"/>
      <c r="AF1093" s="884">
        <v>0</v>
      </c>
      <c r="AG1093" s="884"/>
      <c r="AH1093" s="921">
        <v>0</v>
      </c>
      <c r="AI1093" s="884">
        <v>10</v>
      </c>
      <c r="AJ1093" s="884"/>
      <c r="AK1093" s="884">
        <f t="shared" ref="AK1093" si="4217">AF1093+AG1093+AH1093+AI1093+AJ1093+AC1093</f>
        <v>10</v>
      </c>
      <c r="AL1093" s="884">
        <v>10</v>
      </c>
      <c r="AM1093" s="878">
        <f t="shared" ref="AM1093" si="4218">IFERROR((AK1093/AL1093),"-")</f>
        <v>1</v>
      </c>
      <c r="AN1093" s="2"/>
      <c r="AO1093" s="884">
        <v>10</v>
      </c>
      <c r="AP1093" s="884">
        <f t="shared" ref="AP1093" si="4219">AO1093-AK1093</f>
        <v>0</v>
      </c>
      <c r="AV1093" t="str">
        <f t="shared" si="3960"/>
        <v>Sobrelargura</v>
      </c>
      <c r="AW1093" s="4" t="str">
        <f t="shared" si="3951"/>
        <v>3.1-PG BSCC 2,50 x 2,50 m - Km 161+705 - Aterro A6 - Bueiro de Concreto</v>
      </c>
    </row>
    <row r="1094" spans="1:50" ht="15.6" customHeight="1" outlineLevel="2">
      <c r="A1094" s="8" t="str">
        <f t="shared" ref="A1094" si="4220">A1093</f>
        <v>N</v>
      </c>
      <c r="B1094" s="150"/>
      <c r="C1094" s="150"/>
      <c r="D1094" s="120"/>
      <c r="E1094" s="893"/>
      <c r="F1094" s="902"/>
      <c r="G1094" s="528"/>
      <c r="H1094" s="549" t="s">
        <v>38</v>
      </c>
      <c r="I1094" s="711">
        <v>0</v>
      </c>
      <c r="J1094" s="897"/>
      <c r="K1094" s="528"/>
      <c r="L1094" s="549" t="s">
        <v>38</v>
      </c>
      <c r="M1094" s="711">
        <f t="shared" si="4186"/>
        <v>0</v>
      </c>
      <c r="N1094" s="897"/>
      <c r="O1094" s="528"/>
      <c r="P1094" s="548">
        <v>0</v>
      </c>
      <c r="Q1094" s="548">
        <v>0</v>
      </c>
      <c r="R1094" s="548">
        <v>0</v>
      </c>
      <c r="S1094" s="548">
        <v>0</v>
      </c>
      <c r="T1094" s="548">
        <v>0</v>
      </c>
      <c r="U1094" s="548">
        <v>0</v>
      </c>
      <c r="V1094" s="548">
        <v>0</v>
      </c>
      <c r="W1094" s="528"/>
      <c r="X1094" s="711">
        <f t="shared" si="4178"/>
        <v>0</v>
      </c>
      <c r="Y1094" s="897"/>
      <c r="Z1094" s="528"/>
      <c r="AA1094" s="899"/>
      <c r="AB1094" s="899"/>
      <c r="AC1094" s="904"/>
      <c r="AD1094" s="905"/>
      <c r="AE1094" s="2"/>
      <c r="AF1094" s="885"/>
      <c r="AG1094" s="885"/>
      <c r="AH1094" s="922"/>
      <c r="AI1094" s="885"/>
      <c r="AJ1094" s="885"/>
      <c r="AK1094" s="885"/>
      <c r="AL1094" s="885"/>
      <c r="AM1094" s="879"/>
      <c r="AN1094" s="2"/>
      <c r="AO1094" s="886"/>
      <c r="AP1094" s="886"/>
      <c r="AV1094" t="str">
        <f t="shared" si="3960"/>
        <v>Sobrelargura</v>
      </c>
      <c r="AW1094" s="4" t="str">
        <f t="shared" si="3951"/>
        <v>3.1-PG BSCC 2,50 x 2,50 m - Km 161+705 - Aterro A6 - Bueiro de Concreto</v>
      </c>
    </row>
    <row r="1095" spans="1:50" ht="15.6" customHeight="1" outlineLevel="2">
      <c r="A1095" s="8" t="str">
        <f t="shared" ref="A1095" si="4221">IF(SUM(P1095:V1096)&gt;0,"S","N")</f>
        <v>N</v>
      </c>
      <c r="B1095" s="150">
        <v>1064515</v>
      </c>
      <c r="C1095" s="150" t="s">
        <v>1409</v>
      </c>
      <c r="D1095" s="120" t="s">
        <v>1410</v>
      </c>
      <c r="E1095" s="892" t="s">
        <v>1410</v>
      </c>
      <c r="F1095" s="902" t="s">
        <v>52</v>
      </c>
      <c r="G1095" s="528"/>
      <c r="H1095" s="546" t="s">
        <v>37</v>
      </c>
      <c r="I1095" s="711">
        <v>0</v>
      </c>
      <c r="J1095" s="896" t="str">
        <f t="shared" ref="J1095" si="4222">IFERROR((I1096/I1095),"-")</f>
        <v>-</v>
      </c>
      <c r="K1095" s="528"/>
      <c r="L1095" s="546" t="s">
        <v>37</v>
      </c>
      <c r="M1095" s="711">
        <f t="shared" si="4186"/>
        <v>0</v>
      </c>
      <c r="N1095" s="896" t="str">
        <f t="shared" ref="N1095" si="4223">IFERROR((M1096/M1095),"-")</f>
        <v>-</v>
      </c>
      <c r="O1095" s="528"/>
      <c r="P1095" s="547">
        <v>0</v>
      </c>
      <c r="Q1095" s="547">
        <v>0</v>
      </c>
      <c r="R1095" s="547">
        <v>0</v>
      </c>
      <c r="S1095" s="547">
        <v>0</v>
      </c>
      <c r="T1095" s="547">
        <v>0</v>
      </c>
      <c r="U1095" s="547">
        <v>0</v>
      </c>
      <c r="V1095" s="548">
        <v>0</v>
      </c>
      <c r="W1095" s="528"/>
      <c r="X1095" s="711">
        <f t="shared" si="4178"/>
        <v>0</v>
      </c>
      <c r="Y1095" s="896" t="str">
        <f t="shared" ref="Y1095" si="4224">IFERROR((X1096/X1095),"0")</f>
        <v>0</v>
      </c>
      <c r="Z1095" s="528"/>
      <c r="AA1095" s="898">
        <v>0</v>
      </c>
      <c r="AB1095" s="898">
        <v>0</v>
      </c>
      <c r="AC1095" s="903">
        <v>0</v>
      </c>
      <c r="AD1095" s="896" t="str">
        <f t="shared" ref="AD1095" si="4225">IFERROR((AC1095/AB1095),"-")</f>
        <v>-</v>
      </c>
      <c r="AE1095" s="2"/>
      <c r="AF1095" s="884">
        <v>0</v>
      </c>
      <c r="AG1095" s="884"/>
      <c r="AH1095" s="921">
        <v>0</v>
      </c>
      <c r="AI1095" s="884"/>
      <c r="AJ1095" s="884"/>
      <c r="AK1095" s="884">
        <f t="shared" ref="AK1095" si="4226">AF1095+AG1095+AH1095+AI1095+AJ1095+AC1095</f>
        <v>0</v>
      </c>
      <c r="AL1095" s="884">
        <v>0</v>
      </c>
      <c r="AM1095" s="878" t="str">
        <f t="shared" ref="AM1095" si="4227">IFERROR((AK1095/AL1095),"-")</f>
        <v>-</v>
      </c>
      <c r="AN1095" s="2"/>
      <c r="AO1095" s="884">
        <v>27.71</v>
      </c>
      <c r="AP1095" s="884">
        <f t="shared" ref="AP1095" si="4228">AO1095-AK1095</f>
        <v>27.71</v>
      </c>
      <c r="AV1095" s="4" t="str">
        <f t="shared" si="3960"/>
        <v>Sobrelargura</v>
      </c>
      <c r="AW1095" s="4" t="str">
        <f t="shared" si="3951"/>
        <v>3.1-BSCC 3,50 x 3,50m - Km 161+789 - Aterro A6 - Bueiro de Concreto</v>
      </c>
      <c r="AX1095" s="4"/>
    </row>
    <row r="1096" spans="1:50" ht="15.6" customHeight="1" outlineLevel="2">
      <c r="A1096" s="8" t="str">
        <f t="shared" ref="A1096" si="4229">A1095</f>
        <v>N</v>
      </c>
      <c r="B1096" s="150"/>
      <c r="C1096" s="150"/>
      <c r="D1096" s="120"/>
      <c r="E1096" s="893"/>
      <c r="F1096" s="902"/>
      <c r="G1096" s="528"/>
      <c r="H1096" s="549" t="s">
        <v>38</v>
      </c>
      <c r="I1096" s="711">
        <v>0</v>
      </c>
      <c r="J1096" s="897"/>
      <c r="K1096" s="528"/>
      <c r="L1096" s="549" t="s">
        <v>38</v>
      </c>
      <c r="M1096" s="711">
        <f t="shared" si="4186"/>
        <v>0</v>
      </c>
      <c r="N1096" s="897"/>
      <c r="O1096" s="528"/>
      <c r="P1096" s="548">
        <v>0</v>
      </c>
      <c r="Q1096" s="548">
        <v>0</v>
      </c>
      <c r="R1096" s="548">
        <v>0</v>
      </c>
      <c r="S1096" s="548">
        <v>0</v>
      </c>
      <c r="T1096" s="548">
        <v>0</v>
      </c>
      <c r="U1096" s="548">
        <v>0</v>
      </c>
      <c r="V1096" s="548">
        <v>0</v>
      </c>
      <c r="W1096" s="528"/>
      <c r="X1096" s="711">
        <f t="shared" si="4178"/>
        <v>0</v>
      </c>
      <c r="Y1096" s="897"/>
      <c r="Z1096" s="528"/>
      <c r="AA1096" s="899"/>
      <c r="AB1096" s="899"/>
      <c r="AC1096" s="904"/>
      <c r="AD1096" s="905"/>
      <c r="AE1096" s="2"/>
      <c r="AF1096" s="885"/>
      <c r="AG1096" s="885"/>
      <c r="AH1096" s="922"/>
      <c r="AI1096" s="885"/>
      <c r="AJ1096" s="885"/>
      <c r="AK1096" s="885"/>
      <c r="AL1096" s="885"/>
      <c r="AM1096" s="879"/>
      <c r="AN1096" s="2"/>
      <c r="AO1096" s="886"/>
      <c r="AP1096" s="886"/>
      <c r="AV1096" t="str">
        <f t="shared" si="3960"/>
        <v>Sobrelargura</v>
      </c>
      <c r="AW1096" s="4" t="str">
        <f t="shared" si="3951"/>
        <v>3.1-BSCC 3,50 x 3,50m - Km 161+789 - Aterro A6 - Bueiro de Concreto</v>
      </c>
    </row>
    <row r="1097" spans="1:50" ht="15.6" customHeight="1" outlineLevel="2">
      <c r="A1097" s="8" t="str">
        <f t="shared" ref="A1097" si="4230">IF(SUM(P1097:V1098)&gt;0,"S","N")</f>
        <v>N</v>
      </c>
      <c r="B1097" s="150">
        <v>1064522</v>
      </c>
      <c r="C1097" s="150" t="s">
        <v>1411</v>
      </c>
      <c r="D1097" s="120" t="s">
        <v>1412</v>
      </c>
      <c r="E1097" s="892" t="s">
        <v>1412</v>
      </c>
      <c r="F1097" s="902" t="s">
        <v>52</v>
      </c>
      <c r="G1097" s="528"/>
      <c r="H1097" s="546" t="s">
        <v>37</v>
      </c>
      <c r="I1097" s="711">
        <v>0</v>
      </c>
      <c r="J1097" s="896" t="str">
        <f t="shared" ref="J1097" si="4231">IFERROR((I1098/I1097),"-")</f>
        <v>-</v>
      </c>
      <c r="K1097" s="528"/>
      <c r="L1097" s="546" t="s">
        <v>37</v>
      </c>
      <c r="M1097" s="711">
        <f t="shared" si="4186"/>
        <v>0</v>
      </c>
      <c r="N1097" s="896" t="str">
        <f t="shared" ref="N1097" si="4232">IFERROR((M1098/M1097),"-")</f>
        <v>-</v>
      </c>
      <c r="O1097" s="528"/>
      <c r="P1097" s="547">
        <v>0</v>
      </c>
      <c r="Q1097" s="547">
        <v>0</v>
      </c>
      <c r="R1097" s="547">
        <v>0</v>
      </c>
      <c r="S1097" s="547">
        <v>0</v>
      </c>
      <c r="T1097" s="547">
        <v>0</v>
      </c>
      <c r="U1097" s="547">
        <v>0</v>
      </c>
      <c r="V1097" s="548">
        <v>0</v>
      </c>
      <c r="W1097" s="528"/>
      <c r="X1097" s="711">
        <f t="shared" si="4178"/>
        <v>0</v>
      </c>
      <c r="Y1097" s="896" t="str">
        <f t="shared" ref="Y1097" si="4233">IFERROR((X1098/X1097),"0")</f>
        <v>0</v>
      </c>
      <c r="Z1097" s="528"/>
      <c r="AA1097" s="898">
        <v>0</v>
      </c>
      <c r="AB1097" s="898">
        <v>0</v>
      </c>
      <c r="AC1097" s="903">
        <v>0</v>
      </c>
      <c r="AD1097" s="896" t="str">
        <f t="shared" ref="AD1097" si="4234">IFERROR((AC1097/AB1097),"-")</f>
        <v>-</v>
      </c>
      <c r="AE1097" s="2"/>
      <c r="AF1097" s="884">
        <v>0</v>
      </c>
      <c r="AG1097" s="884"/>
      <c r="AH1097" s="921">
        <v>0</v>
      </c>
      <c r="AI1097" s="884"/>
      <c r="AJ1097" s="884">
        <v>37</v>
      </c>
      <c r="AK1097" s="884">
        <f t="shared" ref="AK1097" si="4235">AF1097+AG1097+AH1097+AI1097+AJ1097+AC1097</f>
        <v>37</v>
      </c>
      <c r="AL1097" s="884">
        <v>36.999999999999993</v>
      </c>
      <c r="AM1097" s="878">
        <f t="shared" ref="AM1097" si="4236">IFERROR((AK1097/AL1097),"-")</f>
        <v>1.0000000000000002</v>
      </c>
      <c r="AN1097" s="2"/>
      <c r="AO1097" s="884">
        <v>37</v>
      </c>
      <c r="AP1097" s="884">
        <f t="shared" ref="AP1097" si="4237">AO1097-AK1097</f>
        <v>0</v>
      </c>
      <c r="AV1097" t="str">
        <f t="shared" si="3960"/>
        <v>Sobrelargura</v>
      </c>
      <c r="AW1097" s="4" t="str">
        <f t="shared" ref="AW1097:AW1160" si="4238">IF(E1097&lt;&gt;"",E1097,AW1096)</f>
        <v>3.1-BSCC 3,50 x 350m - Km 163+518 - Aterro A7 - Bueiro de Concreto</v>
      </c>
    </row>
    <row r="1098" spans="1:50" ht="15.6" customHeight="1" outlineLevel="2">
      <c r="A1098" s="8" t="str">
        <f t="shared" ref="A1098" si="4239">A1097</f>
        <v>N</v>
      </c>
      <c r="B1098" s="150"/>
      <c r="C1098" s="150"/>
      <c r="D1098" s="120"/>
      <c r="E1098" s="893"/>
      <c r="F1098" s="902"/>
      <c r="G1098" s="528"/>
      <c r="H1098" s="549" t="s">
        <v>38</v>
      </c>
      <c r="I1098" s="711">
        <v>0</v>
      </c>
      <c r="J1098" s="897"/>
      <c r="K1098" s="528"/>
      <c r="L1098" s="549" t="s">
        <v>38</v>
      </c>
      <c r="M1098" s="711">
        <f t="shared" si="4186"/>
        <v>0</v>
      </c>
      <c r="N1098" s="897"/>
      <c r="O1098" s="528"/>
      <c r="P1098" s="548">
        <v>0</v>
      </c>
      <c r="Q1098" s="548">
        <v>0</v>
      </c>
      <c r="R1098" s="548">
        <v>0</v>
      </c>
      <c r="S1098" s="548">
        <v>0</v>
      </c>
      <c r="T1098" s="548">
        <v>0</v>
      </c>
      <c r="U1098" s="548">
        <v>0</v>
      </c>
      <c r="V1098" s="548">
        <v>0</v>
      </c>
      <c r="W1098" s="528"/>
      <c r="X1098" s="711">
        <f t="shared" si="4178"/>
        <v>0</v>
      </c>
      <c r="Y1098" s="897"/>
      <c r="Z1098" s="528"/>
      <c r="AA1098" s="899"/>
      <c r="AB1098" s="899"/>
      <c r="AC1098" s="904"/>
      <c r="AD1098" s="905"/>
      <c r="AE1098" s="2"/>
      <c r="AF1098" s="885"/>
      <c r="AG1098" s="885"/>
      <c r="AH1098" s="922"/>
      <c r="AI1098" s="885"/>
      <c r="AJ1098" s="885"/>
      <c r="AK1098" s="885"/>
      <c r="AL1098" s="885"/>
      <c r="AM1098" s="879"/>
      <c r="AN1098" s="2"/>
      <c r="AO1098" s="886"/>
      <c r="AP1098" s="886"/>
      <c r="AV1098" s="4" t="str">
        <f t="shared" ref="AV1098:AV1161" si="4240">IF(AX1098="Y",LEFT(E1098,20),IF(AX1098="x",E1098,AV1097))</f>
        <v>Sobrelargura</v>
      </c>
      <c r="AW1098" s="4" t="str">
        <f t="shared" si="4238"/>
        <v>3.1-BSCC 3,50 x 350m - Km 163+518 - Aterro A7 - Bueiro de Concreto</v>
      </c>
      <c r="AX1098" s="4"/>
    </row>
    <row r="1099" spans="1:50" ht="15.6" customHeight="1" outlineLevel="2">
      <c r="A1099" s="8" t="str">
        <f t="shared" ref="A1099" si="4241">IF(SUM(P1099:V1100)&gt;0,"S","N")</f>
        <v>N</v>
      </c>
      <c r="B1099" s="150">
        <v>1064916</v>
      </c>
      <c r="C1099" s="150" t="s">
        <v>1413</v>
      </c>
      <c r="D1099" s="120" t="s">
        <v>1414</v>
      </c>
      <c r="E1099" s="892" t="s">
        <v>1414</v>
      </c>
      <c r="F1099" s="902" t="s">
        <v>52</v>
      </c>
      <c r="G1099" s="528"/>
      <c r="H1099" s="546" t="s">
        <v>37</v>
      </c>
      <c r="I1099" s="711">
        <v>0</v>
      </c>
      <c r="J1099" s="896" t="str">
        <f t="shared" ref="J1099" si="4242">IFERROR((I1100/I1099),"-")</f>
        <v>-</v>
      </c>
      <c r="K1099" s="528"/>
      <c r="L1099" s="546" t="s">
        <v>37</v>
      </c>
      <c r="M1099" s="711">
        <f t="shared" si="4186"/>
        <v>0</v>
      </c>
      <c r="N1099" s="896" t="str">
        <f t="shared" ref="N1099" si="4243">IFERROR((M1100/M1099),"-")</f>
        <v>-</v>
      </c>
      <c r="O1099" s="528"/>
      <c r="P1099" s="547">
        <v>0</v>
      </c>
      <c r="Q1099" s="547">
        <v>0</v>
      </c>
      <c r="R1099" s="547">
        <v>0</v>
      </c>
      <c r="S1099" s="547">
        <v>0</v>
      </c>
      <c r="T1099" s="547">
        <v>0</v>
      </c>
      <c r="U1099" s="547">
        <v>0</v>
      </c>
      <c r="V1099" s="548">
        <v>0</v>
      </c>
      <c r="W1099" s="528"/>
      <c r="X1099" s="711">
        <f t="shared" si="4178"/>
        <v>0</v>
      </c>
      <c r="Y1099" s="896" t="str">
        <f t="shared" ref="Y1099" si="4244">IFERROR((X1100/X1099),"0")</f>
        <v>0</v>
      </c>
      <c r="Z1099" s="528"/>
      <c r="AA1099" s="898">
        <v>0</v>
      </c>
      <c r="AB1099" s="898">
        <v>0</v>
      </c>
      <c r="AC1099" s="903">
        <v>0</v>
      </c>
      <c r="AD1099" s="896" t="str">
        <f t="shared" ref="AD1099" si="4245">IFERROR((AC1099/AB1099),"-")</f>
        <v>-</v>
      </c>
      <c r="AE1099" s="2"/>
      <c r="AF1099" s="884">
        <v>0</v>
      </c>
      <c r="AG1099" s="884"/>
      <c r="AH1099" s="921">
        <v>0</v>
      </c>
      <c r="AI1099" s="884">
        <v>7</v>
      </c>
      <c r="AJ1099" s="884"/>
      <c r="AK1099" s="884">
        <f t="shared" ref="AK1099" si="4246">AF1099+AG1099+AH1099+AI1099+AJ1099+AC1099</f>
        <v>7</v>
      </c>
      <c r="AL1099" s="884">
        <v>7</v>
      </c>
      <c r="AM1099" s="878">
        <f t="shared" ref="AM1099" si="4247">IFERROR((AK1099/AL1099),"-")</f>
        <v>1</v>
      </c>
      <c r="AN1099" s="2"/>
      <c r="AO1099" s="884">
        <v>7</v>
      </c>
      <c r="AP1099" s="884">
        <f t="shared" ref="AP1099" si="4248">AO1099-AK1099</f>
        <v>0</v>
      </c>
      <c r="AV1099" s="4" t="str">
        <f t="shared" si="4240"/>
        <v>Sobrelargura</v>
      </c>
      <c r="AW1099" s="4" t="str">
        <f t="shared" si="4238"/>
        <v>3.1-BSCC 1,50 x 1,50 m - Km 0+034 - acesso km 154+757 LE - Bueiro de Concreto</v>
      </c>
      <c r="AX1099" s="4"/>
    </row>
    <row r="1100" spans="1:50" ht="15.6" customHeight="1" outlineLevel="2">
      <c r="A1100" s="8" t="str">
        <f t="shared" ref="A1100" si="4249">A1099</f>
        <v>N</v>
      </c>
      <c r="B1100" s="150"/>
      <c r="C1100" s="150"/>
      <c r="D1100" s="120"/>
      <c r="E1100" s="893"/>
      <c r="F1100" s="902"/>
      <c r="G1100" s="528"/>
      <c r="H1100" s="549" t="s">
        <v>38</v>
      </c>
      <c r="I1100" s="711">
        <v>0</v>
      </c>
      <c r="J1100" s="897"/>
      <c r="K1100" s="528"/>
      <c r="L1100" s="549" t="s">
        <v>38</v>
      </c>
      <c r="M1100" s="711">
        <f t="shared" si="4186"/>
        <v>0</v>
      </c>
      <c r="N1100" s="897"/>
      <c r="O1100" s="528"/>
      <c r="P1100" s="548">
        <v>0</v>
      </c>
      <c r="Q1100" s="548">
        <v>0</v>
      </c>
      <c r="R1100" s="548">
        <v>0</v>
      </c>
      <c r="S1100" s="548">
        <v>0</v>
      </c>
      <c r="T1100" s="548">
        <v>0</v>
      </c>
      <c r="U1100" s="548">
        <v>0</v>
      </c>
      <c r="V1100" s="548">
        <v>0</v>
      </c>
      <c r="W1100" s="528"/>
      <c r="X1100" s="711">
        <f t="shared" si="4178"/>
        <v>0</v>
      </c>
      <c r="Y1100" s="897"/>
      <c r="Z1100" s="528"/>
      <c r="AA1100" s="899"/>
      <c r="AB1100" s="899"/>
      <c r="AC1100" s="904"/>
      <c r="AD1100" s="905"/>
      <c r="AE1100" s="2"/>
      <c r="AF1100" s="885"/>
      <c r="AG1100" s="885"/>
      <c r="AH1100" s="922"/>
      <c r="AI1100" s="885"/>
      <c r="AJ1100" s="885"/>
      <c r="AK1100" s="885"/>
      <c r="AL1100" s="885"/>
      <c r="AM1100" s="879"/>
      <c r="AN1100" s="2"/>
      <c r="AO1100" s="886"/>
      <c r="AP1100" s="886"/>
      <c r="AV1100" s="4" t="str">
        <f t="shared" si="4240"/>
        <v>Sobrelargura</v>
      </c>
      <c r="AW1100" s="4" t="str">
        <f t="shared" si="4238"/>
        <v>3.1-BSCC 1,50 x 1,50 m - Km 0+034 - acesso km 154+757 LE - Bueiro de Concreto</v>
      </c>
      <c r="AX1100" s="4"/>
    </row>
    <row r="1101" spans="1:50" ht="15.6" customHeight="1" outlineLevel="2">
      <c r="A1101" s="8" t="str">
        <f t="shared" ref="A1101" si="4250">IF(SUM(P1101:V1102)&gt;0,"S","N")</f>
        <v>N</v>
      </c>
      <c r="B1101" s="150">
        <v>1064925</v>
      </c>
      <c r="C1101" s="150" t="s">
        <v>1415</v>
      </c>
      <c r="D1101" s="120" t="s">
        <v>1416</v>
      </c>
      <c r="E1101" s="892" t="s">
        <v>1416</v>
      </c>
      <c r="F1101" s="902" t="s">
        <v>52</v>
      </c>
      <c r="G1101" s="528"/>
      <c r="H1101" s="546" t="s">
        <v>37</v>
      </c>
      <c r="I1101" s="711">
        <v>0</v>
      </c>
      <c r="J1101" s="896" t="str">
        <f t="shared" ref="J1101" si="4251">IFERROR((I1102/I1101),"-")</f>
        <v>-</v>
      </c>
      <c r="K1101" s="528"/>
      <c r="L1101" s="546" t="s">
        <v>37</v>
      </c>
      <c r="M1101" s="711">
        <f t="shared" si="4186"/>
        <v>0</v>
      </c>
      <c r="N1101" s="896" t="str">
        <f t="shared" ref="N1101" si="4252">IFERROR((M1102/M1101),"-")</f>
        <v>-</v>
      </c>
      <c r="O1101" s="528"/>
      <c r="P1101" s="547">
        <v>0</v>
      </c>
      <c r="Q1101" s="547">
        <v>0</v>
      </c>
      <c r="R1101" s="547">
        <v>0</v>
      </c>
      <c r="S1101" s="547">
        <v>0</v>
      </c>
      <c r="T1101" s="547">
        <v>0</v>
      </c>
      <c r="U1101" s="547">
        <v>0</v>
      </c>
      <c r="V1101" s="548">
        <v>0</v>
      </c>
      <c r="W1101" s="528"/>
      <c r="X1101" s="711">
        <f t="shared" si="4178"/>
        <v>0</v>
      </c>
      <c r="Y1101" s="896" t="str">
        <f t="shared" ref="Y1101" si="4253">IFERROR((X1102/X1101),"0")</f>
        <v>0</v>
      </c>
      <c r="Z1101" s="528"/>
      <c r="AA1101" s="898">
        <v>0.31</v>
      </c>
      <c r="AB1101" s="898">
        <v>0</v>
      </c>
      <c r="AC1101" s="903">
        <v>0</v>
      </c>
      <c r="AD1101" s="896" t="str">
        <f t="shared" ref="AD1101" si="4254">IFERROR((AC1101/AB1101),"-")</f>
        <v>-</v>
      </c>
      <c r="AE1101" s="2"/>
      <c r="AF1101" s="884">
        <v>0</v>
      </c>
      <c r="AG1101" s="884"/>
      <c r="AH1101" s="921">
        <v>0</v>
      </c>
      <c r="AI1101" s="884"/>
      <c r="AJ1101" s="884"/>
      <c r="AK1101" s="884">
        <f t="shared" ref="AK1101" si="4255">AF1101+AG1101+AH1101+AI1101+AJ1101+AC1101</f>
        <v>0</v>
      </c>
      <c r="AL1101" s="884">
        <v>0</v>
      </c>
      <c r="AM1101" s="878" t="str">
        <f t="shared" ref="AM1101" si="4256">IFERROR((AK1101/AL1101),"-")</f>
        <v>-</v>
      </c>
      <c r="AN1101" s="2"/>
      <c r="AO1101" s="884">
        <v>8</v>
      </c>
      <c r="AP1101" s="884">
        <f t="shared" ref="AP1101" si="4257">AO1101-AK1101</f>
        <v>8</v>
      </c>
      <c r="AV1101" s="4" t="str">
        <f t="shared" si="4240"/>
        <v>Sobrelargura</v>
      </c>
      <c r="AW1101" s="4" t="str">
        <f t="shared" si="4238"/>
        <v>3.1-BDTC DN 1,0m - Km 0+399 - acesso km 154+757 LE - Bueiro de Concreto</v>
      </c>
      <c r="AX1101" s="4"/>
    </row>
    <row r="1102" spans="1:50" ht="15.6" customHeight="1" outlineLevel="2">
      <c r="A1102" s="8" t="str">
        <f t="shared" ref="A1102" si="4258">A1101</f>
        <v>N</v>
      </c>
      <c r="B1102" s="150"/>
      <c r="C1102" s="150"/>
      <c r="D1102" s="120"/>
      <c r="E1102" s="893"/>
      <c r="F1102" s="902"/>
      <c r="G1102" s="528"/>
      <c r="H1102" s="549" t="s">
        <v>38</v>
      </c>
      <c r="I1102" s="711">
        <v>0</v>
      </c>
      <c r="J1102" s="897"/>
      <c r="K1102" s="528"/>
      <c r="L1102" s="549" t="s">
        <v>38</v>
      </c>
      <c r="M1102" s="711">
        <f t="shared" si="4186"/>
        <v>0</v>
      </c>
      <c r="N1102" s="897"/>
      <c r="O1102" s="528"/>
      <c r="P1102" s="548">
        <v>0</v>
      </c>
      <c r="Q1102" s="548">
        <v>0</v>
      </c>
      <c r="R1102" s="548">
        <v>0</v>
      </c>
      <c r="S1102" s="548">
        <v>0</v>
      </c>
      <c r="T1102" s="548">
        <v>0</v>
      </c>
      <c r="U1102" s="548">
        <v>0</v>
      </c>
      <c r="V1102" s="548">
        <v>0</v>
      </c>
      <c r="W1102" s="528"/>
      <c r="X1102" s="711">
        <f t="shared" si="4178"/>
        <v>0</v>
      </c>
      <c r="Y1102" s="897"/>
      <c r="Z1102" s="528"/>
      <c r="AA1102" s="899"/>
      <c r="AB1102" s="899"/>
      <c r="AC1102" s="904"/>
      <c r="AD1102" s="905"/>
      <c r="AE1102" s="2"/>
      <c r="AF1102" s="885"/>
      <c r="AG1102" s="885"/>
      <c r="AH1102" s="922"/>
      <c r="AI1102" s="885"/>
      <c r="AJ1102" s="885"/>
      <c r="AK1102" s="885"/>
      <c r="AL1102" s="885"/>
      <c r="AM1102" s="879"/>
      <c r="AN1102" s="2"/>
      <c r="AO1102" s="886"/>
      <c r="AP1102" s="886"/>
      <c r="AV1102" t="str">
        <f t="shared" si="4240"/>
        <v>Sobrelargura</v>
      </c>
      <c r="AW1102" s="4" t="str">
        <f t="shared" si="4238"/>
        <v>3.1-BDTC DN 1,0m - Km 0+399 - acesso km 154+757 LE - Bueiro de Concreto</v>
      </c>
    </row>
    <row r="1103" spans="1:50" ht="15.6" customHeight="1" outlineLevel="2">
      <c r="A1103" s="8" t="str">
        <f t="shared" ref="A1103" si="4259">IF(SUM(P1103:V1104)&gt;0,"S","N")</f>
        <v>N</v>
      </c>
      <c r="B1103" s="150">
        <v>1064932</v>
      </c>
      <c r="C1103" s="150" t="s">
        <v>1417</v>
      </c>
      <c r="D1103" s="120" t="s">
        <v>1418</v>
      </c>
      <c r="E1103" s="892" t="s">
        <v>1418</v>
      </c>
      <c r="F1103" s="902" t="s">
        <v>52</v>
      </c>
      <c r="G1103" s="528"/>
      <c r="H1103" s="546" t="s">
        <v>37</v>
      </c>
      <c r="I1103" s="711">
        <v>0</v>
      </c>
      <c r="J1103" s="896" t="str">
        <f t="shared" ref="J1103" si="4260">IFERROR((I1104/I1103),"-")</f>
        <v>-</v>
      </c>
      <c r="K1103" s="528"/>
      <c r="L1103" s="546" t="s">
        <v>37</v>
      </c>
      <c r="M1103" s="711">
        <f t="shared" si="4186"/>
        <v>0</v>
      </c>
      <c r="N1103" s="896" t="str">
        <f t="shared" ref="N1103" si="4261">IFERROR((M1104/M1103),"-")</f>
        <v>-</v>
      </c>
      <c r="O1103" s="528"/>
      <c r="P1103" s="547">
        <v>0</v>
      </c>
      <c r="Q1103" s="547">
        <v>0</v>
      </c>
      <c r="R1103" s="547">
        <v>0</v>
      </c>
      <c r="S1103" s="547">
        <v>0</v>
      </c>
      <c r="T1103" s="547">
        <v>0</v>
      </c>
      <c r="U1103" s="547">
        <v>0</v>
      </c>
      <c r="V1103" s="548">
        <v>0</v>
      </c>
      <c r="W1103" s="528"/>
      <c r="X1103" s="711">
        <f t="shared" si="4178"/>
        <v>0</v>
      </c>
      <c r="Y1103" s="896" t="str">
        <f t="shared" ref="Y1103" si="4262">IFERROR((X1104/X1103),"0")</f>
        <v>0</v>
      </c>
      <c r="Z1103" s="528"/>
      <c r="AA1103" s="898">
        <v>0</v>
      </c>
      <c r="AB1103" s="898">
        <v>0</v>
      </c>
      <c r="AC1103" s="903">
        <v>0</v>
      </c>
      <c r="AD1103" s="896" t="str">
        <f t="shared" ref="AD1103" si="4263">IFERROR((AC1103/AB1103),"-")</f>
        <v>-</v>
      </c>
      <c r="AE1103" s="2"/>
      <c r="AF1103" s="884">
        <v>0</v>
      </c>
      <c r="AG1103" s="884"/>
      <c r="AH1103" s="921">
        <v>0</v>
      </c>
      <c r="AI1103" s="884">
        <v>10</v>
      </c>
      <c r="AJ1103" s="884"/>
      <c r="AK1103" s="884">
        <f t="shared" ref="AK1103" si="4264">AF1103+AG1103+AH1103+AI1103+AJ1103+AC1103</f>
        <v>10</v>
      </c>
      <c r="AL1103" s="884">
        <v>10</v>
      </c>
      <c r="AM1103" s="878">
        <f t="shared" ref="AM1103" si="4265">IFERROR((AK1103/AL1103),"-")</f>
        <v>1</v>
      </c>
      <c r="AN1103" s="2"/>
      <c r="AO1103" s="884">
        <v>10</v>
      </c>
      <c r="AP1103" s="884">
        <f t="shared" ref="AP1103" si="4266">AO1103-AK1103</f>
        <v>0</v>
      </c>
      <c r="AU1103" s="4"/>
      <c r="AV1103" s="4" t="str">
        <f t="shared" si="4240"/>
        <v>Sobrelargura</v>
      </c>
      <c r="AW1103" s="4" t="str">
        <f t="shared" si="4238"/>
        <v>3.1-BSTC DN 1,2m - Km 0+436 - acesso km 154+757 LD - Bueiro de Concreto</v>
      </c>
      <c r="AX1103" s="4"/>
    </row>
    <row r="1104" spans="1:50" ht="15.6" customHeight="1" outlineLevel="2">
      <c r="A1104" s="8" t="str">
        <f t="shared" ref="A1104" si="4267">A1103</f>
        <v>N</v>
      </c>
      <c r="B1104" s="150"/>
      <c r="C1104" s="150"/>
      <c r="D1104" s="120"/>
      <c r="E1104" s="893"/>
      <c r="F1104" s="902"/>
      <c r="G1104" s="528"/>
      <c r="H1104" s="549" t="s">
        <v>38</v>
      </c>
      <c r="I1104" s="711">
        <v>0</v>
      </c>
      <c r="J1104" s="897"/>
      <c r="K1104" s="528"/>
      <c r="L1104" s="549" t="s">
        <v>38</v>
      </c>
      <c r="M1104" s="711">
        <f t="shared" si="4186"/>
        <v>0</v>
      </c>
      <c r="N1104" s="897"/>
      <c r="O1104" s="528"/>
      <c r="P1104" s="548">
        <v>0</v>
      </c>
      <c r="Q1104" s="548">
        <v>0</v>
      </c>
      <c r="R1104" s="548">
        <v>0</v>
      </c>
      <c r="S1104" s="548">
        <v>0</v>
      </c>
      <c r="T1104" s="548">
        <v>0</v>
      </c>
      <c r="U1104" s="548">
        <v>0</v>
      </c>
      <c r="V1104" s="548">
        <v>0</v>
      </c>
      <c r="W1104" s="528"/>
      <c r="X1104" s="711">
        <f t="shared" si="4178"/>
        <v>0</v>
      </c>
      <c r="Y1104" s="897"/>
      <c r="Z1104" s="528"/>
      <c r="AA1104" s="899"/>
      <c r="AB1104" s="899"/>
      <c r="AC1104" s="904"/>
      <c r="AD1104" s="905"/>
      <c r="AE1104" s="2"/>
      <c r="AF1104" s="885"/>
      <c r="AG1104" s="885"/>
      <c r="AH1104" s="922"/>
      <c r="AI1104" s="885"/>
      <c r="AJ1104" s="885"/>
      <c r="AK1104" s="885"/>
      <c r="AL1104" s="885"/>
      <c r="AM1104" s="879"/>
      <c r="AN1104" s="2"/>
      <c r="AO1104" s="886"/>
      <c r="AP1104" s="886"/>
      <c r="AV1104" t="str">
        <f t="shared" si="4240"/>
        <v>Sobrelargura</v>
      </c>
      <c r="AW1104" s="4" t="str">
        <f t="shared" si="4238"/>
        <v>3.1-BSTC DN 1,2m - Km 0+436 - acesso km 154+757 LD - Bueiro de Concreto</v>
      </c>
    </row>
    <row r="1105" spans="1:50" ht="15.6" customHeight="1" outlineLevel="2">
      <c r="A1105" s="8" t="str">
        <f t="shared" ref="A1105" si="4268">IF(SUM(P1105:V1106)&gt;0,"S","N")</f>
        <v>N</v>
      </c>
      <c r="B1105" s="150">
        <v>1064939</v>
      </c>
      <c r="C1105" s="150" t="s">
        <v>1419</v>
      </c>
      <c r="D1105" s="120" t="s">
        <v>1420</v>
      </c>
      <c r="E1105" s="892" t="s">
        <v>1420</v>
      </c>
      <c r="F1105" s="902" t="s">
        <v>52</v>
      </c>
      <c r="G1105" s="528"/>
      <c r="H1105" s="546" t="s">
        <v>37</v>
      </c>
      <c r="I1105" s="711">
        <v>0</v>
      </c>
      <c r="J1105" s="896" t="str">
        <f t="shared" ref="J1105" si="4269">IFERROR((I1106/I1105),"-")</f>
        <v>-</v>
      </c>
      <c r="K1105" s="528"/>
      <c r="L1105" s="546" t="s">
        <v>37</v>
      </c>
      <c r="M1105" s="711">
        <f t="shared" si="4186"/>
        <v>0</v>
      </c>
      <c r="N1105" s="896" t="str">
        <f t="shared" ref="N1105" si="4270">IFERROR((M1106/M1105),"-")</f>
        <v>-</v>
      </c>
      <c r="O1105" s="528"/>
      <c r="P1105" s="547">
        <v>0</v>
      </c>
      <c r="Q1105" s="547">
        <v>0</v>
      </c>
      <c r="R1105" s="547">
        <v>0</v>
      </c>
      <c r="S1105" s="547">
        <v>0</v>
      </c>
      <c r="T1105" s="547">
        <v>0</v>
      </c>
      <c r="U1105" s="547">
        <v>0</v>
      </c>
      <c r="V1105" s="548">
        <v>0</v>
      </c>
      <c r="W1105" s="528"/>
      <c r="X1105" s="711">
        <f t="shared" si="4178"/>
        <v>0</v>
      </c>
      <c r="Y1105" s="896" t="str">
        <f t="shared" ref="Y1105" si="4271">IFERROR((X1106/X1105),"0")</f>
        <v>0</v>
      </c>
      <c r="Z1105" s="528"/>
      <c r="AA1105" s="898">
        <v>0</v>
      </c>
      <c r="AB1105" s="898">
        <v>0</v>
      </c>
      <c r="AC1105" s="903">
        <v>0</v>
      </c>
      <c r="AD1105" s="896" t="str">
        <f t="shared" ref="AD1105" si="4272">IFERROR((AC1105/AB1105),"-")</f>
        <v>-</v>
      </c>
      <c r="AE1105" s="2"/>
      <c r="AF1105" s="884">
        <v>0</v>
      </c>
      <c r="AG1105" s="884"/>
      <c r="AH1105" s="921">
        <v>0</v>
      </c>
      <c r="AI1105" s="884"/>
      <c r="AJ1105" s="884"/>
      <c r="AK1105" s="884">
        <f t="shared" ref="AK1105" si="4273">AF1105+AG1105+AH1105+AI1105+AJ1105+AC1105</f>
        <v>0</v>
      </c>
      <c r="AL1105" s="884">
        <v>0</v>
      </c>
      <c r="AM1105" s="878" t="str">
        <f t="shared" ref="AM1105" si="4274">IFERROR((AK1105/AL1105),"-")</f>
        <v>-</v>
      </c>
      <c r="AN1105" s="2"/>
      <c r="AO1105" s="884">
        <v>11</v>
      </c>
      <c r="AP1105" s="884">
        <f t="shared" ref="AP1105" si="4275">AO1105-AK1105</f>
        <v>11</v>
      </c>
      <c r="AV1105" t="str">
        <f t="shared" si="4240"/>
        <v>Sobrelargura</v>
      </c>
      <c r="AW1105" s="4" t="str">
        <f t="shared" si="4238"/>
        <v>3.1-BSTC DN 1,0m - Km 0+260 - acesso km 154+757 LD - Bueiro de Concreto</v>
      </c>
    </row>
    <row r="1106" spans="1:50" ht="15.6" customHeight="1" outlineLevel="2">
      <c r="A1106" s="8" t="str">
        <f t="shared" ref="A1106" si="4276">A1105</f>
        <v>N</v>
      </c>
      <c r="B1106" s="150"/>
      <c r="C1106" s="150"/>
      <c r="D1106" s="120"/>
      <c r="E1106" s="893"/>
      <c r="F1106" s="902"/>
      <c r="G1106" s="528"/>
      <c r="H1106" s="549" t="s">
        <v>38</v>
      </c>
      <c r="I1106" s="711">
        <v>0</v>
      </c>
      <c r="J1106" s="897"/>
      <c r="K1106" s="528"/>
      <c r="L1106" s="549" t="s">
        <v>38</v>
      </c>
      <c r="M1106" s="711">
        <f t="shared" si="4186"/>
        <v>0</v>
      </c>
      <c r="N1106" s="897"/>
      <c r="O1106" s="528"/>
      <c r="P1106" s="548">
        <v>0</v>
      </c>
      <c r="Q1106" s="548">
        <v>0</v>
      </c>
      <c r="R1106" s="548">
        <v>0</v>
      </c>
      <c r="S1106" s="548">
        <v>0</v>
      </c>
      <c r="T1106" s="548">
        <v>0</v>
      </c>
      <c r="U1106" s="548">
        <v>0</v>
      </c>
      <c r="V1106" s="548">
        <v>0</v>
      </c>
      <c r="W1106" s="528"/>
      <c r="X1106" s="711">
        <f t="shared" si="4178"/>
        <v>0</v>
      </c>
      <c r="Y1106" s="897"/>
      <c r="Z1106" s="528"/>
      <c r="AA1106" s="899"/>
      <c r="AB1106" s="899"/>
      <c r="AC1106" s="904"/>
      <c r="AD1106" s="905"/>
      <c r="AE1106" s="2"/>
      <c r="AF1106" s="885"/>
      <c r="AG1106" s="885"/>
      <c r="AH1106" s="922"/>
      <c r="AI1106" s="885"/>
      <c r="AJ1106" s="885"/>
      <c r="AK1106" s="885"/>
      <c r="AL1106" s="885"/>
      <c r="AM1106" s="879"/>
      <c r="AN1106" s="2"/>
      <c r="AO1106" s="886"/>
      <c r="AP1106" s="886"/>
      <c r="AV1106" t="str">
        <f t="shared" si="4240"/>
        <v>Sobrelargura</v>
      </c>
      <c r="AW1106" s="4" t="str">
        <f t="shared" si="4238"/>
        <v>3.1-BSTC DN 1,0m - Km 0+260 - acesso km 154+757 LD - Bueiro de Concreto</v>
      </c>
    </row>
    <row r="1107" spans="1:50" ht="15.6" customHeight="1" outlineLevel="2">
      <c r="A1107" s="209" t="str">
        <f t="shared" ref="A1107" si="4277">IF(SUM(P1107:V1108)&gt;0,"S","N")</f>
        <v>N</v>
      </c>
      <c r="B1107" s="150">
        <v>1064946</v>
      </c>
      <c r="C1107" s="150" t="s">
        <v>1421</v>
      </c>
      <c r="D1107" s="120" t="s">
        <v>1422</v>
      </c>
      <c r="E1107" s="892" t="s">
        <v>1422</v>
      </c>
      <c r="F1107" s="902" t="s">
        <v>52</v>
      </c>
      <c r="G1107" s="528"/>
      <c r="H1107" s="546" t="s">
        <v>37</v>
      </c>
      <c r="I1107" s="711">
        <v>0</v>
      </c>
      <c r="J1107" s="896" t="str">
        <f t="shared" ref="J1107" si="4278">IFERROR((I1108/I1107),"-")</f>
        <v>-</v>
      </c>
      <c r="K1107" s="528"/>
      <c r="L1107" s="546" t="s">
        <v>37</v>
      </c>
      <c r="M1107" s="711">
        <f t="shared" si="4186"/>
        <v>0</v>
      </c>
      <c r="N1107" s="896" t="str">
        <f t="shared" ref="N1107" si="4279">IFERROR((M1108/M1107),"-")</f>
        <v>-</v>
      </c>
      <c r="O1107" s="528"/>
      <c r="P1107" s="547">
        <v>0</v>
      </c>
      <c r="Q1107" s="547">
        <v>0</v>
      </c>
      <c r="R1107" s="547">
        <v>0</v>
      </c>
      <c r="S1107" s="547">
        <v>0</v>
      </c>
      <c r="T1107" s="547">
        <v>0</v>
      </c>
      <c r="U1107" s="547">
        <v>0</v>
      </c>
      <c r="V1107" s="548">
        <v>0</v>
      </c>
      <c r="W1107" s="528"/>
      <c r="X1107" s="711">
        <f t="shared" si="4178"/>
        <v>0</v>
      </c>
      <c r="Y1107" s="896" t="str">
        <f t="shared" ref="Y1107" si="4280">IFERROR((X1108/X1107),"0")</f>
        <v>0</v>
      </c>
      <c r="Z1107" s="528"/>
      <c r="AA1107" s="898">
        <v>0</v>
      </c>
      <c r="AB1107" s="898">
        <v>0</v>
      </c>
      <c r="AC1107" s="903">
        <v>0</v>
      </c>
      <c r="AD1107" s="896" t="str">
        <f t="shared" ref="AD1107" si="4281">IFERROR((AC1107/AB1107),"-")</f>
        <v>-</v>
      </c>
      <c r="AE1107" s="2"/>
      <c r="AF1107" s="886">
        <v>0</v>
      </c>
      <c r="AG1107" s="884"/>
      <c r="AH1107" s="921">
        <v>0</v>
      </c>
      <c r="AI1107" s="884">
        <v>11</v>
      </c>
      <c r="AJ1107" s="884"/>
      <c r="AK1107" s="884">
        <f t="shared" ref="AK1107" si="4282">AF1107+AG1107+AH1107+AI1107+AJ1107+AC1107</f>
        <v>11</v>
      </c>
      <c r="AL1107" s="884">
        <v>11</v>
      </c>
      <c r="AM1107" s="878">
        <f t="shared" ref="AM1107" si="4283">IFERROR((AK1107/AL1107),"-")</f>
        <v>1</v>
      </c>
      <c r="AN1107" s="2"/>
      <c r="AO1107" s="884">
        <v>11</v>
      </c>
      <c r="AP1107" s="884">
        <f t="shared" ref="AP1107" si="4284">AO1107-AK1107</f>
        <v>0</v>
      </c>
      <c r="AV1107" t="str">
        <f t="shared" si="4240"/>
        <v>Sobrelargura</v>
      </c>
      <c r="AW1107" s="4" t="str">
        <f t="shared" si="4238"/>
        <v>3.1-BSTC DN 0,80m - Km 0+133 - acesso km 159+940 LD - Bueiro de Concreto</v>
      </c>
    </row>
    <row r="1108" spans="1:50" ht="15.6" customHeight="1" outlineLevel="2">
      <c r="A1108" s="209" t="str">
        <f t="shared" ref="A1108" si="4285">A1107</f>
        <v>N</v>
      </c>
      <c r="B1108" s="150"/>
      <c r="C1108" s="150"/>
      <c r="D1108" s="120"/>
      <c r="E1108" s="893"/>
      <c r="F1108" s="902"/>
      <c r="G1108" s="528"/>
      <c r="H1108" s="549" t="s">
        <v>38</v>
      </c>
      <c r="I1108" s="711">
        <v>0</v>
      </c>
      <c r="J1108" s="897"/>
      <c r="K1108" s="528"/>
      <c r="L1108" s="549" t="s">
        <v>38</v>
      </c>
      <c r="M1108" s="711">
        <f t="shared" si="4186"/>
        <v>0</v>
      </c>
      <c r="N1108" s="897"/>
      <c r="O1108" s="528"/>
      <c r="P1108" s="548">
        <v>0</v>
      </c>
      <c r="Q1108" s="548">
        <v>0</v>
      </c>
      <c r="R1108" s="548">
        <v>0</v>
      </c>
      <c r="S1108" s="548">
        <v>0</v>
      </c>
      <c r="T1108" s="548">
        <v>0</v>
      </c>
      <c r="U1108" s="548">
        <v>0</v>
      </c>
      <c r="V1108" s="548">
        <v>0</v>
      </c>
      <c r="W1108" s="528"/>
      <c r="X1108" s="711">
        <f t="shared" si="4178"/>
        <v>0</v>
      </c>
      <c r="Y1108" s="897"/>
      <c r="Z1108" s="528"/>
      <c r="AA1108" s="899"/>
      <c r="AB1108" s="899"/>
      <c r="AC1108" s="904"/>
      <c r="AD1108" s="905"/>
      <c r="AE1108" s="2"/>
      <c r="AF1108" s="926"/>
      <c r="AG1108" s="885"/>
      <c r="AH1108" s="922"/>
      <c r="AI1108" s="885"/>
      <c r="AJ1108" s="885"/>
      <c r="AK1108" s="885"/>
      <c r="AL1108" s="885"/>
      <c r="AM1108" s="879"/>
      <c r="AN1108" s="2"/>
      <c r="AO1108" s="886"/>
      <c r="AP1108" s="886"/>
      <c r="AV1108" t="str">
        <f t="shared" si="4240"/>
        <v>Sobrelargura</v>
      </c>
      <c r="AW1108" s="4" t="str">
        <f t="shared" si="4238"/>
        <v>3.1-BSTC DN 0,80m - Km 0+133 - acesso km 159+940 LD - Bueiro de Concreto</v>
      </c>
    </row>
    <row r="1109" spans="1:50" ht="22.35" customHeight="1" outlineLevel="2">
      <c r="A1109" s="8" t="str">
        <f t="shared" ref="A1109" si="4286">IF(SUM(P1109:V1110)&gt;0,"S","N")</f>
        <v>N</v>
      </c>
      <c r="B1109" s="150">
        <v>1069230</v>
      </c>
      <c r="C1109" s="150" t="s">
        <v>1423</v>
      </c>
      <c r="D1109" s="120" t="s">
        <v>1424</v>
      </c>
      <c r="E1109" s="892" t="s">
        <v>1424</v>
      </c>
      <c r="F1109" s="902" t="s">
        <v>52</v>
      </c>
      <c r="G1109" s="528"/>
      <c r="H1109" s="546" t="s">
        <v>37</v>
      </c>
      <c r="I1109" s="711">
        <v>0</v>
      </c>
      <c r="J1109" s="896" t="str">
        <f t="shared" ref="J1109" si="4287">IFERROR((I1110/I1109),"-")</f>
        <v>-</v>
      </c>
      <c r="K1109" s="528"/>
      <c r="L1109" s="546" t="s">
        <v>37</v>
      </c>
      <c r="M1109" s="711">
        <f t="shared" si="4186"/>
        <v>0</v>
      </c>
      <c r="N1109" s="896" t="str">
        <f t="shared" ref="N1109" si="4288">IFERROR((M1110/M1109),"-")</f>
        <v>-</v>
      </c>
      <c r="O1109" s="528"/>
      <c r="P1109" s="547">
        <v>0</v>
      </c>
      <c r="Q1109" s="547">
        <v>0</v>
      </c>
      <c r="R1109" s="547">
        <v>0</v>
      </c>
      <c r="S1109" s="547">
        <v>0</v>
      </c>
      <c r="T1109" s="547">
        <v>0</v>
      </c>
      <c r="U1109" s="547">
        <v>0</v>
      </c>
      <c r="V1109" s="548">
        <v>0</v>
      </c>
      <c r="W1109" s="528"/>
      <c r="X1109" s="711">
        <f t="shared" si="4178"/>
        <v>0</v>
      </c>
      <c r="Y1109" s="896" t="str">
        <f t="shared" ref="Y1109" si="4289">IFERROR((X1110/X1109),"0")</f>
        <v>0</v>
      </c>
      <c r="Z1109" s="528"/>
      <c r="AA1109" s="898">
        <v>0</v>
      </c>
      <c r="AB1109" s="898">
        <v>0</v>
      </c>
      <c r="AC1109" s="903">
        <v>0</v>
      </c>
      <c r="AD1109" s="896" t="str">
        <f t="shared" ref="AD1109" si="4290">IFERROR((AC1109/AB1109),"-")</f>
        <v>-</v>
      </c>
      <c r="AE1109" s="2"/>
      <c r="AF1109" s="886">
        <v>38</v>
      </c>
      <c r="AG1109" s="884"/>
      <c r="AH1109" s="921">
        <v>0</v>
      </c>
      <c r="AI1109" s="884"/>
      <c r="AJ1109" s="884"/>
      <c r="AK1109" s="884">
        <f t="shared" ref="AK1109" si="4291">AF1109+AG1109+AH1109+AI1109+AJ1109+AC1109</f>
        <v>38</v>
      </c>
      <c r="AL1109" s="884">
        <v>38</v>
      </c>
      <c r="AM1109" s="878">
        <f t="shared" ref="AM1109" si="4292">IFERROR((AK1109/AL1109),"-")</f>
        <v>1</v>
      </c>
      <c r="AN1109" s="2"/>
      <c r="AO1109" s="884">
        <v>38</v>
      </c>
      <c r="AP1109" s="884">
        <f t="shared" ref="AP1109" si="4293">AO1109-AK1109</f>
        <v>0</v>
      </c>
      <c r="AV1109" s="4" t="str">
        <f t="shared" si="4240"/>
        <v>Sobrelargura</v>
      </c>
      <c r="AW1109" s="4" t="str">
        <f t="shared" si="4238"/>
        <v>3.1-BST PEAD DN 1,0m - km 153+731 - Aterro A2 - Bueiro de PEAD</v>
      </c>
      <c r="AX1109" s="4"/>
    </row>
    <row r="1110" spans="1:50" ht="22.35" customHeight="1" outlineLevel="2">
      <c r="A1110" s="8" t="str">
        <f t="shared" ref="A1110" si="4294">A1109</f>
        <v>N</v>
      </c>
      <c r="B1110" s="150"/>
      <c r="C1110" s="150"/>
      <c r="D1110" s="120"/>
      <c r="E1110" s="893"/>
      <c r="F1110" s="902"/>
      <c r="G1110" s="528"/>
      <c r="H1110" s="549" t="s">
        <v>38</v>
      </c>
      <c r="I1110" s="711">
        <v>0</v>
      </c>
      <c r="J1110" s="897"/>
      <c r="K1110" s="528"/>
      <c r="L1110" s="549" t="s">
        <v>38</v>
      </c>
      <c r="M1110" s="711">
        <f t="shared" si="4186"/>
        <v>0</v>
      </c>
      <c r="N1110" s="897"/>
      <c r="O1110" s="528"/>
      <c r="P1110" s="548">
        <v>0</v>
      </c>
      <c r="Q1110" s="548">
        <v>0</v>
      </c>
      <c r="R1110" s="548">
        <v>0</v>
      </c>
      <c r="S1110" s="548">
        <v>0</v>
      </c>
      <c r="T1110" s="548">
        <v>0</v>
      </c>
      <c r="U1110" s="548">
        <v>0</v>
      </c>
      <c r="V1110" s="548">
        <v>0</v>
      </c>
      <c r="W1110" s="528"/>
      <c r="X1110" s="711">
        <f t="shared" si="4178"/>
        <v>0</v>
      </c>
      <c r="Y1110" s="897"/>
      <c r="Z1110" s="528"/>
      <c r="AA1110" s="899"/>
      <c r="AB1110" s="899"/>
      <c r="AC1110" s="904"/>
      <c r="AD1110" s="905"/>
      <c r="AE1110" s="2"/>
      <c r="AF1110" s="926"/>
      <c r="AG1110" s="885"/>
      <c r="AH1110" s="922"/>
      <c r="AI1110" s="885"/>
      <c r="AJ1110" s="885"/>
      <c r="AK1110" s="885"/>
      <c r="AL1110" s="885"/>
      <c r="AM1110" s="879"/>
      <c r="AN1110" s="2"/>
      <c r="AO1110" s="886"/>
      <c r="AP1110" s="886"/>
      <c r="AV1110" t="str">
        <f t="shared" si="4240"/>
        <v>Sobrelargura</v>
      </c>
      <c r="AW1110" s="4" t="str">
        <f t="shared" si="4238"/>
        <v>3.1-BST PEAD DN 1,0m - km 153+731 - Aterro A2 - Bueiro de PEAD</v>
      </c>
    </row>
    <row r="1111" spans="1:50" ht="15.6" customHeight="1" outlineLevel="2">
      <c r="A1111" s="8" t="str">
        <f t="shared" ref="A1111" si="4295">IF(SUM(P1111:V1112)&gt;0,"S","N")</f>
        <v>N</v>
      </c>
      <c r="B1111" s="150">
        <v>1069231</v>
      </c>
      <c r="C1111" s="150" t="s">
        <v>1425</v>
      </c>
      <c r="D1111" s="120" t="s">
        <v>1426</v>
      </c>
      <c r="E1111" s="892" t="s">
        <v>1426</v>
      </c>
      <c r="F1111" s="902" t="s">
        <v>52</v>
      </c>
      <c r="G1111" s="528"/>
      <c r="H1111" s="546" t="s">
        <v>37</v>
      </c>
      <c r="I1111" s="711">
        <v>0</v>
      </c>
      <c r="J1111" s="896" t="str">
        <f t="shared" ref="J1111" si="4296">IFERROR((I1112/I1111),"-")</f>
        <v>-</v>
      </c>
      <c r="K1111" s="528"/>
      <c r="L1111" s="546" t="s">
        <v>37</v>
      </c>
      <c r="M1111" s="711">
        <f t="shared" si="4186"/>
        <v>0</v>
      </c>
      <c r="N1111" s="896" t="str">
        <f t="shared" ref="N1111" si="4297">IFERROR((M1112/M1111),"-")</f>
        <v>-</v>
      </c>
      <c r="O1111" s="528"/>
      <c r="P1111" s="547">
        <v>0</v>
      </c>
      <c r="Q1111" s="547">
        <v>0</v>
      </c>
      <c r="R1111" s="547">
        <v>0</v>
      </c>
      <c r="S1111" s="547">
        <v>0</v>
      </c>
      <c r="T1111" s="547">
        <v>0</v>
      </c>
      <c r="U1111" s="547">
        <v>0</v>
      </c>
      <c r="V1111" s="548">
        <v>0</v>
      </c>
      <c r="W1111" s="528"/>
      <c r="X1111" s="711">
        <f t="shared" si="4178"/>
        <v>0</v>
      </c>
      <c r="Y1111" s="896" t="str">
        <f t="shared" ref="Y1111" si="4298">IFERROR((X1112/X1111),"0")</f>
        <v>0</v>
      </c>
      <c r="Z1111" s="528"/>
      <c r="AA1111" s="898">
        <v>0</v>
      </c>
      <c r="AB1111" s="898">
        <v>0</v>
      </c>
      <c r="AC1111" s="903">
        <v>0</v>
      </c>
      <c r="AD1111" s="896" t="str">
        <f t="shared" ref="AD1111" si="4299">IFERROR((AC1111/AB1111),"-")</f>
        <v>-</v>
      </c>
      <c r="AE1111" s="2"/>
      <c r="AF1111" s="886">
        <v>20</v>
      </c>
      <c r="AG1111" s="884"/>
      <c r="AH1111" s="921">
        <v>0</v>
      </c>
      <c r="AI1111" s="884"/>
      <c r="AJ1111" s="884"/>
      <c r="AK1111" s="884">
        <f t="shared" ref="AK1111" si="4300">AF1111+AG1111+AH1111+AI1111+AJ1111+AC1111</f>
        <v>20</v>
      </c>
      <c r="AL1111" s="884">
        <v>0</v>
      </c>
      <c r="AM1111" s="878" t="str">
        <f t="shared" ref="AM1111" si="4301">IFERROR((AK1111/AL1111),"-")</f>
        <v>-</v>
      </c>
      <c r="AN1111" s="2"/>
      <c r="AO1111" s="884">
        <v>20</v>
      </c>
      <c r="AP1111" s="884">
        <f t="shared" ref="AP1111" si="4302">AO1111-AK1111</f>
        <v>0</v>
      </c>
      <c r="AV1111" t="str">
        <f t="shared" si="4240"/>
        <v>Sobrelargura</v>
      </c>
      <c r="AW1111" s="4" t="str">
        <f t="shared" si="4238"/>
        <v>3.1-PF 2,50x2,00 Km 153+780- Aterro A2 - Bueiro de Concreto</v>
      </c>
    </row>
    <row r="1112" spans="1:50" ht="15.6" customHeight="1" outlineLevel="2">
      <c r="A1112" s="8" t="str">
        <f t="shared" ref="A1112" si="4303">A1111</f>
        <v>N</v>
      </c>
      <c r="B1112" s="150"/>
      <c r="C1112" s="150"/>
      <c r="D1112" s="120"/>
      <c r="E1112" s="893"/>
      <c r="F1112" s="902"/>
      <c r="G1112" s="528"/>
      <c r="H1112" s="549" t="s">
        <v>38</v>
      </c>
      <c r="I1112" s="711">
        <v>0</v>
      </c>
      <c r="J1112" s="897"/>
      <c r="K1112" s="528"/>
      <c r="L1112" s="549" t="s">
        <v>38</v>
      </c>
      <c r="M1112" s="711">
        <f t="shared" si="4186"/>
        <v>0</v>
      </c>
      <c r="N1112" s="897"/>
      <c r="O1112" s="528"/>
      <c r="P1112" s="548">
        <v>0</v>
      </c>
      <c r="Q1112" s="548">
        <v>0</v>
      </c>
      <c r="R1112" s="548">
        <v>0</v>
      </c>
      <c r="S1112" s="548">
        <v>0</v>
      </c>
      <c r="T1112" s="548">
        <v>0</v>
      </c>
      <c r="U1112" s="548">
        <v>0</v>
      </c>
      <c r="V1112" s="548">
        <v>0</v>
      </c>
      <c r="W1112" s="528"/>
      <c r="X1112" s="711">
        <f t="shared" si="4178"/>
        <v>0</v>
      </c>
      <c r="Y1112" s="897"/>
      <c r="Z1112" s="528"/>
      <c r="AA1112" s="899"/>
      <c r="AB1112" s="899"/>
      <c r="AC1112" s="904"/>
      <c r="AD1112" s="905"/>
      <c r="AE1112" s="2"/>
      <c r="AF1112" s="926"/>
      <c r="AG1112" s="885"/>
      <c r="AH1112" s="922"/>
      <c r="AI1112" s="885"/>
      <c r="AJ1112" s="885"/>
      <c r="AK1112" s="885"/>
      <c r="AL1112" s="885"/>
      <c r="AM1112" s="879"/>
      <c r="AN1112" s="2"/>
      <c r="AO1112" s="886"/>
      <c r="AP1112" s="886"/>
      <c r="AV1112" t="str">
        <f t="shared" si="4240"/>
        <v>Sobrelargura</v>
      </c>
      <c r="AW1112" s="4" t="str">
        <f t="shared" si="4238"/>
        <v>3.1-PF 2,50x2,00 Km 153+780- Aterro A2 - Bueiro de Concreto</v>
      </c>
    </row>
    <row r="1113" spans="1:50" ht="15.6" customHeight="1" outlineLevel="2">
      <c r="A1113" s="209" t="str">
        <f t="shared" ref="A1113" si="4304">IF(SUM(P1113:V1114)&gt;0,"S","N")</f>
        <v>N</v>
      </c>
      <c r="B1113" s="150">
        <v>1069941</v>
      </c>
      <c r="C1113" s="150" t="s">
        <v>1427</v>
      </c>
      <c r="D1113" s="120" t="s">
        <v>1428</v>
      </c>
      <c r="E1113" s="892" t="s">
        <v>1428</v>
      </c>
      <c r="F1113" s="902" t="s">
        <v>52</v>
      </c>
      <c r="G1113" s="528"/>
      <c r="H1113" s="546" t="s">
        <v>37</v>
      </c>
      <c r="I1113" s="711">
        <v>0</v>
      </c>
      <c r="J1113" s="896" t="str">
        <f t="shared" ref="J1113" si="4305">IFERROR((I1114/I1113),"-")</f>
        <v>-</v>
      </c>
      <c r="K1113" s="528"/>
      <c r="L1113" s="546" t="s">
        <v>37</v>
      </c>
      <c r="M1113" s="711">
        <f t="shared" si="4186"/>
        <v>0</v>
      </c>
      <c r="N1113" s="896" t="str">
        <f t="shared" ref="N1113" si="4306">IFERROR((M1114/M1113),"-")</f>
        <v>-</v>
      </c>
      <c r="O1113" s="528"/>
      <c r="P1113" s="547">
        <v>0</v>
      </c>
      <c r="Q1113" s="547">
        <v>0</v>
      </c>
      <c r="R1113" s="547">
        <v>0</v>
      </c>
      <c r="S1113" s="547">
        <v>0</v>
      </c>
      <c r="T1113" s="547">
        <v>0</v>
      </c>
      <c r="U1113" s="547">
        <v>0</v>
      </c>
      <c r="V1113" s="548">
        <v>0</v>
      </c>
      <c r="W1113" s="528"/>
      <c r="X1113" s="711">
        <f t="shared" si="4178"/>
        <v>0</v>
      </c>
      <c r="Y1113" s="896" t="str">
        <f t="shared" ref="Y1113" si="4307">IFERROR((X1114/X1113),"0")</f>
        <v>0</v>
      </c>
      <c r="Z1113" s="528"/>
      <c r="AA1113" s="898">
        <v>0</v>
      </c>
      <c r="AB1113" s="898">
        <v>0</v>
      </c>
      <c r="AC1113" s="903">
        <v>0</v>
      </c>
      <c r="AD1113" s="896" t="str">
        <f t="shared" ref="AD1113" si="4308">IFERROR((AC1113/AB1113),"-")</f>
        <v>-</v>
      </c>
      <c r="AE1113" s="2"/>
      <c r="AF1113" s="886">
        <v>0</v>
      </c>
      <c r="AG1113" s="884"/>
      <c r="AH1113" s="921">
        <v>0</v>
      </c>
      <c r="AI1113" s="884"/>
      <c r="AJ1113" s="884">
        <v>12</v>
      </c>
      <c r="AK1113" s="884">
        <f t="shared" ref="AK1113" si="4309">AF1113+AG1113+AH1113+AI1113+AJ1113+AC1113</f>
        <v>12</v>
      </c>
      <c r="AL1113" s="884">
        <v>21</v>
      </c>
      <c r="AM1113" s="878">
        <f t="shared" ref="AM1113" si="4310">IFERROR((AK1113/AL1113),"-")</f>
        <v>0.5714285714285714</v>
      </c>
      <c r="AN1113" s="2"/>
      <c r="AO1113" s="884">
        <v>21</v>
      </c>
      <c r="AP1113" s="884">
        <f t="shared" ref="AP1113" si="4311">AO1113-AK1113</f>
        <v>9</v>
      </c>
      <c r="AV1113" t="str">
        <f t="shared" si="4240"/>
        <v>Sobrelargura</v>
      </c>
      <c r="AW1113" s="4" t="str">
        <f t="shared" si="4238"/>
        <v>BSTC 0,80m - CONEXÃO 3 - PATIO GO-164 - km 0+352</v>
      </c>
    </row>
    <row r="1114" spans="1:50" ht="20.65" customHeight="1" outlineLevel="2">
      <c r="A1114" s="209" t="str">
        <f t="shared" ref="A1114" si="4312">A1113</f>
        <v>N</v>
      </c>
      <c r="B1114" s="150"/>
      <c r="C1114" s="150"/>
      <c r="D1114" s="120"/>
      <c r="E1114" s="893"/>
      <c r="F1114" s="902"/>
      <c r="G1114" s="528"/>
      <c r="H1114" s="549" t="s">
        <v>38</v>
      </c>
      <c r="I1114" s="711">
        <v>0</v>
      </c>
      <c r="J1114" s="897"/>
      <c r="K1114" s="528"/>
      <c r="L1114" s="549" t="s">
        <v>38</v>
      </c>
      <c r="M1114" s="711">
        <f t="shared" si="4186"/>
        <v>0</v>
      </c>
      <c r="N1114" s="897"/>
      <c r="O1114" s="528"/>
      <c r="P1114" s="548">
        <v>0</v>
      </c>
      <c r="Q1114" s="548">
        <v>0</v>
      </c>
      <c r="R1114" s="548">
        <v>0</v>
      </c>
      <c r="S1114" s="548">
        <v>0</v>
      </c>
      <c r="T1114" s="548">
        <v>0</v>
      </c>
      <c r="U1114" s="548">
        <v>0</v>
      </c>
      <c r="V1114" s="548">
        <v>0</v>
      </c>
      <c r="W1114" s="528"/>
      <c r="X1114" s="711">
        <f t="shared" si="4178"/>
        <v>0</v>
      </c>
      <c r="Y1114" s="897"/>
      <c r="Z1114" s="528"/>
      <c r="AA1114" s="899"/>
      <c r="AB1114" s="899"/>
      <c r="AC1114" s="904"/>
      <c r="AD1114" s="905"/>
      <c r="AE1114" s="2"/>
      <c r="AF1114" s="926"/>
      <c r="AG1114" s="885"/>
      <c r="AH1114" s="922"/>
      <c r="AI1114" s="885"/>
      <c r="AJ1114" s="885"/>
      <c r="AK1114" s="885"/>
      <c r="AL1114" s="885"/>
      <c r="AM1114" s="879"/>
      <c r="AN1114" s="2"/>
      <c r="AO1114" s="886"/>
      <c r="AP1114" s="886"/>
      <c r="AV1114" t="str">
        <f t="shared" si="4240"/>
        <v>Sobrelargura</v>
      </c>
      <c r="AW1114" s="4" t="str">
        <f t="shared" si="4238"/>
        <v>BSTC 0,80m - CONEXÃO 3 - PATIO GO-164 - km 0+352</v>
      </c>
    </row>
    <row r="1115" spans="1:50" ht="37.35" customHeight="1" outlineLevel="2">
      <c r="A1115" s="209" t="str">
        <f t="shared" ref="A1115" si="4313">IF(SUM(P1115:V1116)&gt;0,"S","N")</f>
        <v>N</v>
      </c>
      <c r="B1115" s="150">
        <v>1069946</v>
      </c>
      <c r="C1115" s="150" t="s">
        <v>1429</v>
      </c>
      <c r="D1115" s="120" t="s">
        <v>1430</v>
      </c>
      <c r="E1115" s="892" t="s">
        <v>1430</v>
      </c>
      <c r="F1115" s="902" t="s">
        <v>52</v>
      </c>
      <c r="G1115" s="528"/>
      <c r="H1115" s="546" t="s">
        <v>37</v>
      </c>
      <c r="I1115" s="711">
        <v>0</v>
      </c>
      <c r="J1115" s="896" t="str">
        <f t="shared" ref="J1115" si="4314">IFERROR((I1116/I1115),"-")</f>
        <v>-</v>
      </c>
      <c r="K1115" s="528"/>
      <c r="L1115" s="546" t="s">
        <v>37</v>
      </c>
      <c r="M1115" s="711">
        <f t="shared" si="4186"/>
        <v>0</v>
      </c>
      <c r="N1115" s="896" t="str">
        <f t="shared" ref="N1115" si="4315">IFERROR((M1116/M1115),"-")</f>
        <v>-</v>
      </c>
      <c r="O1115" s="528"/>
      <c r="P1115" s="547">
        <v>0</v>
      </c>
      <c r="Q1115" s="547">
        <v>0</v>
      </c>
      <c r="R1115" s="547">
        <v>0</v>
      </c>
      <c r="S1115" s="547">
        <v>0</v>
      </c>
      <c r="T1115" s="547">
        <v>0</v>
      </c>
      <c r="U1115" s="547">
        <v>0</v>
      </c>
      <c r="V1115" s="548">
        <v>0</v>
      </c>
      <c r="W1115" s="528"/>
      <c r="X1115" s="711">
        <f t="shared" si="4178"/>
        <v>0</v>
      </c>
      <c r="Y1115" s="896" t="str">
        <f t="shared" ref="Y1115" si="4316">IFERROR((X1116/X1115),"0")</f>
        <v>0</v>
      </c>
      <c r="Z1115" s="528"/>
      <c r="AA1115" s="898">
        <v>0</v>
      </c>
      <c r="AB1115" s="898">
        <v>0</v>
      </c>
      <c r="AC1115" s="903">
        <v>0</v>
      </c>
      <c r="AD1115" s="896" t="str">
        <f t="shared" ref="AD1115" si="4317">IFERROR((AC1115/AB1115),"-")</f>
        <v>-</v>
      </c>
      <c r="AE1115" s="2"/>
      <c r="AF1115" s="886">
        <v>0</v>
      </c>
      <c r="AG1115" s="884"/>
      <c r="AH1115" s="921">
        <v>0</v>
      </c>
      <c r="AI1115" s="884"/>
      <c r="AJ1115" s="884">
        <v>26</v>
      </c>
      <c r="AK1115" s="884">
        <f t="shared" ref="AK1115" si="4318">AF1115+AG1115+AH1115+AI1115+AJ1115+AC1115</f>
        <v>26</v>
      </c>
      <c r="AL1115" s="884">
        <v>25.970000000000002</v>
      </c>
      <c r="AM1115" s="878">
        <f t="shared" ref="AM1115" si="4319">IFERROR((AK1115/AL1115),"-")</f>
        <v>1.0011551790527531</v>
      </c>
      <c r="AN1115" s="2"/>
      <c r="AO1115" s="884">
        <v>26</v>
      </c>
      <c r="AP1115" s="884">
        <f t="shared" ref="AP1115" si="4320">AO1115-AK1115</f>
        <v>0</v>
      </c>
      <c r="AV1115" s="4" t="str">
        <f t="shared" si="4240"/>
        <v>Sobrelargura</v>
      </c>
      <c r="AW1115" s="4" t="str">
        <f t="shared" si="4238"/>
        <v>BSTC 0,80m - RETORNO 1 - PATIO GO-164 - km 0+47</v>
      </c>
      <c r="AX1115" s="4"/>
    </row>
    <row r="1116" spans="1:50" ht="37.35" customHeight="1" outlineLevel="1">
      <c r="A1116" s="209" t="str">
        <f t="shared" ref="A1116" si="4321">A1115</f>
        <v>N</v>
      </c>
      <c r="B1116" s="150"/>
      <c r="C1116" s="150"/>
      <c r="D1116" s="120"/>
      <c r="E1116" s="893"/>
      <c r="F1116" s="902"/>
      <c r="G1116" s="528"/>
      <c r="H1116" s="549" t="s">
        <v>38</v>
      </c>
      <c r="I1116" s="711">
        <v>0</v>
      </c>
      <c r="J1116" s="897"/>
      <c r="K1116" s="528"/>
      <c r="L1116" s="549" t="s">
        <v>38</v>
      </c>
      <c r="M1116" s="711">
        <f t="shared" si="4186"/>
        <v>0</v>
      </c>
      <c r="N1116" s="897"/>
      <c r="O1116" s="528"/>
      <c r="P1116" s="548">
        <v>0</v>
      </c>
      <c r="Q1116" s="548">
        <v>0</v>
      </c>
      <c r="R1116" s="548">
        <v>0</v>
      </c>
      <c r="S1116" s="548">
        <v>0</v>
      </c>
      <c r="T1116" s="548">
        <v>0</v>
      </c>
      <c r="U1116" s="548">
        <v>0</v>
      </c>
      <c r="V1116" s="548">
        <v>0</v>
      </c>
      <c r="W1116" s="528"/>
      <c r="X1116" s="711">
        <f t="shared" si="4178"/>
        <v>0</v>
      </c>
      <c r="Y1116" s="897"/>
      <c r="Z1116" s="528"/>
      <c r="AA1116" s="899"/>
      <c r="AB1116" s="899"/>
      <c r="AC1116" s="904"/>
      <c r="AD1116" s="905"/>
      <c r="AE1116" s="2"/>
      <c r="AF1116" s="926"/>
      <c r="AG1116" s="885"/>
      <c r="AH1116" s="922"/>
      <c r="AI1116" s="885"/>
      <c r="AJ1116" s="885"/>
      <c r="AK1116" s="885"/>
      <c r="AL1116" s="885"/>
      <c r="AM1116" s="879"/>
      <c r="AN1116" s="2"/>
      <c r="AO1116" s="886"/>
      <c r="AP1116" s="886"/>
      <c r="AV1116" t="str">
        <f t="shared" si="4240"/>
        <v>Sobrelargura</v>
      </c>
      <c r="AW1116" s="4" t="str">
        <f t="shared" si="4238"/>
        <v>BSTC 0,80m - RETORNO 1 - PATIO GO-164 - km 0+47</v>
      </c>
    </row>
    <row r="1117" spans="1:50" ht="26.25" customHeight="1" outlineLevel="1">
      <c r="A1117" s="8" t="str">
        <f t="shared" ref="A1117" si="4322">IF(SUM(P1117:V1118)&gt;0,"S","N")</f>
        <v>N</v>
      </c>
      <c r="B1117" s="150">
        <v>1069953</v>
      </c>
      <c r="C1117" s="150" t="s">
        <v>1431</v>
      </c>
      <c r="D1117" s="120" t="s">
        <v>1432</v>
      </c>
      <c r="E1117" s="892" t="s">
        <v>1432</v>
      </c>
      <c r="F1117" s="902" t="s">
        <v>52</v>
      </c>
      <c r="G1117" s="528"/>
      <c r="H1117" s="546" t="s">
        <v>37</v>
      </c>
      <c r="I1117" s="711">
        <v>0</v>
      </c>
      <c r="J1117" s="896" t="str">
        <f t="shared" ref="J1117" si="4323">IFERROR((I1118/I1117),"-")</f>
        <v>-</v>
      </c>
      <c r="K1117" s="528"/>
      <c r="L1117" s="546" t="s">
        <v>37</v>
      </c>
      <c r="M1117" s="711">
        <f t="shared" si="4186"/>
        <v>0</v>
      </c>
      <c r="N1117" s="896" t="str">
        <f t="shared" ref="N1117" si="4324">IFERROR((M1118/M1117),"-")</f>
        <v>-</v>
      </c>
      <c r="O1117" s="528"/>
      <c r="P1117" s="547">
        <v>0</v>
      </c>
      <c r="Q1117" s="547">
        <v>0</v>
      </c>
      <c r="R1117" s="547">
        <v>0</v>
      </c>
      <c r="S1117" s="547">
        <v>0</v>
      </c>
      <c r="T1117" s="547">
        <v>0</v>
      </c>
      <c r="U1117" s="547">
        <v>0</v>
      </c>
      <c r="V1117" s="548">
        <v>0</v>
      </c>
      <c r="W1117" s="528"/>
      <c r="X1117" s="711">
        <f t="shared" si="4178"/>
        <v>0</v>
      </c>
      <c r="Y1117" s="896" t="str">
        <f t="shared" ref="Y1117" si="4325">IFERROR((X1118/X1117),"0")</f>
        <v>0</v>
      </c>
      <c r="Z1117" s="528"/>
      <c r="AA1117" s="898">
        <v>0</v>
      </c>
      <c r="AB1117" s="898">
        <v>0</v>
      </c>
      <c r="AC1117" s="903">
        <v>0</v>
      </c>
      <c r="AD1117" s="896" t="str">
        <f t="shared" ref="AD1117" si="4326">IFERROR((AC1117/AB1117),"-")</f>
        <v>-</v>
      </c>
      <c r="AE1117" s="2"/>
      <c r="AF1117" s="886">
        <v>0</v>
      </c>
      <c r="AG1117" s="884"/>
      <c r="AH1117" s="921">
        <v>0</v>
      </c>
      <c r="AI1117" s="884"/>
      <c r="AJ1117" s="884">
        <v>11</v>
      </c>
      <c r="AK1117" s="884">
        <f t="shared" ref="AK1117" si="4327">AF1117+AG1117+AH1117+AI1117+AJ1117+AC1117</f>
        <v>11</v>
      </c>
      <c r="AL1117" s="884">
        <v>11</v>
      </c>
      <c r="AM1117" s="878">
        <f t="shared" ref="AM1117" si="4328">IFERROR((AK1117/AL1117),"-")</f>
        <v>1</v>
      </c>
      <c r="AN1117" s="2"/>
      <c r="AO1117" s="884">
        <v>11</v>
      </c>
      <c r="AP1117" s="884">
        <f t="shared" ref="AP1117" si="4329">AO1117-AK1117</f>
        <v>0</v>
      </c>
      <c r="AV1117" s="4" t="str">
        <f t="shared" si="4240"/>
        <v>Sobrelargura</v>
      </c>
      <c r="AW1117" s="4" t="str">
        <f t="shared" si="4238"/>
        <v>BSTC 0,80m - CONEXÃO 1 - PATIO GO-164 - km 0+641</v>
      </c>
      <c r="AX1117" s="4"/>
    </row>
    <row r="1118" spans="1:50" ht="26.25" customHeight="1">
      <c r="A1118" s="8" t="str">
        <f t="shared" ref="A1118" si="4330">A1117</f>
        <v>N</v>
      </c>
      <c r="B1118" s="150" t="s">
        <v>266</v>
      </c>
      <c r="C1118" s="150"/>
      <c r="D1118" s="120"/>
      <c r="E1118" s="893"/>
      <c r="F1118" s="902"/>
      <c r="G1118" s="528"/>
      <c r="H1118" s="549" t="s">
        <v>38</v>
      </c>
      <c r="I1118" s="711">
        <v>0</v>
      </c>
      <c r="J1118" s="897"/>
      <c r="K1118" s="528"/>
      <c r="L1118" s="549" t="s">
        <v>38</v>
      </c>
      <c r="M1118" s="711">
        <f t="shared" si="4186"/>
        <v>0</v>
      </c>
      <c r="N1118" s="897"/>
      <c r="O1118" s="528"/>
      <c r="P1118" s="548">
        <v>0</v>
      </c>
      <c r="Q1118" s="548">
        <v>0</v>
      </c>
      <c r="R1118" s="548">
        <v>0</v>
      </c>
      <c r="S1118" s="548">
        <v>0</v>
      </c>
      <c r="T1118" s="548">
        <v>0</v>
      </c>
      <c r="U1118" s="548">
        <v>0</v>
      </c>
      <c r="V1118" s="548">
        <v>0</v>
      </c>
      <c r="W1118" s="528"/>
      <c r="X1118" s="711">
        <f t="shared" si="4178"/>
        <v>0</v>
      </c>
      <c r="Y1118" s="897"/>
      <c r="Z1118" s="528"/>
      <c r="AA1118" s="899"/>
      <c r="AB1118" s="899"/>
      <c r="AC1118" s="904"/>
      <c r="AD1118" s="905"/>
      <c r="AE1118" s="2"/>
      <c r="AF1118" s="996"/>
      <c r="AG1118" s="908"/>
      <c r="AH1118" s="922"/>
      <c r="AI1118" s="908"/>
      <c r="AJ1118" s="908"/>
      <c r="AK1118" s="885"/>
      <c r="AL1118" s="885"/>
      <c r="AM1118" s="879"/>
      <c r="AN1118" s="2"/>
      <c r="AO1118" s="886"/>
      <c r="AP1118" s="886"/>
      <c r="AV1118" t="str">
        <f t="shared" si="4240"/>
        <v>Sobrelargura</v>
      </c>
      <c r="AW1118" s="4" t="str">
        <f t="shared" si="4238"/>
        <v>BSTC 0,80m - CONEXÃO 1 - PATIO GO-164 - km 0+641</v>
      </c>
    </row>
    <row r="1119" spans="1:50" ht="30" customHeight="1">
      <c r="A1119" s="8" t="str">
        <f t="shared" ref="A1119" si="4331">IF(SUM(P1119:V1120)&gt;0,"S","N")</f>
        <v>N</v>
      </c>
      <c r="B1119" s="150" t="s">
        <v>266</v>
      </c>
      <c r="C1119" s="150"/>
      <c r="D1119" s="120"/>
      <c r="E1119" s="892" t="s">
        <v>1433</v>
      </c>
      <c r="F1119" s="902" t="s">
        <v>52</v>
      </c>
      <c r="G1119" s="528"/>
      <c r="H1119" s="546" t="s">
        <v>37</v>
      </c>
      <c r="I1119" s="711">
        <v>0</v>
      </c>
      <c r="J1119" s="896" t="str">
        <f t="shared" ref="J1119" si="4332">IFERROR((I1120/I1119),"-")</f>
        <v>-</v>
      </c>
      <c r="K1119" s="528"/>
      <c r="L1119" s="546" t="s">
        <v>37</v>
      </c>
      <c r="M1119" s="711">
        <f t="shared" si="4186"/>
        <v>0</v>
      </c>
      <c r="N1119" s="896" t="str">
        <f t="shared" ref="N1119" si="4333">IFERROR((M1120/M1119),"-")</f>
        <v>-</v>
      </c>
      <c r="O1119" s="528"/>
      <c r="P1119" s="547">
        <v>0</v>
      </c>
      <c r="Q1119" s="547">
        <v>0</v>
      </c>
      <c r="R1119" s="547">
        <v>0</v>
      </c>
      <c r="S1119" s="547">
        <v>0</v>
      </c>
      <c r="T1119" s="547">
        <v>0</v>
      </c>
      <c r="U1119" s="547">
        <v>0</v>
      </c>
      <c r="V1119" s="548">
        <v>0</v>
      </c>
      <c r="W1119" s="528"/>
      <c r="X1119" s="711">
        <f t="shared" si="4178"/>
        <v>0</v>
      </c>
      <c r="Y1119" s="896" t="str">
        <f t="shared" ref="Y1119" si="4334">IFERROR((X1120/X1119),"0")</f>
        <v>0</v>
      </c>
      <c r="Z1119" s="528"/>
      <c r="AA1119" s="898">
        <v>0</v>
      </c>
      <c r="AB1119" s="898">
        <v>0</v>
      </c>
      <c r="AC1119" s="903">
        <v>0</v>
      </c>
      <c r="AD1119" s="896" t="str">
        <f t="shared" ref="AD1119" si="4335">IFERROR((AC1119/AB1119),"-")</f>
        <v>-</v>
      </c>
      <c r="AE1119" s="2"/>
      <c r="AF1119" s="886">
        <v>33</v>
      </c>
      <c r="AG1119" s="884"/>
      <c r="AH1119" s="921">
        <v>0</v>
      </c>
      <c r="AI1119" s="884"/>
      <c r="AJ1119" s="884"/>
      <c r="AK1119" s="884">
        <f t="shared" ref="AK1119" si="4336">AF1119+AG1119+AH1119+AI1119+AJ1119+AC1119</f>
        <v>33</v>
      </c>
      <c r="AL1119" s="884">
        <v>0</v>
      </c>
      <c r="AM1119" s="878" t="str">
        <f t="shared" ref="AM1119" si="4337">IFERROR((AK1119/AL1119),"-")</f>
        <v>-</v>
      </c>
      <c r="AN1119" s="2"/>
      <c r="AO1119" s="884">
        <v>0</v>
      </c>
      <c r="AP1119" s="884">
        <f t="shared" ref="AP1119" si="4338">AO1119-AK1119</f>
        <v>-33</v>
      </c>
      <c r="AV1119" s="275" t="str">
        <f t="shared" si="4240"/>
        <v>BDCC no Km 155+722 - Aterro 03</v>
      </c>
      <c r="AW1119" s="275" t="str">
        <f t="shared" si="4238"/>
        <v>BDCC no Km 155+722 - Aterro 03</v>
      </c>
      <c r="AX1119" s="275" t="s">
        <v>1434</v>
      </c>
    </row>
    <row r="1120" spans="1:50" ht="30" customHeight="1">
      <c r="A1120" s="8" t="str">
        <f t="shared" ref="A1120" si="4339">A1119</f>
        <v>N</v>
      </c>
      <c r="B1120" s="150" t="s">
        <v>266</v>
      </c>
      <c r="C1120" s="150"/>
      <c r="D1120" s="120"/>
      <c r="E1120" s="893"/>
      <c r="F1120" s="902"/>
      <c r="G1120" s="528"/>
      <c r="H1120" s="549" t="s">
        <v>38</v>
      </c>
      <c r="I1120" s="711">
        <v>0</v>
      </c>
      <c r="J1120" s="897"/>
      <c r="K1120" s="528"/>
      <c r="L1120" s="549" t="s">
        <v>38</v>
      </c>
      <c r="M1120" s="711">
        <f t="shared" si="4186"/>
        <v>0</v>
      </c>
      <c r="N1120" s="897"/>
      <c r="O1120" s="528"/>
      <c r="P1120" s="548">
        <v>0</v>
      </c>
      <c r="Q1120" s="548">
        <v>0</v>
      </c>
      <c r="R1120" s="548">
        <v>0</v>
      </c>
      <c r="S1120" s="548">
        <v>0</v>
      </c>
      <c r="T1120" s="548">
        <v>0</v>
      </c>
      <c r="U1120" s="548">
        <v>0</v>
      </c>
      <c r="V1120" s="548">
        <v>0</v>
      </c>
      <c r="W1120" s="528"/>
      <c r="X1120" s="711">
        <f t="shared" si="4178"/>
        <v>0</v>
      </c>
      <c r="Y1120" s="897"/>
      <c r="Z1120" s="528"/>
      <c r="AA1120" s="899"/>
      <c r="AB1120" s="899"/>
      <c r="AC1120" s="904"/>
      <c r="AD1120" s="905"/>
      <c r="AE1120" s="2"/>
      <c r="AF1120" s="996"/>
      <c r="AG1120" s="908"/>
      <c r="AH1120" s="922"/>
      <c r="AI1120" s="908"/>
      <c r="AJ1120" s="908"/>
      <c r="AK1120" s="885"/>
      <c r="AL1120" s="885"/>
      <c r="AM1120" s="879"/>
      <c r="AN1120" s="2"/>
      <c r="AO1120" s="886"/>
      <c r="AP1120" s="886"/>
      <c r="AV1120" t="str">
        <f t="shared" si="4240"/>
        <v>BDCC no Km 155+722 - Aterro 03</v>
      </c>
      <c r="AW1120" s="4" t="str">
        <f t="shared" si="4238"/>
        <v>BDCC no Km 155+722 - Aterro 03</v>
      </c>
    </row>
    <row r="1121" spans="1:49" ht="15.6" customHeight="1">
      <c r="A1121" s="8" t="str">
        <f t="shared" ref="A1121" si="4340">IF(SUM(P1121:V1122)&gt;0,"S","N")</f>
        <v>N</v>
      </c>
      <c r="B1121" s="150" t="s">
        <v>266</v>
      </c>
      <c r="C1121" s="150"/>
      <c r="D1121" s="120"/>
      <c r="E1121" s="892" t="s">
        <v>1435</v>
      </c>
      <c r="F1121" s="902" t="s">
        <v>52</v>
      </c>
      <c r="G1121" s="528"/>
      <c r="H1121" s="546" t="s">
        <v>37</v>
      </c>
      <c r="I1121" s="711">
        <v>0</v>
      </c>
      <c r="J1121" s="896" t="str">
        <f t="shared" ref="J1121" si="4341">IFERROR((I1122/I1121),"-")</f>
        <v>-</v>
      </c>
      <c r="K1121" s="528"/>
      <c r="L1121" s="546" t="s">
        <v>37</v>
      </c>
      <c r="M1121" s="711">
        <f t="shared" si="4186"/>
        <v>0</v>
      </c>
      <c r="N1121" s="896" t="str">
        <f t="shared" ref="N1121" si="4342">IFERROR((M1122/M1121),"-")</f>
        <v>-</v>
      </c>
      <c r="O1121" s="528"/>
      <c r="P1121" s="547">
        <v>0</v>
      </c>
      <c r="Q1121" s="547">
        <v>0</v>
      </c>
      <c r="R1121" s="547">
        <v>0</v>
      </c>
      <c r="S1121" s="547">
        <v>0</v>
      </c>
      <c r="T1121" s="547">
        <v>0</v>
      </c>
      <c r="U1121" s="547">
        <v>0</v>
      </c>
      <c r="V1121" s="548">
        <v>0</v>
      </c>
      <c r="W1121" s="528"/>
      <c r="X1121" s="711">
        <f t="shared" si="4178"/>
        <v>0</v>
      </c>
      <c r="Y1121" s="896" t="str">
        <f t="shared" ref="Y1121" si="4343">IFERROR((X1122/X1121),"0")</f>
        <v>0</v>
      </c>
      <c r="Z1121" s="528"/>
      <c r="AA1121" s="898">
        <v>0</v>
      </c>
      <c r="AB1121" s="898">
        <v>0</v>
      </c>
      <c r="AC1121" s="903">
        <v>0</v>
      </c>
      <c r="AD1121" s="896" t="str">
        <f t="shared" ref="AD1121" si="4344">IFERROR((AC1121/AB1121),"-")</f>
        <v>-</v>
      </c>
      <c r="AE1121" s="2"/>
      <c r="AF1121" s="886">
        <v>27</v>
      </c>
      <c r="AG1121" s="884"/>
      <c r="AH1121" s="921">
        <v>0</v>
      </c>
      <c r="AI1121" s="884"/>
      <c r="AJ1121" s="884"/>
      <c r="AK1121" s="884">
        <f t="shared" ref="AK1121" si="4345">AF1121+AG1121+AH1121+AI1121+AJ1121+AC1121</f>
        <v>27</v>
      </c>
      <c r="AL1121" s="884">
        <v>0</v>
      </c>
      <c r="AM1121" s="878" t="str">
        <f t="shared" ref="AM1121" si="4346">IFERROR((AK1121/AL1121),"-")</f>
        <v>-</v>
      </c>
      <c r="AN1121" s="2"/>
      <c r="AO1121" s="884">
        <v>0</v>
      </c>
      <c r="AP1121" s="884">
        <f t="shared" ref="AP1121" si="4347">AO1121-AK1121</f>
        <v>-27</v>
      </c>
      <c r="AV1121" t="str">
        <f t="shared" si="4240"/>
        <v>BDCC no Km 155+722 - Aterro 03</v>
      </c>
      <c r="AW1121" s="4" t="str">
        <f t="shared" si="4238"/>
        <v>Montagem de PG no Km 155+670</v>
      </c>
    </row>
    <row r="1122" spans="1:49" ht="15.6" customHeight="1" outlineLevel="1">
      <c r="A1122" s="8" t="str">
        <f t="shared" ref="A1122" si="4348">A1121</f>
        <v>N</v>
      </c>
      <c r="B1122" s="150"/>
      <c r="C1122" s="150"/>
      <c r="D1122" s="120"/>
      <c r="E1122" s="893"/>
      <c r="F1122" s="902"/>
      <c r="G1122" s="528"/>
      <c r="H1122" s="549" t="s">
        <v>38</v>
      </c>
      <c r="I1122" s="711">
        <v>0</v>
      </c>
      <c r="J1122" s="897"/>
      <c r="K1122" s="528"/>
      <c r="L1122" s="549" t="s">
        <v>38</v>
      </c>
      <c r="M1122" s="711">
        <f t="shared" si="4186"/>
        <v>0</v>
      </c>
      <c r="N1122" s="897"/>
      <c r="O1122" s="528"/>
      <c r="P1122" s="548">
        <v>0</v>
      </c>
      <c r="Q1122" s="548">
        <v>0</v>
      </c>
      <c r="R1122" s="548">
        <v>0</v>
      </c>
      <c r="S1122" s="548">
        <v>0</v>
      </c>
      <c r="T1122" s="548">
        <v>0</v>
      </c>
      <c r="U1122" s="548">
        <v>0</v>
      </c>
      <c r="V1122" s="548">
        <v>0</v>
      </c>
      <c r="W1122" s="528"/>
      <c r="X1122" s="711">
        <f t="shared" si="4178"/>
        <v>0</v>
      </c>
      <c r="Y1122" s="897"/>
      <c r="Z1122" s="528"/>
      <c r="AA1122" s="899"/>
      <c r="AB1122" s="899"/>
      <c r="AC1122" s="904"/>
      <c r="AD1122" s="905"/>
      <c r="AE1122" s="2"/>
      <c r="AF1122" s="996"/>
      <c r="AG1122" s="908"/>
      <c r="AH1122" s="922"/>
      <c r="AI1122" s="908"/>
      <c r="AJ1122" s="908"/>
      <c r="AK1122" s="885"/>
      <c r="AL1122" s="885"/>
      <c r="AM1122" s="879"/>
      <c r="AN1122" s="2"/>
      <c r="AO1122" s="886"/>
      <c r="AP1122" s="886"/>
      <c r="AV1122" t="str">
        <f t="shared" si="4240"/>
        <v>BDCC no Km 155+722 - Aterro 03</v>
      </c>
      <c r="AW1122" s="4" t="str">
        <f t="shared" si="4238"/>
        <v>Montagem de PG no Km 155+670</v>
      </c>
    </row>
    <row r="1123" spans="1:49" ht="15.6" customHeight="1" outlineLevel="1">
      <c r="A1123" s="209">
        <v>0</v>
      </c>
      <c r="B1123" s="150"/>
      <c r="C1123" s="150"/>
      <c r="D1123" s="117"/>
      <c r="E1123" s="535"/>
      <c r="F1123" s="536"/>
      <c r="G1123" s="537"/>
      <c r="H1123" s="714"/>
      <c r="I1123" s="555"/>
      <c r="J1123" s="714"/>
      <c r="K1123" s="537"/>
      <c r="L1123" s="714"/>
      <c r="M1123" s="555"/>
      <c r="N1123" s="714"/>
      <c r="O1123" s="537"/>
      <c r="P1123" s="539"/>
      <c r="Q1123" s="539"/>
      <c r="R1123" s="539"/>
      <c r="S1123" s="539"/>
      <c r="T1123" s="539"/>
      <c r="U1123" s="539"/>
      <c r="V1123" s="539"/>
      <c r="W1123" s="537"/>
      <c r="X1123" s="540"/>
      <c r="Y1123" s="537"/>
      <c r="Z1123" s="537"/>
      <c r="AA1123" s="249"/>
      <c r="AB1123" s="249"/>
      <c r="AC1123" s="249"/>
      <c r="AD1123" s="537"/>
      <c r="AE1123" s="3"/>
      <c r="AF1123" s="35"/>
      <c r="AG1123" s="35"/>
      <c r="AH1123" s="35"/>
      <c r="AI1123" s="35"/>
      <c r="AJ1123" s="35"/>
      <c r="AK1123" s="35"/>
      <c r="AL1123" s="35"/>
      <c r="AM1123" s="3"/>
      <c r="AN1123" s="3"/>
      <c r="AO1123" s="35"/>
      <c r="AP1123" s="35"/>
      <c r="AV1123" t="str">
        <f t="shared" si="4240"/>
        <v>BDCC no Km 155+722 - Aterro 03</v>
      </c>
      <c r="AW1123" s="4" t="str">
        <f t="shared" si="4238"/>
        <v>Montagem de PG no Km 155+670</v>
      </c>
    </row>
    <row r="1124" spans="1:49" ht="15.6" customHeight="1" outlineLevel="2">
      <c r="A1124" s="209">
        <v>0</v>
      </c>
      <c r="B1124" s="150"/>
      <c r="C1124" s="150"/>
      <c r="D1124" s="117"/>
      <c r="E1124" s="535"/>
      <c r="F1124" s="536"/>
      <c r="G1124" s="537"/>
      <c r="H1124" s="714"/>
      <c r="I1124" s="571"/>
      <c r="J1124" s="714"/>
      <c r="K1124" s="537"/>
      <c r="L1124" s="714"/>
      <c r="M1124" s="571"/>
      <c r="N1124" s="714"/>
      <c r="O1124" s="537"/>
      <c r="P1124" s="572"/>
      <c r="Q1124" s="572"/>
      <c r="R1124" s="572"/>
      <c r="S1124" s="572"/>
      <c r="T1124" s="572"/>
      <c r="U1124" s="572"/>
      <c r="V1124" s="572"/>
      <c r="W1124" s="537"/>
      <c r="X1124" s="540"/>
      <c r="Y1124" s="537"/>
      <c r="Z1124" s="537"/>
      <c r="AA1124" s="249"/>
      <c r="AB1124" s="249"/>
      <c r="AC1124" s="249"/>
      <c r="AD1124" s="537"/>
      <c r="AE1124" s="3"/>
      <c r="AF1124" s="35"/>
      <c r="AG1124" s="35"/>
      <c r="AH1124" s="35"/>
      <c r="AI1124" s="35"/>
      <c r="AJ1124" s="35"/>
      <c r="AK1124" s="35"/>
      <c r="AL1124" s="35"/>
      <c r="AM1124" s="3"/>
      <c r="AN1124" s="3"/>
      <c r="AO1124" s="35"/>
      <c r="AP1124" s="35"/>
      <c r="AV1124" t="str">
        <f t="shared" si="4240"/>
        <v>BDCC no Km 155+722 - Aterro 03</v>
      </c>
      <c r="AW1124" s="4" t="str">
        <f t="shared" si="4238"/>
        <v>Montagem de PG no Km 155+670</v>
      </c>
    </row>
    <row r="1125" spans="1:49" ht="15.6" customHeight="1" outlineLevel="2">
      <c r="A1125" s="209">
        <v>0</v>
      </c>
      <c r="B1125" s="150"/>
      <c r="C1125" s="150"/>
      <c r="D1125" s="124"/>
      <c r="E1125" s="870" t="s">
        <v>1436</v>
      </c>
      <c r="F1125" s="894" t="s">
        <v>1437</v>
      </c>
      <c r="G1125" s="528"/>
      <c r="H1125" s="529" t="s">
        <v>37</v>
      </c>
      <c r="I1125" s="707">
        <f>I1128+I1199+I1362</f>
        <v>8</v>
      </c>
      <c r="J1125" s="900">
        <f t="shared" ref="J1125" si="4349">IFERROR((I1126/I1125),"-")</f>
        <v>0</v>
      </c>
      <c r="K1125" s="567"/>
      <c r="L1125" s="574" t="s">
        <v>37</v>
      </c>
      <c r="M1125" s="707">
        <f>M1128+M1199+M1362</f>
        <v>1</v>
      </c>
      <c r="N1125" s="900">
        <f t="shared" ref="N1125" si="4350">IFERROR((M1126/M1125),"-")</f>
        <v>0</v>
      </c>
      <c r="O1125" s="567"/>
      <c r="P1125" s="707">
        <f t="shared" ref="P1125:V1126" si="4351">P1128+P1199+P1362</f>
        <v>1</v>
      </c>
      <c r="Q1125" s="707">
        <f t="shared" si="4351"/>
        <v>1</v>
      </c>
      <c r="R1125" s="707">
        <f t="shared" si="4351"/>
        <v>2</v>
      </c>
      <c r="S1125" s="707">
        <f t="shared" si="4351"/>
        <v>1</v>
      </c>
      <c r="T1125" s="707">
        <f t="shared" si="4351"/>
        <v>0</v>
      </c>
      <c r="U1125" s="707">
        <f t="shared" si="4351"/>
        <v>0</v>
      </c>
      <c r="V1125" s="707">
        <f t="shared" si="4351"/>
        <v>0</v>
      </c>
      <c r="W1125" s="567"/>
      <c r="X1125" s="707">
        <f>SUMIFS(P1125:V1125,$P$8:$V$8,"&gt;="&amp;$P$8,$P$8:$V$8,"&lt;="&amp;$N$8)</f>
        <v>2</v>
      </c>
      <c r="Y1125" s="900">
        <f t="shared" ref="Y1125" si="4352">IFERROR((X1126/X1125),"-")</f>
        <v>0.5</v>
      </c>
      <c r="Z1125" s="528"/>
      <c r="AA1125" s="755">
        <f>SUM(AA1128,AA1199,AA1362)</f>
        <v>8.5299999999999994</v>
      </c>
      <c r="AB1125" s="755">
        <f>SUM(AB1128,AB1199,AB1362)</f>
        <v>5</v>
      </c>
      <c r="AC1125" s="755">
        <f>SUM(AC1128,AC1199,AC1362)</f>
        <v>5</v>
      </c>
      <c r="AD1125" s="900">
        <f t="shared" ref="AD1125" si="4353">IFERROR((AC1125/AB1125),"-")</f>
        <v>1</v>
      </c>
      <c r="AE1125" s="528"/>
      <c r="AF1125" s="755">
        <f t="shared" ref="AF1125:AL1125" si="4354">AF1128++AF1199+AF1362</f>
        <v>78</v>
      </c>
      <c r="AG1125" s="755">
        <f t="shared" si="4354"/>
        <v>0</v>
      </c>
      <c r="AH1125" s="755">
        <f t="shared" si="4354"/>
        <v>0</v>
      </c>
      <c r="AI1125" s="755">
        <f t="shared" si="4354"/>
        <v>10</v>
      </c>
      <c r="AJ1125" s="755">
        <f t="shared" si="4354"/>
        <v>12</v>
      </c>
      <c r="AK1125" s="755">
        <f t="shared" si="4354"/>
        <v>105</v>
      </c>
      <c r="AL1125" s="755">
        <f t="shared" si="4354"/>
        <v>110.61</v>
      </c>
      <c r="AM1125" s="900">
        <f>IFERROR((AK1125/AL1125),"-")</f>
        <v>0.94928125847572553</v>
      </c>
      <c r="AN1125" s="528"/>
      <c r="AO1125" s="755">
        <f>AO1128++AO1199+AO1362</f>
        <v>140</v>
      </c>
      <c r="AP1125" s="755">
        <f>AP1128++AP1199+AP1362</f>
        <v>35</v>
      </c>
      <c r="AV1125" t="str">
        <f t="shared" si="4240"/>
        <v>BDCC no Km 155+722 - Aterro 03</v>
      </c>
      <c r="AW1125" s="4" t="str">
        <f t="shared" si="4238"/>
        <v>OAC - Obra de Arte Corrente - Alas</v>
      </c>
    </row>
    <row r="1126" spans="1:49" ht="15.6" customHeight="1" outlineLevel="2">
      <c r="A1126" s="209">
        <v>0</v>
      </c>
      <c r="B1126" s="150"/>
      <c r="C1126" s="150"/>
      <c r="D1126" s="124"/>
      <c r="E1126" s="871"/>
      <c r="F1126" s="895"/>
      <c r="G1126" s="528"/>
      <c r="H1126" s="531" t="s">
        <v>38</v>
      </c>
      <c r="I1126" s="707">
        <f>I1129+I1200+I1363</f>
        <v>0</v>
      </c>
      <c r="J1126" s="901"/>
      <c r="K1126" s="567"/>
      <c r="L1126" s="575" t="s">
        <v>38</v>
      </c>
      <c r="M1126" s="707">
        <f>M1129+M1200+M1363</f>
        <v>0</v>
      </c>
      <c r="N1126" s="901"/>
      <c r="O1126" s="567"/>
      <c r="P1126" s="532">
        <f t="shared" si="4351"/>
        <v>1</v>
      </c>
      <c r="Q1126" s="532">
        <f t="shared" si="4351"/>
        <v>0</v>
      </c>
      <c r="R1126" s="532">
        <f t="shared" si="4351"/>
        <v>0</v>
      </c>
      <c r="S1126" s="532">
        <f t="shared" si="4351"/>
        <v>0</v>
      </c>
      <c r="T1126" s="532">
        <f t="shared" si="4351"/>
        <v>0</v>
      </c>
      <c r="U1126" s="532">
        <f t="shared" si="4351"/>
        <v>0</v>
      </c>
      <c r="V1126" s="532">
        <f t="shared" si="4351"/>
        <v>0</v>
      </c>
      <c r="W1126" s="567"/>
      <c r="X1126" s="707">
        <f t="shared" ref="X1126" si="4355">SUMIFS(P1126:V1126,$P$8:$V$8,"&gt;="&amp;$P$8,$P$8:$V$8,"&lt;="&amp;$N$8)</f>
        <v>1</v>
      </c>
      <c r="Y1126" s="901"/>
      <c r="Z1126" s="528"/>
      <c r="AA1126" s="756"/>
      <c r="AB1126" s="756"/>
      <c r="AC1126" s="756"/>
      <c r="AD1126" s="901"/>
      <c r="AE1126" s="528"/>
      <c r="AF1126" s="756"/>
      <c r="AG1126" s="756"/>
      <c r="AH1126" s="756"/>
      <c r="AI1126" s="756"/>
      <c r="AJ1126" s="756"/>
      <c r="AK1126" s="756"/>
      <c r="AL1126" s="756"/>
      <c r="AM1126" s="901"/>
      <c r="AN1126" s="528"/>
      <c r="AO1126" s="756"/>
      <c r="AP1126" s="756"/>
      <c r="AV1126" t="str">
        <f t="shared" si="4240"/>
        <v>BDCC no Km 155+722 - Aterro 03</v>
      </c>
      <c r="AW1126" s="4" t="str">
        <f t="shared" si="4238"/>
        <v>OAC - Obra de Arte Corrente - Alas</v>
      </c>
    </row>
    <row r="1127" spans="1:49" ht="15.6" customHeight="1" outlineLevel="2">
      <c r="A1127" s="209">
        <v>0</v>
      </c>
      <c r="B1127" s="150"/>
      <c r="C1127" s="150"/>
      <c r="D1127" s="117"/>
      <c r="E1127" s="535"/>
      <c r="F1127" s="536"/>
      <c r="G1127" s="537"/>
      <c r="H1127" s="714"/>
      <c r="I1127" s="571"/>
      <c r="J1127" s="714"/>
      <c r="K1127" s="537"/>
      <c r="L1127" s="714"/>
      <c r="M1127" s="571"/>
      <c r="N1127" s="714"/>
      <c r="O1127" s="537"/>
      <c r="P1127" s="572"/>
      <c r="Q1127" s="572"/>
      <c r="R1127" s="572"/>
      <c r="S1127" s="572"/>
      <c r="T1127" s="572"/>
      <c r="U1127" s="572"/>
      <c r="V1127" s="572"/>
      <c r="W1127" s="537"/>
      <c r="X1127" s="540"/>
      <c r="Y1127" s="537"/>
      <c r="Z1127" s="537"/>
      <c r="AA1127" s="249"/>
      <c r="AB1127" s="249"/>
      <c r="AC1127" s="249"/>
      <c r="AD1127" s="537"/>
      <c r="AE1127" s="3"/>
      <c r="AF1127" s="35"/>
      <c r="AG1127" s="35"/>
      <c r="AH1127" s="35"/>
      <c r="AI1127" s="35"/>
      <c r="AJ1127" s="35"/>
      <c r="AK1127" s="35"/>
      <c r="AL1127" s="35"/>
      <c r="AM1127" s="3"/>
      <c r="AN1127" s="3"/>
      <c r="AO1127" s="35"/>
      <c r="AP1127" s="35"/>
      <c r="AV1127" t="str">
        <f t="shared" si="4240"/>
        <v>BDCC no Km 155+722 - Aterro 03</v>
      </c>
      <c r="AW1127" s="4" t="str">
        <f t="shared" si="4238"/>
        <v>OAC - Obra de Arte Corrente - Alas</v>
      </c>
    </row>
    <row r="1128" spans="1:49" ht="15.6" customHeight="1" outlineLevel="2">
      <c r="A1128" s="525">
        <v>0</v>
      </c>
      <c r="B1128" s="526"/>
      <c r="C1128" s="526"/>
      <c r="D1128" s="557"/>
      <c r="E1128" s="923" t="s">
        <v>42</v>
      </c>
      <c r="F1128" s="868" t="s">
        <v>1437</v>
      </c>
      <c r="G1128" s="528"/>
      <c r="H1128" s="542" t="s">
        <v>37</v>
      </c>
      <c r="I1128" s="543">
        <f>SUMIF($L1130:$L1197,$L1128,I1130:I1197)</f>
        <v>0</v>
      </c>
      <c r="J1128" s="860" t="str">
        <f>IFERROR((I1129/I1128),"-")</f>
        <v>-</v>
      </c>
      <c r="K1128" s="528"/>
      <c r="L1128" s="542" t="s">
        <v>37</v>
      </c>
      <c r="M1128" s="543">
        <f>SUMIF($L1130:$L1197,$L1128,M1130:M1197)</f>
        <v>0</v>
      </c>
      <c r="N1128" s="860" t="str">
        <f>IFERROR((M1129/M1128),"-")</f>
        <v>-</v>
      </c>
      <c r="O1128" s="528"/>
      <c r="P1128" s="543">
        <f t="shared" ref="P1128:U1128" si="4356">SUMIF($L1130:$L1197,$L1128,P1130:P1197)</f>
        <v>0</v>
      </c>
      <c r="Q1128" s="543">
        <f t="shared" si="4356"/>
        <v>0</v>
      </c>
      <c r="R1128" s="543">
        <f t="shared" si="4356"/>
        <v>0</v>
      </c>
      <c r="S1128" s="543">
        <f t="shared" si="4356"/>
        <v>0</v>
      </c>
      <c r="T1128" s="543">
        <f t="shared" si="4356"/>
        <v>0</v>
      </c>
      <c r="U1128" s="543">
        <f t="shared" si="4356"/>
        <v>0</v>
      </c>
      <c r="V1128" s="543"/>
      <c r="W1128" s="528"/>
      <c r="X1128" s="543">
        <f t="shared" ref="X1128:X1197" si="4357">SUMIFS(P1128:V1128,$P$8:$V$8,"&gt;="&amp;$P$8,$P$8:$V$8,"&lt;="&amp;$N$8)</f>
        <v>0</v>
      </c>
      <c r="Y1128" s="860" t="str">
        <f>IFERROR((X1129/X1128),"-")</f>
        <v>-</v>
      </c>
      <c r="Z1128" s="528"/>
      <c r="AA1128" s="814">
        <f>SUM(AA1130:AA1197)</f>
        <v>1</v>
      </c>
      <c r="AB1128" s="814">
        <f>SUM(AB1130:AB1197)</f>
        <v>0</v>
      </c>
      <c r="AC1128" s="814">
        <f>SUM(AC1130:AC1197)</f>
        <v>0</v>
      </c>
      <c r="AD1128" s="900" t="str">
        <f t="shared" ref="AD1128" si="4358">IFERROR((AC1128/AB1128),"-")</f>
        <v>-</v>
      </c>
      <c r="AE1128" s="528"/>
      <c r="AF1128" s="814">
        <f t="shared" ref="AF1128:AL1128" si="4359">SUM(AF1130:AF1197)</f>
        <v>31</v>
      </c>
      <c r="AG1128" s="814">
        <f t="shared" si="4359"/>
        <v>0</v>
      </c>
      <c r="AH1128" s="814">
        <f t="shared" si="4359"/>
        <v>0</v>
      </c>
      <c r="AI1128" s="814">
        <f t="shared" si="4359"/>
        <v>0</v>
      </c>
      <c r="AJ1128" s="814">
        <f>SUM(AJ1130:AJ1197)</f>
        <v>0</v>
      </c>
      <c r="AK1128" s="814">
        <f>SUM(AK1130:AK1197)</f>
        <v>31</v>
      </c>
      <c r="AL1128" s="814">
        <f t="shared" si="4359"/>
        <v>31.41</v>
      </c>
      <c r="AM1128" s="860">
        <f>IFERROR((AK1128/AL1128),"-")</f>
        <v>0.98694683221903856</v>
      </c>
      <c r="AN1128" s="528"/>
      <c r="AO1128" s="814">
        <f>SUM(AO1130:AO1197)</f>
        <v>34</v>
      </c>
      <c r="AP1128" s="814">
        <f>SUM(AP1130:AP1197)</f>
        <v>3</v>
      </c>
      <c r="AV1128" t="str">
        <f t="shared" si="4240"/>
        <v>BDCC no Km 155+722 - Aterro 03</v>
      </c>
      <c r="AW1128" s="4" t="str">
        <f t="shared" si="4238"/>
        <v>Pacote 05 - Segmento 2.4 - Km 131+260 a  Km 138+000</v>
      </c>
    </row>
    <row r="1129" spans="1:49" ht="15.6" customHeight="1" outlineLevel="2">
      <c r="A1129" s="525">
        <v>0</v>
      </c>
      <c r="B1129" s="526"/>
      <c r="C1129" s="526"/>
      <c r="D1129" s="558"/>
      <c r="E1129" s="923"/>
      <c r="F1129" s="869"/>
      <c r="G1129" s="528"/>
      <c r="H1129" s="544" t="s">
        <v>38</v>
      </c>
      <c r="I1129" s="543">
        <f>SUMIF($L1130:$L1197,$L1129,I1130:I1197)</f>
        <v>0</v>
      </c>
      <c r="J1129" s="861"/>
      <c r="K1129" s="528"/>
      <c r="L1129" s="544" t="s">
        <v>38</v>
      </c>
      <c r="M1129" s="543">
        <f>SUMIF($L1130:$L1197,$L1129,M1130:M1197)</f>
        <v>0</v>
      </c>
      <c r="N1129" s="861"/>
      <c r="O1129" s="528"/>
      <c r="P1129" s="543">
        <f t="shared" ref="P1129:U1129" si="4360">SUMIF($L1130:$L1197,$L1129,P1130:P1197)</f>
        <v>0</v>
      </c>
      <c r="Q1129" s="543">
        <f t="shared" si="4360"/>
        <v>0</v>
      </c>
      <c r="R1129" s="543">
        <f t="shared" si="4360"/>
        <v>0</v>
      </c>
      <c r="S1129" s="543">
        <f t="shared" si="4360"/>
        <v>0</v>
      </c>
      <c r="T1129" s="543">
        <f t="shared" si="4360"/>
        <v>0</v>
      </c>
      <c r="U1129" s="543">
        <f t="shared" si="4360"/>
        <v>0</v>
      </c>
      <c r="V1129" s="543"/>
      <c r="W1129" s="528"/>
      <c r="X1129" s="543">
        <f t="shared" si="4357"/>
        <v>0</v>
      </c>
      <c r="Y1129" s="861"/>
      <c r="Z1129" s="528"/>
      <c r="AA1129" s="815"/>
      <c r="AB1129" s="815"/>
      <c r="AC1129" s="815"/>
      <c r="AD1129" s="901"/>
      <c r="AE1129" s="528"/>
      <c r="AF1129" s="815"/>
      <c r="AG1129" s="815"/>
      <c r="AH1129" s="815"/>
      <c r="AI1129" s="815"/>
      <c r="AJ1129" s="815"/>
      <c r="AK1129" s="815"/>
      <c r="AL1129" s="815"/>
      <c r="AM1129" s="861"/>
      <c r="AN1129" s="528"/>
      <c r="AO1129" s="815"/>
      <c r="AP1129" s="815"/>
      <c r="AV1129" t="str">
        <f t="shared" si="4240"/>
        <v>BDCC no Km 155+722 - Aterro 03</v>
      </c>
      <c r="AW1129" s="4" t="str">
        <f t="shared" si="4238"/>
        <v>Pacote 05 - Segmento 2.4 - Km 131+260 a  Km 138+000</v>
      </c>
    </row>
    <row r="1130" spans="1:49" ht="15.6" customHeight="1" outlineLevel="2">
      <c r="A1130" s="598" t="str">
        <f t="shared" ref="A1130" si="4361">IF(SUM(P1130:V1131)&gt;0,"S","N")</f>
        <v>N</v>
      </c>
      <c r="B1130" s="599">
        <v>1064225</v>
      </c>
      <c r="C1130" s="599" t="s">
        <v>1438</v>
      </c>
      <c r="D1130" s="118" t="s">
        <v>1439</v>
      </c>
      <c r="E1130" s="917" t="s">
        <v>1440</v>
      </c>
      <c r="F1130" s="848" t="s">
        <v>1437</v>
      </c>
      <c r="G1130" s="40"/>
      <c r="H1130" s="600" t="s">
        <v>37</v>
      </c>
      <c r="I1130" s="504">
        <v>0</v>
      </c>
      <c r="J1130" s="849" t="str">
        <f t="shared" ref="J1130" si="4362">IFERROR((I1131/I1130),"-")</f>
        <v>-</v>
      </c>
      <c r="K1130" s="40"/>
      <c r="L1130" s="600" t="s">
        <v>37</v>
      </c>
      <c r="M1130" s="504">
        <f t="shared" ref="M1130:M1193" si="4363">_xlfn.XLOOKUP($N$8,$P$8:$V$8,$P1130:$V1130)</f>
        <v>0</v>
      </c>
      <c r="N1130" s="849" t="str">
        <f t="shared" ref="N1130" si="4364">IFERROR((M1131/M1130),"-")</f>
        <v>-</v>
      </c>
      <c r="O1130" s="40"/>
      <c r="P1130" s="601">
        <v>0</v>
      </c>
      <c r="Q1130" s="601">
        <v>0</v>
      </c>
      <c r="R1130" s="601">
        <v>0</v>
      </c>
      <c r="S1130" s="601">
        <v>0</v>
      </c>
      <c r="T1130" s="601">
        <v>0</v>
      </c>
      <c r="U1130" s="601">
        <v>0</v>
      </c>
      <c r="V1130" s="602">
        <v>0</v>
      </c>
      <c r="W1130" s="40"/>
      <c r="X1130" s="504">
        <f t="shared" si="4357"/>
        <v>0</v>
      </c>
      <c r="Y1130" s="849" t="str">
        <f t="shared" ref="Y1130" si="4365">IFERROR((X1131/X1130),"0")</f>
        <v>0</v>
      </c>
      <c r="Z1130" s="40"/>
      <c r="AA1130" s="855">
        <v>0</v>
      </c>
      <c r="AB1130" s="855">
        <v>0</v>
      </c>
      <c r="AC1130" s="858">
        <v>0</v>
      </c>
      <c r="AD1130" s="849" t="str">
        <f t="shared" ref="AD1130" si="4366">IFERROR((AC1130/AB1130),"-")</f>
        <v>-</v>
      </c>
      <c r="AE1130" s="40"/>
      <c r="AF1130" s="855">
        <v>1</v>
      </c>
      <c r="AG1130" s="855"/>
      <c r="AH1130" s="858">
        <v>0</v>
      </c>
      <c r="AI1130" s="855"/>
      <c r="AJ1130" s="855"/>
      <c r="AK1130" s="855">
        <f t="shared" ref="AK1130" si="4367">AF1130+AG1130+AH1130+AI1130+AJ1130+AC1130</f>
        <v>1</v>
      </c>
      <c r="AL1130" s="855">
        <v>0.9600000000000003</v>
      </c>
      <c r="AM1130" s="849">
        <f t="shared" ref="AM1130" si="4368">IFERROR((AK1130/AL1130),"-")</f>
        <v>1.0416666666666663</v>
      </c>
      <c r="AN1130" s="40"/>
      <c r="AO1130" s="855">
        <v>1</v>
      </c>
      <c r="AP1130" s="855">
        <f t="shared" ref="AP1130" si="4369">AO1130-AK1130</f>
        <v>0</v>
      </c>
      <c r="AV1130" t="str">
        <f t="shared" si="4240"/>
        <v>BDCC no Km 155+722 - Aterro 03</v>
      </c>
      <c r="AW1130" s="4" t="str">
        <f t="shared" si="4238"/>
        <v>2.4-BSCC 2,00x1,50 - Km 131+733 - Aterro 1 - Bueiro de Concreto - LD</v>
      </c>
    </row>
    <row r="1131" spans="1:49" ht="15.6" customHeight="1" outlineLevel="2">
      <c r="A1131" s="598" t="str">
        <f t="shared" ref="A1131" si="4370">A1130</f>
        <v>N</v>
      </c>
      <c r="B1131" s="599"/>
      <c r="C1131" s="599"/>
      <c r="D1131" s="118" t="s">
        <v>1441</v>
      </c>
      <c r="E1131" s="918"/>
      <c r="F1131" s="848"/>
      <c r="G1131" s="40"/>
      <c r="H1131" s="603" t="s">
        <v>38</v>
      </c>
      <c r="I1131" s="504">
        <v>0</v>
      </c>
      <c r="J1131" s="850"/>
      <c r="K1131" s="40"/>
      <c r="L1131" s="603" t="s">
        <v>38</v>
      </c>
      <c r="M1131" s="504">
        <f t="shared" si="4363"/>
        <v>0</v>
      </c>
      <c r="N1131" s="850"/>
      <c r="O1131" s="40"/>
      <c r="P1131" s="602">
        <v>0</v>
      </c>
      <c r="Q1131" s="602">
        <v>0</v>
      </c>
      <c r="R1131" s="602">
        <v>0</v>
      </c>
      <c r="S1131" s="602">
        <v>0</v>
      </c>
      <c r="T1131" s="602">
        <v>0</v>
      </c>
      <c r="U1131" s="602">
        <v>0</v>
      </c>
      <c r="V1131" s="602">
        <v>0</v>
      </c>
      <c r="W1131" s="40"/>
      <c r="X1131" s="504">
        <f t="shared" si="4357"/>
        <v>0</v>
      </c>
      <c r="Y1131" s="850"/>
      <c r="Z1131" s="40"/>
      <c r="AA1131" s="856"/>
      <c r="AB1131" s="856"/>
      <c r="AC1131" s="857"/>
      <c r="AD1131" s="920"/>
      <c r="AE1131" s="40"/>
      <c r="AF1131" s="856"/>
      <c r="AG1131" s="856"/>
      <c r="AH1131" s="857"/>
      <c r="AI1131" s="856"/>
      <c r="AJ1131" s="856"/>
      <c r="AK1131" s="856"/>
      <c r="AL1131" s="856"/>
      <c r="AM1131" s="850"/>
      <c r="AN1131" s="40"/>
      <c r="AO1131" s="882"/>
      <c r="AP1131" s="882"/>
      <c r="AV1131" t="str">
        <f t="shared" si="4240"/>
        <v>BDCC no Km 155+722 - Aterro 03</v>
      </c>
      <c r="AW1131" s="4" t="str">
        <f t="shared" si="4238"/>
        <v>2.4-BSCC 2,00x1,50 - Km 131+733 - Aterro 1 - Bueiro de Concreto - LD</v>
      </c>
    </row>
    <row r="1132" spans="1:49" ht="15.6" customHeight="1" outlineLevel="2">
      <c r="A1132" s="598" t="str">
        <f t="shared" ref="A1132" si="4371">IF(SUM(P1132:V1133)&gt;0,"S","N")</f>
        <v>N</v>
      </c>
      <c r="B1132" s="599">
        <v>1064226</v>
      </c>
      <c r="C1132" s="599" t="s">
        <v>1442</v>
      </c>
      <c r="D1132" s="118" t="s">
        <v>1439</v>
      </c>
      <c r="E1132" s="917" t="s">
        <v>1443</v>
      </c>
      <c r="F1132" s="848" t="s">
        <v>1437</v>
      </c>
      <c r="G1132" s="40"/>
      <c r="H1132" s="600" t="s">
        <v>37</v>
      </c>
      <c r="I1132" s="504">
        <v>0</v>
      </c>
      <c r="J1132" s="849" t="str">
        <f t="shared" ref="J1132" si="4372">IFERROR((I1133/I1132),"-")</f>
        <v>-</v>
      </c>
      <c r="K1132" s="40"/>
      <c r="L1132" s="600" t="s">
        <v>37</v>
      </c>
      <c r="M1132" s="504">
        <f t="shared" si="4363"/>
        <v>0</v>
      </c>
      <c r="N1132" s="849" t="str">
        <f t="shared" ref="N1132" si="4373">IFERROR((M1133/M1132),"-")</f>
        <v>-</v>
      </c>
      <c r="O1132" s="40"/>
      <c r="P1132" s="601">
        <v>0</v>
      </c>
      <c r="Q1132" s="601">
        <v>0</v>
      </c>
      <c r="R1132" s="601">
        <v>0</v>
      </c>
      <c r="S1132" s="601">
        <v>0</v>
      </c>
      <c r="T1132" s="601">
        <v>0</v>
      </c>
      <c r="U1132" s="601">
        <v>0</v>
      </c>
      <c r="V1132" s="602">
        <v>0</v>
      </c>
      <c r="W1132" s="40"/>
      <c r="X1132" s="504">
        <f t="shared" si="4357"/>
        <v>0</v>
      </c>
      <c r="Y1132" s="849" t="str">
        <f t="shared" ref="Y1132" si="4374">IFERROR((X1133/X1132),"0")</f>
        <v>0</v>
      </c>
      <c r="Z1132" s="40"/>
      <c r="AA1132" s="855">
        <v>0</v>
      </c>
      <c r="AB1132" s="855">
        <v>0</v>
      </c>
      <c r="AC1132" s="858">
        <v>0</v>
      </c>
      <c r="AD1132" s="849" t="str">
        <f t="shared" ref="AD1132" si="4375">IFERROR((AC1132/AB1132),"-")</f>
        <v>-</v>
      </c>
      <c r="AE1132" s="40"/>
      <c r="AF1132" s="855">
        <v>1</v>
      </c>
      <c r="AG1132" s="855"/>
      <c r="AH1132" s="858">
        <v>0</v>
      </c>
      <c r="AI1132" s="855"/>
      <c r="AJ1132" s="855"/>
      <c r="AK1132" s="855">
        <f t="shared" ref="AK1132" si="4376">AF1132+AG1132+AH1132+AI1132+AJ1132+AC1132</f>
        <v>1</v>
      </c>
      <c r="AL1132" s="855">
        <v>1</v>
      </c>
      <c r="AM1132" s="849">
        <f t="shared" ref="AM1132" si="4377">IFERROR((AK1132/AL1132),"-")</f>
        <v>1</v>
      </c>
      <c r="AN1132" s="40"/>
      <c r="AO1132" s="855">
        <v>1</v>
      </c>
      <c r="AP1132" s="855">
        <f t="shared" ref="AP1132" si="4378">AO1132-AK1132</f>
        <v>0</v>
      </c>
      <c r="AV1132" t="str">
        <f t="shared" si="4240"/>
        <v>BDCC no Km 155+722 - Aterro 03</v>
      </c>
      <c r="AW1132" s="4" t="str">
        <f t="shared" si="4238"/>
        <v>2.4-BSCC 2,00x1,50 - Km 131+733 - Aterro 1 - Bueiro de Concreto - LE</v>
      </c>
    </row>
    <row r="1133" spans="1:49" ht="15.6" customHeight="1" outlineLevel="2">
      <c r="A1133" s="598" t="str">
        <f t="shared" ref="A1133" si="4379">A1132</f>
        <v>N</v>
      </c>
      <c r="B1133" s="599"/>
      <c r="C1133" s="599"/>
      <c r="D1133" s="118" t="s">
        <v>1444</v>
      </c>
      <c r="E1133" s="918"/>
      <c r="F1133" s="848"/>
      <c r="G1133" s="40"/>
      <c r="H1133" s="603" t="s">
        <v>38</v>
      </c>
      <c r="I1133" s="504">
        <v>0</v>
      </c>
      <c r="J1133" s="850"/>
      <c r="K1133" s="40"/>
      <c r="L1133" s="603" t="s">
        <v>38</v>
      </c>
      <c r="M1133" s="504">
        <f t="shared" si="4363"/>
        <v>0</v>
      </c>
      <c r="N1133" s="850"/>
      <c r="O1133" s="40"/>
      <c r="P1133" s="602">
        <v>0</v>
      </c>
      <c r="Q1133" s="602">
        <v>0</v>
      </c>
      <c r="R1133" s="602">
        <v>0</v>
      </c>
      <c r="S1133" s="602">
        <v>0</v>
      </c>
      <c r="T1133" s="602">
        <v>0</v>
      </c>
      <c r="U1133" s="602">
        <v>0</v>
      </c>
      <c r="V1133" s="602">
        <v>0</v>
      </c>
      <c r="W1133" s="40"/>
      <c r="X1133" s="504">
        <f t="shared" si="4357"/>
        <v>0</v>
      </c>
      <c r="Y1133" s="850"/>
      <c r="Z1133" s="40"/>
      <c r="AA1133" s="856"/>
      <c r="AB1133" s="856"/>
      <c r="AC1133" s="857"/>
      <c r="AD1133" s="920"/>
      <c r="AE1133" s="40"/>
      <c r="AF1133" s="856"/>
      <c r="AG1133" s="856"/>
      <c r="AH1133" s="857"/>
      <c r="AI1133" s="856"/>
      <c r="AJ1133" s="856"/>
      <c r="AK1133" s="856"/>
      <c r="AL1133" s="856"/>
      <c r="AM1133" s="850"/>
      <c r="AN1133" s="40"/>
      <c r="AO1133" s="882"/>
      <c r="AP1133" s="882"/>
      <c r="AV1133" t="str">
        <f t="shared" si="4240"/>
        <v>BDCC no Km 155+722 - Aterro 03</v>
      </c>
      <c r="AW1133" s="4" t="str">
        <f t="shared" si="4238"/>
        <v>2.4-BSCC 2,00x1,50 - Km 131+733 - Aterro 1 - Bueiro de Concreto - LE</v>
      </c>
    </row>
    <row r="1134" spans="1:49" ht="15.6" customHeight="1" outlineLevel="2">
      <c r="A1134" s="598" t="str">
        <f t="shared" ref="A1134" si="4380">IF(SUM(P1134:V1135)&gt;0,"S","N")</f>
        <v>N</v>
      </c>
      <c r="B1134" s="599">
        <v>1064230</v>
      </c>
      <c r="C1134" s="599" t="s">
        <v>1445</v>
      </c>
      <c r="D1134" s="118" t="s">
        <v>1446</v>
      </c>
      <c r="E1134" s="917" t="s">
        <v>1447</v>
      </c>
      <c r="F1134" s="848" t="s">
        <v>1437</v>
      </c>
      <c r="G1134" s="40"/>
      <c r="H1134" s="600" t="s">
        <v>37</v>
      </c>
      <c r="I1134" s="504">
        <v>0</v>
      </c>
      <c r="J1134" s="849" t="str">
        <f t="shared" ref="J1134" si="4381">IFERROR((I1135/I1134),"-")</f>
        <v>-</v>
      </c>
      <c r="K1134" s="40"/>
      <c r="L1134" s="600" t="s">
        <v>37</v>
      </c>
      <c r="M1134" s="504">
        <f t="shared" si="4363"/>
        <v>0</v>
      </c>
      <c r="N1134" s="849" t="str">
        <f t="shared" ref="N1134" si="4382">IFERROR((M1135/M1134),"-")</f>
        <v>-</v>
      </c>
      <c r="O1134" s="40"/>
      <c r="P1134" s="601">
        <v>0</v>
      </c>
      <c r="Q1134" s="601">
        <v>0</v>
      </c>
      <c r="R1134" s="601">
        <v>0</v>
      </c>
      <c r="S1134" s="601">
        <v>0</v>
      </c>
      <c r="T1134" s="601">
        <v>0</v>
      </c>
      <c r="U1134" s="601">
        <v>0</v>
      </c>
      <c r="V1134" s="602">
        <v>0</v>
      </c>
      <c r="W1134" s="40"/>
      <c r="X1134" s="504">
        <f t="shared" si="4357"/>
        <v>0</v>
      </c>
      <c r="Y1134" s="849" t="str">
        <f t="shared" ref="Y1134" si="4383">IFERROR((X1135/X1134),"0")</f>
        <v>0</v>
      </c>
      <c r="Z1134" s="40"/>
      <c r="AA1134" s="855">
        <v>0</v>
      </c>
      <c r="AB1134" s="855">
        <v>0</v>
      </c>
      <c r="AC1134" s="858">
        <v>0</v>
      </c>
      <c r="AD1134" s="849" t="str">
        <f t="shared" ref="AD1134" si="4384">IFERROR((AC1134/AB1134),"-")</f>
        <v>-</v>
      </c>
      <c r="AE1134" s="40"/>
      <c r="AF1134" s="855">
        <v>1</v>
      </c>
      <c r="AG1134" s="855"/>
      <c r="AH1134" s="858">
        <v>0</v>
      </c>
      <c r="AI1134" s="855"/>
      <c r="AJ1134" s="855"/>
      <c r="AK1134" s="855">
        <f t="shared" ref="AK1134" si="4385">AF1134+AG1134+AH1134+AI1134+AJ1134+AC1134</f>
        <v>1</v>
      </c>
      <c r="AL1134" s="855">
        <v>1</v>
      </c>
      <c r="AM1134" s="849">
        <f t="shared" ref="AM1134" si="4386">IFERROR((AK1134/AL1134),"-")</f>
        <v>1</v>
      </c>
      <c r="AN1134" s="40"/>
      <c r="AO1134" s="855">
        <v>1</v>
      </c>
      <c r="AP1134" s="855">
        <f t="shared" ref="AP1134" si="4387">AO1134-AK1134</f>
        <v>0</v>
      </c>
      <c r="AV1134" t="str">
        <f t="shared" si="4240"/>
        <v>BDCC no Km 155+722 - Aterro 03</v>
      </c>
      <c r="AW1134" s="4" t="str">
        <f t="shared" si="4238"/>
        <v>2.4-PGF - BCC - 2,50x2,50 - Km 131+940 - Aterro A1-Bueiro de Concreto - LE</v>
      </c>
    </row>
    <row r="1135" spans="1:49" ht="15.6" customHeight="1" outlineLevel="2">
      <c r="A1135" s="598" t="str">
        <f t="shared" ref="A1135" si="4388">A1134</f>
        <v>N</v>
      </c>
      <c r="B1135" s="599"/>
      <c r="C1135" s="599"/>
      <c r="D1135" s="118" t="s">
        <v>1444</v>
      </c>
      <c r="E1135" s="918"/>
      <c r="F1135" s="848"/>
      <c r="G1135" s="40"/>
      <c r="H1135" s="603" t="s">
        <v>38</v>
      </c>
      <c r="I1135" s="504">
        <v>0</v>
      </c>
      <c r="J1135" s="850"/>
      <c r="K1135" s="40"/>
      <c r="L1135" s="603" t="s">
        <v>38</v>
      </c>
      <c r="M1135" s="504">
        <f t="shared" si="4363"/>
        <v>0</v>
      </c>
      <c r="N1135" s="850"/>
      <c r="O1135" s="40"/>
      <c r="P1135" s="602">
        <v>0</v>
      </c>
      <c r="Q1135" s="602">
        <v>0</v>
      </c>
      <c r="R1135" s="602">
        <v>0</v>
      </c>
      <c r="S1135" s="602">
        <v>0</v>
      </c>
      <c r="T1135" s="602">
        <v>0</v>
      </c>
      <c r="U1135" s="602">
        <v>0</v>
      </c>
      <c r="V1135" s="602">
        <v>0</v>
      </c>
      <c r="W1135" s="40"/>
      <c r="X1135" s="504">
        <f t="shared" si="4357"/>
        <v>0</v>
      </c>
      <c r="Y1135" s="850"/>
      <c r="Z1135" s="40"/>
      <c r="AA1135" s="856"/>
      <c r="AB1135" s="856"/>
      <c r="AC1135" s="857"/>
      <c r="AD1135" s="920"/>
      <c r="AE1135" s="40"/>
      <c r="AF1135" s="856"/>
      <c r="AG1135" s="856"/>
      <c r="AH1135" s="857"/>
      <c r="AI1135" s="856"/>
      <c r="AJ1135" s="856"/>
      <c r="AK1135" s="856"/>
      <c r="AL1135" s="856"/>
      <c r="AM1135" s="850"/>
      <c r="AN1135" s="40"/>
      <c r="AO1135" s="882"/>
      <c r="AP1135" s="882"/>
      <c r="AV1135" t="str">
        <f t="shared" si="4240"/>
        <v>BDCC no Km 155+722 - Aterro 03</v>
      </c>
      <c r="AW1135" s="4" t="str">
        <f t="shared" si="4238"/>
        <v>2.4-PGF - BCC - 2,50x2,50 - Km 131+940 - Aterro A1-Bueiro de Concreto - LE</v>
      </c>
    </row>
    <row r="1136" spans="1:49" ht="15.6" customHeight="1" outlineLevel="2">
      <c r="A1136" s="598" t="str">
        <f t="shared" ref="A1136" si="4389">IF(SUM(P1136:V1137)&gt;0,"S","N")</f>
        <v>N</v>
      </c>
      <c r="B1136" s="599">
        <v>1064231</v>
      </c>
      <c r="C1136" s="599" t="s">
        <v>1448</v>
      </c>
      <c r="D1136" s="118" t="s">
        <v>1446</v>
      </c>
      <c r="E1136" s="917" t="s">
        <v>1449</v>
      </c>
      <c r="F1136" s="848" t="s">
        <v>1437</v>
      </c>
      <c r="G1136" s="40"/>
      <c r="H1136" s="600" t="s">
        <v>37</v>
      </c>
      <c r="I1136" s="504">
        <v>0</v>
      </c>
      <c r="J1136" s="849" t="str">
        <f t="shared" ref="J1136" si="4390">IFERROR((I1137/I1136),"-")</f>
        <v>-</v>
      </c>
      <c r="K1136" s="40"/>
      <c r="L1136" s="600" t="s">
        <v>37</v>
      </c>
      <c r="M1136" s="504">
        <f t="shared" si="4363"/>
        <v>0</v>
      </c>
      <c r="N1136" s="849" t="str">
        <f t="shared" ref="N1136" si="4391">IFERROR((M1137/M1136),"-")</f>
        <v>-</v>
      </c>
      <c r="O1136" s="40"/>
      <c r="P1136" s="601">
        <v>0</v>
      </c>
      <c r="Q1136" s="601">
        <v>0</v>
      </c>
      <c r="R1136" s="601">
        <v>0</v>
      </c>
      <c r="S1136" s="601">
        <v>0</v>
      </c>
      <c r="T1136" s="601">
        <v>0</v>
      </c>
      <c r="U1136" s="601">
        <v>0</v>
      </c>
      <c r="V1136" s="602">
        <v>0</v>
      </c>
      <c r="W1136" s="40"/>
      <c r="X1136" s="504">
        <f t="shared" si="4357"/>
        <v>0</v>
      </c>
      <c r="Y1136" s="849" t="str">
        <f t="shared" ref="Y1136" si="4392">IFERROR((X1137/X1136),"0")</f>
        <v>0</v>
      </c>
      <c r="Z1136" s="40"/>
      <c r="AA1136" s="855">
        <v>0</v>
      </c>
      <c r="AB1136" s="855">
        <v>0</v>
      </c>
      <c r="AC1136" s="858">
        <v>0</v>
      </c>
      <c r="AD1136" s="849" t="str">
        <f t="shared" ref="AD1136" si="4393">IFERROR((AC1136/AB1136),"-")</f>
        <v>-</v>
      </c>
      <c r="AE1136" s="40"/>
      <c r="AF1136" s="855">
        <v>1</v>
      </c>
      <c r="AG1136" s="855"/>
      <c r="AH1136" s="858">
        <v>0</v>
      </c>
      <c r="AI1136" s="855"/>
      <c r="AJ1136" s="855"/>
      <c r="AK1136" s="855">
        <f>AF1136+AG1136+AH1136+AI1136+AJ1136+AC1136</f>
        <v>1</v>
      </c>
      <c r="AL1136" s="855">
        <v>0.99</v>
      </c>
      <c r="AM1136" s="849">
        <f t="shared" ref="AM1136" si="4394">IFERROR((AK1136/AL1136),"-")</f>
        <v>1.0101010101010102</v>
      </c>
      <c r="AN1136" s="40"/>
      <c r="AO1136" s="855">
        <v>1</v>
      </c>
      <c r="AP1136" s="855">
        <f t="shared" ref="AP1136" si="4395">AO1136-AK1136</f>
        <v>0</v>
      </c>
      <c r="AV1136" t="str">
        <f t="shared" si="4240"/>
        <v>BDCC no Km 155+722 - Aterro 03</v>
      </c>
      <c r="AW1136" s="4" t="str">
        <f t="shared" si="4238"/>
        <v>2.4-PGF - BCC - 2,50x2,50 - Km 131+940 - Aterro A1-Bueiro de Concreto - LD</v>
      </c>
    </row>
    <row r="1137" spans="1:49" ht="15.6" customHeight="1" outlineLevel="2">
      <c r="A1137" s="598" t="str">
        <f t="shared" ref="A1137" si="4396">A1136</f>
        <v>N</v>
      </c>
      <c r="B1137" s="599"/>
      <c r="C1137" s="599"/>
      <c r="D1137" s="118" t="s">
        <v>1441</v>
      </c>
      <c r="E1137" s="918"/>
      <c r="F1137" s="848"/>
      <c r="G1137" s="40"/>
      <c r="H1137" s="603" t="s">
        <v>38</v>
      </c>
      <c r="I1137" s="504">
        <v>0</v>
      </c>
      <c r="J1137" s="850"/>
      <c r="K1137" s="40"/>
      <c r="L1137" s="603" t="s">
        <v>38</v>
      </c>
      <c r="M1137" s="504">
        <f t="shared" si="4363"/>
        <v>0</v>
      </c>
      <c r="N1137" s="850"/>
      <c r="O1137" s="40"/>
      <c r="P1137" s="602">
        <v>0</v>
      </c>
      <c r="Q1137" s="602">
        <v>0</v>
      </c>
      <c r="R1137" s="602">
        <v>0</v>
      </c>
      <c r="S1137" s="602">
        <v>0</v>
      </c>
      <c r="T1137" s="602">
        <v>0</v>
      </c>
      <c r="U1137" s="602">
        <v>0</v>
      </c>
      <c r="V1137" s="602">
        <v>0</v>
      </c>
      <c r="W1137" s="40"/>
      <c r="X1137" s="504">
        <f t="shared" si="4357"/>
        <v>0</v>
      </c>
      <c r="Y1137" s="850"/>
      <c r="Z1137" s="40"/>
      <c r="AA1137" s="856"/>
      <c r="AB1137" s="856"/>
      <c r="AC1137" s="857"/>
      <c r="AD1137" s="920"/>
      <c r="AE1137" s="40"/>
      <c r="AF1137" s="856"/>
      <c r="AG1137" s="856"/>
      <c r="AH1137" s="857"/>
      <c r="AI1137" s="856"/>
      <c r="AJ1137" s="856"/>
      <c r="AK1137" s="856"/>
      <c r="AL1137" s="856"/>
      <c r="AM1137" s="850"/>
      <c r="AN1137" s="40"/>
      <c r="AO1137" s="882"/>
      <c r="AP1137" s="882"/>
      <c r="AV1137" t="str">
        <f t="shared" si="4240"/>
        <v>BDCC no Km 155+722 - Aterro 03</v>
      </c>
      <c r="AW1137" s="4" t="str">
        <f t="shared" si="4238"/>
        <v>2.4-PGF - BCC - 2,50x2,50 - Km 131+940 - Aterro A1-Bueiro de Concreto - LD</v>
      </c>
    </row>
    <row r="1138" spans="1:49" ht="15.6" customHeight="1" outlineLevel="2">
      <c r="A1138" s="598" t="str">
        <f t="shared" ref="A1138" si="4397">IF(SUM(P1138:V1139)&gt;0,"S","N")</f>
        <v>N</v>
      </c>
      <c r="B1138" s="599">
        <v>1064232</v>
      </c>
      <c r="C1138" s="599" t="s">
        <v>1450</v>
      </c>
      <c r="D1138" s="118" t="s">
        <v>1451</v>
      </c>
      <c r="E1138" s="917" t="s">
        <v>1452</v>
      </c>
      <c r="F1138" s="848" t="s">
        <v>1437</v>
      </c>
      <c r="G1138" s="40"/>
      <c r="H1138" s="600" t="s">
        <v>37</v>
      </c>
      <c r="I1138" s="504">
        <v>0</v>
      </c>
      <c r="J1138" s="849" t="str">
        <f t="shared" ref="J1138" si="4398">IFERROR((I1139/I1138),"-")</f>
        <v>-</v>
      </c>
      <c r="K1138" s="40"/>
      <c r="L1138" s="600" t="s">
        <v>37</v>
      </c>
      <c r="M1138" s="504">
        <f t="shared" si="4363"/>
        <v>0</v>
      </c>
      <c r="N1138" s="849" t="str">
        <f t="shared" ref="N1138" si="4399">IFERROR((M1139/M1138),"-")</f>
        <v>-</v>
      </c>
      <c r="O1138" s="40"/>
      <c r="P1138" s="601">
        <v>0</v>
      </c>
      <c r="Q1138" s="601">
        <v>0</v>
      </c>
      <c r="R1138" s="601">
        <v>0</v>
      </c>
      <c r="S1138" s="601">
        <v>0</v>
      </c>
      <c r="T1138" s="601">
        <v>0</v>
      </c>
      <c r="U1138" s="601">
        <v>0</v>
      </c>
      <c r="V1138" s="602">
        <v>0</v>
      </c>
      <c r="W1138" s="40"/>
      <c r="X1138" s="504">
        <f t="shared" si="4357"/>
        <v>0</v>
      </c>
      <c r="Y1138" s="849" t="str">
        <f t="shared" ref="Y1138" si="4400">IFERROR((X1139/X1138),"0")</f>
        <v>0</v>
      </c>
      <c r="Z1138" s="40"/>
      <c r="AA1138" s="855">
        <v>0</v>
      </c>
      <c r="AB1138" s="855">
        <v>0</v>
      </c>
      <c r="AC1138" s="858">
        <v>0</v>
      </c>
      <c r="AD1138" s="849" t="str">
        <f t="shared" ref="AD1138" si="4401">IFERROR((AC1138/AB1138),"-")</f>
        <v>-</v>
      </c>
      <c r="AE1138" s="40"/>
      <c r="AF1138" s="855">
        <v>1</v>
      </c>
      <c r="AG1138" s="855"/>
      <c r="AH1138" s="858">
        <v>0</v>
      </c>
      <c r="AI1138" s="855"/>
      <c r="AJ1138" s="855"/>
      <c r="AK1138" s="855">
        <f t="shared" ref="AK1138" si="4402">AF1138+AG1138+AH1138+AI1138+AJ1138+AC1138</f>
        <v>1</v>
      </c>
      <c r="AL1138" s="855">
        <v>0.96999999999999986</v>
      </c>
      <c r="AM1138" s="849">
        <f t="shared" ref="AM1138" si="4403">IFERROR((AK1138/AL1138),"-")</f>
        <v>1.0309278350515465</v>
      </c>
      <c r="AN1138" s="40"/>
      <c r="AO1138" s="855">
        <v>1</v>
      </c>
      <c r="AP1138" s="855">
        <f t="shared" ref="AP1138" si="4404">AO1138-AK1138</f>
        <v>0</v>
      </c>
      <c r="AV1138" t="str">
        <f t="shared" si="4240"/>
        <v>BDCC no Km 155+722 - Aterro 03</v>
      </c>
      <c r="AW1138" s="4" t="str">
        <f t="shared" si="4238"/>
        <v>2.4-BSCC BSCC 2,50x2,00 - Km 132+428 - Aterro A1 - Bueiro de Concreto - LE</v>
      </c>
    </row>
    <row r="1139" spans="1:49" ht="15.6" customHeight="1" outlineLevel="2">
      <c r="A1139" s="598" t="str">
        <f t="shared" ref="A1139" si="4405">A1138</f>
        <v>N</v>
      </c>
      <c r="B1139" s="599"/>
      <c r="C1139" s="599"/>
      <c r="D1139" s="118" t="s">
        <v>1444</v>
      </c>
      <c r="E1139" s="918"/>
      <c r="F1139" s="848"/>
      <c r="G1139" s="40"/>
      <c r="H1139" s="603" t="s">
        <v>38</v>
      </c>
      <c r="I1139" s="504">
        <v>0</v>
      </c>
      <c r="J1139" s="850"/>
      <c r="K1139" s="40"/>
      <c r="L1139" s="603" t="s">
        <v>38</v>
      </c>
      <c r="M1139" s="504">
        <f t="shared" si="4363"/>
        <v>0</v>
      </c>
      <c r="N1139" s="850"/>
      <c r="O1139" s="40"/>
      <c r="P1139" s="602">
        <v>0</v>
      </c>
      <c r="Q1139" s="602">
        <v>0</v>
      </c>
      <c r="R1139" s="602">
        <v>0</v>
      </c>
      <c r="S1139" s="602">
        <v>0</v>
      </c>
      <c r="T1139" s="602">
        <v>0</v>
      </c>
      <c r="U1139" s="602">
        <v>0</v>
      </c>
      <c r="V1139" s="602">
        <v>0</v>
      </c>
      <c r="W1139" s="40"/>
      <c r="X1139" s="504">
        <f t="shared" si="4357"/>
        <v>0</v>
      </c>
      <c r="Y1139" s="850"/>
      <c r="Z1139" s="40"/>
      <c r="AA1139" s="856"/>
      <c r="AB1139" s="856"/>
      <c r="AC1139" s="857"/>
      <c r="AD1139" s="920"/>
      <c r="AE1139" s="40"/>
      <c r="AF1139" s="856"/>
      <c r="AG1139" s="856"/>
      <c r="AH1139" s="857"/>
      <c r="AI1139" s="856"/>
      <c r="AJ1139" s="856"/>
      <c r="AK1139" s="856"/>
      <c r="AL1139" s="856"/>
      <c r="AM1139" s="850"/>
      <c r="AN1139" s="40"/>
      <c r="AO1139" s="882"/>
      <c r="AP1139" s="882"/>
      <c r="AV1139" t="str">
        <f t="shared" si="4240"/>
        <v>BDCC no Km 155+722 - Aterro 03</v>
      </c>
      <c r="AW1139" s="4" t="str">
        <f t="shared" si="4238"/>
        <v>2.4-BSCC BSCC 2,50x2,00 - Km 132+428 - Aterro A1 - Bueiro de Concreto - LE</v>
      </c>
    </row>
    <row r="1140" spans="1:49" ht="15.6" customHeight="1" outlineLevel="2">
      <c r="A1140" s="598" t="str">
        <f t="shared" ref="A1140" si="4406">IF(SUM(P1140:V1141)&gt;0,"S","N")</f>
        <v>N</v>
      </c>
      <c r="B1140" s="599">
        <v>1064233</v>
      </c>
      <c r="C1140" s="599" t="s">
        <v>1453</v>
      </c>
      <c r="D1140" s="118" t="s">
        <v>1451</v>
      </c>
      <c r="E1140" s="917" t="s">
        <v>1454</v>
      </c>
      <c r="F1140" s="848" t="s">
        <v>1437</v>
      </c>
      <c r="G1140" s="40"/>
      <c r="H1140" s="600" t="s">
        <v>37</v>
      </c>
      <c r="I1140" s="504">
        <v>0</v>
      </c>
      <c r="J1140" s="849" t="str">
        <f t="shared" ref="J1140" si="4407">IFERROR((I1141/I1140),"-")</f>
        <v>-</v>
      </c>
      <c r="K1140" s="40"/>
      <c r="L1140" s="600" t="s">
        <v>37</v>
      </c>
      <c r="M1140" s="504">
        <f t="shared" si="4363"/>
        <v>0</v>
      </c>
      <c r="N1140" s="849" t="str">
        <f t="shared" ref="N1140" si="4408">IFERROR((M1141/M1140),"-")</f>
        <v>-</v>
      </c>
      <c r="O1140" s="40"/>
      <c r="P1140" s="601">
        <v>0</v>
      </c>
      <c r="Q1140" s="601">
        <v>0</v>
      </c>
      <c r="R1140" s="601">
        <v>0</v>
      </c>
      <c r="S1140" s="601">
        <v>0</v>
      </c>
      <c r="T1140" s="601">
        <v>0</v>
      </c>
      <c r="U1140" s="601">
        <v>0</v>
      </c>
      <c r="V1140" s="602">
        <v>0</v>
      </c>
      <c r="W1140" s="40"/>
      <c r="X1140" s="504">
        <f t="shared" si="4357"/>
        <v>0</v>
      </c>
      <c r="Y1140" s="849" t="str">
        <f t="shared" ref="Y1140" si="4409">IFERROR((X1141/X1140),"0")</f>
        <v>0</v>
      </c>
      <c r="Z1140" s="40"/>
      <c r="AA1140" s="855">
        <v>0</v>
      </c>
      <c r="AB1140" s="855">
        <v>0</v>
      </c>
      <c r="AC1140" s="858">
        <v>0</v>
      </c>
      <c r="AD1140" s="849" t="str">
        <f t="shared" ref="AD1140" si="4410">IFERROR((AC1140/AB1140),"-")</f>
        <v>-</v>
      </c>
      <c r="AE1140" s="40"/>
      <c r="AF1140" s="855">
        <v>1</v>
      </c>
      <c r="AG1140" s="855"/>
      <c r="AH1140" s="858">
        <v>0</v>
      </c>
      <c r="AI1140" s="855"/>
      <c r="AJ1140" s="855"/>
      <c r="AK1140" s="855">
        <f t="shared" ref="AK1140" si="4411">AF1140+AG1140+AH1140+AI1140+AJ1140+AC1140</f>
        <v>1</v>
      </c>
      <c r="AL1140" s="855">
        <v>1</v>
      </c>
      <c r="AM1140" s="849">
        <f t="shared" ref="AM1140" si="4412">IFERROR((AK1140/AL1140),"-")</f>
        <v>1</v>
      </c>
      <c r="AN1140" s="40"/>
      <c r="AO1140" s="855">
        <v>1</v>
      </c>
      <c r="AP1140" s="855">
        <f t="shared" ref="AP1140" si="4413">AO1140-AK1140</f>
        <v>0</v>
      </c>
      <c r="AV1140" t="str">
        <f t="shared" si="4240"/>
        <v>BDCC no Km 155+722 - Aterro 03</v>
      </c>
      <c r="AW1140" s="4" t="str">
        <f t="shared" si="4238"/>
        <v>2.4-BSCC BSCC 2,50x2,00 - Km 132+428 - Aterro A1 - Bueiro de Concreto - LD</v>
      </c>
    </row>
    <row r="1141" spans="1:49" ht="15.6" customHeight="1" outlineLevel="2">
      <c r="A1141" s="598" t="str">
        <f t="shared" ref="A1141" si="4414">A1140</f>
        <v>N</v>
      </c>
      <c r="B1141" s="599"/>
      <c r="C1141" s="599"/>
      <c r="D1141" s="118"/>
      <c r="E1141" s="918"/>
      <c r="F1141" s="848"/>
      <c r="G1141" s="40"/>
      <c r="H1141" s="603" t="s">
        <v>38</v>
      </c>
      <c r="I1141" s="504">
        <v>0</v>
      </c>
      <c r="J1141" s="850"/>
      <c r="K1141" s="40"/>
      <c r="L1141" s="603" t="s">
        <v>38</v>
      </c>
      <c r="M1141" s="504">
        <f t="shared" si="4363"/>
        <v>0</v>
      </c>
      <c r="N1141" s="850"/>
      <c r="O1141" s="40"/>
      <c r="P1141" s="602">
        <v>0</v>
      </c>
      <c r="Q1141" s="602">
        <v>0</v>
      </c>
      <c r="R1141" s="602">
        <v>0</v>
      </c>
      <c r="S1141" s="602">
        <v>0</v>
      </c>
      <c r="T1141" s="602">
        <v>0</v>
      </c>
      <c r="U1141" s="602">
        <v>0</v>
      </c>
      <c r="V1141" s="602">
        <v>0</v>
      </c>
      <c r="W1141" s="40"/>
      <c r="X1141" s="504">
        <f t="shared" si="4357"/>
        <v>0</v>
      </c>
      <c r="Y1141" s="850"/>
      <c r="Z1141" s="40"/>
      <c r="AA1141" s="856"/>
      <c r="AB1141" s="856"/>
      <c r="AC1141" s="857"/>
      <c r="AD1141" s="920"/>
      <c r="AE1141" s="40"/>
      <c r="AF1141" s="856"/>
      <c r="AG1141" s="856"/>
      <c r="AH1141" s="857"/>
      <c r="AI1141" s="856"/>
      <c r="AJ1141" s="856"/>
      <c r="AK1141" s="856"/>
      <c r="AL1141" s="856"/>
      <c r="AM1141" s="850"/>
      <c r="AN1141" s="40"/>
      <c r="AO1141" s="882"/>
      <c r="AP1141" s="882"/>
      <c r="AV1141" t="str">
        <f t="shared" si="4240"/>
        <v>BDCC no Km 155+722 - Aterro 03</v>
      </c>
      <c r="AW1141" s="4" t="str">
        <f t="shared" si="4238"/>
        <v>2.4-BSCC BSCC 2,50x2,00 - Km 132+428 - Aterro A1 - Bueiro de Concreto - LD</v>
      </c>
    </row>
    <row r="1142" spans="1:49" ht="15.6" customHeight="1" outlineLevel="2">
      <c r="A1142" s="598" t="str">
        <f t="shared" ref="A1142" si="4415">IF(SUM(P1142:V1143)&gt;0,"S","N")</f>
        <v>N</v>
      </c>
      <c r="B1142" s="599">
        <v>1064238</v>
      </c>
      <c r="C1142" s="599" t="s">
        <v>1455</v>
      </c>
      <c r="D1142" s="118" t="s">
        <v>1322</v>
      </c>
      <c r="E1142" s="917" t="s">
        <v>1456</v>
      </c>
      <c r="F1142" s="848" t="s">
        <v>1437</v>
      </c>
      <c r="G1142" s="40"/>
      <c r="H1142" s="600" t="s">
        <v>37</v>
      </c>
      <c r="I1142" s="504">
        <v>0</v>
      </c>
      <c r="J1142" s="849" t="str">
        <f t="shared" ref="J1142" si="4416">IFERROR((I1143/I1142),"-")</f>
        <v>-</v>
      </c>
      <c r="K1142" s="40"/>
      <c r="L1142" s="600" t="s">
        <v>37</v>
      </c>
      <c r="M1142" s="504">
        <f t="shared" si="4363"/>
        <v>0</v>
      </c>
      <c r="N1142" s="849" t="str">
        <f t="shared" ref="N1142" si="4417">IFERROR((M1143/M1142),"-")</f>
        <v>-</v>
      </c>
      <c r="O1142" s="40"/>
      <c r="P1142" s="601">
        <v>0</v>
      </c>
      <c r="Q1142" s="601">
        <v>0</v>
      </c>
      <c r="R1142" s="601">
        <v>0</v>
      </c>
      <c r="S1142" s="601">
        <v>0</v>
      </c>
      <c r="T1142" s="601">
        <v>0</v>
      </c>
      <c r="U1142" s="601">
        <v>0</v>
      </c>
      <c r="V1142" s="602">
        <v>0</v>
      </c>
      <c r="W1142" s="40"/>
      <c r="X1142" s="504">
        <f t="shared" si="4357"/>
        <v>0</v>
      </c>
      <c r="Y1142" s="849" t="str">
        <f t="shared" ref="Y1142" si="4418">IFERROR((X1143/X1142),"0")</f>
        <v>0</v>
      </c>
      <c r="Z1142" s="40"/>
      <c r="AA1142" s="855">
        <v>0</v>
      </c>
      <c r="AB1142" s="855">
        <v>0</v>
      </c>
      <c r="AC1142" s="858">
        <v>0</v>
      </c>
      <c r="AD1142" s="849" t="str">
        <f t="shared" ref="AD1142" si="4419">IFERROR((AC1142/AB1142),"-")</f>
        <v>-</v>
      </c>
      <c r="AE1142" s="40"/>
      <c r="AF1142" s="855">
        <v>1</v>
      </c>
      <c r="AG1142" s="855"/>
      <c r="AH1142" s="858">
        <v>0</v>
      </c>
      <c r="AI1142" s="855"/>
      <c r="AJ1142" s="855"/>
      <c r="AK1142" s="855">
        <f t="shared" ref="AK1142" si="4420">AF1142+AG1142+AH1142+AI1142+AJ1142+AC1142</f>
        <v>1</v>
      </c>
      <c r="AL1142" s="855">
        <v>1</v>
      </c>
      <c r="AM1142" s="849">
        <f t="shared" ref="AM1142" si="4421">IFERROR((AK1142/AL1142),"-")</f>
        <v>1</v>
      </c>
      <c r="AN1142" s="40"/>
      <c r="AO1142" s="855">
        <v>1</v>
      </c>
      <c r="AP1142" s="855">
        <f t="shared" ref="AP1142" si="4422">AO1142-AK1142</f>
        <v>0</v>
      </c>
      <c r="AV1142" t="str">
        <f t="shared" si="4240"/>
        <v>BDCC no Km 155+722 - Aterro 03</v>
      </c>
      <c r="AW1142" s="4" t="str">
        <f t="shared" si="4238"/>
        <v>2.4-BDT PEAD DN 1,20m - km 133+019 - Aterro A1 - Bueiro de PEAD - LE</v>
      </c>
    </row>
    <row r="1143" spans="1:49" ht="15.6" customHeight="1" outlineLevel="2">
      <c r="A1143" s="598" t="str">
        <f t="shared" ref="A1143" si="4423">A1142</f>
        <v>N</v>
      </c>
      <c r="B1143" s="599"/>
      <c r="C1143" s="599"/>
      <c r="D1143" s="118" t="s">
        <v>1444</v>
      </c>
      <c r="E1143" s="918"/>
      <c r="F1143" s="848"/>
      <c r="G1143" s="40"/>
      <c r="H1143" s="603" t="s">
        <v>38</v>
      </c>
      <c r="I1143" s="504">
        <v>0</v>
      </c>
      <c r="J1143" s="850"/>
      <c r="K1143" s="40"/>
      <c r="L1143" s="603" t="s">
        <v>38</v>
      </c>
      <c r="M1143" s="504">
        <f t="shared" si="4363"/>
        <v>0</v>
      </c>
      <c r="N1143" s="850"/>
      <c r="O1143" s="40"/>
      <c r="P1143" s="602">
        <v>0</v>
      </c>
      <c r="Q1143" s="602">
        <v>0</v>
      </c>
      <c r="R1143" s="602">
        <v>0</v>
      </c>
      <c r="S1143" s="602">
        <v>0</v>
      </c>
      <c r="T1143" s="602">
        <v>0</v>
      </c>
      <c r="U1143" s="602">
        <v>0</v>
      </c>
      <c r="V1143" s="602">
        <v>0</v>
      </c>
      <c r="W1143" s="40"/>
      <c r="X1143" s="504">
        <f t="shared" si="4357"/>
        <v>0</v>
      </c>
      <c r="Y1143" s="850"/>
      <c r="Z1143" s="40"/>
      <c r="AA1143" s="856"/>
      <c r="AB1143" s="856"/>
      <c r="AC1143" s="857"/>
      <c r="AD1143" s="920"/>
      <c r="AE1143" s="40"/>
      <c r="AF1143" s="856"/>
      <c r="AG1143" s="856"/>
      <c r="AH1143" s="857"/>
      <c r="AI1143" s="856"/>
      <c r="AJ1143" s="856"/>
      <c r="AK1143" s="856"/>
      <c r="AL1143" s="856"/>
      <c r="AM1143" s="850"/>
      <c r="AN1143" s="40"/>
      <c r="AO1143" s="882"/>
      <c r="AP1143" s="882"/>
      <c r="AV1143" t="str">
        <f t="shared" si="4240"/>
        <v>BDCC no Km 155+722 - Aterro 03</v>
      </c>
      <c r="AW1143" s="4" t="str">
        <f t="shared" si="4238"/>
        <v>2.4-BDT PEAD DN 1,20m - km 133+019 - Aterro A1 - Bueiro de PEAD - LE</v>
      </c>
    </row>
    <row r="1144" spans="1:49" ht="15.6" customHeight="1" outlineLevel="2">
      <c r="A1144" s="598" t="str">
        <f t="shared" ref="A1144" si="4424">IF(SUM(P1144:V1145)&gt;0,"S","N")</f>
        <v>N</v>
      </c>
      <c r="B1144" s="599">
        <v>1064239</v>
      </c>
      <c r="C1144" s="599" t="s">
        <v>1457</v>
      </c>
      <c r="D1144" s="118" t="s">
        <v>1322</v>
      </c>
      <c r="E1144" s="917" t="s">
        <v>1458</v>
      </c>
      <c r="F1144" s="848" t="s">
        <v>1437</v>
      </c>
      <c r="G1144" s="40"/>
      <c r="H1144" s="600" t="s">
        <v>37</v>
      </c>
      <c r="I1144" s="504">
        <v>0</v>
      </c>
      <c r="J1144" s="849" t="str">
        <f t="shared" ref="J1144" si="4425">IFERROR((I1145/I1144),"-")</f>
        <v>-</v>
      </c>
      <c r="K1144" s="40"/>
      <c r="L1144" s="600" t="s">
        <v>37</v>
      </c>
      <c r="M1144" s="504">
        <f t="shared" si="4363"/>
        <v>0</v>
      </c>
      <c r="N1144" s="849" t="str">
        <f t="shared" ref="N1144" si="4426">IFERROR((M1145/M1144),"-")</f>
        <v>-</v>
      </c>
      <c r="O1144" s="40"/>
      <c r="P1144" s="601">
        <v>0</v>
      </c>
      <c r="Q1144" s="601">
        <v>0</v>
      </c>
      <c r="R1144" s="601">
        <v>0</v>
      </c>
      <c r="S1144" s="601">
        <v>0</v>
      </c>
      <c r="T1144" s="601">
        <v>0</v>
      </c>
      <c r="U1144" s="601">
        <v>0</v>
      </c>
      <c r="V1144" s="602">
        <v>0</v>
      </c>
      <c r="W1144" s="40"/>
      <c r="X1144" s="504">
        <f t="shared" si="4357"/>
        <v>0</v>
      </c>
      <c r="Y1144" s="849" t="str">
        <f t="shared" ref="Y1144" si="4427">IFERROR((X1145/X1144),"0")</f>
        <v>0</v>
      </c>
      <c r="Z1144" s="40"/>
      <c r="AA1144" s="855">
        <v>0</v>
      </c>
      <c r="AB1144" s="855">
        <v>0</v>
      </c>
      <c r="AC1144" s="858">
        <v>0</v>
      </c>
      <c r="AD1144" s="849" t="str">
        <f t="shared" ref="AD1144" si="4428">IFERROR((AC1144/AB1144),"-")</f>
        <v>-</v>
      </c>
      <c r="AE1144" s="40"/>
      <c r="AF1144" s="855">
        <v>1</v>
      </c>
      <c r="AG1144" s="855"/>
      <c r="AH1144" s="858">
        <v>0</v>
      </c>
      <c r="AI1144" s="855"/>
      <c r="AJ1144" s="855"/>
      <c r="AK1144" s="855">
        <f t="shared" ref="AK1144" si="4429">AF1144+AG1144+AH1144+AI1144+AJ1144+AC1144</f>
        <v>1</v>
      </c>
      <c r="AL1144" s="855">
        <v>0.99</v>
      </c>
      <c r="AM1144" s="849">
        <f t="shared" ref="AM1144" si="4430">IFERROR((AK1144/AL1144),"-")</f>
        <v>1.0101010101010102</v>
      </c>
      <c r="AN1144" s="40"/>
      <c r="AO1144" s="855">
        <v>1</v>
      </c>
      <c r="AP1144" s="855">
        <f t="shared" ref="AP1144" si="4431">AO1144-AK1144</f>
        <v>0</v>
      </c>
      <c r="AV1144" t="str">
        <f t="shared" si="4240"/>
        <v>BDCC no Km 155+722 - Aterro 03</v>
      </c>
      <c r="AW1144" s="4" t="str">
        <f t="shared" si="4238"/>
        <v>2.4-BDT PEAD DN 1,20m - km 133+019 - Aterro A1 - Bueiro de PEAD - LD</v>
      </c>
    </row>
    <row r="1145" spans="1:49" ht="15.6" customHeight="1" outlineLevel="2">
      <c r="A1145" s="598" t="str">
        <f t="shared" ref="A1145" si="4432">A1144</f>
        <v>N</v>
      </c>
      <c r="B1145" s="599"/>
      <c r="C1145" s="599"/>
      <c r="D1145" s="118" t="s">
        <v>1441</v>
      </c>
      <c r="E1145" s="918"/>
      <c r="F1145" s="848"/>
      <c r="G1145" s="40"/>
      <c r="H1145" s="603" t="s">
        <v>38</v>
      </c>
      <c r="I1145" s="504">
        <v>0</v>
      </c>
      <c r="J1145" s="850"/>
      <c r="K1145" s="40"/>
      <c r="L1145" s="603" t="s">
        <v>38</v>
      </c>
      <c r="M1145" s="504">
        <f t="shared" si="4363"/>
        <v>0</v>
      </c>
      <c r="N1145" s="850"/>
      <c r="O1145" s="40"/>
      <c r="P1145" s="602">
        <v>0</v>
      </c>
      <c r="Q1145" s="602">
        <v>0</v>
      </c>
      <c r="R1145" s="602">
        <v>0</v>
      </c>
      <c r="S1145" s="602">
        <v>0</v>
      </c>
      <c r="T1145" s="602">
        <v>0</v>
      </c>
      <c r="U1145" s="602">
        <v>0</v>
      </c>
      <c r="V1145" s="602">
        <v>0</v>
      </c>
      <c r="W1145" s="40"/>
      <c r="X1145" s="504">
        <f t="shared" si="4357"/>
        <v>0</v>
      </c>
      <c r="Y1145" s="850"/>
      <c r="Z1145" s="40"/>
      <c r="AA1145" s="856"/>
      <c r="AB1145" s="856"/>
      <c r="AC1145" s="857"/>
      <c r="AD1145" s="920"/>
      <c r="AE1145" s="40"/>
      <c r="AF1145" s="856"/>
      <c r="AG1145" s="856"/>
      <c r="AH1145" s="857"/>
      <c r="AI1145" s="856"/>
      <c r="AJ1145" s="856"/>
      <c r="AK1145" s="856"/>
      <c r="AL1145" s="856"/>
      <c r="AM1145" s="850"/>
      <c r="AN1145" s="40"/>
      <c r="AO1145" s="882"/>
      <c r="AP1145" s="882"/>
      <c r="AV1145" t="str">
        <f t="shared" si="4240"/>
        <v>BDCC no Km 155+722 - Aterro 03</v>
      </c>
      <c r="AW1145" s="4" t="str">
        <f t="shared" si="4238"/>
        <v>2.4-BDT PEAD DN 1,20m - km 133+019 - Aterro A1 - Bueiro de PEAD - LD</v>
      </c>
    </row>
    <row r="1146" spans="1:49" ht="15.6" customHeight="1" outlineLevel="2">
      <c r="A1146" s="598" t="str">
        <f t="shared" ref="A1146" si="4433">IF(SUM(P1146:V1147)&gt;0,"S","N")</f>
        <v>N</v>
      </c>
      <c r="B1146" s="599">
        <v>1064242</v>
      </c>
      <c r="C1146" s="599" t="s">
        <v>1459</v>
      </c>
      <c r="D1146" s="118" t="s">
        <v>1460</v>
      </c>
      <c r="E1146" s="917" t="s">
        <v>1461</v>
      </c>
      <c r="F1146" s="848" t="s">
        <v>1437</v>
      </c>
      <c r="G1146" s="40"/>
      <c r="H1146" s="600" t="s">
        <v>37</v>
      </c>
      <c r="I1146" s="504">
        <v>0</v>
      </c>
      <c r="J1146" s="849" t="str">
        <f t="shared" ref="J1146" si="4434">IFERROR((I1147/I1146),"-")</f>
        <v>-</v>
      </c>
      <c r="K1146" s="40"/>
      <c r="L1146" s="600" t="s">
        <v>37</v>
      </c>
      <c r="M1146" s="504">
        <f t="shared" si="4363"/>
        <v>0</v>
      </c>
      <c r="N1146" s="849" t="str">
        <f t="shared" ref="N1146" si="4435">IFERROR((M1147/M1146),"-")</f>
        <v>-</v>
      </c>
      <c r="O1146" s="40"/>
      <c r="P1146" s="601">
        <v>0</v>
      </c>
      <c r="Q1146" s="601">
        <v>0</v>
      </c>
      <c r="R1146" s="601">
        <v>0</v>
      </c>
      <c r="S1146" s="601">
        <v>0</v>
      </c>
      <c r="T1146" s="601">
        <v>0</v>
      </c>
      <c r="U1146" s="601">
        <v>0</v>
      </c>
      <c r="V1146" s="602">
        <v>0</v>
      </c>
      <c r="W1146" s="40"/>
      <c r="X1146" s="504">
        <f t="shared" si="4357"/>
        <v>0</v>
      </c>
      <c r="Y1146" s="849" t="str">
        <f t="shared" ref="Y1146" si="4436">IFERROR((X1147/X1146),"0")</f>
        <v>0</v>
      </c>
      <c r="Z1146" s="40"/>
      <c r="AA1146" s="855">
        <v>0</v>
      </c>
      <c r="AB1146" s="855">
        <v>0</v>
      </c>
      <c r="AC1146" s="858">
        <v>0</v>
      </c>
      <c r="AD1146" s="849" t="str">
        <f t="shared" ref="AD1146" si="4437">IFERROR((AC1146/AB1146),"-")</f>
        <v>-</v>
      </c>
      <c r="AE1146" s="40"/>
      <c r="AF1146" s="855">
        <v>1</v>
      </c>
      <c r="AG1146" s="855"/>
      <c r="AH1146" s="858">
        <v>0</v>
      </c>
      <c r="AI1146" s="855"/>
      <c r="AJ1146" s="855"/>
      <c r="AK1146" s="855">
        <f t="shared" ref="AK1146" si="4438">AF1146+AG1146+AH1146+AI1146+AJ1146+AC1146</f>
        <v>1</v>
      </c>
      <c r="AL1146" s="855">
        <v>1</v>
      </c>
      <c r="AM1146" s="849">
        <f t="shared" ref="AM1146" si="4439">IFERROR((AK1146/AL1146),"-")</f>
        <v>1</v>
      </c>
      <c r="AN1146" s="40"/>
      <c r="AO1146" s="855">
        <v>1</v>
      </c>
      <c r="AP1146" s="855">
        <f t="shared" ref="AP1146" si="4440">AO1146-AK1146</f>
        <v>0</v>
      </c>
      <c r="AV1146" t="str">
        <f t="shared" si="4240"/>
        <v>BDCC no Km 155+722 - Aterro 03</v>
      </c>
      <c r="AW1146" s="4" t="str">
        <f t="shared" si="4238"/>
        <v>2.4-PG BSCC 2,50 x 2,50m - km 133+555 - Aterro A1- Bueiro de Concreto - LE</v>
      </c>
    </row>
    <row r="1147" spans="1:49" ht="15.6" customHeight="1" outlineLevel="2">
      <c r="A1147" s="598" t="str">
        <f t="shared" ref="A1147" si="4441">A1146</f>
        <v>N</v>
      </c>
      <c r="B1147" s="599"/>
      <c r="C1147" s="599"/>
      <c r="D1147" s="118" t="s">
        <v>1444</v>
      </c>
      <c r="E1147" s="918"/>
      <c r="F1147" s="848"/>
      <c r="G1147" s="40"/>
      <c r="H1147" s="603" t="s">
        <v>38</v>
      </c>
      <c r="I1147" s="504">
        <v>0</v>
      </c>
      <c r="J1147" s="850"/>
      <c r="K1147" s="40"/>
      <c r="L1147" s="603" t="s">
        <v>38</v>
      </c>
      <c r="M1147" s="504">
        <f t="shared" si="4363"/>
        <v>0</v>
      </c>
      <c r="N1147" s="850"/>
      <c r="O1147" s="40"/>
      <c r="P1147" s="602">
        <v>0</v>
      </c>
      <c r="Q1147" s="602">
        <v>0</v>
      </c>
      <c r="R1147" s="602">
        <v>0</v>
      </c>
      <c r="S1147" s="602">
        <v>0</v>
      </c>
      <c r="T1147" s="602">
        <v>0</v>
      </c>
      <c r="U1147" s="602">
        <v>0</v>
      </c>
      <c r="V1147" s="602">
        <v>0</v>
      </c>
      <c r="W1147" s="40"/>
      <c r="X1147" s="504">
        <f t="shared" si="4357"/>
        <v>0</v>
      </c>
      <c r="Y1147" s="850"/>
      <c r="Z1147" s="40"/>
      <c r="AA1147" s="856"/>
      <c r="AB1147" s="856"/>
      <c r="AC1147" s="857"/>
      <c r="AD1147" s="920"/>
      <c r="AE1147" s="40"/>
      <c r="AF1147" s="856"/>
      <c r="AG1147" s="856"/>
      <c r="AH1147" s="857"/>
      <c r="AI1147" s="856"/>
      <c r="AJ1147" s="856"/>
      <c r="AK1147" s="856"/>
      <c r="AL1147" s="856"/>
      <c r="AM1147" s="850"/>
      <c r="AN1147" s="40"/>
      <c r="AO1147" s="882"/>
      <c r="AP1147" s="882"/>
      <c r="AV1147" t="str">
        <f t="shared" si="4240"/>
        <v>BDCC no Km 155+722 - Aterro 03</v>
      </c>
      <c r="AW1147" s="4" t="str">
        <f t="shared" si="4238"/>
        <v>2.4-PG BSCC 2,50 x 2,50m - km 133+555 - Aterro A1- Bueiro de Concreto - LE</v>
      </c>
    </row>
    <row r="1148" spans="1:49" ht="15.6" customHeight="1" outlineLevel="2">
      <c r="A1148" s="598" t="str">
        <f t="shared" ref="A1148" si="4442">IF(SUM(P1148:V1149)&gt;0,"S","N")</f>
        <v>N</v>
      </c>
      <c r="B1148" s="599">
        <v>1064243</v>
      </c>
      <c r="C1148" s="599" t="s">
        <v>1462</v>
      </c>
      <c r="D1148" s="118" t="s">
        <v>1460</v>
      </c>
      <c r="E1148" s="917" t="s">
        <v>1463</v>
      </c>
      <c r="F1148" s="848" t="s">
        <v>1437</v>
      </c>
      <c r="G1148" s="40"/>
      <c r="H1148" s="600" t="s">
        <v>37</v>
      </c>
      <c r="I1148" s="504">
        <v>0</v>
      </c>
      <c r="J1148" s="849" t="str">
        <f t="shared" ref="J1148" si="4443">IFERROR((I1149/I1148),"-")</f>
        <v>-</v>
      </c>
      <c r="K1148" s="40"/>
      <c r="L1148" s="600" t="s">
        <v>37</v>
      </c>
      <c r="M1148" s="504">
        <f t="shared" si="4363"/>
        <v>0</v>
      </c>
      <c r="N1148" s="849" t="str">
        <f t="shared" ref="N1148" si="4444">IFERROR((M1149/M1148),"-")</f>
        <v>-</v>
      </c>
      <c r="O1148" s="40"/>
      <c r="P1148" s="601">
        <v>0</v>
      </c>
      <c r="Q1148" s="601">
        <v>0</v>
      </c>
      <c r="R1148" s="601">
        <v>0</v>
      </c>
      <c r="S1148" s="601">
        <v>0</v>
      </c>
      <c r="T1148" s="601">
        <v>0</v>
      </c>
      <c r="U1148" s="601">
        <v>0</v>
      </c>
      <c r="V1148" s="602">
        <v>0</v>
      </c>
      <c r="W1148" s="40"/>
      <c r="X1148" s="504">
        <f t="shared" si="4357"/>
        <v>0</v>
      </c>
      <c r="Y1148" s="849" t="str">
        <f t="shared" ref="Y1148" si="4445">IFERROR((X1149/X1148),"0")</f>
        <v>0</v>
      </c>
      <c r="Z1148" s="40"/>
      <c r="AA1148" s="855">
        <v>0</v>
      </c>
      <c r="AB1148" s="855">
        <v>0</v>
      </c>
      <c r="AC1148" s="858">
        <v>0</v>
      </c>
      <c r="AD1148" s="849" t="str">
        <f t="shared" ref="AD1148" si="4446">IFERROR((AC1148/AB1148),"-")</f>
        <v>-</v>
      </c>
      <c r="AE1148" s="40"/>
      <c r="AF1148" s="855">
        <v>1</v>
      </c>
      <c r="AG1148" s="855"/>
      <c r="AH1148" s="858">
        <v>0</v>
      </c>
      <c r="AI1148" s="855"/>
      <c r="AJ1148" s="855"/>
      <c r="AK1148" s="855">
        <f t="shared" ref="AK1148" si="4447">AF1148+AG1148+AH1148+AI1148+AJ1148+AC1148</f>
        <v>1</v>
      </c>
      <c r="AL1148" s="855">
        <v>1</v>
      </c>
      <c r="AM1148" s="849">
        <f t="shared" ref="AM1148" si="4448">IFERROR((AK1148/AL1148),"-")</f>
        <v>1</v>
      </c>
      <c r="AN1148" s="40"/>
      <c r="AO1148" s="855">
        <v>1</v>
      </c>
      <c r="AP1148" s="855">
        <f t="shared" ref="AP1148" si="4449">AO1148-AK1148</f>
        <v>0</v>
      </c>
      <c r="AV1148" t="str">
        <f t="shared" si="4240"/>
        <v>BDCC no Km 155+722 - Aterro 03</v>
      </c>
      <c r="AW1148" s="4" t="str">
        <f t="shared" si="4238"/>
        <v>2.4-PG BSCC 2,50 x 2,50m - km 133+555 - Aterro A1- Bueiro de Concreto - LD</v>
      </c>
    </row>
    <row r="1149" spans="1:49" ht="15.6" customHeight="1" outlineLevel="2">
      <c r="A1149" s="598" t="str">
        <f t="shared" ref="A1149" si="4450">A1148</f>
        <v>N</v>
      </c>
      <c r="B1149" s="599"/>
      <c r="C1149" s="599"/>
      <c r="D1149" s="118" t="s">
        <v>1441</v>
      </c>
      <c r="E1149" s="918"/>
      <c r="F1149" s="848"/>
      <c r="G1149" s="40"/>
      <c r="H1149" s="603" t="s">
        <v>38</v>
      </c>
      <c r="I1149" s="504">
        <v>0</v>
      </c>
      <c r="J1149" s="850"/>
      <c r="K1149" s="40"/>
      <c r="L1149" s="603" t="s">
        <v>38</v>
      </c>
      <c r="M1149" s="504">
        <f t="shared" si="4363"/>
        <v>0</v>
      </c>
      <c r="N1149" s="850"/>
      <c r="O1149" s="40"/>
      <c r="P1149" s="602">
        <v>0</v>
      </c>
      <c r="Q1149" s="602">
        <v>0</v>
      </c>
      <c r="R1149" s="602">
        <v>0</v>
      </c>
      <c r="S1149" s="602">
        <v>0</v>
      </c>
      <c r="T1149" s="602">
        <v>0</v>
      </c>
      <c r="U1149" s="602">
        <v>0</v>
      </c>
      <c r="V1149" s="602">
        <v>0</v>
      </c>
      <c r="W1149" s="40"/>
      <c r="X1149" s="504">
        <f t="shared" si="4357"/>
        <v>0</v>
      </c>
      <c r="Y1149" s="850"/>
      <c r="Z1149" s="40"/>
      <c r="AA1149" s="856"/>
      <c r="AB1149" s="856"/>
      <c r="AC1149" s="857"/>
      <c r="AD1149" s="920"/>
      <c r="AE1149" s="40"/>
      <c r="AF1149" s="856"/>
      <c r="AG1149" s="856"/>
      <c r="AH1149" s="857"/>
      <c r="AI1149" s="856"/>
      <c r="AJ1149" s="856"/>
      <c r="AK1149" s="856"/>
      <c r="AL1149" s="856"/>
      <c r="AM1149" s="850"/>
      <c r="AN1149" s="40"/>
      <c r="AO1149" s="882"/>
      <c r="AP1149" s="882"/>
      <c r="AV1149" t="str">
        <f t="shared" si="4240"/>
        <v>BDCC no Km 155+722 - Aterro 03</v>
      </c>
      <c r="AW1149" s="4" t="str">
        <f t="shared" si="4238"/>
        <v>2.4-PG BSCC 2,50 x 2,50m - km 133+555 - Aterro A1- Bueiro de Concreto - LD</v>
      </c>
    </row>
    <row r="1150" spans="1:49" ht="15.6" customHeight="1" outlineLevel="2">
      <c r="A1150" s="598" t="str">
        <f t="shared" ref="A1150" si="4451">IF(SUM(P1150:V1151)&gt;0,"S","N")</f>
        <v>N</v>
      </c>
      <c r="B1150" s="599">
        <v>1064246</v>
      </c>
      <c r="C1150" s="599" t="s">
        <v>1464</v>
      </c>
      <c r="D1150" s="118" t="s">
        <v>1324</v>
      </c>
      <c r="E1150" s="917" t="s">
        <v>1465</v>
      </c>
      <c r="F1150" s="848" t="s">
        <v>1437</v>
      </c>
      <c r="G1150" s="40"/>
      <c r="H1150" s="600" t="s">
        <v>37</v>
      </c>
      <c r="I1150" s="504">
        <v>0</v>
      </c>
      <c r="J1150" s="849" t="str">
        <f t="shared" ref="J1150" si="4452">IFERROR((I1151/I1150),"-")</f>
        <v>-</v>
      </c>
      <c r="K1150" s="40"/>
      <c r="L1150" s="600" t="s">
        <v>37</v>
      </c>
      <c r="M1150" s="504">
        <f t="shared" si="4363"/>
        <v>0</v>
      </c>
      <c r="N1150" s="849" t="str">
        <f t="shared" ref="N1150" si="4453">IFERROR((M1151/M1150),"-")</f>
        <v>-</v>
      </c>
      <c r="O1150" s="40"/>
      <c r="P1150" s="601">
        <v>0</v>
      </c>
      <c r="Q1150" s="601">
        <v>0</v>
      </c>
      <c r="R1150" s="601">
        <v>0</v>
      </c>
      <c r="S1150" s="601">
        <v>0</v>
      </c>
      <c r="T1150" s="601">
        <v>0</v>
      </c>
      <c r="U1150" s="601">
        <v>0</v>
      </c>
      <c r="V1150" s="602">
        <v>0</v>
      </c>
      <c r="W1150" s="40"/>
      <c r="X1150" s="504">
        <f t="shared" si="4357"/>
        <v>0</v>
      </c>
      <c r="Y1150" s="849" t="str">
        <f t="shared" ref="Y1150" si="4454">IFERROR((X1151/X1150),"0")</f>
        <v>0</v>
      </c>
      <c r="Z1150" s="40"/>
      <c r="AA1150" s="855">
        <v>0</v>
      </c>
      <c r="AB1150" s="855">
        <v>0</v>
      </c>
      <c r="AC1150" s="858">
        <v>0</v>
      </c>
      <c r="AD1150" s="849" t="str">
        <f t="shared" ref="AD1150" si="4455">IFERROR((AC1150/AB1150),"-")</f>
        <v>-</v>
      </c>
      <c r="AE1150" s="40"/>
      <c r="AF1150" s="855">
        <v>1</v>
      </c>
      <c r="AG1150" s="855"/>
      <c r="AH1150" s="858">
        <v>0</v>
      </c>
      <c r="AI1150" s="855"/>
      <c r="AJ1150" s="855"/>
      <c r="AK1150" s="855">
        <f t="shared" ref="AK1150" si="4456">AF1150+AG1150+AH1150+AI1150+AJ1150+AC1150</f>
        <v>1</v>
      </c>
      <c r="AL1150" s="855">
        <v>1.2800000000000007</v>
      </c>
      <c r="AM1150" s="849">
        <f t="shared" ref="AM1150" si="4457">IFERROR((AK1150/AL1150),"-")</f>
        <v>0.78124999999999956</v>
      </c>
      <c r="AN1150" s="40"/>
      <c r="AO1150" s="855">
        <v>1</v>
      </c>
      <c r="AP1150" s="855">
        <f t="shared" ref="AP1150" si="4458">AO1150-AK1150</f>
        <v>0</v>
      </c>
      <c r="AV1150" t="str">
        <f t="shared" si="4240"/>
        <v>BDCC no Km 155+722 - Aterro 03</v>
      </c>
      <c r="AW1150" s="4" t="str">
        <f t="shared" si="4238"/>
        <v>2.4-BTCC 3,00x3,00 - Km 133+870 - Aterro A1 - Bueiro de Concreto - LE</v>
      </c>
    </row>
    <row r="1151" spans="1:49" ht="15.6" customHeight="1" outlineLevel="2">
      <c r="A1151" s="598" t="str">
        <f t="shared" ref="A1151" si="4459">A1150</f>
        <v>N</v>
      </c>
      <c r="B1151" s="599"/>
      <c r="C1151" s="599"/>
      <c r="D1151" s="118" t="s">
        <v>1444</v>
      </c>
      <c r="E1151" s="918"/>
      <c r="F1151" s="848"/>
      <c r="G1151" s="40"/>
      <c r="H1151" s="603" t="s">
        <v>38</v>
      </c>
      <c r="I1151" s="504">
        <v>0</v>
      </c>
      <c r="J1151" s="850"/>
      <c r="K1151" s="40"/>
      <c r="L1151" s="603" t="s">
        <v>38</v>
      </c>
      <c r="M1151" s="504">
        <f t="shared" si="4363"/>
        <v>0</v>
      </c>
      <c r="N1151" s="850"/>
      <c r="O1151" s="40"/>
      <c r="P1151" s="602">
        <v>0</v>
      </c>
      <c r="Q1151" s="602">
        <v>0</v>
      </c>
      <c r="R1151" s="602">
        <v>0</v>
      </c>
      <c r="S1151" s="602">
        <v>0</v>
      </c>
      <c r="T1151" s="602">
        <v>0</v>
      </c>
      <c r="U1151" s="602">
        <v>0</v>
      </c>
      <c r="V1151" s="602">
        <v>0</v>
      </c>
      <c r="W1151" s="40"/>
      <c r="X1151" s="504">
        <f t="shared" si="4357"/>
        <v>0</v>
      </c>
      <c r="Y1151" s="850"/>
      <c r="Z1151" s="40"/>
      <c r="AA1151" s="856"/>
      <c r="AB1151" s="856"/>
      <c r="AC1151" s="857"/>
      <c r="AD1151" s="920"/>
      <c r="AE1151" s="40"/>
      <c r="AF1151" s="856"/>
      <c r="AG1151" s="856"/>
      <c r="AH1151" s="857"/>
      <c r="AI1151" s="856"/>
      <c r="AJ1151" s="856"/>
      <c r="AK1151" s="856"/>
      <c r="AL1151" s="856"/>
      <c r="AM1151" s="850"/>
      <c r="AN1151" s="40"/>
      <c r="AO1151" s="882"/>
      <c r="AP1151" s="882"/>
      <c r="AV1151" t="str">
        <f t="shared" si="4240"/>
        <v>BDCC no Km 155+722 - Aterro 03</v>
      </c>
      <c r="AW1151" s="4" t="str">
        <f t="shared" si="4238"/>
        <v>2.4-BTCC 3,00x3,00 - Km 133+870 - Aterro A1 - Bueiro de Concreto - LE</v>
      </c>
    </row>
    <row r="1152" spans="1:49" ht="15.6" customHeight="1" outlineLevel="2">
      <c r="A1152" s="598" t="str">
        <f t="shared" ref="A1152" si="4460">IF(SUM(P1152:V1153)&gt;0,"S","N")</f>
        <v>N</v>
      </c>
      <c r="B1152" s="599">
        <v>1064247</v>
      </c>
      <c r="C1152" s="599" t="s">
        <v>1466</v>
      </c>
      <c r="D1152" s="118" t="s">
        <v>1324</v>
      </c>
      <c r="E1152" s="917" t="s">
        <v>1467</v>
      </c>
      <c r="F1152" s="848" t="s">
        <v>1437</v>
      </c>
      <c r="G1152" s="40"/>
      <c r="H1152" s="600" t="s">
        <v>37</v>
      </c>
      <c r="I1152" s="504">
        <v>0</v>
      </c>
      <c r="J1152" s="849" t="str">
        <f t="shared" ref="J1152" si="4461">IFERROR((I1153/I1152),"-")</f>
        <v>-</v>
      </c>
      <c r="K1152" s="40"/>
      <c r="L1152" s="600" t="s">
        <v>37</v>
      </c>
      <c r="M1152" s="504">
        <f t="shared" si="4363"/>
        <v>0</v>
      </c>
      <c r="N1152" s="849" t="str">
        <f t="shared" ref="N1152" si="4462">IFERROR((M1153/M1152),"-")</f>
        <v>-</v>
      </c>
      <c r="O1152" s="40"/>
      <c r="P1152" s="601">
        <v>0</v>
      </c>
      <c r="Q1152" s="601">
        <v>0</v>
      </c>
      <c r="R1152" s="601">
        <v>0</v>
      </c>
      <c r="S1152" s="601">
        <v>0</v>
      </c>
      <c r="T1152" s="601">
        <v>0</v>
      </c>
      <c r="U1152" s="601">
        <v>0</v>
      </c>
      <c r="V1152" s="602">
        <v>0</v>
      </c>
      <c r="W1152" s="40"/>
      <c r="X1152" s="504">
        <f t="shared" si="4357"/>
        <v>0</v>
      </c>
      <c r="Y1152" s="849" t="str">
        <f t="shared" ref="Y1152" si="4463">IFERROR((X1153/X1152),"0")</f>
        <v>0</v>
      </c>
      <c r="Z1152" s="40"/>
      <c r="AA1152" s="855">
        <v>1</v>
      </c>
      <c r="AB1152" s="855">
        <v>0</v>
      </c>
      <c r="AC1152" s="858">
        <v>0</v>
      </c>
      <c r="AD1152" s="849" t="str">
        <f t="shared" ref="AD1152" si="4464">IFERROR((AC1152/AB1152),"-")</f>
        <v>-</v>
      </c>
      <c r="AE1152" s="40"/>
      <c r="AF1152" s="855">
        <v>0</v>
      </c>
      <c r="AG1152" s="855"/>
      <c r="AH1152" s="858">
        <v>0</v>
      </c>
      <c r="AI1152" s="855"/>
      <c r="AJ1152" s="855"/>
      <c r="AK1152" s="855">
        <f t="shared" ref="AK1152" si="4465">AF1152+AG1152+AH1152+AI1152+AJ1152+AC1152</f>
        <v>0</v>
      </c>
      <c r="AL1152" s="855">
        <v>0</v>
      </c>
      <c r="AM1152" s="849" t="str">
        <f t="shared" ref="AM1152" si="4466">IFERROR((AK1152/AL1152),"-")</f>
        <v>-</v>
      </c>
      <c r="AN1152" s="40"/>
      <c r="AO1152" s="855">
        <v>1</v>
      </c>
      <c r="AP1152" s="855">
        <f t="shared" ref="AP1152" si="4467">AO1152-AK1152</f>
        <v>1</v>
      </c>
      <c r="AV1152" t="str">
        <f t="shared" si="4240"/>
        <v>BDCC no Km 155+722 - Aterro 03</v>
      </c>
      <c r="AW1152" s="4" t="str">
        <f t="shared" si="4238"/>
        <v>2.4-BTCC 3,00x3,00 - Km 133+870 - Aterro A1 - Bueiro de Concreto - LD</v>
      </c>
    </row>
    <row r="1153" spans="1:49" ht="15.6" customHeight="1" outlineLevel="2">
      <c r="A1153" s="598" t="str">
        <f t="shared" ref="A1153" si="4468">A1152</f>
        <v>N</v>
      </c>
      <c r="B1153" s="599"/>
      <c r="C1153" s="599"/>
      <c r="D1153" s="118" t="s">
        <v>1441</v>
      </c>
      <c r="E1153" s="918"/>
      <c r="F1153" s="848"/>
      <c r="G1153" s="40"/>
      <c r="H1153" s="603" t="s">
        <v>38</v>
      </c>
      <c r="I1153" s="504">
        <v>0</v>
      </c>
      <c r="J1153" s="850"/>
      <c r="K1153" s="40"/>
      <c r="L1153" s="603" t="s">
        <v>38</v>
      </c>
      <c r="M1153" s="504">
        <f t="shared" si="4363"/>
        <v>0</v>
      </c>
      <c r="N1153" s="850"/>
      <c r="O1153" s="40"/>
      <c r="P1153" s="602">
        <v>0</v>
      </c>
      <c r="Q1153" s="602">
        <v>0</v>
      </c>
      <c r="R1153" s="602">
        <v>0</v>
      </c>
      <c r="S1153" s="602">
        <v>0</v>
      </c>
      <c r="T1153" s="602">
        <v>0</v>
      </c>
      <c r="U1153" s="602">
        <v>0</v>
      </c>
      <c r="V1153" s="602">
        <v>0</v>
      </c>
      <c r="W1153" s="40"/>
      <c r="X1153" s="504">
        <f t="shared" si="4357"/>
        <v>0</v>
      </c>
      <c r="Y1153" s="850"/>
      <c r="Z1153" s="40"/>
      <c r="AA1153" s="856"/>
      <c r="AB1153" s="856"/>
      <c r="AC1153" s="857"/>
      <c r="AD1153" s="920"/>
      <c r="AE1153" s="40"/>
      <c r="AF1153" s="856"/>
      <c r="AG1153" s="856"/>
      <c r="AH1153" s="857"/>
      <c r="AI1153" s="856"/>
      <c r="AJ1153" s="856"/>
      <c r="AK1153" s="856"/>
      <c r="AL1153" s="856"/>
      <c r="AM1153" s="850"/>
      <c r="AN1153" s="40"/>
      <c r="AO1153" s="882"/>
      <c r="AP1153" s="882"/>
      <c r="AV1153" t="str">
        <f t="shared" si="4240"/>
        <v>BDCC no Km 155+722 - Aterro 03</v>
      </c>
      <c r="AW1153" s="4" t="str">
        <f t="shared" si="4238"/>
        <v>2.4-BTCC 3,00x3,00 - Km 133+870 - Aterro A1 - Bueiro de Concreto - LD</v>
      </c>
    </row>
    <row r="1154" spans="1:49" ht="15.6" customHeight="1" outlineLevel="2">
      <c r="A1154" s="598" t="str">
        <f t="shared" ref="A1154" si="4469">IF(SUM(P1154:V1155)&gt;0,"S","N")</f>
        <v>N</v>
      </c>
      <c r="B1154" s="599">
        <v>1064250</v>
      </c>
      <c r="C1154" s="599" t="s">
        <v>1468</v>
      </c>
      <c r="D1154" s="118" t="s">
        <v>1469</v>
      </c>
      <c r="E1154" s="917" t="s">
        <v>1470</v>
      </c>
      <c r="F1154" s="848" t="s">
        <v>1437</v>
      </c>
      <c r="G1154" s="40"/>
      <c r="H1154" s="600" t="s">
        <v>37</v>
      </c>
      <c r="I1154" s="504">
        <v>0</v>
      </c>
      <c r="J1154" s="849" t="str">
        <f t="shared" ref="J1154" si="4470">IFERROR((I1155/I1154),"-")</f>
        <v>-</v>
      </c>
      <c r="K1154" s="40"/>
      <c r="L1154" s="600" t="s">
        <v>37</v>
      </c>
      <c r="M1154" s="504">
        <f t="shared" si="4363"/>
        <v>0</v>
      </c>
      <c r="N1154" s="849" t="str">
        <f t="shared" ref="N1154" si="4471">IFERROR((M1155/M1154),"-")</f>
        <v>-</v>
      </c>
      <c r="O1154" s="40"/>
      <c r="P1154" s="601">
        <v>0</v>
      </c>
      <c r="Q1154" s="601">
        <v>0</v>
      </c>
      <c r="R1154" s="601">
        <v>0</v>
      </c>
      <c r="S1154" s="601">
        <v>0</v>
      </c>
      <c r="T1154" s="601">
        <v>0</v>
      </c>
      <c r="U1154" s="601">
        <v>0</v>
      </c>
      <c r="V1154" s="602">
        <v>0</v>
      </c>
      <c r="W1154" s="40"/>
      <c r="X1154" s="504">
        <f t="shared" si="4357"/>
        <v>0</v>
      </c>
      <c r="Y1154" s="849" t="str">
        <f t="shared" ref="Y1154" si="4472">IFERROR((X1155/X1154),"0")</f>
        <v>0</v>
      </c>
      <c r="Z1154" s="40"/>
      <c r="AA1154" s="855">
        <v>0</v>
      </c>
      <c r="AB1154" s="855">
        <v>0</v>
      </c>
      <c r="AC1154" s="858">
        <v>0</v>
      </c>
      <c r="AD1154" s="849" t="str">
        <f t="shared" ref="AD1154" si="4473">IFERROR((AC1154/AB1154),"-")</f>
        <v>-</v>
      </c>
      <c r="AE1154" s="40"/>
      <c r="AF1154" s="855">
        <v>1</v>
      </c>
      <c r="AG1154" s="855"/>
      <c r="AH1154" s="858">
        <v>0</v>
      </c>
      <c r="AI1154" s="855"/>
      <c r="AJ1154" s="855"/>
      <c r="AK1154" s="855">
        <f t="shared" ref="AK1154" si="4474">AF1154+AG1154+AH1154+AI1154+AJ1154+AC1154</f>
        <v>1</v>
      </c>
      <c r="AL1154" s="855">
        <v>1.1300000000000008</v>
      </c>
      <c r="AM1154" s="849">
        <f t="shared" ref="AM1154" si="4475">IFERROR((AK1154/AL1154),"-")</f>
        <v>0.88495575221238876</v>
      </c>
      <c r="AN1154" s="40"/>
      <c r="AO1154" s="855">
        <v>1</v>
      </c>
      <c r="AP1154" s="855">
        <f t="shared" ref="AP1154" si="4476">AO1154-AK1154</f>
        <v>0</v>
      </c>
      <c r="AV1154" t="str">
        <f t="shared" si="4240"/>
        <v>BDCC no Km 155+722 - Aterro 03</v>
      </c>
      <c r="AW1154" s="4" t="str">
        <f t="shared" si="4238"/>
        <v>2.4-BSCC-2,00x2,00 m - km 134+322 - Bueiro de Concreto - Aterro 01 C = 64,0m - LE</v>
      </c>
    </row>
    <row r="1155" spans="1:49" ht="15.6" customHeight="1" outlineLevel="2">
      <c r="A1155" s="598" t="str">
        <f t="shared" ref="A1155" si="4477">A1154</f>
        <v>N</v>
      </c>
      <c r="B1155" s="599"/>
      <c r="C1155" s="599"/>
      <c r="D1155" s="118" t="s">
        <v>1444</v>
      </c>
      <c r="E1155" s="918"/>
      <c r="F1155" s="848"/>
      <c r="G1155" s="40"/>
      <c r="H1155" s="603" t="s">
        <v>38</v>
      </c>
      <c r="I1155" s="504">
        <v>0</v>
      </c>
      <c r="J1155" s="850"/>
      <c r="K1155" s="40"/>
      <c r="L1155" s="603" t="s">
        <v>38</v>
      </c>
      <c r="M1155" s="504">
        <f t="shared" si="4363"/>
        <v>0</v>
      </c>
      <c r="N1155" s="850"/>
      <c r="O1155" s="40"/>
      <c r="P1155" s="602">
        <v>0</v>
      </c>
      <c r="Q1155" s="602">
        <v>0</v>
      </c>
      <c r="R1155" s="602">
        <v>0</v>
      </c>
      <c r="S1155" s="602">
        <v>0</v>
      </c>
      <c r="T1155" s="602">
        <v>0</v>
      </c>
      <c r="U1155" s="602">
        <v>0</v>
      </c>
      <c r="V1155" s="602">
        <v>0</v>
      </c>
      <c r="W1155" s="40"/>
      <c r="X1155" s="504">
        <f t="shared" si="4357"/>
        <v>0</v>
      </c>
      <c r="Y1155" s="850"/>
      <c r="Z1155" s="40"/>
      <c r="AA1155" s="856"/>
      <c r="AB1155" s="856"/>
      <c r="AC1155" s="857"/>
      <c r="AD1155" s="920"/>
      <c r="AE1155" s="40"/>
      <c r="AF1155" s="856"/>
      <c r="AG1155" s="856"/>
      <c r="AH1155" s="857"/>
      <c r="AI1155" s="856"/>
      <c r="AJ1155" s="856"/>
      <c r="AK1155" s="856"/>
      <c r="AL1155" s="856"/>
      <c r="AM1155" s="850"/>
      <c r="AN1155" s="40"/>
      <c r="AO1155" s="882"/>
      <c r="AP1155" s="882"/>
      <c r="AV1155" t="str">
        <f t="shared" si="4240"/>
        <v>BDCC no Km 155+722 - Aterro 03</v>
      </c>
      <c r="AW1155" s="4" t="str">
        <f t="shared" si="4238"/>
        <v>2.4-BSCC-2,00x2,00 m - km 134+322 - Bueiro de Concreto - Aterro 01 C = 64,0m - LE</v>
      </c>
    </row>
    <row r="1156" spans="1:49" ht="15.6" customHeight="1" outlineLevel="2">
      <c r="A1156" s="598" t="str">
        <f t="shared" ref="A1156" si="4478">IF(SUM(P1156:V1157)&gt;0,"S","N")</f>
        <v>N</v>
      </c>
      <c r="B1156" s="599">
        <v>1064251</v>
      </c>
      <c r="C1156" s="599" t="s">
        <v>1471</v>
      </c>
      <c r="D1156" s="118" t="s">
        <v>1469</v>
      </c>
      <c r="E1156" s="917" t="s">
        <v>1472</v>
      </c>
      <c r="F1156" s="848" t="s">
        <v>1437</v>
      </c>
      <c r="G1156" s="40"/>
      <c r="H1156" s="600" t="s">
        <v>37</v>
      </c>
      <c r="I1156" s="504">
        <v>0</v>
      </c>
      <c r="J1156" s="849" t="str">
        <f t="shared" ref="J1156" si="4479">IFERROR((I1157/I1156),"-")</f>
        <v>-</v>
      </c>
      <c r="K1156" s="40"/>
      <c r="L1156" s="600" t="s">
        <v>37</v>
      </c>
      <c r="M1156" s="504">
        <f t="shared" si="4363"/>
        <v>0</v>
      </c>
      <c r="N1156" s="849" t="str">
        <f t="shared" ref="N1156" si="4480">IFERROR((M1157/M1156),"-")</f>
        <v>-</v>
      </c>
      <c r="O1156" s="40"/>
      <c r="P1156" s="601">
        <v>0</v>
      </c>
      <c r="Q1156" s="601">
        <v>0</v>
      </c>
      <c r="R1156" s="601">
        <v>0</v>
      </c>
      <c r="S1156" s="601">
        <v>0</v>
      </c>
      <c r="T1156" s="601">
        <v>0</v>
      </c>
      <c r="U1156" s="601">
        <v>0</v>
      </c>
      <c r="V1156" s="602">
        <v>0</v>
      </c>
      <c r="W1156" s="40"/>
      <c r="X1156" s="504">
        <f t="shared" si="4357"/>
        <v>0</v>
      </c>
      <c r="Y1156" s="849" t="str">
        <f t="shared" ref="Y1156" si="4481">IFERROR((X1157/X1156),"0")</f>
        <v>0</v>
      </c>
      <c r="Z1156" s="40"/>
      <c r="AA1156" s="855">
        <v>0</v>
      </c>
      <c r="AB1156" s="855">
        <v>0</v>
      </c>
      <c r="AC1156" s="858">
        <v>0</v>
      </c>
      <c r="AD1156" s="849" t="str">
        <f t="shared" ref="AD1156" si="4482">IFERROR((AC1156/AB1156),"-")</f>
        <v>-</v>
      </c>
      <c r="AE1156" s="40"/>
      <c r="AF1156" s="855">
        <v>1</v>
      </c>
      <c r="AG1156" s="855"/>
      <c r="AH1156" s="858">
        <v>0</v>
      </c>
      <c r="AI1156" s="855"/>
      <c r="AJ1156" s="855"/>
      <c r="AK1156" s="855">
        <f t="shared" ref="AK1156" si="4483">AF1156+AG1156+AH1156+AI1156+AJ1156+AC1156</f>
        <v>1</v>
      </c>
      <c r="AL1156" s="855">
        <v>1.1000000000000008</v>
      </c>
      <c r="AM1156" s="849">
        <f t="shared" ref="AM1156" si="4484">IFERROR((AK1156/AL1156),"-")</f>
        <v>0.90909090909090851</v>
      </c>
      <c r="AN1156" s="40"/>
      <c r="AO1156" s="855">
        <v>1</v>
      </c>
      <c r="AP1156" s="855">
        <f t="shared" ref="AP1156" si="4485">AO1156-AK1156</f>
        <v>0</v>
      </c>
      <c r="AV1156" t="str">
        <f t="shared" si="4240"/>
        <v>BDCC no Km 155+722 - Aterro 03</v>
      </c>
      <c r="AW1156" s="4" t="str">
        <f t="shared" si="4238"/>
        <v>2.4-BSCC-2,00x2,00 m - km 134+322 - Bueiro de Concreto - Aterro 01 C = 64,0m - LD</v>
      </c>
    </row>
    <row r="1157" spans="1:49" ht="15.6" customHeight="1" outlineLevel="2">
      <c r="A1157" s="598" t="str">
        <f t="shared" ref="A1157" si="4486">A1156</f>
        <v>N</v>
      </c>
      <c r="B1157" s="599"/>
      <c r="C1157" s="599"/>
      <c r="D1157" s="118" t="s">
        <v>1441</v>
      </c>
      <c r="E1157" s="918"/>
      <c r="F1157" s="848"/>
      <c r="G1157" s="40"/>
      <c r="H1157" s="603" t="s">
        <v>38</v>
      </c>
      <c r="I1157" s="504">
        <v>0</v>
      </c>
      <c r="J1157" s="850"/>
      <c r="K1157" s="40"/>
      <c r="L1157" s="603" t="s">
        <v>38</v>
      </c>
      <c r="M1157" s="504">
        <f t="shared" si="4363"/>
        <v>0</v>
      </c>
      <c r="N1157" s="850"/>
      <c r="O1157" s="40"/>
      <c r="P1157" s="602">
        <v>0</v>
      </c>
      <c r="Q1157" s="602">
        <v>0</v>
      </c>
      <c r="R1157" s="602">
        <v>0</v>
      </c>
      <c r="S1157" s="602">
        <v>0</v>
      </c>
      <c r="T1157" s="602">
        <v>0</v>
      </c>
      <c r="U1157" s="602">
        <v>0</v>
      </c>
      <c r="V1157" s="602">
        <v>0</v>
      </c>
      <c r="W1157" s="40"/>
      <c r="X1157" s="504">
        <f t="shared" si="4357"/>
        <v>0</v>
      </c>
      <c r="Y1157" s="850"/>
      <c r="Z1157" s="40"/>
      <c r="AA1157" s="856"/>
      <c r="AB1157" s="856"/>
      <c r="AC1157" s="857"/>
      <c r="AD1157" s="920"/>
      <c r="AE1157" s="40"/>
      <c r="AF1157" s="856"/>
      <c r="AG1157" s="856"/>
      <c r="AH1157" s="857"/>
      <c r="AI1157" s="856"/>
      <c r="AJ1157" s="856"/>
      <c r="AK1157" s="856"/>
      <c r="AL1157" s="856"/>
      <c r="AM1157" s="850"/>
      <c r="AN1157" s="40"/>
      <c r="AO1157" s="882"/>
      <c r="AP1157" s="882"/>
      <c r="AV1157" t="str">
        <f t="shared" si="4240"/>
        <v>BDCC no Km 155+722 - Aterro 03</v>
      </c>
      <c r="AW1157" s="4" t="str">
        <f t="shared" si="4238"/>
        <v>2.4-BSCC-2,00x2,00 m - km 134+322 - Bueiro de Concreto - Aterro 01 C = 64,0m - LD</v>
      </c>
    </row>
    <row r="1158" spans="1:49" ht="15.6" customHeight="1" outlineLevel="2">
      <c r="A1158" s="598" t="str">
        <f t="shared" ref="A1158" si="4487">IF(SUM(P1158:V1159)&gt;0,"S","N")</f>
        <v>N</v>
      </c>
      <c r="B1158" s="599">
        <v>1064255</v>
      </c>
      <c r="C1158" s="599" t="s">
        <v>1473</v>
      </c>
      <c r="D1158" s="118" t="s">
        <v>1326</v>
      </c>
      <c r="E1158" s="917" t="s">
        <v>1474</v>
      </c>
      <c r="F1158" s="848" t="s">
        <v>1437</v>
      </c>
      <c r="G1158" s="40"/>
      <c r="H1158" s="600" t="s">
        <v>37</v>
      </c>
      <c r="I1158" s="504">
        <v>0</v>
      </c>
      <c r="J1158" s="849" t="str">
        <f t="shared" ref="J1158" si="4488">IFERROR((I1159/I1158),"-")</f>
        <v>-</v>
      </c>
      <c r="K1158" s="40"/>
      <c r="L1158" s="600" t="s">
        <v>37</v>
      </c>
      <c r="M1158" s="504">
        <f t="shared" si="4363"/>
        <v>0</v>
      </c>
      <c r="N1158" s="849" t="str">
        <f t="shared" ref="N1158" si="4489">IFERROR((M1159/M1158),"-")</f>
        <v>-</v>
      </c>
      <c r="O1158" s="40"/>
      <c r="P1158" s="601">
        <v>0</v>
      </c>
      <c r="Q1158" s="601">
        <v>0</v>
      </c>
      <c r="R1158" s="601">
        <v>0</v>
      </c>
      <c r="S1158" s="601">
        <v>0</v>
      </c>
      <c r="T1158" s="601">
        <v>0</v>
      </c>
      <c r="U1158" s="601">
        <v>0</v>
      </c>
      <c r="V1158" s="602">
        <v>0</v>
      </c>
      <c r="W1158" s="40"/>
      <c r="X1158" s="504">
        <f t="shared" si="4357"/>
        <v>0</v>
      </c>
      <c r="Y1158" s="849" t="str">
        <f t="shared" ref="Y1158" si="4490">IFERROR((X1159/X1158),"0")</f>
        <v>0</v>
      </c>
      <c r="Z1158" s="40"/>
      <c r="AA1158" s="855">
        <v>0</v>
      </c>
      <c r="AB1158" s="855">
        <v>0</v>
      </c>
      <c r="AC1158" s="858">
        <v>0</v>
      </c>
      <c r="AD1158" s="849" t="str">
        <f t="shared" ref="AD1158" si="4491">IFERROR((AC1158/AB1158),"-")</f>
        <v>-</v>
      </c>
      <c r="AE1158" s="40"/>
      <c r="AF1158" s="855">
        <v>1</v>
      </c>
      <c r="AG1158" s="855"/>
      <c r="AH1158" s="858">
        <v>0</v>
      </c>
      <c r="AI1158" s="855"/>
      <c r="AJ1158" s="855"/>
      <c r="AK1158" s="855">
        <f t="shared" ref="AK1158" si="4492">AF1158+AG1158+AH1158+AI1158+AJ1158+AC1158</f>
        <v>1</v>
      </c>
      <c r="AL1158" s="855">
        <v>1</v>
      </c>
      <c r="AM1158" s="849">
        <f t="shared" ref="AM1158" si="4493">IFERROR((AK1158/AL1158),"-")</f>
        <v>1</v>
      </c>
      <c r="AN1158" s="40"/>
      <c r="AO1158" s="855">
        <v>1</v>
      </c>
      <c r="AP1158" s="855">
        <f t="shared" ref="AP1158" si="4494">AO1158-AK1158</f>
        <v>0</v>
      </c>
      <c r="AV1158" t="str">
        <f t="shared" si="4240"/>
        <v>BDCC no Km 155+722 - Aterro 03</v>
      </c>
      <c r="AW1158" s="4" t="str">
        <f t="shared" si="4238"/>
        <v>2.4-BDCC 2,50x2,00 - km 134+743- Aterro A1 - Bueiro de concreto - LE</v>
      </c>
    </row>
    <row r="1159" spans="1:49" ht="15.6" customHeight="1" outlineLevel="2">
      <c r="A1159" s="598" t="str">
        <f t="shared" ref="A1159" si="4495">A1158</f>
        <v>N</v>
      </c>
      <c r="B1159" s="599"/>
      <c r="C1159" s="599"/>
      <c r="D1159" s="118" t="s">
        <v>1444</v>
      </c>
      <c r="E1159" s="918"/>
      <c r="F1159" s="848"/>
      <c r="G1159" s="40"/>
      <c r="H1159" s="603" t="s">
        <v>38</v>
      </c>
      <c r="I1159" s="504">
        <v>0</v>
      </c>
      <c r="J1159" s="850"/>
      <c r="K1159" s="40"/>
      <c r="L1159" s="603" t="s">
        <v>38</v>
      </c>
      <c r="M1159" s="504">
        <f t="shared" si="4363"/>
        <v>0</v>
      </c>
      <c r="N1159" s="850"/>
      <c r="O1159" s="40"/>
      <c r="P1159" s="602">
        <v>0</v>
      </c>
      <c r="Q1159" s="602">
        <v>0</v>
      </c>
      <c r="R1159" s="602">
        <v>0</v>
      </c>
      <c r="S1159" s="602">
        <v>0</v>
      </c>
      <c r="T1159" s="602">
        <v>0</v>
      </c>
      <c r="U1159" s="602">
        <v>0</v>
      </c>
      <c r="V1159" s="602">
        <v>0</v>
      </c>
      <c r="W1159" s="40"/>
      <c r="X1159" s="504">
        <f t="shared" si="4357"/>
        <v>0</v>
      </c>
      <c r="Y1159" s="850"/>
      <c r="Z1159" s="40"/>
      <c r="AA1159" s="856"/>
      <c r="AB1159" s="856"/>
      <c r="AC1159" s="857"/>
      <c r="AD1159" s="920"/>
      <c r="AE1159" s="40"/>
      <c r="AF1159" s="856"/>
      <c r="AG1159" s="856"/>
      <c r="AH1159" s="857"/>
      <c r="AI1159" s="856"/>
      <c r="AJ1159" s="856"/>
      <c r="AK1159" s="856"/>
      <c r="AL1159" s="856"/>
      <c r="AM1159" s="850"/>
      <c r="AN1159" s="40"/>
      <c r="AO1159" s="882"/>
      <c r="AP1159" s="882"/>
      <c r="AV1159" t="str">
        <f t="shared" si="4240"/>
        <v>BDCC no Km 155+722 - Aterro 03</v>
      </c>
      <c r="AW1159" s="4" t="str">
        <f t="shared" si="4238"/>
        <v>2.4-BDCC 2,50x2,00 - km 134+743- Aterro A1 - Bueiro de concreto - LE</v>
      </c>
    </row>
    <row r="1160" spans="1:49" ht="15.6" customHeight="1" outlineLevel="2">
      <c r="A1160" s="598" t="str">
        <f t="shared" ref="A1160" si="4496">IF(SUM(P1160:V1161)&gt;0,"S","N")</f>
        <v>N</v>
      </c>
      <c r="B1160" s="599">
        <v>1064256</v>
      </c>
      <c r="C1160" s="599" t="s">
        <v>1475</v>
      </c>
      <c r="D1160" s="118" t="s">
        <v>1326</v>
      </c>
      <c r="E1160" s="917" t="s">
        <v>1476</v>
      </c>
      <c r="F1160" s="848" t="s">
        <v>1437</v>
      </c>
      <c r="G1160" s="40"/>
      <c r="H1160" s="600" t="s">
        <v>37</v>
      </c>
      <c r="I1160" s="504">
        <v>0</v>
      </c>
      <c r="J1160" s="849" t="str">
        <f t="shared" ref="J1160" si="4497">IFERROR((I1161/I1160),"-")</f>
        <v>-</v>
      </c>
      <c r="K1160" s="40"/>
      <c r="L1160" s="600" t="s">
        <v>37</v>
      </c>
      <c r="M1160" s="504">
        <f t="shared" si="4363"/>
        <v>0</v>
      </c>
      <c r="N1160" s="849" t="str">
        <f t="shared" ref="N1160" si="4498">IFERROR((M1161/M1160),"-")</f>
        <v>-</v>
      </c>
      <c r="O1160" s="40"/>
      <c r="P1160" s="601">
        <v>0</v>
      </c>
      <c r="Q1160" s="601">
        <v>0</v>
      </c>
      <c r="R1160" s="601">
        <v>0</v>
      </c>
      <c r="S1160" s="601">
        <v>0</v>
      </c>
      <c r="T1160" s="601">
        <v>0</v>
      </c>
      <c r="U1160" s="601">
        <v>0</v>
      </c>
      <c r="V1160" s="602">
        <v>0</v>
      </c>
      <c r="W1160" s="40"/>
      <c r="X1160" s="504">
        <f t="shared" si="4357"/>
        <v>0</v>
      </c>
      <c r="Y1160" s="849" t="str">
        <f t="shared" ref="Y1160" si="4499">IFERROR((X1161/X1160),"0")</f>
        <v>0</v>
      </c>
      <c r="Z1160" s="40"/>
      <c r="AA1160" s="855">
        <v>0</v>
      </c>
      <c r="AB1160" s="855">
        <v>0</v>
      </c>
      <c r="AC1160" s="858">
        <v>0</v>
      </c>
      <c r="AD1160" s="849" t="str">
        <f t="shared" ref="AD1160" si="4500">IFERROR((AC1160/AB1160),"-")</f>
        <v>-</v>
      </c>
      <c r="AE1160" s="40"/>
      <c r="AF1160" s="855">
        <v>1</v>
      </c>
      <c r="AG1160" s="855"/>
      <c r="AH1160" s="858">
        <v>0</v>
      </c>
      <c r="AI1160" s="855"/>
      <c r="AJ1160" s="855"/>
      <c r="AK1160" s="855">
        <f t="shared" ref="AK1160" si="4501">AF1160+AG1160+AH1160+AI1160+AJ1160+AC1160</f>
        <v>1</v>
      </c>
      <c r="AL1160" s="855">
        <v>0.99000000000000044</v>
      </c>
      <c r="AM1160" s="849">
        <f t="shared" ref="AM1160" si="4502">IFERROR((AK1160/AL1160),"-")</f>
        <v>1.0101010101010097</v>
      </c>
      <c r="AN1160" s="40"/>
      <c r="AO1160" s="855">
        <v>1</v>
      </c>
      <c r="AP1160" s="855">
        <f t="shared" ref="AP1160" si="4503">AO1160-AK1160</f>
        <v>0</v>
      </c>
      <c r="AV1160" t="str">
        <f t="shared" si="4240"/>
        <v>BDCC no Km 155+722 - Aterro 03</v>
      </c>
      <c r="AW1160" s="4" t="str">
        <f t="shared" si="4238"/>
        <v>2.4-BDCC 2,50x2,00 - km 134+743- Aterro A1 - Bueiro de concreto - LD</v>
      </c>
    </row>
    <row r="1161" spans="1:49" ht="15.6" customHeight="1" outlineLevel="2">
      <c r="A1161" s="598" t="str">
        <f t="shared" ref="A1161" si="4504">A1160</f>
        <v>N</v>
      </c>
      <c r="B1161" s="599"/>
      <c r="C1161" s="599"/>
      <c r="D1161" s="118" t="s">
        <v>1441</v>
      </c>
      <c r="E1161" s="918"/>
      <c r="F1161" s="848"/>
      <c r="G1161" s="40"/>
      <c r="H1161" s="603" t="s">
        <v>38</v>
      </c>
      <c r="I1161" s="504">
        <v>0</v>
      </c>
      <c r="J1161" s="850"/>
      <c r="K1161" s="40"/>
      <c r="L1161" s="603" t="s">
        <v>38</v>
      </c>
      <c r="M1161" s="504">
        <f t="shared" si="4363"/>
        <v>0</v>
      </c>
      <c r="N1161" s="850"/>
      <c r="O1161" s="40"/>
      <c r="P1161" s="602">
        <v>0</v>
      </c>
      <c r="Q1161" s="602">
        <v>0</v>
      </c>
      <c r="R1161" s="602">
        <v>0</v>
      </c>
      <c r="S1161" s="602">
        <v>0</v>
      </c>
      <c r="T1161" s="602">
        <v>0</v>
      </c>
      <c r="U1161" s="602">
        <v>0</v>
      </c>
      <c r="V1161" s="602">
        <v>0</v>
      </c>
      <c r="W1161" s="40"/>
      <c r="X1161" s="504">
        <f t="shared" si="4357"/>
        <v>0</v>
      </c>
      <c r="Y1161" s="850"/>
      <c r="Z1161" s="40"/>
      <c r="AA1161" s="856"/>
      <c r="AB1161" s="856"/>
      <c r="AC1161" s="857"/>
      <c r="AD1161" s="920"/>
      <c r="AE1161" s="40"/>
      <c r="AF1161" s="856"/>
      <c r="AG1161" s="856"/>
      <c r="AH1161" s="857"/>
      <c r="AI1161" s="856"/>
      <c r="AJ1161" s="856"/>
      <c r="AK1161" s="856"/>
      <c r="AL1161" s="856"/>
      <c r="AM1161" s="850"/>
      <c r="AN1161" s="40"/>
      <c r="AO1161" s="882"/>
      <c r="AP1161" s="882"/>
      <c r="AV1161" t="str">
        <f t="shared" si="4240"/>
        <v>BDCC no Km 155+722 - Aterro 03</v>
      </c>
      <c r="AW1161" s="4" t="str">
        <f t="shared" ref="AW1161:AW1224" si="4505">IF(E1161&lt;&gt;"",E1161,AW1160)</f>
        <v>2.4-BDCC 2,50x2,00 - km 134+743- Aterro A1 - Bueiro de concreto - LD</v>
      </c>
    </row>
    <row r="1162" spans="1:49" ht="15.6" customHeight="1" outlineLevel="2">
      <c r="A1162" s="598" t="str">
        <f t="shared" ref="A1162" si="4506">IF(SUM(P1162:V1163)&gt;0,"S","N")</f>
        <v>N</v>
      </c>
      <c r="B1162" s="599">
        <v>1064261</v>
      </c>
      <c r="C1162" s="599" t="s">
        <v>1477</v>
      </c>
      <c r="D1162" s="118" t="s">
        <v>1478</v>
      </c>
      <c r="E1162" s="917" t="s">
        <v>1479</v>
      </c>
      <c r="F1162" s="848" t="s">
        <v>1437</v>
      </c>
      <c r="G1162" s="40"/>
      <c r="H1162" s="600" t="s">
        <v>37</v>
      </c>
      <c r="I1162" s="504">
        <v>0</v>
      </c>
      <c r="J1162" s="849" t="str">
        <f t="shared" ref="J1162" si="4507">IFERROR((I1163/I1162),"-")</f>
        <v>-</v>
      </c>
      <c r="K1162" s="40"/>
      <c r="L1162" s="600" t="s">
        <v>37</v>
      </c>
      <c r="M1162" s="504">
        <f t="shared" si="4363"/>
        <v>0</v>
      </c>
      <c r="N1162" s="849" t="str">
        <f t="shared" ref="N1162" si="4508">IFERROR((M1163/M1162),"-")</f>
        <v>-</v>
      </c>
      <c r="O1162" s="40"/>
      <c r="P1162" s="601">
        <v>0</v>
      </c>
      <c r="Q1162" s="601">
        <v>0</v>
      </c>
      <c r="R1162" s="601">
        <v>0</v>
      </c>
      <c r="S1162" s="601">
        <v>0</v>
      </c>
      <c r="T1162" s="601">
        <v>0</v>
      </c>
      <c r="U1162" s="601">
        <v>0</v>
      </c>
      <c r="V1162" s="602">
        <v>0</v>
      </c>
      <c r="W1162" s="40"/>
      <c r="X1162" s="504">
        <f t="shared" si="4357"/>
        <v>0</v>
      </c>
      <c r="Y1162" s="849" t="str">
        <f t="shared" ref="Y1162" si="4509">IFERROR((X1163/X1162),"0")</f>
        <v>0</v>
      </c>
      <c r="Z1162" s="40"/>
      <c r="AA1162" s="855">
        <v>0</v>
      </c>
      <c r="AB1162" s="855">
        <v>0</v>
      </c>
      <c r="AC1162" s="858">
        <v>0</v>
      </c>
      <c r="AD1162" s="849" t="str">
        <f t="shared" ref="AD1162" si="4510">IFERROR((AC1162/AB1162),"-")</f>
        <v>-</v>
      </c>
      <c r="AE1162" s="40"/>
      <c r="AF1162" s="855">
        <v>1</v>
      </c>
      <c r="AG1162" s="855"/>
      <c r="AH1162" s="858">
        <v>0</v>
      </c>
      <c r="AI1162" s="855"/>
      <c r="AJ1162" s="855"/>
      <c r="AK1162" s="855">
        <f t="shared" ref="AK1162" si="4511">AF1162+AG1162+AH1162+AI1162+AJ1162+AC1162</f>
        <v>1</v>
      </c>
      <c r="AL1162" s="855">
        <v>1</v>
      </c>
      <c r="AM1162" s="849">
        <f t="shared" ref="AM1162" si="4512">IFERROR((AK1162/AL1162),"-")</f>
        <v>1</v>
      </c>
      <c r="AN1162" s="40"/>
      <c r="AO1162" s="855">
        <v>1</v>
      </c>
      <c r="AP1162" s="855">
        <f t="shared" ref="AP1162" si="4513">AO1162-AK1162</f>
        <v>0</v>
      </c>
      <c r="AV1162" t="str">
        <f t="shared" ref="AV1162:AV1225" si="4514">IF(AX1162="Y",LEFT(E1162,20),IF(AX1162="x",E1162,AV1161))</f>
        <v>BDCC no Km 155+722 - Aterro 03</v>
      </c>
      <c r="AW1162" s="4" t="str">
        <f t="shared" si="4505"/>
        <v>2.4-BSCC BSCC 2,00x2,00 - Km 135+537 - Aterro A1 - Bueiro de Concreto - LE</v>
      </c>
    </row>
    <row r="1163" spans="1:49" ht="15.6" customHeight="1" outlineLevel="2">
      <c r="A1163" s="598" t="str">
        <f t="shared" ref="A1163" si="4515">A1162</f>
        <v>N</v>
      </c>
      <c r="B1163" s="599"/>
      <c r="C1163" s="599"/>
      <c r="D1163" s="118" t="s">
        <v>1444</v>
      </c>
      <c r="E1163" s="918"/>
      <c r="F1163" s="848"/>
      <c r="G1163" s="40"/>
      <c r="H1163" s="603" t="s">
        <v>38</v>
      </c>
      <c r="I1163" s="504">
        <v>0</v>
      </c>
      <c r="J1163" s="850"/>
      <c r="K1163" s="40"/>
      <c r="L1163" s="603" t="s">
        <v>38</v>
      </c>
      <c r="M1163" s="504">
        <f t="shared" si="4363"/>
        <v>0</v>
      </c>
      <c r="N1163" s="850"/>
      <c r="O1163" s="40"/>
      <c r="P1163" s="602">
        <v>0</v>
      </c>
      <c r="Q1163" s="602">
        <v>0</v>
      </c>
      <c r="R1163" s="602">
        <v>0</v>
      </c>
      <c r="S1163" s="602">
        <v>0</v>
      </c>
      <c r="T1163" s="602">
        <v>0</v>
      </c>
      <c r="U1163" s="602">
        <v>0</v>
      </c>
      <c r="V1163" s="602">
        <v>0</v>
      </c>
      <c r="W1163" s="40"/>
      <c r="X1163" s="504">
        <f t="shared" si="4357"/>
        <v>0</v>
      </c>
      <c r="Y1163" s="850"/>
      <c r="Z1163" s="40"/>
      <c r="AA1163" s="856"/>
      <c r="AB1163" s="856"/>
      <c r="AC1163" s="857"/>
      <c r="AD1163" s="920"/>
      <c r="AE1163" s="40"/>
      <c r="AF1163" s="856"/>
      <c r="AG1163" s="856"/>
      <c r="AH1163" s="857"/>
      <c r="AI1163" s="856"/>
      <c r="AJ1163" s="856"/>
      <c r="AK1163" s="856"/>
      <c r="AL1163" s="856"/>
      <c r="AM1163" s="850"/>
      <c r="AN1163" s="40"/>
      <c r="AO1163" s="882"/>
      <c r="AP1163" s="882"/>
      <c r="AV1163" t="str">
        <f t="shared" si="4514"/>
        <v>BDCC no Km 155+722 - Aterro 03</v>
      </c>
      <c r="AW1163" s="4" t="str">
        <f t="shared" si="4505"/>
        <v>2.4-BSCC BSCC 2,00x2,00 - Km 135+537 - Aterro A1 - Bueiro de Concreto - LE</v>
      </c>
    </row>
    <row r="1164" spans="1:49" ht="15.6" customHeight="1" outlineLevel="2">
      <c r="A1164" s="598" t="str">
        <f t="shared" ref="A1164" si="4516">IF(SUM(P1164:V1165)&gt;0,"S","N")</f>
        <v>N</v>
      </c>
      <c r="B1164" s="599">
        <v>1064262</v>
      </c>
      <c r="C1164" s="599" t="s">
        <v>1480</v>
      </c>
      <c r="D1164" s="118" t="s">
        <v>1478</v>
      </c>
      <c r="E1164" s="917" t="s">
        <v>1481</v>
      </c>
      <c r="F1164" s="848" t="s">
        <v>1437</v>
      </c>
      <c r="G1164" s="40"/>
      <c r="H1164" s="600" t="s">
        <v>37</v>
      </c>
      <c r="I1164" s="504">
        <v>0</v>
      </c>
      <c r="J1164" s="849" t="str">
        <f t="shared" ref="J1164" si="4517">IFERROR((I1165/I1164),"-")</f>
        <v>-</v>
      </c>
      <c r="K1164" s="40"/>
      <c r="L1164" s="600" t="s">
        <v>37</v>
      </c>
      <c r="M1164" s="504">
        <f t="shared" si="4363"/>
        <v>0</v>
      </c>
      <c r="N1164" s="849" t="str">
        <f t="shared" ref="N1164" si="4518">IFERROR((M1165/M1164),"-")</f>
        <v>-</v>
      </c>
      <c r="O1164" s="40"/>
      <c r="P1164" s="601">
        <v>0</v>
      </c>
      <c r="Q1164" s="601">
        <v>0</v>
      </c>
      <c r="R1164" s="601">
        <v>0</v>
      </c>
      <c r="S1164" s="601">
        <v>0</v>
      </c>
      <c r="T1164" s="601">
        <v>0</v>
      </c>
      <c r="U1164" s="601">
        <v>0</v>
      </c>
      <c r="V1164" s="602">
        <v>0</v>
      </c>
      <c r="W1164" s="40"/>
      <c r="X1164" s="504">
        <f t="shared" si="4357"/>
        <v>0</v>
      </c>
      <c r="Y1164" s="849" t="str">
        <f t="shared" ref="Y1164" si="4519">IFERROR((X1165/X1164),"0")</f>
        <v>0</v>
      </c>
      <c r="Z1164" s="40"/>
      <c r="AA1164" s="855">
        <v>0</v>
      </c>
      <c r="AB1164" s="855">
        <v>0</v>
      </c>
      <c r="AC1164" s="858">
        <v>0</v>
      </c>
      <c r="AD1164" s="849" t="str">
        <f t="shared" ref="AD1164" si="4520">IFERROR((AC1164/AB1164),"-")</f>
        <v>-</v>
      </c>
      <c r="AE1164" s="40"/>
      <c r="AF1164" s="855">
        <v>1</v>
      </c>
      <c r="AG1164" s="855"/>
      <c r="AH1164" s="858">
        <v>0</v>
      </c>
      <c r="AI1164" s="855"/>
      <c r="AJ1164" s="855"/>
      <c r="AK1164" s="855">
        <f t="shared" ref="AK1164" si="4521">AF1164+AG1164+AH1164+AI1164+AJ1164+AC1164</f>
        <v>1</v>
      </c>
      <c r="AL1164" s="855">
        <v>1</v>
      </c>
      <c r="AM1164" s="849">
        <f t="shared" ref="AM1164" si="4522">IFERROR((AK1164/AL1164),"-")</f>
        <v>1</v>
      </c>
      <c r="AN1164" s="40"/>
      <c r="AO1164" s="855">
        <v>1</v>
      </c>
      <c r="AP1164" s="855">
        <f t="shared" ref="AP1164" si="4523">AO1164-AK1164</f>
        <v>0</v>
      </c>
      <c r="AV1164" t="str">
        <f t="shared" si="4514"/>
        <v>BDCC no Km 155+722 - Aterro 03</v>
      </c>
      <c r="AW1164" s="4" t="str">
        <f t="shared" si="4505"/>
        <v>2.4-BSCC BSCC 2,00x2,00 - Km 135+537 - Aterro A1 - Bueiro de Concreto - LD</v>
      </c>
    </row>
    <row r="1165" spans="1:49" ht="15.6" customHeight="1" outlineLevel="2">
      <c r="A1165" s="598" t="str">
        <f t="shared" ref="A1165" si="4524">A1164</f>
        <v>N</v>
      </c>
      <c r="B1165" s="599"/>
      <c r="C1165" s="599"/>
      <c r="D1165" s="118" t="s">
        <v>1441</v>
      </c>
      <c r="E1165" s="918"/>
      <c r="F1165" s="848"/>
      <c r="G1165" s="40"/>
      <c r="H1165" s="603" t="s">
        <v>38</v>
      </c>
      <c r="I1165" s="504">
        <v>0</v>
      </c>
      <c r="J1165" s="850"/>
      <c r="K1165" s="40"/>
      <c r="L1165" s="603" t="s">
        <v>38</v>
      </c>
      <c r="M1165" s="504">
        <f t="shared" si="4363"/>
        <v>0</v>
      </c>
      <c r="N1165" s="850"/>
      <c r="O1165" s="40"/>
      <c r="P1165" s="602">
        <v>0</v>
      </c>
      <c r="Q1165" s="602">
        <v>0</v>
      </c>
      <c r="R1165" s="602">
        <v>0</v>
      </c>
      <c r="S1165" s="602">
        <v>0</v>
      </c>
      <c r="T1165" s="602">
        <v>0</v>
      </c>
      <c r="U1165" s="602">
        <v>0</v>
      </c>
      <c r="V1165" s="602">
        <v>0</v>
      </c>
      <c r="W1165" s="40"/>
      <c r="X1165" s="504">
        <f t="shared" si="4357"/>
        <v>0</v>
      </c>
      <c r="Y1165" s="850"/>
      <c r="Z1165" s="40"/>
      <c r="AA1165" s="856"/>
      <c r="AB1165" s="856"/>
      <c r="AC1165" s="857"/>
      <c r="AD1165" s="920"/>
      <c r="AE1165" s="40"/>
      <c r="AF1165" s="856"/>
      <c r="AG1165" s="856"/>
      <c r="AH1165" s="857"/>
      <c r="AI1165" s="856"/>
      <c r="AJ1165" s="856"/>
      <c r="AK1165" s="856"/>
      <c r="AL1165" s="856"/>
      <c r="AM1165" s="850"/>
      <c r="AN1165" s="40"/>
      <c r="AO1165" s="882"/>
      <c r="AP1165" s="882"/>
      <c r="AV1165" t="str">
        <f t="shared" si="4514"/>
        <v>BDCC no Km 155+722 - Aterro 03</v>
      </c>
      <c r="AW1165" s="4" t="str">
        <f t="shared" si="4505"/>
        <v>2.4-BSCC BSCC 2,00x2,00 - Km 135+537 - Aterro A1 - Bueiro de Concreto - LD</v>
      </c>
    </row>
    <row r="1166" spans="1:49" ht="15.6" customHeight="1" outlineLevel="2">
      <c r="A1166" s="598" t="str">
        <f t="shared" ref="A1166" si="4525">IF(SUM(P1166:V1167)&gt;0,"S","N")</f>
        <v>N</v>
      </c>
      <c r="B1166" s="599">
        <v>1064267</v>
      </c>
      <c r="C1166" s="599" t="s">
        <v>1482</v>
      </c>
      <c r="D1166" s="118" t="s">
        <v>1328</v>
      </c>
      <c r="E1166" s="917" t="s">
        <v>1483</v>
      </c>
      <c r="F1166" s="848" t="s">
        <v>1437</v>
      </c>
      <c r="G1166" s="40"/>
      <c r="H1166" s="600" t="s">
        <v>37</v>
      </c>
      <c r="I1166" s="504">
        <v>0</v>
      </c>
      <c r="J1166" s="849" t="str">
        <f t="shared" ref="J1166" si="4526">IFERROR((I1167/I1166),"-")</f>
        <v>-</v>
      </c>
      <c r="K1166" s="40"/>
      <c r="L1166" s="600" t="s">
        <v>37</v>
      </c>
      <c r="M1166" s="504">
        <f t="shared" si="4363"/>
        <v>0</v>
      </c>
      <c r="N1166" s="849" t="str">
        <f t="shared" ref="N1166" si="4527">IFERROR((M1167/M1166),"-")</f>
        <v>-</v>
      </c>
      <c r="O1166" s="40"/>
      <c r="P1166" s="601">
        <v>0</v>
      </c>
      <c r="Q1166" s="601">
        <v>0</v>
      </c>
      <c r="R1166" s="601">
        <v>0</v>
      </c>
      <c r="S1166" s="601">
        <v>0</v>
      </c>
      <c r="T1166" s="601">
        <v>0</v>
      </c>
      <c r="U1166" s="601">
        <v>0</v>
      </c>
      <c r="V1166" s="602">
        <v>0</v>
      </c>
      <c r="W1166" s="40"/>
      <c r="X1166" s="504">
        <f t="shared" si="4357"/>
        <v>0</v>
      </c>
      <c r="Y1166" s="849" t="str">
        <f t="shared" ref="Y1166" si="4528">IFERROR((X1167/X1166),"0")</f>
        <v>0</v>
      </c>
      <c r="Z1166" s="40"/>
      <c r="AA1166" s="855">
        <v>0</v>
      </c>
      <c r="AB1166" s="855">
        <v>0</v>
      </c>
      <c r="AC1166" s="858">
        <v>0</v>
      </c>
      <c r="AD1166" s="849" t="str">
        <f t="shared" ref="AD1166" si="4529">IFERROR((AC1166/AB1166),"-")</f>
        <v>-</v>
      </c>
      <c r="AE1166" s="40"/>
      <c r="AF1166" s="855">
        <v>1</v>
      </c>
      <c r="AG1166" s="855"/>
      <c r="AH1166" s="858">
        <v>0</v>
      </c>
      <c r="AI1166" s="855"/>
      <c r="AJ1166" s="855"/>
      <c r="AK1166" s="855">
        <f t="shared" ref="AK1166" si="4530">AF1166+AG1166+AH1166+AI1166+AJ1166+AC1166</f>
        <v>1</v>
      </c>
      <c r="AL1166" s="855">
        <v>0.98999999999999977</v>
      </c>
      <c r="AM1166" s="849">
        <f t="shared" ref="AM1166" si="4531">IFERROR((AK1166/AL1166),"-")</f>
        <v>1.0101010101010104</v>
      </c>
      <c r="AN1166" s="40"/>
      <c r="AO1166" s="855">
        <v>1</v>
      </c>
      <c r="AP1166" s="855">
        <f t="shared" ref="AP1166" si="4532">AO1166-AK1166</f>
        <v>0</v>
      </c>
      <c r="AV1166" t="str">
        <f t="shared" si="4514"/>
        <v>BDCC no Km 155+722 - Aterro 03</v>
      </c>
      <c r="AW1166" s="4" t="str">
        <f t="shared" si="4505"/>
        <v>2.4-BDCC 2,50x2,00 - km 136+287- Aterro A1 - Bueiro de concreto - LE</v>
      </c>
    </row>
    <row r="1167" spans="1:49" ht="15.6" customHeight="1" outlineLevel="2">
      <c r="A1167" s="598" t="str">
        <f t="shared" ref="A1167" si="4533">A1166</f>
        <v>N</v>
      </c>
      <c r="B1167" s="599"/>
      <c r="C1167" s="599"/>
      <c r="D1167" s="118" t="s">
        <v>1444</v>
      </c>
      <c r="E1167" s="918"/>
      <c r="F1167" s="848"/>
      <c r="G1167" s="40"/>
      <c r="H1167" s="603" t="s">
        <v>38</v>
      </c>
      <c r="I1167" s="504">
        <v>0</v>
      </c>
      <c r="J1167" s="850"/>
      <c r="K1167" s="40"/>
      <c r="L1167" s="603" t="s">
        <v>38</v>
      </c>
      <c r="M1167" s="504">
        <f t="shared" si="4363"/>
        <v>0</v>
      </c>
      <c r="N1167" s="850"/>
      <c r="O1167" s="40"/>
      <c r="P1167" s="602">
        <v>0</v>
      </c>
      <c r="Q1167" s="602">
        <v>0</v>
      </c>
      <c r="R1167" s="602">
        <v>0</v>
      </c>
      <c r="S1167" s="602">
        <v>0</v>
      </c>
      <c r="T1167" s="602">
        <v>0</v>
      </c>
      <c r="U1167" s="602">
        <v>0</v>
      </c>
      <c r="V1167" s="602">
        <v>0</v>
      </c>
      <c r="W1167" s="40"/>
      <c r="X1167" s="504">
        <f t="shared" si="4357"/>
        <v>0</v>
      </c>
      <c r="Y1167" s="850"/>
      <c r="Z1167" s="40"/>
      <c r="AA1167" s="856"/>
      <c r="AB1167" s="856"/>
      <c r="AC1167" s="857"/>
      <c r="AD1167" s="920"/>
      <c r="AE1167" s="40"/>
      <c r="AF1167" s="856"/>
      <c r="AG1167" s="856"/>
      <c r="AH1167" s="857"/>
      <c r="AI1167" s="856"/>
      <c r="AJ1167" s="856"/>
      <c r="AK1167" s="856"/>
      <c r="AL1167" s="856"/>
      <c r="AM1167" s="850"/>
      <c r="AN1167" s="40"/>
      <c r="AO1167" s="882"/>
      <c r="AP1167" s="882"/>
      <c r="AV1167" t="str">
        <f t="shared" si="4514"/>
        <v>BDCC no Km 155+722 - Aterro 03</v>
      </c>
      <c r="AW1167" s="4" t="str">
        <f t="shared" si="4505"/>
        <v>2.4-BDCC 2,50x2,00 - km 136+287- Aterro A1 - Bueiro de concreto - LE</v>
      </c>
    </row>
    <row r="1168" spans="1:49" ht="15.6" customHeight="1" outlineLevel="2">
      <c r="A1168" s="598" t="str">
        <f t="shared" ref="A1168" si="4534">IF(SUM(P1168:V1169)&gt;0,"S","N")</f>
        <v>N</v>
      </c>
      <c r="B1168" s="599">
        <v>1064268</v>
      </c>
      <c r="C1168" s="599" t="s">
        <v>1484</v>
      </c>
      <c r="D1168" s="118" t="s">
        <v>1328</v>
      </c>
      <c r="E1168" s="917" t="s">
        <v>1485</v>
      </c>
      <c r="F1168" s="848" t="s">
        <v>1437</v>
      </c>
      <c r="G1168" s="40"/>
      <c r="H1168" s="600" t="s">
        <v>37</v>
      </c>
      <c r="I1168" s="504">
        <v>0</v>
      </c>
      <c r="J1168" s="849" t="str">
        <f t="shared" ref="J1168" si="4535">IFERROR((I1169/I1168),"-")</f>
        <v>-</v>
      </c>
      <c r="K1168" s="40"/>
      <c r="L1168" s="600" t="s">
        <v>37</v>
      </c>
      <c r="M1168" s="504">
        <f t="shared" si="4363"/>
        <v>0</v>
      </c>
      <c r="N1168" s="849" t="str">
        <f t="shared" ref="N1168" si="4536">IFERROR((M1169/M1168),"-")</f>
        <v>-</v>
      </c>
      <c r="O1168" s="40"/>
      <c r="P1168" s="601">
        <v>0</v>
      </c>
      <c r="Q1168" s="601">
        <v>0</v>
      </c>
      <c r="R1168" s="601">
        <v>0</v>
      </c>
      <c r="S1168" s="601">
        <v>0</v>
      </c>
      <c r="T1168" s="601">
        <v>0</v>
      </c>
      <c r="U1168" s="601">
        <v>0</v>
      </c>
      <c r="V1168" s="602">
        <v>0</v>
      </c>
      <c r="W1168" s="40"/>
      <c r="X1168" s="504">
        <f t="shared" si="4357"/>
        <v>0</v>
      </c>
      <c r="Y1168" s="849" t="str">
        <f t="shared" ref="Y1168" si="4537">IFERROR((X1169/X1168),"0")</f>
        <v>0</v>
      </c>
      <c r="Z1168" s="40"/>
      <c r="AA1168" s="855">
        <v>0</v>
      </c>
      <c r="AB1168" s="855">
        <v>0</v>
      </c>
      <c r="AC1168" s="858">
        <v>0</v>
      </c>
      <c r="AD1168" s="849" t="str">
        <f t="shared" ref="AD1168" si="4538">IFERROR((AC1168/AB1168),"-")</f>
        <v>-</v>
      </c>
      <c r="AE1168" s="40"/>
      <c r="AF1168" s="855">
        <v>1</v>
      </c>
      <c r="AG1168" s="855"/>
      <c r="AH1168" s="858">
        <v>0</v>
      </c>
      <c r="AI1168" s="855"/>
      <c r="AJ1168" s="855"/>
      <c r="AK1168" s="855">
        <f t="shared" ref="AK1168" si="4539">AF1168+AG1168+AH1168+AI1168+AJ1168+AC1168</f>
        <v>1</v>
      </c>
      <c r="AL1168" s="855">
        <v>0.98000000000000009</v>
      </c>
      <c r="AM1168" s="849">
        <f t="shared" ref="AM1168" si="4540">IFERROR((AK1168/AL1168),"-")</f>
        <v>1.0204081632653059</v>
      </c>
      <c r="AN1168" s="40"/>
      <c r="AO1168" s="855">
        <v>1</v>
      </c>
      <c r="AP1168" s="855">
        <f t="shared" ref="AP1168" si="4541">AO1168-AK1168</f>
        <v>0</v>
      </c>
      <c r="AV1168" t="str">
        <f t="shared" si="4514"/>
        <v>BDCC no Km 155+722 - Aterro 03</v>
      </c>
      <c r="AW1168" s="4" t="str">
        <f t="shared" si="4505"/>
        <v>2.4-BDCC 2,50x2,00 - km 136+287- Aterro A1 - Bueiro de concreto - LD</v>
      </c>
    </row>
    <row r="1169" spans="1:49" ht="15.6" customHeight="1" outlineLevel="2">
      <c r="A1169" s="598" t="str">
        <f t="shared" ref="A1169" si="4542">A1168</f>
        <v>N</v>
      </c>
      <c r="B1169" s="599"/>
      <c r="C1169" s="599"/>
      <c r="D1169" s="118" t="s">
        <v>1441</v>
      </c>
      <c r="E1169" s="918"/>
      <c r="F1169" s="848"/>
      <c r="G1169" s="40"/>
      <c r="H1169" s="603" t="s">
        <v>38</v>
      </c>
      <c r="I1169" s="504">
        <v>0</v>
      </c>
      <c r="J1169" s="850"/>
      <c r="K1169" s="40"/>
      <c r="L1169" s="603" t="s">
        <v>38</v>
      </c>
      <c r="M1169" s="504">
        <f t="shared" si="4363"/>
        <v>0</v>
      </c>
      <c r="N1169" s="850"/>
      <c r="O1169" s="40"/>
      <c r="P1169" s="602">
        <v>0</v>
      </c>
      <c r="Q1169" s="602">
        <v>0</v>
      </c>
      <c r="R1169" s="602">
        <v>0</v>
      </c>
      <c r="S1169" s="602">
        <v>0</v>
      </c>
      <c r="T1169" s="602">
        <v>0</v>
      </c>
      <c r="U1169" s="602">
        <v>0</v>
      </c>
      <c r="V1169" s="602">
        <v>0</v>
      </c>
      <c r="W1169" s="40"/>
      <c r="X1169" s="504">
        <f t="shared" si="4357"/>
        <v>0</v>
      </c>
      <c r="Y1169" s="850"/>
      <c r="Z1169" s="40"/>
      <c r="AA1169" s="856"/>
      <c r="AB1169" s="856"/>
      <c r="AC1169" s="857"/>
      <c r="AD1169" s="920"/>
      <c r="AE1169" s="40"/>
      <c r="AF1169" s="856"/>
      <c r="AG1169" s="856"/>
      <c r="AH1169" s="857"/>
      <c r="AI1169" s="856"/>
      <c r="AJ1169" s="856"/>
      <c r="AK1169" s="856"/>
      <c r="AL1169" s="856"/>
      <c r="AM1169" s="850"/>
      <c r="AN1169" s="40"/>
      <c r="AO1169" s="882"/>
      <c r="AP1169" s="882"/>
      <c r="AV1169" t="str">
        <f t="shared" si="4514"/>
        <v>BDCC no Km 155+722 - Aterro 03</v>
      </c>
      <c r="AW1169" s="4" t="str">
        <f t="shared" si="4505"/>
        <v>2.4-BDCC 2,50x2,00 - km 136+287- Aterro A1 - Bueiro de concreto - LD</v>
      </c>
    </row>
    <row r="1170" spans="1:49" ht="15.6" customHeight="1" outlineLevel="2">
      <c r="A1170" s="598" t="str">
        <f t="shared" ref="A1170" si="4543">IF(SUM(P1170:V1171)&gt;0,"S","N")</f>
        <v>N</v>
      </c>
      <c r="B1170" s="599">
        <v>1064274</v>
      </c>
      <c r="C1170" s="599" t="s">
        <v>1486</v>
      </c>
      <c r="D1170" s="118" t="s">
        <v>1330</v>
      </c>
      <c r="E1170" s="917" t="s">
        <v>1487</v>
      </c>
      <c r="F1170" s="848" t="s">
        <v>1437</v>
      </c>
      <c r="G1170" s="40"/>
      <c r="H1170" s="600" t="s">
        <v>37</v>
      </c>
      <c r="I1170" s="504">
        <v>0</v>
      </c>
      <c r="J1170" s="849" t="str">
        <f t="shared" ref="J1170" si="4544">IFERROR((I1171/I1170),"-")</f>
        <v>-</v>
      </c>
      <c r="K1170" s="40"/>
      <c r="L1170" s="600" t="s">
        <v>37</v>
      </c>
      <c r="M1170" s="504">
        <f t="shared" si="4363"/>
        <v>0</v>
      </c>
      <c r="N1170" s="849" t="str">
        <f t="shared" ref="N1170" si="4545">IFERROR((M1171/M1170),"-")</f>
        <v>-</v>
      </c>
      <c r="O1170" s="40"/>
      <c r="P1170" s="601">
        <v>0</v>
      </c>
      <c r="Q1170" s="601">
        <v>0</v>
      </c>
      <c r="R1170" s="601">
        <v>0</v>
      </c>
      <c r="S1170" s="601">
        <v>0</v>
      </c>
      <c r="T1170" s="601">
        <v>0</v>
      </c>
      <c r="U1170" s="601">
        <v>0</v>
      </c>
      <c r="V1170" s="602">
        <v>0</v>
      </c>
      <c r="W1170" s="40"/>
      <c r="X1170" s="504">
        <f t="shared" si="4357"/>
        <v>0</v>
      </c>
      <c r="Y1170" s="849" t="str">
        <f t="shared" ref="Y1170" si="4546">IFERROR((X1171/X1170),"0")</f>
        <v>0</v>
      </c>
      <c r="Z1170" s="40"/>
      <c r="AA1170" s="855">
        <v>0</v>
      </c>
      <c r="AB1170" s="855">
        <v>0</v>
      </c>
      <c r="AC1170" s="858">
        <v>0</v>
      </c>
      <c r="AD1170" s="849" t="str">
        <f t="shared" ref="AD1170" si="4547">IFERROR((AC1170/AB1170),"-")</f>
        <v>-</v>
      </c>
      <c r="AE1170" s="40"/>
      <c r="AF1170" s="855">
        <v>1</v>
      </c>
      <c r="AG1170" s="855"/>
      <c r="AH1170" s="858">
        <v>0</v>
      </c>
      <c r="AI1170" s="855"/>
      <c r="AJ1170" s="855"/>
      <c r="AK1170" s="855">
        <f t="shared" ref="AK1170" si="4548">AF1170+AG1170+AH1170+AI1170+AJ1170+AC1170</f>
        <v>1</v>
      </c>
      <c r="AL1170" s="855">
        <v>1</v>
      </c>
      <c r="AM1170" s="849">
        <f t="shared" ref="AM1170" si="4549">IFERROR((AK1170/AL1170),"-")</f>
        <v>1</v>
      </c>
      <c r="AN1170" s="40"/>
      <c r="AO1170" s="855">
        <v>1</v>
      </c>
      <c r="AP1170" s="855">
        <f t="shared" ref="AP1170" si="4550">AO1170-AK1170</f>
        <v>0</v>
      </c>
      <c r="AV1170" t="str">
        <f t="shared" si="4514"/>
        <v>BDCC no Km 155+722 - Aterro 03</v>
      </c>
      <c r="AW1170" s="4" t="str">
        <f t="shared" si="4505"/>
        <v>2.4-BDT PEAD DN 1,20m - km 136+635 - Aterro A4 - Bueiro de PEAD - LE</v>
      </c>
    </row>
    <row r="1171" spans="1:49" ht="15.6" customHeight="1" outlineLevel="2">
      <c r="A1171" s="598" t="str">
        <f t="shared" ref="A1171" si="4551">A1170</f>
        <v>N</v>
      </c>
      <c r="B1171" s="599"/>
      <c r="C1171" s="599"/>
      <c r="D1171" s="118" t="s">
        <v>1444</v>
      </c>
      <c r="E1171" s="918"/>
      <c r="F1171" s="848"/>
      <c r="G1171" s="40"/>
      <c r="H1171" s="603" t="s">
        <v>38</v>
      </c>
      <c r="I1171" s="504">
        <v>0</v>
      </c>
      <c r="J1171" s="850"/>
      <c r="K1171" s="40"/>
      <c r="L1171" s="603" t="s">
        <v>38</v>
      </c>
      <c r="M1171" s="504">
        <f t="shared" si="4363"/>
        <v>0</v>
      </c>
      <c r="N1171" s="850"/>
      <c r="O1171" s="40"/>
      <c r="P1171" s="602">
        <v>0</v>
      </c>
      <c r="Q1171" s="602">
        <v>0</v>
      </c>
      <c r="R1171" s="602">
        <v>0</v>
      </c>
      <c r="S1171" s="602">
        <v>0</v>
      </c>
      <c r="T1171" s="602">
        <v>0</v>
      </c>
      <c r="U1171" s="602">
        <v>0</v>
      </c>
      <c r="V1171" s="602">
        <v>0</v>
      </c>
      <c r="W1171" s="40"/>
      <c r="X1171" s="504">
        <f t="shared" si="4357"/>
        <v>0</v>
      </c>
      <c r="Y1171" s="850"/>
      <c r="Z1171" s="40"/>
      <c r="AA1171" s="856"/>
      <c r="AB1171" s="856"/>
      <c r="AC1171" s="857"/>
      <c r="AD1171" s="920"/>
      <c r="AE1171" s="40"/>
      <c r="AF1171" s="856"/>
      <c r="AG1171" s="856"/>
      <c r="AH1171" s="857"/>
      <c r="AI1171" s="856"/>
      <c r="AJ1171" s="856"/>
      <c r="AK1171" s="856"/>
      <c r="AL1171" s="856"/>
      <c r="AM1171" s="850"/>
      <c r="AN1171" s="40"/>
      <c r="AO1171" s="882"/>
      <c r="AP1171" s="882"/>
      <c r="AV1171" t="str">
        <f t="shared" si="4514"/>
        <v>BDCC no Km 155+722 - Aterro 03</v>
      </c>
      <c r="AW1171" s="4" t="str">
        <f t="shared" si="4505"/>
        <v>2.4-BDT PEAD DN 1,20m - km 136+635 - Aterro A4 - Bueiro de PEAD - LE</v>
      </c>
    </row>
    <row r="1172" spans="1:49" ht="15.6" customHeight="1" outlineLevel="2">
      <c r="A1172" s="598" t="str">
        <f t="shared" ref="A1172" si="4552">IF(SUM(P1172:V1173)&gt;0,"S","N")</f>
        <v>N</v>
      </c>
      <c r="B1172" s="599">
        <v>1064275</v>
      </c>
      <c r="C1172" s="599" t="s">
        <v>1488</v>
      </c>
      <c r="D1172" s="118" t="s">
        <v>1330</v>
      </c>
      <c r="E1172" s="917" t="s">
        <v>1489</v>
      </c>
      <c r="F1172" s="848" t="s">
        <v>1437</v>
      </c>
      <c r="G1172" s="40"/>
      <c r="H1172" s="600" t="s">
        <v>37</v>
      </c>
      <c r="I1172" s="504">
        <v>0</v>
      </c>
      <c r="J1172" s="849" t="str">
        <f t="shared" ref="J1172" si="4553">IFERROR((I1173/I1172),"-")</f>
        <v>-</v>
      </c>
      <c r="K1172" s="40"/>
      <c r="L1172" s="600" t="s">
        <v>37</v>
      </c>
      <c r="M1172" s="504">
        <f t="shared" si="4363"/>
        <v>0</v>
      </c>
      <c r="N1172" s="849" t="str">
        <f t="shared" ref="N1172" si="4554">IFERROR((M1173/M1172),"-")</f>
        <v>-</v>
      </c>
      <c r="O1172" s="40"/>
      <c r="P1172" s="601">
        <v>0</v>
      </c>
      <c r="Q1172" s="601">
        <v>0</v>
      </c>
      <c r="R1172" s="601">
        <v>0</v>
      </c>
      <c r="S1172" s="601">
        <v>0</v>
      </c>
      <c r="T1172" s="601">
        <v>0</v>
      </c>
      <c r="U1172" s="601">
        <v>0</v>
      </c>
      <c r="V1172" s="602">
        <v>0</v>
      </c>
      <c r="W1172" s="40"/>
      <c r="X1172" s="504">
        <f t="shared" si="4357"/>
        <v>0</v>
      </c>
      <c r="Y1172" s="849" t="str">
        <f t="shared" ref="Y1172" si="4555">IFERROR((X1173/X1172),"0")</f>
        <v>0</v>
      </c>
      <c r="Z1172" s="40"/>
      <c r="AA1172" s="855">
        <v>0</v>
      </c>
      <c r="AB1172" s="855">
        <v>0</v>
      </c>
      <c r="AC1172" s="858">
        <v>0</v>
      </c>
      <c r="AD1172" s="849" t="str">
        <f t="shared" ref="AD1172" si="4556">IFERROR((AC1172/AB1172),"-")</f>
        <v>-</v>
      </c>
      <c r="AE1172" s="40"/>
      <c r="AF1172" s="855">
        <v>1</v>
      </c>
      <c r="AG1172" s="855"/>
      <c r="AH1172" s="858">
        <v>0</v>
      </c>
      <c r="AI1172" s="855"/>
      <c r="AJ1172" s="855"/>
      <c r="AK1172" s="855">
        <f t="shared" ref="AK1172" si="4557">AF1172+AG1172+AH1172+AI1172+AJ1172+AC1172</f>
        <v>1</v>
      </c>
      <c r="AL1172" s="855">
        <v>0.99</v>
      </c>
      <c r="AM1172" s="849">
        <f t="shared" ref="AM1172" si="4558">IFERROR((AK1172/AL1172),"-")</f>
        <v>1.0101010101010102</v>
      </c>
      <c r="AN1172" s="40"/>
      <c r="AO1172" s="855">
        <v>1</v>
      </c>
      <c r="AP1172" s="855">
        <f t="shared" ref="AP1172" si="4559">AO1172-AK1172</f>
        <v>0</v>
      </c>
      <c r="AV1172" t="str">
        <f t="shared" si="4514"/>
        <v>BDCC no Km 155+722 - Aterro 03</v>
      </c>
      <c r="AW1172" s="4" t="str">
        <f t="shared" si="4505"/>
        <v>2.4-BDT PEAD DN 1,20m - km 136+635 - Aterro A4 - Bueiro de PEAD - LD</v>
      </c>
    </row>
    <row r="1173" spans="1:49" ht="15.6" customHeight="1" outlineLevel="2">
      <c r="A1173" s="598" t="str">
        <f t="shared" ref="A1173" si="4560">A1172</f>
        <v>N</v>
      </c>
      <c r="B1173" s="599"/>
      <c r="C1173" s="599"/>
      <c r="D1173" s="118" t="s">
        <v>1441</v>
      </c>
      <c r="E1173" s="918"/>
      <c r="F1173" s="848"/>
      <c r="G1173" s="40"/>
      <c r="H1173" s="603" t="s">
        <v>38</v>
      </c>
      <c r="I1173" s="504">
        <v>0</v>
      </c>
      <c r="J1173" s="850"/>
      <c r="K1173" s="40"/>
      <c r="L1173" s="603" t="s">
        <v>38</v>
      </c>
      <c r="M1173" s="504">
        <f t="shared" si="4363"/>
        <v>0</v>
      </c>
      <c r="N1173" s="850"/>
      <c r="O1173" s="40"/>
      <c r="P1173" s="602">
        <v>0</v>
      </c>
      <c r="Q1173" s="602">
        <v>0</v>
      </c>
      <c r="R1173" s="602">
        <v>0</v>
      </c>
      <c r="S1173" s="602">
        <v>0</v>
      </c>
      <c r="T1173" s="602">
        <v>0</v>
      </c>
      <c r="U1173" s="602">
        <v>0</v>
      </c>
      <c r="V1173" s="602">
        <v>0</v>
      </c>
      <c r="W1173" s="40"/>
      <c r="X1173" s="504">
        <f t="shared" si="4357"/>
        <v>0</v>
      </c>
      <c r="Y1173" s="850"/>
      <c r="Z1173" s="40"/>
      <c r="AA1173" s="856"/>
      <c r="AB1173" s="856"/>
      <c r="AC1173" s="857"/>
      <c r="AD1173" s="920"/>
      <c r="AE1173" s="40"/>
      <c r="AF1173" s="856"/>
      <c r="AG1173" s="856"/>
      <c r="AH1173" s="857"/>
      <c r="AI1173" s="856"/>
      <c r="AJ1173" s="856"/>
      <c r="AK1173" s="856"/>
      <c r="AL1173" s="856"/>
      <c r="AM1173" s="850"/>
      <c r="AN1173" s="40"/>
      <c r="AO1173" s="882"/>
      <c r="AP1173" s="882"/>
      <c r="AV1173" t="str">
        <f t="shared" si="4514"/>
        <v>BDCC no Km 155+722 - Aterro 03</v>
      </c>
      <c r="AW1173" s="4" t="str">
        <f t="shared" si="4505"/>
        <v>2.4-BDT PEAD DN 1,20m - km 136+635 - Aterro A4 - Bueiro de PEAD - LD</v>
      </c>
    </row>
    <row r="1174" spans="1:49" ht="15.6" customHeight="1" outlineLevel="2">
      <c r="A1174" s="598" t="str">
        <f t="shared" ref="A1174" si="4561">IF(SUM(P1174:V1175)&gt;0,"S","N")</f>
        <v>N</v>
      </c>
      <c r="B1174" s="599">
        <v>1064281</v>
      </c>
      <c r="C1174" s="599" t="s">
        <v>1490</v>
      </c>
      <c r="D1174" s="118" t="s">
        <v>1332</v>
      </c>
      <c r="E1174" s="917" t="s">
        <v>1491</v>
      </c>
      <c r="F1174" s="848" t="s">
        <v>1437</v>
      </c>
      <c r="G1174" s="40"/>
      <c r="H1174" s="600" t="s">
        <v>37</v>
      </c>
      <c r="I1174" s="504">
        <v>0</v>
      </c>
      <c r="J1174" s="849" t="str">
        <f t="shared" ref="J1174" si="4562">IFERROR((I1175/I1174),"-")</f>
        <v>-</v>
      </c>
      <c r="K1174" s="40"/>
      <c r="L1174" s="600" t="s">
        <v>37</v>
      </c>
      <c r="M1174" s="504">
        <f t="shared" si="4363"/>
        <v>0</v>
      </c>
      <c r="N1174" s="849" t="str">
        <f t="shared" ref="N1174" si="4563">IFERROR((M1175/M1174),"-")</f>
        <v>-</v>
      </c>
      <c r="O1174" s="40"/>
      <c r="P1174" s="601">
        <v>0</v>
      </c>
      <c r="Q1174" s="601">
        <v>0</v>
      </c>
      <c r="R1174" s="601">
        <v>0</v>
      </c>
      <c r="S1174" s="601">
        <v>0</v>
      </c>
      <c r="T1174" s="601">
        <v>0</v>
      </c>
      <c r="U1174" s="601">
        <v>0</v>
      </c>
      <c r="V1174" s="602">
        <v>0</v>
      </c>
      <c r="W1174" s="40"/>
      <c r="X1174" s="504">
        <f t="shared" si="4357"/>
        <v>0</v>
      </c>
      <c r="Y1174" s="849" t="str">
        <f t="shared" ref="Y1174" si="4564">IFERROR((X1175/X1174),"0")</f>
        <v>0</v>
      </c>
      <c r="Z1174" s="40"/>
      <c r="AA1174" s="855">
        <v>0</v>
      </c>
      <c r="AB1174" s="855">
        <v>0</v>
      </c>
      <c r="AC1174" s="858">
        <v>0</v>
      </c>
      <c r="AD1174" s="849" t="str">
        <f t="shared" ref="AD1174" si="4565">IFERROR((AC1174/AB1174),"-")</f>
        <v>-</v>
      </c>
      <c r="AE1174" s="40"/>
      <c r="AF1174" s="855">
        <v>1</v>
      </c>
      <c r="AG1174" s="855"/>
      <c r="AH1174" s="858">
        <v>0</v>
      </c>
      <c r="AI1174" s="855"/>
      <c r="AJ1174" s="855"/>
      <c r="AK1174" s="855">
        <f t="shared" ref="AK1174" si="4566">AF1174+AG1174+AH1174+AI1174+AJ1174+AC1174</f>
        <v>1</v>
      </c>
      <c r="AL1174" s="855">
        <v>1</v>
      </c>
      <c r="AM1174" s="849">
        <f t="shared" ref="AM1174" si="4567">IFERROR((AK1174/AL1174),"-")</f>
        <v>1</v>
      </c>
      <c r="AN1174" s="40"/>
      <c r="AO1174" s="855">
        <v>1</v>
      </c>
      <c r="AP1174" s="855">
        <f t="shared" ref="AP1174" si="4568">AO1174-AK1174</f>
        <v>0</v>
      </c>
      <c r="AV1174" t="str">
        <f t="shared" si="4514"/>
        <v>BDCC no Km 155+722 - Aterro 03</v>
      </c>
      <c r="AW1174" s="4" t="str">
        <f t="shared" si="4505"/>
        <v>2.4-BDT PEAD DN 1,20m - km 136+844 - Aterro A5 - Bueiro de PEAD - LE</v>
      </c>
    </row>
    <row r="1175" spans="1:49" ht="15.6" customHeight="1" outlineLevel="2">
      <c r="A1175" s="598" t="str">
        <f t="shared" ref="A1175" si="4569">A1174</f>
        <v>N</v>
      </c>
      <c r="B1175" s="599"/>
      <c r="C1175" s="599"/>
      <c r="D1175" s="118" t="s">
        <v>1444</v>
      </c>
      <c r="E1175" s="918"/>
      <c r="F1175" s="848"/>
      <c r="G1175" s="40"/>
      <c r="H1175" s="603" t="s">
        <v>38</v>
      </c>
      <c r="I1175" s="504">
        <v>0</v>
      </c>
      <c r="J1175" s="850"/>
      <c r="K1175" s="40"/>
      <c r="L1175" s="603" t="s">
        <v>38</v>
      </c>
      <c r="M1175" s="504">
        <f t="shared" si="4363"/>
        <v>0</v>
      </c>
      <c r="N1175" s="850"/>
      <c r="O1175" s="40"/>
      <c r="P1175" s="602">
        <v>0</v>
      </c>
      <c r="Q1175" s="602">
        <v>0</v>
      </c>
      <c r="R1175" s="602">
        <v>0</v>
      </c>
      <c r="S1175" s="602">
        <v>0</v>
      </c>
      <c r="T1175" s="602">
        <v>0</v>
      </c>
      <c r="U1175" s="602">
        <v>0</v>
      </c>
      <c r="V1175" s="602">
        <v>0</v>
      </c>
      <c r="W1175" s="40"/>
      <c r="X1175" s="504">
        <f t="shared" si="4357"/>
        <v>0</v>
      </c>
      <c r="Y1175" s="850"/>
      <c r="Z1175" s="40"/>
      <c r="AA1175" s="856"/>
      <c r="AB1175" s="856"/>
      <c r="AC1175" s="857"/>
      <c r="AD1175" s="920"/>
      <c r="AE1175" s="40"/>
      <c r="AF1175" s="856"/>
      <c r="AG1175" s="856"/>
      <c r="AH1175" s="857"/>
      <c r="AI1175" s="856"/>
      <c r="AJ1175" s="856"/>
      <c r="AK1175" s="856"/>
      <c r="AL1175" s="856"/>
      <c r="AM1175" s="850"/>
      <c r="AN1175" s="40"/>
      <c r="AO1175" s="882"/>
      <c r="AP1175" s="882"/>
      <c r="AV1175" t="str">
        <f t="shared" si="4514"/>
        <v>BDCC no Km 155+722 - Aterro 03</v>
      </c>
      <c r="AW1175" s="4" t="str">
        <f t="shared" si="4505"/>
        <v>2.4-BDT PEAD DN 1,20m - km 136+844 - Aterro A5 - Bueiro de PEAD - LE</v>
      </c>
    </row>
    <row r="1176" spans="1:49" ht="15.6" customHeight="1" outlineLevel="2">
      <c r="A1176" s="598" t="str">
        <f t="shared" ref="A1176" si="4570">IF(SUM(P1176:V1177)&gt;0,"S","N")</f>
        <v>N</v>
      </c>
      <c r="B1176" s="599">
        <v>1064282</v>
      </c>
      <c r="C1176" s="599" t="s">
        <v>1492</v>
      </c>
      <c r="D1176" s="118" t="s">
        <v>1332</v>
      </c>
      <c r="E1176" s="917" t="s">
        <v>1493</v>
      </c>
      <c r="F1176" s="848" t="s">
        <v>1437</v>
      </c>
      <c r="G1176" s="40"/>
      <c r="H1176" s="600" t="s">
        <v>37</v>
      </c>
      <c r="I1176" s="504">
        <v>0</v>
      </c>
      <c r="J1176" s="849" t="str">
        <f t="shared" ref="J1176" si="4571">IFERROR((I1177/I1176),"-")</f>
        <v>-</v>
      </c>
      <c r="K1176" s="40"/>
      <c r="L1176" s="600" t="s">
        <v>37</v>
      </c>
      <c r="M1176" s="504">
        <f t="shared" si="4363"/>
        <v>0</v>
      </c>
      <c r="N1176" s="849" t="str">
        <f t="shared" ref="N1176" si="4572">IFERROR((M1177/M1176),"-")</f>
        <v>-</v>
      </c>
      <c r="O1176" s="40"/>
      <c r="P1176" s="601">
        <v>0</v>
      </c>
      <c r="Q1176" s="601">
        <v>0</v>
      </c>
      <c r="R1176" s="601">
        <v>0</v>
      </c>
      <c r="S1176" s="601">
        <v>0</v>
      </c>
      <c r="T1176" s="601">
        <v>0</v>
      </c>
      <c r="U1176" s="601">
        <v>0</v>
      </c>
      <c r="V1176" s="602">
        <v>0</v>
      </c>
      <c r="W1176" s="40"/>
      <c r="X1176" s="504">
        <f t="shared" si="4357"/>
        <v>0</v>
      </c>
      <c r="Y1176" s="849" t="str">
        <f t="shared" ref="Y1176" si="4573">IFERROR((X1177/X1176),"0")</f>
        <v>0</v>
      </c>
      <c r="Z1176" s="40"/>
      <c r="AA1176" s="855">
        <v>0</v>
      </c>
      <c r="AB1176" s="855">
        <v>0</v>
      </c>
      <c r="AC1176" s="858">
        <v>0</v>
      </c>
      <c r="AD1176" s="849" t="str">
        <f t="shared" ref="AD1176" si="4574">IFERROR((AC1176/AB1176),"-")</f>
        <v>-</v>
      </c>
      <c r="AE1176" s="40"/>
      <c r="AF1176" s="855">
        <v>1</v>
      </c>
      <c r="AG1176" s="855"/>
      <c r="AH1176" s="858">
        <v>0</v>
      </c>
      <c r="AI1176" s="855"/>
      <c r="AJ1176" s="855"/>
      <c r="AK1176" s="855">
        <f t="shared" ref="AK1176" si="4575">AF1176+AG1176+AH1176+AI1176+AJ1176+AC1176</f>
        <v>1</v>
      </c>
      <c r="AL1176" s="855">
        <v>1</v>
      </c>
      <c r="AM1176" s="849">
        <f t="shared" ref="AM1176" si="4576">IFERROR((AK1176/AL1176),"-")</f>
        <v>1</v>
      </c>
      <c r="AN1176" s="40"/>
      <c r="AO1176" s="855">
        <v>1</v>
      </c>
      <c r="AP1176" s="855">
        <f t="shared" ref="AP1176" si="4577">AO1176-AK1176</f>
        <v>0</v>
      </c>
      <c r="AV1176" t="str">
        <f t="shared" si="4514"/>
        <v>BDCC no Km 155+722 - Aterro 03</v>
      </c>
      <c r="AW1176" s="4" t="str">
        <f t="shared" si="4505"/>
        <v>2.4-BDT PEAD DN 1,20m - km 136+844 - Aterro A5 - Bueiro de PEAD - LD</v>
      </c>
    </row>
    <row r="1177" spans="1:49" ht="15.6" customHeight="1" outlineLevel="2">
      <c r="A1177" s="598" t="str">
        <f t="shared" ref="A1177" si="4578">A1176</f>
        <v>N</v>
      </c>
      <c r="B1177" s="599"/>
      <c r="C1177" s="599"/>
      <c r="D1177" s="118" t="s">
        <v>1441</v>
      </c>
      <c r="E1177" s="918"/>
      <c r="F1177" s="848"/>
      <c r="G1177" s="40"/>
      <c r="H1177" s="603" t="s">
        <v>38</v>
      </c>
      <c r="I1177" s="504">
        <v>0</v>
      </c>
      <c r="J1177" s="850"/>
      <c r="K1177" s="40"/>
      <c r="L1177" s="603" t="s">
        <v>38</v>
      </c>
      <c r="M1177" s="504">
        <f t="shared" si="4363"/>
        <v>0</v>
      </c>
      <c r="N1177" s="850"/>
      <c r="O1177" s="40"/>
      <c r="P1177" s="602">
        <v>0</v>
      </c>
      <c r="Q1177" s="602">
        <v>0</v>
      </c>
      <c r="R1177" s="602">
        <v>0</v>
      </c>
      <c r="S1177" s="602">
        <v>0</v>
      </c>
      <c r="T1177" s="602">
        <v>0</v>
      </c>
      <c r="U1177" s="602">
        <v>0</v>
      </c>
      <c r="V1177" s="602">
        <v>0</v>
      </c>
      <c r="W1177" s="40"/>
      <c r="X1177" s="504">
        <f t="shared" si="4357"/>
        <v>0</v>
      </c>
      <c r="Y1177" s="850"/>
      <c r="Z1177" s="40"/>
      <c r="AA1177" s="856"/>
      <c r="AB1177" s="856"/>
      <c r="AC1177" s="857"/>
      <c r="AD1177" s="920"/>
      <c r="AE1177" s="40"/>
      <c r="AF1177" s="856"/>
      <c r="AG1177" s="856"/>
      <c r="AH1177" s="857"/>
      <c r="AI1177" s="856"/>
      <c r="AJ1177" s="856"/>
      <c r="AK1177" s="856"/>
      <c r="AL1177" s="856"/>
      <c r="AM1177" s="850"/>
      <c r="AN1177" s="40"/>
      <c r="AO1177" s="882"/>
      <c r="AP1177" s="882"/>
      <c r="AV1177" t="str">
        <f t="shared" si="4514"/>
        <v>BDCC no Km 155+722 - Aterro 03</v>
      </c>
      <c r="AW1177" s="4" t="str">
        <f t="shared" si="4505"/>
        <v>2.4-BDT PEAD DN 1,20m - km 136+844 - Aterro A5 - Bueiro de PEAD - LD</v>
      </c>
    </row>
    <row r="1178" spans="1:49" ht="15.6" customHeight="1" outlineLevel="2">
      <c r="A1178" s="598" t="str">
        <f t="shared" ref="A1178" si="4579">IF(SUM(P1178:V1179)&gt;0,"S","N")</f>
        <v>N</v>
      </c>
      <c r="B1178" s="599">
        <v>1064287</v>
      </c>
      <c r="C1178" s="599" t="s">
        <v>1494</v>
      </c>
      <c r="D1178" s="118" t="s">
        <v>1334</v>
      </c>
      <c r="E1178" s="917" t="s">
        <v>1495</v>
      </c>
      <c r="F1178" s="848" t="s">
        <v>1437</v>
      </c>
      <c r="G1178" s="40"/>
      <c r="H1178" s="600" t="s">
        <v>37</v>
      </c>
      <c r="I1178" s="504">
        <v>0</v>
      </c>
      <c r="J1178" s="849" t="str">
        <f t="shared" ref="J1178" si="4580">IFERROR((I1179/I1178),"-")</f>
        <v>-</v>
      </c>
      <c r="K1178" s="40"/>
      <c r="L1178" s="600" t="s">
        <v>37</v>
      </c>
      <c r="M1178" s="504">
        <f t="shared" si="4363"/>
        <v>0</v>
      </c>
      <c r="N1178" s="849" t="str">
        <f t="shared" ref="N1178" si="4581">IFERROR((M1179/M1178),"-")</f>
        <v>-</v>
      </c>
      <c r="O1178" s="40"/>
      <c r="P1178" s="601">
        <v>0</v>
      </c>
      <c r="Q1178" s="601">
        <v>0</v>
      </c>
      <c r="R1178" s="601">
        <v>0</v>
      </c>
      <c r="S1178" s="601">
        <v>0</v>
      </c>
      <c r="T1178" s="601">
        <v>0</v>
      </c>
      <c r="U1178" s="601">
        <v>0</v>
      </c>
      <c r="V1178" s="602">
        <v>0</v>
      </c>
      <c r="W1178" s="40"/>
      <c r="X1178" s="504">
        <f t="shared" si="4357"/>
        <v>0</v>
      </c>
      <c r="Y1178" s="849" t="str">
        <f t="shared" ref="Y1178" si="4582">IFERROR((X1179/X1178),"0")</f>
        <v>0</v>
      </c>
      <c r="Z1178" s="40"/>
      <c r="AA1178" s="855">
        <v>0</v>
      </c>
      <c r="AB1178" s="855">
        <v>0</v>
      </c>
      <c r="AC1178" s="858">
        <v>0</v>
      </c>
      <c r="AD1178" s="849" t="str">
        <f t="shared" ref="AD1178" si="4583">IFERROR((AC1178/AB1178),"-")</f>
        <v>-</v>
      </c>
      <c r="AE1178" s="40"/>
      <c r="AF1178" s="855">
        <v>1</v>
      </c>
      <c r="AG1178" s="855"/>
      <c r="AH1178" s="858">
        <v>0</v>
      </c>
      <c r="AI1178" s="855"/>
      <c r="AJ1178" s="855"/>
      <c r="AK1178" s="855">
        <f t="shared" ref="AK1178" si="4584">AF1178+AG1178+AH1178+AI1178+AJ1178+AC1178</f>
        <v>1</v>
      </c>
      <c r="AL1178" s="855">
        <v>0.99</v>
      </c>
      <c r="AM1178" s="849">
        <f t="shared" ref="AM1178" si="4585">IFERROR((AK1178/AL1178),"-")</f>
        <v>1.0101010101010102</v>
      </c>
      <c r="AN1178" s="40"/>
      <c r="AO1178" s="855">
        <v>1</v>
      </c>
      <c r="AP1178" s="855">
        <f t="shared" ref="AP1178" si="4586">AO1178-AK1178</f>
        <v>0</v>
      </c>
      <c r="AV1178" t="str">
        <f t="shared" si="4514"/>
        <v>BDCC no Km 155+722 - Aterro 03</v>
      </c>
      <c r="AW1178" s="4" t="str">
        <f t="shared" si="4505"/>
        <v>2.4-PG BSCC 2,5 0x 2,50m - km 137+450 - Aterro A6 - Bueiro de Concreto - LE</v>
      </c>
    </row>
    <row r="1179" spans="1:49" ht="15.6" customHeight="1" outlineLevel="2">
      <c r="A1179" s="598" t="str">
        <f t="shared" ref="A1179" si="4587">A1178</f>
        <v>N</v>
      </c>
      <c r="B1179" s="599"/>
      <c r="C1179" s="599"/>
      <c r="D1179" s="118" t="s">
        <v>1444</v>
      </c>
      <c r="E1179" s="918"/>
      <c r="F1179" s="848"/>
      <c r="G1179" s="40"/>
      <c r="H1179" s="603" t="s">
        <v>38</v>
      </c>
      <c r="I1179" s="504">
        <v>0</v>
      </c>
      <c r="J1179" s="850"/>
      <c r="K1179" s="40"/>
      <c r="L1179" s="603" t="s">
        <v>38</v>
      </c>
      <c r="M1179" s="504">
        <f t="shared" si="4363"/>
        <v>0</v>
      </c>
      <c r="N1179" s="850"/>
      <c r="O1179" s="40"/>
      <c r="P1179" s="602">
        <v>0</v>
      </c>
      <c r="Q1179" s="602">
        <v>0</v>
      </c>
      <c r="R1179" s="602">
        <v>0</v>
      </c>
      <c r="S1179" s="602">
        <v>0</v>
      </c>
      <c r="T1179" s="602">
        <v>0</v>
      </c>
      <c r="U1179" s="602">
        <v>0</v>
      </c>
      <c r="V1179" s="602">
        <v>0</v>
      </c>
      <c r="W1179" s="40"/>
      <c r="X1179" s="504">
        <f t="shared" si="4357"/>
        <v>0</v>
      </c>
      <c r="Y1179" s="850"/>
      <c r="Z1179" s="40"/>
      <c r="AA1179" s="856"/>
      <c r="AB1179" s="856"/>
      <c r="AC1179" s="857"/>
      <c r="AD1179" s="920"/>
      <c r="AE1179" s="40"/>
      <c r="AF1179" s="856"/>
      <c r="AG1179" s="856"/>
      <c r="AH1179" s="857"/>
      <c r="AI1179" s="856"/>
      <c r="AJ1179" s="856"/>
      <c r="AK1179" s="856"/>
      <c r="AL1179" s="856"/>
      <c r="AM1179" s="850"/>
      <c r="AN1179" s="40"/>
      <c r="AO1179" s="882"/>
      <c r="AP1179" s="882"/>
      <c r="AV1179" t="str">
        <f t="shared" si="4514"/>
        <v>BDCC no Km 155+722 - Aterro 03</v>
      </c>
      <c r="AW1179" s="4" t="str">
        <f t="shared" si="4505"/>
        <v>2.4-PG BSCC 2,5 0x 2,50m - km 137+450 - Aterro A6 - Bueiro de Concreto - LE</v>
      </c>
    </row>
    <row r="1180" spans="1:49" ht="15.6" customHeight="1" outlineLevel="2">
      <c r="A1180" s="598" t="str">
        <f t="shared" ref="A1180" si="4588">IF(SUM(P1180:V1181)&gt;0,"S","N")</f>
        <v>N</v>
      </c>
      <c r="B1180" s="599">
        <v>1064288</v>
      </c>
      <c r="C1180" s="599" t="s">
        <v>1496</v>
      </c>
      <c r="D1180" s="118" t="s">
        <v>1334</v>
      </c>
      <c r="E1180" s="917" t="s">
        <v>1497</v>
      </c>
      <c r="F1180" s="848" t="s">
        <v>1437</v>
      </c>
      <c r="G1180" s="40"/>
      <c r="H1180" s="600" t="s">
        <v>37</v>
      </c>
      <c r="I1180" s="504">
        <v>0</v>
      </c>
      <c r="J1180" s="849" t="str">
        <f t="shared" ref="J1180" si="4589">IFERROR((I1181/I1180),"-")</f>
        <v>-</v>
      </c>
      <c r="K1180" s="40"/>
      <c r="L1180" s="600" t="s">
        <v>37</v>
      </c>
      <c r="M1180" s="504">
        <f t="shared" si="4363"/>
        <v>0</v>
      </c>
      <c r="N1180" s="849" t="str">
        <f t="shared" ref="N1180" si="4590">IFERROR((M1181/M1180),"-")</f>
        <v>-</v>
      </c>
      <c r="O1180" s="40"/>
      <c r="P1180" s="601">
        <v>0</v>
      </c>
      <c r="Q1180" s="601">
        <v>0</v>
      </c>
      <c r="R1180" s="601">
        <v>0</v>
      </c>
      <c r="S1180" s="601">
        <v>0</v>
      </c>
      <c r="T1180" s="601">
        <v>0</v>
      </c>
      <c r="U1180" s="601">
        <v>0</v>
      </c>
      <c r="V1180" s="602">
        <v>0</v>
      </c>
      <c r="W1180" s="40"/>
      <c r="X1180" s="504">
        <f t="shared" si="4357"/>
        <v>0</v>
      </c>
      <c r="Y1180" s="849" t="str">
        <f t="shared" ref="Y1180" si="4591">IFERROR((X1181/X1180),"0")</f>
        <v>0</v>
      </c>
      <c r="Z1180" s="40"/>
      <c r="AA1180" s="855">
        <v>0</v>
      </c>
      <c r="AB1180" s="855">
        <v>0</v>
      </c>
      <c r="AC1180" s="858">
        <v>0</v>
      </c>
      <c r="AD1180" s="849" t="str">
        <f t="shared" ref="AD1180" si="4592">IFERROR((AC1180/AB1180),"-")</f>
        <v>-</v>
      </c>
      <c r="AE1180" s="40"/>
      <c r="AF1180" s="855">
        <v>1</v>
      </c>
      <c r="AG1180" s="855"/>
      <c r="AH1180" s="858">
        <v>0</v>
      </c>
      <c r="AI1180" s="855"/>
      <c r="AJ1180" s="855"/>
      <c r="AK1180" s="855">
        <f t="shared" ref="AK1180" si="4593">AF1180+AG1180+AH1180+AI1180+AJ1180+AC1180</f>
        <v>1</v>
      </c>
      <c r="AL1180" s="855">
        <v>1</v>
      </c>
      <c r="AM1180" s="849">
        <f t="shared" ref="AM1180" si="4594">IFERROR((AK1180/AL1180),"-")</f>
        <v>1</v>
      </c>
      <c r="AN1180" s="40"/>
      <c r="AO1180" s="855">
        <v>1</v>
      </c>
      <c r="AP1180" s="855">
        <f t="shared" ref="AP1180" si="4595">AO1180-AK1180</f>
        <v>0</v>
      </c>
      <c r="AV1180" t="str">
        <f t="shared" si="4514"/>
        <v>BDCC no Km 155+722 - Aterro 03</v>
      </c>
      <c r="AW1180" s="4" t="str">
        <f t="shared" si="4505"/>
        <v>2.4-PG BSCC 2,5 0x 2,50m - km 137+450 - Aterro A6 - Bueiro de Concreto - LD</v>
      </c>
    </row>
    <row r="1181" spans="1:49" ht="15.6" customHeight="1" outlineLevel="2">
      <c r="A1181" s="598" t="str">
        <f t="shared" ref="A1181" si="4596">A1180</f>
        <v>N</v>
      </c>
      <c r="B1181" s="599"/>
      <c r="C1181" s="599"/>
      <c r="D1181" s="118" t="s">
        <v>1441</v>
      </c>
      <c r="E1181" s="918"/>
      <c r="F1181" s="848"/>
      <c r="G1181" s="40"/>
      <c r="H1181" s="603" t="s">
        <v>38</v>
      </c>
      <c r="I1181" s="504">
        <v>0</v>
      </c>
      <c r="J1181" s="850"/>
      <c r="K1181" s="40"/>
      <c r="L1181" s="603" t="s">
        <v>38</v>
      </c>
      <c r="M1181" s="504">
        <f t="shared" si="4363"/>
        <v>0</v>
      </c>
      <c r="N1181" s="850"/>
      <c r="O1181" s="40"/>
      <c r="P1181" s="602">
        <v>0</v>
      </c>
      <c r="Q1181" s="602">
        <v>0</v>
      </c>
      <c r="R1181" s="602">
        <v>0</v>
      </c>
      <c r="S1181" s="602">
        <v>0</v>
      </c>
      <c r="T1181" s="602">
        <v>0</v>
      </c>
      <c r="U1181" s="602">
        <v>0</v>
      </c>
      <c r="V1181" s="602">
        <v>0</v>
      </c>
      <c r="W1181" s="40"/>
      <c r="X1181" s="504">
        <f t="shared" si="4357"/>
        <v>0</v>
      </c>
      <c r="Y1181" s="850"/>
      <c r="Z1181" s="40"/>
      <c r="AA1181" s="856"/>
      <c r="AB1181" s="856"/>
      <c r="AC1181" s="857"/>
      <c r="AD1181" s="920"/>
      <c r="AE1181" s="40"/>
      <c r="AF1181" s="856"/>
      <c r="AG1181" s="856"/>
      <c r="AH1181" s="857"/>
      <c r="AI1181" s="856"/>
      <c r="AJ1181" s="856"/>
      <c r="AK1181" s="856"/>
      <c r="AL1181" s="856"/>
      <c r="AM1181" s="850"/>
      <c r="AN1181" s="40"/>
      <c r="AO1181" s="882"/>
      <c r="AP1181" s="882"/>
      <c r="AV1181" t="str">
        <f t="shared" si="4514"/>
        <v>BDCC no Km 155+722 - Aterro 03</v>
      </c>
      <c r="AW1181" s="4" t="str">
        <f t="shared" si="4505"/>
        <v>2.4-PG BSCC 2,5 0x 2,50m - km 137+450 - Aterro A6 - Bueiro de Concreto - LD</v>
      </c>
    </row>
    <row r="1182" spans="1:49" ht="15.6" customHeight="1" outlineLevel="2">
      <c r="A1182" s="598" t="str">
        <f t="shared" ref="A1182" si="4597">IF(SUM(P1182:V1183)&gt;0,"S","N")</f>
        <v>N</v>
      </c>
      <c r="B1182" s="599">
        <v>1064291</v>
      </c>
      <c r="C1182" s="599" t="s">
        <v>1498</v>
      </c>
      <c r="D1182" s="118" t="s">
        <v>1499</v>
      </c>
      <c r="E1182" s="917" t="s">
        <v>1500</v>
      </c>
      <c r="F1182" s="848" t="s">
        <v>1437</v>
      </c>
      <c r="G1182" s="40"/>
      <c r="H1182" s="600" t="s">
        <v>37</v>
      </c>
      <c r="I1182" s="504">
        <v>0</v>
      </c>
      <c r="J1182" s="849" t="str">
        <f t="shared" ref="J1182" si="4598">IFERROR((I1183/I1182),"-")</f>
        <v>-</v>
      </c>
      <c r="K1182" s="40"/>
      <c r="L1182" s="600" t="s">
        <v>37</v>
      </c>
      <c r="M1182" s="504">
        <f t="shared" si="4363"/>
        <v>0</v>
      </c>
      <c r="N1182" s="849" t="str">
        <f t="shared" ref="N1182" si="4599">IFERROR((M1183/M1182),"-")</f>
        <v>-</v>
      </c>
      <c r="O1182" s="40"/>
      <c r="P1182" s="601">
        <v>0</v>
      </c>
      <c r="Q1182" s="601">
        <v>0</v>
      </c>
      <c r="R1182" s="601">
        <v>0</v>
      </c>
      <c r="S1182" s="601">
        <v>0</v>
      </c>
      <c r="T1182" s="601">
        <v>0</v>
      </c>
      <c r="U1182" s="601">
        <v>0</v>
      </c>
      <c r="V1182" s="602">
        <v>0</v>
      </c>
      <c r="W1182" s="40"/>
      <c r="X1182" s="504">
        <f t="shared" si="4357"/>
        <v>0</v>
      </c>
      <c r="Y1182" s="849" t="str">
        <f t="shared" ref="Y1182" si="4600">IFERROR((X1183/X1182),"0")</f>
        <v>0</v>
      </c>
      <c r="Z1182" s="40"/>
      <c r="AA1182" s="855">
        <v>0</v>
      </c>
      <c r="AB1182" s="855">
        <v>0</v>
      </c>
      <c r="AC1182" s="858">
        <v>0</v>
      </c>
      <c r="AD1182" s="849" t="str">
        <f t="shared" ref="AD1182" si="4601">IFERROR((AC1182/AB1182),"-")</f>
        <v>-</v>
      </c>
      <c r="AE1182" s="40"/>
      <c r="AF1182" s="855">
        <v>1</v>
      </c>
      <c r="AG1182" s="855"/>
      <c r="AH1182" s="858">
        <v>0</v>
      </c>
      <c r="AI1182" s="855"/>
      <c r="AJ1182" s="855"/>
      <c r="AK1182" s="855">
        <f t="shared" ref="AK1182" si="4602">AF1182+AG1182+AH1182+AI1182+AJ1182+AC1182</f>
        <v>1</v>
      </c>
      <c r="AL1182" s="855">
        <v>0.91000000000000025</v>
      </c>
      <c r="AM1182" s="849">
        <f t="shared" ref="AM1182" si="4603">IFERROR((AK1182/AL1182),"-")</f>
        <v>1.0989010989010985</v>
      </c>
      <c r="AN1182" s="40"/>
      <c r="AO1182" s="855">
        <v>1</v>
      </c>
      <c r="AP1182" s="855">
        <f t="shared" ref="AP1182" si="4604">AO1182-AK1182</f>
        <v>0</v>
      </c>
      <c r="AV1182" t="str">
        <f t="shared" si="4514"/>
        <v>BDCC no Km 155+722 - Aterro 03</v>
      </c>
      <c r="AW1182" s="4" t="str">
        <f t="shared" si="4505"/>
        <v>2.4-BSCC 1,50x1,50m - Km 137+821 - Aterro A6 - Bueiro de Concreto - LE</v>
      </c>
    </row>
    <row r="1183" spans="1:49" ht="15.6" customHeight="1" outlineLevel="2">
      <c r="A1183" s="598" t="str">
        <f t="shared" ref="A1183" si="4605">A1182</f>
        <v>N</v>
      </c>
      <c r="B1183" s="599"/>
      <c r="C1183" s="599"/>
      <c r="D1183" s="118" t="s">
        <v>1444</v>
      </c>
      <c r="E1183" s="918"/>
      <c r="F1183" s="848"/>
      <c r="G1183" s="40"/>
      <c r="H1183" s="603" t="s">
        <v>38</v>
      </c>
      <c r="I1183" s="504">
        <v>0</v>
      </c>
      <c r="J1183" s="850"/>
      <c r="K1183" s="40"/>
      <c r="L1183" s="603" t="s">
        <v>38</v>
      </c>
      <c r="M1183" s="504">
        <f t="shared" si="4363"/>
        <v>0</v>
      </c>
      <c r="N1183" s="850"/>
      <c r="O1183" s="40"/>
      <c r="P1183" s="602">
        <v>0</v>
      </c>
      <c r="Q1183" s="602">
        <v>0</v>
      </c>
      <c r="R1183" s="602">
        <v>0</v>
      </c>
      <c r="S1183" s="602">
        <v>0</v>
      </c>
      <c r="T1183" s="602">
        <v>0</v>
      </c>
      <c r="U1183" s="602">
        <v>0</v>
      </c>
      <c r="V1183" s="602">
        <v>0</v>
      </c>
      <c r="W1183" s="40"/>
      <c r="X1183" s="504">
        <f t="shared" si="4357"/>
        <v>0</v>
      </c>
      <c r="Y1183" s="850"/>
      <c r="Z1183" s="40"/>
      <c r="AA1183" s="856"/>
      <c r="AB1183" s="856"/>
      <c r="AC1183" s="857"/>
      <c r="AD1183" s="920"/>
      <c r="AE1183" s="40"/>
      <c r="AF1183" s="856"/>
      <c r="AG1183" s="856"/>
      <c r="AH1183" s="857"/>
      <c r="AI1183" s="856"/>
      <c r="AJ1183" s="856"/>
      <c r="AK1183" s="856"/>
      <c r="AL1183" s="856"/>
      <c r="AM1183" s="850"/>
      <c r="AN1183" s="40"/>
      <c r="AO1183" s="882"/>
      <c r="AP1183" s="882"/>
      <c r="AV1183" t="str">
        <f t="shared" si="4514"/>
        <v>BDCC no Km 155+722 - Aterro 03</v>
      </c>
      <c r="AW1183" s="4" t="str">
        <f t="shared" si="4505"/>
        <v>2.4-BSCC 1,50x1,50m - Km 137+821 - Aterro A6 - Bueiro de Concreto - LE</v>
      </c>
    </row>
    <row r="1184" spans="1:49" ht="15.6" customHeight="1" outlineLevel="2">
      <c r="A1184" s="598" t="str">
        <f t="shared" ref="A1184" si="4606">IF(SUM(P1184:V1185)&gt;0,"S","N")</f>
        <v>N</v>
      </c>
      <c r="B1184" s="599">
        <v>1064292</v>
      </c>
      <c r="C1184" s="599" t="s">
        <v>1501</v>
      </c>
      <c r="D1184" s="118" t="s">
        <v>1499</v>
      </c>
      <c r="E1184" s="917" t="s">
        <v>1502</v>
      </c>
      <c r="F1184" s="848" t="s">
        <v>1437</v>
      </c>
      <c r="G1184" s="40"/>
      <c r="H1184" s="600" t="s">
        <v>37</v>
      </c>
      <c r="I1184" s="504">
        <v>0</v>
      </c>
      <c r="J1184" s="849" t="str">
        <f t="shared" ref="J1184" si="4607">IFERROR((I1185/I1184),"-")</f>
        <v>-</v>
      </c>
      <c r="K1184" s="40"/>
      <c r="L1184" s="600" t="s">
        <v>37</v>
      </c>
      <c r="M1184" s="504">
        <f t="shared" si="4363"/>
        <v>0</v>
      </c>
      <c r="N1184" s="849" t="str">
        <f t="shared" ref="N1184" si="4608">IFERROR((M1185/M1184),"-")</f>
        <v>-</v>
      </c>
      <c r="O1184" s="40"/>
      <c r="P1184" s="601">
        <v>0</v>
      </c>
      <c r="Q1184" s="601">
        <v>0</v>
      </c>
      <c r="R1184" s="601">
        <v>0</v>
      </c>
      <c r="S1184" s="601">
        <v>0</v>
      </c>
      <c r="T1184" s="601">
        <v>0</v>
      </c>
      <c r="U1184" s="601">
        <v>0</v>
      </c>
      <c r="V1184" s="602">
        <v>0</v>
      </c>
      <c r="W1184" s="40"/>
      <c r="X1184" s="504">
        <f t="shared" si="4357"/>
        <v>0</v>
      </c>
      <c r="Y1184" s="849" t="str">
        <f t="shared" ref="Y1184" si="4609">IFERROR((X1185/X1184),"0")</f>
        <v>0</v>
      </c>
      <c r="Z1184" s="40"/>
      <c r="AA1184" s="855">
        <v>0</v>
      </c>
      <c r="AB1184" s="855">
        <v>0</v>
      </c>
      <c r="AC1184" s="858">
        <v>0</v>
      </c>
      <c r="AD1184" s="849" t="str">
        <f t="shared" ref="AD1184" si="4610">IFERROR((AC1184/AB1184),"-")</f>
        <v>-</v>
      </c>
      <c r="AE1184" s="40"/>
      <c r="AF1184" s="855">
        <v>1</v>
      </c>
      <c r="AG1184" s="855"/>
      <c r="AH1184" s="858">
        <v>0</v>
      </c>
      <c r="AI1184" s="855"/>
      <c r="AJ1184" s="855"/>
      <c r="AK1184" s="855">
        <f t="shared" ref="AK1184" si="4611">AF1184+AG1184+AH1184+AI1184+AJ1184+AC1184</f>
        <v>1</v>
      </c>
      <c r="AL1184" s="855">
        <v>1.0400000000000005</v>
      </c>
      <c r="AM1184" s="849">
        <f t="shared" ref="AM1184" si="4612">IFERROR((AK1184/AL1184),"-")</f>
        <v>0.96153846153846112</v>
      </c>
      <c r="AN1184" s="40"/>
      <c r="AO1184" s="855">
        <v>1</v>
      </c>
      <c r="AP1184" s="855">
        <f t="shared" ref="AP1184" si="4613">AO1184-AK1184</f>
        <v>0</v>
      </c>
      <c r="AV1184" t="str">
        <f t="shared" si="4514"/>
        <v>BDCC no Km 155+722 - Aterro 03</v>
      </c>
      <c r="AW1184" s="4" t="str">
        <f t="shared" si="4505"/>
        <v>2.4-BSCC 1,50x1,50m - Km 137+821 - Aterro A6 - Bueiro de Concreto - LD</v>
      </c>
    </row>
    <row r="1185" spans="1:49" ht="15.6" customHeight="1" outlineLevel="2">
      <c r="A1185" s="598" t="str">
        <f t="shared" ref="A1185" si="4614">A1184</f>
        <v>N</v>
      </c>
      <c r="B1185" s="599"/>
      <c r="C1185" s="599"/>
      <c r="D1185" s="118" t="s">
        <v>1441</v>
      </c>
      <c r="E1185" s="918"/>
      <c r="F1185" s="848"/>
      <c r="G1185" s="40"/>
      <c r="H1185" s="603" t="s">
        <v>38</v>
      </c>
      <c r="I1185" s="504">
        <v>0</v>
      </c>
      <c r="J1185" s="850"/>
      <c r="K1185" s="40"/>
      <c r="L1185" s="603" t="s">
        <v>38</v>
      </c>
      <c r="M1185" s="504">
        <f t="shared" si="4363"/>
        <v>0</v>
      </c>
      <c r="N1185" s="850"/>
      <c r="O1185" s="40"/>
      <c r="P1185" s="602">
        <v>0</v>
      </c>
      <c r="Q1185" s="602">
        <v>0</v>
      </c>
      <c r="R1185" s="602">
        <v>0</v>
      </c>
      <c r="S1185" s="602">
        <v>0</v>
      </c>
      <c r="T1185" s="602">
        <v>0</v>
      </c>
      <c r="U1185" s="602">
        <v>0</v>
      </c>
      <c r="V1185" s="602">
        <v>0</v>
      </c>
      <c r="W1185" s="40"/>
      <c r="X1185" s="504">
        <f t="shared" si="4357"/>
        <v>0</v>
      </c>
      <c r="Y1185" s="850"/>
      <c r="Z1185" s="40"/>
      <c r="AA1185" s="856"/>
      <c r="AB1185" s="856"/>
      <c r="AC1185" s="857"/>
      <c r="AD1185" s="920"/>
      <c r="AE1185" s="40"/>
      <c r="AF1185" s="856"/>
      <c r="AG1185" s="856"/>
      <c r="AH1185" s="857"/>
      <c r="AI1185" s="856"/>
      <c r="AJ1185" s="856"/>
      <c r="AK1185" s="856"/>
      <c r="AL1185" s="856"/>
      <c r="AM1185" s="850"/>
      <c r="AN1185" s="40"/>
      <c r="AO1185" s="882"/>
      <c r="AP1185" s="882"/>
      <c r="AV1185" t="str">
        <f t="shared" si="4514"/>
        <v>BDCC no Km 155+722 - Aterro 03</v>
      </c>
      <c r="AW1185" s="4" t="str">
        <f t="shared" si="4505"/>
        <v>2.4-BSCC 1,50x1,50m - Km 137+821 - Aterro A6 - Bueiro de Concreto - LD</v>
      </c>
    </row>
    <row r="1186" spans="1:49" ht="15.6" customHeight="1" outlineLevel="2">
      <c r="A1186" s="598" t="str">
        <f t="shared" ref="A1186" si="4615">IF(SUM(P1186:V1187)&gt;0,"S","N")</f>
        <v>N</v>
      </c>
      <c r="B1186" s="599">
        <v>1064830</v>
      </c>
      <c r="C1186" s="599" t="s">
        <v>1503</v>
      </c>
      <c r="D1186" s="118" t="s">
        <v>1336</v>
      </c>
      <c r="E1186" s="917" t="s">
        <v>1504</v>
      </c>
      <c r="F1186" s="848" t="s">
        <v>1437</v>
      </c>
      <c r="G1186" s="40"/>
      <c r="H1186" s="600" t="s">
        <v>37</v>
      </c>
      <c r="I1186" s="504">
        <v>0</v>
      </c>
      <c r="J1186" s="849" t="str">
        <f t="shared" ref="J1186" si="4616">IFERROR((I1187/I1186),"-")</f>
        <v>-</v>
      </c>
      <c r="K1186" s="40"/>
      <c r="L1186" s="600" t="s">
        <v>37</v>
      </c>
      <c r="M1186" s="504">
        <f t="shared" si="4363"/>
        <v>0</v>
      </c>
      <c r="N1186" s="849" t="str">
        <f t="shared" ref="N1186" si="4617">IFERROR((M1187/M1186),"-")</f>
        <v>-</v>
      </c>
      <c r="O1186" s="40"/>
      <c r="P1186" s="601">
        <v>0</v>
      </c>
      <c r="Q1186" s="601">
        <v>0</v>
      </c>
      <c r="R1186" s="601">
        <v>0</v>
      </c>
      <c r="S1186" s="601">
        <v>0</v>
      </c>
      <c r="T1186" s="601">
        <v>0</v>
      </c>
      <c r="U1186" s="601">
        <v>0</v>
      </c>
      <c r="V1186" s="602">
        <v>0</v>
      </c>
      <c r="W1186" s="40"/>
      <c r="X1186" s="504">
        <f t="shared" si="4357"/>
        <v>0</v>
      </c>
      <c r="Y1186" s="849" t="str">
        <f t="shared" ref="Y1186" si="4618">IFERROR((X1187/X1186),"0")</f>
        <v>0</v>
      </c>
      <c r="Z1186" s="40"/>
      <c r="AA1186" s="855">
        <v>0</v>
      </c>
      <c r="AB1186" s="855">
        <v>0</v>
      </c>
      <c r="AC1186" s="858">
        <v>0</v>
      </c>
      <c r="AD1186" s="849" t="str">
        <f t="shared" ref="AD1186" si="4619">IFERROR((AC1186/AB1186),"-")</f>
        <v>-</v>
      </c>
      <c r="AE1186" s="40"/>
      <c r="AF1186" s="855">
        <v>1</v>
      </c>
      <c r="AG1186" s="855"/>
      <c r="AH1186" s="858">
        <v>0</v>
      </c>
      <c r="AI1186" s="855"/>
      <c r="AJ1186" s="855"/>
      <c r="AK1186" s="855">
        <f t="shared" ref="AK1186" si="4620">AF1186+AG1186+AH1186+AI1186+AJ1186+AC1186</f>
        <v>1</v>
      </c>
      <c r="AL1186" s="855">
        <v>1.03</v>
      </c>
      <c r="AM1186" s="849">
        <f t="shared" ref="AM1186" si="4621">IFERROR((AK1186/AL1186),"-")</f>
        <v>0.970873786407767</v>
      </c>
      <c r="AN1186" s="40"/>
      <c r="AO1186" s="855">
        <v>1</v>
      </c>
      <c r="AP1186" s="855">
        <f t="shared" ref="AP1186" si="4622">AO1186-AK1186</f>
        <v>0</v>
      </c>
      <c r="AV1186" t="str">
        <f t="shared" si="4514"/>
        <v>BDCC no Km 155+722 - Aterro 03</v>
      </c>
      <c r="AW1186" s="4" t="str">
        <f t="shared" si="4505"/>
        <v>2.4-BST PEAD DN 0,80m - Km 0+254 - acesso km 132+060 LD - Bueiro de PEAD - LE</v>
      </c>
    </row>
    <row r="1187" spans="1:49" ht="15.6" customHeight="1" outlineLevel="2">
      <c r="A1187" s="598" t="str">
        <f t="shared" ref="A1187" si="4623">A1186</f>
        <v>N</v>
      </c>
      <c r="B1187" s="599"/>
      <c r="C1187" s="599"/>
      <c r="D1187" s="118" t="s">
        <v>1444</v>
      </c>
      <c r="E1187" s="918"/>
      <c r="F1187" s="848"/>
      <c r="G1187" s="40"/>
      <c r="H1187" s="603" t="s">
        <v>38</v>
      </c>
      <c r="I1187" s="504">
        <v>0</v>
      </c>
      <c r="J1187" s="850"/>
      <c r="K1187" s="40"/>
      <c r="L1187" s="603" t="s">
        <v>38</v>
      </c>
      <c r="M1187" s="504">
        <f t="shared" si="4363"/>
        <v>0</v>
      </c>
      <c r="N1187" s="850"/>
      <c r="O1187" s="40"/>
      <c r="P1187" s="602">
        <v>0</v>
      </c>
      <c r="Q1187" s="602">
        <v>0</v>
      </c>
      <c r="R1187" s="602">
        <v>0</v>
      </c>
      <c r="S1187" s="602">
        <v>0</v>
      </c>
      <c r="T1187" s="602">
        <v>0</v>
      </c>
      <c r="U1187" s="602">
        <v>0</v>
      </c>
      <c r="V1187" s="602">
        <v>0</v>
      </c>
      <c r="W1187" s="40"/>
      <c r="X1187" s="504">
        <f t="shared" si="4357"/>
        <v>0</v>
      </c>
      <c r="Y1187" s="850"/>
      <c r="Z1187" s="40"/>
      <c r="AA1187" s="856"/>
      <c r="AB1187" s="856"/>
      <c r="AC1187" s="857"/>
      <c r="AD1187" s="920"/>
      <c r="AE1187" s="40"/>
      <c r="AF1187" s="856"/>
      <c r="AG1187" s="856"/>
      <c r="AH1187" s="857"/>
      <c r="AI1187" s="856"/>
      <c r="AJ1187" s="856"/>
      <c r="AK1187" s="856"/>
      <c r="AL1187" s="856"/>
      <c r="AM1187" s="850"/>
      <c r="AN1187" s="40"/>
      <c r="AO1187" s="882"/>
      <c r="AP1187" s="882"/>
      <c r="AV1187" t="str">
        <f t="shared" si="4514"/>
        <v>BDCC no Km 155+722 - Aterro 03</v>
      </c>
      <c r="AW1187" s="4" t="str">
        <f t="shared" si="4505"/>
        <v>2.4-BST PEAD DN 0,80m - Km 0+254 - acesso km 132+060 LD - Bueiro de PEAD - LE</v>
      </c>
    </row>
    <row r="1188" spans="1:49" ht="15.6" customHeight="1" outlineLevel="2">
      <c r="A1188" s="598" t="str">
        <f t="shared" ref="A1188" si="4624">IF(SUM(P1188:V1189)&gt;0,"S","N")</f>
        <v>N</v>
      </c>
      <c r="B1188" s="599">
        <v>1064831</v>
      </c>
      <c r="C1188" s="599" t="s">
        <v>1505</v>
      </c>
      <c r="D1188" s="118" t="s">
        <v>1336</v>
      </c>
      <c r="E1188" s="917" t="s">
        <v>1506</v>
      </c>
      <c r="F1188" s="848" t="s">
        <v>1437</v>
      </c>
      <c r="G1188" s="40"/>
      <c r="H1188" s="600" t="s">
        <v>37</v>
      </c>
      <c r="I1188" s="504">
        <v>0</v>
      </c>
      <c r="J1188" s="849" t="str">
        <f t="shared" ref="J1188" si="4625">IFERROR((I1189/I1188),"-")</f>
        <v>-</v>
      </c>
      <c r="K1188" s="40"/>
      <c r="L1188" s="600" t="s">
        <v>37</v>
      </c>
      <c r="M1188" s="504">
        <f t="shared" si="4363"/>
        <v>0</v>
      </c>
      <c r="N1188" s="849" t="str">
        <f t="shared" ref="N1188" si="4626">IFERROR((M1189/M1188),"-")</f>
        <v>-</v>
      </c>
      <c r="O1188" s="40"/>
      <c r="P1188" s="601">
        <v>0</v>
      </c>
      <c r="Q1188" s="601">
        <v>0</v>
      </c>
      <c r="R1188" s="601">
        <v>0</v>
      </c>
      <c r="S1188" s="601">
        <v>0</v>
      </c>
      <c r="T1188" s="601">
        <v>0</v>
      </c>
      <c r="U1188" s="601">
        <v>0</v>
      </c>
      <c r="V1188" s="602">
        <v>0</v>
      </c>
      <c r="W1188" s="40"/>
      <c r="X1188" s="504">
        <f t="shared" si="4357"/>
        <v>0</v>
      </c>
      <c r="Y1188" s="849" t="str">
        <f t="shared" ref="Y1188" si="4627">IFERROR((X1189/X1188),"0")</f>
        <v>0</v>
      </c>
      <c r="Z1188" s="40"/>
      <c r="AA1188" s="855">
        <v>0</v>
      </c>
      <c r="AB1188" s="855">
        <v>0</v>
      </c>
      <c r="AC1188" s="858">
        <v>0</v>
      </c>
      <c r="AD1188" s="849" t="str">
        <f t="shared" ref="AD1188" si="4628">IFERROR((AC1188/AB1188),"-")</f>
        <v>-</v>
      </c>
      <c r="AE1188" s="40"/>
      <c r="AF1188" s="855">
        <v>1</v>
      </c>
      <c r="AG1188" s="855"/>
      <c r="AH1188" s="858">
        <v>0</v>
      </c>
      <c r="AI1188" s="855"/>
      <c r="AJ1188" s="855"/>
      <c r="AK1188" s="855">
        <f t="shared" ref="AK1188" si="4629">AF1188+AG1188+AH1188+AI1188+AJ1188+AC1188</f>
        <v>1</v>
      </c>
      <c r="AL1188" s="855">
        <v>1.03</v>
      </c>
      <c r="AM1188" s="849">
        <f t="shared" ref="AM1188" si="4630">IFERROR((AK1188/AL1188),"-")</f>
        <v>0.970873786407767</v>
      </c>
      <c r="AN1188" s="40"/>
      <c r="AO1188" s="855">
        <v>1</v>
      </c>
      <c r="AP1188" s="855">
        <f t="shared" ref="AP1188" si="4631">AO1188-AK1188</f>
        <v>0</v>
      </c>
      <c r="AV1188" t="str">
        <f t="shared" si="4514"/>
        <v>BDCC no Km 155+722 - Aterro 03</v>
      </c>
      <c r="AW1188" s="4" t="str">
        <f t="shared" si="4505"/>
        <v>2.4-BST PEAD DN 0,80m - Km 0+254 - acesso km 132+060 LD - Bueiro de PEAD - LD</v>
      </c>
    </row>
    <row r="1189" spans="1:49" ht="15.6" customHeight="1" outlineLevel="2">
      <c r="A1189" s="598" t="str">
        <f t="shared" ref="A1189" si="4632">A1188</f>
        <v>N</v>
      </c>
      <c r="B1189" s="599"/>
      <c r="C1189" s="599"/>
      <c r="D1189" s="118" t="s">
        <v>1441</v>
      </c>
      <c r="E1189" s="918"/>
      <c r="F1189" s="848"/>
      <c r="G1189" s="40"/>
      <c r="H1189" s="603" t="s">
        <v>38</v>
      </c>
      <c r="I1189" s="504">
        <v>0</v>
      </c>
      <c r="J1189" s="850"/>
      <c r="K1189" s="40"/>
      <c r="L1189" s="603" t="s">
        <v>38</v>
      </c>
      <c r="M1189" s="504">
        <f t="shared" si="4363"/>
        <v>0</v>
      </c>
      <c r="N1189" s="850"/>
      <c r="O1189" s="40"/>
      <c r="P1189" s="602">
        <v>0</v>
      </c>
      <c r="Q1189" s="602">
        <v>0</v>
      </c>
      <c r="R1189" s="602">
        <v>0</v>
      </c>
      <c r="S1189" s="602">
        <v>0</v>
      </c>
      <c r="T1189" s="602">
        <v>0</v>
      </c>
      <c r="U1189" s="602">
        <v>0</v>
      </c>
      <c r="V1189" s="602">
        <v>0</v>
      </c>
      <c r="W1189" s="40"/>
      <c r="X1189" s="504">
        <f t="shared" si="4357"/>
        <v>0</v>
      </c>
      <c r="Y1189" s="850"/>
      <c r="Z1189" s="40"/>
      <c r="AA1189" s="856"/>
      <c r="AB1189" s="856"/>
      <c r="AC1189" s="857"/>
      <c r="AD1189" s="920"/>
      <c r="AE1189" s="40"/>
      <c r="AF1189" s="856"/>
      <c r="AG1189" s="856"/>
      <c r="AH1189" s="857"/>
      <c r="AI1189" s="856"/>
      <c r="AJ1189" s="856"/>
      <c r="AK1189" s="856"/>
      <c r="AL1189" s="856"/>
      <c r="AM1189" s="850"/>
      <c r="AN1189" s="40"/>
      <c r="AO1189" s="882"/>
      <c r="AP1189" s="882"/>
      <c r="AV1189" t="str">
        <f t="shared" si="4514"/>
        <v>BDCC no Km 155+722 - Aterro 03</v>
      </c>
      <c r="AW1189" s="4" t="str">
        <f t="shared" si="4505"/>
        <v>2.4-BST PEAD DN 0,80m - Km 0+254 - acesso km 132+060 LD - Bueiro de PEAD - LD</v>
      </c>
    </row>
    <row r="1190" spans="1:49" ht="15.6" customHeight="1" outlineLevel="2">
      <c r="A1190" s="598" t="str">
        <f t="shared" ref="A1190" si="4633">IF(SUM(P1190:V1191)&gt;0,"S","N")</f>
        <v>N</v>
      </c>
      <c r="B1190" s="599">
        <v>1064835</v>
      </c>
      <c r="C1190" s="599" t="s">
        <v>1507</v>
      </c>
      <c r="D1190" s="118" t="s">
        <v>1338</v>
      </c>
      <c r="E1190" s="917" t="s">
        <v>1508</v>
      </c>
      <c r="F1190" s="848" t="s">
        <v>1437</v>
      </c>
      <c r="G1190" s="40"/>
      <c r="H1190" s="600" t="s">
        <v>37</v>
      </c>
      <c r="I1190" s="504">
        <v>0</v>
      </c>
      <c r="J1190" s="849" t="str">
        <f t="shared" ref="J1190" si="4634">IFERROR((I1191/I1190),"-")</f>
        <v>-</v>
      </c>
      <c r="K1190" s="40"/>
      <c r="L1190" s="600" t="s">
        <v>37</v>
      </c>
      <c r="M1190" s="504">
        <f t="shared" si="4363"/>
        <v>0</v>
      </c>
      <c r="N1190" s="849" t="str">
        <f t="shared" ref="N1190" si="4635">IFERROR((M1191/M1190),"-")</f>
        <v>-</v>
      </c>
      <c r="O1190" s="40"/>
      <c r="P1190" s="601">
        <v>0</v>
      </c>
      <c r="Q1190" s="601">
        <v>0</v>
      </c>
      <c r="R1190" s="601">
        <v>0</v>
      </c>
      <c r="S1190" s="601">
        <v>0</v>
      </c>
      <c r="T1190" s="601">
        <v>0</v>
      </c>
      <c r="U1190" s="601">
        <v>0</v>
      </c>
      <c r="V1190" s="602">
        <v>0</v>
      </c>
      <c r="W1190" s="40"/>
      <c r="X1190" s="504">
        <f t="shared" si="4357"/>
        <v>0</v>
      </c>
      <c r="Y1190" s="849" t="str">
        <f t="shared" ref="Y1190" si="4636">IFERROR((X1191/X1190),"0")</f>
        <v>0</v>
      </c>
      <c r="Z1190" s="40"/>
      <c r="AA1190" s="855">
        <v>0</v>
      </c>
      <c r="AB1190" s="855">
        <v>0</v>
      </c>
      <c r="AC1190" s="858">
        <v>0</v>
      </c>
      <c r="AD1190" s="849" t="str">
        <f t="shared" ref="AD1190" si="4637">IFERROR((AC1190/AB1190),"-")</f>
        <v>-</v>
      </c>
      <c r="AE1190" s="40"/>
      <c r="AF1190" s="855">
        <v>1</v>
      </c>
      <c r="AG1190" s="855"/>
      <c r="AH1190" s="858">
        <v>0</v>
      </c>
      <c r="AI1190" s="855"/>
      <c r="AJ1190" s="855"/>
      <c r="AK1190" s="855">
        <f t="shared" ref="AK1190" si="4638">AF1190+AG1190+AH1190+AI1190+AJ1190+AC1190</f>
        <v>1</v>
      </c>
      <c r="AL1190" s="855">
        <v>1.02</v>
      </c>
      <c r="AM1190" s="849">
        <f t="shared" ref="AM1190" si="4639">IFERROR((AK1190/AL1190),"-")</f>
        <v>0.98039215686274506</v>
      </c>
      <c r="AN1190" s="40"/>
      <c r="AO1190" s="855">
        <v>1</v>
      </c>
      <c r="AP1190" s="855">
        <f t="shared" ref="AP1190" si="4640">AO1190-AK1190</f>
        <v>0</v>
      </c>
      <c r="AV1190" t="str">
        <f t="shared" si="4514"/>
        <v>BDCC no Km 155+722 - Aterro 03</v>
      </c>
      <c r="AW1190" s="4" t="str">
        <f t="shared" si="4505"/>
        <v>2.4-BST PEAD DN 0,80m - Km 0+292 - acesso acesso km 132+060 LE - Bueiro de PEAD - LE</v>
      </c>
    </row>
    <row r="1191" spans="1:49" ht="15.6" customHeight="1" outlineLevel="2">
      <c r="A1191" s="598" t="str">
        <f t="shared" ref="A1191" si="4641">A1190</f>
        <v>N</v>
      </c>
      <c r="B1191" s="599"/>
      <c r="C1191" s="599"/>
      <c r="D1191" s="118" t="s">
        <v>1444</v>
      </c>
      <c r="E1191" s="918"/>
      <c r="F1191" s="848"/>
      <c r="G1191" s="40"/>
      <c r="H1191" s="603" t="s">
        <v>38</v>
      </c>
      <c r="I1191" s="504">
        <v>0</v>
      </c>
      <c r="J1191" s="850"/>
      <c r="K1191" s="40"/>
      <c r="L1191" s="603" t="s">
        <v>38</v>
      </c>
      <c r="M1191" s="504">
        <f t="shared" si="4363"/>
        <v>0</v>
      </c>
      <c r="N1191" s="850"/>
      <c r="O1191" s="40"/>
      <c r="P1191" s="602">
        <v>0</v>
      </c>
      <c r="Q1191" s="602">
        <v>0</v>
      </c>
      <c r="R1191" s="602">
        <v>0</v>
      </c>
      <c r="S1191" s="602">
        <v>0</v>
      </c>
      <c r="T1191" s="602">
        <v>0</v>
      </c>
      <c r="U1191" s="602">
        <v>0</v>
      </c>
      <c r="V1191" s="602">
        <v>0</v>
      </c>
      <c r="W1191" s="40"/>
      <c r="X1191" s="504">
        <f t="shared" si="4357"/>
        <v>0</v>
      </c>
      <c r="Y1191" s="850"/>
      <c r="Z1191" s="40"/>
      <c r="AA1191" s="856"/>
      <c r="AB1191" s="856"/>
      <c r="AC1191" s="857"/>
      <c r="AD1191" s="920"/>
      <c r="AE1191" s="40"/>
      <c r="AF1191" s="856"/>
      <c r="AG1191" s="856"/>
      <c r="AH1191" s="857"/>
      <c r="AI1191" s="856"/>
      <c r="AJ1191" s="856"/>
      <c r="AK1191" s="856"/>
      <c r="AL1191" s="856"/>
      <c r="AM1191" s="850"/>
      <c r="AN1191" s="40"/>
      <c r="AO1191" s="882"/>
      <c r="AP1191" s="882"/>
      <c r="AV1191" t="str">
        <f t="shared" si="4514"/>
        <v>BDCC no Km 155+722 - Aterro 03</v>
      </c>
      <c r="AW1191" s="4" t="str">
        <f t="shared" si="4505"/>
        <v>2.4-BST PEAD DN 0,80m - Km 0+292 - acesso acesso km 132+060 LE - Bueiro de PEAD - LE</v>
      </c>
    </row>
    <row r="1192" spans="1:49" ht="15.6" customHeight="1" outlineLevel="1">
      <c r="A1192" s="598" t="str">
        <f t="shared" ref="A1192" si="4642">IF(SUM(P1192:V1193)&gt;0,"S","N")</f>
        <v>N</v>
      </c>
      <c r="B1192" s="599">
        <v>1064836</v>
      </c>
      <c r="C1192" s="599" t="s">
        <v>1509</v>
      </c>
      <c r="D1192" s="118" t="s">
        <v>1338</v>
      </c>
      <c r="E1192" s="917" t="s">
        <v>1510</v>
      </c>
      <c r="F1192" s="848" t="s">
        <v>1437</v>
      </c>
      <c r="G1192" s="40"/>
      <c r="H1192" s="600" t="s">
        <v>37</v>
      </c>
      <c r="I1192" s="504">
        <v>0</v>
      </c>
      <c r="J1192" s="849" t="str">
        <f t="shared" ref="J1192" si="4643">IFERROR((I1193/I1192),"-")</f>
        <v>-</v>
      </c>
      <c r="K1192" s="40"/>
      <c r="L1192" s="600" t="s">
        <v>37</v>
      </c>
      <c r="M1192" s="504">
        <f t="shared" si="4363"/>
        <v>0</v>
      </c>
      <c r="N1192" s="849" t="str">
        <f t="shared" ref="N1192" si="4644">IFERROR((M1193/M1192),"-")</f>
        <v>-</v>
      </c>
      <c r="O1192" s="40"/>
      <c r="P1192" s="601">
        <v>0</v>
      </c>
      <c r="Q1192" s="601">
        <v>0</v>
      </c>
      <c r="R1192" s="601">
        <v>0</v>
      </c>
      <c r="S1192" s="601">
        <v>0</v>
      </c>
      <c r="T1192" s="601">
        <v>0</v>
      </c>
      <c r="U1192" s="601">
        <v>0</v>
      </c>
      <c r="V1192" s="602">
        <v>0</v>
      </c>
      <c r="W1192" s="40"/>
      <c r="X1192" s="504">
        <f t="shared" si="4357"/>
        <v>0</v>
      </c>
      <c r="Y1192" s="849" t="str">
        <f t="shared" ref="Y1192" si="4645">IFERROR((X1193/X1192),"0")</f>
        <v>0</v>
      </c>
      <c r="Z1192" s="40"/>
      <c r="AA1192" s="855">
        <v>0</v>
      </c>
      <c r="AB1192" s="855">
        <v>0</v>
      </c>
      <c r="AC1192" s="858">
        <v>0</v>
      </c>
      <c r="AD1192" s="849" t="str">
        <f t="shared" ref="AD1192" si="4646">IFERROR((AC1192/AB1192),"-")</f>
        <v>-</v>
      </c>
      <c r="AE1192" s="40"/>
      <c r="AF1192" s="855">
        <v>1</v>
      </c>
      <c r="AG1192" s="855"/>
      <c r="AH1192" s="858">
        <v>0</v>
      </c>
      <c r="AI1192" s="855"/>
      <c r="AJ1192" s="855"/>
      <c r="AK1192" s="855">
        <f t="shared" ref="AK1192" si="4647">AF1192+AG1192+AH1192+AI1192+AJ1192+AC1192</f>
        <v>1</v>
      </c>
      <c r="AL1192" s="855">
        <v>1.02</v>
      </c>
      <c r="AM1192" s="849">
        <f t="shared" ref="AM1192" si="4648">IFERROR((AK1192/AL1192),"-")</f>
        <v>0.98039215686274506</v>
      </c>
      <c r="AN1192" s="40"/>
      <c r="AO1192" s="855">
        <v>1</v>
      </c>
      <c r="AP1192" s="855">
        <f t="shared" ref="AP1192" si="4649">AO1192-AK1192</f>
        <v>0</v>
      </c>
      <c r="AV1192" t="str">
        <f t="shared" si="4514"/>
        <v>BDCC no Km 155+722 - Aterro 03</v>
      </c>
      <c r="AW1192" s="4" t="str">
        <f t="shared" si="4505"/>
        <v>2.4-BST PEAD DN 0,80m - Km 0+292 - acesso acesso km 132+060 LE - Bueiro de PEAD - LD</v>
      </c>
    </row>
    <row r="1193" spans="1:49" ht="15.6" customHeight="1" outlineLevel="1">
      <c r="A1193" s="598" t="str">
        <f t="shared" ref="A1193" si="4650">A1192</f>
        <v>N</v>
      </c>
      <c r="B1193" s="599"/>
      <c r="C1193" s="599"/>
      <c r="D1193" s="118" t="s">
        <v>1441</v>
      </c>
      <c r="E1193" s="918"/>
      <c r="F1193" s="848"/>
      <c r="G1193" s="40"/>
      <c r="H1193" s="603" t="s">
        <v>38</v>
      </c>
      <c r="I1193" s="504">
        <v>0</v>
      </c>
      <c r="J1193" s="850"/>
      <c r="K1193" s="40"/>
      <c r="L1193" s="603" t="s">
        <v>38</v>
      </c>
      <c r="M1193" s="504">
        <f t="shared" si="4363"/>
        <v>0</v>
      </c>
      <c r="N1193" s="850"/>
      <c r="O1193" s="40"/>
      <c r="P1193" s="602">
        <v>0</v>
      </c>
      <c r="Q1193" s="602">
        <v>0</v>
      </c>
      <c r="R1193" s="602">
        <v>0</v>
      </c>
      <c r="S1193" s="602">
        <v>0</v>
      </c>
      <c r="T1193" s="602">
        <v>0</v>
      </c>
      <c r="U1193" s="602">
        <v>0</v>
      </c>
      <c r="V1193" s="602">
        <v>0</v>
      </c>
      <c r="W1193" s="40"/>
      <c r="X1193" s="504">
        <f t="shared" si="4357"/>
        <v>0</v>
      </c>
      <c r="Y1193" s="850"/>
      <c r="Z1193" s="40"/>
      <c r="AA1193" s="856"/>
      <c r="AB1193" s="856"/>
      <c r="AC1193" s="857"/>
      <c r="AD1193" s="920"/>
      <c r="AE1193" s="40"/>
      <c r="AF1193" s="856"/>
      <c r="AG1193" s="856"/>
      <c r="AH1193" s="857"/>
      <c r="AI1193" s="856"/>
      <c r="AJ1193" s="856"/>
      <c r="AK1193" s="856"/>
      <c r="AL1193" s="856"/>
      <c r="AM1193" s="850"/>
      <c r="AN1193" s="40"/>
      <c r="AO1193" s="882"/>
      <c r="AP1193" s="882"/>
      <c r="AV1193" t="str">
        <f t="shared" si="4514"/>
        <v>BDCC no Km 155+722 - Aterro 03</v>
      </c>
      <c r="AW1193" s="4" t="str">
        <f t="shared" si="4505"/>
        <v>2.4-BST PEAD DN 0,80m - Km 0+292 - acesso acesso km 132+060 LE - Bueiro de PEAD - LD</v>
      </c>
    </row>
    <row r="1194" spans="1:49" ht="15.6" customHeight="1" outlineLevel="1">
      <c r="A1194" s="598" t="str">
        <f t="shared" ref="A1194" si="4651">IF(SUM(P1194:V1195)&gt;0,"S","N")</f>
        <v>N</v>
      </c>
      <c r="B1194" s="599">
        <v>1064841</v>
      </c>
      <c r="C1194" s="599" t="s">
        <v>1511</v>
      </c>
      <c r="D1194" s="118" t="s">
        <v>1340</v>
      </c>
      <c r="E1194" s="917" t="s">
        <v>1512</v>
      </c>
      <c r="F1194" s="848" t="s">
        <v>1437</v>
      </c>
      <c r="G1194" s="40"/>
      <c r="H1194" s="600" t="s">
        <v>37</v>
      </c>
      <c r="I1194" s="504">
        <v>0</v>
      </c>
      <c r="J1194" s="849" t="str">
        <f t="shared" ref="J1194" si="4652">IFERROR((I1195/I1194),"-")</f>
        <v>-</v>
      </c>
      <c r="K1194" s="40"/>
      <c r="L1194" s="600" t="s">
        <v>37</v>
      </c>
      <c r="M1194" s="504">
        <f t="shared" ref="M1194:M1197" si="4653">_xlfn.XLOOKUP($N$8,$P$8:$V$8,$P1194:$V1194)</f>
        <v>0</v>
      </c>
      <c r="N1194" s="849" t="str">
        <f t="shared" ref="N1194" si="4654">IFERROR((M1195/M1194),"-")</f>
        <v>-</v>
      </c>
      <c r="O1194" s="40"/>
      <c r="P1194" s="601">
        <v>0</v>
      </c>
      <c r="Q1194" s="601">
        <v>0</v>
      </c>
      <c r="R1194" s="601">
        <v>0</v>
      </c>
      <c r="S1194" s="601">
        <v>0</v>
      </c>
      <c r="T1194" s="601">
        <v>0</v>
      </c>
      <c r="U1194" s="601">
        <v>0</v>
      </c>
      <c r="V1194" s="602">
        <v>0</v>
      </c>
      <c r="W1194" s="40"/>
      <c r="X1194" s="504">
        <f t="shared" si="4357"/>
        <v>0</v>
      </c>
      <c r="Y1194" s="849" t="str">
        <f t="shared" ref="Y1194" si="4655">IFERROR((X1195/X1194),"0")</f>
        <v>0</v>
      </c>
      <c r="Z1194" s="40"/>
      <c r="AA1194" s="855">
        <v>0</v>
      </c>
      <c r="AB1194" s="855">
        <v>0</v>
      </c>
      <c r="AC1194" s="858">
        <v>0</v>
      </c>
      <c r="AD1194" s="849" t="str">
        <f t="shared" ref="AD1194" si="4656">IFERROR((AC1194/AB1194),"-")</f>
        <v>-</v>
      </c>
      <c r="AE1194" s="40"/>
      <c r="AF1194" s="855">
        <v>0</v>
      </c>
      <c r="AG1194" s="855"/>
      <c r="AH1194" s="858">
        <v>0</v>
      </c>
      <c r="AI1194" s="855"/>
      <c r="AJ1194" s="855"/>
      <c r="AK1194" s="855">
        <f t="shared" ref="AK1194" si="4657">AF1194+AG1194+AH1194+AI1194+AJ1194+AC1194</f>
        <v>0</v>
      </c>
      <c r="AL1194" s="855">
        <v>0</v>
      </c>
      <c r="AM1194" s="849" t="str">
        <f t="shared" ref="AM1194" si="4658">IFERROR((AK1194/AL1194),"-")</f>
        <v>-</v>
      </c>
      <c r="AN1194" s="40"/>
      <c r="AO1194" s="855">
        <v>1</v>
      </c>
      <c r="AP1194" s="855">
        <f t="shared" ref="AP1194" si="4659">AO1194-AK1194</f>
        <v>1</v>
      </c>
      <c r="AV1194" t="str">
        <f t="shared" si="4514"/>
        <v>BDCC no Km 155+722 - Aterro 03</v>
      </c>
      <c r="AW1194" s="4" t="str">
        <f t="shared" si="4505"/>
        <v>2.4-BST PEAD DN 0,80m - Km 0+153 - acesso km 137+500 LD - Bueiro de PEAD - LE</v>
      </c>
    </row>
    <row r="1195" spans="1:49" ht="15.6" customHeight="1" outlineLevel="2">
      <c r="A1195" s="598" t="str">
        <f t="shared" ref="A1195" si="4660">A1194</f>
        <v>N</v>
      </c>
      <c r="B1195" s="599"/>
      <c r="C1195" s="599"/>
      <c r="D1195" s="118" t="s">
        <v>1444</v>
      </c>
      <c r="E1195" s="918"/>
      <c r="F1195" s="848"/>
      <c r="G1195" s="40"/>
      <c r="H1195" s="603" t="s">
        <v>38</v>
      </c>
      <c r="I1195" s="504">
        <v>0</v>
      </c>
      <c r="J1195" s="850"/>
      <c r="K1195" s="40"/>
      <c r="L1195" s="603" t="s">
        <v>38</v>
      </c>
      <c r="M1195" s="504">
        <f t="shared" si="4653"/>
        <v>0</v>
      </c>
      <c r="N1195" s="850"/>
      <c r="O1195" s="40"/>
      <c r="P1195" s="602">
        <v>0</v>
      </c>
      <c r="Q1195" s="602">
        <v>0</v>
      </c>
      <c r="R1195" s="602">
        <v>0</v>
      </c>
      <c r="S1195" s="602">
        <v>0</v>
      </c>
      <c r="T1195" s="602">
        <v>0</v>
      </c>
      <c r="U1195" s="602">
        <v>0</v>
      </c>
      <c r="V1195" s="602">
        <v>0</v>
      </c>
      <c r="W1195" s="40"/>
      <c r="X1195" s="504">
        <f t="shared" si="4357"/>
        <v>0</v>
      </c>
      <c r="Y1195" s="850"/>
      <c r="Z1195" s="40"/>
      <c r="AA1195" s="856"/>
      <c r="AB1195" s="856"/>
      <c r="AC1195" s="857"/>
      <c r="AD1195" s="920"/>
      <c r="AE1195" s="40"/>
      <c r="AF1195" s="856"/>
      <c r="AG1195" s="856"/>
      <c r="AH1195" s="857"/>
      <c r="AI1195" s="856"/>
      <c r="AJ1195" s="856"/>
      <c r="AK1195" s="856"/>
      <c r="AL1195" s="856"/>
      <c r="AM1195" s="850"/>
      <c r="AN1195" s="40"/>
      <c r="AO1195" s="882"/>
      <c r="AP1195" s="882"/>
      <c r="AV1195" t="str">
        <f t="shared" si="4514"/>
        <v>BDCC no Km 155+722 - Aterro 03</v>
      </c>
      <c r="AW1195" s="4" t="str">
        <f t="shared" si="4505"/>
        <v>2.4-BST PEAD DN 0,80m - Km 0+153 - acesso km 137+500 LD - Bueiro de PEAD - LE</v>
      </c>
    </row>
    <row r="1196" spans="1:49" ht="15.6" customHeight="1" outlineLevel="2">
      <c r="A1196" s="598" t="str">
        <f t="shared" ref="A1196" si="4661">IF(SUM(P1196:V1197)&gt;0,"S","N")</f>
        <v>N</v>
      </c>
      <c r="B1196" s="599">
        <v>1064842</v>
      </c>
      <c r="C1196" s="599" t="s">
        <v>1513</v>
      </c>
      <c r="D1196" s="118" t="s">
        <v>1340</v>
      </c>
      <c r="E1196" s="917" t="s">
        <v>1514</v>
      </c>
      <c r="F1196" s="848" t="s">
        <v>1437</v>
      </c>
      <c r="G1196" s="40"/>
      <c r="H1196" s="600" t="s">
        <v>37</v>
      </c>
      <c r="I1196" s="504">
        <v>0</v>
      </c>
      <c r="J1196" s="849" t="str">
        <f t="shared" ref="J1196" si="4662">IFERROR((I1197/I1196),"-")</f>
        <v>-</v>
      </c>
      <c r="K1196" s="40"/>
      <c r="L1196" s="600" t="s">
        <v>37</v>
      </c>
      <c r="M1196" s="504">
        <f t="shared" si="4653"/>
        <v>0</v>
      </c>
      <c r="N1196" s="849" t="str">
        <f t="shared" ref="N1196" si="4663">IFERROR((M1197/M1196),"-")</f>
        <v>-</v>
      </c>
      <c r="O1196" s="40"/>
      <c r="P1196" s="601">
        <v>0</v>
      </c>
      <c r="Q1196" s="601">
        <v>0</v>
      </c>
      <c r="R1196" s="601">
        <v>0</v>
      </c>
      <c r="S1196" s="601">
        <v>0</v>
      </c>
      <c r="T1196" s="601">
        <v>0</v>
      </c>
      <c r="U1196" s="601">
        <v>0</v>
      </c>
      <c r="V1196" s="602">
        <v>0</v>
      </c>
      <c r="W1196" s="40"/>
      <c r="X1196" s="504">
        <f t="shared" si="4357"/>
        <v>0</v>
      </c>
      <c r="Y1196" s="849" t="str">
        <f t="shared" ref="Y1196" si="4664">IFERROR((X1197/X1196),"0")</f>
        <v>0</v>
      </c>
      <c r="Z1196" s="40"/>
      <c r="AA1196" s="855">
        <v>0</v>
      </c>
      <c r="AB1196" s="855">
        <v>0</v>
      </c>
      <c r="AC1196" s="858">
        <v>0</v>
      </c>
      <c r="AD1196" s="849" t="str">
        <f t="shared" ref="AD1196" si="4665">IFERROR((AC1196/AB1196),"-")</f>
        <v>-</v>
      </c>
      <c r="AE1196" s="40"/>
      <c r="AF1196" s="855">
        <v>0</v>
      </c>
      <c r="AG1196" s="855"/>
      <c r="AH1196" s="858">
        <v>0</v>
      </c>
      <c r="AI1196" s="855"/>
      <c r="AJ1196" s="855"/>
      <c r="AK1196" s="855">
        <f t="shared" ref="AK1196" si="4666">AF1196+AG1196+AH1196+AI1196+AJ1196+AC1196</f>
        <v>0</v>
      </c>
      <c r="AL1196" s="855">
        <v>0</v>
      </c>
      <c r="AM1196" s="849" t="str">
        <f t="shared" ref="AM1196" si="4667">IFERROR((AK1196/AL1196),"-")</f>
        <v>-</v>
      </c>
      <c r="AN1196" s="40"/>
      <c r="AO1196" s="855">
        <v>1</v>
      </c>
      <c r="AP1196" s="855">
        <f t="shared" ref="AP1196" si="4668">AO1196-AK1196</f>
        <v>1</v>
      </c>
      <c r="AV1196" t="str">
        <f t="shared" si="4514"/>
        <v>BDCC no Km 155+722 - Aterro 03</v>
      </c>
      <c r="AW1196" s="4" t="str">
        <f t="shared" si="4505"/>
        <v>2.4-BST PEAD DN 0,80m - Km 0+153 - acesso km 137+500 LD - Bueiro de PEAD - LD</v>
      </c>
    </row>
    <row r="1197" spans="1:49" ht="15.6" customHeight="1" outlineLevel="2">
      <c r="A1197" s="598" t="str">
        <f t="shared" ref="A1197" si="4669">A1196</f>
        <v>N</v>
      </c>
      <c r="B1197" s="599"/>
      <c r="C1197" s="599"/>
      <c r="D1197" s="118" t="s">
        <v>1441</v>
      </c>
      <c r="E1197" s="918"/>
      <c r="F1197" s="848"/>
      <c r="G1197" s="40"/>
      <c r="H1197" s="603" t="s">
        <v>38</v>
      </c>
      <c r="I1197" s="504">
        <v>0</v>
      </c>
      <c r="J1197" s="850"/>
      <c r="K1197" s="40"/>
      <c r="L1197" s="603" t="s">
        <v>38</v>
      </c>
      <c r="M1197" s="504">
        <f t="shared" si="4653"/>
        <v>0</v>
      </c>
      <c r="N1197" s="850"/>
      <c r="O1197" s="40"/>
      <c r="P1197" s="602">
        <v>0</v>
      </c>
      <c r="Q1197" s="602">
        <v>0</v>
      </c>
      <c r="R1197" s="602">
        <v>0</v>
      </c>
      <c r="S1197" s="602">
        <v>0</v>
      </c>
      <c r="T1197" s="602">
        <v>0</v>
      </c>
      <c r="U1197" s="602">
        <v>0</v>
      </c>
      <c r="V1197" s="602">
        <v>0</v>
      </c>
      <c r="W1197" s="40"/>
      <c r="X1197" s="504">
        <f t="shared" si="4357"/>
        <v>0</v>
      </c>
      <c r="Y1197" s="850"/>
      <c r="Z1197" s="40"/>
      <c r="AA1197" s="856"/>
      <c r="AB1197" s="856"/>
      <c r="AC1197" s="857"/>
      <c r="AD1197" s="920"/>
      <c r="AE1197" s="40"/>
      <c r="AF1197" s="880"/>
      <c r="AG1197" s="880"/>
      <c r="AH1197" s="857"/>
      <c r="AI1197" s="880"/>
      <c r="AJ1197" s="880"/>
      <c r="AK1197" s="856"/>
      <c r="AL1197" s="856"/>
      <c r="AM1197" s="850"/>
      <c r="AN1197" s="40"/>
      <c r="AO1197" s="882"/>
      <c r="AP1197" s="882"/>
      <c r="AV1197" t="str">
        <f t="shared" si="4514"/>
        <v>BDCC no Km 155+722 - Aterro 03</v>
      </c>
      <c r="AW1197" s="4" t="str">
        <f t="shared" si="4505"/>
        <v>2.4-BST PEAD DN 0,80m - Km 0+153 - acesso km 137+500 LD - Bueiro de PEAD - LD</v>
      </c>
    </row>
    <row r="1198" spans="1:49" ht="15.6" customHeight="1" outlineLevel="2">
      <c r="A1198" s="209">
        <v>0</v>
      </c>
      <c r="B1198" s="150"/>
      <c r="C1198" s="150"/>
      <c r="D1198" s="120"/>
      <c r="E1198" s="535"/>
      <c r="F1198" s="536"/>
      <c r="G1198" s="537"/>
      <c r="H1198" s="714"/>
      <c r="I1198" s="576"/>
      <c r="J1198" s="714"/>
      <c r="K1198" s="537"/>
      <c r="L1198" s="714"/>
      <c r="M1198" s="571"/>
      <c r="N1198" s="714"/>
      <c r="O1198" s="714"/>
      <c r="P1198" s="714"/>
      <c r="Q1198" s="714"/>
      <c r="R1198" s="714"/>
      <c r="S1198" s="714"/>
      <c r="T1198" s="714"/>
      <c r="U1198" s="714"/>
      <c r="V1198" s="714"/>
      <c r="W1198" s="537"/>
      <c r="X1198" s="540"/>
      <c r="Y1198" s="537"/>
      <c r="Z1198" s="537"/>
      <c r="AA1198" s="249"/>
      <c r="AB1198" s="249"/>
      <c r="AC1198" s="249"/>
      <c r="AD1198" s="537"/>
      <c r="AE1198" s="3"/>
      <c r="AF1198" s="35"/>
      <c r="AG1198" s="35"/>
      <c r="AH1198" s="35"/>
      <c r="AI1198" s="35"/>
      <c r="AJ1198" s="35"/>
      <c r="AK1198" s="35"/>
      <c r="AL1198" s="35"/>
      <c r="AM1198" s="3"/>
      <c r="AN1198" s="3"/>
      <c r="AO1198" s="35"/>
      <c r="AP1198" s="35"/>
      <c r="AV1198" t="str">
        <f t="shared" si="4514"/>
        <v>BDCC no Km 155+722 - Aterro 03</v>
      </c>
      <c r="AW1198" s="4" t="str">
        <f t="shared" si="4505"/>
        <v>2.4-BST PEAD DN 0,80m - Km 0+153 - acesso km 137+500 LD - Bueiro de PEAD - LD</v>
      </c>
    </row>
    <row r="1199" spans="1:49" ht="15.6" customHeight="1" outlineLevel="2">
      <c r="A1199" s="525">
        <v>0</v>
      </c>
      <c r="B1199" s="526"/>
      <c r="C1199" s="526"/>
      <c r="D1199" s="527"/>
      <c r="E1199" s="923" t="s">
        <v>44</v>
      </c>
      <c r="F1199" s="868" t="s">
        <v>1437</v>
      </c>
      <c r="G1199" s="528"/>
      <c r="H1199" s="542" t="s">
        <v>37</v>
      </c>
      <c r="I1199" s="543">
        <f>SUMIF($L1201:$L1356,$L1199,I1201:I1356)</f>
        <v>8</v>
      </c>
      <c r="J1199" s="860">
        <f>IFERROR((I1200/I1199),"-")</f>
        <v>0</v>
      </c>
      <c r="K1199" s="528"/>
      <c r="L1199" s="542" t="s">
        <v>37</v>
      </c>
      <c r="M1199" s="543">
        <f>SUMIF($L1201:$L1356,$L1199,M1201:M1356)</f>
        <v>1</v>
      </c>
      <c r="N1199" s="860">
        <f>IFERROR((M1200/M1199),"-")</f>
        <v>0</v>
      </c>
      <c r="O1199" s="528"/>
      <c r="P1199" s="543">
        <f t="shared" ref="P1199:U1199" si="4670">SUMIF($L1201:$L1356,$L1199,P1201:P1356)</f>
        <v>1</v>
      </c>
      <c r="Q1199" s="543">
        <f t="shared" si="4670"/>
        <v>1</v>
      </c>
      <c r="R1199" s="543">
        <f t="shared" si="4670"/>
        <v>2</v>
      </c>
      <c r="S1199" s="543">
        <f t="shared" si="4670"/>
        <v>1</v>
      </c>
      <c r="T1199" s="543">
        <f t="shared" si="4670"/>
        <v>0</v>
      </c>
      <c r="U1199" s="543">
        <f t="shared" si="4670"/>
        <v>0</v>
      </c>
      <c r="V1199" s="543"/>
      <c r="W1199" s="528"/>
      <c r="X1199" s="543">
        <f t="shared" ref="X1199:X1271" si="4671">SUMIFS(P1199:V1199,$P$8:$V$8,"&gt;="&amp;$P$8,$P$8:$V$8,"&lt;="&amp;$N$8)</f>
        <v>2</v>
      </c>
      <c r="Y1199" s="860">
        <f>IFERROR((X1200/X1199),"-")</f>
        <v>0.5</v>
      </c>
      <c r="Z1199" s="528"/>
      <c r="AA1199" s="814">
        <f t="shared" ref="AA1199:AC1199" si="4672">SUM(AA1201:AA1360)</f>
        <v>6</v>
      </c>
      <c r="AB1199" s="814">
        <f t="shared" si="4672"/>
        <v>5</v>
      </c>
      <c r="AC1199" s="814">
        <f t="shared" si="4672"/>
        <v>5</v>
      </c>
      <c r="AD1199" s="900">
        <f t="shared" ref="AD1199" si="4673">IFERROR((AC1199/AB1199),"-")</f>
        <v>1</v>
      </c>
      <c r="AE1199" s="528"/>
      <c r="AF1199" s="814">
        <f t="shared" ref="AF1199:AL1199" si="4674">SUM(AF1201:AF1360)</f>
        <v>40</v>
      </c>
      <c r="AG1199" s="814">
        <f t="shared" si="4674"/>
        <v>0</v>
      </c>
      <c r="AH1199" s="814">
        <f t="shared" si="4674"/>
        <v>0</v>
      </c>
      <c r="AI1199" s="814">
        <f t="shared" si="4674"/>
        <v>3</v>
      </c>
      <c r="AJ1199" s="814">
        <f t="shared" ref="AJ1199" si="4675">SUM(AJ1201:AJ1360)</f>
        <v>2</v>
      </c>
      <c r="AK1199" s="814">
        <f t="shared" si="4674"/>
        <v>50</v>
      </c>
      <c r="AL1199" s="814">
        <f t="shared" si="4674"/>
        <v>56.2</v>
      </c>
      <c r="AM1199" s="860">
        <f>IFERROR((AK1199/AL1199),"-")</f>
        <v>0.88967971530249101</v>
      </c>
      <c r="AN1199" s="528"/>
      <c r="AO1199" s="814">
        <f>SUM(AO1201:AO1360)</f>
        <v>73</v>
      </c>
      <c r="AP1199" s="814">
        <f>SUM(AP1201:AP1360)</f>
        <v>23</v>
      </c>
      <c r="AV1199" t="str">
        <f t="shared" si="4514"/>
        <v>BDCC no Km 155+722 - Aterro 03</v>
      </c>
      <c r="AW1199" s="4" t="str">
        <f t="shared" si="4505"/>
        <v>Pacote 05 - Segmento 2.5 - 138+160 a 153+420</v>
      </c>
    </row>
    <row r="1200" spans="1:49" ht="15.6" customHeight="1" outlineLevel="2">
      <c r="A1200" s="525">
        <v>0</v>
      </c>
      <c r="B1200" s="526"/>
      <c r="C1200" s="526"/>
      <c r="D1200" s="527"/>
      <c r="E1200" s="923"/>
      <c r="F1200" s="869"/>
      <c r="G1200" s="528"/>
      <c r="H1200" s="544" t="s">
        <v>38</v>
      </c>
      <c r="I1200" s="543">
        <f>SUMIF($L1202:$L1356,$L1200,I1202:I1356)</f>
        <v>0</v>
      </c>
      <c r="J1200" s="861"/>
      <c r="K1200" s="528"/>
      <c r="L1200" s="544" t="s">
        <v>38</v>
      </c>
      <c r="M1200" s="543">
        <f>SUMIF($L1202:$L1356,$L1200,M1202:M1356)</f>
        <v>0</v>
      </c>
      <c r="N1200" s="861"/>
      <c r="O1200" s="528"/>
      <c r="P1200" s="543">
        <f t="shared" ref="P1200:U1200" si="4676">SUMIF($L1202:$L1356,$L1200,P1202:P1356)</f>
        <v>1</v>
      </c>
      <c r="Q1200" s="543">
        <f t="shared" si="4676"/>
        <v>0</v>
      </c>
      <c r="R1200" s="543">
        <f t="shared" si="4676"/>
        <v>0</v>
      </c>
      <c r="S1200" s="543">
        <f t="shared" si="4676"/>
        <v>0</v>
      </c>
      <c r="T1200" s="543">
        <f t="shared" si="4676"/>
        <v>0</v>
      </c>
      <c r="U1200" s="543">
        <f t="shared" si="4676"/>
        <v>0</v>
      </c>
      <c r="V1200" s="543"/>
      <c r="W1200" s="528"/>
      <c r="X1200" s="543">
        <f t="shared" si="4671"/>
        <v>1</v>
      </c>
      <c r="Y1200" s="861"/>
      <c r="Z1200" s="528"/>
      <c r="AA1200" s="815"/>
      <c r="AB1200" s="815"/>
      <c r="AC1200" s="815"/>
      <c r="AD1200" s="901"/>
      <c r="AE1200" s="528"/>
      <c r="AF1200" s="815"/>
      <c r="AG1200" s="815"/>
      <c r="AH1200" s="815"/>
      <c r="AI1200" s="815"/>
      <c r="AJ1200" s="815"/>
      <c r="AK1200" s="815"/>
      <c r="AL1200" s="815"/>
      <c r="AM1200" s="861"/>
      <c r="AN1200" s="528"/>
      <c r="AO1200" s="815"/>
      <c r="AP1200" s="815"/>
      <c r="AV1200" t="str">
        <f t="shared" si="4514"/>
        <v>BDCC no Km 155+722 - Aterro 03</v>
      </c>
      <c r="AW1200" s="4" t="str">
        <f t="shared" si="4505"/>
        <v>Pacote 05 - Segmento 2.5 - 138+160 a 153+420</v>
      </c>
    </row>
    <row r="1201" spans="1:49" ht="15.6" customHeight="1" outlineLevel="2">
      <c r="A1201" s="604" t="str">
        <f t="shared" ref="A1201" si="4677">IF(SUM(P1201:V1202)&gt;0,"S","N")</f>
        <v>N</v>
      </c>
      <c r="B1201" s="599">
        <v>1064296</v>
      </c>
      <c r="C1201" s="599" t="s">
        <v>1515</v>
      </c>
      <c r="D1201" s="118" t="s">
        <v>1516</v>
      </c>
      <c r="E1201" s="917" t="s">
        <v>1517</v>
      </c>
      <c r="F1201" s="848" t="s">
        <v>1437</v>
      </c>
      <c r="G1201" s="40"/>
      <c r="H1201" s="600" t="s">
        <v>37</v>
      </c>
      <c r="I1201" s="504">
        <v>0</v>
      </c>
      <c r="J1201" s="849" t="str">
        <f t="shared" ref="J1201" si="4678">IFERROR((I1202/I1201),"-")</f>
        <v>-</v>
      </c>
      <c r="K1201" s="40"/>
      <c r="L1201" s="600" t="s">
        <v>37</v>
      </c>
      <c r="M1201" s="504">
        <f t="shared" ref="M1201:M1264" si="4679">_xlfn.XLOOKUP($N$8,$P$8:$V$8,$P1201:$V1201)</f>
        <v>0</v>
      </c>
      <c r="N1201" s="849" t="str">
        <f t="shared" ref="N1201" si="4680">IFERROR((M1202/M1201),"-")</f>
        <v>-</v>
      </c>
      <c r="O1201" s="40"/>
      <c r="P1201" s="601">
        <v>0</v>
      </c>
      <c r="Q1201" s="601">
        <v>0</v>
      </c>
      <c r="R1201" s="601">
        <v>0</v>
      </c>
      <c r="S1201" s="601">
        <v>0</v>
      </c>
      <c r="T1201" s="601">
        <v>0</v>
      </c>
      <c r="U1201" s="601">
        <v>0</v>
      </c>
      <c r="V1201" s="602">
        <v>0</v>
      </c>
      <c r="W1201" s="40"/>
      <c r="X1201" s="504">
        <f t="shared" si="4671"/>
        <v>0</v>
      </c>
      <c r="Y1201" s="849" t="str">
        <f t="shared" ref="Y1201" si="4681">IFERROR((X1202/X1201),"0")</f>
        <v>0</v>
      </c>
      <c r="Z1201" s="40"/>
      <c r="AA1201" s="855">
        <v>0</v>
      </c>
      <c r="AB1201" s="855">
        <v>0</v>
      </c>
      <c r="AC1201" s="858">
        <v>0</v>
      </c>
      <c r="AD1201" s="849" t="str">
        <f t="shared" ref="AD1201" si="4682">IFERROR((AC1201/AB1201),"-")</f>
        <v>-</v>
      </c>
      <c r="AE1201" s="40"/>
      <c r="AF1201" s="855">
        <v>1</v>
      </c>
      <c r="AG1201" s="855"/>
      <c r="AH1201" s="858">
        <v>0</v>
      </c>
      <c r="AI1201" s="855"/>
      <c r="AJ1201" s="855"/>
      <c r="AK1201" s="855">
        <f t="shared" ref="AK1201" si="4683">AF1201+AG1201+AH1201+AI1201+AJ1201+AC1201</f>
        <v>1</v>
      </c>
      <c r="AL1201" s="855">
        <v>1.03</v>
      </c>
      <c r="AM1201" s="849">
        <f t="shared" ref="AM1201" si="4684">IFERROR((AK1201/AL1201),"-")</f>
        <v>0.970873786407767</v>
      </c>
      <c r="AN1201" s="40"/>
      <c r="AO1201" s="855">
        <v>1</v>
      </c>
      <c r="AP1201" s="855">
        <f t="shared" ref="AP1201" si="4685">AO1201-AK1201</f>
        <v>0</v>
      </c>
      <c r="AV1201" t="str">
        <f t="shared" si="4514"/>
        <v>BDCC no Km 155+722 - Aterro 03</v>
      </c>
      <c r="AW1201" s="4" t="str">
        <f t="shared" si="4505"/>
        <v>2.5-PG BSCC 2,50 x 2,50 - km 138+555 - Aterro A1 - Bueiro de Concreto - LE</v>
      </c>
    </row>
    <row r="1202" spans="1:49" ht="15.6" customHeight="1" outlineLevel="2">
      <c r="A1202" s="605" t="str">
        <f t="shared" ref="A1202" si="4686">A1201</f>
        <v>N</v>
      </c>
      <c r="B1202" s="599"/>
      <c r="C1202" s="599"/>
      <c r="D1202" s="118" t="s">
        <v>1444</v>
      </c>
      <c r="E1202" s="918"/>
      <c r="F1202" s="848"/>
      <c r="G1202" s="40"/>
      <c r="H1202" s="603" t="s">
        <v>38</v>
      </c>
      <c r="I1202" s="504">
        <v>0</v>
      </c>
      <c r="J1202" s="850"/>
      <c r="K1202" s="40"/>
      <c r="L1202" s="603" t="s">
        <v>38</v>
      </c>
      <c r="M1202" s="504">
        <f t="shared" si="4679"/>
        <v>0</v>
      </c>
      <c r="N1202" s="850"/>
      <c r="O1202" s="40"/>
      <c r="P1202" s="602">
        <v>0</v>
      </c>
      <c r="Q1202" s="602">
        <v>0</v>
      </c>
      <c r="R1202" s="602">
        <v>0</v>
      </c>
      <c r="S1202" s="602">
        <v>0</v>
      </c>
      <c r="T1202" s="602">
        <v>0</v>
      </c>
      <c r="U1202" s="602">
        <v>0</v>
      </c>
      <c r="V1202" s="602">
        <v>0</v>
      </c>
      <c r="W1202" s="40"/>
      <c r="X1202" s="504">
        <f t="shared" si="4671"/>
        <v>0</v>
      </c>
      <c r="Y1202" s="850"/>
      <c r="Z1202" s="40"/>
      <c r="AA1202" s="856"/>
      <c r="AB1202" s="856"/>
      <c r="AC1202" s="857"/>
      <c r="AD1202" s="920"/>
      <c r="AE1202" s="40"/>
      <c r="AF1202" s="856"/>
      <c r="AG1202" s="856"/>
      <c r="AH1202" s="857"/>
      <c r="AI1202" s="856"/>
      <c r="AJ1202" s="856"/>
      <c r="AK1202" s="856"/>
      <c r="AL1202" s="856"/>
      <c r="AM1202" s="850"/>
      <c r="AN1202" s="40"/>
      <c r="AO1202" s="882"/>
      <c r="AP1202" s="882"/>
      <c r="AV1202" t="str">
        <f t="shared" si="4514"/>
        <v>BDCC no Km 155+722 - Aterro 03</v>
      </c>
      <c r="AW1202" s="4" t="str">
        <f t="shared" si="4505"/>
        <v>2.5-PG BSCC 2,50 x 2,50 - km 138+555 - Aterro A1 - Bueiro de Concreto - LE</v>
      </c>
    </row>
    <row r="1203" spans="1:49" ht="15.6" customHeight="1" outlineLevel="2">
      <c r="A1203" s="598" t="str">
        <f t="shared" ref="A1203" si="4687">IF(SUM(P1203:V1204)&gt;0,"S","N")</f>
        <v>N</v>
      </c>
      <c r="B1203" s="599">
        <v>1064297</v>
      </c>
      <c r="C1203" s="599" t="s">
        <v>1518</v>
      </c>
      <c r="D1203" s="118" t="s">
        <v>1516</v>
      </c>
      <c r="E1203" s="917" t="s">
        <v>1519</v>
      </c>
      <c r="F1203" s="848" t="s">
        <v>1437</v>
      </c>
      <c r="G1203" s="40"/>
      <c r="H1203" s="600" t="s">
        <v>37</v>
      </c>
      <c r="I1203" s="504">
        <v>0</v>
      </c>
      <c r="J1203" s="849" t="str">
        <f t="shared" ref="J1203" si="4688">IFERROR((I1204/I1203),"-")</f>
        <v>-</v>
      </c>
      <c r="K1203" s="40"/>
      <c r="L1203" s="600" t="s">
        <v>37</v>
      </c>
      <c r="M1203" s="504">
        <f t="shared" si="4679"/>
        <v>0</v>
      </c>
      <c r="N1203" s="849" t="str">
        <f t="shared" ref="N1203" si="4689">IFERROR((M1204/M1203),"-")</f>
        <v>-</v>
      </c>
      <c r="O1203" s="40"/>
      <c r="P1203" s="601">
        <v>0</v>
      </c>
      <c r="Q1203" s="601">
        <v>0</v>
      </c>
      <c r="R1203" s="601">
        <v>0</v>
      </c>
      <c r="S1203" s="601">
        <v>0</v>
      </c>
      <c r="T1203" s="601">
        <v>0</v>
      </c>
      <c r="U1203" s="601">
        <v>0</v>
      </c>
      <c r="V1203" s="602">
        <v>0</v>
      </c>
      <c r="W1203" s="40"/>
      <c r="X1203" s="504">
        <f t="shared" si="4671"/>
        <v>0</v>
      </c>
      <c r="Y1203" s="849" t="str">
        <f t="shared" ref="Y1203" si="4690">IFERROR((X1204/X1203),"0")</f>
        <v>0</v>
      </c>
      <c r="Z1203" s="40"/>
      <c r="AA1203" s="855">
        <v>0</v>
      </c>
      <c r="AB1203" s="855">
        <v>0</v>
      </c>
      <c r="AC1203" s="858">
        <v>0</v>
      </c>
      <c r="AD1203" s="849" t="str">
        <f t="shared" ref="AD1203" si="4691">IFERROR((AC1203/AB1203),"-")</f>
        <v>-</v>
      </c>
      <c r="AE1203" s="40"/>
      <c r="AF1203" s="855">
        <v>1</v>
      </c>
      <c r="AG1203" s="855"/>
      <c r="AH1203" s="858">
        <v>0</v>
      </c>
      <c r="AI1203" s="855"/>
      <c r="AJ1203" s="855"/>
      <c r="AK1203" s="855">
        <f t="shared" ref="AK1203" si="4692">AF1203+AG1203+AH1203+AI1203+AJ1203+AC1203</f>
        <v>1</v>
      </c>
      <c r="AL1203" s="855">
        <v>1.03</v>
      </c>
      <c r="AM1203" s="849">
        <f t="shared" ref="AM1203" si="4693">IFERROR((AK1203/AL1203),"-")</f>
        <v>0.970873786407767</v>
      </c>
      <c r="AN1203" s="40"/>
      <c r="AO1203" s="855">
        <v>1</v>
      </c>
      <c r="AP1203" s="855">
        <f t="shared" ref="AP1203" si="4694">AO1203-AK1203</f>
        <v>0</v>
      </c>
      <c r="AV1203" t="str">
        <f t="shared" si="4514"/>
        <v>BDCC no Km 155+722 - Aterro 03</v>
      </c>
      <c r="AW1203" s="4" t="str">
        <f t="shared" si="4505"/>
        <v>2.5-PG BSCC 2,50 x 2,50 - km 138+555 - Aterro A1 - Bueiro de Concreto - LD</v>
      </c>
    </row>
    <row r="1204" spans="1:49" ht="15.6" customHeight="1" outlineLevel="2">
      <c r="A1204" s="598" t="str">
        <f t="shared" ref="A1204" si="4695">A1203</f>
        <v>N</v>
      </c>
      <c r="B1204" s="599"/>
      <c r="C1204" s="599"/>
      <c r="D1204" s="118" t="s">
        <v>1441</v>
      </c>
      <c r="E1204" s="918"/>
      <c r="F1204" s="848"/>
      <c r="G1204" s="40"/>
      <c r="H1204" s="603" t="s">
        <v>38</v>
      </c>
      <c r="I1204" s="504">
        <v>0</v>
      </c>
      <c r="J1204" s="850"/>
      <c r="K1204" s="40"/>
      <c r="L1204" s="603" t="s">
        <v>38</v>
      </c>
      <c r="M1204" s="504">
        <f t="shared" si="4679"/>
        <v>0</v>
      </c>
      <c r="N1204" s="850"/>
      <c r="O1204" s="40"/>
      <c r="P1204" s="602">
        <v>0</v>
      </c>
      <c r="Q1204" s="602">
        <v>0</v>
      </c>
      <c r="R1204" s="602">
        <v>0</v>
      </c>
      <c r="S1204" s="602">
        <v>0</v>
      </c>
      <c r="T1204" s="602">
        <v>0</v>
      </c>
      <c r="U1204" s="602">
        <v>0</v>
      </c>
      <c r="V1204" s="602">
        <v>0</v>
      </c>
      <c r="W1204" s="40"/>
      <c r="X1204" s="504">
        <f t="shared" si="4671"/>
        <v>0</v>
      </c>
      <c r="Y1204" s="850"/>
      <c r="Z1204" s="40"/>
      <c r="AA1204" s="856"/>
      <c r="AB1204" s="856"/>
      <c r="AC1204" s="857"/>
      <c r="AD1204" s="920"/>
      <c r="AE1204" s="40"/>
      <c r="AF1204" s="856"/>
      <c r="AG1204" s="856"/>
      <c r="AH1204" s="857"/>
      <c r="AI1204" s="856"/>
      <c r="AJ1204" s="856"/>
      <c r="AK1204" s="856"/>
      <c r="AL1204" s="856"/>
      <c r="AM1204" s="850"/>
      <c r="AN1204" s="40"/>
      <c r="AO1204" s="882"/>
      <c r="AP1204" s="882"/>
      <c r="AV1204" t="str">
        <f t="shared" si="4514"/>
        <v>BDCC no Km 155+722 - Aterro 03</v>
      </c>
      <c r="AW1204" s="4" t="str">
        <f t="shared" si="4505"/>
        <v>2.5-PG BSCC 2,50 x 2,50 - km 138+555 - Aterro A1 - Bueiro de Concreto - LD</v>
      </c>
    </row>
    <row r="1205" spans="1:49" ht="15.6" customHeight="1" outlineLevel="2">
      <c r="A1205" s="598" t="str">
        <f t="shared" ref="A1205" si="4696">IF(SUM(P1205:V1206)&gt;0,"S","N")</f>
        <v>S</v>
      </c>
      <c r="B1205" s="599">
        <v>1064298</v>
      </c>
      <c r="C1205" s="599" t="s">
        <v>1520</v>
      </c>
      <c r="D1205" s="118" t="s">
        <v>1521</v>
      </c>
      <c r="E1205" s="917" t="s">
        <v>1522</v>
      </c>
      <c r="F1205" s="848" t="s">
        <v>1437</v>
      </c>
      <c r="G1205" s="40"/>
      <c r="H1205" s="600" t="s">
        <v>37</v>
      </c>
      <c r="I1205" s="504">
        <v>1</v>
      </c>
      <c r="J1205" s="849">
        <f t="shared" ref="J1205" si="4697">IFERROR((I1206/I1205),"-")</f>
        <v>0</v>
      </c>
      <c r="K1205" s="40"/>
      <c r="L1205" s="600" t="s">
        <v>37</v>
      </c>
      <c r="M1205" s="504">
        <f t="shared" si="4679"/>
        <v>1</v>
      </c>
      <c r="N1205" s="849">
        <f t="shared" ref="N1205" si="4698">IFERROR((M1206/M1205),"-")</f>
        <v>0</v>
      </c>
      <c r="O1205" s="40"/>
      <c r="P1205" s="602" t="s">
        <v>176</v>
      </c>
      <c r="Q1205" s="602">
        <v>1</v>
      </c>
      <c r="R1205" s="602">
        <v>0</v>
      </c>
      <c r="S1205" s="602">
        <v>0</v>
      </c>
      <c r="T1205" s="602">
        <v>0</v>
      </c>
      <c r="U1205" s="602">
        <v>0</v>
      </c>
      <c r="V1205" s="602">
        <v>0</v>
      </c>
      <c r="W1205" s="40"/>
      <c r="X1205" s="504">
        <f t="shared" si="4671"/>
        <v>1</v>
      </c>
      <c r="Y1205" s="849">
        <f t="shared" ref="Y1205" si="4699">IFERROR((X1206/X1205),"0")</f>
        <v>1</v>
      </c>
      <c r="Z1205" s="40"/>
      <c r="AA1205" s="855">
        <v>1</v>
      </c>
      <c r="AB1205" s="855">
        <v>0</v>
      </c>
      <c r="AC1205" s="858">
        <v>1</v>
      </c>
      <c r="AD1205" s="849" t="str">
        <f t="shared" ref="AD1205" si="4700">IFERROR((AC1205/AB1205),"-")</f>
        <v>-</v>
      </c>
      <c r="AE1205" s="40"/>
      <c r="AF1205" s="855">
        <v>0</v>
      </c>
      <c r="AG1205" s="855"/>
      <c r="AH1205" s="858">
        <v>0</v>
      </c>
      <c r="AI1205" s="855"/>
      <c r="AJ1205" s="855"/>
      <c r="AK1205" s="855">
        <f t="shared" ref="AK1205" si="4701">AF1205+AG1205+AH1205+AI1205+AJ1205+AC1205</f>
        <v>1</v>
      </c>
      <c r="AL1205" s="855">
        <v>0</v>
      </c>
      <c r="AM1205" s="849" t="str">
        <f t="shared" ref="AM1205" si="4702">IFERROR((AK1205/AL1205),"-")</f>
        <v>-</v>
      </c>
      <c r="AN1205" s="40"/>
      <c r="AO1205" s="855">
        <v>1</v>
      </c>
      <c r="AP1205" s="855">
        <f t="shared" ref="AP1205" si="4703">AO1205-AK1205</f>
        <v>0</v>
      </c>
      <c r="AV1205" t="str">
        <f t="shared" si="4514"/>
        <v>BDCC no Km 155+722 - Aterro 03</v>
      </c>
      <c r="AW1205" s="4" t="str">
        <f t="shared" si="4505"/>
        <v>2.5-BDCC 2,50x2,50 m - Km 139+337 - Aterro A3 - Bueiro de Concreto - LE</v>
      </c>
    </row>
    <row r="1206" spans="1:49" ht="15.6" customHeight="1" outlineLevel="2">
      <c r="A1206" s="598" t="str">
        <f t="shared" ref="A1206" si="4704">A1205</f>
        <v>S</v>
      </c>
      <c r="B1206" s="599"/>
      <c r="C1206" s="599"/>
      <c r="D1206" s="118" t="s">
        <v>1444</v>
      </c>
      <c r="E1206" s="918"/>
      <c r="F1206" s="848"/>
      <c r="G1206" s="40"/>
      <c r="H1206" s="603" t="s">
        <v>38</v>
      </c>
      <c r="I1206" s="504">
        <v>0</v>
      </c>
      <c r="J1206" s="850"/>
      <c r="K1206" s="40"/>
      <c r="L1206" s="603" t="s">
        <v>38</v>
      </c>
      <c r="M1206" s="504">
        <f t="shared" si="4679"/>
        <v>0</v>
      </c>
      <c r="N1206" s="850"/>
      <c r="O1206" s="40"/>
      <c r="P1206" s="602">
        <v>1</v>
      </c>
      <c r="Q1206" s="602">
        <v>0</v>
      </c>
      <c r="R1206" s="602">
        <v>0</v>
      </c>
      <c r="S1206" s="602">
        <v>0</v>
      </c>
      <c r="T1206" s="602">
        <v>0</v>
      </c>
      <c r="U1206" s="602">
        <v>0</v>
      </c>
      <c r="V1206" s="602">
        <v>0</v>
      </c>
      <c r="W1206" s="40"/>
      <c r="X1206" s="504">
        <f t="shared" si="4671"/>
        <v>1</v>
      </c>
      <c r="Y1206" s="850"/>
      <c r="Z1206" s="40"/>
      <c r="AA1206" s="856"/>
      <c r="AB1206" s="856"/>
      <c r="AC1206" s="857"/>
      <c r="AD1206" s="920"/>
      <c r="AE1206" s="40"/>
      <c r="AF1206" s="856"/>
      <c r="AG1206" s="856"/>
      <c r="AH1206" s="857"/>
      <c r="AI1206" s="856"/>
      <c r="AJ1206" s="856"/>
      <c r="AK1206" s="856"/>
      <c r="AL1206" s="856"/>
      <c r="AM1206" s="850"/>
      <c r="AN1206" s="40"/>
      <c r="AO1206" s="882"/>
      <c r="AP1206" s="882"/>
      <c r="AV1206" t="str">
        <f t="shared" si="4514"/>
        <v>BDCC no Km 155+722 - Aterro 03</v>
      </c>
      <c r="AW1206" s="4" t="str">
        <f t="shared" si="4505"/>
        <v>2.5-BDCC 2,50x2,50 m - Km 139+337 - Aterro A3 - Bueiro de Concreto - LE</v>
      </c>
    </row>
    <row r="1207" spans="1:49" ht="15.6" customHeight="1" outlineLevel="2">
      <c r="A1207" s="598" t="str">
        <f t="shared" ref="A1207" si="4705">IF(SUM(P1207:V1208)&gt;0,"S","N")</f>
        <v>S</v>
      </c>
      <c r="B1207" s="599">
        <v>1064299</v>
      </c>
      <c r="C1207" s="599" t="s">
        <v>1523</v>
      </c>
      <c r="D1207" s="118" t="s">
        <v>1521</v>
      </c>
      <c r="E1207" s="917" t="s">
        <v>1524</v>
      </c>
      <c r="F1207" s="848" t="s">
        <v>1437</v>
      </c>
      <c r="G1207" s="40"/>
      <c r="H1207" s="600" t="s">
        <v>37</v>
      </c>
      <c r="I1207" s="504">
        <v>1</v>
      </c>
      <c r="J1207" s="849">
        <f t="shared" ref="J1207" si="4706">IFERROR((I1208/I1207),"-")</f>
        <v>0</v>
      </c>
      <c r="K1207" s="40"/>
      <c r="L1207" s="600" t="s">
        <v>37</v>
      </c>
      <c r="M1207" s="504">
        <f t="shared" si="4679"/>
        <v>0</v>
      </c>
      <c r="N1207" s="849" t="str">
        <f t="shared" ref="N1207" si="4707">IFERROR((M1208/M1207),"-")</f>
        <v>-</v>
      </c>
      <c r="O1207" s="40"/>
      <c r="P1207" s="602">
        <v>1</v>
      </c>
      <c r="Q1207" s="602">
        <v>0</v>
      </c>
      <c r="R1207" s="602">
        <v>0</v>
      </c>
      <c r="S1207" s="602">
        <v>0</v>
      </c>
      <c r="T1207" s="602">
        <v>0</v>
      </c>
      <c r="U1207" s="602">
        <v>0</v>
      </c>
      <c r="V1207" s="602">
        <v>0</v>
      </c>
      <c r="W1207" s="40"/>
      <c r="X1207" s="504">
        <f t="shared" si="4671"/>
        <v>1</v>
      </c>
      <c r="Y1207" s="849">
        <f t="shared" ref="Y1207" si="4708">IFERROR((X1208/X1207),"0")</f>
        <v>0</v>
      </c>
      <c r="Z1207" s="40"/>
      <c r="AA1207" s="855">
        <v>0</v>
      </c>
      <c r="AB1207" s="855">
        <v>0</v>
      </c>
      <c r="AC1207" s="858">
        <v>0</v>
      </c>
      <c r="AD1207" s="849" t="str">
        <f t="shared" ref="AD1207" si="4709">IFERROR((AC1207/AB1207),"-")</f>
        <v>-</v>
      </c>
      <c r="AE1207" s="40"/>
      <c r="AF1207" s="855">
        <v>0</v>
      </c>
      <c r="AG1207" s="855"/>
      <c r="AH1207" s="858">
        <v>0</v>
      </c>
      <c r="AI1207" s="855"/>
      <c r="AJ1207" s="855"/>
      <c r="AK1207" s="855">
        <f t="shared" ref="AK1207" si="4710">AF1207+AG1207+AH1207+AI1207+AJ1207+AC1207</f>
        <v>0</v>
      </c>
      <c r="AL1207" s="855">
        <v>0</v>
      </c>
      <c r="AM1207" s="849" t="str">
        <f t="shared" ref="AM1207" si="4711">IFERROR((AK1207/AL1207),"-")</f>
        <v>-</v>
      </c>
      <c r="AN1207" s="40"/>
      <c r="AO1207" s="855">
        <v>1</v>
      </c>
      <c r="AP1207" s="855">
        <f t="shared" ref="AP1207" si="4712">AO1207-AK1207</f>
        <v>1</v>
      </c>
      <c r="AV1207" t="str">
        <f t="shared" si="4514"/>
        <v>BDCC no Km 155+722 - Aterro 03</v>
      </c>
      <c r="AW1207" s="4" t="str">
        <f t="shared" si="4505"/>
        <v>2.5-BDCC 2,50x2,50 m - Km 139+337 - Aterro A3 - Bueiro de Concreto - LD</v>
      </c>
    </row>
    <row r="1208" spans="1:49" ht="15.6" customHeight="1" outlineLevel="2">
      <c r="A1208" s="598" t="str">
        <f t="shared" ref="A1208" si="4713">A1207</f>
        <v>S</v>
      </c>
      <c r="B1208" s="599"/>
      <c r="C1208" s="599"/>
      <c r="D1208" s="118" t="s">
        <v>1441</v>
      </c>
      <c r="E1208" s="918"/>
      <c r="F1208" s="848"/>
      <c r="G1208" s="40"/>
      <c r="H1208" s="603" t="s">
        <v>38</v>
      </c>
      <c r="I1208" s="504">
        <v>0</v>
      </c>
      <c r="J1208" s="850"/>
      <c r="K1208" s="40"/>
      <c r="L1208" s="603" t="s">
        <v>38</v>
      </c>
      <c r="M1208" s="504">
        <f t="shared" si="4679"/>
        <v>0</v>
      </c>
      <c r="N1208" s="850"/>
      <c r="O1208" s="40"/>
      <c r="P1208" s="606">
        <v>0</v>
      </c>
      <c r="Q1208" s="606">
        <v>0</v>
      </c>
      <c r="R1208" s="602">
        <v>0</v>
      </c>
      <c r="S1208" s="602">
        <v>0</v>
      </c>
      <c r="T1208" s="602">
        <v>0</v>
      </c>
      <c r="U1208" s="602">
        <v>0</v>
      </c>
      <c r="V1208" s="602">
        <v>0</v>
      </c>
      <c r="W1208" s="40"/>
      <c r="X1208" s="504">
        <f t="shared" si="4671"/>
        <v>0</v>
      </c>
      <c r="Y1208" s="850"/>
      <c r="Z1208" s="40"/>
      <c r="AA1208" s="856"/>
      <c r="AB1208" s="856"/>
      <c r="AC1208" s="857"/>
      <c r="AD1208" s="920"/>
      <c r="AE1208" s="40"/>
      <c r="AF1208" s="856"/>
      <c r="AG1208" s="856"/>
      <c r="AH1208" s="857"/>
      <c r="AI1208" s="856"/>
      <c r="AJ1208" s="856"/>
      <c r="AK1208" s="856"/>
      <c r="AL1208" s="856"/>
      <c r="AM1208" s="850"/>
      <c r="AN1208" s="40"/>
      <c r="AO1208" s="882"/>
      <c r="AP1208" s="882"/>
      <c r="AV1208" t="str">
        <f t="shared" si="4514"/>
        <v>BDCC no Km 155+722 - Aterro 03</v>
      </c>
      <c r="AW1208" s="4" t="str">
        <f t="shared" si="4505"/>
        <v>2.5-BDCC 2,50x2,50 m - Km 139+337 - Aterro A3 - Bueiro de Concreto - LD</v>
      </c>
    </row>
    <row r="1209" spans="1:49" ht="15.6" customHeight="1" outlineLevel="2">
      <c r="A1209" s="598" t="str">
        <f t="shared" ref="A1209" si="4714">IF(SUM(P1209:V1210)&gt;0,"S","N")</f>
        <v>N</v>
      </c>
      <c r="B1209" s="599">
        <v>1064302</v>
      </c>
      <c r="C1209" s="599" t="s">
        <v>1525</v>
      </c>
      <c r="D1209" s="118" t="s">
        <v>1526</v>
      </c>
      <c r="E1209" s="917" t="s">
        <v>1527</v>
      </c>
      <c r="F1209" s="848" t="s">
        <v>1437</v>
      </c>
      <c r="G1209" s="40"/>
      <c r="H1209" s="600" t="s">
        <v>37</v>
      </c>
      <c r="I1209" s="504">
        <v>0</v>
      </c>
      <c r="J1209" s="849" t="str">
        <f t="shared" ref="J1209" si="4715">IFERROR((I1210/I1209),"-")</f>
        <v>-</v>
      </c>
      <c r="K1209" s="40"/>
      <c r="L1209" s="600" t="s">
        <v>37</v>
      </c>
      <c r="M1209" s="504">
        <f t="shared" si="4679"/>
        <v>0</v>
      </c>
      <c r="N1209" s="849" t="str">
        <f t="shared" ref="N1209" si="4716">IFERROR((M1210/M1209),"-")</f>
        <v>-</v>
      </c>
      <c r="O1209" s="40"/>
      <c r="P1209" s="602">
        <v>0</v>
      </c>
      <c r="Q1209" s="602">
        <v>0</v>
      </c>
      <c r="R1209" s="602">
        <v>0</v>
      </c>
      <c r="S1209" s="602">
        <v>0</v>
      </c>
      <c r="T1209" s="602">
        <v>0</v>
      </c>
      <c r="U1209" s="602">
        <v>0</v>
      </c>
      <c r="V1209" s="602">
        <v>0</v>
      </c>
      <c r="W1209" s="40"/>
      <c r="X1209" s="504">
        <f t="shared" si="4671"/>
        <v>0</v>
      </c>
      <c r="Y1209" s="849" t="str">
        <f t="shared" ref="Y1209" si="4717">IFERROR((X1210/X1209),"0")</f>
        <v>0</v>
      </c>
      <c r="Z1209" s="40"/>
      <c r="AA1209" s="855">
        <v>0</v>
      </c>
      <c r="AB1209" s="855">
        <v>0</v>
      </c>
      <c r="AC1209" s="858">
        <v>0</v>
      </c>
      <c r="AD1209" s="849" t="str">
        <f t="shared" ref="AD1209" si="4718">IFERROR((AC1209/AB1209),"-")</f>
        <v>-</v>
      </c>
      <c r="AE1209" s="40"/>
      <c r="AF1209" s="855">
        <v>0</v>
      </c>
      <c r="AG1209" s="855"/>
      <c r="AH1209" s="858">
        <v>0</v>
      </c>
      <c r="AI1209" s="855"/>
      <c r="AJ1209" s="855"/>
      <c r="AK1209" s="855">
        <f t="shared" ref="AK1209" si="4719">AF1209+AG1209+AH1209+AI1209+AJ1209+AC1209</f>
        <v>0</v>
      </c>
      <c r="AL1209" s="855">
        <v>0</v>
      </c>
      <c r="AM1209" s="849" t="str">
        <f t="shared" ref="AM1209" si="4720">IFERROR((AK1209/AL1209),"-")</f>
        <v>-</v>
      </c>
      <c r="AN1209" s="40"/>
      <c r="AO1209" s="855">
        <v>0</v>
      </c>
      <c r="AP1209" s="855">
        <f t="shared" ref="AP1209" si="4721">AO1209-AK1209</f>
        <v>0</v>
      </c>
      <c r="AV1209" t="str">
        <f t="shared" si="4514"/>
        <v>BDCC no Km 155+722 - Aterro 03</v>
      </c>
      <c r="AW1209" s="4" t="str">
        <f t="shared" si="4505"/>
        <v>2.5-BDT PEAD DN 1,20m - km 139+661 - Aterro A3 - Bueiro de PEAD - LE</v>
      </c>
    </row>
    <row r="1210" spans="1:49" ht="15.6" customHeight="1" outlineLevel="2">
      <c r="A1210" s="598" t="str">
        <f t="shared" ref="A1210" si="4722">A1209</f>
        <v>N</v>
      </c>
      <c r="B1210" s="599"/>
      <c r="C1210" s="599"/>
      <c r="D1210" s="118" t="s">
        <v>1444</v>
      </c>
      <c r="E1210" s="918"/>
      <c r="F1210" s="848"/>
      <c r="G1210" s="40"/>
      <c r="H1210" s="603" t="s">
        <v>38</v>
      </c>
      <c r="I1210" s="504">
        <v>0</v>
      </c>
      <c r="J1210" s="850"/>
      <c r="K1210" s="40"/>
      <c r="L1210" s="603" t="s">
        <v>38</v>
      </c>
      <c r="M1210" s="504">
        <f t="shared" si="4679"/>
        <v>0</v>
      </c>
      <c r="N1210" s="850"/>
      <c r="O1210" s="40"/>
      <c r="P1210" s="602">
        <v>0</v>
      </c>
      <c r="Q1210" s="602">
        <v>0</v>
      </c>
      <c r="R1210" s="602">
        <v>0</v>
      </c>
      <c r="S1210" s="602">
        <v>0</v>
      </c>
      <c r="T1210" s="602">
        <v>0</v>
      </c>
      <c r="U1210" s="602">
        <v>0</v>
      </c>
      <c r="V1210" s="602">
        <v>0</v>
      </c>
      <c r="W1210" s="40"/>
      <c r="X1210" s="504">
        <f t="shared" si="4671"/>
        <v>0</v>
      </c>
      <c r="Y1210" s="850"/>
      <c r="Z1210" s="40"/>
      <c r="AA1210" s="856"/>
      <c r="AB1210" s="856"/>
      <c r="AC1210" s="857"/>
      <c r="AD1210" s="920"/>
      <c r="AE1210" s="40"/>
      <c r="AF1210" s="856"/>
      <c r="AG1210" s="856"/>
      <c r="AH1210" s="857"/>
      <c r="AI1210" s="856"/>
      <c r="AJ1210" s="856"/>
      <c r="AK1210" s="856"/>
      <c r="AL1210" s="856"/>
      <c r="AM1210" s="850"/>
      <c r="AN1210" s="40"/>
      <c r="AO1210" s="882"/>
      <c r="AP1210" s="882"/>
      <c r="AV1210" t="str">
        <f t="shared" si="4514"/>
        <v>BDCC no Km 155+722 - Aterro 03</v>
      </c>
      <c r="AW1210" s="4" t="str">
        <f t="shared" si="4505"/>
        <v>2.5-BDT PEAD DN 1,20m - km 139+661 - Aterro A3 - Bueiro de PEAD - LE</v>
      </c>
    </row>
    <row r="1211" spans="1:49" ht="15.6" customHeight="1" outlineLevel="2">
      <c r="A1211" s="598" t="str">
        <f t="shared" ref="A1211" si="4723">IF(SUM(P1211:V1212)&gt;0,"S","N")</f>
        <v>N</v>
      </c>
      <c r="B1211" s="599">
        <v>1064303</v>
      </c>
      <c r="C1211" s="599" t="s">
        <v>1528</v>
      </c>
      <c r="D1211" s="118" t="s">
        <v>1526</v>
      </c>
      <c r="E1211" s="917" t="s">
        <v>1529</v>
      </c>
      <c r="F1211" s="848" t="s">
        <v>1437</v>
      </c>
      <c r="G1211" s="40"/>
      <c r="H1211" s="600" t="s">
        <v>37</v>
      </c>
      <c r="I1211" s="504">
        <v>0</v>
      </c>
      <c r="J1211" s="849" t="str">
        <f t="shared" ref="J1211" si="4724">IFERROR((I1212/I1211),"-")</f>
        <v>-</v>
      </c>
      <c r="K1211" s="40"/>
      <c r="L1211" s="600" t="s">
        <v>37</v>
      </c>
      <c r="M1211" s="504">
        <f t="shared" si="4679"/>
        <v>0</v>
      </c>
      <c r="N1211" s="849" t="str">
        <f t="shared" ref="N1211" si="4725">IFERROR((M1212/M1211),"-")</f>
        <v>-</v>
      </c>
      <c r="O1211" s="40"/>
      <c r="P1211" s="602">
        <v>0</v>
      </c>
      <c r="Q1211" s="602">
        <v>0</v>
      </c>
      <c r="R1211" s="602">
        <v>0</v>
      </c>
      <c r="S1211" s="602">
        <v>0</v>
      </c>
      <c r="T1211" s="602">
        <v>0</v>
      </c>
      <c r="U1211" s="602">
        <v>0</v>
      </c>
      <c r="V1211" s="602">
        <v>0</v>
      </c>
      <c r="W1211" s="40"/>
      <c r="X1211" s="504">
        <f t="shared" si="4671"/>
        <v>0</v>
      </c>
      <c r="Y1211" s="849" t="str">
        <f t="shared" ref="Y1211" si="4726">IFERROR((X1212/X1211),"0")</f>
        <v>0</v>
      </c>
      <c r="Z1211" s="40"/>
      <c r="AA1211" s="855">
        <v>0</v>
      </c>
      <c r="AB1211" s="855">
        <v>0</v>
      </c>
      <c r="AC1211" s="858">
        <v>0</v>
      </c>
      <c r="AD1211" s="849" t="str">
        <f t="shared" ref="AD1211" si="4727">IFERROR((AC1211/AB1211),"-")</f>
        <v>-</v>
      </c>
      <c r="AE1211" s="40"/>
      <c r="AF1211" s="855">
        <v>0</v>
      </c>
      <c r="AG1211" s="855"/>
      <c r="AH1211" s="858">
        <v>0</v>
      </c>
      <c r="AI1211" s="855"/>
      <c r="AJ1211" s="855"/>
      <c r="AK1211" s="855">
        <f t="shared" ref="AK1211" si="4728">AF1211+AG1211+AH1211+AI1211+AJ1211+AC1211</f>
        <v>0</v>
      </c>
      <c r="AL1211" s="855">
        <v>0</v>
      </c>
      <c r="AM1211" s="849" t="str">
        <f t="shared" ref="AM1211" si="4729">IFERROR((AK1211/AL1211),"-")</f>
        <v>-</v>
      </c>
      <c r="AN1211" s="40"/>
      <c r="AO1211" s="855">
        <v>0</v>
      </c>
      <c r="AP1211" s="855">
        <f t="shared" ref="AP1211" si="4730">AO1211-AK1211</f>
        <v>0</v>
      </c>
      <c r="AV1211" t="str">
        <f t="shared" si="4514"/>
        <v>BDCC no Km 155+722 - Aterro 03</v>
      </c>
      <c r="AW1211" s="4" t="str">
        <f t="shared" si="4505"/>
        <v>2.5-BDT PEAD DN 1,20m - km 139+661 - Aterro A3 - Bueiro de PEAD - LD</v>
      </c>
    </row>
    <row r="1212" spans="1:49" ht="15.6" customHeight="1" outlineLevel="2">
      <c r="A1212" s="598" t="str">
        <f t="shared" ref="A1212" si="4731">A1211</f>
        <v>N</v>
      </c>
      <c r="B1212" s="599"/>
      <c r="C1212" s="599"/>
      <c r="D1212" s="118" t="s">
        <v>1441</v>
      </c>
      <c r="E1212" s="918"/>
      <c r="F1212" s="848"/>
      <c r="G1212" s="40"/>
      <c r="H1212" s="603" t="s">
        <v>38</v>
      </c>
      <c r="I1212" s="504">
        <v>0</v>
      </c>
      <c r="J1212" s="850"/>
      <c r="K1212" s="40"/>
      <c r="L1212" s="603" t="s">
        <v>38</v>
      </c>
      <c r="M1212" s="504">
        <f t="shared" si="4679"/>
        <v>0</v>
      </c>
      <c r="N1212" s="850"/>
      <c r="O1212" s="40"/>
      <c r="P1212" s="602">
        <v>0</v>
      </c>
      <c r="Q1212" s="602">
        <v>0</v>
      </c>
      <c r="R1212" s="602">
        <v>0</v>
      </c>
      <c r="S1212" s="602">
        <v>0</v>
      </c>
      <c r="T1212" s="602">
        <v>0</v>
      </c>
      <c r="U1212" s="602">
        <v>0</v>
      </c>
      <c r="V1212" s="602">
        <v>0</v>
      </c>
      <c r="W1212" s="40"/>
      <c r="X1212" s="504">
        <f t="shared" si="4671"/>
        <v>0</v>
      </c>
      <c r="Y1212" s="850"/>
      <c r="Z1212" s="40"/>
      <c r="AA1212" s="856"/>
      <c r="AB1212" s="856"/>
      <c r="AC1212" s="857"/>
      <c r="AD1212" s="920"/>
      <c r="AE1212" s="40"/>
      <c r="AF1212" s="856"/>
      <c r="AG1212" s="856"/>
      <c r="AH1212" s="857"/>
      <c r="AI1212" s="856"/>
      <c r="AJ1212" s="856"/>
      <c r="AK1212" s="856"/>
      <c r="AL1212" s="856"/>
      <c r="AM1212" s="850"/>
      <c r="AN1212" s="40"/>
      <c r="AO1212" s="882"/>
      <c r="AP1212" s="882"/>
      <c r="AV1212" t="str">
        <f t="shared" si="4514"/>
        <v>BDCC no Km 155+722 - Aterro 03</v>
      </c>
      <c r="AW1212" s="4" t="str">
        <f t="shared" si="4505"/>
        <v>2.5-BDT PEAD DN 1,20m - km 139+661 - Aterro A3 - Bueiro de PEAD - LD</v>
      </c>
    </row>
    <row r="1213" spans="1:49" ht="15.6" customHeight="1" outlineLevel="2">
      <c r="A1213" s="598" t="str">
        <f t="shared" ref="A1213" si="4732">IF(SUM(P1213:V1214)&gt;0,"S","N")</f>
        <v>N</v>
      </c>
      <c r="B1213" s="599">
        <v>1064307</v>
      </c>
      <c r="C1213" s="599" t="s">
        <v>1530</v>
      </c>
      <c r="D1213" s="118" t="s">
        <v>1531</v>
      </c>
      <c r="E1213" s="917" t="s">
        <v>1532</v>
      </c>
      <c r="F1213" s="848" t="s">
        <v>1437</v>
      </c>
      <c r="G1213" s="40"/>
      <c r="H1213" s="600" t="s">
        <v>37</v>
      </c>
      <c r="I1213" s="504">
        <v>0</v>
      </c>
      <c r="J1213" s="849" t="str">
        <f t="shared" ref="J1213" si="4733">IFERROR((I1214/I1213),"-")</f>
        <v>-</v>
      </c>
      <c r="K1213" s="40"/>
      <c r="L1213" s="600" t="s">
        <v>37</v>
      </c>
      <c r="M1213" s="504">
        <f t="shared" si="4679"/>
        <v>0</v>
      </c>
      <c r="N1213" s="849" t="str">
        <f t="shared" ref="N1213" si="4734">IFERROR((M1214/M1213),"-")</f>
        <v>-</v>
      </c>
      <c r="O1213" s="40"/>
      <c r="P1213" s="602">
        <v>0</v>
      </c>
      <c r="Q1213" s="602">
        <v>0</v>
      </c>
      <c r="R1213" s="602">
        <v>0</v>
      </c>
      <c r="S1213" s="602">
        <v>0</v>
      </c>
      <c r="T1213" s="602">
        <v>0</v>
      </c>
      <c r="U1213" s="602">
        <v>0</v>
      </c>
      <c r="V1213" s="602">
        <v>0</v>
      </c>
      <c r="W1213" s="40"/>
      <c r="X1213" s="504">
        <f t="shared" si="4671"/>
        <v>0</v>
      </c>
      <c r="Y1213" s="849" t="str">
        <f t="shared" ref="Y1213" si="4735">IFERROR((X1214/X1213),"0")</f>
        <v>0</v>
      </c>
      <c r="Z1213" s="40"/>
      <c r="AA1213" s="855">
        <v>0</v>
      </c>
      <c r="AB1213" s="855">
        <v>0</v>
      </c>
      <c r="AC1213" s="858">
        <v>0</v>
      </c>
      <c r="AD1213" s="849" t="str">
        <f t="shared" ref="AD1213" si="4736">IFERROR((AC1213/AB1213),"-")</f>
        <v>-</v>
      </c>
      <c r="AE1213" s="40"/>
      <c r="AF1213" s="855">
        <v>1</v>
      </c>
      <c r="AG1213" s="855"/>
      <c r="AH1213" s="858">
        <v>0</v>
      </c>
      <c r="AI1213" s="855"/>
      <c r="AJ1213" s="855"/>
      <c r="AK1213" s="855">
        <f t="shared" ref="AK1213" si="4737">AF1213+AG1213+AH1213+AI1213+AJ1213+AC1213</f>
        <v>1</v>
      </c>
      <c r="AL1213" s="855">
        <v>0.9900000000000001</v>
      </c>
      <c r="AM1213" s="849">
        <f t="shared" ref="AM1213" si="4738">IFERROR((AK1213/AL1213),"-")</f>
        <v>1.0101010101010099</v>
      </c>
      <c r="AN1213" s="40"/>
      <c r="AO1213" s="855">
        <v>1</v>
      </c>
      <c r="AP1213" s="855">
        <f t="shared" ref="AP1213" si="4739">AO1213-AK1213</f>
        <v>0</v>
      </c>
      <c r="AV1213" t="str">
        <f t="shared" si="4514"/>
        <v>BDCC no Km 155+722 - Aterro 03</v>
      </c>
      <c r="AW1213" s="4" t="str">
        <f t="shared" si="4505"/>
        <v>2.5-PG BSCC 2,50 x 2,50m - km 140+350 - Aterro A4 - Bueiro de Concreto - LE</v>
      </c>
    </row>
    <row r="1214" spans="1:49" ht="15.6" customHeight="1" outlineLevel="2">
      <c r="A1214" s="598" t="str">
        <f t="shared" ref="A1214" si="4740">A1213</f>
        <v>N</v>
      </c>
      <c r="B1214" s="599"/>
      <c r="C1214" s="599"/>
      <c r="D1214" s="118" t="s">
        <v>1444</v>
      </c>
      <c r="E1214" s="918"/>
      <c r="F1214" s="848"/>
      <c r="G1214" s="40"/>
      <c r="H1214" s="603" t="s">
        <v>38</v>
      </c>
      <c r="I1214" s="504">
        <v>0</v>
      </c>
      <c r="J1214" s="850"/>
      <c r="K1214" s="40"/>
      <c r="L1214" s="603" t="s">
        <v>38</v>
      </c>
      <c r="M1214" s="504">
        <f t="shared" si="4679"/>
        <v>0</v>
      </c>
      <c r="N1214" s="850"/>
      <c r="O1214" s="40"/>
      <c r="P1214" s="602">
        <v>0</v>
      </c>
      <c r="Q1214" s="602">
        <v>0</v>
      </c>
      <c r="R1214" s="602">
        <v>0</v>
      </c>
      <c r="S1214" s="602">
        <v>0</v>
      </c>
      <c r="T1214" s="602">
        <v>0</v>
      </c>
      <c r="U1214" s="602">
        <v>0</v>
      </c>
      <c r="V1214" s="602">
        <v>0</v>
      </c>
      <c r="W1214" s="40"/>
      <c r="X1214" s="504">
        <f t="shared" si="4671"/>
        <v>0</v>
      </c>
      <c r="Y1214" s="850"/>
      <c r="Z1214" s="40"/>
      <c r="AA1214" s="856"/>
      <c r="AB1214" s="856"/>
      <c r="AC1214" s="857"/>
      <c r="AD1214" s="920"/>
      <c r="AE1214" s="40"/>
      <c r="AF1214" s="856"/>
      <c r="AG1214" s="856"/>
      <c r="AH1214" s="857"/>
      <c r="AI1214" s="856"/>
      <c r="AJ1214" s="856"/>
      <c r="AK1214" s="856"/>
      <c r="AL1214" s="856"/>
      <c r="AM1214" s="850"/>
      <c r="AN1214" s="40"/>
      <c r="AO1214" s="882"/>
      <c r="AP1214" s="882"/>
      <c r="AV1214" t="str">
        <f t="shared" si="4514"/>
        <v>BDCC no Km 155+722 - Aterro 03</v>
      </c>
      <c r="AW1214" s="4" t="str">
        <f t="shared" si="4505"/>
        <v>2.5-PG BSCC 2,50 x 2,50m - km 140+350 - Aterro A4 - Bueiro de Concreto - LE</v>
      </c>
    </row>
    <row r="1215" spans="1:49" ht="15.6" customHeight="1" outlineLevel="2">
      <c r="A1215" s="598" t="str">
        <f t="shared" ref="A1215" si="4741">IF(SUM(P1215:V1216)&gt;0,"S","N")</f>
        <v>N</v>
      </c>
      <c r="B1215" s="599">
        <v>1064308</v>
      </c>
      <c r="C1215" s="599" t="s">
        <v>1533</v>
      </c>
      <c r="D1215" s="118" t="s">
        <v>1531</v>
      </c>
      <c r="E1215" s="917" t="s">
        <v>1534</v>
      </c>
      <c r="F1215" s="848" t="s">
        <v>1437</v>
      </c>
      <c r="G1215" s="40"/>
      <c r="H1215" s="600" t="s">
        <v>37</v>
      </c>
      <c r="I1215" s="504">
        <v>0</v>
      </c>
      <c r="J1215" s="849" t="str">
        <f t="shared" ref="J1215" si="4742">IFERROR((I1216/I1215),"-")</f>
        <v>-</v>
      </c>
      <c r="K1215" s="40"/>
      <c r="L1215" s="600" t="s">
        <v>37</v>
      </c>
      <c r="M1215" s="504">
        <f t="shared" si="4679"/>
        <v>0</v>
      </c>
      <c r="N1215" s="849" t="str">
        <f t="shared" ref="N1215" si="4743">IFERROR((M1216/M1215),"-")</f>
        <v>-</v>
      </c>
      <c r="O1215" s="40"/>
      <c r="P1215" s="602">
        <v>0</v>
      </c>
      <c r="Q1215" s="602">
        <v>0</v>
      </c>
      <c r="R1215" s="602">
        <v>0</v>
      </c>
      <c r="S1215" s="602">
        <v>0</v>
      </c>
      <c r="T1215" s="602">
        <v>0</v>
      </c>
      <c r="U1215" s="602">
        <v>0</v>
      </c>
      <c r="V1215" s="602">
        <v>0</v>
      </c>
      <c r="W1215" s="40"/>
      <c r="X1215" s="504">
        <f t="shared" si="4671"/>
        <v>0</v>
      </c>
      <c r="Y1215" s="849" t="str">
        <f t="shared" ref="Y1215" si="4744">IFERROR((X1216/X1215),"0")</f>
        <v>0</v>
      </c>
      <c r="Z1215" s="40"/>
      <c r="AA1215" s="855">
        <v>0</v>
      </c>
      <c r="AB1215" s="855">
        <v>0</v>
      </c>
      <c r="AC1215" s="858">
        <v>0</v>
      </c>
      <c r="AD1215" s="849" t="str">
        <f t="shared" ref="AD1215" si="4745">IFERROR((AC1215/AB1215),"-")</f>
        <v>-</v>
      </c>
      <c r="AE1215" s="40"/>
      <c r="AF1215" s="855">
        <v>1</v>
      </c>
      <c r="AG1215" s="855"/>
      <c r="AH1215" s="858">
        <v>0</v>
      </c>
      <c r="AI1215" s="855"/>
      <c r="AJ1215" s="855"/>
      <c r="AK1215" s="855">
        <f t="shared" ref="AK1215" si="4746">AF1215+AG1215+AH1215+AI1215+AJ1215+AC1215</f>
        <v>1</v>
      </c>
      <c r="AL1215" s="855">
        <v>0.9900000000000001</v>
      </c>
      <c r="AM1215" s="849">
        <f t="shared" ref="AM1215" si="4747">IFERROR((AK1215/AL1215),"-")</f>
        <v>1.0101010101010099</v>
      </c>
      <c r="AN1215" s="40"/>
      <c r="AO1215" s="855">
        <v>1</v>
      </c>
      <c r="AP1215" s="855">
        <f t="shared" ref="AP1215" si="4748">AO1215-AK1215</f>
        <v>0</v>
      </c>
      <c r="AV1215" t="str">
        <f t="shared" si="4514"/>
        <v>BDCC no Km 155+722 - Aterro 03</v>
      </c>
      <c r="AW1215" s="4" t="str">
        <f t="shared" si="4505"/>
        <v>2.5-PG BSCC 2,50 x 2,50m - km 140+350 - Aterro A4 - Bueiro de Concreto - LD</v>
      </c>
    </row>
    <row r="1216" spans="1:49" ht="15.6" customHeight="1" outlineLevel="2">
      <c r="A1216" s="598" t="str">
        <f t="shared" ref="A1216" si="4749">A1215</f>
        <v>N</v>
      </c>
      <c r="B1216" s="599"/>
      <c r="C1216" s="599"/>
      <c r="D1216" s="118" t="s">
        <v>1441</v>
      </c>
      <c r="E1216" s="918"/>
      <c r="F1216" s="848"/>
      <c r="G1216" s="40"/>
      <c r="H1216" s="603" t="s">
        <v>38</v>
      </c>
      <c r="I1216" s="504">
        <v>0</v>
      </c>
      <c r="J1216" s="850"/>
      <c r="K1216" s="40"/>
      <c r="L1216" s="603" t="s">
        <v>38</v>
      </c>
      <c r="M1216" s="504">
        <f t="shared" si="4679"/>
        <v>0</v>
      </c>
      <c r="N1216" s="850"/>
      <c r="O1216" s="40"/>
      <c r="P1216" s="602">
        <v>0</v>
      </c>
      <c r="Q1216" s="602">
        <v>0</v>
      </c>
      <c r="R1216" s="602">
        <v>0</v>
      </c>
      <c r="S1216" s="602">
        <v>0</v>
      </c>
      <c r="T1216" s="602">
        <v>0</v>
      </c>
      <c r="U1216" s="602">
        <v>0</v>
      </c>
      <c r="V1216" s="602">
        <v>0</v>
      </c>
      <c r="W1216" s="40"/>
      <c r="X1216" s="504">
        <f t="shared" si="4671"/>
        <v>0</v>
      </c>
      <c r="Y1216" s="850"/>
      <c r="Z1216" s="40"/>
      <c r="AA1216" s="856"/>
      <c r="AB1216" s="856"/>
      <c r="AC1216" s="857"/>
      <c r="AD1216" s="920"/>
      <c r="AE1216" s="40"/>
      <c r="AF1216" s="856"/>
      <c r="AG1216" s="856"/>
      <c r="AH1216" s="857"/>
      <c r="AI1216" s="856"/>
      <c r="AJ1216" s="856"/>
      <c r="AK1216" s="856"/>
      <c r="AL1216" s="856"/>
      <c r="AM1216" s="850"/>
      <c r="AN1216" s="40"/>
      <c r="AO1216" s="882"/>
      <c r="AP1216" s="882"/>
      <c r="AV1216" t="str">
        <f t="shared" si="4514"/>
        <v>BDCC no Km 155+722 - Aterro 03</v>
      </c>
      <c r="AW1216" s="4" t="str">
        <f t="shared" si="4505"/>
        <v>2.5-PG BSCC 2,50 x 2,50m - km 140+350 - Aterro A4 - Bueiro de Concreto - LD</v>
      </c>
    </row>
    <row r="1217" spans="1:49" ht="15.6" customHeight="1" outlineLevel="2">
      <c r="A1217" s="598" t="str">
        <f t="shared" ref="A1217" si="4750">IF(SUM(P1217:V1218)&gt;0,"S","N")</f>
        <v>N</v>
      </c>
      <c r="B1217" s="599">
        <v>1064312</v>
      </c>
      <c r="C1217" s="599" t="s">
        <v>1535</v>
      </c>
      <c r="D1217" s="118" t="s">
        <v>1342</v>
      </c>
      <c r="E1217" s="917" t="s">
        <v>1536</v>
      </c>
      <c r="F1217" s="848" t="s">
        <v>1437</v>
      </c>
      <c r="G1217" s="40"/>
      <c r="H1217" s="600" t="s">
        <v>37</v>
      </c>
      <c r="I1217" s="504">
        <v>1</v>
      </c>
      <c r="J1217" s="849">
        <f t="shared" ref="J1217" si="4751">IFERROR((I1218/I1217),"-")</f>
        <v>0</v>
      </c>
      <c r="K1217" s="40"/>
      <c r="L1217" s="600" t="s">
        <v>37</v>
      </c>
      <c r="M1217" s="504">
        <f t="shared" si="4679"/>
        <v>0</v>
      </c>
      <c r="N1217" s="849" t="str">
        <f t="shared" ref="N1217" si="4752">IFERROR((M1218/M1217),"-")</f>
        <v>-</v>
      </c>
      <c r="O1217" s="40"/>
      <c r="P1217" s="602">
        <v>0</v>
      </c>
      <c r="Q1217" s="602">
        <v>0</v>
      </c>
      <c r="R1217" s="602">
        <v>0</v>
      </c>
      <c r="S1217" s="602">
        <v>0</v>
      </c>
      <c r="T1217" s="602">
        <v>0</v>
      </c>
      <c r="U1217" s="602">
        <v>0</v>
      </c>
      <c r="V1217" s="602">
        <v>0</v>
      </c>
      <c r="W1217" s="40"/>
      <c r="X1217" s="504">
        <f t="shared" si="4671"/>
        <v>0</v>
      </c>
      <c r="Y1217" s="849" t="str">
        <f t="shared" ref="Y1217" si="4753">IFERROR((X1218/X1217),"0")</f>
        <v>0</v>
      </c>
      <c r="Z1217" s="40"/>
      <c r="AA1217" s="855">
        <v>1</v>
      </c>
      <c r="AB1217" s="855">
        <v>1</v>
      </c>
      <c r="AC1217" s="858">
        <v>1</v>
      </c>
      <c r="AD1217" s="849">
        <f t="shared" ref="AD1217" si="4754">IFERROR((AC1217/AB1217),"-")</f>
        <v>1</v>
      </c>
      <c r="AE1217" s="40"/>
      <c r="AF1217" s="855">
        <v>0</v>
      </c>
      <c r="AG1217" s="855"/>
      <c r="AH1217" s="858">
        <v>0</v>
      </c>
      <c r="AI1217" s="855"/>
      <c r="AJ1217" s="855"/>
      <c r="AK1217" s="855">
        <f t="shared" ref="AK1217" si="4755">AF1217+AG1217+AH1217+AI1217+AJ1217+AC1217</f>
        <v>1</v>
      </c>
      <c r="AL1217" s="855">
        <v>1</v>
      </c>
      <c r="AM1217" s="849">
        <f t="shared" ref="AM1217" si="4756">IFERROR((AK1217/AL1217),"-")</f>
        <v>1</v>
      </c>
      <c r="AN1217" s="40"/>
      <c r="AO1217" s="855">
        <v>1</v>
      </c>
      <c r="AP1217" s="855">
        <f t="shared" ref="AP1217" si="4757">AO1217-AK1217</f>
        <v>0</v>
      </c>
      <c r="AV1217" t="str">
        <f t="shared" si="4514"/>
        <v>BDCC no Km 155+722 - Aterro 03</v>
      </c>
      <c r="AW1217" s="4" t="str">
        <f t="shared" si="4505"/>
        <v>2.5-BDCC 2,50 x 2,50 m - Km 140+572 - Aterro A4 - Bueiro de Concreto - LE</v>
      </c>
    </row>
    <row r="1218" spans="1:49" ht="15.6" customHeight="1" outlineLevel="2">
      <c r="A1218" s="598" t="str">
        <f t="shared" ref="A1218" si="4758">A1217</f>
        <v>N</v>
      </c>
      <c r="B1218" s="599"/>
      <c r="C1218" s="599"/>
      <c r="D1218" s="118" t="s">
        <v>1444</v>
      </c>
      <c r="E1218" s="918"/>
      <c r="F1218" s="848"/>
      <c r="G1218" s="40"/>
      <c r="H1218" s="603" t="s">
        <v>38</v>
      </c>
      <c r="I1218" s="504">
        <v>0</v>
      </c>
      <c r="J1218" s="850"/>
      <c r="K1218" s="40"/>
      <c r="L1218" s="603" t="s">
        <v>38</v>
      </c>
      <c r="M1218" s="504">
        <f t="shared" si="4679"/>
        <v>0</v>
      </c>
      <c r="N1218" s="850"/>
      <c r="O1218" s="40"/>
      <c r="P1218" s="602">
        <v>0</v>
      </c>
      <c r="Q1218" s="602">
        <v>0</v>
      </c>
      <c r="R1218" s="602">
        <v>0</v>
      </c>
      <c r="S1218" s="602">
        <v>0</v>
      </c>
      <c r="T1218" s="602">
        <v>0</v>
      </c>
      <c r="U1218" s="602">
        <v>0</v>
      </c>
      <c r="V1218" s="602">
        <v>0</v>
      </c>
      <c r="W1218" s="40"/>
      <c r="X1218" s="504">
        <f t="shared" si="4671"/>
        <v>0</v>
      </c>
      <c r="Y1218" s="850"/>
      <c r="Z1218" s="40"/>
      <c r="AA1218" s="856"/>
      <c r="AB1218" s="856"/>
      <c r="AC1218" s="857"/>
      <c r="AD1218" s="920"/>
      <c r="AE1218" s="40"/>
      <c r="AF1218" s="856"/>
      <c r="AG1218" s="856"/>
      <c r="AH1218" s="857"/>
      <c r="AI1218" s="856"/>
      <c r="AJ1218" s="856"/>
      <c r="AK1218" s="856"/>
      <c r="AL1218" s="856"/>
      <c r="AM1218" s="850"/>
      <c r="AN1218" s="40"/>
      <c r="AO1218" s="882"/>
      <c r="AP1218" s="882"/>
      <c r="AV1218" t="str">
        <f t="shared" si="4514"/>
        <v>BDCC no Km 155+722 - Aterro 03</v>
      </c>
      <c r="AW1218" s="4" t="str">
        <f t="shared" si="4505"/>
        <v>2.5-BDCC 2,50 x 2,50 m - Km 140+572 - Aterro A4 - Bueiro de Concreto - LE</v>
      </c>
    </row>
    <row r="1219" spans="1:49" ht="15.6" customHeight="1" outlineLevel="2" collapsed="1">
      <c r="A1219" s="598" t="str">
        <f t="shared" ref="A1219" si="4759">IF(SUM(P1219:V1220)&gt;0,"S","N")</f>
        <v>S</v>
      </c>
      <c r="B1219" s="599">
        <v>1064313</v>
      </c>
      <c r="C1219" s="599" t="s">
        <v>1537</v>
      </c>
      <c r="D1219" s="118" t="s">
        <v>1342</v>
      </c>
      <c r="E1219" s="917" t="s">
        <v>1538</v>
      </c>
      <c r="F1219" s="848" t="s">
        <v>1437</v>
      </c>
      <c r="G1219" s="40"/>
      <c r="H1219" s="600" t="s">
        <v>37</v>
      </c>
      <c r="I1219" s="504">
        <v>1</v>
      </c>
      <c r="J1219" s="849">
        <f t="shared" ref="J1219" si="4760">IFERROR((I1220/I1219),"-")</f>
        <v>0</v>
      </c>
      <c r="K1219" s="40"/>
      <c r="L1219" s="600" t="s">
        <v>37</v>
      </c>
      <c r="M1219" s="504" t="str">
        <f t="shared" si="4679"/>
        <v>X</v>
      </c>
      <c r="N1219" s="849" t="str">
        <f t="shared" ref="N1219" si="4761">IFERROR((M1220/M1219),"-")</f>
        <v>-</v>
      </c>
      <c r="O1219" s="40"/>
      <c r="P1219" s="602">
        <v>0</v>
      </c>
      <c r="Q1219" s="602" t="s">
        <v>1434</v>
      </c>
      <c r="R1219" s="602" t="s">
        <v>1434</v>
      </c>
      <c r="S1219" s="602">
        <v>1</v>
      </c>
      <c r="T1219" s="602">
        <v>0</v>
      </c>
      <c r="U1219" s="602">
        <v>0</v>
      </c>
      <c r="V1219" s="602">
        <v>0</v>
      </c>
      <c r="W1219" s="40"/>
      <c r="X1219" s="504">
        <f t="shared" si="4671"/>
        <v>0</v>
      </c>
      <c r="Y1219" s="849" t="str">
        <f t="shared" ref="Y1219" si="4762">IFERROR((X1220/X1219),"0")</f>
        <v>0</v>
      </c>
      <c r="Z1219" s="40"/>
      <c r="AA1219" s="855">
        <v>0</v>
      </c>
      <c r="AB1219" s="855">
        <v>0</v>
      </c>
      <c r="AC1219" s="858">
        <v>0</v>
      </c>
      <c r="AD1219" s="849" t="str">
        <f t="shared" ref="AD1219" si="4763">IFERROR((AC1219/AB1219),"-")</f>
        <v>-</v>
      </c>
      <c r="AE1219" s="40"/>
      <c r="AF1219" s="855">
        <v>0</v>
      </c>
      <c r="AG1219" s="855"/>
      <c r="AH1219" s="858">
        <v>0</v>
      </c>
      <c r="AI1219" s="855"/>
      <c r="AJ1219" s="855"/>
      <c r="AK1219" s="855">
        <f t="shared" ref="AK1219" si="4764">AF1219+AG1219+AH1219+AI1219+AJ1219+AC1219</f>
        <v>0</v>
      </c>
      <c r="AL1219" s="855">
        <v>1</v>
      </c>
      <c r="AM1219" s="849">
        <f t="shared" ref="AM1219" si="4765">IFERROR((AK1219/AL1219),"-")</f>
        <v>0</v>
      </c>
      <c r="AN1219" s="40"/>
      <c r="AO1219" s="855">
        <v>1</v>
      </c>
      <c r="AP1219" s="855">
        <f t="shared" ref="AP1219" si="4766">AO1219-AK1219</f>
        <v>1</v>
      </c>
      <c r="AV1219" t="str">
        <f t="shared" si="4514"/>
        <v>BDCC no Km 155+722 - Aterro 03</v>
      </c>
      <c r="AW1219" s="4" t="str">
        <f t="shared" si="4505"/>
        <v>2.5-BDCC 2,50 x 2,50 m - Km 140+572 - Aterro A4 - Bueiro de Concreto - LD</v>
      </c>
    </row>
    <row r="1220" spans="1:49" ht="15.6" customHeight="1" outlineLevel="2">
      <c r="A1220" s="598" t="str">
        <f t="shared" ref="A1220" si="4767">A1219</f>
        <v>S</v>
      </c>
      <c r="B1220" s="599"/>
      <c r="C1220" s="599"/>
      <c r="D1220" s="118" t="s">
        <v>1441</v>
      </c>
      <c r="E1220" s="918"/>
      <c r="F1220" s="848"/>
      <c r="G1220" s="40"/>
      <c r="H1220" s="603" t="s">
        <v>38</v>
      </c>
      <c r="I1220" s="504">
        <v>0</v>
      </c>
      <c r="J1220" s="850"/>
      <c r="K1220" s="40"/>
      <c r="L1220" s="603" t="s">
        <v>38</v>
      </c>
      <c r="M1220" s="504">
        <f t="shared" si="4679"/>
        <v>0</v>
      </c>
      <c r="N1220" s="850"/>
      <c r="O1220" s="40"/>
      <c r="P1220" s="602">
        <v>0</v>
      </c>
      <c r="Q1220" s="602">
        <v>0</v>
      </c>
      <c r="R1220" s="602">
        <v>0</v>
      </c>
      <c r="S1220" s="602">
        <v>0</v>
      </c>
      <c r="T1220" s="602">
        <v>0</v>
      </c>
      <c r="U1220" s="602">
        <v>0</v>
      </c>
      <c r="V1220" s="602">
        <v>0</v>
      </c>
      <c r="W1220" s="40"/>
      <c r="X1220" s="504">
        <f t="shared" si="4671"/>
        <v>0</v>
      </c>
      <c r="Y1220" s="850"/>
      <c r="Z1220" s="40"/>
      <c r="AA1220" s="856"/>
      <c r="AB1220" s="856"/>
      <c r="AC1220" s="857"/>
      <c r="AD1220" s="920"/>
      <c r="AE1220" s="40"/>
      <c r="AF1220" s="856"/>
      <c r="AG1220" s="856"/>
      <c r="AH1220" s="857"/>
      <c r="AI1220" s="856"/>
      <c r="AJ1220" s="856"/>
      <c r="AK1220" s="856"/>
      <c r="AL1220" s="856"/>
      <c r="AM1220" s="850"/>
      <c r="AN1220" s="40"/>
      <c r="AO1220" s="882"/>
      <c r="AP1220" s="882"/>
      <c r="AV1220" t="str">
        <f t="shared" si="4514"/>
        <v>BDCC no Km 155+722 - Aterro 03</v>
      </c>
      <c r="AW1220" s="4" t="str">
        <f t="shared" si="4505"/>
        <v>2.5-BDCC 2,50 x 2,50 m - Km 140+572 - Aterro A4 - Bueiro de Concreto - LD</v>
      </c>
    </row>
    <row r="1221" spans="1:49" ht="15.6" customHeight="1" outlineLevel="2">
      <c r="A1221" s="598" t="str">
        <f t="shared" ref="A1221" si="4768">IF(SUM(P1221:V1222)&gt;0,"S","N")</f>
        <v>N</v>
      </c>
      <c r="B1221" s="599">
        <v>1064318</v>
      </c>
      <c r="C1221" s="599" t="s">
        <v>1539</v>
      </c>
      <c r="D1221" s="118" t="s">
        <v>1540</v>
      </c>
      <c r="E1221" s="917" t="s">
        <v>1541</v>
      </c>
      <c r="F1221" s="848" t="s">
        <v>1437</v>
      </c>
      <c r="G1221" s="40"/>
      <c r="H1221" s="600" t="s">
        <v>37</v>
      </c>
      <c r="I1221" s="504">
        <v>1</v>
      </c>
      <c r="J1221" s="849">
        <f t="shared" ref="J1221" si="4769">IFERROR((I1222/I1221),"-")</f>
        <v>0</v>
      </c>
      <c r="K1221" s="40"/>
      <c r="L1221" s="600" t="s">
        <v>37</v>
      </c>
      <c r="M1221" s="504">
        <f t="shared" si="4679"/>
        <v>0</v>
      </c>
      <c r="N1221" s="849" t="str">
        <f t="shared" ref="N1221" si="4770">IFERROR((M1222/M1221),"-")</f>
        <v>-</v>
      </c>
      <c r="O1221" s="40"/>
      <c r="P1221" s="602">
        <v>0</v>
      </c>
      <c r="Q1221" s="602">
        <v>0</v>
      </c>
      <c r="R1221" s="602">
        <v>0</v>
      </c>
      <c r="S1221" s="602">
        <v>0</v>
      </c>
      <c r="T1221" s="602">
        <v>0</v>
      </c>
      <c r="U1221" s="602">
        <v>0</v>
      </c>
      <c r="V1221" s="602">
        <v>0</v>
      </c>
      <c r="W1221" s="40"/>
      <c r="X1221" s="504">
        <f t="shared" si="4671"/>
        <v>0</v>
      </c>
      <c r="Y1221" s="849" t="str">
        <f t="shared" ref="Y1221" si="4771">IFERROR((X1222/X1221),"0")</f>
        <v>0</v>
      </c>
      <c r="Z1221" s="40"/>
      <c r="AA1221" s="855">
        <v>1</v>
      </c>
      <c r="AB1221" s="855">
        <v>1</v>
      </c>
      <c r="AC1221" s="858">
        <v>0</v>
      </c>
      <c r="AD1221" s="849">
        <f t="shared" ref="AD1221" si="4772">IFERROR((AC1221/AB1221),"-")</f>
        <v>0</v>
      </c>
      <c r="AE1221" s="40"/>
      <c r="AF1221" s="855">
        <v>0</v>
      </c>
      <c r="AG1221" s="855"/>
      <c r="AH1221" s="858">
        <v>0</v>
      </c>
      <c r="AI1221" s="855"/>
      <c r="AJ1221" s="855"/>
      <c r="AK1221" s="855">
        <f t="shared" ref="AK1221" si="4773">AF1221+AG1221+AH1221+AI1221+AJ1221+AC1221</f>
        <v>0</v>
      </c>
      <c r="AL1221" s="855">
        <v>1</v>
      </c>
      <c r="AM1221" s="849">
        <f t="shared" ref="AM1221" si="4774">IFERROR((AK1221/AL1221),"-")</f>
        <v>0</v>
      </c>
      <c r="AN1221" s="40"/>
      <c r="AO1221" s="855">
        <v>1</v>
      </c>
      <c r="AP1221" s="855">
        <f t="shared" ref="AP1221" si="4775">AO1221-AK1221</f>
        <v>1</v>
      </c>
      <c r="AV1221" t="str">
        <f t="shared" si="4514"/>
        <v>BDCC no Km 155+722 - Aterro 03</v>
      </c>
      <c r="AW1221" s="4" t="str">
        <f t="shared" si="4505"/>
        <v>2.5-BSCC 2,50 x 2,0 m - Km 141+234 - Aterro A5 - Bueiro de Concreto - LE</v>
      </c>
    </row>
    <row r="1222" spans="1:49" ht="15.6" customHeight="1" outlineLevel="2">
      <c r="A1222" s="598" t="str">
        <f t="shared" ref="A1222" si="4776">A1221</f>
        <v>N</v>
      </c>
      <c r="B1222" s="599"/>
      <c r="C1222" s="599"/>
      <c r="D1222" s="118" t="s">
        <v>1444</v>
      </c>
      <c r="E1222" s="918"/>
      <c r="F1222" s="848"/>
      <c r="G1222" s="40"/>
      <c r="H1222" s="603" t="s">
        <v>38</v>
      </c>
      <c r="I1222" s="504">
        <v>0</v>
      </c>
      <c r="J1222" s="850"/>
      <c r="K1222" s="40"/>
      <c r="L1222" s="603" t="s">
        <v>38</v>
      </c>
      <c r="M1222" s="504">
        <f t="shared" si="4679"/>
        <v>0</v>
      </c>
      <c r="N1222" s="850"/>
      <c r="O1222" s="40"/>
      <c r="P1222" s="602">
        <v>0</v>
      </c>
      <c r="Q1222" s="606">
        <v>0</v>
      </c>
      <c r="R1222" s="602">
        <v>0</v>
      </c>
      <c r="S1222" s="602">
        <v>0</v>
      </c>
      <c r="T1222" s="602">
        <v>0</v>
      </c>
      <c r="U1222" s="602">
        <v>0</v>
      </c>
      <c r="V1222" s="602">
        <v>0</v>
      </c>
      <c r="W1222" s="40"/>
      <c r="X1222" s="504">
        <f t="shared" si="4671"/>
        <v>0</v>
      </c>
      <c r="Y1222" s="850"/>
      <c r="Z1222" s="40"/>
      <c r="AA1222" s="856"/>
      <c r="AB1222" s="856"/>
      <c r="AC1222" s="857"/>
      <c r="AD1222" s="920"/>
      <c r="AE1222" s="40"/>
      <c r="AF1222" s="856"/>
      <c r="AG1222" s="856"/>
      <c r="AH1222" s="857"/>
      <c r="AI1222" s="856"/>
      <c r="AJ1222" s="856"/>
      <c r="AK1222" s="856"/>
      <c r="AL1222" s="856"/>
      <c r="AM1222" s="850"/>
      <c r="AN1222" s="40"/>
      <c r="AO1222" s="882"/>
      <c r="AP1222" s="882"/>
      <c r="AV1222" t="str">
        <f t="shared" si="4514"/>
        <v>BDCC no Km 155+722 - Aterro 03</v>
      </c>
      <c r="AW1222" s="4" t="str">
        <f t="shared" si="4505"/>
        <v>2.5-BSCC 2,50 x 2,0 m - Km 141+234 - Aterro A5 - Bueiro de Concreto - LE</v>
      </c>
    </row>
    <row r="1223" spans="1:49" ht="15.6" customHeight="1" outlineLevel="2">
      <c r="A1223" s="598" t="str">
        <f t="shared" ref="A1223" si="4777">IF(SUM(P1223:V1224)&gt;0,"S","N")</f>
        <v>N</v>
      </c>
      <c r="B1223" s="599">
        <v>1064319</v>
      </c>
      <c r="C1223" s="599" t="s">
        <v>1542</v>
      </c>
      <c r="D1223" s="118" t="s">
        <v>1540</v>
      </c>
      <c r="E1223" s="917" t="s">
        <v>1543</v>
      </c>
      <c r="F1223" s="848" t="s">
        <v>1437</v>
      </c>
      <c r="G1223" s="40"/>
      <c r="H1223" s="600" t="s">
        <v>37</v>
      </c>
      <c r="I1223" s="504">
        <v>1</v>
      </c>
      <c r="J1223" s="849">
        <f t="shared" ref="J1223" si="4778">IFERROR((I1224/I1223),"-")</f>
        <v>0</v>
      </c>
      <c r="K1223" s="40"/>
      <c r="L1223" s="600" t="s">
        <v>37</v>
      </c>
      <c r="M1223" s="504">
        <f t="shared" si="4679"/>
        <v>0</v>
      </c>
      <c r="N1223" s="849" t="str">
        <f t="shared" ref="N1223" si="4779">IFERROR((M1224/M1223),"-")</f>
        <v>-</v>
      </c>
      <c r="O1223" s="40"/>
      <c r="P1223" s="602">
        <v>0</v>
      </c>
      <c r="Q1223" s="602">
        <v>0</v>
      </c>
      <c r="R1223" s="602">
        <v>0</v>
      </c>
      <c r="S1223" s="602">
        <v>0</v>
      </c>
      <c r="T1223" s="602">
        <v>0</v>
      </c>
      <c r="U1223" s="602">
        <v>0</v>
      </c>
      <c r="V1223" s="602">
        <v>0</v>
      </c>
      <c r="W1223" s="40"/>
      <c r="X1223" s="504">
        <f t="shared" si="4671"/>
        <v>0</v>
      </c>
      <c r="Y1223" s="849" t="str">
        <f t="shared" ref="Y1223" si="4780">IFERROR((X1224/X1223),"0")</f>
        <v>0</v>
      </c>
      <c r="Z1223" s="40"/>
      <c r="AA1223" s="855">
        <v>1</v>
      </c>
      <c r="AB1223" s="855">
        <v>1</v>
      </c>
      <c r="AC1223" s="858">
        <v>1</v>
      </c>
      <c r="AD1223" s="849">
        <f t="shared" ref="AD1223" si="4781">IFERROR((AC1223/AB1223),"-")</f>
        <v>1</v>
      </c>
      <c r="AE1223" s="40"/>
      <c r="AF1223" s="855">
        <v>0</v>
      </c>
      <c r="AG1223" s="855"/>
      <c r="AH1223" s="858">
        <v>0</v>
      </c>
      <c r="AI1223" s="855"/>
      <c r="AJ1223" s="855"/>
      <c r="AK1223" s="855">
        <f t="shared" ref="AK1223" si="4782">AF1223+AG1223+AH1223+AI1223+AJ1223+AC1223</f>
        <v>1</v>
      </c>
      <c r="AL1223" s="855">
        <v>1</v>
      </c>
      <c r="AM1223" s="849">
        <f t="shared" ref="AM1223" si="4783">IFERROR((AK1223/AL1223),"-")</f>
        <v>1</v>
      </c>
      <c r="AN1223" s="40"/>
      <c r="AO1223" s="855">
        <v>1</v>
      </c>
      <c r="AP1223" s="855">
        <f t="shared" ref="AP1223" si="4784">AO1223-AK1223</f>
        <v>0</v>
      </c>
      <c r="AV1223" t="str">
        <f t="shared" si="4514"/>
        <v>BDCC no Km 155+722 - Aterro 03</v>
      </c>
      <c r="AW1223" s="4" t="str">
        <f t="shared" si="4505"/>
        <v>2.5-BSCC 2,50 x 2,0 m - Km 141+234 - Aterro A5 - Bueiro de Concreto - LD</v>
      </c>
    </row>
    <row r="1224" spans="1:49" ht="15.6" customHeight="1" outlineLevel="2">
      <c r="A1224" s="598" t="str">
        <f t="shared" ref="A1224" si="4785">A1223</f>
        <v>N</v>
      </c>
      <c r="B1224" s="599"/>
      <c r="C1224" s="599"/>
      <c r="D1224" s="118" t="s">
        <v>1441</v>
      </c>
      <c r="E1224" s="918"/>
      <c r="F1224" s="848"/>
      <c r="G1224" s="40"/>
      <c r="H1224" s="603" t="s">
        <v>38</v>
      </c>
      <c r="I1224" s="504">
        <v>0</v>
      </c>
      <c r="J1224" s="850"/>
      <c r="K1224" s="40"/>
      <c r="L1224" s="603" t="s">
        <v>38</v>
      </c>
      <c r="M1224" s="504">
        <f t="shared" si="4679"/>
        <v>0</v>
      </c>
      <c r="N1224" s="850"/>
      <c r="O1224" s="40"/>
      <c r="P1224" s="602">
        <v>0</v>
      </c>
      <c r="Q1224" s="602">
        <v>0</v>
      </c>
      <c r="R1224" s="602">
        <v>0</v>
      </c>
      <c r="S1224" s="602">
        <v>0</v>
      </c>
      <c r="T1224" s="602">
        <v>0</v>
      </c>
      <c r="U1224" s="602">
        <v>0</v>
      </c>
      <c r="V1224" s="602">
        <v>0</v>
      </c>
      <c r="W1224" s="40"/>
      <c r="X1224" s="504">
        <f t="shared" si="4671"/>
        <v>0</v>
      </c>
      <c r="Y1224" s="850"/>
      <c r="Z1224" s="40"/>
      <c r="AA1224" s="856"/>
      <c r="AB1224" s="856"/>
      <c r="AC1224" s="857"/>
      <c r="AD1224" s="920"/>
      <c r="AE1224" s="40"/>
      <c r="AF1224" s="856"/>
      <c r="AG1224" s="856"/>
      <c r="AH1224" s="857"/>
      <c r="AI1224" s="856"/>
      <c r="AJ1224" s="856"/>
      <c r="AK1224" s="856"/>
      <c r="AL1224" s="856"/>
      <c r="AM1224" s="850"/>
      <c r="AN1224" s="40"/>
      <c r="AO1224" s="882"/>
      <c r="AP1224" s="882"/>
      <c r="AV1224" t="str">
        <f t="shared" si="4514"/>
        <v>BDCC no Km 155+722 - Aterro 03</v>
      </c>
      <c r="AW1224" s="4" t="str">
        <f t="shared" si="4505"/>
        <v>2.5-BSCC 2,50 x 2,0 m - Km 141+234 - Aterro A5 - Bueiro de Concreto - LD</v>
      </c>
    </row>
    <row r="1225" spans="1:49" ht="15.6" customHeight="1" outlineLevel="2">
      <c r="A1225" s="598" t="str">
        <f t="shared" ref="A1225" si="4786">IF(SUM(P1225:V1226)&gt;0,"S","N")</f>
        <v>N</v>
      </c>
      <c r="B1225" s="599">
        <v>1064324</v>
      </c>
      <c r="C1225" s="599" t="s">
        <v>1544</v>
      </c>
      <c r="D1225" s="118" t="s">
        <v>1344</v>
      </c>
      <c r="E1225" s="917" t="s">
        <v>1545</v>
      </c>
      <c r="F1225" s="848" t="s">
        <v>1437</v>
      </c>
      <c r="G1225" s="40"/>
      <c r="H1225" s="600" t="s">
        <v>37</v>
      </c>
      <c r="I1225" s="504">
        <v>1</v>
      </c>
      <c r="J1225" s="849">
        <f t="shared" ref="J1225" si="4787">IFERROR((I1226/I1225),"-")</f>
        <v>0</v>
      </c>
      <c r="K1225" s="40"/>
      <c r="L1225" s="600" t="s">
        <v>37</v>
      </c>
      <c r="M1225" s="504">
        <f t="shared" si="4679"/>
        <v>0</v>
      </c>
      <c r="N1225" s="849" t="str">
        <f t="shared" ref="N1225" si="4788">IFERROR((M1226/M1225),"-")</f>
        <v>-</v>
      </c>
      <c r="O1225" s="40"/>
      <c r="P1225" s="602">
        <v>0</v>
      </c>
      <c r="Q1225" s="602">
        <v>0</v>
      </c>
      <c r="R1225" s="602">
        <v>0</v>
      </c>
      <c r="S1225" s="602">
        <v>0</v>
      </c>
      <c r="T1225" s="602">
        <v>0</v>
      </c>
      <c r="U1225" s="602">
        <v>0</v>
      </c>
      <c r="V1225" s="602">
        <v>0</v>
      </c>
      <c r="W1225" s="40"/>
      <c r="X1225" s="504">
        <f t="shared" si="4671"/>
        <v>0</v>
      </c>
      <c r="Y1225" s="849" t="str">
        <f t="shared" ref="Y1225" si="4789">IFERROR((X1226/X1225),"0")</f>
        <v>0</v>
      </c>
      <c r="Z1225" s="40"/>
      <c r="AA1225" s="855">
        <v>0</v>
      </c>
      <c r="AB1225" s="855">
        <v>0</v>
      </c>
      <c r="AC1225" s="858">
        <v>0</v>
      </c>
      <c r="AD1225" s="849" t="str">
        <f t="shared" ref="AD1225" si="4790">IFERROR((AC1225/AB1225),"-")</f>
        <v>-</v>
      </c>
      <c r="AE1225" s="40"/>
      <c r="AF1225" s="855">
        <v>1</v>
      </c>
      <c r="AG1225" s="855"/>
      <c r="AH1225" s="858">
        <v>0</v>
      </c>
      <c r="AI1225" s="855"/>
      <c r="AJ1225" s="855"/>
      <c r="AK1225" s="855">
        <f t="shared" ref="AK1225" si="4791">AF1225+AG1225+AH1225+AI1225+AJ1225+AC1225</f>
        <v>1</v>
      </c>
      <c r="AL1225" s="855">
        <v>1.0399999999999998</v>
      </c>
      <c r="AM1225" s="849">
        <f t="shared" ref="AM1225" si="4792">IFERROR((AK1225/AL1225),"-")</f>
        <v>0.96153846153846168</v>
      </c>
      <c r="AN1225" s="40"/>
      <c r="AO1225" s="855">
        <v>1</v>
      </c>
      <c r="AP1225" s="855">
        <f t="shared" ref="AP1225" si="4793">AO1225-AK1225</f>
        <v>0</v>
      </c>
      <c r="AV1225" t="str">
        <f t="shared" si="4514"/>
        <v>BDCC no Km 155+722 - Aterro 03</v>
      </c>
      <c r="AW1225" s="4" t="str">
        <f t="shared" ref="AW1225:AW1288" si="4794">IF(E1225&lt;&gt;"",E1225,AW1224)</f>
        <v>2.5-PG BSCC 2,5 x 2,5 m - Km 141+880 - Aterro A6 - Bueiro de Concreto - LE</v>
      </c>
    </row>
    <row r="1226" spans="1:49" ht="15.6" customHeight="1" outlineLevel="2">
      <c r="A1226" s="598" t="str">
        <f t="shared" ref="A1226" si="4795">A1225</f>
        <v>N</v>
      </c>
      <c r="B1226" s="599"/>
      <c r="C1226" s="599"/>
      <c r="D1226" s="118" t="s">
        <v>1444</v>
      </c>
      <c r="E1226" s="918"/>
      <c r="F1226" s="848"/>
      <c r="G1226" s="40"/>
      <c r="H1226" s="603" t="s">
        <v>38</v>
      </c>
      <c r="I1226" s="504">
        <v>0</v>
      </c>
      <c r="J1226" s="850"/>
      <c r="K1226" s="40"/>
      <c r="L1226" s="603" t="s">
        <v>38</v>
      </c>
      <c r="M1226" s="504">
        <f t="shared" si="4679"/>
        <v>0</v>
      </c>
      <c r="N1226" s="850"/>
      <c r="O1226" s="40"/>
      <c r="P1226" s="602">
        <v>0</v>
      </c>
      <c r="Q1226" s="602">
        <v>0</v>
      </c>
      <c r="R1226" s="602">
        <v>0</v>
      </c>
      <c r="S1226" s="602">
        <v>0</v>
      </c>
      <c r="T1226" s="602">
        <v>0</v>
      </c>
      <c r="U1226" s="602">
        <v>0</v>
      </c>
      <c r="V1226" s="602">
        <v>0</v>
      </c>
      <c r="W1226" s="40"/>
      <c r="X1226" s="504">
        <f t="shared" si="4671"/>
        <v>0</v>
      </c>
      <c r="Y1226" s="850"/>
      <c r="Z1226" s="40"/>
      <c r="AA1226" s="856"/>
      <c r="AB1226" s="856"/>
      <c r="AC1226" s="857"/>
      <c r="AD1226" s="920"/>
      <c r="AE1226" s="40"/>
      <c r="AF1226" s="856"/>
      <c r="AG1226" s="856"/>
      <c r="AH1226" s="857"/>
      <c r="AI1226" s="856"/>
      <c r="AJ1226" s="856"/>
      <c r="AK1226" s="856"/>
      <c r="AL1226" s="856"/>
      <c r="AM1226" s="850"/>
      <c r="AN1226" s="40"/>
      <c r="AO1226" s="882"/>
      <c r="AP1226" s="882"/>
      <c r="AV1226" t="str">
        <f t="shared" ref="AV1226:AV1289" si="4796">IF(AX1226="Y",LEFT(E1226,20),IF(AX1226="x",E1226,AV1225))</f>
        <v>BDCC no Km 155+722 - Aterro 03</v>
      </c>
      <c r="AW1226" s="4" t="str">
        <f t="shared" si="4794"/>
        <v>2.5-PG BSCC 2,5 x 2,5 m - Km 141+880 - Aterro A6 - Bueiro de Concreto - LE</v>
      </c>
    </row>
    <row r="1227" spans="1:49" ht="15.6" customHeight="1" outlineLevel="2">
      <c r="A1227" s="598" t="str">
        <f t="shared" ref="A1227" si="4797">IF(SUM(P1227:V1228)&gt;0,"S","N")</f>
        <v>N</v>
      </c>
      <c r="B1227" s="599">
        <v>1064325</v>
      </c>
      <c r="C1227" s="599" t="s">
        <v>1546</v>
      </c>
      <c r="D1227" s="118" t="s">
        <v>1344</v>
      </c>
      <c r="E1227" s="917" t="s">
        <v>1547</v>
      </c>
      <c r="F1227" s="848" t="s">
        <v>1437</v>
      </c>
      <c r="G1227" s="40"/>
      <c r="H1227" s="600" t="s">
        <v>37</v>
      </c>
      <c r="I1227" s="504">
        <v>1</v>
      </c>
      <c r="J1227" s="849">
        <f t="shared" ref="J1227" si="4798">IFERROR((I1228/I1227),"-")</f>
        <v>0</v>
      </c>
      <c r="K1227" s="40"/>
      <c r="L1227" s="600" t="s">
        <v>37</v>
      </c>
      <c r="M1227" s="504">
        <f t="shared" si="4679"/>
        <v>0</v>
      </c>
      <c r="N1227" s="849" t="str">
        <f t="shared" ref="N1227" si="4799">IFERROR((M1228/M1227),"-")</f>
        <v>-</v>
      </c>
      <c r="O1227" s="40"/>
      <c r="P1227" s="602">
        <v>0</v>
      </c>
      <c r="Q1227" s="602">
        <v>0</v>
      </c>
      <c r="R1227" s="602">
        <v>0</v>
      </c>
      <c r="S1227" s="602">
        <v>0</v>
      </c>
      <c r="T1227" s="602">
        <v>0</v>
      </c>
      <c r="U1227" s="602">
        <v>0</v>
      </c>
      <c r="V1227" s="602">
        <v>0</v>
      </c>
      <c r="W1227" s="40"/>
      <c r="X1227" s="504">
        <f t="shared" si="4671"/>
        <v>0</v>
      </c>
      <c r="Y1227" s="849" t="str">
        <f t="shared" ref="Y1227" si="4800">IFERROR((X1228/X1227),"0")</f>
        <v>0</v>
      </c>
      <c r="Z1227" s="40"/>
      <c r="AA1227" s="855">
        <v>0</v>
      </c>
      <c r="AB1227" s="855">
        <v>0</v>
      </c>
      <c r="AC1227" s="858">
        <v>0</v>
      </c>
      <c r="AD1227" s="849" t="str">
        <f t="shared" ref="AD1227" si="4801">IFERROR((AC1227/AB1227),"-")</f>
        <v>-</v>
      </c>
      <c r="AE1227" s="40"/>
      <c r="AF1227" s="855">
        <v>1</v>
      </c>
      <c r="AG1227" s="855"/>
      <c r="AH1227" s="858">
        <v>0</v>
      </c>
      <c r="AI1227" s="855"/>
      <c r="AJ1227" s="855"/>
      <c r="AK1227" s="855">
        <f t="shared" ref="AK1227" si="4802">AF1227+AG1227+AH1227+AI1227+AJ1227+AC1227</f>
        <v>1</v>
      </c>
      <c r="AL1227" s="855">
        <v>1.0399999999999998</v>
      </c>
      <c r="AM1227" s="849">
        <f t="shared" ref="AM1227" si="4803">IFERROR((AK1227/AL1227),"-")</f>
        <v>0.96153846153846168</v>
      </c>
      <c r="AN1227" s="40"/>
      <c r="AO1227" s="855">
        <v>1</v>
      </c>
      <c r="AP1227" s="855">
        <f t="shared" ref="AP1227" si="4804">AO1227-AK1227</f>
        <v>0</v>
      </c>
      <c r="AV1227" t="str">
        <f t="shared" si="4796"/>
        <v>BDCC no Km 155+722 - Aterro 03</v>
      </c>
      <c r="AW1227" s="4" t="str">
        <f t="shared" si="4794"/>
        <v>2.5-PG BSCC 2,5 x 2,5 m - Km 141+880 - Aterro A6 - Bueiro de Concreto - LD</v>
      </c>
    </row>
    <row r="1228" spans="1:49" ht="15.6" customHeight="1" outlineLevel="2">
      <c r="A1228" s="598" t="str">
        <f t="shared" ref="A1228" si="4805">A1227</f>
        <v>N</v>
      </c>
      <c r="B1228" s="599"/>
      <c r="C1228" s="599"/>
      <c r="D1228" s="118" t="s">
        <v>1441</v>
      </c>
      <c r="E1228" s="918"/>
      <c r="F1228" s="848"/>
      <c r="G1228" s="40"/>
      <c r="H1228" s="603" t="s">
        <v>38</v>
      </c>
      <c r="I1228" s="504">
        <v>0</v>
      </c>
      <c r="J1228" s="850"/>
      <c r="K1228" s="40"/>
      <c r="L1228" s="603" t="s">
        <v>38</v>
      </c>
      <c r="M1228" s="504">
        <f t="shared" si="4679"/>
        <v>0</v>
      </c>
      <c r="N1228" s="850"/>
      <c r="O1228" s="40"/>
      <c r="P1228" s="602">
        <v>0</v>
      </c>
      <c r="Q1228" s="602">
        <v>0</v>
      </c>
      <c r="R1228" s="602">
        <v>0</v>
      </c>
      <c r="S1228" s="602">
        <v>0</v>
      </c>
      <c r="T1228" s="602">
        <v>0</v>
      </c>
      <c r="U1228" s="602">
        <v>0</v>
      </c>
      <c r="V1228" s="602">
        <v>0</v>
      </c>
      <c r="W1228" s="40"/>
      <c r="X1228" s="504">
        <f t="shared" si="4671"/>
        <v>0</v>
      </c>
      <c r="Y1228" s="850"/>
      <c r="Z1228" s="40"/>
      <c r="AA1228" s="856"/>
      <c r="AB1228" s="856"/>
      <c r="AC1228" s="857"/>
      <c r="AD1228" s="920"/>
      <c r="AE1228" s="40"/>
      <c r="AF1228" s="856"/>
      <c r="AG1228" s="856"/>
      <c r="AH1228" s="857"/>
      <c r="AI1228" s="856"/>
      <c r="AJ1228" s="856"/>
      <c r="AK1228" s="856"/>
      <c r="AL1228" s="856"/>
      <c r="AM1228" s="850"/>
      <c r="AN1228" s="40"/>
      <c r="AO1228" s="882"/>
      <c r="AP1228" s="882"/>
      <c r="AV1228" t="str">
        <f t="shared" si="4796"/>
        <v>BDCC no Km 155+722 - Aterro 03</v>
      </c>
      <c r="AW1228" s="4" t="str">
        <f t="shared" si="4794"/>
        <v>2.5-PG BSCC 2,5 x 2,5 m - Km 141+880 - Aterro A6 - Bueiro de Concreto - LD</v>
      </c>
    </row>
    <row r="1229" spans="1:49" ht="15.6" customHeight="1" outlineLevel="2">
      <c r="A1229" s="598" t="str">
        <f t="shared" ref="A1229" si="4806">IF(SUM(P1229:V1230)&gt;0,"S","N")</f>
        <v>S</v>
      </c>
      <c r="B1229" s="599">
        <v>1064327</v>
      </c>
      <c r="C1229" s="599" t="s">
        <v>1548</v>
      </c>
      <c r="D1229" s="118" t="s">
        <v>1549</v>
      </c>
      <c r="E1229" s="917" t="s">
        <v>1550</v>
      </c>
      <c r="F1229" s="848" t="s">
        <v>1437</v>
      </c>
      <c r="G1229" s="40"/>
      <c r="H1229" s="600" t="s">
        <v>37</v>
      </c>
      <c r="I1229" s="504">
        <v>0</v>
      </c>
      <c r="J1229" s="849" t="str">
        <f t="shared" ref="J1229" si="4807">IFERROR((I1230/I1229),"-")</f>
        <v>-</v>
      </c>
      <c r="K1229" s="40"/>
      <c r="L1229" s="600" t="s">
        <v>37</v>
      </c>
      <c r="M1229" s="504" t="str">
        <f t="shared" si="4679"/>
        <v>x</v>
      </c>
      <c r="N1229" s="849" t="str">
        <f t="shared" ref="N1229" si="4808">IFERROR((M1230/M1229),"-")</f>
        <v>-</v>
      </c>
      <c r="O1229" s="40"/>
      <c r="P1229" s="602" t="s">
        <v>176</v>
      </c>
      <c r="Q1229" s="602" t="s">
        <v>176</v>
      </c>
      <c r="R1229" s="602">
        <v>1</v>
      </c>
      <c r="S1229" s="602">
        <v>0</v>
      </c>
      <c r="T1229" s="602">
        <v>0</v>
      </c>
      <c r="U1229" s="602">
        <v>0</v>
      </c>
      <c r="V1229" s="602">
        <v>0</v>
      </c>
      <c r="W1229" s="40"/>
      <c r="X1229" s="504">
        <f t="shared" si="4671"/>
        <v>0</v>
      </c>
      <c r="Y1229" s="849" t="str">
        <f t="shared" ref="Y1229" si="4809">IFERROR((X1230/X1229),"0")</f>
        <v>0</v>
      </c>
      <c r="Z1229" s="40"/>
      <c r="AA1229" s="855">
        <v>0</v>
      </c>
      <c r="AB1229" s="855">
        <v>0</v>
      </c>
      <c r="AC1229" s="858">
        <v>1</v>
      </c>
      <c r="AD1229" s="849" t="str">
        <f t="shared" ref="AD1229" si="4810">IFERROR((AC1229/AB1229),"-")</f>
        <v>-</v>
      </c>
      <c r="AE1229" s="40"/>
      <c r="AF1229" s="855">
        <v>0</v>
      </c>
      <c r="AG1229" s="855"/>
      <c r="AH1229" s="858">
        <v>0</v>
      </c>
      <c r="AI1229" s="855"/>
      <c r="AJ1229" s="855"/>
      <c r="AK1229" s="855">
        <f t="shared" ref="AK1229" si="4811">AF1229+AG1229+AH1229+AI1229+AJ1229+AC1229</f>
        <v>1</v>
      </c>
      <c r="AL1229" s="855">
        <v>0</v>
      </c>
      <c r="AM1229" s="849" t="str">
        <f t="shared" ref="AM1229" si="4812">IFERROR((AK1229/AL1229),"-")</f>
        <v>-</v>
      </c>
      <c r="AN1229" s="40"/>
      <c r="AO1229" s="855">
        <v>1</v>
      </c>
      <c r="AP1229" s="855">
        <f t="shared" ref="AP1229" si="4813">AO1229-AK1229</f>
        <v>0</v>
      </c>
      <c r="AV1229" t="str">
        <f t="shared" si="4796"/>
        <v>BDCC no Km 155+722 - Aterro 03</v>
      </c>
      <c r="AW1229" s="4" t="str">
        <f t="shared" si="4794"/>
        <v>2.5-BDCC 2,50 x 2,50 m - Km 142+107 - Aterro A6 - Bueiro de Concreto - LE</v>
      </c>
    </row>
    <row r="1230" spans="1:49" ht="15.6" customHeight="1" outlineLevel="2">
      <c r="A1230" s="598" t="str">
        <f t="shared" ref="A1230" si="4814">A1229</f>
        <v>S</v>
      </c>
      <c r="B1230" s="599"/>
      <c r="C1230" s="599"/>
      <c r="D1230" s="118" t="s">
        <v>1444</v>
      </c>
      <c r="E1230" s="918"/>
      <c r="F1230" s="848"/>
      <c r="G1230" s="40"/>
      <c r="H1230" s="603" t="s">
        <v>38</v>
      </c>
      <c r="I1230" s="504">
        <v>0</v>
      </c>
      <c r="J1230" s="850"/>
      <c r="K1230" s="40"/>
      <c r="L1230" s="603" t="s">
        <v>38</v>
      </c>
      <c r="M1230" s="504">
        <f t="shared" si="4679"/>
        <v>0</v>
      </c>
      <c r="N1230" s="850"/>
      <c r="O1230" s="40"/>
      <c r="P1230" s="602">
        <v>0</v>
      </c>
      <c r="Q1230" s="602">
        <v>0</v>
      </c>
      <c r="R1230" s="602">
        <v>0</v>
      </c>
      <c r="S1230" s="602">
        <v>0</v>
      </c>
      <c r="T1230" s="602">
        <v>0</v>
      </c>
      <c r="U1230" s="602">
        <v>0</v>
      </c>
      <c r="V1230" s="602">
        <v>0</v>
      </c>
      <c r="W1230" s="40"/>
      <c r="X1230" s="504">
        <f t="shared" si="4671"/>
        <v>0</v>
      </c>
      <c r="Y1230" s="850"/>
      <c r="Z1230" s="40"/>
      <c r="AA1230" s="856"/>
      <c r="AB1230" s="856"/>
      <c r="AC1230" s="857"/>
      <c r="AD1230" s="920"/>
      <c r="AE1230" s="40"/>
      <c r="AF1230" s="856"/>
      <c r="AG1230" s="856"/>
      <c r="AH1230" s="857"/>
      <c r="AI1230" s="856"/>
      <c r="AJ1230" s="856"/>
      <c r="AK1230" s="856"/>
      <c r="AL1230" s="856"/>
      <c r="AM1230" s="850"/>
      <c r="AN1230" s="40"/>
      <c r="AO1230" s="882"/>
      <c r="AP1230" s="882"/>
      <c r="AV1230" t="str">
        <f t="shared" si="4796"/>
        <v>BDCC no Km 155+722 - Aterro 03</v>
      </c>
      <c r="AW1230" s="4" t="str">
        <f t="shared" si="4794"/>
        <v>2.5-BDCC 2,50 x 2,50 m - Km 142+107 - Aterro A6 - Bueiro de Concreto - LE</v>
      </c>
    </row>
    <row r="1231" spans="1:49" ht="15.6" customHeight="1" outlineLevel="2">
      <c r="A1231" s="598" t="str">
        <f t="shared" ref="A1231" si="4815">IF(SUM(P1231:V1232)&gt;0,"S","N")</f>
        <v>N</v>
      </c>
      <c r="B1231" s="599">
        <v>1064328</v>
      </c>
      <c r="C1231" s="599" t="s">
        <v>1551</v>
      </c>
      <c r="D1231" s="118" t="s">
        <v>1549</v>
      </c>
      <c r="E1231" s="917" t="s">
        <v>1552</v>
      </c>
      <c r="F1231" s="848" t="s">
        <v>1437</v>
      </c>
      <c r="G1231" s="40"/>
      <c r="H1231" s="600" t="s">
        <v>37</v>
      </c>
      <c r="I1231" s="504">
        <v>0</v>
      </c>
      <c r="J1231" s="849" t="str">
        <f t="shared" ref="J1231" si="4816">IFERROR((I1232/I1231),"-")</f>
        <v>-</v>
      </c>
      <c r="K1231" s="40"/>
      <c r="L1231" s="600" t="s">
        <v>37</v>
      </c>
      <c r="M1231" s="504">
        <f t="shared" si="4679"/>
        <v>0</v>
      </c>
      <c r="N1231" s="849" t="str">
        <f t="shared" ref="N1231" si="4817">IFERROR((M1232/M1231),"-")</f>
        <v>-</v>
      </c>
      <c r="O1231" s="40"/>
      <c r="P1231" s="602">
        <v>0</v>
      </c>
      <c r="Q1231" s="602">
        <v>0</v>
      </c>
      <c r="R1231" s="602">
        <v>0</v>
      </c>
      <c r="S1231" s="602">
        <v>0</v>
      </c>
      <c r="T1231" s="602">
        <v>0</v>
      </c>
      <c r="U1231" s="602">
        <v>0</v>
      </c>
      <c r="V1231" s="602">
        <v>0</v>
      </c>
      <c r="W1231" s="40"/>
      <c r="X1231" s="504">
        <f t="shared" si="4671"/>
        <v>0</v>
      </c>
      <c r="Y1231" s="849" t="str">
        <f t="shared" ref="Y1231" si="4818">IFERROR((X1232/X1231),"0")</f>
        <v>0</v>
      </c>
      <c r="Z1231" s="40"/>
      <c r="AA1231" s="855">
        <v>0</v>
      </c>
      <c r="AB1231" s="855">
        <v>0</v>
      </c>
      <c r="AC1231" s="858">
        <v>1</v>
      </c>
      <c r="AD1231" s="849" t="str">
        <f t="shared" ref="AD1231" si="4819">IFERROR((AC1231/AB1231),"-")</f>
        <v>-</v>
      </c>
      <c r="AE1231" s="40"/>
      <c r="AF1231" s="855">
        <v>0</v>
      </c>
      <c r="AG1231" s="855"/>
      <c r="AH1231" s="858">
        <v>0</v>
      </c>
      <c r="AI1231" s="855"/>
      <c r="AJ1231" s="855"/>
      <c r="AK1231" s="855">
        <f t="shared" ref="AK1231" si="4820">AF1231+AG1231+AH1231+AI1231+AJ1231+AC1231</f>
        <v>1</v>
      </c>
      <c r="AL1231" s="855">
        <v>1.0000000000000002</v>
      </c>
      <c r="AM1231" s="849">
        <f t="shared" ref="AM1231" si="4821">IFERROR((AK1231/AL1231),"-")</f>
        <v>0.99999999999999978</v>
      </c>
      <c r="AN1231" s="40"/>
      <c r="AO1231" s="855">
        <v>1</v>
      </c>
      <c r="AP1231" s="855">
        <f t="shared" ref="AP1231" si="4822">AO1231-AK1231</f>
        <v>0</v>
      </c>
      <c r="AV1231" t="str">
        <f t="shared" si="4796"/>
        <v>BDCC no Km 155+722 - Aterro 03</v>
      </c>
      <c r="AW1231" s="4" t="str">
        <f t="shared" si="4794"/>
        <v>2.5-BDCC 2,50 x 2,50 m - Km 142+107 - Aterro A6 - Bueiro de Concreto - LD</v>
      </c>
    </row>
    <row r="1232" spans="1:49" ht="15.6" customHeight="1" outlineLevel="2">
      <c r="A1232" s="598" t="str">
        <f t="shared" ref="A1232" si="4823">A1231</f>
        <v>N</v>
      </c>
      <c r="B1232" s="599"/>
      <c r="C1232" s="599"/>
      <c r="D1232" s="118" t="s">
        <v>1441</v>
      </c>
      <c r="E1232" s="918"/>
      <c r="F1232" s="848"/>
      <c r="G1232" s="40"/>
      <c r="H1232" s="603" t="s">
        <v>38</v>
      </c>
      <c r="I1232" s="504">
        <v>0</v>
      </c>
      <c r="J1232" s="850"/>
      <c r="K1232" s="40"/>
      <c r="L1232" s="603" t="s">
        <v>38</v>
      </c>
      <c r="M1232" s="504">
        <f t="shared" si="4679"/>
        <v>0</v>
      </c>
      <c r="N1232" s="850"/>
      <c r="O1232" s="40"/>
      <c r="P1232" s="602">
        <v>0</v>
      </c>
      <c r="Q1232" s="602">
        <v>0</v>
      </c>
      <c r="R1232" s="602">
        <v>0</v>
      </c>
      <c r="S1232" s="602">
        <v>0</v>
      </c>
      <c r="T1232" s="602">
        <v>0</v>
      </c>
      <c r="U1232" s="602">
        <v>0</v>
      </c>
      <c r="V1232" s="602">
        <v>0</v>
      </c>
      <c r="W1232" s="40"/>
      <c r="X1232" s="504">
        <f t="shared" si="4671"/>
        <v>0</v>
      </c>
      <c r="Y1232" s="850"/>
      <c r="Z1232" s="40"/>
      <c r="AA1232" s="856"/>
      <c r="AB1232" s="856"/>
      <c r="AC1232" s="857"/>
      <c r="AD1232" s="920"/>
      <c r="AE1232" s="40"/>
      <c r="AF1232" s="856"/>
      <c r="AG1232" s="856"/>
      <c r="AH1232" s="857"/>
      <c r="AI1232" s="856"/>
      <c r="AJ1232" s="856"/>
      <c r="AK1232" s="856"/>
      <c r="AL1232" s="856"/>
      <c r="AM1232" s="850"/>
      <c r="AN1232" s="40"/>
      <c r="AO1232" s="882"/>
      <c r="AP1232" s="882"/>
      <c r="AV1232" t="str">
        <f t="shared" si="4796"/>
        <v>BDCC no Km 155+722 - Aterro 03</v>
      </c>
      <c r="AW1232" s="4" t="str">
        <f t="shared" si="4794"/>
        <v>2.5-BDCC 2,50 x 2,50 m - Km 142+107 - Aterro A6 - Bueiro de Concreto - LD</v>
      </c>
    </row>
    <row r="1233" spans="1:49" ht="15.6" customHeight="1" outlineLevel="2">
      <c r="A1233" s="598" t="str">
        <f t="shared" ref="A1233" si="4824">IF(SUM(P1233:V1234)&gt;0,"S","N")</f>
        <v>N</v>
      </c>
      <c r="B1233" s="599">
        <v>1064331</v>
      </c>
      <c r="C1233" s="599" t="s">
        <v>1553</v>
      </c>
      <c r="D1233" s="118" t="s">
        <v>1554</v>
      </c>
      <c r="E1233" s="917" t="s">
        <v>1555</v>
      </c>
      <c r="F1233" s="848" t="s">
        <v>1437</v>
      </c>
      <c r="G1233" s="40"/>
      <c r="H1233" s="600" t="s">
        <v>37</v>
      </c>
      <c r="I1233" s="504">
        <v>0</v>
      </c>
      <c r="J1233" s="849" t="str">
        <f t="shared" ref="J1233" si="4825">IFERROR((I1234/I1233),"-")</f>
        <v>-</v>
      </c>
      <c r="K1233" s="40"/>
      <c r="L1233" s="600" t="s">
        <v>37</v>
      </c>
      <c r="M1233" s="504">
        <f t="shared" si="4679"/>
        <v>0</v>
      </c>
      <c r="N1233" s="849" t="str">
        <f t="shared" ref="N1233" si="4826">IFERROR((M1234/M1233),"-")</f>
        <v>-</v>
      </c>
      <c r="O1233" s="40"/>
      <c r="P1233" s="602">
        <v>0</v>
      </c>
      <c r="Q1233" s="602">
        <v>0</v>
      </c>
      <c r="R1233" s="602">
        <v>0</v>
      </c>
      <c r="S1233" s="602">
        <v>0</v>
      </c>
      <c r="T1233" s="602">
        <v>0</v>
      </c>
      <c r="U1233" s="602">
        <v>0</v>
      </c>
      <c r="V1233" s="602">
        <v>0</v>
      </c>
      <c r="W1233" s="40"/>
      <c r="X1233" s="504">
        <f t="shared" si="4671"/>
        <v>0</v>
      </c>
      <c r="Y1233" s="849" t="str">
        <f t="shared" ref="Y1233" si="4827">IFERROR((X1234/X1233),"0")</f>
        <v>0</v>
      </c>
      <c r="Z1233" s="40"/>
      <c r="AA1233" s="855">
        <v>0</v>
      </c>
      <c r="AB1233" s="855">
        <v>0</v>
      </c>
      <c r="AC1233" s="858">
        <v>0</v>
      </c>
      <c r="AD1233" s="849" t="str">
        <f t="shared" ref="AD1233" si="4828">IFERROR((AC1233/AB1233),"-")</f>
        <v>-</v>
      </c>
      <c r="AE1233" s="40"/>
      <c r="AF1233" s="855">
        <v>1</v>
      </c>
      <c r="AG1233" s="855"/>
      <c r="AH1233" s="858">
        <v>0</v>
      </c>
      <c r="AI1233" s="855"/>
      <c r="AJ1233" s="855"/>
      <c r="AK1233" s="855">
        <f t="shared" ref="AK1233" si="4829">AF1233+AG1233+AH1233+AI1233+AJ1233+AC1233</f>
        <v>1</v>
      </c>
      <c r="AL1233" s="855">
        <v>1.01</v>
      </c>
      <c r="AM1233" s="849">
        <f t="shared" ref="AM1233" si="4830">IFERROR((AK1233/AL1233),"-")</f>
        <v>0.99009900990099009</v>
      </c>
      <c r="AN1233" s="40"/>
      <c r="AO1233" s="855">
        <v>1</v>
      </c>
      <c r="AP1233" s="855">
        <f t="shared" ref="AP1233" si="4831">AO1233-AK1233</f>
        <v>0</v>
      </c>
      <c r="AV1233" t="str">
        <f t="shared" si="4796"/>
        <v>BDCC no Km 155+722 - Aterro 03</v>
      </c>
      <c r="AW1233" s="4" t="str">
        <f t="shared" si="4794"/>
        <v>2.5-PG BSCC 2,5 x 2,5 m - Km 143+017 - Aterro A6 - Bueiro de Concreto - LE</v>
      </c>
    </row>
    <row r="1234" spans="1:49" ht="15.6" customHeight="1" outlineLevel="2">
      <c r="A1234" s="598" t="str">
        <f t="shared" ref="A1234" si="4832">A1233</f>
        <v>N</v>
      </c>
      <c r="B1234" s="599"/>
      <c r="C1234" s="599"/>
      <c r="D1234" s="118" t="s">
        <v>1444</v>
      </c>
      <c r="E1234" s="918"/>
      <c r="F1234" s="848"/>
      <c r="G1234" s="40"/>
      <c r="H1234" s="603" t="s">
        <v>38</v>
      </c>
      <c r="I1234" s="504">
        <v>0</v>
      </c>
      <c r="J1234" s="850"/>
      <c r="K1234" s="40"/>
      <c r="L1234" s="603" t="s">
        <v>38</v>
      </c>
      <c r="M1234" s="504">
        <f t="shared" si="4679"/>
        <v>0</v>
      </c>
      <c r="N1234" s="850"/>
      <c r="O1234" s="40"/>
      <c r="P1234" s="602">
        <v>0</v>
      </c>
      <c r="Q1234" s="602">
        <v>0</v>
      </c>
      <c r="R1234" s="602">
        <v>0</v>
      </c>
      <c r="S1234" s="602">
        <v>0</v>
      </c>
      <c r="T1234" s="602">
        <v>0</v>
      </c>
      <c r="U1234" s="602">
        <v>0</v>
      </c>
      <c r="V1234" s="602">
        <v>0</v>
      </c>
      <c r="W1234" s="40"/>
      <c r="X1234" s="504">
        <f t="shared" si="4671"/>
        <v>0</v>
      </c>
      <c r="Y1234" s="850"/>
      <c r="Z1234" s="40"/>
      <c r="AA1234" s="856"/>
      <c r="AB1234" s="856"/>
      <c r="AC1234" s="857"/>
      <c r="AD1234" s="920"/>
      <c r="AE1234" s="40"/>
      <c r="AF1234" s="856"/>
      <c r="AG1234" s="856"/>
      <c r="AH1234" s="857"/>
      <c r="AI1234" s="856"/>
      <c r="AJ1234" s="856"/>
      <c r="AK1234" s="856"/>
      <c r="AL1234" s="856"/>
      <c r="AM1234" s="850"/>
      <c r="AN1234" s="40"/>
      <c r="AO1234" s="882"/>
      <c r="AP1234" s="882"/>
      <c r="AV1234" t="str">
        <f t="shared" si="4796"/>
        <v>BDCC no Km 155+722 - Aterro 03</v>
      </c>
      <c r="AW1234" s="4" t="str">
        <f t="shared" si="4794"/>
        <v>2.5-PG BSCC 2,5 x 2,5 m - Km 143+017 - Aterro A6 - Bueiro de Concreto - LE</v>
      </c>
    </row>
    <row r="1235" spans="1:49" ht="15.6" customHeight="1" outlineLevel="2">
      <c r="A1235" s="598" t="str">
        <f t="shared" ref="A1235" si="4833">IF(SUM(P1235:V1236)&gt;0,"S","N")</f>
        <v>N</v>
      </c>
      <c r="B1235" s="599">
        <v>1064332</v>
      </c>
      <c r="C1235" s="599" t="s">
        <v>1556</v>
      </c>
      <c r="D1235" s="118" t="s">
        <v>1554</v>
      </c>
      <c r="E1235" s="917" t="s">
        <v>1557</v>
      </c>
      <c r="F1235" s="848" t="s">
        <v>1437</v>
      </c>
      <c r="G1235" s="40"/>
      <c r="H1235" s="600" t="s">
        <v>37</v>
      </c>
      <c r="I1235" s="504">
        <v>0</v>
      </c>
      <c r="J1235" s="849" t="str">
        <f t="shared" ref="J1235" si="4834">IFERROR((I1236/I1235),"-")</f>
        <v>-</v>
      </c>
      <c r="K1235" s="40"/>
      <c r="L1235" s="600" t="s">
        <v>37</v>
      </c>
      <c r="M1235" s="504">
        <f t="shared" si="4679"/>
        <v>0</v>
      </c>
      <c r="N1235" s="849" t="str">
        <f t="shared" ref="N1235" si="4835">IFERROR((M1236/M1235),"-")</f>
        <v>-</v>
      </c>
      <c r="O1235" s="40"/>
      <c r="P1235" s="602">
        <v>0</v>
      </c>
      <c r="Q1235" s="602">
        <v>0</v>
      </c>
      <c r="R1235" s="602">
        <v>0</v>
      </c>
      <c r="S1235" s="602">
        <v>0</v>
      </c>
      <c r="T1235" s="602">
        <v>0</v>
      </c>
      <c r="U1235" s="602">
        <v>0</v>
      </c>
      <c r="V1235" s="602">
        <v>0</v>
      </c>
      <c r="W1235" s="40"/>
      <c r="X1235" s="504">
        <f t="shared" si="4671"/>
        <v>0</v>
      </c>
      <c r="Y1235" s="849" t="str">
        <f t="shared" ref="Y1235" si="4836">IFERROR((X1236/X1235),"0")</f>
        <v>0</v>
      </c>
      <c r="Z1235" s="40"/>
      <c r="AA1235" s="855">
        <v>0</v>
      </c>
      <c r="AB1235" s="855">
        <v>0</v>
      </c>
      <c r="AC1235" s="858">
        <v>0</v>
      </c>
      <c r="AD1235" s="849" t="str">
        <f t="shared" ref="AD1235" si="4837">IFERROR((AC1235/AB1235),"-")</f>
        <v>-</v>
      </c>
      <c r="AE1235" s="40"/>
      <c r="AF1235" s="855">
        <v>1</v>
      </c>
      <c r="AG1235" s="855"/>
      <c r="AH1235" s="858">
        <v>0</v>
      </c>
      <c r="AI1235" s="855"/>
      <c r="AJ1235" s="855"/>
      <c r="AK1235" s="855">
        <f t="shared" ref="AK1235" si="4838">AF1235+AG1235+AH1235+AI1235+AJ1235+AC1235</f>
        <v>1</v>
      </c>
      <c r="AL1235" s="855">
        <v>1.01</v>
      </c>
      <c r="AM1235" s="849">
        <f t="shared" ref="AM1235" si="4839">IFERROR((AK1235/AL1235),"-")</f>
        <v>0.99009900990099009</v>
      </c>
      <c r="AN1235" s="40"/>
      <c r="AO1235" s="855">
        <v>1</v>
      </c>
      <c r="AP1235" s="855">
        <f t="shared" ref="AP1235" si="4840">AO1235-AK1235</f>
        <v>0</v>
      </c>
      <c r="AV1235" t="str">
        <f t="shared" si="4796"/>
        <v>BDCC no Km 155+722 - Aterro 03</v>
      </c>
      <c r="AW1235" s="4" t="str">
        <f t="shared" si="4794"/>
        <v>2.5-PG BSCC 2,5 x 2,5 m - Km 143+017 - Aterro A6 - Bueiro de Concreto - LD</v>
      </c>
    </row>
    <row r="1236" spans="1:49" ht="15.6" customHeight="1" outlineLevel="2">
      <c r="A1236" s="598" t="str">
        <f t="shared" ref="A1236" si="4841">A1235</f>
        <v>N</v>
      </c>
      <c r="B1236" s="599"/>
      <c r="C1236" s="599"/>
      <c r="D1236" s="118" t="s">
        <v>1441</v>
      </c>
      <c r="E1236" s="918"/>
      <c r="F1236" s="848"/>
      <c r="G1236" s="40"/>
      <c r="H1236" s="603" t="s">
        <v>38</v>
      </c>
      <c r="I1236" s="504">
        <v>0</v>
      </c>
      <c r="J1236" s="850"/>
      <c r="K1236" s="40"/>
      <c r="L1236" s="603" t="s">
        <v>38</v>
      </c>
      <c r="M1236" s="504">
        <f t="shared" si="4679"/>
        <v>0</v>
      </c>
      <c r="N1236" s="850"/>
      <c r="O1236" s="40"/>
      <c r="P1236" s="602">
        <v>0</v>
      </c>
      <c r="Q1236" s="602">
        <v>0</v>
      </c>
      <c r="R1236" s="602">
        <v>0</v>
      </c>
      <c r="S1236" s="602">
        <v>0</v>
      </c>
      <c r="T1236" s="602">
        <v>0</v>
      </c>
      <c r="U1236" s="602">
        <v>0</v>
      </c>
      <c r="V1236" s="602">
        <v>0</v>
      </c>
      <c r="W1236" s="40"/>
      <c r="X1236" s="504">
        <f t="shared" si="4671"/>
        <v>0</v>
      </c>
      <c r="Y1236" s="850"/>
      <c r="Z1236" s="40"/>
      <c r="AA1236" s="856"/>
      <c r="AB1236" s="856"/>
      <c r="AC1236" s="857"/>
      <c r="AD1236" s="920"/>
      <c r="AE1236" s="40"/>
      <c r="AF1236" s="856"/>
      <c r="AG1236" s="856"/>
      <c r="AH1236" s="857"/>
      <c r="AI1236" s="856"/>
      <c r="AJ1236" s="856"/>
      <c r="AK1236" s="856"/>
      <c r="AL1236" s="856"/>
      <c r="AM1236" s="850"/>
      <c r="AN1236" s="40"/>
      <c r="AO1236" s="882"/>
      <c r="AP1236" s="882"/>
      <c r="AV1236" t="str">
        <f t="shared" si="4796"/>
        <v>BDCC no Km 155+722 - Aterro 03</v>
      </c>
      <c r="AW1236" s="4" t="str">
        <f t="shared" si="4794"/>
        <v>2.5-PG BSCC 2,5 x 2,5 m - Km 143+017 - Aterro A6 - Bueiro de Concreto - LD</v>
      </c>
    </row>
    <row r="1237" spans="1:49" ht="15.6" customHeight="1" outlineLevel="2">
      <c r="A1237" s="598" t="str">
        <f t="shared" ref="A1237" si="4842">IF(SUM(P1237:V1238)&gt;0,"S","N")</f>
        <v>N</v>
      </c>
      <c r="B1237" s="599">
        <v>1064334</v>
      </c>
      <c r="C1237" s="599" t="s">
        <v>1558</v>
      </c>
      <c r="D1237" s="118" t="s">
        <v>1399</v>
      </c>
      <c r="E1237" s="917" t="s">
        <v>1559</v>
      </c>
      <c r="F1237" s="848" t="s">
        <v>1437</v>
      </c>
      <c r="G1237" s="40"/>
      <c r="H1237" s="600" t="s">
        <v>37</v>
      </c>
      <c r="I1237" s="504">
        <v>0</v>
      </c>
      <c r="J1237" s="849" t="str">
        <f t="shared" ref="J1237" si="4843">IFERROR((I1238/I1237),"-")</f>
        <v>-</v>
      </c>
      <c r="K1237" s="40"/>
      <c r="L1237" s="600" t="s">
        <v>37</v>
      </c>
      <c r="M1237" s="504">
        <f t="shared" si="4679"/>
        <v>0</v>
      </c>
      <c r="N1237" s="849" t="str">
        <f t="shared" ref="N1237" si="4844">IFERROR((M1238/M1237),"-")</f>
        <v>-</v>
      </c>
      <c r="O1237" s="40"/>
      <c r="P1237" s="602">
        <v>0</v>
      </c>
      <c r="Q1237" s="602">
        <v>0</v>
      </c>
      <c r="R1237" s="602">
        <v>0</v>
      </c>
      <c r="S1237" s="602">
        <v>0</v>
      </c>
      <c r="T1237" s="602" t="s">
        <v>1434</v>
      </c>
      <c r="U1237" s="602" t="s">
        <v>1434</v>
      </c>
      <c r="V1237" s="602">
        <v>0</v>
      </c>
      <c r="W1237" s="40"/>
      <c r="X1237" s="504">
        <f t="shared" si="4671"/>
        <v>0</v>
      </c>
      <c r="Y1237" s="849" t="str">
        <f t="shared" ref="Y1237" si="4845">IFERROR((X1238/X1237),"0")</f>
        <v>0</v>
      </c>
      <c r="Z1237" s="40"/>
      <c r="AA1237" s="855">
        <v>0</v>
      </c>
      <c r="AB1237" s="855">
        <v>0</v>
      </c>
      <c r="AC1237" s="858">
        <v>0</v>
      </c>
      <c r="AD1237" s="849" t="str">
        <f t="shared" ref="AD1237" si="4846">IFERROR((AC1237/AB1237),"-")</f>
        <v>-</v>
      </c>
      <c r="AE1237" s="40"/>
      <c r="AF1237" s="855">
        <v>0</v>
      </c>
      <c r="AG1237" s="855"/>
      <c r="AH1237" s="858">
        <v>0</v>
      </c>
      <c r="AI1237" s="855"/>
      <c r="AJ1237" s="855"/>
      <c r="AK1237" s="855">
        <f t="shared" ref="AK1237" si="4847">AF1237+AG1237+AH1237+AI1237+AJ1237+AC1237</f>
        <v>0</v>
      </c>
      <c r="AL1237" s="855">
        <v>0</v>
      </c>
      <c r="AM1237" s="849" t="str">
        <f t="shared" ref="AM1237" si="4848">IFERROR((AK1237/AL1237),"-")</f>
        <v>-</v>
      </c>
      <c r="AN1237" s="40"/>
      <c r="AO1237" s="855">
        <v>1</v>
      </c>
      <c r="AP1237" s="855">
        <f t="shared" ref="AP1237" si="4849">AO1237-AK1237</f>
        <v>1</v>
      </c>
      <c r="AV1237" t="str">
        <f t="shared" si="4796"/>
        <v>BDCC no Km 155+722 - Aterro 03</v>
      </c>
      <c r="AW1237" s="4" t="str">
        <f t="shared" si="4794"/>
        <v>2.5-BDCC 2,50 x 2,50 m - Km 143+255 - Aterro A7- Bueiro de Concreto - LE</v>
      </c>
    </row>
    <row r="1238" spans="1:49" ht="15.6" customHeight="1" outlineLevel="2">
      <c r="A1238" s="598" t="str">
        <f t="shared" ref="A1238" si="4850">A1237</f>
        <v>N</v>
      </c>
      <c r="B1238" s="599"/>
      <c r="C1238" s="599"/>
      <c r="D1238" s="118" t="s">
        <v>1444</v>
      </c>
      <c r="E1238" s="918"/>
      <c r="F1238" s="848"/>
      <c r="G1238" s="40"/>
      <c r="H1238" s="603" t="s">
        <v>38</v>
      </c>
      <c r="I1238" s="504">
        <v>0</v>
      </c>
      <c r="J1238" s="850"/>
      <c r="K1238" s="40"/>
      <c r="L1238" s="603" t="s">
        <v>38</v>
      </c>
      <c r="M1238" s="504">
        <f t="shared" si="4679"/>
        <v>0</v>
      </c>
      <c r="N1238" s="850"/>
      <c r="O1238" s="40"/>
      <c r="P1238" s="606">
        <v>0</v>
      </c>
      <c r="Q1238" s="606">
        <v>0</v>
      </c>
      <c r="R1238" s="602">
        <v>0</v>
      </c>
      <c r="S1238" s="602">
        <v>0</v>
      </c>
      <c r="T1238" s="602">
        <v>0</v>
      </c>
      <c r="U1238" s="602">
        <v>0</v>
      </c>
      <c r="V1238" s="602">
        <v>0</v>
      </c>
      <c r="W1238" s="40"/>
      <c r="X1238" s="504">
        <f t="shared" si="4671"/>
        <v>0</v>
      </c>
      <c r="Y1238" s="850"/>
      <c r="Z1238" s="40"/>
      <c r="AA1238" s="856"/>
      <c r="AB1238" s="856"/>
      <c r="AC1238" s="857"/>
      <c r="AD1238" s="920"/>
      <c r="AE1238" s="40"/>
      <c r="AF1238" s="856"/>
      <c r="AG1238" s="856"/>
      <c r="AH1238" s="857"/>
      <c r="AI1238" s="856"/>
      <c r="AJ1238" s="856"/>
      <c r="AK1238" s="856"/>
      <c r="AL1238" s="856"/>
      <c r="AM1238" s="850"/>
      <c r="AN1238" s="40"/>
      <c r="AO1238" s="882"/>
      <c r="AP1238" s="882"/>
      <c r="AV1238" t="str">
        <f t="shared" si="4796"/>
        <v>BDCC no Km 155+722 - Aterro 03</v>
      </c>
      <c r="AW1238" s="4" t="str">
        <f t="shared" si="4794"/>
        <v>2.5-BDCC 2,50 x 2,50 m - Km 143+255 - Aterro A7- Bueiro de Concreto - LE</v>
      </c>
    </row>
    <row r="1239" spans="1:49" ht="15.6" customHeight="1" outlineLevel="2">
      <c r="A1239" s="598" t="str">
        <f t="shared" ref="A1239" si="4851">IF(SUM(P1239:V1240)&gt;0,"S","N")</f>
        <v>S</v>
      </c>
      <c r="B1239" s="599">
        <v>1064335</v>
      </c>
      <c r="C1239" s="599" t="s">
        <v>1560</v>
      </c>
      <c r="D1239" s="118" t="s">
        <v>1399</v>
      </c>
      <c r="E1239" s="917" t="s">
        <v>1561</v>
      </c>
      <c r="F1239" s="848" t="s">
        <v>1437</v>
      </c>
      <c r="G1239" s="40"/>
      <c r="H1239" s="600" t="s">
        <v>37</v>
      </c>
      <c r="I1239" s="504">
        <v>0</v>
      </c>
      <c r="J1239" s="849" t="str">
        <f t="shared" ref="J1239" si="4852">IFERROR((I1240/I1239),"-")</f>
        <v>-</v>
      </c>
      <c r="K1239" s="40"/>
      <c r="L1239" s="600" t="s">
        <v>37</v>
      </c>
      <c r="M1239" s="504" t="str">
        <f t="shared" si="4679"/>
        <v>x</v>
      </c>
      <c r="N1239" s="849" t="str">
        <f t="shared" ref="N1239" si="4853">IFERROR((M1240/M1239),"-")</f>
        <v>-</v>
      </c>
      <c r="O1239" s="40"/>
      <c r="P1239" s="602" t="s">
        <v>176</v>
      </c>
      <c r="Q1239" s="602" t="s">
        <v>176</v>
      </c>
      <c r="R1239" s="602">
        <v>1</v>
      </c>
      <c r="S1239" s="602">
        <v>0</v>
      </c>
      <c r="T1239" s="602">
        <v>0</v>
      </c>
      <c r="U1239" s="602">
        <v>0</v>
      </c>
      <c r="V1239" s="602">
        <v>0</v>
      </c>
      <c r="W1239" s="40"/>
      <c r="X1239" s="504">
        <f t="shared" si="4671"/>
        <v>0</v>
      </c>
      <c r="Y1239" s="849" t="str">
        <f t="shared" ref="Y1239" si="4854">IFERROR((X1240/X1239),"0")</f>
        <v>0</v>
      </c>
      <c r="Z1239" s="40"/>
      <c r="AA1239" s="855">
        <v>0</v>
      </c>
      <c r="AB1239" s="855">
        <v>0</v>
      </c>
      <c r="AC1239" s="858">
        <v>0</v>
      </c>
      <c r="AD1239" s="849" t="str">
        <f t="shared" ref="AD1239" si="4855">IFERROR((AC1239/AB1239),"-")</f>
        <v>-</v>
      </c>
      <c r="AE1239" s="40"/>
      <c r="AF1239" s="855">
        <v>0</v>
      </c>
      <c r="AG1239" s="855"/>
      <c r="AH1239" s="858">
        <v>0</v>
      </c>
      <c r="AI1239" s="855"/>
      <c r="AJ1239" s="855"/>
      <c r="AK1239" s="855">
        <f t="shared" ref="AK1239" si="4856">AF1239+AG1239+AH1239+AI1239+AJ1239+AC1239</f>
        <v>0</v>
      </c>
      <c r="AL1239" s="855">
        <v>0</v>
      </c>
      <c r="AM1239" s="849" t="str">
        <f t="shared" ref="AM1239" si="4857">IFERROR((AK1239/AL1239),"-")</f>
        <v>-</v>
      </c>
      <c r="AN1239" s="40"/>
      <c r="AO1239" s="855">
        <v>1</v>
      </c>
      <c r="AP1239" s="855">
        <f t="shared" ref="AP1239" si="4858">AO1239-AK1239</f>
        <v>1</v>
      </c>
      <c r="AV1239" t="str">
        <f t="shared" si="4796"/>
        <v>BDCC no Km 155+722 - Aterro 03</v>
      </c>
      <c r="AW1239" s="4" t="str">
        <f t="shared" si="4794"/>
        <v>2.5-BDCC 2,50 x 2,50 m - Km 143+255 - Aterro A7- Bueiro de Concreto - LD</v>
      </c>
    </row>
    <row r="1240" spans="1:49" ht="15.6" customHeight="1" outlineLevel="2">
      <c r="A1240" s="598" t="str">
        <f t="shared" ref="A1240" si="4859">A1239</f>
        <v>S</v>
      </c>
      <c r="B1240" s="599"/>
      <c r="C1240" s="599"/>
      <c r="D1240" s="118" t="s">
        <v>1441</v>
      </c>
      <c r="E1240" s="918"/>
      <c r="F1240" s="848"/>
      <c r="G1240" s="40"/>
      <c r="H1240" s="603" t="s">
        <v>38</v>
      </c>
      <c r="I1240" s="504">
        <v>0</v>
      </c>
      <c r="J1240" s="850"/>
      <c r="K1240" s="40"/>
      <c r="L1240" s="603" t="s">
        <v>38</v>
      </c>
      <c r="M1240" s="504">
        <f t="shared" si="4679"/>
        <v>0</v>
      </c>
      <c r="N1240" s="850"/>
      <c r="O1240" s="40"/>
      <c r="P1240" s="602">
        <v>0</v>
      </c>
      <c r="Q1240" s="602">
        <v>0</v>
      </c>
      <c r="R1240" s="602">
        <v>0</v>
      </c>
      <c r="S1240" s="602">
        <v>0</v>
      </c>
      <c r="T1240" s="602">
        <v>0</v>
      </c>
      <c r="U1240" s="602">
        <v>0</v>
      </c>
      <c r="V1240" s="602">
        <v>0</v>
      </c>
      <c r="W1240" s="40"/>
      <c r="X1240" s="504">
        <f t="shared" si="4671"/>
        <v>0</v>
      </c>
      <c r="Y1240" s="850"/>
      <c r="Z1240" s="40"/>
      <c r="AA1240" s="856"/>
      <c r="AB1240" s="856"/>
      <c r="AC1240" s="857"/>
      <c r="AD1240" s="920"/>
      <c r="AE1240" s="40"/>
      <c r="AF1240" s="856"/>
      <c r="AG1240" s="856"/>
      <c r="AH1240" s="857"/>
      <c r="AI1240" s="856"/>
      <c r="AJ1240" s="856"/>
      <c r="AK1240" s="856"/>
      <c r="AL1240" s="856"/>
      <c r="AM1240" s="850"/>
      <c r="AN1240" s="40"/>
      <c r="AO1240" s="882"/>
      <c r="AP1240" s="882"/>
      <c r="AV1240" t="str">
        <f t="shared" si="4796"/>
        <v>BDCC no Km 155+722 - Aterro 03</v>
      </c>
      <c r="AW1240" s="4" t="str">
        <f t="shared" si="4794"/>
        <v>2.5-BDCC 2,50 x 2,50 m - Km 143+255 - Aterro A7- Bueiro de Concreto - LD</v>
      </c>
    </row>
    <row r="1241" spans="1:49" ht="15.6" customHeight="1" outlineLevel="2">
      <c r="A1241" s="598" t="str">
        <f t="shared" ref="A1241" si="4860">IF(SUM(P1241:V1242)&gt;0,"S","N")</f>
        <v>N</v>
      </c>
      <c r="B1241" s="599">
        <v>1064339</v>
      </c>
      <c r="C1241" s="599" t="s">
        <v>1562</v>
      </c>
      <c r="D1241" s="118" t="s">
        <v>1346</v>
      </c>
      <c r="E1241" s="917" t="s">
        <v>1563</v>
      </c>
      <c r="F1241" s="848" t="s">
        <v>1437</v>
      </c>
      <c r="G1241" s="40"/>
      <c r="H1241" s="600" t="s">
        <v>37</v>
      </c>
      <c r="I1241" s="504">
        <v>0</v>
      </c>
      <c r="J1241" s="849" t="str">
        <f t="shared" ref="J1241" si="4861">IFERROR((I1242/I1241),"-")</f>
        <v>-</v>
      </c>
      <c r="K1241" s="40"/>
      <c r="L1241" s="600" t="s">
        <v>37</v>
      </c>
      <c r="M1241" s="504">
        <f t="shared" si="4679"/>
        <v>0</v>
      </c>
      <c r="N1241" s="849" t="str">
        <f t="shared" ref="N1241" si="4862">IFERROR((M1242/M1241),"-")</f>
        <v>-</v>
      </c>
      <c r="O1241" s="40"/>
      <c r="P1241" s="602">
        <v>0</v>
      </c>
      <c r="Q1241" s="602">
        <v>0</v>
      </c>
      <c r="R1241" s="602">
        <v>0</v>
      </c>
      <c r="S1241" s="602">
        <v>0</v>
      </c>
      <c r="T1241" s="602">
        <v>0</v>
      </c>
      <c r="U1241" s="602">
        <v>0</v>
      </c>
      <c r="V1241" s="602">
        <v>0</v>
      </c>
      <c r="W1241" s="40"/>
      <c r="X1241" s="504">
        <f t="shared" si="4671"/>
        <v>0</v>
      </c>
      <c r="Y1241" s="849" t="str">
        <f t="shared" ref="Y1241" si="4863">IFERROR((X1242/X1241),"0")</f>
        <v>0</v>
      </c>
      <c r="Z1241" s="40"/>
      <c r="AA1241" s="855">
        <v>0</v>
      </c>
      <c r="AB1241" s="855">
        <v>0</v>
      </c>
      <c r="AC1241" s="858">
        <v>0</v>
      </c>
      <c r="AD1241" s="849" t="str">
        <f t="shared" ref="AD1241" si="4864">IFERROR((AC1241/AB1241),"-")</f>
        <v>-</v>
      </c>
      <c r="AE1241" s="40"/>
      <c r="AF1241" s="855">
        <v>0</v>
      </c>
      <c r="AG1241" s="855"/>
      <c r="AH1241" s="858">
        <v>0</v>
      </c>
      <c r="AI1241" s="855"/>
      <c r="AJ1241" s="855"/>
      <c r="AK1241" s="855">
        <f t="shared" ref="AK1241" si="4865">AF1241+AG1241+AH1241+AI1241+AJ1241+AC1241</f>
        <v>0</v>
      </c>
      <c r="AL1241" s="855">
        <v>0</v>
      </c>
      <c r="AM1241" s="849" t="str">
        <f t="shared" ref="AM1241" si="4866">IFERROR((AK1241/AL1241),"-")</f>
        <v>-</v>
      </c>
      <c r="AN1241" s="40"/>
      <c r="AO1241" s="855">
        <v>1</v>
      </c>
      <c r="AP1241" s="855">
        <f t="shared" ref="AP1241" si="4867">AO1241-AK1241</f>
        <v>1</v>
      </c>
      <c r="AV1241" t="str">
        <f t="shared" si="4796"/>
        <v>BDCC no Km 155+722 - Aterro 03</v>
      </c>
      <c r="AW1241" s="4" t="str">
        <f t="shared" si="4794"/>
        <v>2.5-BSCC 1,50 x 1,50 m - Km 143+530 BSCC - Aterro A7 - Bueiro de Concreto - LE</v>
      </c>
    </row>
    <row r="1242" spans="1:49" ht="15.6" customHeight="1" outlineLevel="2">
      <c r="A1242" s="598" t="str">
        <f t="shared" ref="A1242" si="4868">A1241</f>
        <v>N</v>
      </c>
      <c r="B1242" s="599"/>
      <c r="C1242" s="599"/>
      <c r="D1242" s="118" t="s">
        <v>1444</v>
      </c>
      <c r="E1242" s="918"/>
      <c r="F1242" s="848"/>
      <c r="G1242" s="40"/>
      <c r="H1242" s="603" t="s">
        <v>38</v>
      </c>
      <c r="I1242" s="504">
        <v>0</v>
      </c>
      <c r="J1242" s="850"/>
      <c r="K1242" s="40"/>
      <c r="L1242" s="603" t="s">
        <v>38</v>
      </c>
      <c r="M1242" s="504">
        <f t="shared" si="4679"/>
        <v>0</v>
      </c>
      <c r="N1242" s="850"/>
      <c r="O1242" s="40"/>
      <c r="P1242" s="602">
        <v>0</v>
      </c>
      <c r="Q1242" s="602">
        <v>0</v>
      </c>
      <c r="R1242" s="602">
        <v>0</v>
      </c>
      <c r="S1242" s="602">
        <v>0</v>
      </c>
      <c r="T1242" s="602">
        <v>0</v>
      </c>
      <c r="U1242" s="602">
        <v>0</v>
      </c>
      <c r="V1242" s="602">
        <v>0</v>
      </c>
      <c r="W1242" s="40"/>
      <c r="X1242" s="504">
        <f t="shared" si="4671"/>
        <v>0</v>
      </c>
      <c r="Y1242" s="850"/>
      <c r="Z1242" s="40"/>
      <c r="AA1242" s="856"/>
      <c r="AB1242" s="856"/>
      <c r="AC1242" s="857"/>
      <c r="AD1242" s="920"/>
      <c r="AE1242" s="40"/>
      <c r="AF1242" s="856"/>
      <c r="AG1242" s="856"/>
      <c r="AH1242" s="857"/>
      <c r="AI1242" s="856"/>
      <c r="AJ1242" s="856"/>
      <c r="AK1242" s="856"/>
      <c r="AL1242" s="856"/>
      <c r="AM1242" s="850"/>
      <c r="AN1242" s="40"/>
      <c r="AO1242" s="882"/>
      <c r="AP1242" s="882"/>
      <c r="AV1242" t="str">
        <f t="shared" si="4796"/>
        <v>BDCC no Km 155+722 - Aterro 03</v>
      </c>
      <c r="AW1242" s="4" t="str">
        <f t="shared" si="4794"/>
        <v>2.5-BSCC 1,50 x 1,50 m - Km 143+530 BSCC - Aterro A7 - Bueiro de Concreto - LE</v>
      </c>
    </row>
    <row r="1243" spans="1:49" ht="15.6" customHeight="1" outlineLevel="2">
      <c r="A1243" s="598" t="str">
        <f t="shared" ref="A1243" si="4869">IF(SUM(P1243:V1244)&gt;0,"S","N")</f>
        <v>N</v>
      </c>
      <c r="B1243" s="599">
        <v>1064340</v>
      </c>
      <c r="C1243" s="599" t="s">
        <v>1564</v>
      </c>
      <c r="D1243" s="118" t="s">
        <v>1346</v>
      </c>
      <c r="E1243" s="917" t="s">
        <v>1565</v>
      </c>
      <c r="F1243" s="848" t="s">
        <v>1437</v>
      </c>
      <c r="G1243" s="40"/>
      <c r="H1243" s="600" t="s">
        <v>37</v>
      </c>
      <c r="I1243" s="504">
        <v>0</v>
      </c>
      <c r="J1243" s="849" t="str">
        <f t="shared" ref="J1243" si="4870">IFERROR((I1244/I1243),"-")</f>
        <v>-</v>
      </c>
      <c r="K1243" s="40"/>
      <c r="L1243" s="600" t="s">
        <v>37</v>
      </c>
      <c r="M1243" s="504">
        <f t="shared" si="4679"/>
        <v>0</v>
      </c>
      <c r="N1243" s="849" t="str">
        <f t="shared" ref="N1243" si="4871">IFERROR((M1244/M1243),"-")</f>
        <v>-</v>
      </c>
      <c r="O1243" s="40"/>
      <c r="P1243" s="602">
        <v>0</v>
      </c>
      <c r="Q1243" s="602">
        <v>0</v>
      </c>
      <c r="R1243" s="602">
        <v>0</v>
      </c>
      <c r="S1243" s="602">
        <v>0</v>
      </c>
      <c r="T1243" s="602">
        <v>0</v>
      </c>
      <c r="U1243" s="602">
        <v>0</v>
      </c>
      <c r="V1243" s="602">
        <v>0</v>
      </c>
      <c r="W1243" s="40"/>
      <c r="X1243" s="504">
        <f t="shared" si="4671"/>
        <v>0</v>
      </c>
      <c r="Y1243" s="849" t="str">
        <f t="shared" ref="Y1243" si="4872">IFERROR((X1244/X1243),"0")</f>
        <v>0</v>
      </c>
      <c r="Z1243" s="40"/>
      <c r="AA1243" s="855">
        <v>0</v>
      </c>
      <c r="AB1243" s="855">
        <v>0</v>
      </c>
      <c r="AC1243" s="858">
        <v>0</v>
      </c>
      <c r="AD1243" s="849" t="str">
        <f t="shared" ref="AD1243" si="4873">IFERROR((AC1243/AB1243),"-")</f>
        <v>-</v>
      </c>
      <c r="AE1243" s="40"/>
      <c r="AF1243" s="855">
        <v>0</v>
      </c>
      <c r="AG1243" s="855"/>
      <c r="AH1243" s="858">
        <v>0</v>
      </c>
      <c r="AI1243" s="855"/>
      <c r="AJ1243" s="855"/>
      <c r="AK1243" s="855">
        <f t="shared" ref="AK1243" si="4874">AF1243+AG1243+AH1243+AI1243+AJ1243+AC1243</f>
        <v>0</v>
      </c>
      <c r="AL1243" s="855">
        <v>0</v>
      </c>
      <c r="AM1243" s="849" t="str">
        <f t="shared" ref="AM1243" si="4875">IFERROR((AK1243/AL1243),"-")</f>
        <v>-</v>
      </c>
      <c r="AN1243" s="40"/>
      <c r="AO1243" s="855">
        <v>1</v>
      </c>
      <c r="AP1243" s="855">
        <f t="shared" ref="AP1243" si="4876">AO1243-AK1243</f>
        <v>1</v>
      </c>
      <c r="AV1243" t="str">
        <f t="shared" si="4796"/>
        <v>BDCC no Km 155+722 - Aterro 03</v>
      </c>
      <c r="AW1243" s="4" t="str">
        <f t="shared" si="4794"/>
        <v>2.5-BSCC 1,50 x 1,50 m - Km 143+530 BSCC - Aterro A7 - Bueiro de Concreto - LD</v>
      </c>
    </row>
    <row r="1244" spans="1:49" ht="15.6" customHeight="1" outlineLevel="2">
      <c r="A1244" s="598" t="str">
        <f t="shared" ref="A1244" si="4877">A1243</f>
        <v>N</v>
      </c>
      <c r="B1244" s="599"/>
      <c r="C1244" s="599"/>
      <c r="D1244" s="118" t="s">
        <v>1441</v>
      </c>
      <c r="E1244" s="918"/>
      <c r="F1244" s="848"/>
      <c r="G1244" s="40"/>
      <c r="H1244" s="603" t="s">
        <v>38</v>
      </c>
      <c r="I1244" s="504">
        <v>0</v>
      </c>
      <c r="J1244" s="850"/>
      <c r="K1244" s="40"/>
      <c r="L1244" s="603" t="s">
        <v>38</v>
      </c>
      <c r="M1244" s="504">
        <f t="shared" si="4679"/>
        <v>0</v>
      </c>
      <c r="N1244" s="850"/>
      <c r="O1244" s="40"/>
      <c r="P1244" s="602">
        <v>0</v>
      </c>
      <c r="Q1244" s="602">
        <v>0</v>
      </c>
      <c r="R1244" s="602">
        <v>0</v>
      </c>
      <c r="S1244" s="602">
        <v>0</v>
      </c>
      <c r="T1244" s="602">
        <v>0</v>
      </c>
      <c r="U1244" s="602">
        <v>0</v>
      </c>
      <c r="V1244" s="602">
        <v>0</v>
      </c>
      <c r="W1244" s="40"/>
      <c r="X1244" s="504">
        <f t="shared" si="4671"/>
        <v>0</v>
      </c>
      <c r="Y1244" s="850"/>
      <c r="Z1244" s="40"/>
      <c r="AA1244" s="856"/>
      <c r="AB1244" s="856"/>
      <c r="AC1244" s="857"/>
      <c r="AD1244" s="920"/>
      <c r="AE1244" s="40"/>
      <c r="AF1244" s="856"/>
      <c r="AG1244" s="856"/>
      <c r="AH1244" s="857"/>
      <c r="AI1244" s="856"/>
      <c r="AJ1244" s="856"/>
      <c r="AK1244" s="856"/>
      <c r="AL1244" s="856"/>
      <c r="AM1244" s="850"/>
      <c r="AN1244" s="40"/>
      <c r="AO1244" s="882"/>
      <c r="AP1244" s="882"/>
      <c r="AV1244" t="str">
        <f t="shared" si="4796"/>
        <v>BDCC no Km 155+722 - Aterro 03</v>
      </c>
      <c r="AW1244" s="4" t="str">
        <f t="shared" si="4794"/>
        <v>2.5-BSCC 1,50 x 1,50 m - Km 143+530 BSCC - Aterro A7 - Bueiro de Concreto - LD</v>
      </c>
    </row>
    <row r="1245" spans="1:49" ht="15.6" customHeight="1" outlineLevel="2">
      <c r="A1245" s="598" t="str">
        <f t="shared" ref="A1245" si="4878">IF(SUM(P1245:V1246)&gt;0,"S","N")</f>
        <v>N</v>
      </c>
      <c r="B1245" s="599">
        <v>1064343</v>
      </c>
      <c r="C1245" s="599" t="s">
        <v>1566</v>
      </c>
      <c r="D1245" s="118" t="s">
        <v>1567</v>
      </c>
      <c r="E1245" s="917" t="s">
        <v>1568</v>
      </c>
      <c r="F1245" s="848" t="s">
        <v>1437</v>
      </c>
      <c r="G1245" s="40"/>
      <c r="H1245" s="600" t="s">
        <v>37</v>
      </c>
      <c r="I1245" s="504">
        <v>0</v>
      </c>
      <c r="J1245" s="849" t="str">
        <f t="shared" ref="J1245" si="4879">IFERROR((I1246/I1245),"-")</f>
        <v>-</v>
      </c>
      <c r="K1245" s="40"/>
      <c r="L1245" s="600" t="s">
        <v>37</v>
      </c>
      <c r="M1245" s="504">
        <f t="shared" si="4679"/>
        <v>0</v>
      </c>
      <c r="N1245" s="849" t="str">
        <f t="shared" ref="N1245" si="4880">IFERROR((M1246/M1245),"-")</f>
        <v>-</v>
      </c>
      <c r="O1245" s="40"/>
      <c r="P1245" s="602">
        <v>0</v>
      </c>
      <c r="Q1245" s="602">
        <v>0</v>
      </c>
      <c r="R1245" s="602">
        <v>0</v>
      </c>
      <c r="S1245" s="602">
        <v>0</v>
      </c>
      <c r="T1245" s="602">
        <v>0</v>
      </c>
      <c r="U1245" s="602">
        <v>0</v>
      </c>
      <c r="V1245" s="602">
        <v>0</v>
      </c>
      <c r="W1245" s="40"/>
      <c r="X1245" s="504">
        <f t="shared" si="4671"/>
        <v>0</v>
      </c>
      <c r="Y1245" s="849" t="str">
        <f t="shared" ref="Y1245" si="4881">IFERROR((X1246/X1245),"0")</f>
        <v>0</v>
      </c>
      <c r="Z1245" s="40"/>
      <c r="AA1245" s="855">
        <v>0</v>
      </c>
      <c r="AB1245" s="855">
        <v>0</v>
      </c>
      <c r="AC1245" s="858">
        <v>0</v>
      </c>
      <c r="AD1245" s="849" t="str">
        <f t="shared" ref="AD1245" si="4882">IFERROR((AC1245/AB1245),"-")</f>
        <v>-</v>
      </c>
      <c r="AE1245" s="40"/>
      <c r="AF1245" s="855">
        <v>0</v>
      </c>
      <c r="AG1245" s="855"/>
      <c r="AH1245" s="858">
        <v>0</v>
      </c>
      <c r="AI1245" s="855"/>
      <c r="AJ1245" s="855"/>
      <c r="AK1245" s="855">
        <f t="shared" ref="AK1245" si="4883">AF1245+AG1245+AH1245+AI1245+AJ1245+AC1245</f>
        <v>0</v>
      </c>
      <c r="AL1245" s="855">
        <v>0</v>
      </c>
      <c r="AM1245" s="849" t="str">
        <f t="shared" ref="AM1245" si="4884">IFERROR((AK1245/AL1245),"-")</f>
        <v>-</v>
      </c>
      <c r="AN1245" s="40"/>
      <c r="AO1245" s="855">
        <v>1</v>
      </c>
      <c r="AP1245" s="855">
        <f t="shared" ref="AP1245" si="4885">AO1245-AK1245</f>
        <v>1</v>
      </c>
      <c r="AV1245" t="str">
        <f t="shared" si="4796"/>
        <v>BDCC no Km 155+722 - Aterro 03</v>
      </c>
      <c r="AW1245" s="4" t="str">
        <f t="shared" si="4794"/>
        <v>2.5-BDCC 2,0 x 2,0 m - Km 143+707 - Aterro A7 - Bueiro de Concreto - LE</v>
      </c>
    </row>
    <row r="1246" spans="1:49" ht="15.6" customHeight="1" outlineLevel="2">
      <c r="A1246" s="598" t="str">
        <f t="shared" ref="A1246" si="4886">A1245</f>
        <v>N</v>
      </c>
      <c r="B1246" s="599"/>
      <c r="C1246" s="599"/>
      <c r="D1246" s="118" t="s">
        <v>1444</v>
      </c>
      <c r="E1246" s="918"/>
      <c r="F1246" s="848"/>
      <c r="G1246" s="40"/>
      <c r="H1246" s="603" t="s">
        <v>38</v>
      </c>
      <c r="I1246" s="504">
        <v>0</v>
      </c>
      <c r="J1246" s="850"/>
      <c r="K1246" s="40"/>
      <c r="L1246" s="603" t="s">
        <v>38</v>
      </c>
      <c r="M1246" s="504">
        <f t="shared" si="4679"/>
        <v>0</v>
      </c>
      <c r="N1246" s="850"/>
      <c r="O1246" s="40"/>
      <c r="P1246" s="602">
        <v>0</v>
      </c>
      <c r="Q1246" s="602">
        <v>0</v>
      </c>
      <c r="R1246" s="602">
        <v>0</v>
      </c>
      <c r="S1246" s="602">
        <v>0</v>
      </c>
      <c r="T1246" s="602">
        <v>0</v>
      </c>
      <c r="U1246" s="602">
        <v>0</v>
      </c>
      <c r="V1246" s="602">
        <v>0</v>
      </c>
      <c r="W1246" s="40"/>
      <c r="X1246" s="504">
        <f t="shared" si="4671"/>
        <v>0</v>
      </c>
      <c r="Y1246" s="850"/>
      <c r="Z1246" s="40"/>
      <c r="AA1246" s="856"/>
      <c r="AB1246" s="856"/>
      <c r="AC1246" s="857"/>
      <c r="AD1246" s="920"/>
      <c r="AE1246" s="40"/>
      <c r="AF1246" s="856"/>
      <c r="AG1246" s="856"/>
      <c r="AH1246" s="857"/>
      <c r="AI1246" s="856"/>
      <c r="AJ1246" s="856"/>
      <c r="AK1246" s="856"/>
      <c r="AL1246" s="856"/>
      <c r="AM1246" s="850"/>
      <c r="AN1246" s="40"/>
      <c r="AO1246" s="882"/>
      <c r="AP1246" s="882"/>
      <c r="AV1246" t="str">
        <f t="shared" si="4796"/>
        <v>BDCC no Km 155+722 - Aterro 03</v>
      </c>
      <c r="AW1246" s="4" t="str">
        <f t="shared" si="4794"/>
        <v>2.5-BDCC 2,0 x 2,0 m - Km 143+707 - Aterro A7 - Bueiro de Concreto - LE</v>
      </c>
    </row>
    <row r="1247" spans="1:49" ht="15.6" customHeight="1" outlineLevel="2">
      <c r="A1247" s="598" t="str">
        <f t="shared" ref="A1247" si="4887">IF(SUM(P1247:V1248)&gt;0,"S","N")</f>
        <v>N</v>
      </c>
      <c r="B1247" s="599">
        <v>1064344</v>
      </c>
      <c r="C1247" s="599" t="s">
        <v>1569</v>
      </c>
      <c r="D1247" s="118" t="s">
        <v>1567</v>
      </c>
      <c r="E1247" s="917" t="s">
        <v>1570</v>
      </c>
      <c r="F1247" s="848" t="s">
        <v>1437</v>
      </c>
      <c r="G1247" s="40"/>
      <c r="H1247" s="600" t="s">
        <v>37</v>
      </c>
      <c r="I1247" s="504">
        <v>0</v>
      </c>
      <c r="J1247" s="849" t="str">
        <f t="shared" ref="J1247" si="4888">IFERROR((I1248/I1247),"-")</f>
        <v>-</v>
      </c>
      <c r="K1247" s="40"/>
      <c r="L1247" s="600" t="s">
        <v>37</v>
      </c>
      <c r="M1247" s="504">
        <f t="shared" si="4679"/>
        <v>0</v>
      </c>
      <c r="N1247" s="849" t="str">
        <f t="shared" ref="N1247" si="4889">IFERROR((M1248/M1247),"-")</f>
        <v>-</v>
      </c>
      <c r="O1247" s="40"/>
      <c r="P1247" s="602">
        <v>0</v>
      </c>
      <c r="Q1247" s="602">
        <v>0</v>
      </c>
      <c r="R1247" s="602">
        <v>0</v>
      </c>
      <c r="S1247" s="602">
        <v>0</v>
      </c>
      <c r="T1247" s="602">
        <v>0</v>
      </c>
      <c r="U1247" s="602">
        <v>0</v>
      </c>
      <c r="V1247" s="602">
        <v>0</v>
      </c>
      <c r="W1247" s="40"/>
      <c r="X1247" s="504">
        <f t="shared" si="4671"/>
        <v>0</v>
      </c>
      <c r="Y1247" s="849" t="str">
        <f t="shared" ref="Y1247" si="4890">IFERROR((X1248/X1247),"0")</f>
        <v>0</v>
      </c>
      <c r="Z1247" s="40"/>
      <c r="AA1247" s="855">
        <v>0</v>
      </c>
      <c r="AB1247" s="855">
        <v>0</v>
      </c>
      <c r="AC1247" s="858">
        <v>0</v>
      </c>
      <c r="AD1247" s="849" t="str">
        <f t="shared" ref="AD1247" si="4891">IFERROR((AC1247/AB1247),"-")</f>
        <v>-</v>
      </c>
      <c r="AE1247" s="40"/>
      <c r="AF1247" s="855">
        <v>0</v>
      </c>
      <c r="AG1247" s="855"/>
      <c r="AH1247" s="858">
        <v>0</v>
      </c>
      <c r="AI1247" s="855"/>
      <c r="AJ1247" s="855"/>
      <c r="AK1247" s="855">
        <f t="shared" ref="AK1247" si="4892">AF1247+AG1247+AH1247+AI1247+AJ1247+AC1247</f>
        <v>0</v>
      </c>
      <c r="AL1247" s="855">
        <v>0</v>
      </c>
      <c r="AM1247" s="849" t="str">
        <f t="shared" ref="AM1247" si="4893">IFERROR((AK1247/AL1247),"-")</f>
        <v>-</v>
      </c>
      <c r="AN1247" s="40"/>
      <c r="AO1247" s="855">
        <v>1</v>
      </c>
      <c r="AP1247" s="855">
        <f t="shared" ref="AP1247" si="4894">AO1247-AK1247</f>
        <v>1</v>
      </c>
      <c r="AV1247" t="str">
        <f t="shared" si="4796"/>
        <v>BDCC no Km 155+722 - Aterro 03</v>
      </c>
      <c r="AW1247" s="4" t="str">
        <f t="shared" si="4794"/>
        <v>2.5-BDCC 2,0 x 2,0 m - Km 143+707 - Aterro A7 - Bueiro de Concreto - LD</v>
      </c>
    </row>
    <row r="1248" spans="1:49" ht="15.6" customHeight="1" outlineLevel="2">
      <c r="A1248" s="598" t="str">
        <f t="shared" ref="A1248" si="4895">A1247</f>
        <v>N</v>
      </c>
      <c r="B1248" s="599"/>
      <c r="C1248" s="599"/>
      <c r="D1248" s="118" t="s">
        <v>1441</v>
      </c>
      <c r="E1248" s="918"/>
      <c r="F1248" s="848"/>
      <c r="G1248" s="40"/>
      <c r="H1248" s="603" t="s">
        <v>38</v>
      </c>
      <c r="I1248" s="504">
        <v>0</v>
      </c>
      <c r="J1248" s="850"/>
      <c r="K1248" s="40"/>
      <c r="L1248" s="603" t="s">
        <v>38</v>
      </c>
      <c r="M1248" s="504">
        <f t="shared" si="4679"/>
        <v>0</v>
      </c>
      <c r="N1248" s="850"/>
      <c r="O1248" s="40"/>
      <c r="P1248" s="602">
        <v>0</v>
      </c>
      <c r="Q1248" s="602">
        <v>0</v>
      </c>
      <c r="R1248" s="602">
        <v>0</v>
      </c>
      <c r="S1248" s="602">
        <v>0</v>
      </c>
      <c r="T1248" s="602">
        <v>0</v>
      </c>
      <c r="U1248" s="602">
        <v>0</v>
      </c>
      <c r="V1248" s="602">
        <v>0</v>
      </c>
      <c r="W1248" s="40"/>
      <c r="X1248" s="504">
        <f t="shared" si="4671"/>
        <v>0</v>
      </c>
      <c r="Y1248" s="850"/>
      <c r="Z1248" s="40"/>
      <c r="AA1248" s="856"/>
      <c r="AB1248" s="856"/>
      <c r="AC1248" s="857"/>
      <c r="AD1248" s="920"/>
      <c r="AE1248" s="40"/>
      <c r="AF1248" s="856"/>
      <c r="AG1248" s="856"/>
      <c r="AH1248" s="857"/>
      <c r="AI1248" s="856"/>
      <c r="AJ1248" s="856"/>
      <c r="AK1248" s="856"/>
      <c r="AL1248" s="856"/>
      <c r="AM1248" s="850"/>
      <c r="AN1248" s="40"/>
      <c r="AO1248" s="882"/>
      <c r="AP1248" s="882"/>
      <c r="AV1248" t="str">
        <f t="shared" si="4796"/>
        <v>BDCC no Km 155+722 - Aterro 03</v>
      </c>
      <c r="AW1248" s="4" t="str">
        <f t="shared" si="4794"/>
        <v>2.5-BDCC 2,0 x 2,0 m - Km 143+707 - Aterro A7 - Bueiro de Concreto - LD</v>
      </c>
    </row>
    <row r="1249" spans="1:49" ht="15.6" customHeight="1" outlineLevel="2">
      <c r="A1249" s="598" t="str">
        <f t="shared" ref="A1249" si="4896">IF(SUM(P1249:V1250)&gt;0,"S","N")</f>
        <v>N</v>
      </c>
      <c r="B1249" s="599">
        <v>1064352</v>
      </c>
      <c r="C1249" s="599" t="s">
        <v>1571</v>
      </c>
      <c r="D1249" s="118" t="s">
        <v>1572</v>
      </c>
      <c r="E1249" s="917" t="s">
        <v>1573</v>
      </c>
      <c r="F1249" s="848" t="s">
        <v>1437</v>
      </c>
      <c r="G1249" s="40"/>
      <c r="H1249" s="600" t="s">
        <v>37</v>
      </c>
      <c r="I1249" s="504">
        <v>0</v>
      </c>
      <c r="J1249" s="849" t="str">
        <f t="shared" ref="J1249" si="4897">IFERROR((I1250/I1249),"-")</f>
        <v>-</v>
      </c>
      <c r="K1249" s="40"/>
      <c r="L1249" s="600" t="s">
        <v>37</v>
      </c>
      <c r="M1249" s="504">
        <f t="shared" si="4679"/>
        <v>0</v>
      </c>
      <c r="N1249" s="849" t="str">
        <f t="shared" ref="N1249" si="4898">IFERROR((M1250/M1249),"-")</f>
        <v>-</v>
      </c>
      <c r="O1249" s="40"/>
      <c r="P1249" s="602">
        <v>0</v>
      </c>
      <c r="Q1249" s="602">
        <v>0</v>
      </c>
      <c r="R1249" s="602">
        <v>0</v>
      </c>
      <c r="S1249" s="602">
        <v>0</v>
      </c>
      <c r="T1249" s="602">
        <v>0</v>
      </c>
      <c r="U1249" s="602">
        <v>0</v>
      </c>
      <c r="V1249" s="602">
        <v>0</v>
      </c>
      <c r="W1249" s="40"/>
      <c r="X1249" s="504">
        <f t="shared" si="4671"/>
        <v>0</v>
      </c>
      <c r="Y1249" s="849" t="str">
        <f t="shared" ref="Y1249" si="4899">IFERROR((X1250/X1249),"0")</f>
        <v>0</v>
      </c>
      <c r="Z1249" s="40"/>
      <c r="AA1249" s="855">
        <v>0</v>
      </c>
      <c r="AB1249" s="855">
        <v>0</v>
      </c>
      <c r="AC1249" s="858">
        <v>0</v>
      </c>
      <c r="AD1249" s="849" t="str">
        <f t="shared" ref="AD1249" si="4900">IFERROR((AC1249/AB1249),"-")</f>
        <v>-</v>
      </c>
      <c r="AE1249" s="40"/>
      <c r="AF1249" s="855">
        <v>0</v>
      </c>
      <c r="AG1249" s="855"/>
      <c r="AH1249" s="858">
        <v>0</v>
      </c>
      <c r="AI1249" s="855"/>
      <c r="AJ1249" s="855"/>
      <c r="AK1249" s="855">
        <f t="shared" ref="AK1249" si="4901">AF1249+AG1249+AH1249+AI1249+AJ1249+AC1249</f>
        <v>0</v>
      </c>
      <c r="AL1249" s="855">
        <v>0</v>
      </c>
      <c r="AM1249" s="849" t="str">
        <f t="shared" ref="AM1249" si="4902">IFERROR((AK1249/AL1249),"-")</f>
        <v>-</v>
      </c>
      <c r="AN1249" s="40"/>
      <c r="AO1249" s="855">
        <v>0</v>
      </c>
      <c r="AP1249" s="855">
        <f t="shared" ref="AP1249" si="4903">AO1249-AK1249</f>
        <v>0</v>
      </c>
      <c r="AV1249" t="str">
        <f t="shared" si="4796"/>
        <v>BDCC no Km 155+722 - Aterro 03</v>
      </c>
      <c r="AW1249" s="4" t="str">
        <f t="shared" si="4794"/>
        <v>2.5-BSCC 1,50 x 1,50 m - Km 144+589 - Aterro A8 - Bueiro de Concreto - LE</v>
      </c>
    </row>
    <row r="1250" spans="1:49" ht="15.6" customHeight="1" outlineLevel="2">
      <c r="A1250" s="598" t="str">
        <f t="shared" ref="A1250" si="4904">A1249</f>
        <v>N</v>
      </c>
      <c r="B1250" s="599"/>
      <c r="C1250" s="599"/>
      <c r="D1250" s="118" t="s">
        <v>1444</v>
      </c>
      <c r="E1250" s="918"/>
      <c r="F1250" s="848"/>
      <c r="G1250" s="40"/>
      <c r="H1250" s="603" t="s">
        <v>38</v>
      </c>
      <c r="I1250" s="504">
        <v>0</v>
      </c>
      <c r="J1250" s="850"/>
      <c r="K1250" s="40"/>
      <c r="L1250" s="603" t="s">
        <v>38</v>
      </c>
      <c r="M1250" s="504">
        <f t="shared" si="4679"/>
        <v>0</v>
      </c>
      <c r="N1250" s="850"/>
      <c r="O1250" s="40"/>
      <c r="P1250" s="602">
        <v>0</v>
      </c>
      <c r="Q1250" s="602">
        <v>0</v>
      </c>
      <c r="R1250" s="602">
        <v>0</v>
      </c>
      <c r="S1250" s="602">
        <v>0</v>
      </c>
      <c r="T1250" s="602">
        <v>0</v>
      </c>
      <c r="U1250" s="602">
        <v>0</v>
      </c>
      <c r="V1250" s="602">
        <v>0</v>
      </c>
      <c r="W1250" s="40"/>
      <c r="X1250" s="504">
        <f t="shared" si="4671"/>
        <v>0</v>
      </c>
      <c r="Y1250" s="850"/>
      <c r="Z1250" s="40"/>
      <c r="AA1250" s="856"/>
      <c r="AB1250" s="856"/>
      <c r="AC1250" s="857"/>
      <c r="AD1250" s="920"/>
      <c r="AE1250" s="40"/>
      <c r="AF1250" s="856"/>
      <c r="AG1250" s="856"/>
      <c r="AH1250" s="857"/>
      <c r="AI1250" s="856"/>
      <c r="AJ1250" s="856"/>
      <c r="AK1250" s="856"/>
      <c r="AL1250" s="856"/>
      <c r="AM1250" s="850"/>
      <c r="AN1250" s="40"/>
      <c r="AO1250" s="882"/>
      <c r="AP1250" s="882"/>
      <c r="AV1250" t="str">
        <f t="shared" si="4796"/>
        <v>BDCC no Km 155+722 - Aterro 03</v>
      </c>
      <c r="AW1250" s="4" t="str">
        <f t="shared" si="4794"/>
        <v>2.5-BSCC 1,50 x 1,50 m - Km 144+589 - Aterro A8 - Bueiro de Concreto - LE</v>
      </c>
    </row>
    <row r="1251" spans="1:49" ht="15.6" customHeight="1" outlineLevel="2">
      <c r="A1251" s="598" t="str">
        <f t="shared" ref="A1251" si="4905">IF(SUM(P1251:V1252)&gt;0,"S","N")</f>
        <v>N</v>
      </c>
      <c r="B1251" s="599">
        <v>1064353</v>
      </c>
      <c r="C1251" s="599" t="s">
        <v>1574</v>
      </c>
      <c r="D1251" s="118" t="s">
        <v>1572</v>
      </c>
      <c r="E1251" s="917" t="s">
        <v>1575</v>
      </c>
      <c r="F1251" s="848" t="s">
        <v>1437</v>
      </c>
      <c r="G1251" s="40"/>
      <c r="H1251" s="600" t="s">
        <v>37</v>
      </c>
      <c r="I1251" s="504">
        <v>0</v>
      </c>
      <c r="J1251" s="849" t="str">
        <f t="shared" ref="J1251" si="4906">IFERROR((I1252/I1251),"-")</f>
        <v>-</v>
      </c>
      <c r="K1251" s="40"/>
      <c r="L1251" s="600" t="s">
        <v>37</v>
      </c>
      <c r="M1251" s="504">
        <f t="shared" si="4679"/>
        <v>0</v>
      </c>
      <c r="N1251" s="849" t="str">
        <f t="shared" ref="N1251" si="4907">IFERROR((M1252/M1251),"-")</f>
        <v>-</v>
      </c>
      <c r="O1251" s="40"/>
      <c r="P1251" s="602">
        <v>0</v>
      </c>
      <c r="Q1251" s="602">
        <v>0</v>
      </c>
      <c r="R1251" s="602">
        <v>0</v>
      </c>
      <c r="S1251" s="602">
        <v>0</v>
      </c>
      <c r="T1251" s="602">
        <v>0</v>
      </c>
      <c r="U1251" s="602">
        <v>0</v>
      </c>
      <c r="V1251" s="602">
        <v>0</v>
      </c>
      <c r="W1251" s="40"/>
      <c r="X1251" s="504">
        <f t="shared" si="4671"/>
        <v>0</v>
      </c>
      <c r="Y1251" s="849" t="str">
        <f t="shared" ref="Y1251" si="4908">IFERROR((X1252/X1251),"0")</f>
        <v>0</v>
      </c>
      <c r="Z1251" s="40"/>
      <c r="AA1251" s="855">
        <v>0</v>
      </c>
      <c r="AB1251" s="855">
        <v>0</v>
      </c>
      <c r="AC1251" s="858">
        <v>0</v>
      </c>
      <c r="AD1251" s="849" t="str">
        <f t="shared" ref="AD1251" si="4909">IFERROR((AC1251/AB1251),"-")</f>
        <v>-</v>
      </c>
      <c r="AE1251" s="40"/>
      <c r="AF1251" s="855">
        <v>0</v>
      </c>
      <c r="AG1251" s="855"/>
      <c r="AH1251" s="858">
        <v>0</v>
      </c>
      <c r="AI1251" s="855"/>
      <c r="AJ1251" s="855"/>
      <c r="AK1251" s="855">
        <f t="shared" ref="AK1251" si="4910">AF1251+AG1251+AH1251+AI1251+AJ1251+AC1251</f>
        <v>0</v>
      </c>
      <c r="AL1251" s="855">
        <v>0</v>
      </c>
      <c r="AM1251" s="849" t="str">
        <f t="shared" ref="AM1251" si="4911">IFERROR((AK1251/AL1251),"-")</f>
        <v>-</v>
      </c>
      <c r="AN1251" s="40"/>
      <c r="AO1251" s="855">
        <v>0</v>
      </c>
      <c r="AP1251" s="855">
        <f t="shared" ref="AP1251" si="4912">AO1251-AK1251</f>
        <v>0</v>
      </c>
      <c r="AV1251" t="str">
        <f t="shared" si="4796"/>
        <v>BDCC no Km 155+722 - Aterro 03</v>
      </c>
      <c r="AW1251" s="4" t="str">
        <f t="shared" si="4794"/>
        <v>2.5-BSCC 1,50 x 1,50 m - Km 144+589 - Aterro A8 - Bueiro de Concreto - LD</v>
      </c>
    </row>
    <row r="1252" spans="1:49" ht="15.6" customHeight="1" outlineLevel="2">
      <c r="A1252" s="598" t="str">
        <f t="shared" ref="A1252" si="4913">A1251</f>
        <v>N</v>
      </c>
      <c r="B1252" s="599"/>
      <c r="C1252" s="599"/>
      <c r="D1252" s="118" t="s">
        <v>1441</v>
      </c>
      <c r="E1252" s="918"/>
      <c r="F1252" s="848"/>
      <c r="G1252" s="40"/>
      <c r="H1252" s="603" t="s">
        <v>38</v>
      </c>
      <c r="I1252" s="504">
        <v>0</v>
      </c>
      <c r="J1252" s="850"/>
      <c r="K1252" s="40"/>
      <c r="L1252" s="603" t="s">
        <v>38</v>
      </c>
      <c r="M1252" s="504">
        <f t="shared" si="4679"/>
        <v>0</v>
      </c>
      <c r="N1252" s="850"/>
      <c r="O1252" s="40"/>
      <c r="P1252" s="602">
        <v>0</v>
      </c>
      <c r="Q1252" s="602">
        <v>0</v>
      </c>
      <c r="R1252" s="602">
        <v>0</v>
      </c>
      <c r="S1252" s="602">
        <v>0</v>
      </c>
      <c r="T1252" s="602">
        <v>0</v>
      </c>
      <c r="U1252" s="602">
        <v>0</v>
      </c>
      <c r="V1252" s="602">
        <v>0</v>
      </c>
      <c r="W1252" s="40"/>
      <c r="X1252" s="504">
        <f t="shared" si="4671"/>
        <v>0</v>
      </c>
      <c r="Y1252" s="850"/>
      <c r="Z1252" s="40"/>
      <c r="AA1252" s="856"/>
      <c r="AB1252" s="856"/>
      <c r="AC1252" s="857"/>
      <c r="AD1252" s="920"/>
      <c r="AE1252" s="40"/>
      <c r="AF1252" s="856"/>
      <c r="AG1252" s="856"/>
      <c r="AH1252" s="857"/>
      <c r="AI1252" s="856"/>
      <c r="AJ1252" s="856"/>
      <c r="AK1252" s="856"/>
      <c r="AL1252" s="856"/>
      <c r="AM1252" s="850"/>
      <c r="AN1252" s="40"/>
      <c r="AO1252" s="882"/>
      <c r="AP1252" s="882"/>
      <c r="AV1252" t="str">
        <f t="shared" si="4796"/>
        <v>BDCC no Km 155+722 - Aterro 03</v>
      </c>
      <c r="AW1252" s="4" t="str">
        <f t="shared" si="4794"/>
        <v>2.5-BSCC 1,50 x 1,50 m - Km 144+589 - Aterro A8 - Bueiro de Concreto - LD</v>
      </c>
    </row>
    <row r="1253" spans="1:49" ht="15.6" customHeight="1" outlineLevel="2">
      <c r="A1253" s="598" t="str">
        <f t="shared" ref="A1253" si="4914">IF(SUM(P1253:V1254)&gt;0,"S","N")</f>
        <v>N</v>
      </c>
      <c r="B1253" s="599">
        <v>1064359</v>
      </c>
      <c r="C1253" s="599" t="s">
        <v>1576</v>
      </c>
      <c r="D1253" s="118" t="s">
        <v>1348</v>
      </c>
      <c r="E1253" s="917" t="s">
        <v>1577</v>
      </c>
      <c r="F1253" s="848" t="s">
        <v>1437</v>
      </c>
      <c r="G1253" s="40"/>
      <c r="H1253" s="600" t="s">
        <v>37</v>
      </c>
      <c r="I1253" s="504">
        <v>0</v>
      </c>
      <c r="J1253" s="849" t="str">
        <f t="shared" ref="J1253" si="4915">IFERROR((I1254/I1253),"-")</f>
        <v>-</v>
      </c>
      <c r="K1253" s="40"/>
      <c r="L1253" s="600" t="s">
        <v>37</v>
      </c>
      <c r="M1253" s="504">
        <f t="shared" si="4679"/>
        <v>0</v>
      </c>
      <c r="N1253" s="849" t="str">
        <f t="shared" ref="N1253" si="4916">IFERROR((M1254/M1253),"-")</f>
        <v>-</v>
      </c>
      <c r="O1253" s="40"/>
      <c r="P1253" s="602">
        <v>0</v>
      </c>
      <c r="Q1253" s="602">
        <v>0</v>
      </c>
      <c r="R1253" s="602">
        <v>0</v>
      </c>
      <c r="S1253" s="602">
        <v>0</v>
      </c>
      <c r="T1253" s="602">
        <v>0</v>
      </c>
      <c r="U1253" s="602">
        <v>0</v>
      </c>
      <c r="V1253" s="602">
        <v>0</v>
      </c>
      <c r="W1253" s="40"/>
      <c r="X1253" s="504">
        <f t="shared" si="4671"/>
        <v>0</v>
      </c>
      <c r="Y1253" s="849" t="str">
        <f t="shared" ref="Y1253" si="4917">IFERROR((X1254/X1253),"0")</f>
        <v>0</v>
      </c>
      <c r="Z1253" s="40"/>
      <c r="AA1253" s="855">
        <v>0</v>
      </c>
      <c r="AB1253" s="855">
        <v>0</v>
      </c>
      <c r="AC1253" s="858">
        <v>0</v>
      </c>
      <c r="AD1253" s="849" t="str">
        <f t="shared" ref="AD1253" si="4918">IFERROR((AC1253/AB1253),"-")</f>
        <v>-</v>
      </c>
      <c r="AE1253" s="40"/>
      <c r="AF1253" s="855">
        <v>0</v>
      </c>
      <c r="AG1253" s="855"/>
      <c r="AH1253" s="858">
        <v>0</v>
      </c>
      <c r="AI1253" s="855"/>
      <c r="AJ1253" s="855"/>
      <c r="AK1253" s="855">
        <f t="shared" ref="AK1253" si="4919">AF1253+AG1253+AH1253+AI1253+AJ1253+AC1253</f>
        <v>0</v>
      </c>
      <c r="AL1253" s="855">
        <v>0</v>
      </c>
      <c r="AM1253" s="849" t="str">
        <f t="shared" ref="AM1253" si="4920">IFERROR((AK1253/AL1253),"-")</f>
        <v>-</v>
      </c>
      <c r="AN1253" s="40"/>
      <c r="AO1253" s="855">
        <v>0</v>
      </c>
      <c r="AP1253" s="855">
        <f t="shared" ref="AP1253" si="4921">AO1253-AK1253</f>
        <v>0</v>
      </c>
      <c r="AV1253" t="str">
        <f t="shared" si="4796"/>
        <v>BDCC no Km 155+722 - Aterro 03</v>
      </c>
      <c r="AW1253" s="4" t="str">
        <f t="shared" si="4794"/>
        <v>2.5-PG BSCC 3,0 x 3,0 m - Km 144+610 - Aterro A8 - Bueiro de Concreto - LE</v>
      </c>
    </row>
    <row r="1254" spans="1:49" ht="15.6" customHeight="1" outlineLevel="2">
      <c r="A1254" s="598" t="str">
        <f t="shared" ref="A1254" si="4922">A1253</f>
        <v>N</v>
      </c>
      <c r="B1254" s="599"/>
      <c r="C1254" s="599"/>
      <c r="D1254" s="118" t="s">
        <v>1444</v>
      </c>
      <c r="E1254" s="918"/>
      <c r="F1254" s="848"/>
      <c r="G1254" s="40"/>
      <c r="H1254" s="603" t="s">
        <v>38</v>
      </c>
      <c r="I1254" s="504">
        <v>0</v>
      </c>
      <c r="J1254" s="850"/>
      <c r="K1254" s="40"/>
      <c r="L1254" s="603" t="s">
        <v>38</v>
      </c>
      <c r="M1254" s="504">
        <f t="shared" si="4679"/>
        <v>0</v>
      </c>
      <c r="N1254" s="850"/>
      <c r="O1254" s="40"/>
      <c r="P1254" s="602">
        <v>0</v>
      </c>
      <c r="Q1254" s="602">
        <v>0</v>
      </c>
      <c r="R1254" s="602">
        <v>0</v>
      </c>
      <c r="S1254" s="602">
        <v>0</v>
      </c>
      <c r="T1254" s="602">
        <v>0</v>
      </c>
      <c r="U1254" s="602">
        <v>0</v>
      </c>
      <c r="V1254" s="602">
        <v>0</v>
      </c>
      <c r="W1254" s="40"/>
      <c r="X1254" s="504">
        <f t="shared" si="4671"/>
        <v>0</v>
      </c>
      <c r="Y1254" s="850"/>
      <c r="Z1254" s="40"/>
      <c r="AA1254" s="856"/>
      <c r="AB1254" s="856"/>
      <c r="AC1254" s="857"/>
      <c r="AD1254" s="920"/>
      <c r="AE1254" s="40"/>
      <c r="AF1254" s="856"/>
      <c r="AG1254" s="856"/>
      <c r="AH1254" s="857"/>
      <c r="AI1254" s="856"/>
      <c r="AJ1254" s="856"/>
      <c r="AK1254" s="856"/>
      <c r="AL1254" s="856"/>
      <c r="AM1254" s="850"/>
      <c r="AN1254" s="40"/>
      <c r="AO1254" s="882"/>
      <c r="AP1254" s="882"/>
      <c r="AV1254" t="str">
        <f t="shared" si="4796"/>
        <v>BDCC no Km 155+722 - Aterro 03</v>
      </c>
      <c r="AW1254" s="4" t="str">
        <f t="shared" si="4794"/>
        <v>2.5-PG BSCC 3,0 x 3,0 m - Km 144+610 - Aterro A8 - Bueiro de Concreto - LE</v>
      </c>
    </row>
    <row r="1255" spans="1:49" ht="15.6" customHeight="1" outlineLevel="2">
      <c r="A1255" s="598" t="str">
        <f t="shared" ref="A1255" si="4923">IF(SUM(P1255:V1256)&gt;0,"S","N")</f>
        <v>N</v>
      </c>
      <c r="B1255" s="599">
        <v>1064360</v>
      </c>
      <c r="C1255" s="599" t="s">
        <v>1578</v>
      </c>
      <c r="D1255" s="118" t="s">
        <v>1348</v>
      </c>
      <c r="E1255" s="917" t="s">
        <v>1579</v>
      </c>
      <c r="F1255" s="848" t="s">
        <v>1437</v>
      </c>
      <c r="G1255" s="40"/>
      <c r="H1255" s="600" t="s">
        <v>37</v>
      </c>
      <c r="I1255" s="504">
        <v>0</v>
      </c>
      <c r="J1255" s="849" t="str">
        <f t="shared" ref="J1255" si="4924">IFERROR((I1256/I1255),"-")</f>
        <v>-</v>
      </c>
      <c r="K1255" s="40"/>
      <c r="L1255" s="600" t="s">
        <v>37</v>
      </c>
      <c r="M1255" s="504">
        <f t="shared" si="4679"/>
        <v>0</v>
      </c>
      <c r="N1255" s="849" t="str">
        <f t="shared" ref="N1255" si="4925">IFERROR((M1256/M1255),"-")</f>
        <v>-</v>
      </c>
      <c r="O1255" s="40"/>
      <c r="P1255" s="602">
        <v>0</v>
      </c>
      <c r="Q1255" s="602">
        <v>0</v>
      </c>
      <c r="R1255" s="602">
        <v>0</v>
      </c>
      <c r="S1255" s="602">
        <v>0</v>
      </c>
      <c r="T1255" s="602">
        <v>0</v>
      </c>
      <c r="U1255" s="602">
        <v>0</v>
      </c>
      <c r="V1255" s="602">
        <v>0</v>
      </c>
      <c r="W1255" s="40"/>
      <c r="X1255" s="504">
        <f t="shared" si="4671"/>
        <v>0</v>
      </c>
      <c r="Y1255" s="849" t="str">
        <f t="shared" ref="Y1255" si="4926">IFERROR((X1256/X1255),"0")</f>
        <v>0</v>
      </c>
      <c r="Z1255" s="40"/>
      <c r="AA1255" s="855">
        <v>0</v>
      </c>
      <c r="AB1255" s="855">
        <v>0</v>
      </c>
      <c r="AC1255" s="858">
        <v>0</v>
      </c>
      <c r="AD1255" s="849" t="str">
        <f t="shared" ref="AD1255" si="4927">IFERROR((AC1255/AB1255),"-")</f>
        <v>-</v>
      </c>
      <c r="AE1255" s="40"/>
      <c r="AF1255" s="855">
        <v>1</v>
      </c>
      <c r="AG1255" s="855"/>
      <c r="AH1255" s="858">
        <v>0</v>
      </c>
      <c r="AI1255" s="855"/>
      <c r="AJ1255" s="855"/>
      <c r="AK1255" s="855">
        <f t="shared" ref="AK1255" si="4928">AF1255+AG1255+AH1255+AI1255+AJ1255+AC1255</f>
        <v>1</v>
      </c>
      <c r="AL1255" s="855">
        <v>0.98999999999999977</v>
      </c>
      <c r="AM1255" s="849">
        <f t="shared" ref="AM1255" si="4929">IFERROR((AK1255/AL1255),"-")</f>
        <v>1.0101010101010104</v>
      </c>
      <c r="AN1255" s="40"/>
      <c r="AO1255" s="855">
        <v>1</v>
      </c>
      <c r="AP1255" s="855">
        <f t="shared" ref="AP1255" si="4930">AO1255-AK1255</f>
        <v>0</v>
      </c>
      <c r="AV1255" t="str">
        <f t="shared" si="4796"/>
        <v>BDCC no Km 155+722 - Aterro 03</v>
      </c>
      <c r="AW1255" s="4" t="str">
        <f t="shared" si="4794"/>
        <v>2.5-PG BSCC 3,0 x 3,0 m - Km 144+610 - Aterro A8 - Bueiro de Concreto - LD</v>
      </c>
    </row>
    <row r="1256" spans="1:49" ht="15.6" customHeight="1" outlineLevel="2">
      <c r="A1256" s="598" t="str">
        <f t="shared" ref="A1256" si="4931">A1255</f>
        <v>N</v>
      </c>
      <c r="B1256" s="599"/>
      <c r="C1256" s="599"/>
      <c r="D1256" s="118" t="s">
        <v>1441</v>
      </c>
      <c r="E1256" s="918"/>
      <c r="F1256" s="848"/>
      <c r="G1256" s="40"/>
      <c r="H1256" s="603" t="s">
        <v>38</v>
      </c>
      <c r="I1256" s="504">
        <v>0</v>
      </c>
      <c r="J1256" s="850"/>
      <c r="K1256" s="40"/>
      <c r="L1256" s="603" t="s">
        <v>38</v>
      </c>
      <c r="M1256" s="504">
        <f t="shared" si="4679"/>
        <v>0</v>
      </c>
      <c r="N1256" s="850"/>
      <c r="O1256" s="40"/>
      <c r="P1256" s="602">
        <v>0</v>
      </c>
      <c r="Q1256" s="602">
        <v>0</v>
      </c>
      <c r="R1256" s="602">
        <v>0</v>
      </c>
      <c r="S1256" s="602">
        <v>0</v>
      </c>
      <c r="T1256" s="602">
        <v>0</v>
      </c>
      <c r="U1256" s="602">
        <v>0</v>
      </c>
      <c r="V1256" s="602">
        <v>0</v>
      </c>
      <c r="W1256" s="40"/>
      <c r="X1256" s="504">
        <f t="shared" si="4671"/>
        <v>0</v>
      </c>
      <c r="Y1256" s="850"/>
      <c r="Z1256" s="40"/>
      <c r="AA1256" s="856"/>
      <c r="AB1256" s="856"/>
      <c r="AC1256" s="857"/>
      <c r="AD1256" s="920"/>
      <c r="AE1256" s="40"/>
      <c r="AF1256" s="856"/>
      <c r="AG1256" s="856"/>
      <c r="AH1256" s="857"/>
      <c r="AI1256" s="856"/>
      <c r="AJ1256" s="856"/>
      <c r="AK1256" s="856"/>
      <c r="AL1256" s="856"/>
      <c r="AM1256" s="850"/>
      <c r="AN1256" s="40"/>
      <c r="AO1256" s="882"/>
      <c r="AP1256" s="882"/>
      <c r="AV1256" t="str">
        <f t="shared" si="4796"/>
        <v>BDCC no Km 155+722 - Aterro 03</v>
      </c>
      <c r="AW1256" s="4" t="str">
        <f t="shared" si="4794"/>
        <v>2.5-PG BSCC 3,0 x 3,0 m - Km 144+610 - Aterro A8 - Bueiro de Concreto - LD</v>
      </c>
    </row>
    <row r="1257" spans="1:49" ht="15.6" customHeight="1" outlineLevel="2">
      <c r="A1257" s="598" t="str">
        <f t="shared" ref="A1257" si="4932">IF(SUM(P1257:V1258)&gt;0,"S","N")</f>
        <v>N</v>
      </c>
      <c r="B1257" s="599">
        <v>1064365</v>
      </c>
      <c r="C1257" s="599" t="s">
        <v>1580</v>
      </c>
      <c r="D1257" s="118" t="s">
        <v>1350</v>
      </c>
      <c r="E1257" s="917" t="s">
        <v>1581</v>
      </c>
      <c r="F1257" s="848" t="s">
        <v>1437</v>
      </c>
      <c r="G1257" s="40"/>
      <c r="H1257" s="600" t="s">
        <v>37</v>
      </c>
      <c r="I1257" s="504">
        <v>0</v>
      </c>
      <c r="J1257" s="849" t="str">
        <f t="shared" ref="J1257" si="4933">IFERROR((I1258/I1257),"-")</f>
        <v>-</v>
      </c>
      <c r="K1257" s="40"/>
      <c r="L1257" s="600" t="s">
        <v>37</v>
      </c>
      <c r="M1257" s="504">
        <f t="shared" si="4679"/>
        <v>0</v>
      </c>
      <c r="N1257" s="849" t="str">
        <f t="shared" ref="N1257" si="4934">IFERROR((M1258/M1257),"-")</f>
        <v>-</v>
      </c>
      <c r="O1257" s="40"/>
      <c r="P1257" s="602">
        <v>0</v>
      </c>
      <c r="Q1257" s="602">
        <v>0</v>
      </c>
      <c r="R1257" s="602">
        <v>0</v>
      </c>
      <c r="S1257" s="602">
        <v>0</v>
      </c>
      <c r="T1257" s="602">
        <v>0</v>
      </c>
      <c r="U1257" s="602">
        <v>0</v>
      </c>
      <c r="V1257" s="602">
        <v>0</v>
      </c>
      <c r="W1257" s="40"/>
      <c r="X1257" s="504">
        <f t="shared" si="4671"/>
        <v>0</v>
      </c>
      <c r="Y1257" s="849" t="str">
        <f t="shared" ref="Y1257" si="4935">IFERROR((X1258/X1257),"0")</f>
        <v>0</v>
      </c>
      <c r="Z1257" s="40"/>
      <c r="AA1257" s="855">
        <v>0</v>
      </c>
      <c r="AB1257" s="855">
        <v>0</v>
      </c>
      <c r="AC1257" s="858">
        <v>0</v>
      </c>
      <c r="AD1257" s="849" t="str">
        <f t="shared" ref="AD1257" si="4936">IFERROR((AC1257/AB1257),"-")</f>
        <v>-</v>
      </c>
      <c r="AE1257" s="40"/>
      <c r="AF1257" s="855">
        <v>0</v>
      </c>
      <c r="AG1257" s="855"/>
      <c r="AH1257" s="858">
        <v>0</v>
      </c>
      <c r="AI1257" s="855"/>
      <c r="AJ1257" s="855"/>
      <c r="AK1257" s="855">
        <f t="shared" ref="AK1257" si="4937">AF1257+AG1257+AH1257+AI1257+AJ1257+AC1257</f>
        <v>0</v>
      </c>
      <c r="AL1257" s="855">
        <v>0</v>
      </c>
      <c r="AM1257" s="849" t="str">
        <f t="shared" ref="AM1257" si="4938">IFERROR((AK1257/AL1257),"-")</f>
        <v>-</v>
      </c>
      <c r="AN1257" s="40"/>
      <c r="AO1257" s="855">
        <v>1</v>
      </c>
      <c r="AP1257" s="855">
        <f t="shared" ref="AP1257" si="4939">AO1257-AK1257</f>
        <v>1</v>
      </c>
      <c r="AV1257" t="str">
        <f t="shared" si="4796"/>
        <v>BDCC no Km 155+722 - Aterro 03</v>
      </c>
      <c r="AW1257" s="4" t="str">
        <f t="shared" si="4794"/>
        <v>2.5-PG BSCC 3,0 x 3,0 m - Km 145+180 - Aterro A9 - Bueiro de Concreto - LE</v>
      </c>
    </row>
    <row r="1258" spans="1:49" ht="15.6" customHeight="1" outlineLevel="2">
      <c r="A1258" s="598" t="str">
        <f t="shared" ref="A1258" si="4940">A1257</f>
        <v>N</v>
      </c>
      <c r="B1258" s="599"/>
      <c r="C1258" s="599"/>
      <c r="D1258" s="118" t="s">
        <v>1444</v>
      </c>
      <c r="E1258" s="918"/>
      <c r="F1258" s="848"/>
      <c r="G1258" s="40"/>
      <c r="H1258" s="603" t="s">
        <v>38</v>
      </c>
      <c r="I1258" s="504">
        <v>0</v>
      </c>
      <c r="J1258" s="850"/>
      <c r="K1258" s="40"/>
      <c r="L1258" s="603" t="s">
        <v>38</v>
      </c>
      <c r="M1258" s="504">
        <f t="shared" si="4679"/>
        <v>0</v>
      </c>
      <c r="N1258" s="850"/>
      <c r="O1258" s="40"/>
      <c r="P1258" s="602">
        <v>0</v>
      </c>
      <c r="Q1258" s="602">
        <v>0</v>
      </c>
      <c r="R1258" s="602">
        <v>0</v>
      </c>
      <c r="S1258" s="602">
        <v>0</v>
      </c>
      <c r="T1258" s="602">
        <v>0</v>
      </c>
      <c r="U1258" s="602">
        <v>0</v>
      </c>
      <c r="V1258" s="602">
        <v>0</v>
      </c>
      <c r="W1258" s="40"/>
      <c r="X1258" s="504">
        <f t="shared" si="4671"/>
        <v>0</v>
      </c>
      <c r="Y1258" s="850"/>
      <c r="Z1258" s="40"/>
      <c r="AA1258" s="856"/>
      <c r="AB1258" s="856"/>
      <c r="AC1258" s="857"/>
      <c r="AD1258" s="920"/>
      <c r="AE1258" s="40"/>
      <c r="AF1258" s="856"/>
      <c r="AG1258" s="856"/>
      <c r="AH1258" s="857"/>
      <c r="AI1258" s="856"/>
      <c r="AJ1258" s="856"/>
      <c r="AK1258" s="856"/>
      <c r="AL1258" s="856"/>
      <c r="AM1258" s="850"/>
      <c r="AN1258" s="40"/>
      <c r="AO1258" s="882"/>
      <c r="AP1258" s="882"/>
      <c r="AV1258" t="str">
        <f t="shared" si="4796"/>
        <v>BDCC no Km 155+722 - Aterro 03</v>
      </c>
      <c r="AW1258" s="4" t="str">
        <f t="shared" si="4794"/>
        <v>2.5-PG BSCC 3,0 x 3,0 m - Km 145+180 - Aterro A9 - Bueiro de Concreto - LE</v>
      </c>
    </row>
    <row r="1259" spans="1:49" ht="15.6" customHeight="1" outlineLevel="2">
      <c r="A1259" s="598" t="str">
        <f t="shared" ref="A1259" si="4941">IF(SUM(P1259:V1260)&gt;0,"S","N")</f>
        <v>N</v>
      </c>
      <c r="B1259" s="599">
        <v>1064366</v>
      </c>
      <c r="C1259" s="599" t="s">
        <v>1582</v>
      </c>
      <c r="D1259" s="118" t="s">
        <v>1350</v>
      </c>
      <c r="E1259" s="917" t="s">
        <v>1583</v>
      </c>
      <c r="F1259" s="848" t="s">
        <v>1437</v>
      </c>
      <c r="G1259" s="40"/>
      <c r="H1259" s="600" t="s">
        <v>37</v>
      </c>
      <c r="I1259" s="504">
        <v>0</v>
      </c>
      <c r="J1259" s="849" t="str">
        <f t="shared" ref="J1259" si="4942">IFERROR((I1260/I1259),"-")</f>
        <v>-</v>
      </c>
      <c r="K1259" s="40"/>
      <c r="L1259" s="600" t="s">
        <v>37</v>
      </c>
      <c r="M1259" s="504">
        <f t="shared" si="4679"/>
        <v>0</v>
      </c>
      <c r="N1259" s="849" t="str">
        <f t="shared" ref="N1259" si="4943">IFERROR((M1260/M1259),"-")</f>
        <v>-</v>
      </c>
      <c r="O1259" s="40"/>
      <c r="P1259" s="602">
        <v>0</v>
      </c>
      <c r="Q1259" s="602">
        <v>0</v>
      </c>
      <c r="R1259" s="602">
        <v>0</v>
      </c>
      <c r="S1259" s="602">
        <v>0</v>
      </c>
      <c r="T1259" s="602">
        <v>0</v>
      </c>
      <c r="U1259" s="602">
        <v>0</v>
      </c>
      <c r="V1259" s="602">
        <v>0</v>
      </c>
      <c r="W1259" s="40"/>
      <c r="X1259" s="504">
        <f t="shared" si="4671"/>
        <v>0</v>
      </c>
      <c r="Y1259" s="849" t="str">
        <f t="shared" ref="Y1259" si="4944">IFERROR((X1260/X1259),"0")</f>
        <v>0</v>
      </c>
      <c r="Z1259" s="40"/>
      <c r="AA1259" s="855">
        <v>0</v>
      </c>
      <c r="AB1259" s="855">
        <v>0</v>
      </c>
      <c r="AC1259" s="858">
        <v>0</v>
      </c>
      <c r="AD1259" s="849" t="str">
        <f t="shared" ref="AD1259" si="4945">IFERROR((AC1259/AB1259),"-")</f>
        <v>-</v>
      </c>
      <c r="AE1259" s="40"/>
      <c r="AF1259" s="855">
        <v>0</v>
      </c>
      <c r="AG1259" s="855"/>
      <c r="AH1259" s="858">
        <v>0</v>
      </c>
      <c r="AI1259" s="855"/>
      <c r="AJ1259" s="855"/>
      <c r="AK1259" s="855">
        <f t="shared" ref="AK1259" si="4946">AF1259+AG1259+AH1259+AI1259+AJ1259+AC1259</f>
        <v>0</v>
      </c>
      <c r="AL1259" s="855">
        <v>0</v>
      </c>
      <c r="AM1259" s="849" t="str">
        <f t="shared" ref="AM1259" si="4947">IFERROR((AK1259/AL1259),"-")</f>
        <v>-</v>
      </c>
      <c r="AN1259" s="40"/>
      <c r="AO1259" s="855">
        <v>1</v>
      </c>
      <c r="AP1259" s="855">
        <f t="shared" ref="AP1259" si="4948">AO1259-AK1259</f>
        <v>1</v>
      </c>
      <c r="AV1259" t="str">
        <f t="shared" si="4796"/>
        <v>BDCC no Km 155+722 - Aterro 03</v>
      </c>
      <c r="AW1259" s="4" t="str">
        <f t="shared" si="4794"/>
        <v>2.5-PG BSCC 3,0 x 3,0 m - Km 145+180 - Aterro A9 - Bueiro de Concreto - LD</v>
      </c>
    </row>
    <row r="1260" spans="1:49" ht="15.6" customHeight="1" outlineLevel="2">
      <c r="A1260" s="598" t="str">
        <f t="shared" ref="A1260" si="4949">A1259</f>
        <v>N</v>
      </c>
      <c r="B1260" s="599"/>
      <c r="C1260" s="599"/>
      <c r="D1260" s="118" t="s">
        <v>1441</v>
      </c>
      <c r="E1260" s="918"/>
      <c r="F1260" s="848"/>
      <c r="G1260" s="40"/>
      <c r="H1260" s="603" t="s">
        <v>38</v>
      </c>
      <c r="I1260" s="504">
        <v>0</v>
      </c>
      <c r="J1260" s="850"/>
      <c r="K1260" s="40"/>
      <c r="L1260" s="603" t="s">
        <v>38</v>
      </c>
      <c r="M1260" s="504">
        <f t="shared" si="4679"/>
        <v>0</v>
      </c>
      <c r="N1260" s="850"/>
      <c r="O1260" s="40"/>
      <c r="P1260" s="602">
        <v>0</v>
      </c>
      <c r="Q1260" s="602">
        <v>0</v>
      </c>
      <c r="R1260" s="602">
        <v>0</v>
      </c>
      <c r="S1260" s="602">
        <v>0</v>
      </c>
      <c r="T1260" s="602">
        <v>0</v>
      </c>
      <c r="U1260" s="602">
        <v>0</v>
      </c>
      <c r="V1260" s="602">
        <v>0</v>
      </c>
      <c r="W1260" s="40"/>
      <c r="X1260" s="504">
        <f t="shared" si="4671"/>
        <v>0</v>
      </c>
      <c r="Y1260" s="850"/>
      <c r="Z1260" s="40"/>
      <c r="AA1260" s="856"/>
      <c r="AB1260" s="856"/>
      <c r="AC1260" s="857"/>
      <c r="AD1260" s="920"/>
      <c r="AE1260" s="40"/>
      <c r="AF1260" s="856"/>
      <c r="AG1260" s="856"/>
      <c r="AH1260" s="857"/>
      <c r="AI1260" s="856"/>
      <c r="AJ1260" s="856"/>
      <c r="AK1260" s="856"/>
      <c r="AL1260" s="856"/>
      <c r="AM1260" s="850"/>
      <c r="AN1260" s="40"/>
      <c r="AO1260" s="882"/>
      <c r="AP1260" s="882"/>
      <c r="AV1260" t="str">
        <f t="shared" si="4796"/>
        <v>BDCC no Km 155+722 - Aterro 03</v>
      </c>
      <c r="AW1260" s="4" t="str">
        <f t="shared" si="4794"/>
        <v>2.5-PG BSCC 3,0 x 3,0 m - Km 145+180 - Aterro A9 - Bueiro de Concreto - LD</v>
      </c>
    </row>
    <row r="1261" spans="1:49" ht="15.6" customHeight="1" outlineLevel="2">
      <c r="A1261" s="604" t="str">
        <f t="shared" ref="A1261" si="4950">IF(SUM(P1261:V1262)&gt;0,"S","N")</f>
        <v>N</v>
      </c>
      <c r="B1261" s="599">
        <v>1064369</v>
      </c>
      <c r="C1261" s="599" t="s">
        <v>1584</v>
      </c>
      <c r="D1261" s="118" t="s">
        <v>1352</v>
      </c>
      <c r="E1261" s="917" t="s">
        <v>1585</v>
      </c>
      <c r="F1261" s="848" t="s">
        <v>1437</v>
      </c>
      <c r="G1261" s="40"/>
      <c r="H1261" s="600" t="s">
        <v>37</v>
      </c>
      <c r="I1261" s="504">
        <v>0</v>
      </c>
      <c r="J1261" s="849" t="str">
        <f t="shared" ref="J1261" si="4951">IFERROR((I1262/I1261),"-")</f>
        <v>-</v>
      </c>
      <c r="K1261" s="40"/>
      <c r="L1261" s="600" t="s">
        <v>37</v>
      </c>
      <c r="M1261" s="504">
        <f t="shared" si="4679"/>
        <v>0</v>
      </c>
      <c r="N1261" s="849" t="str">
        <f t="shared" ref="N1261" si="4952">IFERROR((M1262/M1261),"-")</f>
        <v>-</v>
      </c>
      <c r="O1261" s="40"/>
      <c r="P1261" s="602">
        <v>0</v>
      </c>
      <c r="Q1261" s="602">
        <v>0</v>
      </c>
      <c r="R1261" s="602">
        <v>0</v>
      </c>
      <c r="S1261" s="602">
        <v>0</v>
      </c>
      <c r="T1261" s="602">
        <v>0</v>
      </c>
      <c r="U1261" s="602">
        <v>0</v>
      </c>
      <c r="V1261" s="602">
        <v>0</v>
      </c>
      <c r="W1261" s="40"/>
      <c r="X1261" s="504">
        <f t="shared" si="4671"/>
        <v>0</v>
      </c>
      <c r="Y1261" s="849" t="str">
        <f t="shared" ref="Y1261" si="4953">IFERROR((X1262/X1261),"0")</f>
        <v>0</v>
      </c>
      <c r="Z1261" s="40"/>
      <c r="AA1261" s="855">
        <v>0</v>
      </c>
      <c r="AB1261" s="855">
        <v>0</v>
      </c>
      <c r="AC1261" s="858">
        <v>0</v>
      </c>
      <c r="AD1261" s="849" t="str">
        <f t="shared" ref="AD1261" si="4954">IFERROR((AC1261/AB1261),"-")</f>
        <v>-</v>
      </c>
      <c r="AE1261" s="40"/>
      <c r="AF1261" s="855">
        <v>0</v>
      </c>
      <c r="AG1261" s="855"/>
      <c r="AH1261" s="858">
        <v>0</v>
      </c>
      <c r="AI1261" s="855"/>
      <c r="AJ1261" s="855">
        <v>1</v>
      </c>
      <c r="AK1261" s="855">
        <f t="shared" ref="AK1261" si="4955">AF1261+AG1261+AH1261+AI1261+AJ1261+AC1261</f>
        <v>1</v>
      </c>
      <c r="AL1261" s="855">
        <v>1.0000000000000002</v>
      </c>
      <c r="AM1261" s="849">
        <f t="shared" ref="AM1261" si="4956">IFERROR((AK1261/AL1261),"-")</f>
        <v>0.99999999999999978</v>
      </c>
      <c r="AN1261" s="40"/>
      <c r="AO1261" s="855">
        <v>1</v>
      </c>
      <c r="AP1261" s="855">
        <f t="shared" ref="AP1261" si="4957">AO1261-AK1261</f>
        <v>0</v>
      </c>
      <c r="AV1261" t="str">
        <f t="shared" si="4796"/>
        <v>BDCC no Km 155+722 - Aterro 03</v>
      </c>
      <c r="AW1261" s="4" t="str">
        <f t="shared" si="4794"/>
        <v>2.5-BSCC 2,50 x 2,50 m - Km 145+308 - Aterro A9 - Bueiro de Concreto - LE</v>
      </c>
    </row>
    <row r="1262" spans="1:49" ht="15.6" customHeight="1" outlineLevel="2">
      <c r="A1262" s="604" t="str">
        <f t="shared" ref="A1262" si="4958">A1261</f>
        <v>N</v>
      </c>
      <c r="B1262" s="599"/>
      <c r="C1262" s="599"/>
      <c r="D1262" s="118" t="s">
        <v>1444</v>
      </c>
      <c r="E1262" s="918"/>
      <c r="F1262" s="848"/>
      <c r="G1262" s="40"/>
      <c r="H1262" s="603" t="s">
        <v>38</v>
      </c>
      <c r="I1262" s="504">
        <v>0</v>
      </c>
      <c r="J1262" s="850"/>
      <c r="K1262" s="40"/>
      <c r="L1262" s="603" t="s">
        <v>38</v>
      </c>
      <c r="M1262" s="504">
        <f t="shared" si="4679"/>
        <v>0</v>
      </c>
      <c r="N1262" s="850"/>
      <c r="O1262" s="40"/>
      <c r="P1262" s="602">
        <v>0</v>
      </c>
      <c r="Q1262" s="602">
        <v>0</v>
      </c>
      <c r="R1262" s="602">
        <v>0</v>
      </c>
      <c r="S1262" s="602">
        <v>0</v>
      </c>
      <c r="T1262" s="602">
        <v>0</v>
      </c>
      <c r="U1262" s="602">
        <v>0</v>
      </c>
      <c r="V1262" s="602">
        <v>0</v>
      </c>
      <c r="W1262" s="40"/>
      <c r="X1262" s="504">
        <f t="shared" si="4671"/>
        <v>0</v>
      </c>
      <c r="Y1262" s="850"/>
      <c r="Z1262" s="40"/>
      <c r="AA1262" s="856"/>
      <c r="AB1262" s="856"/>
      <c r="AC1262" s="857"/>
      <c r="AD1262" s="920"/>
      <c r="AE1262" s="40"/>
      <c r="AF1262" s="856"/>
      <c r="AG1262" s="856"/>
      <c r="AH1262" s="857"/>
      <c r="AI1262" s="856"/>
      <c r="AJ1262" s="856"/>
      <c r="AK1262" s="856"/>
      <c r="AL1262" s="856"/>
      <c r="AM1262" s="850"/>
      <c r="AN1262" s="40"/>
      <c r="AO1262" s="882"/>
      <c r="AP1262" s="882"/>
      <c r="AV1262" t="str">
        <f t="shared" si="4796"/>
        <v>BDCC no Km 155+722 - Aterro 03</v>
      </c>
      <c r="AW1262" s="4" t="str">
        <f t="shared" si="4794"/>
        <v>2.5-BSCC 2,50 x 2,50 m - Km 145+308 - Aterro A9 - Bueiro de Concreto - LE</v>
      </c>
    </row>
    <row r="1263" spans="1:49" ht="15.6" customHeight="1" outlineLevel="2">
      <c r="A1263" s="598" t="str">
        <f t="shared" ref="A1263" si="4959">IF(SUM(P1263:V1264)&gt;0,"S","N")</f>
        <v>N</v>
      </c>
      <c r="B1263" s="599">
        <v>1064370</v>
      </c>
      <c r="C1263" s="599" t="s">
        <v>1586</v>
      </c>
      <c r="D1263" s="118" t="s">
        <v>1352</v>
      </c>
      <c r="E1263" s="917" t="s">
        <v>1587</v>
      </c>
      <c r="F1263" s="848" t="s">
        <v>1437</v>
      </c>
      <c r="G1263" s="40"/>
      <c r="H1263" s="600" t="s">
        <v>37</v>
      </c>
      <c r="I1263" s="504">
        <v>0</v>
      </c>
      <c r="J1263" s="849" t="str">
        <f t="shared" ref="J1263" si="4960">IFERROR((I1264/I1263),"-")</f>
        <v>-</v>
      </c>
      <c r="K1263" s="40"/>
      <c r="L1263" s="600" t="s">
        <v>37</v>
      </c>
      <c r="M1263" s="504">
        <f t="shared" si="4679"/>
        <v>0</v>
      </c>
      <c r="N1263" s="849" t="str">
        <f t="shared" ref="N1263" si="4961">IFERROR((M1264/M1263),"-")</f>
        <v>-</v>
      </c>
      <c r="O1263" s="40"/>
      <c r="P1263" s="602">
        <v>0</v>
      </c>
      <c r="Q1263" s="602">
        <v>0</v>
      </c>
      <c r="R1263" s="602">
        <v>0</v>
      </c>
      <c r="S1263" s="602">
        <v>0</v>
      </c>
      <c r="T1263" s="602">
        <v>0</v>
      </c>
      <c r="U1263" s="602">
        <v>0</v>
      </c>
      <c r="V1263" s="602">
        <v>0</v>
      </c>
      <c r="W1263" s="40"/>
      <c r="X1263" s="504">
        <f t="shared" si="4671"/>
        <v>0</v>
      </c>
      <c r="Y1263" s="849" t="str">
        <f t="shared" ref="Y1263" si="4962">IFERROR((X1264/X1263),"0")</f>
        <v>0</v>
      </c>
      <c r="Z1263" s="40"/>
      <c r="AA1263" s="855">
        <v>0</v>
      </c>
      <c r="AB1263" s="855">
        <v>0</v>
      </c>
      <c r="AC1263" s="858">
        <v>0</v>
      </c>
      <c r="AD1263" s="849" t="str">
        <f t="shared" ref="AD1263" si="4963">IFERROR((AC1263/AB1263),"-")</f>
        <v>-</v>
      </c>
      <c r="AE1263" s="40"/>
      <c r="AF1263" s="855">
        <v>0</v>
      </c>
      <c r="AG1263" s="855"/>
      <c r="AH1263" s="858">
        <v>0</v>
      </c>
      <c r="AI1263" s="855"/>
      <c r="AJ1263" s="855">
        <v>1</v>
      </c>
      <c r="AK1263" s="855">
        <f t="shared" ref="AK1263" si="4964">AF1263+AG1263+AH1263+AI1263+AJ1263+AC1263</f>
        <v>1</v>
      </c>
      <c r="AL1263" s="855">
        <v>1.0000000000000002</v>
      </c>
      <c r="AM1263" s="849">
        <f t="shared" ref="AM1263" si="4965">IFERROR((AK1263/AL1263),"-")</f>
        <v>0.99999999999999978</v>
      </c>
      <c r="AN1263" s="40"/>
      <c r="AO1263" s="855">
        <v>1</v>
      </c>
      <c r="AP1263" s="855">
        <f t="shared" ref="AP1263" si="4966">AO1263-AK1263</f>
        <v>0</v>
      </c>
      <c r="AV1263" t="str">
        <f t="shared" si="4796"/>
        <v>BDCC no Km 155+722 - Aterro 03</v>
      </c>
      <c r="AW1263" s="4" t="str">
        <f t="shared" si="4794"/>
        <v xml:space="preserve">2.5-BSCC 2,50 x 2,50 m - Km 145+308 - Aterro A9 - Bueiro de Concreto- LD </v>
      </c>
    </row>
    <row r="1264" spans="1:49" ht="15.6" customHeight="1" outlineLevel="2">
      <c r="A1264" s="598" t="str">
        <f t="shared" ref="A1264" si="4967">A1263</f>
        <v>N</v>
      </c>
      <c r="B1264" s="599"/>
      <c r="C1264" s="599"/>
      <c r="D1264" s="118" t="s">
        <v>1441</v>
      </c>
      <c r="E1264" s="918"/>
      <c r="F1264" s="848"/>
      <c r="G1264" s="40"/>
      <c r="H1264" s="603" t="s">
        <v>38</v>
      </c>
      <c r="I1264" s="504">
        <v>0</v>
      </c>
      <c r="J1264" s="850"/>
      <c r="K1264" s="40"/>
      <c r="L1264" s="603" t="s">
        <v>38</v>
      </c>
      <c r="M1264" s="504">
        <f t="shared" si="4679"/>
        <v>0</v>
      </c>
      <c r="N1264" s="850"/>
      <c r="O1264" s="40"/>
      <c r="P1264" s="602">
        <v>0</v>
      </c>
      <c r="Q1264" s="602">
        <v>0</v>
      </c>
      <c r="R1264" s="602">
        <v>0</v>
      </c>
      <c r="S1264" s="602">
        <v>0</v>
      </c>
      <c r="T1264" s="602">
        <v>0</v>
      </c>
      <c r="U1264" s="602">
        <v>0</v>
      </c>
      <c r="V1264" s="602">
        <v>0</v>
      </c>
      <c r="W1264" s="40"/>
      <c r="X1264" s="504">
        <f t="shared" si="4671"/>
        <v>0</v>
      </c>
      <c r="Y1264" s="850"/>
      <c r="Z1264" s="40"/>
      <c r="AA1264" s="856"/>
      <c r="AB1264" s="856"/>
      <c r="AC1264" s="857"/>
      <c r="AD1264" s="920"/>
      <c r="AE1264" s="40"/>
      <c r="AF1264" s="856"/>
      <c r="AG1264" s="856"/>
      <c r="AH1264" s="857"/>
      <c r="AI1264" s="856"/>
      <c r="AJ1264" s="856"/>
      <c r="AK1264" s="856"/>
      <c r="AL1264" s="856"/>
      <c r="AM1264" s="850"/>
      <c r="AN1264" s="40"/>
      <c r="AO1264" s="882"/>
      <c r="AP1264" s="882"/>
      <c r="AV1264" t="str">
        <f t="shared" si="4796"/>
        <v>BDCC no Km 155+722 - Aterro 03</v>
      </c>
      <c r="AW1264" s="4" t="str">
        <f t="shared" si="4794"/>
        <v xml:space="preserve">2.5-BSCC 2,50 x 2,50 m - Km 145+308 - Aterro A9 - Bueiro de Concreto- LD </v>
      </c>
    </row>
    <row r="1265" spans="1:49" ht="15.6" customHeight="1" outlineLevel="2">
      <c r="A1265" s="598" t="str">
        <f t="shared" ref="A1265" si="4968">IF(SUM(P1265:V1266)&gt;0,"S","N")</f>
        <v>N</v>
      </c>
      <c r="B1265" s="599">
        <v>1064374</v>
      </c>
      <c r="C1265" s="599" t="s">
        <v>1588</v>
      </c>
      <c r="D1265" s="118" t="s">
        <v>1354</v>
      </c>
      <c r="E1265" s="917" t="s">
        <v>1589</v>
      </c>
      <c r="F1265" s="848" t="s">
        <v>1437</v>
      </c>
      <c r="G1265" s="40"/>
      <c r="H1265" s="600" t="s">
        <v>37</v>
      </c>
      <c r="I1265" s="504">
        <v>0</v>
      </c>
      <c r="J1265" s="849" t="str">
        <f t="shared" ref="J1265" si="4969">IFERROR((I1266/I1265),"-")</f>
        <v>-</v>
      </c>
      <c r="K1265" s="40"/>
      <c r="L1265" s="600" t="s">
        <v>37</v>
      </c>
      <c r="M1265" s="504">
        <f t="shared" ref="M1265:M1328" si="4970">_xlfn.XLOOKUP($N$8,$P$8:$V$8,$P1265:$V1265)</f>
        <v>0</v>
      </c>
      <c r="N1265" s="849" t="str">
        <f t="shared" ref="N1265" si="4971">IFERROR((M1266/M1265),"-")</f>
        <v>-</v>
      </c>
      <c r="O1265" s="40"/>
      <c r="P1265" s="602">
        <v>0</v>
      </c>
      <c r="Q1265" s="602">
        <v>0</v>
      </c>
      <c r="R1265" s="602">
        <v>0</v>
      </c>
      <c r="S1265" s="602">
        <v>0</v>
      </c>
      <c r="T1265" s="602">
        <v>0</v>
      </c>
      <c r="U1265" s="602">
        <v>0</v>
      </c>
      <c r="V1265" s="602">
        <v>0</v>
      </c>
      <c r="W1265" s="40"/>
      <c r="X1265" s="504">
        <f t="shared" si="4671"/>
        <v>0</v>
      </c>
      <c r="Y1265" s="849" t="str">
        <f t="shared" ref="Y1265" si="4972">IFERROR((X1266/X1265),"0")</f>
        <v>0</v>
      </c>
      <c r="Z1265" s="40"/>
      <c r="AA1265" s="855">
        <v>0</v>
      </c>
      <c r="AB1265" s="855">
        <v>0</v>
      </c>
      <c r="AC1265" s="858">
        <v>0</v>
      </c>
      <c r="AD1265" s="849" t="str">
        <f t="shared" ref="AD1265" si="4973">IFERROR((AC1265/AB1265),"-")</f>
        <v>-</v>
      </c>
      <c r="AE1265" s="40"/>
      <c r="AF1265" s="855">
        <v>0</v>
      </c>
      <c r="AG1265" s="855"/>
      <c r="AH1265" s="858">
        <v>0</v>
      </c>
      <c r="AI1265" s="855"/>
      <c r="AJ1265" s="855"/>
      <c r="AK1265" s="855">
        <f t="shared" ref="AK1265" si="4974">AF1265+AG1265+AH1265+AI1265+AJ1265+AC1265</f>
        <v>0</v>
      </c>
      <c r="AL1265" s="855">
        <v>1.0000000000000002</v>
      </c>
      <c r="AM1265" s="849">
        <f t="shared" ref="AM1265" si="4975">IFERROR((AK1265/AL1265),"-")</f>
        <v>0</v>
      </c>
      <c r="AN1265" s="40"/>
      <c r="AO1265" s="855">
        <v>1</v>
      </c>
      <c r="AP1265" s="855">
        <f t="shared" ref="AP1265" si="4976">AO1265-AK1265</f>
        <v>1</v>
      </c>
      <c r="AV1265" t="str">
        <f t="shared" si="4796"/>
        <v>BDCC no Km 155+722 - Aterro 03</v>
      </c>
      <c r="AW1265" s="4" t="str">
        <f t="shared" si="4794"/>
        <v>2.5-BSCC 2,0 x 2,0 m - Km 145+556 - Aterro A9 - Bueiro de Concreto - LE</v>
      </c>
    </row>
    <row r="1266" spans="1:49" ht="15.6" customHeight="1" outlineLevel="2">
      <c r="A1266" s="598" t="str">
        <f t="shared" ref="A1266" si="4977">A1265</f>
        <v>N</v>
      </c>
      <c r="B1266" s="599"/>
      <c r="C1266" s="599"/>
      <c r="D1266" s="118" t="s">
        <v>1444</v>
      </c>
      <c r="E1266" s="918"/>
      <c r="F1266" s="848"/>
      <c r="G1266" s="40"/>
      <c r="H1266" s="603" t="s">
        <v>38</v>
      </c>
      <c r="I1266" s="504">
        <v>0</v>
      </c>
      <c r="J1266" s="850"/>
      <c r="K1266" s="40"/>
      <c r="L1266" s="603" t="s">
        <v>38</v>
      </c>
      <c r="M1266" s="504">
        <f t="shared" si="4970"/>
        <v>0</v>
      </c>
      <c r="N1266" s="850"/>
      <c r="O1266" s="40"/>
      <c r="P1266" s="602">
        <v>0</v>
      </c>
      <c r="Q1266" s="602">
        <v>0</v>
      </c>
      <c r="R1266" s="602">
        <v>0</v>
      </c>
      <c r="S1266" s="602">
        <v>0</v>
      </c>
      <c r="T1266" s="602">
        <v>0</v>
      </c>
      <c r="U1266" s="602">
        <v>0</v>
      </c>
      <c r="V1266" s="602">
        <v>0</v>
      </c>
      <c r="W1266" s="40"/>
      <c r="X1266" s="504">
        <f t="shared" si="4671"/>
        <v>0</v>
      </c>
      <c r="Y1266" s="850"/>
      <c r="Z1266" s="40"/>
      <c r="AA1266" s="856"/>
      <c r="AB1266" s="856"/>
      <c r="AC1266" s="857"/>
      <c r="AD1266" s="920"/>
      <c r="AE1266" s="40"/>
      <c r="AF1266" s="856"/>
      <c r="AG1266" s="856"/>
      <c r="AH1266" s="857"/>
      <c r="AI1266" s="856"/>
      <c r="AJ1266" s="856"/>
      <c r="AK1266" s="856"/>
      <c r="AL1266" s="856"/>
      <c r="AM1266" s="850"/>
      <c r="AN1266" s="40"/>
      <c r="AO1266" s="882"/>
      <c r="AP1266" s="882"/>
      <c r="AV1266" t="str">
        <f t="shared" si="4796"/>
        <v>BDCC no Km 155+722 - Aterro 03</v>
      </c>
      <c r="AW1266" s="4" t="str">
        <f t="shared" si="4794"/>
        <v>2.5-BSCC 2,0 x 2,0 m - Km 145+556 - Aterro A9 - Bueiro de Concreto - LE</v>
      </c>
    </row>
    <row r="1267" spans="1:49" ht="15.6" customHeight="1" outlineLevel="2">
      <c r="A1267" s="598" t="str">
        <f t="shared" ref="A1267" si="4978">IF(SUM(P1267:V1268)&gt;0,"S","N")</f>
        <v>N</v>
      </c>
      <c r="B1267" s="599">
        <v>1064375</v>
      </c>
      <c r="C1267" s="599" t="s">
        <v>1590</v>
      </c>
      <c r="D1267" s="118" t="s">
        <v>1354</v>
      </c>
      <c r="E1267" s="917" t="s">
        <v>1591</v>
      </c>
      <c r="F1267" s="848" t="s">
        <v>1437</v>
      </c>
      <c r="G1267" s="40"/>
      <c r="H1267" s="600" t="s">
        <v>37</v>
      </c>
      <c r="I1267" s="504">
        <v>0</v>
      </c>
      <c r="J1267" s="849" t="str">
        <f t="shared" ref="J1267" si="4979">IFERROR((I1268/I1267),"-")</f>
        <v>-</v>
      </c>
      <c r="K1267" s="40"/>
      <c r="L1267" s="600" t="s">
        <v>37</v>
      </c>
      <c r="M1267" s="504">
        <f t="shared" si="4970"/>
        <v>0</v>
      </c>
      <c r="N1267" s="849" t="str">
        <f t="shared" ref="N1267" si="4980">IFERROR((M1268/M1267),"-")</f>
        <v>-</v>
      </c>
      <c r="O1267" s="40"/>
      <c r="P1267" s="602">
        <v>0</v>
      </c>
      <c r="Q1267" s="602">
        <v>0</v>
      </c>
      <c r="R1267" s="602">
        <v>0</v>
      </c>
      <c r="S1267" s="602">
        <v>0</v>
      </c>
      <c r="T1267" s="602">
        <v>0</v>
      </c>
      <c r="U1267" s="602">
        <v>0</v>
      </c>
      <c r="V1267" s="602">
        <v>0</v>
      </c>
      <c r="W1267" s="40"/>
      <c r="X1267" s="504">
        <f t="shared" si="4671"/>
        <v>0</v>
      </c>
      <c r="Y1267" s="849" t="str">
        <f t="shared" ref="Y1267" si="4981">IFERROR((X1268/X1267),"0")</f>
        <v>0</v>
      </c>
      <c r="Z1267" s="40"/>
      <c r="AA1267" s="855">
        <v>0</v>
      </c>
      <c r="AB1267" s="855">
        <v>0</v>
      </c>
      <c r="AC1267" s="858">
        <v>0</v>
      </c>
      <c r="AD1267" s="849" t="str">
        <f t="shared" ref="AD1267" si="4982">IFERROR((AC1267/AB1267),"-")</f>
        <v>-</v>
      </c>
      <c r="AE1267" s="40"/>
      <c r="AF1267" s="855">
        <v>0</v>
      </c>
      <c r="AG1267" s="855"/>
      <c r="AH1267" s="858">
        <v>0</v>
      </c>
      <c r="AI1267" s="855"/>
      <c r="AJ1267" s="855"/>
      <c r="AK1267" s="855">
        <f t="shared" ref="AK1267" si="4983">AF1267+AG1267+AH1267+AI1267+AJ1267+AC1267</f>
        <v>0</v>
      </c>
      <c r="AL1267" s="855">
        <v>1.0000000000000002</v>
      </c>
      <c r="AM1267" s="849">
        <f t="shared" ref="AM1267" si="4984">IFERROR((AK1267/AL1267),"-")</f>
        <v>0</v>
      </c>
      <c r="AN1267" s="40"/>
      <c r="AO1267" s="855">
        <v>1</v>
      </c>
      <c r="AP1267" s="855">
        <f t="shared" ref="AP1267" si="4985">AO1267-AK1267</f>
        <v>1</v>
      </c>
      <c r="AV1267" t="str">
        <f t="shared" si="4796"/>
        <v>BDCC no Km 155+722 - Aterro 03</v>
      </c>
      <c r="AW1267" s="4" t="str">
        <f t="shared" si="4794"/>
        <v>2.5-BSCC 2,0 x 2,0 m - Km 145+556 - Aterro A9 - Bueiro de Concreto - LD</v>
      </c>
    </row>
    <row r="1268" spans="1:49" ht="15.6" customHeight="1" outlineLevel="2">
      <c r="A1268" s="598" t="str">
        <f t="shared" ref="A1268" si="4986">A1267</f>
        <v>N</v>
      </c>
      <c r="B1268" s="599"/>
      <c r="C1268" s="599"/>
      <c r="D1268" s="118" t="s">
        <v>1441</v>
      </c>
      <c r="E1268" s="918"/>
      <c r="F1268" s="848"/>
      <c r="G1268" s="40"/>
      <c r="H1268" s="603" t="s">
        <v>38</v>
      </c>
      <c r="I1268" s="504">
        <v>0</v>
      </c>
      <c r="J1268" s="850"/>
      <c r="K1268" s="40"/>
      <c r="L1268" s="603" t="s">
        <v>38</v>
      </c>
      <c r="M1268" s="504">
        <f t="shared" si="4970"/>
        <v>0</v>
      </c>
      <c r="N1268" s="850"/>
      <c r="O1268" s="40"/>
      <c r="P1268" s="602">
        <v>0</v>
      </c>
      <c r="Q1268" s="602">
        <v>0</v>
      </c>
      <c r="R1268" s="602">
        <v>0</v>
      </c>
      <c r="S1268" s="602">
        <v>0</v>
      </c>
      <c r="T1268" s="602">
        <v>0</v>
      </c>
      <c r="U1268" s="602">
        <v>0</v>
      </c>
      <c r="V1268" s="602">
        <v>0</v>
      </c>
      <c r="W1268" s="40"/>
      <c r="X1268" s="504">
        <f t="shared" si="4671"/>
        <v>0</v>
      </c>
      <c r="Y1268" s="850"/>
      <c r="Z1268" s="40"/>
      <c r="AA1268" s="856"/>
      <c r="AB1268" s="856"/>
      <c r="AC1268" s="857"/>
      <c r="AD1268" s="920"/>
      <c r="AE1268" s="40"/>
      <c r="AF1268" s="856"/>
      <c r="AG1268" s="856"/>
      <c r="AH1268" s="857"/>
      <c r="AI1268" s="856"/>
      <c r="AJ1268" s="856"/>
      <c r="AK1268" s="856"/>
      <c r="AL1268" s="856"/>
      <c r="AM1268" s="850"/>
      <c r="AN1268" s="40"/>
      <c r="AO1268" s="882"/>
      <c r="AP1268" s="882"/>
      <c r="AV1268" t="str">
        <f t="shared" si="4796"/>
        <v>BDCC no Km 155+722 - Aterro 03</v>
      </c>
      <c r="AW1268" s="4" t="str">
        <f t="shared" si="4794"/>
        <v>2.5-BSCC 2,0 x 2,0 m - Km 145+556 - Aterro A9 - Bueiro de Concreto - LD</v>
      </c>
    </row>
    <row r="1269" spans="1:49" ht="15.6" customHeight="1" outlineLevel="2">
      <c r="A1269" s="598" t="str">
        <f t="shared" ref="A1269" si="4987">IF(SUM(P1269:V1270)&gt;0,"S","N")</f>
        <v>N</v>
      </c>
      <c r="B1269" s="599">
        <v>1064383</v>
      </c>
      <c r="C1269" s="599" t="s">
        <v>1592</v>
      </c>
      <c r="D1269" s="118" t="s">
        <v>1356</v>
      </c>
      <c r="E1269" s="917" t="s">
        <v>1593</v>
      </c>
      <c r="F1269" s="848" t="s">
        <v>1437</v>
      </c>
      <c r="G1269" s="40"/>
      <c r="H1269" s="600" t="s">
        <v>37</v>
      </c>
      <c r="I1269" s="504">
        <v>0</v>
      </c>
      <c r="J1269" s="849" t="str">
        <f t="shared" ref="J1269" si="4988">IFERROR((I1270/I1269),"-")</f>
        <v>-</v>
      </c>
      <c r="K1269" s="40"/>
      <c r="L1269" s="600" t="s">
        <v>37</v>
      </c>
      <c r="M1269" s="504">
        <f t="shared" si="4970"/>
        <v>0</v>
      </c>
      <c r="N1269" s="849" t="str">
        <f t="shared" ref="N1269" si="4989">IFERROR((M1270/M1269),"-")</f>
        <v>-</v>
      </c>
      <c r="O1269" s="40"/>
      <c r="P1269" s="602">
        <v>0</v>
      </c>
      <c r="Q1269" s="602">
        <v>0</v>
      </c>
      <c r="R1269" s="602">
        <v>0</v>
      </c>
      <c r="S1269" s="602">
        <v>0</v>
      </c>
      <c r="T1269" s="602">
        <v>0</v>
      </c>
      <c r="U1269" s="602">
        <v>0</v>
      </c>
      <c r="V1269" s="602">
        <v>0</v>
      </c>
      <c r="W1269" s="40"/>
      <c r="X1269" s="504">
        <f t="shared" si="4671"/>
        <v>0</v>
      </c>
      <c r="Y1269" s="849" t="str">
        <f t="shared" ref="Y1269" si="4990">IFERROR((X1270/X1269),"0")</f>
        <v>0</v>
      </c>
      <c r="Z1269" s="40"/>
      <c r="AA1269" s="855">
        <v>0</v>
      </c>
      <c r="AB1269" s="855">
        <v>0</v>
      </c>
      <c r="AC1269" s="858">
        <v>0</v>
      </c>
      <c r="AD1269" s="849" t="str">
        <f t="shared" ref="AD1269" si="4991">IFERROR((AC1269/AB1269),"-")</f>
        <v>-</v>
      </c>
      <c r="AE1269" s="40"/>
      <c r="AF1269" s="855">
        <v>1</v>
      </c>
      <c r="AG1269" s="855"/>
      <c r="AH1269" s="858">
        <v>0</v>
      </c>
      <c r="AI1269" s="855"/>
      <c r="AJ1269" s="855"/>
      <c r="AK1269" s="855">
        <f t="shared" ref="AK1269" si="4992">AF1269+AG1269+AH1269+AI1269+AJ1269+AC1269</f>
        <v>1</v>
      </c>
      <c r="AL1269" s="855">
        <v>1</v>
      </c>
      <c r="AM1269" s="849">
        <f t="shared" ref="AM1269" si="4993">IFERROR((AK1269/AL1269),"-")</f>
        <v>1</v>
      </c>
      <c r="AN1269" s="40"/>
      <c r="AO1269" s="855">
        <v>1</v>
      </c>
      <c r="AP1269" s="855">
        <f t="shared" ref="AP1269" si="4994">AO1269-AK1269</f>
        <v>0</v>
      </c>
      <c r="AV1269" t="str">
        <f t="shared" si="4796"/>
        <v>BDCC no Km 155+722 - Aterro 03</v>
      </c>
      <c r="AW1269" s="4" t="str">
        <f t="shared" si="4794"/>
        <v>2.5-BSCC-2,00x1,50 m - km 149+185 - Bueiro de Concreto - Aterro 10 - LE</v>
      </c>
    </row>
    <row r="1270" spans="1:49" ht="15.6" customHeight="1" outlineLevel="2">
      <c r="A1270" s="598" t="str">
        <f t="shared" ref="A1270" si="4995">A1269</f>
        <v>N</v>
      </c>
      <c r="B1270" s="599"/>
      <c r="C1270" s="599"/>
      <c r="D1270" s="118" t="s">
        <v>1444</v>
      </c>
      <c r="E1270" s="918"/>
      <c r="F1270" s="848"/>
      <c r="G1270" s="40"/>
      <c r="H1270" s="603" t="s">
        <v>38</v>
      </c>
      <c r="I1270" s="504">
        <v>0</v>
      </c>
      <c r="J1270" s="850"/>
      <c r="K1270" s="40"/>
      <c r="L1270" s="603" t="s">
        <v>38</v>
      </c>
      <c r="M1270" s="504">
        <f t="shared" si="4970"/>
        <v>0</v>
      </c>
      <c r="N1270" s="850"/>
      <c r="O1270" s="40"/>
      <c r="P1270" s="602">
        <v>0</v>
      </c>
      <c r="Q1270" s="602">
        <v>0</v>
      </c>
      <c r="R1270" s="602">
        <v>0</v>
      </c>
      <c r="S1270" s="602">
        <v>0</v>
      </c>
      <c r="T1270" s="602">
        <v>0</v>
      </c>
      <c r="U1270" s="602">
        <v>0</v>
      </c>
      <c r="V1270" s="602">
        <v>0</v>
      </c>
      <c r="W1270" s="40"/>
      <c r="X1270" s="504">
        <f t="shared" si="4671"/>
        <v>0</v>
      </c>
      <c r="Y1270" s="850"/>
      <c r="Z1270" s="40"/>
      <c r="AA1270" s="856"/>
      <c r="AB1270" s="856"/>
      <c r="AC1270" s="857"/>
      <c r="AD1270" s="920"/>
      <c r="AE1270" s="40"/>
      <c r="AF1270" s="856"/>
      <c r="AG1270" s="856"/>
      <c r="AH1270" s="857"/>
      <c r="AI1270" s="856"/>
      <c r="AJ1270" s="856"/>
      <c r="AK1270" s="856"/>
      <c r="AL1270" s="856"/>
      <c r="AM1270" s="850"/>
      <c r="AN1270" s="40"/>
      <c r="AO1270" s="882"/>
      <c r="AP1270" s="882"/>
      <c r="AV1270" t="str">
        <f t="shared" si="4796"/>
        <v>BDCC no Km 155+722 - Aterro 03</v>
      </c>
      <c r="AW1270" s="4" t="str">
        <f t="shared" si="4794"/>
        <v>2.5-BSCC-2,00x1,50 m - km 149+185 - Bueiro de Concreto - Aterro 10 - LE</v>
      </c>
    </row>
    <row r="1271" spans="1:49" ht="15.6" customHeight="1" outlineLevel="2">
      <c r="A1271" s="598" t="str">
        <f t="shared" ref="A1271" si="4996">IF(SUM(P1271:V1272)&gt;0,"S","N")</f>
        <v>N</v>
      </c>
      <c r="B1271" s="599">
        <v>1064384</v>
      </c>
      <c r="C1271" s="599" t="s">
        <v>1594</v>
      </c>
      <c r="D1271" s="118" t="s">
        <v>1356</v>
      </c>
      <c r="E1271" s="917" t="s">
        <v>1595</v>
      </c>
      <c r="F1271" s="848" t="s">
        <v>1437</v>
      </c>
      <c r="G1271" s="40"/>
      <c r="H1271" s="600" t="s">
        <v>37</v>
      </c>
      <c r="I1271" s="504">
        <v>0</v>
      </c>
      <c r="J1271" s="849" t="str">
        <f t="shared" ref="J1271" si="4997">IFERROR((I1272/I1271),"-")</f>
        <v>-</v>
      </c>
      <c r="K1271" s="40"/>
      <c r="L1271" s="600" t="s">
        <v>37</v>
      </c>
      <c r="M1271" s="504">
        <f t="shared" si="4970"/>
        <v>0</v>
      </c>
      <c r="N1271" s="849" t="str">
        <f t="shared" ref="N1271" si="4998">IFERROR((M1272/M1271),"-")</f>
        <v>-</v>
      </c>
      <c r="O1271" s="40"/>
      <c r="P1271" s="602">
        <v>0</v>
      </c>
      <c r="Q1271" s="602">
        <v>0</v>
      </c>
      <c r="R1271" s="602">
        <v>0</v>
      </c>
      <c r="S1271" s="602">
        <v>0</v>
      </c>
      <c r="T1271" s="602">
        <v>0</v>
      </c>
      <c r="U1271" s="602">
        <v>0</v>
      </c>
      <c r="V1271" s="602">
        <v>0</v>
      </c>
      <c r="W1271" s="40"/>
      <c r="X1271" s="504">
        <f t="shared" si="4671"/>
        <v>0</v>
      </c>
      <c r="Y1271" s="849" t="str">
        <f t="shared" ref="Y1271" si="4999">IFERROR((X1272/X1271),"0")</f>
        <v>0</v>
      </c>
      <c r="Z1271" s="40"/>
      <c r="AA1271" s="855">
        <v>0</v>
      </c>
      <c r="AB1271" s="855">
        <v>0</v>
      </c>
      <c r="AC1271" s="858">
        <v>0</v>
      </c>
      <c r="AD1271" s="849" t="str">
        <f t="shared" ref="AD1271" si="5000">IFERROR((AC1271/AB1271),"-")</f>
        <v>-</v>
      </c>
      <c r="AE1271" s="40"/>
      <c r="AF1271" s="855">
        <v>1</v>
      </c>
      <c r="AG1271" s="855"/>
      <c r="AH1271" s="858">
        <v>0</v>
      </c>
      <c r="AI1271" s="855"/>
      <c r="AJ1271" s="855"/>
      <c r="AK1271" s="855">
        <f t="shared" ref="AK1271" si="5001">AF1271+AG1271+AH1271+AI1271+AJ1271+AC1271</f>
        <v>1</v>
      </c>
      <c r="AL1271" s="855">
        <v>1</v>
      </c>
      <c r="AM1271" s="849">
        <f t="shared" ref="AM1271" si="5002">IFERROR((AK1271/AL1271),"-")</f>
        <v>1</v>
      </c>
      <c r="AN1271" s="40"/>
      <c r="AO1271" s="855">
        <v>1</v>
      </c>
      <c r="AP1271" s="855">
        <f t="shared" ref="AP1271" si="5003">AO1271-AK1271</f>
        <v>0</v>
      </c>
      <c r="AV1271" t="str">
        <f t="shared" si="4796"/>
        <v>BDCC no Km 155+722 - Aterro 03</v>
      </c>
      <c r="AW1271" s="4" t="str">
        <f t="shared" si="4794"/>
        <v>2.5-BSCC-2,00x1,50 m - km 149+185 - Bueiro de Concreto - Aterro 10 - LD</v>
      </c>
    </row>
    <row r="1272" spans="1:49" ht="15.6" customHeight="1" outlineLevel="2">
      <c r="A1272" s="598" t="str">
        <f t="shared" ref="A1272" si="5004">A1271</f>
        <v>N</v>
      </c>
      <c r="B1272" s="599"/>
      <c r="C1272" s="599"/>
      <c r="D1272" s="118" t="s">
        <v>1441</v>
      </c>
      <c r="E1272" s="918"/>
      <c r="F1272" s="848"/>
      <c r="G1272" s="40"/>
      <c r="H1272" s="603" t="s">
        <v>38</v>
      </c>
      <c r="I1272" s="504">
        <v>0</v>
      </c>
      <c r="J1272" s="850"/>
      <c r="K1272" s="40"/>
      <c r="L1272" s="603" t="s">
        <v>38</v>
      </c>
      <c r="M1272" s="504">
        <f t="shared" si="4970"/>
        <v>0</v>
      </c>
      <c r="N1272" s="850"/>
      <c r="O1272" s="40"/>
      <c r="P1272" s="602">
        <v>0</v>
      </c>
      <c r="Q1272" s="602">
        <v>0</v>
      </c>
      <c r="R1272" s="602">
        <v>0</v>
      </c>
      <c r="S1272" s="602">
        <v>0</v>
      </c>
      <c r="T1272" s="602">
        <v>0</v>
      </c>
      <c r="U1272" s="602">
        <v>0</v>
      </c>
      <c r="V1272" s="602">
        <v>0</v>
      </c>
      <c r="W1272" s="40"/>
      <c r="X1272" s="504">
        <f t="shared" ref="X1272:X1335" si="5005">SUMIFS(P1272:V1272,$P$8:$V$8,"&gt;="&amp;$P$8,$P$8:$V$8,"&lt;="&amp;$N$8)</f>
        <v>0</v>
      </c>
      <c r="Y1272" s="850"/>
      <c r="Z1272" s="40"/>
      <c r="AA1272" s="856"/>
      <c r="AB1272" s="856"/>
      <c r="AC1272" s="857"/>
      <c r="AD1272" s="920"/>
      <c r="AE1272" s="40"/>
      <c r="AF1272" s="856"/>
      <c r="AG1272" s="856"/>
      <c r="AH1272" s="857"/>
      <c r="AI1272" s="856"/>
      <c r="AJ1272" s="856"/>
      <c r="AK1272" s="856"/>
      <c r="AL1272" s="856"/>
      <c r="AM1272" s="850"/>
      <c r="AN1272" s="40"/>
      <c r="AO1272" s="882"/>
      <c r="AP1272" s="882"/>
      <c r="AV1272" t="str">
        <f t="shared" si="4796"/>
        <v>BDCC no Km 155+722 - Aterro 03</v>
      </c>
      <c r="AW1272" s="4" t="str">
        <f t="shared" si="4794"/>
        <v>2.5-BSCC-2,00x1,50 m - km 149+185 - Bueiro de Concreto - Aterro 10 - LD</v>
      </c>
    </row>
    <row r="1273" spans="1:49" ht="15.6" customHeight="1" outlineLevel="2">
      <c r="A1273" s="598" t="str">
        <f t="shared" ref="A1273" si="5006">IF(SUM(P1273:V1274)&gt;0,"S","N")</f>
        <v>N</v>
      </c>
      <c r="B1273" s="599">
        <v>1064390</v>
      </c>
      <c r="C1273" s="599" t="s">
        <v>1596</v>
      </c>
      <c r="D1273" s="118" t="s">
        <v>1358</v>
      </c>
      <c r="E1273" s="917" t="s">
        <v>1597</v>
      </c>
      <c r="F1273" s="848" t="s">
        <v>1437</v>
      </c>
      <c r="G1273" s="40"/>
      <c r="H1273" s="600" t="s">
        <v>37</v>
      </c>
      <c r="I1273" s="504">
        <v>0</v>
      </c>
      <c r="J1273" s="849" t="str">
        <f t="shared" ref="J1273" si="5007">IFERROR((I1274/I1273),"-")</f>
        <v>-</v>
      </c>
      <c r="K1273" s="40"/>
      <c r="L1273" s="600" t="s">
        <v>37</v>
      </c>
      <c r="M1273" s="504">
        <f t="shared" si="4970"/>
        <v>0</v>
      </c>
      <c r="N1273" s="849" t="str">
        <f t="shared" ref="N1273" si="5008">IFERROR((M1274/M1273),"-")</f>
        <v>-</v>
      </c>
      <c r="O1273" s="40"/>
      <c r="P1273" s="602">
        <v>0</v>
      </c>
      <c r="Q1273" s="602">
        <v>0</v>
      </c>
      <c r="R1273" s="602">
        <v>0</v>
      </c>
      <c r="S1273" s="602">
        <v>0</v>
      </c>
      <c r="T1273" s="602">
        <v>0</v>
      </c>
      <c r="U1273" s="602">
        <v>0</v>
      </c>
      <c r="V1273" s="602">
        <v>0</v>
      </c>
      <c r="W1273" s="40"/>
      <c r="X1273" s="504">
        <f t="shared" si="5005"/>
        <v>0</v>
      </c>
      <c r="Y1273" s="849" t="str">
        <f t="shared" ref="Y1273" si="5009">IFERROR((X1274/X1273),"0")</f>
        <v>0</v>
      </c>
      <c r="Z1273" s="40"/>
      <c r="AA1273" s="855">
        <v>0</v>
      </c>
      <c r="AB1273" s="855">
        <v>0</v>
      </c>
      <c r="AC1273" s="858">
        <v>0</v>
      </c>
      <c r="AD1273" s="849" t="str">
        <f t="shared" ref="AD1273" si="5010">IFERROR((AC1273/AB1273),"-")</f>
        <v>-</v>
      </c>
      <c r="AE1273" s="40"/>
      <c r="AF1273" s="855">
        <v>0</v>
      </c>
      <c r="AG1273" s="855"/>
      <c r="AH1273" s="858">
        <v>0</v>
      </c>
      <c r="AI1273" s="855"/>
      <c r="AJ1273" s="855"/>
      <c r="AK1273" s="855">
        <f t="shared" ref="AK1273" si="5011">AF1273+AG1273+AH1273+AI1273+AJ1273+AC1273</f>
        <v>0</v>
      </c>
      <c r="AL1273" s="855">
        <v>0</v>
      </c>
      <c r="AM1273" s="849" t="str">
        <f t="shared" ref="AM1273" si="5012">IFERROR((AK1273/AL1273),"-")</f>
        <v>-</v>
      </c>
      <c r="AN1273" s="40"/>
      <c r="AO1273" s="855">
        <v>0</v>
      </c>
      <c r="AP1273" s="855">
        <f t="shared" ref="AP1273" si="5013">AO1273-AK1273</f>
        <v>0</v>
      </c>
      <c r="AV1273" t="str">
        <f t="shared" si="4796"/>
        <v>BDCC no Km 155+722 - Aterro 03</v>
      </c>
      <c r="AW1273" s="4" t="str">
        <f t="shared" si="4794"/>
        <v>2.5-PG BSCC 3,0 x 3,0m - km 149+260 - Aterro A10 - Bueiro de Concreto - LE</v>
      </c>
    </row>
    <row r="1274" spans="1:49" ht="15.6" customHeight="1" outlineLevel="2">
      <c r="A1274" s="598" t="str">
        <f t="shared" ref="A1274" si="5014">A1273</f>
        <v>N</v>
      </c>
      <c r="B1274" s="599"/>
      <c r="C1274" s="599"/>
      <c r="D1274" s="118" t="s">
        <v>1444</v>
      </c>
      <c r="E1274" s="918"/>
      <c r="F1274" s="848"/>
      <c r="G1274" s="40"/>
      <c r="H1274" s="603" t="s">
        <v>38</v>
      </c>
      <c r="I1274" s="504">
        <v>0</v>
      </c>
      <c r="J1274" s="850"/>
      <c r="K1274" s="40"/>
      <c r="L1274" s="603" t="s">
        <v>38</v>
      </c>
      <c r="M1274" s="504">
        <f t="shared" si="4970"/>
        <v>0</v>
      </c>
      <c r="N1274" s="850"/>
      <c r="O1274" s="40"/>
      <c r="P1274" s="602">
        <v>0</v>
      </c>
      <c r="Q1274" s="602">
        <v>0</v>
      </c>
      <c r="R1274" s="602">
        <v>0</v>
      </c>
      <c r="S1274" s="602">
        <v>0</v>
      </c>
      <c r="T1274" s="602">
        <v>0</v>
      </c>
      <c r="U1274" s="602">
        <v>0</v>
      </c>
      <c r="V1274" s="602">
        <v>0</v>
      </c>
      <c r="W1274" s="40"/>
      <c r="X1274" s="504">
        <f t="shared" si="5005"/>
        <v>0</v>
      </c>
      <c r="Y1274" s="850"/>
      <c r="Z1274" s="40"/>
      <c r="AA1274" s="856"/>
      <c r="AB1274" s="856"/>
      <c r="AC1274" s="857"/>
      <c r="AD1274" s="920"/>
      <c r="AE1274" s="40"/>
      <c r="AF1274" s="856"/>
      <c r="AG1274" s="856"/>
      <c r="AH1274" s="857"/>
      <c r="AI1274" s="856"/>
      <c r="AJ1274" s="856"/>
      <c r="AK1274" s="856"/>
      <c r="AL1274" s="856"/>
      <c r="AM1274" s="850"/>
      <c r="AN1274" s="40"/>
      <c r="AO1274" s="882"/>
      <c r="AP1274" s="882"/>
      <c r="AV1274" t="str">
        <f t="shared" si="4796"/>
        <v>BDCC no Km 155+722 - Aterro 03</v>
      </c>
      <c r="AW1274" s="4" t="str">
        <f t="shared" si="4794"/>
        <v>2.5-PG BSCC 3,0 x 3,0m - km 149+260 - Aterro A10 - Bueiro de Concreto - LE</v>
      </c>
    </row>
    <row r="1275" spans="1:49" ht="15.6" customHeight="1" outlineLevel="2">
      <c r="A1275" s="598" t="str">
        <f t="shared" ref="A1275" si="5015">IF(SUM(P1275:V1276)&gt;0,"S","N")</f>
        <v>N</v>
      </c>
      <c r="B1275" s="599">
        <v>1064391</v>
      </c>
      <c r="C1275" s="599" t="s">
        <v>1598</v>
      </c>
      <c r="D1275" s="118" t="s">
        <v>1358</v>
      </c>
      <c r="E1275" s="917" t="s">
        <v>1599</v>
      </c>
      <c r="F1275" s="848" t="s">
        <v>1437</v>
      </c>
      <c r="G1275" s="40"/>
      <c r="H1275" s="600" t="s">
        <v>37</v>
      </c>
      <c r="I1275" s="504">
        <v>0</v>
      </c>
      <c r="J1275" s="849" t="str">
        <f t="shared" ref="J1275" si="5016">IFERROR((I1276/I1275),"-")</f>
        <v>-</v>
      </c>
      <c r="K1275" s="40"/>
      <c r="L1275" s="600" t="s">
        <v>37</v>
      </c>
      <c r="M1275" s="504">
        <f t="shared" si="4970"/>
        <v>0</v>
      </c>
      <c r="N1275" s="849" t="str">
        <f t="shared" ref="N1275" si="5017">IFERROR((M1276/M1275),"-")</f>
        <v>-</v>
      </c>
      <c r="O1275" s="40"/>
      <c r="P1275" s="602">
        <v>0</v>
      </c>
      <c r="Q1275" s="602">
        <v>0</v>
      </c>
      <c r="R1275" s="602">
        <v>0</v>
      </c>
      <c r="S1275" s="602">
        <v>0</v>
      </c>
      <c r="T1275" s="602">
        <v>0</v>
      </c>
      <c r="U1275" s="602">
        <v>0</v>
      </c>
      <c r="V1275" s="602">
        <v>0</v>
      </c>
      <c r="W1275" s="40"/>
      <c r="X1275" s="504">
        <f t="shared" si="5005"/>
        <v>0</v>
      </c>
      <c r="Y1275" s="849" t="str">
        <f t="shared" ref="Y1275" si="5018">IFERROR((X1276/X1275),"0")</f>
        <v>0</v>
      </c>
      <c r="Z1275" s="40"/>
      <c r="AA1275" s="855">
        <v>0</v>
      </c>
      <c r="AB1275" s="855">
        <v>0</v>
      </c>
      <c r="AC1275" s="858">
        <v>0</v>
      </c>
      <c r="AD1275" s="849" t="str">
        <f t="shared" ref="AD1275" si="5019">IFERROR((AC1275/AB1275),"-")</f>
        <v>-</v>
      </c>
      <c r="AE1275" s="40"/>
      <c r="AF1275" s="855">
        <v>1</v>
      </c>
      <c r="AG1275" s="855"/>
      <c r="AH1275" s="858">
        <v>0</v>
      </c>
      <c r="AI1275" s="855"/>
      <c r="AJ1275" s="855"/>
      <c r="AK1275" s="855">
        <f t="shared" ref="AK1275" si="5020">AF1275+AG1275+AH1275+AI1275+AJ1275+AC1275</f>
        <v>1</v>
      </c>
      <c r="AL1275" s="855">
        <v>1.04</v>
      </c>
      <c r="AM1275" s="849">
        <f t="shared" ref="AM1275" si="5021">IFERROR((AK1275/AL1275),"-")</f>
        <v>0.96153846153846145</v>
      </c>
      <c r="AN1275" s="40"/>
      <c r="AO1275" s="855">
        <v>1</v>
      </c>
      <c r="AP1275" s="855">
        <f t="shared" ref="AP1275" si="5022">AO1275-AK1275</f>
        <v>0</v>
      </c>
      <c r="AV1275" t="str">
        <f t="shared" si="4796"/>
        <v>BDCC no Km 155+722 - Aterro 03</v>
      </c>
      <c r="AW1275" s="4" t="str">
        <f t="shared" si="4794"/>
        <v>2.5-PG BSCC 3,0 x 3,0m - km 149+260 - Aterro A10 - Bueiro de Concreto - LD</v>
      </c>
    </row>
    <row r="1276" spans="1:49" ht="15.6" customHeight="1" outlineLevel="2">
      <c r="A1276" s="598" t="str">
        <f t="shared" ref="A1276" si="5023">A1275</f>
        <v>N</v>
      </c>
      <c r="B1276" s="599"/>
      <c r="C1276" s="599"/>
      <c r="D1276" s="118" t="s">
        <v>1441</v>
      </c>
      <c r="E1276" s="918"/>
      <c r="F1276" s="848"/>
      <c r="G1276" s="40"/>
      <c r="H1276" s="603" t="s">
        <v>38</v>
      </c>
      <c r="I1276" s="504">
        <v>0</v>
      </c>
      <c r="J1276" s="850"/>
      <c r="K1276" s="40"/>
      <c r="L1276" s="603" t="s">
        <v>38</v>
      </c>
      <c r="M1276" s="504">
        <f t="shared" si="4970"/>
        <v>0</v>
      </c>
      <c r="N1276" s="850"/>
      <c r="O1276" s="40"/>
      <c r="P1276" s="602">
        <v>0</v>
      </c>
      <c r="Q1276" s="602">
        <v>0</v>
      </c>
      <c r="R1276" s="602">
        <v>0</v>
      </c>
      <c r="S1276" s="602">
        <v>0</v>
      </c>
      <c r="T1276" s="602">
        <v>0</v>
      </c>
      <c r="U1276" s="602">
        <v>0</v>
      </c>
      <c r="V1276" s="602">
        <v>0</v>
      </c>
      <c r="W1276" s="40"/>
      <c r="X1276" s="504">
        <f t="shared" si="5005"/>
        <v>0</v>
      </c>
      <c r="Y1276" s="850"/>
      <c r="Z1276" s="40"/>
      <c r="AA1276" s="856"/>
      <c r="AB1276" s="856"/>
      <c r="AC1276" s="857"/>
      <c r="AD1276" s="920"/>
      <c r="AE1276" s="40"/>
      <c r="AF1276" s="856"/>
      <c r="AG1276" s="856"/>
      <c r="AH1276" s="857"/>
      <c r="AI1276" s="856"/>
      <c r="AJ1276" s="856"/>
      <c r="AK1276" s="856"/>
      <c r="AL1276" s="856"/>
      <c r="AM1276" s="850"/>
      <c r="AN1276" s="40"/>
      <c r="AO1276" s="882"/>
      <c r="AP1276" s="882"/>
      <c r="AV1276" t="str">
        <f t="shared" si="4796"/>
        <v>BDCC no Km 155+722 - Aterro 03</v>
      </c>
      <c r="AW1276" s="4" t="str">
        <f t="shared" si="4794"/>
        <v>2.5-PG BSCC 3,0 x 3,0m - km 149+260 - Aterro A10 - Bueiro de Concreto - LD</v>
      </c>
    </row>
    <row r="1277" spans="1:49" ht="20.100000000000001" customHeight="1" outlineLevel="2">
      <c r="A1277" s="604" t="str">
        <f t="shared" ref="A1277" si="5024">IF(SUM(P1277:V1278)&gt;0,"S","N")</f>
        <v>N</v>
      </c>
      <c r="B1277" s="599">
        <v>1064397</v>
      </c>
      <c r="C1277" s="599" t="s">
        <v>1600</v>
      </c>
      <c r="D1277" s="118" t="s">
        <v>1360</v>
      </c>
      <c r="E1277" s="917" t="s">
        <v>1601</v>
      </c>
      <c r="F1277" s="848" t="s">
        <v>1437</v>
      </c>
      <c r="G1277" s="40"/>
      <c r="H1277" s="600" t="s">
        <v>37</v>
      </c>
      <c r="I1277" s="504">
        <v>0</v>
      </c>
      <c r="J1277" s="849" t="str">
        <f t="shared" ref="J1277" si="5025">IFERROR((I1278/I1277),"-")</f>
        <v>-</v>
      </c>
      <c r="K1277" s="40"/>
      <c r="L1277" s="600" t="s">
        <v>37</v>
      </c>
      <c r="M1277" s="504">
        <f t="shared" si="4970"/>
        <v>0</v>
      </c>
      <c r="N1277" s="849" t="str">
        <f t="shared" ref="N1277" si="5026">IFERROR((M1278/M1277),"-")</f>
        <v>-</v>
      </c>
      <c r="O1277" s="40"/>
      <c r="P1277" s="602">
        <v>0</v>
      </c>
      <c r="Q1277" s="602">
        <v>0</v>
      </c>
      <c r="R1277" s="602">
        <v>0</v>
      </c>
      <c r="S1277" s="602">
        <v>0</v>
      </c>
      <c r="T1277" s="602">
        <v>0</v>
      </c>
      <c r="U1277" s="602">
        <v>0</v>
      </c>
      <c r="V1277" s="602">
        <v>0</v>
      </c>
      <c r="W1277" s="40"/>
      <c r="X1277" s="504">
        <f t="shared" si="5005"/>
        <v>0</v>
      </c>
      <c r="Y1277" s="849" t="str">
        <f t="shared" ref="Y1277" si="5027">IFERROR((X1278/X1277),"0")</f>
        <v>0</v>
      </c>
      <c r="Z1277" s="40"/>
      <c r="AA1277" s="855">
        <v>0</v>
      </c>
      <c r="AB1277" s="855">
        <v>0</v>
      </c>
      <c r="AC1277" s="858">
        <v>0</v>
      </c>
      <c r="AD1277" s="849" t="str">
        <f t="shared" ref="AD1277" si="5028">IFERROR((AC1277/AB1277),"-")</f>
        <v>-</v>
      </c>
      <c r="AE1277" s="40"/>
      <c r="AF1277" s="855">
        <v>1</v>
      </c>
      <c r="AG1277" s="855"/>
      <c r="AH1277" s="858">
        <v>0</v>
      </c>
      <c r="AI1277" s="855"/>
      <c r="AJ1277" s="855"/>
      <c r="AK1277" s="855">
        <f t="shared" ref="AK1277" si="5029">AF1277+AG1277+AH1277+AI1277+AJ1277+AC1277</f>
        <v>1</v>
      </c>
      <c r="AL1277" s="855">
        <v>1</v>
      </c>
      <c r="AM1277" s="849">
        <f t="shared" ref="AM1277" si="5030">IFERROR((AK1277/AL1277),"-")</f>
        <v>1</v>
      </c>
      <c r="AN1277" s="40"/>
      <c r="AO1277" s="855">
        <v>1</v>
      </c>
      <c r="AP1277" s="855">
        <f t="shared" ref="AP1277" si="5031">AO1277-AK1277</f>
        <v>0</v>
      </c>
      <c r="AV1277" t="str">
        <f t="shared" si="4796"/>
        <v>BDCC no Km 155+722 - Aterro 03</v>
      </c>
      <c r="AW1277" s="4" t="str">
        <f t="shared" si="4794"/>
        <v>2.5-BSCC2,0 x 2,0m - km 149+411 - Aterro A10 - Bueiro de Concreto - LE</v>
      </c>
    </row>
    <row r="1278" spans="1:49" ht="14.45" customHeight="1" outlineLevel="2">
      <c r="A1278" s="604" t="str">
        <f t="shared" ref="A1278" si="5032">A1277</f>
        <v>N</v>
      </c>
      <c r="B1278" s="599"/>
      <c r="C1278" s="599"/>
      <c r="D1278" s="118" t="s">
        <v>1444</v>
      </c>
      <c r="E1278" s="918"/>
      <c r="F1278" s="848"/>
      <c r="G1278" s="40"/>
      <c r="H1278" s="603" t="s">
        <v>38</v>
      </c>
      <c r="I1278" s="504">
        <v>0</v>
      </c>
      <c r="J1278" s="850"/>
      <c r="K1278" s="40"/>
      <c r="L1278" s="603" t="s">
        <v>38</v>
      </c>
      <c r="M1278" s="504">
        <f t="shared" si="4970"/>
        <v>0</v>
      </c>
      <c r="N1278" s="850"/>
      <c r="O1278" s="40"/>
      <c r="P1278" s="602">
        <v>0</v>
      </c>
      <c r="Q1278" s="602">
        <v>0</v>
      </c>
      <c r="R1278" s="602">
        <v>0</v>
      </c>
      <c r="S1278" s="602">
        <v>0</v>
      </c>
      <c r="T1278" s="602">
        <v>0</v>
      </c>
      <c r="U1278" s="602">
        <v>0</v>
      </c>
      <c r="V1278" s="602">
        <v>0</v>
      </c>
      <c r="W1278" s="40"/>
      <c r="X1278" s="504">
        <f t="shared" si="5005"/>
        <v>0</v>
      </c>
      <c r="Y1278" s="850"/>
      <c r="Z1278" s="40"/>
      <c r="AA1278" s="856"/>
      <c r="AB1278" s="856"/>
      <c r="AC1278" s="857"/>
      <c r="AD1278" s="920"/>
      <c r="AE1278" s="40"/>
      <c r="AF1278" s="856"/>
      <c r="AG1278" s="856"/>
      <c r="AH1278" s="857"/>
      <c r="AI1278" s="856"/>
      <c r="AJ1278" s="856"/>
      <c r="AK1278" s="856"/>
      <c r="AL1278" s="856"/>
      <c r="AM1278" s="850"/>
      <c r="AN1278" s="40"/>
      <c r="AO1278" s="882"/>
      <c r="AP1278" s="882"/>
      <c r="AV1278" t="str">
        <f t="shared" si="4796"/>
        <v>BDCC no Km 155+722 - Aterro 03</v>
      </c>
      <c r="AW1278" s="4" t="str">
        <f t="shared" si="4794"/>
        <v>2.5-BSCC2,0 x 2,0m - km 149+411 - Aterro A10 - Bueiro de Concreto - LE</v>
      </c>
    </row>
    <row r="1279" spans="1:49" ht="14.45" customHeight="1" outlineLevel="2">
      <c r="A1279" s="604" t="str">
        <f t="shared" ref="A1279" si="5033">IF(SUM(P1279:V1280)&gt;0,"S","N")</f>
        <v>N</v>
      </c>
      <c r="B1279" s="599">
        <v>1064398</v>
      </c>
      <c r="C1279" s="599" t="s">
        <v>1602</v>
      </c>
      <c r="D1279" s="118" t="s">
        <v>1360</v>
      </c>
      <c r="E1279" s="917" t="s">
        <v>1603</v>
      </c>
      <c r="F1279" s="848" t="s">
        <v>1437</v>
      </c>
      <c r="G1279" s="40"/>
      <c r="H1279" s="600" t="s">
        <v>37</v>
      </c>
      <c r="I1279" s="504">
        <v>0</v>
      </c>
      <c r="J1279" s="849" t="str">
        <f t="shared" ref="J1279" si="5034">IFERROR((I1280/I1279),"-")</f>
        <v>-</v>
      </c>
      <c r="K1279" s="40"/>
      <c r="L1279" s="600" t="s">
        <v>37</v>
      </c>
      <c r="M1279" s="504">
        <f t="shared" si="4970"/>
        <v>0</v>
      </c>
      <c r="N1279" s="849" t="str">
        <f t="shared" ref="N1279" si="5035">IFERROR((M1280/M1279),"-")</f>
        <v>-</v>
      </c>
      <c r="O1279" s="40"/>
      <c r="P1279" s="602">
        <v>0</v>
      </c>
      <c r="Q1279" s="602">
        <v>0</v>
      </c>
      <c r="R1279" s="602">
        <v>0</v>
      </c>
      <c r="S1279" s="602">
        <v>0</v>
      </c>
      <c r="T1279" s="602">
        <v>0</v>
      </c>
      <c r="U1279" s="602">
        <v>0</v>
      </c>
      <c r="V1279" s="602">
        <v>0</v>
      </c>
      <c r="W1279" s="40"/>
      <c r="X1279" s="504">
        <f t="shared" si="5005"/>
        <v>0</v>
      </c>
      <c r="Y1279" s="849" t="str">
        <f t="shared" ref="Y1279" si="5036">IFERROR((X1280/X1279),"0")</f>
        <v>0</v>
      </c>
      <c r="Z1279" s="40"/>
      <c r="AA1279" s="855">
        <v>0</v>
      </c>
      <c r="AB1279" s="855">
        <v>0</v>
      </c>
      <c r="AC1279" s="858">
        <v>0</v>
      </c>
      <c r="AD1279" s="849" t="str">
        <f t="shared" ref="AD1279" si="5037">IFERROR((AC1279/AB1279),"-")</f>
        <v>-</v>
      </c>
      <c r="AE1279" s="40"/>
      <c r="AF1279" s="855">
        <v>0</v>
      </c>
      <c r="AG1279" s="855"/>
      <c r="AH1279" s="858">
        <v>0</v>
      </c>
      <c r="AI1279" s="855">
        <v>1</v>
      </c>
      <c r="AJ1279" s="855"/>
      <c r="AK1279" s="855">
        <f t="shared" ref="AK1279" si="5038">AF1279+AG1279+AH1279+AI1279+AJ1279+AC1279</f>
        <v>1</v>
      </c>
      <c r="AL1279" s="855">
        <v>1</v>
      </c>
      <c r="AM1279" s="849">
        <f t="shared" ref="AM1279" si="5039">IFERROR((AK1279/AL1279),"-")</f>
        <v>1</v>
      </c>
      <c r="AN1279" s="40"/>
      <c r="AO1279" s="855">
        <v>1</v>
      </c>
      <c r="AP1279" s="855">
        <f t="shared" ref="AP1279" si="5040">AO1279-AK1279</f>
        <v>0</v>
      </c>
      <c r="AV1279" t="str">
        <f t="shared" si="4796"/>
        <v>BDCC no Km 155+722 - Aterro 03</v>
      </c>
      <c r="AW1279" s="4" t="str">
        <f t="shared" si="4794"/>
        <v>2.5-BSCC2,0 x 2,0m - km 149+411 - Aterro A10 - Bueiro de Concreto - LD</v>
      </c>
    </row>
    <row r="1280" spans="1:49" ht="15.6" customHeight="1" outlineLevel="2">
      <c r="A1280" s="604" t="str">
        <f t="shared" ref="A1280" si="5041">A1279</f>
        <v>N</v>
      </c>
      <c r="B1280" s="599"/>
      <c r="C1280" s="599"/>
      <c r="D1280" s="118" t="s">
        <v>1441</v>
      </c>
      <c r="E1280" s="918"/>
      <c r="F1280" s="848"/>
      <c r="G1280" s="40"/>
      <c r="H1280" s="603" t="s">
        <v>38</v>
      </c>
      <c r="I1280" s="504">
        <v>0</v>
      </c>
      <c r="J1280" s="850"/>
      <c r="K1280" s="40"/>
      <c r="L1280" s="603" t="s">
        <v>38</v>
      </c>
      <c r="M1280" s="504">
        <f t="shared" si="4970"/>
        <v>0</v>
      </c>
      <c r="N1280" s="850"/>
      <c r="O1280" s="40"/>
      <c r="P1280" s="602">
        <v>0</v>
      </c>
      <c r="Q1280" s="602">
        <v>0</v>
      </c>
      <c r="R1280" s="602">
        <v>0</v>
      </c>
      <c r="S1280" s="602">
        <v>0</v>
      </c>
      <c r="T1280" s="602">
        <v>0</v>
      </c>
      <c r="U1280" s="602">
        <v>0</v>
      </c>
      <c r="V1280" s="602">
        <v>0</v>
      </c>
      <c r="W1280" s="40"/>
      <c r="X1280" s="504">
        <f t="shared" si="5005"/>
        <v>0</v>
      </c>
      <c r="Y1280" s="850"/>
      <c r="Z1280" s="40"/>
      <c r="AA1280" s="856"/>
      <c r="AB1280" s="856"/>
      <c r="AC1280" s="857"/>
      <c r="AD1280" s="920"/>
      <c r="AE1280" s="40"/>
      <c r="AF1280" s="856"/>
      <c r="AG1280" s="856"/>
      <c r="AH1280" s="857"/>
      <c r="AI1280" s="856"/>
      <c r="AJ1280" s="856"/>
      <c r="AK1280" s="856"/>
      <c r="AL1280" s="856"/>
      <c r="AM1280" s="850"/>
      <c r="AN1280" s="40"/>
      <c r="AO1280" s="882"/>
      <c r="AP1280" s="882"/>
      <c r="AV1280" t="str">
        <f t="shared" si="4796"/>
        <v>BDCC no Km 155+722 - Aterro 03</v>
      </c>
      <c r="AW1280" s="4" t="str">
        <f t="shared" si="4794"/>
        <v>2.5-BSCC2,0 x 2,0m - km 149+411 - Aterro A10 - Bueiro de Concreto - LD</v>
      </c>
    </row>
    <row r="1281" spans="1:49" ht="15.6" customHeight="1" outlineLevel="2">
      <c r="A1281" s="598" t="str">
        <f t="shared" ref="A1281" si="5042">IF(SUM(P1281:V1282)&gt;0,"S","N")</f>
        <v>N</v>
      </c>
      <c r="B1281" s="599">
        <v>1064404</v>
      </c>
      <c r="C1281" s="599" t="s">
        <v>1604</v>
      </c>
      <c r="D1281" s="118" t="s">
        <v>1362</v>
      </c>
      <c r="E1281" s="917" t="s">
        <v>1605</v>
      </c>
      <c r="F1281" s="848" t="s">
        <v>1437</v>
      </c>
      <c r="G1281" s="40"/>
      <c r="H1281" s="600" t="s">
        <v>37</v>
      </c>
      <c r="I1281" s="504">
        <v>0</v>
      </c>
      <c r="J1281" s="849" t="str">
        <f t="shared" ref="J1281" si="5043">IFERROR((I1282/I1281),"-")</f>
        <v>-</v>
      </c>
      <c r="K1281" s="40"/>
      <c r="L1281" s="600" t="s">
        <v>37</v>
      </c>
      <c r="M1281" s="504">
        <f t="shared" si="4970"/>
        <v>0</v>
      </c>
      <c r="N1281" s="849" t="str">
        <f t="shared" ref="N1281" si="5044">IFERROR((M1282/M1281),"-")</f>
        <v>-</v>
      </c>
      <c r="O1281" s="40"/>
      <c r="P1281" s="602">
        <v>0</v>
      </c>
      <c r="Q1281" s="602">
        <v>0</v>
      </c>
      <c r="R1281" s="602">
        <v>0</v>
      </c>
      <c r="S1281" s="602">
        <v>0</v>
      </c>
      <c r="T1281" s="602">
        <v>0</v>
      </c>
      <c r="U1281" s="602">
        <v>0</v>
      </c>
      <c r="V1281" s="602">
        <v>0</v>
      </c>
      <c r="W1281" s="40"/>
      <c r="X1281" s="504">
        <f t="shared" si="5005"/>
        <v>0</v>
      </c>
      <c r="Y1281" s="849" t="str">
        <f t="shared" ref="Y1281" si="5045">IFERROR((X1282/X1281),"0")</f>
        <v>0</v>
      </c>
      <c r="Z1281" s="40"/>
      <c r="AA1281" s="855">
        <v>0</v>
      </c>
      <c r="AB1281" s="855">
        <v>0</v>
      </c>
      <c r="AC1281" s="858">
        <v>0</v>
      </c>
      <c r="AD1281" s="849" t="str">
        <f t="shared" ref="AD1281" si="5046">IFERROR((AC1281/AB1281),"-")</f>
        <v>-</v>
      </c>
      <c r="AE1281" s="40"/>
      <c r="AF1281" s="855">
        <v>1</v>
      </c>
      <c r="AG1281" s="855"/>
      <c r="AH1281" s="858">
        <v>0</v>
      </c>
      <c r="AI1281" s="855"/>
      <c r="AJ1281" s="855"/>
      <c r="AK1281" s="855">
        <f t="shared" ref="AK1281" si="5047">AF1281+AG1281+AH1281+AI1281+AJ1281+AC1281</f>
        <v>1</v>
      </c>
      <c r="AL1281" s="855">
        <v>1</v>
      </c>
      <c r="AM1281" s="849">
        <f t="shared" ref="AM1281" si="5048">IFERROR((AK1281/AL1281),"-")</f>
        <v>1</v>
      </c>
      <c r="AN1281" s="40"/>
      <c r="AO1281" s="855">
        <v>1</v>
      </c>
      <c r="AP1281" s="855">
        <f t="shared" ref="AP1281" si="5049">AO1281-AK1281</f>
        <v>0</v>
      </c>
      <c r="AV1281" t="str">
        <f t="shared" si="4796"/>
        <v>BDCC no Km 155+722 - Aterro 03</v>
      </c>
      <c r="AW1281" s="4" t="str">
        <f t="shared" si="4794"/>
        <v>2.5-PG BSCC 3,0 x 3,0m - km 150+110 - Aterro A11 - Bueiro de Concreto - LE</v>
      </c>
    </row>
    <row r="1282" spans="1:49" ht="15.6" customHeight="1" outlineLevel="2">
      <c r="A1282" s="598" t="str">
        <f t="shared" ref="A1282" si="5050">A1281</f>
        <v>N</v>
      </c>
      <c r="B1282" s="599"/>
      <c r="C1282" s="599"/>
      <c r="D1282" s="118" t="s">
        <v>1444</v>
      </c>
      <c r="E1282" s="918"/>
      <c r="F1282" s="848"/>
      <c r="G1282" s="40"/>
      <c r="H1282" s="603" t="s">
        <v>38</v>
      </c>
      <c r="I1282" s="504">
        <v>0</v>
      </c>
      <c r="J1282" s="850"/>
      <c r="K1282" s="40"/>
      <c r="L1282" s="603" t="s">
        <v>38</v>
      </c>
      <c r="M1282" s="504">
        <f t="shared" si="4970"/>
        <v>0</v>
      </c>
      <c r="N1282" s="850"/>
      <c r="O1282" s="40"/>
      <c r="P1282" s="602">
        <v>0</v>
      </c>
      <c r="Q1282" s="602">
        <v>0</v>
      </c>
      <c r="R1282" s="602">
        <v>0</v>
      </c>
      <c r="S1282" s="602">
        <v>0</v>
      </c>
      <c r="T1282" s="602">
        <v>0</v>
      </c>
      <c r="U1282" s="602">
        <v>0</v>
      </c>
      <c r="V1282" s="602">
        <v>0</v>
      </c>
      <c r="W1282" s="40"/>
      <c r="X1282" s="504">
        <f t="shared" si="5005"/>
        <v>0</v>
      </c>
      <c r="Y1282" s="850"/>
      <c r="Z1282" s="40"/>
      <c r="AA1282" s="856"/>
      <c r="AB1282" s="856"/>
      <c r="AC1282" s="857"/>
      <c r="AD1282" s="920"/>
      <c r="AE1282" s="40"/>
      <c r="AF1282" s="856"/>
      <c r="AG1282" s="856"/>
      <c r="AH1282" s="857"/>
      <c r="AI1282" s="856"/>
      <c r="AJ1282" s="856"/>
      <c r="AK1282" s="856"/>
      <c r="AL1282" s="856"/>
      <c r="AM1282" s="850"/>
      <c r="AN1282" s="40"/>
      <c r="AO1282" s="882"/>
      <c r="AP1282" s="882"/>
      <c r="AV1282" t="str">
        <f t="shared" si="4796"/>
        <v>BDCC no Km 155+722 - Aterro 03</v>
      </c>
      <c r="AW1282" s="4" t="str">
        <f t="shared" si="4794"/>
        <v>2.5-PG BSCC 3,0 x 3,0m - km 150+110 - Aterro A11 - Bueiro de Concreto - LE</v>
      </c>
    </row>
    <row r="1283" spans="1:49" ht="15.6" customHeight="1" outlineLevel="2">
      <c r="A1283" s="598" t="str">
        <f t="shared" ref="A1283" si="5051">IF(SUM(P1283:V1284)&gt;0,"S","N")</f>
        <v>N</v>
      </c>
      <c r="B1283" s="599">
        <v>1064405</v>
      </c>
      <c r="C1283" s="599" t="s">
        <v>1606</v>
      </c>
      <c r="D1283" s="118" t="s">
        <v>1362</v>
      </c>
      <c r="E1283" s="917" t="s">
        <v>1607</v>
      </c>
      <c r="F1283" s="848" t="s">
        <v>1437</v>
      </c>
      <c r="G1283" s="40"/>
      <c r="H1283" s="600" t="s">
        <v>37</v>
      </c>
      <c r="I1283" s="504">
        <v>0</v>
      </c>
      <c r="J1283" s="849" t="str">
        <f t="shared" ref="J1283" si="5052">IFERROR((I1284/I1283),"-")</f>
        <v>-</v>
      </c>
      <c r="K1283" s="40"/>
      <c r="L1283" s="600" t="s">
        <v>37</v>
      </c>
      <c r="M1283" s="504">
        <f t="shared" si="4970"/>
        <v>0</v>
      </c>
      <c r="N1283" s="849" t="str">
        <f t="shared" ref="N1283" si="5053">IFERROR((M1284/M1283),"-")</f>
        <v>-</v>
      </c>
      <c r="O1283" s="40"/>
      <c r="P1283" s="602">
        <v>0</v>
      </c>
      <c r="Q1283" s="602">
        <v>0</v>
      </c>
      <c r="R1283" s="602">
        <v>0</v>
      </c>
      <c r="S1283" s="602">
        <v>0</v>
      </c>
      <c r="T1283" s="602">
        <v>0</v>
      </c>
      <c r="U1283" s="602">
        <v>0</v>
      </c>
      <c r="V1283" s="602">
        <v>0</v>
      </c>
      <c r="W1283" s="40"/>
      <c r="X1283" s="504">
        <f t="shared" si="5005"/>
        <v>0</v>
      </c>
      <c r="Y1283" s="849" t="str">
        <f t="shared" ref="Y1283" si="5054">IFERROR((X1284/X1283),"0")</f>
        <v>0</v>
      </c>
      <c r="Z1283" s="40"/>
      <c r="AA1283" s="855">
        <v>0</v>
      </c>
      <c r="AB1283" s="855">
        <v>0</v>
      </c>
      <c r="AC1283" s="858">
        <v>0</v>
      </c>
      <c r="AD1283" s="849" t="str">
        <f t="shared" ref="AD1283" si="5055">IFERROR((AC1283/AB1283),"-")</f>
        <v>-</v>
      </c>
      <c r="AE1283" s="40"/>
      <c r="AF1283" s="855">
        <v>1</v>
      </c>
      <c r="AG1283" s="855"/>
      <c r="AH1283" s="858">
        <v>0</v>
      </c>
      <c r="AI1283" s="855"/>
      <c r="AJ1283" s="855"/>
      <c r="AK1283" s="855">
        <f t="shared" ref="AK1283" si="5056">AF1283+AG1283+AH1283+AI1283+AJ1283+AC1283</f>
        <v>1</v>
      </c>
      <c r="AL1283" s="855">
        <v>1</v>
      </c>
      <c r="AM1283" s="849">
        <f t="shared" ref="AM1283" si="5057">IFERROR((AK1283/AL1283),"-")</f>
        <v>1</v>
      </c>
      <c r="AN1283" s="40"/>
      <c r="AO1283" s="855">
        <v>1</v>
      </c>
      <c r="AP1283" s="855">
        <f t="shared" ref="AP1283" si="5058">AO1283-AK1283</f>
        <v>0</v>
      </c>
      <c r="AV1283" t="str">
        <f t="shared" si="4796"/>
        <v>BDCC no Km 155+722 - Aterro 03</v>
      </c>
      <c r="AW1283" s="4" t="str">
        <f t="shared" si="4794"/>
        <v>2.5-PG BSCC 3,0 x 3,0m - km 150+110 - Aterro A11 - Bueiro de Concreto - LD</v>
      </c>
    </row>
    <row r="1284" spans="1:49" ht="15.6" customHeight="1" outlineLevel="2">
      <c r="A1284" s="598" t="str">
        <f t="shared" ref="A1284" si="5059">A1283</f>
        <v>N</v>
      </c>
      <c r="B1284" s="599"/>
      <c r="C1284" s="599"/>
      <c r="D1284" s="118" t="s">
        <v>1441</v>
      </c>
      <c r="E1284" s="918"/>
      <c r="F1284" s="848"/>
      <c r="G1284" s="40"/>
      <c r="H1284" s="603" t="s">
        <v>38</v>
      </c>
      <c r="I1284" s="504">
        <v>0</v>
      </c>
      <c r="J1284" s="850"/>
      <c r="K1284" s="40"/>
      <c r="L1284" s="603" t="s">
        <v>38</v>
      </c>
      <c r="M1284" s="504">
        <f t="shared" si="4970"/>
        <v>0</v>
      </c>
      <c r="N1284" s="850"/>
      <c r="O1284" s="40"/>
      <c r="P1284" s="602">
        <v>0</v>
      </c>
      <c r="Q1284" s="602">
        <v>0</v>
      </c>
      <c r="R1284" s="602">
        <v>0</v>
      </c>
      <c r="S1284" s="602">
        <v>0</v>
      </c>
      <c r="T1284" s="602">
        <v>0</v>
      </c>
      <c r="U1284" s="602">
        <v>0</v>
      </c>
      <c r="V1284" s="602">
        <v>0</v>
      </c>
      <c r="W1284" s="40"/>
      <c r="X1284" s="504">
        <f t="shared" si="5005"/>
        <v>0</v>
      </c>
      <c r="Y1284" s="850"/>
      <c r="Z1284" s="40"/>
      <c r="AA1284" s="856"/>
      <c r="AB1284" s="856"/>
      <c r="AC1284" s="857"/>
      <c r="AD1284" s="920"/>
      <c r="AE1284" s="40"/>
      <c r="AF1284" s="856"/>
      <c r="AG1284" s="856"/>
      <c r="AH1284" s="857"/>
      <c r="AI1284" s="856"/>
      <c r="AJ1284" s="856"/>
      <c r="AK1284" s="856"/>
      <c r="AL1284" s="856"/>
      <c r="AM1284" s="850"/>
      <c r="AN1284" s="40"/>
      <c r="AO1284" s="882"/>
      <c r="AP1284" s="882"/>
      <c r="AV1284" t="str">
        <f t="shared" si="4796"/>
        <v>BDCC no Km 155+722 - Aterro 03</v>
      </c>
      <c r="AW1284" s="4" t="str">
        <f t="shared" si="4794"/>
        <v>2.5-PG BSCC 3,0 x 3,0m - km 150+110 - Aterro A11 - Bueiro de Concreto - LD</v>
      </c>
    </row>
    <row r="1285" spans="1:49" ht="15.6" customHeight="1" outlineLevel="2">
      <c r="A1285" s="598" t="str">
        <f t="shared" ref="A1285" si="5060">IF(SUM(P1285:V1286)&gt;0,"S","N")</f>
        <v>N</v>
      </c>
      <c r="B1285" s="599">
        <v>1064409</v>
      </c>
      <c r="C1285" s="599" t="s">
        <v>1608</v>
      </c>
      <c r="D1285" s="118" t="s">
        <v>1364</v>
      </c>
      <c r="E1285" s="917" t="s">
        <v>1609</v>
      </c>
      <c r="F1285" s="848" t="s">
        <v>1437</v>
      </c>
      <c r="G1285" s="40"/>
      <c r="H1285" s="600" t="s">
        <v>37</v>
      </c>
      <c r="I1285" s="504">
        <v>0</v>
      </c>
      <c r="J1285" s="849" t="str">
        <f t="shared" ref="J1285" si="5061">IFERROR((I1286/I1285),"-")</f>
        <v>-</v>
      </c>
      <c r="K1285" s="40"/>
      <c r="L1285" s="600" t="s">
        <v>37</v>
      </c>
      <c r="M1285" s="504">
        <f t="shared" si="4970"/>
        <v>0</v>
      </c>
      <c r="N1285" s="849" t="str">
        <f t="shared" ref="N1285" si="5062">IFERROR((M1286/M1285),"-")</f>
        <v>-</v>
      </c>
      <c r="O1285" s="40"/>
      <c r="P1285" s="602">
        <v>0</v>
      </c>
      <c r="Q1285" s="602">
        <v>0</v>
      </c>
      <c r="R1285" s="602">
        <v>0</v>
      </c>
      <c r="S1285" s="602">
        <v>0</v>
      </c>
      <c r="T1285" s="602">
        <v>0</v>
      </c>
      <c r="U1285" s="602">
        <v>0</v>
      </c>
      <c r="V1285" s="602">
        <v>0</v>
      </c>
      <c r="W1285" s="40"/>
      <c r="X1285" s="504">
        <f t="shared" si="5005"/>
        <v>0</v>
      </c>
      <c r="Y1285" s="849" t="str">
        <f t="shared" ref="Y1285" si="5063">IFERROR((X1286/X1285),"0")</f>
        <v>0</v>
      </c>
      <c r="Z1285" s="40"/>
      <c r="AA1285" s="855">
        <v>0</v>
      </c>
      <c r="AB1285" s="855">
        <v>0</v>
      </c>
      <c r="AC1285" s="858">
        <v>0</v>
      </c>
      <c r="AD1285" s="849" t="str">
        <f t="shared" ref="AD1285" si="5064">IFERROR((AC1285/AB1285),"-")</f>
        <v>-</v>
      </c>
      <c r="AE1285" s="40"/>
      <c r="AF1285" s="855">
        <v>1</v>
      </c>
      <c r="AG1285" s="855"/>
      <c r="AH1285" s="858">
        <v>0</v>
      </c>
      <c r="AI1285" s="855"/>
      <c r="AJ1285" s="855"/>
      <c r="AK1285" s="855">
        <f t="shared" ref="AK1285" si="5065">AF1285+AG1285+AH1285+AI1285+AJ1285+AC1285</f>
        <v>1</v>
      </c>
      <c r="AL1285" s="855">
        <v>1</v>
      </c>
      <c r="AM1285" s="849">
        <f t="shared" ref="AM1285" si="5066">IFERROR((AK1285/AL1285),"-")</f>
        <v>1</v>
      </c>
      <c r="AN1285" s="40"/>
      <c r="AO1285" s="855">
        <v>1</v>
      </c>
      <c r="AP1285" s="855">
        <f t="shared" ref="AP1285" si="5067">AO1285-AK1285</f>
        <v>0</v>
      </c>
      <c r="AV1285" t="str">
        <f t="shared" si="4796"/>
        <v>BDCC no Km 155+722 - Aterro 03</v>
      </c>
      <c r="AW1285" s="4" t="str">
        <f t="shared" si="4794"/>
        <v>2.5-BDT PEAD DN 1,20m - km 150+153 - Aterro A11- Bueiro de PEAD - LE</v>
      </c>
    </row>
    <row r="1286" spans="1:49" ht="15.6" customHeight="1" outlineLevel="2">
      <c r="A1286" s="598" t="str">
        <f t="shared" ref="A1286" si="5068">A1285</f>
        <v>N</v>
      </c>
      <c r="B1286" s="599"/>
      <c r="C1286" s="599"/>
      <c r="D1286" s="118" t="s">
        <v>1444</v>
      </c>
      <c r="E1286" s="918"/>
      <c r="F1286" s="848"/>
      <c r="G1286" s="40"/>
      <c r="H1286" s="603" t="s">
        <v>38</v>
      </c>
      <c r="I1286" s="504">
        <v>0</v>
      </c>
      <c r="J1286" s="850"/>
      <c r="K1286" s="40"/>
      <c r="L1286" s="603" t="s">
        <v>38</v>
      </c>
      <c r="M1286" s="504">
        <f t="shared" si="4970"/>
        <v>0</v>
      </c>
      <c r="N1286" s="850"/>
      <c r="O1286" s="40"/>
      <c r="P1286" s="602">
        <v>0</v>
      </c>
      <c r="Q1286" s="602">
        <v>0</v>
      </c>
      <c r="R1286" s="602">
        <v>0</v>
      </c>
      <c r="S1286" s="602">
        <v>0</v>
      </c>
      <c r="T1286" s="602">
        <v>0</v>
      </c>
      <c r="U1286" s="602">
        <v>0</v>
      </c>
      <c r="V1286" s="602">
        <v>0</v>
      </c>
      <c r="W1286" s="40"/>
      <c r="X1286" s="504">
        <f t="shared" si="5005"/>
        <v>0</v>
      </c>
      <c r="Y1286" s="850"/>
      <c r="Z1286" s="40"/>
      <c r="AA1286" s="856"/>
      <c r="AB1286" s="856"/>
      <c r="AC1286" s="857"/>
      <c r="AD1286" s="920"/>
      <c r="AE1286" s="40"/>
      <c r="AF1286" s="856"/>
      <c r="AG1286" s="856"/>
      <c r="AH1286" s="857"/>
      <c r="AI1286" s="856"/>
      <c r="AJ1286" s="856"/>
      <c r="AK1286" s="856"/>
      <c r="AL1286" s="856"/>
      <c r="AM1286" s="850"/>
      <c r="AN1286" s="40"/>
      <c r="AO1286" s="882"/>
      <c r="AP1286" s="882"/>
      <c r="AV1286" t="str">
        <f t="shared" si="4796"/>
        <v>BDCC no Km 155+722 - Aterro 03</v>
      </c>
      <c r="AW1286" s="4" t="str">
        <f t="shared" si="4794"/>
        <v>2.5-BDT PEAD DN 1,20m - km 150+153 - Aterro A11- Bueiro de PEAD - LE</v>
      </c>
    </row>
    <row r="1287" spans="1:49" ht="15.6" customHeight="1" outlineLevel="2">
      <c r="A1287" s="598" t="str">
        <f t="shared" ref="A1287" si="5069">IF(SUM(P1287:V1288)&gt;0,"S","N")</f>
        <v>N</v>
      </c>
      <c r="B1287" s="599">
        <v>1064410</v>
      </c>
      <c r="C1287" s="599" t="s">
        <v>1610</v>
      </c>
      <c r="D1287" s="118" t="s">
        <v>1364</v>
      </c>
      <c r="E1287" s="917" t="s">
        <v>1611</v>
      </c>
      <c r="F1287" s="848" t="s">
        <v>1437</v>
      </c>
      <c r="G1287" s="40"/>
      <c r="H1287" s="600" t="s">
        <v>37</v>
      </c>
      <c r="I1287" s="504">
        <v>0</v>
      </c>
      <c r="J1287" s="849" t="str">
        <f t="shared" ref="J1287" si="5070">IFERROR((I1288/I1287),"-")</f>
        <v>-</v>
      </c>
      <c r="K1287" s="40"/>
      <c r="L1287" s="600" t="s">
        <v>37</v>
      </c>
      <c r="M1287" s="504">
        <f t="shared" si="4970"/>
        <v>0</v>
      </c>
      <c r="N1287" s="849" t="str">
        <f t="shared" ref="N1287" si="5071">IFERROR((M1288/M1287),"-")</f>
        <v>-</v>
      </c>
      <c r="O1287" s="40"/>
      <c r="P1287" s="602">
        <v>0</v>
      </c>
      <c r="Q1287" s="602">
        <v>0</v>
      </c>
      <c r="R1287" s="602">
        <v>0</v>
      </c>
      <c r="S1287" s="602">
        <v>0</v>
      </c>
      <c r="T1287" s="602">
        <v>0</v>
      </c>
      <c r="U1287" s="602">
        <v>0</v>
      </c>
      <c r="V1287" s="602">
        <v>0</v>
      </c>
      <c r="W1287" s="40"/>
      <c r="X1287" s="504">
        <f t="shared" si="5005"/>
        <v>0</v>
      </c>
      <c r="Y1287" s="849" t="str">
        <f t="shared" ref="Y1287" si="5072">IFERROR((X1288/X1287),"0")</f>
        <v>0</v>
      </c>
      <c r="Z1287" s="40"/>
      <c r="AA1287" s="855">
        <v>0</v>
      </c>
      <c r="AB1287" s="855">
        <v>0</v>
      </c>
      <c r="AC1287" s="858">
        <v>0</v>
      </c>
      <c r="AD1287" s="849" t="str">
        <f t="shared" ref="AD1287" si="5073">IFERROR((AC1287/AB1287),"-")</f>
        <v>-</v>
      </c>
      <c r="AE1287" s="40"/>
      <c r="AF1287" s="855">
        <v>1</v>
      </c>
      <c r="AG1287" s="855"/>
      <c r="AH1287" s="858">
        <v>0</v>
      </c>
      <c r="AI1287" s="855"/>
      <c r="AJ1287" s="855"/>
      <c r="AK1287" s="855">
        <f t="shared" ref="AK1287" si="5074">AF1287+AG1287+AH1287+AI1287+AJ1287+AC1287</f>
        <v>1</v>
      </c>
      <c r="AL1287" s="855">
        <v>0.99999999999999989</v>
      </c>
      <c r="AM1287" s="849">
        <f t="shared" ref="AM1287" si="5075">IFERROR((AK1287/AL1287),"-")</f>
        <v>1.0000000000000002</v>
      </c>
      <c r="AN1287" s="40"/>
      <c r="AO1287" s="855">
        <v>1</v>
      </c>
      <c r="AP1287" s="855">
        <f t="shared" ref="AP1287" si="5076">AO1287-AK1287</f>
        <v>0</v>
      </c>
      <c r="AV1287" t="str">
        <f t="shared" si="4796"/>
        <v>BDCC no Km 155+722 - Aterro 03</v>
      </c>
      <c r="AW1287" s="4" t="str">
        <f t="shared" si="4794"/>
        <v>2.5-BDT PEAD DN 1,20m - km 150+153 - Aterro A11- Bueiro de PEAD - LD</v>
      </c>
    </row>
    <row r="1288" spans="1:49" ht="15.6" customHeight="1" outlineLevel="2">
      <c r="A1288" s="598" t="str">
        <f t="shared" ref="A1288" si="5077">A1287</f>
        <v>N</v>
      </c>
      <c r="B1288" s="599"/>
      <c r="C1288" s="599"/>
      <c r="D1288" s="118" t="s">
        <v>1441</v>
      </c>
      <c r="E1288" s="918"/>
      <c r="F1288" s="848"/>
      <c r="G1288" s="40"/>
      <c r="H1288" s="603" t="s">
        <v>38</v>
      </c>
      <c r="I1288" s="504">
        <v>0</v>
      </c>
      <c r="J1288" s="850"/>
      <c r="K1288" s="40"/>
      <c r="L1288" s="603" t="s">
        <v>38</v>
      </c>
      <c r="M1288" s="504">
        <f t="shared" si="4970"/>
        <v>0</v>
      </c>
      <c r="N1288" s="850"/>
      <c r="O1288" s="40"/>
      <c r="P1288" s="602">
        <v>0</v>
      </c>
      <c r="Q1288" s="602">
        <v>0</v>
      </c>
      <c r="R1288" s="602">
        <v>0</v>
      </c>
      <c r="S1288" s="602">
        <v>0</v>
      </c>
      <c r="T1288" s="602">
        <v>0</v>
      </c>
      <c r="U1288" s="602">
        <v>0</v>
      </c>
      <c r="V1288" s="602">
        <v>0</v>
      </c>
      <c r="W1288" s="40"/>
      <c r="X1288" s="504">
        <f t="shared" si="5005"/>
        <v>0</v>
      </c>
      <c r="Y1288" s="850"/>
      <c r="Z1288" s="40"/>
      <c r="AA1288" s="856"/>
      <c r="AB1288" s="856"/>
      <c r="AC1288" s="857"/>
      <c r="AD1288" s="920"/>
      <c r="AE1288" s="40"/>
      <c r="AF1288" s="856"/>
      <c r="AG1288" s="856"/>
      <c r="AH1288" s="857"/>
      <c r="AI1288" s="856"/>
      <c r="AJ1288" s="856"/>
      <c r="AK1288" s="856"/>
      <c r="AL1288" s="856"/>
      <c r="AM1288" s="850"/>
      <c r="AN1288" s="40"/>
      <c r="AO1288" s="882"/>
      <c r="AP1288" s="882"/>
      <c r="AV1288" t="str">
        <f t="shared" si="4796"/>
        <v>BDCC no Km 155+722 - Aterro 03</v>
      </c>
      <c r="AW1288" s="4" t="str">
        <f t="shared" si="4794"/>
        <v>2.5-BDT PEAD DN 1,20m - km 150+153 - Aterro A11- Bueiro de PEAD - LD</v>
      </c>
    </row>
    <row r="1289" spans="1:49" ht="15.6" customHeight="1" outlineLevel="2">
      <c r="A1289" s="598" t="str">
        <f t="shared" ref="A1289" si="5078">IF(SUM(P1289:V1290)&gt;0,"S","N")</f>
        <v>N</v>
      </c>
      <c r="B1289" s="599">
        <v>1064414</v>
      </c>
      <c r="C1289" s="599" t="s">
        <v>1612</v>
      </c>
      <c r="D1289" s="118" t="s">
        <v>1366</v>
      </c>
      <c r="E1289" s="917" t="s">
        <v>1613</v>
      </c>
      <c r="F1289" s="848" t="s">
        <v>1437</v>
      </c>
      <c r="G1289" s="40"/>
      <c r="H1289" s="600" t="s">
        <v>37</v>
      </c>
      <c r="I1289" s="504">
        <v>0</v>
      </c>
      <c r="J1289" s="849" t="str">
        <f t="shared" ref="J1289" si="5079">IFERROR((I1290/I1289),"-")</f>
        <v>-</v>
      </c>
      <c r="K1289" s="40"/>
      <c r="L1289" s="600" t="s">
        <v>37</v>
      </c>
      <c r="M1289" s="504">
        <f t="shared" si="4970"/>
        <v>0</v>
      </c>
      <c r="N1289" s="849" t="str">
        <f t="shared" ref="N1289" si="5080">IFERROR((M1290/M1289),"-")</f>
        <v>-</v>
      </c>
      <c r="O1289" s="40"/>
      <c r="P1289" s="602">
        <v>0</v>
      </c>
      <c r="Q1289" s="602">
        <v>0</v>
      </c>
      <c r="R1289" s="602">
        <v>0</v>
      </c>
      <c r="S1289" s="602">
        <v>0</v>
      </c>
      <c r="T1289" s="602">
        <v>0</v>
      </c>
      <c r="U1289" s="602">
        <v>0</v>
      </c>
      <c r="V1289" s="602">
        <v>0</v>
      </c>
      <c r="W1289" s="40"/>
      <c r="X1289" s="504">
        <f t="shared" si="5005"/>
        <v>0</v>
      </c>
      <c r="Y1289" s="849" t="str">
        <f t="shared" ref="Y1289" si="5081">IFERROR((X1290/X1289),"0")</f>
        <v>0</v>
      </c>
      <c r="Z1289" s="40"/>
      <c r="AA1289" s="855">
        <v>0</v>
      </c>
      <c r="AB1289" s="855">
        <v>0</v>
      </c>
      <c r="AC1289" s="858">
        <v>0</v>
      </c>
      <c r="AD1289" s="849" t="str">
        <f t="shared" ref="AD1289" si="5082">IFERROR((AC1289/AB1289),"-")</f>
        <v>-</v>
      </c>
      <c r="AE1289" s="40"/>
      <c r="AF1289" s="855">
        <v>1</v>
      </c>
      <c r="AG1289" s="855"/>
      <c r="AH1289" s="858">
        <v>0</v>
      </c>
      <c r="AI1289" s="855"/>
      <c r="AJ1289" s="855"/>
      <c r="AK1289" s="855">
        <f t="shared" ref="AK1289" si="5083">AF1289+AG1289+AH1289+AI1289+AJ1289+AC1289</f>
        <v>1</v>
      </c>
      <c r="AL1289" s="855">
        <v>1</v>
      </c>
      <c r="AM1289" s="849">
        <f t="shared" ref="AM1289" si="5084">IFERROR((AK1289/AL1289),"-")</f>
        <v>1</v>
      </c>
      <c r="AN1289" s="40"/>
      <c r="AO1289" s="855">
        <v>1</v>
      </c>
      <c r="AP1289" s="855">
        <f t="shared" ref="AP1289" si="5085">AO1289-AK1289</f>
        <v>0</v>
      </c>
      <c r="AV1289" t="str">
        <f t="shared" si="4796"/>
        <v>BDCC no Km 155+722 - Aterro 03</v>
      </c>
      <c r="AW1289" s="4" t="str">
        <f t="shared" ref="AW1289:AW1352" si="5086">IF(E1289&lt;&gt;"",E1289,AW1288)</f>
        <v>2.5-BDT PEAD DN 1,20m - km 150+368 - Aterro A11- Bueiro de PEAD - LE</v>
      </c>
    </row>
    <row r="1290" spans="1:49" ht="15.6" customHeight="1" outlineLevel="2">
      <c r="A1290" s="598" t="str">
        <f t="shared" ref="A1290" si="5087">A1289</f>
        <v>N</v>
      </c>
      <c r="B1290" s="599"/>
      <c r="C1290" s="599"/>
      <c r="D1290" s="118" t="s">
        <v>1444</v>
      </c>
      <c r="E1290" s="918"/>
      <c r="F1290" s="848"/>
      <c r="G1290" s="40"/>
      <c r="H1290" s="603" t="s">
        <v>38</v>
      </c>
      <c r="I1290" s="504">
        <v>0</v>
      </c>
      <c r="J1290" s="850"/>
      <c r="K1290" s="40"/>
      <c r="L1290" s="603" t="s">
        <v>38</v>
      </c>
      <c r="M1290" s="504">
        <f t="shared" si="4970"/>
        <v>0</v>
      </c>
      <c r="N1290" s="850"/>
      <c r="O1290" s="40"/>
      <c r="P1290" s="602">
        <v>0</v>
      </c>
      <c r="Q1290" s="602">
        <v>0</v>
      </c>
      <c r="R1290" s="602">
        <v>0</v>
      </c>
      <c r="S1290" s="602">
        <v>0</v>
      </c>
      <c r="T1290" s="602">
        <v>0</v>
      </c>
      <c r="U1290" s="602">
        <v>0</v>
      </c>
      <c r="V1290" s="602">
        <v>0</v>
      </c>
      <c r="W1290" s="40"/>
      <c r="X1290" s="504">
        <f t="shared" si="5005"/>
        <v>0</v>
      </c>
      <c r="Y1290" s="850"/>
      <c r="Z1290" s="40"/>
      <c r="AA1290" s="856"/>
      <c r="AB1290" s="856"/>
      <c r="AC1290" s="857"/>
      <c r="AD1290" s="920"/>
      <c r="AE1290" s="40"/>
      <c r="AF1290" s="856"/>
      <c r="AG1290" s="856"/>
      <c r="AH1290" s="857"/>
      <c r="AI1290" s="856"/>
      <c r="AJ1290" s="856"/>
      <c r="AK1290" s="856"/>
      <c r="AL1290" s="856"/>
      <c r="AM1290" s="850"/>
      <c r="AN1290" s="40"/>
      <c r="AO1290" s="882"/>
      <c r="AP1290" s="882"/>
      <c r="AV1290" t="str">
        <f t="shared" ref="AV1290:AV1353" si="5088">IF(AX1290="Y",LEFT(E1290,20),IF(AX1290="x",E1290,AV1289))</f>
        <v>BDCC no Km 155+722 - Aterro 03</v>
      </c>
      <c r="AW1290" s="4" t="str">
        <f t="shared" si="5086"/>
        <v>2.5-BDT PEAD DN 1,20m - km 150+368 - Aterro A11- Bueiro de PEAD - LE</v>
      </c>
    </row>
    <row r="1291" spans="1:49" ht="15.6" customHeight="1" outlineLevel="2">
      <c r="A1291" s="598" t="str">
        <f t="shared" ref="A1291" si="5089">IF(SUM(P1291:V1292)&gt;0,"S","N")</f>
        <v>N</v>
      </c>
      <c r="B1291" s="599">
        <v>1064415</v>
      </c>
      <c r="C1291" s="599" t="s">
        <v>1614</v>
      </c>
      <c r="D1291" s="118" t="s">
        <v>1366</v>
      </c>
      <c r="E1291" s="917" t="s">
        <v>1615</v>
      </c>
      <c r="F1291" s="848" t="s">
        <v>1437</v>
      </c>
      <c r="G1291" s="40"/>
      <c r="H1291" s="600" t="s">
        <v>37</v>
      </c>
      <c r="I1291" s="504">
        <v>0</v>
      </c>
      <c r="J1291" s="849" t="str">
        <f t="shared" ref="J1291" si="5090">IFERROR((I1292/I1291),"-")</f>
        <v>-</v>
      </c>
      <c r="K1291" s="40"/>
      <c r="L1291" s="600" t="s">
        <v>37</v>
      </c>
      <c r="M1291" s="504">
        <f t="shared" si="4970"/>
        <v>0</v>
      </c>
      <c r="N1291" s="849" t="str">
        <f t="shared" ref="N1291" si="5091">IFERROR((M1292/M1291),"-")</f>
        <v>-</v>
      </c>
      <c r="O1291" s="40"/>
      <c r="P1291" s="602">
        <v>0</v>
      </c>
      <c r="Q1291" s="602">
        <v>0</v>
      </c>
      <c r="R1291" s="602">
        <v>0</v>
      </c>
      <c r="S1291" s="602">
        <v>0</v>
      </c>
      <c r="T1291" s="602">
        <v>0</v>
      </c>
      <c r="U1291" s="602">
        <v>0</v>
      </c>
      <c r="V1291" s="602">
        <v>0</v>
      </c>
      <c r="W1291" s="40"/>
      <c r="X1291" s="504">
        <f t="shared" si="5005"/>
        <v>0</v>
      </c>
      <c r="Y1291" s="849" t="str">
        <f t="shared" ref="Y1291" si="5092">IFERROR((X1292/X1291),"0")</f>
        <v>0</v>
      </c>
      <c r="Z1291" s="40"/>
      <c r="AA1291" s="855">
        <v>0</v>
      </c>
      <c r="AB1291" s="855">
        <v>0</v>
      </c>
      <c r="AC1291" s="858">
        <v>0</v>
      </c>
      <c r="AD1291" s="849" t="str">
        <f t="shared" ref="AD1291" si="5093">IFERROR((AC1291/AB1291),"-")</f>
        <v>-</v>
      </c>
      <c r="AE1291" s="40"/>
      <c r="AF1291" s="855">
        <v>1</v>
      </c>
      <c r="AG1291" s="855"/>
      <c r="AH1291" s="858">
        <v>0</v>
      </c>
      <c r="AI1291" s="855"/>
      <c r="AJ1291" s="855"/>
      <c r="AK1291" s="855">
        <f t="shared" ref="AK1291" si="5094">AF1291+AG1291+AH1291+AI1291+AJ1291+AC1291</f>
        <v>1</v>
      </c>
      <c r="AL1291" s="855">
        <v>0.99999999999999989</v>
      </c>
      <c r="AM1291" s="849">
        <f t="shared" ref="AM1291" si="5095">IFERROR((AK1291/AL1291),"-")</f>
        <v>1.0000000000000002</v>
      </c>
      <c r="AN1291" s="40"/>
      <c r="AO1291" s="855">
        <v>1</v>
      </c>
      <c r="AP1291" s="855">
        <f t="shared" ref="AP1291" si="5096">AO1291-AK1291</f>
        <v>0</v>
      </c>
      <c r="AV1291" t="str">
        <f t="shared" si="5088"/>
        <v>BDCC no Km 155+722 - Aterro 03</v>
      </c>
      <c r="AW1291" s="4" t="str">
        <f t="shared" si="5086"/>
        <v>2.5-BDT PEAD DN 1,20m - km 150+368 - Aterro A11- Bueiro de PEAD - LD</v>
      </c>
    </row>
    <row r="1292" spans="1:49" ht="15.6" customHeight="1" outlineLevel="2">
      <c r="A1292" s="598" t="str">
        <f t="shared" ref="A1292" si="5097">A1291</f>
        <v>N</v>
      </c>
      <c r="B1292" s="599"/>
      <c r="C1292" s="599"/>
      <c r="D1292" s="118" t="s">
        <v>1441</v>
      </c>
      <c r="E1292" s="918"/>
      <c r="F1292" s="848"/>
      <c r="G1292" s="40"/>
      <c r="H1292" s="603" t="s">
        <v>38</v>
      </c>
      <c r="I1292" s="504">
        <v>0</v>
      </c>
      <c r="J1292" s="850"/>
      <c r="K1292" s="40"/>
      <c r="L1292" s="603" t="s">
        <v>38</v>
      </c>
      <c r="M1292" s="504">
        <f t="shared" si="4970"/>
        <v>0</v>
      </c>
      <c r="N1292" s="850"/>
      <c r="O1292" s="40"/>
      <c r="P1292" s="602">
        <v>0</v>
      </c>
      <c r="Q1292" s="602">
        <v>0</v>
      </c>
      <c r="R1292" s="602">
        <v>0</v>
      </c>
      <c r="S1292" s="602">
        <v>0</v>
      </c>
      <c r="T1292" s="602">
        <v>0</v>
      </c>
      <c r="U1292" s="602">
        <v>0</v>
      </c>
      <c r="V1292" s="602">
        <v>0</v>
      </c>
      <c r="W1292" s="40"/>
      <c r="X1292" s="504">
        <f t="shared" si="5005"/>
        <v>0</v>
      </c>
      <c r="Y1292" s="850"/>
      <c r="Z1292" s="40"/>
      <c r="AA1292" s="856"/>
      <c r="AB1292" s="856"/>
      <c r="AC1292" s="857"/>
      <c r="AD1292" s="920"/>
      <c r="AE1292" s="40"/>
      <c r="AF1292" s="856"/>
      <c r="AG1292" s="856"/>
      <c r="AH1292" s="857"/>
      <c r="AI1292" s="856"/>
      <c r="AJ1292" s="856"/>
      <c r="AK1292" s="856"/>
      <c r="AL1292" s="856"/>
      <c r="AM1292" s="850"/>
      <c r="AN1292" s="40"/>
      <c r="AO1292" s="882"/>
      <c r="AP1292" s="882"/>
      <c r="AV1292" t="str">
        <f t="shared" si="5088"/>
        <v>BDCC no Km 155+722 - Aterro 03</v>
      </c>
      <c r="AW1292" s="4" t="str">
        <f t="shared" si="5086"/>
        <v>2.5-BDT PEAD DN 1,20m - km 150+368 - Aterro A11- Bueiro de PEAD - LD</v>
      </c>
    </row>
    <row r="1293" spans="1:49" ht="15.6" customHeight="1" outlineLevel="2">
      <c r="A1293" s="598" t="str">
        <f t="shared" ref="A1293" si="5098">IF(SUM(P1293:V1294)&gt;0,"S","N")</f>
        <v>N</v>
      </c>
      <c r="B1293" s="599">
        <v>1064421</v>
      </c>
      <c r="C1293" s="599" t="s">
        <v>1616</v>
      </c>
      <c r="D1293" s="118" t="s">
        <v>1368</v>
      </c>
      <c r="E1293" s="917" t="s">
        <v>1617</v>
      </c>
      <c r="F1293" s="848" t="s">
        <v>1437</v>
      </c>
      <c r="G1293" s="40"/>
      <c r="H1293" s="600" t="s">
        <v>37</v>
      </c>
      <c r="I1293" s="504">
        <v>0</v>
      </c>
      <c r="J1293" s="849" t="str">
        <f t="shared" ref="J1293" si="5099">IFERROR((I1294/I1293),"-")</f>
        <v>-</v>
      </c>
      <c r="K1293" s="40"/>
      <c r="L1293" s="600" t="s">
        <v>37</v>
      </c>
      <c r="M1293" s="504">
        <f t="shared" si="4970"/>
        <v>0</v>
      </c>
      <c r="N1293" s="849" t="str">
        <f t="shared" ref="N1293" si="5100">IFERROR((M1294/M1293),"-")</f>
        <v>-</v>
      </c>
      <c r="O1293" s="40"/>
      <c r="P1293" s="602">
        <v>0</v>
      </c>
      <c r="Q1293" s="602">
        <v>0</v>
      </c>
      <c r="R1293" s="602">
        <v>0</v>
      </c>
      <c r="S1293" s="602">
        <v>0</v>
      </c>
      <c r="T1293" s="602">
        <v>0</v>
      </c>
      <c r="U1293" s="602">
        <v>0</v>
      </c>
      <c r="V1293" s="602">
        <v>0</v>
      </c>
      <c r="W1293" s="40"/>
      <c r="X1293" s="504">
        <f t="shared" si="5005"/>
        <v>0</v>
      </c>
      <c r="Y1293" s="849" t="str">
        <f t="shared" ref="Y1293" si="5101">IFERROR((X1294/X1293),"0")</f>
        <v>0</v>
      </c>
      <c r="Z1293" s="40"/>
      <c r="AA1293" s="855">
        <v>0</v>
      </c>
      <c r="AB1293" s="855">
        <v>0</v>
      </c>
      <c r="AC1293" s="858">
        <v>0</v>
      </c>
      <c r="AD1293" s="849" t="str">
        <f t="shared" ref="AD1293" si="5102">IFERROR((AC1293/AB1293),"-")</f>
        <v>-</v>
      </c>
      <c r="AE1293" s="40"/>
      <c r="AF1293" s="855">
        <v>1</v>
      </c>
      <c r="AG1293" s="855"/>
      <c r="AH1293" s="858">
        <v>0</v>
      </c>
      <c r="AI1293" s="855"/>
      <c r="AJ1293" s="855"/>
      <c r="AK1293" s="855">
        <f t="shared" ref="AK1293" si="5103">AF1293+AG1293+AH1293+AI1293+AJ1293+AC1293</f>
        <v>1</v>
      </c>
      <c r="AL1293" s="855">
        <v>1.01</v>
      </c>
      <c r="AM1293" s="849">
        <f t="shared" ref="AM1293" si="5104">IFERROR((AK1293/AL1293),"-")</f>
        <v>0.99009900990099009</v>
      </c>
      <c r="AN1293" s="40"/>
      <c r="AO1293" s="855">
        <v>1</v>
      </c>
      <c r="AP1293" s="855">
        <f t="shared" ref="AP1293" si="5105">AO1293-AK1293</f>
        <v>0</v>
      </c>
      <c r="AV1293" t="str">
        <f t="shared" si="5088"/>
        <v>BDCC no Km 155+722 - Aterro 03</v>
      </c>
      <c r="AW1293" s="4" t="str">
        <f t="shared" si="5086"/>
        <v>2.5-BDT PEAD DN 1,20m - km 150+612 - Aterro A11- Bueiro de PEAD - LE</v>
      </c>
    </row>
    <row r="1294" spans="1:49" ht="15.6" customHeight="1" outlineLevel="2">
      <c r="A1294" s="598" t="str">
        <f t="shared" ref="A1294" si="5106">A1293</f>
        <v>N</v>
      </c>
      <c r="B1294" s="599"/>
      <c r="C1294" s="599"/>
      <c r="D1294" s="118" t="s">
        <v>1444</v>
      </c>
      <c r="E1294" s="918"/>
      <c r="F1294" s="848"/>
      <c r="G1294" s="40"/>
      <c r="H1294" s="603" t="s">
        <v>38</v>
      </c>
      <c r="I1294" s="504">
        <v>0</v>
      </c>
      <c r="J1294" s="850"/>
      <c r="K1294" s="40"/>
      <c r="L1294" s="603" t="s">
        <v>38</v>
      </c>
      <c r="M1294" s="504">
        <f t="shared" si="4970"/>
        <v>0</v>
      </c>
      <c r="N1294" s="850"/>
      <c r="O1294" s="40"/>
      <c r="P1294" s="602">
        <v>0</v>
      </c>
      <c r="Q1294" s="602">
        <v>0</v>
      </c>
      <c r="R1294" s="602">
        <v>0</v>
      </c>
      <c r="S1294" s="602">
        <v>0</v>
      </c>
      <c r="T1294" s="602">
        <v>0</v>
      </c>
      <c r="U1294" s="602">
        <v>0</v>
      </c>
      <c r="V1294" s="602">
        <v>0</v>
      </c>
      <c r="W1294" s="40"/>
      <c r="X1294" s="504">
        <f t="shared" si="5005"/>
        <v>0</v>
      </c>
      <c r="Y1294" s="850"/>
      <c r="Z1294" s="40"/>
      <c r="AA1294" s="856"/>
      <c r="AB1294" s="856"/>
      <c r="AC1294" s="857"/>
      <c r="AD1294" s="920"/>
      <c r="AE1294" s="40"/>
      <c r="AF1294" s="856"/>
      <c r="AG1294" s="856"/>
      <c r="AH1294" s="857"/>
      <c r="AI1294" s="856"/>
      <c r="AJ1294" s="856"/>
      <c r="AK1294" s="856"/>
      <c r="AL1294" s="856"/>
      <c r="AM1294" s="850"/>
      <c r="AN1294" s="40"/>
      <c r="AO1294" s="882"/>
      <c r="AP1294" s="882"/>
      <c r="AV1294" t="str">
        <f t="shared" si="5088"/>
        <v>BDCC no Km 155+722 - Aterro 03</v>
      </c>
      <c r="AW1294" s="4" t="str">
        <f t="shared" si="5086"/>
        <v>2.5-BDT PEAD DN 1,20m - km 150+612 - Aterro A11- Bueiro de PEAD - LE</v>
      </c>
    </row>
    <row r="1295" spans="1:49" ht="15.6" customHeight="1" outlineLevel="2">
      <c r="A1295" s="598" t="str">
        <f t="shared" ref="A1295" si="5107">IF(SUM(P1295:V1296)&gt;0,"S","N")</f>
        <v>N</v>
      </c>
      <c r="B1295" s="599">
        <v>1064422</v>
      </c>
      <c r="C1295" s="599" t="s">
        <v>1618</v>
      </c>
      <c r="D1295" s="118" t="s">
        <v>1368</v>
      </c>
      <c r="E1295" s="917" t="s">
        <v>1619</v>
      </c>
      <c r="F1295" s="848" t="s">
        <v>1437</v>
      </c>
      <c r="G1295" s="40"/>
      <c r="H1295" s="600" t="s">
        <v>37</v>
      </c>
      <c r="I1295" s="504">
        <v>0</v>
      </c>
      <c r="J1295" s="849" t="str">
        <f t="shared" ref="J1295" si="5108">IFERROR((I1296/I1295),"-")</f>
        <v>-</v>
      </c>
      <c r="K1295" s="40"/>
      <c r="L1295" s="600" t="s">
        <v>37</v>
      </c>
      <c r="M1295" s="504">
        <f t="shared" si="4970"/>
        <v>0</v>
      </c>
      <c r="N1295" s="849" t="str">
        <f t="shared" ref="N1295" si="5109">IFERROR((M1296/M1295),"-")</f>
        <v>-</v>
      </c>
      <c r="O1295" s="40"/>
      <c r="P1295" s="602">
        <v>0</v>
      </c>
      <c r="Q1295" s="602">
        <v>0</v>
      </c>
      <c r="R1295" s="602">
        <v>0</v>
      </c>
      <c r="S1295" s="602">
        <v>0</v>
      </c>
      <c r="T1295" s="602">
        <v>0</v>
      </c>
      <c r="U1295" s="602">
        <v>0</v>
      </c>
      <c r="V1295" s="602">
        <v>0</v>
      </c>
      <c r="W1295" s="40"/>
      <c r="X1295" s="504">
        <f t="shared" si="5005"/>
        <v>0</v>
      </c>
      <c r="Y1295" s="849" t="str">
        <f t="shared" ref="Y1295" si="5110">IFERROR((X1296/X1295),"0")</f>
        <v>0</v>
      </c>
      <c r="Z1295" s="40"/>
      <c r="AA1295" s="855">
        <v>0</v>
      </c>
      <c r="AB1295" s="855">
        <v>0</v>
      </c>
      <c r="AC1295" s="858">
        <v>0</v>
      </c>
      <c r="AD1295" s="849" t="str">
        <f t="shared" ref="AD1295" si="5111">IFERROR((AC1295/AB1295),"-")</f>
        <v>-</v>
      </c>
      <c r="AE1295" s="40"/>
      <c r="AF1295" s="855">
        <v>1</v>
      </c>
      <c r="AG1295" s="855"/>
      <c r="AH1295" s="858">
        <v>0</v>
      </c>
      <c r="AI1295" s="855"/>
      <c r="AJ1295" s="855"/>
      <c r="AK1295" s="855">
        <f t="shared" ref="AK1295" si="5112">AF1295+AG1295+AH1295+AI1295+AJ1295+AC1295</f>
        <v>1</v>
      </c>
      <c r="AL1295" s="855">
        <v>1.01</v>
      </c>
      <c r="AM1295" s="849">
        <f t="shared" ref="AM1295" si="5113">IFERROR((AK1295/AL1295),"-")</f>
        <v>0.99009900990099009</v>
      </c>
      <c r="AN1295" s="40"/>
      <c r="AO1295" s="855">
        <v>1</v>
      </c>
      <c r="AP1295" s="855">
        <f t="shared" ref="AP1295" si="5114">AO1295-AK1295</f>
        <v>0</v>
      </c>
      <c r="AV1295" t="str">
        <f t="shared" si="5088"/>
        <v>BDCC no Km 155+722 - Aterro 03</v>
      </c>
      <c r="AW1295" s="4" t="str">
        <f t="shared" si="5086"/>
        <v>2.5-BDT PEAD DN 1,20m - km 150+612 - Aterro A11- Bueiro de PEAD - LD</v>
      </c>
    </row>
    <row r="1296" spans="1:49" ht="15.6" customHeight="1" outlineLevel="2">
      <c r="A1296" s="598" t="str">
        <f t="shared" ref="A1296" si="5115">A1295</f>
        <v>N</v>
      </c>
      <c r="B1296" s="599"/>
      <c r="C1296" s="599"/>
      <c r="D1296" s="118" t="s">
        <v>1441</v>
      </c>
      <c r="E1296" s="918"/>
      <c r="F1296" s="848"/>
      <c r="G1296" s="40"/>
      <c r="H1296" s="603" t="s">
        <v>38</v>
      </c>
      <c r="I1296" s="504">
        <v>0</v>
      </c>
      <c r="J1296" s="850"/>
      <c r="K1296" s="40"/>
      <c r="L1296" s="603" t="s">
        <v>38</v>
      </c>
      <c r="M1296" s="504">
        <f t="shared" si="4970"/>
        <v>0</v>
      </c>
      <c r="N1296" s="850"/>
      <c r="O1296" s="40"/>
      <c r="P1296" s="602">
        <v>0</v>
      </c>
      <c r="Q1296" s="602">
        <v>0</v>
      </c>
      <c r="R1296" s="602">
        <v>0</v>
      </c>
      <c r="S1296" s="602">
        <v>0</v>
      </c>
      <c r="T1296" s="602">
        <v>0</v>
      </c>
      <c r="U1296" s="602">
        <v>0</v>
      </c>
      <c r="V1296" s="602">
        <v>0</v>
      </c>
      <c r="W1296" s="40"/>
      <c r="X1296" s="504">
        <f t="shared" si="5005"/>
        <v>0</v>
      </c>
      <c r="Y1296" s="850"/>
      <c r="Z1296" s="40"/>
      <c r="AA1296" s="856"/>
      <c r="AB1296" s="856"/>
      <c r="AC1296" s="857"/>
      <c r="AD1296" s="920"/>
      <c r="AE1296" s="40"/>
      <c r="AF1296" s="856"/>
      <c r="AG1296" s="856"/>
      <c r="AH1296" s="857"/>
      <c r="AI1296" s="856"/>
      <c r="AJ1296" s="856"/>
      <c r="AK1296" s="856"/>
      <c r="AL1296" s="856"/>
      <c r="AM1296" s="850"/>
      <c r="AN1296" s="40"/>
      <c r="AO1296" s="882"/>
      <c r="AP1296" s="882"/>
      <c r="AV1296" t="str">
        <f t="shared" si="5088"/>
        <v>BDCC no Km 155+722 - Aterro 03</v>
      </c>
      <c r="AW1296" s="4" t="str">
        <f t="shared" si="5086"/>
        <v>2.5-BDT PEAD DN 1,20m - km 150+612 - Aterro A11- Bueiro de PEAD - LD</v>
      </c>
    </row>
    <row r="1297" spans="1:49" ht="15.6" customHeight="1" outlineLevel="2">
      <c r="A1297" s="598" t="str">
        <f t="shared" ref="A1297" si="5116">IF(SUM(P1297:V1298)&gt;0,"S","N")</f>
        <v>N</v>
      </c>
      <c r="B1297" s="599">
        <v>1064427</v>
      </c>
      <c r="C1297" s="599" t="s">
        <v>1620</v>
      </c>
      <c r="D1297" s="118" t="s">
        <v>1370</v>
      </c>
      <c r="E1297" s="917" t="s">
        <v>1621</v>
      </c>
      <c r="F1297" s="848" t="s">
        <v>1437</v>
      </c>
      <c r="G1297" s="40"/>
      <c r="H1297" s="600" t="s">
        <v>37</v>
      </c>
      <c r="I1297" s="504">
        <v>0</v>
      </c>
      <c r="J1297" s="849" t="str">
        <f t="shared" ref="J1297" si="5117">IFERROR((I1298/I1297),"-")</f>
        <v>-</v>
      </c>
      <c r="K1297" s="40"/>
      <c r="L1297" s="600" t="s">
        <v>37</v>
      </c>
      <c r="M1297" s="504">
        <f t="shared" si="4970"/>
        <v>0</v>
      </c>
      <c r="N1297" s="849" t="str">
        <f t="shared" ref="N1297" si="5118">IFERROR((M1298/M1297),"-")</f>
        <v>-</v>
      </c>
      <c r="O1297" s="40"/>
      <c r="P1297" s="602">
        <v>0</v>
      </c>
      <c r="Q1297" s="602">
        <v>0</v>
      </c>
      <c r="R1297" s="602">
        <v>0</v>
      </c>
      <c r="S1297" s="602">
        <v>0</v>
      </c>
      <c r="T1297" s="602">
        <v>0</v>
      </c>
      <c r="U1297" s="602">
        <v>0</v>
      </c>
      <c r="V1297" s="602">
        <v>0</v>
      </c>
      <c r="W1297" s="40"/>
      <c r="X1297" s="504">
        <f t="shared" si="5005"/>
        <v>0</v>
      </c>
      <c r="Y1297" s="849" t="str">
        <f t="shared" ref="Y1297" si="5119">IFERROR((X1298/X1297),"0")</f>
        <v>0</v>
      </c>
      <c r="Z1297" s="40"/>
      <c r="AA1297" s="855">
        <v>0</v>
      </c>
      <c r="AB1297" s="855">
        <v>0</v>
      </c>
      <c r="AC1297" s="858">
        <v>0</v>
      </c>
      <c r="AD1297" s="849" t="str">
        <f t="shared" ref="AD1297" si="5120">IFERROR((AC1297/AB1297),"-")</f>
        <v>-</v>
      </c>
      <c r="AE1297" s="40"/>
      <c r="AF1297" s="855">
        <v>1</v>
      </c>
      <c r="AG1297" s="855"/>
      <c r="AH1297" s="858">
        <v>0</v>
      </c>
      <c r="AI1297" s="855"/>
      <c r="AJ1297" s="855"/>
      <c r="AK1297" s="855">
        <f t="shared" ref="AK1297" si="5121">AF1297+AG1297+AH1297+AI1297+AJ1297+AC1297</f>
        <v>1</v>
      </c>
      <c r="AL1297" s="855">
        <v>1.01</v>
      </c>
      <c r="AM1297" s="849">
        <f t="shared" ref="AM1297" si="5122">IFERROR((AK1297/AL1297),"-")</f>
        <v>0.99009900990099009</v>
      </c>
      <c r="AN1297" s="40"/>
      <c r="AO1297" s="855">
        <v>1</v>
      </c>
      <c r="AP1297" s="855">
        <f t="shared" ref="AP1297" si="5123">AO1297-AK1297</f>
        <v>0</v>
      </c>
      <c r="AV1297" t="str">
        <f t="shared" si="5088"/>
        <v>BDCC no Km 155+722 - Aterro 03</v>
      </c>
      <c r="AW1297" s="4" t="str">
        <f t="shared" si="5086"/>
        <v>2.5-PG BSCC 3,0 x 3,0m - km 150+650 - Aterro A11 - Bueiro de Concreto - LE</v>
      </c>
    </row>
    <row r="1298" spans="1:49" ht="15.6" customHeight="1" outlineLevel="2">
      <c r="A1298" s="598" t="str">
        <f t="shared" ref="A1298" si="5124">A1297</f>
        <v>N</v>
      </c>
      <c r="B1298" s="599"/>
      <c r="C1298" s="599"/>
      <c r="D1298" s="118" t="s">
        <v>1444</v>
      </c>
      <c r="E1298" s="918"/>
      <c r="F1298" s="848"/>
      <c r="G1298" s="40"/>
      <c r="H1298" s="603" t="s">
        <v>38</v>
      </c>
      <c r="I1298" s="504">
        <v>0</v>
      </c>
      <c r="J1298" s="850"/>
      <c r="K1298" s="40"/>
      <c r="L1298" s="603" t="s">
        <v>38</v>
      </c>
      <c r="M1298" s="504">
        <f t="shared" si="4970"/>
        <v>0</v>
      </c>
      <c r="N1298" s="850"/>
      <c r="O1298" s="40"/>
      <c r="P1298" s="602">
        <v>0</v>
      </c>
      <c r="Q1298" s="602">
        <v>0</v>
      </c>
      <c r="R1298" s="602">
        <v>0</v>
      </c>
      <c r="S1298" s="602">
        <v>0</v>
      </c>
      <c r="T1298" s="602">
        <v>0</v>
      </c>
      <c r="U1298" s="602">
        <v>0</v>
      </c>
      <c r="V1298" s="602">
        <v>0</v>
      </c>
      <c r="W1298" s="40"/>
      <c r="X1298" s="504">
        <f t="shared" si="5005"/>
        <v>0</v>
      </c>
      <c r="Y1298" s="850"/>
      <c r="Z1298" s="40"/>
      <c r="AA1298" s="856"/>
      <c r="AB1298" s="856"/>
      <c r="AC1298" s="857"/>
      <c r="AD1298" s="920"/>
      <c r="AE1298" s="40"/>
      <c r="AF1298" s="856"/>
      <c r="AG1298" s="856"/>
      <c r="AH1298" s="857"/>
      <c r="AI1298" s="856"/>
      <c r="AJ1298" s="856"/>
      <c r="AK1298" s="856"/>
      <c r="AL1298" s="856"/>
      <c r="AM1298" s="850"/>
      <c r="AN1298" s="40"/>
      <c r="AO1298" s="882"/>
      <c r="AP1298" s="882"/>
      <c r="AV1298" t="str">
        <f t="shared" si="5088"/>
        <v>BDCC no Km 155+722 - Aterro 03</v>
      </c>
      <c r="AW1298" s="4" t="str">
        <f t="shared" si="5086"/>
        <v>2.5-PG BSCC 3,0 x 3,0m - km 150+650 - Aterro A11 - Bueiro de Concreto - LE</v>
      </c>
    </row>
    <row r="1299" spans="1:49" ht="15.6" customHeight="1" outlineLevel="2">
      <c r="A1299" s="598" t="str">
        <f t="shared" ref="A1299" si="5125">IF(SUM(P1299:V1300)&gt;0,"S","N")</f>
        <v>N</v>
      </c>
      <c r="B1299" s="599">
        <v>1064428</v>
      </c>
      <c r="C1299" s="599" t="s">
        <v>1622</v>
      </c>
      <c r="D1299" s="118" t="s">
        <v>1370</v>
      </c>
      <c r="E1299" s="917" t="s">
        <v>1623</v>
      </c>
      <c r="F1299" s="848" t="s">
        <v>1437</v>
      </c>
      <c r="G1299" s="40"/>
      <c r="H1299" s="600" t="s">
        <v>37</v>
      </c>
      <c r="I1299" s="504">
        <v>0</v>
      </c>
      <c r="J1299" s="849" t="str">
        <f t="shared" ref="J1299" si="5126">IFERROR((I1300/I1299),"-")</f>
        <v>-</v>
      </c>
      <c r="K1299" s="40"/>
      <c r="L1299" s="600" t="s">
        <v>37</v>
      </c>
      <c r="M1299" s="504">
        <f t="shared" si="4970"/>
        <v>0</v>
      </c>
      <c r="N1299" s="849" t="str">
        <f t="shared" ref="N1299" si="5127">IFERROR((M1300/M1299),"-")</f>
        <v>-</v>
      </c>
      <c r="O1299" s="40"/>
      <c r="P1299" s="602">
        <v>0</v>
      </c>
      <c r="Q1299" s="602">
        <v>0</v>
      </c>
      <c r="R1299" s="602">
        <v>0</v>
      </c>
      <c r="S1299" s="602">
        <v>0</v>
      </c>
      <c r="T1299" s="602">
        <v>0</v>
      </c>
      <c r="U1299" s="602">
        <v>0</v>
      </c>
      <c r="V1299" s="602">
        <v>0</v>
      </c>
      <c r="W1299" s="40"/>
      <c r="X1299" s="504">
        <f t="shared" si="5005"/>
        <v>0</v>
      </c>
      <c r="Y1299" s="849" t="str">
        <f t="shared" ref="Y1299" si="5128">IFERROR((X1300/X1299),"0")</f>
        <v>0</v>
      </c>
      <c r="Z1299" s="40"/>
      <c r="AA1299" s="855">
        <v>0</v>
      </c>
      <c r="AB1299" s="855">
        <v>0</v>
      </c>
      <c r="AC1299" s="858">
        <v>0</v>
      </c>
      <c r="AD1299" s="849" t="str">
        <f t="shared" ref="AD1299" si="5129">IFERROR((AC1299/AB1299),"-")</f>
        <v>-</v>
      </c>
      <c r="AE1299" s="40"/>
      <c r="AF1299" s="855">
        <v>1</v>
      </c>
      <c r="AG1299" s="855"/>
      <c r="AH1299" s="858">
        <v>0</v>
      </c>
      <c r="AI1299" s="855"/>
      <c r="AJ1299" s="855"/>
      <c r="AK1299" s="855">
        <f t="shared" ref="AK1299" si="5130">AF1299+AG1299+AH1299+AI1299+AJ1299+AC1299</f>
        <v>1</v>
      </c>
      <c r="AL1299" s="855">
        <v>1.01</v>
      </c>
      <c r="AM1299" s="849">
        <f t="shared" ref="AM1299" si="5131">IFERROR((AK1299/AL1299),"-")</f>
        <v>0.99009900990099009</v>
      </c>
      <c r="AN1299" s="40"/>
      <c r="AO1299" s="855">
        <v>1</v>
      </c>
      <c r="AP1299" s="855">
        <f t="shared" ref="AP1299" si="5132">AO1299-AK1299</f>
        <v>0</v>
      </c>
      <c r="AV1299" t="str">
        <f t="shared" si="5088"/>
        <v>BDCC no Km 155+722 - Aterro 03</v>
      </c>
      <c r="AW1299" s="4" t="str">
        <f t="shared" si="5086"/>
        <v>2.5-PG BSCC 3,0 x 3,0m - km 150+650 - Aterro A11 - Bueiro de Concreto - LD</v>
      </c>
    </row>
    <row r="1300" spans="1:49" ht="15.6" customHeight="1" outlineLevel="2">
      <c r="A1300" s="598" t="str">
        <f t="shared" ref="A1300" si="5133">A1299</f>
        <v>N</v>
      </c>
      <c r="B1300" s="599"/>
      <c r="C1300" s="599"/>
      <c r="D1300" s="118" t="s">
        <v>1441</v>
      </c>
      <c r="E1300" s="918"/>
      <c r="F1300" s="848"/>
      <c r="G1300" s="40"/>
      <c r="H1300" s="603" t="s">
        <v>38</v>
      </c>
      <c r="I1300" s="504">
        <v>0</v>
      </c>
      <c r="J1300" s="850"/>
      <c r="K1300" s="40"/>
      <c r="L1300" s="603" t="s">
        <v>38</v>
      </c>
      <c r="M1300" s="504">
        <f t="shared" si="4970"/>
        <v>0</v>
      </c>
      <c r="N1300" s="850"/>
      <c r="O1300" s="40"/>
      <c r="P1300" s="602">
        <v>0</v>
      </c>
      <c r="Q1300" s="602">
        <v>0</v>
      </c>
      <c r="R1300" s="602">
        <v>0</v>
      </c>
      <c r="S1300" s="602">
        <v>0</v>
      </c>
      <c r="T1300" s="602">
        <v>0</v>
      </c>
      <c r="U1300" s="602">
        <v>0</v>
      </c>
      <c r="V1300" s="602">
        <v>0</v>
      </c>
      <c r="W1300" s="40"/>
      <c r="X1300" s="504">
        <f t="shared" si="5005"/>
        <v>0</v>
      </c>
      <c r="Y1300" s="850"/>
      <c r="Z1300" s="40"/>
      <c r="AA1300" s="856"/>
      <c r="AB1300" s="856"/>
      <c r="AC1300" s="857"/>
      <c r="AD1300" s="920"/>
      <c r="AE1300" s="40"/>
      <c r="AF1300" s="856"/>
      <c r="AG1300" s="856"/>
      <c r="AH1300" s="857"/>
      <c r="AI1300" s="856"/>
      <c r="AJ1300" s="856"/>
      <c r="AK1300" s="856"/>
      <c r="AL1300" s="856"/>
      <c r="AM1300" s="850"/>
      <c r="AN1300" s="40"/>
      <c r="AO1300" s="882"/>
      <c r="AP1300" s="882"/>
      <c r="AV1300" t="str">
        <f t="shared" si="5088"/>
        <v>BDCC no Km 155+722 - Aterro 03</v>
      </c>
      <c r="AW1300" s="4" t="str">
        <f t="shared" si="5086"/>
        <v>2.5-PG BSCC 3,0 x 3,0m - km 150+650 - Aterro A11 - Bueiro de Concreto - LD</v>
      </c>
    </row>
    <row r="1301" spans="1:49" ht="15.6" customHeight="1" outlineLevel="2">
      <c r="A1301" s="598" t="str">
        <f t="shared" ref="A1301" si="5134">IF(SUM(P1301:V1302)&gt;0,"S","N")</f>
        <v>N</v>
      </c>
      <c r="B1301" s="599">
        <v>1064434</v>
      </c>
      <c r="C1301" s="599" t="s">
        <v>1624</v>
      </c>
      <c r="D1301" s="118" t="s">
        <v>1625</v>
      </c>
      <c r="E1301" s="917" t="s">
        <v>1626</v>
      </c>
      <c r="F1301" s="848" t="s">
        <v>1437</v>
      </c>
      <c r="G1301" s="40"/>
      <c r="H1301" s="600" t="s">
        <v>37</v>
      </c>
      <c r="I1301" s="504">
        <v>0</v>
      </c>
      <c r="J1301" s="849" t="str">
        <f t="shared" ref="J1301" si="5135">IFERROR((I1302/I1301),"-")</f>
        <v>-</v>
      </c>
      <c r="K1301" s="40"/>
      <c r="L1301" s="600" t="s">
        <v>37</v>
      </c>
      <c r="M1301" s="504">
        <f t="shared" si="4970"/>
        <v>0</v>
      </c>
      <c r="N1301" s="849" t="str">
        <f t="shared" ref="N1301" si="5136">IFERROR((M1302/M1301),"-")</f>
        <v>-</v>
      </c>
      <c r="O1301" s="40"/>
      <c r="P1301" s="602">
        <v>0</v>
      </c>
      <c r="Q1301" s="602">
        <v>0</v>
      </c>
      <c r="R1301" s="602">
        <v>0</v>
      </c>
      <c r="S1301" s="602">
        <v>0</v>
      </c>
      <c r="T1301" s="602">
        <v>0</v>
      </c>
      <c r="U1301" s="602">
        <v>0</v>
      </c>
      <c r="V1301" s="602">
        <v>0</v>
      </c>
      <c r="W1301" s="40"/>
      <c r="X1301" s="504">
        <f t="shared" si="5005"/>
        <v>0</v>
      </c>
      <c r="Y1301" s="849" t="str">
        <f t="shared" ref="Y1301" si="5137">IFERROR((X1302/X1301),"0")</f>
        <v>0</v>
      </c>
      <c r="Z1301" s="40"/>
      <c r="AA1301" s="855">
        <v>0</v>
      </c>
      <c r="AB1301" s="855">
        <v>0</v>
      </c>
      <c r="AC1301" s="858">
        <v>0</v>
      </c>
      <c r="AD1301" s="849" t="str">
        <f t="shared" ref="AD1301" si="5138">IFERROR((AC1301/AB1301),"-")</f>
        <v>-</v>
      </c>
      <c r="AE1301" s="40"/>
      <c r="AF1301" s="855">
        <v>1</v>
      </c>
      <c r="AG1301" s="855"/>
      <c r="AH1301" s="858">
        <v>0</v>
      </c>
      <c r="AI1301" s="855"/>
      <c r="AJ1301" s="855"/>
      <c r="AK1301" s="855">
        <f t="shared" ref="AK1301" si="5139">AF1301+AG1301+AH1301+AI1301+AJ1301+AC1301</f>
        <v>1</v>
      </c>
      <c r="AL1301" s="855">
        <v>0.98999999999999988</v>
      </c>
      <c r="AM1301" s="849">
        <f t="shared" ref="AM1301" si="5140">IFERROR((AK1301/AL1301),"-")</f>
        <v>1.0101010101010102</v>
      </c>
      <c r="AN1301" s="40"/>
      <c r="AO1301" s="855">
        <v>1</v>
      </c>
      <c r="AP1301" s="855">
        <f t="shared" ref="AP1301" si="5141">AO1301-AK1301</f>
        <v>0</v>
      </c>
      <c r="AV1301" t="str">
        <f t="shared" si="5088"/>
        <v>BDCC no Km 155+722 - Aterro 03</v>
      </c>
      <c r="AW1301" s="4" t="str">
        <f t="shared" si="5086"/>
        <v>2.5-A12-BSTC DN 1,20m - Km 151+074 - Aterro A12 - Bueiro de Concreto - LE</v>
      </c>
    </row>
    <row r="1302" spans="1:49" ht="15.6" customHeight="1" outlineLevel="2">
      <c r="A1302" s="598" t="str">
        <f t="shared" ref="A1302" si="5142">A1301</f>
        <v>N</v>
      </c>
      <c r="B1302" s="599"/>
      <c r="C1302" s="599"/>
      <c r="D1302" s="118" t="s">
        <v>1444</v>
      </c>
      <c r="E1302" s="918"/>
      <c r="F1302" s="848"/>
      <c r="G1302" s="40"/>
      <c r="H1302" s="603" t="s">
        <v>38</v>
      </c>
      <c r="I1302" s="504">
        <v>0</v>
      </c>
      <c r="J1302" s="850"/>
      <c r="K1302" s="40"/>
      <c r="L1302" s="603" t="s">
        <v>38</v>
      </c>
      <c r="M1302" s="504">
        <f t="shared" si="4970"/>
        <v>0</v>
      </c>
      <c r="N1302" s="850"/>
      <c r="O1302" s="40"/>
      <c r="P1302" s="602">
        <v>0</v>
      </c>
      <c r="Q1302" s="602">
        <v>0</v>
      </c>
      <c r="R1302" s="602">
        <v>0</v>
      </c>
      <c r="S1302" s="602">
        <v>0</v>
      </c>
      <c r="T1302" s="602">
        <v>0</v>
      </c>
      <c r="U1302" s="602">
        <v>0</v>
      </c>
      <c r="V1302" s="602">
        <v>0</v>
      </c>
      <c r="W1302" s="40"/>
      <c r="X1302" s="504">
        <f t="shared" si="5005"/>
        <v>0</v>
      </c>
      <c r="Y1302" s="850"/>
      <c r="Z1302" s="40"/>
      <c r="AA1302" s="856"/>
      <c r="AB1302" s="856"/>
      <c r="AC1302" s="857"/>
      <c r="AD1302" s="920"/>
      <c r="AE1302" s="40"/>
      <c r="AF1302" s="856"/>
      <c r="AG1302" s="856"/>
      <c r="AH1302" s="857"/>
      <c r="AI1302" s="856"/>
      <c r="AJ1302" s="856"/>
      <c r="AK1302" s="856"/>
      <c r="AL1302" s="856"/>
      <c r="AM1302" s="850"/>
      <c r="AN1302" s="40"/>
      <c r="AO1302" s="882"/>
      <c r="AP1302" s="882"/>
      <c r="AV1302" t="str">
        <f t="shared" si="5088"/>
        <v>BDCC no Km 155+722 - Aterro 03</v>
      </c>
      <c r="AW1302" s="4" t="str">
        <f t="shared" si="5086"/>
        <v>2.5-A12-BSTC DN 1,20m - Km 151+074 - Aterro A12 - Bueiro de Concreto - LE</v>
      </c>
    </row>
    <row r="1303" spans="1:49" ht="15.6" customHeight="1" outlineLevel="2">
      <c r="A1303" s="598" t="str">
        <f t="shared" ref="A1303" si="5143">IF(SUM(P1303:V1304)&gt;0,"S","N")</f>
        <v>N</v>
      </c>
      <c r="B1303" s="599">
        <v>1064435</v>
      </c>
      <c r="C1303" s="599" t="s">
        <v>1627</v>
      </c>
      <c r="D1303" s="118" t="s">
        <v>1625</v>
      </c>
      <c r="E1303" s="917" t="s">
        <v>1628</v>
      </c>
      <c r="F1303" s="848" t="s">
        <v>1437</v>
      </c>
      <c r="G1303" s="40"/>
      <c r="H1303" s="600" t="s">
        <v>37</v>
      </c>
      <c r="I1303" s="504">
        <v>0</v>
      </c>
      <c r="J1303" s="849" t="str">
        <f t="shared" ref="J1303" si="5144">IFERROR((I1304/I1303),"-")</f>
        <v>-</v>
      </c>
      <c r="K1303" s="40"/>
      <c r="L1303" s="600" t="s">
        <v>37</v>
      </c>
      <c r="M1303" s="504">
        <f t="shared" si="4970"/>
        <v>0</v>
      </c>
      <c r="N1303" s="849" t="str">
        <f t="shared" ref="N1303" si="5145">IFERROR((M1304/M1303),"-")</f>
        <v>-</v>
      </c>
      <c r="O1303" s="40"/>
      <c r="P1303" s="602">
        <v>0</v>
      </c>
      <c r="Q1303" s="602">
        <v>0</v>
      </c>
      <c r="R1303" s="602">
        <v>0</v>
      </c>
      <c r="S1303" s="602">
        <v>0</v>
      </c>
      <c r="T1303" s="602">
        <v>0</v>
      </c>
      <c r="U1303" s="602">
        <v>0</v>
      </c>
      <c r="V1303" s="602">
        <v>0</v>
      </c>
      <c r="W1303" s="40"/>
      <c r="X1303" s="504">
        <f t="shared" si="5005"/>
        <v>0</v>
      </c>
      <c r="Y1303" s="849" t="str">
        <f t="shared" ref="Y1303" si="5146">IFERROR((X1304/X1303),"0")</f>
        <v>0</v>
      </c>
      <c r="Z1303" s="40"/>
      <c r="AA1303" s="855">
        <v>0</v>
      </c>
      <c r="AB1303" s="855">
        <v>0</v>
      </c>
      <c r="AC1303" s="858">
        <v>0</v>
      </c>
      <c r="AD1303" s="849" t="str">
        <f t="shared" ref="AD1303" si="5147">IFERROR((AC1303/AB1303),"-")</f>
        <v>-</v>
      </c>
      <c r="AE1303" s="40"/>
      <c r="AF1303" s="855">
        <v>1</v>
      </c>
      <c r="AG1303" s="855"/>
      <c r="AH1303" s="858">
        <v>0</v>
      </c>
      <c r="AI1303" s="855"/>
      <c r="AJ1303" s="855"/>
      <c r="AK1303" s="855">
        <f t="shared" ref="AK1303" si="5148">AF1303+AG1303+AH1303+AI1303+AJ1303+AC1303</f>
        <v>1</v>
      </c>
      <c r="AL1303" s="855">
        <v>0.9900000000000001</v>
      </c>
      <c r="AM1303" s="849">
        <f t="shared" ref="AM1303" si="5149">IFERROR((AK1303/AL1303),"-")</f>
        <v>1.0101010101010099</v>
      </c>
      <c r="AN1303" s="40"/>
      <c r="AO1303" s="855">
        <v>1</v>
      </c>
      <c r="AP1303" s="855">
        <f t="shared" ref="AP1303" si="5150">AO1303-AK1303</f>
        <v>0</v>
      </c>
      <c r="AV1303" t="str">
        <f t="shared" si="5088"/>
        <v>BDCC no Km 155+722 - Aterro 03</v>
      </c>
      <c r="AW1303" s="4" t="str">
        <f t="shared" si="5086"/>
        <v>2.5-A12-BSTC DN 1,20m - Km 151+074 - Aterro A12 - Bueiro de Concreto - LD</v>
      </c>
    </row>
    <row r="1304" spans="1:49" ht="15.6" customHeight="1" outlineLevel="2">
      <c r="A1304" s="598" t="str">
        <f t="shared" ref="A1304" si="5151">A1303</f>
        <v>N</v>
      </c>
      <c r="B1304" s="599"/>
      <c r="C1304" s="599"/>
      <c r="D1304" s="118" t="s">
        <v>1441</v>
      </c>
      <c r="E1304" s="918"/>
      <c r="F1304" s="848"/>
      <c r="G1304" s="40"/>
      <c r="H1304" s="603" t="s">
        <v>38</v>
      </c>
      <c r="I1304" s="504">
        <v>0</v>
      </c>
      <c r="J1304" s="850"/>
      <c r="K1304" s="40"/>
      <c r="L1304" s="603" t="s">
        <v>38</v>
      </c>
      <c r="M1304" s="504">
        <f t="shared" si="4970"/>
        <v>0</v>
      </c>
      <c r="N1304" s="850"/>
      <c r="O1304" s="40"/>
      <c r="P1304" s="602">
        <v>0</v>
      </c>
      <c r="Q1304" s="602">
        <v>0</v>
      </c>
      <c r="R1304" s="602">
        <v>0</v>
      </c>
      <c r="S1304" s="602">
        <v>0</v>
      </c>
      <c r="T1304" s="602">
        <v>0</v>
      </c>
      <c r="U1304" s="602">
        <v>0</v>
      </c>
      <c r="V1304" s="602">
        <v>0</v>
      </c>
      <c r="W1304" s="40"/>
      <c r="X1304" s="504">
        <f t="shared" si="5005"/>
        <v>0</v>
      </c>
      <c r="Y1304" s="850"/>
      <c r="Z1304" s="40"/>
      <c r="AA1304" s="856"/>
      <c r="AB1304" s="856"/>
      <c r="AC1304" s="857"/>
      <c r="AD1304" s="920"/>
      <c r="AE1304" s="40"/>
      <c r="AF1304" s="856"/>
      <c r="AG1304" s="856"/>
      <c r="AH1304" s="857"/>
      <c r="AI1304" s="856"/>
      <c r="AJ1304" s="856"/>
      <c r="AK1304" s="856"/>
      <c r="AL1304" s="856"/>
      <c r="AM1304" s="850"/>
      <c r="AN1304" s="40"/>
      <c r="AO1304" s="882"/>
      <c r="AP1304" s="882"/>
      <c r="AV1304" t="str">
        <f t="shared" si="5088"/>
        <v>BDCC no Km 155+722 - Aterro 03</v>
      </c>
      <c r="AW1304" s="4" t="str">
        <f t="shared" si="5086"/>
        <v>2.5-A12-BSTC DN 1,20m - Km 151+074 - Aterro A12 - Bueiro de Concreto - LD</v>
      </c>
    </row>
    <row r="1305" spans="1:49" ht="15.6" customHeight="1" outlineLevel="2">
      <c r="A1305" s="598" t="str">
        <f t="shared" ref="A1305" si="5152">IF(SUM(P1305:V1306)&gt;0,"S","N")</f>
        <v>N</v>
      </c>
      <c r="B1305" s="599">
        <v>1064442</v>
      </c>
      <c r="C1305" s="599" t="s">
        <v>1629</v>
      </c>
      <c r="D1305" s="118" t="s">
        <v>1374</v>
      </c>
      <c r="E1305" s="917" t="s">
        <v>1630</v>
      </c>
      <c r="F1305" s="848" t="s">
        <v>1437</v>
      </c>
      <c r="G1305" s="40"/>
      <c r="H1305" s="600" t="s">
        <v>37</v>
      </c>
      <c r="I1305" s="504">
        <v>0</v>
      </c>
      <c r="J1305" s="849" t="str">
        <f t="shared" ref="J1305" si="5153">IFERROR((I1306/I1305),"-")</f>
        <v>-</v>
      </c>
      <c r="K1305" s="40"/>
      <c r="L1305" s="600" t="s">
        <v>37</v>
      </c>
      <c r="M1305" s="504">
        <f t="shared" si="4970"/>
        <v>0</v>
      </c>
      <c r="N1305" s="849" t="str">
        <f t="shared" ref="N1305" si="5154">IFERROR((M1306/M1305),"-")</f>
        <v>-</v>
      </c>
      <c r="O1305" s="40"/>
      <c r="P1305" s="602">
        <v>0</v>
      </c>
      <c r="Q1305" s="602">
        <v>0</v>
      </c>
      <c r="R1305" s="602">
        <v>0</v>
      </c>
      <c r="S1305" s="602">
        <v>0</v>
      </c>
      <c r="T1305" s="602">
        <v>0</v>
      </c>
      <c r="U1305" s="602">
        <v>0</v>
      </c>
      <c r="V1305" s="602">
        <v>0</v>
      </c>
      <c r="W1305" s="40"/>
      <c r="X1305" s="504">
        <f t="shared" si="5005"/>
        <v>0</v>
      </c>
      <c r="Y1305" s="849" t="str">
        <f t="shared" ref="Y1305" si="5155">IFERROR((X1306/X1305),"0")</f>
        <v>0</v>
      </c>
      <c r="Z1305" s="40"/>
      <c r="AA1305" s="855">
        <v>0</v>
      </c>
      <c r="AB1305" s="855">
        <v>0</v>
      </c>
      <c r="AC1305" s="858">
        <v>0</v>
      </c>
      <c r="AD1305" s="849" t="str">
        <f t="shared" ref="AD1305" si="5156">IFERROR((AC1305/AB1305),"-")</f>
        <v>-</v>
      </c>
      <c r="AE1305" s="40"/>
      <c r="AF1305" s="855">
        <v>1</v>
      </c>
      <c r="AG1305" s="855"/>
      <c r="AH1305" s="858">
        <v>0</v>
      </c>
      <c r="AI1305" s="855"/>
      <c r="AJ1305" s="855"/>
      <c r="AK1305" s="855">
        <f t="shared" ref="AK1305" si="5157">AF1305+AG1305+AH1305+AI1305+AJ1305+AC1305</f>
        <v>1</v>
      </c>
      <c r="AL1305" s="855">
        <v>1</v>
      </c>
      <c r="AM1305" s="849">
        <f t="shared" ref="AM1305" si="5158">IFERROR((AK1305/AL1305),"-")</f>
        <v>1</v>
      </c>
      <c r="AN1305" s="40"/>
      <c r="AO1305" s="855">
        <v>1</v>
      </c>
      <c r="AP1305" s="855">
        <f t="shared" ref="AP1305" si="5159">AO1305-AK1305</f>
        <v>0</v>
      </c>
      <c r="AV1305" t="str">
        <f t="shared" si="5088"/>
        <v>BDCC no Km 155+722 - Aterro 03</v>
      </c>
      <c r="AW1305" s="4" t="str">
        <f t="shared" si="5086"/>
        <v>2.5-BST PEAD DN 1,20m - Km 151+407 - Aterro A13 - Bueiro de PEAD - LE</v>
      </c>
    </row>
    <row r="1306" spans="1:49" ht="15.6" customHeight="1" outlineLevel="2">
      <c r="A1306" s="598" t="str">
        <f t="shared" ref="A1306" si="5160">A1305</f>
        <v>N</v>
      </c>
      <c r="B1306" s="599"/>
      <c r="C1306" s="599"/>
      <c r="D1306" s="118" t="s">
        <v>1444</v>
      </c>
      <c r="E1306" s="918"/>
      <c r="F1306" s="848"/>
      <c r="G1306" s="40"/>
      <c r="H1306" s="603" t="s">
        <v>38</v>
      </c>
      <c r="I1306" s="504">
        <v>0</v>
      </c>
      <c r="J1306" s="850"/>
      <c r="K1306" s="40"/>
      <c r="L1306" s="603" t="s">
        <v>38</v>
      </c>
      <c r="M1306" s="504">
        <f t="shared" si="4970"/>
        <v>0</v>
      </c>
      <c r="N1306" s="850"/>
      <c r="O1306" s="40"/>
      <c r="P1306" s="602">
        <v>0</v>
      </c>
      <c r="Q1306" s="602">
        <v>0</v>
      </c>
      <c r="R1306" s="602">
        <v>0</v>
      </c>
      <c r="S1306" s="602">
        <v>0</v>
      </c>
      <c r="T1306" s="602">
        <v>0</v>
      </c>
      <c r="U1306" s="602">
        <v>0</v>
      </c>
      <c r="V1306" s="602">
        <v>0</v>
      </c>
      <c r="W1306" s="40"/>
      <c r="X1306" s="504">
        <f t="shared" si="5005"/>
        <v>0</v>
      </c>
      <c r="Y1306" s="850"/>
      <c r="Z1306" s="40"/>
      <c r="AA1306" s="856"/>
      <c r="AB1306" s="856"/>
      <c r="AC1306" s="857"/>
      <c r="AD1306" s="920"/>
      <c r="AE1306" s="40"/>
      <c r="AF1306" s="856"/>
      <c r="AG1306" s="856"/>
      <c r="AH1306" s="857"/>
      <c r="AI1306" s="856"/>
      <c r="AJ1306" s="856"/>
      <c r="AK1306" s="856"/>
      <c r="AL1306" s="856"/>
      <c r="AM1306" s="850"/>
      <c r="AN1306" s="40"/>
      <c r="AO1306" s="882"/>
      <c r="AP1306" s="882"/>
      <c r="AV1306" t="str">
        <f t="shared" si="5088"/>
        <v>BDCC no Km 155+722 - Aterro 03</v>
      </c>
      <c r="AW1306" s="4" t="str">
        <f t="shared" si="5086"/>
        <v>2.5-BST PEAD DN 1,20m - Km 151+407 - Aterro A13 - Bueiro de PEAD - LE</v>
      </c>
    </row>
    <row r="1307" spans="1:49" ht="15.6" customHeight="1" outlineLevel="2">
      <c r="A1307" s="598" t="str">
        <f t="shared" ref="A1307" si="5161">IF(SUM(P1307:V1308)&gt;0,"S","N")</f>
        <v>N</v>
      </c>
      <c r="B1307" s="599">
        <v>1064443</v>
      </c>
      <c r="C1307" s="599" t="s">
        <v>1631</v>
      </c>
      <c r="D1307" s="118" t="s">
        <v>1374</v>
      </c>
      <c r="E1307" s="917" t="s">
        <v>1632</v>
      </c>
      <c r="F1307" s="848" t="s">
        <v>1437</v>
      </c>
      <c r="G1307" s="40"/>
      <c r="H1307" s="600" t="s">
        <v>37</v>
      </c>
      <c r="I1307" s="504">
        <v>0</v>
      </c>
      <c r="J1307" s="849" t="str">
        <f t="shared" ref="J1307" si="5162">IFERROR((I1308/I1307),"-")</f>
        <v>-</v>
      </c>
      <c r="K1307" s="40"/>
      <c r="L1307" s="600" t="s">
        <v>37</v>
      </c>
      <c r="M1307" s="504">
        <f t="shared" si="4970"/>
        <v>0</v>
      </c>
      <c r="N1307" s="849" t="str">
        <f t="shared" ref="N1307" si="5163">IFERROR((M1308/M1307),"-")</f>
        <v>-</v>
      </c>
      <c r="O1307" s="40"/>
      <c r="P1307" s="602">
        <v>0</v>
      </c>
      <c r="Q1307" s="602">
        <v>0</v>
      </c>
      <c r="R1307" s="602">
        <v>0</v>
      </c>
      <c r="S1307" s="602">
        <v>0</v>
      </c>
      <c r="T1307" s="602">
        <v>0</v>
      </c>
      <c r="U1307" s="602">
        <v>0</v>
      </c>
      <c r="V1307" s="602">
        <v>0</v>
      </c>
      <c r="W1307" s="40"/>
      <c r="X1307" s="504">
        <f t="shared" si="5005"/>
        <v>0</v>
      </c>
      <c r="Y1307" s="849" t="str">
        <f t="shared" ref="Y1307" si="5164">IFERROR((X1308/X1307),"0")</f>
        <v>0</v>
      </c>
      <c r="Z1307" s="40"/>
      <c r="AA1307" s="855">
        <v>0</v>
      </c>
      <c r="AB1307" s="855">
        <v>0</v>
      </c>
      <c r="AC1307" s="858">
        <v>0</v>
      </c>
      <c r="AD1307" s="849" t="str">
        <f t="shared" ref="AD1307" si="5165">IFERROR((AC1307/AB1307),"-")</f>
        <v>-</v>
      </c>
      <c r="AE1307" s="40"/>
      <c r="AF1307" s="855">
        <v>1</v>
      </c>
      <c r="AG1307" s="855"/>
      <c r="AH1307" s="858">
        <v>0</v>
      </c>
      <c r="AI1307" s="855"/>
      <c r="AJ1307" s="855"/>
      <c r="AK1307" s="855">
        <f t="shared" ref="AK1307" si="5166">AF1307+AG1307+AH1307+AI1307+AJ1307+AC1307</f>
        <v>1</v>
      </c>
      <c r="AL1307" s="855">
        <v>1</v>
      </c>
      <c r="AM1307" s="849">
        <f t="shared" ref="AM1307" si="5167">IFERROR((AK1307/AL1307),"-")</f>
        <v>1</v>
      </c>
      <c r="AN1307" s="40"/>
      <c r="AO1307" s="855">
        <v>1</v>
      </c>
      <c r="AP1307" s="855">
        <f t="shared" ref="AP1307" si="5168">AO1307-AK1307</f>
        <v>0</v>
      </c>
      <c r="AV1307" t="str">
        <f t="shared" si="5088"/>
        <v>BDCC no Km 155+722 - Aterro 03</v>
      </c>
      <c r="AW1307" s="4" t="str">
        <f t="shared" si="5086"/>
        <v>2.5-BST PEAD DN 1,20m - Km 151+407 - Aterro A13 - Bueiro de PEAD - LD</v>
      </c>
    </row>
    <row r="1308" spans="1:49" ht="15.6" customHeight="1" outlineLevel="2">
      <c r="A1308" s="598" t="str">
        <f t="shared" ref="A1308" si="5169">A1307</f>
        <v>N</v>
      </c>
      <c r="B1308" s="599"/>
      <c r="C1308" s="599"/>
      <c r="D1308" s="118" t="s">
        <v>1441</v>
      </c>
      <c r="E1308" s="918"/>
      <c r="F1308" s="848"/>
      <c r="G1308" s="40"/>
      <c r="H1308" s="603" t="s">
        <v>38</v>
      </c>
      <c r="I1308" s="504">
        <v>0</v>
      </c>
      <c r="J1308" s="850"/>
      <c r="K1308" s="40"/>
      <c r="L1308" s="603" t="s">
        <v>38</v>
      </c>
      <c r="M1308" s="504">
        <f t="shared" si="4970"/>
        <v>0</v>
      </c>
      <c r="N1308" s="850"/>
      <c r="O1308" s="40"/>
      <c r="P1308" s="602">
        <v>0</v>
      </c>
      <c r="Q1308" s="602">
        <v>0</v>
      </c>
      <c r="R1308" s="602">
        <v>0</v>
      </c>
      <c r="S1308" s="602">
        <v>0</v>
      </c>
      <c r="T1308" s="602">
        <v>0</v>
      </c>
      <c r="U1308" s="602">
        <v>0</v>
      </c>
      <c r="V1308" s="602">
        <v>0</v>
      </c>
      <c r="W1308" s="40"/>
      <c r="X1308" s="504">
        <f t="shared" si="5005"/>
        <v>0</v>
      </c>
      <c r="Y1308" s="850"/>
      <c r="Z1308" s="40"/>
      <c r="AA1308" s="856"/>
      <c r="AB1308" s="856"/>
      <c r="AC1308" s="857"/>
      <c r="AD1308" s="920"/>
      <c r="AE1308" s="40"/>
      <c r="AF1308" s="856"/>
      <c r="AG1308" s="856"/>
      <c r="AH1308" s="857"/>
      <c r="AI1308" s="856"/>
      <c r="AJ1308" s="856"/>
      <c r="AK1308" s="856"/>
      <c r="AL1308" s="856"/>
      <c r="AM1308" s="850"/>
      <c r="AN1308" s="40"/>
      <c r="AO1308" s="882"/>
      <c r="AP1308" s="882"/>
      <c r="AV1308" t="str">
        <f t="shared" si="5088"/>
        <v>BDCC no Km 155+722 - Aterro 03</v>
      </c>
      <c r="AW1308" s="4" t="str">
        <f t="shared" si="5086"/>
        <v>2.5-BST PEAD DN 1,20m - Km 151+407 - Aterro A13 - Bueiro de PEAD - LD</v>
      </c>
    </row>
    <row r="1309" spans="1:49" ht="15.6" customHeight="1" outlineLevel="2">
      <c r="A1309" s="604" t="str">
        <f t="shared" ref="A1309" si="5170">IF(SUM(P1309:V1310)&gt;0,"S","N")</f>
        <v>N</v>
      </c>
      <c r="B1309" s="599">
        <v>1064450</v>
      </c>
      <c r="C1309" s="599" t="s">
        <v>1633</v>
      </c>
      <c r="D1309" s="118" t="s">
        <v>1376</v>
      </c>
      <c r="E1309" s="917" t="s">
        <v>1634</v>
      </c>
      <c r="F1309" s="848" t="s">
        <v>1437</v>
      </c>
      <c r="G1309" s="40"/>
      <c r="H1309" s="600" t="s">
        <v>37</v>
      </c>
      <c r="I1309" s="504">
        <v>0</v>
      </c>
      <c r="J1309" s="849" t="str">
        <f t="shared" ref="J1309" si="5171">IFERROR((I1310/I1309),"-")</f>
        <v>-</v>
      </c>
      <c r="K1309" s="40"/>
      <c r="L1309" s="600" t="s">
        <v>37</v>
      </c>
      <c r="M1309" s="504">
        <f t="shared" si="4970"/>
        <v>0</v>
      </c>
      <c r="N1309" s="849" t="str">
        <f t="shared" ref="N1309" si="5172">IFERROR((M1310/M1309),"-")</f>
        <v>-</v>
      </c>
      <c r="O1309" s="40"/>
      <c r="P1309" s="602">
        <v>0</v>
      </c>
      <c r="Q1309" s="602">
        <v>0</v>
      </c>
      <c r="R1309" s="602">
        <v>0</v>
      </c>
      <c r="S1309" s="602">
        <v>0</v>
      </c>
      <c r="T1309" s="602">
        <v>0</v>
      </c>
      <c r="U1309" s="602">
        <v>0</v>
      </c>
      <c r="V1309" s="602">
        <v>0</v>
      </c>
      <c r="W1309" s="40"/>
      <c r="X1309" s="504">
        <f t="shared" si="5005"/>
        <v>0</v>
      </c>
      <c r="Y1309" s="849" t="str">
        <f t="shared" ref="Y1309" si="5173">IFERROR((X1310/X1309),"0")</f>
        <v>0</v>
      </c>
      <c r="Z1309" s="40"/>
      <c r="AA1309" s="855">
        <v>1</v>
      </c>
      <c r="AB1309" s="855">
        <v>1</v>
      </c>
      <c r="AC1309" s="858">
        <v>0</v>
      </c>
      <c r="AD1309" s="849">
        <f t="shared" ref="AD1309" si="5174">IFERROR((AC1309/AB1309),"-")</f>
        <v>0</v>
      </c>
      <c r="AE1309" s="40"/>
      <c r="AF1309" s="855">
        <v>0</v>
      </c>
      <c r="AG1309" s="855"/>
      <c r="AH1309" s="858">
        <v>0</v>
      </c>
      <c r="AI1309" s="855"/>
      <c r="AJ1309" s="855"/>
      <c r="AK1309" s="855">
        <f t="shared" ref="AK1309" si="5175">AF1309+AG1309+AH1309+AI1309+AJ1309+AC1309</f>
        <v>0</v>
      </c>
      <c r="AL1309" s="855">
        <v>1</v>
      </c>
      <c r="AM1309" s="849">
        <f t="shared" ref="AM1309" si="5176">IFERROR((AK1309/AL1309),"-")</f>
        <v>0</v>
      </c>
      <c r="AN1309" s="40"/>
      <c r="AO1309" s="855">
        <v>1</v>
      </c>
      <c r="AP1309" s="855">
        <f t="shared" ref="AP1309" si="5177">AO1309-AK1309</f>
        <v>1</v>
      </c>
      <c r="AV1309" t="str">
        <f t="shared" si="5088"/>
        <v>BDCC no Km 155+722 - Aterro 03</v>
      </c>
      <c r="AW1309" s="4" t="str">
        <f t="shared" si="5086"/>
        <v>2.5-BSCC 3,50 x 3,50 m - Km 152+800 -Aterro A13 - Bueiro de Concreto - LE</v>
      </c>
    </row>
    <row r="1310" spans="1:49" ht="15.6" customHeight="1" outlineLevel="2">
      <c r="A1310" s="604" t="str">
        <f t="shared" ref="A1310" si="5178">A1309</f>
        <v>N</v>
      </c>
      <c r="B1310" s="599"/>
      <c r="C1310" s="599"/>
      <c r="D1310" s="118" t="s">
        <v>1444</v>
      </c>
      <c r="E1310" s="918"/>
      <c r="F1310" s="848"/>
      <c r="G1310" s="40"/>
      <c r="H1310" s="603" t="s">
        <v>38</v>
      </c>
      <c r="I1310" s="504">
        <v>0</v>
      </c>
      <c r="J1310" s="850"/>
      <c r="K1310" s="40"/>
      <c r="L1310" s="603" t="s">
        <v>38</v>
      </c>
      <c r="M1310" s="504">
        <f t="shared" si="4970"/>
        <v>0</v>
      </c>
      <c r="N1310" s="850"/>
      <c r="O1310" s="40"/>
      <c r="P1310" s="606">
        <v>0</v>
      </c>
      <c r="Q1310" s="602">
        <v>0</v>
      </c>
      <c r="R1310" s="602">
        <v>0</v>
      </c>
      <c r="S1310" s="602">
        <v>0</v>
      </c>
      <c r="T1310" s="602">
        <v>0</v>
      </c>
      <c r="U1310" s="602">
        <v>0</v>
      </c>
      <c r="V1310" s="602">
        <v>0</v>
      </c>
      <c r="W1310" s="40"/>
      <c r="X1310" s="504">
        <f t="shared" si="5005"/>
        <v>0</v>
      </c>
      <c r="Y1310" s="850"/>
      <c r="Z1310" s="40"/>
      <c r="AA1310" s="856"/>
      <c r="AB1310" s="856"/>
      <c r="AC1310" s="857"/>
      <c r="AD1310" s="920"/>
      <c r="AE1310" s="40"/>
      <c r="AF1310" s="856"/>
      <c r="AG1310" s="856"/>
      <c r="AH1310" s="857"/>
      <c r="AI1310" s="856"/>
      <c r="AJ1310" s="856"/>
      <c r="AK1310" s="856"/>
      <c r="AL1310" s="856"/>
      <c r="AM1310" s="850"/>
      <c r="AN1310" s="40"/>
      <c r="AO1310" s="882"/>
      <c r="AP1310" s="882"/>
      <c r="AV1310" t="str">
        <f t="shared" si="5088"/>
        <v>BDCC no Km 155+722 - Aterro 03</v>
      </c>
      <c r="AW1310" s="4" t="str">
        <f t="shared" si="5086"/>
        <v>2.5-BSCC 3,50 x 3,50 m - Km 152+800 -Aterro A13 - Bueiro de Concreto - LE</v>
      </c>
    </row>
    <row r="1311" spans="1:49" ht="15.6" customHeight="1" outlineLevel="2">
      <c r="A1311" s="598" t="str">
        <f t="shared" ref="A1311" si="5179">IF(SUM(P1311:V1312)&gt;0,"S","N")</f>
        <v>N</v>
      </c>
      <c r="B1311" s="599">
        <v>1064451</v>
      </c>
      <c r="C1311" s="599" t="s">
        <v>1635</v>
      </c>
      <c r="D1311" s="118" t="s">
        <v>1376</v>
      </c>
      <c r="E1311" s="917" t="s">
        <v>1636</v>
      </c>
      <c r="F1311" s="848" t="s">
        <v>1437</v>
      </c>
      <c r="G1311" s="40"/>
      <c r="H1311" s="600" t="s">
        <v>37</v>
      </c>
      <c r="I1311" s="504">
        <v>0</v>
      </c>
      <c r="J1311" s="849" t="str">
        <f t="shared" ref="J1311" si="5180">IFERROR((I1312/I1311),"-")</f>
        <v>-</v>
      </c>
      <c r="K1311" s="40"/>
      <c r="L1311" s="600" t="s">
        <v>37</v>
      </c>
      <c r="M1311" s="504">
        <f t="shared" si="4970"/>
        <v>0</v>
      </c>
      <c r="N1311" s="849" t="str">
        <f t="shared" ref="N1311" si="5181">IFERROR((M1312/M1311),"-")</f>
        <v>-</v>
      </c>
      <c r="O1311" s="40"/>
      <c r="P1311" s="602">
        <v>0</v>
      </c>
      <c r="Q1311" s="602">
        <v>0</v>
      </c>
      <c r="R1311" s="602">
        <v>0</v>
      </c>
      <c r="S1311" s="602">
        <v>0</v>
      </c>
      <c r="T1311" s="602">
        <v>0</v>
      </c>
      <c r="U1311" s="602">
        <v>0</v>
      </c>
      <c r="V1311" s="602">
        <v>0</v>
      </c>
      <c r="W1311" s="40"/>
      <c r="X1311" s="504">
        <f t="shared" si="5005"/>
        <v>0</v>
      </c>
      <c r="Y1311" s="849" t="str">
        <f t="shared" ref="Y1311" si="5182">IFERROR((X1312/X1311),"0")</f>
        <v>0</v>
      </c>
      <c r="Z1311" s="40"/>
      <c r="AA1311" s="855">
        <v>0</v>
      </c>
      <c r="AB1311" s="855">
        <v>0</v>
      </c>
      <c r="AC1311" s="858">
        <v>0</v>
      </c>
      <c r="AD1311" s="849" t="str">
        <f t="shared" ref="AD1311" si="5183">IFERROR((AC1311/AB1311),"-")</f>
        <v>-</v>
      </c>
      <c r="AE1311" s="40"/>
      <c r="AF1311" s="855">
        <v>0</v>
      </c>
      <c r="AG1311" s="855"/>
      <c r="AH1311" s="858">
        <v>0</v>
      </c>
      <c r="AI1311" s="855"/>
      <c r="AJ1311" s="855"/>
      <c r="AK1311" s="855">
        <f t="shared" ref="AK1311" si="5184">AF1311+AG1311+AH1311+AI1311+AJ1311+AC1311</f>
        <v>0</v>
      </c>
      <c r="AL1311" s="855">
        <v>1.0000000000000002</v>
      </c>
      <c r="AM1311" s="849">
        <f t="shared" ref="AM1311" si="5185">IFERROR((AK1311/AL1311),"-")</f>
        <v>0</v>
      </c>
      <c r="AN1311" s="40"/>
      <c r="AO1311" s="855">
        <v>1</v>
      </c>
      <c r="AP1311" s="855">
        <f t="shared" ref="AP1311" si="5186">AO1311-AK1311</f>
        <v>1</v>
      </c>
      <c r="AV1311" t="str">
        <f t="shared" si="5088"/>
        <v>BDCC no Km 155+722 - Aterro 03</v>
      </c>
      <c r="AW1311" s="4" t="str">
        <f t="shared" si="5086"/>
        <v>2.5-BSCC 3,50 x 3,50 m - Km 152+800 -Aterro A13 - Bueiro de Concreto - LD</v>
      </c>
    </row>
    <row r="1312" spans="1:49" ht="15.6" customHeight="1" outlineLevel="2">
      <c r="A1312" s="598" t="str">
        <f t="shared" ref="A1312" si="5187">A1311</f>
        <v>N</v>
      </c>
      <c r="B1312" s="599"/>
      <c r="C1312" s="599"/>
      <c r="D1312" s="118" t="s">
        <v>1441</v>
      </c>
      <c r="E1312" s="918"/>
      <c r="F1312" s="848"/>
      <c r="G1312" s="40"/>
      <c r="H1312" s="603" t="s">
        <v>38</v>
      </c>
      <c r="I1312" s="504">
        <v>0</v>
      </c>
      <c r="J1312" s="850"/>
      <c r="K1312" s="40"/>
      <c r="L1312" s="603" t="s">
        <v>38</v>
      </c>
      <c r="M1312" s="504">
        <f t="shared" si="4970"/>
        <v>0</v>
      </c>
      <c r="N1312" s="850"/>
      <c r="O1312" s="40"/>
      <c r="P1312" s="602">
        <v>0</v>
      </c>
      <c r="Q1312" s="602">
        <v>0</v>
      </c>
      <c r="R1312" s="602">
        <v>0</v>
      </c>
      <c r="S1312" s="602">
        <v>0</v>
      </c>
      <c r="T1312" s="602">
        <v>0</v>
      </c>
      <c r="U1312" s="602">
        <v>0</v>
      </c>
      <c r="V1312" s="602">
        <v>0</v>
      </c>
      <c r="W1312" s="40"/>
      <c r="X1312" s="504">
        <f t="shared" si="5005"/>
        <v>0</v>
      </c>
      <c r="Y1312" s="850"/>
      <c r="Z1312" s="40"/>
      <c r="AA1312" s="856"/>
      <c r="AB1312" s="856"/>
      <c r="AC1312" s="857"/>
      <c r="AD1312" s="920"/>
      <c r="AE1312" s="40"/>
      <c r="AF1312" s="856"/>
      <c r="AG1312" s="856"/>
      <c r="AH1312" s="857"/>
      <c r="AI1312" s="856"/>
      <c r="AJ1312" s="856"/>
      <c r="AK1312" s="856"/>
      <c r="AL1312" s="856"/>
      <c r="AM1312" s="850"/>
      <c r="AN1312" s="40"/>
      <c r="AO1312" s="882"/>
      <c r="AP1312" s="882"/>
      <c r="AV1312" t="str">
        <f t="shared" si="5088"/>
        <v>BDCC no Km 155+722 - Aterro 03</v>
      </c>
      <c r="AW1312" s="4" t="str">
        <f t="shared" si="5086"/>
        <v>2.5-BSCC 3,50 x 3,50 m - Km 152+800 -Aterro A13 - Bueiro de Concreto - LD</v>
      </c>
    </row>
    <row r="1313" spans="1:49" ht="15.6" customHeight="1" outlineLevel="2">
      <c r="A1313" s="598" t="str">
        <f t="shared" ref="A1313" si="5188">IF(SUM(P1313:V1314)&gt;0,"S","N")</f>
        <v>N</v>
      </c>
      <c r="B1313" s="599">
        <v>1064457</v>
      </c>
      <c r="C1313" s="599" t="s">
        <v>1637</v>
      </c>
      <c r="D1313" s="118" t="s">
        <v>1378</v>
      </c>
      <c r="E1313" s="917" t="s">
        <v>1638</v>
      </c>
      <c r="F1313" s="848" t="s">
        <v>1437</v>
      </c>
      <c r="G1313" s="40"/>
      <c r="H1313" s="600" t="s">
        <v>37</v>
      </c>
      <c r="I1313" s="504">
        <v>0</v>
      </c>
      <c r="J1313" s="849" t="str">
        <f t="shared" ref="J1313" si="5189">IFERROR((I1314/I1313),"-")</f>
        <v>-</v>
      </c>
      <c r="K1313" s="40"/>
      <c r="L1313" s="600" t="s">
        <v>37</v>
      </c>
      <c r="M1313" s="504">
        <f t="shared" si="4970"/>
        <v>0</v>
      </c>
      <c r="N1313" s="849" t="str">
        <f t="shared" ref="N1313" si="5190">IFERROR((M1314/M1313),"-")</f>
        <v>-</v>
      </c>
      <c r="O1313" s="40"/>
      <c r="P1313" s="602">
        <v>0</v>
      </c>
      <c r="Q1313" s="602">
        <v>0</v>
      </c>
      <c r="R1313" s="602">
        <v>0</v>
      </c>
      <c r="S1313" s="602">
        <v>0</v>
      </c>
      <c r="T1313" s="602">
        <v>0</v>
      </c>
      <c r="U1313" s="602">
        <v>0</v>
      </c>
      <c r="V1313" s="602">
        <v>0</v>
      </c>
      <c r="W1313" s="40"/>
      <c r="X1313" s="504">
        <f t="shared" si="5005"/>
        <v>0</v>
      </c>
      <c r="Y1313" s="849" t="str">
        <f t="shared" ref="Y1313" si="5191">IFERROR((X1314/X1313),"0")</f>
        <v>0</v>
      </c>
      <c r="Z1313" s="40"/>
      <c r="AA1313" s="855">
        <v>0</v>
      </c>
      <c r="AB1313" s="855">
        <v>0</v>
      </c>
      <c r="AC1313" s="858">
        <v>0</v>
      </c>
      <c r="AD1313" s="849" t="str">
        <f t="shared" ref="AD1313" si="5192">IFERROR((AC1313/AB1313),"-")</f>
        <v>-</v>
      </c>
      <c r="AE1313" s="40"/>
      <c r="AF1313" s="855">
        <v>1</v>
      </c>
      <c r="AG1313" s="855"/>
      <c r="AH1313" s="858">
        <v>0</v>
      </c>
      <c r="AI1313" s="855"/>
      <c r="AJ1313" s="855"/>
      <c r="AK1313" s="855">
        <f t="shared" ref="AK1313" si="5193">AF1313+AG1313+AH1313+AI1313+AJ1313+AC1313</f>
        <v>1</v>
      </c>
      <c r="AL1313" s="855">
        <v>1.01</v>
      </c>
      <c r="AM1313" s="849">
        <f t="shared" ref="AM1313" si="5194">IFERROR((AK1313/AL1313),"-")</f>
        <v>0.99009900990099009</v>
      </c>
      <c r="AN1313" s="40"/>
      <c r="AO1313" s="855">
        <v>1</v>
      </c>
      <c r="AP1313" s="855">
        <f t="shared" ref="AP1313" si="5195">AO1313-AK1313</f>
        <v>0</v>
      </c>
      <c r="AV1313" t="str">
        <f t="shared" si="5088"/>
        <v>BDCC no Km 155+722 - Aterro 03</v>
      </c>
      <c r="AW1313" s="4" t="str">
        <f t="shared" si="5086"/>
        <v>2.5-PG BSCC 2,5 x 2,5 m - Km 152+920- Aterro A13 - Bueiro de Concreto - LE</v>
      </c>
    </row>
    <row r="1314" spans="1:49" ht="15.6" customHeight="1" outlineLevel="2">
      <c r="A1314" s="598" t="str">
        <f t="shared" ref="A1314" si="5196">A1313</f>
        <v>N</v>
      </c>
      <c r="B1314" s="599"/>
      <c r="C1314" s="599"/>
      <c r="D1314" s="118" t="s">
        <v>1444</v>
      </c>
      <c r="E1314" s="918"/>
      <c r="F1314" s="848"/>
      <c r="G1314" s="40"/>
      <c r="H1314" s="603" t="s">
        <v>38</v>
      </c>
      <c r="I1314" s="504">
        <v>0</v>
      </c>
      <c r="J1314" s="850"/>
      <c r="K1314" s="40"/>
      <c r="L1314" s="603" t="s">
        <v>38</v>
      </c>
      <c r="M1314" s="504">
        <f t="shared" si="4970"/>
        <v>0</v>
      </c>
      <c r="N1314" s="850"/>
      <c r="O1314" s="40"/>
      <c r="P1314" s="602">
        <v>0</v>
      </c>
      <c r="Q1314" s="602">
        <v>0</v>
      </c>
      <c r="R1314" s="602">
        <v>0</v>
      </c>
      <c r="S1314" s="602">
        <v>0</v>
      </c>
      <c r="T1314" s="602">
        <v>0</v>
      </c>
      <c r="U1314" s="602">
        <v>0</v>
      </c>
      <c r="V1314" s="602">
        <v>0</v>
      </c>
      <c r="W1314" s="40"/>
      <c r="X1314" s="504">
        <f t="shared" si="5005"/>
        <v>0</v>
      </c>
      <c r="Y1314" s="850"/>
      <c r="Z1314" s="40"/>
      <c r="AA1314" s="856"/>
      <c r="AB1314" s="856"/>
      <c r="AC1314" s="857"/>
      <c r="AD1314" s="920"/>
      <c r="AE1314" s="40"/>
      <c r="AF1314" s="856"/>
      <c r="AG1314" s="856"/>
      <c r="AH1314" s="857"/>
      <c r="AI1314" s="856"/>
      <c r="AJ1314" s="856"/>
      <c r="AK1314" s="856"/>
      <c r="AL1314" s="856"/>
      <c r="AM1314" s="850"/>
      <c r="AN1314" s="40"/>
      <c r="AO1314" s="882"/>
      <c r="AP1314" s="882"/>
      <c r="AV1314" t="str">
        <f t="shared" si="5088"/>
        <v>BDCC no Km 155+722 - Aterro 03</v>
      </c>
      <c r="AW1314" s="4" t="str">
        <f t="shared" si="5086"/>
        <v>2.5-PG BSCC 2,5 x 2,5 m - Km 152+920- Aterro A13 - Bueiro de Concreto - LE</v>
      </c>
    </row>
    <row r="1315" spans="1:49" ht="15.6" customHeight="1" outlineLevel="2">
      <c r="A1315" s="598" t="str">
        <f t="shared" ref="A1315" si="5197">IF(SUM(P1315:V1316)&gt;0,"S","N")</f>
        <v>N</v>
      </c>
      <c r="B1315" s="599">
        <v>1064458</v>
      </c>
      <c r="C1315" s="599" t="s">
        <v>1639</v>
      </c>
      <c r="D1315" s="118" t="s">
        <v>1378</v>
      </c>
      <c r="E1315" s="917" t="s">
        <v>1640</v>
      </c>
      <c r="F1315" s="848" t="s">
        <v>1437</v>
      </c>
      <c r="G1315" s="40"/>
      <c r="H1315" s="600" t="s">
        <v>37</v>
      </c>
      <c r="I1315" s="504">
        <v>0</v>
      </c>
      <c r="J1315" s="849" t="str">
        <f t="shared" ref="J1315" si="5198">IFERROR((I1316/I1315),"-")</f>
        <v>-</v>
      </c>
      <c r="K1315" s="40"/>
      <c r="L1315" s="600" t="s">
        <v>37</v>
      </c>
      <c r="M1315" s="504">
        <f t="shared" si="4970"/>
        <v>0</v>
      </c>
      <c r="N1315" s="849" t="str">
        <f t="shared" ref="N1315" si="5199">IFERROR((M1316/M1315),"-")</f>
        <v>-</v>
      </c>
      <c r="O1315" s="40"/>
      <c r="P1315" s="602">
        <v>0</v>
      </c>
      <c r="Q1315" s="602">
        <v>0</v>
      </c>
      <c r="R1315" s="602">
        <v>0</v>
      </c>
      <c r="S1315" s="602">
        <v>0</v>
      </c>
      <c r="T1315" s="602">
        <v>0</v>
      </c>
      <c r="U1315" s="602">
        <v>0</v>
      </c>
      <c r="V1315" s="602">
        <v>0</v>
      </c>
      <c r="W1315" s="40"/>
      <c r="X1315" s="504">
        <f t="shared" si="5005"/>
        <v>0</v>
      </c>
      <c r="Y1315" s="849" t="str">
        <f t="shared" ref="Y1315" si="5200">IFERROR((X1316/X1315),"0")</f>
        <v>0</v>
      </c>
      <c r="Z1315" s="40"/>
      <c r="AA1315" s="855">
        <v>0</v>
      </c>
      <c r="AB1315" s="855">
        <v>0</v>
      </c>
      <c r="AC1315" s="858">
        <v>0</v>
      </c>
      <c r="AD1315" s="849" t="str">
        <f t="shared" ref="AD1315" si="5201">IFERROR((AC1315/AB1315),"-")</f>
        <v>-</v>
      </c>
      <c r="AE1315" s="40"/>
      <c r="AF1315" s="855">
        <v>1</v>
      </c>
      <c r="AG1315" s="855"/>
      <c r="AH1315" s="858">
        <v>0</v>
      </c>
      <c r="AI1315" s="855"/>
      <c r="AJ1315" s="855"/>
      <c r="AK1315" s="855">
        <f t="shared" ref="AK1315" si="5202">AF1315+AG1315+AH1315+AI1315+AJ1315+AC1315</f>
        <v>1</v>
      </c>
      <c r="AL1315" s="855">
        <v>1.01</v>
      </c>
      <c r="AM1315" s="849">
        <f t="shared" ref="AM1315" si="5203">IFERROR((AK1315/AL1315),"-")</f>
        <v>0.99009900990099009</v>
      </c>
      <c r="AN1315" s="40"/>
      <c r="AO1315" s="855">
        <v>1</v>
      </c>
      <c r="AP1315" s="855">
        <f t="shared" ref="AP1315" si="5204">AO1315-AK1315</f>
        <v>0</v>
      </c>
      <c r="AV1315" t="str">
        <f t="shared" si="5088"/>
        <v>BDCC no Km 155+722 - Aterro 03</v>
      </c>
      <c r="AW1315" s="4" t="str">
        <f t="shared" si="5086"/>
        <v>2.5-PG BSCC 2,5 x 2,5 m - Km 152+920- Aterro A13 - Bueiro de Concreto - LD</v>
      </c>
    </row>
    <row r="1316" spans="1:49" ht="15.6" customHeight="1" outlineLevel="2">
      <c r="A1316" s="598" t="str">
        <f t="shared" ref="A1316" si="5205">A1315</f>
        <v>N</v>
      </c>
      <c r="B1316" s="599"/>
      <c r="C1316" s="599"/>
      <c r="D1316" s="118" t="s">
        <v>1441</v>
      </c>
      <c r="E1316" s="918"/>
      <c r="F1316" s="848"/>
      <c r="G1316" s="40"/>
      <c r="H1316" s="603" t="s">
        <v>38</v>
      </c>
      <c r="I1316" s="504">
        <v>0</v>
      </c>
      <c r="J1316" s="850"/>
      <c r="K1316" s="40"/>
      <c r="L1316" s="603" t="s">
        <v>38</v>
      </c>
      <c r="M1316" s="504">
        <f t="shared" si="4970"/>
        <v>0</v>
      </c>
      <c r="N1316" s="850"/>
      <c r="O1316" s="40"/>
      <c r="P1316" s="602">
        <v>0</v>
      </c>
      <c r="Q1316" s="602">
        <v>0</v>
      </c>
      <c r="R1316" s="602">
        <v>0</v>
      </c>
      <c r="S1316" s="602">
        <v>0</v>
      </c>
      <c r="T1316" s="602">
        <v>0</v>
      </c>
      <c r="U1316" s="602">
        <v>0</v>
      </c>
      <c r="V1316" s="602">
        <v>0</v>
      </c>
      <c r="W1316" s="40"/>
      <c r="X1316" s="504">
        <f t="shared" si="5005"/>
        <v>0</v>
      </c>
      <c r="Y1316" s="850"/>
      <c r="Z1316" s="40"/>
      <c r="AA1316" s="856"/>
      <c r="AB1316" s="856"/>
      <c r="AC1316" s="857"/>
      <c r="AD1316" s="920"/>
      <c r="AE1316" s="40"/>
      <c r="AF1316" s="856"/>
      <c r="AG1316" s="856"/>
      <c r="AH1316" s="857"/>
      <c r="AI1316" s="856"/>
      <c r="AJ1316" s="856"/>
      <c r="AK1316" s="856"/>
      <c r="AL1316" s="856"/>
      <c r="AM1316" s="850"/>
      <c r="AN1316" s="40"/>
      <c r="AO1316" s="882"/>
      <c r="AP1316" s="882"/>
      <c r="AV1316" t="str">
        <f t="shared" si="5088"/>
        <v>BDCC no Km 155+722 - Aterro 03</v>
      </c>
      <c r="AW1316" s="4" t="str">
        <f t="shared" si="5086"/>
        <v>2.5-PG BSCC 2,5 x 2,5 m - Km 152+920- Aterro A13 - Bueiro de Concreto - LD</v>
      </c>
    </row>
    <row r="1317" spans="1:49" ht="15.6" customHeight="1" outlineLevel="2">
      <c r="A1317" s="598" t="str">
        <f t="shared" ref="A1317" si="5206">IF(SUM(P1317:V1318)&gt;0,"S","N")</f>
        <v>N</v>
      </c>
      <c r="B1317" s="599">
        <v>1064463</v>
      </c>
      <c r="C1317" s="599" t="s">
        <v>1641</v>
      </c>
      <c r="D1317" s="118" t="s">
        <v>1380</v>
      </c>
      <c r="E1317" s="917" t="s">
        <v>1642</v>
      </c>
      <c r="F1317" s="848" t="s">
        <v>1437</v>
      </c>
      <c r="G1317" s="40"/>
      <c r="H1317" s="600" t="s">
        <v>37</v>
      </c>
      <c r="I1317" s="504">
        <v>0</v>
      </c>
      <c r="J1317" s="849" t="str">
        <f t="shared" ref="J1317" si="5207">IFERROR((I1318/I1317),"-")</f>
        <v>-</v>
      </c>
      <c r="K1317" s="40"/>
      <c r="L1317" s="600" t="s">
        <v>37</v>
      </c>
      <c r="M1317" s="504">
        <f t="shared" si="4970"/>
        <v>0</v>
      </c>
      <c r="N1317" s="849" t="str">
        <f t="shared" ref="N1317" si="5208">IFERROR((M1318/M1317),"-")</f>
        <v>-</v>
      </c>
      <c r="O1317" s="40"/>
      <c r="P1317" s="602">
        <v>0</v>
      </c>
      <c r="Q1317" s="602">
        <v>0</v>
      </c>
      <c r="R1317" s="602">
        <v>0</v>
      </c>
      <c r="S1317" s="602">
        <v>0</v>
      </c>
      <c r="T1317" s="602">
        <v>0</v>
      </c>
      <c r="U1317" s="602">
        <v>0</v>
      </c>
      <c r="V1317" s="602">
        <v>0</v>
      </c>
      <c r="W1317" s="40"/>
      <c r="X1317" s="504">
        <f t="shared" si="5005"/>
        <v>0</v>
      </c>
      <c r="Y1317" s="849" t="str">
        <f t="shared" ref="Y1317" si="5209">IFERROR((X1318/X1317),"0")</f>
        <v>0</v>
      </c>
      <c r="Z1317" s="40"/>
      <c r="AA1317" s="855">
        <v>0</v>
      </c>
      <c r="AB1317" s="855">
        <v>0</v>
      </c>
      <c r="AC1317" s="858">
        <v>0</v>
      </c>
      <c r="AD1317" s="849" t="str">
        <f t="shared" ref="AD1317" si="5210">IFERROR((AC1317/AB1317),"-")</f>
        <v>-</v>
      </c>
      <c r="AE1317" s="40"/>
      <c r="AF1317" s="855">
        <v>1</v>
      </c>
      <c r="AG1317" s="855"/>
      <c r="AH1317" s="858">
        <v>0</v>
      </c>
      <c r="AI1317" s="855"/>
      <c r="AJ1317" s="855"/>
      <c r="AK1317" s="855">
        <f t="shared" ref="AK1317" si="5211">AF1317+AG1317+AH1317+AI1317+AJ1317+AC1317</f>
        <v>1</v>
      </c>
      <c r="AL1317" s="855">
        <v>1.01</v>
      </c>
      <c r="AM1317" s="849">
        <f t="shared" ref="AM1317" si="5212">IFERROR((AK1317/AL1317),"-")</f>
        <v>0.99009900990099009</v>
      </c>
      <c r="AN1317" s="40"/>
      <c r="AO1317" s="855">
        <v>1</v>
      </c>
      <c r="AP1317" s="855">
        <f t="shared" ref="AP1317" si="5213">AO1317-AK1317</f>
        <v>0</v>
      </c>
      <c r="AV1317" t="str">
        <f t="shared" si="5088"/>
        <v>BDCC no Km 155+722 - Aterro 03</v>
      </c>
      <c r="AW1317" s="4" t="str">
        <f t="shared" si="5086"/>
        <v>2.5-BDT PEAD DN 1,20m - km 153+189 - Aterro A13 - Bueiro de PEAD - LE</v>
      </c>
    </row>
    <row r="1318" spans="1:49" ht="15.6" customHeight="1" outlineLevel="2">
      <c r="A1318" s="598" t="str">
        <f t="shared" ref="A1318" si="5214">A1317</f>
        <v>N</v>
      </c>
      <c r="B1318" s="599"/>
      <c r="C1318" s="599"/>
      <c r="D1318" s="118" t="s">
        <v>1444</v>
      </c>
      <c r="E1318" s="918"/>
      <c r="F1318" s="848"/>
      <c r="G1318" s="40"/>
      <c r="H1318" s="603" t="s">
        <v>38</v>
      </c>
      <c r="I1318" s="504">
        <v>0</v>
      </c>
      <c r="J1318" s="850"/>
      <c r="K1318" s="40"/>
      <c r="L1318" s="603" t="s">
        <v>38</v>
      </c>
      <c r="M1318" s="504">
        <f t="shared" si="4970"/>
        <v>0</v>
      </c>
      <c r="N1318" s="850"/>
      <c r="O1318" s="40"/>
      <c r="P1318" s="602">
        <v>0</v>
      </c>
      <c r="Q1318" s="602">
        <v>0</v>
      </c>
      <c r="R1318" s="602">
        <v>0</v>
      </c>
      <c r="S1318" s="602">
        <v>0</v>
      </c>
      <c r="T1318" s="602">
        <v>0</v>
      </c>
      <c r="U1318" s="602">
        <v>0</v>
      </c>
      <c r="V1318" s="602">
        <v>0</v>
      </c>
      <c r="W1318" s="40"/>
      <c r="X1318" s="504">
        <f t="shared" si="5005"/>
        <v>0</v>
      </c>
      <c r="Y1318" s="850"/>
      <c r="Z1318" s="40"/>
      <c r="AA1318" s="856"/>
      <c r="AB1318" s="856"/>
      <c r="AC1318" s="857"/>
      <c r="AD1318" s="920"/>
      <c r="AE1318" s="40"/>
      <c r="AF1318" s="856"/>
      <c r="AG1318" s="856"/>
      <c r="AH1318" s="857"/>
      <c r="AI1318" s="856"/>
      <c r="AJ1318" s="856"/>
      <c r="AK1318" s="856"/>
      <c r="AL1318" s="856"/>
      <c r="AM1318" s="850"/>
      <c r="AN1318" s="40"/>
      <c r="AO1318" s="882"/>
      <c r="AP1318" s="882"/>
      <c r="AV1318" t="str">
        <f t="shared" si="5088"/>
        <v>BDCC no Km 155+722 - Aterro 03</v>
      </c>
      <c r="AW1318" s="4" t="str">
        <f t="shared" si="5086"/>
        <v>2.5-BDT PEAD DN 1,20m - km 153+189 - Aterro A13 - Bueiro de PEAD - LE</v>
      </c>
    </row>
    <row r="1319" spans="1:49" ht="15.6" customHeight="1" outlineLevel="2">
      <c r="A1319" s="598" t="str">
        <f t="shared" ref="A1319" si="5215">IF(SUM(P1319:V1320)&gt;0,"S","N")</f>
        <v>N</v>
      </c>
      <c r="B1319" s="599">
        <v>1064464</v>
      </c>
      <c r="C1319" s="599" t="s">
        <v>1643</v>
      </c>
      <c r="D1319" s="118" t="s">
        <v>1380</v>
      </c>
      <c r="E1319" s="917" t="s">
        <v>1644</v>
      </c>
      <c r="F1319" s="848" t="s">
        <v>1437</v>
      </c>
      <c r="G1319" s="40"/>
      <c r="H1319" s="600" t="s">
        <v>37</v>
      </c>
      <c r="I1319" s="504">
        <v>0</v>
      </c>
      <c r="J1319" s="849" t="str">
        <f t="shared" ref="J1319" si="5216">IFERROR((I1320/I1319),"-")</f>
        <v>-</v>
      </c>
      <c r="K1319" s="40"/>
      <c r="L1319" s="600" t="s">
        <v>37</v>
      </c>
      <c r="M1319" s="504">
        <f t="shared" si="4970"/>
        <v>0</v>
      </c>
      <c r="N1319" s="849" t="str">
        <f t="shared" ref="N1319" si="5217">IFERROR((M1320/M1319),"-")</f>
        <v>-</v>
      </c>
      <c r="O1319" s="40"/>
      <c r="P1319" s="602">
        <v>0</v>
      </c>
      <c r="Q1319" s="602">
        <v>0</v>
      </c>
      <c r="R1319" s="602">
        <v>0</v>
      </c>
      <c r="S1319" s="602">
        <v>0</v>
      </c>
      <c r="T1319" s="602">
        <v>0</v>
      </c>
      <c r="U1319" s="602">
        <v>0</v>
      </c>
      <c r="V1319" s="602">
        <v>0</v>
      </c>
      <c r="W1319" s="40"/>
      <c r="X1319" s="504">
        <f t="shared" si="5005"/>
        <v>0</v>
      </c>
      <c r="Y1319" s="849" t="str">
        <f t="shared" ref="Y1319" si="5218">IFERROR((X1320/X1319),"0")</f>
        <v>0</v>
      </c>
      <c r="Z1319" s="40"/>
      <c r="AA1319" s="855">
        <v>0</v>
      </c>
      <c r="AB1319" s="855">
        <v>0</v>
      </c>
      <c r="AC1319" s="858">
        <v>0</v>
      </c>
      <c r="AD1319" s="849" t="str">
        <f t="shared" ref="AD1319" si="5219">IFERROR((AC1319/AB1319),"-")</f>
        <v>-</v>
      </c>
      <c r="AE1319" s="40"/>
      <c r="AF1319" s="855">
        <v>0</v>
      </c>
      <c r="AG1319" s="855"/>
      <c r="AH1319" s="858">
        <v>0</v>
      </c>
      <c r="AI1319" s="855"/>
      <c r="AJ1319" s="855"/>
      <c r="AK1319" s="855">
        <f t="shared" ref="AK1319" si="5220">AF1319+AG1319+AH1319+AI1319+AJ1319+AC1319</f>
        <v>0</v>
      </c>
      <c r="AL1319" s="855">
        <v>1</v>
      </c>
      <c r="AM1319" s="849">
        <f t="shared" ref="AM1319" si="5221">IFERROR((AK1319/AL1319),"-")</f>
        <v>0</v>
      </c>
      <c r="AN1319" s="40"/>
      <c r="AO1319" s="855">
        <v>1</v>
      </c>
      <c r="AP1319" s="855">
        <f t="shared" ref="AP1319" si="5222">AO1319-AK1319</f>
        <v>1</v>
      </c>
      <c r="AV1319" t="str">
        <f t="shared" si="5088"/>
        <v>BDCC no Km 155+722 - Aterro 03</v>
      </c>
      <c r="AW1319" s="4" t="str">
        <f t="shared" si="5086"/>
        <v>2.5-BDT PEAD DN 1,20m - km 153+189 - Aterro A13 - Bueiro de PEAD - LD</v>
      </c>
    </row>
    <row r="1320" spans="1:49" ht="15.6" customHeight="1" outlineLevel="2">
      <c r="A1320" s="598" t="str">
        <f t="shared" ref="A1320" si="5223">A1319</f>
        <v>N</v>
      </c>
      <c r="B1320" s="599"/>
      <c r="C1320" s="599"/>
      <c r="D1320" s="118" t="s">
        <v>1441</v>
      </c>
      <c r="E1320" s="918"/>
      <c r="F1320" s="848"/>
      <c r="G1320" s="40"/>
      <c r="H1320" s="603" t="s">
        <v>38</v>
      </c>
      <c r="I1320" s="504">
        <v>0</v>
      </c>
      <c r="J1320" s="850"/>
      <c r="K1320" s="40"/>
      <c r="L1320" s="603" t="s">
        <v>38</v>
      </c>
      <c r="M1320" s="504">
        <f t="shared" si="4970"/>
        <v>0</v>
      </c>
      <c r="N1320" s="850"/>
      <c r="O1320" s="40"/>
      <c r="P1320" s="602">
        <v>0</v>
      </c>
      <c r="Q1320" s="602">
        <v>0</v>
      </c>
      <c r="R1320" s="602">
        <v>0</v>
      </c>
      <c r="S1320" s="602">
        <v>0</v>
      </c>
      <c r="T1320" s="602">
        <v>0</v>
      </c>
      <c r="U1320" s="602">
        <v>0</v>
      </c>
      <c r="V1320" s="602">
        <v>0</v>
      </c>
      <c r="W1320" s="40"/>
      <c r="X1320" s="607">
        <f t="shared" si="5005"/>
        <v>0</v>
      </c>
      <c r="Y1320" s="850"/>
      <c r="Z1320" s="40"/>
      <c r="AA1320" s="856"/>
      <c r="AB1320" s="856"/>
      <c r="AC1320" s="857"/>
      <c r="AD1320" s="920"/>
      <c r="AE1320" s="40"/>
      <c r="AF1320" s="856"/>
      <c r="AG1320" s="856"/>
      <c r="AH1320" s="857"/>
      <c r="AI1320" s="856"/>
      <c r="AJ1320" s="856"/>
      <c r="AK1320" s="856"/>
      <c r="AL1320" s="856"/>
      <c r="AM1320" s="850"/>
      <c r="AN1320" s="40"/>
      <c r="AO1320" s="882"/>
      <c r="AP1320" s="882"/>
      <c r="AV1320" t="str">
        <f t="shared" si="5088"/>
        <v>BDCC no Km 155+722 - Aterro 03</v>
      </c>
      <c r="AW1320" s="4" t="str">
        <f t="shared" si="5086"/>
        <v>2.5-BDT PEAD DN 1,20m - km 153+189 - Aterro A13 - Bueiro de PEAD - LD</v>
      </c>
    </row>
    <row r="1321" spans="1:49" ht="15.6" customHeight="1" outlineLevel="2">
      <c r="A1321" s="604" t="str">
        <f t="shared" ref="A1321" si="5224">IF(SUM(P1321:V1322)&gt;0,"S","N")</f>
        <v>N</v>
      </c>
      <c r="B1321" s="599">
        <v>1064470</v>
      </c>
      <c r="C1321" s="599" t="s">
        <v>1645</v>
      </c>
      <c r="D1321" s="118" t="s">
        <v>1382</v>
      </c>
      <c r="E1321" s="917" t="s">
        <v>1646</v>
      </c>
      <c r="F1321" s="848" t="s">
        <v>1437</v>
      </c>
      <c r="G1321" s="40"/>
      <c r="H1321" s="600" t="s">
        <v>37</v>
      </c>
      <c r="I1321" s="504">
        <v>0</v>
      </c>
      <c r="J1321" s="849" t="str">
        <f t="shared" ref="J1321" si="5225">IFERROR((I1322/I1321),"-")</f>
        <v>-</v>
      </c>
      <c r="K1321" s="40"/>
      <c r="L1321" s="600" t="s">
        <v>37</v>
      </c>
      <c r="M1321" s="504">
        <f t="shared" si="4970"/>
        <v>0</v>
      </c>
      <c r="N1321" s="849" t="str">
        <f t="shared" ref="N1321" si="5226">IFERROR((M1322/M1321),"-")</f>
        <v>-</v>
      </c>
      <c r="O1321" s="40"/>
      <c r="P1321" s="602">
        <v>0</v>
      </c>
      <c r="Q1321" s="602">
        <v>0</v>
      </c>
      <c r="R1321" s="602">
        <v>0</v>
      </c>
      <c r="S1321" s="602">
        <v>0</v>
      </c>
      <c r="T1321" s="602">
        <v>0</v>
      </c>
      <c r="U1321" s="602">
        <v>0</v>
      </c>
      <c r="V1321" s="602">
        <v>0</v>
      </c>
      <c r="W1321" s="40"/>
      <c r="X1321" s="504">
        <f t="shared" si="5005"/>
        <v>0</v>
      </c>
      <c r="Y1321" s="849" t="str">
        <f t="shared" ref="Y1321" si="5227">IFERROR((X1322/X1321),"0")</f>
        <v>0</v>
      </c>
      <c r="Z1321" s="40"/>
      <c r="AA1321" s="855">
        <v>0</v>
      </c>
      <c r="AB1321" s="855">
        <v>0</v>
      </c>
      <c r="AC1321" s="858">
        <v>0</v>
      </c>
      <c r="AD1321" s="849" t="str">
        <f t="shared" ref="AD1321" si="5228">IFERROR((AC1321/AB1321),"-")</f>
        <v>-</v>
      </c>
      <c r="AE1321" s="40"/>
      <c r="AF1321" s="855">
        <v>0</v>
      </c>
      <c r="AG1321" s="855"/>
      <c r="AH1321" s="858">
        <v>0</v>
      </c>
      <c r="AI1321" s="855"/>
      <c r="AJ1321" s="855"/>
      <c r="AK1321" s="855">
        <f t="shared" ref="AK1321" si="5229">AF1321+AG1321+AH1321+AI1321+AJ1321+AC1321</f>
        <v>0</v>
      </c>
      <c r="AL1321" s="855">
        <v>0</v>
      </c>
      <c r="AM1321" s="849" t="str">
        <f t="shared" ref="AM1321" si="5230">IFERROR((AK1321/AL1321),"-")</f>
        <v>-</v>
      </c>
      <c r="AN1321" s="40"/>
      <c r="AO1321" s="855">
        <v>0</v>
      </c>
      <c r="AP1321" s="855">
        <f t="shared" ref="AP1321" si="5231">AO1321-AK1321</f>
        <v>0</v>
      </c>
      <c r="AV1321" t="str">
        <f t="shared" si="5088"/>
        <v>BDCC no Km 155+722 - Aterro 03</v>
      </c>
      <c r="AW1321" s="4" t="str">
        <f t="shared" si="5086"/>
        <v>2.5-BDT PEAD DN 1,0m - km 153+306 - Aterro A13 - Bueiro de PEAD - LE</v>
      </c>
    </row>
    <row r="1322" spans="1:49" ht="15.6" customHeight="1" outlineLevel="2">
      <c r="A1322" s="604" t="str">
        <f t="shared" ref="A1322" si="5232">A1321</f>
        <v>N</v>
      </c>
      <c r="B1322" s="599"/>
      <c r="C1322" s="599"/>
      <c r="D1322" s="118" t="s">
        <v>1444</v>
      </c>
      <c r="E1322" s="918"/>
      <c r="F1322" s="848"/>
      <c r="G1322" s="40"/>
      <c r="H1322" s="603" t="s">
        <v>38</v>
      </c>
      <c r="I1322" s="504">
        <v>0</v>
      </c>
      <c r="J1322" s="850"/>
      <c r="K1322" s="40"/>
      <c r="L1322" s="603" t="s">
        <v>38</v>
      </c>
      <c r="M1322" s="504">
        <f t="shared" si="4970"/>
        <v>0</v>
      </c>
      <c r="N1322" s="850"/>
      <c r="O1322" s="40"/>
      <c r="P1322" s="602">
        <v>0</v>
      </c>
      <c r="Q1322" s="602">
        <v>0</v>
      </c>
      <c r="R1322" s="602">
        <v>0</v>
      </c>
      <c r="S1322" s="602">
        <v>0</v>
      </c>
      <c r="T1322" s="602">
        <v>0</v>
      </c>
      <c r="U1322" s="602">
        <v>0</v>
      </c>
      <c r="V1322" s="602">
        <v>0</v>
      </c>
      <c r="W1322" s="40"/>
      <c r="X1322" s="504">
        <f t="shared" si="5005"/>
        <v>0</v>
      </c>
      <c r="Y1322" s="850"/>
      <c r="Z1322" s="40"/>
      <c r="AA1322" s="856"/>
      <c r="AB1322" s="856"/>
      <c r="AC1322" s="857"/>
      <c r="AD1322" s="920"/>
      <c r="AE1322" s="40"/>
      <c r="AF1322" s="856"/>
      <c r="AG1322" s="856"/>
      <c r="AH1322" s="857"/>
      <c r="AI1322" s="856"/>
      <c r="AJ1322" s="856"/>
      <c r="AK1322" s="856"/>
      <c r="AL1322" s="856"/>
      <c r="AM1322" s="850"/>
      <c r="AN1322" s="40"/>
      <c r="AO1322" s="882"/>
      <c r="AP1322" s="882"/>
      <c r="AV1322" t="str">
        <f t="shared" si="5088"/>
        <v>BDCC no Km 155+722 - Aterro 03</v>
      </c>
      <c r="AW1322" s="4" t="str">
        <f t="shared" si="5086"/>
        <v>2.5-BDT PEAD DN 1,0m - km 153+306 - Aterro A13 - Bueiro de PEAD - LE</v>
      </c>
    </row>
    <row r="1323" spans="1:49" ht="15.6" customHeight="1" outlineLevel="2">
      <c r="A1323" s="598" t="str">
        <f t="shared" ref="A1323" si="5233">IF(SUM(P1323:V1324)&gt;0,"S","N")</f>
        <v>N</v>
      </c>
      <c r="B1323" s="599">
        <v>1064471</v>
      </c>
      <c r="C1323" s="599" t="s">
        <v>1647</v>
      </c>
      <c r="D1323" s="118" t="s">
        <v>1382</v>
      </c>
      <c r="E1323" s="917" t="s">
        <v>1648</v>
      </c>
      <c r="F1323" s="848" t="s">
        <v>1437</v>
      </c>
      <c r="G1323" s="40"/>
      <c r="H1323" s="600" t="s">
        <v>37</v>
      </c>
      <c r="I1323" s="504">
        <v>0</v>
      </c>
      <c r="J1323" s="849" t="str">
        <f t="shared" ref="J1323" si="5234">IFERROR((I1324/I1323),"-")</f>
        <v>-</v>
      </c>
      <c r="K1323" s="40"/>
      <c r="L1323" s="600" t="s">
        <v>37</v>
      </c>
      <c r="M1323" s="504">
        <f t="shared" si="4970"/>
        <v>0</v>
      </c>
      <c r="N1323" s="849" t="str">
        <f t="shared" ref="N1323" si="5235">IFERROR((M1324/M1323),"-")</f>
        <v>-</v>
      </c>
      <c r="O1323" s="40"/>
      <c r="P1323" s="602">
        <v>0</v>
      </c>
      <c r="Q1323" s="602">
        <v>0</v>
      </c>
      <c r="R1323" s="602">
        <v>0</v>
      </c>
      <c r="S1323" s="602">
        <v>0</v>
      </c>
      <c r="T1323" s="602">
        <v>0</v>
      </c>
      <c r="U1323" s="602">
        <v>0</v>
      </c>
      <c r="V1323" s="602">
        <v>0</v>
      </c>
      <c r="W1323" s="40"/>
      <c r="X1323" s="504">
        <f t="shared" si="5005"/>
        <v>0</v>
      </c>
      <c r="Y1323" s="849" t="str">
        <f t="shared" ref="Y1323" si="5236">IFERROR((X1324/X1323),"0")</f>
        <v>0</v>
      </c>
      <c r="Z1323" s="40"/>
      <c r="AA1323" s="855">
        <v>1</v>
      </c>
      <c r="AB1323" s="855">
        <v>1</v>
      </c>
      <c r="AC1323" s="858">
        <v>0</v>
      </c>
      <c r="AD1323" s="849">
        <f t="shared" ref="AD1323" si="5237">IFERROR((AC1323/AB1323),"-")</f>
        <v>0</v>
      </c>
      <c r="AE1323" s="40"/>
      <c r="AF1323" s="855">
        <v>0</v>
      </c>
      <c r="AG1323" s="855"/>
      <c r="AH1323" s="858">
        <v>0</v>
      </c>
      <c r="AI1323" s="855"/>
      <c r="AJ1323" s="855"/>
      <c r="AK1323" s="855">
        <f t="shared" ref="AK1323" si="5238">AF1323+AG1323+AH1323+AI1323+AJ1323+AC1323</f>
        <v>0</v>
      </c>
      <c r="AL1323" s="855">
        <v>1</v>
      </c>
      <c r="AM1323" s="849">
        <f t="shared" ref="AM1323" si="5239">IFERROR((AK1323/AL1323),"-")</f>
        <v>0</v>
      </c>
      <c r="AN1323" s="40"/>
      <c r="AO1323" s="855">
        <v>1</v>
      </c>
      <c r="AP1323" s="855">
        <f t="shared" ref="AP1323" si="5240">AO1323-AK1323</f>
        <v>1</v>
      </c>
      <c r="AV1323" t="str">
        <f t="shared" si="5088"/>
        <v>BDCC no Km 155+722 - Aterro 03</v>
      </c>
      <c r="AW1323" s="4" t="str">
        <f t="shared" si="5086"/>
        <v xml:space="preserve">2.5-BDT PEAD DN 1,0m - km 153+306 - Aterro A13 - Bueiro de PEAD- LD </v>
      </c>
    </row>
    <row r="1324" spans="1:49" ht="15.6" customHeight="1" outlineLevel="2">
      <c r="A1324" s="598" t="str">
        <f t="shared" ref="A1324" si="5241">A1323</f>
        <v>N</v>
      </c>
      <c r="B1324" s="599"/>
      <c r="C1324" s="599"/>
      <c r="D1324" s="118" t="s">
        <v>1441</v>
      </c>
      <c r="E1324" s="918"/>
      <c r="F1324" s="848"/>
      <c r="G1324" s="40"/>
      <c r="H1324" s="603" t="s">
        <v>38</v>
      </c>
      <c r="I1324" s="504">
        <v>0</v>
      </c>
      <c r="J1324" s="850"/>
      <c r="K1324" s="40"/>
      <c r="L1324" s="603" t="s">
        <v>38</v>
      </c>
      <c r="M1324" s="504">
        <f t="shared" si="4970"/>
        <v>0</v>
      </c>
      <c r="N1324" s="850"/>
      <c r="O1324" s="40"/>
      <c r="P1324" s="602">
        <v>0</v>
      </c>
      <c r="Q1324" s="602">
        <v>0</v>
      </c>
      <c r="R1324" s="602">
        <v>0</v>
      </c>
      <c r="S1324" s="602">
        <v>0</v>
      </c>
      <c r="T1324" s="602">
        <v>0</v>
      </c>
      <c r="U1324" s="602">
        <v>0</v>
      </c>
      <c r="V1324" s="602">
        <v>0</v>
      </c>
      <c r="W1324" s="40"/>
      <c r="X1324" s="607">
        <f t="shared" si="5005"/>
        <v>0</v>
      </c>
      <c r="Y1324" s="850"/>
      <c r="Z1324" s="40"/>
      <c r="AA1324" s="856"/>
      <c r="AB1324" s="856"/>
      <c r="AC1324" s="857"/>
      <c r="AD1324" s="920"/>
      <c r="AE1324" s="40"/>
      <c r="AF1324" s="856"/>
      <c r="AG1324" s="856"/>
      <c r="AH1324" s="857"/>
      <c r="AI1324" s="856"/>
      <c r="AJ1324" s="856"/>
      <c r="AK1324" s="856"/>
      <c r="AL1324" s="856"/>
      <c r="AM1324" s="850"/>
      <c r="AN1324" s="40"/>
      <c r="AO1324" s="882"/>
      <c r="AP1324" s="882"/>
      <c r="AV1324" t="str">
        <f t="shared" si="5088"/>
        <v>BDCC no Km 155+722 - Aterro 03</v>
      </c>
      <c r="AW1324" s="4" t="str">
        <f t="shared" si="5086"/>
        <v xml:space="preserve">2.5-BDT PEAD DN 1,0m - km 153+306 - Aterro A13 - Bueiro de PEAD- LD </v>
      </c>
    </row>
    <row r="1325" spans="1:49" ht="15.6" customHeight="1" outlineLevel="2">
      <c r="A1325" s="598" t="str">
        <f t="shared" ref="A1325" si="5242">IF(SUM(P1325:V1326)&gt;0,"S","N")</f>
        <v>N</v>
      </c>
      <c r="B1325" s="599">
        <v>1064857</v>
      </c>
      <c r="C1325" s="599" t="s">
        <v>1649</v>
      </c>
      <c r="D1325" s="118" t="s">
        <v>1386</v>
      </c>
      <c r="E1325" s="917" t="s">
        <v>1650</v>
      </c>
      <c r="F1325" s="848" t="s">
        <v>1437</v>
      </c>
      <c r="G1325" s="40"/>
      <c r="H1325" s="600" t="s">
        <v>37</v>
      </c>
      <c r="I1325" s="504">
        <v>0</v>
      </c>
      <c r="J1325" s="849" t="str">
        <f t="shared" ref="J1325" si="5243">IFERROR((I1326/I1325),"-")</f>
        <v>-</v>
      </c>
      <c r="K1325" s="40"/>
      <c r="L1325" s="600" t="s">
        <v>37</v>
      </c>
      <c r="M1325" s="504">
        <f t="shared" si="4970"/>
        <v>0</v>
      </c>
      <c r="N1325" s="849" t="str">
        <f t="shared" ref="N1325" si="5244">IFERROR((M1326/M1325),"-")</f>
        <v>-</v>
      </c>
      <c r="O1325" s="40"/>
      <c r="P1325" s="602">
        <v>0</v>
      </c>
      <c r="Q1325" s="602">
        <v>0</v>
      </c>
      <c r="R1325" s="602">
        <v>0</v>
      </c>
      <c r="S1325" s="602">
        <v>0</v>
      </c>
      <c r="T1325" s="602">
        <v>0</v>
      </c>
      <c r="U1325" s="602">
        <v>0</v>
      </c>
      <c r="V1325" s="602">
        <v>0</v>
      </c>
      <c r="W1325" s="40"/>
      <c r="X1325" s="504">
        <f t="shared" si="5005"/>
        <v>0</v>
      </c>
      <c r="Y1325" s="849" t="str">
        <f t="shared" ref="Y1325" si="5245">IFERROR((X1326/X1325),"0")</f>
        <v>0</v>
      </c>
      <c r="Z1325" s="40"/>
      <c r="AA1325" s="855">
        <v>0</v>
      </c>
      <c r="AB1325" s="855">
        <v>0</v>
      </c>
      <c r="AC1325" s="858">
        <v>0</v>
      </c>
      <c r="AD1325" s="849" t="str">
        <f t="shared" ref="AD1325" si="5246">IFERROR((AC1325/AB1325),"-")</f>
        <v>-</v>
      </c>
      <c r="AE1325" s="40"/>
      <c r="AF1325" s="855">
        <v>0</v>
      </c>
      <c r="AG1325" s="855"/>
      <c r="AH1325" s="858">
        <v>0</v>
      </c>
      <c r="AI1325" s="855"/>
      <c r="AJ1325" s="855"/>
      <c r="AK1325" s="855">
        <f t="shared" ref="AK1325" si="5247">AF1325+AG1325+AH1325+AI1325+AJ1325+AC1325</f>
        <v>0</v>
      </c>
      <c r="AL1325" s="855">
        <v>0</v>
      </c>
      <c r="AM1325" s="849" t="str">
        <f t="shared" ref="AM1325" si="5248">IFERROR((AK1325/AL1325),"-")</f>
        <v>-</v>
      </c>
      <c r="AN1325" s="40"/>
      <c r="AO1325" s="855">
        <v>1</v>
      </c>
      <c r="AP1325" s="855">
        <f t="shared" ref="AP1325" si="5249">AO1325-AK1325</f>
        <v>1</v>
      </c>
      <c r="AV1325" t="str">
        <f t="shared" si="5088"/>
        <v>BDCC no Km 155+722 - Aterro 03</v>
      </c>
      <c r="AW1325" s="4" t="str">
        <f t="shared" si="5086"/>
        <v xml:space="preserve">2.5-BST PEAD DN 1,0m - Km 0+331 - acesso km 139+190 LE - Bueiro de PEAD- LE </v>
      </c>
    </row>
    <row r="1326" spans="1:49" ht="15.6" customHeight="1" outlineLevel="2">
      <c r="A1326" s="598" t="str">
        <f t="shared" ref="A1326" si="5250">A1325</f>
        <v>N</v>
      </c>
      <c r="B1326" s="599"/>
      <c r="C1326" s="599"/>
      <c r="D1326" s="118" t="s">
        <v>1444</v>
      </c>
      <c r="E1326" s="918"/>
      <c r="F1326" s="848"/>
      <c r="G1326" s="40"/>
      <c r="H1326" s="603" t="s">
        <v>38</v>
      </c>
      <c r="I1326" s="504">
        <v>0</v>
      </c>
      <c r="J1326" s="850"/>
      <c r="K1326" s="40"/>
      <c r="L1326" s="603" t="s">
        <v>38</v>
      </c>
      <c r="M1326" s="504">
        <f t="shared" si="4970"/>
        <v>0</v>
      </c>
      <c r="N1326" s="850"/>
      <c r="O1326" s="40"/>
      <c r="P1326" s="606">
        <v>0</v>
      </c>
      <c r="Q1326" s="606">
        <v>0</v>
      </c>
      <c r="R1326" s="602">
        <v>0</v>
      </c>
      <c r="S1326" s="602">
        <v>0</v>
      </c>
      <c r="T1326" s="602">
        <v>0</v>
      </c>
      <c r="U1326" s="602">
        <v>0</v>
      </c>
      <c r="V1326" s="602">
        <v>0</v>
      </c>
      <c r="W1326" s="40"/>
      <c r="X1326" s="607">
        <f t="shared" si="5005"/>
        <v>0</v>
      </c>
      <c r="Y1326" s="850"/>
      <c r="Z1326" s="40"/>
      <c r="AA1326" s="856"/>
      <c r="AB1326" s="856"/>
      <c r="AC1326" s="857"/>
      <c r="AD1326" s="920"/>
      <c r="AE1326" s="40"/>
      <c r="AF1326" s="856"/>
      <c r="AG1326" s="856"/>
      <c r="AH1326" s="857"/>
      <c r="AI1326" s="856"/>
      <c r="AJ1326" s="856"/>
      <c r="AK1326" s="856"/>
      <c r="AL1326" s="856"/>
      <c r="AM1326" s="850"/>
      <c r="AN1326" s="40"/>
      <c r="AO1326" s="882"/>
      <c r="AP1326" s="882"/>
      <c r="AV1326" t="str">
        <f t="shared" si="5088"/>
        <v>BDCC no Km 155+722 - Aterro 03</v>
      </c>
      <c r="AW1326" s="4" t="str">
        <f t="shared" si="5086"/>
        <v xml:space="preserve">2.5-BST PEAD DN 1,0m - Km 0+331 - acesso km 139+190 LE - Bueiro de PEAD- LE </v>
      </c>
    </row>
    <row r="1327" spans="1:49" ht="15.6" customHeight="1" outlineLevel="2">
      <c r="A1327" s="598" t="str">
        <f t="shared" ref="A1327" si="5251">IF(SUM(P1327:V1328)&gt;0,"S","N")</f>
        <v>N</v>
      </c>
      <c r="B1327" s="599">
        <v>1064858</v>
      </c>
      <c r="C1327" s="599" t="s">
        <v>1651</v>
      </c>
      <c r="D1327" s="118" t="s">
        <v>1386</v>
      </c>
      <c r="E1327" s="917" t="s">
        <v>1652</v>
      </c>
      <c r="F1327" s="848" t="s">
        <v>1437</v>
      </c>
      <c r="G1327" s="40"/>
      <c r="H1327" s="600" t="s">
        <v>37</v>
      </c>
      <c r="I1327" s="504">
        <v>0</v>
      </c>
      <c r="J1327" s="849" t="str">
        <f t="shared" ref="J1327" si="5252">IFERROR((I1328/I1327),"-")</f>
        <v>-</v>
      </c>
      <c r="K1327" s="40"/>
      <c r="L1327" s="600" t="s">
        <v>37</v>
      </c>
      <c r="M1327" s="504">
        <f t="shared" si="4970"/>
        <v>0</v>
      </c>
      <c r="N1327" s="849" t="str">
        <f t="shared" ref="N1327" si="5253">IFERROR((M1328/M1327),"-")</f>
        <v>-</v>
      </c>
      <c r="O1327" s="40"/>
      <c r="P1327" s="602">
        <v>0</v>
      </c>
      <c r="Q1327" s="602">
        <v>0</v>
      </c>
      <c r="R1327" s="602">
        <v>0</v>
      </c>
      <c r="S1327" s="602">
        <v>0</v>
      </c>
      <c r="T1327" s="602">
        <v>0</v>
      </c>
      <c r="U1327" s="602">
        <v>0</v>
      </c>
      <c r="V1327" s="602">
        <v>0</v>
      </c>
      <c r="W1327" s="40"/>
      <c r="X1327" s="504">
        <f t="shared" si="5005"/>
        <v>0</v>
      </c>
      <c r="Y1327" s="849" t="str">
        <f t="shared" ref="Y1327" si="5254">IFERROR((X1328/X1327),"0")</f>
        <v>0</v>
      </c>
      <c r="Z1327" s="40"/>
      <c r="AA1327" s="855">
        <v>0</v>
      </c>
      <c r="AB1327" s="855">
        <v>0</v>
      </c>
      <c r="AC1327" s="858">
        <v>0</v>
      </c>
      <c r="AD1327" s="849" t="str">
        <f t="shared" ref="AD1327" si="5255">IFERROR((AC1327/AB1327),"-")</f>
        <v>-</v>
      </c>
      <c r="AE1327" s="40"/>
      <c r="AF1327" s="855">
        <v>0</v>
      </c>
      <c r="AG1327" s="855"/>
      <c r="AH1327" s="858">
        <v>0</v>
      </c>
      <c r="AI1327" s="855"/>
      <c r="AJ1327" s="855"/>
      <c r="AK1327" s="855">
        <f t="shared" ref="AK1327" si="5256">AF1327+AG1327+AH1327+AI1327+AJ1327+AC1327</f>
        <v>0</v>
      </c>
      <c r="AL1327" s="855">
        <v>0</v>
      </c>
      <c r="AM1327" s="849" t="str">
        <f t="shared" ref="AM1327" si="5257">IFERROR((AK1327/AL1327),"-")</f>
        <v>-</v>
      </c>
      <c r="AN1327" s="40"/>
      <c r="AO1327" s="855">
        <v>1</v>
      </c>
      <c r="AP1327" s="855">
        <f t="shared" ref="AP1327" si="5258">AO1327-AK1327</f>
        <v>1</v>
      </c>
      <c r="AV1327" t="str">
        <f t="shared" si="5088"/>
        <v>BDCC no Km 155+722 - Aterro 03</v>
      </c>
      <c r="AW1327" s="4" t="str">
        <f t="shared" si="5086"/>
        <v>2.5-BST PEAD DN 1,0m - Km 0+331 - acesso km 139+190 LE - Bueiro de PEAD - LD</v>
      </c>
    </row>
    <row r="1328" spans="1:49" ht="15.6" customHeight="1" outlineLevel="2">
      <c r="A1328" s="598" t="str">
        <f t="shared" ref="A1328" si="5259">A1327</f>
        <v>N</v>
      </c>
      <c r="B1328" s="599"/>
      <c r="C1328" s="599"/>
      <c r="D1328" s="118" t="s">
        <v>1441</v>
      </c>
      <c r="E1328" s="918"/>
      <c r="F1328" s="848"/>
      <c r="G1328" s="40"/>
      <c r="H1328" s="603" t="s">
        <v>38</v>
      </c>
      <c r="I1328" s="504">
        <v>0</v>
      </c>
      <c r="J1328" s="850"/>
      <c r="K1328" s="40"/>
      <c r="L1328" s="603" t="s">
        <v>38</v>
      </c>
      <c r="M1328" s="504">
        <f t="shared" si="4970"/>
        <v>0</v>
      </c>
      <c r="N1328" s="850"/>
      <c r="O1328" s="40"/>
      <c r="P1328" s="606">
        <v>0</v>
      </c>
      <c r="Q1328" s="606">
        <v>0</v>
      </c>
      <c r="R1328" s="602">
        <v>0</v>
      </c>
      <c r="S1328" s="602">
        <v>0</v>
      </c>
      <c r="T1328" s="602">
        <v>0</v>
      </c>
      <c r="U1328" s="602">
        <v>0</v>
      </c>
      <c r="V1328" s="602">
        <v>0</v>
      </c>
      <c r="W1328" s="40"/>
      <c r="X1328" s="504">
        <f t="shared" si="5005"/>
        <v>0</v>
      </c>
      <c r="Y1328" s="850"/>
      <c r="Z1328" s="40"/>
      <c r="AA1328" s="856"/>
      <c r="AB1328" s="856"/>
      <c r="AC1328" s="857"/>
      <c r="AD1328" s="920"/>
      <c r="AE1328" s="40"/>
      <c r="AF1328" s="856"/>
      <c r="AG1328" s="856"/>
      <c r="AH1328" s="857"/>
      <c r="AI1328" s="856"/>
      <c r="AJ1328" s="856"/>
      <c r="AK1328" s="856"/>
      <c r="AL1328" s="856"/>
      <c r="AM1328" s="850"/>
      <c r="AN1328" s="40"/>
      <c r="AO1328" s="882"/>
      <c r="AP1328" s="882"/>
      <c r="AV1328" t="str">
        <f t="shared" si="5088"/>
        <v>BDCC no Km 155+722 - Aterro 03</v>
      </c>
      <c r="AW1328" s="4" t="str">
        <f t="shared" si="5086"/>
        <v>2.5-BST PEAD DN 1,0m - Km 0+331 - acesso km 139+190 LE - Bueiro de PEAD - LD</v>
      </c>
    </row>
    <row r="1329" spans="1:49" ht="15.6" customHeight="1" outlineLevel="2">
      <c r="A1329" s="598" t="str">
        <f t="shared" ref="A1329" si="5260">IF(SUM(P1329:V1330)&gt;0,"S","N")</f>
        <v>N</v>
      </c>
      <c r="B1329" s="599">
        <v>1064881</v>
      </c>
      <c r="C1329" s="599" t="s">
        <v>1653</v>
      </c>
      <c r="D1329" s="118" t="s">
        <v>1388</v>
      </c>
      <c r="E1329" s="917" t="s">
        <v>1654</v>
      </c>
      <c r="F1329" s="848" t="s">
        <v>1437</v>
      </c>
      <c r="G1329" s="40"/>
      <c r="H1329" s="600" t="s">
        <v>37</v>
      </c>
      <c r="I1329" s="504">
        <v>0</v>
      </c>
      <c r="J1329" s="849" t="str">
        <f t="shared" ref="J1329" si="5261">IFERROR((I1330/I1329),"-")</f>
        <v>-</v>
      </c>
      <c r="K1329" s="40"/>
      <c r="L1329" s="600" t="s">
        <v>37</v>
      </c>
      <c r="M1329" s="504">
        <f t="shared" ref="M1329:M1360" si="5262">_xlfn.XLOOKUP($N$8,$P$8:$V$8,$P1329:$V1329)</f>
        <v>0</v>
      </c>
      <c r="N1329" s="849" t="str">
        <f t="shared" ref="N1329" si="5263">IFERROR((M1330/M1329),"-")</f>
        <v>-</v>
      </c>
      <c r="O1329" s="40"/>
      <c r="P1329" s="602">
        <v>0</v>
      </c>
      <c r="Q1329" s="602">
        <v>0</v>
      </c>
      <c r="R1329" s="602">
        <v>0</v>
      </c>
      <c r="S1329" s="602">
        <v>0</v>
      </c>
      <c r="T1329" s="602">
        <v>0</v>
      </c>
      <c r="U1329" s="602">
        <v>0</v>
      </c>
      <c r="V1329" s="602">
        <v>0</v>
      </c>
      <c r="W1329" s="40"/>
      <c r="X1329" s="504">
        <f t="shared" si="5005"/>
        <v>0</v>
      </c>
      <c r="Y1329" s="849" t="str">
        <f t="shared" ref="Y1329" si="5264">IFERROR((X1330/X1329),"0")</f>
        <v>0</v>
      </c>
      <c r="Z1329" s="40"/>
      <c r="AA1329" s="855">
        <v>0</v>
      </c>
      <c r="AB1329" s="855">
        <v>0</v>
      </c>
      <c r="AC1329" s="858">
        <v>0</v>
      </c>
      <c r="AD1329" s="849" t="str">
        <f t="shared" ref="AD1329" si="5265">IFERROR((AC1329/AB1329),"-")</f>
        <v>-</v>
      </c>
      <c r="AE1329" s="40"/>
      <c r="AF1329" s="855">
        <v>1</v>
      </c>
      <c r="AG1329" s="855"/>
      <c r="AH1329" s="858">
        <v>0</v>
      </c>
      <c r="AI1329" s="855"/>
      <c r="AJ1329" s="855"/>
      <c r="AK1329" s="855">
        <f t="shared" ref="AK1329" si="5266">AF1329+AG1329+AH1329+AI1329+AJ1329+AC1329</f>
        <v>1</v>
      </c>
      <c r="AL1329" s="855">
        <v>0.99</v>
      </c>
      <c r="AM1329" s="849">
        <f t="shared" ref="AM1329" si="5267">IFERROR((AK1329/AL1329),"-")</f>
        <v>1.0101010101010102</v>
      </c>
      <c r="AN1329" s="40"/>
      <c r="AO1329" s="855">
        <v>1</v>
      </c>
      <c r="AP1329" s="855">
        <f t="shared" ref="AP1329" si="5268">AO1329-AK1329</f>
        <v>0</v>
      </c>
      <c r="AV1329" t="str">
        <f t="shared" si="5088"/>
        <v>BDCC no Km 155+722 - Aterro 03</v>
      </c>
      <c r="AW1329" s="4" t="str">
        <f t="shared" si="5086"/>
        <v>2.5-BSTC DN 1,0m - Km 0+185 - acesso km 144+540 LE - Bueiro de Concreto - LE</v>
      </c>
    </row>
    <row r="1330" spans="1:49" ht="15.6" customHeight="1" outlineLevel="2">
      <c r="A1330" s="598" t="str">
        <f t="shared" ref="A1330" si="5269">A1329</f>
        <v>N</v>
      </c>
      <c r="B1330" s="599"/>
      <c r="C1330" s="599"/>
      <c r="D1330" s="118" t="s">
        <v>1444</v>
      </c>
      <c r="E1330" s="918"/>
      <c r="F1330" s="848"/>
      <c r="G1330" s="40"/>
      <c r="H1330" s="603" t="s">
        <v>38</v>
      </c>
      <c r="I1330" s="504">
        <v>0</v>
      </c>
      <c r="J1330" s="850"/>
      <c r="K1330" s="40"/>
      <c r="L1330" s="603" t="s">
        <v>38</v>
      </c>
      <c r="M1330" s="504">
        <f t="shared" si="5262"/>
        <v>0</v>
      </c>
      <c r="N1330" s="850"/>
      <c r="O1330" s="40"/>
      <c r="P1330" s="602">
        <v>0</v>
      </c>
      <c r="Q1330" s="602">
        <v>0</v>
      </c>
      <c r="R1330" s="602">
        <v>0</v>
      </c>
      <c r="S1330" s="602">
        <v>0</v>
      </c>
      <c r="T1330" s="602">
        <v>0</v>
      </c>
      <c r="U1330" s="602">
        <v>0</v>
      </c>
      <c r="V1330" s="602">
        <v>0</v>
      </c>
      <c r="W1330" s="40"/>
      <c r="X1330" s="504">
        <f t="shared" si="5005"/>
        <v>0</v>
      </c>
      <c r="Y1330" s="850"/>
      <c r="Z1330" s="40"/>
      <c r="AA1330" s="856"/>
      <c r="AB1330" s="856"/>
      <c r="AC1330" s="857"/>
      <c r="AD1330" s="920"/>
      <c r="AE1330" s="40"/>
      <c r="AF1330" s="856"/>
      <c r="AG1330" s="856"/>
      <c r="AH1330" s="857"/>
      <c r="AI1330" s="856"/>
      <c r="AJ1330" s="856"/>
      <c r="AK1330" s="856"/>
      <c r="AL1330" s="856"/>
      <c r="AM1330" s="850"/>
      <c r="AN1330" s="40"/>
      <c r="AO1330" s="882"/>
      <c r="AP1330" s="882"/>
      <c r="AV1330" t="str">
        <f t="shared" si="5088"/>
        <v>BDCC no Km 155+722 - Aterro 03</v>
      </c>
      <c r="AW1330" s="4" t="str">
        <f t="shared" si="5086"/>
        <v>2.5-BSTC DN 1,0m - Km 0+185 - acesso km 144+540 LE - Bueiro de Concreto - LE</v>
      </c>
    </row>
    <row r="1331" spans="1:49" ht="15.6" customHeight="1" outlineLevel="2">
      <c r="A1331" s="598" t="str">
        <f t="shared" ref="A1331" si="5270">IF(SUM(P1331:V1332)&gt;0,"S","N")</f>
        <v>N</v>
      </c>
      <c r="B1331" s="599">
        <v>1064882</v>
      </c>
      <c r="C1331" s="599" t="s">
        <v>1655</v>
      </c>
      <c r="D1331" s="118" t="s">
        <v>1388</v>
      </c>
      <c r="E1331" s="917" t="s">
        <v>1656</v>
      </c>
      <c r="F1331" s="848" t="s">
        <v>1437</v>
      </c>
      <c r="G1331" s="40"/>
      <c r="H1331" s="600" t="s">
        <v>37</v>
      </c>
      <c r="I1331" s="504">
        <v>0</v>
      </c>
      <c r="J1331" s="849" t="str">
        <f t="shared" ref="J1331" si="5271">IFERROR((I1332/I1331),"-")</f>
        <v>-</v>
      </c>
      <c r="K1331" s="40"/>
      <c r="L1331" s="600" t="s">
        <v>37</v>
      </c>
      <c r="M1331" s="504">
        <f t="shared" si="5262"/>
        <v>0</v>
      </c>
      <c r="N1331" s="849" t="str">
        <f t="shared" ref="N1331" si="5272">IFERROR((M1332/M1331),"-")</f>
        <v>-</v>
      </c>
      <c r="O1331" s="40"/>
      <c r="P1331" s="602">
        <v>0</v>
      </c>
      <c r="Q1331" s="602">
        <v>0</v>
      </c>
      <c r="R1331" s="602">
        <v>0</v>
      </c>
      <c r="S1331" s="602">
        <v>0</v>
      </c>
      <c r="T1331" s="602">
        <v>0</v>
      </c>
      <c r="U1331" s="602">
        <v>0</v>
      </c>
      <c r="V1331" s="602">
        <v>0</v>
      </c>
      <c r="W1331" s="40"/>
      <c r="X1331" s="504">
        <f t="shared" si="5005"/>
        <v>0</v>
      </c>
      <c r="Y1331" s="849" t="str">
        <f t="shared" ref="Y1331" si="5273">IFERROR((X1332/X1331),"0")</f>
        <v>0</v>
      </c>
      <c r="Z1331" s="40"/>
      <c r="AA1331" s="855">
        <v>0</v>
      </c>
      <c r="AB1331" s="855">
        <v>0</v>
      </c>
      <c r="AC1331" s="858">
        <v>0</v>
      </c>
      <c r="AD1331" s="849" t="str">
        <f t="shared" ref="AD1331" si="5274">IFERROR((AC1331/AB1331),"-")</f>
        <v>-</v>
      </c>
      <c r="AE1331" s="40"/>
      <c r="AF1331" s="855">
        <v>1</v>
      </c>
      <c r="AG1331" s="855"/>
      <c r="AH1331" s="858">
        <v>0</v>
      </c>
      <c r="AI1331" s="855"/>
      <c r="AJ1331" s="855"/>
      <c r="AK1331" s="855">
        <f t="shared" ref="AK1331" si="5275">AF1331+AG1331+AH1331+AI1331+AJ1331+AC1331</f>
        <v>1</v>
      </c>
      <c r="AL1331" s="855">
        <v>1</v>
      </c>
      <c r="AM1331" s="849">
        <f t="shared" ref="AM1331" si="5276">IFERROR((AK1331/AL1331),"-")</f>
        <v>1</v>
      </c>
      <c r="AN1331" s="40"/>
      <c r="AO1331" s="855">
        <v>1</v>
      </c>
      <c r="AP1331" s="855">
        <f t="shared" ref="AP1331" si="5277">AO1331-AK1331</f>
        <v>0</v>
      </c>
      <c r="AV1331" t="str">
        <f t="shared" si="5088"/>
        <v>BDCC no Km 155+722 - Aterro 03</v>
      </c>
      <c r="AW1331" s="4" t="str">
        <f t="shared" si="5086"/>
        <v>2.5-BSTC DN 1,0m - Km 0+185 - acesso km 144+540 LE - Bueiro de Concreto - LD</v>
      </c>
    </row>
    <row r="1332" spans="1:49" ht="15.6" customHeight="1" outlineLevel="2">
      <c r="A1332" s="598" t="str">
        <f t="shared" ref="A1332" si="5278">A1331</f>
        <v>N</v>
      </c>
      <c r="B1332" s="599"/>
      <c r="C1332" s="599"/>
      <c r="D1332" s="118" t="s">
        <v>1441</v>
      </c>
      <c r="E1332" s="918"/>
      <c r="F1332" s="848"/>
      <c r="G1332" s="40"/>
      <c r="H1332" s="603" t="s">
        <v>38</v>
      </c>
      <c r="I1332" s="504">
        <v>0</v>
      </c>
      <c r="J1332" s="850"/>
      <c r="K1332" s="40"/>
      <c r="L1332" s="603" t="s">
        <v>38</v>
      </c>
      <c r="M1332" s="504">
        <f t="shared" si="5262"/>
        <v>0</v>
      </c>
      <c r="N1332" s="850"/>
      <c r="O1332" s="40"/>
      <c r="P1332" s="602">
        <v>0</v>
      </c>
      <c r="Q1332" s="602">
        <v>0</v>
      </c>
      <c r="R1332" s="602">
        <v>0</v>
      </c>
      <c r="S1332" s="602">
        <v>0</v>
      </c>
      <c r="T1332" s="602">
        <v>0</v>
      </c>
      <c r="U1332" s="602">
        <v>0</v>
      </c>
      <c r="V1332" s="602">
        <v>0</v>
      </c>
      <c r="W1332" s="40"/>
      <c r="X1332" s="504">
        <f t="shared" si="5005"/>
        <v>0</v>
      </c>
      <c r="Y1332" s="850"/>
      <c r="Z1332" s="40"/>
      <c r="AA1332" s="856"/>
      <c r="AB1332" s="856"/>
      <c r="AC1332" s="857"/>
      <c r="AD1332" s="920"/>
      <c r="AE1332" s="40"/>
      <c r="AF1332" s="856"/>
      <c r="AG1332" s="856"/>
      <c r="AH1332" s="857"/>
      <c r="AI1332" s="856"/>
      <c r="AJ1332" s="856"/>
      <c r="AK1332" s="856"/>
      <c r="AL1332" s="856"/>
      <c r="AM1332" s="850"/>
      <c r="AN1332" s="40"/>
      <c r="AO1332" s="882"/>
      <c r="AP1332" s="882"/>
      <c r="AV1332" t="str">
        <f t="shared" si="5088"/>
        <v>BDCC no Km 155+722 - Aterro 03</v>
      </c>
      <c r="AW1332" s="4" t="str">
        <f t="shared" si="5086"/>
        <v>2.5-BSTC DN 1,0m - Km 0+185 - acesso km 144+540 LE - Bueiro de Concreto - LD</v>
      </c>
    </row>
    <row r="1333" spans="1:49" ht="15.6" customHeight="1" outlineLevel="2">
      <c r="A1333" s="598" t="str">
        <f t="shared" ref="A1333" si="5279">IF(SUM(P1333:V1334)&gt;0,"S","N")</f>
        <v>N</v>
      </c>
      <c r="B1333" s="599">
        <v>1064889</v>
      </c>
      <c r="C1333" s="599" t="s">
        <v>1657</v>
      </c>
      <c r="D1333" s="118" t="s">
        <v>1390</v>
      </c>
      <c r="E1333" s="917" t="s">
        <v>1658</v>
      </c>
      <c r="F1333" s="848" t="s">
        <v>1437</v>
      </c>
      <c r="G1333" s="40"/>
      <c r="H1333" s="600" t="s">
        <v>37</v>
      </c>
      <c r="I1333" s="504">
        <v>0</v>
      </c>
      <c r="J1333" s="849" t="str">
        <f t="shared" ref="J1333" si="5280">IFERROR((I1334/I1333),"-")</f>
        <v>-</v>
      </c>
      <c r="K1333" s="40"/>
      <c r="L1333" s="600" t="s">
        <v>37</v>
      </c>
      <c r="M1333" s="504">
        <f t="shared" si="5262"/>
        <v>0</v>
      </c>
      <c r="N1333" s="849" t="str">
        <f t="shared" ref="N1333" si="5281">IFERROR((M1334/M1333),"-")</f>
        <v>-</v>
      </c>
      <c r="O1333" s="40"/>
      <c r="P1333" s="602">
        <v>0</v>
      </c>
      <c r="Q1333" s="602">
        <v>0</v>
      </c>
      <c r="R1333" s="602">
        <v>0</v>
      </c>
      <c r="S1333" s="602">
        <v>0</v>
      </c>
      <c r="T1333" s="602">
        <v>0</v>
      </c>
      <c r="U1333" s="602">
        <v>0</v>
      </c>
      <c r="V1333" s="602">
        <v>0</v>
      </c>
      <c r="W1333" s="40"/>
      <c r="X1333" s="504">
        <f t="shared" si="5005"/>
        <v>0</v>
      </c>
      <c r="Y1333" s="849" t="str">
        <f t="shared" ref="Y1333" si="5282">IFERROR((X1334/X1333),"0")</f>
        <v>0</v>
      </c>
      <c r="Z1333" s="40"/>
      <c r="AA1333" s="855">
        <v>0</v>
      </c>
      <c r="AB1333" s="855">
        <v>0</v>
      </c>
      <c r="AC1333" s="858">
        <v>0</v>
      </c>
      <c r="AD1333" s="849" t="str">
        <f t="shared" ref="AD1333" si="5283">IFERROR((AC1333/AB1333),"-")</f>
        <v>-</v>
      </c>
      <c r="AE1333" s="40"/>
      <c r="AF1333" s="855">
        <v>1</v>
      </c>
      <c r="AG1333" s="855"/>
      <c r="AH1333" s="858">
        <v>0</v>
      </c>
      <c r="AI1333" s="855"/>
      <c r="AJ1333" s="855"/>
      <c r="AK1333" s="855">
        <f t="shared" ref="AK1333" si="5284">AF1333+AG1333+AH1333+AI1333+AJ1333+AC1333</f>
        <v>1</v>
      </c>
      <c r="AL1333" s="855">
        <v>1.0000000000000002</v>
      </c>
      <c r="AM1333" s="849">
        <f t="shared" ref="AM1333" si="5285">IFERROR((AK1333/AL1333),"-")</f>
        <v>0.99999999999999978</v>
      </c>
      <c r="AN1333" s="40"/>
      <c r="AO1333" s="855">
        <v>1</v>
      </c>
      <c r="AP1333" s="855">
        <f t="shared" ref="AP1333" si="5286">AO1333-AK1333</f>
        <v>0</v>
      </c>
      <c r="AV1333" t="str">
        <f t="shared" si="5088"/>
        <v>BDCC no Km 155+722 - Aterro 03</v>
      </c>
      <c r="AW1333" s="4" t="str">
        <f t="shared" si="5086"/>
        <v>2.5-BSTC DN 1,0m - Km 0+242 - acesso km 144+540 LD - Bueiro de Concreto - LE</v>
      </c>
    </row>
    <row r="1334" spans="1:49" ht="15.6" customHeight="1" outlineLevel="2">
      <c r="A1334" s="598" t="str">
        <f t="shared" ref="A1334" si="5287">A1333</f>
        <v>N</v>
      </c>
      <c r="B1334" s="599"/>
      <c r="C1334" s="599"/>
      <c r="D1334" s="118" t="s">
        <v>1444</v>
      </c>
      <c r="E1334" s="918"/>
      <c r="F1334" s="848"/>
      <c r="G1334" s="40"/>
      <c r="H1334" s="603" t="s">
        <v>38</v>
      </c>
      <c r="I1334" s="504">
        <v>0</v>
      </c>
      <c r="J1334" s="850"/>
      <c r="K1334" s="40"/>
      <c r="L1334" s="603" t="s">
        <v>38</v>
      </c>
      <c r="M1334" s="504">
        <f t="shared" si="5262"/>
        <v>0</v>
      </c>
      <c r="N1334" s="850"/>
      <c r="O1334" s="40"/>
      <c r="P1334" s="602">
        <v>0</v>
      </c>
      <c r="Q1334" s="602">
        <v>0</v>
      </c>
      <c r="R1334" s="602">
        <v>0</v>
      </c>
      <c r="S1334" s="602">
        <v>0</v>
      </c>
      <c r="T1334" s="602">
        <v>0</v>
      </c>
      <c r="U1334" s="602">
        <v>0</v>
      </c>
      <c r="V1334" s="602">
        <v>0</v>
      </c>
      <c r="W1334" s="40"/>
      <c r="X1334" s="504">
        <f t="shared" si="5005"/>
        <v>0</v>
      </c>
      <c r="Y1334" s="850"/>
      <c r="Z1334" s="40"/>
      <c r="AA1334" s="856"/>
      <c r="AB1334" s="856"/>
      <c r="AC1334" s="857"/>
      <c r="AD1334" s="920"/>
      <c r="AE1334" s="40"/>
      <c r="AF1334" s="856"/>
      <c r="AG1334" s="856"/>
      <c r="AH1334" s="857"/>
      <c r="AI1334" s="856"/>
      <c r="AJ1334" s="856"/>
      <c r="AK1334" s="856"/>
      <c r="AL1334" s="856"/>
      <c r="AM1334" s="850"/>
      <c r="AN1334" s="40"/>
      <c r="AO1334" s="882"/>
      <c r="AP1334" s="882"/>
      <c r="AV1334" t="str">
        <f t="shared" si="5088"/>
        <v>BDCC no Km 155+722 - Aterro 03</v>
      </c>
      <c r="AW1334" s="4" t="str">
        <f t="shared" si="5086"/>
        <v>2.5-BSTC DN 1,0m - Km 0+242 - acesso km 144+540 LD - Bueiro de Concreto - LE</v>
      </c>
    </row>
    <row r="1335" spans="1:49" ht="15.6" customHeight="1" outlineLevel="2">
      <c r="A1335" s="598" t="str">
        <f t="shared" ref="A1335" si="5288">IF(SUM(P1335:V1336)&gt;0,"S","N")</f>
        <v>N</v>
      </c>
      <c r="B1335" s="599">
        <v>1064890</v>
      </c>
      <c r="C1335" s="599" t="s">
        <v>1659</v>
      </c>
      <c r="D1335" s="118" t="s">
        <v>1390</v>
      </c>
      <c r="E1335" s="917" t="s">
        <v>1660</v>
      </c>
      <c r="F1335" s="848" t="s">
        <v>1437</v>
      </c>
      <c r="G1335" s="40"/>
      <c r="H1335" s="600" t="s">
        <v>37</v>
      </c>
      <c r="I1335" s="504">
        <v>0</v>
      </c>
      <c r="J1335" s="849" t="str">
        <f t="shared" ref="J1335" si="5289">IFERROR((I1336/I1335),"-")</f>
        <v>-</v>
      </c>
      <c r="K1335" s="40"/>
      <c r="L1335" s="600" t="s">
        <v>37</v>
      </c>
      <c r="M1335" s="504">
        <f t="shared" si="5262"/>
        <v>0</v>
      </c>
      <c r="N1335" s="849" t="str">
        <f t="shared" ref="N1335" si="5290">IFERROR((M1336/M1335),"-")</f>
        <v>-</v>
      </c>
      <c r="O1335" s="40"/>
      <c r="P1335" s="602">
        <v>0</v>
      </c>
      <c r="Q1335" s="602">
        <v>0</v>
      </c>
      <c r="R1335" s="602">
        <v>0</v>
      </c>
      <c r="S1335" s="602">
        <v>0</v>
      </c>
      <c r="T1335" s="602">
        <v>0</v>
      </c>
      <c r="U1335" s="602">
        <v>0</v>
      </c>
      <c r="V1335" s="602">
        <v>0</v>
      </c>
      <c r="W1335" s="40"/>
      <c r="X1335" s="504">
        <f t="shared" si="5005"/>
        <v>0</v>
      </c>
      <c r="Y1335" s="849" t="str">
        <f t="shared" ref="Y1335" si="5291">IFERROR((X1336/X1335),"0")</f>
        <v>0</v>
      </c>
      <c r="Z1335" s="40"/>
      <c r="AA1335" s="855">
        <v>0</v>
      </c>
      <c r="AB1335" s="855">
        <v>0</v>
      </c>
      <c r="AC1335" s="858">
        <v>0</v>
      </c>
      <c r="AD1335" s="849" t="str">
        <f t="shared" ref="AD1335" si="5292">IFERROR((AC1335/AB1335),"-")</f>
        <v>-</v>
      </c>
      <c r="AE1335" s="40"/>
      <c r="AF1335" s="855">
        <v>1</v>
      </c>
      <c r="AG1335" s="855"/>
      <c r="AH1335" s="858">
        <v>0</v>
      </c>
      <c r="AI1335" s="855"/>
      <c r="AJ1335" s="855"/>
      <c r="AK1335" s="855">
        <f t="shared" ref="AK1335" si="5293">AF1335+AG1335+AH1335+AI1335+AJ1335+AC1335</f>
        <v>1</v>
      </c>
      <c r="AL1335" s="855">
        <v>1</v>
      </c>
      <c r="AM1335" s="849">
        <f t="shared" ref="AM1335" si="5294">IFERROR((AK1335/AL1335),"-")</f>
        <v>1</v>
      </c>
      <c r="AN1335" s="40"/>
      <c r="AO1335" s="855">
        <v>1</v>
      </c>
      <c r="AP1335" s="855">
        <f t="shared" ref="AP1335" si="5295">AO1335-AK1335</f>
        <v>0</v>
      </c>
      <c r="AV1335" t="str">
        <f t="shared" si="5088"/>
        <v>BDCC no Km 155+722 - Aterro 03</v>
      </c>
      <c r="AW1335" s="4" t="str">
        <f t="shared" si="5086"/>
        <v>2.5-BSTC DN 1,0m - Km 0+242 - acesso km 144+540 LD - Bueiro de Concreto - LD</v>
      </c>
    </row>
    <row r="1336" spans="1:49" ht="15.6" customHeight="1" outlineLevel="2">
      <c r="A1336" s="598" t="str">
        <f t="shared" ref="A1336" si="5296">A1335</f>
        <v>N</v>
      </c>
      <c r="B1336" s="599"/>
      <c r="C1336" s="599"/>
      <c r="D1336" s="118" t="s">
        <v>1441</v>
      </c>
      <c r="E1336" s="918"/>
      <c r="F1336" s="848"/>
      <c r="G1336" s="40"/>
      <c r="H1336" s="603" t="s">
        <v>38</v>
      </c>
      <c r="I1336" s="504">
        <v>0</v>
      </c>
      <c r="J1336" s="850"/>
      <c r="K1336" s="40"/>
      <c r="L1336" s="603" t="s">
        <v>38</v>
      </c>
      <c r="M1336" s="504">
        <f t="shared" si="5262"/>
        <v>0</v>
      </c>
      <c r="N1336" s="850"/>
      <c r="O1336" s="40"/>
      <c r="P1336" s="602">
        <v>0</v>
      </c>
      <c r="Q1336" s="602">
        <v>0</v>
      </c>
      <c r="R1336" s="602">
        <v>0</v>
      </c>
      <c r="S1336" s="602">
        <v>0</v>
      </c>
      <c r="T1336" s="602">
        <v>0</v>
      </c>
      <c r="U1336" s="602">
        <v>0</v>
      </c>
      <c r="V1336" s="602">
        <v>0</v>
      </c>
      <c r="W1336" s="40"/>
      <c r="X1336" s="504">
        <f t="shared" ref="X1336:X1360" si="5297">SUMIFS(P1336:V1336,$P$8:$V$8,"&gt;="&amp;$P$8,$P$8:$V$8,"&lt;="&amp;$N$8)</f>
        <v>0</v>
      </c>
      <c r="Y1336" s="850"/>
      <c r="Z1336" s="40"/>
      <c r="AA1336" s="856"/>
      <c r="AB1336" s="856"/>
      <c r="AC1336" s="857"/>
      <c r="AD1336" s="920"/>
      <c r="AE1336" s="40"/>
      <c r="AF1336" s="856"/>
      <c r="AG1336" s="856"/>
      <c r="AH1336" s="857"/>
      <c r="AI1336" s="856"/>
      <c r="AJ1336" s="856"/>
      <c r="AK1336" s="856"/>
      <c r="AL1336" s="856"/>
      <c r="AM1336" s="850"/>
      <c r="AN1336" s="40"/>
      <c r="AO1336" s="882"/>
      <c r="AP1336" s="882"/>
      <c r="AV1336" t="str">
        <f t="shared" si="5088"/>
        <v>BDCC no Km 155+722 - Aterro 03</v>
      </c>
      <c r="AW1336" s="4" t="str">
        <f t="shared" si="5086"/>
        <v>2.5-BSTC DN 1,0m - Km 0+242 - acesso km 144+540 LD - Bueiro de Concreto - LD</v>
      </c>
    </row>
    <row r="1337" spans="1:49" ht="15.6" customHeight="1" outlineLevel="2">
      <c r="A1337" s="598" t="str">
        <f t="shared" ref="A1337" si="5298">IF(SUM(P1337:V1338)&gt;0,"S","N")</f>
        <v>N</v>
      </c>
      <c r="B1337" s="599">
        <v>1064896</v>
      </c>
      <c r="C1337" s="599" t="s">
        <v>1661</v>
      </c>
      <c r="D1337" s="118" t="s">
        <v>1392</v>
      </c>
      <c r="E1337" s="917" t="s">
        <v>1662</v>
      </c>
      <c r="F1337" s="848" t="s">
        <v>1437</v>
      </c>
      <c r="G1337" s="40"/>
      <c r="H1337" s="600" t="s">
        <v>37</v>
      </c>
      <c r="I1337" s="504">
        <v>0</v>
      </c>
      <c r="J1337" s="849" t="str">
        <f t="shared" ref="J1337" si="5299">IFERROR((I1338/I1337),"-")</f>
        <v>-</v>
      </c>
      <c r="K1337" s="40"/>
      <c r="L1337" s="600" t="s">
        <v>37</v>
      </c>
      <c r="M1337" s="504">
        <f t="shared" si="5262"/>
        <v>0</v>
      </c>
      <c r="N1337" s="849" t="str">
        <f t="shared" ref="N1337" si="5300">IFERROR((M1338/M1337),"-")</f>
        <v>-</v>
      </c>
      <c r="O1337" s="40"/>
      <c r="P1337" s="602">
        <v>0</v>
      </c>
      <c r="Q1337" s="602">
        <v>0</v>
      </c>
      <c r="R1337" s="602">
        <v>0</v>
      </c>
      <c r="S1337" s="602">
        <v>0</v>
      </c>
      <c r="T1337" s="602">
        <v>0</v>
      </c>
      <c r="U1337" s="602">
        <v>0</v>
      </c>
      <c r="V1337" s="602">
        <v>0</v>
      </c>
      <c r="W1337" s="40"/>
      <c r="X1337" s="504">
        <f t="shared" si="5297"/>
        <v>0</v>
      </c>
      <c r="Y1337" s="849" t="str">
        <f t="shared" ref="Y1337" si="5301">IFERROR((X1338/X1337),"0")</f>
        <v>0</v>
      </c>
      <c r="Z1337" s="40"/>
      <c r="AA1337" s="855">
        <v>0</v>
      </c>
      <c r="AB1337" s="855">
        <v>0</v>
      </c>
      <c r="AC1337" s="858">
        <v>0</v>
      </c>
      <c r="AD1337" s="849" t="str">
        <f t="shared" ref="AD1337" si="5302">IFERROR((AC1337/AB1337),"-")</f>
        <v>-</v>
      </c>
      <c r="AE1337" s="40"/>
      <c r="AF1337" s="855">
        <v>0</v>
      </c>
      <c r="AG1337" s="855"/>
      <c r="AH1337" s="858">
        <v>0</v>
      </c>
      <c r="AI1337" s="855">
        <v>1</v>
      </c>
      <c r="AJ1337" s="855"/>
      <c r="AK1337" s="855">
        <f t="shared" ref="AK1337" si="5303">AF1337+AG1337+AH1337+AI1337+AJ1337+AC1337</f>
        <v>1</v>
      </c>
      <c r="AL1337" s="855">
        <v>1</v>
      </c>
      <c r="AM1337" s="849">
        <f t="shared" ref="AM1337" si="5304">IFERROR((AK1337/AL1337),"-")</f>
        <v>1</v>
      </c>
      <c r="AN1337" s="40"/>
      <c r="AO1337" s="855">
        <v>1</v>
      </c>
      <c r="AP1337" s="855">
        <f t="shared" ref="AP1337" si="5305">AO1337-AK1337</f>
        <v>0</v>
      </c>
      <c r="AV1337" t="str">
        <f t="shared" si="5088"/>
        <v>BDCC no Km 155+722 - Aterro 03</v>
      </c>
      <c r="AW1337" s="4" t="str">
        <f t="shared" si="5086"/>
        <v>2.5-BST PEAD DN 0,80m - Km 0+280 - acesso km 149+600 LE - Bueiro de PEAD - LE</v>
      </c>
    </row>
    <row r="1338" spans="1:49" ht="15.6" customHeight="1" outlineLevel="2">
      <c r="A1338" s="598" t="str">
        <f t="shared" ref="A1338" si="5306">A1337</f>
        <v>N</v>
      </c>
      <c r="B1338" s="599"/>
      <c r="C1338" s="599"/>
      <c r="D1338" s="118" t="s">
        <v>1444</v>
      </c>
      <c r="E1338" s="918"/>
      <c r="F1338" s="848"/>
      <c r="G1338" s="40"/>
      <c r="H1338" s="603" t="s">
        <v>38</v>
      </c>
      <c r="I1338" s="504">
        <v>0</v>
      </c>
      <c r="J1338" s="850"/>
      <c r="K1338" s="40"/>
      <c r="L1338" s="603" t="s">
        <v>38</v>
      </c>
      <c r="M1338" s="504">
        <f t="shared" si="5262"/>
        <v>0</v>
      </c>
      <c r="N1338" s="850"/>
      <c r="O1338" s="40"/>
      <c r="P1338" s="602">
        <v>0</v>
      </c>
      <c r="Q1338" s="602">
        <v>0</v>
      </c>
      <c r="R1338" s="602">
        <v>0</v>
      </c>
      <c r="S1338" s="602">
        <v>0</v>
      </c>
      <c r="T1338" s="602">
        <v>0</v>
      </c>
      <c r="U1338" s="602">
        <v>0</v>
      </c>
      <c r="V1338" s="602">
        <v>0</v>
      </c>
      <c r="W1338" s="40"/>
      <c r="X1338" s="504">
        <f t="shared" si="5297"/>
        <v>0</v>
      </c>
      <c r="Y1338" s="850"/>
      <c r="Z1338" s="40"/>
      <c r="AA1338" s="856"/>
      <c r="AB1338" s="856"/>
      <c r="AC1338" s="857"/>
      <c r="AD1338" s="920"/>
      <c r="AE1338" s="40"/>
      <c r="AF1338" s="856"/>
      <c r="AG1338" s="856"/>
      <c r="AH1338" s="857"/>
      <c r="AI1338" s="856"/>
      <c r="AJ1338" s="856"/>
      <c r="AK1338" s="856"/>
      <c r="AL1338" s="856"/>
      <c r="AM1338" s="850"/>
      <c r="AN1338" s="40"/>
      <c r="AO1338" s="882"/>
      <c r="AP1338" s="882"/>
      <c r="AV1338" t="str">
        <f t="shared" si="5088"/>
        <v>BDCC no Km 155+722 - Aterro 03</v>
      </c>
      <c r="AW1338" s="4" t="str">
        <f t="shared" si="5086"/>
        <v>2.5-BST PEAD DN 0,80m - Km 0+280 - acesso km 149+600 LE - Bueiro de PEAD - LE</v>
      </c>
    </row>
    <row r="1339" spans="1:49" ht="15.6" customHeight="1" outlineLevel="2">
      <c r="A1339" s="598" t="str">
        <f t="shared" ref="A1339" si="5307">IF(SUM(P1339:V1340)&gt;0,"S","N")</f>
        <v>N</v>
      </c>
      <c r="B1339" s="599">
        <v>1064897</v>
      </c>
      <c r="C1339" s="599" t="s">
        <v>1663</v>
      </c>
      <c r="D1339" s="118" t="s">
        <v>1392</v>
      </c>
      <c r="E1339" s="917" t="s">
        <v>1664</v>
      </c>
      <c r="F1339" s="848" t="s">
        <v>1437</v>
      </c>
      <c r="G1339" s="40"/>
      <c r="H1339" s="600" t="s">
        <v>37</v>
      </c>
      <c r="I1339" s="504">
        <v>0</v>
      </c>
      <c r="J1339" s="849" t="str">
        <f t="shared" ref="J1339" si="5308">IFERROR((I1340/I1339),"-")</f>
        <v>-</v>
      </c>
      <c r="K1339" s="40"/>
      <c r="L1339" s="600" t="s">
        <v>37</v>
      </c>
      <c r="M1339" s="504">
        <f t="shared" si="5262"/>
        <v>0</v>
      </c>
      <c r="N1339" s="849" t="str">
        <f t="shared" ref="N1339" si="5309">IFERROR((M1340/M1339),"-")</f>
        <v>-</v>
      </c>
      <c r="O1339" s="40"/>
      <c r="P1339" s="602">
        <v>0</v>
      </c>
      <c r="Q1339" s="602">
        <v>0</v>
      </c>
      <c r="R1339" s="602">
        <v>0</v>
      </c>
      <c r="S1339" s="602">
        <v>0</v>
      </c>
      <c r="T1339" s="602">
        <v>0</v>
      </c>
      <c r="U1339" s="602">
        <v>0</v>
      </c>
      <c r="V1339" s="602">
        <v>0</v>
      </c>
      <c r="W1339" s="40"/>
      <c r="X1339" s="504">
        <f t="shared" si="5297"/>
        <v>0</v>
      </c>
      <c r="Y1339" s="849" t="str">
        <f t="shared" ref="Y1339" si="5310">IFERROR((X1340/X1339),"0")</f>
        <v>0</v>
      </c>
      <c r="Z1339" s="40"/>
      <c r="AA1339" s="855">
        <v>0</v>
      </c>
      <c r="AB1339" s="855">
        <v>0</v>
      </c>
      <c r="AC1339" s="858">
        <v>0</v>
      </c>
      <c r="AD1339" s="849" t="str">
        <f t="shared" ref="AD1339" si="5311">IFERROR((AC1339/AB1339),"-")</f>
        <v>-</v>
      </c>
      <c r="AE1339" s="40"/>
      <c r="AF1339" s="855">
        <v>0</v>
      </c>
      <c r="AG1339" s="855"/>
      <c r="AH1339" s="858">
        <v>0</v>
      </c>
      <c r="AI1339" s="855">
        <v>1</v>
      </c>
      <c r="AJ1339" s="855"/>
      <c r="AK1339" s="855">
        <f t="shared" ref="AK1339" si="5312">AF1339+AG1339+AH1339+AI1339+AJ1339+AC1339</f>
        <v>1</v>
      </c>
      <c r="AL1339" s="855">
        <v>1</v>
      </c>
      <c r="AM1339" s="849">
        <f t="shared" ref="AM1339" si="5313">IFERROR((AK1339/AL1339),"-")</f>
        <v>1</v>
      </c>
      <c r="AN1339" s="40"/>
      <c r="AO1339" s="855">
        <v>1</v>
      </c>
      <c r="AP1339" s="855">
        <f t="shared" ref="AP1339" si="5314">AO1339-AK1339</f>
        <v>0</v>
      </c>
      <c r="AV1339" t="str">
        <f t="shared" si="5088"/>
        <v>BDCC no Km 155+722 - Aterro 03</v>
      </c>
      <c r="AW1339" s="4" t="str">
        <f t="shared" si="5086"/>
        <v>2.5-BST PEAD DN 0,80m - Km 0+280 - acesso km 149+600 LE - Bueiro de PEAD - LD</v>
      </c>
    </row>
    <row r="1340" spans="1:49" ht="15.6" customHeight="1" outlineLevel="2">
      <c r="A1340" s="598" t="str">
        <f t="shared" ref="A1340" si="5315">A1339</f>
        <v>N</v>
      </c>
      <c r="B1340" s="599"/>
      <c r="C1340" s="599"/>
      <c r="D1340" s="118" t="s">
        <v>1441</v>
      </c>
      <c r="E1340" s="918"/>
      <c r="F1340" s="848"/>
      <c r="G1340" s="40"/>
      <c r="H1340" s="603" t="s">
        <v>38</v>
      </c>
      <c r="I1340" s="504">
        <v>0</v>
      </c>
      <c r="J1340" s="850"/>
      <c r="K1340" s="40"/>
      <c r="L1340" s="603" t="s">
        <v>38</v>
      </c>
      <c r="M1340" s="504">
        <f t="shared" si="5262"/>
        <v>0</v>
      </c>
      <c r="N1340" s="850"/>
      <c r="O1340" s="40"/>
      <c r="P1340" s="602">
        <v>0</v>
      </c>
      <c r="Q1340" s="602">
        <v>0</v>
      </c>
      <c r="R1340" s="602">
        <v>0</v>
      </c>
      <c r="S1340" s="602">
        <v>0</v>
      </c>
      <c r="T1340" s="602">
        <v>0</v>
      </c>
      <c r="U1340" s="602">
        <v>0</v>
      </c>
      <c r="V1340" s="602">
        <v>0</v>
      </c>
      <c r="W1340" s="40"/>
      <c r="X1340" s="504">
        <f t="shared" si="5297"/>
        <v>0</v>
      </c>
      <c r="Y1340" s="850"/>
      <c r="Z1340" s="40"/>
      <c r="AA1340" s="856"/>
      <c r="AB1340" s="856"/>
      <c r="AC1340" s="857"/>
      <c r="AD1340" s="920"/>
      <c r="AE1340" s="40"/>
      <c r="AF1340" s="856"/>
      <c r="AG1340" s="856"/>
      <c r="AH1340" s="857"/>
      <c r="AI1340" s="856"/>
      <c r="AJ1340" s="856"/>
      <c r="AK1340" s="856"/>
      <c r="AL1340" s="856"/>
      <c r="AM1340" s="850"/>
      <c r="AN1340" s="40"/>
      <c r="AO1340" s="882"/>
      <c r="AP1340" s="882"/>
      <c r="AV1340" t="str">
        <f t="shared" si="5088"/>
        <v>BDCC no Km 155+722 - Aterro 03</v>
      </c>
      <c r="AW1340" s="4" t="str">
        <f t="shared" si="5086"/>
        <v>2.5-BST PEAD DN 0,80m - Km 0+280 - acesso km 149+600 LE - Bueiro de PEAD - LD</v>
      </c>
    </row>
    <row r="1341" spans="1:49" ht="15.6" customHeight="1" outlineLevel="2">
      <c r="A1341" s="598" t="str">
        <f t="shared" ref="A1341" si="5316">IF(SUM(P1341:V1342)&gt;0,"S","N")</f>
        <v>N</v>
      </c>
      <c r="B1341" s="599">
        <v>1064904</v>
      </c>
      <c r="C1341" s="599" t="s">
        <v>1665</v>
      </c>
      <c r="D1341" s="118" t="s">
        <v>1394</v>
      </c>
      <c r="E1341" s="917" t="s">
        <v>1666</v>
      </c>
      <c r="F1341" s="848" t="s">
        <v>1437</v>
      </c>
      <c r="G1341" s="40"/>
      <c r="H1341" s="600" t="s">
        <v>37</v>
      </c>
      <c r="I1341" s="504">
        <v>0</v>
      </c>
      <c r="J1341" s="849" t="str">
        <f t="shared" ref="J1341" si="5317">IFERROR((I1342/I1341),"-")</f>
        <v>-</v>
      </c>
      <c r="K1341" s="40"/>
      <c r="L1341" s="600" t="s">
        <v>37</v>
      </c>
      <c r="M1341" s="504">
        <f t="shared" si="5262"/>
        <v>0</v>
      </c>
      <c r="N1341" s="849" t="str">
        <f t="shared" ref="N1341" si="5318">IFERROR((M1342/M1341),"-")</f>
        <v>-</v>
      </c>
      <c r="O1341" s="40"/>
      <c r="P1341" s="602">
        <v>0</v>
      </c>
      <c r="Q1341" s="602">
        <v>0</v>
      </c>
      <c r="R1341" s="602">
        <v>0</v>
      </c>
      <c r="S1341" s="602">
        <v>0</v>
      </c>
      <c r="T1341" s="602">
        <v>0</v>
      </c>
      <c r="U1341" s="602">
        <v>0</v>
      </c>
      <c r="V1341" s="602">
        <v>0</v>
      </c>
      <c r="W1341" s="40"/>
      <c r="X1341" s="504">
        <f t="shared" si="5297"/>
        <v>0</v>
      </c>
      <c r="Y1341" s="849" t="str">
        <f t="shared" ref="Y1341" si="5319">IFERROR((X1342/X1341),"0")</f>
        <v>0</v>
      </c>
      <c r="Z1341" s="40"/>
      <c r="AA1341" s="855">
        <v>0</v>
      </c>
      <c r="AB1341" s="855">
        <v>0</v>
      </c>
      <c r="AC1341" s="858">
        <v>0</v>
      </c>
      <c r="AD1341" s="849" t="str">
        <f t="shared" ref="AD1341" si="5320">IFERROR((AC1341/AB1341),"-")</f>
        <v>-</v>
      </c>
      <c r="AE1341" s="40"/>
      <c r="AF1341" s="855">
        <v>0</v>
      </c>
      <c r="AG1341" s="855"/>
      <c r="AH1341" s="858">
        <v>0</v>
      </c>
      <c r="AI1341" s="855"/>
      <c r="AJ1341" s="855"/>
      <c r="AK1341" s="855">
        <f t="shared" ref="AK1341" si="5321">AF1341+AG1341+AH1341+AI1341+AJ1341+AC1341</f>
        <v>0</v>
      </c>
      <c r="AL1341" s="855">
        <v>0</v>
      </c>
      <c r="AM1341" s="849" t="str">
        <f t="shared" ref="AM1341" si="5322">IFERROR((AK1341/AL1341),"-")</f>
        <v>-</v>
      </c>
      <c r="AN1341" s="40"/>
      <c r="AO1341" s="855">
        <v>1</v>
      </c>
      <c r="AP1341" s="855">
        <f t="shared" ref="AP1341" si="5323">AO1341-AK1341</f>
        <v>1</v>
      </c>
      <c r="AV1341" t="str">
        <f t="shared" si="5088"/>
        <v>BDCC no Km 155+722 - Aterro 03</v>
      </c>
      <c r="AW1341" s="4" t="str">
        <f t="shared" si="5086"/>
        <v>2.5-BSTC DN 0,80 m - Km 0+762 - acesso km 147+195 LE - Bueiro de Concreto - LE</v>
      </c>
    </row>
    <row r="1342" spans="1:49" ht="15.6" customHeight="1" outlineLevel="2">
      <c r="A1342" s="598" t="str">
        <f t="shared" ref="A1342" si="5324">A1341</f>
        <v>N</v>
      </c>
      <c r="B1342" s="599"/>
      <c r="C1342" s="599"/>
      <c r="D1342" s="118" t="s">
        <v>1444</v>
      </c>
      <c r="E1342" s="918"/>
      <c r="F1342" s="848"/>
      <c r="G1342" s="40"/>
      <c r="H1342" s="603" t="s">
        <v>38</v>
      </c>
      <c r="I1342" s="504">
        <v>0</v>
      </c>
      <c r="J1342" s="850"/>
      <c r="K1342" s="40"/>
      <c r="L1342" s="603" t="s">
        <v>38</v>
      </c>
      <c r="M1342" s="504">
        <f t="shared" si="5262"/>
        <v>0</v>
      </c>
      <c r="N1342" s="850"/>
      <c r="O1342" s="40"/>
      <c r="P1342" s="602">
        <v>0</v>
      </c>
      <c r="Q1342" s="602">
        <v>0</v>
      </c>
      <c r="R1342" s="602">
        <v>0</v>
      </c>
      <c r="S1342" s="602">
        <v>0</v>
      </c>
      <c r="T1342" s="602">
        <v>0</v>
      </c>
      <c r="U1342" s="602">
        <v>0</v>
      </c>
      <c r="V1342" s="602">
        <v>0</v>
      </c>
      <c r="W1342" s="40"/>
      <c r="X1342" s="504">
        <f t="shared" si="5297"/>
        <v>0</v>
      </c>
      <c r="Y1342" s="850"/>
      <c r="Z1342" s="40"/>
      <c r="AA1342" s="856"/>
      <c r="AB1342" s="856"/>
      <c r="AC1342" s="857"/>
      <c r="AD1342" s="920"/>
      <c r="AE1342" s="40"/>
      <c r="AF1342" s="856"/>
      <c r="AG1342" s="856"/>
      <c r="AH1342" s="857"/>
      <c r="AI1342" s="856"/>
      <c r="AJ1342" s="856"/>
      <c r="AK1342" s="856"/>
      <c r="AL1342" s="856"/>
      <c r="AM1342" s="850"/>
      <c r="AN1342" s="40"/>
      <c r="AO1342" s="882"/>
      <c r="AP1342" s="882"/>
      <c r="AV1342" t="str">
        <f t="shared" si="5088"/>
        <v>BDCC no Km 155+722 - Aterro 03</v>
      </c>
      <c r="AW1342" s="4" t="str">
        <f t="shared" si="5086"/>
        <v>2.5-BSTC DN 0,80 m - Km 0+762 - acesso km 147+195 LE - Bueiro de Concreto - LE</v>
      </c>
    </row>
    <row r="1343" spans="1:49" ht="15.6" customHeight="1" outlineLevel="2">
      <c r="A1343" s="598" t="str">
        <f t="shared" ref="A1343" si="5325">IF(SUM(P1343:V1344)&gt;0,"S","N")</f>
        <v>N</v>
      </c>
      <c r="B1343" s="599">
        <v>1064905</v>
      </c>
      <c r="C1343" s="599" t="s">
        <v>1667</v>
      </c>
      <c r="D1343" s="118" t="s">
        <v>1394</v>
      </c>
      <c r="E1343" s="917" t="s">
        <v>1668</v>
      </c>
      <c r="F1343" s="848" t="s">
        <v>1437</v>
      </c>
      <c r="G1343" s="40"/>
      <c r="H1343" s="600" t="s">
        <v>37</v>
      </c>
      <c r="I1343" s="504">
        <v>0</v>
      </c>
      <c r="J1343" s="849" t="str">
        <f t="shared" ref="J1343" si="5326">IFERROR((I1344/I1343),"-")</f>
        <v>-</v>
      </c>
      <c r="K1343" s="40"/>
      <c r="L1343" s="600" t="s">
        <v>37</v>
      </c>
      <c r="M1343" s="504">
        <f t="shared" si="5262"/>
        <v>0</v>
      </c>
      <c r="N1343" s="849" t="str">
        <f t="shared" ref="N1343" si="5327">IFERROR((M1344/M1343),"-")</f>
        <v>-</v>
      </c>
      <c r="O1343" s="40"/>
      <c r="P1343" s="602">
        <v>0</v>
      </c>
      <c r="Q1343" s="602">
        <v>0</v>
      </c>
      <c r="R1343" s="602">
        <v>0</v>
      </c>
      <c r="S1343" s="602">
        <v>0</v>
      </c>
      <c r="T1343" s="602">
        <v>0</v>
      </c>
      <c r="U1343" s="602">
        <v>0</v>
      </c>
      <c r="V1343" s="602">
        <v>0</v>
      </c>
      <c r="W1343" s="40"/>
      <c r="X1343" s="504">
        <f t="shared" si="5297"/>
        <v>0</v>
      </c>
      <c r="Y1343" s="849" t="str">
        <f t="shared" ref="Y1343" si="5328">IFERROR((X1344/X1343),"0")</f>
        <v>0</v>
      </c>
      <c r="Z1343" s="40"/>
      <c r="AA1343" s="855">
        <v>0</v>
      </c>
      <c r="AB1343" s="855">
        <v>0</v>
      </c>
      <c r="AC1343" s="858">
        <v>0</v>
      </c>
      <c r="AD1343" s="849" t="str">
        <f t="shared" ref="AD1343" si="5329">IFERROR((AC1343/AB1343),"-")</f>
        <v>-</v>
      </c>
      <c r="AE1343" s="40"/>
      <c r="AF1343" s="855">
        <v>0</v>
      </c>
      <c r="AG1343" s="855"/>
      <c r="AH1343" s="858">
        <v>0</v>
      </c>
      <c r="AI1343" s="855"/>
      <c r="AJ1343" s="855"/>
      <c r="AK1343" s="855">
        <f t="shared" ref="AK1343" si="5330">AF1343+AG1343+AH1343+AI1343+AJ1343+AC1343</f>
        <v>0</v>
      </c>
      <c r="AL1343" s="855">
        <v>0</v>
      </c>
      <c r="AM1343" s="849" t="str">
        <f t="shared" ref="AM1343" si="5331">IFERROR((AK1343/AL1343),"-")</f>
        <v>-</v>
      </c>
      <c r="AN1343" s="40"/>
      <c r="AO1343" s="855">
        <v>1</v>
      </c>
      <c r="AP1343" s="855">
        <f t="shared" ref="AP1343" si="5332">AO1343-AK1343</f>
        <v>1</v>
      </c>
      <c r="AV1343" t="str">
        <f t="shared" si="5088"/>
        <v>BDCC no Km 155+722 - Aterro 03</v>
      </c>
      <c r="AW1343" s="4" t="str">
        <f t="shared" si="5086"/>
        <v>2.5-BSTC DN 0,80 m - Km 0+762 - acesso km 147+195 LE - Bueiro de Concreto - LD</v>
      </c>
    </row>
    <row r="1344" spans="1:49" ht="15.6" customHeight="1" outlineLevel="2">
      <c r="A1344" s="598" t="str">
        <f t="shared" ref="A1344" si="5333">A1343</f>
        <v>N</v>
      </c>
      <c r="B1344" s="599"/>
      <c r="C1344" s="599"/>
      <c r="D1344" s="118" t="s">
        <v>1441</v>
      </c>
      <c r="E1344" s="918"/>
      <c r="F1344" s="848"/>
      <c r="G1344" s="40"/>
      <c r="H1344" s="603" t="s">
        <v>38</v>
      </c>
      <c r="I1344" s="504">
        <v>0</v>
      </c>
      <c r="J1344" s="850"/>
      <c r="K1344" s="40"/>
      <c r="L1344" s="603" t="s">
        <v>38</v>
      </c>
      <c r="M1344" s="504">
        <f t="shared" si="5262"/>
        <v>0</v>
      </c>
      <c r="N1344" s="850"/>
      <c r="O1344" s="40"/>
      <c r="P1344" s="602">
        <v>0</v>
      </c>
      <c r="Q1344" s="602">
        <v>0</v>
      </c>
      <c r="R1344" s="602">
        <v>0</v>
      </c>
      <c r="S1344" s="602">
        <v>0</v>
      </c>
      <c r="T1344" s="602">
        <v>0</v>
      </c>
      <c r="U1344" s="602">
        <v>0</v>
      </c>
      <c r="V1344" s="602">
        <v>0</v>
      </c>
      <c r="W1344" s="40"/>
      <c r="X1344" s="504">
        <f t="shared" si="5297"/>
        <v>0</v>
      </c>
      <c r="Y1344" s="850"/>
      <c r="Z1344" s="40"/>
      <c r="AA1344" s="856"/>
      <c r="AB1344" s="856"/>
      <c r="AC1344" s="857"/>
      <c r="AD1344" s="920"/>
      <c r="AE1344" s="40"/>
      <c r="AF1344" s="856"/>
      <c r="AG1344" s="856"/>
      <c r="AH1344" s="857"/>
      <c r="AI1344" s="856"/>
      <c r="AJ1344" s="856"/>
      <c r="AK1344" s="856"/>
      <c r="AL1344" s="856"/>
      <c r="AM1344" s="850"/>
      <c r="AN1344" s="40"/>
      <c r="AO1344" s="882"/>
      <c r="AP1344" s="882"/>
      <c r="AV1344" t="str">
        <f t="shared" si="5088"/>
        <v>BDCC no Km 155+722 - Aterro 03</v>
      </c>
      <c r="AW1344" s="4" t="str">
        <f t="shared" si="5086"/>
        <v>2.5-BSTC DN 0,80 m - Km 0+762 - acesso km 147+195 LE - Bueiro de Concreto - LD</v>
      </c>
    </row>
    <row r="1345" spans="1:50" ht="15.6" customHeight="1" outlineLevel="2">
      <c r="A1345" s="604" t="str">
        <f t="shared" ref="A1345" si="5334">IF(SUM(P1345:V1346)&gt;0,"S","N")</f>
        <v>N</v>
      </c>
      <c r="B1345" s="599">
        <v>1064911</v>
      </c>
      <c r="C1345" s="599" t="s">
        <v>1669</v>
      </c>
      <c r="D1345" s="118" t="s">
        <v>1396</v>
      </c>
      <c r="E1345" s="917" t="s">
        <v>1670</v>
      </c>
      <c r="F1345" s="848" t="s">
        <v>1437</v>
      </c>
      <c r="G1345" s="40"/>
      <c r="H1345" s="600" t="s">
        <v>37</v>
      </c>
      <c r="I1345" s="504">
        <v>0</v>
      </c>
      <c r="J1345" s="849" t="str">
        <f t="shared" ref="J1345" si="5335">IFERROR((I1346/I1345),"-")</f>
        <v>-</v>
      </c>
      <c r="K1345" s="40"/>
      <c r="L1345" s="600" t="s">
        <v>37</v>
      </c>
      <c r="M1345" s="504">
        <f t="shared" si="5262"/>
        <v>0</v>
      </c>
      <c r="N1345" s="849" t="str">
        <f t="shared" ref="N1345" si="5336">IFERROR((M1346/M1345),"-")</f>
        <v>-</v>
      </c>
      <c r="O1345" s="40"/>
      <c r="P1345" s="602">
        <v>0</v>
      </c>
      <c r="Q1345" s="602">
        <v>0</v>
      </c>
      <c r="R1345" s="602">
        <v>0</v>
      </c>
      <c r="S1345" s="602">
        <v>0</v>
      </c>
      <c r="T1345" s="602">
        <v>0</v>
      </c>
      <c r="U1345" s="602">
        <v>0</v>
      </c>
      <c r="V1345" s="602">
        <v>0</v>
      </c>
      <c r="W1345" s="40"/>
      <c r="X1345" s="504">
        <f t="shared" si="5297"/>
        <v>0</v>
      </c>
      <c r="Y1345" s="849" t="str">
        <f t="shared" ref="Y1345" si="5337">IFERROR((X1346/X1345),"0")</f>
        <v>0</v>
      </c>
      <c r="Z1345" s="40"/>
      <c r="AA1345" s="855">
        <v>0</v>
      </c>
      <c r="AB1345" s="855">
        <v>0</v>
      </c>
      <c r="AC1345" s="858">
        <v>0</v>
      </c>
      <c r="AD1345" s="849" t="str">
        <f t="shared" ref="AD1345" si="5338">IFERROR((AC1345/AB1345),"-")</f>
        <v>-</v>
      </c>
      <c r="AE1345" s="40"/>
      <c r="AF1345" s="855">
        <v>0</v>
      </c>
      <c r="AG1345" s="855"/>
      <c r="AH1345" s="858">
        <v>0</v>
      </c>
      <c r="AI1345" s="855"/>
      <c r="AJ1345" s="855"/>
      <c r="AK1345" s="855">
        <f t="shared" ref="AK1345" si="5339">AF1345+AG1345+AH1345+AI1345+AJ1345+AC1345</f>
        <v>0</v>
      </c>
      <c r="AL1345" s="855">
        <v>0</v>
      </c>
      <c r="AM1345" s="849" t="str">
        <f t="shared" ref="AM1345" si="5340">IFERROR((AK1345/AL1345),"-")</f>
        <v>-</v>
      </c>
      <c r="AN1345" s="40"/>
      <c r="AO1345" s="855">
        <v>1</v>
      </c>
      <c r="AP1345" s="855">
        <f t="shared" ref="AP1345" si="5341">AO1345-AK1345</f>
        <v>1</v>
      </c>
      <c r="AV1345" t="str">
        <f t="shared" si="5088"/>
        <v>BDCC no Km 155+722 - Aterro 03</v>
      </c>
      <c r="AW1345" s="4" t="str">
        <f t="shared" si="5086"/>
        <v>2.5-BST PEAD DN 0,80m - Km 0+414 - acesso km 151+700 LD - Bueiro de PEAD - LE</v>
      </c>
    </row>
    <row r="1346" spans="1:50" ht="15.6" customHeight="1" outlineLevel="2">
      <c r="A1346" s="604" t="str">
        <f t="shared" ref="A1346" si="5342">A1345</f>
        <v>N</v>
      </c>
      <c r="B1346" s="599"/>
      <c r="C1346" s="599"/>
      <c r="D1346" s="118" t="s">
        <v>1444</v>
      </c>
      <c r="E1346" s="918"/>
      <c r="F1346" s="848"/>
      <c r="G1346" s="40"/>
      <c r="H1346" s="603" t="s">
        <v>38</v>
      </c>
      <c r="I1346" s="504">
        <v>0</v>
      </c>
      <c r="J1346" s="850"/>
      <c r="K1346" s="40"/>
      <c r="L1346" s="603" t="s">
        <v>38</v>
      </c>
      <c r="M1346" s="504">
        <f t="shared" si="5262"/>
        <v>0</v>
      </c>
      <c r="N1346" s="850"/>
      <c r="O1346" s="40"/>
      <c r="P1346" s="602">
        <v>0</v>
      </c>
      <c r="Q1346" s="602">
        <v>0</v>
      </c>
      <c r="R1346" s="602">
        <v>0</v>
      </c>
      <c r="S1346" s="602">
        <v>0</v>
      </c>
      <c r="T1346" s="602">
        <v>0</v>
      </c>
      <c r="U1346" s="602">
        <v>0</v>
      </c>
      <c r="V1346" s="602">
        <v>0</v>
      </c>
      <c r="W1346" s="40"/>
      <c r="X1346" s="504">
        <f t="shared" si="5297"/>
        <v>0</v>
      </c>
      <c r="Y1346" s="850"/>
      <c r="Z1346" s="40"/>
      <c r="AA1346" s="856"/>
      <c r="AB1346" s="856"/>
      <c r="AC1346" s="857"/>
      <c r="AD1346" s="920"/>
      <c r="AE1346" s="40"/>
      <c r="AF1346" s="856"/>
      <c r="AG1346" s="856"/>
      <c r="AH1346" s="857"/>
      <c r="AI1346" s="856"/>
      <c r="AJ1346" s="856"/>
      <c r="AK1346" s="856"/>
      <c r="AL1346" s="856"/>
      <c r="AM1346" s="850"/>
      <c r="AN1346" s="40"/>
      <c r="AO1346" s="882"/>
      <c r="AP1346" s="882"/>
      <c r="AV1346" t="str">
        <f t="shared" si="5088"/>
        <v>BDCC no Km 155+722 - Aterro 03</v>
      </c>
      <c r="AW1346" s="4" t="str">
        <f t="shared" si="5086"/>
        <v>2.5-BST PEAD DN 0,80m - Km 0+414 - acesso km 151+700 LD - Bueiro de PEAD - LE</v>
      </c>
    </row>
    <row r="1347" spans="1:50" ht="15.6" customHeight="1" outlineLevel="2">
      <c r="A1347" s="598" t="str">
        <f t="shared" ref="A1347" si="5343">IF(SUM(P1347:V1348)&gt;0,"S","N")</f>
        <v>N</v>
      </c>
      <c r="B1347" s="599">
        <v>1064912</v>
      </c>
      <c r="C1347" s="599" t="s">
        <v>1671</v>
      </c>
      <c r="D1347" s="118" t="s">
        <v>1396</v>
      </c>
      <c r="E1347" s="917" t="s">
        <v>1672</v>
      </c>
      <c r="F1347" s="848" t="s">
        <v>1437</v>
      </c>
      <c r="G1347" s="40"/>
      <c r="H1347" s="600" t="s">
        <v>37</v>
      </c>
      <c r="I1347" s="504">
        <v>0</v>
      </c>
      <c r="J1347" s="849" t="str">
        <f t="shared" ref="J1347" si="5344">IFERROR((I1348/I1347),"-")</f>
        <v>-</v>
      </c>
      <c r="K1347" s="40"/>
      <c r="L1347" s="600" t="s">
        <v>37</v>
      </c>
      <c r="M1347" s="504">
        <f t="shared" si="5262"/>
        <v>0</v>
      </c>
      <c r="N1347" s="849" t="str">
        <f t="shared" ref="N1347" si="5345">IFERROR((M1348/M1347),"-")</f>
        <v>-</v>
      </c>
      <c r="O1347" s="40"/>
      <c r="P1347" s="602">
        <v>0</v>
      </c>
      <c r="Q1347" s="602">
        <v>0</v>
      </c>
      <c r="R1347" s="602">
        <v>0</v>
      </c>
      <c r="S1347" s="602">
        <v>0</v>
      </c>
      <c r="T1347" s="602">
        <v>0</v>
      </c>
      <c r="U1347" s="602">
        <v>0</v>
      </c>
      <c r="V1347" s="602">
        <v>0</v>
      </c>
      <c r="W1347" s="40"/>
      <c r="X1347" s="504">
        <f t="shared" si="5297"/>
        <v>0</v>
      </c>
      <c r="Y1347" s="849" t="str">
        <f t="shared" ref="Y1347" si="5346">IFERROR((X1348/X1347),"0")</f>
        <v>0</v>
      </c>
      <c r="Z1347" s="40"/>
      <c r="AA1347" s="855">
        <v>0</v>
      </c>
      <c r="AB1347" s="855">
        <v>0</v>
      </c>
      <c r="AC1347" s="858">
        <v>0</v>
      </c>
      <c r="AD1347" s="849" t="str">
        <f t="shared" ref="AD1347" si="5347">IFERROR((AC1347/AB1347),"-")</f>
        <v>-</v>
      </c>
      <c r="AE1347" s="40"/>
      <c r="AF1347" s="855">
        <v>0</v>
      </c>
      <c r="AG1347" s="855"/>
      <c r="AH1347" s="858">
        <v>0</v>
      </c>
      <c r="AI1347" s="855"/>
      <c r="AJ1347" s="855"/>
      <c r="AK1347" s="855">
        <f t="shared" ref="AK1347" si="5348">AF1347+AG1347+AH1347+AI1347+AJ1347+AC1347</f>
        <v>0</v>
      </c>
      <c r="AL1347" s="855">
        <v>0</v>
      </c>
      <c r="AM1347" s="849" t="str">
        <f t="shared" ref="AM1347" si="5349">IFERROR((AK1347/AL1347),"-")</f>
        <v>-</v>
      </c>
      <c r="AN1347" s="40"/>
      <c r="AO1347" s="855">
        <v>1</v>
      </c>
      <c r="AP1347" s="855">
        <f t="shared" ref="AP1347" si="5350">AO1347-AK1347</f>
        <v>1</v>
      </c>
      <c r="AV1347" t="str">
        <f t="shared" si="5088"/>
        <v>BDCC no Km 155+722 - Aterro 03</v>
      </c>
      <c r="AW1347" s="4" t="str">
        <f t="shared" si="5086"/>
        <v>2.5-BST PEAD DN 0,80m - Km 0+414 - acesso km 151+700 LD - Bueiro de PEAD - LD</v>
      </c>
    </row>
    <row r="1348" spans="1:50" ht="15.6" customHeight="1" outlineLevel="2">
      <c r="A1348" s="598" t="str">
        <f t="shared" ref="A1348" si="5351">A1347</f>
        <v>N</v>
      </c>
      <c r="B1348" s="599"/>
      <c r="C1348" s="599"/>
      <c r="D1348" s="118" t="s">
        <v>1441</v>
      </c>
      <c r="E1348" s="918"/>
      <c r="F1348" s="848"/>
      <c r="G1348" s="40"/>
      <c r="H1348" s="603" t="s">
        <v>38</v>
      </c>
      <c r="I1348" s="504">
        <v>0</v>
      </c>
      <c r="J1348" s="850"/>
      <c r="K1348" s="40"/>
      <c r="L1348" s="603" t="s">
        <v>38</v>
      </c>
      <c r="M1348" s="504">
        <f t="shared" si="5262"/>
        <v>0</v>
      </c>
      <c r="N1348" s="850"/>
      <c r="O1348" s="40"/>
      <c r="P1348" s="602">
        <v>0</v>
      </c>
      <c r="Q1348" s="602">
        <v>0</v>
      </c>
      <c r="R1348" s="602">
        <v>0</v>
      </c>
      <c r="S1348" s="602">
        <v>0</v>
      </c>
      <c r="T1348" s="602">
        <v>0</v>
      </c>
      <c r="U1348" s="602">
        <v>0</v>
      </c>
      <c r="V1348" s="602">
        <v>0</v>
      </c>
      <c r="W1348" s="40"/>
      <c r="X1348" s="504">
        <f t="shared" si="5297"/>
        <v>0</v>
      </c>
      <c r="Y1348" s="850"/>
      <c r="Z1348" s="40"/>
      <c r="AA1348" s="856"/>
      <c r="AB1348" s="856"/>
      <c r="AC1348" s="857"/>
      <c r="AD1348" s="920"/>
      <c r="AE1348" s="40"/>
      <c r="AF1348" s="856"/>
      <c r="AG1348" s="856"/>
      <c r="AH1348" s="857"/>
      <c r="AI1348" s="856"/>
      <c r="AJ1348" s="856"/>
      <c r="AK1348" s="856"/>
      <c r="AL1348" s="856"/>
      <c r="AM1348" s="850"/>
      <c r="AN1348" s="40"/>
      <c r="AO1348" s="882"/>
      <c r="AP1348" s="882"/>
      <c r="AV1348" t="str">
        <f t="shared" si="5088"/>
        <v>BDCC no Km 155+722 - Aterro 03</v>
      </c>
      <c r="AW1348" s="4" t="str">
        <f t="shared" si="5086"/>
        <v>2.5-BST PEAD DN 0,80m - Km 0+414 - acesso km 151+700 LD - Bueiro de PEAD - LD</v>
      </c>
    </row>
    <row r="1349" spans="1:50" ht="15.6" customHeight="1" outlineLevel="2">
      <c r="A1349" s="598" t="str">
        <f t="shared" ref="A1349" si="5352">IF(SUM(P1349:V1350)&gt;0,"S","N")</f>
        <v>N</v>
      </c>
      <c r="B1349" s="599">
        <v>1069220</v>
      </c>
      <c r="C1349" s="599" t="s">
        <v>1673</v>
      </c>
      <c r="D1349" s="118" t="s">
        <v>1674</v>
      </c>
      <c r="E1349" s="917" t="s">
        <v>1675</v>
      </c>
      <c r="F1349" s="848" t="s">
        <v>1437</v>
      </c>
      <c r="G1349" s="40"/>
      <c r="H1349" s="600" t="s">
        <v>37</v>
      </c>
      <c r="I1349" s="504">
        <v>0</v>
      </c>
      <c r="J1349" s="849" t="str">
        <f t="shared" ref="J1349" si="5353">IFERROR((I1350/I1349),"-")</f>
        <v>-</v>
      </c>
      <c r="K1349" s="40"/>
      <c r="L1349" s="600" t="s">
        <v>37</v>
      </c>
      <c r="M1349" s="504">
        <f t="shared" si="5262"/>
        <v>0</v>
      </c>
      <c r="N1349" s="849" t="str">
        <f t="shared" ref="N1349" si="5354">IFERROR((M1350/M1349),"-")</f>
        <v>-</v>
      </c>
      <c r="O1349" s="40"/>
      <c r="P1349" s="602">
        <v>0</v>
      </c>
      <c r="Q1349" s="602">
        <v>0</v>
      </c>
      <c r="R1349" s="602">
        <v>0</v>
      </c>
      <c r="S1349" s="602">
        <v>0</v>
      </c>
      <c r="T1349" s="602">
        <v>0</v>
      </c>
      <c r="U1349" s="602">
        <v>0</v>
      </c>
      <c r="V1349" s="602">
        <v>0</v>
      </c>
      <c r="W1349" s="40"/>
      <c r="X1349" s="504">
        <f t="shared" si="5297"/>
        <v>0</v>
      </c>
      <c r="Y1349" s="849" t="str">
        <f t="shared" ref="Y1349" si="5355">IFERROR((X1350/X1349),"0")</f>
        <v>0</v>
      </c>
      <c r="Z1349" s="40"/>
      <c r="AA1349" s="855">
        <v>0</v>
      </c>
      <c r="AB1349" s="855">
        <v>0</v>
      </c>
      <c r="AC1349" s="858">
        <v>0</v>
      </c>
      <c r="AD1349" s="849" t="str">
        <f t="shared" ref="AD1349" si="5356">IFERROR((AC1349/AB1349),"-")</f>
        <v>-</v>
      </c>
      <c r="AE1349" s="40"/>
      <c r="AF1349" s="855">
        <v>1</v>
      </c>
      <c r="AG1349" s="855"/>
      <c r="AH1349" s="858">
        <v>0</v>
      </c>
      <c r="AI1349" s="855"/>
      <c r="AJ1349" s="855"/>
      <c r="AK1349" s="855">
        <f t="shared" ref="AK1349" si="5357">AF1349+AG1349+AH1349+AI1349+AJ1349+AC1349</f>
        <v>1</v>
      </c>
      <c r="AL1349" s="855">
        <v>1</v>
      </c>
      <c r="AM1349" s="849">
        <f t="shared" ref="AM1349" si="5358">IFERROR((AK1349/AL1349),"-")</f>
        <v>1</v>
      </c>
      <c r="AN1349" s="40"/>
      <c r="AO1349" s="855">
        <v>1</v>
      </c>
      <c r="AP1349" s="855">
        <f t="shared" ref="AP1349" si="5359">AO1349-AK1349</f>
        <v>0</v>
      </c>
      <c r="AV1349" t="str">
        <f t="shared" si="5088"/>
        <v>BDCC no Km 155+722 - Aterro 03</v>
      </c>
      <c r="AW1349" s="4" t="str">
        <f t="shared" si="5086"/>
        <v>2.5-BDT PEAD DN 1,20m - km 138+496 - Aterro A1 - Bueiro de PEAD - LE</v>
      </c>
    </row>
    <row r="1350" spans="1:50" ht="15.6" customHeight="1" outlineLevel="2">
      <c r="A1350" s="598" t="str">
        <f t="shared" ref="A1350" si="5360">A1349</f>
        <v>N</v>
      </c>
      <c r="B1350" s="599"/>
      <c r="C1350" s="599"/>
      <c r="D1350" s="118" t="s">
        <v>1444</v>
      </c>
      <c r="E1350" s="918"/>
      <c r="F1350" s="848"/>
      <c r="G1350" s="40"/>
      <c r="H1350" s="603" t="s">
        <v>38</v>
      </c>
      <c r="I1350" s="504">
        <v>0</v>
      </c>
      <c r="J1350" s="850"/>
      <c r="K1350" s="40"/>
      <c r="L1350" s="603" t="s">
        <v>38</v>
      </c>
      <c r="M1350" s="504">
        <f t="shared" si="5262"/>
        <v>0</v>
      </c>
      <c r="N1350" s="850"/>
      <c r="O1350" s="40"/>
      <c r="P1350" s="602">
        <v>0</v>
      </c>
      <c r="Q1350" s="602">
        <v>0</v>
      </c>
      <c r="R1350" s="602">
        <v>0</v>
      </c>
      <c r="S1350" s="602">
        <v>0</v>
      </c>
      <c r="T1350" s="602">
        <v>0</v>
      </c>
      <c r="U1350" s="602">
        <v>0</v>
      </c>
      <c r="V1350" s="602">
        <v>0</v>
      </c>
      <c r="W1350" s="40"/>
      <c r="X1350" s="504">
        <f t="shared" si="5297"/>
        <v>0</v>
      </c>
      <c r="Y1350" s="850"/>
      <c r="Z1350" s="40"/>
      <c r="AA1350" s="856"/>
      <c r="AB1350" s="856"/>
      <c r="AC1350" s="857"/>
      <c r="AD1350" s="920"/>
      <c r="AE1350" s="40"/>
      <c r="AF1350" s="856"/>
      <c r="AG1350" s="856"/>
      <c r="AH1350" s="857"/>
      <c r="AI1350" s="856"/>
      <c r="AJ1350" s="856"/>
      <c r="AK1350" s="856"/>
      <c r="AL1350" s="856"/>
      <c r="AM1350" s="850"/>
      <c r="AN1350" s="40"/>
      <c r="AO1350" s="882"/>
      <c r="AP1350" s="882"/>
      <c r="AV1350" t="str">
        <f t="shared" si="5088"/>
        <v>BDCC no Km 155+722 - Aterro 03</v>
      </c>
      <c r="AW1350" s="4" t="str">
        <f t="shared" si="5086"/>
        <v>2.5-BDT PEAD DN 1,20m - km 138+496 - Aterro A1 - Bueiro de PEAD - LE</v>
      </c>
    </row>
    <row r="1351" spans="1:50" ht="15.6" customHeight="1" outlineLevel="2">
      <c r="A1351" s="598" t="str">
        <f t="shared" ref="A1351" si="5361">IF(SUM(P1351:V1352)&gt;0,"S","N")</f>
        <v>N</v>
      </c>
      <c r="B1351" s="599">
        <v>1069221</v>
      </c>
      <c r="C1351" s="599" t="s">
        <v>1676</v>
      </c>
      <c r="D1351" s="118" t="s">
        <v>1674</v>
      </c>
      <c r="E1351" s="917" t="s">
        <v>1677</v>
      </c>
      <c r="F1351" s="848" t="s">
        <v>1437</v>
      </c>
      <c r="G1351" s="40"/>
      <c r="H1351" s="600" t="s">
        <v>37</v>
      </c>
      <c r="I1351" s="504">
        <v>0</v>
      </c>
      <c r="J1351" s="849" t="str">
        <f t="shared" ref="J1351" si="5362">IFERROR((I1352/I1351),"-")</f>
        <v>-</v>
      </c>
      <c r="K1351" s="40"/>
      <c r="L1351" s="600" t="s">
        <v>37</v>
      </c>
      <c r="M1351" s="504">
        <f t="shared" si="5262"/>
        <v>0</v>
      </c>
      <c r="N1351" s="849" t="str">
        <f t="shared" ref="N1351" si="5363">IFERROR((M1352/M1351),"-")</f>
        <v>-</v>
      </c>
      <c r="O1351" s="40"/>
      <c r="P1351" s="602">
        <v>0</v>
      </c>
      <c r="Q1351" s="602">
        <v>0</v>
      </c>
      <c r="R1351" s="602">
        <v>0</v>
      </c>
      <c r="S1351" s="602">
        <v>0</v>
      </c>
      <c r="T1351" s="602">
        <v>0</v>
      </c>
      <c r="U1351" s="602">
        <v>0</v>
      </c>
      <c r="V1351" s="602">
        <v>0</v>
      </c>
      <c r="W1351" s="40"/>
      <c r="X1351" s="504">
        <f t="shared" si="5297"/>
        <v>0</v>
      </c>
      <c r="Y1351" s="849" t="str">
        <f t="shared" ref="Y1351" si="5364">IFERROR((X1352/X1351),"0")</f>
        <v>0</v>
      </c>
      <c r="Z1351" s="40"/>
      <c r="AA1351" s="855">
        <v>0</v>
      </c>
      <c r="AB1351" s="855">
        <v>0</v>
      </c>
      <c r="AC1351" s="858">
        <v>0</v>
      </c>
      <c r="AD1351" s="849" t="str">
        <f t="shared" ref="AD1351" si="5365">IFERROR((AC1351/AB1351),"-")</f>
        <v>-</v>
      </c>
      <c r="AE1351" s="40"/>
      <c r="AF1351" s="855">
        <v>1</v>
      </c>
      <c r="AG1351" s="855"/>
      <c r="AH1351" s="858">
        <v>0</v>
      </c>
      <c r="AI1351" s="855"/>
      <c r="AJ1351" s="855"/>
      <c r="AK1351" s="855">
        <f t="shared" ref="AK1351" si="5366">AF1351+AG1351+AH1351+AI1351+AJ1351+AC1351</f>
        <v>1</v>
      </c>
      <c r="AL1351" s="855">
        <v>1</v>
      </c>
      <c r="AM1351" s="849">
        <f t="shared" ref="AM1351" si="5367">IFERROR((AK1351/AL1351),"-")</f>
        <v>1</v>
      </c>
      <c r="AN1351" s="40"/>
      <c r="AO1351" s="855">
        <v>1</v>
      </c>
      <c r="AP1351" s="855">
        <f t="shared" ref="AP1351" si="5368">AO1351-AK1351</f>
        <v>0</v>
      </c>
      <c r="AV1351" t="str">
        <f t="shared" si="5088"/>
        <v>BDCC no Km 155+722 - Aterro 03</v>
      </c>
      <c r="AW1351" s="4" t="str">
        <f t="shared" si="5086"/>
        <v>2.5-BDT PEAD DN 1,20m - km 138+496 - Aterro A1 - Bueiro de PEAD - LD</v>
      </c>
    </row>
    <row r="1352" spans="1:50" ht="15.6" customHeight="1" outlineLevel="2">
      <c r="A1352" s="598" t="str">
        <f t="shared" ref="A1352" si="5369">A1351</f>
        <v>N</v>
      </c>
      <c r="B1352" s="599"/>
      <c r="C1352" s="599"/>
      <c r="D1352" s="118" t="s">
        <v>1441</v>
      </c>
      <c r="E1352" s="918"/>
      <c r="F1352" s="848"/>
      <c r="G1352" s="40"/>
      <c r="H1352" s="603" t="s">
        <v>38</v>
      </c>
      <c r="I1352" s="504">
        <v>0</v>
      </c>
      <c r="J1352" s="850"/>
      <c r="K1352" s="40"/>
      <c r="L1352" s="603" t="s">
        <v>38</v>
      </c>
      <c r="M1352" s="504">
        <f t="shared" si="5262"/>
        <v>0</v>
      </c>
      <c r="N1352" s="850"/>
      <c r="O1352" s="40"/>
      <c r="P1352" s="602">
        <v>0</v>
      </c>
      <c r="Q1352" s="602">
        <v>0</v>
      </c>
      <c r="R1352" s="602">
        <v>0</v>
      </c>
      <c r="S1352" s="602">
        <v>0</v>
      </c>
      <c r="T1352" s="602">
        <v>0</v>
      </c>
      <c r="U1352" s="602">
        <v>0</v>
      </c>
      <c r="V1352" s="602">
        <v>0</v>
      </c>
      <c r="W1352" s="40"/>
      <c r="X1352" s="504">
        <f t="shared" si="5297"/>
        <v>0</v>
      </c>
      <c r="Y1352" s="850"/>
      <c r="Z1352" s="40"/>
      <c r="AA1352" s="856"/>
      <c r="AB1352" s="856"/>
      <c r="AC1352" s="857"/>
      <c r="AD1352" s="920"/>
      <c r="AE1352" s="40"/>
      <c r="AF1352" s="856"/>
      <c r="AG1352" s="856"/>
      <c r="AH1352" s="857"/>
      <c r="AI1352" s="856"/>
      <c r="AJ1352" s="856"/>
      <c r="AK1352" s="856"/>
      <c r="AL1352" s="856"/>
      <c r="AM1352" s="850"/>
      <c r="AN1352" s="40"/>
      <c r="AO1352" s="882"/>
      <c r="AP1352" s="882"/>
      <c r="AV1352" t="str">
        <f t="shared" si="5088"/>
        <v>BDCC no Km 155+722 - Aterro 03</v>
      </c>
      <c r="AW1352" s="4" t="str">
        <f t="shared" si="5086"/>
        <v>2.5-BDT PEAD DN 1,20m - km 138+496 - Aterro A1 - Bueiro de PEAD - LD</v>
      </c>
    </row>
    <row r="1353" spans="1:50" ht="15.6" customHeight="1" outlineLevel="2">
      <c r="A1353" s="598" t="str">
        <f t="shared" ref="A1353" si="5370">IF(SUM(P1353:V1354)&gt;0,"S","N")</f>
        <v>N</v>
      </c>
      <c r="B1353" s="599">
        <v>1069226</v>
      </c>
      <c r="C1353" s="599" t="s">
        <v>1678</v>
      </c>
      <c r="D1353" s="118" t="s">
        <v>1398</v>
      </c>
      <c r="E1353" s="917" t="s">
        <v>1679</v>
      </c>
      <c r="F1353" s="848" t="s">
        <v>1437</v>
      </c>
      <c r="G1353" s="40"/>
      <c r="H1353" s="600" t="s">
        <v>37</v>
      </c>
      <c r="I1353" s="504">
        <v>0</v>
      </c>
      <c r="J1353" s="849" t="str">
        <f t="shared" ref="J1353" si="5371">IFERROR((I1354/I1353),"-")</f>
        <v>-</v>
      </c>
      <c r="K1353" s="40"/>
      <c r="L1353" s="600" t="s">
        <v>37</v>
      </c>
      <c r="M1353" s="504">
        <f t="shared" si="5262"/>
        <v>0</v>
      </c>
      <c r="N1353" s="849" t="str">
        <f t="shared" ref="N1353" si="5372">IFERROR((M1354/M1353),"-")</f>
        <v>-</v>
      </c>
      <c r="O1353" s="40"/>
      <c r="P1353" s="602">
        <v>0</v>
      </c>
      <c r="Q1353" s="602">
        <v>0</v>
      </c>
      <c r="R1353" s="602">
        <v>0</v>
      </c>
      <c r="S1353" s="602">
        <v>0</v>
      </c>
      <c r="T1353" s="602">
        <v>0</v>
      </c>
      <c r="U1353" s="602">
        <v>0</v>
      </c>
      <c r="V1353" s="602">
        <v>0</v>
      </c>
      <c r="W1353" s="40"/>
      <c r="X1353" s="504">
        <f t="shared" si="5297"/>
        <v>0</v>
      </c>
      <c r="Y1353" s="849" t="str">
        <f t="shared" ref="Y1353" si="5373">IFERROR((X1354/X1353),"0")</f>
        <v>0</v>
      </c>
      <c r="Z1353" s="40"/>
      <c r="AA1353" s="855">
        <v>0</v>
      </c>
      <c r="AB1353" s="855">
        <v>0</v>
      </c>
      <c r="AC1353" s="858">
        <v>0</v>
      </c>
      <c r="AD1353" s="849" t="str">
        <f t="shared" ref="AD1353" si="5374">IFERROR((AC1353/AB1353),"-")</f>
        <v>-</v>
      </c>
      <c r="AE1353" s="40"/>
      <c r="AF1353" s="855">
        <v>1</v>
      </c>
      <c r="AG1353" s="855"/>
      <c r="AH1353" s="858">
        <v>0</v>
      </c>
      <c r="AI1353" s="855"/>
      <c r="AJ1353" s="855"/>
      <c r="AK1353" s="855">
        <f t="shared" ref="AK1353" si="5375">AF1353+AG1353+AH1353+AI1353+AJ1353+AC1353</f>
        <v>1</v>
      </c>
      <c r="AL1353" s="855">
        <v>1</v>
      </c>
      <c r="AM1353" s="849">
        <f t="shared" ref="AM1353" si="5376">IFERROR((AK1353/AL1353),"-")</f>
        <v>1</v>
      </c>
      <c r="AN1353" s="40"/>
      <c r="AO1353" s="855">
        <v>1</v>
      </c>
      <c r="AP1353" s="855">
        <f t="shared" ref="AP1353" si="5377">AO1353-AK1353</f>
        <v>0</v>
      </c>
      <c r="AV1353" t="str">
        <f t="shared" si="5088"/>
        <v>BDCC no Km 155+722 - Aterro 03</v>
      </c>
      <c r="AW1353" s="4" t="str">
        <f t="shared" ref="AW1353:AW1416" si="5378">IF(E1353&lt;&gt;"",E1353,AW1352)</f>
        <v>2.5-BSCC 2,00 x 2,00 - Km 152+340 - Aterro A13 - Bueiro de Concreto - LE</v>
      </c>
    </row>
    <row r="1354" spans="1:50" ht="15.6" customHeight="1" outlineLevel="2">
      <c r="A1354" s="598" t="str">
        <f t="shared" ref="A1354" si="5379">A1353</f>
        <v>N</v>
      </c>
      <c r="B1354" s="599"/>
      <c r="C1354" s="599"/>
      <c r="D1354" s="118" t="s">
        <v>1444</v>
      </c>
      <c r="E1354" s="918"/>
      <c r="F1354" s="848"/>
      <c r="G1354" s="40"/>
      <c r="H1354" s="603" t="s">
        <v>38</v>
      </c>
      <c r="I1354" s="504">
        <v>0</v>
      </c>
      <c r="J1354" s="850"/>
      <c r="K1354" s="40"/>
      <c r="L1354" s="603" t="s">
        <v>38</v>
      </c>
      <c r="M1354" s="504">
        <f t="shared" si="5262"/>
        <v>0</v>
      </c>
      <c r="N1354" s="850"/>
      <c r="O1354" s="40"/>
      <c r="P1354" s="602">
        <v>0</v>
      </c>
      <c r="Q1354" s="602">
        <v>0</v>
      </c>
      <c r="R1354" s="602">
        <v>0</v>
      </c>
      <c r="S1354" s="602">
        <v>0</v>
      </c>
      <c r="T1354" s="602">
        <v>0</v>
      </c>
      <c r="U1354" s="602">
        <v>0</v>
      </c>
      <c r="V1354" s="602">
        <v>0</v>
      </c>
      <c r="W1354" s="40"/>
      <c r="X1354" s="504">
        <f t="shared" si="5297"/>
        <v>0</v>
      </c>
      <c r="Y1354" s="850"/>
      <c r="Z1354" s="40"/>
      <c r="AA1354" s="856"/>
      <c r="AB1354" s="856"/>
      <c r="AC1354" s="857"/>
      <c r="AD1354" s="920"/>
      <c r="AE1354" s="40"/>
      <c r="AF1354" s="856"/>
      <c r="AG1354" s="856"/>
      <c r="AH1354" s="857"/>
      <c r="AI1354" s="856"/>
      <c r="AJ1354" s="856"/>
      <c r="AK1354" s="856"/>
      <c r="AL1354" s="856"/>
      <c r="AM1354" s="850"/>
      <c r="AN1354" s="40"/>
      <c r="AO1354" s="882"/>
      <c r="AP1354" s="882"/>
      <c r="AV1354" t="str">
        <f t="shared" ref="AV1354:AV1417" si="5380">IF(AX1354="Y",LEFT(E1354,20),IF(AX1354="x",E1354,AV1353))</f>
        <v>BDCC no Km 155+722 - Aterro 03</v>
      </c>
      <c r="AW1354" s="4" t="str">
        <f t="shared" si="5378"/>
        <v>2.5-BSCC 2,00 x 2,00 - Km 152+340 - Aterro A13 - Bueiro de Concreto - LE</v>
      </c>
    </row>
    <row r="1355" spans="1:50" ht="14.45" customHeight="1" outlineLevel="1">
      <c r="A1355" s="598" t="str">
        <f t="shared" ref="A1355" si="5381">IF(SUM(P1355:V1356)&gt;0,"S","N")</f>
        <v>N</v>
      </c>
      <c r="B1355" s="599">
        <v>1069227</v>
      </c>
      <c r="C1355" s="599" t="s">
        <v>1680</v>
      </c>
      <c r="D1355" s="118" t="s">
        <v>1398</v>
      </c>
      <c r="E1355" s="917" t="s">
        <v>1681</v>
      </c>
      <c r="F1355" s="848" t="s">
        <v>1437</v>
      </c>
      <c r="G1355" s="40"/>
      <c r="H1355" s="600" t="s">
        <v>37</v>
      </c>
      <c r="I1355" s="504">
        <v>0</v>
      </c>
      <c r="J1355" s="849" t="str">
        <f t="shared" ref="J1355" si="5382">IFERROR((I1356/I1355),"-")</f>
        <v>-</v>
      </c>
      <c r="K1355" s="40"/>
      <c r="L1355" s="600" t="s">
        <v>37</v>
      </c>
      <c r="M1355" s="504">
        <f t="shared" si="5262"/>
        <v>0</v>
      </c>
      <c r="N1355" s="849" t="str">
        <f t="shared" ref="N1355" si="5383">IFERROR((M1356/M1355),"-")</f>
        <v>-</v>
      </c>
      <c r="O1355" s="40"/>
      <c r="P1355" s="602">
        <v>0</v>
      </c>
      <c r="Q1355" s="602">
        <v>0</v>
      </c>
      <c r="R1355" s="602">
        <v>0</v>
      </c>
      <c r="S1355" s="602">
        <v>0</v>
      </c>
      <c r="T1355" s="602">
        <v>0</v>
      </c>
      <c r="U1355" s="602">
        <v>0</v>
      </c>
      <c r="V1355" s="602">
        <v>0</v>
      </c>
      <c r="W1355" s="40"/>
      <c r="X1355" s="504">
        <f t="shared" si="5297"/>
        <v>0</v>
      </c>
      <c r="Y1355" s="849" t="str">
        <f t="shared" ref="Y1355" si="5384">IFERROR((X1356/X1355),"0")</f>
        <v>0</v>
      </c>
      <c r="Z1355" s="40"/>
      <c r="AA1355" s="855">
        <v>0</v>
      </c>
      <c r="AB1355" s="855">
        <v>0</v>
      </c>
      <c r="AC1355" s="858">
        <v>0</v>
      </c>
      <c r="AD1355" s="849" t="str">
        <f t="shared" ref="AD1355" si="5385">IFERROR((AC1355/AB1355),"-")</f>
        <v>-</v>
      </c>
      <c r="AE1355" s="40"/>
      <c r="AF1355" s="855">
        <v>1</v>
      </c>
      <c r="AG1355" s="855"/>
      <c r="AH1355" s="858">
        <v>0</v>
      </c>
      <c r="AI1355" s="855"/>
      <c r="AJ1355" s="855"/>
      <c r="AK1355" s="855">
        <f t="shared" ref="AK1355" si="5386">AF1355+AG1355+AH1355+AI1355+AJ1355+AC1355</f>
        <v>1</v>
      </c>
      <c r="AL1355" s="855">
        <v>1</v>
      </c>
      <c r="AM1355" s="849">
        <f t="shared" ref="AM1355" si="5387">IFERROR((AK1355/AL1355),"-")</f>
        <v>1</v>
      </c>
      <c r="AN1355" s="40"/>
      <c r="AO1355" s="855">
        <v>1</v>
      </c>
      <c r="AP1355" s="855">
        <f t="shared" ref="AP1355" si="5388">AO1355-AK1355</f>
        <v>0</v>
      </c>
      <c r="AV1355" t="str">
        <f t="shared" si="5380"/>
        <v>BDCC no Km 155+722 - Aterro 03</v>
      </c>
      <c r="AW1355" s="4" t="str">
        <f t="shared" si="5378"/>
        <v>2.5-BSCC 2,00 x 2,00 - Km 152+340 - Aterro A13 - Bueiro de Concreto - LD</v>
      </c>
    </row>
    <row r="1356" spans="1:50" ht="14.45" customHeight="1" outlineLevel="1">
      <c r="A1356" s="598" t="str">
        <f t="shared" ref="A1356" si="5389">A1355</f>
        <v>N</v>
      </c>
      <c r="B1356" s="599"/>
      <c r="C1356" s="599"/>
      <c r="D1356" s="118" t="s">
        <v>1441</v>
      </c>
      <c r="E1356" s="918"/>
      <c r="F1356" s="848"/>
      <c r="G1356" s="40"/>
      <c r="H1356" s="603" t="s">
        <v>38</v>
      </c>
      <c r="I1356" s="504">
        <v>0</v>
      </c>
      <c r="J1356" s="850"/>
      <c r="K1356" s="40"/>
      <c r="L1356" s="603" t="s">
        <v>38</v>
      </c>
      <c r="M1356" s="504">
        <f t="shared" si="5262"/>
        <v>0</v>
      </c>
      <c r="N1356" s="850"/>
      <c r="O1356" s="40"/>
      <c r="P1356" s="602">
        <v>0</v>
      </c>
      <c r="Q1356" s="602">
        <v>0</v>
      </c>
      <c r="R1356" s="602">
        <v>0</v>
      </c>
      <c r="S1356" s="602">
        <v>0</v>
      </c>
      <c r="T1356" s="602">
        <v>0</v>
      </c>
      <c r="U1356" s="602">
        <v>0</v>
      </c>
      <c r="V1356" s="602">
        <v>0</v>
      </c>
      <c r="W1356" s="40"/>
      <c r="X1356" s="504">
        <f t="shared" si="5297"/>
        <v>0</v>
      </c>
      <c r="Y1356" s="850"/>
      <c r="Z1356" s="40"/>
      <c r="AA1356" s="856"/>
      <c r="AB1356" s="856"/>
      <c r="AC1356" s="857"/>
      <c r="AD1356" s="920"/>
      <c r="AE1356" s="40"/>
      <c r="AF1356" s="856"/>
      <c r="AG1356" s="856"/>
      <c r="AH1356" s="857"/>
      <c r="AI1356" s="856"/>
      <c r="AJ1356" s="856"/>
      <c r="AK1356" s="856"/>
      <c r="AL1356" s="856"/>
      <c r="AM1356" s="850"/>
      <c r="AN1356" s="40"/>
      <c r="AO1356" s="882"/>
      <c r="AP1356" s="882"/>
      <c r="AV1356" t="str">
        <f t="shared" si="5380"/>
        <v>BDCC no Km 155+722 - Aterro 03</v>
      </c>
      <c r="AW1356" s="4" t="str">
        <f t="shared" si="5378"/>
        <v>2.5-BSCC 2,00 x 2,00 - Km 152+340 - Aterro A13 - Bueiro de Concreto - LD</v>
      </c>
    </row>
    <row r="1357" spans="1:50" ht="18" customHeight="1" outlineLevel="1">
      <c r="A1357" s="598" t="str">
        <f t="shared" ref="A1357" si="5390">IF(SUM(P1357:V1358)&gt;0,"S","N")</f>
        <v>N</v>
      </c>
      <c r="B1357" s="599">
        <v>1064849</v>
      </c>
      <c r="C1357" s="599" t="s">
        <v>1682</v>
      </c>
      <c r="D1357" s="118" t="s">
        <v>1384</v>
      </c>
      <c r="E1357" s="917" t="s">
        <v>1683</v>
      </c>
      <c r="F1357" s="848" t="s">
        <v>1437</v>
      </c>
      <c r="G1357" s="40"/>
      <c r="H1357" s="600" t="s">
        <v>37</v>
      </c>
      <c r="I1357" s="504">
        <v>0</v>
      </c>
      <c r="J1357" s="849" t="str">
        <f t="shared" ref="J1357" si="5391">IFERROR((I1358/I1357),"-")</f>
        <v>-</v>
      </c>
      <c r="K1357" s="40"/>
      <c r="L1357" s="600" t="s">
        <v>37</v>
      </c>
      <c r="M1357" s="504">
        <f t="shared" si="5262"/>
        <v>0</v>
      </c>
      <c r="N1357" s="849" t="str">
        <f t="shared" ref="N1357" si="5392">IFERROR((M1358/M1357),"-")</f>
        <v>-</v>
      </c>
      <c r="O1357" s="40"/>
      <c r="P1357" s="602">
        <v>0</v>
      </c>
      <c r="Q1357" s="602">
        <v>0</v>
      </c>
      <c r="R1357" s="602">
        <v>0</v>
      </c>
      <c r="S1357" s="602">
        <v>0</v>
      </c>
      <c r="T1357" s="602">
        <v>0</v>
      </c>
      <c r="U1357" s="602">
        <v>0</v>
      </c>
      <c r="V1357" s="602">
        <v>0</v>
      </c>
      <c r="W1357" s="40"/>
      <c r="X1357" s="504">
        <f t="shared" si="5297"/>
        <v>0</v>
      </c>
      <c r="Y1357" s="849" t="str">
        <f t="shared" ref="Y1357" si="5393">IFERROR((X1358/X1357),"0")</f>
        <v>0</v>
      </c>
      <c r="Z1357" s="40"/>
      <c r="AA1357" s="855">
        <v>0</v>
      </c>
      <c r="AB1357" s="855">
        <v>0</v>
      </c>
      <c r="AC1357" s="858">
        <v>0</v>
      </c>
      <c r="AD1357" s="849" t="str">
        <f t="shared" ref="AD1357" si="5394">IFERROR((AC1357/AB1357),"-")</f>
        <v>-</v>
      </c>
      <c r="AE1357" s="40"/>
      <c r="AF1357" s="855">
        <v>1</v>
      </c>
      <c r="AG1357" s="855"/>
      <c r="AH1357" s="858">
        <v>0</v>
      </c>
      <c r="AI1357" s="855"/>
      <c r="AJ1357" s="855"/>
      <c r="AK1357" s="855">
        <f t="shared" ref="AK1357" si="5395">AF1357+AG1357+AH1357+AI1357+AJ1357+AC1357</f>
        <v>1</v>
      </c>
      <c r="AL1357" s="855">
        <v>0.99</v>
      </c>
      <c r="AM1357" s="849">
        <f t="shared" ref="AM1357" si="5396">IFERROR((AK1357/AL1357),"-")</f>
        <v>1.0101010101010102</v>
      </c>
      <c r="AN1357" s="40"/>
      <c r="AO1357" s="855">
        <v>1</v>
      </c>
      <c r="AP1357" s="855">
        <f t="shared" ref="AP1357" si="5397">AO1357-AK1357</f>
        <v>0</v>
      </c>
      <c r="AV1357" s="4" t="str">
        <f t="shared" si="5380"/>
        <v>BDCC no Km 155+722 - Aterro 03</v>
      </c>
      <c r="AW1357" s="4" t="str">
        <f t="shared" si="5378"/>
        <v>2.5-BSTC DN 0,80m - Km 0+253 - acesso km 139+190 LD - Bueiro de Concreto - LE</v>
      </c>
      <c r="AX1357" s="4"/>
    </row>
    <row r="1358" spans="1:50" ht="19.350000000000001" customHeight="1" outlineLevel="2">
      <c r="A1358" s="598" t="str">
        <f t="shared" ref="A1358" si="5398">A1357</f>
        <v>N</v>
      </c>
      <c r="B1358" s="599"/>
      <c r="C1358" s="599"/>
      <c r="D1358" s="118" t="s">
        <v>1444</v>
      </c>
      <c r="E1358" s="918"/>
      <c r="F1358" s="848"/>
      <c r="G1358" s="40"/>
      <c r="H1358" s="603" t="s">
        <v>38</v>
      </c>
      <c r="I1358" s="504">
        <v>0</v>
      </c>
      <c r="J1358" s="850"/>
      <c r="K1358" s="40"/>
      <c r="L1358" s="603" t="s">
        <v>38</v>
      </c>
      <c r="M1358" s="504">
        <f t="shared" si="5262"/>
        <v>0</v>
      </c>
      <c r="N1358" s="850"/>
      <c r="O1358" s="40"/>
      <c r="P1358" s="602">
        <v>0</v>
      </c>
      <c r="Q1358" s="602">
        <v>0</v>
      </c>
      <c r="R1358" s="602">
        <v>0</v>
      </c>
      <c r="S1358" s="602">
        <v>0</v>
      </c>
      <c r="T1358" s="602">
        <v>0</v>
      </c>
      <c r="U1358" s="602">
        <v>0</v>
      </c>
      <c r="V1358" s="602">
        <v>0</v>
      </c>
      <c r="W1358" s="40"/>
      <c r="X1358" s="504">
        <f t="shared" si="5297"/>
        <v>0</v>
      </c>
      <c r="Y1358" s="850"/>
      <c r="Z1358" s="40"/>
      <c r="AA1358" s="856"/>
      <c r="AB1358" s="856"/>
      <c r="AC1358" s="857"/>
      <c r="AD1358" s="920"/>
      <c r="AE1358" s="40"/>
      <c r="AF1358" s="856"/>
      <c r="AG1358" s="856"/>
      <c r="AH1358" s="857"/>
      <c r="AI1358" s="856"/>
      <c r="AJ1358" s="856"/>
      <c r="AK1358" s="856"/>
      <c r="AL1358" s="856"/>
      <c r="AM1358" s="850"/>
      <c r="AN1358" s="40"/>
      <c r="AO1358" s="882"/>
      <c r="AP1358" s="882"/>
      <c r="AV1358" t="str">
        <f t="shared" si="5380"/>
        <v>BDCC no Km 155+722 - Aterro 03</v>
      </c>
      <c r="AW1358" s="4" t="str">
        <f t="shared" si="5378"/>
        <v>2.5-BSTC DN 0,80m - Km 0+253 - acesso km 139+190 LD - Bueiro de Concreto - LE</v>
      </c>
    </row>
    <row r="1359" spans="1:50" ht="19.350000000000001" customHeight="1" outlineLevel="2">
      <c r="A1359" s="598" t="str">
        <f t="shared" ref="A1359" si="5399">IF(SUM(P1359:V1360)&gt;0,"S","N")</f>
        <v>N</v>
      </c>
      <c r="B1359" s="599">
        <v>1064850</v>
      </c>
      <c r="C1359" s="599" t="s">
        <v>1684</v>
      </c>
      <c r="D1359" s="118" t="s">
        <v>1384</v>
      </c>
      <c r="E1359" s="917" t="s">
        <v>1685</v>
      </c>
      <c r="F1359" s="848" t="s">
        <v>1437</v>
      </c>
      <c r="G1359" s="40"/>
      <c r="H1359" s="600" t="s">
        <v>37</v>
      </c>
      <c r="I1359" s="504">
        <v>0</v>
      </c>
      <c r="J1359" s="849" t="str">
        <f t="shared" ref="J1359" si="5400">IFERROR((I1360/I1359),"-")</f>
        <v>-</v>
      </c>
      <c r="K1359" s="40"/>
      <c r="L1359" s="600" t="s">
        <v>37</v>
      </c>
      <c r="M1359" s="504">
        <f t="shared" si="5262"/>
        <v>0</v>
      </c>
      <c r="N1359" s="849" t="str">
        <f t="shared" ref="N1359" si="5401">IFERROR((M1360/M1359),"-")</f>
        <v>-</v>
      </c>
      <c r="O1359" s="40"/>
      <c r="P1359" s="602">
        <v>0</v>
      </c>
      <c r="Q1359" s="602">
        <v>0</v>
      </c>
      <c r="R1359" s="602">
        <v>0</v>
      </c>
      <c r="S1359" s="602">
        <v>0</v>
      </c>
      <c r="T1359" s="602">
        <v>0</v>
      </c>
      <c r="U1359" s="602">
        <v>0</v>
      </c>
      <c r="V1359" s="602">
        <v>0</v>
      </c>
      <c r="W1359" s="40"/>
      <c r="X1359" s="504">
        <f t="shared" si="5297"/>
        <v>0</v>
      </c>
      <c r="Y1359" s="849" t="str">
        <f t="shared" ref="Y1359" si="5402">IFERROR((X1360/X1359),"0")</f>
        <v>0</v>
      </c>
      <c r="Z1359" s="40"/>
      <c r="AA1359" s="855">
        <v>0</v>
      </c>
      <c r="AB1359" s="855">
        <v>0</v>
      </c>
      <c r="AC1359" s="858">
        <v>0</v>
      </c>
      <c r="AD1359" s="849" t="str">
        <f t="shared" ref="AD1359" si="5403">IFERROR((AC1359/AB1359),"-")</f>
        <v>-</v>
      </c>
      <c r="AE1359" s="40"/>
      <c r="AF1359" s="855">
        <v>1</v>
      </c>
      <c r="AG1359" s="855"/>
      <c r="AH1359" s="858">
        <v>0</v>
      </c>
      <c r="AI1359" s="855"/>
      <c r="AJ1359" s="855"/>
      <c r="AK1359" s="855">
        <f t="shared" ref="AK1359" si="5404">AF1359+AG1359+AH1359+AI1359+AJ1359+AC1359</f>
        <v>1</v>
      </c>
      <c r="AL1359" s="855">
        <v>1</v>
      </c>
      <c r="AM1359" s="849">
        <f t="shared" ref="AM1359" si="5405">IFERROR((AK1359/AL1359),"-")</f>
        <v>1</v>
      </c>
      <c r="AN1359" s="40"/>
      <c r="AO1359" s="855">
        <v>1</v>
      </c>
      <c r="AP1359" s="855">
        <f t="shared" ref="AP1359" si="5406">AO1359-AK1359</f>
        <v>0</v>
      </c>
      <c r="AV1359" t="str">
        <f t="shared" si="5380"/>
        <v>BDCC no Km 155+722 - Aterro 03</v>
      </c>
      <c r="AW1359" s="4" t="str">
        <f t="shared" si="5378"/>
        <v>2.5-BSTC DN 0,80m - Km 0+253 - acesso km 139+190 LD - Bueiro de Concreto - LD</v>
      </c>
    </row>
    <row r="1360" spans="1:50" ht="11.45" customHeight="1" outlineLevel="2">
      <c r="A1360" s="598" t="str">
        <f t="shared" ref="A1360" si="5407">A1359</f>
        <v>N</v>
      </c>
      <c r="B1360" s="599"/>
      <c r="C1360" s="599"/>
      <c r="D1360" s="118" t="s">
        <v>1441</v>
      </c>
      <c r="E1360" s="918"/>
      <c r="F1360" s="848"/>
      <c r="G1360" s="40"/>
      <c r="H1360" s="603" t="s">
        <v>38</v>
      </c>
      <c r="I1360" s="504">
        <v>0</v>
      </c>
      <c r="J1360" s="850"/>
      <c r="K1360" s="40"/>
      <c r="L1360" s="603" t="s">
        <v>38</v>
      </c>
      <c r="M1360" s="504">
        <f t="shared" si="5262"/>
        <v>0</v>
      </c>
      <c r="N1360" s="850"/>
      <c r="O1360" s="40"/>
      <c r="P1360" s="602">
        <v>0</v>
      </c>
      <c r="Q1360" s="602">
        <v>0</v>
      </c>
      <c r="R1360" s="602">
        <v>0</v>
      </c>
      <c r="S1360" s="602">
        <v>0</v>
      </c>
      <c r="T1360" s="602">
        <v>0</v>
      </c>
      <c r="U1360" s="602">
        <v>0</v>
      </c>
      <c r="V1360" s="602">
        <v>0</v>
      </c>
      <c r="W1360" s="40"/>
      <c r="X1360" s="504">
        <f t="shared" si="5297"/>
        <v>0</v>
      </c>
      <c r="Y1360" s="850"/>
      <c r="Z1360" s="40"/>
      <c r="AA1360" s="856"/>
      <c r="AB1360" s="856"/>
      <c r="AC1360" s="857"/>
      <c r="AD1360" s="920"/>
      <c r="AE1360" s="40"/>
      <c r="AF1360" s="880"/>
      <c r="AG1360" s="880"/>
      <c r="AH1360" s="857"/>
      <c r="AI1360" s="880"/>
      <c r="AJ1360" s="880"/>
      <c r="AK1360" s="856"/>
      <c r="AL1360" s="856"/>
      <c r="AM1360" s="850"/>
      <c r="AN1360" s="40"/>
      <c r="AO1360" s="882"/>
      <c r="AP1360" s="882"/>
      <c r="AV1360" t="str">
        <f t="shared" si="5380"/>
        <v>BDCC no Km 155+722 - Aterro 03</v>
      </c>
      <c r="AW1360" s="4" t="str">
        <f t="shared" si="5378"/>
        <v>2.5-BSTC DN 0,80m - Km 0+253 - acesso km 139+190 LD - Bueiro de Concreto - LD</v>
      </c>
    </row>
    <row r="1361" spans="1:50" ht="14.85" customHeight="1" outlineLevel="2">
      <c r="A1361" s="209">
        <v>0</v>
      </c>
      <c r="B1361" s="150"/>
      <c r="C1361" s="150"/>
      <c r="D1361" s="117"/>
      <c r="E1361" s="535"/>
      <c r="F1361" s="536"/>
      <c r="G1361" s="537"/>
      <c r="H1361" s="714"/>
      <c r="I1361" s="576"/>
      <c r="J1361" s="714"/>
      <c r="K1361" s="537"/>
      <c r="L1361" s="714"/>
      <c r="M1361" s="571"/>
      <c r="N1361" s="714"/>
      <c r="O1361" s="537"/>
      <c r="P1361" s="572"/>
      <c r="Q1361" s="572"/>
      <c r="R1361" s="572"/>
      <c r="S1361" s="572"/>
      <c r="T1361" s="572"/>
      <c r="U1361" s="572"/>
      <c r="V1361" s="572"/>
      <c r="W1361" s="537"/>
      <c r="X1361" s="540"/>
      <c r="Y1361" s="537"/>
      <c r="Z1361" s="537"/>
      <c r="AA1361" s="249"/>
      <c r="AB1361" s="249"/>
      <c r="AC1361" s="249"/>
      <c r="AD1361" s="537"/>
      <c r="AE1361" s="3"/>
      <c r="AF1361" s="35"/>
      <c r="AG1361" s="35"/>
      <c r="AH1361" s="35"/>
      <c r="AI1361" s="35"/>
      <c r="AJ1361" s="35"/>
      <c r="AK1361" s="35"/>
      <c r="AL1361" s="35"/>
      <c r="AM1361" s="3"/>
      <c r="AN1361" s="3"/>
      <c r="AO1361" s="35"/>
      <c r="AP1361" s="35"/>
      <c r="AV1361" t="str">
        <f t="shared" si="5380"/>
        <v>BDCC no Km 155+722 - Aterro 03</v>
      </c>
      <c r="AW1361" s="4" t="str">
        <f t="shared" si="5378"/>
        <v>2.5-BSTC DN 0,80m - Km 0+253 - acesso km 139+190 LD - Bueiro de Concreto - LD</v>
      </c>
    </row>
    <row r="1362" spans="1:50" ht="14.85" customHeight="1" outlineLevel="2">
      <c r="A1362" s="525">
        <v>0</v>
      </c>
      <c r="B1362" s="526"/>
      <c r="C1362" s="526"/>
      <c r="D1362" s="557"/>
      <c r="E1362" s="923" t="s">
        <v>45</v>
      </c>
      <c r="F1362" s="868" t="s">
        <v>1437</v>
      </c>
      <c r="G1362" s="528"/>
      <c r="H1362" s="542" t="s">
        <v>37</v>
      </c>
      <c r="I1362" s="543">
        <f>SUMIF($L1363:$L1437,$L1362,I1363:I1437)</f>
        <v>0</v>
      </c>
      <c r="J1362" s="860" t="str">
        <f>IFERROR((I1363/I1362),"-")</f>
        <v>-</v>
      </c>
      <c r="K1362" s="528"/>
      <c r="L1362" s="542" t="s">
        <v>37</v>
      </c>
      <c r="M1362" s="543">
        <f>SUMIF($L1363:$L1437,$L1362,M1363:M1437)</f>
        <v>0</v>
      </c>
      <c r="N1362" s="860" t="str">
        <f>IFERROR((M1363/M1362),"-")</f>
        <v>-</v>
      </c>
      <c r="O1362" s="528"/>
      <c r="P1362" s="543">
        <f t="shared" ref="P1362:V1362" si="5408">SUMIF($L1363:$L1437,$L1362,P1363:P1437)</f>
        <v>0</v>
      </c>
      <c r="Q1362" s="543">
        <f t="shared" si="5408"/>
        <v>0</v>
      </c>
      <c r="R1362" s="543">
        <f t="shared" si="5408"/>
        <v>0</v>
      </c>
      <c r="S1362" s="543">
        <f t="shared" si="5408"/>
        <v>0</v>
      </c>
      <c r="T1362" s="543">
        <f t="shared" si="5408"/>
        <v>0</v>
      </c>
      <c r="U1362" s="543">
        <f t="shared" si="5408"/>
        <v>0</v>
      </c>
      <c r="V1362" s="543">
        <f t="shared" si="5408"/>
        <v>0</v>
      </c>
      <c r="W1362" s="528"/>
      <c r="X1362" s="543">
        <f t="shared" ref="X1362:X1425" si="5409">SUMIFS(P1362:V1362,$P$8:$V$8,"&gt;="&amp;$P$8,$P$8:$V$8,"&lt;="&amp;$N$8)</f>
        <v>0</v>
      </c>
      <c r="Y1362" s="860" t="str">
        <f>IFERROR((X1363/X1362),"-")</f>
        <v>-</v>
      </c>
      <c r="Z1362" s="528"/>
      <c r="AA1362" s="814">
        <f t="shared" ref="AA1362:AC1362" si="5410">SUM(AA1364:AA1437)</f>
        <v>1.53</v>
      </c>
      <c r="AB1362" s="814">
        <f>SUM(AB1364:AB1437)</f>
        <v>0</v>
      </c>
      <c r="AC1362" s="814">
        <f t="shared" si="5410"/>
        <v>0</v>
      </c>
      <c r="AD1362" s="900" t="str">
        <f t="shared" ref="AD1362" si="5411">IFERROR((AC1362/AB1362),"-")</f>
        <v>-</v>
      </c>
      <c r="AE1362" s="528"/>
      <c r="AF1362" s="814">
        <f t="shared" ref="AF1362" si="5412">SUM(AF1364:AF1437)</f>
        <v>7</v>
      </c>
      <c r="AG1362" s="814">
        <f t="shared" ref="AG1362:AL1362" si="5413">SUM(AG1364:AG1437)</f>
        <v>0</v>
      </c>
      <c r="AH1362" s="814">
        <f t="shared" si="5413"/>
        <v>0</v>
      </c>
      <c r="AI1362" s="814">
        <f t="shared" si="5413"/>
        <v>7</v>
      </c>
      <c r="AJ1362" s="814">
        <f t="shared" si="5413"/>
        <v>10</v>
      </c>
      <c r="AK1362" s="814">
        <f t="shared" si="5413"/>
        <v>24</v>
      </c>
      <c r="AL1362" s="814">
        <f t="shared" si="5413"/>
        <v>23</v>
      </c>
      <c r="AM1362" s="860">
        <f>IFERROR((AK1362/AL1362),"-")</f>
        <v>1.0434782608695652</v>
      </c>
      <c r="AN1362" s="528"/>
      <c r="AO1362" s="814">
        <f>SUM(AO1364:AO1437)</f>
        <v>33</v>
      </c>
      <c r="AP1362" s="814">
        <f>SUM(AP1364:AP1437)</f>
        <v>9</v>
      </c>
      <c r="AV1362" t="str">
        <f t="shared" si="5380"/>
        <v>BDCC no Km 155+722 - Aterro 03</v>
      </c>
      <c r="AW1362" s="4" t="str">
        <f t="shared" si="5378"/>
        <v>Pacote 05 - Segmento 3.1 - 153+000 a 167+400</v>
      </c>
    </row>
    <row r="1363" spans="1:50" ht="11.45" customHeight="1" outlineLevel="2">
      <c r="A1363" s="525">
        <v>0</v>
      </c>
      <c r="B1363" s="526"/>
      <c r="C1363" s="526"/>
      <c r="D1363" s="558"/>
      <c r="E1363" s="923"/>
      <c r="F1363" s="869"/>
      <c r="G1363" s="528"/>
      <c r="H1363" s="544" t="s">
        <v>38</v>
      </c>
      <c r="I1363" s="543">
        <f>SUMIF($L1364:$L1437,$L1363,I1364:I1437)</f>
        <v>0</v>
      </c>
      <c r="J1363" s="861"/>
      <c r="K1363" s="528"/>
      <c r="L1363" s="544" t="s">
        <v>38</v>
      </c>
      <c r="M1363" s="543">
        <f>SUMIF($L1364:$L1437,$L1363,M1364:M1437)</f>
        <v>0</v>
      </c>
      <c r="N1363" s="861"/>
      <c r="O1363" s="528"/>
      <c r="P1363" s="543">
        <f t="shared" ref="P1363:V1363" si="5414">SUMIF($L1364:$L1437,$L1363,P1364:P1437)</f>
        <v>0</v>
      </c>
      <c r="Q1363" s="543">
        <f t="shared" si="5414"/>
        <v>0</v>
      </c>
      <c r="R1363" s="543">
        <f t="shared" si="5414"/>
        <v>0</v>
      </c>
      <c r="S1363" s="543">
        <f t="shared" si="5414"/>
        <v>0</v>
      </c>
      <c r="T1363" s="543">
        <f t="shared" si="5414"/>
        <v>0</v>
      </c>
      <c r="U1363" s="543">
        <f t="shared" si="5414"/>
        <v>0</v>
      </c>
      <c r="V1363" s="543">
        <f t="shared" si="5414"/>
        <v>0</v>
      </c>
      <c r="W1363" s="528"/>
      <c r="X1363" s="543">
        <f t="shared" si="5409"/>
        <v>0</v>
      </c>
      <c r="Y1363" s="861"/>
      <c r="Z1363" s="528"/>
      <c r="AA1363" s="815"/>
      <c r="AB1363" s="815"/>
      <c r="AC1363" s="815"/>
      <c r="AD1363" s="901"/>
      <c r="AE1363" s="528"/>
      <c r="AF1363" s="815"/>
      <c r="AG1363" s="815"/>
      <c r="AH1363" s="815"/>
      <c r="AI1363" s="815"/>
      <c r="AJ1363" s="815"/>
      <c r="AK1363" s="815"/>
      <c r="AL1363" s="815"/>
      <c r="AM1363" s="861"/>
      <c r="AN1363" s="528"/>
      <c r="AO1363" s="815"/>
      <c r="AP1363" s="815"/>
      <c r="AV1363" t="str">
        <f t="shared" si="5380"/>
        <v>BDCC no Km 155+722 - Aterro 03</v>
      </c>
      <c r="AW1363" s="4" t="str">
        <f t="shared" si="5378"/>
        <v>Pacote 05 - Segmento 3.1 - 153+000 a 167+400</v>
      </c>
    </row>
    <row r="1364" spans="1:50" ht="14.85" customHeight="1" outlineLevel="2">
      <c r="A1364" s="598" t="str">
        <f t="shared" ref="A1364" si="5415">IF(SUM(P1364:V1365)&gt;0,"S","N")</f>
        <v>N</v>
      </c>
      <c r="B1364" s="599">
        <v>1064474</v>
      </c>
      <c r="C1364" s="599" t="s">
        <v>1686</v>
      </c>
      <c r="D1364" s="118" t="s">
        <v>1424</v>
      </c>
      <c r="E1364" s="917" t="s">
        <v>1687</v>
      </c>
      <c r="F1364" s="848" t="s">
        <v>1437</v>
      </c>
      <c r="G1364" s="40"/>
      <c r="H1364" s="600" t="s">
        <v>37</v>
      </c>
      <c r="I1364" s="504">
        <v>0</v>
      </c>
      <c r="J1364" s="849" t="str">
        <f t="shared" ref="J1364" si="5416">IFERROR((I1365/I1364),"-")</f>
        <v>-</v>
      </c>
      <c r="K1364" s="40"/>
      <c r="L1364" s="600" t="s">
        <v>37</v>
      </c>
      <c r="M1364" s="504">
        <f t="shared" ref="M1364:M1427" si="5417">_xlfn.XLOOKUP($N$8,$P$8:$V$8,$P1364:$V1364)</f>
        <v>0</v>
      </c>
      <c r="N1364" s="849" t="str">
        <f t="shared" ref="N1364" si="5418">IFERROR((M1365/M1364),"-")</f>
        <v>-</v>
      </c>
      <c r="O1364" s="40"/>
      <c r="P1364" s="601">
        <v>0</v>
      </c>
      <c r="Q1364" s="601">
        <v>0</v>
      </c>
      <c r="R1364" s="601">
        <v>0</v>
      </c>
      <c r="S1364" s="601">
        <v>0</v>
      </c>
      <c r="T1364" s="601">
        <v>0</v>
      </c>
      <c r="U1364" s="601">
        <v>0</v>
      </c>
      <c r="V1364" s="602">
        <v>0</v>
      </c>
      <c r="W1364" s="40"/>
      <c r="X1364" s="504">
        <f t="shared" si="5409"/>
        <v>0</v>
      </c>
      <c r="Y1364" s="849" t="str">
        <f t="shared" ref="Y1364" si="5419">IFERROR((X1365/X1364),"0")</f>
        <v>0</v>
      </c>
      <c r="Z1364" s="40"/>
      <c r="AA1364" s="855">
        <v>0</v>
      </c>
      <c r="AB1364" s="855">
        <v>0</v>
      </c>
      <c r="AC1364" s="858">
        <v>0</v>
      </c>
      <c r="AD1364" s="849" t="str">
        <f t="shared" ref="AD1364" si="5420">IFERROR((AC1364/AB1364),"-")</f>
        <v>-</v>
      </c>
      <c r="AE1364" s="40"/>
      <c r="AF1364" s="855">
        <v>0</v>
      </c>
      <c r="AG1364" s="855"/>
      <c r="AH1364" s="858">
        <v>0</v>
      </c>
      <c r="AI1364" s="855"/>
      <c r="AJ1364" s="855"/>
      <c r="AK1364" s="855">
        <f t="shared" ref="AK1364" si="5421">AF1364+AG1364+AH1364+AI1364+AJ1364+AC1364</f>
        <v>0</v>
      </c>
      <c r="AL1364" s="855">
        <v>0</v>
      </c>
      <c r="AM1364" s="849" t="str">
        <f t="shared" ref="AM1364" si="5422">IFERROR((AK1364/AL1364),"-")</f>
        <v>-</v>
      </c>
      <c r="AN1364" s="40"/>
      <c r="AO1364" s="855">
        <v>0</v>
      </c>
      <c r="AP1364" s="855">
        <f t="shared" ref="AP1364" si="5423">AO1364-AK1364</f>
        <v>0</v>
      </c>
      <c r="AV1364" t="str">
        <f t="shared" si="5380"/>
        <v>BDCC no Km 155+722 - Aterro 03</v>
      </c>
      <c r="AW1364" s="4" t="str">
        <f t="shared" si="5378"/>
        <v>3.1-BST PEAD DN 1,0m - km 153+731 - Aterro A2 - Bueiro de PEAD - LE</v>
      </c>
    </row>
    <row r="1365" spans="1:50" ht="14.85" customHeight="1" outlineLevel="2">
      <c r="A1365" s="598" t="str">
        <f t="shared" ref="A1365" si="5424">A1364</f>
        <v>N</v>
      </c>
      <c r="B1365" s="599"/>
      <c r="C1365" s="599"/>
      <c r="D1365" s="118" t="s">
        <v>1444</v>
      </c>
      <c r="E1365" s="918"/>
      <c r="F1365" s="848"/>
      <c r="G1365" s="40"/>
      <c r="H1365" s="603" t="s">
        <v>38</v>
      </c>
      <c r="I1365" s="504">
        <v>0</v>
      </c>
      <c r="J1365" s="850"/>
      <c r="K1365" s="40"/>
      <c r="L1365" s="603" t="s">
        <v>38</v>
      </c>
      <c r="M1365" s="504">
        <f t="shared" si="5417"/>
        <v>0</v>
      </c>
      <c r="N1365" s="850"/>
      <c r="O1365" s="40"/>
      <c r="P1365" s="602">
        <v>0</v>
      </c>
      <c r="Q1365" s="602">
        <v>0</v>
      </c>
      <c r="R1365" s="602">
        <v>0</v>
      </c>
      <c r="S1365" s="602">
        <v>0</v>
      </c>
      <c r="T1365" s="602">
        <v>0</v>
      </c>
      <c r="U1365" s="602">
        <v>0</v>
      </c>
      <c r="V1365" s="602">
        <v>0</v>
      </c>
      <c r="W1365" s="40"/>
      <c r="X1365" s="504">
        <f t="shared" si="5409"/>
        <v>0</v>
      </c>
      <c r="Y1365" s="850"/>
      <c r="Z1365" s="40"/>
      <c r="AA1365" s="856"/>
      <c r="AB1365" s="856"/>
      <c r="AC1365" s="857"/>
      <c r="AD1365" s="920"/>
      <c r="AE1365" s="40"/>
      <c r="AF1365" s="856"/>
      <c r="AG1365" s="856"/>
      <c r="AH1365" s="857"/>
      <c r="AI1365" s="856"/>
      <c r="AJ1365" s="856"/>
      <c r="AK1365" s="856"/>
      <c r="AL1365" s="856"/>
      <c r="AM1365" s="850"/>
      <c r="AN1365" s="40"/>
      <c r="AO1365" s="882"/>
      <c r="AP1365" s="882"/>
      <c r="AV1365" t="str">
        <f t="shared" si="5380"/>
        <v>BDCC no Km 155+722 - Aterro 03</v>
      </c>
      <c r="AW1365" s="4" t="str">
        <f t="shared" si="5378"/>
        <v>3.1-BST PEAD DN 1,0m - km 153+731 - Aterro A2 - Bueiro de PEAD - LE</v>
      </c>
    </row>
    <row r="1366" spans="1:50" ht="15.6" customHeight="1" outlineLevel="2">
      <c r="A1366" s="598" t="str">
        <f t="shared" ref="A1366" si="5425">IF(SUM(P1366:V1367)&gt;0,"S","N")</f>
        <v>N</v>
      </c>
      <c r="B1366" s="599">
        <v>1064475</v>
      </c>
      <c r="C1366" s="599" t="s">
        <v>1688</v>
      </c>
      <c r="D1366" s="118" t="s">
        <v>1424</v>
      </c>
      <c r="E1366" s="917" t="s">
        <v>1689</v>
      </c>
      <c r="F1366" s="848" t="s">
        <v>1437</v>
      </c>
      <c r="G1366" s="40"/>
      <c r="H1366" s="600" t="s">
        <v>37</v>
      </c>
      <c r="I1366" s="504">
        <v>0</v>
      </c>
      <c r="J1366" s="849" t="str">
        <f t="shared" ref="J1366" si="5426">IFERROR((I1367/I1366),"-")</f>
        <v>-</v>
      </c>
      <c r="K1366" s="40"/>
      <c r="L1366" s="600" t="s">
        <v>37</v>
      </c>
      <c r="M1366" s="504">
        <f t="shared" si="5417"/>
        <v>0</v>
      </c>
      <c r="N1366" s="849" t="str">
        <f t="shared" ref="N1366" si="5427">IFERROR((M1367/M1366),"-")</f>
        <v>-</v>
      </c>
      <c r="O1366" s="40"/>
      <c r="P1366" s="601">
        <v>0</v>
      </c>
      <c r="Q1366" s="601">
        <v>0</v>
      </c>
      <c r="R1366" s="601">
        <v>0</v>
      </c>
      <c r="S1366" s="601">
        <v>0</v>
      </c>
      <c r="T1366" s="601">
        <v>0</v>
      </c>
      <c r="U1366" s="601">
        <v>0</v>
      </c>
      <c r="V1366" s="602">
        <v>0</v>
      </c>
      <c r="W1366" s="40"/>
      <c r="X1366" s="504">
        <f t="shared" si="5409"/>
        <v>0</v>
      </c>
      <c r="Y1366" s="849" t="str">
        <f t="shared" ref="Y1366" si="5428">IFERROR((X1367/X1366),"0")</f>
        <v>0</v>
      </c>
      <c r="Z1366" s="40"/>
      <c r="AA1366" s="855">
        <v>0</v>
      </c>
      <c r="AB1366" s="855">
        <v>0</v>
      </c>
      <c r="AC1366" s="858">
        <v>0</v>
      </c>
      <c r="AD1366" s="849" t="str">
        <f t="shared" ref="AD1366" si="5429">IFERROR((AC1366/AB1366),"-")</f>
        <v>-</v>
      </c>
      <c r="AE1366" s="40"/>
      <c r="AF1366" s="855">
        <v>1</v>
      </c>
      <c r="AG1366" s="855"/>
      <c r="AH1366" s="858">
        <v>0</v>
      </c>
      <c r="AI1366" s="855"/>
      <c r="AJ1366" s="855"/>
      <c r="AK1366" s="855">
        <f t="shared" ref="AK1366" si="5430">AF1366+AG1366+AH1366+AI1366+AJ1366+AC1366</f>
        <v>1</v>
      </c>
      <c r="AL1366" s="855">
        <v>1</v>
      </c>
      <c r="AM1366" s="849">
        <f t="shared" ref="AM1366" si="5431">IFERROR((AK1366/AL1366),"-")</f>
        <v>1</v>
      </c>
      <c r="AN1366" s="40"/>
      <c r="AO1366" s="855">
        <v>1</v>
      </c>
      <c r="AP1366" s="855">
        <f t="shared" ref="AP1366" si="5432">AO1366-AK1366</f>
        <v>0</v>
      </c>
      <c r="AV1366" t="str">
        <f t="shared" si="5380"/>
        <v>BDCC no Km 155+722 - Aterro 03</v>
      </c>
      <c r="AW1366" s="4" t="str">
        <f t="shared" si="5378"/>
        <v>3.1-BST PEAD DN 1,0m - km 153+731 - Aterro A2 - Bueiro de PEAD - LD</v>
      </c>
    </row>
    <row r="1367" spans="1:50" ht="15.6" customHeight="1" outlineLevel="2">
      <c r="A1367" s="598" t="str">
        <f t="shared" ref="A1367" si="5433">A1366</f>
        <v>N</v>
      </c>
      <c r="B1367" s="599"/>
      <c r="C1367" s="599"/>
      <c r="D1367" s="118" t="s">
        <v>1441</v>
      </c>
      <c r="E1367" s="918"/>
      <c r="F1367" s="848"/>
      <c r="G1367" s="40"/>
      <c r="H1367" s="603" t="s">
        <v>38</v>
      </c>
      <c r="I1367" s="504">
        <v>0</v>
      </c>
      <c r="J1367" s="850"/>
      <c r="K1367" s="40"/>
      <c r="L1367" s="603" t="s">
        <v>38</v>
      </c>
      <c r="M1367" s="504">
        <f t="shared" si="5417"/>
        <v>0</v>
      </c>
      <c r="N1367" s="850"/>
      <c r="O1367" s="40"/>
      <c r="P1367" s="602">
        <v>0</v>
      </c>
      <c r="Q1367" s="602">
        <v>0</v>
      </c>
      <c r="R1367" s="602">
        <v>0</v>
      </c>
      <c r="S1367" s="602">
        <v>0</v>
      </c>
      <c r="T1367" s="602">
        <v>0</v>
      </c>
      <c r="U1367" s="602">
        <v>0</v>
      </c>
      <c r="V1367" s="602">
        <v>0</v>
      </c>
      <c r="W1367" s="40"/>
      <c r="X1367" s="504">
        <f t="shared" si="5409"/>
        <v>0</v>
      </c>
      <c r="Y1367" s="850"/>
      <c r="Z1367" s="40"/>
      <c r="AA1367" s="856"/>
      <c r="AB1367" s="856"/>
      <c r="AC1367" s="857"/>
      <c r="AD1367" s="920"/>
      <c r="AE1367" s="40"/>
      <c r="AF1367" s="856"/>
      <c r="AG1367" s="856"/>
      <c r="AH1367" s="857"/>
      <c r="AI1367" s="856"/>
      <c r="AJ1367" s="856"/>
      <c r="AK1367" s="856"/>
      <c r="AL1367" s="856"/>
      <c r="AM1367" s="850"/>
      <c r="AN1367" s="40"/>
      <c r="AO1367" s="882"/>
      <c r="AP1367" s="882"/>
      <c r="AV1367" t="str">
        <f t="shared" si="5380"/>
        <v>BDCC no Km 155+722 - Aterro 03</v>
      </c>
      <c r="AW1367" s="4" t="str">
        <f t="shared" si="5378"/>
        <v>3.1-BST PEAD DN 1,0m - km 153+731 - Aterro A2 - Bueiro de PEAD - LD</v>
      </c>
    </row>
    <row r="1368" spans="1:50" ht="15.6" customHeight="1" outlineLevel="2">
      <c r="A1368" s="598" t="str">
        <f t="shared" ref="A1368" si="5434">IF(SUM(P1368:V1369)&gt;0,"S","N")</f>
        <v>N</v>
      </c>
      <c r="B1368" s="599">
        <v>1064478</v>
      </c>
      <c r="C1368" s="599" t="s">
        <v>1690</v>
      </c>
      <c r="D1368" s="118" t="s">
        <v>1426</v>
      </c>
      <c r="E1368" s="917" t="s">
        <v>1691</v>
      </c>
      <c r="F1368" s="848" t="s">
        <v>1437</v>
      </c>
      <c r="G1368" s="40"/>
      <c r="H1368" s="600" t="s">
        <v>37</v>
      </c>
      <c r="I1368" s="504">
        <v>0</v>
      </c>
      <c r="J1368" s="849" t="str">
        <f t="shared" ref="J1368" si="5435">IFERROR((I1369/I1368),"-")</f>
        <v>-</v>
      </c>
      <c r="K1368" s="40"/>
      <c r="L1368" s="600" t="s">
        <v>37</v>
      </c>
      <c r="M1368" s="504">
        <f t="shared" si="5417"/>
        <v>0</v>
      </c>
      <c r="N1368" s="849" t="str">
        <f t="shared" ref="N1368" si="5436">IFERROR((M1369/M1368),"-")</f>
        <v>-</v>
      </c>
      <c r="O1368" s="40"/>
      <c r="P1368" s="601">
        <v>0</v>
      </c>
      <c r="Q1368" s="601">
        <v>0</v>
      </c>
      <c r="R1368" s="601">
        <v>0</v>
      </c>
      <c r="S1368" s="601">
        <v>0</v>
      </c>
      <c r="T1368" s="601">
        <v>0</v>
      </c>
      <c r="U1368" s="601">
        <v>0</v>
      </c>
      <c r="V1368" s="602">
        <v>0</v>
      </c>
      <c r="W1368" s="40"/>
      <c r="X1368" s="504">
        <f t="shared" si="5409"/>
        <v>0</v>
      </c>
      <c r="Y1368" s="849" t="str">
        <f t="shared" ref="Y1368" si="5437">IFERROR((X1369/X1368),"0")</f>
        <v>0</v>
      </c>
      <c r="Z1368" s="40"/>
      <c r="AA1368" s="855">
        <v>0</v>
      </c>
      <c r="AB1368" s="855">
        <v>0</v>
      </c>
      <c r="AC1368" s="858">
        <v>0</v>
      </c>
      <c r="AD1368" s="849" t="str">
        <f t="shared" ref="AD1368" si="5438">IFERROR((AC1368/AB1368),"-")</f>
        <v>-</v>
      </c>
      <c r="AE1368" s="40"/>
      <c r="AF1368" s="855">
        <v>0</v>
      </c>
      <c r="AG1368" s="855"/>
      <c r="AH1368" s="858">
        <v>0</v>
      </c>
      <c r="AI1368" s="855"/>
      <c r="AJ1368" s="855"/>
      <c r="AK1368" s="855">
        <f t="shared" ref="AK1368" si="5439">AF1368+AG1368+AH1368+AI1368+AJ1368+AC1368</f>
        <v>0</v>
      </c>
      <c r="AL1368" s="855">
        <v>0</v>
      </c>
      <c r="AM1368" s="849" t="str">
        <f t="shared" ref="AM1368" si="5440">IFERROR((AK1368/AL1368),"-")</f>
        <v>-</v>
      </c>
      <c r="AN1368" s="40"/>
      <c r="AO1368" s="855">
        <v>0</v>
      </c>
      <c r="AP1368" s="855">
        <f t="shared" ref="AP1368" si="5441">AO1368-AK1368</f>
        <v>0</v>
      </c>
      <c r="AV1368" t="str">
        <f t="shared" si="5380"/>
        <v>BDCC no Km 155+722 - Aterro 03</v>
      </c>
      <c r="AW1368" s="4" t="str">
        <f t="shared" si="5378"/>
        <v>3.1-PF 2,50x2,00 Km 153+780- Aterro A2 - Bueiro de Concreto - LE</v>
      </c>
    </row>
    <row r="1369" spans="1:50" ht="15.6" customHeight="1" outlineLevel="2">
      <c r="A1369" s="598" t="str">
        <f t="shared" ref="A1369" si="5442">A1368</f>
        <v>N</v>
      </c>
      <c r="B1369" s="599"/>
      <c r="C1369" s="599"/>
      <c r="D1369" s="118" t="s">
        <v>1444</v>
      </c>
      <c r="E1369" s="918"/>
      <c r="F1369" s="848"/>
      <c r="G1369" s="40"/>
      <c r="H1369" s="603" t="s">
        <v>38</v>
      </c>
      <c r="I1369" s="504">
        <v>0</v>
      </c>
      <c r="J1369" s="850"/>
      <c r="K1369" s="40"/>
      <c r="L1369" s="603" t="s">
        <v>38</v>
      </c>
      <c r="M1369" s="504">
        <f t="shared" si="5417"/>
        <v>0</v>
      </c>
      <c r="N1369" s="850"/>
      <c r="O1369" s="40"/>
      <c r="P1369" s="602">
        <v>0</v>
      </c>
      <c r="Q1369" s="602">
        <v>0</v>
      </c>
      <c r="R1369" s="602">
        <v>0</v>
      </c>
      <c r="S1369" s="602">
        <v>0</v>
      </c>
      <c r="T1369" s="602">
        <v>0</v>
      </c>
      <c r="U1369" s="602">
        <v>0</v>
      </c>
      <c r="V1369" s="602">
        <v>0</v>
      </c>
      <c r="W1369" s="40"/>
      <c r="X1369" s="504">
        <f t="shared" si="5409"/>
        <v>0</v>
      </c>
      <c r="Y1369" s="850"/>
      <c r="Z1369" s="40"/>
      <c r="AA1369" s="856"/>
      <c r="AB1369" s="856"/>
      <c r="AC1369" s="857"/>
      <c r="AD1369" s="920"/>
      <c r="AE1369" s="40"/>
      <c r="AF1369" s="856"/>
      <c r="AG1369" s="856"/>
      <c r="AH1369" s="857"/>
      <c r="AI1369" s="856"/>
      <c r="AJ1369" s="856"/>
      <c r="AK1369" s="856"/>
      <c r="AL1369" s="856"/>
      <c r="AM1369" s="850"/>
      <c r="AN1369" s="40"/>
      <c r="AO1369" s="882"/>
      <c r="AP1369" s="882"/>
      <c r="AV1369" t="str">
        <f t="shared" si="5380"/>
        <v>BDCC no Km 155+722 - Aterro 03</v>
      </c>
      <c r="AW1369" s="4" t="str">
        <f t="shared" si="5378"/>
        <v>3.1-PF 2,50x2,00 Km 153+780- Aterro A2 - Bueiro de Concreto - LE</v>
      </c>
    </row>
    <row r="1370" spans="1:50" ht="15.6" customHeight="1" outlineLevel="2">
      <c r="A1370" s="598" t="str">
        <f t="shared" ref="A1370" si="5443">IF(SUM(P1370:V1371)&gt;0,"S","N")</f>
        <v>N</v>
      </c>
      <c r="B1370" s="599">
        <v>1064479</v>
      </c>
      <c r="C1370" s="599" t="s">
        <v>1692</v>
      </c>
      <c r="D1370" s="118" t="s">
        <v>1426</v>
      </c>
      <c r="E1370" s="917" t="s">
        <v>1693</v>
      </c>
      <c r="F1370" s="848" t="s">
        <v>1437</v>
      </c>
      <c r="G1370" s="40"/>
      <c r="H1370" s="600" t="s">
        <v>37</v>
      </c>
      <c r="I1370" s="504">
        <v>0</v>
      </c>
      <c r="J1370" s="849" t="str">
        <f t="shared" ref="J1370" si="5444">IFERROR((I1371/I1370),"-")</f>
        <v>-</v>
      </c>
      <c r="K1370" s="40"/>
      <c r="L1370" s="600" t="s">
        <v>37</v>
      </c>
      <c r="M1370" s="504">
        <f t="shared" si="5417"/>
        <v>0</v>
      </c>
      <c r="N1370" s="849" t="str">
        <f t="shared" ref="N1370" si="5445">IFERROR((M1371/M1370),"-")</f>
        <v>-</v>
      </c>
      <c r="O1370" s="40"/>
      <c r="P1370" s="601">
        <v>0</v>
      </c>
      <c r="Q1370" s="601">
        <v>0</v>
      </c>
      <c r="R1370" s="601">
        <v>0</v>
      </c>
      <c r="S1370" s="601">
        <v>0</v>
      </c>
      <c r="T1370" s="601">
        <v>0</v>
      </c>
      <c r="U1370" s="601">
        <v>0</v>
      </c>
      <c r="V1370" s="602">
        <v>0</v>
      </c>
      <c r="W1370" s="40"/>
      <c r="X1370" s="504">
        <f t="shared" si="5409"/>
        <v>0</v>
      </c>
      <c r="Y1370" s="849" t="str">
        <f t="shared" ref="Y1370" si="5446">IFERROR((X1371/X1370),"0")</f>
        <v>0</v>
      </c>
      <c r="Z1370" s="40"/>
      <c r="AA1370" s="855">
        <v>0</v>
      </c>
      <c r="AB1370" s="855">
        <v>0</v>
      </c>
      <c r="AC1370" s="858">
        <v>0</v>
      </c>
      <c r="AD1370" s="849" t="str">
        <f t="shared" ref="AD1370" si="5447">IFERROR((AC1370/AB1370),"-")</f>
        <v>-</v>
      </c>
      <c r="AE1370" s="40"/>
      <c r="AF1370" s="855">
        <v>1</v>
      </c>
      <c r="AG1370" s="855"/>
      <c r="AH1370" s="858">
        <v>0</v>
      </c>
      <c r="AI1370" s="855"/>
      <c r="AJ1370" s="855"/>
      <c r="AK1370" s="855">
        <f t="shared" ref="AK1370" si="5448">AF1370+AG1370+AH1370+AI1370+AJ1370+AC1370</f>
        <v>1</v>
      </c>
      <c r="AL1370" s="855">
        <v>1.04</v>
      </c>
      <c r="AM1370" s="849">
        <f t="shared" ref="AM1370" si="5449">IFERROR((AK1370/AL1370),"-")</f>
        <v>0.96153846153846145</v>
      </c>
      <c r="AN1370" s="40"/>
      <c r="AO1370" s="855">
        <v>1</v>
      </c>
      <c r="AP1370" s="855">
        <f t="shared" ref="AP1370" si="5450">AO1370-AK1370</f>
        <v>0</v>
      </c>
      <c r="AV1370" t="str">
        <f t="shared" si="5380"/>
        <v>BDCC no Km 155+722 - Aterro 03</v>
      </c>
      <c r="AW1370" s="4" t="str">
        <f t="shared" si="5378"/>
        <v>3.1-PF 2,50x2,00 Km 153+780- Aterro A2 - Bueiro de Concreto - LD</v>
      </c>
    </row>
    <row r="1371" spans="1:50" ht="15.6" customHeight="1" outlineLevel="2">
      <c r="A1371" s="598" t="str">
        <f t="shared" ref="A1371" si="5451">A1370</f>
        <v>N</v>
      </c>
      <c r="B1371" s="599"/>
      <c r="C1371" s="599"/>
      <c r="D1371" s="118" t="s">
        <v>1441</v>
      </c>
      <c r="E1371" s="918"/>
      <c r="F1371" s="848"/>
      <c r="G1371" s="40"/>
      <c r="H1371" s="603" t="s">
        <v>38</v>
      </c>
      <c r="I1371" s="504">
        <v>0</v>
      </c>
      <c r="J1371" s="850"/>
      <c r="K1371" s="40"/>
      <c r="L1371" s="603" t="s">
        <v>38</v>
      </c>
      <c r="M1371" s="504">
        <f t="shared" si="5417"/>
        <v>0</v>
      </c>
      <c r="N1371" s="850"/>
      <c r="O1371" s="40"/>
      <c r="P1371" s="602">
        <v>0</v>
      </c>
      <c r="Q1371" s="602">
        <v>0</v>
      </c>
      <c r="R1371" s="602">
        <v>0</v>
      </c>
      <c r="S1371" s="602">
        <v>0</v>
      </c>
      <c r="T1371" s="602">
        <v>0</v>
      </c>
      <c r="U1371" s="602">
        <v>0</v>
      </c>
      <c r="V1371" s="602">
        <v>0</v>
      </c>
      <c r="W1371" s="40"/>
      <c r="X1371" s="504">
        <f t="shared" si="5409"/>
        <v>0</v>
      </c>
      <c r="Y1371" s="850"/>
      <c r="Z1371" s="40"/>
      <c r="AA1371" s="856"/>
      <c r="AB1371" s="856"/>
      <c r="AC1371" s="857"/>
      <c r="AD1371" s="920"/>
      <c r="AE1371" s="40"/>
      <c r="AF1371" s="856"/>
      <c r="AG1371" s="856"/>
      <c r="AH1371" s="857"/>
      <c r="AI1371" s="856"/>
      <c r="AJ1371" s="856"/>
      <c r="AK1371" s="856"/>
      <c r="AL1371" s="856"/>
      <c r="AM1371" s="850"/>
      <c r="AN1371" s="40"/>
      <c r="AO1371" s="882"/>
      <c r="AP1371" s="882"/>
      <c r="AV1371" t="str">
        <f t="shared" si="5380"/>
        <v>BDCC no Km 155+722 - Aterro 03</v>
      </c>
      <c r="AW1371" s="4" t="str">
        <f t="shared" si="5378"/>
        <v>3.1-PF 2,50x2,00 Km 153+780- Aterro A2 - Bueiro de Concreto - LD</v>
      </c>
    </row>
    <row r="1372" spans="1:50" ht="15.6" customHeight="1" outlineLevel="2">
      <c r="A1372" s="598" t="str">
        <f t="shared" ref="A1372" si="5452">IF(SUM(P1372:V1373)&gt;0,"S","N")</f>
        <v>N</v>
      </c>
      <c r="B1372" s="599">
        <v>1064480</v>
      </c>
      <c r="C1372" s="599" t="s">
        <v>1694</v>
      </c>
      <c r="D1372" s="118" t="s">
        <v>1695</v>
      </c>
      <c r="E1372" s="917" t="s">
        <v>1696</v>
      </c>
      <c r="F1372" s="848" t="s">
        <v>1437</v>
      </c>
      <c r="G1372" s="40"/>
      <c r="H1372" s="600" t="s">
        <v>37</v>
      </c>
      <c r="I1372" s="504">
        <v>0</v>
      </c>
      <c r="J1372" s="849" t="str">
        <f t="shared" ref="J1372" si="5453">IFERROR((I1373/I1372),"-")</f>
        <v>-</v>
      </c>
      <c r="K1372" s="40"/>
      <c r="L1372" s="600" t="s">
        <v>37</v>
      </c>
      <c r="M1372" s="504">
        <f t="shared" si="5417"/>
        <v>0</v>
      </c>
      <c r="N1372" s="849" t="str">
        <f t="shared" ref="N1372" si="5454">IFERROR((M1373/M1372),"-")</f>
        <v>-</v>
      </c>
      <c r="O1372" s="40"/>
      <c r="P1372" s="601">
        <v>0</v>
      </c>
      <c r="Q1372" s="601">
        <v>0</v>
      </c>
      <c r="R1372" s="601">
        <v>0</v>
      </c>
      <c r="S1372" s="601">
        <v>0</v>
      </c>
      <c r="T1372" s="601">
        <v>0</v>
      </c>
      <c r="U1372" s="601">
        <v>0</v>
      </c>
      <c r="V1372" s="602">
        <v>0</v>
      </c>
      <c r="W1372" s="40"/>
      <c r="X1372" s="504">
        <f t="shared" si="5409"/>
        <v>0</v>
      </c>
      <c r="Y1372" s="849" t="str">
        <f t="shared" ref="Y1372" si="5455">IFERROR((X1373/X1372),"0")</f>
        <v>0</v>
      </c>
      <c r="Z1372" s="40"/>
      <c r="AA1372" s="855">
        <v>0</v>
      </c>
      <c r="AB1372" s="855">
        <v>0</v>
      </c>
      <c r="AC1372" s="858">
        <v>0</v>
      </c>
      <c r="AD1372" s="849" t="str">
        <f t="shared" ref="AD1372" si="5456">IFERROR((AC1372/AB1372),"-")</f>
        <v>-</v>
      </c>
      <c r="AE1372" s="40"/>
      <c r="AF1372" s="855">
        <v>0</v>
      </c>
      <c r="AG1372" s="855"/>
      <c r="AH1372" s="858">
        <v>0</v>
      </c>
      <c r="AI1372" s="855"/>
      <c r="AJ1372" s="855"/>
      <c r="AK1372" s="855">
        <f t="shared" ref="AK1372" si="5457">AF1372+AG1372+AH1372+AI1372+AJ1372+AC1372</f>
        <v>0</v>
      </c>
      <c r="AL1372" s="855">
        <v>0</v>
      </c>
      <c r="AM1372" s="849" t="str">
        <f t="shared" ref="AM1372" si="5458">IFERROR((AK1372/AL1372),"-")</f>
        <v>-</v>
      </c>
      <c r="AN1372" s="40"/>
      <c r="AO1372" s="855">
        <v>0</v>
      </c>
      <c r="AP1372" s="855">
        <f t="shared" ref="AP1372" si="5459">AO1372-AK1372</f>
        <v>0</v>
      </c>
      <c r="AV1372" t="str">
        <f t="shared" si="5380"/>
        <v>BDCC no Km 155+722 - Aterro 03</v>
      </c>
      <c r="AW1372" s="4" t="str">
        <f t="shared" si="5378"/>
        <v>3.1-BSCC 2,0 x 1,50 m - Km 153+896 - Aterro A2 - Bueiro de Concreto - LE</v>
      </c>
      <c r="AX1372" s="4"/>
    </row>
    <row r="1373" spans="1:50" ht="15.6" customHeight="1" outlineLevel="2">
      <c r="A1373" s="598" t="str">
        <f t="shared" ref="A1373" si="5460">A1372</f>
        <v>N</v>
      </c>
      <c r="B1373" s="599"/>
      <c r="C1373" s="599"/>
      <c r="D1373" s="118" t="s">
        <v>1444</v>
      </c>
      <c r="E1373" s="918"/>
      <c r="F1373" s="848"/>
      <c r="G1373" s="40"/>
      <c r="H1373" s="603" t="s">
        <v>38</v>
      </c>
      <c r="I1373" s="504">
        <v>0</v>
      </c>
      <c r="J1373" s="850"/>
      <c r="K1373" s="40"/>
      <c r="L1373" s="603" t="s">
        <v>38</v>
      </c>
      <c r="M1373" s="504">
        <f t="shared" si="5417"/>
        <v>0</v>
      </c>
      <c r="N1373" s="850"/>
      <c r="O1373" s="40"/>
      <c r="P1373" s="602">
        <v>0</v>
      </c>
      <c r="Q1373" s="602">
        <v>0</v>
      </c>
      <c r="R1373" s="602">
        <v>0</v>
      </c>
      <c r="S1373" s="602">
        <v>0</v>
      </c>
      <c r="T1373" s="602">
        <v>0</v>
      </c>
      <c r="U1373" s="602">
        <v>0</v>
      </c>
      <c r="V1373" s="602">
        <v>0</v>
      </c>
      <c r="W1373" s="40"/>
      <c r="X1373" s="504">
        <f t="shared" si="5409"/>
        <v>0</v>
      </c>
      <c r="Y1373" s="850"/>
      <c r="Z1373" s="40"/>
      <c r="AA1373" s="856"/>
      <c r="AB1373" s="856"/>
      <c r="AC1373" s="857"/>
      <c r="AD1373" s="920"/>
      <c r="AE1373" s="40"/>
      <c r="AF1373" s="856"/>
      <c r="AG1373" s="856"/>
      <c r="AH1373" s="857"/>
      <c r="AI1373" s="856"/>
      <c r="AJ1373" s="856"/>
      <c r="AK1373" s="856"/>
      <c r="AL1373" s="856"/>
      <c r="AM1373" s="850"/>
      <c r="AN1373" s="40"/>
      <c r="AO1373" s="882"/>
      <c r="AP1373" s="882"/>
      <c r="AV1373" t="str">
        <f t="shared" si="5380"/>
        <v>BDCC no Km 155+722 - Aterro 03</v>
      </c>
      <c r="AW1373" s="4" t="str">
        <f t="shared" si="5378"/>
        <v>3.1-BSCC 2,0 x 1,50 m - Km 153+896 - Aterro A2 - Bueiro de Concreto - LE</v>
      </c>
      <c r="AX1373" s="4"/>
    </row>
    <row r="1374" spans="1:50" ht="15.6" customHeight="1" outlineLevel="2">
      <c r="A1374" s="598" t="str">
        <f t="shared" ref="A1374" si="5461">IF(SUM(P1374:V1375)&gt;0,"S","N")</f>
        <v>N</v>
      </c>
      <c r="B1374" s="599">
        <v>1064481</v>
      </c>
      <c r="C1374" s="599" t="s">
        <v>1697</v>
      </c>
      <c r="D1374" s="118" t="s">
        <v>1695</v>
      </c>
      <c r="E1374" s="917" t="s">
        <v>1698</v>
      </c>
      <c r="F1374" s="848" t="s">
        <v>1437</v>
      </c>
      <c r="G1374" s="40"/>
      <c r="H1374" s="600" t="s">
        <v>37</v>
      </c>
      <c r="I1374" s="504">
        <v>0</v>
      </c>
      <c r="J1374" s="849" t="str">
        <f t="shared" ref="J1374" si="5462">IFERROR((I1375/I1374),"-")</f>
        <v>-</v>
      </c>
      <c r="K1374" s="40"/>
      <c r="L1374" s="600" t="s">
        <v>37</v>
      </c>
      <c r="M1374" s="504">
        <f t="shared" si="5417"/>
        <v>0</v>
      </c>
      <c r="N1374" s="849" t="str">
        <f t="shared" ref="N1374" si="5463">IFERROR((M1375/M1374),"-")</f>
        <v>-</v>
      </c>
      <c r="O1374" s="40"/>
      <c r="P1374" s="601">
        <v>0</v>
      </c>
      <c r="Q1374" s="601">
        <v>0</v>
      </c>
      <c r="R1374" s="601">
        <v>0</v>
      </c>
      <c r="S1374" s="601">
        <v>0</v>
      </c>
      <c r="T1374" s="601">
        <v>0</v>
      </c>
      <c r="U1374" s="601">
        <v>0</v>
      </c>
      <c r="V1374" s="602">
        <v>0</v>
      </c>
      <c r="W1374" s="40"/>
      <c r="X1374" s="504">
        <f t="shared" si="5409"/>
        <v>0</v>
      </c>
      <c r="Y1374" s="849" t="str">
        <f t="shared" ref="Y1374" si="5464">IFERROR((X1375/X1374),"0")</f>
        <v>0</v>
      </c>
      <c r="Z1374" s="40"/>
      <c r="AA1374" s="855">
        <v>0</v>
      </c>
      <c r="AB1374" s="855">
        <v>0</v>
      </c>
      <c r="AC1374" s="858">
        <v>0</v>
      </c>
      <c r="AD1374" s="849" t="str">
        <f t="shared" ref="AD1374" si="5465">IFERROR((AC1374/AB1374),"-")</f>
        <v>-</v>
      </c>
      <c r="AE1374" s="40"/>
      <c r="AF1374" s="855">
        <v>1</v>
      </c>
      <c r="AG1374" s="855"/>
      <c r="AH1374" s="858">
        <v>0</v>
      </c>
      <c r="AI1374" s="855"/>
      <c r="AJ1374" s="855"/>
      <c r="AK1374" s="855">
        <f t="shared" ref="AK1374" si="5466">AF1374+AG1374+AH1374+AI1374+AJ1374+AC1374</f>
        <v>1</v>
      </c>
      <c r="AL1374" s="855">
        <v>0.99</v>
      </c>
      <c r="AM1374" s="849">
        <f t="shared" ref="AM1374" si="5467">IFERROR((AK1374/AL1374),"-")</f>
        <v>1.0101010101010102</v>
      </c>
      <c r="AN1374" s="40"/>
      <c r="AO1374" s="855">
        <v>1</v>
      </c>
      <c r="AP1374" s="855">
        <f t="shared" ref="AP1374" si="5468">AO1374-AK1374</f>
        <v>0</v>
      </c>
      <c r="AV1374" t="str">
        <f t="shared" si="5380"/>
        <v>BDCC no Km 155+722 - Aterro 03</v>
      </c>
      <c r="AW1374" s="4" t="str">
        <f t="shared" si="5378"/>
        <v>3.1-BSCC 2,0 x 1,50 m - Km 153+896 - Aterro A2 - Bueiro de Concreto - LD</v>
      </c>
      <c r="AX1374" s="4"/>
    </row>
    <row r="1375" spans="1:50" ht="15.6" customHeight="1" outlineLevel="2">
      <c r="A1375" s="598" t="str">
        <f t="shared" ref="A1375" si="5469">A1374</f>
        <v>N</v>
      </c>
      <c r="B1375" s="599"/>
      <c r="C1375" s="599"/>
      <c r="D1375" s="118" t="s">
        <v>1441</v>
      </c>
      <c r="E1375" s="918"/>
      <c r="F1375" s="848"/>
      <c r="G1375" s="40"/>
      <c r="H1375" s="603" t="s">
        <v>38</v>
      </c>
      <c r="I1375" s="504">
        <v>0</v>
      </c>
      <c r="J1375" s="850"/>
      <c r="K1375" s="40"/>
      <c r="L1375" s="603" t="s">
        <v>38</v>
      </c>
      <c r="M1375" s="504">
        <f t="shared" si="5417"/>
        <v>0</v>
      </c>
      <c r="N1375" s="850"/>
      <c r="O1375" s="40"/>
      <c r="P1375" s="602">
        <v>0</v>
      </c>
      <c r="Q1375" s="602">
        <v>0</v>
      </c>
      <c r="R1375" s="602">
        <v>0</v>
      </c>
      <c r="S1375" s="602">
        <v>0</v>
      </c>
      <c r="T1375" s="602">
        <v>0</v>
      </c>
      <c r="U1375" s="602">
        <v>0</v>
      </c>
      <c r="V1375" s="602">
        <v>0</v>
      </c>
      <c r="W1375" s="40"/>
      <c r="X1375" s="504">
        <f t="shared" si="5409"/>
        <v>0</v>
      </c>
      <c r="Y1375" s="850"/>
      <c r="Z1375" s="40"/>
      <c r="AA1375" s="856"/>
      <c r="AB1375" s="856"/>
      <c r="AC1375" s="857"/>
      <c r="AD1375" s="920"/>
      <c r="AE1375" s="40"/>
      <c r="AF1375" s="856"/>
      <c r="AG1375" s="856"/>
      <c r="AH1375" s="857"/>
      <c r="AI1375" s="856"/>
      <c r="AJ1375" s="856"/>
      <c r="AK1375" s="856"/>
      <c r="AL1375" s="856"/>
      <c r="AM1375" s="850"/>
      <c r="AN1375" s="40"/>
      <c r="AO1375" s="882"/>
      <c r="AP1375" s="882"/>
      <c r="AV1375" t="str">
        <f t="shared" si="5380"/>
        <v>BDCC no Km 155+722 - Aterro 03</v>
      </c>
      <c r="AW1375" s="4" t="str">
        <f t="shared" si="5378"/>
        <v>3.1-BSCC 2,0 x 1,50 m - Km 153+896 - Aterro A2 - Bueiro de Concreto - LD</v>
      </c>
      <c r="AX1375" s="4"/>
    </row>
    <row r="1376" spans="1:50" ht="15.6" customHeight="1" outlineLevel="2">
      <c r="A1376" s="598" t="str">
        <f t="shared" ref="A1376" si="5470">IF(SUM(P1376:V1377)&gt;0,"S","N")</f>
        <v>N</v>
      </c>
      <c r="B1376" s="599">
        <v>1064483</v>
      </c>
      <c r="C1376" s="599" t="s">
        <v>1699</v>
      </c>
      <c r="D1376" s="118" t="s">
        <v>1700</v>
      </c>
      <c r="E1376" s="917" t="s">
        <v>1701</v>
      </c>
      <c r="F1376" s="848" t="s">
        <v>1437</v>
      </c>
      <c r="G1376" s="40"/>
      <c r="H1376" s="600" t="s">
        <v>37</v>
      </c>
      <c r="I1376" s="504">
        <v>0</v>
      </c>
      <c r="J1376" s="849" t="str">
        <f t="shared" ref="J1376" si="5471">IFERROR((I1377/I1376),"-")</f>
        <v>-</v>
      </c>
      <c r="K1376" s="40"/>
      <c r="L1376" s="600" t="s">
        <v>37</v>
      </c>
      <c r="M1376" s="504">
        <f t="shared" si="5417"/>
        <v>0</v>
      </c>
      <c r="N1376" s="849" t="str">
        <f t="shared" ref="N1376" si="5472">IFERROR((M1377/M1376),"-")</f>
        <v>-</v>
      </c>
      <c r="O1376" s="40"/>
      <c r="P1376" s="601">
        <v>0</v>
      </c>
      <c r="Q1376" s="601">
        <v>0</v>
      </c>
      <c r="R1376" s="601">
        <v>0</v>
      </c>
      <c r="S1376" s="601">
        <v>0</v>
      </c>
      <c r="T1376" s="601">
        <v>0</v>
      </c>
      <c r="U1376" s="601">
        <v>0</v>
      </c>
      <c r="V1376" s="602">
        <v>0</v>
      </c>
      <c r="W1376" s="40"/>
      <c r="X1376" s="504">
        <f t="shared" si="5409"/>
        <v>0</v>
      </c>
      <c r="Y1376" s="849" t="str">
        <f t="shared" ref="Y1376" si="5473">IFERROR((X1377/X1376),"0")</f>
        <v>0</v>
      </c>
      <c r="Z1376" s="40"/>
      <c r="AA1376" s="855">
        <v>0</v>
      </c>
      <c r="AB1376" s="855">
        <v>0</v>
      </c>
      <c r="AC1376" s="858">
        <v>0</v>
      </c>
      <c r="AD1376" s="849" t="str">
        <f t="shared" ref="AD1376" si="5474">IFERROR((AC1376/AB1376),"-")</f>
        <v>-</v>
      </c>
      <c r="AE1376" s="40"/>
      <c r="AF1376" s="855">
        <v>1</v>
      </c>
      <c r="AG1376" s="855"/>
      <c r="AH1376" s="858">
        <v>0</v>
      </c>
      <c r="AI1376" s="855"/>
      <c r="AJ1376" s="855"/>
      <c r="AK1376" s="855">
        <f t="shared" ref="AK1376" si="5475">AF1376+AG1376+AH1376+AI1376+AJ1376+AC1376</f>
        <v>1</v>
      </c>
      <c r="AL1376" s="855">
        <v>1</v>
      </c>
      <c r="AM1376" s="849">
        <f t="shared" ref="AM1376" si="5476">IFERROR((AK1376/AL1376),"-")</f>
        <v>1</v>
      </c>
      <c r="AN1376" s="40"/>
      <c r="AO1376" s="855">
        <v>1</v>
      </c>
      <c r="AP1376" s="855">
        <f t="shared" ref="AP1376" si="5477">AO1376-AK1376</f>
        <v>0</v>
      </c>
      <c r="AV1376" t="str">
        <f t="shared" si="5380"/>
        <v>BDCC no Km 155+722 - Aterro 03</v>
      </c>
      <c r="AW1376" s="4" t="str">
        <f t="shared" si="5378"/>
        <v>3.1-BDCC 2,0 x 1,50 m - Km 154+372 - Aterro A2 - Bueiro de Concreto - LE</v>
      </c>
      <c r="AX1376" s="4"/>
    </row>
    <row r="1377" spans="1:50" ht="15.6" customHeight="1" outlineLevel="2">
      <c r="A1377" s="598" t="str">
        <f t="shared" ref="A1377" si="5478">A1376</f>
        <v>N</v>
      </c>
      <c r="B1377" s="599"/>
      <c r="C1377" s="599"/>
      <c r="D1377" s="118" t="s">
        <v>1444</v>
      </c>
      <c r="E1377" s="918"/>
      <c r="F1377" s="848"/>
      <c r="G1377" s="40"/>
      <c r="H1377" s="603" t="s">
        <v>38</v>
      </c>
      <c r="I1377" s="504">
        <v>0</v>
      </c>
      <c r="J1377" s="850"/>
      <c r="K1377" s="40"/>
      <c r="L1377" s="603" t="s">
        <v>38</v>
      </c>
      <c r="M1377" s="504">
        <f t="shared" si="5417"/>
        <v>0</v>
      </c>
      <c r="N1377" s="850"/>
      <c r="O1377" s="40"/>
      <c r="P1377" s="602">
        <v>0</v>
      </c>
      <c r="Q1377" s="602">
        <v>0</v>
      </c>
      <c r="R1377" s="602">
        <v>0</v>
      </c>
      <c r="S1377" s="602">
        <v>0</v>
      </c>
      <c r="T1377" s="602">
        <v>0</v>
      </c>
      <c r="U1377" s="602">
        <v>0</v>
      </c>
      <c r="V1377" s="602">
        <v>0</v>
      </c>
      <c r="W1377" s="40"/>
      <c r="X1377" s="504">
        <f t="shared" si="5409"/>
        <v>0</v>
      </c>
      <c r="Y1377" s="850"/>
      <c r="Z1377" s="40"/>
      <c r="AA1377" s="856"/>
      <c r="AB1377" s="856"/>
      <c r="AC1377" s="857"/>
      <c r="AD1377" s="920"/>
      <c r="AE1377" s="40"/>
      <c r="AF1377" s="856"/>
      <c r="AG1377" s="856"/>
      <c r="AH1377" s="857"/>
      <c r="AI1377" s="856"/>
      <c r="AJ1377" s="856"/>
      <c r="AK1377" s="856"/>
      <c r="AL1377" s="856"/>
      <c r="AM1377" s="850"/>
      <c r="AN1377" s="40"/>
      <c r="AO1377" s="882"/>
      <c r="AP1377" s="882"/>
      <c r="AV1377" t="str">
        <f t="shared" si="5380"/>
        <v>BDCC no Km 155+722 - Aterro 03</v>
      </c>
      <c r="AW1377" s="4" t="str">
        <f t="shared" si="5378"/>
        <v>3.1-BDCC 2,0 x 1,50 m - Km 154+372 - Aterro A2 - Bueiro de Concreto - LE</v>
      </c>
    </row>
    <row r="1378" spans="1:50" ht="15.6" customHeight="1" outlineLevel="2">
      <c r="A1378" s="598" t="str">
        <f t="shared" ref="A1378" si="5479">IF(SUM(P1378:V1379)&gt;0,"S","N")</f>
        <v>N</v>
      </c>
      <c r="B1378" s="599">
        <v>1064484</v>
      </c>
      <c r="C1378" s="599" t="s">
        <v>1702</v>
      </c>
      <c r="D1378" s="118" t="s">
        <v>1700</v>
      </c>
      <c r="E1378" s="917" t="s">
        <v>1703</v>
      </c>
      <c r="F1378" s="848" t="s">
        <v>1437</v>
      </c>
      <c r="G1378" s="40"/>
      <c r="H1378" s="600" t="s">
        <v>37</v>
      </c>
      <c r="I1378" s="504">
        <v>0</v>
      </c>
      <c r="J1378" s="849" t="str">
        <f t="shared" ref="J1378" si="5480">IFERROR((I1379/I1378),"-")</f>
        <v>-</v>
      </c>
      <c r="K1378" s="40"/>
      <c r="L1378" s="600" t="s">
        <v>37</v>
      </c>
      <c r="M1378" s="504">
        <f t="shared" si="5417"/>
        <v>0</v>
      </c>
      <c r="N1378" s="849" t="str">
        <f t="shared" ref="N1378" si="5481">IFERROR((M1379/M1378),"-")</f>
        <v>-</v>
      </c>
      <c r="O1378" s="40"/>
      <c r="P1378" s="601">
        <v>0</v>
      </c>
      <c r="Q1378" s="601">
        <v>0</v>
      </c>
      <c r="R1378" s="601">
        <v>0</v>
      </c>
      <c r="S1378" s="601">
        <v>0</v>
      </c>
      <c r="T1378" s="601">
        <v>0</v>
      </c>
      <c r="U1378" s="601">
        <v>0</v>
      </c>
      <c r="V1378" s="602">
        <v>0</v>
      </c>
      <c r="W1378" s="40"/>
      <c r="X1378" s="504">
        <f t="shared" si="5409"/>
        <v>0</v>
      </c>
      <c r="Y1378" s="849" t="str">
        <f t="shared" ref="Y1378" si="5482">IFERROR((X1379/X1378),"0")</f>
        <v>0</v>
      </c>
      <c r="Z1378" s="40"/>
      <c r="AA1378" s="855">
        <v>0</v>
      </c>
      <c r="AB1378" s="855">
        <v>0</v>
      </c>
      <c r="AC1378" s="858">
        <v>0</v>
      </c>
      <c r="AD1378" s="849" t="str">
        <f t="shared" ref="AD1378" si="5483">IFERROR((AC1378/AB1378),"-")</f>
        <v>-</v>
      </c>
      <c r="AE1378" s="40"/>
      <c r="AF1378" s="855">
        <v>1</v>
      </c>
      <c r="AG1378" s="855"/>
      <c r="AH1378" s="858">
        <v>0</v>
      </c>
      <c r="AI1378" s="855"/>
      <c r="AJ1378" s="855"/>
      <c r="AK1378" s="855">
        <f t="shared" ref="AK1378" si="5484">AF1378+AG1378+AH1378+AI1378+AJ1378+AC1378</f>
        <v>1</v>
      </c>
      <c r="AL1378" s="855">
        <v>1</v>
      </c>
      <c r="AM1378" s="849">
        <f t="shared" ref="AM1378" si="5485">IFERROR((AK1378/AL1378),"-")</f>
        <v>1</v>
      </c>
      <c r="AN1378" s="40"/>
      <c r="AO1378" s="855">
        <v>1</v>
      </c>
      <c r="AP1378" s="855">
        <f t="shared" ref="AP1378" si="5486">AO1378-AK1378</f>
        <v>0</v>
      </c>
      <c r="AV1378" t="str">
        <f t="shared" si="5380"/>
        <v>BDCC no Km 155+722 - Aterro 03</v>
      </c>
      <c r="AW1378" s="4" t="str">
        <f t="shared" si="5378"/>
        <v>3.1-BDCC 2,0 x 1,50 m - Km 154+372 - Aterro A2 - Bueiro de Concreto - LD</v>
      </c>
      <c r="AX1378" s="4"/>
    </row>
    <row r="1379" spans="1:50" ht="15.6" customHeight="1" outlineLevel="2">
      <c r="A1379" s="598" t="str">
        <f t="shared" ref="A1379" si="5487">A1378</f>
        <v>N</v>
      </c>
      <c r="B1379" s="599"/>
      <c r="C1379" s="599"/>
      <c r="D1379" s="118" t="s">
        <v>1441</v>
      </c>
      <c r="E1379" s="918"/>
      <c r="F1379" s="848"/>
      <c r="G1379" s="40"/>
      <c r="H1379" s="603" t="s">
        <v>38</v>
      </c>
      <c r="I1379" s="504">
        <v>0</v>
      </c>
      <c r="J1379" s="850"/>
      <c r="K1379" s="40"/>
      <c r="L1379" s="603" t="s">
        <v>38</v>
      </c>
      <c r="M1379" s="504">
        <f t="shared" si="5417"/>
        <v>0</v>
      </c>
      <c r="N1379" s="850"/>
      <c r="O1379" s="40"/>
      <c r="P1379" s="602">
        <v>0</v>
      </c>
      <c r="Q1379" s="602">
        <v>0</v>
      </c>
      <c r="R1379" s="602">
        <v>0</v>
      </c>
      <c r="S1379" s="602">
        <v>0</v>
      </c>
      <c r="T1379" s="602">
        <v>0</v>
      </c>
      <c r="U1379" s="602">
        <v>0</v>
      </c>
      <c r="V1379" s="602">
        <v>0</v>
      </c>
      <c r="W1379" s="40"/>
      <c r="X1379" s="504">
        <f t="shared" si="5409"/>
        <v>0</v>
      </c>
      <c r="Y1379" s="850"/>
      <c r="Z1379" s="40"/>
      <c r="AA1379" s="856"/>
      <c r="AB1379" s="856"/>
      <c r="AC1379" s="857"/>
      <c r="AD1379" s="920"/>
      <c r="AE1379" s="40"/>
      <c r="AF1379" s="856"/>
      <c r="AG1379" s="856"/>
      <c r="AH1379" s="857"/>
      <c r="AI1379" s="856"/>
      <c r="AJ1379" s="856"/>
      <c r="AK1379" s="856"/>
      <c r="AL1379" s="856"/>
      <c r="AM1379" s="850"/>
      <c r="AN1379" s="40"/>
      <c r="AO1379" s="882"/>
      <c r="AP1379" s="882"/>
      <c r="AV1379" t="str">
        <f t="shared" si="5380"/>
        <v>BDCC no Km 155+722 - Aterro 03</v>
      </c>
      <c r="AW1379" s="4" t="str">
        <f t="shared" si="5378"/>
        <v>3.1-BDCC 2,0 x 1,50 m - Km 154+372 - Aterro A2 - Bueiro de Concreto - LD</v>
      </c>
    </row>
    <row r="1380" spans="1:50" ht="15.6" customHeight="1" outlineLevel="2">
      <c r="A1380" s="598" t="str">
        <f t="shared" ref="A1380" si="5488">IF(SUM(P1380:V1381)&gt;0,"S","N")</f>
        <v>N</v>
      </c>
      <c r="B1380" s="599">
        <v>1064486</v>
      </c>
      <c r="C1380" s="599" t="s">
        <v>1704</v>
      </c>
      <c r="D1380" s="118" t="s">
        <v>1705</v>
      </c>
      <c r="E1380" s="917" t="s">
        <v>1706</v>
      </c>
      <c r="F1380" s="848" t="s">
        <v>1437</v>
      </c>
      <c r="G1380" s="40"/>
      <c r="H1380" s="600" t="s">
        <v>37</v>
      </c>
      <c r="I1380" s="504">
        <v>0</v>
      </c>
      <c r="J1380" s="849" t="str">
        <f t="shared" ref="J1380" si="5489">IFERROR((I1381/I1380),"-")</f>
        <v>-</v>
      </c>
      <c r="K1380" s="40"/>
      <c r="L1380" s="600" t="s">
        <v>37</v>
      </c>
      <c r="M1380" s="504">
        <f t="shared" si="5417"/>
        <v>0</v>
      </c>
      <c r="N1380" s="849" t="str">
        <f t="shared" ref="N1380" si="5490">IFERROR((M1381/M1380),"-")</f>
        <v>-</v>
      </c>
      <c r="O1380" s="40"/>
      <c r="P1380" s="601">
        <v>0</v>
      </c>
      <c r="Q1380" s="601">
        <v>0</v>
      </c>
      <c r="R1380" s="601">
        <v>0</v>
      </c>
      <c r="S1380" s="601">
        <v>0</v>
      </c>
      <c r="T1380" s="601">
        <v>0</v>
      </c>
      <c r="U1380" s="601">
        <v>0</v>
      </c>
      <c r="V1380" s="602">
        <v>0</v>
      </c>
      <c r="W1380" s="40"/>
      <c r="X1380" s="504">
        <f t="shared" si="5409"/>
        <v>0</v>
      </c>
      <c r="Y1380" s="849" t="str">
        <f t="shared" ref="Y1380" si="5491">IFERROR((X1381/X1380),"0")</f>
        <v>0</v>
      </c>
      <c r="Z1380" s="40"/>
      <c r="AA1380" s="855">
        <v>0</v>
      </c>
      <c r="AB1380" s="855">
        <v>0</v>
      </c>
      <c r="AC1380" s="858">
        <v>0</v>
      </c>
      <c r="AD1380" s="849" t="str">
        <f t="shared" ref="AD1380" si="5492">IFERROR((AC1380/AB1380),"-")</f>
        <v>-</v>
      </c>
      <c r="AE1380" s="40"/>
      <c r="AF1380" s="855">
        <v>1</v>
      </c>
      <c r="AG1380" s="855"/>
      <c r="AH1380" s="858">
        <v>0</v>
      </c>
      <c r="AI1380" s="855"/>
      <c r="AJ1380" s="855"/>
      <c r="AK1380" s="855">
        <f t="shared" ref="AK1380" si="5493">AF1380+AG1380+AH1380+AI1380+AJ1380+AC1380</f>
        <v>1</v>
      </c>
      <c r="AL1380" s="855">
        <v>0.9900000000000001</v>
      </c>
      <c r="AM1380" s="849">
        <f t="shared" ref="AM1380" si="5494">IFERROR((AK1380/AL1380),"-")</f>
        <v>1.0101010101010099</v>
      </c>
      <c r="AN1380" s="40"/>
      <c r="AO1380" s="855">
        <v>1</v>
      </c>
      <c r="AP1380" s="855">
        <f t="shared" ref="AP1380" si="5495">AO1380-AK1380</f>
        <v>0</v>
      </c>
      <c r="AV1380" t="str">
        <f t="shared" si="5380"/>
        <v>BDCC no Km 155+722 - Aterro 03</v>
      </c>
      <c r="AW1380" s="4" t="str">
        <f t="shared" si="5378"/>
        <v>3.1-BDCC 2,50 x 2,50 m - Km 155+722 -Aterro A3 - Bueiro de Concreto - LE</v>
      </c>
    </row>
    <row r="1381" spans="1:50" ht="15.6" customHeight="1" outlineLevel="2">
      <c r="A1381" s="598" t="str">
        <f t="shared" ref="A1381" si="5496">A1380</f>
        <v>N</v>
      </c>
      <c r="B1381" s="599"/>
      <c r="C1381" s="599"/>
      <c r="D1381" s="118" t="s">
        <v>1444</v>
      </c>
      <c r="E1381" s="918"/>
      <c r="F1381" s="848"/>
      <c r="G1381" s="40"/>
      <c r="H1381" s="603" t="s">
        <v>38</v>
      </c>
      <c r="I1381" s="504">
        <v>0</v>
      </c>
      <c r="J1381" s="850"/>
      <c r="K1381" s="40"/>
      <c r="L1381" s="603" t="s">
        <v>38</v>
      </c>
      <c r="M1381" s="504">
        <f t="shared" si="5417"/>
        <v>0</v>
      </c>
      <c r="N1381" s="850"/>
      <c r="O1381" s="40"/>
      <c r="P1381" s="602">
        <v>0</v>
      </c>
      <c r="Q1381" s="602">
        <v>0</v>
      </c>
      <c r="R1381" s="602">
        <v>0</v>
      </c>
      <c r="S1381" s="602">
        <v>0</v>
      </c>
      <c r="T1381" s="602">
        <v>0</v>
      </c>
      <c r="U1381" s="602">
        <v>0</v>
      </c>
      <c r="V1381" s="602">
        <v>0</v>
      </c>
      <c r="W1381" s="40"/>
      <c r="X1381" s="504">
        <f t="shared" si="5409"/>
        <v>0</v>
      </c>
      <c r="Y1381" s="850"/>
      <c r="Z1381" s="40"/>
      <c r="AA1381" s="856"/>
      <c r="AB1381" s="856"/>
      <c r="AC1381" s="857"/>
      <c r="AD1381" s="920"/>
      <c r="AE1381" s="40"/>
      <c r="AF1381" s="856"/>
      <c r="AG1381" s="856"/>
      <c r="AH1381" s="857"/>
      <c r="AI1381" s="856"/>
      <c r="AJ1381" s="856"/>
      <c r="AK1381" s="856"/>
      <c r="AL1381" s="856"/>
      <c r="AM1381" s="850"/>
      <c r="AN1381" s="40"/>
      <c r="AO1381" s="882"/>
      <c r="AP1381" s="882"/>
      <c r="AV1381" t="str">
        <f t="shared" si="5380"/>
        <v>BDCC no Km 155+722 - Aterro 03</v>
      </c>
      <c r="AW1381" s="4" t="str">
        <f t="shared" si="5378"/>
        <v>3.1-BDCC 2,50 x 2,50 m - Km 155+722 -Aterro A3 - Bueiro de Concreto - LE</v>
      </c>
    </row>
    <row r="1382" spans="1:50" ht="15.6" customHeight="1" outlineLevel="2">
      <c r="A1382" s="598" t="str">
        <f t="shared" ref="A1382" si="5497">IF(SUM(P1382:V1383)&gt;0,"S","N")</f>
        <v>N</v>
      </c>
      <c r="B1382" s="599">
        <v>1064487</v>
      </c>
      <c r="C1382" s="599" t="s">
        <v>1707</v>
      </c>
      <c r="D1382" s="118" t="s">
        <v>1705</v>
      </c>
      <c r="E1382" s="917" t="s">
        <v>1708</v>
      </c>
      <c r="F1382" s="848" t="s">
        <v>1437</v>
      </c>
      <c r="G1382" s="40"/>
      <c r="H1382" s="600" t="s">
        <v>37</v>
      </c>
      <c r="I1382" s="504">
        <v>0</v>
      </c>
      <c r="J1382" s="849" t="str">
        <f t="shared" ref="J1382" si="5498">IFERROR((I1383/I1382),"-")</f>
        <v>-</v>
      </c>
      <c r="K1382" s="40"/>
      <c r="L1382" s="600" t="s">
        <v>37</v>
      </c>
      <c r="M1382" s="504">
        <f t="shared" si="5417"/>
        <v>0</v>
      </c>
      <c r="N1382" s="849" t="str">
        <f t="shared" ref="N1382" si="5499">IFERROR((M1383/M1382),"-")</f>
        <v>-</v>
      </c>
      <c r="O1382" s="40"/>
      <c r="P1382" s="601">
        <v>0</v>
      </c>
      <c r="Q1382" s="601">
        <v>0</v>
      </c>
      <c r="R1382" s="601">
        <v>0</v>
      </c>
      <c r="S1382" s="601">
        <v>0</v>
      </c>
      <c r="T1382" s="601">
        <v>0</v>
      </c>
      <c r="U1382" s="601">
        <v>0</v>
      </c>
      <c r="V1382" s="602">
        <v>0</v>
      </c>
      <c r="W1382" s="40"/>
      <c r="X1382" s="504">
        <f t="shared" si="5409"/>
        <v>0</v>
      </c>
      <c r="Y1382" s="849" t="str">
        <f t="shared" ref="Y1382" si="5500">IFERROR((X1383/X1382),"0")</f>
        <v>0</v>
      </c>
      <c r="Z1382" s="40"/>
      <c r="AA1382" s="855">
        <v>0</v>
      </c>
      <c r="AB1382" s="855">
        <v>0</v>
      </c>
      <c r="AC1382" s="858">
        <v>0</v>
      </c>
      <c r="AD1382" s="849" t="str">
        <f t="shared" ref="AD1382" si="5501">IFERROR((AC1382/AB1382),"-")</f>
        <v>-</v>
      </c>
      <c r="AE1382" s="40"/>
      <c r="AF1382" s="855">
        <v>1</v>
      </c>
      <c r="AG1382" s="855"/>
      <c r="AH1382" s="858">
        <v>0</v>
      </c>
      <c r="AI1382" s="855"/>
      <c r="AJ1382" s="855"/>
      <c r="AK1382" s="855">
        <f t="shared" ref="AK1382" si="5502">AF1382+AG1382+AH1382+AI1382+AJ1382+AC1382</f>
        <v>1</v>
      </c>
      <c r="AL1382" s="855">
        <v>0.9900000000000001</v>
      </c>
      <c r="AM1382" s="849">
        <f t="shared" ref="AM1382" si="5503">IFERROR((AK1382/AL1382),"-")</f>
        <v>1.0101010101010099</v>
      </c>
      <c r="AN1382" s="40"/>
      <c r="AO1382" s="855">
        <v>1</v>
      </c>
      <c r="AP1382" s="855">
        <f t="shared" ref="AP1382" si="5504">AO1382-AK1382</f>
        <v>0</v>
      </c>
      <c r="AV1382" t="str">
        <f t="shared" si="5380"/>
        <v>BDCC no Km 155+722 - Aterro 03</v>
      </c>
      <c r="AW1382" s="4" t="str">
        <f t="shared" si="5378"/>
        <v>3.1-BDCC 2,50 x 2,50 m - Km 155+722 -Aterro A3 - Bueiro de Concreto - LD</v>
      </c>
    </row>
    <row r="1383" spans="1:50" ht="15.6" customHeight="1" outlineLevel="2">
      <c r="A1383" s="598" t="str">
        <f t="shared" ref="A1383" si="5505">A1382</f>
        <v>N</v>
      </c>
      <c r="B1383" s="599"/>
      <c r="C1383" s="599"/>
      <c r="D1383" s="118" t="s">
        <v>1441</v>
      </c>
      <c r="E1383" s="918"/>
      <c r="F1383" s="848"/>
      <c r="G1383" s="40"/>
      <c r="H1383" s="603" t="s">
        <v>38</v>
      </c>
      <c r="I1383" s="504">
        <v>0</v>
      </c>
      <c r="J1383" s="850"/>
      <c r="K1383" s="40"/>
      <c r="L1383" s="603" t="s">
        <v>38</v>
      </c>
      <c r="M1383" s="504">
        <f t="shared" si="5417"/>
        <v>0</v>
      </c>
      <c r="N1383" s="850"/>
      <c r="O1383" s="40"/>
      <c r="P1383" s="602">
        <v>0</v>
      </c>
      <c r="Q1383" s="602">
        <v>0</v>
      </c>
      <c r="R1383" s="602">
        <v>0</v>
      </c>
      <c r="S1383" s="602">
        <v>0</v>
      </c>
      <c r="T1383" s="602">
        <v>0</v>
      </c>
      <c r="U1383" s="602">
        <v>0</v>
      </c>
      <c r="V1383" s="602">
        <v>0</v>
      </c>
      <c r="W1383" s="40"/>
      <c r="X1383" s="504">
        <f t="shared" si="5409"/>
        <v>0</v>
      </c>
      <c r="Y1383" s="850"/>
      <c r="Z1383" s="40"/>
      <c r="AA1383" s="856"/>
      <c r="AB1383" s="856"/>
      <c r="AC1383" s="857"/>
      <c r="AD1383" s="920"/>
      <c r="AE1383" s="40"/>
      <c r="AF1383" s="856"/>
      <c r="AG1383" s="856"/>
      <c r="AH1383" s="857"/>
      <c r="AI1383" s="856"/>
      <c r="AJ1383" s="856"/>
      <c r="AK1383" s="856"/>
      <c r="AL1383" s="856"/>
      <c r="AM1383" s="850"/>
      <c r="AN1383" s="40"/>
      <c r="AO1383" s="882"/>
      <c r="AP1383" s="882"/>
      <c r="AV1383" t="str">
        <f t="shared" si="5380"/>
        <v>BDCC no Km 155+722 - Aterro 03</v>
      </c>
      <c r="AW1383" s="4" t="str">
        <f t="shared" si="5378"/>
        <v>3.1-BDCC 2,50 x 2,50 m - Km 155+722 -Aterro A3 - Bueiro de Concreto - LD</v>
      </c>
    </row>
    <row r="1384" spans="1:50" ht="15.6" customHeight="1" outlineLevel="2">
      <c r="A1384" s="598" t="str">
        <f t="shared" ref="A1384" si="5506">IF(SUM(P1384:V1385)&gt;0,"S","N")</f>
        <v>N</v>
      </c>
      <c r="B1384" s="599">
        <v>1064492</v>
      </c>
      <c r="C1384" s="599" t="s">
        <v>1709</v>
      </c>
      <c r="D1384" s="118" t="s">
        <v>1402</v>
      </c>
      <c r="E1384" s="917" t="s">
        <v>1710</v>
      </c>
      <c r="F1384" s="848" t="s">
        <v>1437</v>
      </c>
      <c r="G1384" s="40"/>
      <c r="H1384" s="600" t="s">
        <v>37</v>
      </c>
      <c r="I1384" s="504">
        <v>0</v>
      </c>
      <c r="J1384" s="849" t="str">
        <f t="shared" ref="J1384" si="5507">IFERROR((I1385/I1384),"-")</f>
        <v>-</v>
      </c>
      <c r="K1384" s="40"/>
      <c r="L1384" s="600" t="s">
        <v>37</v>
      </c>
      <c r="M1384" s="504">
        <f t="shared" si="5417"/>
        <v>0</v>
      </c>
      <c r="N1384" s="849" t="str">
        <f t="shared" ref="N1384" si="5508">IFERROR((M1385/M1384),"-")</f>
        <v>-</v>
      </c>
      <c r="O1384" s="40"/>
      <c r="P1384" s="601">
        <v>0</v>
      </c>
      <c r="Q1384" s="601">
        <v>0</v>
      </c>
      <c r="R1384" s="601">
        <v>0</v>
      </c>
      <c r="S1384" s="601">
        <v>0</v>
      </c>
      <c r="T1384" s="601">
        <v>0</v>
      </c>
      <c r="U1384" s="601">
        <v>0</v>
      </c>
      <c r="V1384" s="602">
        <v>0</v>
      </c>
      <c r="W1384" s="40"/>
      <c r="X1384" s="504">
        <f t="shared" si="5409"/>
        <v>0</v>
      </c>
      <c r="Y1384" s="849" t="str">
        <f t="shared" ref="Y1384" si="5509">IFERROR((X1385/X1384),"0")</f>
        <v>0</v>
      </c>
      <c r="Z1384" s="40"/>
      <c r="AA1384" s="855">
        <v>0</v>
      </c>
      <c r="AB1384" s="855">
        <v>0</v>
      </c>
      <c r="AC1384" s="858">
        <v>0</v>
      </c>
      <c r="AD1384" s="849" t="str">
        <f t="shared" ref="AD1384" si="5510">IFERROR((AC1384/AB1384),"-")</f>
        <v>-</v>
      </c>
      <c r="AE1384" s="40"/>
      <c r="AF1384" s="855">
        <v>0</v>
      </c>
      <c r="AG1384" s="855"/>
      <c r="AH1384" s="858">
        <v>0</v>
      </c>
      <c r="AI1384" s="855"/>
      <c r="AJ1384" s="855"/>
      <c r="AK1384" s="855">
        <f t="shared" ref="AK1384" si="5511">AF1384+AG1384+AH1384+AI1384+AJ1384+AC1384</f>
        <v>0</v>
      </c>
      <c r="AL1384" s="855">
        <v>0</v>
      </c>
      <c r="AM1384" s="849" t="str">
        <f t="shared" ref="AM1384" si="5512">IFERROR((AK1384/AL1384),"-")</f>
        <v>-</v>
      </c>
      <c r="AN1384" s="40"/>
      <c r="AO1384" s="855">
        <v>1</v>
      </c>
      <c r="AP1384" s="855">
        <f t="shared" ref="AP1384" si="5513">AO1384-AK1384</f>
        <v>1</v>
      </c>
      <c r="AV1384" t="str">
        <f t="shared" si="5380"/>
        <v>BDCC no Km 155+722 - Aterro 03</v>
      </c>
      <c r="AW1384" s="4" t="str">
        <f t="shared" si="5378"/>
        <v>3.1-PG BSCC 3,0 x 3,0m - km 158+725 - Aterro A4 - Bueiro de Concreto - LE</v>
      </c>
    </row>
    <row r="1385" spans="1:50" ht="15.6" customHeight="1" outlineLevel="2">
      <c r="A1385" s="598" t="str">
        <f t="shared" ref="A1385" si="5514">A1384</f>
        <v>N</v>
      </c>
      <c r="B1385" s="599"/>
      <c r="C1385" s="599"/>
      <c r="D1385" s="118" t="s">
        <v>1444</v>
      </c>
      <c r="E1385" s="918"/>
      <c r="F1385" s="848"/>
      <c r="G1385" s="40"/>
      <c r="H1385" s="603" t="s">
        <v>38</v>
      </c>
      <c r="I1385" s="504">
        <v>0</v>
      </c>
      <c r="J1385" s="850"/>
      <c r="K1385" s="40"/>
      <c r="L1385" s="603" t="s">
        <v>38</v>
      </c>
      <c r="M1385" s="504">
        <f t="shared" si="5417"/>
        <v>0</v>
      </c>
      <c r="N1385" s="850"/>
      <c r="O1385" s="40"/>
      <c r="P1385" s="602">
        <v>0</v>
      </c>
      <c r="Q1385" s="602">
        <v>0</v>
      </c>
      <c r="R1385" s="602">
        <v>0</v>
      </c>
      <c r="S1385" s="602">
        <v>0</v>
      </c>
      <c r="T1385" s="602">
        <v>0</v>
      </c>
      <c r="U1385" s="602">
        <v>0</v>
      </c>
      <c r="V1385" s="602">
        <v>0</v>
      </c>
      <c r="W1385" s="40"/>
      <c r="X1385" s="504">
        <f t="shared" si="5409"/>
        <v>0</v>
      </c>
      <c r="Y1385" s="850"/>
      <c r="Z1385" s="40"/>
      <c r="AA1385" s="856"/>
      <c r="AB1385" s="856"/>
      <c r="AC1385" s="857"/>
      <c r="AD1385" s="920"/>
      <c r="AE1385" s="40"/>
      <c r="AF1385" s="856"/>
      <c r="AG1385" s="856"/>
      <c r="AH1385" s="857"/>
      <c r="AI1385" s="856"/>
      <c r="AJ1385" s="856"/>
      <c r="AK1385" s="856"/>
      <c r="AL1385" s="856"/>
      <c r="AM1385" s="850"/>
      <c r="AN1385" s="40"/>
      <c r="AO1385" s="882"/>
      <c r="AP1385" s="882"/>
      <c r="AV1385" t="str">
        <f t="shared" si="5380"/>
        <v>BDCC no Km 155+722 - Aterro 03</v>
      </c>
      <c r="AW1385" s="4" t="str">
        <f t="shared" si="5378"/>
        <v>3.1-PG BSCC 3,0 x 3,0m - km 158+725 - Aterro A4 - Bueiro de Concreto - LE</v>
      </c>
    </row>
    <row r="1386" spans="1:50" ht="15.6" customHeight="1" outlineLevel="2">
      <c r="A1386" s="598" t="str">
        <f t="shared" ref="A1386" si="5515">IF(SUM(P1386:V1387)&gt;0,"S","N")</f>
        <v>N</v>
      </c>
      <c r="B1386" s="599">
        <v>1064493</v>
      </c>
      <c r="C1386" s="599" t="s">
        <v>1711</v>
      </c>
      <c r="D1386" s="118" t="s">
        <v>1402</v>
      </c>
      <c r="E1386" s="917" t="s">
        <v>1712</v>
      </c>
      <c r="F1386" s="848" t="s">
        <v>1437</v>
      </c>
      <c r="G1386" s="40"/>
      <c r="H1386" s="600" t="s">
        <v>37</v>
      </c>
      <c r="I1386" s="504">
        <v>0</v>
      </c>
      <c r="J1386" s="849" t="str">
        <f t="shared" ref="J1386" si="5516">IFERROR((I1387/I1386),"-")</f>
        <v>-</v>
      </c>
      <c r="K1386" s="40"/>
      <c r="L1386" s="600" t="s">
        <v>37</v>
      </c>
      <c r="M1386" s="504">
        <f t="shared" si="5417"/>
        <v>0</v>
      </c>
      <c r="N1386" s="849" t="str">
        <f t="shared" ref="N1386" si="5517">IFERROR((M1387/M1386),"-")</f>
        <v>-</v>
      </c>
      <c r="O1386" s="40"/>
      <c r="P1386" s="601">
        <v>0</v>
      </c>
      <c r="Q1386" s="601">
        <v>0</v>
      </c>
      <c r="R1386" s="601">
        <v>0</v>
      </c>
      <c r="S1386" s="601">
        <v>0</v>
      </c>
      <c r="T1386" s="601">
        <v>0</v>
      </c>
      <c r="U1386" s="601">
        <v>0</v>
      </c>
      <c r="V1386" s="602">
        <v>0</v>
      </c>
      <c r="W1386" s="40"/>
      <c r="X1386" s="504">
        <f t="shared" si="5409"/>
        <v>0</v>
      </c>
      <c r="Y1386" s="849" t="str">
        <f t="shared" ref="Y1386" si="5518">IFERROR((X1387/X1386),"0")</f>
        <v>0</v>
      </c>
      <c r="Z1386" s="40"/>
      <c r="AA1386" s="855">
        <v>0</v>
      </c>
      <c r="AB1386" s="855">
        <v>0</v>
      </c>
      <c r="AC1386" s="858">
        <v>0</v>
      </c>
      <c r="AD1386" s="849" t="str">
        <f t="shared" ref="AD1386" si="5519">IFERROR((AC1386/AB1386),"-")</f>
        <v>-</v>
      </c>
      <c r="AE1386" s="40"/>
      <c r="AF1386" s="855">
        <v>0</v>
      </c>
      <c r="AG1386" s="855"/>
      <c r="AH1386" s="858">
        <v>0</v>
      </c>
      <c r="AI1386" s="855"/>
      <c r="AJ1386" s="855"/>
      <c r="AK1386" s="855">
        <f t="shared" ref="AK1386" si="5520">AF1386+AG1386+AH1386+AI1386+AJ1386+AC1386</f>
        <v>0</v>
      </c>
      <c r="AL1386" s="855">
        <v>0</v>
      </c>
      <c r="AM1386" s="849" t="str">
        <f t="shared" ref="AM1386" si="5521">IFERROR((AK1386/AL1386),"-")</f>
        <v>-</v>
      </c>
      <c r="AN1386" s="40"/>
      <c r="AO1386" s="855">
        <v>1</v>
      </c>
      <c r="AP1386" s="855">
        <f t="shared" ref="AP1386" si="5522">AO1386-AK1386</f>
        <v>1</v>
      </c>
      <c r="AV1386" t="str">
        <f t="shared" si="5380"/>
        <v>BDCC no Km 155+722 - Aterro 03</v>
      </c>
      <c r="AW1386" s="4" t="str">
        <f t="shared" si="5378"/>
        <v>3.1-PG BSCC 3,0 x 3,0m - km 158+725 - Aterro A4 - Bueiro de Concreto - LD</v>
      </c>
      <c r="AX1386" s="4"/>
    </row>
    <row r="1387" spans="1:50" ht="15.6" customHeight="1" outlineLevel="2">
      <c r="A1387" s="598" t="str">
        <f t="shared" ref="A1387" si="5523">A1386</f>
        <v>N</v>
      </c>
      <c r="B1387" s="599"/>
      <c r="C1387" s="599"/>
      <c r="D1387" s="118" t="s">
        <v>1441</v>
      </c>
      <c r="E1387" s="918"/>
      <c r="F1387" s="848"/>
      <c r="G1387" s="40"/>
      <c r="H1387" s="603" t="s">
        <v>38</v>
      </c>
      <c r="I1387" s="504">
        <v>0</v>
      </c>
      <c r="J1387" s="850"/>
      <c r="K1387" s="40"/>
      <c r="L1387" s="603" t="s">
        <v>38</v>
      </c>
      <c r="M1387" s="504">
        <f t="shared" si="5417"/>
        <v>0</v>
      </c>
      <c r="N1387" s="850"/>
      <c r="O1387" s="40"/>
      <c r="P1387" s="602">
        <v>0</v>
      </c>
      <c r="Q1387" s="602">
        <v>0</v>
      </c>
      <c r="R1387" s="602">
        <v>0</v>
      </c>
      <c r="S1387" s="602">
        <v>0</v>
      </c>
      <c r="T1387" s="602">
        <v>0</v>
      </c>
      <c r="U1387" s="602">
        <v>0</v>
      </c>
      <c r="V1387" s="602">
        <v>0</v>
      </c>
      <c r="W1387" s="40"/>
      <c r="X1387" s="504">
        <f t="shared" si="5409"/>
        <v>0</v>
      </c>
      <c r="Y1387" s="850"/>
      <c r="Z1387" s="40"/>
      <c r="AA1387" s="856"/>
      <c r="AB1387" s="856"/>
      <c r="AC1387" s="857"/>
      <c r="AD1387" s="920"/>
      <c r="AE1387" s="40"/>
      <c r="AF1387" s="856"/>
      <c r="AG1387" s="856"/>
      <c r="AH1387" s="857"/>
      <c r="AI1387" s="856"/>
      <c r="AJ1387" s="856"/>
      <c r="AK1387" s="856"/>
      <c r="AL1387" s="856"/>
      <c r="AM1387" s="850"/>
      <c r="AN1387" s="40"/>
      <c r="AO1387" s="882"/>
      <c r="AP1387" s="882"/>
      <c r="AV1387" t="str">
        <f t="shared" si="5380"/>
        <v>BDCC no Km 155+722 - Aterro 03</v>
      </c>
      <c r="AW1387" s="4" t="str">
        <f t="shared" si="5378"/>
        <v>3.1-PG BSCC 3,0 x 3,0m - km 158+725 - Aterro A4 - Bueiro de Concreto - LD</v>
      </c>
      <c r="AX1387" s="4"/>
    </row>
    <row r="1388" spans="1:50" ht="15.6" customHeight="1" outlineLevel="2">
      <c r="A1388" s="598" t="str">
        <f t="shared" ref="A1388" si="5524">IF(SUM(P1388:V1389)&gt;0,"S","N")</f>
        <v>N</v>
      </c>
      <c r="B1388" s="599">
        <v>1064498</v>
      </c>
      <c r="C1388" s="599" t="s">
        <v>1713</v>
      </c>
      <c r="D1388" s="118" t="s">
        <v>1404</v>
      </c>
      <c r="E1388" s="917" t="s">
        <v>1714</v>
      </c>
      <c r="F1388" s="848" t="s">
        <v>1437</v>
      </c>
      <c r="G1388" s="40"/>
      <c r="H1388" s="600" t="s">
        <v>37</v>
      </c>
      <c r="I1388" s="504">
        <v>0</v>
      </c>
      <c r="J1388" s="849" t="str">
        <f t="shared" ref="J1388" si="5525">IFERROR((I1389/I1388),"-")</f>
        <v>-</v>
      </c>
      <c r="K1388" s="40"/>
      <c r="L1388" s="600" t="s">
        <v>37</v>
      </c>
      <c r="M1388" s="504">
        <f t="shared" si="5417"/>
        <v>0</v>
      </c>
      <c r="N1388" s="849" t="str">
        <f t="shared" ref="N1388" si="5526">IFERROR((M1389/M1388),"-")</f>
        <v>-</v>
      </c>
      <c r="O1388" s="40"/>
      <c r="P1388" s="601">
        <v>0</v>
      </c>
      <c r="Q1388" s="601">
        <v>0</v>
      </c>
      <c r="R1388" s="601">
        <v>0</v>
      </c>
      <c r="S1388" s="601">
        <v>0</v>
      </c>
      <c r="T1388" s="601">
        <v>0</v>
      </c>
      <c r="U1388" s="601">
        <v>0</v>
      </c>
      <c r="V1388" s="602">
        <v>0</v>
      </c>
      <c r="W1388" s="40"/>
      <c r="X1388" s="504">
        <f t="shared" si="5409"/>
        <v>0</v>
      </c>
      <c r="Y1388" s="849" t="str">
        <f t="shared" ref="Y1388" si="5527">IFERROR((X1389/X1388),"0")</f>
        <v>0</v>
      </c>
      <c r="Z1388" s="40"/>
      <c r="AA1388" s="855">
        <v>1</v>
      </c>
      <c r="AB1388" s="855">
        <v>0</v>
      </c>
      <c r="AC1388" s="858">
        <v>0</v>
      </c>
      <c r="AD1388" s="849" t="str">
        <f t="shared" ref="AD1388" si="5528">IFERROR((AC1388/AB1388),"-")</f>
        <v>-</v>
      </c>
      <c r="AE1388" s="40"/>
      <c r="AF1388" s="855">
        <v>0</v>
      </c>
      <c r="AG1388" s="855"/>
      <c r="AH1388" s="858">
        <v>0</v>
      </c>
      <c r="AI1388" s="855"/>
      <c r="AJ1388" s="855"/>
      <c r="AK1388" s="855">
        <f t="shared" ref="AK1388" si="5529">AF1388+AG1388+AH1388+AI1388+AJ1388+AC1388</f>
        <v>0</v>
      </c>
      <c r="AL1388" s="855">
        <v>0</v>
      </c>
      <c r="AM1388" s="849" t="str">
        <f t="shared" ref="AM1388" si="5530">IFERROR((AK1388/AL1388),"-")</f>
        <v>-</v>
      </c>
      <c r="AN1388" s="40"/>
      <c r="AO1388" s="855">
        <v>1</v>
      </c>
      <c r="AP1388" s="855">
        <f t="shared" ref="AP1388" si="5531">AO1388-AK1388</f>
        <v>1</v>
      </c>
      <c r="AV1388" t="str">
        <f t="shared" si="5380"/>
        <v>BDCC no Km 155+722 - Aterro 03</v>
      </c>
      <c r="AW1388" s="4" t="str">
        <f t="shared" si="5378"/>
        <v>3.1-BTCC 3,00x3,00 - Km 158+964 - Aterro A4 - Bueiro de Concreto - LE</v>
      </c>
      <c r="AX1388" s="4"/>
    </row>
    <row r="1389" spans="1:50" ht="15.6" customHeight="1" outlineLevel="2" collapsed="1">
      <c r="A1389" s="598" t="str">
        <f t="shared" ref="A1389" si="5532">A1388</f>
        <v>N</v>
      </c>
      <c r="B1389" s="599"/>
      <c r="C1389" s="599"/>
      <c r="D1389" s="118" t="s">
        <v>1444</v>
      </c>
      <c r="E1389" s="918"/>
      <c r="F1389" s="848"/>
      <c r="G1389" s="40"/>
      <c r="H1389" s="603" t="s">
        <v>38</v>
      </c>
      <c r="I1389" s="504">
        <v>0</v>
      </c>
      <c r="J1389" s="850"/>
      <c r="K1389" s="40"/>
      <c r="L1389" s="603" t="s">
        <v>38</v>
      </c>
      <c r="M1389" s="504">
        <f t="shared" si="5417"/>
        <v>0</v>
      </c>
      <c r="N1389" s="850"/>
      <c r="O1389" s="40"/>
      <c r="P1389" s="602">
        <v>0</v>
      </c>
      <c r="Q1389" s="602">
        <v>0</v>
      </c>
      <c r="R1389" s="602">
        <v>0</v>
      </c>
      <c r="S1389" s="602">
        <v>0</v>
      </c>
      <c r="T1389" s="602">
        <v>0</v>
      </c>
      <c r="U1389" s="602">
        <v>0</v>
      </c>
      <c r="V1389" s="602">
        <v>0</v>
      </c>
      <c r="W1389" s="40"/>
      <c r="X1389" s="504">
        <f t="shared" si="5409"/>
        <v>0</v>
      </c>
      <c r="Y1389" s="850"/>
      <c r="Z1389" s="40"/>
      <c r="AA1389" s="856"/>
      <c r="AB1389" s="856"/>
      <c r="AC1389" s="857"/>
      <c r="AD1389" s="920"/>
      <c r="AE1389" s="40"/>
      <c r="AF1389" s="856"/>
      <c r="AG1389" s="856"/>
      <c r="AH1389" s="857"/>
      <c r="AI1389" s="856"/>
      <c r="AJ1389" s="856"/>
      <c r="AK1389" s="856"/>
      <c r="AL1389" s="856"/>
      <c r="AM1389" s="850"/>
      <c r="AN1389" s="40"/>
      <c r="AO1389" s="882"/>
      <c r="AP1389" s="882"/>
      <c r="AV1389" t="str">
        <f t="shared" si="5380"/>
        <v>BDCC no Km 155+722 - Aterro 03</v>
      </c>
      <c r="AW1389" s="4" t="str">
        <f t="shared" si="5378"/>
        <v>3.1-BTCC 3,00x3,00 - Km 158+964 - Aterro A4 - Bueiro de Concreto - LE</v>
      </c>
    </row>
    <row r="1390" spans="1:50" ht="15.6" customHeight="1" outlineLevel="2">
      <c r="A1390" s="598" t="str">
        <f t="shared" ref="A1390" si="5533">IF(SUM(P1390:V1391)&gt;0,"S","N")</f>
        <v>N</v>
      </c>
      <c r="B1390" s="599">
        <v>1064499</v>
      </c>
      <c r="C1390" s="599" t="s">
        <v>1715</v>
      </c>
      <c r="D1390" s="118" t="s">
        <v>1404</v>
      </c>
      <c r="E1390" s="917" t="s">
        <v>1716</v>
      </c>
      <c r="F1390" s="848" t="s">
        <v>1437</v>
      </c>
      <c r="G1390" s="40"/>
      <c r="H1390" s="600" t="s">
        <v>37</v>
      </c>
      <c r="I1390" s="504">
        <v>0</v>
      </c>
      <c r="J1390" s="849" t="str">
        <f t="shared" ref="J1390" si="5534">IFERROR((I1391/I1390),"-")</f>
        <v>-</v>
      </c>
      <c r="K1390" s="40"/>
      <c r="L1390" s="600" t="s">
        <v>37</v>
      </c>
      <c r="M1390" s="504">
        <f t="shared" si="5417"/>
        <v>0</v>
      </c>
      <c r="N1390" s="849" t="str">
        <f t="shared" ref="N1390" si="5535">IFERROR((M1391/M1390),"-")</f>
        <v>-</v>
      </c>
      <c r="O1390" s="40"/>
      <c r="P1390" s="601">
        <v>0</v>
      </c>
      <c r="Q1390" s="601">
        <v>0</v>
      </c>
      <c r="R1390" s="601">
        <v>0</v>
      </c>
      <c r="S1390" s="601">
        <v>0</v>
      </c>
      <c r="T1390" s="601">
        <v>0</v>
      </c>
      <c r="U1390" s="601">
        <v>0</v>
      </c>
      <c r="V1390" s="602">
        <v>0</v>
      </c>
      <c r="W1390" s="40"/>
      <c r="X1390" s="504">
        <f t="shared" si="5409"/>
        <v>0</v>
      </c>
      <c r="Y1390" s="849" t="str">
        <f t="shared" ref="Y1390" si="5536">IFERROR((X1391/X1390),"0")</f>
        <v>0</v>
      </c>
      <c r="Z1390" s="40"/>
      <c r="AA1390" s="855">
        <v>0.53</v>
      </c>
      <c r="AB1390" s="855">
        <v>0</v>
      </c>
      <c r="AC1390" s="858">
        <v>0</v>
      </c>
      <c r="AD1390" s="849" t="str">
        <f t="shared" ref="AD1390" si="5537">IFERROR((AC1390/AB1390),"-")</f>
        <v>-</v>
      </c>
      <c r="AE1390" s="40"/>
      <c r="AF1390" s="855">
        <v>0</v>
      </c>
      <c r="AG1390" s="855"/>
      <c r="AH1390" s="858">
        <v>0</v>
      </c>
      <c r="AI1390" s="855"/>
      <c r="AJ1390" s="855"/>
      <c r="AK1390" s="855">
        <f t="shared" ref="AK1390" si="5538">AF1390+AG1390+AH1390+AI1390+AJ1390+AC1390</f>
        <v>0</v>
      </c>
      <c r="AL1390" s="855">
        <v>0</v>
      </c>
      <c r="AM1390" s="849" t="str">
        <f t="shared" ref="AM1390" si="5539">IFERROR((AK1390/AL1390),"-")</f>
        <v>-</v>
      </c>
      <c r="AN1390" s="40"/>
      <c r="AO1390" s="855">
        <v>1</v>
      </c>
      <c r="AP1390" s="855">
        <f t="shared" ref="AP1390" si="5540">AO1390-AK1390</f>
        <v>1</v>
      </c>
      <c r="AV1390" t="str">
        <f t="shared" si="5380"/>
        <v>BDCC no Km 155+722 - Aterro 03</v>
      </c>
      <c r="AW1390" s="4" t="str">
        <f t="shared" si="5378"/>
        <v>3.1-BTCC 3,00x3,00 - Km 158+964 - Aterro A4 - Bueiro de Concreto - LD</v>
      </c>
      <c r="AX1390" s="4"/>
    </row>
    <row r="1391" spans="1:50" ht="15.6" customHeight="1" outlineLevel="2">
      <c r="A1391" s="598" t="str">
        <f t="shared" ref="A1391" si="5541">A1390</f>
        <v>N</v>
      </c>
      <c r="B1391" s="599"/>
      <c r="C1391" s="599"/>
      <c r="D1391" s="118" t="s">
        <v>1441</v>
      </c>
      <c r="E1391" s="918"/>
      <c r="F1391" s="848"/>
      <c r="G1391" s="40"/>
      <c r="H1391" s="603" t="s">
        <v>38</v>
      </c>
      <c r="I1391" s="504">
        <v>0</v>
      </c>
      <c r="J1391" s="850"/>
      <c r="K1391" s="40"/>
      <c r="L1391" s="603" t="s">
        <v>38</v>
      </c>
      <c r="M1391" s="504">
        <f t="shared" si="5417"/>
        <v>0</v>
      </c>
      <c r="N1391" s="850"/>
      <c r="O1391" s="40"/>
      <c r="P1391" s="602">
        <v>0</v>
      </c>
      <c r="Q1391" s="602">
        <v>0</v>
      </c>
      <c r="R1391" s="602">
        <v>0</v>
      </c>
      <c r="S1391" s="602">
        <v>0</v>
      </c>
      <c r="T1391" s="602">
        <v>0</v>
      </c>
      <c r="U1391" s="602">
        <v>0</v>
      </c>
      <c r="V1391" s="602">
        <v>0</v>
      </c>
      <c r="W1391" s="40"/>
      <c r="X1391" s="504">
        <f t="shared" si="5409"/>
        <v>0</v>
      </c>
      <c r="Y1391" s="850"/>
      <c r="Z1391" s="40"/>
      <c r="AA1391" s="856"/>
      <c r="AB1391" s="856"/>
      <c r="AC1391" s="857"/>
      <c r="AD1391" s="920"/>
      <c r="AE1391" s="40"/>
      <c r="AF1391" s="856"/>
      <c r="AG1391" s="856"/>
      <c r="AH1391" s="857"/>
      <c r="AI1391" s="856"/>
      <c r="AJ1391" s="856"/>
      <c r="AK1391" s="856"/>
      <c r="AL1391" s="856"/>
      <c r="AM1391" s="850"/>
      <c r="AN1391" s="40"/>
      <c r="AO1391" s="882"/>
      <c r="AP1391" s="882"/>
      <c r="AV1391" t="str">
        <f t="shared" si="5380"/>
        <v>BDCC no Km 155+722 - Aterro 03</v>
      </c>
      <c r="AW1391" s="4" t="str">
        <f t="shared" si="5378"/>
        <v>3.1-BTCC 3,00x3,00 - Km 158+964 - Aterro A4 - Bueiro de Concreto - LD</v>
      </c>
      <c r="AX1391" s="4"/>
    </row>
    <row r="1392" spans="1:50" ht="15.6" customHeight="1" outlineLevel="2">
      <c r="A1392" s="604" t="str">
        <f t="shared" ref="A1392" si="5542">IF(SUM(P1392:V1393)&gt;0,"S","N")</f>
        <v>N</v>
      </c>
      <c r="B1392" s="599">
        <v>1064505</v>
      </c>
      <c r="C1392" s="599" t="s">
        <v>1717</v>
      </c>
      <c r="D1392" s="118" t="s">
        <v>1406</v>
      </c>
      <c r="E1392" s="917" t="s">
        <v>1718</v>
      </c>
      <c r="F1392" s="848" t="s">
        <v>1437</v>
      </c>
      <c r="G1392" s="40"/>
      <c r="H1392" s="600" t="s">
        <v>37</v>
      </c>
      <c r="I1392" s="504">
        <v>0</v>
      </c>
      <c r="J1392" s="849" t="str">
        <f t="shared" ref="J1392" si="5543">IFERROR((I1393/I1392),"-")</f>
        <v>-</v>
      </c>
      <c r="K1392" s="40"/>
      <c r="L1392" s="600" t="s">
        <v>37</v>
      </c>
      <c r="M1392" s="504">
        <f t="shared" si="5417"/>
        <v>0</v>
      </c>
      <c r="N1392" s="849" t="str">
        <f t="shared" ref="N1392" si="5544">IFERROR((M1393/M1392),"-")</f>
        <v>-</v>
      </c>
      <c r="O1392" s="40"/>
      <c r="P1392" s="601">
        <v>0</v>
      </c>
      <c r="Q1392" s="601">
        <v>0</v>
      </c>
      <c r="R1392" s="601">
        <v>0</v>
      </c>
      <c r="S1392" s="601">
        <v>0</v>
      </c>
      <c r="T1392" s="601">
        <v>0</v>
      </c>
      <c r="U1392" s="601">
        <v>0</v>
      </c>
      <c r="V1392" s="602">
        <v>0</v>
      </c>
      <c r="W1392" s="40"/>
      <c r="X1392" s="504">
        <f t="shared" si="5409"/>
        <v>0</v>
      </c>
      <c r="Y1392" s="849" t="str">
        <f t="shared" ref="Y1392" si="5545">IFERROR((X1393/X1392),"0")</f>
        <v>0</v>
      </c>
      <c r="Z1392" s="40"/>
      <c r="AA1392" s="855">
        <v>0</v>
      </c>
      <c r="AB1392" s="855">
        <v>0</v>
      </c>
      <c r="AC1392" s="858">
        <v>0</v>
      </c>
      <c r="AD1392" s="849" t="str">
        <f t="shared" ref="AD1392" si="5546">IFERROR((AC1392/AB1392),"-")</f>
        <v>-</v>
      </c>
      <c r="AE1392" s="40"/>
      <c r="AF1392" s="855">
        <v>0</v>
      </c>
      <c r="AG1392" s="855"/>
      <c r="AH1392" s="858">
        <v>0</v>
      </c>
      <c r="AI1392" s="855"/>
      <c r="AJ1392" s="855"/>
      <c r="AK1392" s="855">
        <f t="shared" ref="AK1392" si="5547">AF1392+AG1392+AH1392+AI1392+AJ1392+AC1392</f>
        <v>0</v>
      </c>
      <c r="AL1392" s="855">
        <v>0</v>
      </c>
      <c r="AM1392" s="849" t="str">
        <f t="shared" ref="AM1392" si="5548">IFERROR((AK1392/AL1392),"-")</f>
        <v>-</v>
      </c>
      <c r="AN1392" s="40"/>
      <c r="AO1392" s="855">
        <v>1</v>
      </c>
      <c r="AP1392" s="855">
        <f t="shared" ref="AP1392" si="5549">AO1392-AK1392</f>
        <v>1</v>
      </c>
      <c r="AV1392" t="str">
        <f t="shared" si="5380"/>
        <v>BDCC no Km 155+722 - Aterro 03</v>
      </c>
      <c r="AW1392" s="4" t="str">
        <f t="shared" si="5378"/>
        <v>3.1-BSCC 3,0 x 250m - Km 159+871 - Aterro A5 - Bueiro de Concreto - LE</v>
      </c>
    </row>
    <row r="1393" spans="1:50" ht="15.6" customHeight="1" outlineLevel="2">
      <c r="A1393" s="604" t="str">
        <f t="shared" ref="A1393" si="5550">A1392</f>
        <v>N</v>
      </c>
      <c r="B1393" s="599"/>
      <c r="C1393" s="599"/>
      <c r="D1393" s="118" t="s">
        <v>1444</v>
      </c>
      <c r="E1393" s="918"/>
      <c r="F1393" s="848"/>
      <c r="G1393" s="40"/>
      <c r="H1393" s="603" t="s">
        <v>38</v>
      </c>
      <c r="I1393" s="504">
        <v>0</v>
      </c>
      <c r="J1393" s="850"/>
      <c r="K1393" s="40"/>
      <c r="L1393" s="603" t="s">
        <v>38</v>
      </c>
      <c r="M1393" s="504">
        <f t="shared" si="5417"/>
        <v>0</v>
      </c>
      <c r="N1393" s="850"/>
      <c r="O1393" s="40"/>
      <c r="P1393" s="602">
        <v>0</v>
      </c>
      <c r="Q1393" s="602">
        <v>0</v>
      </c>
      <c r="R1393" s="602">
        <v>0</v>
      </c>
      <c r="S1393" s="602">
        <v>0</v>
      </c>
      <c r="T1393" s="602">
        <v>0</v>
      </c>
      <c r="U1393" s="602">
        <v>0</v>
      </c>
      <c r="V1393" s="602">
        <v>0</v>
      </c>
      <c r="W1393" s="40"/>
      <c r="X1393" s="504">
        <f t="shared" si="5409"/>
        <v>0</v>
      </c>
      <c r="Y1393" s="850"/>
      <c r="Z1393" s="40"/>
      <c r="AA1393" s="856"/>
      <c r="AB1393" s="856"/>
      <c r="AC1393" s="857"/>
      <c r="AD1393" s="920"/>
      <c r="AE1393" s="40"/>
      <c r="AF1393" s="856"/>
      <c r="AG1393" s="856"/>
      <c r="AH1393" s="857"/>
      <c r="AI1393" s="856"/>
      <c r="AJ1393" s="856"/>
      <c r="AK1393" s="856"/>
      <c r="AL1393" s="856"/>
      <c r="AM1393" s="850"/>
      <c r="AN1393" s="40"/>
      <c r="AO1393" s="882"/>
      <c r="AP1393" s="882"/>
      <c r="AV1393" t="str">
        <f t="shared" si="5380"/>
        <v>BDCC no Km 155+722 - Aterro 03</v>
      </c>
      <c r="AW1393" s="4" t="str">
        <f t="shared" si="5378"/>
        <v>3.1-BSCC 3,0 x 250m - Km 159+871 - Aterro A5 - Bueiro de Concreto - LE</v>
      </c>
    </row>
    <row r="1394" spans="1:50" ht="15.6" customHeight="1" outlineLevel="2">
      <c r="A1394" s="598" t="str">
        <f t="shared" ref="A1394" si="5551">IF(SUM(P1394:V1395)&gt;0,"S","N")</f>
        <v>N</v>
      </c>
      <c r="B1394" s="599">
        <v>1064506</v>
      </c>
      <c r="C1394" s="599" t="s">
        <v>1719</v>
      </c>
      <c r="D1394" s="118" t="s">
        <v>1406</v>
      </c>
      <c r="E1394" s="917" t="s">
        <v>1720</v>
      </c>
      <c r="F1394" s="848" t="s">
        <v>1437</v>
      </c>
      <c r="G1394" s="40"/>
      <c r="H1394" s="600" t="s">
        <v>37</v>
      </c>
      <c r="I1394" s="504">
        <v>0</v>
      </c>
      <c r="J1394" s="849" t="str">
        <f t="shared" ref="J1394" si="5552">IFERROR((I1395/I1394),"-")</f>
        <v>-</v>
      </c>
      <c r="K1394" s="40"/>
      <c r="L1394" s="600" t="s">
        <v>37</v>
      </c>
      <c r="M1394" s="504">
        <f t="shared" si="5417"/>
        <v>0</v>
      </c>
      <c r="N1394" s="849" t="str">
        <f t="shared" ref="N1394" si="5553">IFERROR((M1395/M1394),"-")</f>
        <v>-</v>
      </c>
      <c r="O1394" s="40"/>
      <c r="P1394" s="601">
        <v>0</v>
      </c>
      <c r="Q1394" s="601">
        <v>0</v>
      </c>
      <c r="R1394" s="601">
        <v>0</v>
      </c>
      <c r="S1394" s="601">
        <v>0</v>
      </c>
      <c r="T1394" s="601">
        <v>0</v>
      </c>
      <c r="U1394" s="601">
        <v>0</v>
      </c>
      <c r="V1394" s="602">
        <v>0</v>
      </c>
      <c r="W1394" s="40"/>
      <c r="X1394" s="504">
        <f t="shared" si="5409"/>
        <v>0</v>
      </c>
      <c r="Y1394" s="849" t="str">
        <f t="shared" ref="Y1394" si="5554">IFERROR((X1395/X1394),"0")</f>
        <v>0</v>
      </c>
      <c r="Z1394" s="40"/>
      <c r="AA1394" s="855">
        <v>0</v>
      </c>
      <c r="AB1394" s="855">
        <v>0</v>
      </c>
      <c r="AC1394" s="858">
        <v>0</v>
      </c>
      <c r="AD1394" s="849" t="str">
        <f t="shared" ref="AD1394" si="5555">IFERROR((AC1394/AB1394),"-")</f>
        <v>-</v>
      </c>
      <c r="AE1394" s="40"/>
      <c r="AF1394" s="855">
        <v>0</v>
      </c>
      <c r="AG1394" s="855"/>
      <c r="AH1394" s="858">
        <v>0</v>
      </c>
      <c r="AI1394" s="855"/>
      <c r="AJ1394" s="855"/>
      <c r="AK1394" s="855">
        <f t="shared" ref="AK1394" si="5556">AF1394+AG1394+AH1394+AI1394+AJ1394+AC1394</f>
        <v>0</v>
      </c>
      <c r="AL1394" s="855">
        <v>0</v>
      </c>
      <c r="AM1394" s="849" t="str">
        <f t="shared" ref="AM1394" si="5557">IFERROR((AK1394/AL1394),"-")</f>
        <v>-</v>
      </c>
      <c r="AN1394" s="40"/>
      <c r="AO1394" s="855">
        <v>1</v>
      </c>
      <c r="AP1394" s="855">
        <f t="shared" ref="AP1394" si="5558">AO1394-AK1394</f>
        <v>1</v>
      </c>
      <c r="AV1394" t="str">
        <f t="shared" si="5380"/>
        <v>BDCC no Km 155+722 - Aterro 03</v>
      </c>
      <c r="AW1394" s="4" t="str">
        <f t="shared" si="5378"/>
        <v>3.1-BSCC 3,0 x 250m - Km 159+871 - Aterro A5 - Bueiro de Concreto - LD</v>
      </c>
      <c r="AX1394" s="4"/>
    </row>
    <row r="1395" spans="1:50" ht="15.6" customHeight="1" outlineLevel="2">
      <c r="A1395" s="598" t="str">
        <f t="shared" ref="A1395" si="5559">A1394</f>
        <v>N</v>
      </c>
      <c r="B1395" s="599"/>
      <c r="C1395" s="599"/>
      <c r="D1395" s="118" t="s">
        <v>1441</v>
      </c>
      <c r="E1395" s="918"/>
      <c r="F1395" s="848"/>
      <c r="G1395" s="40"/>
      <c r="H1395" s="603" t="s">
        <v>38</v>
      </c>
      <c r="I1395" s="504">
        <v>0</v>
      </c>
      <c r="J1395" s="850"/>
      <c r="K1395" s="40"/>
      <c r="L1395" s="603" t="s">
        <v>38</v>
      </c>
      <c r="M1395" s="504">
        <f t="shared" si="5417"/>
        <v>0</v>
      </c>
      <c r="N1395" s="850"/>
      <c r="O1395" s="40"/>
      <c r="P1395" s="602">
        <v>0</v>
      </c>
      <c r="Q1395" s="602">
        <v>0</v>
      </c>
      <c r="R1395" s="602">
        <v>0</v>
      </c>
      <c r="S1395" s="602">
        <v>0</v>
      </c>
      <c r="T1395" s="602">
        <v>0</v>
      </c>
      <c r="U1395" s="602">
        <v>0</v>
      </c>
      <c r="V1395" s="602">
        <v>0</v>
      </c>
      <c r="W1395" s="40"/>
      <c r="X1395" s="504">
        <f t="shared" si="5409"/>
        <v>0</v>
      </c>
      <c r="Y1395" s="850"/>
      <c r="Z1395" s="40"/>
      <c r="AA1395" s="856"/>
      <c r="AB1395" s="856"/>
      <c r="AC1395" s="857"/>
      <c r="AD1395" s="920"/>
      <c r="AE1395" s="40"/>
      <c r="AF1395" s="856"/>
      <c r="AG1395" s="856"/>
      <c r="AH1395" s="857"/>
      <c r="AI1395" s="856"/>
      <c r="AJ1395" s="856"/>
      <c r="AK1395" s="856"/>
      <c r="AL1395" s="856"/>
      <c r="AM1395" s="850"/>
      <c r="AN1395" s="40"/>
      <c r="AO1395" s="882"/>
      <c r="AP1395" s="882"/>
      <c r="AV1395" t="str">
        <f t="shared" si="5380"/>
        <v>BDCC no Km 155+722 - Aterro 03</v>
      </c>
      <c r="AW1395" s="4" t="str">
        <f t="shared" si="5378"/>
        <v>3.1-BSCC 3,0 x 250m - Km 159+871 - Aterro A5 - Bueiro de Concreto - LD</v>
      </c>
    </row>
    <row r="1396" spans="1:50" ht="15.6" customHeight="1" outlineLevel="2">
      <c r="A1396" s="598" t="str">
        <f t="shared" ref="A1396" si="5560">IF(SUM(P1396:V1397)&gt;0,"S","N")</f>
        <v>N</v>
      </c>
      <c r="B1396" s="599">
        <v>1064511</v>
      </c>
      <c r="C1396" s="599" t="s">
        <v>1721</v>
      </c>
      <c r="D1396" s="118" t="s">
        <v>1408</v>
      </c>
      <c r="E1396" s="917" t="s">
        <v>1722</v>
      </c>
      <c r="F1396" s="848" t="s">
        <v>1437</v>
      </c>
      <c r="G1396" s="40"/>
      <c r="H1396" s="600" t="s">
        <v>37</v>
      </c>
      <c r="I1396" s="504">
        <v>0</v>
      </c>
      <c r="J1396" s="849" t="str">
        <f t="shared" ref="J1396" si="5561">IFERROR((I1397/I1396),"-")</f>
        <v>-</v>
      </c>
      <c r="K1396" s="40"/>
      <c r="L1396" s="600" t="s">
        <v>37</v>
      </c>
      <c r="M1396" s="504">
        <f t="shared" si="5417"/>
        <v>0</v>
      </c>
      <c r="N1396" s="849" t="str">
        <f t="shared" ref="N1396" si="5562">IFERROR((M1397/M1396),"-")</f>
        <v>-</v>
      </c>
      <c r="O1396" s="40"/>
      <c r="P1396" s="601">
        <v>0</v>
      </c>
      <c r="Q1396" s="601">
        <v>0</v>
      </c>
      <c r="R1396" s="601">
        <v>0</v>
      </c>
      <c r="S1396" s="601">
        <v>0</v>
      </c>
      <c r="T1396" s="601">
        <v>0</v>
      </c>
      <c r="U1396" s="601">
        <v>0</v>
      </c>
      <c r="V1396" s="602">
        <v>0</v>
      </c>
      <c r="W1396" s="40"/>
      <c r="X1396" s="504">
        <f t="shared" si="5409"/>
        <v>0</v>
      </c>
      <c r="Y1396" s="849" t="str">
        <f t="shared" ref="Y1396" si="5563">IFERROR((X1397/X1396),"0")</f>
        <v>0</v>
      </c>
      <c r="Z1396" s="40"/>
      <c r="AA1396" s="855">
        <v>0</v>
      </c>
      <c r="AB1396" s="855">
        <v>0</v>
      </c>
      <c r="AC1396" s="858">
        <v>0</v>
      </c>
      <c r="AD1396" s="849" t="str">
        <f t="shared" ref="AD1396" si="5564">IFERROR((AC1396/AB1396),"-")</f>
        <v>-</v>
      </c>
      <c r="AE1396" s="40"/>
      <c r="AF1396" s="855">
        <v>0</v>
      </c>
      <c r="AG1396" s="855"/>
      <c r="AH1396" s="858">
        <v>0</v>
      </c>
      <c r="AI1396" s="855"/>
      <c r="AJ1396" s="855">
        <v>1</v>
      </c>
      <c r="AK1396" s="855">
        <f t="shared" ref="AK1396" si="5565">AF1396+AG1396+AH1396+AI1396+AJ1396+AC1396</f>
        <v>1</v>
      </c>
      <c r="AL1396" s="855">
        <v>1</v>
      </c>
      <c r="AM1396" s="849">
        <f t="shared" ref="AM1396" si="5566">IFERROR((AK1396/AL1396),"-")</f>
        <v>1</v>
      </c>
      <c r="AN1396" s="40"/>
      <c r="AO1396" s="855">
        <v>1</v>
      </c>
      <c r="AP1396" s="855">
        <f t="shared" ref="AP1396" si="5567">AO1396-AK1396</f>
        <v>0</v>
      </c>
      <c r="AV1396" t="str">
        <f t="shared" si="5380"/>
        <v>BDCC no Km 155+722 - Aterro 03</v>
      </c>
      <c r="AW1396" s="4" t="str">
        <f t="shared" si="5378"/>
        <v>3.1-PG BSCC 2,50 x 2,50 m - Km 161+705 - Aterro A6 - Bueiro de Concreto - LE</v>
      </c>
    </row>
    <row r="1397" spans="1:50" ht="15.6" customHeight="1" outlineLevel="2">
      <c r="A1397" s="598" t="str">
        <f t="shared" ref="A1397" si="5568">A1396</f>
        <v>N</v>
      </c>
      <c r="B1397" s="599"/>
      <c r="C1397" s="599"/>
      <c r="D1397" s="118" t="s">
        <v>1444</v>
      </c>
      <c r="E1397" s="918"/>
      <c r="F1397" s="848"/>
      <c r="G1397" s="40"/>
      <c r="H1397" s="603" t="s">
        <v>38</v>
      </c>
      <c r="I1397" s="504">
        <v>0</v>
      </c>
      <c r="J1397" s="850"/>
      <c r="K1397" s="40"/>
      <c r="L1397" s="603" t="s">
        <v>38</v>
      </c>
      <c r="M1397" s="504">
        <f t="shared" si="5417"/>
        <v>0</v>
      </c>
      <c r="N1397" s="850"/>
      <c r="O1397" s="40"/>
      <c r="P1397" s="602">
        <v>0</v>
      </c>
      <c r="Q1397" s="602">
        <v>0</v>
      </c>
      <c r="R1397" s="602">
        <v>0</v>
      </c>
      <c r="S1397" s="602">
        <v>0</v>
      </c>
      <c r="T1397" s="602">
        <v>0</v>
      </c>
      <c r="U1397" s="602">
        <v>0</v>
      </c>
      <c r="V1397" s="602">
        <v>0</v>
      </c>
      <c r="W1397" s="40"/>
      <c r="X1397" s="504">
        <f t="shared" si="5409"/>
        <v>0</v>
      </c>
      <c r="Y1397" s="850"/>
      <c r="Z1397" s="40"/>
      <c r="AA1397" s="856"/>
      <c r="AB1397" s="856"/>
      <c r="AC1397" s="857"/>
      <c r="AD1397" s="920"/>
      <c r="AE1397" s="40"/>
      <c r="AF1397" s="856"/>
      <c r="AG1397" s="856"/>
      <c r="AH1397" s="857"/>
      <c r="AI1397" s="856"/>
      <c r="AJ1397" s="856"/>
      <c r="AK1397" s="856"/>
      <c r="AL1397" s="856"/>
      <c r="AM1397" s="850"/>
      <c r="AN1397" s="40"/>
      <c r="AO1397" s="882"/>
      <c r="AP1397" s="882"/>
      <c r="AV1397" t="str">
        <f t="shared" si="5380"/>
        <v>BDCC no Km 155+722 - Aterro 03</v>
      </c>
      <c r="AW1397" s="4" t="str">
        <f t="shared" si="5378"/>
        <v>3.1-PG BSCC 2,50 x 2,50 m - Km 161+705 - Aterro A6 - Bueiro de Concreto - LE</v>
      </c>
    </row>
    <row r="1398" spans="1:50" ht="15.6" customHeight="1" outlineLevel="2">
      <c r="A1398" s="598" t="str">
        <f t="shared" ref="A1398" si="5569">IF(SUM(P1398:V1399)&gt;0,"S","N")</f>
        <v>N</v>
      </c>
      <c r="B1398" s="599">
        <v>1064512</v>
      </c>
      <c r="C1398" s="599" t="s">
        <v>1723</v>
      </c>
      <c r="D1398" s="118" t="s">
        <v>1408</v>
      </c>
      <c r="E1398" s="917" t="s">
        <v>1724</v>
      </c>
      <c r="F1398" s="848" t="s">
        <v>1437</v>
      </c>
      <c r="G1398" s="40"/>
      <c r="H1398" s="600" t="s">
        <v>37</v>
      </c>
      <c r="I1398" s="504">
        <v>0</v>
      </c>
      <c r="J1398" s="849" t="str">
        <f t="shared" ref="J1398" si="5570">IFERROR((I1399/I1398),"-")</f>
        <v>-</v>
      </c>
      <c r="K1398" s="40"/>
      <c r="L1398" s="600" t="s">
        <v>37</v>
      </c>
      <c r="M1398" s="504">
        <f t="shared" si="5417"/>
        <v>0</v>
      </c>
      <c r="N1398" s="849" t="str">
        <f t="shared" ref="N1398" si="5571">IFERROR((M1399/M1398),"-")</f>
        <v>-</v>
      </c>
      <c r="O1398" s="40"/>
      <c r="P1398" s="601">
        <v>0</v>
      </c>
      <c r="Q1398" s="601">
        <v>0</v>
      </c>
      <c r="R1398" s="601">
        <v>0</v>
      </c>
      <c r="S1398" s="601">
        <v>0</v>
      </c>
      <c r="T1398" s="601">
        <v>0</v>
      </c>
      <c r="U1398" s="601">
        <v>0</v>
      </c>
      <c r="V1398" s="602">
        <v>0</v>
      </c>
      <c r="W1398" s="40"/>
      <c r="X1398" s="504">
        <f t="shared" si="5409"/>
        <v>0</v>
      </c>
      <c r="Y1398" s="849" t="str">
        <f t="shared" ref="Y1398" si="5572">IFERROR((X1399/X1398),"0")</f>
        <v>0</v>
      </c>
      <c r="Z1398" s="40"/>
      <c r="AA1398" s="855">
        <v>0</v>
      </c>
      <c r="AB1398" s="855">
        <v>0</v>
      </c>
      <c r="AC1398" s="858">
        <v>0</v>
      </c>
      <c r="AD1398" s="849" t="str">
        <f t="shared" ref="AD1398" si="5573">IFERROR((AC1398/AB1398),"-")</f>
        <v>-</v>
      </c>
      <c r="AE1398" s="40"/>
      <c r="AF1398" s="855">
        <v>0</v>
      </c>
      <c r="AG1398" s="855"/>
      <c r="AH1398" s="858">
        <v>0</v>
      </c>
      <c r="AI1398" s="855"/>
      <c r="AJ1398" s="855">
        <v>1</v>
      </c>
      <c r="AK1398" s="855">
        <f t="shared" ref="AK1398" si="5574">AF1398+AG1398+AH1398+AI1398+AJ1398+AC1398</f>
        <v>1</v>
      </c>
      <c r="AL1398" s="855">
        <v>1.0000000000000002</v>
      </c>
      <c r="AM1398" s="849">
        <f t="shared" ref="AM1398" si="5575">IFERROR((AK1398/AL1398),"-")</f>
        <v>0.99999999999999978</v>
      </c>
      <c r="AN1398" s="40"/>
      <c r="AO1398" s="855">
        <v>1</v>
      </c>
      <c r="AP1398" s="855">
        <f t="shared" ref="AP1398" si="5576">AO1398-AK1398</f>
        <v>0</v>
      </c>
      <c r="AV1398" t="str">
        <f t="shared" si="5380"/>
        <v>BDCC no Km 155+722 - Aterro 03</v>
      </c>
      <c r="AW1398" s="4" t="str">
        <f t="shared" si="5378"/>
        <v>3.1-PG BSCC 2,50 x 2,50 m - Km 161+705 - Aterro A6 - Bueiro de Concreto - LD</v>
      </c>
    </row>
    <row r="1399" spans="1:50" ht="15.6" customHeight="1" outlineLevel="2">
      <c r="A1399" s="598" t="str">
        <f t="shared" ref="A1399" si="5577">A1398</f>
        <v>N</v>
      </c>
      <c r="B1399" s="599"/>
      <c r="C1399" s="599"/>
      <c r="D1399" s="118" t="s">
        <v>1441</v>
      </c>
      <c r="E1399" s="918"/>
      <c r="F1399" s="848"/>
      <c r="G1399" s="40"/>
      <c r="H1399" s="603" t="s">
        <v>38</v>
      </c>
      <c r="I1399" s="504">
        <v>0</v>
      </c>
      <c r="J1399" s="850"/>
      <c r="K1399" s="40"/>
      <c r="L1399" s="603" t="s">
        <v>38</v>
      </c>
      <c r="M1399" s="504">
        <f t="shared" si="5417"/>
        <v>0</v>
      </c>
      <c r="N1399" s="850"/>
      <c r="O1399" s="40"/>
      <c r="P1399" s="602">
        <v>0</v>
      </c>
      <c r="Q1399" s="602">
        <v>0</v>
      </c>
      <c r="R1399" s="602">
        <v>0</v>
      </c>
      <c r="S1399" s="602">
        <v>0</v>
      </c>
      <c r="T1399" s="602">
        <v>0</v>
      </c>
      <c r="U1399" s="602">
        <v>0</v>
      </c>
      <c r="V1399" s="602">
        <v>0</v>
      </c>
      <c r="W1399" s="40"/>
      <c r="X1399" s="504">
        <f t="shared" si="5409"/>
        <v>0</v>
      </c>
      <c r="Y1399" s="850"/>
      <c r="Z1399" s="40"/>
      <c r="AA1399" s="856"/>
      <c r="AB1399" s="856"/>
      <c r="AC1399" s="857"/>
      <c r="AD1399" s="920"/>
      <c r="AE1399" s="40"/>
      <c r="AF1399" s="856"/>
      <c r="AG1399" s="856"/>
      <c r="AH1399" s="857"/>
      <c r="AI1399" s="856"/>
      <c r="AJ1399" s="856"/>
      <c r="AK1399" s="856"/>
      <c r="AL1399" s="856"/>
      <c r="AM1399" s="850"/>
      <c r="AN1399" s="40"/>
      <c r="AO1399" s="882"/>
      <c r="AP1399" s="882"/>
      <c r="AV1399" t="str">
        <f t="shared" si="5380"/>
        <v>BDCC no Km 155+722 - Aterro 03</v>
      </c>
      <c r="AW1399" s="4" t="str">
        <f t="shared" si="5378"/>
        <v>3.1-PG BSCC 2,50 x 2,50 m - Km 161+705 - Aterro A6 - Bueiro de Concreto - LD</v>
      </c>
    </row>
    <row r="1400" spans="1:50" ht="15.6" customHeight="1" outlineLevel="2">
      <c r="A1400" s="598" t="str">
        <f t="shared" ref="A1400" si="5578">IF(SUM(P1400:V1401)&gt;0,"S","N")</f>
        <v>N</v>
      </c>
      <c r="B1400" s="599">
        <v>1064516</v>
      </c>
      <c r="C1400" s="599" t="s">
        <v>1725</v>
      </c>
      <c r="D1400" s="118" t="s">
        <v>1410</v>
      </c>
      <c r="E1400" s="917" t="s">
        <v>1726</v>
      </c>
      <c r="F1400" s="848" t="s">
        <v>1437</v>
      </c>
      <c r="G1400" s="40"/>
      <c r="H1400" s="600" t="s">
        <v>37</v>
      </c>
      <c r="I1400" s="504">
        <v>0</v>
      </c>
      <c r="J1400" s="849" t="str">
        <f t="shared" ref="J1400" si="5579">IFERROR((I1401/I1400),"-")</f>
        <v>-</v>
      </c>
      <c r="K1400" s="40"/>
      <c r="L1400" s="600" t="s">
        <v>37</v>
      </c>
      <c r="M1400" s="504">
        <f t="shared" si="5417"/>
        <v>0</v>
      </c>
      <c r="N1400" s="849" t="str">
        <f t="shared" ref="N1400" si="5580">IFERROR((M1401/M1400),"-")</f>
        <v>-</v>
      </c>
      <c r="O1400" s="40"/>
      <c r="P1400" s="601">
        <v>0</v>
      </c>
      <c r="Q1400" s="601">
        <v>0</v>
      </c>
      <c r="R1400" s="601">
        <v>0</v>
      </c>
      <c r="S1400" s="601">
        <v>0</v>
      </c>
      <c r="T1400" s="601">
        <v>0</v>
      </c>
      <c r="U1400" s="601">
        <v>0</v>
      </c>
      <c r="V1400" s="602">
        <v>0</v>
      </c>
      <c r="W1400" s="40"/>
      <c r="X1400" s="504">
        <f t="shared" si="5409"/>
        <v>0</v>
      </c>
      <c r="Y1400" s="849" t="str">
        <f t="shared" ref="Y1400" si="5581">IFERROR((X1401/X1400),"0")</f>
        <v>0</v>
      </c>
      <c r="Z1400" s="40"/>
      <c r="AA1400" s="855">
        <v>0</v>
      </c>
      <c r="AB1400" s="855">
        <v>0</v>
      </c>
      <c r="AC1400" s="858">
        <v>0</v>
      </c>
      <c r="AD1400" s="849" t="str">
        <f t="shared" ref="AD1400" si="5582">IFERROR((AC1400/AB1400),"-")</f>
        <v>-</v>
      </c>
      <c r="AE1400" s="40"/>
      <c r="AF1400" s="855">
        <v>0</v>
      </c>
      <c r="AG1400" s="855"/>
      <c r="AH1400" s="858">
        <v>0</v>
      </c>
      <c r="AI1400" s="855"/>
      <c r="AJ1400" s="855"/>
      <c r="AK1400" s="855">
        <f t="shared" ref="AK1400" si="5583">AF1400+AG1400+AH1400+AI1400+AJ1400+AC1400</f>
        <v>0</v>
      </c>
      <c r="AL1400" s="855">
        <v>0</v>
      </c>
      <c r="AM1400" s="849" t="str">
        <f t="shared" ref="AM1400" si="5584">IFERROR((AK1400/AL1400),"-")</f>
        <v>-</v>
      </c>
      <c r="AN1400" s="40"/>
      <c r="AO1400" s="855">
        <v>1</v>
      </c>
      <c r="AP1400" s="855">
        <f t="shared" ref="AP1400" si="5585">AO1400-AK1400</f>
        <v>1</v>
      </c>
      <c r="AV1400" t="str">
        <f t="shared" si="5380"/>
        <v>BDCC no Km 155+722 - Aterro 03</v>
      </c>
      <c r="AW1400" s="4" t="str">
        <f t="shared" si="5378"/>
        <v>3.1-BSCC 3,50 x 3,50m - Km 161+789 - Aterro A6 - Bueiro de Concreto - LE</v>
      </c>
    </row>
    <row r="1401" spans="1:50" ht="15.6" customHeight="1" outlineLevel="2">
      <c r="A1401" s="598" t="str">
        <f t="shared" ref="A1401" si="5586">A1400</f>
        <v>N</v>
      </c>
      <c r="B1401" s="599"/>
      <c r="C1401" s="599"/>
      <c r="D1401" s="118" t="s">
        <v>1444</v>
      </c>
      <c r="E1401" s="918"/>
      <c r="F1401" s="848"/>
      <c r="G1401" s="40"/>
      <c r="H1401" s="603" t="s">
        <v>38</v>
      </c>
      <c r="I1401" s="504">
        <v>0</v>
      </c>
      <c r="J1401" s="850"/>
      <c r="K1401" s="40"/>
      <c r="L1401" s="603" t="s">
        <v>38</v>
      </c>
      <c r="M1401" s="504">
        <f t="shared" si="5417"/>
        <v>0</v>
      </c>
      <c r="N1401" s="850"/>
      <c r="O1401" s="40"/>
      <c r="P1401" s="602">
        <v>0</v>
      </c>
      <c r="Q1401" s="602">
        <v>0</v>
      </c>
      <c r="R1401" s="602">
        <v>0</v>
      </c>
      <c r="S1401" s="602">
        <v>0</v>
      </c>
      <c r="T1401" s="602">
        <v>0</v>
      </c>
      <c r="U1401" s="602">
        <v>0</v>
      </c>
      <c r="V1401" s="602">
        <v>0</v>
      </c>
      <c r="W1401" s="40"/>
      <c r="X1401" s="504">
        <f t="shared" si="5409"/>
        <v>0</v>
      </c>
      <c r="Y1401" s="850"/>
      <c r="Z1401" s="40"/>
      <c r="AA1401" s="856"/>
      <c r="AB1401" s="856"/>
      <c r="AC1401" s="857"/>
      <c r="AD1401" s="920"/>
      <c r="AE1401" s="40"/>
      <c r="AF1401" s="856"/>
      <c r="AG1401" s="856"/>
      <c r="AH1401" s="857"/>
      <c r="AI1401" s="856"/>
      <c r="AJ1401" s="856"/>
      <c r="AK1401" s="856"/>
      <c r="AL1401" s="856"/>
      <c r="AM1401" s="850"/>
      <c r="AN1401" s="40"/>
      <c r="AO1401" s="882"/>
      <c r="AP1401" s="882"/>
      <c r="AV1401" t="str">
        <f t="shared" si="5380"/>
        <v>BDCC no Km 155+722 - Aterro 03</v>
      </c>
      <c r="AW1401" s="4" t="str">
        <f t="shared" si="5378"/>
        <v>3.1-BSCC 3,50 x 3,50m - Km 161+789 - Aterro A6 - Bueiro de Concreto - LE</v>
      </c>
    </row>
    <row r="1402" spans="1:50" ht="15.6" customHeight="1" outlineLevel="2">
      <c r="A1402" s="598" t="str">
        <f t="shared" ref="A1402" si="5587">IF(SUM(P1402:V1403)&gt;0,"S","N")</f>
        <v>N</v>
      </c>
      <c r="B1402" s="599">
        <v>1064517</v>
      </c>
      <c r="C1402" s="599" t="s">
        <v>1727</v>
      </c>
      <c r="D1402" s="118" t="s">
        <v>1410</v>
      </c>
      <c r="E1402" s="917" t="s">
        <v>1728</v>
      </c>
      <c r="F1402" s="848" t="s">
        <v>1437</v>
      </c>
      <c r="G1402" s="40"/>
      <c r="H1402" s="600" t="s">
        <v>37</v>
      </c>
      <c r="I1402" s="504">
        <v>0</v>
      </c>
      <c r="J1402" s="849" t="str">
        <f t="shared" ref="J1402" si="5588">IFERROR((I1403/I1402),"-")</f>
        <v>-</v>
      </c>
      <c r="K1402" s="40"/>
      <c r="L1402" s="600" t="s">
        <v>37</v>
      </c>
      <c r="M1402" s="504">
        <f t="shared" si="5417"/>
        <v>0</v>
      </c>
      <c r="N1402" s="849" t="str">
        <f t="shared" ref="N1402" si="5589">IFERROR((M1403/M1402),"-")</f>
        <v>-</v>
      </c>
      <c r="O1402" s="40"/>
      <c r="P1402" s="601">
        <v>0</v>
      </c>
      <c r="Q1402" s="601">
        <v>0</v>
      </c>
      <c r="R1402" s="601">
        <v>0</v>
      </c>
      <c r="S1402" s="601">
        <v>0</v>
      </c>
      <c r="T1402" s="601">
        <v>0</v>
      </c>
      <c r="U1402" s="601">
        <v>0</v>
      </c>
      <c r="V1402" s="602">
        <v>0</v>
      </c>
      <c r="W1402" s="40"/>
      <c r="X1402" s="504">
        <f t="shared" si="5409"/>
        <v>0</v>
      </c>
      <c r="Y1402" s="849" t="str">
        <f t="shared" ref="Y1402" si="5590">IFERROR((X1403/X1402),"0")</f>
        <v>0</v>
      </c>
      <c r="Z1402" s="40"/>
      <c r="AA1402" s="855">
        <v>0</v>
      </c>
      <c r="AB1402" s="855">
        <v>0</v>
      </c>
      <c r="AC1402" s="858">
        <v>0</v>
      </c>
      <c r="AD1402" s="849" t="str">
        <f t="shared" ref="AD1402" si="5591">IFERROR((AC1402/AB1402),"-")</f>
        <v>-</v>
      </c>
      <c r="AE1402" s="40"/>
      <c r="AF1402" s="855">
        <v>0</v>
      </c>
      <c r="AG1402" s="855"/>
      <c r="AH1402" s="858">
        <v>0</v>
      </c>
      <c r="AI1402" s="855"/>
      <c r="AJ1402" s="855"/>
      <c r="AK1402" s="855">
        <f t="shared" ref="AK1402" si="5592">AF1402+AG1402+AH1402+AI1402+AJ1402+AC1402</f>
        <v>0</v>
      </c>
      <c r="AL1402" s="855">
        <v>0</v>
      </c>
      <c r="AM1402" s="849" t="str">
        <f t="shared" ref="AM1402" si="5593">IFERROR((AK1402/AL1402),"-")</f>
        <v>-</v>
      </c>
      <c r="AN1402" s="40"/>
      <c r="AO1402" s="855">
        <v>1</v>
      </c>
      <c r="AP1402" s="855">
        <f t="shared" ref="AP1402" si="5594">AO1402-AK1402</f>
        <v>1</v>
      </c>
      <c r="AV1402" t="str">
        <f t="shared" si="5380"/>
        <v>BDCC no Km 155+722 - Aterro 03</v>
      </c>
      <c r="AW1402" s="4" t="str">
        <f t="shared" si="5378"/>
        <v>3.1-BSCC 3,50 x 3,50m - Km 161+789 - Aterro A6 - Bueiro de Concreto - LD</v>
      </c>
    </row>
    <row r="1403" spans="1:50" ht="15.6" customHeight="1" outlineLevel="2">
      <c r="A1403" s="598" t="str">
        <f t="shared" ref="A1403" si="5595">A1402</f>
        <v>N</v>
      </c>
      <c r="B1403" s="599"/>
      <c r="C1403" s="599"/>
      <c r="D1403" s="118" t="s">
        <v>1441</v>
      </c>
      <c r="E1403" s="918"/>
      <c r="F1403" s="848"/>
      <c r="G1403" s="40"/>
      <c r="H1403" s="603" t="s">
        <v>38</v>
      </c>
      <c r="I1403" s="504">
        <v>0</v>
      </c>
      <c r="J1403" s="850"/>
      <c r="K1403" s="40"/>
      <c r="L1403" s="603" t="s">
        <v>38</v>
      </c>
      <c r="M1403" s="504">
        <f t="shared" si="5417"/>
        <v>0</v>
      </c>
      <c r="N1403" s="850"/>
      <c r="O1403" s="40"/>
      <c r="P1403" s="602">
        <v>0</v>
      </c>
      <c r="Q1403" s="602">
        <v>0</v>
      </c>
      <c r="R1403" s="602">
        <v>0</v>
      </c>
      <c r="S1403" s="602">
        <v>0</v>
      </c>
      <c r="T1403" s="602">
        <v>0</v>
      </c>
      <c r="U1403" s="602">
        <v>0</v>
      </c>
      <c r="V1403" s="602">
        <v>0</v>
      </c>
      <c r="W1403" s="40"/>
      <c r="X1403" s="504">
        <f t="shared" si="5409"/>
        <v>0</v>
      </c>
      <c r="Y1403" s="850"/>
      <c r="Z1403" s="40"/>
      <c r="AA1403" s="856"/>
      <c r="AB1403" s="856"/>
      <c r="AC1403" s="857"/>
      <c r="AD1403" s="920"/>
      <c r="AE1403" s="40"/>
      <c r="AF1403" s="856"/>
      <c r="AG1403" s="856"/>
      <c r="AH1403" s="857"/>
      <c r="AI1403" s="856"/>
      <c r="AJ1403" s="856"/>
      <c r="AK1403" s="856"/>
      <c r="AL1403" s="856"/>
      <c r="AM1403" s="850"/>
      <c r="AN1403" s="40"/>
      <c r="AO1403" s="882"/>
      <c r="AP1403" s="882"/>
      <c r="AV1403" t="str">
        <f t="shared" si="5380"/>
        <v>BDCC no Km 155+722 - Aterro 03</v>
      </c>
      <c r="AW1403" s="4" t="str">
        <f t="shared" si="5378"/>
        <v>3.1-BSCC 3,50 x 3,50m - Km 161+789 - Aterro A6 - Bueiro de Concreto - LD</v>
      </c>
    </row>
    <row r="1404" spans="1:50" ht="15.6" customHeight="1" outlineLevel="2">
      <c r="A1404" s="598" t="str">
        <f t="shared" ref="A1404" si="5596">IF(SUM(P1404:V1405)&gt;0,"S","N")</f>
        <v>N</v>
      </c>
      <c r="B1404" s="599">
        <v>1064523</v>
      </c>
      <c r="C1404" s="599" t="s">
        <v>1729</v>
      </c>
      <c r="D1404" s="118" t="s">
        <v>1412</v>
      </c>
      <c r="E1404" s="917" t="s">
        <v>1730</v>
      </c>
      <c r="F1404" s="848" t="s">
        <v>1437</v>
      </c>
      <c r="G1404" s="40"/>
      <c r="H1404" s="600" t="s">
        <v>37</v>
      </c>
      <c r="I1404" s="504">
        <v>0</v>
      </c>
      <c r="J1404" s="849" t="str">
        <f t="shared" ref="J1404" si="5597">IFERROR((I1405/I1404),"-")</f>
        <v>-</v>
      </c>
      <c r="K1404" s="40"/>
      <c r="L1404" s="600" t="s">
        <v>37</v>
      </c>
      <c r="M1404" s="504">
        <f t="shared" si="5417"/>
        <v>0</v>
      </c>
      <c r="N1404" s="849" t="str">
        <f t="shared" ref="N1404" si="5598">IFERROR((M1405/M1404),"-")</f>
        <v>-</v>
      </c>
      <c r="O1404" s="40"/>
      <c r="P1404" s="601">
        <v>0</v>
      </c>
      <c r="Q1404" s="601">
        <v>0</v>
      </c>
      <c r="R1404" s="601">
        <v>0</v>
      </c>
      <c r="S1404" s="601">
        <v>0</v>
      </c>
      <c r="T1404" s="601">
        <v>0</v>
      </c>
      <c r="U1404" s="601">
        <v>0</v>
      </c>
      <c r="V1404" s="602">
        <v>0</v>
      </c>
      <c r="W1404" s="40"/>
      <c r="X1404" s="504">
        <f t="shared" si="5409"/>
        <v>0</v>
      </c>
      <c r="Y1404" s="849" t="str">
        <f t="shared" ref="Y1404" si="5599">IFERROR((X1405/X1404),"0")</f>
        <v>0</v>
      </c>
      <c r="Z1404" s="40"/>
      <c r="AA1404" s="855">
        <v>0</v>
      </c>
      <c r="AB1404" s="855">
        <v>0</v>
      </c>
      <c r="AC1404" s="858">
        <v>0</v>
      </c>
      <c r="AD1404" s="849" t="str">
        <f t="shared" ref="AD1404" si="5600">IFERROR((AC1404/AB1404),"-")</f>
        <v>-</v>
      </c>
      <c r="AE1404" s="40"/>
      <c r="AF1404" s="855">
        <v>0</v>
      </c>
      <c r="AG1404" s="855"/>
      <c r="AH1404" s="858">
        <v>0</v>
      </c>
      <c r="AI1404" s="855"/>
      <c r="AJ1404" s="855">
        <v>1</v>
      </c>
      <c r="AK1404" s="855">
        <f t="shared" ref="AK1404" si="5601">AF1404+AG1404+AH1404+AI1404+AJ1404+AC1404</f>
        <v>1</v>
      </c>
      <c r="AL1404" s="855">
        <v>1.0000000000000002</v>
      </c>
      <c r="AM1404" s="849">
        <f t="shared" ref="AM1404" si="5602">IFERROR((AK1404/AL1404),"-")</f>
        <v>0.99999999999999978</v>
      </c>
      <c r="AN1404" s="40"/>
      <c r="AO1404" s="855">
        <v>1</v>
      </c>
      <c r="AP1404" s="855">
        <f t="shared" ref="AP1404" si="5603">AO1404-AK1404</f>
        <v>0</v>
      </c>
      <c r="AV1404" t="str">
        <f t="shared" si="5380"/>
        <v>BDCC no Km 155+722 - Aterro 03</v>
      </c>
      <c r="AW1404" s="4" t="str">
        <f t="shared" si="5378"/>
        <v>3.1-BSCC 3,50 x 350m - Km 163+518 - Aterro A7 - Bueiro de Concreto - LE</v>
      </c>
    </row>
    <row r="1405" spans="1:50" ht="15.6" customHeight="1" outlineLevel="2">
      <c r="A1405" s="598" t="str">
        <f t="shared" ref="A1405" si="5604">A1404</f>
        <v>N</v>
      </c>
      <c r="B1405" s="599"/>
      <c r="C1405" s="599"/>
      <c r="D1405" s="118" t="s">
        <v>1444</v>
      </c>
      <c r="E1405" s="918"/>
      <c r="F1405" s="848"/>
      <c r="G1405" s="40"/>
      <c r="H1405" s="603" t="s">
        <v>38</v>
      </c>
      <c r="I1405" s="504">
        <v>0</v>
      </c>
      <c r="J1405" s="850"/>
      <c r="K1405" s="40"/>
      <c r="L1405" s="603" t="s">
        <v>38</v>
      </c>
      <c r="M1405" s="504">
        <f t="shared" si="5417"/>
        <v>0</v>
      </c>
      <c r="N1405" s="850"/>
      <c r="O1405" s="40"/>
      <c r="P1405" s="602">
        <v>0</v>
      </c>
      <c r="Q1405" s="602">
        <v>0</v>
      </c>
      <c r="R1405" s="602">
        <v>0</v>
      </c>
      <c r="S1405" s="602">
        <v>0</v>
      </c>
      <c r="T1405" s="602">
        <v>0</v>
      </c>
      <c r="U1405" s="602">
        <v>0</v>
      </c>
      <c r="V1405" s="602">
        <v>0</v>
      </c>
      <c r="W1405" s="40"/>
      <c r="X1405" s="504">
        <f t="shared" si="5409"/>
        <v>0</v>
      </c>
      <c r="Y1405" s="850"/>
      <c r="Z1405" s="40"/>
      <c r="AA1405" s="856"/>
      <c r="AB1405" s="856"/>
      <c r="AC1405" s="857"/>
      <c r="AD1405" s="920"/>
      <c r="AE1405" s="40"/>
      <c r="AF1405" s="856"/>
      <c r="AG1405" s="856"/>
      <c r="AH1405" s="857"/>
      <c r="AI1405" s="856"/>
      <c r="AJ1405" s="856"/>
      <c r="AK1405" s="856"/>
      <c r="AL1405" s="856"/>
      <c r="AM1405" s="850"/>
      <c r="AN1405" s="40"/>
      <c r="AO1405" s="882"/>
      <c r="AP1405" s="882"/>
      <c r="AV1405" t="str">
        <f t="shared" si="5380"/>
        <v>BDCC no Km 155+722 - Aterro 03</v>
      </c>
      <c r="AW1405" s="4" t="str">
        <f t="shared" si="5378"/>
        <v>3.1-BSCC 3,50 x 350m - Km 163+518 - Aterro A7 - Bueiro de Concreto - LE</v>
      </c>
    </row>
    <row r="1406" spans="1:50" ht="15.6" customHeight="1" outlineLevel="2">
      <c r="A1406" s="604" t="str">
        <f t="shared" ref="A1406" si="5605">IF(SUM(P1406:V1407)&gt;0,"S","N")</f>
        <v>N</v>
      </c>
      <c r="B1406" s="599">
        <v>1064524</v>
      </c>
      <c r="C1406" s="599" t="s">
        <v>1731</v>
      </c>
      <c r="D1406" s="118" t="s">
        <v>1412</v>
      </c>
      <c r="E1406" s="917" t="s">
        <v>1732</v>
      </c>
      <c r="F1406" s="848" t="s">
        <v>1437</v>
      </c>
      <c r="G1406" s="40"/>
      <c r="H1406" s="600" t="s">
        <v>37</v>
      </c>
      <c r="I1406" s="504">
        <v>0</v>
      </c>
      <c r="J1406" s="849" t="str">
        <f t="shared" ref="J1406" si="5606">IFERROR((I1407/I1406),"-")</f>
        <v>-</v>
      </c>
      <c r="K1406" s="40"/>
      <c r="L1406" s="600" t="s">
        <v>37</v>
      </c>
      <c r="M1406" s="504">
        <f t="shared" si="5417"/>
        <v>0</v>
      </c>
      <c r="N1406" s="849" t="str">
        <f t="shared" ref="N1406" si="5607">IFERROR((M1407/M1406),"-")</f>
        <v>-</v>
      </c>
      <c r="O1406" s="40"/>
      <c r="P1406" s="601">
        <v>0</v>
      </c>
      <c r="Q1406" s="601">
        <v>0</v>
      </c>
      <c r="R1406" s="601">
        <v>0</v>
      </c>
      <c r="S1406" s="601">
        <v>0</v>
      </c>
      <c r="T1406" s="601">
        <v>0</v>
      </c>
      <c r="U1406" s="601">
        <v>0</v>
      </c>
      <c r="V1406" s="602">
        <v>0</v>
      </c>
      <c r="W1406" s="40"/>
      <c r="X1406" s="504">
        <f t="shared" si="5409"/>
        <v>0</v>
      </c>
      <c r="Y1406" s="849" t="str">
        <f t="shared" ref="Y1406" si="5608">IFERROR((X1407/X1406),"0")</f>
        <v>0</v>
      </c>
      <c r="Z1406" s="40"/>
      <c r="AA1406" s="855">
        <v>0</v>
      </c>
      <c r="AB1406" s="855">
        <v>0</v>
      </c>
      <c r="AC1406" s="858">
        <v>0</v>
      </c>
      <c r="AD1406" s="849" t="str">
        <f t="shared" ref="AD1406" si="5609">IFERROR((AC1406/AB1406),"-")</f>
        <v>-</v>
      </c>
      <c r="AE1406" s="40"/>
      <c r="AF1406" s="855">
        <v>0</v>
      </c>
      <c r="AG1406" s="855"/>
      <c r="AH1406" s="858">
        <v>0</v>
      </c>
      <c r="AI1406" s="855"/>
      <c r="AJ1406" s="855">
        <v>1</v>
      </c>
      <c r="AK1406" s="855">
        <f t="shared" ref="AK1406" si="5610">AF1406+AG1406+AH1406+AI1406+AJ1406+AC1406</f>
        <v>1</v>
      </c>
      <c r="AL1406" s="855">
        <v>1.0000000000000002</v>
      </c>
      <c r="AM1406" s="849">
        <f t="shared" ref="AM1406" si="5611">IFERROR((AK1406/AL1406),"-")</f>
        <v>0.99999999999999978</v>
      </c>
      <c r="AN1406" s="40"/>
      <c r="AO1406" s="855">
        <v>1</v>
      </c>
      <c r="AP1406" s="855">
        <f t="shared" ref="AP1406" si="5612">AO1406-AK1406</f>
        <v>0</v>
      </c>
      <c r="AV1406" t="str">
        <f t="shared" si="5380"/>
        <v>BDCC no Km 155+722 - Aterro 03</v>
      </c>
      <c r="AW1406" s="4" t="str">
        <f t="shared" si="5378"/>
        <v>3.1-BSCC 3,50 x 350m - Km 163+518 - Aterro A7 - Bueiro de Concreto - LD</v>
      </c>
    </row>
    <row r="1407" spans="1:50" ht="15.6" customHeight="1" outlineLevel="2">
      <c r="A1407" s="604" t="str">
        <f t="shared" ref="A1407" si="5613">A1406</f>
        <v>N</v>
      </c>
      <c r="B1407" s="599"/>
      <c r="C1407" s="599"/>
      <c r="D1407" s="118" t="s">
        <v>1441</v>
      </c>
      <c r="E1407" s="918"/>
      <c r="F1407" s="848"/>
      <c r="G1407" s="40"/>
      <c r="H1407" s="603" t="s">
        <v>38</v>
      </c>
      <c r="I1407" s="504">
        <v>0</v>
      </c>
      <c r="J1407" s="850"/>
      <c r="K1407" s="40"/>
      <c r="L1407" s="603" t="s">
        <v>38</v>
      </c>
      <c r="M1407" s="504">
        <f t="shared" si="5417"/>
        <v>0</v>
      </c>
      <c r="N1407" s="850"/>
      <c r="O1407" s="40"/>
      <c r="P1407" s="602">
        <v>0</v>
      </c>
      <c r="Q1407" s="602">
        <v>0</v>
      </c>
      <c r="R1407" s="602">
        <v>0</v>
      </c>
      <c r="S1407" s="602">
        <v>0</v>
      </c>
      <c r="T1407" s="602">
        <v>0</v>
      </c>
      <c r="U1407" s="602">
        <v>0</v>
      </c>
      <c r="V1407" s="602">
        <v>0</v>
      </c>
      <c r="W1407" s="40"/>
      <c r="X1407" s="504">
        <f t="shared" si="5409"/>
        <v>0</v>
      </c>
      <c r="Y1407" s="850"/>
      <c r="Z1407" s="40"/>
      <c r="AA1407" s="856"/>
      <c r="AB1407" s="856"/>
      <c r="AC1407" s="857"/>
      <c r="AD1407" s="920"/>
      <c r="AE1407" s="40"/>
      <c r="AF1407" s="856"/>
      <c r="AG1407" s="856"/>
      <c r="AH1407" s="857"/>
      <c r="AI1407" s="856"/>
      <c r="AJ1407" s="856"/>
      <c r="AK1407" s="856"/>
      <c r="AL1407" s="856"/>
      <c r="AM1407" s="850"/>
      <c r="AN1407" s="40"/>
      <c r="AO1407" s="882"/>
      <c r="AP1407" s="882"/>
      <c r="AV1407" t="str">
        <f t="shared" si="5380"/>
        <v>BDCC no Km 155+722 - Aterro 03</v>
      </c>
      <c r="AW1407" s="4" t="str">
        <f t="shared" si="5378"/>
        <v>3.1-BSCC 3,50 x 350m - Km 163+518 - Aterro A7 - Bueiro de Concreto - LD</v>
      </c>
    </row>
    <row r="1408" spans="1:50" ht="15.6" customHeight="1" outlineLevel="2">
      <c r="A1408" s="598" t="str">
        <f t="shared" ref="A1408" si="5614">IF(SUM(P1408:V1409)&gt;0,"S","N")</f>
        <v>N</v>
      </c>
      <c r="B1408" s="599">
        <v>1064917</v>
      </c>
      <c r="C1408" s="599" t="s">
        <v>1733</v>
      </c>
      <c r="D1408" s="118" t="s">
        <v>1414</v>
      </c>
      <c r="E1408" s="917" t="s">
        <v>1734</v>
      </c>
      <c r="F1408" s="848" t="s">
        <v>1437</v>
      </c>
      <c r="G1408" s="40"/>
      <c r="H1408" s="600" t="s">
        <v>37</v>
      </c>
      <c r="I1408" s="504">
        <v>0</v>
      </c>
      <c r="J1408" s="849" t="str">
        <f t="shared" ref="J1408" si="5615">IFERROR((I1409/I1408),"-")</f>
        <v>-</v>
      </c>
      <c r="K1408" s="40"/>
      <c r="L1408" s="600" t="s">
        <v>37</v>
      </c>
      <c r="M1408" s="504">
        <f t="shared" si="5417"/>
        <v>0</v>
      </c>
      <c r="N1408" s="849" t="str">
        <f t="shared" ref="N1408" si="5616">IFERROR((M1409/M1408),"-")</f>
        <v>-</v>
      </c>
      <c r="O1408" s="40"/>
      <c r="P1408" s="601">
        <v>0</v>
      </c>
      <c r="Q1408" s="601">
        <v>0</v>
      </c>
      <c r="R1408" s="601">
        <v>0</v>
      </c>
      <c r="S1408" s="601">
        <v>0</v>
      </c>
      <c r="T1408" s="601">
        <v>0</v>
      </c>
      <c r="U1408" s="601">
        <v>0</v>
      </c>
      <c r="V1408" s="602">
        <v>0</v>
      </c>
      <c r="W1408" s="40"/>
      <c r="X1408" s="504">
        <f t="shared" si="5409"/>
        <v>0</v>
      </c>
      <c r="Y1408" s="849" t="str">
        <f t="shared" ref="Y1408" si="5617">IFERROR((X1409/X1408),"0")</f>
        <v>0</v>
      </c>
      <c r="Z1408" s="40"/>
      <c r="AA1408" s="855">
        <v>0</v>
      </c>
      <c r="AB1408" s="855">
        <v>0</v>
      </c>
      <c r="AC1408" s="858">
        <v>0</v>
      </c>
      <c r="AD1408" s="849" t="str">
        <f t="shared" ref="AD1408" si="5618">IFERROR((AC1408/AB1408),"-")</f>
        <v>-</v>
      </c>
      <c r="AE1408" s="40"/>
      <c r="AF1408" s="855">
        <v>0</v>
      </c>
      <c r="AG1408" s="855"/>
      <c r="AH1408" s="858">
        <v>0</v>
      </c>
      <c r="AI1408" s="855">
        <v>1</v>
      </c>
      <c r="AJ1408" s="855"/>
      <c r="AK1408" s="855">
        <f t="shared" ref="AK1408" si="5619">AF1408+AG1408+AH1408+AI1408+AJ1408+AC1408</f>
        <v>1</v>
      </c>
      <c r="AL1408" s="855">
        <v>1</v>
      </c>
      <c r="AM1408" s="849">
        <f t="shared" ref="AM1408" si="5620">IFERROR((AK1408/AL1408),"-")</f>
        <v>1</v>
      </c>
      <c r="AN1408" s="40"/>
      <c r="AO1408" s="855">
        <v>1</v>
      </c>
      <c r="AP1408" s="855">
        <f t="shared" ref="AP1408" si="5621">AO1408-AK1408</f>
        <v>0</v>
      </c>
      <c r="AV1408" t="str">
        <f t="shared" si="5380"/>
        <v>BDCC no Km 155+722 - Aterro 03</v>
      </c>
      <c r="AW1408" s="4" t="str">
        <f t="shared" si="5378"/>
        <v>3.1-BSCC 1,50 x 1,50 m - Km 0+034 - acesso km 154+757 LE - Bueiro de Concreto - LE</v>
      </c>
    </row>
    <row r="1409" spans="1:50" ht="15.6" customHeight="1" outlineLevel="2">
      <c r="A1409" s="598" t="str">
        <f t="shared" ref="A1409" si="5622">A1408</f>
        <v>N</v>
      </c>
      <c r="B1409" s="599"/>
      <c r="C1409" s="599"/>
      <c r="D1409" s="118" t="s">
        <v>1444</v>
      </c>
      <c r="E1409" s="918"/>
      <c r="F1409" s="848"/>
      <c r="G1409" s="40"/>
      <c r="H1409" s="603" t="s">
        <v>38</v>
      </c>
      <c r="I1409" s="504">
        <v>0</v>
      </c>
      <c r="J1409" s="850"/>
      <c r="K1409" s="40"/>
      <c r="L1409" s="603" t="s">
        <v>38</v>
      </c>
      <c r="M1409" s="504">
        <f t="shared" si="5417"/>
        <v>0</v>
      </c>
      <c r="N1409" s="850"/>
      <c r="O1409" s="40"/>
      <c r="P1409" s="602">
        <v>0</v>
      </c>
      <c r="Q1409" s="602">
        <v>0</v>
      </c>
      <c r="R1409" s="602">
        <v>0</v>
      </c>
      <c r="S1409" s="602">
        <v>0</v>
      </c>
      <c r="T1409" s="602">
        <v>0</v>
      </c>
      <c r="U1409" s="602">
        <v>0</v>
      </c>
      <c r="V1409" s="602">
        <v>0</v>
      </c>
      <c r="W1409" s="40"/>
      <c r="X1409" s="504">
        <f t="shared" si="5409"/>
        <v>0</v>
      </c>
      <c r="Y1409" s="850"/>
      <c r="Z1409" s="40"/>
      <c r="AA1409" s="856"/>
      <c r="AB1409" s="856"/>
      <c r="AC1409" s="857"/>
      <c r="AD1409" s="920"/>
      <c r="AE1409" s="40"/>
      <c r="AF1409" s="856"/>
      <c r="AG1409" s="856"/>
      <c r="AH1409" s="857"/>
      <c r="AI1409" s="856"/>
      <c r="AJ1409" s="856"/>
      <c r="AK1409" s="856"/>
      <c r="AL1409" s="856"/>
      <c r="AM1409" s="850"/>
      <c r="AN1409" s="40"/>
      <c r="AO1409" s="882"/>
      <c r="AP1409" s="882"/>
      <c r="AV1409" t="str">
        <f t="shared" si="5380"/>
        <v>BDCC no Km 155+722 - Aterro 03</v>
      </c>
      <c r="AW1409" s="4" t="str">
        <f t="shared" si="5378"/>
        <v>3.1-BSCC 1,50 x 1,50 m - Km 0+034 - acesso km 154+757 LE - Bueiro de Concreto - LE</v>
      </c>
    </row>
    <row r="1410" spans="1:50" ht="15.6" customHeight="1" outlineLevel="2">
      <c r="A1410" s="598" t="str">
        <f t="shared" ref="A1410" si="5623">IF(SUM(P1410:V1411)&gt;0,"S","N")</f>
        <v>N</v>
      </c>
      <c r="B1410" s="599">
        <v>1064918</v>
      </c>
      <c r="C1410" s="599" t="s">
        <v>1735</v>
      </c>
      <c r="D1410" s="118" t="s">
        <v>1414</v>
      </c>
      <c r="E1410" s="917" t="s">
        <v>1736</v>
      </c>
      <c r="F1410" s="848" t="s">
        <v>1437</v>
      </c>
      <c r="G1410" s="40"/>
      <c r="H1410" s="600" t="s">
        <v>37</v>
      </c>
      <c r="I1410" s="504">
        <v>0</v>
      </c>
      <c r="J1410" s="849" t="str">
        <f t="shared" ref="J1410" si="5624">IFERROR((I1411/I1410),"-")</f>
        <v>-</v>
      </c>
      <c r="K1410" s="40"/>
      <c r="L1410" s="600" t="s">
        <v>37</v>
      </c>
      <c r="M1410" s="504">
        <f t="shared" si="5417"/>
        <v>0</v>
      </c>
      <c r="N1410" s="849" t="str">
        <f t="shared" ref="N1410" si="5625">IFERROR((M1411/M1410),"-")</f>
        <v>-</v>
      </c>
      <c r="O1410" s="40"/>
      <c r="P1410" s="601">
        <v>0</v>
      </c>
      <c r="Q1410" s="601">
        <v>0</v>
      </c>
      <c r="R1410" s="601">
        <v>0</v>
      </c>
      <c r="S1410" s="601">
        <v>0</v>
      </c>
      <c r="T1410" s="601">
        <v>0</v>
      </c>
      <c r="U1410" s="601">
        <v>0</v>
      </c>
      <c r="V1410" s="602">
        <v>0</v>
      </c>
      <c r="W1410" s="40"/>
      <c r="X1410" s="504">
        <f t="shared" si="5409"/>
        <v>0</v>
      </c>
      <c r="Y1410" s="849" t="str">
        <f t="shared" ref="Y1410" si="5626">IFERROR((X1411/X1410),"0")</f>
        <v>0</v>
      </c>
      <c r="Z1410" s="40"/>
      <c r="AA1410" s="855">
        <v>0</v>
      </c>
      <c r="AB1410" s="855">
        <v>0</v>
      </c>
      <c r="AC1410" s="858">
        <v>0</v>
      </c>
      <c r="AD1410" s="849" t="str">
        <f t="shared" ref="AD1410" si="5627">IFERROR((AC1410/AB1410),"-")</f>
        <v>-</v>
      </c>
      <c r="AE1410" s="40"/>
      <c r="AF1410" s="855">
        <v>0</v>
      </c>
      <c r="AG1410" s="855"/>
      <c r="AH1410" s="858">
        <v>0</v>
      </c>
      <c r="AI1410" s="855">
        <v>1</v>
      </c>
      <c r="AJ1410" s="855"/>
      <c r="AK1410" s="855">
        <f t="shared" ref="AK1410" si="5628">AF1410+AG1410+AH1410+AI1410+AJ1410+AC1410</f>
        <v>1</v>
      </c>
      <c r="AL1410" s="855">
        <v>1</v>
      </c>
      <c r="AM1410" s="849">
        <f t="shared" ref="AM1410" si="5629">IFERROR((AK1410/AL1410),"-")</f>
        <v>1</v>
      </c>
      <c r="AN1410" s="40"/>
      <c r="AO1410" s="855">
        <v>1</v>
      </c>
      <c r="AP1410" s="855">
        <f t="shared" ref="AP1410" si="5630">AO1410-AK1410</f>
        <v>0</v>
      </c>
      <c r="AV1410" t="str">
        <f t="shared" si="5380"/>
        <v>BDCC no Km 155+722 - Aterro 03</v>
      </c>
      <c r="AW1410" s="4" t="str">
        <f t="shared" si="5378"/>
        <v>3.1-BSCC 1,50 x 1,50 m - Km 0+034 - acesso km 154+757 LE - Bueiro de Concreto - LD</v>
      </c>
    </row>
    <row r="1411" spans="1:50" ht="15.6" customHeight="1" outlineLevel="2">
      <c r="A1411" s="598" t="str">
        <f t="shared" ref="A1411" si="5631">A1410</f>
        <v>N</v>
      </c>
      <c r="B1411" s="599"/>
      <c r="C1411" s="599"/>
      <c r="D1411" s="118" t="s">
        <v>1441</v>
      </c>
      <c r="E1411" s="918"/>
      <c r="F1411" s="848"/>
      <c r="G1411" s="40"/>
      <c r="H1411" s="603" t="s">
        <v>38</v>
      </c>
      <c r="I1411" s="504">
        <v>0</v>
      </c>
      <c r="J1411" s="850"/>
      <c r="K1411" s="40"/>
      <c r="L1411" s="603" t="s">
        <v>38</v>
      </c>
      <c r="M1411" s="504">
        <f t="shared" si="5417"/>
        <v>0</v>
      </c>
      <c r="N1411" s="850"/>
      <c r="O1411" s="40"/>
      <c r="P1411" s="602">
        <v>0</v>
      </c>
      <c r="Q1411" s="602">
        <v>0</v>
      </c>
      <c r="R1411" s="602">
        <v>0</v>
      </c>
      <c r="S1411" s="602">
        <v>0</v>
      </c>
      <c r="T1411" s="602">
        <v>0</v>
      </c>
      <c r="U1411" s="602">
        <v>0</v>
      </c>
      <c r="V1411" s="602">
        <v>0</v>
      </c>
      <c r="W1411" s="40"/>
      <c r="X1411" s="504">
        <f t="shared" si="5409"/>
        <v>0</v>
      </c>
      <c r="Y1411" s="850"/>
      <c r="Z1411" s="40"/>
      <c r="AA1411" s="856"/>
      <c r="AB1411" s="856"/>
      <c r="AC1411" s="857"/>
      <c r="AD1411" s="920"/>
      <c r="AE1411" s="40"/>
      <c r="AF1411" s="856"/>
      <c r="AG1411" s="856"/>
      <c r="AH1411" s="857"/>
      <c r="AI1411" s="856"/>
      <c r="AJ1411" s="856"/>
      <c r="AK1411" s="856"/>
      <c r="AL1411" s="856"/>
      <c r="AM1411" s="850"/>
      <c r="AN1411" s="40"/>
      <c r="AO1411" s="882"/>
      <c r="AP1411" s="882"/>
      <c r="AV1411" t="str">
        <f t="shared" si="5380"/>
        <v>BDCC no Km 155+722 - Aterro 03</v>
      </c>
      <c r="AW1411" s="4" t="str">
        <f t="shared" si="5378"/>
        <v>3.1-BSCC 1,50 x 1,50 m - Km 0+034 - acesso km 154+757 LE - Bueiro de Concreto - LD</v>
      </c>
    </row>
    <row r="1412" spans="1:50" ht="15.6" customHeight="1" outlineLevel="2">
      <c r="A1412" s="598" t="str">
        <f t="shared" ref="A1412" si="5632">IF(SUM(P1412:V1413)&gt;0,"S","N")</f>
        <v>N</v>
      </c>
      <c r="B1412" s="599">
        <v>1064926</v>
      </c>
      <c r="C1412" s="599" t="s">
        <v>1737</v>
      </c>
      <c r="D1412" s="118" t="s">
        <v>1416</v>
      </c>
      <c r="E1412" s="917" t="s">
        <v>1738</v>
      </c>
      <c r="F1412" s="848" t="s">
        <v>1437</v>
      </c>
      <c r="G1412" s="40"/>
      <c r="H1412" s="600" t="s">
        <v>37</v>
      </c>
      <c r="I1412" s="504">
        <v>0</v>
      </c>
      <c r="J1412" s="849" t="str">
        <f t="shared" ref="J1412" si="5633">IFERROR((I1413/I1412),"-")</f>
        <v>-</v>
      </c>
      <c r="K1412" s="40"/>
      <c r="L1412" s="600" t="s">
        <v>37</v>
      </c>
      <c r="M1412" s="504">
        <f t="shared" si="5417"/>
        <v>0</v>
      </c>
      <c r="N1412" s="849" t="str">
        <f t="shared" ref="N1412" si="5634">IFERROR((M1413/M1412),"-")</f>
        <v>-</v>
      </c>
      <c r="O1412" s="40"/>
      <c r="P1412" s="601">
        <v>0</v>
      </c>
      <c r="Q1412" s="601">
        <v>0</v>
      </c>
      <c r="R1412" s="601">
        <v>0</v>
      </c>
      <c r="S1412" s="601">
        <v>0</v>
      </c>
      <c r="T1412" s="601">
        <v>0</v>
      </c>
      <c r="U1412" s="601">
        <v>0</v>
      </c>
      <c r="V1412" s="602">
        <v>0</v>
      </c>
      <c r="W1412" s="40"/>
      <c r="X1412" s="504">
        <f t="shared" si="5409"/>
        <v>0</v>
      </c>
      <c r="Y1412" s="849" t="str">
        <f t="shared" ref="Y1412" si="5635">IFERROR((X1413/X1412),"0")</f>
        <v>0</v>
      </c>
      <c r="Z1412" s="40"/>
      <c r="AA1412" s="855">
        <v>0</v>
      </c>
      <c r="AB1412" s="855">
        <v>0</v>
      </c>
      <c r="AC1412" s="858">
        <v>0</v>
      </c>
      <c r="AD1412" s="849" t="str">
        <f t="shared" ref="AD1412" si="5636">IFERROR((AC1412/AB1412),"-")</f>
        <v>-</v>
      </c>
      <c r="AE1412" s="40"/>
      <c r="AF1412" s="855">
        <v>0</v>
      </c>
      <c r="AG1412" s="855"/>
      <c r="AH1412" s="858">
        <v>0</v>
      </c>
      <c r="AI1412" s="855"/>
      <c r="AJ1412" s="855"/>
      <c r="AK1412" s="855">
        <f t="shared" ref="AK1412" si="5637">AF1412+AG1412+AH1412+AI1412+AJ1412+AC1412</f>
        <v>0</v>
      </c>
      <c r="AL1412" s="855">
        <v>0</v>
      </c>
      <c r="AM1412" s="849" t="str">
        <f t="shared" ref="AM1412" si="5638">IFERROR((AK1412/AL1412),"-")</f>
        <v>-</v>
      </c>
      <c r="AN1412" s="40"/>
      <c r="AO1412" s="855">
        <v>1</v>
      </c>
      <c r="AP1412" s="855">
        <f t="shared" ref="AP1412" si="5639">AO1412-AK1412</f>
        <v>1</v>
      </c>
      <c r="AV1412" s="4" t="str">
        <f t="shared" si="5380"/>
        <v>BDCC no Km 155+722 - Aterro 03</v>
      </c>
      <c r="AW1412" s="4" t="str">
        <f t="shared" si="5378"/>
        <v>3.1-BDTC DN 1,0m - Km 0+399 - acesso km 154+757 LE - Bueiro de Concreto - LE</v>
      </c>
      <c r="AX1412" s="4"/>
    </row>
    <row r="1413" spans="1:50" ht="15.6" customHeight="1" outlineLevel="2">
      <c r="A1413" s="598" t="str">
        <f t="shared" ref="A1413" si="5640">A1412</f>
        <v>N</v>
      </c>
      <c r="B1413" s="599"/>
      <c r="C1413" s="599"/>
      <c r="D1413" s="118" t="s">
        <v>1444</v>
      </c>
      <c r="E1413" s="918"/>
      <c r="F1413" s="848"/>
      <c r="G1413" s="40"/>
      <c r="H1413" s="603" t="s">
        <v>38</v>
      </c>
      <c r="I1413" s="504">
        <v>0</v>
      </c>
      <c r="J1413" s="850"/>
      <c r="K1413" s="40"/>
      <c r="L1413" s="603" t="s">
        <v>38</v>
      </c>
      <c r="M1413" s="504">
        <f t="shared" si="5417"/>
        <v>0</v>
      </c>
      <c r="N1413" s="850"/>
      <c r="O1413" s="40"/>
      <c r="P1413" s="602">
        <v>0</v>
      </c>
      <c r="Q1413" s="602">
        <v>0</v>
      </c>
      <c r="R1413" s="602">
        <v>0</v>
      </c>
      <c r="S1413" s="602">
        <v>0</v>
      </c>
      <c r="T1413" s="602">
        <v>0</v>
      </c>
      <c r="U1413" s="602">
        <v>0</v>
      </c>
      <c r="V1413" s="602">
        <v>0</v>
      </c>
      <c r="W1413" s="40"/>
      <c r="X1413" s="504">
        <f t="shared" si="5409"/>
        <v>0</v>
      </c>
      <c r="Y1413" s="850"/>
      <c r="Z1413" s="40"/>
      <c r="AA1413" s="856"/>
      <c r="AB1413" s="856"/>
      <c r="AC1413" s="857"/>
      <c r="AD1413" s="920"/>
      <c r="AE1413" s="40"/>
      <c r="AF1413" s="856"/>
      <c r="AG1413" s="856"/>
      <c r="AH1413" s="857"/>
      <c r="AI1413" s="856"/>
      <c r="AJ1413" s="856"/>
      <c r="AK1413" s="856"/>
      <c r="AL1413" s="856"/>
      <c r="AM1413" s="850"/>
      <c r="AN1413" s="40"/>
      <c r="AO1413" s="882"/>
      <c r="AP1413" s="882"/>
      <c r="AV1413" t="str">
        <f t="shared" si="5380"/>
        <v>BDCC no Km 155+722 - Aterro 03</v>
      </c>
      <c r="AW1413" s="4" t="str">
        <f t="shared" si="5378"/>
        <v>3.1-BDTC DN 1,0m - Km 0+399 - acesso km 154+757 LE - Bueiro de Concreto - LE</v>
      </c>
    </row>
    <row r="1414" spans="1:50" ht="15.6" customHeight="1" outlineLevel="2">
      <c r="A1414" s="598" t="str">
        <f t="shared" ref="A1414" si="5641">IF(SUM(P1414:V1415)&gt;0,"S","N")</f>
        <v>N</v>
      </c>
      <c r="B1414" s="599">
        <v>1064933</v>
      </c>
      <c r="C1414" s="599" t="s">
        <v>1739</v>
      </c>
      <c r="D1414" s="118" t="s">
        <v>1418</v>
      </c>
      <c r="E1414" s="917" t="s">
        <v>1740</v>
      </c>
      <c r="F1414" s="848" t="s">
        <v>1437</v>
      </c>
      <c r="G1414" s="40"/>
      <c r="H1414" s="600" t="s">
        <v>37</v>
      </c>
      <c r="I1414" s="504">
        <v>0</v>
      </c>
      <c r="J1414" s="849" t="str">
        <f t="shared" ref="J1414" si="5642">IFERROR((I1415/I1414),"-")</f>
        <v>-</v>
      </c>
      <c r="K1414" s="40"/>
      <c r="L1414" s="600" t="s">
        <v>37</v>
      </c>
      <c r="M1414" s="504">
        <f t="shared" si="5417"/>
        <v>0</v>
      </c>
      <c r="N1414" s="849" t="str">
        <f t="shared" ref="N1414" si="5643">IFERROR((M1415/M1414),"-")</f>
        <v>-</v>
      </c>
      <c r="O1414" s="40"/>
      <c r="P1414" s="601">
        <v>0</v>
      </c>
      <c r="Q1414" s="601">
        <v>0</v>
      </c>
      <c r="R1414" s="601">
        <v>0</v>
      </c>
      <c r="S1414" s="601">
        <v>0</v>
      </c>
      <c r="T1414" s="601">
        <v>0</v>
      </c>
      <c r="U1414" s="601">
        <v>0</v>
      </c>
      <c r="V1414" s="602">
        <v>0</v>
      </c>
      <c r="W1414" s="40"/>
      <c r="X1414" s="504">
        <f t="shared" si="5409"/>
        <v>0</v>
      </c>
      <c r="Y1414" s="849" t="str">
        <f t="shared" ref="Y1414" si="5644">IFERROR((X1415/X1414),"0")</f>
        <v>0</v>
      </c>
      <c r="Z1414" s="40"/>
      <c r="AA1414" s="855">
        <v>0</v>
      </c>
      <c r="AB1414" s="855">
        <v>0</v>
      </c>
      <c r="AC1414" s="858">
        <v>0</v>
      </c>
      <c r="AD1414" s="849" t="str">
        <f t="shared" ref="AD1414" si="5645">IFERROR((AC1414/AB1414),"-")</f>
        <v>-</v>
      </c>
      <c r="AE1414" s="40"/>
      <c r="AF1414" s="855">
        <v>0</v>
      </c>
      <c r="AG1414" s="855"/>
      <c r="AH1414" s="858">
        <v>0</v>
      </c>
      <c r="AI1414" s="855">
        <v>1</v>
      </c>
      <c r="AJ1414" s="855"/>
      <c r="AK1414" s="855">
        <f t="shared" ref="AK1414" si="5646">AF1414+AG1414+AH1414+AI1414+AJ1414+AC1414</f>
        <v>1</v>
      </c>
      <c r="AL1414" s="855">
        <v>1</v>
      </c>
      <c r="AM1414" s="849">
        <f t="shared" ref="AM1414" si="5647">IFERROR((AK1414/AL1414),"-")</f>
        <v>1</v>
      </c>
      <c r="AN1414" s="40"/>
      <c r="AO1414" s="855">
        <v>1</v>
      </c>
      <c r="AP1414" s="855">
        <f t="shared" ref="AP1414" si="5648">AO1414-AK1414</f>
        <v>0</v>
      </c>
      <c r="AV1414" t="str">
        <f t="shared" si="5380"/>
        <v>BDCC no Km 155+722 - Aterro 03</v>
      </c>
      <c r="AW1414" s="4" t="str">
        <f t="shared" si="5378"/>
        <v>3.1-BSTC DN 1,2m - Km 0+436 - acesso km 154+757 LD - Bueiro de Concreto - LE</v>
      </c>
    </row>
    <row r="1415" spans="1:50" ht="15.6" customHeight="1" outlineLevel="2">
      <c r="A1415" s="598" t="str">
        <f t="shared" ref="A1415" si="5649">A1414</f>
        <v>N</v>
      </c>
      <c r="B1415" s="599"/>
      <c r="C1415" s="599"/>
      <c r="D1415" s="118" t="s">
        <v>1444</v>
      </c>
      <c r="E1415" s="918"/>
      <c r="F1415" s="848"/>
      <c r="G1415" s="40"/>
      <c r="H1415" s="603" t="s">
        <v>38</v>
      </c>
      <c r="I1415" s="504">
        <v>0</v>
      </c>
      <c r="J1415" s="850"/>
      <c r="K1415" s="40"/>
      <c r="L1415" s="603" t="s">
        <v>38</v>
      </c>
      <c r="M1415" s="504">
        <f t="shared" si="5417"/>
        <v>0</v>
      </c>
      <c r="N1415" s="850"/>
      <c r="O1415" s="40"/>
      <c r="P1415" s="602">
        <v>0</v>
      </c>
      <c r="Q1415" s="602">
        <v>0</v>
      </c>
      <c r="R1415" s="602">
        <v>0</v>
      </c>
      <c r="S1415" s="602">
        <v>0</v>
      </c>
      <c r="T1415" s="602">
        <v>0</v>
      </c>
      <c r="U1415" s="602">
        <v>0</v>
      </c>
      <c r="V1415" s="602">
        <v>0</v>
      </c>
      <c r="W1415" s="40"/>
      <c r="X1415" s="504">
        <f t="shared" si="5409"/>
        <v>0</v>
      </c>
      <c r="Y1415" s="850"/>
      <c r="Z1415" s="40"/>
      <c r="AA1415" s="856"/>
      <c r="AB1415" s="856"/>
      <c r="AC1415" s="857"/>
      <c r="AD1415" s="920"/>
      <c r="AE1415" s="40"/>
      <c r="AF1415" s="856"/>
      <c r="AG1415" s="856"/>
      <c r="AH1415" s="857"/>
      <c r="AI1415" s="856"/>
      <c r="AJ1415" s="856"/>
      <c r="AK1415" s="856"/>
      <c r="AL1415" s="856"/>
      <c r="AM1415" s="850"/>
      <c r="AN1415" s="40"/>
      <c r="AO1415" s="882"/>
      <c r="AP1415" s="882"/>
      <c r="AV1415" t="str">
        <f t="shared" si="5380"/>
        <v>BDCC no Km 155+722 - Aterro 03</v>
      </c>
      <c r="AW1415" s="4" t="str">
        <f t="shared" si="5378"/>
        <v>3.1-BSTC DN 1,2m - Km 0+436 - acesso km 154+757 LD - Bueiro de Concreto - LE</v>
      </c>
    </row>
    <row r="1416" spans="1:50" ht="15.6" customHeight="1" outlineLevel="2">
      <c r="A1416" s="604" t="str">
        <f t="shared" ref="A1416" si="5650">IF(SUM(P1416:V1417)&gt;0,"S","N")</f>
        <v>N</v>
      </c>
      <c r="B1416" s="599">
        <v>1064940</v>
      </c>
      <c r="C1416" s="599" t="s">
        <v>1741</v>
      </c>
      <c r="D1416" s="118" t="s">
        <v>1420</v>
      </c>
      <c r="E1416" s="917" t="s">
        <v>1742</v>
      </c>
      <c r="F1416" s="848" t="s">
        <v>1437</v>
      </c>
      <c r="G1416" s="40"/>
      <c r="H1416" s="600" t="s">
        <v>37</v>
      </c>
      <c r="I1416" s="504">
        <v>0</v>
      </c>
      <c r="J1416" s="849" t="str">
        <f t="shared" ref="J1416" si="5651">IFERROR((I1417/I1416),"-")</f>
        <v>-</v>
      </c>
      <c r="K1416" s="40"/>
      <c r="L1416" s="600" t="s">
        <v>37</v>
      </c>
      <c r="M1416" s="504">
        <f t="shared" si="5417"/>
        <v>0</v>
      </c>
      <c r="N1416" s="849" t="str">
        <f t="shared" ref="N1416" si="5652">IFERROR((M1417/M1416),"-")</f>
        <v>-</v>
      </c>
      <c r="O1416" s="40"/>
      <c r="P1416" s="601">
        <v>0</v>
      </c>
      <c r="Q1416" s="601">
        <v>0</v>
      </c>
      <c r="R1416" s="601">
        <v>0</v>
      </c>
      <c r="S1416" s="601">
        <v>0</v>
      </c>
      <c r="T1416" s="601">
        <v>0</v>
      </c>
      <c r="U1416" s="601">
        <v>0</v>
      </c>
      <c r="V1416" s="602">
        <v>0</v>
      </c>
      <c r="W1416" s="40"/>
      <c r="X1416" s="504">
        <f t="shared" si="5409"/>
        <v>0</v>
      </c>
      <c r="Y1416" s="849" t="str">
        <f t="shared" ref="Y1416" si="5653">IFERROR((X1417/X1416),"0")</f>
        <v>0</v>
      </c>
      <c r="Z1416" s="40"/>
      <c r="AA1416" s="855">
        <v>0</v>
      </c>
      <c r="AB1416" s="855">
        <v>0</v>
      </c>
      <c r="AC1416" s="858">
        <v>0</v>
      </c>
      <c r="AD1416" s="849" t="str">
        <f t="shared" ref="AD1416" si="5654">IFERROR((AC1416/AB1416),"-")</f>
        <v>-</v>
      </c>
      <c r="AE1416" s="40"/>
      <c r="AF1416" s="855">
        <v>0</v>
      </c>
      <c r="AG1416" s="855"/>
      <c r="AH1416" s="858">
        <v>0</v>
      </c>
      <c r="AI1416" s="855">
        <v>1</v>
      </c>
      <c r="AJ1416" s="855"/>
      <c r="AK1416" s="855">
        <f t="shared" ref="AK1416" si="5655">AF1416+AG1416+AH1416+AI1416+AJ1416+AC1416</f>
        <v>1</v>
      </c>
      <c r="AL1416" s="855">
        <v>1</v>
      </c>
      <c r="AM1416" s="849">
        <f t="shared" ref="AM1416" si="5656">IFERROR((AK1416/AL1416),"-")</f>
        <v>1</v>
      </c>
      <c r="AN1416" s="40"/>
      <c r="AO1416" s="855">
        <v>1</v>
      </c>
      <c r="AP1416" s="855">
        <f t="shared" ref="AP1416" si="5657">AO1416-AK1416</f>
        <v>0</v>
      </c>
      <c r="AV1416" t="str">
        <f t="shared" si="5380"/>
        <v>BDCC no Km 155+722 - Aterro 03</v>
      </c>
      <c r="AW1416" s="4" t="str">
        <f t="shared" si="5378"/>
        <v>3.1-BSTC DN 1,0m - Km 0+260 - acesso km 154+757 LD - Bueiro de Concreto - LD</v>
      </c>
    </row>
    <row r="1417" spans="1:50" ht="15.6" customHeight="1" outlineLevel="2">
      <c r="A1417" s="604" t="str">
        <f t="shared" ref="A1417" si="5658">A1416</f>
        <v>N</v>
      </c>
      <c r="B1417" s="599"/>
      <c r="C1417" s="599"/>
      <c r="D1417" s="118" t="s">
        <v>1441</v>
      </c>
      <c r="E1417" s="918"/>
      <c r="F1417" s="848"/>
      <c r="G1417" s="40"/>
      <c r="H1417" s="603" t="s">
        <v>38</v>
      </c>
      <c r="I1417" s="504">
        <v>0</v>
      </c>
      <c r="J1417" s="850"/>
      <c r="K1417" s="40"/>
      <c r="L1417" s="603" t="s">
        <v>38</v>
      </c>
      <c r="M1417" s="504">
        <f t="shared" si="5417"/>
        <v>0</v>
      </c>
      <c r="N1417" s="850"/>
      <c r="O1417" s="40"/>
      <c r="P1417" s="602">
        <v>0</v>
      </c>
      <c r="Q1417" s="602">
        <v>0</v>
      </c>
      <c r="R1417" s="602">
        <v>0</v>
      </c>
      <c r="S1417" s="602">
        <v>0</v>
      </c>
      <c r="T1417" s="602">
        <v>0</v>
      </c>
      <c r="U1417" s="602">
        <v>0</v>
      </c>
      <c r="V1417" s="602">
        <v>0</v>
      </c>
      <c r="W1417" s="40"/>
      <c r="X1417" s="504">
        <f t="shared" si="5409"/>
        <v>0</v>
      </c>
      <c r="Y1417" s="850"/>
      <c r="Z1417" s="40"/>
      <c r="AA1417" s="856"/>
      <c r="AB1417" s="856"/>
      <c r="AC1417" s="857"/>
      <c r="AD1417" s="920"/>
      <c r="AE1417" s="40"/>
      <c r="AF1417" s="856"/>
      <c r="AG1417" s="856"/>
      <c r="AH1417" s="857"/>
      <c r="AI1417" s="856"/>
      <c r="AJ1417" s="856"/>
      <c r="AK1417" s="856"/>
      <c r="AL1417" s="856"/>
      <c r="AM1417" s="850"/>
      <c r="AN1417" s="40"/>
      <c r="AO1417" s="882"/>
      <c r="AP1417" s="882"/>
      <c r="AV1417" s="4" t="str">
        <f t="shared" si="5380"/>
        <v>BDCC no Km 155+722 - Aterro 03</v>
      </c>
      <c r="AW1417" s="4" t="str">
        <f t="shared" ref="AW1417:AW1480" si="5659">IF(E1417&lt;&gt;"",E1417,AW1416)</f>
        <v>3.1-BSTC DN 1,0m - Km 0+260 - acesso km 154+757 LD - Bueiro de Concreto - LD</v>
      </c>
      <c r="AX1417" s="4"/>
    </row>
    <row r="1418" spans="1:50" ht="15.6" customHeight="1" outlineLevel="2">
      <c r="A1418" s="598" t="str">
        <f t="shared" ref="A1418" si="5660">IF(SUM(P1418:V1419)&gt;0,"S","N")</f>
        <v>N</v>
      </c>
      <c r="B1418" s="599">
        <v>1064947</v>
      </c>
      <c r="C1418" s="599" t="s">
        <v>1743</v>
      </c>
      <c r="D1418" s="118" t="s">
        <v>1422</v>
      </c>
      <c r="E1418" s="917" t="s">
        <v>1744</v>
      </c>
      <c r="F1418" s="848" t="s">
        <v>1437</v>
      </c>
      <c r="G1418" s="40"/>
      <c r="H1418" s="600" t="s">
        <v>37</v>
      </c>
      <c r="I1418" s="504">
        <v>0</v>
      </c>
      <c r="J1418" s="849" t="str">
        <f t="shared" ref="J1418" si="5661">IFERROR((I1419/I1418),"-")</f>
        <v>-</v>
      </c>
      <c r="K1418" s="40"/>
      <c r="L1418" s="600" t="s">
        <v>37</v>
      </c>
      <c r="M1418" s="504">
        <f t="shared" si="5417"/>
        <v>0</v>
      </c>
      <c r="N1418" s="849" t="str">
        <f t="shared" ref="N1418" si="5662">IFERROR((M1419/M1418),"-")</f>
        <v>-</v>
      </c>
      <c r="O1418" s="40"/>
      <c r="P1418" s="601">
        <v>0</v>
      </c>
      <c r="Q1418" s="601">
        <v>0</v>
      </c>
      <c r="R1418" s="601">
        <v>0</v>
      </c>
      <c r="S1418" s="601">
        <v>0</v>
      </c>
      <c r="T1418" s="601">
        <v>0</v>
      </c>
      <c r="U1418" s="601">
        <v>0</v>
      </c>
      <c r="V1418" s="602">
        <v>0</v>
      </c>
      <c r="W1418" s="40"/>
      <c r="X1418" s="504">
        <f t="shared" si="5409"/>
        <v>0</v>
      </c>
      <c r="Y1418" s="849" t="str">
        <f t="shared" ref="Y1418" si="5663">IFERROR((X1419/X1418),"0")</f>
        <v>0</v>
      </c>
      <c r="Z1418" s="40"/>
      <c r="AA1418" s="855">
        <v>0</v>
      </c>
      <c r="AB1418" s="855">
        <v>0</v>
      </c>
      <c r="AC1418" s="858">
        <v>0</v>
      </c>
      <c r="AD1418" s="849" t="str">
        <f t="shared" ref="AD1418" si="5664">IFERROR((AC1418/AB1418),"-")</f>
        <v>-</v>
      </c>
      <c r="AE1418" s="40"/>
      <c r="AF1418" s="855">
        <v>0</v>
      </c>
      <c r="AG1418" s="855"/>
      <c r="AH1418" s="858">
        <v>0</v>
      </c>
      <c r="AI1418" s="855">
        <v>1</v>
      </c>
      <c r="AJ1418" s="855"/>
      <c r="AK1418" s="855">
        <f t="shared" ref="AK1418" si="5665">AF1418+AG1418+AH1418+AI1418+AJ1418+AC1418</f>
        <v>1</v>
      </c>
      <c r="AL1418" s="855">
        <v>1</v>
      </c>
      <c r="AM1418" s="849">
        <f t="shared" ref="AM1418" si="5666">IFERROR((AK1418/AL1418),"-")</f>
        <v>1</v>
      </c>
      <c r="AN1418" s="40"/>
      <c r="AO1418" s="855">
        <v>1</v>
      </c>
      <c r="AP1418" s="855">
        <f t="shared" ref="AP1418" si="5667">AO1418-AK1418</f>
        <v>0</v>
      </c>
      <c r="AV1418" s="4" t="str">
        <f t="shared" ref="AV1418:AV1481" si="5668">IF(AX1418="Y",LEFT(E1418,20),IF(AX1418="x",E1418,AV1417))</f>
        <v>BDCC no Km 155+722 - Aterro 03</v>
      </c>
      <c r="AW1418" s="4" t="str">
        <f t="shared" si="5659"/>
        <v>3.1-BSTC DN 0,80m - Km 0+133 - acesso km 159+940 LD - Bueiro de Concreto - LE</v>
      </c>
      <c r="AX1418" s="4"/>
    </row>
    <row r="1419" spans="1:50" ht="15.6" customHeight="1" outlineLevel="2">
      <c r="A1419" s="598" t="str">
        <f t="shared" ref="A1419" si="5669">A1418</f>
        <v>N</v>
      </c>
      <c r="B1419" s="599"/>
      <c r="C1419" s="599"/>
      <c r="D1419" s="118" t="s">
        <v>1444</v>
      </c>
      <c r="E1419" s="918"/>
      <c r="F1419" s="848"/>
      <c r="G1419" s="40"/>
      <c r="H1419" s="603" t="s">
        <v>38</v>
      </c>
      <c r="I1419" s="504">
        <v>0</v>
      </c>
      <c r="J1419" s="850"/>
      <c r="K1419" s="40"/>
      <c r="L1419" s="603" t="s">
        <v>38</v>
      </c>
      <c r="M1419" s="504">
        <f t="shared" si="5417"/>
        <v>0</v>
      </c>
      <c r="N1419" s="850"/>
      <c r="O1419" s="40"/>
      <c r="P1419" s="602">
        <v>0</v>
      </c>
      <c r="Q1419" s="602">
        <v>0</v>
      </c>
      <c r="R1419" s="602">
        <v>0</v>
      </c>
      <c r="S1419" s="602">
        <v>0</v>
      </c>
      <c r="T1419" s="602">
        <v>0</v>
      </c>
      <c r="U1419" s="602">
        <v>0</v>
      </c>
      <c r="V1419" s="602">
        <v>0</v>
      </c>
      <c r="W1419" s="40"/>
      <c r="X1419" s="504">
        <f t="shared" si="5409"/>
        <v>0</v>
      </c>
      <c r="Y1419" s="850"/>
      <c r="Z1419" s="40"/>
      <c r="AA1419" s="856"/>
      <c r="AB1419" s="856"/>
      <c r="AC1419" s="857"/>
      <c r="AD1419" s="920"/>
      <c r="AE1419" s="40"/>
      <c r="AF1419" s="856"/>
      <c r="AG1419" s="856"/>
      <c r="AH1419" s="857"/>
      <c r="AI1419" s="856"/>
      <c r="AJ1419" s="856"/>
      <c r="AK1419" s="856"/>
      <c r="AL1419" s="856"/>
      <c r="AM1419" s="850"/>
      <c r="AN1419" s="40"/>
      <c r="AO1419" s="882"/>
      <c r="AP1419" s="882"/>
      <c r="AV1419" s="4" t="str">
        <f t="shared" si="5668"/>
        <v>BDCC no Km 155+722 - Aterro 03</v>
      </c>
      <c r="AW1419" s="4" t="str">
        <f t="shared" si="5659"/>
        <v>3.1-BSTC DN 0,80m - Km 0+133 - acesso km 159+940 LD - Bueiro de Concreto - LE</v>
      </c>
      <c r="AX1419" s="4"/>
    </row>
    <row r="1420" spans="1:50" ht="15.6" customHeight="1" outlineLevel="2">
      <c r="A1420" s="604" t="str">
        <f t="shared" ref="A1420" si="5670">IF(SUM(P1420:V1421)&gt;0,"S","N")</f>
        <v>N</v>
      </c>
      <c r="B1420" s="599">
        <v>1064948</v>
      </c>
      <c r="C1420" s="599" t="s">
        <v>1745</v>
      </c>
      <c r="D1420" s="118" t="s">
        <v>1422</v>
      </c>
      <c r="E1420" s="917" t="s">
        <v>1746</v>
      </c>
      <c r="F1420" s="848" t="s">
        <v>1437</v>
      </c>
      <c r="G1420" s="40"/>
      <c r="H1420" s="600" t="s">
        <v>37</v>
      </c>
      <c r="I1420" s="504">
        <v>0</v>
      </c>
      <c r="J1420" s="849" t="str">
        <f t="shared" ref="J1420" si="5671">IFERROR((I1421/I1420),"-")</f>
        <v>-</v>
      </c>
      <c r="K1420" s="40"/>
      <c r="L1420" s="600" t="s">
        <v>37</v>
      </c>
      <c r="M1420" s="504">
        <f t="shared" si="5417"/>
        <v>0</v>
      </c>
      <c r="N1420" s="849" t="str">
        <f t="shared" ref="N1420" si="5672">IFERROR((M1421/M1420),"-")</f>
        <v>-</v>
      </c>
      <c r="O1420" s="40"/>
      <c r="P1420" s="601">
        <v>0</v>
      </c>
      <c r="Q1420" s="601">
        <v>0</v>
      </c>
      <c r="R1420" s="601">
        <v>0</v>
      </c>
      <c r="S1420" s="601">
        <v>0</v>
      </c>
      <c r="T1420" s="601">
        <v>0</v>
      </c>
      <c r="U1420" s="601">
        <v>0</v>
      </c>
      <c r="V1420" s="602">
        <v>0</v>
      </c>
      <c r="W1420" s="40"/>
      <c r="X1420" s="504">
        <f t="shared" si="5409"/>
        <v>0</v>
      </c>
      <c r="Y1420" s="849" t="str">
        <f t="shared" ref="Y1420" si="5673">IFERROR((X1421/X1420),"0")</f>
        <v>0</v>
      </c>
      <c r="Z1420" s="40"/>
      <c r="AA1420" s="855">
        <v>0</v>
      </c>
      <c r="AB1420" s="855">
        <v>0</v>
      </c>
      <c r="AC1420" s="858">
        <v>0</v>
      </c>
      <c r="AD1420" s="849" t="str">
        <f t="shared" ref="AD1420" si="5674">IFERROR((AC1420/AB1420),"-")</f>
        <v>-</v>
      </c>
      <c r="AE1420" s="40"/>
      <c r="AF1420" s="855">
        <v>0</v>
      </c>
      <c r="AG1420" s="855"/>
      <c r="AH1420" s="858">
        <v>0</v>
      </c>
      <c r="AI1420" s="855">
        <v>1</v>
      </c>
      <c r="AJ1420" s="855"/>
      <c r="AK1420" s="855">
        <f t="shared" ref="AK1420" si="5675">AF1420+AG1420+AH1420+AI1420+AJ1420+AC1420</f>
        <v>1</v>
      </c>
      <c r="AL1420" s="855">
        <v>1</v>
      </c>
      <c r="AM1420" s="849">
        <f t="shared" ref="AM1420" si="5676">IFERROR((AK1420/AL1420),"-")</f>
        <v>1</v>
      </c>
      <c r="AN1420" s="40"/>
      <c r="AO1420" s="855">
        <v>1</v>
      </c>
      <c r="AP1420" s="855">
        <f t="shared" ref="AP1420" si="5677">AO1420-AK1420</f>
        <v>0</v>
      </c>
      <c r="AV1420" s="4" t="str">
        <f t="shared" si="5668"/>
        <v>BDCC no Km 155+722 - Aterro 03</v>
      </c>
      <c r="AW1420" s="4" t="str">
        <f t="shared" si="5659"/>
        <v>3.1-BSTC DN 0,80m - Km 0+133 - acesso km 159+940 LD - Bueiro de Concreto - LD</v>
      </c>
      <c r="AX1420" s="4"/>
    </row>
    <row r="1421" spans="1:50" ht="15.6" customHeight="1" outlineLevel="2">
      <c r="A1421" s="604" t="str">
        <f t="shared" ref="A1421" si="5678">A1420</f>
        <v>N</v>
      </c>
      <c r="B1421" s="599"/>
      <c r="C1421" s="599"/>
      <c r="D1421" s="118" t="s">
        <v>1441</v>
      </c>
      <c r="E1421" s="918"/>
      <c r="F1421" s="848"/>
      <c r="G1421" s="40"/>
      <c r="H1421" s="603" t="s">
        <v>38</v>
      </c>
      <c r="I1421" s="504">
        <v>0</v>
      </c>
      <c r="J1421" s="850"/>
      <c r="K1421" s="40"/>
      <c r="L1421" s="603" t="s">
        <v>38</v>
      </c>
      <c r="M1421" s="504">
        <f t="shared" si="5417"/>
        <v>0</v>
      </c>
      <c r="N1421" s="850"/>
      <c r="O1421" s="40"/>
      <c r="P1421" s="602">
        <v>0</v>
      </c>
      <c r="Q1421" s="602">
        <v>0</v>
      </c>
      <c r="R1421" s="602">
        <v>0</v>
      </c>
      <c r="S1421" s="602">
        <v>0</v>
      </c>
      <c r="T1421" s="602">
        <v>0</v>
      </c>
      <c r="U1421" s="602">
        <v>0</v>
      </c>
      <c r="V1421" s="602">
        <v>0</v>
      </c>
      <c r="W1421" s="40"/>
      <c r="X1421" s="504">
        <f t="shared" si="5409"/>
        <v>0</v>
      </c>
      <c r="Y1421" s="850"/>
      <c r="Z1421" s="40"/>
      <c r="AA1421" s="856"/>
      <c r="AB1421" s="856"/>
      <c r="AC1421" s="857"/>
      <c r="AD1421" s="920"/>
      <c r="AE1421" s="40"/>
      <c r="AF1421" s="856"/>
      <c r="AG1421" s="856"/>
      <c r="AH1421" s="857"/>
      <c r="AI1421" s="856"/>
      <c r="AJ1421" s="856"/>
      <c r="AK1421" s="856"/>
      <c r="AL1421" s="856"/>
      <c r="AM1421" s="850"/>
      <c r="AN1421" s="40"/>
      <c r="AO1421" s="882"/>
      <c r="AP1421" s="882"/>
      <c r="AV1421" s="4" t="str">
        <f t="shared" si="5668"/>
        <v>BDCC no Km 155+722 - Aterro 03</v>
      </c>
      <c r="AW1421" s="4" t="str">
        <f t="shared" si="5659"/>
        <v>3.1-BSTC DN 0,80m - Km 0+133 - acesso km 159+940 LD - Bueiro de Concreto - LD</v>
      </c>
      <c r="AX1421" s="4"/>
    </row>
    <row r="1422" spans="1:50" ht="15.6" customHeight="1" outlineLevel="2">
      <c r="A1422" s="598" t="str">
        <f t="shared" ref="A1422" si="5679">IF(SUM(P1422:V1423)&gt;0,"S","N")</f>
        <v>N</v>
      </c>
      <c r="B1422" s="599">
        <v>1069443</v>
      </c>
      <c r="C1422" s="599" t="s">
        <v>1747</v>
      </c>
      <c r="D1422" s="118" t="s">
        <v>1416</v>
      </c>
      <c r="E1422" s="917" t="s">
        <v>1748</v>
      </c>
      <c r="F1422" s="848" t="s">
        <v>1437</v>
      </c>
      <c r="G1422" s="40"/>
      <c r="H1422" s="600" t="s">
        <v>37</v>
      </c>
      <c r="I1422" s="504">
        <v>0</v>
      </c>
      <c r="J1422" s="849" t="str">
        <f t="shared" ref="J1422" si="5680">IFERROR((I1423/I1422),"-")</f>
        <v>-</v>
      </c>
      <c r="K1422" s="40"/>
      <c r="L1422" s="600" t="s">
        <v>37</v>
      </c>
      <c r="M1422" s="504">
        <f t="shared" si="5417"/>
        <v>0</v>
      </c>
      <c r="N1422" s="849" t="str">
        <f t="shared" ref="N1422" si="5681">IFERROR((M1423/M1422),"-")</f>
        <v>-</v>
      </c>
      <c r="O1422" s="40"/>
      <c r="P1422" s="601">
        <v>0</v>
      </c>
      <c r="Q1422" s="601">
        <v>0</v>
      </c>
      <c r="R1422" s="601">
        <v>0</v>
      </c>
      <c r="S1422" s="601">
        <v>0</v>
      </c>
      <c r="T1422" s="601">
        <v>0</v>
      </c>
      <c r="U1422" s="601">
        <v>0</v>
      </c>
      <c r="V1422" s="602">
        <v>0</v>
      </c>
      <c r="W1422" s="40"/>
      <c r="X1422" s="504">
        <f t="shared" si="5409"/>
        <v>0</v>
      </c>
      <c r="Y1422" s="849" t="str">
        <f t="shared" ref="Y1422" si="5682">IFERROR((X1423/X1422),"0")</f>
        <v>0</v>
      </c>
      <c r="Z1422" s="40"/>
      <c r="AA1422" s="855">
        <v>0</v>
      </c>
      <c r="AB1422" s="855">
        <v>0</v>
      </c>
      <c r="AC1422" s="858">
        <v>0</v>
      </c>
      <c r="AD1422" s="849" t="str">
        <f t="shared" ref="AD1422" si="5683">IFERROR((AC1422/AB1422),"-")</f>
        <v>-</v>
      </c>
      <c r="AE1422" s="40"/>
      <c r="AF1422" s="855">
        <v>0</v>
      </c>
      <c r="AG1422" s="855"/>
      <c r="AH1422" s="858">
        <v>0</v>
      </c>
      <c r="AI1422" s="855"/>
      <c r="AJ1422" s="855"/>
      <c r="AK1422" s="855">
        <f t="shared" ref="AK1422" si="5684">AF1422+AG1422+AH1422+AI1422+AJ1422+AC1422</f>
        <v>0</v>
      </c>
      <c r="AL1422" s="855">
        <v>0</v>
      </c>
      <c r="AM1422" s="849" t="str">
        <f t="shared" ref="AM1422" si="5685">IFERROR((AK1422/AL1422),"-")</f>
        <v>-</v>
      </c>
      <c r="AN1422" s="40"/>
      <c r="AO1422" s="855">
        <v>1</v>
      </c>
      <c r="AP1422" s="855">
        <f t="shared" ref="AP1422" si="5686">AO1422-AK1422</f>
        <v>1</v>
      </c>
      <c r="AV1422" s="4" t="str">
        <f t="shared" si="5668"/>
        <v>BDCC no Km 155+722 - Aterro 03</v>
      </c>
      <c r="AW1422" s="4" t="str">
        <f t="shared" si="5659"/>
        <v>3.1-BDTC DN 1,0m - Km 0+399 - acesso km 154+757 LE - Bueiro de Concreto - LD</v>
      </c>
      <c r="AX1422" s="4"/>
    </row>
    <row r="1423" spans="1:50" ht="15.6" customHeight="1" outlineLevel="2">
      <c r="A1423" s="598" t="str">
        <f t="shared" ref="A1423" si="5687">A1422</f>
        <v>N</v>
      </c>
      <c r="B1423" s="599"/>
      <c r="C1423" s="599"/>
      <c r="D1423" s="118" t="s">
        <v>1441</v>
      </c>
      <c r="E1423" s="918"/>
      <c r="F1423" s="848"/>
      <c r="G1423" s="40"/>
      <c r="H1423" s="603" t="s">
        <v>38</v>
      </c>
      <c r="I1423" s="504">
        <v>0</v>
      </c>
      <c r="J1423" s="850"/>
      <c r="K1423" s="40"/>
      <c r="L1423" s="603" t="s">
        <v>38</v>
      </c>
      <c r="M1423" s="504">
        <f t="shared" si="5417"/>
        <v>0</v>
      </c>
      <c r="N1423" s="850"/>
      <c r="O1423" s="40"/>
      <c r="P1423" s="602">
        <v>0</v>
      </c>
      <c r="Q1423" s="602">
        <v>0</v>
      </c>
      <c r="R1423" s="602">
        <v>0</v>
      </c>
      <c r="S1423" s="602">
        <v>0</v>
      </c>
      <c r="T1423" s="602">
        <v>0</v>
      </c>
      <c r="U1423" s="602">
        <v>0</v>
      </c>
      <c r="V1423" s="602">
        <v>0</v>
      </c>
      <c r="W1423" s="40"/>
      <c r="X1423" s="504">
        <f t="shared" si="5409"/>
        <v>0</v>
      </c>
      <c r="Y1423" s="850"/>
      <c r="Z1423" s="40"/>
      <c r="AA1423" s="856"/>
      <c r="AB1423" s="856"/>
      <c r="AC1423" s="857"/>
      <c r="AD1423" s="920"/>
      <c r="AE1423" s="40"/>
      <c r="AF1423" s="856"/>
      <c r="AG1423" s="856"/>
      <c r="AH1423" s="857"/>
      <c r="AI1423" s="856"/>
      <c r="AJ1423" s="856"/>
      <c r="AK1423" s="856"/>
      <c r="AL1423" s="856"/>
      <c r="AM1423" s="850"/>
      <c r="AN1423" s="40"/>
      <c r="AO1423" s="882"/>
      <c r="AP1423" s="882"/>
      <c r="AV1423" t="str">
        <f t="shared" si="5668"/>
        <v>BDCC no Km 155+722 - Aterro 03</v>
      </c>
      <c r="AW1423" s="4" t="str">
        <f t="shared" si="5659"/>
        <v>3.1-BDTC DN 1,0m - Km 0+399 - acesso km 154+757 LE - Bueiro de Concreto - LD</v>
      </c>
    </row>
    <row r="1424" spans="1:50" ht="15.6" customHeight="1" outlineLevel="2">
      <c r="A1424" s="598" t="str">
        <f t="shared" ref="A1424" si="5688">IF(SUM(P1424:V1425)&gt;0,"S","N")</f>
        <v>N</v>
      </c>
      <c r="B1424" s="599">
        <v>1069444</v>
      </c>
      <c r="C1424" s="599" t="s">
        <v>1749</v>
      </c>
      <c r="D1424" s="118" t="s">
        <v>1418</v>
      </c>
      <c r="E1424" s="917" t="s">
        <v>1750</v>
      </c>
      <c r="F1424" s="848" t="s">
        <v>1437</v>
      </c>
      <c r="G1424" s="40"/>
      <c r="H1424" s="600" t="s">
        <v>37</v>
      </c>
      <c r="I1424" s="504">
        <v>0</v>
      </c>
      <c r="J1424" s="849" t="str">
        <f t="shared" ref="J1424" si="5689">IFERROR((I1425/I1424),"-")</f>
        <v>-</v>
      </c>
      <c r="K1424" s="40"/>
      <c r="L1424" s="600" t="s">
        <v>37</v>
      </c>
      <c r="M1424" s="504">
        <f t="shared" si="5417"/>
        <v>0</v>
      </c>
      <c r="N1424" s="849" t="str">
        <f t="shared" ref="N1424" si="5690">IFERROR((M1425/M1424),"-")</f>
        <v>-</v>
      </c>
      <c r="O1424" s="40"/>
      <c r="P1424" s="601">
        <v>0</v>
      </c>
      <c r="Q1424" s="601">
        <v>0</v>
      </c>
      <c r="R1424" s="601">
        <v>0</v>
      </c>
      <c r="S1424" s="601">
        <v>0</v>
      </c>
      <c r="T1424" s="601">
        <v>0</v>
      </c>
      <c r="U1424" s="601">
        <v>0</v>
      </c>
      <c r="V1424" s="602">
        <v>0</v>
      </c>
      <c r="W1424" s="40"/>
      <c r="X1424" s="504">
        <f t="shared" si="5409"/>
        <v>0</v>
      </c>
      <c r="Y1424" s="849" t="str">
        <f t="shared" ref="Y1424" si="5691">IFERROR((X1425/X1424),"0")</f>
        <v>0</v>
      </c>
      <c r="Z1424" s="40"/>
      <c r="AA1424" s="855">
        <v>0</v>
      </c>
      <c r="AB1424" s="855">
        <v>0</v>
      </c>
      <c r="AC1424" s="858">
        <v>0</v>
      </c>
      <c r="AD1424" s="849" t="str">
        <f t="shared" ref="AD1424" si="5692">IFERROR((AC1424/AB1424),"-")</f>
        <v>-</v>
      </c>
      <c r="AE1424" s="40"/>
      <c r="AF1424" s="855">
        <v>0</v>
      </c>
      <c r="AG1424" s="855"/>
      <c r="AH1424" s="858">
        <v>0</v>
      </c>
      <c r="AI1424" s="855">
        <v>1</v>
      </c>
      <c r="AJ1424" s="855"/>
      <c r="AK1424" s="855">
        <f t="shared" ref="AK1424" si="5693">AF1424+AG1424+AH1424+AI1424+AJ1424+AC1424</f>
        <v>1</v>
      </c>
      <c r="AL1424" s="855">
        <v>1</v>
      </c>
      <c r="AM1424" s="849">
        <f t="shared" ref="AM1424" si="5694">IFERROR((AK1424/AL1424),"-")</f>
        <v>1</v>
      </c>
      <c r="AN1424" s="40"/>
      <c r="AO1424" s="855">
        <v>1</v>
      </c>
      <c r="AP1424" s="855">
        <f t="shared" ref="AP1424" si="5695">AO1424-AK1424</f>
        <v>0</v>
      </c>
      <c r="AV1424" t="str">
        <f t="shared" si="5668"/>
        <v>BDCC no Km 155+722 - Aterro 03</v>
      </c>
      <c r="AW1424" s="4" t="str">
        <f t="shared" si="5659"/>
        <v>3.1-BSTC DN 1,2m - Km 0+436 - acesso km 154+757 LD - Bueiro de Concreto - LD</v>
      </c>
    </row>
    <row r="1425" spans="1:50" ht="15.6" customHeight="1" outlineLevel="2">
      <c r="A1425" s="598" t="str">
        <f t="shared" ref="A1425" si="5696">A1424</f>
        <v>N</v>
      </c>
      <c r="B1425" s="599"/>
      <c r="C1425" s="599"/>
      <c r="D1425" s="118" t="s">
        <v>1441</v>
      </c>
      <c r="E1425" s="918"/>
      <c r="F1425" s="848"/>
      <c r="G1425" s="40"/>
      <c r="H1425" s="603" t="s">
        <v>38</v>
      </c>
      <c r="I1425" s="504">
        <v>0</v>
      </c>
      <c r="J1425" s="850"/>
      <c r="K1425" s="40"/>
      <c r="L1425" s="603" t="s">
        <v>38</v>
      </c>
      <c r="M1425" s="504">
        <f t="shared" si="5417"/>
        <v>0</v>
      </c>
      <c r="N1425" s="850"/>
      <c r="O1425" s="40"/>
      <c r="P1425" s="602">
        <v>0</v>
      </c>
      <c r="Q1425" s="602">
        <v>0</v>
      </c>
      <c r="R1425" s="602">
        <v>0</v>
      </c>
      <c r="S1425" s="602">
        <v>0</v>
      </c>
      <c r="T1425" s="602">
        <v>0</v>
      </c>
      <c r="U1425" s="602">
        <v>0</v>
      </c>
      <c r="V1425" s="602">
        <v>0</v>
      </c>
      <c r="W1425" s="40"/>
      <c r="X1425" s="504">
        <f t="shared" si="5409"/>
        <v>0</v>
      </c>
      <c r="Y1425" s="850"/>
      <c r="Z1425" s="40"/>
      <c r="AA1425" s="856"/>
      <c r="AB1425" s="856"/>
      <c r="AC1425" s="857"/>
      <c r="AD1425" s="920"/>
      <c r="AE1425" s="40"/>
      <c r="AF1425" s="856"/>
      <c r="AG1425" s="856"/>
      <c r="AH1425" s="857"/>
      <c r="AI1425" s="856"/>
      <c r="AJ1425" s="856"/>
      <c r="AK1425" s="856"/>
      <c r="AL1425" s="856"/>
      <c r="AM1425" s="850"/>
      <c r="AN1425" s="40"/>
      <c r="AO1425" s="882"/>
      <c r="AP1425" s="882"/>
      <c r="AV1425" t="str">
        <f t="shared" si="5668"/>
        <v>BDCC no Km 155+722 - Aterro 03</v>
      </c>
      <c r="AW1425" s="4" t="str">
        <f t="shared" si="5659"/>
        <v>3.1-BSTC DN 1,2m - Km 0+436 - acesso km 154+757 LD - Bueiro de Concreto - LD</v>
      </c>
    </row>
    <row r="1426" spans="1:50" ht="26.65" customHeight="1" outlineLevel="2">
      <c r="A1426" s="598" t="str">
        <f t="shared" ref="A1426" si="5697">IF(SUM(P1426:V1427)&gt;0,"S","N")</f>
        <v>N</v>
      </c>
      <c r="B1426" s="599">
        <v>1069938</v>
      </c>
      <c r="C1426" s="599" t="s">
        <v>1751</v>
      </c>
      <c r="D1426" s="118" t="s">
        <v>1428</v>
      </c>
      <c r="E1426" s="917" t="s">
        <v>1752</v>
      </c>
      <c r="F1426" s="848" t="s">
        <v>1437</v>
      </c>
      <c r="G1426" s="40"/>
      <c r="H1426" s="600" t="s">
        <v>37</v>
      </c>
      <c r="I1426" s="504">
        <v>0</v>
      </c>
      <c r="J1426" s="849" t="str">
        <f t="shared" ref="J1426" si="5698">IFERROR((I1427/I1426),"-")</f>
        <v>-</v>
      </c>
      <c r="K1426" s="40"/>
      <c r="L1426" s="600" t="s">
        <v>37</v>
      </c>
      <c r="M1426" s="504">
        <f t="shared" si="5417"/>
        <v>0</v>
      </c>
      <c r="N1426" s="849" t="str">
        <f t="shared" ref="N1426" si="5699">IFERROR((M1427/M1426),"-")</f>
        <v>-</v>
      </c>
      <c r="O1426" s="40"/>
      <c r="P1426" s="601">
        <v>0</v>
      </c>
      <c r="Q1426" s="601">
        <v>0</v>
      </c>
      <c r="R1426" s="601">
        <v>0</v>
      </c>
      <c r="S1426" s="601">
        <v>0</v>
      </c>
      <c r="T1426" s="601">
        <v>0</v>
      </c>
      <c r="U1426" s="601">
        <v>0</v>
      </c>
      <c r="V1426" s="602">
        <v>0</v>
      </c>
      <c r="W1426" s="40"/>
      <c r="X1426" s="504">
        <f t="shared" ref="X1426:X1437" si="5700">SUMIFS(P1426:V1426,$P$8:$V$8,"&gt;="&amp;$P$8,$P$8:$V$8,"&lt;="&amp;$N$8)</f>
        <v>0</v>
      </c>
      <c r="Y1426" s="849" t="str">
        <f t="shared" ref="Y1426" si="5701">IFERROR((X1427/X1426),"0")</f>
        <v>0</v>
      </c>
      <c r="Z1426" s="40"/>
      <c r="AA1426" s="855">
        <v>0</v>
      </c>
      <c r="AB1426" s="855">
        <v>0</v>
      </c>
      <c r="AC1426" s="858">
        <v>0</v>
      </c>
      <c r="AD1426" s="849" t="str">
        <f t="shared" ref="AD1426" si="5702">IFERROR((AC1426/AB1426),"-")</f>
        <v>-</v>
      </c>
      <c r="AE1426" s="40"/>
      <c r="AF1426" s="855">
        <v>0</v>
      </c>
      <c r="AG1426" s="855"/>
      <c r="AH1426" s="858">
        <v>0</v>
      </c>
      <c r="AI1426" s="855"/>
      <c r="AJ1426" s="855">
        <v>1</v>
      </c>
      <c r="AK1426" s="855">
        <f t="shared" ref="AK1426" si="5703">AF1426+AG1426+AH1426+AI1426+AJ1426+AC1426</f>
        <v>1</v>
      </c>
      <c r="AL1426" s="855">
        <v>0.99</v>
      </c>
      <c r="AM1426" s="849">
        <f t="shared" ref="AM1426" si="5704">IFERROR((AK1426/AL1426),"-")</f>
        <v>1.0101010101010102</v>
      </c>
      <c r="AN1426" s="40"/>
      <c r="AO1426" s="855">
        <v>1</v>
      </c>
      <c r="AP1426" s="855">
        <f t="shared" ref="AP1426" si="5705">AO1426-AK1426</f>
        <v>0</v>
      </c>
      <c r="AV1426" s="4" t="str">
        <f t="shared" si="5668"/>
        <v>BDCC no Km 155+722 - Aterro 03</v>
      </c>
      <c r="AW1426" s="4" t="str">
        <f t="shared" si="5659"/>
        <v>BSTC 0,80m - CONEXÃO 3 - PATIO GO-164 - km 0+352 - LE</v>
      </c>
      <c r="AX1426" s="4"/>
    </row>
    <row r="1427" spans="1:50" ht="26.65" customHeight="1" outlineLevel="2">
      <c r="A1427" s="598" t="str">
        <f t="shared" ref="A1427" si="5706">A1426</f>
        <v>N</v>
      </c>
      <c r="B1427" s="599"/>
      <c r="C1427" s="599"/>
      <c r="D1427" s="118" t="s">
        <v>1444</v>
      </c>
      <c r="E1427" s="918"/>
      <c r="F1427" s="848"/>
      <c r="G1427" s="40"/>
      <c r="H1427" s="603" t="s">
        <v>38</v>
      </c>
      <c r="I1427" s="504">
        <v>0</v>
      </c>
      <c r="J1427" s="850"/>
      <c r="K1427" s="40"/>
      <c r="L1427" s="603" t="s">
        <v>38</v>
      </c>
      <c r="M1427" s="504">
        <f t="shared" si="5417"/>
        <v>0</v>
      </c>
      <c r="N1427" s="850"/>
      <c r="O1427" s="40"/>
      <c r="P1427" s="602">
        <v>0</v>
      </c>
      <c r="Q1427" s="602">
        <v>0</v>
      </c>
      <c r="R1427" s="602">
        <v>0</v>
      </c>
      <c r="S1427" s="602">
        <v>0</v>
      </c>
      <c r="T1427" s="602">
        <v>0</v>
      </c>
      <c r="U1427" s="602">
        <v>0</v>
      </c>
      <c r="V1427" s="602">
        <v>0</v>
      </c>
      <c r="W1427" s="40"/>
      <c r="X1427" s="504">
        <f t="shared" si="5700"/>
        <v>0</v>
      </c>
      <c r="Y1427" s="850"/>
      <c r="Z1427" s="40"/>
      <c r="AA1427" s="856"/>
      <c r="AB1427" s="856"/>
      <c r="AC1427" s="857"/>
      <c r="AD1427" s="920"/>
      <c r="AE1427" s="40"/>
      <c r="AF1427" s="856"/>
      <c r="AG1427" s="856"/>
      <c r="AH1427" s="857"/>
      <c r="AI1427" s="856"/>
      <c r="AJ1427" s="856"/>
      <c r="AK1427" s="856"/>
      <c r="AL1427" s="856"/>
      <c r="AM1427" s="850"/>
      <c r="AN1427" s="40"/>
      <c r="AO1427" s="882"/>
      <c r="AP1427" s="882"/>
      <c r="AV1427" t="str">
        <f t="shared" si="5668"/>
        <v>BDCC no Km 155+722 - Aterro 03</v>
      </c>
      <c r="AW1427" s="4" t="str">
        <f t="shared" si="5659"/>
        <v>BSTC 0,80m - CONEXÃO 3 - PATIO GO-164 - km 0+352 - LE</v>
      </c>
    </row>
    <row r="1428" spans="1:50" ht="15.6" customHeight="1" outlineLevel="2">
      <c r="A1428" s="598" t="str">
        <f t="shared" ref="A1428" si="5707">IF(SUM(P1428:V1429)&gt;0,"S","N")</f>
        <v>N</v>
      </c>
      <c r="B1428" s="599">
        <v>1069942</v>
      </c>
      <c r="C1428" s="599" t="s">
        <v>1753</v>
      </c>
      <c r="D1428" s="118" t="s">
        <v>1428</v>
      </c>
      <c r="E1428" s="917" t="s">
        <v>1754</v>
      </c>
      <c r="F1428" s="848" t="s">
        <v>1437</v>
      </c>
      <c r="G1428" s="40"/>
      <c r="H1428" s="600" t="s">
        <v>37</v>
      </c>
      <c r="I1428" s="504">
        <v>0</v>
      </c>
      <c r="J1428" s="849" t="str">
        <f t="shared" ref="J1428" si="5708">IFERROR((I1429/I1428),"-")</f>
        <v>-</v>
      </c>
      <c r="K1428" s="40"/>
      <c r="L1428" s="600" t="s">
        <v>37</v>
      </c>
      <c r="M1428" s="504">
        <f t="shared" ref="M1428:M1437" si="5709">_xlfn.XLOOKUP($N$8,$P$8:$V$8,$P1428:$V1428)</f>
        <v>0</v>
      </c>
      <c r="N1428" s="849" t="str">
        <f t="shared" ref="N1428" si="5710">IFERROR((M1429/M1428),"-")</f>
        <v>-</v>
      </c>
      <c r="O1428" s="40"/>
      <c r="P1428" s="601">
        <v>0</v>
      </c>
      <c r="Q1428" s="601">
        <v>0</v>
      </c>
      <c r="R1428" s="601">
        <v>0</v>
      </c>
      <c r="S1428" s="601">
        <v>0</v>
      </c>
      <c r="T1428" s="601">
        <v>0</v>
      </c>
      <c r="U1428" s="601">
        <v>0</v>
      </c>
      <c r="V1428" s="602">
        <v>0</v>
      </c>
      <c r="W1428" s="40"/>
      <c r="X1428" s="504">
        <f t="shared" si="5700"/>
        <v>0</v>
      </c>
      <c r="Y1428" s="849" t="str">
        <f t="shared" ref="Y1428" si="5711">IFERROR((X1429/X1428),"0")</f>
        <v>0</v>
      </c>
      <c r="Z1428" s="40"/>
      <c r="AA1428" s="855">
        <v>0</v>
      </c>
      <c r="AB1428" s="855">
        <v>0</v>
      </c>
      <c r="AC1428" s="858">
        <v>0</v>
      </c>
      <c r="AD1428" s="849" t="str">
        <f t="shared" ref="AD1428" si="5712">IFERROR((AC1428/AB1428),"-")</f>
        <v>-</v>
      </c>
      <c r="AE1428" s="40"/>
      <c r="AF1428" s="855">
        <v>0</v>
      </c>
      <c r="AG1428" s="855"/>
      <c r="AH1428" s="858">
        <v>0</v>
      </c>
      <c r="AI1428" s="855"/>
      <c r="AJ1428" s="855">
        <v>1</v>
      </c>
      <c r="AK1428" s="855">
        <f t="shared" ref="AK1428" si="5713">AF1428+AG1428+AH1428+AI1428+AJ1428+AC1428</f>
        <v>1</v>
      </c>
      <c r="AL1428" s="855">
        <v>1</v>
      </c>
      <c r="AM1428" s="849">
        <f t="shared" ref="AM1428" si="5714">IFERROR((AK1428/AL1428),"-")</f>
        <v>1</v>
      </c>
      <c r="AN1428" s="40"/>
      <c r="AO1428" s="855">
        <v>1</v>
      </c>
      <c r="AP1428" s="855">
        <f t="shared" ref="AP1428" si="5715">AO1428-AK1428</f>
        <v>0</v>
      </c>
      <c r="AV1428" t="str">
        <f t="shared" si="5668"/>
        <v>BDCC no Km 155+722 - Aterro 03</v>
      </c>
      <c r="AW1428" s="4" t="str">
        <f t="shared" si="5659"/>
        <v xml:space="preserve">BSTC 0,80m - CONEXÃO 3 - PATIO GO-164 - km 0+352- LD </v>
      </c>
    </row>
    <row r="1429" spans="1:50" ht="15.6" customHeight="1" outlineLevel="2">
      <c r="A1429" s="598" t="str">
        <f t="shared" ref="A1429" si="5716">A1428</f>
        <v>N</v>
      </c>
      <c r="B1429" s="599"/>
      <c r="C1429" s="599"/>
      <c r="D1429" s="118" t="s">
        <v>1441</v>
      </c>
      <c r="E1429" s="918"/>
      <c r="F1429" s="848"/>
      <c r="G1429" s="40"/>
      <c r="H1429" s="603" t="s">
        <v>38</v>
      </c>
      <c r="I1429" s="504">
        <v>0</v>
      </c>
      <c r="J1429" s="850"/>
      <c r="K1429" s="40"/>
      <c r="L1429" s="603" t="s">
        <v>38</v>
      </c>
      <c r="M1429" s="504">
        <f t="shared" si="5709"/>
        <v>0</v>
      </c>
      <c r="N1429" s="850"/>
      <c r="O1429" s="40"/>
      <c r="P1429" s="602">
        <v>0</v>
      </c>
      <c r="Q1429" s="602">
        <v>0</v>
      </c>
      <c r="R1429" s="602">
        <v>0</v>
      </c>
      <c r="S1429" s="602">
        <v>0</v>
      </c>
      <c r="T1429" s="602">
        <v>0</v>
      </c>
      <c r="U1429" s="602">
        <v>0</v>
      </c>
      <c r="V1429" s="602">
        <v>0</v>
      </c>
      <c r="W1429" s="40"/>
      <c r="X1429" s="504">
        <f t="shared" si="5700"/>
        <v>0</v>
      </c>
      <c r="Y1429" s="850"/>
      <c r="Z1429" s="40"/>
      <c r="AA1429" s="856"/>
      <c r="AB1429" s="856"/>
      <c r="AC1429" s="857"/>
      <c r="AD1429" s="920"/>
      <c r="AE1429" s="40"/>
      <c r="AF1429" s="856"/>
      <c r="AG1429" s="856"/>
      <c r="AH1429" s="857"/>
      <c r="AI1429" s="856"/>
      <c r="AJ1429" s="856"/>
      <c r="AK1429" s="856"/>
      <c r="AL1429" s="856"/>
      <c r="AM1429" s="850"/>
      <c r="AN1429" s="40"/>
      <c r="AO1429" s="882"/>
      <c r="AP1429" s="882"/>
      <c r="AV1429" t="str">
        <f t="shared" si="5668"/>
        <v>BDCC no Km 155+722 - Aterro 03</v>
      </c>
      <c r="AW1429" s="4" t="str">
        <f t="shared" si="5659"/>
        <v xml:space="preserve">BSTC 0,80m - CONEXÃO 3 - PATIO GO-164 - km 0+352- LD </v>
      </c>
    </row>
    <row r="1430" spans="1:50" ht="15.6" customHeight="1" outlineLevel="2">
      <c r="A1430" s="598" t="str">
        <f t="shared" ref="A1430" si="5717">IF(SUM(P1430:V1431)&gt;0,"S","N")</f>
        <v>N</v>
      </c>
      <c r="B1430" s="599">
        <v>1069947</v>
      </c>
      <c r="C1430" s="599" t="s">
        <v>1755</v>
      </c>
      <c r="D1430" s="118" t="s">
        <v>1430</v>
      </c>
      <c r="E1430" s="917" t="s">
        <v>1756</v>
      </c>
      <c r="F1430" s="848" t="s">
        <v>1437</v>
      </c>
      <c r="G1430" s="40"/>
      <c r="H1430" s="600" t="s">
        <v>37</v>
      </c>
      <c r="I1430" s="504">
        <v>0</v>
      </c>
      <c r="J1430" s="849" t="str">
        <f t="shared" ref="J1430" si="5718">IFERROR((I1431/I1430),"-")</f>
        <v>-</v>
      </c>
      <c r="K1430" s="40"/>
      <c r="L1430" s="600" t="s">
        <v>37</v>
      </c>
      <c r="M1430" s="504">
        <f t="shared" si="5709"/>
        <v>0</v>
      </c>
      <c r="N1430" s="849" t="str">
        <f t="shared" ref="N1430" si="5719">IFERROR((M1431/M1430),"-")</f>
        <v>-</v>
      </c>
      <c r="O1430" s="40"/>
      <c r="P1430" s="601">
        <v>0</v>
      </c>
      <c r="Q1430" s="601">
        <v>0</v>
      </c>
      <c r="R1430" s="601">
        <v>0</v>
      </c>
      <c r="S1430" s="601">
        <v>0</v>
      </c>
      <c r="T1430" s="601">
        <v>0</v>
      </c>
      <c r="U1430" s="601">
        <v>0</v>
      </c>
      <c r="V1430" s="602">
        <v>0</v>
      </c>
      <c r="W1430" s="40"/>
      <c r="X1430" s="504">
        <f t="shared" si="5700"/>
        <v>0</v>
      </c>
      <c r="Y1430" s="849" t="str">
        <f t="shared" ref="Y1430" si="5720">IFERROR((X1431/X1430),"0")</f>
        <v>0</v>
      </c>
      <c r="Z1430" s="40"/>
      <c r="AA1430" s="855">
        <v>0</v>
      </c>
      <c r="AB1430" s="855">
        <v>0</v>
      </c>
      <c r="AC1430" s="858">
        <v>0</v>
      </c>
      <c r="AD1430" s="849" t="str">
        <f t="shared" ref="AD1430" si="5721">IFERROR((AC1430/AB1430),"-")</f>
        <v>-</v>
      </c>
      <c r="AE1430" s="40"/>
      <c r="AF1430" s="855">
        <v>0</v>
      </c>
      <c r="AG1430" s="855"/>
      <c r="AH1430" s="858">
        <v>0</v>
      </c>
      <c r="AI1430" s="855"/>
      <c r="AJ1430" s="855">
        <v>1</v>
      </c>
      <c r="AK1430" s="855">
        <f t="shared" ref="AK1430" si="5722">AF1430+AG1430+AH1430+AI1430+AJ1430+AC1430</f>
        <v>1</v>
      </c>
      <c r="AL1430" s="855">
        <v>1.0000000000000002</v>
      </c>
      <c r="AM1430" s="849">
        <f t="shared" ref="AM1430" si="5723">IFERROR((AK1430/AL1430),"-")</f>
        <v>0.99999999999999978</v>
      </c>
      <c r="AN1430" s="40"/>
      <c r="AO1430" s="855">
        <v>1</v>
      </c>
      <c r="AP1430" s="855">
        <f t="shared" ref="AP1430" si="5724">AO1430-AK1430</f>
        <v>0</v>
      </c>
      <c r="AV1430" t="str">
        <f t="shared" si="5668"/>
        <v>BDCC no Km 155+722 - Aterro 03</v>
      </c>
      <c r="AW1430" s="4" t="str">
        <f t="shared" si="5659"/>
        <v>BSTC 0,80m - RETORNO 1 - PATIO GO-164 - km 0+47 - LD</v>
      </c>
    </row>
    <row r="1431" spans="1:50" ht="15.6" customHeight="1" outlineLevel="2">
      <c r="A1431" s="598" t="str">
        <f t="shared" ref="A1431" si="5725">A1430</f>
        <v>N</v>
      </c>
      <c r="B1431" s="599"/>
      <c r="C1431" s="599"/>
      <c r="D1431" s="118" t="s">
        <v>1441</v>
      </c>
      <c r="E1431" s="918"/>
      <c r="F1431" s="848"/>
      <c r="G1431" s="40"/>
      <c r="H1431" s="603" t="s">
        <v>38</v>
      </c>
      <c r="I1431" s="504">
        <v>0</v>
      </c>
      <c r="J1431" s="850"/>
      <c r="K1431" s="40"/>
      <c r="L1431" s="603" t="s">
        <v>38</v>
      </c>
      <c r="M1431" s="504">
        <f t="shared" si="5709"/>
        <v>0</v>
      </c>
      <c r="N1431" s="850"/>
      <c r="O1431" s="40"/>
      <c r="P1431" s="602">
        <v>0</v>
      </c>
      <c r="Q1431" s="602">
        <v>0</v>
      </c>
      <c r="R1431" s="602">
        <v>0</v>
      </c>
      <c r="S1431" s="602">
        <v>0</v>
      </c>
      <c r="T1431" s="602">
        <v>0</v>
      </c>
      <c r="U1431" s="602">
        <v>0</v>
      </c>
      <c r="V1431" s="602">
        <v>0</v>
      </c>
      <c r="W1431" s="40"/>
      <c r="X1431" s="504">
        <f t="shared" si="5700"/>
        <v>0</v>
      </c>
      <c r="Y1431" s="850"/>
      <c r="Z1431" s="40"/>
      <c r="AA1431" s="856"/>
      <c r="AB1431" s="856"/>
      <c r="AC1431" s="857"/>
      <c r="AD1431" s="920"/>
      <c r="AE1431" s="40"/>
      <c r="AF1431" s="856"/>
      <c r="AG1431" s="856"/>
      <c r="AH1431" s="857"/>
      <c r="AI1431" s="856"/>
      <c r="AJ1431" s="856"/>
      <c r="AK1431" s="856"/>
      <c r="AL1431" s="856"/>
      <c r="AM1431" s="850"/>
      <c r="AN1431" s="40"/>
      <c r="AO1431" s="882"/>
      <c r="AP1431" s="882"/>
      <c r="AV1431" t="str">
        <f t="shared" si="5668"/>
        <v>BDCC no Km 155+722 - Aterro 03</v>
      </c>
      <c r="AW1431" s="4" t="str">
        <f t="shared" si="5659"/>
        <v>BSTC 0,80m - RETORNO 1 - PATIO GO-164 - km 0+47 - LD</v>
      </c>
    </row>
    <row r="1432" spans="1:50" ht="15.6" customHeight="1" outlineLevel="2">
      <c r="A1432" s="598" t="str">
        <f t="shared" ref="A1432" si="5726">IF(SUM(P1432:V1433)&gt;0,"S","N")</f>
        <v>N</v>
      </c>
      <c r="B1432" s="599">
        <v>1069948</v>
      </c>
      <c r="C1432" s="599" t="s">
        <v>1757</v>
      </c>
      <c r="D1432" s="118" t="s">
        <v>1430</v>
      </c>
      <c r="E1432" s="917" t="s">
        <v>1758</v>
      </c>
      <c r="F1432" s="848" t="s">
        <v>1437</v>
      </c>
      <c r="G1432" s="40"/>
      <c r="H1432" s="600" t="s">
        <v>37</v>
      </c>
      <c r="I1432" s="504">
        <v>0</v>
      </c>
      <c r="J1432" s="849" t="str">
        <f t="shared" ref="J1432" si="5727">IFERROR((I1433/I1432),"-")</f>
        <v>-</v>
      </c>
      <c r="K1432" s="40"/>
      <c r="L1432" s="600" t="s">
        <v>37</v>
      </c>
      <c r="M1432" s="504">
        <f t="shared" si="5709"/>
        <v>0</v>
      </c>
      <c r="N1432" s="849" t="str">
        <f t="shared" ref="N1432" si="5728">IFERROR((M1433/M1432),"-")</f>
        <v>-</v>
      </c>
      <c r="O1432" s="40"/>
      <c r="P1432" s="601">
        <v>0</v>
      </c>
      <c r="Q1432" s="601">
        <v>0</v>
      </c>
      <c r="R1432" s="601">
        <v>0</v>
      </c>
      <c r="S1432" s="601">
        <v>0</v>
      </c>
      <c r="T1432" s="601">
        <v>0</v>
      </c>
      <c r="U1432" s="601">
        <v>0</v>
      </c>
      <c r="V1432" s="602">
        <v>0</v>
      </c>
      <c r="W1432" s="40"/>
      <c r="X1432" s="504">
        <f t="shared" si="5700"/>
        <v>0</v>
      </c>
      <c r="Y1432" s="849" t="str">
        <f t="shared" ref="Y1432" si="5729">IFERROR((X1433/X1432),"0")</f>
        <v>0</v>
      </c>
      <c r="Z1432" s="40"/>
      <c r="AA1432" s="855">
        <v>0</v>
      </c>
      <c r="AB1432" s="855">
        <v>0</v>
      </c>
      <c r="AC1432" s="858">
        <v>0</v>
      </c>
      <c r="AD1432" s="849" t="str">
        <f t="shared" ref="AD1432" si="5730">IFERROR((AC1432/AB1432),"-")</f>
        <v>-</v>
      </c>
      <c r="AE1432" s="40"/>
      <c r="AF1432" s="855">
        <v>0</v>
      </c>
      <c r="AG1432" s="855"/>
      <c r="AH1432" s="858">
        <v>0</v>
      </c>
      <c r="AI1432" s="855"/>
      <c r="AJ1432" s="855">
        <v>1</v>
      </c>
      <c r="AK1432" s="855">
        <f t="shared" ref="AK1432" si="5731">AF1432+AG1432+AH1432+AI1432+AJ1432+AC1432</f>
        <v>1</v>
      </c>
      <c r="AL1432" s="855">
        <v>1</v>
      </c>
      <c r="AM1432" s="849">
        <f t="shared" ref="AM1432" si="5732">IFERROR((AK1432/AL1432),"-")</f>
        <v>1</v>
      </c>
      <c r="AN1432" s="40"/>
      <c r="AO1432" s="855">
        <v>1</v>
      </c>
      <c r="AP1432" s="855">
        <f t="shared" ref="AP1432" si="5733">AO1432-AK1432</f>
        <v>0</v>
      </c>
      <c r="AV1432" s="4" t="str">
        <f t="shared" si="5668"/>
        <v>BDCC no Km 155+722 - Aterro 03</v>
      </c>
      <c r="AW1432" s="4" t="str">
        <f t="shared" si="5659"/>
        <v>BSTC 0,80m - RETORNO 1 - PATIO GO-164 - km 0+47 - LE</v>
      </c>
      <c r="AX1432" s="4"/>
    </row>
    <row r="1433" spans="1:50" ht="15.6" customHeight="1" outlineLevel="2">
      <c r="A1433" s="598" t="str">
        <f t="shared" ref="A1433" si="5734">A1432</f>
        <v>N</v>
      </c>
      <c r="B1433" s="599"/>
      <c r="C1433" s="599"/>
      <c r="D1433" s="118" t="s">
        <v>1444</v>
      </c>
      <c r="E1433" s="918"/>
      <c r="F1433" s="848"/>
      <c r="G1433" s="40"/>
      <c r="H1433" s="603" t="s">
        <v>38</v>
      </c>
      <c r="I1433" s="504">
        <v>0</v>
      </c>
      <c r="J1433" s="850"/>
      <c r="K1433" s="40"/>
      <c r="L1433" s="603" t="s">
        <v>38</v>
      </c>
      <c r="M1433" s="504">
        <f t="shared" si="5709"/>
        <v>0</v>
      </c>
      <c r="N1433" s="850"/>
      <c r="O1433" s="40"/>
      <c r="P1433" s="602">
        <v>0</v>
      </c>
      <c r="Q1433" s="602">
        <v>0</v>
      </c>
      <c r="R1433" s="602">
        <v>0</v>
      </c>
      <c r="S1433" s="602">
        <v>0</v>
      </c>
      <c r="T1433" s="602">
        <v>0</v>
      </c>
      <c r="U1433" s="602">
        <v>0</v>
      </c>
      <c r="V1433" s="602">
        <v>0</v>
      </c>
      <c r="W1433" s="40"/>
      <c r="X1433" s="504">
        <f t="shared" si="5700"/>
        <v>0</v>
      </c>
      <c r="Y1433" s="850"/>
      <c r="Z1433" s="40"/>
      <c r="AA1433" s="856"/>
      <c r="AB1433" s="856"/>
      <c r="AC1433" s="857"/>
      <c r="AD1433" s="920"/>
      <c r="AE1433" s="40"/>
      <c r="AF1433" s="856"/>
      <c r="AG1433" s="856"/>
      <c r="AH1433" s="857"/>
      <c r="AI1433" s="856"/>
      <c r="AJ1433" s="856"/>
      <c r="AK1433" s="856"/>
      <c r="AL1433" s="856"/>
      <c r="AM1433" s="850"/>
      <c r="AN1433" s="40"/>
      <c r="AO1433" s="882"/>
      <c r="AP1433" s="882"/>
      <c r="AV1433" t="str">
        <f t="shared" si="5668"/>
        <v>BDCC no Km 155+722 - Aterro 03</v>
      </c>
      <c r="AW1433" s="4" t="str">
        <f t="shared" si="5659"/>
        <v>BSTC 0,80m - RETORNO 1 - PATIO GO-164 - km 0+47 - LE</v>
      </c>
    </row>
    <row r="1434" spans="1:50" ht="24" customHeight="1" outlineLevel="1">
      <c r="A1434" s="598" t="str">
        <f t="shared" ref="A1434" si="5735">IF(SUM(P1434:V1435)&gt;0,"S","N")</f>
        <v>N</v>
      </c>
      <c r="B1434" s="608" t="s">
        <v>1759</v>
      </c>
      <c r="C1434" s="599" t="s">
        <v>1760</v>
      </c>
      <c r="D1434" s="118" t="s">
        <v>1432</v>
      </c>
      <c r="E1434" s="917" t="s">
        <v>1761</v>
      </c>
      <c r="F1434" s="848" t="s">
        <v>1437</v>
      </c>
      <c r="G1434" s="40"/>
      <c r="H1434" s="600" t="s">
        <v>37</v>
      </c>
      <c r="I1434" s="504">
        <v>0</v>
      </c>
      <c r="J1434" s="849" t="str">
        <f t="shared" ref="J1434" si="5736">IFERROR((I1435/I1434),"-")</f>
        <v>-</v>
      </c>
      <c r="K1434" s="40"/>
      <c r="L1434" s="600" t="s">
        <v>37</v>
      </c>
      <c r="M1434" s="504">
        <f t="shared" si="5709"/>
        <v>0</v>
      </c>
      <c r="N1434" s="849" t="str">
        <f t="shared" ref="N1434" si="5737">IFERROR((M1435/M1434),"-")</f>
        <v>-</v>
      </c>
      <c r="O1434" s="40"/>
      <c r="P1434" s="601">
        <v>0</v>
      </c>
      <c r="Q1434" s="601">
        <v>0</v>
      </c>
      <c r="R1434" s="601">
        <v>0</v>
      </c>
      <c r="S1434" s="601">
        <v>0</v>
      </c>
      <c r="T1434" s="601">
        <v>0</v>
      </c>
      <c r="U1434" s="601">
        <v>0</v>
      </c>
      <c r="V1434" s="602">
        <v>0</v>
      </c>
      <c r="W1434" s="40"/>
      <c r="X1434" s="504">
        <f t="shared" si="5700"/>
        <v>0</v>
      </c>
      <c r="Y1434" s="849" t="str">
        <f t="shared" ref="Y1434" si="5738">IFERROR((X1435/X1434),"0")</f>
        <v>0</v>
      </c>
      <c r="Z1434" s="40"/>
      <c r="AA1434" s="855">
        <v>0</v>
      </c>
      <c r="AB1434" s="855">
        <v>0</v>
      </c>
      <c r="AC1434" s="858">
        <v>0</v>
      </c>
      <c r="AD1434" s="849" t="str">
        <f t="shared" ref="AD1434" si="5739">IFERROR((AC1434/AB1434),"-")</f>
        <v>-</v>
      </c>
      <c r="AE1434" s="40"/>
      <c r="AF1434" s="855">
        <v>0</v>
      </c>
      <c r="AG1434" s="855"/>
      <c r="AH1434" s="858">
        <v>0</v>
      </c>
      <c r="AI1434" s="855"/>
      <c r="AJ1434" s="855">
        <v>1</v>
      </c>
      <c r="AK1434" s="855">
        <f t="shared" ref="AK1434" si="5740">AF1434+AG1434+AH1434+AI1434+AJ1434+AC1434</f>
        <v>1</v>
      </c>
      <c r="AL1434" s="855">
        <v>0</v>
      </c>
      <c r="AM1434" s="849" t="str">
        <f t="shared" ref="AM1434" si="5741">IFERROR((AK1434/AL1434),"-")</f>
        <v>-</v>
      </c>
      <c r="AN1434" s="40"/>
      <c r="AO1434" s="855">
        <v>0</v>
      </c>
      <c r="AP1434" s="855">
        <f t="shared" ref="AP1434" si="5742">AO1434-AK1434</f>
        <v>-1</v>
      </c>
      <c r="AV1434" s="4" t="str">
        <f t="shared" si="5668"/>
        <v>BDCC no Km 155+722 - Aterro 03</v>
      </c>
      <c r="AW1434" s="4" t="str">
        <f t="shared" si="5659"/>
        <v>BSTC 0,80m - CONEXÃO 1 - PATIO GO-164 - km 0+641 - LD</v>
      </c>
      <c r="AX1434" s="4"/>
    </row>
    <row r="1435" spans="1:50" ht="24" customHeight="1">
      <c r="A1435" s="598" t="str">
        <f t="shared" ref="A1435" si="5743">A1434</f>
        <v>N</v>
      </c>
      <c r="B1435" s="599"/>
      <c r="C1435" s="599"/>
      <c r="D1435" s="118" t="s">
        <v>1441</v>
      </c>
      <c r="E1435" s="918"/>
      <c r="F1435" s="848"/>
      <c r="G1435" s="40"/>
      <c r="H1435" s="603" t="s">
        <v>38</v>
      </c>
      <c r="I1435" s="504">
        <v>0</v>
      </c>
      <c r="J1435" s="850"/>
      <c r="K1435" s="40"/>
      <c r="L1435" s="603" t="s">
        <v>38</v>
      </c>
      <c r="M1435" s="504">
        <f t="shared" si="5709"/>
        <v>0</v>
      </c>
      <c r="N1435" s="850"/>
      <c r="O1435" s="40"/>
      <c r="P1435" s="602">
        <v>0</v>
      </c>
      <c r="Q1435" s="602">
        <v>0</v>
      </c>
      <c r="R1435" s="602">
        <v>0</v>
      </c>
      <c r="S1435" s="602">
        <v>0</v>
      </c>
      <c r="T1435" s="602">
        <v>0</v>
      </c>
      <c r="U1435" s="602">
        <v>0</v>
      </c>
      <c r="V1435" s="602">
        <v>0</v>
      </c>
      <c r="W1435" s="40"/>
      <c r="X1435" s="504">
        <f t="shared" si="5700"/>
        <v>0</v>
      </c>
      <c r="Y1435" s="850"/>
      <c r="Z1435" s="40"/>
      <c r="AA1435" s="856"/>
      <c r="AB1435" s="856"/>
      <c r="AC1435" s="857"/>
      <c r="AD1435" s="920"/>
      <c r="AE1435" s="40"/>
      <c r="AF1435" s="856"/>
      <c r="AG1435" s="856"/>
      <c r="AH1435" s="857"/>
      <c r="AI1435" s="856"/>
      <c r="AJ1435" s="856"/>
      <c r="AK1435" s="856"/>
      <c r="AL1435" s="856"/>
      <c r="AM1435" s="850"/>
      <c r="AN1435" s="40"/>
      <c r="AO1435" s="882"/>
      <c r="AP1435" s="882"/>
      <c r="AV1435" t="str">
        <f t="shared" si="5668"/>
        <v>BDCC no Km 155+722 - Aterro 03</v>
      </c>
      <c r="AW1435" s="4" t="str">
        <f t="shared" si="5659"/>
        <v>BSTC 0,80m - CONEXÃO 1 - PATIO GO-164 - km 0+641 - LD</v>
      </c>
    </row>
    <row r="1436" spans="1:50" ht="26.65" customHeight="1">
      <c r="A1436" s="598" t="str">
        <f t="shared" ref="A1436" si="5744">IF(SUM(P1436:V1437)&gt;0,"S","N")</f>
        <v>N</v>
      </c>
      <c r="B1436" s="599">
        <v>1069955</v>
      </c>
      <c r="C1436" s="599" t="s">
        <v>1762</v>
      </c>
      <c r="D1436" s="118" t="s">
        <v>1432</v>
      </c>
      <c r="E1436" s="917" t="s">
        <v>1763</v>
      </c>
      <c r="F1436" s="848" t="s">
        <v>1437</v>
      </c>
      <c r="G1436" s="40"/>
      <c r="H1436" s="600" t="s">
        <v>37</v>
      </c>
      <c r="I1436" s="504">
        <v>0</v>
      </c>
      <c r="J1436" s="849" t="str">
        <f t="shared" ref="J1436" si="5745">IFERROR((I1437/I1436),"-")</f>
        <v>-</v>
      </c>
      <c r="K1436" s="40"/>
      <c r="L1436" s="600" t="s">
        <v>37</v>
      </c>
      <c r="M1436" s="504">
        <f t="shared" si="5709"/>
        <v>0</v>
      </c>
      <c r="N1436" s="849" t="str">
        <f t="shared" ref="N1436" si="5746">IFERROR((M1437/M1436),"-")</f>
        <v>-</v>
      </c>
      <c r="O1436" s="40"/>
      <c r="P1436" s="601">
        <v>0</v>
      </c>
      <c r="Q1436" s="601">
        <v>0</v>
      </c>
      <c r="R1436" s="601">
        <v>0</v>
      </c>
      <c r="S1436" s="601">
        <v>0</v>
      </c>
      <c r="T1436" s="601">
        <v>0</v>
      </c>
      <c r="U1436" s="601">
        <v>0</v>
      </c>
      <c r="V1436" s="602">
        <v>0</v>
      </c>
      <c r="W1436" s="40"/>
      <c r="X1436" s="504">
        <f t="shared" si="5700"/>
        <v>0</v>
      </c>
      <c r="Y1436" s="849" t="str">
        <f t="shared" ref="Y1436" si="5747">IFERROR((X1437/X1436),"0")</f>
        <v>0</v>
      </c>
      <c r="Z1436" s="40"/>
      <c r="AA1436" s="855">
        <v>0</v>
      </c>
      <c r="AB1436" s="855">
        <v>0</v>
      </c>
      <c r="AC1436" s="858">
        <v>0</v>
      </c>
      <c r="AD1436" s="849" t="str">
        <f t="shared" ref="AD1436" si="5748">IFERROR((AC1436/AB1436),"-")</f>
        <v>-</v>
      </c>
      <c r="AE1436" s="40"/>
      <c r="AF1436" s="855">
        <v>0</v>
      </c>
      <c r="AG1436" s="855"/>
      <c r="AH1436" s="858">
        <v>0</v>
      </c>
      <c r="AI1436" s="855"/>
      <c r="AJ1436" s="855">
        <v>1</v>
      </c>
      <c r="AK1436" s="855">
        <f t="shared" ref="AK1436" si="5749">AF1436+AG1436+AH1436+AI1436+AJ1436+AC1436</f>
        <v>1</v>
      </c>
      <c r="AL1436" s="855">
        <v>1</v>
      </c>
      <c r="AM1436" s="849">
        <f t="shared" ref="AM1436" si="5750">IFERROR((AK1436/AL1436),"-")</f>
        <v>1</v>
      </c>
      <c r="AN1436" s="40"/>
      <c r="AO1436" s="855">
        <v>1</v>
      </c>
      <c r="AP1436" s="855">
        <f t="shared" ref="AP1436" si="5751">AO1436-AK1436</f>
        <v>0</v>
      </c>
      <c r="AV1436" s="4" t="str">
        <f t="shared" si="5668"/>
        <v>BDCC no Km 155+722 - Aterro 03</v>
      </c>
      <c r="AW1436" s="4" t="str">
        <f t="shared" si="5659"/>
        <v>BSTC 0,80m - CONEXÃO 1 - PATIO GO-164 - km 0+641 - LE</v>
      </c>
      <c r="AX1436" s="4"/>
    </row>
    <row r="1437" spans="1:50" ht="26.65" customHeight="1">
      <c r="A1437" s="598" t="str">
        <f t="shared" ref="A1437" si="5752">A1436</f>
        <v>N</v>
      </c>
      <c r="B1437" s="599"/>
      <c r="C1437" s="599"/>
      <c r="D1437" s="118" t="s">
        <v>1444</v>
      </c>
      <c r="E1437" s="918"/>
      <c r="F1437" s="848"/>
      <c r="G1437" s="40"/>
      <c r="H1437" s="603" t="s">
        <v>38</v>
      </c>
      <c r="I1437" s="504">
        <v>0</v>
      </c>
      <c r="J1437" s="850"/>
      <c r="K1437" s="40"/>
      <c r="L1437" s="603" t="s">
        <v>38</v>
      </c>
      <c r="M1437" s="504">
        <f t="shared" si="5709"/>
        <v>0</v>
      </c>
      <c r="N1437" s="850"/>
      <c r="O1437" s="40"/>
      <c r="P1437" s="602">
        <v>0</v>
      </c>
      <c r="Q1437" s="602">
        <v>0</v>
      </c>
      <c r="R1437" s="602">
        <v>0</v>
      </c>
      <c r="S1437" s="602">
        <v>0</v>
      </c>
      <c r="T1437" s="602">
        <v>0</v>
      </c>
      <c r="U1437" s="602">
        <v>0</v>
      </c>
      <c r="V1437" s="602">
        <v>0</v>
      </c>
      <c r="W1437" s="40"/>
      <c r="X1437" s="504">
        <f t="shared" si="5700"/>
        <v>0</v>
      </c>
      <c r="Y1437" s="850"/>
      <c r="Z1437" s="40"/>
      <c r="AA1437" s="856"/>
      <c r="AB1437" s="856"/>
      <c r="AC1437" s="857"/>
      <c r="AD1437" s="920"/>
      <c r="AE1437" s="40"/>
      <c r="AF1437" s="880"/>
      <c r="AG1437" s="880"/>
      <c r="AH1437" s="857"/>
      <c r="AI1437" s="880"/>
      <c r="AJ1437" s="880"/>
      <c r="AK1437" s="856"/>
      <c r="AL1437" s="856"/>
      <c r="AM1437" s="850"/>
      <c r="AN1437" s="40"/>
      <c r="AO1437" s="882"/>
      <c r="AP1437" s="882"/>
      <c r="AV1437" t="str">
        <f t="shared" si="5668"/>
        <v>BDCC no Km 155+722 - Aterro 03</v>
      </c>
      <c r="AW1437" s="4" t="str">
        <f t="shared" si="5659"/>
        <v>BSTC 0,80m - CONEXÃO 1 - PATIO GO-164 - km 0+641 - LE</v>
      </c>
    </row>
    <row r="1438" spans="1:50" ht="21.6" customHeight="1">
      <c r="A1438" s="209">
        <v>0</v>
      </c>
      <c r="B1438" s="150"/>
      <c r="C1438" s="150">
        <v>0</v>
      </c>
      <c r="D1438" s="123"/>
      <c r="E1438" s="535"/>
      <c r="F1438" s="536"/>
      <c r="G1438" s="537"/>
      <c r="H1438" s="714"/>
      <c r="I1438" s="538"/>
      <c r="J1438" s="714"/>
      <c r="K1438" s="537"/>
      <c r="L1438" s="714"/>
      <c r="M1438" s="538"/>
      <c r="N1438" s="714"/>
      <c r="O1438" s="537"/>
      <c r="P1438" s="539"/>
      <c r="Q1438" s="539"/>
      <c r="R1438" s="539"/>
      <c r="S1438" s="539"/>
      <c r="T1438" s="539"/>
      <c r="U1438" s="539"/>
      <c r="V1438" s="539"/>
      <c r="W1438" s="537"/>
      <c r="X1438" s="540"/>
      <c r="Y1438" s="537"/>
      <c r="Z1438" s="537"/>
      <c r="AA1438" s="250"/>
      <c r="AB1438" s="250"/>
      <c r="AC1438" s="249"/>
      <c r="AD1438" s="537"/>
      <c r="AE1438" s="3"/>
      <c r="AF1438" s="36"/>
      <c r="AG1438" s="36"/>
      <c r="AH1438" s="36"/>
      <c r="AI1438" s="36"/>
      <c r="AJ1438" s="36"/>
      <c r="AK1438" s="36"/>
      <c r="AL1438" s="36"/>
      <c r="AM1438" s="3"/>
      <c r="AN1438" s="3"/>
      <c r="AO1438" s="36"/>
      <c r="AP1438" s="36"/>
      <c r="AV1438" t="str">
        <f t="shared" si="5668"/>
        <v>BDCC no Km 155+722 - Aterro 03</v>
      </c>
      <c r="AW1438" s="4" t="str">
        <f t="shared" si="5659"/>
        <v>BSTC 0,80m - CONEXÃO 1 - PATIO GO-164 - km 0+641 - LE</v>
      </c>
    </row>
    <row r="1439" spans="1:50" ht="21.6" customHeight="1">
      <c r="A1439" s="209">
        <v>0</v>
      </c>
      <c r="B1439" s="150"/>
      <c r="C1439" s="150"/>
      <c r="D1439" s="117"/>
      <c r="E1439" s="535"/>
      <c r="F1439" s="541"/>
      <c r="G1439" s="537"/>
      <c r="H1439" s="537"/>
      <c r="I1439" s="577"/>
      <c r="J1439" s="537"/>
      <c r="K1439" s="537"/>
      <c r="L1439" s="537"/>
      <c r="M1439" s="577"/>
      <c r="N1439" s="537"/>
      <c r="O1439" s="537"/>
      <c r="P1439" s="572"/>
      <c r="Q1439" s="572"/>
      <c r="R1439" s="572"/>
      <c r="S1439" s="572"/>
      <c r="T1439" s="572"/>
      <c r="U1439" s="572"/>
      <c r="V1439" s="572"/>
      <c r="W1439" s="537"/>
      <c r="X1439" s="540"/>
      <c r="Y1439" s="537"/>
      <c r="Z1439" s="537"/>
      <c r="AA1439" s="249"/>
      <c r="AB1439" s="249"/>
      <c r="AC1439" s="249"/>
      <c r="AD1439" s="537"/>
      <c r="AE1439" s="3"/>
      <c r="AF1439" s="35"/>
      <c r="AG1439" s="35"/>
      <c r="AH1439" s="35"/>
      <c r="AI1439" s="35"/>
      <c r="AJ1439" s="35"/>
      <c r="AK1439" s="35"/>
      <c r="AL1439" s="35"/>
      <c r="AM1439" s="3"/>
      <c r="AN1439" s="3"/>
      <c r="AO1439" s="35"/>
      <c r="AP1439" s="35"/>
      <c r="AV1439" t="str">
        <f t="shared" si="5668"/>
        <v>BDCC no Km 155+722 - Aterro 03</v>
      </c>
      <c r="AW1439" s="4" t="str">
        <f t="shared" si="5659"/>
        <v>BSTC 0,80m - CONEXÃO 1 - PATIO GO-164 - km 0+641 - LE</v>
      </c>
    </row>
    <row r="1440" spans="1:50" ht="21.6" customHeight="1">
      <c r="A1440" s="209">
        <v>0</v>
      </c>
      <c r="B1440" s="150"/>
      <c r="C1440" s="150">
        <v>0</v>
      </c>
      <c r="D1440" s="117"/>
      <c r="E1440" s="535"/>
      <c r="F1440" s="541"/>
      <c r="G1440" s="537"/>
      <c r="H1440" s="537"/>
      <c r="I1440" s="577"/>
      <c r="J1440" s="537"/>
      <c r="K1440" s="537"/>
      <c r="L1440" s="537"/>
      <c r="M1440" s="577"/>
      <c r="N1440" s="537"/>
      <c r="O1440" s="537"/>
      <c r="P1440" s="572"/>
      <c r="Q1440" s="572"/>
      <c r="R1440" s="572"/>
      <c r="S1440" s="572"/>
      <c r="T1440" s="572"/>
      <c r="U1440" s="572"/>
      <c r="V1440" s="572"/>
      <c r="W1440" s="537"/>
      <c r="X1440" s="540"/>
      <c r="Y1440" s="537"/>
      <c r="Z1440" s="537"/>
      <c r="AA1440" s="249"/>
      <c r="AB1440" s="249"/>
      <c r="AC1440" s="249"/>
      <c r="AD1440" s="537"/>
      <c r="AE1440" s="3"/>
      <c r="AF1440" s="35"/>
      <c r="AG1440" s="35"/>
      <c r="AH1440" s="35"/>
      <c r="AI1440" s="35"/>
      <c r="AJ1440" s="35"/>
      <c r="AK1440" s="35"/>
      <c r="AL1440" s="35"/>
      <c r="AM1440" s="3"/>
      <c r="AN1440" s="3"/>
      <c r="AO1440" s="35"/>
      <c r="AP1440" s="35"/>
      <c r="AV1440" t="str">
        <f t="shared" si="5668"/>
        <v>BDCC no Km 155+722 - Aterro 03</v>
      </c>
      <c r="AW1440" s="4" t="str">
        <f t="shared" si="5659"/>
        <v>BSTC 0,80m - CONEXÃO 1 - PATIO GO-164 - km 0+641 - LE</v>
      </c>
    </row>
    <row r="1441" spans="1:50" ht="15.6" customHeight="1">
      <c r="A1441" s="209">
        <v>0</v>
      </c>
      <c r="B1441" s="150"/>
      <c r="C1441" s="150"/>
      <c r="D1441" s="117"/>
      <c r="E1441" s="535"/>
      <c r="F1441" s="541"/>
      <c r="G1441" s="537"/>
      <c r="H1441" s="537"/>
      <c r="I1441" s="250"/>
      <c r="J1441" s="537"/>
      <c r="K1441" s="537"/>
      <c r="L1441" s="537"/>
      <c r="M1441" s="250"/>
      <c r="N1441" s="537"/>
      <c r="O1441" s="537"/>
      <c r="P1441" s="539"/>
      <c r="Q1441" s="539"/>
      <c r="R1441" s="539"/>
      <c r="S1441" s="539"/>
      <c r="T1441" s="539"/>
      <c r="U1441" s="539"/>
      <c r="V1441" s="539"/>
      <c r="W1441" s="537"/>
      <c r="X1441" s="540"/>
      <c r="Y1441" s="537"/>
      <c r="Z1441" s="537"/>
      <c r="AA1441" s="250"/>
      <c r="AB1441" s="250"/>
      <c r="AC1441" s="249"/>
      <c r="AD1441" s="537"/>
      <c r="AE1441" s="3"/>
      <c r="AF1441" s="36"/>
      <c r="AG1441" s="36"/>
      <c r="AH1441" s="36"/>
      <c r="AI1441" s="36"/>
      <c r="AJ1441" s="36"/>
      <c r="AK1441" s="36"/>
      <c r="AL1441" s="36"/>
      <c r="AM1441" s="3"/>
      <c r="AN1441" s="3"/>
      <c r="AO1441" s="36"/>
      <c r="AP1441" s="36"/>
      <c r="AV1441" t="str">
        <f t="shared" si="5668"/>
        <v>BDCC no Km 155+722 - Aterro 03</v>
      </c>
      <c r="AW1441" s="4" t="str">
        <f t="shared" si="5659"/>
        <v>BSTC 0,80m - CONEXÃO 1 - PATIO GO-164 - km 0+641 - LE</v>
      </c>
    </row>
    <row r="1442" spans="1:50" ht="26.65" customHeight="1">
      <c r="A1442" s="525">
        <v>0</v>
      </c>
      <c r="B1442" s="526"/>
      <c r="C1442" s="526">
        <v>0</v>
      </c>
      <c r="D1442" s="558"/>
      <c r="E1442" s="759" t="s">
        <v>51</v>
      </c>
      <c r="F1442" s="902" t="s">
        <v>52</v>
      </c>
      <c r="G1442" s="528"/>
      <c r="H1442" s="529" t="s">
        <v>37</v>
      </c>
      <c r="I1442" s="707">
        <f>I1445+I1770+I1903</f>
        <v>5455</v>
      </c>
      <c r="J1442" s="900">
        <f t="shared" ref="J1442" ca="1" si="5753">IFERROR((I1443/I1442),"-")</f>
        <v>0.69664527956003663</v>
      </c>
      <c r="K1442" s="528"/>
      <c r="L1442" s="529" t="s">
        <v>37</v>
      </c>
      <c r="M1442" s="707">
        <f>M1445+M1770+M1903</f>
        <v>819</v>
      </c>
      <c r="N1442" s="900">
        <f t="shared" ref="N1442" ca="1" si="5754">IFERROR((M1443/M1442),"-")</f>
        <v>0.86996336996336998</v>
      </c>
      <c r="O1442" s="528"/>
      <c r="P1442" s="707">
        <f t="shared" ref="P1442:V1443" si="5755">P1445+P1770+P1903</f>
        <v>854</v>
      </c>
      <c r="Q1442" s="707">
        <f t="shared" si="5755"/>
        <v>819</v>
      </c>
      <c r="R1442" s="707">
        <f t="shared" si="5755"/>
        <v>830</v>
      </c>
      <c r="S1442" s="707">
        <f t="shared" si="5755"/>
        <v>830</v>
      </c>
      <c r="T1442" s="707">
        <f t="shared" si="5755"/>
        <v>740</v>
      </c>
      <c r="U1442" s="707">
        <f t="shared" si="5755"/>
        <v>740</v>
      </c>
      <c r="V1442" s="708">
        <f t="shared" si="5755"/>
        <v>0</v>
      </c>
      <c r="W1442" s="528"/>
      <c r="X1442" s="707">
        <f>SUMIFS(P1442:V1442,$P$8:$V$8,"&gt;="&amp;$P$8,$P$8:$V$8,"&lt;="&amp;$N$8)</f>
        <v>1673</v>
      </c>
      <c r="Y1442" s="900">
        <f t="shared" ref="Y1442" ca="1" si="5756">IFERROR((X1443/X1442),"-")</f>
        <v>0.87955768081291097</v>
      </c>
      <c r="Z1442" s="528"/>
      <c r="AA1442" s="755">
        <v>25079.85</v>
      </c>
      <c r="AB1442" s="755">
        <f>AB1445+AB1770+AB1903</f>
        <v>13028.119999999999</v>
      </c>
      <c r="AC1442" s="755">
        <f>AC1445+AC1770+AC1903</f>
        <v>7323.2</v>
      </c>
      <c r="AD1442" s="900">
        <f t="shared" ref="AD1442" si="5757">IFERROR((AC1442/AB1442),"-")</f>
        <v>0.5621071958195043</v>
      </c>
      <c r="AE1442" s="528"/>
      <c r="AF1442" s="755">
        <f t="shared" ref="AF1442:AL1442" si="5758">AF1445+AF1770+AF1903</f>
        <v>48387.459000000003</v>
      </c>
      <c r="AG1442" s="755">
        <f t="shared" si="5758"/>
        <v>2700.1779999999999</v>
      </c>
      <c r="AH1442" s="755">
        <f t="shared" si="5758"/>
        <v>7244</v>
      </c>
      <c r="AI1442" s="755">
        <f t="shared" si="5758"/>
        <v>5626.7970000000005</v>
      </c>
      <c r="AJ1442" s="755">
        <f t="shared" si="5758"/>
        <v>9924.848</v>
      </c>
      <c r="AK1442" s="755">
        <f t="shared" si="5758"/>
        <v>81206.482000000018</v>
      </c>
      <c r="AL1442" s="755">
        <f t="shared" si="5758"/>
        <v>92694.57</v>
      </c>
      <c r="AM1442" s="900">
        <f>IFERROR((AK1442/AL1442),"-")</f>
        <v>0.87606514599506757</v>
      </c>
      <c r="AN1442" s="528"/>
      <c r="AO1442" s="755">
        <f>AO1445+AO1770+AO1903</f>
        <v>252494.53</v>
      </c>
      <c r="AP1442" s="755">
        <f>AP1445+AP1770+AP1903</f>
        <v>171288.04800000001</v>
      </c>
      <c r="AU1442" s="275"/>
      <c r="AV1442" s="275" t="str">
        <f t="shared" si="5668"/>
        <v>Drenagem Superficial</v>
      </c>
      <c r="AW1442" s="275" t="str">
        <f t="shared" si="5659"/>
        <v>Drenagem Superficial</v>
      </c>
      <c r="AX1442" s="275" t="s">
        <v>176</v>
      </c>
    </row>
    <row r="1443" spans="1:50" ht="26.65" customHeight="1">
      <c r="A1443" s="525">
        <v>0</v>
      </c>
      <c r="B1443" s="526"/>
      <c r="C1443" s="526"/>
      <c r="D1443" s="558"/>
      <c r="E1443" s="760"/>
      <c r="F1443" s="902"/>
      <c r="G1443" s="528"/>
      <c r="H1443" s="531" t="s">
        <v>38</v>
      </c>
      <c r="I1443" s="707">
        <f ca="1">I1446+I1771+I1904</f>
        <v>3800.2</v>
      </c>
      <c r="J1443" s="901"/>
      <c r="K1443" s="528"/>
      <c r="L1443" s="531" t="s">
        <v>38</v>
      </c>
      <c r="M1443" s="707">
        <f ca="1">M1446+M1771+M1904</f>
        <v>712.5</v>
      </c>
      <c r="N1443" s="901"/>
      <c r="O1443" s="528"/>
      <c r="P1443" s="707">
        <f t="shared" ca="1" si="5755"/>
        <v>759</v>
      </c>
      <c r="Q1443" s="725">
        <f t="shared" ca="1" si="5755"/>
        <v>712.5</v>
      </c>
      <c r="R1443" s="707">
        <f t="shared" ca="1" si="5755"/>
        <v>0</v>
      </c>
      <c r="S1443" s="707">
        <f t="shared" ca="1" si="5755"/>
        <v>0</v>
      </c>
      <c r="T1443" s="707">
        <f t="shared" ca="1" si="5755"/>
        <v>0</v>
      </c>
      <c r="U1443" s="707">
        <f t="shared" ca="1" si="5755"/>
        <v>0</v>
      </c>
      <c r="V1443" s="707">
        <f t="shared" ca="1" si="5755"/>
        <v>0</v>
      </c>
      <c r="W1443" s="528"/>
      <c r="X1443" s="707">
        <f t="shared" ref="X1443" ca="1" si="5759">SUMIFS(P1443:V1443,$P$8:$V$8,"&gt;="&amp;$P$8,$P$8:$V$8,"&lt;="&amp;$N$8)</f>
        <v>1471.5</v>
      </c>
      <c r="Y1443" s="901"/>
      <c r="Z1443" s="528"/>
      <c r="AA1443" s="756"/>
      <c r="AB1443" s="756"/>
      <c r="AC1443" s="756"/>
      <c r="AD1443" s="901"/>
      <c r="AE1443" s="528"/>
      <c r="AF1443" s="756"/>
      <c r="AG1443" s="756"/>
      <c r="AH1443" s="756"/>
      <c r="AI1443" s="756"/>
      <c r="AJ1443" s="756"/>
      <c r="AK1443" s="756"/>
      <c r="AL1443" s="756"/>
      <c r="AM1443" s="901"/>
      <c r="AN1443" s="528"/>
      <c r="AO1443" s="756"/>
      <c r="AP1443" s="756"/>
      <c r="AV1443" t="str">
        <f t="shared" si="5668"/>
        <v>Drenagem Superficial</v>
      </c>
      <c r="AW1443" s="4" t="str">
        <f t="shared" si="5659"/>
        <v>Drenagem Superficial</v>
      </c>
    </row>
    <row r="1444" spans="1:50" ht="15.6" customHeight="1">
      <c r="A1444" s="209">
        <v>0</v>
      </c>
      <c r="B1444" s="150"/>
      <c r="C1444" s="150">
        <v>0</v>
      </c>
      <c r="D1444" s="117"/>
      <c r="E1444" s="535"/>
      <c r="F1444" s="541"/>
      <c r="G1444" s="537"/>
      <c r="H1444" s="537"/>
      <c r="I1444" s="250"/>
      <c r="J1444" s="537"/>
      <c r="K1444" s="537"/>
      <c r="L1444" s="537"/>
      <c r="M1444" s="250"/>
      <c r="N1444" s="537"/>
      <c r="O1444" s="537"/>
      <c r="P1444" s="539"/>
      <c r="Q1444" s="539"/>
      <c r="R1444" s="539"/>
      <c r="S1444" s="539"/>
      <c r="T1444" s="539"/>
      <c r="U1444" s="539"/>
      <c r="V1444" s="539"/>
      <c r="W1444" s="537"/>
      <c r="X1444" s="540"/>
      <c r="Y1444" s="537"/>
      <c r="Z1444" s="537"/>
      <c r="AA1444" s="250"/>
      <c r="AB1444" s="250"/>
      <c r="AC1444" s="249"/>
      <c r="AD1444" s="537"/>
      <c r="AE1444" s="3"/>
      <c r="AF1444" s="36"/>
      <c r="AG1444" s="36"/>
      <c r="AH1444" s="36"/>
      <c r="AI1444" s="36"/>
      <c r="AJ1444" s="36"/>
      <c r="AK1444" s="36"/>
      <c r="AL1444" s="36"/>
      <c r="AM1444" s="3"/>
      <c r="AN1444" s="3"/>
      <c r="AO1444" s="36"/>
      <c r="AP1444" s="36"/>
      <c r="AV1444" t="str">
        <f t="shared" si="5668"/>
        <v>Drenagem Superficial</v>
      </c>
      <c r="AW1444" s="4" t="str">
        <f t="shared" si="5659"/>
        <v>Drenagem Superficial</v>
      </c>
    </row>
    <row r="1445" spans="1:50" ht="28.9" customHeight="1">
      <c r="A1445" s="209">
        <v>0</v>
      </c>
      <c r="B1445" s="150"/>
      <c r="C1445" s="150">
        <v>0</v>
      </c>
      <c r="D1445" s="124"/>
      <c r="E1445" s="759" t="s">
        <v>1764</v>
      </c>
      <c r="F1445" s="902" t="s">
        <v>52</v>
      </c>
      <c r="G1445" s="528"/>
      <c r="H1445" s="529" t="s">
        <v>37</v>
      </c>
      <c r="I1445" s="707">
        <f>I1448+I1531+I1617+I1630+I1698</f>
        <v>652</v>
      </c>
      <c r="J1445" s="900">
        <f t="shared" ref="J1445" ca="1" si="5760">IFERROR((I1446/I1445),"-")</f>
        <v>0.9225460122699386</v>
      </c>
      <c r="K1445" s="528"/>
      <c r="L1445" s="529" t="s">
        <v>37</v>
      </c>
      <c r="M1445" s="707">
        <f>M1448+M1531+M1617+M1630+M1698</f>
        <v>70</v>
      </c>
      <c r="N1445" s="900">
        <f t="shared" ref="N1445" ca="1" si="5761">IFERROR((M1446/M1445),"-")</f>
        <v>8.5714285714285715E-2</v>
      </c>
      <c r="O1445" s="528"/>
      <c r="P1445" s="532">
        <f t="shared" ref="P1445:V1446" si="5762">P1448+P1531+P1617+P1630+P1698</f>
        <v>70</v>
      </c>
      <c r="Q1445" s="532">
        <f t="shared" si="5762"/>
        <v>70</v>
      </c>
      <c r="R1445" s="532">
        <f t="shared" si="5762"/>
        <v>70</v>
      </c>
      <c r="S1445" s="532">
        <f t="shared" si="5762"/>
        <v>70</v>
      </c>
      <c r="T1445" s="532">
        <f t="shared" si="5762"/>
        <v>120</v>
      </c>
      <c r="U1445" s="532">
        <f t="shared" si="5762"/>
        <v>120</v>
      </c>
      <c r="V1445" s="530">
        <f t="shared" si="5762"/>
        <v>0</v>
      </c>
      <c r="W1445" s="528"/>
      <c r="X1445" s="707">
        <f>SUMIFS(P1445:V1445,$P$8:$V$8,"&gt;="&amp;$P$8,$P$8:$V$8,"&lt;="&amp;$N$8)</f>
        <v>140</v>
      </c>
      <c r="Y1445" s="900">
        <f t="shared" ref="Y1445" ca="1" si="5763">IFERROR((X1446/X1445),"-")</f>
        <v>0.52857142857142858</v>
      </c>
      <c r="Z1445" s="528"/>
      <c r="AA1445" s="755">
        <f>AA1448+AA1531+AA1617+AA1630+AA1698</f>
        <v>9473.0600000000013</v>
      </c>
      <c r="AB1445" s="989">
        <f>AB1448+AB1531+AB1617+AB1630+AB1698</f>
        <v>3399.27</v>
      </c>
      <c r="AC1445" s="906">
        <f>AC1448+AC1531+AC1617+AC1630+AC1698</f>
        <v>858.5</v>
      </c>
      <c r="AD1445" s="900">
        <f t="shared" ref="AD1445" si="5764">IFERROR((AC1445/AB1445),"-")</f>
        <v>0.25255422487769436</v>
      </c>
      <c r="AE1445" s="40"/>
      <c r="AF1445" s="924">
        <f t="shared" ref="AF1445:AL1445" si="5765">AF1448+AF1531+AF1617+AF1630+AF1698</f>
        <v>27594.745000000003</v>
      </c>
      <c r="AG1445" s="924">
        <f t="shared" si="5765"/>
        <v>0</v>
      </c>
      <c r="AH1445" s="924">
        <f t="shared" si="5765"/>
        <v>2902</v>
      </c>
      <c r="AI1445" s="924">
        <f t="shared" si="5765"/>
        <v>575.90899999999999</v>
      </c>
      <c r="AJ1445" s="924">
        <f t="shared" si="5765"/>
        <v>2394.1329999999998</v>
      </c>
      <c r="AK1445" s="924">
        <f t="shared" si="5765"/>
        <v>34325.287000000004</v>
      </c>
      <c r="AL1445" s="924">
        <f t="shared" si="5765"/>
        <v>36847.380000000005</v>
      </c>
      <c r="AM1445" s="762">
        <f>IFERROR((AK1445/AL1445),"-")</f>
        <v>0.93155298965625233</v>
      </c>
      <c r="AN1445" s="40"/>
      <c r="AO1445" s="909">
        <f>AO1448+AO1531+AO1617+AO1630+AO1698</f>
        <v>118642.76</v>
      </c>
      <c r="AP1445" s="909">
        <f>AP1448+AP1531+AP1617+AP1630+AP1698</f>
        <v>84317.472999999998</v>
      </c>
      <c r="AV1445" t="str">
        <f t="shared" si="5668"/>
        <v>Drenagem Superficial</v>
      </c>
      <c r="AW1445" s="4" t="str">
        <f t="shared" si="5659"/>
        <v>Drenagem Superficial - Sarjeta</v>
      </c>
    </row>
    <row r="1446" spans="1:50" ht="28.9" customHeight="1">
      <c r="A1446" s="209">
        <v>0</v>
      </c>
      <c r="B1446" s="150"/>
      <c r="C1446" s="150"/>
      <c r="D1446" s="124"/>
      <c r="E1446" s="760"/>
      <c r="F1446" s="902"/>
      <c r="G1446" s="528"/>
      <c r="H1446" s="531" t="s">
        <v>38</v>
      </c>
      <c r="I1446" s="707">
        <f ca="1">I1449+I1532+I1618+I1631+I1699</f>
        <v>601.5</v>
      </c>
      <c r="J1446" s="901"/>
      <c r="K1446" s="528"/>
      <c r="L1446" s="531" t="s">
        <v>38</v>
      </c>
      <c r="M1446" s="707">
        <f ca="1">M1449+M1532+M1618+M1631+M1699</f>
        <v>6</v>
      </c>
      <c r="N1446" s="901"/>
      <c r="O1446" s="528"/>
      <c r="P1446" s="532">
        <f t="shared" ca="1" si="5762"/>
        <v>68</v>
      </c>
      <c r="Q1446" s="532">
        <f t="shared" ca="1" si="5762"/>
        <v>6</v>
      </c>
      <c r="R1446" s="532">
        <f t="shared" ca="1" si="5762"/>
        <v>0</v>
      </c>
      <c r="S1446" s="532">
        <f t="shared" ca="1" si="5762"/>
        <v>0</v>
      </c>
      <c r="T1446" s="532">
        <f t="shared" ca="1" si="5762"/>
        <v>0</v>
      </c>
      <c r="U1446" s="532">
        <f t="shared" ca="1" si="5762"/>
        <v>0</v>
      </c>
      <c r="V1446" s="532">
        <f t="shared" ca="1" si="5762"/>
        <v>0</v>
      </c>
      <c r="W1446" s="528"/>
      <c r="X1446" s="707">
        <f t="shared" ref="X1446" ca="1" si="5766">SUMIFS(P1446:V1446,$P$8:$V$8,"&gt;="&amp;$P$8,$P$8:$V$8,"&lt;="&amp;$N$8)</f>
        <v>74</v>
      </c>
      <c r="Y1446" s="901"/>
      <c r="Z1446" s="528"/>
      <c r="AA1446" s="756"/>
      <c r="AB1446" s="990"/>
      <c r="AC1446" s="907"/>
      <c r="AD1446" s="901"/>
      <c r="AE1446" s="40"/>
      <c r="AF1446" s="925"/>
      <c r="AG1446" s="925"/>
      <c r="AH1446" s="925"/>
      <c r="AI1446" s="925"/>
      <c r="AJ1446" s="925"/>
      <c r="AK1446" s="925"/>
      <c r="AL1446" s="925"/>
      <c r="AM1446" s="763"/>
      <c r="AN1446" s="40"/>
      <c r="AO1446" s="910"/>
      <c r="AP1446" s="910"/>
      <c r="AV1446" t="str">
        <f t="shared" si="5668"/>
        <v>Drenagem Superficial</v>
      </c>
      <c r="AW1446" s="4" t="str">
        <f t="shared" si="5659"/>
        <v>Drenagem Superficial - Sarjeta</v>
      </c>
    </row>
    <row r="1447" spans="1:50" ht="15.6" hidden="1" customHeight="1" outlineLevel="1">
      <c r="A1447" s="209">
        <v>0</v>
      </c>
      <c r="B1447" s="150"/>
      <c r="C1447" s="150">
        <v>0</v>
      </c>
      <c r="D1447" s="117"/>
      <c r="E1447" s="535"/>
      <c r="F1447" s="541"/>
      <c r="G1447" s="537"/>
      <c r="H1447" s="537"/>
      <c r="I1447" s="250"/>
      <c r="J1447" s="537"/>
      <c r="K1447" s="537"/>
      <c r="L1447" s="537"/>
      <c r="M1447" s="250"/>
      <c r="N1447" s="537"/>
      <c r="O1447" s="537"/>
      <c r="P1447" s="539"/>
      <c r="Q1447" s="539"/>
      <c r="R1447" s="539"/>
      <c r="S1447" s="539"/>
      <c r="T1447" s="539"/>
      <c r="U1447" s="539"/>
      <c r="V1447" s="539"/>
      <c r="W1447" s="537"/>
      <c r="X1447" s="540"/>
      <c r="Y1447" s="537"/>
      <c r="Z1447" s="537"/>
      <c r="AA1447" s="250"/>
      <c r="AB1447" s="250"/>
      <c r="AC1447" s="249"/>
      <c r="AD1447" s="537"/>
      <c r="AE1447" s="3"/>
      <c r="AF1447" s="36"/>
      <c r="AG1447" s="36"/>
      <c r="AH1447" s="36"/>
      <c r="AI1447" s="36"/>
      <c r="AJ1447" s="36"/>
      <c r="AK1447" s="36"/>
      <c r="AL1447" s="36"/>
      <c r="AM1447" s="3"/>
      <c r="AN1447" s="3"/>
      <c r="AO1447" s="36"/>
      <c r="AP1447" s="36"/>
      <c r="AV1447" t="str">
        <f t="shared" si="5668"/>
        <v>Drenagem Superficial</v>
      </c>
      <c r="AW1447" s="4" t="str">
        <f t="shared" si="5659"/>
        <v>Drenagem Superficial - Sarjeta</v>
      </c>
    </row>
    <row r="1448" spans="1:50" ht="15.6" hidden="1" customHeight="1" outlineLevel="1">
      <c r="A1448" s="209">
        <v>0</v>
      </c>
      <c r="B1448" s="150"/>
      <c r="C1448" s="150"/>
      <c r="D1448" s="122"/>
      <c r="E1448" s="913" t="s">
        <v>39</v>
      </c>
      <c r="F1448" s="859" t="s">
        <v>52</v>
      </c>
      <c r="G1448" s="528"/>
      <c r="H1448" s="542" t="s">
        <v>37</v>
      </c>
      <c r="I1448" s="543">
        <f>SUMIF($L1450:$L1529,$L1448,I1450:I1529)</f>
        <v>400</v>
      </c>
      <c r="J1448" s="860">
        <f>IFERROR((I1449/I1448),"-")</f>
        <v>1.17875</v>
      </c>
      <c r="K1448" s="528"/>
      <c r="L1448" s="542" t="s">
        <v>37</v>
      </c>
      <c r="M1448" s="543">
        <f>SUMIF($L1450:$L1529,$L1448,M1450:M1529)</f>
        <v>70</v>
      </c>
      <c r="N1448" s="860">
        <f>IFERROR((M1449/M1448),"-")</f>
        <v>8.5714285714285715E-2</v>
      </c>
      <c r="O1448" s="528"/>
      <c r="P1448" s="543">
        <f t="shared" ref="P1448:V1448" si="5767">SUMIF($L1450:$L1529,$L1448,P1450:P1529)</f>
        <v>70</v>
      </c>
      <c r="Q1448" s="543">
        <f t="shared" si="5767"/>
        <v>70</v>
      </c>
      <c r="R1448" s="543">
        <f t="shared" si="5767"/>
        <v>70</v>
      </c>
      <c r="S1448" s="543">
        <f t="shared" si="5767"/>
        <v>70</v>
      </c>
      <c r="T1448" s="543">
        <f t="shared" si="5767"/>
        <v>120</v>
      </c>
      <c r="U1448" s="543">
        <f t="shared" si="5767"/>
        <v>120</v>
      </c>
      <c r="V1448" s="543">
        <f t="shared" si="5767"/>
        <v>0</v>
      </c>
      <c r="W1448" s="528"/>
      <c r="X1448" s="543">
        <f t="shared" ref="X1448:X1511" si="5768">SUMIFS(P1448:V1448,$P$8:$V$8,"&gt;="&amp;$P$8,$P$8:$V$8,"&lt;="&amp;$N$8)</f>
        <v>140</v>
      </c>
      <c r="Y1448" s="860">
        <f>IFERROR((X1449/X1448),"-")</f>
        <v>0.18571428571428572</v>
      </c>
      <c r="Z1448" s="528"/>
      <c r="AA1448" s="814">
        <f>SUM(AA1450:AA1529)</f>
        <v>5884.7000000000007</v>
      </c>
      <c r="AB1448" s="814">
        <f>SUM(AB1450:AB1529)</f>
        <v>2122.61</v>
      </c>
      <c r="AC1448" s="814">
        <f>SUM(AC1450:AC1529)</f>
        <v>608.5</v>
      </c>
      <c r="AD1448" s="911">
        <f t="shared" ref="AD1448" si="5769">IFERROR((AC1448/AB1448),"-")</f>
        <v>0.28667536664766491</v>
      </c>
      <c r="AE1448" s="2"/>
      <c r="AF1448" s="888">
        <f t="shared" ref="AF1448:AL1448" si="5770">SUM(AF1450:AF1529)</f>
        <v>20048.489999999998</v>
      </c>
      <c r="AG1448" s="888">
        <f t="shared" si="5770"/>
        <v>0</v>
      </c>
      <c r="AH1448" s="888">
        <f t="shared" si="5770"/>
        <v>1529.5</v>
      </c>
      <c r="AI1448" s="888">
        <f t="shared" si="5770"/>
        <v>575.90899999999999</v>
      </c>
      <c r="AJ1448" s="888">
        <f t="shared" ref="AJ1448" si="5771">SUM(AJ1450:AJ1529)</f>
        <v>1272.4110000000001</v>
      </c>
      <c r="AK1448" s="888">
        <f t="shared" si="5770"/>
        <v>24034.81</v>
      </c>
      <c r="AL1448" s="888">
        <f t="shared" si="5770"/>
        <v>18020.850000000002</v>
      </c>
      <c r="AM1448" s="743">
        <f>IFERROR((AK1448/AL1448),"-")</f>
        <v>1.3337223271932233</v>
      </c>
      <c r="AN1448" s="2"/>
      <c r="AO1448" s="888">
        <f>SUM(AO1450:AO1529)</f>
        <v>27987.43</v>
      </c>
      <c r="AP1448" s="888">
        <f>SUM(AP1450:AP1529)</f>
        <v>3952.62</v>
      </c>
      <c r="AV1448" t="str">
        <f t="shared" si="5668"/>
        <v>Drenagem Superficial</v>
      </c>
      <c r="AW1448" s="4" t="str">
        <f t="shared" si="5659"/>
        <v>Pacote 04 - Segmento 2.2B- Km 104+500 a Km 116+400</v>
      </c>
    </row>
    <row r="1449" spans="1:50" ht="14.45" hidden="1" customHeight="1" outlineLevel="1">
      <c r="A1449" s="209">
        <v>0</v>
      </c>
      <c r="B1449" s="150"/>
      <c r="C1449" s="150">
        <v>0</v>
      </c>
      <c r="D1449" s="123"/>
      <c r="E1449" s="913"/>
      <c r="F1449" s="859"/>
      <c r="G1449" s="528"/>
      <c r="H1449" s="544" t="s">
        <v>38</v>
      </c>
      <c r="I1449" s="543">
        <f>SUMIF($L1450:$L1529,$L1449,I1450:I1529)</f>
        <v>471.5</v>
      </c>
      <c r="J1449" s="861"/>
      <c r="K1449" s="528"/>
      <c r="L1449" s="544" t="s">
        <v>38</v>
      </c>
      <c r="M1449" s="543">
        <f>SUMIF($L1450:$L1529,$L1449,M1450:M1529)</f>
        <v>6</v>
      </c>
      <c r="N1449" s="861"/>
      <c r="O1449" s="528"/>
      <c r="P1449" s="543">
        <f t="shared" ref="P1449:V1449" si="5772">SUMIF($L1450:$L1529,$L1449,P1450:P1529)</f>
        <v>20</v>
      </c>
      <c r="Q1449" s="543">
        <f t="shared" si="5772"/>
        <v>6</v>
      </c>
      <c r="R1449" s="543">
        <f t="shared" si="5772"/>
        <v>0</v>
      </c>
      <c r="S1449" s="543">
        <f t="shared" si="5772"/>
        <v>0</v>
      </c>
      <c r="T1449" s="543">
        <f t="shared" si="5772"/>
        <v>0</v>
      </c>
      <c r="U1449" s="543">
        <f t="shared" si="5772"/>
        <v>0</v>
      </c>
      <c r="V1449" s="543">
        <f t="shared" si="5772"/>
        <v>0</v>
      </c>
      <c r="W1449" s="528"/>
      <c r="X1449" s="543">
        <f t="shared" si="5768"/>
        <v>26</v>
      </c>
      <c r="Y1449" s="861"/>
      <c r="Z1449" s="528"/>
      <c r="AA1449" s="919"/>
      <c r="AB1449" s="919"/>
      <c r="AC1449" s="815"/>
      <c r="AD1449" s="912"/>
      <c r="AE1449" s="2"/>
      <c r="AF1449" s="889"/>
      <c r="AG1449" s="889"/>
      <c r="AH1449" s="889"/>
      <c r="AI1449" s="889"/>
      <c r="AJ1449" s="889"/>
      <c r="AK1449" s="889"/>
      <c r="AL1449" s="889"/>
      <c r="AM1449" s="744"/>
      <c r="AN1449" s="2"/>
      <c r="AO1449" s="888"/>
      <c r="AP1449" s="888"/>
      <c r="AV1449" t="str">
        <f t="shared" si="5668"/>
        <v>Drenagem Superficial</v>
      </c>
      <c r="AW1449" s="4" t="str">
        <f t="shared" si="5659"/>
        <v>Pacote 04 - Segmento 2.2B- Km 104+500 a Km 116+400</v>
      </c>
    </row>
    <row r="1450" spans="1:50" ht="14.45" hidden="1" customHeight="1" outlineLevel="2">
      <c r="A1450" s="209" t="str">
        <f t="shared" ref="A1450" si="5773">IF(SUM(P1450:V1451)&gt;0,"S","N")</f>
        <v>S</v>
      </c>
      <c r="B1450" s="150">
        <v>1060040</v>
      </c>
      <c r="C1450" s="150" t="s">
        <v>1765</v>
      </c>
      <c r="D1450" s="120" t="s">
        <v>1766</v>
      </c>
      <c r="E1450" s="914" t="s">
        <v>1767</v>
      </c>
      <c r="F1450" s="902" t="s">
        <v>52</v>
      </c>
      <c r="G1450" s="528"/>
      <c r="H1450" s="546" t="s">
        <v>37</v>
      </c>
      <c r="I1450" s="711">
        <v>0</v>
      </c>
      <c r="J1450" s="896" t="str">
        <f t="shared" ref="J1450" si="5774">IFERROR((I1451/I1450),"-")</f>
        <v>-</v>
      </c>
      <c r="K1450" s="528"/>
      <c r="L1450" s="546" t="s">
        <v>37</v>
      </c>
      <c r="M1450" s="711">
        <f t="shared" ref="M1450:M1513" si="5775">_xlfn.XLOOKUP($N$8,$P$8:$V$8,$P1450:$V1450)</f>
        <v>0</v>
      </c>
      <c r="N1450" s="896" t="str">
        <f t="shared" ref="N1450" si="5776">IFERROR((M1451/M1450),"-")</f>
        <v>-</v>
      </c>
      <c r="O1450" s="547"/>
      <c r="P1450" s="547">
        <v>0</v>
      </c>
      <c r="Q1450" s="547">
        <v>0</v>
      </c>
      <c r="R1450" s="547">
        <v>0</v>
      </c>
      <c r="S1450" s="547">
        <v>0</v>
      </c>
      <c r="T1450" s="547">
        <v>60</v>
      </c>
      <c r="U1450" s="547">
        <v>60</v>
      </c>
      <c r="V1450" s="548">
        <v>0</v>
      </c>
      <c r="W1450" s="898"/>
      <c r="X1450" s="711">
        <f t="shared" si="5768"/>
        <v>0</v>
      </c>
      <c r="Y1450" s="903" t="str">
        <f>IFERROR((X1451/X1450),"-")</f>
        <v>-</v>
      </c>
      <c r="Z1450" s="528"/>
      <c r="AA1450" s="997">
        <v>0</v>
      </c>
      <c r="AB1450" s="997">
        <v>0</v>
      </c>
      <c r="AC1450" s="898">
        <v>0</v>
      </c>
      <c r="AD1450" s="900" t="str">
        <f t="shared" ref="AD1450" si="5777">IFERROR((AC1450/AB1450),"-")</f>
        <v>-</v>
      </c>
      <c r="AE1450" s="2"/>
      <c r="AF1450" s="884">
        <v>814.25699999999995</v>
      </c>
      <c r="AG1450" s="878"/>
      <c r="AH1450" s="884">
        <v>0</v>
      </c>
      <c r="AI1450" s="878"/>
      <c r="AJ1450" s="878"/>
      <c r="AK1450" s="884">
        <f t="shared" ref="AK1450" si="5778">AF1450+AG1450+AH1450+AI1450+AJ1450+AC1450</f>
        <v>814.25699999999995</v>
      </c>
      <c r="AL1450" s="884">
        <v>419.00000000000006</v>
      </c>
      <c r="AM1450" s="878">
        <f t="shared" ref="AM1450" si="5779">IFERROR((AK1450/AL1450),"-")</f>
        <v>1.9433341288782813</v>
      </c>
      <c r="AN1450" s="2"/>
      <c r="AO1450" s="884">
        <v>419</v>
      </c>
      <c r="AP1450" s="884">
        <f t="shared" ref="AP1450" si="5780">AO1450-AK1450</f>
        <v>-395.25699999999995</v>
      </c>
      <c r="AV1450" t="str">
        <f t="shared" si="5668"/>
        <v>Drenagem Superficial</v>
      </c>
      <c r="AW1450" s="4" t="str">
        <f t="shared" si="5659"/>
        <v xml:space="preserve">   Construção de sarjeta trapezoidal de corte</v>
      </c>
    </row>
    <row r="1451" spans="1:50" ht="14.45" hidden="1" customHeight="1" outlineLevel="2">
      <c r="A1451" s="209" t="str">
        <f t="shared" ref="A1451" si="5781">A1450</f>
        <v>S</v>
      </c>
      <c r="B1451" s="150"/>
      <c r="C1451" s="150" t="s">
        <v>1765</v>
      </c>
      <c r="D1451" s="120" t="s">
        <v>1766</v>
      </c>
      <c r="E1451" s="915"/>
      <c r="F1451" s="902"/>
      <c r="G1451" s="528"/>
      <c r="H1451" s="549" t="s">
        <v>38</v>
      </c>
      <c r="I1451" s="711">
        <v>0</v>
      </c>
      <c r="J1451" s="897"/>
      <c r="K1451" s="528"/>
      <c r="L1451" s="549" t="s">
        <v>38</v>
      </c>
      <c r="M1451" s="711">
        <f t="shared" si="5775"/>
        <v>0</v>
      </c>
      <c r="N1451" s="897"/>
      <c r="O1451" s="548"/>
      <c r="P1451" s="548">
        <v>0</v>
      </c>
      <c r="Q1451" s="548">
        <v>0</v>
      </c>
      <c r="R1451" s="548">
        <v>0</v>
      </c>
      <c r="S1451" s="548">
        <v>0</v>
      </c>
      <c r="T1451" s="548">
        <v>0</v>
      </c>
      <c r="U1451" s="548">
        <v>0</v>
      </c>
      <c r="V1451" s="548"/>
      <c r="W1451" s="899"/>
      <c r="X1451" s="711">
        <f t="shared" si="5768"/>
        <v>0</v>
      </c>
      <c r="Y1451" s="904"/>
      <c r="Z1451" s="528"/>
      <c r="AA1451" s="899"/>
      <c r="AB1451" s="899"/>
      <c r="AC1451" s="899"/>
      <c r="AD1451" s="901"/>
      <c r="AE1451" s="2"/>
      <c r="AF1451" s="885"/>
      <c r="AG1451" s="879"/>
      <c r="AH1451" s="885"/>
      <c r="AI1451" s="879"/>
      <c r="AJ1451" s="879"/>
      <c r="AK1451" s="885"/>
      <c r="AL1451" s="885"/>
      <c r="AM1451" s="879"/>
      <c r="AN1451" s="2"/>
      <c r="AO1451" s="886"/>
      <c r="AP1451" s="886"/>
      <c r="AV1451" t="str">
        <f t="shared" si="5668"/>
        <v>Drenagem Superficial</v>
      </c>
      <c r="AW1451" s="4" t="str">
        <f t="shared" si="5659"/>
        <v xml:space="preserve">   Construção de sarjeta trapezoidal de corte</v>
      </c>
    </row>
    <row r="1452" spans="1:50" ht="14.45" hidden="1" customHeight="1" outlineLevel="2">
      <c r="A1452" s="8" t="str">
        <f t="shared" ref="A1452" si="5782">IF(SUM(P1452:V1453)&gt;0,"S","N")</f>
        <v>N</v>
      </c>
      <c r="B1452" s="150">
        <v>1061271</v>
      </c>
      <c r="C1452" s="150" t="s">
        <v>1768</v>
      </c>
      <c r="D1452" s="120" t="s">
        <v>1769</v>
      </c>
      <c r="E1452" s="914" t="s">
        <v>1770</v>
      </c>
      <c r="F1452" s="902" t="s">
        <v>52</v>
      </c>
      <c r="G1452" s="528"/>
      <c r="H1452" s="546" t="s">
        <v>37</v>
      </c>
      <c r="I1452" s="711">
        <v>0</v>
      </c>
      <c r="J1452" s="896" t="str">
        <f t="shared" ref="J1452" si="5783">IFERROR((I1453/I1452),"-")</f>
        <v>-</v>
      </c>
      <c r="K1452" s="528"/>
      <c r="L1452" s="546" t="s">
        <v>37</v>
      </c>
      <c r="M1452" s="711">
        <f t="shared" si="5775"/>
        <v>0</v>
      </c>
      <c r="N1452" s="896" t="str">
        <f t="shared" ref="N1452" si="5784">IFERROR((M1453/M1452),"-")</f>
        <v>-</v>
      </c>
      <c r="O1452" s="528"/>
      <c r="P1452" s="547">
        <v>0</v>
      </c>
      <c r="Q1452" s="547">
        <v>0</v>
      </c>
      <c r="R1452" s="547">
        <v>0</v>
      </c>
      <c r="S1452" s="547">
        <v>0</v>
      </c>
      <c r="T1452" s="547">
        <v>0</v>
      </c>
      <c r="U1452" s="547">
        <v>0</v>
      </c>
      <c r="V1452" s="548">
        <v>0</v>
      </c>
      <c r="W1452" s="528"/>
      <c r="X1452" s="711">
        <f t="shared" si="5768"/>
        <v>0</v>
      </c>
      <c r="Y1452" s="896" t="str">
        <f>IFERROR((X1453/X1452),"-")</f>
        <v>-</v>
      </c>
      <c r="Z1452" s="528"/>
      <c r="AA1452" s="898">
        <v>0</v>
      </c>
      <c r="AB1452" s="898">
        <v>0</v>
      </c>
      <c r="AC1452" s="903">
        <v>0</v>
      </c>
      <c r="AD1452" s="900" t="str">
        <f t="shared" ref="AD1452" si="5785">IFERROR((AC1452/AB1452),"-")</f>
        <v>-</v>
      </c>
      <c r="AE1452" s="2"/>
      <c r="AF1452" s="884"/>
      <c r="AG1452" s="884"/>
      <c r="AH1452" s="884">
        <v>0</v>
      </c>
      <c r="AI1452" s="884"/>
      <c r="AJ1452" s="884">
        <v>955.05200000000002</v>
      </c>
      <c r="AK1452" s="884">
        <f t="shared" ref="AK1452" si="5786">AF1452+AG1452+AH1452+AI1452+AJ1452+AC1452</f>
        <v>955.05200000000002</v>
      </c>
      <c r="AL1452" s="884">
        <v>1917.0700000000027</v>
      </c>
      <c r="AM1452" s="878">
        <f t="shared" ref="AM1452" si="5787">IFERROR((AK1452/AL1452),"-")</f>
        <v>0.49818316493398712</v>
      </c>
      <c r="AN1452" s="2"/>
      <c r="AO1452" s="884">
        <v>992</v>
      </c>
      <c r="AP1452" s="884">
        <f t="shared" ref="AP1452" si="5788">AO1452-AK1452</f>
        <v>36.947999999999979</v>
      </c>
      <c r="AV1452" t="str">
        <f t="shared" si="5668"/>
        <v>Drenagem Superficial</v>
      </c>
      <c r="AW1452" s="4" t="str">
        <f t="shared" si="5659"/>
        <v xml:space="preserve">   Seg. 2.2-A01 - Drenagem Superficial - Sarjeta de aterro (Km 104+500 a 105+040)</v>
      </c>
    </row>
    <row r="1453" spans="1:50" ht="15.6" hidden="1" customHeight="1" outlineLevel="2">
      <c r="A1453" s="8" t="str">
        <f t="shared" ref="A1453" si="5789">A1452</f>
        <v>N</v>
      </c>
      <c r="B1453" s="150"/>
      <c r="C1453" s="150" t="s">
        <v>1768</v>
      </c>
      <c r="D1453" s="120" t="s">
        <v>1769</v>
      </c>
      <c r="E1453" s="915"/>
      <c r="F1453" s="902"/>
      <c r="G1453" s="528"/>
      <c r="H1453" s="549" t="s">
        <v>38</v>
      </c>
      <c r="I1453" s="711">
        <v>0</v>
      </c>
      <c r="J1453" s="897"/>
      <c r="K1453" s="528"/>
      <c r="L1453" s="549" t="s">
        <v>38</v>
      </c>
      <c r="M1453" s="711">
        <f t="shared" si="5775"/>
        <v>0</v>
      </c>
      <c r="N1453" s="897"/>
      <c r="O1453" s="528"/>
      <c r="P1453" s="548">
        <v>0</v>
      </c>
      <c r="Q1453" s="548">
        <v>0</v>
      </c>
      <c r="R1453" s="548">
        <v>0</v>
      </c>
      <c r="S1453" s="548">
        <v>0</v>
      </c>
      <c r="T1453" s="548">
        <v>0</v>
      </c>
      <c r="U1453" s="548">
        <v>0</v>
      </c>
      <c r="V1453" s="548"/>
      <c r="W1453" s="528"/>
      <c r="X1453" s="711">
        <f t="shared" si="5768"/>
        <v>0</v>
      </c>
      <c r="Y1453" s="897"/>
      <c r="Z1453" s="528"/>
      <c r="AA1453" s="899"/>
      <c r="AB1453" s="899"/>
      <c r="AC1453" s="904"/>
      <c r="AD1453" s="901"/>
      <c r="AE1453" s="2"/>
      <c r="AF1453" s="885"/>
      <c r="AG1453" s="885"/>
      <c r="AH1453" s="885"/>
      <c r="AI1453" s="885"/>
      <c r="AJ1453" s="885"/>
      <c r="AK1453" s="885"/>
      <c r="AL1453" s="885"/>
      <c r="AM1453" s="879"/>
      <c r="AN1453" s="2"/>
      <c r="AO1453" s="886"/>
      <c r="AP1453" s="886"/>
      <c r="AV1453" t="str">
        <f t="shared" si="5668"/>
        <v>Drenagem Superficial</v>
      </c>
      <c r="AW1453" s="4" t="str">
        <f t="shared" si="5659"/>
        <v xml:space="preserve">   Seg. 2.2-A01 - Drenagem Superficial - Sarjeta de aterro (Km 104+500 a 105+040)</v>
      </c>
    </row>
    <row r="1454" spans="1:50" ht="15.6" hidden="1" customHeight="1" outlineLevel="2">
      <c r="A1454" s="8" t="str">
        <f t="shared" ref="A1454" si="5790">IF(SUM(P1454:V1455)&gt;0,"S","N")</f>
        <v>N</v>
      </c>
      <c r="B1454" s="150">
        <v>1061282</v>
      </c>
      <c r="C1454" s="150" t="s">
        <v>1771</v>
      </c>
      <c r="D1454" s="120" t="s">
        <v>1229</v>
      </c>
      <c r="E1454" s="914" t="s">
        <v>1772</v>
      </c>
      <c r="F1454" s="902" t="s">
        <v>52</v>
      </c>
      <c r="G1454" s="528"/>
      <c r="H1454" s="546" t="s">
        <v>37</v>
      </c>
      <c r="I1454" s="711">
        <v>0</v>
      </c>
      <c r="J1454" s="896" t="str">
        <f t="shared" ref="J1454" si="5791">IFERROR((I1455/I1454),"-")</f>
        <v>-</v>
      </c>
      <c r="K1454" s="528"/>
      <c r="L1454" s="546" t="s">
        <v>37</v>
      </c>
      <c r="M1454" s="711">
        <f t="shared" si="5775"/>
        <v>0</v>
      </c>
      <c r="N1454" s="896" t="str">
        <f t="shared" ref="N1454" si="5792">IFERROR((M1455/M1454),"-")</f>
        <v>-</v>
      </c>
      <c r="O1454" s="528"/>
      <c r="P1454" s="547">
        <v>0</v>
      </c>
      <c r="Q1454" s="547">
        <v>0</v>
      </c>
      <c r="R1454" s="547">
        <v>0</v>
      </c>
      <c r="S1454" s="547">
        <v>0</v>
      </c>
      <c r="T1454" s="547">
        <v>0</v>
      </c>
      <c r="U1454" s="547">
        <v>0</v>
      </c>
      <c r="V1454" s="548">
        <v>0</v>
      </c>
      <c r="W1454" s="528"/>
      <c r="X1454" s="711">
        <f t="shared" si="5768"/>
        <v>0</v>
      </c>
      <c r="Y1454" s="896" t="str">
        <f>IFERROR((X1455/X1454),"-")</f>
        <v>-</v>
      </c>
      <c r="Z1454" s="528"/>
      <c r="AA1454" s="898">
        <v>0</v>
      </c>
      <c r="AB1454" s="898">
        <v>0</v>
      </c>
      <c r="AC1454" s="903">
        <v>28</v>
      </c>
      <c r="AD1454" s="900" t="str">
        <f t="shared" ref="AD1454" si="5793">IFERROR((AC1454/AB1454),"-")</f>
        <v>-</v>
      </c>
      <c r="AE1454" s="2"/>
      <c r="AF1454" s="884">
        <v>1106.8620000000001</v>
      </c>
      <c r="AG1454" s="884"/>
      <c r="AH1454" s="884">
        <v>88</v>
      </c>
      <c r="AI1454" s="884"/>
      <c r="AJ1454" s="884"/>
      <c r="AK1454" s="884">
        <f t="shared" ref="AK1454" si="5794">AF1454+AG1454+AH1454+AI1454+AJ1454+AC1454</f>
        <v>1222.8620000000001</v>
      </c>
      <c r="AL1454" s="884">
        <v>466.9700000000006</v>
      </c>
      <c r="AM1454" s="878">
        <f t="shared" ref="AM1454" si="5795">IFERROR((AK1454/AL1454),"-")</f>
        <v>2.6187164057648213</v>
      </c>
      <c r="AN1454" s="2"/>
      <c r="AO1454" s="884">
        <v>371</v>
      </c>
      <c r="AP1454" s="884">
        <f t="shared" ref="AP1454" si="5796">AO1454-AK1454</f>
        <v>-851.86200000000008</v>
      </c>
      <c r="AV1454" t="str">
        <f t="shared" si="5668"/>
        <v>Drenagem Superficial</v>
      </c>
      <c r="AW1454" s="4" t="str">
        <f t="shared" si="5659"/>
        <v xml:space="preserve">   Seg. 2.2-A04 - Drenagem Superficial - Sarjeta de aterro (Km 105+980 a 106+200)</v>
      </c>
    </row>
    <row r="1455" spans="1:50" ht="15.6" hidden="1" customHeight="1" outlineLevel="2">
      <c r="A1455" s="8" t="str">
        <f t="shared" ref="A1455" si="5797">A1454</f>
        <v>N</v>
      </c>
      <c r="B1455" s="150"/>
      <c r="C1455" s="150" t="s">
        <v>1771</v>
      </c>
      <c r="D1455" s="120" t="s">
        <v>1229</v>
      </c>
      <c r="E1455" s="915"/>
      <c r="F1455" s="902"/>
      <c r="G1455" s="528"/>
      <c r="H1455" s="549" t="s">
        <v>38</v>
      </c>
      <c r="I1455" s="711">
        <v>0</v>
      </c>
      <c r="J1455" s="897"/>
      <c r="K1455" s="528"/>
      <c r="L1455" s="549" t="s">
        <v>38</v>
      </c>
      <c r="M1455" s="711">
        <f t="shared" si="5775"/>
        <v>0</v>
      </c>
      <c r="N1455" s="897"/>
      <c r="O1455" s="528"/>
      <c r="P1455" s="548">
        <v>0</v>
      </c>
      <c r="Q1455" s="548">
        <v>0</v>
      </c>
      <c r="R1455" s="548">
        <v>0</v>
      </c>
      <c r="S1455" s="548">
        <v>0</v>
      </c>
      <c r="T1455" s="548">
        <v>0</v>
      </c>
      <c r="U1455" s="548">
        <v>0</v>
      </c>
      <c r="V1455" s="548"/>
      <c r="W1455" s="528"/>
      <c r="X1455" s="711">
        <f t="shared" si="5768"/>
        <v>0</v>
      </c>
      <c r="Y1455" s="897"/>
      <c r="Z1455" s="528"/>
      <c r="AA1455" s="899"/>
      <c r="AB1455" s="899"/>
      <c r="AC1455" s="904"/>
      <c r="AD1455" s="901"/>
      <c r="AE1455" s="2"/>
      <c r="AF1455" s="885"/>
      <c r="AG1455" s="885"/>
      <c r="AH1455" s="885"/>
      <c r="AI1455" s="885"/>
      <c r="AJ1455" s="885"/>
      <c r="AK1455" s="885"/>
      <c r="AL1455" s="885"/>
      <c r="AM1455" s="879"/>
      <c r="AN1455" s="2"/>
      <c r="AO1455" s="886"/>
      <c r="AP1455" s="886"/>
      <c r="AV1455" t="str">
        <f t="shared" si="5668"/>
        <v>Drenagem Superficial</v>
      </c>
      <c r="AW1455" s="4" t="str">
        <f t="shared" si="5659"/>
        <v xml:space="preserve">   Seg. 2.2-A04 - Drenagem Superficial - Sarjeta de aterro (Km 105+980 a 106+200)</v>
      </c>
    </row>
    <row r="1456" spans="1:50" ht="15.6" hidden="1" customHeight="1" outlineLevel="2">
      <c r="A1456" s="8" t="str">
        <f t="shared" ref="A1456" si="5798">IF(SUM(P1456:V1457)&gt;0,"S","N")</f>
        <v>N</v>
      </c>
      <c r="B1456" s="150">
        <v>1061285</v>
      </c>
      <c r="C1456" s="150" t="s">
        <v>1773</v>
      </c>
      <c r="D1456" s="120" t="s">
        <v>782</v>
      </c>
      <c r="E1456" s="914" t="s">
        <v>1774</v>
      </c>
      <c r="F1456" s="902" t="s">
        <v>52</v>
      </c>
      <c r="G1456" s="528"/>
      <c r="H1456" s="546" t="s">
        <v>37</v>
      </c>
      <c r="I1456" s="711">
        <v>0</v>
      </c>
      <c r="J1456" s="896" t="str">
        <f t="shared" ref="J1456" si="5799">IFERROR((I1457/I1456),"-")</f>
        <v>-</v>
      </c>
      <c r="K1456" s="528"/>
      <c r="L1456" s="546" t="s">
        <v>37</v>
      </c>
      <c r="M1456" s="711">
        <f t="shared" si="5775"/>
        <v>0</v>
      </c>
      <c r="N1456" s="896" t="str">
        <f t="shared" ref="N1456" si="5800">IFERROR((M1457/M1456),"-")</f>
        <v>-</v>
      </c>
      <c r="O1456" s="528"/>
      <c r="P1456" s="547">
        <v>0</v>
      </c>
      <c r="Q1456" s="547">
        <v>0</v>
      </c>
      <c r="R1456" s="547">
        <v>0</v>
      </c>
      <c r="S1456" s="547">
        <v>0</v>
      </c>
      <c r="T1456" s="547">
        <v>0</v>
      </c>
      <c r="U1456" s="547">
        <v>0</v>
      </c>
      <c r="V1456" s="548">
        <v>0</v>
      </c>
      <c r="W1456" s="528"/>
      <c r="X1456" s="711">
        <f t="shared" si="5768"/>
        <v>0</v>
      </c>
      <c r="Y1456" s="896" t="str">
        <f t="shared" ref="Y1456" si="5801">IFERROR((X1457/X1456),"-")</f>
        <v>-</v>
      </c>
      <c r="Z1456" s="528"/>
      <c r="AA1456" s="898">
        <v>192.26</v>
      </c>
      <c r="AB1456" s="898">
        <v>155.18</v>
      </c>
      <c r="AC1456" s="903">
        <v>72.5</v>
      </c>
      <c r="AD1456" s="900">
        <f t="shared" ref="AD1456" si="5802">IFERROR((AC1456/AB1456),"-")</f>
        <v>0.46719938136357775</v>
      </c>
      <c r="AE1456" s="2"/>
      <c r="AF1456" s="884">
        <v>830.99599999999998</v>
      </c>
      <c r="AG1456" s="884"/>
      <c r="AH1456" s="884">
        <v>0</v>
      </c>
      <c r="AI1456" s="884"/>
      <c r="AJ1456" s="884"/>
      <c r="AK1456" s="884">
        <f t="shared" ref="AK1456" si="5803">AF1456+AG1456+AH1456+AI1456+AJ1456+AC1456</f>
        <v>903.49599999999998</v>
      </c>
      <c r="AL1456" s="884">
        <v>425.91999999999996</v>
      </c>
      <c r="AM1456" s="878">
        <f t="shared" ref="AM1456" si="5804">IFERROR((AK1456/AL1456),"-")</f>
        <v>2.1212809917355373</v>
      </c>
      <c r="AN1456" s="2"/>
      <c r="AO1456" s="884">
        <v>463</v>
      </c>
      <c r="AP1456" s="884">
        <f t="shared" ref="AP1456" si="5805">AO1456-AK1456</f>
        <v>-440.49599999999998</v>
      </c>
      <c r="AV1456" t="str">
        <f t="shared" si="5668"/>
        <v>Drenagem Superficial</v>
      </c>
      <c r="AW1456" s="4" t="str">
        <f t="shared" si="5659"/>
        <v xml:space="preserve">   Seg. 2.2-A05-B01 - Drenagem Superficial - Sarjeta de aterro (Km 107+420 a 107+700)</v>
      </c>
    </row>
    <row r="1457" spans="1:49" ht="15.6" hidden="1" customHeight="1" outlineLevel="2">
      <c r="A1457" s="8" t="str">
        <f t="shared" ref="A1457" si="5806">A1456</f>
        <v>N</v>
      </c>
      <c r="B1457" s="150"/>
      <c r="C1457" s="150" t="s">
        <v>1773</v>
      </c>
      <c r="D1457" s="120" t="s">
        <v>782</v>
      </c>
      <c r="E1457" s="915"/>
      <c r="F1457" s="902"/>
      <c r="G1457" s="528"/>
      <c r="H1457" s="549" t="s">
        <v>38</v>
      </c>
      <c r="I1457" s="711">
        <v>72.5</v>
      </c>
      <c r="J1457" s="897"/>
      <c r="K1457" s="528"/>
      <c r="L1457" s="549" t="s">
        <v>38</v>
      </c>
      <c r="M1457" s="711">
        <f t="shared" si="5775"/>
        <v>0</v>
      </c>
      <c r="N1457" s="897"/>
      <c r="O1457" s="528"/>
      <c r="P1457" s="548">
        <v>0</v>
      </c>
      <c r="Q1457" s="548">
        <v>0</v>
      </c>
      <c r="R1457" s="548">
        <v>0</v>
      </c>
      <c r="S1457" s="548">
        <v>0</v>
      </c>
      <c r="T1457" s="548">
        <v>0</v>
      </c>
      <c r="U1457" s="548">
        <v>0</v>
      </c>
      <c r="V1457" s="548"/>
      <c r="W1457" s="528"/>
      <c r="X1457" s="711">
        <f t="shared" si="5768"/>
        <v>0</v>
      </c>
      <c r="Y1457" s="897"/>
      <c r="Z1457" s="528"/>
      <c r="AA1457" s="899"/>
      <c r="AB1457" s="899"/>
      <c r="AC1457" s="904"/>
      <c r="AD1457" s="901"/>
      <c r="AE1457" s="2"/>
      <c r="AF1457" s="885"/>
      <c r="AG1457" s="885"/>
      <c r="AH1457" s="885"/>
      <c r="AI1457" s="885"/>
      <c r="AJ1457" s="885"/>
      <c r="AK1457" s="885"/>
      <c r="AL1457" s="885"/>
      <c r="AM1457" s="879"/>
      <c r="AN1457" s="2"/>
      <c r="AO1457" s="886"/>
      <c r="AP1457" s="886"/>
      <c r="AV1457" t="str">
        <f t="shared" si="5668"/>
        <v>Drenagem Superficial</v>
      </c>
      <c r="AW1457" s="4" t="str">
        <f t="shared" si="5659"/>
        <v xml:space="preserve">   Seg. 2.2-A05-B01 - Drenagem Superficial - Sarjeta de aterro (Km 107+420 a 107+700)</v>
      </c>
    </row>
    <row r="1458" spans="1:49" ht="15.6" hidden="1" customHeight="1" outlineLevel="2">
      <c r="A1458" s="8" t="str">
        <f t="shared" ref="A1458" si="5807">IF(SUM(P1458:V1459)&gt;0,"S","N")</f>
        <v>N</v>
      </c>
      <c r="B1458" s="150">
        <v>1061289</v>
      </c>
      <c r="C1458" s="150" t="s">
        <v>1775</v>
      </c>
      <c r="D1458" s="120" t="s">
        <v>275</v>
      </c>
      <c r="E1458" s="914" t="s">
        <v>1776</v>
      </c>
      <c r="F1458" s="902" t="s">
        <v>52</v>
      </c>
      <c r="G1458" s="528"/>
      <c r="H1458" s="546" t="s">
        <v>37</v>
      </c>
      <c r="I1458" s="711">
        <v>0</v>
      </c>
      <c r="J1458" s="896" t="str">
        <f t="shared" ref="J1458" si="5808">IFERROR((I1459/I1458),"-")</f>
        <v>-</v>
      </c>
      <c r="K1458" s="528"/>
      <c r="L1458" s="546" t="s">
        <v>37</v>
      </c>
      <c r="M1458" s="711">
        <f t="shared" si="5775"/>
        <v>0</v>
      </c>
      <c r="N1458" s="896" t="str">
        <f t="shared" ref="N1458" si="5809">IFERROR((M1459/M1458),"-")</f>
        <v>-</v>
      </c>
      <c r="O1458" s="528"/>
      <c r="P1458" s="547">
        <v>0</v>
      </c>
      <c r="Q1458" s="547">
        <v>0</v>
      </c>
      <c r="R1458" s="547">
        <v>0</v>
      </c>
      <c r="S1458" s="547">
        <v>0</v>
      </c>
      <c r="T1458" s="547">
        <v>0</v>
      </c>
      <c r="U1458" s="547">
        <v>0</v>
      </c>
      <c r="V1458" s="548">
        <v>0</v>
      </c>
      <c r="W1458" s="528"/>
      <c r="X1458" s="711">
        <f t="shared" si="5768"/>
        <v>0</v>
      </c>
      <c r="Y1458" s="896" t="str">
        <f t="shared" ref="Y1458" si="5810">IFERROR((X1459/X1458),"-")</f>
        <v>-</v>
      </c>
      <c r="Z1458" s="528"/>
      <c r="AA1458" s="898">
        <v>0</v>
      </c>
      <c r="AB1458" s="898">
        <v>0</v>
      </c>
      <c r="AC1458" s="903">
        <v>0</v>
      </c>
      <c r="AD1458" s="900" t="str">
        <f t="shared" ref="AD1458" si="5811">IFERROR((AC1458/AB1458),"-")</f>
        <v>-</v>
      </c>
      <c r="AE1458" s="2"/>
      <c r="AF1458" s="884">
        <v>1482.213</v>
      </c>
      <c r="AG1458" s="884"/>
      <c r="AH1458" s="884">
        <v>0</v>
      </c>
      <c r="AI1458" s="884"/>
      <c r="AJ1458" s="884"/>
      <c r="AK1458" s="884">
        <f t="shared" ref="AK1458" si="5812">AF1458+AG1458+AH1458+AI1458+AJ1458+AC1458</f>
        <v>1482.213</v>
      </c>
      <c r="AL1458" s="884">
        <v>605.99</v>
      </c>
      <c r="AM1458" s="878">
        <f t="shared" ref="AM1458" si="5813">IFERROR((AK1458/AL1458),"-")</f>
        <v>2.4459364015907852</v>
      </c>
      <c r="AN1458" s="2"/>
      <c r="AO1458" s="884">
        <v>606</v>
      </c>
      <c r="AP1458" s="884">
        <f t="shared" ref="AP1458" si="5814">AO1458-AK1458</f>
        <v>-876.21299999999997</v>
      </c>
      <c r="AV1458" t="str">
        <f t="shared" si="5668"/>
        <v>Drenagem Superficial</v>
      </c>
      <c r="AW1458" s="4" t="str">
        <f t="shared" si="5659"/>
        <v xml:space="preserve">   Seg. 2.2-A06 - Drenagem Superficial - Sarjeta de aterro (Km 108+120 a 108+540)</v>
      </c>
    </row>
    <row r="1459" spans="1:49" ht="15.6" hidden="1" customHeight="1" outlineLevel="2">
      <c r="A1459" s="8" t="str">
        <f t="shared" ref="A1459" si="5815">A1458</f>
        <v>N</v>
      </c>
      <c r="B1459" s="150"/>
      <c r="C1459" s="150" t="s">
        <v>1775</v>
      </c>
      <c r="D1459" s="120" t="s">
        <v>275</v>
      </c>
      <c r="E1459" s="915"/>
      <c r="F1459" s="902"/>
      <c r="G1459" s="528"/>
      <c r="H1459" s="549" t="s">
        <v>38</v>
      </c>
      <c r="I1459" s="711">
        <v>0</v>
      </c>
      <c r="J1459" s="897"/>
      <c r="K1459" s="528"/>
      <c r="L1459" s="549" t="s">
        <v>38</v>
      </c>
      <c r="M1459" s="711">
        <f t="shared" si="5775"/>
        <v>0</v>
      </c>
      <c r="N1459" s="897"/>
      <c r="O1459" s="528"/>
      <c r="P1459" s="548">
        <v>0</v>
      </c>
      <c r="Q1459" s="548">
        <v>0</v>
      </c>
      <c r="R1459" s="548">
        <v>0</v>
      </c>
      <c r="S1459" s="548">
        <v>0</v>
      </c>
      <c r="T1459" s="548">
        <v>0</v>
      </c>
      <c r="U1459" s="548">
        <v>0</v>
      </c>
      <c r="V1459" s="548"/>
      <c r="W1459" s="528"/>
      <c r="X1459" s="711">
        <f t="shared" si="5768"/>
        <v>0</v>
      </c>
      <c r="Y1459" s="897"/>
      <c r="Z1459" s="528"/>
      <c r="AA1459" s="899"/>
      <c r="AB1459" s="899"/>
      <c r="AC1459" s="904"/>
      <c r="AD1459" s="901"/>
      <c r="AE1459" s="2"/>
      <c r="AF1459" s="885"/>
      <c r="AG1459" s="885"/>
      <c r="AH1459" s="885"/>
      <c r="AI1459" s="885"/>
      <c r="AJ1459" s="885"/>
      <c r="AK1459" s="885"/>
      <c r="AL1459" s="885"/>
      <c r="AM1459" s="879"/>
      <c r="AN1459" s="2"/>
      <c r="AO1459" s="886"/>
      <c r="AP1459" s="886"/>
      <c r="AV1459" t="str">
        <f t="shared" si="5668"/>
        <v>Drenagem Superficial</v>
      </c>
      <c r="AW1459" s="4" t="str">
        <f t="shared" si="5659"/>
        <v xml:space="preserve">   Seg. 2.2-A06 - Drenagem Superficial - Sarjeta de aterro (Km 108+120 a 108+540)</v>
      </c>
    </row>
    <row r="1460" spans="1:49" ht="15.6" hidden="1" customHeight="1" outlineLevel="2">
      <c r="A1460" s="8" t="str">
        <f t="shared" ref="A1460" si="5816">IF(SUM(P1460:V1461)&gt;0,"S","N")</f>
        <v>N</v>
      </c>
      <c r="B1460" s="150">
        <v>1061486</v>
      </c>
      <c r="C1460" s="150" t="s">
        <v>1777</v>
      </c>
      <c r="D1460" s="120" t="s">
        <v>1778</v>
      </c>
      <c r="E1460" s="914" t="s">
        <v>1767</v>
      </c>
      <c r="F1460" s="902" t="s">
        <v>52</v>
      </c>
      <c r="G1460" s="528"/>
      <c r="H1460" s="546" t="s">
        <v>37</v>
      </c>
      <c r="I1460" s="711">
        <v>0</v>
      </c>
      <c r="J1460" s="896" t="str">
        <f t="shared" ref="J1460" si="5817">IFERROR((I1461/I1460),"-")</f>
        <v>-</v>
      </c>
      <c r="K1460" s="528"/>
      <c r="L1460" s="546" t="s">
        <v>37</v>
      </c>
      <c r="M1460" s="711">
        <f t="shared" si="5775"/>
        <v>0</v>
      </c>
      <c r="N1460" s="896" t="str">
        <f t="shared" ref="N1460" si="5818">IFERROR((M1461/M1460),"-")</f>
        <v>-</v>
      </c>
      <c r="O1460" s="528"/>
      <c r="P1460" s="547">
        <v>0</v>
      </c>
      <c r="Q1460" s="547">
        <v>0</v>
      </c>
      <c r="R1460" s="547">
        <v>0</v>
      </c>
      <c r="S1460" s="547">
        <v>0</v>
      </c>
      <c r="T1460" s="547">
        <v>0</v>
      </c>
      <c r="U1460" s="547">
        <v>0</v>
      </c>
      <c r="V1460" s="548">
        <v>0</v>
      </c>
      <c r="W1460" s="528"/>
      <c r="X1460" s="711">
        <f t="shared" si="5768"/>
        <v>0</v>
      </c>
      <c r="Y1460" s="896" t="str">
        <f t="shared" ref="Y1460" si="5819">IFERROR((X1461/X1460),"-")</f>
        <v>-</v>
      </c>
      <c r="Z1460" s="528"/>
      <c r="AA1460" s="898">
        <v>889.5</v>
      </c>
      <c r="AB1460" s="898">
        <v>508.28</v>
      </c>
      <c r="AC1460" s="903">
        <v>0</v>
      </c>
      <c r="AD1460" s="900">
        <f t="shared" ref="AD1460" si="5820">IFERROR((AC1460/AB1460),"-")</f>
        <v>0</v>
      </c>
      <c r="AE1460" s="2"/>
      <c r="AF1460" s="884"/>
      <c r="AG1460" s="884"/>
      <c r="AH1460" s="884">
        <v>0</v>
      </c>
      <c r="AI1460" s="884"/>
      <c r="AJ1460" s="884"/>
      <c r="AK1460" s="884">
        <f t="shared" ref="AK1460" si="5821">AF1460+AG1460+AH1460+AI1460+AJ1460+AC1460</f>
        <v>0</v>
      </c>
      <c r="AL1460" s="884">
        <v>508.28</v>
      </c>
      <c r="AM1460" s="878">
        <f t="shared" ref="AM1460" si="5822">IFERROR((AK1460/AL1460),"-")</f>
        <v>0</v>
      </c>
      <c r="AN1460" s="2"/>
      <c r="AO1460" s="884">
        <v>889.5</v>
      </c>
      <c r="AP1460" s="884">
        <f t="shared" ref="AP1460" si="5823">AO1460-AK1460</f>
        <v>889.5</v>
      </c>
      <c r="AV1460" t="str">
        <f t="shared" si="5668"/>
        <v>Drenagem Superficial</v>
      </c>
      <c r="AW1460" s="4" t="str">
        <f t="shared" si="5659"/>
        <v xml:space="preserve">   Construção de sarjeta trapezoidal de corte</v>
      </c>
    </row>
    <row r="1461" spans="1:49" ht="15.6" hidden="1" customHeight="1" outlineLevel="2">
      <c r="A1461" s="8" t="str">
        <f t="shared" ref="A1461" si="5824">A1460</f>
        <v>N</v>
      </c>
      <c r="B1461" s="150"/>
      <c r="C1461" s="150" t="s">
        <v>1777</v>
      </c>
      <c r="D1461" s="120" t="s">
        <v>1778</v>
      </c>
      <c r="E1461" s="915"/>
      <c r="F1461" s="902"/>
      <c r="G1461" s="528"/>
      <c r="H1461" s="549" t="s">
        <v>38</v>
      </c>
      <c r="I1461" s="711">
        <v>0</v>
      </c>
      <c r="J1461" s="897"/>
      <c r="K1461" s="528"/>
      <c r="L1461" s="549" t="s">
        <v>38</v>
      </c>
      <c r="M1461" s="711">
        <f t="shared" si="5775"/>
        <v>0</v>
      </c>
      <c r="N1461" s="897"/>
      <c r="O1461" s="528"/>
      <c r="P1461" s="548">
        <v>0</v>
      </c>
      <c r="Q1461" s="548">
        <v>0</v>
      </c>
      <c r="R1461" s="548">
        <v>0</v>
      </c>
      <c r="S1461" s="548">
        <v>0</v>
      </c>
      <c r="T1461" s="548">
        <v>0</v>
      </c>
      <c r="U1461" s="548">
        <v>0</v>
      </c>
      <c r="V1461" s="548"/>
      <c r="W1461" s="528"/>
      <c r="X1461" s="711">
        <f t="shared" si="5768"/>
        <v>0</v>
      </c>
      <c r="Y1461" s="897"/>
      <c r="Z1461" s="528"/>
      <c r="AA1461" s="899"/>
      <c r="AB1461" s="899"/>
      <c r="AC1461" s="904"/>
      <c r="AD1461" s="901"/>
      <c r="AE1461" s="2"/>
      <c r="AF1461" s="885"/>
      <c r="AG1461" s="885"/>
      <c r="AH1461" s="885"/>
      <c r="AI1461" s="885"/>
      <c r="AJ1461" s="885"/>
      <c r="AK1461" s="885"/>
      <c r="AL1461" s="885"/>
      <c r="AM1461" s="879"/>
      <c r="AN1461" s="2"/>
      <c r="AO1461" s="886"/>
      <c r="AP1461" s="886"/>
      <c r="AV1461" t="str">
        <f t="shared" si="5668"/>
        <v>Drenagem Superficial</v>
      </c>
      <c r="AW1461" s="4" t="str">
        <f t="shared" si="5659"/>
        <v xml:space="preserve">   Construção de sarjeta trapezoidal de corte</v>
      </c>
    </row>
    <row r="1462" spans="1:49" ht="15.6" hidden="1" customHeight="1" outlineLevel="2">
      <c r="A1462" s="8" t="str">
        <f t="shared" ref="A1462" si="5825">IF(SUM(P1462:V1463)&gt;0,"S","N")</f>
        <v>N</v>
      </c>
      <c r="B1462" s="150">
        <v>1061572</v>
      </c>
      <c r="C1462" s="150" t="s">
        <v>1779</v>
      </c>
      <c r="D1462" s="120" t="s">
        <v>181</v>
      </c>
      <c r="E1462" s="914" t="s">
        <v>1780</v>
      </c>
      <c r="F1462" s="902" t="s">
        <v>52</v>
      </c>
      <c r="G1462" s="528"/>
      <c r="H1462" s="546" t="s">
        <v>37</v>
      </c>
      <c r="I1462" s="711">
        <v>0</v>
      </c>
      <c r="J1462" s="896" t="str">
        <f t="shared" ref="J1462" si="5826">IFERROR((I1463/I1462),"-")</f>
        <v>-</v>
      </c>
      <c r="K1462" s="528"/>
      <c r="L1462" s="546" t="s">
        <v>37</v>
      </c>
      <c r="M1462" s="711">
        <f t="shared" si="5775"/>
        <v>0</v>
      </c>
      <c r="N1462" s="896" t="str">
        <f t="shared" ref="N1462" si="5827">IFERROR((M1463/M1462),"-")</f>
        <v>-</v>
      </c>
      <c r="O1462" s="528"/>
      <c r="P1462" s="547">
        <v>0</v>
      </c>
      <c r="Q1462" s="547">
        <v>0</v>
      </c>
      <c r="R1462" s="547">
        <v>0</v>
      </c>
      <c r="S1462" s="547">
        <v>0</v>
      </c>
      <c r="T1462" s="547">
        <v>0</v>
      </c>
      <c r="U1462" s="547">
        <v>0</v>
      </c>
      <c r="V1462" s="548">
        <v>0</v>
      </c>
      <c r="W1462" s="528"/>
      <c r="X1462" s="711">
        <f t="shared" si="5768"/>
        <v>0</v>
      </c>
      <c r="Y1462" s="896" t="str">
        <f t="shared" ref="Y1462" si="5828">IFERROR((X1463/X1462),"-")</f>
        <v>-</v>
      </c>
      <c r="Z1462" s="528"/>
      <c r="AA1462" s="898">
        <v>556.17999999999995</v>
      </c>
      <c r="AB1462" s="898">
        <v>247.2</v>
      </c>
      <c r="AC1462" s="903">
        <v>0</v>
      </c>
      <c r="AD1462" s="900">
        <f t="shared" ref="AD1462" si="5829">IFERROR((AC1462/AB1462),"-")</f>
        <v>0</v>
      </c>
      <c r="AE1462" s="2"/>
      <c r="AF1462" s="884">
        <v>225.155</v>
      </c>
      <c r="AG1462" s="884"/>
      <c r="AH1462" s="884">
        <v>0</v>
      </c>
      <c r="AI1462" s="884"/>
      <c r="AJ1462" s="884"/>
      <c r="AK1462" s="884">
        <f t="shared" ref="AK1462" si="5830">AF1462+AG1462+AH1462+AI1462+AJ1462+AC1462</f>
        <v>225.155</v>
      </c>
      <c r="AL1462" s="884">
        <v>250.62</v>
      </c>
      <c r="AM1462" s="878">
        <f t="shared" ref="AM1462" si="5831">IFERROR((AK1462/AL1462),"-")</f>
        <v>0.89839198787008223</v>
      </c>
      <c r="AN1462" s="2"/>
      <c r="AO1462" s="884">
        <v>559.59</v>
      </c>
      <c r="AP1462" s="884">
        <f t="shared" ref="AP1462" si="5832">AO1462-AK1462</f>
        <v>334.43500000000006</v>
      </c>
      <c r="AV1462" t="str">
        <f t="shared" si="5668"/>
        <v>Drenagem Superficial</v>
      </c>
      <c r="AW1462" s="4" t="str">
        <f t="shared" si="5659"/>
        <v xml:space="preserve">   Seg. 2.2-C02 - Drenagem Superficial - Sarjeta de corte (Km 105+208 a 105+560) Manual</v>
      </c>
    </row>
    <row r="1463" spans="1:49" ht="15.6" hidden="1" customHeight="1" outlineLevel="2">
      <c r="A1463" s="8" t="str">
        <f t="shared" ref="A1463" si="5833">A1462</f>
        <v>N</v>
      </c>
      <c r="B1463" s="150"/>
      <c r="C1463" s="150" t="s">
        <v>1779</v>
      </c>
      <c r="D1463" s="120" t="s">
        <v>181</v>
      </c>
      <c r="E1463" s="915"/>
      <c r="F1463" s="902"/>
      <c r="G1463" s="528"/>
      <c r="H1463" s="549" t="s">
        <v>38</v>
      </c>
      <c r="I1463" s="711">
        <v>0</v>
      </c>
      <c r="J1463" s="897"/>
      <c r="K1463" s="528"/>
      <c r="L1463" s="549" t="s">
        <v>38</v>
      </c>
      <c r="M1463" s="711">
        <f t="shared" si="5775"/>
        <v>0</v>
      </c>
      <c r="N1463" s="897"/>
      <c r="O1463" s="528"/>
      <c r="P1463" s="548">
        <v>0</v>
      </c>
      <c r="Q1463" s="548">
        <v>0</v>
      </c>
      <c r="R1463" s="548">
        <v>0</v>
      </c>
      <c r="S1463" s="548">
        <v>0</v>
      </c>
      <c r="T1463" s="548">
        <v>0</v>
      </c>
      <c r="U1463" s="548">
        <v>0</v>
      </c>
      <c r="V1463" s="548"/>
      <c r="W1463" s="528"/>
      <c r="X1463" s="711">
        <f t="shared" si="5768"/>
        <v>0</v>
      </c>
      <c r="Y1463" s="897"/>
      <c r="Z1463" s="528"/>
      <c r="AA1463" s="899"/>
      <c r="AB1463" s="899"/>
      <c r="AC1463" s="904"/>
      <c r="AD1463" s="901"/>
      <c r="AE1463" s="2"/>
      <c r="AF1463" s="885"/>
      <c r="AG1463" s="885"/>
      <c r="AH1463" s="885"/>
      <c r="AI1463" s="885"/>
      <c r="AJ1463" s="885"/>
      <c r="AK1463" s="885"/>
      <c r="AL1463" s="885"/>
      <c r="AM1463" s="879"/>
      <c r="AN1463" s="2"/>
      <c r="AO1463" s="886"/>
      <c r="AP1463" s="886"/>
      <c r="AV1463" t="str">
        <f t="shared" si="5668"/>
        <v>Drenagem Superficial</v>
      </c>
      <c r="AW1463" s="4" t="str">
        <f t="shared" si="5659"/>
        <v xml:space="preserve">   Seg. 2.2-C02 - Drenagem Superficial - Sarjeta de corte (Km 105+208 a 105+560) Manual</v>
      </c>
    </row>
    <row r="1464" spans="1:49" ht="15.6" hidden="1" customHeight="1" outlineLevel="2">
      <c r="A1464" s="209" t="str">
        <f t="shared" ref="A1464" si="5834">IF(SUM(P1464:V1465)&gt;0,"S","N")</f>
        <v>N</v>
      </c>
      <c r="B1464" s="150">
        <v>1061577</v>
      </c>
      <c r="C1464" s="150" t="s">
        <v>1781</v>
      </c>
      <c r="D1464" s="120" t="s">
        <v>184</v>
      </c>
      <c r="E1464" s="914" t="s">
        <v>1782</v>
      </c>
      <c r="F1464" s="902" t="s">
        <v>52</v>
      </c>
      <c r="G1464" s="528"/>
      <c r="H1464" s="546" t="s">
        <v>37</v>
      </c>
      <c r="I1464" s="711">
        <v>0</v>
      </c>
      <c r="J1464" s="896" t="str">
        <f t="shared" ref="J1464" si="5835">IFERROR((I1465/I1464),"-")</f>
        <v>-</v>
      </c>
      <c r="K1464" s="528"/>
      <c r="L1464" s="546" t="s">
        <v>37</v>
      </c>
      <c r="M1464" s="711">
        <f t="shared" si="5775"/>
        <v>0</v>
      </c>
      <c r="N1464" s="896" t="str">
        <f t="shared" ref="N1464" si="5836">IFERROR((M1465/M1464),"-")</f>
        <v>-</v>
      </c>
      <c r="O1464" s="528"/>
      <c r="P1464" s="547">
        <v>0</v>
      </c>
      <c r="Q1464" s="547">
        <v>0</v>
      </c>
      <c r="R1464" s="547">
        <v>0</v>
      </c>
      <c r="S1464" s="547">
        <v>0</v>
      </c>
      <c r="T1464" s="547">
        <v>0</v>
      </c>
      <c r="U1464" s="547">
        <v>0</v>
      </c>
      <c r="V1464" s="548">
        <v>0</v>
      </c>
      <c r="W1464" s="528"/>
      <c r="X1464" s="711">
        <f t="shared" si="5768"/>
        <v>0</v>
      </c>
      <c r="Y1464" s="896" t="str">
        <f t="shared" ref="Y1464" si="5837">IFERROR((X1465/X1464),"-")</f>
        <v>-</v>
      </c>
      <c r="Z1464" s="528"/>
      <c r="AA1464" s="898">
        <v>688.84</v>
      </c>
      <c r="AB1464" s="898">
        <v>0</v>
      </c>
      <c r="AC1464" s="903">
        <v>0</v>
      </c>
      <c r="AD1464" s="900" t="str">
        <f t="shared" ref="AD1464" si="5838">IFERROR((AC1464/AB1464),"-")</f>
        <v>-</v>
      </c>
      <c r="AE1464" s="2"/>
      <c r="AF1464" s="884">
        <v>340.72300000000001</v>
      </c>
      <c r="AG1464" s="884"/>
      <c r="AH1464" s="884">
        <v>16</v>
      </c>
      <c r="AI1464" s="884"/>
      <c r="AJ1464" s="884">
        <v>161.71</v>
      </c>
      <c r="AK1464" s="884">
        <f t="shared" ref="AK1464" si="5839">AF1464+AG1464+AH1464+AI1464+AJ1464+AC1464</f>
        <v>518.43299999999999</v>
      </c>
      <c r="AL1464" s="884">
        <v>0</v>
      </c>
      <c r="AM1464" s="878" t="str">
        <f t="shared" ref="AM1464" si="5840">IFERROR((AK1464/AL1464),"-")</f>
        <v>-</v>
      </c>
      <c r="AN1464" s="2"/>
      <c r="AO1464" s="884">
        <v>688.84</v>
      </c>
      <c r="AP1464" s="884">
        <f t="shared" ref="AP1464" si="5841">AO1464-AK1464</f>
        <v>170.40700000000004</v>
      </c>
      <c r="AV1464" t="str">
        <f t="shared" si="5668"/>
        <v>Drenagem Superficial</v>
      </c>
      <c r="AW1464" s="4" t="str">
        <f t="shared" si="5659"/>
        <v xml:space="preserve">   Seg. 2.2-C03 - Drenagem Superficial - Sarjeta de corte (Km 105+620 a 105+960)</v>
      </c>
    </row>
    <row r="1465" spans="1:49" ht="15.6" hidden="1" customHeight="1" outlineLevel="2">
      <c r="A1465" s="209" t="str">
        <f t="shared" ref="A1465" si="5842">A1464</f>
        <v>N</v>
      </c>
      <c r="B1465" s="150"/>
      <c r="C1465" s="150" t="s">
        <v>1781</v>
      </c>
      <c r="D1465" s="120" t="s">
        <v>184</v>
      </c>
      <c r="E1465" s="915"/>
      <c r="F1465" s="902"/>
      <c r="G1465" s="528"/>
      <c r="H1465" s="549" t="s">
        <v>38</v>
      </c>
      <c r="I1465" s="711">
        <v>0</v>
      </c>
      <c r="J1465" s="897"/>
      <c r="K1465" s="528"/>
      <c r="L1465" s="549" t="s">
        <v>38</v>
      </c>
      <c r="M1465" s="711">
        <f t="shared" si="5775"/>
        <v>0</v>
      </c>
      <c r="N1465" s="897"/>
      <c r="O1465" s="528"/>
      <c r="P1465" s="548">
        <v>0</v>
      </c>
      <c r="Q1465" s="548">
        <v>0</v>
      </c>
      <c r="R1465" s="548">
        <v>0</v>
      </c>
      <c r="S1465" s="548">
        <v>0</v>
      </c>
      <c r="T1465" s="548">
        <v>0</v>
      </c>
      <c r="U1465" s="548">
        <v>0</v>
      </c>
      <c r="V1465" s="548"/>
      <c r="W1465" s="528"/>
      <c r="X1465" s="711">
        <f t="shared" si="5768"/>
        <v>0</v>
      </c>
      <c r="Y1465" s="897"/>
      <c r="Z1465" s="528"/>
      <c r="AA1465" s="899"/>
      <c r="AB1465" s="899"/>
      <c r="AC1465" s="904"/>
      <c r="AD1465" s="901"/>
      <c r="AE1465" s="2"/>
      <c r="AF1465" s="885"/>
      <c r="AG1465" s="885"/>
      <c r="AH1465" s="885"/>
      <c r="AI1465" s="885"/>
      <c r="AJ1465" s="885"/>
      <c r="AK1465" s="885"/>
      <c r="AL1465" s="885"/>
      <c r="AM1465" s="879"/>
      <c r="AN1465" s="2"/>
      <c r="AO1465" s="886"/>
      <c r="AP1465" s="886"/>
      <c r="AV1465" t="str">
        <f t="shared" si="5668"/>
        <v>Drenagem Superficial</v>
      </c>
      <c r="AW1465" s="4" t="str">
        <f t="shared" si="5659"/>
        <v xml:space="preserve">   Seg. 2.2-C03 - Drenagem Superficial - Sarjeta de corte (Km 105+620 a 105+960)</v>
      </c>
    </row>
    <row r="1466" spans="1:49" ht="15.6" hidden="1" customHeight="1" outlineLevel="2">
      <c r="A1466" s="209" t="str">
        <f t="shared" ref="A1466" si="5843">IF(SUM(P1466:V1467)&gt;0,"S","N")</f>
        <v>N</v>
      </c>
      <c r="B1466" s="150">
        <v>1061584</v>
      </c>
      <c r="C1466" s="150" t="s">
        <v>1783</v>
      </c>
      <c r="D1466" s="120" t="s">
        <v>191</v>
      </c>
      <c r="E1466" s="914" t="s">
        <v>1784</v>
      </c>
      <c r="F1466" s="902" t="s">
        <v>52</v>
      </c>
      <c r="G1466" s="528"/>
      <c r="H1466" s="546" t="s">
        <v>37</v>
      </c>
      <c r="I1466" s="711">
        <v>0</v>
      </c>
      <c r="J1466" s="896" t="str">
        <f t="shared" ref="J1466" si="5844">IFERROR((I1467/I1466),"-")</f>
        <v>-</v>
      </c>
      <c r="K1466" s="528"/>
      <c r="L1466" s="546" t="s">
        <v>37</v>
      </c>
      <c r="M1466" s="711">
        <f t="shared" si="5775"/>
        <v>0</v>
      </c>
      <c r="N1466" s="896" t="str">
        <f t="shared" ref="N1466" si="5845">IFERROR((M1467/M1466),"-")</f>
        <v>-</v>
      </c>
      <c r="O1466" s="528"/>
      <c r="P1466" s="547">
        <v>0</v>
      </c>
      <c r="Q1466" s="547">
        <v>0</v>
      </c>
      <c r="R1466" s="547">
        <v>0</v>
      </c>
      <c r="S1466" s="547">
        <v>0</v>
      </c>
      <c r="T1466" s="547">
        <v>0</v>
      </c>
      <c r="U1466" s="547">
        <v>0</v>
      </c>
      <c r="V1466" s="548">
        <v>0</v>
      </c>
      <c r="W1466" s="528"/>
      <c r="X1466" s="711">
        <f t="shared" si="5768"/>
        <v>0</v>
      </c>
      <c r="Y1466" s="896" t="str">
        <f t="shared" ref="Y1466" si="5846">IFERROR((X1467/X1466),"-")</f>
        <v>-</v>
      </c>
      <c r="Z1466" s="528"/>
      <c r="AA1466" s="898">
        <v>48.4</v>
      </c>
      <c r="AB1466" s="898">
        <v>29.16</v>
      </c>
      <c r="AC1466" s="903">
        <v>12.5</v>
      </c>
      <c r="AD1466" s="900">
        <f t="shared" ref="AD1466" si="5847">IFERROR((AC1466/AB1466),"-")</f>
        <v>0.42866941015089161</v>
      </c>
      <c r="AE1466" s="2"/>
      <c r="AF1466" s="884"/>
      <c r="AG1466" s="884"/>
      <c r="AH1466" s="884">
        <v>0</v>
      </c>
      <c r="AI1466" s="884">
        <v>574.81299999999999</v>
      </c>
      <c r="AJ1466" s="884">
        <v>155.649</v>
      </c>
      <c r="AK1466" s="884">
        <f t="shared" ref="AK1466" si="5848">AF1466+AG1466+AH1466+AI1466+AJ1466+AC1466</f>
        <v>742.96199999999999</v>
      </c>
      <c r="AL1466" s="884">
        <v>759.91000000000031</v>
      </c>
      <c r="AM1466" s="878">
        <f t="shared" ref="AM1466" si="5849">IFERROR((AK1466/AL1466),"-")</f>
        <v>0.97769735889776377</v>
      </c>
      <c r="AN1466" s="2"/>
      <c r="AO1466" s="884">
        <v>779</v>
      </c>
      <c r="AP1466" s="884">
        <f t="shared" ref="AP1466" si="5850">AO1466-AK1466</f>
        <v>36.038000000000011</v>
      </c>
      <c r="AV1466" t="str">
        <f t="shared" si="5668"/>
        <v>Drenagem Superficial</v>
      </c>
      <c r="AW1466" s="4" t="str">
        <f t="shared" si="5659"/>
        <v xml:space="preserve">   Seg. 2.2-C05 - Drenagem Superficial - Sarjeta de corte (Km 107+720 a 107+800)</v>
      </c>
    </row>
    <row r="1467" spans="1:49" ht="15.6" hidden="1" customHeight="1" outlineLevel="2">
      <c r="A1467" s="209" t="str">
        <f t="shared" ref="A1467" si="5851">A1466</f>
        <v>N</v>
      </c>
      <c r="B1467" s="150"/>
      <c r="C1467" s="150" t="s">
        <v>1783</v>
      </c>
      <c r="D1467" s="120" t="s">
        <v>191</v>
      </c>
      <c r="E1467" s="915"/>
      <c r="F1467" s="902"/>
      <c r="G1467" s="528"/>
      <c r="H1467" s="549" t="s">
        <v>38</v>
      </c>
      <c r="I1467" s="711">
        <v>12.5</v>
      </c>
      <c r="J1467" s="897"/>
      <c r="K1467" s="528"/>
      <c r="L1467" s="549" t="s">
        <v>38</v>
      </c>
      <c r="M1467" s="711">
        <f t="shared" si="5775"/>
        <v>0</v>
      </c>
      <c r="N1467" s="897"/>
      <c r="O1467" s="528"/>
      <c r="P1467" s="548">
        <v>0</v>
      </c>
      <c r="Q1467" s="548">
        <v>0</v>
      </c>
      <c r="R1467" s="548">
        <v>0</v>
      </c>
      <c r="S1467" s="548">
        <v>0</v>
      </c>
      <c r="T1467" s="548">
        <v>0</v>
      </c>
      <c r="U1467" s="548">
        <v>0</v>
      </c>
      <c r="V1467" s="548"/>
      <c r="W1467" s="528"/>
      <c r="X1467" s="711">
        <f t="shared" si="5768"/>
        <v>0</v>
      </c>
      <c r="Y1467" s="897"/>
      <c r="Z1467" s="528"/>
      <c r="AA1467" s="899"/>
      <c r="AB1467" s="899"/>
      <c r="AC1467" s="904"/>
      <c r="AD1467" s="901"/>
      <c r="AE1467" s="2"/>
      <c r="AF1467" s="885"/>
      <c r="AG1467" s="885"/>
      <c r="AH1467" s="885"/>
      <c r="AI1467" s="885"/>
      <c r="AJ1467" s="885"/>
      <c r="AK1467" s="885"/>
      <c r="AL1467" s="885"/>
      <c r="AM1467" s="879"/>
      <c r="AN1467" s="2"/>
      <c r="AO1467" s="886"/>
      <c r="AP1467" s="886"/>
      <c r="AV1467" t="str">
        <f t="shared" si="5668"/>
        <v>Drenagem Superficial</v>
      </c>
      <c r="AW1467" s="4" t="str">
        <f t="shared" si="5659"/>
        <v xml:space="preserve">   Seg. 2.2-C05 - Drenagem Superficial - Sarjeta de corte (Km 107+720 a 107+800)</v>
      </c>
    </row>
    <row r="1468" spans="1:49" ht="15.6" hidden="1" customHeight="1" outlineLevel="2">
      <c r="A1468" s="8" t="str">
        <f t="shared" ref="A1468" si="5852">IF(SUM(P1468:V1469)&gt;0,"S","N")</f>
        <v>N</v>
      </c>
      <c r="B1468" s="150">
        <v>1061588</v>
      </c>
      <c r="C1468" s="150" t="s">
        <v>1785</v>
      </c>
      <c r="D1468" s="120" t="s">
        <v>178</v>
      </c>
      <c r="E1468" s="914" t="s">
        <v>1786</v>
      </c>
      <c r="F1468" s="902" t="s">
        <v>52</v>
      </c>
      <c r="G1468" s="528"/>
      <c r="H1468" s="546" t="s">
        <v>37</v>
      </c>
      <c r="I1468" s="711">
        <v>0</v>
      </c>
      <c r="J1468" s="896" t="str">
        <f t="shared" ref="J1468" si="5853">IFERROR((I1469/I1468),"-")</f>
        <v>-</v>
      </c>
      <c r="K1468" s="528"/>
      <c r="L1468" s="546" t="s">
        <v>37</v>
      </c>
      <c r="M1468" s="711">
        <f t="shared" si="5775"/>
        <v>0</v>
      </c>
      <c r="N1468" s="896" t="str">
        <f t="shared" ref="N1468" si="5854">IFERROR((M1469/M1468),"-")</f>
        <v>-</v>
      </c>
      <c r="O1468" s="528"/>
      <c r="P1468" s="547">
        <v>0</v>
      </c>
      <c r="Q1468" s="547">
        <v>0</v>
      </c>
      <c r="R1468" s="547">
        <v>0</v>
      </c>
      <c r="S1468" s="547">
        <v>0</v>
      </c>
      <c r="T1468" s="547">
        <v>0</v>
      </c>
      <c r="U1468" s="547">
        <v>0</v>
      </c>
      <c r="V1468" s="548">
        <v>0</v>
      </c>
      <c r="W1468" s="528"/>
      <c r="X1468" s="711">
        <f t="shared" si="5768"/>
        <v>0</v>
      </c>
      <c r="Y1468" s="896" t="str">
        <f>IFERROR((X1469/X1468),"-")</f>
        <v>-</v>
      </c>
      <c r="Z1468" s="528"/>
      <c r="AA1468" s="898">
        <v>97.01</v>
      </c>
      <c r="AB1468" s="898">
        <v>33.56</v>
      </c>
      <c r="AC1468" s="903">
        <v>0</v>
      </c>
      <c r="AD1468" s="900">
        <f t="shared" ref="AD1468" si="5855">IFERROR((AC1468/AB1468),"-")</f>
        <v>0</v>
      </c>
      <c r="AE1468" s="2"/>
      <c r="AF1468" s="884"/>
      <c r="AG1468" s="884"/>
      <c r="AH1468" s="884">
        <v>0</v>
      </c>
      <c r="AI1468" s="884"/>
      <c r="AJ1468" s="884"/>
      <c r="AK1468" s="884">
        <f t="shared" ref="AK1468" si="5856">AF1468+AG1468+AH1468+AI1468+AJ1468+AC1468</f>
        <v>0</v>
      </c>
      <c r="AL1468" s="884">
        <v>33.56</v>
      </c>
      <c r="AM1468" s="878">
        <f t="shared" ref="AM1468" si="5857">IFERROR((AK1468/AL1468),"-")</f>
        <v>0</v>
      </c>
      <c r="AN1468" s="2"/>
      <c r="AO1468" s="884">
        <v>97</v>
      </c>
      <c r="AP1468" s="884">
        <f t="shared" ref="AP1468" si="5858">AO1468-AK1468</f>
        <v>97</v>
      </c>
      <c r="AV1468" t="str">
        <f t="shared" si="5668"/>
        <v>Drenagem Superficial</v>
      </c>
      <c r="AW1468" s="4" t="str">
        <f t="shared" si="5659"/>
        <v xml:space="preserve">   Seg. 2.2-C06 - Drenagem Superficial - Sarjeta de corte (Km 108+360 a 108+400)</v>
      </c>
    </row>
    <row r="1469" spans="1:49" ht="15.6" hidden="1" customHeight="1" outlineLevel="2">
      <c r="A1469" s="8" t="str">
        <f t="shared" ref="A1469" si="5859">A1468</f>
        <v>N</v>
      </c>
      <c r="B1469" s="150"/>
      <c r="C1469" s="150" t="s">
        <v>1785</v>
      </c>
      <c r="D1469" s="120" t="s">
        <v>178</v>
      </c>
      <c r="E1469" s="915"/>
      <c r="F1469" s="902"/>
      <c r="G1469" s="528"/>
      <c r="H1469" s="549" t="s">
        <v>38</v>
      </c>
      <c r="I1469" s="711">
        <v>0</v>
      </c>
      <c r="J1469" s="897"/>
      <c r="K1469" s="528"/>
      <c r="L1469" s="549" t="s">
        <v>38</v>
      </c>
      <c r="M1469" s="711">
        <f t="shared" si="5775"/>
        <v>0</v>
      </c>
      <c r="N1469" s="897"/>
      <c r="O1469" s="528"/>
      <c r="P1469" s="548">
        <v>0</v>
      </c>
      <c r="Q1469" s="548">
        <v>0</v>
      </c>
      <c r="R1469" s="548">
        <v>0</v>
      </c>
      <c r="S1469" s="548">
        <v>0</v>
      </c>
      <c r="T1469" s="548">
        <v>0</v>
      </c>
      <c r="U1469" s="548">
        <v>0</v>
      </c>
      <c r="V1469" s="548"/>
      <c r="W1469" s="528"/>
      <c r="X1469" s="711">
        <f t="shared" si="5768"/>
        <v>0</v>
      </c>
      <c r="Y1469" s="897"/>
      <c r="Z1469" s="528"/>
      <c r="AA1469" s="899"/>
      <c r="AB1469" s="899"/>
      <c r="AC1469" s="904"/>
      <c r="AD1469" s="901"/>
      <c r="AE1469" s="2"/>
      <c r="AF1469" s="885"/>
      <c r="AG1469" s="885"/>
      <c r="AH1469" s="885"/>
      <c r="AI1469" s="885"/>
      <c r="AJ1469" s="885"/>
      <c r="AK1469" s="885"/>
      <c r="AL1469" s="885"/>
      <c r="AM1469" s="879"/>
      <c r="AN1469" s="2"/>
      <c r="AO1469" s="886"/>
      <c r="AP1469" s="886"/>
      <c r="AV1469" t="str">
        <f t="shared" si="5668"/>
        <v>Drenagem Superficial</v>
      </c>
      <c r="AW1469" s="4" t="str">
        <f t="shared" si="5659"/>
        <v xml:space="preserve">   Seg. 2.2-C06 - Drenagem Superficial - Sarjeta de corte (Km 108+360 a 108+400)</v>
      </c>
    </row>
    <row r="1470" spans="1:49" ht="15.6" hidden="1" customHeight="1" outlineLevel="2">
      <c r="A1470" s="8" t="str">
        <f t="shared" ref="A1470" si="5860">IF(SUM(P1470:V1471)&gt;0,"S","N")</f>
        <v>N</v>
      </c>
      <c r="B1470" s="150">
        <v>1061597</v>
      </c>
      <c r="C1470" s="150" t="s">
        <v>1787</v>
      </c>
      <c r="D1470" s="120" t="s">
        <v>197</v>
      </c>
      <c r="E1470" s="914" t="s">
        <v>1788</v>
      </c>
      <c r="F1470" s="902" t="s">
        <v>52</v>
      </c>
      <c r="G1470" s="528"/>
      <c r="H1470" s="546" t="s">
        <v>37</v>
      </c>
      <c r="I1470" s="711">
        <v>0</v>
      </c>
      <c r="J1470" s="896" t="str">
        <f t="shared" ref="J1470" si="5861">IFERROR((I1471/I1470),"-")</f>
        <v>-</v>
      </c>
      <c r="K1470" s="528"/>
      <c r="L1470" s="546" t="s">
        <v>37</v>
      </c>
      <c r="M1470" s="711">
        <f t="shared" si="5775"/>
        <v>0</v>
      </c>
      <c r="N1470" s="896" t="str">
        <f t="shared" ref="N1470" si="5862">IFERROR((M1471/M1470),"-")</f>
        <v>-</v>
      </c>
      <c r="O1470" s="528"/>
      <c r="P1470" s="547">
        <v>0</v>
      </c>
      <c r="Q1470" s="547">
        <v>0</v>
      </c>
      <c r="R1470" s="547">
        <v>0</v>
      </c>
      <c r="S1470" s="547">
        <v>0</v>
      </c>
      <c r="T1470" s="547">
        <v>0</v>
      </c>
      <c r="U1470" s="547">
        <v>0</v>
      </c>
      <c r="V1470" s="548">
        <v>0</v>
      </c>
      <c r="W1470" s="528"/>
      <c r="X1470" s="711">
        <f t="shared" si="5768"/>
        <v>0</v>
      </c>
      <c r="Y1470" s="896" t="str">
        <f t="shared" ref="Y1470" si="5863">IFERROR((X1471/X1470),"-")</f>
        <v>-</v>
      </c>
      <c r="Z1470" s="528"/>
      <c r="AA1470" s="898">
        <v>0</v>
      </c>
      <c r="AB1470" s="898">
        <v>0</v>
      </c>
      <c r="AC1470" s="903">
        <v>0</v>
      </c>
      <c r="AD1470" s="900" t="str">
        <f t="shared" ref="AD1470" si="5864">IFERROR((AC1470/AB1470),"-")</f>
        <v>-</v>
      </c>
      <c r="AE1470" s="2"/>
      <c r="AF1470" s="884">
        <v>485.72199999999998</v>
      </c>
      <c r="AG1470" s="884"/>
      <c r="AH1470" s="884">
        <v>0</v>
      </c>
      <c r="AI1470" s="884"/>
      <c r="AJ1470" s="884"/>
      <c r="AK1470" s="884">
        <f t="shared" ref="AK1470" si="5865">AF1470+AG1470+AH1470+AI1470+AJ1470+AC1470</f>
        <v>485.72199999999998</v>
      </c>
      <c r="AL1470" s="884">
        <v>245</v>
      </c>
      <c r="AM1470" s="878">
        <f t="shared" ref="AM1470" si="5866">IFERROR((AK1470/AL1470),"-")</f>
        <v>1.982538775510204</v>
      </c>
      <c r="AN1470" s="2"/>
      <c r="AO1470" s="884">
        <v>245</v>
      </c>
      <c r="AP1470" s="884">
        <f t="shared" ref="AP1470" si="5867">AO1470-AK1470</f>
        <v>-240.72199999999998</v>
      </c>
      <c r="AV1470" t="str">
        <f t="shared" si="5668"/>
        <v>Drenagem Superficial</v>
      </c>
      <c r="AW1470" s="4" t="str">
        <f t="shared" si="5659"/>
        <v xml:space="preserve">   Seg. 2.2-C08 - Drenagem Superficial - Sarjeta de corte (km 109+280 a 109+440)</v>
      </c>
    </row>
    <row r="1471" spans="1:49" ht="15.6" hidden="1" customHeight="1" outlineLevel="2">
      <c r="A1471" s="8" t="str">
        <f t="shared" ref="A1471" si="5868">A1470</f>
        <v>N</v>
      </c>
      <c r="B1471" s="150"/>
      <c r="C1471" s="150" t="s">
        <v>1787</v>
      </c>
      <c r="D1471" s="120" t="s">
        <v>197</v>
      </c>
      <c r="E1471" s="915"/>
      <c r="F1471" s="902"/>
      <c r="G1471" s="528"/>
      <c r="H1471" s="549" t="s">
        <v>38</v>
      </c>
      <c r="I1471" s="711">
        <v>0</v>
      </c>
      <c r="J1471" s="897"/>
      <c r="K1471" s="528"/>
      <c r="L1471" s="549" t="s">
        <v>38</v>
      </c>
      <c r="M1471" s="711">
        <f t="shared" si="5775"/>
        <v>0</v>
      </c>
      <c r="N1471" s="897"/>
      <c r="O1471" s="528"/>
      <c r="P1471" s="548">
        <v>0</v>
      </c>
      <c r="Q1471" s="548">
        <v>0</v>
      </c>
      <c r="R1471" s="548">
        <v>0</v>
      </c>
      <c r="S1471" s="548">
        <v>0</v>
      </c>
      <c r="T1471" s="548">
        <v>0</v>
      </c>
      <c r="U1471" s="548">
        <v>0</v>
      </c>
      <c r="V1471" s="548"/>
      <c r="W1471" s="528"/>
      <c r="X1471" s="711">
        <f t="shared" si="5768"/>
        <v>0</v>
      </c>
      <c r="Y1471" s="897"/>
      <c r="Z1471" s="528"/>
      <c r="AA1471" s="899"/>
      <c r="AB1471" s="899"/>
      <c r="AC1471" s="904"/>
      <c r="AD1471" s="901"/>
      <c r="AE1471" s="2"/>
      <c r="AF1471" s="885"/>
      <c r="AG1471" s="885"/>
      <c r="AH1471" s="885"/>
      <c r="AI1471" s="885"/>
      <c r="AJ1471" s="885"/>
      <c r="AK1471" s="885"/>
      <c r="AL1471" s="885"/>
      <c r="AM1471" s="879"/>
      <c r="AN1471" s="2"/>
      <c r="AO1471" s="886"/>
      <c r="AP1471" s="886"/>
      <c r="AV1471" t="str">
        <f t="shared" si="5668"/>
        <v>Drenagem Superficial</v>
      </c>
      <c r="AW1471" s="4" t="str">
        <f t="shared" si="5659"/>
        <v xml:space="preserve">   Seg. 2.2-C08 - Drenagem Superficial - Sarjeta de corte (km 109+280 a 109+440)</v>
      </c>
    </row>
    <row r="1472" spans="1:49" ht="15.6" hidden="1" customHeight="1" outlineLevel="2">
      <c r="A1472" s="8" t="str">
        <f t="shared" ref="A1472" si="5869">IF(SUM(P1472:V1473)&gt;0,"S","N")</f>
        <v>N</v>
      </c>
      <c r="B1472" s="150">
        <v>1061599</v>
      </c>
      <c r="C1472" s="150" t="s">
        <v>1789</v>
      </c>
      <c r="D1472" s="120" t="s">
        <v>200</v>
      </c>
      <c r="E1472" s="914" t="s">
        <v>1790</v>
      </c>
      <c r="F1472" s="902" t="s">
        <v>52</v>
      </c>
      <c r="G1472" s="528"/>
      <c r="H1472" s="546" t="s">
        <v>37</v>
      </c>
      <c r="I1472" s="711">
        <v>0</v>
      </c>
      <c r="J1472" s="896" t="str">
        <f t="shared" ref="J1472" si="5870">IFERROR((I1473/I1472),"-")</f>
        <v>-</v>
      </c>
      <c r="K1472" s="528"/>
      <c r="L1472" s="546" t="s">
        <v>37</v>
      </c>
      <c r="M1472" s="711">
        <f t="shared" si="5775"/>
        <v>0</v>
      </c>
      <c r="N1472" s="896" t="str">
        <f t="shared" ref="N1472" si="5871">IFERROR((M1473/M1472),"-")</f>
        <v>-</v>
      </c>
      <c r="O1472" s="528"/>
      <c r="P1472" s="547">
        <v>0</v>
      </c>
      <c r="Q1472" s="547">
        <v>0</v>
      </c>
      <c r="R1472" s="547">
        <v>0</v>
      </c>
      <c r="S1472" s="547">
        <v>0</v>
      </c>
      <c r="T1472" s="547">
        <v>0</v>
      </c>
      <c r="U1472" s="547">
        <v>0</v>
      </c>
      <c r="V1472" s="548">
        <v>0</v>
      </c>
      <c r="W1472" s="528"/>
      <c r="X1472" s="711">
        <f t="shared" si="5768"/>
        <v>0</v>
      </c>
      <c r="Y1472" s="896" t="str">
        <f t="shared" ref="Y1472" si="5872">IFERROR((X1473/X1472),"-")</f>
        <v>-</v>
      </c>
      <c r="Z1472" s="528"/>
      <c r="AA1472" s="898">
        <v>0</v>
      </c>
      <c r="AB1472" s="898">
        <v>0</v>
      </c>
      <c r="AC1472" s="903">
        <v>0</v>
      </c>
      <c r="AD1472" s="900" t="str">
        <f t="shared" ref="AD1472" si="5873">IFERROR((AC1472/AB1472),"-")</f>
        <v>-</v>
      </c>
      <c r="AE1472" s="2"/>
      <c r="AF1472" s="884">
        <v>3705.3690000000001</v>
      </c>
      <c r="AG1472" s="884"/>
      <c r="AH1472" s="884">
        <v>27.5</v>
      </c>
      <c r="AI1472" s="884">
        <v>1.0960000000000001</v>
      </c>
      <c r="AJ1472" s="884"/>
      <c r="AK1472" s="884">
        <f t="shared" ref="AK1472" si="5874">AF1472+AG1472+AH1472+AI1472+AJ1472+AC1472</f>
        <v>3733.9650000000001</v>
      </c>
      <c r="AL1472" s="884">
        <v>2367</v>
      </c>
      <c r="AM1472" s="878">
        <f t="shared" ref="AM1472" si="5875">IFERROR((AK1472/AL1472),"-")</f>
        <v>1.5775095057034221</v>
      </c>
      <c r="AN1472" s="2"/>
      <c r="AO1472" s="884">
        <v>2367</v>
      </c>
      <c r="AP1472" s="884">
        <f t="shared" ref="AP1472" si="5876">AO1472-AK1472</f>
        <v>-1366.9650000000001</v>
      </c>
      <c r="AV1472" t="str">
        <f t="shared" si="5668"/>
        <v>Drenagem Superficial</v>
      </c>
      <c r="AW1472" s="4" t="str">
        <f t="shared" si="5659"/>
        <v xml:space="preserve">   Seg. 2.2-C09 - Drenagem Superficial - Sarjeta de corte (Km 109+590 a 109+990 e 110+040 a 110+840)</v>
      </c>
    </row>
    <row r="1473" spans="1:49" ht="15.6" hidden="1" customHeight="1" outlineLevel="2">
      <c r="A1473" s="8" t="str">
        <f t="shared" ref="A1473" si="5877">A1472</f>
        <v>N</v>
      </c>
      <c r="B1473" s="150"/>
      <c r="C1473" s="150" t="s">
        <v>1789</v>
      </c>
      <c r="D1473" s="120" t="s">
        <v>200</v>
      </c>
      <c r="E1473" s="915"/>
      <c r="F1473" s="902"/>
      <c r="G1473" s="528"/>
      <c r="H1473" s="549" t="s">
        <v>38</v>
      </c>
      <c r="I1473" s="711">
        <v>0</v>
      </c>
      <c r="J1473" s="897"/>
      <c r="K1473" s="528"/>
      <c r="L1473" s="549" t="s">
        <v>38</v>
      </c>
      <c r="M1473" s="711">
        <f t="shared" si="5775"/>
        <v>0</v>
      </c>
      <c r="N1473" s="897"/>
      <c r="O1473" s="528"/>
      <c r="P1473" s="548">
        <v>0</v>
      </c>
      <c r="Q1473" s="548">
        <v>0</v>
      </c>
      <c r="R1473" s="548">
        <v>0</v>
      </c>
      <c r="S1473" s="548">
        <v>0</v>
      </c>
      <c r="T1473" s="548">
        <v>0</v>
      </c>
      <c r="U1473" s="548">
        <v>0</v>
      </c>
      <c r="V1473" s="548"/>
      <c r="W1473" s="528"/>
      <c r="X1473" s="711">
        <f t="shared" si="5768"/>
        <v>0</v>
      </c>
      <c r="Y1473" s="897"/>
      <c r="Z1473" s="528"/>
      <c r="AA1473" s="899"/>
      <c r="AB1473" s="899"/>
      <c r="AC1473" s="904"/>
      <c r="AD1473" s="901"/>
      <c r="AE1473" s="2"/>
      <c r="AF1473" s="885"/>
      <c r="AG1473" s="885"/>
      <c r="AH1473" s="885"/>
      <c r="AI1473" s="885"/>
      <c r="AJ1473" s="885"/>
      <c r="AK1473" s="885"/>
      <c r="AL1473" s="885"/>
      <c r="AM1473" s="879"/>
      <c r="AN1473" s="2"/>
      <c r="AO1473" s="886"/>
      <c r="AP1473" s="886"/>
      <c r="AV1473" t="str">
        <f t="shared" si="5668"/>
        <v>Drenagem Superficial</v>
      </c>
      <c r="AW1473" s="4" t="str">
        <f t="shared" si="5659"/>
        <v xml:space="preserve">   Seg. 2.2-C09 - Drenagem Superficial - Sarjeta de corte (Km 109+590 a 109+990 e 110+040 a 110+840)</v>
      </c>
    </row>
    <row r="1474" spans="1:49" ht="15.6" hidden="1" customHeight="1" outlineLevel="2">
      <c r="A1474" s="8" t="str">
        <f t="shared" ref="A1474" si="5878">IF(SUM(P1474:V1475)&gt;0,"S","N")</f>
        <v>N</v>
      </c>
      <c r="B1474" s="150">
        <v>1061603</v>
      </c>
      <c r="C1474" s="150" t="s">
        <v>1791</v>
      </c>
      <c r="D1474" s="120" t="s">
        <v>203</v>
      </c>
      <c r="E1474" s="914" t="s">
        <v>1792</v>
      </c>
      <c r="F1474" s="902" t="s">
        <v>52</v>
      </c>
      <c r="G1474" s="528"/>
      <c r="H1474" s="546" t="s">
        <v>37</v>
      </c>
      <c r="I1474" s="711">
        <v>0</v>
      </c>
      <c r="J1474" s="896" t="str">
        <f t="shared" ref="J1474" si="5879">IFERROR((I1475/I1474),"-")</f>
        <v>-</v>
      </c>
      <c r="K1474" s="528"/>
      <c r="L1474" s="546" t="s">
        <v>37</v>
      </c>
      <c r="M1474" s="711">
        <f t="shared" si="5775"/>
        <v>0</v>
      </c>
      <c r="N1474" s="896" t="str">
        <f t="shared" ref="N1474" si="5880">IFERROR((M1475/M1474),"-")</f>
        <v>-</v>
      </c>
      <c r="O1474" s="528"/>
      <c r="P1474" s="547">
        <v>0</v>
      </c>
      <c r="Q1474" s="547">
        <v>0</v>
      </c>
      <c r="R1474" s="547">
        <v>0</v>
      </c>
      <c r="S1474" s="547">
        <v>0</v>
      </c>
      <c r="T1474" s="547">
        <v>0</v>
      </c>
      <c r="U1474" s="547">
        <v>0</v>
      </c>
      <c r="V1474" s="548">
        <v>0</v>
      </c>
      <c r="W1474" s="528"/>
      <c r="X1474" s="711">
        <f t="shared" si="5768"/>
        <v>0</v>
      </c>
      <c r="Y1474" s="896" t="str">
        <f t="shared" ref="Y1474" si="5881">IFERROR((X1475/X1474),"-")</f>
        <v>-</v>
      </c>
      <c r="Z1474" s="528"/>
      <c r="AA1474" s="898">
        <v>0</v>
      </c>
      <c r="AB1474" s="898">
        <v>0</v>
      </c>
      <c r="AC1474" s="903">
        <v>0</v>
      </c>
      <c r="AD1474" s="900" t="str">
        <f t="shared" ref="AD1474" si="5882">IFERROR((AC1474/AB1474),"-")</f>
        <v>-</v>
      </c>
      <c r="AE1474" s="2"/>
      <c r="AF1474" s="884">
        <v>959.35299999999995</v>
      </c>
      <c r="AG1474" s="884"/>
      <c r="AH1474" s="884">
        <v>0</v>
      </c>
      <c r="AI1474" s="884"/>
      <c r="AJ1474" s="884"/>
      <c r="AK1474" s="884">
        <f t="shared" ref="AK1474" si="5883">AF1474+AG1474+AH1474+AI1474+AJ1474+AC1474</f>
        <v>959.35299999999995</v>
      </c>
      <c r="AL1474" s="884">
        <v>761.99</v>
      </c>
      <c r="AM1474" s="878">
        <f t="shared" ref="AM1474" si="5884">IFERROR((AK1474/AL1474),"-")</f>
        <v>1.2590099607606398</v>
      </c>
      <c r="AN1474" s="2"/>
      <c r="AO1474" s="884">
        <v>762</v>
      </c>
      <c r="AP1474" s="884">
        <f t="shared" ref="AP1474" si="5885">AO1474-AK1474</f>
        <v>-197.35299999999995</v>
      </c>
      <c r="AV1474" t="str">
        <f t="shared" si="5668"/>
        <v>Drenagem Superficial</v>
      </c>
      <c r="AW1474" s="4" t="str">
        <f t="shared" si="5659"/>
        <v xml:space="preserve">   Seg. 2.2-C10-B01 - Drenagem Superficial - Sarjeta de corte (Km 111+240 a 111+620)</v>
      </c>
    </row>
    <row r="1475" spans="1:49" ht="15.6" hidden="1" customHeight="1" outlineLevel="2">
      <c r="A1475" s="8" t="str">
        <f t="shared" ref="A1475" si="5886">A1474</f>
        <v>N</v>
      </c>
      <c r="B1475" s="150"/>
      <c r="C1475" s="150" t="s">
        <v>1791</v>
      </c>
      <c r="D1475" s="120" t="s">
        <v>203</v>
      </c>
      <c r="E1475" s="915"/>
      <c r="F1475" s="902"/>
      <c r="G1475" s="528"/>
      <c r="H1475" s="549" t="s">
        <v>38</v>
      </c>
      <c r="I1475" s="711">
        <v>0</v>
      </c>
      <c r="J1475" s="897"/>
      <c r="K1475" s="528"/>
      <c r="L1475" s="549" t="s">
        <v>38</v>
      </c>
      <c r="M1475" s="711">
        <f t="shared" si="5775"/>
        <v>0</v>
      </c>
      <c r="N1475" s="897"/>
      <c r="O1475" s="528"/>
      <c r="P1475" s="548">
        <v>0</v>
      </c>
      <c r="Q1475" s="548">
        <v>0</v>
      </c>
      <c r="R1475" s="548">
        <v>0</v>
      </c>
      <c r="S1475" s="548">
        <v>0</v>
      </c>
      <c r="T1475" s="548">
        <v>0</v>
      </c>
      <c r="U1475" s="548">
        <v>0</v>
      </c>
      <c r="V1475" s="548"/>
      <c r="W1475" s="528"/>
      <c r="X1475" s="711">
        <f t="shared" si="5768"/>
        <v>0</v>
      </c>
      <c r="Y1475" s="897"/>
      <c r="Z1475" s="528"/>
      <c r="AA1475" s="899"/>
      <c r="AB1475" s="899"/>
      <c r="AC1475" s="904"/>
      <c r="AD1475" s="901"/>
      <c r="AE1475" s="2"/>
      <c r="AF1475" s="885"/>
      <c r="AG1475" s="885"/>
      <c r="AH1475" s="885"/>
      <c r="AI1475" s="885"/>
      <c r="AJ1475" s="885"/>
      <c r="AK1475" s="885"/>
      <c r="AL1475" s="885"/>
      <c r="AM1475" s="879"/>
      <c r="AN1475" s="2"/>
      <c r="AO1475" s="886"/>
      <c r="AP1475" s="886"/>
      <c r="AV1475" t="str">
        <f t="shared" si="5668"/>
        <v>Drenagem Superficial</v>
      </c>
      <c r="AW1475" s="4" t="str">
        <f t="shared" si="5659"/>
        <v xml:space="preserve">   Seg. 2.2-C10-B01 - Drenagem Superficial - Sarjeta de corte (Km 111+240 a 111+620)</v>
      </c>
    </row>
    <row r="1476" spans="1:49" ht="15.6" hidden="1" customHeight="1" outlineLevel="2">
      <c r="A1476" s="8" t="str">
        <f t="shared" ref="A1476" si="5887">IF(SUM(P1476:V1477)&gt;0,"S","N")</f>
        <v>N</v>
      </c>
      <c r="B1476" s="150">
        <v>1061605</v>
      </c>
      <c r="C1476" s="150" t="s">
        <v>1793</v>
      </c>
      <c r="D1476" s="120" t="s">
        <v>206</v>
      </c>
      <c r="E1476" s="914" t="s">
        <v>1794</v>
      </c>
      <c r="F1476" s="902" t="s">
        <v>52</v>
      </c>
      <c r="G1476" s="528"/>
      <c r="H1476" s="546" t="s">
        <v>37</v>
      </c>
      <c r="I1476" s="711">
        <v>0</v>
      </c>
      <c r="J1476" s="896" t="str">
        <f t="shared" ref="J1476" si="5888">IFERROR((I1477/I1476),"-")</f>
        <v>-</v>
      </c>
      <c r="K1476" s="528"/>
      <c r="L1476" s="546" t="s">
        <v>37</v>
      </c>
      <c r="M1476" s="711">
        <f t="shared" si="5775"/>
        <v>0</v>
      </c>
      <c r="N1476" s="896" t="str">
        <f t="shared" ref="N1476" si="5889">IFERROR((M1477/M1476),"-")</f>
        <v>-</v>
      </c>
      <c r="O1476" s="528"/>
      <c r="P1476" s="547">
        <v>0</v>
      </c>
      <c r="Q1476" s="547">
        <v>0</v>
      </c>
      <c r="R1476" s="547">
        <v>0</v>
      </c>
      <c r="S1476" s="547">
        <v>0</v>
      </c>
      <c r="T1476" s="547">
        <v>0</v>
      </c>
      <c r="U1476" s="547">
        <v>0</v>
      </c>
      <c r="V1476" s="548">
        <v>0</v>
      </c>
      <c r="W1476" s="528"/>
      <c r="X1476" s="711">
        <f t="shared" si="5768"/>
        <v>0</v>
      </c>
      <c r="Y1476" s="896" t="str">
        <f t="shared" ref="Y1476" si="5890">IFERROR((X1477/X1476),"-")</f>
        <v>-</v>
      </c>
      <c r="Z1476" s="528"/>
      <c r="AA1476" s="898">
        <v>0</v>
      </c>
      <c r="AB1476" s="898">
        <v>0</v>
      </c>
      <c r="AC1476" s="903">
        <v>0</v>
      </c>
      <c r="AD1476" s="900" t="str">
        <f t="shared" ref="AD1476" si="5891">IFERROR((AC1476/AB1476),"-")</f>
        <v>-</v>
      </c>
      <c r="AE1476" s="2"/>
      <c r="AF1476" s="884">
        <v>764.56899999999996</v>
      </c>
      <c r="AG1476" s="884"/>
      <c r="AH1476" s="884">
        <v>0</v>
      </c>
      <c r="AI1476" s="884"/>
      <c r="AJ1476" s="884"/>
      <c r="AK1476" s="884">
        <f t="shared" ref="AK1476" si="5892">AF1476+AG1476+AH1476+AI1476+AJ1476+AC1476</f>
        <v>764.56899999999996</v>
      </c>
      <c r="AL1476" s="884">
        <v>0</v>
      </c>
      <c r="AM1476" s="878" t="str">
        <f t="shared" ref="AM1476" si="5893">IFERROR((AK1476/AL1476),"-")</f>
        <v>-</v>
      </c>
      <c r="AN1476" s="2"/>
      <c r="AO1476" s="884">
        <v>793</v>
      </c>
      <c r="AP1476" s="884">
        <f t="shared" ref="AP1476" si="5894">AO1476-AK1476</f>
        <v>28.43100000000004</v>
      </c>
      <c r="AV1476" t="str">
        <f t="shared" si="5668"/>
        <v>Drenagem Superficial</v>
      </c>
      <c r="AW1476" s="4" t="str">
        <f t="shared" si="5659"/>
        <v xml:space="preserve">   Seg. 2.2-C11-B01 - Drenagem Superficial - Sarjeta de corte (Km 112+020 a 112+420)</v>
      </c>
    </row>
    <row r="1477" spans="1:49" ht="15.6" hidden="1" customHeight="1" outlineLevel="2">
      <c r="A1477" s="8" t="str">
        <f t="shared" ref="A1477" si="5895">A1476</f>
        <v>N</v>
      </c>
      <c r="B1477" s="150"/>
      <c r="C1477" s="150" t="s">
        <v>1793</v>
      </c>
      <c r="D1477" s="120" t="s">
        <v>206</v>
      </c>
      <c r="E1477" s="915"/>
      <c r="F1477" s="902"/>
      <c r="G1477" s="528"/>
      <c r="H1477" s="549" t="s">
        <v>38</v>
      </c>
      <c r="I1477" s="711">
        <v>0</v>
      </c>
      <c r="J1477" s="897"/>
      <c r="K1477" s="528"/>
      <c r="L1477" s="549" t="s">
        <v>38</v>
      </c>
      <c r="M1477" s="711">
        <f t="shared" si="5775"/>
        <v>0</v>
      </c>
      <c r="N1477" s="897"/>
      <c r="O1477" s="528"/>
      <c r="P1477" s="548">
        <v>0</v>
      </c>
      <c r="Q1477" s="548">
        <v>0</v>
      </c>
      <c r="R1477" s="548">
        <v>0</v>
      </c>
      <c r="S1477" s="548">
        <v>0</v>
      </c>
      <c r="T1477" s="548">
        <v>0</v>
      </c>
      <c r="U1477" s="548">
        <v>0</v>
      </c>
      <c r="V1477" s="548"/>
      <c r="W1477" s="528"/>
      <c r="X1477" s="711">
        <f t="shared" si="5768"/>
        <v>0</v>
      </c>
      <c r="Y1477" s="897"/>
      <c r="Z1477" s="528"/>
      <c r="AA1477" s="899"/>
      <c r="AB1477" s="899"/>
      <c r="AC1477" s="904"/>
      <c r="AD1477" s="901"/>
      <c r="AE1477" s="2"/>
      <c r="AF1477" s="885"/>
      <c r="AG1477" s="885"/>
      <c r="AH1477" s="885"/>
      <c r="AI1477" s="885"/>
      <c r="AJ1477" s="885"/>
      <c r="AK1477" s="885"/>
      <c r="AL1477" s="885"/>
      <c r="AM1477" s="879"/>
      <c r="AN1477" s="2"/>
      <c r="AO1477" s="886"/>
      <c r="AP1477" s="886"/>
      <c r="AV1477" t="str">
        <f t="shared" si="5668"/>
        <v>Drenagem Superficial</v>
      </c>
      <c r="AW1477" s="4" t="str">
        <f t="shared" si="5659"/>
        <v xml:space="preserve">   Seg. 2.2-C11-B01 - Drenagem Superficial - Sarjeta de corte (Km 112+020 a 112+420)</v>
      </c>
    </row>
    <row r="1478" spans="1:49" ht="15.6" hidden="1" customHeight="1" outlineLevel="2">
      <c r="A1478" s="8" t="str">
        <f t="shared" ref="A1478" si="5896">IF(SUM(P1478:V1479)&gt;0,"S","N")</f>
        <v>N</v>
      </c>
      <c r="B1478" s="150">
        <v>1061608</v>
      </c>
      <c r="C1478" s="150" t="s">
        <v>1795</v>
      </c>
      <c r="D1478" s="120" t="s">
        <v>209</v>
      </c>
      <c r="E1478" s="914" t="s">
        <v>1796</v>
      </c>
      <c r="F1478" s="902" t="s">
        <v>52</v>
      </c>
      <c r="G1478" s="528"/>
      <c r="H1478" s="546" t="s">
        <v>37</v>
      </c>
      <c r="I1478" s="711">
        <v>0</v>
      </c>
      <c r="J1478" s="896" t="str">
        <f t="shared" ref="J1478" si="5897">IFERROR((I1479/I1478),"-")</f>
        <v>-</v>
      </c>
      <c r="K1478" s="528"/>
      <c r="L1478" s="546" t="s">
        <v>37</v>
      </c>
      <c r="M1478" s="711">
        <f t="shared" si="5775"/>
        <v>0</v>
      </c>
      <c r="N1478" s="896" t="str">
        <f t="shared" ref="N1478" si="5898">IFERROR((M1479/M1478),"-")</f>
        <v>-</v>
      </c>
      <c r="O1478" s="528"/>
      <c r="P1478" s="547">
        <v>0</v>
      </c>
      <c r="Q1478" s="547">
        <v>0</v>
      </c>
      <c r="R1478" s="547">
        <v>0</v>
      </c>
      <c r="S1478" s="547">
        <v>0</v>
      </c>
      <c r="T1478" s="547">
        <v>0</v>
      </c>
      <c r="U1478" s="547">
        <v>0</v>
      </c>
      <c r="V1478" s="548">
        <v>0</v>
      </c>
      <c r="W1478" s="528"/>
      <c r="X1478" s="711">
        <f t="shared" si="5768"/>
        <v>0</v>
      </c>
      <c r="Y1478" s="896" t="str">
        <f t="shared" ref="Y1478" si="5899">IFERROR((X1479/X1478),"-")</f>
        <v>-</v>
      </c>
      <c r="Z1478" s="528"/>
      <c r="AA1478" s="898">
        <v>0</v>
      </c>
      <c r="AB1478" s="898">
        <v>0</v>
      </c>
      <c r="AC1478" s="903">
        <v>0</v>
      </c>
      <c r="AD1478" s="900" t="str">
        <f t="shared" ref="AD1478" si="5900">IFERROR((AC1478/AB1478),"-")</f>
        <v>-</v>
      </c>
      <c r="AE1478" s="2"/>
      <c r="AF1478" s="884"/>
      <c r="AG1478" s="884"/>
      <c r="AH1478" s="884">
        <v>958</v>
      </c>
      <c r="AI1478" s="884"/>
      <c r="AJ1478" s="884"/>
      <c r="AK1478" s="884">
        <f t="shared" ref="AK1478" si="5901">AF1478+AG1478+AH1478+AI1478+AJ1478+AC1478</f>
        <v>958</v>
      </c>
      <c r="AL1478" s="884">
        <v>1041.9999999999995</v>
      </c>
      <c r="AM1478" s="878">
        <f t="shared" ref="AM1478" si="5902">IFERROR((AK1478/AL1478),"-")</f>
        <v>0.91938579654510599</v>
      </c>
      <c r="AN1478" s="2"/>
      <c r="AO1478" s="884">
        <v>610</v>
      </c>
      <c r="AP1478" s="884">
        <f t="shared" ref="AP1478" si="5903">AO1478-AK1478</f>
        <v>-348</v>
      </c>
      <c r="AV1478" t="str">
        <f t="shared" si="5668"/>
        <v>Drenagem Superficial</v>
      </c>
      <c r="AW1478" s="4" t="str">
        <f t="shared" si="5659"/>
        <v xml:space="preserve">   Seg. 2.2-C12 - Drenagem Superficial - Sarjeta de corte (Km 113+280 a 114+300) Manual</v>
      </c>
    </row>
    <row r="1479" spans="1:49" ht="15.6" hidden="1" customHeight="1" outlineLevel="2">
      <c r="A1479" s="8" t="str">
        <f t="shared" ref="A1479" si="5904">A1478</f>
        <v>N</v>
      </c>
      <c r="B1479" s="150"/>
      <c r="C1479" s="150" t="s">
        <v>1795</v>
      </c>
      <c r="D1479" s="120" t="s">
        <v>209</v>
      </c>
      <c r="E1479" s="915"/>
      <c r="F1479" s="902"/>
      <c r="G1479" s="528"/>
      <c r="H1479" s="549" t="s">
        <v>38</v>
      </c>
      <c r="I1479" s="711">
        <v>0</v>
      </c>
      <c r="J1479" s="897"/>
      <c r="K1479" s="528"/>
      <c r="L1479" s="549" t="s">
        <v>38</v>
      </c>
      <c r="M1479" s="711">
        <f t="shared" si="5775"/>
        <v>0</v>
      </c>
      <c r="N1479" s="897"/>
      <c r="O1479" s="528"/>
      <c r="P1479" s="548">
        <v>0</v>
      </c>
      <c r="Q1479" s="548">
        <v>0</v>
      </c>
      <c r="R1479" s="548">
        <v>0</v>
      </c>
      <c r="S1479" s="548">
        <v>0</v>
      </c>
      <c r="T1479" s="548">
        <v>0</v>
      </c>
      <c r="U1479" s="548">
        <v>0</v>
      </c>
      <c r="V1479" s="548"/>
      <c r="W1479" s="528"/>
      <c r="X1479" s="711">
        <f t="shared" si="5768"/>
        <v>0</v>
      </c>
      <c r="Y1479" s="897"/>
      <c r="Z1479" s="528"/>
      <c r="AA1479" s="899"/>
      <c r="AB1479" s="899"/>
      <c r="AC1479" s="904"/>
      <c r="AD1479" s="901"/>
      <c r="AE1479" s="2"/>
      <c r="AF1479" s="885"/>
      <c r="AG1479" s="885"/>
      <c r="AH1479" s="885"/>
      <c r="AI1479" s="885"/>
      <c r="AJ1479" s="885"/>
      <c r="AK1479" s="885"/>
      <c r="AL1479" s="885"/>
      <c r="AM1479" s="879"/>
      <c r="AN1479" s="2"/>
      <c r="AO1479" s="886"/>
      <c r="AP1479" s="886"/>
      <c r="AV1479" t="str">
        <f t="shared" si="5668"/>
        <v>Drenagem Superficial</v>
      </c>
      <c r="AW1479" s="4" t="str">
        <f t="shared" si="5659"/>
        <v xml:space="preserve">   Seg. 2.2-C12 - Drenagem Superficial - Sarjeta de corte (Km 113+280 a 114+300) Manual</v>
      </c>
    </row>
    <row r="1480" spans="1:49" ht="15.6" hidden="1" customHeight="1" outlineLevel="2">
      <c r="A1480" s="8" t="str">
        <f t="shared" ref="A1480" si="5905">IF(SUM(P1480:V1481)&gt;0,"S","N")</f>
        <v>S</v>
      </c>
      <c r="B1480" s="150">
        <v>1061611</v>
      </c>
      <c r="C1480" s="150" t="s">
        <v>1797</v>
      </c>
      <c r="D1480" s="120" t="s">
        <v>212</v>
      </c>
      <c r="E1480" s="914" t="s">
        <v>1798</v>
      </c>
      <c r="F1480" s="902" t="s">
        <v>52</v>
      </c>
      <c r="G1480" s="528"/>
      <c r="H1480" s="546" t="s">
        <v>37</v>
      </c>
      <c r="I1480" s="711">
        <v>400</v>
      </c>
      <c r="J1480" s="896">
        <f t="shared" ref="J1480" si="5906">IFERROR((I1481/I1480),"-")</f>
        <v>0.96625000000000005</v>
      </c>
      <c r="K1480" s="528"/>
      <c r="L1480" s="546" t="s">
        <v>37</v>
      </c>
      <c r="M1480" s="711">
        <f t="shared" si="5775"/>
        <v>70</v>
      </c>
      <c r="N1480" s="896">
        <f t="shared" ref="N1480" si="5907">IFERROR((M1481/M1480),"-")</f>
        <v>8.5714285714285715E-2</v>
      </c>
      <c r="O1480" s="528"/>
      <c r="P1480" s="547">
        <v>70</v>
      </c>
      <c r="Q1480" s="547">
        <v>70</v>
      </c>
      <c r="R1480" s="547">
        <v>70</v>
      </c>
      <c r="S1480" s="547">
        <v>70</v>
      </c>
      <c r="T1480" s="547">
        <v>60</v>
      </c>
      <c r="U1480" s="547">
        <v>60</v>
      </c>
      <c r="V1480" s="548">
        <v>0</v>
      </c>
      <c r="W1480" s="528"/>
      <c r="X1480" s="711">
        <f t="shared" si="5768"/>
        <v>140</v>
      </c>
      <c r="Y1480" s="896">
        <f t="shared" ref="Y1480" si="5908">IFERROR((X1481/X1480),"-")</f>
        <v>0.18571428571428572</v>
      </c>
      <c r="Z1480" s="528"/>
      <c r="AA1480" s="898">
        <v>1240.67</v>
      </c>
      <c r="AB1480" s="898">
        <v>717.64</v>
      </c>
      <c r="AC1480" s="903">
        <v>495.5</v>
      </c>
      <c r="AD1480" s="900">
        <f t="shared" ref="AD1480" si="5909">IFERROR((AC1480/AB1480),"-")</f>
        <v>0.69045761105846948</v>
      </c>
      <c r="AE1480" s="2"/>
      <c r="AF1480" s="884">
        <v>166.113</v>
      </c>
      <c r="AG1480" s="884"/>
      <c r="AH1480" s="884">
        <v>81</v>
      </c>
      <c r="AI1480" s="884"/>
      <c r="AJ1480" s="884"/>
      <c r="AK1480" s="884">
        <f t="shared" ref="AK1480" si="5910">AF1480+AG1480+AH1480+AI1480+AJ1480+AC1480</f>
        <v>742.61300000000006</v>
      </c>
      <c r="AL1480" s="884">
        <v>1098.98</v>
      </c>
      <c r="AM1480" s="878">
        <f t="shared" ref="AM1480" si="5911">IFERROR((AK1480/AL1480),"-")</f>
        <v>0.67572931263535285</v>
      </c>
      <c r="AN1480" s="2"/>
      <c r="AO1480" s="884">
        <v>1622</v>
      </c>
      <c r="AP1480" s="884">
        <f t="shared" ref="AP1480" si="5912">AO1480-AK1480</f>
        <v>879.38699999999994</v>
      </c>
      <c r="AV1480" t="str">
        <f t="shared" si="5668"/>
        <v>Drenagem Superficial</v>
      </c>
      <c r="AW1480" s="4" t="str">
        <f t="shared" si="5659"/>
        <v xml:space="preserve">   Seg. 2.2-C13 - Drenagem Superficial - Sarjeta de corte (Km 114+980 a 115+800)</v>
      </c>
    </row>
    <row r="1481" spans="1:49" ht="15.6" hidden="1" customHeight="1" outlineLevel="2">
      <c r="A1481" s="8" t="str">
        <f t="shared" ref="A1481" si="5913">A1480</f>
        <v>S</v>
      </c>
      <c r="B1481" s="150"/>
      <c r="C1481" s="150" t="s">
        <v>1797</v>
      </c>
      <c r="D1481" s="120" t="s">
        <v>212</v>
      </c>
      <c r="E1481" s="915"/>
      <c r="F1481" s="902"/>
      <c r="G1481" s="528"/>
      <c r="H1481" s="549" t="s">
        <v>38</v>
      </c>
      <c r="I1481" s="711">
        <v>386.5</v>
      </c>
      <c r="J1481" s="897"/>
      <c r="K1481" s="528"/>
      <c r="L1481" s="549" t="s">
        <v>38</v>
      </c>
      <c r="M1481" s="711">
        <f t="shared" si="5775"/>
        <v>6</v>
      </c>
      <c r="N1481" s="897"/>
      <c r="O1481" s="528"/>
      <c r="P1481" s="548">
        <v>20</v>
      </c>
      <c r="Q1481" s="548">
        <v>6</v>
      </c>
      <c r="R1481" s="548">
        <v>0</v>
      </c>
      <c r="S1481" s="548">
        <v>0</v>
      </c>
      <c r="T1481" s="548">
        <v>0</v>
      </c>
      <c r="U1481" s="548">
        <v>0</v>
      </c>
      <c r="V1481" s="548"/>
      <c r="W1481" s="528"/>
      <c r="X1481" s="711">
        <f t="shared" si="5768"/>
        <v>26</v>
      </c>
      <c r="Y1481" s="897"/>
      <c r="Z1481" s="528"/>
      <c r="AA1481" s="899"/>
      <c r="AB1481" s="899"/>
      <c r="AC1481" s="904"/>
      <c r="AD1481" s="901"/>
      <c r="AE1481" s="2"/>
      <c r="AF1481" s="885"/>
      <c r="AG1481" s="885"/>
      <c r="AH1481" s="885"/>
      <c r="AI1481" s="885"/>
      <c r="AJ1481" s="885"/>
      <c r="AK1481" s="885"/>
      <c r="AL1481" s="885"/>
      <c r="AM1481" s="879"/>
      <c r="AN1481" s="2"/>
      <c r="AO1481" s="886"/>
      <c r="AP1481" s="886"/>
      <c r="AV1481" t="str">
        <f t="shared" si="5668"/>
        <v>Drenagem Superficial</v>
      </c>
      <c r="AW1481" s="4" t="str">
        <f t="shared" ref="AW1481:AW1544" si="5914">IF(E1481&lt;&gt;"",E1481,AW1480)</f>
        <v xml:space="preserve">   Seg. 2.2-C13 - Drenagem Superficial - Sarjeta de corte (Km 114+980 a 115+800)</v>
      </c>
    </row>
    <row r="1482" spans="1:49" ht="15.6" hidden="1" customHeight="1" outlineLevel="2">
      <c r="A1482" s="8" t="str">
        <f t="shared" ref="A1482" si="5915">IF(SUM(P1482:V1483)&gt;0,"S","N")</f>
        <v>N</v>
      </c>
      <c r="B1482" s="150">
        <v>1061615</v>
      </c>
      <c r="C1482" s="150" t="s">
        <v>1799</v>
      </c>
      <c r="D1482" s="120" t="s">
        <v>218</v>
      </c>
      <c r="E1482" s="914" t="s">
        <v>1800</v>
      </c>
      <c r="F1482" s="902" t="s">
        <v>52</v>
      </c>
      <c r="G1482" s="528"/>
      <c r="H1482" s="546" t="s">
        <v>37</v>
      </c>
      <c r="I1482" s="711">
        <v>0</v>
      </c>
      <c r="J1482" s="896" t="str">
        <f t="shared" ref="J1482" si="5916">IFERROR((I1483/I1482),"-")</f>
        <v>-</v>
      </c>
      <c r="K1482" s="528"/>
      <c r="L1482" s="546" t="s">
        <v>37</v>
      </c>
      <c r="M1482" s="711">
        <f t="shared" si="5775"/>
        <v>0</v>
      </c>
      <c r="N1482" s="896" t="str">
        <f t="shared" ref="N1482" si="5917">IFERROR((M1483/M1482),"-")</f>
        <v>-</v>
      </c>
      <c r="O1482" s="528"/>
      <c r="P1482" s="547">
        <v>0</v>
      </c>
      <c r="Q1482" s="547">
        <v>0</v>
      </c>
      <c r="R1482" s="547">
        <v>0</v>
      </c>
      <c r="S1482" s="547">
        <v>0</v>
      </c>
      <c r="T1482" s="547">
        <v>0</v>
      </c>
      <c r="U1482" s="547">
        <v>0</v>
      </c>
      <c r="V1482" s="548">
        <v>0</v>
      </c>
      <c r="W1482" s="528"/>
      <c r="X1482" s="711">
        <f t="shared" si="5768"/>
        <v>0</v>
      </c>
      <c r="Y1482" s="896" t="str">
        <f t="shared" ref="Y1482" si="5918">IFERROR((X1483/X1482),"-")</f>
        <v>-</v>
      </c>
      <c r="Z1482" s="528"/>
      <c r="AA1482" s="898">
        <v>0</v>
      </c>
      <c r="AB1482" s="898">
        <v>0</v>
      </c>
      <c r="AC1482" s="903">
        <v>0</v>
      </c>
      <c r="AD1482" s="900" t="str">
        <f t="shared" ref="AD1482" si="5919">IFERROR((AC1482/AB1482),"-")</f>
        <v>-</v>
      </c>
      <c r="AE1482" s="2"/>
      <c r="AF1482" s="884">
        <v>208.221</v>
      </c>
      <c r="AG1482" s="884"/>
      <c r="AH1482" s="884">
        <v>0</v>
      </c>
      <c r="AI1482" s="884"/>
      <c r="AJ1482" s="884"/>
      <c r="AK1482" s="884">
        <f t="shared" ref="AK1482" si="5920">AF1482+AG1482+AH1482+AI1482+AJ1482+AC1482</f>
        <v>208.221</v>
      </c>
      <c r="AL1482" s="884">
        <v>168</v>
      </c>
      <c r="AM1482" s="878">
        <f t="shared" ref="AM1482" si="5921">IFERROR((AK1482/AL1482),"-")</f>
        <v>1.2394107142857143</v>
      </c>
      <c r="AN1482" s="2"/>
      <c r="AO1482" s="884">
        <v>168</v>
      </c>
      <c r="AP1482" s="884">
        <f t="shared" ref="AP1482" si="5922">AO1482-AK1482</f>
        <v>-40.221000000000004</v>
      </c>
      <c r="AV1482" t="str">
        <f t="shared" ref="AV1482:AV1545" si="5923">IF(AX1482="Y",LEFT(E1482,20),IF(AX1482="x",E1482,AV1481))</f>
        <v>Drenagem Superficial</v>
      </c>
      <c r="AW1482" s="4" t="str">
        <f t="shared" si="5914"/>
        <v xml:space="preserve">   Seg. 2.2-C15 - Drenagem Superficial - Sarjeta de corte (Km 116+120 a 116+240)</v>
      </c>
    </row>
    <row r="1483" spans="1:49" ht="15.6" hidden="1" customHeight="1" outlineLevel="2">
      <c r="A1483" s="8" t="str">
        <f t="shared" ref="A1483" si="5924">A1482</f>
        <v>N</v>
      </c>
      <c r="B1483" s="150"/>
      <c r="C1483" s="150" t="s">
        <v>1799</v>
      </c>
      <c r="D1483" s="120" t="s">
        <v>218</v>
      </c>
      <c r="E1483" s="915"/>
      <c r="F1483" s="902"/>
      <c r="G1483" s="528"/>
      <c r="H1483" s="549" t="s">
        <v>38</v>
      </c>
      <c r="I1483" s="711">
        <v>0</v>
      </c>
      <c r="J1483" s="897"/>
      <c r="K1483" s="528"/>
      <c r="L1483" s="549" t="s">
        <v>38</v>
      </c>
      <c r="M1483" s="711">
        <f t="shared" si="5775"/>
        <v>0</v>
      </c>
      <c r="N1483" s="897"/>
      <c r="O1483" s="528"/>
      <c r="P1483" s="548">
        <v>0</v>
      </c>
      <c r="Q1483" s="548">
        <v>0</v>
      </c>
      <c r="R1483" s="548">
        <v>0</v>
      </c>
      <c r="S1483" s="548">
        <v>0</v>
      </c>
      <c r="T1483" s="548">
        <v>0</v>
      </c>
      <c r="U1483" s="548">
        <v>0</v>
      </c>
      <c r="V1483" s="548"/>
      <c r="W1483" s="528"/>
      <c r="X1483" s="711">
        <f t="shared" si="5768"/>
        <v>0</v>
      </c>
      <c r="Y1483" s="897"/>
      <c r="Z1483" s="528"/>
      <c r="AA1483" s="899"/>
      <c r="AB1483" s="899"/>
      <c r="AC1483" s="904"/>
      <c r="AD1483" s="901"/>
      <c r="AE1483" s="2"/>
      <c r="AF1483" s="885"/>
      <c r="AG1483" s="885"/>
      <c r="AH1483" s="885"/>
      <c r="AI1483" s="885"/>
      <c r="AJ1483" s="885"/>
      <c r="AK1483" s="885"/>
      <c r="AL1483" s="885"/>
      <c r="AM1483" s="879"/>
      <c r="AN1483" s="2"/>
      <c r="AO1483" s="886"/>
      <c r="AP1483" s="886"/>
      <c r="AV1483" t="str">
        <f t="shared" si="5923"/>
        <v>Drenagem Superficial</v>
      </c>
      <c r="AW1483" s="4" t="str">
        <f t="shared" si="5914"/>
        <v xml:space="preserve">   Seg. 2.2-C15 - Drenagem Superficial - Sarjeta de corte (Km 116+120 a 116+240)</v>
      </c>
    </row>
    <row r="1484" spans="1:49" ht="15.6" hidden="1" customHeight="1" outlineLevel="2">
      <c r="A1484" s="8" t="str">
        <f t="shared" ref="A1484" si="5925">IF(SUM(P1484:V1485)&gt;0,"S","N")</f>
        <v>N</v>
      </c>
      <c r="B1484" s="150">
        <v>1061617</v>
      </c>
      <c r="C1484" s="150" t="s">
        <v>1801</v>
      </c>
      <c r="D1484" s="120" t="s">
        <v>1225</v>
      </c>
      <c r="E1484" s="914" t="s">
        <v>1802</v>
      </c>
      <c r="F1484" s="902" t="s">
        <v>52</v>
      </c>
      <c r="G1484" s="528"/>
      <c r="H1484" s="546" t="s">
        <v>37</v>
      </c>
      <c r="I1484" s="711">
        <v>0</v>
      </c>
      <c r="J1484" s="896" t="str">
        <f t="shared" ref="J1484" si="5926">IFERROR((I1485/I1484),"-")</f>
        <v>-</v>
      </c>
      <c r="K1484" s="528"/>
      <c r="L1484" s="546" t="s">
        <v>37</v>
      </c>
      <c r="M1484" s="711">
        <f t="shared" si="5775"/>
        <v>0</v>
      </c>
      <c r="N1484" s="896" t="str">
        <f t="shared" ref="N1484" si="5927">IFERROR((M1485/M1484),"-")</f>
        <v>-</v>
      </c>
      <c r="O1484" s="528"/>
      <c r="P1484" s="547">
        <v>0</v>
      </c>
      <c r="Q1484" s="547">
        <v>0</v>
      </c>
      <c r="R1484" s="547">
        <v>0</v>
      </c>
      <c r="S1484" s="547">
        <v>0</v>
      </c>
      <c r="T1484" s="547">
        <v>0</v>
      </c>
      <c r="U1484" s="547">
        <v>0</v>
      </c>
      <c r="V1484" s="548">
        <v>0</v>
      </c>
      <c r="W1484" s="528"/>
      <c r="X1484" s="711">
        <f t="shared" si="5768"/>
        <v>0</v>
      </c>
      <c r="Y1484" s="896" t="str">
        <f>IFERROR((X1485/X1484),"-")</f>
        <v>-</v>
      </c>
      <c r="Z1484" s="528"/>
      <c r="AA1484" s="898">
        <v>0</v>
      </c>
      <c r="AB1484" s="898">
        <v>0</v>
      </c>
      <c r="AC1484" s="903">
        <v>0</v>
      </c>
      <c r="AD1484" s="900" t="str">
        <f t="shared" ref="AD1484" si="5928">IFERROR((AC1484/AB1484),"-")</f>
        <v>-</v>
      </c>
      <c r="AE1484" s="2"/>
      <c r="AF1484" s="884">
        <v>200.482</v>
      </c>
      <c r="AG1484" s="884"/>
      <c r="AH1484" s="884">
        <v>97.5</v>
      </c>
      <c r="AI1484" s="884"/>
      <c r="AJ1484" s="884"/>
      <c r="AK1484" s="884">
        <f t="shared" ref="AK1484" si="5929">AF1484+AG1484+AH1484+AI1484+AJ1484+AC1484</f>
        <v>297.98199999999997</v>
      </c>
      <c r="AL1484" s="884">
        <v>176.01000000000002</v>
      </c>
      <c r="AM1484" s="878">
        <f t="shared" ref="AM1484" si="5930">IFERROR((AK1484/AL1484),"-")</f>
        <v>1.6929833532185667</v>
      </c>
      <c r="AN1484" s="2"/>
      <c r="AO1484" s="884">
        <v>176</v>
      </c>
      <c r="AP1484" s="884">
        <f t="shared" ref="AP1484" si="5931">AO1484-AK1484</f>
        <v>-121.98199999999997</v>
      </c>
      <c r="AV1484" t="str">
        <f t="shared" si="5923"/>
        <v>Drenagem Superficial</v>
      </c>
      <c r="AW1484" s="4" t="str">
        <f t="shared" si="5914"/>
        <v xml:space="preserve">   Seg. 2.2-A02- Drenagem Superficial - Sarjeta de aterro (Km 105+120 a 105+270)</v>
      </c>
    </row>
    <row r="1485" spans="1:49" ht="15.6" hidden="1" customHeight="1" outlineLevel="2">
      <c r="A1485" s="8" t="str">
        <f t="shared" ref="A1485" si="5932">A1484</f>
        <v>N</v>
      </c>
      <c r="B1485" s="150"/>
      <c r="C1485" s="150" t="s">
        <v>1801</v>
      </c>
      <c r="D1485" s="120" t="s">
        <v>1225</v>
      </c>
      <c r="E1485" s="915"/>
      <c r="F1485" s="902"/>
      <c r="G1485" s="528"/>
      <c r="H1485" s="549" t="s">
        <v>38</v>
      </c>
      <c r="I1485" s="711">
        <v>0</v>
      </c>
      <c r="J1485" s="897"/>
      <c r="K1485" s="528"/>
      <c r="L1485" s="549" t="s">
        <v>38</v>
      </c>
      <c r="M1485" s="711">
        <f t="shared" si="5775"/>
        <v>0</v>
      </c>
      <c r="N1485" s="897"/>
      <c r="O1485" s="528"/>
      <c r="P1485" s="548">
        <v>0</v>
      </c>
      <c r="Q1485" s="548">
        <v>0</v>
      </c>
      <c r="R1485" s="548">
        <v>0</v>
      </c>
      <c r="S1485" s="548">
        <v>0</v>
      </c>
      <c r="T1485" s="548">
        <v>0</v>
      </c>
      <c r="U1485" s="548">
        <v>0</v>
      </c>
      <c r="V1485" s="548"/>
      <c r="W1485" s="528"/>
      <c r="X1485" s="711">
        <f t="shared" si="5768"/>
        <v>0</v>
      </c>
      <c r="Y1485" s="897"/>
      <c r="Z1485" s="528"/>
      <c r="AA1485" s="899"/>
      <c r="AB1485" s="899"/>
      <c r="AC1485" s="904"/>
      <c r="AD1485" s="901"/>
      <c r="AE1485" s="2"/>
      <c r="AF1485" s="885"/>
      <c r="AG1485" s="885"/>
      <c r="AH1485" s="885"/>
      <c r="AI1485" s="885"/>
      <c r="AJ1485" s="885"/>
      <c r="AK1485" s="885"/>
      <c r="AL1485" s="885"/>
      <c r="AM1485" s="879"/>
      <c r="AN1485" s="2"/>
      <c r="AO1485" s="886"/>
      <c r="AP1485" s="886"/>
      <c r="AV1485" t="str">
        <f t="shared" si="5923"/>
        <v>Drenagem Superficial</v>
      </c>
      <c r="AW1485" s="4" t="str">
        <f t="shared" si="5914"/>
        <v xml:space="preserve">   Seg. 2.2-A02- Drenagem Superficial - Sarjeta de aterro (Km 105+120 a 105+270)</v>
      </c>
    </row>
    <row r="1486" spans="1:49" ht="15.6" hidden="1" customHeight="1" outlineLevel="2">
      <c r="A1486" s="8" t="str">
        <f t="shared" ref="A1486" si="5933">IF(SUM(P1486:V1487)&gt;0,"S","N")</f>
        <v>N</v>
      </c>
      <c r="B1486" s="150">
        <v>1061629</v>
      </c>
      <c r="C1486" s="150" t="s">
        <v>1803</v>
      </c>
      <c r="D1486" s="120" t="s">
        <v>1233</v>
      </c>
      <c r="E1486" s="914" t="s">
        <v>1804</v>
      </c>
      <c r="F1486" s="902" t="s">
        <v>52</v>
      </c>
      <c r="G1486" s="528"/>
      <c r="H1486" s="546" t="s">
        <v>37</v>
      </c>
      <c r="I1486" s="711">
        <v>0</v>
      </c>
      <c r="J1486" s="896" t="str">
        <f t="shared" ref="J1486" si="5934">IFERROR((I1487/I1486),"-")</f>
        <v>-</v>
      </c>
      <c r="K1486" s="528"/>
      <c r="L1486" s="546" t="s">
        <v>37</v>
      </c>
      <c r="M1486" s="711">
        <f t="shared" si="5775"/>
        <v>0</v>
      </c>
      <c r="N1486" s="896" t="str">
        <f t="shared" ref="N1486" si="5935">IFERROR((M1487/M1486),"-")</f>
        <v>-</v>
      </c>
      <c r="O1486" s="528"/>
      <c r="P1486" s="547">
        <v>0</v>
      </c>
      <c r="Q1486" s="547">
        <v>0</v>
      </c>
      <c r="R1486" s="547">
        <v>0</v>
      </c>
      <c r="S1486" s="547">
        <v>0</v>
      </c>
      <c r="T1486" s="547">
        <v>0</v>
      </c>
      <c r="U1486" s="547">
        <v>0</v>
      </c>
      <c r="V1486" s="548">
        <v>0</v>
      </c>
      <c r="W1486" s="528"/>
      <c r="X1486" s="711">
        <f t="shared" si="5768"/>
        <v>0</v>
      </c>
      <c r="Y1486" s="896" t="str">
        <f t="shared" ref="Y1486" si="5936">IFERROR((X1487/X1486),"-")</f>
        <v>-</v>
      </c>
      <c r="Z1486" s="528"/>
      <c r="AA1486" s="898">
        <v>0</v>
      </c>
      <c r="AB1486" s="898">
        <v>0</v>
      </c>
      <c r="AC1486" s="903">
        <v>0</v>
      </c>
      <c r="AD1486" s="900" t="str">
        <f t="shared" ref="AD1486" si="5937">IFERROR((AC1486/AB1486),"-")</f>
        <v>-</v>
      </c>
      <c r="AE1486" s="2"/>
      <c r="AF1486" s="884">
        <v>186.12200000000001</v>
      </c>
      <c r="AG1486" s="884"/>
      <c r="AH1486" s="884">
        <v>0</v>
      </c>
      <c r="AI1486" s="884"/>
      <c r="AJ1486" s="884"/>
      <c r="AK1486" s="884">
        <f t="shared" ref="AK1486" si="5938">AF1486+AG1486+AH1486+AI1486+AJ1486+AC1486</f>
        <v>186.12200000000001</v>
      </c>
      <c r="AL1486" s="884">
        <v>92</v>
      </c>
      <c r="AM1486" s="878">
        <f t="shared" ref="AM1486" si="5939">IFERROR((AK1486/AL1486),"-")</f>
        <v>2.0230652173913044</v>
      </c>
      <c r="AN1486" s="2"/>
      <c r="AO1486" s="884">
        <v>92</v>
      </c>
      <c r="AP1486" s="884">
        <f t="shared" ref="AP1486" si="5940">AO1486-AK1486</f>
        <v>-94.122000000000014</v>
      </c>
      <c r="AV1486" t="str">
        <f t="shared" si="5923"/>
        <v>Drenagem Superficial</v>
      </c>
      <c r="AW1486" s="4" t="str">
        <f t="shared" si="5914"/>
        <v xml:space="preserve">   Seg. 2.2-A07 - Drenagem Superficial - Sarjeta de aterro (Km 109+200 a 109+280)</v>
      </c>
    </row>
    <row r="1487" spans="1:49" ht="15.6" hidden="1" customHeight="1" outlineLevel="2">
      <c r="A1487" s="8" t="str">
        <f t="shared" ref="A1487" si="5941">A1486</f>
        <v>N</v>
      </c>
      <c r="B1487" s="150"/>
      <c r="C1487" s="150" t="s">
        <v>1803</v>
      </c>
      <c r="D1487" s="120" t="s">
        <v>1233</v>
      </c>
      <c r="E1487" s="915"/>
      <c r="F1487" s="902"/>
      <c r="G1487" s="528"/>
      <c r="H1487" s="549" t="s">
        <v>38</v>
      </c>
      <c r="I1487" s="711">
        <v>0</v>
      </c>
      <c r="J1487" s="897"/>
      <c r="K1487" s="528"/>
      <c r="L1487" s="549" t="s">
        <v>38</v>
      </c>
      <c r="M1487" s="711">
        <f t="shared" si="5775"/>
        <v>0</v>
      </c>
      <c r="N1487" s="897"/>
      <c r="O1487" s="528"/>
      <c r="P1487" s="548">
        <v>0</v>
      </c>
      <c r="Q1487" s="548">
        <v>0</v>
      </c>
      <c r="R1487" s="548">
        <v>0</v>
      </c>
      <c r="S1487" s="548">
        <v>0</v>
      </c>
      <c r="T1487" s="548">
        <v>0</v>
      </c>
      <c r="U1487" s="548">
        <v>0</v>
      </c>
      <c r="V1487" s="548"/>
      <c r="W1487" s="528"/>
      <c r="X1487" s="711">
        <f t="shared" si="5768"/>
        <v>0</v>
      </c>
      <c r="Y1487" s="897"/>
      <c r="Z1487" s="528"/>
      <c r="AA1487" s="899"/>
      <c r="AB1487" s="899"/>
      <c r="AC1487" s="904"/>
      <c r="AD1487" s="901"/>
      <c r="AE1487" s="2"/>
      <c r="AF1487" s="885"/>
      <c r="AG1487" s="885"/>
      <c r="AH1487" s="885"/>
      <c r="AI1487" s="885"/>
      <c r="AJ1487" s="885"/>
      <c r="AK1487" s="885"/>
      <c r="AL1487" s="885"/>
      <c r="AM1487" s="879"/>
      <c r="AN1487" s="2"/>
      <c r="AO1487" s="886"/>
      <c r="AP1487" s="886"/>
      <c r="AV1487" t="str">
        <f t="shared" si="5923"/>
        <v>Drenagem Superficial</v>
      </c>
      <c r="AW1487" s="4" t="str">
        <f t="shared" si="5914"/>
        <v xml:space="preserve">   Seg. 2.2-A07 - Drenagem Superficial - Sarjeta de aterro (Km 109+200 a 109+280)</v>
      </c>
    </row>
    <row r="1488" spans="1:49" ht="15.6" hidden="1" customHeight="1" outlineLevel="2">
      <c r="A1488" s="8" t="str">
        <f t="shared" ref="A1488" si="5942">IF(SUM(P1488:V1489)&gt;0,"S","N")</f>
        <v>N</v>
      </c>
      <c r="B1488" s="150">
        <v>1061634</v>
      </c>
      <c r="C1488" s="150" t="s">
        <v>1805</v>
      </c>
      <c r="D1488" s="120" t="s">
        <v>1235</v>
      </c>
      <c r="E1488" s="914" t="s">
        <v>1806</v>
      </c>
      <c r="F1488" s="902" t="s">
        <v>52</v>
      </c>
      <c r="G1488" s="528"/>
      <c r="H1488" s="546" t="s">
        <v>37</v>
      </c>
      <c r="I1488" s="711">
        <v>0</v>
      </c>
      <c r="J1488" s="896" t="str">
        <f t="shared" ref="J1488" si="5943">IFERROR((I1489/I1488),"-")</f>
        <v>-</v>
      </c>
      <c r="K1488" s="528"/>
      <c r="L1488" s="546" t="s">
        <v>37</v>
      </c>
      <c r="M1488" s="711">
        <f t="shared" si="5775"/>
        <v>0</v>
      </c>
      <c r="N1488" s="896" t="str">
        <f t="shared" ref="N1488" si="5944">IFERROR((M1489/M1488),"-")</f>
        <v>-</v>
      </c>
      <c r="O1488" s="528"/>
      <c r="P1488" s="547">
        <v>0</v>
      </c>
      <c r="Q1488" s="547">
        <v>0</v>
      </c>
      <c r="R1488" s="547">
        <v>0</v>
      </c>
      <c r="S1488" s="547">
        <v>0</v>
      </c>
      <c r="T1488" s="547">
        <v>0</v>
      </c>
      <c r="U1488" s="547">
        <v>0</v>
      </c>
      <c r="V1488" s="548">
        <v>0</v>
      </c>
      <c r="W1488" s="528"/>
      <c r="X1488" s="711">
        <f t="shared" si="5768"/>
        <v>0</v>
      </c>
      <c r="Y1488" s="896" t="str">
        <f t="shared" ref="Y1488" si="5945">IFERROR((X1489/X1488),"-")</f>
        <v>-</v>
      </c>
      <c r="Z1488" s="528"/>
      <c r="AA1488" s="898">
        <v>0</v>
      </c>
      <c r="AB1488" s="898">
        <v>0</v>
      </c>
      <c r="AC1488" s="903">
        <v>0</v>
      </c>
      <c r="AD1488" s="900" t="str">
        <f t="shared" ref="AD1488" si="5946">IFERROR((AC1488/AB1488),"-")</f>
        <v>-</v>
      </c>
      <c r="AE1488" s="2"/>
      <c r="AF1488" s="884">
        <v>457.13400000000001</v>
      </c>
      <c r="AG1488" s="884"/>
      <c r="AH1488" s="884">
        <v>0</v>
      </c>
      <c r="AI1488" s="884"/>
      <c r="AJ1488" s="884"/>
      <c r="AK1488" s="884">
        <f t="shared" ref="AK1488" si="5947">AF1488+AG1488+AH1488+AI1488+AJ1488+AC1488</f>
        <v>457.13400000000001</v>
      </c>
      <c r="AL1488" s="884">
        <v>228</v>
      </c>
      <c r="AM1488" s="878">
        <f t="shared" ref="AM1488" si="5948">IFERROR((AK1488/AL1488),"-")</f>
        <v>2.0049736842105266</v>
      </c>
      <c r="AN1488" s="2"/>
      <c r="AO1488" s="884">
        <v>228</v>
      </c>
      <c r="AP1488" s="884">
        <f t="shared" ref="AP1488" si="5949">AO1488-AK1488</f>
        <v>-229.13400000000001</v>
      </c>
      <c r="AV1488" t="str">
        <f t="shared" si="5923"/>
        <v>Drenagem Superficial</v>
      </c>
      <c r="AW1488" s="4" t="str">
        <f t="shared" si="5914"/>
        <v xml:space="preserve">   Seg. 2.2-A08 - Drenagem Superficial - Sarjeta de aterro (Km 109+440 a 109+580)</v>
      </c>
    </row>
    <row r="1489" spans="1:49" ht="15.6" hidden="1" customHeight="1" outlineLevel="2">
      <c r="A1489" s="8" t="str">
        <f t="shared" ref="A1489" si="5950">A1488</f>
        <v>N</v>
      </c>
      <c r="B1489" s="150"/>
      <c r="C1489" s="150" t="s">
        <v>1805</v>
      </c>
      <c r="D1489" s="120" t="s">
        <v>1235</v>
      </c>
      <c r="E1489" s="915"/>
      <c r="F1489" s="902"/>
      <c r="G1489" s="528"/>
      <c r="H1489" s="549" t="s">
        <v>38</v>
      </c>
      <c r="I1489" s="711">
        <v>0</v>
      </c>
      <c r="J1489" s="897"/>
      <c r="K1489" s="528"/>
      <c r="L1489" s="549" t="s">
        <v>38</v>
      </c>
      <c r="M1489" s="711">
        <f t="shared" si="5775"/>
        <v>0</v>
      </c>
      <c r="N1489" s="897"/>
      <c r="O1489" s="528"/>
      <c r="P1489" s="548">
        <v>0</v>
      </c>
      <c r="Q1489" s="548">
        <v>0</v>
      </c>
      <c r="R1489" s="548">
        <v>0</v>
      </c>
      <c r="S1489" s="548">
        <v>0</v>
      </c>
      <c r="T1489" s="548">
        <v>0</v>
      </c>
      <c r="U1489" s="548">
        <v>0</v>
      </c>
      <c r="V1489" s="548"/>
      <c r="W1489" s="528"/>
      <c r="X1489" s="711">
        <f t="shared" si="5768"/>
        <v>0</v>
      </c>
      <c r="Y1489" s="897"/>
      <c r="Z1489" s="528"/>
      <c r="AA1489" s="899"/>
      <c r="AB1489" s="899"/>
      <c r="AC1489" s="904"/>
      <c r="AD1489" s="901"/>
      <c r="AE1489" s="2"/>
      <c r="AF1489" s="885"/>
      <c r="AG1489" s="885"/>
      <c r="AH1489" s="885"/>
      <c r="AI1489" s="885"/>
      <c r="AJ1489" s="885"/>
      <c r="AK1489" s="885"/>
      <c r="AL1489" s="885"/>
      <c r="AM1489" s="879"/>
      <c r="AN1489" s="2"/>
      <c r="AO1489" s="886"/>
      <c r="AP1489" s="886"/>
      <c r="AV1489" t="str">
        <f t="shared" si="5923"/>
        <v>Drenagem Superficial</v>
      </c>
      <c r="AW1489" s="4" t="str">
        <f t="shared" si="5914"/>
        <v xml:space="preserve">   Seg. 2.2-A08 - Drenagem Superficial - Sarjeta de aterro (Km 109+440 a 109+580)</v>
      </c>
    </row>
    <row r="1490" spans="1:49" ht="15.6" hidden="1" customHeight="1" outlineLevel="2">
      <c r="A1490" s="8" t="str">
        <f t="shared" ref="A1490" si="5951">IF(SUM(P1490:V1491)&gt;0,"S","N")</f>
        <v>N</v>
      </c>
      <c r="B1490" s="150">
        <v>1061638</v>
      </c>
      <c r="C1490" s="150" t="s">
        <v>1807</v>
      </c>
      <c r="D1490" s="120" t="s">
        <v>1237</v>
      </c>
      <c r="E1490" s="914" t="s">
        <v>1808</v>
      </c>
      <c r="F1490" s="902" t="s">
        <v>52</v>
      </c>
      <c r="G1490" s="528"/>
      <c r="H1490" s="546" t="s">
        <v>37</v>
      </c>
      <c r="I1490" s="711">
        <v>0</v>
      </c>
      <c r="J1490" s="896" t="str">
        <f t="shared" ref="J1490" si="5952">IFERROR((I1491/I1490),"-")</f>
        <v>-</v>
      </c>
      <c r="K1490" s="528"/>
      <c r="L1490" s="546" t="s">
        <v>37</v>
      </c>
      <c r="M1490" s="711">
        <f t="shared" si="5775"/>
        <v>0</v>
      </c>
      <c r="N1490" s="896" t="str">
        <f t="shared" ref="N1490" si="5953">IFERROR((M1491/M1490),"-")</f>
        <v>-</v>
      </c>
      <c r="O1490" s="528"/>
      <c r="P1490" s="547">
        <v>0</v>
      </c>
      <c r="Q1490" s="547">
        <v>0</v>
      </c>
      <c r="R1490" s="547">
        <v>0</v>
      </c>
      <c r="S1490" s="547">
        <v>0</v>
      </c>
      <c r="T1490" s="547">
        <v>0</v>
      </c>
      <c r="U1490" s="547">
        <v>0</v>
      </c>
      <c r="V1490" s="548">
        <v>0</v>
      </c>
      <c r="W1490" s="528"/>
      <c r="X1490" s="711">
        <f t="shared" si="5768"/>
        <v>0</v>
      </c>
      <c r="Y1490" s="896" t="str">
        <f t="shared" ref="Y1490" si="5954">IFERROR((X1491/X1490),"-")</f>
        <v>-</v>
      </c>
      <c r="Z1490" s="528"/>
      <c r="AA1490" s="898">
        <v>53</v>
      </c>
      <c r="AB1490" s="898">
        <v>53</v>
      </c>
      <c r="AC1490" s="903">
        <v>0</v>
      </c>
      <c r="AD1490" s="900">
        <f t="shared" ref="AD1490" si="5955">IFERROR((AC1490/AB1490),"-")</f>
        <v>0</v>
      </c>
      <c r="AE1490" s="2"/>
      <c r="AF1490" s="884"/>
      <c r="AG1490" s="884"/>
      <c r="AH1490" s="884">
        <v>0</v>
      </c>
      <c r="AI1490" s="884"/>
      <c r="AJ1490" s="884"/>
      <c r="AK1490" s="884">
        <f t="shared" ref="AK1490" si="5956">AF1490+AG1490+AH1490+AI1490+AJ1490+AC1490</f>
        <v>0</v>
      </c>
      <c r="AL1490" s="884">
        <v>53</v>
      </c>
      <c r="AM1490" s="878">
        <f t="shared" ref="AM1490" si="5957">IFERROR((AK1490/AL1490),"-")</f>
        <v>0</v>
      </c>
      <c r="AN1490" s="2"/>
      <c r="AO1490" s="884">
        <v>53</v>
      </c>
      <c r="AP1490" s="884">
        <f t="shared" ref="AP1490" si="5958">AO1490-AK1490</f>
        <v>53</v>
      </c>
      <c r="AV1490" t="str">
        <f t="shared" si="5923"/>
        <v>Drenagem Superficial</v>
      </c>
      <c r="AW1490" s="4" t="str">
        <f t="shared" si="5914"/>
        <v xml:space="preserve">   Seg. 2.2-A09 - Drenagem Superficial - Sarjeta de aterro (Km 110+000 a 110+040)</v>
      </c>
    </row>
    <row r="1491" spans="1:49" ht="15.6" hidden="1" customHeight="1" outlineLevel="2">
      <c r="A1491" s="8" t="str">
        <f t="shared" ref="A1491" si="5959">A1490</f>
        <v>N</v>
      </c>
      <c r="B1491" s="150"/>
      <c r="C1491" s="150" t="s">
        <v>1807</v>
      </c>
      <c r="D1491" s="120" t="s">
        <v>1237</v>
      </c>
      <c r="E1491" s="915"/>
      <c r="F1491" s="902"/>
      <c r="G1491" s="528"/>
      <c r="H1491" s="549" t="s">
        <v>38</v>
      </c>
      <c r="I1491" s="711">
        <v>0</v>
      </c>
      <c r="J1491" s="897"/>
      <c r="K1491" s="528"/>
      <c r="L1491" s="549" t="s">
        <v>38</v>
      </c>
      <c r="M1491" s="711">
        <f t="shared" si="5775"/>
        <v>0</v>
      </c>
      <c r="N1491" s="897"/>
      <c r="O1491" s="528"/>
      <c r="P1491" s="548">
        <v>0</v>
      </c>
      <c r="Q1491" s="548">
        <v>0</v>
      </c>
      <c r="R1491" s="548">
        <v>0</v>
      </c>
      <c r="S1491" s="548">
        <v>0</v>
      </c>
      <c r="T1491" s="548">
        <v>0</v>
      </c>
      <c r="U1491" s="548">
        <v>0</v>
      </c>
      <c r="V1491" s="548"/>
      <c r="W1491" s="528"/>
      <c r="X1491" s="711">
        <f t="shared" si="5768"/>
        <v>0</v>
      </c>
      <c r="Y1491" s="897"/>
      <c r="Z1491" s="528"/>
      <c r="AA1491" s="899"/>
      <c r="AB1491" s="899"/>
      <c r="AC1491" s="904"/>
      <c r="AD1491" s="901"/>
      <c r="AE1491" s="2"/>
      <c r="AF1491" s="885"/>
      <c r="AG1491" s="885"/>
      <c r="AH1491" s="885"/>
      <c r="AI1491" s="885"/>
      <c r="AJ1491" s="885"/>
      <c r="AK1491" s="885"/>
      <c r="AL1491" s="885"/>
      <c r="AM1491" s="879"/>
      <c r="AN1491" s="2"/>
      <c r="AO1491" s="886"/>
      <c r="AP1491" s="886"/>
      <c r="AV1491" t="str">
        <f t="shared" si="5923"/>
        <v>Drenagem Superficial</v>
      </c>
      <c r="AW1491" s="4" t="str">
        <f t="shared" si="5914"/>
        <v xml:space="preserve">   Seg. 2.2-A09 - Drenagem Superficial - Sarjeta de aterro (Km 110+000 a 110+040)</v>
      </c>
    </row>
    <row r="1492" spans="1:49" ht="15.6" hidden="1" customHeight="1" outlineLevel="2">
      <c r="A1492" s="8" t="str">
        <f t="shared" ref="A1492" si="5960">IF(SUM(P1492:V1493)&gt;0,"S","N")</f>
        <v>N</v>
      </c>
      <c r="B1492" s="150">
        <v>1061641</v>
      </c>
      <c r="C1492" s="150" t="s">
        <v>1809</v>
      </c>
      <c r="D1492" s="120" t="s">
        <v>1239</v>
      </c>
      <c r="E1492" s="914" t="s">
        <v>1810</v>
      </c>
      <c r="F1492" s="902" t="s">
        <v>52</v>
      </c>
      <c r="G1492" s="528"/>
      <c r="H1492" s="546" t="s">
        <v>37</v>
      </c>
      <c r="I1492" s="711">
        <v>0</v>
      </c>
      <c r="J1492" s="896" t="str">
        <f t="shared" ref="J1492" si="5961">IFERROR((I1493/I1492),"-")</f>
        <v>-</v>
      </c>
      <c r="K1492" s="528"/>
      <c r="L1492" s="546" t="s">
        <v>37</v>
      </c>
      <c r="M1492" s="711">
        <f t="shared" si="5775"/>
        <v>0</v>
      </c>
      <c r="N1492" s="896" t="str">
        <f t="shared" ref="N1492" si="5962">IFERROR((M1493/M1492),"-")</f>
        <v>-</v>
      </c>
      <c r="O1492" s="528"/>
      <c r="P1492" s="547">
        <v>0</v>
      </c>
      <c r="Q1492" s="547">
        <v>0</v>
      </c>
      <c r="R1492" s="547">
        <v>0</v>
      </c>
      <c r="S1492" s="547">
        <v>0</v>
      </c>
      <c r="T1492" s="547">
        <v>0</v>
      </c>
      <c r="U1492" s="547">
        <v>0</v>
      </c>
      <c r="V1492" s="548">
        <v>0</v>
      </c>
      <c r="W1492" s="528"/>
      <c r="X1492" s="711">
        <f t="shared" si="5768"/>
        <v>0</v>
      </c>
      <c r="Y1492" s="896" t="str">
        <f t="shared" ref="Y1492" si="5963">IFERROR((X1493/X1492),"-")</f>
        <v>-</v>
      </c>
      <c r="Z1492" s="528"/>
      <c r="AA1492" s="898">
        <v>0</v>
      </c>
      <c r="AB1492" s="898">
        <v>0</v>
      </c>
      <c r="AC1492" s="903">
        <v>0</v>
      </c>
      <c r="AD1492" s="900" t="str">
        <f t="shared" ref="AD1492" si="5964">IFERROR((AC1492/AB1492),"-")</f>
        <v>-</v>
      </c>
      <c r="AE1492" s="2"/>
      <c r="AF1492" s="884">
        <v>1333.6849999999999</v>
      </c>
      <c r="AG1492" s="884"/>
      <c r="AH1492" s="884">
        <v>0</v>
      </c>
      <c r="AI1492" s="884"/>
      <c r="AJ1492" s="884"/>
      <c r="AK1492" s="884">
        <f t="shared" ref="AK1492" si="5965">AF1492+AG1492+AH1492+AI1492+AJ1492+AC1492</f>
        <v>1333.6849999999999</v>
      </c>
      <c r="AL1492" s="884">
        <v>588</v>
      </c>
      <c r="AM1492" s="878">
        <f t="shared" ref="AM1492" si="5966">IFERROR((AK1492/AL1492),"-")</f>
        <v>2.2681717687074827</v>
      </c>
      <c r="AN1492" s="2"/>
      <c r="AO1492" s="884">
        <v>588</v>
      </c>
      <c r="AP1492" s="884">
        <f t="shared" ref="AP1492" si="5967">AO1492-AK1492</f>
        <v>-745.68499999999995</v>
      </c>
      <c r="AV1492" t="str">
        <f t="shared" si="5923"/>
        <v>Drenagem Superficial</v>
      </c>
      <c r="AW1492" s="4" t="str">
        <f t="shared" si="5914"/>
        <v xml:space="preserve">   Seg. 2.2-A10 - Drenagem Superficial - Sarjeta de aterro (Km 110+880 a 111+220)</v>
      </c>
    </row>
    <row r="1493" spans="1:49" ht="15.6" hidden="1" customHeight="1" outlineLevel="2">
      <c r="A1493" s="8" t="str">
        <f t="shared" ref="A1493" si="5968">A1492</f>
        <v>N</v>
      </c>
      <c r="B1493" s="150"/>
      <c r="C1493" s="150" t="s">
        <v>1809</v>
      </c>
      <c r="D1493" s="120" t="s">
        <v>1239</v>
      </c>
      <c r="E1493" s="915"/>
      <c r="F1493" s="902"/>
      <c r="G1493" s="528"/>
      <c r="H1493" s="549" t="s">
        <v>38</v>
      </c>
      <c r="I1493" s="711">
        <v>0</v>
      </c>
      <c r="J1493" s="897"/>
      <c r="K1493" s="528"/>
      <c r="L1493" s="549" t="s">
        <v>38</v>
      </c>
      <c r="M1493" s="711">
        <f t="shared" si="5775"/>
        <v>0</v>
      </c>
      <c r="N1493" s="897"/>
      <c r="O1493" s="528"/>
      <c r="P1493" s="548">
        <v>0</v>
      </c>
      <c r="Q1493" s="548">
        <v>0</v>
      </c>
      <c r="R1493" s="548">
        <v>0</v>
      </c>
      <c r="S1493" s="548">
        <v>0</v>
      </c>
      <c r="T1493" s="548">
        <v>0</v>
      </c>
      <c r="U1493" s="548">
        <v>0</v>
      </c>
      <c r="V1493" s="548"/>
      <c r="W1493" s="528"/>
      <c r="X1493" s="711">
        <f t="shared" si="5768"/>
        <v>0</v>
      </c>
      <c r="Y1493" s="897"/>
      <c r="Z1493" s="528"/>
      <c r="AA1493" s="899"/>
      <c r="AB1493" s="899"/>
      <c r="AC1493" s="904"/>
      <c r="AD1493" s="901"/>
      <c r="AE1493" s="2"/>
      <c r="AF1493" s="885"/>
      <c r="AG1493" s="885"/>
      <c r="AH1493" s="885"/>
      <c r="AI1493" s="885"/>
      <c r="AJ1493" s="885"/>
      <c r="AK1493" s="885"/>
      <c r="AL1493" s="885"/>
      <c r="AM1493" s="879"/>
      <c r="AN1493" s="2"/>
      <c r="AO1493" s="886"/>
      <c r="AP1493" s="886"/>
      <c r="AV1493" t="str">
        <f t="shared" si="5923"/>
        <v>Drenagem Superficial</v>
      </c>
      <c r="AW1493" s="4" t="str">
        <f t="shared" si="5914"/>
        <v xml:space="preserve">   Seg. 2.2-A10 - Drenagem Superficial - Sarjeta de aterro (Km 110+880 a 111+220)</v>
      </c>
    </row>
    <row r="1494" spans="1:49" ht="15.6" hidden="1" customHeight="1" outlineLevel="2">
      <c r="A1494" s="8" t="str">
        <f t="shared" ref="A1494" si="5969">IF(SUM(P1494:V1495)&gt;0,"S","N")</f>
        <v>N</v>
      </c>
      <c r="B1494" s="150">
        <v>1061645</v>
      </c>
      <c r="C1494" s="150" t="s">
        <v>1811</v>
      </c>
      <c r="D1494" s="120" t="s">
        <v>1241</v>
      </c>
      <c r="E1494" s="914" t="s">
        <v>1812</v>
      </c>
      <c r="F1494" s="902" t="s">
        <v>52</v>
      </c>
      <c r="G1494" s="528"/>
      <c r="H1494" s="546" t="s">
        <v>37</v>
      </c>
      <c r="I1494" s="711">
        <v>0</v>
      </c>
      <c r="J1494" s="896" t="str">
        <f t="shared" ref="J1494" si="5970">IFERROR((I1495/I1494),"-")</f>
        <v>-</v>
      </c>
      <c r="K1494" s="528"/>
      <c r="L1494" s="546" t="s">
        <v>37</v>
      </c>
      <c r="M1494" s="711">
        <f t="shared" si="5775"/>
        <v>0</v>
      </c>
      <c r="N1494" s="896" t="str">
        <f t="shared" ref="N1494" si="5971">IFERROR((M1495/M1494),"-")</f>
        <v>-</v>
      </c>
      <c r="O1494" s="528"/>
      <c r="P1494" s="547">
        <v>0</v>
      </c>
      <c r="Q1494" s="547">
        <v>0</v>
      </c>
      <c r="R1494" s="547">
        <v>0</v>
      </c>
      <c r="S1494" s="547">
        <v>0</v>
      </c>
      <c r="T1494" s="547">
        <v>0</v>
      </c>
      <c r="U1494" s="547">
        <v>0</v>
      </c>
      <c r="V1494" s="548">
        <v>0</v>
      </c>
      <c r="W1494" s="528"/>
      <c r="X1494" s="711">
        <f t="shared" si="5768"/>
        <v>0</v>
      </c>
      <c r="Y1494" s="896" t="str">
        <f t="shared" ref="Y1494" si="5972">IFERROR((X1495/X1494),"-")</f>
        <v>-</v>
      </c>
      <c r="Z1494" s="528"/>
      <c r="AA1494" s="898">
        <v>0</v>
      </c>
      <c r="AB1494" s="898">
        <v>0</v>
      </c>
      <c r="AC1494" s="903">
        <v>0</v>
      </c>
      <c r="AD1494" s="900" t="str">
        <f t="shared" ref="AD1494" si="5973">IFERROR((AC1494/AB1494),"-")</f>
        <v>-</v>
      </c>
      <c r="AE1494" s="2"/>
      <c r="AF1494" s="884">
        <v>1868.181</v>
      </c>
      <c r="AG1494" s="884"/>
      <c r="AH1494" s="884">
        <v>0</v>
      </c>
      <c r="AI1494" s="884"/>
      <c r="AJ1494" s="884"/>
      <c r="AK1494" s="884">
        <f t="shared" ref="AK1494" si="5974">AF1494+AG1494+AH1494+AI1494+AJ1494+AC1494</f>
        <v>1868.181</v>
      </c>
      <c r="AL1494" s="884">
        <v>625.98</v>
      </c>
      <c r="AM1494" s="878">
        <f t="shared" ref="AM1494" si="5975">IFERROR((AK1494/AL1494),"-")</f>
        <v>2.9844100450493625</v>
      </c>
      <c r="AN1494" s="2"/>
      <c r="AO1494" s="884">
        <v>626</v>
      </c>
      <c r="AP1494" s="884">
        <f t="shared" ref="AP1494" si="5976">AO1494-AK1494</f>
        <v>-1242.181</v>
      </c>
      <c r="AV1494" t="str">
        <f t="shared" si="5923"/>
        <v>Drenagem Superficial</v>
      </c>
      <c r="AW1494" s="4" t="str">
        <f t="shared" si="5914"/>
        <v xml:space="preserve">   Seg. 2.2-A11-B01 - Drenagem Superficial - Sarjeta de aterro (Km 111+640 a 112+000)</v>
      </c>
    </row>
    <row r="1495" spans="1:49" ht="15.6" hidden="1" customHeight="1" outlineLevel="2">
      <c r="A1495" s="8" t="str">
        <f t="shared" ref="A1495" si="5977">A1494</f>
        <v>N</v>
      </c>
      <c r="B1495" s="150"/>
      <c r="C1495" s="150" t="s">
        <v>1811</v>
      </c>
      <c r="D1495" s="120" t="s">
        <v>1241</v>
      </c>
      <c r="E1495" s="915"/>
      <c r="F1495" s="902"/>
      <c r="G1495" s="528"/>
      <c r="H1495" s="549" t="s">
        <v>38</v>
      </c>
      <c r="I1495" s="711">
        <v>0</v>
      </c>
      <c r="J1495" s="897"/>
      <c r="K1495" s="528"/>
      <c r="L1495" s="549" t="s">
        <v>38</v>
      </c>
      <c r="M1495" s="711">
        <f t="shared" si="5775"/>
        <v>0</v>
      </c>
      <c r="N1495" s="897"/>
      <c r="O1495" s="528"/>
      <c r="P1495" s="548">
        <v>0</v>
      </c>
      <c r="Q1495" s="548">
        <v>0</v>
      </c>
      <c r="R1495" s="548">
        <v>0</v>
      </c>
      <c r="S1495" s="548">
        <v>0</v>
      </c>
      <c r="T1495" s="548">
        <v>0</v>
      </c>
      <c r="U1495" s="548">
        <v>0</v>
      </c>
      <c r="V1495" s="548"/>
      <c r="W1495" s="528"/>
      <c r="X1495" s="711">
        <f t="shared" si="5768"/>
        <v>0</v>
      </c>
      <c r="Y1495" s="897"/>
      <c r="Z1495" s="528"/>
      <c r="AA1495" s="899"/>
      <c r="AB1495" s="899"/>
      <c r="AC1495" s="904"/>
      <c r="AD1495" s="901"/>
      <c r="AE1495" s="2"/>
      <c r="AF1495" s="885"/>
      <c r="AG1495" s="885"/>
      <c r="AH1495" s="885"/>
      <c r="AI1495" s="885"/>
      <c r="AJ1495" s="885"/>
      <c r="AK1495" s="885"/>
      <c r="AL1495" s="885"/>
      <c r="AM1495" s="879"/>
      <c r="AN1495" s="2"/>
      <c r="AO1495" s="886"/>
      <c r="AP1495" s="886"/>
      <c r="AV1495" t="str">
        <f t="shared" si="5923"/>
        <v>Drenagem Superficial</v>
      </c>
      <c r="AW1495" s="4" t="str">
        <f t="shared" si="5914"/>
        <v xml:space="preserve">   Seg. 2.2-A11-B01 - Drenagem Superficial - Sarjeta de aterro (Km 111+640 a 112+000)</v>
      </c>
    </row>
    <row r="1496" spans="1:49" ht="15.6" hidden="1" customHeight="1" outlineLevel="2">
      <c r="A1496" s="8" t="str">
        <f t="shared" ref="A1496" si="5978">IF(SUM(P1496:V1497)&gt;0,"S","N")</f>
        <v>N</v>
      </c>
      <c r="B1496" s="150">
        <v>1061650</v>
      </c>
      <c r="C1496" s="150" t="s">
        <v>1813</v>
      </c>
      <c r="D1496" s="120" t="s">
        <v>1243</v>
      </c>
      <c r="E1496" s="914" t="s">
        <v>1814</v>
      </c>
      <c r="F1496" s="902" t="s">
        <v>52</v>
      </c>
      <c r="G1496" s="528"/>
      <c r="H1496" s="546" t="s">
        <v>37</v>
      </c>
      <c r="I1496" s="711">
        <v>0</v>
      </c>
      <c r="J1496" s="896" t="str">
        <f t="shared" ref="J1496" si="5979">IFERROR((I1497/I1496),"-")</f>
        <v>-</v>
      </c>
      <c r="K1496" s="528"/>
      <c r="L1496" s="546" t="s">
        <v>37</v>
      </c>
      <c r="M1496" s="711">
        <f t="shared" si="5775"/>
        <v>0</v>
      </c>
      <c r="N1496" s="896" t="str">
        <f t="shared" ref="N1496" si="5980">IFERROR((M1497/M1496),"-")</f>
        <v>-</v>
      </c>
      <c r="O1496" s="528"/>
      <c r="P1496" s="547">
        <v>0</v>
      </c>
      <c r="Q1496" s="547">
        <v>0</v>
      </c>
      <c r="R1496" s="547">
        <v>0</v>
      </c>
      <c r="S1496" s="547">
        <v>0</v>
      </c>
      <c r="T1496" s="547">
        <v>0</v>
      </c>
      <c r="U1496" s="547">
        <v>0</v>
      </c>
      <c r="V1496" s="548">
        <v>0</v>
      </c>
      <c r="W1496" s="528"/>
      <c r="X1496" s="711">
        <f t="shared" si="5768"/>
        <v>0</v>
      </c>
      <c r="Y1496" s="896" t="str">
        <f t="shared" ref="Y1496" si="5981">IFERROR((X1497/X1496),"-")</f>
        <v>-</v>
      </c>
      <c r="Z1496" s="528"/>
      <c r="AA1496" s="898">
        <v>0</v>
      </c>
      <c r="AB1496" s="898">
        <v>0</v>
      </c>
      <c r="AC1496" s="903">
        <v>0</v>
      </c>
      <c r="AD1496" s="900" t="str">
        <f t="shared" ref="AD1496" si="5982">IFERROR((AC1496/AB1496),"-")</f>
        <v>-</v>
      </c>
      <c r="AE1496" s="2"/>
      <c r="AF1496" s="884">
        <v>1622.9649999999999</v>
      </c>
      <c r="AG1496" s="884"/>
      <c r="AH1496" s="884">
        <v>45</v>
      </c>
      <c r="AI1496" s="884"/>
      <c r="AJ1496" s="884"/>
      <c r="AK1496" s="884">
        <f t="shared" ref="AK1496" si="5983">AF1496+AG1496+AH1496+AI1496+AJ1496+AC1496</f>
        <v>1667.9649999999999</v>
      </c>
      <c r="AL1496" s="884">
        <v>1695.9999999999998</v>
      </c>
      <c r="AM1496" s="878">
        <f t="shared" ref="AM1496" si="5984">IFERROR((AK1496/AL1496),"-")</f>
        <v>0.98346992924528309</v>
      </c>
      <c r="AN1496" s="2"/>
      <c r="AO1496" s="884">
        <v>1651</v>
      </c>
      <c r="AP1496" s="884">
        <f t="shared" ref="AP1496" si="5985">AO1496-AK1496</f>
        <v>-16.964999999999918</v>
      </c>
      <c r="AV1496" t="str">
        <f t="shared" si="5923"/>
        <v>Drenagem Superficial</v>
      </c>
      <c r="AW1496" s="4" t="str">
        <f t="shared" si="5914"/>
        <v xml:space="preserve">   Seg. 2.2-A12 - Drenagem Superficial -Sarjeta de aterro (Km 112+410 a 113+280)</v>
      </c>
    </row>
    <row r="1497" spans="1:49" ht="15.6" hidden="1" customHeight="1" outlineLevel="2">
      <c r="A1497" s="8" t="str">
        <f t="shared" ref="A1497" si="5986">A1496</f>
        <v>N</v>
      </c>
      <c r="B1497" s="150"/>
      <c r="C1497" s="150" t="s">
        <v>1813</v>
      </c>
      <c r="D1497" s="120" t="s">
        <v>1243</v>
      </c>
      <c r="E1497" s="915"/>
      <c r="F1497" s="902"/>
      <c r="G1497" s="528"/>
      <c r="H1497" s="549" t="s">
        <v>38</v>
      </c>
      <c r="I1497" s="711">
        <v>0</v>
      </c>
      <c r="J1497" s="897"/>
      <c r="K1497" s="528"/>
      <c r="L1497" s="549" t="s">
        <v>38</v>
      </c>
      <c r="M1497" s="711">
        <f t="shared" si="5775"/>
        <v>0</v>
      </c>
      <c r="N1497" s="897"/>
      <c r="O1497" s="528"/>
      <c r="P1497" s="548">
        <v>0</v>
      </c>
      <c r="Q1497" s="548">
        <v>0</v>
      </c>
      <c r="R1497" s="548">
        <v>0</v>
      </c>
      <c r="S1497" s="548">
        <v>0</v>
      </c>
      <c r="T1497" s="548">
        <v>0</v>
      </c>
      <c r="U1497" s="548">
        <v>0</v>
      </c>
      <c r="V1497" s="548"/>
      <c r="W1497" s="528"/>
      <c r="X1497" s="711">
        <f t="shared" si="5768"/>
        <v>0</v>
      </c>
      <c r="Y1497" s="897"/>
      <c r="Z1497" s="528"/>
      <c r="AA1497" s="899"/>
      <c r="AB1497" s="899"/>
      <c r="AC1497" s="904"/>
      <c r="AD1497" s="901"/>
      <c r="AE1497" s="2"/>
      <c r="AF1497" s="885"/>
      <c r="AG1497" s="885"/>
      <c r="AH1497" s="885"/>
      <c r="AI1497" s="885"/>
      <c r="AJ1497" s="885"/>
      <c r="AK1497" s="885"/>
      <c r="AL1497" s="885"/>
      <c r="AM1497" s="879"/>
      <c r="AN1497" s="2"/>
      <c r="AO1497" s="886"/>
      <c r="AP1497" s="886"/>
      <c r="AV1497" t="str">
        <f t="shared" si="5923"/>
        <v>Drenagem Superficial</v>
      </c>
      <c r="AW1497" s="4" t="str">
        <f t="shared" si="5914"/>
        <v xml:space="preserve">   Seg. 2.2-A12 - Drenagem Superficial -Sarjeta de aterro (Km 112+410 a 113+280)</v>
      </c>
    </row>
    <row r="1498" spans="1:49" ht="15.6" hidden="1" customHeight="1" outlineLevel="2">
      <c r="A1498" s="8" t="str">
        <f t="shared" ref="A1498" si="5987">IF(SUM(P1498:V1499)&gt;0,"S","N")</f>
        <v>N</v>
      </c>
      <c r="B1498" s="150">
        <v>1061656</v>
      </c>
      <c r="C1498" s="150" t="s">
        <v>1815</v>
      </c>
      <c r="D1498" s="120" t="s">
        <v>273</v>
      </c>
      <c r="E1498" s="914" t="s">
        <v>1816</v>
      </c>
      <c r="F1498" s="902" t="s">
        <v>52</v>
      </c>
      <c r="G1498" s="528"/>
      <c r="H1498" s="546" t="s">
        <v>37</v>
      </c>
      <c r="I1498" s="711">
        <v>0</v>
      </c>
      <c r="J1498" s="896" t="str">
        <f t="shared" ref="J1498" si="5988">IFERROR((I1499/I1498),"-")</f>
        <v>-</v>
      </c>
      <c r="K1498" s="528"/>
      <c r="L1498" s="546" t="s">
        <v>37</v>
      </c>
      <c r="M1498" s="711">
        <f t="shared" si="5775"/>
        <v>0</v>
      </c>
      <c r="N1498" s="896" t="str">
        <f t="shared" ref="N1498" si="5989">IFERROR((M1499/M1498),"-")</f>
        <v>-</v>
      </c>
      <c r="O1498" s="528"/>
      <c r="P1498" s="547">
        <v>0</v>
      </c>
      <c r="Q1498" s="547">
        <v>0</v>
      </c>
      <c r="R1498" s="547">
        <v>0</v>
      </c>
      <c r="S1498" s="547">
        <v>0</v>
      </c>
      <c r="T1498" s="547">
        <v>0</v>
      </c>
      <c r="U1498" s="547">
        <v>0</v>
      </c>
      <c r="V1498" s="548">
        <v>0</v>
      </c>
      <c r="W1498" s="528"/>
      <c r="X1498" s="711">
        <f t="shared" si="5768"/>
        <v>0</v>
      </c>
      <c r="Y1498" s="896" t="str">
        <f t="shared" ref="Y1498" si="5990">IFERROR((X1499/X1498),"-")</f>
        <v>-</v>
      </c>
      <c r="Z1498" s="528"/>
      <c r="AA1498" s="898">
        <v>0</v>
      </c>
      <c r="AB1498" s="898">
        <v>0</v>
      </c>
      <c r="AC1498" s="903">
        <v>0</v>
      </c>
      <c r="AD1498" s="900" t="str">
        <f t="shared" ref="AD1498" si="5991">IFERROR((AC1498/AB1498),"-")</f>
        <v>-</v>
      </c>
      <c r="AE1498" s="2"/>
      <c r="AF1498" s="884">
        <v>1539.3969999999999</v>
      </c>
      <c r="AG1498" s="884"/>
      <c r="AH1498" s="884">
        <v>156.5</v>
      </c>
      <c r="AI1498" s="884"/>
      <c r="AJ1498" s="884"/>
      <c r="AK1498" s="884">
        <f t="shared" ref="AK1498" si="5992">AF1498+AG1498+AH1498+AI1498+AJ1498+AC1498</f>
        <v>1695.8969999999999</v>
      </c>
      <c r="AL1498" s="884">
        <v>1248.9600000000014</v>
      </c>
      <c r="AM1498" s="878">
        <f t="shared" ref="AM1498" si="5993">IFERROR((AK1498/AL1498),"-")</f>
        <v>1.3578473289777078</v>
      </c>
      <c r="AN1498" s="2"/>
      <c r="AO1498" s="884">
        <v>1100</v>
      </c>
      <c r="AP1498" s="884">
        <f t="shared" ref="AP1498" si="5994">AO1498-AK1498</f>
        <v>-595.89699999999993</v>
      </c>
      <c r="AV1498" t="str">
        <f t="shared" si="5923"/>
        <v>Drenagem Superficial</v>
      </c>
      <c r="AW1498" s="4" t="str">
        <f t="shared" si="5914"/>
        <v xml:space="preserve">   Seg. 2.2-A13 - Drenagem Superficial - Sarjeta de aterro (Km 114+320 a 114+940)</v>
      </c>
    </row>
    <row r="1499" spans="1:49" ht="15.6" hidden="1" customHeight="1" outlineLevel="2">
      <c r="A1499" s="8" t="str">
        <f t="shared" ref="A1499" si="5995">A1498</f>
        <v>N</v>
      </c>
      <c r="B1499" s="150"/>
      <c r="C1499" s="150" t="s">
        <v>1815</v>
      </c>
      <c r="D1499" s="120" t="s">
        <v>273</v>
      </c>
      <c r="E1499" s="915"/>
      <c r="F1499" s="902"/>
      <c r="G1499" s="528"/>
      <c r="H1499" s="549" t="s">
        <v>38</v>
      </c>
      <c r="I1499" s="711">
        <v>0</v>
      </c>
      <c r="J1499" s="897"/>
      <c r="K1499" s="528"/>
      <c r="L1499" s="549" t="s">
        <v>38</v>
      </c>
      <c r="M1499" s="711">
        <f t="shared" si="5775"/>
        <v>0</v>
      </c>
      <c r="N1499" s="897"/>
      <c r="O1499" s="528"/>
      <c r="P1499" s="548">
        <v>0</v>
      </c>
      <c r="Q1499" s="548">
        <v>0</v>
      </c>
      <c r="R1499" s="548">
        <v>0</v>
      </c>
      <c r="S1499" s="548">
        <v>0</v>
      </c>
      <c r="T1499" s="548">
        <v>0</v>
      </c>
      <c r="U1499" s="548">
        <v>0</v>
      </c>
      <c r="V1499" s="548"/>
      <c r="W1499" s="528"/>
      <c r="X1499" s="711">
        <f t="shared" si="5768"/>
        <v>0</v>
      </c>
      <c r="Y1499" s="897"/>
      <c r="Z1499" s="528"/>
      <c r="AA1499" s="899"/>
      <c r="AB1499" s="899"/>
      <c r="AC1499" s="904"/>
      <c r="AD1499" s="901"/>
      <c r="AE1499" s="2"/>
      <c r="AF1499" s="885"/>
      <c r="AG1499" s="885"/>
      <c r="AH1499" s="885"/>
      <c r="AI1499" s="885"/>
      <c r="AJ1499" s="885"/>
      <c r="AK1499" s="885"/>
      <c r="AL1499" s="885"/>
      <c r="AM1499" s="879"/>
      <c r="AN1499" s="2"/>
      <c r="AO1499" s="886"/>
      <c r="AP1499" s="886"/>
      <c r="AV1499" t="str">
        <f t="shared" si="5923"/>
        <v>Drenagem Superficial</v>
      </c>
      <c r="AW1499" s="4" t="str">
        <f t="shared" si="5914"/>
        <v xml:space="preserve">   Seg. 2.2-A13 - Drenagem Superficial - Sarjeta de aterro (Km 114+320 a 114+940)</v>
      </c>
    </row>
    <row r="1500" spans="1:49" ht="15.6" hidden="1" customHeight="1" outlineLevel="2">
      <c r="A1500" s="8" t="str">
        <f t="shared" ref="A1500" si="5996">IF(SUM(P1500:V1501)&gt;0,"S","N")</f>
        <v>N</v>
      </c>
      <c r="B1500" s="150">
        <v>1061661</v>
      </c>
      <c r="C1500" s="150" t="s">
        <v>1817</v>
      </c>
      <c r="D1500" s="120" t="s">
        <v>1248</v>
      </c>
      <c r="E1500" s="914" t="s">
        <v>1818</v>
      </c>
      <c r="F1500" s="902" t="s">
        <v>52</v>
      </c>
      <c r="G1500" s="528"/>
      <c r="H1500" s="546" t="s">
        <v>37</v>
      </c>
      <c r="I1500" s="711">
        <v>0</v>
      </c>
      <c r="J1500" s="896" t="str">
        <f t="shared" ref="J1500" si="5997">IFERROR((I1501/I1500),"-")</f>
        <v>-</v>
      </c>
      <c r="K1500" s="528"/>
      <c r="L1500" s="546" t="s">
        <v>37</v>
      </c>
      <c r="M1500" s="711">
        <f t="shared" si="5775"/>
        <v>0</v>
      </c>
      <c r="N1500" s="896" t="str">
        <f t="shared" ref="N1500" si="5998">IFERROR((M1501/M1500),"-")</f>
        <v>-</v>
      </c>
      <c r="O1500" s="528"/>
      <c r="P1500" s="547">
        <v>0</v>
      </c>
      <c r="Q1500" s="547">
        <v>0</v>
      </c>
      <c r="R1500" s="547">
        <v>0</v>
      </c>
      <c r="S1500" s="547">
        <v>0</v>
      </c>
      <c r="T1500" s="547">
        <v>0</v>
      </c>
      <c r="U1500" s="547">
        <v>0</v>
      </c>
      <c r="V1500" s="548">
        <v>0</v>
      </c>
      <c r="W1500" s="528"/>
      <c r="X1500" s="711">
        <f t="shared" si="5768"/>
        <v>0</v>
      </c>
      <c r="Y1500" s="896" t="str">
        <f>IFERROR((X1501/X1500),"-")</f>
        <v>-</v>
      </c>
      <c r="Z1500" s="528"/>
      <c r="AA1500" s="898">
        <v>0</v>
      </c>
      <c r="AB1500" s="898">
        <v>0</v>
      </c>
      <c r="AC1500" s="903">
        <v>0</v>
      </c>
      <c r="AD1500" s="900" t="str">
        <f t="shared" ref="AD1500" si="5999">IFERROR((AC1500/AB1500),"-")</f>
        <v>-</v>
      </c>
      <c r="AE1500" s="2"/>
      <c r="AF1500" s="884">
        <v>990.93</v>
      </c>
      <c r="AG1500" s="884"/>
      <c r="AH1500" s="884">
        <v>0</v>
      </c>
      <c r="AI1500" s="884"/>
      <c r="AJ1500" s="884"/>
      <c r="AK1500" s="884">
        <f t="shared" ref="AK1500" si="6000">AF1500+AG1500+AH1500+AI1500+AJ1500+AC1500</f>
        <v>990.93</v>
      </c>
      <c r="AL1500" s="884">
        <v>334.98</v>
      </c>
      <c r="AM1500" s="878">
        <f t="shared" ref="AM1500" si="6001">IFERROR((AK1500/AL1500),"-")</f>
        <v>2.9581766075586597</v>
      </c>
      <c r="AN1500" s="2"/>
      <c r="AO1500" s="884">
        <v>335</v>
      </c>
      <c r="AP1500" s="884">
        <f t="shared" ref="AP1500" si="6002">AO1500-AK1500</f>
        <v>-655.93</v>
      </c>
      <c r="AV1500" t="str">
        <f t="shared" si="5923"/>
        <v>Drenagem Superficial</v>
      </c>
      <c r="AW1500" s="4" t="str">
        <f t="shared" si="5914"/>
        <v xml:space="preserve">   Seg. 2.2-A14-B01 - Drenagem Superficial - Sarjeta de aterro (Km 115+820 a 116+020)</v>
      </c>
    </row>
    <row r="1501" spans="1:49" ht="15.6" hidden="1" customHeight="1" outlineLevel="2">
      <c r="A1501" s="8" t="str">
        <f t="shared" ref="A1501" si="6003">A1500</f>
        <v>N</v>
      </c>
      <c r="B1501" s="150"/>
      <c r="C1501" s="150" t="s">
        <v>1817</v>
      </c>
      <c r="D1501" s="120" t="s">
        <v>1248</v>
      </c>
      <c r="E1501" s="915"/>
      <c r="F1501" s="902"/>
      <c r="G1501" s="528"/>
      <c r="H1501" s="549" t="s">
        <v>38</v>
      </c>
      <c r="I1501" s="711">
        <v>0</v>
      </c>
      <c r="J1501" s="897"/>
      <c r="K1501" s="528"/>
      <c r="L1501" s="549" t="s">
        <v>38</v>
      </c>
      <c r="M1501" s="711">
        <f t="shared" si="5775"/>
        <v>0</v>
      </c>
      <c r="N1501" s="897"/>
      <c r="O1501" s="528"/>
      <c r="P1501" s="548">
        <v>0</v>
      </c>
      <c r="Q1501" s="548">
        <v>0</v>
      </c>
      <c r="R1501" s="548">
        <v>0</v>
      </c>
      <c r="S1501" s="548">
        <v>0</v>
      </c>
      <c r="T1501" s="548">
        <v>0</v>
      </c>
      <c r="U1501" s="548">
        <v>0</v>
      </c>
      <c r="V1501" s="548"/>
      <c r="W1501" s="528"/>
      <c r="X1501" s="711">
        <f t="shared" si="5768"/>
        <v>0</v>
      </c>
      <c r="Y1501" s="897"/>
      <c r="Z1501" s="528"/>
      <c r="AA1501" s="899"/>
      <c r="AB1501" s="899"/>
      <c r="AC1501" s="904"/>
      <c r="AD1501" s="901"/>
      <c r="AE1501" s="2"/>
      <c r="AF1501" s="885"/>
      <c r="AG1501" s="885"/>
      <c r="AH1501" s="885"/>
      <c r="AI1501" s="885"/>
      <c r="AJ1501" s="885"/>
      <c r="AK1501" s="885"/>
      <c r="AL1501" s="885"/>
      <c r="AM1501" s="879"/>
      <c r="AN1501" s="2"/>
      <c r="AO1501" s="886"/>
      <c r="AP1501" s="886"/>
      <c r="AV1501" t="str">
        <f t="shared" si="5923"/>
        <v>Drenagem Superficial</v>
      </c>
      <c r="AW1501" s="4" t="str">
        <f t="shared" si="5914"/>
        <v xml:space="preserve">   Seg. 2.2-A14-B01 - Drenagem Superficial - Sarjeta de aterro (Km 115+820 a 116+020)</v>
      </c>
    </row>
    <row r="1502" spans="1:49" ht="15.6" hidden="1" customHeight="1" outlineLevel="2">
      <c r="A1502" s="8" t="str">
        <f t="shared" ref="A1502" si="6004">IF(SUM(P1502:V1503)&gt;0,"S","N")</f>
        <v>N</v>
      </c>
      <c r="B1502" s="150">
        <v>1061666</v>
      </c>
      <c r="C1502" s="150" t="s">
        <v>1819</v>
      </c>
      <c r="D1502" s="120" t="s">
        <v>1250</v>
      </c>
      <c r="E1502" s="914" t="s">
        <v>1820</v>
      </c>
      <c r="F1502" s="902" t="s">
        <v>52</v>
      </c>
      <c r="G1502" s="528"/>
      <c r="H1502" s="546" t="s">
        <v>37</v>
      </c>
      <c r="I1502" s="711">
        <v>0</v>
      </c>
      <c r="J1502" s="896" t="str">
        <f t="shared" ref="J1502" si="6005">IFERROR((I1503/I1502),"-")</f>
        <v>-</v>
      </c>
      <c r="K1502" s="528"/>
      <c r="L1502" s="546" t="s">
        <v>37</v>
      </c>
      <c r="M1502" s="711">
        <f t="shared" si="5775"/>
        <v>0</v>
      </c>
      <c r="N1502" s="896" t="str">
        <f t="shared" ref="N1502" si="6006">IFERROR((M1503/M1502),"-")</f>
        <v>-</v>
      </c>
      <c r="O1502" s="528"/>
      <c r="P1502" s="547">
        <v>0</v>
      </c>
      <c r="Q1502" s="547">
        <v>0</v>
      </c>
      <c r="R1502" s="547">
        <v>0</v>
      </c>
      <c r="S1502" s="547">
        <v>0</v>
      </c>
      <c r="T1502" s="547">
        <v>0</v>
      </c>
      <c r="U1502" s="547">
        <v>0</v>
      </c>
      <c r="V1502" s="548">
        <v>0</v>
      </c>
      <c r="W1502" s="528"/>
      <c r="X1502" s="711">
        <f t="shared" si="5768"/>
        <v>0</v>
      </c>
      <c r="Y1502" s="896" t="str">
        <f t="shared" ref="Y1502" si="6007">IFERROR((X1503/X1502),"-")</f>
        <v>-</v>
      </c>
      <c r="Z1502" s="528"/>
      <c r="AA1502" s="898">
        <v>0</v>
      </c>
      <c r="AB1502" s="898">
        <v>0</v>
      </c>
      <c r="AC1502" s="903">
        <v>0</v>
      </c>
      <c r="AD1502" s="900" t="str">
        <f t="shared" ref="AD1502" si="6008">IFERROR((AC1502/AB1502),"-")</f>
        <v>-</v>
      </c>
      <c r="AE1502" s="2"/>
      <c r="AF1502" s="884">
        <v>760.04100000000005</v>
      </c>
      <c r="AG1502" s="884"/>
      <c r="AH1502" s="884">
        <v>0</v>
      </c>
      <c r="AI1502" s="884"/>
      <c r="AJ1502" s="884"/>
      <c r="AK1502" s="884">
        <f t="shared" ref="AK1502" si="6009">AF1502+AG1502+AH1502+AI1502+AJ1502+AC1502</f>
        <v>760.04100000000005</v>
      </c>
      <c r="AL1502" s="884">
        <v>292.01</v>
      </c>
      <c r="AM1502" s="878">
        <f t="shared" ref="AM1502" si="6010">IFERROR((AK1502/AL1502),"-")</f>
        <v>2.6027910003082089</v>
      </c>
      <c r="AN1502" s="2"/>
      <c r="AO1502" s="884">
        <v>292</v>
      </c>
      <c r="AP1502" s="884">
        <f t="shared" ref="AP1502" si="6011">AO1502-AK1502</f>
        <v>-468.04100000000005</v>
      </c>
      <c r="AV1502" t="str">
        <f t="shared" si="5923"/>
        <v>Drenagem Superficial</v>
      </c>
      <c r="AW1502" s="4" t="str">
        <f t="shared" si="5914"/>
        <v xml:space="preserve">   Seg. 2.2-A15-B01 - Drenagem Superficial - Sarjeta de aterro (Km 116+260 a 116+460)</v>
      </c>
    </row>
    <row r="1503" spans="1:49" ht="15.6" hidden="1" customHeight="1" outlineLevel="2">
      <c r="A1503" s="8" t="str">
        <f t="shared" ref="A1503" si="6012">A1502</f>
        <v>N</v>
      </c>
      <c r="B1503" s="150"/>
      <c r="C1503" s="150" t="s">
        <v>1819</v>
      </c>
      <c r="D1503" s="120" t="s">
        <v>1250</v>
      </c>
      <c r="E1503" s="915"/>
      <c r="F1503" s="902"/>
      <c r="G1503" s="528"/>
      <c r="H1503" s="549" t="s">
        <v>38</v>
      </c>
      <c r="I1503" s="711">
        <v>0</v>
      </c>
      <c r="J1503" s="897"/>
      <c r="K1503" s="528"/>
      <c r="L1503" s="549" t="s">
        <v>38</v>
      </c>
      <c r="M1503" s="711">
        <f t="shared" si="5775"/>
        <v>0</v>
      </c>
      <c r="N1503" s="897"/>
      <c r="O1503" s="528"/>
      <c r="P1503" s="548">
        <v>0</v>
      </c>
      <c r="Q1503" s="548">
        <v>0</v>
      </c>
      <c r="R1503" s="548">
        <v>0</v>
      </c>
      <c r="S1503" s="548">
        <v>0</v>
      </c>
      <c r="T1503" s="548">
        <v>0</v>
      </c>
      <c r="U1503" s="548">
        <v>0</v>
      </c>
      <c r="V1503" s="548"/>
      <c r="W1503" s="528"/>
      <c r="X1503" s="711">
        <f t="shared" si="5768"/>
        <v>0</v>
      </c>
      <c r="Y1503" s="897"/>
      <c r="Z1503" s="528"/>
      <c r="AA1503" s="899"/>
      <c r="AB1503" s="899"/>
      <c r="AC1503" s="904"/>
      <c r="AD1503" s="901"/>
      <c r="AE1503" s="2"/>
      <c r="AF1503" s="885"/>
      <c r="AG1503" s="885"/>
      <c r="AH1503" s="885"/>
      <c r="AI1503" s="885"/>
      <c r="AJ1503" s="885"/>
      <c r="AK1503" s="885"/>
      <c r="AL1503" s="885"/>
      <c r="AM1503" s="879"/>
      <c r="AN1503" s="2"/>
      <c r="AO1503" s="886"/>
      <c r="AP1503" s="886"/>
      <c r="AV1503" t="str">
        <f t="shared" si="5923"/>
        <v>Drenagem Superficial</v>
      </c>
      <c r="AW1503" s="4" t="str">
        <f t="shared" si="5914"/>
        <v xml:space="preserve">   Seg. 2.2-A15-B01 - Drenagem Superficial - Sarjeta de aterro (Km 116+260 a 116+460)</v>
      </c>
    </row>
    <row r="1504" spans="1:49" ht="15.6" hidden="1" customHeight="1" outlineLevel="2">
      <c r="A1504" s="8" t="str">
        <f t="shared" ref="A1504" si="6013">IF(SUM(P1504:V1505)&gt;0,"S","N")</f>
        <v>N</v>
      </c>
      <c r="B1504" s="150">
        <v>1061798</v>
      </c>
      <c r="C1504" s="150" t="s">
        <v>1821</v>
      </c>
      <c r="D1504" s="120" t="s">
        <v>712</v>
      </c>
      <c r="E1504" s="914" t="s">
        <v>1822</v>
      </c>
      <c r="F1504" s="902" t="s">
        <v>52</v>
      </c>
      <c r="G1504" s="528"/>
      <c r="H1504" s="546" t="s">
        <v>37</v>
      </c>
      <c r="I1504" s="711">
        <v>0</v>
      </c>
      <c r="J1504" s="896" t="str">
        <f t="shared" ref="J1504" si="6014">IFERROR((I1505/I1504),"-")</f>
        <v>-</v>
      </c>
      <c r="K1504" s="528"/>
      <c r="L1504" s="546" t="s">
        <v>37</v>
      </c>
      <c r="M1504" s="711">
        <f t="shared" si="5775"/>
        <v>0</v>
      </c>
      <c r="N1504" s="896" t="str">
        <f t="shared" ref="N1504" si="6015">IFERROR((M1505/M1504),"-")</f>
        <v>-</v>
      </c>
      <c r="O1504" s="528"/>
      <c r="P1504" s="547">
        <v>0</v>
      </c>
      <c r="Q1504" s="547">
        <v>0</v>
      </c>
      <c r="R1504" s="547">
        <v>0</v>
      </c>
      <c r="S1504" s="547">
        <v>0</v>
      </c>
      <c r="T1504" s="547">
        <v>0</v>
      </c>
      <c r="U1504" s="547">
        <v>0</v>
      </c>
      <c r="V1504" s="548">
        <v>0</v>
      </c>
      <c r="W1504" s="528"/>
      <c r="X1504" s="711">
        <f t="shared" si="5768"/>
        <v>0</v>
      </c>
      <c r="Y1504" s="896" t="str">
        <f t="shared" ref="Y1504" si="6016">IFERROR((X1505/X1504),"-")</f>
        <v>-</v>
      </c>
      <c r="Z1504" s="528"/>
      <c r="AA1504" s="898">
        <v>0</v>
      </c>
      <c r="AB1504" s="898">
        <v>0</v>
      </c>
      <c r="AC1504" s="903">
        <v>0</v>
      </c>
      <c r="AD1504" s="900" t="str">
        <f t="shared" ref="AD1504" si="6017">IFERROR((AC1504/AB1504),"-")</f>
        <v>-</v>
      </c>
      <c r="AE1504" s="2"/>
      <c r="AF1504" s="884"/>
      <c r="AG1504" s="884"/>
      <c r="AH1504" s="884">
        <v>0</v>
      </c>
      <c r="AI1504" s="884"/>
      <c r="AJ1504" s="884"/>
      <c r="AK1504" s="884">
        <f t="shared" ref="AK1504" si="6018">AF1504+AG1504+AH1504+AI1504+AJ1504+AC1504</f>
        <v>0</v>
      </c>
      <c r="AL1504" s="884">
        <v>0</v>
      </c>
      <c r="AM1504" s="878" t="str">
        <f t="shared" ref="AM1504" si="6019">IFERROR((AK1504/AL1504),"-")</f>
        <v>-</v>
      </c>
      <c r="AN1504" s="2"/>
      <c r="AO1504" s="884">
        <v>230</v>
      </c>
      <c r="AP1504" s="884">
        <f t="shared" ref="AP1504" si="6020">AO1504-AK1504</f>
        <v>230</v>
      </c>
      <c r="AV1504" t="str">
        <f t="shared" si="5923"/>
        <v>Drenagem Superficial</v>
      </c>
      <c r="AW1504" s="4" t="str">
        <f t="shared" si="5914"/>
        <v xml:space="preserve">   Seg. 2.2-A04-Acesso - Drenagem Superficial - Sarjeta de corte (Km 106+190)</v>
      </c>
    </row>
    <row r="1505" spans="1:49" ht="15.6" hidden="1" customHeight="1" outlineLevel="2">
      <c r="A1505" s="8" t="str">
        <f t="shared" ref="A1505" si="6021">A1504</f>
        <v>N</v>
      </c>
      <c r="B1505" s="150"/>
      <c r="C1505" s="150" t="s">
        <v>1821</v>
      </c>
      <c r="D1505" s="120" t="s">
        <v>712</v>
      </c>
      <c r="E1505" s="915"/>
      <c r="F1505" s="902"/>
      <c r="G1505" s="528"/>
      <c r="H1505" s="549" t="s">
        <v>38</v>
      </c>
      <c r="I1505" s="711">
        <v>0</v>
      </c>
      <c r="J1505" s="897"/>
      <c r="K1505" s="528"/>
      <c r="L1505" s="549" t="s">
        <v>38</v>
      </c>
      <c r="M1505" s="711">
        <f t="shared" si="5775"/>
        <v>0</v>
      </c>
      <c r="N1505" s="897"/>
      <c r="O1505" s="528"/>
      <c r="P1505" s="548">
        <v>0</v>
      </c>
      <c r="Q1505" s="548">
        <v>0</v>
      </c>
      <c r="R1505" s="548">
        <v>0</v>
      </c>
      <c r="S1505" s="548">
        <v>0</v>
      </c>
      <c r="T1505" s="548">
        <v>0</v>
      </c>
      <c r="U1505" s="548">
        <v>0</v>
      </c>
      <c r="V1505" s="548"/>
      <c r="W1505" s="528"/>
      <c r="X1505" s="711">
        <f t="shared" si="5768"/>
        <v>0</v>
      </c>
      <c r="Y1505" s="897"/>
      <c r="Z1505" s="528"/>
      <c r="AA1505" s="899"/>
      <c r="AB1505" s="899"/>
      <c r="AC1505" s="904"/>
      <c r="AD1505" s="901"/>
      <c r="AE1505" s="2"/>
      <c r="AF1505" s="885"/>
      <c r="AG1505" s="885"/>
      <c r="AH1505" s="885"/>
      <c r="AI1505" s="885"/>
      <c r="AJ1505" s="885"/>
      <c r="AK1505" s="885"/>
      <c r="AL1505" s="885"/>
      <c r="AM1505" s="879"/>
      <c r="AN1505" s="2"/>
      <c r="AO1505" s="886"/>
      <c r="AP1505" s="886"/>
      <c r="AV1505" t="str">
        <f t="shared" si="5923"/>
        <v>Drenagem Superficial</v>
      </c>
      <c r="AW1505" s="4" t="str">
        <f t="shared" si="5914"/>
        <v xml:space="preserve">   Seg. 2.2-A04-Acesso - Drenagem Superficial - Sarjeta de corte (Km 106+190)</v>
      </c>
    </row>
    <row r="1506" spans="1:49" ht="15.6" hidden="1" customHeight="1" outlineLevel="2">
      <c r="A1506" s="8" t="str">
        <f t="shared" ref="A1506" si="6022">IF(SUM(P1506:V1507)&gt;0,"S","N")</f>
        <v>N</v>
      </c>
      <c r="B1506" s="150">
        <v>1061800</v>
      </c>
      <c r="C1506" s="150" t="s">
        <v>1823</v>
      </c>
      <c r="D1506" s="120" t="s">
        <v>1824</v>
      </c>
      <c r="E1506" s="914" t="s">
        <v>1825</v>
      </c>
      <c r="F1506" s="902" t="s">
        <v>52</v>
      </c>
      <c r="G1506" s="528"/>
      <c r="H1506" s="546" t="s">
        <v>37</v>
      </c>
      <c r="I1506" s="711">
        <v>0</v>
      </c>
      <c r="J1506" s="896" t="str">
        <f t="shared" ref="J1506" si="6023">IFERROR((I1507/I1506),"-")</f>
        <v>-</v>
      </c>
      <c r="K1506" s="528"/>
      <c r="L1506" s="546" t="s">
        <v>37</v>
      </c>
      <c r="M1506" s="711">
        <f t="shared" si="5775"/>
        <v>0</v>
      </c>
      <c r="N1506" s="896" t="str">
        <f t="shared" ref="N1506" si="6024">IFERROR((M1507/M1506),"-")</f>
        <v>-</v>
      </c>
      <c r="O1506" s="528"/>
      <c r="P1506" s="547">
        <v>0</v>
      </c>
      <c r="Q1506" s="547">
        <v>0</v>
      </c>
      <c r="R1506" s="547">
        <v>0</v>
      </c>
      <c r="S1506" s="547">
        <v>0</v>
      </c>
      <c r="T1506" s="547">
        <v>0</v>
      </c>
      <c r="U1506" s="547">
        <v>0</v>
      </c>
      <c r="V1506" s="548">
        <v>0</v>
      </c>
      <c r="W1506" s="528"/>
      <c r="X1506" s="711">
        <f t="shared" si="5768"/>
        <v>0</v>
      </c>
      <c r="Y1506" s="896" t="str">
        <f t="shared" ref="Y1506" si="6025">IFERROR((X1507/X1506),"-")</f>
        <v>-</v>
      </c>
      <c r="Z1506" s="528"/>
      <c r="AA1506" s="898">
        <v>0</v>
      </c>
      <c r="AB1506" s="898">
        <v>0</v>
      </c>
      <c r="AC1506" s="903">
        <v>0</v>
      </c>
      <c r="AD1506" s="900" t="str">
        <f t="shared" ref="AD1506" si="6026">IFERROR((AC1506/AB1506),"-")</f>
        <v>-</v>
      </c>
      <c r="AE1506" s="2"/>
      <c r="AF1506" s="884"/>
      <c r="AG1506" s="884"/>
      <c r="AH1506" s="884">
        <v>0</v>
      </c>
      <c r="AI1506" s="884"/>
      <c r="AJ1506" s="884"/>
      <c r="AK1506" s="884">
        <f t="shared" ref="AK1506" si="6027">AF1506+AG1506+AH1506+AI1506+AJ1506+AC1506</f>
        <v>0</v>
      </c>
      <c r="AL1506" s="884">
        <v>0</v>
      </c>
      <c r="AM1506" s="878" t="str">
        <f t="shared" ref="AM1506" si="6028">IFERROR((AK1506/AL1506),"-")</f>
        <v>-</v>
      </c>
      <c r="AN1506" s="2"/>
      <c r="AO1506" s="884">
        <v>402</v>
      </c>
      <c r="AP1506" s="884">
        <f t="shared" ref="AP1506" si="6029">AO1506-AK1506</f>
        <v>402</v>
      </c>
      <c r="AV1506" t="str">
        <f t="shared" si="5923"/>
        <v>Drenagem Superficial</v>
      </c>
      <c r="AW1506" s="4" t="str">
        <f t="shared" si="5914"/>
        <v xml:space="preserve">   Seg. 2.2-A06-Acesso - Drenagem Superficial - Sarjeta de corte (Km 108+540)</v>
      </c>
    </row>
    <row r="1507" spans="1:49" ht="15.6" hidden="1" customHeight="1" outlineLevel="2">
      <c r="A1507" s="8" t="str">
        <f t="shared" ref="A1507" si="6030">A1506</f>
        <v>N</v>
      </c>
      <c r="B1507" s="150"/>
      <c r="C1507" s="150" t="s">
        <v>1823</v>
      </c>
      <c r="D1507" s="120" t="s">
        <v>1824</v>
      </c>
      <c r="E1507" s="915"/>
      <c r="F1507" s="902"/>
      <c r="G1507" s="528"/>
      <c r="H1507" s="549" t="s">
        <v>38</v>
      </c>
      <c r="I1507" s="711">
        <v>0</v>
      </c>
      <c r="J1507" s="897"/>
      <c r="K1507" s="528"/>
      <c r="L1507" s="549" t="s">
        <v>38</v>
      </c>
      <c r="M1507" s="711">
        <f t="shared" si="5775"/>
        <v>0</v>
      </c>
      <c r="N1507" s="897"/>
      <c r="O1507" s="528"/>
      <c r="P1507" s="548">
        <v>0</v>
      </c>
      <c r="Q1507" s="548">
        <v>0</v>
      </c>
      <c r="R1507" s="548">
        <v>0</v>
      </c>
      <c r="S1507" s="548">
        <v>0</v>
      </c>
      <c r="T1507" s="548">
        <v>0</v>
      </c>
      <c r="U1507" s="548">
        <v>0</v>
      </c>
      <c r="V1507" s="548"/>
      <c r="W1507" s="528"/>
      <c r="X1507" s="711">
        <f t="shared" si="5768"/>
        <v>0</v>
      </c>
      <c r="Y1507" s="897"/>
      <c r="Z1507" s="528"/>
      <c r="AA1507" s="899"/>
      <c r="AB1507" s="899"/>
      <c r="AC1507" s="904"/>
      <c r="AD1507" s="901"/>
      <c r="AE1507" s="2"/>
      <c r="AF1507" s="885"/>
      <c r="AG1507" s="885"/>
      <c r="AH1507" s="885"/>
      <c r="AI1507" s="885"/>
      <c r="AJ1507" s="885"/>
      <c r="AK1507" s="885"/>
      <c r="AL1507" s="885"/>
      <c r="AM1507" s="879"/>
      <c r="AN1507" s="2"/>
      <c r="AO1507" s="886"/>
      <c r="AP1507" s="886"/>
      <c r="AV1507" t="str">
        <f t="shared" si="5923"/>
        <v>Drenagem Superficial</v>
      </c>
      <c r="AW1507" s="4" t="str">
        <f t="shared" si="5914"/>
        <v xml:space="preserve">   Seg. 2.2-A06-Acesso - Drenagem Superficial - Sarjeta de corte (Km 108+540)</v>
      </c>
    </row>
    <row r="1508" spans="1:49" ht="15.6" hidden="1" customHeight="1" outlineLevel="2">
      <c r="A1508" s="8" t="str">
        <f t="shared" ref="A1508" si="6031">IF(SUM(P1508:V1509)&gt;0,"S","N")</f>
        <v>N</v>
      </c>
      <c r="B1508" s="150">
        <v>1061805</v>
      </c>
      <c r="C1508" s="150" t="s">
        <v>1826</v>
      </c>
      <c r="D1508" s="120" t="s">
        <v>1827</v>
      </c>
      <c r="E1508" s="914" t="s">
        <v>1828</v>
      </c>
      <c r="F1508" s="902" t="s">
        <v>52</v>
      </c>
      <c r="G1508" s="528"/>
      <c r="H1508" s="546" t="s">
        <v>37</v>
      </c>
      <c r="I1508" s="711">
        <v>0</v>
      </c>
      <c r="J1508" s="896" t="str">
        <f t="shared" ref="J1508" si="6032">IFERROR((I1509/I1508),"-")</f>
        <v>-</v>
      </c>
      <c r="K1508" s="528"/>
      <c r="L1508" s="546" t="s">
        <v>37</v>
      </c>
      <c r="M1508" s="711">
        <f t="shared" si="5775"/>
        <v>0</v>
      </c>
      <c r="N1508" s="896" t="str">
        <f t="shared" ref="N1508" si="6033">IFERROR((M1509/M1508),"-")</f>
        <v>-</v>
      </c>
      <c r="O1508" s="528"/>
      <c r="P1508" s="547">
        <v>0</v>
      </c>
      <c r="Q1508" s="547">
        <v>0</v>
      </c>
      <c r="R1508" s="547">
        <v>0</v>
      </c>
      <c r="S1508" s="547">
        <v>0</v>
      </c>
      <c r="T1508" s="547">
        <v>0</v>
      </c>
      <c r="U1508" s="547">
        <v>0</v>
      </c>
      <c r="V1508" s="548">
        <v>0</v>
      </c>
      <c r="W1508" s="528"/>
      <c r="X1508" s="711">
        <f t="shared" si="5768"/>
        <v>0</v>
      </c>
      <c r="Y1508" s="896" t="str">
        <f t="shared" ref="Y1508" si="6034">IFERROR((X1509/X1508),"-")</f>
        <v>-</v>
      </c>
      <c r="Z1508" s="528"/>
      <c r="AA1508" s="898">
        <v>0.32</v>
      </c>
      <c r="AB1508" s="898">
        <v>0</v>
      </c>
      <c r="AC1508" s="903">
        <v>0</v>
      </c>
      <c r="AD1508" s="900" t="str">
        <f t="shared" ref="AD1508" si="6035">IFERROR((AC1508/AB1508),"-")</f>
        <v>-</v>
      </c>
      <c r="AE1508" s="2"/>
      <c r="AF1508" s="884"/>
      <c r="AG1508" s="884"/>
      <c r="AH1508" s="884">
        <v>0</v>
      </c>
      <c r="AI1508" s="884"/>
      <c r="AJ1508" s="884"/>
      <c r="AK1508" s="884">
        <f t="shared" ref="AK1508" si="6036">AF1508+AG1508+AH1508+AI1508+AJ1508+AC1508</f>
        <v>0</v>
      </c>
      <c r="AL1508" s="884">
        <v>0</v>
      </c>
      <c r="AM1508" s="878" t="str">
        <f t="shared" ref="AM1508" si="6037">IFERROR((AK1508/AL1508),"-")</f>
        <v>-</v>
      </c>
      <c r="AN1508" s="2"/>
      <c r="AO1508" s="884">
        <v>3503</v>
      </c>
      <c r="AP1508" s="884">
        <f t="shared" ref="AP1508" si="6038">AO1508-AK1508</f>
        <v>3503</v>
      </c>
      <c r="AV1508" t="str">
        <f t="shared" si="5923"/>
        <v>Drenagem Superficial</v>
      </c>
      <c r="AW1508" s="4" t="str">
        <f t="shared" si="5914"/>
        <v xml:space="preserve">   Seg. 2.2-A09-Acesso - Drenagem Superficial - Sarjeta de corte (Km 110+035)</v>
      </c>
    </row>
    <row r="1509" spans="1:49" ht="15.6" hidden="1" customHeight="1" outlineLevel="2">
      <c r="A1509" s="8" t="str">
        <f t="shared" ref="A1509" si="6039">A1508</f>
        <v>N</v>
      </c>
      <c r="B1509" s="150"/>
      <c r="C1509" s="150" t="s">
        <v>1826</v>
      </c>
      <c r="D1509" s="120" t="s">
        <v>1827</v>
      </c>
      <c r="E1509" s="915"/>
      <c r="F1509" s="902"/>
      <c r="G1509" s="528"/>
      <c r="H1509" s="549" t="s">
        <v>38</v>
      </c>
      <c r="I1509" s="711">
        <v>0</v>
      </c>
      <c r="J1509" s="897"/>
      <c r="K1509" s="528"/>
      <c r="L1509" s="549" t="s">
        <v>38</v>
      </c>
      <c r="M1509" s="711">
        <f t="shared" si="5775"/>
        <v>0</v>
      </c>
      <c r="N1509" s="897"/>
      <c r="O1509" s="528"/>
      <c r="P1509" s="548">
        <v>0</v>
      </c>
      <c r="Q1509" s="548">
        <v>0</v>
      </c>
      <c r="R1509" s="548">
        <v>0</v>
      </c>
      <c r="S1509" s="548">
        <v>0</v>
      </c>
      <c r="T1509" s="548">
        <v>0</v>
      </c>
      <c r="U1509" s="548">
        <v>0</v>
      </c>
      <c r="V1509" s="548"/>
      <c r="W1509" s="528"/>
      <c r="X1509" s="711">
        <f t="shared" si="5768"/>
        <v>0</v>
      </c>
      <c r="Y1509" s="897"/>
      <c r="Z1509" s="528"/>
      <c r="AA1509" s="899"/>
      <c r="AB1509" s="899"/>
      <c r="AC1509" s="904"/>
      <c r="AD1509" s="901"/>
      <c r="AE1509" s="2"/>
      <c r="AF1509" s="885"/>
      <c r="AG1509" s="885"/>
      <c r="AH1509" s="885"/>
      <c r="AI1509" s="885"/>
      <c r="AJ1509" s="885"/>
      <c r="AK1509" s="885"/>
      <c r="AL1509" s="885"/>
      <c r="AM1509" s="879"/>
      <c r="AN1509" s="2"/>
      <c r="AO1509" s="886"/>
      <c r="AP1509" s="886"/>
      <c r="AV1509" t="str">
        <f t="shared" si="5923"/>
        <v>Drenagem Superficial</v>
      </c>
      <c r="AW1509" s="4" t="str">
        <f t="shared" si="5914"/>
        <v xml:space="preserve">   Seg. 2.2-A09-Acesso - Drenagem Superficial - Sarjeta de corte (Km 110+035)</v>
      </c>
    </row>
    <row r="1510" spans="1:49" ht="15.6" hidden="1" customHeight="1" outlineLevel="2">
      <c r="A1510" s="8" t="str">
        <f t="shared" ref="A1510" si="6040">IF(SUM(P1510:V1511)&gt;0,"S","N")</f>
        <v>N</v>
      </c>
      <c r="B1510" s="150">
        <v>1061814</v>
      </c>
      <c r="C1510" s="150" t="s">
        <v>1829</v>
      </c>
      <c r="D1510" s="120" t="s">
        <v>1830</v>
      </c>
      <c r="E1510" s="914" t="s">
        <v>1831</v>
      </c>
      <c r="F1510" s="902" t="s">
        <v>52</v>
      </c>
      <c r="G1510" s="528"/>
      <c r="H1510" s="546" t="s">
        <v>37</v>
      </c>
      <c r="I1510" s="711">
        <v>0</v>
      </c>
      <c r="J1510" s="896" t="str">
        <f t="shared" ref="J1510" si="6041">IFERROR((I1511/I1510),"-")</f>
        <v>-</v>
      </c>
      <c r="K1510" s="528"/>
      <c r="L1510" s="546" t="s">
        <v>37</v>
      </c>
      <c r="M1510" s="711">
        <f t="shared" si="5775"/>
        <v>0</v>
      </c>
      <c r="N1510" s="896" t="str">
        <f t="shared" ref="N1510" si="6042">IFERROR((M1511/M1510),"-")</f>
        <v>-</v>
      </c>
      <c r="O1510" s="528"/>
      <c r="P1510" s="547">
        <v>0</v>
      </c>
      <c r="Q1510" s="547">
        <v>0</v>
      </c>
      <c r="R1510" s="547">
        <v>0</v>
      </c>
      <c r="S1510" s="547">
        <v>0</v>
      </c>
      <c r="T1510" s="547">
        <v>0</v>
      </c>
      <c r="U1510" s="547">
        <v>0</v>
      </c>
      <c r="V1510" s="548">
        <v>0</v>
      </c>
      <c r="W1510" s="528"/>
      <c r="X1510" s="711">
        <f t="shared" si="5768"/>
        <v>0</v>
      </c>
      <c r="Y1510" s="896" t="str">
        <f t="shared" ref="Y1510" si="6043">IFERROR((X1511/X1510),"-")</f>
        <v>-</v>
      </c>
      <c r="Z1510" s="528"/>
      <c r="AA1510" s="898">
        <v>0</v>
      </c>
      <c r="AB1510" s="898">
        <v>0</v>
      </c>
      <c r="AC1510" s="903">
        <v>0</v>
      </c>
      <c r="AD1510" s="900" t="str">
        <f t="shared" ref="AD1510" si="6044">IFERROR((AC1510/AB1510),"-")</f>
        <v>-</v>
      </c>
      <c r="AE1510" s="2"/>
      <c r="AF1510" s="884"/>
      <c r="AG1510" s="884"/>
      <c r="AH1510" s="884">
        <v>60</v>
      </c>
      <c r="AI1510" s="884"/>
      <c r="AJ1510" s="884"/>
      <c r="AK1510" s="884">
        <f t="shared" ref="AK1510" si="6045">AF1510+AG1510+AH1510+AI1510+AJ1510+AC1510</f>
        <v>60</v>
      </c>
      <c r="AL1510" s="884">
        <v>0</v>
      </c>
      <c r="AM1510" s="878" t="str">
        <f t="shared" ref="AM1510" si="6046">IFERROR((AK1510/AL1510),"-")</f>
        <v>-</v>
      </c>
      <c r="AN1510" s="2"/>
      <c r="AO1510" s="884">
        <v>842</v>
      </c>
      <c r="AP1510" s="884">
        <f t="shared" ref="AP1510" si="6047">AO1510-AK1510</f>
        <v>782</v>
      </c>
      <c r="AV1510" t="str">
        <f t="shared" si="5923"/>
        <v>Drenagem Superficial</v>
      </c>
      <c r="AW1510" s="4" t="str">
        <f t="shared" si="5914"/>
        <v xml:space="preserve">   Seg. 2.2-A13-Acesso - Drenagem Superficial - Sarjeta de corte (Km 114+740)</v>
      </c>
    </row>
    <row r="1511" spans="1:49" ht="15.6" hidden="1" customHeight="1" outlineLevel="2">
      <c r="A1511" s="8" t="str">
        <f t="shared" ref="A1511" si="6048">A1510</f>
        <v>N</v>
      </c>
      <c r="B1511" s="150"/>
      <c r="C1511" s="150" t="s">
        <v>1829</v>
      </c>
      <c r="D1511" s="120" t="s">
        <v>1830</v>
      </c>
      <c r="E1511" s="915"/>
      <c r="F1511" s="902"/>
      <c r="G1511" s="528"/>
      <c r="H1511" s="549" t="s">
        <v>38</v>
      </c>
      <c r="I1511" s="711">
        <v>0</v>
      </c>
      <c r="J1511" s="897"/>
      <c r="K1511" s="528"/>
      <c r="L1511" s="549" t="s">
        <v>38</v>
      </c>
      <c r="M1511" s="711">
        <f t="shared" si="5775"/>
        <v>0</v>
      </c>
      <c r="N1511" s="897"/>
      <c r="O1511" s="528"/>
      <c r="P1511" s="548">
        <v>0</v>
      </c>
      <c r="Q1511" s="548">
        <v>0</v>
      </c>
      <c r="R1511" s="548">
        <v>0</v>
      </c>
      <c r="S1511" s="548">
        <v>0</v>
      </c>
      <c r="T1511" s="548">
        <v>0</v>
      </c>
      <c r="U1511" s="548">
        <v>0</v>
      </c>
      <c r="V1511" s="548"/>
      <c r="W1511" s="528"/>
      <c r="X1511" s="711">
        <f t="shared" si="5768"/>
        <v>0</v>
      </c>
      <c r="Y1511" s="897"/>
      <c r="Z1511" s="528"/>
      <c r="AA1511" s="899"/>
      <c r="AB1511" s="899"/>
      <c r="AC1511" s="904"/>
      <c r="AD1511" s="901"/>
      <c r="AE1511" s="2"/>
      <c r="AF1511" s="885"/>
      <c r="AG1511" s="885"/>
      <c r="AH1511" s="885"/>
      <c r="AI1511" s="885"/>
      <c r="AJ1511" s="885"/>
      <c r="AK1511" s="885"/>
      <c r="AL1511" s="885"/>
      <c r="AM1511" s="879"/>
      <c r="AN1511" s="2"/>
      <c r="AO1511" s="886"/>
      <c r="AP1511" s="886"/>
      <c r="AV1511" t="str">
        <f t="shared" si="5923"/>
        <v>Drenagem Superficial</v>
      </c>
      <c r="AW1511" s="4" t="str">
        <f t="shared" si="5914"/>
        <v xml:space="preserve">   Seg. 2.2-A13-Acesso - Drenagem Superficial - Sarjeta de corte (Km 114+740)</v>
      </c>
    </row>
    <row r="1512" spans="1:49" ht="15.6" hidden="1" customHeight="1" outlineLevel="2">
      <c r="A1512" s="8" t="str">
        <f t="shared" ref="A1512" si="6049">IF(SUM(P1512:V1513)&gt;0,"S","N")</f>
        <v>N</v>
      </c>
      <c r="B1512" s="150">
        <v>1061820</v>
      </c>
      <c r="C1512" s="150" t="s">
        <v>1832</v>
      </c>
      <c r="D1512" s="120" t="s">
        <v>1833</v>
      </c>
      <c r="E1512" s="914" t="s">
        <v>1834</v>
      </c>
      <c r="F1512" s="902" t="s">
        <v>52</v>
      </c>
      <c r="G1512" s="528"/>
      <c r="H1512" s="546" t="s">
        <v>37</v>
      </c>
      <c r="I1512" s="711">
        <v>0</v>
      </c>
      <c r="J1512" s="896" t="str">
        <f t="shared" ref="J1512" si="6050">IFERROR((I1513/I1512),"-")</f>
        <v>-</v>
      </c>
      <c r="K1512" s="528"/>
      <c r="L1512" s="546" t="s">
        <v>37</v>
      </c>
      <c r="M1512" s="711">
        <f t="shared" si="5775"/>
        <v>0</v>
      </c>
      <c r="N1512" s="896" t="str">
        <f t="shared" ref="N1512" si="6051">IFERROR((M1513/M1512),"-")</f>
        <v>-</v>
      </c>
      <c r="O1512" s="528"/>
      <c r="P1512" s="547">
        <v>0</v>
      </c>
      <c r="Q1512" s="547">
        <v>0</v>
      </c>
      <c r="R1512" s="547">
        <v>0</v>
      </c>
      <c r="S1512" s="547">
        <v>0</v>
      </c>
      <c r="T1512" s="547">
        <v>0</v>
      </c>
      <c r="U1512" s="547">
        <v>0</v>
      </c>
      <c r="V1512" s="548">
        <v>0</v>
      </c>
      <c r="W1512" s="528"/>
      <c r="X1512" s="711">
        <f t="shared" ref="X1512:X1529" si="6052">SUMIFS(P1512:V1512,$P$8:$V$8,"&gt;="&amp;$P$8,$P$8:$V$8,"&lt;="&amp;$N$8)</f>
        <v>0</v>
      </c>
      <c r="Y1512" s="896" t="str">
        <f t="shared" ref="Y1512" si="6053">IFERROR((X1513/X1512),"-")</f>
        <v>-</v>
      </c>
      <c r="Z1512" s="528"/>
      <c r="AA1512" s="898">
        <v>0</v>
      </c>
      <c r="AB1512" s="898">
        <v>0</v>
      </c>
      <c r="AC1512" s="903">
        <v>0</v>
      </c>
      <c r="AD1512" s="900" t="str">
        <f t="shared" ref="AD1512" si="6054">IFERROR((AC1512/AB1512),"-")</f>
        <v>-</v>
      </c>
      <c r="AE1512" s="2"/>
      <c r="AF1512" s="884"/>
      <c r="AG1512" s="884"/>
      <c r="AH1512" s="884">
        <v>0</v>
      </c>
      <c r="AI1512" s="884"/>
      <c r="AJ1512" s="884"/>
      <c r="AK1512" s="884">
        <f t="shared" ref="AK1512" si="6055">AF1512+AG1512+AH1512+AI1512+AJ1512+AC1512</f>
        <v>0</v>
      </c>
      <c r="AL1512" s="884">
        <v>0</v>
      </c>
      <c r="AM1512" s="878" t="str">
        <f t="shared" ref="AM1512" si="6056">IFERROR((AK1512/AL1512),"-")</f>
        <v>-</v>
      </c>
      <c r="AN1512" s="2"/>
      <c r="AO1512" s="884">
        <v>186</v>
      </c>
      <c r="AP1512" s="884">
        <f t="shared" ref="AP1512" si="6057">AO1512-AK1512</f>
        <v>186</v>
      </c>
      <c r="AV1512" t="str">
        <f t="shared" si="5923"/>
        <v>Drenagem Superficial</v>
      </c>
      <c r="AW1512" s="4" t="str">
        <f t="shared" si="5914"/>
        <v xml:space="preserve">   Seg. 2.2-C13-Acesso - Drenagem Superficial - Sarjeta de corte (Km 115+600)</v>
      </c>
    </row>
    <row r="1513" spans="1:49" ht="15.6" hidden="1" customHeight="1" outlineLevel="2">
      <c r="A1513" s="8" t="str">
        <f t="shared" ref="A1513" si="6058">A1512</f>
        <v>N</v>
      </c>
      <c r="B1513" s="150"/>
      <c r="C1513" s="150" t="s">
        <v>1832</v>
      </c>
      <c r="D1513" s="120" t="s">
        <v>1833</v>
      </c>
      <c r="E1513" s="915"/>
      <c r="F1513" s="902"/>
      <c r="G1513" s="528"/>
      <c r="H1513" s="549" t="s">
        <v>38</v>
      </c>
      <c r="I1513" s="711">
        <v>0</v>
      </c>
      <c r="J1513" s="897"/>
      <c r="K1513" s="528"/>
      <c r="L1513" s="549" t="s">
        <v>38</v>
      </c>
      <c r="M1513" s="711">
        <f t="shared" si="5775"/>
        <v>0</v>
      </c>
      <c r="N1513" s="897"/>
      <c r="O1513" s="528"/>
      <c r="P1513" s="548">
        <v>0</v>
      </c>
      <c r="Q1513" s="548">
        <v>0</v>
      </c>
      <c r="R1513" s="548">
        <v>0</v>
      </c>
      <c r="S1513" s="548">
        <v>0</v>
      </c>
      <c r="T1513" s="548">
        <v>0</v>
      </c>
      <c r="U1513" s="548">
        <v>0</v>
      </c>
      <c r="V1513" s="548"/>
      <c r="W1513" s="528"/>
      <c r="X1513" s="711">
        <f t="shared" si="6052"/>
        <v>0</v>
      </c>
      <c r="Y1513" s="897"/>
      <c r="Z1513" s="528"/>
      <c r="AA1513" s="899"/>
      <c r="AB1513" s="899"/>
      <c r="AC1513" s="904"/>
      <c r="AD1513" s="901"/>
      <c r="AE1513" s="2"/>
      <c r="AF1513" s="885"/>
      <c r="AG1513" s="885"/>
      <c r="AH1513" s="885"/>
      <c r="AI1513" s="885"/>
      <c r="AJ1513" s="885"/>
      <c r="AK1513" s="885"/>
      <c r="AL1513" s="885"/>
      <c r="AM1513" s="879"/>
      <c r="AN1513" s="2"/>
      <c r="AO1513" s="886"/>
      <c r="AP1513" s="886"/>
      <c r="AV1513" t="str">
        <f t="shared" si="5923"/>
        <v>Drenagem Superficial</v>
      </c>
      <c r="AW1513" s="4" t="str">
        <f t="shared" si="5914"/>
        <v xml:space="preserve">   Seg. 2.2-C13-Acesso - Drenagem Superficial - Sarjeta de corte (Km 115+600)</v>
      </c>
    </row>
    <row r="1514" spans="1:49" ht="15.6" hidden="1" customHeight="1" outlineLevel="2">
      <c r="A1514" s="8" t="str">
        <f t="shared" ref="A1514" si="6059">IF(SUM(P1514:V1515)&gt;0,"S","N")</f>
        <v>N</v>
      </c>
      <c r="B1514" s="150">
        <v>1065159</v>
      </c>
      <c r="C1514" s="150" t="s">
        <v>1835</v>
      </c>
      <c r="D1514" s="147" t="s">
        <v>187</v>
      </c>
      <c r="E1514" s="914" t="s">
        <v>1836</v>
      </c>
      <c r="F1514" s="902" t="s">
        <v>52</v>
      </c>
      <c r="G1514" s="528"/>
      <c r="H1514" s="546" t="s">
        <v>37</v>
      </c>
      <c r="I1514" s="711">
        <v>0</v>
      </c>
      <c r="J1514" s="896" t="str">
        <f t="shared" ref="J1514" si="6060">IFERROR((I1515/I1514),"-")</f>
        <v>-</v>
      </c>
      <c r="K1514" s="528"/>
      <c r="L1514" s="546" t="s">
        <v>37</v>
      </c>
      <c r="M1514" s="711">
        <f t="shared" ref="M1514:M1529" si="6061">_xlfn.XLOOKUP($N$8,$P$8:$V$8,$P1514:$V1514)</f>
        <v>0</v>
      </c>
      <c r="N1514" s="896" t="str">
        <f t="shared" ref="N1514" si="6062">IFERROR((M1515/M1514),"-")</f>
        <v>-</v>
      </c>
      <c r="O1514" s="528"/>
      <c r="P1514" s="547">
        <v>0</v>
      </c>
      <c r="Q1514" s="547">
        <v>0</v>
      </c>
      <c r="R1514" s="547">
        <v>0</v>
      </c>
      <c r="S1514" s="547">
        <v>0</v>
      </c>
      <c r="T1514" s="547">
        <v>0</v>
      </c>
      <c r="U1514" s="547">
        <v>0</v>
      </c>
      <c r="V1514" s="548">
        <v>0</v>
      </c>
      <c r="W1514" s="528"/>
      <c r="X1514" s="711">
        <f t="shared" si="6052"/>
        <v>0</v>
      </c>
      <c r="Y1514" s="896" t="str">
        <f t="shared" ref="Y1514" si="6063">IFERROR((X1515/X1514),"-")</f>
        <v>-</v>
      </c>
      <c r="Z1514" s="528"/>
      <c r="AA1514" s="898">
        <v>0</v>
      </c>
      <c r="AB1514" s="898">
        <v>0</v>
      </c>
      <c r="AC1514" s="903">
        <v>0</v>
      </c>
      <c r="AD1514" s="900" t="str">
        <f t="shared" ref="AD1514" si="6064">IFERROR((AC1514/AB1514),"-")</f>
        <v>-</v>
      </c>
      <c r="AE1514" s="2"/>
      <c r="AF1514" s="884"/>
      <c r="AG1514" s="884"/>
      <c r="AH1514" s="884">
        <v>0</v>
      </c>
      <c r="AI1514" s="884"/>
      <c r="AJ1514" s="884"/>
      <c r="AK1514" s="884">
        <f t="shared" ref="AK1514" si="6065">AF1514+AG1514+AH1514+AI1514+AJ1514+AC1514</f>
        <v>0</v>
      </c>
      <c r="AL1514" s="884">
        <v>1237.03</v>
      </c>
      <c r="AM1514" s="878">
        <f t="shared" ref="AM1514" si="6066">IFERROR((AK1514/AL1514),"-")</f>
        <v>0</v>
      </c>
      <c r="AN1514" s="2"/>
      <c r="AO1514" s="884">
        <v>1759</v>
      </c>
      <c r="AP1514" s="884">
        <f t="shared" ref="AP1514" si="6067">AO1514-AK1514</f>
        <v>1759</v>
      </c>
      <c r="AV1514" t="str">
        <f t="shared" si="5923"/>
        <v>Drenagem Superficial</v>
      </c>
      <c r="AW1514" s="4" t="str">
        <f t="shared" si="5914"/>
        <v xml:space="preserve">   Seg. 2.2-C04-Plataforma - Drenagem Superficial - Sarjeta de corte (Manual)</v>
      </c>
    </row>
    <row r="1515" spans="1:49" ht="15.6" hidden="1" customHeight="1" outlineLevel="2">
      <c r="A1515" s="8" t="str">
        <f t="shared" ref="A1515" si="6068">A1514</f>
        <v>N</v>
      </c>
      <c r="B1515" s="150"/>
      <c r="C1515" s="150" t="s">
        <v>1835</v>
      </c>
      <c r="D1515" s="147" t="s">
        <v>187</v>
      </c>
      <c r="E1515" s="915"/>
      <c r="F1515" s="902"/>
      <c r="G1515" s="528"/>
      <c r="H1515" s="549" t="s">
        <v>38</v>
      </c>
      <c r="I1515" s="711">
        <v>0</v>
      </c>
      <c r="J1515" s="897"/>
      <c r="K1515" s="528"/>
      <c r="L1515" s="549" t="s">
        <v>38</v>
      </c>
      <c r="M1515" s="711">
        <f t="shared" si="6061"/>
        <v>0</v>
      </c>
      <c r="N1515" s="897"/>
      <c r="O1515" s="528"/>
      <c r="P1515" s="548">
        <v>0</v>
      </c>
      <c r="Q1515" s="548">
        <v>0</v>
      </c>
      <c r="R1515" s="548">
        <v>0</v>
      </c>
      <c r="S1515" s="548">
        <v>0</v>
      </c>
      <c r="T1515" s="548">
        <v>0</v>
      </c>
      <c r="U1515" s="548">
        <v>0</v>
      </c>
      <c r="V1515" s="548"/>
      <c r="W1515" s="528"/>
      <c r="X1515" s="711">
        <f t="shared" si="6052"/>
        <v>0</v>
      </c>
      <c r="Y1515" s="897"/>
      <c r="Z1515" s="528"/>
      <c r="AA1515" s="899"/>
      <c r="AB1515" s="899"/>
      <c r="AC1515" s="904"/>
      <c r="AD1515" s="901"/>
      <c r="AE1515" s="2"/>
      <c r="AF1515" s="885"/>
      <c r="AG1515" s="885"/>
      <c r="AH1515" s="885"/>
      <c r="AI1515" s="885"/>
      <c r="AJ1515" s="885"/>
      <c r="AK1515" s="885"/>
      <c r="AL1515" s="885"/>
      <c r="AM1515" s="879"/>
      <c r="AN1515" s="2"/>
      <c r="AO1515" s="885"/>
      <c r="AP1515" s="886"/>
      <c r="AV1515" t="str">
        <f t="shared" si="5923"/>
        <v>Drenagem Superficial</v>
      </c>
      <c r="AW1515" s="4" t="str">
        <f t="shared" si="5914"/>
        <v xml:space="preserve">   Seg. 2.2-C04-Plataforma - Drenagem Superficial - Sarjeta de corte (Manual)</v>
      </c>
    </row>
    <row r="1516" spans="1:49" ht="15.6" hidden="1" customHeight="1" outlineLevel="2">
      <c r="A1516" s="8" t="str">
        <f t="shared" ref="A1516" si="6069">IF(SUM(P1516:V1517)&gt;0,"S","N")</f>
        <v>N</v>
      </c>
      <c r="B1516" s="150">
        <v>1069770</v>
      </c>
      <c r="C1516" s="150" t="s">
        <v>1837</v>
      </c>
      <c r="D1516" s="120" t="s">
        <v>1838</v>
      </c>
      <c r="E1516" s="914" t="s">
        <v>1839</v>
      </c>
      <c r="F1516" s="902" t="s">
        <v>52</v>
      </c>
      <c r="G1516" s="528"/>
      <c r="H1516" s="546" t="s">
        <v>37</v>
      </c>
      <c r="I1516" s="711">
        <v>0</v>
      </c>
      <c r="J1516" s="896" t="str">
        <f t="shared" ref="J1516" si="6070">IFERROR((I1517/I1516),"-")</f>
        <v>-</v>
      </c>
      <c r="K1516" s="528"/>
      <c r="L1516" s="546" t="s">
        <v>37</v>
      </c>
      <c r="M1516" s="711">
        <f t="shared" si="6061"/>
        <v>0</v>
      </c>
      <c r="N1516" s="896" t="str">
        <f t="shared" ref="N1516" si="6071">IFERROR((M1517/M1516),"-")</f>
        <v>-</v>
      </c>
      <c r="O1516" s="528"/>
      <c r="P1516" s="547">
        <v>0</v>
      </c>
      <c r="Q1516" s="547">
        <v>0</v>
      </c>
      <c r="R1516" s="547">
        <v>0</v>
      </c>
      <c r="S1516" s="547">
        <v>0</v>
      </c>
      <c r="T1516" s="547">
        <v>0</v>
      </c>
      <c r="U1516" s="547">
        <v>0</v>
      </c>
      <c r="V1516" s="548">
        <v>0</v>
      </c>
      <c r="W1516" s="528"/>
      <c r="X1516" s="711">
        <f t="shared" si="6052"/>
        <v>0</v>
      </c>
      <c r="Y1516" s="896" t="str">
        <f t="shared" ref="Y1516" si="6072">IFERROR((X1517/X1516),"-")</f>
        <v>-</v>
      </c>
      <c r="Z1516" s="528"/>
      <c r="AA1516" s="898">
        <v>0</v>
      </c>
      <c r="AB1516" s="898">
        <v>0</v>
      </c>
      <c r="AC1516" s="903">
        <v>0</v>
      </c>
      <c r="AD1516" s="900" t="str">
        <f t="shared" ref="AD1516" si="6073">IFERROR((AC1516/AB1516),"-")</f>
        <v>-</v>
      </c>
      <c r="AE1516" s="2"/>
      <c r="AF1516" s="884"/>
      <c r="AG1516" s="884"/>
      <c r="AH1516" s="884">
        <v>0</v>
      </c>
      <c r="AI1516" s="884"/>
      <c r="AJ1516" s="884"/>
      <c r="AK1516" s="884">
        <f t="shared" ref="AK1516" si="6074">AF1516+AG1516+AH1516+AI1516+AJ1516+AC1516</f>
        <v>0</v>
      </c>
      <c r="AL1516" s="884">
        <v>0</v>
      </c>
      <c r="AM1516" s="878" t="str">
        <f t="shared" ref="AM1516" si="6075">IFERROR((AK1516/AL1516),"-")</f>
        <v>-</v>
      </c>
      <c r="AN1516" s="2"/>
      <c r="AO1516" s="884">
        <v>265</v>
      </c>
      <c r="AP1516" s="884">
        <f t="shared" ref="AP1516" si="6076">AO1516-AK1516</f>
        <v>265</v>
      </c>
      <c r="AV1516" t="str">
        <f t="shared" si="5923"/>
        <v>Drenagem Superficial</v>
      </c>
      <c r="AW1516" s="4" t="str">
        <f t="shared" si="5914"/>
        <v xml:space="preserve">   Seg. 2.2-C04-Plataforma - Drenagem Superficial - Sarjeta de corte (Extrusada)</v>
      </c>
    </row>
    <row r="1517" spans="1:49" ht="15.6" hidden="1" customHeight="1" outlineLevel="2">
      <c r="A1517" s="8" t="str">
        <f t="shared" ref="A1517" si="6077">A1516</f>
        <v>N</v>
      </c>
      <c r="B1517" s="150"/>
      <c r="C1517" s="150" t="s">
        <v>1837</v>
      </c>
      <c r="D1517" s="120" t="s">
        <v>1838</v>
      </c>
      <c r="E1517" s="915"/>
      <c r="F1517" s="902"/>
      <c r="G1517" s="528"/>
      <c r="H1517" s="549" t="s">
        <v>38</v>
      </c>
      <c r="I1517" s="711">
        <v>0</v>
      </c>
      <c r="J1517" s="897"/>
      <c r="K1517" s="528"/>
      <c r="L1517" s="549" t="s">
        <v>38</v>
      </c>
      <c r="M1517" s="711">
        <f t="shared" si="6061"/>
        <v>0</v>
      </c>
      <c r="N1517" s="897"/>
      <c r="O1517" s="528"/>
      <c r="P1517" s="548">
        <v>0</v>
      </c>
      <c r="Q1517" s="548">
        <v>0</v>
      </c>
      <c r="R1517" s="548">
        <v>0</v>
      </c>
      <c r="S1517" s="548">
        <v>0</v>
      </c>
      <c r="T1517" s="548">
        <v>0</v>
      </c>
      <c r="U1517" s="548">
        <v>0</v>
      </c>
      <c r="V1517" s="548"/>
      <c r="W1517" s="528"/>
      <c r="X1517" s="711">
        <f t="shared" si="6052"/>
        <v>0</v>
      </c>
      <c r="Y1517" s="897"/>
      <c r="Z1517" s="528"/>
      <c r="AA1517" s="899"/>
      <c r="AB1517" s="899"/>
      <c r="AC1517" s="904"/>
      <c r="AD1517" s="901"/>
      <c r="AE1517" s="2"/>
      <c r="AF1517" s="885"/>
      <c r="AG1517" s="885"/>
      <c r="AH1517" s="885"/>
      <c r="AI1517" s="885"/>
      <c r="AJ1517" s="885"/>
      <c r="AK1517" s="885"/>
      <c r="AL1517" s="885"/>
      <c r="AM1517" s="879"/>
      <c r="AN1517" s="2"/>
      <c r="AO1517" s="886"/>
      <c r="AP1517" s="886"/>
      <c r="AV1517" t="str">
        <f t="shared" si="5923"/>
        <v>Drenagem Superficial</v>
      </c>
      <c r="AW1517" s="4" t="str">
        <f t="shared" si="5914"/>
        <v xml:space="preserve">   Seg. 2.2-C04-Plataforma - Drenagem Superficial - Sarjeta de corte (Extrusada)</v>
      </c>
    </row>
    <row r="1518" spans="1:49" ht="15.6" hidden="1" customHeight="1" outlineLevel="2">
      <c r="A1518" s="8" t="str">
        <f t="shared" ref="A1518" si="6078">IF(SUM(P1518:V1519)&gt;0,"S","N")</f>
        <v>N</v>
      </c>
      <c r="B1518" s="150">
        <v>1069771</v>
      </c>
      <c r="C1518" s="150" t="s">
        <v>1840</v>
      </c>
      <c r="D1518" s="120" t="s">
        <v>194</v>
      </c>
      <c r="E1518" s="914" t="s">
        <v>1841</v>
      </c>
      <c r="F1518" s="902" t="s">
        <v>52</v>
      </c>
      <c r="G1518" s="528"/>
      <c r="H1518" s="546" t="s">
        <v>37</v>
      </c>
      <c r="I1518" s="711">
        <v>0</v>
      </c>
      <c r="J1518" s="896" t="str">
        <f t="shared" ref="J1518" si="6079">IFERROR((I1519/I1518),"-")</f>
        <v>-</v>
      </c>
      <c r="K1518" s="528"/>
      <c r="L1518" s="546" t="s">
        <v>37</v>
      </c>
      <c r="M1518" s="711">
        <f t="shared" si="6061"/>
        <v>0</v>
      </c>
      <c r="N1518" s="896" t="str">
        <f t="shared" ref="N1518" si="6080">IFERROR((M1519/M1518),"-")</f>
        <v>-</v>
      </c>
      <c r="O1518" s="528"/>
      <c r="P1518" s="547">
        <v>0</v>
      </c>
      <c r="Q1518" s="547">
        <v>0</v>
      </c>
      <c r="R1518" s="547">
        <v>0</v>
      </c>
      <c r="S1518" s="547">
        <v>0</v>
      </c>
      <c r="T1518" s="547">
        <v>0</v>
      </c>
      <c r="U1518" s="547">
        <v>0</v>
      </c>
      <c r="V1518" s="548">
        <v>0</v>
      </c>
      <c r="W1518" s="528"/>
      <c r="X1518" s="711">
        <f t="shared" si="6052"/>
        <v>0</v>
      </c>
      <c r="Y1518" s="896" t="str">
        <f t="shared" ref="Y1518" si="6081">IFERROR((X1519/X1518),"-")</f>
        <v>-</v>
      </c>
      <c r="Z1518" s="528"/>
      <c r="AA1518" s="898">
        <v>271.02</v>
      </c>
      <c r="AB1518" s="898">
        <v>0</v>
      </c>
      <c r="AC1518" s="903">
        <v>0</v>
      </c>
      <c r="AD1518" s="900" t="str">
        <f t="shared" ref="AD1518" si="6082">IFERROR((AC1518/AB1518),"-")</f>
        <v>-</v>
      </c>
      <c r="AE1518" s="2"/>
      <c r="AF1518" s="884"/>
      <c r="AG1518" s="884"/>
      <c r="AH1518" s="884">
        <v>0</v>
      </c>
      <c r="AI1518" s="884"/>
      <c r="AJ1518" s="884"/>
      <c r="AK1518" s="884">
        <f t="shared" ref="AK1518" si="6083">AF1518+AG1518+AH1518+AI1518+AJ1518+AC1518</f>
        <v>0</v>
      </c>
      <c r="AL1518" s="884">
        <v>0</v>
      </c>
      <c r="AM1518" s="878" t="str">
        <f t="shared" ref="AM1518" si="6084">IFERROR((AK1518/AL1518),"-")</f>
        <v>-</v>
      </c>
      <c r="AN1518" s="2"/>
      <c r="AO1518" s="884">
        <v>700</v>
      </c>
      <c r="AP1518" s="884">
        <f t="shared" ref="AP1518" si="6085">AO1518-AK1518</f>
        <v>700</v>
      </c>
      <c r="AV1518" t="str">
        <f t="shared" si="5923"/>
        <v>Drenagem Superficial</v>
      </c>
      <c r="AW1518" s="4" t="str">
        <f t="shared" si="5914"/>
        <v xml:space="preserve">   Seg. 2.2-C07 - Drenagem Superficial - Sarjeta de corte (Km 108+560 a 109+200) Manual</v>
      </c>
    </row>
    <row r="1519" spans="1:49" ht="15.6" hidden="1" customHeight="1" outlineLevel="2">
      <c r="A1519" s="8" t="str">
        <f t="shared" ref="A1519" si="6086">A1518</f>
        <v>N</v>
      </c>
      <c r="B1519" s="150"/>
      <c r="C1519" s="150" t="s">
        <v>1840</v>
      </c>
      <c r="D1519" s="120" t="s">
        <v>194</v>
      </c>
      <c r="E1519" s="915"/>
      <c r="F1519" s="902"/>
      <c r="G1519" s="528"/>
      <c r="H1519" s="549" t="s">
        <v>38</v>
      </c>
      <c r="I1519" s="711">
        <v>0</v>
      </c>
      <c r="J1519" s="897"/>
      <c r="K1519" s="528"/>
      <c r="L1519" s="549" t="s">
        <v>38</v>
      </c>
      <c r="M1519" s="711">
        <f t="shared" si="6061"/>
        <v>0</v>
      </c>
      <c r="N1519" s="897"/>
      <c r="O1519" s="528"/>
      <c r="P1519" s="548">
        <v>0</v>
      </c>
      <c r="Q1519" s="548">
        <v>0</v>
      </c>
      <c r="R1519" s="548">
        <v>0</v>
      </c>
      <c r="S1519" s="548">
        <v>0</v>
      </c>
      <c r="T1519" s="548">
        <v>0</v>
      </c>
      <c r="U1519" s="548">
        <v>0</v>
      </c>
      <c r="V1519" s="548"/>
      <c r="W1519" s="528"/>
      <c r="X1519" s="711">
        <f t="shared" si="6052"/>
        <v>0</v>
      </c>
      <c r="Y1519" s="897"/>
      <c r="Z1519" s="528"/>
      <c r="AA1519" s="899"/>
      <c r="AB1519" s="899"/>
      <c r="AC1519" s="904"/>
      <c r="AD1519" s="901"/>
      <c r="AE1519" s="2"/>
      <c r="AF1519" s="885"/>
      <c r="AG1519" s="885"/>
      <c r="AH1519" s="885"/>
      <c r="AI1519" s="885"/>
      <c r="AJ1519" s="885"/>
      <c r="AK1519" s="885"/>
      <c r="AL1519" s="885"/>
      <c r="AM1519" s="879"/>
      <c r="AN1519" s="2"/>
      <c r="AO1519" s="886"/>
      <c r="AP1519" s="886"/>
      <c r="AV1519" t="str">
        <f t="shared" si="5923"/>
        <v>Drenagem Superficial</v>
      </c>
      <c r="AW1519" s="4" t="str">
        <f t="shared" si="5914"/>
        <v xml:space="preserve">   Seg. 2.2-C07 - Drenagem Superficial - Sarjeta de corte (Km 108+560 a 109+200) Manual</v>
      </c>
    </row>
    <row r="1520" spans="1:49" ht="15.6" hidden="1" customHeight="1" outlineLevel="2">
      <c r="A1520" s="8" t="str">
        <f t="shared" ref="A1520" si="6087">IF(SUM(P1520:V1521)&gt;0,"S","N")</f>
        <v>N</v>
      </c>
      <c r="B1520" s="150">
        <v>1069780</v>
      </c>
      <c r="C1520" s="150" t="s">
        <v>1842</v>
      </c>
      <c r="D1520" s="120" t="s">
        <v>1843</v>
      </c>
      <c r="E1520" s="914" t="s">
        <v>1844</v>
      </c>
      <c r="F1520" s="902" t="s">
        <v>52</v>
      </c>
      <c r="G1520" s="528"/>
      <c r="H1520" s="546" t="s">
        <v>37</v>
      </c>
      <c r="I1520" s="711">
        <v>0</v>
      </c>
      <c r="J1520" s="896" t="str">
        <f t="shared" ref="J1520" si="6088">IFERROR((I1521/I1520),"-")</f>
        <v>-</v>
      </c>
      <c r="K1520" s="528"/>
      <c r="L1520" s="546" t="s">
        <v>37</v>
      </c>
      <c r="M1520" s="711">
        <f t="shared" si="6061"/>
        <v>0</v>
      </c>
      <c r="N1520" s="896" t="str">
        <f t="shared" ref="N1520" si="6089">IFERROR((M1521/M1520),"-")</f>
        <v>-</v>
      </c>
      <c r="O1520" s="528"/>
      <c r="P1520" s="547">
        <v>0</v>
      </c>
      <c r="Q1520" s="547">
        <v>0</v>
      </c>
      <c r="R1520" s="547">
        <v>0</v>
      </c>
      <c r="S1520" s="547">
        <v>0</v>
      </c>
      <c r="T1520" s="547">
        <v>0</v>
      </c>
      <c r="U1520" s="547">
        <v>0</v>
      </c>
      <c r="V1520" s="548">
        <v>0</v>
      </c>
      <c r="W1520" s="528"/>
      <c r="X1520" s="711">
        <f t="shared" si="6052"/>
        <v>0</v>
      </c>
      <c r="Y1520" s="896" t="str">
        <f t="shared" ref="Y1520" si="6090">IFERROR((X1521/X1520),"-")</f>
        <v>-</v>
      </c>
      <c r="Z1520" s="528"/>
      <c r="AA1520" s="898">
        <v>370</v>
      </c>
      <c r="AB1520" s="898">
        <v>0</v>
      </c>
      <c r="AC1520" s="903">
        <v>0</v>
      </c>
      <c r="AD1520" s="900" t="str">
        <f t="shared" ref="AD1520" si="6091">IFERROR((AC1520/AB1520),"-")</f>
        <v>-</v>
      </c>
      <c r="AE1520" s="2"/>
      <c r="AF1520" s="884"/>
      <c r="AG1520" s="884"/>
      <c r="AH1520" s="884">
        <v>0</v>
      </c>
      <c r="AI1520" s="884"/>
      <c r="AJ1520" s="884"/>
      <c r="AK1520" s="884">
        <f t="shared" ref="AK1520" si="6092">AF1520+AG1520+AH1520+AI1520+AJ1520+AC1520</f>
        <v>0</v>
      </c>
      <c r="AL1520" s="884">
        <v>0</v>
      </c>
      <c r="AM1520" s="878" t="str">
        <f t="shared" ref="AM1520" si="6093">IFERROR((AK1520/AL1520),"-")</f>
        <v>-</v>
      </c>
      <c r="AN1520" s="2"/>
      <c r="AO1520" s="884">
        <v>370</v>
      </c>
      <c r="AP1520" s="884">
        <f t="shared" ref="AP1520" si="6094">AO1520-AK1520</f>
        <v>370</v>
      </c>
      <c r="AV1520" t="str">
        <f t="shared" si="5923"/>
        <v>Drenagem Superficial</v>
      </c>
      <c r="AW1520" s="4" t="str">
        <f t="shared" si="5914"/>
        <v xml:space="preserve">   Seg. 2.2-C07 - Drenagem Superficial - Sarjeta de corte (Km 108+560 a 109+200) Extrusada</v>
      </c>
    </row>
    <row r="1521" spans="1:49" ht="15.6" hidden="1" customHeight="1" outlineLevel="2">
      <c r="A1521" s="8" t="str">
        <f t="shared" ref="A1521" si="6095">A1520</f>
        <v>N</v>
      </c>
      <c r="B1521" s="150"/>
      <c r="C1521" s="150" t="s">
        <v>1842</v>
      </c>
      <c r="D1521" s="120" t="s">
        <v>1843</v>
      </c>
      <c r="E1521" s="915"/>
      <c r="F1521" s="902"/>
      <c r="G1521" s="528"/>
      <c r="H1521" s="549" t="s">
        <v>38</v>
      </c>
      <c r="I1521" s="711">
        <v>0</v>
      </c>
      <c r="J1521" s="897"/>
      <c r="K1521" s="528"/>
      <c r="L1521" s="549" t="s">
        <v>38</v>
      </c>
      <c r="M1521" s="711">
        <f t="shared" si="6061"/>
        <v>0</v>
      </c>
      <c r="N1521" s="897"/>
      <c r="O1521" s="528"/>
      <c r="P1521" s="548">
        <v>0</v>
      </c>
      <c r="Q1521" s="548">
        <v>0</v>
      </c>
      <c r="R1521" s="548">
        <v>0</v>
      </c>
      <c r="S1521" s="548">
        <v>0</v>
      </c>
      <c r="T1521" s="548">
        <v>0</v>
      </c>
      <c r="U1521" s="548">
        <v>0</v>
      </c>
      <c r="V1521" s="548"/>
      <c r="W1521" s="528"/>
      <c r="X1521" s="711">
        <f t="shared" si="6052"/>
        <v>0</v>
      </c>
      <c r="Y1521" s="897"/>
      <c r="Z1521" s="528"/>
      <c r="AA1521" s="899"/>
      <c r="AB1521" s="899"/>
      <c r="AC1521" s="904"/>
      <c r="AD1521" s="901"/>
      <c r="AE1521" s="2"/>
      <c r="AF1521" s="885"/>
      <c r="AG1521" s="885"/>
      <c r="AH1521" s="885"/>
      <c r="AI1521" s="885"/>
      <c r="AJ1521" s="885"/>
      <c r="AK1521" s="885"/>
      <c r="AL1521" s="885"/>
      <c r="AM1521" s="879"/>
      <c r="AN1521" s="2"/>
      <c r="AO1521" s="886"/>
      <c r="AP1521" s="886"/>
      <c r="AV1521" t="str">
        <f t="shared" si="5923"/>
        <v>Drenagem Superficial</v>
      </c>
      <c r="AW1521" s="4" t="str">
        <f t="shared" si="5914"/>
        <v xml:space="preserve">   Seg. 2.2-C07 - Drenagem Superficial - Sarjeta de corte (Km 108+560 a 109+200) Extrusada</v>
      </c>
    </row>
    <row r="1522" spans="1:49" ht="15.6" hidden="1" customHeight="1" outlineLevel="2">
      <c r="A1522" s="8" t="str">
        <f t="shared" ref="A1522" si="6096">IF(SUM(P1522:V1523)&gt;0,"S","N")</f>
        <v>N</v>
      </c>
      <c r="B1522" s="150">
        <v>1069782</v>
      </c>
      <c r="C1522" s="150" t="s">
        <v>1845</v>
      </c>
      <c r="D1522" s="120" t="s">
        <v>1846</v>
      </c>
      <c r="E1522" s="914" t="s">
        <v>1847</v>
      </c>
      <c r="F1522" s="902" t="s">
        <v>52</v>
      </c>
      <c r="G1522" s="528"/>
      <c r="H1522" s="546" t="s">
        <v>37</v>
      </c>
      <c r="I1522" s="711">
        <v>0</v>
      </c>
      <c r="J1522" s="896" t="str">
        <f t="shared" ref="J1522" si="6097">IFERROR((I1523/I1522),"-")</f>
        <v>-</v>
      </c>
      <c r="K1522" s="528"/>
      <c r="L1522" s="546" t="s">
        <v>37</v>
      </c>
      <c r="M1522" s="711">
        <f t="shared" si="6061"/>
        <v>0</v>
      </c>
      <c r="N1522" s="896" t="str">
        <f t="shared" ref="N1522" si="6098">IFERROR((M1523/M1522),"-")</f>
        <v>-</v>
      </c>
      <c r="O1522" s="528"/>
      <c r="P1522" s="547">
        <v>0</v>
      </c>
      <c r="Q1522" s="547">
        <v>0</v>
      </c>
      <c r="R1522" s="547">
        <v>0</v>
      </c>
      <c r="S1522" s="547">
        <v>0</v>
      </c>
      <c r="T1522" s="547">
        <v>0</v>
      </c>
      <c r="U1522" s="547">
        <v>0</v>
      </c>
      <c r="V1522" s="548">
        <v>0</v>
      </c>
      <c r="W1522" s="528"/>
      <c r="X1522" s="711">
        <f t="shared" si="6052"/>
        <v>0</v>
      </c>
      <c r="Y1522" s="896" t="str">
        <f t="shared" ref="Y1522" si="6099">IFERROR((X1523/X1522),"-")</f>
        <v>-</v>
      </c>
      <c r="Z1522" s="528"/>
      <c r="AA1522" s="898">
        <v>506</v>
      </c>
      <c r="AB1522" s="898">
        <v>337.32</v>
      </c>
      <c r="AC1522" s="903">
        <v>0</v>
      </c>
      <c r="AD1522" s="900">
        <f t="shared" ref="AD1522" si="6100">IFERROR((AC1522/AB1522),"-")</f>
        <v>0</v>
      </c>
      <c r="AE1522" s="2"/>
      <c r="AF1522" s="884"/>
      <c r="AG1522" s="884"/>
      <c r="AH1522" s="884">
        <v>0</v>
      </c>
      <c r="AI1522" s="884"/>
      <c r="AJ1522" s="884"/>
      <c r="AK1522" s="884">
        <f t="shared" ref="AK1522" si="6101">AF1522+AG1522+AH1522+AI1522+AJ1522+AC1522</f>
        <v>0</v>
      </c>
      <c r="AL1522" s="884">
        <v>337.32</v>
      </c>
      <c r="AM1522" s="878">
        <f t="shared" ref="AM1522" si="6102">IFERROR((AK1522/AL1522),"-")</f>
        <v>0</v>
      </c>
      <c r="AN1522" s="2"/>
      <c r="AO1522" s="884">
        <v>506</v>
      </c>
      <c r="AP1522" s="884">
        <f t="shared" ref="AP1522" si="6103">AO1522-AK1522</f>
        <v>506</v>
      </c>
      <c r="AV1522" t="str">
        <f t="shared" si="5923"/>
        <v>Drenagem Superficial</v>
      </c>
      <c r="AW1522" s="4" t="str">
        <f t="shared" si="5914"/>
        <v xml:space="preserve">   Seg. 2.2-C12 - Drenagem Superficial - Sarjeta de corte (Km 113+280 a 114+300) Extrusada</v>
      </c>
    </row>
    <row r="1523" spans="1:49" ht="15.6" hidden="1" customHeight="1" outlineLevel="2">
      <c r="A1523" s="8" t="str">
        <f t="shared" ref="A1523" si="6104">A1522</f>
        <v>N</v>
      </c>
      <c r="B1523" s="150"/>
      <c r="C1523" s="150" t="s">
        <v>1845</v>
      </c>
      <c r="D1523" s="120" t="s">
        <v>1846</v>
      </c>
      <c r="E1523" s="915"/>
      <c r="F1523" s="902"/>
      <c r="G1523" s="528"/>
      <c r="H1523" s="549" t="s">
        <v>38</v>
      </c>
      <c r="I1523" s="711">
        <v>0</v>
      </c>
      <c r="J1523" s="897"/>
      <c r="K1523" s="528"/>
      <c r="L1523" s="549" t="s">
        <v>38</v>
      </c>
      <c r="M1523" s="711">
        <f t="shared" si="6061"/>
        <v>0</v>
      </c>
      <c r="N1523" s="897"/>
      <c r="O1523" s="528"/>
      <c r="P1523" s="548">
        <v>0</v>
      </c>
      <c r="Q1523" s="548">
        <v>0</v>
      </c>
      <c r="R1523" s="548">
        <v>0</v>
      </c>
      <c r="S1523" s="548">
        <v>0</v>
      </c>
      <c r="T1523" s="548">
        <v>0</v>
      </c>
      <c r="U1523" s="548">
        <v>0</v>
      </c>
      <c r="V1523" s="548"/>
      <c r="W1523" s="528"/>
      <c r="X1523" s="711">
        <f t="shared" si="6052"/>
        <v>0</v>
      </c>
      <c r="Y1523" s="897"/>
      <c r="Z1523" s="528"/>
      <c r="AA1523" s="899"/>
      <c r="AB1523" s="899"/>
      <c r="AC1523" s="904"/>
      <c r="AD1523" s="901"/>
      <c r="AE1523" s="2"/>
      <c r="AF1523" s="885"/>
      <c r="AG1523" s="885"/>
      <c r="AH1523" s="885"/>
      <c r="AI1523" s="885"/>
      <c r="AJ1523" s="885"/>
      <c r="AK1523" s="885"/>
      <c r="AL1523" s="885"/>
      <c r="AM1523" s="879"/>
      <c r="AN1523" s="2"/>
      <c r="AO1523" s="886"/>
      <c r="AP1523" s="886"/>
      <c r="AV1523" t="str">
        <f t="shared" si="5923"/>
        <v>Drenagem Superficial</v>
      </c>
      <c r="AW1523" s="4" t="str">
        <f t="shared" si="5914"/>
        <v xml:space="preserve">   Seg. 2.2-C12 - Drenagem Superficial - Sarjeta de corte (Km 113+280 a 114+300) Extrusada</v>
      </c>
    </row>
    <row r="1524" spans="1:49" ht="15.6" hidden="1" customHeight="1" outlineLevel="2">
      <c r="A1524" s="8" t="str">
        <f t="shared" ref="A1524" si="6105">IF(SUM(P1524:V1525)&gt;0,"S","N")</f>
        <v>N</v>
      </c>
      <c r="B1524" s="150">
        <v>1061491</v>
      </c>
      <c r="C1524" s="150" t="s">
        <v>1848</v>
      </c>
      <c r="D1524" s="120" t="s">
        <v>1778</v>
      </c>
      <c r="E1524" s="914" t="s">
        <v>1849</v>
      </c>
      <c r="F1524" s="902" t="s">
        <v>52</v>
      </c>
      <c r="G1524" s="528"/>
      <c r="H1524" s="546" t="s">
        <v>37</v>
      </c>
      <c r="I1524" s="711">
        <v>0</v>
      </c>
      <c r="J1524" s="896" t="str">
        <f t="shared" ref="J1524" si="6106">IFERROR((I1525/I1524),"-")</f>
        <v>-</v>
      </c>
      <c r="K1524" s="528"/>
      <c r="L1524" s="546" t="s">
        <v>37</v>
      </c>
      <c r="M1524" s="711">
        <f t="shared" si="6061"/>
        <v>0</v>
      </c>
      <c r="N1524" s="896" t="str">
        <f t="shared" ref="N1524" si="6107">IFERROR((M1525/M1524),"-")</f>
        <v>-</v>
      </c>
      <c r="O1524" s="528"/>
      <c r="P1524" s="547">
        <v>0</v>
      </c>
      <c r="Q1524" s="547">
        <v>0</v>
      </c>
      <c r="R1524" s="547">
        <v>0</v>
      </c>
      <c r="S1524" s="547">
        <v>0</v>
      </c>
      <c r="T1524" s="547">
        <v>0</v>
      </c>
      <c r="U1524" s="547">
        <v>0</v>
      </c>
      <c r="V1524" s="548">
        <v>0</v>
      </c>
      <c r="W1524" s="528"/>
      <c r="X1524" s="711">
        <f t="shared" si="6052"/>
        <v>0</v>
      </c>
      <c r="Y1524" s="896" t="str">
        <f t="shared" ref="Y1524" si="6108">IFERROR((X1525/X1524),"-")</f>
        <v>-</v>
      </c>
      <c r="Z1524" s="528"/>
      <c r="AA1524" s="898">
        <v>41</v>
      </c>
      <c r="AB1524" s="898">
        <v>41</v>
      </c>
      <c r="AC1524" s="903">
        <v>0</v>
      </c>
      <c r="AD1524" s="900">
        <f t="shared" ref="AD1524" si="6109">IFERROR((AC1524/AB1524),"-")</f>
        <v>0</v>
      </c>
      <c r="AE1524" s="2"/>
      <c r="AF1524" s="884"/>
      <c r="AG1524" s="884"/>
      <c r="AH1524" s="884">
        <v>0</v>
      </c>
      <c r="AI1524" s="884"/>
      <c r="AJ1524" s="884"/>
      <c r="AK1524" s="884">
        <f t="shared" ref="AK1524" si="6110">AF1524+AG1524+AH1524+AI1524+AJ1524+AC1524</f>
        <v>0</v>
      </c>
      <c r="AL1524" s="884">
        <v>41</v>
      </c>
      <c r="AM1524" s="878">
        <f t="shared" ref="AM1524" si="6111">IFERROR((AK1524/AL1524),"-")</f>
        <v>0</v>
      </c>
      <c r="AN1524" s="2"/>
      <c r="AO1524" s="884">
        <v>41</v>
      </c>
      <c r="AP1524" s="884">
        <f t="shared" ref="AP1524" si="6112">AO1524-AK1524</f>
        <v>41</v>
      </c>
      <c r="AV1524" t="str">
        <f t="shared" si="5923"/>
        <v>Drenagem Superficial</v>
      </c>
      <c r="AW1524" s="4" t="str">
        <f t="shared" si="5914"/>
        <v>Construção de sarjeta trapezoidal de aterro</v>
      </c>
    </row>
    <row r="1525" spans="1:49" ht="15.6" hidden="1" customHeight="1" outlineLevel="2">
      <c r="A1525" s="8" t="str">
        <f t="shared" ref="A1525" si="6113">A1524</f>
        <v>N</v>
      </c>
      <c r="B1525" s="150"/>
      <c r="C1525" s="150" t="s">
        <v>1848</v>
      </c>
      <c r="D1525" s="120" t="s">
        <v>1778</v>
      </c>
      <c r="E1525" s="915"/>
      <c r="F1525" s="902"/>
      <c r="G1525" s="528"/>
      <c r="H1525" s="549" t="s">
        <v>38</v>
      </c>
      <c r="I1525" s="711">
        <v>0</v>
      </c>
      <c r="J1525" s="897"/>
      <c r="K1525" s="528"/>
      <c r="L1525" s="549" t="s">
        <v>38</v>
      </c>
      <c r="M1525" s="711">
        <f t="shared" si="6061"/>
        <v>0</v>
      </c>
      <c r="N1525" s="897"/>
      <c r="O1525" s="528"/>
      <c r="P1525" s="548">
        <v>0</v>
      </c>
      <c r="Q1525" s="548">
        <v>0</v>
      </c>
      <c r="R1525" s="548">
        <v>0</v>
      </c>
      <c r="S1525" s="548">
        <v>0</v>
      </c>
      <c r="T1525" s="548">
        <v>0</v>
      </c>
      <c r="U1525" s="548">
        <v>0</v>
      </c>
      <c r="V1525" s="548"/>
      <c r="W1525" s="528"/>
      <c r="X1525" s="711">
        <f t="shared" si="6052"/>
        <v>0</v>
      </c>
      <c r="Y1525" s="897"/>
      <c r="Z1525" s="528"/>
      <c r="AA1525" s="899"/>
      <c r="AB1525" s="899"/>
      <c r="AC1525" s="904"/>
      <c r="AD1525" s="901"/>
      <c r="AE1525" s="2"/>
      <c r="AF1525" s="885"/>
      <c r="AG1525" s="885"/>
      <c r="AH1525" s="885"/>
      <c r="AI1525" s="885"/>
      <c r="AJ1525" s="885"/>
      <c r="AK1525" s="885"/>
      <c r="AL1525" s="885"/>
      <c r="AM1525" s="879"/>
      <c r="AN1525" s="2"/>
      <c r="AO1525" s="886"/>
      <c r="AP1525" s="886"/>
      <c r="AV1525" t="str">
        <f t="shared" si="5923"/>
        <v>Drenagem Superficial</v>
      </c>
      <c r="AW1525" s="4" t="str">
        <f t="shared" si="5914"/>
        <v>Construção de sarjeta trapezoidal de aterro</v>
      </c>
    </row>
    <row r="1526" spans="1:49" ht="15.6" hidden="1" customHeight="1" outlineLevel="2">
      <c r="A1526" s="8" t="str">
        <f t="shared" ref="A1526" si="6114">IF(SUM(P1526:V1527)&gt;0,"S","N")</f>
        <v>N</v>
      </c>
      <c r="B1526" s="150">
        <v>1061810</v>
      </c>
      <c r="C1526" s="150" t="s">
        <v>1850</v>
      </c>
      <c r="D1526" s="120" t="s">
        <v>1851</v>
      </c>
      <c r="E1526" s="914" t="s">
        <v>1852</v>
      </c>
      <c r="F1526" s="902" t="s">
        <v>52</v>
      </c>
      <c r="G1526" s="528"/>
      <c r="H1526" s="546" t="s">
        <v>37</v>
      </c>
      <c r="I1526" s="711">
        <v>0</v>
      </c>
      <c r="J1526" s="896" t="str">
        <f t="shared" ref="J1526" si="6115">IFERROR((I1527/I1526),"-")</f>
        <v>-</v>
      </c>
      <c r="K1526" s="528"/>
      <c r="L1526" s="546" t="s">
        <v>37</v>
      </c>
      <c r="M1526" s="711">
        <f t="shared" si="6061"/>
        <v>0</v>
      </c>
      <c r="N1526" s="896" t="str">
        <f t="shared" ref="N1526" si="6116">IFERROR((M1527/M1526),"-")</f>
        <v>-</v>
      </c>
      <c r="O1526" s="528"/>
      <c r="P1526" s="547">
        <v>0</v>
      </c>
      <c r="Q1526" s="547">
        <v>0</v>
      </c>
      <c r="R1526" s="547">
        <v>0</v>
      </c>
      <c r="S1526" s="547">
        <v>0</v>
      </c>
      <c r="T1526" s="547">
        <v>0</v>
      </c>
      <c r="U1526" s="547">
        <v>0</v>
      </c>
      <c r="V1526" s="548">
        <v>0</v>
      </c>
      <c r="W1526" s="528"/>
      <c r="X1526" s="711">
        <f t="shared" si="6052"/>
        <v>0</v>
      </c>
      <c r="Y1526" s="896" t="str">
        <f t="shared" ref="Y1526" si="6117">IFERROR((X1527/X1526),"-")</f>
        <v>-</v>
      </c>
      <c r="Z1526" s="528"/>
      <c r="AA1526" s="898">
        <v>0</v>
      </c>
      <c r="AB1526" s="898">
        <v>0</v>
      </c>
      <c r="AC1526" s="903">
        <v>0</v>
      </c>
      <c r="AD1526" s="900" t="str">
        <f t="shared" ref="AD1526" si="6118">IFERROR((AC1526/AB1526),"-")</f>
        <v>-</v>
      </c>
      <c r="AE1526" s="2"/>
      <c r="AF1526" s="884"/>
      <c r="AG1526" s="884"/>
      <c r="AH1526" s="884">
        <v>0</v>
      </c>
      <c r="AI1526" s="884"/>
      <c r="AJ1526" s="884"/>
      <c r="AK1526" s="884">
        <f t="shared" ref="AK1526" si="6119">AF1526+AG1526+AH1526+AI1526+AJ1526+AC1526</f>
        <v>0</v>
      </c>
      <c r="AL1526" s="884">
        <v>0</v>
      </c>
      <c r="AM1526" s="878" t="str">
        <f t="shared" ref="AM1526" si="6120">IFERROR((AK1526/AL1526),"-")</f>
        <v>-</v>
      </c>
      <c r="AN1526" s="2"/>
      <c r="AO1526" s="884">
        <v>680</v>
      </c>
      <c r="AP1526" s="884">
        <f t="shared" ref="AP1526" si="6121">AO1526-AK1526</f>
        <v>680</v>
      </c>
      <c r="AV1526" t="str">
        <f t="shared" si="5923"/>
        <v>Drenagem Superficial</v>
      </c>
      <c r="AW1526" s="4" t="str">
        <f t="shared" si="5914"/>
        <v>Seg. 2.2-A13-Acesso - Drenagem Superficial - Sarjeta de corte (Km 114+450)</v>
      </c>
    </row>
    <row r="1527" spans="1:49" ht="15.6" hidden="1" customHeight="1" outlineLevel="2">
      <c r="A1527" s="8" t="str">
        <f t="shared" ref="A1527" si="6122">A1526</f>
        <v>N</v>
      </c>
      <c r="B1527" s="150"/>
      <c r="C1527" s="150" t="s">
        <v>1850</v>
      </c>
      <c r="D1527" s="120" t="s">
        <v>1851</v>
      </c>
      <c r="E1527" s="915"/>
      <c r="F1527" s="902"/>
      <c r="G1527" s="528"/>
      <c r="H1527" s="549" t="s">
        <v>38</v>
      </c>
      <c r="I1527" s="711">
        <v>0</v>
      </c>
      <c r="J1527" s="897"/>
      <c r="K1527" s="528"/>
      <c r="L1527" s="549" t="s">
        <v>38</v>
      </c>
      <c r="M1527" s="711">
        <f t="shared" si="6061"/>
        <v>0</v>
      </c>
      <c r="N1527" s="897"/>
      <c r="O1527" s="528"/>
      <c r="P1527" s="548">
        <v>0</v>
      </c>
      <c r="Q1527" s="548">
        <v>0</v>
      </c>
      <c r="R1527" s="548">
        <v>0</v>
      </c>
      <c r="S1527" s="548">
        <v>0</v>
      </c>
      <c r="T1527" s="548">
        <v>0</v>
      </c>
      <c r="U1527" s="548">
        <v>0</v>
      </c>
      <c r="V1527" s="548"/>
      <c r="W1527" s="528"/>
      <c r="X1527" s="711">
        <f t="shared" si="6052"/>
        <v>0</v>
      </c>
      <c r="Y1527" s="897"/>
      <c r="Z1527" s="528"/>
      <c r="AA1527" s="899"/>
      <c r="AB1527" s="899"/>
      <c r="AC1527" s="904"/>
      <c r="AD1527" s="901"/>
      <c r="AE1527" s="2"/>
      <c r="AF1527" s="885"/>
      <c r="AG1527" s="885"/>
      <c r="AH1527" s="885"/>
      <c r="AI1527" s="885"/>
      <c r="AJ1527" s="885"/>
      <c r="AK1527" s="885"/>
      <c r="AL1527" s="885"/>
      <c r="AM1527" s="879"/>
      <c r="AN1527" s="2"/>
      <c r="AO1527" s="886"/>
      <c r="AP1527" s="886"/>
      <c r="AV1527" t="str">
        <f t="shared" si="5923"/>
        <v>Drenagem Superficial</v>
      </c>
      <c r="AW1527" s="4" t="str">
        <f t="shared" si="5914"/>
        <v>Seg. 2.2-A13-Acesso - Drenagem Superficial - Sarjeta de corte (Km 114+450)</v>
      </c>
    </row>
    <row r="1528" spans="1:49" ht="15.6" hidden="1" customHeight="1" outlineLevel="2">
      <c r="A1528" s="8" t="str">
        <f t="shared" ref="A1528" si="6123">IF(SUM(P1528:V1529)&gt;0,"S","N")</f>
        <v>N</v>
      </c>
      <c r="B1528" s="150">
        <v>1069328</v>
      </c>
      <c r="C1528" s="150" t="s">
        <v>1853</v>
      </c>
      <c r="D1528" s="120" t="s">
        <v>1778</v>
      </c>
      <c r="E1528" s="914" t="s">
        <v>1849</v>
      </c>
      <c r="F1528" s="902" t="s">
        <v>52</v>
      </c>
      <c r="G1528" s="528"/>
      <c r="H1528" s="546" t="s">
        <v>37</v>
      </c>
      <c r="I1528" s="711">
        <v>0</v>
      </c>
      <c r="J1528" s="896" t="str">
        <f t="shared" ref="J1528" si="6124">IFERROR((I1529/I1528),"-")</f>
        <v>-</v>
      </c>
      <c r="K1528" s="528"/>
      <c r="L1528" s="546" t="s">
        <v>37</v>
      </c>
      <c r="M1528" s="711">
        <f t="shared" si="6061"/>
        <v>0</v>
      </c>
      <c r="N1528" s="896" t="str">
        <f t="shared" ref="N1528" si="6125">IFERROR((M1529/M1528),"-")</f>
        <v>-</v>
      </c>
      <c r="O1528" s="528"/>
      <c r="P1528" s="547">
        <v>0</v>
      </c>
      <c r="Q1528" s="547">
        <v>0</v>
      </c>
      <c r="R1528" s="547">
        <v>0</v>
      </c>
      <c r="S1528" s="547">
        <v>0</v>
      </c>
      <c r="T1528" s="547">
        <v>0</v>
      </c>
      <c r="U1528" s="547">
        <v>0</v>
      </c>
      <c r="V1528" s="548">
        <v>0</v>
      </c>
      <c r="W1528" s="528"/>
      <c r="X1528" s="711">
        <f t="shared" si="6052"/>
        <v>0</v>
      </c>
      <c r="Y1528" s="896" t="str">
        <f t="shared" ref="Y1528" si="6126">IFERROR((X1529/X1528),"-")</f>
        <v>-</v>
      </c>
      <c r="Z1528" s="528"/>
      <c r="AA1528" s="898">
        <v>930.5</v>
      </c>
      <c r="AB1528" s="898">
        <v>0.27</v>
      </c>
      <c r="AC1528" s="903">
        <v>0</v>
      </c>
      <c r="AD1528" s="900">
        <f t="shared" ref="AD1528" si="6127">IFERROR((AC1528/AB1528),"-")</f>
        <v>0</v>
      </c>
      <c r="AE1528" s="2"/>
      <c r="AF1528" s="884"/>
      <c r="AG1528" s="884"/>
      <c r="AH1528" s="884">
        <v>0</v>
      </c>
      <c r="AI1528" s="884"/>
      <c r="AJ1528" s="884"/>
      <c r="AK1528" s="884">
        <f t="shared" ref="AK1528" si="6128">AF1528+AG1528+AH1528+AI1528+AJ1528+AC1528</f>
        <v>0</v>
      </c>
      <c r="AL1528" s="884">
        <v>0.27</v>
      </c>
      <c r="AM1528" s="878">
        <f t="shared" ref="AM1528" si="6129">IFERROR((AK1528/AL1528),"-")</f>
        <v>0</v>
      </c>
      <c r="AN1528" s="2"/>
      <c r="AO1528" s="884">
        <v>930.5</v>
      </c>
      <c r="AP1528" s="884">
        <f t="shared" ref="AP1528" si="6130">AO1528-AK1528</f>
        <v>930.5</v>
      </c>
      <c r="AV1528" t="str">
        <f t="shared" si="5923"/>
        <v>Drenagem Superficial</v>
      </c>
      <c r="AW1528" s="4" t="str">
        <f t="shared" si="5914"/>
        <v>Construção de sarjeta trapezoidal de aterro</v>
      </c>
    </row>
    <row r="1529" spans="1:49" ht="15.6" hidden="1" customHeight="1" outlineLevel="2">
      <c r="A1529" s="8" t="str">
        <f t="shared" ref="A1529" si="6131">A1528</f>
        <v>N</v>
      </c>
      <c r="B1529" s="150"/>
      <c r="C1529" s="150" t="s">
        <v>1853</v>
      </c>
      <c r="D1529" s="120" t="s">
        <v>1778</v>
      </c>
      <c r="E1529" s="915"/>
      <c r="F1529" s="902"/>
      <c r="G1529" s="528"/>
      <c r="H1529" s="549" t="s">
        <v>38</v>
      </c>
      <c r="I1529" s="711">
        <v>0</v>
      </c>
      <c r="J1529" s="897"/>
      <c r="K1529" s="528"/>
      <c r="L1529" s="549" t="s">
        <v>38</v>
      </c>
      <c r="M1529" s="711">
        <f t="shared" si="6061"/>
        <v>0</v>
      </c>
      <c r="N1529" s="897"/>
      <c r="O1529" s="528"/>
      <c r="P1529" s="548">
        <v>0</v>
      </c>
      <c r="Q1529" s="548">
        <v>0</v>
      </c>
      <c r="R1529" s="548">
        <v>0</v>
      </c>
      <c r="S1529" s="548">
        <v>0</v>
      </c>
      <c r="T1529" s="548">
        <v>0</v>
      </c>
      <c r="U1529" s="548">
        <v>0</v>
      </c>
      <c r="V1529" s="548"/>
      <c r="W1529" s="528"/>
      <c r="X1529" s="711">
        <f t="shared" si="6052"/>
        <v>0</v>
      </c>
      <c r="Y1529" s="897"/>
      <c r="Z1529" s="528"/>
      <c r="AA1529" s="899"/>
      <c r="AB1529" s="899"/>
      <c r="AC1529" s="904"/>
      <c r="AD1529" s="901"/>
      <c r="AE1529" s="2"/>
      <c r="AF1529" s="885"/>
      <c r="AG1529" s="885"/>
      <c r="AH1529" s="885"/>
      <c r="AI1529" s="885"/>
      <c r="AJ1529" s="885"/>
      <c r="AK1529" s="885"/>
      <c r="AL1529" s="885"/>
      <c r="AM1529" s="879"/>
      <c r="AN1529" s="2"/>
      <c r="AO1529" s="886"/>
      <c r="AP1529" s="886"/>
      <c r="AV1529" t="str">
        <f t="shared" si="5923"/>
        <v>Drenagem Superficial</v>
      </c>
      <c r="AW1529" s="4" t="str">
        <f t="shared" si="5914"/>
        <v>Construção de sarjeta trapezoidal de aterro</v>
      </c>
    </row>
    <row r="1530" spans="1:49" ht="15.6" hidden="1" customHeight="1" outlineLevel="1" collapsed="1">
      <c r="A1530" s="209">
        <v>0</v>
      </c>
      <c r="B1530" s="150"/>
      <c r="C1530" s="150"/>
      <c r="D1530" s="117"/>
      <c r="E1530" s="535"/>
      <c r="F1530" s="536"/>
      <c r="G1530" s="537"/>
      <c r="H1530" s="714"/>
      <c r="I1530" s="555"/>
      <c r="J1530" s="714"/>
      <c r="K1530" s="537"/>
      <c r="L1530" s="714"/>
      <c r="M1530" s="555"/>
      <c r="N1530" s="714"/>
      <c r="O1530" s="537"/>
      <c r="P1530" s="539"/>
      <c r="Q1530" s="539"/>
      <c r="R1530" s="539"/>
      <c r="S1530" s="539"/>
      <c r="T1530" s="539"/>
      <c r="U1530" s="539"/>
      <c r="V1530" s="539"/>
      <c r="W1530" s="537"/>
      <c r="X1530" s="540"/>
      <c r="Y1530" s="537"/>
      <c r="Z1530" s="537"/>
      <c r="AA1530" s="249"/>
      <c r="AB1530" s="249"/>
      <c r="AC1530" s="249"/>
      <c r="AD1530" s="537"/>
      <c r="AE1530" s="3"/>
      <c r="AF1530" s="35"/>
      <c r="AG1530" s="35"/>
      <c r="AH1530" s="35"/>
      <c r="AI1530" s="35"/>
      <c r="AJ1530" s="35"/>
      <c r="AK1530" s="35"/>
      <c r="AL1530" s="35"/>
      <c r="AM1530" s="3"/>
      <c r="AN1530" s="3"/>
      <c r="AO1530" s="35"/>
      <c r="AP1530" s="35"/>
      <c r="AV1530" t="str">
        <f t="shared" si="5923"/>
        <v>Drenagem Superficial</v>
      </c>
      <c r="AW1530" s="4" t="str">
        <f t="shared" si="5914"/>
        <v>Construção de sarjeta trapezoidal de aterro</v>
      </c>
    </row>
    <row r="1531" spans="1:49" ht="15.95" hidden="1" customHeight="1" outlineLevel="1">
      <c r="A1531" s="209">
        <v>0</v>
      </c>
      <c r="B1531" s="150"/>
      <c r="C1531" s="150"/>
      <c r="D1531" s="122"/>
      <c r="E1531" s="913" t="s">
        <v>41</v>
      </c>
      <c r="F1531" s="859" t="s">
        <v>52</v>
      </c>
      <c r="G1531" s="528"/>
      <c r="H1531" s="542" t="s">
        <v>37</v>
      </c>
      <c r="I1531" s="543">
        <f>SUMIF($L1533:$L1612,$L1531,I1533:I1612)</f>
        <v>0</v>
      </c>
      <c r="J1531" s="860" t="str">
        <f>IFERROR((I1532/I1531),"-")</f>
        <v>-</v>
      </c>
      <c r="K1531" s="528"/>
      <c r="L1531" s="542" t="s">
        <v>37</v>
      </c>
      <c r="M1531" s="543">
        <f>SUMIF($L1533:$L1600,$L1531,M1533:M1600)</f>
        <v>0</v>
      </c>
      <c r="N1531" s="860" t="str">
        <f>IFERROR((M1532/M1531),"-")</f>
        <v>-</v>
      </c>
      <c r="O1531" s="528"/>
      <c r="P1531" s="543">
        <f t="shared" ref="P1531:V1531" si="6132">SUMIF($L1533:$L1612,$L1531,P1533:P1612)</f>
        <v>0</v>
      </c>
      <c r="Q1531" s="543">
        <f t="shared" si="6132"/>
        <v>0</v>
      </c>
      <c r="R1531" s="543">
        <f t="shared" si="6132"/>
        <v>0</v>
      </c>
      <c r="S1531" s="543">
        <f t="shared" si="6132"/>
        <v>0</v>
      </c>
      <c r="T1531" s="543">
        <f t="shared" si="6132"/>
        <v>0</v>
      </c>
      <c r="U1531" s="543">
        <f t="shared" si="6132"/>
        <v>0</v>
      </c>
      <c r="V1531" s="543">
        <f t="shared" si="6132"/>
        <v>0</v>
      </c>
      <c r="W1531" s="528"/>
      <c r="X1531" s="543">
        <f t="shared" ref="X1531:X1594" si="6133">SUMIFS(P1531:V1531,$P$8:$V$8,"&gt;="&amp;$P$8,$P$8:$V$8,"&lt;="&amp;$N$8)</f>
        <v>0</v>
      </c>
      <c r="Y1531" s="860" t="str">
        <f>IFERROR((X1532/X1531),"-")</f>
        <v>-</v>
      </c>
      <c r="Z1531" s="528"/>
      <c r="AA1531" s="814">
        <f>SUM(AA1533:AA1614)</f>
        <v>3398.36</v>
      </c>
      <c r="AB1531" s="814">
        <f>SUM(AB1533:AB1614)</f>
        <v>1086.6399999999999</v>
      </c>
      <c r="AC1531" s="814">
        <f>SUM(AC1533:AC1614)</f>
        <v>0</v>
      </c>
      <c r="AD1531" s="911">
        <f>IFERROR((AC1531/AB1531),"-")</f>
        <v>0</v>
      </c>
      <c r="AE1531" s="2"/>
      <c r="AF1531" s="888">
        <f t="shared" ref="AF1531:AL1531" si="6134">SUM(AF1533:AF1614)</f>
        <v>7546.2550000000047</v>
      </c>
      <c r="AG1531" s="888">
        <f t="shared" si="6134"/>
        <v>0</v>
      </c>
      <c r="AH1531" s="888">
        <f t="shared" si="6134"/>
        <v>5</v>
      </c>
      <c r="AI1531" s="888">
        <f t="shared" si="6134"/>
        <v>0</v>
      </c>
      <c r="AJ1531" s="888">
        <f t="shared" ref="AJ1531" si="6135">SUM(AJ1533:AJ1614)</f>
        <v>14.003</v>
      </c>
      <c r="AK1531" s="888">
        <f t="shared" si="6134"/>
        <v>7565.2580000000016</v>
      </c>
      <c r="AL1531" s="888">
        <f t="shared" si="6134"/>
        <v>17334.22</v>
      </c>
      <c r="AM1531" s="743">
        <f>IFERROR((AK1531/AL1531),"-")</f>
        <v>0.43643486698565043</v>
      </c>
      <c r="AN1531" s="2"/>
      <c r="AO1531" s="888">
        <f t="shared" ref="AO1531:AP1531" si="6136">SUM(AO1533:AO1614)</f>
        <v>30597.57</v>
      </c>
      <c r="AP1531" s="888">
        <f t="shared" si="6136"/>
        <v>23032.311999999998</v>
      </c>
      <c r="AV1531" t="str">
        <f t="shared" si="5923"/>
        <v>Drenagem Superficial</v>
      </c>
      <c r="AW1531" s="4" t="str">
        <f t="shared" si="5914"/>
        <v>Pacote 04 - Segmento 2.3 - Km 116+517 a 131+241</v>
      </c>
    </row>
    <row r="1532" spans="1:49" ht="18" hidden="1" customHeight="1" outlineLevel="1">
      <c r="A1532" s="209">
        <v>0</v>
      </c>
      <c r="B1532" s="150"/>
      <c r="C1532" s="150"/>
      <c r="D1532" s="123"/>
      <c r="E1532" s="913"/>
      <c r="F1532" s="859"/>
      <c r="G1532" s="528"/>
      <c r="H1532" s="544" t="s">
        <v>38</v>
      </c>
      <c r="I1532" s="543">
        <f>SUMIF($L1533:$L1612,$L1532,I1533:I1612)</f>
        <v>0</v>
      </c>
      <c r="J1532" s="861"/>
      <c r="K1532" s="528"/>
      <c r="L1532" s="544" t="s">
        <v>38</v>
      </c>
      <c r="M1532" s="543">
        <f>SUMIF($L1533:$L1600,$L1532,M1533:M1600)</f>
        <v>0</v>
      </c>
      <c r="N1532" s="861"/>
      <c r="O1532" s="528"/>
      <c r="P1532" s="543">
        <f t="shared" ref="P1532:V1532" si="6137">SUMIF($L1533:$L1612,$L1532,P1533:P1612)</f>
        <v>0</v>
      </c>
      <c r="Q1532" s="543">
        <f t="shared" si="6137"/>
        <v>0</v>
      </c>
      <c r="R1532" s="543">
        <f t="shared" si="6137"/>
        <v>0</v>
      </c>
      <c r="S1532" s="543">
        <f t="shared" si="6137"/>
        <v>0</v>
      </c>
      <c r="T1532" s="543">
        <f t="shared" si="6137"/>
        <v>0</v>
      </c>
      <c r="U1532" s="543">
        <f t="shared" si="6137"/>
        <v>0</v>
      </c>
      <c r="V1532" s="543">
        <f t="shared" si="6137"/>
        <v>0</v>
      </c>
      <c r="W1532" s="528"/>
      <c r="X1532" s="543">
        <f t="shared" si="6133"/>
        <v>0</v>
      </c>
      <c r="Y1532" s="861"/>
      <c r="Z1532" s="528"/>
      <c r="AA1532" s="815"/>
      <c r="AB1532" s="815"/>
      <c r="AC1532" s="815"/>
      <c r="AD1532" s="912"/>
      <c r="AE1532" s="2"/>
      <c r="AF1532" s="889"/>
      <c r="AG1532" s="889"/>
      <c r="AH1532" s="889"/>
      <c r="AI1532" s="889"/>
      <c r="AJ1532" s="889"/>
      <c r="AK1532" s="889"/>
      <c r="AL1532" s="889"/>
      <c r="AM1532" s="744"/>
      <c r="AN1532" s="2"/>
      <c r="AO1532" s="889"/>
      <c r="AP1532" s="889"/>
      <c r="AV1532" t="str">
        <f t="shared" si="5923"/>
        <v>Drenagem Superficial</v>
      </c>
      <c r="AW1532" s="4" t="str">
        <f t="shared" si="5914"/>
        <v>Pacote 04 - Segmento 2.3 - Km 116+517 a 131+241</v>
      </c>
    </row>
    <row r="1533" spans="1:49" ht="15.6" hidden="1" customHeight="1" outlineLevel="2">
      <c r="A1533" s="8" t="str">
        <f t="shared" ref="A1533" si="6138">IF(SUM(P1533:V1534)&gt;0,"S","N")</f>
        <v>N</v>
      </c>
      <c r="B1533" s="150">
        <v>1060086</v>
      </c>
      <c r="C1533" s="150" t="s">
        <v>1854</v>
      </c>
      <c r="D1533" s="120" t="s">
        <v>313</v>
      </c>
      <c r="E1533" s="914" t="s">
        <v>1855</v>
      </c>
      <c r="F1533" s="902" t="s">
        <v>52</v>
      </c>
      <c r="G1533" s="528"/>
      <c r="H1533" s="546" t="s">
        <v>37</v>
      </c>
      <c r="I1533" s="711">
        <v>0</v>
      </c>
      <c r="J1533" s="896" t="str">
        <f t="shared" ref="J1533" si="6139">IFERROR((I1534/I1533),"-")</f>
        <v>-</v>
      </c>
      <c r="K1533" s="528"/>
      <c r="L1533" s="546" t="s">
        <v>37</v>
      </c>
      <c r="M1533" s="711">
        <f t="shared" ref="M1533:M1596" si="6140">_xlfn.XLOOKUP($N$8,$P$8:$V$8,$P1533:$V1533)</f>
        <v>0</v>
      </c>
      <c r="N1533" s="896" t="str">
        <f t="shared" ref="N1533" si="6141">IFERROR((M1534/M1533),"-")</f>
        <v>-</v>
      </c>
      <c r="O1533" s="528"/>
      <c r="P1533" s="547">
        <v>0</v>
      </c>
      <c r="Q1533" s="547">
        <v>0</v>
      </c>
      <c r="R1533" s="547">
        <v>0</v>
      </c>
      <c r="S1533" s="547">
        <v>0</v>
      </c>
      <c r="T1533" s="547">
        <v>0</v>
      </c>
      <c r="U1533" s="547">
        <v>0</v>
      </c>
      <c r="V1533" s="548">
        <v>0</v>
      </c>
      <c r="W1533" s="528"/>
      <c r="X1533" s="711">
        <f t="shared" si="6133"/>
        <v>0</v>
      </c>
      <c r="Y1533" s="896" t="str">
        <f t="shared" ref="Y1533" si="6142">IFERROR((X1534/X1533),"-")</f>
        <v>-</v>
      </c>
      <c r="Z1533" s="528"/>
      <c r="AA1533" s="898">
        <v>0</v>
      </c>
      <c r="AB1533" s="898">
        <v>0</v>
      </c>
      <c r="AC1533" s="903">
        <v>0</v>
      </c>
      <c r="AD1533" s="900" t="str">
        <f t="shared" ref="AD1533" si="6143">IFERROR((AC1533/AB1533),"-")</f>
        <v>-</v>
      </c>
      <c r="AE1533" s="2"/>
      <c r="AF1533" s="884">
        <v>2311.299</v>
      </c>
      <c r="AG1533" s="884"/>
      <c r="AH1533" s="884">
        <v>0</v>
      </c>
      <c r="AI1533" s="884"/>
      <c r="AJ1533" s="884"/>
      <c r="AK1533" s="884">
        <f t="shared" ref="AK1533" si="6144">AF1533+AG1533+AH1533+AI1533+AJ1533+AC1533</f>
        <v>2311.299</v>
      </c>
      <c r="AL1533" s="884">
        <v>812.98000000000025</v>
      </c>
      <c r="AM1533" s="878">
        <f t="shared" ref="AM1533" si="6145">IFERROR((AK1533/AL1533),"-")</f>
        <v>2.8429961376663622</v>
      </c>
      <c r="AN1533" s="2"/>
      <c r="AO1533" s="884">
        <v>813</v>
      </c>
      <c r="AP1533" s="884">
        <f t="shared" ref="AP1533" si="6146">AO1533-AK1533</f>
        <v>-1498.299</v>
      </c>
      <c r="AV1533" t="str">
        <f t="shared" si="5923"/>
        <v>Drenagem Superficial</v>
      </c>
      <c r="AW1533" s="4" t="str">
        <f t="shared" si="5914"/>
        <v xml:space="preserve">   Construção de sarjeta de corte</v>
      </c>
    </row>
    <row r="1534" spans="1:49" ht="15.6" hidden="1" customHeight="1" outlineLevel="2">
      <c r="A1534" s="8" t="str">
        <f t="shared" ref="A1534" si="6147">A1533</f>
        <v>N</v>
      </c>
      <c r="B1534" s="150"/>
      <c r="C1534" s="150" t="s">
        <v>1854</v>
      </c>
      <c r="D1534" s="120" t="s">
        <v>313</v>
      </c>
      <c r="E1534" s="915"/>
      <c r="F1534" s="902"/>
      <c r="G1534" s="528"/>
      <c r="H1534" s="549" t="s">
        <v>38</v>
      </c>
      <c r="I1534" s="711">
        <v>0</v>
      </c>
      <c r="J1534" s="897"/>
      <c r="K1534" s="528"/>
      <c r="L1534" s="549" t="s">
        <v>38</v>
      </c>
      <c r="M1534" s="711">
        <f t="shared" si="6140"/>
        <v>0</v>
      </c>
      <c r="N1534" s="897"/>
      <c r="O1534" s="528"/>
      <c r="P1534" s="548">
        <v>0</v>
      </c>
      <c r="Q1534" s="548">
        <v>0</v>
      </c>
      <c r="R1534" s="548">
        <v>0</v>
      </c>
      <c r="S1534" s="548">
        <v>0</v>
      </c>
      <c r="T1534" s="548">
        <v>0</v>
      </c>
      <c r="U1534" s="548">
        <v>0</v>
      </c>
      <c r="V1534" s="548">
        <v>0</v>
      </c>
      <c r="W1534" s="528"/>
      <c r="X1534" s="711">
        <f t="shared" si="6133"/>
        <v>0</v>
      </c>
      <c r="Y1534" s="897"/>
      <c r="Z1534" s="528"/>
      <c r="AA1534" s="899"/>
      <c r="AB1534" s="899"/>
      <c r="AC1534" s="904"/>
      <c r="AD1534" s="901"/>
      <c r="AE1534" s="2"/>
      <c r="AF1534" s="885"/>
      <c r="AG1534" s="885"/>
      <c r="AH1534" s="885"/>
      <c r="AI1534" s="885"/>
      <c r="AJ1534" s="885"/>
      <c r="AK1534" s="885"/>
      <c r="AL1534" s="885"/>
      <c r="AM1534" s="879"/>
      <c r="AN1534" s="2"/>
      <c r="AO1534" s="886"/>
      <c r="AP1534" s="886"/>
      <c r="AV1534" t="str">
        <f t="shared" si="5923"/>
        <v>Drenagem Superficial</v>
      </c>
      <c r="AW1534" s="4" t="str">
        <f t="shared" si="5914"/>
        <v xml:space="preserve">   Construção de sarjeta de corte</v>
      </c>
    </row>
    <row r="1535" spans="1:49" ht="15.6" hidden="1" customHeight="1" outlineLevel="2">
      <c r="A1535" s="8" t="str">
        <f t="shared" ref="A1535" si="6148">IF(SUM(P1535:V1536)&gt;0,"S","N")</f>
        <v>N</v>
      </c>
      <c r="B1535" s="150">
        <v>1061513</v>
      </c>
      <c r="C1535" s="150" t="s">
        <v>1856</v>
      </c>
      <c r="D1535" s="120" t="s">
        <v>1857</v>
      </c>
      <c r="E1535" s="914" t="s">
        <v>1855</v>
      </c>
      <c r="F1535" s="902" t="s">
        <v>52</v>
      </c>
      <c r="G1535" s="528"/>
      <c r="H1535" s="546" t="s">
        <v>37</v>
      </c>
      <c r="I1535" s="711">
        <v>0</v>
      </c>
      <c r="J1535" s="896" t="str">
        <f t="shared" ref="J1535" si="6149">IFERROR((I1536/I1535),"-")</f>
        <v>-</v>
      </c>
      <c r="K1535" s="528"/>
      <c r="L1535" s="546" t="s">
        <v>37</v>
      </c>
      <c r="M1535" s="711">
        <f t="shared" si="6140"/>
        <v>0</v>
      </c>
      <c r="N1535" s="896" t="str">
        <f t="shared" ref="N1535" si="6150">IFERROR((M1536/M1535),"-")</f>
        <v>-</v>
      </c>
      <c r="O1535" s="528"/>
      <c r="P1535" s="547">
        <v>0</v>
      </c>
      <c r="Q1535" s="547">
        <v>0</v>
      </c>
      <c r="R1535" s="547">
        <v>0</v>
      </c>
      <c r="S1535" s="547">
        <v>0</v>
      </c>
      <c r="T1535" s="547">
        <v>0</v>
      </c>
      <c r="U1535" s="547">
        <v>0</v>
      </c>
      <c r="V1535" s="548">
        <v>0</v>
      </c>
      <c r="W1535" s="528"/>
      <c r="X1535" s="711">
        <f t="shared" si="6133"/>
        <v>0</v>
      </c>
      <c r="Y1535" s="896" t="str">
        <f>IFERROR((X1536/X1535),"-")</f>
        <v>-</v>
      </c>
      <c r="Z1535" s="528"/>
      <c r="AA1535" s="898">
        <v>86.67</v>
      </c>
      <c r="AB1535" s="898">
        <v>0</v>
      </c>
      <c r="AC1535" s="903">
        <v>0</v>
      </c>
      <c r="AD1535" s="900" t="str">
        <f t="shared" ref="AD1535" si="6151">IFERROR((AC1535/AB1535),"-")</f>
        <v>-</v>
      </c>
      <c r="AE1535" s="2"/>
      <c r="AF1535" s="884"/>
      <c r="AG1535" s="884"/>
      <c r="AH1535" s="884">
        <v>0</v>
      </c>
      <c r="AI1535" s="884"/>
      <c r="AJ1535" s="884"/>
      <c r="AK1535" s="884">
        <f t="shared" ref="AK1535" si="6152">AF1535+AG1535+AH1535+AI1535+AJ1535+AC1535</f>
        <v>0</v>
      </c>
      <c r="AL1535" s="884">
        <v>0</v>
      </c>
      <c r="AM1535" s="878" t="str">
        <f t="shared" ref="AM1535" si="6153">IFERROR((AK1535/AL1535),"-")</f>
        <v>-</v>
      </c>
      <c r="AN1535" s="2"/>
      <c r="AO1535" s="884">
        <v>2576</v>
      </c>
      <c r="AP1535" s="884">
        <f t="shared" ref="AP1535" si="6154">AO1535-AK1535</f>
        <v>2576</v>
      </c>
      <c r="AV1535" t="str">
        <f t="shared" si="5923"/>
        <v>Drenagem Superficial</v>
      </c>
      <c r="AW1535" s="4" t="str">
        <f t="shared" si="5914"/>
        <v xml:space="preserve">   Construção de sarjeta de corte</v>
      </c>
    </row>
    <row r="1536" spans="1:49" ht="15.6" hidden="1" customHeight="1" outlineLevel="2">
      <c r="A1536" s="8" t="str">
        <f t="shared" ref="A1536" si="6155">A1535</f>
        <v>N</v>
      </c>
      <c r="B1536" s="150"/>
      <c r="C1536" s="150" t="s">
        <v>1856</v>
      </c>
      <c r="D1536" s="120" t="s">
        <v>1857</v>
      </c>
      <c r="E1536" s="915"/>
      <c r="F1536" s="902"/>
      <c r="G1536" s="528"/>
      <c r="H1536" s="549" t="s">
        <v>38</v>
      </c>
      <c r="I1536" s="711">
        <v>0</v>
      </c>
      <c r="J1536" s="897"/>
      <c r="K1536" s="528"/>
      <c r="L1536" s="549" t="s">
        <v>38</v>
      </c>
      <c r="M1536" s="711">
        <f t="shared" si="6140"/>
        <v>0</v>
      </c>
      <c r="N1536" s="897"/>
      <c r="O1536" s="528"/>
      <c r="P1536" s="548">
        <v>0</v>
      </c>
      <c r="Q1536" s="548">
        <v>0</v>
      </c>
      <c r="R1536" s="548">
        <v>0</v>
      </c>
      <c r="S1536" s="548">
        <v>0</v>
      </c>
      <c r="T1536" s="548">
        <v>0</v>
      </c>
      <c r="U1536" s="548">
        <v>0</v>
      </c>
      <c r="V1536" s="548">
        <v>0</v>
      </c>
      <c r="W1536" s="528"/>
      <c r="X1536" s="711">
        <f t="shared" si="6133"/>
        <v>0</v>
      </c>
      <c r="Y1536" s="897"/>
      <c r="Z1536" s="528"/>
      <c r="AA1536" s="899"/>
      <c r="AB1536" s="899"/>
      <c r="AC1536" s="904"/>
      <c r="AD1536" s="901"/>
      <c r="AE1536" s="2"/>
      <c r="AF1536" s="885"/>
      <c r="AG1536" s="885"/>
      <c r="AH1536" s="885"/>
      <c r="AI1536" s="885"/>
      <c r="AJ1536" s="885"/>
      <c r="AK1536" s="885"/>
      <c r="AL1536" s="885"/>
      <c r="AM1536" s="879"/>
      <c r="AN1536" s="2"/>
      <c r="AO1536" s="886"/>
      <c r="AP1536" s="886"/>
      <c r="AV1536" t="str">
        <f t="shared" si="5923"/>
        <v>Drenagem Superficial</v>
      </c>
      <c r="AW1536" s="4" t="str">
        <f t="shared" si="5914"/>
        <v xml:space="preserve">   Construção de sarjeta de corte</v>
      </c>
    </row>
    <row r="1537" spans="1:49" ht="15.6" hidden="1" customHeight="1" outlineLevel="2">
      <c r="A1537" s="8" t="str">
        <f t="shared" ref="A1537" si="6156">IF(SUM(P1537:V1538)&gt;0,"S","N")</f>
        <v>N</v>
      </c>
      <c r="B1537" s="150">
        <v>1061524</v>
      </c>
      <c r="C1537" s="150" t="s">
        <v>1858</v>
      </c>
      <c r="D1537" s="120" t="s">
        <v>1273</v>
      </c>
      <c r="E1537" s="914" t="s">
        <v>1859</v>
      </c>
      <c r="F1537" s="902" t="s">
        <v>52</v>
      </c>
      <c r="G1537" s="528"/>
      <c r="H1537" s="546" t="s">
        <v>37</v>
      </c>
      <c r="I1537" s="711">
        <v>0</v>
      </c>
      <c r="J1537" s="896" t="str">
        <f t="shared" ref="J1537" si="6157">IFERROR((I1538/I1537),"-")</f>
        <v>-</v>
      </c>
      <c r="K1537" s="528"/>
      <c r="L1537" s="546" t="s">
        <v>37</v>
      </c>
      <c r="M1537" s="711">
        <f t="shared" si="6140"/>
        <v>0</v>
      </c>
      <c r="N1537" s="896" t="str">
        <f t="shared" ref="N1537" si="6158">IFERROR((M1538/M1537),"-")</f>
        <v>-</v>
      </c>
      <c r="O1537" s="528"/>
      <c r="P1537" s="547">
        <v>0</v>
      </c>
      <c r="Q1537" s="547">
        <v>0</v>
      </c>
      <c r="R1537" s="547">
        <v>0</v>
      </c>
      <c r="S1537" s="547">
        <v>0</v>
      </c>
      <c r="T1537" s="547">
        <v>0</v>
      </c>
      <c r="U1537" s="547">
        <v>0</v>
      </c>
      <c r="V1537" s="548">
        <v>0</v>
      </c>
      <c r="W1537" s="528"/>
      <c r="X1537" s="711">
        <f t="shared" si="6133"/>
        <v>0</v>
      </c>
      <c r="Y1537" s="896" t="str">
        <f t="shared" ref="Y1537" si="6159">IFERROR((X1538/X1537),"-")</f>
        <v>-</v>
      </c>
      <c r="Z1537" s="528"/>
      <c r="AA1537" s="898">
        <v>0</v>
      </c>
      <c r="AB1537" s="898">
        <v>0</v>
      </c>
      <c r="AC1537" s="903">
        <v>0</v>
      </c>
      <c r="AD1537" s="900" t="str">
        <f t="shared" ref="AD1537" si="6160">IFERROR((AC1537/AB1537),"-")</f>
        <v>-</v>
      </c>
      <c r="AE1537" s="2"/>
      <c r="AF1537" s="884">
        <v>2380.2080000000001</v>
      </c>
      <c r="AG1537" s="884"/>
      <c r="AH1537" s="884">
        <v>0</v>
      </c>
      <c r="AI1537" s="884"/>
      <c r="AJ1537" s="884"/>
      <c r="AK1537" s="884">
        <f t="shared" ref="AK1537" si="6161">AF1537+AG1537+AH1537+AI1537+AJ1537+AC1537</f>
        <v>2380.2080000000001</v>
      </c>
      <c r="AL1537" s="884">
        <v>891</v>
      </c>
      <c r="AM1537" s="878">
        <f t="shared" ref="AM1537" si="6162">IFERROR((AK1537/AL1537),"-")</f>
        <v>2.6713894500561168</v>
      </c>
      <c r="AN1537" s="2"/>
      <c r="AO1537" s="884">
        <v>891</v>
      </c>
      <c r="AP1537" s="884">
        <f t="shared" ref="AP1537" si="6163">AO1537-AK1537</f>
        <v>-1489.2080000000001</v>
      </c>
      <c r="AV1537" t="str">
        <f t="shared" si="5923"/>
        <v>Drenagem Superficial</v>
      </c>
      <c r="AW1537" s="4" t="str">
        <f t="shared" si="5914"/>
        <v xml:space="preserve">   Seg. 2.3-A12 - Drenagem Superficial - Sarjeta de aterro (Km 124+620 a 125+180)</v>
      </c>
    </row>
    <row r="1538" spans="1:49" ht="15.6" hidden="1" customHeight="1" outlineLevel="2">
      <c r="A1538" s="8" t="str">
        <f t="shared" ref="A1538" si="6164">A1537</f>
        <v>N</v>
      </c>
      <c r="B1538" s="150"/>
      <c r="C1538" s="150" t="s">
        <v>1858</v>
      </c>
      <c r="D1538" s="120" t="s">
        <v>1273</v>
      </c>
      <c r="E1538" s="915"/>
      <c r="F1538" s="902"/>
      <c r="G1538" s="528"/>
      <c r="H1538" s="549" t="s">
        <v>38</v>
      </c>
      <c r="I1538" s="711">
        <v>0</v>
      </c>
      <c r="J1538" s="897"/>
      <c r="K1538" s="528"/>
      <c r="L1538" s="549" t="s">
        <v>38</v>
      </c>
      <c r="M1538" s="711">
        <f t="shared" si="6140"/>
        <v>0</v>
      </c>
      <c r="N1538" s="897"/>
      <c r="O1538" s="528"/>
      <c r="P1538" s="548">
        <v>0</v>
      </c>
      <c r="Q1538" s="548">
        <v>0</v>
      </c>
      <c r="R1538" s="548">
        <v>0</v>
      </c>
      <c r="S1538" s="548">
        <v>0</v>
      </c>
      <c r="T1538" s="548">
        <v>0</v>
      </c>
      <c r="U1538" s="548">
        <v>0</v>
      </c>
      <c r="V1538" s="548">
        <v>0</v>
      </c>
      <c r="W1538" s="528"/>
      <c r="X1538" s="711">
        <f t="shared" si="6133"/>
        <v>0</v>
      </c>
      <c r="Y1538" s="897"/>
      <c r="Z1538" s="528"/>
      <c r="AA1538" s="899"/>
      <c r="AB1538" s="899"/>
      <c r="AC1538" s="904"/>
      <c r="AD1538" s="901"/>
      <c r="AE1538" s="2"/>
      <c r="AF1538" s="885"/>
      <c r="AG1538" s="885"/>
      <c r="AH1538" s="885"/>
      <c r="AI1538" s="885"/>
      <c r="AJ1538" s="885"/>
      <c r="AK1538" s="885"/>
      <c r="AL1538" s="885"/>
      <c r="AM1538" s="879"/>
      <c r="AN1538" s="2"/>
      <c r="AO1538" s="886"/>
      <c r="AP1538" s="886"/>
      <c r="AV1538" t="str">
        <f t="shared" si="5923"/>
        <v>Drenagem Superficial</v>
      </c>
      <c r="AW1538" s="4" t="str">
        <f t="shared" si="5914"/>
        <v xml:space="preserve">   Seg. 2.3-A12 - Drenagem Superficial - Sarjeta de aterro (Km 124+620 a 125+180)</v>
      </c>
    </row>
    <row r="1539" spans="1:49" ht="15.6" hidden="1" customHeight="1" outlineLevel="2">
      <c r="A1539" s="8" t="str">
        <f t="shared" ref="A1539" si="6165">IF(SUM(P1539:V1540)&gt;0,"S","N")</f>
        <v>N</v>
      </c>
      <c r="B1539" s="150">
        <v>1061670</v>
      </c>
      <c r="C1539" s="150" t="s">
        <v>1860</v>
      </c>
      <c r="D1539" s="120" t="s">
        <v>315</v>
      </c>
      <c r="E1539" s="914" t="s">
        <v>1861</v>
      </c>
      <c r="F1539" s="902" t="s">
        <v>52</v>
      </c>
      <c r="G1539" s="528"/>
      <c r="H1539" s="546" t="s">
        <v>37</v>
      </c>
      <c r="I1539" s="711">
        <v>0</v>
      </c>
      <c r="J1539" s="896" t="str">
        <f t="shared" ref="J1539" si="6166">IFERROR((I1540/I1539),"-")</f>
        <v>-</v>
      </c>
      <c r="K1539" s="528"/>
      <c r="L1539" s="546" t="s">
        <v>37</v>
      </c>
      <c r="M1539" s="711">
        <f t="shared" si="6140"/>
        <v>0</v>
      </c>
      <c r="N1539" s="896" t="str">
        <f t="shared" ref="N1539" si="6167">IFERROR((M1540/M1539),"-")</f>
        <v>-</v>
      </c>
      <c r="O1539" s="528"/>
      <c r="P1539" s="547">
        <v>0</v>
      </c>
      <c r="Q1539" s="547">
        <v>0</v>
      </c>
      <c r="R1539" s="547">
        <v>0</v>
      </c>
      <c r="S1539" s="547">
        <v>0</v>
      </c>
      <c r="T1539" s="547">
        <v>0</v>
      </c>
      <c r="U1539" s="547">
        <v>0</v>
      </c>
      <c r="V1539" s="548">
        <v>0</v>
      </c>
      <c r="W1539" s="528"/>
      <c r="X1539" s="711">
        <f t="shared" si="6133"/>
        <v>0</v>
      </c>
      <c r="Y1539" s="896" t="str">
        <f>IFERROR((X1540/X1539),"-")</f>
        <v>-</v>
      </c>
      <c r="Z1539" s="528"/>
      <c r="AA1539" s="898">
        <v>0</v>
      </c>
      <c r="AB1539" s="898">
        <v>0</v>
      </c>
      <c r="AC1539" s="903">
        <v>0</v>
      </c>
      <c r="AD1539" s="900" t="str">
        <f t="shared" ref="AD1539" si="6168">IFERROR((AC1539/AB1539),"-")</f>
        <v>-</v>
      </c>
      <c r="AE1539" s="2"/>
      <c r="AF1539" s="884">
        <v>1859.7260000000001</v>
      </c>
      <c r="AG1539" s="884"/>
      <c r="AH1539" s="884">
        <v>0</v>
      </c>
      <c r="AI1539" s="884"/>
      <c r="AJ1539" s="884"/>
      <c r="AK1539" s="884">
        <f t="shared" ref="AK1539" si="6169">AF1539+AG1539+AH1539+AI1539+AJ1539+AC1539</f>
        <v>1859.7260000000001</v>
      </c>
      <c r="AL1539" s="884">
        <v>497</v>
      </c>
      <c r="AM1539" s="878">
        <f t="shared" ref="AM1539" si="6170">IFERROR((AK1539/AL1539),"-")</f>
        <v>3.7419034205231392</v>
      </c>
      <c r="AN1539" s="2"/>
      <c r="AO1539" s="884">
        <v>497</v>
      </c>
      <c r="AP1539" s="884">
        <f t="shared" ref="AP1539" si="6171">AO1539-AK1539</f>
        <v>-1362.7260000000001</v>
      </c>
      <c r="AV1539" t="str">
        <f t="shared" si="5923"/>
        <v>Drenagem Superficial</v>
      </c>
      <c r="AW1539" s="4" t="str">
        <f t="shared" si="5914"/>
        <v xml:space="preserve">   Seg. 2.3-C01 - Drenagem Superficial - Sarjeta de corte (Km 116+680 a 116+940)</v>
      </c>
    </row>
    <row r="1540" spans="1:49" ht="15.6" hidden="1" customHeight="1" outlineLevel="2">
      <c r="A1540" s="8" t="str">
        <f t="shared" ref="A1540" si="6172">A1539</f>
        <v>N</v>
      </c>
      <c r="B1540" s="150"/>
      <c r="C1540" s="150" t="s">
        <v>1860</v>
      </c>
      <c r="D1540" s="120" t="s">
        <v>315</v>
      </c>
      <c r="E1540" s="915"/>
      <c r="F1540" s="902"/>
      <c r="G1540" s="528"/>
      <c r="H1540" s="549" t="s">
        <v>38</v>
      </c>
      <c r="I1540" s="711">
        <v>0</v>
      </c>
      <c r="J1540" s="897"/>
      <c r="K1540" s="528"/>
      <c r="L1540" s="549" t="s">
        <v>38</v>
      </c>
      <c r="M1540" s="711">
        <f t="shared" si="6140"/>
        <v>0</v>
      </c>
      <c r="N1540" s="897"/>
      <c r="O1540" s="528"/>
      <c r="P1540" s="548">
        <v>0</v>
      </c>
      <c r="Q1540" s="548">
        <v>0</v>
      </c>
      <c r="R1540" s="548">
        <v>0</v>
      </c>
      <c r="S1540" s="548">
        <v>0</v>
      </c>
      <c r="T1540" s="548">
        <v>0</v>
      </c>
      <c r="U1540" s="548">
        <v>0</v>
      </c>
      <c r="V1540" s="548">
        <v>0</v>
      </c>
      <c r="W1540" s="528"/>
      <c r="X1540" s="711">
        <f t="shared" si="6133"/>
        <v>0</v>
      </c>
      <c r="Y1540" s="897"/>
      <c r="Z1540" s="528"/>
      <c r="AA1540" s="899"/>
      <c r="AB1540" s="899"/>
      <c r="AC1540" s="904"/>
      <c r="AD1540" s="901"/>
      <c r="AE1540" s="2"/>
      <c r="AF1540" s="885"/>
      <c r="AG1540" s="885"/>
      <c r="AH1540" s="885"/>
      <c r="AI1540" s="885"/>
      <c r="AJ1540" s="885"/>
      <c r="AK1540" s="885"/>
      <c r="AL1540" s="885"/>
      <c r="AM1540" s="879"/>
      <c r="AN1540" s="2"/>
      <c r="AO1540" s="886"/>
      <c r="AP1540" s="886"/>
      <c r="AV1540" t="str">
        <f t="shared" si="5923"/>
        <v>Drenagem Superficial</v>
      </c>
      <c r="AW1540" s="4" t="str">
        <f t="shared" si="5914"/>
        <v xml:space="preserve">   Seg. 2.3-C01 - Drenagem Superficial - Sarjeta de corte (Km 116+680 a 116+940)</v>
      </c>
    </row>
    <row r="1541" spans="1:49" ht="15.6" hidden="1" customHeight="1" outlineLevel="2">
      <c r="A1541" s="8" t="str">
        <f t="shared" ref="A1541" si="6173">IF(SUM(P1541:V1542)&gt;0,"S","N")</f>
        <v>N</v>
      </c>
      <c r="B1541" s="150">
        <v>1061672</v>
      </c>
      <c r="C1541" s="150" t="s">
        <v>1862</v>
      </c>
      <c r="D1541" s="120" t="s">
        <v>318</v>
      </c>
      <c r="E1541" s="914" t="s">
        <v>1863</v>
      </c>
      <c r="F1541" s="902" t="s">
        <v>52</v>
      </c>
      <c r="G1541" s="528"/>
      <c r="H1541" s="546" t="s">
        <v>37</v>
      </c>
      <c r="I1541" s="711">
        <v>0</v>
      </c>
      <c r="J1541" s="896" t="str">
        <f t="shared" ref="J1541" si="6174">IFERROR((I1542/I1541),"-")</f>
        <v>-</v>
      </c>
      <c r="K1541" s="528"/>
      <c r="L1541" s="546" t="s">
        <v>37</v>
      </c>
      <c r="M1541" s="711">
        <f t="shared" si="6140"/>
        <v>0</v>
      </c>
      <c r="N1541" s="896" t="str">
        <f t="shared" ref="N1541" si="6175">IFERROR((M1542/M1541),"-")</f>
        <v>-</v>
      </c>
      <c r="O1541" s="528"/>
      <c r="P1541" s="547">
        <v>0</v>
      </c>
      <c r="Q1541" s="547">
        <v>0</v>
      </c>
      <c r="R1541" s="547">
        <v>0</v>
      </c>
      <c r="S1541" s="547">
        <v>0</v>
      </c>
      <c r="T1541" s="547">
        <v>0</v>
      </c>
      <c r="U1541" s="547">
        <v>0</v>
      </c>
      <c r="V1541" s="548">
        <v>0</v>
      </c>
      <c r="W1541" s="528"/>
      <c r="X1541" s="711">
        <f t="shared" si="6133"/>
        <v>0</v>
      </c>
      <c r="Y1541" s="896" t="str">
        <f>IFERROR((X1542/X1541),"-")</f>
        <v>-</v>
      </c>
      <c r="Z1541" s="528"/>
      <c r="AA1541" s="898">
        <v>0</v>
      </c>
      <c r="AB1541" s="898">
        <v>0</v>
      </c>
      <c r="AC1541" s="903">
        <v>0</v>
      </c>
      <c r="AD1541" s="900" t="str">
        <f t="shared" ref="AD1541" si="6176">IFERROR((AC1541/AB1541),"-")</f>
        <v>-</v>
      </c>
      <c r="AE1541" s="2"/>
      <c r="AF1541" s="884">
        <v>947.91099999999994</v>
      </c>
      <c r="AG1541" s="884"/>
      <c r="AH1541" s="884">
        <v>0</v>
      </c>
      <c r="AI1541" s="884"/>
      <c r="AJ1541" s="884"/>
      <c r="AK1541" s="884">
        <f t="shared" ref="AK1541" si="6177">AF1541+AG1541+AH1541+AI1541+AJ1541+AC1541</f>
        <v>947.91099999999994</v>
      </c>
      <c r="AL1541" s="884">
        <v>307</v>
      </c>
      <c r="AM1541" s="878">
        <f t="shared" ref="AM1541" si="6178">IFERROR((AK1541/AL1541),"-")</f>
        <v>3.0876579804560258</v>
      </c>
      <c r="AN1541" s="2"/>
      <c r="AO1541" s="884">
        <v>307</v>
      </c>
      <c r="AP1541" s="884">
        <f t="shared" ref="AP1541" si="6179">AO1541-AK1541</f>
        <v>-640.91099999999994</v>
      </c>
      <c r="AV1541" t="str">
        <f t="shared" si="5923"/>
        <v>Drenagem Superficial</v>
      </c>
      <c r="AW1541" s="4" t="str">
        <f t="shared" si="5914"/>
        <v xml:space="preserve">   Seg. 2.3-C02 - Drenagem Superficial - Sarjeta de corte (Km 118+680 a 118+180)</v>
      </c>
    </row>
    <row r="1542" spans="1:49" ht="15.6" hidden="1" customHeight="1" outlineLevel="2">
      <c r="A1542" s="8" t="str">
        <f t="shared" ref="A1542" si="6180">A1541</f>
        <v>N</v>
      </c>
      <c r="B1542" s="150"/>
      <c r="C1542" s="150" t="s">
        <v>1862</v>
      </c>
      <c r="D1542" s="120" t="s">
        <v>318</v>
      </c>
      <c r="E1542" s="915"/>
      <c r="F1542" s="902"/>
      <c r="G1542" s="528"/>
      <c r="H1542" s="549" t="s">
        <v>38</v>
      </c>
      <c r="I1542" s="711">
        <v>0</v>
      </c>
      <c r="J1542" s="897"/>
      <c r="K1542" s="528"/>
      <c r="L1542" s="549" t="s">
        <v>38</v>
      </c>
      <c r="M1542" s="711">
        <f t="shared" si="6140"/>
        <v>0</v>
      </c>
      <c r="N1542" s="897"/>
      <c r="O1542" s="528"/>
      <c r="P1542" s="548">
        <v>0</v>
      </c>
      <c r="Q1542" s="548">
        <v>0</v>
      </c>
      <c r="R1542" s="548">
        <v>0</v>
      </c>
      <c r="S1542" s="548">
        <v>0</v>
      </c>
      <c r="T1542" s="548">
        <v>0</v>
      </c>
      <c r="U1542" s="548">
        <v>0</v>
      </c>
      <c r="V1542" s="548">
        <v>0</v>
      </c>
      <c r="W1542" s="528"/>
      <c r="X1542" s="711">
        <f t="shared" si="6133"/>
        <v>0</v>
      </c>
      <c r="Y1542" s="897"/>
      <c r="Z1542" s="528"/>
      <c r="AA1542" s="899"/>
      <c r="AB1542" s="899"/>
      <c r="AC1542" s="904"/>
      <c r="AD1542" s="901"/>
      <c r="AE1542" s="2"/>
      <c r="AF1542" s="885"/>
      <c r="AG1542" s="885"/>
      <c r="AH1542" s="885"/>
      <c r="AI1542" s="885"/>
      <c r="AJ1542" s="885"/>
      <c r="AK1542" s="885"/>
      <c r="AL1542" s="885"/>
      <c r="AM1542" s="879"/>
      <c r="AN1542" s="2"/>
      <c r="AO1542" s="886"/>
      <c r="AP1542" s="886"/>
      <c r="AV1542" t="str">
        <f t="shared" si="5923"/>
        <v>Drenagem Superficial</v>
      </c>
      <c r="AW1542" s="4" t="str">
        <f t="shared" si="5914"/>
        <v xml:space="preserve">   Seg. 2.3-C02 - Drenagem Superficial - Sarjeta de corte (Km 118+680 a 118+180)</v>
      </c>
    </row>
    <row r="1543" spans="1:49" ht="14.45" hidden="1" customHeight="1" outlineLevel="2">
      <c r="A1543" s="8" t="str">
        <f t="shared" ref="A1543" si="6181">IF(SUM(P1543:V1544)&gt;0,"S","N")</f>
        <v>N</v>
      </c>
      <c r="B1543" s="150">
        <v>1061674</v>
      </c>
      <c r="C1543" s="150" t="s">
        <v>1864</v>
      </c>
      <c r="D1543" s="120" t="s">
        <v>292</v>
      </c>
      <c r="E1543" s="914" t="s">
        <v>1865</v>
      </c>
      <c r="F1543" s="902" t="s">
        <v>52</v>
      </c>
      <c r="G1543" s="528"/>
      <c r="H1543" s="546" t="s">
        <v>37</v>
      </c>
      <c r="I1543" s="711">
        <v>0</v>
      </c>
      <c r="J1543" s="896" t="str">
        <f t="shared" ref="J1543" si="6182">IFERROR((I1544/I1543),"-")</f>
        <v>-</v>
      </c>
      <c r="K1543" s="528"/>
      <c r="L1543" s="546" t="s">
        <v>37</v>
      </c>
      <c r="M1543" s="711">
        <f t="shared" si="6140"/>
        <v>0</v>
      </c>
      <c r="N1543" s="896" t="str">
        <f t="shared" ref="N1543" si="6183">IFERROR((M1544/M1543),"-")</f>
        <v>-</v>
      </c>
      <c r="O1543" s="528"/>
      <c r="P1543" s="547">
        <v>0</v>
      </c>
      <c r="Q1543" s="547">
        <v>0</v>
      </c>
      <c r="R1543" s="547">
        <v>0</v>
      </c>
      <c r="S1543" s="547">
        <v>0</v>
      </c>
      <c r="T1543" s="547">
        <v>0</v>
      </c>
      <c r="U1543" s="547">
        <v>0</v>
      </c>
      <c r="V1543" s="548">
        <v>0</v>
      </c>
      <c r="W1543" s="528"/>
      <c r="X1543" s="711">
        <f t="shared" si="6133"/>
        <v>0</v>
      </c>
      <c r="Y1543" s="896" t="str">
        <f>IFERROR((X1544/X1543),"-")</f>
        <v>-</v>
      </c>
      <c r="Z1543" s="528"/>
      <c r="AA1543" s="898">
        <v>0</v>
      </c>
      <c r="AB1543" s="898">
        <v>0</v>
      </c>
      <c r="AC1543" s="903">
        <v>0</v>
      </c>
      <c r="AD1543" s="900" t="str">
        <f t="shared" ref="AD1543" si="6184">IFERROR((AC1543/AB1543),"-")</f>
        <v>-</v>
      </c>
      <c r="AE1543" s="2"/>
      <c r="AF1543" s="884">
        <v>405.37700000000001</v>
      </c>
      <c r="AG1543" s="884"/>
      <c r="AH1543" s="884">
        <v>0</v>
      </c>
      <c r="AI1543" s="884"/>
      <c r="AJ1543" s="884"/>
      <c r="AK1543" s="884">
        <f t="shared" ref="AK1543" si="6185">AF1543+AG1543+AH1543+AI1543+AJ1543+AC1543</f>
        <v>405.37700000000001</v>
      </c>
      <c r="AL1543" s="884">
        <v>409</v>
      </c>
      <c r="AM1543" s="878">
        <f t="shared" ref="AM1543" si="6186">IFERROR((AK1543/AL1543),"-")</f>
        <v>0.99114180929095352</v>
      </c>
      <c r="AN1543" s="2"/>
      <c r="AO1543" s="884">
        <v>409</v>
      </c>
      <c r="AP1543" s="884">
        <f t="shared" ref="AP1543" si="6187">AO1543-AK1543</f>
        <v>3.6229999999999905</v>
      </c>
      <c r="AV1543" t="str">
        <f t="shared" si="5923"/>
        <v>Drenagem Superficial</v>
      </c>
      <c r="AW1543" s="4" t="str">
        <f t="shared" si="5914"/>
        <v xml:space="preserve">   Seg. 2.3-C03 - Drenagem Superficial -Sarjeta de corte (Km 118+300 a 118+500)</v>
      </c>
    </row>
    <row r="1544" spans="1:49" ht="15.6" hidden="1" customHeight="1" outlineLevel="2">
      <c r="A1544" s="8" t="str">
        <f t="shared" ref="A1544" si="6188">A1543</f>
        <v>N</v>
      </c>
      <c r="B1544" s="150"/>
      <c r="C1544" s="150" t="s">
        <v>1864</v>
      </c>
      <c r="D1544" s="120" t="s">
        <v>292</v>
      </c>
      <c r="E1544" s="915"/>
      <c r="F1544" s="902"/>
      <c r="G1544" s="528"/>
      <c r="H1544" s="549" t="s">
        <v>38</v>
      </c>
      <c r="I1544" s="711">
        <v>0</v>
      </c>
      <c r="J1544" s="897"/>
      <c r="K1544" s="528"/>
      <c r="L1544" s="549" t="s">
        <v>38</v>
      </c>
      <c r="M1544" s="711">
        <f t="shared" si="6140"/>
        <v>0</v>
      </c>
      <c r="N1544" s="897"/>
      <c r="O1544" s="528"/>
      <c r="P1544" s="548">
        <v>0</v>
      </c>
      <c r="Q1544" s="548">
        <v>0</v>
      </c>
      <c r="R1544" s="548">
        <v>0</v>
      </c>
      <c r="S1544" s="548">
        <v>0</v>
      </c>
      <c r="T1544" s="548">
        <v>0</v>
      </c>
      <c r="U1544" s="548">
        <v>0</v>
      </c>
      <c r="V1544" s="548">
        <v>0</v>
      </c>
      <c r="W1544" s="528"/>
      <c r="X1544" s="711">
        <f t="shared" si="6133"/>
        <v>0</v>
      </c>
      <c r="Y1544" s="897"/>
      <c r="Z1544" s="528"/>
      <c r="AA1544" s="899"/>
      <c r="AB1544" s="899"/>
      <c r="AC1544" s="904"/>
      <c r="AD1544" s="901"/>
      <c r="AE1544" s="2"/>
      <c r="AF1544" s="885"/>
      <c r="AG1544" s="885"/>
      <c r="AH1544" s="885"/>
      <c r="AI1544" s="885"/>
      <c r="AJ1544" s="885"/>
      <c r="AK1544" s="885"/>
      <c r="AL1544" s="885"/>
      <c r="AM1544" s="879"/>
      <c r="AN1544" s="2"/>
      <c r="AO1544" s="886"/>
      <c r="AP1544" s="886"/>
      <c r="AV1544" t="str">
        <f t="shared" si="5923"/>
        <v>Drenagem Superficial</v>
      </c>
      <c r="AW1544" s="4" t="str">
        <f t="shared" si="5914"/>
        <v xml:space="preserve">   Seg. 2.3-C03 - Drenagem Superficial -Sarjeta de corte (Km 118+300 a 118+500)</v>
      </c>
    </row>
    <row r="1545" spans="1:49" ht="15.6" hidden="1" customHeight="1" outlineLevel="2">
      <c r="A1545" s="8" t="str">
        <f t="shared" ref="A1545" si="6189">IF(SUM(P1545:V1546)&gt;0,"S","N")</f>
        <v>N</v>
      </c>
      <c r="B1545" s="150">
        <v>1061676</v>
      </c>
      <c r="C1545" s="150" t="s">
        <v>1866</v>
      </c>
      <c r="D1545" s="120" t="s">
        <v>321</v>
      </c>
      <c r="E1545" s="914" t="s">
        <v>1867</v>
      </c>
      <c r="F1545" s="902" t="s">
        <v>52</v>
      </c>
      <c r="G1545" s="528"/>
      <c r="H1545" s="546" t="s">
        <v>37</v>
      </c>
      <c r="I1545" s="711">
        <v>0</v>
      </c>
      <c r="J1545" s="896" t="str">
        <f t="shared" ref="J1545" si="6190">IFERROR((I1546/I1545),"-")</f>
        <v>-</v>
      </c>
      <c r="K1545" s="528"/>
      <c r="L1545" s="546" t="s">
        <v>37</v>
      </c>
      <c r="M1545" s="711">
        <f t="shared" si="6140"/>
        <v>0</v>
      </c>
      <c r="N1545" s="896" t="str">
        <f t="shared" ref="N1545" si="6191">IFERROR((M1546/M1545),"-")</f>
        <v>-</v>
      </c>
      <c r="O1545" s="528"/>
      <c r="P1545" s="547">
        <v>0</v>
      </c>
      <c r="Q1545" s="547">
        <v>0</v>
      </c>
      <c r="R1545" s="547">
        <v>0</v>
      </c>
      <c r="S1545" s="547">
        <v>0</v>
      </c>
      <c r="T1545" s="547">
        <v>0</v>
      </c>
      <c r="U1545" s="547">
        <v>0</v>
      </c>
      <c r="V1545" s="548">
        <v>0</v>
      </c>
      <c r="W1545" s="528"/>
      <c r="X1545" s="711">
        <f t="shared" si="6133"/>
        <v>0</v>
      </c>
      <c r="Y1545" s="896" t="str">
        <f t="shared" ref="Y1545" si="6192">IFERROR((X1546/X1545),"-")</f>
        <v>-</v>
      </c>
      <c r="Z1545" s="528"/>
      <c r="AA1545" s="898">
        <v>0</v>
      </c>
      <c r="AB1545" s="898">
        <v>0</v>
      </c>
      <c r="AC1545" s="903">
        <v>0</v>
      </c>
      <c r="AD1545" s="900" t="str">
        <f t="shared" ref="AD1545" si="6193">IFERROR((AC1545/AB1545),"-")</f>
        <v>-</v>
      </c>
      <c r="AE1545" s="2"/>
      <c r="AF1545" s="884"/>
      <c r="AG1545" s="884"/>
      <c r="AH1545" s="884">
        <v>0</v>
      </c>
      <c r="AI1545" s="884"/>
      <c r="AJ1545" s="884"/>
      <c r="AK1545" s="884">
        <f t="shared" ref="AK1545" si="6194">AF1545+AG1545+AH1545+AI1545+AJ1545+AC1545</f>
        <v>0</v>
      </c>
      <c r="AL1545" s="884">
        <v>0</v>
      </c>
      <c r="AM1545" s="878" t="str">
        <f t="shared" ref="AM1545" si="6195">IFERROR((AK1545/AL1545),"-")</f>
        <v>-</v>
      </c>
      <c r="AN1545" s="2"/>
      <c r="AO1545" s="884">
        <v>1410</v>
      </c>
      <c r="AP1545" s="884">
        <f t="shared" ref="AP1545" si="6196">AO1545-AK1545</f>
        <v>1410</v>
      </c>
      <c r="AV1545" t="str">
        <f t="shared" si="5923"/>
        <v>Drenagem Superficial</v>
      </c>
      <c r="AW1545" s="4" t="str">
        <f t="shared" ref="AW1545:AW1608" si="6197">IF(E1545&lt;&gt;"",E1545,AW1544)</f>
        <v xml:space="preserve">   Seg. 2.3-C04 - Drenagem Superficial - Sarjeta de corte (Km 118+580 a 120+020)</v>
      </c>
    </row>
    <row r="1546" spans="1:49" ht="15.6" hidden="1" customHeight="1" outlineLevel="2">
      <c r="A1546" s="8" t="str">
        <f t="shared" ref="A1546" si="6198">A1545</f>
        <v>N</v>
      </c>
      <c r="B1546" s="150"/>
      <c r="C1546" s="150" t="s">
        <v>1866</v>
      </c>
      <c r="D1546" s="120" t="s">
        <v>321</v>
      </c>
      <c r="E1546" s="915"/>
      <c r="F1546" s="902"/>
      <c r="G1546" s="528"/>
      <c r="H1546" s="549" t="s">
        <v>38</v>
      </c>
      <c r="I1546" s="711">
        <v>0</v>
      </c>
      <c r="J1546" s="897"/>
      <c r="K1546" s="528"/>
      <c r="L1546" s="549" t="s">
        <v>38</v>
      </c>
      <c r="M1546" s="711">
        <f t="shared" si="6140"/>
        <v>0</v>
      </c>
      <c r="N1546" s="897"/>
      <c r="O1546" s="528"/>
      <c r="P1546" s="548">
        <v>0</v>
      </c>
      <c r="Q1546" s="548">
        <v>0</v>
      </c>
      <c r="R1546" s="548">
        <v>0</v>
      </c>
      <c r="S1546" s="548">
        <v>0</v>
      </c>
      <c r="T1546" s="548">
        <v>0</v>
      </c>
      <c r="U1546" s="548">
        <v>0</v>
      </c>
      <c r="V1546" s="548">
        <v>0</v>
      </c>
      <c r="W1546" s="528"/>
      <c r="X1546" s="711">
        <f t="shared" si="6133"/>
        <v>0</v>
      </c>
      <c r="Y1546" s="897"/>
      <c r="Z1546" s="528"/>
      <c r="AA1546" s="899"/>
      <c r="AB1546" s="899"/>
      <c r="AC1546" s="904"/>
      <c r="AD1546" s="901"/>
      <c r="AE1546" s="2"/>
      <c r="AF1546" s="885"/>
      <c r="AG1546" s="885"/>
      <c r="AH1546" s="885"/>
      <c r="AI1546" s="885"/>
      <c r="AJ1546" s="885"/>
      <c r="AK1546" s="885"/>
      <c r="AL1546" s="885"/>
      <c r="AM1546" s="879"/>
      <c r="AN1546" s="2"/>
      <c r="AO1546" s="886"/>
      <c r="AP1546" s="886"/>
      <c r="AV1546" t="str">
        <f t="shared" ref="AV1546:AV1609" si="6199">IF(AX1546="Y",LEFT(E1546,20),IF(AX1546="x",E1546,AV1545))</f>
        <v>Drenagem Superficial</v>
      </c>
      <c r="AW1546" s="4" t="str">
        <f t="shared" si="6197"/>
        <v xml:space="preserve">   Seg. 2.3-C04 - Drenagem Superficial - Sarjeta de corte (Km 118+580 a 120+020)</v>
      </c>
    </row>
    <row r="1547" spans="1:49" ht="15.6" hidden="1" customHeight="1" outlineLevel="2">
      <c r="A1547" s="8" t="str">
        <f t="shared" ref="A1547" si="6200">IF(SUM(P1547:V1548)&gt;0,"S","N")</f>
        <v>N</v>
      </c>
      <c r="B1547" s="150">
        <v>1061680</v>
      </c>
      <c r="C1547" s="150" t="s">
        <v>1868</v>
      </c>
      <c r="D1547" s="120" t="s">
        <v>324</v>
      </c>
      <c r="E1547" s="914" t="s">
        <v>1869</v>
      </c>
      <c r="F1547" s="902" t="s">
        <v>52</v>
      </c>
      <c r="G1547" s="528"/>
      <c r="H1547" s="546" t="s">
        <v>37</v>
      </c>
      <c r="I1547" s="711">
        <v>0</v>
      </c>
      <c r="J1547" s="896" t="str">
        <f t="shared" ref="J1547" si="6201">IFERROR((I1548/I1547),"-")</f>
        <v>-</v>
      </c>
      <c r="K1547" s="528"/>
      <c r="L1547" s="546" t="s">
        <v>37</v>
      </c>
      <c r="M1547" s="711">
        <f t="shared" si="6140"/>
        <v>0</v>
      </c>
      <c r="N1547" s="896" t="str">
        <f t="shared" ref="N1547" si="6202">IFERROR((M1548/M1547),"-")</f>
        <v>-</v>
      </c>
      <c r="O1547" s="528"/>
      <c r="P1547" s="547">
        <v>0</v>
      </c>
      <c r="Q1547" s="547">
        <v>0</v>
      </c>
      <c r="R1547" s="547">
        <v>0</v>
      </c>
      <c r="S1547" s="547">
        <v>0</v>
      </c>
      <c r="T1547" s="547">
        <v>0</v>
      </c>
      <c r="U1547" s="547">
        <v>0</v>
      </c>
      <c r="V1547" s="548">
        <v>0</v>
      </c>
      <c r="W1547" s="528"/>
      <c r="X1547" s="711">
        <f t="shared" si="6133"/>
        <v>0</v>
      </c>
      <c r="Y1547" s="896" t="str">
        <f>IFERROR((X1548/X1547),"-")</f>
        <v>-</v>
      </c>
      <c r="Z1547" s="528"/>
      <c r="AA1547" s="898">
        <v>1142</v>
      </c>
      <c r="AB1547" s="898">
        <v>0</v>
      </c>
      <c r="AC1547" s="903">
        <v>0</v>
      </c>
      <c r="AD1547" s="900" t="str">
        <f t="shared" ref="AD1547" si="6203">IFERROR((AC1547/AB1547),"-")</f>
        <v>-</v>
      </c>
      <c r="AE1547" s="2"/>
      <c r="AF1547" s="884"/>
      <c r="AG1547" s="884"/>
      <c r="AH1547" s="884">
        <v>0</v>
      </c>
      <c r="AI1547" s="884"/>
      <c r="AJ1547" s="884"/>
      <c r="AK1547" s="884">
        <f t="shared" ref="AK1547" si="6204">AF1547+AG1547+AH1547+AI1547+AJ1547+AC1547</f>
        <v>0</v>
      </c>
      <c r="AL1547" s="884">
        <v>0</v>
      </c>
      <c r="AM1547" s="878" t="str">
        <f t="shared" ref="AM1547" si="6205">IFERROR((AK1547/AL1547),"-")</f>
        <v>-</v>
      </c>
      <c r="AN1547" s="2"/>
      <c r="AO1547" s="884">
        <v>1142</v>
      </c>
      <c r="AP1547" s="884">
        <f t="shared" ref="AP1547" si="6206">AO1547-AK1547</f>
        <v>1142</v>
      </c>
      <c r="AV1547" t="str">
        <f t="shared" si="6199"/>
        <v>Drenagem Superficial</v>
      </c>
      <c r="AW1547" s="4" t="str">
        <f t="shared" si="6197"/>
        <v xml:space="preserve">   Seg. 2.3-C05 - Drenagem Superficial - Sarjeta de corte (Km 120+240 a 120+900)</v>
      </c>
    </row>
    <row r="1548" spans="1:49" ht="14.45" hidden="1" customHeight="1" outlineLevel="2">
      <c r="A1548" s="8" t="str">
        <f t="shared" ref="A1548" si="6207">A1547</f>
        <v>N</v>
      </c>
      <c r="B1548" s="150"/>
      <c r="C1548" s="150" t="s">
        <v>1868</v>
      </c>
      <c r="D1548" s="120" t="s">
        <v>324</v>
      </c>
      <c r="E1548" s="915"/>
      <c r="F1548" s="902"/>
      <c r="G1548" s="528"/>
      <c r="H1548" s="549" t="s">
        <v>38</v>
      </c>
      <c r="I1548" s="711">
        <v>0</v>
      </c>
      <c r="J1548" s="897"/>
      <c r="K1548" s="528"/>
      <c r="L1548" s="549" t="s">
        <v>38</v>
      </c>
      <c r="M1548" s="711">
        <f t="shared" si="6140"/>
        <v>0</v>
      </c>
      <c r="N1548" s="897"/>
      <c r="O1548" s="528"/>
      <c r="P1548" s="548">
        <v>0</v>
      </c>
      <c r="Q1548" s="548">
        <v>0</v>
      </c>
      <c r="R1548" s="548">
        <v>0</v>
      </c>
      <c r="S1548" s="548">
        <v>0</v>
      </c>
      <c r="T1548" s="548">
        <v>0</v>
      </c>
      <c r="U1548" s="548">
        <v>0</v>
      </c>
      <c r="V1548" s="548">
        <v>0</v>
      </c>
      <c r="W1548" s="528"/>
      <c r="X1548" s="711">
        <f t="shared" si="6133"/>
        <v>0</v>
      </c>
      <c r="Y1548" s="897"/>
      <c r="Z1548" s="528"/>
      <c r="AA1548" s="899"/>
      <c r="AB1548" s="899"/>
      <c r="AC1548" s="904"/>
      <c r="AD1548" s="901"/>
      <c r="AE1548" s="2"/>
      <c r="AF1548" s="885"/>
      <c r="AG1548" s="885"/>
      <c r="AH1548" s="885"/>
      <c r="AI1548" s="885"/>
      <c r="AJ1548" s="885"/>
      <c r="AK1548" s="885"/>
      <c r="AL1548" s="885"/>
      <c r="AM1548" s="879"/>
      <c r="AN1548" s="2"/>
      <c r="AO1548" s="886"/>
      <c r="AP1548" s="886"/>
      <c r="AV1548" t="str">
        <f t="shared" si="6199"/>
        <v>Drenagem Superficial</v>
      </c>
      <c r="AW1548" s="4" t="str">
        <f t="shared" si="6197"/>
        <v xml:space="preserve">   Seg. 2.3-C05 - Drenagem Superficial - Sarjeta de corte (Km 120+240 a 120+900)</v>
      </c>
    </row>
    <row r="1549" spans="1:49" ht="14.45" hidden="1" customHeight="1" outlineLevel="2">
      <c r="A1549" s="8" t="str">
        <f t="shared" ref="A1549" si="6208">IF(SUM(P1549:V1550)&gt;0,"S","N")</f>
        <v>N</v>
      </c>
      <c r="B1549" s="150">
        <v>1061684</v>
      </c>
      <c r="C1549" s="150" t="s">
        <v>1870</v>
      </c>
      <c r="D1549" s="120" t="s">
        <v>327</v>
      </c>
      <c r="E1549" s="914" t="s">
        <v>1871</v>
      </c>
      <c r="F1549" s="902" t="s">
        <v>52</v>
      </c>
      <c r="G1549" s="528"/>
      <c r="H1549" s="546" t="s">
        <v>37</v>
      </c>
      <c r="I1549" s="711">
        <v>0</v>
      </c>
      <c r="J1549" s="896" t="str">
        <f t="shared" ref="J1549" si="6209">IFERROR((I1550/I1549),"-")</f>
        <v>-</v>
      </c>
      <c r="K1549" s="528"/>
      <c r="L1549" s="546" t="s">
        <v>37</v>
      </c>
      <c r="M1549" s="711">
        <f t="shared" si="6140"/>
        <v>0</v>
      </c>
      <c r="N1549" s="896" t="str">
        <f t="shared" ref="N1549" si="6210">IFERROR((M1550/M1549),"-")</f>
        <v>-</v>
      </c>
      <c r="O1549" s="528"/>
      <c r="P1549" s="547">
        <v>0</v>
      </c>
      <c r="Q1549" s="547">
        <v>0</v>
      </c>
      <c r="R1549" s="547">
        <v>0</v>
      </c>
      <c r="S1549" s="547">
        <v>0</v>
      </c>
      <c r="T1549" s="547">
        <v>0</v>
      </c>
      <c r="U1549" s="547">
        <v>0</v>
      </c>
      <c r="V1549" s="548">
        <v>0</v>
      </c>
      <c r="W1549" s="528"/>
      <c r="X1549" s="711">
        <f t="shared" si="6133"/>
        <v>0</v>
      </c>
      <c r="Y1549" s="896" t="str">
        <f>IFERROR((X1550/X1549),"-")</f>
        <v>-</v>
      </c>
      <c r="Z1549" s="528"/>
      <c r="AA1549" s="898">
        <v>0</v>
      </c>
      <c r="AB1549" s="898">
        <v>0</v>
      </c>
      <c r="AC1549" s="903">
        <v>0</v>
      </c>
      <c r="AD1549" s="900" t="str">
        <f t="shared" ref="AD1549" si="6211">IFERROR((AC1549/AB1549),"-")</f>
        <v>-</v>
      </c>
      <c r="AE1549" s="2"/>
      <c r="AF1549" s="884">
        <v>320.17700000000002</v>
      </c>
      <c r="AG1549" s="884"/>
      <c r="AH1549" s="884">
        <v>0</v>
      </c>
      <c r="AI1549" s="884"/>
      <c r="AJ1549" s="884"/>
      <c r="AK1549" s="884">
        <f t="shared" ref="AK1549" si="6212">AF1549+AG1549+AH1549+AI1549+AJ1549+AC1549</f>
        <v>320.17700000000002</v>
      </c>
      <c r="AL1549" s="884">
        <v>195</v>
      </c>
      <c r="AM1549" s="878">
        <f t="shared" ref="AM1549" si="6213">IFERROR((AK1549/AL1549),"-")</f>
        <v>1.6419333333333335</v>
      </c>
      <c r="AN1549" s="2"/>
      <c r="AO1549" s="884">
        <v>195</v>
      </c>
      <c r="AP1549" s="884">
        <f t="shared" ref="AP1549" si="6214">AO1549-AK1549</f>
        <v>-125.17700000000002</v>
      </c>
      <c r="AV1549" t="str">
        <f t="shared" si="6199"/>
        <v>Drenagem Superficial</v>
      </c>
      <c r="AW1549" s="4" t="str">
        <f t="shared" si="6197"/>
        <v xml:space="preserve">   Seg. 2.3-C06-B01 - Drenagem Superficial - Sarjeta de corte (Km 121+560 a 121+660)</v>
      </c>
    </row>
    <row r="1550" spans="1:49" ht="14.45" hidden="1" customHeight="1" outlineLevel="2">
      <c r="A1550" s="8" t="str">
        <f t="shared" ref="A1550" si="6215">A1549</f>
        <v>N</v>
      </c>
      <c r="B1550" s="150"/>
      <c r="C1550" s="150" t="s">
        <v>1870</v>
      </c>
      <c r="D1550" s="120" t="s">
        <v>327</v>
      </c>
      <c r="E1550" s="915"/>
      <c r="F1550" s="902"/>
      <c r="G1550" s="528"/>
      <c r="H1550" s="549" t="s">
        <v>38</v>
      </c>
      <c r="I1550" s="711">
        <v>0</v>
      </c>
      <c r="J1550" s="897"/>
      <c r="K1550" s="528"/>
      <c r="L1550" s="549" t="s">
        <v>38</v>
      </c>
      <c r="M1550" s="711">
        <f t="shared" si="6140"/>
        <v>0</v>
      </c>
      <c r="N1550" s="897"/>
      <c r="O1550" s="528"/>
      <c r="P1550" s="548">
        <v>0</v>
      </c>
      <c r="Q1550" s="548">
        <v>0</v>
      </c>
      <c r="R1550" s="548">
        <v>0</v>
      </c>
      <c r="S1550" s="548">
        <v>0</v>
      </c>
      <c r="T1550" s="548">
        <v>0</v>
      </c>
      <c r="U1550" s="548">
        <v>0</v>
      </c>
      <c r="V1550" s="548">
        <v>0</v>
      </c>
      <c r="W1550" s="528"/>
      <c r="X1550" s="711">
        <f t="shared" si="6133"/>
        <v>0</v>
      </c>
      <c r="Y1550" s="897"/>
      <c r="Z1550" s="528"/>
      <c r="AA1550" s="899"/>
      <c r="AB1550" s="899"/>
      <c r="AC1550" s="904"/>
      <c r="AD1550" s="901"/>
      <c r="AE1550" s="2"/>
      <c r="AF1550" s="885"/>
      <c r="AG1550" s="885"/>
      <c r="AH1550" s="885"/>
      <c r="AI1550" s="885"/>
      <c r="AJ1550" s="885"/>
      <c r="AK1550" s="885"/>
      <c r="AL1550" s="885"/>
      <c r="AM1550" s="879"/>
      <c r="AN1550" s="2"/>
      <c r="AO1550" s="886"/>
      <c r="AP1550" s="886"/>
      <c r="AV1550" t="str">
        <f t="shared" si="6199"/>
        <v>Drenagem Superficial</v>
      </c>
      <c r="AW1550" s="4" t="str">
        <f t="shared" si="6197"/>
        <v xml:space="preserve">   Seg. 2.3-C06-B01 - Drenagem Superficial - Sarjeta de corte (Km 121+560 a 121+660)</v>
      </c>
    </row>
    <row r="1551" spans="1:49" ht="14.45" hidden="1" customHeight="1" outlineLevel="2">
      <c r="A1551" s="8" t="str">
        <f t="shared" ref="A1551" si="6216">IF(SUM(P1551:V1552)&gt;0,"S","N")</f>
        <v>N</v>
      </c>
      <c r="B1551" s="150">
        <v>1061686</v>
      </c>
      <c r="C1551" s="150" t="s">
        <v>1872</v>
      </c>
      <c r="D1551" s="120" t="s">
        <v>330</v>
      </c>
      <c r="E1551" s="914" t="s">
        <v>1873</v>
      </c>
      <c r="F1551" s="902" t="s">
        <v>52</v>
      </c>
      <c r="G1551" s="528"/>
      <c r="H1551" s="546" t="s">
        <v>37</v>
      </c>
      <c r="I1551" s="711">
        <v>0</v>
      </c>
      <c r="J1551" s="896" t="str">
        <f t="shared" ref="J1551" si="6217">IFERROR((I1552/I1551),"-")</f>
        <v>-</v>
      </c>
      <c r="K1551" s="528"/>
      <c r="L1551" s="546" t="s">
        <v>37</v>
      </c>
      <c r="M1551" s="711">
        <f t="shared" si="6140"/>
        <v>0</v>
      </c>
      <c r="N1551" s="896" t="str">
        <f t="shared" ref="N1551" si="6218">IFERROR((M1552/M1551),"-")</f>
        <v>-</v>
      </c>
      <c r="O1551" s="528"/>
      <c r="P1551" s="547">
        <v>0</v>
      </c>
      <c r="Q1551" s="547">
        <v>0</v>
      </c>
      <c r="R1551" s="547">
        <v>0</v>
      </c>
      <c r="S1551" s="547">
        <v>0</v>
      </c>
      <c r="T1551" s="547">
        <v>0</v>
      </c>
      <c r="U1551" s="547">
        <v>0</v>
      </c>
      <c r="V1551" s="548">
        <v>0</v>
      </c>
      <c r="W1551" s="528"/>
      <c r="X1551" s="711">
        <f t="shared" si="6133"/>
        <v>0</v>
      </c>
      <c r="Y1551" s="896" t="str">
        <f>IFERROR((X1552/X1551),"-")</f>
        <v>-</v>
      </c>
      <c r="Z1551" s="528"/>
      <c r="AA1551" s="898">
        <v>879.69</v>
      </c>
      <c r="AB1551" s="898">
        <v>304.08</v>
      </c>
      <c r="AC1551" s="903">
        <v>0</v>
      </c>
      <c r="AD1551" s="900">
        <f t="shared" ref="AD1551" si="6219">IFERROR((AC1551/AB1551),"-")</f>
        <v>0</v>
      </c>
      <c r="AE1551" s="2"/>
      <c r="AF1551" s="884">
        <v>275.79899999999998</v>
      </c>
      <c r="AG1551" s="884"/>
      <c r="AH1551" s="884">
        <v>0</v>
      </c>
      <c r="AI1551" s="884"/>
      <c r="AJ1551" s="884"/>
      <c r="AK1551" s="884">
        <f t="shared" ref="AK1551" si="6220">AF1551+AG1551+AH1551+AI1551+AJ1551+AC1551</f>
        <v>275.79899999999998</v>
      </c>
      <c r="AL1551" s="884">
        <v>304.37999999999994</v>
      </c>
      <c r="AM1551" s="878" t="s">
        <v>416</v>
      </c>
      <c r="AN1551" s="2"/>
      <c r="AO1551" s="884">
        <v>880</v>
      </c>
      <c r="AP1551" s="884">
        <f t="shared" ref="AP1551" si="6221">AO1551-AK1551</f>
        <v>604.20100000000002</v>
      </c>
      <c r="AV1551" t="str">
        <f t="shared" si="6199"/>
        <v>Drenagem Superficial</v>
      </c>
      <c r="AW1551" s="4" t="str">
        <f t="shared" si="6197"/>
        <v xml:space="preserve">   Seg. 2.3-C07 - Drenagem Superficial - Sarjeta de corte (Km 121+700 a 122+200)</v>
      </c>
    </row>
    <row r="1552" spans="1:49" ht="14.45" hidden="1" customHeight="1" outlineLevel="2">
      <c r="A1552" s="8" t="str">
        <f t="shared" ref="A1552" si="6222">A1551</f>
        <v>N</v>
      </c>
      <c r="B1552" s="150"/>
      <c r="C1552" s="150" t="s">
        <v>1872</v>
      </c>
      <c r="D1552" s="120" t="s">
        <v>330</v>
      </c>
      <c r="E1552" s="915"/>
      <c r="F1552" s="902"/>
      <c r="G1552" s="528"/>
      <c r="H1552" s="549" t="s">
        <v>38</v>
      </c>
      <c r="I1552" s="711">
        <v>0</v>
      </c>
      <c r="J1552" s="897"/>
      <c r="K1552" s="528"/>
      <c r="L1552" s="549" t="s">
        <v>38</v>
      </c>
      <c r="M1552" s="711">
        <f t="shared" si="6140"/>
        <v>0</v>
      </c>
      <c r="N1552" s="897"/>
      <c r="O1552" s="528"/>
      <c r="P1552" s="548">
        <v>0</v>
      </c>
      <c r="Q1552" s="548">
        <v>0</v>
      </c>
      <c r="R1552" s="548">
        <v>0</v>
      </c>
      <c r="S1552" s="548">
        <v>0</v>
      </c>
      <c r="T1552" s="548">
        <v>0</v>
      </c>
      <c r="U1552" s="548">
        <v>0</v>
      </c>
      <c r="V1552" s="548">
        <v>0</v>
      </c>
      <c r="W1552" s="528"/>
      <c r="X1552" s="711">
        <f t="shared" si="6133"/>
        <v>0</v>
      </c>
      <c r="Y1552" s="897"/>
      <c r="Z1552" s="528"/>
      <c r="AA1552" s="899"/>
      <c r="AB1552" s="899"/>
      <c r="AC1552" s="904"/>
      <c r="AD1552" s="901"/>
      <c r="AE1552" s="2"/>
      <c r="AF1552" s="885"/>
      <c r="AG1552" s="885"/>
      <c r="AH1552" s="885"/>
      <c r="AI1552" s="885"/>
      <c r="AJ1552" s="885"/>
      <c r="AK1552" s="885"/>
      <c r="AL1552" s="885"/>
      <c r="AM1552" s="879"/>
      <c r="AN1552" s="2"/>
      <c r="AO1552" s="886"/>
      <c r="AP1552" s="886"/>
      <c r="AV1552" t="str">
        <f t="shared" si="6199"/>
        <v>Drenagem Superficial</v>
      </c>
      <c r="AW1552" s="4" t="str">
        <f t="shared" si="6197"/>
        <v xml:space="preserve">   Seg. 2.3-C07 - Drenagem Superficial - Sarjeta de corte (Km 121+700 a 122+200)</v>
      </c>
    </row>
    <row r="1553" spans="1:49" ht="14.45" hidden="1" customHeight="1" outlineLevel="2">
      <c r="A1553" s="8" t="str">
        <f t="shared" ref="A1553" si="6223">IF(SUM(P1553:V1554)&gt;0,"S","N")</f>
        <v>N</v>
      </c>
      <c r="B1553" s="150">
        <v>1061710</v>
      </c>
      <c r="C1553" s="150" t="s">
        <v>1874</v>
      </c>
      <c r="D1553" s="120" t="s">
        <v>347</v>
      </c>
      <c r="E1553" s="914" t="s">
        <v>1875</v>
      </c>
      <c r="F1553" s="902" t="s">
        <v>52</v>
      </c>
      <c r="G1553" s="528"/>
      <c r="H1553" s="546" t="s">
        <v>37</v>
      </c>
      <c r="I1553" s="711">
        <v>0</v>
      </c>
      <c r="J1553" s="896" t="str">
        <f t="shared" ref="J1553" si="6224">IFERROR((I1554/I1553),"-")</f>
        <v>-</v>
      </c>
      <c r="K1553" s="528"/>
      <c r="L1553" s="546" t="s">
        <v>37</v>
      </c>
      <c r="M1553" s="711">
        <f t="shared" si="6140"/>
        <v>0</v>
      </c>
      <c r="N1553" s="896" t="str">
        <f t="shared" ref="N1553" si="6225">IFERROR((M1554/M1553),"-")</f>
        <v>-</v>
      </c>
      <c r="O1553" s="528"/>
      <c r="P1553" s="547">
        <v>0</v>
      </c>
      <c r="Q1553" s="547">
        <v>0</v>
      </c>
      <c r="R1553" s="547">
        <v>0</v>
      </c>
      <c r="S1553" s="547">
        <v>0</v>
      </c>
      <c r="T1553" s="547">
        <v>0</v>
      </c>
      <c r="U1553" s="547">
        <v>0</v>
      </c>
      <c r="V1553" s="548">
        <v>0</v>
      </c>
      <c r="W1553" s="528"/>
      <c r="X1553" s="711">
        <f t="shared" si="6133"/>
        <v>0</v>
      </c>
      <c r="Y1553" s="896" t="str">
        <f>IFERROR((X1554/X1553),"-")</f>
        <v>-</v>
      </c>
      <c r="Z1553" s="528"/>
      <c r="AA1553" s="898">
        <v>105</v>
      </c>
      <c r="AB1553" s="898">
        <v>36.28</v>
      </c>
      <c r="AC1553" s="903">
        <v>0</v>
      </c>
      <c r="AD1553" s="900">
        <f t="shared" ref="AD1553" si="6226">IFERROR((AC1553/AB1553),"-")</f>
        <v>0</v>
      </c>
      <c r="AE1553" s="2"/>
      <c r="AF1553" s="884"/>
      <c r="AG1553" s="884"/>
      <c r="AH1553" s="884">
        <v>0</v>
      </c>
      <c r="AI1553" s="884"/>
      <c r="AJ1553" s="884"/>
      <c r="AK1553" s="884">
        <f t="shared" ref="AK1553" si="6227">AF1553+AG1553+AH1553+AI1553+AJ1553+AC1553</f>
        <v>0</v>
      </c>
      <c r="AL1553" s="884">
        <v>36.28</v>
      </c>
      <c r="AM1553" s="878">
        <f t="shared" ref="AM1553" si="6228">IFERROR((AK1553/AL1553),"-")</f>
        <v>0</v>
      </c>
      <c r="AN1553" s="2"/>
      <c r="AO1553" s="884">
        <v>105</v>
      </c>
      <c r="AP1553" s="884">
        <f t="shared" ref="AP1553" si="6229">AO1553-AK1553</f>
        <v>105</v>
      </c>
      <c r="AV1553" t="str">
        <f t="shared" si="6199"/>
        <v>Drenagem Superficial</v>
      </c>
      <c r="AW1553" s="4" t="str">
        <f t="shared" si="6197"/>
        <v xml:space="preserve">   Seg. 2.3-C09 - Drenagem Superficial - Sarjeta de corte (Km 124+700 a 124+760)</v>
      </c>
    </row>
    <row r="1554" spans="1:49" ht="14.45" hidden="1" customHeight="1" outlineLevel="2">
      <c r="A1554" s="8" t="str">
        <f t="shared" ref="A1554" si="6230">A1553</f>
        <v>N</v>
      </c>
      <c r="B1554" s="150"/>
      <c r="C1554" s="150" t="s">
        <v>1874</v>
      </c>
      <c r="D1554" s="120" t="s">
        <v>347</v>
      </c>
      <c r="E1554" s="915"/>
      <c r="F1554" s="902"/>
      <c r="G1554" s="528"/>
      <c r="H1554" s="549" t="s">
        <v>38</v>
      </c>
      <c r="I1554" s="711">
        <v>0</v>
      </c>
      <c r="J1554" s="897"/>
      <c r="K1554" s="528"/>
      <c r="L1554" s="549" t="s">
        <v>38</v>
      </c>
      <c r="M1554" s="711">
        <f t="shared" si="6140"/>
        <v>0</v>
      </c>
      <c r="N1554" s="897"/>
      <c r="O1554" s="528"/>
      <c r="P1554" s="548">
        <v>0</v>
      </c>
      <c r="Q1554" s="548">
        <v>0</v>
      </c>
      <c r="R1554" s="548">
        <v>0</v>
      </c>
      <c r="S1554" s="548">
        <v>0</v>
      </c>
      <c r="T1554" s="548">
        <v>0</v>
      </c>
      <c r="U1554" s="548">
        <v>0</v>
      </c>
      <c r="V1554" s="548">
        <v>0</v>
      </c>
      <c r="W1554" s="528"/>
      <c r="X1554" s="711">
        <f t="shared" si="6133"/>
        <v>0</v>
      </c>
      <c r="Y1554" s="897"/>
      <c r="Z1554" s="528"/>
      <c r="AA1554" s="899"/>
      <c r="AB1554" s="899"/>
      <c r="AC1554" s="904"/>
      <c r="AD1554" s="901"/>
      <c r="AE1554" s="2"/>
      <c r="AF1554" s="885"/>
      <c r="AG1554" s="885"/>
      <c r="AH1554" s="885"/>
      <c r="AI1554" s="885"/>
      <c r="AJ1554" s="885"/>
      <c r="AK1554" s="885"/>
      <c r="AL1554" s="885"/>
      <c r="AM1554" s="879"/>
      <c r="AN1554" s="2"/>
      <c r="AO1554" s="886"/>
      <c r="AP1554" s="886"/>
      <c r="AV1554" t="str">
        <f t="shared" si="6199"/>
        <v>Drenagem Superficial</v>
      </c>
      <c r="AW1554" s="4" t="str">
        <f t="shared" si="6197"/>
        <v xml:space="preserve">   Seg. 2.3-C09 - Drenagem Superficial - Sarjeta de corte (Km 124+700 a 124+760)</v>
      </c>
    </row>
    <row r="1555" spans="1:49" ht="14.45" hidden="1" customHeight="1" outlineLevel="2">
      <c r="A1555" s="8" t="str">
        <f t="shared" ref="A1555" si="6231">IF(SUM(P1555:V1556)&gt;0,"S","N")</f>
        <v>N</v>
      </c>
      <c r="B1555" s="150">
        <v>1061712</v>
      </c>
      <c r="C1555" s="150" t="s">
        <v>1876</v>
      </c>
      <c r="D1555" s="120" t="s">
        <v>333</v>
      </c>
      <c r="E1555" s="914" t="s">
        <v>1877</v>
      </c>
      <c r="F1555" s="902" t="s">
        <v>52</v>
      </c>
      <c r="G1555" s="528"/>
      <c r="H1555" s="546" t="s">
        <v>37</v>
      </c>
      <c r="I1555" s="711">
        <v>0</v>
      </c>
      <c r="J1555" s="896" t="str">
        <f t="shared" ref="J1555" si="6232">IFERROR((I1556/I1555),"-")</f>
        <v>-</v>
      </c>
      <c r="K1555" s="528"/>
      <c r="L1555" s="546" t="s">
        <v>37</v>
      </c>
      <c r="M1555" s="711">
        <f t="shared" si="6140"/>
        <v>0</v>
      </c>
      <c r="N1555" s="896" t="str">
        <f t="shared" ref="N1555" si="6233">IFERROR((M1556/M1555),"-")</f>
        <v>-</v>
      </c>
      <c r="O1555" s="528"/>
      <c r="P1555" s="547">
        <v>0</v>
      </c>
      <c r="Q1555" s="547">
        <v>0</v>
      </c>
      <c r="R1555" s="547">
        <v>0</v>
      </c>
      <c r="S1555" s="547">
        <v>0</v>
      </c>
      <c r="T1555" s="547">
        <v>0</v>
      </c>
      <c r="U1555" s="547">
        <v>0</v>
      </c>
      <c r="V1555" s="548">
        <v>0</v>
      </c>
      <c r="W1555" s="528"/>
      <c r="X1555" s="711">
        <f t="shared" si="6133"/>
        <v>0</v>
      </c>
      <c r="Y1555" s="896" t="str">
        <f t="shared" ref="Y1555" si="6234">IFERROR((X1556/X1555),"-")</f>
        <v>-</v>
      </c>
      <c r="Z1555" s="528"/>
      <c r="AA1555" s="898">
        <v>0</v>
      </c>
      <c r="AB1555" s="898">
        <v>0</v>
      </c>
      <c r="AC1555" s="903">
        <v>0</v>
      </c>
      <c r="AD1555" s="900" t="str">
        <f t="shared" ref="AD1555" si="6235">IFERROR((AC1555/AB1555),"-")</f>
        <v>-</v>
      </c>
      <c r="AE1555" s="2"/>
      <c r="AF1555" s="884">
        <v>1757.877</v>
      </c>
      <c r="AG1555" s="884"/>
      <c r="AH1555" s="884">
        <v>0</v>
      </c>
      <c r="AI1555" s="884"/>
      <c r="AJ1555" s="884"/>
      <c r="AK1555" s="884">
        <f t="shared" ref="AK1555" si="6236">AF1555+AG1555+AH1555+AI1555+AJ1555+AC1555</f>
        <v>1757.877</v>
      </c>
      <c r="AL1555" s="884">
        <v>970.99999999999977</v>
      </c>
      <c r="AM1555" s="878">
        <f t="shared" ref="AM1555" si="6237">IFERROR((AK1555/AL1555),"-")</f>
        <v>1.8103779608650878</v>
      </c>
      <c r="AN1555" s="2"/>
      <c r="AO1555" s="884">
        <v>971</v>
      </c>
      <c r="AP1555" s="884">
        <f t="shared" ref="AP1555" si="6238">AO1555-AK1555</f>
        <v>-786.87699999999995</v>
      </c>
      <c r="AV1555" t="str">
        <f t="shared" si="6199"/>
        <v>Drenagem Superficial</v>
      </c>
      <c r="AW1555" s="4" t="str">
        <f t="shared" si="6197"/>
        <v xml:space="preserve">   Seg. 2.3-C10 - Drenagem Superficial - Sarjeta de corte (Km 125+160 a 125+640)</v>
      </c>
    </row>
    <row r="1556" spans="1:49" ht="14.45" hidden="1" customHeight="1" outlineLevel="2">
      <c r="A1556" s="8" t="str">
        <f t="shared" ref="A1556" si="6239">A1555</f>
        <v>N</v>
      </c>
      <c r="B1556" s="150"/>
      <c r="C1556" s="150" t="s">
        <v>1876</v>
      </c>
      <c r="D1556" s="120" t="s">
        <v>333</v>
      </c>
      <c r="E1556" s="915"/>
      <c r="F1556" s="902"/>
      <c r="G1556" s="528"/>
      <c r="H1556" s="549" t="s">
        <v>38</v>
      </c>
      <c r="I1556" s="711">
        <v>0</v>
      </c>
      <c r="J1556" s="897"/>
      <c r="K1556" s="528"/>
      <c r="L1556" s="549" t="s">
        <v>38</v>
      </c>
      <c r="M1556" s="711">
        <f t="shared" si="6140"/>
        <v>0</v>
      </c>
      <c r="N1556" s="897"/>
      <c r="O1556" s="528"/>
      <c r="P1556" s="548">
        <v>0</v>
      </c>
      <c r="Q1556" s="548">
        <v>0</v>
      </c>
      <c r="R1556" s="548">
        <v>0</v>
      </c>
      <c r="S1556" s="548">
        <v>0</v>
      </c>
      <c r="T1556" s="548">
        <v>0</v>
      </c>
      <c r="U1556" s="548">
        <v>0</v>
      </c>
      <c r="V1556" s="548">
        <v>0</v>
      </c>
      <c r="W1556" s="528"/>
      <c r="X1556" s="711">
        <f t="shared" si="6133"/>
        <v>0</v>
      </c>
      <c r="Y1556" s="897"/>
      <c r="Z1556" s="528"/>
      <c r="AA1556" s="899"/>
      <c r="AB1556" s="899"/>
      <c r="AC1556" s="904"/>
      <c r="AD1556" s="901"/>
      <c r="AE1556" s="2"/>
      <c r="AF1556" s="885"/>
      <c r="AG1556" s="885"/>
      <c r="AH1556" s="885"/>
      <c r="AI1556" s="885"/>
      <c r="AJ1556" s="885"/>
      <c r="AK1556" s="885"/>
      <c r="AL1556" s="885"/>
      <c r="AM1556" s="879"/>
      <c r="AN1556" s="2"/>
      <c r="AO1556" s="886"/>
      <c r="AP1556" s="886"/>
      <c r="AV1556" t="str">
        <f t="shared" si="6199"/>
        <v>Drenagem Superficial</v>
      </c>
      <c r="AW1556" s="4" t="str">
        <f t="shared" si="6197"/>
        <v xml:space="preserve">   Seg. 2.3-C10 - Drenagem Superficial - Sarjeta de corte (Km 125+160 a 125+640)</v>
      </c>
    </row>
    <row r="1557" spans="1:49" ht="14.45" hidden="1" customHeight="1" outlineLevel="2">
      <c r="A1557" s="8" t="str">
        <f t="shared" ref="A1557" si="6240">IF(SUM(P1557:V1558)&gt;0,"S","N")</f>
        <v>N</v>
      </c>
      <c r="B1557" s="150">
        <v>1061722</v>
      </c>
      <c r="C1557" s="150" t="s">
        <v>1878</v>
      </c>
      <c r="D1557" s="120" t="s">
        <v>338</v>
      </c>
      <c r="E1557" s="914" t="s">
        <v>1879</v>
      </c>
      <c r="F1557" s="902" t="s">
        <v>52</v>
      </c>
      <c r="G1557" s="528"/>
      <c r="H1557" s="546" t="s">
        <v>37</v>
      </c>
      <c r="I1557" s="711">
        <v>0</v>
      </c>
      <c r="J1557" s="896" t="str">
        <f t="shared" ref="J1557" si="6241">IFERROR((I1558/I1557),"-")</f>
        <v>-</v>
      </c>
      <c r="K1557" s="528"/>
      <c r="L1557" s="546" t="s">
        <v>37</v>
      </c>
      <c r="M1557" s="711">
        <f t="shared" si="6140"/>
        <v>0</v>
      </c>
      <c r="N1557" s="896" t="str">
        <f t="shared" ref="N1557" si="6242">IFERROR((M1558/M1557),"-")</f>
        <v>-</v>
      </c>
      <c r="O1557" s="528"/>
      <c r="P1557" s="547">
        <v>0</v>
      </c>
      <c r="Q1557" s="547">
        <v>0</v>
      </c>
      <c r="R1557" s="547">
        <v>0</v>
      </c>
      <c r="S1557" s="547">
        <v>0</v>
      </c>
      <c r="T1557" s="547">
        <v>0</v>
      </c>
      <c r="U1557" s="547">
        <v>0</v>
      </c>
      <c r="V1557" s="548">
        <v>0</v>
      </c>
      <c r="W1557" s="528"/>
      <c r="X1557" s="711">
        <f t="shared" si="6133"/>
        <v>0</v>
      </c>
      <c r="Y1557" s="896" t="str">
        <f>IFERROR((X1558/X1557),"-")</f>
        <v>-</v>
      </c>
      <c r="Z1557" s="528"/>
      <c r="AA1557" s="898">
        <v>0</v>
      </c>
      <c r="AB1557" s="898">
        <v>0</v>
      </c>
      <c r="AC1557" s="903">
        <v>0</v>
      </c>
      <c r="AD1557" s="900" t="str">
        <f t="shared" ref="AD1557" si="6243">IFERROR((AC1557/AB1557),"-")</f>
        <v>-</v>
      </c>
      <c r="AE1557" s="2"/>
      <c r="AF1557" s="884">
        <v>304.02300000000002</v>
      </c>
      <c r="AG1557" s="884"/>
      <c r="AH1557" s="884">
        <v>0</v>
      </c>
      <c r="AI1557" s="884"/>
      <c r="AJ1557" s="884"/>
      <c r="AK1557" s="884">
        <f t="shared" ref="AK1557" si="6244">AF1557+AG1557+AH1557+AI1557+AJ1557+AC1557</f>
        <v>304.02300000000002</v>
      </c>
      <c r="AL1557" s="884">
        <v>259</v>
      </c>
      <c r="AM1557" s="878">
        <f t="shared" ref="AM1557" si="6245">IFERROR((AK1557/AL1557),"-")</f>
        <v>1.1738339768339769</v>
      </c>
      <c r="AN1557" s="2"/>
      <c r="AO1557" s="884">
        <v>259</v>
      </c>
      <c r="AP1557" s="884">
        <f t="shared" ref="AP1557" si="6246">AO1557-AK1557</f>
        <v>-45.023000000000025</v>
      </c>
      <c r="AV1557" t="str">
        <f t="shared" si="6199"/>
        <v>Drenagem Superficial</v>
      </c>
      <c r="AW1557" s="4" t="str">
        <f t="shared" si="6197"/>
        <v xml:space="preserve">   Seg. 2.3-C12 - Drenagem Superficial - Sarjeta de corte (Km 126+480 a 126+620)</v>
      </c>
    </row>
    <row r="1558" spans="1:49" ht="14.45" hidden="1" customHeight="1" outlineLevel="2">
      <c r="A1558" s="8" t="str">
        <f t="shared" ref="A1558" si="6247">A1557</f>
        <v>N</v>
      </c>
      <c r="B1558" s="150"/>
      <c r="C1558" s="150" t="s">
        <v>1878</v>
      </c>
      <c r="D1558" s="120" t="s">
        <v>338</v>
      </c>
      <c r="E1558" s="915"/>
      <c r="F1558" s="902"/>
      <c r="G1558" s="528"/>
      <c r="H1558" s="549" t="s">
        <v>38</v>
      </c>
      <c r="I1558" s="711">
        <v>0</v>
      </c>
      <c r="J1558" s="897"/>
      <c r="K1558" s="528"/>
      <c r="L1558" s="549" t="s">
        <v>38</v>
      </c>
      <c r="M1558" s="711">
        <f t="shared" si="6140"/>
        <v>0</v>
      </c>
      <c r="N1558" s="897"/>
      <c r="O1558" s="528"/>
      <c r="P1558" s="548">
        <v>0</v>
      </c>
      <c r="Q1558" s="548">
        <v>0</v>
      </c>
      <c r="R1558" s="548">
        <v>0</v>
      </c>
      <c r="S1558" s="548">
        <v>0</v>
      </c>
      <c r="T1558" s="548">
        <v>0</v>
      </c>
      <c r="U1558" s="548">
        <v>0</v>
      </c>
      <c r="V1558" s="548">
        <v>0</v>
      </c>
      <c r="W1558" s="528"/>
      <c r="X1558" s="711">
        <f t="shared" si="6133"/>
        <v>0</v>
      </c>
      <c r="Y1558" s="897"/>
      <c r="Z1558" s="528"/>
      <c r="AA1558" s="899"/>
      <c r="AB1558" s="899"/>
      <c r="AC1558" s="904"/>
      <c r="AD1558" s="901"/>
      <c r="AE1558" s="2"/>
      <c r="AF1558" s="885"/>
      <c r="AG1558" s="885"/>
      <c r="AH1558" s="885"/>
      <c r="AI1558" s="885"/>
      <c r="AJ1558" s="885"/>
      <c r="AK1558" s="885"/>
      <c r="AL1558" s="885"/>
      <c r="AM1558" s="879"/>
      <c r="AN1558" s="2"/>
      <c r="AO1558" s="886"/>
      <c r="AP1558" s="886"/>
      <c r="AV1558" t="str">
        <f t="shared" si="6199"/>
        <v>Drenagem Superficial</v>
      </c>
      <c r="AW1558" s="4" t="str">
        <f t="shared" si="6197"/>
        <v xml:space="preserve">   Seg. 2.3-C12 - Drenagem Superficial - Sarjeta de corte (Km 126+480 a 126+620)</v>
      </c>
    </row>
    <row r="1559" spans="1:49" ht="14.45" hidden="1" customHeight="1" outlineLevel="2">
      <c r="A1559" s="8" t="str">
        <f t="shared" ref="A1559" si="6248">IF(SUM(P1559:V1560)&gt;0,"S","N")</f>
        <v>N</v>
      </c>
      <c r="B1559" s="150">
        <v>1061724</v>
      </c>
      <c r="C1559" s="150" t="s">
        <v>1880</v>
      </c>
      <c r="D1559" s="120" t="s">
        <v>341</v>
      </c>
      <c r="E1559" s="914" t="s">
        <v>1881</v>
      </c>
      <c r="F1559" s="902" t="s">
        <v>52</v>
      </c>
      <c r="G1559" s="528"/>
      <c r="H1559" s="546" t="s">
        <v>37</v>
      </c>
      <c r="I1559" s="711">
        <v>0</v>
      </c>
      <c r="J1559" s="896" t="str">
        <f t="shared" ref="J1559" si="6249">IFERROR((I1560/I1559),"-")</f>
        <v>-</v>
      </c>
      <c r="K1559" s="528"/>
      <c r="L1559" s="546" t="s">
        <v>37</v>
      </c>
      <c r="M1559" s="711">
        <f t="shared" si="6140"/>
        <v>0</v>
      </c>
      <c r="N1559" s="896" t="str">
        <f t="shared" ref="N1559" si="6250">IFERROR((M1560/M1559),"-")</f>
        <v>-</v>
      </c>
      <c r="O1559" s="528"/>
      <c r="P1559" s="547">
        <v>0</v>
      </c>
      <c r="Q1559" s="547">
        <v>0</v>
      </c>
      <c r="R1559" s="547">
        <v>0</v>
      </c>
      <c r="S1559" s="547">
        <v>0</v>
      </c>
      <c r="T1559" s="547">
        <v>0</v>
      </c>
      <c r="U1559" s="547">
        <v>0</v>
      </c>
      <c r="V1559" s="548">
        <v>0</v>
      </c>
      <c r="W1559" s="528"/>
      <c r="X1559" s="711">
        <f t="shared" si="6133"/>
        <v>0</v>
      </c>
      <c r="Y1559" s="896" t="str">
        <f>IFERROR((X1560/X1559),"-")</f>
        <v>-</v>
      </c>
      <c r="Z1559" s="528"/>
      <c r="AA1559" s="898">
        <v>0</v>
      </c>
      <c r="AB1559" s="898">
        <v>0</v>
      </c>
      <c r="AC1559" s="903">
        <v>0</v>
      </c>
      <c r="AD1559" s="900" t="str">
        <f t="shared" ref="AD1559" si="6251">IFERROR((AC1559/AB1559),"-")</f>
        <v>-</v>
      </c>
      <c r="AE1559" s="2"/>
      <c r="AF1559" s="884">
        <v>323.26100000000002</v>
      </c>
      <c r="AG1559" s="884"/>
      <c r="AH1559" s="884">
        <v>0</v>
      </c>
      <c r="AI1559" s="884"/>
      <c r="AJ1559" s="884"/>
      <c r="AK1559" s="884">
        <f t="shared" ref="AK1559" si="6252">AF1559+AG1559+AH1559+AI1559+AJ1559+AC1559</f>
        <v>323.26100000000002</v>
      </c>
      <c r="AL1559" s="884">
        <v>303.22999999999985</v>
      </c>
      <c r="AM1559" s="878">
        <f t="shared" ref="AM1559" si="6253">IFERROR((AK1559/AL1559),"-")</f>
        <v>1.066058767272368</v>
      </c>
      <c r="AN1559" s="2"/>
      <c r="AO1559" s="884">
        <v>303</v>
      </c>
      <c r="AP1559" s="884">
        <f t="shared" ref="AP1559" si="6254">AO1559-AK1559</f>
        <v>-20.261000000000024</v>
      </c>
      <c r="AV1559" t="str">
        <f t="shared" si="6199"/>
        <v>Drenagem Superficial</v>
      </c>
      <c r="AW1559" s="4" t="str">
        <f t="shared" si="6197"/>
        <v xml:space="preserve">   Seg. 2.3-C13 - Drenagem Superficial - Sarjeta de corte (Km 127+340 a 127+540)</v>
      </c>
    </row>
    <row r="1560" spans="1:49" ht="14.45" hidden="1" customHeight="1" outlineLevel="2">
      <c r="A1560" s="8" t="str">
        <f t="shared" ref="A1560" si="6255">A1559</f>
        <v>N</v>
      </c>
      <c r="B1560" s="150"/>
      <c r="C1560" s="150" t="s">
        <v>1880</v>
      </c>
      <c r="D1560" s="120" t="s">
        <v>341</v>
      </c>
      <c r="E1560" s="915"/>
      <c r="F1560" s="902"/>
      <c r="G1560" s="528"/>
      <c r="H1560" s="549" t="s">
        <v>38</v>
      </c>
      <c r="I1560" s="711">
        <v>0</v>
      </c>
      <c r="J1560" s="897"/>
      <c r="K1560" s="528"/>
      <c r="L1560" s="549" t="s">
        <v>38</v>
      </c>
      <c r="M1560" s="711">
        <f t="shared" si="6140"/>
        <v>0</v>
      </c>
      <c r="N1560" s="897"/>
      <c r="O1560" s="528"/>
      <c r="P1560" s="548">
        <v>0</v>
      </c>
      <c r="Q1560" s="548">
        <v>0</v>
      </c>
      <c r="R1560" s="548">
        <v>0</v>
      </c>
      <c r="S1560" s="548">
        <v>0</v>
      </c>
      <c r="T1560" s="548">
        <v>0</v>
      </c>
      <c r="U1560" s="548">
        <v>0</v>
      </c>
      <c r="V1560" s="548">
        <v>0</v>
      </c>
      <c r="W1560" s="528"/>
      <c r="X1560" s="711">
        <f t="shared" si="6133"/>
        <v>0</v>
      </c>
      <c r="Y1560" s="897"/>
      <c r="Z1560" s="528"/>
      <c r="AA1560" s="899"/>
      <c r="AB1560" s="899"/>
      <c r="AC1560" s="904"/>
      <c r="AD1560" s="901"/>
      <c r="AE1560" s="2"/>
      <c r="AF1560" s="885"/>
      <c r="AG1560" s="885"/>
      <c r="AH1560" s="885"/>
      <c r="AI1560" s="885"/>
      <c r="AJ1560" s="885"/>
      <c r="AK1560" s="885"/>
      <c r="AL1560" s="885"/>
      <c r="AM1560" s="879"/>
      <c r="AN1560" s="2"/>
      <c r="AO1560" s="886"/>
      <c r="AP1560" s="886"/>
      <c r="AV1560" t="str">
        <f t="shared" si="6199"/>
        <v>Drenagem Superficial</v>
      </c>
      <c r="AW1560" s="4" t="str">
        <f t="shared" si="6197"/>
        <v xml:space="preserve">   Seg. 2.3-C13 - Drenagem Superficial - Sarjeta de corte (Km 127+340 a 127+540)</v>
      </c>
    </row>
    <row r="1561" spans="1:49" ht="14.45" hidden="1" customHeight="1" outlineLevel="2">
      <c r="A1561" s="8" t="str">
        <f t="shared" ref="A1561" si="6256">IF(SUM(P1561:V1562)&gt;0,"S","N")</f>
        <v>N</v>
      </c>
      <c r="B1561" s="150">
        <v>1061726</v>
      </c>
      <c r="C1561" s="150" t="s">
        <v>1882</v>
      </c>
      <c r="D1561" s="120" t="s">
        <v>344</v>
      </c>
      <c r="E1561" s="914" t="s">
        <v>1883</v>
      </c>
      <c r="F1561" s="902" t="s">
        <v>52</v>
      </c>
      <c r="G1561" s="528"/>
      <c r="H1561" s="546" t="s">
        <v>37</v>
      </c>
      <c r="I1561" s="711">
        <v>0</v>
      </c>
      <c r="J1561" s="896" t="str">
        <f t="shared" ref="J1561" si="6257">IFERROR((I1562/I1561),"-")</f>
        <v>-</v>
      </c>
      <c r="K1561" s="528"/>
      <c r="L1561" s="546" t="s">
        <v>37</v>
      </c>
      <c r="M1561" s="711">
        <f t="shared" si="6140"/>
        <v>0</v>
      </c>
      <c r="N1561" s="896" t="str">
        <f t="shared" ref="N1561" si="6258">IFERROR((M1562/M1561),"-")</f>
        <v>-</v>
      </c>
      <c r="O1561" s="528"/>
      <c r="P1561" s="547">
        <v>0</v>
      </c>
      <c r="Q1561" s="547">
        <v>0</v>
      </c>
      <c r="R1561" s="547">
        <v>0</v>
      </c>
      <c r="S1561" s="547">
        <v>0</v>
      </c>
      <c r="T1561" s="547">
        <v>0</v>
      </c>
      <c r="U1561" s="547">
        <v>0</v>
      </c>
      <c r="V1561" s="548">
        <v>0</v>
      </c>
      <c r="W1561" s="528"/>
      <c r="X1561" s="711">
        <f t="shared" si="6133"/>
        <v>0</v>
      </c>
      <c r="Y1561" s="896" t="str">
        <f>IFERROR((X1562/X1561),"-")</f>
        <v>-</v>
      </c>
      <c r="Z1561" s="528"/>
      <c r="AA1561" s="898">
        <v>1</v>
      </c>
      <c r="AB1561" s="898">
        <v>0</v>
      </c>
      <c r="AC1561" s="903">
        <v>0</v>
      </c>
      <c r="AD1561" s="900" t="str">
        <f t="shared" ref="AD1561" si="6259">IFERROR((AC1561/AB1561),"-")</f>
        <v>-</v>
      </c>
      <c r="AE1561" s="2"/>
      <c r="AF1561" s="884"/>
      <c r="AG1561" s="884"/>
      <c r="AH1561" s="884">
        <v>0</v>
      </c>
      <c r="AI1561" s="884"/>
      <c r="AJ1561" s="884"/>
      <c r="AK1561" s="884">
        <f t="shared" ref="AK1561" si="6260">AF1561+AG1561+AH1561+AI1561+AJ1561+AC1561</f>
        <v>0</v>
      </c>
      <c r="AL1561" s="884">
        <v>0</v>
      </c>
      <c r="AM1561" s="878" t="str">
        <f t="shared" ref="AM1561" si="6261">IFERROR((AK1561/AL1561),"-")</f>
        <v>-</v>
      </c>
      <c r="AN1561" s="2"/>
      <c r="AO1561" s="884">
        <v>655</v>
      </c>
      <c r="AP1561" s="884">
        <f t="shared" ref="AP1561" si="6262">AO1561-AK1561</f>
        <v>655</v>
      </c>
      <c r="AV1561" t="str">
        <f t="shared" si="6199"/>
        <v>Drenagem Superficial</v>
      </c>
      <c r="AW1561" s="4" t="str">
        <f t="shared" si="6197"/>
        <v xml:space="preserve">   Seg. 2.3-C14 - Drenagem Superficial - Sarjeta de corte (Km 127+980 a 128+300)</v>
      </c>
    </row>
    <row r="1562" spans="1:49" ht="14.45" hidden="1" customHeight="1" outlineLevel="2">
      <c r="A1562" s="8" t="str">
        <f t="shared" ref="A1562" si="6263">A1561</f>
        <v>N</v>
      </c>
      <c r="B1562" s="150"/>
      <c r="C1562" s="150" t="s">
        <v>1882</v>
      </c>
      <c r="D1562" s="120" t="s">
        <v>344</v>
      </c>
      <c r="E1562" s="915"/>
      <c r="F1562" s="902"/>
      <c r="G1562" s="528"/>
      <c r="H1562" s="549" t="s">
        <v>38</v>
      </c>
      <c r="I1562" s="711">
        <v>0</v>
      </c>
      <c r="J1562" s="897"/>
      <c r="K1562" s="528"/>
      <c r="L1562" s="549" t="s">
        <v>38</v>
      </c>
      <c r="M1562" s="711">
        <f t="shared" si="6140"/>
        <v>0</v>
      </c>
      <c r="N1562" s="897"/>
      <c r="O1562" s="528"/>
      <c r="P1562" s="548">
        <v>0</v>
      </c>
      <c r="Q1562" s="548">
        <v>0</v>
      </c>
      <c r="R1562" s="548">
        <v>0</v>
      </c>
      <c r="S1562" s="548">
        <v>0</v>
      </c>
      <c r="T1562" s="548">
        <v>0</v>
      </c>
      <c r="U1562" s="548">
        <v>0</v>
      </c>
      <c r="V1562" s="548">
        <v>0</v>
      </c>
      <c r="W1562" s="528"/>
      <c r="X1562" s="711">
        <f t="shared" si="6133"/>
        <v>0</v>
      </c>
      <c r="Y1562" s="897"/>
      <c r="Z1562" s="528"/>
      <c r="AA1562" s="899"/>
      <c r="AB1562" s="899"/>
      <c r="AC1562" s="904"/>
      <c r="AD1562" s="901"/>
      <c r="AE1562" s="2"/>
      <c r="AF1562" s="885"/>
      <c r="AG1562" s="885"/>
      <c r="AH1562" s="885"/>
      <c r="AI1562" s="885"/>
      <c r="AJ1562" s="885"/>
      <c r="AK1562" s="885"/>
      <c r="AL1562" s="885"/>
      <c r="AM1562" s="879"/>
      <c r="AN1562" s="2"/>
      <c r="AO1562" s="886"/>
      <c r="AP1562" s="886"/>
      <c r="AV1562" t="str">
        <f t="shared" si="6199"/>
        <v>Drenagem Superficial</v>
      </c>
      <c r="AW1562" s="4" t="str">
        <f t="shared" si="6197"/>
        <v xml:space="preserve">   Seg. 2.3-C14 - Drenagem Superficial - Sarjeta de corte (Km 127+980 a 128+300)</v>
      </c>
    </row>
    <row r="1563" spans="1:49" ht="14.45" hidden="1" customHeight="1" outlineLevel="2">
      <c r="A1563" s="8" t="str">
        <f t="shared" ref="A1563" si="6264">IF(SUM(P1563:V1564)&gt;0,"S","N")</f>
        <v>N</v>
      </c>
      <c r="B1563" s="150">
        <v>1061729</v>
      </c>
      <c r="C1563" s="150" t="s">
        <v>1884</v>
      </c>
      <c r="D1563" s="120" t="s">
        <v>1252</v>
      </c>
      <c r="E1563" s="914" t="s">
        <v>1885</v>
      </c>
      <c r="F1563" s="902" t="s">
        <v>52</v>
      </c>
      <c r="G1563" s="528"/>
      <c r="H1563" s="546" t="s">
        <v>37</v>
      </c>
      <c r="I1563" s="711">
        <v>0</v>
      </c>
      <c r="J1563" s="896" t="str">
        <f t="shared" ref="J1563" si="6265">IFERROR((I1564/I1563),"-")</f>
        <v>-</v>
      </c>
      <c r="K1563" s="528"/>
      <c r="L1563" s="546" t="s">
        <v>37</v>
      </c>
      <c r="M1563" s="711">
        <f t="shared" si="6140"/>
        <v>0</v>
      </c>
      <c r="N1563" s="896" t="str">
        <f t="shared" ref="N1563" si="6266">IFERROR((M1564/M1563),"-")</f>
        <v>-</v>
      </c>
      <c r="O1563" s="528"/>
      <c r="P1563" s="547">
        <v>0</v>
      </c>
      <c r="Q1563" s="547">
        <v>0</v>
      </c>
      <c r="R1563" s="547">
        <v>0</v>
      </c>
      <c r="S1563" s="547">
        <v>0</v>
      </c>
      <c r="T1563" s="547">
        <v>0</v>
      </c>
      <c r="U1563" s="547">
        <v>0</v>
      </c>
      <c r="V1563" s="548">
        <v>0</v>
      </c>
      <c r="W1563" s="528"/>
      <c r="X1563" s="711">
        <f t="shared" si="6133"/>
        <v>0</v>
      </c>
      <c r="Y1563" s="896" t="str">
        <f>IFERROR((X1564/X1563),"-")</f>
        <v>-</v>
      </c>
      <c r="Z1563" s="528"/>
      <c r="AA1563" s="898">
        <v>0</v>
      </c>
      <c r="AB1563" s="898">
        <v>0</v>
      </c>
      <c r="AC1563" s="903">
        <v>0</v>
      </c>
      <c r="AD1563" s="900" t="str">
        <f t="shared" ref="AD1563" si="6267">IFERROR((AC1563/AB1563),"-")</f>
        <v>-</v>
      </c>
      <c r="AE1563" s="2"/>
      <c r="AF1563" s="884">
        <v>893.44600000000003</v>
      </c>
      <c r="AG1563" s="884"/>
      <c r="AH1563" s="884">
        <v>0</v>
      </c>
      <c r="AI1563" s="884"/>
      <c r="AJ1563" s="884">
        <v>14.003</v>
      </c>
      <c r="AK1563" s="884">
        <f t="shared" ref="AK1563" si="6268">AF1563+AG1563+AH1563+AI1563+AJ1563+AC1563</f>
        <v>907.44900000000007</v>
      </c>
      <c r="AL1563" s="884">
        <v>275</v>
      </c>
      <c r="AM1563" s="878">
        <f t="shared" ref="AM1563" si="6269">IFERROR((AK1563/AL1563),"-")</f>
        <v>3.2998145454545456</v>
      </c>
      <c r="AN1563" s="2"/>
      <c r="AO1563" s="884">
        <v>261</v>
      </c>
      <c r="AP1563" s="884">
        <f t="shared" ref="AP1563" si="6270">AO1563-AK1563</f>
        <v>-646.44900000000007</v>
      </c>
      <c r="AV1563" t="str">
        <f t="shared" si="6199"/>
        <v>Drenagem Superficial</v>
      </c>
      <c r="AW1563" s="4" t="str">
        <f t="shared" si="6197"/>
        <v xml:space="preserve">   Seg. 2.3-A01 - Drenagem Superficial - Sarjeta de aterro (Km 116+540 a 116+680)</v>
      </c>
    </row>
    <row r="1564" spans="1:49" ht="14.45" hidden="1" customHeight="1" outlineLevel="2">
      <c r="A1564" s="8" t="str">
        <f t="shared" ref="A1564" si="6271">A1563</f>
        <v>N</v>
      </c>
      <c r="B1564" s="150"/>
      <c r="C1564" s="150" t="s">
        <v>1884</v>
      </c>
      <c r="D1564" s="120" t="s">
        <v>1252</v>
      </c>
      <c r="E1564" s="915"/>
      <c r="F1564" s="902"/>
      <c r="G1564" s="528"/>
      <c r="H1564" s="549" t="s">
        <v>38</v>
      </c>
      <c r="I1564" s="711">
        <v>0</v>
      </c>
      <c r="J1564" s="897"/>
      <c r="K1564" s="528"/>
      <c r="L1564" s="549" t="s">
        <v>38</v>
      </c>
      <c r="M1564" s="711">
        <f t="shared" si="6140"/>
        <v>0</v>
      </c>
      <c r="N1564" s="897"/>
      <c r="O1564" s="528"/>
      <c r="P1564" s="548">
        <v>0</v>
      </c>
      <c r="Q1564" s="548">
        <v>0</v>
      </c>
      <c r="R1564" s="548">
        <v>0</v>
      </c>
      <c r="S1564" s="548">
        <v>0</v>
      </c>
      <c r="T1564" s="548">
        <v>0</v>
      </c>
      <c r="U1564" s="548">
        <v>0</v>
      </c>
      <c r="V1564" s="548">
        <v>0</v>
      </c>
      <c r="W1564" s="528"/>
      <c r="X1564" s="711">
        <f t="shared" si="6133"/>
        <v>0</v>
      </c>
      <c r="Y1564" s="897"/>
      <c r="Z1564" s="528"/>
      <c r="AA1564" s="899"/>
      <c r="AB1564" s="899"/>
      <c r="AC1564" s="904"/>
      <c r="AD1564" s="901"/>
      <c r="AE1564" s="2"/>
      <c r="AF1564" s="885"/>
      <c r="AG1564" s="885"/>
      <c r="AH1564" s="885"/>
      <c r="AI1564" s="885"/>
      <c r="AJ1564" s="885"/>
      <c r="AK1564" s="885"/>
      <c r="AL1564" s="885"/>
      <c r="AM1564" s="879"/>
      <c r="AN1564" s="2"/>
      <c r="AO1564" s="886"/>
      <c r="AP1564" s="886"/>
      <c r="AV1564" t="str">
        <f t="shared" si="6199"/>
        <v>Drenagem Superficial</v>
      </c>
      <c r="AW1564" s="4" t="str">
        <f t="shared" si="6197"/>
        <v xml:space="preserve">   Seg. 2.3-A01 - Drenagem Superficial - Sarjeta de aterro (Km 116+540 a 116+680)</v>
      </c>
    </row>
    <row r="1565" spans="1:49" ht="14.45" hidden="1" customHeight="1" outlineLevel="2">
      <c r="A1565" s="8" t="str">
        <f t="shared" ref="A1565" si="6272">IF(SUM(P1565:V1566)&gt;0,"S","N")</f>
        <v>N</v>
      </c>
      <c r="B1565" s="150">
        <v>1061733</v>
      </c>
      <c r="C1565" s="150" t="s">
        <v>1886</v>
      </c>
      <c r="D1565" s="120" t="s">
        <v>1254</v>
      </c>
      <c r="E1565" s="914" t="s">
        <v>1887</v>
      </c>
      <c r="F1565" s="902" t="s">
        <v>52</v>
      </c>
      <c r="G1565" s="528"/>
      <c r="H1565" s="546" t="s">
        <v>37</v>
      </c>
      <c r="I1565" s="711">
        <v>0</v>
      </c>
      <c r="J1565" s="896" t="str">
        <f t="shared" ref="J1565" si="6273">IFERROR((I1566/I1565),"-")</f>
        <v>-</v>
      </c>
      <c r="K1565" s="528"/>
      <c r="L1565" s="546" t="s">
        <v>37</v>
      </c>
      <c r="M1565" s="711">
        <f t="shared" si="6140"/>
        <v>0</v>
      </c>
      <c r="N1565" s="896" t="str">
        <f t="shared" ref="N1565" si="6274">IFERROR((M1566/M1565),"-")</f>
        <v>-</v>
      </c>
      <c r="O1565" s="528"/>
      <c r="P1565" s="547">
        <v>0</v>
      </c>
      <c r="Q1565" s="547">
        <v>0</v>
      </c>
      <c r="R1565" s="547">
        <v>0</v>
      </c>
      <c r="S1565" s="547">
        <v>0</v>
      </c>
      <c r="T1565" s="547">
        <v>0</v>
      </c>
      <c r="U1565" s="547">
        <v>0</v>
      </c>
      <c r="V1565" s="548">
        <v>0</v>
      </c>
      <c r="W1565" s="528"/>
      <c r="X1565" s="711">
        <f t="shared" si="6133"/>
        <v>0</v>
      </c>
      <c r="Y1565" s="896" t="str">
        <f t="shared" ref="Y1565" si="6275">IFERROR((X1566/X1565),"-")</f>
        <v>-</v>
      </c>
      <c r="Z1565" s="528"/>
      <c r="AA1565" s="898">
        <v>0</v>
      </c>
      <c r="AB1565" s="898">
        <v>0</v>
      </c>
      <c r="AC1565" s="903">
        <v>0</v>
      </c>
      <c r="AD1565" s="900" t="str">
        <f t="shared" ref="AD1565" si="6276">IFERROR((AC1565/AB1565),"-")</f>
        <v>-</v>
      </c>
      <c r="AE1565" s="2"/>
      <c r="AF1565" s="884">
        <v>3517.085</v>
      </c>
      <c r="AG1565" s="884"/>
      <c r="AH1565" s="884">
        <v>0</v>
      </c>
      <c r="AI1565" s="884"/>
      <c r="AJ1565" s="884"/>
      <c r="AK1565" s="884">
        <f t="shared" ref="AK1565" si="6277">AF1565+AG1565+AH1565+AI1565+AJ1565+AC1565</f>
        <v>3517.085</v>
      </c>
      <c r="AL1565" s="884">
        <v>1129</v>
      </c>
      <c r="AM1565" s="878">
        <f t="shared" ref="AM1565" si="6278">IFERROR((AK1565/AL1565),"-")</f>
        <v>3.1152214348981402</v>
      </c>
      <c r="AN1565" s="2"/>
      <c r="AO1565" s="884">
        <v>1129</v>
      </c>
      <c r="AP1565" s="884">
        <f t="shared" ref="AP1565" si="6279">AO1565-AK1565</f>
        <v>-2388.085</v>
      </c>
      <c r="AV1565" t="str">
        <f t="shared" si="6199"/>
        <v>Drenagem Superficial</v>
      </c>
      <c r="AW1565" s="4" t="str">
        <f t="shared" si="6197"/>
        <v xml:space="preserve">   Seg. 2.3-A02 - Drenagem Superficial - Sarjeta de aterro (Km 116+940 a 118+020)</v>
      </c>
    </row>
    <row r="1566" spans="1:49" ht="14.45" hidden="1" customHeight="1" outlineLevel="2">
      <c r="A1566" s="8" t="str">
        <f t="shared" ref="A1566" si="6280">A1565</f>
        <v>N</v>
      </c>
      <c r="B1566" s="150"/>
      <c r="C1566" s="150" t="s">
        <v>1886</v>
      </c>
      <c r="D1566" s="120" t="s">
        <v>1254</v>
      </c>
      <c r="E1566" s="915"/>
      <c r="F1566" s="902"/>
      <c r="G1566" s="528"/>
      <c r="H1566" s="549" t="s">
        <v>38</v>
      </c>
      <c r="I1566" s="711">
        <v>0</v>
      </c>
      <c r="J1566" s="897"/>
      <c r="K1566" s="528"/>
      <c r="L1566" s="549" t="s">
        <v>38</v>
      </c>
      <c r="M1566" s="711">
        <f t="shared" si="6140"/>
        <v>0</v>
      </c>
      <c r="N1566" s="897"/>
      <c r="O1566" s="528"/>
      <c r="P1566" s="548">
        <v>0</v>
      </c>
      <c r="Q1566" s="548">
        <v>0</v>
      </c>
      <c r="R1566" s="548">
        <v>0</v>
      </c>
      <c r="S1566" s="548">
        <v>0</v>
      </c>
      <c r="T1566" s="548">
        <v>0</v>
      </c>
      <c r="U1566" s="548">
        <v>0</v>
      </c>
      <c r="V1566" s="548">
        <v>0</v>
      </c>
      <c r="W1566" s="528"/>
      <c r="X1566" s="711">
        <f t="shared" si="6133"/>
        <v>0</v>
      </c>
      <c r="Y1566" s="897"/>
      <c r="Z1566" s="528"/>
      <c r="AA1566" s="899"/>
      <c r="AB1566" s="899"/>
      <c r="AC1566" s="904"/>
      <c r="AD1566" s="901"/>
      <c r="AE1566" s="2"/>
      <c r="AF1566" s="885"/>
      <c r="AG1566" s="885"/>
      <c r="AH1566" s="885"/>
      <c r="AI1566" s="885"/>
      <c r="AJ1566" s="885"/>
      <c r="AK1566" s="885"/>
      <c r="AL1566" s="885"/>
      <c r="AM1566" s="879"/>
      <c r="AN1566" s="2"/>
      <c r="AO1566" s="886"/>
      <c r="AP1566" s="886"/>
      <c r="AV1566" t="str">
        <f t="shared" si="6199"/>
        <v>Drenagem Superficial</v>
      </c>
      <c r="AW1566" s="4" t="str">
        <f t="shared" si="6197"/>
        <v xml:space="preserve">   Seg. 2.3-A02 - Drenagem Superficial - Sarjeta de aterro (Km 116+940 a 118+020)</v>
      </c>
    </row>
    <row r="1567" spans="1:49" ht="14.45" hidden="1" customHeight="1" outlineLevel="2">
      <c r="A1567" s="8" t="str">
        <f t="shared" ref="A1567" si="6281">IF(SUM(P1567:V1568)&gt;0,"S","N")</f>
        <v>N</v>
      </c>
      <c r="B1567" s="150">
        <v>1061737</v>
      </c>
      <c r="C1567" s="150" t="s">
        <v>1888</v>
      </c>
      <c r="D1567" s="120" t="s">
        <v>1256</v>
      </c>
      <c r="E1567" s="914" t="s">
        <v>1889</v>
      </c>
      <c r="F1567" s="902" t="s">
        <v>52</v>
      </c>
      <c r="G1567" s="528"/>
      <c r="H1567" s="546" t="s">
        <v>37</v>
      </c>
      <c r="I1567" s="711">
        <v>0</v>
      </c>
      <c r="J1567" s="896" t="str">
        <f t="shared" ref="J1567" si="6282">IFERROR((I1568/I1567),"-")</f>
        <v>-</v>
      </c>
      <c r="K1567" s="528"/>
      <c r="L1567" s="546" t="s">
        <v>37</v>
      </c>
      <c r="M1567" s="711">
        <f t="shared" si="6140"/>
        <v>0</v>
      </c>
      <c r="N1567" s="896" t="str">
        <f t="shared" ref="N1567" si="6283">IFERROR((M1568/M1567),"-")</f>
        <v>-</v>
      </c>
      <c r="O1567" s="528"/>
      <c r="P1567" s="547">
        <v>0</v>
      </c>
      <c r="Q1567" s="547">
        <v>0</v>
      </c>
      <c r="R1567" s="547">
        <v>0</v>
      </c>
      <c r="S1567" s="547">
        <v>0</v>
      </c>
      <c r="T1567" s="547">
        <v>0</v>
      </c>
      <c r="U1567" s="547">
        <v>0</v>
      </c>
      <c r="V1567" s="548">
        <v>0</v>
      </c>
      <c r="W1567" s="528"/>
      <c r="X1567" s="711">
        <f t="shared" si="6133"/>
        <v>0</v>
      </c>
      <c r="Y1567" s="896" t="str">
        <f>IFERROR((X1568/X1567),"-")</f>
        <v>-</v>
      </c>
      <c r="Z1567" s="528"/>
      <c r="AA1567" s="898">
        <v>0</v>
      </c>
      <c r="AB1567" s="898">
        <v>0</v>
      </c>
      <c r="AC1567" s="903">
        <v>0</v>
      </c>
      <c r="AD1567" s="900" t="str">
        <f t="shared" ref="AD1567" si="6284">IFERROR((AC1567/AB1567),"-")</f>
        <v>-</v>
      </c>
      <c r="AE1567" s="2"/>
      <c r="AF1567" s="884">
        <v>266.60000000000002</v>
      </c>
      <c r="AG1567" s="884"/>
      <c r="AH1567" s="884">
        <v>0</v>
      </c>
      <c r="AI1567" s="884"/>
      <c r="AJ1567" s="884"/>
      <c r="AK1567" s="884">
        <f t="shared" ref="AK1567" si="6285">AF1567+AG1567+AH1567+AI1567+AJ1567+AC1567</f>
        <v>266.60000000000002</v>
      </c>
      <c r="AL1567" s="884">
        <v>109.02</v>
      </c>
      <c r="AM1567" s="878">
        <f t="shared" ref="AM1567" si="6286">IFERROR((AK1567/AL1567),"-")</f>
        <v>2.4454228581911579</v>
      </c>
      <c r="AN1567" s="2"/>
      <c r="AO1567" s="884">
        <v>109</v>
      </c>
      <c r="AP1567" s="884">
        <f t="shared" ref="AP1567" si="6287">AO1567-AK1567</f>
        <v>-157.60000000000002</v>
      </c>
      <c r="AV1567" t="str">
        <f t="shared" si="6199"/>
        <v>Drenagem Superficial</v>
      </c>
      <c r="AW1567" s="4" t="str">
        <f t="shared" si="6197"/>
        <v xml:space="preserve">   Seg. 2.3-A03 - Drenagem Superficial - Sarjeta de aterro (Km 118+180 a 118+280)</v>
      </c>
    </row>
    <row r="1568" spans="1:49" ht="14.45" hidden="1" customHeight="1" outlineLevel="2">
      <c r="A1568" s="8" t="str">
        <f t="shared" ref="A1568" si="6288">A1567</f>
        <v>N</v>
      </c>
      <c r="B1568" s="150"/>
      <c r="C1568" s="150" t="s">
        <v>1888</v>
      </c>
      <c r="D1568" s="120" t="s">
        <v>1256</v>
      </c>
      <c r="E1568" s="915"/>
      <c r="F1568" s="902"/>
      <c r="G1568" s="528"/>
      <c r="H1568" s="549" t="s">
        <v>38</v>
      </c>
      <c r="I1568" s="711">
        <v>0</v>
      </c>
      <c r="J1568" s="897"/>
      <c r="K1568" s="528"/>
      <c r="L1568" s="549" t="s">
        <v>38</v>
      </c>
      <c r="M1568" s="711">
        <f t="shared" si="6140"/>
        <v>0</v>
      </c>
      <c r="N1568" s="897"/>
      <c r="O1568" s="528"/>
      <c r="P1568" s="548">
        <v>0</v>
      </c>
      <c r="Q1568" s="548">
        <v>0</v>
      </c>
      <c r="R1568" s="548">
        <v>0</v>
      </c>
      <c r="S1568" s="548">
        <v>0</v>
      </c>
      <c r="T1568" s="548">
        <v>0</v>
      </c>
      <c r="U1568" s="548">
        <v>0</v>
      </c>
      <c r="V1568" s="548">
        <v>0</v>
      </c>
      <c r="W1568" s="528"/>
      <c r="X1568" s="711">
        <f t="shared" si="6133"/>
        <v>0</v>
      </c>
      <c r="Y1568" s="897"/>
      <c r="Z1568" s="528"/>
      <c r="AA1568" s="899"/>
      <c r="AB1568" s="899"/>
      <c r="AC1568" s="904"/>
      <c r="AD1568" s="901"/>
      <c r="AE1568" s="2"/>
      <c r="AF1568" s="885"/>
      <c r="AG1568" s="885"/>
      <c r="AH1568" s="885"/>
      <c r="AI1568" s="885"/>
      <c r="AJ1568" s="885"/>
      <c r="AK1568" s="885"/>
      <c r="AL1568" s="885"/>
      <c r="AM1568" s="879"/>
      <c r="AN1568" s="2"/>
      <c r="AO1568" s="886"/>
      <c r="AP1568" s="886"/>
      <c r="AV1568" t="str">
        <f t="shared" si="6199"/>
        <v>Drenagem Superficial</v>
      </c>
      <c r="AW1568" s="4" t="str">
        <f t="shared" si="6197"/>
        <v xml:space="preserve">   Seg. 2.3-A03 - Drenagem Superficial - Sarjeta de aterro (Km 118+180 a 118+280)</v>
      </c>
    </row>
    <row r="1569" spans="1:49" ht="14.45" hidden="1" customHeight="1" outlineLevel="2">
      <c r="A1569" s="8" t="str">
        <f t="shared" ref="A1569" si="6289">IF(SUM(P1569:V1570)&gt;0,"S","N")</f>
        <v>N</v>
      </c>
      <c r="B1569" s="150">
        <v>1061742</v>
      </c>
      <c r="C1569" s="150" t="s">
        <v>1890</v>
      </c>
      <c r="D1569" s="120" t="s">
        <v>1258</v>
      </c>
      <c r="E1569" s="914" t="s">
        <v>1891</v>
      </c>
      <c r="F1569" s="902" t="s">
        <v>52</v>
      </c>
      <c r="G1569" s="528"/>
      <c r="H1569" s="546" t="s">
        <v>37</v>
      </c>
      <c r="I1569" s="711">
        <v>0</v>
      </c>
      <c r="J1569" s="896" t="str">
        <f t="shared" ref="J1569" si="6290">IFERROR((I1570/I1569),"-")</f>
        <v>-</v>
      </c>
      <c r="K1569" s="528"/>
      <c r="L1569" s="546" t="s">
        <v>37</v>
      </c>
      <c r="M1569" s="711">
        <f t="shared" si="6140"/>
        <v>0</v>
      </c>
      <c r="N1569" s="896" t="str">
        <f t="shared" ref="N1569" si="6291">IFERROR((M1570/M1569),"-")</f>
        <v>-</v>
      </c>
      <c r="O1569" s="528"/>
      <c r="P1569" s="547">
        <v>0</v>
      </c>
      <c r="Q1569" s="547">
        <v>0</v>
      </c>
      <c r="R1569" s="547">
        <v>0</v>
      </c>
      <c r="S1569" s="547">
        <v>0</v>
      </c>
      <c r="T1569" s="547">
        <v>0</v>
      </c>
      <c r="U1569" s="547">
        <v>0</v>
      </c>
      <c r="V1569" s="548">
        <v>0</v>
      </c>
      <c r="W1569" s="528"/>
      <c r="X1569" s="711">
        <f t="shared" si="6133"/>
        <v>0</v>
      </c>
      <c r="Y1569" s="896" t="str">
        <f>IFERROR((X1570/X1569),"-")</f>
        <v>-</v>
      </c>
      <c r="Z1569" s="528"/>
      <c r="AA1569" s="898">
        <v>0</v>
      </c>
      <c r="AB1569" s="898">
        <v>0</v>
      </c>
      <c r="AC1569" s="903">
        <v>0</v>
      </c>
      <c r="AD1569" s="900" t="str">
        <f t="shared" ref="AD1569" si="6292">IFERROR((AC1569/AB1569),"-")</f>
        <v>-</v>
      </c>
      <c r="AE1569" s="2"/>
      <c r="AF1569" s="884">
        <v>83.317999999999998</v>
      </c>
      <c r="AG1569" s="884"/>
      <c r="AH1569" s="884">
        <v>0</v>
      </c>
      <c r="AI1569" s="884"/>
      <c r="AJ1569" s="884"/>
      <c r="AK1569" s="884">
        <f t="shared" ref="AK1569" si="6293">AF1569+AG1569+AH1569+AI1569+AJ1569+AC1569</f>
        <v>83.317999999999998</v>
      </c>
      <c r="AL1569" s="884">
        <v>0</v>
      </c>
      <c r="AM1569" s="878" t="str">
        <f t="shared" ref="AM1569" si="6294">IFERROR((AK1569/AL1569),"-")</f>
        <v>-</v>
      </c>
      <c r="AN1569" s="2"/>
      <c r="AO1569" s="884">
        <v>83</v>
      </c>
      <c r="AP1569" s="884">
        <f t="shared" ref="AP1569" si="6295">AO1569-AK1569</f>
        <v>-0.31799999999999784</v>
      </c>
      <c r="AV1569" t="str">
        <f t="shared" si="6199"/>
        <v>Drenagem Superficial</v>
      </c>
      <c r="AW1569" s="4" t="str">
        <f t="shared" si="6197"/>
        <v xml:space="preserve">   Seg. 2.3-A04 - Drenagem Superficial - Sarjeta de aterro (Km 118+500 a 118+580)</v>
      </c>
    </row>
    <row r="1570" spans="1:49" ht="14.45" hidden="1" customHeight="1" outlineLevel="2">
      <c r="A1570" s="8" t="str">
        <f t="shared" ref="A1570" si="6296">A1569</f>
        <v>N</v>
      </c>
      <c r="B1570" s="150"/>
      <c r="C1570" s="150" t="s">
        <v>1890</v>
      </c>
      <c r="D1570" s="120" t="s">
        <v>1258</v>
      </c>
      <c r="E1570" s="915"/>
      <c r="F1570" s="902"/>
      <c r="G1570" s="528"/>
      <c r="H1570" s="549" t="s">
        <v>38</v>
      </c>
      <c r="I1570" s="711">
        <v>0</v>
      </c>
      <c r="J1570" s="897"/>
      <c r="K1570" s="528"/>
      <c r="L1570" s="549" t="s">
        <v>38</v>
      </c>
      <c r="M1570" s="711">
        <f t="shared" si="6140"/>
        <v>0</v>
      </c>
      <c r="N1570" s="897"/>
      <c r="O1570" s="528"/>
      <c r="P1570" s="548">
        <v>0</v>
      </c>
      <c r="Q1570" s="548">
        <v>0</v>
      </c>
      <c r="R1570" s="548">
        <v>0</v>
      </c>
      <c r="S1570" s="548">
        <v>0</v>
      </c>
      <c r="T1570" s="548">
        <v>0</v>
      </c>
      <c r="U1570" s="548">
        <v>0</v>
      </c>
      <c r="V1570" s="548">
        <v>0</v>
      </c>
      <c r="W1570" s="528"/>
      <c r="X1570" s="711">
        <f t="shared" si="6133"/>
        <v>0</v>
      </c>
      <c r="Y1570" s="897"/>
      <c r="Z1570" s="528"/>
      <c r="AA1570" s="899"/>
      <c r="AB1570" s="899"/>
      <c r="AC1570" s="904"/>
      <c r="AD1570" s="901"/>
      <c r="AE1570" s="2"/>
      <c r="AF1570" s="885"/>
      <c r="AG1570" s="885"/>
      <c r="AH1570" s="885"/>
      <c r="AI1570" s="885"/>
      <c r="AJ1570" s="885"/>
      <c r="AK1570" s="885"/>
      <c r="AL1570" s="885"/>
      <c r="AM1570" s="879"/>
      <c r="AN1570" s="2"/>
      <c r="AO1570" s="886"/>
      <c r="AP1570" s="886"/>
      <c r="AV1570" t="str">
        <f t="shared" si="6199"/>
        <v>Drenagem Superficial</v>
      </c>
      <c r="AW1570" s="4" t="str">
        <f t="shared" si="6197"/>
        <v xml:space="preserve">   Seg. 2.3-A04 - Drenagem Superficial - Sarjeta de aterro (Km 118+500 a 118+580)</v>
      </c>
    </row>
    <row r="1571" spans="1:49" ht="14.45" hidden="1" customHeight="1" outlineLevel="2">
      <c r="A1571" s="8" t="str">
        <f t="shared" ref="A1571" si="6297">IF(SUM(P1571:V1572)&gt;0,"S","N")</f>
        <v>N</v>
      </c>
      <c r="B1571" s="150">
        <v>1061746</v>
      </c>
      <c r="C1571" s="150" t="s">
        <v>1892</v>
      </c>
      <c r="D1571" s="120" t="s">
        <v>1260</v>
      </c>
      <c r="E1571" s="914" t="s">
        <v>1893</v>
      </c>
      <c r="F1571" s="902" t="s">
        <v>52</v>
      </c>
      <c r="G1571" s="528"/>
      <c r="H1571" s="546" t="s">
        <v>37</v>
      </c>
      <c r="I1571" s="711">
        <v>0</v>
      </c>
      <c r="J1571" s="896" t="str">
        <f t="shared" ref="J1571" si="6298">IFERROR((I1572/I1571),"-")</f>
        <v>-</v>
      </c>
      <c r="K1571" s="528"/>
      <c r="L1571" s="546" t="s">
        <v>37</v>
      </c>
      <c r="M1571" s="711">
        <f t="shared" si="6140"/>
        <v>0</v>
      </c>
      <c r="N1571" s="896" t="str">
        <f t="shared" ref="N1571" si="6299">IFERROR((M1572/M1571),"-")</f>
        <v>-</v>
      </c>
      <c r="O1571" s="528"/>
      <c r="P1571" s="547">
        <v>0</v>
      </c>
      <c r="Q1571" s="547">
        <v>0</v>
      </c>
      <c r="R1571" s="547">
        <v>0</v>
      </c>
      <c r="S1571" s="547">
        <v>0</v>
      </c>
      <c r="T1571" s="547">
        <v>0</v>
      </c>
      <c r="U1571" s="547">
        <v>0</v>
      </c>
      <c r="V1571" s="548">
        <v>0</v>
      </c>
      <c r="W1571" s="528"/>
      <c r="X1571" s="711">
        <f t="shared" si="6133"/>
        <v>0</v>
      </c>
      <c r="Y1571" s="896" t="str">
        <f>IFERROR((X1572/X1571),"-")</f>
        <v>-</v>
      </c>
      <c r="Z1571" s="528"/>
      <c r="AA1571" s="898">
        <v>0</v>
      </c>
      <c r="AB1571" s="898">
        <v>0</v>
      </c>
      <c r="AC1571" s="903">
        <v>0</v>
      </c>
      <c r="AD1571" s="900" t="str">
        <f t="shared" ref="AD1571" si="6300">IFERROR((AC1571/AB1571),"-")</f>
        <v>-</v>
      </c>
      <c r="AE1571" s="2"/>
      <c r="AF1571" s="884">
        <v>727.07500000000005</v>
      </c>
      <c r="AG1571" s="884"/>
      <c r="AH1571" s="884">
        <v>0</v>
      </c>
      <c r="AI1571" s="884"/>
      <c r="AJ1571" s="884"/>
      <c r="AK1571" s="884">
        <f t="shared" ref="AK1571" si="6301">AF1571+AG1571+AH1571+AI1571+AJ1571+AC1571</f>
        <v>727.07500000000005</v>
      </c>
      <c r="AL1571" s="884">
        <v>307.98999999999995</v>
      </c>
      <c r="AM1571" s="878">
        <f t="shared" ref="AM1571" si="6302">IFERROR((AK1571/AL1571),"-")</f>
        <v>2.3607097633040039</v>
      </c>
      <c r="AN1571" s="2"/>
      <c r="AO1571" s="884">
        <v>308</v>
      </c>
      <c r="AP1571" s="884">
        <f t="shared" ref="AP1571" si="6303">AO1571-AK1571</f>
        <v>-419.07500000000005</v>
      </c>
      <c r="AV1571" t="str">
        <f t="shared" si="6199"/>
        <v>Drenagem Superficial</v>
      </c>
      <c r="AW1571" s="4" t="str">
        <f t="shared" si="6197"/>
        <v xml:space="preserve">   Seg. 2.3-A05 - Drenagem Superficial - Sarjeta de aterro (Km 120+040 a 120+320)</v>
      </c>
    </row>
    <row r="1572" spans="1:49" ht="14.45" hidden="1" customHeight="1" outlineLevel="2">
      <c r="A1572" s="8" t="str">
        <f t="shared" ref="A1572" si="6304">A1571</f>
        <v>N</v>
      </c>
      <c r="B1572" s="150"/>
      <c r="C1572" s="150" t="s">
        <v>1892</v>
      </c>
      <c r="D1572" s="120" t="s">
        <v>1260</v>
      </c>
      <c r="E1572" s="915"/>
      <c r="F1572" s="902"/>
      <c r="G1572" s="528"/>
      <c r="H1572" s="549" t="s">
        <v>38</v>
      </c>
      <c r="I1572" s="711">
        <v>0</v>
      </c>
      <c r="J1572" s="897"/>
      <c r="K1572" s="528"/>
      <c r="L1572" s="549" t="s">
        <v>38</v>
      </c>
      <c r="M1572" s="711">
        <f t="shared" si="6140"/>
        <v>0</v>
      </c>
      <c r="N1572" s="897"/>
      <c r="O1572" s="528"/>
      <c r="P1572" s="548">
        <v>0</v>
      </c>
      <c r="Q1572" s="548">
        <v>0</v>
      </c>
      <c r="R1572" s="548">
        <v>0</v>
      </c>
      <c r="S1572" s="548">
        <v>0</v>
      </c>
      <c r="T1572" s="548">
        <v>0</v>
      </c>
      <c r="U1572" s="548">
        <v>0</v>
      </c>
      <c r="V1572" s="548">
        <v>0</v>
      </c>
      <c r="W1572" s="528"/>
      <c r="X1572" s="711">
        <f t="shared" si="6133"/>
        <v>0</v>
      </c>
      <c r="Y1572" s="897"/>
      <c r="Z1572" s="528"/>
      <c r="AA1572" s="899"/>
      <c r="AB1572" s="899"/>
      <c r="AC1572" s="904"/>
      <c r="AD1572" s="901"/>
      <c r="AE1572" s="2"/>
      <c r="AF1572" s="885"/>
      <c r="AG1572" s="885"/>
      <c r="AH1572" s="885"/>
      <c r="AI1572" s="885"/>
      <c r="AJ1572" s="885"/>
      <c r="AK1572" s="885"/>
      <c r="AL1572" s="885"/>
      <c r="AM1572" s="879"/>
      <c r="AN1572" s="2"/>
      <c r="AO1572" s="886"/>
      <c r="AP1572" s="886"/>
      <c r="AV1572" t="str">
        <f t="shared" si="6199"/>
        <v>Drenagem Superficial</v>
      </c>
      <c r="AW1572" s="4" t="str">
        <f t="shared" si="6197"/>
        <v xml:space="preserve">   Seg. 2.3-A05 - Drenagem Superficial - Sarjeta de aterro (Km 120+040 a 120+320)</v>
      </c>
    </row>
    <row r="1573" spans="1:49" ht="14.45" hidden="1" customHeight="1" outlineLevel="2">
      <c r="A1573" s="8" t="str">
        <f t="shared" ref="A1573" si="6305">IF(SUM(P1573:V1574)&gt;0,"S","N")</f>
        <v>N</v>
      </c>
      <c r="B1573" s="150">
        <v>1061750</v>
      </c>
      <c r="C1573" s="150" t="s">
        <v>1894</v>
      </c>
      <c r="D1573" s="120" t="s">
        <v>1262</v>
      </c>
      <c r="E1573" s="914" t="s">
        <v>1895</v>
      </c>
      <c r="F1573" s="902" t="s">
        <v>52</v>
      </c>
      <c r="G1573" s="528"/>
      <c r="H1573" s="546" t="s">
        <v>37</v>
      </c>
      <c r="I1573" s="711">
        <v>0</v>
      </c>
      <c r="J1573" s="896" t="str">
        <f t="shared" ref="J1573" si="6306">IFERROR((I1574/I1573),"-")</f>
        <v>-</v>
      </c>
      <c r="K1573" s="528"/>
      <c r="L1573" s="546" t="s">
        <v>37</v>
      </c>
      <c r="M1573" s="711">
        <f t="shared" si="6140"/>
        <v>0</v>
      </c>
      <c r="N1573" s="896" t="str">
        <f t="shared" ref="N1573" si="6307">IFERROR((M1574/M1573),"-")</f>
        <v>-</v>
      </c>
      <c r="O1573" s="528"/>
      <c r="P1573" s="547">
        <v>0</v>
      </c>
      <c r="Q1573" s="547">
        <v>0</v>
      </c>
      <c r="R1573" s="547">
        <v>0</v>
      </c>
      <c r="S1573" s="547">
        <v>0</v>
      </c>
      <c r="T1573" s="547">
        <v>0</v>
      </c>
      <c r="U1573" s="547">
        <v>0</v>
      </c>
      <c r="V1573" s="548">
        <v>0</v>
      </c>
      <c r="W1573" s="528"/>
      <c r="X1573" s="711">
        <f t="shared" si="6133"/>
        <v>0</v>
      </c>
      <c r="Y1573" s="896" t="str">
        <f t="shared" ref="Y1573" si="6308">IFERROR((X1574/X1573),"-")</f>
        <v>-</v>
      </c>
      <c r="Z1573" s="528"/>
      <c r="AA1573" s="898">
        <v>0</v>
      </c>
      <c r="AB1573" s="898">
        <v>0</v>
      </c>
      <c r="AC1573" s="903">
        <v>0</v>
      </c>
      <c r="AD1573" s="900" t="str">
        <f t="shared" ref="AD1573" si="6309">IFERROR((AC1573/AB1573),"-")</f>
        <v>-</v>
      </c>
      <c r="AE1573" s="2"/>
      <c r="AF1573" s="884">
        <v>2727.4940000000001</v>
      </c>
      <c r="AG1573" s="884"/>
      <c r="AH1573" s="884">
        <v>0</v>
      </c>
      <c r="AI1573" s="884"/>
      <c r="AJ1573" s="884"/>
      <c r="AK1573" s="884">
        <f t="shared" ref="AK1573" si="6310">AF1573+AG1573+AH1573+AI1573+AJ1573+AC1573</f>
        <v>2727.4940000000001</v>
      </c>
      <c r="AL1573" s="884">
        <v>944</v>
      </c>
      <c r="AM1573" s="878">
        <f t="shared" ref="AM1573" si="6311">IFERROR((AK1573/AL1573),"-")</f>
        <v>2.8892944915254239</v>
      </c>
      <c r="AN1573" s="2"/>
      <c r="AO1573" s="884">
        <v>944</v>
      </c>
      <c r="AP1573" s="884">
        <f t="shared" ref="AP1573" si="6312">AO1573-AK1573</f>
        <v>-1783.4940000000001</v>
      </c>
      <c r="AV1573" t="str">
        <f t="shared" si="6199"/>
        <v>Drenagem Superficial</v>
      </c>
      <c r="AW1573" s="4" t="str">
        <f t="shared" si="6197"/>
        <v xml:space="preserve">   Seg. 2.3-A06 - Drenagem Superficial - Sarjeta de aterro (Km 120+920 a 121+560)</v>
      </c>
    </row>
    <row r="1574" spans="1:49" ht="14.45" hidden="1" customHeight="1" outlineLevel="2">
      <c r="A1574" s="8" t="str">
        <f t="shared" ref="A1574" si="6313">A1573</f>
        <v>N</v>
      </c>
      <c r="B1574" s="150"/>
      <c r="C1574" s="150" t="s">
        <v>1894</v>
      </c>
      <c r="D1574" s="120" t="s">
        <v>1262</v>
      </c>
      <c r="E1574" s="915"/>
      <c r="F1574" s="902"/>
      <c r="G1574" s="528"/>
      <c r="H1574" s="549" t="s">
        <v>38</v>
      </c>
      <c r="I1574" s="711">
        <v>0</v>
      </c>
      <c r="J1574" s="897"/>
      <c r="K1574" s="528"/>
      <c r="L1574" s="549" t="s">
        <v>38</v>
      </c>
      <c r="M1574" s="711">
        <f t="shared" si="6140"/>
        <v>0</v>
      </c>
      <c r="N1574" s="897"/>
      <c r="O1574" s="528"/>
      <c r="P1574" s="548">
        <v>0</v>
      </c>
      <c r="Q1574" s="548">
        <v>0</v>
      </c>
      <c r="R1574" s="548">
        <v>0</v>
      </c>
      <c r="S1574" s="548">
        <v>0</v>
      </c>
      <c r="T1574" s="548">
        <v>0</v>
      </c>
      <c r="U1574" s="548">
        <v>0</v>
      </c>
      <c r="V1574" s="548">
        <v>0</v>
      </c>
      <c r="W1574" s="528"/>
      <c r="X1574" s="711">
        <f t="shared" si="6133"/>
        <v>0</v>
      </c>
      <c r="Y1574" s="897"/>
      <c r="Z1574" s="528"/>
      <c r="AA1574" s="899"/>
      <c r="AB1574" s="899"/>
      <c r="AC1574" s="904"/>
      <c r="AD1574" s="901"/>
      <c r="AE1574" s="2"/>
      <c r="AF1574" s="885"/>
      <c r="AG1574" s="885"/>
      <c r="AH1574" s="885"/>
      <c r="AI1574" s="885"/>
      <c r="AJ1574" s="885"/>
      <c r="AK1574" s="885"/>
      <c r="AL1574" s="885"/>
      <c r="AM1574" s="879"/>
      <c r="AN1574" s="2"/>
      <c r="AO1574" s="886"/>
      <c r="AP1574" s="886"/>
      <c r="AV1574" t="str">
        <f t="shared" si="6199"/>
        <v>Drenagem Superficial</v>
      </c>
      <c r="AW1574" s="4" t="str">
        <f t="shared" si="6197"/>
        <v xml:space="preserve">   Seg. 2.3-A06 - Drenagem Superficial - Sarjeta de aterro (Km 120+920 a 121+560)</v>
      </c>
    </row>
    <row r="1575" spans="1:49" ht="14.45" hidden="1" customHeight="1" outlineLevel="2">
      <c r="A1575" s="8" t="str">
        <f t="shared" ref="A1575" si="6314">IF(SUM(P1575:V1576)&gt;0,"S","N")</f>
        <v>N</v>
      </c>
      <c r="B1575" s="150">
        <v>1061755</v>
      </c>
      <c r="C1575" s="150" t="s">
        <v>1896</v>
      </c>
      <c r="D1575" s="120" t="s">
        <v>1264</v>
      </c>
      <c r="E1575" s="914" t="s">
        <v>1897</v>
      </c>
      <c r="F1575" s="902" t="s">
        <v>52</v>
      </c>
      <c r="G1575" s="528"/>
      <c r="H1575" s="546" t="s">
        <v>37</v>
      </c>
      <c r="I1575" s="711">
        <v>0</v>
      </c>
      <c r="J1575" s="896" t="str">
        <f t="shared" ref="J1575" si="6315">IFERROR((I1576/I1575),"-")</f>
        <v>-</v>
      </c>
      <c r="K1575" s="528"/>
      <c r="L1575" s="546" t="s">
        <v>37</v>
      </c>
      <c r="M1575" s="711">
        <f t="shared" si="6140"/>
        <v>0</v>
      </c>
      <c r="N1575" s="896" t="str">
        <f t="shared" ref="N1575" si="6316">IFERROR((M1576/M1575),"-")</f>
        <v>-</v>
      </c>
      <c r="O1575" s="528"/>
      <c r="P1575" s="547">
        <v>0</v>
      </c>
      <c r="Q1575" s="547">
        <v>0</v>
      </c>
      <c r="R1575" s="547">
        <v>0</v>
      </c>
      <c r="S1575" s="547">
        <v>0</v>
      </c>
      <c r="T1575" s="547">
        <v>0</v>
      </c>
      <c r="U1575" s="547">
        <v>0</v>
      </c>
      <c r="V1575" s="548">
        <v>0</v>
      </c>
      <c r="W1575" s="528"/>
      <c r="X1575" s="711">
        <f t="shared" si="6133"/>
        <v>0</v>
      </c>
      <c r="Y1575" s="896" t="str">
        <f>IFERROR((X1576/X1575),"-")</f>
        <v>-</v>
      </c>
      <c r="Z1575" s="528"/>
      <c r="AA1575" s="898">
        <v>0</v>
      </c>
      <c r="AB1575" s="898">
        <v>0</v>
      </c>
      <c r="AC1575" s="903">
        <v>0</v>
      </c>
      <c r="AD1575" s="900" t="str">
        <f t="shared" ref="AD1575" si="6317">IFERROR((AC1575/AB1575),"-")</f>
        <v>-</v>
      </c>
      <c r="AE1575" s="2"/>
      <c r="AF1575" s="884">
        <v>24.149000000000001</v>
      </c>
      <c r="AG1575" s="884"/>
      <c r="AH1575" s="884">
        <v>0</v>
      </c>
      <c r="AI1575" s="884"/>
      <c r="AJ1575" s="884"/>
      <c r="AK1575" s="884">
        <f t="shared" ref="AK1575" si="6318">AF1575+AG1575+AH1575+AI1575+AJ1575+AC1575</f>
        <v>24.149000000000001</v>
      </c>
      <c r="AL1575" s="884">
        <v>0</v>
      </c>
      <c r="AM1575" s="878" t="str">
        <f t="shared" ref="AM1575" si="6319">IFERROR((AK1575/AL1575),"-")</f>
        <v>-</v>
      </c>
      <c r="AN1575" s="2"/>
      <c r="AO1575" s="884">
        <v>0</v>
      </c>
      <c r="AP1575" s="884">
        <f t="shared" ref="AP1575" si="6320">AO1575-AK1575</f>
        <v>-24.149000000000001</v>
      </c>
      <c r="AV1575" t="str">
        <f t="shared" si="6199"/>
        <v>Drenagem Superficial</v>
      </c>
      <c r="AW1575" s="4" t="str">
        <f t="shared" si="6197"/>
        <v xml:space="preserve">   Seg. 2.3-A07 - Drenagem Superficial - Sarjeta de aterro (Km 121+660 a 121+700)</v>
      </c>
    </row>
    <row r="1576" spans="1:49" ht="14.45" hidden="1" customHeight="1" outlineLevel="2">
      <c r="A1576" s="8" t="str">
        <f t="shared" ref="A1576" si="6321">A1575</f>
        <v>N</v>
      </c>
      <c r="B1576" s="150"/>
      <c r="C1576" s="150" t="s">
        <v>1896</v>
      </c>
      <c r="D1576" s="120" t="s">
        <v>1264</v>
      </c>
      <c r="E1576" s="915"/>
      <c r="F1576" s="902"/>
      <c r="G1576" s="528"/>
      <c r="H1576" s="549" t="s">
        <v>38</v>
      </c>
      <c r="I1576" s="711">
        <v>0</v>
      </c>
      <c r="J1576" s="897"/>
      <c r="K1576" s="528"/>
      <c r="L1576" s="549" t="s">
        <v>38</v>
      </c>
      <c r="M1576" s="711">
        <f t="shared" si="6140"/>
        <v>0</v>
      </c>
      <c r="N1576" s="897"/>
      <c r="O1576" s="528"/>
      <c r="P1576" s="548">
        <v>0</v>
      </c>
      <c r="Q1576" s="548">
        <v>0</v>
      </c>
      <c r="R1576" s="548">
        <v>0</v>
      </c>
      <c r="S1576" s="548">
        <v>0</v>
      </c>
      <c r="T1576" s="548">
        <v>0</v>
      </c>
      <c r="U1576" s="548">
        <v>0</v>
      </c>
      <c r="V1576" s="548">
        <v>0</v>
      </c>
      <c r="W1576" s="528"/>
      <c r="X1576" s="711">
        <f t="shared" si="6133"/>
        <v>0</v>
      </c>
      <c r="Y1576" s="897"/>
      <c r="Z1576" s="528"/>
      <c r="AA1576" s="899"/>
      <c r="AB1576" s="899"/>
      <c r="AC1576" s="904"/>
      <c r="AD1576" s="901"/>
      <c r="AE1576" s="2"/>
      <c r="AF1576" s="885"/>
      <c r="AG1576" s="885"/>
      <c r="AH1576" s="885"/>
      <c r="AI1576" s="885"/>
      <c r="AJ1576" s="885"/>
      <c r="AK1576" s="885"/>
      <c r="AL1576" s="885"/>
      <c r="AM1576" s="879"/>
      <c r="AN1576" s="2"/>
      <c r="AO1576" s="886"/>
      <c r="AP1576" s="886"/>
      <c r="AV1576" t="str">
        <f t="shared" si="6199"/>
        <v>Drenagem Superficial</v>
      </c>
      <c r="AW1576" s="4" t="str">
        <f t="shared" si="6197"/>
        <v xml:space="preserve">   Seg. 2.3-A07 - Drenagem Superficial - Sarjeta de aterro (Km 121+660 a 121+700)</v>
      </c>
    </row>
    <row r="1577" spans="1:49" ht="14.45" hidden="1" customHeight="1" outlineLevel="2">
      <c r="A1577" s="8" t="str">
        <f t="shared" ref="A1577" si="6322">IF(SUM(P1577:V1578)&gt;0,"S","N")</f>
        <v>N</v>
      </c>
      <c r="B1577" s="150">
        <v>1061766</v>
      </c>
      <c r="C1577" s="150" t="s">
        <v>1898</v>
      </c>
      <c r="D1577" s="120" t="s">
        <v>1271</v>
      </c>
      <c r="E1577" s="914" t="s">
        <v>1899</v>
      </c>
      <c r="F1577" s="902" t="s">
        <v>52</v>
      </c>
      <c r="G1577" s="528"/>
      <c r="H1577" s="546" t="s">
        <v>37</v>
      </c>
      <c r="I1577" s="711">
        <v>0</v>
      </c>
      <c r="J1577" s="896" t="str">
        <f t="shared" ref="J1577" si="6323">IFERROR((I1578/I1577),"-")</f>
        <v>-</v>
      </c>
      <c r="K1577" s="528"/>
      <c r="L1577" s="546" t="s">
        <v>37</v>
      </c>
      <c r="M1577" s="711">
        <f t="shared" si="6140"/>
        <v>0</v>
      </c>
      <c r="N1577" s="896" t="str">
        <f t="shared" ref="N1577" si="6324">IFERROR((M1578/M1577),"-")</f>
        <v>-</v>
      </c>
      <c r="O1577" s="528"/>
      <c r="P1577" s="547">
        <v>0</v>
      </c>
      <c r="Q1577" s="547">
        <v>0</v>
      </c>
      <c r="R1577" s="547">
        <v>0</v>
      </c>
      <c r="S1577" s="547">
        <v>0</v>
      </c>
      <c r="T1577" s="547">
        <v>0</v>
      </c>
      <c r="U1577" s="547">
        <v>0</v>
      </c>
      <c r="V1577" s="548">
        <v>0</v>
      </c>
      <c r="W1577" s="528"/>
      <c r="X1577" s="711">
        <f t="shared" si="6133"/>
        <v>0</v>
      </c>
      <c r="Y1577" s="896" t="str">
        <f>IFERROR((X1578/X1577),"-")</f>
        <v>-</v>
      </c>
      <c r="Z1577" s="528"/>
      <c r="AA1577" s="898">
        <v>0</v>
      </c>
      <c r="AB1577" s="898">
        <v>0</v>
      </c>
      <c r="AC1577" s="903">
        <v>0</v>
      </c>
      <c r="AD1577" s="900" t="str">
        <f t="shared" ref="AD1577" si="6325">IFERROR((AC1577/AB1577),"-")</f>
        <v>-</v>
      </c>
      <c r="AE1577" s="2"/>
      <c r="AF1577" s="884"/>
      <c r="AG1577" s="884"/>
      <c r="AH1577" s="884">
        <v>0</v>
      </c>
      <c r="AI1577" s="884"/>
      <c r="AJ1577" s="884"/>
      <c r="AK1577" s="884">
        <f t="shared" ref="AK1577" si="6326">AF1577+AG1577+AH1577+AI1577+AJ1577+AC1577</f>
        <v>0</v>
      </c>
      <c r="AL1577" s="884">
        <v>0</v>
      </c>
      <c r="AM1577" s="878" t="str">
        <f t="shared" ref="AM1577" si="6327">IFERROR((AK1577/AL1577),"-")</f>
        <v>-</v>
      </c>
      <c r="AN1577" s="2"/>
      <c r="AO1577" s="884">
        <v>14</v>
      </c>
      <c r="AP1577" s="884">
        <f t="shared" ref="AP1577" si="6328">AO1577-AK1577</f>
        <v>14</v>
      </c>
      <c r="AV1577" t="str">
        <f t="shared" si="6199"/>
        <v>Drenagem Superficial</v>
      </c>
      <c r="AW1577" s="4" t="str">
        <f t="shared" si="6197"/>
        <v xml:space="preserve">   Seg. 2.3-A11 - Drenagem Superficial - Sarjeta de aterro (Km 124+400 ao 124+460)</v>
      </c>
    </row>
    <row r="1578" spans="1:49" ht="14.45" hidden="1" customHeight="1" outlineLevel="2">
      <c r="A1578" s="8" t="str">
        <f t="shared" ref="A1578" si="6329">A1577</f>
        <v>N</v>
      </c>
      <c r="B1578" s="150"/>
      <c r="C1578" s="150" t="s">
        <v>1898</v>
      </c>
      <c r="D1578" s="120" t="s">
        <v>1271</v>
      </c>
      <c r="E1578" s="915"/>
      <c r="F1578" s="902"/>
      <c r="G1578" s="528"/>
      <c r="H1578" s="549" t="s">
        <v>38</v>
      </c>
      <c r="I1578" s="711">
        <v>0</v>
      </c>
      <c r="J1578" s="897"/>
      <c r="K1578" s="528"/>
      <c r="L1578" s="549" t="s">
        <v>38</v>
      </c>
      <c r="M1578" s="711">
        <f t="shared" si="6140"/>
        <v>0</v>
      </c>
      <c r="N1578" s="897"/>
      <c r="O1578" s="528"/>
      <c r="P1578" s="548">
        <v>0</v>
      </c>
      <c r="Q1578" s="548">
        <v>0</v>
      </c>
      <c r="R1578" s="548">
        <v>0</v>
      </c>
      <c r="S1578" s="548">
        <v>0</v>
      </c>
      <c r="T1578" s="548">
        <v>0</v>
      </c>
      <c r="U1578" s="548">
        <v>0</v>
      </c>
      <c r="V1578" s="548">
        <v>0</v>
      </c>
      <c r="W1578" s="528"/>
      <c r="X1578" s="711">
        <f t="shared" si="6133"/>
        <v>0</v>
      </c>
      <c r="Y1578" s="897"/>
      <c r="Z1578" s="528"/>
      <c r="AA1578" s="899"/>
      <c r="AB1578" s="899"/>
      <c r="AC1578" s="904"/>
      <c r="AD1578" s="901"/>
      <c r="AE1578" s="2"/>
      <c r="AF1578" s="885"/>
      <c r="AG1578" s="885"/>
      <c r="AH1578" s="885"/>
      <c r="AI1578" s="885"/>
      <c r="AJ1578" s="885"/>
      <c r="AK1578" s="885"/>
      <c r="AL1578" s="885"/>
      <c r="AM1578" s="879"/>
      <c r="AN1578" s="2"/>
      <c r="AO1578" s="886"/>
      <c r="AP1578" s="886"/>
      <c r="AV1578" t="str">
        <f t="shared" si="6199"/>
        <v>Drenagem Superficial</v>
      </c>
      <c r="AW1578" s="4" t="str">
        <f t="shared" si="6197"/>
        <v xml:space="preserve">   Seg. 2.3-A11 - Drenagem Superficial - Sarjeta de aterro (Km 124+400 ao 124+460)</v>
      </c>
    </row>
    <row r="1579" spans="1:49" ht="14.45" hidden="1" customHeight="1" outlineLevel="2">
      <c r="A1579" s="8" t="str">
        <f t="shared" ref="A1579" si="6330">IF(SUM(P1579:V1580)&gt;0,"S","N")</f>
        <v>N</v>
      </c>
      <c r="B1579" s="150">
        <v>1061773</v>
      </c>
      <c r="C1579" s="150" t="s">
        <v>1900</v>
      </c>
      <c r="D1579" s="120" t="s">
        <v>1275</v>
      </c>
      <c r="E1579" s="914" t="s">
        <v>1901</v>
      </c>
      <c r="F1579" s="902" t="s">
        <v>52</v>
      </c>
      <c r="G1579" s="528"/>
      <c r="H1579" s="546" t="s">
        <v>37</v>
      </c>
      <c r="I1579" s="711">
        <v>0</v>
      </c>
      <c r="J1579" s="896" t="str">
        <f t="shared" ref="J1579" si="6331">IFERROR((I1580/I1579),"-")</f>
        <v>-</v>
      </c>
      <c r="K1579" s="528"/>
      <c r="L1579" s="546" t="s">
        <v>37</v>
      </c>
      <c r="M1579" s="711">
        <f t="shared" si="6140"/>
        <v>0</v>
      </c>
      <c r="N1579" s="896" t="str">
        <f t="shared" ref="N1579" si="6332">IFERROR((M1580/M1579),"-")</f>
        <v>-</v>
      </c>
      <c r="O1579" s="528"/>
      <c r="P1579" s="547">
        <v>0</v>
      </c>
      <c r="Q1579" s="547">
        <v>0</v>
      </c>
      <c r="R1579" s="547">
        <v>0</v>
      </c>
      <c r="S1579" s="547">
        <v>0</v>
      </c>
      <c r="T1579" s="547">
        <v>0</v>
      </c>
      <c r="U1579" s="547">
        <v>0</v>
      </c>
      <c r="V1579" s="548">
        <v>0</v>
      </c>
      <c r="W1579" s="528"/>
      <c r="X1579" s="711">
        <f t="shared" si="6133"/>
        <v>0</v>
      </c>
      <c r="Y1579" s="896" t="str">
        <f>IFERROR((X1580/X1579),"-")</f>
        <v>-</v>
      </c>
      <c r="Z1579" s="528"/>
      <c r="AA1579" s="898">
        <v>0</v>
      </c>
      <c r="AB1579" s="898">
        <v>0</v>
      </c>
      <c r="AC1579" s="903">
        <v>0</v>
      </c>
      <c r="AD1579" s="900" t="str">
        <f t="shared" ref="AD1579" si="6333">IFERROR((AC1579/AB1579),"-")</f>
        <v>-</v>
      </c>
      <c r="AE1579" s="2"/>
      <c r="AF1579" s="884">
        <v>1576.692</v>
      </c>
      <c r="AG1579" s="884"/>
      <c r="AH1579" s="884">
        <v>0</v>
      </c>
      <c r="AI1579" s="884"/>
      <c r="AJ1579" s="884"/>
      <c r="AK1579" s="884">
        <f t="shared" ref="AK1579" si="6334">AF1579+AG1579+AH1579+AI1579+AJ1579+AC1579</f>
        <v>1576.692</v>
      </c>
      <c r="AL1579" s="884">
        <v>538.0899999999998</v>
      </c>
      <c r="AM1579" s="878">
        <f t="shared" ref="AM1579" si="6335">IFERROR((AK1579/AL1579),"-")</f>
        <v>2.9301640989425572</v>
      </c>
      <c r="AN1579" s="2"/>
      <c r="AO1579" s="884">
        <v>538</v>
      </c>
      <c r="AP1579" s="884">
        <f t="shared" ref="AP1579" si="6336">AO1579-AK1579</f>
        <v>-1038.692</v>
      </c>
      <c r="AV1579" t="str">
        <f t="shared" si="6199"/>
        <v>Drenagem Superficial</v>
      </c>
      <c r="AW1579" s="4" t="str">
        <f t="shared" si="6197"/>
        <v xml:space="preserve">   Seg. 2.3-A13 - Drenagem Superficial - Sarjeta de aterro (Km 125+640 a 125+960)</v>
      </c>
    </row>
    <row r="1580" spans="1:49" ht="14.45" hidden="1" customHeight="1" outlineLevel="2">
      <c r="A1580" s="8" t="str">
        <f t="shared" ref="A1580" si="6337">A1579</f>
        <v>N</v>
      </c>
      <c r="B1580" s="150"/>
      <c r="C1580" s="150" t="s">
        <v>1900</v>
      </c>
      <c r="D1580" s="120" t="s">
        <v>1275</v>
      </c>
      <c r="E1580" s="915"/>
      <c r="F1580" s="902"/>
      <c r="G1580" s="528"/>
      <c r="H1580" s="549" t="s">
        <v>38</v>
      </c>
      <c r="I1580" s="711">
        <v>0</v>
      </c>
      <c r="J1580" s="897"/>
      <c r="K1580" s="528"/>
      <c r="L1580" s="549" t="s">
        <v>38</v>
      </c>
      <c r="M1580" s="711">
        <f t="shared" si="6140"/>
        <v>0</v>
      </c>
      <c r="N1580" s="897"/>
      <c r="O1580" s="528"/>
      <c r="P1580" s="548">
        <v>0</v>
      </c>
      <c r="Q1580" s="548">
        <v>0</v>
      </c>
      <c r="R1580" s="548">
        <v>0</v>
      </c>
      <c r="S1580" s="548">
        <v>0</v>
      </c>
      <c r="T1580" s="548">
        <v>0</v>
      </c>
      <c r="U1580" s="548">
        <v>0</v>
      </c>
      <c r="V1580" s="548">
        <v>0</v>
      </c>
      <c r="W1580" s="528"/>
      <c r="X1580" s="711">
        <f t="shared" si="6133"/>
        <v>0</v>
      </c>
      <c r="Y1580" s="897"/>
      <c r="Z1580" s="528"/>
      <c r="AA1580" s="899"/>
      <c r="AB1580" s="899"/>
      <c r="AC1580" s="904"/>
      <c r="AD1580" s="901"/>
      <c r="AE1580" s="2"/>
      <c r="AF1580" s="885"/>
      <c r="AG1580" s="885"/>
      <c r="AH1580" s="885"/>
      <c r="AI1580" s="885"/>
      <c r="AJ1580" s="885"/>
      <c r="AK1580" s="885"/>
      <c r="AL1580" s="885"/>
      <c r="AM1580" s="879"/>
      <c r="AN1580" s="2"/>
      <c r="AO1580" s="886"/>
      <c r="AP1580" s="886"/>
      <c r="AV1580" t="str">
        <f t="shared" si="6199"/>
        <v>Drenagem Superficial</v>
      </c>
      <c r="AW1580" s="4" t="str">
        <f t="shared" si="6197"/>
        <v xml:space="preserve">   Seg. 2.3-A13 - Drenagem Superficial - Sarjeta de aterro (Km 125+640 a 125+960)</v>
      </c>
    </row>
    <row r="1581" spans="1:49" ht="14.45" hidden="1" customHeight="1" outlineLevel="2">
      <c r="A1581" s="8" t="str">
        <f t="shared" ref="A1581" si="6338">IF(SUM(P1581:V1582)&gt;0,"S","N")</f>
        <v>N</v>
      </c>
      <c r="B1581" s="150">
        <v>1061778</v>
      </c>
      <c r="C1581" s="150" t="s">
        <v>1902</v>
      </c>
      <c r="D1581" s="120" t="s">
        <v>1277</v>
      </c>
      <c r="E1581" s="914" t="s">
        <v>1903</v>
      </c>
      <c r="F1581" s="902" t="s">
        <v>52</v>
      </c>
      <c r="G1581" s="528"/>
      <c r="H1581" s="546" t="s">
        <v>37</v>
      </c>
      <c r="I1581" s="711">
        <v>0</v>
      </c>
      <c r="J1581" s="896" t="str">
        <f t="shared" ref="J1581" si="6339">IFERROR((I1582/I1581),"-")</f>
        <v>-</v>
      </c>
      <c r="K1581" s="528"/>
      <c r="L1581" s="546" t="s">
        <v>37</v>
      </c>
      <c r="M1581" s="711">
        <f t="shared" si="6140"/>
        <v>0</v>
      </c>
      <c r="N1581" s="896" t="str">
        <f t="shared" ref="N1581" si="6340">IFERROR((M1582/M1581),"-")</f>
        <v>-</v>
      </c>
      <c r="O1581" s="528"/>
      <c r="P1581" s="547">
        <v>0</v>
      </c>
      <c r="Q1581" s="547">
        <v>0</v>
      </c>
      <c r="R1581" s="547">
        <v>0</v>
      </c>
      <c r="S1581" s="547">
        <v>0</v>
      </c>
      <c r="T1581" s="547">
        <v>0</v>
      </c>
      <c r="U1581" s="547">
        <v>0</v>
      </c>
      <c r="V1581" s="548">
        <v>0</v>
      </c>
      <c r="W1581" s="528"/>
      <c r="X1581" s="711">
        <f t="shared" si="6133"/>
        <v>0</v>
      </c>
      <c r="Y1581" s="896" t="str">
        <f>IFERROR((X1582/X1581),"-")</f>
        <v>-</v>
      </c>
      <c r="Z1581" s="528"/>
      <c r="AA1581" s="898">
        <v>0</v>
      </c>
      <c r="AB1581" s="898">
        <v>0</v>
      </c>
      <c r="AC1581" s="903">
        <v>0</v>
      </c>
      <c r="AD1581" s="900" t="str">
        <f t="shared" ref="AD1581" si="6341">IFERROR((AC1581/AB1581),"-")</f>
        <v>-</v>
      </c>
      <c r="AE1581" s="2"/>
      <c r="AF1581" s="884">
        <v>506.863</v>
      </c>
      <c r="AG1581" s="884"/>
      <c r="AH1581" s="884">
        <v>0</v>
      </c>
      <c r="AI1581" s="884"/>
      <c r="AJ1581" s="884"/>
      <c r="AK1581" s="884">
        <f t="shared" ref="AK1581" si="6342">AF1581+AG1581+AH1581+AI1581+AJ1581+AC1581</f>
        <v>506.863</v>
      </c>
      <c r="AL1581" s="884">
        <v>169</v>
      </c>
      <c r="AM1581" s="878">
        <f t="shared" ref="AM1581" si="6343">IFERROR((AK1581/AL1581),"-")</f>
        <v>2.999189349112426</v>
      </c>
      <c r="AN1581" s="2"/>
      <c r="AO1581" s="884">
        <v>169</v>
      </c>
      <c r="AP1581" s="884">
        <f t="shared" ref="AP1581" si="6344">AO1581-AK1581</f>
        <v>-337.863</v>
      </c>
      <c r="AV1581" t="str">
        <f t="shared" si="6199"/>
        <v>Drenagem Superficial</v>
      </c>
      <c r="AW1581" s="4" t="str">
        <f t="shared" si="6197"/>
        <v xml:space="preserve">   Seg. 2.3-A14 - Drenagem Superficial - Sarjeta de aterro (Km 126+360 a 126+500)</v>
      </c>
    </row>
    <row r="1582" spans="1:49" ht="14.45" hidden="1" customHeight="1" outlineLevel="2">
      <c r="A1582" s="8" t="str">
        <f t="shared" ref="A1582" si="6345">A1581</f>
        <v>N</v>
      </c>
      <c r="B1582" s="150"/>
      <c r="C1582" s="150" t="s">
        <v>1902</v>
      </c>
      <c r="D1582" s="120" t="s">
        <v>1277</v>
      </c>
      <c r="E1582" s="915"/>
      <c r="F1582" s="902"/>
      <c r="G1582" s="528"/>
      <c r="H1582" s="549" t="s">
        <v>38</v>
      </c>
      <c r="I1582" s="711">
        <v>0</v>
      </c>
      <c r="J1582" s="897"/>
      <c r="K1582" s="528"/>
      <c r="L1582" s="549" t="s">
        <v>38</v>
      </c>
      <c r="M1582" s="711">
        <f t="shared" si="6140"/>
        <v>0</v>
      </c>
      <c r="N1582" s="897"/>
      <c r="O1582" s="528"/>
      <c r="P1582" s="548">
        <v>0</v>
      </c>
      <c r="Q1582" s="548">
        <v>0</v>
      </c>
      <c r="R1582" s="548">
        <v>0</v>
      </c>
      <c r="S1582" s="548">
        <v>0</v>
      </c>
      <c r="T1582" s="548">
        <v>0</v>
      </c>
      <c r="U1582" s="548">
        <v>0</v>
      </c>
      <c r="V1582" s="548">
        <v>0</v>
      </c>
      <c r="W1582" s="528"/>
      <c r="X1582" s="711">
        <f t="shared" si="6133"/>
        <v>0</v>
      </c>
      <c r="Y1582" s="897"/>
      <c r="Z1582" s="528"/>
      <c r="AA1582" s="899"/>
      <c r="AB1582" s="899"/>
      <c r="AC1582" s="904"/>
      <c r="AD1582" s="901"/>
      <c r="AE1582" s="2"/>
      <c r="AF1582" s="885"/>
      <c r="AG1582" s="885"/>
      <c r="AH1582" s="885"/>
      <c r="AI1582" s="885"/>
      <c r="AJ1582" s="885"/>
      <c r="AK1582" s="885"/>
      <c r="AL1582" s="885"/>
      <c r="AM1582" s="879"/>
      <c r="AN1582" s="2"/>
      <c r="AO1582" s="886"/>
      <c r="AP1582" s="886"/>
      <c r="AV1582" t="str">
        <f t="shared" si="6199"/>
        <v>Drenagem Superficial</v>
      </c>
      <c r="AW1582" s="4" t="str">
        <f t="shared" si="6197"/>
        <v xml:space="preserve">   Seg. 2.3-A14 - Drenagem Superficial - Sarjeta de aterro (Km 126+360 a 126+500)</v>
      </c>
    </row>
    <row r="1583" spans="1:49" ht="14.45" hidden="1" customHeight="1" outlineLevel="2">
      <c r="A1583" s="8" t="str">
        <f t="shared" ref="A1583" si="6346">IF(SUM(P1583:V1584)&gt;0,"S","N")</f>
        <v>N</v>
      </c>
      <c r="B1583" s="150">
        <v>1061783</v>
      </c>
      <c r="C1583" s="150" t="s">
        <v>1904</v>
      </c>
      <c r="D1583" s="120" t="s">
        <v>1279</v>
      </c>
      <c r="E1583" s="914" t="s">
        <v>1905</v>
      </c>
      <c r="F1583" s="902" t="s">
        <v>52</v>
      </c>
      <c r="G1583" s="528"/>
      <c r="H1583" s="546" t="s">
        <v>37</v>
      </c>
      <c r="I1583" s="711">
        <v>0</v>
      </c>
      <c r="J1583" s="896" t="str">
        <f t="shared" ref="J1583" si="6347">IFERROR((I1584/I1583),"-")</f>
        <v>-</v>
      </c>
      <c r="K1583" s="528"/>
      <c r="L1583" s="546" t="s">
        <v>37</v>
      </c>
      <c r="M1583" s="711">
        <f t="shared" si="6140"/>
        <v>0</v>
      </c>
      <c r="N1583" s="896" t="str">
        <f t="shared" ref="N1583" si="6348">IFERROR((M1584/M1583),"-")</f>
        <v>-</v>
      </c>
      <c r="O1583" s="528"/>
      <c r="P1583" s="547">
        <v>0</v>
      </c>
      <c r="Q1583" s="547">
        <v>0</v>
      </c>
      <c r="R1583" s="547">
        <v>0</v>
      </c>
      <c r="S1583" s="547">
        <v>0</v>
      </c>
      <c r="T1583" s="547">
        <v>0</v>
      </c>
      <c r="U1583" s="547">
        <v>0</v>
      </c>
      <c r="V1583" s="548">
        <v>0</v>
      </c>
      <c r="W1583" s="528"/>
      <c r="X1583" s="711">
        <f t="shared" si="6133"/>
        <v>0</v>
      </c>
      <c r="Y1583" s="896" t="str">
        <f t="shared" ref="Y1583" si="6349">IFERROR((X1584/X1583),"-")</f>
        <v>-</v>
      </c>
      <c r="Z1583" s="528"/>
      <c r="AA1583" s="898">
        <v>0</v>
      </c>
      <c r="AB1583" s="898">
        <v>0</v>
      </c>
      <c r="AC1583" s="903">
        <v>0</v>
      </c>
      <c r="AD1583" s="900" t="str">
        <f t="shared" ref="AD1583" si="6350">IFERROR((AC1583/AB1583),"-")</f>
        <v>-</v>
      </c>
      <c r="AE1583" s="2"/>
      <c r="AF1583" s="884">
        <v>2451.8620000000001</v>
      </c>
      <c r="AG1583" s="884"/>
      <c r="AH1583" s="884">
        <v>0</v>
      </c>
      <c r="AI1583" s="884"/>
      <c r="AJ1583" s="884"/>
      <c r="AK1583" s="884">
        <f t="shared" ref="AK1583" si="6351">AF1583+AG1583+AH1583+AI1583+AJ1583+AC1583</f>
        <v>2451.8620000000001</v>
      </c>
      <c r="AL1583" s="884">
        <v>1163.98</v>
      </c>
      <c r="AM1583" s="878">
        <f t="shared" ref="AM1583" si="6352">IFERROR((AK1583/AL1583),"-")</f>
        <v>2.1064468461657415</v>
      </c>
      <c r="AN1583" s="2"/>
      <c r="AO1583" s="884">
        <v>1164</v>
      </c>
      <c r="AP1583" s="884">
        <f t="shared" ref="AP1583" si="6353">AO1583-AK1583</f>
        <v>-1287.8620000000001</v>
      </c>
      <c r="AV1583" t="str">
        <f t="shared" si="6199"/>
        <v>Drenagem Superficial</v>
      </c>
      <c r="AW1583" s="4" t="str">
        <f t="shared" si="6197"/>
        <v xml:space="preserve">   Seg. 2.3-A15 - Drenagem Superficial - Sarjeta de aterro (Km 126+620 a 127+440)</v>
      </c>
    </row>
    <row r="1584" spans="1:49" ht="14.45" hidden="1" customHeight="1" outlineLevel="2">
      <c r="A1584" s="8" t="str">
        <f t="shared" ref="A1584" si="6354">A1583</f>
        <v>N</v>
      </c>
      <c r="B1584" s="150"/>
      <c r="C1584" s="150" t="s">
        <v>1904</v>
      </c>
      <c r="D1584" s="120" t="s">
        <v>1279</v>
      </c>
      <c r="E1584" s="915"/>
      <c r="F1584" s="902"/>
      <c r="G1584" s="528"/>
      <c r="H1584" s="549" t="s">
        <v>38</v>
      </c>
      <c r="I1584" s="711">
        <v>0</v>
      </c>
      <c r="J1584" s="897"/>
      <c r="K1584" s="528"/>
      <c r="L1584" s="549" t="s">
        <v>38</v>
      </c>
      <c r="M1584" s="711">
        <f t="shared" si="6140"/>
        <v>0</v>
      </c>
      <c r="N1584" s="897"/>
      <c r="O1584" s="528"/>
      <c r="P1584" s="548">
        <v>0</v>
      </c>
      <c r="Q1584" s="548">
        <v>0</v>
      </c>
      <c r="R1584" s="548">
        <v>0</v>
      </c>
      <c r="S1584" s="548">
        <v>0</v>
      </c>
      <c r="T1584" s="548">
        <v>0</v>
      </c>
      <c r="U1584" s="548">
        <v>0</v>
      </c>
      <c r="V1584" s="548">
        <v>0</v>
      </c>
      <c r="W1584" s="528"/>
      <c r="X1584" s="711">
        <f t="shared" si="6133"/>
        <v>0</v>
      </c>
      <c r="Y1584" s="897"/>
      <c r="Z1584" s="528"/>
      <c r="AA1584" s="899"/>
      <c r="AB1584" s="899"/>
      <c r="AC1584" s="904"/>
      <c r="AD1584" s="901"/>
      <c r="AE1584" s="2"/>
      <c r="AF1584" s="885"/>
      <c r="AG1584" s="885"/>
      <c r="AH1584" s="885"/>
      <c r="AI1584" s="885"/>
      <c r="AJ1584" s="885"/>
      <c r="AK1584" s="885"/>
      <c r="AL1584" s="885"/>
      <c r="AM1584" s="879"/>
      <c r="AN1584" s="2"/>
      <c r="AO1584" s="886"/>
      <c r="AP1584" s="886"/>
      <c r="AV1584" t="str">
        <f t="shared" si="6199"/>
        <v>Drenagem Superficial</v>
      </c>
      <c r="AW1584" s="4" t="str">
        <f t="shared" si="6197"/>
        <v xml:space="preserve">   Seg. 2.3-A15 - Drenagem Superficial - Sarjeta de aterro (Km 126+620 a 127+440)</v>
      </c>
    </row>
    <row r="1585" spans="1:49" ht="14.45" hidden="1" customHeight="1" outlineLevel="2">
      <c r="A1585" s="8" t="str">
        <f t="shared" ref="A1585" si="6355">IF(SUM(P1585:V1586)&gt;0,"S","N")</f>
        <v>N</v>
      </c>
      <c r="B1585" s="150">
        <v>1061788</v>
      </c>
      <c r="C1585" s="150" t="s">
        <v>1906</v>
      </c>
      <c r="D1585" s="120" t="s">
        <v>1281</v>
      </c>
      <c r="E1585" s="914" t="s">
        <v>1907</v>
      </c>
      <c r="F1585" s="902" t="s">
        <v>52</v>
      </c>
      <c r="G1585" s="528"/>
      <c r="H1585" s="546" t="s">
        <v>37</v>
      </c>
      <c r="I1585" s="711">
        <v>0</v>
      </c>
      <c r="J1585" s="896" t="str">
        <f t="shared" ref="J1585" si="6356">IFERROR((I1586/I1585),"-")</f>
        <v>-</v>
      </c>
      <c r="K1585" s="528"/>
      <c r="L1585" s="546" t="s">
        <v>37</v>
      </c>
      <c r="M1585" s="711">
        <f t="shared" si="6140"/>
        <v>0</v>
      </c>
      <c r="N1585" s="896" t="str">
        <f t="shared" ref="N1585" si="6357">IFERROR((M1586/M1585),"-")</f>
        <v>-</v>
      </c>
      <c r="O1585" s="528"/>
      <c r="P1585" s="547">
        <v>0</v>
      </c>
      <c r="Q1585" s="547">
        <v>0</v>
      </c>
      <c r="R1585" s="547">
        <v>0</v>
      </c>
      <c r="S1585" s="547">
        <v>0</v>
      </c>
      <c r="T1585" s="547">
        <v>0</v>
      </c>
      <c r="U1585" s="547">
        <v>0</v>
      </c>
      <c r="V1585" s="548">
        <v>0</v>
      </c>
      <c r="W1585" s="528"/>
      <c r="X1585" s="711">
        <f t="shared" si="6133"/>
        <v>0</v>
      </c>
      <c r="Y1585" s="896" t="str">
        <f>IFERROR((X1586/X1585),"-")</f>
        <v>-</v>
      </c>
      <c r="Z1585" s="528"/>
      <c r="AA1585" s="898">
        <v>0</v>
      </c>
      <c r="AB1585" s="898">
        <v>0</v>
      </c>
      <c r="AC1585" s="903">
        <v>0</v>
      </c>
      <c r="AD1585" s="900" t="str">
        <f t="shared" ref="AD1585" si="6358">IFERROR((AC1585/AB1585),"-")</f>
        <v>-</v>
      </c>
      <c r="AE1585" s="2"/>
      <c r="AF1585" s="884">
        <v>1886.107</v>
      </c>
      <c r="AG1585" s="884"/>
      <c r="AH1585" s="884">
        <v>0</v>
      </c>
      <c r="AI1585" s="884"/>
      <c r="AJ1585" s="884"/>
      <c r="AK1585" s="884">
        <f t="shared" ref="AK1585" si="6359">AF1585+AG1585+AH1585+AI1585+AJ1585+AC1585</f>
        <v>1886.107</v>
      </c>
      <c r="AL1585" s="884">
        <v>635.0300000000002</v>
      </c>
      <c r="AM1585" s="878">
        <f t="shared" ref="AM1585" si="6360">IFERROR((AK1585/AL1585),"-")</f>
        <v>2.9701069240823257</v>
      </c>
      <c r="AN1585" s="2"/>
      <c r="AO1585" s="884">
        <v>635</v>
      </c>
      <c r="AP1585" s="884">
        <f t="shared" ref="AP1585" si="6361">AO1585-AK1585</f>
        <v>-1251.107</v>
      </c>
      <c r="AV1585" t="str">
        <f t="shared" si="6199"/>
        <v>Drenagem Superficial</v>
      </c>
      <c r="AW1585" s="4" t="str">
        <f t="shared" si="6197"/>
        <v xml:space="preserve">   Seg. 2.3-A16 - Drenagem Superficial - Sarjeta de aterro (Km 127+540 a 127+980)</v>
      </c>
    </row>
    <row r="1586" spans="1:49" ht="14.45" hidden="1" customHeight="1" outlineLevel="2">
      <c r="A1586" s="8" t="str">
        <f t="shared" ref="A1586" si="6362">A1585</f>
        <v>N</v>
      </c>
      <c r="B1586" s="150"/>
      <c r="C1586" s="150" t="s">
        <v>1906</v>
      </c>
      <c r="D1586" s="120" t="s">
        <v>1281</v>
      </c>
      <c r="E1586" s="915"/>
      <c r="F1586" s="902"/>
      <c r="G1586" s="528"/>
      <c r="H1586" s="549" t="s">
        <v>38</v>
      </c>
      <c r="I1586" s="711">
        <v>0</v>
      </c>
      <c r="J1586" s="897"/>
      <c r="K1586" s="528"/>
      <c r="L1586" s="549" t="s">
        <v>38</v>
      </c>
      <c r="M1586" s="711">
        <f t="shared" si="6140"/>
        <v>0</v>
      </c>
      <c r="N1586" s="897"/>
      <c r="O1586" s="528"/>
      <c r="P1586" s="548">
        <v>0</v>
      </c>
      <c r="Q1586" s="548">
        <v>0</v>
      </c>
      <c r="R1586" s="548">
        <v>0</v>
      </c>
      <c r="S1586" s="548">
        <v>0</v>
      </c>
      <c r="T1586" s="548">
        <v>0</v>
      </c>
      <c r="U1586" s="548">
        <v>0</v>
      </c>
      <c r="V1586" s="548">
        <v>0</v>
      </c>
      <c r="W1586" s="528"/>
      <c r="X1586" s="711">
        <f t="shared" si="6133"/>
        <v>0</v>
      </c>
      <c r="Y1586" s="897"/>
      <c r="Z1586" s="528"/>
      <c r="AA1586" s="899"/>
      <c r="AB1586" s="899"/>
      <c r="AC1586" s="904"/>
      <c r="AD1586" s="901"/>
      <c r="AE1586" s="2"/>
      <c r="AF1586" s="885"/>
      <c r="AG1586" s="885"/>
      <c r="AH1586" s="885"/>
      <c r="AI1586" s="885"/>
      <c r="AJ1586" s="885"/>
      <c r="AK1586" s="885"/>
      <c r="AL1586" s="885"/>
      <c r="AM1586" s="879"/>
      <c r="AN1586" s="2"/>
      <c r="AO1586" s="886"/>
      <c r="AP1586" s="886"/>
      <c r="AV1586" t="str">
        <f t="shared" si="6199"/>
        <v>Drenagem Superficial</v>
      </c>
      <c r="AW1586" s="4" t="str">
        <f t="shared" si="6197"/>
        <v xml:space="preserve">   Seg. 2.3-A16 - Drenagem Superficial - Sarjeta de aterro (Km 127+540 a 127+980)</v>
      </c>
    </row>
    <row r="1587" spans="1:49" ht="14.45" hidden="1" customHeight="1" outlineLevel="2">
      <c r="A1587" s="8" t="str">
        <f t="shared" ref="A1587" si="6363">IF(SUM(P1587:V1588)&gt;0,"S","N")</f>
        <v>N</v>
      </c>
      <c r="B1587" s="150">
        <v>1061793</v>
      </c>
      <c r="C1587" s="150" t="s">
        <v>1908</v>
      </c>
      <c r="D1587" s="120" t="s">
        <v>370</v>
      </c>
      <c r="E1587" s="914" t="s">
        <v>1909</v>
      </c>
      <c r="F1587" s="902" t="s">
        <v>52</v>
      </c>
      <c r="G1587" s="528"/>
      <c r="H1587" s="546" t="s">
        <v>37</v>
      </c>
      <c r="I1587" s="711">
        <v>0</v>
      </c>
      <c r="J1587" s="896" t="str">
        <f t="shared" ref="J1587" si="6364">IFERROR((I1588/I1587),"-")</f>
        <v>-</v>
      </c>
      <c r="K1587" s="528"/>
      <c r="L1587" s="546" t="s">
        <v>37</v>
      </c>
      <c r="M1587" s="711">
        <f t="shared" si="6140"/>
        <v>0</v>
      </c>
      <c r="N1587" s="896" t="str">
        <f t="shared" ref="N1587" si="6365">IFERROR((M1588/M1587),"-")</f>
        <v>-</v>
      </c>
      <c r="O1587" s="528"/>
      <c r="P1587" s="547">
        <v>0</v>
      </c>
      <c r="Q1587" s="547">
        <v>0</v>
      </c>
      <c r="R1587" s="547">
        <v>0</v>
      </c>
      <c r="S1587" s="547">
        <v>0</v>
      </c>
      <c r="T1587" s="547">
        <v>0</v>
      </c>
      <c r="U1587" s="547">
        <v>0</v>
      </c>
      <c r="V1587" s="548">
        <v>0</v>
      </c>
      <c r="W1587" s="528"/>
      <c r="X1587" s="711">
        <f t="shared" si="6133"/>
        <v>0</v>
      </c>
      <c r="Y1587" s="896" t="str">
        <f>IFERROR((X1588/X1587),"-")</f>
        <v>-</v>
      </c>
      <c r="Z1587" s="528"/>
      <c r="AA1587" s="898">
        <v>0</v>
      </c>
      <c r="AB1587" s="898">
        <v>0</v>
      </c>
      <c r="AC1587" s="903">
        <v>0</v>
      </c>
      <c r="AD1587" s="900" t="str">
        <f t="shared" ref="AD1587" si="6366">IFERROR((AC1587/AB1587),"-")</f>
        <v>-</v>
      </c>
      <c r="AE1587" s="2"/>
      <c r="AF1587" s="884">
        <v>9266.6790000000001</v>
      </c>
      <c r="AG1587" s="884"/>
      <c r="AH1587" s="884">
        <v>0</v>
      </c>
      <c r="AI1587" s="884"/>
      <c r="AJ1587" s="884"/>
      <c r="AK1587" s="884">
        <f t="shared" ref="AK1587" si="6367">AF1587+AG1587+AH1587+AI1587+AJ1587+AC1587</f>
        <v>9266.6790000000001</v>
      </c>
      <c r="AL1587" s="884">
        <v>5502.9700000000012</v>
      </c>
      <c r="AM1587" s="878">
        <f t="shared" ref="AM1587" si="6368">IFERROR((AK1587/AL1587),"-")</f>
        <v>1.6839413989173115</v>
      </c>
      <c r="AN1587" s="2"/>
      <c r="AO1587" s="884">
        <v>5503</v>
      </c>
      <c r="AP1587" s="884">
        <f t="shared" ref="AP1587" si="6369">AO1587-AK1587</f>
        <v>-3763.6790000000001</v>
      </c>
      <c r="AV1587" t="str">
        <f t="shared" si="6199"/>
        <v>Drenagem Superficial</v>
      </c>
      <c r="AW1587" s="4" t="str">
        <f t="shared" si="6197"/>
        <v xml:space="preserve">   Seg. 2.3-A17-B02 - Drenagem Superficial - Sarjeta de aterro (Km 128+320 a 131+241)</v>
      </c>
    </row>
    <row r="1588" spans="1:49" ht="14.45" hidden="1" customHeight="1" outlineLevel="2">
      <c r="A1588" s="8" t="str">
        <f t="shared" ref="A1588" si="6370">A1587</f>
        <v>N</v>
      </c>
      <c r="B1588" s="150"/>
      <c r="C1588" s="150" t="s">
        <v>1908</v>
      </c>
      <c r="D1588" s="120" t="s">
        <v>370</v>
      </c>
      <c r="E1588" s="915"/>
      <c r="F1588" s="902"/>
      <c r="G1588" s="528"/>
      <c r="H1588" s="549" t="s">
        <v>38</v>
      </c>
      <c r="I1588" s="711">
        <v>0</v>
      </c>
      <c r="J1588" s="897"/>
      <c r="K1588" s="528"/>
      <c r="L1588" s="549" t="s">
        <v>38</v>
      </c>
      <c r="M1588" s="711">
        <f t="shared" si="6140"/>
        <v>0</v>
      </c>
      <c r="N1588" s="897"/>
      <c r="O1588" s="528"/>
      <c r="P1588" s="548">
        <v>0</v>
      </c>
      <c r="Q1588" s="548">
        <v>0</v>
      </c>
      <c r="R1588" s="548">
        <v>0</v>
      </c>
      <c r="S1588" s="548">
        <v>0</v>
      </c>
      <c r="T1588" s="548">
        <v>0</v>
      </c>
      <c r="U1588" s="548">
        <v>0</v>
      </c>
      <c r="V1588" s="548">
        <v>0</v>
      </c>
      <c r="W1588" s="528"/>
      <c r="X1588" s="711">
        <f t="shared" si="6133"/>
        <v>0</v>
      </c>
      <c r="Y1588" s="897"/>
      <c r="Z1588" s="528"/>
      <c r="AA1588" s="899"/>
      <c r="AB1588" s="899"/>
      <c r="AC1588" s="904"/>
      <c r="AD1588" s="901"/>
      <c r="AE1588" s="2"/>
      <c r="AF1588" s="885"/>
      <c r="AG1588" s="885"/>
      <c r="AH1588" s="885"/>
      <c r="AI1588" s="885"/>
      <c r="AJ1588" s="885"/>
      <c r="AK1588" s="885"/>
      <c r="AL1588" s="885"/>
      <c r="AM1588" s="879"/>
      <c r="AN1588" s="2"/>
      <c r="AO1588" s="886"/>
      <c r="AP1588" s="886"/>
      <c r="AV1588" t="str">
        <f t="shared" si="6199"/>
        <v>Drenagem Superficial</v>
      </c>
      <c r="AW1588" s="4" t="str">
        <f t="shared" si="6197"/>
        <v xml:space="preserve">   Seg. 2.3-A17-B02 - Drenagem Superficial - Sarjeta de aterro (Km 128+320 a 131+241)</v>
      </c>
    </row>
    <row r="1589" spans="1:49" ht="14.45" hidden="1" customHeight="1" outlineLevel="2">
      <c r="A1589" s="8" t="str">
        <f t="shared" ref="A1589" si="6371">IF(SUM(P1589:V1590)&gt;0,"S","N")</f>
        <v>N</v>
      </c>
      <c r="B1589" s="150">
        <v>1061829</v>
      </c>
      <c r="C1589" s="150" t="s">
        <v>1910</v>
      </c>
      <c r="D1589" s="120" t="s">
        <v>1911</v>
      </c>
      <c r="E1589" s="914" t="s">
        <v>1912</v>
      </c>
      <c r="F1589" s="902" t="s">
        <v>52</v>
      </c>
      <c r="G1589" s="528"/>
      <c r="H1589" s="546" t="s">
        <v>37</v>
      </c>
      <c r="I1589" s="711">
        <v>0</v>
      </c>
      <c r="J1589" s="896" t="str">
        <f t="shared" ref="J1589" si="6372">IFERROR((I1590/I1589),"-")</f>
        <v>-</v>
      </c>
      <c r="K1589" s="528"/>
      <c r="L1589" s="546" t="s">
        <v>37</v>
      </c>
      <c r="M1589" s="711">
        <f t="shared" si="6140"/>
        <v>0</v>
      </c>
      <c r="N1589" s="896" t="str">
        <f t="shared" ref="N1589" si="6373">IFERROR((M1590/M1589),"-")</f>
        <v>-</v>
      </c>
      <c r="O1589" s="528"/>
      <c r="P1589" s="547">
        <v>0</v>
      </c>
      <c r="Q1589" s="547">
        <v>0</v>
      </c>
      <c r="R1589" s="547">
        <v>0</v>
      </c>
      <c r="S1589" s="547">
        <v>0</v>
      </c>
      <c r="T1589" s="547">
        <v>0</v>
      </c>
      <c r="U1589" s="547">
        <v>0</v>
      </c>
      <c r="V1589" s="548">
        <v>0</v>
      </c>
      <c r="W1589" s="528"/>
      <c r="X1589" s="711">
        <f t="shared" si="6133"/>
        <v>0</v>
      </c>
      <c r="Y1589" s="896" t="str">
        <f>IFERROR((X1590/X1589),"-")</f>
        <v>-</v>
      </c>
      <c r="Z1589" s="528"/>
      <c r="AA1589" s="898">
        <v>0</v>
      </c>
      <c r="AB1589" s="898">
        <v>0</v>
      </c>
      <c r="AC1589" s="903">
        <v>0</v>
      </c>
      <c r="AD1589" s="900" t="str">
        <f t="shared" ref="AD1589" si="6374">IFERROR((AC1589/AB1589),"-")</f>
        <v>-</v>
      </c>
      <c r="AE1589" s="2"/>
      <c r="AF1589" s="884"/>
      <c r="AG1589" s="884"/>
      <c r="AH1589" s="884">
        <v>0</v>
      </c>
      <c r="AI1589" s="884"/>
      <c r="AJ1589" s="884"/>
      <c r="AK1589" s="884">
        <f t="shared" ref="AK1589" si="6375">AF1589+AG1589+AH1589+AI1589+AJ1589+AC1589</f>
        <v>0</v>
      </c>
      <c r="AL1589" s="884">
        <v>0</v>
      </c>
      <c r="AM1589" s="878" t="str">
        <f t="shared" ref="AM1589" si="6376">IFERROR((AK1589/AL1589),"-")</f>
        <v>-</v>
      </c>
      <c r="AN1589" s="2"/>
      <c r="AO1589" s="884">
        <v>172</v>
      </c>
      <c r="AP1589" s="884">
        <f t="shared" ref="AP1589" si="6377">AO1589-AK1589</f>
        <v>172</v>
      </c>
      <c r="AV1589" t="str">
        <f t="shared" si="6199"/>
        <v>Drenagem Superficial</v>
      </c>
      <c r="AW1589" s="4" t="str">
        <f t="shared" si="6197"/>
        <v xml:space="preserve">   Seg. 2.3-C02-Acesso - Drenagem Superficial - Sarjeta de corte (Km 118+175)</v>
      </c>
    </row>
    <row r="1590" spans="1:49" ht="14.45" hidden="1" customHeight="1" outlineLevel="2">
      <c r="A1590" s="8" t="str">
        <f t="shared" ref="A1590" si="6378">A1589</f>
        <v>N</v>
      </c>
      <c r="B1590" s="150"/>
      <c r="C1590" s="150" t="s">
        <v>1910</v>
      </c>
      <c r="D1590" s="120" t="s">
        <v>1911</v>
      </c>
      <c r="E1590" s="915"/>
      <c r="F1590" s="902"/>
      <c r="G1590" s="528"/>
      <c r="H1590" s="549" t="s">
        <v>38</v>
      </c>
      <c r="I1590" s="711">
        <v>0</v>
      </c>
      <c r="J1590" s="897"/>
      <c r="K1590" s="528"/>
      <c r="L1590" s="549" t="s">
        <v>38</v>
      </c>
      <c r="M1590" s="711">
        <f t="shared" si="6140"/>
        <v>0</v>
      </c>
      <c r="N1590" s="897"/>
      <c r="O1590" s="528"/>
      <c r="P1590" s="548">
        <v>0</v>
      </c>
      <c r="Q1590" s="548">
        <v>0</v>
      </c>
      <c r="R1590" s="548">
        <v>0</v>
      </c>
      <c r="S1590" s="548">
        <v>0</v>
      </c>
      <c r="T1590" s="548">
        <v>0</v>
      </c>
      <c r="U1590" s="548">
        <v>0</v>
      </c>
      <c r="V1590" s="548">
        <v>0</v>
      </c>
      <c r="W1590" s="528"/>
      <c r="X1590" s="711">
        <f t="shared" si="6133"/>
        <v>0</v>
      </c>
      <c r="Y1590" s="897"/>
      <c r="Z1590" s="528"/>
      <c r="AA1590" s="899"/>
      <c r="AB1590" s="899"/>
      <c r="AC1590" s="904"/>
      <c r="AD1590" s="901"/>
      <c r="AE1590" s="2"/>
      <c r="AF1590" s="885"/>
      <c r="AG1590" s="885"/>
      <c r="AH1590" s="885"/>
      <c r="AI1590" s="885"/>
      <c r="AJ1590" s="885"/>
      <c r="AK1590" s="885"/>
      <c r="AL1590" s="885"/>
      <c r="AM1590" s="879"/>
      <c r="AN1590" s="2"/>
      <c r="AO1590" s="886"/>
      <c r="AP1590" s="886"/>
      <c r="AV1590" t="str">
        <f t="shared" si="6199"/>
        <v>Drenagem Superficial</v>
      </c>
      <c r="AW1590" s="4" t="str">
        <f t="shared" si="6197"/>
        <v xml:space="preserve">   Seg. 2.3-C02-Acesso - Drenagem Superficial - Sarjeta de corte (Km 118+175)</v>
      </c>
    </row>
    <row r="1591" spans="1:49" ht="14.45" hidden="1" customHeight="1" outlineLevel="2">
      <c r="A1591" s="8" t="str">
        <f t="shared" ref="A1591" si="6379">IF(SUM(P1591:V1592)&gt;0,"S","N")</f>
        <v>N</v>
      </c>
      <c r="B1591" s="150">
        <v>1061831</v>
      </c>
      <c r="C1591" s="150" t="s">
        <v>1913</v>
      </c>
      <c r="D1591" s="120" t="s">
        <v>1914</v>
      </c>
      <c r="E1591" s="914" t="s">
        <v>1915</v>
      </c>
      <c r="F1591" s="902" t="s">
        <v>52</v>
      </c>
      <c r="G1591" s="528"/>
      <c r="H1591" s="546" t="s">
        <v>37</v>
      </c>
      <c r="I1591" s="711">
        <v>0</v>
      </c>
      <c r="J1591" s="896" t="str">
        <f t="shared" ref="J1591" si="6380">IFERROR((I1592/I1591),"-")</f>
        <v>-</v>
      </c>
      <c r="K1591" s="528"/>
      <c r="L1591" s="546" t="s">
        <v>37</v>
      </c>
      <c r="M1591" s="711">
        <f t="shared" si="6140"/>
        <v>0</v>
      </c>
      <c r="N1591" s="896" t="str">
        <f t="shared" ref="N1591" si="6381">IFERROR((M1592/M1591),"-")</f>
        <v>-</v>
      </c>
      <c r="O1591" s="528"/>
      <c r="P1591" s="547">
        <v>0</v>
      </c>
      <c r="Q1591" s="547">
        <v>0</v>
      </c>
      <c r="R1591" s="547">
        <v>0</v>
      </c>
      <c r="S1591" s="547">
        <v>0</v>
      </c>
      <c r="T1591" s="547">
        <v>0</v>
      </c>
      <c r="U1591" s="547">
        <v>0</v>
      </c>
      <c r="V1591" s="548">
        <v>0</v>
      </c>
      <c r="W1591" s="528"/>
      <c r="X1591" s="711">
        <f t="shared" si="6133"/>
        <v>0</v>
      </c>
      <c r="Y1591" s="896" t="str">
        <f>IFERROR((X1592/X1591),"-")</f>
        <v>-</v>
      </c>
      <c r="Z1591" s="528"/>
      <c r="AA1591" s="898">
        <v>0</v>
      </c>
      <c r="AB1591" s="898">
        <v>0</v>
      </c>
      <c r="AC1591" s="903">
        <v>0</v>
      </c>
      <c r="AD1591" s="900" t="str">
        <f t="shared" ref="AD1591" si="6382">IFERROR((AC1591/AB1591),"-")</f>
        <v>-</v>
      </c>
      <c r="AE1591" s="2"/>
      <c r="AF1591" s="884"/>
      <c r="AG1591" s="884"/>
      <c r="AH1591" s="884">
        <v>0</v>
      </c>
      <c r="AI1591" s="884"/>
      <c r="AJ1591" s="884"/>
      <c r="AK1591" s="884">
        <f t="shared" ref="AK1591" si="6383">AF1591+AG1591+AH1591+AI1591+AJ1591+AC1591</f>
        <v>0</v>
      </c>
      <c r="AL1591" s="884">
        <v>0</v>
      </c>
      <c r="AM1591" s="878" t="str">
        <f t="shared" ref="AM1591" si="6384">IFERROR((AK1591/AL1591),"-")</f>
        <v>-</v>
      </c>
      <c r="AN1591" s="2"/>
      <c r="AO1591" s="884">
        <v>143</v>
      </c>
      <c r="AP1591" s="884">
        <f t="shared" ref="AP1591" si="6385">AO1591-AK1591</f>
        <v>143</v>
      </c>
      <c r="AV1591" t="str">
        <f t="shared" si="6199"/>
        <v>Drenagem Superficial</v>
      </c>
      <c r="AW1591" s="4" t="str">
        <f t="shared" si="6197"/>
        <v xml:space="preserve">   Seg. 2.3-C04-Acesso - Drenagem Superficial - Sarjeta de corte</v>
      </c>
    </row>
    <row r="1592" spans="1:49" ht="14.45" hidden="1" customHeight="1" outlineLevel="2">
      <c r="A1592" s="8" t="str">
        <f t="shared" ref="A1592" si="6386">A1591</f>
        <v>N</v>
      </c>
      <c r="B1592" s="150"/>
      <c r="C1592" s="150" t="s">
        <v>1913</v>
      </c>
      <c r="D1592" s="120" t="s">
        <v>1914</v>
      </c>
      <c r="E1592" s="915"/>
      <c r="F1592" s="902"/>
      <c r="G1592" s="528"/>
      <c r="H1592" s="549" t="s">
        <v>38</v>
      </c>
      <c r="I1592" s="711">
        <v>0</v>
      </c>
      <c r="J1592" s="897"/>
      <c r="K1592" s="528"/>
      <c r="L1592" s="549" t="s">
        <v>38</v>
      </c>
      <c r="M1592" s="711">
        <f t="shared" si="6140"/>
        <v>0</v>
      </c>
      <c r="N1592" s="897"/>
      <c r="O1592" s="528"/>
      <c r="P1592" s="548">
        <v>0</v>
      </c>
      <c r="Q1592" s="548">
        <v>0</v>
      </c>
      <c r="R1592" s="548">
        <v>0</v>
      </c>
      <c r="S1592" s="548">
        <v>0</v>
      </c>
      <c r="T1592" s="548">
        <v>0</v>
      </c>
      <c r="U1592" s="548">
        <v>0</v>
      </c>
      <c r="V1592" s="548">
        <v>0</v>
      </c>
      <c r="W1592" s="528"/>
      <c r="X1592" s="711">
        <f t="shared" si="6133"/>
        <v>0</v>
      </c>
      <c r="Y1592" s="897"/>
      <c r="Z1592" s="528"/>
      <c r="AA1592" s="899"/>
      <c r="AB1592" s="899"/>
      <c r="AC1592" s="904"/>
      <c r="AD1592" s="901"/>
      <c r="AE1592" s="2"/>
      <c r="AF1592" s="885"/>
      <c r="AG1592" s="885"/>
      <c r="AH1592" s="885"/>
      <c r="AI1592" s="885"/>
      <c r="AJ1592" s="885"/>
      <c r="AK1592" s="885"/>
      <c r="AL1592" s="885"/>
      <c r="AM1592" s="879"/>
      <c r="AN1592" s="2"/>
      <c r="AO1592" s="886"/>
      <c r="AP1592" s="886"/>
      <c r="AV1592" t="str">
        <f t="shared" si="6199"/>
        <v>Drenagem Superficial</v>
      </c>
      <c r="AW1592" s="4" t="str">
        <f t="shared" si="6197"/>
        <v xml:space="preserve">   Seg. 2.3-C04-Acesso - Drenagem Superficial - Sarjeta de corte</v>
      </c>
    </row>
    <row r="1593" spans="1:49" ht="14.45" hidden="1" customHeight="1" outlineLevel="2">
      <c r="A1593" s="8" t="str">
        <f t="shared" ref="A1593" si="6387">IF(SUM(P1593:V1594)&gt;0,"S","N")</f>
        <v>N</v>
      </c>
      <c r="B1593" s="150">
        <v>1061832</v>
      </c>
      <c r="C1593" s="150" t="s">
        <v>1916</v>
      </c>
      <c r="D1593" s="120" t="s">
        <v>1917</v>
      </c>
      <c r="E1593" s="914" t="s">
        <v>1918</v>
      </c>
      <c r="F1593" s="902" t="s">
        <v>52</v>
      </c>
      <c r="G1593" s="528"/>
      <c r="H1593" s="546" t="s">
        <v>37</v>
      </c>
      <c r="I1593" s="711">
        <v>0</v>
      </c>
      <c r="J1593" s="896" t="str">
        <f t="shared" ref="J1593" si="6388">IFERROR((I1594/I1593),"-")</f>
        <v>-</v>
      </c>
      <c r="K1593" s="528"/>
      <c r="L1593" s="546" t="s">
        <v>37</v>
      </c>
      <c r="M1593" s="711">
        <f t="shared" si="6140"/>
        <v>0</v>
      </c>
      <c r="N1593" s="896" t="str">
        <f t="shared" ref="N1593" si="6389">IFERROR((M1594/M1593),"-")</f>
        <v>-</v>
      </c>
      <c r="O1593" s="528"/>
      <c r="P1593" s="547">
        <v>0</v>
      </c>
      <c r="Q1593" s="547">
        <v>0</v>
      </c>
      <c r="R1593" s="547">
        <v>0</v>
      </c>
      <c r="S1593" s="547">
        <v>0</v>
      </c>
      <c r="T1593" s="547">
        <v>0</v>
      </c>
      <c r="U1593" s="547">
        <v>0</v>
      </c>
      <c r="V1593" s="548">
        <v>0</v>
      </c>
      <c r="W1593" s="528"/>
      <c r="X1593" s="711">
        <f t="shared" si="6133"/>
        <v>0</v>
      </c>
      <c r="Y1593" s="896" t="str">
        <f t="shared" ref="Y1593" si="6390">IFERROR((X1594/X1593),"-")</f>
        <v>-</v>
      </c>
      <c r="Z1593" s="528"/>
      <c r="AA1593" s="898">
        <v>0</v>
      </c>
      <c r="AB1593" s="898">
        <v>0</v>
      </c>
      <c r="AC1593" s="903">
        <v>0</v>
      </c>
      <c r="AD1593" s="900" t="str">
        <f t="shared" ref="AD1593" si="6391">IFERROR((AC1593/AB1593),"-")</f>
        <v>-</v>
      </c>
      <c r="AE1593" s="2"/>
      <c r="AF1593" s="884"/>
      <c r="AG1593" s="884"/>
      <c r="AH1593" s="884">
        <v>0</v>
      </c>
      <c r="AI1593" s="884"/>
      <c r="AJ1593" s="884"/>
      <c r="AK1593" s="884">
        <f t="shared" ref="AK1593" si="6392">AF1593+AG1593+AH1593+AI1593+AJ1593+AC1593</f>
        <v>0</v>
      </c>
      <c r="AL1593" s="884">
        <v>0</v>
      </c>
      <c r="AM1593" s="878" t="str">
        <f t="shared" ref="AM1593" si="6393">IFERROR((AK1593/AL1593),"-")</f>
        <v>-</v>
      </c>
      <c r="AN1593" s="2"/>
      <c r="AO1593" s="884">
        <v>1128.0899999999999</v>
      </c>
      <c r="AP1593" s="884">
        <f t="shared" ref="AP1593" si="6394">AO1593-AK1593</f>
        <v>1128.0899999999999</v>
      </c>
      <c r="AV1593" t="str">
        <f t="shared" si="6199"/>
        <v>Drenagem Superficial</v>
      </c>
      <c r="AW1593" s="4" t="str">
        <f t="shared" si="6197"/>
        <v xml:space="preserve">   Seg. 2.3-C12-Acesso - Drenagem Superficial - Sarjeta de corte / aterro</v>
      </c>
    </row>
    <row r="1594" spans="1:49" ht="14.45" hidden="1" customHeight="1" outlineLevel="2">
      <c r="A1594" s="8" t="str">
        <f t="shared" ref="A1594" si="6395">A1593</f>
        <v>N</v>
      </c>
      <c r="B1594" s="150"/>
      <c r="C1594" s="150" t="s">
        <v>1916</v>
      </c>
      <c r="D1594" s="120" t="s">
        <v>1917</v>
      </c>
      <c r="E1594" s="915"/>
      <c r="F1594" s="902"/>
      <c r="G1594" s="528"/>
      <c r="H1594" s="549" t="s">
        <v>38</v>
      </c>
      <c r="I1594" s="711">
        <v>0</v>
      </c>
      <c r="J1594" s="897"/>
      <c r="K1594" s="528"/>
      <c r="L1594" s="549" t="s">
        <v>38</v>
      </c>
      <c r="M1594" s="711">
        <f t="shared" si="6140"/>
        <v>0</v>
      </c>
      <c r="N1594" s="897"/>
      <c r="O1594" s="528"/>
      <c r="P1594" s="548">
        <v>0</v>
      </c>
      <c r="Q1594" s="548">
        <v>0</v>
      </c>
      <c r="R1594" s="548">
        <v>0</v>
      </c>
      <c r="S1594" s="548">
        <v>0</v>
      </c>
      <c r="T1594" s="548">
        <v>0</v>
      </c>
      <c r="U1594" s="548">
        <v>0</v>
      </c>
      <c r="V1594" s="548">
        <v>0</v>
      </c>
      <c r="W1594" s="528"/>
      <c r="X1594" s="711">
        <f t="shared" si="6133"/>
        <v>0</v>
      </c>
      <c r="Y1594" s="897"/>
      <c r="Z1594" s="528"/>
      <c r="AA1594" s="899"/>
      <c r="AB1594" s="899"/>
      <c r="AC1594" s="904"/>
      <c r="AD1594" s="901"/>
      <c r="AE1594" s="2"/>
      <c r="AF1594" s="885"/>
      <c r="AG1594" s="885"/>
      <c r="AH1594" s="885"/>
      <c r="AI1594" s="885"/>
      <c r="AJ1594" s="885"/>
      <c r="AK1594" s="885"/>
      <c r="AL1594" s="885"/>
      <c r="AM1594" s="879"/>
      <c r="AN1594" s="2"/>
      <c r="AO1594" s="886"/>
      <c r="AP1594" s="886"/>
      <c r="AV1594" t="str">
        <f t="shared" si="6199"/>
        <v>Drenagem Superficial</v>
      </c>
      <c r="AW1594" s="4" t="str">
        <f t="shared" si="6197"/>
        <v xml:space="preserve">   Seg. 2.3-C12-Acesso - Drenagem Superficial - Sarjeta de corte / aterro</v>
      </c>
    </row>
    <row r="1595" spans="1:49" ht="14.45" hidden="1" customHeight="1" outlineLevel="2">
      <c r="A1595" s="8" t="str">
        <f t="shared" ref="A1595" si="6396">IF(SUM(P1595:V1596)&gt;0,"S","N")</f>
        <v>N</v>
      </c>
      <c r="B1595" s="150">
        <v>1061835</v>
      </c>
      <c r="C1595" s="150" t="s">
        <v>1919</v>
      </c>
      <c r="D1595" s="120" t="s">
        <v>1920</v>
      </c>
      <c r="E1595" s="914" t="s">
        <v>1921</v>
      </c>
      <c r="F1595" s="902" t="s">
        <v>52</v>
      </c>
      <c r="G1595" s="528"/>
      <c r="H1595" s="546" t="s">
        <v>37</v>
      </c>
      <c r="I1595" s="711">
        <v>0</v>
      </c>
      <c r="J1595" s="896" t="str">
        <f t="shared" ref="J1595" si="6397">IFERROR((I1596/I1595),"-")</f>
        <v>-</v>
      </c>
      <c r="K1595" s="528"/>
      <c r="L1595" s="546" t="s">
        <v>37</v>
      </c>
      <c r="M1595" s="711">
        <f t="shared" si="6140"/>
        <v>0</v>
      </c>
      <c r="N1595" s="896" t="str">
        <f t="shared" ref="N1595" si="6398">IFERROR((M1596/M1595),"-")</f>
        <v>-</v>
      </c>
      <c r="O1595" s="528"/>
      <c r="P1595" s="547">
        <v>0</v>
      </c>
      <c r="Q1595" s="547">
        <v>0</v>
      </c>
      <c r="R1595" s="547">
        <v>0</v>
      </c>
      <c r="S1595" s="547">
        <v>0</v>
      </c>
      <c r="T1595" s="547">
        <v>0</v>
      </c>
      <c r="U1595" s="547">
        <v>0</v>
      </c>
      <c r="V1595" s="548">
        <v>0</v>
      </c>
      <c r="W1595" s="528"/>
      <c r="X1595" s="711">
        <f t="shared" ref="X1595:X1614" si="6399">SUMIFS(P1595:V1595,$P$8:$V$8,"&gt;="&amp;$P$8,$P$8:$V$8,"&lt;="&amp;$N$8)</f>
        <v>0</v>
      </c>
      <c r="Y1595" s="896" t="str">
        <f>IFERROR((X1596/X1595),"-")</f>
        <v>-</v>
      </c>
      <c r="Z1595" s="528"/>
      <c r="AA1595" s="898">
        <v>0</v>
      </c>
      <c r="AB1595" s="898">
        <v>0</v>
      </c>
      <c r="AC1595" s="903">
        <v>0</v>
      </c>
      <c r="AD1595" s="900" t="str">
        <f t="shared" ref="AD1595" si="6400">IFERROR((AC1595/AB1595),"-")</f>
        <v>-</v>
      </c>
      <c r="AE1595" s="2"/>
      <c r="AF1595" s="884"/>
      <c r="AG1595" s="884"/>
      <c r="AH1595" s="884">
        <v>0</v>
      </c>
      <c r="AI1595" s="884"/>
      <c r="AJ1595" s="884"/>
      <c r="AK1595" s="884">
        <f t="shared" ref="AK1595" si="6401">AF1595+AG1595+AH1595+AI1595+AJ1595+AC1595</f>
        <v>0</v>
      </c>
      <c r="AL1595" s="884">
        <v>0</v>
      </c>
      <c r="AM1595" s="878" t="str">
        <f t="shared" ref="AM1595" si="6402">IFERROR((AK1595/AL1595),"-")</f>
        <v>-</v>
      </c>
      <c r="AN1595" s="2"/>
      <c r="AO1595" s="884">
        <v>69</v>
      </c>
      <c r="AP1595" s="884">
        <f t="shared" ref="AP1595" si="6403">AO1595-AK1595</f>
        <v>69</v>
      </c>
      <c r="AV1595" t="str">
        <f t="shared" si="6199"/>
        <v>Drenagem Superficial</v>
      </c>
      <c r="AW1595" s="4" t="str">
        <f t="shared" si="6197"/>
        <v xml:space="preserve">   Seg. 2.3-A17-Acesso - Drenagem Superficial - Sarjeta de corte (Km 128+740)</v>
      </c>
    </row>
    <row r="1596" spans="1:49" ht="14.45" hidden="1" customHeight="1" outlineLevel="2">
      <c r="A1596" s="8" t="str">
        <f t="shared" ref="A1596" si="6404">A1595</f>
        <v>N</v>
      </c>
      <c r="B1596" s="150"/>
      <c r="C1596" s="150" t="s">
        <v>1919</v>
      </c>
      <c r="D1596" s="120" t="s">
        <v>1920</v>
      </c>
      <c r="E1596" s="915"/>
      <c r="F1596" s="902"/>
      <c r="G1596" s="528"/>
      <c r="H1596" s="549" t="s">
        <v>38</v>
      </c>
      <c r="I1596" s="711">
        <v>0</v>
      </c>
      <c r="J1596" s="897"/>
      <c r="K1596" s="528"/>
      <c r="L1596" s="549" t="s">
        <v>38</v>
      </c>
      <c r="M1596" s="711">
        <f t="shared" si="6140"/>
        <v>0</v>
      </c>
      <c r="N1596" s="897"/>
      <c r="O1596" s="528"/>
      <c r="P1596" s="548">
        <v>0</v>
      </c>
      <c r="Q1596" s="548">
        <v>0</v>
      </c>
      <c r="R1596" s="548">
        <v>0</v>
      </c>
      <c r="S1596" s="548">
        <v>0</v>
      </c>
      <c r="T1596" s="548">
        <v>0</v>
      </c>
      <c r="U1596" s="548">
        <v>0</v>
      </c>
      <c r="V1596" s="548">
        <v>0</v>
      </c>
      <c r="W1596" s="528"/>
      <c r="X1596" s="711">
        <f t="shared" si="6399"/>
        <v>0</v>
      </c>
      <c r="Y1596" s="897"/>
      <c r="Z1596" s="528"/>
      <c r="AA1596" s="899"/>
      <c r="AB1596" s="899"/>
      <c r="AC1596" s="904"/>
      <c r="AD1596" s="901"/>
      <c r="AE1596" s="2"/>
      <c r="AF1596" s="885"/>
      <c r="AG1596" s="885"/>
      <c r="AH1596" s="885"/>
      <c r="AI1596" s="885"/>
      <c r="AJ1596" s="885"/>
      <c r="AK1596" s="885"/>
      <c r="AL1596" s="885"/>
      <c r="AM1596" s="879"/>
      <c r="AN1596" s="2"/>
      <c r="AO1596" s="886"/>
      <c r="AP1596" s="886"/>
      <c r="AV1596" t="str">
        <f t="shared" si="6199"/>
        <v>Drenagem Superficial</v>
      </c>
      <c r="AW1596" s="4" t="str">
        <f t="shared" si="6197"/>
        <v xml:space="preserve">   Seg. 2.3-A17-Acesso - Drenagem Superficial - Sarjeta de corte (Km 128+740)</v>
      </c>
    </row>
    <row r="1597" spans="1:49" ht="14.45" hidden="1" customHeight="1" outlineLevel="2">
      <c r="A1597" s="8" t="str">
        <f t="shared" ref="A1597" si="6405">IF(SUM(P1597:V1598)&gt;0,"S","N")</f>
        <v>N</v>
      </c>
      <c r="B1597" s="150">
        <v>1061836</v>
      </c>
      <c r="C1597" s="150" t="s">
        <v>1922</v>
      </c>
      <c r="D1597" s="120" t="s">
        <v>1923</v>
      </c>
      <c r="E1597" s="914" t="s">
        <v>1924</v>
      </c>
      <c r="F1597" s="902" t="s">
        <v>52</v>
      </c>
      <c r="G1597" s="528"/>
      <c r="H1597" s="546" t="s">
        <v>37</v>
      </c>
      <c r="I1597" s="711">
        <v>0</v>
      </c>
      <c r="J1597" s="896" t="str">
        <f t="shared" ref="J1597" si="6406">IFERROR((I1598/I1597),"-")</f>
        <v>-</v>
      </c>
      <c r="K1597" s="528"/>
      <c r="L1597" s="546" t="s">
        <v>37</v>
      </c>
      <c r="M1597" s="711">
        <f t="shared" ref="M1597:M1614" si="6407">_xlfn.XLOOKUP($N$8,$P$8:$V$8,$P1597:$V1597)</f>
        <v>0</v>
      </c>
      <c r="N1597" s="896" t="str">
        <f t="shared" ref="N1597" si="6408">IFERROR((M1598/M1597),"-")</f>
        <v>-</v>
      </c>
      <c r="O1597" s="528"/>
      <c r="P1597" s="547">
        <v>0</v>
      </c>
      <c r="Q1597" s="547">
        <v>0</v>
      </c>
      <c r="R1597" s="547">
        <v>0</v>
      </c>
      <c r="S1597" s="547">
        <v>0</v>
      </c>
      <c r="T1597" s="547">
        <v>0</v>
      </c>
      <c r="U1597" s="547">
        <v>0</v>
      </c>
      <c r="V1597" s="548">
        <v>0</v>
      </c>
      <c r="W1597" s="528"/>
      <c r="X1597" s="711">
        <f t="shared" si="6399"/>
        <v>0</v>
      </c>
      <c r="Y1597" s="896" t="str">
        <f>IFERROR((X1598/X1597),"-")</f>
        <v>-</v>
      </c>
      <c r="Z1597" s="528"/>
      <c r="AA1597" s="898">
        <v>1184</v>
      </c>
      <c r="AB1597" s="898">
        <v>746.28</v>
      </c>
      <c r="AC1597" s="903">
        <v>0</v>
      </c>
      <c r="AD1597" s="900">
        <f t="shared" ref="AD1597" si="6409">IFERROR((AC1597/AB1597),"-")</f>
        <v>0</v>
      </c>
      <c r="AE1597" s="2"/>
      <c r="AF1597" s="884"/>
      <c r="AG1597" s="884"/>
      <c r="AH1597" s="884">
        <v>0</v>
      </c>
      <c r="AI1597" s="884"/>
      <c r="AJ1597" s="884"/>
      <c r="AK1597" s="884">
        <f t="shared" ref="AK1597" si="6410">AF1597+AG1597+AH1597+AI1597+AJ1597+AC1597</f>
        <v>0</v>
      </c>
      <c r="AL1597" s="884">
        <v>746.28</v>
      </c>
      <c r="AM1597" s="878">
        <f t="shared" ref="AM1597" si="6411">IFERROR((AK1597/AL1597),"-")</f>
        <v>0</v>
      </c>
      <c r="AN1597" s="2"/>
      <c r="AO1597" s="884">
        <v>1184</v>
      </c>
      <c r="AP1597" s="884">
        <f t="shared" ref="AP1597" si="6412">AO1597-AK1597</f>
        <v>1184</v>
      </c>
      <c r="AV1597" t="str">
        <f t="shared" si="6199"/>
        <v>Drenagem Superficial</v>
      </c>
      <c r="AW1597" s="4" t="str">
        <f t="shared" si="6197"/>
        <v xml:space="preserve">   Seg. 2.3-A17-Acesso - Drenagem Superficial - Sarjeta de corte / aterro</v>
      </c>
    </row>
    <row r="1598" spans="1:49" ht="14.45" hidden="1" customHeight="1" outlineLevel="2">
      <c r="A1598" s="8" t="str">
        <f t="shared" ref="A1598" si="6413">A1597</f>
        <v>N</v>
      </c>
      <c r="B1598" s="150"/>
      <c r="C1598" s="150" t="s">
        <v>1922</v>
      </c>
      <c r="D1598" s="120" t="s">
        <v>1923</v>
      </c>
      <c r="E1598" s="915"/>
      <c r="F1598" s="902"/>
      <c r="G1598" s="528"/>
      <c r="H1598" s="549" t="s">
        <v>38</v>
      </c>
      <c r="I1598" s="711">
        <v>0</v>
      </c>
      <c r="J1598" s="897"/>
      <c r="K1598" s="528"/>
      <c r="L1598" s="549" t="s">
        <v>38</v>
      </c>
      <c r="M1598" s="711">
        <f t="shared" si="6407"/>
        <v>0</v>
      </c>
      <c r="N1598" s="897"/>
      <c r="O1598" s="528"/>
      <c r="P1598" s="548">
        <v>0</v>
      </c>
      <c r="Q1598" s="548">
        <v>0</v>
      </c>
      <c r="R1598" s="548">
        <v>0</v>
      </c>
      <c r="S1598" s="548">
        <v>0</v>
      </c>
      <c r="T1598" s="548">
        <v>0</v>
      </c>
      <c r="U1598" s="548">
        <v>0</v>
      </c>
      <c r="V1598" s="548">
        <v>0</v>
      </c>
      <c r="W1598" s="528"/>
      <c r="X1598" s="711">
        <f t="shared" si="6399"/>
        <v>0</v>
      </c>
      <c r="Y1598" s="897"/>
      <c r="Z1598" s="528"/>
      <c r="AA1598" s="899"/>
      <c r="AB1598" s="899"/>
      <c r="AC1598" s="904"/>
      <c r="AD1598" s="901"/>
      <c r="AE1598" s="2"/>
      <c r="AF1598" s="885"/>
      <c r="AG1598" s="885"/>
      <c r="AH1598" s="885"/>
      <c r="AI1598" s="885"/>
      <c r="AJ1598" s="885"/>
      <c r="AK1598" s="885"/>
      <c r="AL1598" s="885"/>
      <c r="AM1598" s="879"/>
      <c r="AN1598" s="2"/>
      <c r="AO1598" s="886"/>
      <c r="AP1598" s="886"/>
      <c r="AV1598" t="str">
        <f t="shared" si="6199"/>
        <v>Drenagem Superficial</v>
      </c>
      <c r="AW1598" s="4" t="str">
        <f t="shared" si="6197"/>
        <v xml:space="preserve">   Seg. 2.3-A17-Acesso - Drenagem Superficial - Sarjeta de corte / aterro</v>
      </c>
    </row>
    <row r="1599" spans="1:49" ht="14.45" hidden="1" customHeight="1" outlineLevel="2">
      <c r="A1599" s="8" t="str">
        <f t="shared" ref="A1599" si="6414">IF(SUM(P1599:V1600)&gt;0,"S","N")</f>
        <v>N</v>
      </c>
      <c r="B1599" s="150">
        <v>1069892</v>
      </c>
      <c r="C1599" s="150" t="s">
        <v>1925</v>
      </c>
      <c r="D1599" s="120" t="s">
        <v>1926</v>
      </c>
      <c r="E1599" s="914" t="s">
        <v>1927</v>
      </c>
      <c r="F1599" s="902" t="s">
        <v>52</v>
      </c>
      <c r="G1599" s="528"/>
      <c r="H1599" s="546" t="s">
        <v>37</v>
      </c>
      <c r="I1599" s="711">
        <v>0</v>
      </c>
      <c r="J1599" s="896" t="str">
        <f t="shared" ref="J1599" si="6415">IFERROR((I1600/I1599),"-")</f>
        <v>-</v>
      </c>
      <c r="K1599" s="528"/>
      <c r="L1599" s="546" t="s">
        <v>37</v>
      </c>
      <c r="M1599" s="711">
        <f t="shared" si="6407"/>
        <v>0</v>
      </c>
      <c r="N1599" s="896" t="str">
        <f t="shared" ref="N1599" si="6416">IFERROR((M1600/M1599),"-")</f>
        <v>-</v>
      </c>
      <c r="O1599" s="528"/>
      <c r="P1599" s="547">
        <v>0</v>
      </c>
      <c r="Q1599" s="547">
        <v>0</v>
      </c>
      <c r="R1599" s="547">
        <v>0</v>
      </c>
      <c r="S1599" s="547">
        <v>0</v>
      </c>
      <c r="T1599" s="547">
        <v>0</v>
      </c>
      <c r="U1599" s="547">
        <v>0</v>
      </c>
      <c r="V1599" s="548">
        <v>0</v>
      </c>
      <c r="W1599" s="528"/>
      <c r="X1599" s="711">
        <f t="shared" si="6399"/>
        <v>0</v>
      </c>
      <c r="Y1599" s="896" t="str">
        <f>IFERROR((X1600/X1599),"-")</f>
        <v>-</v>
      </c>
      <c r="Z1599" s="528"/>
      <c r="AA1599" s="898">
        <v>0</v>
      </c>
      <c r="AB1599" s="898">
        <v>0</v>
      </c>
      <c r="AC1599" s="903">
        <v>0</v>
      </c>
      <c r="AD1599" s="916" t="str">
        <f t="shared" ref="AD1599" si="6417">IFERROR((AC1599/AB1599),"-")</f>
        <v>-</v>
      </c>
      <c r="AE1599" s="2"/>
      <c r="AF1599" s="884"/>
      <c r="AG1599" s="884"/>
      <c r="AH1599" s="884">
        <v>0</v>
      </c>
      <c r="AI1599" s="884"/>
      <c r="AJ1599" s="884"/>
      <c r="AK1599" s="884">
        <f t="shared" ref="AK1599" si="6418">AF1599+AG1599+AH1599+AI1599+AJ1599+AC1599</f>
        <v>0</v>
      </c>
      <c r="AL1599" s="884">
        <v>0</v>
      </c>
      <c r="AM1599" s="878" t="str">
        <f t="shared" ref="AM1599" si="6419">IFERROR((AK1599/AL1599),"-")</f>
        <v>-</v>
      </c>
      <c r="AN1599" s="2"/>
      <c r="AO1599" s="884">
        <v>199</v>
      </c>
      <c r="AP1599" s="884">
        <f t="shared" ref="AP1599" si="6420">AO1599-AK1599</f>
        <v>199</v>
      </c>
      <c r="AV1599" t="str">
        <f t="shared" si="6199"/>
        <v>Drenagem Superficial</v>
      </c>
      <c r="AW1599" s="4" t="str">
        <f t="shared" si="6197"/>
        <v xml:space="preserve">   Seg. 2.3-C08-Acesso - Drenagem Superficial - Sarjeta de corte</v>
      </c>
    </row>
    <row r="1600" spans="1:49" ht="14.45" hidden="1" customHeight="1" outlineLevel="2">
      <c r="A1600" s="8" t="str">
        <f t="shared" ref="A1600" si="6421">A1599</f>
        <v>N</v>
      </c>
      <c r="B1600" s="150"/>
      <c r="C1600" s="150" t="s">
        <v>1925</v>
      </c>
      <c r="D1600" s="120" t="s">
        <v>1926</v>
      </c>
      <c r="E1600" s="915"/>
      <c r="F1600" s="902"/>
      <c r="G1600" s="528"/>
      <c r="H1600" s="549" t="s">
        <v>38</v>
      </c>
      <c r="I1600" s="711">
        <v>0</v>
      </c>
      <c r="J1600" s="897"/>
      <c r="K1600" s="528"/>
      <c r="L1600" s="549" t="s">
        <v>38</v>
      </c>
      <c r="M1600" s="711">
        <f t="shared" si="6407"/>
        <v>0</v>
      </c>
      <c r="N1600" s="897"/>
      <c r="O1600" s="528"/>
      <c r="P1600" s="548">
        <v>0</v>
      </c>
      <c r="Q1600" s="548">
        <v>0</v>
      </c>
      <c r="R1600" s="548">
        <v>0</v>
      </c>
      <c r="S1600" s="548">
        <v>0</v>
      </c>
      <c r="T1600" s="548">
        <v>0</v>
      </c>
      <c r="U1600" s="548">
        <v>0</v>
      </c>
      <c r="V1600" s="548">
        <v>0</v>
      </c>
      <c r="W1600" s="528"/>
      <c r="X1600" s="711">
        <f t="shared" si="6399"/>
        <v>0</v>
      </c>
      <c r="Y1600" s="897"/>
      <c r="Z1600" s="528"/>
      <c r="AA1600" s="899"/>
      <c r="AB1600" s="899"/>
      <c r="AC1600" s="904"/>
      <c r="AD1600" s="916"/>
      <c r="AE1600" s="2"/>
      <c r="AF1600" s="885"/>
      <c r="AG1600" s="885"/>
      <c r="AH1600" s="885"/>
      <c r="AI1600" s="885"/>
      <c r="AJ1600" s="885"/>
      <c r="AK1600" s="885"/>
      <c r="AL1600" s="885"/>
      <c r="AM1600" s="879"/>
      <c r="AN1600" s="2"/>
      <c r="AO1600" s="886"/>
      <c r="AP1600" s="886"/>
      <c r="AV1600" t="str">
        <f t="shared" si="6199"/>
        <v>Drenagem Superficial</v>
      </c>
      <c r="AW1600" s="4" t="str">
        <f t="shared" si="6197"/>
        <v xml:space="preserve">   Seg. 2.3-C08-Acesso - Drenagem Superficial - Sarjeta de corte</v>
      </c>
    </row>
    <row r="1601" spans="1:49" ht="14.45" hidden="1" customHeight="1" outlineLevel="2">
      <c r="A1601" s="8" t="str">
        <f t="shared" ref="A1601" si="6422">IF(SUM(P1601:V1602)&gt;0,"S","N")</f>
        <v>N</v>
      </c>
      <c r="B1601" s="150">
        <v>1060099</v>
      </c>
      <c r="C1601" s="150" t="s">
        <v>1928</v>
      </c>
      <c r="D1601" s="120" t="s">
        <v>313</v>
      </c>
      <c r="E1601" s="914" t="s">
        <v>1855</v>
      </c>
      <c r="F1601" s="902" t="s">
        <v>52</v>
      </c>
      <c r="G1601" s="528"/>
      <c r="H1601" s="546" t="s">
        <v>37</v>
      </c>
      <c r="I1601" s="711">
        <v>0</v>
      </c>
      <c r="J1601" s="896" t="str">
        <f t="shared" ref="J1601" si="6423">IFERROR((I1602/I1601),"-")</f>
        <v>-</v>
      </c>
      <c r="K1601" s="528"/>
      <c r="L1601" s="546" t="s">
        <v>37</v>
      </c>
      <c r="M1601" s="711">
        <f t="shared" si="6407"/>
        <v>0</v>
      </c>
      <c r="N1601" s="896" t="str">
        <f t="shared" ref="N1601" si="6424">IFERROR((M1602/M1601),"-")</f>
        <v>-</v>
      </c>
      <c r="O1601" s="528"/>
      <c r="P1601" s="547">
        <v>0</v>
      </c>
      <c r="Q1601" s="547">
        <v>0</v>
      </c>
      <c r="R1601" s="547">
        <v>0</v>
      </c>
      <c r="S1601" s="547">
        <v>0</v>
      </c>
      <c r="T1601" s="547">
        <v>0</v>
      </c>
      <c r="U1601" s="547">
        <v>0</v>
      </c>
      <c r="V1601" s="548">
        <v>0</v>
      </c>
      <c r="W1601" s="528"/>
      <c r="X1601" s="711">
        <f t="shared" si="6399"/>
        <v>0</v>
      </c>
      <c r="Y1601" s="896" t="str">
        <f>IFERROR((X1602/X1601),"-")</f>
        <v>-</v>
      </c>
      <c r="Z1601" s="528"/>
      <c r="AA1601" s="898">
        <v>0</v>
      </c>
      <c r="AB1601" s="898">
        <v>0</v>
      </c>
      <c r="AC1601" s="903">
        <v>0</v>
      </c>
      <c r="AD1601" s="916" t="str">
        <f t="shared" ref="AD1601" si="6425">IFERROR((AC1601/AB1601),"-")</f>
        <v>-</v>
      </c>
      <c r="AE1601" s="2"/>
      <c r="AF1601" s="884"/>
      <c r="AG1601" s="884"/>
      <c r="AH1601" s="884">
        <v>0</v>
      </c>
      <c r="AI1601" s="884"/>
      <c r="AJ1601" s="884"/>
      <c r="AK1601" s="884">
        <f t="shared" ref="AK1601" si="6426">AF1601+AG1601+AH1601+AI1601+AJ1601+AC1601</f>
        <v>0</v>
      </c>
      <c r="AL1601" s="884">
        <v>534</v>
      </c>
      <c r="AM1601" s="878">
        <f t="shared" ref="AM1601" si="6427">IFERROR((AK1601/AL1601),"-")</f>
        <v>0</v>
      </c>
      <c r="AN1601" s="2"/>
      <c r="AO1601" s="884">
        <v>534</v>
      </c>
      <c r="AP1601" s="884">
        <f t="shared" ref="AP1601" si="6428">AO1601-AK1601</f>
        <v>534</v>
      </c>
      <c r="AV1601" t="str">
        <f t="shared" si="6199"/>
        <v>Drenagem Superficial</v>
      </c>
      <c r="AW1601" s="4" t="str">
        <f t="shared" si="6197"/>
        <v xml:space="preserve">   Construção de sarjeta de corte</v>
      </c>
    </row>
    <row r="1602" spans="1:49" ht="14.45" hidden="1" customHeight="1" outlineLevel="2">
      <c r="A1602" s="8" t="str">
        <f t="shared" ref="A1602" si="6429">A1601</f>
        <v>N</v>
      </c>
      <c r="B1602" s="150"/>
      <c r="C1602" s="150" t="s">
        <v>1928</v>
      </c>
      <c r="D1602" s="120" t="s">
        <v>313</v>
      </c>
      <c r="E1602" s="915"/>
      <c r="F1602" s="902"/>
      <c r="G1602" s="528"/>
      <c r="H1602" s="549" t="s">
        <v>38</v>
      </c>
      <c r="I1602" s="711">
        <v>0</v>
      </c>
      <c r="J1602" s="897"/>
      <c r="K1602" s="528"/>
      <c r="L1602" s="549" t="s">
        <v>38</v>
      </c>
      <c r="M1602" s="711">
        <f t="shared" si="6407"/>
        <v>0</v>
      </c>
      <c r="N1602" s="897"/>
      <c r="O1602" s="528"/>
      <c r="P1602" s="548">
        <v>0</v>
      </c>
      <c r="Q1602" s="548">
        <v>0</v>
      </c>
      <c r="R1602" s="548">
        <v>0</v>
      </c>
      <c r="S1602" s="548">
        <v>0</v>
      </c>
      <c r="T1602" s="548">
        <v>0</v>
      </c>
      <c r="U1602" s="548">
        <v>0</v>
      </c>
      <c r="V1602" s="548">
        <v>0</v>
      </c>
      <c r="W1602" s="528"/>
      <c r="X1602" s="711">
        <f t="shared" si="6399"/>
        <v>0</v>
      </c>
      <c r="Y1602" s="897"/>
      <c r="Z1602" s="528"/>
      <c r="AA1602" s="899"/>
      <c r="AB1602" s="899"/>
      <c r="AC1602" s="904"/>
      <c r="AD1602" s="916"/>
      <c r="AE1602" s="2"/>
      <c r="AF1602" s="885"/>
      <c r="AG1602" s="885"/>
      <c r="AH1602" s="885"/>
      <c r="AI1602" s="885"/>
      <c r="AJ1602" s="885"/>
      <c r="AK1602" s="885"/>
      <c r="AL1602" s="885"/>
      <c r="AM1602" s="879"/>
      <c r="AN1602" s="2"/>
      <c r="AO1602" s="886"/>
      <c r="AP1602" s="886"/>
      <c r="AV1602" t="str">
        <f t="shared" si="6199"/>
        <v>Drenagem Superficial</v>
      </c>
      <c r="AW1602" s="4" t="str">
        <f t="shared" si="6197"/>
        <v xml:space="preserve">   Construção de sarjeta de corte</v>
      </c>
    </row>
    <row r="1603" spans="1:49" ht="14.45" hidden="1" customHeight="1" outlineLevel="2">
      <c r="A1603" s="8" t="str">
        <f t="shared" ref="A1603" si="6430">IF(SUM(P1603:V1604)&gt;0,"S","N")</f>
        <v>N</v>
      </c>
      <c r="B1603" s="150">
        <v>1061517</v>
      </c>
      <c r="C1603" s="150" t="s">
        <v>1929</v>
      </c>
      <c r="D1603" s="120" t="s">
        <v>1857</v>
      </c>
      <c r="E1603" s="914" t="s">
        <v>1855</v>
      </c>
      <c r="F1603" s="902" t="s">
        <v>52</v>
      </c>
      <c r="G1603" s="528"/>
      <c r="H1603" s="546" t="s">
        <v>37</v>
      </c>
      <c r="I1603" s="711">
        <v>0</v>
      </c>
      <c r="J1603" s="896" t="str">
        <f t="shared" ref="J1603" si="6431">IFERROR((I1604/I1603),"-")</f>
        <v>-</v>
      </c>
      <c r="K1603" s="528"/>
      <c r="L1603" s="546" t="s">
        <v>37</v>
      </c>
      <c r="M1603" s="711">
        <f t="shared" si="6407"/>
        <v>0</v>
      </c>
      <c r="N1603" s="896" t="str">
        <f t="shared" ref="N1603" si="6432">IFERROR((M1604/M1603),"-")</f>
        <v>-</v>
      </c>
      <c r="O1603" s="528"/>
      <c r="P1603" s="547">
        <v>0</v>
      </c>
      <c r="Q1603" s="547">
        <v>0</v>
      </c>
      <c r="R1603" s="547">
        <v>0</v>
      </c>
      <c r="S1603" s="547">
        <v>0</v>
      </c>
      <c r="T1603" s="547">
        <v>0</v>
      </c>
      <c r="U1603" s="547">
        <v>0</v>
      </c>
      <c r="V1603" s="548">
        <v>0</v>
      </c>
      <c r="W1603" s="528"/>
      <c r="X1603" s="711">
        <f t="shared" si="6399"/>
        <v>0</v>
      </c>
      <c r="Y1603" s="896" t="str">
        <f>IFERROR((X1604/X1603),"-")</f>
        <v>-</v>
      </c>
      <c r="Z1603" s="528"/>
      <c r="AA1603" s="898">
        <v>0</v>
      </c>
      <c r="AB1603" s="898">
        <v>0</v>
      </c>
      <c r="AC1603" s="903">
        <v>0</v>
      </c>
      <c r="AD1603" s="916" t="str">
        <f t="shared" ref="AD1603" si="6433">IFERROR((AC1603/AB1603),"-")</f>
        <v>-</v>
      </c>
      <c r="AE1603" s="2"/>
      <c r="AF1603" s="884"/>
      <c r="AG1603" s="884"/>
      <c r="AH1603" s="884">
        <v>0</v>
      </c>
      <c r="AI1603" s="884"/>
      <c r="AJ1603" s="884"/>
      <c r="AK1603" s="884">
        <f t="shared" ref="AK1603" si="6434">AF1603+AG1603+AH1603+AI1603+AJ1603+AC1603</f>
        <v>0</v>
      </c>
      <c r="AL1603" s="884">
        <v>0</v>
      </c>
      <c r="AM1603" s="878" t="str">
        <f t="shared" ref="AM1603" si="6435">IFERROR((AK1603/AL1603),"-")</f>
        <v>-</v>
      </c>
      <c r="AN1603" s="2"/>
      <c r="AO1603" s="884">
        <v>706</v>
      </c>
      <c r="AP1603" s="884">
        <f t="shared" ref="AP1603" si="6436">AO1603-AK1603</f>
        <v>706</v>
      </c>
      <c r="AV1603" t="str">
        <f t="shared" si="6199"/>
        <v>Drenagem Superficial</v>
      </c>
      <c r="AW1603" s="4" t="str">
        <f t="shared" si="6197"/>
        <v xml:space="preserve">   Construção de sarjeta de corte</v>
      </c>
    </row>
    <row r="1604" spans="1:49" ht="14.45" hidden="1" customHeight="1" outlineLevel="2">
      <c r="A1604" s="8" t="str">
        <f t="shared" ref="A1604" si="6437">A1603</f>
        <v>N</v>
      </c>
      <c r="B1604" s="150"/>
      <c r="C1604" s="150" t="s">
        <v>1929</v>
      </c>
      <c r="D1604" s="120" t="s">
        <v>1857</v>
      </c>
      <c r="E1604" s="915"/>
      <c r="F1604" s="902"/>
      <c r="G1604" s="528"/>
      <c r="H1604" s="549" t="s">
        <v>38</v>
      </c>
      <c r="I1604" s="711">
        <v>0</v>
      </c>
      <c r="J1604" s="897"/>
      <c r="K1604" s="528"/>
      <c r="L1604" s="549" t="s">
        <v>38</v>
      </c>
      <c r="M1604" s="711">
        <f t="shared" si="6407"/>
        <v>0</v>
      </c>
      <c r="N1604" s="897"/>
      <c r="O1604" s="528"/>
      <c r="P1604" s="548">
        <v>0</v>
      </c>
      <c r="Q1604" s="548">
        <v>0</v>
      </c>
      <c r="R1604" s="548">
        <v>0</v>
      </c>
      <c r="S1604" s="548">
        <v>0</v>
      </c>
      <c r="T1604" s="548">
        <v>0</v>
      </c>
      <c r="U1604" s="548">
        <v>0</v>
      </c>
      <c r="V1604" s="548">
        <v>0</v>
      </c>
      <c r="W1604" s="528"/>
      <c r="X1604" s="711">
        <f t="shared" si="6399"/>
        <v>0</v>
      </c>
      <c r="Y1604" s="897"/>
      <c r="Z1604" s="528"/>
      <c r="AA1604" s="899"/>
      <c r="AB1604" s="899"/>
      <c r="AC1604" s="904"/>
      <c r="AD1604" s="916"/>
      <c r="AE1604" s="2"/>
      <c r="AF1604" s="885"/>
      <c r="AG1604" s="885"/>
      <c r="AH1604" s="885"/>
      <c r="AI1604" s="885"/>
      <c r="AJ1604" s="885"/>
      <c r="AK1604" s="885"/>
      <c r="AL1604" s="885"/>
      <c r="AM1604" s="879"/>
      <c r="AN1604" s="2"/>
      <c r="AO1604" s="886"/>
      <c r="AP1604" s="886"/>
      <c r="AV1604" t="str">
        <f t="shared" si="6199"/>
        <v>Drenagem Superficial</v>
      </c>
      <c r="AW1604" s="4" t="str">
        <f t="shared" si="6197"/>
        <v xml:space="preserve">   Construção de sarjeta de corte</v>
      </c>
    </row>
    <row r="1605" spans="1:49" ht="14.45" hidden="1" customHeight="1" outlineLevel="2">
      <c r="A1605" s="8" t="str">
        <f t="shared" ref="A1605" si="6438">IF(SUM(P1605:V1606)&gt;0,"S","N")</f>
        <v>N</v>
      </c>
      <c r="B1605" s="150">
        <v>1061521</v>
      </c>
      <c r="C1605" s="150" t="s">
        <v>1930</v>
      </c>
      <c r="D1605" s="120" t="s">
        <v>1857</v>
      </c>
      <c r="E1605" s="914" t="s">
        <v>1855</v>
      </c>
      <c r="F1605" s="902" t="s">
        <v>52</v>
      </c>
      <c r="G1605" s="528"/>
      <c r="H1605" s="546" t="s">
        <v>37</v>
      </c>
      <c r="I1605" s="711">
        <v>0</v>
      </c>
      <c r="J1605" s="896" t="str">
        <f t="shared" ref="J1605" si="6439">IFERROR((I1606/I1605),"-")</f>
        <v>-</v>
      </c>
      <c r="K1605" s="528"/>
      <c r="L1605" s="546" t="s">
        <v>37</v>
      </c>
      <c r="M1605" s="711">
        <f t="shared" si="6407"/>
        <v>0</v>
      </c>
      <c r="N1605" s="896" t="str">
        <f t="shared" ref="N1605" si="6440">IFERROR((M1606/M1605),"-")</f>
        <v>-</v>
      </c>
      <c r="O1605" s="528"/>
      <c r="P1605" s="547">
        <v>0</v>
      </c>
      <c r="Q1605" s="547">
        <v>0</v>
      </c>
      <c r="R1605" s="547">
        <v>0</v>
      </c>
      <c r="S1605" s="547">
        <v>0</v>
      </c>
      <c r="T1605" s="547">
        <v>0</v>
      </c>
      <c r="U1605" s="547">
        <v>0</v>
      </c>
      <c r="V1605" s="548">
        <v>0</v>
      </c>
      <c r="W1605" s="528"/>
      <c r="X1605" s="711">
        <f t="shared" si="6399"/>
        <v>0</v>
      </c>
      <c r="Y1605" s="896" t="str">
        <f>IFERROR((X1606/X1605),"-")</f>
        <v>-</v>
      </c>
      <c r="Z1605" s="528"/>
      <c r="AA1605" s="898">
        <v>0</v>
      </c>
      <c r="AB1605" s="898">
        <v>0</v>
      </c>
      <c r="AC1605" s="903">
        <v>0</v>
      </c>
      <c r="AD1605" s="916" t="str">
        <f t="shared" ref="AD1605" si="6441">IFERROR((AC1605/AB1605),"-")</f>
        <v>-</v>
      </c>
      <c r="AE1605" s="2"/>
      <c r="AF1605" s="884"/>
      <c r="AG1605" s="884"/>
      <c r="AH1605" s="884">
        <v>0</v>
      </c>
      <c r="AI1605" s="884"/>
      <c r="AJ1605" s="884"/>
      <c r="AK1605" s="884">
        <f t="shared" ref="AK1605" si="6442">AF1605+AG1605+AH1605+AI1605+AJ1605+AC1605</f>
        <v>0</v>
      </c>
      <c r="AL1605" s="884">
        <v>0</v>
      </c>
      <c r="AM1605" s="878" t="str">
        <f t="shared" ref="AM1605" si="6443">IFERROR((AK1605/AL1605),"-")</f>
        <v>-</v>
      </c>
      <c r="AN1605" s="2"/>
      <c r="AO1605" s="884">
        <v>203</v>
      </c>
      <c r="AP1605" s="884">
        <f t="shared" ref="AP1605" si="6444">AO1605-AK1605</f>
        <v>203</v>
      </c>
      <c r="AV1605" t="str">
        <f t="shared" si="6199"/>
        <v>Drenagem Superficial</v>
      </c>
      <c r="AW1605" s="4" t="str">
        <f t="shared" si="6197"/>
        <v xml:space="preserve">   Construção de sarjeta de corte</v>
      </c>
    </row>
    <row r="1606" spans="1:49" ht="14.45" hidden="1" customHeight="1" outlineLevel="2">
      <c r="A1606" s="8" t="str">
        <f t="shared" ref="A1606" si="6445">A1605</f>
        <v>N</v>
      </c>
      <c r="B1606" s="150"/>
      <c r="C1606" s="150" t="s">
        <v>1930</v>
      </c>
      <c r="D1606" s="120" t="s">
        <v>1857</v>
      </c>
      <c r="E1606" s="915"/>
      <c r="F1606" s="902"/>
      <c r="G1606" s="528"/>
      <c r="H1606" s="549" t="s">
        <v>38</v>
      </c>
      <c r="I1606" s="711">
        <v>0</v>
      </c>
      <c r="J1606" s="897"/>
      <c r="K1606" s="528"/>
      <c r="L1606" s="549" t="s">
        <v>38</v>
      </c>
      <c r="M1606" s="711">
        <f t="shared" si="6407"/>
        <v>0</v>
      </c>
      <c r="N1606" s="897"/>
      <c r="O1606" s="528"/>
      <c r="P1606" s="548">
        <v>0</v>
      </c>
      <c r="Q1606" s="548">
        <v>0</v>
      </c>
      <c r="R1606" s="548">
        <v>0</v>
      </c>
      <c r="S1606" s="548">
        <v>0</v>
      </c>
      <c r="T1606" s="548">
        <v>0</v>
      </c>
      <c r="U1606" s="548">
        <v>0</v>
      </c>
      <c r="V1606" s="548">
        <v>0</v>
      </c>
      <c r="W1606" s="528"/>
      <c r="X1606" s="711">
        <f t="shared" si="6399"/>
        <v>0</v>
      </c>
      <c r="Y1606" s="897"/>
      <c r="Z1606" s="528"/>
      <c r="AA1606" s="899"/>
      <c r="AB1606" s="899"/>
      <c r="AC1606" s="904"/>
      <c r="AD1606" s="916"/>
      <c r="AE1606" s="2"/>
      <c r="AF1606" s="885"/>
      <c r="AG1606" s="885"/>
      <c r="AH1606" s="885"/>
      <c r="AI1606" s="885"/>
      <c r="AJ1606" s="885"/>
      <c r="AK1606" s="885"/>
      <c r="AL1606" s="885"/>
      <c r="AM1606" s="879"/>
      <c r="AN1606" s="2"/>
      <c r="AO1606" s="886"/>
      <c r="AP1606" s="886"/>
      <c r="AV1606" t="str">
        <f t="shared" si="6199"/>
        <v>Drenagem Superficial</v>
      </c>
      <c r="AW1606" s="4" t="str">
        <f t="shared" si="6197"/>
        <v xml:space="preserve">   Construção de sarjeta de corte</v>
      </c>
    </row>
    <row r="1607" spans="1:49" ht="14.45" hidden="1" customHeight="1" outlineLevel="2">
      <c r="A1607" s="8" t="str">
        <f t="shared" ref="A1607" si="6446">IF(SUM(P1607:V1608)&gt;0,"S","N")</f>
        <v>N</v>
      </c>
      <c r="B1607" s="150">
        <v>1061536</v>
      </c>
      <c r="C1607" s="150" t="s">
        <v>1931</v>
      </c>
      <c r="D1607" s="120" t="s">
        <v>313</v>
      </c>
      <c r="E1607" s="914" t="s">
        <v>1855</v>
      </c>
      <c r="F1607" s="902" t="s">
        <v>52</v>
      </c>
      <c r="G1607" s="528"/>
      <c r="H1607" s="546" t="s">
        <v>37</v>
      </c>
      <c r="I1607" s="711">
        <v>0</v>
      </c>
      <c r="J1607" s="896" t="str">
        <f t="shared" ref="J1607" si="6447">IFERROR((I1608/I1607),"-")</f>
        <v>-</v>
      </c>
      <c r="K1607" s="528"/>
      <c r="L1607" s="546" t="s">
        <v>37</v>
      </c>
      <c r="M1607" s="711">
        <f t="shared" si="6407"/>
        <v>0</v>
      </c>
      <c r="N1607" s="896" t="str">
        <f t="shared" ref="N1607" si="6448">IFERROR((M1608/M1607),"-")</f>
        <v>-</v>
      </c>
      <c r="O1607" s="528"/>
      <c r="P1607" s="547">
        <v>0</v>
      </c>
      <c r="Q1607" s="547">
        <v>0</v>
      </c>
      <c r="R1607" s="547">
        <v>0</v>
      </c>
      <c r="S1607" s="547">
        <v>0</v>
      </c>
      <c r="T1607" s="547">
        <v>0</v>
      </c>
      <c r="U1607" s="547">
        <v>0</v>
      </c>
      <c r="V1607" s="548">
        <v>0</v>
      </c>
      <c r="W1607" s="528"/>
      <c r="X1607" s="711">
        <f t="shared" si="6399"/>
        <v>0</v>
      </c>
      <c r="Y1607" s="896" t="str">
        <f>IFERROR((X1608/X1607),"-")</f>
        <v>-</v>
      </c>
      <c r="Z1607" s="528"/>
      <c r="AA1607" s="898">
        <v>0</v>
      </c>
      <c r="AB1607" s="898">
        <v>0</v>
      </c>
      <c r="AC1607" s="903">
        <v>0</v>
      </c>
      <c r="AD1607" s="916" t="str">
        <f t="shared" ref="AD1607" si="6449">IFERROR((AC1607/AB1607),"-")</f>
        <v>-</v>
      </c>
      <c r="AE1607" s="2"/>
      <c r="AF1607" s="884"/>
      <c r="AG1607" s="884"/>
      <c r="AH1607" s="884">
        <v>0</v>
      </c>
      <c r="AI1607" s="884"/>
      <c r="AJ1607" s="884"/>
      <c r="AK1607" s="884">
        <f t="shared" ref="AK1607" si="6450">AF1607+AG1607+AH1607+AI1607+AJ1607+AC1607</f>
        <v>0</v>
      </c>
      <c r="AL1607" s="884">
        <v>293</v>
      </c>
      <c r="AM1607" s="878">
        <f t="shared" ref="AM1607" si="6451">IFERROR((AK1607/AL1607),"-")</f>
        <v>0</v>
      </c>
      <c r="AN1607" s="2"/>
      <c r="AO1607" s="884">
        <v>293.07</v>
      </c>
      <c r="AP1607" s="884">
        <f t="shared" ref="AP1607" si="6452">AO1607-AK1607</f>
        <v>293.07</v>
      </c>
      <c r="AV1607" t="str">
        <f t="shared" si="6199"/>
        <v>Drenagem Superficial</v>
      </c>
      <c r="AW1607" s="4" t="str">
        <f t="shared" si="6197"/>
        <v xml:space="preserve">   Construção de sarjeta de corte</v>
      </c>
    </row>
    <row r="1608" spans="1:49" ht="14.45" hidden="1" customHeight="1" outlineLevel="2">
      <c r="A1608" s="8" t="str">
        <f t="shared" ref="A1608" si="6453">A1607</f>
        <v>N</v>
      </c>
      <c r="B1608" s="150"/>
      <c r="C1608" s="150" t="s">
        <v>1931</v>
      </c>
      <c r="D1608" s="120" t="s">
        <v>313</v>
      </c>
      <c r="E1608" s="915"/>
      <c r="F1608" s="902"/>
      <c r="G1608" s="528"/>
      <c r="H1608" s="549" t="s">
        <v>38</v>
      </c>
      <c r="I1608" s="711">
        <v>0</v>
      </c>
      <c r="J1608" s="897"/>
      <c r="K1608" s="528"/>
      <c r="L1608" s="549" t="s">
        <v>38</v>
      </c>
      <c r="M1608" s="711">
        <f t="shared" si="6407"/>
        <v>0</v>
      </c>
      <c r="N1608" s="897"/>
      <c r="O1608" s="528"/>
      <c r="P1608" s="548">
        <v>0</v>
      </c>
      <c r="Q1608" s="548">
        <v>0</v>
      </c>
      <c r="R1608" s="548">
        <v>0</v>
      </c>
      <c r="S1608" s="548">
        <v>0</v>
      </c>
      <c r="T1608" s="548">
        <v>0</v>
      </c>
      <c r="U1608" s="548">
        <v>0</v>
      </c>
      <c r="V1608" s="548">
        <v>0</v>
      </c>
      <c r="W1608" s="528"/>
      <c r="X1608" s="711">
        <f t="shared" si="6399"/>
        <v>0</v>
      </c>
      <c r="Y1608" s="897"/>
      <c r="Z1608" s="528"/>
      <c r="AA1608" s="899"/>
      <c r="AB1608" s="899"/>
      <c r="AC1608" s="904"/>
      <c r="AD1608" s="916"/>
      <c r="AE1608" s="2"/>
      <c r="AF1608" s="885"/>
      <c r="AG1608" s="885"/>
      <c r="AH1608" s="885"/>
      <c r="AI1608" s="885"/>
      <c r="AJ1608" s="885"/>
      <c r="AK1608" s="885"/>
      <c r="AL1608" s="885"/>
      <c r="AM1608" s="879"/>
      <c r="AN1608" s="2"/>
      <c r="AO1608" s="886"/>
      <c r="AP1608" s="886"/>
      <c r="AV1608" t="str">
        <f t="shared" si="6199"/>
        <v>Drenagem Superficial</v>
      </c>
      <c r="AW1608" s="4" t="str">
        <f t="shared" si="6197"/>
        <v xml:space="preserve">   Construção de sarjeta de corte</v>
      </c>
    </row>
    <row r="1609" spans="1:49" ht="14.45" hidden="1" customHeight="1" outlineLevel="2">
      <c r="A1609" s="8" t="str">
        <f t="shared" ref="A1609" si="6454">IF(SUM(P1609:V1610)&gt;0,"S","N")</f>
        <v>N</v>
      </c>
      <c r="B1609" s="150">
        <v>1061755</v>
      </c>
      <c r="C1609" s="150" t="s">
        <v>1896</v>
      </c>
      <c r="D1609" s="120" t="s">
        <v>1264</v>
      </c>
      <c r="E1609" s="914" t="s">
        <v>1897</v>
      </c>
      <c r="F1609" s="902" t="s">
        <v>52</v>
      </c>
      <c r="G1609" s="528"/>
      <c r="H1609" s="546" t="s">
        <v>37</v>
      </c>
      <c r="I1609" s="711">
        <v>0</v>
      </c>
      <c r="J1609" s="896" t="str">
        <f t="shared" ref="J1609" si="6455">IFERROR((I1610/I1609),"-")</f>
        <v>-</v>
      </c>
      <c r="K1609" s="528"/>
      <c r="L1609" s="546" t="s">
        <v>37</v>
      </c>
      <c r="M1609" s="711">
        <f t="shared" si="6407"/>
        <v>0</v>
      </c>
      <c r="N1609" s="896" t="str">
        <f t="shared" ref="N1609" si="6456">IFERROR((M1610/M1609),"-")</f>
        <v>-</v>
      </c>
      <c r="O1609" s="528"/>
      <c r="P1609" s="547">
        <v>0</v>
      </c>
      <c r="Q1609" s="547">
        <v>0</v>
      </c>
      <c r="R1609" s="547">
        <v>0</v>
      </c>
      <c r="S1609" s="547">
        <v>0</v>
      </c>
      <c r="T1609" s="547">
        <v>0</v>
      </c>
      <c r="U1609" s="547">
        <v>0</v>
      </c>
      <c r="V1609" s="548">
        <v>0</v>
      </c>
      <c r="W1609" s="528"/>
      <c r="X1609" s="711">
        <f t="shared" si="6399"/>
        <v>0</v>
      </c>
      <c r="Y1609" s="896" t="str">
        <f>IFERROR((X1610/X1609),"-")</f>
        <v>-</v>
      </c>
      <c r="Z1609" s="528"/>
      <c r="AA1609" s="898">
        <v>0</v>
      </c>
      <c r="AB1609" s="898">
        <v>0</v>
      </c>
      <c r="AC1609" s="903">
        <v>0</v>
      </c>
      <c r="AD1609" s="916" t="str">
        <f t="shared" ref="AD1609" si="6457">IFERROR((AC1609/AB1609),"-")</f>
        <v>-</v>
      </c>
      <c r="AE1609" s="2"/>
      <c r="AF1609" s="884"/>
      <c r="AG1609" s="884"/>
      <c r="AH1609" s="884">
        <v>0</v>
      </c>
      <c r="AI1609" s="884"/>
      <c r="AJ1609" s="884"/>
      <c r="AK1609" s="884">
        <f t="shared" ref="AK1609" si="6458">AF1609+AG1609+AH1609+AI1609+AJ1609+AC1609</f>
        <v>0</v>
      </c>
      <c r="AL1609" s="884">
        <v>0</v>
      </c>
      <c r="AM1609" s="878" t="str">
        <f t="shared" ref="AM1609" si="6459">IFERROR((AK1609/AL1609),"-")</f>
        <v>-</v>
      </c>
      <c r="AN1609" s="2"/>
      <c r="AO1609" s="884">
        <v>0</v>
      </c>
      <c r="AP1609" s="884">
        <f t="shared" ref="AP1609" si="6460">AO1609-AK1609</f>
        <v>0</v>
      </c>
      <c r="AV1609" t="str">
        <f t="shared" si="6199"/>
        <v>Drenagem Superficial</v>
      </c>
      <c r="AW1609" s="4" t="str">
        <f t="shared" ref="AW1609:AW1672" si="6461">IF(E1609&lt;&gt;"",E1609,AW1608)</f>
        <v xml:space="preserve">   Seg. 2.3-A07 - Drenagem Superficial - Sarjeta de aterro (Km 121+660 a 121+700)</v>
      </c>
    </row>
    <row r="1610" spans="1:49" ht="9" hidden="1" customHeight="1" outlineLevel="2">
      <c r="A1610" s="8" t="str">
        <f t="shared" ref="A1610" si="6462">A1609</f>
        <v>N</v>
      </c>
      <c r="B1610" s="150"/>
      <c r="C1610" s="150" t="s">
        <v>1896</v>
      </c>
      <c r="D1610" s="120" t="s">
        <v>1264</v>
      </c>
      <c r="E1610" s="915"/>
      <c r="F1610" s="902"/>
      <c r="G1610" s="528"/>
      <c r="H1610" s="549" t="s">
        <v>38</v>
      </c>
      <c r="I1610" s="711">
        <v>0</v>
      </c>
      <c r="J1610" s="897"/>
      <c r="K1610" s="528"/>
      <c r="L1610" s="549" t="s">
        <v>38</v>
      </c>
      <c r="M1610" s="711">
        <f t="shared" si="6407"/>
        <v>0</v>
      </c>
      <c r="N1610" s="897"/>
      <c r="O1610" s="528"/>
      <c r="P1610" s="548">
        <v>0</v>
      </c>
      <c r="Q1610" s="548">
        <v>0</v>
      </c>
      <c r="R1610" s="548">
        <v>0</v>
      </c>
      <c r="S1610" s="548">
        <v>0</v>
      </c>
      <c r="T1610" s="548">
        <v>0</v>
      </c>
      <c r="U1610" s="548">
        <v>0</v>
      </c>
      <c r="V1610" s="548">
        <v>0</v>
      </c>
      <c r="W1610" s="528"/>
      <c r="X1610" s="711">
        <f t="shared" si="6399"/>
        <v>0</v>
      </c>
      <c r="Y1610" s="897"/>
      <c r="Z1610" s="528"/>
      <c r="AA1610" s="899"/>
      <c r="AB1610" s="899"/>
      <c r="AC1610" s="904"/>
      <c r="AD1610" s="916"/>
      <c r="AE1610" s="2"/>
      <c r="AF1610" s="885"/>
      <c r="AG1610" s="885"/>
      <c r="AH1610" s="885"/>
      <c r="AI1610" s="885"/>
      <c r="AJ1610" s="885"/>
      <c r="AK1610" s="885"/>
      <c r="AL1610" s="885"/>
      <c r="AM1610" s="879"/>
      <c r="AN1610" s="2"/>
      <c r="AO1610" s="886"/>
      <c r="AP1610" s="886"/>
      <c r="AV1610" t="str">
        <f t="shared" ref="AV1610:AV1673" si="6463">IF(AX1610="Y",LEFT(E1610,20),IF(AX1610="x",E1610,AV1609))</f>
        <v>Drenagem Superficial</v>
      </c>
      <c r="AW1610" s="4" t="str">
        <f t="shared" si="6461"/>
        <v xml:space="preserve">   Seg. 2.3-A07 - Drenagem Superficial - Sarjeta de aterro (Km 121+660 a 121+700)</v>
      </c>
    </row>
    <row r="1611" spans="1:49" ht="9" hidden="1" customHeight="1" outlineLevel="2">
      <c r="A1611" s="8" t="str">
        <f t="shared" ref="A1611" si="6464">IF(SUM(P1611:V1612)&gt;0,"S","N")</f>
        <v>N</v>
      </c>
      <c r="B1611" s="150">
        <v>1065355</v>
      </c>
      <c r="C1611" s="150" t="s">
        <v>1932</v>
      </c>
      <c r="D1611" s="147" t="s">
        <v>298</v>
      </c>
      <c r="E1611" s="914" t="s">
        <v>1933</v>
      </c>
      <c r="F1611" s="902" t="s">
        <v>52</v>
      </c>
      <c r="G1611" s="528"/>
      <c r="H1611" s="546" t="s">
        <v>37</v>
      </c>
      <c r="I1611" s="711">
        <v>0</v>
      </c>
      <c r="J1611" s="896" t="str">
        <f t="shared" ref="J1611" si="6465">IFERROR((I1612/I1611),"-")</f>
        <v>-</v>
      </c>
      <c r="K1611" s="528"/>
      <c r="L1611" s="546" t="s">
        <v>37</v>
      </c>
      <c r="M1611" s="711">
        <f t="shared" si="6407"/>
        <v>0</v>
      </c>
      <c r="N1611" s="896" t="str">
        <f t="shared" ref="N1611" si="6466">IFERROR((M1612/M1611),"-")</f>
        <v>-</v>
      </c>
      <c r="O1611" s="528"/>
      <c r="P1611" s="547">
        <v>0</v>
      </c>
      <c r="Q1611" s="547">
        <v>0</v>
      </c>
      <c r="R1611" s="547">
        <v>0</v>
      </c>
      <c r="S1611" s="547">
        <v>0</v>
      </c>
      <c r="T1611" s="547">
        <v>0</v>
      </c>
      <c r="U1611" s="547">
        <v>0</v>
      </c>
      <c r="V1611" s="548">
        <v>0</v>
      </c>
      <c r="W1611" s="528"/>
      <c r="X1611" s="711">
        <f t="shared" si="6399"/>
        <v>0</v>
      </c>
      <c r="Y1611" s="896" t="str">
        <f>IFERROR((X1612/X1611),"-")</f>
        <v>-</v>
      </c>
      <c r="Z1611" s="528"/>
      <c r="AA1611" s="898">
        <v>0</v>
      </c>
      <c r="AB1611" s="898">
        <v>0</v>
      </c>
      <c r="AC1611" s="903">
        <v>0</v>
      </c>
      <c r="AD1611" s="916" t="str">
        <f t="shared" ref="AD1611" si="6467">IFERROR((AC1611/AB1611),"-")</f>
        <v>-</v>
      </c>
      <c r="AE1611" s="2"/>
      <c r="AF1611" s="884">
        <v>753.69500000000005</v>
      </c>
      <c r="AG1611" s="884"/>
      <c r="AH1611" s="884">
        <v>5</v>
      </c>
      <c r="AI1611" s="884"/>
      <c r="AJ1611" s="884"/>
      <c r="AK1611" s="884">
        <f t="shared" ref="AK1611:AK1613" si="6468">AF1611+AG1611+AH1611+AI1611+AJ1611+AC1611</f>
        <v>758.69500000000005</v>
      </c>
      <c r="AL1611" s="884">
        <v>0.98999999999999988</v>
      </c>
      <c r="AM1611" s="878">
        <f t="shared" ref="AM1611" si="6469">IFERROR((AK1611/AL1611),"-")</f>
        <v>766.35858585858603</v>
      </c>
      <c r="AN1611" s="2"/>
      <c r="AO1611" s="884">
        <v>3696.41</v>
      </c>
      <c r="AP1611" s="884">
        <f t="shared" ref="AP1611:AP1613" si="6470">AO1611-AK1611</f>
        <v>2937.7149999999997</v>
      </c>
      <c r="AV1611" t="str">
        <f t="shared" si="6463"/>
        <v>Drenagem Superficial</v>
      </c>
      <c r="AW1611" s="4" t="str">
        <f t="shared" si="6461"/>
        <v xml:space="preserve">   Seg. 2.3-C08-Plataforma - Drenagem Superficial - Sarjeta de corte</v>
      </c>
    </row>
    <row r="1612" spans="1:49" ht="15.6" hidden="1" customHeight="1" outlineLevel="2">
      <c r="A1612" s="8" t="str">
        <f t="shared" ref="A1612:A1614" si="6471">A1611</f>
        <v>N</v>
      </c>
      <c r="B1612" s="150"/>
      <c r="C1612" s="150" t="s">
        <v>1932</v>
      </c>
      <c r="D1612" s="147" t="s">
        <v>298</v>
      </c>
      <c r="E1612" s="915"/>
      <c r="F1612" s="902"/>
      <c r="G1612" s="528"/>
      <c r="H1612" s="549" t="s">
        <v>38</v>
      </c>
      <c r="I1612" s="711">
        <v>0</v>
      </c>
      <c r="J1612" s="897"/>
      <c r="K1612" s="528"/>
      <c r="L1612" s="549" t="s">
        <v>38</v>
      </c>
      <c r="M1612" s="711">
        <f t="shared" si="6407"/>
        <v>0</v>
      </c>
      <c r="N1612" s="897"/>
      <c r="O1612" s="528"/>
      <c r="P1612" s="548">
        <v>0</v>
      </c>
      <c r="Q1612" s="548">
        <v>0</v>
      </c>
      <c r="R1612" s="548">
        <v>0</v>
      </c>
      <c r="S1612" s="548">
        <v>0</v>
      </c>
      <c r="T1612" s="548">
        <v>0</v>
      </c>
      <c r="U1612" s="548">
        <v>0</v>
      </c>
      <c r="V1612" s="548">
        <v>0</v>
      </c>
      <c r="W1612" s="528"/>
      <c r="X1612" s="711">
        <f t="shared" si="6399"/>
        <v>0</v>
      </c>
      <c r="Y1612" s="897"/>
      <c r="Z1612" s="528"/>
      <c r="AA1612" s="899"/>
      <c r="AB1612" s="899"/>
      <c r="AC1612" s="904"/>
      <c r="AD1612" s="916"/>
      <c r="AE1612" s="2"/>
      <c r="AF1612" s="885"/>
      <c r="AG1612" s="885"/>
      <c r="AH1612" s="885"/>
      <c r="AI1612" s="885"/>
      <c r="AJ1612" s="885"/>
      <c r="AK1612" s="885"/>
      <c r="AL1612" s="885"/>
      <c r="AM1612" s="879"/>
      <c r="AN1612" s="2"/>
      <c r="AO1612" s="885"/>
      <c r="AP1612" s="886"/>
      <c r="AV1612" t="str">
        <f t="shared" si="6463"/>
        <v>Drenagem Superficial</v>
      </c>
      <c r="AW1612" s="4" t="str">
        <f t="shared" si="6461"/>
        <v xml:space="preserve">   Seg. 2.3-C08-Plataforma - Drenagem Superficial - Sarjeta de corte</v>
      </c>
    </row>
    <row r="1613" spans="1:49" ht="15.6" hidden="1" customHeight="1" outlineLevel="2">
      <c r="A1613" s="8" t="str">
        <f t="shared" ref="A1613" si="6472">IF(SUM(P1613:V1614)&gt;0,"S","N")</f>
        <v>N</v>
      </c>
      <c r="B1613" s="150"/>
      <c r="C1613" s="150"/>
      <c r="D1613" s="120"/>
      <c r="E1613" s="914" t="s">
        <v>1934</v>
      </c>
      <c r="F1613" s="902" t="s">
        <v>52</v>
      </c>
      <c r="G1613" s="528"/>
      <c r="H1613" s="546" t="s">
        <v>37</v>
      </c>
      <c r="I1613" s="711">
        <v>0</v>
      </c>
      <c r="J1613" s="896" t="str">
        <f t="shared" ref="J1613" si="6473">IFERROR((I1614/I1613),"-")</f>
        <v>-</v>
      </c>
      <c r="K1613" s="528"/>
      <c r="L1613" s="546" t="s">
        <v>37</v>
      </c>
      <c r="M1613" s="711">
        <f t="shared" si="6407"/>
        <v>0</v>
      </c>
      <c r="N1613" s="896" t="str">
        <f t="shared" ref="N1613" si="6474">IFERROR((M1614/M1613),"-")</f>
        <v>-</v>
      </c>
      <c r="O1613" s="528"/>
      <c r="P1613" s="547"/>
      <c r="Q1613" s="547"/>
      <c r="R1613" s="547"/>
      <c r="S1613" s="547"/>
      <c r="T1613" s="547"/>
      <c r="U1613" s="547"/>
      <c r="V1613" s="548"/>
      <c r="W1613" s="528"/>
      <c r="X1613" s="711">
        <f t="shared" si="6399"/>
        <v>0</v>
      </c>
      <c r="Y1613" s="896" t="str">
        <f>IFERROR((X1614/X1613),"-")</f>
        <v>-</v>
      </c>
      <c r="Z1613" s="528"/>
      <c r="AA1613" s="898">
        <v>0</v>
      </c>
      <c r="AB1613" s="898">
        <v>0</v>
      </c>
      <c r="AC1613" s="903">
        <v>0</v>
      </c>
      <c r="AD1613" s="916" t="str">
        <f t="shared" ref="AD1613" si="6475">IFERROR((AC1613/AB1613),"-")</f>
        <v>-</v>
      </c>
      <c r="AE1613" s="2"/>
      <c r="AF1613" s="884">
        <v>-28020.468000000001</v>
      </c>
      <c r="AG1613" s="884"/>
      <c r="AH1613" s="884">
        <v>0</v>
      </c>
      <c r="AI1613" s="884"/>
      <c r="AJ1613" s="884"/>
      <c r="AK1613" s="884">
        <f t="shared" si="6468"/>
        <v>-28020.468000000001</v>
      </c>
      <c r="AL1613" s="884">
        <v>0</v>
      </c>
      <c r="AM1613" s="878" t="str">
        <f t="shared" ref="AM1613" si="6476">IFERROR((AK1613/AL1613),"-")</f>
        <v>-</v>
      </c>
      <c r="AN1613" s="2"/>
      <c r="AO1613" s="884">
        <v>0</v>
      </c>
      <c r="AP1613" s="884">
        <f t="shared" si="6470"/>
        <v>28020.468000000001</v>
      </c>
      <c r="AV1613" t="str">
        <f t="shared" si="6463"/>
        <v>Drenagem Superficial</v>
      </c>
      <c r="AW1613" s="4" t="str">
        <f t="shared" si="6461"/>
        <v>Ação de alinhamento para correção das quantidades acumuladas</v>
      </c>
    </row>
    <row r="1614" spans="1:49" ht="15.6" hidden="1" customHeight="1" outlineLevel="2">
      <c r="A1614" s="8" t="str">
        <f t="shared" si="6471"/>
        <v>N</v>
      </c>
      <c r="B1614" s="150"/>
      <c r="C1614" s="150"/>
      <c r="D1614" s="120"/>
      <c r="E1614" s="915"/>
      <c r="F1614" s="902"/>
      <c r="G1614" s="528"/>
      <c r="H1614" s="549" t="s">
        <v>38</v>
      </c>
      <c r="I1614" s="711">
        <v>0</v>
      </c>
      <c r="J1614" s="897"/>
      <c r="K1614" s="528"/>
      <c r="L1614" s="549" t="s">
        <v>38</v>
      </c>
      <c r="M1614" s="711">
        <f t="shared" si="6407"/>
        <v>0</v>
      </c>
      <c r="N1614" s="897"/>
      <c r="O1614" s="528"/>
      <c r="P1614" s="548">
        <v>0</v>
      </c>
      <c r="Q1614" s="548">
        <v>0</v>
      </c>
      <c r="R1614" s="548">
        <v>0</v>
      </c>
      <c r="S1614" s="548">
        <v>0</v>
      </c>
      <c r="T1614" s="548">
        <v>0</v>
      </c>
      <c r="U1614" s="548">
        <v>0</v>
      </c>
      <c r="V1614" s="548">
        <v>0</v>
      </c>
      <c r="W1614" s="528"/>
      <c r="X1614" s="711">
        <f t="shared" si="6399"/>
        <v>0</v>
      </c>
      <c r="Y1614" s="897"/>
      <c r="Z1614" s="528"/>
      <c r="AA1614" s="899"/>
      <c r="AB1614" s="899"/>
      <c r="AC1614" s="904"/>
      <c r="AD1614" s="916"/>
      <c r="AE1614" s="2"/>
      <c r="AF1614" s="885"/>
      <c r="AG1614" s="885"/>
      <c r="AH1614" s="885"/>
      <c r="AI1614" s="885"/>
      <c r="AJ1614" s="885"/>
      <c r="AK1614" s="885"/>
      <c r="AL1614" s="885"/>
      <c r="AM1614" s="879"/>
      <c r="AN1614" s="2"/>
      <c r="AO1614" s="922"/>
      <c r="AP1614" s="886"/>
      <c r="AV1614" t="str">
        <f t="shared" si="6463"/>
        <v>Drenagem Superficial</v>
      </c>
      <c r="AW1614" s="4" t="str">
        <f t="shared" si="6461"/>
        <v>Ação de alinhamento para correção das quantidades acumuladas</v>
      </c>
    </row>
    <row r="1615" spans="1:49" ht="15.6" hidden="1" customHeight="1" outlineLevel="1" collapsed="1">
      <c r="A1615" s="209">
        <v>0</v>
      </c>
      <c r="B1615" s="150"/>
      <c r="C1615" s="150"/>
      <c r="D1615" s="117"/>
      <c r="E1615" s="535"/>
      <c r="F1615" s="536"/>
      <c r="G1615" s="537"/>
      <c r="H1615" s="714"/>
      <c r="I1615" s="555"/>
      <c r="J1615" s="714"/>
      <c r="K1615" s="537"/>
      <c r="L1615" s="714"/>
      <c r="M1615" s="555"/>
      <c r="N1615" s="714"/>
      <c r="O1615" s="537"/>
      <c r="P1615" s="539"/>
      <c r="Q1615" s="539"/>
      <c r="R1615" s="539"/>
      <c r="S1615" s="539"/>
      <c r="T1615" s="539"/>
      <c r="U1615" s="539"/>
      <c r="V1615" s="539"/>
      <c r="W1615" s="537"/>
      <c r="X1615" s="540"/>
      <c r="Y1615" s="537"/>
      <c r="Z1615" s="537"/>
      <c r="AA1615" s="249"/>
      <c r="AB1615" s="249"/>
      <c r="AC1615" s="249"/>
      <c r="AD1615" s="537"/>
      <c r="AE1615" s="3"/>
      <c r="AF1615" s="35"/>
      <c r="AG1615" s="35"/>
      <c r="AH1615" s="35"/>
      <c r="AI1615" s="35"/>
      <c r="AJ1615" s="35"/>
      <c r="AK1615" s="35"/>
      <c r="AL1615" s="35"/>
      <c r="AM1615" s="3"/>
      <c r="AN1615" s="3"/>
      <c r="AO1615" s="35"/>
      <c r="AP1615" s="35"/>
      <c r="AV1615" t="str">
        <f t="shared" si="6463"/>
        <v>Drenagem Superficial</v>
      </c>
      <c r="AW1615" s="4" t="str">
        <f t="shared" si="6461"/>
        <v>Ação de alinhamento para correção das quantidades acumuladas</v>
      </c>
    </row>
    <row r="1616" spans="1:49" ht="15.6" hidden="1" customHeight="1" outlineLevel="1">
      <c r="A1616" s="209">
        <v>0</v>
      </c>
      <c r="B1616" s="150"/>
      <c r="C1616" s="150"/>
      <c r="D1616" s="117"/>
      <c r="E1616" s="535"/>
      <c r="F1616" s="541"/>
      <c r="G1616" s="537"/>
      <c r="H1616" s="537"/>
      <c r="I1616" s="249"/>
      <c r="J1616" s="537"/>
      <c r="K1616" s="537"/>
      <c r="L1616" s="537"/>
      <c r="M1616" s="249"/>
      <c r="N1616" s="537"/>
      <c r="O1616" s="537"/>
      <c r="P1616" s="539"/>
      <c r="Q1616" s="539"/>
      <c r="R1616" s="539"/>
      <c r="S1616" s="539"/>
      <c r="T1616" s="539"/>
      <c r="U1616" s="539"/>
      <c r="V1616" s="539"/>
      <c r="W1616" s="537"/>
      <c r="X1616" s="540"/>
      <c r="Y1616" s="537"/>
      <c r="Z1616" s="537"/>
      <c r="AA1616" s="249"/>
      <c r="AB1616" s="249"/>
      <c r="AC1616" s="249"/>
      <c r="AD1616" s="537"/>
      <c r="AE1616" s="3"/>
      <c r="AF1616" s="35"/>
      <c r="AG1616" s="35"/>
      <c r="AH1616" s="35"/>
      <c r="AI1616" s="35"/>
      <c r="AJ1616" s="35"/>
      <c r="AK1616" s="35"/>
      <c r="AL1616" s="35"/>
      <c r="AM1616" s="3"/>
      <c r="AN1616" s="3"/>
      <c r="AO1616" s="35"/>
      <c r="AP1616" s="35"/>
      <c r="AV1616" t="str">
        <f t="shared" si="6463"/>
        <v>Drenagem Superficial</v>
      </c>
      <c r="AW1616" s="4" t="str">
        <f t="shared" si="6461"/>
        <v>Ação de alinhamento para correção das quantidades acumuladas</v>
      </c>
    </row>
    <row r="1617" spans="1:49" ht="15.6" hidden="1" customHeight="1" outlineLevel="1">
      <c r="A1617" s="209">
        <v>0</v>
      </c>
      <c r="B1617" s="150"/>
      <c r="C1617" s="150">
        <v>0</v>
      </c>
      <c r="D1617" s="122"/>
      <c r="E1617" s="913" t="s">
        <v>42</v>
      </c>
      <c r="F1617" s="859" t="s">
        <v>52</v>
      </c>
      <c r="G1617" s="528"/>
      <c r="H1617" s="542" t="s">
        <v>37</v>
      </c>
      <c r="I1617" s="543">
        <f>SUMIF($L1619:$L1626,$L1617,I1619:I1626)</f>
        <v>0</v>
      </c>
      <c r="J1617" s="860" t="str">
        <f ca="1">IFERROR((I1618/I1617),"-")</f>
        <v>-</v>
      </c>
      <c r="K1617" s="528"/>
      <c r="L1617" s="542" t="s">
        <v>37</v>
      </c>
      <c r="M1617" s="543">
        <f>SUMIF($L1619:$L1626,$L1617,M1619:M1626)</f>
        <v>0</v>
      </c>
      <c r="N1617" s="860" t="str">
        <f ca="1">IFERROR((M1618/M1617),"-")</f>
        <v>-</v>
      </c>
      <c r="O1617" s="528"/>
      <c r="P1617" s="543">
        <f>SUMIF($L1619:$L1628,$L1617,P1619:P1628)</f>
        <v>0</v>
      </c>
      <c r="Q1617" s="543">
        <f t="shared" ref="Q1617:V1617" si="6477">SUMIF($L1619:$L1628,$L1617,Q1619:Q1628)</f>
        <v>0</v>
      </c>
      <c r="R1617" s="543">
        <f t="shared" si="6477"/>
        <v>0</v>
      </c>
      <c r="S1617" s="543">
        <f t="shared" si="6477"/>
        <v>0</v>
      </c>
      <c r="T1617" s="543">
        <f t="shared" si="6477"/>
        <v>0</v>
      </c>
      <c r="U1617" s="543">
        <f t="shared" si="6477"/>
        <v>0</v>
      </c>
      <c r="V1617" s="543">
        <f t="shared" si="6477"/>
        <v>0</v>
      </c>
      <c r="W1617" s="528"/>
      <c r="X1617" s="543">
        <f t="shared" ref="X1617:X1628" si="6478">SUMIFS(P1617:V1617,$P$8:$V$8,"&gt;="&amp;$P$8,$P$8:$V$8,"&lt;="&amp;$N$8)</f>
        <v>0</v>
      </c>
      <c r="Y1617" s="860" t="str">
        <f ca="1">IFERROR((X1618/X1617),"-")</f>
        <v>-</v>
      </c>
      <c r="Z1617" s="528"/>
      <c r="AA1617" s="814">
        <f>SUM(AA1619:AA1626)</f>
        <v>0</v>
      </c>
      <c r="AB1617" s="814">
        <f>SUM(AB1619:AB1626)</f>
        <v>0</v>
      </c>
      <c r="AC1617" s="814">
        <f>SUM(AC1619:AC1626)</f>
        <v>0</v>
      </c>
      <c r="AD1617" s="911" t="str">
        <f t="shared" ref="AD1617" si="6479">IFERROR((AC1617/AB1617),"-")</f>
        <v>-</v>
      </c>
      <c r="AE1617" s="2"/>
      <c r="AF1617" s="888">
        <f t="shared" ref="AF1617" si="6480">SUM(AF1619:AF1626)</f>
        <v>0</v>
      </c>
      <c r="AG1617" s="888">
        <f t="shared" ref="AG1617:AL1617" si="6481">SUM(AG1619:AG1626)</f>
        <v>0</v>
      </c>
      <c r="AH1617" s="888">
        <f t="shared" si="6481"/>
        <v>0</v>
      </c>
      <c r="AI1617" s="888">
        <f t="shared" si="6481"/>
        <v>0</v>
      </c>
      <c r="AJ1617" s="888">
        <f t="shared" si="6481"/>
        <v>9.1950000000000003</v>
      </c>
      <c r="AK1617" s="888">
        <f t="shared" si="6481"/>
        <v>9.1950000000000003</v>
      </c>
      <c r="AL1617" s="888">
        <f t="shared" si="6481"/>
        <v>9.2499999999999982</v>
      </c>
      <c r="AM1617" s="743">
        <f>IFERROR((AK1617/AL1617),"-")</f>
        <v>0.99405405405405423</v>
      </c>
      <c r="AN1617" s="2"/>
      <c r="AO1617" s="888">
        <f>SUM(AO1619:AO1626)</f>
        <v>9901</v>
      </c>
      <c r="AP1617" s="888">
        <f>SUM(AP1619:AP1626)</f>
        <v>9891.8050000000003</v>
      </c>
      <c r="AV1617" t="str">
        <f t="shared" si="6463"/>
        <v>Drenagem Superficial</v>
      </c>
      <c r="AW1617" s="4" t="str">
        <f t="shared" si="6461"/>
        <v>Pacote 05 - Segmento 2.4 - Km 131+260 a  Km 138+000</v>
      </c>
    </row>
    <row r="1618" spans="1:49" ht="15.6" hidden="1" customHeight="1" outlineLevel="1">
      <c r="A1618" s="209">
        <v>0</v>
      </c>
      <c r="B1618" s="150"/>
      <c r="C1618" s="150"/>
      <c r="D1618" s="123"/>
      <c r="E1618" s="913"/>
      <c r="F1618" s="859"/>
      <c r="G1618" s="528"/>
      <c r="H1618" s="544" t="s">
        <v>38</v>
      </c>
      <c r="I1618" s="543">
        <f ca="1">SUMIF($L1619:$L1629,$L1619,I1620:I1629)</f>
        <v>0</v>
      </c>
      <c r="J1618" s="861"/>
      <c r="K1618" s="528"/>
      <c r="L1618" s="544" t="s">
        <v>38</v>
      </c>
      <c r="M1618" s="543">
        <f ca="1">SUMIF($L1619:$L1629,$L1619,M1620:M1629)</f>
        <v>0</v>
      </c>
      <c r="N1618" s="861"/>
      <c r="O1618" s="528"/>
      <c r="P1618" s="543">
        <f ca="1">SUMIF($L1619:$L1628,$L1619,P1620:P1628)</f>
        <v>48</v>
      </c>
      <c r="Q1618" s="543">
        <f t="shared" ref="Q1618:V1618" ca="1" si="6482">SUMIF($L1619:$L1628,$L1619,Q1620:Q1628)</f>
        <v>0</v>
      </c>
      <c r="R1618" s="543">
        <f t="shared" ca="1" si="6482"/>
        <v>0</v>
      </c>
      <c r="S1618" s="543">
        <f t="shared" ca="1" si="6482"/>
        <v>0</v>
      </c>
      <c r="T1618" s="543">
        <f t="shared" ca="1" si="6482"/>
        <v>0</v>
      </c>
      <c r="U1618" s="543">
        <f t="shared" ca="1" si="6482"/>
        <v>0</v>
      </c>
      <c r="V1618" s="543">
        <f t="shared" ca="1" si="6482"/>
        <v>0</v>
      </c>
      <c r="W1618" s="528"/>
      <c r="X1618" s="543">
        <f t="shared" ca="1" si="6478"/>
        <v>48</v>
      </c>
      <c r="Y1618" s="861"/>
      <c r="Z1618" s="528"/>
      <c r="AA1618" s="815"/>
      <c r="AB1618" s="815"/>
      <c r="AC1618" s="815"/>
      <c r="AD1618" s="912"/>
      <c r="AE1618" s="2"/>
      <c r="AF1618" s="889"/>
      <c r="AG1618" s="889"/>
      <c r="AH1618" s="889"/>
      <c r="AI1618" s="889"/>
      <c r="AJ1618" s="889"/>
      <c r="AK1618" s="889"/>
      <c r="AL1618" s="889"/>
      <c r="AM1618" s="744"/>
      <c r="AN1618" s="2"/>
      <c r="AO1618" s="888"/>
      <c r="AP1618" s="888"/>
      <c r="AV1618" t="str">
        <f t="shared" si="6463"/>
        <v>Drenagem Superficial</v>
      </c>
      <c r="AW1618" s="4" t="str">
        <f t="shared" si="6461"/>
        <v>Pacote 05 - Segmento 2.4 - Km 131+260 a  Km 138+000</v>
      </c>
    </row>
    <row r="1619" spans="1:49" ht="15.6" hidden="1" customHeight="1" outlineLevel="2">
      <c r="A1619" s="8" t="str">
        <f t="shared" ref="A1619" si="6483">IF(SUM(P1619:V1620)&gt;0,"S","N")</f>
        <v>N</v>
      </c>
      <c r="B1619" s="150">
        <v>1063111</v>
      </c>
      <c r="C1619" s="150" t="s">
        <v>1935</v>
      </c>
      <c r="D1619" s="120" t="s">
        <v>1936</v>
      </c>
      <c r="E1619" s="914" t="s">
        <v>1937</v>
      </c>
      <c r="F1619" s="902" t="s">
        <v>52</v>
      </c>
      <c r="G1619" s="528"/>
      <c r="H1619" s="546" t="s">
        <v>37</v>
      </c>
      <c r="I1619" s="711">
        <v>0</v>
      </c>
      <c r="J1619" s="896" t="str">
        <f t="shared" ref="J1619" si="6484">IFERROR((I1620/I1619),"-")</f>
        <v>-</v>
      </c>
      <c r="K1619" s="528"/>
      <c r="L1619" s="546" t="s">
        <v>37</v>
      </c>
      <c r="M1619" s="711">
        <f t="shared" ref="M1619:M1628" si="6485">_xlfn.XLOOKUP($N$8,$P$8:$V$8,$P1619:$V1619)</f>
        <v>0</v>
      </c>
      <c r="N1619" s="896" t="str">
        <f t="shared" ref="N1619" si="6486">IFERROR((M1620/M1619),"-")</f>
        <v>-</v>
      </c>
      <c r="O1619" s="528"/>
      <c r="P1619" s="547">
        <v>0</v>
      </c>
      <c r="Q1619" s="547">
        <v>0</v>
      </c>
      <c r="R1619" s="547">
        <v>0</v>
      </c>
      <c r="S1619" s="547">
        <v>0</v>
      </c>
      <c r="T1619" s="547">
        <v>0</v>
      </c>
      <c r="U1619" s="547">
        <v>0</v>
      </c>
      <c r="V1619" s="548">
        <v>0</v>
      </c>
      <c r="W1619" s="528"/>
      <c r="X1619" s="711">
        <f t="shared" si="6478"/>
        <v>0</v>
      </c>
      <c r="Y1619" s="896" t="str">
        <f>IFERROR((X1620/X1619),"-")</f>
        <v>-</v>
      </c>
      <c r="Z1619" s="528"/>
      <c r="AA1619" s="898">
        <v>0</v>
      </c>
      <c r="AB1619" s="898">
        <v>0</v>
      </c>
      <c r="AC1619" s="903">
        <v>0</v>
      </c>
      <c r="AD1619" s="900" t="str">
        <f t="shared" ref="AD1619" si="6487">IFERROR((AC1619/AB1619),"-")</f>
        <v>-</v>
      </c>
      <c r="AE1619" s="2"/>
      <c r="AF1619" s="884">
        <v>0</v>
      </c>
      <c r="AG1619" s="884"/>
      <c r="AH1619" s="884">
        <v>0</v>
      </c>
      <c r="AI1619" s="884"/>
      <c r="AJ1619" s="884"/>
      <c r="AK1619" s="884">
        <f t="shared" ref="AK1619" si="6488">AF1619+AG1619+AH1619+AI1619+AJ1619+AC1619</f>
        <v>0</v>
      </c>
      <c r="AL1619" s="884">
        <v>0</v>
      </c>
      <c r="AM1619" s="878" t="str">
        <f t="shared" ref="AM1619" si="6489">IFERROR((AK1619/AL1619),"-")</f>
        <v>-</v>
      </c>
      <c r="AN1619" s="2"/>
      <c r="AO1619" s="884">
        <v>286</v>
      </c>
      <c r="AP1619" s="884">
        <f t="shared" ref="AP1619" si="6490">AO1619-AK1619</f>
        <v>286</v>
      </c>
      <c r="AV1619" t="str">
        <f t="shared" si="6463"/>
        <v>Drenagem Superficial</v>
      </c>
      <c r="AW1619" s="4" t="str">
        <f t="shared" si="6461"/>
        <v xml:space="preserve">   Seg. 2.4-Acesso A01 - Drenagem Superficial - Sarjeta de Corte (Manual)</v>
      </c>
    </row>
    <row r="1620" spans="1:49" ht="15.6" hidden="1" customHeight="1" outlineLevel="2">
      <c r="A1620" s="8" t="str">
        <f t="shared" ref="A1620" si="6491">A1619</f>
        <v>N</v>
      </c>
      <c r="B1620" s="150"/>
      <c r="C1620" s="150" t="s">
        <v>1935</v>
      </c>
      <c r="D1620" s="120" t="s">
        <v>1936</v>
      </c>
      <c r="E1620" s="915"/>
      <c r="F1620" s="902"/>
      <c r="G1620" s="528"/>
      <c r="H1620" s="549" t="s">
        <v>38</v>
      </c>
      <c r="I1620" s="711">
        <v>0</v>
      </c>
      <c r="J1620" s="897"/>
      <c r="K1620" s="528"/>
      <c r="L1620" s="549" t="s">
        <v>38</v>
      </c>
      <c r="M1620" s="711">
        <f t="shared" si="6485"/>
        <v>0</v>
      </c>
      <c r="N1620" s="897"/>
      <c r="O1620" s="528"/>
      <c r="P1620" s="548">
        <v>0</v>
      </c>
      <c r="Q1620" s="548">
        <v>0</v>
      </c>
      <c r="R1620" s="548">
        <v>0</v>
      </c>
      <c r="S1620" s="548">
        <v>0</v>
      </c>
      <c r="T1620" s="548">
        <v>0</v>
      </c>
      <c r="U1620" s="548">
        <v>0</v>
      </c>
      <c r="V1620" s="548">
        <v>0</v>
      </c>
      <c r="W1620" s="528"/>
      <c r="X1620" s="711">
        <f t="shared" si="6478"/>
        <v>0</v>
      </c>
      <c r="Y1620" s="897"/>
      <c r="Z1620" s="528"/>
      <c r="AA1620" s="899"/>
      <c r="AB1620" s="899"/>
      <c r="AC1620" s="904"/>
      <c r="AD1620" s="901"/>
      <c r="AE1620" s="2"/>
      <c r="AF1620" s="885"/>
      <c r="AG1620" s="885"/>
      <c r="AH1620" s="885"/>
      <c r="AI1620" s="885"/>
      <c r="AJ1620" s="885"/>
      <c r="AK1620" s="885"/>
      <c r="AL1620" s="885"/>
      <c r="AM1620" s="879"/>
      <c r="AN1620" s="2"/>
      <c r="AO1620" s="886"/>
      <c r="AP1620" s="886"/>
      <c r="AV1620" t="str">
        <f t="shared" si="6463"/>
        <v>Drenagem Superficial</v>
      </c>
      <c r="AW1620" s="4" t="str">
        <f t="shared" si="6461"/>
        <v xml:space="preserve">   Seg. 2.4-Acesso A01 - Drenagem Superficial - Sarjeta de Corte (Manual)</v>
      </c>
    </row>
    <row r="1621" spans="1:49" ht="15.6" hidden="1" customHeight="1" outlineLevel="2">
      <c r="A1621" s="8" t="str">
        <f t="shared" ref="A1621" si="6492">IF(SUM(P1621:V1622)&gt;0,"S","N")</f>
        <v>N</v>
      </c>
      <c r="B1621" s="150">
        <v>1064540</v>
      </c>
      <c r="C1621" s="150" t="s">
        <v>1938</v>
      </c>
      <c r="D1621" s="120" t="s">
        <v>385</v>
      </c>
      <c r="E1621" s="914" t="s">
        <v>1939</v>
      </c>
      <c r="F1621" s="902" t="s">
        <v>52</v>
      </c>
      <c r="G1621" s="528"/>
      <c r="H1621" s="546" t="s">
        <v>37</v>
      </c>
      <c r="I1621" s="711">
        <v>0</v>
      </c>
      <c r="J1621" s="896" t="str">
        <f t="shared" ref="J1621" si="6493">IFERROR((I1622/I1621),"-")</f>
        <v>-</v>
      </c>
      <c r="K1621" s="528"/>
      <c r="L1621" s="546" t="s">
        <v>37</v>
      </c>
      <c r="M1621" s="711">
        <f t="shared" si="6485"/>
        <v>0</v>
      </c>
      <c r="N1621" s="896" t="str">
        <f t="shared" ref="N1621" si="6494">IFERROR((M1622/M1621),"-")</f>
        <v>-</v>
      </c>
      <c r="O1621" s="528"/>
      <c r="P1621" s="547">
        <v>0</v>
      </c>
      <c r="Q1621" s="547">
        <v>0</v>
      </c>
      <c r="R1621" s="547">
        <v>0</v>
      </c>
      <c r="S1621" s="547">
        <v>0</v>
      </c>
      <c r="T1621" s="547">
        <v>0</v>
      </c>
      <c r="U1621" s="547">
        <v>0</v>
      </c>
      <c r="V1621" s="548">
        <v>0</v>
      </c>
      <c r="W1621" s="528"/>
      <c r="X1621" s="711">
        <f t="shared" si="6478"/>
        <v>0</v>
      </c>
      <c r="Y1621" s="896" t="str">
        <f t="shared" ref="Y1621" si="6495">IFERROR((X1622/X1621),"-")</f>
        <v>-</v>
      </c>
      <c r="Z1621" s="528"/>
      <c r="AA1621" s="898">
        <v>0</v>
      </c>
      <c r="AB1621" s="898">
        <v>0</v>
      </c>
      <c r="AC1621" s="903">
        <v>0</v>
      </c>
      <c r="AD1621" s="900" t="str">
        <f t="shared" ref="AD1621" si="6496">IFERROR((AC1621/AB1621),"-")</f>
        <v>-</v>
      </c>
      <c r="AE1621" s="2"/>
      <c r="AF1621" s="884">
        <v>0</v>
      </c>
      <c r="AG1621" s="884"/>
      <c r="AH1621" s="884">
        <v>0</v>
      </c>
      <c r="AI1621" s="884"/>
      <c r="AJ1621" s="884"/>
      <c r="AK1621" s="884">
        <f t="shared" ref="AK1621" si="6497">AF1621+AG1621+AH1621+AI1621+AJ1621+AC1621</f>
        <v>0</v>
      </c>
      <c r="AL1621" s="884">
        <v>0</v>
      </c>
      <c r="AM1621" s="878" t="str">
        <f t="shared" ref="AM1621" si="6498">IFERROR((AK1621/AL1621),"-")</f>
        <v>-</v>
      </c>
      <c r="AN1621" s="2"/>
      <c r="AO1621" s="884">
        <v>1249</v>
      </c>
      <c r="AP1621" s="884">
        <f t="shared" ref="AP1621" si="6499">AO1621-AK1621</f>
        <v>1249</v>
      </c>
      <c r="AV1621" t="str">
        <f t="shared" si="6463"/>
        <v>Drenagem Superficial</v>
      </c>
      <c r="AW1621" s="4" t="str">
        <f t="shared" si="6461"/>
        <v xml:space="preserve">   Seg. 2.4-C05 - Drenagem Superficial - Sarjeta de corte (Manual)</v>
      </c>
    </row>
    <row r="1622" spans="1:49" ht="15.6" hidden="1" customHeight="1" outlineLevel="2">
      <c r="A1622" s="8" t="str">
        <f t="shared" ref="A1622" si="6500">A1621</f>
        <v>N</v>
      </c>
      <c r="B1622" s="150"/>
      <c r="C1622" s="150" t="s">
        <v>1938</v>
      </c>
      <c r="D1622" s="120" t="s">
        <v>385</v>
      </c>
      <c r="E1622" s="915"/>
      <c r="F1622" s="902"/>
      <c r="G1622" s="528"/>
      <c r="H1622" s="549" t="s">
        <v>38</v>
      </c>
      <c r="I1622" s="711">
        <v>0</v>
      </c>
      <c r="J1622" s="897"/>
      <c r="K1622" s="528"/>
      <c r="L1622" s="549" t="s">
        <v>38</v>
      </c>
      <c r="M1622" s="711">
        <f t="shared" si="6485"/>
        <v>0</v>
      </c>
      <c r="N1622" s="897"/>
      <c r="O1622" s="528"/>
      <c r="P1622" s="548">
        <v>0</v>
      </c>
      <c r="Q1622" s="548">
        <v>0</v>
      </c>
      <c r="R1622" s="548">
        <v>0</v>
      </c>
      <c r="S1622" s="548">
        <v>0</v>
      </c>
      <c r="T1622" s="548">
        <v>0</v>
      </c>
      <c r="U1622" s="548">
        <v>0</v>
      </c>
      <c r="V1622" s="548">
        <v>0</v>
      </c>
      <c r="W1622" s="528"/>
      <c r="X1622" s="711">
        <f t="shared" si="6478"/>
        <v>0</v>
      </c>
      <c r="Y1622" s="897"/>
      <c r="Z1622" s="528"/>
      <c r="AA1622" s="899"/>
      <c r="AB1622" s="899"/>
      <c r="AC1622" s="904"/>
      <c r="AD1622" s="901"/>
      <c r="AE1622" s="2"/>
      <c r="AF1622" s="885"/>
      <c r="AG1622" s="885"/>
      <c r="AH1622" s="885"/>
      <c r="AI1622" s="885"/>
      <c r="AJ1622" s="885"/>
      <c r="AK1622" s="885"/>
      <c r="AL1622" s="885"/>
      <c r="AM1622" s="879"/>
      <c r="AN1622" s="2"/>
      <c r="AO1622" s="886"/>
      <c r="AP1622" s="886"/>
      <c r="AV1622" t="str">
        <f t="shared" si="6463"/>
        <v>Drenagem Superficial</v>
      </c>
      <c r="AW1622" s="4" t="str">
        <f t="shared" si="6461"/>
        <v xml:space="preserve">   Seg. 2.4-C05 - Drenagem Superficial - Sarjeta de corte (Manual)</v>
      </c>
    </row>
    <row r="1623" spans="1:49" ht="15.6" hidden="1" customHeight="1" outlineLevel="2">
      <c r="A1623" s="8" t="str">
        <f t="shared" ref="A1623" si="6501">IF(SUM(P1623:V1624)&gt;0,"S","N")</f>
        <v>N</v>
      </c>
      <c r="B1623" s="150">
        <v>1064547</v>
      </c>
      <c r="C1623" s="150" t="s">
        <v>1940</v>
      </c>
      <c r="D1623" s="120" t="s">
        <v>1941</v>
      </c>
      <c r="E1623" s="914" t="s">
        <v>1942</v>
      </c>
      <c r="F1623" s="902" t="s">
        <v>52</v>
      </c>
      <c r="G1623" s="528"/>
      <c r="H1623" s="546" t="s">
        <v>37</v>
      </c>
      <c r="I1623" s="711">
        <v>0</v>
      </c>
      <c r="J1623" s="896" t="str">
        <f t="shared" ref="J1623" si="6502">IFERROR((I1624/I1623),"-")</f>
        <v>-</v>
      </c>
      <c r="K1623" s="528"/>
      <c r="L1623" s="546" t="s">
        <v>37</v>
      </c>
      <c r="M1623" s="711">
        <f t="shared" si="6485"/>
        <v>0</v>
      </c>
      <c r="N1623" s="896" t="str">
        <f t="shared" ref="N1623" si="6503">IFERROR((M1624/M1623),"-")</f>
        <v>-</v>
      </c>
      <c r="O1623" s="528"/>
      <c r="P1623" s="547">
        <v>0</v>
      </c>
      <c r="Q1623" s="547">
        <v>0</v>
      </c>
      <c r="R1623" s="547">
        <v>0</v>
      </c>
      <c r="S1623" s="547">
        <v>0</v>
      </c>
      <c r="T1623" s="547">
        <v>0</v>
      </c>
      <c r="U1623" s="547">
        <v>0</v>
      </c>
      <c r="V1623" s="548">
        <v>0</v>
      </c>
      <c r="W1623" s="528"/>
      <c r="X1623" s="711">
        <f t="shared" si="6478"/>
        <v>0</v>
      </c>
      <c r="Y1623" s="896" t="str">
        <f t="shared" ref="Y1623" si="6504">IFERROR((X1624/X1623),"-")</f>
        <v>-</v>
      </c>
      <c r="Z1623" s="528"/>
      <c r="AA1623" s="898">
        <v>0</v>
      </c>
      <c r="AB1623" s="898">
        <v>0</v>
      </c>
      <c r="AC1623" s="903">
        <v>0</v>
      </c>
      <c r="AD1623" s="900" t="str">
        <f t="shared" ref="AD1623" si="6505">IFERROR((AC1623/AB1623),"-")</f>
        <v>-</v>
      </c>
      <c r="AE1623" s="2"/>
      <c r="AF1623" s="884">
        <v>0</v>
      </c>
      <c r="AG1623" s="884"/>
      <c r="AH1623" s="884">
        <v>0</v>
      </c>
      <c r="AI1623" s="884"/>
      <c r="AJ1623" s="884"/>
      <c r="AK1623" s="884">
        <f t="shared" ref="AK1623" si="6506">AF1623+AG1623+AH1623+AI1623+AJ1623+AC1623</f>
        <v>0</v>
      </c>
      <c r="AL1623" s="884">
        <v>0</v>
      </c>
      <c r="AM1623" s="878" t="str">
        <f t="shared" ref="AM1623" si="6507">IFERROR((AK1623/AL1623),"-")</f>
        <v>-</v>
      </c>
      <c r="AN1623" s="2"/>
      <c r="AO1623" s="884">
        <v>7221</v>
      </c>
      <c r="AP1623" s="884">
        <f t="shared" ref="AP1623" si="6508">AO1623-AK1623</f>
        <v>7221</v>
      </c>
      <c r="AV1623" t="str">
        <f t="shared" si="6463"/>
        <v>Drenagem Superficial</v>
      </c>
      <c r="AW1623" s="4" t="str">
        <f t="shared" si="6461"/>
        <v xml:space="preserve">   Seg. 2.4-A01 - Drenagem Superficial - Sarjeta de aterro (Extrusada)</v>
      </c>
    </row>
    <row r="1624" spans="1:49" ht="15.6" hidden="1" customHeight="1" outlineLevel="2">
      <c r="A1624" s="8" t="str">
        <f t="shared" ref="A1624" si="6509">A1623</f>
        <v>N</v>
      </c>
      <c r="B1624" s="150"/>
      <c r="C1624" s="150" t="s">
        <v>1940</v>
      </c>
      <c r="D1624" s="120" t="s">
        <v>1941</v>
      </c>
      <c r="E1624" s="915"/>
      <c r="F1624" s="902"/>
      <c r="G1624" s="528"/>
      <c r="H1624" s="549" t="s">
        <v>38</v>
      </c>
      <c r="I1624" s="711">
        <v>0</v>
      </c>
      <c r="J1624" s="897"/>
      <c r="K1624" s="528"/>
      <c r="L1624" s="549" t="s">
        <v>38</v>
      </c>
      <c r="M1624" s="711">
        <f t="shared" si="6485"/>
        <v>0</v>
      </c>
      <c r="N1624" s="897"/>
      <c r="O1624" s="528"/>
      <c r="P1624" s="548">
        <v>0</v>
      </c>
      <c r="Q1624" s="548">
        <v>0</v>
      </c>
      <c r="R1624" s="548">
        <v>0</v>
      </c>
      <c r="S1624" s="548">
        <v>0</v>
      </c>
      <c r="T1624" s="548">
        <v>0</v>
      </c>
      <c r="U1624" s="548">
        <v>0</v>
      </c>
      <c r="V1624" s="548">
        <v>0</v>
      </c>
      <c r="W1624" s="528"/>
      <c r="X1624" s="711">
        <f t="shared" si="6478"/>
        <v>0</v>
      </c>
      <c r="Y1624" s="897"/>
      <c r="Z1624" s="528"/>
      <c r="AA1624" s="899"/>
      <c r="AB1624" s="899"/>
      <c r="AC1624" s="904"/>
      <c r="AD1624" s="901"/>
      <c r="AE1624" s="2"/>
      <c r="AF1624" s="885"/>
      <c r="AG1624" s="885"/>
      <c r="AH1624" s="885"/>
      <c r="AI1624" s="885"/>
      <c r="AJ1624" s="885"/>
      <c r="AK1624" s="885"/>
      <c r="AL1624" s="885"/>
      <c r="AM1624" s="879"/>
      <c r="AN1624" s="2"/>
      <c r="AO1624" s="886"/>
      <c r="AP1624" s="886"/>
      <c r="AV1624" t="str">
        <f t="shared" si="6463"/>
        <v>Drenagem Superficial</v>
      </c>
      <c r="AW1624" s="4" t="str">
        <f t="shared" si="6461"/>
        <v xml:space="preserve">   Seg. 2.4-A01 - Drenagem Superficial - Sarjeta de aterro (Extrusada)</v>
      </c>
    </row>
    <row r="1625" spans="1:49" ht="15.6" hidden="1" customHeight="1" outlineLevel="2">
      <c r="A1625" s="8" t="str">
        <f t="shared" ref="A1625" si="6510">IF(SUM(P1625:V1626)&gt;0,"S","N")</f>
        <v>N</v>
      </c>
      <c r="B1625" s="150">
        <v>1064558</v>
      </c>
      <c r="C1625" s="150" t="s">
        <v>1943</v>
      </c>
      <c r="D1625" s="120" t="s">
        <v>436</v>
      </c>
      <c r="E1625" s="914" t="s">
        <v>1944</v>
      </c>
      <c r="F1625" s="902" t="s">
        <v>52</v>
      </c>
      <c r="G1625" s="528"/>
      <c r="H1625" s="546" t="s">
        <v>37</v>
      </c>
      <c r="I1625" s="711">
        <v>0</v>
      </c>
      <c r="J1625" s="896" t="str">
        <f t="shared" ref="J1625" si="6511">IFERROR((I1626/I1625),"-")</f>
        <v>-</v>
      </c>
      <c r="K1625" s="528"/>
      <c r="L1625" s="546" t="s">
        <v>37</v>
      </c>
      <c r="M1625" s="711">
        <f t="shared" si="6485"/>
        <v>0</v>
      </c>
      <c r="N1625" s="896" t="str">
        <f t="shared" ref="N1625" si="6512">IFERROR((M1626/M1625),"-")</f>
        <v>-</v>
      </c>
      <c r="O1625" s="528"/>
      <c r="P1625" s="547">
        <v>0</v>
      </c>
      <c r="Q1625" s="547">
        <v>0</v>
      </c>
      <c r="R1625" s="547">
        <v>0</v>
      </c>
      <c r="S1625" s="547">
        <v>0</v>
      </c>
      <c r="T1625" s="547">
        <v>0</v>
      </c>
      <c r="U1625" s="547">
        <v>0</v>
      </c>
      <c r="V1625" s="548">
        <v>0</v>
      </c>
      <c r="W1625" s="528"/>
      <c r="X1625" s="711">
        <f t="shared" si="6478"/>
        <v>0</v>
      </c>
      <c r="Y1625" s="896" t="str">
        <f t="shared" ref="Y1625" si="6513">IFERROR((X1626/X1625),"-")</f>
        <v>-</v>
      </c>
      <c r="Z1625" s="528"/>
      <c r="AA1625" s="898">
        <v>0</v>
      </c>
      <c r="AB1625" s="898">
        <v>0</v>
      </c>
      <c r="AC1625" s="903">
        <v>0</v>
      </c>
      <c r="AD1625" s="900" t="str">
        <f t="shared" ref="AD1625" si="6514">IFERROR((AC1625/AB1625),"-")</f>
        <v>-</v>
      </c>
      <c r="AE1625" s="2"/>
      <c r="AF1625" s="884">
        <v>0</v>
      </c>
      <c r="AG1625" s="884"/>
      <c r="AH1625" s="884">
        <v>0</v>
      </c>
      <c r="AI1625" s="884"/>
      <c r="AJ1625" s="884">
        <v>9.1950000000000003</v>
      </c>
      <c r="AK1625" s="884">
        <f t="shared" ref="AK1625" si="6515">AF1625+AG1625+AH1625+AI1625+AJ1625+AC1625</f>
        <v>9.1950000000000003</v>
      </c>
      <c r="AL1625" s="884">
        <v>9.2499999999999982</v>
      </c>
      <c r="AM1625" s="878">
        <f t="shared" ref="AM1625" si="6516">IFERROR((AK1625/AL1625),"-")</f>
        <v>0.99405405405405423</v>
      </c>
      <c r="AN1625" s="2"/>
      <c r="AO1625" s="884">
        <v>1145</v>
      </c>
      <c r="AP1625" s="884">
        <f t="shared" ref="AP1625" si="6517">AO1625-AK1625</f>
        <v>1135.8050000000001</v>
      </c>
      <c r="AV1625" t="str">
        <f t="shared" si="6463"/>
        <v>Drenagem Superficial</v>
      </c>
      <c r="AW1625" s="4" t="str">
        <f t="shared" si="6461"/>
        <v xml:space="preserve">   Seg. 2.4-A06 - Drenagem Superficial - Sarjeta de aterro (Manual)</v>
      </c>
    </row>
    <row r="1626" spans="1:49" ht="15.6" hidden="1" customHeight="1" outlineLevel="2">
      <c r="A1626" s="8" t="str">
        <f t="shared" ref="A1626" si="6518">A1625</f>
        <v>N</v>
      </c>
      <c r="B1626" s="150"/>
      <c r="C1626" s="150" t="s">
        <v>1943</v>
      </c>
      <c r="D1626" s="120" t="s">
        <v>436</v>
      </c>
      <c r="E1626" s="915"/>
      <c r="F1626" s="902"/>
      <c r="G1626" s="528"/>
      <c r="H1626" s="549" t="s">
        <v>38</v>
      </c>
      <c r="I1626" s="711">
        <v>0</v>
      </c>
      <c r="J1626" s="897"/>
      <c r="K1626" s="528"/>
      <c r="L1626" s="549" t="s">
        <v>38</v>
      </c>
      <c r="M1626" s="711">
        <f t="shared" si="6485"/>
        <v>0</v>
      </c>
      <c r="N1626" s="897"/>
      <c r="O1626" s="528"/>
      <c r="P1626" s="548">
        <v>0</v>
      </c>
      <c r="Q1626" s="548">
        <v>0</v>
      </c>
      <c r="R1626" s="548">
        <v>0</v>
      </c>
      <c r="S1626" s="548">
        <v>0</v>
      </c>
      <c r="T1626" s="548">
        <v>0</v>
      </c>
      <c r="U1626" s="548">
        <v>0</v>
      </c>
      <c r="V1626" s="548">
        <v>0</v>
      </c>
      <c r="W1626" s="528"/>
      <c r="X1626" s="711">
        <f t="shared" si="6478"/>
        <v>0</v>
      </c>
      <c r="Y1626" s="897"/>
      <c r="Z1626" s="528"/>
      <c r="AA1626" s="899"/>
      <c r="AB1626" s="899"/>
      <c r="AC1626" s="904"/>
      <c r="AD1626" s="901"/>
      <c r="AE1626" s="2"/>
      <c r="AF1626" s="885"/>
      <c r="AG1626" s="885"/>
      <c r="AH1626" s="885"/>
      <c r="AI1626" s="885"/>
      <c r="AJ1626" s="885"/>
      <c r="AK1626" s="885"/>
      <c r="AL1626" s="885"/>
      <c r="AM1626" s="879"/>
      <c r="AN1626" s="2"/>
      <c r="AO1626" s="886"/>
      <c r="AP1626" s="886"/>
      <c r="AV1626" t="str">
        <f t="shared" si="6463"/>
        <v>Drenagem Superficial</v>
      </c>
      <c r="AW1626" s="4" t="str">
        <f t="shared" si="6461"/>
        <v xml:space="preserve">   Seg. 2.4-A06 - Drenagem Superficial - Sarjeta de aterro (Manual)</v>
      </c>
    </row>
    <row r="1627" spans="1:49" ht="15.6" hidden="1" customHeight="1" outlineLevel="2">
      <c r="A1627" s="8" t="str">
        <f t="shared" ref="A1627" si="6519">IF(SUM(P1627:V1628)&gt;0,"S","N")</f>
        <v>S</v>
      </c>
      <c r="B1627" s="150" t="s">
        <v>266</v>
      </c>
      <c r="C1627" s="150" t="s">
        <v>266</v>
      </c>
      <c r="D1627" s="120" t="s">
        <v>421</v>
      </c>
      <c r="E1627" s="914" t="s">
        <v>1945</v>
      </c>
      <c r="F1627" s="902" t="s">
        <v>52</v>
      </c>
      <c r="G1627" s="528"/>
      <c r="H1627" s="546" t="s">
        <v>37</v>
      </c>
      <c r="I1627" s="711">
        <v>0</v>
      </c>
      <c r="J1627" s="896" t="str">
        <f t="shared" ref="J1627" si="6520">IFERROR((I1628/I1627),"-")</f>
        <v>-</v>
      </c>
      <c r="K1627" s="528"/>
      <c r="L1627" s="546" t="s">
        <v>37</v>
      </c>
      <c r="M1627" s="711">
        <f t="shared" si="6485"/>
        <v>0</v>
      </c>
      <c r="N1627" s="896" t="str">
        <f t="shared" ref="N1627" si="6521">IFERROR((M1628/M1627),"-")</f>
        <v>-</v>
      </c>
      <c r="O1627" s="528"/>
      <c r="P1627" s="547">
        <v>0</v>
      </c>
      <c r="Q1627" s="547">
        <v>0</v>
      </c>
      <c r="R1627" s="547">
        <v>0</v>
      </c>
      <c r="S1627" s="547">
        <v>0</v>
      </c>
      <c r="T1627" s="547">
        <v>0</v>
      </c>
      <c r="U1627" s="547">
        <v>0</v>
      </c>
      <c r="V1627" s="548">
        <v>0</v>
      </c>
      <c r="W1627" s="528"/>
      <c r="X1627" s="711">
        <f t="shared" si="6478"/>
        <v>0</v>
      </c>
      <c r="Y1627" s="896" t="str">
        <f t="shared" ref="Y1627" si="6522">IFERROR((X1628/X1627),"-")</f>
        <v>-</v>
      </c>
      <c r="Z1627" s="528"/>
      <c r="AA1627" s="898">
        <v>0</v>
      </c>
      <c r="AB1627" s="898">
        <v>0</v>
      </c>
      <c r="AC1627" s="903">
        <v>48</v>
      </c>
      <c r="AD1627" s="900" t="str">
        <f t="shared" ref="AD1627" si="6523">IFERROR((AC1627/AB1627),"-")</f>
        <v>-</v>
      </c>
      <c r="AE1627" s="2"/>
      <c r="AF1627" s="884">
        <v>0</v>
      </c>
      <c r="AG1627" s="884"/>
      <c r="AH1627" s="884">
        <v>0</v>
      </c>
      <c r="AI1627" s="884"/>
      <c r="AJ1627" s="884"/>
      <c r="AK1627" s="884">
        <f t="shared" ref="AK1627" si="6524">AF1627+AG1627+AH1627+AI1627+AJ1627+AC1627</f>
        <v>48</v>
      </c>
      <c r="AL1627" s="884">
        <v>0</v>
      </c>
      <c r="AM1627" s="878" t="str">
        <f t="shared" ref="AM1627" si="6525">IFERROR((AK1627/AL1627),"-")</f>
        <v>-</v>
      </c>
      <c r="AN1627" s="2"/>
      <c r="AO1627" s="884">
        <v>0</v>
      </c>
      <c r="AP1627" s="884">
        <f t="shared" ref="AP1627" si="6526">AO1627-AK1627</f>
        <v>-48</v>
      </c>
      <c r="AV1627" t="str">
        <f t="shared" si="6463"/>
        <v>Drenagem Superficial</v>
      </c>
      <c r="AW1627" s="4" t="str">
        <f t="shared" si="6461"/>
        <v xml:space="preserve">   Seg. 2.4-A01 - Drenagem Superficial - Sarjeta de aterro - (Manual)</v>
      </c>
    </row>
    <row r="1628" spans="1:49" ht="15.6" hidden="1" customHeight="1" outlineLevel="2">
      <c r="A1628" s="8" t="str">
        <f t="shared" ref="A1628" si="6527">A1627</f>
        <v>S</v>
      </c>
      <c r="B1628" s="150"/>
      <c r="C1628" s="150"/>
      <c r="D1628" s="120" t="s">
        <v>421</v>
      </c>
      <c r="E1628" s="915"/>
      <c r="F1628" s="902"/>
      <c r="G1628" s="528"/>
      <c r="H1628" s="549" t="s">
        <v>38</v>
      </c>
      <c r="I1628" s="711">
        <v>0</v>
      </c>
      <c r="J1628" s="897"/>
      <c r="K1628" s="528"/>
      <c r="L1628" s="549" t="s">
        <v>38</v>
      </c>
      <c r="M1628" s="711">
        <f t="shared" si="6485"/>
        <v>0</v>
      </c>
      <c r="N1628" s="897"/>
      <c r="O1628" s="528"/>
      <c r="P1628" s="548">
        <v>48</v>
      </c>
      <c r="Q1628" s="548">
        <v>0</v>
      </c>
      <c r="R1628" s="548">
        <v>0</v>
      </c>
      <c r="S1628" s="548">
        <v>0</v>
      </c>
      <c r="T1628" s="548">
        <v>0</v>
      </c>
      <c r="U1628" s="548">
        <v>0</v>
      </c>
      <c r="V1628" s="548">
        <v>0</v>
      </c>
      <c r="W1628" s="528"/>
      <c r="X1628" s="711">
        <f t="shared" si="6478"/>
        <v>48</v>
      </c>
      <c r="Y1628" s="897"/>
      <c r="Z1628" s="528"/>
      <c r="AA1628" s="899"/>
      <c r="AB1628" s="899"/>
      <c r="AC1628" s="904"/>
      <c r="AD1628" s="901"/>
      <c r="AE1628" s="2"/>
      <c r="AF1628" s="885"/>
      <c r="AG1628" s="885"/>
      <c r="AH1628" s="885"/>
      <c r="AI1628" s="885"/>
      <c r="AJ1628" s="885"/>
      <c r="AK1628" s="885"/>
      <c r="AL1628" s="885"/>
      <c r="AM1628" s="879"/>
      <c r="AN1628" s="2"/>
      <c r="AO1628" s="886"/>
      <c r="AP1628" s="886"/>
      <c r="AV1628" t="str">
        <f t="shared" si="6463"/>
        <v>Drenagem Superficial</v>
      </c>
      <c r="AW1628" s="4" t="str">
        <f t="shared" si="6461"/>
        <v xml:space="preserve">   Seg. 2.4-A01 - Drenagem Superficial - Sarjeta de aterro - (Manual)</v>
      </c>
    </row>
    <row r="1629" spans="1:49" ht="15.6" hidden="1" customHeight="1" outlineLevel="1" collapsed="1">
      <c r="A1629" s="209">
        <v>0</v>
      </c>
      <c r="B1629" s="150"/>
      <c r="C1629" s="150"/>
      <c r="D1629" s="117"/>
      <c r="E1629" s="535"/>
      <c r="F1629" s="536"/>
      <c r="G1629" s="537"/>
      <c r="H1629" s="714"/>
      <c r="I1629" s="555"/>
      <c r="J1629" s="714"/>
      <c r="K1629" s="537"/>
      <c r="L1629" s="714"/>
      <c r="M1629" s="555"/>
      <c r="N1629" s="714"/>
      <c r="O1629" s="537"/>
      <c r="P1629" s="539"/>
      <c r="Q1629" s="539"/>
      <c r="R1629" s="539"/>
      <c r="S1629" s="539"/>
      <c r="T1629" s="539"/>
      <c r="U1629" s="539"/>
      <c r="V1629" s="539"/>
      <c r="W1629" s="537"/>
      <c r="X1629" s="540"/>
      <c r="Y1629" s="537"/>
      <c r="Z1629" s="537"/>
      <c r="AA1629" s="249"/>
      <c r="AB1629" s="249"/>
      <c r="AC1629" s="249"/>
      <c r="AD1629" s="537"/>
      <c r="AE1629" s="3"/>
      <c r="AF1629" s="35"/>
      <c r="AG1629" s="35"/>
      <c r="AH1629" s="35"/>
      <c r="AI1629" s="35"/>
      <c r="AJ1629" s="35"/>
      <c r="AK1629" s="35"/>
      <c r="AL1629" s="35"/>
      <c r="AM1629" s="3"/>
      <c r="AN1629" s="3"/>
      <c r="AO1629" s="35"/>
      <c r="AP1629" s="35"/>
      <c r="AV1629" t="str">
        <f t="shared" si="6463"/>
        <v>Drenagem Superficial</v>
      </c>
      <c r="AW1629" s="4" t="str">
        <f t="shared" si="6461"/>
        <v xml:space="preserve">   Seg. 2.4-A01 - Drenagem Superficial - Sarjeta de aterro - (Manual)</v>
      </c>
    </row>
    <row r="1630" spans="1:49" ht="15.6" hidden="1" customHeight="1" outlineLevel="1">
      <c r="A1630" s="209">
        <v>0</v>
      </c>
      <c r="B1630" s="150"/>
      <c r="C1630" s="150"/>
      <c r="D1630" s="122"/>
      <c r="E1630" s="913" t="s">
        <v>44</v>
      </c>
      <c r="F1630" s="859" t="s">
        <v>52</v>
      </c>
      <c r="G1630" s="528"/>
      <c r="H1630" s="542" t="s">
        <v>37</v>
      </c>
      <c r="I1630" s="543">
        <f>SUMIF($L1632:$L1695,$L1630,I1632:I1695)</f>
        <v>0</v>
      </c>
      <c r="J1630" s="860" t="str">
        <f>IFERROR((I1631/I1630),"-")</f>
        <v>-</v>
      </c>
      <c r="K1630" s="528"/>
      <c r="L1630" s="542" t="s">
        <v>37</v>
      </c>
      <c r="M1630" s="543">
        <f>SUMIF($L1632:$L1695,$L1630,M1632:M1695)</f>
        <v>0</v>
      </c>
      <c r="N1630" s="860" t="str">
        <f>IFERROR((M1631/M1630),"-")</f>
        <v>-</v>
      </c>
      <c r="O1630" s="528"/>
      <c r="P1630" s="543">
        <f t="shared" ref="P1630:V1630" si="6528">SUMIF($L1632:$L1695,$L1630,P1632:P1695)</f>
        <v>0</v>
      </c>
      <c r="Q1630" s="543">
        <f t="shared" si="6528"/>
        <v>0</v>
      </c>
      <c r="R1630" s="543">
        <f t="shared" si="6528"/>
        <v>0</v>
      </c>
      <c r="S1630" s="543">
        <f t="shared" si="6528"/>
        <v>0</v>
      </c>
      <c r="T1630" s="543">
        <f t="shared" si="6528"/>
        <v>0</v>
      </c>
      <c r="U1630" s="543">
        <f t="shared" si="6528"/>
        <v>0</v>
      </c>
      <c r="V1630" s="543">
        <f t="shared" si="6528"/>
        <v>0</v>
      </c>
      <c r="W1630" s="528"/>
      <c r="X1630" s="543">
        <f t="shared" ref="X1630:X1693" si="6529">SUMIFS(P1630:V1630,$P$8:$V$8,"&gt;="&amp;$P$8,$P$8:$V$8,"&lt;="&amp;$N$8)</f>
        <v>0</v>
      </c>
      <c r="Y1630" s="860" t="str">
        <f>IFERROR((X1631/X1630),"-")</f>
        <v>-</v>
      </c>
      <c r="Z1630" s="528"/>
      <c r="AA1630" s="814">
        <f>SUM(AA1632:AA1695)</f>
        <v>0</v>
      </c>
      <c r="AB1630" s="814">
        <f>SUM(AB1632:AB1695)</f>
        <v>0</v>
      </c>
      <c r="AC1630" s="814">
        <f>SUM(AC1632:AC1695)</f>
        <v>0</v>
      </c>
      <c r="AD1630" s="911" t="str">
        <f t="shared" ref="AD1630" si="6530">IFERROR((AC1630/AB1630),"-")</f>
        <v>-</v>
      </c>
      <c r="AE1630" s="2"/>
      <c r="AF1630" s="888">
        <f t="shared" ref="AF1630" si="6531">SUM(AF1632:AF1695)</f>
        <v>0</v>
      </c>
      <c r="AG1630" s="888">
        <f t="shared" ref="AG1630:AL1630" si="6532">SUM(AG1632:AG1695)</f>
        <v>0</v>
      </c>
      <c r="AH1630" s="888">
        <f t="shared" si="6532"/>
        <v>0</v>
      </c>
      <c r="AI1630" s="888">
        <f t="shared" si="6532"/>
        <v>0</v>
      </c>
      <c r="AJ1630" s="888">
        <f t="shared" si="6532"/>
        <v>0</v>
      </c>
      <c r="AK1630" s="888">
        <f t="shared" si="6532"/>
        <v>0</v>
      </c>
      <c r="AL1630" s="888">
        <f t="shared" si="6532"/>
        <v>0</v>
      </c>
      <c r="AM1630" s="743" t="str">
        <f>IFERROR((AK1630/AL1630),"-")</f>
        <v>-</v>
      </c>
      <c r="AN1630" s="2"/>
      <c r="AO1630" s="888">
        <f>SUM(AO1632:AO1695)</f>
        <v>24229.45</v>
      </c>
      <c r="AP1630" s="888">
        <f>SUM(AP1632:AP1695)</f>
        <v>24229.45</v>
      </c>
      <c r="AV1630" t="str">
        <f t="shared" si="6463"/>
        <v>Drenagem Superficial</v>
      </c>
      <c r="AW1630" s="4" t="str">
        <f t="shared" si="6461"/>
        <v>Pacote 05 - Segmento 2.5 - 138+160 a 153+420</v>
      </c>
    </row>
    <row r="1631" spans="1:49" ht="15.6" hidden="1" customHeight="1" outlineLevel="1">
      <c r="A1631" s="209">
        <v>0</v>
      </c>
      <c r="B1631" s="150"/>
      <c r="C1631" s="150"/>
      <c r="D1631" s="123"/>
      <c r="E1631" s="913"/>
      <c r="F1631" s="859"/>
      <c r="G1631" s="528"/>
      <c r="H1631" s="544" t="s">
        <v>38</v>
      </c>
      <c r="I1631" s="543">
        <f>SUMIF($L1632:$L1695,$L1631,I1632:I1695)</f>
        <v>0</v>
      </c>
      <c r="J1631" s="861"/>
      <c r="K1631" s="528"/>
      <c r="L1631" s="544" t="s">
        <v>38</v>
      </c>
      <c r="M1631" s="543">
        <f>SUMIF($L1632:$L1695,$L1631,M1632:M1695)</f>
        <v>0</v>
      </c>
      <c r="N1631" s="861"/>
      <c r="O1631" s="528"/>
      <c r="P1631" s="543">
        <f t="shared" ref="P1631:V1631" si="6533">SUMIF($L1632:$L1695,$L1631,P1632:P1695)</f>
        <v>0</v>
      </c>
      <c r="Q1631" s="543">
        <f t="shared" si="6533"/>
        <v>0</v>
      </c>
      <c r="R1631" s="543">
        <f t="shared" si="6533"/>
        <v>0</v>
      </c>
      <c r="S1631" s="543">
        <f t="shared" si="6533"/>
        <v>0</v>
      </c>
      <c r="T1631" s="543">
        <f t="shared" si="6533"/>
        <v>0</v>
      </c>
      <c r="U1631" s="543">
        <f t="shared" si="6533"/>
        <v>0</v>
      </c>
      <c r="V1631" s="543">
        <f t="shared" si="6533"/>
        <v>0</v>
      </c>
      <c r="W1631" s="528"/>
      <c r="X1631" s="543">
        <f t="shared" si="6529"/>
        <v>0</v>
      </c>
      <c r="Y1631" s="861"/>
      <c r="Z1631" s="528"/>
      <c r="AA1631" s="815"/>
      <c r="AB1631" s="815"/>
      <c r="AC1631" s="815"/>
      <c r="AD1631" s="912"/>
      <c r="AE1631" s="2"/>
      <c r="AF1631" s="889"/>
      <c r="AG1631" s="889"/>
      <c r="AH1631" s="889"/>
      <c r="AI1631" s="889"/>
      <c r="AJ1631" s="889"/>
      <c r="AK1631" s="889"/>
      <c r="AL1631" s="889"/>
      <c r="AM1631" s="744"/>
      <c r="AN1631" s="2"/>
      <c r="AO1631" s="888"/>
      <c r="AP1631" s="888"/>
      <c r="AV1631" t="str">
        <f t="shared" si="6463"/>
        <v>Drenagem Superficial</v>
      </c>
      <c r="AW1631" s="4" t="str">
        <f t="shared" si="6461"/>
        <v>Pacote 05 - Segmento 2.5 - 138+160 a 153+420</v>
      </c>
    </row>
    <row r="1632" spans="1:49" ht="15.6" hidden="1" customHeight="1" outlineLevel="2">
      <c r="A1632" s="8" t="str">
        <f t="shared" ref="A1632" si="6534">IF(SUM(P1632:V1633)&gt;0,"S","N")</f>
        <v>N</v>
      </c>
      <c r="B1632" s="150">
        <v>1063119</v>
      </c>
      <c r="C1632" s="150" t="s">
        <v>1946</v>
      </c>
      <c r="D1632" s="120" t="s">
        <v>1947</v>
      </c>
      <c r="E1632" s="914" t="s">
        <v>1948</v>
      </c>
      <c r="F1632" s="902" t="s">
        <v>52</v>
      </c>
      <c r="G1632" s="528"/>
      <c r="H1632" s="546" t="s">
        <v>37</v>
      </c>
      <c r="I1632" s="711">
        <v>0</v>
      </c>
      <c r="J1632" s="896" t="str">
        <f t="shared" ref="J1632" si="6535">IFERROR((I1633/I1632),"-")</f>
        <v>-</v>
      </c>
      <c r="K1632" s="528"/>
      <c r="L1632" s="546" t="s">
        <v>37</v>
      </c>
      <c r="M1632" s="711">
        <f t="shared" ref="M1632:M1695" si="6536">_xlfn.XLOOKUP($N$8,$P$8:$V$8,$P1632:$V1632)</f>
        <v>0</v>
      </c>
      <c r="N1632" s="896" t="str">
        <f t="shared" ref="N1632" si="6537">IFERROR((M1633/M1632),"-")</f>
        <v>-</v>
      </c>
      <c r="O1632" s="528"/>
      <c r="P1632" s="547">
        <v>0</v>
      </c>
      <c r="Q1632" s="547">
        <v>0</v>
      </c>
      <c r="R1632" s="547">
        <v>0</v>
      </c>
      <c r="S1632" s="547">
        <v>0</v>
      </c>
      <c r="T1632" s="547">
        <v>0</v>
      </c>
      <c r="U1632" s="547">
        <v>0</v>
      </c>
      <c r="V1632" s="548">
        <v>0</v>
      </c>
      <c r="W1632" s="528"/>
      <c r="X1632" s="711">
        <f t="shared" si="6529"/>
        <v>0</v>
      </c>
      <c r="Y1632" s="896" t="str">
        <f t="shared" ref="Y1632" si="6538">IFERROR((X1633/X1632),"-")</f>
        <v>-</v>
      </c>
      <c r="Z1632" s="528"/>
      <c r="AA1632" s="898">
        <v>0</v>
      </c>
      <c r="AB1632" s="898">
        <v>0</v>
      </c>
      <c r="AC1632" s="903">
        <v>0</v>
      </c>
      <c r="AD1632" s="900" t="str">
        <f t="shared" ref="AD1632" si="6539">IFERROR((AC1632/AB1632),"-")</f>
        <v>-</v>
      </c>
      <c r="AE1632" s="2"/>
      <c r="AF1632" s="884">
        <v>0</v>
      </c>
      <c r="AG1632" s="884"/>
      <c r="AH1632" s="884">
        <v>0</v>
      </c>
      <c r="AI1632" s="884"/>
      <c r="AJ1632" s="884"/>
      <c r="AK1632" s="884">
        <f t="shared" ref="AK1632" si="6540">AF1632+AG1632+AH1632+AI1632+AJ1632+AC1632</f>
        <v>0</v>
      </c>
      <c r="AL1632" s="884">
        <v>0</v>
      </c>
      <c r="AM1632" s="878" t="str">
        <f t="shared" ref="AM1632" si="6541">IFERROR((AK1632/AL1632),"-")</f>
        <v>-</v>
      </c>
      <c r="AN1632" s="2"/>
      <c r="AO1632" s="884">
        <v>277.7</v>
      </c>
      <c r="AP1632" s="884">
        <f t="shared" ref="AP1632" si="6542">AO1632-AK1632</f>
        <v>277.7</v>
      </c>
      <c r="AV1632" t="str">
        <f t="shared" si="6463"/>
        <v>Drenagem Superficial</v>
      </c>
      <c r="AW1632" s="4" t="str">
        <f t="shared" si="6461"/>
        <v xml:space="preserve">   Seg. 2.5-Acesso C01 - Drenagem Superficial - Sarjeta de Corte (Manual)</v>
      </c>
    </row>
    <row r="1633" spans="1:49" ht="15.6" hidden="1" customHeight="1" outlineLevel="2">
      <c r="A1633" s="8" t="str">
        <f t="shared" ref="A1633" si="6543">A1632</f>
        <v>N</v>
      </c>
      <c r="B1633" s="150"/>
      <c r="C1633" s="150" t="s">
        <v>1946</v>
      </c>
      <c r="D1633" s="120" t="s">
        <v>1947</v>
      </c>
      <c r="E1633" s="915"/>
      <c r="F1633" s="902"/>
      <c r="G1633" s="528"/>
      <c r="H1633" s="549" t="s">
        <v>38</v>
      </c>
      <c r="I1633" s="711">
        <v>0</v>
      </c>
      <c r="J1633" s="897"/>
      <c r="K1633" s="528"/>
      <c r="L1633" s="549" t="s">
        <v>38</v>
      </c>
      <c r="M1633" s="711">
        <f t="shared" si="6536"/>
        <v>0</v>
      </c>
      <c r="N1633" s="897"/>
      <c r="O1633" s="528"/>
      <c r="P1633" s="548">
        <v>0</v>
      </c>
      <c r="Q1633" s="548">
        <v>0</v>
      </c>
      <c r="R1633" s="548">
        <v>0</v>
      </c>
      <c r="S1633" s="548">
        <v>0</v>
      </c>
      <c r="T1633" s="548">
        <v>0</v>
      </c>
      <c r="U1633" s="548">
        <v>0</v>
      </c>
      <c r="V1633" s="548">
        <v>0</v>
      </c>
      <c r="W1633" s="528"/>
      <c r="X1633" s="711">
        <f t="shared" si="6529"/>
        <v>0</v>
      </c>
      <c r="Y1633" s="897"/>
      <c r="Z1633" s="528"/>
      <c r="AA1633" s="899"/>
      <c r="AB1633" s="899"/>
      <c r="AC1633" s="904"/>
      <c r="AD1633" s="901"/>
      <c r="AE1633" s="2"/>
      <c r="AF1633" s="885"/>
      <c r="AG1633" s="885"/>
      <c r="AH1633" s="885"/>
      <c r="AI1633" s="885"/>
      <c r="AJ1633" s="885"/>
      <c r="AK1633" s="885"/>
      <c r="AL1633" s="885"/>
      <c r="AM1633" s="879"/>
      <c r="AN1633" s="2"/>
      <c r="AO1633" s="886"/>
      <c r="AP1633" s="886"/>
      <c r="AV1633" t="str">
        <f t="shared" si="6463"/>
        <v>Drenagem Superficial</v>
      </c>
      <c r="AW1633" s="4" t="str">
        <f t="shared" si="6461"/>
        <v xml:space="preserve">   Seg. 2.5-Acesso C01 - Drenagem Superficial - Sarjeta de Corte (Manual)</v>
      </c>
    </row>
    <row r="1634" spans="1:49" ht="15.6" hidden="1" customHeight="1" outlineLevel="2">
      <c r="A1634" s="8" t="str">
        <f t="shared" ref="A1634" si="6544">IF(SUM(P1634:V1635)&gt;0,"S","N")</f>
        <v>N</v>
      </c>
      <c r="B1634" s="150">
        <v>1063122</v>
      </c>
      <c r="C1634" s="150" t="s">
        <v>1949</v>
      </c>
      <c r="D1634" s="120" t="s">
        <v>448</v>
      </c>
      <c r="E1634" s="914" t="s">
        <v>1950</v>
      </c>
      <c r="F1634" s="902" t="s">
        <v>52</v>
      </c>
      <c r="G1634" s="528"/>
      <c r="H1634" s="546" t="s">
        <v>37</v>
      </c>
      <c r="I1634" s="711">
        <v>0</v>
      </c>
      <c r="J1634" s="896" t="str">
        <f t="shared" ref="J1634" si="6545">IFERROR((I1635/I1634),"-")</f>
        <v>-</v>
      </c>
      <c r="K1634" s="528"/>
      <c r="L1634" s="546" t="s">
        <v>37</v>
      </c>
      <c r="M1634" s="711">
        <f t="shared" si="6536"/>
        <v>0</v>
      </c>
      <c r="N1634" s="896" t="str">
        <f t="shared" ref="N1634" si="6546">IFERROR((M1635/M1634),"-")</f>
        <v>-</v>
      </c>
      <c r="O1634" s="528"/>
      <c r="P1634" s="547">
        <v>0</v>
      </c>
      <c r="Q1634" s="547">
        <v>0</v>
      </c>
      <c r="R1634" s="547">
        <v>0</v>
      </c>
      <c r="S1634" s="547">
        <v>0</v>
      </c>
      <c r="T1634" s="547">
        <v>0</v>
      </c>
      <c r="U1634" s="547">
        <v>0</v>
      </c>
      <c r="V1634" s="548">
        <v>0</v>
      </c>
      <c r="W1634" s="528"/>
      <c r="X1634" s="711">
        <f t="shared" si="6529"/>
        <v>0</v>
      </c>
      <c r="Y1634" s="896" t="str">
        <f t="shared" ref="Y1634" si="6547">IFERROR((X1635/X1634),"-")</f>
        <v>-</v>
      </c>
      <c r="Z1634" s="528"/>
      <c r="AA1634" s="898">
        <v>0</v>
      </c>
      <c r="AB1634" s="898">
        <v>0</v>
      </c>
      <c r="AC1634" s="903">
        <v>0</v>
      </c>
      <c r="AD1634" s="900" t="str">
        <f t="shared" ref="AD1634" si="6548">IFERROR((AC1634/AB1634),"-")</f>
        <v>-</v>
      </c>
      <c r="AE1634" s="2"/>
      <c r="AF1634" s="884">
        <v>0</v>
      </c>
      <c r="AG1634" s="884"/>
      <c r="AH1634" s="884">
        <v>0</v>
      </c>
      <c r="AI1634" s="884"/>
      <c r="AJ1634" s="884"/>
      <c r="AK1634" s="884">
        <f t="shared" ref="AK1634" si="6549">AF1634+AG1634+AH1634+AI1634+AJ1634+AC1634</f>
        <v>0</v>
      </c>
      <c r="AL1634" s="884">
        <v>0</v>
      </c>
      <c r="AM1634" s="878" t="str">
        <f t="shared" ref="AM1634" si="6550">IFERROR((AK1634/AL1634),"-")</f>
        <v>-</v>
      </c>
      <c r="AN1634" s="2"/>
      <c r="AO1634" s="884">
        <v>454</v>
      </c>
      <c r="AP1634" s="884">
        <f t="shared" ref="AP1634" si="6551">AO1634-AK1634</f>
        <v>454</v>
      </c>
      <c r="AV1634" t="str">
        <f t="shared" si="6463"/>
        <v>Drenagem Superficial</v>
      </c>
      <c r="AW1634" s="4" t="str">
        <f t="shared" si="6461"/>
        <v xml:space="preserve">   Seg. 2.5-Acesso C04 - Sarjeta de Corte (Manual)</v>
      </c>
    </row>
    <row r="1635" spans="1:49" ht="15.6" hidden="1" customHeight="1" outlineLevel="2">
      <c r="A1635" s="8" t="str">
        <f t="shared" ref="A1635" si="6552">A1634</f>
        <v>N</v>
      </c>
      <c r="B1635" s="150"/>
      <c r="C1635" s="150" t="s">
        <v>1949</v>
      </c>
      <c r="D1635" s="120" t="s">
        <v>448</v>
      </c>
      <c r="E1635" s="915"/>
      <c r="F1635" s="902"/>
      <c r="G1635" s="528"/>
      <c r="H1635" s="549" t="s">
        <v>38</v>
      </c>
      <c r="I1635" s="711">
        <v>0</v>
      </c>
      <c r="J1635" s="897"/>
      <c r="K1635" s="528"/>
      <c r="L1635" s="549" t="s">
        <v>38</v>
      </c>
      <c r="M1635" s="711">
        <f t="shared" si="6536"/>
        <v>0</v>
      </c>
      <c r="N1635" s="897"/>
      <c r="O1635" s="528"/>
      <c r="P1635" s="548">
        <v>0</v>
      </c>
      <c r="Q1635" s="548">
        <v>0</v>
      </c>
      <c r="R1635" s="548">
        <v>0</v>
      </c>
      <c r="S1635" s="548">
        <v>0</v>
      </c>
      <c r="T1635" s="548">
        <v>0</v>
      </c>
      <c r="U1635" s="548">
        <v>0</v>
      </c>
      <c r="V1635" s="548">
        <v>0</v>
      </c>
      <c r="W1635" s="528"/>
      <c r="X1635" s="711">
        <f t="shared" si="6529"/>
        <v>0</v>
      </c>
      <c r="Y1635" s="897"/>
      <c r="Z1635" s="528"/>
      <c r="AA1635" s="899"/>
      <c r="AB1635" s="899"/>
      <c r="AC1635" s="904"/>
      <c r="AD1635" s="901"/>
      <c r="AE1635" s="2"/>
      <c r="AF1635" s="885"/>
      <c r="AG1635" s="885"/>
      <c r="AH1635" s="885"/>
      <c r="AI1635" s="885"/>
      <c r="AJ1635" s="885"/>
      <c r="AK1635" s="885"/>
      <c r="AL1635" s="885"/>
      <c r="AM1635" s="879"/>
      <c r="AN1635" s="2"/>
      <c r="AO1635" s="886"/>
      <c r="AP1635" s="886"/>
      <c r="AV1635" t="str">
        <f t="shared" si="6463"/>
        <v>Drenagem Superficial</v>
      </c>
      <c r="AW1635" s="4" t="str">
        <f t="shared" si="6461"/>
        <v xml:space="preserve">   Seg. 2.5-Acesso C04 - Sarjeta de Corte (Manual)</v>
      </c>
    </row>
    <row r="1636" spans="1:49" ht="15.6" hidden="1" customHeight="1" outlineLevel="2">
      <c r="A1636" s="8" t="str">
        <f t="shared" ref="A1636" si="6553">IF(SUM(P1636:V1637)&gt;0,"S","N")</f>
        <v>N</v>
      </c>
      <c r="B1636" s="150">
        <v>1063124</v>
      </c>
      <c r="C1636" s="150" t="s">
        <v>1951</v>
      </c>
      <c r="D1636" s="120" t="s">
        <v>451</v>
      </c>
      <c r="E1636" s="914" t="s">
        <v>1952</v>
      </c>
      <c r="F1636" s="902" t="s">
        <v>52</v>
      </c>
      <c r="G1636" s="528"/>
      <c r="H1636" s="546" t="s">
        <v>37</v>
      </c>
      <c r="I1636" s="711">
        <v>0</v>
      </c>
      <c r="J1636" s="896" t="str">
        <f t="shared" ref="J1636" si="6554">IFERROR((I1637/I1636),"-")</f>
        <v>-</v>
      </c>
      <c r="K1636" s="528"/>
      <c r="L1636" s="546" t="s">
        <v>37</v>
      </c>
      <c r="M1636" s="711">
        <f t="shared" si="6536"/>
        <v>0</v>
      </c>
      <c r="N1636" s="896" t="str">
        <f t="shared" ref="N1636" si="6555">IFERROR((M1637/M1636),"-")</f>
        <v>-</v>
      </c>
      <c r="O1636" s="528"/>
      <c r="P1636" s="547">
        <v>0</v>
      </c>
      <c r="Q1636" s="547">
        <v>0</v>
      </c>
      <c r="R1636" s="547">
        <v>0</v>
      </c>
      <c r="S1636" s="547">
        <v>0</v>
      </c>
      <c r="T1636" s="547">
        <v>0</v>
      </c>
      <c r="U1636" s="547">
        <v>0</v>
      </c>
      <c r="V1636" s="548">
        <v>0</v>
      </c>
      <c r="W1636" s="528"/>
      <c r="X1636" s="711">
        <f t="shared" si="6529"/>
        <v>0</v>
      </c>
      <c r="Y1636" s="896" t="str">
        <f t="shared" ref="Y1636" si="6556">IFERROR((X1637/X1636),"-")</f>
        <v>-</v>
      </c>
      <c r="Z1636" s="528"/>
      <c r="AA1636" s="898">
        <v>0</v>
      </c>
      <c r="AB1636" s="898">
        <v>0</v>
      </c>
      <c r="AC1636" s="903">
        <v>0</v>
      </c>
      <c r="AD1636" s="900" t="str">
        <f t="shared" ref="AD1636" si="6557">IFERROR((AC1636/AB1636),"-")</f>
        <v>-</v>
      </c>
      <c r="AE1636" s="2"/>
      <c r="AF1636" s="884">
        <v>0</v>
      </c>
      <c r="AG1636" s="884"/>
      <c r="AH1636" s="884">
        <v>0</v>
      </c>
      <c r="AI1636" s="884"/>
      <c r="AJ1636" s="884"/>
      <c r="AK1636" s="884">
        <f t="shared" ref="AK1636" si="6558">AF1636+AG1636+AH1636+AI1636+AJ1636+AC1636</f>
        <v>0</v>
      </c>
      <c r="AL1636" s="884">
        <v>0</v>
      </c>
      <c r="AM1636" s="878" t="str">
        <f t="shared" ref="AM1636" si="6559">IFERROR((AK1636/AL1636),"-")</f>
        <v>-</v>
      </c>
      <c r="AN1636" s="2"/>
      <c r="AO1636" s="884">
        <v>232.05</v>
      </c>
      <c r="AP1636" s="884">
        <f t="shared" ref="AP1636" si="6560">AO1636-AK1636</f>
        <v>232.05</v>
      </c>
      <c r="AV1636" t="str">
        <f t="shared" si="6463"/>
        <v>Drenagem Superficial</v>
      </c>
      <c r="AW1636" s="4" t="str">
        <f t="shared" si="6461"/>
        <v xml:space="preserve">   Seg. 2.5-Acesso C07 - Drenagem Superficial - Sarjeta de Corte (Manual)</v>
      </c>
    </row>
    <row r="1637" spans="1:49" ht="15.6" hidden="1" customHeight="1" outlineLevel="2">
      <c r="A1637" s="8" t="str">
        <f t="shared" ref="A1637" si="6561">A1636</f>
        <v>N</v>
      </c>
      <c r="B1637" s="150"/>
      <c r="C1637" s="150" t="s">
        <v>1951</v>
      </c>
      <c r="D1637" s="120" t="s">
        <v>451</v>
      </c>
      <c r="E1637" s="915"/>
      <c r="F1637" s="902"/>
      <c r="G1637" s="528"/>
      <c r="H1637" s="549" t="s">
        <v>38</v>
      </c>
      <c r="I1637" s="711">
        <v>0</v>
      </c>
      <c r="J1637" s="897"/>
      <c r="K1637" s="528"/>
      <c r="L1637" s="549" t="s">
        <v>38</v>
      </c>
      <c r="M1637" s="711">
        <f t="shared" si="6536"/>
        <v>0</v>
      </c>
      <c r="N1637" s="897"/>
      <c r="O1637" s="528"/>
      <c r="P1637" s="548">
        <v>0</v>
      </c>
      <c r="Q1637" s="548">
        <v>0</v>
      </c>
      <c r="R1637" s="548">
        <v>0</v>
      </c>
      <c r="S1637" s="548">
        <v>0</v>
      </c>
      <c r="T1637" s="548">
        <v>0</v>
      </c>
      <c r="U1637" s="548">
        <v>0</v>
      </c>
      <c r="V1637" s="548">
        <v>0</v>
      </c>
      <c r="W1637" s="528"/>
      <c r="X1637" s="711">
        <f t="shared" si="6529"/>
        <v>0</v>
      </c>
      <c r="Y1637" s="897"/>
      <c r="Z1637" s="528"/>
      <c r="AA1637" s="899"/>
      <c r="AB1637" s="899"/>
      <c r="AC1637" s="904"/>
      <c r="AD1637" s="901"/>
      <c r="AE1637" s="2"/>
      <c r="AF1637" s="885"/>
      <c r="AG1637" s="885"/>
      <c r="AH1637" s="885"/>
      <c r="AI1637" s="885"/>
      <c r="AJ1637" s="885"/>
      <c r="AK1637" s="885"/>
      <c r="AL1637" s="885"/>
      <c r="AM1637" s="879"/>
      <c r="AN1637" s="2"/>
      <c r="AO1637" s="886"/>
      <c r="AP1637" s="886"/>
      <c r="AV1637" t="str">
        <f t="shared" si="6463"/>
        <v>Drenagem Superficial</v>
      </c>
      <c r="AW1637" s="4" t="str">
        <f t="shared" si="6461"/>
        <v xml:space="preserve">   Seg. 2.5-Acesso C07 - Drenagem Superficial - Sarjeta de Corte (Manual)</v>
      </c>
    </row>
    <row r="1638" spans="1:49" ht="15.6" hidden="1" customHeight="1" outlineLevel="2">
      <c r="A1638" s="8" t="str">
        <f t="shared" ref="A1638" si="6562">IF(SUM(P1638:V1639)&gt;0,"S","N")</f>
        <v>N</v>
      </c>
      <c r="B1638" s="150">
        <v>1063131</v>
      </c>
      <c r="C1638" s="150" t="s">
        <v>1953</v>
      </c>
      <c r="D1638" s="120" t="s">
        <v>457</v>
      </c>
      <c r="E1638" s="914" t="s">
        <v>1954</v>
      </c>
      <c r="F1638" s="902" t="s">
        <v>52</v>
      </c>
      <c r="G1638" s="528"/>
      <c r="H1638" s="546" t="s">
        <v>37</v>
      </c>
      <c r="I1638" s="711">
        <v>0</v>
      </c>
      <c r="J1638" s="896" t="str">
        <f t="shared" ref="J1638" si="6563">IFERROR((I1639/I1638),"-")</f>
        <v>-</v>
      </c>
      <c r="K1638" s="528"/>
      <c r="L1638" s="546" t="s">
        <v>37</v>
      </c>
      <c r="M1638" s="711">
        <f t="shared" si="6536"/>
        <v>0</v>
      </c>
      <c r="N1638" s="896" t="str">
        <f t="shared" ref="N1638" si="6564">IFERROR((M1639/M1638),"-")</f>
        <v>-</v>
      </c>
      <c r="O1638" s="528"/>
      <c r="P1638" s="547">
        <v>0</v>
      </c>
      <c r="Q1638" s="547">
        <v>0</v>
      </c>
      <c r="R1638" s="547">
        <v>0</v>
      </c>
      <c r="S1638" s="547">
        <v>0</v>
      </c>
      <c r="T1638" s="547">
        <v>0</v>
      </c>
      <c r="U1638" s="547">
        <v>0</v>
      </c>
      <c r="V1638" s="548">
        <v>0</v>
      </c>
      <c r="W1638" s="528"/>
      <c r="X1638" s="711">
        <f t="shared" si="6529"/>
        <v>0</v>
      </c>
      <c r="Y1638" s="896" t="str">
        <f t="shared" ref="Y1638" si="6565">IFERROR((X1639/X1638),"-")</f>
        <v>-</v>
      </c>
      <c r="Z1638" s="528"/>
      <c r="AA1638" s="898">
        <v>0</v>
      </c>
      <c r="AB1638" s="898">
        <v>0</v>
      </c>
      <c r="AC1638" s="903">
        <v>0</v>
      </c>
      <c r="AD1638" s="900" t="str">
        <f t="shared" ref="AD1638" si="6566">IFERROR((AC1638/AB1638),"-")</f>
        <v>-</v>
      </c>
      <c r="AE1638" s="2"/>
      <c r="AF1638" s="884">
        <v>0</v>
      </c>
      <c r="AG1638" s="884"/>
      <c r="AH1638" s="884">
        <v>0</v>
      </c>
      <c r="AI1638" s="884"/>
      <c r="AJ1638" s="884"/>
      <c r="AK1638" s="884">
        <f t="shared" ref="AK1638" si="6567">AF1638+AG1638+AH1638+AI1638+AJ1638+AC1638</f>
        <v>0</v>
      </c>
      <c r="AL1638" s="884">
        <v>0</v>
      </c>
      <c r="AM1638" s="878" t="str">
        <f t="shared" ref="AM1638" si="6568">IFERROR((AK1638/AL1638),"-")</f>
        <v>-</v>
      </c>
      <c r="AN1638" s="2"/>
      <c r="AO1638" s="884">
        <v>172.2</v>
      </c>
      <c r="AP1638" s="884">
        <f t="shared" ref="AP1638" si="6569">AO1638-AK1638</f>
        <v>172.2</v>
      </c>
      <c r="AV1638" t="str">
        <f t="shared" si="6463"/>
        <v>Drenagem Superficial</v>
      </c>
      <c r="AW1638" s="4" t="str">
        <f t="shared" si="6461"/>
        <v xml:space="preserve">   Seg. 2.5-Acesso A10 - Drenagem Superficial - Sarjeta de corte (Manual)</v>
      </c>
    </row>
    <row r="1639" spans="1:49" ht="15.6" hidden="1" customHeight="1" outlineLevel="2">
      <c r="A1639" s="8" t="str">
        <f t="shared" ref="A1639" si="6570">A1638</f>
        <v>N</v>
      </c>
      <c r="B1639" s="150"/>
      <c r="C1639" s="150" t="s">
        <v>1953</v>
      </c>
      <c r="D1639" s="120" t="s">
        <v>457</v>
      </c>
      <c r="E1639" s="915"/>
      <c r="F1639" s="902"/>
      <c r="G1639" s="528"/>
      <c r="H1639" s="549" t="s">
        <v>38</v>
      </c>
      <c r="I1639" s="711">
        <v>0</v>
      </c>
      <c r="J1639" s="897"/>
      <c r="K1639" s="528"/>
      <c r="L1639" s="549" t="s">
        <v>38</v>
      </c>
      <c r="M1639" s="711">
        <f t="shared" si="6536"/>
        <v>0</v>
      </c>
      <c r="N1639" s="897"/>
      <c r="O1639" s="528"/>
      <c r="P1639" s="548">
        <v>0</v>
      </c>
      <c r="Q1639" s="548">
        <v>0</v>
      </c>
      <c r="R1639" s="548">
        <v>0</v>
      </c>
      <c r="S1639" s="548">
        <v>0</v>
      </c>
      <c r="T1639" s="548">
        <v>0</v>
      </c>
      <c r="U1639" s="548">
        <v>0</v>
      </c>
      <c r="V1639" s="548">
        <v>0</v>
      </c>
      <c r="W1639" s="528"/>
      <c r="X1639" s="711">
        <f t="shared" si="6529"/>
        <v>0</v>
      </c>
      <c r="Y1639" s="897"/>
      <c r="Z1639" s="528"/>
      <c r="AA1639" s="899"/>
      <c r="AB1639" s="899"/>
      <c r="AC1639" s="904"/>
      <c r="AD1639" s="901"/>
      <c r="AE1639" s="2"/>
      <c r="AF1639" s="885"/>
      <c r="AG1639" s="885"/>
      <c r="AH1639" s="885"/>
      <c r="AI1639" s="885"/>
      <c r="AJ1639" s="885"/>
      <c r="AK1639" s="885"/>
      <c r="AL1639" s="885"/>
      <c r="AM1639" s="879"/>
      <c r="AN1639" s="2"/>
      <c r="AO1639" s="886"/>
      <c r="AP1639" s="886"/>
      <c r="AV1639" t="str">
        <f t="shared" si="6463"/>
        <v>Drenagem Superficial</v>
      </c>
      <c r="AW1639" s="4" t="str">
        <f t="shared" si="6461"/>
        <v xml:space="preserve">   Seg. 2.5-Acesso A10 - Drenagem Superficial - Sarjeta de corte (Manual)</v>
      </c>
    </row>
    <row r="1640" spans="1:49" ht="15.6" hidden="1" customHeight="1" outlineLevel="2">
      <c r="A1640" s="8" t="str">
        <f t="shared" ref="A1640" si="6571">IF(SUM(P1640:V1641)&gt;0,"S","N")</f>
        <v>N</v>
      </c>
      <c r="B1640" s="150">
        <v>1063136</v>
      </c>
      <c r="C1640" s="150" t="s">
        <v>1955</v>
      </c>
      <c r="D1640" s="120" t="s">
        <v>460</v>
      </c>
      <c r="E1640" s="914" t="s">
        <v>1956</v>
      </c>
      <c r="F1640" s="902" t="s">
        <v>52</v>
      </c>
      <c r="G1640" s="528"/>
      <c r="H1640" s="546" t="s">
        <v>37</v>
      </c>
      <c r="I1640" s="711">
        <v>0</v>
      </c>
      <c r="J1640" s="896" t="str">
        <f t="shared" ref="J1640" si="6572">IFERROR((I1641/I1640),"-")</f>
        <v>-</v>
      </c>
      <c r="K1640" s="528"/>
      <c r="L1640" s="546" t="s">
        <v>37</v>
      </c>
      <c r="M1640" s="711">
        <f t="shared" si="6536"/>
        <v>0</v>
      </c>
      <c r="N1640" s="896" t="str">
        <f t="shared" ref="N1640" si="6573">IFERROR((M1641/M1640),"-")</f>
        <v>-</v>
      </c>
      <c r="O1640" s="528"/>
      <c r="P1640" s="547">
        <v>0</v>
      </c>
      <c r="Q1640" s="547">
        <v>0</v>
      </c>
      <c r="R1640" s="547">
        <v>0</v>
      </c>
      <c r="S1640" s="547">
        <v>0</v>
      </c>
      <c r="T1640" s="547">
        <v>0</v>
      </c>
      <c r="U1640" s="547">
        <v>0</v>
      </c>
      <c r="V1640" s="548">
        <v>0</v>
      </c>
      <c r="W1640" s="528"/>
      <c r="X1640" s="711">
        <f t="shared" si="6529"/>
        <v>0</v>
      </c>
      <c r="Y1640" s="896" t="str">
        <f t="shared" ref="Y1640" si="6574">IFERROR((X1641/X1640),"-")</f>
        <v>-</v>
      </c>
      <c r="Z1640" s="528"/>
      <c r="AA1640" s="898">
        <v>0</v>
      </c>
      <c r="AB1640" s="898">
        <v>0</v>
      </c>
      <c r="AC1640" s="903">
        <v>0</v>
      </c>
      <c r="AD1640" s="900" t="str">
        <f t="shared" ref="AD1640" si="6575">IFERROR((AC1640/AB1640),"-")</f>
        <v>-</v>
      </c>
      <c r="AE1640" s="2"/>
      <c r="AF1640" s="884">
        <v>0</v>
      </c>
      <c r="AG1640" s="884"/>
      <c r="AH1640" s="884">
        <v>0</v>
      </c>
      <c r="AI1640" s="884"/>
      <c r="AJ1640" s="884"/>
      <c r="AK1640" s="884">
        <f t="shared" ref="AK1640" si="6576">AF1640+AG1640+AH1640+AI1640+AJ1640+AC1640</f>
        <v>0</v>
      </c>
      <c r="AL1640" s="884">
        <v>0</v>
      </c>
      <c r="AM1640" s="878" t="str">
        <f t="shared" ref="AM1640" si="6577">IFERROR((AK1640/AL1640),"-")</f>
        <v>-</v>
      </c>
      <c r="AN1640" s="2"/>
      <c r="AO1640" s="884">
        <v>214</v>
      </c>
      <c r="AP1640" s="884">
        <f t="shared" ref="AP1640" si="6578">AO1640-AK1640</f>
        <v>214</v>
      </c>
      <c r="AV1640" t="str">
        <f t="shared" si="6463"/>
        <v>Drenagem Superficial</v>
      </c>
      <c r="AW1640" s="4" t="str">
        <f t="shared" si="6461"/>
        <v xml:space="preserve">   Seg. 2.5-Acesso A13 - Drenagem Superficial - Sarjeta de corte (Manual)</v>
      </c>
    </row>
    <row r="1641" spans="1:49" ht="15.6" hidden="1" customHeight="1" outlineLevel="2">
      <c r="A1641" s="8" t="str">
        <f t="shared" ref="A1641" si="6579">A1640</f>
        <v>N</v>
      </c>
      <c r="B1641" s="150"/>
      <c r="C1641" s="150" t="s">
        <v>1955</v>
      </c>
      <c r="D1641" s="120" t="s">
        <v>460</v>
      </c>
      <c r="E1641" s="915"/>
      <c r="F1641" s="902"/>
      <c r="G1641" s="528"/>
      <c r="H1641" s="549" t="s">
        <v>38</v>
      </c>
      <c r="I1641" s="711">
        <v>0</v>
      </c>
      <c r="J1641" s="897"/>
      <c r="K1641" s="528"/>
      <c r="L1641" s="549" t="s">
        <v>38</v>
      </c>
      <c r="M1641" s="711">
        <f t="shared" si="6536"/>
        <v>0</v>
      </c>
      <c r="N1641" s="897"/>
      <c r="O1641" s="528"/>
      <c r="P1641" s="548">
        <v>0</v>
      </c>
      <c r="Q1641" s="548">
        <v>0</v>
      </c>
      <c r="R1641" s="548">
        <v>0</v>
      </c>
      <c r="S1641" s="548">
        <v>0</v>
      </c>
      <c r="T1641" s="548">
        <v>0</v>
      </c>
      <c r="U1641" s="548">
        <v>0</v>
      </c>
      <c r="V1641" s="548">
        <v>0</v>
      </c>
      <c r="W1641" s="528"/>
      <c r="X1641" s="711">
        <f t="shared" si="6529"/>
        <v>0</v>
      </c>
      <c r="Y1641" s="897"/>
      <c r="Z1641" s="528"/>
      <c r="AA1641" s="899"/>
      <c r="AB1641" s="899"/>
      <c r="AC1641" s="904"/>
      <c r="AD1641" s="901"/>
      <c r="AE1641" s="2"/>
      <c r="AF1641" s="885"/>
      <c r="AG1641" s="885"/>
      <c r="AH1641" s="885"/>
      <c r="AI1641" s="885"/>
      <c r="AJ1641" s="885"/>
      <c r="AK1641" s="885"/>
      <c r="AL1641" s="885"/>
      <c r="AM1641" s="879"/>
      <c r="AN1641" s="2"/>
      <c r="AO1641" s="886"/>
      <c r="AP1641" s="886"/>
      <c r="AV1641" t="str">
        <f t="shared" si="6463"/>
        <v>Drenagem Superficial</v>
      </c>
      <c r="AW1641" s="4" t="str">
        <f t="shared" si="6461"/>
        <v xml:space="preserve">   Seg. 2.5-Acesso A13 - Drenagem Superficial - Sarjeta de corte (Manual)</v>
      </c>
    </row>
    <row r="1642" spans="1:49" ht="15.6" hidden="1" customHeight="1" outlineLevel="2">
      <c r="A1642" s="8" t="str">
        <f t="shared" ref="A1642" si="6580">IF(SUM(P1642:V1643)&gt;0,"S","N")</f>
        <v>N</v>
      </c>
      <c r="B1642" s="150">
        <v>1064566</v>
      </c>
      <c r="C1642" s="150" t="s">
        <v>1957</v>
      </c>
      <c r="D1642" s="120" t="s">
        <v>463</v>
      </c>
      <c r="E1642" s="914" t="s">
        <v>1958</v>
      </c>
      <c r="F1642" s="902" t="s">
        <v>52</v>
      </c>
      <c r="G1642" s="528"/>
      <c r="H1642" s="546" t="s">
        <v>37</v>
      </c>
      <c r="I1642" s="711">
        <v>0</v>
      </c>
      <c r="J1642" s="896" t="str">
        <f t="shared" ref="J1642" si="6581">IFERROR((I1643/I1642),"-")</f>
        <v>-</v>
      </c>
      <c r="K1642" s="528"/>
      <c r="L1642" s="546" t="s">
        <v>37</v>
      </c>
      <c r="M1642" s="711">
        <f t="shared" si="6536"/>
        <v>0</v>
      </c>
      <c r="N1642" s="896" t="str">
        <f t="shared" ref="N1642" si="6582">IFERROR((M1643/M1642),"-")</f>
        <v>-</v>
      </c>
      <c r="O1642" s="528"/>
      <c r="P1642" s="547">
        <v>0</v>
      </c>
      <c r="Q1642" s="547">
        <v>0</v>
      </c>
      <c r="R1642" s="547">
        <v>0</v>
      </c>
      <c r="S1642" s="547">
        <v>0</v>
      </c>
      <c r="T1642" s="547">
        <v>0</v>
      </c>
      <c r="U1642" s="547">
        <v>0</v>
      </c>
      <c r="V1642" s="548">
        <v>0</v>
      </c>
      <c r="W1642" s="528"/>
      <c r="X1642" s="711">
        <f t="shared" si="6529"/>
        <v>0</v>
      </c>
      <c r="Y1642" s="896" t="str">
        <f t="shared" ref="Y1642" si="6583">IFERROR((X1643/X1642),"-")</f>
        <v>-</v>
      </c>
      <c r="Z1642" s="528"/>
      <c r="AA1642" s="898">
        <v>0</v>
      </c>
      <c r="AB1642" s="898">
        <v>0</v>
      </c>
      <c r="AC1642" s="903">
        <v>0</v>
      </c>
      <c r="AD1642" s="900" t="str">
        <f t="shared" ref="AD1642" si="6584">IFERROR((AC1642/AB1642),"-")</f>
        <v>-</v>
      </c>
      <c r="AE1642" s="2"/>
      <c r="AF1642" s="884">
        <v>0</v>
      </c>
      <c r="AG1642" s="884"/>
      <c r="AH1642" s="884">
        <v>0</v>
      </c>
      <c r="AI1642" s="884"/>
      <c r="AJ1642" s="884"/>
      <c r="AK1642" s="884">
        <f t="shared" ref="AK1642" si="6585">AF1642+AG1642+AH1642+AI1642+AJ1642+AC1642</f>
        <v>0</v>
      </c>
      <c r="AL1642" s="884">
        <v>0</v>
      </c>
      <c r="AM1642" s="878" t="str">
        <f t="shared" ref="AM1642" si="6586">IFERROR((AK1642/AL1642),"-")</f>
        <v>-</v>
      </c>
      <c r="AN1642" s="2"/>
      <c r="AO1642" s="884">
        <v>970</v>
      </c>
      <c r="AP1642" s="884">
        <f t="shared" ref="AP1642" si="6587">AO1642-AK1642</f>
        <v>970</v>
      </c>
      <c r="AV1642" t="str">
        <f t="shared" si="6463"/>
        <v>Drenagem Superficial</v>
      </c>
      <c r="AW1642" s="4" t="str">
        <f t="shared" si="6461"/>
        <v xml:space="preserve">   Seg. 2.5-C01 - Drenagem Superficial - Sarjeta de Corte (Manual)</v>
      </c>
    </row>
    <row r="1643" spans="1:49" ht="15.6" hidden="1" customHeight="1" outlineLevel="2">
      <c r="A1643" s="8" t="str">
        <f t="shared" ref="A1643" si="6588">A1642</f>
        <v>N</v>
      </c>
      <c r="B1643" s="150"/>
      <c r="C1643" s="150" t="s">
        <v>1957</v>
      </c>
      <c r="D1643" s="120" t="s">
        <v>463</v>
      </c>
      <c r="E1643" s="915"/>
      <c r="F1643" s="902"/>
      <c r="G1643" s="528"/>
      <c r="H1643" s="549" t="s">
        <v>38</v>
      </c>
      <c r="I1643" s="711">
        <v>0</v>
      </c>
      <c r="J1643" s="897"/>
      <c r="K1643" s="528"/>
      <c r="L1643" s="549" t="s">
        <v>38</v>
      </c>
      <c r="M1643" s="711">
        <f t="shared" si="6536"/>
        <v>0</v>
      </c>
      <c r="N1643" s="897"/>
      <c r="O1643" s="528"/>
      <c r="P1643" s="548">
        <v>0</v>
      </c>
      <c r="Q1643" s="548">
        <v>0</v>
      </c>
      <c r="R1643" s="548">
        <v>0</v>
      </c>
      <c r="S1643" s="548">
        <v>0</v>
      </c>
      <c r="T1643" s="548">
        <v>0</v>
      </c>
      <c r="U1643" s="548">
        <v>0</v>
      </c>
      <c r="V1643" s="548">
        <v>0</v>
      </c>
      <c r="W1643" s="528"/>
      <c r="X1643" s="711">
        <f t="shared" si="6529"/>
        <v>0</v>
      </c>
      <c r="Y1643" s="897"/>
      <c r="Z1643" s="528"/>
      <c r="AA1643" s="899"/>
      <c r="AB1643" s="899"/>
      <c r="AC1643" s="904"/>
      <c r="AD1643" s="901"/>
      <c r="AE1643" s="2"/>
      <c r="AF1643" s="885"/>
      <c r="AG1643" s="885"/>
      <c r="AH1643" s="885"/>
      <c r="AI1643" s="885"/>
      <c r="AJ1643" s="885"/>
      <c r="AK1643" s="885"/>
      <c r="AL1643" s="885"/>
      <c r="AM1643" s="879"/>
      <c r="AN1643" s="2"/>
      <c r="AO1643" s="886"/>
      <c r="AP1643" s="886"/>
      <c r="AV1643" t="str">
        <f t="shared" si="6463"/>
        <v>Drenagem Superficial</v>
      </c>
      <c r="AW1643" s="4" t="str">
        <f t="shared" si="6461"/>
        <v xml:space="preserve">   Seg. 2.5-C01 - Drenagem Superficial - Sarjeta de Corte (Manual)</v>
      </c>
    </row>
    <row r="1644" spans="1:49" ht="15.6" hidden="1" customHeight="1" outlineLevel="2">
      <c r="A1644" s="8" t="str">
        <f t="shared" ref="A1644" si="6589">IF(SUM(P1644:V1645)&gt;0,"S","N")</f>
        <v>N</v>
      </c>
      <c r="B1644" s="150">
        <v>1064572</v>
      </c>
      <c r="C1644" s="150" t="s">
        <v>1959</v>
      </c>
      <c r="D1644" s="120" t="s">
        <v>469</v>
      </c>
      <c r="E1644" s="914" t="s">
        <v>1960</v>
      </c>
      <c r="F1644" s="902" t="s">
        <v>52</v>
      </c>
      <c r="G1644" s="528"/>
      <c r="H1644" s="546" t="s">
        <v>37</v>
      </c>
      <c r="I1644" s="711">
        <v>0</v>
      </c>
      <c r="J1644" s="896" t="str">
        <f t="shared" ref="J1644" si="6590">IFERROR((I1645/I1644),"-")</f>
        <v>-</v>
      </c>
      <c r="K1644" s="528"/>
      <c r="L1644" s="546" t="s">
        <v>37</v>
      </c>
      <c r="M1644" s="711">
        <f t="shared" si="6536"/>
        <v>0</v>
      </c>
      <c r="N1644" s="896" t="str">
        <f t="shared" ref="N1644" si="6591">IFERROR((M1645/M1644),"-")</f>
        <v>-</v>
      </c>
      <c r="O1644" s="528"/>
      <c r="P1644" s="547">
        <v>0</v>
      </c>
      <c r="Q1644" s="547">
        <v>0</v>
      </c>
      <c r="R1644" s="547">
        <v>0</v>
      </c>
      <c r="S1644" s="547">
        <v>0</v>
      </c>
      <c r="T1644" s="547">
        <v>0</v>
      </c>
      <c r="U1644" s="547">
        <v>0</v>
      </c>
      <c r="V1644" s="548">
        <v>0</v>
      </c>
      <c r="W1644" s="528"/>
      <c r="X1644" s="711">
        <f t="shared" si="6529"/>
        <v>0</v>
      </c>
      <c r="Y1644" s="896" t="str">
        <f t="shared" ref="Y1644" si="6592">IFERROR((X1645/X1644),"-")</f>
        <v>-</v>
      </c>
      <c r="Z1644" s="528"/>
      <c r="AA1644" s="898">
        <v>0</v>
      </c>
      <c r="AB1644" s="898">
        <v>0</v>
      </c>
      <c r="AC1644" s="903">
        <v>0</v>
      </c>
      <c r="AD1644" s="900" t="str">
        <f t="shared" ref="AD1644" si="6593">IFERROR((AC1644/AB1644),"-")</f>
        <v>-</v>
      </c>
      <c r="AE1644" s="2"/>
      <c r="AF1644" s="884">
        <v>0</v>
      </c>
      <c r="AG1644" s="884"/>
      <c r="AH1644" s="884">
        <v>0</v>
      </c>
      <c r="AI1644" s="884"/>
      <c r="AJ1644" s="884"/>
      <c r="AK1644" s="884">
        <f t="shared" ref="AK1644" si="6594">AF1644+AG1644+AH1644+AI1644+AJ1644+AC1644</f>
        <v>0</v>
      </c>
      <c r="AL1644" s="884">
        <v>0</v>
      </c>
      <c r="AM1644" s="878" t="str">
        <f t="shared" ref="AM1644" si="6595">IFERROR((AK1644/AL1644),"-")</f>
        <v>-</v>
      </c>
      <c r="AN1644" s="2"/>
      <c r="AO1644" s="884">
        <v>396.2</v>
      </c>
      <c r="AP1644" s="884">
        <f t="shared" ref="AP1644" si="6596">AO1644-AK1644</f>
        <v>396.2</v>
      </c>
      <c r="AV1644" t="str">
        <f t="shared" si="6463"/>
        <v>Drenagem Superficial</v>
      </c>
      <c r="AW1644" s="4" t="str">
        <f t="shared" si="6461"/>
        <v xml:space="preserve">   Seg. 2.5-C03 - Drenagem Superficial - Sarjeta de Corte (Manual)</v>
      </c>
    </row>
    <row r="1645" spans="1:49" ht="15.6" hidden="1" customHeight="1" outlineLevel="2">
      <c r="A1645" s="8" t="str">
        <f t="shared" ref="A1645" si="6597">A1644</f>
        <v>N</v>
      </c>
      <c r="B1645" s="150"/>
      <c r="C1645" s="150" t="s">
        <v>1959</v>
      </c>
      <c r="D1645" s="120" t="s">
        <v>469</v>
      </c>
      <c r="E1645" s="915"/>
      <c r="F1645" s="902"/>
      <c r="G1645" s="528"/>
      <c r="H1645" s="549" t="s">
        <v>38</v>
      </c>
      <c r="I1645" s="711">
        <v>0</v>
      </c>
      <c r="J1645" s="897"/>
      <c r="K1645" s="528"/>
      <c r="L1645" s="549" t="s">
        <v>38</v>
      </c>
      <c r="M1645" s="711">
        <f t="shared" si="6536"/>
        <v>0</v>
      </c>
      <c r="N1645" s="897"/>
      <c r="O1645" s="528"/>
      <c r="P1645" s="548">
        <v>0</v>
      </c>
      <c r="Q1645" s="548">
        <v>0</v>
      </c>
      <c r="R1645" s="548">
        <v>0</v>
      </c>
      <c r="S1645" s="548">
        <v>0</v>
      </c>
      <c r="T1645" s="548">
        <v>0</v>
      </c>
      <c r="U1645" s="548">
        <v>0</v>
      </c>
      <c r="V1645" s="548">
        <v>0</v>
      </c>
      <c r="W1645" s="528"/>
      <c r="X1645" s="711">
        <f t="shared" si="6529"/>
        <v>0</v>
      </c>
      <c r="Y1645" s="897"/>
      <c r="Z1645" s="528"/>
      <c r="AA1645" s="899"/>
      <c r="AB1645" s="899"/>
      <c r="AC1645" s="904"/>
      <c r="AD1645" s="901"/>
      <c r="AE1645" s="2"/>
      <c r="AF1645" s="885"/>
      <c r="AG1645" s="885"/>
      <c r="AH1645" s="885"/>
      <c r="AI1645" s="885"/>
      <c r="AJ1645" s="885"/>
      <c r="AK1645" s="885"/>
      <c r="AL1645" s="885"/>
      <c r="AM1645" s="879"/>
      <c r="AN1645" s="2"/>
      <c r="AO1645" s="886"/>
      <c r="AP1645" s="886"/>
      <c r="AV1645" t="str">
        <f t="shared" si="6463"/>
        <v>Drenagem Superficial</v>
      </c>
      <c r="AW1645" s="4" t="str">
        <f t="shared" si="6461"/>
        <v xml:space="preserve">   Seg. 2.5-C03 - Drenagem Superficial - Sarjeta de Corte (Manual)</v>
      </c>
    </row>
    <row r="1646" spans="1:49" ht="15.6" hidden="1" customHeight="1" outlineLevel="2">
      <c r="A1646" s="8" t="str">
        <f t="shared" ref="A1646" si="6598">IF(SUM(P1646:V1647)&gt;0,"S","N")</f>
        <v>N</v>
      </c>
      <c r="B1646" s="150">
        <v>1064574</v>
      </c>
      <c r="C1646" s="150" t="s">
        <v>1961</v>
      </c>
      <c r="D1646" s="120" t="s">
        <v>472</v>
      </c>
      <c r="E1646" s="914" t="s">
        <v>1962</v>
      </c>
      <c r="F1646" s="902" t="s">
        <v>52</v>
      </c>
      <c r="G1646" s="528"/>
      <c r="H1646" s="546" t="s">
        <v>37</v>
      </c>
      <c r="I1646" s="711">
        <v>0</v>
      </c>
      <c r="J1646" s="896" t="str">
        <f t="shared" ref="J1646" si="6599">IFERROR((I1647/I1646),"-")</f>
        <v>-</v>
      </c>
      <c r="K1646" s="528"/>
      <c r="L1646" s="546" t="s">
        <v>37</v>
      </c>
      <c r="M1646" s="711">
        <f t="shared" si="6536"/>
        <v>0</v>
      </c>
      <c r="N1646" s="896" t="str">
        <f t="shared" ref="N1646" si="6600">IFERROR((M1647/M1646),"-")</f>
        <v>-</v>
      </c>
      <c r="O1646" s="528"/>
      <c r="P1646" s="547">
        <v>0</v>
      </c>
      <c r="Q1646" s="547">
        <v>0</v>
      </c>
      <c r="R1646" s="547">
        <v>0</v>
      </c>
      <c r="S1646" s="547">
        <v>0</v>
      </c>
      <c r="T1646" s="547">
        <v>0</v>
      </c>
      <c r="U1646" s="547">
        <v>0</v>
      </c>
      <c r="V1646" s="548">
        <v>0</v>
      </c>
      <c r="W1646" s="528"/>
      <c r="X1646" s="711">
        <f t="shared" si="6529"/>
        <v>0</v>
      </c>
      <c r="Y1646" s="896" t="str">
        <f t="shared" ref="Y1646" si="6601">IFERROR((X1647/X1646),"-")</f>
        <v>-</v>
      </c>
      <c r="Z1646" s="528"/>
      <c r="AA1646" s="898">
        <v>0</v>
      </c>
      <c r="AB1646" s="898">
        <v>0</v>
      </c>
      <c r="AC1646" s="903">
        <v>0</v>
      </c>
      <c r="AD1646" s="900" t="str">
        <f t="shared" ref="AD1646" si="6602">IFERROR((AC1646/AB1646),"-")</f>
        <v>-</v>
      </c>
      <c r="AE1646" s="2"/>
      <c r="AF1646" s="884">
        <v>0</v>
      </c>
      <c r="AG1646" s="884"/>
      <c r="AH1646" s="884">
        <v>0</v>
      </c>
      <c r="AI1646" s="884"/>
      <c r="AJ1646" s="884"/>
      <c r="AK1646" s="884">
        <f t="shared" ref="AK1646" si="6603">AF1646+AG1646+AH1646+AI1646+AJ1646+AC1646</f>
        <v>0</v>
      </c>
      <c r="AL1646" s="884">
        <v>0</v>
      </c>
      <c r="AM1646" s="878" t="str">
        <f t="shared" ref="AM1646" si="6604">IFERROR((AK1646/AL1646),"-")</f>
        <v>-</v>
      </c>
      <c r="AN1646" s="2"/>
      <c r="AO1646" s="884">
        <v>868</v>
      </c>
      <c r="AP1646" s="884">
        <f t="shared" ref="AP1646" si="6605">AO1646-AK1646</f>
        <v>868</v>
      </c>
      <c r="AV1646" t="str">
        <f t="shared" si="6463"/>
        <v>Drenagem Superficial</v>
      </c>
      <c r="AW1646" s="4" t="str">
        <f t="shared" si="6461"/>
        <v xml:space="preserve">   Seg. 2.5-C04 - Drenagem Superficial - Sarjeta de Corte (Manual)</v>
      </c>
    </row>
    <row r="1647" spans="1:49" ht="15.6" hidden="1" customHeight="1" outlineLevel="2">
      <c r="A1647" s="8" t="str">
        <f t="shared" ref="A1647" si="6606">A1646</f>
        <v>N</v>
      </c>
      <c r="B1647" s="150"/>
      <c r="C1647" s="150" t="s">
        <v>1961</v>
      </c>
      <c r="D1647" s="120" t="s">
        <v>472</v>
      </c>
      <c r="E1647" s="915"/>
      <c r="F1647" s="902"/>
      <c r="G1647" s="528"/>
      <c r="H1647" s="549" t="s">
        <v>38</v>
      </c>
      <c r="I1647" s="711">
        <v>0</v>
      </c>
      <c r="J1647" s="897"/>
      <c r="K1647" s="528"/>
      <c r="L1647" s="549" t="s">
        <v>38</v>
      </c>
      <c r="M1647" s="711">
        <f t="shared" si="6536"/>
        <v>0</v>
      </c>
      <c r="N1647" s="897"/>
      <c r="O1647" s="528"/>
      <c r="P1647" s="548">
        <v>0</v>
      </c>
      <c r="Q1647" s="548">
        <v>0</v>
      </c>
      <c r="R1647" s="548">
        <v>0</v>
      </c>
      <c r="S1647" s="548">
        <v>0</v>
      </c>
      <c r="T1647" s="548">
        <v>0</v>
      </c>
      <c r="U1647" s="548">
        <v>0</v>
      </c>
      <c r="V1647" s="548">
        <v>0</v>
      </c>
      <c r="W1647" s="528"/>
      <c r="X1647" s="711">
        <f t="shared" si="6529"/>
        <v>0</v>
      </c>
      <c r="Y1647" s="897"/>
      <c r="Z1647" s="528"/>
      <c r="AA1647" s="899"/>
      <c r="AB1647" s="899"/>
      <c r="AC1647" s="904"/>
      <c r="AD1647" s="901"/>
      <c r="AE1647" s="2"/>
      <c r="AF1647" s="885"/>
      <c r="AG1647" s="885"/>
      <c r="AH1647" s="885"/>
      <c r="AI1647" s="885"/>
      <c r="AJ1647" s="885"/>
      <c r="AK1647" s="885"/>
      <c r="AL1647" s="885"/>
      <c r="AM1647" s="879"/>
      <c r="AN1647" s="2"/>
      <c r="AO1647" s="886"/>
      <c r="AP1647" s="886"/>
      <c r="AV1647" t="str">
        <f t="shared" si="6463"/>
        <v>Drenagem Superficial</v>
      </c>
      <c r="AW1647" s="4" t="str">
        <f t="shared" si="6461"/>
        <v xml:space="preserve">   Seg. 2.5-C04 - Drenagem Superficial - Sarjeta de Corte (Manual)</v>
      </c>
    </row>
    <row r="1648" spans="1:49" ht="15.6" hidden="1" customHeight="1" outlineLevel="2">
      <c r="A1648" s="8" t="str">
        <f t="shared" ref="A1648" si="6607">IF(SUM(P1648:V1649)&gt;0,"S","N")</f>
        <v>N</v>
      </c>
      <c r="B1648" s="150">
        <v>1064575</v>
      </c>
      <c r="C1648" s="150" t="s">
        <v>1963</v>
      </c>
      <c r="D1648" s="120" t="s">
        <v>475</v>
      </c>
      <c r="E1648" s="914" t="s">
        <v>1964</v>
      </c>
      <c r="F1648" s="902" t="s">
        <v>52</v>
      </c>
      <c r="G1648" s="528"/>
      <c r="H1648" s="546" t="s">
        <v>37</v>
      </c>
      <c r="I1648" s="711">
        <v>0</v>
      </c>
      <c r="J1648" s="896" t="str">
        <f t="shared" ref="J1648" si="6608">IFERROR((I1649/I1648),"-")</f>
        <v>-</v>
      </c>
      <c r="K1648" s="528"/>
      <c r="L1648" s="546" t="s">
        <v>37</v>
      </c>
      <c r="M1648" s="711">
        <f t="shared" si="6536"/>
        <v>0</v>
      </c>
      <c r="N1648" s="896" t="str">
        <f t="shared" ref="N1648" si="6609">IFERROR((M1649/M1648),"-")</f>
        <v>-</v>
      </c>
      <c r="O1648" s="528"/>
      <c r="P1648" s="547">
        <v>0</v>
      </c>
      <c r="Q1648" s="547">
        <v>0</v>
      </c>
      <c r="R1648" s="547">
        <v>0</v>
      </c>
      <c r="S1648" s="547">
        <v>0</v>
      </c>
      <c r="T1648" s="547">
        <v>0</v>
      </c>
      <c r="U1648" s="547">
        <v>0</v>
      </c>
      <c r="V1648" s="548">
        <v>0</v>
      </c>
      <c r="W1648" s="528"/>
      <c r="X1648" s="711">
        <f t="shared" si="6529"/>
        <v>0</v>
      </c>
      <c r="Y1648" s="896" t="str">
        <f t="shared" ref="Y1648" si="6610">IFERROR((X1649/X1648),"-")</f>
        <v>-</v>
      </c>
      <c r="Z1648" s="528"/>
      <c r="AA1648" s="898">
        <v>0</v>
      </c>
      <c r="AB1648" s="898">
        <v>0</v>
      </c>
      <c r="AC1648" s="903">
        <v>0</v>
      </c>
      <c r="AD1648" s="900" t="str">
        <f t="shared" ref="AD1648" si="6611">IFERROR((AC1648/AB1648),"-")</f>
        <v>-</v>
      </c>
      <c r="AE1648" s="2"/>
      <c r="AF1648" s="884">
        <v>0</v>
      </c>
      <c r="AG1648" s="884"/>
      <c r="AH1648" s="884">
        <v>0</v>
      </c>
      <c r="AI1648" s="884"/>
      <c r="AJ1648" s="884"/>
      <c r="AK1648" s="884">
        <f t="shared" ref="AK1648" si="6612">AF1648+AG1648+AH1648+AI1648+AJ1648+AC1648</f>
        <v>0</v>
      </c>
      <c r="AL1648" s="884">
        <v>0</v>
      </c>
      <c r="AM1648" s="878" t="str">
        <f t="shared" ref="AM1648" si="6613">IFERROR((AK1648/AL1648),"-")</f>
        <v>-</v>
      </c>
      <c r="AN1648" s="2"/>
      <c r="AO1648" s="884">
        <v>547</v>
      </c>
      <c r="AP1648" s="884">
        <f t="shared" ref="AP1648" si="6614">AO1648-AK1648</f>
        <v>547</v>
      </c>
      <c r="AV1648" t="str">
        <f t="shared" si="6463"/>
        <v>Drenagem Superficial</v>
      </c>
      <c r="AW1648" s="4" t="str">
        <f t="shared" si="6461"/>
        <v xml:space="preserve">   Seg. 2.5-C05 - Drenagem Superficial - Sarjeta de Corte (Manual)</v>
      </c>
    </row>
    <row r="1649" spans="1:49" ht="15.6" hidden="1" customHeight="1" outlineLevel="2">
      <c r="A1649" s="8" t="str">
        <f t="shared" ref="A1649" si="6615">A1648</f>
        <v>N</v>
      </c>
      <c r="B1649" s="150"/>
      <c r="C1649" s="150" t="s">
        <v>1963</v>
      </c>
      <c r="D1649" s="120" t="s">
        <v>475</v>
      </c>
      <c r="E1649" s="915"/>
      <c r="F1649" s="902"/>
      <c r="G1649" s="528"/>
      <c r="H1649" s="549" t="s">
        <v>38</v>
      </c>
      <c r="I1649" s="711">
        <v>0</v>
      </c>
      <c r="J1649" s="897"/>
      <c r="K1649" s="528"/>
      <c r="L1649" s="549" t="s">
        <v>38</v>
      </c>
      <c r="M1649" s="711">
        <f t="shared" si="6536"/>
        <v>0</v>
      </c>
      <c r="N1649" s="897"/>
      <c r="O1649" s="528"/>
      <c r="P1649" s="548">
        <v>0</v>
      </c>
      <c r="Q1649" s="548">
        <v>0</v>
      </c>
      <c r="R1649" s="548">
        <v>0</v>
      </c>
      <c r="S1649" s="548">
        <v>0</v>
      </c>
      <c r="T1649" s="548">
        <v>0</v>
      </c>
      <c r="U1649" s="548">
        <v>0</v>
      </c>
      <c r="V1649" s="548">
        <v>0</v>
      </c>
      <c r="W1649" s="528"/>
      <c r="X1649" s="711">
        <f t="shared" si="6529"/>
        <v>0</v>
      </c>
      <c r="Y1649" s="897"/>
      <c r="Z1649" s="528"/>
      <c r="AA1649" s="899"/>
      <c r="AB1649" s="899"/>
      <c r="AC1649" s="904"/>
      <c r="AD1649" s="901"/>
      <c r="AE1649" s="2"/>
      <c r="AF1649" s="885"/>
      <c r="AG1649" s="885"/>
      <c r="AH1649" s="885"/>
      <c r="AI1649" s="885"/>
      <c r="AJ1649" s="885"/>
      <c r="AK1649" s="885"/>
      <c r="AL1649" s="885"/>
      <c r="AM1649" s="879"/>
      <c r="AN1649" s="2"/>
      <c r="AO1649" s="886"/>
      <c r="AP1649" s="886"/>
      <c r="AV1649" t="str">
        <f t="shared" si="6463"/>
        <v>Drenagem Superficial</v>
      </c>
      <c r="AW1649" s="4" t="str">
        <f t="shared" si="6461"/>
        <v xml:space="preserve">   Seg. 2.5-C05 - Drenagem Superficial - Sarjeta de Corte (Manual)</v>
      </c>
    </row>
    <row r="1650" spans="1:49" ht="15.6" hidden="1" customHeight="1" outlineLevel="2">
      <c r="A1650" s="8" t="str">
        <f t="shared" ref="A1650" si="6616">IF(SUM(P1650:V1651)&gt;0,"S","N")</f>
        <v>N</v>
      </c>
      <c r="B1650" s="150">
        <v>1064576</v>
      </c>
      <c r="C1650" s="150" t="s">
        <v>1965</v>
      </c>
      <c r="D1650" s="120" t="s">
        <v>1966</v>
      </c>
      <c r="E1650" s="914" t="s">
        <v>1967</v>
      </c>
      <c r="F1650" s="902" t="s">
        <v>52</v>
      </c>
      <c r="G1650" s="528"/>
      <c r="H1650" s="546" t="s">
        <v>37</v>
      </c>
      <c r="I1650" s="711">
        <v>0</v>
      </c>
      <c r="J1650" s="896" t="str">
        <f t="shared" ref="J1650" si="6617">IFERROR((I1651/I1650),"-")</f>
        <v>-</v>
      </c>
      <c r="K1650" s="528"/>
      <c r="L1650" s="546" t="s">
        <v>37</v>
      </c>
      <c r="M1650" s="711">
        <f t="shared" si="6536"/>
        <v>0</v>
      </c>
      <c r="N1650" s="896" t="str">
        <f t="shared" ref="N1650" si="6618">IFERROR((M1651/M1650),"-")</f>
        <v>-</v>
      </c>
      <c r="O1650" s="528"/>
      <c r="P1650" s="547">
        <v>0</v>
      </c>
      <c r="Q1650" s="547">
        <v>0</v>
      </c>
      <c r="R1650" s="547">
        <v>0</v>
      </c>
      <c r="S1650" s="547">
        <v>0</v>
      </c>
      <c r="T1650" s="547">
        <v>0</v>
      </c>
      <c r="U1650" s="547">
        <v>0</v>
      </c>
      <c r="V1650" s="548">
        <v>0</v>
      </c>
      <c r="W1650" s="528"/>
      <c r="X1650" s="711">
        <f t="shared" si="6529"/>
        <v>0</v>
      </c>
      <c r="Y1650" s="896" t="str">
        <f t="shared" ref="Y1650" si="6619">IFERROR((X1651/X1650),"-")</f>
        <v>-</v>
      </c>
      <c r="Z1650" s="528"/>
      <c r="AA1650" s="898">
        <v>0</v>
      </c>
      <c r="AB1650" s="898">
        <v>0</v>
      </c>
      <c r="AC1650" s="903">
        <v>0</v>
      </c>
      <c r="AD1650" s="900" t="str">
        <f t="shared" ref="AD1650" si="6620">IFERROR((AC1650/AB1650),"-")</f>
        <v>-</v>
      </c>
      <c r="AE1650" s="2"/>
      <c r="AF1650" s="884">
        <v>0</v>
      </c>
      <c r="AG1650" s="884"/>
      <c r="AH1650" s="884">
        <v>0</v>
      </c>
      <c r="AI1650" s="884"/>
      <c r="AJ1650" s="884"/>
      <c r="AK1650" s="884">
        <f t="shared" ref="AK1650" si="6621">AF1650+AG1650+AH1650+AI1650+AJ1650+AC1650</f>
        <v>0</v>
      </c>
      <c r="AL1650" s="884">
        <v>0</v>
      </c>
      <c r="AM1650" s="878" t="str">
        <f t="shared" ref="AM1650" si="6622">IFERROR((AK1650/AL1650),"-")</f>
        <v>-</v>
      </c>
      <c r="AN1650" s="2"/>
      <c r="AO1650" s="884">
        <v>468</v>
      </c>
      <c r="AP1650" s="884">
        <f t="shared" ref="AP1650" si="6623">AO1650-AK1650</f>
        <v>468</v>
      </c>
      <c r="AV1650" t="str">
        <f t="shared" si="6463"/>
        <v>Drenagem Superficial</v>
      </c>
      <c r="AW1650" s="4" t="str">
        <f t="shared" si="6461"/>
        <v xml:space="preserve">   Seg. 2.5-C07 - Drenagem Superficial - Sarjeta de Corte (Extrusada)</v>
      </c>
    </row>
    <row r="1651" spans="1:49" ht="15.6" hidden="1" customHeight="1" outlineLevel="2">
      <c r="A1651" s="8" t="str">
        <f t="shared" ref="A1651" si="6624">A1650</f>
        <v>N</v>
      </c>
      <c r="B1651" s="150"/>
      <c r="C1651" s="150" t="s">
        <v>1965</v>
      </c>
      <c r="D1651" s="120" t="s">
        <v>1966</v>
      </c>
      <c r="E1651" s="915"/>
      <c r="F1651" s="902"/>
      <c r="G1651" s="528"/>
      <c r="H1651" s="549" t="s">
        <v>38</v>
      </c>
      <c r="I1651" s="711">
        <v>0</v>
      </c>
      <c r="J1651" s="897"/>
      <c r="K1651" s="528"/>
      <c r="L1651" s="549" t="s">
        <v>38</v>
      </c>
      <c r="M1651" s="711">
        <f t="shared" si="6536"/>
        <v>0</v>
      </c>
      <c r="N1651" s="897"/>
      <c r="O1651" s="528"/>
      <c r="P1651" s="548">
        <v>0</v>
      </c>
      <c r="Q1651" s="548">
        <v>0</v>
      </c>
      <c r="R1651" s="548">
        <v>0</v>
      </c>
      <c r="S1651" s="548">
        <v>0</v>
      </c>
      <c r="T1651" s="548">
        <v>0</v>
      </c>
      <c r="U1651" s="548">
        <v>0</v>
      </c>
      <c r="V1651" s="548">
        <v>0</v>
      </c>
      <c r="W1651" s="528"/>
      <c r="X1651" s="711">
        <f t="shared" si="6529"/>
        <v>0</v>
      </c>
      <c r="Y1651" s="897"/>
      <c r="Z1651" s="528"/>
      <c r="AA1651" s="899"/>
      <c r="AB1651" s="899"/>
      <c r="AC1651" s="904"/>
      <c r="AD1651" s="901"/>
      <c r="AE1651" s="2"/>
      <c r="AF1651" s="885"/>
      <c r="AG1651" s="885"/>
      <c r="AH1651" s="885"/>
      <c r="AI1651" s="885"/>
      <c r="AJ1651" s="885"/>
      <c r="AK1651" s="885"/>
      <c r="AL1651" s="885"/>
      <c r="AM1651" s="879"/>
      <c r="AN1651" s="2"/>
      <c r="AO1651" s="886"/>
      <c r="AP1651" s="886"/>
      <c r="AV1651" t="str">
        <f t="shared" si="6463"/>
        <v>Drenagem Superficial</v>
      </c>
      <c r="AW1651" s="4" t="str">
        <f t="shared" si="6461"/>
        <v xml:space="preserve">   Seg. 2.5-C07 - Drenagem Superficial - Sarjeta de Corte (Extrusada)</v>
      </c>
    </row>
    <row r="1652" spans="1:49" ht="15.6" hidden="1" customHeight="1" outlineLevel="2">
      <c r="A1652" s="8" t="str">
        <f t="shared" ref="A1652" si="6625">IF(SUM(P1652:V1653)&gt;0,"S","N")</f>
        <v>N</v>
      </c>
      <c r="B1652" s="150">
        <v>1064589</v>
      </c>
      <c r="C1652" s="150" t="s">
        <v>1968</v>
      </c>
      <c r="D1652" s="120" t="s">
        <v>1969</v>
      </c>
      <c r="E1652" s="914" t="s">
        <v>1970</v>
      </c>
      <c r="F1652" s="902" t="s">
        <v>52</v>
      </c>
      <c r="G1652" s="528"/>
      <c r="H1652" s="546" t="s">
        <v>37</v>
      </c>
      <c r="I1652" s="711">
        <v>0</v>
      </c>
      <c r="J1652" s="896" t="str">
        <f t="shared" ref="J1652" si="6626">IFERROR((I1653/I1652),"-")</f>
        <v>-</v>
      </c>
      <c r="K1652" s="528"/>
      <c r="L1652" s="546" t="s">
        <v>37</v>
      </c>
      <c r="M1652" s="711">
        <f t="shared" si="6536"/>
        <v>0</v>
      </c>
      <c r="N1652" s="896" t="str">
        <f t="shared" ref="N1652" si="6627">IFERROR((M1653/M1652),"-")</f>
        <v>-</v>
      </c>
      <c r="O1652" s="528"/>
      <c r="P1652" s="547">
        <v>0</v>
      </c>
      <c r="Q1652" s="547">
        <v>0</v>
      </c>
      <c r="R1652" s="547">
        <v>0</v>
      </c>
      <c r="S1652" s="547">
        <v>0</v>
      </c>
      <c r="T1652" s="547">
        <v>0</v>
      </c>
      <c r="U1652" s="547">
        <v>0</v>
      </c>
      <c r="V1652" s="548">
        <v>0</v>
      </c>
      <c r="W1652" s="528"/>
      <c r="X1652" s="711">
        <f t="shared" si="6529"/>
        <v>0</v>
      </c>
      <c r="Y1652" s="896" t="str">
        <f t="shared" ref="Y1652" si="6628">IFERROR((X1653/X1652),"-")</f>
        <v>-</v>
      </c>
      <c r="Z1652" s="528"/>
      <c r="AA1652" s="898">
        <v>0</v>
      </c>
      <c r="AB1652" s="898">
        <v>0</v>
      </c>
      <c r="AC1652" s="903">
        <v>0</v>
      </c>
      <c r="AD1652" s="900" t="str">
        <f t="shared" ref="AD1652" si="6629">IFERROR((AC1652/AB1652),"-")</f>
        <v>-</v>
      </c>
      <c r="AE1652" s="2"/>
      <c r="AF1652" s="884">
        <v>0</v>
      </c>
      <c r="AG1652" s="884"/>
      <c r="AH1652" s="884">
        <v>0</v>
      </c>
      <c r="AI1652" s="884"/>
      <c r="AJ1652" s="884"/>
      <c r="AK1652" s="884">
        <f t="shared" ref="AK1652" si="6630">AF1652+AG1652+AH1652+AI1652+AJ1652+AC1652</f>
        <v>0</v>
      </c>
      <c r="AL1652" s="884">
        <v>0</v>
      </c>
      <c r="AM1652" s="878" t="str">
        <f t="shared" ref="AM1652" si="6631">IFERROR((AK1652/AL1652),"-")</f>
        <v>-</v>
      </c>
      <c r="AN1652" s="2"/>
      <c r="AO1652" s="884">
        <v>2424</v>
      </c>
      <c r="AP1652" s="884">
        <f t="shared" ref="AP1652" si="6632">AO1652-AK1652</f>
        <v>2424</v>
      </c>
      <c r="AV1652" t="str">
        <f t="shared" si="6463"/>
        <v>Drenagem Superficial</v>
      </c>
      <c r="AW1652" s="4" t="str">
        <f t="shared" si="6461"/>
        <v xml:space="preserve">   Seg. 2.5-C09 - Drenagem Superficial - Sarjeta de Corte (Extrusada)</v>
      </c>
    </row>
    <row r="1653" spans="1:49" ht="15.6" hidden="1" customHeight="1" outlineLevel="2">
      <c r="A1653" s="8" t="str">
        <f t="shared" ref="A1653" si="6633">A1652</f>
        <v>N</v>
      </c>
      <c r="B1653" s="150"/>
      <c r="C1653" s="150" t="s">
        <v>1968</v>
      </c>
      <c r="D1653" s="120" t="s">
        <v>1969</v>
      </c>
      <c r="E1653" s="915"/>
      <c r="F1653" s="902"/>
      <c r="G1653" s="528"/>
      <c r="H1653" s="549" t="s">
        <v>38</v>
      </c>
      <c r="I1653" s="711">
        <v>0</v>
      </c>
      <c r="J1653" s="897"/>
      <c r="K1653" s="528"/>
      <c r="L1653" s="549" t="s">
        <v>38</v>
      </c>
      <c r="M1653" s="711">
        <f t="shared" si="6536"/>
        <v>0</v>
      </c>
      <c r="N1653" s="897"/>
      <c r="O1653" s="528"/>
      <c r="P1653" s="548">
        <v>0</v>
      </c>
      <c r="Q1653" s="548">
        <v>0</v>
      </c>
      <c r="R1653" s="548">
        <v>0</v>
      </c>
      <c r="S1653" s="548">
        <v>0</v>
      </c>
      <c r="T1653" s="548">
        <v>0</v>
      </c>
      <c r="U1653" s="548">
        <v>0</v>
      </c>
      <c r="V1653" s="548">
        <v>0</v>
      </c>
      <c r="W1653" s="528"/>
      <c r="X1653" s="711">
        <f t="shared" si="6529"/>
        <v>0</v>
      </c>
      <c r="Y1653" s="897"/>
      <c r="Z1653" s="528"/>
      <c r="AA1653" s="899"/>
      <c r="AB1653" s="899"/>
      <c r="AC1653" s="904"/>
      <c r="AD1653" s="901"/>
      <c r="AE1653" s="2"/>
      <c r="AF1653" s="885"/>
      <c r="AG1653" s="885"/>
      <c r="AH1653" s="885"/>
      <c r="AI1653" s="885"/>
      <c r="AJ1653" s="885"/>
      <c r="AK1653" s="885"/>
      <c r="AL1653" s="885"/>
      <c r="AM1653" s="879"/>
      <c r="AN1653" s="2"/>
      <c r="AO1653" s="886"/>
      <c r="AP1653" s="886"/>
      <c r="AV1653" t="str">
        <f t="shared" si="6463"/>
        <v>Drenagem Superficial</v>
      </c>
      <c r="AW1653" s="4" t="str">
        <f t="shared" si="6461"/>
        <v xml:space="preserve">   Seg. 2.5-C09 - Drenagem Superficial - Sarjeta de Corte (Extrusada)</v>
      </c>
    </row>
    <row r="1654" spans="1:49" ht="15.6" hidden="1" customHeight="1" outlineLevel="2">
      <c r="A1654" s="8" t="str">
        <f t="shared" ref="A1654" si="6634">IF(SUM(P1654:V1655)&gt;0,"S","N")</f>
        <v>N</v>
      </c>
      <c r="B1654" s="150">
        <v>1064593</v>
      </c>
      <c r="C1654" s="150" t="s">
        <v>1971</v>
      </c>
      <c r="D1654" s="120" t="s">
        <v>1972</v>
      </c>
      <c r="E1654" s="914" t="s">
        <v>1973</v>
      </c>
      <c r="F1654" s="902" t="s">
        <v>52</v>
      </c>
      <c r="G1654" s="528"/>
      <c r="H1654" s="546" t="s">
        <v>37</v>
      </c>
      <c r="I1654" s="711">
        <v>0</v>
      </c>
      <c r="J1654" s="896" t="str">
        <f t="shared" ref="J1654" si="6635">IFERROR((I1655/I1654),"-")</f>
        <v>-</v>
      </c>
      <c r="K1654" s="528"/>
      <c r="L1654" s="546" t="s">
        <v>37</v>
      </c>
      <c r="M1654" s="711">
        <f t="shared" si="6536"/>
        <v>0</v>
      </c>
      <c r="N1654" s="896" t="str">
        <f t="shared" ref="N1654" si="6636">IFERROR((M1655/M1654),"-")</f>
        <v>-</v>
      </c>
      <c r="O1654" s="528"/>
      <c r="P1654" s="547">
        <v>0</v>
      </c>
      <c r="Q1654" s="547">
        <v>0</v>
      </c>
      <c r="R1654" s="547">
        <v>0</v>
      </c>
      <c r="S1654" s="547">
        <v>0</v>
      </c>
      <c r="T1654" s="547">
        <v>0</v>
      </c>
      <c r="U1654" s="547">
        <v>0</v>
      </c>
      <c r="V1654" s="548">
        <v>0</v>
      </c>
      <c r="W1654" s="528"/>
      <c r="X1654" s="711">
        <f t="shared" si="6529"/>
        <v>0</v>
      </c>
      <c r="Y1654" s="896" t="str">
        <f t="shared" ref="Y1654" si="6637">IFERROR((X1655/X1654),"-")</f>
        <v>-</v>
      </c>
      <c r="Z1654" s="528"/>
      <c r="AA1654" s="898">
        <v>0</v>
      </c>
      <c r="AB1654" s="898">
        <v>0</v>
      </c>
      <c r="AC1654" s="903">
        <v>0</v>
      </c>
      <c r="AD1654" s="900" t="str">
        <f t="shared" ref="AD1654" si="6638">IFERROR((AC1654/AB1654),"-")</f>
        <v>-</v>
      </c>
      <c r="AE1654" s="2"/>
      <c r="AF1654" s="884">
        <v>0</v>
      </c>
      <c r="AG1654" s="884"/>
      <c r="AH1654" s="884">
        <v>0</v>
      </c>
      <c r="AI1654" s="884"/>
      <c r="AJ1654" s="884"/>
      <c r="AK1654" s="884">
        <f t="shared" ref="AK1654" si="6639">AF1654+AG1654+AH1654+AI1654+AJ1654+AC1654</f>
        <v>0</v>
      </c>
      <c r="AL1654" s="884">
        <v>0</v>
      </c>
      <c r="AM1654" s="878" t="str">
        <f t="shared" ref="AM1654" si="6640">IFERROR((AK1654/AL1654),"-")</f>
        <v>-</v>
      </c>
      <c r="AN1654" s="2"/>
      <c r="AO1654" s="884">
        <v>905</v>
      </c>
      <c r="AP1654" s="884">
        <f t="shared" ref="AP1654" si="6641">AO1654-AK1654</f>
        <v>905</v>
      </c>
      <c r="AV1654" t="str">
        <f t="shared" si="6463"/>
        <v>Drenagem Superficial</v>
      </c>
      <c r="AW1654" s="4" t="str">
        <f t="shared" si="6461"/>
        <v xml:space="preserve">   Seg. 2.5-C10 - Drenagem Superficial - Execução de sarjeta (Extrusada)</v>
      </c>
    </row>
    <row r="1655" spans="1:49" ht="15.6" hidden="1" customHeight="1" outlineLevel="2">
      <c r="A1655" s="8" t="str">
        <f t="shared" ref="A1655" si="6642">A1654</f>
        <v>N</v>
      </c>
      <c r="B1655" s="150"/>
      <c r="C1655" s="150" t="s">
        <v>1971</v>
      </c>
      <c r="D1655" s="120" t="s">
        <v>1972</v>
      </c>
      <c r="E1655" s="915"/>
      <c r="F1655" s="902"/>
      <c r="G1655" s="528"/>
      <c r="H1655" s="549" t="s">
        <v>38</v>
      </c>
      <c r="I1655" s="711">
        <v>0</v>
      </c>
      <c r="J1655" s="897"/>
      <c r="K1655" s="528"/>
      <c r="L1655" s="549" t="s">
        <v>38</v>
      </c>
      <c r="M1655" s="711">
        <f t="shared" si="6536"/>
        <v>0</v>
      </c>
      <c r="N1655" s="897"/>
      <c r="O1655" s="528"/>
      <c r="P1655" s="548">
        <v>0</v>
      </c>
      <c r="Q1655" s="548">
        <v>0</v>
      </c>
      <c r="R1655" s="548">
        <v>0</v>
      </c>
      <c r="S1655" s="548">
        <v>0</v>
      </c>
      <c r="T1655" s="548">
        <v>0</v>
      </c>
      <c r="U1655" s="548">
        <v>0</v>
      </c>
      <c r="V1655" s="548">
        <v>0</v>
      </c>
      <c r="W1655" s="528"/>
      <c r="X1655" s="711">
        <f t="shared" si="6529"/>
        <v>0</v>
      </c>
      <c r="Y1655" s="897"/>
      <c r="Z1655" s="528"/>
      <c r="AA1655" s="899"/>
      <c r="AB1655" s="899"/>
      <c r="AC1655" s="904"/>
      <c r="AD1655" s="901"/>
      <c r="AE1655" s="2"/>
      <c r="AF1655" s="885"/>
      <c r="AG1655" s="885"/>
      <c r="AH1655" s="885"/>
      <c r="AI1655" s="885"/>
      <c r="AJ1655" s="885"/>
      <c r="AK1655" s="885"/>
      <c r="AL1655" s="885"/>
      <c r="AM1655" s="879"/>
      <c r="AN1655" s="2"/>
      <c r="AO1655" s="886"/>
      <c r="AP1655" s="886"/>
      <c r="AV1655" t="str">
        <f t="shared" si="6463"/>
        <v>Drenagem Superficial</v>
      </c>
      <c r="AW1655" s="4" t="str">
        <f t="shared" si="6461"/>
        <v xml:space="preserve">   Seg. 2.5-C10 - Drenagem Superficial - Execução de sarjeta (Extrusada)</v>
      </c>
    </row>
    <row r="1656" spans="1:49" ht="15.6" hidden="1" customHeight="1" outlineLevel="2">
      <c r="A1656" s="8" t="str">
        <f t="shared" ref="A1656" si="6643">IF(SUM(P1656:V1657)&gt;0,"S","N")</f>
        <v>N</v>
      </c>
      <c r="B1656" s="150">
        <v>1064599</v>
      </c>
      <c r="C1656" s="150" t="s">
        <v>1974</v>
      </c>
      <c r="D1656" s="120" t="s">
        <v>1975</v>
      </c>
      <c r="E1656" s="914" t="s">
        <v>1976</v>
      </c>
      <c r="F1656" s="902" t="s">
        <v>52</v>
      </c>
      <c r="G1656" s="528"/>
      <c r="H1656" s="546" t="s">
        <v>37</v>
      </c>
      <c r="I1656" s="711">
        <v>0</v>
      </c>
      <c r="J1656" s="896" t="str">
        <f t="shared" ref="J1656" si="6644">IFERROR((I1657/I1656),"-")</f>
        <v>-</v>
      </c>
      <c r="K1656" s="528"/>
      <c r="L1656" s="546" t="s">
        <v>37</v>
      </c>
      <c r="M1656" s="711">
        <f t="shared" si="6536"/>
        <v>0</v>
      </c>
      <c r="N1656" s="896" t="str">
        <f t="shared" ref="N1656" si="6645">IFERROR((M1657/M1656),"-")</f>
        <v>-</v>
      </c>
      <c r="O1656" s="528"/>
      <c r="P1656" s="547">
        <v>0</v>
      </c>
      <c r="Q1656" s="547">
        <v>0</v>
      </c>
      <c r="R1656" s="547">
        <v>0</v>
      </c>
      <c r="S1656" s="547">
        <v>0</v>
      </c>
      <c r="T1656" s="547">
        <v>0</v>
      </c>
      <c r="U1656" s="547">
        <v>0</v>
      </c>
      <c r="V1656" s="548">
        <v>0</v>
      </c>
      <c r="W1656" s="528"/>
      <c r="X1656" s="711">
        <f t="shared" si="6529"/>
        <v>0</v>
      </c>
      <c r="Y1656" s="896" t="str">
        <f t="shared" ref="Y1656" si="6646">IFERROR((X1657/X1656),"-")</f>
        <v>-</v>
      </c>
      <c r="Z1656" s="528"/>
      <c r="AA1656" s="898">
        <v>0</v>
      </c>
      <c r="AB1656" s="898">
        <v>0</v>
      </c>
      <c r="AC1656" s="903">
        <v>0</v>
      </c>
      <c r="AD1656" s="900" t="str">
        <f t="shared" ref="AD1656" si="6647">IFERROR((AC1656/AB1656),"-")</f>
        <v>-</v>
      </c>
      <c r="AE1656" s="2"/>
      <c r="AF1656" s="884">
        <v>0</v>
      </c>
      <c r="AG1656" s="884"/>
      <c r="AH1656" s="884">
        <v>0</v>
      </c>
      <c r="AI1656" s="884"/>
      <c r="AJ1656" s="884"/>
      <c r="AK1656" s="884">
        <f t="shared" ref="AK1656" si="6648">AF1656+AG1656+AH1656+AI1656+AJ1656+AC1656</f>
        <v>0</v>
      </c>
      <c r="AL1656" s="884">
        <v>0</v>
      </c>
      <c r="AM1656" s="878" t="str">
        <f t="shared" ref="AM1656" si="6649">IFERROR((AK1656/AL1656),"-")</f>
        <v>-</v>
      </c>
      <c r="AN1656" s="2"/>
      <c r="AO1656" s="884">
        <v>483.1</v>
      </c>
      <c r="AP1656" s="884">
        <f t="shared" ref="AP1656" si="6650">AO1656-AK1656</f>
        <v>483.1</v>
      </c>
      <c r="AV1656" t="str">
        <f t="shared" si="6463"/>
        <v>Drenagem Superficial</v>
      </c>
      <c r="AW1656" s="4" t="str">
        <f t="shared" si="6461"/>
        <v xml:space="preserve">   Seg. 2.5-C11 - Drenagem Superficial - Sarjeta de Corte (Extrusada)</v>
      </c>
    </row>
    <row r="1657" spans="1:49" ht="15.6" hidden="1" customHeight="1" outlineLevel="2">
      <c r="A1657" s="8" t="str">
        <f t="shared" ref="A1657" si="6651">A1656</f>
        <v>N</v>
      </c>
      <c r="B1657" s="150"/>
      <c r="C1657" s="150" t="s">
        <v>1974</v>
      </c>
      <c r="D1657" s="120" t="s">
        <v>1975</v>
      </c>
      <c r="E1657" s="915"/>
      <c r="F1657" s="902"/>
      <c r="G1657" s="528"/>
      <c r="H1657" s="549" t="s">
        <v>38</v>
      </c>
      <c r="I1657" s="711">
        <v>0</v>
      </c>
      <c r="J1657" s="897"/>
      <c r="K1657" s="528"/>
      <c r="L1657" s="549" t="s">
        <v>38</v>
      </c>
      <c r="M1657" s="711">
        <f t="shared" si="6536"/>
        <v>0</v>
      </c>
      <c r="N1657" s="897"/>
      <c r="O1657" s="528"/>
      <c r="P1657" s="548">
        <v>0</v>
      </c>
      <c r="Q1657" s="548">
        <v>0</v>
      </c>
      <c r="R1657" s="548">
        <v>0</v>
      </c>
      <c r="S1657" s="548">
        <v>0</v>
      </c>
      <c r="T1657" s="548">
        <v>0</v>
      </c>
      <c r="U1657" s="548">
        <v>0</v>
      </c>
      <c r="V1657" s="548">
        <v>0</v>
      </c>
      <c r="W1657" s="528"/>
      <c r="X1657" s="711">
        <f t="shared" si="6529"/>
        <v>0</v>
      </c>
      <c r="Y1657" s="897"/>
      <c r="Z1657" s="528"/>
      <c r="AA1657" s="899"/>
      <c r="AB1657" s="899"/>
      <c r="AC1657" s="904"/>
      <c r="AD1657" s="901"/>
      <c r="AE1657" s="2"/>
      <c r="AF1657" s="885"/>
      <c r="AG1657" s="885"/>
      <c r="AH1657" s="885"/>
      <c r="AI1657" s="885"/>
      <c r="AJ1657" s="885"/>
      <c r="AK1657" s="885"/>
      <c r="AL1657" s="885"/>
      <c r="AM1657" s="879"/>
      <c r="AN1657" s="2"/>
      <c r="AO1657" s="886"/>
      <c r="AP1657" s="886"/>
      <c r="AV1657" t="str">
        <f t="shared" si="6463"/>
        <v>Drenagem Superficial</v>
      </c>
      <c r="AW1657" s="4" t="str">
        <f t="shared" si="6461"/>
        <v xml:space="preserve">   Seg. 2.5-C11 - Drenagem Superficial - Sarjeta de Corte (Extrusada)</v>
      </c>
    </row>
    <row r="1658" spans="1:49" ht="15.6" hidden="1" customHeight="1" outlineLevel="2">
      <c r="A1658" s="8" t="str">
        <f t="shared" ref="A1658" si="6652">IF(SUM(P1658:V1659)&gt;0,"S","N")</f>
        <v>N</v>
      </c>
      <c r="B1658" s="150">
        <v>1064602</v>
      </c>
      <c r="C1658" s="150" t="s">
        <v>1977</v>
      </c>
      <c r="D1658" s="120" t="s">
        <v>1978</v>
      </c>
      <c r="E1658" s="914" t="s">
        <v>1979</v>
      </c>
      <c r="F1658" s="902" t="s">
        <v>52</v>
      </c>
      <c r="G1658" s="528"/>
      <c r="H1658" s="546" t="s">
        <v>37</v>
      </c>
      <c r="I1658" s="711">
        <v>0</v>
      </c>
      <c r="J1658" s="896" t="str">
        <f t="shared" ref="J1658" si="6653">IFERROR((I1659/I1658),"-")</f>
        <v>-</v>
      </c>
      <c r="K1658" s="528"/>
      <c r="L1658" s="546" t="s">
        <v>37</v>
      </c>
      <c r="M1658" s="711">
        <f t="shared" si="6536"/>
        <v>0</v>
      </c>
      <c r="N1658" s="896" t="str">
        <f t="shared" ref="N1658" si="6654">IFERROR((M1659/M1658),"-")</f>
        <v>-</v>
      </c>
      <c r="O1658" s="528"/>
      <c r="P1658" s="547">
        <v>0</v>
      </c>
      <c r="Q1658" s="547">
        <v>0</v>
      </c>
      <c r="R1658" s="547">
        <v>0</v>
      </c>
      <c r="S1658" s="547">
        <v>0</v>
      </c>
      <c r="T1658" s="547">
        <v>0</v>
      </c>
      <c r="U1658" s="547">
        <v>0</v>
      </c>
      <c r="V1658" s="548">
        <v>0</v>
      </c>
      <c r="W1658" s="528"/>
      <c r="X1658" s="711">
        <f t="shared" si="6529"/>
        <v>0</v>
      </c>
      <c r="Y1658" s="896" t="str">
        <f t="shared" ref="Y1658" si="6655">IFERROR((X1659/X1658),"-")</f>
        <v>-</v>
      </c>
      <c r="Z1658" s="528"/>
      <c r="AA1658" s="898">
        <v>0</v>
      </c>
      <c r="AB1658" s="898">
        <v>0</v>
      </c>
      <c r="AC1658" s="903">
        <v>0</v>
      </c>
      <c r="AD1658" s="900" t="str">
        <f t="shared" ref="AD1658" si="6656">IFERROR((AC1658/AB1658),"-")</f>
        <v>-</v>
      </c>
      <c r="AE1658" s="2"/>
      <c r="AF1658" s="884">
        <v>0</v>
      </c>
      <c r="AG1658" s="884"/>
      <c r="AH1658" s="884">
        <v>0</v>
      </c>
      <c r="AI1658" s="884"/>
      <c r="AJ1658" s="884"/>
      <c r="AK1658" s="884">
        <f t="shared" ref="AK1658" si="6657">AF1658+AG1658+AH1658+AI1658+AJ1658+AC1658</f>
        <v>0</v>
      </c>
      <c r="AL1658" s="884">
        <v>0</v>
      </c>
      <c r="AM1658" s="878" t="str">
        <f t="shared" ref="AM1658" si="6658">IFERROR((AK1658/AL1658),"-")</f>
        <v>-</v>
      </c>
      <c r="AN1658" s="2"/>
      <c r="AO1658" s="884">
        <v>281</v>
      </c>
      <c r="AP1658" s="884">
        <f t="shared" ref="AP1658" si="6659">AO1658-AK1658</f>
        <v>281</v>
      </c>
      <c r="AV1658" t="str">
        <f t="shared" si="6463"/>
        <v>Drenagem Superficial</v>
      </c>
      <c r="AW1658" s="4" t="str">
        <f t="shared" si="6461"/>
        <v xml:space="preserve">   Seg. 2.5-C12 - Drenagem Superficial - Sarjeta de Corte (Extrusada)</v>
      </c>
    </row>
    <row r="1659" spans="1:49" ht="15.6" hidden="1" customHeight="1" outlineLevel="2">
      <c r="A1659" s="8" t="str">
        <f t="shared" ref="A1659" si="6660">A1658</f>
        <v>N</v>
      </c>
      <c r="B1659" s="150"/>
      <c r="C1659" s="150" t="s">
        <v>1977</v>
      </c>
      <c r="D1659" s="120" t="s">
        <v>1978</v>
      </c>
      <c r="E1659" s="915"/>
      <c r="F1659" s="902"/>
      <c r="G1659" s="528"/>
      <c r="H1659" s="549" t="s">
        <v>38</v>
      </c>
      <c r="I1659" s="711">
        <v>0</v>
      </c>
      <c r="J1659" s="897"/>
      <c r="K1659" s="528"/>
      <c r="L1659" s="549" t="s">
        <v>38</v>
      </c>
      <c r="M1659" s="711">
        <f t="shared" si="6536"/>
        <v>0</v>
      </c>
      <c r="N1659" s="897"/>
      <c r="O1659" s="528"/>
      <c r="P1659" s="548">
        <v>0</v>
      </c>
      <c r="Q1659" s="548">
        <v>0</v>
      </c>
      <c r="R1659" s="548">
        <v>0</v>
      </c>
      <c r="S1659" s="548">
        <v>0</v>
      </c>
      <c r="T1659" s="548">
        <v>0</v>
      </c>
      <c r="U1659" s="548">
        <v>0</v>
      </c>
      <c r="V1659" s="548">
        <v>0</v>
      </c>
      <c r="W1659" s="528"/>
      <c r="X1659" s="711">
        <f t="shared" si="6529"/>
        <v>0</v>
      </c>
      <c r="Y1659" s="897"/>
      <c r="Z1659" s="528"/>
      <c r="AA1659" s="899"/>
      <c r="AB1659" s="899"/>
      <c r="AC1659" s="904"/>
      <c r="AD1659" s="901"/>
      <c r="AE1659" s="2"/>
      <c r="AF1659" s="885"/>
      <c r="AG1659" s="885"/>
      <c r="AH1659" s="885"/>
      <c r="AI1659" s="885"/>
      <c r="AJ1659" s="885"/>
      <c r="AK1659" s="885"/>
      <c r="AL1659" s="885"/>
      <c r="AM1659" s="879"/>
      <c r="AN1659" s="2"/>
      <c r="AO1659" s="886"/>
      <c r="AP1659" s="886"/>
      <c r="AV1659" t="str">
        <f t="shared" si="6463"/>
        <v>Drenagem Superficial</v>
      </c>
      <c r="AW1659" s="4" t="str">
        <f t="shared" si="6461"/>
        <v xml:space="preserve">   Seg. 2.5-C12 - Drenagem Superficial - Sarjeta de Corte (Extrusada)</v>
      </c>
    </row>
    <row r="1660" spans="1:49" ht="15.6" hidden="1" customHeight="1" outlineLevel="2">
      <c r="A1660" s="8" t="str">
        <f t="shared" ref="A1660" si="6661">IF(SUM(P1660:V1661)&gt;0,"S","N")</f>
        <v>N</v>
      </c>
      <c r="B1660" s="150">
        <v>1064603</v>
      </c>
      <c r="C1660" s="150" t="s">
        <v>1980</v>
      </c>
      <c r="D1660" s="120" t="s">
        <v>1981</v>
      </c>
      <c r="E1660" s="914" t="s">
        <v>1982</v>
      </c>
      <c r="F1660" s="902" t="s">
        <v>52</v>
      </c>
      <c r="G1660" s="528"/>
      <c r="H1660" s="546" t="s">
        <v>37</v>
      </c>
      <c r="I1660" s="711">
        <v>0</v>
      </c>
      <c r="J1660" s="896" t="str">
        <f t="shared" ref="J1660" si="6662">IFERROR((I1661/I1660),"-")</f>
        <v>-</v>
      </c>
      <c r="K1660" s="528"/>
      <c r="L1660" s="546" t="s">
        <v>37</v>
      </c>
      <c r="M1660" s="711">
        <f t="shared" si="6536"/>
        <v>0</v>
      </c>
      <c r="N1660" s="896" t="str">
        <f t="shared" ref="N1660" si="6663">IFERROR((M1661/M1660),"-")</f>
        <v>-</v>
      </c>
      <c r="O1660" s="528"/>
      <c r="P1660" s="547">
        <v>0</v>
      </c>
      <c r="Q1660" s="547">
        <v>0</v>
      </c>
      <c r="R1660" s="547">
        <v>0</v>
      </c>
      <c r="S1660" s="547">
        <v>0</v>
      </c>
      <c r="T1660" s="547">
        <v>0</v>
      </c>
      <c r="U1660" s="547">
        <v>0</v>
      </c>
      <c r="V1660" s="548">
        <v>0</v>
      </c>
      <c r="W1660" s="528"/>
      <c r="X1660" s="711">
        <f t="shared" si="6529"/>
        <v>0</v>
      </c>
      <c r="Y1660" s="896" t="str">
        <f t="shared" ref="Y1660" si="6664">IFERROR((X1661/X1660),"-")</f>
        <v>-</v>
      </c>
      <c r="Z1660" s="528"/>
      <c r="AA1660" s="898">
        <v>0</v>
      </c>
      <c r="AB1660" s="898">
        <v>0</v>
      </c>
      <c r="AC1660" s="903">
        <v>0</v>
      </c>
      <c r="AD1660" s="900" t="str">
        <f t="shared" ref="AD1660" si="6665">IFERROR((AC1660/AB1660),"-")</f>
        <v>-</v>
      </c>
      <c r="AE1660" s="2"/>
      <c r="AF1660" s="884">
        <v>0</v>
      </c>
      <c r="AG1660" s="884"/>
      <c r="AH1660" s="884">
        <v>0</v>
      </c>
      <c r="AI1660" s="884"/>
      <c r="AJ1660" s="884"/>
      <c r="AK1660" s="884">
        <f t="shared" ref="AK1660" si="6666">AF1660+AG1660+AH1660+AI1660+AJ1660+AC1660</f>
        <v>0</v>
      </c>
      <c r="AL1660" s="884">
        <v>0</v>
      </c>
      <c r="AM1660" s="878" t="str">
        <f t="shared" ref="AM1660" si="6667">IFERROR((AK1660/AL1660),"-")</f>
        <v>-</v>
      </c>
      <c r="AN1660" s="2"/>
      <c r="AO1660" s="884">
        <v>684</v>
      </c>
      <c r="AP1660" s="884">
        <f t="shared" ref="AP1660" si="6668">AO1660-AK1660</f>
        <v>684</v>
      </c>
      <c r="AV1660" t="str">
        <f t="shared" si="6463"/>
        <v>Drenagem Superficial</v>
      </c>
      <c r="AW1660" s="4" t="str">
        <f t="shared" si="6461"/>
        <v xml:space="preserve">   Seg. 2.5-A01 - Drenagem Superficial - Sarjeta de aterro (Extrusada)</v>
      </c>
    </row>
    <row r="1661" spans="1:49" ht="15.6" hidden="1" customHeight="1" outlineLevel="2">
      <c r="A1661" s="8" t="str">
        <f t="shared" ref="A1661" si="6669">A1660</f>
        <v>N</v>
      </c>
      <c r="B1661" s="150"/>
      <c r="C1661" s="150" t="s">
        <v>1980</v>
      </c>
      <c r="D1661" s="120" t="s">
        <v>1981</v>
      </c>
      <c r="E1661" s="915"/>
      <c r="F1661" s="902"/>
      <c r="G1661" s="528"/>
      <c r="H1661" s="549" t="s">
        <v>38</v>
      </c>
      <c r="I1661" s="711">
        <v>0</v>
      </c>
      <c r="J1661" s="897"/>
      <c r="K1661" s="528"/>
      <c r="L1661" s="549" t="s">
        <v>38</v>
      </c>
      <c r="M1661" s="711">
        <f t="shared" si="6536"/>
        <v>0</v>
      </c>
      <c r="N1661" s="897"/>
      <c r="O1661" s="528"/>
      <c r="P1661" s="548">
        <v>0</v>
      </c>
      <c r="Q1661" s="548">
        <v>0</v>
      </c>
      <c r="R1661" s="548">
        <v>0</v>
      </c>
      <c r="S1661" s="548">
        <v>0</v>
      </c>
      <c r="T1661" s="548">
        <v>0</v>
      </c>
      <c r="U1661" s="548">
        <v>0</v>
      </c>
      <c r="V1661" s="548">
        <v>0</v>
      </c>
      <c r="W1661" s="528"/>
      <c r="X1661" s="711">
        <f t="shared" si="6529"/>
        <v>0</v>
      </c>
      <c r="Y1661" s="897"/>
      <c r="Z1661" s="528"/>
      <c r="AA1661" s="899"/>
      <c r="AB1661" s="899"/>
      <c r="AC1661" s="904"/>
      <c r="AD1661" s="901"/>
      <c r="AE1661" s="2"/>
      <c r="AF1661" s="885"/>
      <c r="AG1661" s="885"/>
      <c r="AH1661" s="885"/>
      <c r="AI1661" s="885"/>
      <c r="AJ1661" s="885"/>
      <c r="AK1661" s="885"/>
      <c r="AL1661" s="885"/>
      <c r="AM1661" s="879"/>
      <c r="AN1661" s="2"/>
      <c r="AO1661" s="886"/>
      <c r="AP1661" s="886"/>
      <c r="AV1661" t="str">
        <f t="shared" si="6463"/>
        <v>Drenagem Superficial</v>
      </c>
      <c r="AW1661" s="4" t="str">
        <f t="shared" si="6461"/>
        <v xml:space="preserve">   Seg. 2.5-A01 - Drenagem Superficial - Sarjeta de aterro (Extrusada)</v>
      </c>
    </row>
    <row r="1662" spans="1:49" ht="15.6" hidden="1" customHeight="1" outlineLevel="2">
      <c r="A1662" s="8" t="str">
        <f t="shared" ref="A1662" si="6670">IF(SUM(P1662:V1663)&gt;0,"S","N")</f>
        <v>N</v>
      </c>
      <c r="B1662" s="150">
        <v>1064610</v>
      </c>
      <c r="C1662" s="150" t="s">
        <v>1983</v>
      </c>
      <c r="D1662" s="120" t="s">
        <v>1984</v>
      </c>
      <c r="E1662" s="914" t="s">
        <v>1985</v>
      </c>
      <c r="F1662" s="902" t="s">
        <v>52</v>
      </c>
      <c r="G1662" s="528"/>
      <c r="H1662" s="546" t="s">
        <v>37</v>
      </c>
      <c r="I1662" s="711">
        <v>0</v>
      </c>
      <c r="J1662" s="896" t="str">
        <f t="shared" ref="J1662" si="6671">IFERROR((I1663/I1662),"-")</f>
        <v>-</v>
      </c>
      <c r="K1662" s="528"/>
      <c r="L1662" s="546" t="s">
        <v>37</v>
      </c>
      <c r="M1662" s="711">
        <f t="shared" si="6536"/>
        <v>0</v>
      </c>
      <c r="N1662" s="896" t="str">
        <f t="shared" ref="N1662" si="6672">IFERROR((M1663/M1662),"-")</f>
        <v>-</v>
      </c>
      <c r="O1662" s="528"/>
      <c r="P1662" s="547">
        <v>0</v>
      </c>
      <c r="Q1662" s="547">
        <v>0</v>
      </c>
      <c r="R1662" s="547">
        <v>0</v>
      </c>
      <c r="S1662" s="547">
        <v>0</v>
      </c>
      <c r="T1662" s="547">
        <v>0</v>
      </c>
      <c r="U1662" s="547">
        <v>0</v>
      </c>
      <c r="V1662" s="548">
        <v>0</v>
      </c>
      <c r="W1662" s="528"/>
      <c r="X1662" s="711">
        <f t="shared" si="6529"/>
        <v>0</v>
      </c>
      <c r="Y1662" s="896" t="str">
        <f t="shared" ref="Y1662" si="6673">IFERROR((X1663/X1662),"-")</f>
        <v>-</v>
      </c>
      <c r="Z1662" s="528"/>
      <c r="AA1662" s="898">
        <v>0</v>
      </c>
      <c r="AB1662" s="898">
        <v>0</v>
      </c>
      <c r="AC1662" s="903">
        <v>0</v>
      </c>
      <c r="AD1662" s="900" t="str">
        <f t="shared" ref="AD1662" si="6674">IFERROR((AC1662/AB1662),"-")</f>
        <v>-</v>
      </c>
      <c r="AE1662" s="2"/>
      <c r="AF1662" s="884">
        <v>0</v>
      </c>
      <c r="AG1662" s="884"/>
      <c r="AH1662" s="884">
        <v>0</v>
      </c>
      <c r="AI1662" s="884"/>
      <c r="AJ1662" s="884"/>
      <c r="AK1662" s="884">
        <f t="shared" ref="AK1662" si="6675">AF1662+AG1662+AH1662+AI1662+AJ1662+AC1662</f>
        <v>0</v>
      </c>
      <c r="AL1662" s="884">
        <v>0</v>
      </c>
      <c r="AM1662" s="878" t="str">
        <f t="shared" ref="AM1662" si="6676">IFERROR((AK1662/AL1662),"-")</f>
        <v>-</v>
      </c>
      <c r="AN1662" s="2"/>
      <c r="AO1662" s="884">
        <v>573</v>
      </c>
      <c r="AP1662" s="884">
        <f t="shared" ref="AP1662" si="6677">AO1662-AK1662</f>
        <v>573</v>
      </c>
      <c r="AV1662" t="str">
        <f t="shared" si="6463"/>
        <v>Drenagem Superficial</v>
      </c>
      <c r="AW1662" s="4" t="str">
        <f t="shared" si="6461"/>
        <v xml:space="preserve">   Seg. 2.5-A03 - Drenagem Superficial - Execução de sarjeta (Extrusada)</v>
      </c>
    </row>
    <row r="1663" spans="1:49" ht="15.6" hidden="1" customHeight="1" outlineLevel="2">
      <c r="A1663" s="8" t="str">
        <f t="shared" ref="A1663" si="6678">A1662</f>
        <v>N</v>
      </c>
      <c r="B1663" s="150"/>
      <c r="C1663" s="150" t="s">
        <v>1983</v>
      </c>
      <c r="D1663" s="120" t="s">
        <v>1984</v>
      </c>
      <c r="E1663" s="915"/>
      <c r="F1663" s="902"/>
      <c r="G1663" s="528"/>
      <c r="H1663" s="549" t="s">
        <v>38</v>
      </c>
      <c r="I1663" s="711">
        <v>0</v>
      </c>
      <c r="J1663" s="897"/>
      <c r="K1663" s="528"/>
      <c r="L1663" s="549" t="s">
        <v>38</v>
      </c>
      <c r="M1663" s="711">
        <f t="shared" si="6536"/>
        <v>0</v>
      </c>
      <c r="N1663" s="897"/>
      <c r="O1663" s="528"/>
      <c r="P1663" s="548">
        <v>0</v>
      </c>
      <c r="Q1663" s="548">
        <v>0</v>
      </c>
      <c r="R1663" s="548">
        <v>0</v>
      </c>
      <c r="S1663" s="548">
        <v>0</v>
      </c>
      <c r="T1663" s="548">
        <v>0</v>
      </c>
      <c r="U1663" s="548">
        <v>0</v>
      </c>
      <c r="V1663" s="548">
        <v>0</v>
      </c>
      <c r="W1663" s="528"/>
      <c r="X1663" s="711">
        <f t="shared" si="6529"/>
        <v>0</v>
      </c>
      <c r="Y1663" s="897"/>
      <c r="Z1663" s="528"/>
      <c r="AA1663" s="899"/>
      <c r="AB1663" s="899"/>
      <c r="AC1663" s="904"/>
      <c r="AD1663" s="901"/>
      <c r="AE1663" s="2"/>
      <c r="AF1663" s="885"/>
      <c r="AG1663" s="885"/>
      <c r="AH1663" s="885"/>
      <c r="AI1663" s="885"/>
      <c r="AJ1663" s="885"/>
      <c r="AK1663" s="885"/>
      <c r="AL1663" s="885"/>
      <c r="AM1663" s="879"/>
      <c r="AN1663" s="2"/>
      <c r="AO1663" s="886"/>
      <c r="AP1663" s="886"/>
      <c r="AV1663" t="str">
        <f t="shared" si="6463"/>
        <v>Drenagem Superficial</v>
      </c>
      <c r="AW1663" s="4" t="str">
        <f t="shared" si="6461"/>
        <v xml:space="preserve">   Seg. 2.5-A03 - Drenagem Superficial - Execução de sarjeta (Extrusada)</v>
      </c>
    </row>
    <row r="1664" spans="1:49" ht="15.6" hidden="1" customHeight="1" outlineLevel="2">
      <c r="A1664" s="8" t="str">
        <f t="shared" ref="A1664" si="6679">IF(SUM(P1664:V1665)&gt;0,"S","N")</f>
        <v>N</v>
      </c>
      <c r="B1664" s="150">
        <v>1064615</v>
      </c>
      <c r="C1664" s="150" t="s">
        <v>1986</v>
      </c>
      <c r="D1664" s="120" t="s">
        <v>1987</v>
      </c>
      <c r="E1664" s="914" t="s">
        <v>1988</v>
      </c>
      <c r="F1664" s="902" t="s">
        <v>52</v>
      </c>
      <c r="G1664" s="528"/>
      <c r="H1664" s="546" t="s">
        <v>37</v>
      </c>
      <c r="I1664" s="711">
        <v>0</v>
      </c>
      <c r="J1664" s="896" t="str">
        <f t="shared" ref="J1664" si="6680">IFERROR((I1665/I1664),"-")</f>
        <v>-</v>
      </c>
      <c r="K1664" s="528"/>
      <c r="L1664" s="546" t="s">
        <v>37</v>
      </c>
      <c r="M1664" s="711">
        <f t="shared" si="6536"/>
        <v>0</v>
      </c>
      <c r="N1664" s="896" t="str">
        <f t="shared" ref="N1664" si="6681">IFERROR((M1665/M1664),"-")</f>
        <v>-</v>
      </c>
      <c r="O1664" s="528"/>
      <c r="P1664" s="547">
        <v>0</v>
      </c>
      <c r="Q1664" s="547">
        <v>0</v>
      </c>
      <c r="R1664" s="547">
        <v>0</v>
      </c>
      <c r="S1664" s="547">
        <v>0</v>
      </c>
      <c r="T1664" s="547">
        <v>0</v>
      </c>
      <c r="U1664" s="547">
        <v>0</v>
      </c>
      <c r="V1664" s="548">
        <v>0</v>
      </c>
      <c r="W1664" s="528"/>
      <c r="X1664" s="711">
        <f t="shared" si="6529"/>
        <v>0</v>
      </c>
      <c r="Y1664" s="896" t="str">
        <f t="shared" ref="Y1664" si="6682">IFERROR((X1665/X1664),"-")</f>
        <v>-</v>
      </c>
      <c r="Z1664" s="528"/>
      <c r="AA1664" s="898">
        <v>0</v>
      </c>
      <c r="AB1664" s="898">
        <v>0</v>
      </c>
      <c r="AC1664" s="903">
        <v>0</v>
      </c>
      <c r="AD1664" s="900" t="str">
        <f t="shared" ref="AD1664" si="6683">IFERROR((AC1664/AB1664),"-")</f>
        <v>-</v>
      </c>
      <c r="AE1664" s="2"/>
      <c r="AF1664" s="884">
        <v>0</v>
      </c>
      <c r="AG1664" s="884"/>
      <c r="AH1664" s="884">
        <v>0</v>
      </c>
      <c r="AI1664" s="884"/>
      <c r="AJ1664" s="884"/>
      <c r="AK1664" s="884">
        <f t="shared" ref="AK1664" si="6684">AF1664+AG1664+AH1664+AI1664+AJ1664+AC1664</f>
        <v>0</v>
      </c>
      <c r="AL1664" s="884">
        <v>0</v>
      </c>
      <c r="AM1664" s="878" t="str">
        <f t="shared" ref="AM1664" si="6685">IFERROR((AK1664/AL1664),"-")</f>
        <v>-</v>
      </c>
      <c r="AN1664" s="2"/>
      <c r="AO1664" s="884">
        <v>833</v>
      </c>
      <c r="AP1664" s="884">
        <f t="shared" ref="AP1664" si="6686">AO1664-AK1664</f>
        <v>833</v>
      </c>
      <c r="AV1664" t="str">
        <f t="shared" si="6463"/>
        <v>Drenagem Superficial</v>
      </c>
      <c r="AW1664" s="4" t="str">
        <f t="shared" si="6461"/>
        <v xml:space="preserve">   Seg. 2.5-A04 - Drenagem Superficial - Sarjeta de aterro (Extrusada)</v>
      </c>
    </row>
    <row r="1665" spans="1:49" ht="15.6" hidden="1" customHeight="1" outlineLevel="2">
      <c r="A1665" s="8" t="str">
        <f t="shared" ref="A1665" si="6687">A1664</f>
        <v>N</v>
      </c>
      <c r="B1665" s="150"/>
      <c r="C1665" s="150" t="s">
        <v>1986</v>
      </c>
      <c r="D1665" s="120" t="s">
        <v>1987</v>
      </c>
      <c r="E1665" s="915"/>
      <c r="F1665" s="902"/>
      <c r="G1665" s="528"/>
      <c r="H1665" s="549" t="s">
        <v>38</v>
      </c>
      <c r="I1665" s="711">
        <v>0</v>
      </c>
      <c r="J1665" s="897"/>
      <c r="K1665" s="528"/>
      <c r="L1665" s="549" t="s">
        <v>38</v>
      </c>
      <c r="M1665" s="711">
        <f t="shared" si="6536"/>
        <v>0</v>
      </c>
      <c r="N1665" s="897"/>
      <c r="O1665" s="528"/>
      <c r="P1665" s="548">
        <v>0</v>
      </c>
      <c r="Q1665" s="548">
        <v>0</v>
      </c>
      <c r="R1665" s="548">
        <v>0</v>
      </c>
      <c r="S1665" s="548">
        <v>0</v>
      </c>
      <c r="T1665" s="548">
        <v>0</v>
      </c>
      <c r="U1665" s="548">
        <v>0</v>
      </c>
      <c r="V1665" s="548">
        <v>0</v>
      </c>
      <c r="W1665" s="528"/>
      <c r="X1665" s="711">
        <f t="shared" si="6529"/>
        <v>0</v>
      </c>
      <c r="Y1665" s="897"/>
      <c r="Z1665" s="528"/>
      <c r="AA1665" s="899"/>
      <c r="AB1665" s="899"/>
      <c r="AC1665" s="904"/>
      <c r="AD1665" s="901"/>
      <c r="AE1665" s="2"/>
      <c r="AF1665" s="885"/>
      <c r="AG1665" s="885"/>
      <c r="AH1665" s="885"/>
      <c r="AI1665" s="885"/>
      <c r="AJ1665" s="885"/>
      <c r="AK1665" s="885"/>
      <c r="AL1665" s="885"/>
      <c r="AM1665" s="879"/>
      <c r="AN1665" s="2"/>
      <c r="AO1665" s="886"/>
      <c r="AP1665" s="886"/>
      <c r="AV1665" t="str">
        <f t="shared" si="6463"/>
        <v>Drenagem Superficial</v>
      </c>
      <c r="AW1665" s="4" t="str">
        <f t="shared" si="6461"/>
        <v xml:space="preserve">   Seg. 2.5-A04 - Drenagem Superficial - Sarjeta de aterro (Extrusada)</v>
      </c>
    </row>
    <row r="1666" spans="1:49" ht="15.6" hidden="1" customHeight="1" outlineLevel="2">
      <c r="A1666" s="8" t="str">
        <f t="shared" ref="A1666" si="6688">IF(SUM(P1666:V1667)&gt;0,"S","N")</f>
        <v>N</v>
      </c>
      <c r="B1666" s="150">
        <v>1064624</v>
      </c>
      <c r="C1666" s="150" t="s">
        <v>1989</v>
      </c>
      <c r="D1666" s="120" t="s">
        <v>1990</v>
      </c>
      <c r="E1666" s="914" t="s">
        <v>1991</v>
      </c>
      <c r="F1666" s="902" t="s">
        <v>52</v>
      </c>
      <c r="G1666" s="528"/>
      <c r="H1666" s="546" t="s">
        <v>37</v>
      </c>
      <c r="I1666" s="711">
        <v>0</v>
      </c>
      <c r="J1666" s="896" t="str">
        <f t="shared" ref="J1666" si="6689">IFERROR((I1667/I1666),"-")</f>
        <v>-</v>
      </c>
      <c r="K1666" s="528"/>
      <c r="L1666" s="546" t="s">
        <v>37</v>
      </c>
      <c r="M1666" s="711">
        <f t="shared" si="6536"/>
        <v>0</v>
      </c>
      <c r="N1666" s="896" t="str">
        <f t="shared" ref="N1666" si="6690">IFERROR((M1667/M1666),"-")</f>
        <v>-</v>
      </c>
      <c r="O1666" s="528"/>
      <c r="P1666" s="547">
        <v>0</v>
      </c>
      <c r="Q1666" s="547">
        <v>0</v>
      </c>
      <c r="R1666" s="547">
        <v>0</v>
      </c>
      <c r="S1666" s="547">
        <v>0</v>
      </c>
      <c r="T1666" s="547">
        <v>0</v>
      </c>
      <c r="U1666" s="547">
        <v>0</v>
      </c>
      <c r="V1666" s="548">
        <v>0</v>
      </c>
      <c r="W1666" s="528"/>
      <c r="X1666" s="711">
        <f t="shared" si="6529"/>
        <v>0</v>
      </c>
      <c r="Y1666" s="896" t="str">
        <f t="shared" ref="Y1666" si="6691">IFERROR((X1667/X1666),"-")</f>
        <v>-</v>
      </c>
      <c r="Z1666" s="528"/>
      <c r="AA1666" s="898">
        <v>0</v>
      </c>
      <c r="AB1666" s="898">
        <v>0</v>
      </c>
      <c r="AC1666" s="903">
        <v>0</v>
      </c>
      <c r="AD1666" s="900" t="str">
        <f t="shared" ref="AD1666" si="6692">IFERROR((AC1666/AB1666),"-")</f>
        <v>-</v>
      </c>
      <c r="AE1666" s="2"/>
      <c r="AF1666" s="884">
        <v>0</v>
      </c>
      <c r="AG1666" s="884"/>
      <c r="AH1666" s="884">
        <v>0</v>
      </c>
      <c r="AI1666" s="884"/>
      <c r="AJ1666" s="884"/>
      <c r="AK1666" s="884">
        <f t="shared" ref="AK1666" si="6693">AF1666+AG1666+AH1666+AI1666+AJ1666+AC1666</f>
        <v>0</v>
      </c>
      <c r="AL1666" s="884">
        <v>0</v>
      </c>
      <c r="AM1666" s="878" t="str">
        <f t="shared" ref="AM1666" si="6694">IFERROR((AK1666/AL1666),"-")</f>
        <v>-</v>
      </c>
      <c r="AN1666" s="2"/>
      <c r="AO1666" s="884">
        <v>1093</v>
      </c>
      <c r="AP1666" s="884">
        <f t="shared" ref="AP1666" si="6695">AO1666-AK1666</f>
        <v>1093</v>
      </c>
      <c r="AV1666" t="str">
        <f t="shared" si="6463"/>
        <v>Drenagem Superficial</v>
      </c>
      <c r="AW1666" s="4" t="str">
        <f t="shared" si="6461"/>
        <v xml:space="preserve">   Seg. 2.5-A06 - Drenagem Superficial - Sarjeta de aterro (Extrusada)</v>
      </c>
    </row>
    <row r="1667" spans="1:49" ht="15.6" hidden="1" customHeight="1" outlineLevel="2">
      <c r="A1667" s="8" t="str">
        <f t="shared" ref="A1667" si="6696">A1666</f>
        <v>N</v>
      </c>
      <c r="B1667" s="150"/>
      <c r="C1667" s="150" t="s">
        <v>1989</v>
      </c>
      <c r="D1667" s="120" t="s">
        <v>1990</v>
      </c>
      <c r="E1667" s="915"/>
      <c r="F1667" s="902"/>
      <c r="G1667" s="528"/>
      <c r="H1667" s="549" t="s">
        <v>38</v>
      </c>
      <c r="I1667" s="711">
        <v>0</v>
      </c>
      <c r="J1667" s="897"/>
      <c r="K1667" s="528"/>
      <c r="L1667" s="549" t="s">
        <v>38</v>
      </c>
      <c r="M1667" s="711">
        <f t="shared" si="6536"/>
        <v>0</v>
      </c>
      <c r="N1667" s="897"/>
      <c r="O1667" s="528"/>
      <c r="P1667" s="548">
        <v>0</v>
      </c>
      <c r="Q1667" s="548">
        <v>0</v>
      </c>
      <c r="R1667" s="548">
        <v>0</v>
      </c>
      <c r="S1667" s="548">
        <v>0</v>
      </c>
      <c r="T1667" s="548">
        <v>0</v>
      </c>
      <c r="U1667" s="548">
        <v>0</v>
      </c>
      <c r="V1667" s="548">
        <v>0</v>
      </c>
      <c r="W1667" s="528"/>
      <c r="X1667" s="711">
        <f t="shared" si="6529"/>
        <v>0</v>
      </c>
      <c r="Y1667" s="897"/>
      <c r="Z1667" s="528"/>
      <c r="AA1667" s="899"/>
      <c r="AB1667" s="899"/>
      <c r="AC1667" s="904"/>
      <c r="AD1667" s="901"/>
      <c r="AE1667" s="2"/>
      <c r="AF1667" s="885"/>
      <c r="AG1667" s="885"/>
      <c r="AH1667" s="885"/>
      <c r="AI1667" s="885"/>
      <c r="AJ1667" s="885"/>
      <c r="AK1667" s="885"/>
      <c r="AL1667" s="885"/>
      <c r="AM1667" s="879"/>
      <c r="AN1667" s="2"/>
      <c r="AO1667" s="886"/>
      <c r="AP1667" s="886"/>
      <c r="AV1667" t="str">
        <f t="shared" si="6463"/>
        <v>Drenagem Superficial</v>
      </c>
      <c r="AW1667" s="4" t="str">
        <f t="shared" si="6461"/>
        <v xml:space="preserve">   Seg. 2.5-A06 - Drenagem Superficial - Sarjeta de aterro (Extrusada)</v>
      </c>
    </row>
    <row r="1668" spans="1:49" ht="15.6" hidden="1" customHeight="1" outlineLevel="2">
      <c r="A1668" s="8" t="str">
        <f t="shared" ref="A1668" si="6697">IF(SUM(P1668:V1669)&gt;0,"S","N")</f>
        <v>N</v>
      </c>
      <c r="B1668" s="150">
        <v>1064630</v>
      </c>
      <c r="C1668" s="150" t="s">
        <v>1992</v>
      </c>
      <c r="D1668" s="120" t="s">
        <v>1993</v>
      </c>
      <c r="E1668" s="914" t="s">
        <v>1994</v>
      </c>
      <c r="F1668" s="902" t="s">
        <v>52</v>
      </c>
      <c r="G1668" s="528"/>
      <c r="H1668" s="546" t="s">
        <v>37</v>
      </c>
      <c r="I1668" s="711">
        <v>0</v>
      </c>
      <c r="J1668" s="896" t="str">
        <f t="shared" ref="J1668" si="6698">IFERROR((I1669/I1668),"-")</f>
        <v>-</v>
      </c>
      <c r="K1668" s="528"/>
      <c r="L1668" s="546" t="s">
        <v>37</v>
      </c>
      <c r="M1668" s="711">
        <f t="shared" si="6536"/>
        <v>0</v>
      </c>
      <c r="N1668" s="896" t="str">
        <f t="shared" ref="N1668" si="6699">IFERROR((M1669/M1668),"-")</f>
        <v>-</v>
      </c>
      <c r="O1668" s="528"/>
      <c r="P1668" s="547">
        <v>0</v>
      </c>
      <c r="Q1668" s="547">
        <v>0</v>
      </c>
      <c r="R1668" s="547">
        <v>0</v>
      </c>
      <c r="S1668" s="547">
        <v>0</v>
      </c>
      <c r="T1668" s="547">
        <v>0</v>
      </c>
      <c r="U1668" s="547">
        <v>0</v>
      </c>
      <c r="V1668" s="548">
        <v>0</v>
      </c>
      <c r="W1668" s="528"/>
      <c r="X1668" s="711">
        <f t="shared" si="6529"/>
        <v>0</v>
      </c>
      <c r="Y1668" s="896" t="str">
        <f t="shared" ref="Y1668" si="6700">IFERROR((X1669/X1668),"-")</f>
        <v>-</v>
      </c>
      <c r="Z1668" s="528"/>
      <c r="AA1668" s="898">
        <v>0</v>
      </c>
      <c r="AB1668" s="898">
        <v>0</v>
      </c>
      <c r="AC1668" s="903">
        <v>0</v>
      </c>
      <c r="AD1668" s="900" t="str">
        <f t="shared" ref="AD1668" si="6701">IFERROR((AC1668/AB1668),"-")</f>
        <v>-</v>
      </c>
      <c r="AE1668" s="2"/>
      <c r="AF1668" s="884">
        <v>0</v>
      </c>
      <c r="AG1668" s="884"/>
      <c r="AH1668" s="884">
        <v>0</v>
      </c>
      <c r="AI1668" s="884"/>
      <c r="AJ1668" s="884"/>
      <c r="AK1668" s="884">
        <f t="shared" ref="AK1668" si="6702">AF1668+AG1668+AH1668+AI1668+AJ1668+AC1668</f>
        <v>0</v>
      </c>
      <c r="AL1668" s="884">
        <v>0</v>
      </c>
      <c r="AM1668" s="878" t="str">
        <f t="shared" ref="AM1668" si="6703">IFERROR((AK1668/AL1668),"-")</f>
        <v>-</v>
      </c>
      <c r="AN1668" s="2"/>
      <c r="AO1668" s="884">
        <v>2381</v>
      </c>
      <c r="AP1668" s="884">
        <f t="shared" ref="AP1668" si="6704">AO1668-AK1668</f>
        <v>2381</v>
      </c>
      <c r="AV1668" t="str">
        <f t="shared" si="6463"/>
        <v>Drenagem Superficial</v>
      </c>
      <c r="AW1668" s="4" t="str">
        <f t="shared" si="6461"/>
        <v xml:space="preserve">   Seg. 2.5-A07 - Drenagem Superficial - Sarjeta de aterro (Extrusada)</v>
      </c>
    </row>
    <row r="1669" spans="1:49" ht="15.6" hidden="1" customHeight="1" outlineLevel="2">
      <c r="A1669" s="8" t="str">
        <f t="shared" ref="A1669" si="6705">A1668</f>
        <v>N</v>
      </c>
      <c r="B1669" s="150"/>
      <c r="C1669" s="150" t="s">
        <v>1992</v>
      </c>
      <c r="D1669" s="120" t="s">
        <v>1993</v>
      </c>
      <c r="E1669" s="915"/>
      <c r="F1669" s="902"/>
      <c r="G1669" s="528"/>
      <c r="H1669" s="549" t="s">
        <v>38</v>
      </c>
      <c r="I1669" s="711">
        <v>0</v>
      </c>
      <c r="J1669" s="897"/>
      <c r="K1669" s="528"/>
      <c r="L1669" s="549" t="s">
        <v>38</v>
      </c>
      <c r="M1669" s="711">
        <f t="shared" si="6536"/>
        <v>0</v>
      </c>
      <c r="N1669" s="897"/>
      <c r="O1669" s="528"/>
      <c r="P1669" s="548">
        <v>0</v>
      </c>
      <c r="Q1669" s="548">
        <v>0</v>
      </c>
      <c r="R1669" s="548">
        <v>0</v>
      </c>
      <c r="S1669" s="548">
        <v>0</v>
      </c>
      <c r="T1669" s="548">
        <v>0</v>
      </c>
      <c r="U1669" s="548">
        <v>0</v>
      </c>
      <c r="V1669" s="548">
        <v>0</v>
      </c>
      <c r="W1669" s="528"/>
      <c r="X1669" s="711">
        <f t="shared" si="6529"/>
        <v>0</v>
      </c>
      <c r="Y1669" s="897"/>
      <c r="Z1669" s="528"/>
      <c r="AA1669" s="899"/>
      <c r="AB1669" s="899"/>
      <c r="AC1669" s="904"/>
      <c r="AD1669" s="901"/>
      <c r="AE1669" s="2"/>
      <c r="AF1669" s="885"/>
      <c r="AG1669" s="885"/>
      <c r="AH1669" s="885"/>
      <c r="AI1669" s="885"/>
      <c r="AJ1669" s="885"/>
      <c r="AK1669" s="885"/>
      <c r="AL1669" s="885"/>
      <c r="AM1669" s="879"/>
      <c r="AN1669" s="2"/>
      <c r="AO1669" s="886"/>
      <c r="AP1669" s="886"/>
      <c r="AV1669" t="str">
        <f t="shared" si="6463"/>
        <v>Drenagem Superficial</v>
      </c>
      <c r="AW1669" s="4" t="str">
        <f t="shared" si="6461"/>
        <v xml:space="preserve">   Seg. 2.5-A07 - Drenagem Superficial - Sarjeta de aterro (Extrusada)</v>
      </c>
    </row>
    <row r="1670" spans="1:49" ht="15.6" hidden="1" customHeight="1" outlineLevel="2">
      <c r="A1670" s="8" t="str">
        <f t="shared" ref="A1670" si="6706">IF(SUM(P1670:V1671)&gt;0,"S","N")</f>
        <v>N</v>
      </c>
      <c r="B1670" s="150">
        <v>1064638</v>
      </c>
      <c r="C1670" s="150" t="s">
        <v>1995</v>
      </c>
      <c r="D1670" s="120" t="s">
        <v>1996</v>
      </c>
      <c r="E1670" s="914" t="s">
        <v>1997</v>
      </c>
      <c r="F1670" s="902" t="s">
        <v>52</v>
      </c>
      <c r="G1670" s="528"/>
      <c r="H1670" s="546" t="s">
        <v>37</v>
      </c>
      <c r="I1670" s="711">
        <v>0</v>
      </c>
      <c r="J1670" s="896" t="str">
        <f t="shared" ref="J1670" si="6707">IFERROR((I1671/I1670),"-")</f>
        <v>-</v>
      </c>
      <c r="K1670" s="528"/>
      <c r="L1670" s="546" t="s">
        <v>37</v>
      </c>
      <c r="M1670" s="711">
        <f t="shared" si="6536"/>
        <v>0</v>
      </c>
      <c r="N1670" s="896" t="str">
        <f t="shared" ref="N1670" si="6708">IFERROR((M1671/M1670),"-")</f>
        <v>-</v>
      </c>
      <c r="O1670" s="528"/>
      <c r="P1670" s="547">
        <v>0</v>
      </c>
      <c r="Q1670" s="547">
        <v>0</v>
      </c>
      <c r="R1670" s="547">
        <v>0</v>
      </c>
      <c r="S1670" s="547">
        <v>0</v>
      </c>
      <c r="T1670" s="547">
        <v>0</v>
      </c>
      <c r="U1670" s="547">
        <v>0</v>
      </c>
      <c r="V1670" s="548">
        <v>0</v>
      </c>
      <c r="W1670" s="528"/>
      <c r="X1670" s="711">
        <f t="shared" si="6529"/>
        <v>0</v>
      </c>
      <c r="Y1670" s="896" t="str">
        <f t="shared" ref="Y1670" si="6709">IFERROR((X1671/X1670),"-")</f>
        <v>-</v>
      </c>
      <c r="Z1670" s="528"/>
      <c r="AA1670" s="898">
        <v>0</v>
      </c>
      <c r="AB1670" s="898">
        <v>0</v>
      </c>
      <c r="AC1670" s="903">
        <v>0</v>
      </c>
      <c r="AD1670" s="900" t="str">
        <f t="shared" ref="AD1670" si="6710">IFERROR((AC1670/AB1670),"-")</f>
        <v>-</v>
      </c>
      <c r="AE1670" s="2"/>
      <c r="AF1670" s="884">
        <v>0</v>
      </c>
      <c r="AG1670" s="884"/>
      <c r="AH1670" s="884">
        <v>0</v>
      </c>
      <c r="AI1670" s="884"/>
      <c r="AJ1670" s="884"/>
      <c r="AK1670" s="884">
        <f t="shared" ref="AK1670" si="6711">AF1670+AG1670+AH1670+AI1670+AJ1670+AC1670</f>
        <v>0</v>
      </c>
      <c r="AL1670" s="884">
        <v>0</v>
      </c>
      <c r="AM1670" s="878" t="str">
        <f t="shared" ref="AM1670" si="6712">IFERROR((AK1670/AL1670),"-")</f>
        <v>-</v>
      </c>
      <c r="AN1670" s="2"/>
      <c r="AO1670" s="884">
        <v>1246</v>
      </c>
      <c r="AP1670" s="884">
        <f t="shared" ref="AP1670" si="6713">AO1670-AK1670</f>
        <v>1246</v>
      </c>
      <c r="AV1670" t="str">
        <f t="shared" si="6463"/>
        <v>Drenagem Superficial</v>
      </c>
      <c r="AW1670" s="4" t="str">
        <f t="shared" si="6461"/>
        <v xml:space="preserve">   Seg. 2.5-A09 - Drenagem Superficial - Sarjeta de aterro (Extrusada)</v>
      </c>
    </row>
    <row r="1671" spans="1:49" ht="15.6" hidden="1" customHeight="1" outlineLevel="2">
      <c r="A1671" s="8" t="str">
        <f t="shared" ref="A1671" si="6714">A1670</f>
        <v>N</v>
      </c>
      <c r="B1671" s="150"/>
      <c r="C1671" s="150" t="s">
        <v>1995</v>
      </c>
      <c r="D1671" s="120" t="s">
        <v>1996</v>
      </c>
      <c r="E1671" s="915"/>
      <c r="F1671" s="902"/>
      <c r="G1671" s="528"/>
      <c r="H1671" s="549" t="s">
        <v>38</v>
      </c>
      <c r="I1671" s="711">
        <v>0</v>
      </c>
      <c r="J1671" s="897"/>
      <c r="K1671" s="528"/>
      <c r="L1671" s="549" t="s">
        <v>38</v>
      </c>
      <c r="M1671" s="711">
        <f t="shared" si="6536"/>
        <v>0</v>
      </c>
      <c r="N1671" s="897"/>
      <c r="O1671" s="528"/>
      <c r="P1671" s="548">
        <v>0</v>
      </c>
      <c r="Q1671" s="548">
        <v>0</v>
      </c>
      <c r="R1671" s="548">
        <v>0</v>
      </c>
      <c r="S1671" s="548">
        <v>0</v>
      </c>
      <c r="T1671" s="548">
        <v>0</v>
      </c>
      <c r="U1671" s="548">
        <v>0</v>
      </c>
      <c r="V1671" s="548">
        <v>0</v>
      </c>
      <c r="W1671" s="528"/>
      <c r="X1671" s="711">
        <f t="shared" si="6529"/>
        <v>0</v>
      </c>
      <c r="Y1671" s="897"/>
      <c r="Z1671" s="528"/>
      <c r="AA1671" s="899"/>
      <c r="AB1671" s="899"/>
      <c r="AC1671" s="904"/>
      <c r="AD1671" s="901"/>
      <c r="AE1671" s="2"/>
      <c r="AF1671" s="885"/>
      <c r="AG1671" s="885"/>
      <c r="AH1671" s="885"/>
      <c r="AI1671" s="885"/>
      <c r="AJ1671" s="885"/>
      <c r="AK1671" s="885"/>
      <c r="AL1671" s="885"/>
      <c r="AM1671" s="879"/>
      <c r="AN1671" s="2"/>
      <c r="AO1671" s="886"/>
      <c r="AP1671" s="886"/>
      <c r="AV1671" t="str">
        <f t="shared" si="6463"/>
        <v>Drenagem Superficial</v>
      </c>
      <c r="AW1671" s="4" t="str">
        <f t="shared" si="6461"/>
        <v xml:space="preserve">   Seg. 2.5-A09 - Drenagem Superficial - Sarjeta de aterro (Extrusada)</v>
      </c>
    </row>
    <row r="1672" spans="1:49" ht="15.6" hidden="1" customHeight="1" outlineLevel="2">
      <c r="A1672" s="8" t="str">
        <f t="shared" ref="A1672" si="6715">IF(SUM(P1672:V1673)&gt;0,"S","N")</f>
        <v>N</v>
      </c>
      <c r="B1672" s="150">
        <v>1064645</v>
      </c>
      <c r="C1672" s="150" t="s">
        <v>1998</v>
      </c>
      <c r="D1672" s="120" t="s">
        <v>518</v>
      </c>
      <c r="E1672" s="914" t="s">
        <v>1999</v>
      </c>
      <c r="F1672" s="902" t="s">
        <v>52</v>
      </c>
      <c r="G1672" s="528"/>
      <c r="H1672" s="546" t="s">
        <v>37</v>
      </c>
      <c r="I1672" s="711">
        <v>0</v>
      </c>
      <c r="J1672" s="896" t="str">
        <f t="shared" ref="J1672" si="6716">IFERROR((I1673/I1672),"-")</f>
        <v>-</v>
      </c>
      <c r="K1672" s="528"/>
      <c r="L1672" s="546" t="s">
        <v>37</v>
      </c>
      <c r="M1672" s="711">
        <f t="shared" si="6536"/>
        <v>0</v>
      </c>
      <c r="N1672" s="896" t="str">
        <f t="shared" ref="N1672" si="6717">IFERROR((M1673/M1672),"-")</f>
        <v>-</v>
      </c>
      <c r="O1672" s="528"/>
      <c r="P1672" s="547">
        <v>0</v>
      </c>
      <c r="Q1672" s="547">
        <v>0</v>
      </c>
      <c r="R1672" s="547">
        <v>0</v>
      </c>
      <c r="S1672" s="547">
        <v>0</v>
      </c>
      <c r="T1672" s="547">
        <v>0</v>
      </c>
      <c r="U1672" s="547">
        <v>0</v>
      </c>
      <c r="V1672" s="548">
        <v>0</v>
      </c>
      <c r="W1672" s="528"/>
      <c r="X1672" s="711">
        <f t="shared" si="6529"/>
        <v>0</v>
      </c>
      <c r="Y1672" s="896" t="str">
        <f t="shared" ref="Y1672" si="6718">IFERROR((X1673/X1672),"-")</f>
        <v>-</v>
      </c>
      <c r="Z1672" s="528"/>
      <c r="AA1672" s="898">
        <v>0</v>
      </c>
      <c r="AB1672" s="898">
        <v>0</v>
      </c>
      <c r="AC1672" s="903">
        <v>0</v>
      </c>
      <c r="AD1672" s="900" t="str">
        <f t="shared" ref="AD1672" si="6719">IFERROR((AC1672/AB1672),"-")</f>
        <v>-</v>
      </c>
      <c r="AE1672" s="2"/>
      <c r="AF1672" s="884">
        <v>0</v>
      </c>
      <c r="AG1672" s="884"/>
      <c r="AH1672" s="884">
        <v>0</v>
      </c>
      <c r="AI1672" s="884"/>
      <c r="AJ1672" s="884"/>
      <c r="AK1672" s="884">
        <f t="shared" ref="AK1672" si="6720">AF1672+AG1672+AH1672+AI1672+AJ1672+AC1672</f>
        <v>0</v>
      </c>
      <c r="AL1672" s="884">
        <v>0</v>
      </c>
      <c r="AM1672" s="878" t="str">
        <f t="shared" ref="AM1672" si="6721">IFERROR((AK1672/AL1672),"-")</f>
        <v>-</v>
      </c>
      <c r="AN1672" s="2"/>
      <c r="AO1672" s="884">
        <v>1182.75</v>
      </c>
      <c r="AP1672" s="884">
        <f t="shared" ref="AP1672" si="6722">AO1672-AK1672</f>
        <v>1182.75</v>
      </c>
      <c r="AV1672" t="str">
        <f t="shared" si="6463"/>
        <v>Drenagem Superficial</v>
      </c>
      <c r="AW1672" s="4" t="str">
        <f t="shared" si="6461"/>
        <v xml:space="preserve">   Seg. 2.5-A11 - Drenagem Superficial - Sarjeta de aterro (Manual)</v>
      </c>
    </row>
    <row r="1673" spans="1:49" ht="15.6" hidden="1" customHeight="1" outlineLevel="2">
      <c r="A1673" s="8" t="str">
        <f t="shared" ref="A1673" si="6723">A1672</f>
        <v>N</v>
      </c>
      <c r="B1673" s="150"/>
      <c r="C1673" s="150" t="s">
        <v>1998</v>
      </c>
      <c r="D1673" s="120" t="s">
        <v>518</v>
      </c>
      <c r="E1673" s="915"/>
      <c r="F1673" s="902"/>
      <c r="G1673" s="528"/>
      <c r="H1673" s="549" t="s">
        <v>38</v>
      </c>
      <c r="I1673" s="711">
        <v>0</v>
      </c>
      <c r="J1673" s="897"/>
      <c r="K1673" s="528"/>
      <c r="L1673" s="549" t="s">
        <v>38</v>
      </c>
      <c r="M1673" s="711">
        <f t="shared" si="6536"/>
        <v>0</v>
      </c>
      <c r="N1673" s="897"/>
      <c r="O1673" s="528"/>
      <c r="P1673" s="548">
        <v>0</v>
      </c>
      <c r="Q1673" s="548">
        <v>0</v>
      </c>
      <c r="R1673" s="548">
        <v>0</v>
      </c>
      <c r="S1673" s="548">
        <v>0</v>
      </c>
      <c r="T1673" s="548">
        <v>0</v>
      </c>
      <c r="U1673" s="548">
        <v>0</v>
      </c>
      <c r="V1673" s="548">
        <v>0</v>
      </c>
      <c r="W1673" s="528"/>
      <c r="X1673" s="711">
        <f t="shared" si="6529"/>
        <v>0</v>
      </c>
      <c r="Y1673" s="897"/>
      <c r="Z1673" s="528"/>
      <c r="AA1673" s="899"/>
      <c r="AB1673" s="899"/>
      <c r="AC1673" s="904"/>
      <c r="AD1673" s="901"/>
      <c r="AE1673" s="2"/>
      <c r="AF1673" s="885"/>
      <c r="AG1673" s="885"/>
      <c r="AH1673" s="885"/>
      <c r="AI1673" s="885"/>
      <c r="AJ1673" s="885"/>
      <c r="AK1673" s="885"/>
      <c r="AL1673" s="885"/>
      <c r="AM1673" s="879"/>
      <c r="AN1673" s="2"/>
      <c r="AO1673" s="886"/>
      <c r="AP1673" s="886"/>
      <c r="AV1673" t="str">
        <f t="shared" si="6463"/>
        <v>Drenagem Superficial</v>
      </c>
      <c r="AW1673" s="4" t="str">
        <f t="shared" ref="AW1673:AW1736" si="6724">IF(E1673&lt;&gt;"",E1673,AW1672)</f>
        <v xml:space="preserve">   Seg. 2.5-A11 - Drenagem Superficial - Sarjeta de aterro (Manual)</v>
      </c>
    </row>
    <row r="1674" spans="1:49" ht="15.6" hidden="1" customHeight="1" outlineLevel="2">
      <c r="A1674" s="8" t="str">
        <f t="shared" ref="A1674" si="6725">IF(SUM(P1674:V1675)&gt;0,"S","N")</f>
        <v>N</v>
      </c>
      <c r="B1674" s="150">
        <v>1064652</v>
      </c>
      <c r="C1674" s="150" t="s">
        <v>2000</v>
      </c>
      <c r="D1674" s="120" t="s">
        <v>2001</v>
      </c>
      <c r="E1674" s="914" t="s">
        <v>2002</v>
      </c>
      <c r="F1674" s="902" t="s">
        <v>52</v>
      </c>
      <c r="G1674" s="528"/>
      <c r="H1674" s="546" t="s">
        <v>37</v>
      </c>
      <c r="I1674" s="711">
        <v>0</v>
      </c>
      <c r="J1674" s="896" t="str">
        <f t="shared" ref="J1674" si="6726">IFERROR((I1675/I1674),"-")</f>
        <v>-</v>
      </c>
      <c r="K1674" s="528"/>
      <c r="L1674" s="546" t="s">
        <v>37</v>
      </c>
      <c r="M1674" s="711">
        <f t="shared" si="6536"/>
        <v>0</v>
      </c>
      <c r="N1674" s="896" t="str">
        <f t="shared" ref="N1674" si="6727">IFERROR((M1675/M1674),"-")</f>
        <v>-</v>
      </c>
      <c r="O1674" s="528"/>
      <c r="P1674" s="547">
        <v>0</v>
      </c>
      <c r="Q1674" s="547">
        <v>0</v>
      </c>
      <c r="R1674" s="547">
        <v>0</v>
      </c>
      <c r="S1674" s="547">
        <v>0</v>
      </c>
      <c r="T1674" s="547">
        <v>0</v>
      </c>
      <c r="U1674" s="547">
        <v>0</v>
      </c>
      <c r="V1674" s="548">
        <v>0</v>
      </c>
      <c r="W1674" s="528"/>
      <c r="X1674" s="711">
        <f t="shared" si="6529"/>
        <v>0</v>
      </c>
      <c r="Y1674" s="896" t="str">
        <f t="shared" ref="Y1674" si="6728">IFERROR((X1675/X1674),"-")</f>
        <v>-</v>
      </c>
      <c r="Z1674" s="528"/>
      <c r="AA1674" s="898">
        <v>0</v>
      </c>
      <c r="AB1674" s="898">
        <v>0</v>
      </c>
      <c r="AC1674" s="903">
        <v>0</v>
      </c>
      <c r="AD1674" s="900" t="str">
        <f t="shared" ref="AD1674" si="6729">IFERROR((AC1674/AB1674),"-")</f>
        <v>-</v>
      </c>
      <c r="AE1674" s="2"/>
      <c r="AF1674" s="884">
        <v>0</v>
      </c>
      <c r="AG1674" s="884"/>
      <c r="AH1674" s="884">
        <v>0</v>
      </c>
      <c r="AI1674" s="884"/>
      <c r="AJ1674" s="884"/>
      <c r="AK1674" s="884">
        <f t="shared" ref="AK1674" si="6730">AF1674+AG1674+AH1674+AI1674+AJ1674+AC1674</f>
        <v>0</v>
      </c>
      <c r="AL1674" s="884">
        <v>0</v>
      </c>
      <c r="AM1674" s="878" t="str">
        <f t="shared" ref="AM1674" si="6731">IFERROR((AK1674/AL1674),"-")</f>
        <v>-</v>
      </c>
      <c r="AN1674" s="2"/>
      <c r="AO1674" s="884">
        <v>3281.2</v>
      </c>
      <c r="AP1674" s="884">
        <f t="shared" ref="AP1674" si="6732">AO1674-AK1674</f>
        <v>3281.2</v>
      </c>
      <c r="AV1674" t="str">
        <f t="shared" ref="AV1674:AV1737" si="6733">IF(AX1674="Y",LEFT(E1674,20),IF(AX1674="x",E1674,AV1673))</f>
        <v>Drenagem Superficial</v>
      </c>
      <c r="AW1674" s="4" t="str">
        <f t="shared" si="6724"/>
        <v xml:space="preserve">   Seg. 2.5-A13 - Drenagem Superficial - Sarjeta de aterro (Extrusada)</v>
      </c>
    </row>
    <row r="1675" spans="1:49" ht="15.6" hidden="1" customHeight="1" outlineLevel="2">
      <c r="A1675" s="8" t="str">
        <f t="shared" ref="A1675" si="6734">A1674</f>
        <v>N</v>
      </c>
      <c r="B1675" s="150"/>
      <c r="C1675" s="150" t="s">
        <v>2000</v>
      </c>
      <c r="D1675" s="120" t="s">
        <v>2001</v>
      </c>
      <c r="E1675" s="915"/>
      <c r="F1675" s="902"/>
      <c r="G1675" s="528"/>
      <c r="H1675" s="549" t="s">
        <v>38</v>
      </c>
      <c r="I1675" s="711">
        <v>0</v>
      </c>
      <c r="J1675" s="897"/>
      <c r="K1675" s="528"/>
      <c r="L1675" s="549" t="s">
        <v>38</v>
      </c>
      <c r="M1675" s="711">
        <f t="shared" si="6536"/>
        <v>0</v>
      </c>
      <c r="N1675" s="897"/>
      <c r="O1675" s="528"/>
      <c r="P1675" s="548">
        <v>0</v>
      </c>
      <c r="Q1675" s="548">
        <v>0</v>
      </c>
      <c r="R1675" s="548">
        <v>0</v>
      </c>
      <c r="S1675" s="548">
        <v>0</v>
      </c>
      <c r="T1675" s="548">
        <v>0</v>
      </c>
      <c r="U1675" s="548">
        <v>0</v>
      </c>
      <c r="V1675" s="548">
        <v>0</v>
      </c>
      <c r="W1675" s="528"/>
      <c r="X1675" s="711">
        <f t="shared" si="6529"/>
        <v>0</v>
      </c>
      <c r="Y1675" s="897"/>
      <c r="Z1675" s="528"/>
      <c r="AA1675" s="899"/>
      <c r="AB1675" s="899"/>
      <c r="AC1675" s="904"/>
      <c r="AD1675" s="901"/>
      <c r="AE1675" s="2"/>
      <c r="AF1675" s="885"/>
      <c r="AG1675" s="885"/>
      <c r="AH1675" s="885"/>
      <c r="AI1675" s="885"/>
      <c r="AJ1675" s="885"/>
      <c r="AK1675" s="885"/>
      <c r="AL1675" s="885"/>
      <c r="AM1675" s="879"/>
      <c r="AN1675" s="2"/>
      <c r="AO1675" s="886"/>
      <c r="AP1675" s="886"/>
      <c r="AV1675" t="str">
        <f t="shared" si="6733"/>
        <v>Drenagem Superficial</v>
      </c>
      <c r="AW1675" s="4" t="str">
        <f t="shared" si="6724"/>
        <v xml:space="preserve">   Seg. 2.5-A13 - Drenagem Superficial - Sarjeta de aterro (Extrusada)</v>
      </c>
    </row>
    <row r="1676" spans="1:49" ht="15.6" hidden="1" customHeight="1" outlineLevel="2">
      <c r="A1676" s="8" t="str">
        <f t="shared" ref="A1676" si="6735">IF(SUM(P1676:V1677)&gt;0,"S","N")</f>
        <v>N</v>
      </c>
      <c r="B1676" s="150">
        <v>1066262</v>
      </c>
      <c r="C1676" s="150" t="s">
        <v>2003</v>
      </c>
      <c r="D1676" s="120" t="s">
        <v>2004</v>
      </c>
      <c r="E1676" s="914" t="s">
        <v>2005</v>
      </c>
      <c r="F1676" s="902" t="s">
        <v>52</v>
      </c>
      <c r="G1676" s="528"/>
      <c r="H1676" s="546" t="s">
        <v>37</v>
      </c>
      <c r="I1676" s="711">
        <v>0</v>
      </c>
      <c r="J1676" s="896" t="str">
        <f t="shared" ref="J1676" si="6736">IFERROR((I1677/I1676),"-")</f>
        <v>-</v>
      </c>
      <c r="K1676" s="528"/>
      <c r="L1676" s="546" t="s">
        <v>37</v>
      </c>
      <c r="M1676" s="711">
        <f t="shared" si="6536"/>
        <v>0</v>
      </c>
      <c r="N1676" s="896" t="str">
        <f t="shared" ref="N1676" si="6737">IFERROR((M1677/M1676),"-")</f>
        <v>-</v>
      </c>
      <c r="O1676" s="528"/>
      <c r="P1676" s="547">
        <v>0</v>
      </c>
      <c r="Q1676" s="547">
        <v>0</v>
      </c>
      <c r="R1676" s="547">
        <v>0</v>
      </c>
      <c r="S1676" s="547">
        <v>0</v>
      </c>
      <c r="T1676" s="547">
        <v>0</v>
      </c>
      <c r="U1676" s="547">
        <v>0</v>
      </c>
      <c r="V1676" s="548">
        <v>0</v>
      </c>
      <c r="W1676" s="528"/>
      <c r="X1676" s="711">
        <f t="shared" si="6529"/>
        <v>0</v>
      </c>
      <c r="Y1676" s="896" t="str">
        <f t="shared" ref="Y1676" si="6738">IFERROR((X1677/X1676),"-")</f>
        <v>-</v>
      </c>
      <c r="Z1676" s="528"/>
      <c r="AA1676" s="898">
        <v>0</v>
      </c>
      <c r="AB1676" s="898">
        <v>0</v>
      </c>
      <c r="AC1676" s="903">
        <v>0</v>
      </c>
      <c r="AD1676" s="900" t="str">
        <f t="shared" ref="AD1676" si="6739">IFERROR((AC1676/AB1676),"-")</f>
        <v>-</v>
      </c>
      <c r="AE1676" s="2"/>
      <c r="AF1676" s="884">
        <v>0</v>
      </c>
      <c r="AG1676" s="884"/>
      <c r="AH1676" s="884">
        <v>0</v>
      </c>
      <c r="AI1676" s="884"/>
      <c r="AJ1676" s="884"/>
      <c r="AK1676" s="884">
        <f t="shared" ref="AK1676" si="6740">AF1676+AG1676+AH1676+AI1676+AJ1676+AC1676</f>
        <v>0</v>
      </c>
      <c r="AL1676" s="884">
        <v>0</v>
      </c>
      <c r="AM1676" s="878" t="str">
        <f t="shared" ref="AM1676" si="6741">IFERROR((AK1676/AL1676),"-")</f>
        <v>-</v>
      </c>
      <c r="AN1676" s="2"/>
      <c r="AO1676" s="884">
        <v>565</v>
      </c>
      <c r="AP1676" s="884">
        <f t="shared" ref="AP1676" si="6742">AO1676-AK1676</f>
        <v>565</v>
      </c>
      <c r="AV1676" t="str">
        <f t="shared" si="6733"/>
        <v>Drenagem Superficial</v>
      </c>
      <c r="AW1676" s="4" t="str">
        <f t="shared" si="6724"/>
        <v xml:space="preserve">   Seg. 2.5-A10 - Drenagem Superficial - Sarjeta de aterro (Extrusada)</v>
      </c>
    </row>
    <row r="1677" spans="1:49" ht="15.6" hidden="1" customHeight="1" outlineLevel="2">
      <c r="A1677" s="8" t="str">
        <f t="shared" ref="A1677" si="6743">A1676</f>
        <v>N</v>
      </c>
      <c r="B1677" s="150"/>
      <c r="C1677" s="150" t="s">
        <v>2003</v>
      </c>
      <c r="D1677" s="120" t="s">
        <v>2004</v>
      </c>
      <c r="E1677" s="915"/>
      <c r="F1677" s="902"/>
      <c r="G1677" s="528"/>
      <c r="H1677" s="549" t="s">
        <v>38</v>
      </c>
      <c r="I1677" s="711">
        <v>0</v>
      </c>
      <c r="J1677" s="897"/>
      <c r="K1677" s="528"/>
      <c r="L1677" s="549" t="s">
        <v>38</v>
      </c>
      <c r="M1677" s="711">
        <f t="shared" si="6536"/>
        <v>0</v>
      </c>
      <c r="N1677" s="897"/>
      <c r="O1677" s="528"/>
      <c r="P1677" s="548">
        <v>0</v>
      </c>
      <c r="Q1677" s="548">
        <v>0</v>
      </c>
      <c r="R1677" s="548">
        <v>0</v>
      </c>
      <c r="S1677" s="548">
        <v>0</v>
      </c>
      <c r="T1677" s="548">
        <v>0</v>
      </c>
      <c r="U1677" s="548">
        <v>0</v>
      </c>
      <c r="V1677" s="548">
        <v>0</v>
      </c>
      <c r="W1677" s="528"/>
      <c r="X1677" s="711">
        <f t="shared" si="6529"/>
        <v>0</v>
      </c>
      <c r="Y1677" s="897"/>
      <c r="Z1677" s="528"/>
      <c r="AA1677" s="899"/>
      <c r="AB1677" s="899"/>
      <c r="AC1677" s="904"/>
      <c r="AD1677" s="901"/>
      <c r="AE1677" s="2"/>
      <c r="AF1677" s="885"/>
      <c r="AG1677" s="885"/>
      <c r="AH1677" s="885"/>
      <c r="AI1677" s="885"/>
      <c r="AJ1677" s="885"/>
      <c r="AK1677" s="885"/>
      <c r="AL1677" s="885"/>
      <c r="AM1677" s="879"/>
      <c r="AN1677" s="2"/>
      <c r="AO1677" s="886"/>
      <c r="AP1677" s="886"/>
      <c r="AV1677" t="str">
        <f t="shared" si="6733"/>
        <v>Drenagem Superficial</v>
      </c>
      <c r="AW1677" s="4" t="str">
        <f t="shared" si="6724"/>
        <v xml:space="preserve">   Seg. 2.5-A10 - Drenagem Superficial - Sarjeta de aterro (Extrusada)</v>
      </c>
    </row>
    <row r="1678" spans="1:49" ht="15.6" hidden="1" customHeight="1" outlineLevel="2">
      <c r="A1678" s="8" t="str">
        <f t="shared" ref="A1678" si="6744">IF(SUM(P1678:V1679)&gt;0,"S","N")</f>
        <v>N</v>
      </c>
      <c r="B1678" s="150">
        <v>1067915</v>
      </c>
      <c r="C1678" s="150" t="s">
        <v>2006</v>
      </c>
      <c r="D1678" s="120" t="s">
        <v>502</v>
      </c>
      <c r="E1678" s="914" t="s">
        <v>2007</v>
      </c>
      <c r="F1678" s="902" t="s">
        <v>52</v>
      </c>
      <c r="G1678" s="528"/>
      <c r="H1678" s="546" t="s">
        <v>37</v>
      </c>
      <c r="I1678" s="711">
        <v>0</v>
      </c>
      <c r="J1678" s="896" t="str">
        <f t="shared" ref="J1678" si="6745">IFERROR((I1679/I1678),"-")</f>
        <v>-</v>
      </c>
      <c r="K1678" s="528"/>
      <c r="L1678" s="546" t="s">
        <v>37</v>
      </c>
      <c r="M1678" s="711">
        <f t="shared" si="6536"/>
        <v>0</v>
      </c>
      <c r="N1678" s="896" t="str">
        <f t="shared" ref="N1678" si="6746">IFERROR((M1679/M1678),"-")</f>
        <v>-</v>
      </c>
      <c r="O1678" s="528"/>
      <c r="P1678" s="547">
        <v>0</v>
      </c>
      <c r="Q1678" s="547">
        <v>0</v>
      </c>
      <c r="R1678" s="547">
        <v>0</v>
      </c>
      <c r="S1678" s="547">
        <v>0</v>
      </c>
      <c r="T1678" s="547">
        <v>0</v>
      </c>
      <c r="U1678" s="547">
        <v>0</v>
      </c>
      <c r="V1678" s="548">
        <v>0</v>
      </c>
      <c r="W1678" s="528"/>
      <c r="X1678" s="711">
        <f t="shared" si="6529"/>
        <v>0</v>
      </c>
      <c r="Y1678" s="896" t="str">
        <f t="shared" ref="Y1678" si="6747">IFERROR((X1679/X1678),"-")</f>
        <v>-</v>
      </c>
      <c r="Z1678" s="528"/>
      <c r="AA1678" s="898">
        <v>0</v>
      </c>
      <c r="AB1678" s="898">
        <v>0</v>
      </c>
      <c r="AC1678" s="903">
        <v>0</v>
      </c>
      <c r="AD1678" s="900" t="str">
        <f t="shared" ref="AD1678" si="6748">IFERROR((AC1678/AB1678),"-")</f>
        <v>-</v>
      </c>
      <c r="AE1678" s="2"/>
      <c r="AF1678" s="884">
        <v>0</v>
      </c>
      <c r="AG1678" s="884"/>
      <c r="AH1678" s="884">
        <v>0</v>
      </c>
      <c r="AI1678" s="884"/>
      <c r="AJ1678" s="884"/>
      <c r="AK1678" s="884">
        <f t="shared" ref="AK1678" si="6749">AF1678+AG1678+AH1678+AI1678+AJ1678+AC1678</f>
        <v>0</v>
      </c>
      <c r="AL1678" s="884">
        <v>0</v>
      </c>
      <c r="AM1678" s="878" t="str">
        <f t="shared" ref="AM1678" si="6750">IFERROR((AK1678/AL1678),"-")</f>
        <v>-</v>
      </c>
      <c r="AN1678" s="2"/>
      <c r="AO1678" s="884">
        <v>1240</v>
      </c>
      <c r="AP1678" s="884">
        <f t="shared" ref="AP1678" si="6751">AO1678-AK1678</f>
        <v>1240</v>
      </c>
      <c r="AV1678" t="str">
        <f t="shared" si="6733"/>
        <v>Drenagem Superficial</v>
      </c>
      <c r="AW1678" s="4" t="str">
        <f t="shared" si="6724"/>
        <v xml:space="preserve">   Seg. 2.5-C09 - Drenagem Superficial - Sarjeta de Corte (Manual)</v>
      </c>
    </row>
    <row r="1679" spans="1:49" ht="15.6" hidden="1" customHeight="1" outlineLevel="2">
      <c r="A1679" s="8" t="str">
        <f t="shared" ref="A1679" si="6752">A1678</f>
        <v>N</v>
      </c>
      <c r="B1679" s="150"/>
      <c r="C1679" s="150" t="s">
        <v>2006</v>
      </c>
      <c r="D1679" s="120" t="s">
        <v>502</v>
      </c>
      <c r="E1679" s="915"/>
      <c r="F1679" s="902"/>
      <c r="G1679" s="528"/>
      <c r="H1679" s="549" t="s">
        <v>38</v>
      </c>
      <c r="I1679" s="711">
        <v>0</v>
      </c>
      <c r="J1679" s="897"/>
      <c r="K1679" s="528"/>
      <c r="L1679" s="549" t="s">
        <v>38</v>
      </c>
      <c r="M1679" s="711">
        <f t="shared" si="6536"/>
        <v>0</v>
      </c>
      <c r="N1679" s="897"/>
      <c r="O1679" s="528"/>
      <c r="P1679" s="548">
        <v>0</v>
      </c>
      <c r="Q1679" s="548">
        <v>0</v>
      </c>
      <c r="R1679" s="548">
        <v>0</v>
      </c>
      <c r="S1679" s="548">
        <v>0</v>
      </c>
      <c r="T1679" s="548">
        <v>0</v>
      </c>
      <c r="U1679" s="548">
        <v>0</v>
      </c>
      <c r="V1679" s="548">
        <v>0</v>
      </c>
      <c r="W1679" s="528"/>
      <c r="X1679" s="711">
        <f t="shared" si="6529"/>
        <v>0</v>
      </c>
      <c r="Y1679" s="897"/>
      <c r="Z1679" s="528"/>
      <c r="AA1679" s="899"/>
      <c r="AB1679" s="899"/>
      <c r="AC1679" s="904"/>
      <c r="AD1679" s="901"/>
      <c r="AE1679" s="2"/>
      <c r="AF1679" s="885"/>
      <c r="AG1679" s="885"/>
      <c r="AH1679" s="885"/>
      <c r="AI1679" s="885"/>
      <c r="AJ1679" s="885"/>
      <c r="AK1679" s="885"/>
      <c r="AL1679" s="885"/>
      <c r="AM1679" s="879"/>
      <c r="AN1679" s="2"/>
      <c r="AO1679" s="886"/>
      <c r="AP1679" s="886"/>
      <c r="AV1679" t="str">
        <f t="shared" si="6733"/>
        <v>Drenagem Superficial</v>
      </c>
      <c r="AW1679" s="4" t="str">
        <f t="shared" si="6724"/>
        <v xml:space="preserve">   Seg. 2.5-C09 - Drenagem Superficial - Sarjeta de Corte (Manual)</v>
      </c>
    </row>
    <row r="1680" spans="1:49" ht="15.6" hidden="1" customHeight="1" outlineLevel="2">
      <c r="A1680" s="8" t="str">
        <f t="shared" ref="A1680" si="6753">IF(SUM(P1680:V1681)&gt;0,"S","N")</f>
        <v>N</v>
      </c>
      <c r="B1680" s="150">
        <v>1069332</v>
      </c>
      <c r="C1680" s="150" t="s">
        <v>2008</v>
      </c>
      <c r="D1680" s="120" t="s">
        <v>481</v>
      </c>
      <c r="E1680" s="914" t="s">
        <v>2009</v>
      </c>
      <c r="F1680" s="902" t="s">
        <v>52</v>
      </c>
      <c r="G1680" s="528"/>
      <c r="H1680" s="546" t="s">
        <v>37</v>
      </c>
      <c r="I1680" s="711">
        <v>0</v>
      </c>
      <c r="J1680" s="896" t="str">
        <f t="shared" ref="J1680" si="6754">IFERROR((I1681/I1680),"-")</f>
        <v>-</v>
      </c>
      <c r="K1680" s="528"/>
      <c r="L1680" s="546" t="s">
        <v>37</v>
      </c>
      <c r="M1680" s="711">
        <f t="shared" si="6536"/>
        <v>0</v>
      </c>
      <c r="N1680" s="896" t="str">
        <f t="shared" ref="N1680" si="6755">IFERROR((M1681/M1680),"-")</f>
        <v>-</v>
      </c>
      <c r="O1680" s="528"/>
      <c r="P1680" s="547">
        <v>0</v>
      </c>
      <c r="Q1680" s="547">
        <v>0</v>
      </c>
      <c r="R1680" s="547">
        <v>0</v>
      </c>
      <c r="S1680" s="547">
        <v>0</v>
      </c>
      <c r="T1680" s="547">
        <v>0</v>
      </c>
      <c r="U1680" s="547">
        <v>0</v>
      </c>
      <c r="V1680" s="548">
        <v>0</v>
      </c>
      <c r="W1680" s="528"/>
      <c r="X1680" s="711">
        <f t="shared" si="6529"/>
        <v>0</v>
      </c>
      <c r="Y1680" s="896" t="str">
        <f t="shared" ref="Y1680" si="6756">IFERROR((X1681/X1680),"-")</f>
        <v>-</v>
      </c>
      <c r="Z1680" s="528"/>
      <c r="AA1680" s="898">
        <v>0</v>
      </c>
      <c r="AB1680" s="898">
        <v>0</v>
      </c>
      <c r="AC1680" s="903">
        <v>0</v>
      </c>
      <c r="AD1680" s="900" t="str">
        <f t="shared" ref="AD1680" si="6757">IFERROR((AC1680/AB1680),"-")</f>
        <v>-</v>
      </c>
      <c r="AE1680" s="2"/>
      <c r="AF1680" s="884">
        <v>0</v>
      </c>
      <c r="AG1680" s="884"/>
      <c r="AH1680" s="884">
        <v>0</v>
      </c>
      <c r="AI1680" s="884"/>
      <c r="AJ1680" s="884"/>
      <c r="AK1680" s="884">
        <f t="shared" ref="AK1680" si="6758">AF1680+AG1680+AH1680+AI1680+AJ1680+AC1680</f>
        <v>0</v>
      </c>
      <c r="AL1680" s="884">
        <v>0</v>
      </c>
      <c r="AM1680" s="878" t="str">
        <f t="shared" ref="AM1680" si="6759">IFERROR((AK1680/AL1680),"-")</f>
        <v>-</v>
      </c>
      <c r="AN1680" s="2"/>
      <c r="AO1680" s="884">
        <v>132.25</v>
      </c>
      <c r="AP1680" s="884">
        <f t="shared" ref="AP1680" si="6760">AO1680-AK1680</f>
        <v>132.25</v>
      </c>
      <c r="AV1680" t="str">
        <f t="shared" si="6733"/>
        <v>Drenagem Superficial</v>
      </c>
      <c r="AW1680" s="4" t="str">
        <f t="shared" si="6724"/>
        <v xml:space="preserve">   Seg. 2.5-C08- Drenagem Superficial - Sarjeta de corte (Manual)</v>
      </c>
    </row>
    <row r="1681" spans="1:49" ht="15.6" hidden="1" customHeight="1" outlineLevel="2">
      <c r="A1681" s="8" t="str">
        <f t="shared" ref="A1681" si="6761">A1680</f>
        <v>N</v>
      </c>
      <c r="B1681" s="150"/>
      <c r="C1681" s="150" t="s">
        <v>2008</v>
      </c>
      <c r="D1681" s="120" t="s">
        <v>481</v>
      </c>
      <c r="E1681" s="915"/>
      <c r="F1681" s="902"/>
      <c r="G1681" s="528"/>
      <c r="H1681" s="549" t="s">
        <v>38</v>
      </c>
      <c r="I1681" s="711">
        <v>0</v>
      </c>
      <c r="J1681" s="897"/>
      <c r="K1681" s="528"/>
      <c r="L1681" s="549" t="s">
        <v>38</v>
      </c>
      <c r="M1681" s="711">
        <f t="shared" si="6536"/>
        <v>0</v>
      </c>
      <c r="N1681" s="897"/>
      <c r="O1681" s="528"/>
      <c r="P1681" s="548">
        <v>0</v>
      </c>
      <c r="Q1681" s="548">
        <v>0</v>
      </c>
      <c r="R1681" s="548">
        <v>0</v>
      </c>
      <c r="S1681" s="548">
        <v>0</v>
      </c>
      <c r="T1681" s="548">
        <v>0</v>
      </c>
      <c r="U1681" s="548">
        <v>0</v>
      </c>
      <c r="V1681" s="548">
        <v>0</v>
      </c>
      <c r="W1681" s="528"/>
      <c r="X1681" s="711">
        <f t="shared" si="6529"/>
        <v>0</v>
      </c>
      <c r="Y1681" s="897"/>
      <c r="Z1681" s="528"/>
      <c r="AA1681" s="899"/>
      <c r="AB1681" s="899"/>
      <c r="AC1681" s="904"/>
      <c r="AD1681" s="901"/>
      <c r="AE1681" s="2"/>
      <c r="AF1681" s="885"/>
      <c r="AG1681" s="885"/>
      <c r="AH1681" s="885"/>
      <c r="AI1681" s="885"/>
      <c r="AJ1681" s="885"/>
      <c r="AK1681" s="885"/>
      <c r="AL1681" s="885"/>
      <c r="AM1681" s="879"/>
      <c r="AN1681" s="2"/>
      <c r="AO1681" s="886"/>
      <c r="AP1681" s="886"/>
      <c r="AV1681" t="str">
        <f t="shared" si="6733"/>
        <v>Drenagem Superficial</v>
      </c>
      <c r="AW1681" s="4" t="str">
        <f t="shared" si="6724"/>
        <v xml:space="preserve">   Seg. 2.5-C08- Drenagem Superficial - Sarjeta de corte (Manual)</v>
      </c>
    </row>
    <row r="1682" spans="1:49" ht="11.1" hidden="1" customHeight="1" outlineLevel="2">
      <c r="A1682" s="8" t="str">
        <f t="shared" ref="A1682" si="6762">IF(SUM(P1682:V1683)&gt;0,"S","N")</f>
        <v>N</v>
      </c>
      <c r="B1682" s="150">
        <v>1069674</v>
      </c>
      <c r="C1682" s="150" t="s">
        <v>2010</v>
      </c>
      <c r="D1682" s="120" t="s">
        <v>2011</v>
      </c>
      <c r="E1682" s="914" t="s">
        <v>2012</v>
      </c>
      <c r="F1682" s="902" t="s">
        <v>52</v>
      </c>
      <c r="G1682" s="528"/>
      <c r="H1682" s="546" t="s">
        <v>37</v>
      </c>
      <c r="I1682" s="711">
        <v>0</v>
      </c>
      <c r="J1682" s="896" t="str">
        <f t="shared" ref="J1682" si="6763">IFERROR((I1683/I1682),"-")</f>
        <v>-</v>
      </c>
      <c r="K1682" s="528"/>
      <c r="L1682" s="546" t="s">
        <v>37</v>
      </c>
      <c r="M1682" s="711">
        <f t="shared" si="6536"/>
        <v>0</v>
      </c>
      <c r="N1682" s="896" t="str">
        <f t="shared" ref="N1682" si="6764">IFERROR((M1683/M1682),"-")</f>
        <v>-</v>
      </c>
      <c r="O1682" s="528"/>
      <c r="P1682" s="547">
        <v>0</v>
      </c>
      <c r="Q1682" s="547">
        <v>0</v>
      </c>
      <c r="R1682" s="547">
        <v>0</v>
      </c>
      <c r="S1682" s="547">
        <v>0</v>
      </c>
      <c r="T1682" s="547">
        <v>0</v>
      </c>
      <c r="U1682" s="547">
        <v>0</v>
      </c>
      <c r="V1682" s="548">
        <v>0</v>
      </c>
      <c r="W1682" s="528"/>
      <c r="X1682" s="711">
        <f t="shared" si="6529"/>
        <v>0</v>
      </c>
      <c r="Y1682" s="896" t="str">
        <f t="shared" ref="Y1682" si="6765">IFERROR((X1683/X1682),"-")</f>
        <v>-</v>
      </c>
      <c r="Z1682" s="528"/>
      <c r="AA1682" s="898">
        <v>0</v>
      </c>
      <c r="AB1682" s="898">
        <v>0</v>
      </c>
      <c r="AC1682" s="903">
        <v>0</v>
      </c>
      <c r="AD1682" s="900" t="str">
        <f t="shared" ref="AD1682" si="6766">IFERROR((AC1682/AB1682),"-")</f>
        <v>-</v>
      </c>
      <c r="AE1682" s="2"/>
      <c r="AF1682" s="884">
        <v>0</v>
      </c>
      <c r="AG1682" s="884"/>
      <c r="AH1682" s="884">
        <v>0</v>
      </c>
      <c r="AI1682" s="884"/>
      <c r="AJ1682" s="884"/>
      <c r="AK1682" s="884">
        <f t="shared" ref="AK1682" si="6767">AF1682+AG1682+AH1682+AI1682+AJ1682+AC1682</f>
        <v>0</v>
      </c>
      <c r="AL1682" s="884">
        <v>0</v>
      </c>
      <c r="AM1682" s="878" t="str">
        <f t="shared" ref="AM1682" si="6768">IFERROR((AK1682/AL1682),"-")</f>
        <v>-</v>
      </c>
      <c r="AN1682" s="2"/>
      <c r="AO1682" s="884">
        <v>1103</v>
      </c>
      <c r="AP1682" s="884">
        <f t="shared" ref="AP1682" si="6769">AO1682-AK1682</f>
        <v>1103</v>
      </c>
      <c r="AV1682" t="str">
        <f t="shared" si="6733"/>
        <v>Drenagem Superficial</v>
      </c>
      <c r="AW1682" s="4" t="str">
        <f t="shared" si="6724"/>
        <v xml:space="preserve">   Seg. 2.5-C09 - Drenagem Superficial - Sarjeta de Corte (SRCA - PRÉ MOLD.)</v>
      </c>
    </row>
    <row r="1683" spans="1:49" ht="15" hidden="1" customHeight="1" outlineLevel="2">
      <c r="A1683" s="8" t="str">
        <f t="shared" ref="A1683" si="6770">A1682</f>
        <v>N</v>
      </c>
      <c r="B1683" s="150"/>
      <c r="C1683" s="150" t="s">
        <v>2010</v>
      </c>
      <c r="D1683" s="120" t="s">
        <v>2011</v>
      </c>
      <c r="E1683" s="915"/>
      <c r="F1683" s="902"/>
      <c r="G1683" s="528"/>
      <c r="H1683" s="549" t="s">
        <v>38</v>
      </c>
      <c r="I1683" s="711">
        <v>0</v>
      </c>
      <c r="J1683" s="897"/>
      <c r="K1683" s="528"/>
      <c r="L1683" s="549" t="s">
        <v>38</v>
      </c>
      <c r="M1683" s="711">
        <f t="shared" si="6536"/>
        <v>0</v>
      </c>
      <c r="N1683" s="897"/>
      <c r="O1683" s="528"/>
      <c r="P1683" s="548">
        <v>0</v>
      </c>
      <c r="Q1683" s="548">
        <v>0</v>
      </c>
      <c r="R1683" s="548">
        <v>0</v>
      </c>
      <c r="S1683" s="548">
        <v>0</v>
      </c>
      <c r="T1683" s="548">
        <v>0</v>
      </c>
      <c r="U1683" s="548">
        <v>0</v>
      </c>
      <c r="V1683" s="548">
        <v>0</v>
      </c>
      <c r="W1683" s="528"/>
      <c r="X1683" s="711">
        <f t="shared" si="6529"/>
        <v>0</v>
      </c>
      <c r="Y1683" s="897"/>
      <c r="Z1683" s="528"/>
      <c r="AA1683" s="899"/>
      <c r="AB1683" s="899"/>
      <c r="AC1683" s="904"/>
      <c r="AD1683" s="901"/>
      <c r="AE1683" s="2"/>
      <c r="AF1683" s="885"/>
      <c r="AG1683" s="885"/>
      <c r="AH1683" s="885"/>
      <c r="AI1683" s="885"/>
      <c r="AJ1683" s="885"/>
      <c r="AK1683" s="885"/>
      <c r="AL1683" s="885"/>
      <c r="AM1683" s="879"/>
      <c r="AN1683" s="2"/>
      <c r="AO1683" s="886"/>
      <c r="AP1683" s="886"/>
      <c r="AV1683" t="str">
        <f t="shared" si="6733"/>
        <v>Drenagem Superficial</v>
      </c>
      <c r="AW1683" s="4" t="str">
        <f t="shared" si="6724"/>
        <v xml:space="preserve">   Seg. 2.5-C09 - Drenagem Superficial - Sarjeta de Corte (SRCA - PRÉ MOLD.)</v>
      </c>
    </row>
    <row r="1684" spans="1:49" ht="20.25" hidden="1" customHeight="1" outlineLevel="2">
      <c r="A1684" s="8" t="str">
        <f t="shared" ref="A1684" si="6771">IF(SUM(P1684:V1685)&gt;0,"S","N")</f>
        <v>N</v>
      </c>
      <c r="B1684" s="150">
        <v>1069874</v>
      </c>
      <c r="C1684" s="150" t="s">
        <v>2013</v>
      </c>
      <c r="D1684" s="120" t="s">
        <v>2014</v>
      </c>
      <c r="E1684" s="914" t="s">
        <v>2015</v>
      </c>
      <c r="F1684" s="902" t="s">
        <v>52</v>
      </c>
      <c r="G1684" s="528"/>
      <c r="H1684" s="546" t="s">
        <v>37</v>
      </c>
      <c r="I1684" s="711">
        <v>0</v>
      </c>
      <c r="J1684" s="896" t="str">
        <f t="shared" ref="J1684" si="6772">IFERROR((I1685/I1684),"-")</f>
        <v>-</v>
      </c>
      <c r="K1684" s="528"/>
      <c r="L1684" s="546" t="s">
        <v>37</v>
      </c>
      <c r="M1684" s="711">
        <f t="shared" si="6536"/>
        <v>0</v>
      </c>
      <c r="N1684" s="896" t="str">
        <f t="shared" ref="N1684" si="6773">IFERROR((M1685/M1684),"-")</f>
        <v>-</v>
      </c>
      <c r="O1684" s="528"/>
      <c r="P1684" s="547">
        <v>0</v>
      </c>
      <c r="Q1684" s="547">
        <v>0</v>
      </c>
      <c r="R1684" s="547">
        <v>0</v>
      </c>
      <c r="S1684" s="547">
        <v>0</v>
      </c>
      <c r="T1684" s="547">
        <v>0</v>
      </c>
      <c r="U1684" s="547">
        <v>0</v>
      </c>
      <c r="V1684" s="548">
        <v>0</v>
      </c>
      <c r="W1684" s="528"/>
      <c r="X1684" s="711">
        <f t="shared" si="6529"/>
        <v>0</v>
      </c>
      <c r="Y1684" s="896" t="str">
        <f t="shared" ref="Y1684" si="6774">IFERROR((X1685/X1684),"-")</f>
        <v>-</v>
      </c>
      <c r="Z1684" s="528"/>
      <c r="AA1684" s="898">
        <v>0</v>
      </c>
      <c r="AB1684" s="898">
        <v>0</v>
      </c>
      <c r="AC1684" s="903">
        <v>0</v>
      </c>
      <c r="AD1684" s="900" t="str">
        <f t="shared" ref="AD1684" si="6775">IFERROR((AC1684/AB1684),"-")</f>
        <v>-</v>
      </c>
      <c r="AE1684" s="2"/>
      <c r="AF1684" s="884">
        <v>0</v>
      </c>
      <c r="AG1684" s="884"/>
      <c r="AH1684" s="884">
        <v>0</v>
      </c>
      <c r="AI1684" s="884"/>
      <c r="AJ1684" s="884"/>
      <c r="AK1684" s="884">
        <f t="shared" ref="AK1684" si="6776">AF1684+AG1684+AH1684+AI1684+AJ1684+AC1684</f>
        <v>0</v>
      </c>
      <c r="AL1684" s="884">
        <v>0</v>
      </c>
      <c r="AM1684" s="878" t="str">
        <f t="shared" ref="AM1684" si="6777">IFERROR((AK1684/AL1684),"-")</f>
        <v>-</v>
      </c>
      <c r="AN1684" s="2"/>
      <c r="AO1684" s="884">
        <v>200</v>
      </c>
      <c r="AP1684" s="884">
        <f t="shared" ref="AP1684" si="6778">AO1684-AK1684</f>
        <v>200</v>
      </c>
      <c r="AV1684" t="str">
        <f t="shared" si="6733"/>
        <v>Drenagem Superficial</v>
      </c>
      <c r="AW1684" s="4" t="str">
        <f t="shared" si="6724"/>
        <v xml:space="preserve">   Seg. 2.5-C04 - Drenagem Superficial - Sarjeta de Corte (Extrusada)</v>
      </c>
    </row>
    <row r="1685" spans="1:49" ht="20.25" hidden="1" customHeight="1" outlineLevel="2">
      <c r="A1685" s="8" t="str">
        <f t="shared" ref="A1685" si="6779">A1684</f>
        <v>N</v>
      </c>
      <c r="B1685" s="150"/>
      <c r="C1685" s="150" t="s">
        <v>2013</v>
      </c>
      <c r="D1685" s="120" t="s">
        <v>2014</v>
      </c>
      <c r="E1685" s="915"/>
      <c r="F1685" s="902"/>
      <c r="G1685" s="528"/>
      <c r="H1685" s="549" t="s">
        <v>38</v>
      </c>
      <c r="I1685" s="711">
        <v>0</v>
      </c>
      <c r="J1685" s="897"/>
      <c r="K1685" s="528"/>
      <c r="L1685" s="549" t="s">
        <v>38</v>
      </c>
      <c r="M1685" s="711">
        <f t="shared" si="6536"/>
        <v>0</v>
      </c>
      <c r="N1685" s="897"/>
      <c r="O1685" s="528"/>
      <c r="P1685" s="548">
        <v>0</v>
      </c>
      <c r="Q1685" s="548">
        <v>0</v>
      </c>
      <c r="R1685" s="548">
        <v>0</v>
      </c>
      <c r="S1685" s="548">
        <v>0</v>
      </c>
      <c r="T1685" s="548">
        <v>0</v>
      </c>
      <c r="U1685" s="548">
        <v>0</v>
      </c>
      <c r="V1685" s="548">
        <v>0</v>
      </c>
      <c r="W1685" s="528"/>
      <c r="X1685" s="711">
        <f t="shared" si="6529"/>
        <v>0</v>
      </c>
      <c r="Y1685" s="897"/>
      <c r="Z1685" s="528"/>
      <c r="AA1685" s="899"/>
      <c r="AB1685" s="899"/>
      <c r="AC1685" s="904"/>
      <c r="AD1685" s="901"/>
      <c r="AE1685" s="2"/>
      <c r="AF1685" s="885"/>
      <c r="AG1685" s="885"/>
      <c r="AH1685" s="885"/>
      <c r="AI1685" s="885"/>
      <c r="AJ1685" s="885"/>
      <c r="AK1685" s="885"/>
      <c r="AL1685" s="885"/>
      <c r="AM1685" s="879"/>
      <c r="AN1685" s="2"/>
      <c r="AO1685" s="886"/>
      <c r="AP1685" s="886"/>
      <c r="AV1685" t="str">
        <f t="shared" si="6733"/>
        <v>Drenagem Superficial</v>
      </c>
      <c r="AW1685" s="4" t="str">
        <f t="shared" si="6724"/>
        <v xml:space="preserve">   Seg. 2.5-C04 - Drenagem Superficial - Sarjeta de Corte (Extrusada)</v>
      </c>
    </row>
    <row r="1686" spans="1:49" ht="9.6" hidden="1" customHeight="1" outlineLevel="2">
      <c r="A1686" s="8" t="str">
        <f t="shared" ref="A1686" si="6780">IF(SUM(P1686:V1687)&gt;0,"S","N")</f>
        <v>N</v>
      </c>
      <c r="B1686" s="150">
        <v>1069875</v>
      </c>
      <c r="C1686" s="150" t="s">
        <v>2016</v>
      </c>
      <c r="D1686" s="120" t="s">
        <v>2017</v>
      </c>
      <c r="E1686" s="914" t="s">
        <v>2018</v>
      </c>
      <c r="F1686" s="902" t="s">
        <v>52</v>
      </c>
      <c r="G1686" s="528"/>
      <c r="H1686" s="546" t="s">
        <v>37</v>
      </c>
      <c r="I1686" s="711">
        <v>0</v>
      </c>
      <c r="J1686" s="896" t="str">
        <f t="shared" ref="J1686" si="6781">IFERROR((I1687/I1686),"-")</f>
        <v>-</v>
      </c>
      <c r="K1686" s="528"/>
      <c r="L1686" s="546" t="s">
        <v>37</v>
      </c>
      <c r="M1686" s="711">
        <f t="shared" si="6536"/>
        <v>0</v>
      </c>
      <c r="N1686" s="896" t="str">
        <f t="shared" ref="N1686" si="6782">IFERROR((M1687/M1686),"-")</f>
        <v>-</v>
      </c>
      <c r="O1686" s="528"/>
      <c r="P1686" s="547">
        <v>0</v>
      </c>
      <c r="Q1686" s="547">
        <v>0</v>
      </c>
      <c r="R1686" s="547">
        <v>0</v>
      </c>
      <c r="S1686" s="547">
        <v>0</v>
      </c>
      <c r="T1686" s="547">
        <v>0</v>
      </c>
      <c r="U1686" s="547">
        <v>0</v>
      </c>
      <c r="V1686" s="548">
        <v>0</v>
      </c>
      <c r="W1686" s="528"/>
      <c r="X1686" s="711">
        <f t="shared" si="6529"/>
        <v>0</v>
      </c>
      <c r="Y1686" s="896" t="str">
        <f t="shared" ref="Y1686" si="6783">IFERROR((X1687/X1686),"-")</f>
        <v>-</v>
      </c>
      <c r="Z1686" s="528"/>
      <c r="AA1686" s="898">
        <v>0</v>
      </c>
      <c r="AB1686" s="898">
        <v>0</v>
      </c>
      <c r="AC1686" s="903">
        <v>0</v>
      </c>
      <c r="AD1686" s="900" t="str">
        <f t="shared" ref="AD1686" si="6784">IFERROR((AC1686/AB1686),"-")</f>
        <v>-</v>
      </c>
      <c r="AE1686" s="2"/>
      <c r="AF1686" s="884">
        <v>0</v>
      </c>
      <c r="AG1686" s="884"/>
      <c r="AH1686" s="884">
        <v>0</v>
      </c>
      <c r="AI1686" s="884"/>
      <c r="AJ1686" s="884"/>
      <c r="AK1686" s="884">
        <f t="shared" ref="AK1686" si="6785">AF1686+AG1686+AH1686+AI1686+AJ1686+AC1686</f>
        <v>0</v>
      </c>
      <c r="AL1686" s="884">
        <v>0</v>
      </c>
      <c r="AM1686" s="878" t="str">
        <f t="shared" ref="AM1686" si="6786">IFERROR((AK1686/AL1686),"-")</f>
        <v>-</v>
      </c>
      <c r="AN1686" s="2"/>
      <c r="AO1686" s="884">
        <v>210</v>
      </c>
      <c r="AP1686" s="884">
        <f t="shared" ref="AP1686" si="6787">AO1686-AK1686</f>
        <v>210</v>
      </c>
      <c r="AV1686" t="str">
        <f t="shared" si="6733"/>
        <v>Drenagem Superficial</v>
      </c>
      <c r="AW1686" s="4" t="str">
        <f t="shared" si="6724"/>
        <v xml:space="preserve">   Seg. 2.5-C05 - Drenagem Superficial - Sarjeta de Corte (Extrusada)</v>
      </c>
    </row>
    <row r="1687" spans="1:49" ht="15.6" hidden="1" customHeight="1" outlineLevel="2">
      <c r="A1687" s="8" t="str">
        <f t="shared" ref="A1687" si="6788">A1686</f>
        <v>N</v>
      </c>
      <c r="B1687" s="150"/>
      <c r="C1687" s="150" t="s">
        <v>2016</v>
      </c>
      <c r="D1687" s="120" t="s">
        <v>2017</v>
      </c>
      <c r="E1687" s="915"/>
      <c r="F1687" s="902"/>
      <c r="G1687" s="528"/>
      <c r="H1687" s="549" t="s">
        <v>38</v>
      </c>
      <c r="I1687" s="711">
        <v>0</v>
      </c>
      <c r="J1687" s="897"/>
      <c r="K1687" s="528"/>
      <c r="L1687" s="549" t="s">
        <v>38</v>
      </c>
      <c r="M1687" s="711">
        <f t="shared" si="6536"/>
        <v>0</v>
      </c>
      <c r="N1687" s="897"/>
      <c r="O1687" s="528"/>
      <c r="P1687" s="548">
        <v>0</v>
      </c>
      <c r="Q1687" s="548">
        <v>0</v>
      </c>
      <c r="R1687" s="548">
        <v>0</v>
      </c>
      <c r="S1687" s="548">
        <v>0</v>
      </c>
      <c r="T1687" s="548">
        <v>0</v>
      </c>
      <c r="U1687" s="548">
        <v>0</v>
      </c>
      <c r="V1687" s="548">
        <v>0</v>
      </c>
      <c r="W1687" s="528"/>
      <c r="X1687" s="711">
        <f t="shared" si="6529"/>
        <v>0</v>
      </c>
      <c r="Y1687" s="897"/>
      <c r="Z1687" s="528"/>
      <c r="AA1687" s="899"/>
      <c r="AB1687" s="899"/>
      <c r="AC1687" s="904"/>
      <c r="AD1687" s="901"/>
      <c r="AE1687" s="2"/>
      <c r="AF1687" s="885"/>
      <c r="AG1687" s="885"/>
      <c r="AH1687" s="885"/>
      <c r="AI1687" s="885"/>
      <c r="AJ1687" s="885"/>
      <c r="AK1687" s="885"/>
      <c r="AL1687" s="885"/>
      <c r="AM1687" s="879"/>
      <c r="AN1687" s="2"/>
      <c r="AO1687" s="886"/>
      <c r="AP1687" s="886"/>
      <c r="AV1687" t="str">
        <f t="shared" si="6733"/>
        <v>Drenagem Superficial</v>
      </c>
      <c r="AW1687" s="4" t="str">
        <f t="shared" si="6724"/>
        <v xml:space="preserve">   Seg. 2.5-C05 - Drenagem Superficial - Sarjeta de Corte (Extrusada)</v>
      </c>
    </row>
    <row r="1688" spans="1:49" ht="15.6" hidden="1" customHeight="1" outlineLevel="2">
      <c r="A1688" s="8" t="str">
        <f t="shared" ref="A1688" si="6789">IF(SUM(P1688:V1689)&gt;0,"S","N")</f>
        <v>N</v>
      </c>
      <c r="B1688" s="150">
        <v>1063129</v>
      </c>
      <c r="C1688" s="150" t="s">
        <v>2019</v>
      </c>
      <c r="D1688" s="120" t="s">
        <v>266</v>
      </c>
      <c r="E1688" s="914" t="s">
        <v>2020</v>
      </c>
      <c r="F1688" s="902" t="s">
        <v>52</v>
      </c>
      <c r="G1688" s="528"/>
      <c r="H1688" s="546" t="s">
        <v>37</v>
      </c>
      <c r="I1688" s="711">
        <v>0</v>
      </c>
      <c r="J1688" s="896" t="str">
        <f t="shared" ref="J1688" si="6790">IFERROR((I1689/I1688),"-")</f>
        <v>-</v>
      </c>
      <c r="K1688" s="528"/>
      <c r="L1688" s="546" t="s">
        <v>37</v>
      </c>
      <c r="M1688" s="711">
        <f t="shared" si="6536"/>
        <v>0</v>
      </c>
      <c r="N1688" s="896" t="str">
        <f t="shared" ref="N1688" si="6791">IFERROR((M1689/M1688),"-")</f>
        <v>-</v>
      </c>
      <c r="O1688" s="528"/>
      <c r="P1688" s="547">
        <v>0</v>
      </c>
      <c r="Q1688" s="547">
        <v>0</v>
      </c>
      <c r="R1688" s="547">
        <v>0</v>
      </c>
      <c r="S1688" s="547">
        <v>0</v>
      </c>
      <c r="T1688" s="547">
        <v>0</v>
      </c>
      <c r="U1688" s="547">
        <v>0</v>
      </c>
      <c r="V1688" s="548">
        <v>0</v>
      </c>
      <c r="W1688" s="528"/>
      <c r="X1688" s="711">
        <f t="shared" si="6529"/>
        <v>0</v>
      </c>
      <c r="Y1688" s="896" t="str">
        <f t="shared" ref="Y1688:Y1694" si="6792">IFERROR((X1689/X1688),"-")</f>
        <v>-</v>
      </c>
      <c r="Z1688" s="528"/>
      <c r="AA1688" s="898">
        <v>0</v>
      </c>
      <c r="AB1688" s="898">
        <v>0</v>
      </c>
      <c r="AC1688" s="903">
        <v>0</v>
      </c>
      <c r="AD1688" s="900" t="str">
        <f t="shared" ref="AD1688" si="6793">IFERROR((AC1688/AB1688),"-")</f>
        <v>-</v>
      </c>
      <c r="AE1688" s="2"/>
      <c r="AF1688" s="884">
        <v>0</v>
      </c>
      <c r="AG1688" s="884"/>
      <c r="AH1688" s="884">
        <v>0</v>
      </c>
      <c r="AI1688" s="884"/>
      <c r="AJ1688" s="884"/>
      <c r="AK1688" s="884">
        <f t="shared" ref="AK1688:AK1694" si="6794">AF1688+AG1688+AH1688+AI1688+AJ1688+AC1688</f>
        <v>0</v>
      </c>
      <c r="AL1688" s="884">
        <v>0</v>
      </c>
      <c r="AM1688" s="878" t="str">
        <f t="shared" ref="AM1688" si="6795">IFERROR((AK1688/AL1688),"-")</f>
        <v>-</v>
      </c>
      <c r="AN1688" s="2"/>
      <c r="AO1688" s="884">
        <v>813</v>
      </c>
      <c r="AP1688" s="884">
        <f t="shared" ref="AP1688:AP1694" si="6796">AO1688-AK1688</f>
        <v>813</v>
      </c>
      <c r="AV1688" t="str">
        <f t="shared" si="6733"/>
        <v>Drenagem Superficial</v>
      </c>
      <c r="AW1688" s="4" t="str">
        <f t="shared" si="6724"/>
        <v xml:space="preserve">   Seg. 2.5-Acesso C09 - Drenagem Superficial - Sarjeta de corte (Manual)</v>
      </c>
    </row>
    <row r="1689" spans="1:49" ht="15.6" hidden="1" customHeight="1" outlineLevel="2">
      <c r="A1689" s="8" t="str">
        <f t="shared" ref="A1689:A1695" si="6797">A1688</f>
        <v>N</v>
      </c>
      <c r="B1689" s="150"/>
      <c r="C1689" s="150"/>
      <c r="D1689" s="120"/>
      <c r="E1689" s="915"/>
      <c r="F1689" s="902"/>
      <c r="G1689" s="528"/>
      <c r="H1689" s="549" t="s">
        <v>38</v>
      </c>
      <c r="I1689" s="711">
        <v>0</v>
      </c>
      <c r="J1689" s="897"/>
      <c r="K1689" s="528"/>
      <c r="L1689" s="549" t="s">
        <v>38</v>
      </c>
      <c r="M1689" s="711">
        <f t="shared" si="6536"/>
        <v>0</v>
      </c>
      <c r="N1689" s="897"/>
      <c r="O1689" s="528"/>
      <c r="P1689" s="548">
        <v>0</v>
      </c>
      <c r="Q1689" s="548">
        <v>0</v>
      </c>
      <c r="R1689" s="548">
        <v>0</v>
      </c>
      <c r="S1689" s="548">
        <v>0</v>
      </c>
      <c r="T1689" s="548">
        <v>0</v>
      </c>
      <c r="U1689" s="548">
        <v>0</v>
      </c>
      <c r="V1689" s="548">
        <v>0</v>
      </c>
      <c r="W1689" s="528"/>
      <c r="X1689" s="711">
        <f t="shared" si="6529"/>
        <v>0</v>
      </c>
      <c r="Y1689" s="897"/>
      <c r="Z1689" s="528"/>
      <c r="AA1689" s="899"/>
      <c r="AB1689" s="899"/>
      <c r="AC1689" s="904"/>
      <c r="AD1689" s="901"/>
      <c r="AE1689" s="2"/>
      <c r="AF1689" s="885"/>
      <c r="AG1689" s="885"/>
      <c r="AH1689" s="885"/>
      <c r="AI1689" s="885"/>
      <c r="AJ1689" s="885"/>
      <c r="AK1689" s="885"/>
      <c r="AL1689" s="885"/>
      <c r="AM1689" s="879"/>
      <c r="AN1689" s="2"/>
      <c r="AO1689" s="886"/>
      <c r="AP1689" s="886"/>
      <c r="AV1689" t="str">
        <f t="shared" si="6733"/>
        <v>Drenagem Superficial</v>
      </c>
      <c r="AW1689" s="4" t="str">
        <f t="shared" si="6724"/>
        <v xml:space="preserve">   Seg. 2.5-Acesso C09 - Drenagem Superficial - Sarjeta de corte (Manual)</v>
      </c>
    </row>
    <row r="1690" spans="1:49" ht="15.6" hidden="1" customHeight="1" outlineLevel="2">
      <c r="A1690" s="8" t="str">
        <f t="shared" ref="A1690:A1694" si="6798">IF(SUM(P1690:V1691)&gt;0,"S","N")</f>
        <v>N</v>
      </c>
      <c r="B1690" s="150">
        <v>0</v>
      </c>
      <c r="C1690" s="150" t="s">
        <v>266</v>
      </c>
      <c r="D1690" s="120" t="s">
        <v>266</v>
      </c>
      <c r="E1690" s="914" t="s">
        <v>1306</v>
      </c>
      <c r="F1690" s="902" t="s">
        <v>52</v>
      </c>
      <c r="G1690" s="528"/>
      <c r="H1690" s="546" t="s">
        <v>37</v>
      </c>
      <c r="I1690" s="711">
        <v>0</v>
      </c>
      <c r="J1690" s="896" t="str">
        <f t="shared" ref="J1690" si="6799">IFERROR((I1691/I1690),"-")</f>
        <v>-</v>
      </c>
      <c r="K1690" s="528"/>
      <c r="L1690" s="546" t="s">
        <v>37</v>
      </c>
      <c r="M1690" s="711">
        <f t="shared" si="6536"/>
        <v>0</v>
      </c>
      <c r="N1690" s="896" t="str">
        <f t="shared" ref="N1690" si="6800">IFERROR((M1691/M1690),"-")</f>
        <v>-</v>
      </c>
      <c r="O1690" s="528"/>
      <c r="P1690" s="547"/>
      <c r="Q1690" s="547"/>
      <c r="R1690" s="547"/>
      <c r="S1690" s="547"/>
      <c r="T1690" s="547"/>
      <c r="U1690" s="547"/>
      <c r="V1690" s="548"/>
      <c r="W1690" s="528"/>
      <c r="X1690" s="711">
        <f t="shared" si="6529"/>
        <v>0</v>
      </c>
      <c r="Y1690" s="896" t="str">
        <f t="shared" si="6792"/>
        <v>-</v>
      </c>
      <c r="Z1690" s="528"/>
      <c r="AA1690" s="898">
        <v>0</v>
      </c>
      <c r="AB1690" s="898">
        <v>0</v>
      </c>
      <c r="AC1690" s="903">
        <v>0</v>
      </c>
      <c r="AD1690" s="900" t="str">
        <f t="shared" ref="AD1690" si="6801">IFERROR((AC1690/AB1690),"-")</f>
        <v>-</v>
      </c>
      <c r="AE1690" s="2"/>
      <c r="AF1690" s="884">
        <v>0</v>
      </c>
      <c r="AG1690" s="884"/>
      <c r="AH1690" s="884">
        <v>0</v>
      </c>
      <c r="AI1690" s="884"/>
      <c r="AJ1690" s="884"/>
      <c r="AK1690" s="884">
        <f t="shared" si="6794"/>
        <v>0</v>
      </c>
      <c r="AL1690" s="884">
        <v>0</v>
      </c>
      <c r="AM1690" s="878" t="str">
        <f t="shared" ref="AM1690" si="6802">IFERROR((AK1690/AL1690),"-")</f>
        <v>-</v>
      </c>
      <c r="AN1690" s="2"/>
      <c r="AO1690" s="884">
        <v>0</v>
      </c>
      <c r="AP1690" s="884">
        <f t="shared" si="6796"/>
        <v>0</v>
      </c>
      <c r="AV1690" t="str">
        <f t="shared" si="6733"/>
        <v>Drenagem Superficial</v>
      </c>
      <c r="AW1690" s="4" t="str">
        <f t="shared" si="6724"/>
        <v>---</v>
      </c>
    </row>
    <row r="1691" spans="1:49" ht="15.6" hidden="1" customHeight="1" outlineLevel="2">
      <c r="A1691" s="8" t="str">
        <f t="shared" si="6797"/>
        <v>N</v>
      </c>
      <c r="B1691" s="150"/>
      <c r="C1691" s="150"/>
      <c r="D1691" s="120"/>
      <c r="E1691" s="915"/>
      <c r="F1691" s="902"/>
      <c r="G1691" s="528"/>
      <c r="H1691" s="549" t="s">
        <v>38</v>
      </c>
      <c r="I1691" s="711">
        <v>0</v>
      </c>
      <c r="J1691" s="897"/>
      <c r="K1691" s="528"/>
      <c r="L1691" s="549" t="s">
        <v>38</v>
      </c>
      <c r="M1691" s="711">
        <f t="shared" si="6536"/>
        <v>0</v>
      </c>
      <c r="N1691" s="897"/>
      <c r="O1691" s="528"/>
      <c r="P1691" s="548">
        <v>0</v>
      </c>
      <c r="Q1691" s="548">
        <v>0</v>
      </c>
      <c r="R1691" s="548">
        <v>0</v>
      </c>
      <c r="S1691" s="548">
        <v>0</v>
      </c>
      <c r="T1691" s="548">
        <v>0</v>
      </c>
      <c r="U1691" s="548">
        <v>0</v>
      </c>
      <c r="V1691" s="548">
        <v>0</v>
      </c>
      <c r="W1691" s="528"/>
      <c r="X1691" s="711">
        <f t="shared" si="6529"/>
        <v>0</v>
      </c>
      <c r="Y1691" s="897"/>
      <c r="Z1691" s="528"/>
      <c r="AA1691" s="899"/>
      <c r="AB1691" s="899"/>
      <c r="AC1691" s="904"/>
      <c r="AD1691" s="901"/>
      <c r="AE1691" s="2"/>
      <c r="AF1691" s="885"/>
      <c r="AG1691" s="885"/>
      <c r="AH1691" s="885"/>
      <c r="AI1691" s="885"/>
      <c r="AJ1691" s="885"/>
      <c r="AK1691" s="885"/>
      <c r="AL1691" s="885"/>
      <c r="AM1691" s="879"/>
      <c r="AN1691" s="2"/>
      <c r="AO1691" s="886"/>
      <c r="AP1691" s="886"/>
      <c r="AV1691" t="str">
        <f t="shared" si="6733"/>
        <v>Drenagem Superficial</v>
      </c>
      <c r="AW1691" s="4" t="str">
        <f t="shared" si="6724"/>
        <v>---</v>
      </c>
    </row>
    <row r="1692" spans="1:49" ht="15.6" hidden="1" customHeight="1" outlineLevel="2">
      <c r="A1692" s="8" t="str">
        <f t="shared" si="6798"/>
        <v>N</v>
      </c>
      <c r="B1692" s="150">
        <v>0</v>
      </c>
      <c r="C1692" s="150" t="s">
        <v>266</v>
      </c>
      <c r="D1692" s="120" t="s">
        <v>266</v>
      </c>
      <c r="E1692" s="914" t="s">
        <v>1306</v>
      </c>
      <c r="F1692" s="902" t="s">
        <v>52</v>
      </c>
      <c r="G1692" s="528"/>
      <c r="H1692" s="546" t="s">
        <v>37</v>
      </c>
      <c r="I1692" s="711">
        <v>0</v>
      </c>
      <c r="J1692" s="896" t="str">
        <f t="shared" ref="J1692" si="6803">IFERROR((I1693/I1692),"-")</f>
        <v>-</v>
      </c>
      <c r="K1692" s="528"/>
      <c r="L1692" s="546" t="s">
        <v>37</v>
      </c>
      <c r="M1692" s="711">
        <f t="shared" si="6536"/>
        <v>0</v>
      </c>
      <c r="N1692" s="896" t="str">
        <f t="shared" ref="N1692" si="6804">IFERROR((M1693/M1692),"-")</f>
        <v>-</v>
      </c>
      <c r="O1692" s="528"/>
      <c r="P1692" s="547"/>
      <c r="Q1692" s="547"/>
      <c r="R1692" s="547"/>
      <c r="S1692" s="547"/>
      <c r="T1692" s="547"/>
      <c r="U1692" s="547"/>
      <c r="V1692" s="548"/>
      <c r="W1692" s="528"/>
      <c r="X1692" s="711">
        <f t="shared" si="6529"/>
        <v>0</v>
      </c>
      <c r="Y1692" s="896" t="str">
        <f t="shared" si="6792"/>
        <v>-</v>
      </c>
      <c r="Z1692" s="528"/>
      <c r="AA1692" s="898">
        <v>0</v>
      </c>
      <c r="AB1692" s="898">
        <v>0</v>
      </c>
      <c r="AC1692" s="903">
        <v>0</v>
      </c>
      <c r="AD1692" s="900" t="str">
        <f t="shared" ref="AD1692" si="6805">IFERROR((AC1692/AB1692),"-")</f>
        <v>-</v>
      </c>
      <c r="AE1692" s="2"/>
      <c r="AF1692" s="884">
        <v>0</v>
      </c>
      <c r="AG1692" s="884"/>
      <c r="AH1692" s="884">
        <v>0</v>
      </c>
      <c r="AI1692" s="884"/>
      <c r="AJ1692" s="884"/>
      <c r="AK1692" s="884">
        <f t="shared" si="6794"/>
        <v>0</v>
      </c>
      <c r="AL1692" s="884">
        <v>0</v>
      </c>
      <c r="AM1692" s="878" t="str">
        <f t="shared" ref="AM1692" si="6806">IFERROR((AK1692/AL1692),"-")</f>
        <v>-</v>
      </c>
      <c r="AN1692" s="2"/>
      <c r="AO1692" s="884">
        <v>0</v>
      </c>
      <c r="AP1692" s="884">
        <f t="shared" si="6796"/>
        <v>0</v>
      </c>
      <c r="AV1692" t="str">
        <f t="shared" si="6733"/>
        <v>Drenagem Superficial</v>
      </c>
      <c r="AW1692" s="4" t="str">
        <f t="shared" si="6724"/>
        <v>---</v>
      </c>
    </row>
    <row r="1693" spans="1:49" ht="15.6" hidden="1" customHeight="1" outlineLevel="2">
      <c r="A1693" s="8" t="str">
        <f t="shared" si="6797"/>
        <v>N</v>
      </c>
      <c r="B1693" s="150"/>
      <c r="C1693" s="150"/>
      <c r="D1693" s="120"/>
      <c r="E1693" s="915"/>
      <c r="F1693" s="902"/>
      <c r="G1693" s="528"/>
      <c r="H1693" s="549" t="s">
        <v>38</v>
      </c>
      <c r="I1693" s="711">
        <v>0</v>
      </c>
      <c r="J1693" s="897"/>
      <c r="K1693" s="528"/>
      <c r="L1693" s="549" t="s">
        <v>38</v>
      </c>
      <c r="M1693" s="711">
        <f t="shared" si="6536"/>
        <v>0</v>
      </c>
      <c r="N1693" s="897"/>
      <c r="O1693" s="528"/>
      <c r="P1693" s="548">
        <v>0</v>
      </c>
      <c r="Q1693" s="548">
        <v>0</v>
      </c>
      <c r="R1693" s="548">
        <v>0</v>
      </c>
      <c r="S1693" s="548">
        <v>0</v>
      </c>
      <c r="T1693" s="548">
        <v>0</v>
      </c>
      <c r="U1693" s="548">
        <v>0</v>
      </c>
      <c r="V1693" s="548">
        <v>0</v>
      </c>
      <c r="W1693" s="528"/>
      <c r="X1693" s="711">
        <f t="shared" si="6529"/>
        <v>0</v>
      </c>
      <c r="Y1693" s="897"/>
      <c r="Z1693" s="528"/>
      <c r="AA1693" s="899"/>
      <c r="AB1693" s="899"/>
      <c r="AC1693" s="904"/>
      <c r="AD1693" s="901"/>
      <c r="AE1693" s="2"/>
      <c r="AF1693" s="885"/>
      <c r="AG1693" s="885"/>
      <c r="AH1693" s="885"/>
      <c r="AI1693" s="885"/>
      <c r="AJ1693" s="885"/>
      <c r="AK1693" s="885"/>
      <c r="AL1693" s="885"/>
      <c r="AM1693" s="879"/>
      <c r="AN1693" s="2"/>
      <c r="AO1693" s="886"/>
      <c r="AP1693" s="886"/>
      <c r="AV1693" t="str">
        <f t="shared" si="6733"/>
        <v>Drenagem Superficial</v>
      </c>
      <c r="AW1693" s="4" t="str">
        <f t="shared" si="6724"/>
        <v>---</v>
      </c>
    </row>
    <row r="1694" spans="1:49" ht="15.6" hidden="1" customHeight="1" outlineLevel="2">
      <c r="A1694" s="8" t="str">
        <f t="shared" si="6798"/>
        <v>N</v>
      </c>
      <c r="B1694" s="150" t="s">
        <v>266</v>
      </c>
      <c r="C1694" s="150" t="s">
        <v>266</v>
      </c>
      <c r="D1694" s="120" t="s">
        <v>266</v>
      </c>
      <c r="E1694" s="914" t="s">
        <v>1306</v>
      </c>
      <c r="F1694" s="902" t="s">
        <v>52</v>
      </c>
      <c r="G1694" s="528"/>
      <c r="H1694" s="546" t="s">
        <v>37</v>
      </c>
      <c r="I1694" s="711">
        <v>0</v>
      </c>
      <c r="J1694" s="896" t="str">
        <f t="shared" ref="J1694" si="6807">IFERROR((I1695/I1694),"-")</f>
        <v>-</v>
      </c>
      <c r="K1694" s="528"/>
      <c r="L1694" s="546" t="s">
        <v>37</v>
      </c>
      <c r="M1694" s="711">
        <f t="shared" si="6536"/>
        <v>0</v>
      </c>
      <c r="N1694" s="896" t="str">
        <f t="shared" ref="N1694" si="6808">IFERROR((M1695/M1694),"-")</f>
        <v>-</v>
      </c>
      <c r="O1694" s="528"/>
      <c r="P1694" s="547"/>
      <c r="Q1694" s="547"/>
      <c r="R1694" s="547"/>
      <c r="S1694" s="547"/>
      <c r="T1694" s="547"/>
      <c r="U1694" s="547"/>
      <c r="V1694" s="548"/>
      <c r="W1694" s="528"/>
      <c r="X1694" s="711">
        <f t="shared" ref="X1694:X1695" si="6809">SUMIFS(P1694:V1694,$P$8:$V$8,"&gt;="&amp;$P$8,$P$8:$V$8,"&lt;="&amp;$N$8)</f>
        <v>0</v>
      </c>
      <c r="Y1694" s="896" t="str">
        <f t="shared" si="6792"/>
        <v>-</v>
      </c>
      <c r="Z1694" s="528"/>
      <c r="AA1694" s="898">
        <v>0</v>
      </c>
      <c r="AB1694" s="898">
        <v>0</v>
      </c>
      <c r="AC1694" s="903">
        <v>0</v>
      </c>
      <c r="AD1694" s="900" t="str">
        <f t="shared" ref="AD1694" si="6810">IFERROR((AC1694/AB1694),"-")</f>
        <v>-</v>
      </c>
      <c r="AE1694" s="2"/>
      <c r="AF1694" s="884">
        <v>0</v>
      </c>
      <c r="AG1694" s="884"/>
      <c r="AH1694" s="884">
        <v>0</v>
      </c>
      <c r="AI1694" s="884"/>
      <c r="AJ1694" s="884"/>
      <c r="AK1694" s="884">
        <f t="shared" si="6794"/>
        <v>0</v>
      </c>
      <c r="AL1694" s="884">
        <v>0</v>
      </c>
      <c r="AM1694" s="878" t="str">
        <f t="shared" ref="AM1694" si="6811">IFERROR((AK1694/AL1694),"-")</f>
        <v>-</v>
      </c>
      <c r="AN1694" s="2"/>
      <c r="AO1694" s="884">
        <v>0</v>
      </c>
      <c r="AP1694" s="884">
        <f t="shared" si="6796"/>
        <v>0</v>
      </c>
      <c r="AV1694" t="str">
        <f t="shared" si="6733"/>
        <v>Drenagem Superficial</v>
      </c>
      <c r="AW1694" s="4" t="str">
        <f t="shared" si="6724"/>
        <v>---</v>
      </c>
    </row>
    <row r="1695" spans="1:49" ht="15.6" hidden="1" customHeight="1" outlineLevel="2">
      <c r="A1695" s="8" t="str">
        <f t="shared" si="6797"/>
        <v>N</v>
      </c>
      <c r="B1695" s="150"/>
      <c r="C1695" s="150"/>
      <c r="D1695" s="120"/>
      <c r="E1695" s="915"/>
      <c r="F1695" s="902"/>
      <c r="G1695" s="528"/>
      <c r="H1695" s="549" t="s">
        <v>38</v>
      </c>
      <c r="I1695" s="711">
        <v>0</v>
      </c>
      <c r="J1695" s="897"/>
      <c r="K1695" s="528"/>
      <c r="L1695" s="549" t="s">
        <v>38</v>
      </c>
      <c r="M1695" s="711">
        <f t="shared" si="6536"/>
        <v>0</v>
      </c>
      <c r="N1695" s="897"/>
      <c r="O1695" s="528"/>
      <c r="P1695" s="548">
        <v>0</v>
      </c>
      <c r="Q1695" s="548">
        <v>0</v>
      </c>
      <c r="R1695" s="548">
        <v>0</v>
      </c>
      <c r="S1695" s="548">
        <v>0</v>
      </c>
      <c r="T1695" s="548">
        <v>0</v>
      </c>
      <c r="U1695" s="548">
        <v>0</v>
      </c>
      <c r="V1695" s="548">
        <v>0</v>
      </c>
      <c r="W1695" s="528"/>
      <c r="X1695" s="711">
        <f t="shared" si="6809"/>
        <v>0</v>
      </c>
      <c r="Y1695" s="897"/>
      <c r="Z1695" s="528"/>
      <c r="AA1695" s="899"/>
      <c r="AB1695" s="899"/>
      <c r="AC1695" s="904"/>
      <c r="AD1695" s="901"/>
      <c r="AE1695" s="2"/>
      <c r="AF1695" s="908"/>
      <c r="AG1695" s="885"/>
      <c r="AH1695" s="885"/>
      <c r="AI1695" s="885"/>
      <c r="AJ1695" s="885"/>
      <c r="AK1695" s="885"/>
      <c r="AL1695" s="885"/>
      <c r="AM1695" s="879"/>
      <c r="AN1695" s="2"/>
      <c r="AO1695" s="886"/>
      <c r="AP1695" s="886"/>
      <c r="AV1695" t="str">
        <f t="shared" si="6733"/>
        <v>Drenagem Superficial</v>
      </c>
      <c r="AW1695" s="4" t="str">
        <f t="shared" si="6724"/>
        <v>---</v>
      </c>
    </row>
    <row r="1696" spans="1:49" ht="15.6" hidden="1" customHeight="1" outlineLevel="1" collapsed="1">
      <c r="A1696" s="209">
        <v>0</v>
      </c>
      <c r="B1696" s="150"/>
      <c r="C1696" s="150"/>
      <c r="D1696" s="117"/>
      <c r="E1696" s="535"/>
      <c r="F1696" s="536"/>
      <c r="G1696" s="537"/>
      <c r="H1696" s="714"/>
      <c r="I1696" s="555"/>
      <c r="J1696" s="714"/>
      <c r="K1696" s="537"/>
      <c r="L1696" s="714"/>
      <c r="M1696" s="555"/>
      <c r="N1696" s="714"/>
      <c r="O1696" s="537"/>
      <c r="P1696" s="539"/>
      <c r="Q1696" s="539"/>
      <c r="R1696" s="539"/>
      <c r="S1696" s="539"/>
      <c r="T1696" s="539"/>
      <c r="U1696" s="539"/>
      <c r="V1696" s="539"/>
      <c r="W1696" s="537"/>
      <c r="X1696" s="540"/>
      <c r="Y1696" s="537"/>
      <c r="Z1696" s="537"/>
      <c r="AA1696" s="249"/>
      <c r="AB1696" s="249"/>
      <c r="AC1696" s="249"/>
      <c r="AD1696" s="537"/>
      <c r="AE1696" s="3"/>
      <c r="AF1696" s="35"/>
      <c r="AG1696" s="35"/>
      <c r="AH1696" s="35"/>
      <c r="AI1696" s="35"/>
      <c r="AJ1696" s="35"/>
      <c r="AK1696" s="35"/>
      <c r="AL1696" s="35"/>
      <c r="AM1696" s="3"/>
      <c r="AN1696" s="3"/>
      <c r="AO1696" s="35"/>
      <c r="AP1696" s="35"/>
      <c r="AV1696" t="str">
        <f t="shared" si="6733"/>
        <v>Drenagem Superficial</v>
      </c>
      <c r="AW1696" s="4" t="str">
        <f t="shared" si="6724"/>
        <v>---</v>
      </c>
    </row>
    <row r="1697" spans="1:50" ht="15.6" hidden="1" customHeight="1" outlineLevel="1">
      <c r="A1697" s="209">
        <v>0</v>
      </c>
      <c r="B1697" s="150"/>
      <c r="C1697" s="150"/>
      <c r="D1697" s="117"/>
      <c r="E1697" s="535"/>
      <c r="F1697" s="541"/>
      <c r="G1697" s="537"/>
      <c r="H1697" s="537"/>
      <c r="I1697" s="249"/>
      <c r="J1697" s="537"/>
      <c r="K1697" s="537"/>
      <c r="L1697" s="537"/>
      <c r="M1697" s="249"/>
      <c r="N1697" s="537"/>
      <c r="O1697" s="537"/>
      <c r="P1697" s="539"/>
      <c r="Q1697" s="539"/>
      <c r="R1697" s="539"/>
      <c r="S1697" s="539"/>
      <c r="T1697" s="539"/>
      <c r="U1697" s="539"/>
      <c r="V1697" s="539"/>
      <c r="W1697" s="537"/>
      <c r="X1697" s="540"/>
      <c r="Y1697" s="537"/>
      <c r="Z1697" s="537"/>
      <c r="AA1697" s="249"/>
      <c r="AB1697" s="249"/>
      <c r="AC1697" s="249"/>
      <c r="AD1697" s="537"/>
      <c r="AE1697" s="3"/>
      <c r="AF1697" s="35"/>
      <c r="AG1697" s="35"/>
      <c r="AH1697" s="35"/>
      <c r="AI1697" s="35"/>
      <c r="AJ1697" s="35"/>
      <c r="AK1697" s="35"/>
      <c r="AL1697" s="35"/>
      <c r="AM1697" s="3"/>
      <c r="AN1697" s="3"/>
      <c r="AO1697" s="35"/>
      <c r="AP1697" s="35"/>
      <c r="AV1697" t="str">
        <f t="shared" si="6733"/>
        <v>Drenagem Superficial</v>
      </c>
      <c r="AW1697" s="4" t="str">
        <f t="shared" si="6724"/>
        <v>---</v>
      </c>
    </row>
    <row r="1698" spans="1:50" ht="15.6" hidden="1" customHeight="1" outlineLevel="1">
      <c r="A1698" s="209">
        <v>0</v>
      </c>
      <c r="B1698" s="150"/>
      <c r="C1698" s="150"/>
      <c r="D1698" s="122"/>
      <c r="E1698" s="913" t="s">
        <v>45</v>
      </c>
      <c r="F1698" s="859" t="s">
        <v>52</v>
      </c>
      <c r="G1698" s="528"/>
      <c r="H1698" s="542" t="s">
        <v>37</v>
      </c>
      <c r="I1698" s="543">
        <f>SUMIF($L1700:$L1767,$L1698,I1700:I1767)</f>
        <v>252</v>
      </c>
      <c r="J1698" s="860">
        <f>IFERROR((I1699/I1698),"-")</f>
        <v>0.51587301587301593</v>
      </c>
      <c r="K1698" s="528"/>
      <c r="L1698" s="542" t="s">
        <v>37</v>
      </c>
      <c r="M1698" s="543">
        <f>SUMIF($L1700:$L1767,$L1698,M1700:M1767)</f>
        <v>0</v>
      </c>
      <c r="N1698" s="860" t="str">
        <f>IFERROR((M1699/M1698),"-")</f>
        <v>-</v>
      </c>
      <c r="O1698" s="528"/>
      <c r="P1698" s="543">
        <f t="shared" ref="P1698:V1698" si="6812">SUMIF($L1700:$L1767,$L1698,P1700:P1767)</f>
        <v>0</v>
      </c>
      <c r="Q1698" s="543">
        <f t="shared" si="6812"/>
        <v>0</v>
      </c>
      <c r="R1698" s="543">
        <f t="shared" si="6812"/>
        <v>0</v>
      </c>
      <c r="S1698" s="543">
        <f t="shared" si="6812"/>
        <v>0</v>
      </c>
      <c r="T1698" s="543">
        <f t="shared" si="6812"/>
        <v>0</v>
      </c>
      <c r="U1698" s="543">
        <f t="shared" si="6812"/>
        <v>0</v>
      </c>
      <c r="V1698" s="543">
        <f t="shared" si="6812"/>
        <v>0</v>
      </c>
      <c r="W1698" s="528"/>
      <c r="X1698" s="543">
        <f>X1704+X1702</f>
        <v>0</v>
      </c>
      <c r="Y1698" s="860" t="str">
        <f>IFERROR((X1699/X1698),"-")</f>
        <v>-</v>
      </c>
      <c r="Z1698" s="528"/>
      <c r="AA1698" s="814">
        <f>SUM(AA1700:AA1767)</f>
        <v>190</v>
      </c>
      <c r="AB1698" s="814">
        <f>SUM(AB1700:AB1767)</f>
        <v>190.02000000000004</v>
      </c>
      <c r="AC1698" s="814">
        <f>SUM(AC1700:AC1767)</f>
        <v>250</v>
      </c>
      <c r="AD1698" s="911">
        <f t="shared" ref="AD1698" si="6813">IFERROR((AC1698/AB1698),"-")</f>
        <v>1.3156509841069359</v>
      </c>
      <c r="AE1698" s="2"/>
      <c r="AF1698" s="888">
        <f t="shared" ref="AF1698" si="6814">SUM(AF1700:AF1767)</f>
        <v>0</v>
      </c>
      <c r="AG1698" s="888">
        <f t="shared" ref="AG1698:AL1698" si="6815">SUM(AG1700:AG1767)</f>
        <v>0</v>
      </c>
      <c r="AH1698" s="888">
        <f t="shared" si="6815"/>
        <v>1367.5</v>
      </c>
      <c r="AI1698" s="888">
        <f t="shared" si="6815"/>
        <v>0</v>
      </c>
      <c r="AJ1698" s="888">
        <f t="shared" si="6815"/>
        <v>1098.5239999999999</v>
      </c>
      <c r="AK1698" s="888">
        <f t="shared" si="6815"/>
        <v>2716.0239999999999</v>
      </c>
      <c r="AL1698" s="888">
        <f t="shared" si="6815"/>
        <v>1483.06</v>
      </c>
      <c r="AM1698" s="743">
        <f>IFERROR((AK1698/AL1698),"-")</f>
        <v>1.8313648807195932</v>
      </c>
      <c r="AN1698" s="2"/>
      <c r="AO1698" s="888">
        <f>SUM(AO1700:AO1767)</f>
        <v>25927.309999999998</v>
      </c>
      <c r="AP1698" s="888">
        <f>SUM(AP1700:AP1767)</f>
        <v>23211.286</v>
      </c>
      <c r="AV1698" t="str">
        <f t="shared" si="6733"/>
        <v>Drenagem Superficial</v>
      </c>
      <c r="AW1698" s="4" t="str">
        <f t="shared" si="6724"/>
        <v>Pacote 05 - Segmento 3.1 - 153+000 a 167+400</v>
      </c>
      <c r="AX1698" s="4"/>
    </row>
    <row r="1699" spans="1:50" ht="15.6" hidden="1" customHeight="1" outlineLevel="1">
      <c r="A1699" s="209">
        <v>0</v>
      </c>
      <c r="B1699" s="150"/>
      <c r="C1699" s="150"/>
      <c r="D1699" s="123"/>
      <c r="E1699" s="913"/>
      <c r="F1699" s="859"/>
      <c r="G1699" s="528"/>
      <c r="H1699" s="544" t="s">
        <v>38</v>
      </c>
      <c r="I1699" s="543">
        <f>SUMIF($L1700:$L1767,$L1699,I1700:I1767)</f>
        <v>130</v>
      </c>
      <c r="J1699" s="861"/>
      <c r="K1699" s="528"/>
      <c r="L1699" s="544" t="s">
        <v>38</v>
      </c>
      <c r="M1699" s="543">
        <f>SUMIF($L1700:$L1767,$L1699,M1700:M1767)</f>
        <v>0</v>
      </c>
      <c r="N1699" s="861"/>
      <c r="O1699" s="528"/>
      <c r="P1699" s="543">
        <f t="shared" ref="P1699:V1699" si="6816">SUMIF($L1700:$L1767,$L1699,P1700:P1767)</f>
        <v>0</v>
      </c>
      <c r="Q1699" s="543">
        <f t="shared" si="6816"/>
        <v>0</v>
      </c>
      <c r="R1699" s="543">
        <f t="shared" si="6816"/>
        <v>0</v>
      </c>
      <c r="S1699" s="543">
        <f t="shared" si="6816"/>
        <v>0</v>
      </c>
      <c r="T1699" s="543">
        <f t="shared" si="6816"/>
        <v>0</v>
      </c>
      <c r="U1699" s="543">
        <f t="shared" si="6816"/>
        <v>0</v>
      </c>
      <c r="V1699" s="543">
        <f t="shared" si="6816"/>
        <v>0</v>
      </c>
      <c r="W1699" s="528"/>
      <c r="X1699" s="543">
        <f>X1705+X1703</f>
        <v>0</v>
      </c>
      <c r="Y1699" s="861"/>
      <c r="Z1699" s="528"/>
      <c r="AA1699" s="815"/>
      <c r="AB1699" s="815"/>
      <c r="AC1699" s="815"/>
      <c r="AD1699" s="912"/>
      <c r="AE1699" s="2"/>
      <c r="AF1699" s="889"/>
      <c r="AG1699" s="889"/>
      <c r="AH1699" s="889"/>
      <c r="AI1699" s="889"/>
      <c r="AJ1699" s="889"/>
      <c r="AK1699" s="889"/>
      <c r="AL1699" s="889"/>
      <c r="AM1699" s="744"/>
      <c r="AN1699" s="2"/>
      <c r="AO1699" s="888"/>
      <c r="AP1699" s="888"/>
      <c r="AV1699" t="str">
        <f t="shared" si="6733"/>
        <v>Drenagem Superficial</v>
      </c>
      <c r="AW1699" s="4" t="str">
        <f t="shared" si="6724"/>
        <v>Pacote 05 - Segmento 3.1 - 153+000 a 167+400</v>
      </c>
    </row>
    <row r="1700" spans="1:50" ht="15.6" hidden="1" customHeight="1" outlineLevel="2">
      <c r="A1700" s="8" t="str">
        <f t="shared" ref="A1700" si="6817">IF(SUM(P1700:V1701)&gt;0,"S","N")</f>
        <v>N</v>
      </c>
      <c r="B1700" s="150">
        <v>1063149</v>
      </c>
      <c r="C1700" s="150" t="s">
        <v>2021</v>
      </c>
      <c r="D1700" s="120" t="s">
        <v>2022</v>
      </c>
      <c r="E1700" s="914" t="s">
        <v>2023</v>
      </c>
      <c r="F1700" s="902" t="s">
        <v>52</v>
      </c>
      <c r="G1700" s="528"/>
      <c r="H1700" s="546" t="s">
        <v>37</v>
      </c>
      <c r="I1700" s="711">
        <v>0</v>
      </c>
      <c r="J1700" s="896" t="str">
        <f t="shared" ref="J1700" si="6818">IFERROR((I1701/I1700),"-")</f>
        <v>-</v>
      </c>
      <c r="K1700" s="528"/>
      <c r="L1700" s="546" t="s">
        <v>37</v>
      </c>
      <c r="M1700" s="711">
        <f t="shared" ref="M1700:M1767" si="6819">_xlfn.XLOOKUP($N$8,$P$8:$V$8,$P1700:$V1700)</f>
        <v>0</v>
      </c>
      <c r="N1700" s="896" t="str">
        <f t="shared" ref="N1700" si="6820">IFERROR((M1701/M1700),"-")</f>
        <v>-</v>
      </c>
      <c r="O1700" s="528"/>
      <c r="P1700" s="547">
        <v>0</v>
      </c>
      <c r="Q1700" s="547">
        <v>0</v>
      </c>
      <c r="R1700" s="547">
        <v>0</v>
      </c>
      <c r="S1700" s="547">
        <v>0</v>
      </c>
      <c r="T1700" s="547">
        <v>0</v>
      </c>
      <c r="U1700" s="547">
        <v>0</v>
      </c>
      <c r="V1700" s="548">
        <v>0</v>
      </c>
      <c r="W1700" s="528"/>
      <c r="X1700" s="711">
        <f t="shared" ref="X1700:X1763" si="6821">SUMIFS(P1700:V1700,$P$8:$V$8,"&gt;="&amp;$P$8,$P$8:$V$8,"&lt;="&amp;$N$8)</f>
        <v>0</v>
      </c>
      <c r="Y1700" s="896" t="str">
        <f t="shared" ref="Y1700" si="6822">IFERROR((X1701/X1700),"-")</f>
        <v>-</v>
      </c>
      <c r="Z1700" s="528"/>
      <c r="AA1700" s="898">
        <v>0</v>
      </c>
      <c r="AB1700" s="898">
        <v>0</v>
      </c>
      <c r="AC1700" s="903">
        <v>0</v>
      </c>
      <c r="AD1700" s="900" t="str">
        <f t="shared" ref="AD1700" si="6823">IFERROR((AC1700/AB1700),"-")</f>
        <v>-</v>
      </c>
      <c r="AE1700" s="2"/>
      <c r="AF1700" s="884">
        <v>0</v>
      </c>
      <c r="AG1700" s="884"/>
      <c r="AH1700" s="884">
        <v>0</v>
      </c>
      <c r="AI1700" s="884"/>
      <c r="AJ1700" s="884"/>
      <c r="AK1700" s="884">
        <f t="shared" ref="AK1700" si="6824">AF1700+AG1700+AH1700+AI1700+AJ1700+AC1700</f>
        <v>0</v>
      </c>
      <c r="AL1700" s="884">
        <v>0</v>
      </c>
      <c r="AM1700" s="878" t="str">
        <f t="shared" ref="AM1700" si="6825">IFERROR((AK1700/AL1700),"-")</f>
        <v>-</v>
      </c>
      <c r="AN1700" s="2"/>
      <c r="AO1700" s="884">
        <v>340</v>
      </c>
      <c r="AP1700" s="884">
        <f t="shared" ref="AP1700" si="6826">AO1700-AK1700</f>
        <v>340</v>
      </c>
      <c r="AV1700" t="str">
        <f t="shared" si="6733"/>
        <v>Drenagem Superficial</v>
      </c>
      <c r="AW1700" s="4" t="str">
        <f t="shared" si="6724"/>
        <v xml:space="preserve">   Seg. 3.1-Acesso A10 - Sarjeta de corte (Manual)</v>
      </c>
    </row>
    <row r="1701" spans="1:50" ht="15.6" hidden="1" customHeight="1" outlineLevel="2">
      <c r="A1701" s="8" t="str">
        <f t="shared" ref="A1701" si="6827">A1700</f>
        <v>N</v>
      </c>
      <c r="B1701" s="150"/>
      <c r="C1701" s="150" t="s">
        <v>2021</v>
      </c>
      <c r="D1701" s="120" t="s">
        <v>2022</v>
      </c>
      <c r="E1701" s="915"/>
      <c r="F1701" s="902"/>
      <c r="G1701" s="528"/>
      <c r="H1701" s="549" t="s">
        <v>38</v>
      </c>
      <c r="I1701" s="711">
        <v>0</v>
      </c>
      <c r="J1701" s="897"/>
      <c r="K1701" s="528"/>
      <c r="L1701" s="549" t="s">
        <v>38</v>
      </c>
      <c r="M1701" s="711">
        <f t="shared" si="6819"/>
        <v>0</v>
      </c>
      <c r="N1701" s="897"/>
      <c r="O1701" s="528"/>
      <c r="P1701" s="548">
        <v>0</v>
      </c>
      <c r="Q1701" s="548">
        <v>0</v>
      </c>
      <c r="R1701" s="548">
        <v>0</v>
      </c>
      <c r="S1701" s="548">
        <v>0</v>
      </c>
      <c r="T1701" s="548">
        <v>0</v>
      </c>
      <c r="U1701" s="548">
        <v>0</v>
      </c>
      <c r="V1701" s="548">
        <v>0</v>
      </c>
      <c r="W1701" s="528"/>
      <c r="X1701" s="711">
        <f t="shared" si="6821"/>
        <v>0</v>
      </c>
      <c r="Y1701" s="897"/>
      <c r="Z1701" s="528"/>
      <c r="AA1701" s="899"/>
      <c r="AB1701" s="899"/>
      <c r="AC1701" s="904"/>
      <c r="AD1701" s="901"/>
      <c r="AE1701" s="2"/>
      <c r="AF1701" s="885"/>
      <c r="AG1701" s="885"/>
      <c r="AH1701" s="885"/>
      <c r="AI1701" s="885"/>
      <c r="AJ1701" s="885"/>
      <c r="AK1701" s="885"/>
      <c r="AL1701" s="885"/>
      <c r="AM1701" s="879"/>
      <c r="AN1701" s="2"/>
      <c r="AO1701" s="886"/>
      <c r="AP1701" s="886"/>
      <c r="AV1701" t="str">
        <f t="shared" si="6733"/>
        <v>Drenagem Superficial</v>
      </c>
      <c r="AW1701" s="4" t="str">
        <f t="shared" si="6724"/>
        <v xml:space="preserve">   Seg. 3.1-Acesso A10 - Sarjeta de corte (Manual)</v>
      </c>
    </row>
    <row r="1702" spans="1:50" ht="15.6" hidden="1" customHeight="1" outlineLevel="2">
      <c r="A1702" s="8" t="str">
        <f t="shared" ref="A1702" si="6828">IF(SUM(P1702:V1703)&gt;0,"S","N")</f>
        <v>N</v>
      </c>
      <c r="B1702" s="150">
        <v>1063842</v>
      </c>
      <c r="C1702" s="150" t="s">
        <v>2024</v>
      </c>
      <c r="D1702" s="120" t="s">
        <v>2025</v>
      </c>
      <c r="E1702" s="914" t="s">
        <v>1767</v>
      </c>
      <c r="F1702" s="902" t="s">
        <v>52</v>
      </c>
      <c r="G1702" s="528"/>
      <c r="H1702" s="546" t="s">
        <v>37</v>
      </c>
      <c r="I1702" s="711">
        <v>0</v>
      </c>
      <c r="J1702" s="896" t="str">
        <f t="shared" ref="J1702" si="6829">IFERROR((I1703/I1702),"-")</f>
        <v>-</v>
      </c>
      <c r="K1702" s="528"/>
      <c r="L1702" s="546" t="s">
        <v>37</v>
      </c>
      <c r="M1702" s="711">
        <f t="shared" si="6819"/>
        <v>0</v>
      </c>
      <c r="N1702" s="896" t="str">
        <f t="shared" ref="N1702" si="6830">IFERROR((M1703/M1702),"-")</f>
        <v>-</v>
      </c>
      <c r="O1702" s="528"/>
      <c r="P1702" s="547">
        <v>0</v>
      </c>
      <c r="Q1702" s="547">
        <v>0</v>
      </c>
      <c r="R1702" s="547">
        <v>0</v>
      </c>
      <c r="S1702" s="547">
        <v>0</v>
      </c>
      <c r="T1702" s="547">
        <v>0</v>
      </c>
      <c r="U1702" s="547">
        <v>0</v>
      </c>
      <c r="V1702" s="548">
        <v>0</v>
      </c>
      <c r="W1702" s="528"/>
      <c r="X1702" s="711">
        <f t="shared" si="6821"/>
        <v>0</v>
      </c>
      <c r="Y1702" s="896" t="str">
        <f t="shared" ref="Y1702" si="6831">IFERROR((X1703/X1702),"-")</f>
        <v>-</v>
      </c>
      <c r="Z1702" s="528"/>
      <c r="AA1702" s="898">
        <v>0</v>
      </c>
      <c r="AB1702" s="898">
        <v>0</v>
      </c>
      <c r="AC1702" s="903">
        <v>0</v>
      </c>
      <c r="AD1702" s="900" t="str">
        <f t="shared" ref="AD1702" si="6832">IFERROR((AC1702/AB1702),"-")</f>
        <v>-</v>
      </c>
      <c r="AE1702" s="2"/>
      <c r="AF1702" s="884">
        <v>0</v>
      </c>
      <c r="AG1702" s="884"/>
      <c r="AH1702" s="884">
        <v>0</v>
      </c>
      <c r="AI1702" s="884"/>
      <c r="AJ1702" s="884">
        <v>1098.5239999999999</v>
      </c>
      <c r="AK1702" s="884">
        <f t="shared" ref="AK1702" si="6833">AF1702+AG1702+AH1702+AI1702+AJ1702+AC1702</f>
        <v>1098.5239999999999</v>
      </c>
      <c r="AL1702" s="884">
        <v>1205.04</v>
      </c>
      <c r="AM1702" s="878">
        <f t="shared" ref="AM1702" si="6834">IFERROR((AK1702/AL1702),"-")</f>
        <v>0.91160791343025949</v>
      </c>
      <c r="AN1702" s="2"/>
      <c r="AO1702" s="884">
        <v>1205</v>
      </c>
      <c r="AP1702" s="884">
        <f t="shared" ref="AP1702" si="6835">AO1702-AK1702</f>
        <v>106.47600000000011</v>
      </c>
      <c r="AV1702" t="str">
        <f t="shared" si="6733"/>
        <v>Drenagem Superficial</v>
      </c>
      <c r="AW1702" s="4" t="str">
        <f t="shared" si="6724"/>
        <v xml:space="preserve">   Construção de sarjeta trapezoidal de corte</v>
      </c>
    </row>
    <row r="1703" spans="1:50" ht="15.6" hidden="1" customHeight="1" outlineLevel="2">
      <c r="A1703" s="8" t="str">
        <f t="shared" ref="A1703" si="6836">A1702</f>
        <v>N</v>
      </c>
      <c r="B1703" s="150"/>
      <c r="C1703" s="150" t="s">
        <v>2024</v>
      </c>
      <c r="D1703" s="120" t="s">
        <v>2025</v>
      </c>
      <c r="E1703" s="915"/>
      <c r="F1703" s="902"/>
      <c r="G1703" s="528"/>
      <c r="H1703" s="549" t="s">
        <v>38</v>
      </c>
      <c r="I1703" s="711">
        <v>0</v>
      </c>
      <c r="J1703" s="897"/>
      <c r="K1703" s="528"/>
      <c r="L1703" s="549" t="s">
        <v>38</v>
      </c>
      <c r="M1703" s="711">
        <f t="shared" si="6819"/>
        <v>0</v>
      </c>
      <c r="N1703" s="897"/>
      <c r="O1703" s="528"/>
      <c r="P1703" s="548">
        <v>0</v>
      </c>
      <c r="Q1703" s="548">
        <v>0</v>
      </c>
      <c r="R1703" s="548">
        <v>0</v>
      </c>
      <c r="S1703" s="548">
        <v>0</v>
      </c>
      <c r="T1703" s="548">
        <v>0</v>
      </c>
      <c r="U1703" s="548">
        <v>0</v>
      </c>
      <c r="V1703" s="548">
        <v>0</v>
      </c>
      <c r="W1703" s="528"/>
      <c r="X1703" s="711">
        <f t="shared" si="6821"/>
        <v>0</v>
      </c>
      <c r="Y1703" s="897"/>
      <c r="Z1703" s="528"/>
      <c r="AA1703" s="899"/>
      <c r="AB1703" s="899"/>
      <c r="AC1703" s="904"/>
      <c r="AD1703" s="901"/>
      <c r="AE1703" s="2"/>
      <c r="AF1703" s="885"/>
      <c r="AG1703" s="885"/>
      <c r="AH1703" s="885"/>
      <c r="AI1703" s="885"/>
      <c r="AJ1703" s="885"/>
      <c r="AK1703" s="885"/>
      <c r="AL1703" s="885"/>
      <c r="AM1703" s="879"/>
      <c r="AN1703" s="2"/>
      <c r="AO1703" s="886"/>
      <c r="AP1703" s="886"/>
      <c r="AV1703" t="str">
        <f t="shared" si="6733"/>
        <v>Drenagem Superficial</v>
      </c>
      <c r="AW1703" s="4" t="str">
        <f t="shared" si="6724"/>
        <v xml:space="preserve">   Construção de sarjeta trapezoidal de corte</v>
      </c>
    </row>
    <row r="1704" spans="1:50" ht="15.6" hidden="1" customHeight="1" outlineLevel="2">
      <c r="A1704" s="8" t="str">
        <f t="shared" ref="A1704" si="6837">IF(SUM(P1704:V1705)&gt;0,"S","N")</f>
        <v>N</v>
      </c>
      <c r="B1704" s="150">
        <v>1064660</v>
      </c>
      <c r="C1704" s="150" t="s">
        <v>2026</v>
      </c>
      <c r="D1704" s="120" t="s">
        <v>2027</v>
      </c>
      <c r="E1704" s="914" t="s">
        <v>2028</v>
      </c>
      <c r="F1704" s="902" t="s">
        <v>52</v>
      </c>
      <c r="G1704" s="528"/>
      <c r="H1704" s="546" t="s">
        <v>37</v>
      </c>
      <c r="I1704" s="711">
        <v>0</v>
      </c>
      <c r="J1704" s="896" t="str">
        <f t="shared" ref="J1704" si="6838">IFERROR((I1705/I1704),"-")</f>
        <v>-</v>
      </c>
      <c r="K1704" s="528"/>
      <c r="L1704" s="546" t="s">
        <v>37</v>
      </c>
      <c r="M1704" s="711">
        <f t="shared" si="6819"/>
        <v>0</v>
      </c>
      <c r="N1704" s="896" t="str">
        <f>IFERROR((M1705/M1704),"-")</f>
        <v>-</v>
      </c>
      <c r="O1704" s="528"/>
      <c r="P1704" s="547">
        <v>0</v>
      </c>
      <c r="Q1704" s="547">
        <v>0</v>
      </c>
      <c r="R1704" s="547">
        <v>0</v>
      </c>
      <c r="S1704" s="547">
        <v>0</v>
      </c>
      <c r="T1704" s="547">
        <v>0</v>
      </c>
      <c r="U1704" s="547">
        <v>0</v>
      </c>
      <c r="V1704" s="548">
        <v>0</v>
      </c>
      <c r="W1704" s="528"/>
      <c r="X1704" s="711">
        <f t="shared" si="6821"/>
        <v>0</v>
      </c>
      <c r="Y1704" s="896" t="str">
        <f t="shared" ref="Y1704" si="6839">IFERROR((X1705/X1704),"-")</f>
        <v>-</v>
      </c>
      <c r="Z1704" s="528"/>
      <c r="AA1704" s="898">
        <v>0</v>
      </c>
      <c r="AB1704" s="898">
        <v>0</v>
      </c>
      <c r="AC1704" s="903">
        <v>0</v>
      </c>
      <c r="AD1704" s="900" t="str">
        <f t="shared" ref="AD1704" si="6840">IFERROR((AC1704/AB1704),"-")</f>
        <v>-</v>
      </c>
      <c r="AE1704" s="2"/>
      <c r="AF1704" s="884">
        <v>0</v>
      </c>
      <c r="AG1704" s="884"/>
      <c r="AH1704" s="884">
        <v>0</v>
      </c>
      <c r="AI1704" s="884"/>
      <c r="AJ1704" s="884"/>
      <c r="AK1704" s="884">
        <f t="shared" ref="AK1704" si="6841">AF1704+AG1704+AH1704+AI1704+AJ1704+AC1704</f>
        <v>0</v>
      </c>
      <c r="AL1704" s="884">
        <v>0</v>
      </c>
      <c r="AM1704" s="878" t="str">
        <f t="shared" ref="AM1704" si="6842">IFERROR((AK1704/AL1704),"-")</f>
        <v>-</v>
      </c>
      <c r="AN1704" s="2"/>
      <c r="AO1704" s="884">
        <v>570</v>
      </c>
      <c r="AP1704" s="884">
        <f t="shared" ref="AP1704" si="6843">AO1704-AK1704</f>
        <v>570</v>
      </c>
      <c r="AV1704" t="str">
        <f t="shared" si="6733"/>
        <v>Drenagem Superficial</v>
      </c>
      <c r="AW1704" s="4" t="str">
        <f t="shared" si="6724"/>
        <v xml:space="preserve">   Seg. 3.1-C01 - Drenagem Superficial - Sarjeta de corte (Extrusada)</v>
      </c>
    </row>
    <row r="1705" spans="1:50" ht="15.6" hidden="1" customHeight="1" outlineLevel="2">
      <c r="A1705" s="8" t="str">
        <f t="shared" ref="A1705" si="6844">A1704</f>
        <v>N</v>
      </c>
      <c r="B1705" s="150"/>
      <c r="C1705" s="150" t="s">
        <v>2026</v>
      </c>
      <c r="D1705" s="120" t="s">
        <v>2027</v>
      </c>
      <c r="E1705" s="915"/>
      <c r="F1705" s="902"/>
      <c r="G1705" s="528"/>
      <c r="H1705" s="549" t="s">
        <v>38</v>
      </c>
      <c r="I1705" s="711">
        <v>0</v>
      </c>
      <c r="J1705" s="897"/>
      <c r="K1705" s="528"/>
      <c r="L1705" s="549" t="s">
        <v>38</v>
      </c>
      <c r="M1705" s="711">
        <f t="shared" si="6819"/>
        <v>0</v>
      </c>
      <c r="N1705" s="897"/>
      <c r="O1705" s="528"/>
      <c r="P1705" s="548">
        <v>0</v>
      </c>
      <c r="Q1705" s="548">
        <v>0</v>
      </c>
      <c r="R1705" s="548">
        <v>0</v>
      </c>
      <c r="S1705" s="548">
        <v>0</v>
      </c>
      <c r="T1705" s="548">
        <v>0</v>
      </c>
      <c r="U1705" s="548">
        <v>0</v>
      </c>
      <c r="V1705" s="548">
        <v>0</v>
      </c>
      <c r="W1705" s="528"/>
      <c r="X1705" s="711">
        <f t="shared" si="6821"/>
        <v>0</v>
      </c>
      <c r="Y1705" s="897"/>
      <c r="Z1705" s="528"/>
      <c r="AA1705" s="899"/>
      <c r="AB1705" s="899"/>
      <c r="AC1705" s="904"/>
      <c r="AD1705" s="901"/>
      <c r="AE1705" s="2"/>
      <c r="AF1705" s="885"/>
      <c r="AG1705" s="885"/>
      <c r="AH1705" s="885"/>
      <c r="AI1705" s="885"/>
      <c r="AJ1705" s="885"/>
      <c r="AK1705" s="885"/>
      <c r="AL1705" s="885"/>
      <c r="AM1705" s="879"/>
      <c r="AN1705" s="2"/>
      <c r="AO1705" s="886"/>
      <c r="AP1705" s="886"/>
      <c r="AV1705" t="str">
        <f t="shared" si="6733"/>
        <v>Drenagem Superficial</v>
      </c>
      <c r="AW1705" s="4" t="str">
        <f t="shared" si="6724"/>
        <v xml:space="preserve">   Seg. 3.1-C01 - Drenagem Superficial - Sarjeta de corte (Extrusada)</v>
      </c>
    </row>
    <row r="1706" spans="1:50" ht="15.6" hidden="1" customHeight="1" outlineLevel="2">
      <c r="A1706" s="209" t="str">
        <f t="shared" ref="A1706" si="6845">IF(SUM(P1706:V1707)&gt;0,"S","N")</f>
        <v>N</v>
      </c>
      <c r="B1706" s="150">
        <v>1064665</v>
      </c>
      <c r="C1706" s="150" t="s">
        <v>2029</v>
      </c>
      <c r="D1706" s="120" t="s">
        <v>542</v>
      </c>
      <c r="E1706" s="914" t="s">
        <v>2030</v>
      </c>
      <c r="F1706" s="902" t="s">
        <v>52</v>
      </c>
      <c r="G1706" s="528"/>
      <c r="H1706" s="546" t="s">
        <v>37</v>
      </c>
      <c r="I1706" s="711">
        <v>0</v>
      </c>
      <c r="J1706" s="896" t="str">
        <f t="shared" ref="J1706" si="6846">IFERROR((I1707/I1706),"-")</f>
        <v>-</v>
      </c>
      <c r="K1706" s="528"/>
      <c r="L1706" s="546" t="s">
        <v>37</v>
      </c>
      <c r="M1706" s="711">
        <f t="shared" si="6819"/>
        <v>0</v>
      </c>
      <c r="N1706" s="896" t="str">
        <f>IFERROR((M1707/M1706),"-")</f>
        <v>-</v>
      </c>
      <c r="O1706" s="528"/>
      <c r="P1706" s="547">
        <v>0</v>
      </c>
      <c r="Q1706" s="547">
        <v>0</v>
      </c>
      <c r="R1706" s="547">
        <v>0</v>
      </c>
      <c r="S1706" s="547">
        <v>0</v>
      </c>
      <c r="T1706" s="547">
        <v>0</v>
      </c>
      <c r="U1706" s="547">
        <v>0</v>
      </c>
      <c r="V1706" s="548">
        <v>0</v>
      </c>
      <c r="W1706" s="528"/>
      <c r="X1706" s="711">
        <f t="shared" si="6821"/>
        <v>0</v>
      </c>
      <c r="Y1706" s="896" t="str">
        <f t="shared" ref="Y1706" si="6847">IFERROR((X1707/X1706),"-")</f>
        <v>-</v>
      </c>
      <c r="Z1706" s="528"/>
      <c r="AA1706" s="898">
        <v>0</v>
      </c>
      <c r="AB1706" s="898">
        <v>0</v>
      </c>
      <c r="AC1706" s="903">
        <v>0</v>
      </c>
      <c r="AD1706" s="900" t="str">
        <f t="shared" ref="AD1706" si="6848">IFERROR((AC1706/AB1706),"-")</f>
        <v>-</v>
      </c>
      <c r="AE1706" s="2"/>
      <c r="AF1706" s="884">
        <v>0</v>
      </c>
      <c r="AG1706" s="884"/>
      <c r="AH1706" s="884">
        <v>0</v>
      </c>
      <c r="AI1706" s="884"/>
      <c r="AJ1706" s="884"/>
      <c r="AK1706" s="884">
        <f t="shared" ref="AK1706" si="6849">AF1706+AG1706+AH1706+AI1706+AJ1706+AC1706</f>
        <v>0</v>
      </c>
      <c r="AL1706" s="884">
        <v>0</v>
      </c>
      <c r="AM1706" s="878" t="str">
        <f t="shared" ref="AM1706" si="6850">IFERROR((AK1706/AL1706),"-")</f>
        <v>-</v>
      </c>
      <c r="AN1706" s="2"/>
      <c r="AO1706" s="884">
        <v>1302</v>
      </c>
      <c r="AP1706" s="884">
        <f t="shared" ref="AP1706" si="6851">AO1706-AK1706</f>
        <v>1302</v>
      </c>
      <c r="AV1706" t="str">
        <f t="shared" si="6733"/>
        <v>Drenagem Superficial</v>
      </c>
      <c r="AW1706" s="4" t="str">
        <f t="shared" si="6724"/>
        <v xml:space="preserve">   Seg. 3.1-C03 - Drenagem Superficial - Sarjeta de corte (Manual)</v>
      </c>
    </row>
    <row r="1707" spans="1:50" ht="15.6" hidden="1" customHeight="1" outlineLevel="2">
      <c r="A1707" s="209" t="str">
        <f t="shared" ref="A1707" si="6852">A1706</f>
        <v>N</v>
      </c>
      <c r="B1707" s="150"/>
      <c r="C1707" s="150" t="s">
        <v>2029</v>
      </c>
      <c r="D1707" s="120" t="s">
        <v>542</v>
      </c>
      <c r="E1707" s="915"/>
      <c r="F1707" s="902"/>
      <c r="G1707" s="528"/>
      <c r="H1707" s="549" t="s">
        <v>38</v>
      </c>
      <c r="I1707" s="711">
        <v>0</v>
      </c>
      <c r="J1707" s="897"/>
      <c r="K1707" s="528"/>
      <c r="L1707" s="549" t="s">
        <v>38</v>
      </c>
      <c r="M1707" s="711">
        <f t="shared" si="6819"/>
        <v>0</v>
      </c>
      <c r="N1707" s="897"/>
      <c r="O1707" s="528"/>
      <c r="P1707" s="548">
        <v>0</v>
      </c>
      <c r="Q1707" s="548">
        <v>0</v>
      </c>
      <c r="R1707" s="548">
        <v>0</v>
      </c>
      <c r="S1707" s="548">
        <v>0</v>
      </c>
      <c r="T1707" s="548">
        <v>0</v>
      </c>
      <c r="U1707" s="548">
        <v>0</v>
      </c>
      <c r="V1707" s="548">
        <v>0</v>
      </c>
      <c r="W1707" s="528"/>
      <c r="X1707" s="711">
        <f t="shared" si="6821"/>
        <v>0</v>
      </c>
      <c r="Y1707" s="897"/>
      <c r="Z1707" s="528"/>
      <c r="AA1707" s="899"/>
      <c r="AB1707" s="899"/>
      <c r="AC1707" s="904"/>
      <c r="AD1707" s="901"/>
      <c r="AE1707" s="2"/>
      <c r="AF1707" s="885"/>
      <c r="AG1707" s="885"/>
      <c r="AH1707" s="885"/>
      <c r="AI1707" s="885"/>
      <c r="AJ1707" s="885"/>
      <c r="AK1707" s="885"/>
      <c r="AL1707" s="885"/>
      <c r="AM1707" s="879"/>
      <c r="AN1707" s="2"/>
      <c r="AO1707" s="886"/>
      <c r="AP1707" s="886"/>
      <c r="AV1707" t="str">
        <f t="shared" si="6733"/>
        <v>Drenagem Superficial</v>
      </c>
      <c r="AW1707" s="4" t="str">
        <f t="shared" si="6724"/>
        <v xml:space="preserve">   Seg. 3.1-C03 - Drenagem Superficial - Sarjeta de corte (Manual)</v>
      </c>
    </row>
    <row r="1708" spans="1:50" ht="15.6" hidden="1" customHeight="1" outlineLevel="2">
      <c r="A1708" s="8" t="str">
        <f t="shared" ref="A1708" si="6853">IF(SUM(P1708:V1709)&gt;0,"S","N")</f>
        <v>N</v>
      </c>
      <c r="B1708" s="150">
        <v>1064671</v>
      </c>
      <c r="C1708" s="150" t="s">
        <v>2031</v>
      </c>
      <c r="D1708" s="120" t="s">
        <v>545</v>
      </c>
      <c r="E1708" s="914" t="s">
        <v>2032</v>
      </c>
      <c r="F1708" s="902" t="s">
        <v>52</v>
      </c>
      <c r="G1708" s="528"/>
      <c r="H1708" s="546" t="s">
        <v>37</v>
      </c>
      <c r="I1708" s="711">
        <v>0</v>
      </c>
      <c r="J1708" s="896" t="str">
        <f t="shared" ref="J1708" si="6854">IFERROR((I1709/I1708),"-")</f>
        <v>-</v>
      </c>
      <c r="K1708" s="528"/>
      <c r="L1708" s="546" t="s">
        <v>37</v>
      </c>
      <c r="M1708" s="711">
        <f t="shared" si="6819"/>
        <v>0</v>
      </c>
      <c r="N1708" s="896" t="str">
        <f>IFERROR((M1709/M1708),"-")</f>
        <v>-</v>
      </c>
      <c r="O1708" s="528"/>
      <c r="P1708" s="547">
        <v>0</v>
      </c>
      <c r="Q1708" s="547">
        <v>0</v>
      </c>
      <c r="R1708" s="547">
        <v>0</v>
      </c>
      <c r="S1708" s="547">
        <v>0</v>
      </c>
      <c r="T1708" s="547">
        <v>0</v>
      </c>
      <c r="U1708" s="547">
        <v>0</v>
      </c>
      <c r="V1708" s="548">
        <v>0</v>
      </c>
      <c r="W1708" s="528"/>
      <c r="X1708" s="711">
        <f t="shared" si="6821"/>
        <v>0</v>
      </c>
      <c r="Y1708" s="896" t="str">
        <f t="shared" ref="Y1708" si="6855">IFERROR((X1709/X1708),"-")</f>
        <v>-</v>
      </c>
      <c r="Z1708" s="528"/>
      <c r="AA1708" s="898">
        <v>0</v>
      </c>
      <c r="AB1708" s="898">
        <v>0</v>
      </c>
      <c r="AC1708" s="903">
        <v>0</v>
      </c>
      <c r="AD1708" s="900" t="str">
        <f t="shared" ref="AD1708" si="6856">IFERROR((AC1708/AB1708),"-")</f>
        <v>-</v>
      </c>
      <c r="AE1708" s="2"/>
      <c r="AF1708" s="884">
        <v>0</v>
      </c>
      <c r="AG1708" s="884"/>
      <c r="AH1708" s="884">
        <v>0</v>
      </c>
      <c r="AI1708" s="884"/>
      <c r="AJ1708" s="884"/>
      <c r="AK1708" s="884">
        <f t="shared" ref="AK1708" si="6857">AF1708+AG1708+AH1708+AI1708+AJ1708+AC1708</f>
        <v>0</v>
      </c>
      <c r="AL1708" s="884">
        <v>0</v>
      </c>
      <c r="AM1708" s="878" t="str">
        <f t="shared" ref="AM1708" si="6858">IFERROR((AK1708/AL1708),"-")</f>
        <v>-</v>
      </c>
      <c r="AN1708" s="2"/>
      <c r="AO1708" s="884">
        <v>1930</v>
      </c>
      <c r="AP1708" s="884">
        <f t="shared" ref="AP1708" si="6859">AO1708-AK1708</f>
        <v>1930</v>
      </c>
      <c r="AV1708" t="str">
        <f t="shared" si="6733"/>
        <v>Drenagem Superficial</v>
      </c>
      <c r="AW1708" s="4" t="str">
        <f t="shared" si="6724"/>
        <v xml:space="preserve">   Seg. 3.1-C05 - Drenagem Superficial - Sarjeta de corte (Manual)</v>
      </c>
    </row>
    <row r="1709" spans="1:50" ht="15.6" hidden="1" customHeight="1" outlineLevel="2">
      <c r="A1709" s="8" t="str">
        <f t="shared" ref="A1709" si="6860">A1708</f>
        <v>N</v>
      </c>
      <c r="B1709" s="150"/>
      <c r="C1709" s="150" t="s">
        <v>2031</v>
      </c>
      <c r="D1709" s="120" t="s">
        <v>545</v>
      </c>
      <c r="E1709" s="915"/>
      <c r="F1709" s="902"/>
      <c r="G1709" s="528"/>
      <c r="H1709" s="549" t="s">
        <v>38</v>
      </c>
      <c r="I1709" s="711">
        <v>0</v>
      </c>
      <c r="J1709" s="897"/>
      <c r="K1709" s="528"/>
      <c r="L1709" s="549" t="s">
        <v>38</v>
      </c>
      <c r="M1709" s="711">
        <f t="shared" si="6819"/>
        <v>0</v>
      </c>
      <c r="N1709" s="897"/>
      <c r="O1709" s="528"/>
      <c r="P1709" s="548">
        <v>0</v>
      </c>
      <c r="Q1709" s="548">
        <v>0</v>
      </c>
      <c r="R1709" s="548">
        <v>0</v>
      </c>
      <c r="S1709" s="548">
        <v>0</v>
      </c>
      <c r="T1709" s="548">
        <v>0</v>
      </c>
      <c r="U1709" s="548">
        <v>0</v>
      </c>
      <c r="V1709" s="548">
        <v>0</v>
      </c>
      <c r="W1709" s="528"/>
      <c r="X1709" s="711">
        <f t="shared" si="6821"/>
        <v>0</v>
      </c>
      <c r="Y1709" s="897"/>
      <c r="Z1709" s="528"/>
      <c r="AA1709" s="899"/>
      <c r="AB1709" s="899"/>
      <c r="AC1709" s="904"/>
      <c r="AD1709" s="901"/>
      <c r="AE1709" s="2"/>
      <c r="AF1709" s="885"/>
      <c r="AG1709" s="885"/>
      <c r="AH1709" s="885"/>
      <c r="AI1709" s="885"/>
      <c r="AJ1709" s="885"/>
      <c r="AK1709" s="885"/>
      <c r="AL1709" s="885"/>
      <c r="AM1709" s="879"/>
      <c r="AN1709" s="2"/>
      <c r="AO1709" s="886"/>
      <c r="AP1709" s="886"/>
      <c r="AV1709" t="str">
        <f t="shared" si="6733"/>
        <v>Drenagem Superficial</v>
      </c>
      <c r="AW1709" s="4" t="str">
        <f t="shared" si="6724"/>
        <v xml:space="preserve">   Seg. 3.1-C05 - Drenagem Superficial - Sarjeta de corte (Manual)</v>
      </c>
    </row>
    <row r="1710" spans="1:50" ht="15.6" hidden="1" customHeight="1" outlineLevel="2">
      <c r="A1710" s="8" t="str">
        <f t="shared" ref="A1710" si="6861">IF(SUM(P1710:V1711)&gt;0,"S","N")</f>
        <v>N</v>
      </c>
      <c r="B1710" s="150">
        <v>1064675</v>
      </c>
      <c r="C1710" s="150" t="s">
        <v>2033</v>
      </c>
      <c r="D1710" s="120" t="s">
        <v>566</v>
      </c>
      <c r="E1710" s="914" t="s">
        <v>2034</v>
      </c>
      <c r="F1710" s="902" t="s">
        <v>52</v>
      </c>
      <c r="G1710" s="528"/>
      <c r="H1710" s="546" t="s">
        <v>37</v>
      </c>
      <c r="I1710" s="711">
        <v>0</v>
      </c>
      <c r="J1710" s="896" t="str">
        <f t="shared" ref="J1710" si="6862">IFERROR((I1711/I1710),"-")</f>
        <v>-</v>
      </c>
      <c r="K1710" s="528"/>
      <c r="L1710" s="546" t="s">
        <v>37</v>
      </c>
      <c r="M1710" s="711">
        <f t="shared" si="6819"/>
        <v>0</v>
      </c>
      <c r="N1710" s="896" t="str">
        <f>IFERROR((M1711/M1710),"-")</f>
        <v>-</v>
      </c>
      <c r="O1710" s="528"/>
      <c r="P1710" s="547">
        <v>0</v>
      </c>
      <c r="Q1710" s="547">
        <v>0</v>
      </c>
      <c r="R1710" s="547">
        <v>0</v>
      </c>
      <c r="S1710" s="547">
        <v>0</v>
      </c>
      <c r="T1710" s="547">
        <v>0</v>
      </c>
      <c r="U1710" s="547">
        <v>0</v>
      </c>
      <c r="V1710" s="548">
        <v>0</v>
      </c>
      <c r="W1710" s="528"/>
      <c r="X1710" s="711">
        <f t="shared" si="6821"/>
        <v>0</v>
      </c>
      <c r="Y1710" s="896" t="str">
        <f t="shared" ref="Y1710" si="6863">IFERROR((X1711/X1710),"-")</f>
        <v>-</v>
      </c>
      <c r="Z1710" s="528"/>
      <c r="AA1710" s="898">
        <v>0</v>
      </c>
      <c r="AB1710" s="898">
        <v>0</v>
      </c>
      <c r="AC1710" s="903">
        <v>0</v>
      </c>
      <c r="AD1710" s="900" t="str">
        <f t="shared" ref="AD1710" si="6864">IFERROR((AC1710/AB1710),"-")</f>
        <v>-</v>
      </c>
      <c r="AE1710" s="2"/>
      <c r="AF1710" s="884">
        <v>0</v>
      </c>
      <c r="AG1710" s="884"/>
      <c r="AH1710" s="884">
        <v>0</v>
      </c>
      <c r="AI1710" s="884"/>
      <c r="AJ1710" s="884"/>
      <c r="AK1710" s="884">
        <f t="shared" ref="AK1710" si="6865">AF1710+AG1710+AH1710+AI1710+AJ1710+AC1710</f>
        <v>0</v>
      </c>
      <c r="AL1710" s="884">
        <v>0</v>
      </c>
      <c r="AM1710" s="878" t="str">
        <f t="shared" ref="AM1710" si="6866">IFERROR((AK1710/AL1710),"-")</f>
        <v>-</v>
      </c>
      <c r="AN1710" s="2"/>
      <c r="AO1710" s="884">
        <v>172</v>
      </c>
      <c r="AP1710" s="884">
        <f t="shared" ref="AP1710" si="6867">AO1710-AK1710</f>
        <v>172</v>
      </c>
      <c r="AV1710" t="str">
        <f t="shared" si="6733"/>
        <v>Drenagem Superficial</v>
      </c>
      <c r="AW1710" s="4" t="str">
        <f t="shared" si="6724"/>
        <v xml:space="preserve">   Seg. 3.1-C06 - Drenagem Superficial - Sarjeta de corte (Manual)</v>
      </c>
    </row>
    <row r="1711" spans="1:50" ht="15.6" hidden="1" customHeight="1" outlineLevel="2">
      <c r="A1711" s="8" t="str">
        <f t="shared" ref="A1711" si="6868">A1710</f>
        <v>N</v>
      </c>
      <c r="B1711" s="150"/>
      <c r="C1711" s="150" t="s">
        <v>2033</v>
      </c>
      <c r="D1711" s="120" t="s">
        <v>566</v>
      </c>
      <c r="E1711" s="915"/>
      <c r="F1711" s="902"/>
      <c r="G1711" s="528"/>
      <c r="H1711" s="549" t="s">
        <v>38</v>
      </c>
      <c r="I1711" s="711">
        <v>0</v>
      </c>
      <c r="J1711" s="897"/>
      <c r="K1711" s="528"/>
      <c r="L1711" s="549" t="s">
        <v>38</v>
      </c>
      <c r="M1711" s="711">
        <f t="shared" si="6819"/>
        <v>0</v>
      </c>
      <c r="N1711" s="897"/>
      <c r="O1711" s="528"/>
      <c r="P1711" s="548">
        <v>0</v>
      </c>
      <c r="Q1711" s="548">
        <v>0</v>
      </c>
      <c r="R1711" s="548">
        <v>0</v>
      </c>
      <c r="S1711" s="548">
        <v>0</v>
      </c>
      <c r="T1711" s="548">
        <v>0</v>
      </c>
      <c r="U1711" s="548">
        <v>0</v>
      </c>
      <c r="V1711" s="548">
        <v>0</v>
      </c>
      <c r="W1711" s="528"/>
      <c r="X1711" s="711">
        <f t="shared" si="6821"/>
        <v>0</v>
      </c>
      <c r="Y1711" s="897"/>
      <c r="Z1711" s="528"/>
      <c r="AA1711" s="899"/>
      <c r="AB1711" s="899"/>
      <c r="AC1711" s="904"/>
      <c r="AD1711" s="901"/>
      <c r="AE1711" s="2"/>
      <c r="AF1711" s="885"/>
      <c r="AG1711" s="885"/>
      <c r="AH1711" s="885"/>
      <c r="AI1711" s="885"/>
      <c r="AJ1711" s="885"/>
      <c r="AK1711" s="885"/>
      <c r="AL1711" s="885"/>
      <c r="AM1711" s="879"/>
      <c r="AN1711" s="2"/>
      <c r="AO1711" s="886"/>
      <c r="AP1711" s="886"/>
      <c r="AV1711" t="str">
        <f t="shared" si="6733"/>
        <v>Drenagem Superficial</v>
      </c>
      <c r="AW1711" s="4" t="str">
        <f t="shared" si="6724"/>
        <v xml:space="preserve">   Seg. 3.1-C06 - Drenagem Superficial - Sarjeta de corte (Manual)</v>
      </c>
    </row>
    <row r="1712" spans="1:50" ht="15.6" hidden="1" customHeight="1" outlineLevel="2">
      <c r="A1712" s="8" t="str">
        <f t="shared" ref="A1712" si="6869">IF(SUM(P1712:V1713)&gt;0,"S","N")</f>
        <v>N</v>
      </c>
      <c r="B1712" s="150">
        <v>1064676</v>
      </c>
      <c r="C1712" s="150" t="s">
        <v>2035</v>
      </c>
      <c r="D1712" s="120" t="s">
        <v>566</v>
      </c>
      <c r="E1712" s="914" t="s">
        <v>2036</v>
      </c>
      <c r="F1712" s="902" t="s">
        <v>52</v>
      </c>
      <c r="G1712" s="528"/>
      <c r="H1712" s="546" t="s">
        <v>37</v>
      </c>
      <c r="I1712" s="711">
        <v>0</v>
      </c>
      <c r="J1712" s="896" t="str">
        <f t="shared" ref="J1712" si="6870">IFERROR((I1713/I1712),"-")</f>
        <v>-</v>
      </c>
      <c r="K1712" s="528"/>
      <c r="L1712" s="546" t="s">
        <v>37</v>
      </c>
      <c r="M1712" s="711">
        <f t="shared" si="6819"/>
        <v>0</v>
      </c>
      <c r="N1712" s="896" t="str">
        <f>IFERROR((M1713/M1712),"-")</f>
        <v>-</v>
      </c>
      <c r="O1712" s="528"/>
      <c r="P1712" s="547">
        <v>0</v>
      </c>
      <c r="Q1712" s="547">
        <v>0</v>
      </c>
      <c r="R1712" s="547">
        <v>0</v>
      </c>
      <c r="S1712" s="547">
        <v>0</v>
      </c>
      <c r="T1712" s="547">
        <v>0</v>
      </c>
      <c r="U1712" s="547">
        <v>0</v>
      </c>
      <c r="V1712" s="548">
        <v>0</v>
      </c>
      <c r="W1712" s="528"/>
      <c r="X1712" s="711">
        <f t="shared" si="6821"/>
        <v>0</v>
      </c>
      <c r="Y1712" s="896" t="str">
        <f t="shared" ref="Y1712" si="6871">IFERROR((X1713/X1712),"-")</f>
        <v>-</v>
      </c>
      <c r="Z1712" s="528"/>
      <c r="AA1712" s="898">
        <v>0</v>
      </c>
      <c r="AB1712" s="898">
        <v>0</v>
      </c>
      <c r="AC1712" s="903">
        <v>0</v>
      </c>
      <c r="AD1712" s="900" t="str">
        <f t="shared" ref="AD1712" si="6872">IFERROR((AC1712/AB1712),"-")</f>
        <v>-</v>
      </c>
      <c r="AE1712" s="2"/>
      <c r="AF1712" s="884">
        <v>0</v>
      </c>
      <c r="AG1712" s="884"/>
      <c r="AH1712" s="884">
        <v>0</v>
      </c>
      <c r="AI1712" s="884"/>
      <c r="AJ1712" s="884"/>
      <c r="AK1712" s="884">
        <f t="shared" ref="AK1712" si="6873">AF1712+AG1712+AH1712+AI1712+AJ1712+AC1712</f>
        <v>0</v>
      </c>
      <c r="AL1712" s="884">
        <v>0</v>
      </c>
      <c r="AM1712" s="878" t="str">
        <f t="shared" ref="AM1712" si="6874">IFERROR((AK1712/AL1712),"-")</f>
        <v>-</v>
      </c>
      <c r="AN1712" s="2"/>
      <c r="AO1712" s="884">
        <v>3208</v>
      </c>
      <c r="AP1712" s="884">
        <f t="shared" ref="AP1712" si="6875">AO1712-AK1712</f>
        <v>3208</v>
      </c>
      <c r="AV1712" t="str">
        <f t="shared" si="6733"/>
        <v>Drenagem Superficial</v>
      </c>
      <c r="AW1712" s="4" t="str">
        <f t="shared" si="6724"/>
        <v xml:space="preserve">   Seg. 3.1-C07 - Drenagem Superficial - Sarjeta de corte (Manual)</v>
      </c>
    </row>
    <row r="1713" spans="1:49" ht="15.6" hidden="1" customHeight="1" outlineLevel="2">
      <c r="A1713" s="8" t="str">
        <f t="shared" ref="A1713" si="6876">A1712</f>
        <v>N</v>
      </c>
      <c r="B1713" s="150"/>
      <c r="C1713" s="150" t="s">
        <v>2035</v>
      </c>
      <c r="D1713" s="120" t="s">
        <v>566</v>
      </c>
      <c r="E1713" s="915"/>
      <c r="F1713" s="902"/>
      <c r="G1713" s="528"/>
      <c r="H1713" s="549" t="s">
        <v>38</v>
      </c>
      <c r="I1713" s="711">
        <v>0</v>
      </c>
      <c r="J1713" s="897"/>
      <c r="K1713" s="528"/>
      <c r="L1713" s="549" t="s">
        <v>38</v>
      </c>
      <c r="M1713" s="711">
        <f t="shared" si="6819"/>
        <v>0</v>
      </c>
      <c r="N1713" s="897"/>
      <c r="O1713" s="528"/>
      <c r="P1713" s="548">
        <v>0</v>
      </c>
      <c r="Q1713" s="548">
        <v>0</v>
      </c>
      <c r="R1713" s="548">
        <v>0</v>
      </c>
      <c r="S1713" s="548">
        <v>0</v>
      </c>
      <c r="T1713" s="548">
        <v>0</v>
      </c>
      <c r="U1713" s="548">
        <v>0</v>
      </c>
      <c r="V1713" s="548">
        <v>0</v>
      </c>
      <c r="W1713" s="528"/>
      <c r="X1713" s="711">
        <f t="shared" si="6821"/>
        <v>0</v>
      </c>
      <c r="Y1713" s="897"/>
      <c r="Z1713" s="528"/>
      <c r="AA1713" s="899"/>
      <c r="AB1713" s="899"/>
      <c r="AC1713" s="904"/>
      <c r="AD1713" s="901"/>
      <c r="AE1713" s="2"/>
      <c r="AF1713" s="885"/>
      <c r="AG1713" s="885"/>
      <c r="AH1713" s="885"/>
      <c r="AI1713" s="885"/>
      <c r="AJ1713" s="885"/>
      <c r="AK1713" s="885"/>
      <c r="AL1713" s="885"/>
      <c r="AM1713" s="879"/>
      <c r="AN1713" s="2"/>
      <c r="AO1713" s="886"/>
      <c r="AP1713" s="886"/>
      <c r="AV1713" t="str">
        <f t="shared" si="6733"/>
        <v>Drenagem Superficial</v>
      </c>
      <c r="AW1713" s="4" t="str">
        <f t="shared" si="6724"/>
        <v xml:space="preserve">   Seg. 3.1-C07 - Drenagem Superficial - Sarjeta de corte (Manual)</v>
      </c>
    </row>
    <row r="1714" spans="1:49" ht="15.6" hidden="1" customHeight="1" outlineLevel="2" collapsed="1">
      <c r="A1714" s="8" t="str">
        <f t="shared" ref="A1714" si="6877">IF(SUM(P1714:V1715)&gt;0,"S","N")</f>
        <v>N</v>
      </c>
      <c r="B1714" s="150">
        <v>1064681</v>
      </c>
      <c r="C1714" s="150" t="s">
        <v>2037</v>
      </c>
      <c r="D1714" s="120" t="s">
        <v>2038</v>
      </c>
      <c r="E1714" s="914" t="s">
        <v>2039</v>
      </c>
      <c r="F1714" s="902" t="s">
        <v>52</v>
      </c>
      <c r="G1714" s="528"/>
      <c r="H1714" s="546" t="s">
        <v>37</v>
      </c>
      <c r="I1714" s="711">
        <v>0</v>
      </c>
      <c r="J1714" s="896" t="str">
        <f t="shared" ref="J1714" si="6878">IFERROR((I1715/I1714),"-")</f>
        <v>-</v>
      </c>
      <c r="K1714" s="528"/>
      <c r="L1714" s="546" t="s">
        <v>37</v>
      </c>
      <c r="M1714" s="711">
        <f t="shared" si="6819"/>
        <v>0</v>
      </c>
      <c r="N1714" s="896" t="str">
        <f t="shared" ref="N1714" si="6879">IFERROR((M1715/M1714),"-")</f>
        <v>-</v>
      </c>
      <c r="O1714" s="528"/>
      <c r="P1714" s="547">
        <v>0</v>
      </c>
      <c r="Q1714" s="547">
        <v>0</v>
      </c>
      <c r="R1714" s="547">
        <v>0</v>
      </c>
      <c r="S1714" s="547">
        <v>0</v>
      </c>
      <c r="T1714" s="547">
        <v>0</v>
      </c>
      <c r="U1714" s="547">
        <v>0</v>
      </c>
      <c r="V1714" s="548">
        <v>0</v>
      </c>
      <c r="W1714" s="528"/>
      <c r="X1714" s="711">
        <f t="shared" si="6821"/>
        <v>0</v>
      </c>
      <c r="Y1714" s="896" t="str">
        <f t="shared" ref="Y1714" si="6880">IFERROR((X1715/X1714),"-")</f>
        <v>-</v>
      </c>
      <c r="Z1714" s="528"/>
      <c r="AA1714" s="898">
        <v>0</v>
      </c>
      <c r="AB1714" s="898">
        <v>0</v>
      </c>
      <c r="AC1714" s="903">
        <v>0</v>
      </c>
      <c r="AD1714" s="900" t="str">
        <f t="shared" ref="AD1714" si="6881">IFERROR((AC1714/AB1714),"-")</f>
        <v>-</v>
      </c>
      <c r="AE1714" s="2"/>
      <c r="AF1714" s="884">
        <v>0</v>
      </c>
      <c r="AG1714" s="884"/>
      <c r="AH1714" s="884">
        <v>0</v>
      </c>
      <c r="AI1714" s="884"/>
      <c r="AJ1714" s="884"/>
      <c r="AK1714" s="884">
        <f t="shared" ref="AK1714" si="6882">AF1714+AG1714+AH1714+AI1714+AJ1714+AC1714</f>
        <v>0</v>
      </c>
      <c r="AL1714" s="884">
        <v>0</v>
      </c>
      <c r="AM1714" s="878" t="str">
        <f t="shared" ref="AM1714" si="6883">IFERROR((AK1714/AL1714),"-")</f>
        <v>-</v>
      </c>
      <c r="AN1714" s="2"/>
      <c r="AO1714" s="884">
        <v>380</v>
      </c>
      <c r="AP1714" s="884">
        <f t="shared" ref="AP1714" si="6884">AO1714-AK1714</f>
        <v>380</v>
      </c>
      <c r="AV1714" t="str">
        <f t="shared" si="6733"/>
        <v>Drenagem Superficial</v>
      </c>
      <c r="AW1714" s="4" t="str">
        <f t="shared" si="6724"/>
        <v xml:space="preserve">   Seg. 3.1-C08 - Drenagem Superficial - Sarjeta de corte (Extrusada)</v>
      </c>
    </row>
    <row r="1715" spans="1:49" ht="15.6" hidden="1" customHeight="1" outlineLevel="2">
      <c r="A1715" s="8" t="str">
        <f t="shared" ref="A1715" si="6885">A1714</f>
        <v>N</v>
      </c>
      <c r="B1715" s="150"/>
      <c r="C1715" s="150" t="s">
        <v>2037</v>
      </c>
      <c r="D1715" s="120" t="s">
        <v>2038</v>
      </c>
      <c r="E1715" s="915"/>
      <c r="F1715" s="902"/>
      <c r="G1715" s="528"/>
      <c r="H1715" s="549" t="s">
        <v>38</v>
      </c>
      <c r="I1715" s="711">
        <v>0</v>
      </c>
      <c r="J1715" s="897"/>
      <c r="K1715" s="528"/>
      <c r="L1715" s="549" t="s">
        <v>38</v>
      </c>
      <c r="M1715" s="711">
        <f t="shared" si="6819"/>
        <v>0</v>
      </c>
      <c r="N1715" s="897"/>
      <c r="O1715" s="528"/>
      <c r="P1715" s="548">
        <v>0</v>
      </c>
      <c r="Q1715" s="548">
        <v>0</v>
      </c>
      <c r="R1715" s="548">
        <v>0</v>
      </c>
      <c r="S1715" s="548">
        <v>0</v>
      </c>
      <c r="T1715" s="548">
        <v>0</v>
      </c>
      <c r="U1715" s="548">
        <v>0</v>
      </c>
      <c r="V1715" s="548">
        <v>0</v>
      </c>
      <c r="W1715" s="528"/>
      <c r="X1715" s="711">
        <f t="shared" si="6821"/>
        <v>0</v>
      </c>
      <c r="Y1715" s="897"/>
      <c r="Z1715" s="528"/>
      <c r="AA1715" s="899"/>
      <c r="AB1715" s="899"/>
      <c r="AC1715" s="904"/>
      <c r="AD1715" s="901"/>
      <c r="AE1715" s="2"/>
      <c r="AF1715" s="885"/>
      <c r="AG1715" s="885"/>
      <c r="AH1715" s="885"/>
      <c r="AI1715" s="885"/>
      <c r="AJ1715" s="885"/>
      <c r="AK1715" s="885"/>
      <c r="AL1715" s="885"/>
      <c r="AM1715" s="879"/>
      <c r="AN1715" s="2"/>
      <c r="AO1715" s="886"/>
      <c r="AP1715" s="886"/>
      <c r="AV1715" t="str">
        <f t="shared" si="6733"/>
        <v>Drenagem Superficial</v>
      </c>
      <c r="AW1715" s="4" t="str">
        <f t="shared" si="6724"/>
        <v xml:space="preserve">   Seg. 3.1-C08 - Drenagem Superficial - Sarjeta de corte (Extrusada)</v>
      </c>
    </row>
    <row r="1716" spans="1:49" ht="15.6" hidden="1" customHeight="1" outlineLevel="2">
      <c r="A1716" s="8" t="str">
        <f t="shared" ref="A1716" si="6886">IF(SUM(P1716:V1717)&gt;0,"S","N")</f>
        <v>N</v>
      </c>
      <c r="B1716" s="150">
        <v>1064683</v>
      </c>
      <c r="C1716" s="150" t="s">
        <v>2040</v>
      </c>
      <c r="D1716" s="120" t="s">
        <v>594</v>
      </c>
      <c r="E1716" s="914" t="s">
        <v>2041</v>
      </c>
      <c r="F1716" s="902" t="s">
        <v>52</v>
      </c>
      <c r="G1716" s="528"/>
      <c r="H1716" s="546" t="s">
        <v>37</v>
      </c>
      <c r="I1716" s="711">
        <v>0</v>
      </c>
      <c r="J1716" s="896" t="str">
        <f t="shared" ref="J1716" si="6887">IFERROR((I1717/I1716),"-")</f>
        <v>-</v>
      </c>
      <c r="K1716" s="528"/>
      <c r="L1716" s="546" t="s">
        <v>37</v>
      </c>
      <c r="M1716" s="711">
        <f t="shared" si="6819"/>
        <v>0</v>
      </c>
      <c r="N1716" s="896" t="str">
        <f t="shared" ref="N1716" si="6888">IFERROR((M1717/M1716),"-")</f>
        <v>-</v>
      </c>
      <c r="O1716" s="528"/>
      <c r="P1716" s="547">
        <v>0</v>
      </c>
      <c r="Q1716" s="547">
        <v>0</v>
      </c>
      <c r="R1716" s="547">
        <v>0</v>
      </c>
      <c r="S1716" s="547">
        <v>0</v>
      </c>
      <c r="T1716" s="547">
        <v>0</v>
      </c>
      <c r="U1716" s="547">
        <v>0</v>
      </c>
      <c r="V1716" s="548">
        <v>0</v>
      </c>
      <c r="W1716" s="528"/>
      <c r="X1716" s="711">
        <f t="shared" si="6821"/>
        <v>0</v>
      </c>
      <c r="Y1716" s="896" t="str">
        <f t="shared" ref="Y1716" si="6889">IFERROR((X1717/X1716),"-")</f>
        <v>-</v>
      </c>
      <c r="Z1716" s="528"/>
      <c r="AA1716" s="898">
        <v>0</v>
      </c>
      <c r="AB1716" s="898">
        <v>0</v>
      </c>
      <c r="AC1716" s="903">
        <v>0</v>
      </c>
      <c r="AD1716" s="900" t="str">
        <f t="shared" ref="AD1716" si="6890">IFERROR((AC1716/AB1716),"-")</f>
        <v>-</v>
      </c>
      <c r="AE1716" s="2"/>
      <c r="AF1716" s="884">
        <v>0</v>
      </c>
      <c r="AG1716" s="884"/>
      <c r="AH1716" s="884">
        <v>0</v>
      </c>
      <c r="AI1716" s="884"/>
      <c r="AJ1716" s="884"/>
      <c r="AK1716" s="884">
        <f t="shared" ref="AK1716" si="6891">AF1716+AG1716+AH1716+AI1716+AJ1716+AC1716</f>
        <v>0</v>
      </c>
      <c r="AL1716" s="884">
        <v>0</v>
      </c>
      <c r="AM1716" s="878" t="str">
        <f t="shared" ref="AM1716" si="6892">IFERROR((AK1716/AL1716),"-")</f>
        <v>-</v>
      </c>
      <c r="AN1716" s="2"/>
      <c r="AO1716" s="884">
        <v>1724</v>
      </c>
      <c r="AP1716" s="884">
        <f t="shared" ref="AP1716" si="6893">AO1716-AK1716</f>
        <v>1724</v>
      </c>
      <c r="AV1716" t="str">
        <f t="shared" si="6733"/>
        <v>Drenagem Superficial</v>
      </c>
      <c r="AW1716" s="4" t="str">
        <f t="shared" si="6724"/>
        <v xml:space="preserve">   Seg. 3.1-A02 - Drenagem Superficial - Sarjeta de aterro (Manual)</v>
      </c>
    </row>
    <row r="1717" spans="1:49" ht="15.6" hidden="1" customHeight="1" outlineLevel="2">
      <c r="A1717" s="8" t="str">
        <f t="shared" ref="A1717" si="6894">A1716</f>
        <v>N</v>
      </c>
      <c r="B1717" s="150"/>
      <c r="C1717" s="150" t="s">
        <v>2040</v>
      </c>
      <c r="D1717" s="120" t="s">
        <v>594</v>
      </c>
      <c r="E1717" s="915"/>
      <c r="F1717" s="902"/>
      <c r="G1717" s="528"/>
      <c r="H1717" s="549" t="s">
        <v>38</v>
      </c>
      <c r="I1717" s="711">
        <v>0</v>
      </c>
      <c r="J1717" s="897"/>
      <c r="K1717" s="528"/>
      <c r="L1717" s="549" t="s">
        <v>38</v>
      </c>
      <c r="M1717" s="711">
        <f t="shared" si="6819"/>
        <v>0</v>
      </c>
      <c r="N1717" s="897"/>
      <c r="O1717" s="528"/>
      <c r="P1717" s="548">
        <v>0</v>
      </c>
      <c r="Q1717" s="548">
        <v>0</v>
      </c>
      <c r="R1717" s="548">
        <v>0</v>
      </c>
      <c r="S1717" s="548">
        <v>0</v>
      </c>
      <c r="T1717" s="548">
        <v>0</v>
      </c>
      <c r="U1717" s="548">
        <v>0</v>
      </c>
      <c r="V1717" s="548">
        <v>0</v>
      </c>
      <c r="W1717" s="528"/>
      <c r="X1717" s="711">
        <f t="shared" si="6821"/>
        <v>0</v>
      </c>
      <c r="Y1717" s="897"/>
      <c r="Z1717" s="528"/>
      <c r="AA1717" s="899"/>
      <c r="AB1717" s="899"/>
      <c r="AC1717" s="904"/>
      <c r="AD1717" s="901"/>
      <c r="AE1717" s="2"/>
      <c r="AF1717" s="885"/>
      <c r="AG1717" s="885"/>
      <c r="AH1717" s="885"/>
      <c r="AI1717" s="885"/>
      <c r="AJ1717" s="885"/>
      <c r="AK1717" s="885"/>
      <c r="AL1717" s="885"/>
      <c r="AM1717" s="879"/>
      <c r="AN1717" s="2"/>
      <c r="AO1717" s="886"/>
      <c r="AP1717" s="886"/>
      <c r="AV1717" t="str">
        <f t="shared" si="6733"/>
        <v>Drenagem Superficial</v>
      </c>
      <c r="AW1717" s="4" t="str">
        <f t="shared" si="6724"/>
        <v xml:space="preserve">   Seg. 3.1-A02 - Drenagem Superficial - Sarjeta de aterro (Manual)</v>
      </c>
    </row>
    <row r="1718" spans="1:49" ht="15.6" hidden="1" customHeight="1" outlineLevel="2">
      <c r="A1718" s="8" t="str">
        <f t="shared" ref="A1718" si="6895">IF(SUM(P1718:V1719)&gt;0,"S","N")</f>
        <v>N</v>
      </c>
      <c r="B1718" s="150">
        <v>1064694</v>
      </c>
      <c r="C1718" s="150" t="s">
        <v>2042</v>
      </c>
      <c r="D1718" s="120" t="s">
        <v>600</v>
      </c>
      <c r="E1718" s="914" t="s">
        <v>2043</v>
      </c>
      <c r="F1718" s="902" t="s">
        <v>52</v>
      </c>
      <c r="G1718" s="528"/>
      <c r="H1718" s="546" t="s">
        <v>37</v>
      </c>
      <c r="I1718" s="711">
        <v>0</v>
      </c>
      <c r="J1718" s="896" t="str">
        <f t="shared" ref="J1718" si="6896">IFERROR((I1719/I1718),"-")</f>
        <v>-</v>
      </c>
      <c r="K1718" s="528"/>
      <c r="L1718" s="546" t="s">
        <v>37</v>
      </c>
      <c r="M1718" s="711">
        <f t="shared" si="6819"/>
        <v>0</v>
      </c>
      <c r="N1718" s="896" t="str">
        <f t="shared" ref="N1718" si="6897">IFERROR((M1719/M1718),"-")</f>
        <v>-</v>
      </c>
      <c r="O1718" s="528"/>
      <c r="P1718" s="547">
        <v>0</v>
      </c>
      <c r="Q1718" s="547">
        <v>0</v>
      </c>
      <c r="R1718" s="547">
        <v>0</v>
      </c>
      <c r="S1718" s="547">
        <v>0</v>
      </c>
      <c r="T1718" s="547">
        <v>0</v>
      </c>
      <c r="U1718" s="547">
        <v>0</v>
      </c>
      <c r="V1718" s="548">
        <v>0</v>
      </c>
      <c r="W1718" s="528"/>
      <c r="X1718" s="711">
        <f t="shared" si="6821"/>
        <v>0</v>
      </c>
      <c r="Y1718" s="896" t="str">
        <f t="shared" ref="Y1718" si="6898">IFERROR((X1719/X1718),"-")</f>
        <v>-</v>
      </c>
      <c r="Z1718" s="528"/>
      <c r="AA1718" s="898">
        <v>0</v>
      </c>
      <c r="AB1718" s="898">
        <v>0</v>
      </c>
      <c r="AC1718" s="903">
        <v>0</v>
      </c>
      <c r="AD1718" s="900" t="str">
        <f t="shared" ref="AD1718" si="6899">IFERROR((AC1718/AB1718),"-")</f>
        <v>-</v>
      </c>
      <c r="AE1718" s="2"/>
      <c r="AF1718" s="884">
        <v>0</v>
      </c>
      <c r="AG1718" s="884"/>
      <c r="AH1718" s="884">
        <v>0</v>
      </c>
      <c r="AI1718" s="884"/>
      <c r="AJ1718" s="884"/>
      <c r="AK1718" s="884">
        <f t="shared" ref="AK1718" si="6900">AF1718+AG1718+AH1718+AI1718+AJ1718+AC1718</f>
        <v>0</v>
      </c>
      <c r="AL1718" s="884">
        <v>0</v>
      </c>
      <c r="AM1718" s="878" t="str">
        <f t="shared" ref="AM1718" si="6901">IFERROR((AK1718/AL1718),"-")</f>
        <v>-</v>
      </c>
      <c r="AN1718" s="2"/>
      <c r="AO1718" s="884">
        <v>125</v>
      </c>
      <c r="AP1718" s="884">
        <f t="shared" ref="AP1718" si="6902">AO1718-AK1718</f>
        <v>125</v>
      </c>
      <c r="AV1718" t="str">
        <f t="shared" si="6733"/>
        <v>Drenagem Superficial</v>
      </c>
      <c r="AW1718" s="4" t="str">
        <f t="shared" si="6724"/>
        <v xml:space="preserve">   Seg. 3.1-A04 - Drenagem Superficial - Sarjeta de aterro (Manual)</v>
      </c>
    </row>
    <row r="1719" spans="1:49" ht="20.45" hidden="1" customHeight="1" outlineLevel="2">
      <c r="A1719" s="8" t="str">
        <f t="shared" ref="A1719" si="6903">A1718</f>
        <v>N</v>
      </c>
      <c r="B1719" s="150"/>
      <c r="C1719" s="150" t="s">
        <v>2042</v>
      </c>
      <c r="D1719" s="120" t="s">
        <v>600</v>
      </c>
      <c r="E1719" s="915"/>
      <c r="F1719" s="902"/>
      <c r="G1719" s="528"/>
      <c r="H1719" s="549" t="s">
        <v>38</v>
      </c>
      <c r="I1719" s="711">
        <v>0</v>
      </c>
      <c r="J1719" s="897"/>
      <c r="K1719" s="528"/>
      <c r="L1719" s="549" t="s">
        <v>38</v>
      </c>
      <c r="M1719" s="711">
        <f t="shared" si="6819"/>
        <v>0</v>
      </c>
      <c r="N1719" s="897"/>
      <c r="O1719" s="528"/>
      <c r="P1719" s="548">
        <v>0</v>
      </c>
      <c r="Q1719" s="548">
        <v>0</v>
      </c>
      <c r="R1719" s="548">
        <v>0</v>
      </c>
      <c r="S1719" s="548">
        <v>0</v>
      </c>
      <c r="T1719" s="548">
        <v>0</v>
      </c>
      <c r="U1719" s="548">
        <v>0</v>
      </c>
      <c r="V1719" s="548">
        <v>0</v>
      </c>
      <c r="W1719" s="528"/>
      <c r="X1719" s="711">
        <f t="shared" si="6821"/>
        <v>0</v>
      </c>
      <c r="Y1719" s="897"/>
      <c r="Z1719" s="528"/>
      <c r="AA1719" s="899"/>
      <c r="AB1719" s="899"/>
      <c r="AC1719" s="904"/>
      <c r="AD1719" s="901"/>
      <c r="AE1719" s="2"/>
      <c r="AF1719" s="885"/>
      <c r="AG1719" s="885"/>
      <c r="AH1719" s="885"/>
      <c r="AI1719" s="885"/>
      <c r="AJ1719" s="885"/>
      <c r="AK1719" s="885"/>
      <c r="AL1719" s="885"/>
      <c r="AM1719" s="879"/>
      <c r="AN1719" s="2"/>
      <c r="AO1719" s="886"/>
      <c r="AP1719" s="886"/>
      <c r="AV1719" t="str">
        <f t="shared" si="6733"/>
        <v>Drenagem Superficial</v>
      </c>
      <c r="AW1719" s="4" t="str">
        <f t="shared" si="6724"/>
        <v xml:space="preserve">   Seg. 3.1-A04 - Drenagem Superficial - Sarjeta de aterro (Manual)</v>
      </c>
    </row>
    <row r="1720" spans="1:49" ht="15.6" hidden="1" customHeight="1" outlineLevel="2">
      <c r="A1720" s="8" t="str">
        <f t="shared" ref="A1720" si="6904">IF(SUM(P1720:V1721)&gt;0,"S","N")</f>
        <v>N</v>
      </c>
      <c r="B1720" s="150">
        <v>1064699</v>
      </c>
      <c r="C1720" s="150" t="s">
        <v>2044</v>
      </c>
      <c r="D1720" s="120" t="s">
        <v>2045</v>
      </c>
      <c r="E1720" s="914" t="s">
        <v>2046</v>
      </c>
      <c r="F1720" s="902" t="s">
        <v>52</v>
      </c>
      <c r="G1720" s="528"/>
      <c r="H1720" s="546" t="s">
        <v>37</v>
      </c>
      <c r="I1720" s="711">
        <v>0</v>
      </c>
      <c r="J1720" s="896" t="str">
        <f t="shared" ref="J1720" si="6905">IFERROR((I1721/I1720),"-")</f>
        <v>-</v>
      </c>
      <c r="K1720" s="528"/>
      <c r="L1720" s="546" t="s">
        <v>37</v>
      </c>
      <c r="M1720" s="711">
        <f t="shared" si="6819"/>
        <v>0</v>
      </c>
      <c r="N1720" s="896" t="str">
        <f>IFERROR((M1721/M1720),"-")</f>
        <v>-</v>
      </c>
      <c r="O1720" s="528"/>
      <c r="P1720" s="547">
        <v>0</v>
      </c>
      <c r="Q1720" s="547">
        <v>0</v>
      </c>
      <c r="R1720" s="547">
        <v>0</v>
      </c>
      <c r="S1720" s="547">
        <v>0</v>
      </c>
      <c r="T1720" s="547">
        <v>0</v>
      </c>
      <c r="U1720" s="547">
        <v>0</v>
      </c>
      <c r="V1720" s="548">
        <v>0</v>
      </c>
      <c r="W1720" s="528"/>
      <c r="X1720" s="711">
        <f t="shared" si="6821"/>
        <v>0</v>
      </c>
      <c r="Y1720" s="896" t="str">
        <f t="shared" ref="Y1720" si="6906">IFERROR((X1721/X1720),"-")</f>
        <v>-</v>
      </c>
      <c r="Z1720" s="528"/>
      <c r="AA1720" s="898">
        <v>0</v>
      </c>
      <c r="AB1720" s="898">
        <v>0</v>
      </c>
      <c r="AC1720" s="903">
        <v>0</v>
      </c>
      <c r="AD1720" s="900" t="str">
        <f t="shared" ref="AD1720" si="6907">IFERROR((AC1720/AB1720),"-")</f>
        <v>-</v>
      </c>
      <c r="AE1720" s="2"/>
      <c r="AF1720" s="884">
        <v>0</v>
      </c>
      <c r="AG1720" s="884"/>
      <c r="AH1720" s="884">
        <v>0</v>
      </c>
      <c r="AI1720" s="884"/>
      <c r="AJ1720" s="884"/>
      <c r="AK1720" s="884">
        <f t="shared" ref="AK1720" si="6908">AF1720+AG1720+AH1720+AI1720+AJ1720+AC1720</f>
        <v>0</v>
      </c>
      <c r="AL1720" s="884">
        <v>0</v>
      </c>
      <c r="AM1720" s="878" t="str">
        <f t="shared" ref="AM1720" si="6909">IFERROR((AK1720/AL1720),"-")</f>
        <v>-</v>
      </c>
      <c r="AN1720" s="2"/>
      <c r="AO1720" s="884">
        <v>325</v>
      </c>
      <c r="AP1720" s="884">
        <f t="shared" ref="AP1720" si="6910">AO1720-AK1720</f>
        <v>325</v>
      </c>
      <c r="AV1720" t="str">
        <f t="shared" si="6733"/>
        <v>Drenagem Superficial</v>
      </c>
      <c r="AW1720" s="4" t="str">
        <f t="shared" si="6724"/>
        <v xml:space="preserve">   Seg. 3.1-A05 - Drenagem Superficial - Sarjeta de aterro (Extrusada)</v>
      </c>
    </row>
    <row r="1721" spans="1:49" ht="15.6" hidden="1" customHeight="1" outlineLevel="2">
      <c r="A1721" s="8" t="str">
        <f t="shared" ref="A1721" si="6911">A1720</f>
        <v>N</v>
      </c>
      <c r="B1721" s="150"/>
      <c r="C1721" s="150" t="s">
        <v>2044</v>
      </c>
      <c r="D1721" s="120" t="s">
        <v>2045</v>
      </c>
      <c r="E1721" s="915"/>
      <c r="F1721" s="902"/>
      <c r="G1721" s="528"/>
      <c r="H1721" s="549" t="s">
        <v>38</v>
      </c>
      <c r="I1721" s="711">
        <v>0</v>
      </c>
      <c r="J1721" s="897"/>
      <c r="K1721" s="528"/>
      <c r="L1721" s="549" t="s">
        <v>38</v>
      </c>
      <c r="M1721" s="711">
        <f t="shared" si="6819"/>
        <v>0</v>
      </c>
      <c r="N1721" s="897"/>
      <c r="O1721" s="528"/>
      <c r="P1721" s="548">
        <v>0</v>
      </c>
      <c r="Q1721" s="548">
        <v>0</v>
      </c>
      <c r="R1721" s="548">
        <v>0</v>
      </c>
      <c r="S1721" s="548">
        <v>0</v>
      </c>
      <c r="T1721" s="548">
        <v>0</v>
      </c>
      <c r="U1721" s="548">
        <v>0</v>
      </c>
      <c r="V1721" s="548">
        <v>0</v>
      </c>
      <c r="W1721" s="528"/>
      <c r="X1721" s="711">
        <f t="shared" si="6821"/>
        <v>0</v>
      </c>
      <c r="Y1721" s="897"/>
      <c r="Z1721" s="528"/>
      <c r="AA1721" s="899"/>
      <c r="AB1721" s="899"/>
      <c r="AC1721" s="904"/>
      <c r="AD1721" s="901"/>
      <c r="AE1721" s="2"/>
      <c r="AF1721" s="885"/>
      <c r="AG1721" s="885"/>
      <c r="AH1721" s="885"/>
      <c r="AI1721" s="885"/>
      <c r="AJ1721" s="885"/>
      <c r="AK1721" s="885"/>
      <c r="AL1721" s="885"/>
      <c r="AM1721" s="879"/>
      <c r="AN1721" s="2"/>
      <c r="AO1721" s="886"/>
      <c r="AP1721" s="886"/>
      <c r="AV1721" t="str">
        <f t="shared" si="6733"/>
        <v>Drenagem Superficial</v>
      </c>
      <c r="AW1721" s="4" t="str">
        <f t="shared" si="6724"/>
        <v xml:space="preserve">   Seg. 3.1-A05 - Drenagem Superficial - Sarjeta de aterro (Extrusada)</v>
      </c>
    </row>
    <row r="1722" spans="1:49" ht="15.6" hidden="1" customHeight="1" outlineLevel="2">
      <c r="A1722" s="8" t="str">
        <f t="shared" ref="A1722" si="6912">IF(SUM(P1722:V1723)&gt;0,"S","N")</f>
        <v>N</v>
      </c>
      <c r="B1722" s="150">
        <v>1064704</v>
      </c>
      <c r="C1722" s="150" t="s">
        <v>2047</v>
      </c>
      <c r="D1722" s="120" t="s">
        <v>2048</v>
      </c>
      <c r="E1722" s="914" t="s">
        <v>2049</v>
      </c>
      <c r="F1722" s="902" t="s">
        <v>52</v>
      </c>
      <c r="G1722" s="528"/>
      <c r="H1722" s="546" t="s">
        <v>37</v>
      </c>
      <c r="I1722" s="711">
        <v>0</v>
      </c>
      <c r="J1722" s="896" t="str">
        <f t="shared" ref="J1722" si="6913">IFERROR((I1723/I1722),"-")</f>
        <v>-</v>
      </c>
      <c r="K1722" s="528"/>
      <c r="L1722" s="546" t="s">
        <v>37</v>
      </c>
      <c r="M1722" s="711">
        <f t="shared" si="6819"/>
        <v>0</v>
      </c>
      <c r="N1722" s="896" t="str">
        <f>IFERROR((M1723/M1722),"-")</f>
        <v>-</v>
      </c>
      <c r="O1722" s="528"/>
      <c r="P1722" s="547">
        <v>0</v>
      </c>
      <c r="Q1722" s="547">
        <v>0</v>
      </c>
      <c r="R1722" s="547">
        <v>0</v>
      </c>
      <c r="S1722" s="547">
        <v>0</v>
      </c>
      <c r="T1722" s="547">
        <v>0</v>
      </c>
      <c r="U1722" s="547">
        <v>0</v>
      </c>
      <c r="V1722" s="548">
        <v>0</v>
      </c>
      <c r="W1722" s="528"/>
      <c r="X1722" s="711">
        <f t="shared" si="6821"/>
        <v>0</v>
      </c>
      <c r="Y1722" s="896" t="str">
        <f t="shared" ref="Y1722" si="6914">IFERROR((X1723/X1722),"-")</f>
        <v>-</v>
      </c>
      <c r="Z1722" s="528"/>
      <c r="AA1722" s="898">
        <v>0</v>
      </c>
      <c r="AB1722" s="898">
        <v>0</v>
      </c>
      <c r="AC1722" s="903">
        <v>0</v>
      </c>
      <c r="AD1722" s="900" t="str">
        <f t="shared" ref="AD1722" si="6915">IFERROR((AC1722/AB1722),"-")</f>
        <v>-</v>
      </c>
      <c r="AE1722" s="2"/>
      <c r="AF1722" s="884">
        <v>0</v>
      </c>
      <c r="AG1722" s="884"/>
      <c r="AH1722" s="884">
        <v>0</v>
      </c>
      <c r="AI1722" s="884"/>
      <c r="AJ1722" s="884"/>
      <c r="AK1722" s="884">
        <f t="shared" ref="AK1722" si="6916">AF1722+AG1722+AH1722+AI1722+AJ1722+AC1722</f>
        <v>0</v>
      </c>
      <c r="AL1722" s="884">
        <v>0</v>
      </c>
      <c r="AM1722" s="878" t="str">
        <f t="shared" ref="AM1722" si="6917">IFERROR((AK1722/AL1722),"-")</f>
        <v>-</v>
      </c>
      <c r="AN1722" s="2"/>
      <c r="AO1722" s="884">
        <v>425</v>
      </c>
      <c r="AP1722" s="884">
        <f t="shared" ref="AP1722" si="6918">AO1722-AK1722</f>
        <v>425</v>
      </c>
      <c r="AV1722" t="str">
        <f t="shared" si="6733"/>
        <v>Drenagem Superficial</v>
      </c>
      <c r="AW1722" s="4" t="str">
        <f t="shared" si="6724"/>
        <v xml:space="preserve">   Seg. 3.1-A06 - Drenagem Superficial - Sarjeta de aterro (Extrusada)</v>
      </c>
    </row>
    <row r="1723" spans="1:49" ht="15.6" hidden="1" customHeight="1" outlineLevel="2">
      <c r="A1723" s="8" t="str">
        <f t="shared" ref="A1723" si="6919">A1722</f>
        <v>N</v>
      </c>
      <c r="B1723" s="150"/>
      <c r="C1723" s="150" t="s">
        <v>2047</v>
      </c>
      <c r="D1723" s="120" t="s">
        <v>2048</v>
      </c>
      <c r="E1723" s="915"/>
      <c r="F1723" s="902"/>
      <c r="G1723" s="528"/>
      <c r="H1723" s="549" t="s">
        <v>38</v>
      </c>
      <c r="I1723" s="711">
        <v>0</v>
      </c>
      <c r="J1723" s="897"/>
      <c r="K1723" s="528"/>
      <c r="L1723" s="549" t="s">
        <v>38</v>
      </c>
      <c r="M1723" s="711">
        <f t="shared" si="6819"/>
        <v>0</v>
      </c>
      <c r="N1723" s="897"/>
      <c r="O1723" s="528"/>
      <c r="P1723" s="548">
        <v>0</v>
      </c>
      <c r="Q1723" s="548">
        <v>0</v>
      </c>
      <c r="R1723" s="548">
        <v>0</v>
      </c>
      <c r="S1723" s="548">
        <v>0</v>
      </c>
      <c r="T1723" s="548">
        <v>0</v>
      </c>
      <c r="U1723" s="548">
        <v>0</v>
      </c>
      <c r="V1723" s="548">
        <v>0</v>
      </c>
      <c r="W1723" s="528"/>
      <c r="X1723" s="711">
        <f t="shared" si="6821"/>
        <v>0</v>
      </c>
      <c r="Y1723" s="897"/>
      <c r="Z1723" s="528"/>
      <c r="AA1723" s="899"/>
      <c r="AB1723" s="899"/>
      <c r="AC1723" s="904"/>
      <c r="AD1723" s="901"/>
      <c r="AE1723" s="2"/>
      <c r="AF1723" s="885"/>
      <c r="AG1723" s="885"/>
      <c r="AH1723" s="885"/>
      <c r="AI1723" s="885"/>
      <c r="AJ1723" s="885"/>
      <c r="AK1723" s="885"/>
      <c r="AL1723" s="885"/>
      <c r="AM1723" s="879"/>
      <c r="AN1723" s="2"/>
      <c r="AO1723" s="886"/>
      <c r="AP1723" s="886"/>
      <c r="AV1723" t="str">
        <f t="shared" si="6733"/>
        <v>Drenagem Superficial</v>
      </c>
      <c r="AW1723" s="4" t="str">
        <f t="shared" si="6724"/>
        <v xml:space="preserve">   Seg. 3.1-A06 - Drenagem Superficial - Sarjeta de aterro (Extrusada)</v>
      </c>
    </row>
    <row r="1724" spans="1:49" ht="15.6" hidden="1" customHeight="1" outlineLevel="2">
      <c r="A1724" s="8" t="str">
        <f t="shared" ref="A1724" si="6920">IF(SUM(P1724:V1725)&gt;0,"S","N")</f>
        <v>N</v>
      </c>
      <c r="B1724" s="150">
        <v>1064708</v>
      </c>
      <c r="C1724" s="150" t="s">
        <v>2050</v>
      </c>
      <c r="D1724" s="120" t="s">
        <v>1315</v>
      </c>
      <c r="E1724" s="914" t="s">
        <v>2051</v>
      </c>
      <c r="F1724" s="902" t="s">
        <v>52</v>
      </c>
      <c r="G1724" s="528"/>
      <c r="H1724" s="546" t="s">
        <v>37</v>
      </c>
      <c r="I1724" s="711">
        <v>0</v>
      </c>
      <c r="J1724" s="896" t="str">
        <f t="shared" ref="J1724" si="6921">IFERROR((I1725/I1724),"-")</f>
        <v>-</v>
      </c>
      <c r="K1724" s="528"/>
      <c r="L1724" s="546" t="s">
        <v>37</v>
      </c>
      <c r="M1724" s="711">
        <f t="shared" si="6819"/>
        <v>0</v>
      </c>
      <c r="N1724" s="896" t="str">
        <f>IFERROR((M1725/M1724),"-")</f>
        <v>-</v>
      </c>
      <c r="O1724" s="528"/>
      <c r="P1724" s="547">
        <v>0</v>
      </c>
      <c r="Q1724" s="547">
        <v>0</v>
      </c>
      <c r="R1724" s="547">
        <v>0</v>
      </c>
      <c r="S1724" s="547">
        <v>0</v>
      </c>
      <c r="T1724" s="547">
        <v>0</v>
      </c>
      <c r="U1724" s="547">
        <v>0</v>
      </c>
      <c r="V1724" s="548">
        <v>0</v>
      </c>
      <c r="W1724" s="528"/>
      <c r="X1724" s="711">
        <f t="shared" si="6821"/>
        <v>0</v>
      </c>
      <c r="Y1724" s="896" t="str">
        <f t="shared" ref="Y1724" si="6922">IFERROR((X1725/X1724),"-")</f>
        <v>-</v>
      </c>
      <c r="Z1724" s="528"/>
      <c r="AA1724" s="898">
        <v>0</v>
      </c>
      <c r="AB1724" s="898">
        <v>0</v>
      </c>
      <c r="AC1724" s="903">
        <v>0</v>
      </c>
      <c r="AD1724" s="900" t="str">
        <f t="shared" ref="AD1724" si="6923">IFERROR((AC1724/AB1724),"-")</f>
        <v>-</v>
      </c>
      <c r="AE1724" s="2"/>
      <c r="AF1724" s="884">
        <v>0</v>
      </c>
      <c r="AG1724" s="884"/>
      <c r="AH1724" s="884">
        <v>0</v>
      </c>
      <c r="AI1724" s="884"/>
      <c r="AJ1724" s="884"/>
      <c r="AK1724" s="884">
        <f t="shared" ref="AK1724" si="6924">AF1724+AG1724+AH1724+AI1724+AJ1724+AC1724</f>
        <v>0</v>
      </c>
      <c r="AL1724" s="884">
        <v>0</v>
      </c>
      <c r="AM1724" s="878" t="str">
        <f t="shared" ref="AM1724" si="6925">IFERROR((AK1724/AL1724),"-")</f>
        <v>-</v>
      </c>
      <c r="AN1724" s="2"/>
      <c r="AO1724" s="884">
        <v>776</v>
      </c>
      <c r="AP1724" s="884">
        <f t="shared" ref="AP1724" si="6926">AO1724-AK1724</f>
        <v>776</v>
      </c>
      <c r="AV1724" t="str">
        <f t="shared" si="6733"/>
        <v>Drenagem Superficial</v>
      </c>
      <c r="AW1724" s="4" t="str">
        <f t="shared" si="6724"/>
        <v xml:space="preserve">   Seg. 3.1-A07 - Drenagem Superficial - Execução de sarjeta (Manual)</v>
      </c>
    </row>
    <row r="1725" spans="1:49" ht="15.6" hidden="1" customHeight="1" outlineLevel="2">
      <c r="A1725" s="8" t="str">
        <f t="shared" ref="A1725" si="6927">A1724</f>
        <v>N</v>
      </c>
      <c r="B1725" s="150"/>
      <c r="C1725" s="150" t="s">
        <v>2050</v>
      </c>
      <c r="D1725" s="120" t="s">
        <v>1315</v>
      </c>
      <c r="E1725" s="915"/>
      <c r="F1725" s="902"/>
      <c r="G1725" s="528"/>
      <c r="H1725" s="549" t="s">
        <v>38</v>
      </c>
      <c r="I1725" s="711">
        <v>0</v>
      </c>
      <c r="J1725" s="897"/>
      <c r="K1725" s="528"/>
      <c r="L1725" s="549" t="s">
        <v>38</v>
      </c>
      <c r="M1725" s="711">
        <f t="shared" si="6819"/>
        <v>0</v>
      </c>
      <c r="N1725" s="897"/>
      <c r="O1725" s="528"/>
      <c r="P1725" s="548">
        <v>0</v>
      </c>
      <c r="Q1725" s="548">
        <v>0</v>
      </c>
      <c r="R1725" s="548">
        <v>0</v>
      </c>
      <c r="S1725" s="548">
        <v>0</v>
      </c>
      <c r="T1725" s="548">
        <v>0</v>
      </c>
      <c r="U1725" s="548">
        <v>0</v>
      </c>
      <c r="V1725" s="548">
        <v>0</v>
      </c>
      <c r="W1725" s="528"/>
      <c r="X1725" s="711">
        <f t="shared" si="6821"/>
        <v>0</v>
      </c>
      <c r="Y1725" s="897"/>
      <c r="Z1725" s="528"/>
      <c r="AA1725" s="899"/>
      <c r="AB1725" s="899"/>
      <c r="AC1725" s="904"/>
      <c r="AD1725" s="901"/>
      <c r="AE1725" s="2"/>
      <c r="AF1725" s="885"/>
      <c r="AG1725" s="885"/>
      <c r="AH1725" s="885"/>
      <c r="AI1725" s="885"/>
      <c r="AJ1725" s="885"/>
      <c r="AK1725" s="885"/>
      <c r="AL1725" s="885"/>
      <c r="AM1725" s="879"/>
      <c r="AN1725" s="2"/>
      <c r="AO1725" s="886"/>
      <c r="AP1725" s="886"/>
      <c r="AV1725" t="str">
        <f t="shared" si="6733"/>
        <v>Drenagem Superficial</v>
      </c>
      <c r="AW1725" s="4" t="str">
        <f t="shared" si="6724"/>
        <v xml:space="preserve">   Seg. 3.1-A07 - Drenagem Superficial - Execução de sarjeta (Manual)</v>
      </c>
    </row>
    <row r="1726" spans="1:49" ht="15.6" hidden="1" customHeight="1" outlineLevel="2">
      <c r="A1726" s="8" t="str">
        <f t="shared" ref="A1726" si="6928">IF(SUM(P1726:V1727)&gt;0,"S","N")</f>
        <v>N</v>
      </c>
      <c r="B1726" s="150">
        <v>1066129</v>
      </c>
      <c r="C1726" s="150" t="s">
        <v>2052</v>
      </c>
      <c r="D1726" s="120" t="s">
        <v>2053</v>
      </c>
      <c r="E1726" s="914" t="s">
        <v>2054</v>
      </c>
      <c r="F1726" s="902" t="s">
        <v>52</v>
      </c>
      <c r="G1726" s="528"/>
      <c r="H1726" s="546" t="s">
        <v>37</v>
      </c>
      <c r="I1726" s="711">
        <v>0</v>
      </c>
      <c r="J1726" s="896" t="str">
        <f t="shared" ref="J1726" si="6929">IFERROR((I1727/I1726),"-")</f>
        <v>-</v>
      </c>
      <c r="K1726" s="528"/>
      <c r="L1726" s="546" t="s">
        <v>37</v>
      </c>
      <c r="M1726" s="711">
        <f t="shared" si="6819"/>
        <v>0</v>
      </c>
      <c r="N1726" s="896" t="str">
        <f>IFERROR((M1727/M1726),"-")</f>
        <v>-</v>
      </c>
      <c r="O1726" s="528"/>
      <c r="P1726" s="547">
        <v>0</v>
      </c>
      <c r="Q1726" s="547">
        <v>0</v>
      </c>
      <c r="R1726" s="547">
        <v>0</v>
      </c>
      <c r="S1726" s="547">
        <v>0</v>
      </c>
      <c r="T1726" s="547">
        <v>0</v>
      </c>
      <c r="U1726" s="547">
        <v>0</v>
      </c>
      <c r="V1726" s="548">
        <v>0</v>
      </c>
      <c r="W1726" s="528"/>
      <c r="X1726" s="711">
        <f t="shared" si="6821"/>
        <v>0</v>
      </c>
      <c r="Y1726" s="896" t="str">
        <f t="shared" ref="Y1726" si="6930">IFERROR((X1727/X1726),"-")</f>
        <v>-</v>
      </c>
      <c r="Z1726" s="528"/>
      <c r="AA1726" s="898">
        <v>0</v>
      </c>
      <c r="AB1726" s="898">
        <v>0</v>
      </c>
      <c r="AC1726" s="903">
        <v>0</v>
      </c>
      <c r="AD1726" s="900" t="str">
        <f t="shared" ref="AD1726" si="6931">IFERROR((AC1726/AB1726),"-")</f>
        <v>-</v>
      </c>
      <c r="AE1726" s="2"/>
      <c r="AF1726" s="884">
        <v>0</v>
      </c>
      <c r="AG1726" s="884"/>
      <c r="AH1726" s="884">
        <v>0</v>
      </c>
      <c r="AI1726" s="884"/>
      <c r="AJ1726" s="884"/>
      <c r="AK1726" s="884">
        <f t="shared" ref="AK1726" si="6932">AF1726+AG1726+AH1726+AI1726+AJ1726+AC1726</f>
        <v>0</v>
      </c>
      <c r="AL1726" s="884">
        <v>0</v>
      </c>
      <c r="AM1726" s="878" t="str">
        <f t="shared" ref="AM1726" si="6933">IFERROR((AK1726/AL1726),"-")</f>
        <v>-</v>
      </c>
      <c r="AN1726" s="2"/>
      <c r="AO1726" s="884">
        <v>431.31</v>
      </c>
      <c r="AP1726" s="884">
        <f t="shared" ref="AP1726" si="6934">AO1726-AK1726</f>
        <v>431.31</v>
      </c>
      <c r="AV1726" t="str">
        <f t="shared" si="6733"/>
        <v>Drenagem Superficial</v>
      </c>
      <c r="AW1726" s="4" t="str">
        <f t="shared" si="6724"/>
        <v xml:space="preserve">   Seg. 3.1-Acesso A02 - Drenagem Superficial - Sarjetas de corte (Manual)</v>
      </c>
    </row>
    <row r="1727" spans="1:49" ht="15.6" hidden="1" customHeight="1" outlineLevel="2">
      <c r="A1727" s="8" t="str">
        <f t="shared" ref="A1727" si="6935">A1726</f>
        <v>N</v>
      </c>
      <c r="B1727" s="150"/>
      <c r="C1727" s="150" t="s">
        <v>2052</v>
      </c>
      <c r="D1727" s="120" t="s">
        <v>2053</v>
      </c>
      <c r="E1727" s="915"/>
      <c r="F1727" s="902"/>
      <c r="G1727" s="528"/>
      <c r="H1727" s="549" t="s">
        <v>38</v>
      </c>
      <c r="I1727" s="711">
        <v>0</v>
      </c>
      <c r="J1727" s="897"/>
      <c r="K1727" s="528"/>
      <c r="L1727" s="549" t="s">
        <v>38</v>
      </c>
      <c r="M1727" s="711">
        <f t="shared" si="6819"/>
        <v>0</v>
      </c>
      <c r="N1727" s="897"/>
      <c r="O1727" s="528"/>
      <c r="P1727" s="548">
        <v>0</v>
      </c>
      <c r="Q1727" s="548">
        <v>0</v>
      </c>
      <c r="R1727" s="548">
        <v>0</v>
      </c>
      <c r="S1727" s="548">
        <v>0</v>
      </c>
      <c r="T1727" s="548">
        <v>0</v>
      </c>
      <c r="U1727" s="548">
        <v>0</v>
      </c>
      <c r="V1727" s="548">
        <v>0</v>
      </c>
      <c r="W1727" s="528"/>
      <c r="X1727" s="711">
        <f t="shared" si="6821"/>
        <v>0</v>
      </c>
      <c r="Y1727" s="897"/>
      <c r="Z1727" s="528"/>
      <c r="AA1727" s="899"/>
      <c r="AB1727" s="899"/>
      <c r="AC1727" s="904"/>
      <c r="AD1727" s="901"/>
      <c r="AE1727" s="2"/>
      <c r="AF1727" s="885"/>
      <c r="AG1727" s="885"/>
      <c r="AH1727" s="885"/>
      <c r="AI1727" s="885"/>
      <c r="AJ1727" s="885"/>
      <c r="AK1727" s="885"/>
      <c r="AL1727" s="885"/>
      <c r="AM1727" s="879"/>
      <c r="AN1727" s="2"/>
      <c r="AO1727" s="886"/>
      <c r="AP1727" s="886"/>
      <c r="AV1727" t="str">
        <f t="shared" si="6733"/>
        <v>Drenagem Superficial</v>
      </c>
      <c r="AW1727" s="4" t="str">
        <f t="shared" si="6724"/>
        <v xml:space="preserve">   Seg. 3.1-Acesso A02 - Drenagem Superficial - Sarjetas de corte (Manual)</v>
      </c>
    </row>
    <row r="1728" spans="1:49" ht="15.6" hidden="1" customHeight="1" outlineLevel="2">
      <c r="A1728" s="8" t="str">
        <f t="shared" ref="A1728" si="6936">IF(SUM(P1728:V1729)&gt;0,"S","N")</f>
        <v>N</v>
      </c>
      <c r="B1728" s="150">
        <v>1066276</v>
      </c>
      <c r="C1728" s="150" t="s">
        <v>2055</v>
      </c>
      <c r="D1728" s="120" t="s">
        <v>2056</v>
      </c>
      <c r="E1728" s="914" t="s">
        <v>2057</v>
      </c>
      <c r="F1728" s="902" t="s">
        <v>52</v>
      </c>
      <c r="G1728" s="528"/>
      <c r="H1728" s="546" t="s">
        <v>37</v>
      </c>
      <c r="I1728" s="711">
        <v>0</v>
      </c>
      <c r="J1728" s="896" t="str">
        <f t="shared" ref="J1728" si="6937">IFERROR((I1729/I1728),"-")</f>
        <v>-</v>
      </c>
      <c r="K1728" s="528"/>
      <c r="L1728" s="546" t="s">
        <v>37</v>
      </c>
      <c r="M1728" s="711">
        <f t="shared" si="6819"/>
        <v>0</v>
      </c>
      <c r="N1728" s="896" t="str">
        <f>IFERROR((M1729/M1728),"-")</f>
        <v>-</v>
      </c>
      <c r="O1728" s="528"/>
      <c r="P1728" s="547">
        <v>0</v>
      </c>
      <c r="Q1728" s="547">
        <v>0</v>
      </c>
      <c r="R1728" s="547">
        <v>0</v>
      </c>
      <c r="S1728" s="547">
        <v>0</v>
      </c>
      <c r="T1728" s="547">
        <v>0</v>
      </c>
      <c r="U1728" s="547">
        <v>0</v>
      </c>
      <c r="V1728" s="548">
        <v>0</v>
      </c>
      <c r="W1728" s="528"/>
      <c r="X1728" s="711">
        <f t="shared" si="6821"/>
        <v>0</v>
      </c>
      <c r="Y1728" s="896" t="str">
        <f t="shared" ref="Y1728" si="6938">IFERROR((X1729/X1728),"-")</f>
        <v>-</v>
      </c>
      <c r="Z1728" s="528"/>
      <c r="AA1728" s="898">
        <v>0</v>
      </c>
      <c r="AB1728" s="898">
        <v>0</v>
      </c>
      <c r="AC1728" s="903">
        <v>0</v>
      </c>
      <c r="AD1728" s="900" t="str">
        <f t="shared" ref="AD1728" si="6939">IFERROR((AC1728/AB1728),"-")</f>
        <v>-</v>
      </c>
      <c r="AE1728" s="2"/>
      <c r="AF1728" s="884">
        <v>0</v>
      </c>
      <c r="AG1728" s="884"/>
      <c r="AH1728" s="884">
        <v>0</v>
      </c>
      <c r="AI1728" s="884"/>
      <c r="AJ1728" s="884"/>
      <c r="AK1728" s="884">
        <f t="shared" ref="AK1728" si="6940">AF1728+AG1728+AH1728+AI1728+AJ1728+AC1728</f>
        <v>0</v>
      </c>
      <c r="AL1728" s="884">
        <v>0</v>
      </c>
      <c r="AM1728" s="878" t="str">
        <f t="shared" ref="AM1728" si="6941">IFERROR((AK1728/AL1728),"-")</f>
        <v>-</v>
      </c>
      <c r="AN1728" s="2"/>
      <c r="AO1728" s="884">
        <v>40</v>
      </c>
      <c r="AP1728" s="884">
        <f t="shared" ref="AP1728" si="6942">AO1728-AK1728</f>
        <v>40</v>
      </c>
      <c r="AV1728" t="str">
        <f t="shared" si="6733"/>
        <v>Drenagem Superficial</v>
      </c>
      <c r="AW1728" s="4" t="str">
        <f t="shared" si="6724"/>
        <v xml:space="preserve">   Seg. 3.1- ADME 03 - Drenagem Superficial - Sarjeta de Aterro (Manual)</v>
      </c>
    </row>
    <row r="1729" spans="1:49" ht="15.6" hidden="1" customHeight="1" outlineLevel="2">
      <c r="A1729" s="8" t="str">
        <f t="shared" ref="A1729" si="6943">A1728</f>
        <v>N</v>
      </c>
      <c r="B1729" s="150"/>
      <c r="C1729" s="150" t="s">
        <v>2055</v>
      </c>
      <c r="D1729" s="120" t="s">
        <v>2056</v>
      </c>
      <c r="E1729" s="915"/>
      <c r="F1729" s="902"/>
      <c r="G1729" s="528"/>
      <c r="H1729" s="549" t="s">
        <v>38</v>
      </c>
      <c r="I1729" s="711">
        <v>0</v>
      </c>
      <c r="J1729" s="897"/>
      <c r="K1729" s="528"/>
      <c r="L1729" s="549" t="s">
        <v>38</v>
      </c>
      <c r="M1729" s="711">
        <f t="shared" si="6819"/>
        <v>0</v>
      </c>
      <c r="N1729" s="897"/>
      <c r="O1729" s="528"/>
      <c r="P1729" s="548">
        <v>0</v>
      </c>
      <c r="Q1729" s="548">
        <v>0</v>
      </c>
      <c r="R1729" s="548">
        <v>0</v>
      </c>
      <c r="S1729" s="548">
        <v>0</v>
      </c>
      <c r="T1729" s="548">
        <v>0</v>
      </c>
      <c r="U1729" s="548">
        <v>0</v>
      </c>
      <c r="V1729" s="548">
        <v>0</v>
      </c>
      <c r="W1729" s="528"/>
      <c r="X1729" s="711">
        <f t="shared" si="6821"/>
        <v>0</v>
      </c>
      <c r="Y1729" s="897"/>
      <c r="Z1729" s="528"/>
      <c r="AA1729" s="899"/>
      <c r="AB1729" s="899"/>
      <c r="AC1729" s="904"/>
      <c r="AD1729" s="901"/>
      <c r="AE1729" s="2"/>
      <c r="AF1729" s="885"/>
      <c r="AG1729" s="885"/>
      <c r="AH1729" s="885"/>
      <c r="AI1729" s="885"/>
      <c r="AJ1729" s="885"/>
      <c r="AK1729" s="885"/>
      <c r="AL1729" s="885"/>
      <c r="AM1729" s="879"/>
      <c r="AN1729" s="2"/>
      <c r="AO1729" s="886"/>
      <c r="AP1729" s="886"/>
      <c r="AV1729" t="str">
        <f t="shared" si="6733"/>
        <v>Drenagem Superficial</v>
      </c>
      <c r="AW1729" s="4" t="str">
        <f t="shared" si="6724"/>
        <v xml:space="preserve">   Seg. 3.1- ADME 03 - Drenagem Superficial - Sarjeta de Aterro (Manual)</v>
      </c>
    </row>
    <row r="1730" spans="1:49" ht="15.6" hidden="1" customHeight="1" outlineLevel="2">
      <c r="A1730" s="8" t="str">
        <f t="shared" ref="A1730" si="6944">IF(SUM(P1730:V1731)&gt;0,"S","N")</f>
        <v>N</v>
      </c>
      <c r="B1730" s="150">
        <v>1069352</v>
      </c>
      <c r="C1730" s="150" t="s">
        <v>2058</v>
      </c>
      <c r="D1730" s="120" t="s">
        <v>588</v>
      </c>
      <c r="E1730" s="914" t="s">
        <v>2059</v>
      </c>
      <c r="F1730" s="902" t="s">
        <v>52</v>
      </c>
      <c r="G1730" s="528"/>
      <c r="H1730" s="546" t="s">
        <v>37</v>
      </c>
      <c r="I1730" s="711">
        <v>0</v>
      </c>
      <c r="J1730" s="896" t="str">
        <f t="shared" ref="J1730" si="6945">IFERROR((I1731/I1730),"-")</f>
        <v>-</v>
      </c>
      <c r="K1730" s="528"/>
      <c r="L1730" s="546" t="s">
        <v>37</v>
      </c>
      <c r="M1730" s="711">
        <f t="shared" si="6819"/>
        <v>0</v>
      </c>
      <c r="N1730" s="896" t="str">
        <f t="shared" ref="N1730" si="6946">IFERROR((M1731/M1730),"-")</f>
        <v>-</v>
      </c>
      <c r="O1730" s="528"/>
      <c r="P1730" s="547">
        <v>0</v>
      </c>
      <c r="Q1730" s="547">
        <v>0</v>
      </c>
      <c r="R1730" s="547">
        <v>0</v>
      </c>
      <c r="S1730" s="547">
        <v>0</v>
      </c>
      <c r="T1730" s="547">
        <v>0</v>
      </c>
      <c r="U1730" s="547">
        <v>0</v>
      </c>
      <c r="V1730" s="548">
        <v>0</v>
      </c>
      <c r="W1730" s="528"/>
      <c r="X1730" s="711">
        <f t="shared" si="6821"/>
        <v>0</v>
      </c>
      <c r="Y1730" s="896" t="str">
        <f t="shared" ref="Y1730" si="6947">IFERROR((X1731/X1730),"-")</f>
        <v>-</v>
      </c>
      <c r="Z1730" s="528"/>
      <c r="AA1730" s="898">
        <v>0</v>
      </c>
      <c r="AB1730" s="898">
        <v>0</v>
      </c>
      <c r="AC1730" s="903">
        <v>0</v>
      </c>
      <c r="AD1730" s="900" t="str">
        <f t="shared" ref="AD1730" si="6948">IFERROR((AC1730/AB1730),"-")</f>
        <v>-</v>
      </c>
      <c r="AE1730" s="2"/>
      <c r="AF1730" s="884">
        <v>0</v>
      </c>
      <c r="AG1730" s="884"/>
      <c r="AH1730" s="884">
        <v>0</v>
      </c>
      <c r="AI1730" s="884"/>
      <c r="AJ1730" s="884"/>
      <c r="AK1730" s="884">
        <f t="shared" ref="AK1730" si="6949">AF1730+AG1730+AH1730+AI1730+AJ1730+AC1730</f>
        <v>0</v>
      </c>
      <c r="AL1730" s="884">
        <v>0</v>
      </c>
      <c r="AM1730" s="878" t="str">
        <f t="shared" ref="AM1730" si="6950">IFERROR((AK1730/AL1730),"-")</f>
        <v>-</v>
      </c>
      <c r="AN1730" s="2"/>
      <c r="AO1730" s="884">
        <v>47</v>
      </c>
      <c r="AP1730" s="884">
        <f t="shared" ref="AP1730" si="6951">AO1730-AK1730</f>
        <v>47</v>
      </c>
      <c r="AV1730" t="str">
        <f t="shared" si="6733"/>
        <v>Drenagem Superficial</v>
      </c>
      <c r="AW1730" s="4" t="str">
        <f t="shared" si="6724"/>
        <v xml:space="preserve">   Seg. 3.1-A01 - Drenagem Superficial - Sarjeta de corte (Manual)</v>
      </c>
    </row>
    <row r="1731" spans="1:49" ht="15.6" hidden="1" customHeight="1" outlineLevel="2">
      <c r="A1731" s="8" t="str">
        <f t="shared" ref="A1731" si="6952">A1730</f>
        <v>N</v>
      </c>
      <c r="B1731" s="150"/>
      <c r="C1731" s="150" t="s">
        <v>2058</v>
      </c>
      <c r="D1731" s="120" t="s">
        <v>588</v>
      </c>
      <c r="E1731" s="915"/>
      <c r="F1731" s="902"/>
      <c r="G1731" s="528"/>
      <c r="H1731" s="549" t="s">
        <v>38</v>
      </c>
      <c r="I1731" s="711">
        <v>0</v>
      </c>
      <c r="J1731" s="897"/>
      <c r="K1731" s="528"/>
      <c r="L1731" s="549" t="s">
        <v>38</v>
      </c>
      <c r="M1731" s="711">
        <f t="shared" si="6819"/>
        <v>0</v>
      </c>
      <c r="N1731" s="897"/>
      <c r="O1731" s="528"/>
      <c r="P1731" s="548">
        <v>0</v>
      </c>
      <c r="Q1731" s="548">
        <v>0</v>
      </c>
      <c r="R1731" s="548">
        <v>0</v>
      </c>
      <c r="S1731" s="548">
        <v>0</v>
      </c>
      <c r="T1731" s="548">
        <v>0</v>
      </c>
      <c r="U1731" s="548">
        <v>0</v>
      </c>
      <c r="V1731" s="548">
        <v>0</v>
      </c>
      <c r="W1731" s="528"/>
      <c r="X1731" s="711">
        <f t="shared" si="6821"/>
        <v>0</v>
      </c>
      <c r="Y1731" s="897"/>
      <c r="Z1731" s="528"/>
      <c r="AA1731" s="899"/>
      <c r="AB1731" s="899"/>
      <c r="AC1731" s="904"/>
      <c r="AD1731" s="901"/>
      <c r="AE1731" s="2"/>
      <c r="AF1731" s="885"/>
      <c r="AG1731" s="885"/>
      <c r="AH1731" s="885"/>
      <c r="AI1731" s="885"/>
      <c r="AJ1731" s="885"/>
      <c r="AK1731" s="885"/>
      <c r="AL1731" s="885"/>
      <c r="AM1731" s="879"/>
      <c r="AN1731" s="2"/>
      <c r="AO1731" s="886"/>
      <c r="AP1731" s="886"/>
      <c r="AV1731" t="str">
        <f t="shared" si="6733"/>
        <v>Drenagem Superficial</v>
      </c>
      <c r="AW1731" s="4" t="str">
        <f t="shared" si="6724"/>
        <v xml:space="preserve">   Seg. 3.1-A01 - Drenagem Superficial - Sarjeta de corte (Manual)</v>
      </c>
    </row>
    <row r="1732" spans="1:49" ht="15.6" hidden="1" customHeight="1" outlineLevel="2">
      <c r="A1732" s="8" t="str">
        <f t="shared" ref="A1732" si="6953">IF(SUM(P1732:V1733)&gt;0,"S","N")</f>
        <v>N</v>
      </c>
      <c r="B1732" s="150">
        <v>1069408</v>
      </c>
      <c r="C1732" s="150" t="s">
        <v>2060</v>
      </c>
      <c r="D1732" s="120" t="s">
        <v>2061</v>
      </c>
      <c r="E1732" s="914" t="s">
        <v>2062</v>
      </c>
      <c r="F1732" s="902" t="s">
        <v>52</v>
      </c>
      <c r="G1732" s="528"/>
      <c r="H1732" s="546" t="s">
        <v>37</v>
      </c>
      <c r="I1732" s="711">
        <v>0</v>
      </c>
      <c r="J1732" s="896" t="str">
        <f t="shared" ref="J1732" si="6954">IFERROR((I1733/I1732),"-")</f>
        <v>-</v>
      </c>
      <c r="K1732" s="528"/>
      <c r="L1732" s="546" t="s">
        <v>37</v>
      </c>
      <c r="M1732" s="711">
        <f t="shared" si="6819"/>
        <v>0</v>
      </c>
      <c r="N1732" s="896" t="str">
        <f t="shared" ref="N1732" si="6955">IFERROR((M1733/M1732),"-")</f>
        <v>-</v>
      </c>
      <c r="O1732" s="528"/>
      <c r="P1732" s="547">
        <v>0</v>
      </c>
      <c r="Q1732" s="547">
        <v>0</v>
      </c>
      <c r="R1732" s="547">
        <v>0</v>
      </c>
      <c r="S1732" s="547">
        <v>0</v>
      </c>
      <c r="T1732" s="547">
        <v>0</v>
      </c>
      <c r="U1732" s="547">
        <v>0</v>
      </c>
      <c r="V1732" s="548">
        <v>0</v>
      </c>
      <c r="W1732" s="528"/>
      <c r="X1732" s="711">
        <f t="shared" si="6821"/>
        <v>0</v>
      </c>
      <c r="Y1732" s="896" t="str">
        <f t="shared" ref="Y1732" si="6956">IFERROR((X1733/X1732),"-")</f>
        <v>-</v>
      </c>
      <c r="Z1732" s="528"/>
      <c r="AA1732" s="898">
        <v>0</v>
      </c>
      <c r="AB1732" s="898">
        <v>0</v>
      </c>
      <c r="AC1732" s="903">
        <v>0</v>
      </c>
      <c r="AD1732" s="900" t="str">
        <f t="shared" ref="AD1732" si="6957">IFERROR((AC1732/AB1732),"-")</f>
        <v>-</v>
      </c>
      <c r="AE1732" s="2"/>
      <c r="AF1732" s="884">
        <v>0</v>
      </c>
      <c r="AG1732" s="884"/>
      <c r="AH1732" s="884">
        <v>0</v>
      </c>
      <c r="AI1732" s="884"/>
      <c r="AJ1732" s="884"/>
      <c r="AK1732" s="884">
        <f t="shared" ref="AK1732" si="6958">AF1732+AG1732+AH1732+AI1732+AJ1732+AC1732</f>
        <v>0</v>
      </c>
      <c r="AL1732" s="884">
        <v>0</v>
      </c>
      <c r="AM1732" s="878" t="str">
        <f t="shared" ref="AM1732" si="6959">IFERROR((AK1732/AL1732),"-")</f>
        <v>-</v>
      </c>
      <c r="AN1732" s="2"/>
      <c r="AO1732" s="884">
        <v>65</v>
      </c>
      <c r="AP1732" s="884">
        <f t="shared" ref="AP1732" si="6960">AO1732-AK1732</f>
        <v>65</v>
      </c>
      <c r="AV1732" t="str">
        <f t="shared" si="6733"/>
        <v>Drenagem Superficial</v>
      </c>
      <c r="AW1732" s="4" t="str">
        <f t="shared" si="6724"/>
        <v xml:space="preserve">   Seg. 3.1-ADME 05 - Drenagem Superficial - Sarjeta (Manual)</v>
      </c>
    </row>
    <row r="1733" spans="1:49" ht="15.6" hidden="1" customHeight="1" outlineLevel="2">
      <c r="A1733" s="8" t="str">
        <f t="shared" ref="A1733" si="6961">A1732</f>
        <v>N</v>
      </c>
      <c r="B1733" s="150"/>
      <c r="C1733" s="150" t="s">
        <v>2060</v>
      </c>
      <c r="D1733" s="120" t="s">
        <v>2061</v>
      </c>
      <c r="E1733" s="915"/>
      <c r="F1733" s="902"/>
      <c r="G1733" s="528"/>
      <c r="H1733" s="549" t="s">
        <v>38</v>
      </c>
      <c r="I1733" s="711">
        <v>0</v>
      </c>
      <c r="J1733" s="897"/>
      <c r="K1733" s="528"/>
      <c r="L1733" s="549" t="s">
        <v>38</v>
      </c>
      <c r="M1733" s="711">
        <f t="shared" si="6819"/>
        <v>0</v>
      </c>
      <c r="N1733" s="897"/>
      <c r="O1733" s="528"/>
      <c r="P1733" s="548">
        <v>0</v>
      </c>
      <c r="Q1733" s="548">
        <v>0</v>
      </c>
      <c r="R1733" s="548">
        <v>0</v>
      </c>
      <c r="S1733" s="548">
        <v>0</v>
      </c>
      <c r="T1733" s="548">
        <v>0</v>
      </c>
      <c r="U1733" s="548">
        <v>0</v>
      </c>
      <c r="V1733" s="548">
        <v>0</v>
      </c>
      <c r="W1733" s="528"/>
      <c r="X1733" s="711">
        <f t="shared" si="6821"/>
        <v>0</v>
      </c>
      <c r="Y1733" s="897"/>
      <c r="Z1733" s="528"/>
      <c r="AA1733" s="899"/>
      <c r="AB1733" s="899"/>
      <c r="AC1733" s="904"/>
      <c r="AD1733" s="901"/>
      <c r="AE1733" s="2"/>
      <c r="AF1733" s="885"/>
      <c r="AG1733" s="885"/>
      <c r="AH1733" s="885"/>
      <c r="AI1733" s="885"/>
      <c r="AJ1733" s="885"/>
      <c r="AK1733" s="885"/>
      <c r="AL1733" s="885"/>
      <c r="AM1733" s="879"/>
      <c r="AN1733" s="2"/>
      <c r="AO1733" s="886"/>
      <c r="AP1733" s="886"/>
      <c r="AV1733" t="str">
        <f t="shared" si="6733"/>
        <v>Drenagem Superficial</v>
      </c>
      <c r="AW1733" s="4" t="str">
        <f t="shared" si="6724"/>
        <v xml:space="preserve">   Seg. 3.1-ADME 05 - Drenagem Superficial - Sarjeta (Manual)</v>
      </c>
    </row>
    <row r="1734" spans="1:49" ht="15.6" hidden="1" customHeight="1" outlineLevel="2">
      <c r="A1734" s="8" t="str">
        <f t="shared" ref="A1734" si="6962">IF(SUM(P1734:V1735)&gt;0,"S","N")</f>
        <v>N</v>
      </c>
      <c r="B1734" s="150">
        <v>1069685</v>
      </c>
      <c r="C1734" s="150" t="s">
        <v>2063</v>
      </c>
      <c r="D1734" s="120" t="s">
        <v>560</v>
      </c>
      <c r="E1734" s="914" t="s">
        <v>2064</v>
      </c>
      <c r="F1734" s="902" t="s">
        <v>52</v>
      </c>
      <c r="G1734" s="528"/>
      <c r="H1734" s="546" t="s">
        <v>37</v>
      </c>
      <c r="I1734" s="711">
        <v>0</v>
      </c>
      <c r="J1734" s="896" t="str">
        <f t="shared" ref="J1734" si="6963">IFERROR((I1735/I1734),"-")</f>
        <v>-</v>
      </c>
      <c r="K1734" s="528"/>
      <c r="L1734" s="546" t="s">
        <v>37</v>
      </c>
      <c r="M1734" s="711">
        <f t="shared" si="6819"/>
        <v>0</v>
      </c>
      <c r="N1734" s="896" t="str">
        <f t="shared" ref="N1734" si="6964">IFERROR((M1735/M1734),"-")</f>
        <v>-</v>
      </c>
      <c r="O1734" s="528"/>
      <c r="P1734" s="547">
        <v>0</v>
      </c>
      <c r="Q1734" s="547">
        <v>0</v>
      </c>
      <c r="R1734" s="547">
        <v>0</v>
      </c>
      <c r="S1734" s="547">
        <v>0</v>
      </c>
      <c r="T1734" s="547">
        <v>0</v>
      </c>
      <c r="U1734" s="547">
        <v>0</v>
      </c>
      <c r="V1734" s="548">
        <v>0</v>
      </c>
      <c r="W1734" s="528"/>
      <c r="X1734" s="711">
        <f t="shared" si="6821"/>
        <v>0</v>
      </c>
      <c r="Y1734" s="896" t="str">
        <f t="shared" ref="Y1734" si="6965">IFERROR((X1735/X1734),"-")</f>
        <v>-</v>
      </c>
      <c r="Z1734" s="528"/>
      <c r="AA1734" s="898">
        <v>0</v>
      </c>
      <c r="AB1734" s="898">
        <v>0</v>
      </c>
      <c r="AC1734" s="903">
        <v>0</v>
      </c>
      <c r="AD1734" s="900" t="str">
        <f t="shared" ref="AD1734" si="6966">IFERROR((AC1734/AB1734),"-")</f>
        <v>-</v>
      </c>
      <c r="AE1734" s="2"/>
      <c r="AF1734" s="884">
        <v>0</v>
      </c>
      <c r="AG1734" s="884"/>
      <c r="AH1734" s="884">
        <v>0</v>
      </c>
      <c r="AI1734" s="884"/>
      <c r="AJ1734" s="884"/>
      <c r="AK1734" s="884">
        <f t="shared" ref="AK1734" si="6967">AF1734+AG1734+AH1734+AI1734+AJ1734+AC1734</f>
        <v>0</v>
      </c>
      <c r="AL1734" s="884">
        <v>0</v>
      </c>
      <c r="AM1734" s="878" t="str">
        <f t="shared" ref="AM1734" si="6968">IFERROR((AK1734/AL1734),"-")</f>
        <v>-</v>
      </c>
      <c r="AN1734" s="2"/>
      <c r="AO1734" s="884">
        <v>2381</v>
      </c>
      <c r="AP1734" s="884">
        <f t="shared" ref="AP1734" si="6969">AO1734-AK1734</f>
        <v>2381</v>
      </c>
      <c r="AV1734" t="str">
        <f t="shared" si="6733"/>
        <v>Drenagem Superficial</v>
      </c>
      <c r="AW1734" s="4" t="str">
        <f t="shared" si="6724"/>
        <v xml:space="preserve">   Seg. 3.1-C02 - Drenagem Superficial - Sarjeta de corte (Manual)</v>
      </c>
    </row>
    <row r="1735" spans="1:49" ht="15.6" hidden="1" customHeight="1" outlineLevel="2">
      <c r="A1735" s="8" t="str">
        <f t="shared" ref="A1735" si="6970">A1734</f>
        <v>N</v>
      </c>
      <c r="B1735" s="150"/>
      <c r="C1735" s="150" t="s">
        <v>2063</v>
      </c>
      <c r="D1735" s="120" t="s">
        <v>560</v>
      </c>
      <c r="E1735" s="915"/>
      <c r="F1735" s="902"/>
      <c r="G1735" s="528"/>
      <c r="H1735" s="549" t="s">
        <v>38</v>
      </c>
      <c r="I1735" s="711">
        <v>0</v>
      </c>
      <c r="J1735" s="897"/>
      <c r="K1735" s="528"/>
      <c r="L1735" s="549" t="s">
        <v>38</v>
      </c>
      <c r="M1735" s="711">
        <f t="shared" si="6819"/>
        <v>0</v>
      </c>
      <c r="N1735" s="897"/>
      <c r="O1735" s="528"/>
      <c r="P1735" s="548">
        <v>0</v>
      </c>
      <c r="Q1735" s="548">
        <v>0</v>
      </c>
      <c r="R1735" s="548">
        <v>0</v>
      </c>
      <c r="S1735" s="548">
        <v>0</v>
      </c>
      <c r="T1735" s="548">
        <v>0</v>
      </c>
      <c r="U1735" s="548">
        <v>0</v>
      </c>
      <c r="V1735" s="548">
        <v>0</v>
      </c>
      <c r="W1735" s="528"/>
      <c r="X1735" s="711">
        <f t="shared" si="6821"/>
        <v>0</v>
      </c>
      <c r="Y1735" s="897"/>
      <c r="Z1735" s="528"/>
      <c r="AA1735" s="899"/>
      <c r="AB1735" s="899"/>
      <c r="AC1735" s="904"/>
      <c r="AD1735" s="901"/>
      <c r="AE1735" s="2"/>
      <c r="AF1735" s="885"/>
      <c r="AG1735" s="885"/>
      <c r="AH1735" s="885"/>
      <c r="AI1735" s="885"/>
      <c r="AJ1735" s="885"/>
      <c r="AK1735" s="885"/>
      <c r="AL1735" s="885"/>
      <c r="AM1735" s="879"/>
      <c r="AN1735" s="2"/>
      <c r="AO1735" s="886"/>
      <c r="AP1735" s="886"/>
      <c r="AV1735" t="str">
        <f t="shared" si="6733"/>
        <v>Drenagem Superficial</v>
      </c>
      <c r="AW1735" s="4" t="str">
        <f t="shared" si="6724"/>
        <v xml:space="preserve">   Seg. 3.1-C02 - Drenagem Superficial - Sarjeta de corte (Manual)</v>
      </c>
    </row>
    <row r="1736" spans="1:49" ht="15.6" hidden="1" customHeight="1" outlineLevel="2">
      <c r="A1736" s="8" t="str">
        <f t="shared" ref="A1736" si="6971">IF(SUM(P1736:V1737)&gt;0,"S","N")</f>
        <v>N</v>
      </c>
      <c r="B1736" s="150">
        <v>1069687</v>
      </c>
      <c r="C1736" s="150" t="s">
        <v>2065</v>
      </c>
      <c r="D1736" s="120" t="s">
        <v>563</v>
      </c>
      <c r="E1736" s="914" t="s">
        <v>2066</v>
      </c>
      <c r="F1736" s="902" t="s">
        <v>52</v>
      </c>
      <c r="G1736" s="528"/>
      <c r="H1736" s="546" t="s">
        <v>37</v>
      </c>
      <c r="I1736" s="711">
        <v>0</v>
      </c>
      <c r="J1736" s="896" t="str">
        <f t="shared" ref="J1736" si="6972">IFERROR((I1737/I1736),"-")</f>
        <v>-</v>
      </c>
      <c r="K1736" s="528"/>
      <c r="L1736" s="546" t="s">
        <v>37</v>
      </c>
      <c r="M1736" s="711">
        <f t="shared" si="6819"/>
        <v>0</v>
      </c>
      <c r="N1736" s="896" t="str">
        <f>IFERROR((M1737/M1736),"-")</f>
        <v>-</v>
      </c>
      <c r="O1736" s="528"/>
      <c r="P1736" s="547">
        <v>0</v>
      </c>
      <c r="Q1736" s="547">
        <v>0</v>
      </c>
      <c r="R1736" s="547">
        <v>0</v>
      </c>
      <c r="S1736" s="547">
        <v>0</v>
      </c>
      <c r="T1736" s="547">
        <v>0</v>
      </c>
      <c r="U1736" s="547">
        <v>0</v>
      </c>
      <c r="V1736" s="548">
        <v>0</v>
      </c>
      <c r="W1736" s="528"/>
      <c r="X1736" s="711">
        <f t="shared" si="6821"/>
        <v>0</v>
      </c>
      <c r="Y1736" s="896" t="str">
        <f t="shared" ref="Y1736" si="6973">IFERROR((X1737/X1736),"-")</f>
        <v>-</v>
      </c>
      <c r="Z1736" s="528"/>
      <c r="AA1736" s="898">
        <v>0</v>
      </c>
      <c r="AB1736" s="898">
        <v>0</v>
      </c>
      <c r="AC1736" s="903">
        <v>0</v>
      </c>
      <c r="AD1736" s="900" t="str">
        <f t="shared" ref="AD1736" si="6974">IFERROR((AC1736/AB1736),"-")</f>
        <v>-</v>
      </c>
      <c r="AE1736" s="2"/>
      <c r="AF1736" s="884">
        <v>0</v>
      </c>
      <c r="AG1736" s="884"/>
      <c r="AH1736" s="884">
        <v>0</v>
      </c>
      <c r="AI1736" s="884"/>
      <c r="AJ1736" s="884"/>
      <c r="AK1736" s="884">
        <f t="shared" ref="AK1736" si="6975">AF1736+AG1736+AH1736+AI1736+AJ1736+AC1736</f>
        <v>0</v>
      </c>
      <c r="AL1736" s="884">
        <v>0</v>
      </c>
      <c r="AM1736" s="878" t="str">
        <f t="shared" ref="AM1736" si="6976">IFERROR((AK1736/AL1736),"-")</f>
        <v>-</v>
      </c>
      <c r="AN1736" s="2"/>
      <c r="AO1736" s="884">
        <v>3439</v>
      </c>
      <c r="AP1736" s="884">
        <f t="shared" ref="AP1736" si="6977">AO1736-AK1736</f>
        <v>3439</v>
      </c>
      <c r="AV1736" t="str">
        <f t="shared" si="6733"/>
        <v>Drenagem Superficial</v>
      </c>
      <c r="AW1736" s="4" t="str">
        <f t="shared" si="6724"/>
        <v xml:space="preserve">   Seg. 3.1-C04 - Drenagem Superficial - Sarjeta de corte (Manual)</v>
      </c>
    </row>
    <row r="1737" spans="1:49" ht="15.6" hidden="1" customHeight="1" outlineLevel="2">
      <c r="A1737" s="8" t="str">
        <f t="shared" ref="A1737" si="6978">A1736</f>
        <v>N</v>
      </c>
      <c r="B1737" s="150"/>
      <c r="C1737" s="150" t="s">
        <v>2065</v>
      </c>
      <c r="D1737" s="120" t="s">
        <v>563</v>
      </c>
      <c r="E1737" s="915"/>
      <c r="F1737" s="902"/>
      <c r="G1737" s="528"/>
      <c r="H1737" s="549" t="s">
        <v>38</v>
      </c>
      <c r="I1737" s="711">
        <v>0</v>
      </c>
      <c r="J1737" s="897"/>
      <c r="K1737" s="528"/>
      <c r="L1737" s="549" t="s">
        <v>38</v>
      </c>
      <c r="M1737" s="711">
        <f t="shared" si="6819"/>
        <v>0</v>
      </c>
      <c r="N1737" s="897"/>
      <c r="O1737" s="528"/>
      <c r="P1737" s="548">
        <v>0</v>
      </c>
      <c r="Q1737" s="548">
        <v>0</v>
      </c>
      <c r="R1737" s="548">
        <v>0</v>
      </c>
      <c r="S1737" s="548">
        <v>0</v>
      </c>
      <c r="T1737" s="548">
        <v>0</v>
      </c>
      <c r="U1737" s="548">
        <v>0</v>
      </c>
      <c r="V1737" s="548">
        <v>0</v>
      </c>
      <c r="W1737" s="528"/>
      <c r="X1737" s="711">
        <f t="shared" si="6821"/>
        <v>0</v>
      </c>
      <c r="Y1737" s="897"/>
      <c r="Z1737" s="528"/>
      <c r="AA1737" s="899"/>
      <c r="AB1737" s="899"/>
      <c r="AC1737" s="904"/>
      <c r="AD1737" s="901"/>
      <c r="AE1737" s="2"/>
      <c r="AF1737" s="885"/>
      <c r="AG1737" s="885"/>
      <c r="AH1737" s="885"/>
      <c r="AI1737" s="885"/>
      <c r="AJ1737" s="885"/>
      <c r="AK1737" s="885"/>
      <c r="AL1737" s="885"/>
      <c r="AM1737" s="879"/>
      <c r="AN1737" s="2"/>
      <c r="AO1737" s="886"/>
      <c r="AP1737" s="886"/>
      <c r="AV1737" t="str">
        <f t="shared" si="6733"/>
        <v>Drenagem Superficial</v>
      </c>
      <c r="AW1737" s="4" t="str">
        <f t="shared" ref="AW1737:AW1800" si="6979">IF(E1737&lt;&gt;"",E1737,AW1736)</f>
        <v xml:space="preserve">   Seg. 3.1-C04 - Drenagem Superficial - Sarjeta de corte (Manual)</v>
      </c>
    </row>
    <row r="1738" spans="1:49" ht="15.6" hidden="1" customHeight="1" outlineLevel="2">
      <c r="A1738" s="8" t="str">
        <f t="shared" ref="A1738" si="6980">IF(SUM(P1738:V1739)&gt;0,"S","N")</f>
        <v>N</v>
      </c>
      <c r="B1738" s="150">
        <v>1069688</v>
      </c>
      <c r="C1738" s="150" t="s">
        <v>2067</v>
      </c>
      <c r="D1738" s="120" t="s">
        <v>2068</v>
      </c>
      <c r="E1738" s="914" t="s">
        <v>2069</v>
      </c>
      <c r="F1738" s="902" t="s">
        <v>52</v>
      </c>
      <c r="G1738" s="528"/>
      <c r="H1738" s="546" t="s">
        <v>37</v>
      </c>
      <c r="I1738" s="711">
        <v>0</v>
      </c>
      <c r="J1738" s="896" t="str">
        <f t="shared" ref="J1738" si="6981">IFERROR((I1739/I1738),"-")</f>
        <v>-</v>
      </c>
      <c r="K1738" s="528"/>
      <c r="L1738" s="546" t="s">
        <v>37</v>
      </c>
      <c r="M1738" s="711">
        <f t="shared" si="6819"/>
        <v>0</v>
      </c>
      <c r="N1738" s="896" t="str">
        <f>IFERROR((M1739/M1738),"-")</f>
        <v>-</v>
      </c>
      <c r="O1738" s="528"/>
      <c r="P1738" s="547">
        <v>0</v>
      </c>
      <c r="Q1738" s="547">
        <v>0</v>
      </c>
      <c r="R1738" s="547">
        <v>0</v>
      </c>
      <c r="S1738" s="547">
        <v>0</v>
      </c>
      <c r="T1738" s="547">
        <v>0</v>
      </c>
      <c r="U1738" s="547">
        <v>0</v>
      </c>
      <c r="V1738" s="548">
        <v>0</v>
      </c>
      <c r="W1738" s="528"/>
      <c r="X1738" s="711">
        <f t="shared" si="6821"/>
        <v>0</v>
      </c>
      <c r="Y1738" s="896" t="str">
        <f t="shared" ref="Y1738" si="6982">IFERROR((X1739/X1738),"-")</f>
        <v>-</v>
      </c>
      <c r="Z1738" s="528"/>
      <c r="AA1738" s="898">
        <v>0</v>
      </c>
      <c r="AB1738" s="898">
        <v>0</v>
      </c>
      <c r="AC1738" s="903">
        <v>0</v>
      </c>
      <c r="AD1738" s="900" t="str">
        <f t="shared" ref="AD1738" si="6983">IFERROR((AC1738/AB1738),"-")</f>
        <v>-</v>
      </c>
      <c r="AE1738" s="2"/>
      <c r="AF1738" s="884">
        <v>0</v>
      </c>
      <c r="AG1738" s="884"/>
      <c r="AH1738" s="884">
        <v>0</v>
      </c>
      <c r="AI1738" s="884"/>
      <c r="AJ1738" s="884"/>
      <c r="AK1738" s="884">
        <f t="shared" ref="AK1738" si="6984">AF1738+AG1738+AH1738+AI1738+AJ1738+AC1738</f>
        <v>0</v>
      </c>
      <c r="AL1738" s="884">
        <v>0</v>
      </c>
      <c r="AM1738" s="878" t="str">
        <f t="shared" ref="AM1738" si="6985">IFERROR((AK1738/AL1738),"-")</f>
        <v>-</v>
      </c>
      <c r="AN1738" s="2"/>
      <c r="AO1738" s="884">
        <v>700</v>
      </c>
      <c r="AP1738" s="884">
        <f t="shared" ref="AP1738" si="6986">AO1738-AK1738</f>
        <v>700</v>
      </c>
      <c r="AV1738" t="str">
        <f t="shared" ref="AV1738:AV1801" si="6987">IF(AX1738="Y",LEFT(E1738,20),IF(AX1738="x",E1738,AV1737))</f>
        <v>Drenagem Superficial</v>
      </c>
      <c r="AW1738" s="4" t="str">
        <f t="shared" si="6979"/>
        <v xml:space="preserve">   Seg. 3.1-C05 - Drenagem Superficial - Sarjeta de corte (Extrusada)</v>
      </c>
    </row>
    <row r="1739" spans="1:49" ht="15.6" hidden="1" customHeight="1" outlineLevel="2">
      <c r="A1739" s="8" t="str">
        <f t="shared" ref="A1739" si="6988">A1738</f>
        <v>N</v>
      </c>
      <c r="B1739" s="150"/>
      <c r="C1739" s="150" t="s">
        <v>2067</v>
      </c>
      <c r="D1739" s="120" t="s">
        <v>2068</v>
      </c>
      <c r="E1739" s="915"/>
      <c r="F1739" s="902"/>
      <c r="G1739" s="528"/>
      <c r="H1739" s="549" t="s">
        <v>38</v>
      </c>
      <c r="I1739" s="711">
        <v>0</v>
      </c>
      <c r="J1739" s="897"/>
      <c r="K1739" s="528"/>
      <c r="L1739" s="549" t="s">
        <v>38</v>
      </c>
      <c r="M1739" s="711">
        <f t="shared" si="6819"/>
        <v>0</v>
      </c>
      <c r="N1739" s="897"/>
      <c r="O1739" s="528"/>
      <c r="P1739" s="548">
        <v>0</v>
      </c>
      <c r="Q1739" s="548">
        <v>0</v>
      </c>
      <c r="R1739" s="548">
        <v>0</v>
      </c>
      <c r="S1739" s="548">
        <v>0</v>
      </c>
      <c r="T1739" s="548">
        <v>0</v>
      </c>
      <c r="U1739" s="548">
        <v>0</v>
      </c>
      <c r="V1739" s="548">
        <v>0</v>
      </c>
      <c r="W1739" s="528"/>
      <c r="X1739" s="711">
        <f t="shared" si="6821"/>
        <v>0</v>
      </c>
      <c r="Y1739" s="897"/>
      <c r="Z1739" s="528"/>
      <c r="AA1739" s="899"/>
      <c r="AB1739" s="899"/>
      <c r="AC1739" s="904"/>
      <c r="AD1739" s="901"/>
      <c r="AE1739" s="2"/>
      <c r="AF1739" s="885"/>
      <c r="AG1739" s="885"/>
      <c r="AH1739" s="885"/>
      <c r="AI1739" s="885"/>
      <c r="AJ1739" s="885"/>
      <c r="AK1739" s="885"/>
      <c r="AL1739" s="885"/>
      <c r="AM1739" s="879"/>
      <c r="AN1739" s="2"/>
      <c r="AO1739" s="886"/>
      <c r="AP1739" s="886"/>
      <c r="AV1739" t="str">
        <f t="shared" si="6987"/>
        <v>Drenagem Superficial</v>
      </c>
      <c r="AW1739" s="4" t="str">
        <f t="shared" si="6979"/>
        <v xml:space="preserve">   Seg. 3.1-C05 - Drenagem Superficial - Sarjeta de corte (Extrusada)</v>
      </c>
    </row>
    <row r="1740" spans="1:49" ht="15.6" hidden="1" customHeight="1" outlineLevel="2">
      <c r="A1740" s="8" t="str">
        <f t="shared" ref="A1740" si="6989">IF(SUM(P1740:V1741)&gt;0,"S","N")</f>
        <v>N</v>
      </c>
      <c r="B1740" s="150">
        <v>1069689</v>
      </c>
      <c r="C1740" s="150" t="s">
        <v>2070</v>
      </c>
      <c r="D1740" s="120" t="s">
        <v>2071</v>
      </c>
      <c r="E1740" s="914" t="s">
        <v>2072</v>
      </c>
      <c r="F1740" s="902" t="s">
        <v>52</v>
      </c>
      <c r="G1740" s="528"/>
      <c r="H1740" s="546" t="s">
        <v>37</v>
      </c>
      <c r="I1740" s="711">
        <v>0</v>
      </c>
      <c r="J1740" s="896" t="str">
        <f t="shared" ref="J1740" si="6990">IFERROR((I1741/I1740),"-")</f>
        <v>-</v>
      </c>
      <c r="K1740" s="528"/>
      <c r="L1740" s="546" t="s">
        <v>37</v>
      </c>
      <c r="M1740" s="711">
        <f t="shared" si="6819"/>
        <v>0</v>
      </c>
      <c r="N1740" s="896" t="str">
        <f>IFERROR((M1741/M1740),"-")</f>
        <v>-</v>
      </c>
      <c r="O1740" s="528"/>
      <c r="P1740" s="547">
        <v>0</v>
      </c>
      <c r="Q1740" s="547">
        <v>0</v>
      </c>
      <c r="R1740" s="547">
        <v>0</v>
      </c>
      <c r="S1740" s="547">
        <v>0</v>
      </c>
      <c r="T1740" s="547">
        <v>0</v>
      </c>
      <c r="U1740" s="547">
        <v>0</v>
      </c>
      <c r="V1740" s="548">
        <v>0</v>
      </c>
      <c r="W1740" s="528"/>
      <c r="X1740" s="711">
        <f t="shared" si="6821"/>
        <v>0</v>
      </c>
      <c r="Y1740" s="896" t="str">
        <f t="shared" ref="Y1740" si="6991">IFERROR((X1741/X1740),"-")</f>
        <v>-</v>
      </c>
      <c r="Z1740" s="528"/>
      <c r="AA1740" s="898">
        <v>0</v>
      </c>
      <c r="AB1740" s="898">
        <v>0</v>
      </c>
      <c r="AC1740" s="903">
        <v>0</v>
      </c>
      <c r="AD1740" s="900" t="str">
        <f t="shared" ref="AD1740" si="6992">IFERROR((AC1740/AB1740),"-")</f>
        <v>-</v>
      </c>
      <c r="AE1740" s="2"/>
      <c r="AF1740" s="884">
        <v>0</v>
      </c>
      <c r="AG1740" s="884"/>
      <c r="AH1740" s="884">
        <v>0</v>
      </c>
      <c r="AI1740" s="884"/>
      <c r="AJ1740" s="884"/>
      <c r="AK1740" s="884">
        <f t="shared" ref="AK1740" si="6993">AF1740+AG1740+AH1740+AI1740+AJ1740+AC1740</f>
        <v>0</v>
      </c>
      <c r="AL1740" s="884">
        <v>0</v>
      </c>
      <c r="AM1740" s="878" t="str">
        <f t="shared" ref="AM1740" si="6994">IFERROR((AK1740/AL1740),"-")</f>
        <v>-</v>
      </c>
      <c r="AN1740" s="2"/>
      <c r="AO1740" s="884">
        <v>684</v>
      </c>
      <c r="AP1740" s="884">
        <f t="shared" ref="AP1740" si="6995">AO1740-AK1740</f>
        <v>684</v>
      </c>
      <c r="AV1740" t="str">
        <f t="shared" si="6987"/>
        <v>Drenagem Superficial</v>
      </c>
      <c r="AW1740" s="4" t="str">
        <f t="shared" si="6979"/>
        <v xml:space="preserve">   Seg. 3.1-C07 - Drenagem Superficial - Sarjeta de corte (Extrusada)</v>
      </c>
    </row>
    <row r="1741" spans="1:49" ht="15.6" hidden="1" customHeight="1" outlineLevel="2">
      <c r="A1741" s="8" t="str">
        <f t="shared" ref="A1741" si="6996">A1740</f>
        <v>N</v>
      </c>
      <c r="B1741" s="150"/>
      <c r="C1741" s="150" t="s">
        <v>2070</v>
      </c>
      <c r="D1741" s="120" t="s">
        <v>2071</v>
      </c>
      <c r="E1741" s="915"/>
      <c r="F1741" s="902"/>
      <c r="G1741" s="528"/>
      <c r="H1741" s="549" t="s">
        <v>38</v>
      </c>
      <c r="I1741" s="711">
        <v>0</v>
      </c>
      <c r="J1741" s="897"/>
      <c r="K1741" s="528"/>
      <c r="L1741" s="549" t="s">
        <v>38</v>
      </c>
      <c r="M1741" s="711">
        <f t="shared" si="6819"/>
        <v>0</v>
      </c>
      <c r="N1741" s="897"/>
      <c r="O1741" s="528"/>
      <c r="P1741" s="548">
        <v>0</v>
      </c>
      <c r="Q1741" s="548">
        <v>0</v>
      </c>
      <c r="R1741" s="548">
        <v>0</v>
      </c>
      <c r="S1741" s="548">
        <v>0</v>
      </c>
      <c r="T1741" s="548">
        <v>0</v>
      </c>
      <c r="U1741" s="548">
        <v>0</v>
      </c>
      <c r="V1741" s="548">
        <v>0</v>
      </c>
      <c r="W1741" s="528"/>
      <c r="X1741" s="711">
        <f t="shared" si="6821"/>
        <v>0</v>
      </c>
      <c r="Y1741" s="897"/>
      <c r="Z1741" s="528"/>
      <c r="AA1741" s="899"/>
      <c r="AB1741" s="899"/>
      <c r="AC1741" s="904"/>
      <c r="AD1741" s="901"/>
      <c r="AE1741" s="2"/>
      <c r="AF1741" s="885"/>
      <c r="AG1741" s="885"/>
      <c r="AH1741" s="885"/>
      <c r="AI1741" s="885"/>
      <c r="AJ1741" s="885"/>
      <c r="AK1741" s="885"/>
      <c r="AL1741" s="885"/>
      <c r="AM1741" s="879"/>
      <c r="AN1741" s="2"/>
      <c r="AO1741" s="886"/>
      <c r="AP1741" s="886"/>
      <c r="AV1741" t="str">
        <f t="shared" si="6987"/>
        <v>Drenagem Superficial</v>
      </c>
      <c r="AW1741" s="4" t="str">
        <f t="shared" si="6979"/>
        <v xml:space="preserve">   Seg. 3.1-C07 - Drenagem Superficial - Sarjeta de corte (Extrusada)</v>
      </c>
    </row>
    <row r="1742" spans="1:49" ht="15.6" hidden="1" customHeight="1" outlineLevel="2">
      <c r="A1742" s="8" t="str">
        <f t="shared" ref="A1742" si="6997">IF(SUM(P1742:V1743)&gt;0,"S","N")</f>
        <v>N</v>
      </c>
      <c r="B1742" s="150">
        <v>1069694</v>
      </c>
      <c r="C1742" s="150" t="s">
        <v>2073</v>
      </c>
      <c r="D1742" s="120" t="s">
        <v>2074</v>
      </c>
      <c r="E1742" s="914" t="s">
        <v>2075</v>
      </c>
      <c r="F1742" s="902" t="s">
        <v>52</v>
      </c>
      <c r="G1742" s="528"/>
      <c r="H1742" s="546" t="s">
        <v>37</v>
      </c>
      <c r="I1742" s="711">
        <v>0</v>
      </c>
      <c r="J1742" s="896" t="str">
        <f t="shared" ref="J1742" si="6998">IFERROR((I1743/I1742),"-")</f>
        <v>-</v>
      </c>
      <c r="K1742" s="528"/>
      <c r="L1742" s="546" t="s">
        <v>37</v>
      </c>
      <c r="M1742" s="711">
        <f t="shared" si="6819"/>
        <v>0</v>
      </c>
      <c r="N1742" s="896" t="str">
        <f>IFERROR((M1743/M1742),"-")</f>
        <v>-</v>
      </c>
      <c r="O1742" s="528"/>
      <c r="P1742" s="547">
        <v>0</v>
      </c>
      <c r="Q1742" s="547">
        <v>0</v>
      </c>
      <c r="R1742" s="547">
        <v>0</v>
      </c>
      <c r="S1742" s="547">
        <v>0</v>
      </c>
      <c r="T1742" s="547">
        <v>0</v>
      </c>
      <c r="U1742" s="547">
        <v>0</v>
      </c>
      <c r="V1742" s="548">
        <v>0</v>
      </c>
      <c r="W1742" s="528"/>
      <c r="X1742" s="711">
        <f t="shared" si="6821"/>
        <v>0</v>
      </c>
      <c r="Y1742" s="896" t="str">
        <f t="shared" ref="Y1742" si="6999">IFERROR((X1743/X1742),"-")</f>
        <v>-</v>
      </c>
      <c r="Z1742" s="528"/>
      <c r="AA1742" s="898">
        <v>0</v>
      </c>
      <c r="AB1742" s="898">
        <v>0</v>
      </c>
      <c r="AC1742" s="903">
        <v>0</v>
      </c>
      <c r="AD1742" s="900" t="str">
        <f t="shared" ref="AD1742" si="7000">IFERROR((AC1742/AB1742),"-")</f>
        <v>-</v>
      </c>
      <c r="AE1742" s="2"/>
      <c r="AF1742" s="884">
        <v>0</v>
      </c>
      <c r="AG1742" s="884"/>
      <c r="AH1742" s="884">
        <v>0</v>
      </c>
      <c r="AI1742" s="884"/>
      <c r="AJ1742" s="884"/>
      <c r="AK1742" s="884">
        <f t="shared" ref="AK1742" si="7001">AF1742+AG1742+AH1742+AI1742+AJ1742+AC1742</f>
        <v>0</v>
      </c>
      <c r="AL1742" s="884">
        <v>0</v>
      </c>
      <c r="AM1742" s="878" t="str">
        <f t="shared" ref="AM1742" si="7002">IFERROR((AK1742/AL1742),"-")</f>
        <v>-</v>
      </c>
      <c r="AN1742" s="2"/>
      <c r="AO1742" s="884">
        <v>670</v>
      </c>
      <c r="AP1742" s="884">
        <f t="shared" ref="AP1742" si="7003">AO1742-AK1742</f>
        <v>670</v>
      </c>
      <c r="AV1742" t="str">
        <f t="shared" si="6987"/>
        <v>Drenagem Superficial</v>
      </c>
      <c r="AW1742" s="4" t="str">
        <f t="shared" si="6979"/>
        <v xml:space="preserve">   Seg. 3.1-A04 - Drenagem Superficial - Sarjeta de aterro (Extrusada)</v>
      </c>
    </row>
    <row r="1743" spans="1:49" ht="15.6" hidden="1" customHeight="1" outlineLevel="2">
      <c r="A1743" s="8" t="str">
        <f t="shared" ref="A1743" si="7004">A1742</f>
        <v>N</v>
      </c>
      <c r="B1743" s="150"/>
      <c r="C1743" s="150" t="s">
        <v>2073</v>
      </c>
      <c r="D1743" s="120" t="s">
        <v>2074</v>
      </c>
      <c r="E1743" s="915"/>
      <c r="F1743" s="902"/>
      <c r="G1743" s="528"/>
      <c r="H1743" s="549" t="s">
        <v>38</v>
      </c>
      <c r="I1743" s="711">
        <v>0</v>
      </c>
      <c r="J1743" s="897"/>
      <c r="K1743" s="528"/>
      <c r="L1743" s="549" t="s">
        <v>38</v>
      </c>
      <c r="M1743" s="711">
        <f t="shared" si="6819"/>
        <v>0</v>
      </c>
      <c r="N1743" s="897"/>
      <c r="O1743" s="528"/>
      <c r="P1743" s="548">
        <v>0</v>
      </c>
      <c r="Q1743" s="548">
        <v>0</v>
      </c>
      <c r="R1743" s="548">
        <v>0</v>
      </c>
      <c r="S1743" s="548">
        <v>0</v>
      </c>
      <c r="T1743" s="548">
        <v>0</v>
      </c>
      <c r="U1743" s="548">
        <v>0</v>
      </c>
      <c r="V1743" s="548">
        <v>0</v>
      </c>
      <c r="W1743" s="528"/>
      <c r="X1743" s="711">
        <f t="shared" si="6821"/>
        <v>0</v>
      </c>
      <c r="Y1743" s="897"/>
      <c r="Z1743" s="528"/>
      <c r="AA1743" s="899"/>
      <c r="AB1743" s="899"/>
      <c r="AC1743" s="904"/>
      <c r="AD1743" s="901"/>
      <c r="AE1743" s="2"/>
      <c r="AF1743" s="885"/>
      <c r="AG1743" s="885"/>
      <c r="AH1743" s="885"/>
      <c r="AI1743" s="885"/>
      <c r="AJ1743" s="885"/>
      <c r="AK1743" s="885"/>
      <c r="AL1743" s="885"/>
      <c r="AM1743" s="879"/>
      <c r="AN1743" s="2"/>
      <c r="AO1743" s="886"/>
      <c r="AP1743" s="886"/>
      <c r="AV1743" t="str">
        <f t="shared" si="6987"/>
        <v>Drenagem Superficial</v>
      </c>
      <c r="AW1743" s="4" t="str">
        <f t="shared" si="6979"/>
        <v xml:space="preserve">   Seg. 3.1-A04 - Drenagem Superficial - Sarjeta de aterro (Extrusada)</v>
      </c>
    </row>
    <row r="1744" spans="1:49" ht="15.6" hidden="1" customHeight="1" outlineLevel="2">
      <c r="A1744" s="8" t="str">
        <f t="shared" ref="A1744" si="7005">IF(SUM(P1744:V1745)&gt;0,"S","N")</f>
        <v>N</v>
      </c>
      <c r="B1744" s="150">
        <v>1069720</v>
      </c>
      <c r="C1744" s="150" t="s">
        <v>2076</v>
      </c>
      <c r="D1744" s="120" t="s">
        <v>2077</v>
      </c>
      <c r="E1744" s="914" t="s">
        <v>2078</v>
      </c>
      <c r="F1744" s="902" t="s">
        <v>52</v>
      </c>
      <c r="G1744" s="528"/>
      <c r="H1744" s="546" t="s">
        <v>37</v>
      </c>
      <c r="I1744" s="711">
        <v>0</v>
      </c>
      <c r="J1744" s="896" t="str">
        <f t="shared" ref="J1744" si="7006">IFERROR((I1745/I1744),"-")</f>
        <v>-</v>
      </c>
      <c r="K1744" s="528"/>
      <c r="L1744" s="546" t="s">
        <v>37</v>
      </c>
      <c r="M1744" s="711">
        <f t="shared" si="6819"/>
        <v>0</v>
      </c>
      <c r="N1744" s="896" t="str">
        <f>IFERROR((M1745/M1744),"-")</f>
        <v>-</v>
      </c>
      <c r="O1744" s="528"/>
      <c r="P1744" s="547">
        <v>0</v>
      </c>
      <c r="Q1744" s="547">
        <v>0</v>
      </c>
      <c r="R1744" s="547">
        <v>0</v>
      </c>
      <c r="S1744" s="547">
        <v>0</v>
      </c>
      <c r="T1744" s="547">
        <v>0</v>
      </c>
      <c r="U1744" s="547">
        <v>0</v>
      </c>
      <c r="V1744" s="548">
        <v>0</v>
      </c>
      <c r="W1744" s="528"/>
      <c r="X1744" s="711">
        <f t="shared" si="6821"/>
        <v>0</v>
      </c>
      <c r="Y1744" s="896" t="str">
        <f t="shared" ref="Y1744" si="7007">IFERROR((X1745/X1744),"-")</f>
        <v>-</v>
      </c>
      <c r="Z1744" s="528"/>
      <c r="AA1744" s="898">
        <v>0</v>
      </c>
      <c r="AB1744" s="898">
        <v>0</v>
      </c>
      <c r="AC1744" s="903">
        <v>0</v>
      </c>
      <c r="AD1744" s="900" t="str">
        <f t="shared" ref="AD1744" si="7008">IFERROR((AC1744/AB1744),"-")</f>
        <v>-</v>
      </c>
      <c r="AE1744" s="2"/>
      <c r="AF1744" s="884">
        <v>0</v>
      </c>
      <c r="AG1744" s="884"/>
      <c r="AH1744" s="884">
        <v>0</v>
      </c>
      <c r="AI1744" s="884"/>
      <c r="AJ1744" s="884"/>
      <c r="AK1744" s="884">
        <f t="shared" ref="AK1744" si="7009">AF1744+AG1744+AH1744+AI1744+AJ1744+AC1744</f>
        <v>0</v>
      </c>
      <c r="AL1744" s="884">
        <v>0</v>
      </c>
      <c r="AM1744" s="878" t="str">
        <f t="shared" ref="AM1744" si="7010">IFERROR((AK1744/AL1744),"-")</f>
        <v>-</v>
      </c>
      <c r="AN1744" s="2"/>
      <c r="AO1744" s="884">
        <v>25</v>
      </c>
      <c r="AP1744" s="884">
        <f t="shared" ref="AP1744" si="7011">AO1744-AK1744</f>
        <v>25</v>
      </c>
      <c r="AV1744" t="str">
        <f t="shared" si="6987"/>
        <v>Drenagem Superficial</v>
      </c>
      <c r="AW1744" s="4" t="str">
        <f t="shared" si="6979"/>
        <v xml:space="preserve">   Seg. 3.1- ADME 04 - Drenagem Superficial - Sarjeta de Aterro (Manual)</v>
      </c>
    </row>
    <row r="1745" spans="1:49" ht="15.6" hidden="1" customHeight="1" outlineLevel="2">
      <c r="A1745" s="8" t="str">
        <f t="shared" ref="A1745" si="7012">A1744</f>
        <v>N</v>
      </c>
      <c r="B1745" s="150"/>
      <c r="C1745" s="150" t="s">
        <v>2076</v>
      </c>
      <c r="D1745" s="120" t="s">
        <v>2077</v>
      </c>
      <c r="E1745" s="915"/>
      <c r="F1745" s="902"/>
      <c r="G1745" s="528"/>
      <c r="H1745" s="549" t="s">
        <v>38</v>
      </c>
      <c r="I1745" s="711">
        <v>0</v>
      </c>
      <c r="J1745" s="897"/>
      <c r="K1745" s="528"/>
      <c r="L1745" s="549" t="s">
        <v>38</v>
      </c>
      <c r="M1745" s="711">
        <f t="shared" si="6819"/>
        <v>0</v>
      </c>
      <c r="N1745" s="897"/>
      <c r="O1745" s="528"/>
      <c r="P1745" s="548">
        <v>0</v>
      </c>
      <c r="Q1745" s="548">
        <v>0</v>
      </c>
      <c r="R1745" s="548">
        <v>0</v>
      </c>
      <c r="S1745" s="548">
        <v>0</v>
      </c>
      <c r="T1745" s="548">
        <v>0</v>
      </c>
      <c r="U1745" s="548">
        <v>0</v>
      </c>
      <c r="V1745" s="548">
        <v>0</v>
      </c>
      <c r="W1745" s="528"/>
      <c r="X1745" s="711">
        <f t="shared" si="6821"/>
        <v>0</v>
      </c>
      <c r="Y1745" s="897"/>
      <c r="Z1745" s="528"/>
      <c r="AA1745" s="899"/>
      <c r="AB1745" s="899"/>
      <c r="AC1745" s="904"/>
      <c r="AD1745" s="901"/>
      <c r="AE1745" s="2"/>
      <c r="AF1745" s="885"/>
      <c r="AG1745" s="885"/>
      <c r="AH1745" s="885"/>
      <c r="AI1745" s="885"/>
      <c r="AJ1745" s="885"/>
      <c r="AK1745" s="885"/>
      <c r="AL1745" s="885"/>
      <c r="AM1745" s="879"/>
      <c r="AN1745" s="2"/>
      <c r="AO1745" s="886"/>
      <c r="AP1745" s="886"/>
      <c r="AV1745" t="str">
        <f t="shared" si="6987"/>
        <v>Drenagem Superficial</v>
      </c>
      <c r="AW1745" s="4" t="str">
        <f t="shared" si="6979"/>
        <v xml:space="preserve">   Seg. 3.1- ADME 04 - Drenagem Superficial - Sarjeta de Aterro (Manual)</v>
      </c>
    </row>
    <row r="1746" spans="1:49" ht="15.6" hidden="1" customHeight="1" outlineLevel="2">
      <c r="A1746" s="8" t="str">
        <f t="shared" ref="A1746" si="7013">IF(SUM(P1746:V1747)&gt;0,"S","N")</f>
        <v>N</v>
      </c>
      <c r="B1746" s="150">
        <v>1069868</v>
      </c>
      <c r="C1746" s="150" t="s">
        <v>2079</v>
      </c>
      <c r="D1746" s="120" t="s">
        <v>2080</v>
      </c>
      <c r="E1746" s="914" t="s">
        <v>2081</v>
      </c>
      <c r="F1746" s="902" t="s">
        <v>52</v>
      </c>
      <c r="G1746" s="528"/>
      <c r="H1746" s="546" t="s">
        <v>37</v>
      </c>
      <c r="I1746" s="711">
        <v>0</v>
      </c>
      <c r="J1746" s="896" t="str">
        <f t="shared" ref="J1746" si="7014">IFERROR((I1747/I1746),"-")</f>
        <v>-</v>
      </c>
      <c r="K1746" s="528"/>
      <c r="L1746" s="546" t="s">
        <v>37</v>
      </c>
      <c r="M1746" s="711">
        <f t="shared" si="6819"/>
        <v>0</v>
      </c>
      <c r="N1746" s="896" t="str">
        <f t="shared" ref="N1746" si="7015">IFERROR((M1747/M1746),"-")</f>
        <v>-</v>
      </c>
      <c r="O1746" s="528"/>
      <c r="P1746" s="547">
        <v>0</v>
      </c>
      <c r="Q1746" s="547">
        <v>0</v>
      </c>
      <c r="R1746" s="547">
        <v>0</v>
      </c>
      <c r="S1746" s="547">
        <v>0</v>
      </c>
      <c r="T1746" s="547">
        <v>0</v>
      </c>
      <c r="U1746" s="547">
        <v>0</v>
      </c>
      <c r="V1746" s="548">
        <v>0</v>
      </c>
      <c r="W1746" s="528"/>
      <c r="X1746" s="711">
        <f t="shared" si="6821"/>
        <v>0</v>
      </c>
      <c r="Y1746" s="896" t="str">
        <f t="shared" ref="Y1746" si="7016">IFERROR((X1747/X1746),"-")</f>
        <v>-</v>
      </c>
      <c r="Z1746" s="528"/>
      <c r="AA1746" s="898">
        <v>0</v>
      </c>
      <c r="AB1746" s="898">
        <v>0</v>
      </c>
      <c r="AC1746" s="903">
        <v>0</v>
      </c>
      <c r="AD1746" s="900" t="str">
        <f t="shared" ref="AD1746" si="7017">IFERROR((AC1746/AB1746),"-")</f>
        <v>-</v>
      </c>
      <c r="AE1746" s="2"/>
      <c r="AF1746" s="884">
        <v>0</v>
      </c>
      <c r="AG1746" s="884"/>
      <c r="AH1746" s="884">
        <v>0</v>
      </c>
      <c r="AI1746" s="884"/>
      <c r="AJ1746" s="884"/>
      <c r="AK1746" s="884">
        <f t="shared" ref="AK1746" si="7018">AF1746+AG1746+AH1746+AI1746+AJ1746+AC1746</f>
        <v>0</v>
      </c>
      <c r="AL1746" s="884">
        <v>0</v>
      </c>
      <c r="AM1746" s="878" t="str">
        <f t="shared" ref="AM1746" si="7019">IFERROR((AK1746/AL1746),"-")</f>
        <v>-</v>
      </c>
      <c r="AN1746" s="2"/>
      <c r="AO1746" s="884">
        <v>104</v>
      </c>
      <c r="AP1746" s="884">
        <f t="shared" ref="AP1746" si="7020">AO1746-AK1746</f>
        <v>104</v>
      </c>
      <c r="AV1746" t="str">
        <f t="shared" si="6987"/>
        <v>Drenagem Superficial</v>
      </c>
      <c r="AW1746" s="4" t="str">
        <f t="shared" si="6979"/>
        <v xml:space="preserve">   Seg. 3.1-ADME 1-2 - Sarjeta de Aterro (Manual)</v>
      </c>
    </row>
    <row r="1747" spans="1:49" ht="15.6" hidden="1" customHeight="1" outlineLevel="2">
      <c r="A1747" s="8" t="str">
        <f t="shared" ref="A1747" si="7021">A1746</f>
        <v>N</v>
      </c>
      <c r="B1747" s="150"/>
      <c r="C1747" s="150" t="s">
        <v>2079</v>
      </c>
      <c r="D1747" s="120" t="s">
        <v>2080</v>
      </c>
      <c r="E1747" s="915"/>
      <c r="F1747" s="902"/>
      <c r="G1747" s="528"/>
      <c r="H1747" s="549" t="s">
        <v>38</v>
      </c>
      <c r="I1747" s="711">
        <v>0</v>
      </c>
      <c r="J1747" s="897"/>
      <c r="K1747" s="528"/>
      <c r="L1747" s="549" t="s">
        <v>38</v>
      </c>
      <c r="M1747" s="711">
        <f t="shared" si="6819"/>
        <v>0</v>
      </c>
      <c r="N1747" s="897"/>
      <c r="O1747" s="528"/>
      <c r="P1747" s="548">
        <v>0</v>
      </c>
      <c r="Q1747" s="548">
        <v>0</v>
      </c>
      <c r="R1747" s="548">
        <v>0</v>
      </c>
      <c r="S1747" s="548">
        <v>0</v>
      </c>
      <c r="T1747" s="548">
        <v>0</v>
      </c>
      <c r="U1747" s="548">
        <v>0</v>
      </c>
      <c r="V1747" s="548">
        <v>0</v>
      </c>
      <c r="W1747" s="528"/>
      <c r="X1747" s="711">
        <f t="shared" si="6821"/>
        <v>0</v>
      </c>
      <c r="Y1747" s="897"/>
      <c r="Z1747" s="528"/>
      <c r="AA1747" s="899"/>
      <c r="AB1747" s="899"/>
      <c r="AC1747" s="904"/>
      <c r="AD1747" s="901"/>
      <c r="AE1747" s="2"/>
      <c r="AF1747" s="885"/>
      <c r="AG1747" s="885"/>
      <c r="AH1747" s="885"/>
      <c r="AI1747" s="885"/>
      <c r="AJ1747" s="885"/>
      <c r="AK1747" s="885"/>
      <c r="AL1747" s="885"/>
      <c r="AM1747" s="879"/>
      <c r="AN1747" s="2"/>
      <c r="AO1747" s="886"/>
      <c r="AP1747" s="886"/>
      <c r="AV1747" t="str">
        <f t="shared" si="6987"/>
        <v>Drenagem Superficial</v>
      </c>
      <c r="AW1747" s="4" t="str">
        <f t="shared" si="6979"/>
        <v xml:space="preserve">   Seg. 3.1-ADME 1-2 - Sarjeta de Aterro (Manual)</v>
      </c>
    </row>
    <row r="1748" spans="1:49" ht="15.6" hidden="1" customHeight="1" outlineLevel="2">
      <c r="A1748" s="8" t="str">
        <f t="shared" ref="A1748" si="7022">IF(SUM(P1748:V1749)&gt;0,"S","N")</f>
        <v>N</v>
      </c>
      <c r="B1748" s="150">
        <v>1069869</v>
      </c>
      <c r="C1748" s="150" t="s">
        <v>2082</v>
      </c>
      <c r="D1748" s="120" t="s">
        <v>2083</v>
      </c>
      <c r="E1748" s="914" t="s">
        <v>2084</v>
      </c>
      <c r="F1748" s="902" t="s">
        <v>52</v>
      </c>
      <c r="G1748" s="528"/>
      <c r="H1748" s="546" t="s">
        <v>37</v>
      </c>
      <c r="I1748" s="711">
        <v>0</v>
      </c>
      <c r="J1748" s="896" t="str">
        <f t="shared" ref="J1748" si="7023">IFERROR((I1749/I1748),"-")</f>
        <v>-</v>
      </c>
      <c r="K1748" s="528"/>
      <c r="L1748" s="546" t="s">
        <v>37</v>
      </c>
      <c r="M1748" s="711">
        <f t="shared" si="6819"/>
        <v>0</v>
      </c>
      <c r="N1748" s="896" t="str">
        <f t="shared" ref="N1748" si="7024">IFERROR((M1749/M1748),"-")</f>
        <v>-</v>
      </c>
      <c r="O1748" s="528"/>
      <c r="P1748" s="547">
        <v>0</v>
      </c>
      <c r="Q1748" s="547">
        <v>0</v>
      </c>
      <c r="R1748" s="547">
        <v>0</v>
      </c>
      <c r="S1748" s="547">
        <v>0</v>
      </c>
      <c r="T1748" s="547">
        <v>0</v>
      </c>
      <c r="U1748" s="547">
        <v>0</v>
      </c>
      <c r="V1748" s="548">
        <v>0</v>
      </c>
      <c r="W1748" s="528"/>
      <c r="X1748" s="711">
        <f t="shared" si="6821"/>
        <v>0</v>
      </c>
      <c r="Y1748" s="896" t="str">
        <f t="shared" ref="Y1748" si="7025">IFERROR((X1749/X1748),"-")</f>
        <v>-</v>
      </c>
      <c r="Z1748" s="528"/>
      <c r="AA1748" s="898">
        <v>0</v>
      </c>
      <c r="AB1748" s="898">
        <v>0</v>
      </c>
      <c r="AC1748" s="903">
        <v>0</v>
      </c>
      <c r="AD1748" s="900" t="str">
        <f t="shared" ref="AD1748" si="7026">IFERROR((AC1748/AB1748),"-")</f>
        <v>-</v>
      </c>
      <c r="AE1748" s="2"/>
      <c r="AF1748" s="884">
        <v>0</v>
      </c>
      <c r="AG1748" s="884"/>
      <c r="AH1748" s="884">
        <v>0</v>
      </c>
      <c r="AI1748" s="884"/>
      <c r="AJ1748" s="884"/>
      <c r="AK1748" s="884">
        <f t="shared" ref="AK1748" si="7027">AF1748+AG1748+AH1748+AI1748+AJ1748+AC1748</f>
        <v>0</v>
      </c>
      <c r="AL1748" s="884">
        <v>0</v>
      </c>
      <c r="AM1748" s="878" t="str">
        <f t="shared" ref="AM1748" si="7028">IFERROR((AK1748/AL1748),"-")</f>
        <v>-</v>
      </c>
      <c r="AN1748" s="2"/>
      <c r="AO1748" s="884">
        <v>20</v>
      </c>
      <c r="AP1748" s="884">
        <f t="shared" ref="AP1748" si="7029">AO1748-AK1748</f>
        <v>20</v>
      </c>
      <c r="AV1748" t="str">
        <f t="shared" si="6987"/>
        <v>Drenagem Superficial</v>
      </c>
      <c r="AW1748" s="4" t="str">
        <f t="shared" si="6979"/>
        <v xml:space="preserve">   Seg. 3.1-ADME 07 - Drenagem Superficial - Sarjeta de Aterro (Manual)</v>
      </c>
    </row>
    <row r="1749" spans="1:49" ht="15.6" hidden="1" customHeight="1" outlineLevel="2">
      <c r="A1749" s="8" t="str">
        <f t="shared" ref="A1749" si="7030">A1748</f>
        <v>N</v>
      </c>
      <c r="B1749" s="150"/>
      <c r="C1749" s="150" t="s">
        <v>2082</v>
      </c>
      <c r="D1749" s="120" t="s">
        <v>2083</v>
      </c>
      <c r="E1749" s="915"/>
      <c r="F1749" s="902"/>
      <c r="G1749" s="528"/>
      <c r="H1749" s="549" t="s">
        <v>38</v>
      </c>
      <c r="I1749" s="711">
        <v>0</v>
      </c>
      <c r="J1749" s="897"/>
      <c r="K1749" s="528"/>
      <c r="L1749" s="549" t="s">
        <v>38</v>
      </c>
      <c r="M1749" s="711">
        <f t="shared" si="6819"/>
        <v>0</v>
      </c>
      <c r="N1749" s="897"/>
      <c r="O1749" s="528"/>
      <c r="P1749" s="548">
        <v>0</v>
      </c>
      <c r="Q1749" s="548">
        <v>0</v>
      </c>
      <c r="R1749" s="548">
        <v>0</v>
      </c>
      <c r="S1749" s="548">
        <v>0</v>
      </c>
      <c r="T1749" s="548">
        <v>0</v>
      </c>
      <c r="U1749" s="548">
        <v>0</v>
      </c>
      <c r="V1749" s="548">
        <v>0</v>
      </c>
      <c r="W1749" s="528"/>
      <c r="X1749" s="711">
        <f t="shared" si="6821"/>
        <v>0</v>
      </c>
      <c r="Y1749" s="897"/>
      <c r="Z1749" s="528"/>
      <c r="AA1749" s="899"/>
      <c r="AB1749" s="899"/>
      <c r="AC1749" s="904"/>
      <c r="AD1749" s="901"/>
      <c r="AE1749" s="2"/>
      <c r="AF1749" s="885"/>
      <c r="AG1749" s="885"/>
      <c r="AH1749" s="885"/>
      <c r="AI1749" s="885"/>
      <c r="AJ1749" s="885"/>
      <c r="AK1749" s="885"/>
      <c r="AL1749" s="885"/>
      <c r="AM1749" s="879"/>
      <c r="AN1749" s="2"/>
      <c r="AO1749" s="886"/>
      <c r="AP1749" s="886"/>
      <c r="AV1749" t="str">
        <f t="shared" si="6987"/>
        <v>Drenagem Superficial</v>
      </c>
      <c r="AW1749" s="4" t="str">
        <f t="shared" si="6979"/>
        <v xml:space="preserve">   Seg. 3.1-ADME 07 - Drenagem Superficial - Sarjeta de Aterro (Manual)</v>
      </c>
    </row>
    <row r="1750" spans="1:49" ht="15.6" hidden="1" customHeight="1" outlineLevel="2">
      <c r="A1750" s="8" t="str">
        <f t="shared" ref="A1750" si="7031">IF(SUM(P1750:V1751)&gt;0,"S","N")</f>
        <v>N</v>
      </c>
      <c r="B1750" s="150">
        <v>1069870</v>
      </c>
      <c r="C1750" s="150" t="s">
        <v>2085</v>
      </c>
      <c r="D1750" s="120" t="s">
        <v>2086</v>
      </c>
      <c r="E1750" s="914" t="s">
        <v>2087</v>
      </c>
      <c r="F1750" s="902" t="s">
        <v>52</v>
      </c>
      <c r="G1750" s="528"/>
      <c r="H1750" s="546" t="s">
        <v>37</v>
      </c>
      <c r="I1750" s="711">
        <v>0</v>
      </c>
      <c r="J1750" s="896" t="str">
        <f t="shared" ref="J1750" si="7032">IFERROR((I1751/I1750),"-")</f>
        <v>-</v>
      </c>
      <c r="K1750" s="528"/>
      <c r="L1750" s="546" t="s">
        <v>37</v>
      </c>
      <c r="M1750" s="711">
        <f t="shared" si="6819"/>
        <v>0</v>
      </c>
      <c r="N1750" s="896" t="str">
        <f t="shared" ref="N1750" si="7033">IFERROR((M1751/M1750),"-")</f>
        <v>-</v>
      </c>
      <c r="O1750" s="528"/>
      <c r="P1750" s="547">
        <v>0</v>
      </c>
      <c r="Q1750" s="547">
        <v>0</v>
      </c>
      <c r="R1750" s="547">
        <v>0</v>
      </c>
      <c r="S1750" s="547">
        <v>0</v>
      </c>
      <c r="T1750" s="547">
        <v>0</v>
      </c>
      <c r="U1750" s="547">
        <v>0</v>
      </c>
      <c r="V1750" s="548">
        <v>0</v>
      </c>
      <c r="W1750" s="528"/>
      <c r="X1750" s="711">
        <f t="shared" si="6821"/>
        <v>0</v>
      </c>
      <c r="Y1750" s="896" t="str">
        <f t="shared" ref="Y1750" si="7034">IFERROR((X1751/X1750),"-")</f>
        <v>-</v>
      </c>
      <c r="Z1750" s="528"/>
      <c r="AA1750" s="898">
        <v>0</v>
      </c>
      <c r="AB1750" s="898">
        <v>0</v>
      </c>
      <c r="AC1750" s="903">
        <v>0</v>
      </c>
      <c r="AD1750" s="900" t="str">
        <f t="shared" ref="AD1750" si="7035">IFERROR((AC1750/AB1750),"-")</f>
        <v>-</v>
      </c>
      <c r="AE1750" s="2"/>
      <c r="AF1750" s="884">
        <v>0</v>
      </c>
      <c r="AG1750" s="884"/>
      <c r="AH1750" s="884">
        <v>0</v>
      </c>
      <c r="AI1750" s="884"/>
      <c r="AJ1750" s="884"/>
      <c r="AK1750" s="884">
        <f t="shared" ref="AK1750" si="7036">AF1750+AG1750+AH1750+AI1750+AJ1750+AC1750</f>
        <v>0</v>
      </c>
      <c r="AL1750" s="884">
        <v>0</v>
      </c>
      <c r="AM1750" s="878" t="str">
        <f t="shared" ref="AM1750" si="7037">IFERROR((AK1750/AL1750),"-")</f>
        <v>-</v>
      </c>
      <c r="AN1750" s="2"/>
      <c r="AO1750" s="884">
        <v>75</v>
      </c>
      <c r="AP1750" s="884">
        <f t="shared" ref="AP1750" si="7038">AO1750-AK1750</f>
        <v>75</v>
      </c>
      <c r="AV1750" t="str">
        <f t="shared" si="6987"/>
        <v>Drenagem Superficial</v>
      </c>
      <c r="AW1750" s="4" t="str">
        <f t="shared" si="6979"/>
        <v xml:space="preserve">   Seg. 3.1-ADME 08 - Drenagem Superficial - Sarjeta (Manual)</v>
      </c>
    </row>
    <row r="1751" spans="1:49" ht="15.6" hidden="1" customHeight="1" outlineLevel="2">
      <c r="A1751" s="8" t="str">
        <f t="shared" ref="A1751" si="7039">A1750</f>
        <v>N</v>
      </c>
      <c r="B1751" s="150"/>
      <c r="C1751" s="150" t="s">
        <v>2085</v>
      </c>
      <c r="D1751" s="120" t="s">
        <v>2086</v>
      </c>
      <c r="E1751" s="915"/>
      <c r="F1751" s="902"/>
      <c r="G1751" s="528"/>
      <c r="H1751" s="549" t="s">
        <v>38</v>
      </c>
      <c r="I1751" s="711">
        <v>0</v>
      </c>
      <c r="J1751" s="897"/>
      <c r="K1751" s="528"/>
      <c r="L1751" s="549" t="s">
        <v>38</v>
      </c>
      <c r="M1751" s="711">
        <f t="shared" si="6819"/>
        <v>0</v>
      </c>
      <c r="N1751" s="897"/>
      <c r="O1751" s="528"/>
      <c r="P1751" s="548">
        <v>0</v>
      </c>
      <c r="Q1751" s="548">
        <v>0</v>
      </c>
      <c r="R1751" s="548">
        <v>0</v>
      </c>
      <c r="S1751" s="548">
        <v>0</v>
      </c>
      <c r="T1751" s="548">
        <v>0</v>
      </c>
      <c r="U1751" s="548">
        <v>0</v>
      </c>
      <c r="V1751" s="548">
        <v>0</v>
      </c>
      <c r="W1751" s="528"/>
      <c r="X1751" s="711">
        <f t="shared" si="6821"/>
        <v>0</v>
      </c>
      <c r="Y1751" s="897"/>
      <c r="Z1751" s="528"/>
      <c r="AA1751" s="899"/>
      <c r="AB1751" s="899"/>
      <c r="AC1751" s="904"/>
      <c r="AD1751" s="901"/>
      <c r="AE1751" s="2"/>
      <c r="AF1751" s="885"/>
      <c r="AG1751" s="885"/>
      <c r="AH1751" s="885"/>
      <c r="AI1751" s="885"/>
      <c r="AJ1751" s="885"/>
      <c r="AK1751" s="885"/>
      <c r="AL1751" s="885"/>
      <c r="AM1751" s="879"/>
      <c r="AN1751" s="2"/>
      <c r="AO1751" s="886"/>
      <c r="AP1751" s="886"/>
      <c r="AV1751" t="str">
        <f t="shared" si="6987"/>
        <v>Drenagem Superficial</v>
      </c>
      <c r="AW1751" s="4" t="str">
        <f t="shared" si="6979"/>
        <v xml:space="preserve">   Seg. 3.1-ADME 08 - Drenagem Superficial - Sarjeta (Manual)</v>
      </c>
    </row>
    <row r="1752" spans="1:49" ht="19.899999999999999" hidden="1" customHeight="1" outlineLevel="2">
      <c r="A1752" s="8" t="str">
        <f t="shared" ref="A1752" si="7040">IF(SUM(P1752:V1753)&gt;0,"S","N")</f>
        <v>N</v>
      </c>
      <c r="B1752" s="150">
        <v>1069871</v>
      </c>
      <c r="C1752" s="150" t="s">
        <v>2088</v>
      </c>
      <c r="D1752" s="120" t="s">
        <v>2089</v>
      </c>
      <c r="E1752" s="914" t="s">
        <v>2090</v>
      </c>
      <c r="F1752" s="902" t="s">
        <v>52</v>
      </c>
      <c r="G1752" s="528"/>
      <c r="H1752" s="546" t="s">
        <v>37</v>
      </c>
      <c r="I1752" s="711">
        <v>0</v>
      </c>
      <c r="J1752" s="896" t="str">
        <f t="shared" ref="J1752" si="7041">IFERROR((I1753/I1752),"-")</f>
        <v>-</v>
      </c>
      <c r="K1752" s="528"/>
      <c r="L1752" s="546" t="s">
        <v>37</v>
      </c>
      <c r="M1752" s="711">
        <f t="shared" si="6819"/>
        <v>0</v>
      </c>
      <c r="N1752" s="896" t="str">
        <f>IFERROR((M1753/M1752),"-")</f>
        <v>-</v>
      </c>
      <c r="O1752" s="528"/>
      <c r="P1752" s="547">
        <v>0</v>
      </c>
      <c r="Q1752" s="547">
        <v>0</v>
      </c>
      <c r="R1752" s="547">
        <v>0</v>
      </c>
      <c r="S1752" s="547">
        <v>0</v>
      </c>
      <c r="T1752" s="547">
        <v>0</v>
      </c>
      <c r="U1752" s="547">
        <v>0</v>
      </c>
      <c r="V1752" s="548">
        <v>0</v>
      </c>
      <c r="W1752" s="528"/>
      <c r="X1752" s="711">
        <f t="shared" si="6821"/>
        <v>0</v>
      </c>
      <c r="Y1752" s="896" t="str">
        <f t="shared" ref="Y1752" si="7042">IFERROR((X1753/X1752),"-")</f>
        <v>-</v>
      </c>
      <c r="Z1752" s="528"/>
      <c r="AA1752" s="898">
        <v>0</v>
      </c>
      <c r="AB1752" s="898">
        <v>0</v>
      </c>
      <c r="AC1752" s="903">
        <v>0</v>
      </c>
      <c r="AD1752" s="900" t="str">
        <f t="shared" ref="AD1752" si="7043">IFERROR((AC1752/AB1752),"-")</f>
        <v>-</v>
      </c>
      <c r="AE1752" s="2"/>
      <c r="AF1752" s="884">
        <v>0</v>
      </c>
      <c r="AG1752" s="884"/>
      <c r="AH1752" s="884">
        <v>0</v>
      </c>
      <c r="AI1752" s="884"/>
      <c r="AJ1752" s="884"/>
      <c r="AK1752" s="884">
        <f t="shared" ref="AK1752" si="7044">AF1752+AG1752+AH1752+AI1752+AJ1752+AC1752</f>
        <v>0</v>
      </c>
      <c r="AL1752" s="884">
        <v>0</v>
      </c>
      <c r="AM1752" s="878" t="str">
        <f t="shared" ref="AM1752" si="7045">IFERROR((AK1752/AL1752),"-")</f>
        <v>-</v>
      </c>
      <c r="AN1752" s="2"/>
      <c r="AO1752" s="884">
        <v>15</v>
      </c>
      <c r="AP1752" s="884">
        <f t="shared" ref="AP1752" si="7046">AO1752-AK1752</f>
        <v>15</v>
      </c>
      <c r="AV1752" t="str">
        <f t="shared" si="6987"/>
        <v>Drenagem Superficial</v>
      </c>
      <c r="AW1752" s="4" t="str">
        <f t="shared" si="6979"/>
        <v xml:space="preserve">   Seg. 3.1-ADME 10 - Drenagem Superficial - Sarjeta (Manual)</v>
      </c>
    </row>
    <row r="1753" spans="1:49" ht="19.899999999999999" hidden="1" customHeight="1" outlineLevel="2">
      <c r="A1753" s="8" t="str">
        <f t="shared" ref="A1753" si="7047">A1752</f>
        <v>N</v>
      </c>
      <c r="B1753" s="150"/>
      <c r="C1753" s="150" t="s">
        <v>2088</v>
      </c>
      <c r="D1753" s="120" t="s">
        <v>2089</v>
      </c>
      <c r="E1753" s="915"/>
      <c r="F1753" s="902"/>
      <c r="G1753" s="528"/>
      <c r="H1753" s="549" t="s">
        <v>38</v>
      </c>
      <c r="I1753" s="711">
        <v>0</v>
      </c>
      <c r="J1753" s="897"/>
      <c r="K1753" s="528"/>
      <c r="L1753" s="549" t="s">
        <v>38</v>
      </c>
      <c r="M1753" s="711">
        <f t="shared" si="6819"/>
        <v>0</v>
      </c>
      <c r="N1753" s="897"/>
      <c r="O1753" s="528"/>
      <c r="P1753" s="548">
        <v>0</v>
      </c>
      <c r="Q1753" s="548">
        <v>0</v>
      </c>
      <c r="R1753" s="548">
        <v>0</v>
      </c>
      <c r="S1753" s="548">
        <v>0</v>
      </c>
      <c r="T1753" s="548">
        <v>0</v>
      </c>
      <c r="U1753" s="548">
        <v>0</v>
      </c>
      <c r="V1753" s="548">
        <v>0</v>
      </c>
      <c r="W1753" s="528"/>
      <c r="X1753" s="711">
        <f t="shared" si="6821"/>
        <v>0</v>
      </c>
      <c r="Y1753" s="897"/>
      <c r="Z1753" s="528"/>
      <c r="AA1753" s="899"/>
      <c r="AB1753" s="899"/>
      <c r="AC1753" s="904"/>
      <c r="AD1753" s="901"/>
      <c r="AE1753" s="2"/>
      <c r="AF1753" s="885"/>
      <c r="AG1753" s="885"/>
      <c r="AH1753" s="885"/>
      <c r="AI1753" s="885"/>
      <c r="AJ1753" s="885"/>
      <c r="AK1753" s="885"/>
      <c r="AL1753" s="885"/>
      <c r="AM1753" s="879"/>
      <c r="AN1753" s="2"/>
      <c r="AO1753" s="886"/>
      <c r="AP1753" s="886"/>
      <c r="AV1753" t="str">
        <f t="shared" si="6987"/>
        <v>Drenagem Superficial</v>
      </c>
      <c r="AW1753" s="4" t="str">
        <f t="shared" si="6979"/>
        <v xml:space="preserve">   Seg. 3.1-ADME 10 - Drenagem Superficial - Sarjeta (Manual)</v>
      </c>
    </row>
    <row r="1754" spans="1:49" ht="15.6" hidden="1" customHeight="1" outlineLevel="2">
      <c r="A1754" s="8" t="str">
        <f t="shared" ref="A1754" si="7048">IF(SUM(P1754:V1755)&gt;0,"S","N")</f>
        <v>N</v>
      </c>
      <c r="B1754" s="150">
        <v>1069872</v>
      </c>
      <c r="C1754" s="150" t="s">
        <v>2091</v>
      </c>
      <c r="D1754" s="120" t="s">
        <v>2092</v>
      </c>
      <c r="E1754" s="914" t="s">
        <v>2093</v>
      </c>
      <c r="F1754" s="902" t="s">
        <v>52</v>
      </c>
      <c r="G1754" s="528"/>
      <c r="H1754" s="546" t="s">
        <v>37</v>
      </c>
      <c r="I1754" s="711">
        <v>0</v>
      </c>
      <c r="J1754" s="896" t="str">
        <f t="shared" ref="J1754" si="7049">IFERROR((I1755/I1754),"-")</f>
        <v>-</v>
      </c>
      <c r="K1754" s="528"/>
      <c r="L1754" s="546" t="s">
        <v>37</v>
      </c>
      <c r="M1754" s="711">
        <f t="shared" si="6819"/>
        <v>0</v>
      </c>
      <c r="N1754" s="896" t="str">
        <f>IFERROR((M1755/M1754),"-")</f>
        <v>-</v>
      </c>
      <c r="O1754" s="528"/>
      <c r="P1754" s="547">
        <v>0</v>
      </c>
      <c r="Q1754" s="547">
        <v>0</v>
      </c>
      <c r="R1754" s="547">
        <v>0</v>
      </c>
      <c r="S1754" s="547">
        <v>0</v>
      </c>
      <c r="T1754" s="547">
        <v>0</v>
      </c>
      <c r="U1754" s="547">
        <v>0</v>
      </c>
      <c r="V1754" s="548">
        <v>0</v>
      </c>
      <c r="W1754" s="528"/>
      <c r="X1754" s="711">
        <f t="shared" si="6821"/>
        <v>0</v>
      </c>
      <c r="Y1754" s="896" t="str">
        <f t="shared" ref="Y1754" si="7050">IFERROR((X1755/X1754),"-")</f>
        <v>-</v>
      </c>
      <c r="Z1754" s="528"/>
      <c r="AA1754" s="898">
        <v>0</v>
      </c>
      <c r="AB1754" s="898">
        <v>0</v>
      </c>
      <c r="AC1754" s="903">
        <v>0</v>
      </c>
      <c r="AD1754" s="900" t="str">
        <f t="shared" ref="AD1754" si="7051">IFERROR((AC1754/AB1754),"-")</f>
        <v>-</v>
      </c>
      <c r="AE1754" s="2"/>
      <c r="AF1754" s="884">
        <v>0</v>
      </c>
      <c r="AG1754" s="884"/>
      <c r="AH1754" s="884">
        <v>0</v>
      </c>
      <c r="AI1754" s="884"/>
      <c r="AJ1754" s="884"/>
      <c r="AK1754" s="884">
        <f t="shared" ref="AK1754" si="7052">AF1754+AG1754+AH1754+AI1754+AJ1754+AC1754</f>
        <v>0</v>
      </c>
      <c r="AL1754" s="884">
        <v>0</v>
      </c>
      <c r="AM1754" s="878" t="str">
        <f t="shared" ref="AM1754" si="7053">IFERROR((AK1754/AL1754),"-")</f>
        <v>-</v>
      </c>
      <c r="AN1754" s="2"/>
      <c r="AO1754" s="884">
        <v>15</v>
      </c>
      <c r="AP1754" s="884">
        <f t="shared" ref="AP1754" si="7054">AO1754-AK1754</f>
        <v>15</v>
      </c>
      <c r="AV1754" t="str">
        <f t="shared" si="6987"/>
        <v>Drenagem Superficial</v>
      </c>
      <c r="AW1754" s="4" t="str">
        <f t="shared" si="6979"/>
        <v xml:space="preserve">   Seg. 3.1-ADME 11 - Drenagem Superficial - Sarjeta (Manual)</v>
      </c>
    </row>
    <row r="1755" spans="1:49" ht="15.6" hidden="1" customHeight="1" outlineLevel="2">
      <c r="A1755" s="8" t="str">
        <f t="shared" ref="A1755" si="7055">A1754</f>
        <v>N</v>
      </c>
      <c r="B1755" s="150"/>
      <c r="C1755" s="150" t="s">
        <v>2091</v>
      </c>
      <c r="D1755" s="120" t="s">
        <v>2092</v>
      </c>
      <c r="E1755" s="915"/>
      <c r="F1755" s="902"/>
      <c r="G1755" s="528"/>
      <c r="H1755" s="549" t="s">
        <v>38</v>
      </c>
      <c r="I1755" s="711">
        <v>0</v>
      </c>
      <c r="J1755" s="897"/>
      <c r="K1755" s="528"/>
      <c r="L1755" s="549" t="s">
        <v>38</v>
      </c>
      <c r="M1755" s="711">
        <f t="shared" si="6819"/>
        <v>0</v>
      </c>
      <c r="N1755" s="897"/>
      <c r="O1755" s="528"/>
      <c r="P1755" s="548">
        <v>0</v>
      </c>
      <c r="Q1755" s="548">
        <v>0</v>
      </c>
      <c r="R1755" s="548">
        <v>0</v>
      </c>
      <c r="S1755" s="548">
        <v>0</v>
      </c>
      <c r="T1755" s="548">
        <v>0</v>
      </c>
      <c r="U1755" s="548">
        <v>0</v>
      </c>
      <c r="V1755" s="548">
        <v>0</v>
      </c>
      <c r="W1755" s="528"/>
      <c r="X1755" s="711">
        <f t="shared" si="6821"/>
        <v>0</v>
      </c>
      <c r="Y1755" s="897"/>
      <c r="Z1755" s="528"/>
      <c r="AA1755" s="899"/>
      <c r="AB1755" s="899"/>
      <c r="AC1755" s="904"/>
      <c r="AD1755" s="901"/>
      <c r="AE1755" s="2"/>
      <c r="AF1755" s="885"/>
      <c r="AG1755" s="885"/>
      <c r="AH1755" s="885"/>
      <c r="AI1755" s="885"/>
      <c r="AJ1755" s="885"/>
      <c r="AK1755" s="885"/>
      <c r="AL1755" s="885"/>
      <c r="AM1755" s="879"/>
      <c r="AN1755" s="2"/>
      <c r="AO1755" s="886"/>
      <c r="AP1755" s="886"/>
      <c r="AV1755" t="str">
        <f t="shared" si="6987"/>
        <v>Drenagem Superficial</v>
      </c>
      <c r="AW1755" s="4" t="str">
        <f t="shared" si="6979"/>
        <v xml:space="preserve">   Seg. 3.1-ADME 11 - Drenagem Superficial - Sarjeta (Manual)</v>
      </c>
    </row>
    <row r="1756" spans="1:49" ht="15.6" hidden="1" customHeight="1" outlineLevel="2">
      <c r="A1756" s="8" t="str">
        <f t="shared" ref="A1756" si="7056">IF(SUM(P1756:V1757)&gt;0,"S","N")</f>
        <v>N</v>
      </c>
      <c r="B1756" s="150">
        <v>1069873</v>
      </c>
      <c r="C1756" s="150" t="s">
        <v>2094</v>
      </c>
      <c r="D1756" s="120" t="s">
        <v>2095</v>
      </c>
      <c r="E1756" s="914" t="s">
        <v>2096</v>
      </c>
      <c r="F1756" s="902" t="s">
        <v>52</v>
      </c>
      <c r="G1756" s="528"/>
      <c r="H1756" s="546" t="s">
        <v>37</v>
      </c>
      <c r="I1756" s="711">
        <v>0</v>
      </c>
      <c r="J1756" s="896" t="str">
        <f t="shared" ref="J1756" si="7057">IFERROR((I1757/I1756),"-")</f>
        <v>-</v>
      </c>
      <c r="K1756" s="528"/>
      <c r="L1756" s="546" t="s">
        <v>37</v>
      </c>
      <c r="M1756" s="711">
        <f t="shared" si="6819"/>
        <v>0</v>
      </c>
      <c r="N1756" s="896" t="str">
        <f>IFERROR((M1757/M1756),"-")</f>
        <v>-</v>
      </c>
      <c r="O1756" s="528"/>
      <c r="P1756" s="547">
        <v>0</v>
      </c>
      <c r="Q1756" s="547">
        <v>0</v>
      </c>
      <c r="R1756" s="547">
        <v>0</v>
      </c>
      <c r="S1756" s="547">
        <v>0</v>
      </c>
      <c r="T1756" s="547">
        <v>0</v>
      </c>
      <c r="U1756" s="547">
        <v>0</v>
      </c>
      <c r="V1756" s="548">
        <v>0</v>
      </c>
      <c r="W1756" s="528"/>
      <c r="X1756" s="711">
        <f t="shared" si="6821"/>
        <v>0</v>
      </c>
      <c r="Y1756" s="896" t="str">
        <f t="shared" ref="Y1756" si="7058">IFERROR((X1757/X1756),"-")</f>
        <v>-</v>
      </c>
      <c r="Z1756" s="528"/>
      <c r="AA1756" s="898">
        <v>0</v>
      </c>
      <c r="AB1756" s="898">
        <v>0</v>
      </c>
      <c r="AC1756" s="903">
        <v>0</v>
      </c>
      <c r="AD1756" s="900" t="str">
        <f t="shared" ref="AD1756" si="7059">IFERROR((AC1756/AB1756),"-")</f>
        <v>-</v>
      </c>
      <c r="AE1756" s="2"/>
      <c r="AF1756" s="884">
        <v>0</v>
      </c>
      <c r="AG1756" s="884"/>
      <c r="AH1756" s="884">
        <v>0</v>
      </c>
      <c r="AI1756" s="884"/>
      <c r="AJ1756" s="884"/>
      <c r="AK1756" s="884">
        <f t="shared" ref="AK1756" si="7060">AF1756+AG1756+AH1756+AI1756+AJ1756+AC1756</f>
        <v>0</v>
      </c>
      <c r="AL1756" s="884">
        <v>0</v>
      </c>
      <c r="AM1756" s="878" t="str">
        <f t="shared" ref="AM1756" si="7061">IFERROR((AK1756/AL1756),"-")</f>
        <v>-</v>
      </c>
      <c r="AN1756" s="2"/>
      <c r="AO1756" s="884">
        <v>20</v>
      </c>
      <c r="AP1756" s="884">
        <f t="shared" ref="AP1756" si="7062">AO1756-AK1756</f>
        <v>20</v>
      </c>
      <c r="AV1756" t="str">
        <f t="shared" si="6987"/>
        <v>Drenagem Superficial</v>
      </c>
      <c r="AW1756" s="4" t="str">
        <f t="shared" si="6979"/>
        <v xml:space="preserve">   Seg. 3.1-ADME 12 - Drenagem Superficial - Sarjeta (Manual)</v>
      </c>
    </row>
    <row r="1757" spans="1:49" ht="15.6" hidden="1" customHeight="1" outlineLevel="2">
      <c r="A1757" s="8" t="str">
        <f t="shared" ref="A1757" si="7063">A1756</f>
        <v>N</v>
      </c>
      <c r="B1757" s="150"/>
      <c r="C1757" s="150" t="s">
        <v>2094</v>
      </c>
      <c r="D1757" s="120" t="s">
        <v>2095</v>
      </c>
      <c r="E1757" s="915"/>
      <c r="F1757" s="902"/>
      <c r="G1757" s="528"/>
      <c r="H1757" s="549" t="s">
        <v>38</v>
      </c>
      <c r="I1757" s="711">
        <v>0</v>
      </c>
      <c r="J1757" s="897"/>
      <c r="K1757" s="528"/>
      <c r="L1757" s="549" t="s">
        <v>38</v>
      </c>
      <c r="M1757" s="711">
        <f t="shared" si="6819"/>
        <v>0</v>
      </c>
      <c r="N1757" s="897"/>
      <c r="O1757" s="528"/>
      <c r="P1757" s="548">
        <v>0</v>
      </c>
      <c r="Q1757" s="548">
        <v>0</v>
      </c>
      <c r="R1757" s="548">
        <v>0</v>
      </c>
      <c r="S1757" s="548">
        <v>0</v>
      </c>
      <c r="T1757" s="548">
        <v>0</v>
      </c>
      <c r="U1757" s="548">
        <v>0</v>
      </c>
      <c r="V1757" s="548">
        <v>0</v>
      </c>
      <c r="W1757" s="528"/>
      <c r="X1757" s="711">
        <f t="shared" si="6821"/>
        <v>0</v>
      </c>
      <c r="Y1757" s="897"/>
      <c r="Z1757" s="528"/>
      <c r="AA1757" s="899"/>
      <c r="AB1757" s="899"/>
      <c r="AC1757" s="904"/>
      <c r="AD1757" s="901"/>
      <c r="AE1757" s="2"/>
      <c r="AF1757" s="885"/>
      <c r="AG1757" s="885"/>
      <c r="AH1757" s="885"/>
      <c r="AI1757" s="885"/>
      <c r="AJ1757" s="885"/>
      <c r="AK1757" s="885"/>
      <c r="AL1757" s="885"/>
      <c r="AM1757" s="879"/>
      <c r="AN1757" s="2"/>
      <c r="AO1757" s="886"/>
      <c r="AP1757" s="886"/>
      <c r="AV1757" t="str">
        <f t="shared" si="6987"/>
        <v>Drenagem Superficial</v>
      </c>
      <c r="AW1757" s="4" t="str">
        <f t="shared" si="6979"/>
        <v xml:space="preserve">   Seg. 3.1-ADME 12 - Drenagem Superficial - Sarjeta (Manual)</v>
      </c>
    </row>
    <row r="1758" spans="1:49" ht="15.6" hidden="1" customHeight="1" outlineLevel="2">
      <c r="A1758" s="8" t="str">
        <f t="shared" ref="A1758" si="7064">IF(SUM(P1758:V1759)&gt;0,"S","N")</f>
        <v>N</v>
      </c>
      <c r="B1758" s="150">
        <v>1069877</v>
      </c>
      <c r="C1758" s="150" t="s">
        <v>2097</v>
      </c>
      <c r="D1758" s="120" t="s">
        <v>557</v>
      </c>
      <c r="E1758" s="914" t="s">
        <v>2098</v>
      </c>
      <c r="F1758" s="902" t="s">
        <v>52</v>
      </c>
      <c r="G1758" s="528"/>
      <c r="H1758" s="546" t="s">
        <v>37</v>
      </c>
      <c r="I1758" s="711">
        <v>0</v>
      </c>
      <c r="J1758" s="896" t="str">
        <f t="shared" ref="J1758" si="7065">IFERROR((I1759/I1758),"-")</f>
        <v>-</v>
      </c>
      <c r="K1758" s="528"/>
      <c r="L1758" s="546" t="s">
        <v>37</v>
      </c>
      <c r="M1758" s="711">
        <f t="shared" si="6819"/>
        <v>0</v>
      </c>
      <c r="N1758" s="896" t="str">
        <f>IFERROR((M1759/M1758),"-")</f>
        <v>-</v>
      </c>
      <c r="O1758" s="528"/>
      <c r="P1758" s="547">
        <v>0</v>
      </c>
      <c r="Q1758" s="547">
        <v>0</v>
      </c>
      <c r="R1758" s="547">
        <v>0</v>
      </c>
      <c r="S1758" s="547">
        <v>0</v>
      </c>
      <c r="T1758" s="547">
        <v>0</v>
      </c>
      <c r="U1758" s="547">
        <v>0</v>
      </c>
      <c r="V1758" s="548">
        <v>0</v>
      </c>
      <c r="W1758" s="528"/>
      <c r="X1758" s="711">
        <f t="shared" si="6821"/>
        <v>0</v>
      </c>
      <c r="Y1758" s="896" t="str">
        <f t="shared" ref="Y1758" si="7066">IFERROR((X1759/X1758),"-")</f>
        <v>-</v>
      </c>
      <c r="Z1758" s="528"/>
      <c r="AA1758" s="898">
        <v>0</v>
      </c>
      <c r="AB1758" s="898">
        <v>0</v>
      </c>
      <c r="AC1758" s="903">
        <v>0</v>
      </c>
      <c r="AD1758" s="900" t="str">
        <f t="shared" ref="AD1758" si="7067">IFERROR((AC1758/AB1758),"-")</f>
        <v>-</v>
      </c>
      <c r="AE1758" s="2"/>
      <c r="AF1758" s="884">
        <v>0</v>
      </c>
      <c r="AG1758" s="884"/>
      <c r="AH1758" s="884">
        <v>0</v>
      </c>
      <c r="AI1758" s="884"/>
      <c r="AJ1758" s="884"/>
      <c r="AK1758" s="884">
        <f t="shared" ref="AK1758" si="7068">AF1758+AG1758+AH1758+AI1758+AJ1758+AC1758</f>
        <v>0</v>
      </c>
      <c r="AL1758" s="884">
        <v>0</v>
      </c>
      <c r="AM1758" s="878" t="str">
        <f t="shared" ref="AM1758" si="7069">IFERROR((AK1758/AL1758),"-")</f>
        <v>-</v>
      </c>
      <c r="AN1758" s="2"/>
      <c r="AO1758" s="884">
        <v>1347</v>
      </c>
      <c r="AP1758" s="884">
        <f t="shared" ref="AP1758" si="7070">AO1758-AK1758</f>
        <v>1347</v>
      </c>
      <c r="AV1758" t="str">
        <f t="shared" si="6987"/>
        <v>Drenagem Superficial</v>
      </c>
      <c r="AW1758" s="4" t="str">
        <f t="shared" si="6979"/>
        <v xml:space="preserve">   Seg. 3.1-C01 - Drenagem Superficial - Sarjeta de corte (Manual)</v>
      </c>
    </row>
    <row r="1759" spans="1:49" ht="15.6" hidden="1" customHeight="1" outlineLevel="2">
      <c r="A1759" s="8" t="str">
        <f t="shared" ref="A1759" si="7071">A1758</f>
        <v>N</v>
      </c>
      <c r="B1759" s="150"/>
      <c r="C1759" s="150" t="s">
        <v>2097</v>
      </c>
      <c r="D1759" s="120" t="s">
        <v>557</v>
      </c>
      <c r="E1759" s="915"/>
      <c r="F1759" s="902"/>
      <c r="G1759" s="528"/>
      <c r="H1759" s="549" t="s">
        <v>38</v>
      </c>
      <c r="I1759" s="711">
        <v>0</v>
      </c>
      <c r="J1759" s="897"/>
      <c r="K1759" s="528"/>
      <c r="L1759" s="549" t="s">
        <v>38</v>
      </c>
      <c r="M1759" s="711">
        <f t="shared" si="6819"/>
        <v>0</v>
      </c>
      <c r="N1759" s="897"/>
      <c r="O1759" s="528"/>
      <c r="P1759" s="548">
        <v>0</v>
      </c>
      <c r="Q1759" s="548">
        <v>0</v>
      </c>
      <c r="R1759" s="548">
        <v>0</v>
      </c>
      <c r="S1759" s="548">
        <v>0</v>
      </c>
      <c r="T1759" s="548">
        <v>0</v>
      </c>
      <c r="U1759" s="548">
        <v>0</v>
      </c>
      <c r="V1759" s="548">
        <v>0</v>
      </c>
      <c r="W1759" s="528"/>
      <c r="X1759" s="711">
        <f t="shared" si="6821"/>
        <v>0</v>
      </c>
      <c r="Y1759" s="897"/>
      <c r="Z1759" s="528"/>
      <c r="AA1759" s="899"/>
      <c r="AB1759" s="899"/>
      <c r="AC1759" s="904"/>
      <c r="AD1759" s="901"/>
      <c r="AE1759" s="2"/>
      <c r="AF1759" s="885"/>
      <c r="AG1759" s="885"/>
      <c r="AH1759" s="885"/>
      <c r="AI1759" s="885"/>
      <c r="AJ1759" s="885"/>
      <c r="AK1759" s="885"/>
      <c r="AL1759" s="885"/>
      <c r="AM1759" s="879"/>
      <c r="AN1759" s="2"/>
      <c r="AO1759" s="886"/>
      <c r="AP1759" s="886"/>
      <c r="AV1759" t="str">
        <f t="shared" si="6987"/>
        <v>Drenagem Superficial</v>
      </c>
      <c r="AW1759" s="4" t="str">
        <f t="shared" si="6979"/>
        <v xml:space="preserve">   Seg. 3.1-C01 - Drenagem Superficial - Sarjeta de corte (Manual)</v>
      </c>
    </row>
    <row r="1760" spans="1:49" ht="14.45" hidden="1" customHeight="1" outlineLevel="2">
      <c r="A1760" s="8" t="str">
        <f t="shared" ref="A1760" si="7072">IF(SUM(P1760:V1761)&gt;0,"S","N")</f>
        <v>N</v>
      </c>
      <c r="B1760" s="150">
        <v>1069880</v>
      </c>
      <c r="C1760" s="150" t="s">
        <v>2099</v>
      </c>
      <c r="D1760" s="120" t="s">
        <v>1171</v>
      </c>
      <c r="E1760" s="914" t="s">
        <v>2100</v>
      </c>
      <c r="F1760" s="902" t="s">
        <v>52</v>
      </c>
      <c r="G1760" s="528"/>
      <c r="H1760" s="546" t="s">
        <v>37</v>
      </c>
      <c r="I1760" s="711">
        <v>0</v>
      </c>
      <c r="J1760" s="896" t="str">
        <f t="shared" ref="J1760" si="7073">IFERROR((I1761/I1760),"-")</f>
        <v>-</v>
      </c>
      <c r="K1760" s="528"/>
      <c r="L1760" s="546" t="s">
        <v>37</v>
      </c>
      <c r="M1760" s="711">
        <f t="shared" si="6819"/>
        <v>0</v>
      </c>
      <c r="N1760" s="896" t="str">
        <f>IFERROR((M1761/M1760),"-")</f>
        <v>-</v>
      </c>
      <c r="O1760" s="528"/>
      <c r="P1760" s="547">
        <v>0</v>
      </c>
      <c r="Q1760" s="547">
        <v>0</v>
      </c>
      <c r="R1760" s="547">
        <v>0</v>
      </c>
      <c r="S1760" s="547">
        <v>0</v>
      </c>
      <c r="T1760" s="547">
        <v>0</v>
      </c>
      <c r="U1760" s="547">
        <v>0</v>
      </c>
      <c r="V1760" s="548">
        <v>0</v>
      </c>
      <c r="W1760" s="528"/>
      <c r="X1760" s="711">
        <f t="shared" si="6821"/>
        <v>0</v>
      </c>
      <c r="Y1760" s="896" t="str">
        <f t="shared" ref="Y1760" si="7074">IFERROR((X1761/X1760),"-")</f>
        <v>-</v>
      </c>
      <c r="Z1760" s="528"/>
      <c r="AA1760" s="898">
        <v>0</v>
      </c>
      <c r="AB1760" s="898">
        <v>0</v>
      </c>
      <c r="AC1760" s="903">
        <v>0</v>
      </c>
      <c r="AD1760" s="900" t="str">
        <f t="shared" ref="AD1760" si="7075">IFERROR((AC1760/AB1760),"-")</f>
        <v>-</v>
      </c>
      <c r="AE1760" s="2"/>
      <c r="AF1760" s="884">
        <v>0</v>
      </c>
      <c r="AG1760" s="884"/>
      <c r="AH1760" s="884">
        <v>0</v>
      </c>
      <c r="AI1760" s="884"/>
      <c r="AJ1760" s="884"/>
      <c r="AK1760" s="884">
        <f t="shared" ref="AK1760" si="7076">AF1760+AG1760+AH1760+AI1760+AJ1760+AC1760</f>
        <v>0</v>
      </c>
      <c r="AL1760" s="884">
        <v>0</v>
      </c>
      <c r="AM1760" s="878" t="str">
        <f t="shared" ref="AM1760" si="7077">IFERROR((AK1760/AL1760),"-")</f>
        <v>-</v>
      </c>
      <c r="AN1760" s="2"/>
      <c r="AO1760" s="884">
        <v>804</v>
      </c>
      <c r="AP1760" s="884">
        <f t="shared" ref="AP1760" si="7078">AO1760-AK1760</f>
        <v>804</v>
      </c>
      <c r="AV1760" t="str">
        <f t="shared" si="6987"/>
        <v>Drenagem Superficial</v>
      </c>
      <c r="AW1760" s="4" t="str">
        <f t="shared" si="6979"/>
        <v xml:space="preserve">   Construção de sarjeta de aterro</v>
      </c>
    </row>
    <row r="1761" spans="1:49" ht="15.6" hidden="1" customHeight="1" outlineLevel="2">
      <c r="A1761" s="8" t="str">
        <f t="shared" ref="A1761" si="7079">A1760</f>
        <v>N</v>
      </c>
      <c r="B1761" s="150"/>
      <c r="C1761" s="150" t="s">
        <v>2099</v>
      </c>
      <c r="D1761" s="120" t="s">
        <v>1171</v>
      </c>
      <c r="E1761" s="915"/>
      <c r="F1761" s="902"/>
      <c r="G1761" s="528"/>
      <c r="H1761" s="549" t="s">
        <v>38</v>
      </c>
      <c r="I1761" s="711">
        <v>0</v>
      </c>
      <c r="J1761" s="897"/>
      <c r="K1761" s="528"/>
      <c r="L1761" s="549" t="s">
        <v>38</v>
      </c>
      <c r="M1761" s="711">
        <f t="shared" si="6819"/>
        <v>0</v>
      </c>
      <c r="N1761" s="897"/>
      <c r="O1761" s="528"/>
      <c r="P1761" s="548">
        <v>0</v>
      </c>
      <c r="Q1761" s="548">
        <v>0</v>
      </c>
      <c r="R1761" s="548">
        <v>0</v>
      </c>
      <c r="S1761" s="548">
        <v>0</v>
      </c>
      <c r="T1761" s="548">
        <v>0</v>
      </c>
      <c r="U1761" s="548">
        <v>0</v>
      </c>
      <c r="V1761" s="548">
        <v>0</v>
      </c>
      <c r="W1761" s="528"/>
      <c r="X1761" s="711">
        <f t="shared" si="6821"/>
        <v>0</v>
      </c>
      <c r="Y1761" s="897"/>
      <c r="Z1761" s="528"/>
      <c r="AA1761" s="899"/>
      <c r="AB1761" s="899"/>
      <c r="AC1761" s="904"/>
      <c r="AD1761" s="901"/>
      <c r="AE1761" s="2"/>
      <c r="AF1761" s="885"/>
      <c r="AG1761" s="885"/>
      <c r="AH1761" s="885"/>
      <c r="AI1761" s="885"/>
      <c r="AJ1761" s="885"/>
      <c r="AK1761" s="885"/>
      <c r="AL1761" s="885"/>
      <c r="AM1761" s="879"/>
      <c r="AN1761" s="2"/>
      <c r="AO1761" s="886"/>
      <c r="AP1761" s="886"/>
      <c r="AV1761" t="str">
        <f t="shared" si="6987"/>
        <v>Drenagem Superficial</v>
      </c>
      <c r="AW1761" s="4" t="str">
        <f t="shared" si="6979"/>
        <v xml:space="preserve">   Construção de sarjeta de aterro</v>
      </c>
    </row>
    <row r="1762" spans="1:49" ht="15.6" hidden="1" customHeight="1" outlineLevel="2">
      <c r="A1762" s="8" t="str">
        <f t="shared" ref="A1762" si="7080">IF(SUM(P1762:V1763)&gt;0,"S","N")</f>
        <v>N</v>
      </c>
      <c r="B1762" s="213">
        <v>1064662</v>
      </c>
      <c r="C1762" s="213" t="s">
        <v>2101</v>
      </c>
      <c r="D1762" s="120" t="s">
        <v>2102</v>
      </c>
      <c r="E1762" s="914" t="s">
        <v>2103</v>
      </c>
      <c r="F1762" s="902" t="s">
        <v>52</v>
      </c>
      <c r="G1762" s="528"/>
      <c r="H1762" s="546" t="s">
        <v>37</v>
      </c>
      <c r="I1762" s="711">
        <v>0</v>
      </c>
      <c r="J1762" s="896" t="str">
        <f t="shared" ref="J1762" si="7081">IFERROR((I1763/I1762),"-")</f>
        <v>-</v>
      </c>
      <c r="K1762" s="528"/>
      <c r="L1762" s="546" t="s">
        <v>37</v>
      </c>
      <c r="M1762" s="711">
        <f t="shared" si="6819"/>
        <v>0</v>
      </c>
      <c r="N1762" s="896" t="str">
        <f t="shared" ref="N1762" si="7082">IFERROR((M1763/M1762),"-")</f>
        <v>-</v>
      </c>
      <c r="O1762" s="528"/>
      <c r="P1762" s="547">
        <v>0</v>
      </c>
      <c r="Q1762" s="547">
        <v>0</v>
      </c>
      <c r="R1762" s="547">
        <v>0</v>
      </c>
      <c r="S1762" s="547">
        <v>0</v>
      </c>
      <c r="T1762" s="547">
        <v>0</v>
      </c>
      <c r="U1762" s="547">
        <v>0</v>
      </c>
      <c r="V1762" s="548">
        <v>0</v>
      </c>
      <c r="W1762" s="528"/>
      <c r="X1762" s="711">
        <f t="shared" si="6821"/>
        <v>0</v>
      </c>
      <c r="Y1762" s="896" t="str">
        <f t="shared" ref="Y1762" si="7083">IFERROR((X1763/X1762),"-")</f>
        <v>-</v>
      </c>
      <c r="Z1762" s="528"/>
      <c r="AA1762" s="898">
        <v>0</v>
      </c>
      <c r="AB1762" s="898">
        <v>0</v>
      </c>
      <c r="AC1762" s="903">
        <v>0</v>
      </c>
      <c r="AD1762" s="900" t="str">
        <f t="shared" ref="AD1762" si="7084">IFERROR((AC1762/AB1762),"-")</f>
        <v>-</v>
      </c>
      <c r="AE1762" s="2"/>
      <c r="AF1762" s="884">
        <v>0</v>
      </c>
      <c r="AG1762" s="884"/>
      <c r="AH1762" s="884">
        <v>0</v>
      </c>
      <c r="AI1762" s="884"/>
      <c r="AJ1762" s="884"/>
      <c r="AK1762" s="884">
        <f t="shared" ref="AK1762" si="7085">AF1762+AG1762+AH1762+AI1762+AJ1762+AC1762</f>
        <v>0</v>
      </c>
      <c r="AL1762" s="884">
        <v>0</v>
      </c>
      <c r="AM1762" s="878" t="str">
        <f t="shared" ref="AM1762" si="7086">IFERROR((AK1762/AL1762),"-")</f>
        <v>-</v>
      </c>
      <c r="AN1762" s="2"/>
      <c r="AO1762" s="884">
        <v>879</v>
      </c>
      <c r="AP1762" s="884">
        <f t="shared" ref="AP1762" si="7087">AO1762-AK1762</f>
        <v>879</v>
      </c>
      <c r="AV1762" t="str">
        <f t="shared" si="6987"/>
        <v>Drenagem Superficial</v>
      </c>
      <c r="AW1762" s="4" t="str">
        <f t="shared" si="6979"/>
        <v xml:space="preserve">   Seg. 3.1-C02 - Drenagem Superficial - Sarjeta de corte (Extrusada)</v>
      </c>
    </row>
    <row r="1763" spans="1:49" ht="15.6" hidden="1" customHeight="1" outlineLevel="2">
      <c r="A1763" s="8" t="str">
        <f t="shared" ref="A1763" si="7088">A1762</f>
        <v>N</v>
      </c>
      <c r="B1763" s="150"/>
      <c r="C1763" s="150" t="s">
        <v>266</v>
      </c>
      <c r="D1763" s="120" t="s">
        <v>266</v>
      </c>
      <c r="E1763" s="915"/>
      <c r="F1763" s="902"/>
      <c r="G1763" s="528"/>
      <c r="H1763" s="549" t="s">
        <v>38</v>
      </c>
      <c r="I1763" s="711">
        <v>0</v>
      </c>
      <c r="J1763" s="897"/>
      <c r="K1763" s="528"/>
      <c r="L1763" s="549" t="s">
        <v>38</v>
      </c>
      <c r="M1763" s="711">
        <f t="shared" si="6819"/>
        <v>0</v>
      </c>
      <c r="N1763" s="897"/>
      <c r="O1763" s="528"/>
      <c r="P1763" s="548">
        <v>0</v>
      </c>
      <c r="Q1763" s="548">
        <v>0</v>
      </c>
      <c r="R1763" s="548">
        <v>0</v>
      </c>
      <c r="S1763" s="548">
        <v>0</v>
      </c>
      <c r="T1763" s="548">
        <v>0</v>
      </c>
      <c r="U1763" s="548">
        <v>0</v>
      </c>
      <c r="V1763" s="548">
        <v>0</v>
      </c>
      <c r="W1763" s="528"/>
      <c r="X1763" s="711">
        <f t="shared" si="6821"/>
        <v>0</v>
      </c>
      <c r="Y1763" s="897"/>
      <c r="Z1763" s="528"/>
      <c r="AA1763" s="899"/>
      <c r="AB1763" s="899"/>
      <c r="AC1763" s="904"/>
      <c r="AD1763" s="901"/>
      <c r="AE1763" s="2"/>
      <c r="AF1763" s="885"/>
      <c r="AG1763" s="885"/>
      <c r="AH1763" s="885"/>
      <c r="AI1763" s="885"/>
      <c r="AJ1763" s="885"/>
      <c r="AK1763" s="885"/>
      <c r="AL1763" s="885"/>
      <c r="AM1763" s="879"/>
      <c r="AN1763" s="2"/>
      <c r="AO1763" s="886"/>
      <c r="AP1763" s="886"/>
      <c r="AV1763" t="str">
        <f t="shared" si="6987"/>
        <v>Drenagem Superficial</v>
      </c>
      <c r="AW1763" s="4" t="str">
        <f t="shared" si="6979"/>
        <v xml:space="preserve">   Seg. 3.1-C02 - Drenagem Superficial - Sarjeta de corte (Extrusada)</v>
      </c>
    </row>
    <row r="1764" spans="1:49" ht="15.6" hidden="1" customHeight="1" outlineLevel="2">
      <c r="A1764" s="8" t="str">
        <f t="shared" ref="A1764" si="7089">IF(SUM(P1764:V1765)&gt;0,"S","N")</f>
        <v>N</v>
      </c>
      <c r="B1764" s="497">
        <v>1069896</v>
      </c>
      <c r="C1764" s="497" t="s">
        <v>2104</v>
      </c>
      <c r="D1764" s="147" t="s">
        <v>2105</v>
      </c>
      <c r="E1764" s="914" t="s">
        <v>2106</v>
      </c>
      <c r="F1764" s="902" t="s">
        <v>52</v>
      </c>
      <c r="G1764" s="528"/>
      <c r="H1764" s="546" t="s">
        <v>37</v>
      </c>
      <c r="I1764" s="711">
        <v>252</v>
      </c>
      <c r="J1764" s="896">
        <f t="shared" ref="J1764" si="7090">IFERROR((I1765/I1764),"-")</f>
        <v>0.51587301587301593</v>
      </c>
      <c r="K1764" s="528"/>
      <c r="L1764" s="546" t="s">
        <v>37</v>
      </c>
      <c r="M1764" s="711">
        <f t="shared" si="6819"/>
        <v>0</v>
      </c>
      <c r="N1764" s="896" t="str">
        <f t="shared" ref="N1764" si="7091">IFERROR((M1765/M1764),"-")</f>
        <v>-</v>
      </c>
      <c r="O1764" s="528"/>
      <c r="P1764" s="547">
        <v>0</v>
      </c>
      <c r="Q1764" s="547">
        <v>0</v>
      </c>
      <c r="R1764" s="547">
        <v>0</v>
      </c>
      <c r="S1764" s="547">
        <v>0</v>
      </c>
      <c r="T1764" s="547">
        <v>0</v>
      </c>
      <c r="U1764" s="547">
        <v>0</v>
      </c>
      <c r="V1764" s="548">
        <v>0</v>
      </c>
      <c r="W1764" s="528"/>
      <c r="X1764" s="711">
        <f t="shared" ref="X1764:X1767" si="7092">SUMIFS(P1764:V1764,$P$8:$V$8,"&gt;="&amp;$P$8,$P$8:$V$8,"&lt;="&amp;$N$8)</f>
        <v>0</v>
      </c>
      <c r="Y1764" s="896" t="str">
        <f t="shared" ref="Y1764" si="7093">IFERROR((X1765/X1764),"-")</f>
        <v>-</v>
      </c>
      <c r="Z1764" s="528"/>
      <c r="AA1764" s="898">
        <v>190</v>
      </c>
      <c r="AB1764" s="898">
        <v>190.02000000000004</v>
      </c>
      <c r="AC1764" s="903">
        <v>250</v>
      </c>
      <c r="AD1764" s="900">
        <f t="shared" ref="AD1764" si="7094">IFERROR((AC1764/AB1764),"-")</f>
        <v>1.3156509841069359</v>
      </c>
      <c r="AE1764" s="2"/>
      <c r="AF1764" s="884"/>
      <c r="AG1764" s="884"/>
      <c r="AH1764" s="884">
        <v>1367.5</v>
      </c>
      <c r="AI1764" s="884"/>
      <c r="AJ1764" s="884"/>
      <c r="AK1764" s="884">
        <f t="shared" ref="AK1764" si="7095">AF1764+AG1764+AH1764+AI1764+AJ1764+AC1764</f>
        <v>1617.5</v>
      </c>
      <c r="AL1764" s="884">
        <v>278.0200000000001</v>
      </c>
      <c r="AM1764" s="968">
        <f t="shared" ref="AM1764" si="7096">IFERROR((AK1764/AL1764),"-")</f>
        <v>5.8179267678584257</v>
      </c>
      <c r="AN1764" s="2"/>
      <c r="AO1764" s="884">
        <v>1684</v>
      </c>
      <c r="AP1764" s="884">
        <f t="shared" ref="AP1764" si="7097">AO1764-AK1764</f>
        <v>66.5</v>
      </c>
      <c r="AV1764" t="str">
        <f t="shared" si="6987"/>
        <v>Drenagem Superficial</v>
      </c>
      <c r="AW1764" s="4" t="str">
        <f t="shared" si="6979"/>
        <v xml:space="preserve">   Construção de sarjeta - Interseção GO-164</v>
      </c>
    </row>
    <row r="1765" spans="1:49" ht="15.6" hidden="1" customHeight="1" outlineLevel="2">
      <c r="A1765" s="8" t="str">
        <f t="shared" ref="A1765" si="7098">A1764</f>
        <v>N</v>
      </c>
      <c r="B1765" s="147"/>
      <c r="C1765" s="147" t="s">
        <v>2107</v>
      </c>
      <c r="D1765" s="147" t="s">
        <v>2105</v>
      </c>
      <c r="E1765" s="915"/>
      <c r="F1765" s="902"/>
      <c r="G1765" s="528"/>
      <c r="H1765" s="549" t="s">
        <v>38</v>
      </c>
      <c r="I1765" s="711">
        <v>130</v>
      </c>
      <c r="J1765" s="897"/>
      <c r="K1765" s="528"/>
      <c r="L1765" s="549" t="s">
        <v>38</v>
      </c>
      <c r="M1765" s="711">
        <f t="shared" si="6819"/>
        <v>0</v>
      </c>
      <c r="N1765" s="897"/>
      <c r="O1765" s="528"/>
      <c r="P1765" s="548">
        <v>0</v>
      </c>
      <c r="Q1765" s="548">
        <v>0</v>
      </c>
      <c r="R1765" s="548">
        <v>0</v>
      </c>
      <c r="S1765" s="548">
        <v>0</v>
      </c>
      <c r="T1765" s="548">
        <v>0</v>
      </c>
      <c r="U1765" s="548">
        <v>0</v>
      </c>
      <c r="V1765" s="548">
        <v>0</v>
      </c>
      <c r="W1765" s="528"/>
      <c r="X1765" s="711">
        <f t="shared" si="7092"/>
        <v>0</v>
      </c>
      <c r="Y1765" s="897"/>
      <c r="Z1765" s="528"/>
      <c r="AA1765" s="899"/>
      <c r="AB1765" s="899"/>
      <c r="AC1765" s="904"/>
      <c r="AD1765" s="901"/>
      <c r="AE1765" s="2"/>
      <c r="AF1765" s="885"/>
      <c r="AG1765" s="885"/>
      <c r="AH1765" s="885"/>
      <c r="AI1765" s="885"/>
      <c r="AJ1765" s="885"/>
      <c r="AK1765" s="885"/>
      <c r="AL1765" s="885"/>
      <c r="AM1765" s="969"/>
      <c r="AN1765" s="2"/>
      <c r="AO1765" s="885"/>
      <c r="AP1765" s="886"/>
      <c r="AV1765" t="str">
        <f t="shared" si="6987"/>
        <v>Drenagem Superficial</v>
      </c>
      <c r="AW1765" s="4" t="str">
        <f t="shared" si="6979"/>
        <v xml:space="preserve">   Construção de sarjeta - Interseção GO-164</v>
      </c>
    </row>
    <row r="1766" spans="1:49" ht="15.6" hidden="1" customHeight="1" outlineLevel="2">
      <c r="A1766" s="8" t="str">
        <f t="shared" ref="A1766" si="7099">IF(SUM(P1766:V1767)&gt;0,"S","N")</f>
        <v>N</v>
      </c>
      <c r="B1766" s="150" t="s">
        <v>266</v>
      </c>
      <c r="C1766" s="150" t="s">
        <v>266</v>
      </c>
      <c r="D1766" s="120" t="s">
        <v>2108</v>
      </c>
      <c r="E1766" s="914" t="s">
        <v>2106</v>
      </c>
      <c r="F1766" s="902" t="s">
        <v>52</v>
      </c>
      <c r="G1766" s="528"/>
      <c r="H1766" s="546" t="s">
        <v>37</v>
      </c>
      <c r="I1766" s="711">
        <v>0</v>
      </c>
      <c r="J1766" s="896" t="str">
        <f t="shared" ref="J1766" si="7100">IFERROR((I1767/I1766),"-")</f>
        <v>-</v>
      </c>
      <c r="K1766" s="528"/>
      <c r="L1766" s="546" t="s">
        <v>37</v>
      </c>
      <c r="M1766" s="711">
        <f t="shared" si="6819"/>
        <v>0</v>
      </c>
      <c r="N1766" s="896" t="str">
        <f t="shared" ref="N1766" si="7101">IFERROR((M1767/M1766),"-")</f>
        <v>-</v>
      </c>
      <c r="O1766" s="528"/>
      <c r="P1766" s="547">
        <v>0</v>
      </c>
      <c r="Q1766" s="547">
        <v>0</v>
      </c>
      <c r="R1766" s="547">
        <v>0</v>
      </c>
      <c r="S1766" s="547">
        <v>0</v>
      </c>
      <c r="T1766" s="547">
        <v>0</v>
      </c>
      <c r="U1766" s="547">
        <v>0</v>
      </c>
      <c r="V1766" s="548">
        <v>0</v>
      </c>
      <c r="W1766" s="528"/>
      <c r="X1766" s="711">
        <f t="shared" si="7092"/>
        <v>0</v>
      </c>
      <c r="Y1766" s="896" t="str">
        <f t="shared" ref="Y1766" si="7102">IFERROR((X1767/X1766),"-")</f>
        <v>-</v>
      </c>
      <c r="Z1766" s="528"/>
      <c r="AA1766" s="898">
        <v>0</v>
      </c>
      <c r="AB1766" s="898">
        <v>0</v>
      </c>
      <c r="AC1766" s="903">
        <v>0</v>
      </c>
      <c r="AD1766" s="900" t="str">
        <f t="shared" ref="AD1766" si="7103">IFERROR((AC1766/AB1766),"-")</f>
        <v>-</v>
      </c>
      <c r="AE1766" s="2"/>
      <c r="AF1766" s="884">
        <v>0</v>
      </c>
      <c r="AG1766" s="884"/>
      <c r="AH1766" s="884">
        <v>0</v>
      </c>
      <c r="AI1766" s="884"/>
      <c r="AJ1766" s="884"/>
      <c r="AK1766" s="884">
        <f t="shared" ref="AK1766" si="7104">AF1766+AG1766+AH1766+AI1766+AJ1766+AC1766</f>
        <v>0</v>
      </c>
      <c r="AL1766" s="884">
        <v>0</v>
      </c>
      <c r="AM1766" s="878" t="str">
        <f t="shared" ref="AM1766" si="7105">IFERROR((AK1766/AL1766),"-")</f>
        <v>-</v>
      </c>
      <c r="AN1766" s="2"/>
      <c r="AO1766" s="884">
        <v>0</v>
      </c>
      <c r="AP1766" s="884">
        <f t="shared" ref="AP1766" si="7106">AO1766-AK1766</f>
        <v>0</v>
      </c>
      <c r="AV1766" t="str">
        <f t="shared" si="6987"/>
        <v>Drenagem Superficial</v>
      </c>
      <c r="AW1766" s="4" t="str">
        <f t="shared" si="6979"/>
        <v xml:space="preserve">   Construção de sarjeta - Interseção GO-164</v>
      </c>
    </row>
    <row r="1767" spans="1:49" ht="15.6" hidden="1" customHeight="1" outlineLevel="2">
      <c r="A1767" s="8" t="str">
        <f t="shared" ref="A1767" si="7107">A1766</f>
        <v>N</v>
      </c>
      <c r="B1767" s="150" t="s">
        <v>266</v>
      </c>
      <c r="C1767" s="150" t="s">
        <v>266</v>
      </c>
      <c r="D1767" s="120" t="s">
        <v>2108</v>
      </c>
      <c r="E1767" s="915"/>
      <c r="F1767" s="902"/>
      <c r="G1767" s="528"/>
      <c r="H1767" s="549" t="s">
        <v>38</v>
      </c>
      <c r="I1767" s="711">
        <v>0</v>
      </c>
      <c r="J1767" s="897"/>
      <c r="K1767" s="528"/>
      <c r="L1767" s="549" t="s">
        <v>38</v>
      </c>
      <c r="M1767" s="711">
        <f t="shared" si="6819"/>
        <v>0</v>
      </c>
      <c r="N1767" s="897"/>
      <c r="O1767" s="528"/>
      <c r="P1767" s="548">
        <v>0</v>
      </c>
      <c r="Q1767" s="548">
        <v>0</v>
      </c>
      <c r="R1767" s="548">
        <v>0</v>
      </c>
      <c r="S1767" s="548">
        <v>0</v>
      </c>
      <c r="T1767" s="548">
        <v>0</v>
      </c>
      <c r="U1767" s="548">
        <v>0</v>
      </c>
      <c r="V1767" s="548">
        <v>0</v>
      </c>
      <c r="W1767" s="528"/>
      <c r="X1767" s="711">
        <f t="shared" si="7092"/>
        <v>0</v>
      </c>
      <c r="Y1767" s="897"/>
      <c r="Z1767" s="528"/>
      <c r="AA1767" s="899"/>
      <c r="AB1767" s="899"/>
      <c r="AC1767" s="904"/>
      <c r="AD1767" s="901"/>
      <c r="AE1767" s="2"/>
      <c r="AF1767" s="885"/>
      <c r="AG1767" s="885"/>
      <c r="AH1767" s="885"/>
      <c r="AI1767" s="885"/>
      <c r="AJ1767" s="885"/>
      <c r="AK1767" s="885"/>
      <c r="AL1767" s="885"/>
      <c r="AM1767" s="879"/>
      <c r="AN1767" s="2"/>
      <c r="AO1767" s="886"/>
      <c r="AP1767" s="886"/>
      <c r="AV1767" t="str">
        <f t="shared" si="6987"/>
        <v>Drenagem Superficial</v>
      </c>
      <c r="AW1767" s="4" t="str">
        <f t="shared" si="6979"/>
        <v xml:space="preserve">   Construção de sarjeta - Interseção GO-164</v>
      </c>
    </row>
    <row r="1768" spans="1:49" ht="15.6" hidden="1" customHeight="1" outlineLevel="1" collapsed="1">
      <c r="A1768" s="209">
        <v>0</v>
      </c>
      <c r="B1768" s="150"/>
      <c r="C1768" s="150"/>
      <c r="D1768" s="117"/>
      <c r="E1768" s="535"/>
      <c r="F1768" s="536"/>
      <c r="G1768" s="537"/>
      <c r="H1768" s="714"/>
      <c r="I1768" s="538"/>
      <c r="J1768" s="714"/>
      <c r="K1768" s="537"/>
      <c r="L1768" s="714"/>
      <c r="M1768" s="538"/>
      <c r="N1768" s="714"/>
      <c r="O1768" s="537"/>
      <c r="P1768" s="539"/>
      <c r="Q1768" s="539"/>
      <c r="R1768" s="539"/>
      <c r="S1768" s="539"/>
      <c r="T1768" s="539"/>
      <c r="U1768" s="539"/>
      <c r="V1768" s="539"/>
      <c r="W1768" s="537"/>
      <c r="X1768" s="540"/>
      <c r="Y1768" s="537"/>
      <c r="Z1768" s="537"/>
      <c r="AA1768" s="250"/>
      <c r="AB1768" s="250"/>
      <c r="AC1768" s="249"/>
      <c r="AD1768" s="537"/>
      <c r="AE1768" s="3"/>
      <c r="AF1768" s="36"/>
      <c r="AG1768" s="36"/>
      <c r="AH1768" s="36"/>
      <c r="AI1768" s="36"/>
      <c r="AJ1768" s="36"/>
      <c r="AK1768" s="36"/>
      <c r="AL1768" s="36"/>
      <c r="AM1768" s="3"/>
      <c r="AN1768" s="3"/>
      <c r="AO1768" s="36"/>
      <c r="AP1768" s="36"/>
      <c r="AV1768" t="str">
        <f t="shared" si="6987"/>
        <v>Drenagem Superficial</v>
      </c>
      <c r="AW1768" s="4" t="str">
        <f t="shared" si="6979"/>
        <v xml:space="preserve">   Construção de sarjeta - Interseção GO-164</v>
      </c>
    </row>
    <row r="1769" spans="1:49" ht="15.6" customHeight="1" collapsed="1">
      <c r="A1769" s="209">
        <v>0</v>
      </c>
      <c r="B1769" s="150"/>
      <c r="C1769" s="150"/>
      <c r="D1769" s="123"/>
      <c r="E1769" s="535"/>
      <c r="F1769" s="536"/>
      <c r="G1769" s="537"/>
      <c r="H1769" s="714"/>
      <c r="I1769" s="538"/>
      <c r="J1769" s="714"/>
      <c r="K1769" s="537"/>
      <c r="L1769" s="714"/>
      <c r="M1769" s="538"/>
      <c r="N1769" s="714"/>
      <c r="O1769" s="537"/>
      <c r="P1769" s="539"/>
      <c r="Q1769" s="539"/>
      <c r="R1769" s="539"/>
      <c r="S1769" s="539"/>
      <c r="T1769" s="539"/>
      <c r="U1769" s="539"/>
      <c r="V1769" s="539"/>
      <c r="W1769" s="537"/>
      <c r="X1769" s="540"/>
      <c r="Y1769" s="537"/>
      <c r="Z1769" s="537"/>
      <c r="AA1769" s="250"/>
      <c r="AB1769" s="250"/>
      <c r="AC1769" s="249"/>
      <c r="AD1769" s="537"/>
      <c r="AE1769" s="3"/>
      <c r="AF1769" s="36"/>
      <c r="AG1769" s="36"/>
      <c r="AH1769" s="36"/>
      <c r="AI1769" s="36"/>
      <c r="AJ1769" s="36"/>
      <c r="AK1769" s="36"/>
      <c r="AL1769" s="36"/>
      <c r="AM1769" s="3"/>
      <c r="AN1769" s="3"/>
      <c r="AO1769" s="36"/>
      <c r="AP1769" s="36"/>
      <c r="AV1769" t="str">
        <f t="shared" si="6987"/>
        <v>Drenagem Superficial</v>
      </c>
      <c r="AW1769" s="4" t="str">
        <f t="shared" si="6979"/>
        <v xml:space="preserve">   Construção de sarjeta - Interseção GO-164</v>
      </c>
    </row>
    <row r="1770" spans="1:49" ht="27.6" customHeight="1">
      <c r="A1770" s="578">
        <v>0</v>
      </c>
      <c r="B1770" s="579"/>
      <c r="C1770" s="579"/>
      <c r="D1770" s="580"/>
      <c r="E1770" s="759" t="s">
        <v>2109</v>
      </c>
      <c r="F1770" s="902" t="s">
        <v>52</v>
      </c>
      <c r="G1770" s="528"/>
      <c r="H1770" s="529" t="s">
        <v>37</v>
      </c>
      <c r="I1770" s="707">
        <f>I1773+I1806+I1847+I1860+I1882</f>
        <v>730</v>
      </c>
      <c r="J1770" s="900">
        <f t="shared" ref="J1770" si="7108">IFERROR((I1771/I1770),"-")</f>
        <v>0.97328767123287674</v>
      </c>
      <c r="K1770" s="528"/>
      <c r="L1770" s="529" t="s">
        <v>37</v>
      </c>
      <c r="M1770" s="707">
        <f>M1773+M1806+M1847+M1860+M1882</f>
        <v>140</v>
      </c>
      <c r="N1770" s="900">
        <f t="shared" ref="N1770" si="7109">IFERROR((M1771/M1770),"-")</f>
        <v>1.0321428571428573</v>
      </c>
      <c r="O1770" s="528"/>
      <c r="P1770" s="707">
        <f t="shared" ref="P1770:V1771" si="7110">P1773+P1806+P1847+P1860+P1882</f>
        <v>0</v>
      </c>
      <c r="Q1770" s="707">
        <f t="shared" si="7110"/>
        <v>140</v>
      </c>
      <c r="R1770" s="707">
        <f t="shared" si="7110"/>
        <v>140</v>
      </c>
      <c r="S1770" s="707">
        <f t="shared" si="7110"/>
        <v>140</v>
      </c>
      <c r="T1770" s="707">
        <f t="shared" si="7110"/>
        <v>15</v>
      </c>
      <c r="U1770" s="707">
        <f t="shared" si="7110"/>
        <v>15</v>
      </c>
      <c r="V1770" s="708">
        <f t="shared" si="7110"/>
        <v>0</v>
      </c>
      <c r="W1770" s="528"/>
      <c r="X1770" s="707">
        <f>SUMIFS(P1770:V1770,$P$8:$V$8,"&gt;="&amp;$P$8,$P$8:$V$8,"&lt;="&amp;$N$8)</f>
        <v>140</v>
      </c>
      <c r="Y1770" s="900">
        <f t="shared" ref="Y1770" si="7111">IFERROR((X1771/X1770),"-")</f>
        <v>1.7607142857142857</v>
      </c>
      <c r="Z1770" s="528"/>
      <c r="AA1770" s="755">
        <f>AA1773+AA1806+AA1847+AA1860+AA1882</f>
        <v>1100.0999999999999</v>
      </c>
      <c r="AB1770" s="755">
        <f>AB1773+AB1806+AB1847+AB1860+AB1882</f>
        <v>2995.41</v>
      </c>
      <c r="AC1770" s="906">
        <f>AC1773+AC1806+AC1847+AC1860+AC1882</f>
        <v>1324.5</v>
      </c>
      <c r="AD1770" s="900">
        <f>IFERROR((AC1770/AB1770),"-")</f>
        <v>0.4421765300910393</v>
      </c>
      <c r="AE1770" s="40"/>
      <c r="AF1770" s="924">
        <f t="shared" ref="AF1770:AL1770" si="7112">AF1773+AF1806+AF1847+AF1860+AF1882</f>
        <v>6107.6540000000005</v>
      </c>
      <c r="AG1770" s="924">
        <f t="shared" si="7112"/>
        <v>546.59500000000003</v>
      </c>
      <c r="AH1770" s="924">
        <f t="shared" si="7112"/>
        <v>103.5</v>
      </c>
      <c r="AI1770" s="924">
        <f t="shared" si="7112"/>
        <v>1608.2620000000002</v>
      </c>
      <c r="AJ1770" s="924">
        <f t="shared" si="7112"/>
        <v>1394.117</v>
      </c>
      <c r="AK1770" s="924">
        <f t="shared" si="7112"/>
        <v>11084.628000000001</v>
      </c>
      <c r="AL1770" s="924">
        <f t="shared" si="7112"/>
        <v>13785.44</v>
      </c>
      <c r="AM1770" s="762">
        <f>IFERROR((AK1770/AL1770),"-")</f>
        <v>0.80408227811372002</v>
      </c>
      <c r="AN1770" s="40"/>
      <c r="AO1770" s="909">
        <f>AO1773+AO1806+AO1847+AO1860+AO1882</f>
        <v>43350.29</v>
      </c>
      <c r="AP1770" s="909">
        <f>AP1773+AP1806+AP1847+AP1860+AP1882</f>
        <v>32265.662</v>
      </c>
      <c r="AV1770" t="str">
        <f t="shared" si="6987"/>
        <v>Drenagem Superficial</v>
      </c>
      <c r="AW1770" s="4" t="str">
        <f t="shared" si="6979"/>
        <v>Drenagem Superficial - Canaleta</v>
      </c>
    </row>
    <row r="1771" spans="1:49" ht="27.6" customHeight="1">
      <c r="A1771" s="578">
        <v>0</v>
      </c>
      <c r="B1771" s="579"/>
      <c r="C1771" s="579"/>
      <c r="D1771" s="580"/>
      <c r="E1771" s="760"/>
      <c r="F1771" s="902"/>
      <c r="G1771" s="528"/>
      <c r="H1771" s="531" t="s">
        <v>38</v>
      </c>
      <c r="I1771" s="707">
        <f>I1774+I1807+I1848+I1861+I1883</f>
        <v>710.5</v>
      </c>
      <c r="J1771" s="901"/>
      <c r="K1771" s="528"/>
      <c r="L1771" s="531" t="s">
        <v>38</v>
      </c>
      <c r="M1771" s="707">
        <f>M1774+M1807+M1848+M1861+M1883</f>
        <v>144.5</v>
      </c>
      <c r="N1771" s="901"/>
      <c r="O1771" s="528"/>
      <c r="P1771" s="707">
        <f t="shared" si="7110"/>
        <v>102</v>
      </c>
      <c r="Q1771" s="707">
        <f t="shared" si="7110"/>
        <v>144.5</v>
      </c>
      <c r="R1771" s="707">
        <f t="shared" si="7110"/>
        <v>0</v>
      </c>
      <c r="S1771" s="707">
        <f t="shared" si="7110"/>
        <v>0</v>
      </c>
      <c r="T1771" s="707">
        <f t="shared" si="7110"/>
        <v>0</v>
      </c>
      <c r="U1771" s="707">
        <f t="shared" si="7110"/>
        <v>0</v>
      </c>
      <c r="V1771" s="707">
        <f t="shared" si="7110"/>
        <v>0</v>
      </c>
      <c r="W1771" s="528"/>
      <c r="X1771" s="707">
        <f t="shared" ref="X1771" si="7113">SUMIFS(P1771:V1771,$P$8:$V$8,"&gt;="&amp;$P$8,$P$8:$V$8,"&lt;="&amp;$N$8)</f>
        <v>246.5</v>
      </c>
      <c r="Y1771" s="901"/>
      <c r="Z1771" s="528"/>
      <c r="AA1771" s="756"/>
      <c r="AB1771" s="756"/>
      <c r="AC1771" s="907"/>
      <c r="AD1771" s="901"/>
      <c r="AE1771" s="40"/>
      <c r="AF1771" s="925"/>
      <c r="AG1771" s="925"/>
      <c r="AH1771" s="925"/>
      <c r="AI1771" s="925"/>
      <c r="AJ1771" s="925"/>
      <c r="AK1771" s="925"/>
      <c r="AL1771" s="925"/>
      <c r="AM1771" s="763"/>
      <c r="AN1771" s="40"/>
      <c r="AO1771" s="910"/>
      <c r="AP1771" s="910"/>
      <c r="AV1771" t="str">
        <f t="shared" si="6987"/>
        <v>Drenagem Superficial</v>
      </c>
      <c r="AW1771" s="4" t="str">
        <f t="shared" si="6979"/>
        <v>Drenagem Superficial - Canaleta</v>
      </c>
    </row>
    <row r="1772" spans="1:49" ht="15.6" customHeight="1">
      <c r="A1772" s="209">
        <v>0</v>
      </c>
      <c r="B1772" s="150"/>
      <c r="C1772" s="150"/>
      <c r="D1772" s="117"/>
      <c r="E1772" s="535"/>
      <c r="F1772" s="541"/>
      <c r="G1772" s="537"/>
      <c r="H1772" s="537"/>
      <c r="I1772" s="250"/>
      <c r="J1772" s="537"/>
      <c r="K1772" s="537"/>
      <c r="L1772" s="537"/>
      <c r="M1772" s="250"/>
      <c r="N1772" s="537"/>
      <c r="O1772" s="537"/>
      <c r="P1772" s="539"/>
      <c r="Q1772" s="539"/>
      <c r="R1772" s="539"/>
      <c r="S1772" s="539"/>
      <c r="T1772" s="539"/>
      <c r="U1772" s="539"/>
      <c r="V1772" s="539"/>
      <c r="W1772" s="537"/>
      <c r="X1772" s="540"/>
      <c r="Y1772" s="537"/>
      <c r="Z1772" s="537"/>
      <c r="AA1772" s="250"/>
      <c r="AB1772" s="250"/>
      <c r="AC1772" s="249"/>
      <c r="AD1772" s="537"/>
      <c r="AE1772" s="3"/>
      <c r="AF1772" s="36"/>
      <c r="AG1772" s="36"/>
      <c r="AH1772" s="36"/>
      <c r="AI1772" s="36"/>
      <c r="AJ1772" s="36"/>
      <c r="AK1772" s="36"/>
      <c r="AL1772" s="36"/>
      <c r="AM1772" s="3"/>
      <c r="AN1772" s="3"/>
      <c r="AO1772" s="36"/>
      <c r="AP1772" s="36"/>
      <c r="AV1772" t="str">
        <f t="shared" si="6987"/>
        <v>Drenagem Superficial</v>
      </c>
      <c r="AW1772" s="4" t="str">
        <f t="shared" si="6979"/>
        <v>Drenagem Superficial - Canaleta</v>
      </c>
    </row>
    <row r="1773" spans="1:49" ht="14.45" hidden="1" customHeight="1" outlineLevel="1">
      <c r="A1773" s="209">
        <v>0</v>
      </c>
      <c r="B1773" s="150"/>
      <c r="C1773" s="150">
        <v>0</v>
      </c>
      <c r="D1773" s="122"/>
      <c r="E1773" s="913" t="s">
        <v>39</v>
      </c>
      <c r="F1773" s="859" t="s">
        <v>52</v>
      </c>
      <c r="G1773" s="528"/>
      <c r="H1773" s="542" t="s">
        <v>37</v>
      </c>
      <c r="I1773" s="543">
        <f>SUMIF($L1775:$L1804,$L1773,I1775:I1804)</f>
        <v>400</v>
      </c>
      <c r="J1773" s="860">
        <f>IFERROR((I1774/I1773),"-")</f>
        <v>0.97624999999999995</v>
      </c>
      <c r="K1773" s="528"/>
      <c r="L1773" s="542" t="s">
        <v>37</v>
      </c>
      <c r="M1773" s="543">
        <f>SUMIF($L1775:$L1804,$L1773,M1775:M1804)</f>
        <v>70</v>
      </c>
      <c r="N1773" s="860">
        <f>IFERROR((M1774/M1773),"-")</f>
        <v>1.6</v>
      </c>
      <c r="O1773" s="528"/>
      <c r="P1773" s="543">
        <f t="shared" ref="P1773:V1773" si="7114">SUMIF($L1775:$L1804,$L1773,P1775:P1804)</f>
        <v>0</v>
      </c>
      <c r="Q1773" s="543">
        <f t="shared" si="7114"/>
        <v>70</v>
      </c>
      <c r="R1773" s="543">
        <f t="shared" si="7114"/>
        <v>70</v>
      </c>
      <c r="S1773" s="543">
        <f t="shared" si="7114"/>
        <v>70</v>
      </c>
      <c r="T1773" s="543">
        <f t="shared" si="7114"/>
        <v>0</v>
      </c>
      <c r="U1773" s="543">
        <f t="shared" si="7114"/>
        <v>0</v>
      </c>
      <c r="V1773" s="543">
        <f t="shared" si="7114"/>
        <v>0</v>
      </c>
      <c r="W1773" s="528"/>
      <c r="X1773" s="543">
        <f t="shared" ref="X1773:X1804" si="7115">SUMIFS(P1773:V1773,$P$8:$V$8,"&gt;="&amp;$P$8,$P$8:$V$8,"&lt;="&amp;$N$8)</f>
        <v>70</v>
      </c>
      <c r="Y1773" s="860">
        <f>IFERROR((X1774/X1773),"-")</f>
        <v>3.0571428571428569</v>
      </c>
      <c r="Z1773" s="528"/>
      <c r="AA1773" s="814">
        <f>SUM(AA1775:AA1804)</f>
        <v>770.06999999999994</v>
      </c>
      <c r="AB1773" s="814">
        <f>SUM(AB1775:AB1804)</f>
        <v>2379.85</v>
      </c>
      <c r="AC1773" s="814">
        <f>SUM(AC1775:AC1804)</f>
        <v>677</v>
      </c>
      <c r="AD1773" s="911">
        <f t="shared" ref="AD1773" si="7116">IFERROR((AC1773/AB1773),"-")</f>
        <v>0.2844717104019161</v>
      </c>
      <c r="AE1773" s="2"/>
      <c r="AF1773" s="888">
        <f t="shared" ref="AF1773:AL1773" si="7117">SUM(AF1775:AF1804)</f>
        <v>4295.7700000000004</v>
      </c>
      <c r="AG1773" s="888">
        <f t="shared" si="7117"/>
        <v>546.59500000000003</v>
      </c>
      <c r="AH1773" s="888">
        <f t="shared" si="7117"/>
        <v>33.5</v>
      </c>
      <c r="AI1773" s="888">
        <f t="shared" si="7117"/>
        <v>1064.884</v>
      </c>
      <c r="AJ1773" s="888">
        <f t="shared" ref="AJ1773" si="7118">SUM(AJ1775:AJ1804)</f>
        <v>941.58100000000002</v>
      </c>
      <c r="AK1773" s="888">
        <f t="shared" si="7117"/>
        <v>7559.33</v>
      </c>
      <c r="AL1773" s="888">
        <f t="shared" si="7117"/>
        <v>6118.9500000000007</v>
      </c>
      <c r="AM1773" s="743">
        <f>IFERROR((AK1773/AL1773),"-")</f>
        <v>1.2353965958211783</v>
      </c>
      <c r="AN1773" s="2"/>
      <c r="AO1773" s="888">
        <f>SUM(AO1775:AO1804)</f>
        <v>8282.73</v>
      </c>
      <c r="AP1773" s="888">
        <f>SUM(AP1775:AP1804)</f>
        <v>723.39999999999986</v>
      </c>
      <c r="AV1773" t="str">
        <f t="shared" si="6987"/>
        <v>Drenagem Superficial</v>
      </c>
      <c r="AW1773" s="4" t="str">
        <f t="shared" si="6979"/>
        <v>Pacote 04 - Segmento 2.2B- Km 104+500 a Km 116+400</v>
      </c>
    </row>
    <row r="1774" spans="1:49" ht="15.6" hidden="1" customHeight="1" outlineLevel="1">
      <c r="A1774" s="209">
        <v>0</v>
      </c>
      <c r="B1774" s="150"/>
      <c r="C1774" s="150"/>
      <c r="D1774" s="123"/>
      <c r="E1774" s="913"/>
      <c r="F1774" s="859"/>
      <c r="G1774" s="528"/>
      <c r="H1774" s="544" t="s">
        <v>38</v>
      </c>
      <c r="I1774" s="543">
        <f>SUMIF($L1775:$L1804,$L1774,I1775:I1804)</f>
        <v>390.5</v>
      </c>
      <c r="J1774" s="861"/>
      <c r="K1774" s="528"/>
      <c r="L1774" s="544" t="s">
        <v>38</v>
      </c>
      <c r="M1774" s="543">
        <f>SUMIF($L1775:$L1804,$L1774,M1775:M1804)</f>
        <v>112</v>
      </c>
      <c r="N1774" s="861"/>
      <c r="O1774" s="528"/>
      <c r="P1774" s="543">
        <f t="shared" ref="P1774:V1774" si="7119">SUMIF($L1775:$L1804,$L1774,P1775:P1804)</f>
        <v>102</v>
      </c>
      <c r="Q1774" s="543">
        <f t="shared" si="7119"/>
        <v>112</v>
      </c>
      <c r="R1774" s="543">
        <f t="shared" si="7119"/>
        <v>0</v>
      </c>
      <c r="S1774" s="543">
        <f t="shared" si="7119"/>
        <v>0</v>
      </c>
      <c r="T1774" s="543">
        <f t="shared" si="7119"/>
        <v>0</v>
      </c>
      <c r="U1774" s="543">
        <f t="shared" si="7119"/>
        <v>0</v>
      </c>
      <c r="V1774" s="543">
        <f t="shared" si="7119"/>
        <v>0</v>
      </c>
      <c r="W1774" s="528"/>
      <c r="X1774" s="543">
        <f t="shared" si="7115"/>
        <v>214</v>
      </c>
      <c r="Y1774" s="861"/>
      <c r="Z1774" s="528"/>
      <c r="AA1774" s="815"/>
      <c r="AB1774" s="815"/>
      <c r="AC1774" s="815"/>
      <c r="AD1774" s="912"/>
      <c r="AE1774" s="2"/>
      <c r="AF1774" s="889"/>
      <c r="AG1774" s="889"/>
      <c r="AH1774" s="889"/>
      <c r="AI1774" s="889"/>
      <c r="AJ1774" s="889"/>
      <c r="AK1774" s="889"/>
      <c r="AL1774" s="889"/>
      <c r="AM1774" s="744"/>
      <c r="AN1774" s="2"/>
      <c r="AO1774" s="888"/>
      <c r="AP1774" s="888"/>
      <c r="AV1774" t="str">
        <f t="shared" si="6987"/>
        <v>Drenagem Superficial</v>
      </c>
      <c r="AW1774" s="4" t="str">
        <f t="shared" si="6979"/>
        <v>Pacote 04 - Segmento 2.2B- Km 104+500 a Km 116+400</v>
      </c>
    </row>
    <row r="1775" spans="1:49" ht="15.6" hidden="1" customHeight="1" outlineLevel="2">
      <c r="A1775" s="8" t="str">
        <f t="shared" ref="A1775" si="7120">IF(SUM(P1775:V1776)&gt;0,"S","N")</f>
        <v>S</v>
      </c>
      <c r="B1775" s="150">
        <v>1061273</v>
      </c>
      <c r="C1775" s="150" t="s">
        <v>2110</v>
      </c>
      <c r="D1775" s="120" t="s">
        <v>279</v>
      </c>
      <c r="E1775" s="914" t="s">
        <v>2111</v>
      </c>
      <c r="F1775" s="894" t="s">
        <v>52</v>
      </c>
      <c r="G1775" s="528"/>
      <c r="H1775" s="546" t="s">
        <v>37</v>
      </c>
      <c r="I1775" s="711">
        <v>400</v>
      </c>
      <c r="J1775" s="896">
        <f t="shared" ref="J1775" si="7121">IFERROR((I1776/I1775),"-")</f>
        <v>0</v>
      </c>
      <c r="K1775" s="528"/>
      <c r="L1775" s="546" t="s">
        <v>37</v>
      </c>
      <c r="M1775" s="711">
        <f t="shared" ref="M1775:M1804" si="7122">_xlfn.XLOOKUP($N$8,$P$8:$V$8,$P1775:$V1775)</f>
        <v>70</v>
      </c>
      <c r="N1775" s="896">
        <f t="shared" ref="N1775" si="7123">IFERROR((M1776/M1775),"-")</f>
        <v>0</v>
      </c>
      <c r="O1775" s="528"/>
      <c r="P1775" s="547">
        <v>0</v>
      </c>
      <c r="Q1775" s="547">
        <v>70</v>
      </c>
      <c r="R1775" s="547">
        <v>70</v>
      </c>
      <c r="S1775" s="547">
        <v>70</v>
      </c>
      <c r="T1775" s="547">
        <v>0</v>
      </c>
      <c r="U1775" s="547">
        <v>0</v>
      </c>
      <c r="V1775" s="548">
        <v>0</v>
      </c>
      <c r="W1775" s="528"/>
      <c r="X1775" s="711">
        <f t="shared" si="7115"/>
        <v>70</v>
      </c>
      <c r="Y1775" s="896">
        <f>IFERROR((X1776/X1775),"-")</f>
        <v>0</v>
      </c>
      <c r="Z1775" s="528"/>
      <c r="AA1775" s="898">
        <v>13.5</v>
      </c>
      <c r="AB1775" s="898">
        <v>0</v>
      </c>
      <c r="AC1775" s="903">
        <v>0</v>
      </c>
      <c r="AD1775" s="900" t="str">
        <f t="shared" ref="AD1775" si="7124">IFERROR((AC1775/AB1775),"-")</f>
        <v>-</v>
      </c>
      <c r="AE1775" s="2"/>
      <c r="AF1775" s="884">
        <v>0</v>
      </c>
      <c r="AG1775" s="884"/>
      <c r="AH1775" s="884">
        <v>0</v>
      </c>
      <c r="AI1775" s="884"/>
      <c r="AJ1775" s="884"/>
      <c r="AK1775" s="884">
        <f t="shared" ref="AK1775" si="7125">AF1775+AG1775+AH1775+AI1775+AJ1775+AC1775</f>
        <v>0</v>
      </c>
      <c r="AL1775" s="884">
        <v>139.99</v>
      </c>
      <c r="AM1775" s="878">
        <f t="shared" ref="AM1775" si="7126">IFERROR((AK1775/AL1775),"-")</f>
        <v>0</v>
      </c>
      <c r="AN1775" s="2"/>
      <c r="AO1775" s="884">
        <v>887</v>
      </c>
      <c r="AP1775" s="884">
        <f t="shared" ref="AP1775" si="7127">AO1775-AK1775</f>
        <v>887</v>
      </c>
      <c r="AV1775" t="str">
        <f t="shared" si="6987"/>
        <v>Drenagem Superficial</v>
      </c>
      <c r="AW1775" s="4" t="str">
        <f t="shared" si="6979"/>
        <v xml:space="preserve">   Seg. 2.2-A01 - Drenagem Superficial - Canaleta de banqueta de aterro (Km 104+500 a 105+040)</v>
      </c>
    </row>
    <row r="1776" spans="1:49" ht="15.6" hidden="1" customHeight="1" outlineLevel="2">
      <c r="A1776" s="8" t="str">
        <f t="shared" ref="A1776" si="7128">A1775</f>
        <v>S</v>
      </c>
      <c r="B1776" s="150"/>
      <c r="C1776" s="150" t="s">
        <v>2110</v>
      </c>
      <c r="D1776" s="120" t="s">
        <v>279</v>
      </c>
      <c r="E1776" s="915"/>
      <c r="F1776" s="895"/>
      <c r="G1776" s="528"/>
      <c r="H1776" s="549" t="s">
        <v>38</v>
      </c>
      <c r="I1776" s="711">
        <v>0</v>
      </c>
      <c r="J1776" s="897"/>
      <c r="K1776" s="528"/>
      <c r="L1776" s="549" t="s">
        <v>38</v>
      </c>
      <c r="M1776" s="711">
        <f t="shared" si="7122"/>
        <v>0</v>
      </c>
      <c r="N1776" s="897"/>
      <c r="O1776" s="528"/>
      <c r="P1776" s="548">
        <v>0</v>
      </c>
      <c r="Q1776" s="548">
        <v>0</v>
      </c>
      <c r="R1776" s="548">
        <v>0</v>
      </c>
      <c r="S1776" s="548">
        <v>0</v>
      </c>
      <c r="T1776" s="548">
        <v>0</v>
      </c>
      <c r="U1776" s="548">
        <v>0</v>
      </c>
      <c r="V1776" s="548">
        <v>0</v>
      </c>
      <c r="W1776" s="528"/>
      <c r="X1776" s="711">
        <f t="shared" si="7115"/>
        <v>0</v>
      </c>
      <c r="Y1776" s="897"/>
      <c r="Z1776" s="528"/>
      <c r="AA1776" s="899"/>
      <c r="AB1776" s="899"/>
      <c r="AC1776" s="904"/>
      <c r="AD1776" s="901"/>
      <c r="AE1776" s="2"/>
      <c r="AF1776" s="885"/>
      <c r="AG1776" s="885"/>
      <c r="AH1776" s="885"/>
      <c r="AI1776" s="885"/>
      <c r="AJ1776" s="885"/>
      <c r="AK1776" s="885"/>
      <c r="AL1776" s="885"/>
      <c r="AM1776" s="879"/>
      <c r="AN1776" s="2"/>
      <c r="AO1776" s="886"/>
      <c r="AP1776" s="886"/>
      <c r="AV1776" t="str">
        <f t="shared" si="6987"/>
        <v>Drenagem Superficial</v>
      </c>
      <c r="AW1776" s="4" t="str">
        <f t="shared" si="6979"/>
        <v xml:space="preserve">   Seg. 2.2-A01 - Drenagem Superficial - Canaleta de banqueta de aterro (Km 104+500 a 105+040)</v>
      </c>
    </row>
    <row r="1777" spans="1:49" ht="15.6" hidden="1" customHeight="1" outlineLevel="2">
      <c r="A1777" s="8" t="str">
        <f t="shared" ref="A1777" si="7129">IF(SUM(P1777:V1778)&gt;0,"S","N")</f>
        <v>S</v>
      </c>
      <c r="B1777" s="150">
        <v>1061287</v>
      </c>
      <c r="C1777" s="150" t="s">
        <v>2112</v>
      </c>
      <c r="D1777" s="120" t="s">
        <v>782</v>
      </c>
      <c r="E1777" s="914" t="s">
        <v>2113</v>
      </c>
      <c r="F1777" s="902" t="s">
        <v>52</v>
      </c>
      <c r="G1777" s="528"/>
      <c r="H1777" s="546" t="s">
        <v>37</v>
      </c>
      <c r="I1777" s="711">
        <v>0</v>
      </c>
      <c r="J1777" s="896" t="str">
        <f t="shared" ref="J1777" si="7130">IFERROR((I1778/I1777),"-")</f>
        <v>-</v>
      </c>
      <c r="K1777" s="528"/>
      <c r="L1777" s="546" t="s">
        <v>37</v>
      </c>
      <c r="M1777" s="711">
        <f t="shared" si="7122"/>
        <v>0</v>
      </c>
      <c r="N1777" s="896" t="str">
        <f t="shared" ref="N1777" si="7131">IFERROR((M1778/M1777),"-")</f>
        <v>-</v>
      </c>
      <c r="O1777" s="528"/>
      <c r="P1777" s="547">
        <v>0</v>
      </c>
      <c r="Q1777" s="547">
        <v>0</v>
      </c>
      <c r="R1777" s="547">
        <v>0</v>
      </c>
      <c r="S1777" s="547">
        <v>0</v>
      </c>
      <c r="T1777" s="547">
        <v>0</v>
      </c>
      <c r="U1777" s="547">
        <v>0</v>
      </c>
      <c r="V1777" s="548">
        <v>0</v>
      </c>
      <c r="W1777" s="528"/>
      <c r="X1777" s="711">
        <f t="shared" si="7115"/>
        <v>0</v>
      </c>
      <c r="Y1777" s="896" t="str">
        <f>IFERROR((X1778/X1777),"-")</f>
        <v>-</v>
      </c>
      <c r="Z1777" s="528"/>
      <c r="AA1777" s="898">
        <v>58</v>
      </c>
      <c r="AB1777" s="898">
        <v>58</v>
      </c>
      <c r="AC1777" s="903">
        <v>24.5</v>
      </c>
      <c r="AD1777" s="900">
        <f t="shared" ref="AD1777" si="7132">IFERROR((AC1777/AB1777),"-")</f>
        <v>0.42241379310344829</v>
      </c>
      <c r="AE1777" s="2"/>
      <c r="AF1777" s="884">
        <v>0</v>
      </c>
      <c r="AG1777" s="884">
        <v>90.543999999999997</v>
      </c>
      <c r="AH1777" s="884">
        <v>0</v>
      </c>
      <c r="AI1777" s="884">
        <v>36.076000000000001</v>
      </c>
      <c r="AJ1777" s="884"/>
      <c r="AK1777" s="884">
        <f t="shared" ref="AK1777" si="7133">AF1777+AG1777+AH1777+AI1777+AJ1777+AC1777</f>
        <v>151.12</v>
      </c>
      <c r="AL1777" s="884">
        <v>184.96999999999997</v>
      </c>
      <c r="AM1777" s="878">
        <f t="shared" ref="AM1777" si="7134">IFERROR((AK1777/AL1777),"-")</f>
        <v>0.81699735092177128</v>
      </c>
      <c r="AN1777" s="2"/>
      <c r="AO1777" s="884">
        <v>185</v>
      </c>
      <c r="AP1777" s="884">
        <f t="shared" ref="AP1777" si="7135">AO1777-AK1777</f>
        <v>33.879999999999995</v>
      </c>
      <c r="AV1777" t="str">
        <f t="shared" si="6987"/>
        <v>Drenagem Superficial</v>
      </c>
      <c r="AW1777" s="4" t="str">
        <f t="shared" si="6979"/>
        <v xml:space="preserve">   Seg. 2.2-A05-B01 - Drenagem Superficial - Canaleta de banqueta de aterro (Km 107+420 a 107+700)</v>
      </c>
    </row>
    <row r="1778" spans="1:49" ht="15.6" hidden="1" customHeight="1" outlineLevel="2">
      <c r="A1778" s="8" t="str">
        <f t="shared" ref="A1778" si="7136">A1777</f>
        <v>S</v>
      </c>
      <c r="B1778" s="150"/>
      <c r="C1778" s="150" t="s">
        <v>2112</v>
      </c>
      <c r="D1778" s="120" t="s">
        <v>782</v>
      </c>
      <c r="E1778" s="915"/>
      <c r="F1778" s="902"/>
      <c r="G1778" s="528"/>
      <c r="H1778" s="549" t="s">
        <v>38</v>
      </c>
      <c r="I1778" s="711">
        <v>12.5</v>
      </c>
      <c r="J1778" s="897"/>
      <c r="K1778" s="528"/>
      <c r="L1778" s="549" t="s">
        <v>38</v>
      </c>
      <c r="M1778" s="711">
        <f t="shared" si="7122"/>
        <v>12</v>
      </c>
      <c r="N1778" s="897"/>
      <c r="O1778" s="528"/>
      <c r="P1778" s="548">
        <v>0</v>
      </c>
      <c r="Q1778" s="548">
        <v>12</v>
      </c>
      <c r="R1778" s="548">
        <v>0</v>
      </c>
      <c r="S1778" s="548">
        <v>0</v>
      </c>
      <c r="T1778" s="548">
        <v>0</v>
      </c>
      <c r="U1778" s="548">
        <v>0</v>
      </c>
      <c r="V1778" s="548">
        <v>0</v>
      </c>
      <c r="W1778" s="528"/>
      <c r="X1778" s="711">
        <f t="shared" si="7115"/>
        <v>12</v>
      </c>
      <c r="Y1778" s="897"/>
      <c r="Z1778" s="528"/>
      <c r="AA1778" s="899"/>
      <c r="AB1778" s="899"/>
      <c r="AC1778" s="904"/>
      <c r="AD1778" s="901"/>
      <c r="AE1778" s="2"/>
      <c r="AF1778" s="885"/>
      <c r="AG1778" s="885"/>
      <c r="AH1778" s="885"/>
      <c r="AI1778" s="885"/>
      <c r="AJ1778" s="885"/>
      <c r="AK1778" s="885"/>
      <c r="AL1778" s="885"/>
      <c r="AM1778" s="879"/>
      <c r="AN1778" s="2"/>
      <c r="AO1778" s="886"/>
      <c r="AP1778" s="886"/>
      <c r="AV1778" t="str">
        <f t="shared" si="6987"/>
        <v>Drenagem Superficial</v>
      </c>
      <c r="AW1778" s="4" t="str">
        <f t="shared" si="6979"/>
        <v xml:space="preserve">   Seg. 2.2-A05-B01 - Drenagem Superficial - Canaleta de banqueta de aterro (Km 107+420 a 107+700)</v>
      </c>
    </row>
    <row r="1779" spans="1:49" ht="15.6" hidden="1" customHeight="1" outlineLevel="2">
      <c r="A1779" s="8" t="str">
        <f t="shared" ref="A1779" si="7137">IF(SUM(P1779:V1780)&gt;0,"S","N")</f>
        <v>N</v>
      </c>
      <c r="B1779" s="150">
        <v>1061574</v>
      </c>
      <c r="C1779" s="150" t="s">
        <v>2114</v>
      </c>
      <c r="D1779" s="120" t="s">
        <v>181</v>
      </c>
      <c r="E1779" s="914" t="s">
        <v>2115</v>
      </c>
      <c r="F1779" s="902" t="s">
        <v>52</v>
      </c>
      <c r="G1779" s="528"/>
      <c r="H1779" s="546" t="s">
        <v>37</v>
      </c>
      <c r="I1779" s="711">
        <v>0</v>
      </c>
      <c r="J1779" s="896" t="str">
        <f t="shared" ref="J1779" si="7138">IFERROR((I1780/I1779),"-")</f>
        <v>-</v>
      </c>
      <c r="K1779" s="528"/>
      <c r="L1779" s="546" t="s">
        <v>37</v>
      </c>
      <c r="M1779" s="711">
        <f t="shared" si="7122"/>
        <v>0</v>
      </c>
      <c r="N1779" s="896" t="str">
        <f t="shared" ref="N1779" si="7139">IFERROR((M1780/M1779),"-")</f>
        <v>-</v>
      </c>
      <c r="O1779" s="528"/>
      <c r="P1779" s="547">
        <v>0</v>
      </c>
      <c r="Q1779" s="547">
        <v>0</v>
      </c>
      <c r="R1779" s="547">
        <v>0</v>
      </c>
      <c r="S1779" s="547">
        <v>0</v>
      </c>
      <c r="T1779" s="547">
        <v>0</v>
      </c>
      <c r="U1779" s="547">
        <v>0</v>
      </c>
      <c r="V1779" s="548">
        <v>0</v>
      </c>
      <c r="W1779" s="528"/>
      <c r="X1779" s="711">
        <f t="shared" si="7115"/>
        <v>0</v>
      </c>
      <c r="Y1779" s="896" t="str">
        <f>IFERROR((X1780/X1779),"-")</f>
        <v>-</v>
      </c>
      <c r="Z1779" s="528"/>
      <c r="AA1779" s="898">
        <v>89</v>
      </c>
      <c r="AB1779" s="898">
        <v>89</v>
      </c>
      <c r="AC1779" s="903">
        <v>0</v>
      </c>
      <c r="AD1779" s="900">
        <f t="shared" ref="AD1779" si="7140">IFERROR((AC1779/AB1779),"-")</f>
        <v>0</v>
      </c>
      <c r="AE1779" s="2"/>
      <c r="AF1779" s="884">
        <v>0</v>
      </c>
      <c r="AG1779" s="884"/>
      <c r="AH1779" s="884">
        <v>0</v>
      </c>
      <c r="AI1779" s="884"/>
      <c r="AJ1779" s="884"/>
      <c r="AK1779" s="884">
        <f t="shared" ref="AK1779" si="7141">AF1779+AG1779+AH1779+AI1779+AJ1779+AC1779</f>
        <v>0</v>
      </c>
      <c r="AL1779" s="884">
        <v>89</v>
      </c>
      <c r="AM1779" s="878">
        <f t="shared" ref="AM1779" si="7142">IFERROR((AK1779/AL1779),"-")</f>
        <v>0</v>
      </c>
      <c r="AN1779" s="2"/>
      <c r="AO1779" s="884">
        <v>89</v>
      </c>
      <c r="AP1779" s="884">
        <f t="shared" ref="AP1779" si="7143">AO1779-AK1779</f>
        <v>89</v>
      </c>
      <c r="AV1779" t="str">
        <f t="shared" si="6987"/>
        <v>Drenagem Superficial</v>
      </c>
      <c r="AW1779" s="4" t="str">
        <f t="shared" si="6979"/>
        <v xml:space="preserve">   Seg. 2.2-C02 - Drenagem Superficial - Canaleta de banqueta de corte (Km 105+208 a 105+560)</v>
      </c>
    </row>
    <row r="1780" spans="1:49" ht="15.6" hidden="1" customHeight="1" outlineLevel="2">
      <c r="A1780" s="8" t="str">
        <f t="shared" ref="A1780" si="7144">A1779</f>
        <v>N</v>
      </c>
      <c r="B1780" s="150"/>
      <c r="C1780" s="150" t="s">
        <v>2114</v>
      </c>
      <c r="D1780" s="120" t="s">
        <v>181</v>
      </c>
      <c r="E1780" s="915"/>
      <c r="F1780" s="902"/>
      <c r="G1780" s="528"/>
      <c r="H1780" s="549" t="s">
        <v>38</v>
      </c>
      <c r="I1780" s="711">
        <v>0</v>
      </c>
      <c r="J1780" s="897"/>
      <c r="K1780" s="528"/>
      <c r="L1780" s="549" t="s">
        <v>38</v>
      </c>
      <c r="M1780" s="711">
        <f t="shared" si="7122"/>
        <v>0</v>
      </c>
      <c r="N1780" s="897"/>
      <c r="O1780" s="528"/>
      <c r="P1780" s="548">
        <v>0</v>
      </c>
      <c r="Q1780" s="548">
        <v>0</v>
      </c>
      <c r="R1780" s="548">
        <v>0</v>
      </c>
      <c r="S1780" s="548">
        <v>0</v>
      </c>
      <c r="T1780" s="548">
        <v>0</v>
      </c>
      <c r="U1780" s="548">
        <v>0</v>
      </c>
      <c r="V1780" s="548">
        <v>0</v>
      </c>
      <c r="W1780" s="528"/>
      <c r="X1780" s="711">
        <f t="shared" si="7115"/>
        <v>0</v>
      </c>
      <c r="Y1780" s="897"/>
      <c r="Z1780" s="528"/>
      <c r="AA1780" s="899"/>
      <c r="AB1780" s="899"/>
      <c r="AC1780" s="904"/>
      <c r="AD1780" s="901"/>
      <c r="AE1780" s="2"/>
      <c r="AF1780" s="885"/>
      <c r="AG1780" s="885"/>
      <c r="AH1780" s="885"/>
      <c r="AI1780" s="885"/>
      <c r="AJ1780" s="885"/>
      <c r="AK1780" s="885"/>
      <c r="AL1780" s="885"/>
      <c r="AM1780" s="879"/>
      <c r="AN1780" s="2"/>
      <c r="AO1780" s="886"/>
      <c r="AP1780" s="886"/>
      <c r="AV1780" t="str">
        <f t="shared" si="6987"/>
        <v>Drenagem Superficial</v>
      </c>
      <c r="AW1780" s="4" t="str">
        <f t="shared" si="6979"/>
        <v xml:space="preserve">   Seg. 2.2-C02 - Drenagem Superficial - Canaleta de banqueta de corte (Km 105+208 a 105+560)</v>
      </c>
    </row>
    <row r="1781" spans="1:49" ht="15.6" hidden="1" customHeight="1" outlineLevel="2">
      <c r="A1781" s="8" t="str">
        <f t="shared" ref="A1781" si="7145">IF(SUM(P1781:V1782)&gt;0,"S","N")</f>
        <v>N</v>
      </c>
      <c r="B1781" s="150">
        <v>1061586</v>
      </c>
      <c r="C1781" s="150" t="s">
        <v>2116</v>
      </c>
      <c r="D1781" s="120" t="s">
        <v>191</v>
      </c>
      <c r="E1781" s="914" t="s">
        <v>2117</v>
      </c>
      <c r="F1781" s="902" t="s">
        <v>52</v>
      </c>
      <c r="G1781" s="528"/>
      <c r="H1781" s="546" t="s">
        <v>37</v>
      </c>
      <c r="I1781" s="711">
        <v>0</v>
      </c>
      <c r="J1781" s="896" t="str">
        <f t="shared" ref="J1781" si="7146">IFERROR((I1782/I1781),"-")</f>
        <v>-</v>
      </c>
      <c r="K1781" s="528"/>
      <c r="L1781" s="546" t="s">
        <v>37</v>
      </c>
      <c r="M1781" s="711">
        <f t="shared" si="7122"/>
        <v>0</v>
      </c>
      <c r="N1781" s="896" t="str">
        <f t="shared" ref="N1781" si="7147">IFERROR((M1782/M1781),"-")</f>
        <v>-</v>
      </c>
      <c r="O1781" s="528"/>
      <c r="P1781" s="547">
        <v>0</v>
      </c>
      <c r="Q1781" s="547">
        <v>0</v>
      </c>
      <c r="R1781" s="547">
        <v>0</v>
      </c>
      <c r="S1781" s="547">
        <v>0</v>
      </c>
      <c r="T1781" s="547">
        <v>0</v>
      </c>
      <c r="U1781" s="547">
        <v>0</v>
      </c>
      <c r="V1781" s="548">
        <v>0</v>
      </c>
      <c r="W1781" s="528"/>
      <c r="X1781" s="711">
        <f t="shared" si="7115"/>
        <v>0</v>
      </c>
      <c r="Y1781" s="896" t="str">
        <f>IFERROR((X1782/X1781),"-")</f>
        <v>-</v>
      </c>
      <c r="Z1781" s="528"/>
      <c r="AA1781" s="898">
        <v>0</v>
      </c>
      <c r="AB1781" s="898">
        <v>0</v>
      </c>
      <c r="AC1781" s="903">
        <v>0</v>
      </c>
      <c r="AD1781" s="900" t="str">
        <f t="shared" ref="AD1781" si="7148">IFERROR((AC1781/AB1781),"-")</f>
        <v>-</v>
      </c>
      <c r="AE1781" s="2"/>
      <c r="AF1781" s="884">
        <v>862.49400000000003</v>
      </c>
      <c r="AG1781" s="884"/>
      <c r="AH1781" s="884">
        <v>0</v>
      </c>
      <c r="AI1781" s="884"/>
      <c r="AJ1781" s="884"/>
      <c r="AK1781" s="884">
        <f t="shared" ref="AK1781" si="7149">AF1781+AG1781+AH1781+AI1781+AJ1781+AC1781</f>
        <v>862.49400000000003</v>
      </c>
      <c r="AL1781" s="884">
        <v>430</v>
      </c>
      <c r="AM1781" s="878">
        <f t="shared" ref="AM1781" si="7150">IFERROR((AK1781/AL1781),"-")</f>
        <v>2.0058000000000002</v>
      </c>
      <c r="AN1781" s="2"/>
      <c r="AO1781" s="884">
        <v>430</v>
      </c>
      <c r="AP1781" s="884">
        <f t="shared" ref="AP1781" si="7151">AO1781-AK1781</f>
        <v>-432.49400000000003</v>
      </c>
      <c r="AV1781" t="str">
        <f t="shared" si="6987"/>
        <v>Drenagem Superficial</v>
      </c>
      <c r="AW1781" s="4" t="str">
        <f t="shared" si="6979"/>
        <v xml:space="preserve">   Seg. 2.2-C05 - Drenagem Superficial - Canaleta de banqueta de corte (Km 107+720 a 107+800)</v>
      </c>
    </row>
    <row r="1782" spans="1:49" ht="15.6" hidden="1" customHeight="1" outlineLevel="2">
      <c r="A1782" s="8" t="str">
        <f t="shared" ref="A1782" si="7152">A1781</f>
        <v>N</v>
      </c>
      <c r="B1782" s="150"/>
      <c r="C1782" s="150" t="s">
        <v>2116</v>
      </c>
      <c r="D1782" s="120" t="s">
        <v>191</v>
      </c>
      <c r="E1782" s="915"/>
      <c r="F1782" s="902"/>
      <c r="G1782" s="528"/>
      <c r="H1782" s="549" t="s">
        <v>38</v>
      </c>
      <c r="I1782" s="711">
        <v>0</v>
      </c>
      <c r="J1782" s="897"/>
      <c r="K1782" s="528"/>
      <c r="L1782" s="549" t="s">
        <v>38</v>
      </c>
      <c r="M1782" s="711">
        <f t="shared" si="7122"/>
        <v>0</v>
      </c>
      <c r="N1782" s="897"/>
      <c r="O1782" s="528"/>
      <c r="P1782" s="548">
        <v>0</v>
      </c>
      <c r="Q1782" s="548">
        <v>0</v>
      </c>
      <c r="R1782" s="548">
        <v>0</v>
      </c>
      <c r="S1782" s="548">
        <v>0</v>
      </c>
      <c r="T1782" s="548">
        <v>0</v>
      </c>
      <c r="U1782" s="548">
        <v>0</v>
      </c>
      <c r="V1782" s="548">
        <v>0</v>
      </c>
      <c r="W1782" s="528"/>
      <c r="X1782" s="711">
        <f t="shared" si="7115"/>
        <v>0</v>
      </c>
      <c r="Y1782" s="897"/>
      <c r="Z1782" s="528"/>
      <c r="AA1782" s="899"/>
      <c r="AB1782" s="899"/>
      <c r="AC1782" s="904"/>
      <c r="AD1782" s="901"/>
      <c r="AE1782" s="2"/>
      <c r="AF1782" s="885"/>
      <c r="AG1782" s="885"/>
      <c r="AH1782" s="885"/>
      <c r="AI1782" s="885"/>
      <c r="AJ1782" s="885"/>
      <c r="AK1782" s="885"/>
      <c r="AL1782" s="885"/>
      <c r="AM1782" s="879"/>
      <c r="AN1782" s="2"/>
      <c r="AO1782" s="886"/>
      <c r="AP1782" s="886"/>
      <c r="AV1782" t="str">
        <f t="shared" si="6987"/>
        <v>Drenagem Superficial</v>
      </c>
      <c r="AW1782" s="4" t="str">
        <f t="shared" si="6979"/>
        <v xml:space="preserve">   Seg. 2.2-C05 - Drenagem Superficial - Canaleta de banqueta de corte (Km 107+720 a 107+800)</v>
      </c>
    </row>
    <row r="1783" spans="1:49" ht="15.6" hidden="1" customHeight="1" outlineLevel="2">
      <c r="A1783" s="8" t="str">
        <f t="shared" ref="A1783" si="7153">IF(SUM(P1783:V1784)&gt;0,"S","N")</f>
        <v>N</v>
      </c>
      <c r="B1783" s="150">
        <v>1061594</v>
      </c>
      <c r="C1783" s="150" t="s">
        <v>2118</v>
      </c>
      <c r="D1783" s="120" t="s">
        <v>194</v>
      </c>
      <c r="E1783" s="914" t="s">
        <v>2119</v>
      </c>
      <c r="F1783" s="902" t="s">
        <v>52</v>
      </c>
      <c r="G1783" s="528"/>
      <c r="H1783" s="546" t="s">
        <v>37</v>
      </c>
      <c r="I1783" s="711">
        <v>0</v>
      </c>
      <c r="J1783" s="896" t="str">
        <f t="shared" ref="J1783" si="7154">IFERROR((I1784/I1783),"-")</f>
        <v>-</v>
      </c>
      <c r="K1783" s="528"/>
      <c r="L1783" s="546" t="s">
        <v>37</v>
      </c>
      <c r="M1783" s="711">
        <f t="shared" si="7122"/>
        <v>0</v>
      </c>
      <c r="N1783" s="896" t="str">
        <f t="shared" ref="N1783" si="7155">IFERROR((M1784/M1783),"-")</f>
        <v>-</v>
      </c>
      <c r="O1783" s="528"/>
      <c r="P1783" s="547">
        <v>0</v>
      </c>
      <c r="Q1783" s="547">
        <v>0</v>
      </c>
      <c r="R1783" s="547">
        <v>0</v>
      </c>
      <c r="S1783" s="547">
        <v>0</v>
      </c>
      <c r="T1783" s="547">
        <v>0</v>
      </c>
      <c r="U1783" s="547">
        <v>0</v>
      </c>
      <c r="V1783" s="548">
        <v>0</v>
      </c>
      <c r="W1783" s="528"/>
      <c r="X1783" s="711">
        <f t="shared" si="7115"/>
        <v>0</v>
      </c>
      <c r="Y1783" s="896" t="str">
        <f>IFERROR((X1784/X1783),"-")</f>
        <v>-</v>
      </c>
      <c r="Z1783" s="528"/>
      <c r="AA1783" s="898">
        <v>0</v>
      </c>
      <c r="AB1783" s="898">
        <v>0</v>
      </c>
      <c r="AC1783" s="903">
        <v>0</v>
      </c>
      <c r="AD1783" s="900" t="str">
        <f t="shared" ref="AD1783" si="7156">IFERROR((AC1783/AB1783),"-")</f>
        <v>-</v>
      </c>
      <c r="AE1783" s="2"/>
      <c r="AF1783" s="884">
        <v>119.90900000000001</v>
      </c>
      <c r="AG1783" s="884"/>
      <c r="AH1783" s="884">
        <v>0</v>
      </c>
      <c r="AI1783" s="884"/>
      <c r="AJ1783" s="884"/>
      <c r="AK1783" s="884">
        <f t="shared" ref="AK1783" si="7157">AF1783+AG1783+AH1783+AI1783+AJ1783+AC1783</f>
        <v>119.90900000000001</v>
      </c>
      <c r="AL1783" s="884">
        <v>0.01</v>
      </c>
      <c r="AM1783" s="878">
        <f t="shared" ref="AM1783" si="7158">IFERROR((AK1783/AL1783),"-")</f>
        <v>11990.9</v>
      </c>
      <c r="AN1783" s="2"/>
      <c r="AO1783" s="884">
        <v>963</v>
      </c>
      <c r="AP1783" s="884">
        <f t="shared" ref="AP1783" si="7159">AO1783-AK1783</f>
        <v>843.09100000000001</v>
      </c>
      <c r="AV1783" t="str">
        <f t="shared" si="6987"/>
        <v>Drenagem Superficial</v>
      </c>
      <c r="AW1783" s="4" t="str">
        <f t="shared" si="6979"/>
        <v xml:space="preserve">   Seg. 2.2-C07 - Drenagem Superficial - Canaleta de banqueta de corte (Km 108+560 a 109+200)</v>
      </c>
    </row>
    <row r="1784" spans="1:49" ht="15.6" hidden="1" customHeight="1" outlineLevel="2">
      <c r="A1784" s="8" t="str">
        <f t="shared" ref="A1784" si="7160">A1783</f>
        <v>N</v>
      </c>
      <c r="B1784" s="150"/>
      <c r="C1784" s="150" t="s">
        <v>2118</v>
      </c>
      <c r="D1784" s="120" t="s">
        <v>194</v>
      </c>
      <c r="E1784" s="915"/>
      <c r="F1784" s="902"/>
      <c r="G1784" s="528"/>
      <c r="H1784" s="549" t="s">
        <v>38</v>
      </c>
      <c r="I1784" s="711">
        <v>0</v>
      </c>
      <c r="J1784" s="897"/>
      <c r="K1784" s="528"/>
      <c r="L1784" s="549" t="s">
        <v>38</v>
      </c>
      <c r="M1784" s="711">
        <f t="shared" si="7122"/>
        <v>0</v>
      </c>
      <c r="N1784" s="897"/>
      <c r="O1784" s="528"/>
      <c r="P1784" s="548">
        <v>0</v>
      </c>
      <c r="Q1784" s="548">
        <v>0</v>
      </c>
      <c r="R1784" s="548">
        <v>0</v>
      </c>
      <c r="S1784" s="548">
        <v>0</v>
      </c>
      <c r="T1784" s="548">
        <v>0</v>
      </c>
      <c r="U1784" s="548">
        <v>0</v>
      </c>
      <c r="V1784" s="548">
        <v>0</v>
      </c>
      <c r="W1784" s="528"/>
      <c r="X1784" s="711">
        <f t="shared" si="7115"/>
        <v>0</v>
      </c>
      <c r="Y1784" s="897"/>
      <c r="Z1784" s="528"/>
      <c r="AA1784" s="899"/>
      <c r="AB1784" s="899"/>
      <c r="AC1784" s="904"/>
      <c r="AD1784" s="901"/>
      <c r="AE1784" s="2"/>
      <c r="AF1784" s="885"/>
      <c r="AG1784" s="885"/>
      <c r="AH1784" s="885"/>
      <c r="AI1784" s="885"/>
      <c r="AJ1784" s="885"/>
      <c r="AK1784" s="885"/>
      <c r="AL1784" s="885"/>
      <c r="AM1784" s="879"/>
      <c r="AN1784" s="2"/>
      <c r="AO1784" s="886"/>
      <c r="AP1784" s="886"/>
      <c r="AV1784" t="str">
        <f t="shared" si="6987"/>
        <v>Drenagem Superficial</v>
      </c>
      <c r="AW1784" s="4" t="str">
        <f t="shared" si="6979"/>
        <v xml:space="preserve">   Seg. 2.2-C07 - Drenagem Superficial - Canaleta de banqueta de corte (Km 108+560 a 109+200)</v>
      </c>
    </row>
    <row r="1785" spans="1:49" ht="15.6" hidden="1" customHeight="1" outlineLevel="2">
      <c r="A1785" s="8" t="str">
        <f t="shared" ref="A1785" si="7161">IF(SUM(P1785:V1786)&gt;0,"S","N")</f>
        <v>N</v>
      </c>
      <c r="B1785" s="150">
        <v>1061601</v>
      </c>
      <c r="C1785" s="150" t="s">
        <v>2120</v>
      </c>
      <c r="D1785" s="120" t="s">
        <v>200</v>
      </c>
      <c r="E1785" s="914" t="s">
        <v>2121</v>
      </c>
      <c r="F1785" s="902" t="s">
        <v>52</v>
      </c>
      <c r="G1785" s="528"/>
      <c r="H1785" s="546" t="s">
        <v>37</v>
      </c>
      <c r="I1785" s="711">
        <v>0</v>
      </c>
      <c r="J1785" s="896" t="str">
        <f t="shared" ref="J1785" si="7162">IFERROR((I1786/I1785),"-")</f>
        <v>-</v>
      </c>
      <c r="K1785" s="528"/>
      <c r="L1785" s="546" t="s">
        <v>37</v>
      </c>
      <c r="M1785" s="711">
        <f t="shared" si="7122"/>
        <v>0</v>
      </c>
      <c r="N1785" s="896" t="str">
        <f t="shared" ref="N1785" si="7163">IFERROR((M1786/M1785),"-")</f>
        <v>-</v>
      </c>
      <c r="O1785" s="528"/>
      <c r="P1785" s="547">
        <v>0</v>
      </c>
      <c r="Q1785" s="547">
        <v>0</v>
      </c>
      <c r="R1785" s="547">
        <v>0</v>
      </c>
      <c r="S1785" s="547">
        <v>0</v>
      </c>
      <c r="T1785" s="547">
        <v>0</v>
      </c>
      <c r="U1785" s="547">
        <v>0</v>
      </c>
      <c r="V1785" s="548">
        <v>0</v>
      </c>
      <c r="W1785" s="528"/>
      <c r="X1785" s="711">
        <f t="shared" si="7115"/>
        <v>0</v>
      </c>
      <c r="Y1785" s="896" t="str">
        <f t="shared" ref="Y1785" si="7164">IFERROR((X1786/X1785),"-")</f>
        <v>-</v>
      </c>
      <c r="Z1785" s="528"/>
      <c r="AA1785" s="898">
        <v>0</v>
      </c>
      <c r="AB1785" s="898">
        <v>0</v>
      </c>
      <c r="AC1785" s="903">
        <v>0</v>
      </c>
      <c r="AD1785" s="900" t="str">
        <f t="shared" ref="AD1785" si="7165">IFERROR((AC1785/AB1785),"-")</f>
        <v>-</v>
      </c>
      <c r="AE1785" s="2"/>
      <c r="AF1785" s="884">
        <v>267.36200000000002</v>
      </c>
      <c r="AG1785" s="884"/>
      <c r="AH1785" s="884">
        <v>0</v>
      </c>
      <c r="AI1785" s="884"/>
      <c r="AJ1785" s="884"/>
      <c r="AK1785" s="884">
        <f t="shared" ref="AK1785" si="7166">AF1785+AG1785+AH1785+AI1785+AJ1785+AC1785</f>
        <v>267.36200000000002</v>
      </c>
      <c r="AL1785" s="884">
        <v>155.78999999999962</v>
      </c>
      <c r="AM1785" s="878">
        <f t="shared" ref="AM1785" si="7167">IFERROR((AK1785/AL1785),"-")</f>
        <v>1.7161692021310782</v>
      </c>
      <c r="AN1785" s="2"/>
      <c r="AO1785" s="884">
        <v>155.71</v>
      </c>
      <c r="AP1785" s="884">
        <f t="shared" ref="AP1785" si="7168">AO1785-AK1785</f>
        <v>-111.65200000000002</v>
      </c>
      <c r="AV1785" t="str">
        <f t="shared" si="6987"/>
        <v>Drenagem Superficial</v>
      </c>
      <c r="AW1785" s="4" t="str">
        <f t="shared" si="6979"/>
        <v xml:space="preserve">   Seg. 2.2-C09-B01 - Drenagem Superficial - Canaleta de banqueta de corte (Km 109+990 a 110+040)</v>
      </c>
    </row>
    <row r="1786" spans="1:49" ht="15.6" hidden="1" customHeight="1" outlineLevel="2">
      <c r="A1786" s="8" t="str">
        <f t="shared" ref="A1786" si="7169">A1785</f>
        <v>N</v>
      </c>
      <c r="B1786" s="150"/>
      <c r="C1786" s="150" t="s">
        <v>2120</v>
      </c>
      <c r="D1786" s="120" t="s">
        <v>200</v>
      </c>
      <c r="E1786" s="915"/>
      <c r="F1786" s="902"/>
      <c r="G1786" s="528"/>
      <c r="H1786" s="549" t="s">
        <v>38</v>
      </c>
      <c r="I1786" s="711">
        <v>0</v>
      </c>
      <c r="J1786" s="897"/>
      <c r="K1786" s="528"/>
      <c r="L1786" s="549" t="s">
        <v>38</v>
      </c>
      <c r="M1786" s="711">
        <f t="shared" si="7122"/>
        <v>0</v>
      </c>
      <c r="N1786" s="897"/>
      <c r="O1786" s="528"/>
      <c r="P1786" s="548">
        <v>0</v>
      </c>
      <c r="Q1786" s="548">
        <v>0</v>
      </c>
      <c r="R1786" s="548">
        <v>0</v>
      </c>
      <c r="S1786" s="548">
        <v>0</v>
      </c>
      <c r="T1786" s="548">
        <v>0</v>
      </c>
      <c r="U1786" s="548">
        <v>0</v>
      </c>
      <c r="V1786" s="548">
        <v>0</v>
      </c>
      <c r="W1786" s="528"/>
      <c r="X1786" s="711">
        <f t="shared" si="7115"/>
        <v>0</v>
      </c>
      <c r="Y1786" s="897"/>
      <c r="Z1786" s="528"/>
      <c r="AA1786" s="899"/>
      <c r="AB1786" s="899"/>
      <c r="AC1786" s="904"/>
      <c r="AD1786" s="901"/>
      <c r="AE1786" s="2"/>
      <c r="AF1786" s="885"/>
      <c r="AG1786" s="885"/>
      <c r="AH1786" s="885"/>
      <c r="AI1786" s="885"/>
      <c r="AJ1786" s="885"/>
      <c r="AK1786" s="885"/>
      <c r="AL1786" s="885"/>
      <c r="AM1786" s="879"/>
      <c r="AN1786" s="2"/>
      <c r="AO1786" s="886"/>
      <c r="AP1786" s="886"/>
      <c r="AV1786" t="str">
        <f t="shared" si="6987"/>
        <v>Drenagem Superficial</v>
      </c>
      <c r="AW1786" s="4" t="str">
        <f t="shared" si="6979"/>
        <v xml:space="preserve">   Seg. 2.2-C09-B01 - Drenagem Superficial - Canaleta de banqueta de corte (Km 109+990 a 110+040)</v>
      </c>
    </row>
    <row r="1787" spans="1:49" ht="15.6" hidden="1" customHeight="1" outlineLevel="2">
      <c r="A1787" s="8" t="str">
        <f t="shared" ref="A1787" si="7170">IF(SUM(P1787:V1788)&gt;0,"S","N")</f>
        <v>N</v>
      </c>
      <c r="B1787" s="150">
        <v>1061607</v>
      </c>
      <c r="C1787" s="150" t="s">
        <v>2122</v>
      </c>
      <c r="D1787" s="120" t="s">
        <v>206</v>
      </c>
      <c r="E1787" s="914" t="s">
        <v>2123</v>
      </c>
      <c r="F1787" s="902" t="s">
        <v>52</v>
      </c>
      <c r="G1787" s="528"/>
      <c r="H1787" s="546" t="s">
        <v>37</v>
      </c>
      <c r="I1787" s="711">
        <v>0</v>
      </c>
      <c r="J1787" s="896" t="str">
        <f t="shared" ref="J1787" si="7171">IFERROR((I1788/I1787),"-")</f>
        <v>-</v>
      </c>
      <c r="K1787" s="528"/>
      <c r="L1787" s="546" t="s">
        <v>37</v>
      </c>
      <c r="M1787" s="711">
        <f t="shared" si="7122"/>
        <v>0</v>
      </c>
      <c r="N1787" s="896" t="str">
        <f t="shared" ref="N1787" si="7172">IFERROR((M1788/M1787),"-")</f>
        <v>-</v>
      </c>
      <c r="O1787" s="528"/>
      <c r="P1787" s="547">
        <v>0</v>
      </c>
      <c r="Q1787" s="547">
        <v>0</v>
      </c>
      <c r="R1787" s="547">
        <v>0</v>
      </c>
      <c r="S1787" s="547">
        <v>0</v>
      </c>
      <c r="T1787" s="547">
        <v>0</v>
      </c>
      <c r="U1787" s="547">
        <v>0</v>
      </c>
      <c r="V1787" s="548">
        <v>0</v>
      </c>
      <c r="W1787" s="528"/>
      <c r="X1787" s="711">
        <f t="shared" si="7115"/>
        <v>0</v>
      </c>
      <c r="Y1787" s="896" t="str">
        <f t="shared" ref="Y1787" si="7173">IFERROR((X1788/X1787),"-")</f>
        <v>-</v>
      </c>
      <c r="Z1787" s="528"/>
      <c r="AA1787" s="898">
        <v>0</v>
      </c>
      <c r="AB1787" s="898">
        <v>0</v>
      </c>
      <c r="AC1787" s="903">
        <v>0</v>
      </c>
      <c r="AD1787" s="900" t="str">
        <f t="shared" ref="AD1787" si="7174">IFERROR((AC1787/AB1787),"-")</f>
        <v>-</v>
      </c>
      <c r="AE1787" s="2"/>
      <c r="AF1787" s="884">
        <v>0</v>
      </c>
      <c r="AG1787" s="884"/>
      <c r="AH1787" s="884">
        <v>0</v>
      </c>
      <c r="AI1787" s="884"/>
      <c r="AJ1787" s="884"/>
      <c r="AK1787" s="884">
        <f t="shared" ref="AK1787" si="7175">AF1787+AG1787+AH1787+AI1787+AJ1787+AC1787</f>
        <v>0</v>
      </c>
      <c r="AL1787" s="884">
        <v>0</v>
      </c>
      <c r="AM1787" s="878" t="str">
        <f t="shared" ref="AM1787" si="7176">IFERROR((AK1787/AL1787),"-")</f>
        <v>-</v>
      </c>
      <c r="AN1787" s="2"/>
      <c r="AO1787" s="884">
        <v>240</v>
      </c>
      <c r="AP1787" s="884">
        <f t="shared" ref="AP1787" si="7177">AO1787-AK1787</f>
        <v>240</v>
      </c>
      <c r="AV1787" t="str">
        <f t="shared" si="6987"/>
        <v>Drenagem Superficial</v>
      </c>
      <c r="AW1787" s="4" t="str">
        <f t="shared" si="6979"/>
        <v xml:space="preserve">   Seg. 2.2-C11 - Drenagem Superficial - Canaleta de banqueta de corte (Km 112+020 a 112+420)</v>
      </c>
    </row>
    <row r="1788" spans="1:49" ht="15.6" hidden="1" customHeight="1" outlineLevel="2">
      <c r="A1788" s="8" t="str">
        <f t="shared" ref="A1788" si="7178">A1787</f>
        <v>N</v>
      </c>
      <c r="B1788" s="150"/>
      <c r="C1788" s="150" t="s">
        <v>2122</v>
      </c>
      <c r="D1788" s="120" t="s">
        <v>206</v>
      </c>
      <c r="E1788" s="915"/>
      <c r="F1788" s="902"/>
      <c r="G1788" s="528"/>
      <c r="H1788" s="549" t="s">
        <v>38</v>
      </c>
      <c r="I1788" s="711">
        <v>0</v>
      </c>
      <c r="J1788" s="897"/>
      <c r="K1788" s="528"/>
      <c r="L1788" s="549" t="s">
        <v>38</v>
      </c>
      <c r="M1788" s="711">
        <f t="shared" si="7122"/>
        <v>0</v>
      </c>
      <c r="N1788" s="897"/>
      <c r="O1788" s="528"/>
      <c r="P1788" s="548">
        <v>0</v>
      </c>
      <c r="Q1788" s="548">
        <v>0</v>
      </c>
      <c r="R1788" s="548">
        <v>0</v>
      </c>
      <c r="S1788" s="548">
        <v>0</v>
      </c>
      <c r="T1788" s="548">
        <v>0</v>
      </c>
      <c r="U1788" s="548">
        <v>0</v>
      </c>
      <c r="V1788" s="548">
        <v>0</v>
      </c>
      <c r="W1788" s="528"/>
      <c r="X1788" s="711">
        <f t="shared" si="7115"/>
        <v>0</v>
      </c>
      <c r="Y1788" s="897"/>
      <c r="Z1788" s="528"/>
      <c r="AA1788" s="899"/>
      <c r="AB1788" s="899"/>
      <c r="AC1788" s="904"/>
      <c r="AD1788" s="901"/>
      <c r="AE1788" s="2"/>
      <c r="AF1788" s="885"/>
      <c r="AG1788" s="885"/>
      <c r="AH1788" s="885"/>
      <c r="AI1788" s="885"/>
      <c r="AJ1788" s="885"/>
      <c r="AK1788" s="885"/>
      <c r="AL1788" s="885"/>
      <c r="AM1788" s="879"/>
      <c r="AN1788" s="2"/>
      <c r="AO1788" s="886"/>
      <c r="AP1788" s="886"/>
      <c r="AV1788" t="str">
        <f t="shared" si="6987"/>
        <v>Drenagem Superficial</v>
      </c>
      <c r="AW1788" s="4" t="str">
        <f t="shared" si="6979"/>
        <v xml:space="preserve">   Seg. 2.2-C11 - Drenagem Superficial - Canaleta de banqueta de corte (Km 112+020 a 112+420)</v>
      </c>
    </row>
    <row r="1789" spans="1:49" ht="15.6" hidden="1" customHeight="1" outlineLevel="2">
      <c r="A1789" s="8" t="str">
        <f t="shared" ref="A1789" si="7179">IF(SUM(P1789:V1790)&gt;0,"S","N")</f>
        <v>N</v>
      </c>
      <c r="B1789" s="150">
        <v>1061610</v>
      </c>
      <c r="C1789" s="150" t="s">
        <v>2124</v>
      </c>
      <c r="D1789" s="120" t="s">
        <v>209</v>
      </c>
      <c r="E1789" s="914" t="s">
        <v>2125</v>
      </c>
      <c r="F1789" s="902" t="s">
        <v>52</v>
      </c>
      <c r="G1789" s="528"/>
      <c r="H1789" s="546" t="s">
        <v>37</v>
      </c>
      <c r="I1789" s="711">
        <v>0</v>
      </c>
      <c r="J1789" s="896" t="str">
        <f t="shared" ref="J1789" si="7180">IFERROR((I1790/I1789),"-")</f>
        <v>-</v>
      </c>
      <c r="K1789" s="528"/>
      <c r="L1789" s="546" t="s">
        <v>37</v>
      </c>
      <c r="M1789" s="711">
        <f t="shared" si="7122"/>
        <v>0</v>
      </c>
      <c r="N1789" s="896" t="str">
        <f t="shared" ref="N1789" si="7181">IFERROR((M1790/M1789),"-")</f>
        <v>-</v>
      </c>
      <c r="O1789" s="528"/>
      <c r="P1789" s="547">
        <v>0</v>
      </c>
      <c r="Q1789" s="547">
        <v>0</v>
      </c>
      <c r="R1789" s="547">
        <v>0</v>
      </c>
      <c r="S1789" s="547">
        <v>0</v>
      </c>
      <c r="T1789" s="547">
        <v>0</v>
      </c>
      <c r="U1789" s="547">
        <v>0</v>
      </c>
      <c r="V1789" s="548">
        <v>0</v>
      </c>
      <c r="W1789" s="528"/>
      <c r="X1789" s="711">
        <f t="shared" si="7115"/>
        <v>0</v>
      </c>
      <c r="Y1789" s="896" t="str">
        <f>IFERROR((X1790/X1789),"-")</f>
        <v>-</v>
      </c>
      <c r="Z1789" s="528"/>
      <c r="AA1789" s="898">
        <v>0</v>
      </c>
      <c r="AB1789" s="898">
        <v>0</v>
      </c>
      <c r="AC1789" s="903">
        <v>0</v>
      </c>
      <c r="AD1789" s="900" t="str">
        <f t="shared" ref="AD1789" si="7182">IFERROR((AC1789/AB1789),"-")</f>
        <v>-</v>
      </c>
      <c r="AE1789" s="2"/>
      <c r="AF1789" s="884">
        <v>933.37599999999998</v>
      </c>
      <c r="AG1789" s="884"/>
      <c r="AH1789" s="884">
        <v>0</v>
      </c>
      <c r="AI1789" s="884"/>
      <c r="AJ1789" s="884"/>
      <c r="AK1789" s="884">
        <f t="shared" ref="AK1789" si="7183">AF1789+AG1789+AH1789+AI1789+AJ1789+AC1789</f>
        <v>933.37599999999998</v>
      </c>
      <c r="AL1789" s="884">
        <v>526</v>
      </c>
      <c r="AM1789" s="878">
        <f t="shared" ref="AM1789" si="7184">IFERROR((AK1789/AL1789),"-")</f>
        <v>1.7744790874524714</v>
      </c>
      <c r="AN1789" s="2"/>
      <c r="AO1789" s="884">
        <v>526</v>
      </c>
      <c r="AP1789" s="884">
        <f t="shared" ref="AP1789" si="7185">AO1789-AK1789</f>
        <v>-407.37599999999998</v>
      </c>
      <c r="AV1789" t="str">
        <f t="shared" si="6987"/>
        <v>Drenagem Superficial</v>
      </c>
      <c r="AW1789" s="4" t="str">
        <f t="shared" si="6979"/>
        <v xml:space="preserve">   Seg. 2.2-C12 - Drenagem Superficial - Canaleta de banqueta de corte (Km 113+280 a 114+300)</v>
      </c>
    </row>
    <row r="1790" spans="1:49" ht="15.6" hidden="1" customHeight="1" outlineLevel="2">
      <c r="A1790" s="8" t="str">
        <f t="shared" ref="A1790" si="7186">A1789</f>
        <v>N</v>
      </c>
      <c r="B1790" s="150"/>
      <c r="C1790" s="150" t="s">
        <v>2124</v>
      </c>
      <c r="D1790" s="120" t="s">
        <v>209</v>
      </c>
      <c r="E1790" s="915"/>
      <c r="F1790" s="902"/>
      <c r="G1790" s="528"/>
      <c r="H1790" s="549" t="s">
        <v>38</v>
      </c>
      <c r="I1790" s="711">
        <v>0</v>
      </c>
      <c r="J1790" s="897"/>
      <c r="K1790" s="528"/>
      <c r="L1790" s="549" t="s">
        <v>38</v>
      </c>
      <c r="M1790" s="711">
        <f t="shared" si="7122"/>
        <v>0</v>
      </c>
      <c r="N1790" s="897"/>
      <c r="O1790" s="528"/>
      <c r="P1790" s="548">
        <v>0</v>
      </c>
      <c r="Q1790" s="548">
        <v>0</v>
      </c>
      <c r="R1790" s="548">
        <v>0</v>
      </c>
      <c r="S1790" s="548">
        <v>0</v>
      </c>
      <c r="T1790" s="548">
        <v>0</v>
      </c>
      <c r="U1790" s="548">
        <v>0</v>
      </c>
      <c r="V1790" s="548">
        <v>0</v>
      </c>
      <c r="W1790" s="528"/>
      <c r="X1790" s="711">
        <f t="shared" si="7115"/>
        <v>0</v>
      </c>
      <c r="Y1790" s="897"/>
      <c r="Z1790" s="528"/>
      <c r="AA1790" s="899"/>
      <c r="AB1790" s="899"/>
      <c r="AC1790" s="904"/>
      <c r="AD1790" s="901"/>
      <c r="AE1790" s="2"/>
      <c r="AF1790" s="885"/>
      <c r="AG1790" s="885"/>
      <c r="AH1790" s="885"/>
      <c r="AI1790" s="885"/>
      <c r="AJ1790" s="885"/>
      <c r="AK1790" s="885"/>
      <c r="AL1790" s="885"/>
      <c r="AM1790" s="879"/>
      <c r="AN1790" s="2"/>
      <c r="AO1790" s="886"/>
      <c r="AP1790" s="886"/>
      <c r="AV1790" t="str">
        <f t="shared" si="6987"/>
        <v>Drenagem Superficial</v>
      </c>
      <c r="AW1790" s="4" t="str">
        <f t="shared" si="6979"/>
        <v xml:space="preserve">   Seg. 2.2-C12 - Drenagem Superficial - Canaleta de banqueta de corte (Km 113+280 a 114+300)</v>
      </c>
    </row>
    <row r="1791" spans="1:49" ht="15.6" hidden="1" customHeight="1" outlineLevel="2">
      <c r="A1791" s="8" t="str">
        <f t="shared" ref="A1791" si="7187">IF(SUM(P1791:V1792)&gt;0,"S","N")</f>
        <v>N</v>
      </c>
      <c r="B1791" s="150">
        <v>1061613</v>
      </c>
      <c r="C1791" s="150" t="s">
        <v>2126</v>
      </c>
      <c r="D1791" s="120" t="s">
        <v>212</v>
      </c>
      <c r="E1791" s="914" t="s">
        <v>2127</v>
      </c>
      <c r="F1791" s="902" t="s">
        <v>52</v>
      </c>
      <c r="G1791" s="528"/>
      <c r="H1791" s="546" t="s">
        <v>37</v>
      </c>
      <c r="I1791" s="711">
        <v>0</v>
      </c>
      <c r="J1791" s="896" t="str">
        <f t="shared" ref="J1791" si="7188">IFERROR((I1792/I1791),"-")</f>
        <v>-</v>
      </c>
      <c r="K1791" s="528"/>
      <c r="L1791" s="546" t="s">
        <v>37</v>
      </c>
      <c r="M1791" s="711">
        <f t="shared" si="7122"/>
        <v>0</v>
      </c>
      <c r="N1791" s="896" t="str">
        <f t="shared" ref="N1791" si="7189">IFERROR((M1792/M1791),"-")</f>
        <v>-</v>
      </c>
      <c r="O1791" s="528"/>
      <c r="P1791" s="547">
        <v>0</v>
      </c>
      <c r="Q1791" s="547">
        <v>0</v>
      </c>
      <c r="R1791" s="547">
        <v>0</v>
      </c>
      <c r="S1791" s="547">
        <v>0</v>
      </c>
      <c r="T1791" s="547">
        <v>0</v>
      </c>
      <c r="U1791" s="547">
        <v>0</v>
      </c>
      <c r="V1791" s="548">
        <v>0</v>
      </c>
      <c r="W1791" s="528"/>
      <c r="X1791" s="711">
        <f t="shared" si="7115"/>
        <v>0</v>
      </c>
      <c r="Y1791" s="896" t="str">
        <f>IFERROR((X1792/X1791),"-")</f>
        <v>-</v>
      </c>
      <c r="Z1791" s="528"/>
      <c r="AA1791" s="898">
        <v>149.11000000000001</v>
      </c>
      <c r="AB1791" s="898">
        <v>144.82</v>
      </c>
      <c r="AC1791" s="903">
        <v>0</v>
      </c>
      <c r="AD1791" s="900">
        <f t="shared" ref="AD1791" si="7190">IFERROR((AC1791/AB1791),"-")</f>
        <v>0</v>
      </c>
      <c r="AE1791" s="2"/>
      <c r="AF1791" s="884">
        <v>0</v>
      </c>
      <c r="AG1791" s="884">
        <v>277.69200000000001</v>
      </c>
      <c r="AH1791" s="884">
        <v>0</v>
      </c>
      <c r="AI1791" s="884">
        <v>445.98</v>
      </c>
      <c r="AJ1791" s="884">
        <v>80.379000000000005</v>
      </c>
      <c r="AK1791" s="884">
        <f t="shared" ref="AK1791" si="7191">AF1791+AG1791+AH1791+AI1791+AJ1791+AC1791</f>
        <v>804.05100000000004</v>
      </c>
      <c r="AL1791" s="884">
        <v>1024.3400000000004</v>
      </c>
      <c r="AM1791" s="878">
        <f t="shared" ref="AM1791" si="7192">IFERROR((AK1791/AL1791),"-")</f>
        <v>0.78494542827576752</v>
      </c>
      <c r="AN1791" s="2"/>
      <c r="AO1791" s="884">
        <v>1025</v>
      </c>
      <c r="AP1791" s="884">
        <f t="shared" ref="AP1791" si="7193">AO1791-AK1791</f>
        <v>220.94899999999996</v>
      </c>
      <c r="AV1791" t="str">
        <f t="shared" si="6987"/>
        <v>Drenagem Superficial</v>
      </c>
      <c r="AW1791" s="4" t="str">
        <f t="shared" si="6979"/>
        <v xml:space="preserve">   Seg. 2.2-C13 - Drenagem Superficial - Canaleta de banqueta de corte (Km 114+980 a 115+800)</v>
      </c>
    </row>
    <row r="1792" spans="1:49" ht="15.6" hidden="1" customHeight="1" outlineLevel="2">
      <c r="A1792" s="8" t="str">
        <f t="shared" ref="A1792" si="7194">A1791</f>
        <v>N</v>
      </c>
      <c r="B1792" s="150"/>
      <c r="C1792" s="150" t="s">
        <v>2126</v>
      </c>
      <c r="D1792" s="120" t="s">
        <v>1248</v>
      </c>
      <c r="E1792" s="915"/>
      <c r="F1792" s="902"/>
      <c r="G1792" s="528"/>
      <c r="H1792" s="549" t="s">
        <v>38</v>
      </c>
      <c r="I1792" s="711">
        <v>0</v>
      </c>
      <c r="J1792" s="897"/>
      <c r="K1792" s="528"/>
      <c r="L1792" s="549" t="s">
        <v>38</v>
      </c>
      <c r="M1792" s="711">
        <f t="shared" si="7122"/>
        <v>0</v>
      </c>
      <c r="N1792" s="897"/>
      <c r="O1792" s="528"/>
      <c r="P1792" s="548">
        <v>0</v>
      </c>
      <c r="Q1792" s="548">
        <v>0</v>
      </c>
      <c r="R1792" s="548">
        <v>0</v>
      </c>
      <c r="S1792" s="548">
        <v>0</v>
      </c>
      <c r="T1792" s="548">
        <v>0</v>
      </c>
      <c r="U1792" s="548">
        <v>0</v>
      </c>
      <c r="V1792" s="548">
        <v>0</v>
      </c>
      <c r="W1792" s="528"/>
      <c r="X1792" s="711">
        <f t="shared" si="7115"/>
        <v>0</v>
      </c>
      <c r="Y1792" s="897"/>
      <c r="Z1792" s="528"/>
      <c r="AA1792" s="899"/>
      <c r="AB1792" s="899"/>
      <c r="AC1792" s="904"/>
      <c r="AD1792" s="901"/>
      <c r="AE1792" s="2"/>
      <c r="AF1792" s="885"/>
      <c r="AG1792" s="885"/>
      <c r="AH1792" s="885"/>
      <c r="AI1792" s="885"/>
      <c r="AJ1792" s="885"/>
      <c r="AK1792" s="885"/>
      <c r="AL1792" s="885"/>
      <c r="AM1792" s="879"/>
      <c r="AN1792" s="2"/>
      <c r="AO1792" s="886"/>
      <c r="AP1792" s="886"/>
      <c r="AV1792" t="str">
        <f t="shared" si="6987"/>
        <v>Drenagem Superficial</v>
      </c>
      <c r="AW1792" s="4" t="str">
        <f t="shared" si="6979"/>
        <v xml:space="preserve">   Seg. 2.2-C13 - Drenagem Superficial - Canaleta de banqueta de corte (Km 114+980 a 115+800)</v>
      </c>
    </row>
    <row r="1793" spans="1:49" ht="15.6" hidden="1" customHeight="1" outlineLevel="2">
      <c r="A1793" s="8" t="str">
        <f t="shared" ref="A1793" si="7195">IF(SUM(P1793:V1794)&gt;0,"S","N")</f>
        <v>S</v>
      </c>
      <c r="B1793" s="150">
        <v>1061619</v>
      </c>
      <c r="C1793" s="150" t="s">
        <v>2128</v>
      </c>
      <c r="D1793" s="147" t="s">
        <v>1225</v>
      </c>
      <c r="E1793" s="914" t="s">
        <v>2129</v>
      </c>
      <c r="F1793" s="902" t="s">
        <v>52</v>
      </c>
      <c r="G1793" s="528"/>
      <c r="H1793" s="546" t="s">
        <v>37</v>
      </c>
      <c r="I1793" s="711">
        <v>0</v>
      </c>
      <c r="J1793" s="896" t="str">
        <f t="shared" ref="J1793" si="7196">IFERROR((I1794/I1793),"-")</f>
        <v>-</v>
      </c>
      <c r="K1793" s="528"/>
      <c r="L1793" s="546" t="s">
        <v>37</v>
      </c>
      <c r="M1793" s="711">
        <f t="shared" si="7122"/>
        <v>0</v>
      </c>
      <c r="N1793" s="896" t="str">
        <f t="shared" ref="N1793" si="7197">IFERROR((M1794/M1793),"-")</f>
        <v>-</v>
      </c>
      <c r="O1793" s="528"/>
      <c r="P1793" s="547">
        <v>0</v>
      </c>
      <c r="Q1793" s="547">
        <v>0</v>
      </c>
      <c r="R1793" s="547">
        <v>0</v>
      </c>
      <c r="S1793" s="547">
        <v>0</v>
      </c>
      <c r="T1793" s="547">
        <v>0</v>
      </c>
      <c r="U1793" s="547">
        <v>0</v>
      </c>
      <c r="V1793" s="548">
        <v>0</v>
      </c>
      <c r="W1793" s="528"/>
      <c r="X1793" s="711">
        <f t="shared" si="7115"/>
        <v>0</v>
      </c>
      <c r="Y1793" s="896" t="str">
        <f>IFERROR((X1794/X1793),"-")</f>
        <v>-</v>
      </c>
      <c r="Z1793" s="528"/>
      <c r="AA1793" s="898">
        <v>64</v>
      </c>
      <c r="AB1793" s="898">
        <v>468</v>
      </c>
      <c r="AC1793" s="903">
        <v>526</v>
      </c>
      <c r="AD1793" s="900">
        <f t="shared" ref="AD1793" si="7198">IFERROR((AC1793/AB1793),"-")</f>
        <v>1.1239316239316239</v>
      </c>
      <c r="AE1793" s="2"/>
      <c r="AF1793" s="884">
        <v>0</v>
      </c>
      <c r="AG1793" s="884">
        <v>178.35900000000001</v>
      </c>
      <c r="AH1793" s="884">
        <v>0</v>
      </c>
      <c r="AI1793" s="884"/>
      <c r="AJ1793" s="884"/>
      <c r="AK1793" s="884">
        <f t="shared" ref="AK1793" si="7199">AF1793+AG1793+AH1793+AI1793+AJ1793+AC1793</f>
        <v>704.35900000000004</v>
      </c>
      <c r="AL1793" s="884">
        <v>468</v>
      </c>
      <c r="AM1793" s="878">
        <f t="shared" ref="AM1793" si="7200">IFERROR((AK1793/AL1793),"-")</f>
        <v>1.5050405982905983</v>
      </c>
      <c r="AN1793" s="2"/>
      <c r="AO1793" s="884">
        <v>532</v>
      </c>
      <c r="AP1793" s="884">
        <f t="shared" ref="AP1793" si="7201">AO1793-AK1793</f>
        <v>-172.35900000000004</v>
      </c>
      <c r="AV1793" t="str">
        <f t="shared" si="6987"/>
        <v>Drenagem Superficial</v>
      </c>
      <c r="AW1793" s="4" t="str">
        <f t="shared" si="6979"/>
        <v xml:space="preserve">   Seg. 2.2-A02 - Drenagem Superficial - Canaleta de banqueta de aterro (Km 105+120 a 105+270)</v>
      </c>
    </row>
    <row r="1794" spans="1:49" ht="14.45" hidden="1" customHeight="1" outlineLevel="2">
      <c r="A1794" s="8" t="str">
        <f t="shared" ref="A1794" si="7202">A1793</f>
        <v>S</v>
      </c>
      <c r="B1794" s="150"/>
      <c r="C1794" s="150" t="s">
        <v>2128</v>
      </c>
      <c r="D1794" s="147" t="s">
        <v>1225</v>
      </c>
      <c r="E1794" s="915"/>
      <c r="F1794" s="902"/>
      <c r="G1794" s="528"/>
      <c r="H1794" s="549" t="s">
        <v>38</v>
      </c>
      <c r="I1794" s="711">
        <v>324</v>
      </c>
      <c r="J1794" s="897"/>
      <c r="K1794" s="528"/>
      <c r="L1794" s="549" t="s">
        <v>38</v>
      </c>
      <c r="M1794" s="711">
        <f t="shared" si="7122"/>
        <v>100</v>
      </c>
      <c r="N1794" s="897"/>
      <c r="O1794" s="528"/>
      <c r="P1794" s="548">
        <v>102</v>
      </c>
      <c r="Q1794" s="548">
        <v>100</v>
      </c>
      <c r="R1794" s="548">
        <v>0</v>
      </c>
      <c r="S1794" s="548">
        <v>0</v>
      </c>
      <c r="T1794" s="548">
        <v>0</v>
      </c>
      <c r="U1794" s="548">
        <v>0</v>
      </c>
      <c r="V1794" s="548">
        <v>0</v>
      </c>
      <c r="W1794" s="528"/>
      <c r="X1794" s="711">
        <f t="shared" si="7115"/>
        <v>202</v>
      </c>
      <c r="Y1794" s="897"/>
      <c r="Z1794" s="528"/>
      <c r="AA1794" s="899"/>
      <c r="AB1794" s="899"/>
      <c r="AC1794" s="904"/>
      <c r="AD1794" s="901"/>
      <c r="AE1794" s="2"/>
      <c r="AF1794" s="885"/>
      <c r="AG1794" s="885"/>
      <c r="AH1794" s="885"/>
      <c r="AI1794" s="885"/>
      <c r="AJ1794" s="885"/>
      <c r="AK1794" s="885"/>
      <c r="AL1794" s="885"/>
      <c r="AM1794" s="879"/>
      <c r="AN1794" s="2"/>
      <c r="AO1794" s="885"/>
      <c r="AP1794" s="886"/>
      <c r="AV1794" t="str">
        <f t="shared" si="6987"/>
        <v>Drenagem Superficial</v>
      </c>
      <c r="AW1794" s="4" t="str">
        <f t="shared" si="6979"/>
        <v xml:space="preserve">   Seg. 2.2-A02 - Drenagem Superficial - Canaleta de banqueta de aterro (Km 105+120 a 105+270)</v>
      </c>
    </row>
    <row r="1795" spans="1:49" ht="13.7" hidden="1" customHeight="1" outlineLevel="2">
      <c r="A1795" s="209" t="str">
        <f t="shared" ref="A1795" si="7203">IF(SUM(P1795:V1796)&gt;0,"S","N")</f>
        <v>N</v>
      </c>
      <c r="B1795" s="150">
        <v>1061652</v>
      </c>
      <c r="C1795" s="150" t="s">
        <v>2130</v>
      </c>
      <c r="D1795" s="120" t="s">
        <v>1243</v>
      </c>
      <c r="E1795" s="914" t="s">
        <v>2131</v>
      </c>
      <c r="F1795" s="902" t="s">
        <v>52</v>
      </c>
      <c r="G1795" s="528"/>
      <c r="H1795" s="546" t="s">
        <v>37</v>
      </c>
      <c r="I1795" s="711">
        <v>0</v>
      </c>
      <c r="J1795" s="896" t="str">
        <f t="shared" ref="J1795" si="7204">IFERROR((I1796/I1795),"-")</f>
        <v>-</v>
      </c>
      <c r="K1795" s="528"/>
      <c r="L1795" s="546" t="s">
        <v>37</v>
      </c>
      <c r="M1795" s="711">
        <f t="shared" si="7122"/>
        <v>0</v>
      </c>
      <c r="N1795" s="896" t="str">
        <f t="shared" ref="N1795" si="7205">IFERROR((M1796/M1795),"-")</f>
        <v>-</v>
      </c>
      <c r="O1795" s="528"/>
      <c r="P1795" s="547">
        <v>0</v>
      </c>
      <c r="Q1795" s="547">
        <v>0</v>
      </c>
      <c r="R1795" s="547">
        <v>0</v>
      </c>
      <c r="S1795" s="547">
        <v>0</v>
      </c>
      <c r="T1795" s="547">
        <v>0</v>
      </c>
      <c r="U1795" s="547">
        <v>0</v>
      </c>
      <c r="V1795" s="548">
        <v>0</v>
      </c>
      <c r="W1795" s="528"/>
      <c r="X1795" s="711">
        <f t="shared" si="7115"/>
        <v>0</v>
      </c>
      <c r="Y1795" s="896" t="str">
        <f>IFERROR((X1796/X1795),"-")</f>
        <v>-</v>
      </c>
      <c r="Z1795" s="528"/>
      <c r="AA1795" s="898">
        <v>125.46</v>
      </c>
      <c r="AB1795" s="898">
        <v>74.279999999999987</v>
      </c>
      <c r="AC1795" s="903">
        <v>54</v>
      </c>
      <c r="AD1795" s="900">
        <f t="shared" ref="AD1795" si="7206">IFERROR((AC1795/AB1795),"-")</f>
        <v>0.7269789983844912</v>
      </c>
      <c r="AE1795" s="2"/>
      <c r="AF1795" s="884">
        <v>321.61900000000003</v>
      </c>
      <c r="AG1795" s="884"/>
      <c r="AH1795" s="884">
        <v>21</v>
      </c>
      <c r="AI1795" s="884">
        <v>582.82799999999997</v>
      </c>
      <c r="AJ1795" s="884">
        <v>861.202</v>
      </c>
      <c r="AK1795" s="884">
        <f t="shared" ref="AK1795" si="7207">AF1795+AG1795+AH1795+AI1795+AJ1795+AC1795</f>
        <v>1840.6489999999999</v>
      </c>
      <c r="AL1795" s="884">
        <v>1553.5299999999997</v>
      </c>
      <c r="AM1795" s="878">
        <f t="shared" ref="AM1795" si="7208">IFERROR((AK1795/AL1795),"-")</f>
        <v>1.1848171583426135</v>
      </c>
      <c r="AN1795" s="2"/>
      <c r="AO1795" s="884">
        <v>1640.02</v>
      </c>
      <c r="AP1795" s="884">
        <f t="shared" ref="AP1795" si="7209">AO1795-AK1795</f>
        <v>-200.62899999999991</v>
      </c>
      <c r="AV1795" t="str">
        <f t="shared" si="6987"/>
        <v>Drenagem Superficial</v>
      </c>
      <c r="AW1795" s="4" t="str">
        <f t="shared" si="6979"/>
        <v xml:space="preserve">   Seg. 2.2-A12 - Drenagem Superficial - Canaleta de banqueta de aterro (Km 112+410 a 113+280)</v>
      </c>
    </row>
    <row r="1796" spans="1:49" ht="15.6" hidden="1" customHeight="1" outlineLevel="2">
      <c r="A1796" s="209" t="str">
        <f t="shared" ref="A1796" si="7210">A1795</f>
        <v>N</v>
      </c>
      <c r="B1796" s="150"/>
      <c r="C1796" s="150" t="s">
        <v>2130</v>
      </c>
      <c r="D1796" s="120" t="s">
        <v>1243</v>
      </c>
      <c r="E1796" s="915"/>
      <c r="F1796" s="902"/>
      <c r="G1796" s="528"/>
      <c r="H1796" s="549" t="s">
        <v>38</v>
      </c>
      <c r="I1796" s="711">
        <v>54</v>
      </c>
      <c r="J1796" s="897"/>
      <c r="K1796" s="528"/>
      <c r="L1796" s="549" t="s">
        <v>38</v>
      </c>
      <c r="M1796" s="711">
        <f t="shared" si="7122"/>
        <v>0</v>
      </c>
      <c r="N1796" s="897"/>
      <c r="O1796" s="528"/>
      <c r="P1796" s="548">
        <v>0</v>
      </c>
      <c r="Q1796" s="548">
        <v>0</v>
      </c>
      <c r="R1796" s="548">
        <v>0</v>
      </c>
      <c r="S1796" s="548">
        <v>0</v>
      </c>
      <c r="T1796" s="548">
        <v>0</v>
      </c>
      <c r="U1796" s="548">
        <v>0</v>
      </c>
      <c r="V1796" s="548">
        <v>0</v>
      </c>
      <c r="W1796" s="528"/>
      <c r="X1796" s="711">
        <f t="shared" si="7115"/>
        <v>0</v>
      </c>
      <c r="Y1796" s="897"/>
      <c r="Z1796" s="528"/>
      <c r="AA1796" s="899"/>
      <c r="AB1796" s="899"/>
      <c r="AC1796" s="904"/>
      <c r="AD1796" s="901"/>
      <c r="AE1796" s="2"/>
      <c r="AF1796" s="885"/>
      <c r="AG1796" s="885"/>
      <c r="AH1796" s="885"/>
      <c r="AI1796" s="885"/>
      <c r="AJ1796" s="885"/>
      <c r="AK1796" s="885"/>
      <c r="AL1796" s="885"/>
      <c r="AM1796" s="879"/>
      <c r="AN1796" s="2"/>
      <c r="AO1796" s="886"/>
      <c r="AP1796" s="886"/>
      <c r="AV1796" t="str">
        <f t="shared" si="6987"/>
        <v>Drenagem Superficial</v>
      </c>
      <c r="AW1796" s="4" t="str">
        <f t="shared" si="6979"/>
        <v xml:space="preserve">   Seg. 2.2-A12 - Drenagem Superficial - Canaleta de banqueta de aterro (Km 112+410 a 113+280)</v>
      </c>
    </row>
    <row r="1797" spans="1:49" ht="15.6" hidden="1" customHeight="1" outlineLevel="2">
      <c r="A1797" s="8" t="str">
        <f t="shared" ref="A1797" si="7211">IF(SUM(P1797:V1798)&gt;0,"S","N")</f>
        <v>N</v>
      </c>
      <c r="B1797" s="150">
        <v>1069255</v>
      </c>
      <c r="C1797" s="150" t="s">
        <v>2132</v>
      </c>
      <c r="D1797" s="120" t="s">
        <v>275</v>
      </c>
      <c r="E1797" s="914" t="s">
        <v>2133</v>
      </c>
      <c r="F1797" s="902" t="s">
        <v>52</v>
      </c>
      <c r="G1797" s="528"/>
      <c r="H1797" s="546" t="s">
        <v>37</v>
      </c>
      <c r="I1797" s="711">
        <v>0</v>
      </c>
      <c r="J1797" s="896" t="str">
        <f t="shared" ref="J1797" si="7212">IFERROR((I1798/I1797),"-")</f>
        <v>-</v>
      </c>
      <c r="K1797" s="528"/>
      <c r="L1797" s="546" t="s">
        <v>37</v>
      </c>
      <c r="M1797" s="711">
        <f t="shared" si="7122"/>
        <v>0</v>
      </c>
      <c r="N1797" s="896" t="str">
        <f t="shared" ref="N1797" si="7213">IFERROR((M1798/M1797),"-")</f>
        <v>-</v>
      </c>
      <c r="O1797" s="528"/>
      <c r="P1797" s="547">
        <v>0</v>
      </c>
      <c r="Q1797" s="547">
        <v>0</v>
      </c>
      <c r="R1797" s="547">
        <v>0</v>
      </c>
      <c r="S1797" s="547">
        <v>0</v>
      </c>
      <c r="T1797" s="547">
        <v>0</v>
      </c>
      <c r="U1797" s="547">
        <v>0</v>
      </c>
      <c r="V1797" s="548">
        <v>0</v>
      </c>
      <c r="W1797" s="528"/>
      <c r="X1797" s="711">
        <f t="shared" si="7115"/>
        <v>0</v>
      </c>
      <c r="Y1797" s="896" t="str">
        <f t="shared" ref="Y1797" si="7214">IFERROR((X1798/X1797),"-")</f>
        <v>-</v>
      </c>
      <c r="Z1797" s="528"/>
      <c r="AA1797" s="898">
        <v>271</v>
      </c>
      <c r="AB1797" s="898">
        <v>208.34999999999997</v>
      </c>
      <c r="AC1797" s="903">
        <v>72.5</v>
      </c>
      <c r="AD1797" s="900">
        <f t="shared" ref="AD1797" si="7215">IFERROR((AC1797/AB1797),"-")</f>
        <v>0.34797216222702188</v>
      </c>
      <c r="AE1797" s="2"/>
      <c r="AF1797" s="884">
        <v>0</v>
      </c>
      <c r="AG1797" s="884"/>
      <c r="AH1797" s="884">
        <v>12.5</v>
      </c>
      <c r="AI1797" s="884"/>
      <c r="AJ1797" s="884"/>
      <c r="AK1797" s="884">
        <f t="shared" ref="AK1797" si="7216">AF1797+AG1797+AH1797+AI1797+AJ1797+AC1797</f>
        <v>85</v>
      </c>
      <c r="AL1797" s="884">
        <v>208.34999999999997</v>
      </c>
      <c r="AM1797" s="878">
        <f t="shared" ref="AM1797" si="7217">IFERROR((AK1797/AL1797),"-")</f>
        <v>0.4079673626109912</v>
      </c>
      <c r="AN1797" s="2"/>
      <c r="AO1797" s="884">
        <v>271</v>
      </c>
      <c r="AP1797" s="884">
        <f t="shared" ref="AP1797" si="7218">AO1797-AK1797</f>
        <v>186</v>
      </c>
      <c r="AV1797" t="str">
        <f t="shared" si="6987"/>
        <v>Drenagem Superficial</v>
      </c>
      <c r="AW1797" s="4" t="str">
        <f t="shared" si="6979"/>
        <v xml:space="preserve">   Seg. 2.2-A06-B01 - Drenagem Superficial - Canaleta de banqueta de aterro (Km 108+120 a 108+540)</v>
      </c>
    </row>
    <row r="1798" spans="1:49" ht="15.6" hidden="1" customHeight="1" outlineLevel="2">
      <c r="A1798" s="8" t="str">
        <f t="shared" ref="A1798" si="7219">A1797</f>
        <v>N</v>
      </c>
      <c r="B1798" s="150"/>
      <c r="C1798" s="150" t="s">
        <v>2132</v>
      </c>
      <c r="D1798" s="120" t="s">
        <v>275</v>
      </c>
      <c r="E1798" s="915"/>
      <c r="F1798" s="902"/>
      <c r="G1798" s="528"/>
      <c r="H1798" s="549" t="s">
        <v>38</v>
      </c>
      <c r="I1798" s="711">
        <v>0</v>
      </c>
      <c r="J1798" s="897"/>
      <c r="K1798" s="528"/>
      <c r="L1798" s="549" t="s">
        <v>38</v>
      </c>
      <c r="M1798" s="711">
        <f t="shared" si="7122"/>
        <v>0</v>
      </c>
      <c r="N1798" s="897"/>
      <c r="O1798" s="528"/>
      <c r="P1798" s="548">
        <v>0</v>
      </c>
      <c r="Q1798" s="548">
        <v>0</v>
      </c>
      <c r="R1798" s="548">
        <v>0</v>
      </c>
      <c r="S1798" s="548">
        <v>0</v>
      </c>
      <c r="T1798" s="581">
        <v>0</v>
      </c>
      <c r="U1798" s="548">
        <v>0</v>
      </c>
      <c r="V1798" s="548">
        <v>0</v>
      </c>
      <c r="W1798" s="528"/>
      <c r="X1798" s="711">
        <f t="shared" si="7115"/>
        <v>0</v>
      </c>
      <c r="Y1798" s="897"/>
      <c r="Z1798" s="528"/>
      <c r="AA1798" s="899"/>
      <c r="AB1798" s="899"/>
      <c r="AC1798" s="904"/>
      <c r="AD1798" s="901"/>
      <c r="AE1798" s="2"/>
      <c r="AF1798" s="885"/>
      <c r="AG1798" s="885"/>
      <c r="AH1798" s="885"/>
      <c r="AI1798" s="885"/>
      <c r="AJ1798" s="885"/>
      <c r="AK1798" s="885"/>
      <c r="AL1798" s="885"/>
      <c r="AM1798" s="879"/>
      <c r="AN1798" s="2"/>
      <c r="AO1798" s="886"/>
      <c r="AP1798" s="886"/>
      <c r="AV1798" t="str">
        <f t="shared" si="6987"/>
        <v>Drenagem Superficial</v>
      </c>
      <c r="AW1798" s="4" t="str">
        <f t="shared" si="6979"/>
        <v xml:space="preserve">   Seg. 2.2-A06-B01 - Drenagem Superficial - Canaleta de banqueta de aterro (Km 108+120 a 108+540)</v>
      </c>
    </row>
    <row r="1799" spans="1:49" ht="15.6" hidden="1" customHeight="1" outlineLevel="2">
      <c r="A1799" s="8" t="str">
        <f t="shared" ref="A1799" si="7220">IF(SUM(P1799:V1800)&gt;0,"S","N")</f>
        <v>N</v>
      </c>
      <c r="B1799" s="150">
        <v>1069528</v>
      </c>
      <c r="C1799" s="150" t="s">
        <v>2134</v>
      </c>
      <c r="D1799" s="147" t="s">
        <v>187</v>
      </c>
      <c r="E1799" s="914" t="s">
        <v>2135</v>
      </c>
      <c r="F1799" s="902" t="s">
        <v>52</v>
      </c>
      <c r="G1799" s="528"/>
      <c r="H1799" s="546" t="s">
        <v>37</v>
      </c>
      <c r="I1799" s="711">
        <v>0</v>
      </c>
      <c r="J1799" s="896" t="str">
        <f t="shared" ref="J1799" si="7221">IFERROR((I1800/I1799),"-")</f>
        <v>-</v>
      </c>
      <c r="K1799" s="528"/>
      <c r="L1799" s="546" t="s">
        <v>37</v>
      </c>
      <c r="M1799" s="711">
        <f t="shared" si="7122"/>
        <v>0</v>
      </c>
      <c r="N1799" s="896" t="str">
        <f t="shared" ref="N1799" si="7222">IFERROR((M1800/M1799),"-")</f>
        <v>-</v>
      </c>
      <c r="O1799" s="528"/>
      <c r="P1799" s="547">
        <v>0</v>
      </c>
      <c r="Q1799" s="547">
        <v>0</v>
      </c>
      <c r="R1799" s="547">
        <v>0</v>
      </c>
      <c r="S1799" s="547">
        <v>0</v>
      </c>
      <c r="T1799" s="547">
        <v>0</v>
      </c>
      <c r="U1799" s="547">
        <v>0</v>
      </c>
      <c r="V1799" s="548">
        <v>0</v>
      </c>
      <c r="W1799" s="528"/>
      <c r="X1799" s="711">
        <f t="shared" si="7115"/>
        <v>0</v>
      </c>
      <c r="Y1799" s="896" t="str">
        <f t="shared" ref="Y1799" si="7223">IFERROR((X1800/X1799),"-")</f>
        <v>-</v>
      </c>
      <c r="Z1799" s="528"/>
      <c r="AA1799" s="898">
        <v>0</v>
      </c>
      <c r="AB1799" s="898">
        <v>1337.4</v>
      </c>
      <c r="AC1799" s="903">
        <v>0</v>
      </c>
      <c r="AD1799" s="900">
        <f t="shared" ref="AD1799:AD1803" si="7224">IFERROR((AC1799/AB1799),"-")</f>
        <v>0</v>
      </c>
      <c r="AE1799" s="2"/>
      <c r="AF1799" s="884">
        <v>1791.01</v>
      </c>
      <c r="AG1799" s="884"/>
      <c r="AH1799" s="884">
        <v>0</v>
      </c>
      <c r="AI1799" s="884"/>
      <c r="AJ1799" s="884"/>
      <c r="AK1799" s="884">
        <f t="shared" ref="AK1799:AK1803" si="7225">AF1799+AG1799+AH1799+AI1799+AJ1799+AC1799</f>
        <v>1791.01</v>
      </c>
      <c r="AL1799" s="884">
        <v>1338.97</v>
      </c>
      <c r="AM1799" s="878">
        <f t="shared" ref="AM1799" si="7226">IFERROR((AK1799/AL1799),"-")</f>
        <v>1.3376027842296689</v>
      </c>
      <c r="AN1799" s="2"/>
      <c r="AO1799" s="884">
        <v>1339</v>
      </c>
      <c r="AP1799" s="884">
        <f t="shared" ref="AP1799:AP1803" si="7227">AO1799-AK1799</f>
        <v>-452.01</v>
      </c>
      <c r="AV1799" t="str">
        <f t="shared" si="6987"/>
        <v>Drenagem Superficial</v>
      </c>
      <c r="AW1799" s="4" t="str">
        <f t="shared" si="6979"/>
        <v xml:space="preserve">   Seg. 2.2-C04-B01 - Drenagem Superficial - Canaleta de banqueta de corte </v>
      </c>
    </row>
    <row r="1800" spans="1:49" ht="15.6" hidden="1" customHeight="1" outlineLevel="2">
      <c r="A1800" s="8" t="str">
        <f t="shared" ref="A1800:A1804" si="7228">A1799</f>
        <v>N</v>
      </c>
      <c r="B1800" s="150"/>
      <c r="C1800" s="150" t="s">
        <v>2134</v>
      </c>
      <c r="D1800" s="147" t="s">
        <v>187</v>
      </c>
      <c r="E1800" s="915"/>
      <c r="F1800" s="902"/>
      <c r="G1800" s="528"/>
      <c r="H1800" s="549" t="s">
        <v>38</v>
      </c>
      <c r="I1800" s="711">
        <v>0</v>
      </c>
      <c r="J1800" s="897"/>
      <c r="K1800" s="528"/>
      <c r="L1800" s="549" t="s">
        <v>38</v>
      </c>
      <c r="M1800" s="711">
        <f t="shared" si="7122"/>
        <v>0</v>
      </c>
      <c r="N1800" s="897"/>
      <c r="O1800" s="528"/>
      <c r="P1800" s="548">
        <v>0</v>
      </c>
      <c r="Q1800" s="548">
        <v>0</v>
      </c>
      <c r="R1800" s="548">
        <v>0</v>
      </c>
      <c r="S1800" s="548">
        <v>0</v>
      </c>
      <c r="T1800" s="548">
        <v>0</v>
      </c>
      <c r="U1800" s="548">
        <v>0</v>
      </c>
      <c r="V1800" s="548">
        <v>0</v>
      </c>
      <c r="W1800" s="528"/>
      <c r="X1800" s="711">
        <f t="shared" si="7115"/>
        <v>0</v>
      </c>
      <c r="Y1800" s="897"/>
      <c r="Z1800" s="528"/>
      <c r="AA1800" s="899"/>
      <c r="AB1800" s="899"/>
      <c r="AC1800" s="904"/>
      <c r="AD1800" s="901"/>
      <c r="AE1800" s="2"/>
      <c r="AF1800" s="885"/>
      <c r="AG1800" s="885"/>
      <c r="AH1800" s="885"/>
      <c r="AI1800" s="885"/>
      <c r="AJ1800" s="885"/>
      <c r="AK1800" s="885"/>
      <c r="AL1800" s="885"/>
      <c r="AM1800" s="879"/>
      <c r="AN1800" s="2"/>
      <c r="AO1800" s="885"/>
      <c r="AP1800" s="886"/>
      <c r="AV1800" t="str">
        <f t="shared" si="6987"/>
        <v>Drenagem Superficial</v>
      </c>
      <c r="AW1800" s="4" t="str">
        <f t="shared" si="6979"/>
        <v xml:space="preserve">   Seg. 2.2-C04-B01 - Drenagem Superficial - Canaleta de banqueta de corte </v>
      </c>
    </row>
    <row r="1801" spans="1:49" ht="15.6" hidden="1" customHeight="1" outlineLevel="2">
      <c r="A1801" s="8" t="str">
        <f t="shared" ref="A1801:A1803" si="7229">IF(SUM(P1801:V1802)&gt;0,"S","N")</f>
        <v>N</v>
      </c>
      <c r="B1801" s="150">
        <v>0</v>
      </c>
      <c r="C1801" s="150" t="s">
        <v>266</v>
      </c>
      <c r="D1801" s="120" t="s">
        <v>2136</v>
      </c>
      <c r="E1801" s="914" t="s">
        <v>2137</v>
      </c>
      <c r="F1801" s="902" t="s">
        <v>52</v>
      </c>
      <c r="G1801" s="528"/>
      <c r="H1801" s="546" t="s">
        <v>37</v>
      </c>
      <c r="I1801" s="711">
        <v>0</v>
      </c>
      <c r="J1801" s="896" t="str">
        <f t="shared" ref="J1801" si="7230">IFERROR((I1802/I1801),"-")</f>
        <v>-</v>
      </c>
      <c r="K1801" s="528"/>
      <c r="L1801" s="546" t="s">
        <v>37</v>
      </c>
      <c r="M1801" s="711">
        <f t="shared" si="7122"/>
        <v>0</v>
      </c>
      <c r="N1801" s="896" t="str">
        <f t="shared" ref="N1801" si="7231">IFERROR((M1802/M1801),"-")</f>
        <v>-</v>
      </c>
      <c r="O1801" s="528"/>
      <c r="P1801" s="547"/>
      <c r="Q1801" s="547"/>
      <c r="R1801" s="547"/>
      <c r="S1801" s="547"/>
      <c r="T1801" s="547"/>
      <c r="U1801" s="547"/>
      <c r="V1801" s="548"/>
      <c r="W1801" s="528"/>
      <c r="X1801" s="711">
        <f t="shared" si="7115"/>
        <v>0</v>
      </c>
      <c r="Y1801" s="896" t="str">
        <f>IFERROR((X1802/X1801),"-")</f>
        <v>-</v>
      </c>
      <c r="Z1801" s="528"/>
      <c r="AA1801" s="898">
        <v>0</v>
      </c>
      <c r="AB1801" s="898">
        <v>0</v>
      </c>
      <c r="AC1801" s="903">
        <v>0</v>
      </c>
      <c r="AD1801" s="900" t="str">
        <f t="shared" si="7224"/>
        <v>-</v>
      </c>
      <c r="AE1801" s="2"/>
      <c r="AF1801" s="884">
        <v>0</v>
      </c>
      <c r="AG1801" s="884"/>
      <c r="AH1801" s="884">
        <v>0</v>
      </c>
      <c r="AI1801" s="884"/>
      <c r="AJ1801" s="884"/>
      <c r="AK1801" s="884">
        <f t="shared" si="7225"/>
        <v>0</v>
      </c>
      <c r="AL1801" s="884">
        <v>0</v>
      </c>
      <c r="AM1801" s="878" t="str">
        <f t="shared" ref="AM1801" si="7232">IFERROR((AK1801/AL1801),"-")</f>
        <v>-</v>
      </c>
      <c r="AN1801" s="2"/>
      <c r="AO1801" s="884">
        <v>0</v>
      </c>
      <c r="AP1801" s="884">
        <f t="shared" si="7227"/>
        <v>0</v>
      </c>
      <c r="AV1801" t="str">
        <f t="shared" si="6987"/>
        <v>Drenagem Superficial</v>
      </c>
      <c r="AW1801" s="4" t="str">
        <f t="shared" ref="AW1801:AW1864" si="7233">IF(E1801&lt;&gt;"",E1801,AW1800)</f>
        <v>Seg. 2.2 - Acesso 110+035</v>
      </c>
    </row>
    <row r="1802" spans="1:49" ht="15.6" hidden="1" customHeight="1" outlineLevel="2">
      <c r="A1802" s="8" t="str">
        <f t="shared" si="7228"/>
        <v>N</v>
      </c>
      <c r="B1802" s="150">
        <v>0</v>
      </c>
      <c r="C1802" s="150" t="s">
        <v>266</v>
      </c>
      <c r="D1802" s="120" t="s">
        <v>2136</v>
      </c>
      <c r="E1802" s="915"/>
      <c r="F1802" s="902"/>
      <c r="G1802" s="528"/>
      <c r="H1802" s="549" t="s">
        <v>38</v>
      </c>
      <c r="I1802" s="711">
        <v>0</v>
      </c>
      <c r="J1802" s="897"/>
      <c r="K1802" s="528"/>
      <c r="L1802" s="549" t="s">
        <v>38</v>
      </c>
      <c r="M1802" s="711">
        <f t="shared" si="7122"/>
        <v>0</v>
      </c>
      <c r="N1802" s="897"/>
      <c r="O1802" s="528"/>
      <c r="P1802" s="548">
        <v>0</v>
      </c>
      <c r="Q1802" s="548">
        <v>0</v>
      </c>
      <c r="R1802" s="548">
        <v>0</v>
      </c>
      <c r="S1802" s="548">
        <v>0</v>
      </c>
      <c r="T1802" s="548">
        <v>0</v>
      </c>
      <c r="U1802" s="548">
        <v>0</v>
      </c>
      <c r="V1802" s="548">
        <v>0</v>
      </c>
      <c r="W1802" s="528"/>
      <c r="X1802" s="711">
        <f t="shared" si="7115"/>
        <v>0</v>
      </c>
      <c r="Y1802" s="897"/>
      <c r="Z1802" s="528"/>
      <c r="AA1802" s="899"/>
      <c r="AB1802" s="899"/>
      <c r="AC1802" s="904"/>
      <c r="AD1802" s="901"/>
      <c r="AE1802" s="2"/>
      <c r="AF1802" s="885"/>
      <c r="AG1802" s="885"/>
      <c r="AH1802" s="885"/>
      <c r="AI1802" s="885"/>
      <c r="AJ1802" s="885"/>
      <c r="AK1802" s="885"/>
      <c r="AL1802" s="885"/>
      <c r="AM1802" s="879"/>
      <c r="AN1802" s="2"/>
      <c r="AO1802" s="886"/>
      <c r="AP1802" s="886"/>
      <c r="AV1802" t="str">
        <f t="shared" ref="AV1802:AV1865" si="7234">IF(AX1802="Y",LEFT(E1802,20),IF(AX1802="x",E1802,AV1801))</f>
        <v>Drenagem Superficial</v>
      </c>
      <c r="AW1802" s="4" t="str">
        <f t="shared" si="7233"/>
        <v>Seg. 2.2 - Acesso 110+035</v>
      </c>
    </row>
    <row r="1803" spans="1:49" ht="15.6" hidden="1" customHeight="1" outlineLevel="2">
      <c r="A1803" s="8" t="str">
        <f t="shared" si="7229"/>
        <v>N</v>
      </c>
      <c r="B1803" s="150">
        <v>0</v>
      </c>
      <c r="C1803" s="150"/>
      <c r="D1803" s="120"/>
      <c r="E1803" s="914" t="s">
        <v>1306</v>
      </c>
      <c r="F1803" s="902" t="s">
        <v>52</v>
      </c>
      <c r="G1803" s="528"/>
      <c r="H1803" s="546" t="s">
        <v>37</v>
      </c>
      <c r="I1803" s="711">
        <v>0</v>
      </c>
      <c r="J1803" s="896" t="str">
        <f t="shared" ref="J1803" si="7235">IFERROR((I1804/I1803),"-")</f>
        <v>-</v>
      </c>
      <c r="K1803" s="528"/>
      <c r="L1803" s="546" t="s">
        <v>37</v>
      </c>
      <c r="M1803" s="711">
        <f t="shared" si="7122"/>
        <v>0</v>
      </c>
      <c r="N1803" s="896" t="str">
        <f t="shared" ref="N1803" si="7236">IFERROR((M1804/M1803),"-")</f>
        <v>-</v>
      </c>
      <c r="O1803" s="528"/>
      <c r="P1803" s="547"/>
      <c r="Q1803" s="547"/>
      <c r="R1803" s="547"/>
      <c r="S1803" s="547"/>
      <c r="T1803" s="547"/>
      <c r="U1803" s="547"/>
      <c r="V1803" s="548"/>
      <c r="W1803" s="528"/>
      <c r="X1803" s="711">
        <f t="shared" si="7115"/>
        <v>0</v>
      </c>
      <c r="Y1803" s="896" t="str">
        <f>IFERROR((X1804/X1803),"-")</f>
        <v>-</v>
      </c>
      <c r="Z1803" s="528"/>
      <c r="AA1803" s="898">
        <v>0</v>
      </c>
      <c r="AB1803" s="898">
        <v>0</v>
      </c>
      <c r="AC1803" s="903">
        <v>0</v>
      </c>
      <c r="AD1803" s="900" t="str">
        <f t="shared" si="7224"/>
        <v>-</v>
      </c>
      <c r="AE1803" s="2"/>
      <c r="AF1803" s="884">
        <v>0</v>
      </c>
      <c r="AG1803" s="884"/>
      <c r="AH1803" s="884">
        <v>0</v>
      </c>
      <c r="AI1803" s="884"/>
      <c r="AJ1803" s="884"/>
      <c r="AK1803" s="884">
        <f t="shared" si="7225"/>
        <v>0</v>
      </c>
      <c r="AL1803" s="884">
        <v>0</v>
      </c>
      <c r="AM1803" s="878" t="str">
        <f t="shared" ref="AM1803" si="7237">IFERROR((AK1803/AL1803),"-")</f>
        <v>-</v>
      </c>
      <c r="AN1803" s="2"/>
      <c r="AO1803" s="884">
        <v>0</v>
      </c>
      <c r="AP1803" s="884">
        <f t="shared" si="7227"/>
        <v>0</v>
      </c>
      <c r="AV1803" t="str">
        <f t="shared" si="7234"/>
        <v>Drenagem Superficial</v>
      </c>
      <c r="AW1803" s="4" t="str">
        <f t="shared" si="7233"/>
        <v>---</v>
      </c>
    </row>
    <row r="1804" spans="1:49" ht="15.6" hidden="1" customHeight="1" outlineLevel="2">
      <c r="A1804" s="8" t="str">
        <f t="shared" si="7228"/>
        <v>N</v>
      </c>
      <c r="B1804" s="150">
        <v>0</v>
      </c>
      <c r="C1804" s="150"/>
      <c r="D1804" s="120"/>
      <c r="E1804" s="915"/>
      <c r="F1804" s="902"/>
      <c r="G1804" s="528"/>
      <c r="H1804" s="549" t="s">
        <v>38</v>
      </c>
      <c r="I1804" s="711">
        <v>0</v>
      </c>
      <c r="J1804" s="897"/>
      <c r="K1804" s="528"/>
      <c r="L1804" s="549" t="s">
        <v>38</v>
      </c>
      <c r="M1804" s="711">
        <f t="shared" si="7122"/>
        <v>0</v>
      </c>
      <c r="N1804" s="897"/>
      <c r="O1804" s="528"/>
      <c r="P1804" s="548">
        <v>0</v>
      </c>
      <c r="Q1804" s="548">
        <v>0</v>
      </c>
      <c r="R1804" s="548">
        <v>0</v>
      </c>
      <c r="S1804" s="548">
        <v>0</v>
      </c>
      <c r="T1804" s="548">
        <v>0</v>
      </c>
      <c r="U1804" s="548">
        <v>0</v>
      </c>
      <c r="V1804" s="548">
        <v>0</v>
      </c>
      <c r="W1804" s="528"/>
      <c r="X1804" s="711">
        <f t="shared" si="7115"/>
        <v>0</v>
      </c>
      <c r="Y1804" s="897"/>
      <c r="Z1804" s="528"/>
      <c r="AA1804" s="899"/>
      <c r="AB1804" s="899"/>
      <c r="AC1804" s="904"/>
      <c r="AD1804" s="901"/>
      <c r="AE1804" s="2"/>
      <c r="AF1804" s="885"/>
      <c r="AG1804" s="885"/>
      <c r="AH1804" s="885"/>
      <c r="AI1804" s="885"/>
      <c r="AJ1804" s="885"/>
      <c r="AK1804" s="885"/>
      <c r="AL1804" s="885"/>
      <c r="AM1804" s="879"/>
      <c r="AN1804" s="2"/>
      <c r="AO1804" s="886"/>
      <c r="AP1804" s="886"/>
      <c r="AV1804" t="str">
        <f t="shared" si="7234"/>
        <v>Drenagem Superficial</v>
      </c>
      <c r="AW1804" s="4" t="str">
        <f t="shared" si="7233"/>
        <v>---</v>
      </c>
    </row>
    <row r="1805" spans="1:49" ht="15.6" hidden="1" customHeight="1" outlineLevel="1" collapsed="1">
      <c r="A1805" s="209">
        <v>0</v>
      </c>
      <c r="B1805" s="150"/>
      <c r="C1805" s="150"/>
      <c r="D1805" s="117"/>
      <c r="E1805" s="535"/>
      <c r="F1805" s="536"/>
      <c r="G1805" s="537"/>
      <c r="H1805" s="714"/>
      <c r="I1805" s="555"/>
      <c r="J1805" s="714"/>
      <c r="K1805" s="537"/>
      <c r="L1805" s="714"/>
      <c r="M1805" s="555"/>
      <c r="N1805" s="714"/>
      <c r="O1805" s="537"/>
      <c r="P1805" s="539"/>
      <c r="Q1805" s="539"/>
      <c r="R1805" s="539"/>
      <c r="S1805" s="539"/>
      <c r="T1805" s="539"/>
      <c r="U1805" s="539"/>
      <c r="V1805" s="539"/>
      <c r="W1805" s="537"/>
      <c r="X1805" s="540"/>
      <c r="Y1805" s="537"/>
      <c r="Z1805" s="537"/>
      <c r="AA1805" s="249"/>
      <c r="AB1805" s="249"/>
      <c r="AC1805" s="249"/>
      <c r="AD1805" s="537"/>
      <c r="AE1805" s="3"/>
      <c r="AF1805" s="35"/>
      <c r="AG1805" s="35"/>
      <c r="AH1805" s="35"/>
      <c r="AI1805" s="35"/>
      <c r="AJ1805" s="35"/>
      <c r="AK1805" s="35"/>
      <c r="AL1805" s="35"/>
      <c r="AM1805" s="3"/>
      <c r="AN1805" s="3"/>
      <c r="AO1805" s="35"/>
      <c r="AP1805" s="35"/>
      <c r="AV1805" t="str">
        <f t="shared" si="7234"/>
        <v>Drenagem Superficial</v>
      </c>
      <c r="AW1805" s="4" t="str">
        <f t="shared" si="7233"/>
        <v>---</v>
      </c>
    </row>
    <row r="1806" spans="1:49" ht="15.6" hidden="1" customHeight="1" outlineLevel="1">
      <c r="A1806" s="209">
        <v>0</v>
      </c>
      <c r="B1806" s="150"/>
      <c r="C1806" s="150"/>
      <c r="D1806" s="122"/>
      <c r="E1806" s="913" t="s">
        <v>41</v>
      </c>
      <c r="F1806" s="859" t="s">
        <v>52</v>
      </c>
      <c r="G1806" s="528"/>
      <c r="H1806" s="542" t="s">
        <v>37</v>
      </c>
      <c r="I1806" s="543">
        <f>SUMIF($L1808:$L1841,$L1806,I1808:I1841)</f>
        <v>330</v>
      </c>
      <c r="J1806" s="860">
        <f>IFERROR((I1807/I1806),"-")</f>
        <v>0.26515151515151514</v>
      </c>
      <c r="K1806" s="528"/>
      <c r="L1806" s="542" t="s">
        <v>37</v>
      </c>
      <c r="M1806" s="543">
        <f>SUMIF($L1808:$L1841,$L1806,M1808:M1841)</f>
        <v>70</v>
      </c>
      <c r="N1806" s="860">
        <f>IFERROR((M1807/M1806),"-")</f>
        <v>0</v>
      </c>
      <c r="O1806" s="528"/>
      <c r="P1806" s="543">
        <f t="shared" ref="P1806:U1806" si="7238">SUMIF($L1808:$L1841,$L1806,P1808:P1841)</f>
        <v>0</v>
      </c>
      <c r="Q1806" s="543">
        <f t="shared" si="7238"/>
        <v>70</v>
      </c>
      <c r="R1806" s="543">
        <f t="shared" si="7238"/>
        <v>70</v>
      </c>
      <c r="S1806" s="543">
        <f t="shared" si="7238"/>
        <v>70</v>
      </c>
      <c r="T1806" s="543">
        <f t="shared" si="7238"/>
        <v>15</v>
      </c>
      <c r="U1806" s="543">
        <f t="shared" si="7238"/>
        <v>15</v>
      </c>
      <c r="V1806" s="543"/>
      <c r="W1806" s="528"/>
      <c r="X1806" s="543">
        <f t="shared" ref="X1806:X1807" si="7239">SUMIFS(P1806:V1806,$P$8:$V$8,"&gt;="&amp;$P$8,$P$8:$V$8,"&lt;="&amp;$N$8)</f>
        <v>70</v>
      </c>
      <c r="Y1806" s="860">
        <f>IFERROR((X1807/X1806),"-")</f>
        <v>0</v>
      </c>
      <c r="Z1806" s="528"/>
      <c r="AA1806" s="814">
        <f t="shared" ref="AA1806:AC1806" si="7240">SUM(AA1808:AA1845)</f>
        <v>327.45</v>
      </c>
      <c r="AB1806" s="814">
        <f t="shared" si="7240"/>
        <v>613</v>
      </c>
      <c r="AC1806" s="814">
        <f t="shared" si="7240"/>
        <v>227.5</v>
      </c>
      <c r="AD1806" s="911">
        <f t="shared" ref="AD1806" si="7241">IFERROR((AC1806/AB1806),"-")</f>
        <v>0.37112561174551384</v>
      </c>
      <c r="AE1806" s="2"/>
      <c r="AF1806" s="888">
        <f>SUM(AF1808:AF1845)</f>
        <v>1444.0339999999992</v>
      </c>
      <c r="AG1806" s="888">
        <f t="shared" ref="AG1806:AJ1806" si="7242">SUM(AG1808:AG1845)</f>
        <v>0</v>
      </c>
      <c r="AH1806" s="888">
        <f t="shared" si="7242"/>
        <v>0</v>
      </c>
      <c r="AI1806" s="888">
        <f t="shared" si="7242"/>
        <v>543.37800000000004</v>
      </c>
      <c r="AJ1806" s="888">
        <f t="shared" si="7242"/>
        <v>452.536</v>
      </c>
      <c r="AK1806" s="888">
        <f>SUM(AK1808:AK1845)</f>
        <v>2667.4479999999999</v>
      </c>
      <c r="AL1806" s="888">
        <f t="shared" ref="AL1806" si="7243">SUM(AL1808:AL1843)</f>
        <v>7231.130000000001</v>
      </c>
      <c r="AM1806" s="743">
        <f>IFERROR((AK1806/AL1806),"-")</f>
        <v>0.3688839780227986</v>
      </c>
      <c r="AN1806" s="2"/>
      <c r="AO1806" s="888">
        <f t="shared" ref="AO1806:AP1806" si="7244">SUM(AO1808:AO1845)</f>
        <v>13935.07</v>
      </c>
      <c r="AP1806" s="888">
        <f t="shared" si="7244"/>
        <v>11267.622000000001</v>
      </c>
      <c r="AV1806" t="str">
        <f t="shared" si="7234"/>
        <v>Drenagem Superficial</v>
      </c>
      <c r="AW1806" s="4" t="str">
        <f t="shared" si="7233"/>
        <v>Pacote 04 - Segmento 2.3 - Km 116+517 a 131+241</v>
      </c>
    </row>
    <row r="1807" spans="1:49" ht="15.6" hidden="1" customHeight="1" outlineLevel="1">
      <c r="A1807" s="209">
        <v>0</v>
      </c>
      <c r="B1807" s="150"/>
      <c r="C1807" s="150">
        <v>0</v>
      </c>
      <c r="D1807" s="123"/>
      <c r="E1807" s="913"/>
      <c r="F1807" s="859"/>
      <c r="G1807" s="528"/>
      <c r="H1807" s="544" t="s">
        <v>38</v>
      </c>
      <c r="I1807" s="543">
        <f>SUMIF($L1808:$L1841,$L1807,I1808:I1841)</f>
        <v>87.5</v>
      </c>
      <c r="J1807" s="861"/>
      <c r="K1807" s="528"/>
      <c r="L1807" s="544" t="s">
        <v>38</v>
      </c>
      <c r="M1807" s="543">
        <f>SUMIF($L1808:$L1841,$L1807,M1808:M1841)</f>
        <v>0</v>
      </c>
      <c r="N1807" s="861"/>
      <c r="O1807" s="528"/>
      <c r="P1807" s="543">
        <f t="shared" ref="P1807:U1807" si="7245">SUMIF($L1808:$L1841,$L1807,P1808:P1841)</f>
        <v>0</v>
      </c>
      <c r="Q1807" s="543">
        <f t="shared" si="7245"/>
        <v>0</v>
      </c>
      <c r="R1807" s="543">
        <f t="shared" si="7245"/>
        <v>0</v>
      </c>
      <c r="S1807" s="543">
        <f t="shared" si="7245"/>
        <v>0</v>
      </c>
      <c r="T1807" s="543">
        <f t="shared" si="7245"/>
        <v>0</v>
      </c>
      <c r="U1807" s="543">
        <f t="shared" si="7245"/>
        <v>0</v>
      </c>
      <c r="V1807" s="543"/>
      <c r="W1807" s="528"/>
      <c r="X1807" s="543">
        <f t="shared" si="7239"/>
        <v>0</v>
      </c>
      <c r="Y1807" s="861"/>
      <c r="Z1807" s="528"/>
      <c r="AA1807" s="815"/>
      <c r="AB1807" s="815"/>
      <c r="AC1807" s="815"/>
      <c r="AD1807" s="912"/>
      <c r="AE1807" s="2"/>
      <c r="AF1807" s="889"/>
      <c r="AG1807" s="889"/>
      <c r="AH1807" s="889"/>
      <c r="AI1807" s="889"/>
      <c r="AJ1807" s="889"/>
      <c r="AK1807" s="889"/>
      <c r="AL1807" s="889"/>
      <c r="AM1807" s="744"/>
      <c r="AN1807" s="2"/>
      <c r="AO1807" s="889"/>
      <c r="AP1807" s="889"/>
      <c r="AV1807" t="str">
        <f t="shared" si="7234"/>
        <v>Drenagem Superficial</v>
      </c>
      <c r="AW1807" s="4" t="str">
        <f t="shared" si="7233"/>
        <v>Pacote 04 - Segmento 2.3 - Km 116+517 a 131+241</v>
      </c>
    </row>
    <row r="1808" spans="1:49" ht="15.6" hidden="1" customHeight="1" outlineLevel="2">
      <c r="A1808" s="209" t="str">
        <f t="shared" ref="A1808" si="7246">IF(SUM(P1808:V1809)&gt;0,"S","N")</f>
        <v>N</v>
      </c>
      <c r="B1808" s="150">
        <v>1061514</v>
      </c>
      <c r="C1808" s="150" t="s">
        <v>2138</v>
      </c>
      <c r="D1808" s="120" t="s">
        <v>2139</v>
      </c>
      <c r="E1808" s="914" t="s">
        <v>2140</v>
      </c>
      <c r="F1808" s="902" t="s">
        <v>52</v>
      </c>
      <c r="G1808" s="528"/>
      <c r="H1808" s="546" t="s">
        <v>37</v>
      </c>
      <c r="I1808" s="711">
        <v>0</v>
      </c>
      <c r="J1808" s="896" t="str">
        <f>IFERROR((I1809/I1808),"-")</f>
        <v>-</v>
      </c>
      <c r="K1808" s="528"/>
      <c r="L1808" s="546" t="s">
        <v>37</v>
      </c>
      <c r="M1808" s="711">
        <f t="shared" ref="M1808:M1845" si="7247">_xlfn.XLOOKUP($N$8,$P$8:$V$8,$P1808:$V1808)</f>
        <v>0</v>
      </c>
      <c r="N1808" s="896" t="str">
        <f>IFERROR((M1809/M1808),"-")</f>
        <v>-</v>
      </c>
      <c r="O1808" s="528"/>
      <c r="P1808" s="547">
        <v>0</v>
      </c>
      <c r="Q1808" s="547">
        <v>0</v>
      </c>
      <c r="R1808" s="547">
        <v>0</v>
      </c>
      <c r="S1808" s="547">
        <v>0</v>
      </c>
      <c r="T1808" s="547">
        <v>0</v>
      </c>
      <c r="U1808" s="547">
        <v>0</v>
      </c>
      <c r="V1808" s="548">
        <v>0</v>
      </c>
      <c r="W1808" s="528"/>
      <c r="X1808" s="711">
        <f>SUMIFS(P1808:V1808,$P$8:$V$8,"&gt;="&amp;$P$8,$P$8:$V$8,"&lt;="&amp;$N$8)</f>
        <v>0</v>
      </c>
      <c r="Y1808" s="896" t="str">
        <f>IFERROR((X1809/X1808),"-")</f>
        <v>-</v>
      </c>
      <c r="Z1808" s="528"/>
      <c r="AA1808" s="898">
        <v>0</v>
      </c>
      <c r="AB1808" s="898">
        <v>0</v>
      </c>
      <c r="AC1808" s="903">
        <v>0</v>
      </c>
      <c r="AD1808" s="900" t="str">
        <f t="shared" ref="AD1808" si="7248">IFERROR((AC1808/AB1808),"-")</f>
        <v>-</v>
      </c>
      <c r="AE1808" s="2"/>
      <c r="AF1808" s="884"/>
      <c r="AG1808" s="884"/>
      <c r="AH1808" s="884">
        <v>0</v>
      </c>
      <c r="AI1808" s="884">
        <v>543.37800000000004</v>
      </c>
      <c r="AJ1808" s="884">
        <v>284.733</v>
      </c>
      <c r="AK1808" s="884">
        <f t="shared" ref="AK1808" si="7249">AF1808+AG1808+AH1808+AI1808+AJ1808+AC1808</f>
        <v>828.1110000000001</v>
      </c>
      <c r="AL1808" s="884">
        <v>1138.9999999999989</v>
      </c>
      <c r="AM1808" s="878">
        <f t="shared" ref="AM1808" si="7250">IFERROR((AK1808/AL1808),"-")</f>
        <v>0.72705092186128262</v>
      </c>
      <c r="AN1808" s="2"/>
      <c r="AO1808" s="884">
        <v>874</v>
      </c>
      <c r="AP1808" s="884">
        <f t="shared" ref="AP1808" si="7251">AO1808-AK1808</f>
        <v>45.888999999999896</v>
      </c>
      <c r="AV1808" t="str">
        <f t="shared" si="7234"/>
        <v>Drenagem Superficial</v>
      </c>
      <c r="AW1808" s="4" t="str">
        <f t="shared" si="7233"/>
        <v xml:space="preserve">   Canaleta de banqueta de corte</v>
      </c>
    </row>
    <row r="1809" spans="1:49" ht="15.6" hidden="1" customHeight="1" outlineLevel="2">
      <c r="A1809" s="209" t="str">
        <f t="shared" ref="A1809" si="7252">A1808</f>
        <v>N</v>
      </c>
      <c r="B1809" s="150"/>
      <c r="C1809" s="150" t="s">
        <v>2138</v>
      </c>
      <c r="D1809" s="120" t="s">
        <v>2139</v>
      </c>
      <c r="E1809" s="915"/>
      <c r="F1809" s="902"/>
      <c r="G1809" s="528"/>
      <c r="H1809" s="549" t="s">
        <v>38</v>
      </c>
      <c r="I1809" s="711">
        <v>0</v>
      </c>
      <c r="J1809" s="897"/>
      <c r="K1809" s="528"/>
      <c r="L1809" s="549" t="s">
        <v>38</v>
      </c>
      <c r="M1809" s="711">
        <f t="shared" si="7247"/>
        <v>0</v>
      </c>
      <c r="N1809" s="897"/>
      <c r="O1809" s="528"/>
      <c r="P1809" s="548">
        <v>0</v>
      </c>
      <c r="Q1809" s="548">
        <v>0</v>
      </c>
      <c r="R1809" s="548">
        <v>0</v>
      </c>
      <c r="S1809" s="548">
        <v>0</v>
      </c>
      <c r="T1809" s="548">
        <v>0</v>
      </c>
      <c r="U1809" s="548">
        <v>0</v>
      </c>
      <c r="V1809" s="548"/>
      <c r="W1809" s="528"/>
      <c r="X1809" s="711">
        <f>SUMIFS(P1809:V1809,$P$8:$V$8,"&gt;="&amp;$P$8,$P$8:$V$8,"&lt;="&amp;$N$8)</f>
        <v>0</v>
      </c>
      <c r="Y1809" s="897"/>
      <c r="Z1809" s="528"/>
      <c r="AA1809" s="899"/>
      <c r="AB1809" s="899"/>
      <c r="AC1809" s="904"/>
      <c r="AD1809" s="901"/>
      <c r="AE1809" s="2"/>
      <c r="AF1809" s="885"/>
      <c r="AG1809" s="885"/>
      <c r="AH1809" s="885"/>
      <c r="AI1809" s="885"/>
      <c r="AJ1809" s="885"/>
      <c r="AK1809" s="885"/>
      <c r="AL1809" s="885"/>
      <c r="AM1809" s="879"/>
      <c r="AN1809" s="2"/>
      <c r="AO1809" s="886"/>
      <c r="AP1809" s="886"/>
      <c r="AV1809" t="str">
        <f t="shared" si="7234"/>
        <v>Drenagem Superficial</v>
      </c>
      <c r="AW1809" s="4" t="str">
        <f t="shared" si="7233"/>
        <v xml:space="preserve">   Canaleta de banqueta de corte</v>
      </c>
    </row>
    <row r="1810" spans="1:49" ht="15.6" hidden="1" customHeight="1" outlineLevel="2">
      <c r="A1810" s="8" t="str">
        <f t="shared" ref="A1810" si="7253">IF(SUM(P1810:V1811)&gt;0,"S","N")</f>
        <v>N</v>
      </c>
      <c r="B1810" s="150">
        <v>1061678</v>
      </c>
      <c r="C1810" s="150" t="s">
        <v>2141</v>
      </c>
      <c r="D1810" s="120" t="s">
        <v>321</v>
      </c>
      <c r="E1810" s="914" t="s">
        <v>2142</v>
      </c>
      <c r="F1810" s="902" t="s">
        <v>52</v>
      </c>
      <c r="G1810" s="528"/>
      <c r="H1810" s="546" t="s">
        <v>37</v>
      </c>
      <c r="I1810" s="711">
        <v>0</v>
      </c>
      <c r="J1810" s="896" t="str">
        <f t="shared" ref="J1810" si="7254">IFERROR((I1811/I1810),"-")</f>
        <v>-</v>
      </c>
      <c r="K1810" s="528"/>
      <c r="L1810" s="546" t="s">
        <v>37</v>
      </c>
      <c r="M1810" s="711">
        <f t="shared" si="7247"/>
        <v>0</v>
      </c>
      <c r="N1810" s="896" t="str">
        <f t="shared" ref="N1810" si="7255">IFERROR((M1811/M1810),"-")</f>
        <v>-</v>
      </c>
      <c r="O1810" s="528"/>
      <c r="P1810" s="547">
        <v>0</v>
      </c>
      <c r="Q1810" s="547">
        <v>0</v>
      </c>
      <c r="R1810" s="547">
        <v>0</v>
      </c>
      <c r="S1810" s="547">
        <v>0</v>
      </c>
      <c r="T1810" s="547">
        <v>0</v>
      </c>
      <c r="U1810" s="547">
        <v>0</v>
      </c>
      <c r="V1810" s="548">
        <v>0</v>
      </c>
      <c r="W1810" s="528"/>
      <c r="X1810" s="711"/>
      <c r="Y1810" s="896" t="str">
        <f>IFERROR((X1811/X1810),"-")</f>
        <v>-</v>
      </c>
      <c r="Z1810" s="528"/>
      <c r="AA1810" s="898">
        <v>0</v>
      </c>
      <c r="AB1810" s="898">
        <v>0</v>
      </c>
      <c r="AC1810" s="903">
        <v>0</v>
      </c>
      <c r="AD1810" s="900" t="str">
        <f t="shared" ref="AD1810" si="7256">IFERROR((AC1810/AB1810),"-")</f>
        <v>-</v>
      </c>
      <c r="AE1810" s="2"/>
      <c r="AF1810" s="884">
        <v>682.88499999999999</v>
      </c>
      <c r="AG1810" s="884"/>
      <c r="AH1810" s="884">
        <v>0</v>
      </c>
      <c r="AI1810" s="884"/>
      <c r="AJ1810" s="884">
        <v>167.803</v>
      </c>
      <c r="AK1810" s="884">
        <f t="shared" ref="AK1810" si="7257">AF1810+AG1810+AH1810+AI1810+AJ1810+AC1810</f>
        <v>850.68799999999999</v>
      </c>
      <c r="AL1810" s="884">
        <v>651.66000000000133</v>
      </c>
      <c r="AM1810" s="878">
        <f t="shared" ref="AM1810" si="7258">IFERROR((AK1810/AL1810),"-")</f>
        <v>1.3054169352116107</v>
      </c>
      <c r="AN1810" s="2"/>
      <c r="AO1810" s="884">
        <v>540</v>
      </c>
      <c r="AP1810" s="884">
        <f t="shared" ref="AP1810" si="7259">AO1810-AK1810</f>
        <v>-310.68799999999999</v>
      </c>
      <c r="AV1810" t="str">
        <f t="shared" si="7234"/>
        <v>Drenagem Superficial</v>
      </c>
      <c r="AW1810" s="4" t="str">
        <f t="shared" si="7233"/>
        <v xml:space="preserve">   Seg. 2.3-C04 - Drenagem Superficial - Canaleta de banqueta de aterro (Km 118+580 a 120+020)</v>
      </c>
    </row>
    <row r="1811" spans="1:49" ht="15.6" hidden="1" customHeight="1" outlineLevel="2">
      <c r="A1811" s="8" t="str">
        <f t="shared" ref="A1811" si="7260">A1810</f>
        <v>N</v>
      </c>
      <c r="B1811" s="150"/>
      <c r="C1811" s="150" t="s">
        <v>2141</v>
      </c>
      <c r="D1811" s="120" t="s">
        <v>321</v>
      </c>
      <c r="E1811" s="915"/>
      <c r="F1811" s="902"/>
      <c r="G1811" s="528"/>
      <c r="H1811" s="549" t="s">
        <v>38</v>
      </c>
      <c r="I1811" s="711">
        <v>0</v>
      </c>
      <c r="J1811" s="897"/>
      <c r="K1811" s="528"/>
      <c r="L1811" s="549" t="s">
        <v>38</v>
      </c>
      <c r="M1811" s="711">
        <f t="shared" si="7247"/>
        <v>0</v>
      </c>
      <c r="N1811" s="897"/>
      <c r="O1811" s="528"/>
      <c r="P1811" s="548">
        <v>0</v>
      </c>
      <c r="Q1811" s="548">
        <v>0</v>
      </c>
      <c r="R1811" s="548">
        <v>0</v>
      </c>
      <c r="S1811" s="548">
        <v>0</v>
      </c>
      <c r="T1811" s="548">
        <v>0</v>
      </c>
      <c r="U1811" s="548">
        <v>0</v>
      </c>
      <c r="V1811" s="548"/>
      <c r="W1811" s="528"/>
      <c r="X1811" s="711"/>
      <c r="Y1811" s="897"/>
      <c r="Z1811" s="528"/>
      <c r="AA1811" s="899"/>
      <c r="AB1811" s="899"/>
      <c r="AC1811" s="904"/>
      <c r="AD1811" s="901"/>
      <c r="AE1811" s="2"/>
      <c r="AF1811" s="885"/>
      <c r="AG1811" s="885"/>
      <c r="AH1811" s="885"/>
      <c r="AI1811" s="885"/>
      <c r="AJ1811" s="885"/>
      <c r="AK1811" s="885"/>
      <c r="AL1811" s="885"/>
      <c r="AM1811" s="879"/>
      <c r="AN1811" s="2"/>
      <c r="AO1811" s="886"/>
      <c r="AP1811" s="886"/>
      <c r="AV1811" t="str">
        <f t="shared" si="7234"/>
        <v>Drenagem Superficial</v>
      </c>
      <c r="AW1811" s="4" t="str">
        <f t="shared" si="7233"/>
        <v xml:space="preserve">   Seg. 2.3-C04 - Drenagem Superficial - Canaleta de banqueta de aterro (Km 118+580 a 120+020)</v>
      </c>
    </row>
    <row r="1812" spans="1:49" ht="15.6" hidden="1" customHeight="1" outlineLevel="2">
      <c r="A1812" s="8" t="str">
        <f t="shared" ref="A1812" si="7261">IF(SUM(P1812:V1813)&gt;0,"S","N")</f>
        <v>N</v>
      </c>
      <c r="B1812" s="150">
        <v>1061682</v>
      </c>
      <c r="C1812" s="150" t="s">
        <v>2143</v>
      </c>
      <c r="D1812" s="120" t="s">
        <v>324</v>
      </c>
      <c r="E1812" s="914" t="s">
        <v>2144</v>
      </c>
      <c r="F1812" s="902" t="s">
        <v>52</v>
      </c>
      <c r="G1812" s="528"/>
      <c r="H1812" s="546" t="s">
        <v>37</v>
      </c>
      <c r="I1812" s="711">
        <v>0</v>
      </c>
      <c r="J1812" s="896" t="str">
        <f t="shared" ref="J1812" si="7262">IFERROR((I1813/I1812),"-")</f>
        <v>-</v>
      </c>
      <c r="K1812" s="528"/>
      <c r="L1812" s="546" t="s">
        <v>37</v>
      </c>
      <c r="M1812" s="711">
        <f t="shared" si="7247"/>
        <v>0</v>
      </c>
      <c r="N1812" s="896" t="str">
        <f t="shared" ref="N1812" si="7263">IFERROR((M1813/M1812),"-")</f>
        <v>-</v>
      </c>
      <c r="O1812" s="528"/>
      <c r="P1812" s="547">
        <v>0</v>
      </c>
      <c r="Q1812" s="547">
        <v>0</v>
      </c>
      <c r="R1812" s="547">
        <v>0</v>
      </c>
      <c r="S1812" s="547">
        <v>0</v>
      </c>
      <c r="T1812" s="547">
        <v>0</v>
      </c>
      <c r="U1812" s="547">
        <v>0</v>
      </c>
      <c r="V1812" s="548">
        <v>0</v>
      </c>
      <c r="W1812" s="528"/>
      <c r="X1812" s="711"/>
      <c r="Y1812" s="896" t="str">
        <f>IFERROR((X1813/X1812),"-")</f>
        <v>-</v>
      </c>
      <c r="Z1812" s="528"/>
      <c r="AA1812" s="898">
        <v>0</v>
      </c>
      <c r="AB1812" s="898">
        <v>0</v>
      </c>
      <c r="AC1812" s="903">
        <v>0</v>
      </c>
      <c r="AD1812" s="900" t="str">
        <f t="shared" ref="AD1812" si="7264">IFERROR((AC1812/AB1812),"-")</f>
        <v>-</v>
      </c>
      <c r="AE1812" s="2"/>
      <c r="AF1812" s="884">
        <v>1121.431</v>
      </c>
      <c r="AG1812" s="884"/>
      <c r="AH1812" s="884">
        <v>0</v>
      </c>
      <c r="AI1812" s="884"/>
      <c r="AJ1812" s="884"/>
      <c r="AK1812" s="884">
        <f t="shared" ref="AK1812" si="7265">AF1812+AG1812+AH1812+AI1812+AJ1812+AC1812</f>
        <v>1121.431</v>
      </c>
      <c r="AL1812" s="884">
        <v>508.19999999999987</v>
      </c>
      <c r="AM1812" s="878">
        <f t="shared" ref="AM1812" si="7266">IFERROR((AK1812/AL1812),"-")</f>
        <v>2.2066725698543888</v>
      </c>
      <c r="AN1812" s="2"/>
      <c r="AO1812" s="884">
        <v>508</v>
      </c>
      <c r="AP1812" s="884">
        <f t="shared" ref="AP1812" si="7267">AO1812-AK1812</f>
        <v>-613.43100000000004</v>
      </c>
      <c r="AV1812" t="str">
        <f t="shared" si="7234"/>
        <v>Drenagem Superficial</v>
      </c>
      <c r="AW1812" s="4" t="str">
        <f t="shared" si="7233"/>
        <v xml:space="preserve">   Seg. 2.3-C05 - Drenagem Superficial - Canaleta de banqueta de corte (Km 120+240 a 120+900)</v>
      </c>
    </row>
    <row r="1813" spans="1:49" ht="15.6" hidden="1" customHeight="1" outlineLevel="2">
      <c r="A1813" s="8" t="str">
        <f t="shared" ref="A1813" si="7268">A1812</f>
        <v>N</v>
      </c>
      <c r="B1813" s="150"/>
      <c r="C1813" s="150" t="s">
        <v>2143</v>
      </c>
      <c r="D1813" s="120" t="s">
        <v>324</v>
      </c>
      <c r="E1813" s="915"/>
      <c r="F1813" s="902"/>
      <c r="G1813" s="528"/>
      <c r="H1813" s="549" t="s">
        <v>38</v>
      </c>
      <c r="I1813" s="711">
        <v>0</v>
      </c>
      <c r="J1813" s="897"/>
      <c r="K1813" s="528"/>
      <c r="L1813" s="549" t="s">
        <v>38</v>
      </c>
      <c r="M1813" s="711">
        <f t="shared" si="7247"/>
        <v>0</v>
      </c>
      <c r="N1813" s="897"/>
      <c r="O1813" s="528"/>
      <c r="P1813" s="548">
        <v>0</v>
      </c>
      <c r="Q1813" s="548">
        <v>0</v>
      </c>
      <c r="R1813" s="548">
        <v>0</v>
      </c>
      <c r="S1813" s="548">
        <v>0</v>
      </c>
      <c r="T1813" s="548">
        <v>0</v>
      </c>
      <c r="U1813" s="548">
        <v>0</v>
      </c>
      <c r="V1813" s="548"/>
      <c r="W1813" s="528"/>
      <c r="X1813" s="711"/>
      <c r="Y1813" s="897"/>
      <c r="Z1813" s="528"/>
      <c r="AA1813" s="899"/>
      <c r="AB1813" s="899"/>
      <c r="AC1813" s="904"/>
      <c r="AD1813" s="901"/>
      <c r="AE1813" s="2"/>
      <c r="AF1813" s="885"/>
      <c r="AG1813" s="885"/>
      <c r="AH1813" s="885"/>
      <c r="AI1813" s="885"/>
      <c r="AJ1813" s="885"/>
      <c r="AK1813" s="885"/>
      <c r="AL1813" s="885"/>
      <c r="AM1813" s="879"/>
      <c r="AN1813" s="2"/>
      <c r="AO1813" s="886"/>
      <c r="AP1813" s="886"/>
      <c r="AV1813" t="str">
        <f t="shared" si="7234"/>
        <v>Drenagem Superficial</v>
      </c>
      <c r="AW1813" s="4" t="str">
        <f t="shared" si="7233"/>
        <v xml:space="preserve">   Seg. 2.3-C05 - Drenagem Superficial - Canaleta de banqueta de corte (Km 120+240 a 120+900)</v>
      </c>
    </row>
    <row r="1814" spans="1:49" ht="14.45" hidden="1" customHeight="1" outlineLevel="2">
      <c r="A1814" s="8" t="str">
        <f t="shared" ref="A1814" si="7269">IF(SUM(P1814:V1815)&gt;0,"S","N")</f>
        <v>N</v>
      </c>
      <c r="B1814" s="150">
        <v>1061688</v>
      </c>
      <c r="C1814" s="150" t="s">
        <v>2145</v>
      </c>
      <c r="D1814" s="120" t="s">
        <v>330</v>
      </c>
      <c r="E1814" s="914" t="s">
        <v>2146</v>
      </c>
      <c r="F1814" s="902" t="s">
        <v>52</v>
      </c>
      <c r="G1814" s="528"/>
      <c r="H1814" s="546" t="s">
        <v>37</v>
      </c>
      <c r="I1814" s="711">
        <v>0</v>
      </c>
      <c r="J1814" s="896" t="str">
        <f t="shared" ref="J1814" si="7270">IFERROR((I1815/I1814),"-")</f>
        <v>-</v>
      </c>
      <c r="K1814" s="528"/>
      <c r="L1814" s="546" t="s">
        <v>37</v>
      </c>
      <c r="M1814" s="711">
        <f t="shared" si="7247"/>
        <v>0</v>
      </c>
      <c r="N1814" s="896" t="str">
        <f t="shared" ref="N1814" si="7271">IFERROR((M1815/M1814),"-")</f>
        <v>-</v>
      </c>
      <c r="O1814" s="528"/>
      <c r="P1814" s="547">
        <v>0</v>
      </c>
      <c r="Q1814" s="547">
        <v>0</v>
      </c>
      <c r="R1814" s="547">
        <v>0</v>
      </c>
      <c r="S1814" s="547">
        <v>0</v>
      </c>
      <c r="T1814" s="547">
        <v>0</v>
      </c>
      <c r="U1814" s="547">
        <v>0</v>
      </c>
      <c r="V1814" s="548">
        <v>0</v>
      </c>
      <c r="W1814" s="528"/>
      <c r="X1814" s="711"/>
      <c r="Y1814" s="896" t="str">
        <f>IFERROR((X1815/X1814),"-")</f>
        <v>-</v>
      </c>
      <c r="Z1814" s="528"/>
      <c r="AA1814" s="898">
        <v>0</v>
      </c>
      <c r="AB1814" s="898">
        <v>0</v>
      </c>
      <c r="AC1814" s="903">
        <v>0</v>
      </c>
      <c r="AD1814" s="900" t="str">
        <f t="shared" ref="AD1814" si="7272">IFERROR((AC1814/AB1814),"-")</f>
        <v>-</v>
      </c>
      <c r="AE1814" s="2"/>
      <c r="AF1814" s="884">
        <v>347.03100000000001</v>
      </c>
      <c r="AG1814" s="884"/>
      <c r="AH1814" s="884">
        <v>0</v>
      </c>
      <c r="AI1814" s="884"/>
      <c r="AJ1814" s="884"/>
      <c r="AK1814" s="884">
        <f t="shared" ref="AK1814" si="7273">AF1814+AG1814+AH1814+AI1814+AJ1814+AC1814</f>
        <v>347.03100000000001</v>
      </c>
      <c r="AL1814" s="884">
        <v>297.81</v>
      </c>
      <c r="AM1814" s="878">
        <f t="shared" ref="AM1814" si="7274">IFERROR((AK1814/AL1814),"-")</f>
        <v>1.1652765185856755</v>
      </c>
      <c r="AN1814" s="2"/>
      <c r="AO1814" s="884">
        <v>298</v>
      </c>
      <c r="AP1814" s="884">
        <f t="shared" ref="AP1814" si="7275">AO1814-AK1814</f>
        <v>-49.031000000000006</v>
      </c>
      <c r="AV1814" t="str">
        <f t="shared" si="7234"/>
        <v>Drenagem Superficial</v>
      </c>
      <c r="AW1814" s="4" t="str">
        <f t="shared" si="7233"/>
        <v xml:space="preserve">   Seg. 2.3-C07 - Drenagem Superficial - Canaleta de banqueta de corte (Km 121+700 a 122+200)</v>
      </c>
    </row>
    <row r="1815" spans="1:49" ht="18" hidden="1" customHeight="1" outlineLevel="2">
      <c r="A1815" s="8" t="str">
        <f t="shared" ref="A1815" si="7276">A1814</f>
        <v>N</v>
      </c>
      <c r="B1815" s="150"/>
      <c r="C1815" s="150" t="s">
        <v>2145</v>
      </c>
      <c r="D1815" s="120" t="s">
        <v>330</v>
      </c>
      <c r="E1815" s="915"/>
      <c r="F1815" s="902"/>
      <c r="G1815" s="528"/>
      <c r="H1815" s="549" t="s">
        <v>38</v>
      </c>
      <c r="I1815" s="711">
        <v>0</v>
      </c>
      <c r="J1815" s="897"/>
      <c r="K1815" s="528"/>
      <c r="L1815" s="549" t="s">
        <v>38</v>
      </c>
      <c r="M1815" s="711">
        <f t="shared" si="7247"/>
        <v>0</v>
      </c>
      <c r="N1815" s="897"/>
      <c r="O1815" s="528"/>
      <c r="P1815" s="548">
        <v>0</v>
      </c>
      <c r="Q1815" s="548">
        <v>0</v>
      </c>
      <c r="R1815" s="548">
        <v>0</v>
      </c>
      <c r="S1815" s="548">
        <v>0</v>
      </c>
      <c r="T1815" s="548">
        <v>0</v>
      </c>
      <c r="U1815" s="548">
        <v>0</v>
      </c>
      <c r="V1815" s="548"/>
      <c r="W1815" s="528"/>
      <c r="X1815" s="711"/>
      <c r="Y1815" s="897"/>
      <c r="Z1815" s="528"/>
      <c r="AA1815" s="899"/>
      <c r="AB1815" s="899"/>
      <c r="AC1815" s="904"/>
      <c r="AD1815" s="901"/>
      <c r="AE1815" s="2"/>
      <c r="AF1815" s="885"/>
      <c r="AG1815" s="885"/>
      <c r="AH1815" s="885"/>
      <c r="AI1815" s="885"/>
      <c r="AJ1815" s="885"/>
      <c r="AK1815" s="885"/>
      <c r="AL1815" s="885"/>
      <c r="AM1815" s="879"/>
      <c r="AN1815" s="2"/>
      <c r="AO1815" s="886"/>
      <c r="AP1815" s="886"/>
      <c r="AV1815" t="str">
        <f t="shared" si="7234"/>
        <v>Drenagem Superficial</v>
      </c>
      <c r="AW1815" s="4" t="str">
        <f t="shared" si="7233"/>
        <v xml:space="preserve">   Seg. 2.3-C07 - Drenagem Superficial - Canaleta de banqueta de corte (Km 121+700 a 122+200)</v>
      </c>
    </row>
    <row r="1816" spans="1:49" ht="15.6" hidden="1" customHeight="1" outlineLevel="2">
      <c r="A1816" s="209" t="str">
        <f t="shared" ref="A1816" si="7277">IF(SUM(P1816:V1817)&gt;0,"S","N")</f>
        <v>N</v>
      </c>
      <c r="B1816" s="150">
        <v>1061714</v>
      </c>
      <c r="C1816" s="150" t="s">
        <v>2147</v>
      </c>
      <c r="D1816" s="120" t="s">
        <v>333</v>
      </c>
      <c r="E1816" s="914" t="s">
        <v>2148</v>
      </c>
      <c r="F1816" s="902" t="s">
        <v>52</v>
      </c>
      <c r="G1816" s="528"/>
      <c r="H1816" s="546" t="s">
        <v>37</v>
      </c>
      <c r="I1816" s="711">
        <v>0</v>
      </c>
      <c r="J1816" s="896" t="str">
        <f t="shared" ref="J1816" si="7278">IFERROR((I1817/I1816),"-")</f>
        <v>-</v>
      </c>
      <c r="K1816" s="528"/>
      <c r="L1816" s="546" t="s">
        <v>37</v>
      </c>
      <c r="M1816" s="711">
        <f t="shared" si="7247"/>
        <v>0</v>
      </c>
      <c r="N1816" s="896" t="str">
        <f t="shared" ref="N1816" si="7279">IFERROR((M1817/M1816),"-")</f>
        <v>-</v>
      </c>
      <c r="O1816" s="528"/>
      <c r="P1816" s="547">
        <v>0</v>
      </c>
      <c r="Q1816" s="547">
        <v>0</v>
      </c>
      <c r="R1816" s="547">
        <v>0</v>
      </c>
      <c r="S1816" s="547">
        <v>0</v>
      </c>
      <c r="T1816" s="547">
        <v>0</v>
      </c>
      <c r="U1816" s="547">
        <v>0</v>
      </c>
      <c r="V1816" s="548">
        <v>0</v>
      </c>
      <c r="W1816" s="528"/>
      <c r="X1816" s="711"/>
      <c r="Y1816" s="896" t="str">
        <f>IFERROR((X1817/X1816),"-")</f>
        <v>-</v>
      </c>
      <c r="Z1816" s="528"/>
      <c r="AA1816" s="898">
        <v>0</v>
      </c>
      <c r="AB1816" s="898">
        <v>347</v>
      </c>
      <c r="AC1816" s="903">
        <v>0</v>
      </c>
      <c r="AD1816" s="900">
        <f t="shared" ref="AD1816" si="7280">IFERROR((AC1816/AB1816),"-")</f>
        <v>0</v>
      </c>
      <c r="AE1816" s="2"/>
      <c r="AF1816" s="884"/>
      <c r="AG1816" s="884"/>
      <c r="AH1816" s="884">
        <v>0</v>
      </c>
      <c r="AI1816" s="884"/>
      <c r="AJ1816" s="884"/>
      <c r="AK1816" s="884">
        <f t="shared" ref="AK1816" si="7281">AF1816+AG1816+AH1816+AI1816+AJ1816+AC1816</f>
        <v>0</v>
      </c>
      <c r="AL1816" s="884">
        <v>347</v>
      </c>
      <c r="AM1816" s="878">
        <f t="shared" ref="AM1816" si="7282">IFERROR((AK1816/AL1816),"-")</f>
        <v>0</v>
      </c>
      <c r="AN1816" s="2"/>
      <c r="AO1816" s="884">
        <v>347</v>
      </c>
      <c r="AP1816" s="884">
        <f t="shared" ref="AP1816" si="7283">AO1816-AK1816</f>
        <v>347</v>
      </c>
      <c r="AV1816" t="str">
        <f t="shared" si="7234"/>
        <v>Drenagem Superficial</v>
      </c>
      <c r="AW1816" s="4" t="str">
        <f t="shared" si="7233"/>
        <v xml:space="preserve">   Seg. 2.3-C10 - Drenagem Superficial - Canaleta de banqueta de corte (Km 125+160 a 125+640)</v>
      </c>
    </row>
    <row r="1817" spans="1:49" ht="20.25" hidden="1" customHeight="1" outlineLevel="2">
      <c r="A1817" s="209" t="str">
        <f t="shared" ref="A1817" si="7284">A1816</f>
        <v>N</v>
      </c>
      <c r="B1817" s="150"/>
      <c r="C1817" s="150" t="s">
        <v>2147</v>
      </c>
      <c r="D1817" s="120" t="s">
        <v>333</v>
      </c>
      <c r="E1817" s="915"/>
      <c r="F1817" s="902"/>
      <c r="G1817" s="528"/>
      <c r="H1817" s="549" t="s">
        <v>38</v>
      </c>
      <c r="I1817" s="711">
        <v>0</v>
      </c>
      <c r="J1817" s="897"/>
      <c r="K1817" s="528"/>
      <c r="L1817" s="549" t="s">
        <v>38</v>
      </c>
      <c r="M1817" s="711">
        <f t="shared" si="7247"/>
        <v>0</v>
      </c>
      <c r="N1817" s="897"/>
      <c r="O1817" s="528"/>
      <c r="P1817" s="548">
        <v>0</v>
      </c>
      <c r="Q1817" s="548">
        <v>0</v>
      </c>
      <c r="R1817" s="548">
        <v>0</v>
      </c>
      <c r="S1817" s="548">
        <v>0</v>
      </c>
      <c r="T1817" s="548">
        <v>0</v>
      </c>
      <c r="U1817" s="548">
        <v>0</v>
      </c>
      <c r="V1817" s="548"/>
      <c r="W1817" s="528"/>
      <c r="X1817" s="711"/>
      <c r="Y1817" s="897"/>
      <c r="Z1817" s="528"/>
      <c r="AA1817" s="899"/>
      <c r="AB1817" s="899"/>
      <c r="AC1817" s="904"/>
      <c r="AD1817" s="901"/>
      <c r="AE1817" s="2"/>
      <c r="AF1817" s="885"/>
      <c r="AG1817" s="885"/>
      <c r="AH1817" s="885"/>
      <c r="AI1817" s="885"/>
      <c r="AJ1817" s="885"/>
      <c r="AK1817" s="885"/>
      <c r="AL1817" s="885"/>
      <c r="AM1817" s="879"/>
      <c r="AN1817" s="2"/>
      <c r="AO1817" s="886"/>
      <c r="AP1817" s="886"/>
      <c r="AV1817" t="str">
        <f t="shared" si="7234"/>
        <v>Drenagem Superficial</v>
      </c>
      <c r="AW1817" s="4" t="str">
        <f t="shared" si="7233"/>
        <v xml:space="preserve">   Seg. 2.3-C10 - Drenagem Superficial - Canaleta de banqueta de corte (Km 125+160 a 125+640)</v>
      </c>
    </row>
    <row r="1818" spans="1:49" ht="20.25" hidden="1" customHeight="1" outlineLevel="2">
      <c r="A1818" s="209" t="str">
        <f t="shared" ref="A1818" si="7285">IF(SUM(P1818:V1819)&gt;0,"S","N")</f>
        <v>N</v>
      </c>
      <c r="B1818" s="150">
        <v>1061719</v>
      </c>
      <c r="C1818" s="150" t="s">
        <v>2149</v>
      </c>
      <c r="D1818" s="120" t="s">
        <v>357</v>
      </c>
      <c r="E1818" s="914" t="s">
        <v>2150</v>
      </c>
      <c r="F1818" s="902" t="s">
        <v>52</v>
      </c>
      <c r="G1818" s="528"/>
      <c r="H1818" s="546" t="s">
        <v>37</v>
      </c>
      <c r="I1818" s="711">
        <v>0</v>
      </c>
      <c r="J1818" s="896" t="str">
        <f t="shared" ref="J1818" si="7286">IFERROR((I1819/I1818),"-")</f>
        <v>-</v>
      </c>
      <c r="K1818" s="528"/>
      <c r="L1818" s="546" t="s">
        <v>37</v>
      </c>
      <c r="M1818" s="711">
        <f t="shared" si="7247"/>
        <v>0</v>
      </c>
      <c r="N1818" s="896" t="str">
        <f t="shared" ref="N1818" si="7287">IFERROR((M1819/M1818),"-")</f>
        <v>-</v>
      </c>
      <c r="O1818" s="528"/>
      <c r="P1818" s="547">
        <v>0</v>
      </c>
      <c r="Q1818" s="547">
        <v>0</v>
      </c>
      <c r="R1818" s="547">
        <v>0</v>
      </c>
      <c r="S1818" s="547">
        <v>0</v>
      </c>
      <c r="T1818" s="547">
        <v>0</v>
      </c>
      <c r="U1818" s="547">
        <v>0</v>
      </c>
      <c r="V1818" s="548">
        <v>0</v>
      </c>
      <c r="W1818" s="528"/>
      <c r="X1818" s="711"/>
      <c r="Y1818" s="896" t="str">
        <f>IFERROR((X1819/X1818),"-")</f>
        <v>-</v>
      </c>
      <c r="Z1818" s="528"/>
      <c r="AA1818" s="898">
        <v>0</v>
      </c>
      <c r="AB1818" s="898">
        <v>265</v>
      </c>
      <c r="AC1818" s="903">
        <v>0</v>
      </c>
      <c r="AD1818" s="900">
        <f t="shared" ref="AD1818" si="7288">IFERROR((AC1818/AB1818),"-")</f>
        <v>0</v>
      </c>
      <c r="AE1818" s="2"/>
      <c r="AF1818" s="884"/>
      <c r="AG1818" s="884"/>
      <c r="AH1818" s="884">
        <v>0</v>
      </c>
      <c r="AI1818" s="884"/>
      <c r="AJ1818" s="884"/>
      <c r="AK1818" s="884">
        <f t="shared" ref="AK1818" si="7289">AF1818+AG1818+AH1818+AI1818+AJ1818+AC1818</f>
        <v>0</v>
      </c>
      <c r="AL1818" s="884">
        <v>265</v>
      </c>
      <c r="AM1818" s="878">
        <f t="shared" ref="AM1818" si="7290">IFERROR((AK1818/AL1818),"-")</f>
        <v>0</v>
      </c>
      <c r="AN1818" s="2"/>
      <c r="AO1818" s="884">
        <v>265</v>
      </c>
      <c r="AP1818" s="884">
        <f t="shared" ref="AP1818" si="7291">AO1818-AK1818</f>
        <v>265</v>
      </c>
      <c r="AV1818" t="str">
        <f t="shared" si="7234"/>
        <v>Drenagem Superficial</v>
      </c>
      <c r="AW1818" s="4" t="str">
        <f t="shared" si="7233"/>
        <v xml:space="preserve">   Seg. 2.3-C11- Drenagem Superficial - Canaleta de banqueta de corte (Km 125+960 a 126+360)</v>
      </c>
    </row>
    <row r="1819" spans="1:49" ht="20.25" hidden="1" customHeight="1" outlineLevel="2">
      <c r="A1819" s="209" t="str">
        <f t="shared" ref="A1819" si="7292">A1818</f>
        <v>N</v>
      </c>
      <c r="B1819" s="150"/>
      <c r="C1819" s="150" t="s">
        <v>2149</v>
      </c>
      <c r="D1819" s="120" t="s">
        <v>357</v>
      </c>
      <c r="E1819" s="915"/>
      <c r="F1819" s="902"/>
      <c r="G1819" s="528"/>
      <c r="H1819" s="549" t="s">
        <v>38</v>
      </c>
      <c r="I1819" s="711">
        <v>0</v>
      </c>
      <c r="J1819" s="897"/>
      <c r="K1819" s="528"/>
      <c r="L1819" s="549" t="s">
        <v>38</v>
      </c>
      <c r="M1819" s="711">
        <f t="shared" si="7247"/>
        <v>0</v>
      </c>
      <c r="N1819" s="897"/>
      <c r="O1819" s="528"/>
      <c r="P1819" s="548">
        <v>0</v>
      </c>
      <c r="Q1819" s="548">
        <v>0</v>
      </c>
      <c r="R1819" s="548">
        <v>0</v>
      </c>
      <c r="S1819" s="548">
        <v>0</v>
      </c>
      <c r="T1819" s="548">
        <v>0</v>
      </c>
      <c r="U1819" s="548">
        <v>0</v>
      </c>
      <c r="V1819" s="548"/>
      <c r="W1819" s="528"/>
      <c r="X1819" s="711"/>
      <c r="Y1819" s="897"/>
      <c r="Z1819" s="528"/>
      <c r="AA1819" s="899"/>
      <c r="AB1819" s="899"/>
      <c r="AC1819" s="904"/>
      <c r="AD1819" s="901"/>
      <c r="AE1819" s="2"/>
      <c r="AF1819" s="885"/>
      <c r="AG1819" s="885"/>
      <c r="AH1819" s="885"/>
      <c r="AI1819" s="885"/>
      <c r="AJ1819" s="885"/>
      <c r="AK1819" s="885"/>
      <c r="AL1819" s="885"/>
      <c r="AM1819" s="879"/>
      <c r="AN1819" s="2"/>
      <c r="AO1819" s="886"/>
      <c r="AP1819" s="886"/>
      <c r="AV1819" t="str">
        <f t="shared" si="7234"/>
        <v>Drenagem Superficial</v>
      </c>
      <c r="AW1819" s="4" t="str">
        <f t="shared" si="7233"/>
        <v xml:space="preserve">   Seg. 2.3-C11- Drenagem Superficial - Canaleta de banqueta de corte (Km 125+960 a 126+360)</v>
      </c>
    </row>
    <row r="1820" spans="1:49" ht="14.1" hidden="1" customHeight="1" outlineLevel="2">
      <c r="A1820" s="8" t="str">
        <f t="shared" ref="A1820" si="7293">IF(SUM(P1820:V1821)&gt;0,"S","N")</f>
        <v>N</v>
      </c>
      <c r="B1820" s="150">
        <v>1061728</v>
      </c>
      <c r="C1820" s="150" t="s">
        <v>2151</v>
      </c>
      <c r="D1820" s="120" t="s">
        <v>344</v>
      </c>
      <c r="E1820" s="914" t="s">
        <v>2152</v>
      </c>
      <c r="F1820" s="902" t="s">
        <v>52</v>
      </c>
      <c r="G1820" s="528"/>
      <c r="H1820" s="546" t="s">
        <v>37</v>
      </c>
      <c r="I1820" s="711">
        <v>0</v>
      </c>
      <c r="J1820" s="896" t="str">
        <f t="shared" ref="J1820" si="7294">IFERROR((I1821/I1820),"-")</f>
        <v>-</v>
      </c>
      <c r="K1820" s="528"/>
      <c r="L1820" s="546" t="s">
        <v>37</v>
      </c>
      <c r="M1820" s="711">
        <f t="shared" si="7247"/>
        <v>0</v>
      </c>
      <c r="N1820" s="896" t="str">
        <f t="shared" ref="N1820" si="7295">IFERROR((M1821/M1820),"-")</f>
        <v>-</v>
      </c>
      <c r="O1820" s="528"/>
      <c r="P1820" s="547">
        <v>0</v>
      </c>
      <c r="Q1820" s="547">
        <v>0</v>
      </c>
      <c r="R1820" s="547">
        <v>0</v>
      </c>
      <c r="S1820" s="547">
        <v>0</v>
      </c>
      <c r="T1820" s="547">
        <v>0</v>
      </c>
      <c r="U1820" s="547">
        <v>0</v>
      </c>
      <c r="V1820" s="548">
        <v>0</v>
      </c>
      <c r="W1820" s="528"/>
      <c r="X1820" s="711"/>
      <c r="Y1820" s="896" t="str">
        <f>IFERROR((X1821/X1820),"-")</f>
        <v>-</v>
      </c>
      <c r="Z1820" s="528"/>
      <c r="AA1820" s="898">
        <v>0</v>
      </c>
      <c r="AB1820" s="898">
        <v>0</v>
      </c>
      <c r="AC1820" s="903">
        <v>0</v>
      </c>
      <c r="AD1820" s="900" t="str">
        <f t="shared" ref="AD1820" si="7296">IFERROR((AC1820/AB1820),"-")</f>
        <v>-</v>
      </c>
      <c r="AE1820" s="2"/>
      <c r="AF1820" s="884"/>
      <c r="AG1820" s="884"/>
      <c r="AH1820" s="884">
        <v>0</v>
      </c>
      <c r="AI1820" s="884"/>
      <c r="AJ1820" s="884"/>
      <c r="AK1820" s="884">
        <f t="shared" ref="AK1820" si="7297">AF1820+AG1820+AH1820+AI1820+AJ1820+AC1820</f>
        <v>0</v>
      </c>
      <c r="AL1820" s="884">
        <v>0</v>
      </c>
      <c r="AM1820" s="878" t="str">
        <f t="shared" ref="AM1820" si="7298">IFERROR((AK1820/AL1820),"-")</f>
        <v>-</v>
      </c>
      <c r="AN1820" s="2"/>
      <c r="AO1820" s="884">
        <v>325</v>
      </c>
      <c r="AP1820" s="884">
        <f t="shared" ref="AP1820" si="7299">AO1820-AK1820</f>
        <v>325</v>
      </c>
      <c r="AV1820" t="str">
        <f t="shared" si="7234"/>
        <v>Drenagem Superficial</v>
      </c>
      <c r="AW1820" s="4" t="str">
        <f t="shared" si="7233"/>
        <v xml:space="preserve">   Seg. 2.3-C14 - Drenagem Superficial - Canaleta de banqueta de corte (Km 127+980 a 128+300)</v>
      </c>
    </row>
    <row r="1821" spans="1:49" ht="14.85" hidden="1" customHeight="1" outlineLevel="2">
      <c r="A1821" s="8" t="str">
        <f t="shared" ref="A1821" si="7300">A1820</f>
        <v>N</v>
      </c>
      <c r="B1821" s="150"/>
      <c r="C1821" s="150" t="s">
        <v>2151</v>
      </c>
      <c r="D1821" s="120" t="s">
        <v>344</v>
      </c>
      <c r="E1821" s="915"/>
      <c r="F1821" s="902"/>
      <c r="G1821" s="528"/>
      <c r="H1821" s="549" t="s">
        <v>38</v>
      </c>
      <c r="I1821" s="711">
        <v>0</v>
      </c>
      <c r="J1821" s="897"/>
      <c r="K1821" s="528"/>
      <c r="L1821" s="549" t="s">
        <v>38</v>
      </c>
      <c r="M1821" s="711">
        <f t="shared" si="7247"/>
        <v>0</v>
      </c>
      <c r="N1821" s="897"/>
      <c r="O1821" s="528"/>
      <c r="P1821" s="548">
        <v>0</v>
      </c>
      <c r="Q1821" s="548">
        <v>0</v>
      </c>
      <c r="R1821" s="548">
        <v>0</v>
      </c>
      <c r="S1821" s="548">
        <v>0</v>
      </c>
      <c r="T1821" s="548">
        <v>0</v>
      </c>
      <c r="U1821" s="548">
        <v>0</v>
      </c>
      <c r="V1821" s="548"/>
      <c r="W1821" s="528"/>
      <c r="X1821" s="711"/>
      <c r="Y1821" s="897"/>
      <c r="Z1821" s="528"/>
      <c r="AA1821" s="899"/>
      <c r="AB1821" s="899"/>
      <c r="AC1821" s="904"/>
      <c r="AD1821" s="901"/>
      <c r="AE1821" s="2"/>
      <c r="AF1821" s="885"/>
      <c r="AG1821" s="885"/>
      <c r="AH1821" s="885"/>
      <c r="AI1821" s="885"/>
      <c r="AJ1821" s="885"/>
      <c r="AK1821" s="885"/>
      <c r="AL1821" s="885"/>
      <c r="AM1821" s="879"/>
      <c r="AN1821" s="2"/>
      <c r="AO1821" s="886"/>
      <c r="AP1821" s="886"/>
      <c r="AV1821" t="str">
        <f t="shared" si="7234"/>
        <v>Drenagem Superficial</v>
      </c>
      <c r="AW1821" s="4" t="str">
        <f t="shared" si="7233"/>
        <v xml:space="preserve">   Seg. 2.3-C14 - Drenagem Superficial - Canaleta de banqueta de corte (Km 127+980 a 128+300)</v>
      </c>
    </row>
    <row r="1822" spans="1:49" ht="14.85" hidden="1" customHeight="1" outlineLevel="2">
      <c r="A1822" s="8" t="str">
        <f t="shared" ref="A1822" si="7301">IF(SUM(P1822:V1823)&gt;0,"S","N")</f>
        <v>N</v>
      </c>
      <c r="B1822" s="150">
        <v>1061752</v>
      </c>
      <c r="C1822" s="150" t="s">
        <v>2153</v>
      </c>
      <c r="D1822" s="120" t="s">
        <v>1262</v>
      </c>
      <c r="E1822" s="914" t="s">
        <v>2154</v>
      </c>
      <c r="F1822" s="902" t="s">
        <v>52</v>
      </c>
      <c r="G1822" s="528"/>
      <c r="H1822" s="546" t="s">
        <v>37</v>
      </c>
      <c r="I1822" s="711">
        <v>0</v>
      </c>
      <c r="J1822" s="896" t="str">
        <f t="shared" ref="J1822" si="7302">IFERROR((I1823/I1822),"-")</f>
        <v>-</v>
      </c>
      <c r="K1822" s="528"/>
      <c r="L1822" s="546" t="s">
        <v>37</v>
      </c>
      <c r="M1822" s="711">
        <f t="shared" si="7247"/>
        <v>0</v>
      </c>
      <c r="N1822" s="896" t="str">
        <f t="shared" ref="N1822" si="7303">IFERROR((M1823/M1822),"-")</f>
        <v>-</v>
      </c>
      <c r="O1822" s="528"/>
      <c r="P1822" s="547">
        <v>0</v>
      </c>
      <c r="Q1822" s="547">
        <v>0</v>
      </c>
      <c r="R1822" s="547">
        <v>0</v>
      </c>
      <c r="S1822" s="547">
        <v>0</v>
      </c>
      <c r="T1822" s="547">
        <v>0</v>
      </c>
      <c r="U1822" s="547">
        <v>0</v>
      </c>
      <c r="V1822" s="548">
        <v>0</v>
      </c>
      <c r="W1822" s="528"/>
      <c r="X1822" s="711"/>
      <c r="Y1822" s="896" t="str">
        <f>IFERROR((X1823/X1822),"-")</f>
        <v>-</v>
      </c>
      <c r="Z1822" s="528"/>
      <c r="AA1822" s="898">
        <v>0</v>
      </c>
      <c r="AB1822" s="898">
        <v>0</v>
      </c>
      <c r="AC1822" s="903">
        <v>0</v>
      </c>
      <c r="AD1822" s="900" t="str">
        <f t="shared" ref="AD1822" si="7304">IFERROR((AC1822/AB1822),"-")</f>
        <v>-</v>
      </c>
      <c r="AE1822" s="2"/>
      <c r="AF1822" s="884"/>
      <c r="AG1822" s="884"/>
      <c r="AH1822" s="884">
        <v>0</v>
      </c>
      <c r="AI1822" s="884"/>
      <c r="AJ1822" s="884"/>
      <c r="AK1822" s="884">
        <f t="shared" ref="AK1822" si="7305">AF1822+AG1822+AH1822+AI1822+AJ1822+AC1822</f>
        <v>0</v>
      </c>
      <c r="AL1822" s="884">
        <v>0</v>
      </c>
      <c r="AM1822" s="878" t="str">
        <f t="shared" ref="AM1822" si="7306">IFERROR((AK1822/AL1822),"-")</f>
        <v>-</v>
      </c>
      <c r="AN1822" s="2"/>
      <c r="AO1822" s="884">
        <v>530</v>
      </c>
      <c r="AP1822" s="884">
        <f t="shared" ref="AP1822" si="7307">AO1822-AK1822</f>
        <v>530</v>
      </c>
      <c r="AV1822" t="str">
        <f t="shared" si="7234"/>
        <v>Drenagem Superficial</v>
      </c>
      <c r="AW1822" s="4" t="str">
        <f t="shared" si="7233"/>
        <v xml:space="preserve">   Seg. 2.3-A06 - Drenagem Superficial - Canaleta de banqueta de aterro (Km 120+920 a 121+560)</v>
      </c>
    </row>
    <row r="1823" spans="1:49" ht="15.6" hidden="1" customHeight="1" outlineLevel="2">
      <c r="A1823" s="8" t="str">
        <f t="shared" ref="A1823" si="7308">A1822</f>
        <v>N</v>
      </c>
      <c r="B1823" s="150"/>
      <c r="C1823" s="150" t="s">
        <v>2153</v>
      </c>
      <c r="D1823" s="120" t="s">
        <v>1262</v>
      </c>
      <c r="E1823" s="915"/>
      <c r="F1823" s="902"/>
      <c r="G1823" s="528"/>
      <c r="H1823" s="549" t="s">
        <v>38</v>
      </c>
      <c r="I1823" s="711">
        <v>0</v>
      </c>
      <c r="J1823" s="897"/>
      <c r="K1823" s="528"/>
      <c r="L1823" s="549" t="s">
        <v>38</v>
      </c>
      <c r="M1823" s="711">
        <f t="shared" si="7247"/>
        <v>0</v>
      </c>
      <c r="N1823" s="897"/>
      <c r="O1823" s="528"/>
      <c r="P1823" s="548">
        <v>0</v>
      </c>
      <c r="Q1823" s="548">
        <v>0</v>
      </c>
      <c r="R1823" s="548">
        <v>0</v>
      </c>
      <c r="S1823" s="548">
        <v>0</v>
      </c>
      <c r="T1823" s="548">
        <v>0</v>
      </c>
      <c r="U1823" s="548">
        <v>0</v>
      </c>
      <c r="V1823" s="548"/>
      <c r="W1823" s="528"/>
      <c r="X1823" s="711"/>
      <c r="Y1823" s="897"/>
      <c r="Z1823" s="528"/>
      <c r="AA1823" s="899"/>
      <c r="AB1823" s="899"/>
      <c r="AC1823" s="904"/>
      <c r="AD1823" s="901"/>
      <c r="AE1823" s="2"/>
      <c r="AF1823" s="885"/>
      <c r="AG1823" s="885"/>
      <c r="AH1823" s="885"/>
      <c r="AI1823" s="885"/>
      <c r="AJ1823" s="885"/>
      <c r="AK1823" s="885"/>
      <c r="AL1823" s="885"/>
      <c r="AM1823" s="879"/>
      <c r="AN1823" s="2"/>
      <c r="AO1823" s="886"/>
      <c r="AP1823" s="886"/>
      <c r="AV1823" t="str">
        <f t="shared" si="7234"/>
        <v>Drenagem Superficial</v>
      </c>
      <c r="AW1823" s="4" t="str">
        <f t="shared" si="7233"/>
        <v xml:space="preserve">   Seg. 2.3-A06 - Drenagem Superficial - Canaleta de banqueta de aterro (Km 120+920 a 121+560)</v>
      </c>
    </row>
    <row r="1824" spans="1:49" ht="15.6" hidden="1" customHeight="1" outlineLevel="2">
      <c r="A1824" s="8" t="str">
        <f t="shared" ref="A1824" si="7309">IF(SUM(P1824:V1825)&gt;0,"S","N")</f>
        <v>N</v>
      </c>
      <c r="B1824" s="150">
        <v>1061770</v>
      </c>
      <c r="C1824" s="150" t="s">
        <v>2155</v>
      </c>
      <c r="D1824" s="120" t="s">
        <v>1273</v>
      </c>
      <c r="E1824" s="914" t="s">
        <v>2156</v>
      </c>
      <c r="F1824" s="902" t="s">
        <v>52</v>
      </c>
      <c r="G1824" s="528"/>
      <c r="H1824" s="546" t="s">
        <v>37</v>
      </c>
      <c r="I1824" s="711">
        <v>0</v>
      </c>
      <c r="J1824" s="896" t="str">
        <f t="shared" ref="J1824" si="7310">IFERROR((I1825/I1824),"-")</f>
        <v>-</v>
      </c>
      <c r="K1824" s="528"/>
      <c r="L1824" s="546" t="s">
        <v>37</v>
      </c>
      <c r="M1824" s="711">
        <f t="shared" si="7247"/>
        <v>0</v>
      </c>
      <c r="N1824" s="896" t="str">
        <f t="shared" ref="N1824" si="7311">IFERROR((M1825/M1824),"-")</f>
        <v>-</v>
      </c>
      <c r="O1824" s="528"/>
      <c r="P1824" s="547">
        <v>0</v>
      </c>
      <c r="Q1824" s="547">
        <v>0</v>
      </c>
      <c r="R1824" s="547">
        <v>0</v>
      </c>
      <c r="S1824" s="547">
        <v>0</v>
      </c>
      <c r="T1824" s="547">
        <v>0</v>
      </c>
      <c r="U1824" s="547">
        <v>0</v>
      </c>
      <c r="V1824" s="548">
        <v>0</v>
      </c>
      <c r="W1824" s="528"/>
      <c r="X1824" s="711"/>
      <c r="Y1824" s="896" t="str">
        <f>IFERROR((X1825/X1824),"-")</f>
        <v>-</v>
      </c>
      <c r="Z1824" s="528"/>
      <c r="AA1824" s="898">
        <v>0</v>
      </c>
      <c r="AB1824" s="898">
        <v>0</v>
      </c>
      <c r="AC1824" s="903">
        <v>0</v>
      </c>
      <c r="AD1824" s="900" t="str">
        <f t="shared" ref="AD1824" si="7312">IFERROR((AC1824/AB1824),"-")</f>
        <v>-</v>
      </c>
      <c r="AE1824" s="2"/>
      <c r="AF1824" s="884">
        <v>549.86599999999999</v>
      </c>
      <c r="AG1824" s="884"/>
      <c r="AH1824" s="884">
        <v>0</v>
      </c>
      <c r="AI1824" s="884"/>
      <c r="AJ1824" s="884"/>
      <c r="AK1824" s="884">
        <f t="shared" ref="AK1824" si="7313">AF1824+AG1824+AH1824+AI1824+AJ1824+AC1824</f>
        <v>549.86599999999999</v>
      </c>
      <c r="AL1824" s="884">
        <v>548.41</v>
      </c>
      <c r="AM1824" s="878">
        <f t="shared" ref="AM1824" si="7314">IFERROR((AK1824/AL1824),"-")</f>
        <v>1.0026549479404097</v>
      </c>
      <c r="AN1824" s="2"/>
      <c r="AO1824" s="884">
        <v>578</v>
      </c>
      <c r="AP1824" s="884">
        <f t="shared" ref="AP1824" si="7315">AO1824-AK1824</f>
        <v>28.134000000000015</v>
      </c>
      <c r="AV1824" t="str">
        <f t="shared" si="7234"/>
        <v>Drenagem Superficial</v>
      </c>
      <c r="AW1824" s="4" t="str">
        <f t="shared" si="7233"/>
        <v xml:space="preserve">   Seg. 2.3-A12 - Drenagem Superficial -Canaleta de banqueta de aterro (Km 124+620 a 125+180)</v>
      </c>
    </row>
    <row r="1825" spans="1:50" ht="15.6" hidden="1" customHeight="1" outlineLevel="2">
      <c r="A1825" s="8" t="str">
        <f t="shared" ref="A1825" si="7316">A1824</f>
        <v>N</v>
      </c>
      <c r="B1825" s="150"/>
      <c r="C1825" s="150" t="s">
        <v>2155</v>
      </c>
      <c r="D1825" s="120" t="s">
        <v>1273</v>
      </c>
      <c r="E1825" s="915"/>
      <c r="F1825" s="902"/>
      <c r="G1825" s="528"/>
      <c r="H1825" s="549" t="s">
        <v>38</v>
      </c>
      <c r="I1825" s="711">
        <v>0</v>
      </c>
      <c r="J1825" s="897"/>
      <c r="K1825" s="528"/>
      <c r="L1825" s="549" t="s">
        <v>38</v>
      </c>
      <c r="M1825" s="711">
        <f t="shared" si="7247"/>
        <v>0</v>
      </c>
      <c r="N1825" s="897"/>
      <c r="O1825" s="528"/>
      <c r="P1825" s="548">
        <v>0</v>
      </c>
      <c r="Q1825" s="548">
        <v>0</v>
      </c>
      <c r="R1825" s="548">
        <v>0</v>
      </c>
      <c r="S1825" s="548">
        <v>0</v>
      </c>
      <c r="T1825" s="548">
        <v>0</v>
      </c>
      <c r="U1825" s="548">
        <v>0</v>
      </c>
      <c r="V1825" s="548"/>
      <c r="W1825" s="528"/>
      <c r="X1825" s="711"/>
      <c r="Y1825" s="897"/>
      <c r="Z1825" s="528"/>
      <c r="AA1825" s="899"/>
      <c r="AB1825" s="899"/>
      <c r="AC1825" s="904"/>
      <c r="AD1825" s="901"/>
      <c r="AE1825" s="2"/>
      <c r="AF1825" s="885"/>
      <c r="AG1825" s="885"/>
      <c r="AH1825" s="885"/>
      <c r="AI1825" s="885"/>
      <c r="AJ1825" s="885"/>
      <c r="AK1825" s="885"/>
      <c r="AL1825" s="885"/>
      <c r="AM1825" s="879"/>
      <c r="AN1825" s="2"/>
      <c r="AO1825" s="886"/>
      <c r="AP1825" s="886"/>
      <c r="AV1825" t="str">
        <f t="shared" si="7234"/>
        <v>Drenagem Superficial</v>
      </c>
      <c r="AW1825" s="4" t="str">
        <f t="shared" si="7233"/>
        <v xml:space="preserve">   Seg. 2.3-A12 - Drenagem Superficial -Canaleta de banqueta de aterro (Km 124+620 a 125+180)</v>
      </c>
    </row>
    <row r="1826" spans="1:50" ht="15.6" hidden="1" customHeight="1" outlineLevel="2">
      <c r="A1826" s="8" t="str">
        <f t="shared" ref="A1826" si="7317">IF(SUM(P1826:V1827)&gt;0,"S","N")</f>
        <v>N</v>
      </c>
      <c r="B1826" s="150">
        <v>1061775</v>
      </c>
      <c r="C1826" s="150" t="s">
        <v>2157</v>
      </c>
      <c r="D1826" s="120" t="s">
        <v>1275</v>
      </c>
      <c r="E1826" s="914" t="s">
        <v>2158</v>
      </c>
      <c r="F1826" s="902" t="s">
        <v>52</v>
      </c>
      <c r="G1826" s="528"/>
      <c r="H1826" s="546" t="s">
        <v>37</v>
      </c>
      <c r="I1826" s="711">
        <v>0</v>
      </c>
      <c r="J1826" s="896" t="str">
        <f t="shared" ref="J1826" si="7318">IFERROR((I1827/I1826),"-")</f>
        <v>-</v>
      </c>
      <c r="K1826" s="528"/>
      <c r="L1826" s="546" t="s">
        <v>37</v>
      </c>
      <c r="M1826" s="711">
        <f t="shared" si="7247"/>
        <v>0</v>
      </c>
      <c r="N1826" s="896" t="str">
        <f t="shared" ref="N1826" si="7319">IFERROR((M1827/M1826),"-")</f>
        <v>-</v>
      </c>
      <c r="O1826" s="528"/>
      <c r="P1826" s="547">
        <v>0</v>
      </c>
      <c r="Q1826" s="547">
        <v>0</v>
      </c>
      <c r="R1826" s="547">
        <v>0</v>
      </c>
      <c r="S1826" s="547">
        <v>0</v>
      </c>
      <c r="T1826" s="547">
        <v>0</v>
      </c>
      <c r="U1826" s="547">
        <v>0</v>
      </c>
      <c r="V1826" s="548">
        <v>0</v>
      </c>
      <c r="W1826" s="528"/>
      <c r="X1826" s="711"/>
      <c r="Y1826" s="896" t="str">
        <f>IFERROR((X1827/X1826),"-")</f>
        <v>-</v>
      </c>
      <c r="Z1826" s="528"/>
      <c r="AA1826" s="898">
        <v>0</v>
      </c>
      <c r="AB1826" s="898">
        <v>0</v>
      </c>
      <c r="AC1826" s="903">
        <v>0</v>
      </c>
      <c r="AD1826" s="900" t="str">
        <f t="shared" ref="AD1826" si="7320">IFERROR((AC1826/AB1826),"-")</f>
        <v>-</v>
      </c>
      <c r="AE1826" s="2"/>
      <c r="AF1826" s="884"/>
      <c r="AG1826" s="884"/>
      <c r="AH1826" s="884">
        <v>0</v>
      </c>
      <c r="AI1826" s="884"/>
      <c r="AJ1826" s="884"/>
      <c r="AK1826" s="884">
        <f t="shared" ref="AK1826" si="7321">AF1826+AG1826+AH1826+AI1826+AJ1826+AC1826</f>
        <v>0</v>
      </c>
      <c r="AL1826" s="884">
        <v>0</v>
      </c>
      <c r="AM1826" s="878" t="str">
        <f t="shared" ref="AM1826" si="7322">IFERROR((AK1826/AL1826),"-")</f>
        <v>-</v>
      </c>
      <c r="AN1826" s="2"/>
      <c r="AO1826" s="884">
        <v>468</v>
      </c>
      <c r="AP1826" s="884">
        <f t="shared" ref="AP1826" si="7323">AO1826-AK1826</f>
        <v>468</v>
      </c>
      <c r="AV1826" t="str">
        <f t="shared" si="7234"/>
        <v>Drenagem Superficial</v>
      </c>
      <c r="AW1826" s="4" t="str">
        <f t="shared" si="7233"/>
        <v xml:space="preserve">   Seg. 2.3-A13 - Drenagem Superficial - Canaleta de banqueta de aterro (Km 125+640 a 125+960)</v>
      </c>
    </row>
    <row r="1827" spans="1:50" ht="15.6" hidden="1" customHeight="1" outlineLevel="2">
      <c r="A1827" s="8" t="str">
        <f t="shared" ref="A1827" si="7324">A1826</f>
        <v>N</v>
      </c>
      <c r="B1827" s="150"/>
      <c r="C1827" s="150" t="s">
        <v>2157</v>
      </c>
      <c r="D1827" s="120" t="s">
        <v>1275</v>
      </c>
      <c r="E1827" s="915"/>
      <c r="F1827" s="902"/>
      <c r="G1827" s="528"/>
      <c r="H1827" s="549" t="s">
        <v>38</v>
      </c>
      <c r="I1827" s="711">
        <v>0</v>
      </c>
      <c r="J1827" s="897"/>
      <c r="K1827" s="528"/>
      <c r="L1827" s="549" t="s">
        <v>38</v>
      </c>
      <c r="M1827" s="711">
        <f t="shared" si="7247"/>
        <v>0</v>
      </c>
      <c r="N1827" s="897"/>
      <c r="O1827" s="528"/>
      <c r="P1827" s="548">
        <v>0</v>
      </c>
      <c r="Q1827" s="548">
        <v>0</v>
      </c>
      <c r="R1827" s="548">
        <v>0</v>
      </c>
      <c r="S1827" s="548">
        <v>0</v>
      </c>
      <c r="T1827" s="548">
        <v>0</v>
      </c>
      <c r="U1827" s="548">
        <v>0</v>
      </c>
      <c r="V1827" s="548"/>
      <c r="W1827" s="528"/>
      <c r="X1827" s="711"/>
      <c r="Y1827" s="897"/>
      <c r="Z1827" s="528"/>
      <c r="AA1827" s="899"/>
      <c r="AB1827" s="899"/>
      <c r="AC1827" s="904"/>
      <c r="AD1827" s="901"/>
      <c r="AE1827" s="2"/>
      <c r="AF1827" s="885"/>
      <c r="AG1827" s="885"/>
      <c r="AH1827" s="885"/>
      <c r="AI1827" s="885"/>
      <c r="AJ1827" s="885"/>
      <c r="AK1827" s="885"/>
      <c r="AL1827" s="885"/>
      <c r="AM1827" s="879"/>
      <c r="AN1827" s="2"/>
      <c r="AO1827" s="886"/>
      <c r="AP1827" s="886"/>
      <c r="AV1827" t="str">
        <f t="shared" si="7234"/>
        <v>Drenagem Superficial</v>
      </c>
      <c r="AW1827" s="4" t="str">
        <f t="shared" si="7233"/>
        <v xml:space="preserve">   Seg. 2.3-A13 - Drenagem Superficial - Canaleta de banqueta de aterro (Km 125+640 a 125+960)</v>
      </c>
    </row>
    <row r="1828" spans="1:50" ht="15.6" hidden="1" customHeight="1" outlineLevel="2">
      <c r="A1828" s="8" t="str">
        <f t="shared" ref="A1828" si="7325">IF(SUM(P1828:V1829)&gt;0,"S","N")</f>
        <v>N</v>
      </c>
      <c r="B1828" s="150">
        <v>1061780</v>
      </c>
      <c r="C1828" s="150" t="s">
        <v>2159</v>
      </c>
      <c r="D1828" s="120" t="s">
        <v>1277</v>
      </c>
      <c r="E1828" s="914" t="s">
        <v>2160</v>
      </c>
      <c r="F1828" s="902" t="s">
        <v>52</v>
      </c>
      <c r="G1828" s="528"/>
      <c r="H1828" s="546" t="s">
        <v>37</v>
      </c>
      <c r="I1828" s="711">
        <v>0</v>
      </c>
      <c r="J1828" s="896" t="str">
        <f t="shared" ref="J1828" si="7326">IFERROR((I1829/I1828),"-")</f>
        <v>-</v>
      </c>
      <c r="K1828" s="528"/>
      <c r="L1828" s="546" t="s">
        <v>37</v>
      </c>
      <c r="M1828" s="711">
        <f t="shared" si="7247"/>
        <v>0</v>
      </c>
      <c r="N1828" s="896" t="str">
        <f t="shared" ref="N1828" si="7327">IFERROR((M1829/M1828),"-")</f>
        <v>-</v>
      </c>
      <c r="O1828" s="528"/>
      <c r="P1828" s="547">
        <v>0</v>
      </c>
      <c r="Q1828" s="547">
        <v>0</v>
      </c>
      <c r="R1828" s="547">
        <v>0</v>
      </c>
      <c r="S1828" s="547">
        <v>0</v>
      </c>
      <c r="T1828" s="547">
        <v>0</v>
      </c>
      <c r="U1828" s="547">
        <v>0</v>
      </c>
      <c r="V1828" s="548">
        <v>0</v>
      </c>
      <c r="W1828" s="528"/>
      <c r="X1828" s="711"/>
      <c r="Y1828" s="896" t="str">
        <f>IFERROR((X1829/X1828),"-")</f>
        <v>-</v>
      </c>
      <c r="Z1828" s="528"/>
      <c r="AA1828" s="898">
        <v>0</v>
      </c>
      <c r="AB1828" s="898">
        <v>0</v>
      </c>
      <c r="AC1828" s="903">
        <v>0</v>
      </c>
      <c r="AD1828" s="900" t="str">
        <f t="shared" ref="AD1828" si="7328">IFERROR((AC1828/AB1828),"-")</f>
        <v>-</v>
      </c>
      <c r="AE1828" s="2"/>
      <c r="AF1828" s="884"/>
      <c r="AG1828" s="884"/>
      <c r="AH1828" s="884">
        <v>0</v>
      </c>
      <c r="AI1828" s="884"/>
      <c r="AJ1828" s="884"/>
      <c r="AK1828" s="884">
        <f t="shared" ref="AK1828" si="7329">AF1828+AG1828+AH1828+AI1828+AJ1828+AC1828</f>
        <v>0</v>
      </c>
      <c r="AL1828" s="884">
        <v>0</v>
      </c>
      <c r="AM1828" s="878" t="str">
        <f t="shared" ref="AM1828" si="7330">IFERROR((AK1828/AL1828),"-")</f>
        <v>-</v>
      </c>
      <c r="AN1828" s="2"/>
      <c r="AO1828" s="884">
        <v>30</v>
      </c>
      <c r="AP1828" s="884">
        <f t="shared" ref="AP1828" si="7331">AO1828-AK1828</f>
        <v>30</v>
      </c>
      <c r="AV1828" t="str">
        <f t="shared" si="7234"/>
        <v>Drenagem Superficial</v>
      </c>
      <c r="AW1828" s="4" t="str">
        <f t="shared" si="7233"/>
        <v xml:space="preserve">   Seg. 2.3-A14 - Drenagem Superficial - Canaleta de banqueta de aterro (Km 126+360 a 126+500)</v>
      </c>
    </row>
    <row r="1829" spans="1:50" ht="15.6" hidden="1" customHeight="1" outlineLevel="2">
      <c r="A1829" s="8" t="str">
        <f t="shared" ref="A1829" si="7332">A1828</f>
        <v>N</v>
      </c>
      <c r="B1829" s="150"/>
      <c r="C1829" s="150" t="s">
        <v>2159</v>
      </c>
      <c r="D1829" s="120" t="s">
        <v>1277</v>
      </c>
      <c r="E1829" s="915"/>
      <c r="F1829" s="902"/>
      <c r="G1829" s="528"/>
      <c r="H1829" s="549" t="s">
        <v>38</v>
      </c>
      <c r="I1829" s="711">
        <v>0</v>
      </c>
      <c r="J1829" s="897"/>
      <c r="K1829" s="528"/>
      <c r="L1829" s="549" t="s">
        <v>38</v>
      </c>
      <c r="M1829" s="711">
        <f t="shared" si="7247"/>
        <v>0</v>
      </c>
      <c r="N1829" s="897"/>
      <c r="O1829" s="528"/>
      <c r="P1829" s="548">
        <v>0</v>
      </c>
      <c r="Q1829" s="548">
        <v>0</v>
      </c>
      <c r="R1829" s="548">
        <v>0</v>
      </c>
      <c r="S1829" s="548">
        <v>0</v>
      </c>
      <c r="T1829" s="548">
        <v>0</v>
      </c>
      <c r="U1829" s="548">
        <v>0</v>
      </c>
      <c r="V1829" s="548"/>
      <c r="W1829" s="528"/>
      <c r="X1829" s="711"/>
      <c r="Y1829" s="897"/>
      <c r="Z1829" s="528"/>
      <c r="AA1829" s="899"/>
      <c r="AB1829" s="899"/>
      <c r="AC1829" s="904"/>
      <c r="AD1829" s="901"/>
      <c r="AE1829" s="2"/>
      <c r="AF1829" s="885"/>
      <c r="AG1829" s="885"/>
      <c r="AH1829" s="885"/>
      <c r="AI1829" s="885"/>
      <c r="AJ1829" s="885"/>
      <c r="AK1829" s="885"/>
      <c r="AL1829" s="885"/>
      <c r="AM1829" s="879"/>
      <c r="AN1829" s="2"/>
      <c r="AO1829" s="886"/>
      <c r="AP1829" s="886"/>
      <c r="AV1829" t="str">
        <f t="shared" si="7234"/>
        <v>Drenagem Superficial</v>
      </c>
      <c r="AW1829" s="4" t="str">
        <f t="shared" si="7233"/>
        <v xml:space="preserve">   Seg. 2.3-A14 - Drenagem Superficial - Canaleta de banqueta de aterro (Km 126+360 a 126+500)</v>
      </c>
    </row>
    <row r="1830" spans="1:50" ht="15.6" hidden="1" customHeight="1" outlineLevel="2">
      <c r="A1830" s="8" t="str">
        <f t="shared" ref="A1830" si="7333">IF(SUM(P1830:V1831)&gt;0,"S","N")</f>
        <v>N</v>
      </c>
      <c r="B1830" s="150">
        <v>1061785</v>
      </c>
      <c r="C1830" s="150" t="s">
        <v>2161</v>
      </c>
      <c r="D1830" s="120" t="s">
        <v>1279</v>
      </c>
      <c r="E1830" s="914" t="s">
        <v>2162</v>
      </c>
      <c r="F1830" s="902" t="s">
        <v>52</v>
      </c>
      <c r="G1830" s="528"/>
      <c r="H1830" s="546" t="s">
        <v>37</v>
      </c>
      <c r="I1830" s="711">
        <v>0</v>
      </c>
      <c r="J1830" s="896" t="str">
        <f t="shared" ref="J1830" si="7334">IFERROR((I1831/I1830),"-")</f>
        <v>-</v>
      </c>
      <c r="K1830" s="528"/>
      <c r="L1830" s="546" t="s">
        <v>37</v>
      </c>
      <c r="M1830" s="711">
        <f t="shared" si="7247"/>
        <v>0</v>
      </c>
      <c r="N1830" s="896" t="str">
        <f t="shared" ref="N1830" si="7335">IFERROR((M1831/M1830),"-")</f>
        <v>-</v>
      </c>
      <c r="O1830" s="528"/>
      <c r="P1830" s="547">
        <v>0</v>
      </c>
      <c r="Q1830" s="547">
        <v>0</v>
      </c>
      <c r="R1830" s="547">
        <v>0</v>
      </c>
      <c r="S1830" s="547">
        <v>0</v>
      </c>
      <c r="T1830" s="547">
        <v>0</v>
      </c>
      <c r="U1830" s="547">
        <v>0</v>
      </c>
      <c r="V1830" s="548">
        <v>0</v>
      </c>
      <c r="W1830" s="528"/>
      <c r="X1830" s="711"/>
      <c r="Y1830" s="896" t="str">
        <f>IFERROR((X1831/X1830),"-")</f>
        <v>-</v>
      </c>
      <c r="Z1830" s="528"/>
      <c r="AA1830" s="898">
        <v>0</v>
      </c>
      <c r="AB1830" s="898">
        <v>0</v>
      </c>
      <c r="AC1830" s="903">
        <v>0</v>
      </c>
      <c r="AD1830" s="900" t="str">
        <f t="shared" ref="AD1830" si="7336">IFERROR((AC1830/AB1830),"-")</f>
        <v>-</v>
      </c>
      <c r="AE1830" s="2"/>
      <c r="AF1830" s="884">
        <v>111.80200000000001</v>
      </c>
      <c r="AG1830" s="884"/>
      <c r="AH1830" s="884">
        <v>0</v>
      </c>
      <c r="AI1830" s="884"/>
      <c r="AJ1830" s="884"/>
      <c r="AK1830" s="884">
        <f t="shared" ref="AK1830" si="7337">AF1830+AG1830+AH1830+AI1830+AJ1830+AC1830</f>
        <v>111.80200000000001</v>
      </c>
      <c r="AL1830" s="884">
        <v>0.12999999999999998</v>
      </c>
      <c r="AM1830" s="878" t="s">
        <v>416</v>
      </c>
      <c r="AN1830" s="2"/>
      <c r="AO1830" s="884">
        <v>691.98</v>
      </c>
      <c r="AP1830" s="884">
        <f t="shared" ref="AP1830" si="7338">AO1830-AK1830</f>
        <v>580.178</v>
      </c>
      <c r="AV1830" t="str">
        <f t="shared" si="7234"/>
        <v>Drenagem Superficial</v>
      </c>
      <c r="AW1830" s="4" t="str">
        <f t="shared" si="7233"/>
        <v xml:space="preserve">   Seg. 2.3-A15 - Drenagem Superficial - Canaleta de banqueta de aterro (Km 126+620 a 127+440)</v>
      </c>
    </row>
    <row r="1831" spans="1:50" ht="15.6" hidden="1" customHeight="1" outlineLevel="2">
      <c r="A1831" s="8" t="str">
        <f t="shared" ref="A1831" si="7339">A1830</f>
        <v>N</v>
      </c>
      <c r="B1831" s="150"/>
      <c r="C1831" s="150" t="s">
        <v>2161</v>
      </c>
      <c r="D1831" s="120" t="s">
        <v>1279</v>
      </c>
      <c r="E1831" s="915"/>
      <c r="F1831" s="902"/>
      <c r="G1831" s="528"/>
      <c r="H1831" s="549" t="s">
        <v>38</v>
      </c>
      <c r="I1831" s="711">
        <v>0</v>
      </c>
      <c r="J1831" s="897"/>
      <c r="K1831" s="528"/>
      <c r="L1831" s="549" t="s">
        <v>38</v>
      </c>
      <c r="M1831" s="711">
        <f t="shared" si="7247"/>
        <v>0</v>
      </c>
      <c r="N1831" s="897"/>
      <c r="O1831" s="528"/>
      <c r="P1831" s="548">
        <v>0</v>
      </c>
      <c r="Q1831" s="548">
        <v>0</v>
      </c>
      <c r="R1831" s="548">
        <v>0</v>
      </c>
      <c r="S1831" s="548">
        <v>0</v>
      </c>
      <c r="T1831" s="548">
        <v>0</v>
      </c>
      <c r="U1831" s="548">
        <v>0</v>
      </c>
      <c r="V1831" s="548"/>
      <c r="W1831" s="528"/>
      <c r="X1831" s="711"/>
      <c r="Y1831" s="897"/>
      <c r="Z1831" s="528"/>
      <c r="AA1831" s="899"/>
      <c r="AB1831" s="899"/>
      <c r="AC1831" s="904"/>
      <c r="AD1831" s="901"/>
      <c r="AE1831" s="2"/>
      <c r="AF1831" s="885"/>
      <c r="AG1831" s="885"/>
      <c r="AH1831" s="885"/>
      <c r="AI1831" s="885"/>
      <c r="AJ1831" s="885"/>
      <c r="AK1831" s="885"/>
      <c r="AL1831" s="885"/>
      <c r="AM1831" s="879"/>
      <c r="AN1831" s="2"/>
      <c r="AO1831" s="886"/>
      <c r="AP1831" s="886"/>
      <c r="AV1831" t="str">
        <f t="shared" si="7234"/>
        <v>Drenagem Superficial</v>
      </c>
      <c r="AW1831" s="4" t="str">
        <f t="shared" si="7233"/>
        <v xml:space="preserve">   Seg. 2.3-A15 - Drenagem Superficial - Canaleta de banqueta de aterro (Km 126+620 a 127+440)</v>
      </c>
      <c r="AX1831" s="4"/>
    </row>
    <row r="1832" spans="1:50" ht="15.6" hidden="1" customHeight="1" outlineLevel="2">
      <c r="A1832" s="8" t="str">
        <f t="shared" ref="A1832" si="7340">IF(SUM(P1832:V1833)&gt;0,"S","N")</f>
        <v>N</v>
      </c>
      <c r="B1832" s="150">
        <v>1061790</v>
      </c>
      <c r="C1832" s="150" t="s">
        <v>2163</v>
      </c>
      <c r="D1832" s="120" t="s">
        <v>1281</v>
      </c>
      <c r="E1832" s="914" t="s">
        <v>2164</v>
      </c>
      <c r="F1832" s="902" t="s">
        <v>52</v>
      </c>
      <c r="G1832" s="528"/>
      <c r="H1832" s="546" t="s">
        <v>37</v>
      </c>
      <c r="I1832" s="711">
        <v>0</v>
      </c>
      <c r="J1832" s="896" t="str">
        <f t="shared" ref="J1832" si="7341">IFERROR((I1833/I1832),"-")</f>
        <v>-</v>
      </c>
      <c r="K1832" s="528"/>
      <c r="L1832" s="546" t="s">
        <v>37</v>
      </c>
      <c r="M1832" s="711">
        <f t="shared" si="7247"/>
        <v>0</v>
      </c>
      <c r="N1832" s="896" t="str">
        <f t="shared" ref="N1832" si="7342">IFERROR((M1833/M1832),"-")</f>
        <v>-</v>
      </c>
      <c r="O1832" s="528"/>
      <c r="P1832" s="547">
        <v>0</v>
      </c>
      <c r="Q1832" s="547">
        <v>0</v>
      </c>
      <c r="R1832" s="547">
        <v>0</v>
      </c>
      <c r="S1832" s="547">
        <v>0</v>
      </c>
      <c r="T1832" s="547">
        <v>0</v>
      </c>
      <c r="U1832" s="547">
        <v>0</v>
      </c>
      <c r="V1832" s="548">
        <v>0</v>
      </c>
      <c r="W1832" s="528"/>
      <c r="X1832" s="711"/>
      <c r="Y1832" s="896" t="str">
        <f>IFERROR((X1833/X1832),"-")</f>
        <v>-</v>
      </c>
      <c r="Z1832" s="528"/>
      <c r="AA1832" s="898">
        <v>0</v>
      </c>
      <c r="AB1832" s="898">
        <v>0</v>
      </c>
      <c r="AC1832" s="903">
        <v>0</v>
      </c>
      <c r="AD1832" s="900" t="str">
        <f t="shared" ref="AD1832" si="7343">IFERROR((AC1832/AB1832),"-")</f>
        <v>-</v>
      </c>
      <c r="AE1832" s="2"/>
      <c r="AF1832" s="884"/>
      <c r="AG1832" s="884"/>
      <c r="AH1832" s="884">
        <v>0</v>
      </c>
      <c r="AI1832" s="884"/>
      <c r="AJ1832" s="884"/>
      <c r="AK1832" s="884">
        <f t="shared" ref="AK1832" si="7344">AF1832+AG1832+AH1832+AI1832+AJ1832+AC1832</f>
        <v>0</v>
      </c>
      <c r="AL1832" s="884">
        <v>0</v>
      </c>
      <c r="AM1832" s="878" t="str">
        <f t="shared" ref="AM1832" si="7345">IFERROR((AK1832/AL1832),"-")</f>
        <v>-</v>
      </c>
      <c r="AN1832" s="2"/>
      <c r="AO1832" s="884">
        <v>305</v>
      </c>
      <c r="AP1832" s="884">
        <f t="shared" ref="AP1832" si="7346">AO1832-AK1832</f>
        <v>305</v>
      </c>
      <c r="AV1832" t="str">
        <f t="shared" si="7234"/>
        <v>Drenagem Superficial</v>
      </c>
      <c r="AW1832" s="4" t="str">
        <f t="shared" si="7233"/>
        <v xml:space="preserve">   Seg. 2.3-A16 - Drenagem Superficial - Canaleta de banqueta de aterro (Km 127+540 a 127+980)</v>
      </c>
    </row>
    <row r="1833" spans="1:50" ht="15.6" hidden="1" customHeight="1" outlineLevel="2">
      <c r="A1833" s="8" t="str">
        <f t="shared" ref="A1833" si="7347">A1832</f>
        <v>N</v>
      </c>
      <c r="B1833" s="150"/>
      <c r="C1833" s="150" t="s">
        <v>2163</v>
      </c>
      <c r="D1833" s="120" t="s">
        <v>1281</v>
      </c>
      <c r="E1833" s="915"/>
      <c r="F1833" s="902"/>
      <c r="G1833" s="528"/>
      <c r="H1833" s="549" t="s">
        <v>38</v>
      </c>
      <c r="I1833" s="711">
        <v>0</v>
      </c>
      <c r="J1833" s="897"/>
      <c r="K1833" s="528"/>
      <c r="L1833" s="549" t="s">
        <v>38</v>
      </c>
      <c r="M1833" s="711">
        <f t="shared" si="7247"/>
        <v>0</v>
      </c>
      <c r="N1833" s="897"/>
      <c r="O1833" s="528"/>
      <c r="P1833" s="548">
        <v>0</v>
      </c>
      <c r="Q1833" s="548">
        <v>0</v>
      </c>
      <c r="R1833" s="548">
        <v>0</v>
      </c>
      <c r="S1833" s="548">
        <v>0</v>
      </c>
      <c r="T1833" s="548">
        <v>0</v>
      </c>
      <c r="U1833" s="548">
        <v>0</v>
      </c>
      <c r="V1833" s="548"/>
      <c r="W1833" s="528"/>
      <c r="X1833" s="711"/>
      <c r="Y1833" s="897"/>
      <c r="Z1833" s="528"/>
      <c r="AA1833" s="899"/>
      <c r="AB1833" s="899"/>
      <c r="AC1833" s="904"/>
      <c r="AD1833" s="901"/>
      <c r="AE1833" s="2"/>
      <c r="AF1833" s="885"/>
      <c r="AG1833" s="885"/>
      <c r="AH1833" s="885"/>
      <c r="AI1833" s="885"/>
      <c r="AJ1833" s="885"/>
      <c r="AK1833" s="885"/>
      <c r="AL1833" s="885"/>
      <c r="AM1833" s="879"/>
      <c r="AN1833" s="2"/>
      <c r="AO1833" s="886"/>
      <c r="AP1833" s="886"/>
      <c r="AV1833" t="str">
        <f t="shared" si="7234"/>
        <v>Drenagem Superficial</v>
      </c>
      <c r="AW1833" s="4" t="str">
        <f t="shared" si="7233"/>
        <v xml:space="preserve">   Seg. 2.3-A16 - Drenagem Superficial - Canaleta de banqueta de aterro (Km 127+540 a 127+980)</v>
      </c>
    </row>
    <row r="1834" spans="1:50" ht="15.6" hidden="1" customHeight="1" outlineLevel="2">
      <c r="A1834" s="8" t="str">
        <f t="shared" ref="A1834" si="7348">IF(SUM(P1834:V1835)&gt;0,"S","N")</f>
        <v>N</v>
      </c>
      <c r="B1834" s="150">
        <v>1061795</v>
      </c>
      <c r="C1834" s="150" t="s">
        <v>2165</v>
      </c>
      <c r="D1834" s="120" t="s">
        <v>370</v>
      </c>
      <c r="E1834" s="914" t="s">
        <v>2166</v>
      </c>
      <c r="F1834" s="902" t="s">
        <v>52</v>
      </c>
      <c r="G1834" s="528"/>
      <c r="H1834" s="546" t="s">
        <v>37</v>
      </c>
      <c r="I1834" s="711">
        <v>0</v>
      </c>
      <c r="J1834" s="896" t="str">
        <f t="shared" ref="J1834" si="7349">IFERROR((I1835/I1834),"-")</f>
        <v>-</v>
      </c>
      <c r="K1834" s="528"/>
      <c r="L1834" s="546" t="s">
        <v>37</v>
      </c>
      <c r="M1834" s="711">
        <f t="shared" si="7247"/>
        <v>0</v>
      </c>
      <c r="N1834" s="896" t="str">
        <f t="shared" ref="N1834" si="7350">IFERROR((M1835/M1834),"-")</f>
        <v>-</v>
      </c>
      <c r="O1834" s="528"/>
      <c r="P1834" s="547">
        <v>0</v>
      </c>
      <c r="Q1834" s="547">
        <v>0</v>
      </c>
      <c r="R1834" s="547">
        <v>0</v>
      </c>
      <c r="S1834" s="547">
        <v>0</v>
      </c>
      <c r="T1834" s="547">
        <v>0</v>
      </c>
      <c r="U1834" s="547">
        <v>0</v>
      </c>
      <c r="V1834" s="548">
        <v>0</v>
      </c>
      <c r="W1834" s="528"/>
      <c r="X1834" s="711"/>
      <c r="Y1834" s="896" t="str">
        <f>IFERROR((X1835/X1834),"-")</f>
        <v>-</v>
      </c>
      <c r="Z1834" s="528"/>
      <c r="AA1834" s="898">
        <v>0</v>
      </c>
      <c r="AB1834" s="898">
        <v>0</v>
      </c>
      <c r="AC1834" s="903">
        <v>0</v>
      </c>
      <c r="AD1834" s="900" t="str">
        <f t="shared" ref="AD1834" si="7351">IFERROR((AC1834/AB1834),"-")</f>
        <v>-</v>
      </c>
      <c r="AE1834" s="2"/>
      <c r="AF1834" s="884">
        <v>4635.74</v>
      </c>
      <c r="AG1834" s="884"/>
      <c r="AH1834" s="884">
        <v>0</v>
      </c>
      <c r="AI1834" s="884"/>
      <c r="AJ1834" s="884"/>
      <c r="AK1834" s="884">
        <f t="shared" ref="AK1834" si="7352">AF1834+AG1834+AH1834+AI1834+AJ1834+AC1834</f>
        <v>4635.74</v>
      </c>
      <c r="AL1834" s="884">
        <v>1603.18</v>
      </c>
      <c r="AM1834" s="878">
        <f t="shared" ref="AM1834" si="7353">IFERROR((AK1834/AL1834),"-")</f>
        <v>2.8915904639528933</v>
      </c>
      <c r="AN1834" s="2"/>
      <c r="AO1834" s="884">
        <v>4499</v>
      </c>
      <c r="AP1834" s="884">
        <f t="shared" ref="AP1834" si="7354">AO1834-AK1834</f>
        <v>-136.73999999999978</v>
      </c>
      <c r="AV1834" t="str">
        <f t="shared" si="7234"/>
        <v>Drenagem Superficial</v>
      </c>
      <c r="AW1834" s="4" t="str">
        <f t="shared" si="7233"/>
        <v xml:space="preserve">   Seg. 2.3-A17 - Drenagem Superficial - Canaleta de banqueta de aterro (Km 128+320 a 131+241)</v>
      </c>
    </row>
    <row r="1835" spans="1:50" ht="15.6" hidden="1" customHeight="1" outlineLevel="2">
      <c r="A1835" s="8" t="str">
        <f t="shared" ref="A1835" si="7355">A1834</f>
        <v>N</v>
      </c>
      <c r="B1835" s="150"/>
      <c r="C1835" s="150" t="s">
        <v>2165</v>
      </c>
      <c r="D1835" s="120" t="s">
        <v>370</v>
      </c>
      <c r="E1835" s="915"/>
      <c r="F1835" s="902"/>
      <c r="G1835" s="528"/>
      <c r="H1835" s="549" t="s">
        <v>38</v>
      </c>
      <c r="I1835" s="711">
        <v>0</v>
      </c>
      <c r="J1835" s="897"/>
      <c r="K1835" s="528"/>
      <c r="L1835" s="549" t="s">
        <v>38</v>
      </c>
      <c r="M1835" s="711">
        <f t="shared" si="7247"/>
        <v>0</v>
      </c>
      <c r="N1835" s="897"/>
      <c r="O1835" s="528"/>
      <c r="P1835" s="548">
        <v>0</v>
      </c>
      <c r="Q1835" s="548">
        <v>0</v>
      </c>
      <c r="R1835" s="548">
        <v>0</v>
      </c>
      <c r="S1835" s="548">
        <v>0</v>
      </c>
      <c r="T1835" s="548">
        <v>0</v>
      </c>
      <c r="U1835" s="548">
        <v>0</v>
      </c>
      <c r="V1835" s="548"/>
      <c r="W1835" s="528"/>
      <c r="X1835" s="711"/>
      <c r="Y1835" s="897"/>
      <c r="Z1835" s="528"/>
      <c r="AA1835" s="899"/>
      <c r="AB1835" s="899"/>
      <c r="AC1835" s="904"/>
      <c r="AD1835" s="901"/>
      <c r="AE1835" s="2"/>
      <c r="AF1835" s="885"/>
      <c r="AG1835" s="885"/>
      <c r="AH1835" s="885"/>
      <c r="AI1835" s="885"/>
      <c r="AJ1835" s="885"/>
      <c r="AK1835" s="885"/>
      <c r="AL1835" s="885"/>
      <c r="AM1835" s="879"/>
      <c r="AN1835" s="2"/>
      <c r="AO1835" s="886"/>
      <c r="AP1835" s="886"/>
      <c r="AV1835" t="str">
        <f t="shared" si="7234"/>
        <v>Drenagem Superficial</v>
      </c>
      <c r="AW1835" s="4" t="str">
        <f t="shared" si="7233"/>
        <v xml:space="preserve">   Seg. 2.3-A17 - Drenagem Superficial - Canaleta de banqueta de aterro (Km 128+320 a 131+241)</v>
      </c>
    </row>
    <row r="1836" spans="1:50" ht="15.6" hidden="1" customHeight="1" outlineLevel="2">
      <c r="A1836" s="8" t="str">
        <f t="shared" ref="A1836" si="7356">IF(SUM(P1836:V1837)&gt;0,"S","N")</f>
        <v>N</v>
      </c>
      <c r="B1836" s="150">
        <v>1061838</v>
      </c>
      <c r="C1836" s="150" t="s">
        <v>2167</v>
      </c>
      <c r="D1836" s="120" t="s">
        <v>2168</v>
      </c>
      <c r="E1836" s="914" t="s">
        <v>2169</v>
      </c>
      <c r="F1836" s="902" t="s">
        <v>52</v>
      </c>
      <c r="G1836" s="528"/>
      <c r="H1836" s="546" t="s">
        <v>37</v>
      </c>
      <c r="I1836" s="711">
        <v>0</v>
      </c>
      <c r="J1836" s="896" t="str">
        <f t="shared" ref="J1836" si="7357">IFERROR((I1837/I1836),"-")</f>
        <v>-</v>
      </c>
      <c r="K1836" s="528"/>
      <c r="L1836" s="546" t="s">
        <v>37</v>
      </c>
      <c r="M1836" s="711">
        <f t="shared" si="7247"/>
        <v>0</v>
      </c>
      <c r="N1836" s="896" t="str">
        <f t="shared" ref="N1836" si="7358">IFERROR((M1837/M1836),"-")</f>
        <v>-</v>
      </c>
      <c r="O1836" s="528"/>
      <c r="P1836" s="547">
        <v>0</v>
      </c>
      <c r="Q1836" s="547">
        <v>0</v>
      </c>
      <c r="R1836" s="547">
        <v>0</v>
      </c>
      <c r="S1836" s="547">
        <v>0</v>
      </c>
      <c r="T1836" s="547">
        <v>0</v>
      </c>
      <c r="U1836" s="547">
        <v>0</v>
      </c>
      <c r="V1836" s="548">
        <v>0</v>
      </c>
      <c r="W1836" s="528"/>
      <c r="X1836" s="711"/>
      <c r="Y1836" s="896" t="str">
        <f>IFERROR((X1837/X1836),"-")</f>
        <v>-</v>
      </c>
      <c r="Z1836" s="528"/>
      <c r="AA1836" s="898">
        <v>204.95</v>
      </c>
      <c r="AB1836" s="898">
        <v>1</v>
      </c>
      <c r="AC1836" s="903">
        <v>0</v>
      </c>
      <c r="AD1836" s="900">
        <f t="shared" ref="AD1836" si="7359">IFERROR((AC1836/AB1836),"-")</f>
        <v>0</v>
      </c>
      <c r="AE1836" s="2"/>
      <c r="AF1836" s="884"/>
      <c r="AG1836" s="884"/>
      <c r="AH1836" s="884">
        <v>0</v>
      </c>
      <c r="AI1836" s="884"/>
      <c r="AJ1836" s="884"/>
      <c r="AK1836" s="884">
        <f t="shared" ref="AK1836" si="7360">AF1836+AG1836+AH1836+AI1836+AJ1836+AC1836</f>
        <v>0</v>
      </c>
      <c r="AL1836" s="884">
        <v>1</v>
      </c>
      <c r="AM1836" s="878">
        <f t="shared" ref="AM1836" si="7361">IFERROR((AK1836/AL1836),"-")</f>
        <v>0</v>
      </c>
      <c r="AN1836" s="2"/>
      <c r="AO1836" s="884">
        <v>0</v>
      </c>
      <c r="AP1836" s="884">
        <f t="shared" ref="AP1836" si="7362">AO1836-AK1836</f>
        <v>0</v>
      </c>
      <c r="AV1836" t="str">
        <f t="shared" si="7234"/>
        <v>Drenagem Superficial</v>
      </c>
      <c r="AW1836" s="4" t="str">
        <f t="shared" si="7233"/>
        <v xml:space="preserve">   Seg. 2.3-A17-Acesso - Drenagem Superficial - Canaleta de banqueta de aterro</v>
      </c>
    </row>
    <row r="1837" spans="1:50" ht="15.6" hidden="1" customHeight="1" outlineLevel="2">
      <c r="A1837" s="8" t="str">
        <f t="shared" ref="A1837" si="7363">A1836</f>
        <v>N</v>
      </c>
      <c r="B1837" s="150"/>
      <c r="C1837" s="150" t="s">
        <v>2167</v>
      </c>
      <c r="D1837" s="120" t="s">
        <v>2168</v>
      </c>
      <c r="E1837" s="915"/>
      <c r="F1837" s="902"/>
      <c r="G1837" s="528"/>
      <c r="H1837" s="549" t="s">
        <v>38</v>
      </c>
      <c r="I1837" s="711">
        <v>0</v>
      </c>
      <c r="J1837" s="897"/>
      <c r="K1837" s="528"/>
      <c r="L1837" s="549" t="s">
        <v>38</v>
      </c>
      <c r="M1837" s="711">
        <f t="shared" si="7247"/>
        <v>0</v>
      </c>
      <c r="N1837" s="897"/>
      <c r="O1837" s="528"/>
      <c r="P1837" s="548">
        <v>0</v>
      </c>
      <c r="Q1837" s="548">
        <v>0</v>
      </c>
      <c r="R1837" s="548">
        <v>0</v>
      </c>
      <c r="S1837" s="548">
        <v>0</v>
      </c>
      <c r="T1837" s="548">
        <v>0</v>
      </c>
      <c r="U1837" s="548">
        <v>0</v>
      </c>
      <c r="V1837" s="548"/>
      <c r="W1837" s="528"/>
      <c r="X1837" s="711"/>
      <c r="Y1837" s="897"/>
      <c r="Z1837" s="528"/>
      <c r="AA1837" s="899"/>
      <c r="AB1837" s="899"/>
      <c r="AC1837" s="904"/>
      <c r="AD1837" s="901"/>
      <c r="AE1837" s="2"/>
      <c r="AF1837" s="885"/>
      <c r="AG1837" s="885"/>
      <c r="AH1837" s="885"/>
      <c r="AI1837" s="885"/>
      <c r="AJ1837" s="885"/>
      <c r="AK1837" s="885"/>
      <c r="AL1837" s="885"/>
      <c r="AM1837" s="879"/>
      <c r="AN1837" s="2"/>
      <c r="AO1837" s="886"/>
      <c r="AP1837" s="886"/>
      <c r="AV1837" t="str">
        <f t="shared" si="7234"/>
        <v>Drenagem Superficial</v>
      </c>
      <c r="AW1837" s="4" t="str">
        <f t="shared" si="7233"/>
        <v xml:space="preserve">   Seg. 2.3-A17-Acesso - Drenagem Superficial - Canaleta de banqueta de aterro</v>
      </c>
    </row>
    <row r="1838" spans="1:50" ht="15.6" hidden="1" customHeight="1" outlineLevel="2">
      <c r="A1838" s="209" t="str">
        <f t="shared" ref="A1838" si="7364">IF(SUM(P1838:V1839)&gt;0,"S","N")</f>
        <v>S</v>
      </c>
      <c r="B1838" s="150">
        <v>1065349</v>
      </c>
      <c r="C1838" s="150" t="s">
        <v>2170</v>
      </c>
      <c r="D1838" s="147" t="s">
        <v>298</v>
      </c>
      <c r="E1838" s="914" t="s">
        <v>2171</v>
      </c>
      <c r="F1838" s="902" t="s">
        <v>52</v>
      </c>
      <c r="G1838" s="528"/>
      <c r="H1838" s="546" t="s">
        <v>37</v>
      </c>
      <c r="I1838" s="711">
        <v>330</v>
      </c>
      <c r="J1838" s="896">
        <f t="shared" ref="J1838" si="7365">IFERROR((I1839/I1838),"-")</f>
        <v>0.26515151515151514</v>
      </c>
      <c r="K1838" s="528"/>
      <c r="L1838" s="546" t="s">
        <v>37</v>
      </c>
      <c r="M1838" s="711">
        <f t="shared" si="7247"/>
        <v>70</v>
      </c>
      <c r="N1838" s="896">
        <f t="shared" ref="N1838" si="7366">IFERROR((M1839/M1838),"-")</f>
        <v>0</v>
      </c>
      <c r="O1838" s="528"/>
      <c r="P1838" s="547">
        <v>0</v>
      </c>
      <c r="Q1838" s="547">
        <v>70</v>
      </c>
      <c r="R1838" s="547">
        <v>70</v>
      </c>
      <c r="S1838" s="547">
        <v>70</v>
      </c>
      <c r="T1838" s="547">
        <v>15</v>
      </c>
      <c r="U1838" s="547">
        <v>15</v>
      </c>
      <c r="V1838" s="548">
        <v>0</v>
      </c>
      <c r="W1838" s="528"/>
      <c r="X1838" s="711"/>
      <c r="Y1838" s="896" t="str">
        <f>IFERROR((X1839/X1838),"-")</f>
        <v>-</v>
      </c>
      <c r="Z1838" s="528"/>
      <c r="AA1838" s="898">
        <v>122.5</v>
      </c>
      <c r="AB1838" s="898">
        <v>0</v>
      </c>
      <c r="AC1838" s="903">
        <v>227.5</v>
      </c>
      <c r="AD1838" s="900" t="str">
        <f t="shared" ref="AD1838" si="7367">IFERROR((AC1838/AB1838),"-")</f>
        <v>-</v>
      </c>
      <c r="AE1838" s="2"/>
      <c r="AF1838" s="884">
        <v>1854.752</v>
      </c>
      <c r="AG1838" s="884"/>
      <c r="AH1838" s="884">
        <v>0</v>
      </c>
      <c r="AI1838" s="884"/>
      <c r="AJ1838" s="884"/>
      <c r="AK1838" s="884">
        <f t="shared" ref="AK1838" si="7368">AF1838+AG1838+AH1838+AI1838+AJ1838+AC1838</f>
        <v>2082.252</v>
      </c>
      <c r="AL1838" s="884">
        <v>1869.7400000000002</v>
      </c>
      <c r="AM1838" s="878">
        <f>IFERROR((AK1838/AL1838),"-")</f>
        <v>1.1136585835463753</v>
      </c>
      <c r="AN1838" s="2"/>
      <c r="AO1838" s="884">
        <v>3676.09</v>
      </c>
      <c r="AP1838" s="884">
        <f t="shared" ref="AP1838" si="7369">AO1838-AK1838</f>
        <v>1593.8380000000002</v>
      </c>
      <c r="AV1838" t="str">
        <f t="shared" si="7234"/>
        <v>Drenagem Superficial</v>
      </c>
      <c r="AW1838" s="4" t="str">
        <f t="shared" si="7233"/>
        <v xml:space="preserve">   Seg. 2.3-C08- Drenagem Superficial - Canaleta de banqueta de corte</v>
      </c>
    </row>
    <row r="1839" spans="1:50" ht="15.6" hidden="1" customHeight="1" outlineLevel="2">
      <c r="A1839" s="209" t="str">
        <f t="shared" ref="A1839" si="7370">A1838</f>
        <v>S</v>
      </c>
      <c r="B1839" s="150"/>
      <c r="C1839" s="150" t="s">
        <v>2170</v>
      </c>
      <c r="D1839" s="147" t="s">
        <v>298</v>
      </c>
      <c r="E1839" s="915"/>
      <c r="F1839" s="902"/>
      <c r="G1839" s="582"/>
      <c r="H1839" s="549" t="s">
        <v>38</v>
      </c>
      <c r="I1839" s="711">
        <v>87.5</v>
      </c>
      <c r="J1839" s="897"/>
      <c r="K1839" s="582"/>
      <c r="L1839" s="549" t="s">
        <v>38</v>
      </c>
      <c r="M1839" s="711">
        <f t="shared" si="7247"/>
        <v>0</v>
      </c>
      <c r="N1839" s="897"/>
      <c r="O1839" s="582"/>
      <c r="P1839" s="548">
        <v>0</v>
      </c>
      <c r="Q1839" s="548">
        <v>0</v>
      </c>
      <c r="R1839" s="548">
        <v>0</v>
      </c>
      <c r="S1839" s="548">
        <v>0</v>
      </c>
      <c r="T1839" s="548">
        <v>0</v>
      </c>
      <c r="U1839" s="548">
        <v>0</v>
      </c>
      <c r="V1839" s="548"/>
      <c r="W1839" s="582"/>
      <c r="X1839" s="583"/>
      <c r="Y1839" s="897"/>
      <c r="Z1839" s="582"/>
      <c r="AA1839" s="899"/>
      <c r="AB1839" s="899"/>
      <c r="AC1839" s="904"/>
      <c r="AD1839" s="901"/>
      <c r="AE1839" s="128"/>
      <c r="AF1839" s="885"/>
      <c r="AG1839" s="885"/>
      <c r="AH1839" s="885"/>
      <c r="AI1839" s="885"/>
      <c r="AJ1839" s="885"/>
      <c r="AK1839" s="885"/>
      <c r="AL1839" s="885"/>
      <c r="AM1839" s="879"/>
      <c r="AN1839" s="128"/>
      <c r="AO1839" s="885"/>
      <c r="AP1839" s="886"/>
      <c r="AV1839" t="str">
        <f t="shared" si="7234"/>
        <v>Drenagem Superficial</v>
      </c>
      <c r="AW1839" s="4" t="str">
        <f t="shared" si="7233"/>
        <v xml:space="preserve">   Seg. 2.3-C08- Drenagem Superficial - Canaleta de banqueta de corte</v>
      </c>
    </row>
    <row r="1840" spans="1:50" ht="15.6" hidden="1" customHeight="1" outlineLevel="2">
      <c r="A1840" s="8" t="str">
        <f t="shared" ref="A1840" si="7371">IF(SUM(P1840:V1841)&gt;0,"S","N")</f>
        <v>N</v>
      </c>
      <c r="B1840" s="150" t="s">
        <v>416</v>
      </c>
      <c r="C1840" s="150" t="s">
        <v>266</v>
      </c>
      <c r="D1840" s="120" t="s">
        <v>1258</v>
      </c>
      <c r="E1840" s="914" t="s">
        <v>2172</v>
      </c>
      <c r="F1840" s="902" t="s">
        <v>52</v>
      </c>
      <c r="G1840" s="528"/>
      <c r="H1840" s="546" t="s">
        <v>37</v>
      </c>
      <c r="I1840" s="711">
        <v>0</v>
      </c>
      <c r="J1840" s="896" t="str">
        <f t="shared" ref="J1840" si="7372">IFERROR((I1841/I1840),"-")</f>
        <v>-</v>
      </c>
      <c r="K1840" s="528"/>
      <c r="L1840" s="546" t="s">
        <v>37</v>
      </c>
      <c r="M1840" s="711">
        <f t="shared" si="7247"/>
        <v>0</v>
      </c>
      <c r="N1840" s="896" t="str">
        <f t="shared" ref="N1840" si="7373">IFERROR((M1841/M1840),"-")</f>
        <v>-</v>
      </c>
      <c r="O1840" s="528"/>
      <c r="P1840" s="547">
        <v>0</v>
      </c>
      <c r="Q1840" s="547">
        <v>0</v>
      </c>
      <c r="R1840" s="547">
        <v>0</v>
      </c>
      <c r="S1840" s="547">
        <v>0</v>
      </c>
      <c r="T1840" s="547">
        <v>0</v>
      </c>
      <c r="U1840" s="547">
        <v>0</v>
      </c>
      <c r="V1840" s="548">
        <v>0</v>
      </c>
      <c r="W1840" s="528"/>
      <c r="X1840" s="711"/>
      <c r="Y1840" s="896" t="str">
        <f>IFERROR((X1841/X1840),"-")</f>
        <v>-</v>
      </c>
      <c r="Z1840" s="528"/>
      <c r="AA1840" s="898">
        <v>0</v>
      </c>
      <c r="AB1840" s="898">
        <v>0</v>
      </c>
      <c r="AC1840" s="903">
        <v>0</v>
      </c>
      <c r="AD1840" s="900" t="str">
        <f t="shared" ref="AD1840" si="7374">IFERROR((AC1840/AB1840),"-")</f>
        <v>-</v>
      </c>
      <c r="AE1840" s="2"/>
      <c r="AF1840" s="884"/>
      <c r="AG1840" s="884"/>
      <c r="AH1840" s="884">
        <v>0</v>
      </c>
      <c r="AI1840" s="884"/>
      <c r="AJ1840" s="884"/>
      <c r="AK1840" s="884">
        <f t="shared" ref="AK1840:AK1844" si="7375">AF1840+AG1840+AH1840+AI1840+AJ1840+AC1840</f>
        <v>0</v>
      </c>
      <c r="AL1840" s="884">
        <v>0</v>
      </c>
      <c r="AM1840" s="878" t="str">
        <f t="shared" ref="AM1840" si="7376">IFERROR((AK1840/AL1840),"-")</f>
        <v>-</v>
      </c>
      <c r="AN1840" s="2"/>
      <c r="AO1840" s="884">
        <v>0</v>
      </c>
      <c r="AP1840" s="884">
        <f t="shared" ref="AP1840:AP1844" si="7377">AO1840-AK1840</f>
        <v>0</v>
      </c>
      <c r="AV1840" t="str">
        <f t="shared" si="7234"/>
        <v>Drenagem Superficial</v>
      </c>
      <c r="AW1840" s="4" t="str">
        <f t="shared" si="7233"/>
        <v xml:space="preserve">   Seg. 2.3-A04- Drenagem Superficial - Canaleta</v>
      </c>
    </row>
    <row r="1841" spans="1:50" ht="15.6" hidden="1" customHeight="1" outlineLevel="2">
      <c r="A1841" s="8" t="str">
        <f t="shared" ref="A1841:A1845" si="7378">A1840</f>
        <v>N</v>
      </c>
      <c r="B1841" s="150" t="s">
        <v>416</v>
      </c>
      <c r="C1841" s="150" t="s">
        <v>266</v>
      </c>
      <c r="D1841" s="120" t="s">
        <v>1258</v>
      </c>
      <c r="E1841" s="915"/>
      <c r="F1841" s="902"/>
      <c r="G1841" s="528"/>
      <c r="H1841" s="549" t="s">
        <v>38</v>
      </c>
      <c r="I1841" s="711">
        <v>0</v>
      </c>
      <c r="J1841" s="897"/>
      <c r="K1841" s="528"/>
      <c r="L1841" s="549" t="s">
        <v>38</v>
      </c>
      <c r="M1841" s="711">
        <f t="shared" si="7247"/>
        <v>0</v>
      </c>
      <c r="N1841" s="897"/>
      <c r="O1841" s="528"/>
      <c r="P1841" s="548">
        <v>0</v>
      </c>
      <c r="Q1841" s="548">
        <v>0</v>
      </c>
      <c r="R1841" s="548">
        <v>0</v>
      </c>
      <c r="S1841" s="548">
        <v>0</v>
      </c>
      <c r="T1841" s="548">
        <v>0</v>
      </c>
      <c r="U1841" s="548">
        <v>0</v>
      </c>
      <c r="V1841" s="548"/>
      <c r="W1841" s="528"/>
      <c r="X1841" s="711"/>
      <c r="Y1841" s="897"/>
      <c r="Z1841" s="528"/>
      <c r="AA1841" s="899"/>
      <c r="AB1841" s="899"/>
      <c r="AC1841" s="904"/>
      <c r="AD1841" s="901"/>
      <c r="AE1841" s="2"/>
      <c r="AF1841" s="885"/>
      <c r="AG1841" s="885"/>
      <c r="AH1841" s="885"/>
      <c r="AI1841" s="885"/>
      <c r="AJ1841" s="885"/>
      <c r="AK1841" s="885"/>
      <c r="AL1841" s="885"/>
      <c r="AM1841" s="879"/>
      <c r="AN1841" s="2"/>
      <c r="AO1841" s="886"/>
      <c r="AP1841" s="886"/>
      <c r="AV1841" t="str">
        <f t="shared" si="7234"/>
        <v>Drenagem Superficial</v>
      </c>
      <c r="AW1841" s="4" t="str">
        <f t="shared" si="7233"/>
        <v xml:space="preserve">   Seg. 2.3-A04- Drenagem Superficial - Canaleta</v>
      </c>
    </row>
    <row r="1842" spans="1:50" ht="15.6" hidden="1" customHeight="1" outlineLevel="2">
      <c r="A1842" s="8" t="str">
        <f t="shared" ref="A1842" si="7379">IF(SUM(P1842:V1843)&gt;0,"S","N")</f>
        <v>N</v>
      </c>
      <c r="B1842" s="150" t="s">
        <v>416</v>
      </c>
      <c r="C1842" s="150" t="s">
        <v>266</v>
      </c>
      <c r="D1842" s="120"/>
      <c r="E1842" s="914" t="s">
        <v>1934</v>
      </c>
      <c r="F1842" s="902" t="s">
        <v>52</v>
      </c>
      <c r="G1842" s="528"/>
      <c r="H1842" s="546" t="s">
        <v>37</v>
      </c>
      <c r="I1842" s="711">
        <v>0</v>
      </c>
      <c r="J1842" s="896" t="str">
        <f t="shared" ref="J1842" si="7380">IFERROR((I1843/I1842),"-")</f>
        <v>-</v>
      </c>
      <c r="K1842" s="528"/>
      <c r="L1842" s="546" t="s">
        <v>37</v>
      </c>
      <c r="M1842" s="711">
        <f t="shared" si="7247"/>
        <v>0</v>
      </c>
      <c r="N1842" s="896" t="str">
        <f t="shared" ref="N1842" si="7381">IFERROR((M1843/M1842),"-")</f>
        <v>-</v>
      </c>
      <c r="O1842" s="528"/>
      <c r="P1842" s="547"/>
      <c r="Q1842" s="547"/>
      <c r="R1842" s="547"/>
      <c r="S1842" s="547"/>
      <c r="T1842" s="547"/>
      <c r="U1842" s="547"/>
      <c r="V1842" s="548"/>
      <c r="W1842" s="528"/>
      <c r="X1842" s="711"/>
      <c r="Y1842" s="896" t="str">
        <f>IFERROR((X1843/X1842),"-")</f>
        <v>-</v>
      </c>
      <c r="Z1842" s="528"/>
      <c r="AA1842" s="898">
        <v>0</v>
      </c>
      <c r="AB1842" s="898">
        <v>0</v>
      </c>
      <c r="AC1842" s="903">
        <v>0</v>
      </c>
      <c r="AD1842" s="900" t="str">
        <f t="shared" ref="AD1842" si="7382">IFERROR((AC1842/AB1842),"-")</f>
        <v>-</v>
      </c>
      <c r="AE1842" s="2"/>
      <c r="AF1842" s="959">
        <v>-7971.8010000000004</v>
      </c>
      <c r="AG1842" s="959"/>
      <c r="AH1842" s="959">
        <v>0</v>
      </c>
      <c r="AI1842" s="959"/>
      <c r="AJ1842" s="959"/>
      <c r="AK1842" s="884">
        <f t="shared" si="7375"/>
        <v>-7971.8010000000004</v>
      </c>
      <c r="AL1842" s="884">
        <v>0</v>
      </c>
      <c r="AM1842" s="878" t="str">
        <f t="shared" ref="AM1842" si="7383">IFERROR((AK1842/AL1842),"-")</f>
        <v>-</v>
      </c>
      <c r="AN1842" s="2"/>
      <c r="AO1842" s="884"/>
      <c r="AP1842" s="884">
        <f t="shared" si="7377"/>
        <v>7971.8010000000004</v>
      </c>
      <c r="AV1842" t="str">
        <f t="shared" si="7234"/>
        <v>Drenagem Superficial</v>
      </c>
      <c r="AW1842" s="4" t="str">
        <f t="shared" si="7233"/>
        <v>Ação de alinhamento para correção das quantidades acumuladas</v>
      </c>
    </row>
    <row r="1843" spans="1:50" ht="15.6" hidden="1" customHeight="1" outlineLevel="2">
      <c r="A1843" s="8" t="str">
        <f t="shared" si="7378"/>
        <v>N</v>
      </c>
      <c r="B1843" s="150" t="s">
        <v>416</v>
      </c>
      <c r="C1843" s="150" t="s">
        <v>266</v>
      </c>
      <c r="D1843" s="120"/>
      <c r="E1843" s="915"/>
      <c r="F1843" s="902"/>
      <c r="G1843" s="528"/>
      <c r="H1843" s="549" t="s">
        <v>38</v>
      </c>
      <c r="I1843" s="711">
        <v>0</v>
      </c>
      <c r="J1843" s="897"/>
      <c r="K1843" s="528"/>
      <c r="L1843" s="549" t="s">
        <v>38</v>
      </c>
      <c r="M1843" s="711">
        <f t="shared" si="7247"/>
        <v>0</v>
      </c>
      <c r="N1843" s="897"/>
      <c r="O1843" s="528"/>
      <c r="P1843" s="548">
        <v>0</v>
      </c>
      <c r="Q1843" s="548">
        <v>0</v>
      </c>
      <c r="R1843" s="548">
        <v>0</v>
      </c>
      <c r="S1843" s="548">
        <v>0</v>
      </c>
      <c r="T1843" s="548">
        <v>0</v>
      </c>
      <c r="U1843" s="548">
        <v>0</v>
      </c>
      <c r="V1843" s="548"/>
      <c r="W1843" s="528"/>
      <c r="X1843" s="711"/>
      <c r="Y1843" s="897"/>
      <c r="Z1843" s="528"/>
      <c r="AA1843" s="899"/>
      <c r="AB1843" s="899"/>
      <c r="AC1843" s="904"/>
      <c r="AD1843" s="901"/>
      <c r="AE1843" s="2"/>
      <c r="AF1843" s="960"/>
      <c r="AG1843" s="960"/>
      <c r="AH1843" s="960"/>
      <c r="AI1843" s="960"/>
      <c r="AJ1843" s="960"/>
      <c r="AK1843" s="885"/>
      <c r="AL1843" s="885"/>
      <c r="AM1843" s="879"/>
      <c r="AN1843" s="2"/>
      <c r="AO1843" s="886"/>
      <c r="AP1843" s="886"/>
      <c r="AV1843" t="str">
        <f t="shared" si="7234"/>
        <v>Drenagem Superficial</v>
      </c>
      <c r="AW1843" s="4" t="str">
        <f t="shared" si="7233"/>
        <v>Ação de alinhamento para correção das quantidades acumuladas</v>
      </c>
    </row>
    <row r="1844" spans="1:50" ht="15.6" hidden="1" customHeight="1" outlineLevel="2">
      <c r="A1844" s="8" t="str">
        <f t="shared" ref="A1844" si="7384">IF(SUM(P1844:V1845)&gt;0,"S","N")</f>
        <v>N</v>
      </c>
      <c r="B1844" s="150" t="s">
        <v>416</v>
      </c>
      <c r="C1844" s="150" t="s">
        <v>266</v>
      </c>
      <c r="D1844" s="120"/>
      <c r="E1844" s="914" t="s">
        <v>2173</v>
      </c>
      <c r="F1844" s="902" t="s">
        <v>52</v>
      </c>
      <c r="G1844" s="528"/>
      <c r="H1844" s="546" t="s">
        <v>37</v>
      </c>
      <c r="I1844" s="711">
        <v>0</v>
      </c>
      <c r="J1844" s="896" t="str">
        <f t="shared" ref="J1844" si="7385">IFERROR((I1845/I1844),"-")</f>
        <v>-</v>
      </c>
      <c r="K1844" s="528"/>
      <c r="L1844" s="546" t="s">
        <v>37</v>
      </c>
      <c r="M1844" s="711">
        <f t="shared" si="7247"/>
        <v>0</v>
      </c>
      <c r="N1844" s="896" t="str">
        <f t="shared" ref="N1844" si="7386">IFERROR((M1845/M1844),"-")</f>
        <v>-</v>
      </c>
      <c r="O1844" s="528"/>
      <c r="P1844" s="547"/>
      <c r="Q1844" s="547"/>
      <c r="R1844" s="547"/>
      <c r="S1844" s="547"/>
      <c r="T1844" s="547"/>
      <c r="U1844" s="547"/>
      <c r="V1844" s="548"/>
      <c r="W1844" s="528"/>
      <c r="X1844" s="711"/>
      <c r="Y1844" s="896" t="str">
        <f>IFERROR((X1845/X1844),"-")</f>
        <v>-</v>
      </c>
      <c r="Z1844" s="528"/>
      <c r="AA1844" s="898">
        <v>0</v>
      </c>
      <c r="AB1844" s="898">
        <v>0</v>
      </c>
      <c r="AC1844" s="903">
        <v>0</v>
      </c>
      <c r="AD1844" s="900" t="str">
        <f t="shared" ref="AD1844" si="7387">IFERROR((AC1844/AB1844),"-")</f>
        <v>-</v>
      </c>
      <c r="AE1844" s="2"/>
      <c r="AF1844" s="884">
        <v>112.328</v>
      </c>
      <c r="AG1844" s="884"/>
      <c r="AH1844" s="884">
        <v>0</v>
      </c>
      <c r="AI1844" s="884"/>
      <c r="AJ1844" s="884"/>
      <c r="AK1844" s="884">
        <f t="shared" si="7375"/>
        <v>112.328</v>
      </c>
      <c r="AL1844" s="884">
        <v>0</v>
      </c>
      <c r="AM1844" s="878" t="str">
        <f t="shared" ref="AM1844" si="7388">IFERROR((AK1844/AL1844),"-")</f>
        <v>-</v>
      </c>
      <c r="AN1844" s="2"/>
      <c r="AO1844" s="884"/>
      <c r="AP1844" s="884">
        <f t="shared" si="7377"/>
        <v>-112.328</v>
      </c>
      <c r="AV1844" t="str">
        <f t="shared" si="7234"/>
        <v>Drenagem Superficial</v>
      </c>
      <c r="AW1844" s="4" t="str">
        <f t="shared" si="7233"/>
        <v xml:space="preserve">   Seg. 2.3-C12- Drenagem Superficial - Canaleta</v>
      </c>
    </row>
    <row r="1845" spans="1:50" ht="15.6" hidden="1" customHeight="1" outlineLevel="2">
      <c r="A1845" s="8" t="str">
        <f t="shared" si="7378"/>
        <v>N</v>
      </c>
      <c r="B1845" s="150" t="s">
        <v>416</v>
      </c>
      <c r="C1845" s="150" t="s">
        <v>266</v>
      </c>
      <c r="D1845" s="120"/>
      <c r="E1845" s="915"/>
      <c r="F1845" s="902"/>
      <c r="G1845" s="528"/>
      <c r="H1845" s="549" t="s">
        <v>38</v>
      </c>
      <c r="I1845" s="711">
        <v>0</v>
      </c>
      <c r="J1845" s="897"/>
      <c r="K1845" s="528"/>
      <c r="L1845" s="549" t="s">
        <v>38</v>
      </c>
      <c r="M1845" s="711">
        <f t="shared" si="7247"/>
        <v>0</v>
      </c>
      <c r="N1845" s="897"/>
      <c r="O1845" s="528"/>
      <c r="P1845" s="548">
        <v>0</v>
      </c>
      <c r="Q1845" s="548">
        <v>0</v>
      </c>
      <c r="R1845" s="548">
        <v>0</v>
      </c>
      <c r="S1845" s="548">
        <v>0</v>
      </c>
      <c r="T1845" s="548">
        <v>0</v>
      </c>
      <c r="U1845" s="548">
        <v>0</v>
      </c>
      <c r="V1845" s="548"/>
      <c r="W1845" s="528"/>
      <c r="X1845" s="711"/>
      <c r="Y1845" s="897"/>
      <c r="Z1845" s="528"/>
      <c r="AA1845" s="899"/>
      <c r="AB1845" s="899"/>
      <c r="AC1845" s="904"/>
      <c r="AD1845" s="901"/>
      <c r="AE1845" s="2"/>
      <c r="AF1845" s="885"/>
      <c r="AG1845" s="885"/>
      <c r="AH1845" s="885"/>
      <c r="AI1845" s="885"/>
      <c r="AJ1845" s="885"/>
      <c r="AK1845" s="885"/>
      <c r="AL1845" s="885"/>
      <c r="AM1845" s="879"/>
      <c r="AN1845" s="2"/>
      <c r="AO1845" s="886"/>
      <c r="AP1845" s="886"/>
      <c r="AV1845" t="str">
        <f t="shared" si="7234"/>
        <v>Drenagem Superficial</v>
      </c>
      <c r="AW1845" s="4" t="str">
        <f t="shared" si="7233"/>
        <v xml:space="preserve">   Seg. 2.3-C12- Drenagem Superficial - Canaleta</v>
      </c>
      <c r="AX1845" s="4"/>
    </row>
    <row r="1846" spans="1:50" ht="15.6" hidden="1" customHeight="1" outlineLevel="1" collapsed="1">
      <c r="A1846" s="209">
        <v>0</v>
      </c>
      <c r="B1846" s="150"/>
      <c r="C1846" s="150"/>
      <c r="D1846" s="117"/>
      <c r="E1846" s="535"/>
      <c r="F1846" s="536"/>
      <c r="G1846" s="537"/>
      <c r="H1846" s="714"/>
      <c r="I1846" s="555"/>
      <c r="J1846" s="714"/>
      <c r="K1846" s="537"/>
      <c r="L1846" s="714"/>
      <c r="M1846" s="555"/>
      <c r="N1846" s="714"/>
      <c r="O1846" s="537"/>
      <c r="P1846" s="539"/>
      <c r="Q1846" s="539"/>
      <c r="R1846" s="539"/>
      <c r="S1846" s="539"/>
      <c r="T1846" s="539"/>
      <c r="U1846" s="539"/>
      <c r="V1846" s="539"/>
      <c r="W1846" s="537"/>
      <c r="X1846" s="540"/>
      <c r="Y1846" s="537"/>
      <c r="Z1846" s="537"/>
      <c r="AA1846" s="249"/>
      <c r="AB1846" s="249"/>
      <c r="AC1846" s="249"/>
      <c r="AD1846" s="537"/>
      <c r="AE1846" s="3"/>
      <c r="AF1846" s="35"/>
      <c r="AG1846" s="35"/>
      <c r="AH1846" s="35"/>
      <c r="AI1846" s="35"/>
      <c r="AJ1846" s="35"/>
      <c r="AK1846" s="35"/>
      <c r="AL1846" s="35"/>
      <c r="AM1846" s="3"/>
      <c r="AN1846" s="3"/>
      <c r="AO1846" s="35"/>
      <c r="AP1846" s="35"/>
      <c r="AV1846" t="str">
        <f t="shared" si="7234"/>
        <v>Drenagem Superficial</v>
      </c>
      <c r="AW1846" s="4" t="str">
        <f t="shared" si="7233"/>
        <v xml:space="preserve">   Seg. 2.3-C12- Drenagem Superficial - Canaleta</v>
      </c>
    </row>
    <row r="1847" spans="1:50" ht="23.25" hidden="1" customHeight="1" outlineLevel="1">
      <c r="A1847" s="209">
        <v>0</v>
      </c>
      <c r="B1847" s="150"/>
      <c r="C1847" s="150"/>
      <c r="D1847" s="122"/>
      <c r="E1847" s="913" t="s">
        <v>42</v>
      </c>
      <c r="F1847" s="859" t="s">
        <v>52</v>
      </c>
      <c r="G1847" s="528"/>
      <c r="H1847" s="542" t="s">
        <v>37</v>
      </c>
      <c r="I1847" s="543">
        <f>SUMIF($L1849:$L1858,$L1847,I1849:I1858)</f>
        <v>0</v>
      </c>
      <c r="J1847" s="860" t="str">
        <f>IFERROR((I1848/I1847),"-")</f>
        <v>-</v>
      </c>
      <c r="K1847" s="528"/>
      <c r="L1847" s="542" t="s">
        <v>37</v>
      </c>
      <c r="M1847" s="543">
        <f>SUMIF($L1849:$L1858,$L1847,M1849:M1858)</f>
        <v>0</v>
      </c>
      <c r="N1847" s="860" t="str">
        <f>IFERROR((M1848/M1847),"-")</f>
        <v>-</v>
      </c>
      <c r="O1847" s="528"/>
      <c r="P1847" s="543">
        <f t="shared" ref="P1847:U1847" si="7389">SUMIF($L1849:$L1858,$L1847,P1849:P1858)</f>
        <v>0</v>
      </c>
      <c r="Q1847" s="543">
        <f t="shared" si="7389"/>
        <v>0</v>
      </c>
      <c r="R1847" s="543">
        <f t="shared" si="7389"/>
        <v>0</v>
      </c>
      <c r="S1847" s="543">
        <f t="shared" si="7389"/>
        <v>0</v>
      </c>
      <c r="T1847" s="543">
        <f t="shared" si="7389"/>
        <v>0</v>
      </c>
      <c r="U1847" s="543">
        <f t="shared" si="7389"/>
        <v>0</v>
      </c>
      <c r="V1847" s="543"/>
      <c r="W1847" s="528"/>
      <c r="X1847" s="543">
        <f t="shared" ref="X1847:X1850" si="7390">SUMIFS(P1847:V1847,$P$8:$V$8,"&gt;="&amp;$P$8,$P$8:$V$8,"&lt;="&amp;$N$8)</f>
        <v>0</v>
      </c>
      <c r="Y1847" s="860" t="str">
        <f>IFERROR((X1848/X1847),"-")</f>
        <v>-</v>
      </c>
      <c r="Z1847" s="528"/>
      <c r="AA1847" s="814">
        <f>SUM(AA1849:AA1858)</f>
        <v>0</v>
      </c>
      <c r="AB1847" s="814">
        <f>SUM(AB1849:AB1858)</f>
        <v>0</v>
      </c>
      <c r="AC1847" s="814">
        <f>SUM(AC1849:AC1858)</f>
        <v>0</v>
      </c>
      <c r="AD1847" s="911" t="str">
        <f t="shared" ref="AD1847" si="7391">IFERROR((AC1847/AB1847),"-")</f>
        <v>-</v>
      </c>
      <c r="AE1847" s="2"/>
      <c r="AF1847" s="888">
        <f t="shared" ref="AF1847" si="7392">SUM(AF1849:AF1858)</f>
        <v>367.85</v>
      </c>
      <c r="AG1847" s="888">
        <f t="shared" ref="AG1847:AL1847" si="7393">SUM(AG1849:AG1858)</f>
        <v>0</v>
      </c>
      <c r="AH1847" s="888">
        <f t="shared" si="7393"/>
        <v>0</v>
      </c>
      <c r="AI1847" s="888">
        <f t="shared" si="7393"/>
        <v>0</v>
      </c>
      <c r="AJ1847" s="888">
        <f t="shared" si="7393"/>
        <v>0</v>
      </c>
      <c r="AK1847" s="888">
        <f t="shared" si="7393"/>
        <v>367.85</v>
      </c>
      <c r="AL1847" s="888">
        <f t="shared" si="7393"/>
        <v>367.79999999999995</v>
      </c>
      <c r="AM1847" s="743">
        <f>IFERROR((AK1847/AL1847),"-")</f>
        <v>1.0001359434475261</v>
      </c>
      <c r="AN1847" s="2"/>
      <c r="AO1847" s="888">
        <f>SUM(AO1849:AO1858)</f>
        <v>5042.99</v>
      </c>
      <c r="AP1847" s="888">
        <f>SUM(AP1849:AP1858)</f>
        <v>4675.1399999999994</v>
      </c>
      <c r="AV1847" t="str">
        <f t="shared" si="7234"/>
        <v>Drenagem Superficial</v>
      </c>
      <c r="AW1847" s="4" t="str">
        <f t="shared" si="7233"/>
        <v>Pacote 05 - Segmento 2.4 - Km 131+260 a  Km 138+000</v>
      </c>
      <c r="AX1847" s="4"/>
    </row>
    <row r="1848" spans="1:50" ht="23.25" hidden="1" customHeight="1" outlineLevel="1">
      <c r="A1848" s="209">
        <v>0</v>
      </c>
      <c r="B1848" s="150"/>
      <c r="C1848" s="150">
        <v>0</v>
      </c>
      <c r="D1848" s="123"/>
      <c r="E1848" s="913"/>
      <c r="F1848" s="859"/>
      <c r="G1848" s="528"/>
      <c r="H1848" s="544" t="s">
        <v>38</v>
      </c>
      <c r="I1848" s="543">
        <f>SUMIF($L1849:$L1858,$L1848,I1849:I1858)</f>
        <v>0</v>
      </c>
      <c r="J1848" s="861"/>
      <c r="K1848" s="528"/>
      <c r="L1848" s="544" t="s">
        <v>38</v>
      </c>
      <c r="M1848" s="543">
        <f>SUMIF($L1849:$L1858,$L1848,M1849:M1858)</f>
        <v>0</v>
      </c>
      <c r="N1848" s="861"/>
      <c r="O1848" s="528"/>
      <c r="P1848" s="543">
        <f t="shared" ref="P1848:U1848" si="7394">SUMIF($L1849:$L1858,$L1848,P1849:P1858)</f>
        <v>0</v>
      </c>
      <c r="Q1848" s="543">
        <f t="shared" si="7394"/>
        <v>0</v>
      </c>
      <c r="R1848" s="543">
        <f t="shared" si="7394"/>
        <v>0</v>
      </c>
      <c r="S1848" s="543">
        <f t="shared" si="7394"/>
        <v>0</v>
      </c>
      <c r="T1848" s="543">
        <f t="shared" si="7394"/>
        <v>0</v>
      </c>
      <c r="U1848" s="543">
        <f t="shared" si="7394"/>
        <v>0</v>
      </c>
      <c r="V1848" s="543"/>
      <c r="W1848" s="528"/>
      <c r="X1848" s="543">
        <f t="shared" si="7390"/>
        <v>0</v>
      </c>
      <c r="Y1848" s="861"/>
      <c r="Z1848" s="528"/>
      <c r="AA1848" s="815"/>
      <c r="AB1848" s="815"/>
      <c r="AC1848" s="815"/>
      <c r="AD1848" s="912"/>
      <c r="AE1848" s="2"/>
      <c r="AF1848" s="889"/>
      <c r="AG1848" s="889"/>
      <c r="AH1848" s="889"/>
      <c r="AI1848" s="889"/>
      <c r="AJ1848" s="889"/>
      <c r="AK1848" s="889"/>
      <c r="AL1848" s="889"/>
      <c r="AM1848" s="744"/>
      <c r="AN1848" s="2"/>
      <c r="AO1848" s="888"/>
      <c r="AP1848" s="888"/>
      <c r="AV1848" t="str">
        <f t="shared" si="7234"/>
        <v>Drenagem Superficial</v>
      </c>
      <c r="AW1848" s="4" t="str">
        <f t="shared" si="7233"/>
        <v>Pacote 05 - Segmento 2.4 - Km 131+260 a  Km 138+000</v>
      </c>
    </row>
    <row r="1849" spans="1:50" ht="21.6" hidden="1" customHeight="1" outlineLevel="2">
      <c r="A1849" s="8" t="str">
        <f t="shared" ref="A1849" si="7395">IF(SUM(P1849:V1850)&gt;0,"S","N")</f>
        <v>N</v>
      </c>
      <c r="B1849" s="150">
        <v>1064549</v>
      </c>
      <c r="C1849" s="150" t="s">
        <v>2174</v>
      </c>
      <c r="D1849" s="120" t="s">
        <v>421</v>
      </c>
      <c r="E1849" s="914" t="s">
        <v>2175</v>
      </c>
      <c r="F1849" s="902" t="s">
        <v>52</v>
      </c>
      <c r="G1849" s="528"/>
      <c r="H1849" s="546" t="s">
        <v>37</v>
      </c>
      <c r="I1849" s="711">
        <v>0</v>
      </c>
      <c r="J1849" s="896" t="str">
        <f t="shared" ref="J1849" si="7396">IFERROR((I1850/I1849),"-")</f>
        <v>-</v>
      </c>
      <c r="K1849" s="528"/>
      <c r="L1849" s="546" t="s">
        <v>37</v>
      </c>
      <c r="M1849" s="711">
        <f t="shared" ref="M1849:M1858" si="7397">_xlfn.XLOOKUP($N$8,$P$8:$V$8,$P1849:$V1849)</f>
        <v>0</v>
      </c>
      <c r="N1849" s="896" t="str">
        <f t="shared" ref="N1849" si="7398">IFERROR((M1850/M1849),"-")</f>
        <v>-</v>
      </c>
      <c r="O1849" s="528"/>
      <c r="P1849" s="547">
        <v>0</v>
      </c>
      <c r="Q1849" s="547">
        <v>0</v>
      </c>
      <c r="R1849" s="547">
        <v>0</v>
      </c>
      <c r="S1849" s="547">
        <v>0</v>
      </c>
      <c r="T1849" s="547">
        <v>0</v>
      </c>
      <c r="U1849" s="547">
        <v>0</v>
      </c>
      <c r="V1849" s="548">
        <v>0</v>
      </c>
      <c r="W1849" s="528"/>
      <c r="X1849" s="711">
        <f t="shared" si="7390"/>
        <v>0</v>
      </c>
      <c r="Y1849" s="896" t="str">
        <f t="shared" ref="Y1849" si="7399">IFERROR((X1850/X1849),"-")</f>
        <v>-</v>
      </c>
      <c r="Z1849" s="528"/>
      <c r="AA1849" s="898">
        <v>0</v>
      </c>
      <c r="AB1849" s="898">
        <v>0</v>
      </c>
      <c r="AC1849" s="903">
        <v>0</v>
      </c>
      <c r="AD1849" s="900" t="str">
        <f t="shared" ref="AD1849" si="7400">IFERROR((AC1849/AB1849),"-")</f>
        <v>-</v>
      </c>
      <c r="AE1849" s="2"/>
      <c r="AF1849" s="884">
        <v>367.85</v>
      </c>
      <c r="AG1849" s="884"/>
      <c r="AH1849" s="884">
        <v>0</v>
      </c>
      <c r="AI1849" s="884"/>
      <c r="AJ1849" s="884"/>
      <c r="AK1849" s="884">
        <f t="shared" ref="AK1849" si="7401">AF1849+AG1849+AH1849+AI1849+AJ1849+AC1849</f>
        <v>367.85</v>
      </c>
      <c r="AL1849" s="884">
        <v>367.79999999999995</v>
      </c>
      <c r="AM1849" s="878">
        <f t="shared" ref="AM1849" si="7402">IFERROR((AK1849/AL1849),"-")</f>
        <v>1.0001359434475261</v>
      </c>
      <c r="AN1849" s="2"/>
      <c r="AO1849" s="884">
        <v>2068.9899999999998</v>
      </c>
      <c r="AP1849" s="884">
        <f t="shared" ref="AP1849" si="7403">AO1849-AK1849</f>
        <v>1701.1399999999999</v>
      </c>
      <c r="AV1849" t="str">
        <f t="shared" si="7234"/>
        <v>Drenagem Superficial</v>
      </c>
      <c r="AW1849" s="4" t="str">
        <f t="shared" si="7233"/>
        <v xml:space="preserve">   Seg. 2.4-A01 - Drenagem Superficial - Canaleta de banqueta de aterro (Manual)</v>
      </c>
    </row>
    <row r="1850" spans="1:50" ht="21.6" hidden="1" customHeight="1" outlineLevel="2">
      <c r="A1850" s="8" t="str">
        <f t="shared" ref="A1850" si="7404">A1849</f>
        <v>N</v>
      </c>
      <c r="B1850" s="150"/>
      <c r="C1850" s="150" t="s">
        <v>2174</v>
      </c>
      <c r="D1850" s="120" t="s">
        <v>421</v>
      </c>
      <c r="E1850" s="915"/>
      <c r="F1850" s="902"/>
      <c r="G1850" s="528"/>
      <c r="H1850" s="549" t="s">
        <v>38</v>
      </c>
      <c r="I1850" s="711">
        <v>0</v>
      </c>
      <c r="J1850" s="897"/>
      <c r="K1850" s="528"/>
      <c r="L1850" s="549" t="s">
        <v>38</v>
      </c>
      <c r="M1850" s="711">
        <f t="shared" si="7397"/>
        <v>0</v>
      </c>
      <c r="N1850" s="897"/>
      <c r="O1850" s="528"/>
      <c r="P1850" s="548">
        <v>0</v>
      </c>
      <c r="Q1850" s="548">
        <v>0</v>
      </c>
      <c r="R1850" s="548">
        <v>0</v>
      </c>
      <c r="S1850" s="548">
        <v>0</v>
      </c>
      <c r="T1850" s="548">
        <v>0</v>
      </c>
      <c r="U1850" s="548">
        <v>0</v>
      </c>
      <c r="V1850" s="548"/>
      <c r="W1850" s="528"/>
      <c r="X1850" s="711">
        <f t="shared" si="7390"/>
        <v>0</v>
      </c>
      <c r="Y1850" s="897"/>
      <c r="Z1850" s="528"/>
      <c r="AA1850" s="899"/>
      <c r="AB1850" s="899"/>
      <c r="AC1850" s="904"/>
      <c r="AD1850" s="901"/>
      <c r="AE1850" s="2"/>
      <c r="AF1850" s="885"/>
      <c r="AG1850" s="885"/>
      <c r="AH1850" s="885"/>
      <c r="AI1850" s="885"/>
      <c r="AJ1850" s="885"/>
      <c r="AK1850" s="885"/>
      <c r="AL1850" s="885"/>
      <c r="AM1850" s="879"/>
      <c r="AN1850" s="2"/>
      <c r="AO1850" s="886"/>
      <c r="AP1850" s="886"/>
      <c r="AV1850" t="str">
        <f t="shared" si="7234"/>
        <v>Drenagem Superficial</v>
      </c>
      <c r="AW1850" s="4" t="str">
        <f t="shared" si="7233"/>
        <v xml:space="preserve">   Seg. 2.4-A01 - Drenagem Superficial - Canaleta de banqueta de aterro (Manual)</v>
      </c>
    </row>
    <row r="1851" spans="1:50" ht="15.6" hidden="1" customHeight="1" outlineLevel="2">
      <c r="A1851" s="8" t="str">
        <f t="shared" ref="A1851" si="7405">IF(SUM(P1851:V1852)&gt;0,"S","N")</f>
        <v>N</v>
      </c>
      <c r="B1851" s="150">
        <v>1064560</v>
      </c>
      <c r="C1851" s="150" t="s">
        <v>2176</v>
      </c>
      <c r="D1851" s="120" t="s">
        <v>436</v>
      </c>
      <c r="E1851" s="914" t="s">
        <v>2177</v>
      </c>
      <c r="F1851" s="902" t="s">
        <v>52</v>
      </c>
      <c r="G1851" s="528"/>
      <c r="H1851" s="546" t="s">
        <v>37</v>
      </c>
      <c r="I1851" s="711">
        <v>0</v>
      </c>
      <c r="J1851" s="896" t="str">
        <f t="shared" ref="J1851" si="7406">IFERROR((I1852/I1851),"-")</f>
        <v>-</v>
      </c>
      <c r="K1851" s="528"/>
      <c r="L1851" s="546" t="s">
        <v>37</v>
      </c>
      <c r="M1851" s="711">
        <f t="shared" si="7397"/>
        <v>0</v>
      </c>
      <c r="N1851" s="896" t="str">
        <f t="shared" ref="N1851" si="7407">IFERROR((M1852/M1851),"-")</f>
        <v>-</v>
      </c>
      <c r="O1851" s="528"/>
      <c r="P1851" s="547">
        <v>0</v>
      </c>
      <c r="Q1851" s="547">
        <v>0</v>
      </c>
      <c r="R1851" s="547">
        <v>0</v>
      </c>
      <c r="S1851" s="547">
        <v>0</v>
      </c>
      <c r="T1851" s="547">
        <v>0</v>
      </c>
      <c r="U1851" s="547">
        <v>0</v>
      </c>
      <c r="V1851" s="548">
        <v>0</v>
      </c>
      <c r="W1851" s="528"/>
      <c r="X1851" s="711"/>
      <c r="Y1851" s="896" t="str">
        <f>IFERROR((X1852/X1851),"-")</f>
        <v>-</v>
      </c>
      <c r="Z1851" s="528"/>
      <c r="AA1851" s="898">
        <v>0</v>
      </c>
      <c r="AB1851" s="898">
        <v>0</v>
      </c>
      <c r="AC1851" s="903">
        <v>0</v>
      </c>
      <c r="AD1851" s="900" t="str">
        <f t="shared" ref="AD1851" si="7408">IFERROR((AC1851/AB1851),"-")</f>
        <v>-</v>
      </c>
      <c r="AE1851" s="2"/>
      <c r="AF1851" s="884">
        <v>0</v>
      </c>
      <c r="AG1851" s="884"/>
      <c r="AH1851" s="884">
        <v>0</v>
      </c>
      <c r="AI1851" s="884"/>
      <c r="AJ1851" s="884"/>
      <c r="AK1851" s="884">
        <f t="shared" ref="AK1851" si="7409">AF1851+AG1851+AH1851+AI1851+AJ1851+AC1851</f>
        <v>0</v>
      </c>
      <c r="AL1851" s="884">
        <v>0</v>
      </c>
      <c r="AM1851" s="878" t="str">
        <f t="shared" ref="AM1851" si="7410">IFERROR((AK1851/AL1851),"-")</f>
        <v>-</v>
      </c>
      <c r="AN1851" s="2"/>
      <c r="AO1851" s="884">
        <v>447</v>
      </c>
      <c r="AP1851" s="884">
        <f t="shared" ref="AP1851" si="7411">AO1851-AK1851</f>
        <v>447</v>
      </c>
      <c r="AV1851" t="str">
        <f t="shared" si="7234"/>
        <v>Drenagem Superficial</v>
      </c>
      <c r="AW1851" s="4" t="str">
        <f t="shared" si="7233"/>
        <v xml:space="preserve">   Seg. 2.4-A06 - Drenagem Superficial - Canaleta de banqueta de aterro (Manual)</v>
      </c>
    </row>
    <row r="1852" spans="1:50" ht="15.6" hidden="1" customHeight="1" outlineLevel="2">
      <c r="A1852" s="8" t="str">
        <f t="shared" ref="A1852" si="7412">A1851</f>
        <v>N</v>
      </c>
      <c r="B1852" s="150"/>
      <c r="C1852" s="150" t="s">
        <v>2176</v>
      </c>
      <c r="D1852" s="120" t="s">
        <v>436</v>
      </c>
      <c r="E1852" s="915"/>
      <c r="F1852" s="902"/>
      <c r="G1852" s="528"/>
      <c r="H1852" s="549" t="s">
        <v>38</v>
      </c>
      <c r="I1852" s="711">
        <v>0</v>
      </c>
      <c r="J1852" s="897"/>
      <c r="K1852" s="528"/>
      <c r="L1852" s="549" t="s">
        <v>38</v>
      </c>
      <c r="M1852" s="711">
        <f t="shared" si="7397"/>
        <v>0</v>
      </c>
      <c r="N1852" s="897"/>
      <c r="O1852" s="528"/>
      <c r="P1852" s="548">
        <v>0</v>
      </c>
      <c r="Q1852" s="548">
        <v>0</v>
      </c>
      <c r="R1852" s="548">
        <v>0</v>
      </c>
      <c r="S1852" s="548">
        <v>0</v>
      </c>
      <c r="T1852" s="548">
        <v>0</v>
      </c>
      <c r="U1852" s="548">
        <v>0</v>
      </c>
      <c r="V1852" s="548"/>
      <c r="W1852" s="528"/>
      <c r="X1852" s="711"/>
      <c r="Y1852" s="897"/>
      <c r="Z1852" s="528"/>
      <c r="AA1852" s="899"/>
      <c r="AB1852" s="899"/>
      <c r="AC1852" s="904"/>
      <c r="AD1852" s="901"/>
      <c r="AE1852" s="2"/>
      <c r="AF1852" s="885"/>
      <c r="AG1852" s="885"/>
      <c r="AH1852" s="885"/>
      <c r="AI1852" s="885"/>
      <c r="AJ1852" s="885"/>
      <c r="AK1852" s="885"/>
      <c r="AL1852" s="885"/>
      <c r="AM1852" s="879"/>
      <c r="AN1852" s="2"/>
      <c r="AO1852" s="886"/>
      <c r="AP1852" s="886"/>
      <c r="AV1852" t="str">
        <f t="shared" si="7234"/>
        <v>Drenagem Superficial</v>
      </c>
      <c r="AW1852" s="4" t="str">
        <f t="shared" si="7233"/>
        <v xml:space="preserve">   Seg. 2.4-A06 - Drenagem Superficial - Canaleta de banqueta de aterro (Manual)</v>
      </c>
    </row>
    <row r="1853" spans="1:50" ht="15.6" hidden="1" customHeight="1" outlineLevel="2">
      <c r="A1853" s="8" t="str">
        <f t="shared" ref="A1853" si="7413">IF(SUM(P1853:V1854)&gt;0,"S","N")</f>
        <v>N</v>
      </c>
      <c r="B1853" s="150">
        <v>1069330</v>
      </c>
      <c r="C1853" s="150" t="s">
        <v>2178</v>
      </c>
      <c r="D1853" s="120" t="s">
        <v>385</v>
      </c>
      <c r="E1853" s="914" t="s">
        <v>2179</v>
      </c>
      <c r="F1853" s="902" t="s">
        <v>52</v>
      </c>
      <c r="G1853" s="528"/>
      <c r="H1853" s="546" t="s">
        <v>37</v>
      </c>
      <c r="I1853" s="711">
        <v>0</v>
      </c>
      <c r="J1853" s="896" t="str">
        <f t="shared" ref="J1853" si="7414">IFERROR((I1854/I1853),"-")</f>
        <v>-</v>
      </c>
      <c r="K1853" s="528"/>
      <c r="L1853" s="546" t="s">
        <v>37</v>
      </c>
      <c r="M1853" s="711">
        <f t="shared" si="7397"/>
        <v>0</v>
      </c>
      <c r="N1853" s="896" t="str">
        <f t="shared" ref="N1853" si="7415">IFERROR((M1854/M1853),"-")</f>
        <v>-</v>
      </c>
      <c r="O1853" s="528"/>
      <c r="P1853" s="547">
        <v>0</v>
      </c>
      <c r="Q1853" s="547">
        <v>0</v>
      </c>
      <c r="R1853" s="547">
        <v>0</v>
      </c>
      <c r="S1853" s="547">
        <v>0</v>
      </c>
      <c r="T1853" s="547">
        <v>0</v>
      </c>
      <c r="U1853" s="547">
        <v>0</v>
      </c>
      <c r="V1853" s="548">
        <v>0</v>
      </c>
      <c r="W1853" s="528"/>
      <c r="X1853" s="711">
        <f t="shared" ref="X1853:X1854" si="7416">SUMIFS(P1853:V1853,$P$8:$V$8,"&gt;="&amp;$P$8,$P$8:$V$8,"&lt;="&amp;$N$8)</f>
        <v>0</v>
      </c>
      <c r="Y1853" s="896" t="str">
        <f t="shared" ref="Y1853" si="7417">IFERROR((X1854/X1853),"-")</f>
        <v>-</v>
      </c>
      <c r="Z1853" s="528"/>
      <c r="AA1853" s="898">
        <v>0</v>
      </c>
      <c r="AB1853" s="898">
        <v>0</v>
      </c>
      <c r="AC1853" s="903">
        <v>0</v>
      </c>
      <c r="AD1853" s="900" t="str">
        <f t="shared" ref="AD1853" si="7418">IFERROR((AC1853/AB1853),"-")</f>
        <v>-</v>
      </c>
      <c r="AE1853" s="2"/>
      <c r="AF1853" s="884">
        <v>0</v>
      </c>
      <c r="AG1853" s="884"/>
      <c r="AH1853" s="884">
        <v>0</v>
      </c>
      <c r="AI1853" s="884"/>
      <c r="AJ1853" s="884"/>
      <c r="AK1853" s="884">
        <f t="shared" ref="AK1853" si="7419">AF1853+AG1853+AH1853+AI1853+AJ1853+AC1853</f>
        <v>0</v>
      </c>
      <c r="AL1853" s="884">
        <v>0</v>
      </c>
      <c r="AM1853" s="878" t="str">
        <f t="shared" ref="AM1853" si="7420">IFERROR((AK1853/AL1853),"-")</f>
        <v>-</v>
      </c>
      <c r="AN1853" s="2"/>
      <c r="AO1853" s="884">
        <v>61</v>
      </c>
      <c r="AP1853" s="884">
        <f t="shared" ref="AP1853" si="7421">AO1853-AK1853</f>
        <v>61</v>
      </c>
      <c r="AV1853" t="str">
        <f t="shared" si="7234"/>
        <v>Drenagem Superficial</v>
      </c>
      <c r="AW1853" s="4" t="str">
        <f t="shared" si="7233"/>
        <v xml:space="preserve">   Seg. 2.4-C05 - Drenagem Superficial - Canaleta de banqueta de corte (Manual)</v>
      </c>
    </row>
    <row r="1854" spans="1:50" ht="15.6" hidden="1" customHeight="1" outlineLevel="2">
      <c r="A1854" s="8" t="str">
        <f t="shared" ref="A1854" si="7422">A1853</f>
        <v>N</v>
      </c>
      <c r="B1854" s="150"/>
      <c r="C1854" s="150" t="s">
        <v>2178</v>
      </c>
      <c r="D1854" s="120" t="s">
        <v>385</v>
      </c>
      <c r="E1854" s="915"/>
      <c r="F1854" s="902"/>
      <c r="G1854" s="528"/>
      <c r="H1854" s="549" t="s">
        <v>38</v>
      </c>
      <c r="I1854" s="711">
        <v>0</v>
      </c>
      <c r="J1854" s="897"/>
      <c r="K1854" s="528"/>
      <c r="L1854" s="549" t="s">
        <v>38</v>
      </c>
      <c r="M1854" s="711">
        <f t="shared" si="7397"/>
        <v>0</v>
      </c>
      <c r="N1854" s="897"/>
      <c r="O1854" s="528"/>
      <c r="P1854" s="548">
        <v>0</v>
      </c>
      <c r="Q1854" s="548">
        <v>0</v>
      </c>
      <c r="R1854" s="548">
        <v>0</v>
      </c>
      <c r="S1854" s="548">
        <v>0</v>
      </c>
      <c r="T1854" s="548">
        <v>0</v>
      </c>
      <c r="U1854" s="548">
        <v>0</v>
      </c>
      <c r="V1854" s="548"/>
      <c r="W1854" s="528"/>
      <c r="X1854" s="711">
        <f t="shared" si="7416"/>
        <v>0</v>
      </c>
      <c r="Y1854" s="897"/>
      <c r="Z1854" s="528"/>
      <c r="AA1854" s="899"/>
      <c r="AB1854" s="899"/>
      <c r="AC1854" s="904"/>
      <c r="AD1854" s="901"/>
      <c r="AE1854" s="2"/>
      <c r="AF1854" s="885"/>
      <c r="AG1854" s="885"/>
      <c r="AH1854" s="885"/>
      <c r="AI1854" s="885"/>
      <c r="AJ1854" s="885"/>
      <c r="AK1854" s="885"/>
      <c r="AL1854" s="885"/>
      <c r="AM1854" s="879"/>
      <c r="AN1854" s="2"/>
      <c r="AO1854" s="886"/>
      <c r="AP1854" s="886"/>
      <c r="AV1854" t="str">
        <f t="shared" si="7234"/>
        <v>Drenagem Superficial</v>
      </c>
      <c r="AW1854" s="4" t="str">
        <f t="shared" si="7233"/>
        <v xml:space="preserve">   Seg. 2.4-C05 - Drenagem Superficial - Canaleta de banqueta de corte (Manual)</v>
      </c>
    </row>
    <row r="1855" spans="1:50" ht="15.6" hidden="1" customHeight="1" outlineLevel="2">
      <c r="A1855" s="8" t="str">
        <f t="shared" ref="A1855" si="7423">IF(SUM(P1855:V1856)&gt;0,"S","N")</f>
        <v>N</v>
      </c>
      <c r="B1855" s="150">
        <v>1069397</v>
      </c>
      <c r="C1855" s="150" t="s">
        <v>2180</v>
      </c>
      <c r="D1855" s="120" t="s">
        <v>1936</v>
      </c>
      <c r="E1855" s="914" t="s">
        <v>2181</v>
      </c>
      <c r="F1855" s="902" t="s">
        <v>52</v>
      </c>
      <c r="G1855" s="528"/>
      <c r="H1855" s="546" t="s">
        <v>37</v>
      </c>
      <c r="I1855" s="711">
        <v>0</v>
      </c>
      <c r="J1855" s="896" t="str">
        <f t="shared" ref="J1855" si="7424">IFERROR((I1856/I1855),"-")</f>
        <v>-</v>
      </c>
      <c r="K1855" s="528"/>
      <c r="L1855" s="546" t="s">
        <v>37</v>
      </c>
      <c r="M1855" s="711">
        <f t="shared" si="7397"/>
        <v>0</v>
      </c>
      <c r="N1855" s="896" t="str">
        <f t="shared" ref="N1855" si="7425">IFERROR((M1856/M1855),"-")</f>
        <v>-</v>
      </c>
      <c r="O1855" s="528"/>
      <c r="P1855" s="547">
        <v>0</v>
      </c>
      <c r="Q1855" s="547">
        <v>0</v>
      </c>
      <c r="R1855" s="547">
        <v>0</v>
      </c>
      <c r="S1855" s="547">
        <v>0</v>
      </c>
      <c r="T1855" s="547">
        <v>0</v>
      </c>
      <c r="U1855" s="547">
        <v>0</v>
      </c>
      <c r="V1855" s="548">
        <v>0</v>
      </c>
      <c r="W1855" s="528"/>
      <c r="X1855" s="711"/>
      <c r="Y1855" s="896" t="str">
        <f>IFERROR((X1856/X1855),"-")</f>
        <v>-</v>
      </c>
      <c r="Z1855" s="528"/>
      <c r="AA1855" s="898">
        <v>0</v>
      </c>
      <c r="AB1855" s="898">
        <v>0</v>
      </c>
      <c r="AC1855" s="903">
        <v>0</v>
      </c>
      <c r="AD1855" s="900" t="str">
        <f t="shared" ref="AD1855" si="7426">IFERROR((AC1855/AB1855),"-")</f>
        <v>-</v>
      </c>
      <c r="AE1855" s="2"/>
      <c r="AF1855" s="884">
        <v>0</v>
      </c>
      <c r="AG1855" s="884"/>
      <c r="AH1855" s="884">
        <v>0</v>
      </c>
      <c r="AI1855" s="884"/>
      <c r="AJ1855" s="884"/>
      <c r="AK1855" s="884">
        <f t="shared" ref="AK1855" si="7427">AF1855+AG1855+AH1855+AI1855+AJ1855+AC1855</f>
        <v>0</v>
      </c>
      <c r="AL1855" s="884">
        <v>0</v>
      </c>
      <c r="AM1855" s="878" t="str">
        <f t="shared" ref="AM1855" si="7428">IFERROR((AK1855/AL1855),"-")</f>
        <v>-</v>
      </c>
      <c r="AN1855" s="2"/>
      <c r="AO1855" s="884">
        <v>423</v>
      </c>
      <c r="AP1855" s="884">
        <f t="shared" ref="AP1855" si="7429">AO1855-AK1855</f>
        <v>423</v>
      </c>
      <c r="AV1855" t="str">
        <f t="shared" si="7234"/>
        <v>Drenagem Superficial</v>
      </c>
      <c r="AW1855" s="4" t="str">
        <f t="shared" si="7233"/>
        <v xml:space="preserve">   Seg. 2.4-Acesso A01 - Drenagem Superficial - Canaleta de banqueta de aterro (Manual)</v>
      </c>
    </row>
    <row r="1856" spans="1:50" ht="15.6" hidden="1" customHeight="1" outlineLevel="2">
      <c r="A1856" s="8" t="str">
        <f t="shared" ref="A1856" si="7430">A1855</f>
        <v>N</v>
      </c>
      <c r="B1856" s="150"/>
      <c r="C1856" s="150" t="s">
        <v>2180</v>
      </c>
      <c r="D1856" s="120" t="s">
        <v>1936</v>
      </c>
      <c r="E1856" s="915"/>
      <c r="F1856" s="902"/>
      <c r="G1856" s="528"/>
      <c r="H1856" s="549" t="s">
        <v>38</v>
      </c>
      <c r="I1856" s="711">
        <v>0</v>
      </c>
      <c r="J1856" s="897"/>
      <c r="K1856" s="528"/>
      <c r="L1856" s="549" t="s">
        <v>38</v>
      </c>
      <c r="M1856" s="711">
        <f t="shared" si="7397"/>
        <v>0</v>
      </c>
      <c r="N1856" s="897"/>
      <c r="O1856" s="528"/>
      <c r="P1856" s="548">
        <v>0</v>
      </c>
      <c r="Q1856" s="548">
        <v>0</v>
      </c>
      <c r="R1856" s="548">
        <v>0</v>
      </c>
      <c r="S1856" s="548">
        <v>0</v>
      </c>
      <c r="T1856" s="548">
        <v>0</v>
      </c>
      <c r="U1856" s="548">
        <v>0</v>
      </c>
      <c r="V1856" s="548"/>
      <c r="W1856" s="528"/>
      <c r="X1856" s="711"/>
      <c r="Y1856" s="897"/>
      <c r="Z1856" s="528"/>
      <c r="AA1856" s="899"/>
      <c r="AB1856" s="899"/>
      <c r="AC1856" s="904"/>
      <c r="AD1856" s="901"/>
      <c r="AE1856" s="2"/>
      <c r="AF1856" s="885"/>
      <c r="AG1856" s="885"/>
      <c r="AH1856" s="885"/>
      <c r="AI1856" s="885"/>
      <c r="AJ1856" s="885"/>
      <c r="AK1856" s="885"/>
      <c r="AL1856" s="885"/>
      <c r="AM1856" s="879"/>
      <c r="AN1856" s="2"/>
      <c r="AO1856" s="886"/>
      <c r="AP1856" s="886"/>
      <c r="AV1856" t="str">
        <f t="shared" si="7234"/>
        <v>Drenagem Superficial</v>
      </c>
      <c r="AW1856" s="4" t="str">
        <f t="shared" si="7233"/>
        <v xml:space="preserve">   Seg. 2.4-Acesso A01 - Drenagem Superficial - Canaleta de banqueta de aterro (Manual)</v>
      </c>
    </row>
    <row r="1857" spans="1:50" ht="15.6" hidden="1" customHeight="1" outlineLevel="2">
      <c r="A1857" s="8" t="str">
        <f t="shared" ref="A1857" si="7431">IF(SUM(P1857:V1858)&gt;0,"S","N")</f>
        <v>N</v>
      </c>
      <c r="B1857" s="150">
        <v>1069665</v>
      </c>
      <c r="C1857" s="150" t="s">
        <v>2182</v>
      </c>
      <c r="D1857" s="120" t="s">
        <v>1941</v>
      </c>
      <c r="E1857" s="914" t="s">
        <v>2183</v>
      </c>
      <c r="F1857" s="902" t="s">
        <v>52</v>
      </c>
      <c r="G1857" s="528"/>
      <c r="H1857" s="546" t="s">
        <v>37</v>
      </c>
      <c r="I1857" s="711">
        <v>0</v>
      </c>
      <c r="J1857" s="896" t="str">
        <f t="shared" ref="J1857" si="7432">IFERROR((I1858/I1857),"-")</f>
        <v>-</v>
      </c>
      <c r="K1857" s="528"/>
      <c r="L1857" s="546" t="s">
        <v>37</v>
      </c>
      <c r="M1857" s="711">
        <f t="shared" si="7397"/>
        <v>0</v>
      </c>
      <c r="N1857" s="896" t="str">
        <f t="shared" ref="N1857" si="7433">IFERROR((M1858/M1857),"-")</f>
        <v>-</v>
      </c>
      <c r="O1857" s="528"/>
      <c r="P1857" s="547">
        <v>0</v>
      </c>
      <c r="Q1857" s="547">
        <v>0</v>
      </c>
      <c r="R1857" s="547">
        <v>0</v>
      </c>
      <c r="S1857" s="547">
        <v>0</v>
      </c>
      <c r="T1857" s="547">
        <v>0</v>
      </c>
      <c r="U1857" s="547">
        <v>0</v>
      </c>
      <c r="V1857" s="548">
        <v>0</v>
      </c>
      <c r="W1857" s="528"/>
      <c r="X1857" s="711"/>
      <c r="Y1857" s="896" t="str">
        <f>IFERROR((X1858/X1857),"-")</f>
        <v>-</v>
      </c>
      <c r="Z1857" s="528"/>
      <c r="AA1857" s="898">
        <v>0</v>
      </c>
      <c r="AB1857" s="898">
        <v>0</v>
      </c>
      <c r="AC1857" s="903">
        <v>0</v>
      </c>
      <c r="AD1857" s="900" t="str">
        <f t="shared" ref="AD1857" si="7434">IFERROR((AC1857/AB1857),"-")</f>
        <v>-</v>
      </c>
      <c r="AE1857" s="2"/>
      <c r="AF1857" s="884">
        <v>0</v>
      </c>
      <c r="AG1857" s="884"/>
      <c r="AH1857" s="884">
        <v>0</v>
      </c>
      <c r="AI1857" s="884"/>
      <c r="AJ1857" s="884"/>
      <c r="AK1857" s="884">
        <f t="shared" ref="AK1857" si="7435">AF1857+AG1857+AH1857+AI1857+AJ1857+AC1857</f>
        <v>0</v>
      </c>
      <c r="AL1857" s="884">
        <v>0</v>
      </c>
      <c r="AM1857" s="878" t="str">
        <f t="shared" ref="AM1857" si="7436">IFERROR((AK1857/AL1857),"-")</f>
        <v>-</v>
      </c>
      <c r="AN1857" s="2"/>
      <c r="AO1857" s="884">
        <v>2043</v>
      </c>
      <c r="AP1857" s="884">
        <f t="shared" ref="AP1857" si="7437">AO1857-AK1857</f>
        <v>2043</v>
      </c>
      <c r="AV1857" t="str">
        <f t="shared" si="7234"/>
        <v>Drenagem Superficial</v>
      </c>
      <c r="AW1857" s="4" t="str">
        <f t="shared" si="7233"/>
        <v xml:space="preserve">   Seg. 2.4-A01 - Drenagem Superficial - Canaleta de banqueta de aterro (Extrusada)</v>
      </c>
    </row>
    <row r="1858" spans="1:50" ht="15.6" hidden="1" customHeight="1" outlineLevel="2">
      <c r="A1858" s="8" t="str">
        <f t="shared" ref="A1858" si="7438">A1857</f>
        <v>N</v>
      </c>
      <c r="B1858" s="150"/>
      <c r="C1858" s="150" t="s">
        <v>2182</v>
      </c>
      <c r="D1858" s="120" t="s">
        <v>1941</v>
      </c>
      <c r="E1858" s="915"/>
      <c r="F1858" s="902"/>
      <c r="G1858" s="528"/>
      <c r="H1858" s="549" t="s">
        <v>38</v>
      </c>
      <c r="I1858" s="711">
        <v>0</v>
      </c>
      <c r="J1858" s="897"/>
      <c r="K1858" s="528"/>
      <c r="L1858" s="549" t="s">
        <v>38</v>
      </c>
      <c r="M1858" s="711">
        <f t="shared" si="7397"/>
        <v>0</v>
      </c>
      <c r="N1858" s="897"/>
      <c r="O1858" s="528"/>
      <c r="P1858" s="548">
        <v>0</v>
      </c>
      <c r="Q1858" s="548">
        <v>0</v>
      </c>
      <c r="R1858" s="548">
        <v>0</v>
      </c>
      <c r="S1858" s="548">
        <v>0</v>
      </c>
      <c r="T1858" s="548">
        <v>0</v>
      </c>
      <c r="U1858" s="548">
        <v>0</v>
      </c>
      <c r="V1858" s="548"/>
      <c r="W1858" s="528"/>
      <c r="X1858" s="711"/>
      <c r="Y1858" s="897"/>
      <c r="Z1858" s="528"/>
      <c r="AA1858" s="899"/>
      <c r="AB1858" s="899"/>
      <c r="AC1858" s="904"/>
      <c r="AD1858" s="901"/>
      <c r="AE1858" s="2"/>
      <c r="AF1858" s="885"/>
      <c r="AG1858" s="885"/>
      <c r="AH1858" s="885"/>
      <c r="AI1858" s="885"/>
      <c r="AJ1858" s="885"/>
      <c r="AK1858" s="885"/>
      <c r="AL1858" s="885"/>
      <c r="AM1858" s="879"/>
      <c r="AN1858" s="2"/>
      <c r="AO1858" s="886"/>
      <c r="AP1858" s="886"/>
      <c r="AV1858" t="str">
        <f t="shared" si="7234"/>
        <v>Drenagem Superficial</v>
      </c>
      <c r="AW1858" s="4" t="str">
        <f t="shared" si="7233"/>
        <v xml:space="preserve">   Seg. 2.4-A01 - Drenagem Superficial - Canaleta de banqueta de aterro (Extrusada)</v>
      </c>
    </row>
    <row r="1859" spans="1:50" ht="15.6" hidden="1" customHeight="1" outlineLevel="1" collapsed="1">
      <c r="A1859" s="209">
        <v>0</v>
      </c>
      <c r="B1859" s="150"/>
      <c r="C1859" s="150"/>
      <c r="D1859" s="117"/>
      <c r="E1859" s="535"/>
      <c r="F1859" s="536"/>
      <c r="G1859" s="537"/>
      <c r="H1859" s="714"/>
      <c r="I1859" s="555"/>
      <c r="J1859" s="714"/>
      <c r="K1859" s="537"/>
      <c r="L1859" s="714"/>
      <c r="M1859" s="555"/>
      <c r="N1859" s="714"/>
      <c r="O1859" s="537"/>
      <c r="P1859" s="539"/>
      <c r="Q1859" s="539"/>
      <c r="R1859" s="539"/>
      <c r="S1859" s="539"/>
      <c r="T1859" s="539"/>
      <c r="U1859" s="539"/>
      <c r="V1859" s="539"/>
      <c r="W1859" s="537"/>
      <c r="X1859" s="540"/>
      <c r="Y1859" s="537"/>
      <c r="Z1859" s="537"/>
      <c r="AA1859" s="249"/>
      <c r="AB1859" s="249"/>
      <c r="AC1859" s="249"/>
      <c r="AD1859" s="537"/>
      <c r="AE1859" s="3"/>
      <c r="AF1859" s="35"/>
      <c r="AG1859" s="35"/>
      <c r="AH1859" s="35"/>
      <c r="AI1859" s="35"/>
      <c r="AJ1859" s="35"/>
      <c r="AK1859" s="35"/>
      <c r="AL1859" s="35"/>
      <c r="AM1859" s="3"/>
      <c r="AN1859" s="3"/>
      <c r="AO1859" s="35"/>
      <c r="AP1859" s="35"/>
      <c r="AV1859" t="str">
        <f t="shared" si="7234"/>
        <v>Drenagem Superficial</v>
      </c>
      <c r="AW1859" s="4" t="str">
        <f t="shared" si="7233"/>
        <v xml:space="preserve">   Seg. 2.4-A01 - Drenagem Superficial - Canaleta de banqueta de aterro (Extrusada)</v>
      </c>
    </row>
    <row r="1860" spans="1:50" ht="15.6" hidden="1" customHeight="1" outlineLevel="1">
      <c r="A1860" s="209">
        <v>0</v>
      </c>
      <c r="B1860" s="150"/>
      <c r="C1860" s="150">
        <v>0</v>
      </c>
      <c r="D1860" s="122"/>
      <c r="E1860" s="913" t="s">
        <v>44</v>
      </c>
      <c r="F1860" s="859" t="s">
        <v>52</v>
      </c>
      <c r="G1860" s="528"/>
      <c r="H1860" s="542" t="s">
        <v>37</v>
      </c>
      <c r="I1860" s="543">
        <f>SUMIF($L1862:$L1879,$L1860,I1862:I1879)</f>
        <v>0</v>
      </c>
      <c r="J1860" s="860" t="str">
        <f>IFERROR((I1861/I1860),"-")</f>
        <v>-</v>
      </c>
      <c r="K1860" s="528"/>
      <c r="L1860" s="542" t="s">
        <v>37</v>
      </c>
      <c r="M1860" s="543">
        <f>SUMIF($L1862:$L1879,$L1860,M1862:M1879)</f>
        <v>0</v>
      </c>
      <c r="N1860" s="860" t="str">
        <f>IFERROR((M1861/M1860),"-")</f>
        <v>-</v>
      </c>
      <c r="O1860" s="528"/>
      <c r="P1860" s="543">
        <f t="shared" ref="P1860:U1860" si="7439">SUMIF($L1862:$L1879,$L1860,P1862:P1879)</f>
        <v>0</v>
      </c>
      <c r="Q1860" s="543">
        <f t="shared" si="7439"/>
        <v>0</v>
      </c>
      <c r="R1860" s="543">
        <f t="shared" si="7439"/>
        <v>0</v>
      </c>
      <c r="S1860" s="543">
        <f t="shared" si="7439"/>
        <v>0</v>
      </c>
      <c r="T1860" s="543">
        <f t="shared" si="7439"/>
        <v>0</v>
      </c>
      <c r="U1860" s="543">
        <f t="shared" si="7439"/>
        <v>0</v>
      </c>
      <c r="V1860" s="543"/>
      <c r="W1860" s="528"/>
      <c r="X1860" s="543">
        <f t="shared" ref="X1860:X1861" si="7440">SUMIFS(P1860:V1860,$P$8:$V$8,"&gt;="&amp;$P$8,$P$8:$V$8,"&lt;="&amp;$N$8)</f>
        <v>0</v>
      </c>
      <c r="Y1860" s="860" t="str">
        <f>IFERROR((X1861/X1860),"-")</f>
        <v>-</v>
      </c>
      <c r="Z1860" s="528"/>
      <c r="AA1860" s="814">
        <f>SUM(AA1862:AA1879)</f>
        <v>0</v>
      </c>
      <c r="AB1860" s="814">
        <f>SUM(AB1862:AB1879)</f>
        <v>0</v>
      </c>
      <c r="AC1860" s="814">
        <f>SUM(AC1862:AC1879)</f>
        <v>0</v>
      </c>
      <c r="AD1860" s="911" t="str">
        <f t="shared" ref="AD1860" si="7441">IFERROR((AC1860/AB1860),"-")</f>
        <v>-</v>
      </c>
      <c r="AE1860" s="2"/>
      <c r="AF1860" s="888">
        <f t="shared" ref="AF1860" si="7442">SUM(AF1862:AF1879)</f>
        <v>0</v>
      </c>
      <c r="AG1860" s="888">
        <f t="shared" ref="AG1860:AL1860" si="7443">SUM(AG1862:AG1879)</f>
        <v>0</v>
      </c>
      <c r="AH1860" s="888">
        <f t="shared" si="7443"/>
        <v>0</v>
      </c>
      <c r="AI1860" s="888">
        <f t="shared" si="7443"/>
        <v>0</v>
      </c>
      <c r="AJ1860" s="888">
        <f t="shared" si="7443"/>
        <v>0</v>
      </c>
      <c r="AK1860" s="888">
        <f t="shared" si="7443"/>
        <v>0</v>
      </c>
      <c r="AL1860" s="888">
        <f t="shared" si="7443"/>
        <v>0</v>
      </c>
      <c r="AM1860" s="743" t="str">
        <f>IFERROR((AK1860/AL1860),"-")</f>
        <v>-</v>
      </c>
      <c r="AN1860" s="2"/>
      <c r="AO1860" s="888">
        <f>SUM(AO1862:AO1879)</f>
        <v>7943.5</v>
      </c>
      <c r="AP1860" s="888">
        <f>SUM(AP1862:AP1879)</f>
        <v>7943.5</v>
      </c>
      <c r="AV1860" t="str">
        <f t="shared" si="7234"/>
        <v>Drenagem Superficial</v>
      </c>
      <c r="AW1860" s="4" t="str">
        <f t="shared" si="7233"/>
        <v>Pacote 05 - Segmento 2.5 - 138+160 a 153+420</v>
      </c>
    </row>
    <row r="1861" spans="1:50" ht="15.6" hidden="1" customHeight="1" outlineLevel="1">
      <c r="A1861" s="209">
        <v>0</v>
      </c>
      <c r="B1861" s="150"/>
      <c r="C1861" s="150"/>
      <c r="D1861" s="123"/>
      <c r="E1861" s="913"/>
      <c r="F1861" s="859"/>
      <c r="G1861" s="528"/>
      <c r="H1861" s="544" t="s">
        <v>38</v>
      </c>
      <c r="I1861" s="543">
        <f>SUMIF($L1862:$L1879,$L1861,I1862:I1879)</f>
        <v>0</v>
      </c>
      <c r="J1861" s="861"/>
      <c r="K1861" s="528"/>
      <c r="L1861" s="544" t="s">
        <v>38</v>
      </c>
      <c r="M1861" s="543">
        <f>SUMIF($L1862:$L1879,$L1861,M1862:M1879)</f>
        <v>0</v>
      </c>
      <c r="N1861" s="861"/>
      <c r="O1861" s="528"/>
      <c r="P1861" s="543">
        <f t="shared" ref="P1861:U1861" si="7444">SUMIF($L1862:$L1879,$L1861,P1862:P1879)</f>
        <v>0</v>
      </c>
      <c r="Q1861" s="543">
        <f t="shared" si="7444"/>
        <v>0</v>
      </c>
      <c r="R1861" s="543">
        <f t="shared" si="7444"/>
        <v>0</v>
      </c>
      <c r="S1861" s="543">
        <f t="shared" si="7444"/>
        <v>0</v>
      </c>
      <c r="T1861" s="543">
        <f t="shared" si="7444"/>
        <v>0</v>
      </c>
      <c r="U1861" s="543">
        <f t="shared" si="7444"/>
        <v>0</v>
      </c>
      <c r="V1861" s="543"/>
      <c r="W1861" s="528"/>
      <c r="X1861" s="543">
        <f t="shared" si="7440"/>
        <v>0</v>
      </c>
      <c r="Y1861" s="861"/>
      <c r="Z1861" s="528"/>
      <c r="AA1861" s="815"/>
      <c r="AB1861" s="815"/>
      <c r="AC1861" s="815"/>
      <c r="AD1861" s="912"/>
      <c r="AE1861" s="2"/>
      <c r="AF1861" s="889"/>
      <c r="AG1861" s="889"/>
      <c r="AH1861" s="889"/>
      <c r="AI1861" s="889"/>
      <c r="AJ1861" s="889"/>
      <c r="AK1861" s="889"/>
      <c r="AL1861" s="889"/>
      <c r="AM1861" s="744"/>
      <c r="AN1861" s="2"/>
      <c r="AO1861" s="888"/>
      <c r="AP1861" s="888"/>
      <c r="AV1861" t="str">
        <f t="shared" si="7234"/>
        <v>Drenagem Superficial</v>
      </c>
      <c r="AW1861" s="4" t="str">
        <f t="shared" si="7233"/>
        <v>Pacote 05 - Segmento 2.5 - 138+160 a 153+420</v>
      </c>
    </row>
    <row r="1862" spans="1:50" ht="15.6" hidden="1" customHeight="1" outlineLevel="2">
      <c r="A1862" s="8" t="str">
        <f t="shared" ref="A1862" si="7445">IF(SUM(P1862:V1863)&gt;0,"S","N")</f>
        <v>N</v>
      </c>
      <c r="B1862" s="150">
        <v>1064579</v>
      </c>
      <c r="C1862" s="150" t="s">
        <v>2184</v>
      </c>
      <c r="D1862" s="120" t="s">
        <v>502</v>
      </c>
      <c r="E1862" s="914" t="s">
        <v>2185</v>
      </c>
      <c r="F1862" s="902" t="s">
        <v>52</v>
      </c>
      <c r="G1862" s="528"/>
      <c r="H1862" s="546" t="s">
        <v>37</v>
      </c>
      <c r="I1862" s="711">
        <v>0</v>
      </c>
      <c r="J1862" s="896" t="str">
        <f t="shared" ref="J1862" si="7446">IFERROR((I1863/I1862),"-")</f>
        <v>-</v>
      </c>
      <c r="K1862" s="528"/>
      <c r="L1862" s="546" t="s">
        <v>37</v>
      </c>
      <c r="M1862" s="711">
        <f t="shared" ref="M1862:M1879" si="7447">_xlfn.XLOOKUP($N$8,$P$8:$V$8,$P1862:$V1862)</f>
        <v>0</v>
      </c>
      <c r="N1862" s="896" t="str">
        <f t="shared" ref="N1862" si="7448">IFERROR((M1863/M1862),"-")</f>
        <v>-</v>
      </c>
      <c r="O1862" s="528"/>
      <c r="P1862" s="547">
        <v>0</v>
      </c>
      <c r="Q1862" s="547">
        <v>0</v>
      </c>
      <c r="R1862" s="547">
        <v>0</v>
      </c>
      <c r="S1862" s="547">
        <v>0</v>
      </c>
      <c r="T1862" s="547">
        <v>0</v>
      </c>
      <c r="U1862" s="547">
        <v>0</v>
      </c>
      <c r="V1862" s="548">
        <v>0</v>
      </c>
      <c r="W1862" s="528"/>
      <c r="X1862" s="711"/>
      <c r="Y1862" s="896" t="str">
        <f t="shared" ref="Y1862" si="7449">IFERROR((X1863/X1862),"-")</f>
        <v>-</v>
      </c>
      <c r="Z1862" s="528"/>
      <c r="AA1862" s="898">
        <v>0</v>
      </c>
      <c r="AB1862" s="898">
        <v>0</v>
      </c>
      <c r="AC1862" s="903">
        <v>0</v>
      </c>
      <c r="AD1862" s="900" t="str">
        <f t="shared" ref="AD1862" si="7450">IFERROR((AC1862/AB1862),"-")</f>
        <v>-</v>
      </c>
      <c r="AE1862" s="2"/>
      <c r="AF1862" s="884">
        <v>0</v>
      </c>
      <c r="AG1862" s="884"/>
      <c r="AH1862" s="884">
        <v>0</v>
      </c>
      <c r="AI1862" s="884"/>
      <c r="AJ1862" s="884"/>
      <c r="AK1862" s="884">
        <f t="shared" ref="AK1862" si="7451">AF1862+AG1862+AH1862+AI1862+AJ1862+AC1862</f>
        <v>0</v>
      </c>
      <c r="AL1862" s="884">
        <v>0</v>
      </c>
      <c r="AM1862" s="878" t="str">
        <f t="shared" ref="AM1862" si="7452">IFERROR((AK1862/AL1862),"-")</f>
        <v>-</v>
      </c>
      <c r="AN1862" s="2"/>
      <c r="AO1862" s="884">
        <v>636</v>
      </c>
      <c r="AP1862" s="884">
        <f t="shared" ref="AP1862" si="7453">AO1862-AK1862</f>
        <v>636</v>
      </c>
      <c r="AV1862" t="str">
        <f t="shared" si="7234"/>
        <v>Drenagem Superficial</v>
      </c>
      <c r="AW1862" s="4" t="str">
        <f t="shared" si="7233"/>
        <v xml:space="preserve">   Seg. 2.5-C09 - Drenagem Superficial - Canaleta de banqueta de corte (Manual)</v>
      </c>
    </row>
    <row r="1863" spans="1:50" ht="15.6" hidden="1" customHeight="1" outlineLevel="2">
      <c r="A1863" s="8" t="str">
        <f t="shared" ref="A1863" si="7454">A1862</f>
        <v>N</v>
      </c>
      <c r="B1863" s="150"/>
      <c r="C1863" s="150" t="s">
        <v>2184</v>
      </c>
      <c r="D1863" s="120" t="s">
        <v>502</v>
      </c>
      <c r="E1863" s="915"/>
      <c r="F1863" s="902"/>
      <c r="G1863" s="528"/>
      <c r="H1863" s="549" t="s">
        <v>38</v>
      </c>
      <c r="I1863" s="711">
        <v>0</v>
      </c>
      <c r="J1863" s="897"/>
      <c r="K1863" s="528"/>
      <c r="L1863" s="549" t="s">
        <v>38</v>
      </c>
      <c r="M1863" s="711">
        <f t="shared" si="7447"/>
        <v>0</v>
      </c>
      <c r="N1863" s="897"/>
      <c r="O1863" s="528"/>
      <c r="P1863" s="548">
        <v>0</v>
      </c>
      <c r="Q1863" s="548">
        <v>0</v>
      </c>
      <c r="R1863" s="548">
        <v>0</v>
      </c>
      <c r="S1863" s="548">
        <v>0</v>
      </c>
      <c r="T1863" s="548">
        <v>0</v>
      </c>
      <c r="U1863" s="548">
        <v>0</v>
      </c>
      <c r="V1863" s="548"/>
      <c r="W1863" s="528"/>
      <c r="X1863" s="711"/>
      <c r="Y1863" s="897"/>
      <c r="Z1863" s="528"/>
      <c r="AA1863" s="899"/>
      <c r="AB1863" s="899"/>
      <c r="AC1863" s="904"/>
      <c r="AD1863" s="901"/>
      <c r="AE1863" s="2"/>
      <c r="AF1863" s="885"/>
      <c r="AG1863" s="885"/>
      <c r="AH1863" s="885"/>
      <c r="AI1863" s="885"/>
      <c r="AJ1863" s="885"/>
      <c r="AK1863" s="885"/>
      <c r="AL1863" s="885"/>
      <c r="AM1863" s="879"/>
      <c r="AN1863" s="2"/>
      <c r="AO1863" s="886"/>
      <c r="AP1863" s="886"/>
      <c r="AV1863" t="str">
        <f t="shared" si="7234"/>
        <v>Drenagem Superficial</v>
      </c>
      <c r="AW1863" s="4" t="str">
        <f t="shared" si="7233"/>
        <v xml:space="preserve">   Seg. 2.5-C09 - Drenagem Superficial - Canaleta de banqueta de corte (Manual)</v>
      </c>
    </row>
    <row r="1864" spans="1:50" ht="15.6" hidden="1" customHeight="1" outlineLevel="2">
      <c r="A1864" s="8" t="str">
        <f t="shared" ref="A1864" si="7455">IF(SUM(P1864:V1865)&gt;0,"S","N")</f>
        <v>N</v>
      </c>
      <c r="B1864" s="150">
        <v>1064605</v>
      </c>
      <c r="C1864" s="150" t="s">
        <v>2186</v>
      </c>
      <c r="D1864" s="120" t="s">
        <v>1291</v>
      </c>
      <c r="E1864" s="914" t="s">
        <v>2187</v>
      </c>
      <c r="F1864" s="902" t="s">
        <v>52</v>
      </c>
      <c r="G1864" s="528"/>
      <c r="H1864" s="546" t="s">
        <v>37</v>
      </c>
      <c r="I1864" s="711">
        <v>0</v>
      </c>
      <c r="J1864" s="896" t="str">
        <f t="shared" ref="J1864" si="7456">IFERROR((I1865/I1864),"-")</f>
        <v>-</v>
      </c>
      <c r="K1864" s="528"/>
      <c r="L1864" s="546" t="s">
        <v>37</v>
      </c>
      <c r="M1864" s="711">
        <f t="shared" si="7447"/>
        <v>0</v>
      </c>
      <c r="N1864" s="896" t="str">
        <f t="shared" ref="N1864" si="7457">IFERROR((M1865/M1864),"-")</f>
        <v>-</v>
      </c>
      <c r="O1864" s="528"/>
      <c r="P1864" s="547">
        <v>0</v>
      </c>
      <c r="Q1864" s="547">
        <v>0</v>
      </c>
      <c r="R1864" s="547">
        <v>0</v>
      </c>
      <c r="S1864" s="547">
        <v>0</v>
      </c>
      <c r="T1864" s="547">
        <v>0</v>
      </c>
      <c r="U1864" s="547">
        <v>0</v>
      </c>
      <c r="V1864" s="548">
        <v>0</v>
      </c>
      <c r="W1864" s="528"/>
      <c r="X1864" s="711"/>
      <c r="Y1864" s="896" t="str">
        <f t="shared" ref="Y1864" si="7458">IFERROR((X1865/X1864),"-")</f>
        <v>-</v>
      </c>
      <c r="Z1864" s="528"/>
      <c r="AA1864" s="898">
        <v>0</v>
      </c>
      <c r="AB1864" s="898">
        <v>0</v>
      </c>
      <c r="AC1864" s="903">
        <v>0</v>
      </c>
      <c r="AD1864" s="900" t="str">
        <f t="shared" ref="AD1864" si="7459">IFERROR((AC1864/AB1864),"-")</f>
        <v>-</v>
      </c>
      <c r="AE1864" s="2"/>
      <c r="AF1864" s="884">
        <v>0</v>
      </c>
      <c r="AG1864" s="884"/>
      <c r="AH1864" s="884">
        <v>0</v>
      </c>
      <c r="AI1864" s="884"/>
      <c r="AJ1864" s="884"/>
      <c r="AK1864" s="884">
        <f t="shared" ref="AK1864" si="7460">AF1864+AG1864+AH1864+AI1864+AJ1864+AC1864</f>
        <v>0</v>
      </c>
      <c r="AL1864" s="884">
        <v>0</v>
      </c>
      <c r="AM1864" s="878" t="str">
        <f t="shared" ref="AM1864" si="7461">IFERROR((AK1864/AL1864),"-")</f>
        <v>-</v>
      </c>
      <c r="AN1864" s="2"/>
      <c r="AO1864" s="884">
        <v>363</v>
      </c>
      <c r="AP1864" s="884">
        <f t="shared" ref="AP1864" si="7462">AO1864-AK1864</f>
        <v>363</v>
      </c>
      <c r="AV1864" t="str">
        <f t="shared" si="7234"/>
        <v>Drenagem Superficial</v>
      </c>
      <c r="AW1864" s="4" t="str">
        <f t="shared" si="7233"/>
        <v xml:space="preserve">   Seg. 2.5-A01 - Drenagem Superficial - Canaleta de banqueta de aterro (Manual)</v>
      </c>
    </row>
    <row r="1865" spans="1:50" ht="15.6" hidden="1" customHeight="1" outlineLevel="2">
      <c r="A1865" s="8" t="str">
        <f t="shared" ref="A1865" si="7463">A1864</f>
        <v>N</v>
      </c>
      <c r="B1865" s="150"/>
      <c r="C1865" s="150" t="s">
        <v>2186</v>
      </c>
      <c r="D1865" s="120" t="s">
        <v>1291</v>
      </c>
      <c r="E1865" s="915"/>
      <c r="F1865" s="902"/>
      <c r="G1865" s="528"/>
      <c r="H1865" s="549" t="s">
        <v>38</v>
      </c>
      <c r="I1865" s="711">
        <v>0</v>
      </c>
      <c r="J1865" s="897"/>
      <c r="K1865" s="528"/>
      <c r="L1865" s="549" t="s">
        <v>38</v>
      </c>
      <c r="M1865" s="711">
        <f t="shared" si="7447"/>
        <v>0</v>
      </c>
      <c r="N1865" s="897"/>
      <c r="O1865" s="528"/>
      <c r="P1865" s="548">
        <v>0</v>
      </c>
      <c r="Q1865" s="548">
        <v>0</v>
      </c>
      <c r="R1865" s="548">
        <v>0</v>
      </c>
      <c r="S1865" s="548">
        <v>0</v>
      </c>
      <c r="T1865" s="548">
        <v>0</v>
      </c>
      <c r="U1865" s="548">
        <v>0</v>
      </c>
      <c r="V1865" s="548"/>
      <c r="W1865" s="528"/>
      <c r="X1865" s="711"/>
      <c r="Y1865" s="897"/>
      <c r="Z1865" s="528"/>
      <c r="AA1865" s="899"/>
      <c r="AB1865" s="899"/>
      <c r="AC1865" s="904"/>
      <c r="AD1865" s="901"/>
      <c r="AE1865" s="2"/>
      <c r="AF1865" s="885"/>
      <c r="AG1865" s="885"/>
      <c r="AH1865" s="885"/>
      <c r="AI1865" s="885"/>
      <c r="AJ1865" s="885"/>
      <c r="AK1865" s="885"/>
      <c r="AL1865" s="885"/>
      <c r="AM1865" s="879"/>
      <c r="AN1865" s="2"/>
      <c r="AO1865" s="886"/>
      <c r="AP1865" s="886"/>
      <c r="AV1865" t="str">
        <f t="shared" si="7234"/>
        <v>Drenagem Superficial</v>
      </c>
      <c r="AW1865" s="4" t="str">
        <f t="shared" ref="AW1865:AW1928" si="7464">IF(E1865&lt;&gt;"",E1865,AW1864)</f>
        <v xml:space="preserve">   Seg. 2.5-A01 - Drenagem Superficial - Canaleta de banqueta de aterro (Manual)</v>
      </c>
    </row>
    <row r="1866" spans="1:50" ht="15.6" hidden="1" customHeight="1" outlineLevel="2">
      <c r="A1866" s="8" t="str">
        <f t="shared" ref="A1866" si="7465">IF(SUM(P1866:V1867)&gt;0,"S","N")</f>
        <v>N</v>
      </c>
      <c r="B1866" s="150">
        <v>1064616</v>
      </c>
      <c r="C1866" s="150" t="s">
        <v>2188</v>
      </c>
      <c r="D1866" s="120" t="s">
        <v>524</v>
      </c>
      <c r="E1866" s="914" t="s">
        <v>2189</v>
      </c>
      <c r="F1866" s="902" t="s">
        <v>52</v>
      </c>
      <c r="G1866" s="528"/>
      <c r="H1866" s="546" t="s">
        <v>37</v>
      </c>
      <c r="I1866" s="711">
        <v>0</v>
      </c>
      <c r="J1866" s="896" t="str">
        <f t="shared" ref="J1866" si="7466">IFERROR((I1867/I1866),"-")</f>
        <v>-</v>
      </c>
      <c r="K1866" s="528"/>
      <c r="L1866" s="546" t="s">
        <v>37</v>
      </c>
      <c r="M1866" s="711">
        <f t="shared" si="7447"/>
        <v>0</v>
      </c>
      <c r="N1866" s="896" t="str">
        <f t="shared" ref="N1866" si="7467">IFERROR((M1867/M1866),"-")</f>
        <v>-</v>
      </c>
      <c r="O1866" s="528"/>
      <c r="P1866" s="547">
        <v>0</v>
      </c>
      <c r="Q1866" s="547">
        <v>0</v>
      </c>
      <c r="R1866" s="547">
        <v>0</v>
      </c>
      <c r="S1866" s="547">
        <v>0</v>
      </c>
      <c r="T1866" s="547">
        <v>0</v>
      </c>
      <c r="U1866" s="547">
        <v>0</v>
      </c>
      <c r="V1866" s="548">
        <v>0</v>
      </c>
      <c r="W1866" s="528"/>
      <c r="X1866" s="711"/>
      <c r="Y1866" s="896" t="str">
        <f t="shared" ref="Y1866" si="7468">IFERROR((X1867/X1866),"-")</f>
        <v>-</v>
      </c>
      <c r="Z1866" s="528"/>
      <c r="AA1866" s="898">
        <v>0</v>
      </c>
      <c r="AB1866" s="898">
        <v>0</v>
      </c>
      <c r="AC1866" s="903">
        <v>0</v>
      </c>
      <c r="AD1866" s="900" t="str">
        <f t="shared" ref="AD1866" si="7469">IFERROR((AC1866/AB1866),"-")</f>
        <v>-</v>
      </c>
      <c r="AE1866" s="2"/>
      <c r="AF1866" s="884">
        <v>0</v>
      </c>
      <c r="AG1866" s="884"/>
      <c r="AH1866" s="884">
        <v>0</v>
      </c>
      <c r="AI1866" s="884"/>
      <c r="AJ1866" s="884"/>
      <c r="AK1866" s="884">
        <f t="shared" ref="AK1866" si="7470">AF1866+AG1866+AH1866+AI1866+AJ1866+AC1866</f>
        <v>0</v>
      </c>
      <c r="AL1866" s="884">
        <v>0</v>
      </c>
      <c r="AM1866" s="878" t="str">
        <f t="shared" ref="AM1866" si="7471">IFERROR((AK1866/AL1866),"-")</f>
        <v>-</v>
      </c>
      <c r="AN1866" s="2"/>
      <c r="AO1866" s="884">
        <v>342</v>
      </c>
      <c r="AP1866" s="884">
        <f t="shared" ref="AP1866" si="7472">AO1866-AK1866</f>
        <v>342</v>
      </c>
      <c r="AV1866" t="str">
        <f t="shared" ref="AV1866:AV1929" si="7473">IF(AX1866="Y",LEFT(E1866,20),IF(AX1866="x",E1866,AV1865))</f>
        <v>Drenagem Superficial</v>
      </c>
      <c r="AW1866" s="4" t="str">
        <f t="shared" si="7464"/>
        <v xml:space="preserve">   Seg. 2.5-A04 - Drenagem Superficial - Canaleta de banqueta de aterro (Extrusada)</v>
      </c>
    </row>
    <row r="1867" spans="1:50" ht="15.6" hidden="1" customHeight="1" outlineLevel="2">
      <c r="A1867" s="8" t="str">
        <f t="shared" ref="A1867" si="7474">A1866</f>
        <v>N</v>
      </c>
      <c r="B1867" s="150"/>
      <c r="C1867" s="150" t="s">
        <v>2188</v>
      </c>
      <c r="D1867" s="120" t="s">
        <v>524</v>
      </c>
      <c r="E1867" s="915"/>
      <c r="F1867" s="902"/>
      <c r="G1867" s="528"/>
      <c r="H1867" s="549" t="s">
        <v>38</v>
      </c>
      <c r="I1867" s="711">
        <v>0</v>
      </c>
      <c r="J1867" s="897"/>
      <c r="K1867" s="528"/>
      <c r="L1867" s="549" t="s">
        <v>38</v>
      </c>
      <c r="M1867" s="711">
        <f t="shared" si="7447"/>
        <v>0</v>
      </c>
      <c r="N1867" s="897"/>
      <c r="O1867" s="528"/>
      <c r="P1867" s="548">
        <v>0</v>
      </c>
      <c r="Q1867" s="548">
        <v>0</v>
      </c>
      <c r="R1867" s="548">
        <v>0</v>
      </c>
      <c r="S1867" s="548">
        <v>0</v>
      </c>
      <c r="T1867" s="548">
        <v>0</v>
      </c>
      <c r="U1867" s="548">
        <v>0</v>
      </c>
      <c r="V1867" s="548"/>
      <c r="W1867" s="528"/>
      <c r="X1867" s="711"/>
      <c r="Y1867" s="897"/>
      <c r="Z1867" s="528"/>
      <c r="AA1867" s="899"/>
      <c r="AB1867" s="899"/>
      <c r="AC1867" s="904"/>
      <c r="AD1867" s="901"/>
      <c r="AE1867" s="2"/>
      <c r="AF1867" s="885"/>
      <c r="AG1867" s="885"/>
      <c r="AH1867" s="885"/>
      <c r="AI1867" s="885"/>
      <c r="AJ1867" s="885"/>
      <c r="AK1867" s="885"/>
      <c r="AL1867" s="885"/>
      <c r="AM1867" s="879"/>
      <c r="AN1867" s="2"/>
      <c r="AO1867" s="886"/>
      <c r="AP1867" s="886"/>
      <c r="AV1867" t="str">
        <f t="shared" si="7473"/>
        <v>Drenagem Superficial</v>
      </c>
      <c r="AW1867" s="4" t="str">
        <f t="shared" si="7464"/>
        <v xml:space="preserve">   Seg. 2.5-A04 - Drenagem Superficial - Canaleta de banqueta de aterro (Extrusada)</v>
      </c>
    </row>
    <row r="1868" spans="1:50" ht="15.6" hidden="1" customHeight="1" outlineLevel="2">
      <c r="A1868" s="8" t="str">
        <f t="shared" ref="A1868" si="7475">IF(SUM(P1868:V1869)&gt;0,"S","N")</f>
        <v>N</v>
      </c>
      <c r="B1868" s="150">
        <v>1064626</v>
      </c>
      <c r="C1868" s="150" t="s">
        <v>2190</v>
      </c>
      <c r="D1868" s="120" t="s">
        <v>532</v>
      </c>
      <c r="E1868" s="914" t="s">
        <v>2191</v>
      </c>
      <c r="F1868" s="902" t="s">
        <v>52</v>
      </c>
      <c r="G1868" s="528"/>
      <c r="H1868" s="546" t="s">
        <v>37</v>
      </c>
      <c r="I1868" s="711">
        <v>0</v>
      </c>
      <c r="J1868" s="896" t="str">
        <f t="shared" ref="J1868" si="7476">IFERROR((I1869/I1868),"-")</f>
        <v>-</v>
      </c>
      <c r="K1868" s="528"/>
      <c r="L1868" s="546" t="s">
        <v>37</v>
      </c>
      <c r="M1868" s="711">
        <f t="shared" si="7447"/>
        <v>0</v>
      </c>
      <c r="N1868" s="896" t="str">
        <f t="shared" ref="N1868" si="7477">IFERROR((M1869/M1868),"-")</f>
        <v>-</v>
      </c>
      <c r="O1868" s="528"/>
      <c r="P1868" s="547">
        <v>0</v>
      </c>
      <c r="Q1868" s="547">
        <v>0</v>
      </c>
      <c r="R1868" s="547">
        <v>0</v>
      </c>
      <c r="S1868" s="547">
        <v>0</v>
      </c>
      <c r="T1868" s="547">
        <v>0</v>
      </c>
      <c r="U1868" s="547">
        <v>0</v>
      </c>
      <c r="V1868" s="548">
        <v>0</v>
      </c>
      <c r="W1868" s="528"/>
      <c r="X1868" s="711"/>
      <c r="Y1868" s="896" t="str">
        <f t="shared" ref="Y1868" si="7478">IFERROR((X1869/X1868),"-")</f>
        <v>-</v>
      </c>
      <c r="Z1868" s="528"/>
      <c r="AA1868" s="898">
        <v>0</v>
      </c>
      <c r="AB1868" s="898">
        <v>0</v>
      </c>
      <c r="AC1868" s="903">
        <v>0</v>
      </c>
      <c r="AD1868" s="900" t="str">
        <f t="shared" ref="AD1868" si="7479">IFERROR((AC1868/AB1868),"-")</f>
        <v>-</v>
      </c>
      <c r="AE1868" s="2"/>
      <c r="AF1868" s="884">
        <v>0</v>
      </c>
      <c r="AG1868" s="884"/>
      <c r="AH1868" s="884">
        <v>0</v>
      </c>
      <c r="AI1868" s="884"/>
      <c r="AJ1868" s="884"/>
      <c r="AK1868" s="884">
        <f t="shared" ref="AK1868" si="7480">AF1868+AG1868+AH1868+AI1868+AJ1868+AC1868</f>
        <v>0</v>
      </c>
      <c r="AL1868" s="884">
        <v>0</v>
      </c>
      <c r="AM1868" s="878" t="str">
        <f t="shared" ref="AM1868" si="7481">IFERROR((AK1868/AL1868),"-")</f>
        <v>-</v>
      </c>
      <c r="AN1868" s="2"/>
      <c r="AO1868" s="884">
        <v>343</v>
      </c>
      <c r="AP1868" s="884">
        <f t="shared" ref="AP1868" si="7482">AO1868-AK1868</f>
        <v>343</v>
      </c>
      <c r="AV1868" t="str">
        <f t="shared" si="7473"/>
        <v>Drenagem Superficial</v>
      </c>
      <c r="AW1868" s="4" t="str">
        <f t="shared" si="7464"/>
        <v xml:space="preserve">   Seg. 2.5-A06 - Drenagem Superficial - Canaleta de banqueta de aterro (Extrusada)</v>
      </c>
    </row>
    <row r="1869" spans="1:50" ht="15.6" hidden="1" customHeight="1" outlineLevel="2">
      <c r="A1869" s="8" t="str">
        <f t="shared" ref="A1869" si="7483">A1868</f>
        <v>N</v>
      </c>
      <c r="B1869" s="150"/>
      <c r="C1869" s="150" t="s">
        <v>2190</v>
      </c>
      <c r="D1869" s="120" t="s">
        <v>532</v>
      </c>
      <c r="E1869" s="915"/>
      <c r="F1869" s="902"/>
      <c r="G1869" s="528"/>
      <c r="H1869" s="549" t="s">
        <v>38</v>
      </c>
      <c r="I1869" s="711">
        <v>0</v>
      </c>
      <c r="J1869" s="897"/>
      <c r="K1869" s="528"/>
      <c r="L1869" s="549" t="s">
        <v>38</v>
      </c>
      <c r="M1869" s="711">
        <f t="shared" si="7447"/>
        <v>0</v>
      </c>
      <c r="N1869" s="897"/>
      <c r="O1869" s="528"/>
      <c r="P1869" s="548">
        <v>0</v>
      </c>
      <c r="Q1869" s="548">
        <v>0</v>
      </c>
      <c r="R1869" s="548">
        <v>0</v>
      </c>
      <c r="S1869" s="548">
        <v>0</v>
      </c>
      <c r="T1869" s="548">
        <v>0</v>
      </c>
      <c r="U1869" s="548">
        <v>0</v>
      </c>
      <c r="V1869" s="548"/>
      <c r="W1869" s="528"/>
      <c r="X1869" s="711"/>
      <c r="Y1869" s="897"/>
      <c r="Z1869" s="528"/>
      <c r="AA1869" s="899"/>
      <c r="AB1869" s="899"/>
      <c r="AC1869" s="904"/>
      <c r="AD1869" s="901"/>
      <c r="AE1869" s="2"/>
      <c r="AF1869" s="885"/>
      <c r="AG1869" s="885"/>
      <c r="AH1869" s="885"/>
      <c r="AI1869" s="885"/>
      <c r="AJ1869" s="885"/>
      <c r="AK1869" s="885"/>
      <c r="AL1869" s="885"/>
      <c r="AM1869" s="879"/>
      <c r="AN1869" s="2"/>
      <c r="AO1869" s="886"/>
      <c r="AP1869" s="886"/>
      <c r="AV1869" t="str">
        <f t="shared" si="7473"/>
        <v>Drenagem Superficial</v>
      </c>
      <c r="AW1869" s="4" t="str">
        <f t="shared" si="7464"/>
        <v xml:space="preserve">   Seg. 2.5-A06 - Drenagem Superficial - Canaleta de banqueta de aterro (Extrusada)</v>
      </c>
    </row>
    <row r="1870" spans="1:50" ht="15.6" hidden="1" customHeight="1" outlineLevel="2">
      <c r="A1870" s="8" t="str">
        <f t="shared" ref="A1870" si="7484">IF(SUM(P1870:V1871)&gt;0,"S","N")</f>
        <v>N</v>
      </c>
      <c r="B1870" s="150">
        <v>1064632</v>
      </c>
      <c r="C1870" s="150" t="s">
        <v>2192</v>
      </c>
      <c r="D1870" s="120" t="s">
        <v>528</v>
      </c>
      <c r="E1870" s="914" t="s">
        <v>2193</v>
      </c>
      <c r="F1870" s="902" t="s">
        <v>52</v>
      </c>
      <c r="G1870" s="528"/>
      <c r="H1870" s="546" t="s">
        <v>37</v>
      </c>
      <c r="I1870" s="711">
        <v>0</v>
      </c>
      <c r="J1870" s="896" t="str">
        <f t="shared" ref="J1870" si="7485">IFERROR((I1871/I1870),"-")</f>
        <v>-</v>
      </c>
      <c r="K1870" s="528"/>
      <c r="L1870" s="546" t="s">
        <v>37</v>
      </c>
      <c r="M1870" s="711">
        <f t="shared" si="7447"/>
        <v>0</v>
      </c>
      <c r="N1870" s="896" t="str">
        <f t="shared" ref="N1870" si="7486">IFERROR((M1871/M1870),"-")</f>
        <v>-</v>
      </c>
      <c r="O1870" s="528"/>
      <c r="P1870" s="547">
        <v>0</v>
      </c>
      <c r="Q1870" s="547">
        <v>0</v>
      </c>
      <c r="R1870" s="547">
        <v>0</v>
      </c>
      <c r="S1870" s="547">
        <v>0</v>
      </c>
      <c r="T1870" s="547">
        <v>0</v>
      </c>
      <c r="U1870" s="547">
        <v>0</v>
      </c>
      <c r="V1870" s="548">
        <v>0</v>
      </c>
      <c r="W1870" s="528"/>
      <c r="X1870" s="711"/>
      <c r="Y1870" s="896" t="str">
        <f t="shared" ref="Y1870" si="7487">IFERROR((X1871/X1870),"-")</f>
        <v>-</v>
      </c>
      <c r="Z1870" s="528"/>
      <c r="AA1870" s="898">
        <v>0</v>
      </c>
      <c r="AB1870" s="898">
        <v>0</v>
      </c>
      <c r="AC1870" s="903">
        <v>0</v>
      </c>
      <c r="AD1870" s="900" t="str">
        <f t="shared" ref="AD1870" si="7488">IFERROR((AC1870/AB1870),"-")</f>
        <v>-</v>
      </c>
      <c r="AE1870" s="2"/>
      <c r="AF1870" s="884">
        <v>0</v>
      </c>
      <c r="AG1870" s="884"/>
      <c r="AH1870" s="884">
        <v>0</v>
      </c>
      <c r="AI1870" s="884"/>
      <c r="AJ1870" s="884"/>
      <c r="AK1870" s="884">
        <f t="shared" ref="AK1870" si="7489">AF1870+AG1870+AH1870+AI1870+AJ1870+AC1870</f>
        <v>0</v>
      </c>
      <c r="AL1870" s="884">
        <v>0</v>
      </c>
      <c r="AM1870" s="878" t="str">
        <f t="shared" ref="AM1870" si="7490">IFERROR((AK1870/AL1870),"-")</f>
        <v>-</v>
      </c>
      <c r="AN1870" s="2"/>
      <c r="AO1870" s="884">
        <v>1554.5</v>
      </c>
      <c r="AP1870" s="884">
        <f t="shared" ref="AP1870" si="7491">AO1870-AK1870</f>
        <v>1554.5</v>
      </c>
      <c r="AV1870" t="str">
        <f t="shared" si="7473"/>
        <v>Drenagem Superficial</v>
      </c>
      <c r="AW1870" s="4" t="str">
        <f t="shared" si="7464"/>
        <v xml:space="preserve">   Seg. 2.5-A07 - Drenagem Superficial - Canaleta de banqueta de aterro (Extrusada)</v>
      </c>
    </row>
    <row r="1871" spans="1:50" ht="15.6" hidden="1" customHeight="1" outlineLevel="2">
      <c r="A1871" s="8" t="str">
        <f t="shared" ref="A1871" si="7492">A1870</f>
        <v>N</v>
      </c>
      <c r="B1871" s="150"/>
      <c r="C1871" s="150" t="s">
        <v>2192</v>
      </c>
      <c r="D1871" s="120" t="s">
        <v>528</v>
      </c>
      <c r="E1871" s="915"/>
      <c r="F1871" s="902"/>
      <c r="G1871" s="528"/>
      <c r="H1871" s="549" t="s">
        <v>38</v>
      </c>
      <c r="I1871" s="711">
        <v>0</v>
      </c>
      <c r="J1871" s="897"/>
      <c r="K1871" s="528"/>
      <c r="L1871" s="549" t="s">
        <v>38</v>
      </c>
      <c r="M1871" s="711">
        <f t="shared" si="7447"/>
        <v>0</v>
      </c>
      <c r="N1871" s="897"/>
      <c r="O1871" s="528"/>
      <c r="P1871" s="548">
        <v>0</v>
      </c>
      <c r="Q1871" s="548">
        <v>0</v>
      </c>
      <c r="R1871" s="548">
        <v>0</v>
      </c>
      <c r="S1871" s="548">
        <v>0</v>
      </c>
      <c r="T1871" s="548">
        <v>0</v>
      </c>
      <c r="U1871" s="548">
        <v>0</v>
      </c>
      <c r="V1871" s="548"/>
      <c r="W1871" s="528"/>
      <c r="X1871" s="711"/>
      <c r="Y1871" s="897"/>
      <c r="Z1871" s="528"/>
      <c r="AA1871" s="899"/>
      <c r="AB1871" s="899"/>
      <c r="AC1871" s="904"/>
      <c r="AD1871" s="901"/>
      <c r="AE1871" s="2"/>
      <c r="AF1871" s="885"/>
      <c r="AG1871" s="885"/>
      <c r="AH1871" s="885"/>
      <c r="AI1871" s="885"/>
      <c r="AJ1871" s="885"/>
      <c r="AK1871" s="885"/>
      <c r="AL1871" s="885"/>
      <c r="AM1871" s="879"/>
      <c r="AN1871" s="2"/>
      <c r="AO1871" s="886"/>
      <c r="AP1871" s="886"/>
      <c r="AV1871" s="4" t="str">
        <f t="shared" si="7473"/>
        <v>Drenagem Superficial</v>
      </c>
      <c r="AW1871" s="4" t="str">
        <f t="shared" si="7464"/>
        <v xml:space="preserve">   Seg. 2.5-A07 - Drenagem Superficial - Canaleta de banqueta de aterro (Extrusada)</v>
      </c>
      <c r="AX1871" s="4"/>
    </row>
    <row r="1872" spans="1:50" ht="15.6" hidden="1" customHeight="1" outlineLevel="2">
      <c r="A1872" s="8" t="str">
        <f t="shared" ref="A1872" si="7493">IF(SUM(P1872:V1873)&gt;0,"S","N")</f>
        <v>N</v>
      </c>
      <c r="B1872" s="150">
        <v>1064640</v>
      </c>
      <c r="C1872" s="150" t="s">
        <v>2194</v>
      </c>
      <c r="D1872" s="120" t="s">
        <v>536</v>
      </c>
      <c r="E1872" s="914" t="s">
        <v>2195</v>
      </c>
      <c r="F1872" s="902" t="s">
        <v>52</v>
      </c>
      <c r="G1872" s="528"/>
      <c r="H1872" s="546" t="s">
        <v>37</v>
      </c>
      <c r="I1872" s="711">
        <v>0</v>
      </c>
      <c r="J1872" s="896" t="str">
        <f t="shared" ref="J1872" si="7494">IFERROR((I1873/I1872),"-")</f>
        <v>-</v>
      </c>
      <c r="K1872" s="528"/>
      <c r="L1872" s="546" t="s">
        <v>37</v>
      </c>
      <c r="M1872" s="711">
        <f t="shared" si="7447"/>
        <v>0</v>
      </c>
      <c r="N1872" s="896" t="str">
        <f t="shared" ref="N1872" si="7495">IFERROR((M1873/M1872),"-")</f>
        <v>-</v>
      </c>
      <c r="O1872" s="528"/>
      <c r="P1872" s="547">
        <v>0</v>
      </c>
      <c r="Q1872" s="547">
        <v>0</v>
      </c>
      <c r="R1872" s="547">
        <v>0</v>
      </c>
      <c r="S1872" s="547">
        <v>0</v>
      </c>
      <c r="T1872" s="547">
        <v>0</v>
      </c>
      <c r="U1872" s="547">
        <v>0</v>
      </c>
      <c r="V1872" s="548">
        <v>0</v>
      </c>
      <c r="W1872" s="528"/>
      <c r="X1872" s="711"/>
      <c r="Y1872" s="896" t="str">
        <f t="shared" ref="Y1872" si="7496">IFERROR((X1873/X1872),"-")</f>
        <v>-</v>
      </c>
      <c r="Z1872" s="528"/>
      <c r="AA1872" s="898">
        <v>0</v>
      </c>
      <c r="AB1872" s="898">
        <v>0</v>
      </c>
      <c r="AC1872" s="903">
        <v>0</v>
      </c>
      <c r="AD1872" s="900" t="str">
        <f t="shared" ref="AD1872" si="7497">IFERROR((AC1872/AB1872),"-")</f>
        <v>-</v>
      </c>
      <c r="AE1872" s="2"/>
      <c r="AF1872" s="884">
        <v>0</v>
      </c>
      <c r="AG1872" s="884"/>
      <c r="AH1872" s="884">
        <v>0</v>
      </c>
      <c r="AI1872" s="884"/>
      <c r="AJ1872" s="884"/>
      <c r="AK1872" s="884">
        <f t="shared" ref="AK1872" si="7498">AF1872+AG1872+AH1872+AI1872+AJ1872+AC1872</f>
        <v>0</v>
      </c>
      <c r="AL1872" s="884">
        <v>0</v>
      </c>
      <c r="AM1872" s="878" t="str">
        <f t="shared" ref="AM1872" si="7499">IFERROR((AK1872/AL1872),"-")</f>
        <v>-</v>
      </c>
      <c r="AN1872" s="2"/>
      <c r="AO1872" s="884">
        <v>403</v>
      </c>
      <c r="AP1872" s="884">
        <f t="shared" ref="AP1872" si="7500">AO1872-AK1872</f>
        <v>403</v>
      </c>
      <c r="AV1872" t="str">
        <f t="shared" si="7473"/>
        <v>Drenagem Superficial</v>
      </c>
      <c r="AW1872" s="4" t="str">
        <f t="shared" si="7464"/>
        <v xml:space="preserve">   Seg. 2.5-A09 - Drenagem Superficial - Canaleta de banqueta de aterro (Manual)</v>
      </c>
    </row>
    <row r="1873" spans="1:49" ht="15.6" hidden="1" customHeight="1" outlineLevel="2">
      <c r="A1873" s="8" t="str">
        <f t="shared" ref="A1873" si="7501">A1872</f>
        <v>N</v>
      </c>
      <c r="B1873" s="150"/>
      <c r="C1873" s="150" t="s">
        <v>2194</v>
      </c>
      <c r="D1873" s="120" t="s">
        <v>536</v>
      </c>
      <c r="E1873" s="915"/>
      <c r="F1873" s="902"/>
      <c r="G1873" s="528"/>
      <c r="H1873" s="549" t="s">
        <v>38</v>
      </c>
      <c r="I1873" s="711">
        <v>0</v>
      </c>
      <c r="J1873" s="897"/>
      <c r="K1873" s="528"/>
      <c r="L1873" s="549" t="s">
        <v>38</v>
      </c>
      <c r="M1873" s="711">
        <f t="shared" si="7447"/>
        <v>0</v>
      </c>
      <c r="N1873" s="897"/>
      <c r="O1873" s="528"/>
      <c r="P1873" s="548">
        <v>0</v>
      </c>
      <c r="Q1873" s="548">
        <v>0</v>
      </c>
      <c r="R1873" s="548">
        <v>0</v>
      </c>
      <c r="S1873" s="548">
        <v>0</v>
      </c>
      <c r="T1873" s="548">
        <v>0</v>
      </c>
      <c r="U1873" s="548">
        <v>0</v>
      </c>
      <c r="V1873" s="548"/>
      <c r="W1873" s="528"/>
      <c r="X1873" s="711"/>
      <c r="Y1873" s="897"/>
      <c r="Z1873" s="528"/>
      <c r="AA1873" s="899"/>
      <c r="AB1873" s="899"/>
      <c r="AC1873" s="904"/>
      <c r="AD1873" s="901"/>
      <c r="AE1873" s="2"/>
      <c r="AF1873" s="885"/>
      <c r="AG1873" s="885"/>
      <c r="AH1873" s="885"/>
      <c r="AI1873" s="885"/>
      <c r="AJ1873" s="885"/>
      <c r="AK1873" s="885"/>
      <c r="AL1873" s="885"/>
      <c r="AM1873" s="879"/>
      <c r="AN1873" s="2"/>
      <c r="AO1873" s="886"/>
      <c r="AP1873" s="886"/>
      <c r="AV1873" t="str">
        <f t="shared" si="7473"/>
        <v>Drenagem Superficial</v>
      </c>
      <c r="AW1873" s="4" t="str">
        <f t="shared" si="7464"/>
        <v xml:space="preserve">   Seg. 2.5-A09 - Drenagem Superficial - Canaleta de banqueta de aterro (Manual)</v>
      </c>
    </row>
    <row r="1874" spans="1:49" ht="15.6" hidden="1" customHeight="1" outlineLevel="2">
      <c r="A1874" s="8" t="str">
        <f t="shared" ref="A1874" si="7502">IF(SUM(P1874:V1875)&gt;0,"S","N")</f>
        <v>N</v>
      </c>
      <c r="B1874" s="150">
        <v>1064654</v>
      </c>
      <c r="C1874" s="150" t="s">
        <v>2196</v>
      </c>
      <c r="D1874" s="120" t="s">
        <v>520</v>
      </c>
      <c r="E1874" s="914" t="s">
        <v>2197</v>
      </c>
      <c r="F1874" s="902" t="s">
        <v>52</v>
      </c>
      <c r="G1874" s="528"/>
      <c r="H1874" s="546" t="s">
        <v>37</v>
      </c>
      <c r="I1874" s="711">
        <v>0</v>
      </c>
      <c r="J1874" s="896" t="str">
        <f t="shared" ref="J1874" si="7503">IFERROR((I1875/I1874),"-")</f>
        <v>-</v>
      </c>
      <c r="K1874" s="528"/>
      <c r="L1874" s="546" t="s">
        <v>37</v>
      </c>
      <c r="M1874" s="711">
        <f t="shared" si="7447"/>
        <v>0</v>
      </c>
      <c r="N1874" s="896" t="str">
        <f t="shared" ref="N1874" si="7504">IFERROR((M1875/M1874),"-")</f>
        <v>-</v>
      </c>
      <c r="O1874" s="528"/>
      <c r="P1874" s="547">
        <v>0</v>
      </c>
      <c r="Q1874" s="547">
        <v>0</v>
      </c>
      <c r="R1874" s="547">
        <v>0</v>
      </c>
      <c r="S1874" s="547">
        <v>0</v>
      </c>
      <c r="T1874" s="547">
        <v>0</v>
      </c>
      <c r="U1874" s="547">
        <v>0</v>
      </c>
      <c r="V1874" s="548">
        <v>0</v>
      </c>
      <c r="W1874" s="528"/>
      <c r="X1874" s="711"/>
      <c r="Y1874" s="896" t="str">
        <f t="shared" ref="Y1874" si="7505">IFERROR((X1875/X1874),"-")</f>
        <v>-</v>
      </c>
      <c r="Z1874" s="528"/>
      <c r="AA1874" s="898">
        <v>0</v>
      </c>
      <c r="AB1874" s="898">
        <v>0</v>
      </c>
      <c r="AC1874" s="903">
        <v>0</v>
      </c>
      <c r="AD1874" s="900" t="str">
        <f t="shared" ref="AD1874" si="7506">IFERROR((AC1874/AB1874),"-")</f>
        <v>-</v>
      </c>
      <c r="AE1874" s="2"/>
      <c r="AF1874" s="884">
        <v>0</v>
      </c>
      <c r="AG1874" s="884"/>
      <c r="AH1874" s="884">
        <v>0</v>
      </c>
      <c r="AI1874" s="884"/>
      <c r="AJ1874" s="884"/>
      <c r="AK1874" s="884">
        <f t="shared" ref="AK1874" si="7507">AF1874+AG1874+AH1874+AI1874+AJ1874+AC1874</f>
        <v>0</v>
      </c>
      <c r="AL1874" s="884">
        <v>0</v>
      </c>
      <c r="AM1874" s="878" t="str">
        <f t="shared" ref="AM1874" si="7508">IFERROR((AK1874/AL1874),"-")</f>
        <v>-</v>
      </c>
      <c r="AN1874" s="2"/>
      <c r="AO1874" s="884">
        <v>1858</v>
      </c>
      <c r="AP1874" s="884">
        <f t="shared" ref="AP1874" si="7509">AO1874-AK1874</f>
        <v>1858</v>
      </c>
      <c r="AV1874" t="str">
        <f t="shared" si="7473"/>
        <v>Drenagem Superficial</v>
      </c>
      <c r="AW1874" s="4" t="str">
        <f t="shared" si="7464"/>
        <v xml:space="preserve">   Seg. 2.5-A13 - Drenagem Superficial - Canaleta de banqueta de aterro (Manual)</v>
      </c>
    </row>
    <row r="1875" spans="1:49" ht="15.6" hidden="1" customHeight="1" outlineLevel="2">
      <c r="A1875" s="8" t="str">
        <f t="shared" ref="A1875" si="7510">A1874</f>
        <v>N</v>
      </c>
      <c r="B1875" s="150"/>
      <c r="C1875" s="150" t="s">
        <v>2196</v>
      </c>
      <c r="D1875" s="120" t="s">
        <v>520</v>
      </c>
      <c r="E1875" s="915"/>
      <c r="F1875" s="902"/>
      <c r="G1875" s="528"/>
      <c r="H1875" s="549" t="s">
        <v>38</v>
      </c>
      <c r="I1875" s="711">
        <v>0</v>
      </c>
      <c r="J1875" s="897"/>
      <c r="K1875" s="528"/>
      <c r="L1875" s="549" t="s">
        <v>38</v>
      </c>
      <c r="M1875" s="711">
        <f t="shared" si="7447"/>
        <v>0</v>
      </c>
      <c r="N1875" s="897"/>
      <c r="O1875" s="528"/>
      <c r="P1875" s="548">
        <v>0</v>
      </c>
      <c r="Q1875" s="548">
        <v>0</v>
      </c>
      <c r="R1875" s="548">
        <v>0</v>
      </c>
      <c r="S1875" s="548">
        <v>0</v>
      </c>
      <c r="T1875" s="548">
        <v>0</v>
      </c>
      <c r="U1875" s="548">
        <v>0</v>
      </c>
      <c r="V1875" s="548"/>
      <c r="W1875" s="528"/>
      <c r="X1875" s="711"/>
      <c r="Y1875" s="897"/>
      <c r="Z1875" s="528"/>
      <c r="AA1875" s="899"/>
      <c r="AB1875" s="899"/>
      <c r="AC1875" s="904"/>
      <c r="AD1875" s="901"/>
      <c r="AE1875" s="2"/>
      <c r="AF1875" s="885"/>
      <c r="AG1875" s="885"/>
      <c r="AH1875" s="885"/>
      <c r="AI1875" s="885"/>
      <c r="AJ1875" s="885"/>
      <c r="AK1875" s="885"/>
      <c r="AL1875" s="885"/>
      <c r="AM1875" s="879"/>
      <c r="AN1875" s="2"/>
      <c r="AO1875" s="886"/>
      <c r="AP1875" s="886"/>
      <c r="AV1875" t="str">
        <f t="shared" si="7473"/>
        <v>Drenagem Superficial</v>
      </c>
      <c r="AW1875" s="4" t="str">
        <f t="shared" si="7464"/>
        <v xml:space="preserve">   Seg. 2.5-A13 - Drenagem Superficial - Canaleta de banqueta de aterro (Manual)</v>
      </c>
    </row>
    <row r="1876" spans="1:49" ht="15.6" hidden="1" customHeight="1" outlineLevel="2">
      <c r="A1876" s="8" t="str">
        <f t="shared" ref="A1876" si="7511">IF(SUM(P1876:V1877)&gt;0,"S","N")</f>
        <v>N</v>
      </c>
      <c r="B1876" s="150">
        <v>1066236</v>
      </c>
      <c r="C1876" s="150" t="s">
        <v>2198</v>
      </c>
      <c r="D1876" s="120" t="s">
        <v>463</v>
      </c>
      <c r="E1876" s="914" t="s">
        <v>2199</v>
      </c>
      <c r="F1876" s="902" t="s">
        <v>52</v>
      </c>
      <c r="G1876" s="528"/>
      <c r="H1876" s="546" t="s">
        <v>37</v>
      </c>
      <c r="I1876" s="711">
        <v>0</v>
      </c>
      <c r="J1876" s="896" t="str">
        <f t="shared" ref="J1876" si="7512">IFERROR((I1877/I1876),"-")</f>
        <v>-</v>
      </c>
      <c r="K1876" s="528"/>
      <c r="L1876" s="546" t="s">
        <v>37</v>
      </c>
      <c r="M1876" s="711">
        <f t="shared" si="7447"/>
        <v>0</v>
      </c>
      <c r="N1876" s="896" t="str">
        <f t="shared" ref="N1876" si="7513">IFERROR((M1877/M1876),"-")</f>
        <v>-</v>
      </c>
      <c r="O1876" s="528"/>
      <c r="P1876" s="547">
        <v>0</v>
      </c>
      <c r="Q1876" s="547">
        <v>0</v>
      </c>
      <c r="R1876" s="547">
        <v>0</v>
      </c>
      <c r="S1876" s="547">
        <v>0</v>
      </c>
      <c r="T1876" s="547">
        <v>0</v>
      </c>
      <c r="U1876" s="547">
        <v>0</v>
      </c>
      <c r="V1876" s="548">
        <v>0</v>
      </c>
      <c r="W1876" s="528"/>
      <c r="X1876" s="711"/>
      <c r="Y1876" s="896" t="str">
        <f t="shared" ref="Y1876" si="7514">IFERROR((X1877/X1876),"-")</f>
        <v>-</v>
      </c>
      <c r="Z1876" s="528"/>
      <c r="AA1876" s="898">
        <v>0</v>
      </c>
      <c r="AB1876" s="898">
        <v>0</v>
      </c>
      <c r="AC1876" s="903">
        <v>0</v>
      </c>
      <c r="AD1876" s="900" t="str">
        <f t="shared" ref="AD1876" si="7515">IFERROR((AC1876/AB1876),"-")</f>
        <v>-</v>
      </c>
      <c r="AE1876" s="2"/>
      <c r="AF1876" s="884">
        <v>0</v>
      </c>
      <c r="AG1876" s="884"/>
      <c r="AH1876" s="884">
        <v>0</v>
      </c>
      <c r="AI1876" s="884"/>
      <c r="AJ1876" s="884"/>
      <c r="AK1876" s="884">
        <f t="shared" ref="AK1876" si="7516">AF1876+AG1876+AH1876+AI1876+AJ1876+AC1876</f>
        <v>0</v>
      </c>
      <c r="AL1876" s="884">
        <v>0</v>
      </c>
      <c r="AM1876" s="878" t="str">
        <f t="shared" ref="AM1876" si="7517">IFERROR((AK1876/AL1876),"-")</f>
        <v>-</v>
      </c>
      <c r="AN1876" s="2"/>
      <c r="AO1876" s="884">
        <v>307</v>
      </c>
      <c r="AP1876" s="884">
        <f t="shared" ref="AP1876" si="7518">AO1876-AK1876</f>
        <v>307</v>
      </c>
      <c r="AV1876" t="str">
        <f t="shared" si="7473"/>
        <v>Drenagem Superficial</v>
      </c>
      <c r="AW1876" s="4" t="str">
        <f t="shared" si="7464"/>
        <v xml:space="preserve">   Seg. 2.5-C01 - Drenagem Superficial - Canaleta de banqueta de corte (Manual)</v>
      </c>
    </row>
    <row r="1877" spans="1:49" ht="15.6" hidden="1" customHeight="1" outlineLevel="2">
      <c r="A1877" s="8" t="str">
        <f t="shared" ref="A1877" si="7519">A1876</f>
        <v>N</v>
      </c>
      <c r="B1877" s="150"/>
      <c r="C1877" s="150" t="s">
        <v>2198</v>
      </c>
      <c r="D1877" s="120" t="s">
        <v>463</v>
      </c>
      <c r="E1877" s="915"/>
      <c r="F1877" s="902"/>
      <c r="G1877" s="528"/>
      <c r="H1877" s="549" t="s">
        <v>38</v>
      </c>
      <c r="I1877" s="711">
        <v>0</v>
      </c>
      <c r="J1877" s="897"/>
      <c r="K1877" s="528"/>
      <c r="L1877" s="549" t="s">
        <v>38</v>
      </c>
      <c r="M1877" s="711">
        <f t="shared" si="7447"/>
        <v>0</v>
      </c>
      <c r="N1877" s="897"/>
      <c r="O1877" s="528"/>
      <c r="P1877" s="548">
        <v>0</v>
      </c>
      <c r="Q1877" s="548">
        <v>0</v>
      </c>
      <c r="R1877" s="548">
        <v>0</v>
      </c>
      <c r="S1877" s="548">
        <v>0</v>
      </c>
      <c r="T1877" s="548">
        <v>0</v>
      </c>
      <c r="U1877" s="548">
        <v>0</v>
      </c>
      <c r="V1877" s="548"/>
      <c r="W1877" s="528"/>
      <c r="X1877" s="711"/>
      <c r="Y1877" s="897"/>
      <c r="Z1877" s="528"/>
      <c r="AA1877" s="899"/>
      <c r="AB1877" s="899"/>
      <c r="AC1877" s="904"/>
      <c r="AD1877" s="901"/>
      <c r="AE1877" s="2"/>
      <c r="AF1877" s="885"/>
      <c r="AG1877" s="885"/>
      <c r="AH1877" s="885"/>
      <c r="AI1877" s="885"/>
      <c r="AJ1877" s="885"/>
      <c r="AK1877" s="885"/>
      <c r="AL1877" s="885"/>
      <c r="AM1877" s="879"/>
      <c r="AN1877" s="2"/>
      <c r="AO1877" s="886"/>
      <c r="AP1877" s="886"/>
      <c r="AV1877" t="str">
        <f t="shared" si="7473"/>
        <v>Drenagem Superficial</v>
      </c>
      <c r="AW1877" s="4" t="str">
        <f t="shared" si="7464"/>
        <v xml:space="preserve">   Seg. 2.5-C01 - Drenagem Superficial - Canaleta de banqueta de corte (Manual)</v>
      </c>
    </row>
    <row r="1878" spans="1:49" ht="15.6" hidden="1" customHeight="1" outlineLevel="2">
      <c r="A1878" s="8" t="str">
        <f t="shared" ref="A1878" si="7520">IF(SUM(P1878:V1879)&gt;0,"S","N")</f>
        <v>N</v>
      </c>
      <c r="B1878" s="150">
        <v>1069865</v>
      </c>
      <c r="C1878" s="150" t="s">
        <v>2200</v>
      </c>
      <c r="D1878" s="120" t="s">
        <v>502</v>
      </c>
      <c r="E1878" s="914" t="s">
        <v>2201</v>
      </c>
      <c r="F1878" s="902" t="s">
        <v>52</v>
      </c>
      <c r="G1878" s="528"/>
      <c r="H1878" s="546" t="s">
        <v>37</v>
      </c>
      <c r="I1878" s="711">
        <v>0</v>
      </c>
      <c r="J1878" s="896" t="str">
        <f t="shared" ref="J1878" si="7521">IFERROR((I1879/I1878),"-")</f>
        <v>-</v>
      </c>
      <c r="K1878" s="528"/>
      <c r="L1878" s="546" t="s">
        <v>37</v>
      </c>
      <c r="M1878" s="711">
        <f t="shared" si="7447"/>
        <v>0</v>
      </c>
      <c r="N1878" s="896" t="str">
        <f t="shared" ref="N1878" si="7522">IFERROR((M1879/M1878),"-")</f>
        <v>-</v>
      </c>
      <c r="O1878" s="528"/>
      <c r="P1878" s="547">
        <v>0</v>
      </c>
      <c r="Q1878" s="547">
        <v>0</v>
      </c>
      <c r="R1878" s="547">
        <v>0</v>
      </c>
      <c r="S1878" s="547">
        <v>0</v>
      </c>
      <c r="T1878" s="547">
        <v>0</v>
      </c>
      <c r="U1878" s="547">
        <v>0</v>
      </c>
      <c r="V1878" s="548">
        <v>0</v>
      </c>
      <c r="W1878" s="528"/>
      <c r="X1878" s="711"/>
      <c r="Y1878" s="896" t="str">
        <f t="shared" ref="Y1878" si="7523">IFERROR((X1879/X1878),"-")</f>
        <v>-</v>
      </c>
      <c r="Z1878" s="528"/>
      <c r="AA1878" s="898">
        <v>0</v>
      </c>
      <c r="AB1878" s="898">
        <v>0</v>
      </c>
      <c r="AC1878" s="903">
        <v>0</v>
      </c>
      <c r="AD1878" s="900" t="str">
        <f t="shared" ref="AD1878" si="7524">IFERROR((AC1878/AB1878),"-")</f>
        <v>-</v>
      </c>
      <c r="AE1878" s="2"/>
      <c r="AF1878" s="884">
        <v>0</v>
      </c>
      <c r="AG1878" s="884"/>
      <c r="AH1878" s="884">
        <v>0</v>
      </c>
      <c r="AI1878" s="884"/>
      <c r="AJ1878" s="884"/>
      <c r="AK1878" s="884">
        <f t="shared" ref="AK1878" si="7525">AF1878+AG1878+AH1878+AI1878+AJ1878+AC1878</f>
        <v>0</v>
      </c>
      <c r="AL1878" s="884">
        <v>0</v>
      </c>
      <c r="AM1878" s="878" t="str">
        <f t="shared" ref="AM1878" si="7526">IFERROR((AK1878/AL1878),"-")</f>
        <v>-</v>
      </c>
      <c r="AN1878" s="2"/>
      <c r="AO1878" s="884">
        <v>2137</v>
      </c>
      <c r="AP1878" s="884">
        <f t="shared" ref="AP1878" si="7527">AO1878-AK1878</f>
        <v>2137</v>
      </c>
      <c r="AV1878" t="str">
        <f t="shared" si="7473"/>
        <v>Drenagem Superficial</v>
      </c>
      <c r="AW1878" s="4" t="str">
        <f t="shared" si="7464"/>
        <v xml:space="preserve">   Seg. 2.5-C09 - Drenagem Superficial - Canaleta de banqueta de corte (Extrusada)</v>
      </c>
    </row>
    <row r="1879" spans="1:49" ht="15.6" hidden="1" customHeight="1" outlineLevel="2">
      <c r="A1879" s="8" t="str">
        <f t="shared" ref="A1879" si="7528">A1878</f>
        <v>N</v>
      </c>
      <c r="B1879" s="150"/>
      <c r="C1879" s="150" t="s">
        <v>2200</v>
      </c>
      <c r="D1879" s="120" t="s">
        <v>502</v>
      </c>
      <c r="E1879" s="915"/>
      <c r="F1879" s="902"/>
      <c r="G1879" s="528"/>
      <c r="H1879" s="549" t="s">
        <v>38</v>
      </c>
      <c r="I1879" s="711">
        <v>0</v>
      </c>
      <c r="J1879" s="897"/>
      <c r="K1879" s="528"/>
      <c r="L1879" s="549" t="s">
        <v>38</v>
      </c>
      <c r="M1879" s="711">
        <f t="shared" si="7447"/>
        <v>0</v>
      </c>
      <c r="N1879" s="897"/>
      <c r="O1879" s="528"/>
      <c r="P1879" s="548">
        <v>0</v>
      </c>
      <c r="Q1879" s="548">
        <v>0</v>
      </c>
      <c r="R1879" s="548">
        <v>0</v>
      </c>
      <c r="S1879" s="548">
        <v>0</v>
      </c>
      <c r="T1879" s="548">
        <v>0</v>
      </c>
      <c r="U1879" s="548">
        <v>0</v>
      </c>
      <c r="V1879" s="548"/>
      <c r="W1879" s="528"/>
      <c r="X1879" s="711"/>
      <c r="Y1879" s="897"/>
      <c r="Z1879" s="528"/>
      <c r="AA1879" s="899"/>
      <c r="AB1879" s="899"/>
      <c r="AC1879" s="904"/>
      <c r="AD1879" s="901"/>
      <c r="AE1879" s="2"/>
      <c r="AF1879" s="885"/>
      <c r="AG1879" s="885"/>
      <c r="AH1879" s="885"/>
      <c r="AI1879" s="885"/>
      <c r="AJ1879" s="885"/>
      <c r="AK1879" s="885"/>
      <c r="AL1879" s="885"/>
      <c r="AM1879" s="879"/>
      <c r="AN1879" s="2"/>
      <c r="AO1879" s="886"/>
      <c r="AP1879" s="886"/>
      <c r="AV1879" t="str">
        <f t="shared" si="7473"/>
        <v>Drenagem Superficial</v>
      </c>
      <c r="AW1879" s="4" t="str">
        <f t="shared" si="7464"/>
        <v xml:space="preserve">   Seg. 2.5-C09 - Drenagem Superficial - Canaleta de banqueta de corte (Extrusada)</v>
      </c>
    </row>
    <row r="1880" spans="1:49" ht="15.6" hidden="1" customHeight="1" outlineLevel="1" collapsed="1">
      <c r="A1880" s="209">
        <v>0</v>
      </c>
      <c r="B1880" s="150"/>
      <c r="C1880" s="150" t="s">
        <v>2188</v>
      </c>
      <c r="D1880" s="117"/>
      <c r="E1880" s="535"/>
      <c r="F1880" s="536"/>
      <c r="G1880" s="537"/>
      <c r="H1880" s="714"/>
      <c r="I1880" s="555"/>
      <c r="J1880" s="714"/>
      <c r="K1880" s="537"/>
      <c r="L1880" s="714"/>
      <c r="M1880" s="555"/>
      <c r="N1880" s="714"/>
      <c r="O1880" s="537"/>
      <c r="P1880" s="539"/>
      <c r="Q1880" s="539"/>
      <c r="R1880" s="539"/>
      <c r="S1880" s="539"/>
      <c r="T1880" s="539"/>
      <c r="U1880" s="539"/>
      <c r="V1880" s="539"/>
      <c r="W1880" s="537"/>
      <c r="X1880" s="540"/>
      <c r="Y1880" s="537"/>
      <c r="Z1880" s="537"/>
      <c r="AA1880" s="249"/>
      <c r="AB1880" s="249"/>
      <c r="AC1880" s="249"/>
      <c r="AD1880" s="537"/>
      <c r="AE1880" s="3"/>
      <c r="AF1880" s="35"/>
      <c r="AG1880" s="35"/>
      <c r="AH1880" s="35"/>
      <c r="AI1880" s="35"/>
      <c r="AJ1880" s="35"/>
      <c r="AK1880" s="35"/>
      <c r="AL1880" s="35"/>
      <c r="AM1880" s="3"/>
      <c r="AN1880" s="3"/>
      <c r="AO1880" s="35"/>
      <c r="AP1880" s="35"/>
      <c r="AV1880" t="str">
        <f t="shared" si="7473"/>
        <v>Drenagem Superficial</v>
      </c>
      <c r="AW1880" s="4" t="str">
        <f t="shared" si="7464"/>
        <v xml:space="preserve">   Seg. 2.5-C09 - Drenagem Superficial - Canaleta de banqueta de corte (Extrusada)</v>
      </c>
    </row>
    <row r="1881" spans="1:49" ht="15.6" hidden="1" customHeight="1" outlineLevel="1">
      <c r="A1881" s="209">
        <v>0</v>
      </c>
      <c r="B1881" s="150"/>
      <c r="C1881" s="150"/>
      <c r="D1881" s="117"/>
      <c r="E1881" s="535"/>
      <c r="F1881" s="541"/>
      <c r="G1881" s="537"/>
      <c r="H1881" s="537"/>
      <c r="I1881" s="249"/>
      <c r="J1881" s="537"/>
      <c r="K1881" s="537"/>
      <c r="L1881" s="537"/>
      <c r="M1881" s="249"/>
      <c r="N1881" s="537"/>
      <c r="O1881" s="537"/>
      <c r="P1881" s="539"/>
      <c r="Q1881" s="539"/>
      <c r="R1881" s="539"/>
      <c r="S1881" s="539"/>
      <c r="T1881" s="539"/>
      <c r="U1881" s="539"/>
      <c r="V1881" s="539"/>
      <c r="W1881" s="537"/>
      <c r="X1881" s="540"/>
      <c r="Y1881" s="537"/>
      <c r="Z1881" s="537"/>
      <c r="AA1881" s="249"/>
      <c r="AB1881" s="249"/>
      <c r="AC1881" s="249"/>
      <c r="AD1881" s="537"/>
      <c r="AE1881" s="3"/>
      <c r="AF1881" s="35"/>
      <c r="AG1881" s="35"/>
      <c r="AH1881" s="35"/>
      <c r="AI1881" s="35"/>
      <c r="AJ1881" s="35"/>
      <c r="AK1881" s="35"/>
      <c r="AL1881" s="35"/>
      <c r="AM1881" s="3"/>
      <c r="AN1881" s="3"/>
      <c r="AO1881" s="35"/>
      <c r="AP1881" s="35"/>
      <c r="AV1881" t="str">
        <f t="shared" si="7473"/>
        <v>Drenagem Superficial</v>
      </c>
      <c r="AW1881" s="4" t="str">
        <f t="shared" si="7464"/>
        <v xml:space="preserve">   Seg. 2.5-C09 - Drenagem Superficial - Canaleta de banqueta de corte (Extrusada)</v>
      </c>
    </row>
    <row r="1882" spans="1:49" ht="15.6" hidden="1" customHeight="1" outlineLevel="1">
      <c r="A1882" s="209">
        <v>0</v>
      </c>
      <c r="B1882" s="150"/>
      <c r="C1882" s="150">
        <v>0</v>
      </c>
      <c r="D1882" s="122"/>
      <c r="E1882" s="913" t="s">
        <v>45</v>
      </c>
      <c r="F1882" s="859" t="s">
        <v>52</v>
      </c>
      <c r="G1882" s="528"/>
      <c r="H1882" s="542" t="s">
        <v>37</v>
      </c>
      <c r="I1882" s="543">
        <f>SUMIF($L1884:$L1899,$L1882,I1884:I1899)</f>
        <v>0</v>
      </c>
      <c r="J1882" s="860" t="str">
        <f>IFERROR((I1883/I1882),"-")</f>
        <v>-</v>
      </c>
      <c r="K1882" s="528"/>
      <c r="L1882" s="542" t="s">
        <v>37</v>
      </c>
      <c r="M1882" s="543">
        <f>SUMIF($L1884:$L1899,$L1882,M1884:M1899)</f>
        <v>0</v>
      </c>
      <c r="N1882" s="860" t="str">
        <f>IFERROR((M1883/M1882),"-")</f>
        <v>-</v>
      </c>
      <c r="O1882" s="528"/>
      <c r="P1882" s="543">
        <f t="shared" ref="P1882:U1882" si="7529">SUMIF($L1884:$L1899,$L1882,P1884:P1899)</f>
        <v>0</v>
      </c>
      <c r="Q1882" s="543">
        <f t="shared" si="7529"/>
        <v>0</v>
      </c>
      <c r="R1882" s="543">
        <f t="shared" si="7529"/>
        <v>0</v>
      </c>
      <c r="S1882" s="543">
        <f t="shared" si="7529"/>
        <v>0</v>
      </c>
      <c r="T1882" s="543">
        <f t="shared" si="7529"/>
        <v>0</v>
      </c>
      <c r="U1882" s="543">
        <f t="shared" si="7529"/>
        <v>0</v>
      </c>
      <c r="V1882" s="543"/>
      <c r="W1882" s="528"/>
      <c r="X1882" s="543">
        <f>X1886+X1884</f>
        <v>0</v>
      </c>
      <c r="Y1882" s="860" t="str">
        <f>IFERROR((X1883/X1882),"-")</f>
        <v>-</v>
      </c>
      <c r="Z1882" s="528"/>
      <c r="AA1882" s="814">
        <f>SUM(AA1884:AA1899)</f>
        <v>2.58</v>
      </c>
      <c r="AB1882" s="814">
        <f>SUM(AB1884:AB1899)</f>
        <v>2.56</v>
      </c>
      <c r="AC1882" s="814">
        <f>SUM(AC1884:AC1899)</f>
        <v>420</v>
      </c>
      <c r="AD1882" s="911">
        <f t="shared" ref="AD1882" si="7530">IFERROR((AC1882/AB1882),"-")</f>
        <v>164.0625</v>
      </c>
      <c r="AE1882" s="2"/>
      <c r="AF1882" s="888">
        <f t="shared" ref="AF1882:AL1882" si="7531">SUM(AF1884:AF1899)</f>
        <v>0</v>
      </c>
      <c r="AG1882" s="888">
        <f t="shared" si="7531"/>
        <v>0</v>
      </c>
      <c r="AH1882" s="888">
        <f t="shared" si="7531"/>
        <v>70</v>
      </c>
      <c r="AI1882" s="888">
        <f t="shared" si="7531"/>
        <v>0</v>
      </c>
      <c r="AJ1882" s="888">
        <f t="shared" ref="AJ1882" si="7532">SUM(AJ1884:AJ1899)</f>
        <v>0</v>
      </c>
      <c r="AK1882" s="888">
        <f t="shared" si="7531"/>
        <v>490</v>
      </c>
      <c r="AL1882" s="888">
        <f t="shared" si="7531"/>
        <v>67.559999999999945</v>
      </c>
      <c r="AM1882" s="743">
        <f>IFERROR((AK1882/AL1882),"-")</f>
        <v>7.2528123149792831</v>
      </c>
      <c r="AN1882" s="2"/>
      <c r="AO1882" s="888">
        <f>SUM(AO1884:AO1899)</f>
        <v>8146</v>
      </c>
      <c r="AP1882" s="888">
        <f>SUM(AP1884:AP1899)</f>
        <v>7656</v>
      </c>
      <c r="AV1882" t="str">
        <f t="shared" si="7473"/>
        <v>Drenagem Superficial</v>
      </c>
      <c r="AW1882" s="4" t="str">
        <f t="shared" si="7464"/>
        <v>Pacote 05 - Segmento 3.1 - 153+000 a 167+400</v>
      </c>
    </row>
    <row r="1883" spans="1:49" ht="15.6" hidden="1" customHeight="1" outlineLevel="1">
      <c r="A1883" s="209">
        <v>0</v>
      </c>
      <c r="B1883" s="150"/>
      <c r="C1883" s="150"/>
      <c r="D1883" s="123"/>
      <c r="E1883" s="913"/>
      <c r="F1883" s="859"/>
      <c r="G1883" s="528"/>
      <c r="H1883" s="544" t="s">
        <v>38</v>
      </c>
      <c r="I1883" s="543">
        <f>SUMIF($L1884:$L1899,$L1883,I1884:I1899)</f>
        <v>232.5</v>
      </c>
      <c r="J1883" s="861"/>
      <c r="K1883" s="528"/>
      <c r="L1883" s="544" t="s">
        <v>38</v>
      </c>
      <c r="M1883" s="543">
        <f>SUMIF($L1884:$L1899,$L1883,M1884:M1899)</f>
        <v>32.5</v>
      </c>
      <c r="N1883" s="861"/>
      <c r="O1883" s="528"/>
      <c r="P1883" s="543">
        <f t="shared" ref="P1883:U1883" si="7533">SUMIF($L1884:$L1899,$L1883,P1884:P1899)</f>
        <v>0</v>
      </c>
      <c r="Q1883" s="543">
        <f t="shared" si="7533"/>
        <v>32.5</v>
      </c>
      <c r="R1883" s="543">
        <f t="shared" si="7533"/>
        <v>0</v>
      </c>
      <c r="S1883" s="543">
        <f t="shared" si="7533"/>
        <v>0</v>
      </c>
      <c r="T1883" s="543">
        <f t="shared" si="7533"/>
        <v>0</v>
      </c>
      <c r="U1883" s="543">
        <f t="shared" si="7533"/>
        <v>0</v>
      </c>
      <c r="V1883" s="543"/>
      <c r="W1883" s="528"/>
      <c r="X1883" s="543">
        <f>X1887+X1885</f>
        <v>0</v>
      </c>
      <c r="Y1883" s="861"/>
      <c r="Z1883" s="528"/>
      <c r="AA1883" s="815"/>
      <c r="AB1883" s="815"/>
      <c r="AC1883" s="815"/>
      <c r="AD1883" s="912"/>
      <c r="AE1883" s="2"/>
      <c r="AF1883" s="889"/>
      <c r="AG1883" s="889"/>
      <c r="AH1883" s="889"/>
      <c r="AI1883" s="889"/>
      <c r="AJ1883" s="889"/>
      <c r="AK1883" s="889"/>
      <c r="AL1883" s="889"/>
      <c r="AM1883" s="744"/>
      <c r="AN1883" s="2"/>
      <c r="AO1883" s="888"/>
      <c r="AP1883" s="888"/>
      <c r="AV1883" t="str">
        <f t="shared" si="7473"/>
        <v>Drenagem Superficial</v>
      </c>
      <c r="AW1883" s="4" t="str">
        <f t="shared" si="7464"/>
        <v>Pacote 05 - Segmento 3.1 - 153+000 a 167+400</v>
      </c>
    </row>
    <row r="1884" spans="1:49" ht="15.6" hidden="1" customHeight="1" outlineLevel="2">
      <c r="A1884" s="8" t="str">
        <f t="shared" ref="A1884" si="7534">IF(SUM(P1884:V1885)&gt;0,"S","N")</f>
        <v>S</v>
      </c>
      <c r="B1884" s="150">
        <v>1064664</v>
      </c>
      <c r="C1884" s="150" t="s">
        <v>2202</v>
      </c>
      <c r="D1884" s="120" t="s">
        <v>560</v>
      </c>
      <c r="E1884" s="914" t="s">
        <v>2203</v>
      </c>
      <c r="F1884" s="902" t="s">
        <v>52</v>
      </c>
      <c r="G1884" s="528"/>
      <c r="H1884" s="546" t="s">
        <v>37</v>
      </c>
      <c r="I1884" s="711">
        <v>0</v>
      </c>
      <c r="J1884" s="896" t="str">
        <f t="shared" ref="J1884" si="7535">IFERROR((I1885/I1884),"-")</f>
        <v>-</v>
      </c>
      <c r="K1884" s="528"/>
      <c r="L1884" s="546" t="s">
        <v>37</v>
      </c>
      <c r="M1884" s="711">
        <f t="shared" ref="M1884:M1899" si="7536">_xlfn.XLOOKUP($N$8,$P$8:$V$8,$P1884:$V1884)</f>
        <v>0</v>
      </c>
      <c r="N1884" s="896" t="str">
        <f t="shared" ref="N1884" si="7537">IFERROR((M1885/M1884),"-")</f>
        <v>-</v>
      </c>
      <c r="O1884" s="528"/>
      <c r="P1884" s="547">
        <v>0</v>
      </c>
      <c r="Q1884" s="547">
        <v>0</v>
      </c>
      <c r="R1884" s="547">
        <v>0</v>
      </c>
      <c r="S1884" s="547">
        <v>0</v>
      </c>
      <c r="T1884" s="547">
        <v>0</v>
      </c>
      <c r="U1884" s="547">
        <v>0</v>
      </c>
      <c r="V1884" s="548">
        <v>0</v>
      </c>
      <c r="W1884" s="528"/>
      <c r="X1884" s="711"/>
      <c r="Y1884" s="896" t="str">
        <f t="shared" ref="Y1884" si="7538">IFERROR((X1885/X1884),"-")</f>
        <v>-</v>
      </c>
      <c r="Z1884" s="528"/>
      <c r="AA1884" s="898">
        <v>2.58</v>
      </c>
      <c r="AB1884" s="898">
        <v>2.56</v>
      </c>
      <c r="AC1884" s="903">
        <v>420</v>
      </c>
      <c r="AD1884" s="900">
        <f t="shared" ref="AD1884" si="7539">IFERROR((AC1884/AB1884),"-")</f>
        <v>164.0625</v>
      </c>
      <c r="AE1884" s="2"/>
      <c r="AF1884" s="884">
        <v>0</v>
      </c>
      <c r="AG1884" s="884"/>
      <c r="AH1884" s="884">
        <v>70</v>
      </c>
      <c r="AI1884" s="884"/>
      <c r="AJ1884" s="884"/>
      <c r="AK1884" s="884">
        <f t="shared" ref="AK1884" si="7540">AF1884+AG1884+AH1884+AI1884+AJ1884+AC1884</f>
        <v>490</v>
      </c>
      <c r="AL1884" s="884">
        <v>67.559999999999945</v>
      </c>
      <c r="AM1884" s="878">
        <f t="shared" ref="AM1884" si="7541">IFERROR((AK1884/AL1884),"-")</f>
        <v>7.2528123149792831</v>
      </c>
      <c r="AN1884" s="2"/>
      <c r="AO1884" s="884">
        <v>3493</v>
      </c>
      <c r="AP1884" s="884">
        <f t="shared" ref="AP1884" si="7542">AO1884-AK1884</f>
        <v>3003</v>
      </c>
      <c r="AV1884" t="str">
        <f t="shared" si="7473"/>
        <v>Drenagem Superficial</v>
      </c>
      <c r="AW1884" s="4" t="str">
        <f t="shared" si="7464"/>
        <v xml:space="preserve">   Seg. 3.1-C02 - Drenagem Superficial - Canaleta de banqueta de corte (Manual)</v>
      </c>
    </row>
    <row r="1885" spans="1:49" ht="15.6" hidden="1" customHeight="1" outlineLevel="2">
      <c r="A1885" s="8" t="str">
        <f t="shared" ref="A1885" si="7543">A1884</f>
        <v>S</v>
      </c>
      <c r="B1885" s="150"/>
      <c r="C1885" s="150" t="s">
        <v>2202</v>
      </c>
      <c r="D1885" s="120" t="s">
        <v>560</v>
      </c>
      <c r="E1885" s="915"/>
      <c r="F1885" s="902"/>
      <c r="G1885" s="528"/>
      <c r="H1885" s="549" t="s">
        <v>38</v>
      </c>
      <c r="I1885" s="711">
        <v>232.5</v>
      </c>
      <c r="J1885" s="897"/>
      <c r="K1885" s="528"/>
      <c r="L1885" s="549" t="s">
        <v>38</v>
      </c>
      <c r="M1885" s="711">
        <f t="shared" si="7536"/>
        <v>32.5</v>
      </c>
      <c r="N1885" s="897"/>
      <c r="O1885" s="528"/>
      <c r="P1885" s="548">
        <v>0</v>
      </c>
      <c r="Q1885" s="548">
        <v>32.5</v>
      </c>
      <c r="R1885" s="548">
        <v>0</v>
      </c>
      <c r="S1885" s="548">
        <v>0</v>
      </c>
      <c r="T1885" s="548">
        <v>0</v>
      </c>
      <c r="U1885" s="548">
        <v>0</v>
      </c>
      <c r="V1885" s="548"/>
      <c r="W1885" s="528"/>
      <c r="X1885" s="711"/>
      <c r="Y1885" s="897"/>
      <c r="Z1885" s="528"/>
      <c r="AA1885" s="899"/>
      <c r="AB1885" s="899"/>
      <c r="AC1885" s="904"/>
      <c r="AD1885" s="901"/>
      <c r="AE1885" s="2"/>
      <c r="AF1885" s="885"/>
      <c r="AG1885" s="885"/>
      <c r="AH1885" s="885"/>
      <c r="AI1885" s="885"/>
      <c r="AJ1885" s="885"/>
      <c r="AK1885" s="885"/>
      <c r="AL1885" s="885"/>
      <c r="AM1885" s="879"/>
      <c r="AN1885" s="2"/>
      <c r="AO1885" s="886"/>
      <c r="AP1885" s="886"/>
      <c r="AV1885" t="str">
        <f t="shared" si="7473"/>
        <v>Drenagem Superficial</v>
      </c>
      <c r="AW1885" s="4" t="str">
        <f t="shared" si="7464"/>
        <v xml:space="preserve">   Seg. 3.1-C02 - Drenagem Superficial - Canaleta de banqueta de corte (Manual)</v>
      </c>
    </row>
    <row r="1886" spans="1:49" ht="15.6" hidden="1" customHeight="1" outlineLevel="2">
      <c r="A1886" s="8" t="str">
        <f t="shared" ref="A1886" si="7544">IF(SUM(P1886:V1887)&gt;0,"S","N")</f>
        <v>N</v>
      </c>
      <c r="B1886" s="150">
        <v>1064669</v>
      </c>
      <c r="C1886" s="150" t="s">
        <v>2204</v>
      </c>
      <c r="D1886" s="120" t="s">
        <v>563</v>
      </c>
      <c r="E1886" s="914" t="s">
        <v>2205</v>
      </c>
      <c r="F1886" s="902" t="s">
        <v>52</v>
      </c>
      <c r="G1886" s="528"/>
      <c r="H1886" s="546" t="s">
        <v>37</v>
      </c>
      <c r="I1886" s="711">
        <v>0</v>
      </c>
      <c r="J1886" s="896" t="str">
        <f t="shared" ref="J1886" si="7545">IFERROR((I1887/I1886),"-")</f>
        <v>-</v>
      </c>
      <c r="K1886" s="528"/>
      <c r="L1886" s="546" t="s">
        <v>37</v>
      </c>
      <c r="M1886" s="711">
        <f t="shared" si="7536"/>
        <v>0</v>
      </c>
      <c r="N1886" s="896" t="str">
        <f t="shared" ref="N1886" si="7546">IFERROR((M1887/M1886),"-")</f>
        <v>-</v>
      </c>
      <c r="O1886" s="528"/>
      <c r="P1886" s="547">
        <v>0</v>
      </c>
      <c r="Q1886" s="547">
        <v>0</v>
      </c>
      <c r="R1886" s="547">
        <v>0</v>
      </c>
      <c r="S1886" s="547">
        <v>0</v>
      </c>
      <c r="T1886" s="547">
        <v>0</v>
      </c>
      <c r="U1886" s="547">
        <v>0</v>
      </c>
      <c r="V1886" s="548">
        <v>0</v>
      </c>
      <c r="W1886" s="528"/>
      <c r="X1886" s="711"/>
      <c r="Y1886" s="896" t="str">
        <f t="shared" ref="Y1886" si="7547">IFERROR((X1887/X1886),"-")</f>
        <v>-</v>
      </c>
      <c r="Z1886" s="528"/>
      <c r="AA1886" s="898">
        <v>0</v>
      </c>
      <c r="AB1886" s="898">
        <v>0</v>
      </c>
      <c r="AC1886" s="903">
        <v>0</v>
      </c>
      <c r="AD1886" s="900" t="str">
        <f t="shared" ref="AD1886" si="7548">IFERROR((AC1886/AB1886),"-")</f>
        <v>-</v>
      </c>
      <c r="AE1886" s="2"/>
      <c r="AF1886" s="884">
        <v>0</v>
      </c>
      <c r="AG1886" s="884"/>
      <c r="AH1886" s="884">
        <v>0</v>
      </c>
      <c r="AI1886" s="884"/>
      <c r="AJ1886" s="884"/>
      <c r="AK1886" s="884">
        <f t="shared" ref="AK1886" si="7549">AF1886+AG1886+AH1886+AI1886+AJ1886+AC1886</f>
        <v>0</v>
      </c>
      <c r="AL1886" s="884">
        <v>0</v>
      </c>
      <c r="AM1886" s="878" t="str">
        <f t="shared" ref="AM1886" si="7550">IFERROR((AK1886/AL1886),"-")</f>
        <v>-</v>
      </c>
      <c r="AN1886" s="2"/>
      <c r="AO1886" s="884">
        <v>1460</v>
      </c>
      <c r="AP1886" s="884">
        <f t="shared" ref="AP1886" si="7551">AO1886-AK1886</f>
        <v>1460</v>
      </c>
      <c r="AV1886" t="str">
        <f t="shared" si="7473"/>
        <v>Drenagem Superficial</v>
      </c>
      <c r="AW1886" s="4" t="str">
        <f t="shared" si="7464"/>
        <v xml:space="preserve">   Seg. 3.1-C04 - Drenagem Superficial - Canaleta de banqueta de corte (Manual)</v>
      </c>
    </row>
    <row r="1887" spans="1:49" ht="15.6" hidden="1" customHeight="1" outlineLevel="2">
      <c r="A1887" s="8" t="str">
        <f t="shared" ref="A1887" si="7552">A1886</f>
        <v>N</v>
      </c>
      <c r="B1887" s="150"/>
      <c r="C1887" s="150" t="s">
        <v>2204</v>
      </c>
      <c r="D1887" s="120" t="s">
        <v>563</v>
      </c>
      <c r="E1887" s="915"/>
      <c r="F1887" s="902"/>
      <c r="G1887" s="528"/>
      <c r="H1887" s="549" t="s">
        <v>38</v>
      </c>
      <c r="I1887" s="711">
        <v>0</v>
      </c>
      <c r="J1887" s="897"/>
      <c r="K1887" s="528"/>
      <c r="L1887" s="549" t="s">
        <v>38</v>
      </c>
      <c r="M1887" s="711">
        <f t="shared" si="7536"/>
        <v>0</v>
      </c>
      <c r="N1887" s="897"/>
      <c r="O1887" s="528"/>
      <c r="P1887" s="548">
        <v>0</v>
      </c>
      <c r="Q1887" s="548">
        <v>0</v>
      </c>
      <c r="R1887" s="548">
        <v>0</v>
      </c>
      <c r="S1887" s="548">
        <v>0</v>
      </c>
      <c r="T1887" s="548">
        <v>0</v>
      </c>
      <c r="U1887" s="548">
        <v>0</v>
      </c>
      <c r="V1887" s="548"/>
      <c r="W1887" s="528"/>
      <c r="X1887" s="711"/>
      <c r="Y1887" s="897"/>
      <c r="Z1887" s="528"/>
      <c r="AA1887" s="899"/>
      <c r="AB1887" s="899"/>
      <c r="AC1887" s="904"/>
      <c r="AD1887" s="901"/>
      <c r="AE1887" s="2"/>
      <c r="AF1887" s="885"/>
      <c r="AG1887" s="885"/>
      <c r="AH1887" s="885"/>
      <c r="AI1887" s="885"/>
      <c r="AJ1887" s="885"/>
      <c r="AK1887" s="885"/>
      <c r="AL1887" s="885"/>
      <c r="AM1887" s="879"/>
      <c r="AN1887" s="2"/>
      <c r="AO1887" s="886"/>
      <c r="AP1887" s="886"/>
      <c r="AV1887" t="str">
        <f t="shared" si="7473"/>
        <v>Drenagem Superficial</v>
      </c>
      <c r="AW1887" s="4" t="str">
        <f t="shared" si="7464"/>
        <v xml:space="preserve">   Seg. 3.1-C04 - Drenagem Superficial - Canaleta de banqueta de corte (Manual)</v>
      </c>
    </row>
    <row r="1888" spans="1:49" ht="15.6" hidden="1" customHeight="1" outlineLevel="2">
      <c r="A1888" s="8" t="str">
        <f t="shared" ref="A1888" si="7553">IF(SUM(P1888:V1889)&gt;0,"S","N")</f>
        <v>N</v>
      </c>
      <c r="B1888" s="150">
        <v>1064677</v>
      </c>
      <c r="C1888" s="150" t="s">
        <v>2206</v>
      </c>
      <c r="D1888" s="120" t="s">
        <v>569</v>
      </c>
      <c r="E1888" s="914" t="s">
        <v>2207</v>
      </c>
      <c r="F1888" s="902" t="s">
        <v>52</v>
      </c>
      <c r="G1888" s="528"/>
      <c r="H1888" s="546" t="s">
        <v>37</v>
      </c>
      <c r="I1888" s="711">
        <v>0</v>
      </c>
      <c r="J1888" s="896" t="str">
        <f t="shared" ref="J1888" si="7554">IFERROR((I1889/I1888),"-")</f>
        <v>-</v>
      </c>
      <c r="K1888" s="528"/>
      <c r="L1888" s="546" t="s">
        <v>37</v>
      </c>
      <c r="M1888" s="711">
        <f t="shared" si="7536"/>
        <v>0</v>
      </c>
      <c r="N1888" s="896" t="str">
        <f t="shared" ref="N1888" si="7555">IFERROR((M1889/M1888),"-")</f>
        <v>-</v>
      </c>
      <c r="O1888" s="528"/>
      <c r="P1888" s="547">
        <v>0</v>
      </c>
      <c r="Q1888" s="547">
        <v>0</v>
      </c>
      <c r="R1888" s="547">
        <v>0</v>
      </c>
      <c r="S1888" s="547">
        <v>0</v>
      </c>
      <c r="T1888" s="547">
        <v>0</v>
      </c>
      <c r="U1888" s="547">
        <v>0</v>
      </c>
      <c r="V1888" s="548">
        <v>0</v>
      </c>
      <c r="W1888" s="528"/>
      <c r="X1888" s="711"/>
      <c r="Y1888" s="896" t="str">
        <f t="shared" ref="Y1888" si="7556">IFERROR((X1889/X1888),"-")</f>
        <v>-</v>
      </c>
      <c r="Z1888" s="528"/>
      <c r="AA1888" s="898">
        <v>0</v>
      </c>
      <c r="AB1888" s="898">
        <v>0</v>
      </c>
      <c r="AC1888" s="903">
        <v>0</v>
      </c>
      <c r="AD1888" s="900" t="str">
        <f t="shared" ref="AD1888" si="7557">IFERROR((AC1888/AB1888),"-")</f>
        <v>-</v>
      </c>
      <c r="AE1888" s="2"/>
      <c r="AF1888" s="884">
        <v>0</v>
      </c>
      <c r="AG1888" s="884"/>
      <c r="AH1888" s="884">
        <v>0</v>
      </c>
      <c r="AI1888" s="884"/>
      <c r="AJ1888" s="884"/>
      <c r="AK1888" s="884">
        <f t="shared" ref="AK1888" si="7558">AF1888+AG1888+AH1888+AI1888+AJ1888+AC1888</f>
        <v>0</v>
      </c>
      <c r="AL1888" s="884">
        <v>0</v>
      </c>
      <c r="AM1888" s="878" t="str">
        <f t="shared" ref="AM1888" si="7559">IFERROR((AK1888/AL1888),"-")</f>
        <v>-</v>
      </c>
      <c r="AN1888" s="2"/>
      <c r="AO1888" s="884">
        <v>1830</v>
      </c>
      <c r="AP1888" s="884">
        <f t="shared" ref="AP1888" si="7560">AO1888-AK1888</f>
        <v>1830</v>
      </c>
      <c r="AV1888" t="str">
        <f t="shared" si="7473"/>
        <v>Drenagem Superficial</v>
      </c>
      <c r="AW1888" s="4" t="str">
        <f t="shared" si="7464"/>
        <v xml:space="preserve">   Seg. 3.1-C07 - Drenagem Superficial - Canaleta de banqueta de corte (Manual)</v>
      </c>
    </row>
    <row r="1889" spans="1:49" ht="15.6" hidden="1" customHeight="1" outlineLevel="2">
      <c r="A1889" s="8" t="str">
        <f t="shared" ref="A1889" si="7561">A1888</f>
        <v>N</v>
      </c>
      <c r="B1889" s="150"/>
      <c r="C1889" s="150" t="s">
        <v>2206</v>
      </c>
      <c r="D1889" s="120" t="s">
        <v>569</v>
      </c>
      <c r="E1889" s="915"/>
      <c r="F1889" s="902"/>
      <c r="G1889" s="528"/>
      <c r="H1889" s="549" t="s">
        <v>38</v>
      </c>
      <c r="I1889" s="711">
        <v>0</v>
      </c>
      <c r="J1889" s="897"/>
      <c r="K1889" s="528"/>
      <c r="L1889" s="549" t="s">
        <v>38</v>
      </c>
      <c r="M1889" s="711">
        <f t="shared" si="7536"/>
        <v>0</v>
      </c>
      <c r="N1889" s="897"/>
      <c r="O1889" s="528"/>
      <c r="P1889" s="548">
        <v>0</v>
      </c>
      <c r="Q1889" s="548">
        <v>0</v>
      </c>
      <c r="R1889" s="548">
        <v>0</v>
      </c>
      <c r="S1889" s="548">
        <v>0</v>
      </c>
      <c r="T1889" s="548">
        <v>0</v>
      </c>
      <c r="U1889" s="548">
        <v>0</v>
      </c>
      <c r="V1889" s="548"/>
      <c r="W1889" s="528"/>
      <c r="X1889" s="711"/>
      <c r="Y1889" s="897"/>
      <c r="Z1889" s="528"/>
      <c r="AA1889" s="899"/>
      <c r="AB1889" s="899"/>
      <c r="AC1889" s="904"/>
      <c r="AD1889" s="901"/>
      <c r="AE1889" s="2"/>
      <c r="AF1889" s="885"/>
      <c r="AG1889" s="885"/>
      <c r="AH1889" s="885"/>
      <c r="AI1889" s="885"/>
      <c r="AJ1889" s="885"/>
      <c r="AK1889" s="885"/>
      <c r="AL1889" s="885"/>
      <c r="AM1889" s="879"/>
      <c r="AN1889" s="2"/>
      <c r="AO1889" s="886"/>
      <c r="AP1889" s="886"/>
      <c r="AV1889" t="str">
        <f t="shared" si="7473"/>
        <v>Drenagem Superficial</v>
      </c>
      <c r="AW1889" s="4" t="str">
        <f t="shared" si="7464"/>
        <v xml:space="preserve">   Seg. 3.1-C07 - Drenagem Superficial - Canaleta de banqueta de corte (Manual)</v>
      </c>
    </row>
    <row r="1890" spans="1:49" ht="15.6" hidden="1" customHeight="1" outlineLevel="2">
      <c r="A1890" s="8" t="str">
        <f t="shared" ref="A1890" si="7562">IF(SUM(P1890:V1891)&gt;0,"S","N")</f>
        <v>N</v>
      </c>
      <c r="B1890" s="150">
        <v>1064710</v>
      </c>
      <c r="C1890" s="150" t="s">
        <v>2208</v>
      </c>
      <c r="D1890" s="120" t="s">
        <v>1315</v>
      </c>
      <c r="E1890" s="914" t="s">
        <v>2209</v>
      </c>
      <c r="F1890" s="902" t="s">
        <v>52</v>
      </c>
      <c r="G1890" s="528"/>
      <c r="H1890" s="546" t="s">
        <v>37</v>
      </c>
      <c r="I1890" s="711">
        <v>0</v>
      </c>
      <c r="J1890" s="896" t="str">
        <f t="shared" ref="J1890" si="7563">IFERROR((I1891/I1890),"-")</f>
        <v>-</v>
      </c>
      <c r="K1890" s="528"/>
      <c r="L1890" s="546" t="s">
        <v>37</v>
      </c>
      <c r="M1890" s="711">
        <f t="shared" si="7536"/>
        <v>0</v>
      </c>
      <c r="N1890" s="896" t="str">
        <f t="shared" ref="N1890" si="7564">IFERROR((M1891/M1890),"-")</f>
        <v>-</v>
      </c>
      <c r="O1890" s="528"/>
      <c r="P1890" s="547">
        <v>0</v>
      </c>
      <c r="Q1890" s="547">
        <v>0</v>
      </c>
      <c r="R1890" s="547">
        <v>0</v>
      </c>
      <c r="S1890" s="547">
        <v>0</v>
      </c>
      <c r="T1890" s="547">
        <v>0</v>
      </c>
      <c r="U1890" s="547">
        <v>0</v>
      </c>
      <c r="V1890" s="548">
        <v>0</v>
      </c>
      <c r="W1890" s="528"/>
      <c r="X1890" s="711"/>
      <c r="Y1890" s="896" t="str">
        <f t="shared" ref="Y1890" si="7565">IFERROR((X1891/X1890),"-")</f>
        <v>-</v>
      </c>
      <c r="Z1890" s="528"/>
      <c r="AA1890" s="898">
        <v>0</v>
      </c>
      <c r="AB1890" s="898">
        <v>0</v>
      </c>
      <c r="AC1890" s="903">
        <v>0</v>
      </c>
      <c r="AD1890" s="900" t="str">
        <f t="shared" ref="AD1890" si="7566">IFERROR((AC1890/AB1890),"-")</f>
        <v>-</v>
      </c>
      <c r="AE1890" s="2"/>
      <c r="AF1890" s="884">
        <v>0</v>
      </c>
      <c r="AG1890" s="884"/>
      <c r="AH1890" s="884">
        <v>0</v>
      </c>
      <c r="AI1890" s="884"/>
      <c r="AJ1890" s="884"/>
      <c r="AK1890" s="884">
        <f t="shared" ref="AK1890" si="7567">AF1890+AG1890+AH1890+AI1890+AJ1890+AC1890</f>
        <v>0</v>
      </c>
      <c r="AL1890" s="884">
        <v>0</v>
      </c>
      <c r="AM1890" s="878" t="str">
        <f t="shared" ref="AM1890" si="7568">IFERROR((AK1890/AL1890),"-")</f>
        <v>-</v>
      </c>
      <c r="AN1890" s="2"/>
      <c r="AO1890" s="884">
        <v>23</v>
      </c>
      <c r="AP1890" s="884">
        <f t="shared" ref="AP1890" si="7569">AO1890-AK1890</f>
        <v>23</v>
      </c>
      <c r="AV1890" t="str">
        <f t="shared" si="7473"/>
        <v>Drenagem Superficial</v>
      </c>
      <c r="AW1890" s="4" t="str">
        <f t="shared" si="7464"/>
        <v xml:space="preserve">   Seg. 3.1-A07 - Drenagem Superficial - Canaleta de banqueta de aterro (Manual)</v>
      </c>
    </row>
    <row r="1891" spans="1:49" ht="15.6" hidden="1" customHeight="1" outlineLevel="2">
      <c r="A1891" s="8" t="str">
        <f t="shared" ref="A1891" si="7570">A1890</f>
        <v>N</v>
      </c>
      <c r="B1891" s="150"/>
      <c r="C1891" s="150" t="s">
        <v>2208</v>
      </c>
      <c r="D1891" s="120" t="s">
        <v>1315</v>
      </c>
      <c r="E1891" s="915"/>
      <c r="F1891" s="902"/>
      <c r="G1891" s="528"/>
      <c r="H1891" s="549" t="s">
        <v>38</v>
      </c>
      <c r="I1891" s="711">
        <v>0</v>
      </c>
      <c r="J1891" s="897"/>
      <c r="K1891" s="528"/>
      <c r="L1891" s="549" t="s">
        <v>38</v>
      </c>
      <c r="M1891" s="711">
        <f t="shared" si="7536"/>
        <v>0</v>
      </c>
      <c r="N1891" s="897"/>
      <c r="O1891" s="528"/>
      <c r="P1891" s="548">
        <v>0</v>
      </c>
      <c r="Q1891" s="548">
        <v>0</v>
      </c>
      <c r="R1891" s="548">
        <v>0</v>
      </c>
      <c r="S1891" s="548">
        <v>0</v>
      </c>
      <c r="T1891" s="548">
        <v>0</v>
      </c>
      <c r="U1891" s="548">
        <v>0</v>
      </c>
      <c r="V1891" s="548"/>
      <c r="W1891" s="528"/>
      <c r="X1891" s="711"/>
      <c r="Y1891" s="897"/>
      <c r="Z1891" s="528"/>
      <c r="AA1891" s="899"/>
      <c r="AB1891" s="899"/>
      <c r="AC1891" s="904"/>
      <c r="AD1891" s="901"/>
      <c r="AE1891" s="2"/>
      <c r="AF1891" s="885"/>
      <c r="AG1891" s="885"/>
      <c r="AH1891" s="885"/>
      <c r="AI1891" s="885"/>
      <c r="AJ1891" s="885"/>
      <c r="AK1891" s="885"/>
      <c r="AL1891" s="885"/>
      <c r="AM1891" s="879"/>
      <c r="AN1891" s="2"/>
      <c r="AO1891" s="886"/>
      <c r="AP1891" s="886"/>
      <c r="AV1891" t="str">
        <f t="shared" si="7473"/>
        <v>Drenagem Superficial</v>
      </c>
      <c r="AW1891" s="4" t="str">
        <f t="shared" si="7464"/>
        <v xml:space="preserve">   Seg. 3.1-A07 - Drenagem Superficial - Canaleta de banqueta de aterro (Manual)</v>
      </c>
    </row>
    <row r="1892" spans="1:49" ht="15.6" hidden="1" customHeight="1" outlineLevel="2">
      <c r="A1892" s="8" t="str">
        <f t="shared" ref="A1892" si="7571">IF(SUM(P1892:V1893)&gt;0,"S","N")</f>
        <v>N</v>
      </c>
      <c r="B1892" s="150">
        <v>1066263</v>
      </c>
      <c r="C1892" s="150" t="s">
        <v>2210</v>
      </c>
      <c r="D1892" s="120" t="s">
        <v>542</v>
      </c>
      <c r="E1892" s="914" t="s">
        <v>2211</v>
      </c>
      <c r="F1892" s="902" t="s">
        <v>52</v>
      </c>
      <c r="G1892" s="528"/>
      <c r="H1892" s="546" t="s">
        <v>37</v>
      </c>
      <c r="I1892" s="711">
        <v>0</v>
      </c>
      <c r="J1892" s="896" t="str">
        <f t="shared" ref="J1892" si="7572">IFERROR((I1893/I1892),"-")</f>
        <v>-</v>
      </c>
      <c r="K1892" s="528"/>
      <c r="L1892" s="546" t="s">
        <v>37</v>
      </c>
      <c r="M1892" s="711">
        <f t="shared" si="7536"/>
        <v>0</v>
      </c>
      <c r="N1892" s="896" t="str">
        <f t="shared" ref="N1892" si="7573">IFERROR((M1893/M1892),"-")</f>
        <v>-</v>
      </c>
      <c r="O1892" s="528"/>
      <c r="P1892" s="547">
        <v>0</v>
      </c>
      <c r="Q1892" s="547">
        <v>0</v>
      </c>
      <c r="R1892" s="547">
        <v>0</v>
      </c>
      <c r="S1892" s="547">
        <v>0</v>
      </c>
      <c r="T1892" s="547">
        <v>0</v>
      </c>
      <c r="U1892" s="547">
        <v>0</v>
      </c>
      <c r="V1892" s="548">
        <v>0</v>
      </c>
      <c r="W1892" s="528"/>
      <c r="X1892" s="711"/>
      <c r="Y1892" s="896" t="str">
        <f t="shared" ref="Y1892" si="7574">IFERROR((X1893/X1892),"-")</f>
        <v>-</v>
      </c>
      <c r="Z1892" s="528"/>
      <c r="AA1892" s="898">
        <v>0</v>
      </c>
      <c r="AB1892" s="898">
        <v>0</v>
      </c>
      <c r="AC1892" s="903">
        <v>0</v>
      </c>
      <c r="AD1892" s="900" t="str">
        <f t="shared" ref="AD1892" si="7575">IFERROR((AC1892/AB1892),"-")</f>
        <v>-</v>
      </c>
      <c r="AE1892" s="2"/>
      <c r="AF1892" s="884">
        <v>0</v>
      </c>
      <c r="AG1892" s="884"/>
      <c r="AH1892" s="884">
        <v>0</v>
      </c>
      <c r="AI1892" s="884"/>
      <c r="AJ1892" s="884"/>
      <c r="AK1892" s="884">
        <f t="shared" ref="AK1892" si="7576">AF1892+AG1892+AH1892+AI1892+AJ1892+AC1892</f>
        <v>0</v>
      </c>
      <c r="AL1892" s="884">
        <v>0</v>
      </c>
      <c r="AM1892" s="878" t="str">
        <f t="shared" ref="AM1892" si="7577">IFERROR((AK1892/AL1892),"-")</f>
        <v>-</v>
      </c>
      <c r="AN1892" s="2"/>
      <c r="AO1892" s="884">
        <v>15</v>
      </c>
      <c r="AP1892" s="884">
        <f t="shared" ref="AP1892" si="7578">AO1892-AK1892</f>
        <v>15</v>
      </c>
      <c r="AV1892" t="str">
        <f t="shared" si="7473"/>
        <v>Drenagem Superficial</v>
      </c>
      <c r="AW1892" s="4" t="str">
        <f t="shared" si="7464"/>
        <v xml:space="preserve">   Seg. 3.1-C03 - Drenagem Superficial - Canaleta de banqueta de corte (Manual)</v>
      </c>
    </row>
    <row r="1893" spans="1:49" ht="15.6" hidden="1" customHeight="1" outlineLevel="2">
      <c r="A1893" s="8" t="str">
        <f t="shared" ref="A1893" si="7579">A1892</f>
        <v>N</v>
      </c>
      <c r="B1893" s="150"/>
      <c r="C1893" s="150" t="s">
        <v>2210</v>
      </c>
      <c r="D1893" s="120" t="s">
        <v>542</v>
      </c>
      <c r="E1893" s="915"/>
      <c r="F1893" s="902"/>
      <c r="G1893" s="528"/>
      <c r="H1893" s="549" t="s">
        <v>38</v>
      </c>
      <c r="I1893" s="711">
        <v>0</v>
      </c>
      <c r="J1893" s="897"/>
      <c r="K1893" s="528"/>
      <c r="L1893" s="549" t="s">
        <v>38</v>
      </c>
      <c r="M1893" s="711">
        <f t="shared" si="7536"/>
        <v>0</v>
      </c>
      <c r="N1893" s="897"/>
      <c r="O1893" s="528"/>
      <c r="P1893" s="548">
        <v>0</v>
      </c>
      <c r="Q1893" s="548">
        <v>0</v>
      </c>
      <c r="R1893" s="548">
        <v>0</v>
      </c>
      <c r="S1893" s="548">
        <v>0</v>
      </c>
      <c r="T1893" s="548">
        <v>0</v>
      </c>
      <c r="U1893" s="548">
        <v>0</v>
      </c>
      <c r="V1893" s="548"/>
      <c r="W1893" s="528"/>
      <c r="X1893" s="711"/>
      <c r="Y1893" s="897"/>
      <c r="Z1893" s="528"/>
      <c r="AA1893" s="899"/>
      <c r="AB1893" s="899"/>
      <c r="AC1893" s="904"/>
      <c r="AD1893" s="901"/>
      <c r="AE1893" s="2"/>
      <c r="AF1893" s="885"/>
      <c r="AG1893" s="885"/>
      <c r="AH1893" s="885"/>
      <c r="AI1893" s="885"/>
      <c r="AJ1893" s="885"/>
      <c r="AK1893" s="885"/>
      <c r="AL1893" s="885"/>
      <c r="AM1893" s="879"/>
      <c r="AN1893" s="2"/>
      <c r="AO1893" s="886"/>
      <c r="AP1893" s="886"/>
      <c r="AV1893" t="str">
        <f t="shared" si="7473"/>
        <v>Drenagem Superficial</v>
      </c>
      <c r="AW1893" s="4" t="str">
        <f t="shared" si="7464"/>
        <v xml:space="preserve">   Seg. 3.1-C03 - Drenagem Superficial - Canaleta de banqueta de corte (Manual)</v>
      </c>
    </row>
    <row r="1894" spans="1:49" ht="15.6" hidden="1" customHeight="1" outlineLevel="2">
      <c r="A1894" s="209" t="str">
        <f t="shared" ref="A1894" si="7580">IF(SUM(P1894:V1895)&gt;0,"S","N")</f>
        <v>N</v>
      </c>
      <c r="B1894" s="150">
        <v>1066264</v>
      </c>
      <c r="C1894" s="150" t="s">
        <v>2212</v>
      </c>
      <c r="D1894" s="120" t="s">
        <v>545</v>
      </c>
      <c r="E1894" s="914" t="s">
        <v>2213</v>
      </c>
      <c r="F1894" s="902" t="s">
        <v>52</v>
      </c>
      <c r="G1894" s="528"/>
      <c r="H1894" s="546" t="s">
        <v>37</v>
      </c>
      <c r="I1894" s="711">
        <v>0</v>
      </c>
      <c r="J1894" s="896" t="str">
        <f t="shared" ref="J1894" si="7581">IFERROR((I1895/I1894),"-")</f>
        <v>-</v>
      </c>
      <c r="K1894" s="528"/>
      <c r="L1894" s="546" t="s">
        <v>37</v>
      </c>
      <c r="M1894" s="711">
        <f t="shared" si="7536"/>
        <v>0</v>
      </c>
      <c r="N1894" s="896" t="str">
        <f t="shared" ref="N1894" si="7582">IFERROR((M1895/M1894),"-")</f>
        <v>-</v>
      </c>
      <c r="O1894" s="528"/>
      <c r="P1894" s="547">
        <v>0</v>
      </c>
      <c r="Q1894" s="547">
        <v>0</v>
      </c>
      <c r="R1894" s="547">
        <v>0</v>
      </c>
      <c r="S1894" s="547">
        <v>0</v>
      </c>
      <c r="T1894" s="547">
        <v>0</v>
      </c>
      <c r="U1894" s="547">
        <v>0</v>
      </c>
      <c r="V1894" s="548">
        <v>0</v>
      </c>
      <c r="W1894" s="528"/>
      <c r="X1894" s="711"/>
      <c r="Y1894" s="896" t="str">
        <f t="shared" ref="Y1894" si="7583">IFERROR((X1895/X1894),"-")</f>
        <v>-</v>
      </c>
      <c r="Z1894" s="528"/>
      <c r="AA1894" s="898">
        <v>0</v>
      </c>
      <c r="AB1894" s="898">
        <v>0</v>
      </c>
      <c r="AC1894" s="903">
        <v>0</v>
      </c>
      <c r="AD1894" s="900" t="str">
        <f t="shared" ref="AD1894" si="7584">IFERROR((AC1894/AB1894),"-")</f>
        <v>-</v>
      </c>
      <c r="AE1894" s="2"/>
      <c r="AF1894" s="884">
        <v>0</v>
      </c>
      <c r="AG1894" s="884"/>
      <c r="AH1894" s="884">
        <v>0</v>
      </c>
      <c r="AI1894" s="884"/>
      <c r="AJ1894" s="884"/>
      <c r="AK1894" s="884">
        <f t="shared" ref="AK1894" si="7585">AF1894+AG1894+AH1894+AI1894+AJ1894+AC1894</f>
        <v>0</v>
      </c>
      <c r="AL1894" s="884">
        <v>0</v>
      </c>
      <c r="AM1894" s="878" t="str">
        <f t="shared" ref="AM1894" si="7586">IFERROR((AK1894/AL1894),"-")</f>
        <v>-</v>
      </c>
      <c r="AN1894" s="2"/>
      <c r="AO1894" s="884">
        <v>1311</v>
      </c>
      <c r="AP1894" s="884">
        <f t="shared" ref="AP1894" si="7587">AO1894-AK1894</f>
        <v>1311</v>
      </c>
      <c r="AV1894" t="str">
        <f t="shared" si="7473"/>
        <v>Drenagem Superficial</v>
      </c>
      <c r="AW1894" s="4" t="str">
        <f t="shared" si="7464"/>
        <v xml:space="preserve">   Seg. 3.1-C05 - Drenagem Superficial - Canaleta de banqueta de corte (Manual)</v>
      </c>
    </row>
    <row r="1895" spans="1:49" ht="15.6" hidden="1" customHeight="1" outlineLevel="2">
      <c r="A1895" s="209" t="str">
        <f t="shared" ref="A1895" si="7588">A1894</f>
        <v>N</v>
      </c>
      <c r="B1895" s="150"/>
      <c r="C1895" s="150" t="s">
        <v>2212</v>
      </c>
      <c r="D1895" s="120" t="s">
        <v>545</v>
      </c>
      <c r="E1895" s="915"/>
      <c r="F1895" s="902"/>
      <c r="G1895" s="528"/>
      <c r="H1895" s="549" t="s">
        <v>38</v>
      </c>
      <c r="I1895" s="711">
        <v>0</v>
      </c>
      <c r="J1895" s="897"/>
      <c r="K1895" s="528"/>
      <c r="L1895" s="549" t="s">
        <v>38</v>
      </c>
      <c r="M1895" s="711">
        <f t="shared" si="7536"/>
        <v>0</v>
      </c>
      <c r="N1895" s="897"/>
      <c r="O1895" s="528"/>
      <c r="P1895" s="548">
        <v>0</v>
      </c>
      <c r="Q1895" s="548">
        <v>0</v>
      </c>
      <c r="R1895" s="548">
        <v>0</v>
      </c>
      <c r="S1895" s="548">
        <v>0</v>
      </c>
      <c r="T1895" s="548">
        <v>0</v>
      </c>
      <c r="U1895" s="548">
        <v>0</v>
      </c>
      <c r="V1895" s="548"/>
      <c r="W1895" s="528"/>
      <c r="X1895" s="711"/>
      <c r="Y1895" s="897"/>
      <c r="Z1895" s="528"/>
      <c r="AA1895" s="899"/>
      <c r="AB1895" s="899"/>
      <c r="AC1895" s="904"/>
      <c r="AD1895" s="901"/>
      <c r="AE1895" s="2"/>
      <c r="AF1895" s="885"/>
      <c r="AG1895" s="885"/>
      <c r="AH1895" s="885"/>
      <c r="AI1895" s="885"/>
      <c r="AJ1895" s="885"/>
      <c r="AK1895" s="885"/>
      <c r="AL1895" s="885"/>
      <c r="AM1895" s="879"/>
      <c r="AN1895" s="2"/>
      <c r="AO1895" s="886"/>
      <c r="AP1895" s="886"/>
      <c r="AV1895" t="str">
        <f t="shared" si="7473"/>
        <v>Drenagem Superficial</v>
      </c>
      <c r="AW1895" s="4" t="str">
        <f t="shared" si="7464"/>
        <v xml:space="preserve">   Seg. 3.1-C05 - Drenagem Superficial - Canaleta de banqueta de corte (Manual)</v>
      </c>
    </row>
    <row r="1896" spans="1:49" ht="15.6" hidden="1" customHeight="1" outlineLevel="2">
      <c r="A1896" s="8" t="str">
        <f t="shared" ref="A1896" si="7589">IF(SUM(P1896:V1897)&gt;0,"S","N")</f>
        <v>N</v>
      </c>
      <c r="B1896" s="150">
        <v>1069866</v>
      </c>
      <c r="C1896" s="150" t="s">
        <v>2214</v>
      </c>
      <c r="D1896" s="120" t="s">
        <v>2053</v>
      </c>
      <c r="E1896" s="914" t="s">
        <v>2215</v>
      </c>
      <c r="F1896" s="902" t="s">
        <v>52</v>
      </c>
      <c r="G1896" s="528"/>
      <c r="H1896" s="546" t="s">
        <v>37</v>
      </c>
      <c r="I1896" s="711">
        <v>0</v>
      </c>
      <c r="J1896" s="896" t="str">
        <f t="shared" ref="J1896" si="7590">IFERROR((I1897/I1896),"-")</f>
        <v>-</v>
      </c>
      <c r="K1896" s="528"/>
      <c r="L1896" s="546" t="s">
        <v>37</v>
      </c>
      <c r="M1896" s="711">
        <f t="shared" si="7536"/>
        <v>0</v>
      </c>
      <c r="N1896" s="896" t="str">
        <f t="shared" ref="N1896" si="7591">IFERROR((M1897/M1896),"-")</f>
        <v>-</v>
      </c>
      <c r="O1896" s="528"/>
      <c r="P1896" s="547">
        <v>0</v>
      </c>
      <c r="Q1896" s="547">
        <v>0</v>
      </c>
      <c r="R1896" s="547">
        <v>0</v>
      </c>
      <c r="S1896" s="547">
        <v>0</v>
      </c>
      <c r="T1896" s="547">
        <v>0</v>
      </c>
      <c r="U1896" s="547">
        <v>0</v>
      </c>
      <c r="V1896" s="548">
        <v>0</v>
      </c>
      <c r="W1896" s="528"/>
      <c r="X1896" s="711"/>
      <c r="Y1896" s="896" t="str">
        <f t="shared" ref="Y1896" si="7592">IFERROR((X1897/X1896),"-")</f>
        <v>-</v>
      </c>
      <c r="Z1896" s="528"/>
      <c r="AA1896" s="898">
        <v>0</v>
      </c>
      <c r="AB1896" s="898">
        <v>0</v>
      </c>
      <c r="AC1896" s="903">
        <v>0</v>
      </c>
      <c r="AD1896" s="900" t="str">
        <f t="shared" ref="AD1896" si="7593">IFERROR((AC1896/AB1896),"-")</f>
        <v>-</v>
      </c>
      <c r="AE1896" s="2"/>
      <c r="AF1896" s="884">
        <v>0</v>
      </c>
      <c r="AG1896" s="884"/>
      <c r="AH1896" s="884">
        <v>0</v>
      </c>
      <c r="AI1896" s="884"/>
      <c r="AJ1896" s="884"/>
      <c r="AK1896" s="884">
        <f t="shared" ref="AK1896" si="7594">AF1896+AG1896+AH1896+AI1896+AJ1896+AC1896</f>
        <v>0</v>
      </c>
      <c r="AL1896" s="884">
        <v>0</v>
      </c>
      <c r="AM1896" s="878" t="str">
        <f t="shared" ref="AM1896" si="7595">IFERROR((AK1896/AL1896),"-")</f>
        <v>-</v>
      </c>
      <c r="AN1896" s="2"/>
      <c r="AO1896" s="884">
        <v>14</v>
      </c>
      <c r="AP1896" s="884">
        <f t="shared" ref="AP1896" si="7596">AO1896-AK1896</f>
        <v>14</v>
      </c>
      <c r="AV1896" t="str">
        <f t="shared" si="7473"/>
        <v>Drenagem Superficial</v>
      </c>
      <c r="AW1896" s="4" t="str">
        <f t="shared" si="7464"/>
        <v xml:space="preserve">   Seg. 3.1-Acesso A02 - Drenagem Superficial - Canaleta (Manual)</v>
      </c>
    </row>
    <row r="1897" spans="1:49" ht="30" hidden="1" customHeight="1" outlineLevel="2">
      <c r="A1897" s="8" t="str">
        <f t="shared" ref="A1897" si="7597">A1896</f>
        <v>N</v>
      </c>
      <c r="B1897" s="150"/>
      <c r="C1897" s="150" t="s">
        <v>2214</v>
      </c>
      <c r="D1897" s="120" t="s">
        <v>2053</v>
      </c>
      <c r="E1897" s="915"/>
      <c r="F1897" s="902"/>
      <c r="G1897" s="528"/>
      <c r="H1897" s="549" t="s">
        <v>38</v>
      </c>
      <c r="I1897" s="711">
        <v>0</v>
      </c>
      <c r="J1897" s="897"/>
      <c r="K1897" s="528"/>
      <c r="L1897" s="549" t="s">
        <v>38</v>
      </c>
      <c r="M1897" s="711">
        <f t="shared" si="7536"/>
        <v>0</v>
      </c>
      <c r="N1897" s="897"/>
      <c r="O1897" s="528"/>
      <c r="P1897" s="548">
        <v>0</v>
      </c>
      <c r="Q1897" s="548">
        <v>0</v>
      </c>
      <c r="R1897" s="548">
        <v>0</v>
      </c>
      <c r="S1897" s="548">
        <v>0</v>
      </c>
      <c r="T1897" s="548">
        <v>0</v>
      </c>
      <c r="U1897" s="548">
        <v>0</v>
      </c>
      <c r="V1897" s="548"/>
      <c r="W1897" s="528"/>
      <c r="X1897" s="711"/>
      <c r="Y1897" s="897"/>
      <c r="Z1897" s="528"/>
      <c r="AA1897" s="899"/>
      <c r="AB1897" s="899"/>
      <c r="AC1897" s="904"/>
      <c r="AD1897" s="901"/>
      <c r="AE1897" s="2"/>
      <c r="AF1897" s="885"/>
      <c r="AG1897" s="885"/>
      <c r="AH1897" s="885"/>
      <c r="AI1897" s="885"/>
      <c r="AJ1897" s="885"/>
      <c r="AK1897" s="885"/>
      <c r="AL1897" s="885"/>
      <c r="AM1897" s="879"/>
      <c r="AN1897" s="2"/>
      <c r="AO1897" s="886"/>
      <c r="AP1897" s="886"/>
      <c r="AV1897" t="str">
        <f t="shared" si="7473"/>
        <v>Drenagem Superficial</v>
      </c>
      <c r="AW1897" s="4" t="str">
        <f t="shared" si="7464"/>
        <v xml:space="preserve">   Seg. 3.1-Acesso A02 - Drenagem Superficial - Canaleta (Manual)</v>
      </c>
    </row>
    <row r="1898" spans="1:49" ht="30" hidden="1" customHeight="1" outlineLevel="2">
      <c r="A1898" s="8" t="str">
        <f t="shared" ref="A1898" si="7598">IF(SUM(P1898:V1899)&gt;0,"S","N")</f>
        <v>N</v>
      </c>
      <c r="B1898" s="150">
        <v>1069881</v>
      </c>
      <c r="C1898" s="150" t="s">
        <v>2216</v>
      </c>
      <c r="D1898" s="120" t="s">
        <v>2217</v>
      </c>
      <c r="E1898" s="914" t="s">
        <v>2140</v>
      </c>
      <c r="F1898" s="902" t="s">
        <v>52</v>
      </c>
      <c r="G1898" s="528"/>
      <c r="H1898" s="546" t="s">
        <v>37</v>
      </c>
      <c r="I1898" s="711">
        <v>0</v>
      </c>
      <c r="J1898" s="896" t="str">
        <f t="shared" ref="J1898" si="7599">IFERROR((I1899/I1898),"-")</f>
        <v>-</v>
      </c>
      <c r="K1898" s="528"/>
      <c r="L1898" s="546" t="s">
        <v>37</v>
      </c>
      <c r="M1898" s="711">
        <f t="shared" si="7536"/>
        <v>0</v>
      </c>
      <c r="N1898" s="896" t="str">
        <f t="shared" ref="N1898" si="7600">IFERROR((M1899/M1898),"-")</f>
        <v>-</v>
      </c>
      <c r="O1898" s="528"/>
      <c r="P1898" s="547">
        <v>0</v>
      </c>
      <c r="Q1898" s="547">
        <v>0</v>
      </c>
      <c r="R1898" s="547">
        <v>0</v>
      </c>
      <c r="S1898" s="547">
        <v>0</v>
      </c>
      <c r="T1898" s="547">
        <v>0</v>
      </c>
      <c r="U1898" s="547">
        <v>0</v>
      </c>
      <c r="V1898" s="548">
        <v>0</v>
      </c>
      <c r="W1898" s="528"/>
      <c r="X1898" s="711"/>
      <c r="Y1898" s="896" t="str">
        <f t="shared" ref="Y1898" si="7601">IFERROR((X1899/X1898),"-")</f>
        <v>-</v>
      </c>
      <c r="Z1898" s="528"/>
      <c r="AA1898" s="898">
        <v>0</v>
      </c>
      <c r="AB1898" s="898">
        <v>0</v>
      </c>
      <c r="AC1898" s="903">
        <v>0</v>
      </c>
      <c r="AD1898" s="900" t="str">
        <f t="shared" ref="AD1898" si="7602">IFERROR((AC1898/AB1898),"-")</f>
        <v>-</v>
      </c>
      <c r="AE1898" s="2"/>
      <c r="AF1898" s="884">
        <v>0</v>
      </c>
      <c r="AG1898" s="884"/>
      <c r="AH1898" s="884">
        <v>0</v>
      </c>
      <c r="AI1898" s="884"/>
      <c r="AJ1898" s="884"/>
      <c r="AK1898" s="884">
        <f t="shared" ref="AK1898" si="7603">AF1898+AG1898+AH1898+AI1898+AJ1898+AC1898</f>
        <v>0</v>
      </c>
      <c r="AL1898" s="884">
        <v>0</v>
      </c>
      <c r="AM1898" s="878" t="str">
        <f t="shared" ref="AM1898" si="7604">IFERROR((AK1898/AL1898),"-")</f>
        <v>-</v>
      </c>
      <c r="AN1898" s="2"/>
      <c r="AO1898" s="884">
        <v>0</v>
      </c>
      <c r="AP1898" s="884">
        <f t="shared" ref="AP1898" si="7605">AO1898-AK1898</f>
        <v>0</v>
      </c>
      <c r="AV1898" t="str">
        <f t="shared" si="7473"/>
        <v>Drenagem Superficial</v>
      </c>
      <c r="AW1898" s="4" t="str">
        <f t="shared" si="7464"/>
        <v xml:space="preserve">   Canaleta de banqueta de corte</v>
      </c>
    </row>
    <row r="1899" spans="1:49" ht="15.6" hidden="1" customHeight="1" outlineLevel="2">
      <c r="A1899" s="8" t="str">
        <f t="shared" ref="A1899" si="7606">A1898</f>
        <v>N</v>
      </c>
      <c r="B1899" s="150"/>
      <c r="C1899" s="150" t="s">
        <v>2216</v>
      </c>
      <c r="D1899" s="120" t="s">
        <v>2217</v>
      </c>
      <c r="E1899" s="915"/>
      <c r="F1899" s="902"/>
      <c r="G1899" s="528"/>
      <c r="H1899" s="549" t="s">
        <v>38</v>
      </c>
      <c r="I1899" s="711">
        <v>0</v>
      </c>
      <c r="J1899" s="897"/>
      <c r="K1899" s="528"/>
      <c r="L1899" s="549" t="s">
        <v>38</v>
      </c>
      <c r="M1899" s="711">
        <f t="shared" si="7536"/>
        <v>0</v>
      </c>
      <c r="N1899" s="897"/>
      <c r="O1899" s="528"/>
      <c r="P1899" s="548">
        <v>0</v>
      </c>
      <c r="Q1899" s="548">
        <v>0</v>
      </c>
      <c r="R1899" s="548">
        <v>0</v>
      </c>
      <c r="S1899" s="548">
        <v>0</v>
      </c>
      <c r="T1899" s="548">
        <v>0</v>
      </c>
      <c r="U1899" s="548">
        <v>0</v>
      </c>
      <c r="V1899" s="548"/>
      <c r="W1899" s="528"/>
      <c r="X1899" s="711"/>
      <c r="Y1899" s="897"/>
      <c r="Z1899" s="528"/>
      <c r="AA1899" s="899"/>
      <c r="AB1899" s="899"/>
      <c r="AC1899" s="904"/>
      <c r="AD1899" s="901"/>
      <c r="AE1899" s="2"/>
      <c r="AF1899" s="885"/>
      <c r="AG1899" s="885"/>
      <c r="AH1899" s="885"/>
      <c r="AI1899" s="885"/>
      <c r="AJ1899" s="885"/>
      <c r="AK1899" s="885"/>
      <c r="AL1899" s="885"/>
      <c r="AM1899" s="879"/>
      <c r="AN1899" s="2"/>
      <c r="AO1899" s="886"/>
      <c r="AP1899" s="886"/>
      <c r="AV1899" t="str">
        <f t="shared" si="7473"/>
        <v>Drenagem Superficial</v>
      </c>
      <c r="AW1899" s="4" t="str">
        <f t="shared" si="7464"/>
        <v xml:space="preserve">   Canaleta de banqueta de corte</v>
      </c>
    </row>
    <row r="1900" spans="1:49" ht="15.6" hidden="1" customHeight="1" outlineLevel="1" collapsed="1">
      <c r="A1900" s="209">
        <v>0</v>
      </c>
      <c r="B1900" s="150"/>
      <c r="C1900" s="150"/>
      <c r="D1900" s="117"/>
      <c r="E1900" s="535"/>
      <c r="F1900" s="536"/>
      <c r="G1900" s="537"/>
      <c r="H1900" s="714"/>
      <c r="I1900" s="538"/>
      <c r="J1900" s="714"/>
      <c r="K1900" s="537"/>
      <c r="L1900" s="714"/>
      <c r="M1900" s="538"/>
      <c r="N1900" s="714"/>
      <c r="O1900" s="537"/>
      <c r="P1900" s="539"/>
      <c r="Q1900" s="539"/>
      <c r="R1900" s="539"/>
      <c r="S1900" s="539"/>
      <c r="T1900" s="539"/>
      <c r="U1900" s="539"/>
      <c r="V1900" s="539"/>
      <c r="W1900" s="537"/>
      <c r="X1900" s="540"/>
      <c r="Y1900" s="537"/>
      <c r="Z1900" s="537"/>
      <c r="AA1900" s="250"/>
      <c r="AB1900" s="250"/>
      <c r="AC1900" s="249"/>
      <c r="AD1900" s="537"/>
      <c r="AE1900" s="3"/>
      <c r="AF1900" s="36"/>
      <c r="AG1900" s="36"/>
      <c r="AH1900" s="36"/>
      <c r="AI1900" s="36"/>
      <c r="AJ1900" s="36"/>
      <c r="AK1900" s="36"/>
      <c r="AL1900" s="36"/>
      <c r="AM1900" s="3"/>
      <c r="AN1900" s="3"/>
      <c r="AO1900" s="36"/>
      <c r="AP1900" s="36"/>
      <c r="AV1900" t="str">
        <f t="shared" si="7473"/>
        <v>Drenagem Superficial</v>
      </c>
      <c r="AW1900" s="4" t="str">
        <f t="shared" si="7464"/>
        <v xml:space="preserve">   Canaleta de banqueta de corte</v>
      </c>
    </row>
    <row r="1901" spans="1:49" ht="15.6" customHeight="1" collapsed="1">
      <c r="A1901" s="209">
        <v>0</v>
      </c>
      <c r="B1901" s="150"/>
      <c r="C1901" s="150"/>
      <c r="D1901" s="123"/>
      <c r="E1901" s="535"/>
      <c r="F1901" s="536"/>
      <c r="G1901" s="537"/>
      <c r="H1901" s="714"/>
      <c r="I1901" s="538"/>
      <c r="J1901" s="714"/>
      <c r="K1901" s="537"/>
      <c r="L1901" s="714"/>
      <c r="M1901" s="538"/>
      <c r="N1901" s="714"/>
      <c r="O1901" s="537"/>
      <c r="P1901" s="539"/>
      <c r="Q1901" s="539"/>
      <c r="R1901" s="539"/>
      <c r="S1901" s="539"/>
      <c r="T1901" s="539"/>
      <c r="U1901" s="539"/>
      <c r="V1901" s="539"/>
      <c r="W1901" s="537"/>
      <c r="X1901" s="540"/>
      <c r="Y1901" s="537"/>
      <c r="Z1901" s="537"/>
      <c r="AA1901" s="250"/>
      <c r="AB1901" s="250"/>
      <c r="AC1901" s="249"/>
      <c r="AD1901" s="537"/>
      <c r="AE1901" s="3"/>
      <c r="AF1901" s="36"/>
      <c r="AG1901" s="36"/>
      <c r="AH1901" s="36"/>
      <c r="AI1901" s="36"/>
      <c r="AJ1901" s="36"/>
      <c r="AK1901" s="36"/>
      <c r="AL1901" s="36"/>
      <c r="AM1901" s="3"/>
      <c r="AN1901" s="3"/>
      <c r="AO1901" s="36"/>
      <c r="AP1901" s="36"/>
      <c r="AV1901" t="str">
        <f t="shared" si="7473"/>
        <v>Drenagem Superficial</v>
      </c>
      <c r="AW1901" s="4" t="str">
        <f t="shared" si="7464"/>
        <v xml:space="preserve">   Canaleta de banqueta de corte</v>
      </c>
    </row>
    <row r="1902" spans="1:49" ht="15.6" customHeight="1">
      <c r="A1902" s="209">
        <v>0</v>
      </c>
      <c r="B1902" s="150"/>
      <c r="C1902" s="150">
        <v>0</v>
      </c>
      <c r="D1902" s="117"/>
      <c r="E1902" s="535"/>
      <c r="F1902" s="541"/>
      <c r="G1902" s="537"/>
      <c r="H1902" s="537"/>
      <c r="I1902" s="250"/>
      <c r="J1902" s="537"/>
      <c r="K1902" s="537"/>
      <c r="L1902" s="537"/>
      <c r="M1902" s="250"/>
      <c r="N1902" s="537"/>
      <c r="O1902" s="537"/>
      <c r="P1902" s="539"/>
      <c r="Q1902" s="539"/>
      <c r="R1902" s="539"/>
      <c r="S1902" s="539"/>
      <c r="T1902" s="539"/>
      <c r="U1902" s="539"/>
      <c r="V1902" s="539"/>
      <c r="W1902" s="537"/>
      <c r="X1902" s="540"/>
      <c r="Y1902" s="537"/>
      <c r="Z1902" s="537"/>
      <c r="AA1902" s="250"/>
      <c r="AB1902" s="250"/>
      <c r="AC1902" s="249"/>
      <c r="AD1902" s="537"/>
      <c r="AE1902" s="3"/>
      <c r="AF1902" s="36"/>
      <c r="AG1902" s="36"/>
      <c r="AH1902" s="36"/>
      <c r="AI1902" s="36"/>
      <c r="AJ1902" s="36"/>
      <c r="AK1902" s="36"/>
      <c r="AL1902" s="36"/>
      <c r="AM1902" s="3"/>
      <c r="AN1902" s="3"/>
      <c r="AO1902" s="36"/>
      <c r="AP1902" s="36"/>
      <c r="AV1902" t="str">
        <f t="shared" si="7473"/>
        <v>Drenagem Superficial</v>
      </c>
      <c r="AW1902" s="4" t="str">
        <f t="shared" si="7464"/>
        <v xml:space="preserve">   Canaleta de banqueta de corte</v>
      </c>
    </row>
    <row r="1903" spans="1:49" ht="30.95" customHeight="1">
      <c r="A1903" s="209">
        <v>0</v>
      </c>
      <c r="B1903" s="150"/>
      <c r="C1903" s="150"/>
      <c r="D1903" s="124"/>
      <c r="E1903" s="759" t="s">
        <v>2218</v>
      </c>
      <c r="F1903" s="902" t="s">
        <v>52</v>
      </c>
      <c r="G1903" s="528"/>
      <c r="H1903" s="529" t="s">
        <v>37</v>
      </c>
      <c r="I1903" s="707">
        <f>I1907+I1998+I2084+I2127+I2213</f>
        <v>4073</v>
      </c>
      <c r="J1903" s="900">
        <f t="shared" ref="J1903" si="7607">IFERROR((I1904/I1903),"-")</f>
        <v>0.61090105573287501</v>
      </c>
      <c r="K1903" s="528"/>
      <c r="L1903" s="529" t="s">
        <v>37</v>
      </c>
      <c r="M1903" s="707">
        <f>M1907+M1998+M2084+M2127+M2213</f>
        <v>609</v>
      </c>
      <c r="N1903" s="900">
        <f t="shared" ref="N1903" si="7608">IFERROR((M1904/M1903),"-")</f>
        <v>0.92282430213464695</v>
      </c>
      <c r="O1903" s="528"/>
      <c r="P1903" s="532">
        <f t="shared" ref="P1903:V1904" si="7609">P1907+P1998+P2084+P2127+P2213</f>
        <v>784</v>
      </c>
      <c r="Q1903" s="532">
        <f t="shared" si="7609"/>
        <v>609</v>
      </c>
      <c r="R1903" s="532">
        <f t="shared" si="7609"/>
        <v>620</v>
      </c>
      <c r="S1903" s="532">
        <f t="shared" si="7609"/>
        <v>620</v>
      </c>
      <c r="T1903" s="532">
        <f t="shared" si="7609"/>
        <v>605</v>
      </c>
      <c r="U1903" s="532">
        <f t="shared" si="7609"/>
        <v>605</v>
      </c>
      <c r="V1903" s="530">
        <f t="shared" si="7609"/>
        <v>0</v>
      </c>
      <c r="W1903" s="528"/>
      <c r="X1903" s="707">
        <f>SUMIFS(P1903:V1903,$P$8:$V$8,"&gt;="&amp;$P$8,$P$8:$V$8,"&lt;="&amp;$N$8)</f>
        <v>1393</v>
      </c>
      <c r="Y1903" s="900">
        <f t="shared" ref="Y1903" si="7610">IFERROR((X1904/X1903),"-")</f>
        <v>0.82627422828427854</v>
      </c>
      <c r="Z1903" s="528"/>
      <c r="AA1903" s="755">
        <f>AA1907+AA1998+AA2084+AA2127+AA2213</f>
        <v>14506.7</v>
      </c>
      <c r="AB1903" s="755">
        <f>AB1907+AB1998+AB2084+AB2127+AB2213</f>
        <v>6633.44</v>
      </c>
      <c r="AC1903" s="906">
        <f>AC1907+AC1998+AC2084+AC2127+AC2213</f>
        <v>5140.2</v>
      </c>
      <c r="AD1903" s="900">
        <f t="shared" ref="AD1903" si="7611">IFERROR((AC1903/AB1903),"-")</f>
        <v>0.77489206203719341</v>
      </c>
      <c r="AE1903" s="40"/>
      <c r="AF1903" s="924">
        <f t="shared" ref="AF1903:AL1903" si="7612">AF1907+AF1998+AF2084+AF2127+AF2213</f>
        <v>14685.060000000001</v>
      </c>
      <c r="AG1903" s="924">
        <f t="shared" si="7612"/>
        <v>2153.5829999999996</v>
      </c>
      <c r="AH1903" s="924">
        <f t="shared" si="7612"/>
        <v>4238.5</v>
      </c>
      <c r="AI1903" s="924">
        <f t="shared" si="7612"/>
        <v>3442.6260000000002</v>
      </c>
      <c r="AJ1903" s="924">
        <f t="shared" si="7612"/>
        <v>6136.598</v>
      </c>
      <c r="AK1903" s="924">
        <f t="shared" si="7612"/>
        <v>35796.567000000003</v>
      </c>
      <c r="AL1903" s="924">
        <f t="shared" si="7612"/>
        <v>42061.750000000007</v>
      </c>
      <c r="AM1903" s="762">
        <f>IFERROR((AK1903/AL1903),"-")</f>
        <v>0.8510479711376725</v>
      </c>
      <c r="AN1903" s="40"/>
      <c r="AO1903" s="909">
        <f>AO1907+AO1998+AO2084+AO2127+AO2213</f>
        <v>90501.48000000001</v>
      </c>
      <c r="AP1903" s="909">
        <f>AP1907+AP1998+AP2084+AP2127+AP2213</f>
        <v>54704.913</v>
      </c>
      <c r="AV1903" t="str">
        <f t="shared" si="7473"/>
        <v>Drenagem Superficial</v>
      </c>
      <c r="AW1903" s="4" t="str">
        <f t="shared" si="7464"/>
        <v>Drenagem Superficial - Valeta</v>
      </c>
    </row>
    <row r="1904" spans="1:49" ht="30.95" customHeight="1">
      <c r="A1904" s="209">
        <v>0</v>
      </c>
      <c r="B1904" s="150"/>
      <c r="C1904" s="150">
        <v>0</v>
      </c>
      <c r="D1904" s="124"/>
      <c r="E1904" s="760"/>
      <c r="F1904" s="902"/>
      <c r="G1904" s="528"/>
      <c r="H1904" s="531" t="s">
        <v>38</v>
      </c>
      <c r="I1904" s="707">
        <f>I1908+I1999+I2085+I2128+I2214</f>
        <v>2488.1999999999998</v>
      </c>
      <c r="J1904" s="901"/>
      <c r="K1904" s="528"/>
      <c r="L1904" s="531" t="s">
        <v>38</v>
      </c>
      <c r="M1904" s="707">
        <f>M1908+M1999+M2085+M2128+M2214</f>
        <v>562</v>
      </c>
      <c r="N1904" s="901"/>
      <c r="O1904" s="528"/>
      <c r="P1904" s="532">
        <f t="shared" si="7609"/>
        <v>589</v>
      </c>
      <c r="Q1904" s="532">
        <f t="shared" si="7609"/>
        <v>562</v>
      </c>
      <c r="R1904" s="532">
        <f t="shared" si="7609"/>
        <v>0</v>
      </c>
      <c r="S1904" s="532">
        <f t="shared" si="7609"/>
        <v>0</v>
      </c>
      <c r="T1904" s="532">
        <f t="shared" si="7609"/>
        <v>0</v>
      </c>
      <c r="U1904" s="532">
        <f t="shared" si="7609"/>
        <v>0</v>
      </c>
      <c r="V1904" s="532">
        <f t="shared" si="7609"/>
        <v>0</v>
      </c>
      <c r="W1904" s="528"/>
      <c r="X1904" s="707">
        <f t="shared" ref="X1904" si="7613">SUMIFS(P1904:V1904,$P$8:$V$8,"&gt;="&amp;$P$8,$P$8:$V$8,"&lt;="&amp;$N$8)</f>
        <v>1151</v>
      </c>
      <c r="Y1904" s="901"/>
      <c r="Z1904" s="528"/>
      <c r="AA1904" s="756"/>
      <c r="AB1904" s="756"/>
      <c r="AC1904" s="907"/>
      <c r="AD1904" s="901"/>
      <c r="AE1904" s="40"/>
      <c r="AF1904" s="925"/>
      <c r="AG1904" s="925"/>
      <c r="AH1904" s="925"/>
      <c r="AI1904" s="925"/>
      <c r="AJ1904" s="925"/>
      <c r="AK1904" s="925"/>
      <c r="AL1904" s="925"/>
      <c r="AM1904" s="763"/>
      <c r="AN1904" s="40"/>
      <c r="AO1904" s="910"/>
      <c r="AP1904" s="910"/>
      <c r="AV1904" t="str">
        <f t="shared" si="7473"/>
        <v>Drenagem Superficial</v>
      </c>
      <c r="AW1904" s="4" t="str">
        <f t="shared" si="7464"/>
        <v>Drenagem Superficial - Valeta</v>
      </c>
    </row>
    <row r="1905" spans="1:49" ht="15.6" customHeight="1">
      <c r="A1905" s="209">
        <v>0</v>
      </c>
      <c r="B1905" s="150"/>
      <c r="C1905" s="150"/>
      <c r="D1905" s="124"/>
      <c r="E1905" s="584"/>
      <c r="F1905" s="585"/>
      <c r="G1905" s="528"/>
      <c r="H1905" s="586"/>
      <c r="I1905" s="587"/>
      <c r="J1905" s="588"/>
      <c r="K1905" s="528"/>
      <c r="L1905" s="586"/>
      <c r="M1905" s="587"/>
      <c r="N1905" s="588"/>
      <c r="O1905" s="528"/>
      <c r="P1905" s="378"/>
      <c r="Q1905" s="378"/>
      <c r="R1905" s="378"/>
      <c r="S1905" s="378"/>
      <c r="T1905" s="378"/>
      <c r="U1905" s="378"/>
      <c r="V1905" s="378"/>
      <c r="W1905" s="528"/>
      <c r="X1905" s="587"/>
      <c r="Y1905" s="588"/>
      <c r="Z1905" s="528"/>
      <c r="AA1905" s="587"/>
      <c r="AB1905" s="587"/>
      <c r="AC1905" s="589"/>
      <c r="AD1905" s="588"/>
      <c r="AE1905" s="40"/>
      <c r="AF1905" s="235"/>
      <c r="AG1905" s="235"/>
      <c r="AH1905" s="235"/>
      <c r="AI1905" s="235"/>
      <c r="AJ1905" s="235"/>
      <c r="AK1905" s="235"/>
      <c r="AL1905" s="235"/>
      <c r="AM1905" s="236"/>
      <c r="AN1905" s="40"/>
      <c r="AO1905" s="237"/>
      <c r="AP1905" s="237"/>
      <c r="AV1905" t="str">
        <f t="shared" si="7473"/>
        <v>Drenagem Superficial</v>
      </c>
      <c r="AW1905" s="4" t="str">
        <f t="shared" si="7464"/>
        <v>Drenagem Superficial - Valeta</v>
      </c>
    </row>
    <row r="1906" spans="1:49" ht="15.6" hidden="1" customHeight="1" outlineLevel="1">
      <c r="A1906" s="209">
        <v>0</v>
      </c>
      <c r="B1906" s="150"/>
      <c r="C1906" s="150"/>
      <c r="D1906" s="117"/>
      <c r="E1906" s="535"/>
      <c r="F1906" s="541"/>
      <c r="G1906" s="537"/>
      <c r="H1906" s="537"/>
      <c r="I1906" s="250"/>
      <c r="J1906" s="537"/>
      <c r="K1906" s="537"/>
      <c r="L1906" s="537"/>
      <c r="M1906" s="250"/>
      <c r="N1906" s="537"/>
      <c r="O1906" s="537"/>
      <c r="P1906" s="539"/>
      <c r="Q1906" s="539"/>
      <c r="R1906" s="539"/>
      <c r="S1906" s="539"/>
      <c r="T1906" s="539"/>
      <c r="U1906" s="539"/>
      <c r="V1906" s="539"/>
      <c r="W1906" s="537"/>
      <c r="X1906" s="540"/>
      <c r="Y1906" s="537"/>
      <c r="Z1906" s="537"/>
      <c r="AA1906" s="250"/>
      <c r="AB1906" s="250"/>
      <c r="AC1906" s="249"/>
      <c r="AD1906" s="537"/>
      <c r="AE1906" s="3"/>
      <c r="AF1906" s="36"/>
      <c r="AG1906" s="36"/>
      <c r="AH1906" s="36"/>
      <c r="AI1906" s="36"/>
      <c r="AJ1906" s="36"/>
      <c r="AK1906" s="36"/>
      <c r="AL1906" s="36"/>
      <c r="AM1906" s="3"/>
      <c r="AN1906" s="3"/>
      <c r="AO1906" s="36"/>
      <c r="AP1906" s="36"/>
      <c r="AV1906" t="str">
        <f t="shared" si="7473"/>
        <v>Drenagem Superficial</v>
      </c>
      <c r="AW1906" s="4" t="str">
        <f t="shared" si="7464"/>
        <v>Drenagem Superficial - Valeta</v>
      </c>
    </row>
    <row r="1907" spans="1:49" ht="15.6" hidden="1" customHeight="1" outlineLevel="1">
      <c r="A1907" s="209">
        <v>0</v>
      </c>
      <c r="B1907" s="150"/>
      <c r="C1907" s="150">
        <v>0</v>
      </c>
      <c r="D1907" s="122"/>
      <c r="E1907" s="913" t="s">
        <v>39</v>
      </c>
      <c r="F1907" s="859" t="s">
        <v>52</v>
      </c>
      <c r="G1907" s="528"/>
      <c r="H1907" s="542" t="s">
        <v>37</v>
      </c>
      <c r="I1907" s="543">
        <f>SUMIF($L1909:$L1996,$L1907,I1909:I1996)</f>
        <v>444</v>
      </c>
      <c r="J1907" s="860">
        <f>IFERROR((I1908/I1907),"-")</f>
        <v>0.62612612612612617</v>
      </c>
      <c r="K1907" s="528"/>
      <c r="L1907" s="542" t="s">
        <v>37</v>
      </c>
      <c r="M1907" s="543">
        <f>SUMIF($L1909:$L1996,$L1907,M1909:M1996)</f>
        <v>0</v>
      </c>
      <c r="N1907" s="860" t="str">
        <f>IFERROR((M1908/M1907),"-")</f>
        <v>-</v>
      </c>
      <c r="O1907" s="528"/>
      <c r="P1907" s="543">
        <f t="shared" ref="P1907:V1907" si="7614">SUMIF($L1909:$L1996,$L1907,P1909:P1996)</f>
        <v>105</v>
      </c>
      <c r="Q1907" s="543">
        <f t="shared" si="7614"/>
        <v>0</v>
      </c>
      <c r="R1907" s="543">
        <f t="shared" si="7614"/>
        <v>0</v>
      </c>
      <c r="S1907" s="543">
        <f t="shared" si="7614"/>
        <v>0</v>
      </c>
      <c r="T1907" s="543">
        <f t="shared" si="7614"/>
        <v>105</v>
      </c>
      <c r="U1907" s="543">
        <f t="shared" si="7614"/>
        <v>105</v>
      </c>
      <c r="V1907" s="543">
        <f t="shared" si="7614"/>
        <v>0</v>
      </c>
      <c r="W1907" s="528"/>
      <c r="X1907" s="543">
        <f t="shared" ref="X1907:X1910" si="7615">SUMIFS(P1907:V1907,$P$8:$V$8,"&gt;="&amp;$P$8,$P$8:$V$8,"&lt;="&amp;$N$8)</f>
        <v>105</v>
      </c>
      <c r="Y1907" s="860">
        <f>IFERROR((X1908/X1907),"-")</f>
        <v>0.66666666666666663</v>
      </c>
      <c r="Z1907" s="528"/>
      <c r="AA1907" s="814">
        <f>SUM(AA1909:AA1996)</f>
        <v>3385.2599999999998</v>
      </c>
      <c r="AB1907" s="814">
        <f>SUM(AB1909:AB1996)</f>
        <v>2243.52</v>
      </c>
      <c r="AC1907" s="814">
        <f>SUM(AC1909:AC1996)</f>
        <v>553</v>
      </c>
      <c r="AD1907" s="911">
        <f t="shared" ref="AD1907" si="7616">IFERROR((AC1907/AB1907),"-")</f>
        <v>0.24648766224504351</v>
      </c>
      <c r="AE1907" s="2"/>
      <c r="AF1907" s="888">
        <f t="shared" ref="AF1907:AL1907" si="7617">SUM(AF1909:AF1996)</f>
        <v>11630.485000000002</v>
      </c>
      <c r="AG1907" s="888">
        <f t="shared" si="7617"/>
        <v>1347.877</v>
      </c>
      <c r="AH1907" s="888">
        <f t="shared" si="7617"/>
        <v>1024.5</v>
      </c>
      <c r="AI1907" s="888">
        <f t="shared" si="7617"/>
        <v>1494.701</v>
      </c>
      <c r="AJ1907" s="888">
        <f t="shared" ref="AJ1907" si="7618">SUM(AJ1909:AJ1996)</f>
        <v>2477.8140000000003</v>
      </c>
      <c r="AK1907" s="888">
        <f t="shared" si="7617"/>
        <v>18528.377</v>
      </c>
      <c r="AL1907" s="888">
        <f t="shared" si="7617"/>
        <v>16015.010000000002</v>
      </c>
      <c r="AM1907" s="743">
        <f>IFERROR((AK1907/AL1907),"-")</f>
        <v>1.1569382098418919</v>
      </c>
      <c r="AN1907" s="2"/>
      <c r="AO1907" s="888">
        <f>SUM(AO1909:AO1996)</f>
        <v>18226.87</v>
      </c>
      <c r="AP1907" s="888">
        <f>SUM(AP1909:AP1996)</f>
        <v>-301.50699999999983</v>
      </c>
      <c r="AV1907" t="str">
        <f t="shared" si="7473"/>
        <v>Drenagem Superficial</v>
      </c>
      <c r="AW1907" s="4" t="str">
        <f t="shared" si="7464"/>
        <v>Pacote 04 - Segmento 2.2B- Km 104+500 a Km 116+400</v>
      </c>
    </row>
    <row r="1908" spans="1:49" ht="15.6" hidden="1" customHeight="1" outlineLevel="1">
      <c r="A1908" s="209">
        <v>0</v>
      </c>
      <c r="B1908" s="150"/>
      <c r="C1908" s="150"/>
      <c r="D1908" s="123"/>
      <c r="E1908" s="913"/>
      <c r="F1908" s="859"/>
      <c r="G1908" s="528"/>
      <c r="H1908" s="544" t="s">
        <v>38</v>
      </c>
      <c r="I1908" s="543">
        <f>SUMIF($L1909:$L1996,$L1908,I1909:I1996)</f>
        <v>278</v>
      </c>
      <c r="J1908" s="861"/>
      <c r="K1908" s="528"/>
      <c r="L1908" s="544" t="s">
        <v>38</v>
      </c>
      <c r="M1908" s="543">
        <f>SUMIF($L1909:$L1996,$L1908,M1909:M1996)</f>
        <v>50</v>
      </c>
      <c r="N1908" s="861"/>
      <c r="O1908" s="528"/>
      <c r="P1908" s="543">
        <f t="shared" ref="P1908:V1908" si="7619">SUMIF($L1909:$L1996,$L1908,P1909:P1996)</f>
        <v>20</v>
      </c>
      <c r="Q1908" s="543">
        <f t="shared" si="7619"/>
        <v>50</v>
      </c>
      <c r="R1908" s="543">
        <f t="shared" si="7619"/>
        <v>0</v>
      </c>
      <c r="S1908" s="543">
        <f t="shared" si="7619"/>
        <v>0</v>
      </c>
      <c r="T1908" s="543">
        <f t="shared" si="7619"/>
        <v>0</v>
      </c>
      <c r="U1908" s="543">
        <f t="shared" si="7619"/>
        <v>0</v>
      </c>
      <c r="V1908" s="543">
        <f t="shared" si="7619"/>
        <v>0</v>
      </c>
      <c r="W1908" s="528"/>
      <c r="X1908" s="543">
        <f t="shared" si="7615"/>
        <v>70</v>
      </c>
      <c r="Y1908" s="861"/>
      <c r="Z1908" s="528"/>
      <c r="AA1908" s="815"/>
      <c r="AB1908" s="815"/>
      <c r="AC1908" s="815"/>
      <c r="AD1908" s="912"/>
      <c r="AE1908" s="2"/>
      <c r="AF1908" s="889"/>
      <c r="AG1908" s="889"/>
      <c r="AH1908" s="889"/>
      <c r="AI1908" s="889"/>
      <c r="AJ1908" s="889"/>
      <c r="AK1908" s="889"/>
      <c r="AL1908" s="889"/>
      <c r="AM1908" s="744"/>
      <c r="AN1908" s="2"/>
      <c r="AO1908" s="889"/>
      <c r="AP1908" s="889"/>
      <c r="AV1908" t="str">
        <f t="shared" si="7473"/>
        <v>Drenagem Superficial</v>
      </c>
      <c r="AW1908" s="4" t="str">
        <f t="shared" si="7464"/>
        <v>Pacote 04 - Segmento 2.2B- Km 104+500 a Km 116+400</v>
      </c>
    </row>
    <row r="1909" spans="1:49" ht="15.6" hidden="1" customHeight="1" outlineLevel="2">
      <c r="A1909" s="8" t="str">
        <f t="shared" ref="A1909" si="7620">IF(SUM(P1909:V1910)&gt;0,"S","N")</f>
        <v>N</v>
      </c>
      <c r="B1909" s="150">
        <v>1061272</v>
      </c>
      <c r="C1909" s="150" t="s">
        <v>2219</v>
      </c>
      <c r="D1909" s="120" t="s">
        <v>279</v>
      </c>
      <c r="E1909" s="892" t="s">
        <v>2220</v>
      </c>
      <c r="F1909" s="902" t="s">
        <v>52</v>
      </c>
      <c r="G1909" s="528"/>
      <c r="H1909" s="546" t="s">
        <v>37</v>
      </c>
      <c r="I1909" s="711">
        <v>0</v>
      </c>
      <c r="J1909" s="896" t="str">
        <f t="shared" ref="J1909" si="7621">IFERROR((I1910/I1909),"-")</f>
        <v>-</v>
      </c>
      <c r="K1909" s="528"/>
      <c r="L1909" s="546" t="s">
        <v>37</v>
      </c>
      <c r="M1909" s="711">
        <f t="shared" ref="M1909:M1910" si="7622">_xlfn.XLOOKUP($N$8,$P$8:$V$8,$P1909:$V1909)</f>
        <v>0</v>
      </c>
      <c r="N1909" s="896" t="str">
        <f t="shared" ref="N1909" si="7623">IFERROR((M1910/M1909),"-")</f>
        <v>-</v>
      </c>
      <c r="O1909" s="528"/>
      <c r="P1909" s="547">
        <v>0</v>
      </c>
      <c r="Q1909" s="547">
        <v>0</v>
      </c>
      <c r="R1909" s="547">
        <v>0</v>
      </c>
      <c r="S1909" s="547">
        <v>0</v>
      </c>
      <c r="T1909" s="547">
        <v>0</v>
      </c>
      <c r="U1909" s="547">
        <v>0</v>
      </c>
      <c r="V1909" s="548">
        <v>0</v>
      </c>
      <c r="W1909" s="528"/>
      <c r="X1909" s="711">
        <f t="shared" si="7615"/>
        <v>0</v>
      </c>
      <c r="Y1909" s="896" t="str">
        <f t="shared" ref="Y1909" si="7624">IFERROR((X1910/X1909),"-")</f>
        <v>-</v>
      </c>
      <c r="Z1909" s="528"/>
      <c r="AA1909" s="898">
        <v>318.13</v>
      </c>
      <c r="AB1909" s="898">
        <v>0</v>
      </c>
      <c r="AC1909" s="903">
        <v>0</v>
      </c>
      <c r="AD1909" s="900" t="str">
        <f t="shared" ref="AD1909" si="7625">IFERROR((AC1909/AB1909),"-")</f>
        <v>-</v>
      </c>
      <c r="AE1909" s="2"/>
      <c r="AF1909" s="884"/>
      <c r="AG1909" s="884"/>
      <c r="AH1909" s="884">
        <v>0</v>
      </c>
      <c r="AI1909" s="884"/>
      <c r="AJ1909" s="884"/>
      <c r="AK1909" s="884">
        <f t="shared" ref="AK1909" si="7626">AF1909+AG1909+AH1909+AI1909+AJ1909+AC1909</f>
        <v>0</v>
      </c>
      <c r="AL1909" s="884">
        <v>139.99999999999994</v>
      </c>
      <c r="AM1909" s="878">
        <f t="shared" ref="AM1909" si="7627">IFERROR((AK1909/AL1909),"-")</f>
        <v>0</v>
      </c>
      <c r="AN1909" s="2"/>
      <c r="AO1909" s="884">
        <v>458.12</v>
      </c>
      <c r="AP1909" s="884">
        <f t="shared" ref="AP1909" si="7628">AO1909-AK1909</f>
        <v>458.12</v>
      </c>
      <c r="AV1909" t="str">
        <f t="shared" si="7473"/>
        <v>Drenagem Superficial</v>
      </c>
      <c r="AW1909" s="4" t="str">
        <f t="shared" si="7464"/>
        <v xml:space="preserve">   Seg. 2.2-A01 - Drenagem Superficial - Valetas de proteção de aterro (Km 104+500 a 105+040)</v>
      </c>
    </row>
    <row r="1910" spans="1:49" ht="15.6" hidden="1" customHeight="1" outlineLevel="2">
      <c r="A1910" s="8" t="str">
        <f t="shared" ref="A1910" si="7629">A1909</f>
        <v>N</v>
      </c>
      <c r="B1910" s="150"/>
      <c r="C1910" s="150" t="s">
        <v>2219</v>
      </c>
      <c r="D1910" s="120" t="s">
        <v>279</v>
      </c>
      <c r="E1910" s="893"/>
      <c r="F1910" s="902"/>
      <c r="G1910" s="528"/>
      <c r="H1910" s="549" t="s">
        <v>38</v>
      </c>
      <c r="I1910" s="711">
        <v>0</v>
      </c>
      <c r="J1910" s="897"/>
      <c r="K1910" s="528"/>
      <c r="L1910" s="549" t="s">
        <v>38</v>
      </c>
      <c r="M1910" s="711">
        <f t="shared" si="7622"/>
        <v>0</v>
      </c>
      <c r="N1910" s="897"/>
      <c r="O1910" s="528"/>
      <c r="P1910" s="548">
        <v>0</v>
      </c>
      <c r="Q1910" s="548">
        <v>0</v>
      </c>
      <c r="R1910" s="548">
        <v>0</v>
      </c>
      <c r="S1910" s="548">
        <v>0</v>
      </c>
      <c r="T1910" s="548">
        <v>0</v>
      </c>
      <c r="U1910" s="548">
        <v>0</v>
      </c>
      <c r="V1910" s="548"/>
      <c r="W1910" s="528"/>
      <c r="X1910" s="711">
        <f t="shared" si="7615"/>
        <v>0</v>
      </c>
      <c r="Y1910" s="897"/>
      <c r="Z1910" s="528"/>
      <c r="AA1910" s="899"/>
      <c r="AB1910" s="899"/>
      <c r="AC1910" s="904"/>
      <c r="AD1910" s="901"/>
      <c r="AE1910" s="2"/>
      <c r="AF1910" s="885"/>
      <c r="AG1910" s="885"/>
      <c r="AH1910" s="885"/>
      <c r="AI1910" s="885"/>
      <c r="AJ1910" s="885"/>
      <c r="AK1910" s="885"/>
      <c r="AL1910" s="885"/>
      <c r="AM1910" s="879"/>
      <c r="AN1910" s="2"/>
      <c r="AO1910" s="886"/>
      <c r="AP1910" s="886"/>
      <c r="AV1910" t="str">
        <f t="shared" si="7473"/>
        <v>Drenagem Superficial</v>
      </c>
      <c r="AW1910" s="4" t="str">
        <f t="shared" si="7464"/>
        <v xml:space="preserve">   Seg. 2.2-A01 - Drenagem Superficial - Valetas de proteção de aterro (Km 104+500 a 105+040)</v>
      </c>
    </row>
    <row r="1911" spans="1:49" ht="20.45" hidden="1" customHeight="1" outlineLevel="2">
      <c r="A1911" s="8" t="str">
        <f>IF(SUM(P1911:V1912)&gt;0,"S","N")</f>
        <v>N</v>
      </c>
      <c r="B1911" s="150">
        <v>1061618</v>
      </c>
      <c r="C1911" s="150" t="s">
        <v>2221</v>
      </c>
      <c r="D1911" s="120" t="s">
        <v>1225</v>
      </c>
      <c r="E1911" s="892" t="s">
        <v>2222</v>
      </c>
      <c r="F1911" s="902" t="s">
        <v>52</v>
      </c>
      <c r="G1911" s="528"/>
      <c r="H1911" s="546" t="s">
        <v>37</v>
      </c>
      <c r="I1911" s="711">
        <v>0</v>
      </c>
      <c r="J1911" s="896" t="str">
        <f t="shared" ref="J1911" si="7630">IFERROR((I1912/I1911),"-")</f>
        <v>-</v>
      </c>
      <c r="K1911" s="528"/>
      <c r="L1911" s="546" t="s">
        <v>37</v>
      </c>
      <c r="M1911" s="711">
        <f>_xlfn.XLOOKUP($N$8,$P$8:$V$8,$P1911:$V1911)</f>
        <v>0</v>
      </c>
      <c r="N1911" s="896" t="str">
        <f t="shared" ref="N1911" si="7631">IFERROR((M1912/M1911),"-")</f>
        <v>-</v>
      </c>
      <c r="O1911" s="528"/>
      <c r="P1911" s="547">
        <v>0</v>
      </c>
      <c r="Q1911" s="547">
        <v>0</v>
      </c>
      <c r="R1911" s="547">
        <v>0</v>
      </c>
      <c r="S1911" s="547">
        <v>0</v>
      </c>
      <c r="T1911" s="547">
        <v>0</v>
      </c>
      <c r="U1911" s="547">
        <v>0</v>
      </c>
      <c r="V1911" s="548">
        <v>0</v>
      </c>
      <c r="W1911" s="528"/>
      <c r="X1911" s="711">
        <f>SUMIFS(P1911:V1911,$P$8:$V$8,"&gt;="&amp;$P$8,$P$8:$V$8,"&lt;="&amp;$N$8)</f>
        <v>0</v>
      </c>
      <c r="Y1911" s="896" t="str">
        <f>IFERROR((X1912/X1911),"-")</f>
        <v>-</v>
      </c>
      <c r="Z1911" s="528"/>
      <c r="AA1911" s="898">
        <v>26</v>
      </c>
      <c r="AB1911" s="898">
        <v>25.979999999999997</v>
      </c>
      <c r="AC1911" s="903">
        <v>69</v>
      </c>
      <c r="AD1911" s="900">
        <f>IFERROR((AC1911/AB1911),"-")</f>
        <v>2.6558891454965363</v>
      </c>
      <c r="AE1911" s="2"/>
      <c r="AF1911" s="884">
        <f>200-56</f>
        <v>144</v>
      </c>
      <c r="AG1911" s="884"/>
      <c r="AH1911" s="884">
        <v>0</v>
      </c>
      <c r="AI1911" s="884"/>
      <c r="AJ1911" s="884">
        <v>71.649000000000001</v>
      </c>
      <c r="AK1911" s="884">
        <f t="shared" ref="AK1911" si="7632">AF1911+AG1911+AH1911+AI1911+AJ1911+AC1911</f>
        <v>284.649</v>
      </c>
      <c r="AL1911" s="884">
        <v>312.69000000000005</v>
      </c>
      <c r="AM1911" s="878">
        <f t="shared" ref="AM1911" si="7633">IFERROR((AK1911/AL1911),"-")</f>
        <v>0.91032332341936084</v>
      </c>
      <c r="AN1911" s="2"/>
      <c r="AO1911" s="884">
        <v>200</v>
      </c>
      <c r="AP1911" s="884">
        <f t="shared" ref="AP1911" si="7634">AO1911-AK1911</f>
        <v>-84.649000000000001</v>
      </c>
      <c r="AV1911" t="str">
        <f t="shared" si="7473"/>
        <v>Drenagem Superficial</v>
      </c>
      <c r="AW1911" s="4" t="str">
        <f t="shared" si="7464"/>
        <v xml:space="preserve">   Seg. 2.2-A02 - Drenagem Superficial - Valetas de proteção de aterro (Km 105+120 a 105+270)</v>
      </c>
    </row>
    <row r="1912" spans="1:49" ht="15.6" hidden="1" customHeight="1" outlineLevel="2">
      <c r="A1912" s="8" t="str">
        <f>A1911</f>
        <v>N</v>
      </c>
      <c r="B1912" s="150"/>
      <c r="C1912" s="150" t="s">
        <v>2221</v>
      </c>
      <c r="D1912" s="120" t="s">
        <v>1225</v>
      </c>
      <c r="E1912" s="893"/>
      <c r="F1912" s="902"/>
      <c r="G1912" s="528"/>
      <c r="H1912" s="549" t="s">
        <v>38</v>
      </c>
      <c r="I1912" s="711">
        <v>54</v>
      </c>
      <c r="J1912" s="897"/>
      <c r="K1912" s="528"/>
      <c r="L1912" s="549" t="s">
        <v>38</v>
      </c>
      <c r="M1912" s="711">
        <f>_xlfn.XLOOKUP($N$8,$P$8:$V$8,$P1912:$V1912)</f>
        <v>0</v>
      </c>
      <c r="N1912" s="897"/>
      <c r="O1912" s="528"/>
      <c r="P1912" s="548">
        <v>0</v>
      </c>
      <c r="Q1912" s="548">
        <v>0</v>
      </c>
      <c r="R1912" s="548">
        <v>0</v>
      </c>
      <c r="S1912" s="548">
        <v>0</v>
      </c>
      <c r="T1912" s="548">
        <v>0</v>
      </c>
      <c r="U1912" s="548">
        <v>0</v>
      </c>
      <c r="V1912" s="548"/>
      <c r="W1912" s="528"/>
      <c r="X1912" s="711">
        <f>SUMIFS(P1912:V1912,$P$8:$V$8,"&gt;="&amp;$P$8,$P$8:$V$8,"&lt;="&amp;$N$8)</f>
        <v>0</v>
      </c>
      <c r="Y1912" s="897"/>
      <c r="Z1912" s="528"/>
      <c r="AA1912" s="899"/>
      <c r="AB1912" s="899"/>
      <c r="AC1912" s="904"/>
      <c r="AD1912" s="901"/>
      <c r="AE1912" s="2"/>
      <c r="AF1912" s="885"/>
      <c r="AG1912" s="885"/>
      <c r="AH1912" s="885"/>
      <c r="AI1912" s="885"/>
      <c r="AJ1912" s="885"/>
      <c r="AK1912" s="885"/>
      <c r="AL1912" s="885"/>
      <c r="AM1912" s="879"/>
      <c r="AN1912" s="2"/>
      <c r="AO1912" s="886"/>
      <c r="AP1912" s="886"/>
      <c r="AV1912" t="str">
        <f t="shared" si="7473"/>
        <v>Drenagem Superficial</v>
      </c>
      <c r="AW1912" s="4" t="str">
        <f t="shared" si="7464"/>
        <v xml:space="preserve">   Seg. 2.2-A02 - Drenagem Superficial - Valetas de proteção de aterro (Km 105+120 a 105+270)</v>
      </c>
    </row>
    <row r="1913" spans="1:49" ht="15.6" hidden="1" customHeight="1" outlineLevel="2">
      <c r="A1913" s="8" t="str">
        <f t="shared" ref="A1913" si="7635">IF(SUM(P1913:V1914)&gt;0,"S","N")</f>
        <v>N</v>
      </c>
      <c r="B1913" s="150">
        <v>1061283</v>
      </c>
      <c r="C1913" s="150" t="s">
        <v>2223</v>
      </c>
      <c r="D1913" s="120" t="s">
        <v>1229</v>
      </c>
      <c r="E1913" s="892" t="s">
        <v>2224</v>
      </c>
      <c r="F1913" s="902" t="s">
        <v>52</v>
      </c>
      <c r="G1913" s="528"/>
      <c r="H1913" s="546" t="s">
        <v>37</v>
      </c>
      <c r="I1913" s="711">
        <v>0</v>
      </c>
      <c r="J1913" s="896" t="str">
        <f t="shared" ref="J1913" si="7636">IFERROR((I1914/I1913),"-")</f>
        <v>-</v>
      </c>
      <c r="K1913" s="528"/>
      <c r="L1913" s="546" t="s">
        <v>37</v>
      </c>
      <c r="M1913" s="711">
        <f t="shared" ref="M1913:M1976" si="7637">_xlfn.XLOOKUP($N$8,$P$8:$V$8,$P1913:$V1913)</f>
        <v>0</v>
      </c>
      <c r="N1913" s="896" t="str">
        <f t="shared" ref="N1913" si="7638">IFERROR((M1914/M1913),"-")</f>
        <v>-</v>
      </c>
      <c r="O1913" s="528"/>
      <c r="P1913" s="547">
        <v>0</v>
      </c>
      <c r="Q1913" s="547">
        <v>0</v>
      </c>
      <c r="R1913" s="547">
        <v>0</v>
      </c>
      <c r="S1913" s="547">
        <v>0</v>
      </c>
      <c r="T1913" s="547">
        <v>0</v>
      </c>
      <c r="U1913" s="547">
        <v>0</v>
      </c>
      <c r="V1913" s="548">
        <v>0</v>
      </c>
      <c r="W1913" s="528"/>
      <c r="X1913" s="711">
        <f t="shared" ref="X1913:X1976" si="7639">SUMIFS(P1913:V1913,$P$8:$V$8,"&gt;="&amp;$P$8,$P$8:$V$8,"&lt;="&amp;$N$8)</f>
        <v>0</v>
      </c>
      <c r="Y1913" s="896" t="str">
        <f t="shared" ref="Y1913" si="7640">IFERROR((X1914/X1913),"-")</f>
        <v>-</v>
      </c>
      <c r="Z1913" s="528"/>
      <c r="AA1913" s="898">
        <v>0</v>
      </c>
      <c r="AB1913" s="898">
        <v>0</v>
      </c>
      <c r="AC1913" s="903">
        <v>0</v>
      </c>
      <c r="AD1913" s="900" t="str">
        <f t="shared" ref="AD1913" si="7641">IFERROR((AC1913/AB1913),"-")</f>
        <v>-</v>
      </c>
      <c r="AE1913" s="2"/>
      <c r="AF1913" s="884">
        <v>935.64400000000001</v>
      </c>
      <c r="AG1913" s="884"/>
      <c r="AH1913" s="884">
        <v>96</v>
      </c>
      <c r="AI1913" s="884"/>
      <c r="AJ1913" s="884"/>
      <c r="AK1913" s="884">
        <f t="shared" ref="AK1913" si="7642">AF1913+AG1913+AH1913+AI1913+AJ1913+AC1913</f>
        <v>1031.644</v>
      </c>
      <c r="AL1913" s="884">
        <v>423.00999999999937</v>
      </c>
      <c r="AM1913" s="878">
        <f t="shared" ref="AM1913" si="7643">IFERROR((AK1913/AL1913),"-")</f>
        <v>2.4388170492423384</v>
      </c>
      <c r="AN1913" s="2"/>
      <c r="AO1913" s="884">
        <v>327</v>
      </c>
      <c r="AP1913" s="884">
        <f t="shared" ref="AP1913" si="7644">AO1913-AK1913</f>
        <v>-704.64400000000001</v>
      </c>
      <c r="AV1913" t="str">
        <f t="shared" si="7473"/>
        <v>Drenagem Superficial</v>
      </c>
      <c r="AW1913" s="4" t="str">
        <f t="shared" si="7464"/>
        <v xml:space="preserve">   Seg. 2.2-A04 - Drenagem Superficial - Valetas de proteção de aterro (Km 105+980 a 106+200)</v>
      </c>
    </row>
    <row r="1914" spans="1:49" ht="15.6" hidden="1" customHeight="1" outlineLevel="2">
      <c r="A1914" s="8" t="str">
        <f t="shared" ref="A1914" si="7645">A1913</f>
        <v>N</v>
      </c>
      <c r="B1914" s="150"/>
      <c r="C1914" s="150" t="s">
        <v>2223</v>
      </c>
      <c r="D1914" s="120" t="s">
        <v>1229</v>
      </c>
      <c r="E1914" s="893"/>
      <c r="F1914" s="902"/>
      <c r="G1914" s="528"/>
      <c r="H1914" s="549" t="s">
        <v>38</v>
      </c>
      <c r="I1914" s="711">
        <v>0</v>
      </c>
      <c r="J1914" s="897"/>
      <c r="K1914" s="528"/>
      <c r="L1914" s="549" t="s">
        <v>38</v>
      </c>
      <c r="M1914" s="711">
        <f t="shared" si="7637"/>
        <v>0</v>
      </c>
      <c r="N1914" s="897"/>
      <c r="O1914" s="528"/>
      <c r="P1914" s="548">
        <v>0</v>
      </c>
      <c r="Q1914" s="548">
        <v>0</v>
      </c>
      <c r="R1914" s="548">
        <v>0</v>
      </c>
      <c r="S1914" s="548">
        <v>0</v>
      </c>
      <c r="T1914" s="548">
        <v>0</v>
      </c>
      <c r="U1914" s="548">
        <v>0</v>
      </c>
      <c r="V1914" s="548"/>
      <c r="W1914" s="528"/>
      <c r="X1914" s="711">
        <f t="shared" si="7639"/>
        <v>0</v>
      </c>
      <c r="Y1914" s="897"/>
      <c r="Z1914" s="528"/>
      <c r="AA1914" s="899"/>
      <c r="AB1914" s="899"/>
      <c r="AC1914" s="904"/>
      <c r="AD1914" s="901"/>
      <c r="AE1914" s="2"/>
      <c r="AF1914" s="885"/>
      <c r="AG1914" s="885"/>
      <c r="AH1914" s="885"/>
      <c r="AI1914" s="885"/>
      <c r="AJ1914" s="885"/>
      <c r="AK1914" s="885"/>
      <c r="AL1914" s="885"/>
      <c r="AM1914" s="879"/>
      <c r="AN1914" s="2"/>
      <c r="AO1914" s="886"/>
      <c r="AP1914" s="886"/>
      <c r="AV1914" t="str">
        <f t="shared" si="7473"/>
        <v>Drenagem Superficial</v>
      </c>
      <c r="AW1914" s="4" t="str">
        <f t="shared" si="7464"/>
        <v xml:space="preserve">   Seg. 2.2-A04 - Drenagem Superficial - Valetas de proteção de aterro (Km 105+980 a 106+200)</v>
      </c>
    </row>
    <row r="1915" spans="1:49" ht="15.6" hidden="1" customHeight="1" outlineLevel="2">
      <c r="A1915" s="209" t="str">
        <f t="shared" ref="A1915" si="7646">IF(SUM(P1915:V1916)&gt;0,"S","N")</f>
        <v>N</v>
      </c>
      <c r="B1915" s="150">
        <v>1061286</v>
      </c>
      <c r="C1915" s="150" t="s">
        <v>2225</v>
      </c>
      <c r="D1915" s="120" t="s">
        <v>782</v>
      </c>
      <c r="E1915" s="892" t="s">
        <v>2226</v>
      </c>
      <c r="F1915" s="902" t="s">
        <v>52</v>
      </c>
      <c r="G1915" s="528"/>
      <c r="H1915" s="546" t="s">
        <v>37</v>
      </c>
      <c r="I1915" s="711">
        <v>0</v>
      </c>
      <c r="J1915" s="896" t="str">
        <f t="shared" ref="J1915" si="7647">IFERROR((I1916/I1915),"-")</f>
        <v>-</v>
      </c>
      <c r="K1915" s="528"/>
      <c r="L1915" s="546" t="s">
        <v>37</v>
      </c>
      <c r="M1915" s="711">
        <f t="shared" si="7637"/>
        <v>0</v>
      </c>
      <c r="N1915" s="896" t="str">
        <f t="shared" ref="N1915" si="7648">IFERROR((M1916/M1915),"-")</f>
        <v>-</v>
      </c>
      <c r="O1915" s="528"/>
      <c r="P1915" s="547">
        <v>0</v>
      </c>
      <c r="Q1915" s="547">
        <v>0</v>
      </c>
      <c r="R1915" s="547">
        <v>0</v>
      </c>
      <c r="S1915" s="547">
        <v>0</v>
      </c>
      <c r="T1915" s="547">
        <v>0</v>
      </c>
      <c r="U1915" s="547">
        <v>0</v>
      </c>
      <c r="V1915" s="548">
        <v>0</v>
      </c>
      <c r="W1915" s="528"/>
      <c r="X1915" s="711">
        <f t="shared" si="7639"/>
        <v>0</v>
      </c>
      <c r="Y1915" s="896" t="str">
        <f t="shared" ref="Y1915" si="7649">IFERROR((X1916/X1915),"-")</f>
        <v>-</v>
      </c>
      <c r="Z1915" s="528"/>
      <c r="AA1915" s="898">
        <v>0</v>
      </c>
      <c r="AB1915" s="898">
        <v>0</v>
      </c>
      <c r="AC1915" s="903">
        <v>0</v>
      </c>
      <c r="AD1915" s="900" t="str">
        <f t="shared" ref="AD1915" si="7650">IFERROR((AC1915/AB1915),"-")</f>
        <v>-</v>
      </c>
      <c r="AE1915" s="2"/>
      <c r="AF1915" s="884">
        <v>313.72800000000001</v>
      </c>
      <c r="AG1915" s="884">
        <v>124.54900000000001</v>
      </c>
      <c r="AH1915" s="884">
        <v>0</v>
      </c>
      <c r="AI1915" s="884"/>
      <c r="AJ1915" s="884"/>
      <c r="AK1915" s="884">
        <f t="shared" ref="AK1915" si="7651">AF1915+AG1915+AH1915+AI1915+AJ1915+AC1915</f>
        <v>438.27700000000004</v>
      </c>
      <c r="AL1915" s="884">
        <v>374.31000000000131</v>
      </c>
      <c r="AM1915" s="878">
        <f t="shared" ref="AM1915" si="7652">IFERROR((AK1915/AL1915),"-")</f>
        <v>1.1708931099890425</v>
      </c>
      <c r="AN1915" s="2"/>
      <c r="AO1915" s="884">
        <v>374.03</v>
      </c>
      <c r="AP1915" s="884">
        <f t="shared" ref="AP1915" si="7653">AO1915-AK1915</f>
        <v>-64.247000000000071</v>
      </c>
      <c r="AV1915" t="str">
        <f t="shared" si="7473"/>
        <v>Drenagem Superficial</v>
      </c>
      <c r="AW1915" s="4" t="str">
        <f t="shared" si="7464"/>
        <v xml:space="preserve">   Seg. 2.2-A05-B01 - Drenagem Superficial - Valetas de proteção de aterro (Km 107+420 a 107+700)</v>
      </c>
    </row>
    <row r="1916" spans="1:49" ht="15.6" hidden="1" customHeight="1" outlineLevel="2">
      <c r="A1916" s="209" t="str">
        <f t="shared" ref="A1916" si="7654">A1915</f>
        <v>N</v>
      </c>
      <c r="B1916" s="150"/>
      <c r="C1916" s="150" t="s">
        <v>2225</v>
      </c>
      <c r="D1916" s="120" t="s">
        <v>782</v>
      </c>
      <c r="E1916" s="893"/>
      <c r="F1916" s="902"/>
      <c r="G1916" s="528"/>
      <c r="H1916" s="549" t="s">
        <v>38</v>
      </c>
      <c r="I1916" s="711">
        <v>0</v>
      </c>
      <c r="J1916" s="897"/>
      <c r="K1916" s="528"/>
      <c r="L1916" s="549" t="s">
        <v>38</v>
      </c>
      <c r="M1916" s="711">
        <f t="shared" si="7637"/>
        <v>0</v>
      </c>
      <c r="N1916" s="897"/>
      <c r="O1916" s="528"/>
      <c r="P1916" s="548">
        <v>0</v>
      </c>
      <c r="Q1916" s="548">
        <v>0</v>
      </c>
      <c r="R1916" s="548">
        <v>0</v>
      </c>
      <c r="S1916" s="548">
        <v>0</v>
      </c>
      <c r="T1916" s="548">
        <v>0</v>
      </c>
      <c r="U1916" s="548">
        <v>0</v>
      </c>
      <c r="V1916" s="548"/>
      <c r="W1916" s="528"/>
      <c r="X1916" s="711">
        <f t="shared" si="7639"/>
        <v>0</v>
      </c>
      <c r="Y1916" s="897"/>
      <c r="Z1916" s="528"/>
      <c r="AA1916" s="899"/>
      <c r="AB1916" s="899"/>
      <c r="AC1916" s="904"/>
      <c r="AD1916" s="901"/>
      <c r="AE1916" s="2"/>
      <c r="AF1916" s="885"/>
      <c r="AG1916" s="885"/>
      <c r="AH1916" s="885"/>
      <c r="AI1916" s="885"/>
      <c r="AJ1916" s="885"/>
      <c r="AK1916" s="885"/>
      <c r="AL1916" s="885"/>
      <c r="AM1916" s="879"/>
      <c r="AN1916" s="2"/>
      <c r="AO1916" s="886"/>
      <c r="AP1916" s="886"/>
      <c r="AV1916" t="str">
        <f t="shared" si="7473"/>
        <v>Drenagem Superficial</v>
      </c>
      <c r="AW1916" s="4" t="str">
        <f t="shared" si="7464"/>
        <v xml:space="preserve">   Seg. 2.2-A05-B01 - Drenagem Superficial - Valetas de proteção de aterro (Km 107+420 a 107+700)</v>
      </c>
    </row>
    <row r="1917" spans="1:49" ht="15.6" hidden="1" customHeight="1" outlineLevel="2">
      <c r="A1917" s="209" t="str">
        <f t="shared" ref="A1917" si="7655">IF(SUM(P1917:V1918)&gt;0,"S","N")</f>
        <v>N</v>
      </c>
      <c r="B1917" s="150">
        <v>1061290</v>
      </c>
      <c r="C1917" s="150" t="s">
        <v>2227</v>
      </c>
      <c r="D1917" s="120" t="s">
        <v>275</v>
      </c>
      <c r="E1917" s="892" t="s">
        <v>2228</v>
      </c>
      <c r="F1917" s="902" t="s">
        <v>52</v>
      </c>
      <c r="G1917" s="528"/>
      <c r="H1917" s="546" t="s">
        <v>37</v>
      </c>
      <c r="I1917" s="711">
        <v>0</v>
      </c>
      <c r="J1917" s="896" t="str">
        <f t="shared" ref="J1917" si="7656">IFERROR((I1918/I1917),"-")</f>
        <v>-</v>
      </c>
      <c r="K1917" s="528"/>
      <c r="L1917" s="546" t="s">
        <v>37</v>
      </c>
      <c r="M1917" s="711">
        <f t="shared" si="7637"/>
        <v>0</v>
      </c>
      <c r="N1917" s="896" t="str">
        <f t="shared" ref="N1917" si="7657">IFERROR((M1918/M1917),"-")</f>
        <v>-</v>
      </c>
      <c r="O1917" s="528"/>
      <c r="P1917" s="547">
        <v>0</v>
      </c>
      <c r="Q1917" s="547">
        <v>0</v>
      </c>
      <c r="R1917" s="547">
        <v>0</v>
      </c>
      <c r="S1917" s="547">
        <v>0</v>
      </c>
      <c r="T1917" s="547">
        <v>0</v>
      </c>
      <c r="U1917" s="547">
        <v>0</v>
      </c>
      <c r="V1917" s="548">
        <v>0</v>
      </c>
      <c r="W1917" s="528"/>
      <c r="X1917" s="711">
        <f t="shared" si="7639"/>
        <v>0</v>
      </c>
      <c r="Y1917" s="896" t="str">
        <f t="shared" ref="Y1917" si="7658">IFERROR((X1918/X1917),"-")</f>
        <v>-</v>
      </c>
      <c r="Z1917" s="528"/>
      <c r="AA1917" s="898">
        <v>132.66</v>
      </c>
      <c r="AB1917" s="898">
        <v>98.44</v>
      </c>
      <c r="AC1917" s="903">
        <v>82.5</v>
      </c>
      <c r="AD1917" s="900">
        <f t="shared" ref="AD1917" si="7659">IFERROR((AC1917/AB1917),"-")</f>
        <v>0.83807395367736692</v>
      </c>
      <c r="AE1917" s="2"/>
      <c r="AF1917" s="884">
        <v>346.24700000000001</v>
      </c>
      <c r="AG1917" s="884"/>
      <c r="AH1917" s="884">
        <v>73.5</v>
      </c>
      <c r="AI1917" s="884"/>
      <c r="AJ1917" s="884">
        <v>170.84</v>
      </c>
      <c r="AK1917" s="884">
        <f t="shared" ref="AK1917" si="7660">AF1917+AG1917+AH1917+AI1917+AJ1917+AC1917</f>
        <v>673.08699999999999</v>
      </c>
      <c r="AL1917" s="884">
        <v>770.94000000000017</v>
      </c>
      <c r="AM1917" s="878">
        <f t="shared" ref="AM1917" si="7661">IFERROR((AK1917/AL1917),"-")</f>
        <v>0.87307313150180277</v>
      </c>
      <c r="AN1917" s="2"/>
      <c r="AO1917" s="884">
        <v>805</v>
      </c>
      <c r="AP1917" s="884">
        <f t="shared" ref="AP1917" si="7662">AO1917-AK1917</f>
        <v>131.91300000000001</v>
      </c>
      <c r="AV1917" t="str">
        <f t="shared" si="7473"/>
        <v>Drenagem Superficial</v>
      </c>
      <c r="AW1917" s="4" t="str">
        <f t="shared" si="7464"/>
        <v xml:space="preserve">   Seg. 2.2-A06 - Drenagem Superficial - Valetas de proteção de aterro (Km 108+120 a 108+540)</v>
      </c>
    </row>
    <row r="1918" spans="1:49" ht="15.6" hidden="1" customHeight="1" outlineLevel="2">
      <c r="A1918" s="209" t="str">
        <f t="shared" ref="A1918" si="7663">A1917</f>
        <v>N</v>
      </c>
      <c r="B1918" s="150"/>
      <c r="C1918" s="150" t="s">
        <v>2227</v>
      </c>
      <c r="D1918" s="120" t="s">
        <v>275</v>
      </c>
      <c r="E1918" s="893"/>
      <c r="F1918" s="902"/>
      <c r="G1918" s="528"/>
      <c r="H1918" s="549" t="s">
        <v>38</v>
      </c>
      <c r="I1918" s="711">
        <v>27.5</v>
      </c>
      <c r="J1918" s="897"/>
      <c r="K1918" s="528"/>
      <c r="L1918" s="549" t="s">
        <v>38</v>
      </c>
      <c r="M1918" s="711">
        <f t="shared" si="7637"/>
        <v>0</v>
      </c>
      <c r="N1918" s="897"/>
      <c r="O1918" s="528"/>
      <c r="P1918" s="548">
        <v>0</v>
      </c>
      <c r="Q1918" s="548">
        <v>0</v>
      </c>
      <c r="R1918" s="548">
        <v>0</v>
      </c>
      <c r="S1918" s="548">
        <v>0</v>
      </c>
      <c r="T1918" s="581">
        <v>0</v>
      </c>
      <c r="U1918" s="548">
        <v>0</v>
      </c>
      <c r="V1918" s="548"/>
      <c r="W1918" s="528"/>
      <c r="X1918" s="711">
        <f t="shared" si="7639"/>
        <v>0</v>
      </c>
      <c r="Y1918" s="897"/>
      <c r="Z1918" s="528"/>
      <c r="AA1918" s="899"/>
      <c r="AB1918" s="899"/>
      <c r="AC1918" s="904"/>
      <c r="AD1918" s="901"/>
      <c r="AE1918" s="2"/>
      <c r="AF1918" s="885"/>
      <c r="AG1918" s="885"/>
      <c r="AH1918" s="885"/>
      <c r="AI1918" s="885"/>
      <c r="AJ1918" s="885"/>
      <c r="AK1918" s="885"/>
      <c r="AL1918" s="885"/>
      <c r="AM1918" s="879"/>
      <c r="AN1918" s="2"/>
      <c r="AO1918" s="886"/>
      <c r="AP1918" s="886"/>
      <c r="AV1918" t="str">
        <f t="shared" si="7473"/>
        <v>Drenagem Superficial</v>
      </c>
      <c r="AW1918" s="4" t="str">
        <f t="shared" si="7464"/>
        <v xml:space="preserve">   Seg. 2.2-A06 - Drenagem Superficial - Valetas de proteção de aterro (Km 108+120 a 108+540)</v>
      </c>
    </row>
    <row r="1919" spans="1:49" ht="15.6" hidden="1" customHeight="1" outlineLevel="2">
      <c r="A1919" s="209" t="str">
        <f t="shared" ref="A1919" si="7664">IF(SUM(P1919:V1920)&gt;0,"S","N")</f>
        <v>S</v>
      </c>
      <c r="B1919" s="150">
        <v>1061566</v>
      </c>
      <c r="C1919" s="150" t="s">
        <v>2229</v>
      </c>
      <c r="D1919" s="147" t="s">
        <v>187</v>
      </c>
      <c r="E1919" s="892" t="s">
        <v>2230</v>
      </c>
      <c r="F1919" s="902" t="s">
        <v>52</v>
      </c>
      <c r="G1919" s="528"/>
      <c r="H1919" s="546" t="s">
        <v>37</v>
      </c>
      <c r="I1919" s="711">
        <v>43</v>
      </c>
      <c r="J1919" s="896">
        <f t="shared" ref="J1919" si="7665">IFERROR((I1920/I1919),"-")</f>
        <v>0</v>
      </c>
      <c r="K1919" s="528"/>
      <c r="L1919" s="546" t="s">
        <v>37</v>
      </c>
      <c r="M1919" s="711">
        <f t="shared" si="7637"/>
        <v>0</v>
      </c>
      <c r="N1919" s="896" t="str">
        <f t="shared" ref="N1919" si="7666">IFERROR((M1920/M1919),"-")</f>
        <v>-</v>
      </c>
      <c r="O1919" s="528"/>
      <c r="P1919" s="547">
        <v>43</v>
      </c>
      <c r="Q1919" s="547">
        <v>0</v>
      </c>
      <c r="R1919" s="547">
        <v>0</v>
      </c>
      <c r="S1919" s="547">
        <v>0</v>
      </c>
      <c r="T1919" s="547">
        <v>0</v>
      </c>
      <c r="U1919" s="547">
        <v>0</v>
      </c>
      <c r="V1919" s="548">
        <v>0</v>
      </c>
      <c r="W1919" s="528"/>
      <c r="X1919" s="711">
        <f t="shared" si="7639"/>
        <v>43</v>
      </c>
      <c r="Y1919" s="896">
        <f t="shared" ref="Y1919" si="7667">IFERROR((X1920/X1919),"-")</f>
        <v>0</v>
      </c>
      <c r="Z1919" s="528"/>
      <c r="AA1919" s="898">
        <v>73.91</v>
      </c>
      <c r="AB1919" s="898">
        <v>0</v>
      </c>
      <c r="AC1919" s="903">
        <v>0</v>
      </c>
      <c r="AD1919" s="900" t="str">
        <f t="shared" ref="AD1919" si="7668">IFERROR((AC1919/AB1919),"-")</f>
        <v>-</v>
      </c>
      <c r="AE1919" s="2"/>
      <c r="AF1919" s="884">
        <v>853.20799999999997</v>
      </c>
      <c r="AG1919" s="884"/>
      <c r="AH1919" s="884">
        <v>0</v>
      </c>
      <c r="AI1919" s="884"/>
      <c r="AJ1919" s="884"/>
      <c r="AK1919" s="884">
        <f t="shared" ref="AK1919" si="7669">AF1919+AG1919+AH1919+AI1919+AJ1919+AC1919</f>
        <v>853.20799999999997</v>
      </c>
      <c r="AL1919" s="884">
        <v>822.79</v>
      </c>
      <c r="AM1919" s="878">
        <f t="shared" ref="AM1919" si="7670">IFERROR((AK1919/AL1919),"-")</f>
        <v>1.0369693360395726</v>
      </c>
      <c r="AN1919" s="2"/>
      <c r="AO1919" s="884">
        <v>896.68999999999994</v>
      </c>
      <c r="AP1919" s="884">
        <f t="shared" ref="AP1919" si="7671">AO1919-AK1919</f>
        <v>43.481999999999971</v>
      </c>
      <c r="AV1919" t="str">
        <f t="shared" si="7473"/>
        <v>Drenagem Superficial</v>
      </c>
      <c r="AW1919" s="4" t="str">
        <f t="shared" si="7464"/>
        <v xml:space="preserve">   Seg. 2.2-C04-B01 - Drenagem Superficial - Valetas de proteção de corte </v>
      </c>
    </row>
    <row r="1920" spans="1:49" ht="15.6" hidden="1" customHeight="1" outlineLevel="2">
      <c r="A1920" s="209" t="str">
        <f t="shared" ref="A1920" si="7672">A1919</f>
        <v>S</v>
      </c>
      <c r="B1920" s="150"/>
      <c r="C1920" s="150" t="s">
        <v>2229</v>
      </c>
      <c r="D1920" s="147" t="s">
        <v>187</v>
      </c>
      <c r="E1920" s="893"/>
      <c r="F1920" s="902"/>
      <c r="G1920" s="528"/>
      <c r="H1920" s="549" t="s">
        <v>38</v>
      </c>
      <c r="I1920" s="711">
        <v>0</v>
      </c>
      <c r="J1920" s="897"/>
      <c r="K1920" s="528"/>
      <c r="L1920" s="549" t="s">
        <v>38</v>
      </c>
      <c r="M1920" s="711">
        <f t="shared" si="7637"/>
        <v>0</v>
      </c>
      <c r="N1920" s="897"/>
      <c r="O1920" s="528"/>
      <c r="P1920" s="548">
        <v>0</v>
      </c>
      <c r="Q1920" s="548">
        <v>0</v>
      </c>
      <c r="R1920" s="548">
        <v>0</v>
      </c>
      <c r="S1920" s="548">
        <v>0</v>
      </c>
      <c r="T1920" s="548">
        <v>0</v>
      </c>
      <c r="U1920" s="548">
        <v>0</v>
      </c>
      <c r="V1920" s="548"/>
      <c r="W1920" s="528"/>
      <c r="X1920" s="711">
        <f t="shared" si="7639"/>
        <v>0</v>
      </c>
      <c r="Y1920" s="897"/>
      <c r="Z1920" s="528"/>
      <c r="AA1920" s="899"/>
      <c r="AB1920" s="899"/>
      <c r="AC1920" s="904"/>
      <c r="AD1920" s="901"/>
      <c r="AE1920" s="2"/>
      <c r="AF1920" s="885"/>
      <c r="AG1920" s="885"/>
      <c r="AH1920" s="885"/>
      <c r="AI1920" s="885"/>
      <c r="AJ1920" s="885"/>
      <c r="AK1920" s="885"/>
      <c r="AL1920" s="885"/>
      <c r="AM1920" s="879"/>
      <c r="AN1920" s="2"/>
      <c r="AO1920" s="885"/>
      <c r="AP1920" s="886"/>
      <c r="AV1920" t="str">
        <f t="shared" si="7473"/>
        <v>Drenagem Superficial</v>
      </c>
      <c r="AW1920" s="4" t="str">
        <f t="shared" si="7464"/>
        <v xml:space="preserve">   Seg. 2.2-C04-B01 - Drenagem Superficial - Valetas de proteção de corte </v>
      </c>
    </row>
    <row r="1921" spans="1:49" ht="15.6" hidden="1" customHeight="1" outlineLevel="2">
      <c r="A1921" s="209" t="str">
        <f t="shared" ref="A1921" si="7673">IF(SUM(P1921:V1922)&gt;0,"S","N")</f>
        <v>S</v>
      </c>
      <c r="B1921" s="150">
        <v>1061573</v>
      </c>
      <c r="C1921" s="150" t="s">
        <v>2231</v>
      </c>
      <c r="D1921" s="120" t="s">
        <v>181</v>
      </c>
      <c r="E1921" s="892" t="s">
        <v>2232</v>
      </c>
      <c r="F1921" s="902" t="s">
        <v>52</v>
      </c>
      <c r="G1921" s="528"/>
      <c r="H1921" s="546" t="s">
        <v>37</v>
      </c>
      <c r="I1921" s="711">
        <v>62</v>
      </c>
      <c r="J1921" s="896">
        <f t="shared" ref="J1921" si="7674">IFERROR((I1922/I1921),"-")</f>
        <v>0</v>
      </c>
      <c r="K1921" s="528"/>
      <c r="L1921" s="546" t="s">
        <v>37</v>
      </c>
      <c r="M1921" s="711">
        <f t="shared" si="7637"/>
        <v>0</v>
      </c>
      <c r="N1921" s="896" t="str">
        <f t="shared" ref="N1921" si="7675">IFERROR((M1922/M1921),"-")</f>
        <v>-</v>
      </c>
      <c r="O1921" s="528"/>
      <c r="P1921" s="547">
        <v>62</v>
      </c>
      <c r="Q1921" s="547">
        <v>0</v>
      </c>
      <c r="R1921" s="547">
        <v>0</v>
      </c>
      <c r="S1921" s="547">
        <v>0</v>
      </c>
      <c r="T1921" s="547">
        <v>0</v>
      </c>
      <c r="U1921" s="547">
        <v>0</v>
      </c>
      <c r="V1921" s="548">
        <v>0</v>
      </c>
      <c r="W1921" s="528"/>
      <c r="X1921" s="711">
        <f t="shared" si="7639"/>
        <v>62</v>
      </c>
      <c r="Y1921" s="896">
        <f t="shared" ref="Y1921" si="7676">IFERROR((X1922/X1921),"-")</f>
        <v>0</v>
      </c>
      <c r="Z1921" s="528"/>
      <c r="AA1921" s="898">
        <v>0</v>
      </c>
      <c r="AB1921" s="898">
        <v>0</v>
      </c>
      <c r="AC1921" s="903">
        <v>0</v>
      </c>
      <c r="AD1921" s="900" t="str">
        <f t="shared" ref="AD1921" si="7677">IFERROR((AC1921/AB1921),"-")</f>
        <v>-</v>
      </c>
      <c r="AE1921" s="2"/>
      <c r="AF1921" s="884"/>
      <c r="AG1921" s="884"/>
      <c r="AH1921" s="884">
        <v>84</v>
      </c>
      <c r="AI1921" s="884"/>
      <c r="AJ1921" s="884">
        <v>146.227</v>
      </c>
      <c r="AK1921" s="884">
        <f t="shared" ref="AK1921" si="7678">AF1921+AG1921+AH1921+AI1921+AJ1921+AC1921</f>
        <v>230.227</v>
      </c>
      <c r="AL1921" s="884">
        <v>370.25</v>
      </c>
      <c r="AM1921" s="878">
        <f t="shared" ref="AM1921" si="7679">IFERROR((AK1921/AL1921),"-")</f>
        <v>0.62181498987170836</v>
      </c>
      <c r="AN1921" s="2"/>
      <c r="AO1921" s="884">
        <v>292</v>
      </c>
      <c r="AP1921" s="884">
        <f t="shared" ref="AP1921" si="7680">AO1921-AK1921</f>
        <v>61.772999999999996</v>
      </c>
      <c r="AV1921" t="str">
        <f t="shared" si="7473"/>
        <v>Drenagem Superficial</v>
      </c>
      <c r="AW1921" s="4" t="str">
        <f t="shared" si="7464"/>
        <v xml:space="preserve">   Seg. 2.2-C02 - Drenagem Superficial - Valetas de proteção de corte (Km 105+208 a 105+560)</v>
      </c>
    </row>
    <row r="1922" spans="1:49" ht="15.6" hidden="1" customHeight="1" outlineLevel="2">
      <c r="A1922" s="209" t="str">
        <f t="shared" ref="A1922" si="7681">A1921</f>
        <v>S</v>
      </c>
      <c r="B1922" s="150"/>
      <c r="C1922" s="150" t="s">
        <v>2231</v>
      </c>
      <c r="D1922" s="120" t="s">
        <v>181</v>
      </c>
      <c r="E1922" s="893"/>
      <c r="F1922" s="902"/>
      <c r="G1922" s="528"/>
      <c r="H1922" s="549" t="s">
        <v>38</v>
      </c>
      <c r="I1922" s="711">
        <v>0</v>
      </c>
      <c r="J1922" s="897"/>
      <c r="K1922" s="528"/>
      <c r="L1922" s="549" t="s">
        <v>38</v>
      </c>
      <c r="M1922" s="711">
        <f t="shared" si="7637"/>
        <v>0</v>
      </c>
      <c r="N1922" s="897"/>
      <c r="O1922" s="528"/>
      <c r="P1922" s="548">
        <v>0</v>
      </c>
      <c r="Q1922" s="548">
        <v>0</v>
      </c>
      <c r="R1922" s="548">
        <v>0</v>
      </c>
      <c r="S1922" s="548">
        <v>0</v>
      </c>
      <c r="T1922" s="548">
        <v>0</v>
      </c>
      <c r="U1922" s="548">
        <v>0</v>
      </c>
      <c r="V1922" s="548"/>
      <c r="W1922" s="528"/>
      <c r="X1922" s="711">
        <f t="shared" si="7639"/>
        <v>0</v>
      </c>
      <c r="Y1922" s="897"/>
      <c r="Z1922" s="528"/>
      <c r="AA1922" s="899"/>
      <c r="AB1922" s="899"/>
      <c r="AC1922" s="904"/>
      <c r="AD1922" s="901"/>
      <c r="AE1922" s="2"/>
      <c r="AF1922" s="885"/>
      <c r="AG1922" s="885"/>
      <c r="AH1922" s="885"/>
      <c r="AI1922" s="885"/>
      <c r="AJ1922" s="885"/>
      <c r="AK1922" s="885"/>
      <c r="AL1922" s="885"/>
      <c r="AM1922" s="879"/>
      <c r="AN1922" s="2"/>
      <c r="AO1922" s="886"/>
      <c r="AP1922" s="886"/>
      <c r="AV1922" t="str">
        <f t="shared" si="7473"/>
        <v>Drenagem Superficial</v>
      </c>
      <c r="AW1922" s="4" t="str">
        <f t="shared" si="7464"/>
        <v xml:space="preserve">   Seg. 2.2-C02 - Drenagem Superficial - Valetas de proteção de corte (Km 105+208 a 105+560)</v>
      </c>
    </row>
    <row r="1923" spans="1:49" ht="15.6" hidden="1" customHeight="1" outlineLevel="2">
      <c r="A1923" s="8" t="str">
        <f t="shared" ref="A1923" si="7682">IF(SUM(P1923:V1924)&gt;0,"S","N")</f>
        <v>N</v>
      </c>
      <c r="B1923" s="150">
        <v>1061578</v>
      </c>
      <c r="C1923" s="150" t="s">
        <v>2233</v>
      </c>
      <c r="D1923" s="120" t="s">
        <v>184</v>
      </c>
      <c r="E1923" s="892" t="s">
        <v>2234</v>
      </c>
      <c r="F1923" s="902" t="s">
        <v>52</v>
      </c>
      <c r="G1923" s="528"/>
      <c r="H1923" s="546" t="s">
        <v>37</v>
      </c>
      <c r="I1923" s="711">
        <v>0</v>
      </c>
      <c r="J1923" s="896" t="str">
        <f t="shared" ref="J1923" si="7683">IFERROR((I1924/I1923),"-")</f>
        <v>-</v>
      </c>
      <c r="K1923" s="528"/>
      <c r="L1923" s="546" t="s">
        <v>37</v>
      </c>
      <c r="M1923" s="711">
        <f t="shared" si="7637"/>
        <v>0</v>
      </c>
      <c r="N1923" s="896" t="str">
        <f t="shared" ref="N1923" si="7684">IFERROR((M1924/M1923),"-")</f>
        <v>-</v>
      </c>
      <c r="O1923" s="528"/>
      <c r="P1923" s="547">
        <v>0</v>
      </c>
      <c r="Q1923" s="547">
        <v>0</v>
      </c>
      <c r="R1923" s="547">
        <v>0</v>
      </c>
      <c r="S1923" s="547">
        <v>0</v>
      </c>
      <c r="T1923" s="547">
        <v>0</v>
      </c>
      <c r="U1923" s="547">
        <v>0</v>
      </c>
      <c r="V1923" s="548">
        <v>0</v>
      </c>
      <c r="W1923" s="528"/>
      <c r="X1923" s="711">
        <f t="shared" si="7639"/>
        <v>0</v>
      </c>
      <c r="Y1923" s="896" t="str">
        <f t="shared" ref="Y1923" si="7685">IFERROR((X1924/X1923),"-")</f>
        <v>-</v>
      </c>
      <c r="Z1923" s="528"/>
      <c r="AA1923" s="898">
        <v>0</v>
      </c>
      <c r="AB1923" s="898">
        <v>0</v>
      </c>
      <c r="AC1923" s="903">
        <v>45</v>
      </c>
      <c r="AD1923" s="900" t="str">
        <f t="shared" ref="AD1923" si="7686">IFERROR((AC1923/AB1923),"-")</f>
        <v>-</v>
      </c>
      <c r="AE1923" s="2"/>
      <c r="AF1923" s="884"/>
      <c r="AG1923" s="884"/>
      <c r="AH1923" s="884">
        <v>32.5</v>
      </c>
      <c r="AI1923" s="884"/>
      <c r="AJ1923" s="884">
        <v>260.66000000000003</v>
      </c>
      <c r="AK1923" s="884">
        <f t="shared" ref="AK1923" si="7687">AF1923+AG1923+AH1923+AI1923+AJ1923+AC1923</f>
        <v>338.16</v>
      </c>
      <c r="AL1923" s="884">
        <v>572.64</v>
      </c>
      <c r="AM1923" s="878">
        <f t="shared" ref="AM1923" si="7688">IFERROR((AK1923/AL1923),"-")</f>
        <v>0.59052808046940497</v>
      </c>
      <c r="AN1923" s="2"/>
      <c r="AO1923" s="884">
        <v>364</v>
      </c>
      <c r="AP1923" s="884">
        <f t="shared" ref="AP1923" si="7689">AO1923-AK1923</f>
        <v>25.839999999999975</v>
      </c>
      <c r="AV1923" t="str">
        <f t="shared" si="7473"/>
        <v>Drenagem Superficial</v>
      </c>
      <c r="AW1923" s="4" t="str">
        <f t="shared" si="7464"/>
        <v xml:space="preserve">   Seg. 2.2-C03 - Drenagem Superficial - Valetas de proteção de corte (Km 105+620 a 105+960)</v>
      </c>
    </row>
    <row r="1924" spans="1:49" ht="15.6" hidden="1" customHeight="1" outlineLevel="2">
      <c r="A1924" s="8" t="str">
        <f t="shared" ref="A1924" si="7690">A1923</f>
        <v>N</v>
      </c>
      <c r="B1924" s="150"/>
      <c r="C1924" s="150" t="s">
        <v>2233</v>
      </c>
      <c r="D1924" s="120" t="s">
        <v>184</v>
      </c>
      <c r="E1924" s="893"/>
      <c r="F1924" s="902"/>
      <c r="G1924" s="528"/>
      <c r="H1924" s="549" t="s">
        <v>38</v>
      </c>
      <c r="I1924" s="711">
        <v>0</v>
      </c>
      <c r="J1924" s="897"/>
      <c r="K1924" s="528"/>
      <c r="L1924" s="549" t="s">
        <v>38</v>
      </c>
      <c r="M1924" s="711">
        <f t="shared" si="7637"/>
        <v>0</v>
      </c>
      <c r="N1924" s="897"/>
      <c r="O1924" s="528"/>
      <c r="P1924" s="548">
        <v>0</v>
      </c>
      <c r="Q1924" s="548">
        <v>0</v>
      </c>
      <c r="R1924" s="548">
        <v>0</v>
      </c>
      <c r="S1924" s="548">
        <v>0</v>
      </c>
      <c r="T1924" s="548">
        <v>0</v>
      </c>
      <c r="U1924" s="548">
        <v>0</v>
      </c>
      <c r="V1924" s="548"/>
      <c r="W1924" s="528"/>
      <c r="X1924" s="711">
        <f t="shared" si="7639"/>
        <v>0</v>
      </c>
      <c r="Y1924" s="897"/>
      <c r="Z1924" s="528"/>
      <c r="AA1924" s="899"/>
      <c r="AB1924" s="899"/>
      <c r="AC1924" s="904"/>
      <c r="AD1924" s="901"/>
      <c r="AE1924" s="2"/>
      <c r="AF1924" s="885"/>
      <c r="AG1924" s="885"/>
      <c r="AH1924" s="885"/>
      <c r="AI1924" s="885"/>
      <c r="AJ1924" s="885"/>
      <c r="AK1924" s="885"/>
      <c r="AL1924" s="885"/>
      <c r="AM1924" s="879"/>
      <c r="AN1924" s="2"/>
      <c r="AO1924" s="886"/>
      <c r="AP1924" s="886"/>
      <c r="AV1924" t="str">
        <f t="shared" si="7473"/>
        <v>Drenagem Superficial</v>
      </c>
      <c r="AW1924" s="4" t="str">
        <f t="shared" si="7464"/>
        <v xml:space="preserve">   Seg. 2.2-C03 - Drenagem Superficial - Valetas de proteção de corte (Km 105+620 a 105+960)</v>
      </c>
    </row>
    <row r="1925" spans="1:49" ht="15.6" hidden="1" customHeight="1" outlineLevel="2">
      <c r="A1925" s="8" t="str">
        <f t="shared" ref="A1925" si="7691">IF(SUM(P1925:V1926)&gt;0,"S","N")</f>
        <v>N</v>
      </c>
      <c r="B1925" s="150">
        <v>1061585</v>
      </c>
      <c r="C1925" s="150" t="s">
        <v>2235</v>
      </c>
      <c r="D1925" s="120" t="s">
        <v>191</v>
      </c>
      <c r="E1925" s="892" t="s">
        <v>2236</v>
      </c>
      <c r="F1925" s="902" t="s">
        <v>52</v>
      </c>
      <c r="G1925" s="528"/>
      <c r="H1925" s="546" t="s">
        <v>37</v>
      </c>
      <c r="I1925" s="711">
        <v>0</v>
      </c>
      <c r="J1925" s="896" t="str">
        <f t="shared" ref="J1925" si="7692">IFERROR((I1926/I1925),"-")</f>
        <v>-</v>
      </c>
      <c r="K1925" s="528"/>
      <c r="L1925" s="546" t="s">
        <v>37</v>
      </c>
      <c r="M1925" s="711">
        <f t="shared" si="7637"/>
        <v>0</v>
      </c>
      <c r="N1925" s="896" t="str">
        <f t="shared" ref="N1925" si="7693">IFERROR((M1926/M1925),"-")</f>
        <v>-</v>
      </c>
      <c r="O1925" s="528"/>
      <c r="P1925" s="547">
        <v>0</v>
      </c>
      <c r="Q1925" s="547">
        <v>0</v>
      </c>
      <c r="R1925" s="547">
        <v>0</v>
      </c>
      <c r="S1925" s="547">
        <v>0</v>
      </c>
      <c r="T1925" s="547">
        <v>0</v>
      </c>
      <c r="U1925" s="547">
        <v>0</v>
      </c>
      <c r="V1925" s="548">
        <v>0</v>
      </c>
      <c r="W1925" s="528"/>
      <c r="X1925" s="711">
        <f t="shared" si="7639"/>
        <v>0</v>
      </c>
      <c r="Y1925" s="896" t="str">
        <f>IFERROR((X1926/X1925),"-")</f>
        <v>-</v>
      </c>
      <c r="Z1925" s="528"/>
      <c r="AA1925" s="898">
        <v>0</v>
      </c>
      <c r="AB1925" s="898">
        <v>0</v>
      </c>
      <c r="AC1925" s="903">
        <v>0</v>
      </c>
      <c r="AD1925" s="900" t="str">
        <f t="shared" ref="AD1925" si="7694">IFERROR((AC1925/AB1925),"-")</f>
        <v>-</v>
      </c>
      <c r="AE1925" s="2"/>
      <c r="AF1925" s="884">
        <v>326.339</v>
      </c>
      <c r="AG1925" s="884"/>
      <c r="AH1925" s="884">
        <v>0</v>
      </c>
      <c r="AI1925" s="884"/>
      <c r="AJ1925" s="884"/>
      <c r="AK1925" s="884">
        <f t="shared" ref="AK1925" si="7695">AF1925+AG1925+AH1925+AI1925+AJ1925+AC1925</f>
        <v>326.339</v>
      </c>
      <c r="AL1925" s="884">
        <v>115</v>
      </c>
      <c r="AM1925" s="878">
        <f t="shared" ref="AM1925" si="7696">IFERROR((AK1925/AL1925),"-")</f>
        <v>2.8377304347826087</v>
      </c>
      <c r="AN1925" s="2"/>
      <c r="AO1925" s="884">
        <v>115</v>
      </c>
      <c r="AP1925" s="884">
        <f t="shared" ref="AP1925" si="7697">AO1925-AK1925</f>
        <v>-211.339</v>
      </c>
      <c r="AV1925" t="str">
        <f t="shared" si="7473"/>
        <v>Drenagem Superficial</v>
      </c>
      <c r="AW1925" s="4" t="str">
        <f t="shared" si="7464"/>
        <v xml:space="preserve">   Seg. 2.2-C05 - Drenagem Superficial - Valetas de proteção de corte (Km 107+720 a 107+800)</v>
      </c>
    </row>
    <row r="1926" spans="1:49" ht="15.6" hidden="1" customHeight="1" outlineLevel="2">
      <c r="A1926" s="8" t="str">
        <f t="shared" ref="A1926" si="7698">A1925</f>
        <v>N</v>
      </c>
      <c r="B1926" s="150"/>
      <c r="C1926" s="150" t="s">
        <v>2235</v>
      </c>
      <c r="D1926" s="120" t="s">
        <v>191</v>
      </c>
      <c r="E1926" s="893"/>
      <c r="F1926" s="902"/>
      <c r="G1926" s="528"/>
      <c r="H1926" s="549" t="s">
        <v>38</v>
      </c>
      <c r="I1926" s="711">
        <v>0</v>
      </c>
      <c r="J1926" s="897"/>
      <c r="K1926" s="528"/>
      <c r="L1926" s="549" t="s">
        <v>38</v>
      </c>
      <c r="M1926" s="711">
        <f t="shared" si="7637"/>
        <v>0</v>
      </c>
      <c r="N1926" s="897"/>
      <c r="O1926" s="528"/>
      <c r="P1926" s="548">
        <v>0</v>
      </c>
      <c r="Q1926" s="548">
        <v>0</v>
      </c>
      <c r="R1926" s="548">
        <v>0</v>
      </c>
      <c r="S1926" s="548">
        <v>0</v>
      </c>
      <c r="T1926" s="548">
        <v>0</v>
      </c>
      <c r="U1926" s="548">
        <v>0</v>
      </c>
      <c r="V1926" s="548"/>
      <c r="W1926" s="528"/>
      <c r="X1926" s="711">
        <f t="shared" si="7639"/>
        <v>0</v>
      </c>
      <c r="Y1926" s="897"/>
      <c r="Z1926" s="528"/>
      <c r="AA1926" s="899"/>
      <c r="AB1926" s="899"/>
      <c r="AC1926" s="904"/>
      <c r="AD1926" s="901"/>
      <c r="AE1926" s="2"/>
      <c r="AF1926" s="885"/>
      <c r="AG1926" s="885"/>
      <c r="AH1926" s="885"/>
      <c r="AI1926" s="885"/>
      <c r="AJ1926" s="885"/>
      <c r="AK1926" s="885"/>
      <c r="AL1926" s="885"/>
      <c r="AM1926" s="879"/>
      <c r="AN1926" s="2"/>
      <c r="AO1926" s="886"/>
      <c r="AP1926" s="886"/>
      <c r="AV1926" t="str">
        <f t="shared" si="7473"/>
        <v>Drenagem Superficial</v>
      </c>
      <c r="AW1926" s="4" t="str">
        <f t="shared" si="7464"/>
        <v xml:space="preserve">   Seg. 2.2-C05 - Drenagem Superficial - Valetas de proteção de corte (Km 107+720 a 107+800)</v>
      </c>
    </row>
    <row r="1927" spans="1:49" ht="15.6" hidden="1" customHeight="1" outlineLevel="2">
      <c r="A1927" s="8" t="str">
        <f t="shared" ref="A1927" si="7699">IF(SUM(P1927:V1928)&gt;0,"S","N")</f>
        <v>N</v>
      </c>
      <c r="B1927" s="150">
        <v>1061589</v>
      </c>
      <c r="C1927" s="150" t="s">
        <v>2237</v>
      </c>
      <c r="D1927" s="120" t="s">
        <v>178</v>
      </c>
      <c r="E1927" s="892" t="s">
        <v>2238</v>
      </c>
      <c r="F1927" s="902" t="s">
        <v>52</v>
      </c>
      <c r="G1927" s="528"/>
      <c r="H1927" s="546" t="s">
        <v>37</v>
      </c>
      <c r="I1927" s="711">
        <v>0</v>
      </c>
      <c r="J1927" s="896" t="str">
        <f t="shared" ref="J1927" si="7700">IFERROR((I1928/I1927),"-")</f>
        <v>-</v>
      </c>
      <c r="K1927" s="528"/>
      <c r="L1927" s="546" t="s">
        <v>37</v>
      </c>
      <c r="M1927" s="711">
        <f t="shared" si="7637"/>
        <v>0</v>
      </c>
      <c r="N1927" s="896" t="str">
        <f t="shared" ref="N1927" si="7701">IFERROR((M1928/M1927),"-")</f>
        <v>-</v>
      </c>
      <c r="O1927" s="528"/>
      <c r="P1927" s="547">
        <v>0</v>
      </c>
      <c r="Q1927" s="547">
        <v>0</v>
      </c>
      <c r="R1927" s="547">
        <v>0</v>
      </c>
      <c r="S1927" s="547">
        <v>0</v>
      </c>
      <c r="T1927" s="547">
        <v>0</v>
      </c>
      <c r="U1927" s="547">
        <v>0</v>
      </c>
      <c r="V1927" s="548">
        <v>0</v>
      </c>
      <c r="W1927" s="528"/>
      <c r="X1927" s="711">
        <f t="shared" si="7639"/>
        <v>0</v>
      </c>
      <c r="Y1927" s="896" t="str">
        <f>IFERROR((X1928/X1927),"-")</f>
        <v>-</v>
      </c>
      <c r="Z1927" s="528"/>
      <c r="AA1927" s="898">
        <v>0</v>
      </c>
      <c r="AB1927" s="898">
        <v>0</v>
      </c>
      <c r="AC1927" s="903">
        <v>0</v>
      </c>
      <c r="AD1927" s="900" t="str">
        <f t="shared" ref="AD1927" si="7702">IFERROR((AC1927/AB1927),"-")</f>
        <v>-</v>
      </c>
      <c r="AE1927" s="2"/>
      <c r="AF1927" s="884">
        <v>52.622</v>
      </c>
      <c r="AG1927" s="884"/>
      <c r="AH1927" s="884">
        <v>0</v>
      </c>
      <c r="AI1927" s="884"/>
      <c r="AJ1927" s="884"/>
      <c r="AK1927" s="884">
        <f t="shared" ref="AK1927" si="7703">AF1927+AG1927+AH1927+AI1927+AJ1927+AC1927</f>
        <v>52.622</v>
      </c>
      <c r="AL1927" s="884">
        <v>53.02</v>
      </c>
      <c r="AM1927" s="878">
        <f t="shared" ref="AM1927" si="7704">IFERROR((AK1927/AL1927),"-")</f>
        <v>0.992493398717465</v>
      </c>
      <c r="AN1927" s="2"/>
      <c r="AO1927" s="884">
        <v>57.61</v>
      </c>
      <c r="AP1927" s="884">
        <f t="shared" ref="AP1927" si="7705">AO1927-AK1927</f>
        <v>4.9879999999999995</v>
      </c>
      <c r="AV1927" t="str">
        <f t="shared" si="7473"/>
        <v>Drenagem Superficial</v>
      </c>
      <c r="AW1927" s="4" t="str">
        <f t="shared" si="7464"/>
        <v xml:space="preserve">   Seg. 2.2-C06 - Drenagem Superficial - Valetas de proteção de corte (Km 108+360 a 108+400)</v>
      </c>
    </row>
    <row r="1928" spans="1:49" ht="15.6" hidden="1" customHeight="1" outlineLevel="2">
      <c r="A1928" s="8" t="str">
        <f t="shared" ref="A1928" si="7706">A1927</f>
        <v>N</v>
      </c>
      <c r="B1928" s="150"/>
      <c r="C1928" s="150" t="s">
        <v>2237</v>
      </c>
      <c r="D1928" s="120" t="s">
        <v>178</v>
      </c>
      <c r="E1928" s="893"/>
      <c r="F1928" s="902"/>
      <c r="G1928" s="528"/>
      <c r="H1928" s="549" t="s">
        <v>38</v>
      </c>
      <c r="I1928" s="711">
        <v>0</v>
      </c>
      <c r="J1928" s="897"/>
      <c r="K1928" s="528"/>
      <c r="L1928" s="549" t="s">
        <v>38</v>
      </c>
      <c r="M1928" s="711">
        <f t="shared" si="7637"/>
        <v>0</v>
      </c>
      <c r="N1928" s="897"/>
      <c r="O1928" s="528"/>
      <c r="P1928" s="548">
        <v>0</v>
      </c>
      <c r="Q1928" s="548">
        <v>0</v>
      </c>
      <c r="R1928" s="548">
        <v>0</v>
      </c>
      <c r="S1928" s="548">
        <v>0</v>
      </c>
      <c r="T1928" s="548">
        <v>0</v>
      </c>
      <c r="U1928" s="548">
        <v>0</v>
      </c>
      <c r="V1928" s="548"/>
      <c r="W1928" s="528"/>
      <c r="X1928" s="711">
        <f t="shared" si="7639"/>
        <v>0</v>
      </c>
      <c r="Y1928" s="897"/>
      <c r="Z1928" s="528"/>
      <c r="AA1928" s="899"/>
      <c r="AB1928" s="899"/>
      <c r="AC1928" s="904"/>
      <c r="AD1928" s="901"/>
      <c r="AE1928" s="2"/>
      <c r="AF1928" s="885"/>
      <c r="AG1928" s="885"/>
      <c r="AH1928" s="885"/>
      <c r="AI1928" s="885"/>
      <c r="AJ1928" s="885"/>
      <c r="AK1928" s="885"/>
      <c r="AL1928" s="885"/>
      <c r="AM1928" s="879"/>
      <c r="AN1928" s="2"/>
      <c r="AO1928" s="886"/>
      <c r="AP1928" s="886"/>
      <c r="AV1928" t="str">
        <f t="shared" si="7473"/>
        <v>Drenagem Superficial</v>
      </c>
      <c r="AW1928" s="4" t="str">
        <f t="shared" si="7464"/>
        <v xml:space="preserve">   Seg. 2.2-C06 - Drenagem Superficial - Valetas de proteção de corte (Km 108+360 a 108+400)</v>
      </c>
    </row>
    <row r="1929" spans="1:49" ht="15.6" hidden="1" customHeight="1" outlineLevel="2">
      <c r="A1929" s="209" t="str">
        <f t="shared" ref="A1929" si="7707">IF(SUM(P1929:V1930)&gt;0,"S","N")</f>
        <v>N</v>
      </c>
      <c r="B1929" s="150">
        <v>1061593</v>
      </c>
      <c r="C1929" s="150" t="s">
        <v>2239</v>
      </c>
      <c r="D1929" s="120" t="s">
        <v>194</v>
      </c>
      <c r="E1929" s="892" t="s">
        <v>2240</v>
      </c>
      <c r="F1929" s="902" t="s">
        <v>52</v>
      </c>
      <c r="G1929" s="528"/>
      <c r="H1929" s="546" t="s">
        <v>37</v>
      </c>
      <c r="I1929" s="711">
        <v>0</v>
      </c>
      <c r="J1929" s="896" t="str">
        <f t="shared" ref="J1929" si="7708">IFERROR((I1930/I1929),"-")</f>
        <v>-</v>
      </c>
      <c r="K1929" s="528"/>
      <c r="L1929" s="546" t="s">
        <v>37</v>
      </c>
      <c r="M1929" s="711">
        <f t="shared" si="7637"/>
        <v>0</v>
      </c>
      <c r="N1929" s="896" t="str">
        <f t="shared" ref="N1929" si="7709">IFERROR((M1930/M1929),"-")</f>
        <v>-</v>
      </c>
      <c r="O1929" s="528"/>
      <c r="P1929" s="547">
        <v>0</v>
      </c>
      <c r="Q1929" s="547">
        <v>0</v>
      </c>
      <c r="R1929" s="547">
        <v>0</v>
      </c>
      <c r="S1929" s="547">
        <v>0</v>
      </c>
      <c r="T1929" s="547">
        <v>0</v>
      </c>
      <c r="U1929" s="547">
        <v>0</v>
      </c>
      <c r="V1929" s="548">
        <v>0</v>
      </c>
      <c r="W1929" s="528"/>
      <c r="X1929" s="711">
        <f t="shared" si="7639"/>
        <v>0</v>
      </c>
      <c r="Y1929" s="896" t="str">
        <f>IFERROR((X1930/X1929),"-")</f>
        <v>-</v>
      </c>
      <c r="Z1929" s="528"/>
      <c r="AA1929" s="898">
        <v>0</v>
      </c>
      <c r="AB1929" s="898">
        <v>0</v>
      </c>
      <c r="AC1929" s="903">
        <v>0</v>
      </c>
      <c r="AD1929" s="900" t="str">
        <f t="shared" ref="AD1929" si="7710">IFERROR((AC1929/AB1929),"-")</f>
        <v>-</v>
      </c>
      <c r="AE1929" s="2"/>
      <c r="AF1929" s="884">
        <v>671.85599999999999</v>
      </c>
      <c r="AG1929" s="884"/>
      <c r="AH1929" s="884">
        <v>0</v>
      </c>
      <c r="AI1929" s="884"/>
      <c r="AJ1929" s="884"/>
      <c r="AK1929" s="884">
        <f t="shared" ref="AK1929" si="7711">AF1929+AG1929+AH1929+AI1929+AJ1929+AC1929</f>
        <v>671.85599999999999</v>
      </c>
      <c r="AL1929" s="884">
        <v>39.79</v>
      </c>
      <c r="AM1929" s="878">
        <f t="shared" ref="AM1929" si="7712">IFERROR((AK1929/AL1929),"-")</f>
        <v>16.885046494093995</v>
      </c>
      <c r="AN1929" s="2"/>
      <c r="AO1929" s="884">
        <v>991.89</v>
      </c>
      <c r="AP1929" s="884">
        <f t="shared" ref="AP1929" si="7713">AO1929-AK1929</f>
        <v>320.03399999999999</v>
      </c>
      <c r="AV1929" t="str">
        <f t="shared" si="7473"/>
        <v>Drenagem Superficial</v>
      </c>
      <c r="AW1929" s="4" t="str">
        <f t="shared" ref="AW1929:AW1992" si="7714">IF(E1929&lt;&gt;"",E1929,AW1928)</f>
        <v xml:space="preserve">   Seg. 2.2-C07 - Drenagem Superficial - Valetas de proteção de corte (Km 108+560 a 109+200)</v>
      </c>
    </row>
    <row r="1930" spans="1:49" ht="15.6" hidden="1" customHeight="1" outlineLevel="2">
      <c r="A1930" s="209" t="str">
        <f t="shared" ref="A1930" si="7715">A1929</f>
        <v>N</v>
      </c>
      <c r="B1930" s="150"/>
      <c r="C1930" s="150" t="s">
        <v>2239</v>
      </c>
      <c r="D1930" s="120" t="s">
        <v>194</v>
      </c>
      <c r="E1930" s="893"/>
      <c r="F1930" s="902"/>
      <c r="G1930" s="528"/>
      <c r="H1930" s="549" t="s">
        <v>38</v>
      </c>
      <c r="I1930" s="711">
        <v>0</v>
      </c>
      <c r="J1930" s="897"/>
      <c r="K1930" s="528"/>
      <c r="L1930" s="549" t="s">
        <v>38</v>
      </c>
      <c r="M1930" s="711">
        <f t="shared" si="7637"/>
        <v>0</v>
      </c>
      <c r="N1930" s="897"/>
      <c r="O1930" s="528"/>
      <c r="P1930" s="548">
        <v>0</v>
      </c>
      <c r="Q1930" s="548">
        <v>0</v>
      </c>
      <c r="R1930" s="548">
        <v>0</v>
      </c>
      <c r="S1930" s="548">
        <v>0</v>
      </c>
      <c r="T1930" s="548">
        <v>0</v>
      </c>
      <c r="U1930" s="548">
        <v>0</v>
      </c>
      <c r="V1930" s="548"/>
      <c r="W1930" s="528"/>
      <c r="X1930" s="711">
        <f t="shared" si="7639"/>
        <v>0</v>
      </c>
      <c r="Y1930" s="897"/>
      <c r="Z1930" s="528"/>
      <c r="AA1930" s="899"/>
      <c r="AB1930" s="899"/>
      <c r="AC1930" s="904"/>
      <c r="AD1930" s="901"/>
      <c r="AE1930" s="2"/>
      <c r="AF1930" s="885"/>
      <c r="AG1930" s="885"/>
      <c r="AH1930" s="885"/>
      <c r="AI1930" s="885"/>
      <c r="AJ1930" s="885"/>
      <c r="AK1930" s="885"/>
      <c r="AL1930" s="885"/>
      <c r="AM1930" s="879"/>
      <c r="AN1930" s="2"/>
      <c r="AO1930" s="886"/>
      <c r="AP1930" s="886"/>
      <c r="AV1930" t="str">
        <f t="shared" ref="AV1930:AV1993" si="7716">IF(AX1930="Y",LEFT(E1930,20),IF(AX1930="x",E1930,AV1929))</f>
        <v>Drenagem Superficial</v>
      </c>
      <c r="AW1930" s="4" t="str">
        <f t="shared" si="7714"/>
        <v xml:space="preserve">   Seg. 2.2-C07 - Drenagem Superficial - Valetas de proteção de corte (Km 108+560 a 109+200)</v>
      </c>
    </row>
    <row r="1931" spans="1:49" ht="15.6" hidden="1" customHeight="1" outlineLevel="2">
      <c r="A1931" s="8" t="str">
        <f t="shared" ref="A1931" si="7717">IF(SUM(P1931:V1932)&gt;0,"S","N")</f>
        <v>N</v>
      </c>
      <c r="B1931" s="150">
        <v>1061598</v>
      </c>
      <c r="C1931" s="150" t="s">
        <v>2241</v>
      </c>
      <c r="D1931" s="120" t="s">
        <v>197</v>
      </c>
      <c r="E1931" s="892" t="s">
        <v>2242</v>
      </c>
      <c r="F1931" s="902" t="s">
        <v>52</v>
      </c>
      <c r="G1931" s="528"/>
      <c r="H1931" s="546" t="s">
        <v>37</v>
      </c>
      <c r="I1931" s="711">
        <v>330</v>
      </c>
      <c r="J1931" s="896">
        <f t="shared" ref="J1931" si="7718">IFERROR((I1932/I1931),"-")</f>
        <v>0</v>
      </c>
      <c r="K1931" s="528"/>
      <c r="L1931" s="546" t="s">
        <v>37</v>
      </c>
      <c r="M1931" s="711">
        <f t="shared" si="7637"/>
        <v>0</v>
      </c>
      <c r="N1931" s="896" t="str">
        <f t="shared" ref="N1931" si="7719">IFERROR((M1932/M1931),"-")</f>
        <v>-</v>
      </c>
      <c r="O1931" s="528"/>
      <c r="P1931" s="547">
        <v>0</v>
      </c>
      <c r="Q1931" s="547">
        <v>0</v>
      </c>
      <c r="R1931" s="547">
        <v>0</v>
      </c>
      <c r="S1931" s="547">
        <v>0</v>
      </c>
      <c r="T1931" s="547">
        <v>0</v>
      </c>
      <c r="U1931" s="547">
        <v>0</v>
      </c>
      <c r="V1931" s="548">
        <v>0</v>
      </c>
      <c r="W1931" s="528"/>
      <c r="X1931" s="711">
        <f t="shared" si="7639"/>
        <v>0</v>
      </c>
      <c r="Y1931" s="896" t="str">
        <f>IFERROR((X1932/X1931),"-")</f>
        <v>-</v>
      </c>
      <c r="Z1931" s="528"/>
      <c r="AA1931" s="898">
        <v>0</v>
      </c>
      <c r="AB1931" s="898">
        <v>0</v>
      </c>
      <c r="AC1931" s="903">
        <v>0</v>
      </c>
      <c r="AD1931" s="900" t="str">
        <f t="shared" ref="AD1931" si="7720">IFERROR((AC1931/AB1931),"-")</f>
        <v>-</v>
      </c>
      <c r="AE1931" s="2"/>
      <c r="AF1931" s="884"/>
      <c r="AG1931" s="884"/>
      <c r="AH1931" s="884">
        <v>0</v>
      </c>
      <c r="AI1931" s="884"/>
      <c r="AJ1931" s="884"/>
      <c r="AK1931" s="884">
        <f t="shared" ref="AK1931" si="7721">AF1931+AG1931+AH1931+AI1931+AJ1931+AC1931</f>
        <v>0</v>
      </c>
      <c r="AL1931" s="884">
        <v>0</v>
      </c>
      <c r="AM1931" s="878" t="str">
        <f t="shared" ref="AM1931" si="7722">IFERROR((AK1931/AL1931),"-")</f>
        <v>-</v>
      </c>
      <c r="AN1931" s="2"/>
      <c r="AO1931" s="884">
        <v>51.92</v>
      </c>
      <c r="AP1931" s="884">
        <f t="shared" ref="AP1931" si="7723">AO1931-AK1931</f>
        <v>51.92</v>
      </c>
      <c r="AV1931" t="str">
        <f t="shared" si="7716"/>
        <v>Drenagem Superficial</v>
      </c>
      <c r="AW1931" s="4" t="str">
        <f t="shared" si="7714"/>
        <v xml:space="preserve">   Seg. 2.2-C08 - Drenagem Superficial - Valetas de proteção de corte (km 109+280 a 109+440)</v>
      </c>
    </row>
    <row r="1932" spans="1:49" ht="15.6" hidden="1" customHeight="1" outlineLevel="2">
      <c r="A1932" s="8" t="str">
        <f t="shared" ref="A1932" si="7724">A1931</f>
        <v>N</v>
      </c>
      <c r="B1932" s="150"/>
      <c r="C1932" s="150" t="s">
        <v>2241</v>
      </c>
      <c r="D1932" s="120" t="s">
        <v>197</v>
      </c>
      <c r="E1932" s="893"/>
      <c r="F1932" s="902"/>
      <c r="G1932" s="528"/>
      <c r="H1932" s="549" t="s">
        <v>38</v>
      </c>
      <c r="I1932" s="711">
        <v>0</v>
      </c>
      <c r="J1932" s="897"/>
      <c r="K1932" s="528"/>
      <c r="L1932" s="549" t="s">
        <v>38</v>
      </c>
      <c r="M1932" s="711">
        <f t="shared" si="7637"/>
        <v>0</v>
      </c>
      <c r="N1932" s="897"/>
      <c r="O1932" s="528"/>
      <c r="P1932" s="548">
        <v>0</v>
      </c>
      <c r="Q1932" s="548">
        <v>0</v>
      </c>
      <c r="R1932" s="548">
        <v>0</v>
      </c>
      <c r="S1932" s="548">
        <v>0</v>
      </c>
      <c r="T1932" s="548">
        <v>0</v>
      </c>
      <c r="U1932" s="548">
        <v>0</v>
      </c>
      <c r="V1932" s="548"/>
      <c r="W1932" s="528"/>
      <c r="X1932" s="711">
        <f t="shared" si="7639"/>
        <v>0</v>
      </c>
      <c r="Y1932" s="897"/>
      <c r="Z1932" s="528"/>
      <c r="AA1932" s="899"/>
      <c r="AB1932" s="899"/>
      <c r="AC1932" s="904"/>
      <c r="AD1932" s="901"/>
      <c r="AE1932" s="2"/>
      <c r="AF1932" s="885"/>
      <c r="AG1932" s="885"/>
      <c r="AH1932" s="885"/>
      <c r="AI1932" s="885"/>
      <c r="AJ1932" s="885"/>
      <c r="AK1932" s="885"/>
      <c r="AL1932" s="885"/>
      <c r="AM1932" s="879"/>
      <c r="AN1932" s="2"/>
      <c r="AO1932" s="886"/>
      <c r="AP1932" s="886"/>
      <c r="AV1932" t="str">
        <f t="shared" si="7716"/>
        <v>Drenagem Superficial</v>
      </c>
      <c r="AW1932" s="4" t="str">
        <f t="shared" si="7714"/>
        <v xml:space="preserve">   Seg. 2.2-C08 - Drenagem Superficial - Valetas de proteção de corte (km 109+280 a 109+440)</v>
      </c>
    </row>
    <row r="1933" spans="1:49" ht="15.6" hidden="1" customHeight="1" outlineLevel="2">
      <c r="A1933" s="8" t="str">
        <f t="shared" ref="A1933" si="7725">IF(SUM(P1933:V1934)&gt;0,"S","N")</f>
        <v>N</v>
      </c>
      <c r="B1933" s="150">
        <v>1061600</v>
      </c>
      <c r="C1933" s="150" t="s">
        <v>2243</v>
      </c>
      <c r="D1933" s="120" t="s">
        <v>200</v>
      </c>
      <c r="E1933" s="892" t="s">
        <v>2244</v>
      </c>
      <c r="F1933" s="902" t="s">
        <v>52</v>
      </c>
      <c r="G1933" s="528"/>
      <c r="H1933" s="546" t="s">
        <v>37</v>
      </c>
      <c r="I1933" s="711">
        <v>0</v>
      </c>
      <c r="J1933" s="896" t="str">
        <f t="shared" ref="J1933" si="7726">IFERROR((I1934/I1933),"-")</f>
        <v>-</v>
      </c>
      <c r="K1933" s="528"/>
      <c r="L1933" s="546" t="s">
        <v>37</v>
      </c>
      <c r="M1933" s="711">
        <f t="shared" si="7637"/>
        <v>0</v>
      </c>
      <c r="N1933" s="896" t="str">
        <f t="shared" ref="N1933" si="7727">IFERROR((M1934/M1933),"-")</f>
        <v>-</v>
      </c>
      <c r="O1933" s="528"/>
      <c r="P1933" s="547">
        <v>0</v>
      </c>
      <c r="Q1933" s="547">
        <v>0</v>
      </c>
      <c r="R1933" s="547">
        <v>0</v>
      </c>
      <c r="S1933" s="547">
        <v>0</v>
      </c>
      <c r="T1933" s="547">
        <v>0</v>
      </c>
      <c r="U1933" s="547">
        <v>0</v>
      </c>
      <c r="V1933" s="548">
        <v>0</v>
      </c>
      <c r="W1933" s="528"/>
      <c r="X1933" s="711">
        <f t="shared" si="7639"/>
        <v>0</v>
      </c>
      <c r="Y1933" s="896" t="str">
        <f>IFERROR((X1934/X1933),"-")</f>
        <v>-</v>
      </c>
      <c r="Z1933" s="528"/>
      <c r="AA1933" s="898">
        <v>0</v>
      </c>
      <c r="AB1933" s="898">
        <v>0</v>
      </c>
      <c r="AC1933" s="903">
        <v>0</v>
      </c>
      <c r="AD1933" s="900" t="str">
        <f t="shared" ref="AD1933" si="7728">IFERROR((AC1933/AB1933),"-")</f>
        <v>-</v>
      </c>
      <c r="AE1933" s="2"/>
      <c r="AF1933" s="884">
        <v>286.45</v>
      </c>
      <c r="AG1933" s="884"/>
      <c r="AH1933" s="884">
        <v>0</v>
      </c>
      <c r="AI1933" s="884">
        <v>5.6239999999999997</v>
      </c>
      <c r="AJ1933" s="884"/>
      <c r="AK1933" s="884">
        <f t="shared" ref="AK1933" si="7729">AF1933+AG1933+AH1933+AI1933+AJ1933+AC1933</f>
        <v>292.07400000000001</v>
      </c>
      <c r="AL1933" s="884">
        <v>280.95999999999833</v>
      </c>
      <c r="AM1933" s="878">
        <f t="shared" ref="AM1933" si="7730">IFERROR((AK1933/AL1933),"-")</f>
        <v>1.0395572323462476</v>
      </c>
      <c r="AN1933" s="2"/>
      <c r="AO1933" s="884">
        <v>280.73</v>
      </c>
      <c r="AP1933" s="884">
        <f t="shared" ref="AP1933" si="7731">AO1933-AK1933</f>
        <v>-11.343999999999994</v>
      </c>
      <c r="AV1933" t="str">
        <f t="shared" si="7716"/>
        <v>Drenagem Superficial</v>
      </c>
      <c r="AW1933" s="4" t="str">
        <f t="shared" si="7714"/>
        <v xml:space="preserve">   Seg. 2.2-C09 - Drenagem Superficial - Valetas de proteção de corte (Km 109+590 a 109+990 e 110+040 a 110+840)</v>
      </c>
    </row>
    <row r="1934" spans="1:49" ht="15.6" hidden="1" customHeight="1" outlineLevel="2">
      <c r="A1934" s="8" t="str">
        <f t="shared" ref="A1934" si="7732">A1933</f>
        <v>N</v>
      </c>
      <c r="B1934" s="150"/>
      <c r="C1934" s="150" t="s">
        <v>2243</v>
      </c>
      <c r="D1934" s="120" t="s">
        <v>200</v>
      </c>
      <c r="E1934" s="893"/>
      <c r="F1934" s="902"/>
      <c r="G1934" s="528"/>
      <c r="H1934" s="549" t="s">
        <v>38</v>
      </c>
      <c r="I1934" s="711">
        <v>0</v>
      </c>
      <c r="J1934" s="897"/>
      <c r="K1934" s="528"/>
      <c r="L1934" s="549" t="s">
        <v>38</v>
      </c>
      <c r="M1934" s="711">
        <f t="shared" si="7637"/>
        <v>0</v>
      </c>
      <c r="N1934" s="897"/>
      <c r="O1934" s="528"/>
      <c r="P1934" s="548">
        <v>0</v>
      </c>
      <c r="Q1934" s="548">
        <v>0</v>
      </c>
      <c r="R1934" s="548">
        <v>0</v>
      </c>
      <c r="S1934" s="548">
        <v>0</v>
      </c>
      <c r="T1934" s="548">
        <v>0</v>
      </c>
      <c r="U1934" s="548">
        <v>0</v>
      </c>
      <c r="V1934" s="548"/>
      <c r="W1934" s="528"/>
      <c r="X1934" s="711">
        <f t="shared" si="7639"/>
        <v>0</v>
      </c>
      <c r="Y1934" s="897"/>
      <c r="Z1934" s="528"/>
      <c r="AA1934" s="899"/>
      <c r="AB1934" s="899"/>
      <c r="AC1934" s="904"/>
      <c r="AD1934" s="901"/>
      <c r="AE1934" s="2"/>
      <c r="AF1934" s="885"/>
      <c r="AG1934" s="885"/>
      <c r="AH1934" s="885"/>
      <c r="AI1934" s="885"/>
      <c r="AJ1934" s="885"/>
      <c r="AK1934" s="885"/>
      <c r="AL1934" s="885"/>
      <c r="AM1934" s="879"/>
      <c r="AN1934" s="2"/>
      <c r="AO1934" s="886"/>
      <c r="AP1934" s="886"/>
      <c r="AV1934" t="str">
        <f t="shared" si="7716"/>
        <v>Drenagem Superficial</v>
      </c>
      <c r="AW1934" s="4" t="str">
        <f t="shared" si="7714"/>
        <v xml:space="preserve">   Seg. 2.2-C09 - Drenagem Superficial - Valetas de proteção de corte (Km 109+590 a 109+990 e 110+040 a 110+840)</v>
      </c>
    </row>
    <row r="1935" spans="1:49" ht="15.6" hidden="1" customHeight="1" outlineLevel="2">
      <c r="A1935" s="8" t="str">
        <f t="shared" ref="A1935" si="7733">IF(SUM(P1935:V1936)&gt;0,"S","N")</f>
        <v>N</v>
      </c>
      <c r="B1935" s="150">
        <v>1061604</v>
      </c>
      <c r="C1935" s="150" t="s">
        <v>2245</v>
      </c>
      <c r="D1935" s="120" t="s">
        <v>203</v>
      </c>
      <c r="E1935" s="892" t="s">
        <v>2246</v>
      </c>
      <c r="F1935" s="902" t="s">
        <v>52</v>
      </c>
      <c r="G1935" s="528"/>
      <c r="H1935" s="546" t="s">
        <v>37</v>
      </c>
      <c r="I1935" s="711">
        <v>0</v>
      </c>
      <c r="J1935" s="896" t="str">
        <f t="shared" ref="J1935" si="7734">IFERROR((I1936/I1935),"-")</f>
        <v>-</v>
      </c>
      <c r="K1935" s="528"/>
      <c r="L1935" s="546" t="s">
        <v>37</v>
      </c>
      <c r="M1935" s="711">
        <f t="shared" si="7637"/>
        <v>0</v>
      </c>
      <c r="N1935" s="896" t="str">
        <f t="shared" ref="N1935" si="7735">IFERROR((M1936/M1935),"-")</f>
        <v>-</v>
      </c>
      <c r="O1935" s="528"/>
      <c r="P1935" s="547">
        <v>0</v>
      </c>
      <c r="Q1935" s="547">
        <v>0</v>
      </c>
      <c r="R1935" s="547">
        <v>0</v>
      </c>
      <c r="S1935" s="547">
        <v>0</v>
      </c>
      <c r="T1935" s="547">
        <v>0</v>
      </c>
      <c r="U1935" s="547">
        <v>0</v>
      </c>
      <c r="V1935" s="548">
        <v>0</v>
      </c>
      <c r="W1935" s="528"/>
      <c r="X1935" s="711">
        <f t="shared" si="7639"/>
        <v>0</v>
      </c>
      <c r="Y1935" s="896" t="str">
        <f>IFERROR((X1936/X1935),"-")</f>
        <v>-</v>
      </c>
      <c r="Z1935" s="528"/>
      <c r="AA1935" s="898">
        <v>0</v>
      </c>
      <c r="AB1935" s="898">
        <v>0</v>
      </c>
      <c r="AC1935" s="903">
        <v>0</v>
      </c>
      <c r="AD1935" s="900" t="str">
        <f t="shared" ref="AD1935" si="7736">IFERROR((AC1935/AB1935),"-")</f>
        <v>-</v>
      </c>
      <c r="AE1935" s="2"/>
      <c r="AF1935" s="884">
        <v>62.21</v>
      </c>
      <c r="AG1935" s="884"/>
      <c r="AH1935" s="884">
        <v>0</v>
      </c>
      <c r="AI1935" s="884"/>
      <c r="AJ1935" s="884"/>
      <c r="AK1935" s="884">
        <f t="shared" ref="AK1935" si="7737">AF1935+AG1935+AH1935+AI1935+AJ1935+AC1935</f>
        <v>62.21</v>
      </c>
      <c r="AL1935" s="884">
        <v>58.6</v>
      </c>
      <c r="AM1935" s="878">
        <f t="shared" ref="AM1935" si="7738">IFERROR((AK1935/AL1935),"-")</f>
        <v>1.0616040955631398</v>
      </c>
      <c r="AN1935" s="2"/>
      <c r="AO1935" s="884">
        <v>58.6</v>
      </c>
      <c r="AP1935" s="884">
        <f t="shared" ref="AP1935" si="7739">AO1935-AK1935</f>
        <v>-3.6099999999999994</v>
      </c>
      <c r="AV1935" t="str">
        <f t="shared" si="7716"/>
        <v>Drenagem Superficial</v>
      </c>
      <c r="AW1935" s="4" t="str">
        <f t="shared" si="7714"/>
        <v xml:space="preserve">   Seg. 2.2-C10-B01 - Drenagem Superficial - Valetas de proteção de corte (Km 111+240 a 111+620)</v>
      </c>
    </row>
    <row r="1936" spans="1:49" ht="15.6" hidden="1" customHeight="1" outlineLevel="2">
      <c r="A1936" s="8" t="str">
        <f t="shared" ref="A1936" si="7740">A1935</f>
        <v>N</v>
      </c>
      <c r="B1936" s="150"/>
      <c r="C1936" s="150" t="s">
        <v>2245</v>
      </c>
      <c r="D1936" s="120" t="s">
        <v>203</v>
      </c>
      <c r="E1936" s="893"/>
      <c r="F1936" s="902"/>
      <c r="G1936" s="528"/>
      <c r="H1936" s="549" t="s">
        <v>38</v>
      </c>
      <c r="I1936" s="711">
        <v>0</v>
      </c>
      <c r="J1936" s="897"/>
      <c r="K1936" s="528"/>
      <c r="L1936" s="549" t="s">
        <v>38</v>
      </c>
      <c r="M1936" s="711">
        <f t="shared" si="7637"/>
        <v>0</v>
      </c>
      <c r="N1936" s="897"/>
      <c r="O1936" s="528"/>
      <c r="P1936" s="548">
        <v>0</v>
      </c>
      <c r="Q1936" s="548">
        <v>0</v>
      </c>
      <c r="R1936" s="548">
        <v>0</v>
      </c>
      <c r="S1936" s="548">
        <v>0</v>
      </c>
      <c r="T1936" s="548">
        <v>0</v>
      </c>
      <c r="U1936" s="548">
        <v>0</v>
      </c>
      <c r="V1936" s="548"/>
      <c r="W1936" s="528"/>
      <c r="X1936" s="711">
        <f t="shared" si="7639"/>
        <v>0</v>
      </c>
      <c r="Y1936" s="897"/>
      <c r="Z1936" s="528"/>
      <c r="AA1936" s="899"/>
      <c r="AB1936" s="899"/>
      <c r="AC1936" s="904"/>
      <c r="AD1936" s="901"/>
      <c r="AE1936" s="2"/>
      <c r="AF1936" s="885"/>
      <c r="AG1936" s="885"/>
      <c r="AH1936" s="885"/>
      <c r="AI1936" s="885"/>
      <c r="AJ1936" s="885"/>
      <c r="AK1936" s="885"/>
      <c r="AL1936" s="885"/>
      <c r="AM1936" s="879"/>
      <c r="AN1936" s="2"/>
      <c r="AO1936" s="886"/>
      <c r="AP1936" s="886"/>
      <c r="AV1936" t="str">
        <f t="shared" si="7716"/>
        <v>Drenagem Superficial</v>
      </c>
      <c r="AW1936" s="4" t="str">
        <f t="shared" si="7714"/>
        <v xml:space="preserve">   Seg. 2.2-C10-B01 - Drenagem Superficial - Valetas de proteção de corte (Km 111+240 a 111+620)</v>
      </c>
    </row>
    <row r="1937" spans="1:49" ht="15.6" hidden="1" customHeight="1" outlineLevel="2">
      <c r="A1937" s="8" t="str">
        <f t="shared" ref="A1937" si="7741">IF(SUM(P1937:V1938)&gt;0,"S","N")</f>
        <v>N</v>
      </c>
      <c r="B1937" s="150">
        <v>1061606</v>
      </c>
      <c r="C1937" s="150" t="s">
        <v>2247</v>
      </c>
      <c r="D1937" s="120" t="s">
        <v>206</v>
      </c>
      <c r="E1937" s="892" t="s">
        <v>2248</v>
      </c>
      <c r="F1937" s="902" t="s">
        <v>52</v>
      </c>
      <c r="G1937" s="528"/>
      <c r="H1937" s="546" t="s">
        <v>37</v>
      </c>
      <c r="I1937" s="711">
        <v>0</v>
      </c>
      <c r="J1937" s="896" t="str">
        <f t="shared" ref="J1937" si="7742">IFERROR((I1938/I1937),"-")</f>
        <v>-</v>
      </c>
      <c r="K1937" s="528"/>
      <c r="L1937" s="546" t="s">
        <v>37</v>
      </c>
      <c r="M1937" s="711">
        <f t="shared" si="7637"/>
        <v>0</v>
      </c>
      <c r="N1937" s="896" t="str">
        <f t="shared" ref="N1937" si="7743">IFERROR((M1938/M1937),"-")</f>
        <v>-</v>
      </c>
      <c r="O1937" s="528"/>
      <c r="P1937" s="547">
        <v>0</v>
      </c>
      <c r="Q1937" s="547">
        <v>0</v>
      </c>
      <c r="R1937" s="547">
        <v>0</v>
      </c>
      <c r="S1937" s="547">
        <v>0</v>
      </c>
      <c r="T1937" s="547">
        <v>0</v>
      </c>
      <c r="U1937" s="547">
        <v>0</v>
      </c>
      <c r="V1937" s="548">
        <v>0</v>
      </c>
      <c r="W1937" s="528"/>
      <c r="X1937" s="711">
        <f t="shared" si="7639"/>
        <v>0</v>
      </c>
      <c r="Y1937" s="896" t="str">
        <f>IFERROR((X1938/X1937),"-")</f>
        <v>-</v>
      </c>
      <c r="Z1937" s="528"/>
      <c r="AA1937" s="898">
        <v>0</v>
      </c>
      <c r="AB1937" s="898">
        <v>0</v>
      </c>
      <c r="AC1937" s="903">
        <v>0</v>
      </c>
      <c r="AD1937" s="900" t="str">
        <f t="shared" ref="AD1937" si="7744">IFERROR((AC1937/AB1937),"-")</f>
        <v>-</v>
      </c>
      <c r="AE1937" s="2"/>
      <c r="AF1937" s="884"/>
      <c r="AG1937" s="884"/>
      <c r="AH1937" s="884">
        <v>0</v>
      </c>
      <c r="AI1937" s="884"/>
      <c r="AJ1937" s="884"/>
      <c r="AK1937" s="884">
        <f t="shared" ref="AK1937" si="7745">AF1937+AG1937+AH1937+AI1937+AJ1937+AC1937</f>
        <v>0</v>
      </c>
      <c r="AL1937" s="884">
        <v>0</v>
      </c>
      <c r="AM1937" s="878" t="str">
        <f t="shared" ref="AM1937" si="7746">IFERROR((AK1937/AL1937),"-")</f>
        <v>-</v>
      </c>
      <c r="AN1937" s="2"/>
      <c r="AO1937" s="884">
        <v>166.35</v>
      </c>
      <c r="AP1937" s="884">
        <f t="shared" ref="AP1937" si="7747">AO1937-AK1937</f>
        <v>166.35</v>
      </c>
      <c r="AV1937" t="str">
        <f t="shared" si="7716"/>
        <v>Drenagem Superficial</v>
      </c>
      <c r="AW1937" s="4" t="str">
        <f t="shared" si="7714"/>
        <v xml:space="preserve">   Seg. 2.2-C11-B01 - Drenagem Superficial - Valetas de proteção de corte (Km 112+020 a 112+420)</v>
      </c>
    </row>
    <row r="1938" spans="1:49" ht="15.6" hidden="1" customHeight="1" outlineLevel="2">
      <c r="A1938" s="8" t="str">
        <f t="shared" ref="A1938" si="7748">A1937</f>
        <v>N</v>
      </c>
      <c r="B1938" s="150"/>
      <c r="C1938" s="150" t="s">
        <v>2247</v>
      </c>
      <c r="D1938" s="120" t="s">
        <v>206</v>
      </c>
      <c r="E1938" s="893"/>
      <c r="F1938" s="902"/>
      <c r="G1938" s="528"/>
      <c r="H1938" s="549" t="s">
        <v>38</v>
      </c>
      <c r="I1938" s="711">
        <v>0</v>
      </c>
      <c r="J1938" s="897"/>
      <c r="K1938" s="528"/>
      <c r="L1938" s="549" t="s">
        <v>38</v>
      </c>
      <c r="M1938" s="711">
        <f t="shared" si="7637"/>
        <v>0</v>
      </c>
      <c r="N1938" s="897"/>
      <c r="O1938" s="528"/>
      <c r="P1938" s="548">
        <v>0</v>
      </c>
      <c r="Q1938" s="548">
        <v>0</v>
      </c>
      <c r="R1938" s="548">
        <v>0</v>
      </c>
      <c r="S1938" s="548">
        <v>0</v>
      </c>
      <c r="T1938" s="548">
        <v>0</v>
      </c>
      <c r="U1938" s="548">
        <v>0</v>
      </c>
      <c r="V1938" s="548"/>
      <c r="W1938" s="528"/>
      <c r="X1938" s="711">
        <f t="shared" si="7639"/>
        <v>0</v>
      </c>
      <c r="Y1938" s="897"/>
      <c r="Z1938" s="528"/>
      <c r="AA1938" s="899"/>
      <c r="AB1938" s="899"/>
      <c r="AC1938" s="904"/>
      <c r="AD1938" s="901"/>
      <c r="AE1938" s="2"/>
      <c r="AF1938" s="885"/>
      <c r="AG1938" s="885"/>
      <c r="AH1938" s="885"/>
      <c r="AI1938" s="885"/>
      <c r="AJ1938" s="885"/>
      <c r="AK1938" s="885"/>
      <c r="AL1938" s="885"/>
      <c r="AM1938" s="879"/>
      <c r="AN1938" s="2"/>
      <c r="AO1938" s="886"/>
      <c r="AP1938" s="886"/>
      <c r="AV1938" t="str">
        <f t="shared" si="7716"/>
        <v>Drenagem Superficial</v>
      </c>
      <c r="AW1938" s="4" t="str">
        <f t="shared" si="7714"/>
        <v xml:space="preserve">   Seg. 2.2-C11-B01 - Drenagem Superficial - Valetas de proteção de corte (Km 112+020 a 112+420)</v>
      </c>
    </row>
    <row r="1939" spans="1:49" ht="15.6" hidden="1" customHeight="1" outlineLevel="2">
      <c r="A1939" s="8" t="str">
        <f t="shared" ref="A1939" si="7749">IF(SUM(P1939:V1940)&gt;0,"S","N")</f>
        <v>N</v>
      </c>
      <c r="B1939" s="150">
        <v>1061609</v>
      </c>
      <c r="C1939" s="150" t="s">
        <v>2249</v>
      </c>
      <c r="D1939" s="120" t="s">
        <v>209</v>
      </c>
      <c r="E1939" s="892" t="s">
        <v>2250</v>
      </c>
      <c r="F1939" s="902" t="s">
        <v>52</v>
      </c>
      <c r="G1939" s="528"/>
      <c r="H1939" s="546" t="s">
        <v>37</v>
      </c>
      <c r="I1939" s="711">
        <v>0</v>
      </c>
      <c r="J1939" s="896" t="str">
        <f t="shared" ref="J1939" si="7750">IFERROR((I1940/I1939),"-")</f>
        <v>-</v>
      </c>
      <c r="K1939" s="528"/>
      <c r="L1939" s="546" t="s">
        <v>37</v>
      </c>
      <c r="M1939" s="711">
        <f t="shared" si="7637"/>
        <v>0</v>
      </c>
      <c r="N1939" s="896" t="str">
        <f t="shared" ref="N1939" si="7751">IFERROR((M1940/M1939),"-")</f>
        <v>-</v>
      </c>
      <c r="O1939" s="528"/>
      <c r="P1939" s="547">
        <v>0</v>
      </c>
      <c r="Q1939" s="547">
        <v>0</v>
      </c>
      <c r="R1939" s="547">
        <v>0</v>
      </c>
      <c r="S1939" s="547">
        <v>0</v>
      </c>
      <c r="T1939" s="547">
        <v>0</v>
      </c>
      <c r="U1939" s="547">
        <v>0</v>
      </c>
      <c r="V1939" s="548">
        <v>0</v>
      </c>
      <c r="W1939" s="528"/>
      <c r="X1939" s="711">
        <f t="shared" si="7639"/>
        <v>0</v>
      </c>
      <c r="Y1939" s="896" t="str">
        <f>IFERROR((X1940/X1939),"-")</f>
        <v>-</v>
      </c>
      <c r="Z1939" s="528"/>
      <c r="AA1939" s="898">
        <v>0</v>
      </c>
      <c r="AB1939" s="898">
        <v>0</v>
      </c>
      <c r="AC1939" s="903">
        <v>0</v>
      </c>
      <c r="AD1939" s="900" t="str">
        <f t="shared" ref="AD1939" si="7752">IFERROR((AC1939/AB1939),"-")</f>
        <v>-</v>
      </c>
      <c r="AE1939" s="2"/>
      <c r="AF1939" s="884">
        <v>930.01499999999999</v>
      </c>
      <c r="AG1939" s="884"/>
      <c r="AH1939" s="884">
        <v>327.5</v>
      </c>
      <c r="AI1939" s="884"/>
      <c r="AJ1939" s="884">
        <v>513.66</v>
      </c>
      <c r="AK1939" s="884">
        <f t="shared" ref="AK1939" si="7753">AF1939+AG1939+AH1939+AI1939+AJ1939+AC1939</f>
        <v>1771.1749999999997</v>
      </c>
      <c r="AL1939" s="884">
        <v>1494.1599999999992</v>
      </c>
      <c r="AM1939" s="878">
        <f t="shared" ref="AM1939" si="7754">IFERROR((AK1939/AL1939),"-")</f>
        <v>1.1853984847673613</v>
      </c>
      <c r="AN1939" s="2"/>
      <c r="AO1939" s="884">
        <v>1371.22</v>
      </c>
      <c r="AP1939" s="884">
        <f t="shared" ref="AP1939" si="7755">AO1939-AK1939</f>
        <v>-399.9549999999997</v>
      </c>
      <c r="AV1939" t="str">
        <f t="shared" si="7716"/>
        <v>Drenagem Superficial</v>
      </c>
      <c r="AW1939" s="4" t="str">
        <f t="shared" si="7714"/>
        <v xml:space="preserve">   Seg. 2.2-C12 - Drenagem Superficial - Valetas de proteção de corte (Km 113+280 a 114+300)</v>
      </c>
    </row>
    <row r="1940" spans="1:49" ht="15.6" hidden="1" customHeight="1" outlineLevel="2">
      <c r="A1940" s="8" t="str">
        <f t="shared" ref="A1940" si="7756">A1939</f>
        <v>N</v>
      </c>
      <c r="B1940" s="150"/>
      <c r="C1940" s="150" t="s">
        <v>2249</v>
      </c>
      <c r="D1940" s="120" t="s">
        <v>209</v>
      </c>
      <c r="E1940" s="893"/>
      <c r="F1940" s="902"/>
      <c r="G1940" s="528"/>
      <c r="H1940" s="549" t="s">
        <v>38</v>
      </c>
      <c r="I1940" s="711">
        <v>0</v>
      </c>
      <c r="J1940" s="897"/>
      <c r="K1940" s="528"/>
      <c r="L1940" s="549" t="s">
        <v>38</v>
      </c>
      <c r="M1940" s="711">
        <f t="shared" si="7637"/>
        <v>0</v>
      </c>
      <c r="N1940" s="897"/>
      <c r="O1940" s="528"/>
      <c r="P1940" s="548">
        <v>0</v>
      </c>
      <c r="Q1940" s="548">
        <v>0</v>
      </c>
      <c r="R1940" s="548">
        <v>0</v>
      </c>
      <c r="S1940" s="548">
        <v>0</v>
      </c>
      <c r="T1940" s="548">
        <v>0</v>
      </c>
      <c r="U1940" s="548">
        <v>0</v>
      </c>
      <c r="V1940" s="548"/>
      <c r="W1940" s="528"/>
      <c r="X1940" s="711">
        <f t="shared" si="7639"/>
        <v>0</v>
      </c>
      <c r="Y1940" s="897"/>
      <c r="Z1940" s="528"/>
      <c r="AA1940" s="899"/>
      <c r="AB1940" s="899"/>
      <c r="AC1940" s="904"/>
      <c r="AD1940" s="901"/>
      <c r="AE1940" s="2"/>
      <c r="AF1940" s="885"/>
      <c r="AG1940" s="885"/>
      <c r="AH1940" s="885"/>
      <c r="AI1940" s="885"/>
      <c r="AJ1940" s="885"/>
      <c r="AK1940" s="885"/>
      <c r="AL1940" s="885"/>
      <c r="AM1940" s="879"/>
      <c r="AN1940" s="2"/>
      <c r="AO1940" s="886"/>
      <c r="AP1940" s="886"/>
      <c r="AV1940" t="str">
        <f t="shared" si="7716"/>
        <v>Drenagem Superficial</v>
      </c>
      <c r="AW1940" s="4" t="str">
        <f t="shared" si="7714"/>
        <v xml:space="preserve">   Seg. 2.2-C12 - Drenagem Superficial - Valetas de proteção de corte (Km 113+280 a 114+300)</v>
      </c>
    </row>
    <row r="1941" spans="1:49" ht="15.6" hidden="1" customHeight="1" outlineLevel="2">
      <c r="A1941" s="209" t="str">
        <f t="shared" ref="A1941" si="7757">IF(SUM(P1941:V1942)&gt;0,"S","N")</f>
        <v>N</v>
      </c>
      <c r="B1941" s="150">
        <v>1061612</v>
      </c>
      <c r="C1941" s="150" t="s">
        <v>2251</v>
      </c>
      <c r="D1941" s="120" t="s">
        <v>212</v>
      </c>
      <c r="E1941" s="892" t="s">
        <v>2252</v>
      </c>
      <c r="F1941" s="902" t="s">
        <v>52</v>
      </c>
      <c r="G1941" s="528"/>
      <c r="H1941" s="546" t="s">
        <v>37</v>
      </c>
      <c r="I1941" s="711">
        <v>0</v>
      </c>
      <c r="J1941" s="896" t="str">
        <f t="shared" ref="J1941" si="7758">IFERROR((I1942/I1941),"-")</f>
        <v>-</v>
      </c>
      <c r="K1941" s="528"/>
      <c r="L1941" s="546" t="s">
        <v>37</v>
      </c>
      <c r="M1941" s="711">
        <f t="shared" si="7637"/>
        <v>0</v>
      </c>
      <c r="N1941" s="896" t="str">
        <f t="shared" ref="N1941" si="7759">IFERROR((M1942/M1941),"-")</f>
        <v>-</v>
      </c>
      <c r="O1941" s="528"/>
      <c r="P1941" s="547">
        <v>0</v>
      </c>
      <c r="Q1941" s="547">
        <v>0</v>
      </c>
      <c r="R1941" s="547">
        <v>0</v>
      </c>
      <c r="S1941" s="547">
        <v>0</v>
      </c>
      <c r="T1941" s="547">
        <v>0</v>
      </c>
      <c r="U1941" s="547">
        <v>0</v>
      </c>
      <c r="V1941" s="548">
        <v>0</v>
      </c>
      <c r="W1941" s="528"/>
      <c r="X1941" s="711">
        <f t="shared" si="7639"/>
        <v>0</v>
      </c>
      <c r="Y1941" s="896" t="str">
        <f>IFERROR((X1942/X1941),"-")</f>
        <v>-</v>
      </c>
      <c r="Z1941" s="528"/>
      <c r="AA1941" s="898">
        <v>0</v>
      </c>
      <c r="AB1941" s="898">
        <v>0</v>
      </c>
      <c r="AC1941" s="903">
        <v>0</v>
      </c>
      <c r="AD1941" s="900" t="str">
        <f t="shared" ref="AD1941" si="7760">IFERROR((AC1941/AB1941),"-")</f>
        <v>-</v>
      </c>
      <c r="AE1941" s="2"/>
      <c r="AF1941" s="884"/>
      <c r="AG1941" s="884">
        <v>194.084</v>
      </c>
      <c r="AH1941" s="884">
        <v>0</v>
      </c>
      <c r="AI1941" s="884">
        <v>192.56899999999999</v>
      </c>
      <c r="AJ1941" s="884">
        <v>168.65100000000001</v>
      </c>
      <c r="AK1941" s="884">
        <f t="shared" ref="AK1941" si="7761">AF1941+AG1941+AH1941+AI1941+AJ1941+AC1941</f>
        <v>555.30400000000009</v>
      </c>
      <c r="AL1941" s="884">
        <v>528.91999999999996</v>
      </c>
      <c r="AM1941" s="878">
        <f t="shared" ref="AM1941" si="7762">IFERROR((AK1941/AL1941),"-")</f>
        <v>1.0498827800045378</v>
      </c>
      <c r="AN1941" s="2"/>
      <c r="AO1941" s="884">
        <v>360.29</v>
      </c>
      <c r="AP1941" s="884">
        <f t="shared" ref="AP1941" si="7763">AO1941-AK1941</f>
        <v>-195.01400000000007</v>
      </c>
      <c r="AV1941" t="str">
        <f t="shared" si="7716"/>
        <v>Drenagem Superficial</v>
      </c>
      <c r="AW1941" s="4" t="str">
        <f t="shared" si="7714"/>
        <v xml:space="preserve">   Seg. 2.2-C13 - Drenagem Superficial - Valetas de proteção de corte (Km 114+980 a 115+800)</v>
      </c>
    </row>
    <row r="1942" spans="1:49" ht="15.6" hidden="1" customHeight="1" outlineLevel="2">
      <c r="A1942" s="209" t="str">
        <f t="shared" ref="A1942" si="7764">A1941</f>
        <v>N</v>
      </c>
      <c r="B1942" s="150"/>
      <c r="C1942" s="150" t="s">
        <v>2251</v>
      </c>
      <c r="D1942" s="120" t="s">
        <v>212</v>
      </c>
      <c r="E1942" s="893"/>
      <c r="F1942" s="902"/>
      <c r="G1942" s="528"/>
      <c r="H1942" s="549" t="s">
        <v>38</v>
      </c>
      <c r="I1942" s="711">
        <v>0</v>
      </c>
      <c r="J1942" s="897"/>
      <c r="K1942" s="528"/>
      <c r="L1942" s="549" t="s">
        <v>38</v>
      </c>
      <c r="M1942" s="711">
        <f t="shared" si="7637"/>
        <v>0</v>
      </c>
      <c r="N1942" s="897"/>
      <c r="O1942" s="528"/>
      <c r="P1942" s="548">
        <v>0</v>
      </c>
      <c r="Q1942" s="548">
        <v>0</v>
      </c>
      <c r="R1942" s="548">
        <v>0</v>
      </c>
      <c r="S1942" s="548">
        <v>0</v>
      </c>
      <c r="T1942" s="548">
        <v>0</v>
      </c>
      <c r="U1942" s="548">
        <v>0</v>
      </c>
      <c r="V1942" s="548"/>
      <c r="W1942" s="528"/>
      <c r="X1942" s="711">
        <f t="shared" si="7639"/>
        <v>0</v>
      </c>
      <c r="Y1942" s="897"/>
      <c r="Z1942" s="528"/>
      <c r="AA1942" s="899"/>
      <c r="AB1942" s="899"/>
      <c r="AC1942" s="904"/>
      <c r="AD1942" s="901"/>
      <c r="AE1942" s="2"/>
      <c r="AF1942" s="885"/>
      <c r="AG1942" s="885"/>
      <c r="AH1942" s="885"/>
      <c r="AI1942" s="885"/>
      <c r="AJ1942" s="885"/>
      <c r="AK1942" s="885"/>
      <c r="AL1942" s="885"/>
      <c r="AM1942" s="879"/>
      <c r="AN1942" s="2"/>
      <c r="AO1942" s="886"/>
      <c r="AP1942" s="886"/>
      <c r="AV1942" t="str">
        <f t="shared" si="7716"/>
        <v>Drenagem Superficial</v>
      </c>
      <c r="AW1942" s="4" t="str">
        <f t="shared" si="7714"/>
        <v xml:space="preserve">   Seg. 2.2-C13 - Drenagem Superficial - Valetas de proteção de corte (Km 114+980 a 115+800)</v>
      </c>
    </row>
    <row r="1943" spans="1:49" ht="15.6" hidden="1" customHeight="1" outlineLevel="2" collapsed="1">
      <c r="A1943" s="8" t="str">
        <f t="shared" ref="A1943" si="7765">IF(SUM(P1943:V1944)&gt;0,"S","N")</f>
        <v>N</v>
      </c>
      <c r="B1943" s="150">
        <v>1061630</v>
      </c>
      <c r="C1943" s="150" t="s">
        <v>2253</v>
      </c>
      <c r="D1943" s="120" t="s">
        <v>1233</v>
      </c>
      <c r="E1943" s="892" t="s">
        <v>2254</v>
      </c>
      <c r="F1943" s="902" t="s">
        <v>52</v>
      </c>
      <c r="G1943" s="528"/>
      <c r="H1943" s="546" t="s">
        <v>37</v>
      </c>
      <c r="I1943" s="711">
        <v>0</v>
      </c>
      <c r="J1943" s="896" t="str">
        <f t="shared" ref="J1943" si="7766">IFERROR((I1944/I1943),"-")</f>
        <v>-</v>
      </c>
      <c r="K1943" s="528"/>
      <c r="L1943" s="546" t="s">
        <v>37</v>
      </c>
      <c r="M1943" s="711">
        <f t="shared" si="7637"/>
        <v>0</v>
      </c>
      <c r="N1943" s="896" t="str">
        <f t="shared" ref="N1943" si="7767">IFERROR((M1944/M1943),"-")</f>
        <v>-</v>
      </c>
      <c r="O1943" s="528"/>
      <c r="P1943" s="547">
        <v>0</v>
      </c>
      <c r="Q1943" s="547">
        <v>0</v>
      </c>
      <c r="R1943" s="547">
        <v>0</v>
      </c>
      <c r="S1943" s="547">
        <v>0</v>
      </c>
      <c r="T1943" s="547">
        <v>0</v>
      </c>
      <c r="U1943" s="547">
        <v>0</v>
      </c>
      <c r="V1943" s="548">
        <v>0</v>
      </c>
      <c r="W1943" s="528"/>
      <c r="X1943" s="711">
        <f t="shared" si="7639"/>
        <v>0</v>
      </c>
      <c r="Y1943" s="896" t="str">
        <f>IFERROR((X1944/X1943),"-")</f>
        <v>-</v>
      </c>
      <c r="Z1943" s="528"/>
      <c r="AA1943" s="898">
        <v>20.73</v>
      </c>
      <c r="AB1943" s="898">
        <v>0</v>
      </c>
      <c r="AC1943" s="903">
        <v>0</v>
      </c>
      <c r="AD1943" s="900" t="str">
        <f t="shared" ref="AD1943" si="7768">IFERROR((AC1943/AB1943),"-")</f>
        <v>-</v>
      </c>
      <c r="AE1943" s="2"/>
      <c r="AF1943" s="884">
        <v>125.92</v>
      </c>
      <c r="AG1943" s="884"/>
      <c r="AH1943" s="884">
        <v>22</v>
      </c>
      <c r="AI1943" s="884"/>
      <c r="AJ1943" s="884"/>
      <c r="AK1943" s="884">
        <f t="shared" ref="AK1943" si="7769">AF1943+AG1943+AH1943+AI1943+AJ1943+AC1943</f>
        <v>147.92000000000002</v>
      </c>
      <c r="AL1943" s="884">
        <v>73.819999999999979</v>
      </c>
      <c r="AM1943" s="878">
        <f t="shared" ref="AM1943" si="7770">IFERROR((AK1943/AL1943),"-")</f>
        <v>2.0037930100243844</v>
      </c>
      <c r="AN1943" s="2"/>
      <c r="AO1943" s="884">
        <v>94.53</v>
      </c>
      <c r="AP1943" s="884">
        <f t="shared" ref="AP1943" si="7771">AO1943-AK1943</f>
        <v>-53.390000000000015</v>
      </c>
      <c r="AV1943" t="str">
        <f t="shared" si="7716"/>
        <v>Drenagem Superficial</v>
      </c>
      <c r="AW1943" s="4" t="str">
        <f t="shared" si="7714"/>
        <v xml:space="preserve">   Seg. 2.2-A07 - Drenagem Superficial - Valetas de proteção de aterro (Km 109+200 a 109+280)</v>
      </c>
    </row>
    <row r="1944" spans="1:49" ht="15.6" hidden="1" customHeight="1" outlineLevel="2">
      <c r="A1944" s="8" t="str">
        <f t="shared" ref="A1944" si="7772">A1943</f>
        <v>N</v>
      </c>
      <c r="B1944" s="150"/>
      <c r="C1944" s="150" t="s">
        <v>2253</v>
      </c>
      <c r="D1944" s="120" t="s">
        <v>1233</v>
      </c>
      <c r="E1944" s="893"/>
      <c r="F1944" s="902"/>
      <c r="G1944" s="528"/>
      <c r="H1944" s="549" t="s">
        <v>38</v>
      </c>
      <c r="I1944" s="711">
        <v>0</v>
      </c>
      <c r="J1944" s="897"/>
      <c r="K1944" s="528"/>
      <c r="L1944" s="549" t="s">
        <v>38</v>
      </c>
      <c r="M1944" s="711">
        <f t="shared" si="7637"/>
        <v>0</v>
      </c>
      <c r="N1944" s="897"/>
      <c r="O1944" s="528"/>
      <c r="P1944" s="548">
        <v>0</v>
      </c>
      <c r="Q1944" s="548">
        <v>0</v>
      </c>
      <c r="R1944" s="548">
        <v>0</v>
      </c>
      <c r="S1944" s="548">
        <v>0</v>
      </c>
      <c r="T1944" s="548">
        <v>0</v>
      </c>
      <c r="U1944" s="548">
        <v>0</v>
      </c>
      <c r="V1944" s="548"/>
      <c r="W1944" s="528"/>
      <c r="X1944" s="711">
        <f t="shared" si="7639"/>
        <v>0</v>
      </c>
      <c r="Y1944" s="897"/>
      <c r="Z1944" s="528"/>
      <c r="AA1944" s="899"/>
      <c r="AB1944" s="899"/>
      <c r="AC1944" s="904"/>
      <c r="AD1944" s="901"/>
      <c r="AE1944" s="2"/>
      <c r="AF1944" s="885"/>
      <c r="AG1944" s="885"/>
      <c r="AH1944" s="885"/>
      <c r="AI1944" s="885"/>
      <c r="AJ1944" s="885"/>
      <c r="AK1944" s="885"/>
      <c r="AL1944" s="885"/>
      <c r="AM1944" s="879"/>
      <c r="AN1944" s="2"/>
      <c r="AO1944" s="886"/>
      <c r="AP1944" s="886"/>
      <c r="AV1944" t="str">
        <f t="shared" si="7716"/>
        <v>Drenagem Superficial</v>
      </c>
      <c r="AW1944" s="4" t="str">
        <f t="shared" si="7714"/>
        <v xml:space="preserve">   Seg. 2.2-A07 - Drenagem Superficial - Valetas de proteção de aterro (Km 109+200 a 109+280)</v>
      </c>
    </row>
    <row r="1945" spans="1:49" ht="15.6" hidden="1" customHeight="1" outlineLevel="2">
      <c r="A1945" s="8" t="str">
        <f t="shared" ref="A1945" si="7773">IF(SUM(P1945:V1946)&gt;0,"S","N")</f>
        <v>N</v>
      </c>
      <c r="B1945" s="150">
        <v>1061635</v>
      </c>
      <c r="C1945" s="150" t="s">
        <v>2255</v>
      </c>
      <c r="D1945" s="120" t="s">
        <v>1235</v>
      </c>
      <c r="E1945" s="892" t="s">
        <v>2256</v>
      </c>
      <c r="F1945" s="902" t="s">
        <v>52</v>
      </c>
      <c r="G1945" s="528"/>
      <c r="H1945" s="546" t="s">
        <v>37</v>
      </c>
      <c r="I1945" s="711">
        <v>0</v>
      </c>
      <c r="J1945" s="896" t="str">
        <f t="shared" ref="J1945" si="7774">IFERROR((I1946/I1945),"-")</f>
        <v>-</v>
      </c>
      <c r="K1945" s="528"/>
      <c r="L1945" s="546" t="s">
        <v>37</v>
      </c>
      <c r="M1945" s="711">
        <f t="shared" si="7637"/>
        <v>0</v>
      </c>
      <c r="N1945" s="896" t="str">
        <f t="shared" ref="N1945" si="7775">IFERROR((M1946/M1945),"-")</f>
        <v>-</v>
      </c>
      <c r="O1945" s="528"/>
      <c r="P1945" s="547">
        <v>0</v>
      </c>
      <c r="Q1945" s="547">
        <v>0</v>
      </c>
      <c r="R1945" s="547">
        <v>0</v>
      </c>
      <c r="S1945" s="547">
        <v>0</v>
      </c>
      <c r="T1945" s="547">
        <v>0</v>
      </c>
      <c r="U1945" s="547">
        <v>0</v>
      </c>
      <c r="V1945" s="548">
        <v>0</v>
      </c>
      <c r="W1945" s="528"/>
      <c r="X1945" s="711">
        <f t="shared" si="7639"/>
        <v>0</v>
      </c>
      <c r="Y1945" s="896" t="str">
        <f>IFERROR((X1946/X1945),"-")</f>
        <v>-</v>
      </c>
      <c r="Z1945" s="528"/>
      <c r="AA1945" s="898">
        <v>0</v>
      </c>
      <c r="AB1945" s="898">
        <v>0</v>
      </c>
      <c r="AC1945" s="903">
        <v>0</v>
      </c>
      <c r="AD1945" s="900" t="str">
        <f t="shared" ref="AD1945" si="7776">IFERROR((AC1945/AB1945),"-")</f>
        <v>-</v>
      </c>
      <c r="AE1945" s="2"/>
      <c r="AF1945" s="884">
        <v>134.798</v>
      </c>
      <c r="AG1945" s="884"/>
      <c r="AH1945" s="884">
        <v>0</v>
      </c>
      <c r="AI1945" s="884"/>
      <c r="AJ1945" s="884"/>
      <c r="AK1945" s="884">
        <f t="shared" ref="AK1945" si="7777">AF1945+AG1945+AH1945+AI1945+AJ1945+AC1945</f>
        <v>134.798</v>
      </c>
      <c r="AL1945" s="884">
        <v>236.08000000000013</v>
      </c>
      <c r="AM1945" s="878">
        <f t="shared" ref="AM1945" si="7778">IFERROR((AK1945/AL1945),"-")</f>
        <v>0.57098441206370687</v>
      </c>
      <c r="AN1945" s="2"/>
      <c r="AO1945" s="884">
        <v>236</v>
      </c>
      <c r="AP1945" s="884">
        <f t="shared" ref="AP1945" si="7779">AO1945-AK1945</f>
        <v>101.202</v>
      </c>
      <c r="AV1945" t="str">
        <f t="shared" si="7716"/>
        <v>Drenagem Superficial</v>
      </c>
      <c r="AW1945" s="4" t="str">
        <f t="shared" si="7714"/>
        <v xml:space="preserve">   Seg. 2.2-A08 - Drenagem Superficial - Valetas de proteção de aterro (Km 109+440 a 109+580)</v>
      </c>
    </row>
    <row r="1946" spans="1:49" ht="15.6" hidden="1" customHeight="1" outlineLevel="2">
      <c r="A1946" s="8" t="str">
        <f t="shared" ref="A1946" si="7780">A1945</f>
        <v>N</v>
      </c>
      <c r="B1946" s="150"/>
      <c r="C1946" s="150" t="s">
        <v>2255</v>
      </c>
      <c r="D1946" s="120" t="s">
        <v>1235</v>
      </c>
      <c r="E1946" s="893"/>
      <c r="F1946" s="902"/>
      <c r="G1946" s="528"/>
      <c r="H1946" s="549" t="s">
        <v>38</v>
      </c>
      <c r="I1946" s="711">
        <v>0</v>
      </c>
      <c r="J1946" s="897"/>
      <c r="K1946" s="528"/>
      <c r="L1946" s="549" t="s">
        <v>38</v>
      </c>
      <c r="M1946" s="711">
        <f t="shared" si="7637"/>
        <v>0</v>
      </c>
      <c r="N1946" s="897"/>
      <c r="O1946" s="528"/>
      <c r="P1946" s="548">
        <v>0</v>
      </c>
      <c r="Q1946" s="548">
        <v>0</v>
      </c>
      <c r="R1946" s="548">
        <v>0</v>
      </c>
      <c r="S1946" s="548">
        <v>0</v>
      </c>
      <c r="T1946" s="548">
        <v>0</v>
      </c>
      <c r="U1946" s="548">
        <v>0</v>
      </c>
      <c r="V1946" s="548"/>
      <c r="W1946" s="528"/>
      <c r="X1946" s="711">
        <f t="shared" si="7639"/>
        <v>0</v>
      </c>
      <c r="Y1946" s="897"/>
      <c r="Z1946" s="528"/>
      <c r="AA1946" s="899"/>
      <c r="AB1946" s="899"/>
      <c r="AC1946" s="904"/>
      <c r="AD1946" s="901"/>
      <c r="AE1946" s="2"/>
      <c r="AF1946" s="885"/>
      <c r="AG1946" s="885"/>
      <c r="AH1946" s="885"/>
      <c r="AI1946" s="885"/>
      <c r="AJ1946" s="885"/>
      <c r="AK1946" s="885"/>
      <c r="AL1946" s="885"/>
      <c r="AM1946" s="879"/>
      <c r="AN1946" s="2"/>
      <c r="AO1946" s="886"/>
      <c r="AP1946" s="886"/>
      <c r="AV1946" t="str">
        <f t="shared" si="7716"/>
        <v>Drenagem Superficial</v>
      </c>
      <c r="AW1946" s="4" t="str">
        <f t="shared" si="7714"/>
        <v xml:space="preserve">   Seg. 2.2-A08 - Drenagem Superficial - Valetas de proteção de aterro (Km 109+440 a 109+580)</v>
      </c>
    </row>
    <row r="1947" spans="1:49" ht="15.6" hidden="1" customHeight="1" outlineLevel="2">
      <c r="A1947" s="8" t="str">
        <f t="shared" ref="A1947" si="7781">IF(SUM(P1947:V1948)&gt;0,"S","N")</f>
        <v>N</v>
      </c>
      <c r="B1947" s="150">
        <v>1061639</v>
      </c>
      <c r="C1947" s="150" t="s">
        <v>2257</v>
      </c>
      <c r="D1947" s="120" t="s">
        <v>1237</v>
      </c>
      <c r="E1947" s="892" t="s">
        <v>2258</v>
      </c>
      <c r="F1947" s="902" t="s">
        <v>52</v>
      </c>
      <c r="G1947" s="528"/>
      <c r="H1947" s="546" t="s">
        <v>37</v>
      </c>
      <c r="I1947" s="711">
        <v>0</v>
      </c>
      <c r="J1947" s="896" t="str">
        <f t="shared" ref="J1947" si="7782">IFERROR((I1948/I1947),"-")</f>
        <v>-</v>
      </c>
      <c r="K1947" s="528"/>
      <c r="L1947" s="546" t="s">
        <v>37</v>
      </c>
      <c r="M1947" s="711">
        <f t="shared" si="7637"/>
        <v>0</v>
      </c>
      <c r="N1947" s="896" t="str">
        <f t="shared" ref="N1947" si="7783">IFERROR((M1948/M1947),"-")</f>
        <v>-</v>
      </c>
      <c r="O1947" s="528"/>
      <c r="P1947" s="547">
        <v>0</v>
      </c>
      <c r="Q1947" s="547">
        <v>0</v>
      </c>
      <c r="R1947" s="547">
        <v>0</v>
      </c>
      <c r="S1947" s="547">
        <v>0</v>
      </c>
      <c r="T1947" s="547">
        <v>0</v>
      </c>
      <c r="U1947" s="547">
        <v>0</v>
      </c>
      <c r="V1947" s="548">
        <v>0</v>
      </c>
      <c r="W1947" s="528"/>
      <c r="X1947" s="711">
        <f t="shared" si="7639"/>
        <v>0</v>
      </c>
      <c r="Y1947" s="896" t="str">
        <f>IFERROR((X1948/X1947),"-")</f>
        <v>-</v>
      </c>
      <c r="Z1947" s="528"/>
      <c r="AA1947" s="898">
        <v>0</v>
      </c>
      <c r="AB1947" s="898">
        <v>0</v>
      </c>
      <c r="AC1947" s="903">
        <v>0</v>
      </c>
      <c r="AD1947" s="900" t="str">
        <f t="shared" ref="AD1947" si="7784">IFERROR((AC1947/AB1947),"-")</f>
        <v>-</v>
      </c>
      <c r="AE1947" s="2"/>
      <c r="AF1947" s="884">
        <v>178.792</v>
      </c>
      <c r="AG1947" s="884">
        <v>-5.2779999999999996</v>
      </c>
      <c r="AH1947" s="884">
        <v>8</v>
      </c>
      <c r="AI1947" s="884"/>
      <c r="AJ1947" s="884">
        <v>159.16</v>
      </c>
      <c r="AK1947" s="884">
        <f t="shared" ref="AK1947" si="7785">AF1947+AG1947+AH1947+AI1947+AJ1947+AC1947</f>
        <v>340.67399999999998</v>
      </c>
      <c r="AL1947" s="884">
        <v>42.250000000000014</v>
      </c>
      <c r="AM1947" s="878">
        <f t="shared" ref="AM1947" si="7786">IFERROR((AK1947/AL1947),"-")</f>
        <v>8.0632899408283993</v>
      </c>
      <c r="AN1947" s="2"/>
      <c r="AO1947" s="884">
        <v>34.380000000000003</v>
      </c>
      <c r="AP1947" s="884">
        <f t="shared" ref="AP1947" si="7787">AO1947-AK1947</f>
        <v>-306.29399999999998</v>
      </c>
      <c r="AV1947" t="str">
        <f t="shared" si="7716"/>
        <v>Drenagem Superficial</v>
      </c>
      <c r="AW1947" s="4" t="str">
        <f t="shared" si="7714"/>
        <v xml:space="preserve">   Seg. 2.2-A09 - Drenagem Superficial - Valetas de proteção de aterro (Km 110+000 a 110+040)</v>
      </c>
    </row>
    <row r="1948" spans="1:49" ht="15.6" hidden="1" customHeight="1" outlineLevel="2">
      <c r="A1948" s="8" t="str">
        <f t="shared" ref="A1948" si="7788">A1947</f>
        <v>N</v>
      </c>
      <c r="B1948" s="150"/>
      <c r="C1948" s="150" t="s">
        <v>2257</v>
      </c>
      <c r="D1948" s="120" t="s">
        <v>1237</v>
      </c>
      <c r="E1948" s="893"/>
      <c r="F1948" s="902"/>
      <c r="G1948" s="528"/>
      <c r="H1948" s="549" t="s">
        <v>38</v>
      </c>
      <c r="I1948" s="711">
        <v>0</v>
      </c>
      <c r="J1948" s="897"/>
      <c r="K1948" s="528"/>
      <c r="L1948" s="549" t="s">
        <v>38</v>
      </c>
      <c r="M1948" s="711">
        <f t="shared" si="7637"/>
        <v>0</v>
      </c>
      <c r="N1948" s="897"/>
      <c r="O1948" s="528"/>
      <c r="P1948" s="548">
        <v>0</v>
      </c>
      <c r="Q1948" s="548">
        <v>0</v>
      </c>
      <c r="R1948" s="548">
        <v>0</v>
      </c>
      <c r="S1948" s="548">
        <v>0</v>
      </c>
      <c r="T1948" s="548">
        <v>0</v>
      </c>
      <c r="U1948" s="548">
        <v>0</v>
      </c>
      <c r="V1948" s="548"/>
      <c r="W1948" s="528"/>
      <c r="X1948" s="711">
        <f t="shared" si="7639"/>
        <v>0</v>
      </c>
      <c r="Y1948" s="897"/>
      <c r="Z1948" s="528"/>
      <c r="AA1948" s="899"/>
      <c r="AB1948" s="899"/>
      <c r="AC1948" s="904"/>
      <c r="AD1948" s="901"/>
      <c r="AE1948" s="2"/>
      <c r="AF1948" s="885"/>
      <c r="AG1948" s="885"/>
      <c r="AH1948" s="885"/>
      <c r="AI1948" s="885"/>
      <c r="AJ1948" s="885"/>
      <c r="AK1948" s="885"/>
      <c r="AL1948" s="885"/>
      <c r="AM1948" s="879"/>
      <c r="AN1948" s="2"/>
      <c r="AO1948" s="886"/>
      <c r="AP1948" s="886"/>
      <c r="AV1948" t="str">
        <f t="shared" si="7716"/>
        <v>Drenagem Superficial</v>
      </c>
      <c r="AW1948" s="4" t="str">
        <f t="shared" si="7714"/>
        <v xml:space="preserve">   Seg. 2.2-A09 - Drenagem Superficial - Valetas de proteção de aterro (Km 110+000 a 110+040)</v>
      </c>
    </row>
    <row r="1949" spans="1:49" ht="15.6" hidden="1" customHeight="1" outlineLevel="2">
      <c r="A1949" s="8" t="str">
        <f t="shared" ref="A1949" si="7789">IF(SUM(P1949:V1950)&gt;0,"S","N")</f>
        <v>N</v>
      </c>
      <c r="B1949" s="150">
        <v>1061642</v>
      </c>
      <c r="C1949" s="150" t="s">
        <v>2259</v>
      </c>
      <c r="D1949" s="120" t="s">
        <v>1239</v>
      </c>
      <c r="E1949" s="892" t="s">
        <v>2260</v>
      </c>
      <c r="F1949" s="902" t="s">
        <v>52</v>
      </c>
      <c r="G1949" s="528"/>
      <c r="H1949" s="546" t="s">
        <v>37</v>
      </c>
      <c r="I1949" s="711">
        <v>0</v>
      </c>
      <c r="J1949" s="896" t="str">
        <f t="shared" ref="J1949" si="7790">IFERROR((I1950/I1949),"-")</f>
        <v>-</v>
      </c>
      <c r="K1949" s="528"/>
      <c r="L1949" s="546" t="s">
        <v>37</v>
      </c>
      <c r="M1949" s="711">
        <f t="shared" si="7637"/>
        <v>0</v>
      </c>
      <c r="N1949" s="896" t="str">
        <f t="shared" ref="N1949" si="7791">IFERROR((M1950/M1949),"-")</f>
        <v>-</v>
      </c>
      <c r="O1949" s="528"/>
      <c r="P1949" s="547">
        <v>0</v>
      </c>
      <c r="Q1949" s="547">
        <v>0</v>
      </c>
      <c r="R1949" s="547">
        <v>0</v>
      </c>
      <c r="S1949" s="547">
        <v>0</v>
      </c>
      <c r="T1949" s="547">
        <v>0</v>
      </c>
      <c r="U1949" s="547">
        <v>0</v>
      </c>
      <c r="V1949" s="548">
        <v>0</v>
      </c>
      <c r="W1949" s="528"/>
      <c r="X1949" s="711">
        <f t="shared" si="7639"/>
        <v>0</v>
      </c>
      <c r="Y1949" s="896" t="str">
        <f>IFERROR((X1950/X1949),"-")</f>
        <v>-</v>
      </c>
      <c r="Z1949" s="528"/>
      <c r="AA1949" s="898">
        <v>13.39</v>
      </c>
      <c r="AB1949" s="898">
        <v>1.48</v>
      </c>
      <c r="AC1949" s="903">
        <v>0</v>
      </c>
      <c r="AD1949" s="900">
        <f t="shared" ref="AD1949" si="7792">IFERROR((AC1949/AB1949),"-")</f>
        <v>0</v>
      </c>
      <c r="AE1949" s="2"/>
      <c r="AF1949" s="884">
        <v>246.61099999999999</v>
      </c>
      <c r="AG1949" s="884">
        <v>117.688</v>
      </c>
      <c r="AH1949" s="884">
        <v>0</v>
      </c>
      <c r="AI1949" s="884"/>
      <c r="AJ1949" s="884"/>
      <c r="AK1949" s="884">
        <f t="shared" ref="AK1949" si="7793">AF1949+AG1949+AH1949+AI1949+AJ1949+AC1949</f>
        <v>364.29899999999998</v>
      </c>
      <c r="AL1949" s="884">
        <v>366.43000000000058</v>
      </c>
      <c r="AM1949" s="878">
        <f t="shared" ref="AM1949" si="7794">IFERROR((AK1949/AL1949),"-")</f>
        <v>0.99418442813088281</v>
      </c>
      <c r="AN1949" s="2"/>
      <c r="AO1949" s="884">
        <v>380.77</v>
      </c>
      <c r="AP1949" s="884">
        <f t="shared" ref="AP1949" si="7795">AO1949-AK1949</f>
        <v>16.471000000000004</v>
      </c>
      <c r="AV1949" t="str">
        <f t="shared" si="7716"/>
        <v>Drenagem Superficial</v>
      </c>
      <c r="AW1949" s="4" t="str">
        <f t="shared" si="7714"/>
        <v xml:space="preserve">   Seg. 2.2-A10 - Drenagem Superficial - Valetas de proteção de aterro (Km 110+880 a 111+220)</v>
      </c>
    </row>
    <row r="1950" spans="1:49" ht="15.6" hidden="1" customHeight="1" outlineLevel="2">
      <c r="A1950" s="8" t="str">
        <f t="shared" ref="A1950" si="7796">A1949</f>
        <v>N</v>
      </c>
      <c r="B1950" s="150"/>
      <c r="C1950" s="150" t="s">
        <v>2259</v>
      </c>
      <c r="D1950" s="120" t="s">
        <v>1239</v>
      </c>
      <c r="E1950" s="893"/>
      <c r="F1950" s="902"/>
      <c r="G1950" s="528"/>
      <c r="H1950" s="549" t="s">
        <v>38</v>
      </c>
      <c r="I1950" s="711">
        <v>0</v>
      </c>
      <c r="J1950" s="897"/>
      <c r="K1950" s="528"/>
      <c r="L1950" s="549" t="s">
        <v>38</v>
      </c>
      <c r="M1950" s="711">
        <f t="shared" si="7637"/>
        <v>0</v>
      </c>
      <c r="N1950" s="897"/>
      <c r="O1950" s="528"/>
      <c r="P1950" s="548">
        <v>0</v>
      </c>
      <c r="Q1950" s="548">
        <v>0</v>
      </c>
      <c r="R1950" s="548">
        <v>0</v>
      </c>
      <c r="S1950" s="548">
        <v>0</v>
      </c>
      <c r="T1950" s="548">
        <v>0</v>
      </c>
      <c r="U1950" s="548">
        <v>0</v>
      </c>
      <c r="V1950" s="548"/>
      <c r="W1950" s="528"/>
      <c r="X1950" s="711">
        <f t="shared" si="7639"/>
        <v>0</v>
      </c>
      <c r="Y1950" s="897"/>
      <c r="Z1950" s="528"/>
      <c r="AA1950" s="899"/>
      <c r="AB1950" s="899"/>
      <c r="AC1950" s="904"/>
      <c r="AD1950" s="901"/>
      <c r="AE1950" s="2"/>
      <c r="AF1950" s="885"/>
      <c r="AG1950" s="885"/>
      <c r="AH1950" s="885"/>
      <c r="AI1950" s="885"/>
      <c r="AJ1950" s="885"/>
      <c r="AK1950" s="885"/>
      <c r="AL1950" s="885"/>
      <c r="AM1950" s="879"/>
      <c r="AN1950" s="2"/>
      <c r="AO1950" s="886"/>
      <c r="AP1950" s="886"/>
      <c r="AV1950" t="str">
        <f t="shared" si="7716"/>
        <v>Drenagem Superficial</v>
      </c>
      <c r="AW1950" s="4" t="str">
        <f t="shared" si="7714"/>
        <v xml:space="preserve">   Seg. 2.2-A10 - Drenagem Superficial - Valetas de proteção de aterro (Km 110+880 a 111+220)</v>
      </c>
    </row>
    <row r="1951" spans="1:49" ht="15.6" hidden="1" customHeight="1" outlineLevel="2">
      <c r="A1951" s="8" t="str">
        <f t="shared" ref="A1951" si="7797">IF(SUM(P1951:V1952)&gt;0,"S","N")</f>
        <v>N</v>
      </c>
      <c r="B1951" s="150">
        <v>1061646</v>
      </c>
      <c r="C1951" s="150" t="s">
        <v>2261</v>
      </c>
      <c r="D1951" s="120" t="s">
        <v>1241</v>
      </c>
      <c r="E1951" s="892" t="s">
        <v>2262</v>
      </c>
      <c r="F1951" s="902" t="s">
        <v>52</v>
      </c>
      <c r="G1951" s="528"/>
      <c r="H1951" s="546" t="s">
        <v>37</v>
      </c>
      <c r="I1951" s="711">
        <v>0</v>
      </c>
      <c r="J1951" s="896" t="str">
        <f t="shared" ref="J1951" si="7798">IFERROR((I1952/I1951),"-")</f>
        <v>-</v>
      </c>
      <c r="K1951" s="528"/>
      <c r="L1951" s="546" t="s">
        <v>37</v>
      </c>
      <c r="M1951" s="711">
        <f t="shared" si="7637"/>
        <v>0</v>
      </c>
      <c r="N1951" s="896" t="str">
        <f t="shared" ref="N1951" si="7799">IFERROR((M1952/M1951),"-")</f>
        <v>-</v>
      </c>
      <c r="O1951" s="528"/>
      <c r="P1951" s="547">
        <v>0</v>
      </c>
      <c r="Q1951" s="547">
        <v>0</v>
      </c>
      <c r="R1951" s="547">
        <v>0</v>
      </c>
      <c r="S1951" s="547">
        <v>0</v>
      </c>
      <c r="T1951" s="547">
        <v>0</v>
      </c>
      <c r="U1951" s="547">
        <v>0</v>
      </c>
      <c r="V1951" s="548">
        <v>0</v>
      </c>
      <c r="W1951" s="528"/>
      <c r="X1951" s="711">
        <f t="shared" si="7639"/>
        <v>0</v>
      </c>
      <c r="Y1951" s="896" t="str">
        <f>IFERROR((X1952/X1951),"-")</f>
        <v>-</v>
      </c>
      <c r="Z1951" s="528"/>
      <c r="AA1951" s="898">
        <v>0</v>
      </c>
      <c r="AB1951" s="898">
        <v>0</v>
      </c>
      <c r="AC1951" s="903">
        <v>0</v>
      </c>
      <c r="AD1951" s="900" t="str">
        <f t="shared" ref="AD1951" si="7800">IFERROR((AC1951/AB1951),"-")</f>
        <v>-</v>
      </c>
      <c r="AE1951" s="2"/>
      <c r="AF1951" s="884">
        <v>756.14499999999998</v>
      </c>
      <c r="AG1951" s="884">
        <v>50.951999999999998</v>
      </c>
      <c r="AH1951" s="884">
        <v>0</v>
      </c>
      <c r="AI1951" s="884">
        <v>22.071000000000002</v>
      </c>
      <c r="AJ1951" s="884"/>
      <c r="AK1951" s="884">
        <f t="shared" ref="AK1951" si="7801">AF1951+AG1951+AH1951+AI1951+AJ1951+AC1951</f>
        <v>829.16800000000001</v>
      </c>
      <c r="AL1951" s="884">
        <v>329</v>
      </c>
      <c r="AM1951" s="878">
        <f t="shared" ref="AM1951" si="7802">IFERROR((AK1951/AL1951),"-")</f>
        <v>2.5202674772036473</v>
      </c>
      <c r="AN1951" s="2"/>
      <c r="AO1951" s="884">
        <v>329</v>
      </c>
      <c r="AP1951" s="884">
        <f t="shared" ref="AP1951" si="7803">AO1951-AK1951</f>
        <v>-500.16800000000001</v>
      </c>
      <c r="AV1951" t="str">
        <f t="shared" si="7716"/>
        <v>Drenagem Superficial</v>
      </c>
      <c r="AW1951" s="4" t="str">
        <f t="shared" si="7714"/>
        <v xml:space="preserve">   Seg. 2.2-A11-B01 - Drenagem Superficial - Valetas de proteção de aterro (Km 111+640 a 112+000)</v>
      </c>
    </row>
    <row r="1952" spans="1:49" ht="15.6" hidden="1" customHeight="1" outlineLevel="2">
      <c r="A1952" s="8" t="str">
        <f t="shared" ref="A1952" si="7804">A1951</f>
        <v>N</v>
      </c>
      <c r="B1952" s="150"/>
      <c r="C1952" s="150" t="s">
        <v>2261</v>
      </c>
      <c r="D1952" s="120" t="s">
        <v>1241</v>
      </c>
      <c r="E1952" s="893"/>
      <c r="F1952" s="902"/>
      <c r="G1952" s="528"/>
      <c r="H1952" s="549" t="s">
        <v>38</v>
      </c>
      <c r="I1952" s="711">
        <v>0</v>
      </c>
      <c r="J1952" s="897"/>
      <c r="K1952" s="528"/>
      <c r="L1952" s="549" t="s">
        <v>38</v>
      </c>
      <c r="M1952" s="711">
        <f t="shared" si="7637"/>
        <v>0</v>
      </c>
      <c r="N1952" s="897"/>
      <c r="O1952" s="528"/>
      <c r="P1952" s="548">
        <v>0</v>
      </c>
      <c r="Q1952" s="548">
        <v>0</v>
      </c>
      <c r="R1952" s="548">
        <v>0</v>
      </c>
      <c r="S1952" s="548">
        <v>0</v>
      </c>
      <c r="T1952" s="548">
        <v>0</v>
      </c>
      <c r="U1952" s="548">
        <v>0</v>
      </c>
      <c r="V1952" s="548"/>
      <c r="W1952" s="528"/>
      <c r="X1952" s="711">
        <f t="shared" si="7639"/>
        <v>0</v>
      </c>
      <c r="Y1952" s="897"/>
      <c r="Z1952" s="528"/>
      <c r="AA1952" s="899"/>
      <c r="AB1952" s="899"/>
      <c r="AC1952" s="904"/>
      <c r="AD1952" s="901"/>
      <c r="AE1952" s="2"/>
      <c r="AF1952" s="885"/>
      <c r="AG1952" s="885"/>
      <c r="AH1952" s="885"/>
      <c r="AI1952" s="885"/>
      <c r="AJ1952" s="885"/>
      <c r="AK1952" s="885"/>
      <c r="AL1952" s="885"/>
      <c r="AM1952" s="879"/>
      <c r="AN1952" s="2"/>
      <c r="AO1952" s="886"/>
      <c r="AP1952" s="886"/>
      <c r="AV1952" t="str">
        <f t="shared" si="7716"/>
        <v>Drenagem Superficial</v>
      </c>
      <c r="AW1952" s="4" t="str">
        <f t="shared" si="7714"/>
        <v xml:space="preserve">   Seg. 2.2-A11-B01 - Drenagem Superficial - Valetas de proteção de aterro (Km 111+640 a 112+000)</v>
      </c>
    </row>
    <row r="1953" spans="1:49" ht="15.6" hidden="1" customHeight="1" outlineLevel="2">
      <c r="A1953" s="209" t="str">
        <f t="shared" ref="A1953" si="7805">IF(SUM(P1953:V1954)&gt;0,"S","N")</f>
        <v>S</v>
      </c>
      <c r="B1953" s="150">
        <v>1061651</v>
      </c>
      <c r="C1953" s="150" t="s">
        <v>2263</v>
      </c>
      <c r="D1953" s="120" t="s">
        <v>1243</v>
      </c>
      <c r="E1953" s="892" t="s">
        <v>2264</v>
      </c>
      <c r="F1953" s="902" t="s">
        <v>52</v>
      </c>
      <c r="G1953" s="528"/>
      <c r="H1953" s="546" t="s">
        <v>37</v>
      </c>
      <c r="I1953" s="711">
        <v>9</v>
      </c>
      <c r="J1953" s="896">
        <f t="shared" ref="J1953" si="7806">IFERROR((I1954/I1953),"-")</f>
        <v>18.222222222222221</v>
      </c>
      <c r="K1953" s="528"/>
      <c r="L1953" s="546" t="s">
        <v>37</v>
      </c>
      <c r="M1953" s="711">
        <f t="shared" si="7637"/>
        <v>0</v>
      </c>
      <c r="N1953" s="896" t="str">
        <f t="shared" ref="N1953" si="7807">IFERROR((M1954/M1953),"-")</f>
        <v>-</v>
      </c>
      <c r="O1953" s="528"/>
      <c r="P1953" s="547">
        <v>0</v>
      </c>
      <c r="Q1953" s="547">
        <v>0</v>
      </c>
      <c r="R1953" s="547">
        <v>0</v>
      </c>
      <c r="S1953" s="547">
        <v>0</v>
      </c>
      <c r="T1953" s="547">
        <v>45</v>
      </c>
      <c r="U1953" s="547">
        <v>45</v>
      </c>
      <c r="V1953" s="548">
        <v>0</v>
      </c>
      <c r="W1953" s="528"/>
      <c r="X1953" s="711">
        <f t="shared" si="7639"/>
        <v>0</v>
      </c>
      <c r="Y1953" s="896" t="str">
        <f>IFERROR((X1954/X1953),"-")</f>
        <v>-</v>
      </c>
      <c r="Z1953" s="528"/>
      <c r="AA1953" s="898">
        <v>124</v>
      </c>
      <c r="AB1953" s="898">
        <v>124.02000000000001</v>
      </c>
      <c r="AC1953" s="903">
        <v>206.5</v>
      </c>
      <c r="AD1953" s="900">
        <f t="shared" ref="AD1953" si="7808">IFERROR((AC1953/AB1953),"-")</f>
        <v>1.6650540235445894</v>
      </c>
      <c r="AE1953" s="2"/>
      <c r="AF1953" s="884">
        <v>311.93599999999998</v>
      </c>
      <c r="AG1953" s="884"/>
      <c r="AH1953" s="884">
        <v>107.5</v>
      </c>
      <c r="AI1953" s="884">
        <v>202.02199999999999</v>
      </c>
      <c r="AJ1953" s="884">
        <v>142.55099999999999</v>
      </c>
      <c r="AK1953" s="884">
        <f t="shared" ref="AK1953" si="7809">AF1953+AG1953+AH1953+AI1953+AJ1953+AC1953</f>
        <v>970.50900000000001</v>
      </c>
      <c r="AL1953" s="884">
        <v>929.04000000000008</v>
      </c>
      <c r="AM1953" s="878">
        <f t="shared" ref="AM1953" si="7810">IFERROR((AK1953/AL1953),"-")</f>
        <v>1.0446363988633427</v>
      </c>
      <c r="AN1953" s="2"/>
      <c r="AO1953" s="884">
        <v>772.6</v>
      </c>
      <c r="AP1953" s="884">
        <f t="shared" ref="AP1953" si="7811">AO1953-AK1953</f>
        <v>-197.90899999999999</v>
      </c>
      <c r="AV1953" t="str">
        <f t="shared" si="7716"/>
        <v>Drenagem Superficial</v>
      </c>
      <c r="AW1953" s="4" t="str">
        <f t="shared" si="7714"/>
        <v xml:space="preserve">   Seg. 2.2-A12 - Drenagem Superficial - Valetas de proteção de aterro (Km 112+410 a 113+280)</v>
      </c>
    </row>
    <row r="1954" spans="1:49" ht="15.6" hidden="1" customHeight="1" outlineLevel="2">
      <c r="A1954" s="209" t="str">
        <f t="shared" ref="A1954" si="7812">A1953</f>
        <v>S</v>
      </c>
      <c r="B1954" s="150"/>
      <c r="C1954" s="150" t="s">
        <v>2263</v>
      </c>
      <c r="D1954" s="120" t="s">
        <v>1243</v>
      </c>
      <c r="E1954" s="893"/>
      <c r="F1954" s="902"/>
      <c r="G1954" s="528"/>
      <c r="H1954" s="549" t="s">
        <v>38</v>
      </c>
      <c r="I1954" s="711">
        <v>164</v>
      </c>
      <c r="J1954" s="897"/>
      <c r="K1954" s="528"/>
      <c r="L1954" s="549" t="s">
        <v>38</v>
      </c>
      <c r="M1954" s="711">
        <f t="shared" si="7637"/>
        <v>0</v>
      </c>
      <c r="N1954" s="897"/>
      <c r="O1954" s="528"/>
      <c r="P1954" s="548">
        <v>0</v>
      </c>
      <c r="Q1954" s="548">
        <v>0</v>
      </c>
      <c r="R1954" s="548">
        <v>0</v>
      </c>
      <c r="S1954" s="548">
        <v>0</v>
      </c>
      <c r="T1954" s="548">
        <v>0</v>
      </c>
      <c r="U1954" s="548">
        <v>0</v>
      </c>
      <c r="V1954" s="548"/>
      <c r="W1954" s="528"/>
      <c r="X1954" s="711">
        <f t="shared" si="7639"/>
        <v>0</v>
      </c>
      <c r="Y1954" s="897"/>
      <c r="Z1954" s="528"/>
      <c r="AA1954" s="899"/>
      <c r="AB1954" s="899"/>
      <c r="AC1954" s="904"/>
      <c r="AD1954" s="901"/>
      <c r="AE1954" s="2"/>
      <c r="AF1954" s="885"/>
      <c r="AG1954" s="885"/>
      <c r="AH1954" s="885"/>
      <c r="AI1954" s="885"/>
      <c r="AJ1954" s="885"/>
      <c r="AK1954" s="885"/>
      <c r="AL1954" s="885"/>
      <c r="AM1954" s="879"/>
      <c r="AN1954" s="2"/>
      <c r="AO1954" s="886"/>
      <c r="AP1954" s="886"/>
      <c r="AV1954" t="str">
        <f t="shared" si="7716"/>
        <v>Drenagem Superficial</v>
      </c>
      <c r="AW1954" s="4" t="str">
        <f t="shared" si="7714"/>
        <v xml:space="preserve">   Seg. 2.2-A12 - Drenagem Superficial - Valetas de proteção de aterro (Km 112+410 a 113+280)</v>
      </c>
    </row>
    <row r="1955" spans="1:49" ht="15.6" hidden="1" customHeight="1" outlineLevel="2">
      <c r="A1955" s="209" t="str">
        <f t="shared" ref="A1955" si="7813">IF(SUM(P1955:V1956)&gt;0,"S","N")</f>
        <v>N</v>
      </c>
      <c r="B1955" s="150">
        <v>1061657</v>
      </c>
      <c r="C1955" s="150" t="s">
        <v>2265</v>
      </c>
      <c r="D1955" s="120" t="s">
        <v>273</v>
      </c>
      <c r="E1955" s="892" t="s">
        <v>2266</v>
      </c>
      <c r="F1955" s="902" t="s">
        <v>52</v>
      </c>
      <c r="G1955" s="528"/>
      <c r="H1955" s="546" t="s">
        <v>37</v>
      </c>
      <c r="I1955" s="711">
        <v>0</v>
      </c>
      <c r="J1955" s="896" t="str">
        <f t="shared" ref="J1955" si="7814">IFERROR((I1956/I1955),"-")</f>
        <v>-</v>
      </c>
      <c r="K1955" s="528"/>
      <c r="L1955" s="546" t="s">
        <v>37</v>
      </c>
      <c r="M1955" s="711">
        <f t="shared" si="7637"/>
        <v>0</v>
      </c>
      <c r="N1955" s="896" t="str">
        <f t="shared" ref="N1955" si="7815">IFERROR((M1956/M1955),"-")</f>
        <v>-</v>
      </c>
      <c r="O1955" s="528"/>
      <c r="P1955" s="547">
        <v>0</v>
      </c>
      <c r="Q1955" s="547">
        <v>0</v>
      </c>
      <c r="R1955" s="547">
        <v>0</v>
      </c>
      <c r="S1955" s="547">
        <v>0</v>
      </c>
      <c r="T1955" s="547">
        <v>0</v>
      </c>
      <c r="U1955" s="547">
        <v>0</v>
      </c>
      <c r="V1955" s="548">
        <v>0</v>
      </c>
      <c r="W1955" s="528"/>
      <c r="X1955" s="711">
        <f t="shared" si="7639"/>
        <v>0</v>
      </c>
      <c r="Y1955" s="896" t="str">
        <f>IFERROR((X1956/X1955),"-")</f>
        <v>-</v>
      </c>
      <c r="Z1955" s="528"/>
      <c r="AA1955" s="898">
        <v>0</v>
      </c>
      <c r="AB1955" s="898">
        <v>0</v>
      </c>
      <c r="AC1955" s="903">
        <v>0</v>
      </c>
      <c r="AD1955" s="900" t="str">
        <f t="shared" ref="AD1955" si="7816">IFERROR((AC1955/AB1955),"-")</f>
        <v>-</v>
      </c>
      <c r="AE1955" s="2"/>
      <c r="AF1955" s="884">
        <v>1191.192</v>
      </c>
      <c r="AG1955" s="884"/>
      <c r="AH1955" s="884">
        <v>55.5</v>
      </c>
      <c r="AI1955" s="884"/>
      <c r="AJ1955" s="884"/>
      <c r="AK1955" s="884">
        <f t="shared" ref="AK1955" si="7817">AF1955+AG1955+AH1955+AI1955+AJ1955+AC1955</f>
        <v>1246.692</v>
      </c>
      <c r="AL1955" s="884">
        <v>582.42000000000155</v>
      </c>
      <c r="AM1955" s="878">
        <f t="shared" ref="AM1955" si="7818">IFERROR((AK1955/AL1955),"-")</f>
        <v>2.1405377562583645</v>
      </c>
      <c r="AN1955" s="2"/>
      <c r="AO1955" s="884">
        <v>536</v>
      </c>
      <c r="AP1955" s="884">
        <f t="shared" ref="AP1955" si="7819">AO1955-AK1955</f>
        <v>-710.69200000000001</v>
      </c>
      <c r="AV1955" t="str">
        <f t="shared" si="7716"/>
        <v>Drenagem Superficial</v>
      </c>
      <c r="AW1955" s="4" t="str">
        <f t="shared" si="7714"/>
        <v xml:space="preserve">   Seg. 2.2-A13 - Drenagem Superficial - Valetas de proteção de aterro (Km 114+320 a 114+940)</v>
      </c>
    </row>
    <row r="1956" spans="1:49" ht="15.6" hidden="1" customHeight="1" outlineLevel="2">
      <c r="A1956" s="209" t="str">
        <f t="shared" ref="A1956" si="7820">A1955</f>
        <v>N</v>
      </c>
      <c r="B1956" s="150"/>
      <c r="C1956" s="150" t="s">
        <v>2265</v>
      </c>
      <c r="D1956" s="120" t="s">
        <v>273</v>
      </c>
      <c r="E1956" s="893"/>
      <c r="F1956" s="902"/>
      <c r="G1956" s="528"/>
      <c r="H1956" s="549" t="s">
        <v>38</v>
      </c>
      <c r="I1956" s="711">
        <v>0</v>
      </c>
      <c r="J1956" s="897"/>
      <c r="K1956" s="528"/>
      <c r="L1956" s="549" t="s">
        <v>38</v>
      </c>
      <c r="M1956" s="711">
        <f t="shared" si="7637"/>
        <v>0</v>
      </c>
      <c r="N1956" s="897"/>
      <c r="O1956" s="528"/>
      <c r="P1956" s="548">
        <v>0</v>
      </c>
      <c r="Q1956" s="548">
        <v>0</v>
      </c>
      <c r="R1956" s="548">
        <v>0</v>
      </c>
      <c r="S1956" s="548">
        <v>0</v>
      </c>
      <c r="T1956" s="548">
        <v>0</v>
      </c>
      <c r="U1956" s="548">
        <v>0</v>
      </c>
      <c r="V1956" s="548"/>
      <c r="W1956" s="528"/>
      <c r="X1956" s="711">
        <f t="shared" si="7639"/>
        <v>0</v>
      </c>
      <c r="Y1956" s="897"/>
      <c r="Z1956" s="528"/>
      <c r="AA1956" s="899"/>
      <c r="AB1956" s="899"/>
      <c r="AC1956" s="904"/>
      <c r="AD1956" s="901"/>
      <c r="AE1956" s="2"/>
      <c r="AF1956" s="885"/>
      <c r="AG1956" s="885"/>
      <c r="AH1956" s="885"/>
      <c r="AI1956" s="885"/>
      <c r="AJ1956" s="885"/>
      <c r="AK1956" s="885"/>
      <c r="AL1956" s="885"/>
      <c r="AM1956" s="879"/>
      <c r="AN1956" s="2"/>
      <c r="AO1956" s="886"/>
      <c r="AP1956" s="886"/>
      <c r="AV1956" t="str">
        <f t="shared" si="7716"/>
        <v>Drenagem Superficial</v>
      </c>
      <c r="AW1956" s="4" t="str">
        <f t="shared" si="7714"/>
        <v xml:space="preserve">   Seg. 2.2-A13 - Drenagem Superficial - Valetas de proteção de aterro (Km 114+320 a 114+940)</v>
      </c>
    </row>
    <row r="1957" spans="1:49" ht="15.6" hidden="1" customHeight="1" outlineLevel="2">
      <c r="A1957" s="8" t="str">
        <f t="shared" ref="A1957" si="7821">IF(SUM(P1957:V1958)&gt;0,"S","N")</f>
        <v>N</v>
      </c>
      <c r="B1957" s="150">
        <v>1061662</v>
      </c>
      <c r="C1957" s="150" t="s">
        <v>2267</v>
      </c>
      <c r="D1957" s="120" t="s">
        <v>1248</v>
      </c>
      <c r="E1957" s="892" t="s">
        <v>2268</v>
      </c>
      <c r="F1957" s="902" t="s">
        <v>52</v>
      </c>
      <c r="G1957" s="528"/>
      <c r="H1957" s="546" t="s">
        <v>37</v>
      </c>
      <c r="I1957" s="711">
        <v>0</v>
      </c>
      <c r="J1957" s="896" t="str">
        <f t="shared" ref="J1957" si="7822">IFERROR((I1958/I1957),"-")</f>
        <v>-</v>
      </c>
      <c r="K1957" s="528"/>
      <c r="L1957" s="546" t="s">
        <v>37</v>
      </c>
      <c r="M1957" s="711">
        <f t="shared" si="7637"/>
        <v>0</v>
      </c>
      <c r="N1957" s="896" t="str">
        <f t="shared" ref="N1957" si="7823">IFERROR((M1958/M1957),"-")</f>
        <v>-</v>
      </c>
      <c r="O1957" s="528"/>
      <c r="P1957" s="547">
        <v>0</v>
      </c>
      <c r="Q1957" s="547">
        <v>0</v>
      </c>
      <c r="R1957" s="547">
        <v>0</v>
      </c>
      <c r="S1957" s="547">
        <v>0</v>
      </c>
      <c r="T1957" s="547">
        <v>0</v>
      </c>
      <c r="U1957" s="547">
        <v>0</v>
      </c>
      <c r="V1957" s="548">
        <v>0</v>
      </c>
      <c r="W1957" s="528"/>
      <c r="X1957" s="711">
        <f t="shared" si="7639"/>
        <v>0</v>
      </c>
      <c r="Y1957" s="896" t="str">
        <f>IFERROR((X1958/X1957),"-")</f>
        <v>-</v>
      </c>
      <c r="Z1957" s="528"/>
      <c r="AA1957" s="898">
        <v>0</v>
      </c>
      <c r="AB1957" s="898">
        <v>0</v>
      </c>
      <c r="AC1957" s="903">
        <v>0</v>
      </c>
      <c r="AD1957" s="900" t="str">
        <f t="shared" ref="AD1957" si="7824">IFERROR((AC1957/AB1957),"-")</f>
        <v>-</v>
      </c>
      <c r="AE1957" s="2"/>
      <c r="AF1957" s="884">
        <v>542.64</v>
      </c>
      <c r="AG1957" s="884"/>
      <c r="AH1957" s="884">
        <v>0</v>
      </c>
      <c r="AI1957" s="884"/>
      <c r="AJ1957" s="884">
        <v>32.652999999999999</v>
      </c>
      <c r="AK1957" s="884">
        <f t="shared" ref="AK1957" si="7825">AF1957+AG1957+AH1957+AI1957+AJ1957+AC1957</f>
        <v>575.29300000000001</v>
      </c>
      <c r="AL1957" s="884">
        <v>284.67000000000024</v>
      </c>
      <c r="AM1957" s="878">
        <f t="shared" ref="AM1957" si="7826">IFERROR((AK1957/AL1957),"-")</f>
        <v>2.0209119331155354</v>
      </c>
      <c r="AN1957" s="2"/>
      <c r="AO1957" s="884">
        <v>252</v>
      </c>
      <c r="AP1957" s="884">
        <f t="shared" ref="AP1957" si="7827">AO1957-AK1957</f>
        <v>-323.29300000000001</v>
      </c>
      <c r="AV1957" t="str">
        <f t="shared" si="7716"/>
        <v>Drenagem Superficial</v>
      </c>
      <c r="AW1957" s="4" t="str">
        <f t="shared" si="7714"/>
        <v xml:space="preserve">   Seg. 2.2-A14-B01 - Drenagem Superficial - Valetas de proteção de aterro (Km 115+820 a 116+020)</v>
      </c>
    </row>
    <row r="1958" spans="1:49" ht="15.6" hidden="1" customHeight="1" outlineLevel="2">
      <c r="A1958" s="8" t="str">
        <f t="shared" ref="A1958" si="7828">A1957</f>
        <v>N</v>
      </c>
      <c r="B1958" s="150"/>
      <c r="C1958" s="150" t="s">
        <v>2267</v>
      </c>
      <c r="D1958" s="120" t="s">
        <v>1248</v>
      </c>
      <c r="E1958" s="893"/>
      <c r="F1958" s="902"/>
      <c r="G1958" s="528"/>
      <c r="H1958" s="549" t="s">
        <v>38</v>
      </c>
      <c r="I1958" s="711">
        <v>0</v>
      </c>
      <c r="J1958" s="897"/>
      <c r="K1958" s="528"/>
      <c r="L1958" s="549" t="s">
        <v>38</v>
      </c>
      <c r="M1958" s="711">
        <f t="shared" si="7637"/>
        <v>0</v>
      </c>
      <c r="N1958" s="897"/>
      <c r="O1958" s="528"/>
      <c r="P1958" s="548">
        <v>0</v>
      </c>
      <c r="Q1958" s="548">
        <v>0</v>
      </c>
      <c r="R1958" s="548">
        <v>0</v>
      </c>
      <c r="S1958" s="548">
        <v>0</v>
      </c>
      <c r="T1958" s="548">
        <v>0</v>
      </c>
      <c r="U1958" s="548">
        <v>0</v>
      </c>
      <c r="V1958" s="548"/>
      <c r="W1958" s="528"/>
      <c r="X1958" s="711">
        <f t="shared" si="7639"/>
        <v>0</v>
      </c>
      <c r="Y1958" s="897"/>
      <c r="Z1958" s="528"/>
      <c r="AA1958" s="899"/>
      <c r="AB1958" s="899"/>
      <c r="AC1958" s="904"/>
      <c r="AD1958" s="901"/>
      <c r="AE1958" s="2"/>
      <c r="AF1958" s="885"/>
      <c r="AG1958" s="885"/>
      <c r="AH1958" s="885"/>
      <c r="AI1958" s="885"/>
      <c r="AJ1958" s="885"/>
      <c r="AK1958" s="885"/>
      <c r="AL1958" s="885"/>
      <c r="AM1958" s="879"/>
      <c r="AN1958" s="2"/>
      <c r="AO1958" s="886"/>
      <c r="AP1958" s="886"/>
      <c r="AV1958" t="str">
        <f t="shared" si="7716"/>
        <v>Drenagem Superficial</v>
      </c>
      <c r="AW1958" s="4" t="str">
        <f t="shared" si="7714"/>
        <v xml:space="preserve">   Seg. 2.2-A14-B01 - Drenagem Superficial - Valetas de proteção de aterro (Km 115+820 a 116+020)</v>
      </c>
    </row>
    <row r="1959" spans="1:49" ht="15.6" hidden="1" customHeight="1" outlineLevel="2">
      <c r="A1959" s="8" t="str">
        <f t="shared" ref="A1959" si="7829">IF(SUM(P1959:V1960)&gt;0,"S","N")</f>
        <v>N</v>
      </c>
      <c r="B1959" s="150">
        <v>1061667</v>
      </c>
      <c r="C1959" s="150" t="s">
        <v>2269</v>
      </c>
      <c r="D1959" s="120" t="s">
        <v>1250</v>
      </c>
      <c r="E1959" s="892" t="s">
        <v>2270</v>
      </c>
      <c r="F1959" s="902" t="s">
        <v>52</v>
      </c>
      <c r="G1959" s="528"/>
      <c r="H1959" s="546" t="s">
        <v>37</v>
      </c>
      <c r="I1959" s="711">
        <v>0</v>
      </c>
      <c r="J1959" s="896" t="str">
        <f t="shared" ref="J1959" si="7830">IFERROR((I1960/I1959),"-")</f>
        <v>-</v>
      </c>
      <c r="K1959" s="528"/>
      <c r="L1959" s="546" t="s">
        <v>37</v>
      </c>
      <c r="M1959" s="711">
        <f t="shared" si="7637"/>
        <v>0</v>
      </c>
      <c r="N1959" s="896" t="str">
        <f t="shared" ref="N1959" si="7831">IFERROR((M1960/M1959),"-")</f>
        <v>-</v>
      </c>
      <c r="O1959" s="528"/>
      <c r="P1959" s="547">
        <v>0</v>
      </c>
      <c r="Q1959" s="547">
        <v>0</v>
      </c>
      <c r="R1959" s="547">
        <v>0</v>
      </c>
      <c r="S1959" s="547">
        <v>0</v>
      </c>
      <c r="T1959" s="547">
        <v>0</v>
      </c>
      <c r="U1959" s="547">
        <v>0</v>
      </c>
      <c r="V1959" s="548">
        <v>0</v>
      </c>
      <c r="W1959" s="528"/>
      <c r="X1959" s="711">
        <f t="shared" si="7639"/>
        <v>0</v>
      </c>
      <c r="Y1959" s="896" t="str">
        <f>IFERROR((X1960/X1959),"-")</f>
        <v>-</v>
      </c>
      <c r="Z1959" s="528"/>
      <c r="AA1959" s="898">
        <v>0</v>
      </c>
      <c r="AB1959" s="898">
        <v>0</v>
      </c>
      <c r="AC1959" s="903">
        <v>0</v>
      </c>
      <c r="AD1959" s="900" t="str">
        <f t="shared" ref="AD1959" si="7832">IFERROR((AC1959/AB1959),"-")</f>
        <v>-</v>
      </c>
      <c r="AE1959" s="2"/>
      <c r="AF1959" s="884"/>
      <c r="AG1959" s="884"/>
      <c r="AH1959" s="884">
        <v>0</v>
      </c>
      <c r="AI1959" s="884">
        <v>323.60899999999998</v>
      </c>
      <c r="AJ1959" s="884"/>
      <c r="AK1959" s="884">
        <f t="shared" ref="AK1959" si="7833">AF1959+AG1959+AH1959+AI1959+AJ1959+AC1959</f>
        <v>323.60899999999998</v>
      </c>
      <c r="AL1959" s="884">
        <v>230.02000000000004</v>
      </c>
      <c r="AM1959" s="878">
        <f t="shared" ref="AM1959" si="7834">IFERROR((AK1959/AL1959),"-")</f>
        <v>1.406873315363881</v>
      </c>
      <c r="AN1959" s="2"/>
      <c r="AO1959" s="884">
        <v>230</v>
      </c>
      <c r="AP1959" s="884">
        <f t="shared" ref="AP1959" si="7835">AO1959-AK1959</f>
        <v>-93.60899999999998</v>
      </c>
      <c r="AV1959" t="str">
        <f t="shared" si="7716"/>
        <v>Drenagem Superficial</v>
      </c>
      <c r="AW1959" s="4" t="str">
        <f t="shared" si="7714"/>
        <v xml:space="preserve">   Seg. 2.2-A15-B01 - Drenagem Superficial - Valetas de proteção de aterro (Km 116+260 a 116+460)</v>
      </c>
    </row>
    <row r="1960" spans="1:49" ht="15.6" hidden="1" customHeight="1" outlineLevel="2">
      <c r="A1960" s="8" t="str">
        <f t="shared" ref="A1960" si="7836">A1959</f>
        <v>N</v>
      </c>
      <c r="B1960" s="150"/>
      <c r="C1960" s="150" t="s">
        <v>2269</v>
      </c>
      <c r="D1960" s="120" t="s">
        <v>1250</v>
      </c>
      <c r="E1960" s="893"/>
      <c r="F1960" s="902"/>
      <c r="G1960" s="528"/>
      <c r="H1960" s="549" t="s">
        <v>38</v>
      </c>
      <c r="I1960" s="711">
        <v>0</v>
      </c>
      <c r="J1960" s="897"/>
      <c r="K1960" s="528"/>
      <c r="L1960" s="549" t="s">
        <v>38</v>
      </c>
      <c r="M1960" s="711">
        <f t="shared" si="7637"/>
        <v>0</v>
      </c>
      <c r="N1960" s="897"/>
      <c r="O1960" s="528"/>
      <c r="P1960" s="548">
        <v>0</v>
      </c>
      <c r="Q1960" s="548">
        <v>0</v>
      </c>
      <c r="R1960" s="548">
        <v>0</v>
      </c>
      <c r="S1960" s="548">
        <v>0</v>
      </c>
      <c r="T1960" s="548">
        <v>0</v>
      </c>
      <c r="U1960" s="548">
        <v>0</v>
      </c>
      <c r="V1960" s="548"/>
      <c r="W1960" s="528"/>
      <c r="X1960" s="711">
        <f t="shared" si="7639"/>
        <v>0</v>
      </c>
      <c r="Y1960" s="897"/>
      <c r="Z1960" s="528"/>
      <c r="AA1960" s="899"/>
      <c r="AB1960" s="899"/>
      <c r="AC1960" s="904"/>
      <c r="AD1960" s="901"/>
      <c r="AE1960" s="2"/>
      <c r="AF1960" s="885"/>
      <c r="AG1960" s="885"/>
      <c r="AH1960" s="885"/>
      <c r="AI1960" s="885"/>
      <c r="AJ1960" s="885"/>
      <c r="AK1960" s="885"/>
      <c r="AL1960" s="885"/>
      <c r="AM1960" s="879"/>
      <c r="AN1960" s="2"/>
      <c r="AO1960" s="886"/>
      <c r="AP1960" s="886"/>
      <c r="AV1960" t="str">
        <f t="shared" si="7716"/>
        <v>Drenagem Superficial</v>
      </c>
      <c r="AW1960" s="4" t="str">
        <f t="shared" si="7714"/>
        <v xml:space="preserve">   Seg. 2.2-A15-B01 - Drenagem Superficial - Valetas de proteção de aterro (Km 116+260 a 116+460)</v>
      </c>
    </row>
    <row r="1961" spans="1:49" ht="15.6" hidden="1" customHeight="1" outlineLevel="2">
      <c r="A1961" s="8" t="str">
        <f t="shared" ref="A1961" si="7837">IF(SUM(P1961:V1962)&gt;0,"S","N")</f>
        <v>N</v>
      </c>
      <c r="B1961" s="150">
        <v>1061799</v>
      </c>
      <c r="C1961" s="150" t="s">
        <v>2271</v>
      </c>
      <c r="D1961" s="120" t="s">
        <v>2272</v>
      </c>
      <c r="E1961" s="892" t="s">
        <v>2273</v>
      </c>
      <c r="F1961" s="902" t="s">
        <v>52</v>
      </c>
      <c r="G1961" s="528"/>
      <c r="H1961" s="546" t="s">
        <v>37</v>
      </c>
      <c r="I1961" s="711">
        <v>0</v>
      </c>
      <c r="J1961" s="896" t="str">
        <f t="shared" ref="J1961" si="7838">IFERROR((I1962/I1961),"-")</f>
        <v>-</v>
      </c>
      <c r="K1961" s="528"/>
      <c r="L1961" s="546" t="s">
        <v>37</v>
      </c>
      <c r="M1961" s="711">
        <f t="shared" si="7637"/>
        <v>0</v>
      </c>
      <c r="N1961" s="896" t="str">
        <f t="shared" ref="N1961" si="7839">IFERROR((M1962/M1961),"-")</f>
        <v>-</v>
      </c>
      <c r="O1961" s="528"/>
      <c r="P1961" s="547">
        <v>0</v>
      </c>
      <c r="Q1961" s="547">
        <v>0</v>
      </c>
      <c r="R1961" s="547">
        <v>0</v>
      </c>
      <c r="S1961" s="547">
        <v>0</v>
      </c>
      <c r="T1961" s="547">
        <v>0</v>
      </c>
      <c r="U1961" s="547">
        <v>0</v>
      </c>
      <c r="V1961" s="548">
        <v>0</v>
      </c>
      <c r="W1961" s="528"/>
      <c r="X1961" s="711">
        <f t="shared" si="7639"/>
        <v>0</v>
      </c>
      <c r="Y1961" s="896" t="str">
        <f>IFERROR((X1962/X1961),"-")</f>
        <v>-</v>
      </c>
      <c r="Z1961" s="528"/>
      <c r="AA1961" s="898">
        <v>0</v>
      </c>
      <c r="AB1961" s="898">
        <v>0</v>
      </c>
      <c r="AC1961" s="903">
        <v>0</v>
      </c>
      <c r="AD1961" s="900" t="str">
        <f t="shared" ref="AD1961" si="7840">IFERROR((AC1961/AB1961),"-")</f>
        <v>-</v>
      </c>
      <c r="AE1961" s="2"/>
      <c r="AF1961" s="884"/>
      <c r="AG1961" s="884"/>
      <c r="AH1961" s="884">
        <v>0</v>
      </c>
      <c r="AI1961" s="884"/>
      <c r="AJ1961" s="884"/>
      <c r="AK1961" s="884">
        <f t="shared" ref="AK1961" si="7841">AF1961+AG1961+AH1961+AI1961+AJ1961+AC1961</f>
        <v>0</v>
      </c>
      <c r="AL1961" s="884">
        <v>0</v>
      </c>
      <c r="AM1961" s="878" t="str">
        <f t="shared" ref="AM1961" si="7842">IFERROR((AK1961/AL1961),"-")</f>
        <v>-</v>
      </c>
      <c r="AN1961" s="2"/>
      <c r="AO1961" s="884">
        <v>63</v>
      </c>
      <c r="AP1961" s="884">
        <f t="shared" ref="AP1961" si="7843">AO1961-AK1961</f>
        <v>63</v>
      </c>
      <c r="AV1961" t="str">
        <f t="shared" si="7716"/>
        <v>Drenagem Superficial</v>
      </c>
      <c r="AW1961" s="4" t="str">
        <f t="shared" si="7714"/>
        <v xml:space="preserve">   Seg. 2.2-A04-Acesso - Drenagem Superficial - Valetas de proteção de Aterro (Km 106+190)</v>
      </c>
    </row>
    <row r="1962" spans="1:49" ht="15.6" hidden="1" customHeight="1" outlineLevel="2">
      <c r="A1962" s="8" t="str">
        <f t="shared" ref="A1962" si="7844">A1961</f>
        <v>N</v>
      </c>
      <c r="B1962" s="150"/>
      <c r="C1962" s="150" t="s">
        <v>2271</v>
      </c>
      <c r="D1962" s="120" t="s">
        <v>2272</v>
      </c>
      <c r="E1962" s="893"/>
      <c r="F1962" s="902"/>
      <c r="G1962" s="528"/>
      <c r="H1962" s="549" t="s">
        <v>38</v>
      </c>
      <c r="I1962" s="711">
        <v>0</v>
      </c>
      <c r="J1962" s="897"/>
      <c r="K1962" s="528"/>
      <c r="L1962" s="549" t="s">
        <v>38</v>
      </c>
      <c r="M1962" s="711">
        <f t="shared" si="7637"/>
        <v>0</v>
      </c>
      <c r="N1962" s="897"/>
      <c r="O1962" s="528"/>
      <c r="P1962" s="548">
        <v>0</v>
      </c>
      <c r="Q1962" s="548">
        <v>0</v>
      </c>
      <c r="R1962" s="548">
        <v>0</v>
      </c>
      <c r="S1962" s="548">
        <v>0</v>
      </c>
      <c r="T1962" s="548">
        <v>0</v>
      </c>
      <c r="U1962" s="548">
        <v>0</v>
      </c>
      <c r="V1962" s="548"/>
      <c r="W1962" s="528"/>
      <c r="X1962" s="711">
        <f t="shared" si="7639"/>
        <v>0</v>
      </c>
      <c r="Y1962" s="897"/>
      <c r="Z1962" s="528"/>
      <c r="AA1962" s="899"/>
      <c r="AB1962" s="899"/>
      <c r="AC1962" s="904"/>
      <c r="AD1962" s="901"/>
      <c r="AE1962" s="2"/>
      <c r="AF1962" s="885"/>
      <c r="AG1962" s="885"/>
      <c r="AH1962" s="885"/>
      <c r="AI1962" s="885"/>
      <c r="AJ1962" s="885"/>
      <c r="AK1962" s="885"/>
      <c r="AL1962" s="885"/>
      <c r="AM1962" s="879"/>
      <c r="AN1962" s="2"/>
      <c r="AO1962" s="886"/>
      <c r="AP1962" s="886"/>
      <c r="AV1962" t="str">
        <f t="shared" si="7716"/>
        <v>Drenagem Superficial</v>
      </c>
      <c r="AW1962" s="4" t="str">
        <f t="shared" si="7714"/>
        <v xml:space="preserve">   Seg. 2.2-A04-Acesso - Drenagem Superficial - Valetas de proteção de Aterro (Km 106+190)</v>
      </c>
    </row>
    <row r="1963" spans="1:49" ht="15.6" hidden="1" customHeight="1" outlineLevel="2">
      <c r="A1963" s="8" t="str">
        <f t="shared" ref="A1963" si="7845">IF(SUM(P1963:V1964)&gt;0,"S","N")</f>
        <v>N</v>
      </c>
      <c r="B1963" s="150">
        <v>1061801</v>
      </c>
      <c r="C1963" s="150" t="s">
        <v>2274</v>
      </c>
      <c r="D1963" s="120" t="s">
        <v>2275</v>
      </c>
      <c r="E1963" s="892" t="s">
        <v>2276</v>
      </c>
      <c r="F1963" s="902" t="s">
        <v>52</v>
      </c>
      <c r="G1963" s="528"/>
      <c r="H1963" s="546" t="s">
        <v>37</v>
      </c>
      <c r="I1963" s="711">
        <v>0</v>
      </c>
      <c r="J1963" s="896" t="str">
        <f t="shared" ref="J1963" si="7846">IFERROR((I1964/I1963),"-")</f>
        <v>-</v>
      </c>
      <c r="K1963" s="528"/>
      <c r="L1963" s="546" t="s">
        <v>37</v>
      </c>
      <c r="M1963" s="711">
        <f t="shared" si="7637"/>
        <v>0</v>
      </c>
      <c r="N1963" s="896" t="str">
        <f t="shared" ref="N1963" si="7847">IFERROR((M1964/M1963),"-")</f>
        <v>-</v>
      </c>
      <c r="O1963" s="528"/>
      <c r="P1963" s="547">
        <v>0</v>
      </c>
      <c r="Q1963" s="547">
        <v>0</v>
      </c>
      <c r="R1963" s="547">
        <v>0</v>
      </c>
      <c r="S1963" s="547">
        <v>0</v>
      </c>
      <c r="T1963" s="547">
        <v>0</v>
      </c>
      <c r="U1963" s="547">
        <v>0</v>
      </c>
      <c r="V1963" s="548">
        <v>0</v>
      </c>
      <c r="W1963" s="528"/>
      <c r="X1963" s="711">
        <f t="shared" si="7639"/>
        <v>0</v>
      </c>
      <c r="Y1963" s="896" t="str">
        <f>IFERROR((X1964/X1963),"-")</f>
        <v>-</v>
      </c>
      <c r="Z1963" s="528"/>
      <c r="AA1963" s="898">
        <v>0</v>
      </c>
      <c r="AB1963" s="898">
        <v>0</v>
      </c>
      <c r="AC1963" s="903">
        <v>0</v>
      </c>
      <c r="AD1963" s="900" t="str">
        <f t="shared" ref="AD1963" si="7848">IFERROR((AC1963/AB1963),"-")</f>
        <v>-</v>
      </c>
      <c r="AE1963" s="2"/>
      <c r="AF1963" s="884"/>
      <c r="AG1963" s="884"/>
      <c r="AH1963" s="884">
        <v>0</v>
      </c>
      <c r="AI1963" s="884"/>
      <c r="AJ1963" s="884"/>
      <c r="AK1963" s="884">
        <f t="shared" ref="AK1963" si="7849">AF1963+AG1963+AH1963+AI1963+AJ1963+AC1963</f>
        <v>0</v>
      </c>
      <c r="AL1963" s="884">
        <v>0</v>
      </c>
      <c r="AM1963" s="878" t="str">
        <f t="shared" ref="AM1963" si="7850">IFERROR((AK1963/AL1963),"-")</f>
        <v>-</v>
      </c>
      <c r="AN1963" s="2"/>
      <c r="AO1963" s="884">
        <v>388</v>
      </c>
      <c r="AP1963" s="884">
        <f t="shared" ref="AP1963" si="7851">AO1963-AK1963</f>
        <v>388</v>
      </c>
      <c r="AV1963" t="str">
        <f t="shared" si="7716"/>
        <v>Drenagem Superficial</v>
      </c>
      <c r="AW1963" s="4" t="str">
        <f t="shared" si="7714"/>
        <v xml:space="preserve">   Seg. 2.2-A06-Acesso - Drenagem Superficial - Valetas de proteção de aterro (Km 108+540)</v>
      </c>
    </row>
    <row r="1964" spans="1:49" ht="15.6" hidden="1" customHeight="1" outlineLevel="2">
      <c r="A1964" s="8" t="str">
        <f t="shared" ref="A1964" si="7852">A1963</f>
        <v>N</v>
      </c>
      <c r="B1964" s="150"/>
      <c r="C1964" s="150" t="s">
        <v>2274</v>
      </c>
      <c r="D1964" s="120" t="s">
        <v>2275</v>
      </c>
      <c r="E1964" s="893"/>
      <c r="F1964" s="902"/>
      <c r="G1964" s="528"/>
      <c r="H1964" s="549" t="s">
        <v>38</v>
      </c>
      <c r="I1964" s="711">
        <v>0</v>
      </c>
      <c r="J1964" s="897"/>
      <c r="K1964" s="528"/>
      <c r="L1964" s="549" t="s">
        <v>38</v>
      </c>
      <c r="M1964" s="711">
        <f t="shared" si="7637"/>
        <v>0</v>
      </c>
      <c r="N1964" s="897"/>
      <c r="O1964" s="528"/>
      <c r="P1964" s="548">
        <v>0</v>
      </c>
      <c r="Q1964" s="548">
        <v>0</v>
      </c>
      <c r="R1964" s="548">
        <v>0</v>
      </c>
      <c r="S1964" s="548">
        <v>0</v>
      </c>
      <c r="T1964" s="548">
        <v>0</v>
      </c>
      <c r="U1964" s="548">
        <v>0</v>
      </c>
      <c r="V1964" s="548"/>
      <c r="W1964" s="528"/>
      <c r="X1964" s="711">
        <f t="shared" si="7639"/>
        <v>0</v>
      </c>
      <c r="Y1964" s="897"/>
      <c r="Z1964" s="528"/>
      <c r="AA1964" s="899"/>
      <c r="AB1964" s="899"/>
      <c r="AC1964" s="904"/>
      <c r="AD1964" s="901"/>
      <c r="AE1964" s="2"/>
      <c r="AF1964" s="885"/>
      <c r="AG1964" s="885"/>
      <c r="AH1964" s="885"/>
      <c r="AI1964" s="885"/>
      <c r="AJ1964" s="885"/>
      <c r="AK1964" s="885"/>
      <c r="AL1964" s="885"/>
      <c r="AM1964" s="879"/>
      <c r="AN1964" s="2"/>
      <c r="AO1964" s="886"/>
      <c r="AP1964" s="886"/>
      <c r="AV1964" t="str">
        <f t="shared" si="7716"/>
        <v>Drenagem Superficial</v>
      </c>
      <c r="AW1964" s="4" t="str">
        <f t="shared" si="7714"/>
        <v xml:space="preserve">   Seg. 2.2-A06-Acesso - Drenagem Superficial - Valetas de proteção de aterro (Km 108+540)</v>
      </c>
    </row>
    <row r="1965" spans="1:49" ht="15.6" hidden="1" customHeight="1" outlineLevel="2">
      <c r="A1965" s="8" t="str">
        <f t="shared" ref="A1965" si="7853">IF(SUM(P1965:V1966)&gt;0,"S","N")</f>
        <v>S</v>
      </c>
      <c r="B1965" s="147">
        <v>1061806</v>
      </c>
      <c r="C1965" s="147" t="s">
        <v>2277</v>
      </c>
      <c r="D1965" s="147" t="s">
        <v>2278</v>
      </c>
      <c r="E1965" s="892" t="s">
        <v>2279</v>
      </c>
      <c r="F1965" s="902" t="s">
        <v>52</v>
      </c>
      <c r="G1965" s="528"/>
      <c r="H1965" s="546" t="s">
        <v>37</v>
      </c>
      <c r="I1965" s="711">
        <v>0</v>
      </c>
      <c r="J1965" s="896" t="str">
        <f t="shared" ref="J1965" si="7854">IFERROR((I1966/I1965),"-")</f>
        <v>-</v>
      </c>
      <c r="K1965" s="528"/>
      <c r="L1965" s="546" t="s">
        <v>37</v>
      </c>
      <c r="M1965" s="711">
        <f t="shared" si="7637"/>
        <v>0</v>
      </c>
      <c r="N1965" s="896" t="str">
        <f t="shared" ref="N1965" si="7855">IFERROR((M1966/M1965),"-")</f>
        <v>-</v>
      </c>
      <c r="O1965" s="528"/>
      <c r="P1965" s="547">
        <v>0</v>
      </c>
      <c r="Q1965" s="547">
        <v>0</v>
      </c>
      <c r="R1965" s="547">
        <v>0</v>
      </c>
      <c r="S1965" s="547">
        <v>0</v>
      </c>
      <c r="T1965" s="547">
        <v>0</v>
      </c>
      <c r="U1965" s="547">
        <v>0</v>
      </c>
      <c r="V1965" s="548">
        <v>0</v>
      </c>
      <c r="W1965" s="528"/>
      <c r="X1965" s="711">
        <f t="shared" si="7639"/>
        <v>0</v>
      </c>
      <c r="Y1965" s="896" t="str">
        <f>IFERROR((X1966/X1965),"-")</f>
        <v>-</v>
      </c>
      <c r="Z1965" s="528"/>
      <c r="AA1965" s="898">
        <v>1958</v>
      </c>
      <c r="AB1965" s="898">
        <v>1958</v>
      </c>
      <c r="AC1965" s="903">
        <v>150</v>
      </c>
      <c r="AD1965" s="900">
        <f t="shared" ref="AD1965" si="7856">IFERROR((AC1965/AB1965),"-")</f>
        <v>7.6608784473953015E-2</v>
      </c>
      <c r="AE1965" s="2"/>
      <c r="AF1965" s="884">
        <v>640.23500000000001</v>
      </c>
      <c r="AG1965" s="884">
        <v>865.88199999999995</v>
      </c>
      <c r="AH1965" s="884">
        <v>218</v>
      </c>
      <c r="AI1965" s="884">
        <v>748.80600000000004</v>
      </c>
      <c r="AJ1965" s="884"/>
      <c r="AK1965" s="884">
        <f t="shared" ref="AK1965" si="7857">AF1965+AG1965+AH1965+AI1965+AJ1965+AC1965</f>
        <v>2622.9229999999998</v>
      </c>
      <c r="AL1965" s="884">
        <v>3985.5599999999995</v>
      </c>
      <c r="AM1965" s="878">
        <f t="shared" ref="AM1965" si="7858">IFERROR((AK1965/AL1965),"-")</f>
        <v>0.65810651451740787</v>
      </c>
      <c r="AN1965" s="2"/>
      <c r="AO1965" s="886">
        <v>3822.5299999999997</v>
      </c>
      <c r="AP1965" s="884">
        <f t="shared" ref="AP1965" si="7859">AO1965-AK1965</f>
        <v>1199.607</v>
      </c>
      <c r="AV1965" t="str">
        <f t="shared" si="7716"/>
        <v>Drenagem Superficial</v>
      </c>
      <c r="AW1965" s="4" t="str">
        <f t="shared" si="7714"/>
        <v xml:space="preserve">   Seg. 2.2-A09-Acesso - Drenagem Superficial - Valeta de proteção de aterro (Km 110+035)</v>
      </c>
    </row>
    <row r="1966" spans="1:49" ht="15.6" hidden="1" customHeight="1" outlineLevel="2">
      <c r="A1966" s="8" t="str">
        <f t="shared" ref="A1966" si="7860">A1965</f>
        <v>S</v>
      </c>
      <c r="B1966" s="147"/>
      <c r="C1966" s="147" t="s">
        <v>2277</v>
      </c>
      <c r="D1966" s="147" t="s">
        <v>2278</v>
      </c>
      <c r="E1966" s="893"/>
      <c r="F1966" s="902"/>
      <c r="G1966" s="528"/>
      <c r="H1966" s="549" t="s">
        <v>38</v>
      </c>
      <c r="I1966" s="711">
        <v>32.5</v>
      </c>
      <c r="J1966" s="897"/>
      <c r="K1966" s="528"/>
      <c r="L1966" s="549" t="s">
        <v>38</v>
      </c>
      <c r="M1966" s="711">
        <f t="shared" si="7637"/>
        <v>50</v>
      </c>
      <c r="N1966" s="897"/>
      <c r="O1966" s="528"/>
      <c r="P1966" s="548">
        <v>20</v>
      </c>
      <c r="Q1966" s="548">
        <v>50</v>
      </c>
      <c r="R1966" s="548">
        <v>0</v>
      </c>
      <c r="S1966" s="548">
        <v>0</v>
      </c>
      <c r="T1966" s="581">
        <v>0</v>
      </c>
      <c r="U1966" s="548">
        <v>0</v>
      </c>
      <c r="V1966" s="548"/>
      <c r="W1966" s="528"/>
      <c r="X1966" s="711">
        <f t="shared" si="7639"/>
        <v>70</v>
      </c>
      <c r="Y1966" s="897"/>
      <c r="Z1966" s="528"/>
      <c r="AA1966" s="899"/>
      <c r="AB1966" s="899"/>
      <c r="AC1966" s="904"/>
      <c r="AD1966" s="901"/>
      <c r="AE1966" s="2"/>
      <c r="AF1966" s="885"/>
      <c r="AG1966" s="885"/>
      <c r="AH1966" s="885"/>
      <c r="AI1966" s="885"/>
      <c r="AJ1966" s="885"/>
      <c r="AK1966" s="885"/>
      <c r="AL1966" s="885"/>
      <c r="AM1966" s="879"/>
      <c r="AN1966" s="2"/>
      <c r="AO1966" s="886"/>
      <c r="AP1966" s="886"/>
      <c r="AV1966" t="str">
        <f t="shared" si="7716"/>
        <v>Drenagem Superficial</v>
      </c>
      <c r="AW1966" s="4" t="str">
        <f t="shared" si="7714"/>
        <v xml:space="preserve">   Seg. 2.2-A09-Acesso - Drenagem Superficial - Valeta de proteção de aterro (Km 110+035)</v>
      </c>
    </row>
    <row r="1967" spans="1:49" ht="15.6" hidden="1" customHeight="1" outlineLevel="2">
      <c r="A1967" s="209" t="str">
        <f t="shared" ref="A1967" si="7861">IF(SUM(P1967:V1968)&gt;0,"S","N")</f>
        <v>N</v>
      </c>
      <c r="B1967" s="150">
        <v>1061812</v>
      </c>
      <c r="C1967" s="150" t="s">
        <v>2280</v>
      </c>
      <c r="D1967" s="120" t="s">
        <v>2281</v>
      </c>
      <c r="E1967" s="892" t="s">
        <v>2282</v>
      </c>
      <c r="F1967" s="902" t="s">
        <v>52</v>
      </c>
      <c r="G1967" s="528"/>
      <c r="H1967" s="546" t="s">
        <v>37</v>
      </c>
      <c r="I1967" s="711">
        <v>0</v>
      </c>
      <c r="J1967" s="896" t="str">
        <f t="shared" ref="J1967" si="7862">IFERROR((I1968/I1967),"-")</f>
        <v>-</v>
      </c>
      <c r="K1967" s="528"/>
      <c r="L1967" s="546" t="s">
        <v>37</v>
      </c>
      <c r="M1967" s="711">
        <f t="shared" si="7637"/>
        <v>0</v>
      </c>
      <c r="N1967" s="896" t="str">
        <f t="shared" ref="N1967" si="7863">IFERROR((M1968/M1967),"-")</f>
        <v>-</v>
      </c>
      <c r="O1967" s="528"/>
      <c r="P1967" s="547">
        <v>0</v>
      </c>
      <c r="Q1967" s="547">
        <v>0</v>
      </c>
      <c r="R1967" s="547">
        <v>0</v>
      </c>
      <c r="S1967" s="547">
        <v>0</v>
      </c>
      <c r="T1967" s="547">
        <v>0</v>
      </c>
      <c r="U1967" s="547">
        <v>0</v>
      </c>
      <c r="V1967" s="548">
        <v>0</v>
      </c>
      <c r="W1967" s="528"/>
      <c r="X1967" s="711">
        <f t="shared" si="7639"/>
        <v>0</v>
      </c>
      <c r="Y1967" s="896" t="str">
        <f>IFERROR((X1968/X1967),"-")</f>
        <v>-</v>
      </c>
      <c r="Z1967" s="528"/>
      <c r="AA1967" s="898">
        <v>0</v>
      </c>
      <c r="AB1967" s="898">
        <v>0</v>
      </c>
      <c r="AC1967" s="903">
        <v>0</v>
      </c>
      <c r="AD1967" s="900" t="str">
        <f t="shared" ref="AD1967" si="7864">IFERROR((AC1967/AB1967),"-")</f>
        <v>-</v>
      </c>
      <c r="AE1967" s="2"/>
      <c r="AF1967" s="884">
        <v>522.46799999999996</v>
      </c>
      <c r="AG1967" s="884"/>
      <c r="AH1967" s="884">
        <v>0</v>
      </c>
      <c r="AI1967" s="884"/>
      <c r="AJ1967" s="884"/>
      <c r="AK1967" s="884">
        <f t="shared" ref="AK1967" si="7865">AF1967+AG1967+AH1967+AI1967+AJ1967+AC1967</f>
        <v>522.46799999999996</v>
      </c>
      <c r="AL1967" s="884">
        <v>522.47</v>
      </c>
      <c r="AM1967" s="878">
        <f t="shared" ref="AM1967" si="7866">IFERROR((AK1967/AL1967),"-")</f>
        <v>0.99999617202901592</v>
      </c>
      <c r="AN1967" s="2"/>
      <c r="AO1967" s="884">
        <v>552.75</v>
      </c>
      <c r="AP1967" s="884">
        <f t="shared" ref="AP1967" si="7867">AO1967-AK1967</f>
        <v>30.282000000000039</v>
      </c>
      <c r="AV1967" t="str">
        <f t="shared" si="7716"/>
        <v>Drenagem Superficial</v>
      </c>
      <c r="AW1967" s="4" t="str">
        <f t="shared" si="7714"/>
        <v xml:space="preserve">   Seg. 2.2-A13-Acesso - Drenagem Superficial - Valeta de proteção de corte</v>
      </c>
    </row>
    <row r="1968" spans="1:49" ht="15.6" hidden="1" customHeight="1" outlineLevel="2">
      <c r="A1968" s="209" t="str">
        <f t="shared" ref="A1968" si="7868">A1967</f>
        <v>N</v>
      </c>
      <c r="B1968" s="150"/>
      <c r="C1968" s="150" t="s">
        <v>2280</v>
      </c>
      <c r="D1968" s="120" t="s">
        <v>2281</v>
      </c>
      <c r="E1968" s="893"/>
      <c r="F1968" s="902"/>
      <c r="G1968" s="528"/>
      <c r="H1968" s="549" t="s">
        <v>38</v>
      </c>
      <c r="I1968" s="711">
        <v>0</v>
      </c>
      <c r="J1968" s="897"/>
      <c r="K1968" s="528"/>
      <c r="L1968" s="549" t="s">
        <v>38</v>
      </c>
      <c r="M1968" s="711">
        <f t="shared" si="7637"/>
        <v>0</v>
      </c>
      <c r="N1968" s="897"/>
      <c r="O1968" s="528"/>
      <c r="P1968" s="548">
        <v>0</v>
      </c>
      <c r="Q1968" s="548">
        <v>0</v>
      </c>
      <c r="R1968" s="548">
        <v>0</v>
      </c>
      <c r="S1968" s="548">
        <v>0</v>
      </c>
      <c r="T1968" s="548">
        <v>0</v>
      </c>
      <c r="U1968" s="548">
        <v>0</v>
      </c>
      <c r="V1968" s="548"/>
      <c r="W1968" s="528"/>
      <c r="X1968" s="711">
        <f t="shared" si="7639"/>
        <v>0</v>
      </c>
      <c r="Y1968" s="897"/>
      <c r="Z1968" s="528"/>
      <c r="AA1968" s="899"/>
      <c r="AB1968" s="899"/>
      <c r="AC1968" s="904"/>
      <c r="AD1968" s="901"/>
      <c r="AE1968" s="2"/>
      <c r="AF1968" s="885"/>
      <c r="AG1968" s="885"/>
      <c r="AH1968" s="885"/>
      <c r="AI1968" s="885"/>
      <c r="AJ1968" s="885"/>
      <c r="AK1968" s="885"/>
      <c r="AL1968" s="885"/>
      <c r="AM1968" s="879"/>
      <c r="AN1968" s="2"/>
      <c r="AO1968" s="886"/>
      <c r="AP1968" s="886"/>
      <c r="AV1968" t="str">
        <f t="shared" si="7716"/>
        <v>Drenagem Superficial</v>
      </c>
      <c r="AW1968" s="4" t="str">
        <f t="shared" si="7714"/>
        <v xml:space="preserve">   Seg. 2.2-A13-Acesso - Drenagem Superficial - Valeta de proteção de corte</v>
      </c>
    </row>
    <row r="1969" spans="1:49" ht="15.6" hidden="1" customHeight="1" outlineLevel="2">
      <c r="A1969" s="8" t="str">
        <f t="shared" ref="A1969" si="7869">IF(SUM(P1969:V1970)&gt;0,"S","N")</f>
        <v>N</v>
      </c>
      <c r="B1969" s="150">
        <v>1061817</v>
      </c>
      <c r="C1969" s="150" t="s">
        <v>2283</v>
      </c>
      <c r="D1969" s="120" t="s">
        <v>1830</v>
      </c>
      <c r="E1969" s="892" t="s">
        <v>2282</v>
      </c>
      <c r="F1969" s="902" t="s">
        <v>52</v>
      </c>
      <c r="G1969" s="528"/>
      <c r="H1969" s="546" t="s">
        <v>37</v>
      </c>
      <c r="I1969" s="711">
        <v>0</v>
      </c>
      <c r="J1969" s="896" t="str">
        <f t="shared" ref="J1969" si="7870">IFERROR((I1970/I1969),"-")</f>
        <v>-</v>
      </c>
      <c r="K1969" s="528"/>
      <c r="L1969" s="546" t="s">
        <v>37</v>
      </c>
      <c r="M1969" s="711">
        <f t="shared" si="7637"/>
        <v>0</v>
      </c>
      <c r="N1969" s="896" t="str">
        <f t="shared" ref="N1969" si="7871">IFERROR((M1970/M1969),"-")</f>
        <v>-</v>
      </c>
      <c r="O1969" s="528"/>
      <c r="P1969" s="547">
        <v>0</v>
      </c>
      <c r="Q1969" s="547">
        <v>0</v>
      </c>
      <c r="R1969" s="547">
        <v>0</v>
      </c>
      <c r="S1969" s="547">
        <v>0</v>
      </c>
      <c r="T1969" s="547">
        <v>0</v>
      </c>
      <c r="U1969" s="547">
        <v>0</v>
      </c>
      <c r="V1969" s="548">
        <v>0</v>
      </c>
      <c r="W1969" s="528"/>
      <c r="X1969" s="711">
        <f t="shared" si="7639"/>
        <v>0</v>
      </c>
      <c r="Y1969" s="896" t="str">
        <f>IFERROR((X1970/X1969),"-")</f>
        <v>-</v>
      </c>
      <c r="Z1969" s="528"/>
      <c r="AA1969" s="898">
        <v>0</v>
      </c>
      <c r="AB1969" s="898">
        <v>0</v>
      </c>
      <c r="AC1969" s="903">
        <v>0</v>
      </c>
      <c r="AD1969" s="900" t="str">
        <f t="shared" ref="AD1969" si="7872">IFERROR((AC1969/AB1969),"-")</f>
        <v>-</v>
      </c>
      <c r="AE1969" s="2"/>
      <c r="AF1969" s="884"/>
      <c r="AG1969" s="884"/>
      <c r="AH1969" s="884">
        <v>0</v>
      </c>
      <c r="AI1969" s="884"/>
      <c r="AJ1969" s="884">
        <v>775.1</v>
      </c>
      <c r="AK1969" s="884">
        <f t="shared" ref="AK1969" si="7873">AF1969+AG1969+AH1969+AI1969+AJ1969+AC1969</f>
        <v>775.1</v>
      </c>
      <c r="AL1969" s="884">
        <v>775.01</v>
      </c>
      <c r="AM1969" s="878" t="s">
        <v>416</v>
      </c>
      <c r="AN1969" s="2"/>
      <c r="AO1969" s="884">
        <v>627</v>
      </c>
      <c r="AP1969" s="884">
        <f t="shared" ref="AP1969" si="7874">AO1969-AK1969</f>
        <v>-148.10000000000002</v>
      </c>
      <c r="AV1969" t="str">
        <f t="shared" si="7716"/>
        <v>Drenagem Superficial</v>
      </c>
      <c r="AW1969" s="4" t="str">
        <f t="shared" si="7714"/>
        <v xml:space="preserve">   Seg. 2.2-A13-Acesso - Drenagem Superficial - Valeta de proteção de corte</v>
      </c>
    </row>
    <row r="1970" spans="1:49" ht="15.6" hidden="1" customHeight="1" outlineLevel="2">
      <c r="A1970" s="8" t="str">
        <f t="shared" ref="A1970" si="7875">A1969</f>
        <v>N</v>
      </c>
      <c r="B1970" s="150"/>
      <c r="C1970" s="150" t="s">
        <v>2283</v>
      </c>
      <c r="D1970" s="120" t="s">
        <v>1830</v>
      </c>
      <c r="E1970" s="893"/>
      <c r="F1970" s="902"/>
      <c r="G1970" s="528"/>
      <c r="H1970" s="549" t="s">
        <v>38</v>
      </c>
      <c r="I1970" s="711">
        <v>0</v>
      </c>
      <c r="J1970" s="897"/>
      <c r="K1970" s="528"/>
      <c r="L1970" s="549" t="s">
        <v>38</v>
      </c>
      <c r="M1970" s="711">
        <f t="shared" si="7637"/>
        <v>0</v>
      </c>
      <c r="N1970" s="897"/>
      <c r="O1970" s="528"/>
      <c r="P1970" s="548">
        <v>0</v>
      </c>
      <c r="Q1970" s="548">
        <v>0</v>
      </c>
      <c r="R1970" s="548">
        <v>0</v>
      </c>
      <c r="S1970" s="548">
        <v>0</v>
      </c>
      <c r="T1970" s="548">
        <v>0</v>
      </c>
      <c r="U1970" s="548">
        <v>0</v>
      </c>
      <c r="V1970" s="548"/>
      <c r="W1970" s="528"/>
      <c r="X1970" s="711">
        <f t="shared" si="7639"/>
        <v>0</v>
      </c>
      <c r="Y1970" s="897"/>
      <c r="Z1970" s="528"/>
      <c r="AA1970" s="899"/>
      <c r="AB1970" s="899"/>
      <c r="AC1970" s="904"/>
      <c r="AD1970" s="901"/>
      <c r="AE1970" s="2"/>
      <c r="AF1970" s="885"/>
      <c r="AG1970" s="885"/>
      <c r="AH1970" s="885"/>
      <c r="AI1970" s="885"/>
      <c r="AJ1970" s="885"/>
      <c r="AK1970" s="885"/>
      <c r="AL1970" s="885"/>
      <c r="AM1970" s="879"/>
      <c r="AN1970" s="2"/>
      <c r="AO1970" s="886"/>
      <c r="AP1970" s="886"/>
      <c r="AV1970" t="str">
        <f t="shared" si="7716"/>
        <v>Drenagem Superficial</v>
      </c>
      <c r="AW1970" s="4" t="str">
        <f t="shared" si="7714"/>
        <v xml:space="preserve">   Seg. 2.2-A13-Acesso - Drenagem Superficial - Valeta de proteção de corte</v>
      </c>
    </row>
    <row r="1971" spans="1:49" ht="15.6" hidden="1" customHeight="1" outlineLevel="2">
      <c r="A1971" s="8" t="str">
        <f t="shared" ref="A1971" si="7876">IF(SUM(P1971:V1972)&gt;0,"S","N")</f>
        <v>N</v>
      </c>
      <c r="B1971" s="150">
        <v>1061821</v>
      </c>
      <c r="C1971" s="150" t="s">
        <v>2284</v>
      </c>
      <c r="D1971" s="120" t="s">
        <v>2285</v>
      </c>
      <c r="E1971" s="892" t="s">
        <v>2286</v>
      </c>
      <c r="F1971" s="902" t="s">
        <v>52</v>
      </c>
      <c r="G1971" s="528"/>
      <c r="H1971" s="546" t="s">
        <v>37</v>
      </c>
      <c r="I1971" s="711">
        <v>0</v>
      </c>
      <c r="J1971" s="896" t="str">
        <f t="shared" ref="J1971" si="7877">IFERROR((I1972/I1971),"-")</f>
        <v>-</v>
      </c>
      <c r="K1971" s="528"/>
      <c r="L1971" s="546" t="s">
        <v>37</v>
      </c>
      <c r="M1971" s="711">
        <f t="shared" si="7637"/>
        <v>0</v>
      </c>
      <c r="N1971" s="896" t="str">
        <f t="shared" ref="N1971" si="7878">IFERROR((M1972/M1971),"-")</f>
        <v>-</v>
      </c>
      <c r="O1971" s="528"/>
      <c r="P1971" s="547">
        <v>0</v>
      </c>
      <c r="Q1971" s="547">
        <v>0</v>
      </c>
      <c r="R1971" s="547">
        <v>0</v>
      </c>
      <c r="S1971" s="547">
        <v>0</v>
      </c>
      <c r="T1971" s="547">
        <v>0</v>
      </c>
      <c r="U1971" s="547">
        <v>0</v>
      </c>
      <c r="V1971" s="548">
        <v>0</v>
      </c>
      <c r="W1971" s="528"/>
      <c r="X1971" s="711">
        <f t="shared" si="7639"/>
        <v>0</v>
      </c>
      <c r="Y1971" s="896" t="str">
        <f>IFERROR((X1972/X1971),"-")</f>
        <v>-</v>
      </c>
      <c r="Z1971" s="528"/>
      <c r="AA1971" s="898">
        <v>0</v>
      </c>
      <c r="AB1971" s="898">
        <v>0</v>
      </c>
      <c r="AC1971" s="903">
        <v>0</v>
      </c>
      <c r="AD1971" s="900" t="str">
        <f t="shared" ref="AD1971" si="7879">IFERROR((AC1971/AB1971),"-")</f>
        <v>-</v>
      </c>
      <c r="AE1971" s="2"/>
      <c r="AF1971" s="884">
        <v>96.299000000000007</v>
      </c>
      <c r="AG1971" s="884"/>
      <c r="AH1971" s="884">
        <v>0</v>
      </c>
      <c r="AI1971" s="884"/>
      <c r="AJ1971" s="884"/>
      <c r="AK1971" s="884">
        <f t="shared" ref="AK1971" si="7880">AF1971+AG1971+AH1971+AI1971+AJ1971+AC1971</f>
        <v>96.299000000000007</v>
      </c>
      <c r="AL1971" s="884">
        <v>117.54000000000023</v>
      </c>
      <c r="AM1971" s="878">
        <f t="shared" ref="AM1971" si="7881">IFERROR((AK1971/AL1971),"-")</f>
        <v>0.8192870512166055</v>
      </c>
      <c r="AN1971" s="2"/>
      <c r="AO1971" s="884">
        <v>118</v>
      </c>
      <c r="AP1971" s="884">
        <f t="shared" ref="AP1971" si="7882">AO1971-AK1971</f>
        <v>21.700999999999993</v>
      </c>
      <c r="AV1971" t="str">
        <f t="shared" si="7716"/>
        <v>Drenagem Superficial</v>
      </c>
      <c r="AW1971" s="4" t="str">
        <f t="shared" si="7714"/>
        <v xml:space="preserve">   Seg. 2.2-C13-Acesso - Drenagem Superficial - Valeta de proteção de aterro</v>
      </c>
    </row>
    <row r="1972" spans="1:49" ht="15.6" hidden="1" customHeight="1" outlineLevel="2">
      <c r="A1972" s="8" t="str">
        <f t="shared" ref="A1972" si="7883">A1971</f>
        <v>N</v>
      </c>
      <c r="B1972" s="150"/>
      <c r="C1972" s="150" t="s">
        <v>2284</v>
      </c>
      <c r="D1972" s="120" t="s">
        <v>2285</v>
      </c>
      <c r="E1972" s="893"/>
      <c r="F1972" s="902"/>
      <c r="G1972" s="528"/>
      <c r="H1972" s="549" t="s">
        <v>38</v>
      </c>
      <c r="I1972" s="711">
        <v>0</v>
      </c>
      <c r="J1972" s="897"/>
      <c r="K1972" s="528"/>
      <c r="L1972" s="549" t="s">
        <v>38</v>
      </c>
      <c r="M1972" s="711">
        <f t="shared" si="7637"/>
        <v>0</v>
      </c>
      <c r="N1972" s="897"/>
      <c r="O1972" s="528"/>
      <c r="P1972" s="548">
        <v>0</v>
      </c>
      <c r="Q1972" s="548">
        <v>0</v>
      </c>
      <c r="R1972" s="548">
        <v>0</v>
      </c>
      <c r="S1972" s="548">
        <v>0</v>
      </c>
      <c r="T1972" s="548">
        <v>0</v>
      </c>
      <c r="U1972" s="548">
        <v>0</v>
      </c>
      <c r="V1972" s="548"/>
      <c r="W1972" s="528"/>
      <c r="X1972" s="711">
        <f t="shared" si="7639"/>
        <v>0</v>
      </c>
      <c r="Y1972" s="897"/>
      <c r="Z1972" s="528"/>
      <c r="AA1972" s="899"/>
      <c r="AB1972" s="899"/>
      <c r="AC1972" s="904"/>
      <c r="AD1972" s="901"/>
      <c r="AE1972" s="2"/>
      <c r="AF1972" s="885"/>
      <c r="AG1972" s="885"/>
      <c r="AH1972" s="885"/>
      <c r="AI1972" s="885"/>
      <c r="AJ1972" s="885"/>
      <c r="AK1972" s="885"/>
      <c r="AL1972" s="885"/>
      <c r="AM1972" s="879"/>
      <c r="AN1972" s="2"/>
      <c r="AO1972" s="886"/>
      <c r="AP1972" s="886"/>
      <c r="AV1972" t="str">
        <f t="shared" si="7716"/>
        <v>Drenagem Superficial</v>
      </c>
      <c r="AW1972" s="4" t="str">
        <f t="shared" si="7714"/>
        <v xml:space="preserve">   Seg. 2.2-C13-Acesso - Drenagem Superficial - Valeta de proteção de aterro</v>
      </c>
    </row>
    <row r="1973" spans="1:49" ht="15.6" hidden="1" customHeight="1" outlineLevel="2">
      <c r="A1973" s="8" t="str">
        <f t="shared" ref="A1973" si="7884">IF(SUM(P1973:V1974)&gt;0,"S","N")</f>
        <v>N</v>
      </c>
      <c r="B1973" s="150">
        <v>1061823</v>
      </c>
      <c r="C1973" s="150" t="s">
        <v>2287</v>
      </c>
      <c r="D1973" s="120" t="s">
        <v>2288</v>
      </c>
      <c r="E1973" s="892" t="s">
        <v>2289</v>
      </c>
      <c r="F1973" s="902" t="s">
        <v>52</v>
      </c>
      <c r="G1973" s="528"/>
      <c r="H1973" s="546" t="s">
        <v>37</v>
      </c>
      <c r="I1973" s="711">
        <v>0</v>
      </c>
      <c r="J1973" s="896" t="str">
        <f t="shared" ref="J1973" si="7885">IFERROR((I1974/I1973),"-")</f>
        <v>-</v>
      </c>
      <c r="K1973" s="528"/>
      <c r="L1973" s="546" t="s">
        <v>37</v>
      </c>
      <c r="M1973" s="711">
        <f t="shared" si="7637"/>
        <v>0</v>
      </c>
      <c r="N1973" s="896" t="str">
        <f t="shared" ref="N1973" si="7886">IFERROR((M1974/M1973),"-")</f>
        <v>-</v>
      </c>
      <c r="O1973" s="528"/>
      <c r="P1973" s="547">
        <v>0</v>
      </c>
      <c r="Q1973" s="547">
        <v>0</v>
      </c>
      <c r="R1973" s="547">
        <v>0</v>
      </c>
      <c r="S1973" s="547">
        <v>0</v>
      </c>
      <c r="T1973" s="547">
        <v>0</v>
      </c>
      <c r="U1973" s="547">
        <v>0</v>
      </c>
      <c r="V1973" s="548">
        <v>0</v>
      </c>
      <c r="W1973" s="528"/>
      <c r="X1973" s="711">
        <f t="shared" si="7639"/>
        <v>0</v>
      </c>
      <c r="Y1973" s="896" t="str">
        <f>IFERROR((X1974/X1973),"-")</f>
        <v>-</v>
      </c>
      <c r="Z1973" s="528"/>
      <c r="AA1973" s="898">
        <v>103</v>
      </c>
      <c r="AB1973" s="898">
        <v>35.6</v>
      </c>
      <c r="AC1973" s="903">
        <v>0</v>
      </c>
      <c r="AD1973" s="900">
        <f t="shared" ref="AD1973" si="7887">IFERROR((AC1973/AB1973),"-")</f>
        <v>0</v>
      </c>
      <c r="AE1973" s="2"/>
      <c r="AF1973" s="884"/>
      <c r="AG1973" s="884"/>
      <c r="AH1973" s="884">
        <v>0</v>
      </c>
      <c r="AI1973" s="884"/>
      <c r="AJ1973" s="884"/>
      <c r="AK1973" s="884">
        <f t="shared" ref="AK1973" si="7888">AF1973+AG1973+AH1973+AI1973+AJ1973+AC1973</f>
        <v>0</v>
      </c>
      <c r="AL1973" s="884">
        <v>35.6</v>
      </c>
      <c r="AM1973" s="878">
        <f t="shared" ref="AM1973" si="7889">IFERROR((AK1973/AL1973),"-")</f>
        <v>0</v>
      </c>
      <c r="AN1973" s="2"/>
      <c r="AO1973" s="884">
        <v>103</v>
      </c>
      <c r="AP1973" s="884">
        <f t="shared" ref="AP1973" si="7890">AO1973-AK1973</f>
        <v>103</v>
      </c>
      <c r="AV1973" t="str">
        <f t="shared" si="7716"/>
        <v>Drenagem Superficial</v>
      </c>
      <c r="AW1973" s="4" t="str">
        <f t="shared" si="7714"/>
        <v xml:space="preserve">   Seg. 2.2-ADME-02 - Drenagem Superficial - Valeta de proteção de aterro</v>
      </c>
    </row>
    <row r="1974" spans="1:49" ht="15.6" hidden="1" customHeight="1" outlineLevel="2">
      <c r="A1974" s="8" t="str">
        <f t="shared" ref="A1974" si="7891">A1973</f>
        <v>N</v>
      </c>
      <c r="B1974" s="150"/>
      <c r="C1974" s="150" t="s">
        <v>2287</v>
      </c>
      <c r="D1974" s="120" t="s">
        <v>2288</v>
      </c>
      <c r="E1974" s="893"/>
      <c r="F1974" s="902"/>
      <c r="G1974" s="528"/>
      <c r="H1974" s="549" t="s">
        <v>38</v>
      </c>
      <c r="I1974" s="711">
        <v>0</v>
      </c>
      <c r="J1974" s="897"/>
      <c r="K1974" s="528"/>
      <c r="L1974" s="549" t="s">
        <v>38</v>
      </c>
      <c r="M1974" s="711">
        <f t="shared" si="7637"/>
        <v>0</v>
      </c>
      <c r="N1974" s="897"/>
      <c r="O1974" s="528"/>
      <c r="P1974" s="548">
        <v>0</v>
      </c>
      <c r="Q1974" s="548">
        <v>0</v>
      </c>
      <c r="R1974" s="548">
        <v>0</v>
      </c>
      <c r="S1974" s="548">
        <v>0</v>
      </c>
      <c r="T1974" s="548">
        <v>0</v>
      </c>
      <c r="U1974" s="548">
        <v>0</v>
      </c>
      <c r="V1974" s="548"/>
      <c r="W1974" s="528"/>
      <c r="X1974" s="711">
        <f t="shared" si="7639"/>
        <v>0</v>
      </c>
      <c r="Y1974" s="897"/>
      <c r="Z1974" s="528"/>
      <c r="AA1974" s="899"/>
      <c r="AB1974" s="899"/>
      <c r="AC1974" s="904"/>
      <c r="AD1974" s="901"/>
      <c r="AE1974" s="2"/>
      <c r="AF1974" s="885"/>
      <c r="AG1974" s="885"/>
      <c r="AH1974" s="885"/>
      <c r="AI1974" s="885"/>
      <c r="AJ1974" s="885"/>
      <c r="AK1974" s="885"/>
      <c r="AL1974" s="885"/>
      <c r="AM1974" s="879"/>
      <c r="AN1974" s="2"/>
      <c r="AO1974" s="886"/>
      <c r="AP1974" s="886"/>
      <c r="AV1974" t="str">
        <f t="shared" si="7716"/>
        <v>Drenagem Superficial</v>
      </c>
      <c r="AW1974" s="4" t="str">
        <f t="shared" si="7714"/>
        <v xml:space="preserve">   Seg. 2.2-ADME-02 - Drenagem Superficial - Valeta de proteção de aterro</v>
      </c>
    </row>
    <row r="1975" spans="1:49" ht="15.6" hidden="1" customHeight="1" outlineLevel="2">
      <c r="A1975" s="8" t="str">
        <f t="shared" ref="A1975" si="7892">IF(SUM(P1975:V1976)&gt;0,"S","N")</f>
        <v>N</v>
      </c>
      <c r="B1975" s="150">
        <v>1061824</v>
      </c>
      <c r="C1975" s="150" t="s">
        <v>2290</v>
      </c>
      <c r="D1975" s="120" t="s">
        <v>2291</v>
      </c>
      <c r="E1975" s="892" t="s">
        <v>2292</v>
      </c>
      <c r="F1975" s="902" t="s">
        <v>52</v>
      </c>
      <c r="G1975" s="528"/>
      <c r="H1975" s="546" t="s">
        <v>37</v>
      </c>
      <c r="I1975" s="711">
        <v>0</v>
      </c>
      <c r="J1975" s="896" t="str">
        <f t="shared" ref="J1975" si="7893">IFERROR((I1976/I1975),"-")</f>
        <v>-</v>
      </c>
      <c r="K1975" s="528"/>
      <c r="L1975" s="546" t="s">
        <v>37</v>
      </c>
      <c r="M1975" s="711">
        <f t="shared" si="7637"/>
        <v>0</v>
      </c>
      <c r="N1975" s="896" t="str">
        <f t="shared" ref="N1975" si="7894">IFERROR((M1976/M1975),"-")</f>
        <v>-</v>
      </c>
      <c r="O1975" s="528"/>
      <c r="P1975" s="547">
        <v>0</v>
      </c>
      <c r="Q1975" s="547">
        <v>0</v>
      </c>
      <c r="R1975" s="547">
        <v>0</v>
      </c>
      <c r="S1975" s="547">
        <v>0</v>
      </c>
      <c r="T1975" s="547">
        <v>0</v>
      </c>
      <c r="U1975" s="547">
        <v>0</v>
      </c>
      <c r="V1975" s="548">
        <v>0</v>
      </c>
      <c r="W1975" s="528"/>
      <c r="X1975" s="711">
        <f t="shared" si="7639"/>
        <v>0</v>
      </c>
      <c r="Y1975" s="896" t="str">
        <f>IFERROR((X1976/X1975),"-")</f>
        <v>-</v>
      </c>
      <c r="Z1975" s="528"/>
      <c r="AA1975" s="898">
        <v>0</v>
      </c>
      <c r="AB1975" s="898">
        <v>0</v>
      </c>
      <c r="AC1975" s="903">
        <v>0</v>
      </c>
      <c r="AD1975" s="900" t="str">
        <f t="shared" ref="AD1975" si="7895">IFERROR((AC1975/AB1975),"-")</f>
        <v>-</v>
      </c>
      <c r="AE1975" s="2"/>
      <c r="AF1975" s="884"/>
      <c r="AG1975" s="884"/>
      <c r="AH1975" s="884">
        <v>0</v>
      </c>
      <c r="AI1975" s="884"/>
      <c r="AJ1975" s="884"/>
      <c r="AK1975" s="884">
        <f t="shared" ref="AK1975" si="7896">AF1975+AG1975+AH1975+AI1975+AJ1975+AC1975</f>
        <v>0</v>
      </c>
      <c r="AL1975" s="884">
        <v>0</v>
      </c>
      <c r="AM1975" s="878" t="str">
        <f t="shared" ref="AM1975" si="7897">IFERROR((AK1975/AL1975),"-")</f>
        <v>-</v>
      </c>
      <c r="AN1975" s="2"/>
      <c r="AO1975" s="884">
        <v>156.08000000000001</v>
      </c>
      <c r="AP1975" s="884">
        <f t="shared" ref="AP1975" si="7898">AO1975-AK1975</f>
        <v>156.08000000000001</v>
      </c>
      <c r="AV1975" t="str">
        <f t="shared" si="7716"/>
        <v>Drenagem Superficial</v>
      </c>
      <c r="AW1975" s="4" t="str">
        <f t="shared" si="7714"/>
        <v xml:space="preserve">   Seg. 2.2-ADME-03 - Drenagem Superficial - Valeta de proteção de aterro</v>
      </c>
    </row>
    <row r="1976" spans="1:49" ht="15.6" hidden="1" customHeight="1" outlineLevel="2">
      <c r="A1976" s="8" t="str">
        <f t="shared" ref="A1976" si="7899">A1975</f>
        <v>N</v>
      </c>
      <c r="B1976" s="150"/>
      <c r="C1976" s="150" t="s">
        <v>2290</v>
      </c>
      <c r="D1976" s="120" t="s">
        <v>2291</v>
      </c>
      <c r="E1976" s="893"/>
      <c r="F1976" s="902"/>
      <c r="G1976" s="528"/>
      <c r="H1976" s="549" t="s">
        <v>38</v>
      </c>
      <c r="I1976" s="711">
        <v>0</v>
      </c>
      <c r="J1976" s="897"/>
      <c r="K1976" s="528"/>
      <c r="L1976" s="549" t="s">
        <v>38</v>
      </c>
      <c r="M1976" s="711">
        <f t="shared" si="7637"/>
        <v>0</v>
      </c>
      <c r="N1976" s="897"/>
      <c r="O1976" s="528"/>
      <c r="P1976" s="548">
        <v>0</v>
      </c>
      <c r="Q1976" s="548">
        <v>0</v>
      </c>
      <c r="R1976" s="548">
        <v>0</v>
      </c>
      <c r="S1976" s="548">
        <v>0</v>
      </c>
      <c r="T1976" s="548">
        <v>0</v>
      </c>
      <c r="U1976" s="548">
        <v>0</v>
      </c>
      <c r="V1976" s="548"/>
      <c r="W1976" s="528"/>
      <c r="X1976" s="711">
        <f t="shared" si="7639"/>
        <v>0</v>
      </c>
      <c r="Y1976" s="897"/>
      <c r="Z1976" s="528"/>
      <c r="AA1976" s="899"/>
      <c r="AB1976" s="899"/>
      <c r="AC1976" s="904"/>
      <c r="AD1976" s="901"/>
      <c r="AE1976" s="2"/>
      <c r="AF1976" s="885"/>
      <c r="AG1976" s="885"/>
      <c r="AH1976" s="885"/>
      <c r="AI1976" s="885"/>
      <c r="AJ1976" s="885"/>
      <c r="AK1976" s="885"/>
      <c r="AL1976" s="885"/>
      <c r="AM1976" s="879"/>
      <c r="AN1976" s="2"/>
      <c r="AO1976" s="886"/>
      <c r="AP1976" s="886"/>
      <c r="AV1976" t="str">
        <f t="shared" si="7716"/>
        <v>Drenagem Superficial</v>
      </c>
      <c r="AW1976" s="4" t="str">
        <f t="shared" si="7714"/>
        <v xml:space="preserve">   Seg. 2.2-ADME-03 - Drenagem Superficial - Valeta de proteção de aterro</v>
      </c>
    </row>
    <row r="1977" spans="1:49" ht="15.6" hidden="1" customHeight="1" outlineLevel="2">
      <c r="A1977" s="8" t="str">
        <f t="shared" ref="A1977" si="7900">IF(SUM(P1977:V1978)&gt;0,"S","N")</f>
        <v>N</v>
      </c>
      <c r="B1977" s="150">
        <v>1061826</v>
      </c>
      <c r="C1977" s="150" t="s">
        <v>2293</v>
      </c>
      <c r="D1977" s="120" t="s">
        <v>2294</v>
      </c>
      <c r="E1977" s="892" t="s">
        <v>2295</v>
      </c>
      <c r="F1977" s="902" t="s">
        <v>52</v>
      </c>
      <c r="G1977" s="528"/>
      <c r="H1977" s="546" t="s">
        <v>37</v>
      </c>
      <c r="I1977" s="711">
        <v>0</v>
      </c>
      <c r="J1977" s="896" t="str">
        <f t="shared" ref="J1977" si="7901">IFERROR((I1978/I1977),"-")</f>
        <v>-</v>
      </c>
      <c r="K1977" s="528"/>
      <c r="L1977" s="546" t="s">
        <v>37</v>
      </c>
      <c r="M1977" s="711">
        <f t="shared" ref="M1977:M1996" si="7902">_xlfn.XLOOKUP($N$8,$P$8:$V$8,$P1977:$V1977)</f>
        <v>0</v>
      </c>
      <c r="N1977" s="896" t="str">
        <f t="shared" ref="N1977" si="7903">IFERROR((M1978/M1977),"-")</f>
        <v>-</v>
      </c>
      <c r="O1977" s="528"/>
      <c r="P1977" s="547">
        <v>0</v>
      </c>
      <c r="Q1977" s="547">
        <v>0</v>
      </c>
      <c r="R1977" s="547">
        <v>0</v>
      </c>
      <c r="S1977" s="547">
        <v>0</v>
      </c>
      <c r="T1977" s="547">
        <v>0</v>
      </c>
      <c r="U1977" s="547">
        <v>0</v>
      </c>
      <c r="V1977" s="548">
        <v>0</v>
      </c>
      <c r="W1977" s="528"/>
      <c r="X1977" s="711">
        <f t="shared" ref="X1977:X1996" si="7904">SUMIFS(P1977:V1977,$P$8:$V$8,"&gt;="&amp;$P$8,$P$8:$V$8,"&lt;="&amp;$N$8)</f>
        <v>0</v>
      </c>
      <c r="Y1977" s="896" t="str">
        <f>IFERROR((X1978/X1977),"-")</f>
        <v>-</v>
      </c>
      <c r="Z1977" s="528"/>
      <c r="AA1977" s="898">
        <v>0</v>
      </c>
      <c r="AB1977" s="898">
        <v>0</v>
      </c>
      <c r="AC1977" s="903">
        <v>0</v>
      </c>
      <c r="AD1977" s="900" t="str">
        <f t="shared" ref="AD1977" si="7905">IFERROR((AC1977/AB1977),"-")</f>
        <v>-</v>
      </c>
      <c r="AE1977" s="2"/>
      <c r="AF1977" s="884"/>
      <c r="AG1977" s="884"/>
      <c r="AH1977" s="884">
        <v>0</v>
      </c>
      <c r="AI1977" s="884"/>
      <c r="AJ1977" s="884"/>
      <c r="AK1977" s="884">
        <f t="shared" ref="AK1977" si="7906">AF1977+AG1977+AH1977+AI1977+AJ1977+AC1977</f>
        <v>0</v>
      </c>
      <c r="AL1977" s="884">
        <v>0</v>
      </c>
      <c r="AM1977" s="878" t="str">
        <f t="shared" ref="AM1977" si="7907">IFERROR((AK1977/AL1977),"-")</f>
        <v>-</v>
      </c>
      <c r="AN1977" s="2"/>
      <c r="AO1977" s="884">
        <v>91.93</v>
      </c>
      <c r="AP1977" s="884">
        <f t="shared" ref="AP1977" si="7908">AO1977-AK1977</f>
        <v>91.93</v>
      </c>
      <c r="AV1977" t="str">
        <f t="shared" si="7716"/>
        <v>Drenagem Superficial</v>
      </c>
      <c r="AW1977" s="4" t="str">
        <f t="shared" si="7714"/>
        <v xml:space="preserve">   Seg. 2.2-ADME-04 - Drenagem Superficial - Valeta de proteção de aterro</v>
      </c>
    </row>
    <row r="1978" spans="1:49" ht="15.6" hidden="1" customHeight="1" outlineLevel="2">
      <c r="A1978" s="8" t="str">
        <f t="shared" ref="A1978" si="7909">A1977</f>
        <v>N</v>
      </c>
      <c r="B1978" s="150"/>
      <c r="C1978" s="150" t="s">
        <v>2293</v>
      </c>
      <c r="D1978" s="120" t="s">
        <v>2294</v>
      </c>
      <c r="E1978" s="893"/>
      <c r="F1978" s="902"/>
      <c r="G1978" s="528"/>
      <c r="H1978" s="549" t="s">
        <v>38</v>
      </c>
      <c r="I1978" s="711">
        <v>0</v>
      </c>
      <c r="J1978" s="897"/>
      <c r="K1978" s="528"/>
      <c r="L1978" s="549" t="s">
        <v>38</v>
      </c>
      <c r="M1978" s="711">
        <f t="shared" si="7902"/>
        <v>0</v>
      </c>
      <c r="N1978" s="897"/>
      <c r="O1978" s="528"/>
      <c r="P1978" s="548">
        <v>0</v>
      </c>
      <c r="Q1978" s="548">
        <v>0</v>
      </c>
      <c r="R1978" s="548">
        <v>0</v>
      </c>
      <c r="S1978" s="548">
        <v>0</v>
      </c>
      <c r="T1978" s="548">
        <v>0</v>
      </c>
      <c r="U1978" s="548">
        <v>0</v>
      </c>
      <c r="V1978" s="548"/>
      <c r="W1978" s="528"/>
      <c r="X1978" s="711">
        <f t="shared" si="7904"/>
        <v>0</v>
      </c>
      <c r="Y1978" s="897"/>
      <c r="Z1978" s="528"/>
      <c r="AA1978" s="899"/>
      <c r="AB1978" s="899"/>
      <c r="AC1978" s="904"/>
      <c r="AD1978" s="901"/>
      <c r="AE1978" s="2"/>
      <c r="AF1978" s="885"/>
      <c r="AG1978" s="885"/>
      <c r="AH1978" s="885"/>
      <c r="AI1978" s="885"/>
      <c r="AJ1978" s="885"/>
      <c r="AK1978" s="885"/>
      <c r="AL1978" s="885"/>
      <c r="AM1978" s="879"/>
      <c r="AN1978" s="2"/>
      <c r="AO1978" s="886"/>
      <c r="AP1978" s="886"/>
      <c r="AV1978" t="str">
        <f t="shared" si="7716"/>
        <v>Drenagem Superficial</v>
      </c>
      <c r="AW1978" s="4" t="str">
        <f t="shared" si="7714"/>
        <v xml:space="preserve">   Seg. 2.2-ADME-04 - Drenagem Superficial - Valeta de proteção de aterro</v>
      </c>
    </row>
    <row r="1979" spans="1:49" ht="15.6" hidden="1" customHeight="1" outlineLevel="2">
      <c r="A1979" s="8" t="str">
        <f t="shared" ref="A1979" si="7910">IF(SUM(P1979:V1980)&gt;0,"S","N")</f>
        <v>N</v>
      </c>
      <c r="B1979" s="150">
        <v>1061827</v>
      </c>
      <c r="C1979" s="150" t="s">
        <v>2296</v>
      </c>
      <c r="D1979" s="120" t="s">
        <v>2297</v>
      </c>
      <c r="E1979" s="892" t="s">
        <v>2298</v>
      </c>
      <c r="F1979" s="902" t="s">
        <v>52</v>
      </c>
      <c r="G1979" s="528"/>
      <c r="H1979" s="546" t="s">
        <v>37</v>
      </c>
      <c r="I1979" s="711">
        <v>0</v>
      </c>
      <c r="J1979" s="896" t="str">
        <f t="shared" ref="J1979" si="7911">IFERROR((I1980/I1979),"-")</f>
        <v>-</v>
      </c>
      <c r="K1979" s="528"/>
      <c r="L1979" s="546" t="s">
        <v>37</v>
      </c>
      <c r="M1979" s="711">
        <f t="shared" si="7902"/>
        <v>0</v>
      </c>
      <c r="N1979" s="896" t="str">
        <f t="shared" ref="N1979" si="7912">IFERROR((M1980/M1979),"-")</f>
        <v>-</v>
      </c>
      <c r="O1979" s="528"/>
      <c r="P1979" s="547">
        <v>0</v>
      </c>
      <c r="Q1979" s="547">
        <v>0</v>
      </c>
      <c r="R1979" s="547">
        <v>0</v>
      </c>
      <c r="S1979" s="547">
        <v>0</v>
      </c>
      <c r="T1979" s="547">
        <v>0</v>
      </c>
      <c r="U1979" s="547">
        <v>0</v>
      </c>
      <c r="V1979" s="548">
        <v>0</v>
      </c>
      <c r="W1979" s="528"/>
      <c r="X1979" s="711">
        <f t="shared" si="7904"/>
        <v>0</v>
      </c>
      <c r="Y1979" s="896" t="str">
        <f>IFERROR((X1980/X1979),"-")</f>
        <v>-</v>
      </c>
      <c r="Z1979" s="528"/>
      <c r="AA1979" s="898">
        <v>0</v>
      </c>
      <c r="AB1979" s="898">
        <v>0</v>
      </c>
      <c r="AC1979" s="903">
        <v>0</v>
      </c>
      <c r="AD1979" s="900" t="str">
        <f t="shared" ref="AD1979" si="7913">IFERROR((AC1979/AB1979),"-")</f>
        <v>-</v>
      </c>
      <c r="AE1979" s="2"/>
      <c r="AF1979" s="884"/>
      <c r="AG1979" s="884"/>
      <c r="AH1979" s="884">
        <v>0</v>
      </c>
      <c r="AI1979" s="884"/>
      <c r="AJ1979" s="884"/>
      <c r="AK1979" s="884">
        <f t="shared" ref="AK1979" si="7914">AF1979+AG1979+AH1979+AI1979+AJ1979+AC1979</f>
        <v>0</v>
      </c>
      <c r="AL1979" s="884">
        <v>0</v>
      </c>
      <c r="AM1979" s="878" t="str">
        <f t="shared" ref="AM1979" si="7915">IFERROR((AK1979/AL1979),"-")</f>
        <v>-</v>
      </c>
      <c r="AN1979" s="2"/>
      <c r="AO1979" s="884">
        <v>193.06</v>
      </c>
      <c r="AP1979" s="884">
        <f t="shared" ref="AP1979" si="7916">AO1979-AK1979</f>
        <v>193.06</v>
      </c>
      <c r="AV1979" t="str">
        <f t="shared" si="7716"/>
        <v>Drenagem Superficial</v>
      </c>
      <c r="AW1979" s="4" t="str">
        <f t="shared" si="7714"/>
        <v xml:space="preserve">   Seg. 2.2-ADME-05 - Drenagem Superficial - Valeta de proteção de aterro</v>
      </c>
    </row>
    <row r="1980" spans="1:49" ht="15.6" hidden="1" customHeight="1" outlineLevel="2">
      <c r="A1980" s="8" t="str">
        <f t="shared" ref="A1980" si="7917">A1979</f>
        <v>N</v>
      </c>
      <c r="B1980" s="150"/>
      <c r="C1980" s="150" t="s">
        <v>2296</v>
      </c>
      <c r="D1980" s="120" t="s">
        <v>2297</v>
      </c>
      <c r="E1980" s="893"/>
      <c r="F1980" s="902"/>
      <c r="G1980" s="528"/>
      <c r="H1980" s="549" t="s">
        <v>38</v>
      </c>
      <c r="I1980" s="711">
        <v>0</v>
      </c>
      <c r="J1980" s="897"/>
      <c r="K1980" s="528"/>
      <c r="L1980" s="549" t="s">
        <v>38</v>
      </c>
      <c r="M1980" s="711">
        <f t="shared" si="7902"/>
        <v>0</v>
      </c>
      <c r="N1980" s="897"/>
      <c r="O1980" s="528"/>
      <c r="P1980" s="548">
        <v>0</v>
      </c>
      <c r="Q1980" s="548">
        <v>0</v>
      </c>
      <c r="R1980" s="548">
        <v>0</v>
      </c>
      <c r="S1980" s="548">
        <v>0</v>
      </c>
      <c r="T1980" s="548">
        <v>0</v>
      </c>
      <c r="U1980" s="548">
        <v>0</v>
      </c>
      <c r="V1980" s="548"/>
      <c r="W1980" s="528"/>
      <c r="X1980" s="711">
        <f t="shared" si="7904"/>
        <v>0</v>
      </c>
      <c r="Y1980" s="897"/>
      <c r="Z1980" s="528"/>
      <c r="AA1980" s="899"/>
      <c r="AB1980" s="899"/>
      <c r="AC1980" s="904"/>
      <c r="AD1980" s="901"/>
      <c r="AE1980" s="2"/>
      <c r="AF1980" s="885"/>
      <c r="AG1980" s="885"/>
      <c r="AH1980" s="885"/>
      <c r="AI1980" s="885"/>
      <c r="AJ1980" s="885"/>
      <c r="AK1980" s="885"/>
      <c r="AL1980" s="885"/>
      <c r="AM1980" s="879"/>
      <c r="AN1980" s="2"/>
      <c r="AO1980" s="886"/>
      <c r="AP1980" s="886"/>
      <c r="AV1980" t="str">
        <f t="shared" si="7716"/>
        <v>Drenagem Superficial</v>
      </c>
      <c r="AW1980" s="4" t="str">
        <f t="shared" si="7714"/>
        <v xml:space="preserve">   Seg. 2.2-ADME-05 - Drenagem Superficial - Valeta de proteção de aterro</v>
      </c>
    </row>
    <row r="1981" spans="1:49" ht="15.6" hidden="1" customHeight="1" outlineLevel="2">
      <c r="A1981" s="8" t="str">
        <f t="shared" ref="A1981" si="7918">IF(SUM(P1981:V1982)&gt;0,"S","N")</f>
        <v>N</v>
      </c>
      <c r="B1981" s="150">
        <v>1061828</v>
      </c>
      <c r="C1981" s="150" t="s">
        <v>2299</v>
      </c>
      <c r="D1981" s="120" t="s">
        <v>2300</v>
      </c>
      <c r="E1981" s="892" t="s">
        <v>2301</v>
      </c>
      <c r="F1981" s="902" t="s">
        <v>52</v>
      </c>
      <c r="G1981" s="528"/>
      <c r="H1981" s="546" t="s">
        <v>37</v>
      </c>
      <c r="I1981" s="711">
        <v>0</v>
      </c>
      <c r="J1981" s="896" t="str">
        <f t="shared" ref="J1981" si="7919">IFERROR((I1982/I1981),"-")</f>
        <v>-</v>
      </c>
      <c r="K1981" s="528"/>
      <c r="L1981" s="546" t="s">
        <v>37</v>
      </c>
      <c r="M1981" s="711">
        <f t="shared" si="7902"/>
        <v>0</v>
      </c>
      <c r="N1981" s="896" t="str">
        <f t="shared" ref="N1981" si="7920">IFERROR((M1982/M1981),"-")</f>
        <v>-</v>
      </c>
      <c r="O1981" s="528"/>
      <c r="P1981" s="547">
        <v>0</v>
      </c>
      <c r="Q1981" s="547">
        <v>0</v>
      </c>
      <c r="R1981" s="547">
        <v>0</v>
      </c>
      <c r="S1981" s="547">
        <v>0</v>
      </c>
      <c r="T1981" s="547">
        <v>0</v>
      </c>
      <c r="U1981" s="547">
        <v>0</v>
      </c>
      <c r="V1981" s="548">
        <v>0</v>
      </c>
      <c r="W1981" s="528"/>
      <c r="X1981" s="711">
        <f t="shared" si="7904"/>
        <v>0</v>
      </c>
      <c r="Y1981" s="896" t="str">
        <f>IFERROR((X1982/X1981),"-")</f>
        <v>-</v>
      </c>
      <c r="Z1981" s="528"/>
      <c r="AA1981" s="898">
        <v>0</v>
      </c>
      <c r="AB1981" s="898">
        <v>0</v>
      </c>
      <c r="AC1981" s="903">
        <v>0</v>
      </c>
      <c r="AD1981" s="900" t="str">
        <f t="shared" ref="AD1981" si="7921">IFERROR((AC1981/AB1981),"-")</f>
        <v>-</v>
      </c>
      <c r="AE1981" s="2"/>
      <c r="AF1981" s="884"/>
      <c r="AG1981" s="884"/>
      <c r="AH1981" s="884">
        <v>0</v>
      </c>
      <c r="AI1981" s="884"/>
      <c r="AJ1981" s="884"/>
      <c r="AK1981" s="884">
        <f t="shared" ref="AK1981" si="7922">AF1981+AG1981+AH1981+AI1981+AJ1981+AC1981</f>
        <v>0</v>
      </c>
      <c r="AL1981" s="884">
        <v>0</v>
      </c>
      <c r="AM1981" s="878" t="str">
        <f t="shared" ref="AM1981" si="7923">IFERROR((AK1981/AL1981),"-")</f>
        <v>-</v>
      </c>
      <c r="AN1981" s="2"/>
      <c r="AO1981" s="884">
        <v>320.92</v>
      </c>
      <c r="AP1981" s="884">
        <f t="shared" ref="AP1981" si="7924">AO1981-AK1981</f>
        <v>320.92</v>
      </c>
      <c r="AV1981" t="str">
        <f t="shared" si="7716"/>
        <v>Drenagem Superficial</v>
      </c>
      <c r="AW1981" s="4" t="str">
        <f t="shared" si="7714"/>
        <v xml:space="preserve">   Seg. 2.2-ADME-06 - Drenagem Superficial - Valeta de proteção de aterro</v>
      </c>
    </row>
    <row r="1982" spans="1:49" ht="15.6" hidden="1" customHeight="1" outlineLevel="2">
      <c r="A1982" s="8" t="str">
        <f t="shared" ref="A1982" si="7925">A1981</f>
        <v>N</v>
      </c>
      <c r="B1982" s="150"/>
      <c r="C1982" s="150" t="s">
        <v>2299</v>
      </c>
      <c r="D1982" s="120" t="s">
        <v>2300</v>
      </c>
      <c r="E1982" s="893"/>
      <c r="F1982" s="902"/>
      <c r="G1982" s="528"/>
      <c r="H1982" s="549" t="s">
        <v>38</v>
      </c>
      <c r="I1982" s="711">
        <v>0</v>
      </c>
      <c r="J1982" s="897"/>
      <c r="K1982" s="528"/>
      <c r="L1982" s="549" t="s">
        <v>38</v>
      </c>
      <c r="M1982" s="711">
        <f t="shared" si="7902"/>
        <v>0</v>
      </c>
      <c r="N1982" s="897"/>
      <c r="O1982" s="528"/>
      <c r="P1982" s="548">
        <v>0</v>
      </c>
      <c r="Q1982" s="548">
        <v>0</v>
      </c>
      <c r="R1982" s="548">
        <v>0</v>
      </c>
      <c r="S1982" s="548">
        <v>0</v>
      </c>
      <c r="T1982" s="548">
        <v>0</v>
      </c>
      <c r="U1982" s="548">
        <v>0</v>
      </c>
      <c r="V1982" s="548"/>
      <c r="W1982" s="528"/>
      <c r="X1982" s="711">
        <f t="shared" si="7904"/>
        <v>0</v>
      </c>
      <c r="Y1982" s="897"/>
      <c r="Z1982" s="528"/>
      <c r="AA1982" s="899"/>
      <c r="AB1982" s="899"/>
      <c r="AC1982" s="904"/>
      <c r="AD1982" s="901"/>
      <c r="AE1982" s="2"/>
      <c r="AF1982" s="885"/>
      <c r="AG1982" s="885"/>
      <c r="AH1982" s="885"/>
      <c r="AI1982" s="885"/>
      <c r="AJ1982" s="885"/>
      <c r="AK1982" s="885"/>
      <c r="AL1982" s="885"/>
      <c r="AM1982" s="879"/>
      <c r="AN1982" s="2"/>
      <c r="AO1982" s="886"/>
      <c r="AP1982" s="886"/>
      <c r="AV1982" t="str">
        <f t="shared" si="7716"/>
        <v>Drenagem Superficial</v>
      </c>
      <c r="AW1982" s="4" t="str">
        <f t="shared" si="7714"/>
        <v xml:space="preserve">   Seg. 2.2-ADME-06 - Drenagem Superficial - Valeta de proteção de aterro</v>
      </c>
    </row>
    <row r="1983" spans="1:49" ht="15.6" hidden="1" customHeight="1" outlineLevel="2">
      <c r="A1983" s="8" t="str">
        <f t="shared" ref="A1983" si="7926">IF(SUM(P1983:V1984)&gt;0,"S","N")</f>
        <v>N</v>
      </c>
      <c r="B1983" s="150">
        <v>1061868</v>
      </c>
      <c r="C1983" s="150" t="s">
        <v>2302</v>
      </c>
      <c r="D1983" s="147" t="s">
        <v>1766</v>
      </c>
      <c r="E1983" s="892" t="s">
        <v>2303</v>
      </c>
      <c r="F1983" s="902" t="s">
        <v>52</v>
      </c>
      <c r="G1983" s="528"/>
      <c r="H1983" s="546" t="s">
        <v>37</v>
      </c>
      <c r="I1983" s="711">
        <v>0</v>
      </c>
      <c r="J1983" s="896" t="str">
        <f t="shared" ref="J1983" si="7927">IFERROR((I1984/I1983),"-")</f>
        <v>-</v>
      </c>
      <c r="K1983" s="528"/>
      <c r="L1983" s="546" t="s">
        <v>37</v>
      </c>
      <c r="M1983" s="711">
        <f t="shared" si="7902"/>
        <v>0</v>
      </c>
      <c r="N1983" s="896" t="str">
        <f t="shared" ref="N1983" si="7928">IFERROR((M1984/M1983),"-")</f>
        <v>-</v>
      </c>
      <c r="O1983" s="528"/>
      <c r="P1983" s="547">
        <v>0</v>
      </c>
      <c r="Q1983" s="547">
        <v>0</v>
      </c>
      <c r="R1983" s="547">
        <v>0</v>
      </c>
      <c r="S1983" s="547">
        <v>0</v>
      </c>
      <c r="T1983" s="547">
        <v>0</v>
      </c>
      <c r="U1983" s="547">
        <v>0</v>
      </c>
      <c r="V1983" s="548">
        <v>0</v>
      </c>
      <c r="W1983" s="528"/>
      <c r="X1983" s="711">
        <f t="shared" si="7904"/>
        <v>0</v>
      </c>
      <c r="Y1983" s="896" t="str">
        <f>IFERROR((X1984/X1983),"-")</f>
        <v>-</v>
      </c>
      <c r="Z1983" s="528"/>
      <c r="AA1983" s="898">
        <v>0</v>
      </c>
      <c r="AB1983" s="898">
        <v>0</v>
      </c>
      <c r="AC1983" s="903">
        <v>0</v>
      </c>
      <c r="AD1983" s="900" t="str">
        <f t="shared" ref="AD1983" si="7929">IFERROR((AC1983/AB1983),"-")</f>
        <v>-</v>
      </c>
      <c r="AE1983" s="2"/>
      <c r="AF1983" s="884">
        <v>1230.963</v>
      </c>
      <c r="AG1983" s="884"/>
      <c r="AH1983" s="884">
        <v>0</v>
      </c>
      <c r="AI1983" s="884"/>
      <c r="AJ1983" s="884"/>
      <c r="AK1983" s="884">
        <f t="shared" ref="AK1983" si="7930">AF1983+AG1983+AH1983+AI1983+AJ1983+AC1983</f>
        <v>1230.963</v>
      </c>
      <c r="AL1983" s="884">
        <v>673.94999999999982</v>
      </c>
      <c r="AM1983" s="878">
        <f t="shared" ref="AM1983" si="7931">IFERROR((AK1983/AL1983),"-")</f>
        <v>1.8264900957044297</v>
      </c>
      <c r="AN1983" s="2"/>
      <c r="AO1983" s="884">
        <v>674</v>
      </c>
      <c r="AP1983" s="884">
        <f t="shared" ref="AP1983" si="7932">AO1983-AK1983</f>
        <v>-556.96299999999997</v>
      </c>
      <c r="AV1983" t="str">
        <f t="shared" si="7716"/>
        <v>Drenagem Superficial</v>
      </c>
      <c r="AW1983" s="4" t="str">
        <f t="shared" si="7714"/>
        <v xml:space="preserve">   Construção de valeta de proteção de corte</v>
      </c>
    </row>
    <row r="1984" spans="1:49" ht="15.6" hidden="1" customHeight="1" outlineLevel="2">
      <c r="A1984" s="8" t="str">
        <f t="shared" ref="A1984" si="7933">A1983</f>
        <v>N</v>
      </c>
      <c r="B1984" s="150"/>
      <c r="C1984" s="150" t="s">
        <v>2302</v>
      </c>
      <c r="D1984" s="147" t="s">
        <v>1766</v>
      </c>
      <c r="E1984" s="893"/>
      <c r="F1984" s="902"/>
      <c r="G1984" s="528"/>
      <c r="H1984" s="549" t="s">
        <v>38</v>
      </c>
      <c r="I1984" s="711">
        <v>0</v>
      </c>
      <c r="J1984" s="897"/>
      <c r="K1984" s="528"/>
      <c r="L1984" s="549" t="s">
        <v>38</v>
      </c>
      <c r="M1984" s="711">
        <f t="shared" si="7902"/>
        <v>0</v>
      </c>
      <c r="N1984" s="897"/>
      <c r="O1984" s="528"/>
      <c r="P1984" s="548">
        <v>0</v>
      </c>
      <c r="Q1984" s="548">
        <v>0</v>
      </c>
      <c r="R1984" s="548">
        <v>0</v>
      </c>
      <c r="S1984" s="548">
        <v>0</v>
      </c>
      <c r="T1984" s="548">
        <v>0</v>
      </c>
      <c r="U1984" s="548">
        <v>0</v>
      </c>
      <c r="V1984" s="548"/>
      <c r="W1984" s="528"/>
      <c r="X1984" s="711">
        <f t="shared" si="7904"/>
        <v>0</v>
      </c>
      <c r="Y1984" s="897"/>
      <c r="Z1984" s="528"/>
      <c r="AA1984" s="899"/>
      <c r="AB1984" s="899"/>
      <c r="AC1984" s="904"/>
      <c r="AD1984" s="901"/>
      <c r="AE1984" s="2"/>
      <c r="AF1984" s="885"/>
      <c r="AG1984" s="885"/>
      <c r="AH1984" s="885"/>
      <c r="AI1984" s="885"/>
      <c r="AJ1984" s="885"/>
      <c r="AK1984" s="885"/>
      <c r="AL1984" s="885"/>
      <c r="AM1984" s="879"/>
      <c r="AN1984" s="2"/>
      <c r="AO1984" s="885"/>
      <c r="AP1984" s="886"/>
      <c r="AV1984" t="str">
        <f t="shared" si="7716"/>
        <v>Drenagem Superficial</v>
      </c>
      <c r="AW1984" s="4" t="str">
        <f t="shared" si="7714"/>
        <v xml:space="preserve">   Construção de valeta de proteção de corte</v>
      </c>
    </row>
    <row r="1985" spans="1:49" ht="15.6" hidden="1" customHeight="1" outlineLevel="2">
      <c r="A1985" s="8" t="str">
        <f t="shared" ref="A1985" si="7934">IF(SUM(P1985:V1986)&gt;0,"S","N")</f>
        <v>S</v>
      </c>
      <c r="B1985" s="150">
        <v>1061870</v>
      </c>
      <c r="C1985" s="150" t="s">
        <v>2304</v>
      </c>
      <c r="D1985" s="120" t="s">
        <v>2305</v>
      </c>
      <c r="E1985" s="892" t="s">
        <v>2303</v>
      </c>
      <c r="F1985" s="902" t="s">
        <v>52</v>
      </c>
      <c r="G1985" s="528"/>
      <c r="H1985" s="546" t="s">
        <v>37</v>
      </c>
      <c r="I1985" s="711">
        <v>0</v>
      </c>
      <c r="J1985" s="896" t="str">
        <f t="shared" ref="J1985" si="7935">IFERROR((I1986/I1985),"-")</f>
        <v>-</v>
      </c>
      <c r="K1985" s="528"/>
      <c r="L1985" s="546" t="s">
        <v>37</v>
      </c>
      <c r="M1985" s="711">
        <f t="shared" si="7902"/>
        <v>0</v>
      </c>
      <c r="N1985" s="896" t="str">
        <f t="shared" ref="N1985" si="7936">IFERROR((M1986/M1985),"-")</f>
        <v>-</v>
      </c>
      <c r="O1985" s="528"/>
      <c r="P1985" s="547">
        <v>0</v>
      </c>
      <c r="Q1985" s="547">
        <v>0</v>
      </c>
      <c r="R1985" s="547">
        <v>0</v>
      </c>
      <c r="S1985" s="547">
        <v>0</v>
      </c>
      <c r="T1985" s="547">
        <v>60</v>
      </c>
      <c r="U1985" s="547">
        <v>60</v>
      </c>
      <c r="V1985" s="548">
        <v>0</v>
      </c>
      <c r="W1985" s="528"/>
      <c r="X1985" s="711">
        <f t="shared" si="7904"/>
        <v>0</v>
      </c>
      <c r="Y1985" s="896" t="str">
        <f>IFERROR((X1986/X1985),"-")</f>
        <v>-</v>
      </c>
      <c r="Z1985" s="528"/>
      <c r="AA1985" s="898">
        <v>420.57</v>
      </c>
      <c r="AB1985" s="898">
        <v>0</v>
      </c>
      <c r="AC1985" s="903">
        <v>0</v>
      </c>
      <c r="AD1985" s="900" t="str">
        <f t="shared" ref="AD1985" si="7937">IFERROR((AC1985/AB1985),"-")</f>
        <v>-</v>
      </c>
      <c r="AE1985" s="2"/>
      <c r="AF1985" s="884">
        <v>730.16700000000003</v>
      </c>
      <c r="AG1985" s="884"/>
      <c r="AH1985" s="884">
        <v>0</v>
      </c>
      <c r="AI1985" s="884"/>
      <c r="AJ1985" s="884"/>
      <c r="AK1985" s="884">
        <f t="shared" ref="AK1985" si="7938">AF1985+AG1985+AH1985+AI1985+AJ1985+AC1985</f>
        <v>730.16700000000003</v>
      </c>
      <c r="AL1985" s="884">
        <v>437.44</v>
      </c>
      <c r="AM1985" s="878">
        <f t="shared" ref="AM1985" si="7939">IFERROR((AK1985/AL1985),"-")</f>
        <v>1.6691820592538407</v>
      </c>
      <c r="AN1985" s="2"/>
      <c r="AO1985" s="884">
        <v>858</v>
      </c>
      <c r="AP1985" s="884">
        <f t="shared" ref="AP1985" si="7940">AO1985-AK1985</f>
        <v>127.83299999999997</v>
      </c>
      <c r="AV1985" t="str">
        <f t="shared" si="7716"/>
        <v>Drenagem Superficial</v>
      </c>
      <c r="AW1985" s="4" t="str">
        <f t="shared" si="7714"/>
        <v xml:space="preserve">   Construção de valeta de proteção de corte</v>
      </c>
    </row>
    <row r="1986" spans="1:49" ht="15.6" hidden="1" customHeight="1" outlineLevel="2">
      <c r="A1986" s="8" t="str">
        <f t="shared" ref="A1986" si="7941">A1985</f>
        <v>S</v>
      </c>
      <c r="B1986" s="150"/>
      <c r="C1986" s="150" t="s">
        <v>2304</v>
      </c>
      <c r="D1986" s="120" t="s">
        <v>2305</v>
      </c>
      <c r="E1986" s="893"/>
      <c r="F1986" s="902"/>
      <c r="G1986" s="528"/>
      <c r="H1986" s="549" t="s">
        <v>38</v>
      </c>
      <c r="I1986" s="711">
        <v>0</v>
      </c>
      <c r="J1986" s="897"/>
      <c r="K1986" s="528"/>
      <c r="L1986" s="549" t="s">
        <v>38</v>
      </c>
      <c r="M1986" s="711">
        <f t="shared" si="7902"/>
        <v>0</v>
      </c>
      <c r="N1986" s="897"/>
      <c r="O1986" s="528"/>
      <c r="P1986" s="548">
        <v>0</v>
      </c>
      <c r="Q1986" s="548">
        <v>0</v>
      </c>
      <c r="R1986" s="548">
        <v>0</v>
      </c>
      <c r="S1986" s="548">
        <v>0</v>
      </c>
      <c r="T1986" s="548">
        <v>0</v>
      </c>
      <c r="U1986" s="548">
        <v>0</v>
      </c>
      <c r="V1986" s="548"/>
      <c r="W1986" s="528"/>
      <c r="X1986" s="711">
        <f t="shared" si="7904"/>
        <v>0</v>
      </c>
      <c r="Y1986" s="897"/>
      <c r="Z1986" s="528"/>
      <c r="AA1986" s="899"/>
      <c r="AB1986" s="899"/>
      <c r="AC1986" s="904"/>
      <c r="AD1986" s="901"/>
      <c r="AE1986" s="2"/>
      <c r="AF1986" s="885"/>
      <c r="AG1986" s="885"/>
      <c r="AH1986" s="885"/>
      <c r="AI1986" s="885"/>
      <c r="AJ1986" s="885"/>
      <c r="AK1986" s="885"/>
      <c r="AL1986" s="885"/>
      <c r="AM1986" s="879"/>
      <c r="AN1986" s="2"/>
      <c r="AO1986" s="886"/>
      <c r="AP1986" s="886"/>
      <c r="AV1986" t="str">
        <f t="shared" si="7716"/>
        <v>Drenagem Superficial</v>
      </c>
      <c r="AW1986" s="4" t="str">
        <f t="shared" si="7714"/>
        <v xml:space="preserve">   Construção de valeta de proteção de corte</v>
      </c>
    </row>
    <row r="1987" spans="1:49" ht="15.6" hidden="1" customHeight="1" outlineLevel="2">
      <c r="A1987" s="8" t="str">
        <f t="shared" ref="A1987" si="7942">IF(SUM(P1987:V1988)&gt;0,"S","N")</f>
        <v>N</v>
      </c>
      <c r="B1987" s="150">
        <v>1061977</v>
      </c>
      <c r="C1987" s="150" t="s">
        <v>2306</v>
      </c>
      <c r="D1987" s="120" t="s">
        <v>779</v>
      </c>
      <c r="E1987" s="892" t="s">
        <v>2307</v>
      </c>
      <c r="F1987" s="902" t="s">
        <v>52</v>
      </c>
      <c r="G1987" s="528"/>
      <c r="H1987" s="546" t="s">
        <v>37</v>
      </c>
      <c r="I1987" s="711">
        <v>0</v>
      </c>
      <c r="J1987" s="896" t="str">
        <f t="shared" ref="J1987" si="7943">IFERROR((I1988/I1987),"-")</f>
        <v>-</v>
      </c>
      <c r="K1987" s="528"/>
      <c r="L1987" s="546" t="s">
        <v>37</v>
      </c>
      <c r="M1987" s="711">
        <f t="shared" si="7902"/>
        <v>0</v>
      </c>
      <c r="N1987" s="896" t="str">
        <f t="shared" ref="N1987" si="7944">IFERROR((M1988/M1987),"-")</f>
        <v>-</v>
      </c>
      <c r="O1987" s="528"/>
      <c r="P1987" s="547">
        <v>0</v>
      </c>
      <c r="Q1987" s="547">
        <v>0</v>
      </c>
      <c r="R1987" s="547">
        <v>0</v>
      </c>
      <c r="S1987" s="547">
        <v>0</v>
      </c>
      <c r="T1987" s="547">
        <v>0</v>
      </c>
      <c r="U1987" s="547">
        <v>0</v>
      </c>
      <c r="V1987" s="548">
        <v>0</v>
      </c>
      <c r="W1987" s="528"/>
      <c r="X1987" s="711">
        <f t="shared" si="7904"/>
        <v>0</v>
      </c>
      <c r="Y1987" s="896" t="str">
        <f>IFERROR((X1988/X1987),"-")</f>
        <v>-</v>
      </c>
      <c r="Z1987" s="528"/>
      <c r="AA1987" s="898">
        <v>0</v>
      </c>
      <c r="AB1987" s="898">
        <v>0</v>
      </c>
      <c r="AC1987" s="903">
        <v>0</v>
      </c>
      <c r="AD1987" s="900" t="str">
        <f t="shared" ref="AD1987" si="7945">IFERROR((AC1987/AB1987),"-")</f>
        <v>-</v>
      </c>
      <c r="AE1987" s="2"/>
      <c r="AF1987" s="884"/>
      <c r="AG1987" s="884"/>
      <c r="AH1987" s="884">
        <v>0</v>
      </c>
      <c r="AI1987" s="884"/>
      <c r="AJ1987" s="884">
        <v>36.662999999999997</v>
      </c>
      <c r="AK1987" s="884">
        <f t="shared" ref="AK1987" si="7946">AF1987+AG1987+AH1987+AI1987+AJ1987+AC1987</f>
        <v>36.662999999999997</v>
      </c>
      <c r="AL1987" s="884">
        <v>36.629999999999988</v>
      </c>
      <c r="AM1987" s="878">
        <f t="shared" ref="AM1987" si="7947">IFERROR((AK1987/AL1987),"-")</f>
        <v>1.0009009009009011</v>
      </c>
      <c r="AN1987" s="2"/>
      <c r="AO1987" s="884">
        <v>28</v>
      </c>
      <c r="AP1987" s="884">
        <f t="shared" ref="AP1987" si="7948">AO1987-AK1987</f>
        <v>-8.6629999999999967</v>
      </c>
      <c r="AV1987" t="str">
        <f t="shared" si="7716"/>
        <v>Drenagem Superficial</v>
      </c>
      <c r="AW1987" s="4" t="str">
        <f t="shared" si="7714"/>
        <v xml:space="preserve">   Seg. 2.2-A03 - Drenagem Superficial - Valetas de proteção de aterro (Km 105+555 a 105+600)</v>
      </c>
    </row>
    <row r="1988" spans="1:49" ht="15.6" hidden="1" customHeight="1" outlineLevel="2">
      <c r="A1988" s="8" t="str">
        <f t="shared" ref="A1988" si="7949">A1987</f>
        <v>N</v>
      </c>
      <c r="B1988" s="150"/>
      <c r="C1988" s="150" t="s">
        <v>2306</v>
      </c>
      <c r="D1988" s="120" t="s">
        <v>779</v>
      </c>
      <c r="E1988" s="893"/>
      <c r="F1988" s="902"/>
      <c r="G1988" s="528"/>
      <c r="H1988" s="549" t="s">
        <v>38</v>
      </c>
      <c r="I1988" s="711">
        <v>0</v>
      </c>
      <c r="J1988" s="897"/>
      <c r="K1988" s="528"/>
      <c r="L1988" s="549" t="s">
        <v>38</v>
      </c>
      <c r="M1988" s="711">
        <f t="shared" si="7902"/>
        <v>0</v>
      </c>
      <c r="N1988" s="897"/>
      <c r="O1988" s="528"/>
      <c r="P1988" s="548">
        <v>0</v>
      </c>
      <c r="Q1988" s="548">
        <v>0</v>
      </c>
      <c r="R1988" s="548">
        <v>0</v>
      </c>
      <c r="S1988" s="548">
        <v>0</v>
      </c>
      <c r="T1988" s="548">
        <v>0</v>
      </c>
      <c r="U1988" s="548">
        <v>0</v>
      </c>
      <c r="V1988" s="548"/>
      <c r="W1988" s="528"/>
      <c r="X1988" s="711">
        <f t="shared" si="7904"/>
        <v>0</v>
      </c>
      <c r="Y1988" s="897"/>
      <c r="Z1988" s="528"/>
      <c r="AA1988" s="899"/>
      <c r="AB1988" s="899"/>
      <c r="AC1988" s="904"/>
      <c r="AD1988" s="901"/>
      <c r="AE1988" s="2"/>
      <c r="AF1988" s="885"/>
      <c r="AG1988" s="885"/>
      <c r="AH1988" s="885"/>
      <c r="AI1988" s="885"/>
      <c r="AJ1988" s="885"/>
      <c r="AK1988" s="885"/>
      <c r="AL1988" s="885"/>
      <c r="AM1988" s="879"/>
      <c r="AN1988" s="2"/>
      <c r="AO1988" s="886"/>
      <c r="AP1988" s="886"/>
      <c r="AV1988" t="str">
        <f t="shared" si="7716"/>
        <v>Drenagem Superficial</v>
      </c>
      <c r="AW1988" s="4" t="str">
        <f t="shared" si="7714"/>
        <v xml:space="preserve">   Seg. 2.2-A03 - Drenagem Superficial - Valetas de proteção de aterro (Km 105+555 a 105+600)</v>
      </c>
    </row>
    <row r="1989" spans="1:49" ht="15.6" hidden="1" customHeight="1" outlineLevel="2">
      <c r="A1989" s="8" t="str">
        <f t="shared" ref="A1989" si="7950">IF(SUM(P1989:V1990)&gt;0,"S","N")</f>
        <v>N</v>
      </c>
      <c r="B1989" s="150">
        <v>1065276</v>
      </c>
      <c r="C1989" s="150" t="s">
        <v>2308</v>
      </c>
      <c r="D1989" s="120" t="s">
        <v>215</v>
      </c>
      <c r="E1989" s="892" t="s">
        <v>2309</v>
      </c>
      <c r="F1989" s="902" t="s">
        <v>52</v>
      </c>
      <c r="G1989" s="528"/>
      <c r="H1989" s="546" t="s">
        <v>37</v>
      </c>
      <c r="I1989" s="711">
        <v>0</v>
      </c>
      <c r="J1989" s="896" t="str">
        <f t="shared" ref="J1989" si="7951">IFERROR((I1990/I1989),"-")</f>
        <v>-</v>
      </c>
      <c r="K1989" s="528"/>
      <c r="L1989" s="546" t="s">
        <v>37</v>
      </c>
      <c r="M1989" s="711">
        <f t="shared" si="7902"/>
        <v>0</v>
      </c>
      <c r="N1989" s="896" t="str">
        <f t="shared" ref="N1989" si="7952">IFERROR((M1990/M1989),"-")</f>
        <v>-</v>
      </c>
      <c r="O1989" s="528"/>
      <c r="P1989" s="547">
        <v>0</v>
      </c>
      <c r="Q1989" s="547">
        <v>0</v>
      </c>
      <c r="R1989" s="547">
        <v>0</v>
      </c>
      <c r="S1989" s="547">
        <v>0</v>
      </c>
      <c r="T1989" s="547">
        <v>0</v>
      </c>
      <c r="U1989" s="547">
        <v>0</v>
      </c>
      <c r="V1989" s="548">
        <v>0</v>
      </c>
      <c r="W1989" s="528"/>
      <c r="X1989" s="711">
        <f t="shared" si="7904"/>
        <v>0</v>
      </c>
      <c r="Y1989" s="896" t="str">
        <f>IFERROR((X1990/X1989),"-")</f>
        <v>-</v>
      </c>
      <c r="Z1989" s="528"/>
      <c r="AA1989" s="898">
        <v>44.87</v>
      </c>
      <c r="AB1989" s="898">
        <v>0</v>
      </c>
      <c r="AC1989" s="903">
        <v>0</v>
      </c>
      <c r="AD1989" s="900" t="str">
        <f t="shared" ref="AD1989" si="7953">IFERROR((AC1989/AB1989),"-")</f>
        <v>-</v>
      </c>
      <c r="AE1989" s="2"/>
      <c r="AF1989" s="884"/>
      <c r="AG1989" s="884"/>
      <c r="AH1989" s="884">
        <v>0</v>
      </c>
      <c r="AI1989" s="884"/>
      <c r="AJ1989" s="884"/>
      <c r="AK1989" s="884">
        <f t="shared" ref="AK1989" si="7954">AF1989+AG1989+AH1989+AI1989+AJ1989+AC1989</f>
        <v>0</v>
      </c>
      <c r="AL1989" s="884">
        <v>0</v>
      </c>
      <c r="AM1989" s="878" t="str">
        <f t="shared" ref="AM1989" si="7955">IFERROR((AK1989/AL1989),"-")</f>
        <v>-</v>
      </c>
      <c r="AN1989" s="2"/>
      <c r="AO1989" s="884">
        <v>44.87</v>
      </c>
      <c r="AP1989" s="884">
        <f t="shared" ref="AP1989" si="7956">AO1989-AK1989</f>
        <v>44.87</v>
      </c>
      <c r="AV1989" t="str">
        <f t="shared" si="7716"/>
        <v>Drenagem Superficial</v>
      </c>
      <c r="AW1989" s="4" t="str">
        <f t="shared" si="7714"/>
        <v xml:space="preserve">   Seg. 2.2-C14 - Drenagem Superficial - Valetas de proteção de corte (Km 116+020 a 116+060)</v>
      </c>
    </row>
    <row r="1990" spans="1:49" ht="15.6" hidden="1" customHeight="1" outlineLevel="2">
      <c r="A1990" s="8" t="str">
        <f t="shared" ref="A1990" si="7957">A1989</f>
        <v>N</v>
      </c>
      <c r="B1990" s="150"/>
      <c r="C1990" s="150" t="s">
        <v>2308</v>
      </c>
      <c r="D1990" s="120" t="s">
        <v>215</v>
      </c>
      <c r="E1990" s="893"/>
      <c r="F1990" s="902"/>
      <c r="G1990" s="528"/>
      <c r="H1990" s="549" t="s">
        <v>38</v>
      </c>
      <c r="I1990" s="711">
        <v>0</v>
      </c>
      <c r="J1990" s="897"/>
      <c r="K1990" s="528"/>
      <c r="L1990" s="549" t="s">
        <v>38</v>
      </c>
      <c r="M1990" s="711">
        <f t="shared" si="7902"/>
        <v>0</v>
      </c>
      <c r="N1990" s="897"/>
      <c r="O1990" s="528"/>
      <c r="P1990" s="548">
        <v>0</v>
      </c>
      <c r="Q1990" s="548">
        <v>0</v>
      </c>
      <c r="R1990" s="548">
        <v>0</v>
      </c>
      <c r="S1990" s="548">
        <v>0</v>
      </c>
      <c r="T1990" s="548">
        <v>0</v>
      </c>
      <c r="U1990" s="548">
        <v>0</v>
      </c>
      <c r="V1990" s="548"/>
      <c r="W1990" s="528"/>
      <c r="X1990" s="711">
        <f t="shared" si="7904"/>
        <v>0</v>
      </c>
      <c r="Y1990" s="897"/>
      <c r="Z1990" s="528"/>
      <c r="AA1990" s="899"/>
      <c r="AB1990" s="899"/>
      <c r="AC1990" s="904"/>
      <c r="AD1990" s="901"/>
      <c r="AE1990" s="2"/>
      <c r="AF1990" s="885"/>
      <c r="AG1990" s="885"/>
      <c r="AH1990" s="885"/>
      <c r="AI1990" s="885"/>
      <c r="AJ1990" s="885"/>
      <c r="AK1990" s="885"/>
      <c r="AL1990" s="885"/>
      <c r="AM1990" s="879"/>
      <c r="AN1990" s="2"/>
      <c r="AO1990" s="886"/>
      <c r="AP1990" s="886"/>
      <c r="AV1990" t="str">
        <f t="shared" si="7716"/>
        <v>Drenagem Superficial</v>
      </c>
      <c r="AW1990" s="4" t="str">
        <f t="shared" si="7714"/>
        <v xml:space="preserve">   Seg. 2.2-C14 - Drenagem Superficial - Valetas de proteção de corte (Km 116+020 a 116+060)</v>
      </c>
    </row>
    <row r="1991" spans="1:49" ht="15.6" hidden="1" customHeight="1" outlineLevel="2">
      <c r="A1991" s="8" t="str">
        <f t="shared" ref="A1991" si="7958">IF(SUM(P1991:V1992)&gt;0,"S","N")</f>
        <v>N</v>
      </c>
      <c r="B1991" s="150">
        <v>1069251</v>
      </c>
      <c r="C1991" s="150" t="s">
        <v>2310</v>
      </c>
      <c r="D1991" s="120" t="s">
        <v>218</v>
      </c>
      <c r="E1991" s="892" t="s">
        <v>2311</v>
      </c>
      <c r="F1991" s="902" t="s">
        <v>52</v>
      </c>
      <c r="G1991" s="528"/>
      <c r="H1991" s="546" t="s">
        <v>37</v>
      </c>
      <c r="I1991" s="711">
        <v>0</v>
      </c>
      <c r="J1991" s="896" t="str">
        <f t="shared" ref="J1991" si="7959">IFERROR((I1992/I1991),"-")</f>
        <v>-</v>
      </c>
      <c r="K1991" s="528"/>
      <c r="L1991" s="546" t="s">
        <v>37</v>
      </c>
      <c r="M1991" s="711">
        <f t="shared" si="7902"/>
        <v>0</v>
      </c>
      <c r="N1991" s="896" t="str">
        <f t="shared" ref="N1991" si="7960">IFERROR((M1992/M1991),"-")</f>
        <v>-</v>
      </c>
      <c r="O1991" s="528"/>
      <c r="P1991" s="547">
        <v>0</v>
      </c>
      <c r="Q1991" s="547">
        <v>0</v>
      </c>
      <c r="R1991" s="547">
        <v>0</v>
      </c>
      <c r="S1991" s="547">
        <v>0</v>
      </c>
      <c r="T1991" s="547">
        <v>0</v>
      </c>
      <c r="U1991" s="547">
        <v>0</v>
      </c>
      <c r="V1991" s="548">
        <v>0</v>
      </c>
      <c r="W1991" s="528"/>
      <c r="X1991" s="711">
        <f t="shared" si="7904"/>
        <v>0</v>
      </c>
      <c r="Y1991" s="896" t="str">
        <f>IFERROR((X1992/X1991),"-")</f>
        <v>-</v>
      </c>
      <c r="Z1991" s="528"/>
      <c r="AA1991" s="898">
        <v>150</v>
      </c>
      <c r="AB1991" s="898">
        <v>0</v>
      </c>
      <c r="AC1991" s="903">
        <v>0</v>
      </c>
      <c r="AD1991" s="900" t="str">
        <f t="shared" ref="AD1991" si="7961">IFERROR((AC1991/AB1991),"-")</f>
        <v>-</v>
      </c>
      <c r="AE1991" s="2"/>
      <c r="AF1991" s="884"/>
      <c r="AG1991" s="884"/>
      <c r="AH1991" s="884">
        <v>0</v>
      </c>
      <c r="AI1991" s="884"/>
      <c r="AJ1991" s="884"/>
      <c r="AK1991" s="884">
        <f t="shared" ref="AK1991:AK1995" si="7962">AF1991+AG1991+AH1991+AI1991+AJ1991+AC1991</f>
        <v>0</v>
      </c>
      <c r="AL1991" s="884">
        <v>0</v>
      </c>
      <c r="AM1991" s="878" t="str">
        <f t="shared" ref="AM1991" si="7963">IFERROR((AK1991/AL1991),"-")</f>
        <v>-</v>
      </c>
      <c r="AN1991" s="2"/>
      <c r="AO1991" s="884">
        <v>150</v>
      </c>
      <c r="AP1991" s="884">
        <f t="shared" ref="AP1991:AP1995" si="7964">AO1991-AK1991</f>
        <v>150</v>
      </c>
      <c r="AV1991" t="str">
        <f t="shared" si="7716"/>
        <v>Drenagem Superficial</v>
      </c>
      <c r="AW1991" s="4" t="str">
        <f t="shared" si="7714"/>
        <v xml:space="preserve">   Seg. 2.2-C15 - Drenagem Superficial - Valetas de proteção de corte (Km 116+120 a 116+240)</v>
      </c>
    </row>
    <row r="1992" spans="1:49" ht="15.6" hidden="1" customHeight="1" outlineLevel="2">
      <c r="A1992" s="8" t="str">
        <f t="shared" ref="A1992:A1996" si="7965">A1991</f>
        <v>N</v>
      </c>
      <c r="B1992" s="150"/>
      <c r="C1992" s="150" t="s">
        <v>2310</v>
      </c>
      <c r="D1992" s="120" t="s">
        <v>218</v>
      </c>
      <c r="E1992" s="893"/>
      <c r="F1992" s="902"/>
      <c r="G1992" s="528"/>
      <c r="H1992" s="549" t="s">
        <v>38</v>
      </c>
      <c r="I1992" s="711">
        <v>0</v>
      </c>
      <c r="J1992" s="897"/>
      <c r="K1992" s="528"/>
      <c r="L1992" s="549" t="s">
        <v>38</v>
      </c>
      <c r="M1992" s="711">
        <f t="shared" si="7902"/>
        <v>0</v>
      </c>
      <c r="N1992" s="897"/>
      <c r="O1992" s="528"/>
      <c r="P1992" s="548">
        <v>0</v>
      </c>
      <c r="Q1992" s="548">
        <v>0</v>
      </c>
      <c r="R1992" s="548">
        <v>0</v>
      </c>
      <c r="S1992" s="548">
        <v>0</v>
      </c>
      <c r="T1992" s="548">
        <v>0</v>
      </c>
      <c r="U1992" s="548">
        <v>0</v>
      </c>
      <c r="V1992" s="548"/>
      <c r="W1992" s="528"/>
      <c r="X1992" s="711">
        <f t="shared" si="7904"/>
        <v>0</v>
      </c>
      <c r="Y1992" s="897"/>
      <c r="Z1992" s="528"/>
      <c r="AA1992" s="899"/>
      <c r="AB1992" s="899"/>
      <c r="AC1992" s="904"/>
      <c r="AD1992" s="901"/>
      <c r="AE1992" s="2"/>
      <c r="AF1992" s="885"/>
      <c r="AG1992" s="885"/>
      <c r="AH1992" s="885"/>
      <c r="AI1992" s="885"/>
      <c r="AJ1992" s="885"/>
      <c r="AK1992" s="885"/>
      <c r="AL1992" s="885"/>
      <c r="AM1992" s="879"/>
      <c r="AN1992" s="2"/>
      <c r="AO1992" s="886"/>
      <c r="AP1992" s="886"/>
      <c r="AV1992" t="str">
        <f t="shared" si="7716"/>
        <v>Drenagem Superficial</v>
      </c>
      <c r="AW1992" s="4" t="str">
        <f t="shared" si="7714"/>
        <v xml:space="preserve">   Seg. 2.2-C15 - Drenagem Superficial - Valetas de proteção de corte (Km 116+120 a 116+240)</v>
      </c>
    </row>
    <row r="1993" spans="1:49" ht="15.6" hidden="1" customHeight="1" outlineLevel="2">
      <c r="A1993" s="8" t="str">
        <f t="shared" ref="A1993" si="7966">IF(SUM(P1993:V1994)&gt;0,"S","N")</f>
        <v>N</v>
      </c>
      <c r="B1993" s="150"/>
      <c r="C1993" s="150"/>
      <c r="D1993" s="120" t="s">
        <v>2312</v>
      </c>
      <c r="E1993" s="892" t="s">
        <v>2313</v>
      </c>
      <c r="F1993" s="902" t="s">
        <v>52</v>
      </c>
      <c r="G1993" s="528"/>
      <c r="H1993" s="546" t="s">
        <v>37</v>
      </c>
      <c r="I1993" s="711">
        <v>0</v>
      </c>
      <c r="J1993" s="896" t="str">
        <f t="shared" ref="J1993" si="7967">IFERROR((I1994/I1993),"-")</f>
        <v>-</v>
      </c>
      <c r="K1993" s="528"/>
      <c r="L1993" s="546" t="s">
        <v>37</v>
      </c>
      <c r="M1993" s="711">
        <f t="shared" si="7902"/>
        <v>0</v>
      </c>
      <c r="N1993" s="896" t="str">
        <f t="shared" ref="N1993" si="7968">IFERROR((M1994/M1993),"-")</f>
        <v>-</v>
      </c>
      <c r="O1993" s="528"/>
      <c r="P1993" s="547"/>
      <c r="Q1993" s="547"/>
      <c r="R1993" s="547"/>
      <c r="S1993" s="547"/>
      <c r="T1993" s="547"/>
      <c r="U1993" s="547"/>
      <c r="V1993" s="548"/>
      <c r="W1993" s="528"/>
      <c r="X1993" s="711">
        <f t="shared" si="7904"/>
        <v>0</v>
      </c>
      <c r="Y1993" s="896" t="str">
        <f>IFERROR((X1994/X1993),"-")</f>
        <v>-</v>
      </c>
      <c r="Z1993" s="528"/>
      <c r="AA1993" s="898">
        <v>0</v>
      </c>
      <c r="AB1993" s="898">
        <v>0</v>
      </c>
      <c r="AC1993" s="903">
        <v>0</v>
      </c>
      <c r="AD1993" s="900" t="str">
        <f t="shared" ref="AD1993" si="7969">IFERROR((AC1993/AB1993),"-")</f>
        <v>-</v>
      </c>
      <c r="AE1993" s="2"/>
      <c r="AF1993" s="884"/>
      <c r="AG1993" s="884"/>
      <c r="AH1993" s="884">
        <v>0</v>
      </c>
      <c r="AI1993" s="884"/>
      <c r="AJ1993" s="884"/>
      <c r="AK1993" s="884">
        <f t="shared" si="7962"/>
        <v>0</v>
      </c>
      <c r="AL1993" s="884">
        <v>0</v>
      </c>
      <c r="AM1993" s="878" t="str">
        <f t="shared" ref="AM1993" si="7970">IFERROR((AK1993/AL1993),"-")</f>
        <v>-</v>
      </c>
      <c r="AN1993" s="2"/>
      <c r="AO1993" s="884">
        <v>0</v>
      </c>
      <c r="AP1993" s="884">
        <f t="shared" si="7964"/>
        <v>0</v>
      </c>
      <c r="AV1993" t="str">
        <f t="shared" si="7716"/>
        <v>Drenagem Superficial</v>
      </c>
      <c r="AW1993" s="4" t="str">
        <f t="shared" ref="AW1993:AW2056" si="7971">IF(E1993&lt;&gt;"",E1993,AW1992)</f>
        <v>Acesso  km 112+240</v>
      </c>
    </row>
    <row r="1994" spans="1:49" ht="15.6" hidden="1" customHeight="1" outlineLevel="2">
      <c r="A1994" s="8" t="str">
        <f t="shared" si="7965"/>
        <v>N</v>
      </c>
      <c r="B1994" s="150"/>
      <c r="C1994" s="150"/>
      <c r="D1994" s="120" t="s">
        <v>2312</v>
      </c>
      <c r="E1994" s="893"/>
      <c r="F1994" s="902"/>
      <c r="G1994" s="528"/>
      <c r="H1994" s="549" t="s">
        <v>38</v>
      </c>
      <c r="I1994" s="711">
        <v>0</v>
      </c>
      <c r="J1994" s="897"/>
      <c r="K1994" s="528"/>
      <c r="L1994" s="549" t="s">
        <v>38</v>
      </c>
      <c r="M1994" s="711">
        <f t="shared" si="7902"/>
        <v>0</v>
      </c>
      <c r="N1994" s="897"/>
      <c r="O1994" s="528"/>
      <c r="P1994" s="548">
        <v>0</v>
      </c>
      <c r="Q1994" s="548">
        <v>0</v>
      </c>
      <c r="R1994" s="548">
        <v>0</v>
      </c>
      <c r="S1994" s="548">
        <v>0</v>
      </c>
      <c r="T1994" s="548">
        <v>0</v>
      </c>
      <c r="U1994" s="548">
        <v>0</v>
      </c>
      <c r="V1994" s="548"/>
      <c r="W1994" s="528"/>
      <c r="X1994" s="711">
        <f t="shared" si="7904"/>
        <v>0</v>
      </c>
      <c r="Y1994" s="897"/>
      <c r="Z1994" s="528"/>
      <c r="AA1994" s="899"/>
      <c r="AB1994" s="899"/>
      <c r="AC1994" s="904"/>
      <c r="AD1994" s="901"/>
      <c r="AE1994" s="2"/>
      <c r="AF1994" s="885"/>
      <c r="AG1994" s="885"/>
      <c r="AH1994" s="885"/>
      <c r="AI1994" s="885"/>
      <c r="AJ1994" s="885"/>
      <c r="AK1994" s="885"/>
      <c r="AL1994" s="885"/>
      <c r="AM1994" s="879"/>
      <c r="AN1994" s="2"/>
      <c r="AO1994" s="886"/>
      <c r="AP1994" s="886"/>
      <c r="AV1994" t="str">
        <f t="shared" ref="AV1994:AV2057" si="7972">IF(AX1994="Y",LEFT(E1994,20),IF(AX1994="x",E1994,AV1993))</f>
        <v>Drenagem Superficial</v>
      </c>
      <c r="AW1994" s="4" t="str">
        <f t="shared" si="7971"/>
        <v>Acesso  km 112+240</v>
      </c>
    </row>
    <row r="1995" spans="1:49" ht="15.6" hidden="1" customHeight="1" outlineLevel="2">
      <c r="A1995" s="8" t="str">
        <f t="shared" ref="A1995" si="7973">IF(SUM(P1995:V1996)&gt;0,"S","N")</f>
        <v>N</v>
      </c>
      <c r="B1995" s="150"/>
      <c r="C1995" s="150"/>
      <c r="D1995" s="120" t="s">
        <v>266</v>
      </c>
      <c r="E1995" s="892"/>
      <c r="F1995" s="902" t="s">
        <v>52</v>
      </c>
      <c r="G1995" s="528"/>
      <c r="H1995" s="546" t="s">
        <v>37</v>
      </c>
      <c r="I1995" s="711">
        <v>0</v>
      </c>
      <c r="J1995" s="896" t="str">
        <f t="shared" ref="J1995" si="7974">IFERROR((I1996/I1995),"-")</f>
        <v>-</v>
      </c>
      <c r="K1995" s="528"/>
      <c r="L1995" s="546" t="s">
        <v>37</v>
      </c>
      <c r="M1995" s="711">
        <f t="shared" si="7902"/>
        <v>0</v>
      </c>
      <c r="N1995" s="896" t="str">
        <f t="shared" ref="N1995" si="7975">IFERROR((M1996/M1995),"-")</f>
        <v>-</v>
      </c>
      <c r="O1995" s="528"/>
      <c r="P1995" s="547"/>
      <c r="Q1995" s="547"/>
      <c r="R1995" s="547"/>
      <c r="S1995" s="547"/>
      <c r="T1995" s="547"/>
      <c r="U1995" s="547"/>
      <c r="V1995" s="548"/>
      <c r="W1995" s="528"/>
      <c r="X1995" s="711">
        <f t="shared" si="7904"/>
        <v>0</v>
      </c>
      <c r="Y1995" s="896" t="str">
        <f>IFERROR((X1996/X1995),"-")</f>
        <v>-</v>
      </c>
      <c r="Z1995" s="528"/>
      <c r="AA1995" s="898">
        <v>0</v>
      </c>
      <c r="AB1995" s="898">
        <v>0</v>
      </c>
      <c r="AC1995" s="903">
        <v>0</v>
      </c>
      <c r="AD1995" s="900" t="str">
        <f t="shared" ref="AD1995" si="7976">IFERROR((AC1995/AB1995),"-")</f>
        <v>-</v>
      </c>
      <c r="AE1995" s="2"/>
      <c r="AF1995" s="884"/>
      <c r="AG1995" s="884"/>
      <c r="AH1995" s="884">
        <v>0</v>
      </c>
      <c r="AI1995" s="884"/>
      <c r="AJ1995" s="884"/>
      <c r="AK1995" s="884">
        <f t="shared" si="7962"/>
        <v>0</v>
      </c>
      <c r="AL1995" s="884">
        <v>0</v>
      </c>
      <c r="AM1995" s="878" t="str">
        <f t="shared" ref="AM1995" si="7977">IFERROR((AK1995/AL1995),"-")</f>
        <v>-</v>
      </c>
      <c r="AN1995" s="2"/>
      <c r="AO1995" s="884">
        <v>0</v>
      </c>
      <c r="AP1995" s="884">
        <f t="shared" si="7964"/>
        <v>0</v>
      </c>
      <c r="AV1995" t="str">
        <f t="shared" si="7972"/>
        <v>Drenagem Superficial</v>
      </c>
      <c r="AW1995" s="4" t="str">
        <f t="shared" si="7971"/>
        <v>Acesso  km 112+240</v>
      </c>
    </row>
    <row r="1996" spans="1:49" ht="14.45" hidden="1" customHeight="1" outlineLevel="2">
      <c r="A1996" s="8" t="str">
        <f t="shared" si="7965"/>
        <v>N</v>
      </c>
      <c r="B1996" s="150"/>
      <c r="C1996" s="150"/>
      <c r="D1996" s="120" t="s">
        <v>266</v>
      </c>
      <c r="E1996" s="893"/>
      <c r="F1996" s="902"/>
      <c r="G1996" s="528"/>
      <c r="H1996" s="549" t="s">
        <v>38</v>
      </c>
      <c r="I1996" s="711">
        <v>0</v>
      </c>
      <c r="J1996" s="897"/>
      <c r="K1996" s="528"/>
      <c r="L1996" s="549" t="s">
        <v>38</v>
      </c>
      <c r="M1996" s="711">
        <f t="shared" si="7902"/>
        <v>0</v>
      </c>
      <c r="N1996" s="897"/>
      <c r="O1996" s="528"/>
      <c r="P1996" s="548">
        <v>0</v>
      </c>
      <c r="Q1996" s="548">
        <v>0</v>
      </c>
      <c r="R1996" s="548">
        <v>0</v>
      </c>
      <c r="S1996" s="548">
        <v>0</v>
      </c>
      <c r="T1996" s="548">
        <v>0</v>
      </c>
      <c r="U1996" s="548">
        <v>0</v>
      </c>
      <c r="V1996" s="548"/>
      <c r="W1996" s="528"/>
      <c r="X1996" s="711">
        <f t="shared" si="7904"/>
        <v>0</v>
      </c>
      <c r="Y1996" s="897"/>
      <c r="Z1996" s="528"/>
      <c r="AA1996" s="899"/>
      <c r="AB1996" s="899"/>
      <c r="AC1996" s="904"/>
      <c r="AD1996" s="901"/>
      <c r="AE1996" s="2"/>
      <c r="AF1996" s="885"/>
      <c r="AG1996" s="885"/>
      <c r="AH1996" s="885"/>
      <c r="AI1996" s="885"/>
      <c r="AJ1996" s="885"/>
      <c r="AK1996" s="885"/>
      <c r="AL1996" s="885"/>
      <c r="AM1996" s="879"/>
      <c r="AN1996" s="2"/>
      <c r="AO1996" s="886"/>
      <c r="AP1996" s="886"/>
      <c r="AV1996" t="str">
        <f t="shared" si="7972"/>
        <v>Drenagem Superficial</v>
      </c>
      <c r="AW1996" s="4" t="str">
        <f t="shared" si="7971"/>
        <v>Acesso  km 112+240</v>
      </c>
    </row>
    <row r="1997" spans="1:49" ht="17.45" hidden="1" customHeight="1" outlineLevel="1" collapsed="1">
      <c r="A1997" s="209">
        <v>0</v>
      </c>
      <c r="B1997" s="150"/>
      <c r="C1997" s="150"/>
      <c r="D1997" s="117"/>
      <c r="E1997" s="535"/>
      <c r="F1997" s="536"/>
      <c r="G1997" s="537"/>
      <c r="H1997" s="714"/>
      <c r="I1997" s="555"/>
      <c r="J1997" s="714"/>
      <c r="K1997" s="537"/>
      <c r="L1997" s="714"/>
      <c r="M1997" s="555"/>
      <c r="N1997" s="714"/>
      <c r="O1997" s="537"/>
      <c r="P1997" s="539"/>
      <c r="Q1997" s="539"/>
      <c r="R1997" s="539"/>
      <c r="S1997" s="539"/>
      <c r="T1997" s="539"/>
      <c r="U1997" s="539"/>
      <c r="V1997" s="539"/>
      <c r="W1997" s="537"/>
      <c r="X1997" s="540"/>
      <c r="Y1997" s="537"/>
      <c r="Z1997" s="537"/>
      <c r="AA1997" s="249"/>
      <c r="AB1997" s="249"/>
      <c r="AC1997" s="249"/>
      <c r="AD1997" s="537"/>
      <c r="AE1997" s="3"/>
      <c r="AF1997" s="35"/>
      <c r="AG1997" s="35"/>
      <c r="AH1997" s="35"/>
      <c r="AI1997" s="35"/>
      <c r="AJ1997" s="35"/>
      <c r="AK1997" s="35"/>
      <c r="AL1997" s="35"/>
      <c r="AM1997" s="3"/>
      <c r="AN1997" s="3"/>
      <c r="AO1997" s="35"/>
      <c r="AP1997" s="35"/>
      <c r="AV1997" t="str">
        <f t="shared" si="7972"/>
        <v>Drenagem Superficial</v>
      </c>
      <c r="AW1997" s="4" t="str">
        <f t="shared" si="7971"/>
        <v>Acesso  km 112+240</v>
      </c>
    </row>
    <row r="1998" spans="1:49" ht="15.6" hidden="1" customHeight="1" outlineLevel="1">
      <c r="A1998" s="209">
        <v>0</v>
      </c>
      <c r="B1998" s="150"/>
      <c r="C1998" s="150"/>
      <c r="D1998" s="122"/>
      <c r="E1998" s="913" t="s">
        <v>41</v>
      </c>
      <c r="F1998" s="859" t="s">
        <v>52</v>
      </c>
      <c r="G1998" s="528"/>
      <c r="H1998" s="542" t="s">
        <v>37</v>
      </c>
      <c r="I1998" s="543">
        <f>SUMIF($L2000:$L2081,$L1998,I2000:I2081)</f>
        <v>730</v>
      </c>
      <c r="J1998" s="860">
        <f>IFERROR((I1999/I1998),"-")</f>
        <v>0.64383561643835618</v>
      </c>
      <c r="K1998" s="528"/>
      <c r="L1998" s="542" t="s">
        <v>37</v>
      </c>
      <c r="M1998" s="543">
        <f>SUMIF($L2000:$L2081,$L1998,M2000:M2081)</f>
        <v>70</v>
      </c>
      <c r="N1998" s="860">
        <f>IFERROR((M1999/M1998),"-")</f>
        <v>0.8928571428571429</v>
      </c>
      <c r="O1998" s="528"/>
      <c r="P1998" s="543">
        <f>SUMIF($L2000:$L2081,$L1998,P2000:P2081)</f>
        <v>140</v>
      </c>
      <c r="Q1998" s="543">
        <f t="shared" ref="Q1998:V1998" si="7978">SUMIF($L2000:$L2081,$L1998,Q2000:Q2081)</f>
        <v>70</v>
      </c>
      <c r="R1998" s="543">
        <f t="shared" si="7978"/>
        <v>70</v>
      </c>
      <c r="S1998" s="543">
        <f t="shared" si="7978"/>
        <v>70</v>
      </c>
      <c r="T1998" s="543">
        <f t="shared" si="7978"/>
        <v>0</v>
      </c>
      <c r="U1998" s="543">
        <f t="shared" si="7978"/>
        <v>0</v>
      </c>
      <c r="V1998" s="543">
        <f t="shared" si="7978"/>
        <v>0</v>
      </c>
      <c r="W1998" s="528"/>
      <c r="X1998" s="543">
        <f t="shared" ref="X1998:X2061" si="7979">SUMIFS(P1998:V1998,$P$8:$V$8,"&gt;="&amp;$P$8,$P$8:$V$8,"&lt;="&amp;$N$8)</f>
        <v>210</v>
      </c>
      <c r="Y1998" s="860">
        <f>IFERROR((X1999/X1998),"-")</f>
        <v>0.9642857142857143</v>
      </c>
      <c r="Z1998" s="528"/>
      <c r="AA1998" s="814">
        <f>SUM(AA2000:AA2081)</f>
        <v>3656.3199999999997</v>
      </c>
      <c r="AB1998" s="814">
        <f>SUM(AB2000:AB2081)</f>
        <v>1305.58</v>
      </c>
      <c r="AC1998" s="814">
        <f>SUM(AC2000:AC2081)</f>
        <v>875</v>
      </c>
      <c r="AD1998" s="900">
        <f t="shared" ref="AD1998" si="7980">IFERROR((AC1998/AB1998),"-")</f>
        <v>0.67020021752784209</v>
      </c>
      <c r="AE1998" s="2"/>
      <c r="AF1998" s="888">
        <f>SUM(AF2000:AF2081)</f>
        <v>2115.9560000000001</v>
      </c>
      <c r="AG1998" s="888">
        <f t="shared" ref="AG1998:AJ1998" si="7981">SUM(AG2000:AG2081)</f>
        <v>333.21299999999997</v>
      </c>
      <c r="AH1998" s="888">
        <f t="shared" si="7981"/>
        <v>80</v>
      </c>
      <c r="AI1998" s="888">
        <f t="shared" si="7981"/>
        <v>399.32</v>
      </c>
      <c r="AJ1998" s="888">
        <f t="shared" si="7981"/>
        <v>421.84699999999998</v>
      </c>
      <c r="AK1998" s="814">
        <f>SUM(AK2000:AK2081)</f>
        <v>4225.3359999999993</v>
      </c>
      <c r="AL1998" s="814">
        <f>SUM(AL2000:AL2081)</f>
        <v>12159.619999999999</v>
      </c>
      <c r="AM1998" s="743">
        <f>IFERROR((AK1998/AL1998),"-")</f>
        <v>0.34748914850957513</v>
      </c>
      <c r="AN1998" s="2"/>
      <c r="AO1998" s="814">
        <f>SUM(AO2000:AO2081)</f>
        <v>21808.84</v>
      </c>
      <c r="AP1998" s="814">
        <f>SUM(AP2000:AP2081)</f>
        <v>17583.504000000001</v>
      </c>
      <c r="AV1998" t="str">
        <f t="shared" si="7972"/>
        <v>Drenagem Superficial</v>
      </c>
      <c r="AW1998" s="4" t="str">
        <f t="shared" si="7971"/>
        <v>Pacote 04 - Segmento 2.3 - Km 116+517 a 131+241</v>
      </c>
    </row>
    <row r="1999" spans="1:49" ht="15.6" hidden="1" customHeight="1" outlineLevel="1">
      <c r="A1999" s="209">
        <v>0</v>
      </c>
      <c r="B1999" s="150"/>
      <c r="C1999" s="150"/>
      <c r="D1999" s="123"/>
      <c r="E1999" s="913"/>
      <c r="F1999" s="859"/>
      <c r="G1999" s="528"/>
      <c r="H1999" s="544" t="s">
        <v>38</v>
      </c>
      <c r="I1999" s="543">
        <f>SUMIF($L2000:$L2081,$L1999,I2000:I2081)</f>
        <v>470</v>
      </c>
      <c r="J1999" s="861"/>
      <c r="K1999" s="528"/>
      <c r="L1999" s="544" t="s">
        <v>38</v>
      </c>
      <c r="M1999" s="543">
        <f>SUMIF($L2000:$L2081,$L1999,M2000:M2081)</f>
        <v>62.5</v>
      </c>
      <c r="N1999" s="861"/>
      <c r="O1999" s="528"/>
      <c r="P1999" s="543">
        <f>SUMIF($L2000:$L2081,$L1999,P2000:P2081)</f>
        <v>140</v>
      </c>
      <c r="Q1999" s="543">
        <f t="shared" ref="Q1999:V1999" si="7982">SUMIF($L2000:$L2081,$L1999,Q2000:Q2081)</f>
        <v>62.5</v>
      </c>
      <c r="R1999" s="543">
        <f t="shared" si="7982"/>
        <v>0</v>
      </c>
      <c r="S1999" s="543">
        <f t="shared" si="7982"/>
        <v>0</v>
      </c>
      <c r="T1999" s="543">
        <f t="shared" si="7982"/>
        <v>0</v>
      </c>
      <c r="U1999" s="543">
        <f t="shared" si="7982"/>
        <v>0</v>
      </c>
      <c r="V1999" s="543">
        <f t="shared" si="7982"/>
        <v>0</v>
      </c>
      <c r="W1999" s="528"/>
      <c r="X1999" s="543">
        <f t="shared" si="7979"/>
        <v>202.5</v>
      </c>
      <c r="Y1999" s="861"/>
      <c r="Z1999" s="528"/>
      <c r="AA1999" s="815"/>
      <c r="AB1999" s="815"/>
      <c r="AC1999" s="815"/>
      <c r="AD1999" s="901"/>
      <c r="AE1999" s="2"/>
      <c r="AF1999" s="889"/>
      <c r="AG1999" s="889"/>
      <c r="AH1999" s="889"/>
      <c r="AI1999" s="889"/>
      <c r="AJ1999" s="889"/>
      <c r="AK1999" s="815"/>
      <c r="AL1999" s="815"/>
      <c r="AM1999" s="744"/>
      <c r="AN1999" s="2"/>
      <c r="AO1999" s="815"/>
      <c r="AP1999" s="815"/>
      <c r="AV1999" t="str">
        <f t="shared" si="7972"/>
        <v>Drenagem Superficial</v>
      </c>
      <c r="AW1999" s="4" t="str">
        <f t="shared" si="7971"/>
        <v>Pacote 04 - Segmento 2.3 - Km 116+517 a 131+241</v>
      </c>
    </row>
    <row r="2000" spans="1:49" ht="14.45" hidden="1" customHeight="1" outlineLevel="2">
      <c r="A2000" s="8" t="str">
        <f t="shared" ref="A2000" si="7983">IF(SUM(P2000:V2001)&gt;0,"S","N")</f>
        <v>N</v>
      </c>
      <c r="B2000" s="150">
        <v>1061671</v>
      </c>
      <c r="C2000" s="150" t="s">
        <v>2314</v>
      </c>
      <c r="D2000" s="120" t="s">
        <v>315</v>
      </c>
      <c r="E2000" s="892" t="s">
        <v>2315</v>
      </c>
      <c r="F2000" s="902" t="s">
        <v>52</v>
      </c>
      <c r="G2000" s="528"/>
      <c r="H2000" s="546" t="s">
        <v>37</v>
      </c>
      <c r="I2000" s="711">
        <v>0</v>
      </c>
      <c r="J2000" s="896" t="str">
        <f t="shared" ref="J2000" si="7984">IFERROR((I2001/I2000),"-")</f>
        <v>-</v>
      </c>
      <c r="K2000" s="528"/>
      <c r="L2000" s="546" t="s">
        <v>37</v>
      </c>
      <c r="M2000" s="711">
        <f t="shared" ref="M2000:M2063" si="7985">_xlfn.XLOOKUP($N$8,$P$8:$V$8,$P2000:$V2000)</f>
        <v>0</v>
      </c>
      <c r="N2000" s="896" t="str">
        <f t="shared" ref="N2000" si="7986">IFERROR((M2001/M2000),"-")</f>
        <v>-</v>
      </c>
      <c r="O2000" s="528"/>
      <c r="P2000" s="547">
        <v>0</v>
      </c>
      <c r="Q2000" s="547">
        <v>0</v>
      </c>
      <c r="R2000" s="547">
        <v>0</v>
      </c>
      <c r="S2000" s="547">
        <v>0</v>
      </c>
      <c r="T2000" s="547">
        <v>0</v>
      </c>
      <c r="U2000" s="547">
        <v>0</v>
      </c>
      <c r="V2000" s="548">
        <v>0</v>
      </c>
      <c r="W2000" s="528"/>
      <c r="X2000" s="711">
        <f t="shared" si="7979"/>
        <v>0</v>
      </c>
      <c r="Y2000" s="896" t="str">
        <f t="shared" ref="Y2000" si="7987">IFERROR((X2001/X2000),"-")</f>
        <v>-</v>
      </c>
      <c r="Z2000" s="528"/>
      <c r="AA2000" s="898">
        <v>45.09</v>
      </c>
      <c r="AB2000" s="898">
        <v>15.6</v>
      </c>
      <c r="AC2000" s="903">
        <v>0</v>
      </c>
      <c r="AD2000" s="896">
        <f t="shared" ref="AD2000" si="7988">IFERROR((AC2000/AB2000),"-")</f>
        <v>0</v>
      </c>
      <c r="AE2000" s="2"/>
      <c r="AF2000" s="884"/>
      <c r="AG2000" s="884">
        <v>316.52699999999999</v>
      </c>
      <c r="AH2000" s="884">
        <v>0</v>
      </c>
      <c r="AI2000" s="884">
        <v>82.71</v>
      </c>
      <c r="AJ2000" s="884"/>
      <c r="AK2000" s="884">
        <f t="shared" ref="AK2000" si="7989">AF2000+AG2000+AH2000+AI2000+AJ2000+AC2000</f>
        <v>399.23699999999997</v>
      </c>
      <c r="AL2000" s="884">
        <v>15.6</v>
      </c>
      <c r="AM2000" s="878">
        <f t="shared" ref="AM2000" si="7990">IFERROR((AK2000/AL2000),"-")</f>
        <v>25.592115384615383</v>
      </c>
      <c r="AN2000" s="2"/>
      <c r="AO2000" s="884">
        <v>45.08</v>
      </c>
      <c r="AP2000" s="884">
        <f t="shared" ref="AP2000" si="7991">AO2000-AK2000</f>
        <v>-354.15699999999998</v>
      </c>
      <c r="AV2000" t="str">
        <f t="shared" si="7972"/>
        <v>Drenagem Superficial</v>
      </c>
      <c r="AW2000" s="4" t="str">
        <f t="shared" si="7971"/>
        <v xml:space="preserve">   Seg. 2.3-C01 - Drenagem Superficial - Valetas de proteção de corte (Km 116+680 a 116+940)</v>
      </c>
    </row>
    <row r="2001" spans="1:49" ht="14.45" hidden="1" customHeight="1" outlineLevel="2">
      <c r="A2001" s="8" t="str">
        <f t="shared" ref="A2001" si="7992">A2000</f>
        <v>N</v>
      </c>
      <c r="B2001" s="150"/>
      <c r="C2001" s="150" t="s">
        <v>2314</v>
      </c>
      <c r="D2001" s="120" t="s">
        <v>315</v>
      </c>
      <c r="E2001" s="893"/>
      <c r="F2001" s="902"/>
      <c r="G2001" s="528"/>
      <c r="H2001" s="549" t="s">
        <v>38</v>
      </c>
      <c r="I2001" s="711">
        <v>0</v>
      </c>
      <c r="J2001" s="897"/>
      <c r="K2001" s="528"/>
      <c r="L2001" s="549" t="s">
        <v>38</v>
      </c>
      <c r="M2001" s="711">
        <f t="shared" si="7985"/>
        <v>0</v>
      </c>
      <c r="N2001" s="897"/>
      <c r="O2001" s="528"/>
      <c r="P2001" s="548">
        <v>0</v>
      </c>
      <c r="Q2001" s="548">
        <v>0</v>
      </c>
      <c r="R2001" s="548">
        <v>0</v>
      </c>
      <c r="S2001" s="548">
        <v>0</v>
      </c>
      <c r="T2001" s="548">
        <v>0</v>
      </c>
      <c r="U2001" s="548">
        <v>0</v>
      </c>
      <c r="V2001" s="548"/>
      <c r="W2001" s="528"/>
      <c r="X2001" s="711">
        <f t="shared" si="7979"/>
        <v>0</v>
      </c>
      <c r="Y2001" s="897"/>
      <c r="Z2001" s="528"/>
      <c r="AA2001" s="899"/>
      <c r="AB2001" s="899"/>
      <c r="AC2001" s="904"/>
      <c r="AD2001" s="905"/>
      <c r="AE2001" s="2"/>
      <c r="AF2001" s="885"/>
      <c r="AG2001" s="885"/>
      <c r="AH2001" s="885"/>
      <c r="AI2001" s="885"/>
      <c r="AJ2001" s="885"/>
      <c r="AK2001" s="885"/>
      <c r="AL2001" s="885"/>
      <c r="AM2001" s="879"/>
      <c r="AN2001" s="2"/>
      <c r="AO2001" s="886"/>
      <c r="AP2001" s="886"/>
      <c r="AV2001" t="str">
        <f t="shared" si="7972"/>
        <v>Drenagem Superficial</v>
      </c>
      <c r="AW2001" s="4" t="str">
        <f t="shared" si="7971"/>
        <v xml:space="preserve">   Seg. 2.3-C01 - Drenagem Superficial - Valetas de proteção de corte (Km 116+680 a 116+940)</v>
      </c>
    </row>
    <row r="2002" spans="1:49" ht="15.6" hidden="1" customHeight="1" outlineLevel="2">
      <c r="A2002" s="8" t="str">
        <f t="shared" ref="A2002" si="7993">IF(SUM(P2002:V2003)&gt;0,"S","N")</f>
        <v>N</v>
      </c>
      <c r="B2002" s="150">
        <v>1061677</v>
      </c>
      <c r="C2002" s="150" t="s">
        <v>2316</v>
      </c>
      <c r="D2002" s="120" t="s">
        <v>321</v>
      </c>
      <c r="E2002" s="892" t="s">
        <v>2317</v>
      </c>
      <c r="F2002" s="902" t="s">
        <v>52</v>
      </c>
      <c r="G2002" s="528"/>
      <c r="H2002" s="546" t="s">
        <v>37</v>
      </c>
      <c r="I2002" s="711">
        <v>0</v>
      </c>
      <c r="J2002" s="896" t="str">
        <f t="shared" ref="J2002" si="7994">IFERROR((I2003/I2002),"-")</f>
        <v>-</v>
      </c>
      <c r="K2002" s="528"/>
      <c r="L2002" s="546" t="s">
        <v>37</v>
      </c>
      <c r="M2002" s="711">
        <f t="shared" si="7985"/>
        <v>0</v>
      </c>
      <c r="N2002" s="896" t="str">
        <f t="shared" ref="N2002" si="7995">IFERROR((M2003/M2002),"-")</f>
        <v>-</v>
      </c>
      <c r="O2002" s="528"/>
      <c r="P2002" s="547">
        <v>0</v>
      </c>
      <c r="Q2002" s="547">
        <v>0</v>
      </c>
      <c r="R2002" s="547">
        <v>0</v>
      </c>
      <c r="S2002" s="547">
        <v>0</v>
      </c>
      <c r="T2002" s="547">
        <v>0</v>
      </c>
      <c r="U2002" s="547">
        <v>0</v>
      </c>
      <c r="V2002" s="548">
        <v>0</v>
      </c>
      <c r="W2002" s="528"/>
      <c r="X2002" s="711">
        <f t="shared" si="7979"/>
        <v>0</v>
      </c>
      <c r="Y2002" s="896" t="str">
        <f t="shared" ref="Y2002" si="7996">IFERROR((X2003/X2002),"-")</f>
        <v>-</v>
      </c>
      <c r="Z2002" s="528"/>
      <c r="AA2002" s="898">
        <v>1741.32</v>
      </c>
      <c r="AB2002" s="898">
        <v>0</v>
      </c>
      <c r="AC2002" s="903">
        <v>0</v>
      </c>
      <c r="AD2002" s="896" t="str">
        <f t="shared" ref="AD2002" si="7997">IFERROR((AC2002/AB2002),"-")</f>
        <v>-</v>
      </c>
      <c r="AE2002" s="2"/>
      <c r="AF2002" s="884">
        <v>827.53899999999999</v>
      </c>
      <c r="AG2002" s="884">
        <v>-56.926000000000002</v>
      </c>
      <c r="AH2002" s="884">
        <v>0</v>
      </c>
      <c r="AI2002" s="884"/>
      <c r="AJ2002" s="884"/>
      <c r="AK2002" s="884">
        <f t="shared" ref="AK2002" si="7998">AF2002+AG2002+AH2002+AI2002+AJ2002+AC2002</f>
        <v>770.61299999999994</v>
      </c>
      <c r="AL2002" s="884">
        <v>637.43999999999994</v>
      </c>
      <c r="AM2002" s="878">
        <f t="shared" ref="AM2002" si="7999">IFERROR((AK2002/AL2002),"-")</f>
        <v>1.2089184864457831</v>
      </c>
      <c r="AN2002" s="2"/>
      <c r="AO2002" s="884">
        <v>2378.7600000000002</v>
      </c>
      <c r="AP2002" s="884">
        <f t="shared" ref="AP2002" si="8000">AO2002-AK2002</f>
        <v>1608.1470000000004</v>
      </c>
      <c r="AV2002" t="str">
        <f t="shared" si="7972"/>
        <v>Drenagem Superficial</v>
      </c>
      <c r="AW2002" s="4" t="str">
        <f t="shared" si="7971"/>
        <v xml:space="preserve">   Seg. 2.3-C04 - Drenagem Superficial - Valetas de proteção de aterro (Km 118+580 a 120+020)</v>
      </c>
    </row>
    <row r="2003" spans="1:49" ht="15.6" hidden="1" customHeight="1" outlineLevel="2">
      <c r="A2003" s="8" t="str">
        <f t="shared" ref="A2003" si="8001">A2002</f>
        <v>N</v>
      </c>
      <c r="B2003" s="150"/>
      <c r="C2003" s="150" t="s">
        <v>2316</v>
      </c>
      <c r="D2003" s="120" t="s">
        <v>321</v>
      </c>
      <c r="E2003" s="893"/>
      <c r="F2003" s="902"/>
      <c r="G2003" s="528"/>
      <c r="H2003" s="549" t="s">
        <v>38</v>
      </c>
      <c r="I2003" s="711">
        <v>0</v>
      </c>
      <c r="J2003" s="897"/>
      <c r="K2003" s="528"/>
      <c r="L2003" s="549" t="s">
        <v>38</v>
      </c>
      <c r="M2003" s="711">
        <f t="shared" si="7985"/>
        <v>0</v>
      </c>
      <c r="N2003" s="897"/>
      <c r="O2003" s="528"/>
      <c r="P2003" s="548">
        <v>0</v>
      </c>
      <c r="Q2003" s="548">
        <v>0</v>
      </c>
      <c r="R2003" s="548">
        <v>0</v>
      </c>
      <c r="S2003" s="548">
        <v>0</v>
      </c>
      <c r="T2003" s="548">
        <v>0</v>
      </c>
      <c r="U2003" s="548">
        <v>0</v>
      </c>
      <c r="V2003" s="548"/>
      <c r="W2003" s="528"/>
      <c r="X2003" s="711">
        <f t="shared" si="7979"/>
        <v>0</v>
      </c>
      <c r="Y2003" s="897"/>
      <c r="Z2003" s="528"/>
      <c r="AA2003" s="899"/>
      <c r="AB2003" s="899"/>
      <c r="AC2003" s="904"/>
      <c r="AD2003" s="905"/>
      <c r="AE2003" s="2"/>
      <c r="AF2003" s="885"/>
      <c r="AG2003" s="885"/>
      <c r="AH2003" s="885"/>
      <c r="AI2003" s="885"/>
      <c r="AJ2003" s="885"/>
      <c r="AK2003" s="885"/>
      <c r="AL2003" s="885"/>
      <c r="AM2003" s="879"/>
      <c r="AN2003" s="2"/>
      <c r="AO2003" s="886"/>
      <c r="AP2003" s="886"/>
      <c r="AV2003" t="str">
        <f t="shared" si="7972"/>
        <v>Drenagem Superficial</v>
      </c>
      <c r="AW2003" s="4" t="str">
        <f t="shared" si="7971"/>
        <v xml:space="preserve">   Seg. 2.3-C04 - Drenagem Superficial - Valetas de proteção de aterro (Km 118+580 a 120+020)</v>
      </c>
    </row>
    <row r="2004" spans="1:49" ht="15.6" hidden="1" customHeight="1" outlineLevel="2">
      <c r="A2004" s="8" t="str">
        <f t="shared" ref="A2004" si="8002">IF(SUM(P2004:V2005)&gt;0,"S","N")</f>
        <v>N</v>
      </c>
      <c r="B2004" s="150">
        <v>1061681</v>
      </c>
      <c r="C2004" s="150" t="s">
        <v>2318</v>
      </c>
      <c r="D2004" s="120" t="s">
        <v>324</v>
      </c>
      <c r="E2004" s="892" t="s">
        <v>2319</v>
      </c>
      <c r="F2004" s="902" t="s">
        <v>52</v>
      </c>
      <c r="G2004" s="528"/>
      <c r="H2004" s="546" t="s">
        <v>37</v>
      </c>
      <c r="I2004" s="711">
        <v>0</v>
      </c>
      <c r="J2004" s="896" t="str">
        <f t="shared" ref="J2004" si="8003">IFERROR((I2005/I2004),"-")</f>
        <v>-</v>
      </c>
      <c r="K2004" s="528"/>
      <c r="L2004" s="546" t="s">
        <v>37</v>
      </c>
      <c r="M2004" s="711">
        <f t="shared" si="7985"/>
        <v>0</v>
      </c>
      <c r="N2004" s="896" t="str">
        <f t="shared" ref="N2004" si="8004">IFERROR((M2005/M2004),"-")</f>
        <v>-</v>
      </c>
      <c r="O2004" s="528"/>
      <c r="P2004" s="547">
        <v>0</v>
      </c>
      <c r="Q2004" s="547">
        <v>0</v>
      </c>
      <c r="R2004" s="547">
        <v>0</v>
      </c>
      <c r="S2004" s="547">
        <v>0</v>
      </c>
      <c r="T2004" s="547">
        <v>0</v>
      </c>
      <c r="U2004" s="547">
        <v>0</v>
      </c>
      <c r="V2004" s="548">
        <v>0</v>
      </c>
      <c r="W2004" s="528"/>
      <c r="X2004" s="711">
        <f t="shared" si="7979"/>
        <v>0</v>
      </c>
      <c r="Y2004" s="896" t="str">
        <f t="shared" ref="Y2004" si="8005">IFERROR((X2005/X2004),"-")</f>
        <v>-</v>
      </c>
      <c r="Z2004" s="528"/>
      <c r="AA2004" s="898">
        <v>129.19</v>
      </c>
      <c r="AB2004" s="898">
        <v>0</v>
      </c>
      <c r="AC2004" s="903">
        <v>0</v>
      </c>
      <c r="AD2004" s="896" t="str">
        <f t="shared" ref="AD2004" si="8006">IFERROR((AC2004/AB2004),"-")</f>
        <v>-</v>
      </c>
      <c r="AE2004" s="2"/>
      <c r="AF2004" s="884"/>
      <c r="AG2004" s="884"/>
      <c r="AH2004" s="884">
        <v>0</v>
      </c>
      <c r="AI2004" s="884"/>
      <c r="AJ2004" s="884"/>
      <c r="AK2004" s="884">
        <f t="shared" ref="AK2004" si="8007">AF2004+AG2004+AH2004+AI2004+AJ2004+AC2004</f>
        <v>0</v>
      </c>
      <c r="AL2004" s="884">
        <v>0</v>
      </c>
      <c r="AM2004" s="878" t="str">
        <f t="shared" ref="AM2004" si="8008">IFERROR((AK2004/AL2004),"-")</f>
        <v>-</v>
      </c>
      <c r="AN2004" s="2"/>
      <c r="AO2004" s="884">
        <v>129.19</v>
      </c>
      <c r="AP2004" s="884">
        <f t="shared" ref="AP2004" si="8009">AO2004-AK2004</f>
        <v>129.19</v>
      </c>
      <c r="AV2004" t="str">
        <f t="shared" si="7972"/>
        <v>Drenagem Superficial</v>
      </c>
      <c r="AW2004" s="4" t="str">
        <f t="shared" si="7971"/>
        <v xml:space="preserve">   Seg. 2.3-C05 - Drenagem Superficial - Valetas de proteção de corte (Km 120+240 a 120+900)</v>
      </c>
    </row>
    <row r="2005" spans="1:49" ht="15.6" hidden="1" customHeight="1" outlineLevel="2">
      <c r="A2005" s="8" t="str">
        <f t="shared" ref="A2005" si="8010">A2004</f>
        <v>N</v>
      </c>
      <c r="B2005" s="150"/>
      <c r="C2005" s="150" t="s">
        <v>2318</v>
      </c>
      <c r="D2005" s="120" t="s">
        <v>324</v>
      </c>
      <c r="E2005" s="893"/>
      <c r="F2005" s="902"/>
      <c r="G2005" s="528"/>
      <c r="H2005" s="549" t="s">
        <v>38</v>
      </c>
      <c r="I2005" s="711">
        <v>0</v>
      </c>
      <c r="J2005" s="897"/>
      <c r="K2005" s="528"/>
      <c r="L2005" s="549" t="s">
        <v>38</v>
      </c>
      <c r="M2005" s="711">
        <f t="shared" si="7985"/>
        <v>0</v>
      </c>
      <c r="N2005" s="897"/>
      <c r="O2005" s="528"/>
      <c r="P2005" s="548">
        <v>0</v>
      </c>
      <c r="Q2005" s="548">
        <v>0</v>
      </c>
      <c r="R2005" s="548">
        <v>0</v>
      </c>
      <c r="S2005" s="548">
        <v>0</v>
      </c>
      <c r="T2005" s="548">
        <v>0</v>
      </c>
      <c r="U2005" s="548">
        <v>0</v>
      </c>
      <c r="V2005" s="548"/>
      <c r="W2005" s="528"/>
      <c r="X2005" s="711">
        <f t="shared" si="7979"/>
        <v>0</v>
      </c>
      <c r="Y2005" s="897"/>
      <c r="Z2005" s="528"/>
      <c r="AA2005" s="899"/>
      <c r="AB2005" s="899"/>
      <c r="AC2005" s="904"/>
      <c r="AD2005" s="905"/>
      <c r="AE2005" s="2"/>
      <c r="AF2005" s="885"/>
      <c r="AG2005" s="885"/>
      <c r="AH2005" s="885"/>
      <c r="AI2005" s="885"/>
      <c r="AJ2005" s="885"/>
      <c r="AK2005" s="885"/>
      <c r="AL2005" s="885"/>
      <c r="AM2005" s="879"/>
      <c r="AN2005" s="2"/>
      <c r="AO2005" s="886"/>
      <c r="AP2005" s="886"/>
      <c r="AV2005" t="str">
        <f t="shared" si="7972"/>
        <v>Drenagem Superficial</v>
      </c>
      <c r="AW2005" s="4" t="str">
        <f t="shared" si="7971"/>
        <v xml:space="preserve">   Seg. 2.3-C05 - Drenagem Superficial - Valetas de proteção de corte (Km 120+240 a 120+900)</v>
      </c>
    </row>
    <row r="2006" spans="1:49" ht="15.6" hidden="1" customHeight="1" outlineLevel="2">
      <c r="A2006" s="8" t="str">
        <f t="shared" ref="A2006" si="8011">IF(SUM(P2006:V2007)&gt;0,"S","N")</f>
        <v>N</v>
      </c>
      <c r="B2006" s="150">
        <v>1061685</v>
      </c>
      <c r="C2006" s="150" t="s">
        <v>2320</v>
      </c>
      <c r="D2006" s="120" t="s">
        <v>327</v>
      </c>
      <c r="E2006" s="892" t="s">
        <v>2321</v>
      </c>
      <c r="F2006" s="902" t="s">
        <v>52</v>
      </c>
      <c r="G2006" s="528"/>
      <c r="H2006" s="546" t="s">
        <v>37</v>
      </c>
      <c r="I2006" s="711">
        <v>0</v>
      </c>
      <c r="J2006" s="896" t="str">
        <f t="shared" ref="J2006" si="8012">IFERROR((I2007/I2006),"-")</f>
        <v>-</v>
      </c>
      <c r="K2006" s="528"/>
      <c r="L2006" s="546" t="s">
        <v>37</v>
      </c>
      <c r="M2006" s="711">
        <f t="shared" si="7985"/>
        <v>0</v>
      </c>
      <c r="N2006" s="896" t="str">
        <f t="shared" ref="N2006" si="8013">IFERROR((M2007/M2006),"-")</f>
        <v>-</v>
      </c>
      <c r="O2006" s="528"/>
      <c r="P2006" s="547">
        <v>0</v>
      </c>
      <c r="Q2006" s="547">
        <v>0</v>
      </c>
      <c r="R2006" s="547">
        <v>0</v>
      </c>
      <c r="S2006" s="547">
        <v>0</v>
      </c>
      <c r="T2006" s="547">
        <v>0</v>
      </c>
      <c r="U2006" s="547">
        <v>0</v>
      </c>
      <c r="V2006" s="548">
        <v>0</v>
      </c>
      <c r="W2006" s="528"/>
      <c r="X2006" s="711">
        <f t="shared" si="7979"/>
        <v>0</v>
      </c>
      <c r="Y2006" s="896" t="str">
        <f t="shared" ref="Y2006" si="8014">IFERROR((X2007/X2006),"-")</f>
        <v>-</v>
      </c>
      <c r="Z2006" s="528"/>
      <c r="AA2006" s="898">
        <v>15.27</v>
      </c>
      <c r="AB2006" s="898">
        <v>0</v>
      </c>
      <c r="AC2006" s="903">
        <v>0</v>
      </c>
      <c r="AD2006" s="896" t="str">
        <f t="shared" ref="AD2006" si="8015">IFERROR((AC2006/AB2006),"-")</f>
        <v>-</v>
      </c>
      <c r="AE2006" s="2"/>
      <c r="AF2006" s="884">
        <v>27.393000000000001</v>
      </c>
      <c r="AG2006" s="884"/>
      <c r="AH2006" s="884">
        <v>0</v>
      </c>
      <c r="AI2006" s="884"/>
      <c r="AJ2006" s="884"/>
      <c r="AK2006" s="884">
        <f t="shared" ref="AK2006" si="8016">AF2006+AG2006+AH2006+AI2006+AJ2006+AC2006</f>
        <v>27.393000000000001</v>
      </c>
      <c r="AL2006" s="884">
        <v>11.73</v>
      </c>
      <c r="AM2006" s="878">
        <f>IFERROR((AK2006/AL2006),"-")</f>
        <v>2.335294117647059</v>
      </c>
      <c r="AN2006" s="2"/>
      <c r="AO2006" s="884">
        <v>27</v>
      </c>
      <c r="AP2006" s="884">
        <f t="shared" ref="AP2006" si="8017">AO2006-AK2006</f>
        <v>-0.39300000000000068</v>
      </c>
      <c r="AV2006" t="str">
        <f t="shared" si="7972"/>
        <v>Drenagem Superficial</v>
      </c>
      <c r="AW2006" s="4" t="str">
        <f t="shared" si="7971"/>
        <v xml:space="preserve">   Seg. 2.3-C06-B01 - Drenagem Superficial - Valetas de proteção de corte (Km 121+560 a 121+660)</v>
      </c>
    </row>
    <row r="2007" spans="1:49" ht="15.6" hidden="1" customHeight="1" outlineLevel="2">
      <c r="A2007" s="8" t="str">
        <f t="shared" ref="A2007" si="8018">A2006</f>
        <v>N</v>
      </c>
      <c r="B2007" s="150"/>
      <c r="C2007" s="150" t="s">
        <v>2320</v>
      </c>
      <c r="D2007" s="120" t="s">
        <v>327</v>
      </c>
      <c r="E2007" s="893"/>
      <c r="F2007" s="902"/>
      <c r="G2007" s="528"/>
      <c r="H2007" s="549" t="s">
        <v>38</v>
      </c>
      <c r="I2007" s="711">
        <v>0</v>
      </c>
      <c r="J2007" s="897"/>
      <c r="K2007" s="528"/>
      <c r="L2007" s="549" t="s">
        <v>38</v>
      </c>
      <c r="M2007" s="711">
        <f t="shared" si="7985"/>
        <v>0</v>
      </c>
      <c r="N2007" s="897"/>
      <c r="O2007" s="528"/>
      <c r="P2007" s="548">
        <v>0</v>
      </c>
      <c r="Q2007" s="548">
        <v>0</v>
      </c>
      <c r="R2007" s="548">
        <v>0</v>
      </c>
      <c r="S2007" s="548">
        <v>0</v>
      </c>
      <c r="T2007" s="548">
        <v>0</v>
      </c>
      <c r="U2007" s="548">
        <v>0</v>
      </c>
      <c r="V2007" s="548"/>
      <c r="W2007" s="528"/>
      <c r="X2007" s="711">
        <f t="shared" si="7979"/>
        <v>0</v>
      </c>
      <c r="Y2007" s="897"/>
      <c r="Z2007" s="528"/>
      <c r="AA2007" s="899"/>
      <c r="AB2007" s="899"/>
      <c r="AC2007" s="904"/>
      <c r="AD2007" s="905"/>
      <c r="AE2007" s="2"/>
      <c r="AF2007" s="885"/>
      <c r="AG2007" s="885"/>
      <c r="AH2007" s="885"/>
      <c r="AI2007" s="885"/>
      <c r="AJ2007" s="885"/>
      <c r="AK2007" s="885"/>
      <c r="AL2007" s="885"/>
      <c r="AM2007" s="879"/>
      <c r="AN2007" s="2"/>
      <c r="AO2007" s="886"/>
      <c r="AP2007" s="886"/>
      <c r="AV2007" t="str">
        <f t="shared" si="7972"/>
        <v>Drenagem Superficial</v>
      </c>
      <c r="AW2007" s="4" t="str">
        <f t="shared" si="7971"/>
        <v xml:space="preserve">   Seg. 2.3-C06-B01 - Drenagem Superficial - Valetas de proteção de corte (Km 121+560 a 121+660)</v>
      </c>
    </row>
    <row r="2008" spans="1:49" ht="15.6" hidden="1" customHeight="1" outlineLevel="2">
      <c r="A2008" s="8" t="str">
        <f t="shared" ref="A2008" si="8019">IF(SUM(P2008:V2009)&gt;0,"S","N")</f>
        <v>N</v>
      </c>
      <c r="B2008" s="150">
        <v>1061687</v>
      </c>
      <c r="C2008" s="150" t="s">
        <v>2322</v>
      </c>
      <c r="D2008" s="120" t="s">
        <v>330</v>
      </c>
      <c r="E2008" s="892" t="s">
        <v>2323</v>
      </c>
      <c r="F2008" s="902" t="s">
        <v>52</v>
      </c>
      <c r="G2008" s="528"/>
      <c r="H2008" s="546" t="s">
        <v>37</v>
      </c>
      <c r="I2008" s="711">
        <v>0</v>
      </c>
      <c r="J2008" s="896" t="str">
        <f t="shared" ref="J2008" si="8020">IFERROR((I2009/I2008),"-")</f>
        <v>-</v>
      </c>
      <c r="K2008" s="528"/>
      <c r="L2008" s="546" t="s">
        <v>37</v>
      </c>
      <c r="M2008" s="711">
        <f t="shared" si="7985"/>
        <v>0</v>
      </c>
      <c r="N2008" s="896" t="str">
        <f t="shared" ref="N2008" si="8021">IFERROR((M2009/M2008),"-")</f>
        <v>-</v>
      </c>
      <c r="O2008" s="528"/>
      <c r="P2008" s="547">
        <v>0</v>
      </c>
      <c r="Q2008" s="547">
        <v>0</v>
      </c>
      <c r="R2008" s="547">
        <v>0</v>
      </c>
      <c r="S2008" s="547">
        <v>0</v>
      </c>
      <c r="T2008" s="547">
        <v>0</v>
      </c>
      <c r="U2008" s="547">
        <v>0</v>
      </c>
      <c r="V2008" s="548">
        <v>0</v>
      </c>
      <c r="W2008" s="528"/>
      <c r="X2008" s="711">
        <f t="shared" si="7979"/>
        <v>0</v>
      </c>
      <c r="Y2008" s="896" t="str">
        <f t="shared" ref="Y2008" si="8022">IFERROR((X2009/X2008),"-")</f>
        <v>-</v>
      </c>
      <c r="Z2008" s="528"/>
      <c r="AA2008" s="898">
        <v>0</v>
      </c>
      <c r="AB2008" s="898">
        <v>0</v>
      </c>
      <c r="AC2008" s="903">
        <v>0</v>
      </c>
      <c r="AD2008" s="896" t="str">
        <f t="shared" ref="AD2008" si="8023">IFERROR((AC2008/AB2008),"-")</f>
        <v>-</v>
      </c>
      <c r="AE2008" s="2"/>
      <c r="AF2008" s="884">
        <v>160.41300000000001</v>
      </c>
      <c r="AG2008" s="884"/>
      <c r="AH2008" s="884">
        <v>0</v>
      </c>
      <c r="AI2008" s="884"/>
      <c r="AJ2008" s="884"/>
      <c r="AK2008" s="884">
        <f t="shared" ref="AK2008" si="8024">AF2008+AG2008+AH2008+AI2008+AJ2008+AC2008</f>
        <v>160.41300000000001</v>
      </c>
      <c r="AL2008" s="884">
        <v>160.45999999999998</v>
      </c>
      <c r="AM2008" s="878">
        <f t="shared" ref="AM2008" si="8025">IFERROR((AK2008/AL2008),"-")</f>
        <v>0.99970709211018338</v>
      </c>
      <c r="AN2008" s="2"/>
      <c r="AO2008" s="884">
        <v>181.78</v>
      </c>
      <c r="AP2008" s="884">
        <f t="shared" ref="AP2008" si="8026">AO2008-AK2008</f>
        <v>21.36699999999999</v>
      </c>
      <c r="AV2008" t="str">
        <f t="shared" si="7972"/>
        <v>Drenagem Superficial</v>
      </c>
      <c r="AW2008" s="4" t="str">
        <f t="shared" si="7971"/>
        <v xml:space="preserve">   Seg. 2.3-C07 - Drenagem Superficial - Valetas de proteção de corte (Km 121+700 a 122+200)</v>
      </c>
    </row>
    <row r="2009" spans="1:49" ht="15.6" hidden="1" customHeight="1" outlineLevel="2">
      <c r="A2009" s="8" t="str">
        <f t="shared" ref="A2009" si="8027">A2008</f>
        <v>N</v>
      </c>
      <c r="B2009" s="150"/>
      <c r="C2009" s="150" t="s">
        <v>2322</v>
      </c>
      <c r="D2009" s="120" t="s">
        <v>330</v>
      </c>
      <c r="E2009" s="893"/>
      <c r="F2009" s="902"/>
      <c r="G2009" s="528"/>
      <c r="H2009" s="549" t="s">
        <v>38</v>
      </c>
      <c r="I2009" s="711">
        <v>0</v>
      </c>
      <c r="J2009" s="897"/>
      <c r="K2009" s="528"/>
      <c r="L2009" s="549" t="s">
        <v>38</v>
      </c>
      <c r="M2009" s="711">
        <f t="shared" si="7985"/>
        <v>0</v>
      </c>
      <c r="N2009" s="897"/>
      <c r="O2009" s="528"/>
      <c r="P2009" s="548">
        <v>0</v>
      </c>
      <c r="Q2009" s="548">
        <v>0</v>
      </c>
      <c r="R2009" s="548">
        <v>0</v>
      </c>
      <c r="S2009" s="548">
        <v>0</v>
      </c>
      <c r="T2009" s="548">
        <v>0</v>
      </c>
      <c r="U2009" s="548">
        <v>0</v>
      </c>
      <c r="V2009" s="548"/>
      <c r="W2009" s="528"/>
      <c r="X2009" s="711">
        <f t="shared" si="7979"/>
        <v>0</v>
      </c>
      <c r="Y2009" s="897"/>
      <c r="Z2009" s="528"/>
      <c r="AA2009" s="899"/>
      <c r="AB2009" s="899"/>
      <c r="AC2009" s="904"/>
      <c r="AD2009" s="905"/>
      <c r="AE2009" s="2"/>
      <c r="AF2009" s="885"/>
      <c r="AG2009" s="885"/>
      <c r="AH2009" s="885"/>
      <c r="AI2009" s="885"/>
      <c r="AJ2009" s="885"/>
      <c r="AK2009" s="885"/>
      <c r="AL2009" s="885"/>
      <c r="AM2009" s="879"/>
      <c r="AN2009" s="2"/>
      <c r="AO2009" s="886"/>
      <c r="AP2009" s="886"/>
      <c r="AV2009" t="str">
        <f t="shared" si="7972"/>
        <v>Drenagem Superficial</v>
      </c>
      <c r="AW2009" s="4" t="str">
        <f t="shared" si="7971"/>
        <v xml:space="preserve">   Seg. 2.3-C07 - Drenagem Superficial - Valetas de proteção de corte (Km 121+700 a 122+200)</v>
      </c>
    </row>
    <row r="2010" spans="1:49" ht="15.6" hidden="1" customHeight="1" outlineLevel="2">
      <c r="A2010" s="209" t="str">
        <f t="shared" ref="A2010" si="8028">IF(SUM(P2010:V2011)&gt;0,"S","N")</f>
        <v>S</v>
      </c>
      <c r="B2010" s="150">
        <v>1061691</v>
      </c>
      <c r="C2010" s="150" t="s">
        <v>2324</v>
      </c>
      <c r="D2010" s="147" t="s">
        <v>298</v>
      </c>
      <c r="E2010" s="892" t="s">
        <v>2325</v>
      </c>
      <c r="F2010" s="902" t="s">
        <v>52</v>
      </c>
      <c r="G2010" s="528"/>
      <c r="H2010" s="546" t="s">
        <v>37</v>
      </c>
      <c r="I2010" s="711">
        <v>330</v>
      </c>
      <c r="J2010" s="896">
        <f t="shared" ref="J2010" si="8029">IFERROR((I2011/I2010),"-")</f>
        <v>0.86363636363636365</v>
      </c>
      <c r="K2010" s="528"/>
      <c r="L2010" s="546" t="s">
        <v>37</v>
      </c>
      <c r="M2010" s="711">
        <f t="shared" si="7985"/>
        <v>70</v>
      </c>
      <c r="N2010" s="896">
        <f t="shared" ref="N2010" si="8030">IFERROR((M2011/M2010),"-")</f>
        <v>0.8928571428571429</v>
      </c>
      <c r="O2010" s="528"/>
      <c r="P2010" s="547">
        <v>70</v>
      </c>
      <c r="Q2010" s="547">
        <v>70</v>
      </c>
      <c r="R2010" s="547">
        <v>70</v>
      </c>
      <c r="S2010" s="547">
        <v>70</v>
      </c>
      <c r="T2010" s="547">
        <v>0</v>
      </c>
      <c r="U2010" s="547">
        <v>0</v>
      </c>
      <c r="V2010" s="548">
        <v>0</v>
      </c>
      <c r="W2010" s="528"/>
      <c r="X2010" s="711">
        <f t="shared" si="7979"/>
        <v>140</v>
      </c>
      <c r="Y2010" s="896">
        <f t="shared" ref="Y2010" si="8031">IFERROR((X2011/X2010),"-")</f>
        <v>1.0178571428571428</v>
      </c>
      <c r="Z2010" s="528"/>
      <c r="AA2010" s="898">
        <v>255</v>
      </c>
      <c r="AB2010" s="898">
        <v>255</v>
      </c>
      <c r="AC2010" s="903">
        <v>457.5</v>
      </c>
      <c r="AD2010" s="896">
        <f t="shared" ref="AD2010" si="8032">IFERROR((AC2010/AB2010),"-")</f>
        <v>1.7941176470588236</v>
      </c>
      <c r="AE2010" s="2"/>
      <c r="AF2010" s="884">
        <v>1448.568</v>
      </c>
      <c r="AG2010" s="884"/>
      <c r="AH2010" s="884">
        <v>0</v>
      </c>
      <c r="AI2010" s="884"/>
      <c r="AJ2010" s="884">
        <v>349.78899999999999</v>
      </c>
      <c r="AK2010" s="884">
        <f t="shared" ref="AK2010" si="8033">AF2010+AG2010+AH2010+AI2010+AJ2010+AC2010</f>
        <v>2255.857</v>
      </c>
      <c r="AL2010" s="884">
        <v>1998.5400000000002</v>
      </c>
      <c r="AM2010" s="878">
        <f t="shared" ref="AM2010" si="8034">IFERROR((AK2010/AL2010),"-")</f>
        <v>1.1287524893172014</v>
      </c>
      <c r="AN2010" s="884">
        <v>2199.6</v>
      </c>
      <c r="AO2010" s="884">
        <v>2199.6</v>
      </c>
      <c r="AP2010" s="884">
        <f t="shared" ref="AP2010" si="8035">AO2010-AK2010</f>
        <v>-56.257000000000062</v>
      </c>
      <c r="AV2010" t="str">
        <f t="shared" si="7972"/>
        <v>Drenagem Superficial</v>
      </c>
      <c r="AW2010" s="4" t="str">
        <f t="shared" si="7971"/>
        <v xml:space="preserve">   Seg. 2.3-C08 - Drenagem Superficial - Valetas de proteção de corte</v>
      </c>
    </row>
    <row r="2011" spans="1:49" ht="15.6" hidden="1" customHeight="1" outlineLevel="2">
      <c r="A2011" s="209" t="str">
        <f t="shared" ref="A2011" si="8036">A2010</f>
        <v>S</v>
      </c>
      <c r="B2011" s="150"/>
      <c r="C2011" s="150" t="s">
        <v>2324</v>
      </c>
      <c r="D2011" s="147" t="s">
        <v>298</v>
      </c>
      <c r="E2011" s="893"/>
      <c r="F2011" s="902"/>
      <c r="G2011" s="528"/>
      <c r="H2011" s="549" t="s">
        <v>38</v>
      </c>
      <c r="I2011" s="711">
        <v>285</v>
      </c>
      <c r="J2011" s="897"/>
      <c r="K2011" s="528"/>
      <c r="L2011" s="549" t="s">
        <v>38</v>
      </c>
      <c r="M2011" s="711">
        <f t="shared" si="7985"/>
        <v>62.5</v>
      </c>
      <c r="N2011" s="897"/>
      <c r="O2011" s="528"/>
      <c r="P2011" s="548">
        <v>80</v>
      </c>
      <c r="Q2011" s="548">
        <v>62.5</v>
      </c>
      <c r="R2011" s="548">
        <v>0</v>
      </c>
      <c r="S2011" s="548">
        <v>0</v>
      </c>
      <c r="T2011" s="548">
        <v>0</v>
      </c>
      <c r="U2011" s="548">
        <v>0</v>
      </c>
      <c r="V2011" s="548"/>
      <c r="W2011" s="528"/>
      <c r="X2011" s="711">
        <f t="shared" si="7979"/>
        <v>142.5</v>
      </c>
      <c r="Y2011" s="897"/>
      <c r="Z2011" s="528"/>
      <c r="AA2011" s="899"/>
      <c r="AB2011" s="899"/>
      <c r="AC2011" s="904"/>
      <c r="AD2011" s="905"/>
      <c r="AE2011" s="2"/>
      <c r="AF2011" s="885"/>
      <c r="AG2011" s="885"/>
      <c r="AH2011" s="885"/>
      <c r="AI2011" s="885"/>
      <c r="AJ2011" s="885"/>
      <c r="AK2011" s="885"/>
      <c r="AL2011" s="885"/>
      <c r="AM2011" s="879"/>
      <c r="AN2011" s="885"/>
      <c r="AO2011" s="885"/>
      <c r="AP2011" s="886"/>
      <c r="AV2011" t="str">
        <f t="shared" si="7972"/>
        <v>Drenagem Superficial</v>
      </c>
      <c r="AW2011" s="4" t="str">
        <f t="shared" si="7971"/>
        <v xml:space="preserve">   Seg. 2.3-C08 - Drenagem Superficial - Valetas de proteção de corte</v>
      </c>
    </row>
    <row r="2012" spans="1:49" ht="15.6" hidden="1" customHeight="1" outlineLevel="2">
      <c r="A2012" s="8" t="str">
        <f t="shared" ref="A2012" si="8037">IF(SUM(P2012:V2013)&gt;0,"S","N")</f>
        <v>N</v>
      </c>
      <c r="B2012" s="150">
        <v>1061711</v>
      </c>
      <c r="C2012" s="150" t="s">
        <v>2326</v>
      </c>
      <c r="D2012" s="120" t="s">
        <v>347</v>
      </c>
      <c r="E2012" s="892" t="s">
        <v>2327</v>
      </c>
      <c r="F2012" s="902" t="s">
        <v>52</v>
      </c>
      <c r="G2012" s="528"/>
      <c r="H2012" s="546" t="s">
        <v>37</v>
      </c>
      <c r="I2012" s="711">
        <v>0</v>
      </c>
      <c r="J2012" s="896" t="str">
        <f t="shared" ref="J2012" si="8038">IFERROR((I2013/I2012),"-")</f>
        <v>-</v>
      </c>
      <c r="K2012" s="528"/>
      <c r="L2012" s="546" t="s">
        <v>37</v>
      </c>
      <c r="M2012" s="711">
        <f t="shared" si="7985"/>
        <v>0</v>
      </c>
      <c r="N2012" s="896" t="str">
        <f t="shared" ref="N2012" si="8039">IFERROR((M2013/M2012),"-")</f>
        <v>-</v>
      </c>
      <c r="O2012" s="528"/>
      <c r="P2012" s="547">
        <v>0</v>
      </c>
      <c r="Q2012" s="547">
        <v>0</v>
      </c>
      <c r="R2012" s="547">
        <v>0</v>
      </c>
      <c r="S2012" s="547">
        <v>0</v>
      </c>
      <c r="T2012" s="547">
        <v>0</v>
      </c>
      <c r="U2012" s="547">
        <v>0</v>
      </c>
      <c r="V2012" s="548">
        <v>0</v>
      </c>
      <c r="W2012" s="528"/>
      <c r="X2012" s="711">
        <f t="shared" si="7979"/>
        <v>0</v>
      </c>
      <c r="Y2012" s="896" t="str">
        <f t="shared" ref="Y2012" si="8040">IFERROR((X2013/X2012),"-")</f>
        <v>-</v>
      </c>
      <c r="Z2012" s="528"/>
      <c r="AA2012" s="898">
        <v>0</v>
      </c>
      <c r="AB2012" s="898">
        <v>0</v>
      </c>
      <c r="AC2012" s="903">
        <v>0</v>
      </c>
      <c r="AD2012" s="896" t="str">
        <f t="shared" ref="AD2012" si="8041">IFERROR((AC2012/AB2012),"-")</f>
        <v>-</v>
      </c>
      <c r="AE2012" s="2"/>
      <c r="AF2012" s="884"/>
      <c r="AG2012" s="884"/>
      <c r="AH2012" s="884">
        <v>0</v>
      </c>
      <c r="AI2012" s="884"/>
      <c r="AJ2012" s="884"/>
      <c r="AK2012" s="884">
        <f t="shared" ref="AK2012" si="8042">AF2012+AG2012+AH2012+AI2012+AJ2012+AC2012</f>
        <v>0</v>
      </c>
      <c r="AL2012" s="884">
        <v>0</v>
      </c>
      <c r="AM2012" s="878" t="str">
        <f t="shared" ref="AM2012" si="8043">IFERROR((AK2012/AL2012),"-")</f>
        <v>-</v>
      </c>
      <c r="AN2012" s="2"/>
      <c r="AO2012" s="884">
        <v>111</v>
      </c>
      <c r="AP2012" s="884">
        <f t="shared" ref="AP2012" si="8044">AO2012-AK2012</f>
        <v>111</v>
      </c>
      <c r="AV2012" t="str">
        <f t="shared" si="7972"/>
        <v>Drenagem Superficial</v>
      </c>
      <c r="AW2012" s="4" t="str">
        <f t="shared" si="7971"/>
        <v xml:space="preserve">   Seg. 2.3-C09 - Drenagem Superficial - Valetas de proteção de corte (Km 124+700 a 124+760)</v>
      </c>
    </row>
    <row r="2013" spans="1:49" ht="15.6" hidden="1" customHeight="1" outlineLevel="2">
      <c r="A2013" s="8" t="str">
        <f t="shared" ref="A2013" si="8045">A2012</f>
        <v>N</v>
      </c>
      <c r="B2013" s="150"/>
      <c r="C2013" s="150" t="s">
        <v>2326</v>
      </c>
      <c r="D2013" s="120" t="s">
        <v>347</v>
      </c>
      <c r="E2013" s="893"/>
      <c r="F2013" s="902"/>
      <c r="G2013" s="528"/>
      <c r="H2013" s="549" t="s">
        <v>38</v>
      </c>
      <c r="I2013" s="711">
        <v>0</v>
      </c>
      <c r="J2013" s="897"/>
      <c r="K2013" s="528"/>
      <c r="L2013" s="549" t="s">
        <v>38</v>
      </c>
      <c r="M2013" s="711">
        <f t="shared" si="7985"/>
        <v>0</v>
      </c>
      <c r="N2013" s="897"/>
      <c r="O2013" s="528"/>
      <c r="P2013" s="548">
        <v>0</v>
      </c>
      <c r="Q2013" s="548">
        <v>0</v>
      </c>
      <c r="R2013" s="548">
        <v>0</v>
      </c>
      <c r="S2013" s="548">
        <v>0</v>
      </c>
      <c r="T2013" s="548">
        <v>0</v>
      </c>
      <c r="U2013" s="548">
        <v>0</v>
      </c>
      <c r="V2013" s="548"/>
      <c r="W2013" s="528"/>
      <c r="X2013" s="711">
        <f t="shared" si="7979"/>
        <v>0</v>
      </c>
      <c r="Y2013" s="897"/>
      <c r="Z2013" s="528"/>
      <c r="AA2013" s="899"/>
      <c r="AB2013" s="899"/>
      <c r="AC2013" s="904"/>
      <c r="AD2013" s="905"/>
      <c r="AE2013" s="2"/>
      <c r="AF2013" s="885"/>
      <c r="AG2013" s="885"/>
      <c r="AH2013" s="885"/>
      <c r="AI2013" s="885"/>
      <c r="AJ2013" s="885"/>
      <c r="AK2013" s="885"/>
      <c r="AL2013" s="885"/>
      <c r="AM2013" s="879"/>
      <c r="AN2013" s="2"/>
      <c r="AO2013" s="886"/>
      <c r="AP2013" s="886"/>
      <c r="AV2013" t="str">
        <f t="shared" si="7972"/>
        <v>Drenagem Superficial</v>
      </c>
      <c r="AW2013" s="4" t="str">
        <f t="shared" si="7971"/>
        <v xml:space="preserve">   Seg. 2.3-C09 - Drenagem Superficial - Valetas de proteção de corte (Km 124+700 a 124+760)</v>
      </c>
    </row>
    <row r="2014" spans="1:49" ht="15.6" hidden="1" customHeight="1" outlineLevel="2">
      <c r="A2014" s="8" t="str">
        <f t="shared" ref="A2014" si="8046">IF(SUM(P2014:V2015)&gt;0,"S","N")</f>
        <v>N</v>
      </c>
      <c r="B2014" s="150">
        <v>1061713</v>
      </c>
      <c r="C2014" s="150" t="s">
        <v>2328</v>
      </c>
      <c r="D2014" s="120" t="s">
        <v>333</v>
      </c>
      <c r="E2014" s="892" t="s">
        <v>2329</v>
      </c>
      <c r="F2014" s="902" t="s">
        <v>52</v>
      </c>
      <c r="G2014" s="528"/>
      <c r="H2014" s="546" t="s">
        <v>37</v>
      </c>
      <c r="I2014" s="711">
        <v>0</v>
      </c>
      <c r="J2014" s="896" t="str">
        <f t="shared" ref="J2014" si="8047">IFERROR((I2015/I2014),"-")</f>
        <v>-</v>
      </c>
      <c r="K2014" s="528"/>
      <c r="L2014" s="546" t="s">
        <v>37</v>
      </c>
      <c r="M2014" s="711">
        <f t="shared" si="7985"/>
        <v>0</v>
      </c>
      <c r="N2014" s="896" t="str">
        <f t="shared" ref="N2014" si="8048">IFERROR((M2015/M2014),"-")</f>
        <v>-</v>
      </c>
      <c r="O2014" s="528"/>
      <c r="P2014" s="547">
        <v>0</v>
      </c>
      <c r="Q2014" s="547">
        <v>0</v>
      </c>
      <c r="R2014" s="547">
        <v>0</v>
      </c>
      <c r="S2014" s="547">
        <v>0</v>
      </c>
      <c r="T2014" s="547">
        <v>0</v>
      </c>
      <c r="U2014" s="547">
        <v>0</v>
      </c>
      <c r="V2014" s="548">
        <v>0</v>
      </c>
      <c r="W2014" s="528"/>
      <c r="X2014" s="711">
        <f t="shared" si="7979"/>
        <v>0</v>
      </c>
      <c r="Y2014" s="896" t="str">
        <f t="shared" ref="Y2014" si="8049">IFERROR((X2015/X2014),"-")</f>
        <v>-</v>
      </c>
      <c r="Z2014" s="528"/>
      <c r="AA2014" s="898">
        <v>0</v>
      </c>
      <c r="AB2014" s="898">
        <v>0</v>
      </c>
      <c r="AC2014" s="903">
        <v>0</v>
      </c>
      <c r="AD2014" s="896" t="str">
        <f t="shared" ref="AD2014" si="8050">IFERROR((AC2014/AB2014),"-")</f>
        <v>-</v>
      </c>
      <c r="AE2014" s="2"/>
      <c r="AF2014" s="884"/>
      <c r="AG2014" s="884"/>
      <c r="AH2014" s="884">
        <v>0</v>
      </c>
      <c r="AI2014" s="884"/>
      <c r="AJ2014" s="884"/>
      <c r="AK2014" s="884">
        <f t="shared" ref="AK2014" si="8051">AF2014+AG2014+AH2014+AI2014+AJ2014+AC2014</f>
        <v>0</v>
      </c>
      <c r="AL2014" s="884">
        <v>0</v>
      </c>
      <c r="AM2014" s="878" t="str">
        <f t="shared" ref="AM2014" si="8052">IFERROR((AK2014/AL2014),"-")</f>
        <v>-</v>
      </c>
      <c r="AN2014" s="2"/>
      <c r="AO2014" s="884">
        <v>254</v>
      </c>
      <c r="AP2014" s="884">
        <f t="shared" ref="AP2014" si="8053">AO2014-AK2014</f>
        <v>254</v>
      </c>
      <c r="AV2014" t="str">
        <f t="shared" si="7972"/>
        <v>Drenagem Superficial</v>
      </c>
      <c r="AW2014" s="4" t="str">
        <f t="shared" si="7971"/>
        <v xml:space="preserve">   Seg. 2.3-C10 - Drenagem Superficial - Valetas de proteção de corte (Km 125+160 a 125+640)</v>
      </c>
    </row>
    <row r="2015" spans="1:49" ht="15.6" hidden="1" customHeight="1" outlineLevel="2">
      <c r="A2015" s="8" t="str">
        <f t="shared" ref="A2015" si="8054">A2014</f>
        <v>N</v>
      </c>
      <c r="B2015" s="150"/>
      <c r="C2015" s="150" t="s">
        <v>2328</v>
      </c>
      <c r="D2015" s="120" t="s">
        <v>333</v>
      </c>
      <c r="E2015" s="893"/>
      <c r="F2015" s="902"/>
      <c r="G2015" s="528"/>
      <c r="H2015" s="549" t="s">
        <v>38</v>
      </c>
      <c r="I2015" s="711">
        <v>0</v>
      </c>
      <c r="J2015" s="897"/>
      <c r="K2015" s="528"/>
      <c r="L2015" s="549" t="s">
        <v>38</v>
      </c>
      <c r="M2015" s="711">
        <f t="shared" si="7985"/>
        <v>0</v>
      </c>
      <c r="N2015" s="897"/>
      <c r="O2015" s="528"/>
      <c r="P2015" s="548">
        <v>0</v>
      </c>
      <c r="Q2015" s="548">
        <v>0</v>
      </c>
      <c r="R2015" s="548">
        <v>0</v>
      </c>
      <c r="S2015" s="548">
        <v>0</v>
      </c>
      <c r="T2015" s="548">
        <v>0</v>
      </c>
      <c r="U2015" s="548">
        <v>0</v>
      </c>
      <c r="V2015" s="548"/>
      <c r="W2015" s="528"/>
      <c r="X2015" s="711">
        <f t="shared" si="7979"/>
        <v>0</v>
      </c>
      <c r="Y2015" s="897"/>
      <c r="Z2015" s="528"/>
      <c r="AA2015" s="899"/>
      <c r="AB2015" s="899"/>
      <c r="AC2015" s="904"/>
      <c r="AD2015" s="905"/>
      <c r="AE2015" s="2"/>
      <c r="AF2015" s="885"/>
      <c r="AG2015" s="885"/>
      <c r="AH2015" s="885"/>
      <c r="AI2015" s="885"/>
      <c r="AJ2015" s="885"/>
      <c r="AK2015" s="885"/>
      <c r="AL2015" s="885"/>
      <c r="AM2015" s="879"/>
      <c r="AN2015" s="2"/>
      <c r="AO2015" s="886"/>
      <c r="AP2015" s="886"/>
      <c r="AV2015" t="str">
        <f t="shared" si="7972"/>
        <v>Drenagem Superficial</v>
      </c>
      <c r="AW2015" s="4" t="str">
        <f t="shared" si="7971"/>
        <v xml:space="preserve">   Seg. 2.3-C10 - Drenagem Superficial - Valetas de proteção de corte (Km 125+160 a 125+640)</v>
      </c>
    </row>
    <row r="2016" spans="1:49" ht="15.6" hidden="1" customHeight="1" outlineLevel="2">
      <c r="A2016" s="8" t="str">
        <f t="shared" ref="A2016" si="8055">IF(SUM(P2016:V2017)&gt;0,"S","N")</f>
        <v>N</v>
      </c>
      <c r="B2016" s="150">
        <v>1061718</v>
      </c>
      <c r="C2016" s="150" t="s">
        <v>2330</v>
      </c>
      <c r="D2016" s="120" t="s">
        <v>357</v>
      </c>
      <c r="E2016" s="892" t="s">
        <v>2331</v>
      </c>
      <c r="F2016" s="902" t="s">
        <v>52</v>
      </c>
      <c r="G2016" s="528"/>
      <c r="H2016" s="546" t="s">
        <v>37</v>
      </c>
      <c r="I2016" s="711">
        <v>0</v>
      </c>
      <c r="J2016" s="896" t="str">
        <f t="shared" ref="J2016" si="8056">IFERROR((I2017/I2016),"-")</f>
        <v>-</v>
      </c>
      <c r="K2016" s="528"/>
      <c r="L2016" s="546" t="s">
        <v>37</v>
      </c>
      <c r="M2016" s="711">
        <f t="shared" si="7985"/>
        <v>0</v>
      </c>
      <c r="N2016" s="896" t="str">
        <f t="shared" ref="N2016" si="8057">IFERROR((M2017/M2016),"-")</f>
        <v>-</v>
      </c>
      <c r="O2016" s="528"/>
      <c r="P2016" s="547">
        <v>0</v>
      </c>
      <c r="Q2016" s="547">
        <v>0</v>
      </c>
      <c r="R2016" s="547">
        <v>0</v>
      </c>
      <c r="S2016" s="547">
        <v>0</v>
      </c>
      <c r="T2016" s="547">
        <v>0</v>
      </c>
      <c r="U2016" s="547">
        <v>0</v>
      </c>
      <c r="V2016" s="548">
        <v>0</v>
      </c>
      <c r="W2016" s="528"/>
      <c r="X2016" s="711">
        <f t="shared" si="7979"/>
        <v>0</v>
      </c>
      <c r="Y2016" s="896" t="str">
        <f t="shared" ref="Y2016" si="8058">IFERROR((X2017/X2016),"-")</f>
        <v>-</v>
      </c>
      <c r="Z2016" s="528"/>
      <c r="AA2016" s="898">
        <v>0</v>
      </c>
      <c r="AB2016" s="898">
        <v>0</v>
      </c>
      <c r="AC2016" s="903">
        <v>0</v>
      </c>
      <c r="AD2016" s="896" t="str">
        <f t="shared" ref="AD2016" si="8059">IFERROR((AC2016/AB2016),"-")</f>
        <v>-</v>
      </c>
      <c r="AE2016" s="2"/>
      <c r="AF2016" s="884">
        <v>1740.923</v>
      </c>
      <c r="AG2016" s="884"/>
      <c r="AH2016" s="884">
        <v>0</v>
      </c>
      <c r="AI2016" s="884"/>
      <c r="AJ2016" s="884"/>
      <c r="AK2016" s="884">
        <f t="shared" ref="AK2016" si="8060">AF2016+AG2016+AH2016+AI2016+AJ2016+AC2016</f>
        <v>1740.923</v>
      </c>
      <c r="AL2016" s="884">
        <v>1361.9899999999998</v>
      </c>
      <c r="AM2016" s="878">
        <f t="shared" ref="AM2016" si="8061">IFERROR((AK2016/AL2016),"-")</f>
        <v>1.278220104406053</v>
      </c>
      <c r="AN2016" s="2"/>
      <c r="AO2016" s="884">
        <v>1362</v>
      </c>
      <c r="AP2016" s="884">
        <f t="shared" ref="AP2016" si="8062">AO2016-AK2016</f>
        <v>-378.923</v>
      </c>
      <c r="AV2016" t="str">
        <f t="shared" si="7972"/>
        <v>Drenagem Superficial</v>
      </c>
      <c r="AW2016" s="4" t="str">
        <f t="shared" si="7971"/>
        <v xml:space="preserve">   Seg. 2.3-C11- Drenagem Superficial - Valetas de corte (Km 125+960 a 126+360)</v>
      </c>
    </row>
    <row r="2017" spans="1:49" ht="15.6" hidden="1" customHeight="1" outlineLevel="2">
      <c r="A2017" s="8" t="str">
        <f t="shared" ref="A2017" si="8063">A2016</f>
        <v>N</v>
      </c>
      <c r="B2017" s="150"/>
      <c r="C2017" s="150" t="s">
        <v>2330</v>
      </c>
      <c r="D2017" s="120" t="s">
        <v>357</v>
      </c>
      <c r="E2017" s="893"/>
      <c r="F2017" s="902"/>
      <c r="G2017" s="528"/>
      <c r="H2017" s="549" t="s">
        <v>38</v>
      </c>
      <c r="I2017" s="711">
        <v>0</v>
      </c>
      <c r="J2017" s="897"/>
      <c r="K2017" s="528"/>
      <c r="L2017" s="549" t="s">
        <v>38</v>
      </c>
      <c r="M2017" s="711">
        <f t="shared" si="7985"/>
        <v>0</v>
      </c>
      <c r="N2017" s="897"/>
      <c r="O2017" s="528"/>
      <c r="P2017" s="548">
        <v>0</v>
      </c>
      <c r="Q2017" s="548">
        <v>0</v>
      </c>
      <c r="R2017" s="548">
        <v>0</v>
      </c>
      <c r="S2017" s="548">
        <v>0</v>
      </c>
      <c r="T2017" s="548">
        <v>0</v>
      </c>
      <c r="U2017" s="548">
        <v>0</v>
      </c>
      <c r="V2017" s="548"/>
      <c r="W2017" s="528"/>
      <c r="X2017" s="711">
        <f t="shared" si="7979"/>
        <v>0</v>
      </c>
      <c r="Y2017" s="897"/>
      <c r="Z2017" s="528"/>
      <c r="AA2017" s="899"/>
      <c r="AB2017" s="899"/>
      <c r="AC2017" s="904"/>
      <c r="AD2017" s="905"/>
      <c r="AE2017" s="2"/>
      <c r="AF2017" s="885"/>
      <c r="AG2017" s="885"/>
      <c r="AH2017" s="885"/>
      <c r="AI2017" s="885"/>
      <c r="AJ2017" s="885"/>
      <c r="AK2017" s="885"/>
      <c r="AL2017" s="885"/>
      <c r="AM2017" s="879"/>
      <c r="AN2017" s="2"/>
      <c r="AO2017" s="886"/>
      <c r="AP2017" s="886"/>
      <c r="AV2017" t="str">
        <f t="shared" si="7972"/>
        <v>Drenagem Superficial</v>
      </c>
      <c r="AW2017" s="4" t="str">
        <f t="shared" si="7971"/>
        <v xml:space="preserve">   Seg. 2.3-C11- Drenagem Superficial - Valetas de corte (Km 125+960 a 126+360)</v>
      </c>
    </row>
    <row r="2018" spans="1:49" ht="15.6" hidden="1" customHeight="1" outlineLevel="2">
      <c r="A2018" s="8" t="str">
        <f t="shared" ref="A2018" si="8064">IF(SUM(P2018:V2019)&gt;0,"S","N")</f>
        <v>N</v>
      </c>
      <c r="B2018" s="150">
        <v>1061725</v>
      </c>
      <c r="C2018" s="150" t="s">
        <v>2332</v>
      </c>
      <c r="D2018" s="120" t="s">
        <v>341</v>
      </c>
      <c r="E2018" s="892" t="s">
        <v>2333</v>
      </c>
      <c r="F2018" s="902" t="s">
        <v>52</v>
      </c>
      <c r="G2018" s="528"/>
      <c r="H2018" s="546" t="s">
        <v>37</v>
      </c>
      <c r="I2018" s="711">
        <v>0</v>
      </c>
      <c r="J2018" s="896" t="str">
        <f t="shared" ref="J2018" si="8065">IFERROR((I2019/I2018),"-")</f>
        <v>-</v>
      </c>
      <c r="K2018" s="528"/>
      <c r="L2018" s="546" t="s">
        <v>37</v>
      </c>
      <c r="M2018" s="711">
        <f t="shared" si="7985"/>
        <v>0</v>
      </c>
      <c r="N2018" s="896" t="str">
        <f t="shared" ref="N2018" si="8066">IFERROR((M2019/M2018),"-")</f>
        <v>-</v>
      </c>
      <c r="O2018" s="528"/>
      <c r="P2018" s="547">
        <v>0</v>
      </c>
      <c r="Q2018" s="547">
        <v>0</v>
      </c>
      <c r="R2018" s="547">
        <v>0</v>
      </c>
      <c r="S2018" s="547">
        <v>0</v>
      </c>
      <c r="T2018" s="547">
        <v>0</v>
      </c>
      <c r="U2018" s="547">
        <v>0</v>
      </c>
      <c r="V2018" s="548">
        <v>0</v>
      </c>
      <c r="W2018" s="528"/>
      <c r="X2018" s="711">
        <f t="shared" si="7979"/>
        <v>0</v>
      </c>
      <c r="Y2018" s="896" t="str">
        <f t="shared" ref="Y2018" si="8067">IFERROR((X2019/X2018),"-")</f>
        <v>-</v>
      </c>
      <c r="Z2018" s="528"/>
      <c r="AA2018" s="898">
        <v>0</v>
      </c>
      <c r="AB2018" s="898">
        <v>0</v>
      </c>
      <c r="AC2018" s="903">
        <v>0</v>
      </c>
      <c r="AD2018" s="896" t="str">
        <f t="shared" ref="AD2018" si="8068">IFERROR((AC2018/AB2018),"-")</f>
        <v>-</v>
      </c>
      <c r="AE2018" s="2"/>
      <c r="AF2018" s="884"/>
      <c r="AG2018" s="884"/>
      <c r="AH2018" s="884">
        <v>0</v>
      </c>
      <c r="AI2018" s="884"/>
      <c r="AJ2018" s="884"/>
      <c r="AK2018" s="884">
        <f t="shared" ref="AK2018" si="8069">AF2018+AG2018+AH2018+AI2018+AJ2018+AC2018</f>
        <v>0</v>
      </c>
      <c r="AL2018" s="884">
        <v>0</v>
      </c>
      <c r="AM2018" s="878" t="str">
        <f t="shared" ref="AM2018" si="8070">IFERROR((AK2018/AL2018),"-")</f>
        <v>-</v>
      </c>
      <c r="AN2018" s="2"/>
      <c r="AO2018" s="884">
        <v>182</v>
      </c>
      <c r="AP2018" s="884">
        <f t="shared" ref="AP2018" si="8071">AO2018-AK2018</f>
        <v>182</v>
      </c>
      <c r="AV2018" t="str">
        <f t="shared" si="7972"/>
        <v>Drenagem Superficial</v>
      </c>
      <c r="AW2018" s="4" t="str">
        <f t="shared" si="7971"/>
        <v xml:space="preserve">   Seg. 2.3-C13 - Drenagem Superficial - Valetas de proteção de corte (Km 127+340 a 127+540)</v>
      </c>
    </row>
    <row r="2019" spans="1:49" ht="15.6" hidden="1" customHeight="1" outlineLevel="2">
      <c r="A2019" s="8" t="str">
        <f t="shared" ref="A2019" si="8072">A2018</f>
        <v>N</v>
      </c>
      <c r="B2019" s="150"/>
      <c r="C2019" s="150" t="s">
        <v>2332</v>
      </c>
      <c r="D2019" s="120" t="s">
        <v>341</v>
      </c>
      <c r="E2019" s="893"/>
      <c r="F2019" s="902"/>
      <c r="G2019" s="528"/>
      <c r="H2019" s="549" t="s">
        <v>38</v>
      </c>
      <c r="I2019" s="711">
        <v>0</v>
      </c>
      <c r="J2019" s="897"/>
      <c r="K2019" s="528"/>
      <c r="L2019" s="549" t="s">
        <v>38</v>
      </c>
      <c r="M2019" s="711">
        <f t="shared" si="7985"/>
        <v>0</v>
      </c>
      <c r="N2019" s="897"/>
      <c r="O2019" s="528"/>
      <c r="P2019" s="548">
        <v>0</v>
      </c>
      <c r="Q2019" s="548">
        <v>0</v>
      </c>
      <c r="R2019" s="548">
        <v>0</v>
      </c>
      <c r="S2019" s="548">
        <v>0</v>
      </c>
      <c r="T2019" s="548">
        <v>0</v>
      </c>
      <c r="U2019" s="548">
        <v>0</v>
      </c>
      <c r="V2019" s="548"/>
      <c r="W2019" s="528"/>
      <c r="X2019" s="711">
        <f t="shared" si="7979"/>
        <v>0</v>
      </c>
      <c r="Y2019" s="897"/>
      <c r="Z2019" s="528"/>
      <c r="AA2019" s="899"/>
      <c r="AB2019" s="899"/>
      <c r="AC2019" s="904"/>
      <c r="AD2019" s="905"/>
      <c r="AE2019" s="2"/>
      <c r="AF2019" s="885"/>
      <c r="AG2019" s="885"/>
      <c r="AH2019" s="885"/>
      <c r="AI2019" s="885"/>
      <c r="AJ2019" s="885"/>
      <c r="AK2019" s="885"/>
      <c r="AL2019" s="885"/>
      <c r="AM2019" s="879"/>
      <c r="AN2019" s="2"/>
      <c r="AO2019" s="886"/>
      <c r="AP2019" s="886"/>
      <c r="AV2019" t="str">
        <f t="shared" si="7972"/>
        <v>Drenagem Superficial</v>
      </c>
      <c r="AW2019" s="4" t="str">
        <f t="shared" si="7971"/>
        <v xml:space="preserve">   Seg. 2.3-C13 - Drenagem Superficial - Valetas de proteção de corte (Km 127+340 a 127+540)</v>
      </c>
    </row>
    <row r="2020" spans="1:49" ht="15.6" hidden="1" customHeight="1" outlineLevel="2">
      <c r="A2020" s="8" t="str">
        <f t="shared" ref="A2020" si="8073">IF(SUM(P2020:V2021)&gt;0,"S","N")</f>
        <v>N</v>
      </c>
      <c r="B2020" s="150">
        <v>1061727</v>
      </c>
      <c r="C2020" s="150" t="s">
        <v>2334</v>
      </c>
      <c r="D2020" s="120" t="s">
        <v>344</v>
      </c>
      <c r="E2020" s="892" t="s">
        <v>2335</v>
      </c>
      <c r="F2020" s="902" t="s">
        <v>52</v>
      </c>
      <c r="G2020" s="528"/>
      <c r="H2020" s="546" t="s">
        <v>37</v>
      </c>
      <c r="I2020" s="711">
        <v>0</v>
      </c>
      <c r="J2020" s="896" t="str">
        <f t="shared" ref="J2020" si="8074">IFERROR((I2021/I2020),"-")</f>
        <v>-</v>
      </c>
      <c r="K2020" s="528"/>
      <c r="L2020" s="546" t="s">
        <v>37</v>
      </c>
      <c r="M2020" s="711">
        <f t="shared" si="7985"/>
        <v>0</v>
      </c>
      <c r="N2020" s="896" t="str">
        <f t="shared" ref="N2020" si="8075">IFERROR((M2021/M2020),"-")</f>
        <v>-</v>
      </c>
      <c r="O2020" s="528"/>
      <c r="P2020" s="547">
        <v>0</v>
      </c>
      <c r="Q2020" s="547">
        <v>0</v>
      </c>
      <c r="R2020" s="547">
        <v>0</v>
      </c>
      <c r="S2020" s="547">
        <v>0</v>
      </c>
      <c r="T2020" s="547">
        <v>0</v>
      </c>
      <c r="U2020" s="547">
        <v>0</v>
      </c>
      <c r="V2020" s="548">
        <v>0</v>
      </c>
      <c r="W2020" s="528"/>
      <c r="X2020" s="711">
        <f t="shared" si="7979"/>
        <v>0</v>
      </c>
      <c r="Y2020" s="896" t="str">
        <f t="shared" ref="Y2020" si="8076">IFERROR((X2021/X2020),"-")</f>
        <v>-</v>
      </c>
      <c r="Z2020" s="528"/>
      <c r="AA2020" s="898">
        <v>0</v>
      </c>
      <c r="AB2020" s="898">
        <v>0</v>
      </c>
      <c r="AC2020" s="903">
        <v>0</v>
      </c>
      <c r="AD2020" s="896" t="str">
        <f t="shared" ref="AD2020" si="8077">IFERROR((AC2020/AB2020),"-")</f>
        <v>-</v>
      </c>
      <c r="AE2020" s="2"/>
      <c r="AF2020" s="884">
        <v>516.48900000000003</v>
      </c>
      <c r="AG2020" s="884"/>
      <c r="AH2020" s="884">
        <v>0</v>
      </c>
      <c r="AI2020" s="884"/>
      <c r="AJ2020" s="884"/>
      <c r="AK2020" s="884">
        <f t="shared" ref="AK2020" si="8078">AF2020+AG2020+AH2020+AI2020+AJ2020+AC2020</f>
        <v>516.48900000000003</v>
      </c>
      <c r="AL2020" s="884">
        <v>333.99</v>
      </c>
      <c r="AM2020" s="878">
        <f t="shared" ref="AM2020" si="8079">IFERROR((AK2020/AL2020),"-")</f>
        <v>1.5464205515135183</v>
      </c>
      <c r="AN2020" s="2"/>
      <c r="AO2020" s="884">
        <v>334</v>
      </c>
      <c r="AP2020" s="884">
        <f t="shared" ref="AP2020" si="8080">AO2020-AK2020</f>
        <v>-182.48900000000003</v>
      </c>
      <c r="AV2020" t="str">
        <f t="shared" si="7972"/>
        <v>Drenagem Superficial</v>
      </c>
      <c r="AW2020" s="4" t="str">
        <f t="shared" si="7971"/>
        <v xml:space="preserve">   Seg. 2.3-C14 - Drenagem Superficial - Valetas de proteção de aterro (Km 127+980 a 128+300)</v>
      </c>
    </row>
    <row r="2021" spans="1:49" ht="15.6" hidden="1" customHeight="1" outlineLevel="2">
      <c r="A2021" s="8" t="str">
        <f t="shared" ref="A2021" si="8081">A2020</f>
        <v>N</v>
      </c>
      <c r="B2021" s="150"/>
      <c r="C2021" s="150" t="s">
        <v>2334</v>
      </c>
      <c r="D2021" s="120" t="s">
        <v>344</v>
      </c>
      <c r="E2021" s="893"/>
      <c r="F2021" s="902"/>
      <c r="G2021" s="528"/>
      <c r="H2021" s="549" t="s">
        <v>38</v>
      </c>
      <c r="I2021" s="711">
        <v>0</v>
      </c>
      <c r="J2021" s="897"/>
      <c r="K2021" s="528"/>
      <c r="L2021" s="549" t="s">
        <v>38</v>
      </c>
      <c r="M2021" s="711">
        <f t="shared" si="7985"/>
        <v>0</v>
      </c>
      <c r="N2021" s="897"/>
      <c r="O2021" s="528"/>
      <c r="P2021" s="548">
        <v>0</v>
      </c>
      <c r="Q2021" s="548">
        <v>0</v>
      </c>
      <c r="R2021" s="548">
        <v>0</v>
      </c>
      <c r="S2021" s="548">
        <v>0</v>
      </c>
      <c r="T2021" s="548">
        <v>0</v>
      </c>
      <c r="U2021" s="548">
        <v>0</v>
      </c>
      <c r="V2021" s="548"/>
      <c r="W2021" s="528"/>
      <c r="X2021" s="711">
        <f t="shared" si="7979"/>
        <v>0</v>
      </c>
      <c r="Y2021" s="897"/>
      <c r="Z2021" s="528"/>
      <c r="AA2021" s="899"/>
      <c r="AB2021" s="899"/>
      <c r="AC2021" s="904"/>
      <c r="AD2021" s="905"/>
      <c r="AE2021" s="2"/>
      <c r="AF2021" s="885"/>
      <c r="AG2021" s="885"/>
      <c r="AH2021" s="885"/>
      <c r="AI2021" s="885"/>
      <c r="AJ2021" s="885"/>
      <c r="AK2021" s="885"/>
      <c r="AL2021" s="885"/>
      <c r="AM2021" s="879"/>
      <c r="AN2021" s="2"/>
      <c r="AO2021" s="886"/>
      <c r="AP2021" s="886"/>
      <c r="AV2021" t="str">
        <f t="shared" si="7972"/>
        <v>Drenagem Superficial</v>
      </c>
      <c r="AW2021" s="4" t="str">
        <f t="shared" si="7971"/>
        <v xml:space="preserve">   Seg. 2.3-C14 - Drenagem Superficial - Valetas de proteção de aterro (Km 127+980 a 128+300)</v>
      </c>
    </row>
    <row r="2022" spans="1:49" ht="15.6" hidden="1" customHeight="1" outlineLevel="2">
      <c r="A2022" s="8" t="str">
        <f t="shared" ref="A2022" si="8082">IF(SUM(P2022:V2023)&gt;0,"S","N")</f>
        <v>N</v>
      </c>
      <c r="B2022" s="150">
        <v>1061730</v>
      </c>
      <c r="C2022" s="150" t="s">
        <v>2336</v>
      </c>
      <c r="D2022" s="120" t="s">
        <v>1252</v>
      </c>
      <c r="E2022" s="892" t="s">
        <v>2337</v>
      </c>
      <c r="F2022" s="902" t="s">
        <v>52</v>
      </c>
      <c r="G2022" s="528"/>
      <c r="H2022" s="546" t="s">
        <v>37</v>
      </c>
      <c r="I2022" s="711">
        <v>0</v>
      </c>
      <c r="J2022" s="896" t="str">
        <f t="shared" ref="J2022" si="8083">IFERROR((I2023/I2022),"-")</f>
        <v>-</v>
      </c>
      <c r="K2022" s="528"/>
      <c r="L2022" s="546" t="s">
        <v>37</v>
      </c>
      <c r="M2022" s="711">
        <f t="shared" si="7985"/>
        <v>0</v>
      </c>
      <c r="N2022" s="896" t="str">
        <f t="shared" ref="N2022" si="8084">IFERROR((M2023/M2022),"-")</f>
        <v>-</v>
      </c>
      <c r="O2022" s="528"/>
      <c r="P2022" s="547">
        <v>0</v>
      </c>
      <c r="Q2022" s="547">
        <v>0</v>
      </c>
      <c r="R2022" s="547">
        <v>0</v>
      </c>
      <c r="S2022" s="547">
        <v>0</v>
      </c>
      <c r="T2022" s="547">
        <v>0</v>
      </c>
      <c r="U2022" s="547">
        <v>0</v>
      </c>
      <c r="V2022" s="548">
        <v>0</v>
      </c>
      <c r="W2022" s="528"/>
      <c r="X2022" s="711">
        <f t="shared" si="7979"/>
        <v>0</v>
      </c>
      <c r="Y2022" s="896" t="str">
        <f t="shared" ref="Y2022" si="8085">IFERROR((X2023/X2022),"-")</f>
        <v>-</v>
      </c>
      <c r="Z2022" s="528"/>
      <c r="AA2022" s="898">
        <v>0</v>
      </c>
      <c r="AB2022" s="898">
        <v>0</v>
      </c>
      <c r="AC2022" s="903">
        <v>0</v>
      </c>
      <c r="AD2022" s="896" t="str">
        <f t="shared" ref="AD2022" si="8086">IFERROR((AC2022/AB2022),"-")</f>
        <v>-</v>
      </c>
      <c r="AE2022" s="2"/>
      <c r="AF2022" s="884"/>
      <c r="AG2022" s="884">
        <v>73.611999999999995</v>
      </c>
      <c r="AH2022" s="884">
        <v>0</v>
      </c>
      <c r="AI2022" s="884"/>
      <c r="AJ2022" s="884">
        <v>72.058000000000007</v>
      </c>
      <c r="AK2022" s="884">
        <f t="shared" ref="AK2022" si="8087">AF2022+AG2022+AH2022+AI2022+AJ2022+AC2022</f>
        <v>145.67000000000002</v>
      </c>
      <c r="AL2022" s="884">
        <v>145.99999999999989</v>
      </c>
      <c r="AM2022" s="878">
        <f t="shared" ref="AM2022" si="8088">IFERROR((AK2022/AL2022),"-")</f>
        <v>0.99773972602739813</v>
      </c>
      <c r="AN2022" s="2"/>
      <c r="AO2022" s="884">
        <v>154</v>
      </c>
      <c r="AP2022" s="884">
        <f t="shared" ref="AP2022" si="8089">AO2022-AK2022</f>
        <v>8.3299999999999841</v>
      </c>
      <c r="AV2022" t="str">
        <f t="shared" si="7972"/>
        <v>Drenagem Superficial</v>
      </c>
      <c r="AW2022" s="4" t="str">
        <f t="shared" si="7971"/>
        <v xml:space="preserve">   Seg. 2.3-A01 - Drenagem Superficial - Valetas de proteção de aterro (Km 116+540 a 116+680)</v>
      </c>
    </row>
    <row r="2023" spans="1:49" ht="15.6" hidden="1" customHeight="1" outlineLevel="2">
      <c r="A2023" s="8" t="str">
        <f t="shared" ref="A2023" si="8090">A2022</f>
        <v>N</v>
      </c>
      <c r="B2023" s="150"/>
      <c r="C2023" s="150" t="s">
        <v>2336</v>
      </c>
      <c r="D2023" s="120" t="s">
        <v>1252</v>
      </c>
      <c r="E2023" s="893"/>
      <c r="F2023" s="902"/>
      <c r="G2023" s="528"/>
      <c r="H2023" s="549" t="s">
        <v>38</v>
      </c>
      <c r="I2023" s="711">
        <v>0</v>
      </c>
      <c r="J2023" s="897"/>
      <c r="K2023" s="528"/>
      <c r="L2023" s="549" t="s">
        <v>38</v>
      </c>
      <c r="M2023" s="711">
        <f t="shared" si="7985"/>
        <v>0</v>
      </c>
      <c r="N2023" s="897"/>
      <c r="O2023" s="528"/>
      <c r="P2023" s="548">
        <v>0</v>
      </c>
      <c r="Q2023" s="548">
        <v>0</v>
      </c>
      <c r="R2023" s="548">
        <v>0</v>
      </c>
      <c r="S2023" s="548">
        <v>0</v>
      </c>
      <c r="T2023" s="548">
        <v>0</v>
      </c>
      <c r="U2023" s="548">
        <v>0</v>
      </c>
      <c r="V2023" s="548"/>
      <c r="W2023" s="528"/>
      <c r="X2023" s="711">
        <f t="shared" si="7979"/>
        <v>0</v>
      </c>
      <c r="Y2023" s="897"/>
      <c r="Z2023" s="528"/>
      <c r="AA2023" s="899"/>
      <c r="AB2023" s="899"/>
      <c r="AC2023" s="904"/>
      <c r="AD2023" s="905"/>
      <c r="AE2023" s="2"/>
      <c r="AF2023" s="885"/>
      <c r="AG2023" s="885"/>
      <c r="AH2023" s="885"/>
      <c r="AI2023" s="885"/>
      <c r="AJ2023" s="885"/>
      <c r="AK2023" s="885"/>
      <c r="AL2023" s="885"/>
      <c r="AM2023" s="879"/>
      <c r="AN2023" s="2"/>
      <c r="AO2023" s="886"/>
      <c r="AP2023" s="886"/>
      <c r="AV2023" t="str">
        <f t="shared" si="7972"/>
        <v>Drenagem Superficial</v>
      </c>
      <c r="AW2023" s="4" t="str">
        <f t="shared" si="7971"/>
        <v xml:space="preserve">   Seg. 2.3-A01 - Drenagem Superficial - Valetas de proteção de aterro (Km 116+540 a 116+680)</v>
      </c>
    </row>
    <row r="2024" spans="1:49" ht="15.6" hidden="1" customHeight="1" outlineLevel="2">
      <c r="A2024" s="8" t="str">
        <f t="shared" ref="A2024" si="8091">IF(SUM(P2024:V2025)&gt;0,"S","N")</f>
        <v>N</v>
      </c>
      <c r="B2024" s="150">
        <v>1061734</v>
      </c>
      <c r="C2024" s="150" t="s">
        <v>2338</v>
      </c>
      <c r="D2024" s="120" t="s">
        <v>1254</v>
      </c>
      <c r="E2024" s="892" t="s">
        <v>2339</v>
      </c>
      <c r="F2024" s="902" t="s">
        <v>52</v>
      </c>
      <c r="G2024" s="528"/>
      <c r="H2024" s="546" t="s">
        <v>37</v>
      </c>
      <c r="I2024" s="711">
        <v>0</v>
      </c>
      <c r="J2024" s="896" t="str">
        <f t="shared" ref="J2024" si="8092">IFERROR((I2025/I2024),"-")</f>
        <v>-</v>
      </c>
      <c r="K2024" s="528"/>
      <c r="L2024" s="546" t="s">
        <v>37</v>
      </c>
      <c r="M2024" s="711">
        <f t="shared" si="7985"/>
        <v>0</v>
      </c>
      <c r="N2024" s="896" t="str">
        <f t="shared" ref="N2024" si="8093">IFERROR((M2025/M2024),"-")</f>
        <v>-</v>
      </c>
      <c r="O2024" s="528"/>
      <c r="P2024" s="547">
        <v>0</v>
      </c>
      <c r="Q2024" s="547">
        <v>0</v>
      </c>
      <c r="R2024" s="547">
        <v>0</v>
      </c>
      <c r="S2024" s="547">
        <v>0</v>
      </c>
      <c r="T2024" s="547">
        <v>0</v>
      </c>
      <c r="U2024" s="547">
        <v>0</v>
      </c>
      <c r="V2024" s="548">
        <v>0</v>
      </c>
      <c r="W2024" s="528"/>
      <c r="X2024" s="711">
        <f t="shared" si="7979"/>
        <v>0</v>
      </c>
      <c r="Y2024" s="896" t="str">
        <f t="shared" ref="Y2024" si="8094">IFERROR((X2025/X2024),"-")</f>
        <v>-</v>
      </c>
      <c r="Z2024" s="528"/>
      <c r="AA2024" s="898">
        <v>0</v>
      </c>
      <c r="AB2024" s="898">
        <v>0</v>
      </c>
      <c r="AC2024" s="903">
        <v>0</v>
      </c>
      <c r="AD2024" s="896" t="str">
        <f t="shared" ref="AD2024" si="8095">IFERROR((AC2024/AB2024),"-")</f>
        <v>-</v>
      </c>
      <c r="AE2024" s="2"/>
      <c r="AF2024" s="884">
        <v>1343.9490000000001</v>
      </c>
      <c r="AG2024" s="884"/>
      <c r="AH2024" s="884">
        <v>0</v>
      </c>
      <c r="AI2024" s="884">
        <v>316.61</v>
      </c>
      <c r="AJ2024" s="884"/>
      <c r="AK2024" s="884">
        <f t="shared" ref="AK2024" si="8096">AF2024+AG2024+AH2024+AI2024+AJ2024+AC2024</f>
        <v>1660.5590000000002</v>
      </c>
      <c r="AL2024" s="884">
        <v>766.28999999999974</v>
      </c>
      <c r="AM2024" s="878">
        <f t="shared" ref="AM2024" si="8097">IFERROR((AK2024/AL2024),"-")</f>
        <v>2.1670111837554984</v>
      </c>
      <c r="AN2024" s="2"/>
      <c r="AO2024" s="884">
        <v>766.99</v>
      </c>
      <c r="AP2024" s="884">
        <f t="shared" ref="AP2024" si="8098">AO2024-AK2024</f>
        <v>-893.56900000000019</v>
      </c>
      <c r="AV2024" t="str">
        <f t="shared" si="7972"/>
        <v>Drenagem Superficial</v>
      </c>
      <c r="AW2024" s="4" t="str">
        <f t="shared" si="7971"/>
        <v xml:space="preserve">   Seg. 2.3-A02 - Drenagem Superficial - Valetas de proteção de aterro (Km 116+940 a 118+020)</v>
      </c>
    </row>
    <row r="2025" spans="1:49" ht="15.6" hidden="1" customHeight="1" outlineLevel="2">
      <c r="A2025" s="8" t="str">
        <f t="shared" ref="A2025" si="8099">A2024</f>
        <v>N</v>
      </c>
      <c r="B2025" s="150"/>
      <c r="C2025" s="150" t="s">
        <v>2338</v>
      </c>
      <c r="D2025" s="120" t="s">
        <v>1254</v>
      </c>
      <c r="E2025" s="893"/>
      <c r="F2025" s="902"/>
      <c r="G2025" s="528"/>
      <c r="H2025" s="549" t="s">
        <v>38</v>
      </c>
      <c r="I2025" s="711">
        <v>0</v>
      </c>
      <c r="J2025" s="897"/>
      <c r="K2025" s="528"/>
      <c r="L2025" s="549" t="s">
        <v>38</v>
      </c>
      <c r="M2025" s="711">
        <f t="shared" si="7985"/>
        <v>0</v>
      </c>
      <c r="N2025" s="897"/>
      <c r="O2025" s="528"/>
      <c r="P2025" s="548">
        <v>0</v>
      </c>
      <c r="Q2025" s="548">
        <v>0</v>
      </c>
      <c r="R2025" s="548">
        <v>0</v>
      </c>
      <c r="S2025" s="548">
        <v>0</v>
      </c>
      <c r="T2025" s="548">
        <v>0</v>
      </c>
      <c r="U2025" s="548">
        <v>0</v>
      </c>
      <c r="V2025" s="548"/>
      <c r="W2025" s="528"/>
      <c r="X2025" s="711">
        <f t="shared" si="7979"/>
        <v>0</v>
      </c>
      <c r="Y2025" s="897"/>
      <c r="Z2025" s="528"/>
      <c r="AA2025" s="899"/>
      <c r="AB2025" s="899"/>
      <c r="AC2025" s="904"/>
      <c r="AD2025" s="905"/>
      <c r="AE2025" s="2"/>
      <c r="AF2025" s="885"/>
      <c r="AG2025" s="885"/>
      <c r="AH2025" s="885"/>
      <c r="AI2025" s="885"/>
      <c r="AJ2025" s="885"/>
      <c r="AK2025" s="885"/>
      <c r="AL2025" s="885"/>
      <c r="AM2025" s="879"/>
      <c r="AN2025" s="2"/>
      <c r="AO2025" s="886"/>
      <c r="AP2025" s="886"/>
      <c r="AV2025" t="str">
        <f t="shared" si="7972"/>
        <v>Drenagem Superficial</v>
      </c>
      <c r="AW2025" s="4" t="str">
        <f t="shared" si="7971"/>
        <v xml:space="preserve">   Seg. 2.3-A02 - Drenagem Superficial - Valetas de proteção de aterro (Km 116+940 a 118+020)</v>
      </c>
    </row>
    <row r="2026" spans="1:49" ht="15.6" hidden="1" customHeight="1" outlineLevel="2">
      <c r="A2026" s="8" t="str">
        <f t="shared" ref="A2026" si="8100">IF(SUM(P2026:V2027)&gt;0,"S","N")</f>
        <v>N</v>
      </c>
      <c r="B2026" s="150">
        <v>1061738</v>
      </c>
      <c r="C2026" s="150" t="s">
        <v>2340</v>
      </c>
      <c r="D2026" s="120" t="s">
        <v>1256</v>
      </c>
      <c r="E2026" s="892" t="s">
        <v>2341</v>
      </c>
      <c r="F2026" s="902" t="s">
        <v>52</v>
      </c>
      <c r="G2026" s="528"/>
      <c r="H2026" s="546" t="s">
        <v>37</v>
      </c>
      <c r="I2026" s="711">
        <v>0</v>
      </c>
      <c r="J2026" s="896" t="str">
        <f t="shared" ref="J2026" si="8101">IFERROR((I2027/I2026),"-")</f>
        <v>-</v>
      </c>
      <c r="K2026" s="528"/>
      <c r="L2026" s="546" t="s">
        <v>37</v>
      </c>
      <c r="M2026" s="711">
        <f t="shared" si="7985"/>
        <v>0</v>
      </c>
      <c r="N2026" s="896" t="str">
        <f t="shared" ref="N2026" si="8102">IFERROR((M2027/M2026),"-")</f>
        <v>-</v>
      </c>
      <c r="O2026" s="528"/>
      <c r="P2026" s="547">
        <v>0</v>
      </c>
      <c r="Q2026" s="547">
        <v>0</v>
      </c>
      <c r="R2026" s="547">
        <v>0</v>
      </c>
      <c r="S2026" s="547">
        <v>0</v>
      </c>
      <c r="T2026" s="547">
        <v>0</v>
      </c>
      <c r="U2026" s="547">
        <v>0</v>
      </c>
      <c r="V2026" s="548">
        <v>0</v>
      </c>
      <c r="W2026" s="528"/>
      <c r="X2026" s="711">
        <f t="shared" si="7979"/>
        <v>0</v>
      </c>
      <c r="Y2026" s="896" t="str">
        <f t="shared" ref="Y2026" si="8103">IFERROR((X2027/X2026),"-")</f>
        <v>-</v>
      </c>
      <c r="Z2026" s="528"/>
      <c r="AA2026" s="898">
        <v>0</v>
      </c>
      <c r="AB2026" s="898">
        <v>0</v>
      </c>
      <c r="AC2026" s="903">
        <v>0</v>
      </c>
      <c r="AD2026" s="896" t="str">
        <f t="shared" ref="AD2026" si="8104">IFERROR((AC2026/AB2026),"-")</f>
        <v>-</v>
      </c>
      <c r="AE2026" s="2"/>
      <c r="AF2026" s="884"/>
      <c r="AG2026" s="884"/>
      <c r="AH2026" s="884">
        <v>0</v>
      </c>
      <c r="AI2026" s="884"/>
      <c r="AJ2026" s="884"/>
      <c r="AK2026" s="884">
        <f t="shared" ref="AK2026" si="8105">AF2026+AG2026+AH2026+AI2026+AJ2026+AC2026</f>
        <v>0</v>
      </c>
      <c r="AL2026" s="884">
        <v>0</v>
      </c>
      <c r="AM2026" s="878" t="str">
        <f t="shared" ref="AM2026" si="8106">IFERROR((AK2026/AL2026),"-")</f>
        <v>-</v>
      </c>
      <c r="AN2026" s="2"/>
      <c r="AO2026" s="884">
        <v>178.91</v>
      </c>
      <c r="AP2026" s="884">
        <f t="shared" ref="AP2026" si="8107">AO2026-AK2026</f>
        <v>178.91</v>
      </c>
      <c r="AV2026" t="str">
        <f t="shared" si="7972"/>
        <v>Drenagem Superficial</v>
      </c>
      <c r="AW2026" s="4" t="str">
        <f t="shared" si="7971"/>
        <v xml:space="preserve">   Seg. 2.3-A03 - Drenagem Superficial - Valetas de proteção de aterro (Km 118+180 a 118+280)</v>
      </c>
    </row>
    <row r="2027" spans="1:49" ht="15.6" hidden="1" customHeight="1" outlineLevel="2">
      <c r="A2027" s="8" t="str">
        <f t="shared" ref="A2027" si="8108">A2026</f>
        <v>N</v>
      </c>
      <c r="B2027" s="150"/>
      <c r="C2027" s="150" t="s">
        <v>2340</v>
      </c>
      <c r="D2027" s="120" t="s">
        <v>1256</v>
      </c>
      <c r="E2027" s="893"/>
      <c r="F2027" s="902"/>
      <c r="G2027" s="528"/>
      <c r="H2027" s="549" t="s">
        <v>38</v>
      </c>
      <c r="I2027" s="711">
        <v>0</v>
      </c>
      <c r="J2027" s="897"/>
      <c r="K2027" s="528"/>
      <c r="L2027" s="549" t="s">
        <v>38</v>
      </c>
      <c r="M2027" s="711">
        <f t="shared" si="7985"/>
        <v>0</v>
      </c>
      <c r="N2027" s="897"/>
      <c r="O2027" s="528"/>
      <c r="P2027" s="548">
        <v>0</v>
      </c>
      <c r="Q2027" s="548">
        <v>0</v>
      </c>
      <c r="R2027" s="548">
        <v>0</v>
      </c>
      <c r="S2027" s="548">
        <v>0</v>
      </c>
      <c r="T2027" s="548">
        <v>0</v>
      </c>
      <c r="U2027" s="548">
        <v>0</v>
      </c>
      <c r="V2027" s="548"/>
      <c r="W2027" s="528"/>
      <c r="X2027" s="711">
        <f t="shared" si="7979"/>
        <v>0</v>
      </c>
      <c r="Y2027" s="897"/>
      <c r="Z2027" s="528"/>
      <c r="AA2027" s="899"/>
      <c r="AB2027" s="899"/>
      <c r="AC2027" s="904"/>
      <c r="AD2027" s="905"/>
      <c r="AE2027" s="2"/>
      <c r="AF2027" s="885"/>
      <c r="AG2027" s="885"/>
      <c r="AH2027" s="885"/>
      <c r="AI2027" s="885"/>
      <c r="AJ2027" s="885"/>
      <c r="AK2027" s="885"/>
      <c r="AL2027" s="885"/>
      <c r="AM2027" s="879"/>
      <c r="AN2027" s="2"/>
      <c r="AO2027" s="886"/>
      <c r="AP2027" s="886"/>
      <c r="AV2027" t="str">
        <f t="shared" si="7972"/>
        <v>Drenagem Superficial</v>
      </c>
      <c r="AW2027" s="4" t="str">
        <f t="shared" si="7971"/>
        <v xml:space="preserve">   Seg. 2.3-A03 - Drenagem Superficial - Valetas de proteção de aterro (Km 118+180 a 118+280)</v>
      </c>
    </row>
    <row r="2028" spans="1:49" ht="15.6" hidden="1" customHeight="1" outlineLevel="2" collapsed="1">
      <c r="A2028" s="8" t="str">
        <f t="shared" ref="A2028" si="8109">IF(SUM(P2028:V2029)&gt;0,"S","N")</f>
        <v>N</v>
      </c>
      <c r="B2028" s="150">
        <v>1061743</v>
      </c>
      <c r="C2028" s="150" t="s">
        <v>2342</v>
      </c>
      <c r="D2028" s="120" t="s">
        <v>1258</v>
      </c>
      <c r="E2028" s="892" t="s">
        <v>2343</v>
      </c>
      <c r="F2028" s="902" t="s">
        <v>52</v>
      </c>
      <c r="G2028" s="528"/>
      <c r="H2028" s="546" t="s">
        <v>37</v>
      </c>
      <c r="I2028" s="711">
        <v>0</v>
      </c>
      <c r="J2028" s="896" t="str">
        <f t="shared" ref="J2028" si="8110">IFERROR((I2029/I2028),"-")</f>
        <v>-</v>
      </c>
      <c r="K2028" s="528"/>
      <c r="L2028" s="546" t="s">
        <v>37</v>
      </c>
      <c r="M2028" s="711">
        <f t="shared" si="7985"/>
        <v>0</v>
      </c>
      <c r="N2028" s="896" t="str">
        <f t="shared" ref="N2028" si="8111">IFERROR((M2029/M2028),"-")</f>
        <v>-</v>
      </c>
      <c r="O2028" s="528"/>
      <c r="P2028" s="547">
        <v>0</v>
      </c>
      <c r="Q2028" s="547">
        <v>0</v>
      </c>
      <c r="R2028" s="547">
        <v>0</v>
      </c>
      <c r="S2028" s="547">
        <v>0</v>
      </c>
      <c r="T2028" s="547">
        <v>0</v>
      </c>
      <c r="U2028" s="547">
        <v>0</v>
      </c>
      <c r="V2028" s="548">
        <v>0</v>
      </c>
      <c r="W2028" s="528"/>
      <c r="X2028" s="711">
        <f t="shared" si="7979"/>
        <v>0</v>
      </c>
      <c r="Y2028" s="896" t="str">
        <f t="shared" ref="Y2028" si="8112">IFERROR((X2029/X2028),"-")</f>
        <v>-</v>
      </c>
      <c r="Z2028" s="528"/>
      <c r="AA2028" s="898">
        <v>0</v>
      </c>
      <c r="AB2028" s="898">
        <v>0</v>
      </c>
      <c r="AC2028" s="903">
        <v>0</v>
      </c>
      <c r="AD2028" s="896" t="str">
        <f t="shared" ref="AD2028" si="8113">IFERROR((AC2028/AB2028),"-")</f>
        <v>-</v>
      </c>
      <c r="AE2028" s="2"/>
      <c r="AF2028" s="884"/>
      <c r="AG2028" s="884"/>
      <c r="AH2028" s="884">
        <v>0</v>
      </c>
      <c r="AI2028" s="884"/>
      <c r="AJ2028" s="884"/>
      <c r="AK2028" s="884">
        <f t="shared" ref="AK2028" si="8114">AF2028+AG2028+AH2028+AI2028+AJ2028+AC2028</f>
        <v>0</v>
      </c>
      <c r="AL2028" s="884">
        <v>0</v>
      </c>
      <c r="AM2028" s="878" t="str">
        <f t="shared" ref="AM2028" si="8115">IFERROR((AK2028/AL2028),"-")</f>
        <v>-</v>
      </c>
      <c r="AN2028" s="2"/>
      <c r="AO2028" s="884">
        <v>126.4</v>
      </c>
      <c r="AP2028" s="884">
        <f t="shared" ref="AP2028" si="8116">AO2028-AK2028</f>
        <v>126.4</v>
      </c>
      <c r="AV2028" t="str">
        <f t="shared" si="7972"/>
        <v>Drenagem Superficial</v>
      </c>
      <c r="AW2028" s="4" t="str">
        <f t="shared" si="7971"/>
        <v xml:space="preserve">   Seg. 2.3-A04 - Drenagem Superficial - Valetas de proteção de aterro (Km 118+500 a 118+580)</v>
      </c>
    </row>
    <row r="2029" spans="1:49" ht="15.6" hidden="1" customHeight="1" outlineLevel="2">
      <c r="A2029" s="8" t="str">
        <f t="shared" ref="A2029" si="8117">A2028</f>
        <v>N</v>
      </c>
      <c r="B2029" s="150"/>
      <c r="C2029" s="150" t="s">
        <v>2342</v>
      </c>
      <c r="D2029" s="120" t="s">
        <v>1258</v>
      </c>
      <c r="E2029" s="893"/>
      <c r="F2029" s="902"/>
      <c r="G2029" s="528"/>
      <c r="H2029" s="549" t="s">
        <v>38</v>
      </c>
      <c r="I2029" s="711">
        <v>0</v>
      </c>
      <c r="J2029" s="897"/>
      <c r="K2029" s="528"/>
      <c r="L2029" s="549" t="s">
        <v>38</v>
      </c>
      <c r="M2029" s="711">
        <f t="shared" si="7985"/>
        <v>0</v>
      </c>
      <c r="N2029" s="897"/>
      <c r="O2029" s="528"/>
      <c r="P2029" s="548">
        <v>0</v>
      </c>
      <c r="Q2029" s="548">
        <v>0</v>
      </c>
      <c r="R2029" s="548">
        <v>0</v>
      </c>
      <c r="S2029" s="548">
        <v>0</v>
      </c>
      <c r="T2029" s="548">
        <v>0</v>
      </c>
      <c r="U2029" s="548">
        <v>0</v>
      </c>
      <c r="V2029" s="548"/>
      <c r="W2029" s="528"/>
      <c r="X2029" s="711">
        <f t="shared" si="7979"/>
        <v>0</v>
      </c>
      <c r="Y2029" s="897"/>
      <c r="Z2029" s="528"/>
      <c r="AA2029" s="899"/>
      <c r="AB2029" s="899"/>
      <c r="AC2029" s="904"/>
      <c r="AD2029" s="905"/>
      <c r="AE2029" s="2"/>
      <c r="AF2029" s="885"/>
      <c r="AG2029" s="885"/>
      <c r="AH2029" s="885"/>
      <c r="AI2029" s="885"/>
      <c r="AJ2029" s="885"/>
      <c r="AK2029" s="885"/>
      <c r="AL2029" s="885"/>
      <c r="AM2029" s="879"/>
      <c r="AN2029" s="2"/>
      <c r="AO2029" s="886"/>
      <c r="AP2029" s="886"/>
      <c r="AV2029" t="str">
        <f t="shared" si="7972"/>
        <v>Drenagem Superficial</v>
      </c>
      <c r="AW2029" s="4" t="str">
        <f t="shared" si="7971"/>
        <v xml:space="preserve">   Seg. 2.3-A04 - Drenagem Superficial - Valetas de proteção de aterro (Km 118+500 a 118+580)</v>
      </c>
    </row>
    <row r="2030" spans="1:49" ht="15.6" hidden="1" customHeight="1" outlineLevel="2">
      <c r="A2030" s="8" t="str">
        <f t="shared" ref="A2030" si="8118">IF(SUM(P2030:V2031)&gt;0,"S","N")</f>
        <v>N</v>
      </c>
      <c r="B2030" s="150">
        <v>1061747</v>
      </c>
      <c r="C2030" s="150" t="s">
        <v>2344</v>
      </c>
      <c r="D2030" s="120" t="s">
        <v>1260</v>
      </c>
      <c r="E2030" s="892" t="s">
        <v>2345</v>
      </c>
      <c r="F2030" s="902" t="s">
        <v>52</v>
      </c>
      <c r="G2030" s="528"/>
      <c r="H2030" s="546" t="s">
        <v>37</v>
      </c>
      <c r="I2030" s="711">
        <v>0</v>
      </c>
      <c r="J2030" s="896" t="str">
        <f t="shared" ref="J2030" si="8119">IFERROR((I2031/I2030),"-")</f>
        <v>-</v>
      </c>
      <c r="K2030" s="528"/>
      <c r="L2030" s="546" t="s">
        <v>37</v>
      </c>
      <c r="M2030" s="711">
        <f t="shared" si="7985"/>
        <v>0</v>
      </c>
      <c r="N2030" s="896" t="str">
        <f t="shared" ref="N2030" si="8120">IFERROR((M2031/M2030),"-")</f>
        <v>-</v>
      </c>
      <c r="O2030" s="528"/>
      <c r="P2030" s="547">
        <v>0</v>
      </c>
      <c r="Q2030" s="547">
        <v>0</v>
      </c>
      <c r="R2030" s="547">
        <v>0</v>
      </c>
      <c r="S2030" s="547">
        <v>0</v>
      </c>
      <c r="T2030" s="547">
        <v>0</v>
      </c>
      <c r="U2030" s="547">
        <v>0</v>
      </c>
      <c r="V2030" s="548">
        <v>0</v>
      </c>
      <c r="W2030" s="528"/>
      <c r="X2030" s="711">
        <f t="shared" si="7979"/>
        <v>0</v>
      </c>
      <c r="Y2030" s="896" t="str">
        <f t="shared" ref="Y2030" si="8121">IFERROR((X2031/X2030),"-")</f>
        <v>-</v>
      </c>
      <c r="Z2030" s="528"/>
      <c r="AA2030" s="898">
        <v>0</v>
      </c>
      <c r="AB2030" s="898">
        <v>0</v>
      </c>
      <c r="AC2030" s="903">
        <v>0</v>
      </c>
      <c r="AD2030" s="896" t="str">
        <f t="shared" ref="AD2030" si="8122">IFERROR((AC2030/AB2030),"-")</f>
        <v>-</v>
      </c>
      <c r="AE2030" s="2"/>
      <c r="AF2030" s="884"/>
      <c r="AG2030" s="884"/>
      <c r="AH2030" s="884">
        <v>0</v>
      </c>
      <c r="AI2030" s="884"/>
      <c r="AJ2030" s="884"/>
      <c r="AK2030" s="884">
        <f t="shared" ref="AK2030" si="8123">AF2030+AG2030+AH2030+AI2030+AJ2030+AC2030</f>
        <v>0</v>
      </c>
      <c r="AL2030" s="884">
        <v>0</v>
      </c>
      <c r="AM2030" s="878" t="str">
        <f t="shared" ref="AM2030" si="8124">IFERROR((AK2030/AL2030),"-")</f>
        <v>-</v>
      </c>
      <c r="AN2030" s="2"/>
      <c r="AO2030" s="884">
        <v>358</v>
      </c>
      <c r="AP2030" s="884">
        <f t="shared" ref="AP2030" si="8125">AO2030-AK2030</f>
        <v>358</v>
      </c>
      <c r="AV2030" t="str">
        <f t="shared" si="7972"/>
        <v>Drenagem Superficial</v>
      </c>
      <c r="AW2030" s="4" t="str">
        <f t="shared" si="7971"/>
        <v xml:space="preserve">   Seg. 2.3-A05 - Drenagem Superficial - Valetas de proteção de aterro (Km 120+040 a 120+320)</v>
      </c>
    </row>
    <row r="2031" spans="1:49" ht="15.6" hidden="1" customHeight="1" outlineLevel="2">
      <c r="A2031" s="8" t="str">
        <f t="shared" ref="A2031" si="8126">A2030</f>
        <v>N</v>
      </c>
      <c r="B2031" s="150"/>
      <c r="C2031" s="150" t="s">
        <v>2344</v>
      </c>
      <c r="D2031" s="120" t="s">
        <v>1260</v>
      </c>
      <c r="E2031" s="893"/>
      <c r="F2031" s="902"/>
      <c r="G2031" s="528"/>
      <c r="H2031" s="549" t="s">
        <v>38</v>
      </c>
      <c r="I2031" s="711">
        <v>0</v>
      </c>
      <c r="J2031" s="897"/>
      <c r="K2031" s="528"/>
      <c r="L2031" s="549" t="s">
        <v>38</v>
      </c>
      <c r="M2031" s="711">
        <f t="shared" si="7985"/>
        <v>0</v>
      </c>
      <c r="N2031" s="897"/>
      <c r="O2031" s="528"/>
      <c r="P2031" s="548">
        <v>0</v>
      </c>
      <c r="Q2031" s="548">
        <v>0</v>
      </c>
      <c r="R2031" s="548">
        <v>0</v>
      </c>
      <c r="S2031" s="548">
        <v>0</v>
      </c>
      <c r="T2031" s="548">
        <v>0</v>
      </c>
      <c r="U2031" s="548">
        <v>0</v>
      </c>
      <c r="V2031" s="548"/>
      <c r="W2031" s="528"/>
      <c r="X2031" s="711">
        <f t="shared" si="7979"/>
        <v>0</v>
      </c>
      <c r="Y2031" s="897"/>
      <c r="Z2031" s="528"/>
      <c r="AA2031" s="899"/>
      <c r="AB2031" s="899"/>
      <c r="AC2031" s="904"/>
      <c r="AD2031" s="905"/>
      <c r="AE2031" s="2"/>
      <c r="AF2031" s="885"/>
      <c r="AG2031" s="885"/>
      <c r="AH2031" s="885"/>
      <c r="AI2031" s="885"/>
      <c r="AJ2031" s="885"/>
      <c r="AK2031" s="885"/>
      <c r="AL2031" s="885"/>
      <c r="AM2031" s="879"/>
      <c r="AN2031" s="2"/>
      <c r="AO2031" s="886"/>
      <c r="AP2031" s="886"/>
      <c r="AV2031" t="str">
        <f t="shared" si="7972"/>
        <v>Drenagem Superficial</v>
      </c>
      <c r="AW2031" s="4" t="str">
        <f t="shared" si="7971"/>
        <v xml:space="preserve">   Seg. 2.3-A05 - Drenagem Superficial - Valetas de proteção de aterro (Km 120+040 a 120+320)</v>
      </c>
    </row>
    <row r="2032" spans="1:49" ht="15.6" hidden="1" customHeight="1" outlineLevel="2">
      <c r="A2032" s="8" t="str">
        <f t="shared" ref="A2032" si="8127">IF(SUM(P2032:V2033)&gt;0,"S","N")</f>
        <v>N</v>
      </c>
      <c r="B2032" s="150">
        <v>1061751</v>
      </c>
      <c r="C2032" s="150" t="s">
        <v>2346</v>
      </c>
      <c r="D2032" s="120" t="s">
        <v>1262</v>
      </c>
      <c r="E2032" s="892" t="s">
        <v>2347</v>
      </c>
      <c r="F2032" s="902" t="s">
        <v>52</v>
      </c>
      <c r="G2032" s="528"/>
      <c r="H2032" s="546" t="s">
        <v>37</v>
      </c>
      <c r="I2032" s="711">
        <v>0</v>
      </c>
      <c r="J2032" s="896" t="str">
        <f t="shared" ref="J2032" si="8128">IFERROR((I2033/I2032),"-")</f>
        <v>-</v>
      </c>
      <c r="K2032" s="528"/>
      <c r="L2032" s="546" t="s">
        <v>37</v>
      </c>
      <c r="M2032" s="711">
        <f t="shared" si="7985"/>
        <v>0</v>
      </c>
      <c r="N2032" s="896" t="str">
        <f t="shared" ref="N2032" si="8129">IFERROR((M2033/M2032),"-")</f>
        <v>-</v>
      </c>
      <c r="O2032" s="528"/>
      <c r="P2032" s="547">
        <v>0</v>
      </c>
      <c r="Q2032" s="547">
        <v>0</v>
      </c>
      <c r="R2032" s="547">
        <v>0</v>
      </c>
      <c r="S2032" s="547">
        <v>0</v>
      </c>
      <c r="T2032" s="547">
        <v>0</v>
      </c>
      <c r="U2032" s="547">
        <v>0</v>
      </c>
      <c r="V2032" s="548">
        <v>0</v>
      </c>
      <c r="W2032" s="528"/>
      <c r="X2032" s="711">
        <f t="shared" si="7979"/>
        <v>0</v>
      </c>
      <c r="Y2032" s="896" t="str">
        <f t="shared" ref="Y2032" si="8130">IFERROR((X2033/X2032),"-")</f>
        <v>-</v>
      </c>
      <c r="Z2032" s="528"/>
      <c r="AA2032" s="898">
        <v>0</v>
      </c>
      <c r="AB2032" s="898">
        <v>0</v>
      </c>
      <c r="AC2032" s="903">
        <v>0</v>
      </c>
      <c r="AD2032" s="896" t="str">
        <f t="shared" ref="AD2032" si="8131">IFERROR((AC2032/AB2032),"-")</f>
        <v>-</v>
      </c>
      <c r="AE2032" s="2"/>
      <c r="AF2032" s="884">
        <v>39.176000000000002</v>
      </c>
      <c r="AG2032" s="884"/>
      <c r="AH2032" s="884">
        <v>0</v>
      </c>
      <c r="AI2032" s="884"/>
      <c r="AJ2032" s="884"/>
      <c r="AK2032" s="884">
        <f t="shared" ref="AK2032" si="8132">AF2032+AG2032+AH2032+AI2032+AJ2032+AC2032</f>
        <v>39.176000000000002</v>
      </c>
      <c r="AL2032" s="884">
        <v>11.01</v>
      </c>
      <c r="AM2032" s="878">
        <f t="shared" ref="AM2032" si="8133">IFERROR((AK2032/AL2032),"-")</f>
        <v>3.5582198001816532</v>
      </c>
      <c r="AN2032" s="2"/>
      <c r="AO2032" s="884">
        <v>656.53</v>
      </c>
      <c r="AP2032" s="884">
        <f t="shared" ref="AP2032" si="8134">AO2032-AK2032</f>
        <v>617.35399999999993</v>
      </c>
      <c r="AV2032" t="str">
        <f t="shared" si="7972"/>
        <v>Drenagem Superficial</v>
      </c>
      <c r="AW2032" s="4" t="str">
        <f t="shared" si="7971"/>
        <v xml:space="preserve">   Seg. 2.3-A06 - Drenagem Superficial - Valetas de proteção de aterro (Km 120+920 a 121+560)</v>
      </c>
    </row>
    <row r="2033" spans="1:49" ht="15.6" hidden="1" customHeight="1" outlineLevel="2">
      <c r="A2033" s="8" t="str">
        <f t="shared" ref="A2033" si="8135">A2032</f>
        <v>N</v>
      </c>
      <c r="B2033" s="150"/>
      <c r="C2033" s="150" t="s">
        <v>2346</v>
      </c>
      <c r="D2033" s="120" t="s">
        <v>1262</v>
      </c>
      <c r="E2033" s="893"/>
      <c r="F2033" s="902"/>
      <c r="G2033" s="528"/>
      <c r="H2033" s="549" t="s">
        <v>38</v>
      </c>
      <c r="I2033" s="711">
        <v>0</v>
      </c>
      <c r="J2033" s="897"/>
      <c r="K2033" s="528"/>
      <c r="L2033" s="549" t="s">
        <v>38</v>
      </c>
      <c r="M2033" s="711">
        <f t="shared" si="7985"/>
        <v>0</v>
      </c>
      <c r="N2033" s="897"/>
      <c r="O2033" s="528"/>
      <c r="P2033" s="548">
        <v>0</v>
      </c>
      <c r="Q2033" s="548">
        <v>0</v>
      </c>
      <c r="R2033" s="548">
        <v>0</v>
      </c>
      <c r="S2033" s="548">
        <v>0</v>
      </c>
      <c r="T2033" s="548">
        <v>0</v>
      </c>
      <c r="U2033" s="548">
        <v>0</v>
      </c>
      <c r="V2033" s="548"/>
      <c r="W2033" s="528"/>
      <c r="X2033" s="711">
        <f t="shared" si="7979"/>
        <v>0</v>
      </c>
      <c r="Y2033" s="897"/>
      <c r="Z2033" s="528"/>
      <c r="AA2033" s="899"/>
      <c r="AB2033" s="899"/>
      <c r="AC2033" s="904"/>
      <c r="AD2033" s="905"/>
      <c r="AE2033" s="2"/>
      <c r="AF2033" s="885"/>
      <c r="AG2033" s="885"/>
      <c r="AH2033" s="885"/>
      <c r="AI2033" s="885"/>
      <c r="AJ2033" s="885"/>
      <c r="AK2033" s="885"/>
      <c r="AL2033" s="885"/>
      <c r="AM2033" s="879"/>
      <c r="AN2033" s="2"/>
      <c r="AO2033" s="886"/>
      <c r="AP2033" s="886"/>
      <c r="AV2033" t="str">
        <f t="shared" si="7972"/>
        <v>Drenagem Superficial</v>
      </c>
      <c r="AW2033" s="4" t="str">
        <f t="shared" si="7971"/>
        <v xml:space="preserve">   Seg. 2.3-A06 - Drenagem Superficial - Valetas de proteção de aterro (Km 120+920 a 121+560)</v>
      </c>
    </row>
    <row r="2034" spans="1:49" ht="15.6" hidden="1" customHeight="1" outlineLevel="2">
      <c r="A2034" s="8" t="str">
        <f t="shared" ref="A2034" si="8136">IF(SUM(P2034:V2035)&gt;0,"S","N")</f>
        <v>N</v>
      </c>
      <c r="B2034" s="150">
        <v>1061756</v>
      </c>
      <c r="C2034" s="150" t="s">
        <v>2348</v>
      </c>
      <c r="D2034" s="120" t="s">
        <v>1264</v>
      </c>
      <c r="E2034" s="892" t="s">
        <v>2349</v>
      </c>
      <c r="F2034" s="902" t="s">
        <v>52</v>
      </c>
      <c r="G2034" s="528"/>
      <c r="H2034" s="546" t="s">
        <v>37</v>
      </c>
      <c r="I2034" s="711">
        <v>0</v>
      </c>
      <c r="J2034" s="896" t="str">
        <f t="shared" ref="J2034" si="8137">IFERROR((I2035/I2034),"-")</f>
        <v>-</v>
      </c>
      <c r="K2034" s="528"/>
      <c r="L2034" s="546" t="s">
        <v>37</v>
      </c>
      <c r="M2034" s="711">
        <f t="shared" si="7985"/>
        <v>0</v>
      </c>
      <c r="N2034" s="896" t="str">
        <f t="shared" ref="N2034" si="8138">IFERROR((M2035/M2034),"-")</f>
        <v>-</v>
      </c>
      <c r="O2034" s="528"/>
      <c r="P2034" s="547">
        <v>0</v>
      </c>
      <c r="Q2034" s="547">
        <v>0</v>
      </c>
      <c r="R2034" s="547">
        <v>0</v>
      </c>
      <c r="S2034" s="547">
        <v>0</v>
      </c>
      <c r="T2034" s="547">
        <v>0</v>
      </c>
      <c r="U2034" s="547">
        <v>0</v>
      </c>
      <c r="V2034" s="548">
        <v>0</v>
      </c>
      <c r="W2034" s="528"/>
      <c r="X2034" s="711">
        <f t="shared" si="7979"/>
        <v>0</v>
      </c>
      <c r="Y2034" s="896" t="str">
        <f t="shared" ref="Y2034" si="8139">IFERROR((X2035/X2034),"-")</f>
        <v>-</v>
      </c>
      <c r="Z2034" s="528"/>
      <c r="AA2034" s="898">
        <v>0</v>
      </c>
      <c r="AB2034" s="898">
        <v>0</v>
      </c>
      <c r="AC2034" s="903">
        <v>0</v>
      </c>
      <c r="AD2034" s="896" t="str">
        <f t="shared" ref="AD2034" si="8140">IFERROR((AC2034/AB2034),"-")</f>
        <v>-</v>
      </c>
      <c r="AE2034" s="2"/>
      <c r="AF2034" s="884">
        <v>26.052</v>
      </c>
      <c r="AG2034" s="884"/>
      <c r="AH2034" s="884">
        <v>0</v>
      </c>
      <c r="AI2034" s="884"/>
      <c r="AJ2034" s="884"/>
      <c r="AK2034" s="884">
        <f t="shared" ref="AK2034" si="8141">AF2034+AG2034+AH2034+AI2034+AJ2034+AC2034</f>
        <v>26.052</v>
      </c>
      <c r="AL2034" s="884">
        <v>3.86</v>
      </c>
      <c r="AM2034" s="878">
        <f t="shared" ref="AM2034" si="8142">IFERROR((AK2034/AL2034),"-")</f>
        <v>6.7492227979274615</v>
      </c>
      <c r="AN2034" s="2"/>
      <c r="AO2034" s="884">
        <v>44</v>
      </c>
      <c r="AP2034" s="884">
        <f t="shared" ref="AP2034" si="8143">AO2034-AK2034</f>
        <v>17.948</v>
      </c>
      <c r="AV2034" t="str">
        <f t="shared" si="7972"/>
        <v>Drenagem Superficial</v>
      </c>
      <c r="AW2034" s="4" t="str">
        <f t="shared" si="7971"/>
        <v xml:space="preserve">   Seg. 2.3-A07 - Drenagem Superficial - Valetas de proteção de aterro (Km 121+660 a 121+700)</v>
      </c>
    </row>
    <row r="2035" spans="1:49" ht="15.6" hidden="1" customHeight="1" outlineLevel="2">
      <c r="A2035" s="8" t="str">
        <f t="shared" ref="A2035" si="8144">A2034</f>
        <v>N</v>
      </c>
      <c r="B2035" s="150"/>
      <c r="C2035" s="150" t="s">
        <v>2348</v>
      </c>
      <c r="D2035" s="120" t="s">
        <v>1264</v>
      </c>
      <c r="E2035" s="893"/>
      <c r="F2035" s="902"/>
      <c r="G2035" s="528"/>
      <c r="H2035" s="549" t="s">
        <v>38</v>
      </c>
      <c r="I2035" s="711">
        <v>0</v>
      </c>
      <c r="J2035" s="897"/>
      <c r="K2035" s="528"/>
      <c r="L2035" s="549" t="s">
        <v>38</v>
      </c>
      <c r="M2035" s="711">
        <f t="shared" si="7985"/>
        <v>0</v>
      </c>
      <c r="N2035" s="897"/>
      <c r="O2035" s="528"/>
      <c r="P2035" s="548">
        <v>0</v>
      </c>
      <c r="Q2035" s="548">
        <v>0</v>
      </c>
      <c r="R2035" s="548">
        <v>0</v>
      </c>
      <c r="S2035" s="548">
        <v>0</v>
      </c>
      <c r="T2035" s="548">
        <v>0</v>
      </c>
      <c r="U2035" s="548">
        <v>0</v>
      </c>
      <c r="V2035" s="548"/>
      <c r="W2035" s="528"/>
      <c r="X2035" s="711">
        <f t="shared" si="7979"/>
        <v>0</v>
      </c>
      <c r="Y2035" s="897"/>
      <c r="Z2035" s="528"/>
      <c r="AA2035" s="899"/>
      <c r="AB2035" s="899"/>
      <c r="AC2035" s="904"/>
      <c r="AD2035" s="905"/>
      <c r="AE2035" s="2"/>
      <c r="AF2035" s="885"/>
      <c r="AG2035" s="885"/>
      <c r="AH2035" s="885"/>
      <c r="AI2035" s="885"/>
      <c r="AJ2035" s="885"/>
      <c r="AK2035" s="885"/>
      <c r="AL2035" s="885"/>
      <c r="AM2035" s="879"/>
      <c r="AN2035" s="2"/>
      <c r="AO2035" s="886"/>
      <c r="AP2035" s="886"/>
      <c r="AV2035" t="str">
        <f t="shared" si="7972"/>
        <v>Drenagem Superficial</v>
      </c>
      <c r="AW2035" s="4" t="str">
        <f t="shared" si="7971"/>
        <v xml:space="preserve">   Seg. 2.3-A07 - Drenagem Superficial - Valetas de proteção de aterro (Km 121+660 a 121+700)</v>
      </c>
    </row>
    <row r="2036" spans="1:49" ht="15.6" hidden="1" customHeight="1" outlineLevel="2">
      <c r="A2036" s="8" t="str">
        <f t="shared" ref="A2036" si="8145">IF(SUM(P2036:V2037)&gt;0,"S","N")</f>
        <v>N</v>
      </c>
      <c r="B2036" s="150">
        <v>1061765</v>
      </c>
      <c r="C2036" s="150" t="s">
        <v>2350</v>
      </c>
      <c r="D2036" s="120" t="s">
        <v>1271</v>
      </c>
      <c r="E2036" s="892" t="s">
        <v>2351</v>
      </c>
      <c r="F2036" s="902" t="s">
        <v>52</v>
      </c>
      <c r="G2036" s="528"/>
      <c r="H2036" s="546" t="s">
        <v>37</v>
      </c>
      <c r="I2036" s="711">
        <v>0</v>
      </c>
      <c r="J2036" s="896" t="str">
        <f t="shared" ref="J2036" si="8146">IFERROR((I2037/I2036),"-")</f>
        <v>-</v>
      </c>
      <c r="K2036" s="528"/>
      <c r="L2036" s="546" t="s">
        <v>37</v>
      </c>
      <c r="M2036" s="711">
        <f t="shared" si="7985"/>
        <v>0</v>
      </c>
      <c r="N2036" s="896" t="str">
        <f t="shared" ref="N2036" si="8147">IFERROR((M2037/M2036),"-")</f>
        <v>-</v>
      </c>
      <c r="O2036" s="528"/>
      <c r="P2036" s="547">
        <v>0</v>
      </c>
      <c r="Q2036" s="547">
        <v>0</v>
      </c>
      <c r="R2036" s="547">
        <v>0</v>
      </c>
      <c r="S2036" s="547">
        <v>0</v>
      </c>
      <c r="T2036" s="547">
        <v>0</v>
      </c>
      <c r="U2036" s="547">
        <v>0</v>
      </c>
      <c r="V2036" s="548">
        <v>0</v>
      </c>
      <c r="W2036" s="528"/>
      <c r="X2036" s="711">
        <f t="shared" si="7979"/>
        <v>0</v>
      </c>
      <c r="Y2036" s="896" t="str">
        <f t="shared" ref="Y2036" si="8148">IFERROR((X2037/X2036),"-")</f>
        <v>-</v>
      </c>
      <c r="Z2036" s="528"/>
      <c r="AA2036" s="898">
        <v>0</v>
      </c>
      <c r="AB2036" s="898">
        <v>0</v>
      </c>
      <c r="AC2036" s="903">
        <v>0</v>
      </c>
      <c r="AD2036" s="896" t="str">
        <f t="shared" ref="AD2036" si="8149">IFERROR((AC2036/AB2036),"-")</f>
        <v>-</v>
      </c>
      <c r="AE2036" s="2"/>
      <c r="AF2036" s="884"/>
      <c r="AG2036" s="884"/>
      <c r="AH2036" s="884">
        <v>0</v>
      </c>
      <c r="AI2036" s="884"/>
      <c r="AJ2036" s="884"/>
      <c r="AK2036" s="884">
        <f t="shared" ref="AK2036" si="8150">AF2036+AG2036+AH2036+AI2036+AJ2036+AC2036</f>
        <v>0</v>
      </c>
      <c r="AL2036" s="884">
        <v>0</v>
      </c>
      <c r="AM2036" s="878" t="str">
        <f t="shared" ref="AM2036" si="8151">IFERROR((AK2036/AL2036),"-")</f>
        <v>-</v>
      </c>
      <c r="AN2036" s="2"/>
      <c r="AO2036" s="884">
        <v>45</v>
      </c>
      <c r="AP2036" s="884">
        <f t="shared" ref="AP2036" si="8152">AO2036-AK2036</f>
        <v>45</v>
      </c>
      <c r="AV2036" t="str">
        <f t="shared" si="7972"/>
        <v>Drenagem Superficial</v>
      </c>
      <c r="AW2036" s="4" t="str">
        <f t="shared" si="7971"/>
        <v xml:space="preserve">   Seg. 2.3-A11 - Drenagem Superficial - Valeta de aterro (Km 124+400 ao 124+460)</v>
      </c>
    </row>
    <row r="2037" spans="1:49" ht="15.6" hidden="1" customHeight="1" outlineLevel="2">
      <c r="A2037" s="8" t="str">
        <f t="shared" ref="A2037" si="8153">A2036</f>
        <v>N</v>
      </c>
      <c r="B2037" s="150"/>
      <c r="C2037" s="150" t="s">
        <v>2350</v>
      </c>
      <c r="D2037" s="120" t="s">
        <v>1271</v>
      </c>
      <c r="E2037" s="893"/>
      <c r="F2037" s="902"/>
      <c r="G2037" s="528"/>
      <c r="H2037" s="549" t="s">
        <v>38</v>
      </c>
      <c r="I2037" s="711">
        <v>0</v>
      </c>
      <c r="J2037" s="897"/>
      <c r="K2037" s="528"/>
      <c r="L2037" s="549" t="s">
        <v>38</v>
      </c>
      <c r="M2037" s="711">
        <f t="shared" si="7985"/>
        <v>0</v>
      </c>
      <c r="N2037" s="897"/>
      <c r="O2037" s="528"/>
      <c r="P2037" s="548">
        <v>0</v>
      </c>
      <c r="Q2037" s="548">
        <v>0</v>
      </c>
      <c r="R2037" s="548">
        <v>0</v>
      </c>
      <c r="S2037" s="548">
        <v>0</v>
      </c>
      <c r="T2037" s="548">
        <v>0</v>
      </c>
      <c r="U2037" s="548">
        <v>0</v>
      </c>
      <c r="V2037" s="548"/>
      <c r="W2037" s="528"/>
      <c r="X2037" s="711">
        <f t="shared" si="7979"/>
        <v>0</v>
      </c>
      <c r="Y2037" s="897"/>
      <c r="Z2037" s="528"/>
      <c r="AA2037" s="899"/>
      <c r="AB2037" s="899"/>
      <c r="AC2037" s="904"/>
      <c r="AD2037" s="905"/>
      <c r="AE2037" s="2"/>
      <c r="AF2037" s="885"/>
      <c r="AG2037" s="885"/>
      <c r="AH2037" s="885"/>
      <c r="AI2037" s="885"/>
      <c r="AJ2037" s="885"/>
      <c r="AK2037" s="885"/>
      <c r="AL2037" s="885"/>
      <c r="AM2037" s="879"/>
      <c r="AN2037" s="2"/>
      <c r="AO2037" s="886"/>
      <c r="AP2037" s="886"/>
      <c r="AV2037" t="str">
        <f t="shared" si="7972"/>
        <v>Drenagem Superficial</v>
      </c>
      <c r="AW2037" s="4" t="str">
        <f t="shared" si="7971"/>
        <v xml:space="preserve">   Seg. 2.3-A11 - Drenagem Superficial - Valeta de aterro (Km 124+400 ao 124+460)</v>
      </c>
    </row>
    <row r="2038" spans="1:49" ht="15.6" hidden="1" customHeight="1" outlineLevel="2">
      <c r="A2038" s="8" t="str">
        <f t="shared" ref="A2038" si="8154">IF(SUM(P2038:V2039)&gt;0,"S","N")</f>
        <v>N</v>
      </c>
      <c r="B2038" s="150">
        <v>1061769</v>
      </c>
      <c r="C2038" s="150" t="s">
        <v>2352</v>
      </c>
      <c r="D2038" s="120" t="s">
        <v>1273</v>
      </c>
      <c r="E2038" s="892" t="s">
        <v>2353</v>
      </c>
      <c r="F2038" s="902" t="s">
        <v>52</v>
      </c>
      <c r="G2038" s="528"/>
      <c r="H2038" s="546" t="s">
        <v>37</v>
      </c>
      <c r="I2038" s="711">
        <v>0</v>
      </c>
      <c r="J2038" s="896" t="str">
        <f t="shared" ref="J2038" si="8155">IFERROR((I2039/I2038),"-")</f>
        <v>-</v>
      </c>
      <c r="K2038" s="528"/>
      <c r="L2038" s="546" t="s">
        <v>37</v>
      </c>
      <c r="M2038" s="711">
        <f t="shared" si="7985"/>
        <v>0</v>
      </c>
      <c r="N2038" s="896" t="str">
        <f t="shared" ref="N2038" si="8156">IFERROR((M2039/M2038),"-")</f>
        <v>-</v>
      </c>
      <c r="O2038" s="528"/>
      <c r="P2038" s="547">
        <v>0</v>
      </c>
      <c r="Q2038" s="547">
        <v>0</v>
      </c>
      <c r="R2038" s="547">
        <v>0</v>
      </c>
      <c r="S2038" s="547">
        <v>0</v>
      </c>
      <c r="T2038" s="547">
        <v>0</v>
      </c>
      <c r="U2038" s="547">
        <v>0</v>
      </c>
      <c r="V2038" s="548">
        <v>0</v>
      </c>
      <c r="W2038" s="528"/>
      <c r="X2038" s="711">
        <f t="shared" si="7979"/>
        <v>0</v>
      </c>
      <c r="Y2038" s="896" t="str">
        <f t="shared" ref="Y2038" si="8157">IFERROR((X2039/X2038),"-")</f>
        <v>-</v>
      </c>
      <c r="Z2038" s="528"/>
      <c r="AA2038" s="898">
        <v>0</v>
      </c>
      <c r="AB2038" s="898">
        <v>0</v>
      </c>
      <c r="AC2038" s="903">
        <v>0</v>
      </c>
      <c r="AD2038" s="896" t="str">
        <f t="shared" ref="AD2038" si="8158">IFERROR((AC2038/AB2038),"-")</f>
        <v>-</v>
      </c>
      <c r="AE2038" s="2"/>
      <c r="AF2038" s="884">
        <v>537.35199999999998</v>
      </c>
      <c r="AG2038" s="884"/>
      <c r="AH2038" s="884">
        <v>0</v>
      </c>
      <c r="AI2038" s="884"/>
      <c r="AJ2038" s="884"/>
      <c r="AK2038" s="884">
        <f t="shared" ref="AK2038" si="8159">AF2038+AG2038+AH2038+AI2038+AJ2038+AC2038</f>
        <v>537.35199999999998</v>
      </c>
      <c r="AL2038" s="884">
        <v>90.83</v>
      </c>
      <c r="AM2038" s="878">
        <f t="shared" ref="AM2038" si="8160">IFERROR((AK2038/AL2038),"-")</f>
        <v>5.9160189364747326</v>
      </c>
      <c r="AN2038" s="2"/>
      <c r="AO2038" s="884">
        <v>611</v>
      </c>
      <c r="AP2038" s="884">
        <f t="shared" ref="AP2038" si="8161">AO2038-AK2038</f>
        <v>73.648000000000025</v>
      </c>
      <c r="AV2038" t="str">
        <f t="shared" si="7972"/>
        <v>Drenagem Superficial</v>
      </c>
      <c r="AW2038" s="4" t="str">
        <f t="shared" si="7971"/>
        <v xml:space="preserve">   Seg. 2.3-A12 - Drenagem Superficial - Valetas de proteção de aterro (Km 124+620 a 125+180)</v>
      </c>
    </row>
    <row r="2039" spans="1:49" ht="15.6" hidden="1" customHeight="1" outlineLevel="2">
      <c r="A2039" s="8" t="str">
        <f t="shared" ref="A2039" si="8162">A2038</f>
        <v>N</v>
      </c>
      <c r="B2039" s="150"/>
      <c r="C2039" s="150" t="s">
        <v>2352</v>
      </c>
      <c r="D2039" s="120" t="s">
        <v>1273</v>
      </c>
      <c r="E2039" s="893"/>
      <c r="F2039" s="902"/>
      <c r="G2039" s="528"/>
      <c r="H2039" s="549" t="s">
        <v>38</v>
      </c>
      <c r="I2039" s="711">
        <v>0</v>
      </c>
      <c r="J2039" s="897"/>
      <c r="K2039" s="528"/>
      <c r="L2039" s="549" t="s">
        <v>38</v>
      </c>
      <c r="M2039" s="711">
        <f t="shared" si="7985"/>
        <v>0</v>
      </c>
      <c r="N2039" s="897"/>
      <c r="O2039" s="528"/>
      <c r="P2039" s="548">
        <v>0</v>
      </c>
      <c r="Q2039" s="548">
        <v>0</v>
      </c>
      <c r="R2039" s="548">
        <v>0</v>
      </c>
      <c r="S2039" s="548">
        <v>0</v>
      </c>
      <c r="T2039" s="548">
        <v>0</v>
      </c>
      <c r="U2039" s="548">
        <v>0</v>
      </c>
      <c r="V2039" s="548"/>
      <c r="W2039" s="528"/>
      <c r="X2039" s="711">
        <f t="shared" si="7979"/>
        <v>0</v>
      </c>
      <c r="Y2039" s="897"/>
      <c r="Z2039" s="528"/>
      <c r="AA2039" s="899"/>
      <c r="AB2039" s="899"/>
      <c r="AC2039" s="904"/>
      <c r="AD2039" s="905"/>
      <c r="AE2039" s="2"/>
      <c r="AF2039" s="885"/>
      <c r="AG2039" s="885"/>
      <c r="AH2039" s="885"/>
      <c r="AI2039" s="885"/>
      <c r="AJ2039" s="885"/>
      <c r="AK2039" s="885"/>
      <c r="AL2039" s="885"/>
      <c r="AM2039" s="879"/>
      <c r="AN2039" s="2"/>
      <c r="AO2039" s="886"/>
      <c r="AP2039" s="886"/>
      <c r="AV2039" t="str">
        <f t="shared" si="7972"/>
        <v>Drenagem Superficial</v>
      </c>
      <c r="AW2039" s="4" t="str">
        <f t="shared" si="7971"/>
        <v xml:space="preserve">   Seg. 2.3-A12 - Drenagem Superficial - Valetas de proteção de aterro (Km 124+620 a 125+180)</v>
      </c>
    </row>
    <row r="2040" spans="1:49" ht="14.45" hidden="1" customHeight="1" outlineLevel="2">
      <c r="A2040" s="8" t="str">
        <f t="shared" ref="A2040" si="8163">IF(SUM(P2040:V2041)&gt;0,"S","N")</f>
        <v>N</v>
      </c>
      <c r="B2040" s="150">
        <v>1061774</v>
      </c>
      <c r="C2040" s="150" t="s">
        <v>2354</v>
      </c>
      <c r="D2040" s="120" t="s">
        <v>1275</v>
      </c>
      <c r="E2040" s="892" t="s">
        <v>2355</v>
      </c>
      <c r="F2040" s="902" t="s">
        <v>52</v>
      </c>
      <c r="G2040" s="528"/>
      <c r="H2040" s="546" t="s">
        <v>37</v>
      </c>
      <c r="I2040" s="711">
        <v>0</v>
      </c>
      <c r="J2040" s="896" t="str">
        <f t="shared" ref="J2040" si="8164">IFERROR((I2041/I2040),"-")</f>
        <v>-</v>
      </c>
      <c r="K2040" s="528"/>
      <c r="L2040" s="546" t="s">
        <v>37</v>
      </c>
      <c r="M2040" s="711">
        <f t="shared" si="7985"/>
        <v>0</v>
      </c>
      <c r="N2040" s="896" t="str">
        <f t="shared" ref="N2040" si="8165">IFERROR((M2041/M2040),"-")</f>
        <v>-</v>
      </c>
      <c r="O2040" s="528"/>
      <c r="P2040" s="547">
        <v>0</v>
      </c>
      <c r="Q2040" s="547">
        <v>0</v>
      </c>
      <c r="R2040" s="547">
        <v>0</v>
      </c>
      <c r="S2040" s="547">
        <v>0</v>
      </c>
      <c r="T2040" s="547">
        <v>0</v>
      </c>
      <c r="U2040" s="547">
        <v>0</v>
      </c>
      <c r="V2040" s="548">
        <v>0</v>
      </c>
      <c r="W2040" s="528"/>
      <c r="X2040" s="711">
        <f t="shared" si="7979"/>
        <v>0</v>
      </c>
      <c r="Y2040" s="896" t="str">
        <f t="shared" ref="Y2040" si="8166">IFERROR((X2041/X2040),"-")</f>
        <v>-</v>
      </c>
      <c r="Z2040" s="528"/>
      <c r="AA2040" s="898">
        <v>0</v>
      </c>
      <c r="AB2040" s="898">
        <v>0</v>
      </c>
      <c r="AC2040" s="903">
        <v>0</v>
      </c>
      <c r="AD2040" s="896" t="str">
        <f t="shared" ref="AD2040" si="8167">IFERROR((AC2040/AB2040),"-")</f>
        <v>-</v>
      </c>
      <c r="AE2040" s="2"/>
      <c r="AF2040" s="884">
        <v>245.36799999999999</v>
      </c>
      <c r="AG2040" s="884"/>
      <c r="AH2040" s="884">
        <v>0</v>
      </c>
      <c r="AI2040" s="884"/>
      <c r="AJ2040" s="884"/>
      <c r="AK2040" s="884">
        <f t="shared" ref="AK2040" si="8168">AF2040+AG2040+AH2040+AI2040+AJ2040+AC2040</f>
        <v>245.36799999999999</v>
      </c>
      <c r="AL2040" s="884">
        <v>157.85</v>
      </c>
      <c r="AM2040" s="878">
        <f t="shared" ref="AM2040" si="8169">IFERROR((AK2040/AL2040),"-")</f>
        <v>1.5544377573645867</v>
      </c>
      <c r="AN2040" s="2"/>
      <c r="AO2040" s="884">
        <v>622</v>
      </c>
      <c r="AP2040" s="884">
        <f t="shared" ref="AP2040" si="8170">AO2040-AK2040</f>
        <v>376.63200000000001</v>
      </c>
      <c r="AV2040" t="str">
        <f t="shared" si="7972"/>
        <v>Drenagem Superficial</v>
      </c>
      <c r="AW2040" s="4" t="str">
        <f t="shared" si="7971"/>
        <v xml:space="preserve">   Seg. 2.3-A13 - Drenagem Superficial - Valetas de proteção de aterro (Km 125+640 a 125+960)</v>
      </c>
    </row>
    <row r="2041" spans="1:49" ht="15.6" hidden="1" customHeight="1" outlineLevel="2">
      <c r="A2041" s="8" t="str">
        <f t="shared" ref="A2041" si="8171">A2040</f>
        <v>N</v>
      </c>
      <c r="B2041" s="150"/>
      <c r="C2041" s="150" t="s">
        <v>2354</v>
      </c>
      <c r="D2041" s="120" t="s">
        <v>1275</v>
      </c>
      <c r="E2041" s="893"/>
      <c r="F2041" s="902"/>
      <c r="G2041" s="528"/>
      <c r="H2041" s="549" t="s">
        <v>38</v>
      </c>
      <c r="I2041" s="711">
        <v>0</v>
      </c>
      <c r="J2041" s="897"/>
      <c r="K2041" s="528"/>
      <c r="L2041" s="549" t="s">
        <v>38</v>
      </c>
      <c r="M2041" s="711">
        <f t="shared" si="7985"/>
        <v>0</v>
      </c>
      <c r="N2041" s="897"/>
      <c r="O2041" s="528"/>
      <c r="P2041" s="548">
        <v>0</v>
      </c>
      <c r="Q2041" s="548">
        <v>0</v>
      </c>
      <c r="R2041" s="548">
        <v>0</v>
      </c>
      <c r="S2041" s="548">
        <v>0</v>
      </c>
      <c r="T2041" s="548">
        <v>0</v>
      </c>
      <c r="U2041" s="548">
        <v>0</v>
      </c>
      <c r="V2041" s="548"/>
      <c r="W2041" s="528"/>
      <c r="X2041" s="711">
        <f t="shared" si="7979"/>
        <v>0</v>
      </c>
      <c r="Y2041" s="897"/>
      <c r="Z2041" s="528"/>
      <c r="AA2041" s="899"/>
      <c r="AB2041" s="899"/>
      <c r="AC2041" s="904"/>
      <c r="AD2041" s="905"/>
      <c r="AE2041" s="2"/>
      <c r="AF2041" s="885"/>
      <c r="AG2041" s="885"/>
      <c r="AH2041" s="885"/>
      <c r="AI2041" s="885"/>
      <c r="AJ2041" s="885"/>
      <c r="AK2041" s="885"/>
      <c r="AL2041" s="885"/>
      <c r="AM2041" s="879"/>
      <c r="AN2041" s="2"/>
      <c r="AO2041" s="886"/>
      <c r="AP2041" s="886"/>
      <c r="AV2041" t="str">
        <f t="shared" si="7972"/>
        <v>Drenagem Superficial</v>
      </c>
      <c r="AW2041" s="4" t="str">
        <f t="shared" si="7971"/>
        <v xml:space="preserve">   Seg. 2.3-A13 - Drenagem Superficial - Valetas de proteção de aterro (Km 125+640 a 125+960)</v>
      </c>
    </row>
    <row r="2042" spans="1:49" ht="15.6" hidden="1" customHeight="1" outlineLevel="2">
      <c r="A2042" s="8" t="str">
        <f t="shared" ref="A2042" si="8172">IF(SUM(P2042:V2043)&gt;0,"S","N")</f>
        <v>N</v>
      </c>
      <c r="B2042" s="150">
        <v>1061779</v>
      </c>
      <c r="C2042" s="150" t="s">
        <v>2356</v>
      </c>
      <c r="D2042" s="120" t="s">
        <v>1277</v>
      </c>
      <c r="E2042" s="892" t="s">
        <v>2357</v>
      </c>
      <c r="F2042" s="902" t="s">
        <v>52</v>
      </c>
      <c r="G2042" s="528"/>
      <c r="H2042" s="546" t="s">
        <v>37</v>
      </c>
      <c r="I2042" s="711">
        <v>0</v>
      </c>
      <c r="J2042" s="896" t="str">
        <f t="shared" ref="J2042" si="8173">IFERROR((I2043/I2042),"-")</f>
        <v>-</v>
      </c>
      <c r="K2042" s="528"/>
      <c r="L2042" s="546" t="s">
        <v>37</v>
      </c>
      <c r="M2042" s="711">
        <f t="shared" si="7985"/>
        <v>0</v>
      </c>
      <c r="N2042" s="896" t="str">
        <f t="shared" ref="N2042" si="8174">IFERROR((M2043/M2042),"-")</f>
        <v>-</v>
      </c>
      <c r="O2042" s="528"/>
      <c r="P2042" s="547">
        <v>0</v>
      </c>
      <c r="Q2042" s="547">
        <v>0</v>
      </c>
      <c r="R2042" s="547">
        <v>0</v>
      </c>
      <c r="S2042" s="547">
        <v>0</v>
      </c>
      <c r="T2042" s="547">
        <v>0</v>
      </c>
      <c r="U2042" s="547">
        <v>0</v>
      </c>
      <c r="V2042" s="548">
        <v>0</v>
      </c>
      <c r="W2042" s="528"/>
      <c r="X2042" s="711">
        <f t="shared" si="7979"/>
        <v>0</v>
      </c>
      <c r="Y2042" s="896" t="str">
        <f t="shared" ref="Y2042" si="8175">IFERROR((X2043/X2042),"-")</f>
        <v>-</v>
      </c>
      <c r="Z2042" s="528"/>
      <c r="AA2042" s="898">
        <v>0</v>
      </c>
      <c r="AB2042" s="898">
        <v>0</v>
      </c>
      <c r="AC2042" s="903">
        <v>0</v>
      </c>
      <c r="AD2042" s="896" t="str">
        <f t="shared" ref="AD2042" si="8176">IFERROR((AC2042/AB2042),"-")</f>
        <v>-</v>
      </c>
      <c r="AE2042" s="2"/>
      <c r="AF2042" s="884">
        <v>1398.6869999999999</v>
      </c>
      <c r="AG2042" s="884"/>
      <c r="AH2042" s="884">
        <v>0</v>
      </c>
      <c r="AI2042" s="884"/>
      <c r="AJ2042" s="884"/>
      <c r="AK2042" s="884">
        <f t="shared" ref="AK2042" si="8177">AF2042+AG2042+AH2042+AI2042+AJ2042+AC2042</f>
        <v>1398.6869999999999</v>
      </c>
      <c r="AL2042" s="884">
        <v>227</v>
      </c>
      <c r="AM2042" s="878">
        <f t="shared" ref="AM2042" si="8178">IFERROR((AK2042/AL2042),"-")</f>
        <v>6.161616740088105</v>
      </c>
      <c r="AN2042" s="2"/>
      <c r="AO2042" s="884">
        <v>227</v>
      </c>
      <c r="AP2042" s="884">
        <f t="shared" ref="AP2042" si="8179">AO2042-AK2042</f>
        <v>-1171.6869999999999</v>
      </c>
      <c r="AV2042" t="str">
        <f t="shared" si="7972"/>
        <v>Drenagem Superficial</v>
      </c>
      <c r="AW2042" s="4" t="str">
        <f t="shared" si="7971"/>
        <v xml:space="preserve">   Seg. 2.3-A14 - Drenagem Superficial - Valetas de proteção de aterro (Km 126+360 a 126+500)</v>
      </c>
    </row>
    <row r="2043" spans="1:49" ht="15.6" hidden="1" customHeight="1" outlineLevel="2">
      <c r="A2043" s="8" t="str">
        <f t="shared" ref="A2043" si="8180">A2042</f>
        <v>N</v>
      </c>
      <c r="B2043" s="150"/>
      <c r="C2043" s="150" t="s">
        <v>2356</v>
      </c>
      <c r="D2043" s="120" t="s">
        <v>1277</v>
      </c>
      <c r="E2043" s="893"/>
      <c r="F2043" s="902"/>
      <c r="G2043" s="528"/>
      <c r="H2043" s="549" t="s">
        <v>38</v>
      </c>
      <c r="I2043" s="711">
        <v>0</v>
      </c>
      <c r="J2043" s="897"/>
      <c r="K2043" s="528"/>
      <c r="L2043" s="549" t="s">
        <v>38</v>
      </c>
      <c r="M2043" s="711">
        <f t="shared" si="7985"/>
        <v>0</v>
      </c>
      <c r="N2043" s="897"/>
      <c r="O2043" s="528"/>
      <c r="P2043" s="548">
        <v>0</v>
      </c>
      <c r="Q2043" s="548">
        <v>0</v>
      </c>
      <c r="R2043" s="548">
        <v>0</v>
      </c>
      <c r="S2043" s="548">
        <v>0</v>
      </c>
      <c r="T2043" s="548">
        <v>0</v>
      </c>
      <c r="U2043" s="548">
        <v>0</v>
      </c>
      <c r="V2043" s="548"/>
      <c r="W2043" s="528"/>
      <c r="X2043" s="711">
        <f t="shared" si="7979"/>
        <v>0</v>
      </c>
      <c r="Y2043" s="897"/>
      <c r="Z2043" s="528"/>
      <c r="AA2043" s="899"/>
      <c r="AB2043" s="899"/>
      <c r="AC2043" s="904"/>
      <c r="AD2043" s="905"/>
      <c r="AE2043" s="2"/>
      <c r="AF2043" s="885"/>
      <c r="AG2043" s="885"/>
      <c r="AH2043" s="885"/>
      <c r="AI2043" s="885"/>
      <c r="AJ2043" s="885"/>
      <c r="AK2043" s="885"/>
      <c r="AL2043" s="885"/>
      <c r="AM2043" s="879"/>
      <c r="AN2043" s="2"/>
      <c r="AO2043" s="886"/>
      <c r="AP2043" s="886"/>
      <c r="AV2043" t="str">
        <f t="shared" si="7972"/>
        <v>Drenagem Superficial</v>
      </c>
      <c r="AW2043" s="4" t="str">
        <f t="shared" si="7971"/>
        <v xml:space="preserve">   Seg. 2.3-A14 - Drenagem Superficial - Valetas de proteção de aterro (Km 126+360 a 126+500)</v>
      </c>
    </row>
    <row r="2044" spans="1:49" ht="15.6" hidden="1" customHeight="1" outlineLevel="2">
      <c r="A2044" s="8" t="str">
        <f t="shared" ref="A2044" si="8181">IF(SUM(P2044:V2045)&gt;0,"S","N")</f>
        <v>N</v>
      </c>
      <c r="B2044" s="150">
        <v>1061784</v>
      </c>
      <c r="C2044" s="150" t="s">
        <v>2358</v>
      </c>
      <c r="D2044" s="120" t="s">
        <v>1279</v>
      </c>
      <c r="E2044" s="892" t="s">
        <v>2359</v>
      </c>
      <c r="F2044" s="902" t="s">
        <v>52</v>
      </c>
      <c r="G2044" s="528"/>
      <c r="H2044" s="546" t="s">
        <v>37</v>
      </c>
      <c r="I2044" s="711">
        <v>0</v>
      </c>
      <c r="J2044" s="896" t="str">
        <f t="shared" ref="J2044" si="8182">IFERROR((I2045/I2044),"-")</f>
        <v>-</v>
      </c>
      <c r="K2044" s="528"/>
      <c r="L2044" s="546" t="s">
        <v>37</v>
      </c>
      <c r="M2044" s="711">
        <f t="shared" si="7985"/>
        <v>0</v>
      </c>
      <c r="N2044" s="896" t="str">
        <f t="shared" ref="N2044" si="8183">IFERROR((M2045/M2044),"-")</f>
        <v>-</v>
      </c>
      <c r="O2044" s="528"/>
      <c r="P2044" s="547">
        <v>0</v>
      </c>
      <c r="Q2044" s="547">
        <v>0</v>
      </c>
      <c r="R2044" s="547">
        <v>0</v>
      </c>
      <c r="S2044" s="547">
        <v>0</v>
      </c>
      <c r="T2044" s="547">
        <v>0</v>
      </c>
      <c r="U2044" s="547">
        <v>0</v>
      </c>
      <c r="V2044" s="548">
        <v>0</v>
      </c>
      <c r="W2044" s="528"/>
      <c r="X2044" s="711">
        <f t="shared" si="7979"/>
        <v>0</v>
      </c>
      <c r="Y2044" s="896" t="str">
        <f t="shared" ref="Y2044" si="8184">IFERROR((X2045/X2044),"-")</f>
        <v>-</v>
      </c>
      <c r="Z2044" s="528"/>
      <c r="AA2044" s="898">
        <v>0</v>
      </c>
      <c r="AB2044" s="898">
        <v>0</v>
      </c>
      <c r="AC2044" s="903">
        <v>0</v>
      </c>
      <c r="AD2044" s="896" t="str">
        <f t="shared" ref="AD2044" si="8185">IFERROR((AC2044/AB2044),"-")</f>
        <v>-</v>
      </c>
      <c r="AE2044" s="2"/>
      <c r="AF2044" s="884">
        <v>925.91099999999994</v>
      </c>
      <c r="AG2044" s="884"/>
      <c r="AH2044" s="884">
        <v>0</v>
      </c>
      <c r="AI2044" s="884"/>
      <c r="AJ2044" s="884"/>
      <c r="AK2044" s="884">
        <f t="shared" ref="AK2044" si="8186">AF2044+AG2044+AH2044+AI2044+AJ2044+AC2044</f>
        <v>925.91099999999994</v>
      </c>
      <c r="AL2044" s="884">
        <v>826.73</v>
      </c>
      <c r="AM2044" s="878">
        <f t="shared" ref="AM2044" si="8187">IFERROR((AK2044/AL2044),"-")</f>
        <v>1.1199678250456617</v>
      </c>
      <c r="AN2044" s="2"/>
      <c r="AO2044" s="884">
        <v>1035</v>
      </c>
      <c r="AP2044" s="884">
        <f t="shared" ref="AP2044" si="8188">AO2044-AK2044</f>
        <v>109.08900000000006</v>
      </c>
      <c r="AV2044" t="str">
        <f t="shared" si="7972"/>
        <v>Drenagem Superficial</v>
      </c>
      <c r="AW2044" s="4" t="str">
        <f t="shared" si="7971"/>
        <v xml:space="preserve">   Seg. 2.3-A15 - Drenagem Superficial - Valetas de proteção de aterro (Km 126+620 a 127+440)</v>
      </c>
    </row>
    <row r="2045" spans="1:49" ht="15.6" hidden="1" customHeight="1" outlineLevel="2">
      <c r="A2045" s="8" t="str">
        <f t="shared" ref="A2045" si="8189">A2044</f>
        <v>N</v>
      </c>
      <c r="B2045" s="150"/>
      <c r="C2045" s="150" t="s">
        <v>2358</v>
      </c>
      <c r="D2045" s="120" t="s">
        <v>1279</v>
      </c>
      <c r="E2045" s="893"/>
      <c r="F2045" s="902"/>
      <c r="G2045" s="528"/>
      <c r="H2045" s="549" t="s">
        <v>38</v>
      </c>
      <c r="I2045" s="711">
        <v>0</v>
      </c>
      <c r="J2045" s="897"/>
      <c r="K2045" s="528"/>
      <c r="L2045" s="549" t="s">
        <v>38</v>
      </c>
      <c r="M2045" s="711">
        <f t="shared" si="7985"/>
        <v>0</v>
      </c>
      <c r="N2045" s="897"/>
      <c r="O2045" s="528"/>
      <c r="P2045" s="548">
        <v>0</v>
      </c>
      <c r="Q2045" s="548">
        <v>0</v>
      </c>
      <c r="R2045" s="548">
        <v>0</v>
      </c>
      <c r="S2045" s="548">
        <v>0</v>
      </c>
      <c r="T2045" s="548">
        <v>0</v>
      </c>
      <c r="U2045" s="548">
        <v>0</v>
      </c>
      <c r="V2045" s="548"/>
      <c r="W2045" s="528"/>
      <c r="X2045" s="711">
        <f t="shared" si="7979"/>
        <v>0</v>
      </c>
      <c r="Y2045" s="897"/>
      <c r="Z2045" s="528"/>
      <c r="AA2045" s="899"/>
      <c r="AB2045" s="899"/>
      <c r="AC2045" s="904"/>
      <c r="AD2045" s="905"/>
      <c r="AE2045" s="2"/>
      <c r="AF2045" s="885"/>
      <c r="AG2045" s="885"/>
      <c r="AH2045" s="885"/>
      <c r="AI2045" s="885"/>
      <c r="AJ2045" s="885"/>
      <c r="AK2045" s="885"/>
      <c r="AL2045" s="885"/>
      <c r="AM2045" s="879"/>
      <c r="AN2045" s="2"/>
      <c r="AO2045" s="886"/>
      <c r="AP2045" s="886"/>
      <c r="AV2045" t="str">
        <f t="shared" si="7972"/>
        <v>Drenagem Superficial</v>
      </c>
      <c r="AW2045" s="4" t="str">
        <f t="shared" si="7971"/>
        <v xml:space="preserve">   Seg. 2.3-A15 - Drenagem Superficial - Valetas de proteção de aterro (Km 126+620 a 127+440)</v>
      </c>
    </row>
    <row r="2046" spans="1:49" ht="15.6" hidden="1" customHeight="1" outlineLevel="2">
      <c r="A2046" s="8" t="str">
        <f t="shared" ref="A2046" si="8190">IF(SUM(P2046:V2047)&gt;0,"S","N")</f>
        <v>N</v>
      </c>
      <c r="B2046" s="150">
        <v>1061789</v>
      </c>
      <c r="C2046" s="150" t="s">
        <v>2360</v>
      </c>
      <c r="D2046" s="120" t="s">
        <v>1281</v>
      </c>
      <c r="E2046" s="892" t="s">
        <v>2361</v>
      </c>
      <c r="F2046" s="902" t="s">
        <v>52</v>
      </c>
      <c r="G2046" s="528"/>
      <c r="H2046" s="546" t="s">
        <v>37</v>
      </c>
      <c r="I2046" s="711">
        <v>0</v>
      </c>
      <c r="J2046" s="896" t="str">
        <f t="shared" ref="J2046" si="8191">IFERROR((I2047/I2046),"-")</f>
        <v>-</v>
      </c>
      <c r="K2046" s="528"/>
      <c r="L2046" s="546" t="s">
        <v>37</v>
      </c>
      <c r="M2046" s="711">
        <f t="shared" si="7985"/>
        <v>0</v>
      </c>
      <c r="N2046" s="896" t="str">
        <f t="shared" ref="N2046" si="8192">IFERROR((M2047/M2046),"-")</f>
        <v>-</v>
      </c>
      <c r="O2046" s="528"/>
      <c r="P2046" s="547">
        <v>0</v>
      </c>
      <c r="Q2046" s="547">
        <v>0</v>
      </c>
      <c r="R2046" s="547">
        <v>0</v>
      </c>
      <c r="S2046" s="547">
        <v>0</v>
      </c>
      <c r="T2046" s="547">
        <v>0</v>
      </c>
      <c r="U2046" s="547">
        <v>0</v>
      </c>
      <c r="V2046" s="548">
        <v>0</v>
      </c>
      <c r="W2046" s="528"/>
      <c r="X2046" s="711">
        <f t="shared" si="7979"/>
        <v>0</v>
      </c>
      <c r="Y2046" s="896" t="str">
        <f t="shared" ref="Y2046" si="8193">IFERROR((X2047/X2046),"-")</f>
        <v>-</v>
      </c>
      <c r="Z2046" s="528"/>
      <c r="AA2046" s="898">
        <v>0</v>
      </c>
      <c r="AB2046" s="898">
        <v>0</v>
      </c>
      <c r="AC2046" s="903">
        <v>0</v>
      </c>
      <c r="AD2046" s="896" t="str">
        <f t="shared" ref="AD2046" si="8194">IFERROR((AC2046/AB2046),"-")</f>
        <v>-</v>
      </c>
      <c r="AE2046" s="2"/>
      <c r="AF2046" s="884">
        <v>785.74400000000003</v>
      </c>
      <c r="AG2046" s="884"/>
      <c r="AH2046" s="884">
        <v>0</v>
      </c>
      <c r="AI2046" s="884"/>
      <c r="AJ2046" s="884"/>
      <c r="AK2046" s="884">
        <f t="shared" ref="AK2046" si="8195">AF2046+AG2046+AH2046+AI2046+AJ2046+AC2046</f>
        <v>785.74400000000003</v>
      </c>
      <c r="AL2046" s="884">
        <v>429.05</v>
      </c>
      <c r="AM2046" s="878">
        <f t="shared" ref="AM2046" si="8196">IFERROR((AK2046/AL2046),"-")</f>
        <v>1.8313576506234706</v>
      </c>
      <c r="AN2046" s="2"/>
      <c r="AO2046" s="884">
        <v>429</v>
      </c>
      <c r="AP2046" s="884">
        <f t="shared" ref="AP2046" si="8197">AO2046-AK2046</f>
        <v>-356.74400000000003</v>
      </c>
      <c r="AV2046" t="str">
        <f t="shared" si="7972"/>
        <v>Drenagem Superficial</v>
      </c>
      <c r="AW2046" s="4" t="str">
        <f t="shared" si="7971"/>
        <v xml:space="preserve">   Seg. 2.3-A16 - Drenagem Superficial - Valetas de proteção de aterro (Km 127+540 a 127+980)</v>
      </c>
    </row>
    <row r="2047" spans="1:49" ht="15.6" hidden="1" customHeight="1" outlineLevel="2">
      <c r="A2047" s="8" t="str">
        <f t="shared" ref="A2047" si="8198">A2046</f>
        <v>N</v>
      </c>
      <c r="B2047" s="150"/>
      <c r="C2047" s="150" t="s">
        <v>2360</v>
      </c>
      <c r="D2047" s="120" t="s">
        <v>1281</v>
      </c>
      <c r="E2047" s="893"/>
      <c r="F2047" s="902"/>
      <c r="G2047" s="528"/>
      <c r="H2047" s="549" t="s">
        <v>38</v>
      </c>
      <c r="I2047" s="711">
        <v>0</v>
      </c>
      <c r="J2047" s="897"/>
      <c r="K2047" s="528"/>
      <c r="L2047" s="549" t="s">
        <v>38</v>
      </c>
      <c r="M2047" s="711">
        <f t="shared" si="7985"/>
        <v>0</v>
      </c>
      <c r="N2047" s="897"/>
      <c r="O2047" s="528"/>
      <c r="P2047" s="548">
        <v>0</v>
      </c>
      <c r="Q2047" s="548">
        <v>0</v>
      </c>
      <c r="R2047" s="548">
        <v>0</v>
      </c>
      <c r="S2047" s="548">
        <v>0</v>
      </c>
      <c r="T2047" s="548">
        <v>0</v>
      </c>
      <c r="U2047" s="548">
        <v>0</v>
      </c>
      <c r="V2047" s="548"/>
      <c r="W2047" s="528"/>
      <c r="X2047" s="711">
        <f t="shared" si="7979"/>
        <v>0</v>
      </c>
      <c r="Y2047" s="897"/>
      <c r="Z2047" s="528"/>
      <c r="AA2047" s="899"/>
      <c r="AB2047" s="899"/>
      <c r="AC2047" s="904"/>
      <c r="AD2047" s="905"/>
      <c r="AE2047" s="2"/>
      <c r="AF2047" s="885"/>
      <c r="AG2047" s="885"/>
      <c r="AH2047" s="885"/>
      <c r="AI2047" s="885"/>
      <c r="AJ2047" s="885"/>
      <c r="AK2047" s="885"/>
      <c r="AL2047" s="885"/>
      <c r="AM2047" s="879"/>
      <c r="AN2047" s="2"/>
      <c r="AO2047" s="886"/>
      <c r="AP2047" s="886"/>
      <c r="AV2047" t="str">
        <f t="shared" si="7972"/>
        <v>Drenagem Superficial</v>
      </c>
      <c r="AW2047" s="4" t="str">
        <f t="shared" si="7971"/>
        <v xml:space="preserve">   Seg. 2.3-A16 - Drenagem Superficial - Valetas de proteção de aterro (Km 127+540 a 127+980)</v>
      </c>
    </row>
    <row r="2048" spans="1:49" ht="15.6" hidden="1" customHeight="1" outlineLevel="2">
      <c r="A2048" s="8" t="str">
        <f t="shared" ref="A2048" si="8199">IF(SUM(P2048:V2049)&gt;0,"S","N")</f>
        <v>S</v>
      </c>
      <c r="B2048" s="150">
        <v>1061794</v>
      </c>
      <c r="C2048" s="150" t="s">
        <v>2362</v>
      </c>
      <c r="D2048" s="120" t="s">
        <v>370</v>
      </c>
      <c r="E2048" s="892" t="s">
        <v>2363</v>
      </c>
      <c r="F2048" s="902" t="s">
        <v>52</v>
      </c>
      <c r="G2048" s="528"/>
      <c r="H2048" s="546" t="s">
        <v>37</v>
      </c>
      <c r="I2048" s="711">
        <v>400</v>
      </c>
      <c r="J2048" s="896">
        <f t="shared" ref="J2048" si="8200">IFERROR((I2049/I2048),"-")</f>
        <v>0.3125</v>
      </c>
      <c r="K2048" s="528"/>
      <c r="L2048" s="546" t="s">
        <v>37</v>
      </c>
      <c r="M2048" s="711">
        <f t="shared" si="7985"/>
        <v>0</v>
      </c>
      <c r="N2048" s="896" t="str">
        <f t="shared" ref="N2048" si="8201">IFERROR((M2049/M2048),"-")</f>
        <v>-</v>
      </c>
      <c r="O2048" s="528"/>
      <c r="P2048" s="547">
        <v>70</v>
      </c>
      <c r="Q2048" s="547">
        <v>0</v>
      </c>
      <c r="R2048" s="547">
        <v>0</v>
      </c>
      <c r="S2048" s="547">
        <v>0</v>
      </c>
      <c r="T2048" s="547">
        <v>0</v>
      </c>
      <c r="U2048" s="547">
        <v>0</v>
      </c>
      <c r="V2048" s="548">
        <v>0</v>
      </c>
      <c r="W2048" s="528"/>
      <c r="X2048" s="711">
        <f t="shared" si="7979"/>
        <v>70</v>
      </c>
      <c r="Y2048" s="896">
        <f t="shared" ref="Y2048" si="8202">IFERROR((X2049/X2048),"-")</f>
        <v>0</v>
      </c>
      <c r="Z2048" s="528"/>
      <c r="AA2048" s="898">
        <v>132.5</v>
      </c>
      <c r="AB2048" s="898">
        <v>132.47999999999999</v>
      </c>
      <c r="AC2048" s="903">
        <v>132.5</v>
      </c>
      <c r="AD2048" s="896">
        <f t="shared" ref="AD2048" si="8203">IFERROR((AC2048/AB2048),"-")</f>
        <v>1.000150966183575</v>
      </c>
      <c r="AE2048" s="2"/>
      <c r="AF2048" s="884">
        <v>1858.212</v>
      </c>
      <c r="AG2048" s="884"/>
      <c r="AH2048" s="884">
        <v>0</v>
      </c>
      <c r="AI2048" s="884"/>
      <c r="AJ2048" s="884"/>
      <c r="AK2048" s="884">
        <f t="shared" ref="AK2048" si="8204">AF2048+AG2048+AH2048+AI2048+AJ2048+AC2048</f>
        <v>1990.712</v>
      </c>
      <c r="AL2048" s="884">
        <v>1323.9899999999996</v>
      </c>
      <c r="AM2048" s="878">
        <f t="shared" ref="AM2048" si="8205">IFERROR((AK2048/AL2048),"-")</f>
        <v>1.5035702686576187</v>
      </c>
      <c r="AN2048" s="2"/>
      <c r="AO2048" s="884">
        <v>2293</v>
      </c>
      <c r="AP2048" s="884">
        <f t="shared" ref="AP2048" si="8206">AO2048-AK2048</f>
        <v>302.28800000000001</v>
      </c>
      <c r="AV2048" t="str">
        <f t="shared" si="7972"/>
        <v>Drenagem Superficial</v>
      </c>
      <c r="AW2048" s="4" t="str">
        <f t="shared" si="7971"/>
        <v xml:space="preserve">   Seg. 2.3-A17-B01 - Drenagem Superficial - Valetas de proteção de aterro (Km 128+320 a 131+241)</v>
      </c>
    </row>
    <row r="2049" spans="1:49" ht="15.6" hidden="1" customHeight="1" outlineLevel="2">
      <c r="A2049" s="8" t="str">
        <f t="shared" ref="A2049" si="8207">A2048</f>
        <v>S</v>
      </c>
      <c r="B2049" s="150"/>
      <c r="C2049" s="150" t="s">
        <v>2362</v>
      </c>
      <c r="D2049" s="120" t="s">
        <v>370</v>
      </c>
      <c r="E2049" s="893"/>
      <c r="F2049" s="902"/>
      <c r="G2049" s="528"/>
      <c r="H2049" s="549" t="s">
        <v>38</v>
      </c>
      <c r="I2049" s="711">
        <v>125</v>
      </c>
      <c r="J2049" s="897"/>
      <c r="K2049" s="528"/>
      <c r="L2049" s="549" t="s">
        <v>38</v>
      </c>
      <c r="M2049" s="711">
        <f t="shared" si="7985"/>
        <v>0</v>
      </c>
      <c r="N2049" s="897"/>
      <c r="O2049" s="528"/>
      <c r="P2049" s="548">
        <v>0</v>
      </c>
      <c r="Q2049" s="548">
        <v>0</v>
      </c>
      <c r="R2049" s="548">
        <v>0</v>
      </c>
      <c r="S2049" s="548">
        <v>0</v>
      </c>
      <c r="T2049" s="548">
        <v>0</v>
      </c>
      <c r="U2049" s="548">
        <v>0</v>
      </c>
      <c r="V2049" s="548"/>
      <c r="W2049" s="528"/>
      <c r="X2049" s="711">
        <f t="shared" si="7979"/>
        <v>0</v>
      </c>
      <c r="Y2049" s="897"/>
      <c r="Z2049" s="528"/>
      <c r="AA2049" s="899"/>
      <c r="AB2049" s="899"/>
      <c r="AC2049" s="904"/>
      <c r="AD2049" s="905"/>
      <c r="AE2049" s="2"/>
      <c r="AF2049" s="885"/>
      <c r="AG2049" s="885"/>
      <c r="AH2049" s="885"/>
      <c r="AI2049" s="885"/>
      <c r="AJ2049" s="885"/>
      <c r="AK2049" s="885"/>
      <c r="AL2049" s="885"/>
      <c r="AM2049" s="879"/>
      <c r="AN2049" s="2"/>
      <c r="AO2049" s="886"/>
      <c r="AP2049" s="886"/>
      <c r="AV2049" t="str">
        <f t="shared" si="7972"/>
        <v>Drenagem Superficial</v>
      </c>
      <c r="AW2049" s="4" t="str">
        <f t="shared" si="7971"/>
        <v xml:space="preserve">   Seg. 2.3-A17-B01 - Drenagem Superficial - Valetas de proteção de aterro (Km 128+320 a 131+241)</v>
      </c>
    </row>
    <row r="2050" spans="1:49" ht="15.6" hidden="1" customHeight="1" outlineLevel="2">
      <c r="A2050" s="8" t="str">
        <f t="shared" ref="A2050" si="8208">IF(SUM(P2050:V2051)&gt;0,"S","N")</f>
        <v>N</v>
      </c>
      <c r="B2050" s="150">
        <v>1061830</v>
      </c>
      <c r="C2050" s="150" t="s">
        <v>2364</v>
      </c>
      <c r="D2050" s="120" t="s">
        <v>2365</v>
      </c>
      <c r="E2050" s="892" t="s">
        <v>2366</v>
      </c>
      <c r="F2050" s="902" t="s">
        <v>52</v>
      </c>
      <c r="G2050" s="528"/>
      <c r="H2050" s="546" t="s">
        <v>37</v>
      </c>
      <c r="I2050" s="711">
        <v>0</v>
      </c>
      <c r="J2050" s="896" t="str">
        <f t="shared" ref="J2050" si="8209">IFERROR((I2051/I2050),"-")</f>
        <v>-</v>
      </c>
      <c r="K2050" s="528"/>
      <c r="L2050" s="546" t="s">
        <v>37</v>
      </c>
      <c r="M2050" s="711">
        <f t="shared" si="7985"/>
        <v>0</v>
      </c>
      <c r="N2050" s="896" t="str">
        <f t="shared" ref="N2050" si="8210">IFERROR((M2051/M2050),"-")</f>
        <v>-</v>
      </c>
      <c r="O2050" s="528"/>
      <c r="P2050" s="547">
        <v>0</v>
      </c>
      <c r="Q2050" s="547">
        <v>0</v>
      </c>
      <c r="R2050" s="547">
        <v>0</v>
      </c>
      <c r="S2050" s="547">
        <v>0</v>
      </c>
      <c r="T2050" s="547">
        <v>0</v>
      </c>
      <c r="U2050" s="547">
        <v>0</v>
      </c>
      <c r="V2050" s="548">
        <v>0</v>
      </c>
      <c r="W2050" s="528"/>
      <c r="X2050" s="711">
        <f t="shared" si="7979"/>
        <v>0</v>
      </c>
      <c r="Y2050" s="896" t="str">
        <f t="shared" ref="Y2050" si="8211">IFERROR((X2051/X2050),"-")</f>
        <v>-</v>
      </c>
      <c r="Z2050" s="528"/>
      <c r="AA2050" s="898">
        <v>0</v>
      </c>
      <c r="AB2050" s="898">
        <v>0</v>
      </c>
      <c r="AC2050" s="903">
        <v>0</v>
      </c>
      <c r="AD2050" s="896" t="str">
        <f t="shared" ref="AD2050" si="8212">IFERROR((AC2050/AB2050),"-")</f>
        <v>-</v>
      </c>
      <c r="AE2050" s="2"/>
      <c r="AF2050" s="884"/>
      <c r="AG2050" s="884"/>
      <c r="AH2050" s="884">
        <v>0</v>
      </c>
      <c r="AI2050" s="884"/>
      <c r="AJ2050" s="884"/>
      <c r="AK2050" s="884">
        <f t="shared" ref="AK2050" si="8213">AF2050+AG2050+AH2050+AI2050+AJ2050+AC2050</f>
        <v>0</v>
      </c>
      <c r="AL2050" s="884">
        <v>0</v>
      </c>
      <c r="AM2050" s="878" t="str">
        <f t="shared" ref="AM2050" si="8214">IFERROR((AK2050/AL2050),"-")</f>
        <v>-</v>
      </c>
      <c r="AN2050" s="2"/>
      <c r="AO2050" s="884">
        <v>232</v>
      </c>
      <c r="AP2050" s="884">
        <f t="shared" ref="AP2050" si="8215">AO2050-AK2050</f>
        <v>232</v>
      </c>
      <c r="AV2050" t="str">
        <f t="shared" si="7972"/>
        <v>Drenagem Superficial</v>
      </c>
      <c r="AW2050" s="4" t="str">
        <f t="shared" si="7971"/>
        <v xml:space="preserve">   Seg. 2.3-C02-Acesso - Drenagem Superficial - Valeta de proteção de aterro / corte</v>
      </c>
    </row>
    <row r="2051" spans="1:49" ht="15.6" hidden="1" customHeight="1" outlineLevel="2">
      <c r="A2051" s="8" t="str">
        <f t="shared" ref="A2051" si="8216">A2050</f>
        <v>N</v>
      </c>
      <c r="B2051" s="150"/>
      <c r="C2051" s="150" t="s">
        <v>2364</v>
      </c>
      <c r="D2051" s="120" t="s">
        <v>2365</v>
      </c>
      <c r="E2051" s="893"/>
      <c r="F2051" s="902"/>
      <c r="G2051" s="528"/>
      <c r="H2051" s="549" t="s">
        <v>38</v>
      </c>
      <c r="I2051" s="711">
        <v>0</v>
      </c>
      <c r="J2051" s="897"/>
      <c r="K2051" s="528"/>
      <c r="L2051" s="549" t="s">
        <v>38</v>
      </c>
      <c r="M2051" s="711">
        <f t="shared" si="7985"/>
        <v>0</v>
      </c>
      <c r="N2051" s="897"/>
      <c r="O2051" s="528"/>
      <c r="P2051" s="548">
        <v>0</v>
      </c>
      <c r="Q2051" s="548">
        <v>0</v>
      </c>
      <c r="R2051" s="548">
        <v>0</v>
      </c>
      <c r="S2051" s="548">
        <v>0</v>
      </c>
      <c r="T2051" s="548">
        <v>0</v>
      </c>
      <c r="U2051" s="548">
        <v>0</v>
      </c>
      <c r="V2051" s="548"/>
      <c r="W2051" s="528"/>
      <c r="X2051" s="711">
        <f t="shared" si="7979"/>
        <v>0</v>
      </c>
      <c r="Y2051" s="897"/>
      <c r="Z2051" s="528"/>
      <c r="AA2051" s="899"/>
      <c r="AB2051" s="899"/>
      <c r="AC2051" s="904"/>
      <c r="AD2051" s="905"/>
      <c r="AE2051" s="2"/>
      <c r="AF2051" s="885"/>
      <c r="AG2051" s="885"/>
      <c r="AH2051" s="885"/>
      <c r="AI2051" s="885"/>
      <c r="AJ2051" s="885"/>
      <c r="AK2051" s="885"/>
      <c r="AL2051" s="885"/>
      <c r="AM2051" s="879"/>
      <c r="AN2051" s="2"/>
      <c r="AO2051" s="886"/>
      <c r="AP2051" s="886"/>
      <c r="AV2051" t="str">
        <f t="shared" si="7972"/>
        <v>Drenagem Superficial</v>
      </c>
      <c r="AW2051" s="4" t="str">
        <f t="shared" si="7971"/>
        <v xml:space="preserve">   Seg. 2.3-C02-Acesso - Drenagem Superficial - Valeta de proteção de aterro / corte</v>
      </c>
    </row>
    <row r="2052" spans="1:49" ht="15.6" hidden="1" customHeight="1" outlineLevel="2">
      <c r="A2052" s="8" t="str">
        <f t="shared" ref="A2052" si="8217">IF(SUM(P2052:V2053)&gt;0,"S","N")</f>
        <v>N</v>
      </c>
      <c r="B2052" s="150">
        <v>1061833</v>
      </c>
      <c r="C2052" s="150" t="s">
        <v>2367</v>
      </c>
      <c r="D2052" s="120" t="s">
        <v>2368</v>
      </c>
      <c r="E2052" s="892" t="s">
        <v>2369</v>
      </c>
      <c r="F2052" s="902" t="s">
        <v>52</v>
      </c>
      <c r="G2052" s="528"/>
      <c r="H2052" s="546" t="s">
        <v>37</v>
      </c>
      <c r="I2052" s="711">
        <v>0</v>
      </c>
      <c r="J2052" s="896" t="str">
        <f t="shared" ref="J2052" si="8218">IFERROR((I2053/I2052),"-")</f>
        <v>-</v>
      </c>
      <c r="K2052" s="528"/>
      <c r="L2052" s="546" t="s">
        <v>37</v>
      </c>
      <c r="M2052" s="711">
        <f t="shared" si="7985"/>
        <v>0</v>
      </c>
      <c r="N2052" s="896" t="str">
        <f t="shared" ref="N2052" si="8219">IFERROR((M2053/M2052),"-")</f>
        <v>-</v>
      </c>
      <c r="O2052" s="528"/>
      <c r="P2052" s="547">
        <v>0</v>
      </c>
      <c r="Q2052" s="547">
        <v>0</v>
      </c>
      <c r="R2052" s="547">
        <v>0</v>
      </c>
      <c r="S2052" s="547">
        <v>0</v>
      </c>
      <c r="T2052" s="547">
        <v>0</v>
      </c>
      <c r="U2052" s="547">
        <v>0</v>
      </c>
      <c r="V2052" s="548">
        <v>0</v>
      </c>
      <c r="W2052" s="528"/>
      <c r="X2052" s="711">
        <f t="shared" si="7979"/>
        <v>0</v>
      </c>
      <c r="Y2052" s="896" t="str">
        <f t="shared" ref="Y2052" si="8220">IFERROR((X2053/X2052),"-")</f>
        <v>-</v>
      </c>
      <c r="Z2052" s="528"/>
      <c r="AA2052" s="898">
        <v>0</v>
      </c>
      <c r="AB2052" s="898">
        <v>0</v>
      </c>
      <c r="AC2052" s="903">
        <v>0</v>
      </c>
      <c r="AD2052" s="896" t="str">
        <f t="shared" ref="AD2052" si="8221">IFERROR((AC2052/AB2052),"-")</f>
        <v>-</v>
      </c>
      <c r="AE2052" s="2"/>
      <c r="AF2052" s="884">
        <v>1087</v>
      </c>
      <c r="AG2052" s="884"/>
      <c r="AH2052" s="884">
        <v>0</v>
      </c>
      <c r="AI2052" s="884"/>
      <c r="AJ2052" s="884"/>
      <c r="AK2052" s="884">
        <f t="shared" ref="AK2052" si="8222">AF2052+AG2052+AH2052+AI2052+AJ2052+AC2052</f>
        <v>1087</v>
      </c>
      <c r="AL2052" s="884">
        <v>994.63000000000011</v>
      </c>
      <c r="AM2052" s="878">
        <f t="shared" ref="AM2052" si="8223">IFERROR((AK2052/AL2052),"-")</f>
        <v>1.0928687049455574</v>
      </c>
      <c r="AN2052" s="2"/>
      <c r="AO2052" s="884">
        <v>994.6</v>
      </c>
      <c r="AP2052" s="884">
        <f t="shared" ref="AP2052" si="8224">AO2052-AK2052</f>
        <v>-92.399999999999977</v>
      </c>
      <c r="AV2052" t="str">
        <f t="shared" si="7972"/>
        <v>Drenagem Superficial</v>
      </c>
      <c r="AW2052" s="4" t="str">
        <f t="shared" si="7971"/>
        <v xml:space="preserve">   Seg. 2.3-C12-Acesso - Drenagem Superficial - Valeta de proteção de aterro</v>
      </c>
    </row>
    <row r="2053" spans="1:49" ht="15.6" hidden="1" customHeight="1" outlineLevel="2">
      <c r="A2053" s="8" t="str">
        <f t="shared" ref="A2053" si="8225">A2052</f>
        <v>N</v>
      </c>
      <c r="B2053" s="150"/>
      <c r="C2053" s="150" t="s">
        <v>2367</v>
      </c>
      <c r="D2053" s="120" t="s">
        <v>2368</v>
      </c>
      <c r="E2053" s="893"/>
      <c r="F2053" s="902"/>
      <c r="G2053" s="528"/>
      <c r="H2053" s="549" t="s">
        <v>38</v>
      </c>
      <c r="I2053" s="711">
        <v>0</v>
      </c>
      <c r="J2053" s="897"/>
      <c r="K2053" s="528"/>
      <c r="L2053" s="549" t="s">
        <v>38</v>
      </c>
      <c r="M2053" s="711">
        <f t="shared" si="7985"/>
        <v>0</v>
      </c>
      <c r="N2053" s="897"/>
      <c r="O2053" s="528"/>
      <c r="P2053" s="548">
        <v>0</v>
      </c>
      <c r="Q2053" s="548">
        <v>0</v>
      </c>
      <c r="R2053" s="548">
        <v>0</v>
      </c>
      <c r="S2053" s="548">
        <v>0</v>
      </c>
      <c r="T2053" s="548">
        <v>0</v>
      </c>
      <c r="U2053" s="548">
        <v>0</v>
      </c>
      <c r="V2053" s="548"/>
      <c r="W2053" s="528"/>
      <c r="X2053" s="711">
        <f t="shared" si="7979"/>
        <v>0</v>
      </c>
      <c r="Y2053" s="897"/>
      <c r="Z2053" s="528"/>
      <c r="AA2053" s="899"/>
      <c r="AB2053" s="899"/>
      <c r="AC2053" s="904"/>
      <c r="AD2053" s="905"/>
      <c r="AE2053" s="2"/>
      <c r="AF2053" s="885"/>
      <c r="AG2053" s="885"/>
      <c r="AH2053" s="885"/>
      <c r="AI2053" s="885"/>
      <c r="AJ2053" s="885"/>
      <c r="AK2053" s="885"/>
      <c r="AL2053" s="885"/>
      <c r="AM2053" s="879"/>
      <c r="AN2053" s="2"/>
      <c r="AO2053" s="886"/>
      <c r="AP2053" s="886"/>
      <c r="AV2053" t="str">
        <f t="shared" si="7972"/>
        <v>Drenagem Superficial</v>
      </c>
      <c r="AW2053" s="4" t="str">
        <f t="shared" si="7971"/>
        <v xml:space="preserve">   Seg. 2.3-C12-Acesso - Drenagem Superficial - Valeta de proteção de aterro</v>
      </c>
    </row>
    <row r="2054" spans="1:49" ht="15.6" hidden="1" customHeight="1" outlineLevel="2" collapsed="1">
      <c r="A2054" s="8" t="str">
        <f t="shared" ref="A2054" si="8226">IF(SUM(P2054:V2055)&gt;0,"S","N")</f>
        <v>N</v>
      </c>
      <c r="B2054" s="150">
        <v>1061837</v>
      </c>
      <c r="C2054" s="150" t="s">
        <v>2370</v>
      </c>
      <c r="D2054" s="120" t="s">
        <v>2168</v>
      </c>
      <c r="E2054" s="892" t="s">
        <v>2371</v>
      </c>
      <c r="F2054" s="902" t="s">
        <v>52</v>
      </c>
      <c r="G2054" s="528"/>
      <c r="H2054" s="546" t="s">
        <v>37</v>
      </c>
      <c r="I2054" s="711">
        <v>0</v>
      </c>
      <c r="J2054" s="896" t="str">
        <f t="shared" ref="J2054" si="8227">IFERROR((I2055/I2054),"-")</f>
        <v>-</v>
      </c>
      <c r="K2054" s="528"/>
      <c r="L2054" s="546" t="s">
        <v>37</v>
      </c>
      <c r="M2054" s="711">
        <f t="shared" si="7985"/>
        <v>0</v>
      </c>
      <c r="N2054" s="896" t="str">
        <f t="shared" ref="N2054" si="8228">IFERROR((M2055/M2054),"-")</f>
        <v>-</v>
      </c>
      <c r="O2054" s="528"/>
      <c r="P2054" s="547">
        <v>0</v>
      </c>
      <c r="Q2054" s="547">
        <v>0</v>
      </c>
      <c r="R2054" s="547">
        <v>0</v>
      </c>
      <c r="S2054" s="547">
        <v>0</v>
      </c>
      <c r="T2054" s="547">
        <v>0</v>
      </c>
      <c r="U2054" s="547">
        <v>0</v>
      </c>
      <c r="V2054" s="548">
        <v>0</v>
      </c>
      <c r="W2054" s="528"/>
      <c r="X2054" s="711">
        <f t="shared" si="7979"/>
        <v>0</v>
      </c>
      <c r="Y2054" s="896" t="str">
        <f t="shared" ref="Y2054" si="8229">IFERROR((X2055/X2054),"-")</f>
        <v>-</v>
      </c>
      <c r="Z2054" s="528"/>
      <c r="AA2054" s="898">
        <v>155.4</v>
      </c>
      <c r="AB2054" s="898">
        <v>114.14</v>
      </c>
      <c r="AC2054" s="903">
        <v>167.5</v>
      </c>
      <c r="AD2054" s="896">
        <f t="shared" ref="AD2054" si="8230">IFERROR((AC2054/AB2054),"-")</f>
        <v>1.4674960574732785</v>
      </c>
      <c r="AE2054" s="2"/>
      <c r="AF2054" s="884">
        <v>224.90899999999999</v>
      </c>
      <c r="AG2054" s="884"/>
      <c r="AH2054" s="884">
        <v>80</v>
      </c>
      <c r="AI2054" s="884"/>
      <c r="AJ2054" s="884"/>
      <c r="AK2054" s="884">
        <f t="shared" ref="AK2054" si="8231">AF2054+AG2054+AH2054+AI2054+AJ2054+AC2054</f>
        <v>472.40899999999999</v>
      </c>
      <c r="AL2054" s="884">
        <v>243.79000000000011</v>
      </c>
      <c r="AM2054" s="878">
        <f t="shared" ref="AM2054" si="8232">IFERROR((AK2054/AL2054),"-")</f>
        <v>1.9377702120677625</v>
      </c>
      <c r="AN2054" s="2"/>
      <c r="AO2054" s="884">
        <v>2285</v>
      </c>
      <c r="AP2054" s="884">
        <f t="shared" ref="AP2054" si="8233">AO2054-AK2054</f>
        <v>1812.5909999999999</v>
      </c>
      <c r="AV2054" t="str">
        <f t="shared" si="7972"/>
        <v>Drenagem Superficial</v>
      </c>
      <c r="AW2054" s="4" t="str">
        <f t="shared" si="7971"/>
        <v xml:space="preserve">   Seg. 2.3-A17-Acesso - Drenagem Superficial - Valeta de proteção de aterro / corte</v>
      </c>
    </row>
    <row r="2055" spans="1:49" ht="15.6" hidden="1" customHeight="1" outlineLevel="2">
      <c r="A2055" s="8" t="str">
        <f t="shared" ref="A2055" si="8234">A2054</f>
        <v>N</v>
      </c>
      <c r="B2055" s="150"/>
      <c r="C2055" s="150" t="s">
        <v>2370</v>
      </c>
      <c r="D2055" s="120" t="s">
        <v>2168</v>
      </c>
      <c r="E2055" s="893"/>
      <c r="F2055" s="902"/>
      <c r="G2055" s="528"/>
      <c r="H2055" s="549" t="s">
        <v>38</v>
      </c>
      <c r="I2055" s="711">
        <v>2.5</v>
      </c>
      <c r="J2055" s="897"/>
      <c r="K2055" s="528"/>
      <c r="L2055" s="549" t="s">
        <v>38</v>
      </c>
      <c r="M2055" s="711">
        <f t="shared" si="7985"/>
        <v>0</v>
      </c>
      <c r="N2055" s="897"/>
      <c r="O2055" s="528"/>
      <c r="P2055" s="548">
        <v>0</v>
      </c>
      <c r="Q2055" s="548">
        <v>0</v>
      </c>
      <c r="R2055" s="548">
        <v>0</v>
      </c>
      <c r="S2055" s="548">
        <v>0</v>
      </c>
      <c r="T2055" s="548">
        <v>0</v>
      </c>
      <c r="U2055" s="548">
        <v>0</v>
      </c>
      <c r="V2055" s="548"/>
      <c r="W2055" s="528"/>
      <c r="X2055" s="711">
        <f t="shared" si="7979"/>
        <v>0</v>
      </c>
      <c r="Y2055" s="897"/>
      <c r="Z2055" s="528"/>
      <c r="AA2055" s="899"/>
      <c r="AB2055" s="899"/>
      <c r="AC2055" s="904"/>
      <c r="AD2055" s="905"/>
      <c r="AE2055" s="2"/>
      <c r="AF2055" s="885"/>
      <c r="AG2055" s="885"/>
      <c r="AH2055" s="885"/>
      <c r="AI2055" s="885"/>
      <c r="AJ2055" s="885"/>
      <c r="AK2055" s="885"/>
      <c r="AL2055" s="885"/>
      <c r="AM2055" s="879"/>
      <c r="AN2055" s="2"/>
      <c r="AO2055" s="886"/>
      <c r="AP2055" s="886"/>
      <c r="AV2055" t="str">
        <f t="shared" si="7972"/>
        <v>Drenagem Superficial</v>
      </c>
      <c r="AW2055" s="4" t="str">
        <f t="shared" si="7971"/>
        <v xml:space="preserve">   Seg. 2.3-A17-Acesso - Drenagem Superficial - Valeta de proteção de aterro / corte</v>
      </c>
    </row>
    <row r="2056" spans="1:49" ht="15.6" hidden="1" customHeight="1" outlineLevel="2">
      <c r="A2056" s="8" t="str">
        <f t="shared" ref="A2056" si="8235">IF(SUM(P2056:V2057)&gt;0,"S","N")</f>
        <v>N</v>
      </c>
      <c r="B2056" s="150">
        <v>1061840</v>
      </c>
      <c r="C2056" s="150" t="s">
        <v>2372</v>
      </c>
      <c r="D2056" s="120" t="s">
        <v>2373</v>
      </c>
      <c r="E2056" s="892" t="s">
        <v>2374</v>
      </c>
      <c r="F2056" s="902" t="s">
        <v>52</v>
      </c>
      <c r="G2056" s="528"/>
      <c r="H2056" s="546" t="s">
        <v>37</v>
      </c>
      <c r="I2056" s="711">
        <v>0</v>
      </c>
      <c r="J2056" s="896" t="str">
        <f t="shared" ref="J2056" si="8236">IFERROR((I2057/I2056),"-")</f>
        <v>-</v>
      </c>
      <c r="K2056" s="528"/>
      <c r="L2056" s="546" t="s">
        <v>37</v>
      </c>
      <c r="M2056" s="711">
        <f t="shared" si="7985"/>
        <v>0</v>
      </c>
      <c r="N2056" s="896" t="str">
        <f t="shared" ref="N2056" si="8237">IFERROR((M2057/M2056),"-")</f>
        <v>-</v>
      </c>
      <c r="O2056" s="528"/>
      <c r="P2056" s="547">
        <v>0</v>
      </c>
      <c r="Q2056" s="547">
        <v>0</v>
      </c>
      <c r="R2056" s="547">
        <v>0</v>
      </c>
      <c r="S2056" s="547">
        <v>0</v>
      </c>
      <c r="T2056" s="547">
        <v>0</v>
      </c>
      <c r="U2056" s="547">
        <v>0</v>
      </c>
      <c r="V2056" s="548">
        <v>0</v>
      </c>
      <c r="W2056" s="528"/>
      <c r="X2056" s="711">
        <f t="shared" si="7979"/>
        <v>0</v>
      </c>
      <c r="Y2056" s="896" t="str">
        <f t="shared" ref="Y2056" si="8238">IFERROR((X2057/X2056),"-")</f>
        <v>-</v>
      </c>
      <c r="Z2056" s="528"/>
      <c r="AA2056" s="898">
        <v>0</v>
      </c>
      <c r="AB2056" s="898">
        <v>0</v>
      </c>
      <c r="AC2056" s="903">
        <v>0</v>
      </c>
      <c r="AD2056" s="896" t="str">
        <f t="shared" ref="AD2056" si="8239">IFERROR((AC2056/AB2056),"-")</f>
        <v>-</v>
      </c>
      <c r="AE2056" s="2"/>
      <c r="AF2056" s="884">
        <v>1316.615</v>
      </c>
      <c r="AG2056" s="884"/>
      <c r="AH2056" s="884">
        <v>0</v>
      </c>
      <c r="AI2056" s="884"/>
      <c r="AJ2056" s="884"/>
      <c r="AK2056" s="884">
        <f t="shared" ref="AK2056" si="8240">AF2056+AG2056+AH2056+AI2056+AJ2056+AC2056</f>
        <v>1316.615</v>
      </c>
      <c r="AL2056" s="884">
        <v>757.00000000000011</v>
      </c>
      <c r="AM2056" s="878">
        <f t="shared" ref="AM2056" si="8241">IFERROR((AK2056/AL2056),"-")</f>
        <v>1.7392536327608981</v>
      </c>
      <c r="AN2056" s="2"/>
      <c r="AO2056" s="884">
        <v>757</v>
      </c>
      <c r="AP2056" s="884">
        <f t="shared" ref="AP2056" si="8242">AO2056-AK2056</f>
        <v>-559.61500000000001</v>
      </c>
      <c r="AV2056" t="str">
        <f t="shared" si="7972"/>
        <v>Drenagem Superficial</v>
      </c>
      <c r="AW2056" s="4" t="str">
        <f t="shared" si="7971"/>
        <v xml:space="preserve">   Seg. 2.3-C08-Acesso - Drenagem Superficial - Valeta de proteção de aterro</v>
      </c>
    </row>
    <row r="2057" spans="1:49" ht="15.6" hidden="1" customHeight="1" outlineLevel="2">
      <c r="A2057" s="8" t="str">
        <f t="shared" ref="A2057" si="8243">A2056</f>
        <v>N</v>
      </c>
      <c r="B2057" s="150"/>
      <c r="C2057" s="150" t="s">
        <v>2372</v>
      </c>
      <c r="D2057" s="120" t="s">
        <v>2373</v>
      </c>
      <c r="E2057" s="893"/>
      <c r="F2057" s="902"/>
      <c r="G2057" s="528"/>
      <c r="H2057" s="549" t="s">
        <v>38</v>
      </c>
      <c r="I2057" s="711">
        <v>0</v>
      </c>
      <c r="J2057" s="897"/>
      <c r="K2057" s="528"/>
      <c r="L2057" s="549" t="s">
        <v>38</v>
      </c>
      <c r="M2057" s="711">
        <f t="shared" si="7985"/>
        <v>0</v>
      </c>
      <c r="N2057" s="897"/>
      <c r="O2057" s="528"/>
      <c r="P2057" s="548">
        <v>0</v>
      </c>
      <c r="Q2057" s="548">
        <v>0</v>
      </c>
      <c r="R2057" s="548">
        <v>0</v>
      </c>
      <c r="S2057" s="548">
        <v>0</v>
      </c>
      <c r="T2057" s="548">
        <v>0</v>
      </c>
      <c r="U2057" s="548">
        <v>0</v>
      </c>
      <c r="V2057" s="548"/>
      <c r="W2057" s="528"/>
      <c r="X2057" s="711">
        <f t="shared" si="7979"/>
        <v>0</v>
      </c>
      <c r="Y2057" s="897"/>
      <c r="Z2057" s="528"/>
      <c r="AA2057" s="899"/>
      <c r="AB2057" s="899"/>
      <c r="AC2057" s="904"/>
      <c r="AD2057" s="905"/>
      <c r="AE2057" s="2"/>
      <c r="AF2057" s="885"/>
      <c r="AG2057" s="885"/>
      <c r="AH2057" s="885"/>
      <c r="AI2057" s="885"/>
      <c r="AJ2057" s="885"/>
      <c r="AK2057" s="885"/>
      <c r="AL2057" s="885"/>
      <c r="AM2057" s="879"/>
      <c r="AN2057" s="2"/>
      <c r="AO2057" s="886"/>
      <c r="AP2057" s="886"/>
      <c r="AV2057" t="str">
        <f t="shared" si="7972"/>
        <v>Drenagem Superficial</v>
      </c>
      <c r="AW2057" s="4" t="str">
        <f t="shared" ref="AW2057:AW2120" si="8244">IF(E2057&lt;&gt;"",E2057,AW2056)</f>
        <v xml:space="preserve">   Seg. 2.3-C08-Acesso - Drenagem Superficial - Valeta de proteção de aterro</v>
      </c>
    </row>
    <row r="2058" spans="1:49" ht="15.6" hidden="1" customHeight="1" outlineLevel="2">
      <c r="A2058" s="8" t="str">
        <f t="shared" ref="A2058" si="8245">IF(SUM(P2058:V2059)&gt;0,"S","N")</f>
        <v>N</v>
      </c>
      <c r="B2058" s="150">
        <v>1061844</v>
      </c>
      <c r="C2058" s="150" t="s">
        <v>2375</v>
      </c>
      <c r="D2058" s="120" t="s">
        <v>2376</v>
      </c>
      <c r="E2058" s="892" t="s">
        <v>2377</v>
      </c>
      <c r="F2058" s="902" t="s">
        <v>52</v>
      </c>
      <c r="G2058" s="528"/>
      <c r="H2058" s="546" t="s">
        <v>37</v>
      </c>
      <c r="I2058" s="711">
        <v>0</v>
      </c>
      <c r="J2058" s="896" t="str">
        <f t="shared" ref="J2058" si="8246">IFERROR((I2059/I2058),"-")</f>
        <v>-</v>
      </c>
      <c r="K2058" s="528"/>
      <c r="L2058" s="546" t="s">
        <v>37</v>
      </c>
      <c r="M2058" s="711">
        <f t="shared" si="7985"/>
        <v>0</v>
      </c>
      <c r="N2058" s="896" t="str">
        <f t="shared" ref="N2058" si="8247">IFERROR((M2059/M2058),"-")</f>
        <v>-</v>
      </c>
      <c r="O2058" s="528"/>
      <c r="P2058" s="547">
        <v>0</v>
      </c>
      <c r="Q2058" s="547">
        <v>0</v>
      </c>
      <c r="R2058" s="547">
        <v>0</v>
      </c>
      <c r="S2058" s="547">
        <v>0</v>
      </c>
      <c r="T2058" s="547">
        <v>0</v>
      </c>
      <c r="U2058" s="547">
        <v>0</v>
      </c>
      <c r="V2058" s="548">
        <v>0</v>
      </c>
      <c r="W2058" s="528"/>
      <c r="X2058" s="711">
        <f t="shared" si="7979"/>
        <v>0</v>
      </c>
      <c r="Y2058" s="896" t="str">
        <f t="shared" ref="Y2058" si="8248">IFERROR((X2059/X2058),"-")</f>
        <v>-</v>
      </c>
      <c r="Z2058" s="528"/>
      <c r="AA2058" s="898">
        <v>0</v>
      </c>
      <c r="AB2058" s="898">
        <v>0</v>
      </c>
      <c r="AC2058" s="903">
        <v>0</v>
      </c>
      <c r="AD2058" s="896" t="str">
        <f t="shared" ref="AD2058" si="8249">IFERROR((AC2058/AB2058),"-")</f>
        <v>-</v>
      </c>
      <c r="AE2058" s="2"/>
      <c r="AF2058" s="884"/>
      <c r="AG2058" s="884"/>
      <c r="AH2058" s="884">
        <v>0</v>
      </c>
      <c r="AI2058" s="884"/>
      <c r="AJ2058" s="884"/>
      <c r="AK2058" s="884">
        <f t="shared" ref="AK2058" si="8250">AF2058+AG2058+AH2058+AI2058+AJ2058+AC2058</f>
        <v>0</v>
      </c>
      <c r="AL2058" s="884">
        <v>0</v>
      </c>
      <c r="AM2058" s="878" t="str">
        <f t="shared" ref="AM2058" si="8251">IFERROR((AK2058/AL2058),"-")</f>
        <v>-</v>
      </c>
      <c r="AN2058" s="2"/>
      <c r="AO2058" s="884">
        <v>150</v>
      </c>
      <c r="AP2058" s="884">
        <f t="shared" ref="AP2058" si="8252">AO2058-AK2058</f>
        <v>150</v>
      </c>
      <c r="AV2058" t="str">
        <f t="shared" ref="AV2058:AV2121" si="8253">IF(AX2058="Y",LEFT(E2058,20),IF(AX2058="x",E2058,AV2057))</f>
        <v>Drenagem Superficial</v>
      </c>
      <c r="AW2058" s="4" t="str">
        <f t="shared" si="8244"/>
        <v xml:space="preserve">   Seg. 2.3-ADME-01 - Drenagem Superficial - Valeta de proteção de aterro</v>
      </c>
    </row>
    <row r="2059" spans="1:49" ht="15.6" hidden="1" customHeight="1" outlineLevel="2">
      <c r="A2059" s="8" t="str">
        <f t="shared" ref="A2059" si="8254">A2058</f>
        <v>N</v>
      </c>
      <c r="B2059" s="150"/>
      <c r="C2059" s="150" t="s">
        <v>2375</v>
      </c>
      <c r="D2059" s="120" t="s">
        <v>2376</v>
      </c>
      <c r="E2059" s="893"/>
      <c r="F2059" s="902"/>
      <c r="G2059" s="528"/>
      <c r="H2059" s="549" t="s">
        <v>38</v>
      </c>
      <c r="I2059" s="711">
        <v>0</v>
      </c>
      <c r="J2059" s="897"/>
      <c r="K2059" s="528"/>
      <c r="L2059" s="549" t="s">
        <v>38</v>
      </c>
      <c r="M2059" s="711">
        <f t="shared" si="7985"/>
        <v>0</v>
      </c>
      <c r="N2059" s="897"/>
      <c r="O2059" s="528"/>
      <c r="P2059" s="548">
        <v>0</v>
      </c>
      <c r="Q2059" s="548">
        <v>0</v>
      </c>
      <c r="R2059" s="548">
        <v>0</v>
      </c>
      <c r="S2059" s="548">
        <v>0</v>
      </c>
      <c r="T2059" s="548">
        <v>0</v>
      </c>
      <c r="U2059" s="548">
        <v>0</v>
      </c>
      <c r="V2059" s="548"/>
      <c r="W2059" s="528"/>
      <c r="X2059" s="711">
        <f t="shared" si="7979"/>
        <v>0</v>
      </c>
      <c r="Y2059" s="897"/>
      <c r="Z2059" s="528"/>
      <c r="AA2059" s="899"/>
      <c r="AB2059" s="899"/>
      <c r="AC2059" s="904"/>
      <c r="AD2059" s="905"/>
      <c r="AE2059" s="2"/>
      <c r="AF2059" s="885"/>
      <c r="AG2059" s="885"/>
      <c r="AH2059" s="885"/>
      <c r="AI2059" s="885"/>
      <c r="AJ2059" s="885"/>
      <c r="AK2059" s="885"/>
      <c r="AL2059" s="885"/>
      <c r="AM2059" s="879"/>
      <c r="AN2059" s="2"/>
      <c r="AO2059" s="886"/>
      <c r="AP2059" s="886"/>
      <c r="AV2059" t="str">
        <f t="shared" si="8253"/>
        <v>Drenagem Superficial</v>
      </c>
      <c r="AW2059" s="4" t="str">
        <f t="shared" si="8244"/>
        <v xml:space="preserve">   Seg. 2.3-ADME-01 - Drenagem Superficial - Valeta de proteção de aterro</v>
      </c>
    </row>
    <row r="2060" spans="1:49" ht="15.6" hidden="1" customHeight="1" outlineLevel="2">
      <c r="A2060" s="8" t="str">
        <f t="shared" ref="A2060" si="8255">IF(SUM(P2060:V2061)&gt;0,"S","N")</f>
        <v>N</v>
      </c>
      <c r="B2060" s="150">
        <v>1061845</v>
      </c>
      <c r="C2060" s="150" t="s">
        <v>2378</v>
      </c>
      <c r="D2060" s="120" t="s">
        <v>2379</v>
      </c>
      <c r="E2060" s="892" t="s">
        <v>2380</v>
      </c>
      <c r="F2060" s="902" t="s">
        <v>52</v>
      </c>
      <c r="G2060" s="528"/>
      <c r="H2060" s="546" t="s">
        <v>37</v>
      </c>
      <c r="I2060" s="711">
        <v>0</v>
      </c>
      <c r="J2060" s="896" t="str">
        <f t="shared" ref="J2060" si="8256">IFERROR((I2061/I2060),"-")</f>
        <v>-</v>
      </c>
      <c r="K2060" s="528"/>
      <c r="L2060" s="546" t="s">
        <v>37</v>
      </c>
      <c r="M2060" s="711">
        <f t="shared" si="7985"/>
        <v>0</v>
      </c>
      <c r="N2060" s="896" t="str">
        <f t="shared" ref="N2060" si="8257">IFERROR((M2061/M2060),"-")</f>
        <v>-</v>
      </c>
      <c r="O2060" s="528"/>
      <c r="P2060" s="547">
        <v>0</v>
      </c>
      <c r="Q2060" s="547">
        <v>0</v>
      </c>
      <c r="R2060" s="547">
        <v>0</v>
      </c>
      <c r="S2060" s="547">
        <v>0</v>
      </c>
      <c r="T2060" s="547">
        <v>0</v>
      </c>
      <c r="U2060" s="547">
        <v>0</v>
      </c>
      <c r="V2060" s="548">
        <v>0</v>
      </c>
      <c r="W2060" s="528"/>
      <c r="X2060" s="711">
        <f t="shared" si="7979"/>
        <v>0</v>
      </c>
      <c r="Y2060" s="896" t="str">
        <f t="shared" ref="Y2060" si="8258">IFERROR((X2061/X2060),"-")</f>
        <v>-</v>
      </c>
      <c r="Z2060" s="528"/>
      <c r="AA2060" s="898">
        <v>0</v>
      </c>
      <c r="AB2060" s="898">
        <v>0</v>
      </c>
      <c r="AC2060" s="903">
        <v>0</v>
      </c>
      <c r="AD2060" s="896" t="str">
        <f t="shared" ref="AD2060" si="8259">IFERROR((AC2060/AB2060),"-")</f>
        <v>-</v>
      </c>
      <c r="AE2060" s="2"/>
      <c r="AF2060" s="884"/>
      <c r="AG2060" s="884"/>
      <c r="AH2060" s="884">
        <v>0</v>
      </c>
      <c r="AI2060" s="884"/>
      <c r="AJ2060" s="884"/>
      <c r="AK2060" s="884">
        <f t="shared" ref="AK2060" si="8260">AF2060+AG2060+AH2060+AI2060+AJ2060+AC2060</f>
        <v>0</v>
      </c>
      <c r="AL2060" s="884">
        <v>0</v>
      </c>
      <c r="AM2060" s="878" t="str">
        <f t="shared" ref="AM2060" si="8261">IFERROR((AK2060/AL2060),"-")</f>
        <v>-</v>
      </c>
      <c r="AN2060" s="2"/>
      <c r="AO2060" s="884">
        <v>51</v>
      </c>
      <c r="AP2060" s="884">
        <f t="shared" ref="AP2060" si="8262">AO2060-AK2060</f>
        <v>51</v>
      </c>
      <c r="AV2060" t="str">
        <f t="shared" si="8253"/>
        <v>Drenagem Superficial</v>
      </c>
      <c r="AW2060" s="4" t="str">
        <f t="shared" si="8244"/>
        <v xml:space="preserve">   Seg. 2.3-ADME-02 - Drenagem Superficial - Valeta de proteção de aterro</v>
      </c>
    </row>
    <row r="2061" spans="1:49" ht="15.6" hidden="1" customHeight="1" outlineLevel="2">
      <c r="A2061" s="8" t="str">
        <f t="shared" ref="A2061" si="8263">A2060</f>
        <v>N</v>
      </c>
      <c r="B2061" s="150"/>
      <c r="C2061" s="150" t="s">
        <v>2378</v>
      </c>
      <c r="D2061" s="120" t="s">
        <v>2379</v>
      </c>
      <c r="E2061" s="893"/>
      <c r="F2061" s="902"/>
      <c r="G2061" s="528"/>
      <c r="H2061" s="549" t="s">
        <v>38</v>
      </c>
      <c r="I2061" s="711">
        <v>0</v>
      </c>
      <c r="J2061" s="897"/>
      <c r="K2061" s="528"/>
      <c r="L2061" s="549" t="s">
        <v>38</v>
      </c>
      <c r="M2061" s="711">
        <f t="shared" si="7985"/>
        <v>0</v>
      </c>
      <c r="N2061" s="897"/>
      <c r="O2061" s="528"/>
      <c r="P2061" s="548">
        <v>0</v>
      </c>
      <c r="Q2061" s="548">
        <v>0</v>
      </c>
      <c r="R2061" s="548">
        <v>0</v>
      </c>
      <c r="S2061" s="548">
        <v>0</v>
      </c>
      <c r="T2061" s="548">
        <v>0</v>
      </c>
      <c r="U2061" s="548">
        <v>0</v>
      </c>
      <c r="V2061" s="548"/>
      <c r="W2061" s="528"/>
      <c r="X2061" s="711">
        <f t="shared" si="7979"/>
        <v>0</v>
      </c>
      <c r="Y2061" s="897"/>
      <c r="Z2061" s="528"/>
      <c r="AA2061" s="899"/>
      <c r="AB2061" s="899"/>
      <c r="AC2061" s="904"/>
      <c r="AD2061" s="905"/>
      <c r="AE2061" s="2"/>
      <c r="AF2061" s="885"/>
      <c r="AG2061" s="885"/>
      <c r="AH2061" s="885"/>
      <c r="AI2061" s="885"/>
      <c r="AJ2061" s="885"/>
      <c r="AK2061" s="885"/>
      <c r="AL2061" s="885"/>
      <c r="AM2061" s="879"/>
      <c r="AN2061" s="2"/>
      <c r="AO2061" s="886"/>
      <c r="AP2061" s="886"/>
      <c r="AV2061" t="str">
        <f t="shared" si="8253"/>
        <v>Drenagem Superficial</v>
      </c>
      <c r="AW2061" s="4" t="str">
        <f t="shared" si="8244"/>
        <v xml:space="preserve">   Seg. 2.3-ADME-02 - Drenagem Superficial - Valeta de proteção de aterro</v>
      </c>
    </row>
    <row r="2062" spans="1:49" ht="15.6" hidden="1" customHeight="1" outlineLevel="2">
      <c r="A2062" s="8" t="str">
        <f t="shared" ref="A2062" si="8264">IF(SUM(P2062:V2063)&gt;0,"S","N")</f>
        <v>N</v>
      </c>
      <c r="B2062" s="150">
        <v>1061846</v>
      </c>
      <c r="C2062" s="150" t="s">
        <v>2381</v>
      </c>
      <c r="D2062" s="120" t="s">
        <v>2382</v>
      </c>
      <c r="E2062" s="892" t="s">
        <v>2383</v>
      </c>
      <c r="F2062" s="902" t="s">
        <v>52</v>
      </c>
      <c r="G2062" s="528"/>
      <c r="H2062" s="546" t="s">
        <v>37</v>
      </c>
      <c r="I2062" s="711">
        <v>0</v>
      </c>
      <c r="J2062" s="896" t="str">
        <f t="shared" ref="J2062" si="8265">IFERROR((I2063/I2062),"-")</f>
        <v>-</v>
      </c>
      <c r="K2062" s="528"/>
      <c r="L2062" s="546" t="s">
        <v>37</v>
      </c>
      <c r="M2062" s="711">
        <f t="shared" si="7985"/>
        <v>0</v>
      </c>
      <c r="N2062" s="896" t="str">
        <f t="shared" ref="N2062" si="8266">IFERROR((M2063/M2062),"-")</f>
        <v>-</v>
      </c>
      <c r="O2062" s="528"/>
      <c r="P2062" s="547">
        <v>0</v>
      </c>
      <c r="Q2062" s="547">
        <v>0</v>
      </c>
      <c r="R2062" s="547">
        <v>0</v>
      </c>
      <c r="S2062" s="547">
        <v>0</v>
      </c>
      <c r="T2062" s="547">
        <v>0</v>
      </c>
      <c r="U2062" s="547">
        <v>0</v>
      </c>
      <c r="V2062" s="548">
        <v>0</v>
      </c>
      <c r="W2062" s="528"/>
      <c r="X2062" s="711">
        <f t="shared" ref="X2062:X2081" si="8267">SUMIFS(P2062:V2062,$P$8:$V$8,"&gt;="&amp;$P$8,$P$8:$V$8,"&lt;="&amp;$N$8)</f>
        <v>0</v>
      </c>
      <c r="Y2062" s="896" t="str">
        <f t="shared" ref="Y2062" si="8268">IFERROR((X2063/X2062),"-")</f>
        <v>-</v>
      </c>
      <c r="Z2062" s="528"/>
      <c r="AA2062" s="898">
        <v>0</v>
      </c>
      <c r="AB2062" s="898">
        <v>0</v>
      </c>
      <c r="AC2062" s="903">
        <v>0</v>
      </c>
      <c r="AD2062" s="896" t="str">
        <f t="shared" ref="AD2062" si="8269">IFERROR((AC2062/AB2062),"-")</f>
        <v>-</v>
      </c>
      <c r="AE2062" s="2"/>
      <c r="AF2062" s="884"/>
      <c r="AG2062" s="884"/>
      <c r="AH2062" s="884">
        <v>0</v>
      </c>
      <c r="AI2062" s="884"/>
      <c r="AJ2062" s="884"/>
      <c r="AK2062" s="884">
        <f t="shared" ref="AK2062" si="8270">AF2062+AG2062+AH2062+AI2062+AJ2062+AC2062</f>
        <v>0</v>
      </c>
      <c r="AL2062" s="884">
        <v>0</v>
      </c>
      <c r="AM2062" s="878" t="str">
        <f t="shared" ref="AM2062" si="8271">IFERROR((AK2062/AL2062),"-")</f>
        <v>-</v>
      </c>
      <c r="AN2062" s="2"/>
      <c r="AO2062" s="884">
        <v>25</v>
      </c>
      <c r="AP2062" s="884">
        <f t="shared" ref="AP2062" si="8272">AO2062-AK2062</f>
        <v>25</v>
      </c>
      <c r="AV2062" t="str">
        <f t="shared" si="8253"/>
        <v>Drenagem Superficial</v>
      </c>
      <c r="AW2062" s="4" t="str">
        <f t="shared" si="8244"/>
        <v xml:space="preserve">   Seg. 2.3-ADME-03 - Drenagem Superficial - Valeta de proteção de aterro</v>
      </c>
    </row>
    <row r="2063" spans="1:49" ht="15.6" hidden="1" customHeight="1" outlineLevel="2">
      <c r="A2063" s="8" t="str">
        <f t="shared" ref="A2063" si="8273">A2062</f>
        <v>N</v>
      </c>
      <c r="B2063" s="150"/>
      <c r="C2063" s="150" t="s">
        <v>2381</v>
      </c>
      <c r="D2063" s="120" t="s">
        <v>2382</v>
      </c>
      <c r="E2063" s="893"/>
      <c r="F2063" s="902"/>
      <c r="G2063" s="528"/>
      <c r="H2063" s="549" t="s">
        <v>38</v>
      </c>
      <c r="I2063" s="711">
        <v>0</v>
      </c>
      <c r="J2063" s="897"/>
      <c r="K2063" s="528"/>
      <c r="L2063" s="549" t="s">
        <v>38</v>
      </c>
      <c r="M2063" s="711">
        <f t="shared" si="7985"/>
        <v>0</v>
      </c>
      <c r="N2063" s="897"/>
      <c r="O2063" s="528"/>
      <c r="P2063" s="548">
        <v>0</v>
      </c>
      <c r="Q2063" s="548">
        <v>0</v>
      </c>
      <c r="R2063" s="548">
        <v>0</v>
      </c>
      <c r="S2063" s="548">
        <v>0</v>
      </c>
      <c r="T2063" s="548">
        <v>0</v>
      </c>
      <c r="U2063" s="548">
        <v>0</v>
      </c>
      <c r="V2063" s="548"/>
      <c r="W2063" s="528"/>
      <c r="X2063" s="711">
        <f t="shared" si="8267"/>
        <v>0</v>
      </c>
      <c r="Y2063" s="897"/>
      <c r="Z2063" s="528"/>
      <c r="AA2063" s="899"/>
      <c r="AB2063" s="899"/>
      <c r="AC2063" s="904"/>
      <c r="AD2063" s="905"/>
      <c r="AE2063" s="2"/>
      <c r="AF2063" s="885"/>
      <c r="AG2063" s="885"/>
      <c r="AH2063" s="885"/>
      <c r="AI2063" s="885"/>
      <c r="AJ2063" s="885"/>
      <c r="AK2063" s="885"/>
      <c r="AL2063" s="885"/>
      <c r="AM2063" s="879"/>
      <c r="AN2063" s="2"/>
      <c r="AO2063" s="886"/>
      <c r="AP2063" s="886"/>
      <c r="AV2063" t="str">
        <f t="shared" si="8253"/>
        <v>Drenagem Superficial</v>
      </c>
      <c r="AW2063" s="4" t="str">
        <f t="shared" si="8244"/>
        <v xml:space="preserve">   Seg. 2.3-ADME-03 - Drenagem Superficial - Valeta de proteção de aterro</v>
      </c>
    </row>
    <row r="2064" spans="1:49" ht="15.6" hidden="1" customHeight="1" outlineLevel="2">
      <c r="A2064" s="8" t="str">
        <f t="shared" ref="A2064" si="8274">IF(SUM(P2064:V2065)&gt;0,"S","N")</f>
        <v>N</v>
      </c>
      <c r="B2064" s="150">
        <v>1061847</v>
      </c>
      <c r="C2064" s="150" t="s">
        <v>2384</v>
      </c>
      <c r="D2064" s="120" t="s">
        <v>2385</v>
      </c>
      <c r="E2064" s="892" t="s">
        <v>2386</v>
      </c>
      <c r="F2064" s="902" t="s">
        <v>52</v>
      </c>
      <c r="G2064" s="528"/>
      <c r="H2064" s="546" t="s">
        <v>37</v>
      </c>
      <c r="I2064" s="711">
        <v>0</v>
      </c>
      <c r="J2064" s="896" t="str">
        <f t="shared" ref="J2064" si="8275">IFERROR((I2065/I2064),"-")</f>
        <v>-</v>
      </c>
      <c r="K2064" s="528"/>
      <c r="L2064" s="546" t="s">
        <v>37</v>
      </c>
      <c r="M2064" s="711">
        <f t="shared" ref="M2064:M2081" si="8276">_xlfn.XLOOKUP($N$8,$P$8:$V$8,$P2064:$V2064)</f>
        <v>0</v>
      </c>
      <c r="N2064" s="896" t="str">
        <f t="shared" ref="N2064" si="8277">IFERROR((M2065/M2064),"-")</f>
        <v>-</v>
      </c>
      <c r="O2064" s="528"/>
      <c r="P2064" s="547">
        <v>0</v>
      </c>
      <c r="Q2064" s="547">
        <v>0</v>
      </c>
      <c r="R2064" s="547">
        <v>0</v>
      </c>
      <c r="S2064" s="547">
        <v>0</v>
      </c>
      <c r="T2064" s="547">
        <v>0</v>
      </c>
      <c r="U2064" s="547">
        <v>0</v>
      </c>
      <c r="V2064" s="548">
        <v>0</v>
      </c>
      <c r="W2064" s="528"/>
      <c r="X2064" s="711">
        <f t="shared" si="8267"/>
        <v>0</v>
      </c>
      <c r="Y2064" s="896" t="str">
        <f t="shared" ref="Y2064" si="8278">IFERROR((X2065/X2064),"-")</f>
        <v>-</v>
      </c>
      <c r="Z2064" s="528"/>
      <c r="AA2064" s="898">
        <v>0</v>
      </c>
      <c r="AB2064" s="898">
        <v>0</v>
      </c>
      <c r="AC2064" s="903">
        <v>0</v>
      </c>
      <c r="AD2064" s="896" t="str">
        <f t="shared" ref="AD2064" si="8279">IFERROR((AC2064/AB2064),"-")</f>
        <v>-</v>
      </c>
      <c r="AE2064" s="2"/>
      <c r="AF2064" s="884"/>
      <c r="AG2064" s="884"/>
      <c r="AH2064" s="884">
        <v>0</v>
      </c>
      <c r="AI2064" s="884"/>
      <c r="AJ2064" s="884"/>
      <c r="AK2064" s="884">
        <f t="shared" ref="AK2064" si="8280">AF2064+AG2064+AH2064+AI2064+AJ2064+AC2064</f>
        <v>0</v>
      </c>
      <c r="AL2064" s="884">
        <v>0</v>
      </c>
      <c r="AM2064" s="878" t="str">
        <f t="shared" ref="AM2064" si="8281">IFERROR((AK2064/AL2064),"-")</f>
        <v>-</v>
      </c>
      <c r="AN2064" s="2"/>
      <c r="AO2064" s="884">
        <v>32</v>
      </c>
      <c r="AP2064" s="884">
        <f t="shared" ref="AP2064" si="8282">AO2064-AK2064</f>
        <v>32</v>
      </c>
      <c r="AV2064" t="str">
        <f t="shared" si="8253"/>
        <v>Drenagem Superficial</v>
      </c>
      <c r="AW2064" s="4" t="str">
        <f t="shared" si="8244"/>
        <v xml:space="preserve">   Seg. 2.3-ADME-04 - Drenagem Superficial - Valeta de proteção de aterro</v>
      </c>
    </row>
    <row r="2065" spans="1:49" ht="15.6" hidden="1" customHeight="1" outlineLevel="2">
      <c r="A2065" s="8" t="str">
        <f t="shared" ref="A2065" si="8283">A2064</f>
        <v>N</v>
      </c>
      <c r="B2065" s="150"/>
      <c r="C2065" s="150" t="s">
        <v>2384</v>
      </c>
      <c r="D2065" s="120" t="s">
        <v>2385</v>
      </c>
      <c r="E2065" s="893"/>
      <c r="F2065" s="902"/>
      <c r="G2065" s="528"/>
      <c r="H2065" s="549" t="s">
        <v>38</v>
      </c>
      <c r="I2065" s="711">
        <v>0</v>
      </c>
      <c r="J2065" s="897"/>
      <c r="K2065" s="528"/>
      <c r="L2065" s="549" t="s">
        <v>38</v>
      </c>
      <c r="M2065" s="711">
        <f t="shared" si="8276"/>
        <v>0</v>
      </c>
      <c r="N2065" s="897"/>
      <c r="O2065" s="528"/>
      <c r="P2065" s="548">
        <v>0</v>
      </c>
      <c r="Q2065" s="548">
        <v>0</v>
      </c>
      <c r="R2065" s="548">
        <v>0</v>
      </c>
      <c r="S2065" s="548">
        <v>0</v>
      </c>
      <c r="T2065" s="548">
        <v>0</v>
      </c>
      <c r="U2065" s="548">
        <v>0</v>
      </c>
      <c r="V2065" s="548"/>
      <c r="W2065" s="528"/>
      <c r="X2065" s="711">
        <f t="shared" si="8267"/>
        <v>0</v>
      </c>
      <c r="Y2065" s="897"/>
      <c r="Z2065" s="528"/>
      <c r="AA2065" s="899"/>
      <c r="AB2065" s="899"/>
      <c r="AC2065" s="904"/>
      <c r="AD2065" s="905"/>
      <c r="AE2065" s="2"/>
      <c r="AF2065" s="885"/>
      <c r="AG2065" s="885"/>
      <c r="AH2065" s="885"/>
      <c r="AI2065" s="885"/>
      <c r="AJ2065" s="885"/>
      <c r="AK2065" s="885"/>
      <c r="AL2065" s="885"/>
      <c r="AM2065" s="879"/>
      <c r="AN2065" s="2"/>
      <c r="AO2065" s="886"/>
      <c r="AP2065" s="886"/>
      <c r="AV2065" t="str">
        <f t="shared" si="8253"/>
        <v>Drenagem Superficial</v>
      </c>
      <c r="AW2065" s="4" t="str">
        <f t="shared" si="8244"/>
        <v xml:space="preserve">   Seg. 2.3-ADME-04 - Drenagem Superficial - Valeta de proteção de aterro</v>
      </c>
    </row>
    <row r="2066" spans="1:49" ht="15.6" hidden="1" customHeight="1" outlineLevel="2">
      <c r="A2066" s="8" t="str">
        <f t="shared" ref="A2066" si="8284">IF(SUM(P2066:V2067)&gt;0,"S","N")</f>
        <v>N</v>
      </c>
      <c r="B2066" s="150">
        <v>1061848</v>
      </c>
      <c r="C2066" s="150" t="s">
        <v>2387</v>
      </c>
      <c r="D2066" s="120" t="s">
        <v>2388</v>
      </c>
      <c r="E2066" s="892" t="s">
        <v>2389</v>
      </c>
      <c r="F2066" s="902" t="s">
        <v>52</v>
      </c>
      <c r="G2066" s="528"/>
      <c r="H2066" s="546" t="s">
        <v>37</v>
      </c>
      <c r="I2066" s="711">
        <v>0</v>
      </c>
      <c r="J2066" s="896" t="str">
        <f t="shared" ref="J2066" si="8285">IFERROR((I2067/I2066),"-")</f>
        <v>-</v>
      </c>
      <c r="K2066" s="528"/>
      <c r="L2066" s="546" t="s">
        <v>37</v>
      </c>
      <c r="M2066" s="711">
        <f t="shared" si="8276"/>
        <v>0</v>
      </c>
      <c r="N2066" s="896" t="str">
        <f t="shared" ref="N2066" si="8286">IFERROR((M2067/M2066),"-")</f>
        <v>-</v>
      </c>
      <c r="O2066" s="528"/>
      <c r="P2066" s="547">
        <v>0</v>
      </c>
      <c r="Q2066" s="547">
        <v>0</v>
      </c>
      <c r="R2066" s="547">
        <v>0</v>
      </c>
      <c r="S2066" s="547">
        <v>0</v>
      </c>
      <c r="T2066" s="547">
        <v>0</v>
      </c>
      <c r="U2066" s="547">
        <v>0</v>
      </c>
      <c r="V2066" s="548">
        <v>0</v>
      </c>
      <c r="W2066" s="528"/>
      <c r="X2066" s="711">
        <f t="shared" si="8267"/>
        <v>0</v>
      </c>
      <c r="Y2066" s="896" t="str">
        <f t="shared" ref="Y2066" si="8287">IFERROR((X2067/X2066),"-")</f>
        <v>-</v>
      </c>
      <c r="Z2066" s="528"/>
      <c r="AA2066" s="898">
        <v>0</v>
      </c>
      <c r="AB2066" s="898">
        <v>0</v>
      </c>
      <c r="AC2066" s="903">
        <v>0</v>
      </c>
      <c r="AD2066" s="896" t="str">
        <f t="shared" ref="AD2066" si="8288">IFERROR((AC2066/AB2066),"-")</f>
        <v>-</v>
      </c>
      <c r="AE2066" s="2"/>
      <c r="AF2066" s="884"/>
      <c r="AG2066" s="884"/>
      <c r="AH2066" s="884">
        <v>0</v>
      </c>
      <c r="AI2066" s="884"/>
      <c r="AJ2066" s="884"/>
      <c r="AK2066" s="884">
        <f t="shared" ref="AK2066" si="8289">AF2066+AG2066+AH2066+AI2066+AJ2066+AC2066</f>
        <v>0</v>
      </c>
      <c r="AL2066" s="884">
        <v>0</v>
      </c>
      <c r="AM2066" s="878" t="str">
        <f t="shared" ref="AM2066" si="8290">IFERROR((AK2066/AL2066),"-")</f>
        <v>-</v>
      </c>
      <c r="AN2066" s="2"/>
      <c r="AO2066" s="884">
        <v>57</v>
      </c>
      <c r="AP2066" s="884">
        <f t="shared" ref="AP2066" si="8291">AO2066-AK2066</f>
        <v>57</v>
      </c>
      <c r="AV2066" t="str">
        <f t="shared" si="8253"/>
        <v>Drenagem Superficial</v>
      </c>
      <c r="AW2066" s="4" t="str">
        <f t="shared" si="8244"/>
        <v xml:space="preserve">   Seg. 2.3-ADME-05 - Drenagem Superficial - Valeta de proteção de aterro</v>
      </c>
    </row>
    <row r="2067" spans="1:49" ht="15.6" hidden="1" customHeight="1" outlineLevel="2">
      <c r="A2067" s="8" t="str">
        <f t="shared" ref="A2067" si="8292">A2066</f>
        <v>N</v>
      </c>
      <c r="B2067" s="150"/>
      <c r="C2067" s="150" t="s">
        <v>2387</v>
      </c>
      <c r="D2067" s="120" t="s">
        <v>2388</v>
      </c>
      <c r="E2067" s="893"/>
      <c r="F2067" s="902"/>
      <c r="G2067" s="528"/>
      <c r="H2067" s="549" t="s">
        <v>38</v>
      </c>
      <c r="I2067" s="711">
        <v>0</v>
      </c>
      <c r="J2067" s="897"/>
      <c r="K2067" s="528"/>
      <c r="L2067" s="549" t="s">
        <v>38</v>
      </c>
      <c r="M2067" s="711">
        <f t="shared" si="8276"/>
        <v>0</v>
      </c>
      <c r="N2067" s="897"/>
      <c r="O2067" s="528"/>
      <c r="P2067" s="548">
        <v>0</v>
      </c>
      <c r="Q2067" s="548">
        <v>0</v>
      </c>
      <c r="R2067" s="548">
        <v>0</v>
      </c>
      <c r="S2067" s="548">
        <v>0</v>
      </c>
      <c r="T2067" s="548">
        <v>0</v>
      </c>
      <c r="U2067" s="548">
        <v>0</v>
      </c>
      <c r="V2067" s="548"/>
      <c r="W2067" s="528"/>
      <c r="X2067" s="711">
        <f t="shared" si="8267"/>
        <v>0</v>
      </c>
      <c r="Y2067" s="897"/>
      <c r="Z2067" s="528"/>
      <c r="AA2067" s="899"/>
      <c r="AB2067" s="899"/>
      <c r="AC2067" s="904"/>
      <c r="AD2067" s="905"/>
      <c r="AE2067" s="2"/>
      <c r="AF2067" s="885"/>
      <c r="AG2067" s="885"/>
      <c r="AH2067" s="885"/>
      <c r="AI2067" s="885"/>
      <c r="AJ2067" s="885"/>
      <c r="AK2067" s="885"/>
      <c r="AL2067" s="885"/>
      <c r="AM2067" s="879"/>
      <c r="AN2067" s="2"/>
      <c r="AO2067" s="886"/>
      <c r="AP2067" s="886"/>
      <c r="AV2067" t="str">
        <f t="shared" si="8253"/>
        <v>Drenagem Superficial</v>
      </c>
      <c r="AW2067" s="4" t="str">
        <f t="shared" si="8244"/>
        <v xml:space="preserve">   Seg. 2.3-ADME-05 - Drenagem Superficial - Valeta de proteção de aterro</v>
      </c>
    </row>
    <row r="2068" spans="1:49" ht="15.6" hidden="1" customHeight="1" outlineLevel="2">
      <c r="A2068" s="8" t="str">
        <f t="shared" ref="A2068" si="8293">IF(SUM(P2068:V2069)&gt;0,"S","N")</f>
        <v>N</v>
      </c>
      <c r="B2068" s="150">
        <v>1061871</v>
      </c>
      <c r="C2068" s="150" t="s">
        <v>2390</v>
      </c>
      <c r="D2068" s="120" t="s">
        <v>2139</v>
      </c>
      <c r="E2068" s="892" t="s">
        <v>2303</v>
      </c>
      <c r="F2068" s="902" t="s">
        <v>52</v>
      </c>
      <c r="G2068" s="528"/>
      <c r="H2068" s="546" t="s">
        <v>37</v>
      </c>
      <c r="I2068" s="711">
        <v>0</v>
      </c>
      <c r="J2068" s="896" t="str">
        <f t="shared" ref="J2068" si="8294">IFERROR((I2069/I2068),"-")</f>
        <v>-</v>
      </c>
      <c r="K2068" s="528"/>
      <c r="L2068" s="546" t="s">
        <v>37</v>
      </c>
      <c r="M2068" s="711">
        <f t="shared" si="8276"/>
        <v>0</v>
      </c>
      <c r="N2068" s="896" t="str">
        <f t="shared" ref="N2068" si="8295">IFERROR((M2069/M2068),"-")</f>
        <v>-</v>
      </c>
      <c r="O2068" s="528"/>
      <c r="P2068" s="547">
        <v>0</v>
      </c>
      <c r="Q2068" s="547">
        <v>0</v>
      </c>
      <c r="R2068" s="547">
        <v>0</v>
      </c>
      <c r="S2068" s="547">
        <v>0</v>
      </c>
      <c r="T2068" s="547">
        <v>0</v>
      </c>
      <c r="U2068" s="547">
        <v>0</v>
      </c>
      <c r="V2068" s="548">
        <v>0</v>
      </c>
      <c r="W2068" s="528"/>
      <c r="X2068" s="711">
        <f t="shared" si="8267"/>
        <v>0</v>
      </c>
      <c r="Y2068" s="896" t="str">
        <f t="shared" ref="Y2068" si="8296">IFERROR((X2069/X2068),"-")</f>
        <v>-</v>
      </c>
      <c r="Z2068" s="528"/>
      <c r="AA2068" s="898">
        <v>0</v>
      </c>
      <c r="AB2068" s="898">
        <v>0</v>
      </c>
      <c r="AC2068" s="903">
        <v>0</v>
      </c>
      <c r="AD2068" s="896" t="str">
        <f t="shared" ref="AD2068" si="8297">IFERROR((AC2068/AB2068),"-")</f>
        <v>-</v>
      </c>
      <c r="AE2068" s="2"/>
      <c r="AF2068" s="884"/>
      <c r="AG2068" s="884"/>
      <c r="AH2068" s="884">
        <v>0</v>
      </c>
      <c r="AI2068" s="884"/>
      <c r="AJ2068" s="884"/>
      <c r="AK2068" s="884">
        <f t="shared" ref="AK2068" si="8298">AF2068+AG2068+AH2068+AI2068+AJ2068+AC2068</f>
        <v>0</v>
      </c>
      <c r="AL2068" s="884">
        <v>293.93000000000012</v>
      </c>
      <c r="AM2068" s="878">
        <f t="shared" ref="AM2068" si="8299">IFERROR((AK2068/AL2068),"-")</f>
        <v>0</v>
      </c>
      <c r="AN2068" s="2"/>
      <c r="AO2068" s="884">
        <v>293.89999999999998</v>
      </c>
      <c r="AP2068" s="884">
        <f t="shared" ref="AP2068" si="8300">AO2068-AK2068</f>
        <v>293.89999999999998</v>
      </c>
      <c r="AV2068" t="str">
        <f t="shared" si="8253"/>
        <v>Drenagem Superficial</v>
      </c>
      <c r="AW2068" s="4" t="str">
        <f t="shared" si="8244"/>
        <v xml:space="preserve">   Construção de valeta de proteção de corte</v>
      </c>
    </row>
    <row r="2069" spans="1:49" ht="15.6" hidden="1" customHeight="1" outlineLevel="2">
      <c r="A2069" s="8" t="str">
        <f t="shared" ref="A2069" si="8301">A2068</f>
        <v>N</v>
      </c>
      <c r="B2069" s="150"/>
      <c r="C2069" s="150" t="s">
        <v>2390</v>
      </c>
      <c r="D2069" s="120" t="s">
        <v>2139</v>
      </c>
      <c r="E2069" s="893"/>
      <c r="F2069" s="902"/>
      <c r="G2069" s="528"/>
      <c r="H2069" s="549" t="s">
        <v>38</v>
      </c>
      <c r="I2069" s="711">
        <v>0</v>
      </c>
      <c r="J2069" s="897"/>
      <c r="K2069" s="528"/>
      <c r="L2069" s="549" t="s">
        <v>38</v>
      </c>
      <c r="M2069" s="711">
        <f t="shared" si="8276"/>
        <v>0</v>
      </c>
      <c r="N2069" s="897"/>
      <c r="O2069" s="528"/>
      <c r="P2069" s="548">
        <v>0</v>
      </c>
      <c r="Q2069" s="548">
        <v>0</v>
      </c>
      <c r="R2069" s="548">
        <v>0</v>
      </c>
      <c r="S2069" s="548">
        <v>0</v>
      </c>
      <c r="T2069" s="548">
        <v>0</v>
      </c>
      <c r="U2069" s="548">
        <v>0</v>
      </c>
      <c r="V2069" s="548"/>
      <c r="W2069" s="528"/>
      <c r="X2069" s="711">
        <f t="shared" si="8267"/>
        <v>0</v>
      </c>
      <c r="Y2069" s="897"/>
      <c r="Z2069" s="528"/>
      <c r="AA2069" s="899"/>
      <c r="AB2069" s="899"/>
      <c r="AC2069" s="904"/>
      <c r="AD2069" s="905"/>
      <c r="AE2069" s="2"/>
      <c r="AF2069" s="885"/>
      <c r="AG2069" s="885"/>
      <c r="AH2069" s="885"/>
      <c r="AI2069" s="885"/>
      <c r="AJ2069" s="885"/>
      <c r="AK2069" s="885"/>
      <c r="AL2069" s="885"/>
      <c r="AM2069" s="879"/>
      <c r="AN2069" s="2"/>
      <c r="AO2069" s="886"/>
      <c r="AP2069" s="886"/>
      <c r="AV2069" t="str">
        <f t="shared" si="8253"/>
        <v>Drenagem Superficial</v>
      </c>
      <c r="AW2069" s="4" t="str">
        <f t="shared" si="8244"/>
        <v xml:space="preserve">   Construção de valeta de proteção de corte</v>
      </c>
    </row>
    <row r="2070" spans="1:49" ht="15.6" hidden="1" customHeight="1" outlineLevel="2" collapsed="1">
      <c r="A2070" s="8" t="str">
        <f t="shared" ref="A2070" si="8302">IF(SUM(P2070:V2071)&gt;0,"S","N")</f>
        <v>N</v>
      </c>
      <c r="B2070" s="150">
        <v>1061872</v>
      </c>
      <c r="C2070" s="150" t="s">
        <v>2391</v>
      </c>
      <c r="D2070" s="120" t="s">
        <v>313</v>
      </c>
      <c r="E2070" s="892" t="s">
        <v>2303</v>
      </c>
      <c r="F2070" s="902" t="s">
        <v>52</v>
      </c>
      <c r="G2070" s="528"/>
      <c r="H2070" s="546" t="s">
        <v>37</v>
      </c>
      <c r="I2070" s="711">
        <v>0</v>
      </c>
      <c r="J2070" s="896" t="str">
        <f t="shared" ref="J2070" si="8303">IFERROR((I2071/I2070),"-")</f>
        <v>-</v>
      </c>
      <c r="K2070" s="528"/>
      <c r="L2070" s="546" t="s">
        <v>37</v>
      </c>
      <c r="M2070" s="711">
        <f t="shared" si="8276"/>
        <v>0</v>
      </c>
      <c r="N2070" s="896" t="str">
        <f t="shared" ref="N2070" si="8304">IFERROR((M2071/M2070),"-")</f>
        <v>-</v>
      </c>
      <c r="O2070" s="528"/>
      <c r="P2070" s="547">
        <v>0</v>
      </c>
      <c r="Q2070" s="547">
        <v>0</v>
      </c>
      <c r="R2070" s="547">
        <v>0</v>
      </c>
      <c r="S2070" s="547">
        <v>0</v>
      </c>
      <c r="T2070" s="547">
        <v>0</v>
      </c>
      <c r="U2070" s="547">
        <v>0</v>
      </c>
      <c r="V2070" s="548">
        <v>0</v>
      </c>
      <c r="W2070" s="528"/>
      <c r="X2070" s="711">
        <f t="shared" si="8267"/>
        <v>0</v>
      </c>
      <c r="Y2070" s="896" t="str">
        <f t="shared" ref="Y2070" si="8305">IFERROR((X2071/X2070),"-")</f>
        <v>-</v>
      </c>
      <c r="Z2070" s="528"/>
      <c r="AA2070" s="898">
        <v>0</v>
      </c>
      <c r="AB2070" s="898">
        <v>0</v>
      </c>
      <c r="AC2070" s="903">
        <v>0</v>
      </c>
      <c r="AD2070" s="896" t="str">
        <f t="shared" ref="AD2070" si="8306">IFERROR((AC2070/AB2070),"-")</f>
        <v>-</v>
      </c>
      <c r="AE2070" s="2"/>
      <c r="AF2070" s="884">
        <v>473.46199999999999</v>
      </c>
      <c r="AG2070" s="884"/>
      <c r="AH2070" s="884">
        <v>0</v>
      </c>
      <c r="AI2070" s="884"/>
      <c r="AJ2070" s="884"/>
      <c r="AK2070" s="884">
        <f t="shared" ref="AK2070" si="8307">AF2070+AG2070+AH2070+AI2070+AJ2070+AC2070</f>
        <v>473.46199999999999</v>
      </c>
      <c r="AL2070" s="884">
        <v>564.1</v>
      </c>
      <c r="AM2070" s="878">
        <f t="shared" ref="AM2070" si="8308">IFERROR((AK2070/AL2070),"-")</f>
        <v>0.83932281510370499</v>
      </c>
      <c r="AN2070" s="2"/>
      <c r="AO2070" s="884">
        <v>564.1</v>
      </c>
      <c r="AP2070" s="884">
        <f t="shared" ref="AP2070" si="8309">AO2070-AK2070</f>
        <v>90.638000000000034</v>
      </c>
      <c r="AV2070" t="str">
        <f t="shared" si="8253"/>
        <v>Drenagem Superficial</v>
      </c>
      <c r="AW2070" s="4" t="str">
        <f t="shared" si="8244"/>
        <v xml:space="preserve">   Construção de valeta de proteção de corte</v>
      </c>
    </row>
    <row r="2071" spans="1:49" ht="15.6" hidden="1" customHeight="1" outlineLevel="2">
      <c r="A2071" s="8" t="str">
        <f t="shared" ref="A2071" si="8310">A2070</f>
        <v>N</v>
      </c>
      <c r="B2071" s="150"/>
      <c r="C2071" s="150" t="s">
        <v>2391</v>
      </c>
      <c r="D2071" s="120" t="s">
        <v>313</v>
      </c>
      <c r="E2071" s="893"/>
      <c r="F2071" s="902"/>
      <c r="G2071" s="528"/>
      <c r="H2071" s="549" t="s">
        <v>38</v>
      </c>
      <c r="I2071" s="711">
        <v>0</v>
      </c>
      <c r="J2071" s="897"/>
      <c r="K2071" s="528"/>
      <c r="L2071" s="549" t="s">
        <v>38</v>
      </c>
      <c r="M2071" s="711">
        <f t="shared" si="8276"/>
        <v>0</v>
      </c>
      <c r="N2071" s="897"/>
      <c r="O2071" s="528"/>
      <c r="P2071" s="548">
        <v>0</v>
      </c>
      <c r="Q2071" s="548">
        <v>0</v>
      </c>
      <c r="R2071" s="548">
        <v>0</v>
      </c>
      <c r="S2071" s="548">
        <v>0</v>
      </c>
      <c r="T2071" s="548">
        <v>0</v>
      </c>
      <c r="U2071" s="548">
        <v>0</v>
      </c>
      <c r="V2071" s="548"/>
      <c r="W2071" s="528"/>
      <c r="X2071" s="711">
        <f t="shared" si="8267"/>
        <v>0</v>
      </c>
      <c r="Y2071" s="897"/>
      <c r="Z2071" s="528"/>
      <c r="AA2071" s="899"/>
      <c r="AB2071" s="899"/>
      <c r="AC2071" s="904"/>
      <c r="AD2071" s="905"/>
      <c r="AE2071" s="2"/>
      <c r="AF2071" s="885"/>
      <c r="AG2071" s="885"/>
      <c r="AH2071" s="885"/>
      <c r="AI2071" s="885"/>
      <c r="AJ2071" s="885"/>
      <c r="AK2071" s="885"/>
      <c r="AL2071" s="885"/>
      <c r="AM2071" s="879"/>
      <c r="AN2071" s="2"/>
      <c r="AO2071" s="886"/>
      <c r="AP2071" s="886"/>
      <c r="AV2071" t="str">
        <f t="shared" si="8253"/>
        <v>Drenagem Superficial</v>
      </c>
      <c r="AW2071" s="4" t="str">
        <f t="shared" si="8244"/>
        <v xml:space="preserve">   Construção de valeta de proteção de corte</v>
      </c>
    </row>
    <row r="2072" spans="1:49" ht="15.6" hidden="1" customHeight="1" outlineLevel="2">
      <c r="A2072" s="209" t="str">
        <f t="shared" ref="A2072" si="8311">IF(SUM(P2072:V2073)&gt;0,"S","N")</f>
        <v>N</v>
      </c>
      <c r="B2072" s="150">
        <v>1061873</v>
      </c>
      <c r="C2072" s="150" t="s">
        <v>2392</v>
      </c>
      <c r="D2072" s="120" t="s">
        <v>572</v>
      </c>
      <c r="E2072" s="892" t="s">
        <v>2303</v>
      </c>
      <c r="F2072" s="902" t="s">
        <v>52</v>
      </c>
      <c r="G2072" s="528"/>
      <c r="H2072" s="546" t="s">
        <v>37</v>
      </c>
      <c r="I2072" s="711">
        <v>0</v>
      </c>
      <c r="J2072" s="896" t="str">
        <f t="shared" ref="J2072" si="8312">IFERROR((I2073/I2072),"-")</f>
        <v>-</v>
      </c>
      <c r="K2072" s="528"/>
      <c r="L2072" s="546" t="s">
        <v>37</v>
      </c>
      <c r="M2072" s="711">
        <f t="shared" si="8276"/>
        <v>0</v>
      </c>
      <c r="N2072" s="896" t="str">
        <f t="shared" ref="N2072" si="8313">IFERROR((M2073/M2072),"-")</f>
        <v>-</v>
      </c>
      <c r="O2072" s="528"/>
      <c r="P2072" s="547">
        <v>0</v>
      </c>
      <c r="Q2072" s="547">
        <v>0</v>
      </c>
      <c r="R2072" s="547">
        <v>0</v>
      </c>
      <c r="S2072" s="547">
        <v>0</v>
      </c>
      <c r="T2072" s="547">
        <v>0</v>
      </c>
      <c r="U2072" s="547">
        <v>0</v>
      </c>
      <c r="V2072" s="548">
        <v>0</v>
      </c>
      <c r="W2072" s="528"/>
      <c r="X2072" s="711">
        <f t="shared" si="8267"/>
        <v>0</v>
      </c>
      <c r="Y2072" s="896" t="str">
        <f t="shared" ref="Y2072" si="8314">IFERROR((X2073/X2072),"-")</f>
        <v>-</v>
      </c>
      <c r="Z2072" s="528"/>
      <c r="AA2072" s="898">
        <v>1182.55</v>
      </c>
      <c r="AB2072" s="898">
        <v>788.36</v>
      </c>
      <c r="AC2072" s="903">
        <v>0</v>
      </c>
      <c r="AD2072" s="896">
        <f t="shared" ref="AD2072" si="8315">IFERROR((AC2072/AB2072),"-")</f>
        <v>0</v>
      </c>
      <c r="AE2072" s="2"/>
      <c r="AF2072" s="884"/>
      <c r="AG2072" s="884"/>
      <c r="AH2072" s="884">
        <v>0</v>
      </c>
      <c r="AI2072" s="884"/>
      <c r="AJ2072" s="884"/>
      <c r="AK2072" s="884">
        <f t="shared" ref="AK2072" si="8316">AF2072+AG2072+AH2072+AI2072+AJ2072+AC2072</f>
        <v>0</v>
      </c>
      <c r="AL2072" s="884">
        <v>803.81000000000006</v>
      </c>
      <c r="AM2072" s="878">
        <f t="shared" ref="AM2072" si="8317">IFERROR((AK2072/AL2072),"-")</f>
        <v>0</v>
      </c>
      <c r="AN2072" s="2"/>
      <c r="AO2072" s="884">
        <v>1198</v>
      </c>
      <c r="AP2072" s="884">
        <f t="shared" ref="AP2072" si="8318">AO2072-AK2072</f>
        <v>1198</v>
      </c>
      <c r="AV2072" t="str">
        <f t="shared" si="8253"/>
        <v>Drenagem Superficial</v>
      </c>
      <c r="AW2072" s="4" t="str">
        <f t="shared" si="8244"/>
        <v xml:space="preserve">   Construção de valeta de proteção de corte</v>
      </c>
    </row>
    <row r="2073" spans="1:49" ht="15.6" hidden="1" customHeight="1" outlineLevel="2">
      <c r="A2073" s="209" t="str">
        <f t="shared" ref="A2073" si="8319">A2072</f>
        <v>N</v>
      </c>
      <c r="B2073" s="150"/>
      <c r="C2073" s="150" t="s">
        <v>2392</v>
      </c>
      <c r="D2073" s="120" t="s">
        <v>572</v>
      </c>
      <c r="E2073" s="893"/>
      <c r="F2073" s="902"/>
      <c r="G2073" s="528"/>
      <c r="H2073" s="549" t="s">
        <v>38</v>
      </c>
      <c r="I2073" s="711">
        <v>0</v>
      </c>
      <c r="J2073" s="897"/>
      <c r="K2073" s="528"/>
      <c r="L2073" s="549" t="s">
        <v>38</v>
      </c>
      <c r="M2073" s="711">
        <f t="shared" si="8276"/>
        <v>0</v>
      </c>
      <c r="N2073" s="897"/>
      <c r="O2073" s="528"/>
      <c r="P2073" s="548">
        <v>0</v>
      </c>
      <c r="Q2073" s="548">
        <v>0</v>
      </c>
      <c r="R2073" s="548">
        <v>0</v>
      </c>
      <c r="S2073" s="548">
        <v>0</v>
      </c>
      <c r="T2073" s="548">
        <v>0</v>
      </c>
      <c r="U2073" s="548">
        <v>0</v>
      </c>
      <c r="V2073" s="548"/>
      <c r="W2073" s="528"/>
      <c r="X2073" s="711">
        <f t="shared" si="8267"/>
        <v>0</v>
      </c>
      <c r="Y2073" s="897"/>
      <c r="Z2073" s="528"/>
      <c r="AA2073" s="899"/>
      <c r="AB2073" s="899"/>
      <c r="AC2073" s="904"/>
      <c r="AD2073" s="905"/>
      <c r="AE2073" s="2"/>
      <c r="AF2073" s="885"/>
      <c r="AG2073" s="885"/>
      <c r="AH2073" s="885"/>
      <c r="AI2073" s="885"/>
      <c r="AJ2073" s="885"/>
      <c r="AK2073" s="885"/>
      <c r="AL2073" s="885"/>
      <c r="AM2073" s="879"/>
      <c r="AN2073" s="2"/>
      <c r="AO2073" s="886"/>
      <c r="AP2073" s="886"/>
      <c r="AV2073" t="str">
        <f t="shared" si="8253"/>
        <v>Drenagem Superficial</v>
      </c>
      <c r="AW2073" s="4" t="str">
        <f t="shared" si="8244"/>
        <v xml:space="preserve">   Construção de valeta de proteção de corte</v>
      </c>
    </row>
    <row r="2074" spans="1:49" ht="15.6" hidden="1" customHeight="1" outlineLevel="2">
      <c r="A2074" s="8" t="str">
        <f t="shared" ref="A2074" si="8320">IF(SUM(P2074:V2075)&gt;0,"S","N")</f>
        <v>S</v>
      </c>
      <c r="B2074" s="150">
        <v>1069829</v>
      </c>
      <c r="C2074" s="150" t="s">
        <v>2393</v>
      </c>
      <c r="D2074" s="120" t="s">
        <v>2394</v>
      </c>
      <c r="E2074" s="892" t="s">
        <v>2395</v>
      </c>
      <c r="F2074" s="902" t="s">
        <v>52</v>
      </c>
      <c r="G2074" s="528"/>
      <c r="H2074" s="546" t="s">
        <v>37</v>
      </c>
      <c r="I2074" s="711">
        <v>0</v>
      </c>
      <c r="J2074" s="896" t="str">
        <f t="shared" ref="J2074" si="8321">IFERROR((I2075/I2074),"-")</f>
        <v>-</v>
      </c>
      <c r="K2074" s="528"/>
      <c r="L2074" s="546" t="s">
        <v>37</v>
      </c>
      <c r="M2074" s="711">
        <f t="shared" si="8276"/>
        <v>0</v>
      </c>
      <c r="N2074" s="896" t="str">
        <f t="shared" ref="N2074" si="8322">IFERROR((M2075/M2074),"-")</f>
        <v>-</v>
      </c>
      <c r="O2074" s="528"/>
      <c r="P2074" s="547">
        <v>0</v>
      </c>
      <c r="Q2074" s="547">
        <v>0</v>
      </c>
      <c r="R2074" s="547">
        <v>0</v>
      </c>
      <c r="S2074" s="547">
        <v>0</v>
      </c>
      <c r="T2074" s="547">
        <v>0</v>
      </c>
      <c r="U2074" s="547">
        <v>0</v>
      </c>
      <c r="V2074" s="548">
        <v>0</v>
      </c>
      <c r="W2074" s="528"/>
      <c r="X2074" s="711">
        <f t="shared" si="8267"/>
        <v>0</v>
      </c>
      <c r="Y2074" s="896" t="str">
        <f t="shared" ref="Y2074" si="8323">IFERROR((X2075/X2074),"-")</f>
        <v>-</v>
      </c>
      <c r="Z2074" s="528"/>
      <c r="AA2074" s="898">
        <v>0</v>
      </c>
      <c r="AB2074" s="898">
        <v>0</v>
      </c>
      <c r="AC2074" s="903">
        <v>117.5</v>
      </c>
      <c r="AD2074" s="896" t="str">
        <f t="shared" ref="AD2074" si="8324">IFERROR((AC2074/AB2074),"-")</f>
        <v>-</v>
      </c>
      <c r="AE2074" s="2"/>
      <c r="AF2074" s="884"/>
      <c r="AG2074" s="884"/>
      <c r="AH2074" s="884">
        <v>0</v>
      </c>
      <c r="AI2074" s="884"/>
      <c r="AJ2074" s="884"/>
      <c r="AK2074" s="884">
        <f t="shared" ref="AK2074" si="8325">AF2074+AG2074+AH2074+AI2074+AJ2074+AC2074</f>
        <v>117.5</v>
      </c>
      <c r="AL2074" s="884">
        <v>0</v>
      </c>
      <c r="AM2074" s="878" t="str">
        <f t="shared" ref="AM2074" si="8326">IFERROR((AK2074/AL2074),"-")</f>
        <v>-</v>
      </c>
      <c r="AN2074" s="2"/>
      <c r="AO2074" s="884">
        <v>54</v>
      </c>
      <c r="AP2074" s="884">
        <f t="shared" ref="AP2074" si="8327">AO2074-AK2074</f>
        <v>-63.5</v>
      </c>
      <c r="AV2074" t="str">
        <f t="shared" si="8253"/>
        <v>Drenagem Superficial</v>
      </c>
      <c r="AW2074" s="4" t="str">
        <f t="shared" si="8244"/>
        <v xml:space="preserve">   Seg. 2.3-A17-Acesso - Drenagem Superficial - Valeta de proteção de aterro / corte (Km 128+740)</v>
      </c>
    </row>
    <row r="2075" spans="1:49" ht="15.6" hidden="1" customHeight="1" outlineLevel="2">
      <c r="A2075" s="8" t="str">
        <f t="shared" ref="A2075" si="8328">A2074</f>
        <v>S</v>
      </c>
      <c r="B2075" s="150"/>
      <c r="C2075" s="150" t="s">
        <v>2393</v>
      </c>
      <c r="D2075" s="120" t="s">
        <v>2394</v>
      </c>
      <c r="E2075" s="893"/>
      <c r="F2075" s="902"/>
      <c r="G2075" s="528"/>
      <c r="H2075" s="549" t="s">
        <v>38</v>
      </c>
      <c r="I2075" s="711">
        <v>57.5</v>
      </c>
      <c r="J2075" s="897"/>
      <c r="K2075" s="528"/>
      <c r="L2075" s="549" t="s">
        <v>38</v>
      </c>
      <c r="M2075" s="711">
        <f t="shared" si="8276"/>
        <v>0</v>
      </c>
      <c r="N2075" s="897"/>
      <c r="O2075" s="528"/>
      <c r="P2075" s="548">
        <v>60</v>
      </c>
      <c r="Q2075" s="548">
        <v>0</v>
      </c>
      <c r="R2075" s="548">
        <v>0</v>
      </c>
      <c r="S2075" s="548">
        <v>0</v>
      </c>
      <c r="T2075" s="548">
        <v>0</v>
      </c>
      <c r="U2075" s="548">
        <v>0</v>
      </c>
      <c r="V2075" s="548"/>
      <c r="W2075" s="528"/>
      <c r="X2075" s="711">
        <f t="shared" si="8267"/>
        <v>60</v>
      </c>
      <c r="Y2075" s="897"/>
      <c r="Z2075" s="528"/>
      <c r="AA2075" s="899"/>
      <c r="AB2075" s="899"/>
      <c r="AC2075" s="904"/>
      <c r="AD2075" s="905"/>
      <c r="AE2075" s="2"/>
      <c r="AF2075" s="885"/>
      <c r="AG2075" s="885"/>
      <c r="AH2075" s="885"/>
      <c r="AI2075" s="885"/>
      <c r="AJ2075" s="885"/>
      <c r="AK2075" s="885"/>
      <c r="AL2075" s="885"/>
      <c r="AM2075" s="879"/>
      <c r="AN2075" s="2"/>
      <c r="AO2075" s="886"/>
      <c r="AP2075" s="886"/>
      <c r="AV2075" t="str">
        <f t="shared" si="8253"/>
        <v>Drenagem Superficial</v>
      </c>
      <c r="AW2075" s="4" t="str">
        <f t="shared" si="8244"/>
        <v xml:space="preserve">   Seg. 2.3-A17-Acesso - Drenagem Superficial - Valeta de proteção de aterro / corte (Km 128+740)</v>
      </c>
    </row>
    <row r="2076" spans="1:49" ht="15.6" hidden="1" customHeight="1" outlineLevel="2">
      <c r="A2076" s="8" t="str">
        <f t="shared" ref="A2076" si="8329">IF(SUM(P2076:V2077)&gt;0,"S","N")</f>
        <v>N</v>
      </c>
      <c r="B2076" s="150">
        <v>1069830</v>
      </c>
      <c r="C2076" s="150" t="s">
        <v>2396</v>
      </c>
      <c r="D2076" s="120" t="s">
        <v>2397</v>
      </c>
      <c r="E2076" s="892" t="s">
        <v>2398</v>
      </c>
      <c r="F2076" s="902" t="s">
        <v>52</v>
      </c>
      <c r="G2076" s="528"/>
      <c r="H2076" s="546" t="s">
        <v>37</v>
      </c>
      <c r="I2076" s="711">
        <v>0</v>
      </c>
      <c r="J2076" s="896" t="str">
        <f t="shared" ref="J2076" si="8330">IFERROR((I2077/I2076),"-")</f>
        <v>-</v>
      </c>
      <c r="K2076" s="528"/>
      <c r="L2076" s="546" t="s">
        <v>37</v>
      </c>
      <c r="M2076" s="711">
        <f t="shared" si="8276"/>
        <v>0</v>
      </c>
      <c r="N2076" s="896" t="str">
        <f t="shared" ref="N2076" si="8331">IFERROR((M2077/M2076),"-")</f>
        <v>-</v>
      </c>
      <c r="O2076" s="528"/>
      <c r="P2076" s="547">
        <v>0</v>
      </c>
      <c r="Q2076" s="547">
        <v>0</v>
      </c>
      <c r="R2076" s="547">
        <v>0</v>
      </c>
      <c r="S2076" s="547">
        <v>0</v>
      </c>
      <c r="T2076" s="547">
        <v>0</v>
      </c>
      <c r="U2076" s="547">
        <v>0</v>
      </c>
      <c r="V2076" s="548">
        <v>0</v>
      </c>
      <c r="W2076" s="528"/>
      <c r="X2076" s="711">
        <f t="shared" si="8267"/>
        <v>0</v>
      </c>
      <c r="Y2076" s="896" t="str">
        <f t="shared" ref="Y2076" si="8332">IFERROR((X2077/X2076),"-")</f>
        <v>-</v>
      </c>
      <c r="Z2076" s="528"/>
      <c r="AA2076" s="898">
        <v>0</v>
      </c>
      <c r="AB2076" s="898">
        <v>0</v>
      </c>
      <c r="AC2076" s="903">
        <v>0</v>
      </c>
      <c r="AD2076" s="896" t="str">
        <f t="shared" ref="AD2076" si="8333">IFERROR((AC2076/AB2076),"-")</f>
        <v>-</v>
      </c>
      <c r="AE2076" s="2"/>
      <c r="AF2076" s="884"/>
      <c r="AG2076" s="884"/>
      <c r="AH2076" s="884">
        <v>0</v>
      </c>
      <c r="AI2076" s="884"/>
      <c r="AJ2076" s="884"/>
      <c r="AK2076" s="884">
        <f t="shared" ref="AK2076" si="8334">AF2076+AG2076+AH2076+AI2076+AJ2076+AC2076</f>
        <v>0</v>
      </c>
      <c r="AL2076" s="884">
        <v>0</v>
      </c>
      <c r="AM2076" s="878" t="str">
        <f t="shared" ref="AM2076" si="8335">IFERROR((AK2076/AL2076),"-")</f>
        <v>-</v>
      </c>
      <c r="AN2076" s="2"/>
      <c r="AO2076" s="884">
        <v>216</v>
      </c>
      <c r="AP2076" s="884">
        <f t="shared" ref="AP2076" si="8336">AO2076-AK2076</f>
        <v>216</v>
      </c>
      <c r="AV2076" t="str">
        <f t="shared" si="8253"/>
        <v>Drenagem Superficial</v>
      </c>
      <c r="AW2076" s="4" t="str">
        <f t="shared" si="8244"/>
        <v xml:space="preserve">   Seg. 2.3-C08-Acesso - Drenagem Superficial - Valeta de proteção de corte</v>
      </c>
    </row>
    <row r="2077" spans="1:49" ht="15.6" hidden="1" customHeight="1" outlineLevel="2">
      <c r="A2077" s="8" t="str">
        <f t="shared" ref="A2077" si="8337">A2076</f>
        <v>N</v>
      </c>
      <c r="B2077" s="150"/>
      <c r="C2077" s="150" t="s">
        <v>2396</v>
      </c>
      <c r="D2077" s="120" t="s">
        <v>2397</v>
      </c>
      <c r="E2077" s="893"/>
      <c r="F2077" s="902"/>
      <c r="G2077" s="528"/>
      <c r="H2077" s="549" t="s">
        <v>38</v>
      </c>
      <c r="I2077" s="711">
        <v>0</v>
      </c>
      <c r="J2077" s="897"/>
      <c r="K2077" s="528"/>
      <c r="L2077" s="549" t="s">
        <v>38</v>
      </c>
      <c r="M2077" s="711">
        <f t="shared" si="8276"/>
        <v>0</v>
      </c>
      <c r="N2077" s="897"/>
      <c r="O2077" s="528"/>
      <c r="P2077" s="548">
        <v>0</v>
      </c>
      <c r="Q2077" s="548">
        <v>0</v>
      </c>
      <c r="R2077" s="548">
        <v>0</v>
      </c>
      <c r="S2077" s="548">
        <v>0</v>
      </c>
      <c r="T2077" s="548">
        <v>0</v>
      </c>
      <c r="U2077" s="548">
        <v>0</v>
      </c>
      <c r="V2077" s="548"/>
      <c r="W2077" s="528"/>
      <c r="X2077" s="711">
        <f t="shared" si="8267"/>
        <v>0</v>
      </c>
      <c r="Y2077" s="897"/>
      <c r="Z2077" s="528"/>
      <c r="AA2077" s="899"/>
      <c r="AB2077" s="899"/>
      <c r="AC2077" s="904"/>
      <c r="AD2077" s="905"/>
      <c r="AE2077" s="2"/>
      <c r="AF2077" s="885"/>
      <c r="AG2077" s="885"/>
      <c r="AH2077" s="885"/>
      <c r="AI2077" s="885"/>
      <c r="AJ2077" s="885"/>
      <c r="AK2077" s="885"/>
      <c r="AL2077" s="885"/>
      <c r="AM2077" s="879"/>
      <c r="AN2077" s="2"/>
      <c r="AO2077" s="886"/>
      <c r="AP2077" s="886"/>
      <c r="AV2077" t="str">
        <f t="shared" si="8253"/>
        <v>Drenagem Superficial</v>
      </c>
      <c r="AW2077" s="4" t="str">
        <f t="shared" si="8244"/>
        <v xml:space="preserve">   Seg. 2.3-C08-Acesso - Drenagem Superficial - Valeta de proteção de corte</v>
      </c>
    </row>
    <row r="2078" spans="1:49" ht="15.6" hidden="1" customHeight="1" outlineLevel="2">
      <c r="A2078" s="8" t="str">
        <f t="shared" ref="A2078" si="8338">IF(SUM(P2078:V2079)&gt;0,"S","N")</f>
        <v>N</v>
      </c>
      <c r="B2078" s="150">
        <v>1069831</v>
      </c>
      <c r="C2078" s="150" t="s">
        <v>2399</v>
      </c>
      <c r="D2078" s="120" t="s">
        <v>2400</v>
      </c>
      <c r="E2078" s="892" t="s">
        <v>2401</v>
      </c>
      <c r="F2078" s="902" t="s">
        <v>52</v>
      </c>
      <c r="G2078" s="528"/>
      <c r="H2078" s="546" t="s">
        <v>37</v>
      </c>
      <c r="I2078" s="711">
        <v>0</v>
      </c>
      <c r="J2078" s="896" t="str">
        <f t="shared" ref="J2078" si="8339">IFERROR((I2079/I2078),"-")</f>
        <v>-</v>
      </c>
      <c r="K2078" s="528"/>
      <c r="L2078" s="546" t="s">
        <v>37</v>
      </c>
      <c r="M2078" s="711">
        <f t="shared" si="8276"/>
        <v>0</v>
      </c>
      <c r="N2078" s="896" t="str">
        <f t="shared" ref="N2078" si="8340">IFERROR((M2079/M2078),"-")</f>
        <v>-</v>
      </c>
      <c r="O2078" s="528"/>
      <c r="P2078" s="547">
        <v>0</v>
      </c>
      <c r="Q2078" s="547">
        <v>0</v>
      </c>
      <c r="R2078" s="547">
        <v>0</v>
      </c>
      <c r="S2078" s="547">
        <v>0</v>
      </c>
      <c r="T2078" s="547">
        <v>0</v>
      </c>
      <c r="U2078" s="547">
        <v>0</v>
      </c>
      <c r="V2078" s="548">
        <v>0</v>
      </c>
      <c r="W2078" s="528"/>
      <c r="X2078" s="711">
        <f t="shared" si="8267"/>
        <v>0</v>
      </c>
      <c r="Y2078" s="896" t="str">
        <f t="shared" ref="Y2078" si="8341">IFERROR((X2079/X2078),"-")</f>
        <v>-</v>
      </c>
      <c r="Z2078" s="528"/>
      <c r="AA2078" s="898">
        <v>0</v>
      </c>
      <c r="AB2078" s="898">
        <v>0</v>
      </c>
      <c r="AC2078" s="903">
        <v>0</v>
      </c>
      <c r="AD2078" s="896" t="str">
        <f t="shared" ref="AD2078" si="8342">IFERROR((AC2078/AB2078),"-")</f>
        <v>-</v>
      </c>
      <c r="AE2078" s="2"/>
      <c r="AF2078" s="884">
        <v>93.001999999999995</v>
      </c>
      <c r="AG2078" s="884"/>
      <c r="AH2078" s="884">
        <v>0</v>
      </c>
      <c r="AI2078" s="884"/>
      <c r="AJ2078" s="884"/>
      <c r="AK2078" s="884">
        <f t="shared" ref="AK2078:AK2080" si="8343">AF2078+AG2078+AH2078+AI2078+AJ2078+AC2078</f>
        <v>93.001999999999995</v>
      </c>
      <c r="AL2078" s="884">
        <v>0</v>
      </c>
      <c r="AM2078" s="878" t="str">
        <f t="shared" ref="AM2078" si="8344">IFERROR((AK2078/AL2078),"-")</f>
        <v>-</v>
      </c>
      <c r="AN2078" s="2"/>
      <c r="AO2078" s="884">
        <v>148</v>
      </c>
      <c r="AP2078" s="884">
        <f t="shared" ref="AP2078:AP2080" si="8345">AO2078-AK2078</f>
        <v>54.998000000000005</v>
      </c>
      <c r="AV2078" t="str">
        <f t="shared" si="8253"/>
        <v>Drenagem Superficial</v>
      </c>
      <c r="AW2078" s="4" t="str">
        <f t="shared" si="8244"/>
        <v xml:space="preserve">   Seg. 2.3-C04-Acesso - Drenagem Superficial - Valeta de proteção de aterro</v>
      </c>
    </row>
    <row r="2079" spans="1:49" ht="15.6" hidden="1" customHeight="1" outlineLevel="2">
      <c r="A2079" s="8" t="str">
        <f t="shared" ref="A2079:A2081" si="8346">A2078</f>
        <v>N</v>
      </c>
      <c r="B2079" s="150"/>
      <c r="C2079" s="150" t="s">
        <v>2399</v>
      </c>
      <c r="D2079" s="120" t="s">
        <v>2400</v>
      </c>
      <c r="E2079" s="893"/>
      <c r="F2079" s="902"/>
      <c r="G2079" s="528"/>
      <c r="H2079" s="549" t="s">
        <v>38</v>
      </c>
      <c r="I2079" s="711">
        <v>0</v>
      </c>
      <c r="J2079" s="897"/>
      <c r="K2079" s="528"/>
      <c r="L2079" s="549" t="s">
        <v>38</v>
      </c>
      <c r="M2079" s="711">
        <f t="shared" si="8276"/>
        <v>0</v>
      </c>
      <c r="N2079" s="897"/>
      <c r="O2079" s="528"/>
      <c r="P2079" s="548">
        <v>0</v>
      </c>
      <c r="Q2079" s="548">
        <v>0</v>
      </c>
      <c r="R2079" s="548">
        <v>0</v>
      </c>
      <c r="S2079" s="548">
        <v>0</v>
      </c>
      <c r="T2079" s="548">
        <v>0</v>
      </c>
      <c r="U2079" s="548">
        <v>0</v>
      </c>
      <c r="V2079" s="548"/>
      <c r="W2079" s="528"/>
      <c r="X2079" s="711">
        <f t="shared" si="8267"/>
        <v>0</v>
      </c>
      <c r="Y2079" s="897"/>
      <c r="Z2079" s="528"/>
      <c r="AA2079" s="899"/>
      <c r="AB2079" s="899"/>
      <c r="AC2079" s="904"/>
      <c r="AD2079" s="905"/>
      <c r="AE2079" s="2"/>
      <c r="AF2079" s="908"/>
      <c r="AG2079" s="885"/>
      <c r="AH2079" s="885"/>
      <c r="AI2079" s="885"/>
      <c r="AJ2079" s="885"/>
      <c r="AK2079" s="885"/>
      <c r="AL2079" s="885"/>
      <c r="AM2079" s="879"/>
      <c r="AN2079" s="2"/>
      <c r="AO2079" s="886"/>
      <c r="AP2079" s="886"/>
      <c r="AV2079" t="str">
        <f t="shared" si="8253"/>
        <v>Drenagem Superficial</v>
      </c>
      <c r="AW2079" s="4" t="str">
        <f t="shared" si="8244"/>
        <v xml:space="preserve">   Seg. 2.3-C04-Acesso - Drenagem Superficial - Valeta de proteção de aterro</v>
      </c>
    </row>
    <row r="2080" spans="1:49" ht="15.6" hidden="1" customHeight="1" outlineLevel="2">
      <c r="A2080" s="8" t="str">
        <f t="shared" ref="A2080" si="8347">IF(SUM(P2080:V2081)&gt;0,"S","N")</f>
        <v>N</v>
      </c>
      <c r="B2080" s="150"/>
      <c r="C2080" s="150"/>
      <c r="D2080" s="120" t="s">
        <v>266</v>
      </c>
      <c r="E2080" s="892" t="s">
        <v>1934</v>
      </c>
      <c r="F2080" s="902" t="s">
        <v>52</v>
      </c>
      <c r="G2080" s="528"/>
      <c r="H2080" s="546" t="s">
        <v>37</v>
      </c>
      <c r="I2080" s="711">
        <v>0</v>
      </c>
      <c r="J2080" s="896" t="str">
        <f t="shared" ref="J2080" si="8348">IFERROR((I2081/I2080),"-")</f>
        <v>-</v>
      </c>
      <c r="K2080" s="528"/>
      <c r="L2080" s="546" t="s">
        <v>37</v>
      </c>
      <c r="M2080" s="711">
        <f t="shared" si="8276"/>
        <v>0</v>
      </c>
      <c r="N2080" s="896" t="str">
        <f t="shared" ref="N2080" si="8349">IFERROR((M2081/M2080),"-")</f>
        <v>-</v>
      </c>
      <c r="O2080" s="528"/>
      <c r="P2080" s="547"/>
      <c r="Q2080" s="547"/>
      <c r="R2080" s="547"/>
      <c r="S2080" s="547"/>
      <c r="T2080" s="547"/>
      <c r="U2080" s="547"/>
      <c r="V2080" s="548"/>
      <c r="W2080" s="528"/>
      <c r="X2080" s="711">
        <f t="shared" si="8267"/>
        <v>0</v>
      </c>
      <c r="Y2080" s="896" t="str">
        <f t="shared" ref="Y2080" si="8350">IFERROR((X2081/X2080),"-")</f>
        <v>-</v>
      </c>
      <c r="Z2080" s="528"/>
      <c r="AA2080" s="898">
        <v>0</v>
      </c>
      <c r="AB2080" s="898">
        <v>0</v>
      </c>
      <c r="AC2080" s="903">
        <v>0</v>
      </c>
      <c r="AD2080" s="896" t="str">
        <f t="shared" ref="AD2080" si="8351">IFERROR((AC2080/AB2080),"-")</f>
        <v>-</v>
      </c>
      <c r="AE2080" s="2"/>
      <c r="AF2080" s="959">
        <v>-12960.808000000001</v>
      </c>
      <c r="AG2080" s="959"/>
      <c r="AH2080" s="959">
        <v>0</v>
      </c>
      <c r="AI2080" s="959"/>
      <c r="AJ2080" s="959"/>
      <c r="AK2080" s="884">
        <f t="shared" si="8343"/>
        <v>-12960.808000000001</v>
      </c>
      <c r="AL2080" s="884">
        <v>0</v>
      </c>
      <c r="AM2080" s="878" t="str">
        <f t="shared" ref="AM2080" si="8352">IFERROR((AK2080/AL2080),"-")</f>
        <v>-</v>
      </c>
      <c r="AN2080" s="2"/>
      <c r="AO2080" s="884"/>
      <c r="AP2080" s="884">
        <f t="shared" si="8345"/>
        <v>12960.808000000001</v>
      </c>
      <c r="AV2080" t="str">
        <f t="shared" si="8253"/>
        <v>Drenagem Superficial</v>
      </c>
      <c r="AW2080" s="4" t="str">
        <f t="shared" si="8244"/>
        <v>Ação de alinhamento para correção das quantidades acumuladas</v>
      </c>
    </row>
    <row r="2081" spans="1:49" ht="15.6" hidden="1" customHeight="1" outlineLevel="2">
      <c r="A2081" s="8" t="str">
        <f t="shared" si="8346"/>
        <v>N</v>
      </c>
      <c r="B2081" s="150"/>
      <c r="C2081" s="150"/>
      <c r="D2081" s="120" t="s">
        <v>266</v>
      </c>
      <c r="E2081" s="893"/>
      <c r="F2081" s="902"/>
      <c r="G2081" s="528"/>
      <c r="H2081" s="549" t="s">
        <v>38</v>
      </c>
      <c r="I2081" s="711">
        <v>0</v>
      </c>
      <c r="J2081" s="897"/>
      <c r="K2081" s="528"/>
      <c r="L2081" s="549" t="s">
        <v>38</v>
      </c>
      <c r="M2081" s="711">
        <f t="shared" si="8276"/>
        <v>0</v>
      </c>
      <c r="N2081" s="897"/>
      <c r="O2081" s="528"/>
      <c r="P2081" s="548">
        <v>0</v>
      </c>
      <c r="Q2081" s="548">
        <v>0</v>
      </c>
      <c r="R2081" s="548">
        <v>0</v>
      </c>
      <c r="S2081" s="548">
        <v>0</v>
      </c>
      <c r="T2081" s="548">
        <v>0</v>
      </c>
      <c r="U2081" s="548">
        <v>0</v>
      </c>
      <c r="V2081" s="548"/>
      <c r="W2081" s="528"/>
      <c r="X2081" s="711">
        <f t="shared" si="8267"/>
        <v>0</v>
      </c>
      <c r="Y2081" s="897"/>
      <c r="Z2081" s="528"/>
      <c r="AA2081" s="899"/>
      <c r="AB2081" s="899"/>
      <c r="AC2081" s="904"/>
      <c r="AD2081" s="905"/>
      <c r="AE2081" s="2"/>
      <c r="AF2081" s="993"/>
      <c r="AG2081" s="960"/>
      <c r="AH2081" s="960"/>
      <c r="AI2081" s="960"/>
      <c r="AJ2081" s="960"/>
      <c r="AK2081" s="885"/>
      <c r="AL2081" s="885"/>
      <c r="AM2081" s="879"/>
      <c r="AN2081" s="2"/>
      <c r="AO2081" s="886"/>
      <c r="AP2081" s="886"/>
      <c r="AV2081" t="str">
        <f t="shared" si="8253"/>
        <v>Drenagem Superficial</v>
      </c>
      <c r="AW2081" s="4" t="str">
        <f t="shared" si="8244"/>
        <v>Ação de alinhamento para correção das quantidades acumuladas</v>
      </c>
    </row>
    <row r="2082" spans="1:49" ht="15.6" hidden="1" customHeight="1" outlineLevel="1" collapsed="1">
      <c r="A2082" s="209">
        <v>0</v>
      </c>
      <c r="B2082" s="150"/>
      <c r="C2082" s="150"/>
      <c r="D2082" s="117"/>
      <c r="E2082" s="535"/>
      <c r="F2082" s="536"/>
      <c r="G2082" s="537"/>
      <c r="H2082" s="714"/>
      <c r="I2082" s="555"/>
      <c r="J2082" s="714"/>
      <c r="K2082" s="537"/>
      <c r="L2082" s="714"/>
      <c r="M2082" s="555"/>
      <c r="N2082" s="714"/>
      <c r="O2082" s="537"/>
      <c r="P2082" s="539"/>
      <c r="Q2082" s="539"/>
      <c r="R2082" s="539"/>
      <c r="S2082" s="539"/>
      <c r="T2082" s="539"/>
      <c r="U2082" s="539"/>
      <c r="V2082" s="539"/>
      <c r="W2082" s="537"/>
      <c r="X2082" s="540"/>
      <c r="Y2082" s="537"/>
      <c r="Z2082" s="537"/>
      <c r="AA2082" s="249"/>
      <c r="AB2082" s="249"/>
      <c r="AC2082" s="249"/>
      <c r="AD2082" s="537"/>
      <c r="AE2082" s="3"/>
      <c r="AF2082" s="35"/>
      <c r="AG2082" s="35"/>
      <c r="AH2082" s="35"/>
      <c r="AI2082" s="35"/>
      <c r="AJ2082" s="35"/>
      <c r="AK2082" s="35"/>
      <c r="AL2082" s="35"/>
      <c r="AM2082" s="3"/>
      <c r="AN2082" s="3"/>
      <c r="AO2082" s="35"/>
      <c r="AP2082" s="35"/>
      <c r="AV2082" t="str">
        <f t="shared" si="8253"/>
        <v>Drenagem Superficial</v>
      </c>
      <c r="AW2082" s="4" t="str">
        <f t="shared" si="8244"/>
        <v>Ação de alinhamento para correção das quantidades acumuladas</v>
      </c>
    </row>
    <row r="2083" spans="1:49" ht="15.6" hidden="1" customHeight="1" outlineLevel="1">
      <c r="A2083" s="209">
        <v>0</v>
      </c>
      <c r="B2083" s="150"/>
      <c r="C2083" s="150"/>
      <c r="D2083" s="117"/>
      <c r="E2083" s="535"/>
      <c r="F2083" s="541"/>
      <c r="G2083" s="537"/>
      <c r="H2083" s="537"/>
      <c r="I2083" s="249"/>
      <c r="J2083" s="537"/>
      <c r="K2083" s="537"/>
      <c r="L2083" s="537"/>
      <c r="M2083" s="249"/>
      <c r="N2083" s="537"/>
      <c r="O2083" s="537"/>
      <c r="P2083" s="539"/>
      <c r="Q2083" s="539"/>
      <c r="R2083" s="539"/>
      <c r="S2083" s="539"/>
      <c r="T2083" s="539"/>
      <c r="U2083" s="539"/>
      <c r="V2083" s="539"/>
      <c r="W2083" s="537"/>
      <c r="X2083" s="540"/>
      <c r="Y2083" s="537"/>
      <c r="Z2083" s="537"/>
      <c r="AA2083" s="249"/>
      <c r="AB2083" s="249"/>
      <c r="AC2083" s="249"/>
      <c r="AD2083" s="537"/>
      <c r="AE2083" s="3"/>
      <c r="AF2083" s="35"/>
      <c r="AG2083" s="35"/>
      <c r="AH2083" s="35"/>
      <c r="AI2083" s="35"/>
      <c r="AJ2083" s="35"/>
      <c r="AK2083" s="35"/>
      <c r="AL2083" s="35"/>
      <c r="AM2083" s="3"/>
      <c r="AN2083" s="3"/>
      <c r="AO2083" s="35"/>
      <c r="AP2083" s="35"/>
      <c r="AV2083" t="str">
        <f t="shared" si="8253"/>
        <v>Drenagem Superficial</v>
      </c>
      <c r="AW2083" s="4" t="str">
        <f t="shared" si="8244"/>
        <v>Ação de alinhamento para correção das quantidades acumuladas</v>
      </c>
    </row>
    <row r="2084" spans="1:49" ht="15.6" hidden="1" customHeight="1" outlineLevel="1">
      <c r="A2084" s="209">
        <v>0</v>
      </c>
      <c r="B2084" s="150"/>
      <c r="C2084" s="150"/>
      <c r="D2084" s="122"/>
      <c r="E2084" s="913" t="s">
        <v>42</v>
      </c>
      <c r="F2084" s="859" t="s">
        <v>52</v>
      </c>
      <c r="G2084" s="528"/>
      <c r="H2084" s="542" t="s">
        <v>37</v>
      </c>
      <c r="I2084" s="543">
        <f t="shared" ref="I2084" si="8353">SUMIF($L2086:$L2125,$L2084,I2086:I2125)</f>
        <v>95</v>
      </c>
      <c r="J2084" s="860">
        <f>IFERROR((I2085/I2084),"-")</f>
        <v>2.6263157894736842</v>
      </c>
      <c r="K2084" s="528"/>
      <c r="L2084" s="542" t="s">
        <v>37</v>
      </c>
      <c r="M2084" s="543">
        <f t="shared" ref="M2084" si="8354">SUMIF($L2086:$L2125,$L2084,M2086:M2125)</f>
        <v>70</v>
      </c>
      <c r="N2084" s="860">
        <f>IFERROR((M2085/M2084),"-")</f>
        <v>1.0285714285714285</v>
      </c>
      <c r="O2084" s="528"/>
      <c r="P2084" s="543">
        <f t="shared" ref="P2084:V2084" si="8355">SUMIF($L2086:$L2125,$L2084,P2086:P2125)</f>
        <v>70</v>
      </c>
      <c r="Q2084" s="543">
        <f t="shared" si="8355"/>
        <v>70</v>
      </c>
      <c r="R2084" s="543">
        <f t="shared" si="8355"/>
        <v>70</v>
      </c>
      <c r="S2084" s="543">
        <f t="shared" si="8355"/>
        <v>70</v>
      </c>
      <c r="T2084" s="543">
        <f t="shared" si="8355"/>
        <v>60</v>
      </c>
      <c r="U2084" s="543">
        <f t="shared" si="8355"/>
        <v>60</v>
      </c>
      <c r="V2084" s="543">
        <f t="shared" si="8355"/>
        <v>0</v>
      </c>
      <c r="W2084" s="528"/>
      <c r="X2084" s="543">
        <f t="shared" ref="X2084:X2085" si="8356">SUMIFS(P2084:V2084,$P$8:$V$8,"&gt;="&amp;$P$8,$P$8:$V$8,"&lt;="&amp;$N$8)</f>
        <v>140</v>
      </c>
      <c r="Y2084" s="860">
        <f>IFERROR((X2085/X2084),"-")</f>
        <v>1</v>
      </c>
      <c r="Z2084" s="528"/>
      <c r="AA2084" s="814">
        <f>SUM(AA2086:AA2125)</f>
        <v>425.23</v>
      </c>
      <c r="AB2084" s="814">
        <f>SUM(AB2086:AB2125)</f>
        <v>295.66000000000003</v>
      </c>
      <c r="AC2084" s="814">
        <f>SUM(AC2086:AC2125)</f>
        <v>537.5</v>
      </c>
      <c r="AD2084" s="900">
        <f t="shared" ref="AD2084" si="8357">IFERROR((AC2084/AB2084),"-")</f>
        <v>1.8179665832375025</v>
      </c>
      <c r="AE2084" s="2"/>
      <c r="AF2084" s="888">
        <f t="shared" ref="AF2084" si="8358">SUM(AF2086:AF2125)</f>
        <v>564.73900000000003</v>
      </c>
      <c r="AG2084" s="888">
        <f t="shared" ref="AG2084:AL2084" si="8359">SUM(AG2086:AG2125)</f>
        <v>207.62700000000001</v>
      </c>
      <c r="AH2084" s="888">
        <f t="shared" si="8359"/>
        <v>378</v>
      </c>
      <c r="AI2084" s="888">
        <f t="shared" si="8359"/>
        <v>963.43600000000004</v>
      </c>
      <c r="AJ2084" s="888">
        <f t="shared" si="8359"/>
        <v>117.565</v>
      </c>
      <c r="AK2084" s="888">
        <f t="shared" si="8359"/>
        <v>2768.8670000000002</v>
      </c>
      <c r="AL2084" s="888">
        <f t="shared" si="8359"/>
        <v>2511.3600000000033</v>
      </c>
      <c r="AM2084" s="743">
        <f>IFERROR((AK2084/AL2084),"-")</f>
        <v>1.1025368724515787</v>
      </c>
      <c r="AN2084" s="2"/>
      <c r="AO2084" s="888">
        <f>SUM(AO2086:AO2125)</f>
        <v>10426.44</v>
      </c>
      <c r="AP2084" s="888">
        <f>SUM(AP2086:AP2125)</f>
        <v>7657.5730000000003</v>
      </c>
      <c r="AV2084" t="str">
        <f t="shared" si="8253"/>
        <v>Drenagem Superficial</v>
      </c>
      <c r="AW2084" s="4" t="str">
        <f t="shared" si="8244"/>
        <v>Pacote 05 - Segmento 2.4 - Km 131+260 a  Km 138+000</v>
      </c>
    </row>
    <row r="2085" spans="1:49" ht="15.6" hidden="1" customHeight="1" outlineLevel="1">
      <c r="A2085" s="209">
        <v>0</v>
      </c>
      <c r="B2085" s="150"/>
      <c r="C2085" s="150"/>
      <c r="D2085" s="123"/>
      <c r="E2085" s="913"/>
      <c r="F2085" s="859"/>
      <c r="G2085" s="528"/>
      <c r="H2085" s="544" t="s">
        <v>38</v>
      </c>
      <c r="I2085" s="543">
        <f t="shared" ref="I2085" si="8360">SUMIF($L2086:$L2126,$L2085,I2086:I2126)</f>
        <v>249.5</v>
      </c>
      <c r="J2085" s="861"/>
      <c r="K2085" s="528"/>
      <c r="L2085" s="544" t="s">
        <v>38</v>
      </c>
      <c r="M2085" s="543">
        <f>SUMIF($L2086:$L2125,$L2085,M2086:M2125)</f>
        <v>72</v>
      </c>
      <c r="N2085" s="861"/>
      <c r="O2085" s="528"/>
      <c r="P2085" s="543">
        <f>SUMIF($L2086:$L2125,$L2085,P2086:P2125)</f>
        <v>68</v>
      </c>
      <c r="Q2085" s="543">
        <f t="shared" ref="Q2085:V2085" si="8361">SUMIF($L2086:$L2125,$L2085,Q2086:Q2125)</f>
        <v>72</v>
      </c>
      <c r="R2085" s="543">
        <f t="shared" si="8361"/>
        <v>0</v>
      </c>
      <c r="S2085" s="543">
        <f t="shared" si="8361"/>
        <v>0</v>
      </c>
      <c r="T2085" s="543">
        <f t="shared" si="8361"/>
        <v>0</v>
      </c>
      <c r="U2085" s="543">
        <f t="shared" si="8361"/>
        <v>0</v>
      </c>
      <c r="V2085" s="543">
        <f t="shared" si="8361"/>
        <v>0</v>
      </c>
      <c r="W2085" s="528"/>
      <c r="X2085" s="543">
        <f t="shared" si="8356"/>
        <v>140</v>
      </c>
      <c r="Y2085" s="861"/>
      <c r="Z2085" s="528"/>
      <c r="AA2085" s="815"/>
      <c r="AB2085" s="815"/>
      <c r="AC2085" s="815"/>
      <c r="AD2085" s="901"/>
      <c r="AE2085" s="2"/>
      <c r="AF2085" s="889"/>
      <c r="AG2085" s="889"/>
      <c r="AH2085" s="889"/>
      <c r="AI2085" s="889"/>
      <c r="AJ2085" s="889"/>
      <c r="AK2085" s="889"/>
      <c r="AL2085" s="889"/>
      <c r="AM2085" s="744"/>
      <c r="AN2085" s="2"/>
      <c r="AO2085" s="888"/>
      <c r="AP2085" s="888"/>
      <c r="AV2085" t="str">
        <f t="shared" si="8253"/>
        <v>Drenagem Superficial</v>
      </c>
      <c r="AW2085" s="4" t="str">
        <f t="shared" si="8244"/>
        <v>Pacote 05 - Segmento 2.4 - Km 131+260 a  Km 138+000</v>
      </c>
    </row>
    <row r="2086" spans="1:49" ht="15.6" hidden="1" customHeight="1" outlineLevel="2">
      <c r="A2086" s="8" t="str">
        <f t="shared" ref="A2086" si="8362">IF(SUM(P2086:V2087)&gt;0,"S","N")</f>
        <v>N</v>
      </c>
      <c r="B2086" s="150">
        <v>1064536</v>
      </c>
      <c r="C2086" s="150" t="s">
        <v>2402</v>
      </c>
      <c r="D2086" s="120" t="s">
        <v>382</v>
      </c>
      <c r="E2086" s="892" t="s">
        <v>2403</v>
      </c>
      <c r="F2086" s="902" t="s">
        <v>52</v>
      </c>
      <c r="G2086" s="528"/>
      <c r="H2086" s="546" t="s">
        <v>37</v>
      </c>
      <c r="I2086" s="711">
        <v>0</v>
      </c>
      <c r="J2086" s="896" t="str">
        <f t="shared" ref="J2086" si="8363">IFERROR((I2087/I2086),"-")</f>
        <v>-</v>
      </c>
      <c r="K2086" s="528"/>
      <c r="L2086" s="546" t="s">
        <v>37</v>
      </c>
      <c r="M2086" s="711">
        <f t="shared" ref="M2086:M2125" si="8364">_xlfn.XLOOKUP($N$8,$P$8:$V$8,$P2086:$V2086)</f>
        <v>0</v>
      </c>
      <c r="N2086" s="896" t="str">
        <f t="shared" ref="N2086" si="8365">IFERROR((M2087/M2086),"-")</f>
        <v>-</v>
      </c>
      <c r="O2086" s="528"/>
      <c r="P2086" s="547">
        <v>0</v>
      </c>
      <c r="Q2086" s="547">
        <v>0</v>
      </c>
      <c r="R2086" s="547">
        <v>0</v>
      </c>
      <c r="S2086" s="547">
        <v>0</v>
      </c>
      <c r="T2086" s="547">
        <v>0</v>
      </c>
      <c r="U2086" s="547">
        <v>0</v>
      </c>
      <c r="V2086" s="548">
        <v>0</v>
      </c>
      <c r="W2086" s="528"/>
      <c r="X2086" s="711"/>
      <c r="Y2086" s="896" t="str">
        <f t="shared" ref="Y2086" si="8366">IFERROR((X2087/X2086),"-")</f>
        <v>-</v>
      </c>
      <c r="Z2086" s="528"/>
      <c r="AA2086" s="898">
        <v>198</v>
      </c>
      <c r="AB2086" s="898">
        <v>68.44</v>
      </c>
      <c r="AC2086" s="903">
        <v>0</v>
      </c>
      <c r="AD2086" s="896">
        <f t="shared" ref="AD2086" si="8367">IFERROR((AC2086/AB2086),"-")</f>
        <v>0</v>
      </c>
      <c r="AE2086" s="2"/>
      <c r="AF2086" s="884">
        <v>0</v>
      </c>
      <c r="AG2086" s="884"/>
      <c r="AH2086" s="884">
        <v>0</v>
      </c>
      <c r="AI2086" s="884"/>
      <c r="AJ2086" s="884"/>
      <c r="AK2086" s="884">
        <f t="shared" ref="AK2086" si="8368">AF2086+AG2086+AH2086+AI2086+AJ2086+AC2086</f>
        <v>0</v>
      </c>
      <c r="AL2086" s="884">
        <v>68.44</v>
      </c>
      <c r="AM2086" s="878">
        <f t="shared" ref="AM2086" si="8369">IFERROR((AK2086/AL2086),"-")</f>
        <v>0</v>
      </c>
      <c r="AN2086" s="2"/>
      <c r="AO2086" s="884">
        <v>198</v>
      </c>
      <c r="AP2086" s="884">
        <f t="shared" ref="AP2086" si="8370">AO2086-AK2086</f>
        <v>198</v>
      </c>
      <c r="AV2086" t="str">
        <f t="shared" si="8253"/>
        <v>Drenagem Superficial</v>
      </c>
      <c r="AW2086" s="4" t="str">
        <f t="shared" si="8244"/>
        <v xml:space="preserve">   Seg. 2.4-C04 - Drenagem Superficial - Valetas de proteção de corte (Manual)</v>
      </c>
    </row>
    <row r="2087" spans="1:49" ht="15.6" hidden="1" customHeight="1" outlineLevel="2">
      <c r="A2087" s="8" t="str">
        <f t="shared" ref="A2087" si="8371">A2086</f>
        <v>N</v>
      </c>
      <c r="B2087" s="150"/>
      <c r="C2087" s="150" t="s">
        <v>2402</v>
      </c>
      <c r="D2087" s="120" t="s">
        <v>382</v>
      </c>
      <c r="E2087" s="893"/>
      <c r="F2087" s="902"/>
      <c r="G2087" s="528"/>
      <c r="H2087" s="549" t="s">
        <v>38</v>
      </c>
      <c r="I2087" s="711">
        <v>0</v>
      </c>
      <c r="J2087" s="897"/>
      <c r="K2087" s="528"/>
      <c r="L2087" s="549" t="s">
        <v>38</v>
      </c>
      <c r="M2087" s="711">
        <f t="shared" si="8364"/>
        <v>0</v>
      </c>
      <c r="N2087" s="897"/>
      <c r="O2087" s="528"/>
      <c r="P2087" s="548">
        <v>0</v>
      </c>
      <c r="Q2087" s="548">
        <v>0</v>
      </c>
      <c r="R2087" s="548">
        <v>0</v>
      </c>
      <c r="S2087" s="548">
        <v>0</v>
      </c>
      <c r="T2087" s="548">
        <v>0</v>
      </c>
      <c r="U2087" s="548">
        <v>0</v>
      </c>
      <c r="V2087" s="548"/>
      <c r="W2087" s="528"/>
      <c r="X2087" s="711"/>
      <c r="Y2087" s="897"/>
      <c r="Z2087" s="528"/>
      <c r="AA2087" s="899"/>
      <c r="AB2087" s="899"/>
      <c r="AC2087" s="904"/>
      <c r="AD2087" s="905"/>
      <c r="AE2087" s="2"/>
      <c r="AF2087" s="885"/>
      <c r="AG2087" s="885"/>
      <c r="AH2087" s="885"/>
      <c r="AI2087" s="885"/>
      <c r="AJ2087" s="885"/>
      <c r="AK2087" s="885"/>
      <c r="AL2087" s="885"/>
      <c r="AM2087" s="879"/>
      <c r="AN2087" s="2"/>
      <c r="AO2087" s="886"/>
      <c r="AP2087" s="886"/>
      <c r="AV2087" t="str">
        <f t="shared" si="8253"/>
        <v>Drenagem Superficial</v>
      </c>
      <c r="AW2087" s="4" t="str">
        <f t="shared" si="8244"/>
        <v xml:space="preserve">   Seg. 2.4-C04 - Drenagem Superficial - Valetas de proteção de corte (Manual)</v>
      </c>
    </row>
    <row r="2088" spans="1:49" ht="15.6" hidden="1" customHeight="1" outlineLevel="2">
      <c r="A2088" s="8" t="str">
        <f t="shared" ref="A2088" si="8372">IF(SUM(P2088:V2089)&gt;0,"S","N")</f>
        <v>S</v>
      </c>
      <c r="B2088" s="150">
        <v>1064542</v>
      </c>
      <c r="C2088" s="150" t="s">
        <v>2404</v>
      </c>
      <c r="D2088" s="120" t="s">
        <v>388</v>
      </c>
      <c r="E2088" s="892" t="s">
        <v>2405</v>
      </c>
      <c r="F2088" s="902" t="s">
        <v>52</v>
      </c>
      <c r="G2088" s="528"/>
      <c r="H2088" s="546" t="s">
        <v>37</v>
      </c>
      <c r="I2088" s="711">
        <v>0</v>
      </c>
      <c r="J2088" s="896" t="str">
        <f t="shared" ref="J2088" si="8373">IFERROR((I2089/I2088),"-")</f>
        <v>-</v>
      </c>
      <c r="K2088" s="528"/>
      <c r="L2088" s="546" t="s">
        <v>37</v>
      </c>
      <c r="M2088" s="711">
        <f t="shared" si="8364"/>
        <v>70</v>
      </c>
      <c r="N2088" s="896">
        <f t="shared" ref="N2088" si="8374">IFERROR((M2089/M2088),"-")</f>
        <v>0</v>
      </c>
      <c r="O2088" s="528"/>
      <c r="P2088" s="547">
        <v>70</v>
      </c>
      <c r="Q2088" s="547">
        <v>70</v>
      </c>
      <c r="R2088" s="547">
        <v>70</v>
      </c>
      <c r="S2088" s="547">
        <v>70</v>
      </c>
      <c r="T2088" s="547">
        <v>60</v>
      </c>
      <c r="U2088" s="547">
        <v>60</v>
      </c>
      <c r="V2088" s="548">
        <v>0</v>
      </c>
      <c r="W2088" s="528"/>
      <c r="X2088" s="711"/>
      <c r="Y2088" s="896" t="str">
        <f t="shared" ref="Y2088" si="8375">IFERROR((X2089/X2088),"-")</f>
        <v>-</v>
      </c>
      <c r="Z2088" s="528"/>
      <c r="AA2088" s="898">
        <v>0</v>
      </c>
      <c r="AB2088" s="898">
        <v>0</v>
      </c>
      <c r="AC2088" s="903">
        <v>0</v>
      </c>
      <c r="AD2088" s="896" t="str">
        <f t="shared" ref="AD2088" si="8376">IFERROR((AC2088/AB2088),"-")</f>
        <v>-</v>
      </c>
      <c r="AE2088" s="2"/>
      <c r="AF2088" s="884">
        <v>0</v>
      </c>
      <c r="AG2088" s="884"/>
      <c r="AH2088" s="884">
        <v>0</v>
      </c>
      <c r="AI2088" s="884"/>
      <c r="AJ2088" s="884"/>
      <c r="AK2088" s="884">
        <f t="shared" ref="AK2088" si="8377">AF2088+AG2088+AH2088+AI2088+AJ2088+AC2088</f>
        <v>0</v>
      </c>
      <c r="AL2088" s="884">
        <v>0</v>
      </c>
      <c r="AM2088" s="878" t="str">
        <f t="shared" ref="AM2088" si="8378">IFERROR((AK2088/AL2088),"-")</f>
        <v>-</v>
      </c>
      <c r="AN2088" s="2"/>
      <c r="AO2088" s="884">
        <v>300</v>
      </c>
      <c r="AP2088" s="884">
        <f t="shared" ref="AP2088" si="8379">AO2088-AK2088</f>
        <v>300</v>
      </c>
      <c r="AV2088" t="str">
        <f t="shared" si="8253"/>
        <v>Drenagem Superficial</v>
      </c>
      <c r="AW2088" s="4" t="str">
        <f t="shared" si="8244"/>
        <v xml:space="preserve">   Seg. 2.4-C06 - Drenagem Superficial - Valetas de proteção de corte (Manual)</v>
      </c>
    </row>
    <row r="2089" spans="1:49" ht="15.6" hidden="1" customHeight="1" outlineLevel="2">
      <c r="A2089" s="8" t="str">
        <f t="shared" ref="A2089" si="8380">A2088</f>
        <v>S</v>
      </c>
      <c r="B2089" s="150"/>
      <c r="C2089" s="150" t="s">
        <v>2404</v>
      </c>
      <c r="D2089" s="120" t="s">
        <v>388</v>
      </c>
      <c r="E2089" s="893"/>
      <c r="F2089" s="902"/>
      <c r="G2089" s="528"/>
      <c r="H2089" s="549" t="s">
        <v>38</v>
      </c>
      <c r="I2089" s="711">
        <v>0</v>
      </c>
      <c r="J2089" s="897"/>
      <c r="K2089" s="528"/>
      <c r="L2089" s="549" t="s">
        <v>38</v>
      </c>
      <c r="M2089" s="711">
        <f t="shared" si="8364"/>
        <v>0</v>
      </c>
      <c r="N2089" s="897"/>
      <c r="O2089" s="528"/>
      <c r="P2089" s="548">
        <v>0</v>
      </c>
      <c r="Q2089" s="548">
        <v>0</v>
      </c>
      <c r="R2089" s="548">
        <v>0</v>
      </c>
      <c r="S2089" s="548">
        <v>0</v>
      </c>
      <c r="T2089" s="548">
        <v>0</v>
      </c>
      <c r="U2089" s="548">
        <v>0</v>
      </c>
      <c r="V2089" s="548"/>
      <c r="W2089" s="528"/>
      <c r="X2089" s="711"/>
      <c r="Y2089" s="897"/>
      <c r="Z2089" s="528"/>
      <c r="AA2089" s="899"/>
      <c r="AB2089" s="899"/>
      <c r="AC2089" s="904"/>
      <c r="AD2089" s="905"/>
      <c r="AE2089" s="2"/>
      <c r="AF2089" s="885"/>
      <c r="AG2089" s="885"/>
      <c r="AH2089" s="885"/>
      <c r="AI2089" s="885"/>
      <c r="AJ2089" s="885"/>
      <c r="AK2089" s="885"/>
      <c r="AL2089" s="885"/>
      <c r="AM2089" s="879"/>
      <c r="AN2089" s="2"/>
      <c r="AO2089" s="886"/>
      <c r="AP2089" s="886"/>
      <c r="AV2089" t="str">
        <f t="shared" si="8253"/>
        <v>Drenagem Superficial</v>
      </c>
      <c r="AW2089" s="4" t="str">
        <f t="shared" si="8244"/>
        <v xml:space="preserve">   Seg. 2.4-C06 - Drenagem Superficial - Valetas de proteção de corte (Manual)</v>
      </c>
    </row>
    <row r="2090" spans="1:49" ht="15.6" hidden="1" customHeight="1" outlineLevel="2">
      <c r="A2090" s="8" t="str">
        <f t="shared" ref="A2090" si="8381">IF(SUM(P2090:V2091)&gt;0,"S","N")</f>
        <v>N</v>
      </c>
      <c r="B2090" s="150">
        <v>1064543</v>
      </c>
      <c r="C2090" s="150" t="s">
        <v>2406</v>
      </c>
      <c r="D2090" s="120" t="s">
        <v>399</v>
      </c>
      <c r="E2090" s="892" t="s">
        <v>2407</v>
      </c>
      <c r="F2090" s="902" t="s">
        <v>52</v>
      </c>
      <c r="G2090" s="528"/>
      <c r="H2090" s="546" t="s">
        <v>37</v>
      </c>
      <c r="I2090" s="711">
        <v>0</v>
      </c>
      <c r="J2090" s="896" t="str">
        <f t="shared" ref="J2090" si="8382">IFERROR((I2091/I2090),"-")</f>
        <v>-</v>
      </c>
      <c r="K2090" s="528"/>
      <c r="L2090" s="546" t="s">
        <v>37</v>
      </c>
      <c r="M2090" s="711">
        <f t="shared" si="8364"/>
        <v>0</v>
      </c>
      <c r="N2090" s="896" t="str">
        <f t="shared" ref="N2090" si="8383">IFERROR((M2091/M2090),"-")</f>
        <v>-</v>
      </c>
      <c r="O2090" s="528"/>
      <c r="P2090" s="547">
        <v>0</v>
      </c>
      <c r="Q2090" s="547">
        <v>0</v>
      </c>
      <c r="R2090" s="547">
        <v>0</v>
      </c>
      <c r="S2090" s="547">
        <v>0</v>
      </c>
      <c r="T2090" s="547">
        <v>0</v>
      </c>
      <c r="U2090" s="547">
        <v>0</v>
      </c>
      <c r="V2090" s="548">
        <v>0</v>
      </c>
      <c r="W2090" s="528"/>
      <c r="X2090" s="711"/>
      <c r="Y2090" s="896" t="str">
        <f>IFERROR((X2091/X2090),"-")</f>
        <v>-</v>
      </c>
      <c r="Z2090" s="528"/>
      <c r="AA2090" s="898">
        <v>0</v>
      </c>
      <c r="AB2090" s="898">
        <v>0</v>
      </c>
      <c r="AC2090" s="903">
        <v>0</v>
      </c>
      <c r="AD2090" s="896" t="str">
        <f t="shared" ref="AD2090" si="8384">IFERROR((AC2090/AB2090),"-")</f>
        <v>-</v>
      </c>
      <c r="AE2090" s="2"/>
      <c r="AF2090" s="884">
        <v>0</v>
      </c>
      <c r="AG2090" s="884"/>
      <c r="AH2090" s="884">
        <v>0</v>
      </c>
      <c r="AI2090" s="884"/>
      <c r="AJ2090" s="884"/>
      <c r="AK2090" s="884">
        <f t="shared" ref="AK2090" si="8385">AF2090+AG2090+AH2090+AI2090+AJ2090+AC2090</f>
        <v>0</v>
      </c>
      <c r="AL2090" s="884">
        <v>0</v>
      </c>
      <c r="AM2090" s="878" t="str">
        <f t="shared" ref="AM2090" si="8386">IFERROR((AK2090/AL2090),"-")</f>
        <v>-</v>
      </c>
      <c r="AN2090" s="2"/>
      <c r="AO2090" s="884">
        <v>272</v>
      </c>
      <c r="AP2090" s="884">
        <f t="shared" ref="AP2090" si="8387">AO2090-AK2090</f>
        <v>272</v>
      </c>
      <c r="AV2090" t="str">
        <f t="shared" si="8253"/>
        <v>Drenagem Superficial</v>
      </c>
      <c r="AW2090" s="4" t="str">
        <f t="shared" si="8244"/>
        <v xml:space="preserve">   Seg. 2.4-C07 - Drenagem Superficial - Valetas de proteção de corte (Extrusada)</v>
      </c>
    </row>
    <row r="2091" spans="1:49" ht="15.6" hidden="1" customHeight="1" outlineLevel="2">
      <c r="A2091" s="8" t="str">
        <f t="shared" ref="A2091" si="8388">A2090</f>
        <v>N</v>
      </c>
      <c r="B2091" s="150"/>
      <c r="C2091" s="150" t="s">
        <v>2406</v>
      </c>
      <c r="D2091" s="120" t="s">
        <v>399</v>
      </c>
      <c r="E2091" s="893"/>
      <c r="F2091" s="902"/>
      <c r="G2091" s="528"/>
      <c r="H2091" s="549" t="s">
        <v>38</v>
      </c>
      <c r="I2091" s="711">
        <v>0</v>
      </c>
      <c r="J2091" s="897"/>
      <c r="K2091" s="528"/>
      <c r="L2091" s="549" t="s">
        <v>38</v>
      </c>
      <c r="M2091" s="711">
        <f t="shared" si="8364"/>
        <v>0</v>
      </c>
      <c r="N2091" s="897"/>
      <c r="O2091" s="528"/>
      <c r="P2091" s="548">
        <v>0</v>
      </c>
      <c r="Q2091" s="548">
        <v>0</v>
      </c>
      <c r="R2091" s="548">
        <v>0</v>
      </c>
      <c r="S2091" s="548">
        <v>0</v>
      </c>
      <c r="T2091" s="548">
        <v>0</v>
      </c>
      <c r="U2091" s="548">
        <v>0</v>
      </c>
      <c r="V2091" s="548"/>
      <c r="W2091" s="528"/>
      <c r="X2091" s="711"/>
      <c r="Y2091" s="897"/>
      <c r="Z2091" s="528"/>
      <c r="AA2091" s="899"/>
      <c r="AB2091" s="899"/>
      <c r="AC2091" s="904"/>
      <c r="AD2091" s="905"/>
      <c r="AE2091" s="2"/>
      <c r="AF2091" s="885"/>
      <c r="AG2091" s="885"/>
      <c r="AH2091" s="885"/>
      <c r="AI2091" s="885"/>
      <c r="AJ2091" s="885"/>
      <c r="AK2091" s="885"/>
      <c r="AL2091" s="885"/>
      <c r="AM2091" s="879"/>
      <c r="AN2091" s="2"/>
      <c r="AO2091" s="886"/>
      <c r="AP2091" s="886"/>
      <c r="AV2091" t="str">
        <f t="shared" si="8253"/>
        <v>Drenagem Superficial</v>
      </c>
      <c r="AW2091" s="4" t="str">
        <f t="shared" si="8244"/>
        <v xml:space="preserve">   Seg. 2.4-C07 - Drenagem Superficial - Valetas de proteção de corte (Extrusada)</v>
      </c>
    </row>
    <row r="2092" spans="1:49" ht="15.6" hidden="1" customHeight="1" outlineLevel="2">
      <c r="A2092" s="8" t="str">
        <f t="shared" ref="A2092" si="8389">IF(SUM(P2092:V2093)&gt;0,"S","N")</f>
        <v>S</v>
      </c>
      <c r="B2092" s="150">
        <v>1064545</v>
      </c>
      <c r="C2092" s="150" t="s">
        <v>2408</v>
      </c>
      <c r="D2092" s="120" t="s">
        <v>402</v>
      </c>
      <c r="E2092" s="892" t="s">
        <v>2409</v>
      </c>
      <c r="F2092" s="902" t="s">
        <v>52</v>
      </c>
      <c r="G2092" s="528"/>
      <c r="H2092" s="546" t="s">
        <v>37</v>
      </c>
      <c r="I2092" s="711">
        <v>0</v>
      </c>
      <c r="J2092" s="896" t="str">
        <f t="shared" ref="J2092" si="8390">IFERROR((I2093/I2092),"-")</f>
        <v>-</v>
      </c>
      <c r="K2092" s="528"/>
      <c r="L2092" s="546" t="s">
        <v>37</v>
      </c>
      <c r="M2092" s="711">
        <f t="shared" si="8364"/>
        <v>0</v>
      </c>
      <c r="N2092" s="896" t="str">
        <f t="shared" ref="N2092" si="8391">IFERROR((M2093/M2092),"-")</f>
        <v>-</v>
      </c>
      <c r="O2092" s="528"/>
      <c r="P2092" s="547">
        <v>0</v>
      </c>
      <c r="Q2092" s="547">
        <v>0</v>
      </c>
      <c r="R2092" s="547">
        <v>0</v>
      </c>
      <c r="S2092" s="547">
        <v>0</v>
      </c>
      <c r="T2092" s="547">
        <v>0</v>
      </c>
      <c r="U2092" s="547">
        <v>0</v>
      </c>
      <c r="V2092" s="548">
        <v>0</v>
      </c>
      <c r="W2092" s="528"/>
      <c r="X2092" s="711"/>
      <c r="Y2092" s="896" t="str">
        <f t="shared" ref="Y2092" si="8392">IFERROR((X2093/X2092),"-")</f>
        <v>-</v>
      </c>
      <c r="Z2092" s="528"/>
      <c r="AA2092" s="898">
        <v>74</v>
      </c>
      <c r="AB2092" s="898">
        <v>73.98</v>
      </c>
      <c r="AC2092" s="903">
        <v>150</v>
      </c>
      <c r="AD2092" s="896">
        <f t="shared" ref="AD2092" si="8393">IFERROR((AC2092/AB2092),"-")</f>
        <v>2.0275750202757501</v>
      </c>
      <c r="AE2092" s="2"/>
      <c r="AF2092" s="884">
        <v>0</v>
      </c>
      <c r="AG2092" s="884"/>
      <c r="AH2092" s="884">
        <v>0</v>
      </c>
      <c r="AI2092" s="884"/>
      <c r="AJ2092" s="884"/>
      <c r="AK2092" s="884">
        <f t="shared" ref="AK2092" si="8394">AF2092+AG2092+AH2092+AI2092+AJ2092+AC2092</f>
        <v>150</v>
      </c>
      <c r="AL2092" s="884">
        <v>73.98</v>
      </c>
      <c r="AM2092" s="878">
        <f t="shared" ref="AM2092" si="8395">IFERROR((AK2092/AL2092),"-")</f>
        <v>2.0275750202757501</v>
      </c>
      <c r="AN2092" s="2"/>
      <c r="AO2092" s="884">
        <v>691</v>
      </c>
      <c r="AP2092" s="884">
        <f t="shared" ref="AP2092" si="8396">AO2092-AK2092</f>
        <v>541</v>
      </c>
      <c r="AV2092" t="str">
        <f t="shared" si="8253"/>
        <v>Drenagem Superficial</v>
      </c>
      <c r="AW2092" s="4" t="str">
        <f t="shared" si="8244"/>
        <v xml:space="preserve">   Seg. 2.4-C08 - Drenagem Superficial - Valetas de proteção de corte (Manual)</v>
      </c>
    </row>
    <row r="2093" spans="1:49" ht="15.6" hidden="1" customHeight="1" outlineLevel="2">
      <c r="A2093" s="8" t="str">
        <f t="shared" ref="A2093" si="8397">A2092</f>
        <v>S</v>
      </c>
      <c r="B2093" s="150"/>
      <c r="C2093" s="150" t="s">
        <v>2408</v>
      </c>
      <c r="D2093" s="120" t="s">
        <v>402</v>
      </c>
      <c r="E2093" s="893"/>
      <c r="F2093" s="902"/>
      <c r="G2093" s="528"/>
      <c r="H2093" s="549" t="s">
        <v>38</v>
      </c>
      <c r="I2093" s="711">
        <v>140</v>
      </c>
      <c r="J2093" s="897"/>
      <c r="K2093" s="528"/>
      <c r="L2093" s="549" t="s">
        <v>38</v>
      </c>
      <c r="M2093" s="711">
        <f t="shared" si="8364"/>
        <v>0</v>
      </c>
      <c r="N2093" s="897"/>
      <c r="O2093" s="528"/>
      <c r="P2093" s="548">
        <v>10</v>
      </c>
      <c r="Q2093" s="548">
        <v>0</v>
      </c>
      <c r="R2093" s="548">
        <v>0</v>
      </c>
      <c r="S2093" s="548">
        <v>0</v>
      </c>
      <c r="T2093" s="548">
        <v>0</v>
      </c>
      <c r="U2093" s="548">
        <v>0</v>
      </c>
      <c r="V2093" s="548"/>
      <c r="W2093" s="528"/>
      <c r="X2093" s="711"/>
      <c r="Y2093" s="897"/>
      <c r="Z2093" s="528"/>
      <c r="AA2093" s="899"/>
      <c r="AB2093" s="899"/>
      <c r="AC2093" s="904"/>
      <c r="AD2093" s="905"/>
      <c r="AE2093" s="2"/>
      <c r="AF2093" s="885"/>
      <c r="AG2093" s="885"/>
      <c r="AH2093" s="885"/>
      <c r="AI2093" s="885"/>
      <c r="AJ2093" s="885"/>
      <c r="AK2093" s="885"/>
      <c r="AL2093" s="885"/>
      <c r="AM2093" s="879"/>
      <c r="AN2093" s="2"/>
      <c r="AO2093" s="886"/>
      <c r="AP2093" s="886"/>
      <c r="AV2093" t="str">
        <f t="shared" si="8253"/>
        <v>Drenagem Superficial</v>
      </c>
      <c r="AW2093" s="4" t="str">
        <f t="shared" si="8244"/>
        <v xml:space="preserve">   Seg. 2.4-C08 - Drenagem Superficial - Valetas de proteção de corte (Manual)</v>
      </c>
    </row>
    <row r="2094" spans="1:49" ht="15.6" hidden="1" customHeight="1" outlineLevel="2">
      <c r="A2094" s="209" t="str">
        <f t="shared" ref="A2094" si="8398">IF(SUM(P2094:V2095)&gt;0,"S","N")</f>
        <v>N</v>
      </c>
      <c r="B2094" s="150">
        <v>1064548</v>
      </c>
      <c r="C2094" s="150" t="s">
        <v>2410</v>
      </c>
      <c r="D2094" s="120" t="s">
        <v>421</v>
      </c>
      <c r="E2094" s="892" t="s">
        <v>2411</v>
      </c>
      <c r="F2094" s="902" t="s">
        <v>52</v>
      </c>
      <c r="G2094" s="528"/>
      <c r="H2094" s="546" t="s">
        <v>37</v>
      </c>
      <c r="I2094" s="711">
        <v>95</v>
      </c>
      <c r="J2094" s="896">
        <f t="shared" ref="J2094" si="8399">IFERROR((I2095/I2094),"-")</f>
        <v>0.54736842105263162</v>
      </c>
      <c r="K2094" s="528"/>
      <c r="L2094" s="546" t="s">
        <v>37</v>
      </c>
      <c r="M2094" s="711">
        <f t="shared" si="8364"/>
        <v>0</v>
      </c>
      <c r="N2094" s="896" t="str">
        <f t="shared" ref="N2094" si="8400">IFERROR((M2095/M2094),"-")</f>
        <v>-</v>
      </c>
      <c r="O2094" s="528"/>
      <c r="P2094" s="547">
        <v>0</v>
      </c>
      <c r="Q2094" s="547">
        <v>0</v>
      </c>
      <c r="R2094" s="547">
        <v>0</v>
      </c>
      <c r="S2094" s="547">
        <v>0</v>
      </c>
      <c r="T2094" s="547">
        <v>0</v>
      </c>
      <c r="U2094" s="547">
        <v>0</v>
      </c>
      <c r="V2094" s="548">
        <v>0</v>
      </c>
      <c r="W2094" s="528"/>
      <c r="X2094" s="711"/>
      <c r="Y2094" s="896" t="str">
        <f t="shared" ref="Y2094" si="8401">IFERROR((X2095/X2094),"-")</f>
        <v>-</v>
      </c>
      <c r="Z2094" s="528"/>
      <c r="AA2094" s="898">
        <v>153.22999999999999</v>
      </c>
      <c r="AB2094" s="898">
        <v>153.24</v>
      </c>
      <c r="AC2094" s="903">
        <v>200</v>
      </c>
      <c r="AD2094" s="896">
        <f t="shared" ref="AD2094" si="8402">IFERROR((AC2094/AB2094),"-")</f>
        <v>1.3051422605063951</v>
      </c>
      <c r="AE2094" s="2"/>
      <c r="AF2094" s="884">
        <v>517.40899999999999</v>
      </c>
      <c r="AG2094" s="884">
        <v>207.62700000000001</v>
      </c>
      <c r="AH2094" s="884">
        <v>378</v>
      </c>
      <c r="AI2094" s="884">
        <v>759.60500000000002</v>
      </c>
      <c r="AJ2094" s="884"/>
      <c r="AK2094" s="884">
        <f t="shared" ref="AK2094" si="8403">AF2094+AG2094+AH2094+AI2094+AJ2094+AC2094</f>
        <v>2062.6410000000001</v>
      </c>
      <c r="AL2094" s="884">
        <v>1983.4400000000037</v>
      </c>
      <c r="AM2094" s="878">
        <f t="shared" ref="AM2094" si="8404">IFERROR((AK2094/AL2094),"-")</f>
        <v>1.0399311297543643</v>
      </c>
      <c r="AN2094" s="2"/>
      <c r="AO2094" s="884">
        <v>1987.44</v>
      </c>
      <c r="AP2094" s="884">
        <f t="shared" ref="AP2094" si="8405">AO2094-AK2094</f>
        <v>-75.201000000000022</v>
      </c>
      <c r="AV2094" t="str">
        <f t="shared" si="8253"/>
        <v>Drenagem Superficial</v>
      </c>
      <c r="AW2094" s="4" t="str">
        <f t="shared" si="8244"/>
        <v xml:space="preserve">   Seg. 2.4-A01 - Drenagem Superficial - Valetas de proteção de aterro (Manual)</v>
      </c>
    </row>
    <row r="2095" spans="1:49" ht="15.6" hidden="1" customHeight="1" outlineLevel="2">
      <c r="A2095" s="209" t="str">
        <f t="shared" ref="A2095" si="8406">A2094</f>
        <v>N</v>
      </c>
      <c r="B2095" s="150">
        <v>1064548</v>
      </c>
      <c r="C2095" s="150" t="s">
        <v>2410</v>
      </c>
      <c r="D2095" s="120" t="s">
        <v>421</v>
      </c>
      <c r="E2095" s="893"/>
      <c r="F2095" s="902"/>
      <c r="G2095" s="528"/>
      <c r="H2095" s="549" t="s">
        <v>38</v>
      </c>
      <c r="I2095" s="711">
        <v>52</v>
      </c>
      <c r="J2095" s="897"/>
      <c r="K2095" s="528"/>
      <c r="L2095" s="549" t="s">
        <v>38</v>
      </c>
      <c r="M2095" s="711">
        <f t="shared" si="8364"/>
        <v>0</v>
      </c>
      <c r="N2095" s="897"/>
      <c r="O2095" s="528"/>
      <c r="P2095" s="548">
        <v>0</v>
      </c>
      <c r="Q2095" s="548">
        <v>0</v>
      </c>
      <c r="R2095" s="548">
        <v>0</v>
      </c>
      <c r="S2095" s="548">
        <v>0</v>
      </c>
      <c r="T2095" s="548">
        <v>0</v>
      </c>
      <c r="U2095" s="548">
        <v>0</v>
      </c>
      <c r="V2095" s="548"/>
      <c r="W2095" s="528"/>
      <c r="X2095" s="711"/>
      <c r="Y2095" s="897"/>
      <c r="Z2095" s="528"/>
      <c r="AA2095" s="899"/>
      <c r="AB2095" s="899"/>
      <c r="AC2095" s="904"/>
      <c r="AD2095" s="905"/>
      <c r="AE2095" s="2"/>
      <c r="AF2095" s="885"/>
      <c r="AG2095" s="885"/>
      <c r="AH2095" s="885"/>
      <c r="AI2095" s="885"/>
      <c r="AJ2095" s="885"/>
      <c r="AK2095" s="885"/>
      <c r="AL2095" s="885"/>
      <c r="AM2095" s="879"/>
      <c r="AN2095" s="2"/>
      <c r="AO2095" s="886"/>
      <c r="AP2095" s="886"/>
      <c r="AV2095" t="str">
        <f t="shared" si="8253"/>
        <v>Drenagem Superficial</v>
      </c>
      <c r="AW2095" s="4" t="str">
        <f t="shared" si="8244"/>
        <v xml:space="preserve">   Seg. 2.4-A01 - Drenagem Superficial - Valetas de proteção de aterro (Manual)</v>
      </c>
    </row>
    <row r="2096" spans="1:49" ht="15.6" hidden="1" customHeight="1" outlineLevel="2">
      <c r="A2096" s="209" t="str">
        <f t="shared" ref="A2096" si="8407">IF(SUM(P2096:V2097)&gt;0,"S","N")</f>
        <v>N</v>
      </c>
      <c r="B2096" s="150">
        <v>1064554</v>
      </c>
      <c r="C2096" s="150" t="s">
        <v>2412</v>
      </c>
      <c r="D2096" s="120" t="s">
        <v>434</v>
      </c>
      <c r="E2096" s="892" t="s">
        <v>2413</v>
      </c>
      <c r="F2096" s="902" t="s">
        <v>52</v>
      </c>
      <c r="G2096" s="528"/>
      <c r="H2096" s="546" t="s">
        <v>37</v>
      </c>
      <c r="I2096" s="711">
        <v>0</v>
      </c>
      <c r="J2096" s="896" t="str">
        <f t="shared" ref="J2096" si="8408">IFERROR((I2097/I2096),"-")</f>
        <v>-</v>
      </c>
      <c r="K2096" s="528"/>
      <c r="L2096" s="546" t="s">
        <v>37</v>
      </c>
      <c r="M2096" s="711">
        <f t="shared" si="8364"/>
        <v>0</v>
      </c>
      <c r="N2096" s="896" t="str">
        <f t="shared" ref="N2096" si="8409">IFERROR((M2097/M2096),"-")</f>
        <v>-</v>
      </c>
      <c r="O2096" s="528"/>
      <c r="P2096" s="547">
        <v>0</v>
      </c>
      <c r="Q2096" s="547">
        <v>0</v>
      </c>
      <c r="R2096" s="547">
        <v>0</v>
      </c>
      <c r="S2096" s="547">
        <v>0</v>
      </c>
      <c r="T2096" s="547">
        <v>0</v>
      </c>
      <c r="U2096" s="547">
        <v>0</v>
      </c>
      <c r="V2096" s="548">
        <v>0</v>
      </c>
      <c r="W2096" s="528"/>
      <c r="X2096" s="711"/>
      <c r="Y2096" s="896" t="str">
        <f>IFERROR((X2097/X2096),"-")</f>
        <v>-</v>
      </c>
      <c r="Z2096" s="528"/>
      <c r="AA2096" s="898">
        <v>0</v>
      </c>
      <c r="AB2096" s="898">
        <v>0</v>
      </c>
      <c r="AC2096" s="903">
        <v>0</v>
      </c>
      <c r="AD2096" s="896" t="str">
        <f t="shared" ref="AD2096" si="8410">IFERROR((AC2096/AB2096),"-")</f>
        <v>-</v>
      </c>
      <c r="AE2096" s="2"/>
      <c r="AF2096" s="884">
        <v>0</v>
      </c>
      <c r="AG2096" s="884"/>
      <c r="AH2096" s="884">
        <v>0</v>
      </c>
      <c r="AI2096" s="884"/>
      <c r="AJ2096" s="884"/>
      <c r="AK2096" s="884">
        <f t="shared" ref="AK2096" si="8411">AF2096+AG2096+AH2096+AI2096+AJ2096+AC2096</f>
        <v>0</v>
      </c>
      <c r="AL2096" s="884">
        <v>0</v>
      </c>
      <c r="AM2096" s="878" t="str">
        <f t="shared" ref="AM2096" si="8412">IFERROR((AK2096/AL2096),"-")</f>
        <v>-</v>
      </c>
      <c r="AN2096" s="2"/>
      <c r="AO2096" s="884">
        <v>465</v>
      </c>
      <c r="AP2096" s="884">
        <f t="shared" ref="AP2096" si="8413">AO2096-AK2096</f>
        <v>465</v>
      </c>
      <c r="AV2096" t="str">
        <f t="shared" si="8253"/>
        <v>Drenagem Superficial</v>
      </c>
      <c r="AW2096" s="4" t="str">
        <f t="shared" si="8244"/>
        <v xml:space="preserve">   Seg. 2.4-A02 - Drenagem Superficial - Valetas de proteção de aterro (Manual)</v>
      </c>
    </row>
    <row r="2097" spans="1:49" ht="15.6" hidden="1" customHeight="1" outlineLevel="2">
      <c r="A2097" s="209" t="str">
        <f t="shared" ref="A2097" si="8414">A2096</f>
        <v>N</v>
      </c>
      <c r="B2097" s="150"/>
      <c r="C2097" s="150" t="s">
        <v>2412</v>
      </c>
      <c r="D2097" s="120" t="s">
        <v>434</v>
      </c>
      <c r="E2097" s="893"/>
      <c r="F2097" s="902"/>
      <c r="G2097" s="528"/>
      <c r="H2097" s="549" t="s">
        <v>38</v>
      </c>
      <c r="I2097" s="711">
        <v>0</v>
      </c>
      <c r="J2097" s="897"/>
      <c r="K2097" s="528"/>
      <c r="L2097" s="549" t="s">
        <v>38</v>
      </c>
      <c r="M2097" s="711">
        <f t="shared" si="8364"/>
        <v>0</v>
      </c>
      <c r="N2097" s="897"/>
      <c r="O2097" s="528"/>
      <c r="P2097" s="548">
        <v>0</v>
      </c>
      <c r="Q2097" s="548">
        <v>0</v>
      </c>
      <c r="R2097" s="548">
        <v>0</v>
      </c>
      <c r="S2097" s="548">
        <v>0</v>
      </c>
      <c r="T2097" s="548">
        <v>0</v>
      </c>
      <c r="U2097" s="548">
        <v>0</v>
      </c>
      <c r="V2097" s="548"/>
      <c r="W2097" s="528"/>
      <c r="X2097" s="711"/>
      <c r="Y2097" s="897"/>
      <c r="Z2097" s="528"/>
      <c r="AA2097" s="899"/>
      <c r="AB2097" s="899"/>
      <c r="AC2097" s="904"/>
      <c r="AD2097" s="905"/>
      <c r="AE2097" s="2"/>
      <c r="AF2097" s="885"/>
      <c r="AG2097" s="885"/>
      <c r="AH2097" s="885"/>
      <c r="AI2097" s="885"/>
      <c r="AJ2097" s="885"/>
      <c r="AK2097" s="885"/>
      <c r="AL2097" s="885"/>
      <c r="AM2097" s="879"/>
      <c r="AN2097" s="2"/>
      <c r="AO2097" s="886"/>
      <c r="AP2097" s="886"/>
      <c r="AV2097" t="str">
        <f t="shared" si="8253"/>
        <v>Drenagem Superficial</v>
      </c>
      <c r="AW2097" s="4" t="str">
        <f t="shared" si="8244"/>
        <v xml:space="preserve">   Seg. 2.4-A02 - Drenagem Superficial - Valetas de proteção de aterro (Manual)</v>
      </c>
    </row>
    <row r="2098" spans="1:49" ht="15.6" hidden="1" customHeight="1" outlineLevel="2">
      <c r="A2098" s="8" t="str">
        <f t="shared" ref="A2098" si="8415">IF(SUM(P2098:V2099)&gt;0,"S","N")</f>
        <v>N</v>
      </c>
      <c r="B2098" s="150">
        <v>1064555</v>
      </c>
      <c r="C2098" s="150" t="s">
        <v>2414</v>
      </c>
      <c r="D2098" s="120" t="s">
        <v>425</v>
      </c>
      <c r="E2098" s="892" t="s">
        <v>2415</v>
      </c>
      <c r="F2098" s="902" t="s">
        <v>52</v>
      </c>
      <c r="G2098" s="528"/>
      <c r="H2098" s="546" t="s">
        <v>37</v>
      </c>
      <c r="I2098" s="711">
        <v>0</v>
      </c>
      <c r="J2098" s="896" t="str">
        <f t="shared" ref="J2098" si="8416">IFERROR((I2099/I2098),"-")</f>
        <v>-</v>
      </c>
      <c r="K2098" s="528"/>
      <c r="L2098" s="546" t="s">
        <v>37</v>
      </c>
      <c r="M2098" s="711">
        <f t="shared" si="8364"/>
        <v>0</v>
      </c>
      <c r="N2098" s="896" t="str">
        <f t="shared" ref="N2098" si="8417">IFERROR((M2099/M2098),"-")</f>
        <v>-</v>
      </c>
      <c r="O2098" s="528"/>
      <c r="P2098" s="547">
        <v>0</v>
      </c>
      <c r="Q2098" s="547">
        <v>0</v>
      </c>
      <c r="R2098" s="547">
        <v>0</v>
      </c>
      <c r="S2098" s="547">
        <v>0</v>
      </c>
      <c r="T2098" s="547">
        <v>0</v>
      </c>
      <c r="U2098" s="547">
        <v>0</v>
      </c>
      <c r="V2098" s="548">
        <v>0</v>
      </c>
      <c r="W2098" s="528"/>
      <c r="X2098" s="711"/>
      <c r="Y2098" s="896" t="str">
        <f t="shared" ref="Y2098" si="8418">IFERROR((X2099/X2098),"-")</f>
        <v>-</v>
      </c>
      <c r="Z2098" s="528"/>
      <c r="AA2098" s="898">
        <v>0</v>
      </c>
      <c r="AB2098" s="898">
        <v>0</v>
      </c>
      <c r="AC2098" s="903">
        <v>0</v>
      </c>
      <c r="AD2098" s="896" t="str">
        <f t="shared" ref="AD2098" si="8419">IFERROR((AC2098/AB2098),"-")</f>
        <v>-</v>
      </c>
      <c r="AE2098" s="2"/>
      <c r="AF2098" s="884">
        <v>0</v>
      </c>
      <c r="AG2098" s="884"/>
      <c r="AH2098" s="884">
        <v>0</v>
      </c>
      <c r="AI2098" s="884"/>
      <c r="AJ2098" s="884"/>
      <c r="AK2098" s="884">
        <f t="shared" ref="AK2098" si="8420">AF2098+AG2098+AH2098+AI2098+AJ2098+AC2098</f>
        <v>0</v>
      </c>
      <c r="AL2098" s="884">
        <v>0</v>
      </c>
      <c r="AM2098" s="878" t="str">
        <f t="shared" ref="AM2098" si="8421">IFERROR((AK2098/AL2098),"-")</f>
        <v>-</v>
      </c>
      <c r="AN2098" s="2"/>
      <c r="AO2098" s="884">
        <v>52</v>
      </c>
      <c r="AP2098" s="884">
        <f t="shared" ref="AP2098" si="8422">AO2098-AK2098</f>
        <v>52</v>
      </c>
      <c r="AV2098" t="str">
        <f t="shared" si="8253"/>
        <v>Drenagem Superficial</v>
      </c>
      <c r="AW2098" s="4" t="str">
        <f t="shared" si="8244"/>
        <v xml:space="preserve">   Seg. 2.4-A03 - Drenagem Superficial - Valetas de proteção de aterro (Manual)</v>
      </c>
    </row>
    <row r="2099" spans="1:49" ht="15.6" hidden="1" customHeight="1" outlineLevel="2">
      <c r="A2099" s="8" t="str">
        <f t="shared" ref="A2099" si="8423">A2098</f>
        <v>N</v>
      </c>
      <c r="B2099" s="150"/>
      <c r="C2099" s="150" t="s">
        <v>2414</v>
      </c>
      <c r="D2099" s="120" t="s">
        <v>425</v>
      </c>
      <c r="E2099" s="893"/>
      <c r="F2099" s="902"/>
      <c r="G2099" s="528"/>
      <c r="H2099" s="549" t="s">
        <v>38</v>
      </c>
      <c r="I2099" s="711">
        <v>0</v>
      </c>
      <c r="J2099" s="897"/>
      <c r="K2099" s="528"/>
      <c r="L2099" s="549" t="s">
        <v>38</v>
      </c>
      <c r="M2099" s="711">
        <f t="shared" si="8364"/>
        <v>0</v>
      </c>
      <c r="N2099" s="897"/>
      <c r="O2099" s="528"/>
      <c r="P2099" s="548">
        <v>0</v>
      </c>
      <c r="Q2099" s="548">
        <v>0</v>
      </c>
      <c r="R2099" s="548">
        <v>0</v>
      </c>
      <c r="S2099" s="548">
        <v>0</v>
      </c>
      <c r="T2099" s="548">
        <v>0</v>
      </c>
      <c r="U2099" s="548">
        <v>0</v>
      </c>
      <c r="V2099" s="548"/>
      <c r="W2099" s="528"/>
      <c r="X2099" s="711"/>
      <c r="Y2099" s="897"/>
      <c r="Z2099" s="528"/>
      <c r="AA2099" s="899"/>
      <c r="AB2099" s="899"/>
      <c r="AC2099" s="904"/>
      <c r="AD2099" s="905"/>
      <c r="AE2099" s="2"/>
      <c r="AF2099" s="885"/>
      <c r="AG2099" s="885"/>
      <c r="AH2099" s="885"/>
      <c r="AI2099" s="885"/>
      <c r="AJ2099" s="885"/>
      <c r="AK2099" s="885"/>
      <c r="AL2099" s="885"/>
      <c r="AM2099" s="879"/>
      <c r="AN2099" s="2"/>
      <c r="AO2099" s="886"/>
      <c r="AP2099" s="886"/>
      <c r="AV2099" t="str">
        <f t="shared" si="8253"/>
        <v>Drenagem Superficial</v>
      </c>
      <c r="AW2099" s="4" t="str">
        <f t="shared" si="8244"/>
        <v xml:space="preserve">   Seg. 2.4-A03 - Drenagem Superficial - Valetas de proteção de aterro (Manual)</v>
      </c>
    </row>
    <row r="2100" spans="1:49" ht="15.6" hidden="1" customHeight="1" outlineLevel="2">
      <c r="A2100" s="8" t="str">
        <f t="shared" ref="A2100" si="8424">IF(SUM(P2100:V2101)&gt;0,"S","N")</f>
        <v>N</v>
      </c>
      <c r="B2100" s="150">
        <v>1064556</v>
      </c>
      <c r="C2100" s="150" t="s">
        <v>2416</v>
      </c>
      <c r="D2100" s="120" t="s">
        <v>1287</v>
      </c>
      <c r="E2100" s="892" t="s">
        <v>2417</v>
      </c>
      <c r="F2100" s="902" t="s">
        <v>52</v>
      </c>
      <c r="G2100" s="528"/>
      <c r="H2100" s="546" t="s">
        <v>37</v>
      </c>
      <c r="I2100" s="711">
        <v>0</v>
      </c>
      <c r="J2100" s="896" t="str">
        <f t="shared" ref="J2100" si="8425">IFERROR((I2101/I2100),"-")</f>
        <v>-</v>
      </c>
      <c r="K2100" s="528"/>
      <c r="L2100" s="546" t="s">
        <v>37</v>
      </c>
      <c r="M2100" s="711">
        <f t="shared" si="8364"/>
        <v>0</v>
      </c>
      <c r="N2100" s="896" t="str">
        <f t="shared" ref="N2100" si="8426">IFERROR((M2101/M2100),"-")</f>
        <v>-</v>
      </c>
      <c r="O2100" s="528"/>
      <c r="P2100" s="547">
        <v>0</v>
      </c>
      <c r="Q2100" s="547">
        <v>0</v>
      </c>
      <c r="R2100" s="547">
        <v>0</v>
      </c>
      <c r="S2100" s="547">
        <v>0</v>
      </c>
      <c r="T2100" s="547">
        <v>0</v>
      </c>
      <c r="U2100" s="547">
        <v>0</v>
      </c>
      <c r="V2100" s="548">
        <v>0</v>
      </c>
      <c r="W2100" s="528"/>
      <c r="X2100" s="711"/>
      <c r="Y2100" s="896" t="str">
        <f>IFERROR((X2101/X2100),"-")</f>
        <v>-</v>
      </c>
      <c r="Z2100" s="528"/>
      <c r="AA2100" s="898">
        <v>0</v>
      </c>
      <c r="AB2100" s="898">
        <v>0</v>
      </c>
      <c r="AC2100" s="903">
        <v>0</v>
      </c>
      <c r="AD2100" s="896" t="str">
        <f t="shared" ref="AD2100" si="8427">IFERROR((AC2100/AB2100),"-")</f>
        <v>-</v>
      </c>
      <c r="AE2100" s="2"/>
      <c r="AF2100" s="884">
        <v>0</v>
      </c>
      <c r="AG2100" s="884"/>
      <c r="AH2100" s="884">
        <v>0</v>
      </c>
      <c r="AI2100" s="884"/>
      <c r="AJ2100" s="884"/>
      <c r="AK2100" s="884">
        <f t="shared" ref="AK2100" si="8428">AF2100+AG2100+AH2100+AI2100+AJ2100+AC2100</f>
        <v>0</v>
      </c>
      <c r="AL2100" s="884">
        <v>0</v>
      </c>
      <c r="AM2100" s="878" t="str">
        <f t="shared" ref="AM2100" si="8429">IFERROR((AK2100/AL2100),"-")</f>
        <v>-</v>
      </c>
      <c r="AN2100" s="2"/>
      <c r="AO2100" s="884">
        <v>190</v>
      </c>
      <c r="AP2100" s="884">
        <f t="shared" ref="AP2100" si="8430">AO2100-AK2100</f>
        <v>190</v>
      </c>
      <c r="AV2100" t="str">
        <f t="shared" si="8253"/>
        <v>Drenagem Superficial</v>
      </c>
      <c r="AW2100" s="4" t="str">
        <f t="shared" si="8244"/>
        <v xml:space="preserve">   Seg. 2.4-A04 - Drenagem Superficial - Valetas de proteção de aterro (Manual)</v>
      </c>
    </row>
    <row r="2101" spans="1:49" ht="15.6" hidden="1" customHeight="1" outlineLevel="2">
      <c r="A2101" s="8" t="str">
        <f t="shared" ref="A2101" si="8431">A2100</f>
        <v>N</v>
      </c>
      <c r="B2101" s="150"/>
      <c r="C2101" s="150" t="s">
        <v>2416</v>
      </c>
      <c r="D2101" s="120" t="s">
        <v>1287</v>
      </c>
      <c r="E2101" s="893"/>
      <c r="F2101" s="902"/>
      <c r="G2101" s="528"/>
      <c r="H2101" s="549" t="s">
        <v>38</v>
      </c>
      <c r="I2101" s="711">
        <v>0</v>
      </c>
      <c r="J2101" s="897"/>
      <c r="K2101" s="528"/>
      <c r="L2101" s="549" t="s">
        <v>38</v>
      </c>
      <c r="M2101" s="711">
        <f t="shared" si="8364"/>
        <v>0</v>
      </c>
      <c r="N2101" s="897"/>
      <c r="O2101" s="528"/>
      <c r="P2101" s="548">
        <v>0</v>
      </c>
      <c r="Q2101" s="548">
        <v>0</v>
      </c>
      <c r="R2101" s="548">
        <v>0</v>
      </c>
      <c r="S2101" s="548">
        <v>0</v>
      </c>
      <c r="T2101" s="548">
        <v>0</v>
      </c>
      <c r="U2101" s="548">
        <v>0</v>
      </c>
      <c r="V2101" s="548"/>
      <c r="W2101" s="528"/>
      <c r="X2101" s="711"/>
      <c r="Y2101" s="897"/>
      <c r="Z2101" s="528"/>
      <c r="AA2101" s="899"/>
      <c r="AB2101" s="899"/>
      <c r="AC2101" s="904"/>
      <c r="AD2101" s="905"/>
      <c r="AE2101" s="2"/>
      <c r="AF2101" s="885"/>
      <c r="AG2101" s="885"/>
      <c r="AH2101" s="885"/>
      <c r="AI2101" s="885"/>
      <c r="AJ2101" s="885"/>
      <c r="AK2101" s="885"/>
      <c r="AL2101" s="885"/>
      <c r="AM2101" s="879"/>
      <c r="AN2101" s="2"/>
      <c r="AO2101" s="886"/>
      <c r="AP2101" s="886"/>
      <c r="AV2101" t="str">
        <f t="shared" si="8253"/>
        <v>Drenagem Superficial</v>
      </c>
      <c r="AW2101" s="4" t="str">
        <f t="shared" si="8244"/>
        <v xml:space="preserve">   Seg. 2.4-A04 - Drenagem Superficial - Valetas de proteção de aterro (Manual)</v>
      </c>
    </row>
    <row r="2102" spans="1:49" ht="15.6" hidden="1" customHeight="1" outlineLevel="2">
      <c r="A2102" s="8" t="str">
        <f t="shared" ref="A2102" si="8432">IF(SUM(P2102:V2103)&gt;0,"S","N")</f>
        <v>N</v>
      </c>
      <c r="B2102" s="150">
        <v>1064557</v>
      </c>
      <c r="C2102" s="150" t="s">
        <v>2418</v>
      </c>
      <c r="D2102" s="120" t="s">
        <v>438</v>
      </c>
      <c r="E2102" s="892" t="s">
        <v>2419</v>
      </c>
      <c r="F2102" s="902" t="s">
        <v>52</v>
      </c>
      <c r="G2102" s="528"/>
      <c r="H2102" s="546" t="s">
        <v>37</v>
      </c>
      <c r="I2102" s="711">
        <v>0</v>
      </c>
      <c r="J2102" s="896" t="str">
        <f t="shared" ref="J2102" si="8433">IFERROR((I2103/I2102),"-")</f>
        <v>-</v>
      </c>
      <c r="K2102" s="528"/>
      <c r="L2102" s="546" t="s">
        <v>37</v>
      </c>
      <c r="M2102" s="711">
        <f t="shared" si="8364"/>
        <v>0</v>
      </c>
      <c r="N2102" s="896" t="str">
        <f t="shared" ref="N2102" si="8434">IFERROR((M2103/M2102),"-")</f>
        <v>-</v>
      </c>
      <c r="O2102" s="528"/>
      <c r="P2102" s="547">
        <v>0</v>
      </c>
      <c r="Q2102" s="547">
        <v>0</v>
      </c>
      <c r="R2102" s="547">
        <v>0</v>
      </c>
      <c r="S2102" s="547">
        <v>0</v>
      </c>
      <c r="T2102" s="547">
        <v>0</v>
      </c>
      <c r="U2102" s="547">
        <v>0</v>
      </c>
      <c r="V2102" s="548">
        <v>0</v>
      </c>
      <c r="W2102" s="528"/>
      <c r="X2102" s="711"/>
      <c r="Y2102" s="896" t="str">
        <f t="shared" ref="Y2102" si="8435">IFERROR((X2103/X2102),"-")</f>
        <v>-</v>
      </c>
      <c r="Z2102" s="528"/>
      <c r="AA2102" s="898">
        <v>0</v>
      </c>
      <c r="AB2102" s="898">
        <v>0</v>
      </c>
      <c r="AC2102" s="903">
        <v>0</v>
      </c>
      <c r="AD2102" s="896" t="str">
        <f t="shared" ref="AD2102" si="8436">IFERROR((AC2102/AB2102),"-")</f>
        <v>-</v>
      </c>
      <c r="AE2102" s="2"/>
      <c r="AF2102" s="884">
        <v>0</v>
      </c>
      <c r="AG2102" s="884"/>
      <c r="AH2102" s="884">
        <v>0</v>
      </c>
      <c r="AI2102" s="884"/>
      <c r="AJ2102" s="884"/>
      <c r="AK2102" s="884">
        <f t="shared" ref="AK2102" si="8437">AF2102+AG2102+AH2102+AI2102+AJ2102+AC2102</f>
        <v>0</v>
      </c>
      <c r="AL2102" s="884">
        <v>0</v>
      </c>
      <c r="AM2102" s="878" t="str">
        <f t="shared" ref="AM2102" si="8438">IFERROR((AK2102/AL2102),"-")</f>
        <v>-</v>
      </c>
      <c r="AN2102" s="2"/>
      <c r="AO2102" s="884">
        <v>73</v>
      </c>
      <c r="AP2102" s="884">
        <f t="shared" ref="AP2102" si="8439">AO2102-AK2102</f>
        <v>73</v>
      </c>
      <c r="AV2102" t="str">
        <f t="shared" si="8253"/>
        <v>Drenagem Superficial</v>
      </c>
      <c r="AW2102" s="4" t="str">
        <f t="shared" si="8244"/>
        <v xml:space="preserve">   Seg. 2.4-A05 - Drenagem Superficial - Valetas de proteção de aterro (Manual)</v>
      </c>
    </row>
    <row r="2103" spans="1:49" ht="15.6" hidden="1" customHeight="1" outlineLevel="2">
      <c r="A2103" s="8" t="str">
        <f t="shared" ref="A2103" si="8440">A2102</f>
        <v>N</v>
      </c>
      <c r="B2103" s="150"/>
      <c r="C2103" s="150" t="s">
        <v>2418</v>
      </c>
      <c r="D2103" s="120" t="s">
        <v>438</v>
      </c>
      <c r="E2103" s="893"/>
      <c r="F2103" s="902"/>
      <c r="G2103" s="528"/>
      <c r="H2103" s="549" t="s">
        <v>38</v>
      </c>
      <c r="I2103" s="711">
        <v>0</v>
      </c>
      <c r="J2103" s="897"/>
      <c r="K2103" s="528"/>
      <c r="L2103" s="549" t="s">
        <v>38</v>
      </c>
      <c r="M2103" s="711">
        <f t="shared" si="8364"/>
        <v>0</v>
      </c>
      <c r="N2103" s="897"/>
      <c r="O2103" s="528"/>
      <c r="P2103" s="548">
        <v>0</v>
      </c>
      <c r="Q2103" s="548">
        <v>0</v>
      </c>
      <c r="R2103" s="548">
        <v>0</v>
      </c>
      <c r="S2103" s="548">
        <v>0</v>
      </c>
      <c r="T2103" s="548">
        <v>0</v>
      </c>
      <c r="U2103" s="548">
        <v>0</v>
      </c>
      <c r="V2103" s="548"/>
      <c r="W2103" s="528"/>
      <c r="X2103" s="711"/>
      <c r="Y2103" s="897"/>
      <c r="Z2103" s="528"/>
      <c r="AA2103" s="899"/>
      <c r="AB2103" s="899"/>
      <c r="AC2103" s="904"/>
      <c r="AD2103" s="905"/>
      <c r="AE2103" s="2"/>
      <c r="AF2103" s="885"/>
      <c r="AG2103" s="885"/>
      <c r="AH2103" s="885"/>
      <c r="AI2103" s="885"/>
      <c r="AJ2103" s="885"/>
      <c r="AK2103" s="885"/>
      <c r="AL2103" s="885"/>
      <c r="AM2103" s="879"/>
      <c r="AN2103" s="2"/>
      <c r="AO2103" s="886"/>
      <c r="AP2103" s="886"/>
      <c r="AV2103" t="str">
        <f t="shared" si="8253"/>
        <v>Drenagem Superficial</v>
      </c>
      <c r="AW2103" s="4" t="str">
        <f t="shared" si="8244"/>
        <v xml:space="preserve">   Seg. 2.4-A05 - Drenagem Superficial - Valetas de proteção de aterro (Manual)</v>
      </c>
    </row>
    <row r="2104" spans="1:49" ht="15.6" hidden="1" customHeight="1" outlineLevel="2">
      <c r="A2104" s="8" t="str">
        <f t="shared" ref="A2104" si="8441">IF(SUM(P2104:V2105)&gt;0,"S","N")</f>
        <v>S</v>
      </c>
      <c r="B2104" s="150">
        <v>1064559</v>
      </c>
      <c r="C2104" s="150" t="s">
        <v>2420</v>
      </c>
      <c r="D2104" s="120" t="s">
        <v>436</v>
      </c>
      <c r="E2104" s="892" t="s">
        <v>2421</v>
      </c>
      <c r="F2104" s="902" t="s">
        <v>52</v>
      </c>
      <c r="G2104" s="528"/>
      <c r="H2104" s="546" t="s">
        <v>37</v>
      </c>
      <c r="I2104" s="711">
        <v>0</v>
      </c>
      <c r="J2104" s="896" t="str">
        <f t="shared" ref="J2104" si="8442">IFERROR((I2105/I2104),"-")</f>
        <v>-</v>
      </c>
      <c r="K2104" s="528"/>
      <c r="L2104" s="546" t="s">
        <v>37</v>
      </c>
      <c r="M2104" s="711">
        <f t="shared" si="8364"/>
        <v>0</v>
      </c>
      <c r="N2104" s="896" t="str">
        <f t="shared" ref="N2104" si="8443">IFERROR((M2105/M2104),"-")</f>
        <v>-</v>
      </c>
      <c r="O2104" s="528"/>
      <c r="P2104" s="547">
        <v>0</v>
      </c>
      <c r="Q2104" s="547">
        <v>0</v>
      </c>
      <c r="R2104" s="547">
        <v>0</v>
      </c>
      <c r="S2104" s="547">
        <v>0</v>
      </c>
      <c r="T2104" s="547">
        <v>0</v>
      </c>
      <c r="U2104" s="547">
        <v>0</v>
      </c>
      <c r="V2104" s="548">
        <v>0</v>
      </c>
      <c r="W2104" s="528"/>
      <c r="X2104" s="711"/>
      <c r="Y2104" s="896" t="str">
        <f t="shared" ref="Y2104" si="8444">IFERROR((X2105/X2104),"-")</f>
        <v>-</v>
      </c>
      <c r="Z2104" s="528"/>
      <c r="AA2104" s="898">
        <v>0</v>
      </c>
      <c r="AB2104" s="898">
        <v>0</v>
      </c>
      <c r="AC2104" s="903">
        <v>187.5</v>
      </c>
      <c r="AD2104" s="896" t="str">
        <f t="shared" ref="AD2104" si="8445">IFERROR((AC2104/AB2104),"-")</f>
        <v>-</v>
      </c>
      <c r="AE2104" s="2"/>
      <c r="AF2104" s="884">
        <v>0</v>
      </c>
      <c r="AG2104" s="884"/>
      <c r="AH2104" s="884">
        <v>0</v>
      </c>
      <c r="AI2104" s="884">
        <v>203.83099999999999</v>
      </c>
      <c r="AJ2104" s="884">
        <v>117.565</v>
      </c>
      <c r="AK2104" s="884">
        <f t="shared" ref="AK2104" si="8446">AF2104+AG2104+AH2104+AI2104+AJ2104+AC2104</f>
        <v>508.89599999999996</v>
      </c>
      <c r="AL2104" s="884">
        <v>385.49999999999977</v>
      </c>
      <c r="AM2104" s="878">
        <f t="shared" ref="AM2104" si="8447">IFERROR((AK2104/AL2104),"-")</f>
        <v>1.3200933852140084</v>
      </c>
      <c r="AN2104" s="2"/>
      <c r="AO2104" s="884">
        <v>541</v>
      </c>
      <c r="AP2104" s="884">
        <f t="shared" ref="AP2104" si="8448">AO2104-AK2104</f>
        <v>32.104000000000042</v>
      </c>
      <c r="AV2104" t="str">
        <f t="shared" si="8253"/>
        <v>Drenagem Superficial</v>
      </c>
      <c r="AW2104" s="4" t="str">
        <f t="shared" si="8244"/>
        <v xml:space="preserve">   Seg. 2.4-A06 - Drenagem Superficial - Valetas de proteção de aterro (Manual)</v>
      </c>
    </row>
    <row r="2105" spans="1:49" ht="15.6" hidden="1" customHeight="1" outlineLevel="2">
      <c r="A2105" s="8" t="str">
        <f t="shared" ref="A2105" si="8449">A2104</f>
        <v>S</v>
      </c>
      <c r="B2105" s="150"/>
      <c r="C2105" s="150" t="s">
        <v>2420</v>
      </c>
      <c r="D2105" s="120" t="s">
        <v>436</v>
      </c>
      <c r="E2105" s="893"/>
      <c r="F2105" s="902"/>
      <c r="G2105" s="528"/>
      <c r="H2105" s="549" t="s">
        <v>38</v>
      </c>
      <c r="I2105" s="711">
        <v>57.5</v>
      </c>
      <c r="J2105" s="897"/>
      <c r="K2105" s="528"/>
      <c r="L2105" s="549" t="s">
        <v>38</v>
      </c>
      <c r="M2105" s="711">
        <f t="shared" si="8364"/>
        <v>72</v>
      </c>
      <c r="N2105" s="897"/>
      <c r="O2105" s="528"/>
      <c r="P2105" s="548">
        <v>58</v>
      </c>
      <c r="Q2105" s="548">
        <v>72</v>
      </c>
      <c r="R2105" s="548">
        <v>0</v>
      </c>
      <c r="S2105" s="548">
        <v>0</v>
      </c>
      <c r="T2105" s="548">
        <v>0</v>
      </c>
      <c r="U2105" s="548">
        <v>0</v>
      </c>
      <c r="V2105" s="548"/>
      <c r="W2105" s="528"/>
      <c r="X2105" s="711"/>
      <c r="Y2105" s="897"/>
      <c r="Z2105" s="528"/>
      <c r="AA2105" s="899"/>
      <c r="AB2105" s="899"/>
      <c r="AC2105" s="904"/>
      <c r="AD2105" s="905"/>
      <c r="AE2105" s="2"/>
      <c r="AF2105" s="885"/>
      <c r="AG2105" s="885"/>
      <c r="AH2105" s="885"/>
      <c r="AI2105" s="885"/>
      <c r="AJ2105" s="885"/>
      <c r="AK2105" s="885"/>
      <c r="AL2105" s="885"/>
      <c r="AM2105" s="879"/>
      <c r="AN2105" s="2"/>
      <c r="AO2105" s="886"/>
      <c r="AP2105" s="886"/>
      <c r="AV2105" t="str">
        <f t="shared" si="8253"/>
        <v>Drenagem Superficial</v>
      </c>
      <c r="AW2105" s="4" t="str">
        <f t="shared" si="8244"/>
        <v xml:space="preserve">   Seg. 2.4-A06 - Drenagem Superficial - Valetas de proteção de aterro (Manual)</v>
      </c>
    </row>
    <row r="2106" spans="1:49" ht="15.6" hidden="1" customHeight="1" outlineLevel="2">
      <c r="A2106" s="8" t="str">
        <f t="shared" ref="A2106" si="8450">IF(SUM(P2106:V2107)&gt;0,"S","N")</f>
        <v>N</v>
      </c>
      <c r="B2106" s="150">
        <v>1064953</v>
      </c>
      <c r="C2106" s="150" t="s">
        <v>2422</v>
      </c>
      <c r="D2106" s="120" t="s">
        <v>1936</v>
      </c>
      <c r="E2106" s="892" t="s">
        <v>2423</v>
      </c>
      <c r="F2106" s="902" t="s">
        <v>52</v>
      </c>
      <c r="G2106" s="528"/>
      <c r="H2106" s="546" t="s">
        <v>37</v>
      </c>
      <c r="I2106" s="711">
        <v>0</v>
      </c>
      <c r="J2106" s="896" t="str">
        <f t="shared" ref="J2106" si="8451">IFERROR((I2107/I2106),"-")</f>
        <v>-</v>
      </c>
      <c r="K2106" s="528"/>
      <c r="L2106" s="546" t="s">
        <v>37</v>
      </c>
      <c r="M2106" s="711">
        <f t="shared" si="8364"/>
        <v>0</v>
      </c>
      <c r="N2106" s="896" t="str">
        <f t="shared" ref="N2106" si="8452">IFERROR((M2107/M2106),"-")</f>
        <v>-</v>
      </c>
      <c r="O2106" s="528"/>
      <c r="P2106" s="547">
        <v>0</v>
      </c>
      <c r="Q2106" s="547">
        <v>0</v>
      </c>
      <c r="R2106" s="547">
        <v>0</v>
      </c>
      <c r="S2106" s="547">
        <v>0</v>
      </c>
      <c r="T2106" s="547">
        <v>0</v>
      </c>
      <c r="U2106" s="547">
        <v>0</v>
      </c>
      <c r="V2106" s="548">
        <v>0</v>
      </c>
      <c r="W2106" s="528"/>
      <c r="X2106" s="711"/>
      <c r="Y2106" s="896" t="str">
        <f>IFERROR((X2107/X2106),"-")</f>
        <v>-</v>
      </c>
      <c r="Z2106" s="528"/>
      <c r="AA2106" s="898">
        <v>0</v>
      </c>
      <c r="AB2106" s="898">
        <v>0</v>
      </c>
      <c r="AC2106" s="903">
        <v>0</v>
      </c>
      <c r="AD2106" s="896" t="str">
        <f t="shared" ref="AD2106" si="8453">IFERROR((AC2106/AB2106),"-")</f>
        <v>-</v>
      </c>
      <c r="AE2106" s="2"/>
      <c r="AF2106" s="884">
        <v>47.33</v>
      </c>
      <c r="AG2106" s="884"/>
      <c r="AH2106" s="884">
        <v>0</v>
      </c>
      <c r="AI2106" s="884"/>
      <c r="AJ2106" s="884"/>
      <c r="AK2106" s="884">
        <f t="shared" ref="AK2106" si="8454">AF2106+AG2106+AH2106+AI2106+AJ2106+AC2106</f>
        <v>47.33</v>
      </c>
      <c r="AL2106" s="884">
        <v>0</v>
      </c>
      <c r="AM2106" s="878" t="str">
        <f t="shared" ref="AM2106" si="8455">IFERROR((AK2106/AL2106),"-")</f>
        <v>-</v>
      </c>
      <c r="AN2106" s="2"/>
      <c r="AO2106" s="884">
        <v>399</v>
      </c>
      <c r="AP2106" s="884">
        <f t="shared" ref="AP2106" si="8456">AO2106-AK2106</f>
        <v>351.67</v>
      </c>
      <c r="AV2106" t="str">
        <f t="shared" si="8253"/>
        <v>Drenagem Superficial</v>
      </c>
      <c r="AW2106" s="4" t="str">
        <f t="shared" si="8244"/>
        <v xml:space="preserve">   Seg. 2.4-Acesso A01 - Drenagem Superficial - Valetas de proteção de aterro (Manual)</v>
      </c>
    </row>
    <row r="2107" spans="1:49" ht="15.6" hidden="1" customHeight="1" outlineLevel="2">
      <c r="A2107" s="8" t="str">
        <f t="shared" ref="A2107" si="8457">A2106</f>
        <v>N</v>
      </c>
      <c r="B2107" s="150"/>
      <c r="C2107" s="150" t="s">
        <v>2422</v>
      </c>
      <c r="D2107" s="120" t="s">
        <v>1936</v>
      </c>
      <c r="E2107" s="893"/>
      <c r="F2107" s="902"/>
      <c r="G2107" s="528"/>
      <c r="H2107" s="549" t="s">
        <v>38</v>
      </c>
      <c r="I2107" s="711">
        <v>0</v>
      </c>
      <c r="J2107" s="897"/>
      <c r="K2107" s="528"/>
      <c r="L2107" s="549" t="s">
        <v>38</v>
      </c>
      <c r="M2107" s="711">
        <f t="shared" si="8364"/>
        <v>0</v>
      </c>
      <c r="N2107" s="897"/>
      <c r="O2107" s="528"/>
      <c r="P2107" s="548">
        <v>0</v>
      </c>
      <c r="Q2107" s="548">
        <v>0</v>
      </c>
      <c r="R2107" s="548">
        <v>0</v>
      </c>
      <c r="S2107" s="548">
        <v>0</v>
      </c>
      <c r="T2107" s="548">
        <v>0</v>
      </c>
      <c r="U2107" s="548">
        <v>0</v>
      </c>
      <c r="V2107" s="548"/>
      <c r="W2107" s="528"/>
      <c r="X2107" s="711"/>
      <c r="Y2107" s="897"/>
      <c r="Z2107" s="528"/>
      <c r="AA2107" s="899"/>
      <c r="AB2107" s="899"/>
      <c r="AC2107" s="904"/>
      <c r="AD2107" s="905"/>
      <c r="AE2107" s="2"/>
      <c r="AF2107" s="885"/>
      <c r="AG2107" s="885"/>
      <c r="AH2107" s="885"/>
      <c r="AI2107" s="885"/>
      <c r="AJ2107" s="885"/>
      <c r="AK2107" s="885"/>
      <c r="AL2107" s="885"/>
      <c r="AM2107" s="879"/>
      <c r="AN2107" s="2"/>
      <c r="AO2107" s="886"/>
      <c r="AP2107" s="886"/>
      <c r="AV2107" t="str">
        <f t="shared" si="8253"/>
        <v>Drenagem Superficial</v>
      </c>
      <c r="AW2107" s="4" t="str">
        <f t="shared" si="8244"/>
        <v xml:space="preserve">   Seg. 2.4-Acesso A01 - Drenagem Superficial - Valetas de proteção de aterro (Manual)</v>
      </c>
    </row>
    <row r="2108" spans="1:49" ht="15.6" hidden="1" customHeight="1" outlineLevel="2">
      <c r="A2108" s="8" t="str">
        <f t="shared" ref="A2108" si="8458">IF(SUM(P2108:V2109)&gt;0,"S","N")</f>
        <v>N</v>
      </c>
      <c r="B2108" s="150">
        <v>1064956</v>
      </c>
      <c r="C2108" s="150" t="s">
        <v>2424</v>
      </c>
      <c r="D2108" s="120" t="s">
        <v>394</v>
      </c>
      <c r="E2108" s="892" t="s">
        <v>2425</v>
      </c>
      <c r="F2108" s="902" t="s">
        <v>52</v>
      </c>
      <c r="G2108" s="528"/>
      <c r="H2108" s="546" t="s">
        <v>37</v>
      </c>
      <c r="I2108" s="711">
        <v>0</v>
      </c>
      <c r="J2108" s="896" t="str">
        <f t="shared" ref="J2108" si="8459">IFERROR((I2109/I2108),"-")</f>
        <v>-</v>
      </c>
      <c r="K2108" s="528"/>
      <c r="L2108" s="546" t="s">
        <v>37</v>
      </c>
      <c r="M2108" s="711">
        <f t="shared" si="8364"/>
        <v>0</v>
      </c>
      <c r="N2108" s="896" t="str">
        <f t="shared" ref="N2108" si="8460">IFERROR((M2109/M2108),"-")</f>
        <v>-</v>
      </c>
      <c r="O2108" s="528"/>
      <c r="P2108" s="547">
        <v>0</v>
      </c>
      <c r="Q2108" s="547">
        <v>0</v>
      </c>
      <c r="R2108" s="547">
        <v>0</v>
      </c>
      <c r="S2108" s="547">
        <v>0</v>
      </c>
      <c r="T2108" s="547">
        <v>0</v>
      </c>
      <c r="U2108" s="547">
        <v>0</v>
      </c>
      <c r="V2108" s="548">
        <v>0</v>
      </c>
      <c r="W2108" s="528"/>
      <c r="X2108" s="711"/>
      <c r="Y2108" s="896" t="str">
        <f>IFERROR((X2109/X2108),"-")</f>
        <v>-</v>
      </c>
      <c r="Z2108" s="528"/>
      <c r="AA2108" s="898">
        <v>0</v>
      </c>
      <c r="AB2108" s="898">
        <v>0</v>
      </c>
      <c r="AC2108" s="903">
        <v>0</v>
      </c>
      <c r="AD2108" s="896" t="str">
        <f t="shared" ref="AD2108" si="8461">IFERROR((AC2108/AB2108),"-")</f>
        <v>-</v>
      </c>
      <c r="AE2108" s="2"/>
      <c r="AF2108" s="884">
        <v>0</v>
      </c>
      <c r="AG2108" s="884"/>
      <c r="AH2108" s="884">
        <v>0</v>
      </c>
      <c r="AI2108" s="884"/>
      <c r="AJ2108" s="884"/>
      <c r="AK2108" s="884">
        <f t="shared" ref="AK2108" si="8462">AF2108+AG2108+AH2108+AI2108+AJ2108+AC2108</f>
        <v>0</v>
      </c>
      <c r="AL2108" s="884">
        <v>0</v>
      </c>
      <c r="AM2108" s="878" t="str">
        <f t="shared" ref="AM2108" si="8463">IFERROR((AK2108/AL2108),"-")</f>
        <v>-</v>
      </c>
      <c r="AN2108" s="2"/>
      <c r="AO2108" s="884">
        <v>245</v>
      </c>
      <c r="AP2108" s="884">
        <f t="shared" ref="AP2108" si="8464">AO2108-AK2108</f>
        <v>245</v>
      </c>
      <c r="AV2108" t="str">
        <f t="shared" si="8253"/>
        <v>Drenagem Superficial</v>
      </c>
      <c r="AW2108" s="4" t="str">
        <f t="shared" si="8244"/>
        <v xml:space="preserve">   Seg. 2.4-Acesso A06 - Drenagem Superficial - Valetas de proteção de aterro (Manual)</v>
      </c>
    </row>
    <row r="2109" spans="1:49" ht="15.6" hidden="1" customHeight="1" outlineLevel="2">
      <c r="A2109" s="8" t="str">
        <f t="shared" ref="A2109" si="8465">A2108</f>
        <v>N</v>
      </c>
      <c r="B2109" s="150"/>
      <c r="C2109" s="150" t="s">
        <v>2424</v>
      </c>
      <c r="D2109" s="120" t="s">
        <v>394</v>
      </c>
      <c r="E2109" s="893"/>
      <c r="F2109" s="902"/>
      <c r="G2109" s="528"/>
      <c r="H2109" s="549" t="s">
        <v>38</v>
      </c>
      <c r="I2109" s="711">
        <v>0</v>
      </c>
      <c r="J2109" s="897"/>
      <c r="K2109" s="528"/>
      <c r="L2109" s="549" t="s">
        <v>38</v>
      </c>
      <c r="M2109" s="711">
        <f t="shared" si="8364"/>
        <v>0</v>
      </c>
      <c r="N2109" s="897"/>
      <c r="O2109" s="528"/>
      <c r="P2109" s="548">
        <v>0</v>
      </c>
      <c r="Q2109" s="548">
        <v>0</v>
      </c>
      <c r="R2109" s="548">
        <v>0</v>
      </c>
      <c r="S2109" s="548">
        <v>0</v>
      </c>
      <c r="T2109" s="548">
        <v>0</v>
      </c>
      <c r="U2109" s="548">
        <v>0</v>
      </c>
      <c r="V2109" s="548"/>
      <c r="W2109" s="528"/>
      <c r="X2109" s="711"/>
      <c r="Y2109" s="897"/>
      <c r="Z2109" s="528"/>
      <c r="AA2109" s="899"/>
      <c r="AB2109" s="899"/>
      <c r="AC2109" s="904"/>
      <c r="AD2109" s="905"/>
      <c r="AE2109" s="2"/>
      <c r="AF2109" s="885"/>
      <c r="AG2109" s="885"/>
      <c r="AH2109" s="885"/>
      <c r="AI2109" s="885"/>
      <c r="AJ2109" s="885"/>
      <c r="AK2109" s="885"/>
      <c r="AL2109" s="885"/>
      <c r="AM2109" s="879"/>
      <c r="AN2109" s="2"/>
      <c r="AO2109" s="886"/>
      <c r="AP2109" s="886"/>
      <c r="AV2109" t="str">
        <f t="shared" si="8253"/>
        <v>Drenagem Superficial</v>
      </c>
      <c r="AW2109" s="4" t="str">
        <f t="shared" si="8244"/>
        <v xml:space="preserve">   Seg. 2.4-Acesso A06 - Drenagem Superficial - Valetas de proteção de aterro (Manual)</v>
      </c>
    </row>
    <row r="2110" spans="1:49" ht="15.6" hidden="1" customHeight="1" outlineLevel="2">
      <c r="A2110" s="8" t="str">
        <f t="shared" ref="A2110" si="8466">IF(SUM(P2110:V2111)&gt;0,"S","N")</f>
        <v>N</v>
      </c>
      <c r="B2110" s="150">
        <v>1066132</v>
      </c>
      <c r="C2110" s="150" t="s">
        <v>2426</v>
      </c>
      <c r="D2110" s="120" t="s">
        <v>382</v>
      </c>
      <c r="E2110" s="892" t="s">
        <v>2427</v>
      </c>
      <c r="F2110" s="902" t="s">
        <v>52</v>
      </c>
      <c r="G2110" s="528"/>
      <c r="H2110" s="546" t="s">
        <v>37</v>
      </c>
      <c r="I2110" s="711">
        <v>0</v>
      </c>
      <c r="J2110" s="896" t="str">
        <f t="shared" ref="J2110" si="8467">IFERROR((I2111/I2110),"-")</f>
        <v>-</v>
      </c>
      <c r="K2110" s="528"/>
      <c r="L2110" s="546" t="s">
        <v>37</v>
      </c>
      <c r="M2110" s="711">
        <f t="shared" si="8364"/>
        <v>0</v>
      </c>
      <c r="N2110" s="896" t="str">
        <f t="shared" ref="N2110" si="8468">IFERROR((M2111/M2110),"-")</f>
        <v>-</v>
      </c>
      <c r="O2110" s="528"/>
      <c r="P2110" s="547">
        <v>0</v>
      </c>
      <c r="Q2110" s="547">
        <v>0</v>
      </c>
      <c r="R2110" s="547">
        <v>0</v>
      </c>
      <c r="S2110" s="547">
        <v>0</v>
      </c>
      <c r="T2110" s="547">
        <v>0</v>
      </c>
      <c r="U2110" s="547">
        <v>0</v>
      </c>
      <c r="V2110" s="548">
        <v>0</v>
      </c>
      <c r="W2110" s="528"/>
      <c r="X2110" s="711"/>
      <c r="Y2110" s="896" t="str">
        <f t="shared" ref="Y2110" si="8469">IFERROR((X2111/X2110),"-")</f>
        <v>-</v>
      </c>
      <c r="Z2110" s="528"/>
      <c r="AA2110" s="898">
        <v>0</v>
      </c>
      <c r="AB2110" s="898">
        <v>0</v>
      </c>
      <c r="AC2110" s="903">
        <v>0</v>
      </c>
      <c r="AD2110" s="896" t="str">
        <f t="shared" ref="AD2110" si="8470">IFERROR((AC2110/AB2110),"-")</f>
        <v>-</v>
      </c>
      <c r="AE2110" s="2"/>
      <c r="AF2110" s="884">
        <v>0</v>
      </c>
      <c r="AG2110" s="884"/>
      <c r="AH2110" s="884">
        <v>0</v>
      </c>
      <c r="AI2110" s="884"/>
      <c r="AJ2110" s="884"/>
      <c r="AK2110" s="884">
        <f t="shared" ref="AK2110" si="8471">AF2110+AG2110+AH2110+AI2110+AJ2110+AC2110</f>
        <v>0</v>
      </c>
      <c r="AL2110" s="884">
        <v>0</v>
      </c>
      <c r="AM2110" s="878" t="str">
        <f t="shared" ref="AM2110" si="8472">IFERROR((AK2110/AL2110),"-")</f>
        <v>-</v>
      </c>
      <c r="AN2110" s="2"/>
      <c r="AO2110" s="884">
        <v>249</v>
      </c>
      <c r="AP2110" s="884">
        <f t="shared" ref="AP2110" si="8473">AO2110-AK2110</f>
        <v>249</v>
      </c>
      <c r="AV2110" t="str">
        <f t="shared" si="8253"/>
        <v>Drenagem Superficial</v>
      </c>
      <c r="AW2110" s="4" t="str">
        <f t="shared" si="8244"/>
        <v xml:space="preserve">   Seg. 2.4-C05 - Drenagem Superficial - Valetas de proteção de corte (Manual)</v>
      </c>
    </row>
    <row r="2111" spans="1:49" ht="15.6" hidden="1" customHeight="1" outlineLevel="2">
      <c r="A2111" s="8" t="str">
        <f t="shared" ref="A2111" si="8474">A2110</f>
        <v>N</v>
      </c>
      <c r="B2111" s="150"/>
      <c r="C2111" s="150" t="s">
        <v>2426</v>
      </c>
      <c r="D2111" s="120" t="s">
        <v>382</v>
      </c>
      <c r="E2111" s="893"/>
      <c r="F2111" s="902"/>
      <c r="G2111" s="528"/>
      <c r="H2111" s="549" t="s">
        <v>38</v>
      </c>
      <c r="I2111" s="711">
        <v>0</v>
      </c>
      <c r="J2111" s="897"/>
      <c r="K2111" s="528"/>
      <c r="L2111" s="549" t="s">
        <v>38</v>
      </c>
      <c r="M2111" s="711">
        <f t="shared" si="8364"/>
        <v>0</v>
      </c>
      <c r="N2111" s="897"/>
      <c r="O2111" s="528"/>
      <c r="P2111" s="548">
        <v>0</v>
      </c>
      <c r="Q2111" s="548">
        <v>0</v>
      </c>
      <c r="R2111" s="548">
        <v>0</v>
      </c>
      <c r="S2111" s="548">
        <v>0</v>
      </c>
      <c r="T2111" s="548">
        <v>0</v>
      </c>
      <c r="U2111" s="548">
        <v>0</v>
      </c>
      <c r="V2111" s="548"/>
      <c r="W2111" s="528"/>
      <c r="X2111" s="711"/>
      <c r="Y2111" s="897"/>
      <c r="Z2111" s="528"/>
      <c r="AA2111" s="899"/>
      <c r="AB2111" s="899"/>
      <c r="AC2111" s="904"/>
      <c r="AD2111" s="905"/>
      <c r="AE2111" s="2"/>
      <c r="AF2111" s="885"/>
      <c r="AG2111" s="885"/>
      <c r="AH2111" s="885"/>
      <c r="AI2111" s="885"/>
      <c r="AJ2111" s="885"/>
      <c r="AK2111" s="885"/>
      <c r="AL2111" s="885"/>
      <c r="AM2111" s="879"/>
      <c r="AN2111" s="2"/>
      <c r="AO2111" s="886"/>
      <c r="AP2111" s="886"/>
      <c r="AV2111" t="str">
        <f t="shared" si="8253"/>
        <v>Drenagem Superficial</v>
      </c>
      <c r="AW2111" s="4" t="str">
        <f t="shared" si="8244"/>
        <v xml:space="preserve">   Seg. 2.4-C05 - Drenagem Superficial - Valetas de proteção de corte (Manual)</v>
      </c>
    </row>
    <row r="2112" spans="1:49" ht="15.6" hidden="1" customHeight="1" outlineLevel="2">
      <c r="A2112" s="8" t="str">
        <f t="shared" ref="A2112" si="8475">IF(SUM(P2112:V2113)&gt;0,"S","N")</f>
        <v>N</v>
      </c>
      <c r="B2112" s="150">
        <v>1069657</v>
      </c>
      <c r="C2112" s="150" t="s">
        <v>2428</v>
      </c>
      <c r="D2112" s="120" t="s">
        <v>2429</v>
      </c>
      <c r="E2112" s="892" t="s">
        <v>2430</v>
      </c>
      <c r="F2112" s="902" t="s">
        <v>52</v>
      </c>
      <c r="G2112" s="528"/>
      <c r="H2112" s="546" t="s">
        <v>37</v>
      </c>
      <c r="I2112" s="711">
        <v>0</v>
      </c>
      <c r="J2112" s="896" t="str">
        <f t="shared" ref="J2112" si="8476">IFERROR((I2113/I2112),"-")</f>
        <v>-</v>
      </c>
      <c r="K2112" s="528"/>
      <c r="L2112" s="546" t="s">
        <v>37</v>
      </c>
      <c r="M2112" s="711">
        <f t="shared" si="8364"/>
        <v>0</v>
      </c>
      <c r="N2112" s="896" t="str">
        <f t="shared" ref="N2112" si="8477">IFERROR((M2113/M2112),"-")</f>
        <v>-</v>
      </c>
      <c r="O2112" s="528"/>
      <c r="P2112" s="547">
        <v>0</v>
      </c>
      <c r="Q2112" s="547">
        <v>0</v>
      </c>
      <c r="R2112" s="547">
        <v>0</v>
      </c>
      <c r="S2112" s="547">
        <v>0</v>
      </c>
      <c r="T2112" s="547">
        <v>0</v>
      </c>
      <c r="U2112" s="547">
        <v>0</v>
      </c>
      <c r="V2112" s="548">
        <v>0</v>
      </c>
      <c r="W2112" s="528"/>
      <c r="X2112" s="711"/>
      <c r="Y2112" s="896" t="str">
        <f t="shared" ref="Y2112" si="8478">IFERROR((X2113/X2112),"-")</f>
        <v>-</v>
      </c>
      <c r="Z2112" s="528"/>
      <c r="AA2112" s="898">
        <v>0</v>
      </c>
      <c r="AB2112" s="898">
        <v>0</v>
      </c>
      <c r="AC2112" s="903">
        <v>0</v>
      </c>
      <c r="AD2112" s="896" t="str">
        <f t="shared" ref="AD2112" si="8479">IFERROR((AC2112/AB2112),"-")</f>
        <v>-</v>
      </c>
      <c r="AE2112" s="2"/>
      <c r="AF2112" s="884">
        <v>0</v>
      </c>
      <c r="AG2112" s="884"/>
      <c r="AH2112" s="884">
        <v>0</v>
      </c>
      <c r="AI2112" s="884"/>
      <c r="AJ2112" s="884"/>
      <c r="AK2112" s="884">
        <f t="shared" ref="AK2112" si="8480">AF2112+AG2112+AH2112+AI2112+AJ2112+AC2112</f>
        <v>0</v>
      </c>
      <c r="AL2112" s="884">
        <v>0</v>
      </c>
      <c r="AM2112" s="878" t="str">
        <f t="shared" ref="AM2112" si="8481">IFERROR((AK2112/AL2112),"-")</f>
        <v>-</v>
      </c>
      <c r="AN2112" s="2"/>
      <c r="AO2112" s="884">
        <v>543</v>
      </c>
      <c r="AP2112" s="884">
        <f t="shared" ref="AP2112" si="8482">AO2112-AK2112</f>
        <v>543</v>
      </c>
      <c r="AV2112" t="str">
        <f t="shared" si="8253"/>
        <v>Drenagem Superficial</v>
      </c>
      <c r="AW2112" s="4" t="str">
        <f t="shared" si="8244"/>
        <v xml:space="preserve">   Seg. 2.4-C04 - Drenagem Superficial - Valetas de proteção de corte (Extrusada)</v>
      </c>
    </row>
    <row r="2113" spans="1:49" ht="15.6" hidden="1" customHeight="1" outlineLevel="2">
      <c r="A2113" s="8" t="str">
        <f t="shared" ref="A2113" si="8483">A2112</f>
        <v>N</v>
      </c>
      <c r="B2113" s="150"/>
      <c r="C2113" s="150" t="s">
        <v>2428</v>
      </c>
      <c r="D2113" s="120" t="s">
        <v>2429</v>
      </c>
      <c r="E2113" s="893"/>
      <c r="F2113" s="902"/>
      <c r="G2113" s="528"/>
      <c r="H2113" s="549" t="s">
        <v>38</v>
      </c>
      <c r="I2113" s="711">
        <v>0</v>
      </c>
      <c r="J2113" s="897"/>
      <c r="K2113" s="528"/>
      <c r="L2113" s="549" t="s">
        <v>38</v>
      </c>
      <c r="M2113" s="711">
        <f t="shared" si="8364"/>
        <v>0</v>
      </c>
      <c r="N2113" s="897"/>
      <c r="O2113" s="528"/>
      <c r="P2113" s="548">
        <v>0</v>
      </c>
      <c r="Q2113" s="548">
        <v>0</v>
      </c>
      <c r="R2113" s="548">
        <v>0</v>
      </c>
      <c r="S2113" s="548">
        <v>0</v>
      </c>
      <c r="T2113" s="548">
        <v>0</v>
      </c>
      <c r="U2113" s="548">
        <v>0</v>
      </c>
      <c r="V2113" s="548"/>
      <c r="W2113" s="528"/>
      <c r="X2113" s="711"/>
      <c r="Y2113" s="897"/>
      <c r="Z2113" s="528"/>
      <c r="AA2113" s="899"/>
      <c r="AB2113" s="899"/>
      <c r="AC2113" s="904"/>
      <c r="AD2113" s="905"/>
      <c r="AE2113" s="2"/>
      <c r="AF2113" s="885"/>
      <c r="AG2113" s="885"/>
      <c r="AH2113" s="885"/>
      <c r="AI2113" s="885"/>
      <c r="AJ2113" s="885"/>
      <c r="AK2113" s="885"/>
      <c r="AL2113" s="885"/>
      <c r="AM2113" s="879"/>
      <c r="AN2113" s="2"/>
      <c r="AO2113" s="886"/>
      <c r="AP2113" s="886"/>
      <c r="AV2113" t="str">
        <f t="shared" si="8253"/>
        <v>Drenagem Superficial</v>
      </c>
      <c r="AW2113" s="4" t="str">
        <f t="shared" si="8244"/>
        <v xml:space="preserve">   Seg. 2.4-C04 - Drenagem Superficial - Valetas de proteção de corte (Extrusada)</v>
      </c>
    </row>
    <row r="2114" spans="1:49" ht="15.6" hidden="1" customHeight="1" outlineLevel="2">
      <c r="A2114" s="8" t="str">
        <f t="shared" ref="A2114" si="8484">IF(SUM(P2114:V2115)&gt;0,"S","N")</f>
        <v>N</v>
      </c>
      <c r="B2114" s="150">
        <v>1069658</v>
      </c>
      <c r="C2114" s="150" t="s">
        <v>2431</v>
      </c>
      <c r="D2114" s="120" t="s">
        <v>2432</v>
      </c>
      <c r="E2114" s="892" t="s">
        <v>2433</v>
      </c>
      <c r="F2114" s="902" t="s">
        <v>52</v>
      </c>
      <c r="G2114" s="528"/>
      <c r="H2114" s="546" t="s">
        <v>37</v>
      </c>
      <c r="I2114" s="711">
        <v>0</v>
      </c>
      <c r="J2114" s="896" t="str">
        <f t="shared" ref="J2114" si="8485">IFERROR((I2115/I2114),"-")</f>
        <v>-</v>
      </c>
      <c r="K2114" s="528"/>
      <c r="L2114" s="546" t="s">
        <v>37</v>
      </c>
      <c r="M2114" s="711">
        <f t="shared" si="8364"/>
        <v>0</v>
      </c>
      <c r="N2114" s="896" t="str">
        <f t="shared" ref="N2114" si="8486">IFERROR((M2115/M2114),"-")</f>
        <v>-</v>
      </c>
      <c r="O2114" s="528"/>
      <c r="P2114" s="547">
        <v>0</v>
      </c>
      <c r="Q2114" s="547">
        <v>0</v>
      </c>
      <c r="R2114" s="547">
        <v>0</v>
      </c>
      <c r="S2114" s="547">
        <v>0</v>
      </c>
      <c r="T2114" s="547">
        <v>0</v>
      </c>
      <c r="U2114" s="547">
        <v>0</v>
      </c>
      <c r="V2114" s="548">
        <v>0</v>
      </c>
      <c r="W2114" s="528"/>
      <c r="X2114" s="711"/>
      <c r="Y2114" s="896" t="str">
        <f>IFERROR((X2115/X2114),"-")</f>
        <v>-</v>
      </c>
      <c r="Z2114" s="528"/>
      <c r="AA2114" s="898">
        <v>0</v>
      </c>
      <c r="AB2114" s="898">
        <v>0</v>
      </c>
      <c r="AC2114" s="903">
        <v>0</v>
      </c>
      <c r="AD2114" s="896" t="str">
        <f t="shared" ref="AD2114" si="8487">IFERROR((AC2114/AB2114),"-")</f>
        <v>-</v>
      </c>
      <c r="AE2114" s="2"/>
      <c r="AF2114" s="884">
        <v>0</v>
      </c>
      <c r="AG2114" s="884"/>
      <c r="AH2114" s="884">
        <v>0</v>
      </c>
      <c r="AI2114" s="884"/>
      <c r="AJ2114" s="884"/>
      <c r="AK2114" s="884">
        <f t="shared" ref="AK2114" si="8488">AF2114+AG2114+AH2114+AI2114+AJ2114+AC2114</f>
        <v>0</v>
      </c>
      <c r="AL2114" s="884">
        <v>0</v>
      </c>
      <c r="AM2114" s="878" t="str">
        <f t="shared" ref="AM2114" si="8489">IFERROR((AK2114/AL2114),"-")</f>
        <v>-</v>
      </c>
      <c r="AN2114" s="2"/>
      <c r="AO2114" s="884">
        <v>831</v>
      </c>
      <c r="AP2114" s="884">
        <f t="shared" ref="AP2114" si="8490">AO2114-AK2114</f>
        <v>831</v>
      </c>
      <c r="AV2114" t="str">
        <f t="shared" si="8253"/>
        <v>Drenagem Superficial</v>
      </c>
      <c r="AW2114" s="4" t="str">
        <f t="shared" si="8244"/>
        <v xml:space="preserve">   Seg. 2.4-C05 - Drenagem Superficial - Valetas de proteção de corte (Extrusada)</v>
      </c>
    </row>
    <row r="2115" spans="1:49" ht="15.6" hidden="1" customHeight="1" outlineLevel="2">
      <c r="A2115" s="8" t="str">
        <f t="shared" ref="A2115" si="8491">A2114</f>
        <v>N</v>
      </c>
      <c r="B2115" s="150"/>
      <c r="C2115" s="150" t="s">
        <v>2431</v>
      </c>
      <c r="D2115" s="120" t="s">
        <v>2432</v>
      </c>
      <c r="E2115" s="893"/>
      <c r="F2115" s="902"/>
      <c r="G2115" s="528"/>
      <c r="H2115" s="549" t="s">
        <v>38</v>
      </c>
      <c r="I2115" s="711">
        <v>0</v>
      </c>
      <c r="J2115" s="897"/>
      <c r="K2115" s="528"/>
      <c r="L2115" s="549" t="s">
        <v>38</v>
      </c>
      <c r="M2115" s="711">
        <f t="shared" si="8364"/>
        <v>0</v>
      </c>
      <c r="N2115" s="897"/>
      <c r="O2115" s="528"/>
      <c r="P2115" s="548">
        <v>0</v>
      </c>
      <c r="Q2115" s="548">
        <v>0</v>
      </c>
      <c r="R2115" s="548">
        <v>0</v>
      </c>
      <c r="S2115" s="548">
        <v>0</v>
      </c>
      <c r="T2115" s="548">
        <v>0</v>
      </c>
      <c r="U2115" s="548">
        <v>0</v>
      </c>
      <c r="V2115" s="548"/>
      <c r="W2115" s="528"/>
      <c r="X2115" s="711"/>
      <c r="Y2115" s="897"/>
      <c r="Z2115" s="528"/>
      <c r="AA2115" s="899"/>
      <c r="AB2115" s="899"/>
      <c r="AC2115" s="904"/>
      <c r="AD2115" s="905"/>
      <c r="AE2115" s="2"/>
      <c r="AF2115" s="885"/>
      <c r="AG2115" s="885"/>
      <c r="AH2115" s="885"/>
      <c r="AI2115" s="885"/>
      <c r="AJ2115" s="885"/>
      <c r="AK2115" s="885"/>
      <c r="AL2115" s="885"/>
      <c r="AM2115" s="879"/>
      <c r="AN2115" s="2"/>
      <c r="AO2115" s="886"/>
      <c r="AP2115" s="886"/>
      <c r="AV2115" t="str">
        <f t="shared" si="8253"/>
        <v>Drenagem Superficial</v>
      </c>
      <c r="AW2115" s="4" t="str">
        <f t="shared" si="8244"/>
        <v xml:space="preserve">   Seg. 2.4-C05 - Drenagem Superficial - Valetas de proteção de corte (Extrusada)</v>
      </c>
    </row>
    <row r="2116" spans="1:49" ht="15.6" hidden="1" customHeight="1" outlineLevel="2">
      <c r="A2116" s="8" t="str">
        <f t="shared" ref="A2116" si="8492">IF(SUM(P2116:V2117)&gt;0,"S","N")</f>
        <v>N</v>
      </c>
      <c r="B2116" s="150">
        <v>1069662</v>
      </c>
      <c r="C2116" s="150" t="s">
        <v>2434</v>
      </c>
      <c r="D2116" s="120" t="s">
        <v>2435</v>
      </c>
      <c r="E2116" s="892" t="s">
        <v>2436</v>
      </c>
      <c r="F2116" s="902" t="s">
        <v>52</v>
      </c>
      <c r="G2116" s="528"/>
      <c r="H2116" s="546" t="s">
        <v>37</v>
      </c>
      <c r="I2116" s="711">
        <v>0</v>
      </c>
      <c r="J2116" s="896" t="str">
        <f t="shared" ref="J2116" si="8493">IFERROR((I2117/I2116),"-")</f>
        <v>-</v>
      </c>
      <c r="K2116" s="528"/>
      <c r="L2116" s="546" t="s">
        <v>37</v>
      </c>
      <c r="M2116" s="711">
        <f t="shared" si="8364"/>
        <v>0</v>
      </c>
      <c r="N2116" s="896" t="str">
        <f t="shared" ref="N2116" si="8494">IFERROR((M2117/M2116),"-")</f>
        <v>-</v>
      </c>
      <c r="O2116" s="528"/>
      <c r="P2116" s="547">
        <v>0</v>
      </c>
      <c r="Q2116" s="547">
        <v>0</v>
      </c>
      <c r="R2116" s="547">
        <v>0</v>
      </c>
      <c r="S2116" s="547">
        <v>0</v>
      </c>
      <c r="T2116" s="547">
        <v>0</v>
      </c>
      <c r="U2116" s="547">
        <v>0</v>
      </c>
      <c r="V2116" s="548">
        <v>0</v>
      </c>
      <c r="W2116" s="528"/>
      <c r="X2116" s="711"/>
      <c r="Y2116" s="896" t="str">
        <f t="shared" ref="Y2116" si="8495">IFERROR((X2117/X2116),"-")</f>
        <v>-</v>
      </c>
      <c r="Z2116" s="528"/>
      <c r="AA2116" s="898">
        <v>0</v>
      </c>
      <c r="AB2116" s="898">
        <v>0</v>
      </c>
      <c r="AC2116" s="903">
        <v>0</v>
      </c>
      <c r="AD2116" s="896" t="str">
        <f t="shared" ref="AD2116" si="8496">IFERROR((AC2116/AB2116),"-")</f>
        <v>-</v>
      </c>
      <c r="AE2116" s="2"/>
      <c r="AF2116" s="884">
        <v>0</v>
      </c>
      <c r="AG2116" s="884"/>
      <c r="AH2116" s="884">
        <v>0</v>
      </c>
      <c r="AI2116" s="884"/>
      <c r="AJ2116" s="884"/>
      <c r="AK2116" s="884">
        <f t="shared" ref="AK2116" si="8497">AF2116+AG2116+AH2116+AI2116+AJ2116+AC2116</f>
        <v>0</v>
      </c>
      <c r="AL2116" s="884">
        <v>0</v>
      </c>
      <c r="AM2116" s="878" t="str">
        <f t="shared" ref="AM2116" si="8498">IFERROR((AK2116/AL2116),"-")</f>
        <v>-</v>
      </c>
      <c r="AN2116" s="2"/>
      <c r="AO2116" s="884">
        <v>415</v>
      </c>
      <c r="AP2116" s="884">
        <f t="shared" ref="AP2116" si="8499">AO2116-AK2116</f>
        <v>415</v>
      </c>
      <c r="AV2116" t="str">
        <f t="shared" si="8253"/>
        <v>Drenagem Superficial</v>
      </c>
      <c r="AW2116" s="4" t="str">
        <f t="shared" si="8244"/>
        <v xml:space="preserve">   Seg. 2.4-C06 - Drenagem Superficial - Valetas de proteção de corte (Extrusada)</v>
      </c>
    </row>
    <row r="2117" spans="1:49" ht="15.6" hidden="1" customHeight="1" outlineLevel="2">
      <c r="A2117" s="8" t="str">
        <f t="shared" ref="A2117" si="8500">A2116</f>
        <v>N</v>
      </c>
      <c r="B2117" s="150"/>
      <c r="C2117" s="150" t="s">
        <v>2434</v>
      </c>
      <c r="D2117" s="120" t="s">
        <v>2435</v>
      </c>
      <c r="E2117" s="893"/>
      <c r="F2117" s="902"/>
      <c r="G2117" s="528"/>
      <c r="H2117" s="549" t="s">
        <v>38</v>
      </c>
      <c r="I2117" s="711">
        <v>0</v>
      </c>
      <c r="J2117" s="897"/>
      <c r="K2117" s="528"/>
      <c r="L2117" s="549" t="s">
        <v>38</v>
      </c>
      <c r="M2117" s="711">
        <f t="shared" si="8364"/>
        <v>0</v>
      </c>
      <c r="N2117" s="897"/>
      <c r="O2117" s="528"/>
      <c r="P2117" s="548">
        <v>0</v>
      </c>
      <c r="Q2117" s="548">
        <v>0</v>
      </c>
      <c r="R2117" s="548">
        <v>0</v>
      </c>
      <c r="S2117" s="548">
        <v>0</v>
      </c>
      <c r="T2117" s="548">
        <v>0</v>
      </c>
      <c r="U2117" s="548">
        <v>0</v>
      </c>
      <c r="V2117" s="548"/>
      <c r="W2117" s="528"/>
      <c r="X2117" s="711"/>
      <c r="Y2117" s="897"/>
      <c r="Z2117" s="528"/>
      <c r="AA2117" s="899"/>
      <c r="AB2117" s="899"/>
      <c r="AC2117" s="904"/>
      <c r="AD2117" s="905"/>
      <c r="AE2117" s="2"/>
      <c r="AF2117" s="885"/>
      <c r="AG2117" s="885"/>
      <c r="AH2117" s="885"/>
      <c r="AI2117" s="885"/>
      <c r="AJ2117" s="885"/>
      <c r="AK2117" s="885"/>
      <c r="AL2117" s="885"/>
      <c r="AM2117" s="879"/>
      <c r="AN2117" s="2"/>
      <c r="AO2117" s="886"/>
      <c r="AP2117" s="886"/>
      <c r="AV2117" t="str">
        <f t="shared" si="8253"/>
        <v>Drenagem Superficial</v>
      </c>
      <c r="AW2117" s="4" t="str">
        <f t="shared" si="8244"/>
        <v xml:space="preserve">   Seg. 2.4-C06 - Drenagem Superficial - Valetas de proteção de corte (Extrusada)</v>
      </c>
    </row>
    <row r="2118" spans="1:49" ht="15.6" hidden="1" customHeight="1" outlineLevel="2">
      <c r="A2118" s="8" t="str">
        <f t="shared" ref="A2118" si="8501">IF(SUM(P2118:V2119)&gt;0,"S","N")</f>
        <v>N</v>
      </c>
      <c r="B2118" s="150">
        <v>1069663</v>
      </c>
      <c r="C2118" s="150" t="s">
        <v>2437</v>
      </c>
      <c r="D2118" s="120" t="s">
        <v>2438</v>
      </c>
      <c r="E2118" s="892" t="s">
        <v>2439</v>
      </c>
      <c r="F2118" s="902" t="s">
        <v>52</v>
      </c>
      <c r="G2118" s="528"/>
      <c r="H2118" s="546" t="s">
        <v>37</v>
      </c>
      <c r="I2118" s="711">
        <v>0</v>
      </c>
      <c r="J2118" s="896" t="str">
        <f t="shared" ref="J2118" si="8502">IFERROR((I2119/I2118),"-")</f>
        <v>-</v>
      </c>
      <c r="K2118" s="528"/>
      <c r="L2118" s="546" t="s">
        <v>37</v>
      </c>
      <c r="M2118" s="711">
        <f t="shared" si="8364"/>
        <v>0</v>
      </c>
      <c r="N2118" s="896" t="str">
        <f t="shared" ref="N2118" si="8503">IFERROR((M2119/M2118),"-")</f>
        <v>-</v>
      </c>
      <c r="O2118" s="528"/>
      <c r="P2118" s="547">
        <v>0</v>
      </c>
      <c r="Q2118" s="547">
        <v>0</v>
      </c>
      <c r="R2118" s="547">
        <v>0</v>
      </c>
      <c r="S2118" s="547">
        <v>0</v>
      </c>
      <c r="T2118" s="547">
        <v>0</v>
      </c>
      <c r="U2118" s="547">
        <v>0</v>
      </c>
      <c r="V2118" s="548">
        <v>0</v>
      </c>
      <c r="W2118" s="528"/>
      <c r="X2118" s="711"/>
      <c r="Y2118" s="896" t="str">
        <f>IFERROR((X2119/X2118),"-")</f>
        <v>-</v>
      </c>
      <c r="Z2118" s="528"/>
      <c r="AA2118" s="898">
        <v>0</v>
      </c>
      <c r="AB2118" s="898">
        <v>0</v>
      </c>
      <c r="AC2118" s="903">
        <v>0</v>
      </c>
      <c r="AD2118" s="896" t="str">
        <f t="shared" ref="AD2118" si="8504">IFERROR((AC2118/AB2118),"-")</f>
        <v>-</v>
      </c>
      <c r="AE2118" s="2"/>
      <c r="AF2118" s="884">
        <v>0</v>
      </c>
      <c r="AG2118" s="884"/>
      <c r="AH2118" s="884">
        <v>0</v>
      </c>
      <c r="AI2118" s="884"/>
      <c r="AJ2118" s="884"/>
      <c r="AK2118" s="884">
        <f t="shared" ref="AK2118" si="8505">AF2118+AG2118+AH2118+AI2118+AJ2118+AC2118</f>
        <v>0</v>
      </c>
      <c r="AL2118" s="884">
        <v>0</v>
      </c>
      <c r="AM2118" s="878" t="str">
        <f t="shared" ref="AM2118" si="8506">IFERROR((AK2118/AL2118),"-")</f>
        <v>-</v>
      </c>
      <c r="AN2118" s="2"/>
      <c r="AO2118" s="884">
        <v>494</v>
      </c>
      <c r="AP2118" s="884">
        <f t="shared" ref="AP2118" si="8507">AO2118-AK2118</f>
        <v>494</v>
      </c>
      <c r="AV2118" t="str">
        <f t="shared" si="8253"/>
        <v>Drenagem Superficial</v>
      </c>
      <c r="AW2118" s="4" t="str">
        <f t="shared" si="8244"/>
        <v xml:space="preserve">   Seg. 2.4-C08 - Drenagem Superficial - Valetas de proteção de corte (Extrusada)</v>
      </c>
    </row>
    <row r="2119" spans="1:49" ht="15.6" hidden="1" customHeight="1" outlineLevel="2">
      <c r="A2119" s="8" t="str">
        <f t="shared" ref="A2119" si="8508">A2118</f>
        <v>N</v>
      </c>
      <c r="B2119" s="150"/>
      <c r="C2119" s="150" t="s">
        <v>2437</v>
      </c>
      <c r="D2119" s="120" t="s">
        <v>2438</v>
      </c>
      <c r="E2119" s="893"/>
      <c r="F2119" s="902"/>
      <c r="G2119" s="528"/>
      <c r="H2119" s="549" t="s">
        <v>38</v>
      </c>
      <c r="I2119" s="711">
        <v>0</v>
      </c>
      <c r="J2119" s="897"/>
      <c r="K2119" s="528"/>
      <c r="L2119" s="549" t="s">
        <v>38</v>
      </c>
      <c r="M2119" s="711">
        <f t="shared" si="8364"/>
        <v>0</v>
      </c>
      <c r="N2119" s="897"/>
      <c r="O2119" s="528"/>
      <c r="P2119" s="548">
        <v>0</v>
      </c>
      <c r="Q2119" s="548">
        <v>0</v>
      </c>
      <c r="R2119" s="548">
        <v>0</v>
      </c>
      <c r="S2119" s="548">
        <v>0</v>
      </c>
      <c r="T2119" s="548">
        <v>0</v>
      </c>
      <c r="U2119" s="548">
        <v>0</v>
      </c>
      <c r="V2119" s="548"/>
      <c r="W2119" s="528"/>
      <c r="X2119" s="711"/>
      <c r="Y2119" s="897"/>
      <c r="Z2119" s="528"/>
      <c r="AA2119" s="899"/>
      <c r="AB2119" s="899"/>
      <c r="AC2119" s="904"/>
      <c r="AD2119" s="905"/>
      <c r="AE2119" s="2"/>
      <c r="AF2119" s="885"/>
      <c r="AG2119" s="885"/>
      <c r="AH2119" s="885"/>
      <c r="AI2119" s="885"/>
      <c r="AJ2119" s="885"/>
      <c r="AK2119" s="885"/>
      <c r="AL2119" s="885"/>
      <c r="AM2119" s="879"/>
      <c r="AN2119" s="2"/>
      <c r="AO2119" s="886"/>
      <c r="AP2119" s="886"/>
      <c r="AV2119" t="str">
        <f t="shared" si="8253"/>
        <v>Drenagem Superficial</v>
      </c>
      <c r="AW2119" s="4" t="str">
        <f t="shared" si="8244"/>
        <v xml:space="preserve">   Seg. 2.4-C08 - Drenagem Superficial - Valetas de proteção de corte (Extrusada)</v>
      </c>
    </row>
    <row r="2120" spans="1:49" ht="15.6" hidden="1" customHeight="1" outlineLevel="2">
      <c r="A2120" s="8" t="str">
        <f t="shared" ref="A2120" si="8509">IF(SUM(P2120:V2121)&gt;0,"S","N")</f>
        <v>N</v>
      </c>
      <c r="B2120" s="150">
        <v>1069664</v>
      </c>
      <c r="C2120" s="150" t="s">
        <v>2440</v>
      </c>
      <c r="D2120" s="120" t="s">
        <v>1941</v>
      </c>
      <c r="E2120" s="892" t="s">
        <v>2441</v>
      </c>
      <c r="F2120" s="902" t="s">
        <v>52</v>
      </c>
      <c r="G2120" s="528"/>
      <c r="H2120" s="546" t="s">
        <v>37</v>
      </c>
      <c r="I2120" s="711">
        <v>0</v>
      </c>
      <c r="J2120" s="896" t="str">
        <f t="shared" ref="J2120" si="8510">IFERROR((I2121/I2120),"-")</f>
        <v>-</v>
      </c>
      <c r="K2120" s="528"/>
      <c r="L2120" s="546" t="s">
        <v>37</v>
      </c>
      <c r="M2120" s="711">
        <f t="shared" si="8364"/>
        <v>0</v>
      </c>
      <c r="N2120" s="896" t="str">
        <f t="shared" ref="N2120" si="8511">IFERROR((M2121/M2120),"-")</f>
        <v>-</v>
      </c>
      <c r="O2120" s="528"/>
      <c r="P2120" s="547">
        <v>0</v>
      </c>
      <c r="Q2120" s="547">
        <v>0</v>
      </c>
      <c r="R2120" s="547">
        <v>0</v>
      </c>
      <c r="S2120" s="547">
        <v>0</v>
      </c>
      <c r="T2120" s="547">
        <v>0</v>
      </c>
      <c r="U2120" s="547">
        <v>0</v>
      </c>
      <c r="V2120" s="548">
        <v>0</v>
      </c>
      <c r="W2120" s="528"/>
      <c r="X2120" s="711"/>
      <c r="Y2120" s="896" t="str">
        <f t="shared" ref="Y2120" si="8512">IFERROR((X2121/X2120),"-")</f>
        <v>-</v>
      </c>
      <c r="Z2120" s="528"/>
      <c r="AA2120" s="898">
        <v>0</v>
      </c>
      <c r="AB2120" s="898">
        <v>0</v>
      </c>
      <c r="AC2120" s="903">
        <v>0</v>
      </c>
      <c r="AD2120" s="896" t="str">
        <f t="shared" ref="AD2120" si="8513">IFERROR((AC2120/AB2120),"-")</f>
        <v>-</v>
      </c>
      <c r="AE2120" s="2"/>
      <c r="AF2120" s="884">
        <v>0</v>
      </c>
      <c r="AG2120" s="884"/>
      <c r="AH2120" s="884">
        <v>0</v>
      </c>
      <c r="AI2120" s="884"/>
      <c r="AJ2120" s="884"/>
      <c r="AK2120" s="884">
        <f t="shared" ref="AK2120" si="8514">AF2120+AG2120+AH2120+AI2120+AJ2120+AC2120</f>
        <v>0</v>
      </c>
      <c r="AL2120" s="884">
        <v>0</v>
      </c>
      <c r="AM2120" s="878" t="str">
        <f t="shared" ref="AM2120" si="8515">IFERROR((AK2120/AL2120),"-")</f>
        <v>-</v>
      </c>
      <c r="AN2120" s="2"/>
      <c r="AO2120" s="884">
        <v>2329</v>
      </c>
      <c r="AP2120" s="884">
        <f t="shared" ref="AP2120" si="8516">AO2120-AK2120</f>
        <v>2329</v>
      </c>
      <c r="AV2120" t="str">
        <f t="shared" si="8253"/>
        <v>Drenagem Superficial</v>
      </c>
      <c r="AW2120" s="4" t="str">
        <f t="shared" si="8244"/>
        <v xml:space="preserve">   Seg. 2.4-A01 - Drenagem Superficial - Valetas de proteção de aterro (Extrusada)</v>
      </c>
    </row>
    <row r="2121" spans="1:49" ht="15.6" hidden="1" customHeight="1" outlineLevel="2">
      <c r="A2121" s="8" t="str">
        <f t="shared" ref="A2121" si="8517">A2120</f>
        <v>N</v>
      </c>
      <c r="B2121" s="150"/>
      <c r="C2121" s="150" t="s">
        <v>2440</v>
      </c>
      <c r="D2121" s="120" t="s">
        <v>1941</v>
      </c>
      <c r="E2121" s="893"/>
      <c r="F2121" s="902"/>
      <c r="G2121" s="528"/>
      <c r="H2121" s="549" t="s">
        <v>38</v>
      </c>
      <c r="I2121" s="711">
        <v>0</v>
      </c>
      <c r="J2121" s="897"/>
      <c r="K2121" s="528"/>
      <c r="L2121" s="549" t="s">
        <v>38</v>
      </c>
      <c r="M2121" s="711">
        <f t="shared" si="8364"/>
        <v>0</v>
      </c>
      <c r="N2121" s="897"/>
      <c r="O2121" s="528"/>
      <c r="P2121" s="548">
        <v>0</v>
      </c>
      <c r="Q2121" s="548">
        <v>0</v>
      </c>
      <c r="R2121" s="548">
        <v>0</v>
      </c>
      <c r="S2121" s="548">
        <v>0</v>
      </c>
      <c r="T2121" s="548">
        <v>0</v>
      </c>
      <c r="U2121" s="548">
        <v>0</v>
      </c>
      <c r="V2121" s="548"/>
      <c r="W2121" s="528"/>
      <c r="X2121" s="711"/>
      <c r="Y2121" s="897"/>
      <c r="Z2121" s="528"/>
      <c r="AA2121" s="899"/>
      <c r="AB2121" s="899"/>
      <c r="AC2121" s="904"/>
      <c r="AD2121" s="905"/>
      <c r="AE2121" s="2"/>
      <c r="AF2121" s="885"/>
      <c r="AG2121" s="885"/>
      <c r="AH2121" s="885"/>
      <c r="AI2121" s="885"/>
      <c r="AJ2121" s="885"/>
      <c r="AK2121" s="885"/>
      <c r="AL2121" s="885"/>
      <c r="AM2121" s="879"/>
      <c r="AN2121" s="2"/>
      <c r="AO2121" s="886"/>
      <c r="AP2121" s="886"/>
      <c r="AV2121" t="str">
        <f t="shared" si="8253"/>
        <v>Drenagem Superficial</v>
      </c>
      <c r="AW2121" s="4" t="str">
        <f t="shared" ref="AW2121:AW2184" si="8518">IF(E2121&lt;&gt;"",E2121,AW2120)</f>
        <v xml:space="preserve">   Seg. 2.4-A01 - Drenagem Superficial - Valetas de proteção de aterro (Extrusada)</v>
      </c>
    </row>
    <row r="2122" spans="1:49" ht="15.6" hidden="1" customHeight="1" outlineLevel="2">
      <c r="A2122" s="8" t="str">
        <f t="shared" ref="A2122" si="8519">IF(SUM(P2122:V2123)&gt;0,"S","N")</f>
        <v>N</v>
      </c>
      <c r="B2122" s="150">
        <v>1069666</v>
      </c>
      <c r="C2122" s="150" t="s">
        <v>2442</v>
      </c>
      <c r="D2122" s="120" t="s">
        <v>2443</v>
      </c>
      <c r="E2122" s="892" t="s">
        <v>2444</v>
      </c>
      <c r="F2122" s="902" t="s">
        <v>52</v>
      </c>
      <c r="G2122" s="528"/>
      <c r="H2122" s="546" t="s">
        <v>37</v>
      </c>
      <c r="I2122" s="711">
        <v>0</v>
      </c>
      <c r="J2122" s="896" t="str">
        <f t="shared" ref="J2122" si="8520">IFERROR((I2123/I2122),"-")</f>
        <v>-</v>
      </c>
      <c r="K2122" s="528"/>
      <c r="L2122" s="546" t="s">
        <v>37</v>
      </c>
      <c r="M2122" s="711">
        <f t="shared" si="8364"/>
        <v>0</v>
      </c>
      <c r="N2122" s="896" t="str">
        <f t="shared" ref="N2122" si="8521">IFERROR((M2123/M2122),"-")</f>
        <v>-</v>
      </c>
      <c r="O2122" s="528"/>
      <c r="P2122" s="547">
        <v>0</v>
      </c>
      <c r="Q2122" s="547">
        <v>0</v>
      </c>
      <c r="R2122" s="547">
        <v>0</v>
      </c>
      <c r="S2122" s="547">
        <v>0</v>
      </c>
      <c r="T2122" s="547">
        <v>0</v>
      </c>
      <c r="U2122" s="547">
        <v>0</v>
      </c>
      <c r="V2122" s="548">
        <v>0</v>
      </c>
      <c r="W2122" s="528"/>
      <c r="X2122" s="711"/>
      <c r="Y2122" s="896" t="str">
        <f t="shared" ref="Y2122" si="8522">IFERROR((X2123/X2122),"-")</f>
        <v>-</v>
      </c>
      <c r="Z2122" s="528"/>
      <c r="AA2122" s="898">
        <v>0</v>
      </c>
      <c r="AB2122" s="898">
        <v>0</v>
      </c>
      <c r="AC2122" s="903">
        <v>0</v>
      </c>
      <c r="AD2122" s="896" t="str">
        <f t="shared" ref="AD2122" si="8523">IFERROR((AC2122/AB2122),"-")</f>
        <v>-</v>
      </c>
      <c r="AE2122" s="2"/>
      <c r="AF2122" s="884">
        <v>0</v>
      </c>
      <c r="AG2122" s="884"/>
      <c r="AH2122" s="884">
        <v>0</v>
      </c>
      <c r="AI2122" s="884"/>
      <c r="AJ2122" s="884"/>
      <c r="AK2122" s="884">
        <f t="shared" ref="AK2122" si="8524">AF2122+AG2122+AH2122+AI2122+AJ2122+AC2122</f>
        <v>0</v>
      </c>
      <c r="AL2122" s="884">
        <v>0</v>
      </c>
      <c r="AM2122" s="878" t="str">
        <f t="shared" ref="AM2122" si="8525">IFERROR((AK2122/AL2122),"-")</f>
        <v>-</v>
      </c>
      <c r="AN2122" s="2"/>
      <c r="AO2122" s="884">
        <v>87</v>
      </c>
      <c r="AP2122" s="884">
        <f t="shared" ref="AP2122" si="8526">AO2122-AK2122</f>
        <v>87</v>
      </c>
      <c r="AV2122" t="str">
        <f t="shared" ref="AV2122:AV2185" si="8527">IF(AX2122="Y",LEFT(E2122,20),IF(AX2122="x",E2122,AV2121))</f>
        <v>Drenagem Superficial</v>
      </c>
      <c r="AW2122" s="4" t="str">
        <f t="shared" si="8518"/>
        <v xml:space="preserve">   Seg. 2.4-A02 - Drenagem Superficial - Valetas de proteção de aterro (Extrusada)</v>
      </c>
    </row>
    <row r="2123" spans="1:49" ht="14.45" hidden="1" customHeight="1" outlineLevel="2">
      <c r="A2123" s="8" t="str">
        <f t="shared" ref="A2123" si="8528">A2122</f>
        <v>N</v>
      </c>
      <c r="B2123" s="150"/>
      <c r="C2123" s="150" t="s">
        <v>2442</v>
      </c>
      <c r="D2123" s="120" t="s">
        <v>2443</v>
      </c>
      <c r="E2123" s="893"/>
      <c r="F2123" s="902"/>
      <c r="G2123" s="528"/>
      <c r="H2123" s="549" t="s">
        <v>38</v>
      </c>
      <c r="I2123" s="711">
        <v>0</v>
      </c>
      <c r="J2123" s="897"/>
      <c r="K2123" s="528"/>
      <c r="L2123" s="549" t="s">
        <v>38</v>
      </c>
      <c r="M2123" s="711">
        <f t="shared" si="8364"/>
        <v>0</v>
      </c>
      <c r="N2123" s="897"/>
      <c r="O2123" s="528"/>
      <c r="P2123" s="548">
        <v>0</v>
      </c>
      <c r="Q2123" s="548">
        <v>0</v>
      </c>
      <c r="R2123" s="548">
        <v>0</v>
      </c>
      <c r="S2123" s="548">
        <v>0</v>
      </c>
      <c r="T2123" s="548">
        <v>0</v>
      </c>
      <c r="U2123" s="548">
        <v>0</v>
      </c>
      <c r="V2123" s="548"/>
      <c r="W2123" s="528"/>
      <c r="X2123" s="711"/>
      <c r="Y2123" s="897"/>
      <c r="Z2123" s="528"/>
      <c r="AA2123" s="899"/>
      <c r="AB2123" s="899"/>
      <c r="AC2123" s="904"/>
      <c r="AD2123" s="905"/>
      <c r="AE2123" s="2"/>
      <c r="AF2123" s="885"/>
      <c r="AG2123" s="885"/>
      <c r="AH2123" s="885"/>
      <c r="AI2123" s="885"/>
      <c r="AJ2123" s="885"/>
      <c r="AK2123" s="885"/>
      <c r="AL2123" s="885"/>
      <c r="AM2123" s="879"/>
      <c r="AN2123" s="2"/>
      <c r="AO2123" s="886"/>
      <c r="AP2123" s="886"/>
      <c r="AV2123" t="str">
        <f t="shared" si="8527"/>
        <v>Drenagem Superficial</v>
      </c>
      <c r="AW2123" s="4" t="str">
        <f t="shared" si="8518"/>
        <v xml:space="preserve">   Seg. 2.4-A02 - Drenagem Superficial - Valetas de proteção de aterro (Extrusada)</v>
      </c>
    </row>
    <row r="2124" spans="1:49" ht="17.850000000000001" hidden="1" customHeight="1" outlineLevel="2">
      <c r="A2124" s="8" t="str">
        <f t="shared" ref="A2124" si="8529">IF(SUM(P2124:V2125)&gt;0,"S","N")</f>
        <v>N</v>
      </c>
      <c r="B2124" s="150">
        <v>1069667</v>
      </c>
      <c r="C2124" s="150" t="s">
        <v>2445</v>
      </c>
      <c r="D2124" s="120" t="s">
        <v>2446</v>
      </c>
      <c r="E2124" s="892" t="s">
        <v>2447</v>
      </c>
      <c r="F2124" s="902" t="s">
        <v>52</v>
      </c>
      <c r="G2124" s="528"/>
      <c r="H2124" s="546" t="s">
        <v>37</v>
      </c>
      <c r="I2124" s="711">
        <v>0</v>
      </c>
      <c r="J2124" s="896" t="str">
        <f t="shared" ref="J2124" si="8530">IFERROR((I2125/I2124),"-")</f>
        <v>-</v>
      </c>
      <c r="K2124" s="528"/>
      <c r="L2124" s="546" t="s">
        <v>37</v>
      </c>
      <c r="M2124" s="711">
        <f t="shared" si="8364"/>
        <v>0</v>
      </c>
      <c r="N2124" s="896" t="str">
        <f t="shared" ref="N2124" si="8531">IFERROR((M2125/M2124),"-")</f>
        <v>-</v>
      </c>
      <c r="O2124" s="528"/>
      <c r="P2124" s="547">
        <v>0</v>
      </c>
      <c r="Q2124" s="547">
        <v>0</v>
      </c>
      <c r="R2124" s="547">
        <v>0</v>
      </c>
      <c r="S2124" s="547">
        <v>0</v>
      </c>
      <c r="T2124" s="547">
        <v>0</v>
      </c>
      <c r="U2124" s="547">
        <v>0</v>
      </c>
      <c r="V2124" s="548">
        <v>0</v>
      </c>
      <c r="W2124" s="528"/>
      <c r="X2124" s="711"/>
      <c r="Y2124" s="896" t="str">
        <f>IFERROR((X2125/X2124),"-")</f>
        <v>-</v>
      </c>
      <c r="Z2124" s="528"/>
      <c r="AA2124" s="898">
        <v>0</v>
      </c>
      <c r="AB2124" s="898">
        <v>0</v>
      </c>
      <c r="AC2124" s="903">
        <v>0</v>
      </c>
      <c r="AD2124" s="896" t="str">
        <f t="shared" ref="AD2124" si="8532">IFERROR((AC2124/AB2124),"-")</f>
        <v>-</v>
      </c>
      <c r="AE2124" s="2"/>
      <c r="AF2124" s="884">
        <v>0</v>
      </c>
      <c r="AG2124" s="884"/>
      <c r="AH2124" s="884">
        <v>0</v>
      </c>
      <c r="AI2124" s="884"/>
      <c r="AJ2124" s="884"/>
      <c r="AK2124" s="884">
        <f t="shared" ref="AK2124" si="8533">AF2124+AG2124+AH2124+AI2124+AJ2124+AC2124</f>
        <v>0</v>
      </c>
      <c r="AL2124" s="884">
        <v>0</v>
      </c>
      <c r="AM2124" s="878" t="str">
        <f t="shared" ref="AM2124" si="8534">IFERROR((AK2124/AL2124),"-")</f>
        <v>-</v>
      </c>
      <c r="AN2124" s="2"/>
      <c r="AO2124" s="884">
        <v>65</v>
      </c>
      <c r="AP2124" s="884">
        <f t="shared" ref="AP2124" si="8535">AO2124-AK2124</f>
        <v>65</v>
      </c>
      <c r="AV2124" t="str">
        <f t="shared" si="8527"/>
        <v>Drenagem Superficial</v>
      </c>
      <c r="AW2124" s="4" t="str">
        <f t="shared" si="8518"/>
        <v xml:space="preserve">   Seg. 2.4-A03 - Drenagem Superficial - Valetas de proteção de aterro (Extrusada)</v>
      </c>
    </row>
    <row r="2125" spans="1:49" ht="18" hidden="1" customHeight="1" outlineLevel="2">
      <c r="A2125" s="8" t="str">
        <f t="shared" ref="A2125" si="8536">A2124</f>
        <v>N</v>
      </c>
      <c r="B2125" s="150"/>
      <c r="C2125" s="150" t="s">
        <v>2445</v>
      </c>
      <c r="D2125" s="120" t="s">
        <v>2446</v>
      </c>
      <c r="E2125" s="893"/>
      <c r="F2125" s="902"/>
      <c r="G2125" s="528"/>
      <c r="H2125" s="549" t="s">
        <v>38</v>
      </c>
      <c r="I2125" s="711">
        <v>0</v>
      </c>
      <c r="J2125" s="897"/>
      <c r="K2125" s="528"/>
      <c r="L2125" s="549" t="s">
        <v>38</v>
      </c>
      <c r="M2125" s="711">
        <f t="shared" si="8364"/>
        <v>0</v>
      </c>
      <c r="N2125" s="897"/>
      <c r="O2125" s="528"/>
      <c r="P2125" s="548">
        <v>0</v>
      </c>
      <c r="Q2125" s="548">
        <v>0</v>
      </c>
      <c r="R2125" s="548">
        <v>0</v>
      </c>
      <c r="S2125" s="548">
        <v>0</v>
      </c>
      <c r="T2125" s="548">
        <v>0</v>
      </c>
      <c r="U2125" s="548">
        <v>0</v>
      </c>
      <c r="V2125" s="548"/>
      <c r="W2125" s="528"/>
      <c r="X2125" s="711"/>
      <c r="Y2125" s="897"/>
      <c r="Z2125" s="528"/>
      <c r="AA2125" s="899"/>
      <c r="AB2125" s="899"/>
      <c r="AC2125" s="904"/>
      <c r="AD2125" s="905"/>
      <c r="AE2125" s="2"/>
      <c r="AF2125" s="885"/>
      <c r="AG2125" s="885"/>
      <c r="AH2125" s="885"/>
      <c r="AI2125" s="885"/>
      <c r="AJ2125" s="885"/>
      <c r="AK2125" s="885"/>
      <c r="AL2125" s="885"/>
      <c r="AM2125" s="879"/>
      <c r="AN2125" s="2"/>
      <c r="AO2125" s="886"/>
      <c r="AP2125" s="886"/>
      <c r="AV2125" t="str">
        <f t="shared" si="8527"/>
        <v>Drenagem Superficial</v>
      </c>
      <c r="AW2125" s="4" t="str">
        <f t="shared" si="8518"/>
        <v xml:space="preserve">   Seg. 2.4-A03 - Drenagem Superficial - Valetas de proteção de aterro (Extrusada)</v>
      </c>
    </row>
    <row r="2126" spans="1:49" ht="18" hidden="1" customHeight="1" outlineLevel="1" collapsed="1">
      <c r="A2126" s="209">
        <v>0</v>
      </c>
      <c r="B2126" s="150"/>
      <c r="C2126" s="150"/>
      <c r="D2126" s="117"/>
      <c r="E2126" s="535"/>
      <c r="F2126" s="536"/>
      <c r="G2126" s="537"/>
      <c r="H2126" s="714"/>
      <c r="I2126" s="555"/>
      <c r="J2126" s="714"/>
      <c r="K2126" s="537"/>
      <c r="L2126" s="714"/>
      <c r="M2126" s="555"/>
      <c r="N2126" s="714"/>
      <c r="O2126" s="537"/>
      <c r="P2126" s="539"/>
      <c r="Q2126" s="539"/>
      <c r="R2126" s="539"/>
      <c r="S2126" s="539"/>
      <c r="T2126" s="539"/>
      <c r="U2126" s="539"/>
      <c r="V2126" s="539"/>
      <c r="W2126" s="537"/>
      <c r="X2126" s="540"/>
      <c r="Y2126" s="537"/>
      <c r="Z2126" s="537"/>
      <c r="AA2126" s="249"/>
      <c r="AB2126" s="249"/>
      <c r="AC2126" s="249"/>
      <c r="AD2126" s="537"/>
      <c r="AE2126" s="3"/>
      <c r="AF2126" s="35"/>
      <c r="AG2126" s="35"/>
      <c r="AH2126" s="35"/>
      <c r="AI2126" s="35"/>
      <c r="AJ2126" s="35"/>
      <c r="AK2126" s="35"/>
      <c r="AL2126" s="35"/>
      <c r="AM2126" s="3"/>
      <c r="AN2126" s="3"/>
      <c r="AO2126" s="35"/>
      <c r="AP2126" s="35"/>
      <c r="AV2126" t="str">
        <f t="shared" si="8527"/>
        <v>Drenagem Superficial</v>
      </c>
      <c r="AW2126" s="4" t="str">
        <f t="shared" si="8518"/>
        <v xml:space="preserve">   Seg. 2.4-A03 - Drenagem Superficial - Valetas de proteção de aterro (Extrusada)</v>
      </c>
    </row>
    <row r="2127" spans="1:49" ht="14.45" hidden="1" customHeight="1" outlineLevel="1">
      <c r="A2127" s="209">
        <v>0</v>
      </c>
      <c r="B2127" s="150"/>
      <c r="C2127" s="150">
        <v>0</v>
      </c>
      <c r="D2127" s="122"/>
      <c r="E2127" s="913" t="s">
        <v>44</v>
      </c>
      <c r="F2127" s="859" t="s">
        <v>52</v>
      </c>
      <c r="G2127" s="528"/>
      <c r="H2127" s="542" t="s">
        <v>37</v>
      </c>
      <c r="I2127" s="543">
        <f t="shared" ref="I2127" si="8537">SUMIF($L2129:$L2210,$L2127,I2129:I2210)</f>
        <v>2404</v>
      </c>
      <c r="J2127" s="860">
        <f>IFERROR((I2128/I2127),"-")</f>
        <v>0.41959234608985024</v>
      </c>
      <c r="K2127" s="528"/>
      <c r="L2127" s="542" t="s">
        <v>37</v>
      </c>
      <c r="M2127" s="543">
        <f t="shared" ref="M2127" si="8538">SUMIF($L2129:$L2210,$L2127,M2129:M2210)</f>
        <v>399</v>
      </c>
      <c r="N2127" s="860">
        <f>IFERROR((M2128/M2127),"-")</f>
        <v>0.43859649122807015</v>
      </c>
      <c r="O2127" s="528"/>
      <c r="P2127" s="543">
        <f t="shared" ref="P2127:U2127" si="8539">SUMIF($L2129:$L2210,$L2127,P2129:P2210)</f>
        <v>399</v>
      </c>
      <c r="Q2127" s="543">
        <f t="shared" si="8539"/>
        <v>399</v>
      </c>
      <c r="R2127" s="543">
        <f t="shared" si="8539"/>
        <v>410</v>
      </c>
      <c r="S2127" s="543">
        <f t="shared" si="8539"/>
        <v>410</v>
      </c>
      <c r="T2127" s="543">
        <f t="shared" si="8539"/>
        <v>380</v>
      </c>
      <c r="U2127" s="543">
        <f t="shared" si="8539"/>
        <v>380</v>
      </c>
      <c r="V2127" s="543"/>
      <c r="W2127" s="528"/>
      <c r="X2127" s="543">
        <f t="shared" ref="X2127:X2128" si="8540">SUMIFS(P2127:V2127,$P$8:$V$8,"&gt;="&amp;$P$8,$P$8:$V$8,"&lt;="&amp;$N$8)</f>
        <v>798</v>
      </c>
      <c r="Y2127" s="860">
        <f>IFERROR((X2128/X2127),"-")</f>
        <v>0.43358395989974935</v>
      </c>
      <c r="Z2127" s="528"/>
      <c r="AA2127" s="814">
        <f>SUM(AA2129:AA2210)</f>
        <v>2823.27</v>
      </c>
      <c r="AB2127" s="814">
        <f>SUM(AB2129:AB2210)</f>
        <v>1113.7</v>
      </c>
      <c r="AC2127" s="814">
        <f>SUM(AC2129:AC2210)</f>
        <v>1962.7</v>
      </c>
      <c r="AD2127" s="911">
        <f t="shared" ref="AD2127" si="8541">IFERROR((AC2127/AB2127),"-")</f>
        <v>1.7623237855795995</v>
      </c>
      <c r="AE2127" s="2"/>
      <c r="AF2127" s="888">
        <f t="shared" ref="AF2127" si="8542">SUM(AF2129:AF2210)</f>
        <v>0</v>
      </c>
      <c r="AG2127" s="888">
        <f t="shared" ref="AG2127:AL2127" si="8543">SUM(AG2129:AG2210)</f>
        <v>0</v>
      </c>
      <c r="AH2127" s="888">
        <f t="shared" si="8543"/>
        <v>2214</v>
      </c>
      <c r="AI2127" s="888">
        <f t="shared" si="8543"/>
        <v>0</v>
      </c>
      <c r="AJ2127" s="888">
        <f t="shared" si="8543"/>
        <v>0</v>
      </c>
      <c r="AK2127" s="888">
        <f t="shared" si="8543"/>
        <v>4176.7</v>
      </c>
      <c r="AL2127" s="888">
        <f t="shared" si="8543"/>
        <v>3941.3599999999997</v>
      </c>
      <c r="AM2127" s="743">
        <f>IFERROR((AK2127/AL2127),"-")</f>
        <v>1.0597103537865102</v>
      </c>
      <c r="AN2127" s="2"/>
      <c r="AO2127" s="888">
        <f>SUM(AO2129:AO2210)</f>
        <v>23612.320000000007</v>
      </c>
      <c r="AP2127" s="888">
        <f>SUM(AP2129:AP2210)</f>
        <v>19435.620000000003</v>
      </c>
      <c r="AV2127" t="str">
        <f t="shared" si="8527"/>
        <v>Drenagem Superficial</v>
      </c>
      <c r="AW2127" s="4" t="str">
        <f t="shared" si="8518"/>
        <v>Pacote 05 - Segmento 2.5 - 138+160 a 153+420</v>
      </c>
    </row>
    <row r="2128" spans="1:49" ht="14.45" hidden="1" customHeight="1" outlineLevel="1">
      <c r="A2128" s="209">
        <v>0</v>
      </c>
      <c r="B2128" s="150"/>
      <c r="C2128" s="150"/>
      <c r="D2128" s="123"/>
      <c r="E2128" s="913"/>
      <c r="F2128" s="859"/>
      <c r="G2128" s="528"/>
      <c r="H2128" s="544" t="s">
        <v>38</v>
      </c>
      <c r="I2128" s="543">
        <f t="shared" ref="I2128" si="8544">SUMIF($L2129:$L2210,$L2128,I2129:I2210)</f>
        <v>1008.7</v>
      </c>
      <c r="J2128" s="861"/>
      <c r="K2128" s="528"/>
      <c r="L2128" s="544" t="s">
        <v>38</v>
      </c>
      <c r="M2128" s="543">
        <f t="shared" ref="M2128" si="8545">SUMIF($L2129:$L2210,$L2128,M2129:M2210)</f>
        <v>175</v>
      </c>
      <c r="N2128" s="861"/>
      <c r="O2128" s="528"/>
      <c r="P2128" s="543">
        <f t="shared" ref="P2128:U2128" si="8546">SUMIF($L2129:$L2210,$L2128,P2129:P2210)</f>
        <v>171</v>
      </c>
      <c r="Q2128" s="543">
        <f t="shared" si="8546"/>
        <v>175</v>
      </c>
      <c r="R2128" s="543">
        <f t="shared" si="8546"/>
        <v>0</v>
      </c>
      <c r="S2128" s="543">
        <f>SUMIF($L2129:$L2210,$L2128,S2129:S2210)</f>
        <v>0</v>
      </c>
      <c r="T2128" s="543">
        <f t="shared" si="8546"/>
        <v>0</v>
      </c>
      <c r="U2128" s="543">
        <f t="shared" si="8546"/>
        <v>0</v>
      </c>
      <c r="V2128" s="543"/>
      <c r="W2128" s="528"/>
      <c r="X2128" s="543">
        <f t="shared" si="8540"/>
        <v>346</v>
      </c>
      <c r="Y2128" s="861"/>
      <c r="Z2128" s="528"/>
      <c r="AA2128" s="815"/>
      <c r="AB2128" s="815"/>
      <c r="AC2128" s="815"/>
      <c r="AD2128" s="912"/>
      <c r="AE2128" s="2"/>
      <c r="AF2128" s="889"/>
      <c r="AG2128" s="889"/>
      <c r="AH2128" s="889"/>
      <c r="AI2128" s="889"/>
      <c r="AJ2128" s="889"/>
      <c r="AK2128" s="889"/>
      <c r="AL2128" s="889"/>
      <c r="AM2128" s="744"/>
      <c r="AN2128" s="2"/>
      <c r="AO2128" s="888"/>
      <c r="AP2128" s="888"/>
      <c r="AV2128" t="str">
        <f t="shared" si="8527"/>
        <v>Drenagem Superficial</v>
      </c>
      <c r="AW2128" s="4" t="str">
        <f t="shared" si="8518"/>
        <v>Pacote 05 - Segmento 2.5 - 138+160 a 153+420</v>
      </c>
    </row>
    <row r="2129" spans="1:49" ht="14.45" hidden="1" customHeight="1" outlineLevel="2">
      <c r="A2129" s="8" t="str">
        <f t="shared" ref="A2129" si="8547">IF(SUM(P2129:V2130)&gt;0,"S","N")</f>
        <v>N</v>
      </c>
      <c r="B2129" s="150">
        <v>1064568</v>
      </c>
      <c r="C2129" s="150" t="s">
        <v>2448</v>
      </c>
      <c r="D2129" s="120" t="s">
        <v>463</v>
      </c>
      <c r="E2129" s="892" t="s">
        <v>2449</v>
      </c>
      <c r="F2129" s="902" t="s">
        <v>52</v>
      </c>
      <c r="G2129" s="528"/>
      <c r="H2129" s="546" t="s">
        <v>37</v>
      </c>
      <c r="I2129" s="711">
        <v>0</v>
      </c>
      <c r="J2129" s="896" t="str">
        <f t="shared" ref="J2129" si="8548">IFERROR((I2130/I2129),"-")</f>
        <v>-</v>
      </c>
      <c r="K2129" s="528"/>
      <c r="L2129" s="546" t="s">
        <v>37</v>
      </c>
      <c r="M2129" s="711">
        <f t="shared" ref="M2129:M2192" si="8549">_xlfn.XLOOKUP($N$8,$P$8:$V$8,$P2129:$V2129)</f>
        <v>0</v>
      </c>
      <c r="N2129" s="896" t="str">
        <f t="shared" ref="N2129" si="8550">IFERROR((M2130/M2129),"-")</f>
        <v>-</v>
      </c>
      <c r="O2129" s="528"/>
      <c r="P2129" s="547">
        <v>0</v>
      </c>
      <c r="Q2129" s="547">
        <v>0</v>
      </c>
      <c r="R2129" s="547">
        <v>0</v>
      </c>
      <c r="S2129" s="547">
        <v>0</v>
      </c>
      <c r="T2129" s="547">
        <v>0</v>
      </c>
      <c r="U2129" s="547">
        <v>0</v>
      </c>
      <c r="V2129" s="548">
        <v>0</v>
      </c>
      <c r="W2129" s="528"/>
      <c r="X2129" s="711"/>
      <c r="Y2129" s="896" t="str">
        <f t="shared" ref="Y2129" si="8551">IFERROR((X2130/X2129),"-")</f>
        <v>-</v>
      </c>
      <c r="Z2129" s="528"/>
      <c r="AA2129" s="898">
        <v>7.5</v>
      </c>
      <c r="AB2129" s="898">
        <v>7.5</v>
      </c>
      <c r="AC2129" s="903">
        <v>7.5</v>
      </c>
      <c r="AD2129" s="896">
        <f t="shared" ref="AD2129" si="8552">IFERROR((AC2129/AB2129),"-")</f>
        <v>1</v>
      </c>
      <c r="AE2129" s="2"/>
      <c r="AF2129" s="884">
        <v>0</v>
      </c>
      <c r="AG2129" s="884"/>
      <c r="AH2129" s="884">
        <v>0</v>
      </c>
      <c r="AI2129" s="884"/>
      <c r="AJ2129" s="884"/>
      <c r="AK2129" s="884">
        <f t="shared" ref="AK2129" si="8553">AF2129+AG2129+AH2129+AI2129+AJ2129+AC2129</f>
        <v>7.5</v>
      </c>
      <c r="AL2129" s="884">
        <v>7.5</v>
      </c>
      <c r="AM2129" s="878">
        <f t="shared" ref="AM2129" si="8554">IFERROR((AK2129/AL2129),"-")</f>
        <v>1</v>
      </c>
      <c r="AN2129" s="2"/>
      <c r="AO2129" s="884">
        <v>881</v>
      </c>
      <c r="AP2129" s="884">
        <f t="shared" ref="AP2129" si="8555">AO2129-AK2129</f>
        <v>873.5</v>
      </c>
      <c r="AV2129" t="str">
        <f t="shared" si="8527"/>
        <v>Drenagem Superficial</v>
      </c>
      <c r="AW2129" s="4" t="str">
        <f t="shared" si="8518"/>
        <v xml:space="preserve">   Seg. 2.5-C01 - Drenagem Superficial - Valetas de proteção de corte (Extrusada)</v>
      </c>
    </row>
    <row r="2130" spans="1:49" ht="14.45" hidden="1" customHeight="1" outlineLevel="2">
      <c r="A2130" s="8" t="str">
        <f t="shared" ref="A2130" si="8556">A2129</f>
        <v>N</v>
      </c>
      <c r="B2130" s="150"/>
      <c r="C2130" s="150" t="s">
        <v>2448</v>
      </c>
      <c r="D2130" s="120" t="s">
        <v>463</v>
      </c>
      <c r="E2130" s="893"/>
      <c r="F2130" s="902"/>
      <c r="G2130" s="528"/>
      <c r="H2130" s="549" t="s">
        <v>38</v>
      </c>
      <c r="I2130" s="711">
        <v>7.5</v>
      </c>
      <c r="J2130" s="897"/>
      <c r="K2130" s="528"/>
      <c r="L2130" s="549" t="s">
        <v>38</v>
      </c>
      <c r="M2130" s="711">
        <f t="shared" si="8549"/>
        <v>0</v>
      </c>
      <c r="N2130" s="897"/>
      <c r="O2130" s="528"/>
      <c r="P2130" s="548">
        <v>0</v>
      </c>
      <c r="Q2130" s="548">
        <v>0</v>
      </c>
      <c r="R2130" s="548">
        <v>0</v>
      </c>
      <c r="S2130" s="548">
        <v>0</v>
      </c>
      <c r="T2130" s="548">
        <v>0</v>
      </c>
      <c r="U2130" s="548">
        <v>0</v>
      </c>
      <c r="V2130" s="548"/>
      <c r="W2130" s="528"/>
      <c r="X2130" s="711"/>
      <c r="Y2130" s="897"/>
      <c r="Z2130" s="528"/>
      <c r="AA2130" s="899"/>
      <c r="AB2130" s="899"/>
      <c r="AC2130" s="904"/>
      <c r="AD2130" s="905"/>
      <c r="AE2130" s="2"/>
      <c r="AF2130" s="885"/>
      <c r="AG2130" s="885"/>
      <c r="AH2130" s="885"/>
      <c r="AI2130" s="885"/>
      <c r="AJ2130" s="885"/>
      <c r="AK2130" s="885"/>
      <c r="AL2130" s="885"/>
      <c r="AM2130" s="879"/>
      <c r="AN2130" s="2"/>
      <c r="AO2130" s="886"/>
      <c r="AP2130" s="886"/>
      <c r="AV2130" t="str">
        <f t="shared" si="8527"/>
        <v>Drenagem Superficial</v>
      </c>
      <c r="AW2130" s="4" t="str">
        <f t="shared" si="8518"/>
        <v xml:space="preserve">   Seg. 2.5-C01 - Drenagem Superficial - Valetas de proteção de corte (Extrusada)</v>
      </c>
    </row>
    <row r="2131" spans="1:49" ht="14.45" hidden="1" customHeight="1" outlineLevel="2">
      <c r="A2131" s="8" t="str">
        <f t="shared" ref="A2131" si="8557">IF(SUM(P2131:V2132)&gt;0,"S","N")</f>
        <v>N</v>
      </c>
      <c r="B2131" s="150">
        <v>1064570</v>
      </c>
      <c r="C2131" s="150" t="s">
        <v>2450</v>
      </c>
      <c r="D2131" s="120" t="s">
        <v>466</v>
      </c>
      <c r="E2131" s="892" t="s">
        <v>2451</v>
      </c>
      <c r="F2131" s="902" t="s">
        <v>52</v>
      </c>
      <c r="G2131" s="528"/>
      <c r="H2131" s="546" t="s">
        <v>37</v>
      </c>
      <c r="I2131" s="711">
        <v>400</v>
      </c>
      <c r="J2131" s="896">
        <f t="shared" ref="J2131" si="8558">IFERROR((I2132/I2131),"-")</f>
        <v>0</v>
      </c>
      <c r="K2131" s="528"/>
      <c r="L2131" s="546" t="s">
        <v>37</v>
      </c>
      <c r="M2131" s="711">
        <f t="shared" si="8549"/>
        <v>0</v>
      </c>
      <c r="N2131" s="896" t="str">
        <f t="shared" ref="N2131" si="8559">IFERROR((M2132/M2131),"-")</f>
        <v>-</v>
      </c>
      <c r="O2131" s="528"/>
      <c r="P2131" s="547">
        <v>0</v>
      </c>
      <c r="Q2131" s="547">
        <v>0</v>
      </c>
      <c r="R2131" s="547">
        <v>0</v>
      </c>
      <c r="S2131" s="547">
        <v>0</v>
      </c>
      <c r="T2131" s="547">
        <v>0</v>
      </c>
      <c r="U2131" s="547">
        <v>0</v>
      </c>
      <c r="V2131" s="548">
        <v>0</v>
      </c>
      <c r="W2131" s="528"/>
      <c r="X2131" s="711"/>
      <c r="Y2131" s="896" t="str">
        <f t="shared" ref="Y2131" si="8560">IFERROR((X2132/X2131),"-")</f>
        <v>-</v>
      </c>
      <c r="Z2131" s="528"/>
      <c r="AA2131" s="898">
        <v>837.98</v>
      </c>
      <c r="AB2131" s="898">
        <v>0</v>
      </c>
      <c r="AC2131" s="903">
        <v>0</v>
      </c>
      <c r="AD2131" s="896" t="str">
        <f t="shared" ref="AD2131" si="8561">IFERROR((AC2131/AB2131),"-")</f>
        <v>-</v>
      </c>
      <c r="AE2131" s="2"/>
      <c r="AF2131" s="884">
        <v>0</v>
      </c>
      <c r="AG2131" s="884"/>
      <c r="AH2131" s="884">
        <v>246</v>
      </c>
      <c r="AI2131" s="884"/>
      <c r="AJ2131" s="884"/>
      <c r="AK2131" s="884">
        <f t="shared" ref="AK2131" si="8562">AF2131+AG2131+AH2131+AI2131+AJ2131+AC2131</f>
        <v>246</v>
      </c>
      <c r="AL2131" s="884">
        <v>386</v>
      </c>
      <c r="AM2131" s="878">
        <f t="shared" ref="AM2131" si="8563">IFERROR((AK2131/AL2131),"-")</f>
        <v>0.63730569948186533</v>
      </c>
      <c r="AN2131" s="2"/>
      <c r="AO2131" s="884">
        <v>1224</v>
      </c>
      <c r="AP2131" s="884">
        <f t="shared" ref="AP2131" si="8564">AO2131-AK2131</f>
        <v>978</v>
      </c>
      <c r="AV2131" t="str">
        <f t="shared" si="8527"/>
        <v>Drenagem Superficial</v>
      </c>
      <c r="AW2131" s="4" t="str">
        <f t="shared" si="8518"/>
        <v xml:space="preserve">   Seg. 2.5-C02 - Drenagem Superficial - Valetas de proteção de corte (Manual)</v>
      </c>
    </row>
    <row r="2132" spans="1:49" ht="14.45" hidden="1" customHeight="1" outlineLevel="2">
      <c r="A2132" s="8" t="str">
        <f t="shared" ref="A2132" si="8565">A2131</f>
        <v>N</v>
      </c>
      <c r="B2132" s="150"/>
      <c r="C2132" s="150" t="s">
        <v>2450</v>
      </c>
      <c r="D2132" s="120" t="s">
        <v>466</v>
      </c>
      <c r="E2132" s="893"/>
      <c r="F2132" s="902"/>
      <c r="G2132" s="528"/>
      <c r="H2132" s="549" t="s">
        <v>38</v>
      </c>
      <c r="I2132" s="711">
        <v>0</v>
      </c>
      <c r="J2132" s="897"/>
      <c r="K2132" s="528"/>
      <c r="L2132" s="549" t="s">
        <v>38</v>
      </c>
      <c r="M2132" s="711">
        <f t="shared" si="8549"/>
        <v>0</v>
      </c>
      <c r="N2132" s="897"/>
      <c r="O2132" s="528"/>
      <c r="P2132" s="548">
        <v>0</v>
      </c>
      <c r="Q2132" s="548">
        <v>0</v>
      </c>
      <c r="R2132" s="548">
        <v>0</v>
      </c>
      <c r="S2132" s="548">
        <v>0</v>
      </c>
      <c r="T2132" s="548">
        <v>0</v>
      </c>
      <c r="U2132" s="548">
        <v>0</v>
      </c>
      <c r="V2132" s="548"/>
      <c r="W2132" s="528"/>
      <c r="X2132" s="711"/>
      <c r="Y2132" s="897"/>
      <c r="Z2132" s="528"/>
      <c r="AA2132" s="899"/>
      <c r="AB2132" s="899"/>
      <c r="AC2132" s="904"/>
      <c r="AD2132" s="905"/>
      <c r="AE2132" s="2"/>
      <c r="AF2132" s="885"/>
      <c r="AG2132" s="885"/>
      <c r="AH2132" s="885"/>
      <c r="AI2132" s="885"/>
      <c r="AJ2132" s="885"/>
      <c r="AK2132" s="885"/>
      <c r="AL2132" s="885"/>
      <c r="AM2132" s="879"/>
      <c r="AN2132" s="2"/>
      <c r="AO2132" s="886"/>
      <c r="AP2132" s="886"/>
      <c r="AV2132" t="str">
        <f t="shared" si="8527"/>
        <v>Drenagem Superficial</v>
      </c>
      <c r="AW2132" s="4" t="str">
        <f t="shared" si="8518"/>
        <v xml:space="preserve">   Seg. 2.5-C02 - Drenagem Superficial - Valetas de proteção de corte (Manual)</v>
      </c>
    </row>
    <row r="2133" spans="1:49" ht="14.45" hidden="1" customHeight="1" outlineLevel="2">
      <c r="A2133" s="8" t="str">
        <f t="shared" ref="A2133" si="8566">IF(SUM(P2133:V2134)&gt;0,"S","N")</f>
        <v>N</v>
      </c>
      <c r="B2133" s="150">
        <v>1064604</v>
      </c>
      <c r="C2133" s="150" t="s">
        <v>2452</v>
      </c>
      <c r="D2133" s="120" t="s">
        <v>1291</v>
      </c>
      <c r="E2133" s="892" t="s">
        <v>2453</v>
      </c>
      <c r="F2133" s="902" t="s">
        <v>52</v>
      </c>
      <c r="G2133" s="528"/>
      <c r="H2133" s="546" t="s">
        <v>37</v>
      </c>
      <c r="I2133" s="711">
        <v>0</v>
      </c>
      <c r="J2133" s="896" t="str">
        <f t="shared" ref="J2133" si="8567">IFERROR((I2134/I2133),"-")</f>
        <v>-</v>
      </c>
      <c r="K2133" s="528"/>
      <c r="L2133" s="546" t="s">
        <v>37</v>
      </c>
      <c r="M2133" s="711">
        <f t="shared" si="8549"/>
        <v>0</v>
      </c>
      <c r="N2133" s="896" t="str">
        <f t="shared" ref="N2133" si="8568">IFERROR((M2134/M2133),"-")</f>
        <v>-</v>
      </c>
      <c r="O2133" s="528"/>
      <c r="P2133" s="547">
        <v>0</v>
      </c>
      <c r="Q2133" s="547">
        <v>0</v>
      </c>
      <c r="R2133" s="547">
        <v>0</v>
      </c>
      <c r="S2133" s="547">
        <v>0</v>
      </c>
      <c r="T2133" s="547">
        <v>0</v>
      </c>
      <c r="U2133" s="547">
        <v>0</v>
      </c>
      <c r="V2133" s="548">
        <v>0</v>
      </c>
      <c r="W2133" s="528"/>
      <c r="X2133" s="711"/>
      <c r="Y2133" s="896" t="str">
        <f t="shared" ref="Y2133" si="8569">IFERROR((X2134/X2133),"-")</f>
        <v>-</v>
      </c>
      <c r="Z2133" s="528"/>
      <c r="AA2133" s="898">
        <v>219.5</v>
      </c>
      <c r="AB2133" s="898">
        <v>219.5</v>
      </c>
      <c r="AC2133" s="903">
        <v>170</v>
      </c>
      <c r="AD2133" s="896">
        <f t="shared" ref="AD2133" si="8570">IFERROR((AC2133/AB2133),"-")</f>
        <v>0.7744874715261959</v>
      </c>
      <c r="AE2133" s="2"/>
      <c r="AF2133" s="884">
        <v>0</v>
      </c>
      <c r="AG2133" s="884"/>
      <c r="AH2133" s="884">
        <v>130</v>
      </c>
      <c r="AI2133" s="884"/>
      <c r="AJ2133" s="884"/>
      <c r="AK2133" s="884">
        <f t="shared" ref="AK2133" si="8571">AF2133+AG2133+AH2133+AI2133+AJ2133+AC2133</f>
        <v>300</v>
      </c>
      <c r="AL2133" s="884">
        <v>361.02</v>
      </c>
      <c r="AM2133" s="878">
        <f t="shared" ref="AM2133" si="8572">IFERROR((AK2133/AL2133),"-")</f>
        <v>0.83097889313611439</v>
      </c>
      <c r="AN2133" s="2"/>
      <c r="AO2133" s="884">
        <v>361</v>
      </c>
      <c r="AP2133" s="884">
        <f t="shared" ref="AP2133" si="8573">AO2133-AK2133</f>
        <v>61</v>
      </c>
      <c r="AV2133" t="str">
        <f t="shared" si="8527"/>
        <v>Drenagem Superficial</v>
      </c>
      <c r="AW2133" s="4" t="str">
        <f t="shared" si="8518"/>
        <v xml:space="preserve">   Seg. 2.5-A01 - Drenagem Superficial - Valetas de proteção de aterro (Manual)</v>
      </c>
    </row>
    <row r="2134" spans="1:49" ht="14.45" hidden="1" customHeight="1" outlineLevel="2">
      <c r="A2134" s="8" t="str">
        <f t="shared" ref="A2134" si="8574">A2133</f>
        <v>N</v>
      </c>
      <c r="B2134" s="150"/>
      <c r="C2134" s="150" t="s">
        <v>2452</v>
      </c>
      <c r="D2134" s="120" t="s">
        <v>1291</v>
      </c>
      <c r="E2134" s="893"/>
      <c r="F2134" s="902"/>
      <c r="G2134" s="528"/>
      <c r="H2134" s="549" t="s">
        <v>38</v>
      </c>
      <c r="I2134" s="711">
        <v>0</v>
      </c>
      <c r="J2134" s="897"/>
      <c r="K2134" s="528"/>
      <c r="L2134" s="549" t="s">
        <v>38</v>
      </c>
      <c r="M2134" s="711">
        <f t="shared" si="8549"/>
        <v>0</v>
      </c>
      <c r="N2134" s="897"/>
      <c r="O2134" s="528"/>
      <c r="P2134" s="548">
        <v>0</v>
      </c>
      <c r="Q2134" s="548">
        <v>0</v>
      </c>
      <c r="R2134" s="548">
        <v>0</v>
      </c>
      <c r="S2134" s="548">
        <v>0</v>
      </c>
      <c r="T2134" s="548">
        <v>0</v>
      </c>
      <c r="U2134" s="548">
        <v>0</v>
      </c>
      <c r="V2134" s="548"/>
      <c r="W2134" s="528"/>
      <c r="X2134" s="711"/>
      <c r="Y2134" s="897"/>
      <c r="Z2134" s="528"/>
      <c r="AA2134" s="899"/>
      <c r="AB2134" s="899"/>
      <c r="AC2134" s="904"/>
      <c r="AD2134" s="905"/>
      <c r="AE2134" s="2"/>
      <c r="AF2134" s="885"/>
      <c r="AG2134" s="885"/>
      <c r="AH2134" s="885"/>
      <c r="AI2134" s="885"/>
      <c r="AJ2134" s="885"/>
      <c r="AK2134" s="885"/>
      <c r="AL2134" s="885"/>
      <c r="AM2134" s="879"/>
      <c r="AN2134" s="2"/>
      <c r="AO2134" s="886"/>
      <c r="AP2134" s="886"/>
      <c r="AV2134" t="str">
        <f t="shared" si="8527"/>
        <v>Drenagem Superficial</v>
      </c>
      <c r="AW2134" s="4" t="str">
        <f t="shared" si="8518"/>
        <v xml:space="preserve">   Seg. 2.5-A01 - Drenagem Superficial - Valetas de proteção de aterro (Manual)</v>
      </c>
    </row>
    <row r="2135" spans="1:49" ht="14.45" hidden="1" customHeight="1" outlineLevel="2">
      <c r="A2135" s="8" t="str">
        <f t="shared" ref="A2135" si="8575">IF(SUM(P2135:V2136)&gt;0,"S","N")</f>
        <v>N</v>
      </c>
      <c r="B2135" s="150">
        <v>1064611</v>
      </c>
      <c r="C2135" s="150" t="s">
        <v>2454</v>
      </c>
      <c r="D2135" s="120" t="s">
        <v>534</v>
      </c>
      <c r="E2135" s="892" t="s">
        <v>2455</v>
      </c>
      <c r="F2135" s="902" t="s">
        <v>52</v>
      </c>
      <c r="G2135" s="528"/>
      <c r="H2135" s="546" t="s">
        <v>37</v>
      </c>
      <c r="I2135" s="711">
        <v>0</v>
      </c>
      <c r="J2135" s="896" t="str">
        <f t="shared" ref="J2135" si="8576">IFERROR((I2136/I2135),"-")</f>
        <v>-</v>
      </c>
      <c r="K2135" s="528"/>
      <c r="L2135" s="546" t="s">
        <v>37</v>
      </c>
      <c r="M2135" s="711">
        <f t="shared" si="8549"/>
        <v>0</v>
      </c>
      <c r="N2135" s="896" t="str">
        <f t="shared" ref="N2135" si="8577">IFERROR((M2136/M2135),"-")</f>
        <v>-</v>
      </c>
      <c r="O2135" s="528"/>
      <c r="P2135" s="547">
        <v>0</v>
      </c>
      <c r="Q2135" s="547">
        <v>0</v>
      </c>
      <c r="R2135" s="547">
        <v>0</v>
      </c>
      <c r="S2135" s="547">
        <v>0</v>
      </c>
      <c r="T2135" s="547">
        <v>0</v>
      </c>
      <c r="U2135" s="547">
        <v>0</v>
      </c>
      <c r="V2135" s="548">
        <v>0</v>
      </c>
      <c r="W2135" s="528"/>
      <c r="X2135" s="711"/>
      <c r="Y2135" s="896" t="str">
        <f t="shared" ref="Y2135" si="8578">IFERROR((X2136/X2135),"-")</f>
        <v>-</v>
      </c>
      <c r="Z2135" s="528"/>
      <c r="AA2135" s="898">
        <v>0</v>
      </c>
      <c r="AB2135" s="898">
        <v>0</v>
      </c>
      <c r="AC2135" s="903">
        <v>0</v>
      </c>
      <c r="AD2135" s="896" t="str">
        <f t="shared" ref="AD2135" si="8579">IFERROR((AC2135/AB2135),"-")</f>
        <v>-</v>
      </c>
      <c r="AE2135" s="2"/>
      <c r="AF2135" s="884">
        <v>0</v>
      </c>
      <c r="AG2135" s="884"/>
      <c r="AH2135" s="884">
        <v>0</v>
      </c>
      <c r="AI2135" s="884"/>
      <c r="AJ2135" s="884"/>
      <c r="AK2135" s="884">
        <f t="shared" ref="AK2135" si="8580">AF2135+AG2135+AH2135+AI2135+AJ2135+AC2135</f>
        <v>0</v>
      </c>
      <c r="AL2135" s="884">
        <v>0</v>
      </c>
      <c r="AM2135" s="878" t="str">
        <f t="shared" ref="AM2135" si="8581">IFERROR((AK2135/AL2135),"-")</f>
        <v>-</v>
      </c>
      <c r="AN2135" s="2"/>
      <c r="AO2135" s="884">
        <v>99</v>
      </c>
      <c r="AP2135" s="884">
        <f t="shared" ref="AP2135" si="8582">AO2135-AK2135</f>
        <v>99</v>
      </c>
      <c r="AV2135" t="str">
        <f t="shared" si="8527"/>
        <v>Drenagem Superficial</v>
      </c>
      <c r="AW2135" s="4" t="str">
        <f t="shared" si="8518"/>
        <v xml:space="preserve">   Seg. 2.5-A03 - Drenagem Superficial - Valetas de proteção de aterro (Manual)</v>
      </c>
    </row>
    <row r="2136" spans="1:49" ht="14.45" hidden="1" customHeight="1" outlineLevel="2">
      <c r="A2136" s="8" t="str">
        <f t="shared" ref="A2136" si="8583">A2135</f>
        <v>N</v>
      </c>
      <c r="B2136" s="150"/>
      <c r="C2136" s="150" t="s">
        <v>2454</v>
      </c>
      <c r="D2136" s="120" t="s">
        <v>534</v>
      </c>
      <c r="E2136" s="893"/>
      <c r="F2136" s="902"/>
      <c r="G2136" s="528"/>
      <c r="H2136" s="549" t="s">
        <v>38</v>
      </c>
      <c r="I2136" s="711">
        <v>0</v>
      </c>
      <c r="J2136" s="897"/>
      <c r="K2136" s="528"/>
      <c r="L2136" s="549" t="s">
        <v>38</v>
      </c>
      <c r="M2136" s="711">
        <f t="shared" si="8549"/>
        <v>0</v>
      </c>
      <c r="N2136" s="897"/>
      <c r="O2136" s="528"/>
      <c r="P2136" s="548">
        <v>0</v>
      </c>
      <c r="Q2136" s="548">
        <v>0</v>
      </c>
      <c r="R2136" s="548">
        <v>0</v>
      </c>
      <c r="S2136" s="548">
        <v>0</v>
      </c>
      <c r="T2136" s="548">
        <v>0</v>
      </c>
      <c r="U2136" s="548">
        <v>0</v>
      </c>
      <c r="V2136" s="548"/>
      <c r="W2136" s="528"/>
      <c r="X2136" s="711"/>
      <c r="Y2136" s="897"/>
      <c r="Z2136" s="528"/>
      <c r="AA2136" s="899"/>
      <c r="AB2136" s="899"/>
      <c r="AC2136" s="904"/>
      <c r="AD2136" s="905"/>
      <c r="AE2136" s="2"/>
      <c r="AF2136" s="885"/>
      <c r="AG2136" s="885"/>
      <c r="AH2136" s="885"/>
      <c r="AI2136" s="885"/>
      <c r="AJ2136" s="885"/>
      <c r="AK2136" s="885"/>
      <c r="AL2136" s="885"/>
      <c r="AM2136" s="879"/>
      <c r="AN2136" s="2"/>
      <c r="AO2136" s="886"/>
      <c r="AP2136" s="886"/>
      <c r="AV2136" t="str">
        <f t="shared" si="8527"/>
        <v>Drenagem Superficial</v>
      </c>
      <c r="AW2136" s="4" t="str">
        <f t="shared" si="8518"/>
        <v xml:space="preserve">   Seg. 2.5-A03 - Drenagem Superficial - Valetas de proteção de aterro (Manual)</v>
      </c>
    </row>
    <row r="2137" spans="1:49" ht="14.45" hidden="1" customHeight="1" outlineLevel="2" collapsed="1">
      <c r="A2137" s="8" t="str">
        <f t="shared" ref="A2137" si="8584">IF(SUM(P2137:V2138)&gt;0,"S","N")</f>
        <v>N</v>
      </c>
      <c r="B2137" s="150">
        <v>1064622</v>
      </c>
      <c r="C2137" s="150" t="s">
        <v>2456</v>
      </c>
      <c r="D2137" s="120" t="s">
        <v>1295</v>
      </c>
      <c r="E2137" s="892" t="s">
        <v>2457</v>
      </c>
      <c r="F2137" s="902" t="s">
        <v>52</v>
      </c>
      <c r="G2137" s="528"/>
      <c r="H2137" s="546" t="s">
        <v>37</v>
      </c>
      <c r="I2137" s="711">
        <v>0</v>
      </c>
      <c r="J2137" s="896" t="str">
        <f t="shared" ref="J2137" si="8585">IFERROR((I2138/I2137),"-")</f>
        <v>-</v>
      </c>
      <c r="K2137" s="528"/>
      <c r="L2137" s="546" t="s">
        <v>37</v>
      </c>
      <c r="M2137" s="711">
        <f t="shared" si="8549"/>
        <v>0</v>
      </c>
      <c r="N2137" s="896" t="str">
        <f t="shared" ref="N2137" si="8586">IFERROR((M2138/M2137),"-")</f>
        <v>-</v>
      </c>
      <c r="O2137" s="528"/>
      <c r="P2137" s="547">
        <v>0</v>
      </c>
      <c r="Q2137" s="547">
        <v>0</v>
      </c>
      <c r="R2137" s="547">
        <v>0</v>
      </c>
      <c r="S2137" s="547">
        <v>0</v>
      </c>
      <c r="T2137" s="547">
        <v>0</v>
      </c>
      <c r="U2137" s="547">
        <v>0</v>
      </c>
      <c r="V2137" s="548">
        <v>0</v>
      </c>
      <c r="W2137" s="528"/>
      <c r="X2137" s="711"/>
      <c r="Y2137" s="896" t="str">
        <f t="shared" ref="Y2137" si="8587">IFERROR((X2138/X2137),"-")</f>
        <v>-</v>
      </c>
      <c r="Z2137" s="528"/>
      <c r="AA2137" s="898">
        <v>0</v>
      </c>
      <c r="AB2137" s="898">
        <v>0</v>
      </c>
      <c r="AC2137" s="903">
        <v>0</v>
      </c>
      <c r="AD2137" s="896" t="str">
        <f t="shared" ref="AD2137" si="8588">IFERROR((AC2137/AB2137),"-")</f>
        <v>-</v>
      </c>
      <c r="AE2137" s="2"/>
      <c r="AF2137" s="884">
        <v>0</v>
      </c>
      <c r="AG2137" s="884"/>
      <c r="AH2137" s="884">
        <v>0</v>
      </c>
      <c r="AI2137" s="884"/>
      <c r="AJ2137" s="884"/>
      <c r="AK2137" s="884">
        <f t="shared" ref="AK2137" si="8589">AF2137+AG2137+AH2137+AI2137+AJ2137+AC2137</f>
        <v>0</v>
      </c>
      <c r="AL2137" s="884">
        <v>0</v>
      </c>
      <c r="AM2137" s="878" t="str">
        <f t="shared" ref="AM2137" si="8590">IFERROR((AK2137/AL2137),"-")</f>
        <v>-</v>
      </c>
      <c r="AN2137" s="2"/>
      <c r="AO2137" s="884">
        <v>70</v>
      </c>
      <c r="AP2137" s="884">
        <f t="shared" ref="AP2137" si="8591">AO2137-AK2137</f>
        <v>70</v>
      </c>
      <c r="AV2137" t="str">
        <f t="shared" si="8527"/>
        <v>Drenagem Superficial</v>
      </c>
      <c r="AW2137" s="4" t="str">
        <f t="shared" si="8518"/>
        <v xml:space="preserve">   Seg. 2.5-A05 - Drenagem Superficial - Valetas de proteção de aterro (Extrusada)</v>
      </c>
    </row>
    <row r="2138" spans="1:49" ht="14.45" hidden="1" customHeight="1" outlineLevel="2">
      <c r="A2138" s="8" t="str">
        <f t="shared" ref="A2138" si="8592">A2137</f>
        <v>N</v>
      </c>
      <c r="B2138" s="150"/>
      <c r="C2138" s="150" t="s">
        <v>2456</v>
      </c>
      <c r="D2138" s="120" t="s">
        <v>1295</v>
      </c>
      <c r="E2138" s="893"/>
      <c r="F2138" s="902"/>
      <c r="G2138" s="528"/>
      <c r="H2138" s="549" t="s">
        <v>38</v>
      </c>
      <c r="I2138" s="711">
        <v>0</v>
      </c>
      <c r="J2138" s="897"/>
      <c r="K2138" s="528"/>
      <c r="L2138" s="549" t="s">
        <v>38</v>
      </c>
      <c r="M2138" s="711">
        <f t="shared" si="8549"/>
        <v>0</v>
      </c>
      <c r="N2138" s="897"/>
      <c r="O2138" s="528"/>
      <c r="P2138" s="548">
        <v>0</v>
      </c>
      <c r="Q2138" s="548">
        <v>0</v>
      </c>
      <c r="R2138" s="548">
        <v>0</v>
      </c>
      <c r="S2138" s="548">
        <v>0</v>
      </c>
      <c r="T2138" s="548">
        <v>0</v>
      </c>
      <c r="U2138" s="548">
        <v>0</v>
      </c>
      <c r="V2138" s="548"/>
      <c r="W2138" s="528"/>
      <c r="X2138" s="711"/>
      <c r="Y2138" s="897"/>
      <c r="Z2138" s="528"/>
      <c r="AA2138" s="899"/>
      <c r="AB2138" s="899"/>
      <c r="AC2138" s="904"/>
      <c r="AD2138" s="905"/>
      <c r="AE2138" s="2"/>
      <c r="AF2138" s="885"/>
      <c r="AG2138" s="885"/>
      <c r="AH2138" s="885"/>
      <c r="AI2138" s="885"/>
      <c r="AJ2138" s="885"/>
      <c r="AK2138" s="885"/>
      <c r="AL2138" s="885"/>
      <c r="AM2138" s="879"/>
      <c r="AN2138" s="2"/>
      <c r="AO2138" s="886"/>
      <c r="AP2138" s="886"/>
      <c r="AV2138" t="str">
        <f t="shared" si="8527"/>
        <v>Drenagem Superficial</v>
      </c>
      <c r="AW2138" s="4" t="str">
        <f t="shared" si="8518"/>
        <v xml:space="preserve">   Seg. 2.5-A05 - Drenagem Superficial - Valetas de proteção de aterro (Extrusada)</v>
      </c>
    </row>
    <row r="2139" spans="1:49" ht="14.45" hidden="1" customHeight="1" outlineLevel="2">
      <c r="A2139" s="8" t="str">
        <f t="shared" ref="A2139" si="8593">IF(SUM(P2139:V2140)&gt;0,"S","N")</f>
        <v>N</v>
      </c>
      <c r="B2139" s="150">
        <v>1064625</v>
      </c>
      <c r="C2139" s="150" t="s">
        <v>2458</v>
      </c>
      <c r="D2139" s="120" t="s">
        <v>532</v>
      </c>
      <c r="E2139" s="892" t="s">
        <v>2459</v>
      </c>
      <c r="F2139" s="902" t="s">
        <v>52</v>
      </c>
      <c r="G2139" s="528"/>
      <c r="H2139" s="546" t="s">
        <v>37</v>
      </c>
      <c r="I2139" s="711">
        <v>0</v>
      </c>
      <c r="J2139" s="896" t="str">
        <f t="shared" ref="J2139" si="8594">IFERROR((I2140/I2139),"-")</f>
        <v>-</v>
      </c>
      <c r="K2139" s="528"/>
      <c r="L2139" s="546" t="s">
        <v>37</v>
      </c>
      <c r="M2139" s="711">
        <f t="shared" si="8549"/>
        <v>0</v>
      </c>
      <c r="N2139" s="896" t="str">
        <f t="shared" ref="N2139" si="8595">IFERROR((M2140/M2139),"-")</f>
        <v>-</v>
      </c>
      <c r="O2139" s="528"/>
      <c r="P2139" s="547">
        <v>0</v>
      </c>
      <c r="Q2139" s="547">
        <v>0</v>
      </c>
      <c r="R2139" s="547">
        <v>0</v>
      </c>
      <c r="S2139" s="547">
        <v>0</v>
      </c>
      <c r="T2139" s="547">
        <v>0</v>
      </c>
      <c r="U2139" s="547">
        <v>0</v>
      </c>
      <c r="V2139" s="548">
        <v>0</v>
      </c>
      <c r="W2139" s="528"/>
      <c r="X2139" s="711"/>
      <c r="Y2139" s="896" t="str">
        <f t="shared" ref="Y2139" si="8596">IFERROR((X2140/X2139),"-")</f>
        <v>-</v>
      </c>
      <c r="Z2139" s="528"/>
      <c r="AA2139" s="898">
        <v>0</v>
      </c>
      <c r="AB2139" s="898">
        <v>0</v>
      </c>
      <c r="AC2139" s="903">
        <v>0</v>
      </c>
      <c r="AD2139" s="896" t="str">
        <f t="shared" ref="AD2139" si="8597">IFERROR((AC2139/AB2139),"-")</f>
        <v>-</v>
      </c>
      <c r="AE2139" s="2"/>
      <c r="AF2139" s="884">
        <v>0</v>
      </c>
      <c r="AG2139" s="884"/>
      <c r="AH2139" s="884">
        <v>0</v>
      </c>
      <c r="AI2139" s="884"/>
      <c r="AJ2139" s="884"/>
      <c r="AK2139" s="884">
        <f t="shared" ref="AK2139" si="8598">AF2139+AG2139+AH2139+AI2139+AJ2139+AC2139</f>
        <v>0</v>
      </c>
      <c r="AL2139" s="884">
        <v>0</v>
      </c>
      <c r="AM2139" s="878" t="str">
        <f t="shared" ref="AM2139" si="8599">IFERROR((AK2139/AL2139),"-")</f>
        <v>-</v>
      </c>
      <c r="AN2139" s="2"/>
      <c r="AO2139" s="884">
        <v>541</v>
      </c>
      <c r="AP2139" s="884">
        <f t="shared" ref="AP2139" si="8600">AO2139-AK2139</f>
        <v>541</v>
      </c>
      <c r="AV2139" t="str">
        <f t="shared" si="8527"/>
        <v>Drenagem Superficial</v>
      </c>
      <c r="AW2139" s="4" t="str">
        <f t="shared" si="8518"/>
        <v xml:space="preserve">   Seg. 2.5-A06 - Drenagem Superficial - Valetas de proteção de aterro (Extrusada)</v>
      </c>
    </row>
    <row r="2140" spans="1:49" ht="14.45" hidden="1" customHeight="1" outlineLevel="2">
      <c r="A2140" s="8" t="str">
        <f t="shared" ref="A2140" si="8601">A2139</f>
        <v>N</v>
      </c>
      <c r="B2140" s="150"/>
      <c r="C2140" s="150" t="s">
        <v>2458</v>
      </c>
      <c r="D2140" s="120" t="s">
        <v>532</v>
      </c>
      <c r="E2140" s="893"/>
      <c r="F2140" s="902"/>
      <c r="G2140" s="528"/>
      <c r="H2140" s="549" t="s">
        <v>38</v>
      </c>
      <c r="I2140" s="711">
        <v>0</v>
      </c>
      <c r="J2140" s="897"/>
      <c r="K2140" s="528"/>
      <c r="L2140" s="549" t="s">
        <v>38</v>
      </c>
      <c r="M2140" s="711">
        <f t="shared" si="8549"/>
        <v>0</v>
      </c>
      <c r="N2140" s="897"/>
      <c r="O2140" s="528"/>
      <c r="P2140" s="548">
        <v>0</v>
      </c>
      <c r="Q2140" s="548">
        <v>0</v>
      </c>
      <c r="R2140" s="548">
        <v>0</v>
      </c>
      <c r="S2140" s="548">
        <v>0</v>
      </c>
      <c r="T2140" s="548">
        <v>0</v>
      </c>
      <c r="U2140" s="548">
        <v>0</v>
      </c>
      <c r="V2140" s="548"/>
      <c r="W2140" s="528"/>
      <c r="X2140" s="711"/>
      <c r="Y2140" s="897"/>
      <c r="Z2140" s="528"/>
      <c r="AA2140" s="899"/>
      <c r="AB2140" s="899"/>
      <c r="AC2140" s="904"/>
      <c r="AD2140" s="905"/>
      <c r="AE2140" s="2"/>
      <c r="AF2140" s="885"/>
      <c r="AG2140" s="885"/>
      <c r="AH2140" s="885"/>
      <c r="AI2140" s="885"/>
      <c r="AJ2140" s="885"/>
      <c r="AK2140" s="885"/>
      <c r="AL2140" s="885"/>
      <c r="AM2140" s="879"/>
      <c r="AN2140" s="2"/>
      <c r="AO2140" s="886"/>
      <c r="AP2140" s="886"/>
      <c r="AV2140" t="str">
        <f t="shared" si="8527"/>
        <v>Drenagem Superficial</v>
      </c>
      <c r="AW2140" s="4" t="str">
        <f t="shared" si="8518"/>
        <v xml:space="preserve">   Seg. 2.5-A06 - Drenagem Superficial - Valetas de proteção de aterro (Extrusada)</v>
      </c>
    </row>
    <row r="2141" spans="1:49" ht="14.45" hidden="1" customHeight="1" outlineLevel="2">
      <c r="A2141" s="8" t="str">
        <f t="shared" ref="A2141" si="8602">IF(SUM(P2141:V2142)&gt;0,"S","N")</f>
        <v>S</v>
      </c>
      <c r="B2141" s="150">
        <v>1064631</v>
      </c>
      <c r="C2141" s="150" t="s">
        <v>2460</v>
      </c>
      <c r="D2141" s="120" t="s">
        <v>1993</v>
      </c>
      <c r="E2141" s="892" t="s">
        <v>2461</v>
      </c>
      <c r="F2141" s="902" t="s">
        <v>52</v>
      </c>
      <c r="G2141" s="528"/>
      <c r="H2141" s="546" t="s">
        <v>37</v>
      </c>
      <c r="I2141" s="711">
        <v>400</v>
      </c>
      <c r="J2141" s="896">
        <f t="shared" ref="J2141" si="8603">IFERROR((I2142/I2141),"-")</f>
        <v>0</v>
      </c>
      <c r="K2141" s="528"/>
      <c r="L2141" s="546" t="s">
        <v>37</v>
      </c>
      <c r="M2141" s="711">
        <f t="shared" si="8549"/>
        <v>0</v>
      </c>
      <c r="N2141" s="896" t="str">
        <f t="shared" ref="N2141" si="8604">IFERROR((M2142/M2141),"-")</f>
        <v>-</v>
      </c>
      <c r="O2141" s="528"/>
      <c r="P2141" s="547">
        <v>0</v>
      </c>
      <c r="Q2141" s="547">
        <v>0</v>
      </c>
      <c r="R2141" s="547">
        <v>0</v>
      </c>
      <c r="S2141" s="547">
        <v>0</v>
      </c>
      <c r="T2141" s="547">
        <v>0</v>
      </c>
      <c r="U2141" s="547">
        <v>0</v>
      </c>
      <c r="V2141" s="548">
        <v>0</v>
      </c>
      <c r="W2141" s="528"/>
      <c r="X2141" s="711"/>
      <c r="Y2141" s="896" t="str">
        <f t="shared" ref="Y2141" si="8605">IFERROR((X2142/X2141),"-")</f>
        <v>-</v>
      </c>
      <c r="Z2141" s="528"/>
      <c r="AA2141" s="898">
        <v>0</v>
      </c>
      <c r="AB2141" s="898">
        <v>0</v>
      </c>
      <c r="AC2141" s="903">
        <v>346</v>
      </c>
      <c r="AD2141" s="896" t="str">
        <f t="shared" ref="AD2141" si="8606">IFERROR((AC2141/AB2141),"-")</f>
        <v>-</v>
      </c>
      <c r="AE2141" s="2"/>
      <c r="AF2141" s="884">
        <v>0</v>
      </c>
      <c r="AG2141" s="884"/>
      <c r="AH2141" s="884">
        <v>604</v>
      </c>
      <c r="AI2141" s="884"/>
      <c r="AJ2141" s="884"/>
      <c r="AK2141" s="884">
        <f t="shared" ref="AK2141" si="8607">AF2141+AG2141+AH2141+AI2141+AJ2141+AC2141</f>
        <v>950</v>
      </c>
      <c r="AL2141" s="884">
        <v>500</v>
      </c>
      <c r="AM2141" s="878">
        <f t="shared" ref="AM2141" si="8608">IFERROR((AK2141/AL2141),"-")</f>
        <v>1.9</v>
      </c>
      <c r="AN2141" s="2"/>
      <c r="AO2141" s="884">
        <v>1503</v>
      </c>
      <c r="AP2141" s="884">
        <f t="shared" ref="AP2141" si="8609">AO2141-AK2141</f>
        <v>553</v>
      </c>
      <c r="AV2141" t="str">
        <f t="shared" si="8527"/>
        <v>Drenagem Superficial</v>
      </c>
      <c r="AW2141" s="4" t="str">
        <f t="shared" si="8518"/>
        <v xml:space="preserve">   Seg. 2.5-A07 - Drenagem Superficial - Valetas de proteção de aterro (Extrusada)</v>
      </c>
    </row>
    <row r="2142" spans="1:49" ht="14.45" hidden="1" customHeight="1" outlineLevel="2">
      <c r="A2142" s="8" t="str">
        <f t="shared" ref="A2142" si="8610">A2141</f>
        <v>S</v>
      </c>
      <c r="B2142" s="150"/>
      <c r="C2142" s="150" t="s">
        <v>2460</v>
      </c>
      <c r="D2142" s="120" t="s">
        <v>1993</v>
      </c>
      <c r="E2142" s="893"/>
      <c r="F2142" s="902"/>
      <c r="G2142" s="528"/>
      <c r="H2142" s="549" t="s">
        <v>38</v>
      </c>
      <c r="I2142" s="711">
        <v>0</v>
      </c>
      <c r="J2142" s="897"/>
      <c r="K2142" s="528"/>
      <c r="L2142" s="549" t="s">
        <v>38</v>
      </c>
      <c r="M2142" s="711">
        <f t="shared" si="8549"/>
        <v>175</v>
      </c>
      <c r="N2142" s="897"/>
      <c r="O2142" s="528"/>
      <c r="P2142" s="548">
        <v>171</v>
      </c>
      <c r="Q2142" s="548">
        <v>175</v>
      </c>
      <c r="R2142" s="548">
        <v>0</v>
      </c>
      <c r="S2142" s="548">
        <v>0</v>
      </c>
      <c r="T2142" s="548">
        <v>0</v>
      </c>
      <c r="U2142" s="548">
        <v>0</v>
      </c>
      <c r="V2142" s="548"/>
      <c r="W2142" s="528"/>
      <c r="X2142" s="711"/>
      <c r="Y2142" s="897"/>
      <c r="Z2142" s="528"/>
      <c r="AA2142" s="899"/>
      <c r="AB2142" s="899"/>
      <c r="AC2142" s="904"/>
      <c r="AD2142" s="905"/>
      <c r="AE2142" s="2"/>
      <c r="AF2142" s="885"/>
      <c r="AG2142" s="885"/>
      <c r="AH2142" s="885"/>
      <c r="AI2142" s="885"/>
      <c r="AJ2142" s="885"/>
      <c r="AK2142" s="885"/>
      <c r="AL2142" s="885"/>
      <c r="AM2142" s="879"/>
      <c r="AN2142" s="2"/>
      <c r="AO2142" s="886"/>
      <c r="AP2142" s="886"/>
      <c r="AV2142" t="str">
        <f t="shared" si="8527"/>
        <v>Drenagem Superficial</v>
      </c>
      <c r="AW2142" s="4" t="str">
        <f t="shared" si="8518"/>
        <v xml:space="preserve">   Seg. 2.5-A07 - Drenagem Superficial - Valetas de proteção de aterro (Extrusada)</v>
      </c>
    </row>
    <row r="2143" spans="1:49" ht="14.45" hidden="1" customHeight="1" outlineLevel="2">
      <c r="A2143" s="8" t="str">
        <f t="shared" ref="A2143" si="8611">IF(SUM(P2143:V2144)&gt;0,"S","N")</f>
        <v>N</v>
      </c>
      <c r="B2143" s="150">
        <v>1064636</v>
      </c>
      <c r="C2143" s="150" t="s">
        <v>2462</v>
      </c>
      <c r="D2143" s="120" t="s">
        <v>1299</v>
      </c>
      <c r="E2143" s="892" t="s">
        <v>2463</v>
      </c>
      <c r="F2143" s="902" t="s">
        <v>52</v>
      </c>
      <c r="G2143" s="528"/>
      <c r="H2143" s="546" t="s">
        <v>37</v>
      </c>
      <c r="I2143" s="711">
        <v>0</v>
      </c>
      <c r="J2143" s="896" t="str">
        <f t="shared" ref="J2143" si="8612">IFERROR((I2144/I2143),"-")</f>
        <v>-</v>
      </c>
      <c r="K2143" s="528"/>
      <c r="L2143" s="546" t="s">
        <v>37</v>
      </c>
      <c r="M2143" s="711">
        <f t="shared" si="8549"/>
        <v>0</v>
      </c>
      <c r="N2143" s="896" t="str">
        <f t="shared" ref="N2143" si="8613">IFERROR((M2144/M2143),"-")</f>
        <v>-</v>
      </c>
      <c r="O2143" s="528"/>
      <c r="P2143" s="547">
        <v>0</v>
      </c>
      <c r="Q2143" s="547">
        <v>0</v>
      </c>
      <c r="R2143" s="547">
        <v>0</v>
      </c>
      <c r="S2143" s="547">
        <v>0</v>
      </c>
      <c r="T2143" s="547">
        <v>0</v>
      </c>
      <c r="U2143" s="547">
        <v>0</v>
      </c>
      <c r="V2143" s="548">
        <v>0</v>
      </c>
      <c r="W2143" s="528"/>
      <c r="X2143" s="711"/>
      <c r="Y2143" s="896" t="str">
        <f t="shared" ref="Y2143" si="8614">IFERROR((X2144/X2143),"-")</f>
        <v>-</v>
      </c>
      <c r="Z2143" s="528"/>
      <c r="AA2143" s="898">
        <v>0</v>
      </c>
      <c r="AB2143" s="898">
        <v>0</v>
      </c>
      <c r="AC2143" s="903">
        <v>0</v>
      </c>
      <c r="AD2143" s="896" t="str">
        <f t="shared" ref="AD2143" si="8615">IFERROR((AC2143/AB2143),"-")</f>
        <v>-</v>
      </c>
      <c r="AE2143" s="2"/>
      <c r="AF2143" s="884">
        <v>0</v>
      </c>
      <c r="AG2143" s="884"/>
      <c r="AH2143" s="884">
        <v>0</v>
      </c>
      <c r="AI2143" s="884"/>
      <c r="AJ2143" s="884"/>
      <c r="AK2143" s="884">
        <f t="shared" ref="AK2143" si="8616">AF2143+AG2143+AH2143+AI2143+AJ2143+AC2143</f>
        <v>0</v>
      </c>
      <c r="AL2143" s="884">
        <v>0</v>
      </c>
      <c r="AM2143" s="878" t="str">
        <f t="shared" ref="AM2143" si="8617">IFERROR((AK2143/AL2143),"-")</f>
        <v>-</v>
      </c>
      <c r="AN2143" s="2"/>
      <c r="AO2143" s="884">
        <v>41</v>
      </c>
      <c r="AP2143" s="884">
        <f t="shared" ref="AP2143" si="8618">AO2143-AK2143</f>
        <v>41</v>
      </c>
      <c r="AV2143" t="str">
        <f t="shared" si="8527"/>
        <v>Drenagem Superficial</v>
      </c>
      <c r="AW2143" s="4" t="str">
        <f t="shared" si="8518"/>
        <v xml:space="preserve">   Seg. 2.5-A08 - Drenagem Superficial - Valetas de proteção de aterro (Extrusada)</v>
      </c>
    </row>
    <row r="2144" spans="1:49" ht="14.45" hidden="1" customHeight="1" outlineLevel="2">
      <c r="A2144" s="8" t="str">
        <f t="shared" ref="A2144" si="8619">A2143</f>
        <v>N</v>
      </c>
      <c r="B2144" s="150"/>
      <c r="C2144" s="150" t="s">
        <v>2462</v>
      </c>
      <c r="D2144" s="120" t="s">
        <v>1299</v>
      </c>
      <c r="E2144" s="893"/>
      <c r="F2144" s="902"/>
      <c r="G2144" s="528"/>
      <c r="H2144" s="549" t="s">
        <v>38</v>
      </c>
      <c r="I2144" s="711">
        <v>0</v>
      </c>
      <c r="J2144" s="897"/>
      <c r="K2144" s="528"/>
      <c r="L2144" s="549" t="s">
        <v>38</v>
      </c>
      <c r="M2144" s="711">
        <f t="shared" si="8549"/>
        <v>0</v>
      </c>
      <c r="N2144" s="897"/>
      <c r="O2144" s="528"/>
      <c r="P2144" s="548">
        <v>0</v>
      </c>
      <c r="Q2144" s="548">
        <v>0</v>
      </c>
      <c r="R2144" s="548">
        <v>0</v>
      </c>
      <c r="S2144" s="548">
        <v>0</v>
      </c>
      <c r="T2144" s="548">
        <v>0</v>
      </c>
      <c r="U2144" s="548">
        <v>0</v>
      </c>
      <c r="V2144" s="548"/>
      <c r="W2144" s="528"/>
      <c r="X2144" s="711"/>
      <c r="Y2144" s="897"/>
      <c r="Z2144" s="528"/>
      <c r="AA2144" s="899"/>
      <c r="AB2144" s="899"/>
      <c r="AC2144" s="904"/>
      <c r="AD2144" s="905"/>
      <c r="AE2144" s="2"/>
      <c r="AF2144" s="885"/>
      <c r="AG2144" s="885"/>
      <c r="AH2144" s="885"/>
      <c r="AI2144" s="885"/>
      <c r="AJ2144" s="885"/>
      <c r="AK2144" s="885"/>
      <c r="AL2144" s="885"/>
      <c r="AM2144" s="879"/>
      <c r="AN2144" s="2"/>
      <c r="AO2144" s="886"/>
      <c r="AP2144" s="886"/>
      <c r="AV2144" t="str">
        <f t="shared" si="8527"/>
        <v>Drenagem Superficial</v>
      </c>
      <c r="AW2144" s="4" t="str">
        <f t="shared" si="8518"/>
        <v xml:space="preserve">   Seg. 2.5-A08 - Drenagem Superficial - Valetas de proteção de aterro (Extrusada)</v>
      </c>
    </row>
    <row r="2145" spans="1:49" ht="14.45" hidden="1" customHeight="1" outlineLevel="2">
      <c r="A2145" s="8" t="str">
        <f t="shared" ref="A2145" si="8620">IF(SUM(P2145:V2146)&gt;0,"S","N")</f>
        <v>S</v>
      </c>
      <c r="B2145" s="150">
        <v>1064639</v>
      </c>
      <c r="C2145" s="150" t="s">
        <v>2464</v>
      </c>
      <c r="D2145" s="120" t="s">
        <v>536</v>
      </c>
      <c r="E2145" s="892" t="s">
        <v>2465</v>
      </c>
      <c r="F2145" s="902" t="s">
        <v>52</v>
      </c>
      <c r="G2145" s="528"/>
      <c r="H2145" s="546" t="s">
        <v>37</v>
      </c>
      <c r="I2145" s="711">
        <v>66</v>
      </c>
      <c r="J2145" s="896">
        <f t="shared" ref="J2145" si="8621">IFERROR((I2146/I2145),"-")</f>
        <v>0</v>
      </c>
      <c r="K2145" s="528"/>
      <c r="L2145" s="546" t="s">
        <v>37</v>
      </c>
      <c r="M2145" s="711">
        <f t="shared" si="8549"/>
        <v>70</v>
      </c>
      <c r="N2145" s="896">
        <f t="shared" ref="N2145" si="8622">IFERROR((M2146/M2145),"-")</f>
        <v>0</v>
      </c>
      <c r="O2145" s="528"/>
      <c r="P2145" s="547">
        <v>70</v>
      </c>
      <c r="Q2145" s="547">
        <v>70</v>
      </c>
      <c r="R2145" s="547">
        <v>70</v>
      </c>
      <c r="S2145" s="547">
        <v>70</v>
      </c>
      <c r="T2145" s="547">
        <v>60</v>
      </c>
      <c r="U2145" s="547">
        <v>60</v>
      </c>
      <c r="V2145" s="548">
        <v>0</v>
      </c>
      <c r="W2145" s="528"/>
      <c r="X2145" s="711"/>
      <c r="Y2145" s="896" t="str">
        <f t="shared" ref="Y2145" si="8623">IFERROR((X2146/X2145),"-")</f>
        <v>-</v>
      </c>
      <c r="Z2145" s="528"/>
      <c r="AA2145" s="898">
        <v>0</v>
      </c>
      <c r="AB2145" s="898">
        <v>0</v>
      </c>
      <c r="AC2145" s="903">
        <v>0</v>
      </c>
      <c r="AD2145" s="896" t="str">
        <f t="shared" ref="AD2145" si="8624">IFERROR((AC2145/AB2145),"-")</f>
        <v>-</v>
      </c>
      <c r="AE2145" s="2"/>
      <c r="AF2145" s="884">
        <v>0</v>
      </c>
      <c r="AG2145" s="884"/>
      <c r="AH2145" s="884">
        <v>0</v>
      </c>
      <c r="AI2145" s="884"/>
      <c r="AJ2145" s="884"/>
      <c r="AK2145" s="884">
        <f t="shared" ref="AK2145" si="8625">AF2145+AG2145+AH2145+AI2145+AJ2145+AC2145</f>
        <v>0</v>
      </c>
      <c r="AL2145" s="884">
        <v>0</v>
      </c>
      <c r="AM2145" s="878" t="str">
        <f t="shared" ref="AM2145" si="8626">IFERROR((AK2145/AL2145),"-")</f>
        <v>-</v>
      </c>
      <c r="AN2145" s="2"/>
      <c r="AO2145" s="884">
        <v>66</v>
      </c>
      <c r="AP2145" s="884">
        <f t="shared" ref="AP2145" si="8627">AO2145-AK2145</f>
        <v>66</v>
      </c>
      <c r="AV2145" t="str">
        <f t="shared" si="8527"/>
        <v>Drenagem Superficial</v>
      </c>
      <c r="AW2145" s="4" t="str">
        <f t="shared" si="8518"/>
        <v xml:space="preserve">   Seg. 2.5-A09 - Drenagem Superficial - Valetas de proteção de aterro (Manual)</v>
      </c>
    </row>
    <row r="2146" spans="1:49" ht="14.45" hidden="1" customHeight="1" outlineLevel="2">
      <c r="A2146" s="8" t="str">
        <f t="shared" ref="A2146" si="8628">A2145</f>
        <v>S</v>
      </c>
      <c r="B2146" s="150"/>
      <c r="C2146" s="150" t="s">
        <v>2464</v>
      </c>
      <c r="D2146" s="120" t="s">
        <v>536</v>
      </c>
      <c r="E2146" s="893"/>
      <c r="F2146" s="902"/>
      <c r="G2146" s="528"/>
      <c r="H2146" s="549" t="s">
        <v>38</v>
      </c>
      <c r="I2146" s="711">
        <v>0</v>
      </c>
      <c r="J2146" s="897"/>
      <c r="K2146" s="528"/>
      <c r="L2146" s="549" t="s">
        <v>38</v>
      </c>
      <c r="M2146" s="711">
        <f t="shared" si="8549"/>
        <v>0</v>
      </c>
      <c r="N2146" s="897"/>
      <c r="O2146" s="528"/>
      <c r="P2146" s="548">
        <v>0</v>
      </c>
      <c r="Q2146" s="548">
        <v>0</v>
      </c>
      <c r="R2146" s="548">
        <v>0</v>
      </c>
      <c r="S2146" s="548">
        <v>0</v>
      </c>
      <c r="T2146" s="548">
        <v>0</v>
      </c>
      <c r="U2146" s="548">
        <v>0</v>
      </c>
      <c r="V2146" s="548"/>
      <c r="W2146" s="528"/>
      <c r="X2146" s="711"/>
      <c r="Y2146" s="897"/>
      <c r="Z2146" s="528"/>
      <c r="AA2146" s="899"/>
      <c r="AB2146" s="899"/>
      <c r="AC2146" s="904"/>
      <c r="AD2146" s="905"/>
      <c r="AE2146" s="2"/>
      <c r="AF2146" s="885"/>
      <c r="AG2146" s="885"/>
      <c r="AH2146" s="885"/>
      <c r="AI2146" s="885"/>
      <c r="AJ2146" s="885"/>
      <c r="AK2146" s="885"/>
      <c r="AL2146" s="885"/>
      <c r="AM2146" s="879"/>
      <c r="AN2146" s="2"/>
      <c r="AO2146" s="886"/>
      <c r="AP2146" s="886"/>
      <c r="AV2146" t="str">
        <f t="shared" si="8527"/>
        <v>Drenagem Superficial</v>
      </c>
      <c r="AW2146" s="4" t="str">
        <f t="shared" si="8518"/>
        <v xml:space="preserve">   Seg. 2.5-A09 - Drenagem Superficial - Valetas de proteção de aterro (Manual)</v>
      </c>
    </row>
    <row r="2147" spans="1:49" ht="14.45" hidden="1" customHeight="1" outlineLevel="2">
      <c r="A2147" s="8" t="str">
        <f t="shared" ref="A2147" si="8629">IF(SUM(P2147:V2148)&gt;0,"S","N")</f>
        <v>N</v>
      </c>
      <c r="B2147" s="150">
        <v>1064644</v>
      </c>
      <c r="C2147" s="150" t="s">
        <v>2466</v>
      </c>
      <c r="D2147" s="120" t="s">
        <v>530</v>
      </c>
      <c r="E2147" s="892" t="s">
        <v>2467</v>
      </c>
      <c r="F2147" s="902" t="s">
        <v>52</v>
      </c>
      <c r="G2147" s="528"/>
      <c r="H2147" s="546" t="s">
        <v>37</v>
      </c>
      <c r="I2147" s="711">
        <v>404</v>
      </c>
      <c r="J2147" s="896">
        <f t="shared" ref="J2147" si="8630">IFERROR((I2148/I2147),"-")</f>
        <v>0</v>
      </c>
      <c r="K2147" s="528"/>
      <c r="L2147" s="546" t="s">
        <v>37</v>
      </c>
      <c r="M2147" s="711">
        <f t="shared" si="8549"/>
        <v>0</v>
      </c>
      <c r="N2147" s="896" t="str">
        <f t="shared" ref="N2147" si="8631">IFERROR((M2148/M2147),"-")</f>
        <v>-</v>
      </c>
      <c r="O2147" s="528"/>
      <c r="P2147" s="547">
        <v>0</v>
      </c>
      <c r="Q2147" s="547">
        <v>0</v>
      </c>
      <c r="R2147" s="547">
        <v>0</v>
      </c>
      <c r="S2147" s="547">
        <v>0</v>
      </c>
      <c r="T2147" s="547">
        <v>0</v>
      </c>
      <c r="U2147" s="547">
        <v>0</v>
      </c>
      <c r="V2147" s="548">
        <v>0</v>
      </c>
      <c r="W2147" s="528"/>
      <c r="X2147" s="711"/>
      <c r="Y2147" s="896" t="str">
        <f t="shared" ref="Y2147" si="8632">IFERROR((X2148/X2147),"-")</f>
        <v>-</v>
      </c>
      <c r="Z2147" s="528"/>
      <c r="AA2147" s="898">
        <v>0</v>
      </c>
      <c r="AB2147" s="898">
        <v>0</v>
      </c>
      <c r="AC2147" s="903">
        <v>0</v>
      </c>
      <c r="AD2147" s="896" t="str">
        <f t="shared" ref="AD2147" si="8633">IFERROR((AC2147/AB2147),"-")</f>
        <v>-</v>
      </c>
      <c r="AE2147" s="2"/>
      <c r="AF2147" s="884">
        <v>0</v>
      </c>
      <c r="AG2147" s="884"/>
      <c r="AH2147" s="884">
        <v>0</v>
      </c>
      <c r="AI2147" s="884"/>
      <c r="AJ2147" s="884"/>
      <c r="AK2147" s="884">
        <f t="shared" ref="AK2147" si="8634">AF2147+AG2147+AH2147+AI2147+AJ2147+AC2147</f>
        <v>0</v>
      </c>
      <c r="AL2147" s="884">
        <v>0</v>
      </c>
      <c r="AM2147" s="878" t="str">
        <f t="shared" ref="AM2147" si="8635">IFERROR((AK2147/AL2147),"-")</f>
        <v>-</v>
      </c>
      <c r="AN2147" s="2"/>
      <c r="AO2147" s="884">
        <v>404</v>
      </c>
      <c r="AP2147" s="884">
        <f t="shared" ref="AP2147" si="8636">AO2147-AK2147</f>
        <v>404</v>
      </c>
      <c r="AV2147" t="str">
        <f t="shared" si="8527"/>
        <v>Drenagem Superficial</v>
      </c>
      <c r="AW2147" s="4" t="str">
        <f t="shared" si="8518"/>
        <v xml:space="preserve">   Seg. 2.5-A10 - Drenagem Superficial - Valetas de proteção de aterro (Extrusada)</v>
      </c>
    </row>
    <row r="2148" spans="1:49" ht="14.45" hidden="1" customHeight="1" outlineLevel="2">
      <c r="A2148" s="8" t="str">
        <f t="shared" ref="A2148" si="8637">A2147</f>
        <v>N</v>
      </c>
      <c r="B2148" s="150"/>
      <c r="C2148" s="150" t="s">
        <v>2466</v>
      </c>
      <c r="D2148" s="120" t="s">
        <v>530</v>
      </c>
      <c r="E2148" s="893"/>
      <c r="F2148" s="902"/>
      <c r="G2148" s="528"/>
      <c r="H2148" s="549" t="s">
        <v>38</v>
      </c>
      <c r="I2148" s="711">
        <v>0</v>
      </c>
      <c r="J2148" s="897"/>
      <c r="K2148" s="528"/>
      <c r="L2148" s="549" t="s">
        <v>38</v>
      </c>
      <c r="M2148" s="711">
        <f t="shared" si="8549"/>
        <v>0</v>
      </c>
      <c r="N2148" s="897"/>
      <c r="O2148" s="528"/>
      <c r="P2148" s="548">
        <v>0</v>
      </c>
      <c r="Q2148" s="548">
        <v>0</v>
      </c>
      <c r="R2148" s="548">
        <v>0</v>
      </c>
      <c r="S2148" s="548">
        <v>0</v>
      </c>
      <c r="T2148" s="548">
        <v>0</v>
      </c>
      <c r="U2148" s="548">
        <v>0</v>
      </c>
      <c r="V2148" s="548"/>
      <c r="W2148" s="528"/>
      <c r="X2148" s="711"/>
      <c r="Y2148" s="897"/>
      <c r="Z2148" s="528"/>
      <c r="AA2148" s="899"/>
      <c r="AB2148" s="899"/>
      <c r="AC2148" s="904"/>
      <c r="AD2148" s="905"/>
      <c r="AE2148" s="2"/>
      <c r="AF2148" s="885"/>
      <c r="AG2148" s="885"/>
      <c r="AH2148" s="885"/>
      <c r="AI2148" s="885"/>
      <c r="AJ2148" s="885"/>
      <c r="AK2148" s="885"/>
      <c r="AL2148" s="885"/>
      <c r="AM2148" s="879"/>
      <c r="AN2148" s="2"/>
      <c r="AO2148" s="886"/>
      <c r="AP2148" s="886"/>
      <c r="AV2148" t="str">
        <f t="shared" si="8527"/>
        <v>Drenagem Superficial</v>
      </c>
      <c r="AW2148" s="4" t="str">
        <f t="shared" si="8518"/>
        <v xml:space="preserve">   Seg. 2.5-A10 - Drenagem Superficial - Valetas de proteção de aterro (Extrusada)</v>
      </c>
    </row>
    <row r="2149" spans="1:49" ht="14.45" hidden="1" customHeight="1" outlineLevel="2">
      <c r="A2149" s="8" t="str">
        <f t="shared" ref="A2149" si="8638">IF(SUM(P2149:V2150)&gt;0,"S","N")</f>
        <v>N</v>
      </c>
      <c r="B2149" s="150">
        <v>1064646</v>
      </c>
      <c r="C2149" s="150" t="s">
        <v>2468</v>
      </c>
      <c r="D2149" s="120" t="s">
        <v>518</v>
      </c>
      <c r="E2149" s="892" t="s">
        <v>2469</v>
      </c>
      <c r="F2149" s="902" t="s">
        <v>52</v>
      </c>
      <c r="G2149" s="528"/>
      <c r="H2149" s="546" t="s">
        <v>37</v>
      </c>
      <c r="I2149" s="711">
        <v>466</v>
      </c>
      <c r="J2149" s="896">
        <f t="shared" ref="J2149" si="8639">IFERROR((I2150/I2149),"-")</f>
        <v>0</v>
      </c>
      <c r="K2149" s="528"/>
      <c r="L2149" s="546" t="s">
        <v>37</v>
      </c>
      <c r="M2149" s="711">
        <f t="shared" si="8549"/>
        <v>0</v>
      </c>
      <c r="N2149" s="896" t="str">
        <f t="shared" ref="N2149" si="8640">IFERROR((M2150/M2149),"-")</f>
        <v>-</v>
      </c>
      <c r="O2149" s="528"/>
      <c r="P2149" s="547">
        <v>0</v>
      </c>
      <c r="Q2149" s="547">
        <v>0</v>
      </c>
      <c r="R2149" s="547">
        <v>0</v>
      </c>
      <c r="S2149" s="547">
        <v>0</v>
      </c>
      <c r="T2149" s="547">
        <v>0</v>
      </c>
      <c r="U2149" s="547">
        <v>0</v>
      </c>
      <c r="V2149" s="548">
        <v>0</v>
      </c>
      <c r="W2149" s="528"/>
      <c r="X2149" s="711"/>
      <c r="Y2149" s="896" t="str">
        <f t="shared" ref="Y2149" si="8641">IFERROR((X2150/X2149),"-")</f>
        <v>-</v>
      </c>
      <c r="Z2149" s="528"/>
      <c r="AA2149" s="898">
        <v>0</v>
      </c>
      <c r="AB2149" s="898">
        <v>0</v>
      </c>
      <c r="AC2149" s="903">
        <v>0</v>
      </c>
      <c r="AD2149" s="896" t="str">
        <f t="shared" ref="AD2149" si="8642">IFERROR((AC2149/AB2149),"-")</f>
        <v>-</v>
      </c>
      <c r="AE2149" s="2"/>
      <c r="AF2149" s="884">
        <v>0</v>
      </c>
      <c r="AG2149" s="884"/>
      <c r="AH2149" s="884">
        <v>0</v>
      </c>
      <c r="AI2149" s="884"/>
      <c r="AJ2149" s="884"/>
      <c r="AK2149" s="884">
        <f t="shared" ref="AK2149" si="8643">AF2149+AG2149+AH2149+AI2149+AJ2149+AC2149</f>
        <v>0</v>
      </c>
      <c r="AL2149" s="884">
        <v>0</v>
      </c>
      <c r="AM2149" s="878" t="str">
        <f t="shared" ref="AM2149" si="8644">IFERROR((AK2149/AL2149),"-")</f>
        <v>-</v>
      </c>
      <c r="AN2149" s="2"/>
      <c r="AO2149" s="884">
        <v>837</v>
      </c>
      <c r="AP2149" s="884">
        <f t="shared" ref="AP2149" si="8645">AO2149-AK2149</f>
        <v>837</v>
      </c>
      <c r="AV2149" t="str">
        <f t="shared" si="8527"/>
        <v>Drenagem Superficial</v>
      </c>
      <c r="AW2149" s="4" t="str">
        <f t="shared" si="8518"/>
        <v xml:space="preserve">   Seg. 2.5-A11 - Drenagem Superficial - Valetas de proteção de aterro (Extrusada)</v>
      </c>
    </row>
    <row r="2150" spans="1:49" ht="14.45" hidden="1" customHeight="1" outlineLevel="2">
      <c r="A2150" s="8" t="str">
        <f t="shared" ref="A2150" si="8646">A2149</f>
        <v>N</v>
      </c>
      <c r="B2150" s="150"/>
      <c r="C2150" s="150" t="s">
        <v>2468</v>
      </c>
      <c r="D2150" s="120" t="s">
        <v>518</v>
      </c>
      <c r="E2150" s="893"/>
      <c r="F2150" s="902"/>
      <c r="G2150" s="528"/>
      <c r="H2150" s="549" t="s">
        <v>38</v>
      </c>
      <c r="I2150" s="711">
        <v>0</v>
      </c>
      <c r="J2150" s="897"/>
      <c r="K2150" s="528"/>
      <c r="L2150" s="549" t="s">
        <v>38</v>
      </c>
      <c r="M2150" s="711">
        <f t="shared" si="8549"/>
        <v>0</v>
      </c>
      <c r="N2150" s="897"/>
      <c r="O2150" s="528"/>
      <c r="P2150" s="548">
        <v>0</v>
      </c>
      <c r="Q2150" s="548">
        <v>0</v>
      </c>
      <c r="R2150" s="548">
        <v>0</v>
      </c>
      <c r="S2150" s="548">
        <v>0</v>
      </c>
      <c r="T2150" s="548">
        <v>0</v>
      </c>
      <c r="U2150" s="548">
        <v>0</v>
      </c>
      <c r="V2150" s="548"/>
      <c r="W2150" s="528"/>
      <c r="X2150" s="711"/>
      <c r="Y2150" s="897"/>
      <c r="Z2150" s="528"/>
      <c r="AA2150" s="899"/>
      <c r="AB2150" s="899"/>
      <c r="AC2150" s="904"/>
      <c r="AD2150" s="905"/>
      <c r="AE2150" s="2"/>
      <c r="AF2150" s="885"/>
      <c r="AG2150" s="885"/>
      <c r="AH2150" s="885"/>
      <c r="AI2150" s="885"/>
      <c r="AJ2150" s="885"/>
      <c r="AK2150" s="885"/>
      <c r="AL2150" s="885"/>
      <c r="AM2150" s="879"/>
      <c r="AN2150" s="2"/>
      <c r="AO2150" s="886"/>
      <c r="AP2150" s="886"/>
      <c r="AV2150" t="str">
        <f t="shared" si="8527"/>
        <v>Drenagem Superficial</v>
      </c>
      <c r="AW2150" s="4" t="str">
        <f t="shared" si="8518"/>
        <v xml:space="preserve">   Seg. 2.5-A11 - Drenagem Superficial - Valetas de proteção de aterro (Extrusada)</v>
      </c>
    </row>
    <row r="2151" spans="1:49" ht="14.45" hidden="1" customHeight="1" outlineLevel="2">
      <c r="A2151" s="8" t="str">
        <f t="shared" ref="A2151" si="8647">IF(SUM(P2151:V2152)&gt;0,"S","N")</f>
        <v>N</v>
      </c>
      <c r="B2151" s="150">
        <v>1064651</v>
      </c>
      <c r="C2151" s="150" t="s">
        <v>2470</v>
      </c>
      <c r="D2151" s="120" t="s">
        <v>1304</v>
      </c>
      <c r="E2151" s="892" t="s">
        <v>2471</v>
      </c>
      <c r="F2151" s="902" t="s">
        <v>52</v>
      </c>
      <c r="G2151" s="528"/>
      <c r="H2151" s="546" t="s">
        <v>37</v>
      </c>
      <c r="I2151" s="711">
        <v>0</v>
      </c>
      <c r="J2151" s="896" t="str">
        <f t="shared" ref="J2151" si="8648">IFERROR((I2152/I2151),"-")</f>
        <v>-</v>
      </c>
      <c r="K2151" s="528"/>
      <c r="L2151" s="546" t="s">
        <v>37</v>
      </c>
      <c r="M2151" s="711">
        <f t="shared" si="8549"/>
        <v>0</v>
      </c>
      <c r="N2151" s="896" t="str">
        <f t="shared" ref="N2151" si="8649">IFERROR((M2152/M2151),"-")</f>
        <v>-</v>
      </c>
      <c r="O2151" s="528"/>
      <c r="P2151" s="547">
        <v>0</v>
      </c>
      <c r="Q2151" s="547">
        <v>0</v>
      </c>
      <c r="R2151" s="547">
        <v>0</v>
      </c>
      <c r="S2151" s="547">
        <v>0</v>
      </c>
      <c r="T2151" s="547">
        <v>0</v>
      </c>
      <c r="U2151" s="547">
        <v>0</v>
      </c>
      <c r="V2151" s="548">
        <v>0</v>
      </c>
      <c r="W2151" s="528"/>
      <c r="X2151" s="711"/>
      <c r="Y2151" s="896" t="str">
        <f t="shared" ref="Y2151" si="8650">IFERROR((X2152/X2151),"-")</f>
        <v>-</v>
      </c>
      <c r="Z2151" s="528"/>
      <c r="AA2151" s="898">
        <v>0</v>
      </c>
      <c r="AB2151" s="898">
        <v>0</v>
      </c>
      <c r="AC2151" s="903">
        <v>0</v>
      </c>
      <c r="AD2151" s="896" t="str">
        <f t="shared" ref="AD2151" si="8651">IFERROR((AC2151/AB2151),"-")</f>
        <v>-</v>
      </c>
      <c r="AE2151" s="2"/>
      <c r="AF2151" s="884">
        <v>0</v>
      </c>
      <c r="AG2151" s="884"/>
      <c r="AH2151" s="884">
        <v>0</v>
      </c>
      <c r="AI2151" s="884"/>
      <c r="AJ2151" s="884"/>
      <c r="AK2151" s="884">
        <f t="shared" ref="AK2151" si="8652">AF2151+AG2151+AH2151+AI2151+AJ2151+AC2151</f>
        <v>0</v>
      </c>
      <c r="AL2151" s="884">
        <v>0</v>
      </c>
      <c r="AM2151" s="878" t="str">
        <f t="shared" ref="AM2151" si="8653">IFERROR((AK2151/AL2151),"-")</f>
        <v>-</v>
      </c>
      <c r="AN2151" s="2"/>
      <c r="AO2151" s="884">
        <v>51</v>
      </c>
      <c r="AP2151" s="884">
        <f t="shared" ref="AP2151" si="8654">AO2151-AK2151</f>
        <v>51</v>
      </c>
      <c r="AV2151" t="str">
        <f t="shared" si="8527"/>
        <v>Drenagem Superficial</v>
      </c>
      <c r="AW2151" s="4" t="str">
        <f t="shared" si="8518"/>
        <v xml:space="preserve">   Seg. 2.5-A12 - Drenagem Superficial - Valetas de proteção de aterro (Extrusada)</v>
      </c>
    </row>
    <row r="2152" spans="1:49" ht="14.45" hidden="1" customHeight="1" outlineLevel="2">
      <c r="A2152" s="8" t="str">
        <f t="shared" ref="A2152" si="8655">A2151</f>
        <v>N</v>
      </c>
      <c r="B2152" s="150"/>
      <c r="C2152" s="150" t="s">
        <v>2470</v>
      </c>
      <c r="D2152" s="120" t="s">
        <v>1304</v>
      </c>
      <c r="E2152" s="893"/>
      <c r="F2152" s="902"/>
      <c r="G2152" s="528"/>
      <c r="H2152" s="549" t="s">
        <v>38</v>
      </c>
      <c r="I2152" s="711">
        <v>0</v>
      </c>
      <c r="J2152" s="897"/>
      <c r="K2152" s="528"/>
      <c r="L2152" s="549" t="s">
        <v>38</v>
      </c>
      <c r="M2152" s="711">
        <f t="shared" si="8549"/>
        <v>0</v>
      </c>
      <c r="N2152" s="897"/>
      <c r="O2152" s="528"/>
      <c r="P2152" s="548">
        <v>0</v>
      </c>
      <c r="Q2152" s="548">
        <v>0</v>
      </c>
      <c r="R2152" s="548">
        <v>0</v>
      </c>
      <c r="S2152" s="548">
        <v>0</v>
      </c>
      <c r="T2152" s="548">
        <v>0</v>
      </c>
      <c r="U2152" s="548">
        <v>0</v>
      </c>
      <c r="V2152" s="548"/>
      <c r="W2152" s="528"/>
      <c r="X2152" s="711"/>
      <c r="Y2152" s="897"/>
      <c r="Z2152" s="528"/>
      <c r="AA2152" s="899"/>
      <c r="AB2152" s="899"/>
      <c r="AC2152" s="904"/>
      <c r="AD2152" s="905"/>
      <c r="AE2152" s="2"/>
      <c r="AF2152" s="885"/>
      <c r="AG2152" s="885"/>
      <c r="AH2152" s="885"/>
      <c r="AI2152" s="885"/>
      <c r="AJ2152" s="885"/>
      <c r="AK2152" s="885"/>
      <c r="AL2152" s="885"/>
      <c r="AM2152" s="879"/>
      <c r="AN2152" s="2"/>
      <c r="AO2152" s="886"/>
      <c r="AP2152" s="886"/>
      <c r="AV2152" t="str">
        <f t="shared" si="8527"/>
        <v>Drenagem Superficial</v>
      </c>
      <c r="AW2152" s="4" t="str">
        <f t="shared" si="8518"/>
        <v xml:space="preserve">   Seg. 2.5-A12 - Drenagem Superficial - Valetas de proteção de aterro (Extrusada)</v>
      </c>
    </row>
    <row r="2153" spans="1:49" ht="14.45" hidden="1" customHeight="1" outlineLevel="2">
      <c r="A2153" s="8" t="str">
        <f t="shared" ref="A2153" si="8656">IF(SUM(P2153:V2154)&gt;0,"S","N")</f>
        <v>N</v>
      </c>
      <c r="B2153" s="150">
        <v>1064653</v>
      </c>
      <c r="C2153" s="150" t="s">
        <v>2472</v>
      </c>
      <c r="D2153" s="120" t="s">
        <v>520</v>
      </c>
      <c r="E2153" s="892" t="s">
        <v>2473</v>
      </c>
      <c r="F2153" s="902" t="s">
        <v>52</v>
      </c>
      <c r="G2153" s="528"/>
      <c r="H2153" s="546" t="s">
        <v>37</v>
      </c>
      <c r="I2153" s="711">
        <v>0</v>
      </c>
      <c r="J2153" s="896" t="str">
        <f t="shared" ref="J2153" si="8657">IFERROR((I2154/I2153),"-")</f>
        <v>-</v>
      </c>
      <c r="K2153" s="528"/>
      <c r="L2153" s="546" t="s">
        <v>37</v>
      </c>
      <c r="M2153" s="711">
        <f t="shared" si="8549"/>
        <v>0</v>
      </c>
      <c r="N2153" s="896" t="str">
        <f t="shared" ref="N2153" si="8658">IFERROR((M2154/M2153),"-")</f>
        <v>-</v>
      </c>
      <c r="O2153" s="528"/>
      <c r="P2153" s="547">
        <v>0</v>
      </c>
      <c r="Q2153" s="547">
        <v>0</v>
      </c>
      <c r="R2153" s="547">
        <v>0</v>
      </c>
      <c r="S2153" s="547">
        <v>0</v>
      </c>
      <c r="T2153" s="547">
        <v>0</v>
      </c>
      <c r="U2153" s="547">
        <v>0</v>
      </c>
      <c r="V2153" s="548">
        <v>0</v>
      </c>
      <c r="W2153" s="528"/>
      <c r="X2153" s="711"/>
      <c r="Y2153" s="896" t="str">
        <f t="shared" ref="Y2153" si="8659">IFERROR((X2154/X2153),"-")</f>
        <v>-</v>
      </c>
      <c r="Z2153" s="528"/>
      <c r="AA2153" s="898">
        <v>0</v>
      </c>
      <c r="AB2153" s="898">
        <v>0</v>
      </c>
      <c r="AC2153" s="903">
        <v>0</v>
      </c>
      <c r="AD2153" s="896" t="str">
        <f t="shared" ref="AD2153" si="8660">IFERROR((AC2153/AB2153),"-")</f>
        <v>-</v>
      </c>
      <c r="AE2153" s="2"/>
      <c r="AF2153" s="884">
        <v>0</v>
      </c>
      <c r="AG2153" s="884"/>
      <c r="AH2153" s="884">
        <v>0</v>
      </c>
      <c r="AI2153" s="884"/>
      <c r="AJ2153" s="884"/>
      <c r="AK2153" s="884">
        <f t="shared" ref="AK2153" si="8661">AF2153+AG2153+AH2153+AI2153+AJ2153+AC2153</f>
        <v>0</v>
      </c>
      <c r="AL2153" s="884">
        <v>0</v>
      </c>
      <c r="AM2153" s="878" t="str">
        <f t="shared" ref="AM2153" si="8662">IFERROR((AK2153/AL2153),"-")</f>
        <v>-</v>
      </c>
      <c r="AN2153" s="2"/>
      <c r="AO2153" s="884">
        <v>891</v>
      </c>
      <c r="AP2153" s="884">
        <f t="shared" ref="AP2153" si="8663">AO2153-AK2153</f>
        <v>891</v>
      </c>
      <c r="AV2153" t="str">
        <f t="shared" si="8527"/>
        <v>Drenagem Superficial</v>
      </c>
      <c r="AW2153" s="4" t="str">
        <f t="shared" si="8518"/>
        <v xml:space="preserve">   Seg. 2.5-A13 - Drenagem Superficial - Valetas de proteção de aterro (Extrusada)</v>
      </c>
    </row>
    <row r="2154" spans="1:49" ht="14.45" hidden="1" customHeight="1" outlineLevel="2">
      <c r="A2154" s="8" t="str">
        <f t="shared" ref="A2154" si="8664">A2153</f>
        <v>N</v>
      </c>
      <c r="B2154" s="150"/>
      <c r="C2154" s="150" t="s">
        <v>2472</v>
      </c>
      <c r="D2154" s="120" t="s">
        <v>520</v>
      </c>
      <c r="E2154" s="893"/>
      <c r="F2154" s="902"/>
      <c r="G2154" s="528"/>
      <c r="H2154" s="549" t="s">
        <v>38</v>
      </c>
      <c r="I2154" s="711">
        <v>0</v>
      </c>
      <c r="J2154" s="897"/>
      <c r="K2154" s="528"/>
      <c r="L2154" s="549" t="s">
        <v>38</v>
      </c>
      <c r="M2154" s="711">
        <f t="shared" si="8549"/>
        <v>0</v>
      </c>
      <c r="N2154" s="897"/>
      <c r="O2154" s="528"/>
      <c r="P2154" s="548">
        <v>0</v>
      </c>
      <c r="Q2154" s="548">
        <v>0</v>
      </c>
      <c r="R2154" s="548">
        <v>0</v>
      </c>
      <c r="S2154" s="548">
        <v>0</v>
      </c>
      <c r="T2154" s="548">
        <v>0</v>
      </c>
      <c r="U2154" s="548">
        <v>0</v>
      </c>
      <c r="V2154" s="548"/>
      <c r="W2154" s="528"/>
      <c r="X2154" s="711"/>
      <c r="Y2154" s="897"/>
      <c r="Z2154" s="528"/>
      <c r="AA2154" s="899"/>
      <c r="AB2154" s="899"/>
      <c r="AC2154" s="904"/>
      <c r="AD2154" s="905"/>
      <c r="AE2154" s="2"/>
      <c r="AF2154" s="885"/>
      <c r="AG2154" s="885"/>
      <c r="AH2154" s="885"/>
      <c r="AI2154" s="885"/>
      <c r="AJ2154" s="885"/>
      <c r="AK2154" s="885"/>
      <c r="AL2154" s="885"/>
      <c r="AM2154" s="879"/>
      <c r="AN2154" s="2"/>
      <c r="AO2154" s="886"/>
      <c r="AP2154" s="886"/>
      <c r="AV2154" t="str">
        <f t="shared" si="8527"/>
        <v>Drenagem Superficial</v>
      </c>
      <c r="AW2154" s="4" t="str">
        <f t="shared" si="8518"/>
        <v xml:space="preserve">   Seg. 2.5-A13 - Drenagem Superficial - Valetas de proteção de aterro (Extrusada)</v>
      </c>
    </row>
    <row r="2155" spans="1:49" ht="14.45" hidden="1" customHeight="1" outlineLevel="2">
      <c r="A2155" s="8" t="str">
        <f t="shared" ref="A2155" si="8665">IF(SUM(P2155:V2156)&gt;0,"S","N")</f>
        <v>S</v>
      </c>
      <c r="B2155" s="150">
        <v>1064959</v>
      </c>
      <c r="C2155" s="150" t="s">
        <v>2474</v>
      </c>
      <c r="D2155" s="120" t="s">
        <v>1947</v>
      </c>
      <c r="E2155" s="892" t="s">
        <v>2475</v>
      </c>
      <c r="F2155" s="902" t="s">
        <v>52</v>
      </c>
      <c r="G2155" s="528"/>
      <c r="H2155" s="546" t="s">
        <v>37</v>
      </c>
      <c r="I2155" s="711">
        <v>0</v>
      </c>
      <c r="J2155" s="896" t="str">
        <f t="shared" ref="J2155" si="8666">IFERROR((I2156/I2155),"-")</f>
        <v>-</v>
      </c>
      <c r="K2155" s="528"/>
      <c r="L2155" s="546" t="s">
        <v>37</v>
      </c>
      <c r="M2155" s="711">
        <f t="shared" si="8549"/>
        <v>70</v>
      </c>
      <c r="N2155" s="896">
        <f t="shared" ref="N2155" si="8667">IFERROR((M2156/M2155),"-")</f>
        <v>0</v>
      </c>
      <c r="O2155" s="528"/>
      <c r="P2155" s="547">
        <v>70</v>
      </c>
      <c r="Q2155" s="547">
        <v>70</v>
      </c>
      <c r="R2155" s="547">
        <v>70</v>
      </c>
      <c r="S2155" s="547">
        <v>70</v>
      </c>
      <c r="T2155" s="547">
        <v>60</v>
      </c>
      <c r="U2155" s="547">
        <v>60</v>
      </c>
      <c r="V2155" s="548">
        <v>0</v>
      </c>
      <c r="W2155" s="528"/>
      <c r="X2155" s="711"/>
      <c r="Y2155" s="896" t="str">
        <f t="shared" ref="Y2155" si="8668">IFERROR((X2156/X2155),"-")</f>
        <v>-</v>
      </c>
      <c r="Z2155" s="528"/>
      <c r="AA2155" s="898">
        <v>0</v>
      </c>
      <c r="AB2155" s="898">
        <v>0</v>
      </c>
      <c r="AC2155" s="903">
        <v>0</v>
      </c>
      <c r="AD2155" s="896" t="str">
        <f t="shared" ref="AD2155" si="8669">IFERROR((AC2155/AB2155),"-")</f>
        <v>-</v>
      </c>
      <c r="AE2155" s="2"/>
      <c r="AF2155" s="884">
        <v>0</v>
      </c>
      <c r="AG2155" s="884"/>
      <c r="AH2155" s="884">
        <v>0</v>
      </c>
      <c r="AI2155" s="884"/>
      <c r="AJ2155" s="884"/>
      <c r="AK2155" s="884">
        <f t="shared" ref="AK2155" si="8670">AF2155+AG2155+AH2155+AI2155+AJ2155+AC2155</f>
        <v>0</v>
      </c>
      <c r="AL2155" s="884">
        <v>0</v>
      </c>
      <c r="AM2155" s="878" t="str">
        <f t="shared" ref="AM2155" si="8671">IFERROR((AK2155/AL2155),"-")</f>
        <v>-</v>
      </c>
      <c r="AN2155" s="2"/>
      <c r="AO2155" s="884">
        <v>274.8</v>
      </c>
      <c r="AP2155" s="884">
        <f t="shared" ref="AP2155" si="8672">AO2155-AK2155</f>
        <v>274.8</v>
      </c>
      <c r="AV2155" t="str">
        <f t="shared" si="8527"/>
        <v>Drenagem Superficial</v>
      </c>
      <c r="AW2155" s="4" t="str">
        <f t="shared" si="8518"/>
        <v xml:space="preserve">   Seg. 2.5-Acesso C01 - Drenagem Superficial - Valetas de proteção de aterro/corte (Manual)</v>
      </c>
    </row>
    <row r="2156" spans="1:49" ht="14.45" hidden="1" customHeight="1" outlineLevel="2">
      <c r="A2156" s="8" t="str">
        <f t="shared" ref="A2156" si="8673">A2155</f>
        <v>S</v>
      </c>
      <c r="B2156" s="150"/>
      <c r="C2156" s="150" t="s">
        <v>2474</v>
      </c>
      <c r="D2156" s="120" t="s">
        <v>1947</v>
      </c>
      <c r="E2156" s="893"/>
      <c r="F2156" s="902"/>
      <c r="G2156" s="528"/>
      <c r="H2156" s="549" t="s">
        <v>38</v>
      </c>
      <c r="I2156" s="711">
        <v>0</v>
      </c>
      <c r="J2156" s="897"/>
      <c r="K2156" s="528"/>
      <c r="L2156" s="549" t="s">
        <v>38</v>
      </c>
      <c r="M2156" s="711">
        <f t="shared" si="8549"/>
        <v>0</v>
      </c>
      <c r="N2156" s="897"/>
      <c r="O2156" s="528"/>
      <c r="P2156" s="548">
        <v>0</v>
      </c>
      <c r="Q2156" s="548">
        <v>0</v>
      </c>
      <c r="R2156" s="548">
        <v>0</v>
      </c>
      <c r="S2156" s="548">
        <v>0</v>
      </c>
      <c r="T2156" s="548">
        <v>0</v>
      </c>
      <c r="U2156" s="548">
        <v>0</v>
      </c>
      <c r="V2156" s="548"/>
      <c r="W2156" s="528"/>
      <c r="X2156" s="711"/>
      <c r="Y2156" s="897"/>
      <c r="Z2156" s="528"/>
      <c r="AA2156" s="899"/>
      <c r="AB2156" s="899"/>
      <c r="AC2156" s="904"/>
      <c r="AD2156" s="905"/>
      <c r="AE2156" s="2"/>
      <c r="AF2156" s="885"/>
      <c r="AG2156" s="885"/>
      <c r="AH2156" s="885"/>
      <c r="AI2156" s="885"/>
      <c r="AJ2156" s="885"/>
      <c r="AK2156" s="885"/>
      <c r="AL2156" s="885"/>
      <c r="AM2156" s="879"/>
      <c r="AN2156" s="2"/>
      <c r="AO2156" s="886"/>
      <c r="AP2156" s="886"/>
      <c r="AV2156" t="str">
        <f t="shared" si="8527"/>
        <v>Drenagem Superficial</v>
      </c>
      <c r="AW2156" s="4" t="str">
        <f t="shared" si="8518"/>
        <v xml:space="preserve">   Seg. 2.5-Acesso C01 - Drenagem Superficial - Valetas de proteção de aterro/corte (Manual)</v>
      </c>
    </row>
    <row r="2157" spans="1:49" ht="14.45" hidden="1" customHeight="1" outlineLevel="2">
      <c r="A2157" s="8" t="str">
        <f t="shared" ref="A2157" si="8674">IF(SUM(P2157:V2158)&gt;0,"S","N")</f>
        <v>N</v>
      </c>
      <c r="B2157" s="150">
        <v>1064961</v>
      </c>
      <c r="C2157" s="150" t="s">
        <v>2476</v>
      </c>
      <c r="D2157" s="120" t="s">
        <v>448</v>
      </c>
      <c r="E2157" s="892" t="s">
        <v>2477</v>
      </c>
      <c r="F2157" s="902" t="s">
        <v>52</v>
      </c>
      <c r="G2157" s="528"/>
      <c r="H2157" s="546" t="s">
        <v>37</v>
      </c>
      <c r="I2157" s="711">
        <v>0</v>
      </c>
      <c r="J2157" s="896" t="str">
        <f t="shared" ref="J2157" si="8675">IFERROR((I2158/I2157),"-")</f>
        <v>-</v>
      </c>
      <c r="K2157" s="528"/>
      <c r="L2157" s="546" t="s">
        <v>37</v>
      </c>
      <c r="M2157" s="711">
        <f t="shared" si="8549"/>
        <v>0</v>
      </c>
      <c r="N2157" s="896" t="str">
        <f t="shared" ref="N2157" si="8676">IFERROR((M2158/M2157),"-")</f>
        <v>-</v>
      </c>
      <c r="O2157" s="528"/>
      <c r="P2157" s="547">
        <v>0</v>
      </c>
      <c r="Q2157" s="547">
        <v>0</v>
      </c>
      <c r="R2157" s="547">
        <v>0</v>
      </c>
      <c r="S2157" s="547">
        <v>0</v>
      </c>
      <c r="T2157" s="547">
        <v>0</v>
      </c>
      <c r="U2157" s="547">
        <v>0</v>
      </c>
      <c r="V2157" s="548">
        <v>0</v>
      </c>
      <c r="W2157" s="528"/>
      <c r="X2157" s="711"/>
      <c r="Y2157" s="896" t="str">
        <f t="shared" ref="Y2157" si="8677">IFERROR((X2158/X2157),"-")</f>
        <v>-</v>
      </c>
      <c r="Z2157" s="528"/>
      <c r="AA2157" s="898">
        <v>0</v>
      </c>
      <c r="AB2157" s="898">
        <v>0</v>
      </c>
      <c r="AC2157" s="903">
        <v>0</v>
      </c>
      <c r="AD2157" s="896" t="str">
        <f t="shared" ref="AD2157" si="8678">IFERROR((AC2157/AB2157),"-")</f>
        <v>-</v>
      </c>
      <c r="AE2157" s="2"/>
      <c r="AF2157" s="884">
        <v>0</v>
      </c>
      <c r="AG2157" s="884"/>
      <c r="AH2157" s="884">
        <v>0</v>
      </c>
      <c r="AI2157" s="884"/>
      <c r="AJ2157" s="884"/>
      <c r="AK2157" s="884">
        <f t="shared" ref="AK2157" si="8679">AF2157+AG2157+AH2157+AI2157+AJ2157+AC2157</f>
        <v>0</v>
      </c>
      <c r="AL2157" s="884">
        <v>0</v>
      </c>
      <c r="AM2157" s="878" t="str">
        <f t="shared" ref="AM2157" si="8680">IFERROR((AK2157/AL2157),"-")</f>
        <v>-</v>
      </c>
      <c r="AN2157" s="2"/>
      <c r="AO2157" s="884">
        <v>139</v>
      </c>
      <c r="AP2157" s="884">
        <f t="shared" ref="AP2157" si="8681">AO2157-AK2157</f>
        <v>139</v>
      </c>
      <c r="AV2157" t="str">
        <f t="shared" si="8527"/>
        <v>Drenagem Superficial</v>
      </c>
      <c r="AW2157" s="4" t="str">
        <f t="shared" si="8518"/>
        <v xml:space="preserve">   Seg. 2.5-Acesso C04 - Drenagem Superficial - Valetas de proteção de aterro (Manual)</v>
      </c>
    </row>
    <row r="2158" spans="1:49" ht="14.45" hidden="1" customHeight="1" outlineLevel="2">
      <c r="A2158" s="8" t="str">
        <f t="shared" ref="A2158" si="8682">A2157</f>
        <v>N</v>
      </c>
      <c r="B2158" s="150"/>
      <c r="C2158" s="150" t="s">
        <v>2476</v>
      </c>
      <c r="D2158" s="120" t="s">
        <v>448</v>
      </c>
      <c r="E2158" s="893"/>
      <c r="F2158" s="902"/>
      <c r="G2158" s="528"/>
      <c r="H2158" s="549" t="s">
        <v>38</v>
      </c>
      <c r="I2158" s="711">
        <v>0</v>
      </c>
      <c r="J2158" s="897"/>
      <c r="K2158" s="528"/>
      <c r="L2158" s="549" t="s">
        <v>38</v>
      </c>
      <c r="M2158" s="711">
        <f t="shared" si="8549"/>
        <v>0</v>
      </c>
      <c r="N2158" s="897"/>
      <c r="O2158" s="528"/>
      <c r="P2158" s="548">
        <v>0</v>
      </c>
      <c r="Q2158" s="548">
        <v>0</v>
      </c>
      <c r="R2158" s="548">
        <v>0</v>
      </c>
      <c r="S2158" s="548">
        <v>0</v>
      </c>
      <c r="T2158" s="548">
        <v>0</v>
      </c>
      <c r="U2158" s="548">
        <v>0</v>
      </c>
      <c r="V2158" s="548"/>
      <c r="W2158" s="528"/>
      <c r="X2158" s="711"/>
      <c r="Y2158" s="897"/>
      <c r="Z2158" s="528"/>
      <c r="AA2158" s="899"/>
      <c r="AB2158" s="899"/>
      <c r="AC2158" s="904"/>
      <c r="AD2158" s="905"/>
      <c r="AE2158" s="2"/>
      <c r="AF2158" s="885"/>
      <c r="AG2158" s="885"/>
      <c r="AH2158" s="885"/>
      <c r="AI2158" s="885"/>
      <c r="AJ2158" s="885"/>
      <c r="AK2158" s="885"/>
      <c r="AL2158" s="885"/>
      <c r="AM2158" s="879"/>
      <c r="AN2158" s="2"/>
      <c r="AO2158" s="886"/>
      <c r="AP2158" s="886"/>
      <c r="AV2158" t="str">
        <f t="shared" si="8527"/>
        <v>Drenagem Superficial</v>
      </c>
      <c r="AW2158" s="4" t="str">
        <f t="shared" si="8518"/>
        <v xml:space="preserve">   Seg. 2.5-Acesso C04 - Drenagem Superficial - Valetas de proteção de aterro (Manual)</v>
      </c>
    </row>
    <row r="2159" spans="1:49" ht="14.45" hidden="1" customHeight="1" outlineLevel="2">
      <c r="A2159" s="8" t="str">
        <f t="shared" ref="A2159" si="8683">IF(SUM(P2159:V2160)&gt;0,"S","N")</f>
        <v>N</v>
      </c>
      <c r="B2159" s="150">
        <v>1064962</v>
      </c>
      <c r="C2159" s="150" t="s">
        <v>2478</v>
      </c>
      <c r="D2159" s="120" t="s">
        <v>451</v>
      </c>
      <c r="E2159" s="892" t="s">
        <v>2479</v>
      </c>
      <c r="F2159" s="902" t="s">
        <v>52</v>
      </c>
      <c r="G2159" s="528"/>
      <c r="H2159" s="546" t="s">
        <v>37</v>
      </c>
      <c r="I2159" s="711">
        <v>0</v>
      </c>
      <c r="J2159" s="896" t="str">
        <f t="shared" ref="J2159" si="8684">IFERROR((I2160/I2159),"-")</f>
        <v>-</v>
      </c>
      <c r="K2159" s="528"/>
      <c r="L2159" s="546" t="s">
        <v>37</v>
      </c>
      <c r="M2159" s="711">
        <f t="shared" si="8549"/>
        <v>0</v>
      </c>
      <c r="N2159" s="896" t="str">
        <f t="shared" ref="N2159" si="8685">IFERROR((M2160/M2159),"-")</f>
        <v>-</v>
      </c>
      <c r="O2159" s="528"/>
      <c r="P2159" s="547">
        <v>0</v>
      </c>
      <c r="Q2159" s="547">
        <v>0</v>
      </c>
      <c r="R2159" s="547">
        <v>0</v>
      </c>
      <c r="S2159" s="547">
        <v>0</v>
      </c>
      <c r="T2159" s="547">
        <v>0</v>
      </c>
      <c r="U2159" s="547">
        <v>0</v>
      </c>
      <c r="V2159" s="548">
        <v>0</v>
      </c>
      <c r="W2159" s="528"/>
      <c r="X2159" s="711"/>
      <c r="Y2159" s="896" t="str">
        <f t="shared" ref="Y2159" si="8686">IFERROR((X2160/X2159),"-")</f>
        <v>-</v>
      </c>
      <c r="Z2159" s="528"/>
      <c r="AA2159" s="898">
        <v>0</v>
      </c>
      <c r="AB2159" s="898">
        <v>0</v>
      </c>
      <c r="AC2159" s="903">
        <v>0</v>
      </c>
      <c r="AD2159" s="896" t="str">
        <f t="shared" ref="AD2159" si="8687">IFERROR((AC2159/AB2159),"-")</f>
        <v>-</v>
      </c>
      <c r="AE2159" s="2"/>
      <c r="AF2159" s="884">
        <v>0</v>
      </c>
      <c r="AG2159" s="884"/>
      <c r="AH2159" s="884">
        <v>0</v>
      </c>
      <c r="AI2159" s="884"/>
      <c r="AJ2159" s="884"/>
      <c r="AK2159" s="884">
        <f t="shared" ref="AK2159" si="8688">AF2159+AG2159+AH2159+AI2159+AJ2159+AC2159</f>
        <v>0</v>
      </c>
      <c r="AL2159" s="884">
        <v>0</v>
      </c>
      <c r="AM2159" s="878" t="str">
        <f t="shared" ref="AM2159" si="8689">IFERROR((AK2159/AL2159),"-")</f>
        <v>-</v>
      </c>
      <c r="AN2159" s="2"/>
      <c r="AO2159" s="884">
        <v>97.35</v>
      </c>
      <c r="AP2159" s="884">
        <f t="shared" ref="AP2159" si="8690">AO2159-AK2159</f>
        <v>97.35</v>
      </c>
      <c r="AV2159" t="str">
        <f t="shared" si="8527"/>
        <v>Drenagem Superficial</v>
      </c>
      <c r="AW2159" s="4" t="str">
        <f t="shared" si="8518"/>
        <v xml:space="preserve">   Seg. 2.5-Acesso C07 - Drenagem Superficial - Valetas de proteção de aterro/corte (Manual)</v>
      </c>
    </row>
    <row r="2160" spans="1:49" ht="14.45" hidden="1" customHeight="1" outlineLevel="2">
      <c r="A2160" s="8" t="str">
        <f t="shared" ref="A2160" si="8691">A2159</f>
        <v>N</v>
      </c>
      <c r="B2160" s="150"/>
      <c r="C2160" s="150" t="s">
        <v>2478</v>
      </c>
      <c r="D2160" s="120" t="s">
        <v>451</v>
      </c>
      <c r="E2160" s="893"/>
      <c r="F2160" s="902"/>
      <c r="G2160" s="528"/>
      <c r="H2160" s="549" t="s">
        <v>38</v>
      </c>
      <c r="I2160" s="711">
        <v>0</v>
      </c>
      <c r="J2160" s="897"/>
      <c r="K2160" s="528"/>
      <c r="L2160" s="549" t="s">
        <v>38</v>
      </c>
      <c r="M2160" s="711">
        <f t="shared" si="8549"/>
        <v>0</v>
      </c>
      <c r="N2160" s="897"/>
      <c r="O2160" s="528"/>
      <c r="P2160" s="548">
        <v>0</v>
      </c>
      <c r="Q2160" s="548">
        <v>0</v>
      </c>
      <c r="R2160" s="548">
        <v>0</v>
      </c>
      <c r="S2160" s="548">
        <v>0</v>
      </c>
      <c r="T2160" s="548">
        <v>0</v>
      </c>
      <c r="U2160" s="548">
        <v>0</v>
      </c>
      <c r="V2160" s="548"/>
      <c r="W2160" s="528"/>
      <c r="X2160" s="711"/>
      <c r="Y2160" s="897"/>
      <c r="Z2160" s="528"/>
      <c r="AA2160" s="899"/>
      <c r="AB2160" s="899"/>
      <c r="AC2160" s="904"/>
      <c r="AD2160" s="905"/>
      <c r="AE2160" s="2"/>
      <c r="AF2160" s="885"/>
      <c r="AG2160" s="885"/>
      <c r="AH2160" s="885"/>
      <c r="AI2160" s="885"/>
      <c r="AJ2160" s="885"/>
      <c r="AK2160" s="885"/>
      <c r="AL2160" s="885"/>
      <c r="AM2160" s="879"/>
      <c r="AN2160" s="2"/>
      <c r="AO2160" s="886"/>
      <c r="AP2160" s="886"/>
      <c r="AV2160" t="str">
        <f t="shared" si="8527"/>
        <v>Drenagem Superficial</v>
      </c>
      <c r="AW2160" s="4" t="str">
        <f t="shared" si="8518"/>
        <v xml:space="preserve">   Seg. 2.5-Acesso C07 - Drenagem Superficial - Valetas de proteção de aterro/corte (Manual)</v>
      </c>
    </row>
    <row r="2161" spans="1:49" ht="14.45" hidden="1" customHeight="1" outlineLevel="2">
      <c r="A2161" s="8" t="str">
        <f t="shared" ref="A2161" si="8692">IF(SUM(P2161:V2162)&gt;0,"S","N")</f>
        <v>N</v>
      </c>
      <c r="B2161" s="150">
        <v>1064966</v>
      </c>
      <c r="C2161" s="150" t="s">
        <v>2480</v>
      </c>
      <c r="D2161" s="120" t="s">
        <v>454</v>
      </c>
      <c r="E2161" s="892" t="s">
        <v>2481</v>
      </c>
      <c r="F2161" s="902" t="s">
        <v>52</v>
      </c>
      <c r="G2161" s="528"/>
      <c r="H2161" s="546" t="s">
        <v>37</v>
      </c>
      <c r="I2161" s="711">
        <v>0</v>
      </c>
      <c r="J2161" s="896" t="str">
        <f t="shared" ref="J2161" si="8693">IFERROR((I2162/I2161),"-")</f>
        <v>-</v>
      </c>
      <c r="K2161" s="528"/>
      <c r="L2161" s="546" t="s">
        <v>37</v>
      </c>
      <c r="M2161" s="711">
        <f t="shared" si="8549"/>
        <v>0</v>
      </c>
      <c r="N2161" s="896" t="str">
        <f t="shared" ref="N2161" si="8694">IFERROR((M2162/M2161),"-")</f>
        <v>-</v>
      </c>
      <c r="O2161" s="528"/>
      <c r="P2161" s="547">
        <v>0</v>
      </c>
      <c r="Q2161" s="547">
        <v>0</v>
      </c>
      <c r="R2161" s="547">
        <v>0</v>
      </c>
      <c r="S2161" s="547">
        <v>0</v>
      </c>
      <c r="T2161" s="547">
        <v>0</v>
      </c>
      <c r="U2161" s="547">
        <v>0</v>
      </c>
      <c r="V2161" s="548">
        <v>0</v>
      </c>
      <c r="W2161" s="528"/>
      <c r="X2161" s="711"/>
      <c r="Y2161" s="896" t="str">
        <f t="shared" ref="Y2161" si="8695">IFERROR((X2162/X2161),"-")</f>
        <v>-</v>
      </c>
      <c r="Z2161" s="528"/>
      <c r="AA2161" s="898">
        <v>0</v>
      </c>
      <c r="AB2161" s="898">
        <v>0</v>
      </c>
      <c r="AC2161" s="903">
        <v>0</v>
      </c>
      <c r="AD2161" s="896" t="str">
        <f t="shared" ref="AD2161" si="8696">IFERROR((AC2161/AB2161),"-")</f>
        <v>-</v>
      </c>
      <c r="AE2161" s="2"/>
      <c r="AF2161" s="884">
        <v>0</v>
      </c>
      <c r="AG2161" s="884"/>
      <c r="AH2161" s="884">
        <v>0</v>
      </c>
      <c r="AI2161" s="884"/>
      <c r="AJ2161" s="884"/>
      <c r="AK2161" s="884">
        <f t="shared" ref="AK2161" si="8697">AF2161+AG2161+AH2161+AI2161+AJ2161+AC2161</f>
        <v>0</v>
      </c>
      <c r="AL2161" s="884">
        <v>0</v>
      </c>
      <c r="AM2161" s="878" t="str">
        <f t="shared" ref="AM2161" si="8698">IFERROR((AK2161/AL2161),"-")</f>
        <v>-</v>
      </c>
      <c r="AN2161" s="2"/>
      <c r="AO2161" s="884">
        <v>261.25</v>
      </c>
      <c r="AP2161" s="884">
        <f t="shared" ref="AP2161" si="8699">AO2161-AK2161</f>
        <v>261.25</v>
      </c>
      <c r="AV2161" t="str">
        <f t="shared" si="8527"/>
        <v>Drenagem Superficial</v>
      </c>
      <c r="AW2161" s="4" t="str">
        <f t="shared" si="8518"/>
        <v xml:space="preserve">   Seg. 2.5-Acesso C09 - Drenagem Superficial - Valetas de proteção de aterro (Manual)</v>
      </c>
    </row>
    <row r="2162" spans="1:49" ht="14.45" hidden="1" customHeight="1" outlineLevel="2">
      <c r="A2162" s="8" t="str">
        <f t="shared" ref="A2162" si="8700">A2161</f>
        <v>N</v>
      </c>
      <c r="B2162" s="150"/>
      <c r="C2162" s="150" t="s">
        <v>2480</v>
      </c>
      <c r="D2162" s="120" t="s">
        <v>454</v>
      </c>
      <c r="E2162" s="893"/>
      <c r="F2162" s="902"/>
      <c r="G2162" s="528"/>
      <c r="H2162" s="549" t="s">
        <v>38</v>
      </c>
      <c r="I2162" s="711">
        <v>0</v>
      </c>
      <c r="J2162" s="897"/>
      <c r="K2162" s="528"/>
      <c r="L2162" s="549" t="s">
        <v>38</v>
      </c>
      <c r="M2162" s="711">
        <f t="shared" si="8549"/>
        <v>0</v>
      </c>
      <c r="N2162" s="897"/>
      <c r="O2162" s="528"/>
      <c r="P2162" s="548">
        <v>0</v>
      </c>
      <c r="Q2162" s="548">
        <v>0</v>
      </c>
      <c r="R2162" s="548">
        <v>0</v>
      </c>
      <c r="S2162" s="548">
        <v>0</v>
      </c>
      <c r="T2162" s="548">
        <v>0</v>
      </c>
      <c r="U2162" s="548">
        <v>0</v>
      </c>
      <c r="V2162" s="548"/>
      <c r="W2162" s="528"/>
      <c r="X2162" s="711"/>
      <c r="Y2162" s="897"/>
      <c r="Z2162" s="528"/>
      <c r="AA2162" s="899"/>
      <c r="AB2162" s="899"/>
      <c r="AC2162" s="904"/>
      <c r="AD2162" s="905"/>
      <c r="AE2162" s="2"/>
      <c r="AF2162" s="885"/>
      <c r="AG2162" s="885"/>
      <c r="AH2162" s="885"/>
      <c r="AI2162" s="885"/>
      <c r="AJ2162" s="885"/>
      <c r="AK2162" s="885"/>
      <c r="AL2162" s="885"/>
      <c r="AM2162" s="879"/>
      <c r="AN2162" s="2"/>
      <c r="AO2162" s="886"/>
      <c r="AP2162" s="886"/>
      <c r="AV2162" t="str">
        <f t="shared" si="8527"/>
        <v>Drenagem Superficial</v>
      </c>
      <c r="AW2162" s="4" t="str">
        <f t="shared" si="8518"/>
        <v xml:space="preserve">   Seg. 2.5-Acesso C09 - Drenagem Superficial - Valetas de proteção de aterro (Manual)</v>
      </c>
    </row>
    <row r="2163" spans="1:49" ht="14.45" hidden="1" customHeight="1" outlineLevel="2">
      <c r="A2163" s="8" t="str">
        <f t="shared" ref="A2163" si="8701">IF(SUM(P2163:V2164)&gt;0,"S","N")</f>
        <v>N</v>
      </c>
      <c r="B2163" s="150">
        <v>1064967</v>
      </c>
      <c r="C2163" s="150" t="s">
        <v>2482</v>
      </c>
      <c r="D2163" s="120" t="s">
        <v>457</v>
      </c>
      <c r="E2163" s="892" t="s">
        <v>2483</v>
      </c>
      <c r="F2163" s="902" t="s">
        <v>52</v>
      </c>
      <c r="G2163" s="528"/>
      <c r="H2163" s="546" t="s">
        <v>37</v>
      </c>
      <c r="I2163" s="711">
        <v>0</v>
      </c>
      <c r="J2163" s="896" t="str">
        <f t="shared" ref="J2163" si="8702">IFERROR((I2164/I2163),"-")</f>
        <v>-</v>
      </c>
      <c r="K2163" s="528"/>
      <c r="L2163" s="546" t="s">
        <v>37</v>
      </c>
      <c r="M2163" s="711">
        <f t="shared" si="8549"/>
        <v>0</v>
      </c>
      <c r="N2163" s="896" t="str">
        <f t="shared" ref="N2163" si="8703">IFERROR((M2164/M2163),"-")</f>
        <v>-</v>
      </c>
      <c r="O2163" s="528"/>
      <c r="P2163" s="547">
        <v>0</v>
      </c>
      <c r="Q2163" s="547">
        <v>0</v>
      </c>
      <c r="R2163" s="547">
        <v>0</v>
      </c>
      <c r="S2163" s="547">
        <v>0</v>
      </c>
      <c r="T2163" s="547">
        <v>0</v>
      </c>
      <c r="U2163" s="547">
        <v>0</v>
      </c>
      <c r="V2163" s="548">
        <v>0</v>
      </c>
      <c r="W2163" s="528"/>
      <c r="X2163" s="711"/>
      <c r="Y2163" s="896" t="str">
        <f t="shared" ref="Y2163" si="8704">IFERROR((X2164/X2163),"-")</f>
        <v>-</v>
      </c>
      <c r="Z2163" s="528"/>
      <c r="AA2163" s="898">
        <v>0</v>
      </c>
      <c r="AB2163" s="898">
        <v>0</v>
      </c>
      <c r="AC2163" s="903">
        <v>0</v>
      </c>
      <c r="AD2163" s="896" t="str">
        <f t="shared" ref="AD2163" si="8705">IFERROR((AC2163/AB2163),"-")</f>
        <v>-</v>
      </c>
      <c r="AE2163" s="2"/>
      <c r="AF2163" s="884">
        <v>0</v>
      </c>
      <c r="AG2163" s="884"/>
      <c r="AH2163" s="884">
        <v>0</v>
      </c>
      <c r="AI2163" s="884"/>
      <c r="AJ2163" s="884"/>
      <c r="AK2163" s="884">
        <f t="shared" ref="AK2163" si="8706">AF2163+AG2163+AH2163+AI2163+AJ2163+AC2163</f>
        <v>0</v>
      </c>
      <c r="AL2163" s="884">
        <v>0</v>
      </c>
      <c r="AM2163" s="878" t="str">
        <f t="shared" ref="AM2163" si="8707">IFERROR((AK2163/AL2163),"-")</f>
        <v>-</v>
      </c>
      <c r="AN2163" s="2"/>
      <c r="AO2163" s="884">
        <v>249.35</v>
      </c>
      <c r="AP2163" s="884">
        <f t="shared" ref="AP2163" si="8708">AO2163-AK2163</f>
        <v>249.35</v>
      </c>
      <c r="AV2163" t="str">
        <f t="shared" si="8527"/>
        <v>Drenagem Superficial</v>
      </c>
      <c r="AW2163" s="4" t="str">
        <f t="shared" si="8518"/>
        <v xml:space="preserve">   Seg. 2.5-Acesso A10 - Drenagem Superficial - Valetas de proteção de aterro/corte (Manual)</v>
      </c>
    </row>
    <row r="2164" spans="1:49" ht="14.45" hidden="1" customHeight="1" outlineLevel="2">
      <c r="A2164" s="8" t="str">
        <f t="shared" ref="A2164" si="8709">A2163</f>
        <v>N</v>
      </c>
      <c r="B2164" s="150"/>
      <c r="C2164" s="150" t="s">
        <v>2482</v>
      </c>
      <c r="D2164" s="120" t="s">
        <v>457</v>
      </c>
      <c r="E2164" s="893"/>
      <c r="F2164" s="902"/>
      <c r="G2164" s="528"/>
      <c r="H2164" s="549" t="s">
        <v>38</v>
      </c>
      <c r="I2164" s="711">
        <v>0</v>
      </c>
      <c r="J2164" s="897"/>
      <c r="K2164" s="528"/>
      <c r="L2164" s="549" t="s">
        <v>38</v>
      </c>
      <c r="M2164" s="711">
        <f t="shared" si="8549"/>
        <v>0</v>
      </c>
      <c r="N2164" s="897"/>
      <c r="O2164" s="528"/>
      <c r="P2164" s="548">
        <v>0</v>
      </c>
      <c r="Q2164" s="548">
        <v>0</v>
      </c>
      <c r="R2164" s="548">
        <v>0</v>
      </c>
      <c r="S2164" s="548">
        <v>0</v>
      </c>
      <c r="T2164" s="548">
        <v>0</v>
      </c>
      <c r="U2164" s="548">
        <v>0</v>
      </c>
      <c r="V2164" s="548"/>
      <c r="W2164" s="528"/>
      <c r="X2164" s="711"/>
      <c r="Y2164" s="897"/>
      <c r="Z2164" s="528"/>
      <c r="AA2164" s="899"/>
      <c r="AB2164" s="899"/>
      <c r="AC2164" s="904"/>
      <c r="AD2164" s="905"/>
      <c r="AE2164" s="2"/>
      <c r="AF2164" s="885"/>
      <c r="AG2164" s="885"/>
      <c r="AH2164" s="885"/>
      <c r="AI2164" s="885"/>
      <c r="AJ2164" s="885"/>
      <c r="AK2164" s="885"/>
      <c r="AL2164" s="885"/>
      <c r="AM2164" s="879"/>
      <c r="AN2164" s="2"/>
      <c r="AO2164" s="886"/>
      <c r="AP2164" s="886"/>
      <c r="AV2164" t="str">
        <f t="shared" si="8527"/>
        <v>Drenagem Superficial</v>
      </c>
      <c r="AW2164" s="4" t="str">
        <f t="shared" si="8518"/>
        <v xml:space="preserve">   Seg. 2.5-Acesso A10 - Drenagem Superficial - Valetas de proteção de aterro/corte (Manual)</v>
      </c>
    </row>
    <row r="2165" spans="1:49" ht="14.45" hidden="1" customHeight="1" outlineLevel="2">
      <c r="A2165" s="8" t="str">
        <f t="shared" ref="A2165" si="8710">IF(SUM(P2165:V2166)&gt;0,"S","N")</f>
        <v>N</v>
      </c>
      <c r="B2165" s="150">
        <v>1064971</v>
      </c>
      <c r="C2165" s="150" t="s">
        <v>2484</v>
      </c>
      <c r="D2165" s="120" t="s">
        <v>460</v>
      </c>
      <c r="E2165" s="892" t="s">
        <v>2485</v>
      </c>
      <c r="F2165" s="902" t="s">
        <v>52</v>
      </c>
      <c r="G2165" s="528"/>
      <c r="H2165" s="546" t="s">
        <v>37</v>
      </c>
      <c r="I2165" s="711">
        <v>0</v>
      </c>
      <c r="J2165" s="896" t="str">
        <f t="shared" ref="J2165" si="8711">IFERROR((I2166/I2165),"-")</f>
        <v>-</v>
      </c>
      <c r="K2165" s="528"/>
      <c r="L2165" s="546" t="s">
        <v>37</v>
      </c>
      <c r="M2165" s="711">
        <f t="shared" si="8549"/>
        <v>0</v>
      </c>
      <c r="N2165" s="896" t="str">
        <f t="shared" ref="N2165" si="8712">IFERROR((M2166/M2165),"-")</f>
        <v>-</v>
      </c>
      <c r="O2165" s="528"/>
      <c r="P2165" s="547">
        <v>0</v>
      </c>
      <c r="Q2165" s="547">
        <v>0</v>
      </c>
      <c r="R2165" s="547">
        <v>0</v>
      </c>
      <c r="S2165" s="547">
        <v>0</v>
      </c>
      <c r="T2165" s="547">
        <v>0</v>
      </c>
      <c r="U2165" s="547">
        <v>0</v>
      </c>
      <c r="V2165" s="548">
        <v>0</v>
      </c>
      <c r="W2165" s="528"/>
      <c r="X2165" s="711"/>
      <c r="Y2165" s="896" t="str">
        <f t="shared" ref="Y2165" si="8713">IFERROR((X2166/X2165),"-")</f>
        <v>-</v>
      </c>
      <c r="Z2165" s="528"/>
      <c r="AA2165" s="898">
        <v>0</v>
      </c>
      <c r="AB2165" s="898">
        <v>0</v>
      </c>
      <c r="AC2165" s="903">
        <v>0</v>
      </c>
      <c r="AD2165" s="896" t="str">
        <f t="shared" ref="AD2165" si="8714">IFERROR((AC2165/AB2165),"-")</f>
        <v>-</v>
      </c>
      <c r="AE2165" s="2"/>
      <c r="AF2165" s="884">
        <v>0</v>
      </c>
      <c r="AG2165" s="884"/>
      <c r="AH2165" s="884">
        <v>0</v>
      </c>
      <c r="AI2165" s="884"/>
      <c r="AJ2165" s="884"/>
      <c r="AK2165" s="884">
        <f t="shared" ref="AK2165" si="8715">AF2165+AG2165+AH2165+AI2165+AJ2165+AC2165</f>
        <v>0</v>
      </c>
      <c r="AL2165" s="884">
        <v>0</v>
      </c>
      <c r="AM2165" s="878" t="str">
        <f t="shared" ref="AM2165" si="8716">IFERROR((AK2165/AL2165),"-")</f>
        <v>-</v>
      </c>
      <c r="AN2165" s="2"/>
      <c r="AO2165" s="884">
        <v>303.7</v>
      </c>
      <c r="AP2165" s="884">
        <f t="shared" ref="AP2165" si="8717">AO2165-AK2165</f>
        <v>303.7</v>
      </c>
      <c r="AV2165" t="str">
        <f t="shared" si="8527"/>
        <v>Drenagem Superficial</v>
      </c>
      <c r="AW2165" s="4" t="str">
        <f t="shared" si="8518"/>
        <v xml:space="preserve">   Seg. 2.5-Acesso A13 - Drenagem Superficial - Valetas de proteção de aterro/corte (Manual)</v>
      </c>
    </row>
    <row r="2166" spans="1:49" ht="14.45" hidden="1" customHeight="1" outlineLevel="2">
      <c r="A2166" s="8" t="str">
        <f t="shared" ref="A2166" si="8718">A2165</f>
        <v>N</v>
      </c>
      <c r="B2166" s="150"/>
      <c r="C2166" s="150" t="s">
        <v>2484</v>
      </c>
      <c r="D2166" s="120" t="s">
        <v>460</v>
      </c>
      <c r="E2166" s="893"/>
      <c r="F2166" s="902"/>
      <c r="G2166" s="528"/>
      <c r="H2166" s="549" t="s">
        <v>38</v>
      </c>
      <c r="I2166" s="711">
        <v>0</v>
      </c>
      <c r="J2166" s="897"/>
      <c r="K2166" s="528"/>
      <c r="L2166" s="549" t="s">
        <v>38</v>
      </c>
      <c r="M2166" s="711">
        <f t="shared" si="8549"/>
        <v>0</v>
      </c>
      <c r="N2166" s="897"/>
      <c r="O2166" s="528"/>
      <c r="P2166" s="548">
        <v>0</v>
      </c>
      <c r="Q2166" s="548">
        <v>0</v>
      </c>
      <c r="R2166" s="548">
        <v>0</v>
      </c>
      <c r="S2166" s="548">
        <v>0</v>
      </c>
      <c r="T2166" s="548">
        <v>0</v>
      </c>
      <c r="U2166" s="548">
        <v>0</v>
      </c>
      <c r="V2166" s="548"/>
      <c r="W2166" s="528"/>
      <c r="X2166" s="711"/>
      <c r="Y2166" s="897"/>
      <c r="Z2166" s="528"/>
      <c r="AA2166" s="899"/>
      <c r="AB2166" s="899"/>
      <c r="AC2166" s="904"/>
      <c r="AD2166" s="905"/>
      <c r="AE2166" s="2"/>
      <c r="AF2166" s="885"/>
      <c r="AG2166" s="885"/>
      <c r="AH2166" s="885"/>
      <c r="AI2166" s="885"/>
      <c r="AJ2166" s="885"/>
      <c r="AK2166" s="885"/>
      <c r="AL2166" s="885"/>
      <c r="AM2166" s="879"/>
      <c r="AN2166" s="2"/>
      <c r="AO2166" s="886"/>
      <c r="AP2166" s="886"/>
      <c r="AV2166" t="str">
        <f t="shared" si="8527"/>
        <v>Drenagem Superficial</v>
      </c>
      <c r="AW2166" s="4" t="str">
        <f t="shared" si="8518"/>
        <v xml:space="preserve">   Seg. 2.5-Acesso A13 - Drenagem Superficial - Valetas de proteção de aterro/corte (Manual)</v>
      </c>
    </row>
    <row r="2167" spans="1:49" ht="14.45" hidden="1" customHeight="1" outlineLevel="2">
      <c r="A2167" s="8" t="str">
        <f t="shared" ref="A2167" si="8719">IF(SUM(P2167:V2168)&gt;0,"S","N")</f>
        <v>N</v>
      </c>
      <c r="B2167" s="150">
        <v>1066189</v>
      </c>
      <c r="C2167" s="150" t="s">
        <v>2486</v>
      </c>
      <c r="D2167" s="120" t="s">
        <v>2487</v>
      </c>
      <c r="E2167" s="892" t="s">
        <v>2488</v>
      </c>
      <c r="F2167" s="902" t="s">
        <v>52</v>
      </c>
      <c r="G2167" s="528"/>
      <c r="H2167" s="546" t="s">
        <v>37</v>
      </c>
      <c r="I2167" s="711">
        <v>0</v>
      </c>
      <c r="J2167" s="896" t="str">
        <f t="shared" ref="J2167" si="8720">IFERROR((I2168/I2167),"-")</f>
        <v>-</v>
      </c>
      <c r="K2167" s="528"/>
      <c r="L2167" s="546" t="s">
        <v>37</v>
      </c>
      <c r="M2167" s="711">
        <f t="shared" si="8549"/>
        <v>0</v>
      </c>
      <c r="N2167" s="896" t="str">
        <f t="shared" ref="N2167" si="8721">IFERROR((M2168/M2167),"-")</f>
        <v>-</v>
      </c>
      <c r="O2167" s="528"/>
      <c r="P2167" s="547">
        <v>0</v>
      </c>
      <c r="Q2167" s="547">
        <v>0</v>
      </c>
      <c r="R2167" s="547">
        <v>0</v>
      </c>
      <c r="S2167" s="547">
        <v>0</v>
      </c>
      <c r="T2167" s="547">
        <v>0</v>
      </c>
      <c r="U2167" s="547">
        <v>0</v>
      </c>
      <c r="V2167" s="548">
        <v>0</v>
      </c>
      <c r="W2167" s="528"/>
      <c r="X2167" s="711"/>
      <c r="Y2167" s="896" t="str">
        <f t="shared" ref="Y2167" si="8722">IFERROR((X2168/X2167),"-")</f>
        <v>-</v>
      </c>
      <c r="Z2167" s="528"/>
      <c r="AA2167" s="898">
        <v>988.36</v>
      </c>
      <c r="AB2167" s="898">
        <v>320</v>
      </c>
      <c r="AC2167" s="903">
        <v>0</v>
      </c>
      <c r="AD2167" s="896">
        <f t="shared" ref="AD2167" si="8723">IFERROR((AC2167/AB2167),"-")</f>
        <v>0</v>
      </c>
      <c r="AE2167" s="2"/>
      <c r="AF2167" s="884">
        <v>0</v>
      </c>
      <c r="AG2167" s="884"/>
      <c r="AH2167" s="884">
        <v>0</v>
      </c>
      <c r="AI2167" s="884"/>
      <c r="AJ2167" s="884"/>
      <c r="AK2167" s="884">
        <f t="shared" ref="AK2167" si="8724">AF2167+AG2167+AH2167+AI2167+AJ2167+AC2167</f>
        <v>0</v>
      </c>
      <c r="AL2167" s="884">
        <v>320</v>
      </c>
      <c r="AM2167" s="878">
        <f t="shared" ref="AM2167" si="8725">IFERROR((AK2167/AL2167),"-")</f>
        <v>0</v>
      </c>
      <c r="AN2167" s="2"/>
      <c r="AO2167" s="884">
        <v>988.36</v>
      </c>
      <c r="AP2167" s="884">
        <f t="shared" ref="AP2167" si="8726">AO2167-AK2167</f>
        <v>988.36</v>
      </c>
      <c r="AV2167" t="str">
        <f t="shared" si="8527"/>
        <v>Drenagem Superficial</v>
      </c>
      <c r="AW2167" s="4" t="str">
        <f t="shared" si="8518"/>
        <v xml:space="preserve">   Seg. 2.5-C08 - Drenagem Superficial - Valetas de proteção de corte (Extrusada)</v>
      </c>
    </row>
    <row r="2168" spans="1:49" ht="14.45" hidden="1" customHeight="1" outlineLevel="2">
      <c r="A2168" s="8" t="str">
        <f t="shared" ref="A2168" si="8727">A2167</f>
        <v>N</v>
      </c>
      <c r="B2168" s="150"/>
      <c r="C2168" s="150" t="s">
        <v>2486</v>
      </c>
      <c r="D2168" s="120" t="s">
        <v>2487</v>
      </c>
      <c r="E2168" s="893"/>
      <c r="F2168" s="902"/>
      <c r="G2168" s="528"/>
      <c r="H2168" s="549" t="s">
        <v>38</v>
      </c>
      <c r="I2168" s="711">
        <v>0</v>
      </c>
      <c r="J2168" s="897"/>
      <c r="K2168" s="528"/>
      <c r="L2168" s="549" t="s">
        <v>38</v>
      </c>
      <c r="M2168" s="711">
        <f t="shared" si="8549"/>
        <v>0</v>
      </c>
      <c r="N2168" s="897"/>
      <c r="O2168" s="528"/>
      <c r="P2168" s="548">
        <v>0</v>
      </c>
      <c r="Q2168" s="548">
        <v>0</v>
      </c>
      <c r="R2168" s="548">
        <v>0</v>
      </c>
      <c r="S2168" s="548">
        <v>0</v>
      </c>
      <c r="T2168" s="548">
        <v>0</v>
      </c>
      <c r="U2168" s="548">
        <v>0</v>
      </c>
      <c r="V2168" s="548"/>
      <c r="W2168" s="528"/>
      <c r="X2168" s="711"/>
      <c r="Y2168" s="897"/>
      <c r="Z2168" s="528"/>
      <c r="AA2168" s="899"/>
      <c r="AB2168" s="899"/>
      <c r="AC2168" s="904"/>
      <c r="AD2168" s="905"/>
      <c r="AE2168" s="2"/>
      <c r="AF2168" s="885"/>
      <c r="AG2168" s="885"/>
      <c r="AH2168" s="885"/>
      <c r="AI2168" s="885"/>
      <c r="AJ2168" s="885"/>
      <c r="AK2168" s="885"/>
      <c r="AL2168" s="885"/>
      <c r="AM2168" s="879"/>
      <c r="AN2168" s="2"/>
      <c r="AO2168" s="886"/>
      <c r="AP2168" s="886"/>
      <c r="AV2168" t="str">
        <f t="shared" si="8527"/>
        <v>Drenagem Superficial</v>
      </c>
      <c r="AW2168" s="4" t="str">
        <f t="shared" si="8518"/>
        <v xml:space="preserve">   Seg. 2.5-C08 - Drenagem Superficial - Valetas de proteção de corte (Extrusada)</v>
      </c>
    </row>
    <row r="2169" spans="1:49" ht="14.45" hidden="1" customHeight="1" outlineLevel="2">
      <c r="A2169" s="8" t="str">
        <f t="shared" ref="A2169" si="8728">IF(SUM(P2169:V2170)&gt;0,"S","N")</f>
        <v>N</v>
      </c>
      <c r="B2169" s="150">
        <v>1066237</v>
      </c>
      <c r="C2169" s="150" t="s">
        <v>2489</v>
      </c>
      <c r="D2169" s="120" t="s">
        <v>469</v>
      </c>
      <c r="E2169" s="892" t="s">
        <v>2490</v>
      </c>
      <c r="F2169" s="902" t="s">
        <v>52</v>
      </c>
      <c r="G2169" s="528"/>
      <c r="H2169" s="546" t="s">
        <v>37</v>
      </c>
      <c r="I2169" s="711">
        <v>0</v>
      </c>
      <c r="J2169" s="896" t="str">
        <f t="shared" ref="J2169" si="8729">IFERROR((I2170/I2169),"-")</f>
        <v>-</v>
      </c>
      <c r="K2169" s="528"/>
      <c r="L2169" s="546" t="s">
        <v>37</v>
      </c>
      <c r="M2169" s="711">
        <f t="shared" si="8549"/>
        <v>0</v>
      </c>
      <c r="N2169" s="896" t="str">
        <f t="shared" ref="N2169" si="8730">IFERROR((M2170/M2169),"-")</f>
        <v>-</v>
      </c>
      <c r="O2169" s="528"/>
      <c r="P2169" s="547">
        <v>0</v>
      </c>
      <c r="Q2169" s="547">
        <v>0</v>
      </c>
      <c r="R2169" s="547">
        <v>0</v>
      </c>
      <c r="S2169" s="547">
        <v>0</v>
      </c>
      <c r="T2169" s="547">
        <v>0</v>
      </c>
      <c r="U2169" s="547">
        <v>0</v>
      </c>
      <c r="V2169" s="548">
        <v>0</v>
      </c>
      <c r="W2169" s="528"/>
      <c r="X2169" s="711"/>
      <c r="Y2169" s="896" t="str">
        <f t="shared" ref="Y2169" si="8731">IFERROR((X2170/X2169),"-")</f>
        <v>-</v>
      </c>
      <c r="Z2169" s="528"/>
      <c r="AA2169" s="898">
        <v>0</v>
      </c>
      <c r="AB2169" s="898">
        <v>0</v>
      </c>
      <c r="AC2169" s="903">
        <v>0</v>
      </c>
      <c r="AD2169" s="896" t="str">
        <f t="shared" ref="AD2169" si="8732">IFERROR((AC2169/AB2169),"-")</f>
        <v>-</v>
      </c>
      <c r="AE2169" s="2"/>
      <c r="AF2169" s="884">
        <v>0</v>
      </c>
      <c r="AG2169" s="884"/>
      <c r="AH2169" s="884">
        <v>0</v>
      </c>
      <c r="AI2169" s="884"/>
      <c r="AJ2169" s="884"/>
      <c r="AK2169" s="884">
        <f t="shared" ref="AK2169" si="8733">AF2169+AG2169+AH2169+AI2169+AJ2169+AC2169</f>
        <v>0</v>
      </c>
      <c r="AL2169" s="884">
        <v>162</v>
      </c>
      <c r="AM2169" s="878">
        <f t="shared" ref="AM2169" si="8734">IFERROR((AK2169/AL2169),"-")</f>
        <v>0</v>
      </c>
      <c r="AN2169" s="2"/>
      <c r="AO2169" s="884">
        <v>219.1</v>
      </c>
      <c r="AP2169" s="884">
        <f t="shared" ref="AP2169" si="8735">AO2169-AK2169</f>
        <v>219.1</v>
      </c>
      <c r="AV2169" t="str">
        <f t="shared" si="8527"/>
        <v>Drenagem Superficial</v>
      </c>
      <c r="AW2169" s="4" t="str">
        <f t="shared" si="8518"/>
        <v xml:space="preserve">   Seg. 2.5-C03 - Drenagem Superficial - Valetas de proteção de corte (Manual)</v>
      </c>
    </row>
    <row r="2170" spans="1:49" ht="14.45" hidden="1" customHeight="1" outlineLevel="2">
      <c r="A2170" s="8" t="str">
        <f t="shared" ref="A2170" si="8736">A2169</f>
        <v>N</v>
      </c>
      <c r="B2170" s="150"/>
      <c r="C2170" s="150" t="s">
        <v>2489</v>
      </c>
      <c r="D2170" s="120" t="s">
        <v>469</v>
      </c>
      <c r="E2170" s="893"/>
      <c r="F2170" s="902"/>
      <c r="G2170" s="528"/>
      <c r="H2170" s="549" t="s">
        <v>38</v>
      </c>
      <c r="I2170" s="711">
        <v>0</v>
      </c>
      <c r="J2170" s="897"/>
      <c r="K2170" s="528"/>
      <c r="L2170" s="549" t="s">
        <v>38</v>
      </c>
      <c r="M2170" s="711">
        <f t="shared" si="8549"/>
        <v>0</v>
      </c>
      <c r="N2170" s="897"/>
      <c r="O2170" s="528"/>
      <c r="P2170" s="548">
        <v>0</v>
      </c>
      <c r="Q2170" s="548">
        <v>0</v>
      </c>
      <c r="R2170" s="548">
        <v>0</v>
      </c>
      <c r="S2170" s="548">
        <v>0</v>
      </c>
      <c r="T2170" s="548">
        <v>0</v>
      </c>
      <c r="U2170" s="548">
        <v>0</v>
      </c>
      <c r="V2170" s="548"/>
      <c r="W2170" s="528"/>
      <c r="X2170" s="711"/>
      <c r="Y2170" s="897"/>
      <c r="Z2170" s="528"/>
      <c r="AA2170" s="899"/>
      <c r="AB2170" s="899"/>
      <c r="AC2170" s="904"/>
      <c r="AD2170" s="905"/>
      <c r="AE2170" s="2"/>
      <c r="AF2170" s="885"/>
      <c r="AG2170" s="885"/>
      <c r="AH2170" s="885"/>
      <c r="AI2170" s="885"/>
      <c r="AJ2170" s="885"/>
      <c r="AK2170" s="885"/>
      <c r="AL2170" s="885"/>
      <c r="AM2170" s="879"/>
      <c r="AN2170" s="2"/>
      <c r="AO2170" s="886"/>
      <c r="AP2170" s="886"/>
      <c r="AV2170" t="str">
        <f t="shared" si="8527"/>
        <v>Drenagem Superficial</v>
      </c>
      <c r="AW2170" s="4" t="str">
        <f t="shared" si="8518"/>
        <v xml:space="preserve">   Seg. 2.5-C03 - Drenagem Superficial - Valetas de proteção de corte (Manual)</v>
      </c>
    </row>
    <row r="2171" spans="1:49" ht="14.45" hidden="1" customHeight="1" outlineLevel="2">
      <c r="A2171" s="8" t="str">
        <f t="shared" ref="A2171" si="8737">IF(SUM(P2171:V2172)&gt;0,"S","N")</f>
        <v>S</v>
      </c>
      <c r="B2171" s="150">
        <v>1066248</v>
      </c>
      <c r="C2171" s="150" t="s">
        <v>2491</v>
      </c>
      <c r="D2171" s="120" t="s">
        <v>1972</v>
      </c>
      <c r="E2171" s="892" t="s">
        <v>2492</v>
      </c>
      <c r="F2171" s="902" t="s">
        <v>52</v>
      </c>
      <c r="G2171" s="528"/>
      <c r="H2171" s="546" t="s">
        <v>37</v>
      </c>
      <c r="I2171" s="711">
        <v>268</v>
      </c>
      <c r="J2171" s="896">
        <f t="shared" ref="J2171" si="8738">IFERROR((I2172/I2171),"-")</f>
        <v>0</v>
      </c>
      <c r="K2171" s="528"/>
      <c r="L2171" s="546" t="s">
        <v>37</v>
      </c>
      <c r="M2171" s="711">
        <f t="shared" si="8549"/>
        <v>189</v>
      </c>
      <c r="N2171" s="896">
        <f t="shared" ref="N2171" si="8739">IFERROR((M2172/M2171),"-")</f>
        <v>0</v>
      </c>
      <c r="O2171" s="528"/>
      <c r="P2171" s="547">
        <v>189</v>
      </c>
      <c r="Q2171" s="547">
        <v>189</v>
      </c>
      <c r="R2171" s="547">
        <v>0</v>
      </c>
      <c r="S2171" s="547">
        <v>0</v>
      </c>
      <c r="T2171" s="547">
        <v>0</v>
      </c>
      <c r="U2171" s="547">
        <v>0</v>
      </c>
      <c r="V2171" s="548">
        <v>0</v>
      </c>
      <c r="W2171" s="528"/>
      <c r="X2171" s="711"/>
      <c r="Y2171" s="896" t="str">
        <f t="shared" ref="Y2171" si="8740">IFERROR((X2172/X2171),"-")</f>
        <v>-</v>
      </c>
      <c r="Z2171" s="528"/>
      <c r="AA2171" s="898">
        <v>0</v>
      </c>
      <c r="AB2171" s="898">
        <v>0</v>
      </c>
      <c r="AC2171" s="903">
        <v>0</v>
      </c>
      <c r="AD2171" s="896" t="str">
        <f t="shared" ref="AD2171" si="8741">IFERROR((AC2171/AB2171),"-")</f>
        <v>-</v>
      </c>
      <c r="AE2171" s="2"/>
      <c r="AF2171" s="884">
        <v>0</v>
      </c>
      <c r="AG2171" s="884"/>
      <c r="AH2171" s="884">
        <v>0</v>
      </c>
      <c r="AI2171" s="884"/>
      <c r="AJ2171" s="884"/>
      <c r="AK2171" s="884">
        <f t="shared" ref="AK2171" si="8742">AF2171+AG2171+AH2171+AI2171+AJ2171+AC2171</f>
        <v>0</v>
      </c>
      <c r="AL2171" s="884">
        <v>0</v>
      </c>
      <c r="AM2171" s="878" t="str">
        <f t="shared" ref="AM2171" si="8743">IFERROR((AK2171/AL2171),"-")</f>
        <v>-</v>
      </c>
      <c r="AN2171" s="2"/>
      <c r="AO2171" s="884">
        <v>268.2</v>
      </c>
      <c r="AP2171" s="884">
        <f t="shared" ref="AP2171" si="8744">AO2171-AK2171</f>
        <v>268.2</v>
      </c>
      <c r="AV2171" t="str">
        <f t="shared" si="8527"/>
        <v>Drenagem Superficial</v>
      </c>
      <c r="AW2171" s="4" t="str">
        <f t="shared" si="8518"/>
        <v xml:space="preserve">   Seg. 2.5-C10 - Drenagem Superficial - Valetas de proteção de corte (Extrusada)</v>
      </c>
    </row>
    <row r="2172" spans="1:49" ht="14.45" hidden="1" customHeight="1" outlineLevel="2">
      <c r="A2172" s="8" t="str">
        <f t="shared" ref="A2172" si="8745">A2171</f>
        <v>S</v>
      </c>
      <c r="B2172" s="150"/>
      <c r="C2172" s="150" t="s">
        <v>2491</v>
      </c>
      <c r="D2172" s="120" t="s">
        <v>1972</v>
      </c>
      <c r="E2172" s="893"/>
      <c r="F2172" s="902"/>
      <c r="G2172" s="528"/>
      <c r="H2172" s="549" t="s">
        <v>38</v>
      </c>
      <c r="I2172" s="711">
        <v>0</v>
      </c>
      <c r="J2172" s="897"/>
      <c r="K2172" s="528"/>
      <c r="L2172" s="549" t="s">
        <v>38</v>
      </c>
      <c r="M2172" s="711">
        <f t="shared" si="8549"/>
        <v>0</v>
      </c>
      <c r="N2172" s="897"/>
      <c r="O2172" s="528"/>
      <c r="P2172" s="548">
        <v>0</v>
      </c>
      <c r="Q2172" s="548">
        <v>0</v>
      </c>
      <c r="R2172" s="548">
        <v>0</v>
      </c>
      <c r="S2172" s="548">
        <v>0</v>
      </c>
      <c r="T2172" s="548">
        <v>0</v>
      </c>
      <c r="U2172" s="548">
        <v>0</v>
      </c>
      <c r="V2172" s="548"/>
      <c r="W2172" s="528"/>
      <c r="X2172" s="711"/>
      <c r="Y2172" s="897"/>
      <c r="Z2172" s="528"/>
      <c r="AA2172" s="899"/>
      <c r="AB2172" s="899"/>
      <c r="AC2172" s="904"/>
      <c r="AD2172" s="905"/>
      <c r="AE2172" s="2"/>
      <c r="AF2172" s="885"/>
      <c r="AG2172" s="885"/>
      <c r="AH2172" s="885"/>
      <c r="AI2172" s="885"/>
      <c r="AJ2172" s="885"/>
      <c r="AK2172" s="885"/>
      <c r="AL2172" s="885"/>
      <c r="AM2172" s="879"/>
      <c r="AN2172" s="2"/>
      <c r="AO2172" s="886"/>
      <c r="AP2172" s="886"/>
      <c r="AV2172" t="str">
        <f t="shared" si="8527"/>
        <v>Drenagem Superficial</v>
      </c>
      <c r="AW2172" s="4" t="str">
        <f t="shared" si="8518"/>
        <v xml:space="preserve">   Seg. 2.5-C10 - Drenagem Superficial - Valetas de proteção de corte (Extrusada)</v>
      </c>
    </row>
    <row r="2173" spans="1:49" ht="14.45" hidden="1" customHeight="1" outlineLevel="2">
      <c r="A2173" s="8" t="str">
        <f t="shared" ref="A2173" si="8746">IF(SUM(P2173:V2174)&gt;0,"S","N")</f>
        <v>N</v>
      </c>
      <c r="B2173" s="150">
        <v>1066249</v>
      </c>
      <c r="C2173" s="150" t="s">
        <v>2493</v>
      </c>
      <c r="D2173" s="120" t="s">
        <v>1975</v>
      </c>
      <c r="E2173" s="892" t="s">
        <v>2494</v>
      </c>
      <c r="F2173" s="902" t="s">
        <v>52</v>
      </c>
      <c r="G2173" s="528"/>
      <c r="H2173" s="546" t="s">
        <v>37</v>
      </c>
      <c r="I2173" s="711">
        <v>0</v>
      </c>
      <c r="J2173" s="896" t="str">
        <f t="shared" ref="J2173" si="8747">IFERROR((I2174/I2173),"-")</f>
        <v>-</v>
      </c>
      <c r="K2173" s="528"/>
      <c r="L2173" s="546" t="s">
        <v>37</v>
      </c>
      <c r="M2173" s="711">
        <f t="shared" si="8549"/>
        <v>0</v>
      </c>
      <c r="N2173" s="896" t="str">
        <f t="shared" ref="N2173" si="8748">IFERROR((M2174/M2173),"-")</f>
        <v>-</v>
      </c>
      <c r="O2173" s="528"/>
      <c r="P2173" s="547">
        <v>0</v>
      </c>
      <c r="Q2173" s="547">
        <v>0</v>
      </c>
      <c r="R2173" s="547">
        <v>0</v>
      </c>
      <c r="S2173" s="547">
        <v>0</v>
      </c>
      <c r="T2173" s="547">
        <v>0</v>
      </c>
      <c r="U2173" s="547">
        <v>0</v>
      </c>
      <c r="V2173" s="548">
        <v>0</v>
      </c>
      <c r="W2173" s="528"/>
      <c r="X2173" s="711"/>
      <c r="Y2173" s="896" t="str">
        <f t="shared" ref="Y2173" si="8749">IFERROR((X2174/X2173),"-")</f>
        <v>-</v>
      </c>
      <c r="Z2173" s="528"/>
      <c r="AA2173" s="898">
        <v>0</v>
      </c>
      <c r="AB2173" s="898">
        <v>0</v>
      </c>
      <c r="AC2173" s="903">
        <v>0</v>
      </c>
      <c r="AD2173" s="896" t="str">
        <f t="shared" ref="AD2173" si="8750">IFERROR((AC2173/AB2173),"-")</f>
        <v>-</v>
      </c>
      <c r="AE2173" s="2"/>
      <c r="AF2173" s="884">
        <v>0</v>
      </c>
      <c r="AG2173" s="884"/>
      <c r="AH2173" s="884">
        <v>0</v>
      </c>
      <c r="AI2173" s="884"/>
      <c r="AJ2173" s="884"/>
      <c r="AK2173" s="884">
        <f t="shared" ref="AK2173" si="8751">AF2173+AG2173+AH2173+AI2173+AJ2173+AC2173</f>
        <v>0</v>
      </c>
      <c r="AL2173" s="884">
        <v>0</v>
      </c>
      <c r="AM2173" s="878" t="str">
        <f t="shared" ref="AM2173" si="8752">IFERROR((AK2173/AL2173),"-")</f>
        <v>-</v>
      </c>
      <c r="AN2173" s="2"/>
      <c r="AO2173" s="884">
        <v>240.2</v>
      </c>
      <c r="AP2173" s="884">
        <f t="shared" ref="AP2173" si="8753">AO2173-AK2173</f>
        <v>240.2</v>
      </c>
      <c r="AV2173" t="str">
        <f t="shared" si="8527"/>
        <v>Drenagem Superficial</v>
      </c>
      <c r="AW2173" s="4" t="str">
        <f t="shared" si="8518"/>
        <v xml:space="preserve">   Seg. 2.5-C11 - Drenagem Superficial - Valetas de proteção de corte (Extrusada)</v>
      </c>
    </row>
    <row r="2174" spans="1:49" ht="14.45" hidden="1" customHeight="1" outlineLevel="2">
      <c r="A2174" s="8" t="str">
        <f t="shared" ref="A2174" si="8754">A2173</f>
        <v>N</v>
      </c>
      <c r="B2174" s="150"/>
      <c r="C2174" s="150" t="s">
        <v>2493</v>
      </c>
      <c r="D2174" s="120" t="s">
        <v>1975</v>
      </c>
      <c r="E2174" s="893"/>
      <c r="F2174" s="902"/>
      <c r="G2174" s="528"/>
      <c r="H2174" s="549" t="s">
        <v>38</v>
      </c>
      <c r="I2174" s="711">
        <v>0</v>
      </c>
      <c r="J2174" s="897"/>
      <c r="K2174" s="528"/>
      <c r="L2174" s="549" t="s">
        <v>38</v>
      </c>
      <c r="M2174" s="711">
        <f t="shared" si="8549"/>
        <v>0</v>
      </c>
      <c r="N2174" s="897"/>
      <c r="O2174" s="528"/>
      <c r="P2174" s="548">
        <v>0</v>
      </c>
      <c r="Q2174" s="548">
        <v>0</v>
      </c>
      <c r="R2174" s="548">
        <v>0</v>
      </c>
      <c r="S2174" s="548">
        <v>0</v>
      </c>
      <c r="T2174" s="548">
        <v>0</v>
      </c>
      <c r="U2174" s="548">
        <v>0</v>
      </c>
      <c r="V2174" s="548"/>
      <c r="W2174" s="528"/>
      <c r="X2174" s="711"/>
      <c r="Y2174" s="897"/>
      <c r="Z2174" s="528"/>
      <c r="AA2174" s="899"/>
      <c r="AB2174" s="899"/>
      <c r="AC2174" s="904"/>
      <c r="AD2174" s="905"/>
      <c r="AE2174" s="2"/>
      <c r="AF2174" s="885"/>
      <c r="AG2174" s="885"/>
      <c r="AH2174" s="885"/>
      <c r="AI2174" s="885"/>
      <c r="AJ2174" s="885"/>
      <c r="AK2174" s="885"/>
      <c r="AL2174" s="885"/>
      <c r="AM2174" s="879"/>
      <c r="AN2174" s="2"/>
      <c r="AO2174" s="886"/>
      <c r="AP2174" s="886"/>
      <c r="AV2174" t="str">
        <f t="shared" si="8527"/>
        <v>Drenagem Superficial</v>
      </c>
      <c r="AW2174" s="4" t="str">
        <f t="shared" si="8518"/>
        <v xml:space="preserve">   Seg. 2.5-C11 - Drenagem Superficial - Valetas de proteção de corte (Extrusada)</v>
      </c>
    </row>
    <row r="2175" spans="1:49" ht="14.45" hidden="1" customHeight="1" outlineLevel="2">
      <c r="A2175" s="8" t="str">
        <f t="shared" ref="A2175" si="8755">IF(SUM(P2175:V2176)&gt;0,"S","N")</f>
        <v>N</v>
      </c>
      <c r="B2175" s="150">
        <v>1066250</v>
      </c>
      <c r="C2175" s="150" t="s">
        <v>2495</v>
      </c>
      <c r="D2175" s="120" t="s">
        <v>1978</v>
      </c>
      <c r="E2175" s="892" t="s">
        <v>2496</v>
      </c>
      <c r="F2175" s="902" t="s">
        <v>52</v>
      </c>
      <c r="G2175" s="528"/>
      <c r="H2175" s="546" t="s">
        <v>37</v>
      </c>
      <c r="I2175" s="711">
        <v>0</v>
      </c>
      <c r="J2175" s="896" t="str">
        <f t="shared" ref="J2175" si="8756">IFERROR((I2176/I2175),"-")</f>
        <v>-</v>
      </c>
      <c r="K2175" s="528"/>
      <c r="L2175" s="546" t="s">
        <v>37</v>
      </c>
      <c r="M2175" s="711">
        <f t="shared" si="8549"/>
        <v>0</v>
      </c>
      <c r="N2175" s="896" t="str">
        <f t="shared" ref="N2175" si="8757">IFERROR((M2176/M2175),"-")</f>
        <v>-</v>
      </c>
      <c r="O2175" s="528"/>
      <c r="P2175" s="547">
        <v>0</v>
      </c>
      <c r="Q2175" s="547">
        <v>0</v>
      </c>
      <c r="R2175" s="547">
        <v>0</v>
      </c>
      <c r="S2175" s="547">
        <v>0</v>
      </c>
      <c r="T2175" s="547">
        <v>0</v>
      </c>
      <c r="U2175" s="547">
        <v>0</v>
      </c>
      <c r="V2175" s="548">
        <v>0</v>
      </c>
      <c r="W2175" s="528"/>
      <c r="X2175" s="711"/>
      <c r="Y2175" s="896" t="str">
        <f t="shared" ref="Y2175" si="8758">IFERROR((X2176/X2175),"-")</f>
        <v>-</v>
      </c>
      <c r="Z2175" s="528"/>
      <c r="AA2175" s="898">
        <v>0</v>
      </c>
      <c r="AB2175" s="898">
        <v>0</v>
      </c>
      <c r="AC2175" s="903">
        <v>0</v>
      </c>
      <c r="AD2175" s="896" t="str">
        <f t="shared" ref="AD2175" si="8759">IFERROR((AC2175/AB2175),"-")</f>
        <v>-</v>
      </c>
      <c r="AE2175" s="2"/>
      <c r="AF2175" s="884">
        <v>0</v>
      </c>
      <c r="AG2175" s="884"/>
      <c r="AH2175" s="884">
        <v>0</v>
      </c>
      <c r="AI2175" s="884"/>
      <c r="AJ2175" s="884"/>
      <c r="AK2175" s="884">
        <f t="shared" ref="AK2175" si="8760">AF2175+AG2175+AH2175+AI2175+AJ2175+AC2175</f>
        <v>0</v>
      </c>
      <c r="AL2175" s="884">
        <v>0</v>
      </c>
      <c r="AM2175" s="878" t="str">
        <f t="shared" ref="AM2175" si="8761">IFERROR((AK2175/AL2175),"-")</f>
        <v>-</v>
      </c>
      <c r="AN2175" s="2"/>
      <c r="AO2175" s="884">
        <v>165</v>
      </c>
      <c r="AP2175" s="884">
        <f t="shared" ref="AP2175" si="8762">AO2175-AK2175</f>
        <v>165</v>
      </c>
      <c r="AV2175" t="str">
        <f t="shared" si="8527"/>
        <v>Drenagem Superficial</v>
      </c>
      <c r="AW2175" s="4" t="str">
        <f t="shared" si="8518"/>
        <v xml:space="preserve">   Seg. 2.5-C12 - Drenagem Superficial - Valetas de proteção de corte (Extrusada)</v>
      </c>
    </row>
    <row r="2176" spans="1:49" ht="14.45" hidden="1" customHeight="1" outlineLevel="2">
      <c r="A2176" s="8" t="str">
        <f t="shared" ref="A2176" si="8763">A2175</f>
        <v>N</v>
      </c>
      <c r="B2176" s="150"/>
      <c r="C2176" s="150" t="s">
        <v>2495</v>
      </c>
      <c r="D2176" s="120" t="s">
        <v>1978</v>
      </c>
      <c r="E2176" s="893"/>
      <c r="F2176" s="902"/>
      <c r="G2176" s="528"/>
      <c r="H2176" s="549" t="s">
        <v>38</v>
      </c>
      <c r="I2176" s="711">
        <v>0</v>
      </c>
      <c r="J2176" s="897"/>
      <c r="K2176" s="528"/>
      <c r="L2176" s="549" t="s">
        <v>38</v>
      </c>
      <c r="M2176" s="711">
        <f t="shared" si="8549"/>
        <v>0</v>
      </c>
      <c r="N2176" s="897"/>
      <c r="O2176" s="528"/>
      <c r="P2176" s="548">
        <v>0</v>
      </c>
      <c r="Q2176" s="548">
        <v>0</v>
      </c>
      <c r="R2176" s="548">
        <v>0</v>
      </c>
      <c r="S2176" s="548">
        <v>0</v>
      </c>
      <c r="T2176" s="548">
        <v>0</v>
      </c>
      <c r="U2176" s="548">
        <v>0</v>
      </c>
      <c r="V2176" s="548"/>
      <c r="W2176" s="528"/>
      <c r="X2176" s="711"/>
      <c r="Y2176" s="897"/>
      <c r="Z2176" s="528"/>
      <c r="AA2176" s="899"/>
      <c r="AB2176" s="899"/>
      <c r="AC2176" s="904"/>
      <c r="AD2176" s="905"/>
      <c r="AE2176" s="2"/>
      <c r="AF2176" s="885"/>
      <c r="AG2176" s="885"/>
      <c r="AH2176" s="885"/>
      <c r="AI2176" s="885"/>
      <c r="AJ2176" s="885"/>
      <c r="AK2176" s="885"/>
      <c r="AL2176" s="885"/>
      <c r="AM2176" s="879"/>
      <c r="AN2176" s="2"/>
      <c r="AO2176" s="886"/>
      <c r="AP2176" s="886"/>
      <c r="AV2176" t="str">
        <f t="shared" si="8527"/>
        <v>Drenagem Superficial</v>
      </c>
      <c r="AW2176" s="4" t="str">
        <f t="shared" si="8518"/>
        <v xml:space="preserve">   Seg. 2.5-C12 - Drenagem Superficial - Valetas de proteção de corte (Extrusada)</v>
      </c>
    </row>
    <row r="2177" spans="1:49" ht="14.45" hidden="1" customHeight="1" outlineLevel="2">
      <c r="A2177" s="8" t="str">
        <f t="shared" ref="A2177" si="8764">IF(SUM(P2177:V2178)&gt;0,"S","N")</f>
        <v>N</v>
      </c>
      <c r="B2177" s="150">
        <v>1066253</v>
      </c>
      <c r="C2177" s="150" t="s">
        <v>2497</v>
      </c>
      <c r="D2177" s="120" t="s">
        <v>524</v>
      </c>
      <c r="E2177" s="892" t="s">
        <v>2498</v>
      </c>
      <c r="F2177" s="902" t="s">
        <v>52</v>
      </c>
      <c r="G2177" s="528"/>
      <c r="H2177" s="546" t="s">
        <v>37</v>
      </c>
      <c r="I2177" s="711">
        <v>0</v>
      </c>
      <c r="J2177" s="896" t="str">
        <f t="shared" ref="J2177" si="8765">IFERROR((I2178/I2177),"-")</f>
        <v>-</v>
      </c>
      <c r="K2177" s="528"/>
      <c r="L2177" s="546" t="s">
        <v>37</v>
      </c>
      <c r="M2177" s="711">
        <f t="shared" si="8549"/>
        <v>0</v>
      </c>
      <c r="N2177" s="896" t="str">
        <f t="shared" ref="N2177" si="8766">IFERROR((M2178/M2177),"-")</f>
        <v>-</v>
      </c>
      <c r="O2177" s="528"/>
      <c r="P2177" s="547">
        <v>0</v>
      </c>
      <c r="Q2177" s="547">
        <v>0</v>
      </c>
      <c r="R2177" s="547">
        <v>0</v>
      </c>
      <c r="S2177" s="547">
        <v>0</v>
      </c>
      <c r="T2177" s="547">
        <v>0</v>
      </c>
      <c r="U2177" s="547">
        <v>0</v>
      </c>
      <c r="V2177" s="548">
        <v>0</v>
      </c>
      <c r="W2177" s="528"/>
      <c r="X2177" s="711"/>
      <c r="Y2177" s="896" t="str">
        <f t="shared" ref="Y2177" si="8767">IFERROR((X2178/X2177),"-")</f>
        <v>-</v>
      </c>
      <c r="Z2177" s="528"/>
      <c r="AA2177" s="898">
        <v>0</v>
      </c>
      <c r="AB2177" s="898">
        <v>0</v>
      </c>
      <c r="AC2177" s="903">
        <v>0</v>
      </c>
      <c r="AD2177" s="896" t="str">
        <f t="shared" ref="AD2177" si="8768">IFERROR((AC2177/AB2177),"-")</f>
        <v>-</v>
      </c>
      <c r="AE2177" s="2"/>
      <c r="AF2177" s="884">
        <v>0</v>
      </c>
      <c r="AG2177" s="884"/>
      <c r="AH2177" s="884">
        <v>269.5</v>
      </c>
      <c r="AI2177" s="884"/>
      <c r="AJ2177" s="884"/>
      <c r="AK2177" s="884">
        <f t="shared" ref="AK2177" si="8769">AF2177+AG2177+AH2177+AI2177+AJ2177+AC2177</f>
        <v>269.5</v>
      </c>
      <c r="AL2177" s="884">
        <v>694.99999999999989</v>
      </c>
      <c r="AM2177" s="878">
        <f t="shared" ref="AM2177" si="8770">IFERROR((AK2177/AL2177),"-")</f>
        <v>0.38776978417266195</v>
      </c>
      <c r="AN2177" s="2"/>
      <c r="AO2177" s="884">
        <v>1284</v>
      </c>
      <c r="AP2177" s="884">
        <f t="shared" ref="AP2177" si="8771">AO2177-AK2177</f>
        <v>1014.5</v>
      </c>
      <c r="AV2177" t="str">
        <f t="shared" si="8527"/>
        <v>Drenagem Superficial</v>
      </c>
      <c r="AW2177" s="4" t="str">
        <f t="shared" si="8518"/>
        <v xml:space="preserve">   Seg. 2.5-A04 - Drenagem Superficial - Valetas de proteção de aterro (Manual)</v>
      </c>
    </row>
    <row r="2178" spans="1:49" ht="14.45" hidden="1" customHeight="1" outlineLevel="2">
      <c r="A2178" s="8" t="str">
        <f t="shared" ref="A2178" si="8772">A2177</f>
        <v>N</v>
      </c>
      <c r="B2178" s="150"/>
      <c r="C2178" s="150" t="s">
        <v>2497</v>
      </c>
      <c r="D2178" s="120" t="s">
        <v>524</v>
      </c>
      <c r="E2178" s="893"/>
      <c r="F2178" s="902"/>
      <c r="G2178" s="528"/>
      <c r="H2178" s="549" t="s">
        <v>38</v>
      </c>
      <c r="I2178" s="711">
        <v>0</v>
      </c>
      <c r="J2178" s="897"/>
      <c r="K2178" s="528"/>
      <c r="L2178" s="549" t="s">
        <v>38</v>
      </c>
      <c r="M2178" s="711">
        <f t="shared" si="8549"/>
        <v>0</v>
      </c>
      <c r="N2178" s="897"/>
      <c r="O2178" s="528"/>
      <c r="P2178" s="548">
        <v>0</v>
      </c>
      <c r="Q2178" s="548">
        <v>0</v>
      </c>
      <c r="R2178" s="548">
        <v>0</v>
      </c>
      <c r="S2178" s="548">
        <v>0</v>
      </c>
      <c r="T2178" s="548">
        <v>0</v>
      </c>
      <c r="U2178" s="548">
        <v>0</v>
      </c>
      <c r="V2178" s="548"/>
      <c r="W2178" s="528"/>
      <c r="X2178" s="711"/>
      <c r="Y2178" s="897"/>
      <c r="Z2178" s="528"/>
      <c r="AA2178" s="899"/>
      <c r="AB2178" s="899"/>
      <c r="AC2178" s="904"/>
      <c r="AD2178" s="905"/>
      <c r="AE2178" s="2"/>
      <c r="AF2178" s="885"/>
      <c r="AG2178" s="885"/>
      <c r="AH2178" s="885"/>
      <c r="AI2178" s="885"/>
      <c r="AJ2178" s="885"/>
      <c r="AK2178" s="885"/>
      <c r="AL2178" s="885"/>
      <c r="AM2178" s="879"/>
      <c r="AN2178" s="2"/>
      <c r="AO2178" s="886"/>
      <c r="AP2178" s="886"/>
      <c r="AV2178" t="str">
        <f t="shared" si="8527"/>
        <v>Drenagem Superficial</v>
      </c>
      <c r="AW2178" s="4" t="str">
        <f t="shared" si="8518"/>
        <v xml:space="preserve">   Seg. 2.5-A04 - Drenagem Superficial - Valetas de proteção de aterro (Manual)</v>
      </c>
    </row>
    <row r="2179" spans="1:49" ht="14.45" hidden="1" customHeight="1" outlineLevel="2">
      <c r="A2179" s="8" t="str">
        <f t="shared" ref="A2179" si="8773">IF(SUM(P2179:V2180)&gt;0,"S","N")</f>
        <v>N</v>
      </c>
      <c r="B2179" s="150">
        <v>1069668</v>
      </c>
      <c r="C2179" s="150" t="s">
        <v>2499</v>
      </c>
      <c r="D2179" s="120" t="s">
        <v>2500</v>
      </c>
      <c r="E2179" s="892" t="s">
        <v>2501</v>
      </c>
      <c r="F2179" s="902" t="s">
        <v>52</v>
      </c>
      <c r="G2179" s="528"/>
      <c r="H2179" s="546" t="s">
        <v>37</v>
      </c>
      <c r="I2179" s="711">
        <v>0</v>
      </c>
      <c r="J2179" s="896" t="str">
        <f t="shared" ref="J2179" si="8774">IFERROR((I2180/I2179),"-")</f>
        <v>-</v>
      </c>
      <c r="K2179" s="528"/>
      <c r="L2179" s="546" t="s">
        <v>37</v>
      </c>
      <c r="M2179" s="711">
        <f t="shared" si="8549"/>
        <v>0</v>
      </c>
      <c r="N2179" s="896" t="str">
        <f t="shared" ref="N2179" si="8775">IFERROR((M2180/M2179),"-")</f>
        <v>-</v>
      </c>
      <c r="O2179" s="528"/>
      <c r="P2179" s="547">
        <v>0</v>
      </c>
      <c r="Q2179" s="547">
        <v>0</v>
      </c>
      <c r="R2179" s="547">
        <v>0</v>
      </c>
      <c r="S2179" s="547">
        <v>0</v>
      </c>
      <c r="T2179" s="547">
        <v>0</v>
      </c>
      <c r="U2179" s="547">
        <v>0</v>
      </c>
      <c r="V2179" s="548">
        <v>0</v>
      </c>
      <c r="W2179" s="528"/>
      <c r="X2179" s="711"/>
      <c r="Y2179" s="896" t="str">
        <f t="shared" ref="Y2179" si="8776">IFERROR((X2180/X2179),"-")</f>
        <v>-</v>
      </c>
      <c r="Z2179" s="528"/>
      <c r="AA2179" s="898">
        <v>10.23</v>
      </c>
      <c r="AB2179" s="898">
        <v>0</v>
      </c>
      <c r="AC2179" s="903">
        <v>0</v>
      </c>
      <c r="AD2179" s="896" t="str">
        <f t="shared" ref="AD2179" si="8777">IFERROR((AC2179/AB2179),"-")</f>
        <v>-</v>
      </c>
      <c r="AE2179" s="2"/>
      <c r="AF2179" s="884">
        <v>0</v>
      </c>
      <c r="AG2179" s="884"/>
      <c r="AH2179" s="884">
        <v>162</v>
      </c>
      <c r="AI2179" s="884"/>
      <c r="AJ2179" s="884"/>
      <c r="AK2179" s="884">
        <f t="shared" ref="AK2179" si="8778">AF2179+AG2179+AH2179+AI2179+AJ2179+AC2179</f>
        <v>162</v>
      </c>
      <c r="AL2179" s="884">
        <v>162</v>
      </c>
      <c r="AM2179" s="878">
        <f t="shared" ref="AM2179" si="8779">IFERROR((AK2179/AL2179),"-")</f>
        <v>1</v>
      </c>
      <c r="AN2179" s="2"/>
      <c r="AO2179" s="884">
        <v>616</v>
      </c>
      <c r="AP2179" s="884">
        <f t="shared" ref="AP2179" si="8780">AO2179-AK2179</f>
        <v>454</v>
      </c>
      <c r="AV2179" t="str">
        <f t="shared" si="8527"/>
        <v>Drenagem Superficial</v>
      </c>
      <c r="AW2179" s="4" t="str">
        <f t="shared" si="8518"/>
        <v xml:space="preserve">   Seg. 2.5-C02 - Drenagem Superficial - Valetas de proteção de corte (Extrusada)</v>
      </c>
    </row>
    <row r="2180" spans="1:49" ht="14.45" hidden="1" customHeight="1" outlineLevel="2">
      <c r="A2180" s="8" t="str">
        <f t="shared" ref="A2180" si="8781">A2179</f>
        <v>N</v>
      </c>
      <c r="B2180" s="150"/>
      <c r="C2180" s="150" t="s">
        <v>2499</v>
      </c>
      <c r="D2180" s="120" t="s">
        <v>2500</v>
      </c>
      <c r="E2180" s="893"/>
      <c r="F2180" s="902"/>
      <c r="G2180" s="528"/>
      <c r="H2180" s="549" t="s">
        <v>38</v>
      </c>
      <c r="I2180" s="711">
        <v>0</v>
      </c>
      <c r="J2180" s="897"/>
      <c r="K2180" s="528"/>
      <c r="L2180" s="549" t="s">
        <v>38</v>
      </c>
      <c r="M2180" s="711">
        <f t="shared" si="8549"/>
        <v>0</v>
      </c>
      <c r="N2180" s="897"/>
      <c r="O2180" s="528"/>
      <c r="P2180" s="548">
        <v>0</v>
      </c>
      <c r="Q2180" s="548">
        <v>0</v>
      </c>
      <c r="R2180" s="548">
        <v>0</v>
      </c>
      <c r="S2180" s="548">
        <v>0</v>
      </c>
      <c r="T2180" s="548">
        <v>0</v>
      </c>
      <c r="U2180" s="548">
        <v>0</v>
      </c>
      <c r="V2180" s="548"/>
      <c r="W2180" s="528"/>
      <c r="X2180" s="711"/>
      <c r="Y2180" s="897"/>
      <c r="Z2180" s="528"/>
      <c r="AA2180" s="899"/>
      <c r="AB2180" s="899"/>
      <c r="AC2180" s="904"/>
      <c r="AD2180" s="905"/>
      <c r="AE2180" s="2"/>
      <c r="AF2180" s="885"/>
      <c r="AG2180" s="885"/>
      <c r="AH2180" s="885"/>
      <c r="AI2180" s="885"/>
      <c r="AJ2180" s="885"/>
      <c r="AK2180" s="885"/>
      <c r="AL2180" s="885"/>
      <c r="AM2180" s="879"/>
      <c r="AN2180" s="2"/>
      <c r="AO2180" s="886"/>
      <c r="AP2180" s="886"/>
      <c r="AV2180" t="str">
        <f t="shared" si="8527"/>
        <v>Drenagem Superficial</v>
      </c>
      <c r="AW2180" s="4" t="str">
        <f t="shared" si="8518"/>
        <v xml:space="preserve">   Seg. 2.5-C02 - Drenagem Superficial - Valetas de proteção de corte (Extrusada)</v>
      </c>
    </row>
    <row r="2181" spans="1:49" ht="14.45" hidden="1" customHeight="1" outlineLevel="2">
      <c r="A2181" s="8" t="str">
        <f t="shared" ref="A2181" si="8782">IF(SUM(P2181:V2182)&gt;0,"S","N")</f>
        <v>N</v>
      </c>
      <c r="B2181" s="150">
        <v>1069670</v>
      </c>
      <c r="C2181" s="150" t="s">
        <v>2502</v>
      </c>
      <c r="D2181" s="120" t="s">
        <v>2017</v>
      </c>
      <c r="E2181" s="892" t="s">
        <v>2503</v>
      </c>
      <c r="F2181" s="902" t="s">
        <v>52</v>
      </c>
      <c r="G2181" s="528"/>
      <c r="H2181" s="546" t="s">
        <v>37</v>
      </c>
      <c r="I2181" s="711">
        <v>0</v>
      </c>
      <c r="J2181" s="896" t="str">
        <f t="shared" ref="J2181" si="8783">IFERROR((I2182/I2181),"-")</f>
        <v>-</v>
      </c>
      <c r="K2181" s="528"/>
      <c r="L2181" s="546" t="s">
        <v>37</v>
      </c>
      <c r="M2181" s="711">
        <f t="shared" si="8549"/>
        <v>0</v>
      </c>
      <c r="N2181" s="896" t="str">
        <f t="shared" ref="N2181" si="8784">IFERROR((M2182/M2181),"-")</f>
        <v>-</v>
      </c>
      <c r="O2181" s="528"/>
      <c r="P2181" s="547">
        <v>0</v>
      </c>
      <c r="Q2181" s="547">
        <v>0</v>
      </c>
      <c r="R2181" s="547">
        <v>0</v>
      </c>
      <c r="S2181" s="547">
        <v>0</v>
      </c>
      <c r="T2181" s="547">
        <v>0</v>
      </c>
      <c r="U2181" s="547">
        <v>0</v>
      </c>
      <c r="V2181" s="548">
        <v>0</v>
      </c>
      <c r="W2181" s="528"/>
      <c r="X2181" s="711"/>
      <c r="Y2181" s="896" t="str">
        <f t="shared" ref="Y2181" si="8785">IFERROR((X2182/X2181),"-")</f>
        <v>-</v>
      </c>
      <c r="Z2181" s="528"/>
      <c r="AA2181" s="898">
        <v>0</v>
      </c>
      <c r="AB2181" s="898">
        <v>0</v>
      </c>
      <c r="AC2181" s="903">
        <v>0</v>
      </c>
      <c r="AD2181" s="896" t="str">
        <f t="shared" ref="AD2181" si="8786">IFERROR((AC2181/AB2181),"-")</f>
        <v>-</v>
      </c>
      <c r="AE2181" s="2"/>
      <c r="AF2181" s="884">
        <v>0</v>
      </c>
      <c r="AG2181" s="884"/>
      <c r="AH2181" s="884">
        <v>0</v>
      </c>
      <c r="AI2181" s="884"/>
      <c r="AJ2181" s="884"/>
      <c r="AK2181" s="884">
        <f t="shared" ref="AK2181" si="8787">AF2181+AG2181+AH2181+AI2181+AJ2181+AC2181</f>
        <v>0</v>
      </c>
      <c r="AL2181" s="884">
        <v>0</v>
      </c>
      <c r="AM2181" s="878" t="str">
        <f t="shared" ref="AM2181" si="8788">IFERROR((AK2181/AL2181),"-")</f>
        <v>-</v>
      </c>
      <c r="AN2181" s="2"/>
      <c r="AO2181" s="884">
        <v>90</v>
      </c>
      <c r="AP2181" s="884">
        <f t="shared" ref="AP2181" si="8789">AO2181-AK2181</f>
        <v>90</v>
      </c>
      <c r="AV2181" t="str">
        <f t="shared" si="8527"/>
        <v>Drenagem Superficial</v>
      </c>
      <c r="AW2181" s="4" t="str">
        <f t="shared" si="8518"/>
        <v xml:space="preserve">   Seg. 2.5-C05 - Drenagem Superficial - Valetas de proteção de corte (Extrusada)</v>
      </c>
    </row>
    <row r="2182" spans="1:49" ht="14.45" hidden="1" customHeight="1" outlineLevel="2">
      <c r="A2182" s="8" t="str">
        <f t="shared" ref="A2182" si="8790">A2181</f>
        <v>N</v>
      </c>
      <c r="B2182" s="150"/>
      <c r="C2182" s="150" t="s">
        <v>2502</v>
      </c>
      <c r="D2182" s="120" t="s">
        <v>2017</v>
      </c>
      <c r="E2182" s="893"/>
      <c r="F2182" s="902"/>
      <c r="G2182" s="528"/>
      <c r="H2182" s="549" t="s">
        <v>38</v>
      </c>
      <c r="I2182" s="711">
        <v>0</v>
      </c>
      <c r="J2182" s="897"/>
      <c r="K2182" s="528"/>
      <c r="L2182" s="549" t="s">
        <v>38</v>
      </c>
      <c r="M2182" s="711">
        <f t="shared" si="8549"/>
        <v>0</v>
      </c>
      <c r="N2182" s="897"/>
      <c r="O2182" s="528"/>
      <c r="P2182" s="548">
        <v>0</v>
      </c>
      <c r="Q2182" s="548">
        <v>0</v>
      </c>
      <c r="R2182" s="548">
        <v>0</v>
      </c>
      <c r="S2182" s="548">
        <v>0</v>
      </c>
      <c r="T2182" s="548">
        <v>0</v>
      </c>
      <c r="U2182" s="548">
        <v>0</v>
      </c>
      <c r="V2182" s="548"/>
      <c r="W2182" s="528"/>
      <c r="X2182" s="711"/>
      <c r="Y2182" s="897"/>
      <c r="Z2182" s="528"/>
      <c r="AA2182" s="899"/>
      <c r="AB2182" s="899"/>
      <c r="AC2182" s="904"/>
      <c r="AD2182" s="905"/>
      <c r="AE2182" s="2"/>
      <c r="AF2182" s="885"/>
      <c r="AG2182" s="885"/>
      <c r="AH2182" s="885"/>
      <c r="AI2182" s="885"/>
      <c r="AJ2182" s="885"/>
      <c r="AK2182" s="885"/>
      <c r="AL2182" s="885"/>
      <c r="AM2182" s="879"/>
      <c r="AN2182" s="2"/>
      <c r="AO2182" s="886"/>
      <c r="AP2182" s="886"/>
      <c r="AV2182" t="str">
        <f t="shared" si="8527"/>
        <v>Drenagem Superficial</v>
      </c>
      <c r="AW2182" s="4" t="str">
        <f t="shared" si="8518"/>
        <v xml:space="preserve">   Seg. 2.5-C05 - Drenagem Superficial - Valetas de proteção de corte (Extrusada)</v>
      </c>
    </row>
    <row r="2183" spans="1:49" ht="14.45" hidden="1" customHeight="1" outlineLevel="2">
      <c r="A2183" s="8" t="str">
        <f t="shared" ref="A2183" si="8791">IF(SUM(P2183:V2184)&gt;0,"S","N")</f>
        <v>N</v>
      </c>
      <c r="B2183" s="150">
        <v>1069672</v>
      </c>
      <c r="C2183" s="150" t="s">
        <v>2504</v>
      </c>
      <c r="D2183" s="120" t="s">
        <v>2014</v>
      </c>
      <c r="E2183" s="892" t="s">
        <v>2505</v>
      </c>
      <c r="F2183" s="902" t="s">
        <v>52</v>
      </c>
      <c r="G2183" s="528"/>
      <c r="H2183" s="546" t="s">
        <v>37</v>
      </c>
      <c r="I2183" s="711">
        <v>0</v>
      </c>
      <c r="J2183" s="896" t="str">
        <f t="shared" ref="J2183" si="8792">IFERROR((I2184/I2183),"-")</f>
        <v>-</v>
      </c>
      <c r="K2183" s="528"/>
      <c r="L2183" s="546" t="s">
        <v>37</v>
      </c>
      <c r="M2183" s="711">
        <f t="shared" si="8549"/>
        <v>0</v>
      </c>
      <c r="N2183" s="896" t="str">
        <f t="shared" ref="N2183" si="8793">IFERROR((M2184/M2183),"-")</f>
        <v>-</v>
      </c>
      <c r="O2183" s="528"/>
      <c r="P2183" s="547">
        <v>0</v>
      </c>
      <c r="Q2183" s="547">
        <v>0</v>
      </c>
      <c r="R2183" s="547">
        <v>0</v>
      </c>
      <c r="S2183" s="547">
        <v>0</v>
      </c>
      <c r="T2183" s="547">
        <v>0</v>
      </c>
      <c r="U2183" s="547">
        <v>0</v>
      </c>
      <c r="V2183" s="548">
        <v>0</v>
      </c>
      <c r="W2183" s="528"/>
      <c r="X2183" s="711"/>
      <c r="Y2183" s="896" t="str">
        <f t="shared" ref="Y2183" si="8794">IFERROR((X2184/X2183),"-")</f>
        <v>-</v>
      </c>
      <c r="Z2183" s="528"/>
      <c r="AA2183" s="898">
        <v>0</v>
      </c>
      <c r="AB2183" s="898">
        <v>0</v>
      </c>
      <c r="AC2183" s="903">
        <v>0</v>
      </c>
      <c r="AD2183" s="896" t="str">
        <f t="shared" ref="AD2183" si="8795">IFERROR((AC2183/AB2183),"-")</f>
        <v>-</v>
      </c>
      <c r="AE2183" s="2"/>
      <c r="AF2183" s="884">
        <v>0</v>
      </c>
      <c r="AG2183" s="884"/>
      <c r="AH2183" s="884">
        <v>0</v>
      </c>
      <c r="AI2183" s="884"/>
      <c r="AJ2183" s="884"/>
      <c r="AK2183" s="884">
        <f t="shared" ref="AK2183" si="8796">AF2183+AG2183+AH2183+AI2183+AJ2183+AC2183</f>
        <v>0</v>
      </c>
      <c r="AL2183" s="884">
        <v>0</v>
      </c>
      <c r="AM2183" s="878" t="str">
        <f t="shared" ref="AM2183" si="8797">IFERROR((AK2183/AL2183),"-")</f>
        <v>-</v>
      </c>
      <c r="AN2183" s="2"/>
      <c r="AO2183" s="884">
        <v>411</v>
      </c>
      <c r="AP2183" s="884">
        <f t="shared" ref="AP2183" si="8798">AO2183-AK2183</f>
        <v>411</v>
      </c>
      <c r="AV2183" t="str">
        <f t="shared" si="8527"/>
        <v>Drenagem Superficial</v>
      </c>
      <c r="AW2183" s="4" t="str">
        <f t="shared" si="8518"/>
        <v xml:space="preserve">   Seg. 2.5-C04 - Drenagem Superficial - Valetas de proteção de corte (Extrusada)</v>
      </c>
    </row>
    <row r="2184" spans="1:49" ht="14.45" hidden="1" customHeight="1" outlineLevel="2">
      <c r="A2184" s="8" t="str">
        <f t="shared" ref="A2184" si="8799">A2183</f>
        <v>N</v>
      </c>
      <c r="B2184" s="150"/>
      <c r="C2184" s="150" t="s">
        <v>2504</v>
      </c>
      <c r="D2184" s="120" t="s">
        <v>2014</v>
      </c>
      <c r="E2184" s="893"/>
      <c r="F2184" s="902"/>
      <c r="G2184" s="528"/>
      <c r="H2184" s="549" t="s">
        <v>38</v>
      </c>
      <c r="I2184" s="711">
        <v>0</v>
      </c>
      <c r="J2184" s="897"/>
      <c r="K2184" s="528"/>
      <c r="L2184" s="549" t="s">
        <v>38</v>
      </c>
      <c r="M2184" s="711">
        <f t="shared" si="8549"/>
        <v>0</v>
      </c>
      <c r="N2184" s="897"/>
      <c r="O2184" s="528"/>
      <c r="P2184" s="548">
        <v>0</v>
      </c>
      <c r="Q2184" s="548">
        <v>0</v>
      </c>
      <c r="R2184" s="548">
        <v>0</v>
      </c>
      <c r="S2184" s="548">
        <v>0</v>
      </c>
      <c r="T2184" s="548">
        <v>0</v>
      </c>
      <c r="U2184" s="548">
        <v>0</v>
      </c>
      <c r="V2184" s="548"/>
      <c r="W2184" s="528"/>
      <c r="X2184" s="711"/>
      <c r="Y2184" s="897"/>
      <c r="Z2184" s="528"/>
      <c r="AA2184" s="899"/>
      <c r="AB2184" s="899"/>
      <c r="AC2184" s="904"/>
      <c r="AD2184" s="905"/>
      <c r="AE2184" s="2"/>
      <c r="AF2184" s="885"/>
      <c r="AG2184" s="885"/>
      <c r="AH2184" s="885"/>
      <c r="AI2184" s="885"/>
      <c r="AJ2184" s="885"/>
      <c r="AK2184" s="885"/>
      <c r="AL2184" s="885"/>
      <c r="AM2184" s="879"/>
      <c r="AN2184" s="2"/>
      <c r="AO2184" s="886"/>
      <c r="AP2184" s="886"/>
      <c r="AV2184" t="str">
        <f t="shared" si="8527"/>
        <v>Drenagem Superficial</v>
      </c>
      <c r="AW2184" s="4" t="str">
        <f t="shared" si="8518"/>
        <v xml:space="preserve">   Seg. 2.5-C04 - Drenagem Superficial - Valetas de proteção de corte (Extrusada)</v>
      </c>
    </row>
    <row r="2185" spans="1:49" ht="14.45" hidden="1" customHeight="1" outlineLevel="2">
      <c r="A2185" s="8" t="str">
        <f t="shared" ref="A2185" si="8800">IF(SUM(P2185:V2186)&gt;0,"S","N")</f>
        <v>S</v>
      </c>
      <c r="B2185" s="150">
        <v>1069676</v>
      </c>
      <c r="C2185" s="150" t="s">
        <v>2506</v>
      </c>
      <c r="D2185" s="120" t="s">
        <v>1969</v>
      </c>
      <c r="E2185" s="892" t="s">
        <v>2507</v>
      </c>
      <c r="F2185" s="902" t="s">
        <v>52</v>
      </c>
      <c r="G2185" s="528"/>
      <c r="H2185" s="546" t="s">
        <v>37</v>
      </c>
      <c r="I2185" s="711">
        <v>0</v>
      </c>
      <c r="J2185" s="896" t="str">
        <f t="shared" ref="J2185" si="8801">IFERROR((I2186/I2185),"-")</f>
        <v>-</v>
      </c>
      <c r="K2185" s="528"/>
      <c r="L2185" s="546" t="s">
        <v>37</v>
      </c>
      <c r="M2185" s="711">
        <f t="shared" si="8549"/>
        <v>0</v>
      </c>
      <c r="N2185" s="896" t="str">
        <f t="shared" ref="N2185" si="8802">IFERROR((M2186/M2185),"-")</f>
        <v>-</v>
      </c>
      <c r="O2185" s="528"/>
      <c r="P2185" s="547">
        <v>0</v>
      </c>
      <c r="Q2185" s="547">
        <v>0</v>
      </c>
      <c r="R2185" s="547">
        <v>200</v>
      </c>
      <c r="S2185" s="547">
        <v>200</v>
      </c>
      <c r="T2185" s="547">
        <v>200</v>
      </c>
      <c r="U2185" s="547">
        <v>200</v>
      </c>
      <c r="V2185" s="548">
        <v>0</v>
      </c>
      <c r="W2185" s="528"/>
      <c r="X2185" s="711"/>
      <c r="Y2185" s="896" t="str">
        <f t="shared" ref="Y2185" si="8803">IFERROR((X2186/X2185),"-")</f>
        <v>-</v>
      </c>
      <c r="Z2185" s="528"/>
      <c r="AA2185" s="898">
        <v>0</v>
      </c>
      <c r="AB2185" s="898">
        <v>0</v>
      </c>
      <c r="AC2185" s="903">
        <v>678</v>
      </c>
      <c r="AD2185" s="896" t="str">
        <f t="shared" ref="AD2185" si="8804">IFERROR((AC2185/AB2185),"-")</f>
        <v>-</v>
      </c>
      <c r="AE2185" s="2"/>
      <c r="AF2185" s="884">
        <v>0</v>
      </c>
      <c r="AG2185" s="884"/>
      <c r="AH2185" s="884">
        <v>160</v>
      </c>
      <c r="AI2185" s="884"/>
      <c r="AJ2185" s="884"/>
      <c r="AK2185" s="884">
        <f t="shared" ref="AK2185" si="8805">AF2185+AG2185+AH2185+AI2185+AJ2185+AC2185</f>
        <v>838</v>
      </c>
      <c r="AL2185" s="884">
        <v>216.14</v>
      </c>
      <c r="AM2185" s="878">
        <f t="shared" ref="AM2185" si="8806">IFERROR((AK2185/AL2185),"-")</f>
        <v>3.8771166836309803</v>
      </c>
      <c r="AN2185" s="2"/>
      <c r="AO2185" s="884">
        <v>1666</v>
      </c>
      <c r="AP2185" s="884">
        <f t="shared" ref="AP2185" si="8807">AO2185-AK2185</f>
        <v>828</v>
      </c>
      <c r="AV2185" t="str">
        <f t="shared" si="8527"/>
        <v>Drenagem Superficial</v>
      </c>
      <c r="AW2185" s="4" t="str">
        <f t="shared" ref="AW2185:AW2248" si="8808">IF(E2185&lt;&gt;"",E2185,AW2184)</f>
        <v xml:space="preserve">   Seg. 2.5-C09 - Drenagem Superficial - Valetas de proteção de corte (Extrusada)</v>
      </c>
    </row>
    <row r="2186" spans="1:49" ht="14.45" hidden="1" customHeight="1" outlineLevel="2">
      <c r="A2186" s="8" t="str">
        <f t="shared" ref="A2186" si="8809">A2185</f>
        <v>S</v>
      </c>
      <c r="B2186" s="150"/>
      <c r="C2186" s="150" t="s">
        <v>2506</v>
      </c>
      <c r="D2186" s="120" t="s">
        <v>1969</v>
      </c>
      <c r="E2186" s="893"/>
      <c r="F2186" s="902"/>
      <c r="G2186" s="528"/>
      <c r="H2186" s="549" t="s">
        <v>38</v>
      </c>
      <c r="I2186" s="711">
        <v>300</v>
      </c>
      <c r="J2186" s="897"/>
      <c r="K2186" s="528"/>
      <c r="L2186" s="549" t="s">
        <v>38</v>
      </c>
      <c r="M2186" s="711">
        <f t="shared" si="8549"/>
        <v>0</v>
      </c>
      <c r="N2186" s="897"/>
      <c r="O2186" s="528"/>
      <c r="P2186" s="548">
        <v>0</v>
      </c>
      <c r="Q2186" s="548">
        <v>0</v>
      </c>
      <c r="R2186" s="548">
        <v>0</v>
      </c>
      <c r="S2186" s="548">
        <v>0</v>
      </c>
      <c r="T2186" s="548">
        <v>0</v>
      </c>
      <c r="U2186" s="548">
        <v>0</v>
      </c>
      <c r="V2186" s="548"/>
      <c r="W2186" s="528"/>
      <c r="X2186" s="711"/>
      <c r="Y2186" s="897"/>
      <c r="Z2186" s="528"/>
      <c r="AA2186" s="899"/>
      <c r="AB2186" s="899"/>
      <c r="AC2186" s="904"/>
      <c r="AD2186" s="905"/>
      <c r="AE2186" s="2"/>
      <c r="AF2186" s="885"/>
      <c r="AG2186" s="885"/>
      <c r="AH2186" s="885"/>
      <c r="AI2186" s="885"/>
      <c r="AJ2186" s="885"/>
      <c r="AK2186" s="885"/>
      <c r="AL2186" s="885"/>
      <c r="AM2186" s="879"/>
      <c r="AN2186" s="2"/>
      <c r="AO2186" s="886"/>
      <c r="AP2186" s="886"/>
      <c r="AV2186" t="str">
        <f t="shared" ref="AV2186:AV2249" si="8810">IF(AX2186="Y",LEFT(E2186,20),IF(AX2186="x",E2186,AV2185))</f>
        <v>Drenagem Superficial</v>
      </c>
      <c r="AW2186" s="4" t="str">
        <f t="shared" si="8808"/>
        <v xml:space="preserve">   Seg. 2.5-C09 - Drenagem Superficial - Valetas de proteção de corte (Extrusada)</v>
      </c>
    </row>
    <row r="2187" spans="1:49" ht="14.45" hidden="1" customHeight="1" outlineLevel="2">
      <c r="A2187" s="8" t="str">
        <f t="shared" ref="A2187" si="8811">IF(SUM(P2187:V2188)&gt;0,"S","N")</f>
        <v>N</v>
      </c>
      <c r="B2187" s="150">
        <v>1069679</v>
      </c>
      <c r="C2187" s="150" t="s">
        <v>2508</v>
      </c>
      <c r="D2187" s="120" t="s">
        <v>1984</v>
      </c>
      <c r="E2187" s="892" t="s">
        <v>2509</v>
      </c>
      <c r="F2187" s="902" t="s">
        <v>52</v>
      </c>
      <c r="G2187" s="528"/>
      <c r="H2187" s="546" t="s">
        <v>37</v>
      </c>
      <c r="I2187" s="711">
        <v>0</v>
      </c>
      <c r="J2187" s="896" t="str">
        <f t="shared" ref="J2187" si="8812">IFERROR((I2188/I2187),"-")</f>
        <v>-</v>
      </c>
      <c r="K2187" s="528"/>
      <c r="L2187" s="546" t="s">
        <v>37</v>
      </c>
      <c r="M2187" s="711">
        <f t="shared" si="8549"/>
        <v>0</v>
      </c>
      <c r="N2187" s="896" t="str">
        <f t="shared" ref="N2187" si="8813">IFERROR((M2188/M2187),"-")</f>
        <v>-</v>
      </c>
      <c r="O2187" s="528"/>
      <c r="P2187" s="547">
        <v>0</v>
      </c>
      <c r="Q2187" s="547">
        <v>0</v>
      </c>
      <c r="R2187" s="547">
        <v>0</v>
      </c>
      <c r="S2187" s="547">
        <v>0</v>
      </c>
      <c r="T2187" s="547">
        <v>0</v>
      </c>
      <c r="U2187" s="547">
        <v>0</v>
      </c>
      <c r="V2187" s="548">
        <v>0</v>
      </c>
      <c r="W2187" s="528"/>
      <c r="X2187" s="711"/>
      <c r="Y2187" s="896" t="str">
        <f t="shared" ref="Y2187" si="8814">IFERROR((X2188/X2187),"-")</f>
        <v>-</v>
      </c>
      <c r="Z2187" s="528"/>
      <c r="AA2187" s="898">
        <v>0</v>
      </c>
      <c r="AB2187" s="898">
        <v>0</v>
      </c>
      <c r="AC2187" s="903">
        <v>0</v>
      </c>
      <c r="AD2187" s="896" t="str">
        <f t="shared" ref="AD2187" si="8815">IFERROR((AC2187/AB2187),"-")</f>
        <v>-</v>
      </c>
      <c r="AE2187" s="2"/>
      <c r="AF2187" s="884">
        <v>0</v>
      </c>
      <c r="AG2187" s="884"/>
      <c r="AH2187" s="884">
        <v>0</v>
      </c>
      <c r="AI2187" s="884"/>
      <c r="AJ2187" s="884"/>
      <c r="AK2187" s="884">
        <f t="shared" ref="AK2187" si="8816">AF2187+AG2187+AH2187+AI2187+AJ2187+AC2187</f>
        <v>0</v>
      </c>
      <c r="AL2187" s="884">
        <v>0</v>
      </c>
      <c r="AM2187" s="878" t="str">
        <f t="shared" ref="AM2187" si="8817">IFERROR((AK2187/AL2187),"-")</f>
        <v>-</v>
      </c>
      <c r="AN2187" s="2"/>
      <c r="AO2187" s="884">
        <v>362</v>
      </c>
      <c r="AP2187" s="884">
        <f t="shared" ref="AP2187" si="8818">AO2187-AK2187</f>
        <v>362</v>
      </c>
      <c r="AV2187" t="str">
        <f t="shared" si="8810"/>
        <v>Drenagem Superficial</v>
      </c>
      <c r="AW2187" s="4" t="str">
        <f t="shared" si="8808"/>
        <v xml:space="preserve">   Seg. 2.5-A03 - Drenagem Superficial - Valetas de proteção de aterro (Extrusada)</v>
      </c>
    </row>
    <row r="2188" spans="1:49" ht="14.45" hidden="1" customHeight="1" outlineLevel="2">
      <c r="A2188" s="8" t="str">
        <f t="shared" ref="A2188" si="8819">A2187</f>
        <v>N</v>
      </c>
      <c r="B2188" s="150"/>
      <c r="C2188" s="150" t="s">
        <v>2508</v>
      </c>
      <c r="D2188" s="120" t="s">
        <v>1984</v>
      </c>
      <c r="E2188" s="893"/>
      <c r="F2188" s="902"/>
      <c r="G2188" s="528"/>
      <c r="H2188" s="549" t="s">
        <v>38</v>
      </c>
      <c r="I2188" s="711">
        <v>0</v>
      </c>
      <c r="J2188" s="897"/>
      <c r="K2188" s="528"/>
      <c r="L2188" s="549" t="s">
        <v>38</v>
      </c>
      <c r="M2188" s="711">
        <f t="shared" si="8549"/>
        <v>0</v>
      </c>
      <c r="N2188" s="897"/>
      <c r="O2188" s="528"/>
      <c r="P2188" s="548">
        <v>0</v>
      </c>
      <c r="Q2188" s="548">
        <v>0</v>
      </c>
      <c r="R2188" s="548">
        <v>0</v>
      </c>
      <c r="S2188" s="548">
        <v>0</v>
      </c>
      <c r="T2188" s="548">
        <v>0</v>
      </c>
      <c r="U2188" s="548">
        <v>0</v>
      </c>
      <c r="V2188" s="548"/>
      <c r="W2188" s="528"/>
      <c r="X2188" s="711"/>
      <c r="Y2188" s="897"/>
      <c r="Z2188" s="528"/>
      <c r="AA2188" s="899"/>
      <c r="AB2188" s="899"/>
      <c r="AC2188" s="904"/>
      <c r="AD2188" s="905"/>
      <c r="AE2188" s="2"/>
      <c r="AF2188" s="885"/>
      <c r="AG2188" s="885"/>
      <c r="AH2188" s="885"/>
      <c r="AI2188" s="885"/>
      <c r="AJ2188" s="885"/>
      <c r="AK2188" s="885"/>
      <c r="AL2188" s="885"/>
      <c r="AM2188" s="879"/>
      <c r="AN2188" s="2"/>
      <c r="AO2188" s="886"/>
      <c r="AP2188" s="886"/>
      <c r="AV2188" t="str">
        <f t="shared" si="8810"/>
        <v>Drenagem Superficial</v>
      </c>
      <c r="AW2188" s="4" t="str">
        <f t="shared" si="8808"/>
        <v xml:space="preserve">   Seg. 2.5-A03 - Drenagem Superficial - Valetas de proteção de aterro (Extrusada)</v>
      </c>
    </row>
    <row r="2189" spans="1:49" ht="14.45" hidden="1" customHeight="1" outlineLevel="2">
      <c r="A2189" s="8" t="str">
        <f t="shared" ref="A2189" si="8820">IF(SUM(P2189:V2190)&gt;0,"S","N")</f>
        <v>N</v>
      </c>
      <c r="B2189" s="150">
        <v>1069680</v>
      </c>
      <c r="C2189" s="150" t="s">
        <v>2510</v>
      </c>
      <c r="D2189" s="120" t="s">
        <v>1996</v>
      </c>
      <c r="E2189" s="892" t="s">
        <v>2511</v>
      </c>
      <c r="F2189" s="902" t="s">
        <v>52</v>
      </c>
      <c r="G2189" s="528"/>
      <c r="H2189" s="546" t="s">
        <v>37</v>
      </c>
      <c r="I2189" s="711">
        <v>0</v>
      </c>
      <c r="J2189" s="896" t="str">
        <f t="shared" ref="J2189" si="8821">IFERROR((I2190/I2189),"-")</f>
        <v>-</v>
      </c>
      <c r="K2189" s="528"/>
      <c r="L2189" s="546" t="s">
        <v>37</v>
      </c>
      <c r="M2189" s="711">
        <f t="shared" si="8549"/>
        <v>0</v>
      </c>
      <c r="N2189" s="896" t="str">
        <f t="shared" ref="N2189" si="8822">IFERROR((M2190/M2189),"-")</f>
        <v>-</v>
      </c>
      <c r="O2189" s="528"/>
      <c r="P2189" s="547">
        <v>0</v>
      </c>
      <c r="Q2189" s="547">
        <v>0</v>
      </c>
      <c r="R2189" s="547">
        <v>0</v>
      </c>
      <c r="S2189" s="547">
        <v>0</v>
      </c>
      <c r="T2189" s="547">
        <v>0</v>
      </c>
      <c r="U2189" s="547">
        <v>0</v>
      </c>
      <c r="V2189" s="548">
        <v>0</v>
      </c>
      <c r="W2189" s="528"/>
      <c r="X2189" s="711"/>
      <c r="Y2189" s="896" t="str">
        <f t="shared" ref="Y2189" si="8823">IFERROR((X2190/X2189),"-")</f>
        <v>-</v>
      </c>
      <c r="Z2189" s="528"/>
      <c r="AA2189" s="898">
        <v>364</v>
      </c>
      <c r="AB2189" s="898">
        <v>364.02000000000004</v>
      </c>
      <c r="AC2189" s="903">
        <v>556</v>
      </c>
      <c r="AD2189" s="896">
        <f t="shared" ref="AD2189" si="8824">IFERROR((AC2189/AB2189),"-")</f>
        <v>1.527388605021702</v>
      </c>
      <c r="AE2189" s="2"/>
      <c r="AF2189" s="884">
        <v>0</v>
      </c>
      <c r="AG2189" s="884"/>
      <c r="AH2189" s="884">
        <v>0</v>
      </c>
      <c r="AI2189" s="884"/>
      <c r="AJ2189" s="884"/>
      <c r="AK2189" s="884">
        <f t="shared" ref="AK2189" si="8825">AF2189+AG2189+AH2189+AI2189+AJ2189+AC2189</f>
        <v>556</v>
      </c>
      <c r="AL2189" s="884">
        <v>364.02000000000004</v>
      </c>
      <c r="AM2189" s="878">
        <f t="shared" ref="AM2189" si="8826">IFERROR((AK2189/AL2189),"-")</f>
        <v>1.527388605021702</v>
      </c>
      <c r="AN2189" s="2"/>
      <c r="AO2189" s="884">
        <v>947</v>
      </c>
      <c r="AP2189" s="884">
        <f t="shared" ref="AP2189" si="8827">AO2189-AK2189</f>
        <v>391</v>
      </c>
      <c r="AV2189" t="str">
        <f t="shared" si="8810"/>
        <v>Drenagem Superficial</v>
      </c>
      <c r="AW2189" s="4" t="str">
        <f t="shared" si="8808"/>
        <v xml:space="preserve">   Seg. 2.5-A09 - Drenagem Superficial - Valetas de proteção de aterro (Extrusada)</v>
      </c>
    </row>
    <row r="2190" spans="1:49" ht="14.45" hidden="1" customHeight="1" outlineLevel="2">
      <c r="A2190" s="8" t="str">
        <f t="shared" ref="A2190" si="8828">A2189</f>
        <v>N</v>
      </c>
      <c r="B2190" s="150"/>
      <c r="C2190" s="150" t="s">
        <v>2510</v>
      </c>
      <c r="D2190" s="120" t="s">
        <v>1996</v>
      </c>
      <c r="E2190" s="893"/>
      <c r="F2190" s="902"/>
      <c r="G2190" s="528"/>
      <c r="H2190" s="549" t="s">
        <v>38</v>
      </c>
      <c r="I2190" s="711">
        <v>496</v>
      </c>
      <c r="J2190" s="897"/>
      <c r="K2190" s="528"/>
      <c r="L2190" s="549" t="s">
        <v>38</v>
      </c>
      <c r="M2190" s="711">
        <f t="shared" si="8549"/>
        <v>0</v>
      </c>
      <c r="N2190" s="897"/>
      <c r="O2190" s="528"/>
      <c r="P2190" s="548">
        <v>0</v>
      </c>
      <c r="Q2190" s="548">
        <v>0</v>
      </c>
      <c r="R2190" s="548">
        <v>0</v>
      </c>
      <c r="S2190" s="548">
        <v>0</v>
      </c>
      <c r="T2190" s="548">
        <v>0</v>
      </c>
      <c r="U2190" s="548">
        <v>0</v>
      </c>
      <c r="V2190" s="548"/>
      <c r="W2190" s="528"/>
      <c r="X2190" s="711"/>
      <c r="Y2190" s="897"/>
      <c r="Z2190" s="528"/>
      <c r="AA2190" s="899"/>
      <c r="AB2190" s="899"/>
      <c r="AC2190" s="904"/>
      <c r="AD2190" s="905"/>
      <c r="AE2190" s="2"/>
      <c r="AF2190" s="885"/>
      <c r="AG2190" s="885"/>
      <c r="AH2190" s="885"/>
      <c r="AI2190" s="885"/>
      <c r="AJ2190" s="885"/>
      <c r="AK2190" s="885"/>
      <c r="AL2190" s="885"/>
      <c r="AM2190" s="879"/>
      <c r="AN2190" s="2"/>
      <c r="AO2190" s="886"/>
      <c r="AP2190" s="886"/>
      <c r="AV2190" t="str">
        <f t="shared" si="8810"/>
        <v>Drenagem Superficial</v>
      </c>
      <c r="AW2190" s="4" t="str">
        <f t="shared" si="8808"/>
        <v xml:space="preserve">   Seg. 2.5-A09 - Drenagem Superficial - Valetas de proteção de aterro (Extrusada)</v>
      </c>
    </row>
    <row r="2191" spans="1:49" ht="14.45" hidden="1" customHeight="1" outlineLevel="2">
      <c r="A2191" s="8" t="str">
        <f t="shared" ref="A2191" si="8829">IF(SUM(P2191:V2192)&gt;0,"S","N")</f>
        <v>N</v>
      </c>
      <c r="B2191" s="150">
        <v>1069681</v>
      </c>
      <c r="C2191" s="150" t="s">
        <v>2512</v>
      </c>
      <c r="D2191" s="120" t="s">
        <v>530</v>
      </c>
      <c r="E2191" s="892" t="s">
        <v>2513</v>
      </c>
      <c r="F2191" s="902" t="s">
        <v>52</v>
      </c>
      <c r="G2191" s="528"/>
      <c r="H2191" s="546" t="s">
        <v>37</v>
      </c>
      <c r="I2191" s="711">
        <v>0</v>
      </c>
      <c r="J2191" s="896" t="str">
        <f t="shared" ref="J2191" si="8830">IFERROR((I2192/I2191),"-")</f>
        <v>-</v>
      </c>
      <c r="K2191" s="528"/>
      <c r="L2191" s="546" t="s">
        <v>37</v>
      </c>
      <c r="M2191" s="711">
        <f t="shared" si="8549"/>
        <v>0</v>
      </c>
      <c r="N2191" s="896" t="str">
        <f t="shared" ref="N2191" si="8831">IFERROR((M2192/M2191),"-")</f>
        <v>-</v>
      </c>
      <c r="O2191" s="528"/>
      <c r="P2191" s="547">
        <v>0</v>
      </c>
      <c r="Q2191" s="547">
        <v>0</v>
      </c>
      <c r="R2191" s="547">
        <v>0</v>
      </c>
      <c r="S2191" s="547">
        <v>0</v>
      </c>
      <c r="T2191" s="547">
        <v>0</v>
      </c>
      <c r="U2191" s="547">
        <v>0</v>
      </c>
      <c r="V2191" s="548">
        <v>0</v>
      </c>
      <c r="W2191" s="528"/>
      <c r="X2191" s="711"/>
      <c r="Y2191" s="896" t="str">
        <f t="shared" ref="Y2191" si="8832">IFERROR((X2192/X2191),"-")</f>
        <v>-</v>
      </c>
      <c r="Z2191" s="528"/>
      <c r="AA2191" s="898">
        <v>192</v>
      </c>
      <c r="AB2191" s="898">
        <v>0</v>
      </c>
      <c r="AC2191" s="903">
        <v>0</v>
      </c>
      <c r="AD2191" s="896" t="str">
        <f t="shared" ref="AD2191" si="8833">IFERROR((AC2191/AB2191),"-")</f>
        <v>-</v>
      </c>
      <c r="AE2191" s="2"/>
      <c r="AF2191" s="884">
        <v>0</v>
      </c>
      <c r="AG2191" s="884"/>
      <c r="AH2191" s="884">
        <v>0</v>
      </c>
      <c r="AI2191" s="884"/>
      <c r="AJ2191" s="884"/>
      <c r="AK2191" s="884">
        <f t="shared" ref="AK2191" si="8834">AF2191+AG2191+AH2191+AI2191+AJ2191+AC2191</f>
        <v>0</v>
      </c>
      <c r="AL2191" s="884">
        <v>0</v>
      </c>
      <c r="AM2191" s="878" t="str">
        <f t="shared" ref="AM2191" si="8835">IFERROR((AK2191/AL2191),"-")</f>
        <v>-</v>
      </c>
      <c r="AN2191" s="2"/>
      <c r="AO2191" s="884">
        <v>192</v>
      </c>
      <c r="AP2191" s="884">
        <f t="shared" ref="AP2191" si="8836">AO2191-AK2191</f>
        <v>192</v>
      </c>
      <c r="AV2191" t="str">
        <f t="shared" si="8810"/>
        <v>Drenagem Superficial</v>
      </c>
      <c r="AW2191" s="4" t="str">
        <f t="shared" si="8808"/>
        <v xml:space="preserve">   Seg. 2.5-A10 - Drenagem Superficial - Valetas de proteção de aterro (Manual)</v>
      </c>
    </row>
    <row r="2192" spans="1:49" ht="14.45" hidden="1" customHeight="1" outlineLevel="2">
      <c r="A2192" s="8" t="str">
        <f t="shared" ref="A2192" si="8837">A2191</f>
        <v>N</v>
      </c>
      <c r="B2192" s="150"/>
      <c r="C2192" s="150" t="s">
        <v>2512</v>
      </c>
      <c r="D2192" s="120" t="s">
        <v>530</v>
      </c>
      <c r="E2192" s="893"/>
      <c r="F2192" s="902"/>
      <c r="G2192" s="528"/>
      <c r="H2192" s="549" t="s">
        <v>38</v>
      </c>
      <c r="I2192" s="711">
        <v>0</v>
      </c>
      <c r="J2192" s="897"/>
      <c r="K2192" s="528"/>
      <c r="L2192" s="549" t="s">
        <v>38</v>
      </c>
      <c r="M2192" s="711">
        <f t="shared" si="8549"/>
        <v>0</v>
      </c>
      <c r="N2192" s="897"/>
      <c r="O2192" s="528"/>
      <c r="P2192" s="548">
        <v>0</v>
      </c>
      <c r="Q2192" s="548">
        <v>0</v>
      </c>
      <c r="R2192" s="548">
        <v>0</v>
      </c>
      <c r="S2192" s="548">
        <v>0</v>
      </c>
      <c r="T2192" s="548">
        <v>0</v>
      </c>
      <c r="U2192" s="548">
        <v>0</v>
      </c>
      <c r="V2192" s="548"/>
      <c r="W2192" s="528"/>
      <c r="X2192" s="711"/>
      <c r="Y2192" s="897"/>
      <c r="Z2192" s="528"/>
      <c r="AA2192" s="899"/>
      <c r="AB2192" s="899"/>
      <c r="AC2192" s="904"/>
      <c r="AD2192" s="905"/>
      <c r="AE2192" s="2"/>
      <c r="AF2192" s="885"/>
      <c r="AG2192" s="885"/>
      <c r="AH2192" s="885"/>
      <c r="AI2192" s="885"/>
      <c r="AJ2192" s="885"/>
      <c r="AK2192" s="885"/>
      <c r="AL2192" s="885"/>
      <c r="AM2192" s="879"/>
      <c r="AN2192" s="2"/>
      <c r="AO2192" s="886"/>
      <c r="AP2192" s="886"/>
      <c r="AV2192" t="str">
        <f t="shared" si="8810"/>
        <v>Drenagem Superficial</v>
      </c>
      <c r="AW2192" s="4" t="str">
        <f t="shared" si="8808"/>
        <v xml:space="preserve">   Seg. 2.5-A10 - Drenagem Superficial - Valetas de proteção de aterro (Manual)</v>
      </c>
    </row>
    <row r="2193" spans="1:49" ht="14.45" hidden="1" customHeight="1" outlineLevel="2">
      <c r="A2193" s="8" t="str">
        <f t="shared" ref="A2193" si="8838">IF(SUM(P2193:V2194)&gt;0,"S","N")</f>
        <v>N</v>
      </c>
      <c r="B2193" s="150">
        <v>1069682</v>
      </c>
      <c r="C2193" s="150" t="s">
        <v>2514</v>
      </c>
      <c r="D2193" s="120" t="s">
        <v>520</v>
      </c>
      <c r="E2193" s="892" t="s">
        <v>2515</v>
      </c>
      <c r="F2193" s="902" t="s">
        <v>52</v>
      </c>
      <c r="G2193" s="528"/>
      <c r="H2193" s="546" t="s">
        <v>37</v>
      </c>
      <c r="I2193" s="711">
        <v>0</v>
      </c>
      <c r="J2193" s="896" t="str">
        <f t="shared" ref="J2193" si="8839">IFERROR((I2194/I2193),"-")</f>
        <v>-</v>
      </c>
      <c r="K2193" s="528"/>
      <c r="L2193" s="546" t="s">
        <v>37</v>
      </c>
      <c r="M2193" s="711">
        <f t="shared" ref="M2193:M2210" si="8840">_xlfn.XLOOKUP($N$8,$P$8:$V$8,$P2193:$V2193)</f>
        <v>0</v>
      </c>
      <c r="N2193" s="896" t="str">
        <f t="shared" ref="N2193" si="8841">IFERROR((M2194/M2193),"-")</f>
        <v>-</v>
      </c>
      <c r="O2193" s="528"/>
      <c r="P2193" s="547">
        <v>0</v>
      </c>
      <c r="Q2193" s="547">
        <v>0</v>
      </c>
      <c r="R2193" s="547">
        <v>0</v>
      </c>
      <c r="S2193" s="547">
        <v>0</v>
      </c>
      <c r="T2193" s="547">
        <v>0</v>
      </c>
      <c r="U2193" s="547">
        <v>0</v>
      </c>
      <c r="V2193" s="548">
        <v>0</v>
      </c>
      <c r="W2193" s="528"/>
      <c r="X2193" s="711"/>
      <c r="Y2193" s="896" t="str">
        <f t="shared" ref="Y2193" si="8842">IFERROR((X2194/X2193),"-")</f>
        <v>-</v>
      </c>
      <c r="Z2193" s="528"/>
      <c r="AA2193" s="898">
        <v>1</v>
      </c>
      <c r="AB2193" s="898">
        <v>0</v>
      </c>
      <c r="AC2193" s="903">
        <v>0</v>
      </c>
      <c r="AD2193" s="896" t="str">
        <f t="shared" ref="AD2193" si="8843">IFERROR((AC2193/AB2193),"-")</f>
        <v>-</v>
      </c>
      <c r="AE2193" s="2"/>
      <c r="AF2193" s="884">
        <v>0</v>
      </c>
      <c r="AG2193" s="884"/>
      <c r="AH2193" s="884">
        <v>0</v>
      </c>
      <c r="AI2193" s="884"/>
      <c r="AJ2193" s="884"/>
      <c r="AK2193" s="884">
        <f t="shared" ref="AK2193" si="8844">AF2193+AG2193+AH2193+AI2193+AJ2193+AC2193</f>
        <v>0</v>
      </c>
      <c r="AL2193" s="884">
        <v>0</v>
      </c>
      <c r="AM2193" s="878" t="str">
        <f t="shared" ref="AM2193" si="8845">IFERROR((AK2193/AL2193),"-")</f>
        <v>-</v>
      </c>
      <c r="AN2193" s="2"/>
      <c r="AO2193" s="884">
        <v>1083</v>
      </c>
      <c r="AP2193" s="884">
        <f t="shared" ref="AP2193" si="8846">AO2193-AK2193</f>
        <v>1083</v>
      </c>
      <c r="AV2193" t="str">
        <f t="shared" si="8810"/>
        <v>Drenagem Superficial</v>
      </c>
      <c r="AW2193" s="4" t="str">
        <f t="shared" si="8808"/>
        <v xml:space="preserve">   Seg. 2.5-A13 - Drenagem Superficial - Valetas de proteção de aterro (Manual)</v>
      </c>
    </row>
    <row r="2194" spans="1:49" ht="14.45" hidden="1" customHeight="1" outlineLevel="2">
      <c r="A2194" s="8" t="str">
        <f t="shared" ref="A2194" si="8847">A2193</f>
        <v>N</v>
      </c>
      <c r="B2194" s="150"/>
      <c r="C2194" s="150" t="s">
        <v>2514</v>
      </c>
      <c r="D2194" s="120" t="s">
        <v>520</v>
      </c>
      <c r="E2194" s="893"/>
      <c r="F2194" s="902"/>
      <c r="G2194" s="528"/>
      <c r="H2194" s="549" t="s">
        <v>38</v>
      </c>
      <c r="I2194" s="711">
        <v>0</v>
      </c>
      <c r="J2194" s="897"/>
      <c r="K2194" s="528"/>
      <c r="L2194" s="549" t="s">
        <v>38</v>
      </c>
      <c r="M2194" s="711">
        <f t="shared" si="8840"/>
        <v>0</v>
      </c>
      <c r="N2194" s="897"/>
      <c r="O2194" s="528"/>
      <c r="P2194" s="548">
        <v>0</v>
      </c>
      <c r="Q2194" s="548">
        <v>0</v>
      </c>
      <c r="R2194" s="548">
        <v>0</v>
      </c>
      <c r="S2194" s="548">
        <v>0</v>
      </c>
      <c r="T2194" s="548">
        <v>0</v>
      </c>
      <c r="U2194" s="548">
        <v>0</v>
      </c>
      <c r="V2194" s="548"/>
      <c r="W2194" s="528"/>
      <c r="X2194" s="711"/>
      <c r="Y2194" s="897"/>
      <c r="Z2194" s="528"/>
      <c r="AA2194" s="899"/>
      <c r="AB2194" s="899"/>
      <c r="AC2194" s="904"/>
      <c r="AD2194" s="905"/>
      <c r="AE2194" s="2"/>
      <c r="AF2194" s="885"/>
      <c r="AG2194" s="885"/>
      <c r="AH2194" s="885"/>
      <c r="AI2194" s="885"/>
      <c r="AJ2194" s="885"/>
      <c r="AK2194" s="885"/>
      <c r="AL2194" s="885"/>
      <c r="AM2194" s="879"/>
      <c r="AN2194" s="2"/>
      <c r="AO2194" s="886"/>
      <c r="AP2194" s="886"/>
      <c r="AV2194" t="str">
        <f t="shared" si="8810"/>
        <v>Drenagem Superficial</v>
      </c>
      <c r="AW2194" s="4" t="str">
        <f t="shared" si="8808"/>
        <v xml:space="preserve">   Seg. 2.5-A13 - Drenagem Superficial - Valetas de proteção de aterro (Manual)</v>
      </c>
    </row>
    <row r="2195" spans="1:49" ht="14.45" hidden="1" customHeight="1" outlineLevel="2">
      <c r="A2195" s="8" t="str">
        <f t="shared" ref="A2195" si="8848">IF(SUM(P2195:V2196)&gt;0,"S","N")</f>
        <v>N</v>
      </c>
      <c r="B2195" s="150">
        <v>1069784</v>
      </c>
      <c r="C2195" s="150" t="s">
        <v>2516</v>
      </c>
      <c r="D2195" s="120" t="s">
        <v>530</v>
      </c>
      <c r="E2195" s="892" t="s">
        <v>2517</v>
      </c>
      <c r="F2195" s="902" t="s">
        <v>52</v>
      </c>
      <c r="G2195" s="528"/>
      <c r="H2195" s="546" t="s">
        <v>37</v>
      </c>
      <c r="I2195" s="711">
        <v>0</v>
      </c>
      <c r="J2195" s="896" t="str">
        <f t="shared" ref="J2195" si="8849">IFERROR((I2196/I2195),"-")</f>
        <v>-</v>
      </c>
      <c r="K2195" s="528"/>
      <c r="L2195" s="546" t="s">
        <v>37</v>
      </c>
      <c r="M2195" s="711">
        <f t="shared" si="8840"/>
        <v>0</v>
      </c>
      <c r="N2195" s="896" t="str">
        <f t="shared" ref="N2195" si="8850">IFERROR((M2196/M2195),"-")</f>
        <v>-</v>
      </c>
      <c r="O2195" s="528"/>
      <c r="P2195" s="547">
        <v>0</v>
      </c>
      <c r="Q2195" s="547">
        <v>0</v>
      </c>
      <c r="R2195" s="547">
        <v>0</v>
      </c>
      <c r="S2195" s="547">
        <v>0</v>
      </c>
      <c r="T2195" s="547">
        <v>0</v>
      </c>
      <c r="U2195" s="547">
        <v>0</v>
      </c>
      <c r="V2195" s="548">
        <v>0</v>
      </c>
      <c r="W2195" s="528"/>
      <c r="X2195" s="711"/>
      <c r="Y2195" s="896" t="str">
        <f t="shared" ref="Y2195" si="8851">IFERROR((X2196/X2195),"-")</f>
        <v>-</v>
      </c>
      <c r="Z2195" s="528"/>
      <c r="AA2195" s="898">
        <v>0</v>
      </c>
      <c r="AB2195" s="898">
        <v>0</v>
      </c>
      <c r="AC2195" s="903">
        <v>0</v>
      </c>
      <c r="AD2195" s="896" t="str">
        <f t="shared" ref="AD2195" si="8852">IFERROR((AC2195/AB2195),"-")</f>
        <v>-</v>
      </c>
      <c r="AE2195" s="2"/>
      <c r="AF2195" s="884">
        <v>0</v>
      </c>
      <c r="AG2195" s="884"/>
      <c r="AH2195" s="884">
        <v>0</v>
      </c>
      <c r="AI2195" s="884"/>
      <c r="AJ2195" s="884"/>
      <c r="AK2195" s="884">
        <f t="shared" ref="AK2195" si="8853">AF2195+AG2195+AH2195+AI2195+AJ2195+AC2195</f>
        <v>0</v>
      </c>
      <c r="AL2195" s="884">
        <v>0</v>
      </c>
      <c r="AM2195" s="878" t="str">
        <f t="shared" ref="AM2195" si="8854">IFERROR((AK2195/AL2195),"-")</f>
        <v>-</v>
      </c>
      <c r="AN2195" s="2"/>
      <c r="AO2195" s="884">
        <v>454</v>
      </c>
      <c r="AP2195" s="884">
        <f t="shared" ref="AP2195" si="8855">AO2195-AK2195</f>
        <v>454</v>
      </c>
      <c r="AV2195" t="str">
        <f t="shared" si="8810"/>
        <v>Drenagem Superficial</v>
      </c>
      <c r="AW2195" s="4" t="str">
        <f t="shared" si="8808"/>
        <v xml:space="preserve">   Seg. 2.5-C10 - Drenagem Superficial - Valetas de proteção de corte (Manual)</v>
      </c>
    </row>
    <row r="2196" spans="1:49" ht="14.45" hidden="1" customHeight="1" outlineLevel="2">
      <c r="A2196" s="8" t="str">
        <f t="shared" ref="A2196" si="8856">A2195</f>
        <v>N</v>
      </c>
      <c r="B2196" s="150"/>
      <c r="C2196" s="150" t="s">
        <v>2516</v>
      </c>
      <c r="D2196" s="120" t="s">
        <v>530</v>
      </c>
      <c r="E2196" s="893"/>
      <c r="F2196" s="902"/>
      <c r="G2196" s="528"/>
      <c r="H2196" s="549" t="s">
        <v>38</v>
      </c>
      <c r="I2196" s="711">
        <v>0</v>
      </c>
      <c r="J2196" s="897"/>
      <c r="K2196" s="528"/>
      <c r="L2196" s="549" t="s">
        <v>38</v>
      </c>
      <c r="M2196" s="711">
        <f t="shared" si="8840"/>
        <v>0</v>
      </c>
      <c r="N2196" s="897"/>
      <c r="O2196" s="528"/>
      <c r="P2196" s="548">
        <v>0</v>
      </c>
      <c r="Q2196" s="548">
        <v>0</v>
      </c>
      <c r="R2196" s="548">
        <v>0</v>
      </c>
      <c r="S2196" s="548">
        <v>0</v>
      </c>
      <c r="T2196" s="548">
        <v>0</v>
      </c>
      <c r="U2196" s="548">
        <v>0</v>
      </c>
      <c r="V2196" s="548"/>
      <c r="W2196" s="528"/>
      <c r="X2196" s="711"/>
      <c r="Y2196" s="897"/>
      <c r="Z2196" s="528"/>
      <c r="AA2196" s="899"/>
      <c r="AB2196" s="899"/>
      <c r="AC2196" s="904"/>
      <c r="AD2196" s="905"/>
      <c r="AE2196" s="2"/>
      <c r="AF2196" s="885"/>
      <c r="AG2196" s="885"/>
      <c r="AH2196" s="885"/>
      <c r="AI2196" s="885"/>
      <c r="AJ2196" s="885"/>
      <c r="AK2196" s="885"/>
      <c r="AL2196" s="885"/>
      <c r="AM2196" s="879"/>
      <c r="AN2196" s="2"/>
      <c r="AO2196" s="886"/>
      <c r="AP2196" s="886"/>
      <c r="AV2196" t="str">
        <f t="shared" si="8810"/>
        <v>Drenagem Superficial</v>
      </c>
      <c r="AW2196" s="4" t="str">
        <f t="shared" si="8808"/>
        <v xml:space="preserve">   Seg. 2.5-C10 - Drenagem Superficial - Valetas de proteção de corte (Manual)</v>
      </c>
    </row>
    <row r="2197" spans="1:49" ht="14.1" hidden="1" customHeight="1" outlineLevel="2">
      <c r="A2197" s="8" t="str">
        <f t="shared" ref="A2197" si="8857">IF(SUM(P2197:V2198)&gt;0,"S","N")</f>
        <v>N</v>
      </c>
      <c r="B2197" s="150">
        <v>1069838</v>
      </c>
      <c r="C2197" s="150" t="s">
        <v>2518</v>
      </c>
      <c r="D2197" s="120" t="s">
        <v>472</v>
      </c>
      <c r="E2197" s="892" t="s">
        <v>2519</v>
      </c>
      <c r="F2197" s="902" t="s">
        <v>52</v>
      </c>
      <c r="G2197" s="528"/>
      <c r="H2197" s="546" t="s">
        <v>37</v>
      </c>
      <c r="I2197" s="711">
        <v>0</v>
      </c>
      <c r="J2197" s="896" t="str">
        <f t="shared" ref="J2197" si="8858">IFERROR((I2198/I2197),"-")</f>
        <v>-</v>
      </c>
      <c r="K2197" s="528"/>
      <c r="L2197" s="546" t="s">
        <v>37</v>
      </c>
      <c r="M2197" s="711">
        <f t="shared" si="8840"/>
        <v>0</v>
      </c>
      <c r="N2197" s="896" t="str">
        <f t="shared" ref="N2197" si="8859">IFERROR((M2198/M2197),"-")</f>
        <v>-</v>
      </c>
      <c r="O2197" s="528"/>
      <c r="P2197" s="547">
        <v>0</v>
      </c>
      <c r="Q2197" s="547">
        <v>0</v>
      </c>
      <c r="R2197" s="547">
        <v>0</v>
      </c>
      <c r="S2197" s="547">
        <v>0</v>
      </c>
      <c r="T2197" s="547">
        <v>0</v>
      </c>
      <c r="U2197" s="547">
        <v>0</v>
      </c>
      <c r="V2197" s="548">
        <v>0</v>
      </c>
      <c r="W2197" s="528"/>
      <c r="X2197" s="711"/>
      <c r="Y2197" s="896" t="str">
        <f t="shared" ref="Y2197" si="8860">IFERROR((X2198/X2197),"-")</f>
        <v>-</v>
      </c>
      <c r="Z2197" s="528"/>
      <c r="AA2197" s="898">
        <v>0</v>
      </c>
      <c r="AB2197" s="898">
        <v>0</v>
      </c>
      <c r="AC2197" s="903">
        <v>0</v>
      </c>
      <c r="AD2197" s="896" t="str">
        <f t="shared" ref="AD2197" si="8861">IFERROR((AC2197/AB2197),"-")</f>
        <v>-</v>
      </c>
      <c r="AE2197" s="2"/>
      <c r="AF2197" s="884">
        <v>0</v>
      </c>
      <c r="AG2197" s="884"/>
      <c r="AH2197" s="884">
        <v>0</v>
      </c>
      <c r="AI2197" s="884"/>
      <c r="AJ2197" s="884"/>
      <c r="AK2197" s="884">
        <f t="shared" ref="AK2197" si="8862">AF2197+AG2197+AH2197+AI2197+AJ2197+AC2197</f>
        <v>0</v>
      </c>
      <c r="AL2197" s="884">
        <v>0</v>
      </c>
      <c r="AM2197" s="878" t="str">
        <f t="shared" ref="AM2197" si="8863">IFERROR((AK2197/AL2197),"-")</f>
        <v>-</v>
      </c>
      <c r="AN2197" s="2"/>
      <c r="AO2197" s="884">
        <v>1004</v>
      </c>
      <c r="AP2197" s="884">
        <f t="shared" ref="AP2197" si="8864">AO2197-AK2197</f>
        <v>1004</v>
      </c>
      <c r="AV2197" t="str">
        <f t="shared" si="8810"/>
        <v>Drenagem Superficial</v>
      </c>
      <c r="AW2197" s="4" t="str">
        <f t="shared" si="8808"/>
        <v xml:space="preserve">   Seg. 2.5-C04 - Drenagem Superficial - Valetas de proteção de corte (Manual)</v>
      </c>
    </row>
    <row r="2198" spans="1:49" ht="20.100000000000001" hidden="1" customHeight="1" outlineLevel="2">
      <c r="A2198" s="8" t="str">
        <f t="shared" ref="A2198" si="8865">A2197</f>
        <v>N</v>
      </c>
      <c r="B2198" s="150"/>
      <c r="C2198" s="150" t="s">
        <v>2518</v>
      </c>
      <c r="D2198" s="120" t="s">
        <v>472</v>
      </c>
      <c r="E2198" s="893"/>
      <c r="F2198" s="902"/>
      <c r="G2198" s="528"/>
      <c r="H2198" s="549" t="s">
        <v>38</v>
      </c>
      <c r="I2198" s="711">
        <v>0</v>
      </c>
      <c r="J2198" s="897"/>
      <c r="K2198" s="528"/>
      <c r="L2198" s="549" t="s">
        <v>38</v>
      </c>
      <c r="M2198" s="711">
        <f t="shared" si="8840"/>
        <v>0</v>
      </c>
      <c r="N2198" s="897"/>
      <c r="O2198" s="528"/>
      <c r="P2198" s="548">
        <v>0</v>
      </c>
      <c r="Q2198" s="548">
        <v>0</v>
      </c>
      <c r="R2198" s="548">
        <v>0</v>
      </c>
      <c r="S2198" s="548">
        <v>0</v>
      </c>
      <c r="T2198" s="548">
        <v>0</v>
      </c>
      <c r="U2198" s="548">
        <v>0</v>
      </c>
      <c r="V2198" s="548"/>
      <c r="W2198" s="528"/>
      <c r="X2198" s="711"/>
      <c r="Y2198" s="897"/>
      <c r="Z2198" s="528"/>
      <c r="AA2198" s="899"/>
      <c r="AB2198" s="899"/>
      <c r="AC2198" s="904"/>
      <c r="AD2198" s="905"/>
      <c r="AE2198" s="2"/>
      <c r="AF2198" s="885"/>
      <c r="AG2198" s="885"/>
      <c r="AH2198" s="885"/>
      <c r="AI2198" s="885"/>
      <c r="AJ2198" s="885"/>
      <c r="AK2198" s="885"/>
      <c r="AL2198" s="885"/>
      <c r="AM2198" s="879"/>
      <c r="AN2198" s="2"/>
      <c r="AO2198" s="886"/>
      <c r="AP2198" s="886"/>
      <c r="AV2198" t="str">
        <f t="shared" si="8810"/>
        <v>Drenagem Superficial</v>
      </c>
      <c r="AW2198" s="4" t="str">
        <f t="shared" si="8808"/>
        <v xml:space="preserve">   Seg. 2.5-C04 - Drenagem Superficial - Valetas de proteção de corte (Manual)</v>
      </c>
    </row>
    <row r="2199" spans="1:49" ht="20.25" hidden="1" customHeight="1" outlineLevel="2">
      <c r="A2199" s="8" t="str">
        <f t="shared" ref="A2199" si="8866">IF(SUM(P2199:V2200)&gt;0,"S","N")</f>
        <v>S</v>
      </c>
      <c r="B2199" s="150">
        <v>1069839</v>
      </c>
      <c r="C2199" s="150" t="s">
        <v>2520</v>
      </c>
      <c r="D2199" s="120" t="s">
        <v>475</v>
      </c>
      <c r="E2199" s="892" t="s">
        <v>2521</v>
      </c>
      <c r="F2199" s="902" t="s">
        <v>52</v>
      </c>
      <c r="G2199" s="528"/>
      <c r="H2199" s="546" t="s">
        <v>37</v>
      </c>
      <c r="I2199" s="711">
        <v>0</v>
      </c>
      <c r="J2199" s="896" t="str">
        <f t="shared" ref="J2199" si="8867">IFERROR((I2200/I2199),"-")</f>
        <v>-</v>
      </c>
      <c r="K2199" s="528"/>
      <c r="L2199" s="546" t="s">
        <v>37</v>
      </c>
      <c r="M2199" s="711">
        <f t="shared" si="8840"/>
        <v>70</v>
      </c>
      <c r="N2199" s="896">
        <f t="shared" ref="N2199" si="8868">IFERROR((M2200/M2199),"-")</f>
        <v>0</v>
      </c>
      <c r="O2199" s="528"/>
      <c r="P2199" s="547">
        <v>70</v>
      </c>
      <c r="Q2199" s="547">
        <v>70</v>
      </c>
      <c r="R2199" s="547">
        <v>70</v>
      </c>
      <c r="S2199" s="547">
        <v>70</v>
      </c>
      <c r="T2199" s="547">
        <v>60</v>
      </c>
      <c r="U2199" s="547">
        <v>60</v>
      </c>
      <c r="V2199" s="548">
        <v>0</v>
      </c>
      <c r="W2199" s="528"/>
      <c r="X2199" s="711"/>
      <c r="Y2199" s="896" t="str">
        <f t="shared" ref="Y2199" si="8869">IFERROR((X2200/X2199),"-")</f>
        <v>-</v>
      </c>
      <c r="Z2199" s="528"/>
      <c r="AA2199" s="898">
        <v>0</v>
      </c>
      <c r="AB2199" s="898">
        <v>0</v>
      </c>
      <c r="AC2199" s="903">
        <v>0</v>
      </c>
      <c r="AD2199" s="896" t="str">
        <f t="shared" ref="AD2199" si="8870">IFERROR((AC2199/AB2199),"-")</f>
        <v>-</v>
      </c>
      <c r="AE2199" s="2"/>
      <c r="AF2199" s="884">
        <v>0</v>
      </c>
      <c r="AG2199" s="884"/>
      <c r="AH2199" s="884">
        <v>0</v>
      </c>
      <c r="AI2199" s="884"/>
      <c r="AJ2199" s="884"/>
      <c r="AK2199" s="884">
        <f t="shared" ref="AK2199" si="8871">AF2199+AG2199+AH2199+AI2199+AJ2199+AC2199</f>
        <v>0</v>
      </c>
      <c r="AL2199" s="884">
        <v>0</v>
      </c>
      <c r="AM2199" s="878" t="str">
        <f t="shared" ref="AM2199" si="8872">IFERROR((AK2199/AL2199),"-")</f>
        <v>-</v>
      </c>
      <c r="AN2199" s="2"/>
      <c r="AO2199" s="884">
        <v>465</v>
      </c>
      <c r="AP2199" s="884">
        <f t="shared" ref="AP2199" si="8873">AO2199-AK2199</f>
        <v>465</v>
      </c>
      <c r="AV2199" t="str">
        <f t="shared" si="8810"/>
        <v>Drenagem Superficial</v>
      </c>
      <c r="AW2199" s="4" t="str">
        <f t="shared" si="8808"/>
        <v xml:space="preserve">   Seg. 2.5-C05 - Drenagem Superficial - Valetas de proteção de corte (Manual)</v>
      </c>
    </row>
    <row r="2200" spans="1:49" ht="14.85" hidden="1" customHeight="1" outlineLevel="2">
      <c r="A2200" s="8" t="str">
        <f t="shared" ref="A2200" si="8874">A2199</f>
        <v>S</v>
      </c>
      <c r="B2200" s="150"/>
      <c r="C2200" s="150" t="s">
        <v>2520</v>
      </c>
      <c r="D2200" s="120" t="s">
        <v>475</v>
      </c>
      <c r="E2200" s="893"/>
      <c r="F2200" s="902"/>
      <c r="G2200" s="528"/>
      <c r="H2200" s="549" t="s">
        <v>38</v>
      </c>
      <c r="I2200" s="711">
        <v>0</v>
      </c>
      <c r="J2200" s="897"/>
      <c r="K2200" s="528"/>
      <c r="L2200" s="549" t="s">
        <v>38</v>
      </c>
      <c r="M2200" s="711">
        <f t="shared" si="8840"/>
        <v>0</v>
      </c>
      <c r="N2200" s="897"/>
      <c r="O2200" s="528"/>
      <c r="P2200" s="548">
        <v>0</v>
      </c>
      <c r="Q2200" s="548">
        <v>0</v>
      </c>
      <c r="R2200" s="548">
        <v>0</v>
      </c>
      <c r="S2200" s="548">
        <v>0</v>
      </c>
      <c r="T2200" s="548">
        <v>0</v>
      </c>
      <c r="U2200" s="548">
        <v>0</v>
      </c>
      <c r="V2200" s="548"/>
      <c r="W2200" s="528"/>
      <c r="X2200" s="711"/>
      <c r="Y2200" s="897"/>
      <c r="Z2200" s="528"/>
      <c r="AA2200" s="899"/>
      <c r="AB2200" s="899"/>
      <c r="AC2200" s="904"/>
      <c r="AD2200" s="905"/>
      <c r="AE2200" s="2"/>
      <c r="AF2200" s="885"/>
      <c r="AG2200" s="885"/>
      <c r="AH2200" s="885"/>
      <c r="AI2200" s="885"/>
      <c r="AJ2200" s="885"/>
      <c r="AK2200" s="885"/>
      <c r="AL2200" s="885"/>
      <c r="AM2200" s="879"/>
      <c r="AN2200" s="2"/>
      <c r="AO2200" s="886"/>
      <c r="AP2200" s="886"/>
      <c r="AV2200" t="str">
        <f t="shared" si="8810"/>
        <v>Drenagem Superficial</v>
      </c>
      <c r="AW2200" s="4" t="str">
        <f t="shared" si="8808"/>
        <v xml:space="preserve">   Seg. 2.5-C05 - Drenagem Superficial - Valetas de proteção de corte (Manual)</v>
      </c>
    </row>
    <row r="2201" spans="1:49" ht="16.350000000000001" hidden="1" customHeight="1" outlineLevel="2">
      <c r="A2201" s="8" t="str">
        <f t="shared" ref="A2201" si="8875">IF(SUM(P2201:V2202)&gt;0,"S","N")</f>
        <v>N</v>
      </c>
      <c r="B2201" s="150">
        <v>1069840</v>
      </c>
      <c r="C2201" s="150" t="s">
        <v>2522</v>
      </c>
      <c r="D2201" s="120" t="s">
        <v>1966</v>
      </c>
      <c r="E2201" s="892" t="s">
        <v>2523</v>
      </c>
      <c r="F2201" s="902" t="s">
        <v>52</v>
      </c>
      <c r="G2201" s="528"/>
      <c r="H2201" s="546" t="s">
        <v>37</v>
      </c>
      <c r="I2201" s="711">
        <v>0</v>
      </c>
      <c r="J2201" s="896" t="str">
        <f t="shared" ref="J2201" si="8876">IFERROR((I2202/I2201),"-")</f>
        <v>-</v>
      </c>
      <c r="K2201" s="528"/>
      <c r="L2201" s="546" t="s">
        <v>37</v>
      </c>
      <c r="M2201" s="711">
        <f t="shared" si="8840"/>
        <v>0</v>
      </c>
      <c r="N2201" s="896" t="str">
        <f t="shared" ref="N2201" si="8877">IFERROR((M2202/M2201),"-")</f>
        <v>-</v>
      </c>
      <c r="O2201" s="528"/>
      <c r="P2201" s="547">
        <v>0</v>
      </c>
      <c r="Q2201" s="547">
        <v>0</v>
      </c>
      <c r="R2201" s="547">
        <v>0</v>
      </c>
      <c r="S2201" s="547">
        <v>0</v>
      </c>
      <c r="T2201" s="547">
        <v>0</v>
      </c>
      <c r="U2201" s="547">
        <v>0</v>
      </c>
      <c r="V2201" s="548">
        <v>0</v>
      </c>
      <c r="W2201" s="528"/>
      <c r="X2201" s="711"/>
      <c r="Y2201" s="896" t="str">
        <f t="shared" ref="Y2201" si="8878">IFERROR((X2202/X2201),"-")</f>
        <v>-</v>
      </c>
      <c r="Z2201" s="528"/>
      <c r="AA2201" s="898">
        <v>0</v>
      </c>
      <c r="AB2201" s="898">
        <v>0</v>
      </c>
      <c r="AC2201" s="903">
        <v>0</v>
      </c>
      <c r="AD2201" s="896" t="str">
        <f t="shared" ref="AD2201" si="8879">IFERROR((AC2201/AB2201),"-")</f>
        <v>-</v>
      </c>
      <c r="AE2201" s="2"/>
      <c r="AF2201" s="884">
        <v>0</v>
      </c>
      <c r="AG2201" s="884"/>
      <c r="AH2201" s="884">
        <v>0</v>
      </c>
      <c r="AI2201" s="884"/>
      <c r="AJ2201" s="884"/>
      <c r="AK2201" s="884">
        <f t="shared" ref="AK2201" si="8880">AF2201+AG2201+AH2201+AI2201+AJ2201+AC2201</f>
        <v>0</v>
      </c>
      <c r="AL2201" s="884">
        <v>425</v>
      </c>
      <c r="AM2201" s="878">
        <f t="shared" ref="AM2201" si="8881">IFERROR((AK2201/AL2201),"-")</f>
        <v>0</v>
      </c>
      <c r="AN2201" s="2"/>
      <c r="AO2201" s="884">
        <v>110</v>
      </c>
      <c r="AP2201" s="884">
        <f t="shared" ref="AP2201" si="8882">AO2201-AK2201</f>
        <v>110</v>
      </c>
      <c r="AV2201" t="str">
        <f t="shared" si="8810"/>
        <v>Drenagem Superficial</v>
      </c>
      <c r="AW2201" s="4" t="str">
        <f t="shared" si="8808"/>
        <v xml:space="preserve">   Seg. 2.5-C07 - Drenagem Superficial - Valetas de proteção de corte (Extrusada)</v>
      </c>
    </row>
    <row r="2202" spans="1:49" ht="16.350000000000001" hidden="1" customHeight="1" outlineLevel="2">
      <c r="A2202" s="8" t="str">
        <f t="shared" ref="A2202" si="8883">A2201</f>
        <v>N</v>
      </c>
      <c r="B2202" s="150"/>
      <c r="C2202" s="150" t="s">
        <v>2522</v>
      </c>
      <c r="D2202" s="120" t="s">
        <v>1966</v>
      </c>
      <c r="E2202" s="893"/>
      <c r="F2202" s="902"/>
      <c r="G2202" s="528"/>
      <c r="H2202" s="549" t="s">
        <v>38</v>
      </c>
      <c r="I2202" s="711">
        <v>0</v>
      </c>
      <c r="J2202" s="897"/>
      <c r="K2202" s="528"/>
      <c r="L2202" s="549" t="s">
        <v>38</v>
      </c>
      <c r="M2202" s="711">
        <f t="shared" si="8840"/>
        <v>0</v>
      </c>
      <c r="N2202" s="897"/>
      <c r="O2202" s="528"/>
      <c r="P2202" s="548">
        <v>0</v>
      </c>
      <c r="Q2202" s="548">
        <v>0</v>
      </c>
      <c r="R2202" s="548">
        <v>0</v>
      </c>
      <c r="S2202" s="548">
        <v>0</v>
      </c>
      <c r="T2202" s="548">
        <v>0</v>
      </c>
      <c r="U2202" s="548">
        <v>0</v>
      </c>
      <c r="V2202" s="548"/>
      <c r="W2202" s="528"/>
      <c r="X2202" s="711"/>
      <c r="Y2202" s="897"/>
      <c r="Z2202" s="528"/>
      <c r="AA2202" s="899"/>
      <c r="AB2202" s="899"/>
      <c r="AC2202" s="904"/>
      <c r="AD2202" s="905"/>
      <c r="AE2202" s="2"/>
      <c r="AF2202" s="885"/>
      <c r="AG2202" s="885"/>
      <c r="AH2202" s="885"/>
      <c r="AI2202" s="885"/>
      <c r="AJ2202" s="885"/>
      <c r="AK2202" s="885"/>
      <c r="AL2202" s="885"/>
      <c r="AM2202" s="879"/>
      <c r="AN2202" s="2"/>
      <c r="AO2202" s="886"/>
      <c r="AP2202" s="886"/>
      <c r="AV2202" t="str">
        <f t="shared" si="8810"/>
        <v>Drenagem Superficial</v>
      </c>
      <c r="AW2202" s="4" t="str">
        <f t="shared" si="8808"/>
        <v xml:space="preserve">   Seg. 2.5-C07 - Drenagem Superficial - Valetas de proteção de corte (Extrusada)</v>
      </c>
    </row>
    <row r="2203" spans="1:49" ht="16.350000000000001" hidden="1" customHeight="1" outlineLevel="2">
      <c r="A2203" s="8" t="str">
        <f t="shared" ref="A2203" si="8884">IF(SUM(P2203:V2204)&gt;0,"S","N")</f>
        <v>N</v>
      </c>
      <c r="B2203" s="150">
        <v>1069867</v>
      </c>
      <c r="C2203" s="150" t="s">
        <v>2524</v>
      </c>
      <c r="D2203" s="120" t="s">
        <v>502</v>
      </c>
      <c r="E2203" s="892" t="s">
        <v>2525</v>
      </c>
      <c r="F2203" s="902" t="s">
        <v>52</v>
      </c>
      <c r="G2203" s="528"/>
      <c r="H2203" s="546" t="s">
        <v>37</v>
      </c>
      <c r="I2203" s="711">
        <v>400</v>
      </c>
      <c r="J2203" s="896">
        <f t="shared" ref="J2203" si="8885">IFERROR((I2204/I2203),"-")</f>
        <v>0.51300000000000001</v>
      </c>
      <c r="K2203" s="528"/>
      <c r="L2203" s="546" t="s">
        <v>37</v>
      </c>
      <c r="M2203" s="711">
        <f t="shared" si="8840"/>
        <v>0</v>
      </c>
      <c r="N2203" s="896" t="str">
        <f t="shared" ref="N2203" si="8886">IFERROR((M2204/M2203),"-")</f>
        <v>-</v>
      </c>
      <c r="O2203" s="528"/>
      <c r="P2203" s="547">
        <v>0</v>
      </c>
      <c r="Q2203" s="547">
        <v>0</v>
      </c>
      <c r="R2203" s="547">
        <v>0</v>
      </c>
      <c r="S2203" s="547">
        <v>0</v>
      </c>
      <c r="T2203" s="547">
        <v>0</v>
      </c>
      <c r="U2203" s="547">
        <v>0</v>
      </c>
      <c r="V2203" s="548">
        <v>0</v>
      </c>
      <c r="W2203" s="528"/>
      <c r="X2203" s="711"/>
      <c r="Y2203" s="896" t="str">
        <f t="shared" ref="Y2203" si="8887">IFERROR((X2204/X2203),"-")</f>
        <v>-</v>
      </c>
      <c r="Z2203" s="528"/>
      <c r="AA2203" s="898">
        <v>202.7</v>
      </c>
      <c r="AB2203" s="898">
        <v>202.68</v>
      </c>
      <c r="AC2203" s="903">
        <v>205.2</v>
      </c>
      <c r="AD2203" s="896">
        <f t="shared" ref="AD2203:AD2209" si="8888">IFERROR((AC2203/AB2203),"-")</f>
        <v>1.0124333925399644</v>
      </c>
      <c r="AE2203" s="2"/>
      <c r="AF2203" s="884">
        <v>0</v>
      </c>
      <c r="AG2203" s="884"/>
      <c r="AH2203" s="884">
        <v>0</v>
      </c>
      <c r="AI2203" s="884"/>
      <c r="AJ2203" s="884"/>
      <c r="AK2203" s="884">
        <f t="shared" ref="AK2203:AK2209" si="8889">AF2203+AG2203+AH2203+AI2203+AJ2203+AC2203</f>
        <v>205.2</v>
      </c>
      <c r="AL2203" s="884">
        <v>342.67999999999995</v>
      </c>
      <c r="AM2203" s="878">
        <f t="shared" ref="AM2203" si="8890">IFERROR((AK2203/AL2203),"-")</f>
        <v>0.59880938484883861</v>
      </c>
      <c r="AN2203" s="2"/>
      <c r="AO2203" s="884">
        <v>4753.01</v>
      </c>
      <c r="AP2203" s="884">
        <f t="shared" ref="AP2203:AP2209" si="8891">AO2203-AK2203</f>
        <v>4547.8100000000004</v>
      </c>
      <c r="AV2203" t="str">
        <f t="shared" si="8810"/>
        <v>Drenagem Superficial</v>
      </c>
      <c r="AW2203" s="4" t="str">
        <f t="shared" si="8808"/>
        <v xml:space="preserve">   Seg. 2.5-C09 - Drenagem Superficial - Valetas de proteção de corte (Manual)</v>
      </c>
    </row>
    <row r="2204" spans="1:49" ht="15" hidden="1" customHeight="1" outlineLevel="2">
      <c r="A2204" s="8" t="str">
        <f t="shared" ref="A2204:A2210" si="8892">A2203</f>
        <v>N</v>
      </c>
      <c r="B2204" s="150"/>
      <c r="C2204" s="150" t="s">
        <v>2524</v>
      </c>
      <c r="D2204" s="120" t="s">
        <v>502</v>
      </c>
      <c r="E2204" s="893"/>
      <c r="F2204" s="902"/>
      <c r="G2204" s="528"/>
      <c r="H2204" s="549" t="s">
        <v>38</v>
      </c>
      <c r="I2204" s="711">
        <v>205.2</v>
      </c>
      <c r="J2204" s="897"/>
      <c r="K2204" s="528"/>
      <c r="L2204" s="549" t="s">
        <v>38</v>
      </c>
      <c r="M2204" s="711">
        <f t="shared" si="8840"/>
        <v>0</v>
      </c>
      <c r="N2204" s="897"/>
      <c r="O2204" s="528"/>
      <c r="P2204" s="548">
        <v>0</v>
      </c>
      <c r="Q2204" s="548">
        <v>0</v>
      </c>
      <c r="R2204" s="548">
        <v>0</v>
      </c>
      <c r="S2204" s="548">
        <v>0</v>
      </c>
      <c r="T2204" s="548">
        <v>0</v>
      </c>
      <c r="U2204" s="548">
        <v>0</v>
      </c>
      <c r="V2204" s="548"/>
      <c r="W2204" s="528"/>
      <c r="X2204" s="711"/>
      <c r="Y2204" s="897"/>
      <c r="Z2204" s="528"/>
      <c r="AA2204" s="899"/>
      <c r="AB2204" s="899"/>
      <c r="AC2204" s="904"/>
      <c r="AD2204" s="905"/>
      <c r="AE2204" s="2"/>
      <c r="AF2204" s="885"/>
      <c r="AG2204" s="885"/>
      <c r="AH2204" s="885"/>
      <c r="AI2204" s="885"/>
      <c r="AJ2204" s="885"/>
      <c r="AK2204" s="885"/>
      <c r="AL2204" s="885"/>
      <c r="AM2204" s="879"/>
      <c r="AN2204" s="2"/>
      <c r="AO2204" s="886"/>
      <c r="AP2204" s="886"/>
      <c r="AV2204" t="str">
        <f t="shared" si="8810"/>
        <v>Drenagem Superficial</v>
      </c>
      <c r="AW2204" s="4" t="str">
        <f t="shared" si="8808"/>
        <v xml:space="preserve">   Seg. 2.5-C09 - Drenagem Superficial - Valetas de proteção de corte (Manual)</v>
      </c>
    </row>
    <row r="2205" spans="1:49" ht="15" hidden="1" customHeight="1" outlineLevel="2">
      <c r="A2205" s="209" t="str">
        <f t="shared" ref="A2205:A2209" si="8893">IF(SUM(P2205:V2206)&gt;0,"S","N")</f>
        <v>N</v>
      </c>
      <c r="B2205" s="150" t="s">
        <v>416</v>
      </c>
      <c r="C2205" s="150" t="s">
        <v>416</v>
      </c>
      <c r="D2205" s="120" t="s">
        <v>2526</v>
      </c>
      <c r="E2205" s="892" t="s">
        <v>2527</v>
      </c>
      <c r="F2205" s="902" t="s">
        <v>52</v>
      </c>
      <c r="G2205" s="528"/>
      <c r="H2205" s="546" t="s">
        <v>37</v>
      </c>
      <c r="I2205" s="711">
        <v>0</v>
      </c>
      <c r="J2205" s="896" t="str">
        <f t="shared" ref="J2205" si="8894">IFERROR((I2206/I2205),"-")</f>
        <v>-</v>
      </c>
      <c r="K2205" s="528"/>
      <c r="L2205" s="546" t="s">
        <v>37</v>
      </c>
      <c r="M2205" s="711">
        <f t="shared" si="8840"/>
        <v>0</v>
      </c>
      <c r="N2205" s="896" t="str">
        <f t="shared" ref="N2205" si="8895">IFERROR((M2206/M2205),"-")</f>
        <v>-</v>
      </c>
      <c r="O2205" s="528"/>
      <c r="P2205" s="547"/>
      <c r="Q2205" s="547"/>
      <c r="R2205" s="547"/>
      <c r="S2205" s="547"/>
      <c r="T2205" s="547"/>
      <c r="U2205" s="547"/>
      <c r="V2205" s="548"/>
      <c r="W2205" s="528"/>
      <c r="X2205" s="711"/>
      <c r="Y2205" s="896" t="str">
        <f t="shared" ref="Y2205" si="8896">IFERROR((X2206/X2205),"-")</f>
        <v>-</v>
      </c>
      <c r="Z2205" s="528"/>
      <c r="AA2205" s="898">
        <v>0</v>
      </c>
      <c r="AB2205" s="898">
        <v>0</v>
      </c>
      <c r="AC2205" s="903">
        <v>0</v>
      </c>
      <c r="AD2205" s="896" t="str">
        <f t="shared" si="8888"/>
        <v>-</v>
      </c>
      <c r="AE2205" s="2"/>
      <c r="AF2205" s="884">
        <v>0</v>
      </c>
      <c r="AG2205" s="884"/>
      <c r="AH2205" s="884">
        <v>425</v>
      </c>
      <c r="AI2205" s="884"/>
      <c r="AJ2205" s="884"/>
      <c r="AK2205" s="884">
        <f t="shared" si="8889"/>
        <v>425</v>
      </c>
      <c r="AL2205" s="884">
        <v>0</v>
      </c>
      <c r="AM2205" s="878" t="str">
        <f t="shared" ref="AM2205" si="8897">IFERROR((AK2205/AL2205),"-")</f>
        <v>-</v>
      </c>
      <c r="AN2205" s="2"/>
      <c r="AO2205" s="884">
        <v>0</v>
      </c>
      <c r="AP2205" s="884">
        <f t="shared" si="8891"/>
        <v>-425</v>
      </c>
      <c r="AV2205" t="str">
        <f t="shared" si="8810"/>
        <v>Drenagem Superficial</v>
      </c>
      <c r="AW2205" s="4" t="str">
        <f t="shared" si="8808"/>
        <v>Seg. 2.5 - Aterro 04 - Valeta Extrusada</v>
      </c>
    </row>
    <row r="2206" spans="1:49" ht="15" hidden="1" customHeight="1" outlineLevel="2">
      <c r="A2206" s="209" t="str">
        <f t="shared" si="8892"/>
        <v>N</v>
      </c>
      <c r="B2206" s="150"/>
      <c r="C2206" s="150" t="s">
        <v>416</v>
      </c>
      <c r="D2206" s="120" t="s">
        <v>2526</v>
      </c>
      <c r="E2206" s="893"/>
      <c r="F2206" s="902"/>
      <c r="G2206" s="528"/>
      <c r="H2206" s="549" t="s">
        <v>38</v>
      </c>
      <c r="I2206" s="711">
        <v>0</v>
      </c>
      <c r="J2206" s="897"/>
      <c r="K2206" s="528"/>
      <c r="L2206" s="549" t="s">
        <v>38</v>
      </c>
      <c r="M2206" s="711">
        <f t="shared" si="8840"/>
        <v>0</v>
      </c>
      <c r="N2206" s="897"/>
      <c r="O2206" s="528"/>
      <c r="P2206" s="548">
        <v>0</v>
      </c>
      <c r="Q2206" s="548">
        <v>0</v>
      </c>
      <c r="R2206" s="548">
        <v>0</v>
      </c>
      <c r="S2206" s="548">
        <v>0</v>
      </c>
      <c r="T2206" s="548">
        <v>0</v>
      </c>
      <c r="U2206" s="548">
        <v>0</v>
      </c>
      <c r="V2206" s="548"/>
      <c r="W2206" s="528"/>
      <c r="X2206" s="711"/>
      <c r="Y2206" s="897"/>
      <c r="Z2206" s="528"/>
      <c r="AA2206" s="899"/>
      <c r="AB2206" s="899"/>
      <c r="AC2206" s="904"/>
      <c r="AD2206" s="905"/>
      <c r="AE2206" s="2"/>
      <c r="AF2206" s="885"/>
      <c r="AG2206" s="885"/>
      <c r="AH2206" s="885"/>
      <c r="AI2206" s="885"/>
      <c r="AJ2206" s="885"/>
      <c r="AK2206" s="885"/>
      <c r="AL2206" s="885"/>
      <c r="AM2206" s="879"/>
      <c r="AN2206" s="2"/>
      <c r="AO2206" s="886"/>
      <c r="AP2206" s="886"/>
      <c r="AV2206" t="str">
        <f t="shared" si="8810"/>
        <v>Drenagem Superficial</v>
      </c>
      <c r="AW2206" s="4" t="str">
        <f t="shared" si="8808"/>
        <v>Seg. 2.5 - Aterro 04 - Valeta Extrusada</v>
      </c>
    </row>
    <row r="2207" spans="1:49" ht="15" hidden="1" customHeight="1" outlineLevel="2">
      <c r="A2207" s="8" t="str">
        <f t="shared" ref="A2207" si="8898">IF(SUM(P2207:V2208)&gt;0,"S","N")</f>
        <v>N</v>
      </c>
      <c r="B2207" s="150" t="s">
        <v>416</v>
      </c>
      <c r="C2207" s="150" t="s">
        <v>416</v>
      </c>
      <c r="D2207" s="120" t="s">
        <v>2528</v>
      </c>
      <c r="E2207" s="892" t="s">
        <v>2529</v>
      </c>
      <c r="F2207" s="902" t="s">
        <v>52</v>
      </c>
      <c r="G2207" s="528"/>
      <c r="H2207" s="546" t="s">
        <v>37</v>
      </c>
      <c r="I2207" s="711">
        <v>0</v>
      </c>
      <c r="J2207" s="896" t="str">
        <f t="shared" ref="J2207" si="8899">IFERROR((I2208/I2207),"-")</f>
        <v>-</v>
      </c>
      <c r="K2207" s="528"/>
      <c r="L2207" s="546" t="s">
        <v>37</v>
      </c>
      <c r="M2207" s="711">
        <f t="shared" si="8840"/>
        <v>0</v>
      </c>
      <c r="N2207" s="896" t="str">
        <f t="shared" ref="N2207" si="8900">IFERROR((M2208/M2207),"-")</f>
        <v>-</v>
      </c>
      <c r="O2207" s="528"/>
      <c r="P2207" s="547"/>
      <c r="Q2207" s="547"/>
      <c r="R2207" s="547"/>
      <c r="S2207" s="547"/>
      <c r="T2207" s="547"/>
      <c r="U2207" s="547"/>
      <c r="V2207" s="548"/>
      <c r="W2207" s="528"/>
      <c r="X2207" s="711"/>
      <c r="Y2207" s="896" t="str">
        <f t="shared" ref="Y2207" si="8901">IFERROR((X2208/X2207),"-")</f>
        <v>-</v>
      </c>
      <c r="Z2207" s="528"/>
      <c r="AA2207" s="898">
        <v>0</v>
      </c>
      <c r="AB2207" s="898">
        <v>0</v>
      </c>
      <c r="AC2207" s="903">
        <v>0</v>
      </c>
      <c r="AD2207" s="896" t="str">
        <f t="shared" ref="AD2207" si="8902">IFERROR((AC2207/AB2207),"-")</f>
        <v>-</v>
      </c>
      <c r="AE2207" s="2"/>
      <c r="AF2207" s="884">
        <v>0</v>
      </c>
      <c r="AG2207" s="884"/>
      <c r="AH2207" s="884">
        <v>162</v>
      </c>
      <c r="AI2207" s="884"/>
      <c r="AJ2207" s="884"/>
      <c r="AK2207" s="884">
        <f t="shared" si="8889"/>
        <v>162</v>
      </c>
      <c r="AL2207" s="884">
        <v>0</v>
      </c>
      <c r="AM2207" s="878" t="str">
        <f t="shared" ref="AM2207" si="8903">IFERROR((AK2207/AL2207),"-")</f>
        <v>-</v>
      </c>
      <c r="AN2207" s="2"/>
      <c r="AO2207" s="884">
        <v>0</v>
      </c>
      <c r="AP2207" s="884">
        <f t="shared" ref="AP2207" si="8904">AO2207-AK2207</f>
        <v>-162</v>
      </c>
      <c r="AV2207" t="str">
        <f t="shared" si="8810"/>
        <v>Drenagem Superficial</v>
      </c>
      <c r="AW2207" s="4" t="str">
        <f t="shared" si="8808"/>
        <v>Seg. 2.5 - Corte 03 - Valeta Extrusada</v>
      </c>
    </row>
    <row r="2208" spans="1:49" ht="15" hidden="1" customHeight="1" outlineLevel="2">
      <c r="A2208" s="8" t="str">
        <f t="shared" si="8892"/>
        <v>N</v>
      </c>
      <c r="B2208" s="150"/>
      <c r="C2208" s="150"/>
      <c r="D2208" s="120" t="s">
        <v>2528</v>
      </c>
      <c r="E2208" s="893"/>
      <c r="F2208" s="902"/>
      <c r="G2208" s="528"/>
      <c r="H2208" s="549" t="s">
        <v>38</v>
      </c>
      <c r="I2208" s="711">
        <v>0</v>
      </c>
      <c r="J2208" s="897"/>
      <c r="K2208" s="528"/>
      <c r="L2208" s="549" t="s">
        <v>38</v>
      </c>
      <c r="M2208" s="711">
        <f t="shared" si="8840"/>
        <v>0</v>
      </c>
      <c r="N2208" s="897"/>
      <c r="O2208" s="528"/>
      <c r="P2208" s="548">
        <v>0</v>
      </c>
      <c r="Q2208" s="548">
        <v>0</v>
      </c>
      <c r="R2208" s="548">
        <v>0</v>
      </c>
      <c r="S2208" s="548">
        <v>0</v>
      </c>
      <c r="T2208" s="548">
        <v>0</v>
      </c>
      <c r="U2208" s="548">
        <v>0</v>
      </c>
      <c r="V2208" s="548"/>
      <c r="W2208" s="528"/>
      <c r="X2208" s="711"/>
      <c r="Y2208" s="897"/>
      <c r="Z2208" s="528"/>
      <c r="AA2208" s="899"/>
      <c r="AB2208" s="899"/>
      <c r="AC2208" s="904"/>
      <c r="AD2208" s="905"/>
      <c r="AE2208" s="2"/>
      <c r="AF2208" s="885"/>
      <c r="AG2208" s="885"/>
      <c r="AH2208" s="885"/>
      <c r="AI2208" s="885"/>
      <c r="AJ2208" s="885"/>
      <c r="AK2208" s="885"/>
      <c r="AL2208" s="885"/>
      <c r="AM2208" s="879"/>
      <c r="AN2208" s="2"/>
      <c r="AO2208" s="886"/>
      <c r="AP2208" s="886"/>
      <c r="AV2208" t="str">
        <f t="shared" si="8810"/>
        <v>Drenagem Superficial</v>
      </c>
      <c r="AW2208" s="4" t="str">
        <f t="shared" si="8808"/>
        <v>Seg. 2.5 - Corte 03 - Valeta Extrusada</v>
      </c>
    </row>
    <row r="2209" spans="1:50" ht="15" hidden="1" customHeight="1" outlineLevel="2">
      <c r="A2209" s="8" t="str">
        <f t="shared" si="8893"/>
        <v>N</v>
      </c>
      <c r="B2209" s="150" t="s">
        <v>416</v>
      </c>
      <c r="C2209" s="150" t="s">
        <v>416</v>
      </c>
      <c r="D2209" s="120" t="s">
        <v>528</v>
      </c>
      <c r="E2209" s="892" t="s">
        <v>2530</v>
      </c>
      <c r="F2209" s="902" t="s">
        <v>52</v>
      </c>
      <c r="G2209" s="528"/>
      <c r="H2209" s="546" t="s">
        <v>37</v>
      </c>
      <c r="I2209" s="711">
        <v>0</v>
      </c>
      <c r="J2209" s="896" t="str">
        <f t="shared" ref="J2209" si="8905">IFERROR((I2210/I2209),"-")</f>
        <v>-</v>
      </c>
      <c r="K2209" s="528"/>
      <c r="L2209" s="546" t="s">
        <v>37</v>
      </c>
      <c r="M2209" s="711">
        <f t="shared" si="8840"/>
        <v>0</v>
      </c>
      <c r="N2209" s="896" t="str">
        <f t="shared" ref="N2209" si="8906">IFERROR((M2210/M2209),"-")</f>
        <v>-</v>
      </c>
      <c r="O2209" s="528"/>
      <c r="P2209" s="547"/>
      <c r="Q2209" s="547"/>
      <c r="R2209" s="547"/>
      <c r="S2209" s="547"/>
      <c r="T2209" s="548">
        <v>0</v>
      </c>
      <c r="U2209" s="547"/>
      <c r="V2209" s="548"/>
      <c r="W2209" s="528"/>
      <c r="X2209" s="711"/>
      <c r="Y2209" s="896" t="str">
        <f t="shared" ref="Y2209" si="8907">IFERROR((X2210/X2209),"-")</f>
        <v>-</v>
      </c>
      <c r="Z2209" s="528"/>
      <c r="AA2209" s="898">
        <v>0</v>
      </c>
      <c r="AB2209" s="898">
        <v>0</v>
      </c>
      <c r="AC2209" s="903">
        <v>0</v>
      </c>
      <c r="AD2209" s="896" t="str">
        <f t="shared" si="8888"/>
        <v>-</v>
      </c>
      <c r="AE2209" s="2"/>
      <c r="AF2209" s="884">
        <v>0</v>
      </c>
      <c r="AG2209" s="884"/>
      <c r="AH2209" s="884">
        <v>55.5</v>
      </c>
      <c r="AI2209" s="884"/>
      <c r="AJ2209" s="884"/>
      <c r="AK2209" s="884">
        <f t="shared" si="8889"/>
        <v>55.5</v>
      </c>
      <c r="AL2209" s="884">
        <v>0</v>
      </c>
      <c r="AM2209" s="878" t="str">
        <f t="shared" ref="AM2209" si="8908">IFERROR((AK2209/AL2209),"-")</f>
        <v>-</v>
      </c>
      <c r="AN2209" s="2"/>
      <c r="AO2209" s="884">
        <v>0</v>
      </c>
      <c r="AP2209" s="884">
        <f t="shared" si="8891"/>
        <v>-55.5</v>
      </c>
      <c r="AV2209" t="str">
        <f t="shared" si="8810"/>
        <v>Drenagem Superficial</v>
      </c>
      <c r="AW2209" s="4" t="str">
        <f t="shared" si="8808"/>
        <v>Seg. 2.5 - Aterro 07 - Valeta Manual</v>
      </c>
    </row>
    <row r="2210" spans="1:50" ht="15" hidden="1" customHeight="1" outlineLevel="2">
      <c r="A2210" s="8" t="str">
        <f t="shared" si="8892"/>
        <v>N</v>
      </c>
      <c r="B2210" s="150"/>
      <c r="C2210" s="150"/>
      <c r="D2210" s="120" t="s">
        <v>528</v>
      </c>
      <c r="E2210" s="893"/>
      <c r="F2210" s="902"/>
      <c r="G2210" s="528"/>
      <c r="H2210" s="549" t="s">
        <v>38</v>
      </c>
      <c r="I2210" s="711">
        <v>0</v>
      </c>
      <c r="J2210" s="897"/>
      <c r="K2210" s="528"/>
      <c r="L2210" s="549" t="s">
        <v>38</v>
      </c>
      <c r="M2210" s="711">
        <f t="shared" si="8840"/>
        <v>0</v>
      </c>
      <c r="N2210" s="897"/>
      <c r="O2210" s="528"/>
      <c r="P2210" s="548">
        <v>0</v>
      </c>
      <c r="Q2210" s="548">
        <v>0</v>
      </c>
      <c r="R2210" s="548">
        <v>0</v>
      </c>
      <c r="S2210" s="548">
        <v>0</v>
      </c>
      <c r="T2210" s="548">
        <v>0</v>
      </c>
      <c r="U2210" s="548">
        <v>0</v>
      </c>
      <c r="V2210" s="548"/>
      <c r="W2210" s="528"/>
      <c r="X2210" s="711"/>
      <c r="Y2210" s="897"/>
      <c r="Z2210" s="528"/>
      <c r="AA2210" s="899"/>
      <c r="AB2210" s="899"/>
      <c r="AC2210" s="904"/>
      <c r="AD2210" s="905"/>
      <c r="AE2210" s="2"/>
      <c r="AF2210" s="885"/>
      <c r="AG2210" s="885"/>
      <c r="AH2210" s="885"/>
      <c r="AI2210" s="885"/>
      <c r="AJ2210" s="885"/>
      <c r="AK2210" s="885"/>
      <c r="AL2210" s="885"/>
      <c r="AM2210" s="879"/>
      <c r="AN2210" s="2"/>
      <c r="AO2210" s="886"/>
      <c r="AP2210" s="886"/>
      <c r="AV2210" t="str">
        <f t="shared" si="8810"/>
        <v>Drenagem Superficial</v>
      </c>
      <c r="AW2210" s="4" t="str">
        <f t="shared" si="8808"/>
        <v>Seg. 2.5 - Aterro 07 - Valeta Manual</v>
      </c>
    </row>
    <row r="2211" spans="1:50" ht="15" hidden="1" customHeight="1" outlineLevel="1" collapsed="1">
      <c r="A2211" s="209">
        <v>0</v>
      </c>
      <c r="B2211" s="150"/>
      <c r="C2211" s="150"/>
      <c r="D2211" s="117"/>
      <c r="E2211" s="535"/>
      <c r="F2211" s="536"/>
      <c r="G2211" s="537"/>
      <c r="H2211" s="714"/>
      <c r="I2211" s="555"/>
      <c r="J2211" s="714"/>
      <c r="K2211" s="537"/>
      <c r="L2211" s="714"/>
      <c r="M2211" s="555"/>
      <c r="N2211" s="714"/>
      <c r="O2211" s="537"/>
      <c r="P2211" s="539"/>
      <c r="Q2211" s="539"/>
      <c r="R2211" s="539"/>
      <c r="S2211" s="539"/>
      <c r="T2211" s="539"/>
      <c r="U2211" s="539"/>
      <c r="V2211" s="539"/>
      <c r="W2211" s="537"/>
      <c r="X2211" s="540"/>
      <c r="Y2211" s="537"/>
      <c r="Z2211" s="537"/>
      <c r="AA2211" s="537"/>
      <c r="AB2211" s="537"/>
      <c r="AC2211" s="537"/>
      <c r="AD2211" s="537"/>
      <c r="AE2211" s="3"/>
      <c r="AF2211" s="35"/>
      <c r="AG2211" s="35"/>
      <c r="AH2211" s="35"/>
      <c r="AI2211" s="35"/>
      <c r="AJ2211" s="35"/>
      <c r="AK2211" s="35"/>
      <c r="AL2211" s="35"/>
      <c r="AM2211" s="3"/>
      <c r="AN2211" s="3"/>
      <c r="AO2211" s="35"/>
      <c r="AP2211" s="35"/>
      <c r="AV2211" t="str">
        <f t="shared" si="8810"/>
        <v>Drenagem Superficial</v>
      </c>
      <c r="AW2211" s="4" t="str">
        <f t="shared" si="8808"/>
        <v>Seg. 2.5 - Aterro 07 - Valeta Manual</v>
      </c>
    </row>
    <row r="2212" spans="1:50" ht="15" hidden="1" customHeight="1" outlineLevel="1">
      <c r="A2212" s="209">
        <v>0</v>
      </c>
      <c r="B2212" s="150"/>
      <c r="C2212" s="150"/>
      <c r="D2212" s="117"/>
      <c r="E2212" s="535"/>
      <c r="F2212" s="541"/>
      <c r="G2212" s="537"/>
      <c r="H2212" s="537"/>
      <c r="I2212" s="249"/>
      <c r="J2212" s="537"/>
      <c r="K2212" s="537"/>
      <c r="L2212" s="537"/>
      <c r="M2212" s="249"/>
      <c r="N2212" s="537"/>
      <c r="O2212" s="537"/>
      <c r="P2212" s="539"/>
      <c r="Q2212" s="539"/>
      <c r="R2212" s="539"/>
      <c r="S2212" s="539"/>
      <c r="T2212" s="539"/>
      <c r="U2212" s="539"/>
      <c r="V2212" s="539"/>
      <c r="W2212" s="537"/>
      <c r="X2212" s="540"/>
      <c r="Y2212" s="537"/>
      <c r="Z2212" s="537"/>
      <c r="AA2212" s="537"/>
      <c r="AB2212" s="537"/>
      <c r="AC2212" s="537"/>
      <c r="AD2212" s="537"/>
      <c r="AE2212" s="3"/>
      <c r="AF2212" s="35"/>
      <c r="AG2212" s="35"/>
      <c r="AH2212" s="35"/>
      <c r="AI2212" s="35"/>
      <c r="AJ2212" s="35"/>
      <c r="AK2212" s="35"/>
      <c r="AL2212" s="35"/>
      <c r="AM2212" s="3"/>
      <c r="AN2212" s="3"/>
      <c r="AO2212" s="35"/>
      <c r="AP2212" s="35"/>
      <c r="AV2212" t="str">
        <f t="shared" si="8810"/>
        <v>Drenagem Superficial</v>
      </c>
      <c r="AW2212" s="4" t="str">
        <f t="shared" si="8808"/>
        <v>Seg. 2.5 - Aterro 07 - Valeta Manual</v>
      </c>
    </row>
    <row r="2213" spans="1:50" ht="15" hidden="1" customHeight="1" outlineLevel="1">
      <c r="A2213" s="209">
        <v>0</v>
      </c>
      <c r="B2213" s="150"/>
      <c r="C2213" s="150"/>
      <c r="D2213" s="122"/>
      <c r="E2213" s="913" t="s">
        <v>45</v>
      </c>
      <c r="F2213" s="859" t="s">
        <v>52</v>
      </c>
      <c r="G2213" s="528"/>
      <c r="H2213" s="542" t="s">
        <v>37</v>
      </c>
      <c r="I2213" s="543">
        <f>SUMIF($L2215:$L2288,$L2213,I2215:I2288)</f>
        <v>400</v>
      </c>
      <c r="J2213" s="860">
        <f>IFERROR((I2214/I2213),"-")</f>
        <v>1.2050000000000001</v>
      </c>
      <c r="K2213" s="528"/>
      <c r="L2213" s="542" t="s">
        <v>37</v>
      </c>
      <c r="M2213" s="543">
        <f>SUMIF($L2215:$L2288,$L2213,M2215:M2288)</f>
        <v>70</v>
      </c>
      <c r="N2213" s="860">
        <f>IFERROR((M2214/M2213),"-")</f>
        <v>2.8928571428571428</v>
      </c>
      <c r="O2213" s="528"/>
      <c r="P2213" s="543">
        <f>SUMIF($L2215:$L2288,$L2213,P2215:P2288)</f>
        <v>70</v>
      </c>
      <c r="Q2213" s="543">
        <f t="shared" ref="Q2213:V2213" si="8909">SUMIF($L2215:$L2288,$L2213,Q2215:Q2288)</f>
        <v>70</v>
      </c>
      <c r="R2213" s="543">
        <f t="shared" si="8909"/>
        <v>70</v>
      </c>
      <c r="S2213" s="543">
        <f t="shared" si="8909"/>
        <v>70</v>
      </c>
      <c r="T2213" s="543">
        <f t="shared" si="8909"/>
        <v>60</v>
      </c>
      <c r="U2213" s="543">
        <f t="shared" si="8909"/>
        <v>60</v>
      </c>
      <c r="V2213" s="543">
        <f t="shared" si="8909"/>
        <v>0</v>
      </c>
      <c r="W2213" s="528"/>
      <c r="X2213" s="543">
        <f t="shared" ref="X2213:X2214" si="8910">SUMIFS(P2213:V2213,$P$8:$V$8,"&gt;="&amp;$P$8,$P$8:$V$8,"&lt;="&amp;$N$8)</f>
        <v>140</v>
      </c>
      <c r="Y2213" s="860">
        <f>IFERROR((X2214/X2213),"-")</f>
        <v>2.8035714285714284</v>
      </c>
      <c r="Z2213" s="528"/>
      <c r="AA2213" s="814">
        <f>SUM(AA2215:AA2288)</f>
        <v>4216.62</v>
      </c>
      <c r="AB2213" s="814">
        <f t="shared" ref="AB2213:AC2213" si="8911">SUM(AB2215:AB2288)</f>
        <v>1674.9799999999998</v>
      </c>
      <c r="AC2213" s="814">
        <f t="shared" si="8911"/>
        <v>1212</v>
      </c>
      <c r="AD2213" s="911">
        <f t="shared" ref="AD2213" si="8912">IFERROR((AC2213/AB2213),"-")</f>
        <v>0.72359072944154568</v>
      </c>
      <c r="AE2213" s="2"/>
      <c r="AF2213" s="888">
        <f t="shared" ref="AF2213:AL2213" si="8913">SUM(AF2215:AF2288)</f>
        <v>373.88</v>
      </c>
      <c r="AG2213" s="888">
        <f t="shared" si="8913"/>
        <v>264.86599999999999</v>
      </c>
      <c r="AH2213" s="888">
        <f t="shared" si="8913"/>
        <v>542</v>
      </c>
      <c r="AI2213" s="888">
        <f t="shared" si="8913"/>
        <v>585.1690000000001</v>
      </c>
      <c r="AJ2213" s="888">
        <f t="shared" ref="AJ2213" si="8914">SUM(AJ2215:AJ2288)</f>
        <v>3119.3720000000003</v>
      </c>
      <c r="AK2213" s="888">
        <f t="shared" si="8913"/>
        <v>6097.2870000000003</v>
      </c>
      <c r="AL2213" s="888">
        <f t="shared" si="8913"/>
        <v>7434.4</v>
      </c>
      <c r="AM2213" s="743">
        <f>IFERROR((AK2213/AL2213),"-")</f>
        <v>0.82014513612396434</v>
      </c>
      <c r="AN2213" s="2"/>
      <c r="AO2213" s="888">
        <f t="shared" ref="AO2213:AP2213" si="8915">SUM(AO2215:AO2288)</f>
        <v>16427.010000000002</v>
      </c>
      <c r="AP2213" s="888">
        <f t="shared" si="8915"/>
        <v>10329.723</v>
      </c>
      <c r="AV2213" t="str">
        <f t="shared" si="8810"/>
        <v>Drenagem Superficial</v>
      </c>
      <c r="AW2213" s="4" t="str">
        <f t="shared" si="8808"/>
        <v>Pacote 05 - Segmento 3.1 - 153+000 a 167+400</v>
      </c>
      <c r="AX2213" s="4"/>
    </row>
    <row r="2214" spans="1:50" ht="15" hidden="1" customHeight="1" outlineLevel="1">
      <c r="A2214" s="209">
        <v>0</v>
      </c>
      <c r="B2214" s="150"/>
      <c r="C2214" s="150"/>
      <c r="D2214" s="123"/>
      <c r="E2214" s="913"/>
      <c r="F2214" s="859"/>
      <c r="G2214" s="528"/>
      <c r="H2214" s="544" t="s">
        <v>38</v>
      </c>
      <c r="I2214" s="543">
        <f>SUMIF($L2215:$L2288,$L2214,I2215:I2288)</f>
        <v>482</v>
      </c>
      <c r="J2214" s="861"/>
      <c r="K2214" s="528"/>
      <c r="L2214" s="544" t="s">
        <v>38</v>
      </c>
      <c r="M2214" s="543">
        <f>SUMIF($L2215:$L2288,$L2214,M2215:M2288)</f>
        <v>202.5</v>
      </c>
      <c r="N2214" s="861"/>
      <c r="O2214" s="528"/>
      <c r="P2214" s="543">
        <f>SUMIF($L2215:$L2288,$L2214,P2215:P2288)</f>
        <v>190</v>
      </c>
      <c r="Q2214" s="543">
        <f t="shared" ref="Q2214:V2214" si="8916">SUMIF($L2215:$L2288,$L2214,Q2215:Q2288)</f>
        <v>202.5</v>
      </c>
      <c r="R2214" s="543">
        <f t="shared" si="8916"/>
        <v>0</v>
      </c>
      <c r="S2214" s="543">
        <f t="shared" si="8916"/>
        <v>0</v>
      </c>
      <c r="T2214" s="543">
        <f t="shared" si="8916"/>
        <v>0</v>
      </c>
      <c r="U2214" s="543">
        <f t="shared" si="8916"/>
        <v>0</v>
      </c>
      <c r="V2214" s="543">
        <f t="shared" si="8916"/>
        <v>0</v>
      </c>
      <c r="W2214" s="528"/>
      <c r="X2214" s="543">
        <f t="shared" si="8910"/>
        <v>392.5</v>
      </c>
      <c r="Y2214" s="861"/>
      <c r="Z2214" s="528"/>
      <c r="AA2214" s="815"/>
      <c r="AB2214" s="815"/>
      <c r="AC2214" s="815"/>
      <c r="AD2214" s="912"/>
      <c r="AE2214" s="2"/>
      <c r="AF2214" s="889"/>
      <c r="AG2214" s="889"/>
      <c r="AH2214" s="889"/>
      <c r="AI2214" s="889"/>
      <c r="AJ2214" s="889"/>
      <c r="AK2214" s="889"/>
      <c r="AL2214" s="889"/>
      <c r="AM2214" s="744"/>
      <c r="AN2214" s="2"/>
      <c r="AO2214" s="889"/>
      <c r="AP2214" s="889"/>
      <c r="AV2214" t="str">
        <f t="shared" si="8810"/>
        <v>Drenagem Superficial</v>
      </c>
      <c r="AW2214" s="4" t="str">
        <f t="shared" si="8808"/>
        <v>Pacote 05 - Segmento 3.1 - 153+000 a 167+400</v>
      </c>
    </row>
    <row r="2215" spans="1:50" ht="15" hidden="1" customHeight="1" outlineLevel="2">
      <c r="A2215" s="8" t="str">
        <f t="shared" ref="A2215" si="8917">IF(SUM(P2215:V2216)&gt;0,"S","N")</f>
        <v>N</v>
      </c>
      <c r="B2215" s="150">
        <v>1063843</v>
      </c>
      <c r="C2215" s="150" t="s">
        <v>2531</v>
      </c>
      <c r="D2215" s="120" t="s">
        <v>2532</v>
      </c>
      <c r="E2215" s="892" t="s">
        <v>2303</v>
      </c>
      <c r="F2215" s="902" t="s">
        <v>52</v>
      </c>
      <c r="G2215" s="528"/>
      <c r="H2215" s="546" t="s">
        <v>37</v>
      </c>
      <c r="I2215" s="711">
        <v>0</v>
      </c>
      <c r="J2215" s="896" t="str">
        <f t="shared" ref="J2215" si="8918">IFERROR((I2216/I2215),"-")</f>
        <v>-</v>
      </c>
      <c r="K2215" s="528"/>
      <c r="L2215" s="546" t="s">
        <v>37</v>
      </c>
      <c r="M2215" s="711">
        <f t="shared" ref="M2215:M2276" si="8919">_xlfn.XLOOKUP($N$8,$P$8:$V$8,$P2215:$V2215)</f>
        <v>0</v>
      </c>
      <c r="N2215" s="896" t="str">
        <f t="shared" ref="N2215" si="8920">IFERROR((M2216/M2215),"-")</f>
        <v>-</v>
      </c>
      <c r="O2215" s="528"/>
      <c r="P2215" s="547">
        <v>0</v>
      </c>
      <c r="Q2215" s="547">
        <v>0</v>
      </c>
      <c r="R2215" s="547">
        <v>0</v>
      </c>
      <c r="S2215" s="547">
        <v>0</v>
      </c>
      <c r="T2215" s="547">
        <v>0</v>
      </c>
      <c r="U2215" s="547">
        <v>0</v>
      </c>
      <c r="V2215" s="548">
        <v>0</v>
      </c>
      <c r="W2215" s="528"/>
      <c r="X2215" s="711"/>
      <c r="Y2215" s="896" t="str">
        <f t="shared" ref="Y2215" si="8921">IFERROR((X2216/X2215),"-")</f>
        <v>-</v>
      </c>
      <c r="Z2215" s="528"/>
      <c r="AA2215" s="898">
        <v>728</v>
      </c>
      <c r="AB2215" s="898">
        <v>242.68</v>
      </c>
      <c r="AC2215" s="903">
        <v>0</v>
      </c>
      <c r="AD2215" s="896">
        <f t="shared" ref="AD2215" si="8922">IFERROR((AC2215/AB2215),"-")</f>
        <v>0</v>
      </c>
      <c r="AE2215" s="2"/>
      <c r="AF2215" s="884">
        <v>0</v>
      </c>
      <c r="AG2215" s="884"/>
      <c r="AH2215" s="884">
        <v>0</v>
      </c>
      <c r="AI2215" s="884"/>
      <c r="AJ2215" s="884"/>
      <c r="AK2215" s="884">
        <f t="shared" ref="AK2215" si="8923">AF2215+AG2215+AH2215+AI2215+AJ2215+AC2215</f>
        <v>0</v>
      </c>
      <c r="AL2215" s="884">
        <v>242.68</v>
      </c>
      <c r="AM2215" s="878">
        <f t="shared" ref="AM2215" si="8924">IFERROR((AK2215/AL2215),"-")</f>
        <v>0</v>
      </c>
      <c r="AN2215" s="2"/>
      <c r="AO2215" s="884">
        <v>728</v>
      </c>
      <c r="AP2215" s="884">
        <f t="shared" ref="AP2215" si="8925">AO2215-AK2215</f>
        <v>728</v>
      </c>
      <c r="AV2215" t="str">
        <f t="shared" si="8810"/>
        <v>Drenagem Superficial</v>
      </c>
      <c r="AW2215" s="4" t="str">
        <f t="shared" si="8808"/>
        <v xml:space="preserve">   Construção de valeta de proteção de corte</v>
      </c>
    </row>
    <row r="2216" spans="1:50" ht="15" hidden="1" customHeight="1" outlineLevel="2">
      <c r="A2216" s="8" t="str">
        <f t="shared" ref="A2216" si="8926">A2215</f>
        <v>N</v>
      </c>
      <c r="B2216" s="150"/>
      <c r="C2216" s="150" t="s">
        <v>2531</v>
      </c>
      <c r="D2216" s="120" t="s">
        <v>2532</v>
      </c>
      <c r="E2216" s="893"/>
      <c r="F2216" s="902"/>
      <c r="G2216" s="528"/>
      <c r="H2216" s="549" t="s">
        <v>38</v>
      </c>
      <c r="I2216" s="711">
        <v>0</v>
      </c>
      <c r="J2216" s="897"/>
      <c r="K2216" s="528"/>
      <c r="L2216" s="549" t="s">
        <v>38</v>
      </c>
      <c r="M2216" s="711">
        <f t="shared" si="8919"/>
        <v>0</v>
      </c>
      <c r="N2216" s="897"/>
      <c r="O2216" s="528"/>
      <c r="P2216" s="548">
        <v>0</v>
      </c>
      <c r="Q2216" s="548">
        <v>0</v>
      </c>
      <c r="R2216" s="548">
        <v>0</v>
      </c>
      <c r="S2216" s="548">
        <v>0</v>
      </c>
      <c r="T2216" s="548">
        <v>0</v>
      </c>
      <c r="U2216" s="548">
        <v>0</v>
      </c>
      <c r="V2216" s="548"/>
      <c r="W2216" s="528"/>
      <c r="X2216" s="711"/>
      <c r="Y2216" s="897"/>
      <c r="Z2216" s="528"/>
      <c r="AA2216" s="899"/>
      <c r="AB2216" s="899"/>
      <c r="AC2216" s="904"/>
      <c r="AD2216" s="905"/>
      <c r="AE2216" s="2"/>
      <c r="AF2216" s="885"/>
      <c r="AG2216" s="885"/>
      <c r="AH2216" s="885"/>
      <c r="AI2216" s="885"/>
      <c r="AJ2216" s="885"/>
      <c r="AK2216" s="885"/>
      <c r="AL2216" s="885"/>
      <c r="AM2216" s="879"/>
      <c r="AN2216" s="2"/>
      <c r="AO2216" s="886"/>
      <c r="AP2216" s="886"/>
      <c r="AV2216" t="str">
        <f t="shared" si="8810"/>
        <v>Drenagem Superficial</v>
      </c>
      <c r="AW2216" s="4" t="str">
        <f t="shared" si="8808"/>
        <v xml:space="preserve">   Construção de valeta de proteção de corte</v>
      </c>
    </row>
    <row r="2217" spans="1:50" ht="15" hidden="1" customHeight="1" outlineLevel="2">
      <c r="A2217" s="209" t="str">
        <f t="shared" ref="A2217" si="8927">IF(SUM(P2217:V2218)&gt;0,"S","N")</f>
        <v>N</v>
      </c>
      <c r="B2217" s="150">
        <v>1064663</v>
      </c>
      <c r="C2217" s="150" t="s">
        <v>2533</v>
      </c>
      <c r="D2217" s="120" t="s">
        <v>2102</v>
      </c>
      <c r="E2217" s="892" t="s">
        <v>2534</v>
      </c>
      <c r="F2217" s="902" t="s">
        <v>52</v>
      </c>
      <c r="G2217" s="528"/>
      <c r="H2217" s="546" t="s">
        <v>37</v>
      </c>
      <c r="I2217" s="711">
        <v>0</v>
      </c>
      <c r="J2217" s="896" t="str">
        <f t="shared" ref="J2217" si="8928">IFERROR((I2218/I2217),"-")</f>
        <v>-</v>
      </c>
      <c r="K2217" s="528"/>
      <c r="L2217" s="546" t="s">
        <v>37</v>
      </c>
      <c r="M2217" s="711">
        <f t="shared" si="8919"/>
        <v>0</v>
      </c>
      <c r="N2217" s="896" t="str">
        <f t="shared" ref="N2217" si="8929">IFERROR((M2218/M2217),"-")</f>
        <v>-</v>
      </c>
      <c r="O2217" s="528"/>
      <c r="P2217" s="547">
        <v>0</v>
      </c>
      <c r="Q2217" s="547">
        <v>0</v>
      </c>
      <c r="R2217" s="547">
        <v>0</v>
      </c>
      <c r="S2217" s="547">
        <v>0</v>
      </c>
      <c r="T2217" s="547">
        <v>0</v>
      </c>
      <c r="U2217" s="547">
        <v>0</v>
      </c>
      <c r="V2217" s="548">
        <v>0</v>
      </c>
      <c r="W2217" s="528"/>
      <c r="X2217" s="711"/>
      <c r="Y2217" s="896" t="str">
        <f t="shared" ref="Y2217" si="8930">IFERROR((X2218/X2217),"-")</f>
        <v>-</v>
      </c>
      <c r="Z2217" s="528"/>
      <c r="AA2217" s="898">
        <v>0</v>
      </c>
      <c r="AB2217" s="898">
        <v>0</v>
      </c>
      <c r="AC2217" s="903">
        <v>0</v>
      </c>
      <c r="AD2217" s="896" t="str">
        <f t="shared" ref="AD2217" si="8931">IFERROR((AC2217/AB2217),"-")</f>
        <v>-</v>
      </c>
      <c r="AE2217" s="2"/>
      <c r="AF2217" s="884">
        <v>0</v>
      </c>
      <c r="AG2217" s="884"/>
      <c r="AH2217" s="884">
        <v>0</v>
      </c>
      <c r="AI2217" s="884"/>
      <c r="AJ2217" s="884">
        <v>129.721</v>
      </c>
      <c r="AK2217" s="884">
        <f t="shared" ref="AK2217" si="8932">AF2217+AG2217+AH2217+AI2217+AJ2217+AC2217</f>
        <v>129.721</v>
      </c>
      <c r="AL2217" s="884">
        <v>371.75000000000006</v>
      </c>
      <c r="AM2217" s="878">
        <f t="shared" ref="AM2217" si="8933">IFERROR((AK2217/AL2217),"-")</f>
        <v>0.34894687289845322</v>
      </c>
      <c r="AN2217" s="2"/>
      <c r="AO2217" s="884">
        <v>358</v>
      </c>
      <c r="AP2217" s="884">
        <f t="shared" ref="AP2217" si="8934">AO2217-AK2217</f>
        <v>228.279</v>
      </c>
      <c r="AV2217" t="str">
        <f t="shared" si="8810"/>
        <v>Drenagem Superficial</v>
      </c>
      <c r="AW2217" s="4" t="str">
        <f t="shared" si="8808"/>
        <v xml:space="preserve">   Seg. 3.1-C02 - Drenagem Superficial - Valetas de proteção de corte (Extrusada)</v>
      </c>
    </row>
    <row r="2218" spans="1:50" ht="15" hidden="1" customHeight="1" outlineLevel="2">
      <c r="A2218" s="209" t="str">
        <f t="shared" ref="A2218" si="8935">A2217</f>
        <v>N</v>
      </c>
      <c r="B2218" s="150"/>
      <c r="C2218" s="150" t="s">
        <v>2533</v>
      </c>
      <c r="D2218" s="120" t="s">
        <v>2102</v>
      </c>
      <c r="E2218" s="893"/>
      <c r="F2218" s="902"/>
      <c r="G2218" s="528"/>
      <c r="H2218" s="549" t="s">
        <v>38</v>
      </c>
      <c r="I2218" s="711">
        <v>0</v>
      </c>
      <c r="J2218" s="897"/>
      <c r="K2218" s="528"/>
      <c r="L2218" s="549" t="s">
        <v>38</v>
      </c>
      <c r="M2218" s="711">
        <f t="shared" si="8919"/>
        <v>0</v>
      </c>
      <c r="N2218" s="897"/>
      <c r="O2218" s="528"/>
      <c r="P2218" s="548">
        <v>0</v>
      </c>
      <c r="Q2218" s="548">
        <v>0</v>
      </c>
      <c r="R2218" s="548">
        <v>0</v>
      </c>
      <c r="S2218" s="548">
        <v>0</v>
      </c>
      <c r="T2218" s="548">
        <v>0</v>
      </c>
      <c r="U2218" s="548">
        <v>0</v>
      </c>
      <c r="V2218" s="548"/>
      <c r="W2218" s="528"/>
      <c r="X2218" s="711"/>
      <c r="Y2218" s="897"/>
      <c r="Z2218" s="528"/>
      <c r="AA2218" s="899"/>
      <c r="AB2218" s="899"/>
      <c r="AC2218" s="904"/>
      <c r="AD2218" s="905"/>
      <c r="AE2218" s="2"/>
      <c r="AF2218" s="885"/>
      <c r="AG2218" s="885"/>
      <c r="AH2218" s="885"/>
      <c r="AI2218" s="885"/>
      <c r="AJ2218" s="885"/>
      <c r="AK2218" s="885"/>
      <c r="AL2218" s="885"/>
      <c r="AM2218" s="879"/>
      <c r="AN2218" s="2"/>
      <c r="AO2218" s="886"/>
      <c r="AP2218" s="886"/>
      <c r="AV2218" t="str">
        <f t="shared" si="8810"/>
        <v>Drenagem Superficial</v>
      </c>
      <c r="AW2218" s="4" t="str">
        <f t="shared" si="8808"/>
        <v xml:space="preserve">   Seg. 3.1-C02 - Drenagem Superficial - Valetas de proteção de corte (Extrusada)</v>
      </c>
    </row>
    <row r="2219" spans="1:50" ht="15" hidden="1" customHeight="1" outlineLevel="2">
      <c r="A2219" s="209" t="str">
        <f t="shared" ref="A2219" si="8936">IF(SUM(P2219:V2220)&gt;0,"S","N")</f>
        <v>N</v>
      </c>
      <c r="B2219" s="150">
        <v>1064668</v>
      </c>
      <c r="C2219" s="150" t="s">
        <v>2535</v>
      </c>
      <c r="D2219" s="120" t="s">
        <v>563</v>
      </c>
      <c r="E2219" s="892" t="s">
        <v>2536</v>
      </c>
      <c r="F2219" s="902" t="s">
        <v>52</v>
      </c>
      <c r="G2219" s="528"/>
      <c r="H2219" s="546" t="s">
        <v>37</v>
      </c>
      <c r="I2219" s="711">
        <v>0</v>
      </c>
      <c r="J2219" s="896" t="str">
        <f t="shared" ref="J2219" si="8937">IFERROR((I2220/I2219),"-")</f>
        <v>-</v>
      </c>
      <c r="K2219" s="528"/>
      <c r="L2219" s="546" t="s">
        <v>37</v>
      </c>
      <c r="M2219" s="711">
        <f t="shared" si="8919"/>
        <v>0</v>
      </c>
      <c r="N2219" s="896" t="str">
        <f t="shared" ref="N2219" si="8938">IFERROR((M2220/M2219),"-")</f>
        <v>-</v>
      </c>
      <c r="O2219" s="528"/>
      <c r="P2219" s="547">
        <v>0</v>
      </c>
      <c r="Q2219" s="547">
        <v>0</v>
      </c>
      <c r="R2219" s="547">
        <v>0</v>
      </c>
      <c r="S2219" s="547">
        <v>0</v>
      </c>
      <c r="T2219" s="547">
        <v>0</v>
      </c>
      <c r="U2219" s="547">
        <v>0</v>
      </c>
      <c r="V2219" s="548"/>
      <c r="W2219" s="528"/>
      <c r="X2219" s="711"/>
      <c r="Y2219" s="896" t="str">
        <f t="shared" ref="Y2219" si="8939">IFERROR((X2220/X2219),"-")</f>
        <v>-</v>
      </c>
      <c r="Z2219" s="528"/>
      <c r="AA2219" s="898">
        <v>0</v>
      </c>
      <c r="AB2219" s="898">
        <v>0</v>
      </c>
      <c r="AC2219" s="903">
        <v>0</v>
      </c>
      <c r="AD2219" s="896" t="str">
        <f t="shared" ref="AD2219" si="8940">IFERROR((AC2219/AB2219),"-")</f>
        <v>-</v>
      </c>
      <c r="AE2219" s="2"/>
      <c r="AF2219" s="884">
        <v>373.88</v>
      </c>
      <c r="AG2219" s="884">
        <v>206.58500000000001</v>
      </c>
      <c r="AH2219" s="884">
        <v>0</v>
      </c>
      <c r="AI2219" s="884">
        <v>306.98500000000001</v>
      </c>
      <c r="AJ2219" s="884">
        <v>266.75599999999997</v>
      </c>
      <c r="AK2219" s="884">
        <f t="shared" ref="AK2219" si="8941">AF2219+AG2219+AH2219+AI2219+AJ2219+AC2219</f>
        <v>1154.2060000000001</v>
      </c>
      <c r="AL2219" s="884">
        <v>1154.609999999999</v>
      </c>
      <c r="AM2219" s="878">
        <f t="shared" ref="AM2219" si="8942">IFERROR((AK2219/AL2219),"-")</f>
        <v>0.99965009830159202</v>
      </c>
      <c r="AN2219" s="2"/>
      <c r="AO2219" s="884">
        <v>986.01</v>
      </c>
      <c r="AP2219" s="884">
        <f t="shared" ref="AP2219" si="8943">AO2219-AK2219</f>
        <v>-168.19600000000014</v>
      </c>
      <c r="AV2219" t="str">
        <f t="shared" si="8810"/>
        <v>Drenagem Superficial</v>
      </c>
      <c r="AW2219" s="4" t="str">
        <f t="shared" si="8808"/>
        <v xml:space="preserve">   Seg. 3.1-C04 - Drenagem Superficial - Valetas de proteção de corte (Extrusada)</v>
      </c>
    </row>
    <row r="2220" spans="1:50" ht="15" hidden="1" customHeight="1" outlineLevel="2">
      <c r="A2220" s="209" t="str">
        <f t="shared" ref="A2220" si="8944">A2219</f>
        <v>N</v>
      </c>
      <c r="B2220" s="150"/>
      <c r="C2220" s="150" t="s">
        <v>2535</v>
      </c>
      <c r="D2220" s="120" t="s">
        <v>563</v>
      </c>
      <c r="E2220" s="893"/>
      <c r="F2220" s="902"/>
      <c r="G2220" s="528"/>
      <c r="H2220" s="549" t="s">
        <v>38</v>
      </c>
      <c r="I2220" s="711">
        <v>0</v>
      </c>
      <c r="J2220" s="897"/>
      <c r="K2220" s="528"/>
      <c r="L2220" s="549" t="s">
        <v>38</v>
      </c>
      <c r="M2220" s="711">
        <f t="shared" si="8919"/>
        <v>0</v>
      </c>
      <c r="N2220" s="897"/>
      <c r="O2220" s="528"/>
      <c r="P2220" s="548">
        <v>0</v>
      </c>
      <c r="Q2220" s="548">
        <v>0</v>
      </c>
      <c r="R2220" s="548">
        <v>0</v>
      </c>
      <c r="S2220" s="548">
        <v>0</v>
      </c>
      <c r="T2220" s="548">
        <v>0</v>
      </c>
      <c r="U2220" s="548">
        <v>0</v>
      </c>
      <c r="V2220" s="548"/>
      <c r="W2220" s="528"/>
      <c r="X2220" s="711"/>
      <c r="Y2220" s="897"/>
      <c r="Z2220" s="528"/>
      <c r="AA2220" s="899"/>
      <c r="AB2220" s="899"/>
      <c r="AC2220" s="904"/>
      <c r="AD2220" s="905"/>
      <c r="AE2220" s="2"/>
      <c r="AF2220" s="885"/>
      <c r="AG2220" s="885"/>
      <c r="AH2220" s="885"/>
      <c r="AI2220" s="885"/>
      <c r="AJ2220" s="885"/>
      <c r="AK2220" s="885"/>
      <c r="AL2220" s="885"/>
      <c r="AM2220" s="879"/>
      <c r="AN2220" s="2"/>
      <c r="AO2220" s="886"/>
      <c r="AP2220" s="886"/>
      <c r="AV2220" t="str">
        <f t="shared" si="8810"/>
        <v>Drenagem Superficial</v>
      </c>
      <c r="AW2220" s="4" t="str">
        <f t="shared" si="8808"/>
        <v xml:space="preserve">   Seg. 3.1-C04 - Drenagem Superficial - Valetas de proteção de corte (Extrusada)</v>
      </c>
    </row>
    <row r="2221" spans="1:50" ht="15" hidden="1" customHeight="1" outlineLevel="2">
      <c r="A2221" s="8" t="str">
        <f t="shared" ref="A2221" si="8945">IF(SUM(P2221:V2222)&gt;0,"S","N")</f>
        <v>N</v>
      </c>
      <c r="B2221" s="150">
        <v>1064672</v>
      </c>
      <c r="C2221" s="150" t="s">
        <v>2537</v>
      </c>
      <c r="D2221" s="120" t="s">
        <v>2068</v>
      </c>
      <c r="E2221" s="892" t="s">
        <v>2538</v>
      </c>
      <c r="F2221" s="902" t="s">
        <v>52</v>
      </c>
      <c r="G2221" s="528"/>
      <c r="H2221" s="546" t="s">
        <v>37</v>
      </c>
      <c r="I2221" s="711">
        <v>0</v>
      </c>
      <c r="J2221" s="896" t="str">
        <f t="shared" ref="J2221" si="8946">IFERROR((I2222/I2221),"-")</f>
        <v>-</v>
      </c>
      <c r="K2221" s="528"/>
      <c r="L2221" s="546" t="s">
        <v>37</v>
      </c>
      <c r="M2221" s="711">
        <f t="shared" si="8919"/>
        <v>0</v>
      </c>
      <c r="N2221" s="896" t="str">
        <f t="shared" ref="N2221" si="8947">IFERROR((M2222/M2221),"-")</f>
        <v>-</v>
      </c>
      <c r="O2221" s="528"/>
      <c r="P2221" s="547">
        <v>0</v>
      </c>
      <c r="Q2221" s="547">
        <v>0</v>
      </c>
      <c r="R2221" s="547">
        <v>0</v>
      </c>
      <c r="S2221" s="547">
        <v>0</v>
      </c>
      <c r="T2221" s="547">
        <v>0</v>
      </c>
      <c r="U2221" s="547">
        <v>0</v>
      </c>
      <c r="V2221" s="548">
        <v>0</v>
      </c>
      <c r="W2221" s="528"/>
      <c r="X2221" s="711"/>
      <c r="Y2221" s="896" t="str">
        <f t="shared" ref="Y2221" si="8948">IFERROR((X2222/X2221),"-")</f>
        <v>-</v>
      </c>
      <c r="Z2221" s="528"/>
      <c r="AA2221" s="898">
        <v>100.16</v>
      </c>
      <c r="AB2221" s="898">
        <v>66.760000000000005</v>
      </c>
      <c r="AC2221" s="903">
        <v>0</v>
      </c>
      <c r="AD2221" s="896">
        <f t="shared" ref="AD2221" si="8949">IFERROR((AC2221/AB2221),"-")</f>
        <v>0</v>
      </c>
      <c r="AE2221" s="2"/>
      <c r="AF2221" s="884">
        <v>0</v>
      </c>
      <c r="AG2221" s="884"/>
      <c r="AH2221" s="884">
        <v>0</v>
      </c>
      <c r="AI2221" s="884">
        <v>278.18400000000003</v>
      </c>
      <c r="AJ2221" s="884">
        <v>552.84</v>
      </c>
      <c r="AK2221" s="884">
        <f t="shared" ref="AK2221" si="8950">AF2221+AG2221+AH2221+AI2221+AJ2221+AC2221</f>
        <v>831.02400000000011</v>
      </c>
      <c r="AL2221" s="884">
        <v>1286.5100000000009</v>
      </c>
      <c r="AM2221" s="878">
        <f t="shared" ref="AM2221" si="8951">IFERROR((AK2221/AL2221),"-")</f>
        <v>0.64595222734374358</v>
      </c>
      <c r="AN2221" s="2"/>
      <c r="AO2221" s="884">
        <v>1320</v>
      </c>
      <c r="AP2221" s="884">
        <f t="shared" ref="AP2221" si="8952">AO2221-AK2221</f>
        <v>488.97599999999989</v>
      </c>
      <c r="AV2221" t="str">
        <f t="shared" si="8810"/>
        <v>Drenagem Superficial</v>
      </c>
      <c r="AW2221" s="4" t="str">
        <f t="shared" si="8808"/>
        <v xml:space="preserve">   Seg. 3.1-C05 - Drenagem Superficial - Valetas de proteção de corte (Extrusada)</v>
      </c>
    </row>
    <row r="2222" spans="1:50" ht="15" hidden="1" customHeight="1" outlineLevel="2">
      <c r="A2222" s="8" t="str">
        <f t="shared" ref="A2222" si="8953">A2221</f>
        <v>N</v>
      </c>
      <c r="B2222" s="150"/>
      <c r="C2222" s="150" t="s">
        <v>2537</v>
      </c>
      <c r="D2222" s="120" t="s">
        <v>2068</v>
      </c>
      <c r="E2222" s="893"/>
      <c r="F2222" s="902"/>
      <c r="G2222" s="528"/>
      <c r="H2222" s="549" t="s">
        <v>38</v>
      </c>
      <c r="I2222" s="711">
        <v>0</v>
      </c>
      <c r="J2222" s="897"/>
      <c r="K2222" s="528"/>
      <c r="L2222" s="549" t="s">
        <v>38</v>
      </c>
      <c r="M2222" s="711">
        <f t="shared" si="8919"/>
        <v>0</v>
      </c>
      <c r="N2222" s="897"/>
      <c r="O2222" s="528"/>
      <c r="P2222" s="548">
        <v>0</v>
      </c>
      <c r="Q2222" s="548">
        <v>0</v>
      </c>
      <c r="R2222" s="548">
        <v>0</v>
      </c>
      <c r="S2222" s="548">
        <v>0</v>
      </c>
      <c r="T2222" s="548">
        <v>0</v>
      </c>
      <c r="U2222" s="548">
        <v>0</v>
      </c>
      <c r="V2222" s="548"/>
      <c r="W2222" s="528"/>
      <c r="X2222" s="711"/>
      <c r="Y2222" s="897"/>
      <c r="Z2222" s="528"/>
      <c r="AA2222" s="899"/>
      <c r="AB2222" s="899"/>
      <c r="AC2222" s="904"/>
      <c r="AD2222" s="905"/>
      <c r="AE2222" s="2"/>
      <c r="AF2222" s="885"/>
      <c r="AG2222" s="885"/>
      <c r="AH2222" s="885"/>
      <c r="AI2222" s="885"/>
      <c r="AJ2222" s="885"/>
      <c r="AK2222" s="885"/>
      <c r="AL2222" s="885"/>
      <c r="AM2222" s="879"/>
      <c r="AN2222" s="2"/>
      <c r="AO2222" s="886"/>
      <c r="AP2222" s="886"/>
      <c r="AV2222" t="str">
        <f t="shared" si="8810"/>
        <v>Drenagem Superficial</v>
      </c>
      <c r="AW2222" s="4" t="str">
        <f t="shared" si="8808"/>
        <v xml:space="preserve">   Seg. 3.1-C05 - Drenagem Superficial - Valetas de proteção de corte (Extrusada)</v>
      </c>
    </row>
    <row r="2223" spans="1:50" ht="15" hidden="1" customHeight="1" outlineLevel="2">
      <c r="A2223" s="8" t="str">
        <f t="shared" ref="A2223" si="8954">IF(SUM(P2223:V2224)&gt;0,"S","N")</f>
        <v>N</v>
      </c>
      <c r="B2223" s="150">
        <v>1064678</v>
      </c>
      <c r="C2223" s="150" t="s">
        <v>2539</v>
      </c>
      <c r="D2223" s="120" t="s">
        <v>569</v>
      </c>
      <c r="E2223" s="892" t="s">
        <v>2540</v>
      </c>
      <c r="F2223" s="902" t="s">
        <v>52</v>
      </c>
      <c r="G2223" s="528"/>
      <c r="H2223" s="546" t="s">
        <v>37</v>
      </c>
      <c r="I2223" s="711">
        <v>0</v>
      </c>
      <c r="J2223" s="896" t="str">
        <f t="shared" ref="J2223" si="8955">IFERROR((I2224/I2223),"-")</f>
        <v>-</v>
      </c>
      <c r="K2223" s="528"/>
      <c r="L2223" s="546" t="s">
        <v>37</v>
      </c>
      <c r="M2223" s="711">
        <f t="shared" si="8919"/>
        <v>0</v>
      </c>
      <c r="N2223" s="896" t="str">
        <f t="shared" ref="N2223" si="8956">IFERROR((M2224/M2223),"-")</f>
        <v>-</v>
      </c>
      <c r="O2223" s="528"/>
      <c r="P2223" s="547">
        <v>0</v>
      </c>
      <c r="Q2223" s="547">
        <v>0</v>
      </c>
      <c r="R2223" s="547">
        <v>0</v>
      </c>
      <c r="S2223" s="547">
        <v>0</v>
      </c>
      <c r="T2223" s="547">
        <v>0</v>
      </c>
      <c r="U2223" s="547">
        <v>0</v>
      </c>
      <c r="V2223" s="548">
        <v>0</v>
      </c>
      <c r="W2223" s="528"/>
      <c r="X2223" s="711"/>
      <c r="Y2223" s="896" t="str">
        <f t="shared" ref="Y2223" si="8957">IFERROR((X2224/X2223),"-")</f>
        <v>-</v>
      </c>
      <c r="Z2223" s="528"/>
      <c r="AA2223" s="898">
        <v>0</v>
      </c>
      <c r="AB2223" s="898">
        <v>0</v>
      </c>
      <c r="AC2223" s="903">
        <v>0</v>
      </c>
      <c r="AD2223" s="896" t="str">
        <f t="shared" ref="AD2223" si="8958">IFERROR((AC2223/AB2223),"-")</f>
        <v>-</v>
      </c>
      <c r="AE2223" s="2"/>
      <c r="AF2223" s="884">
        <v>0</v>
      </c>
      <c r="AG2223" s="884"/>
      <c r="AH2223" s="884">
        <v>0</v>
      </c>
      <c r="AI2223" s="884"/>
      <c r="AJ2223" s="884"/>
      <c r="AK2223" s="884">
        <f t="shared" ref="AK2223" si="8959">AF2223+AG2223+AH2223+AI2223+AJ2223+AC2223</f>
        <v>0</v>
      </c>
      <c r="AL2223" s="884">
        <v>0</v>
      </c>
      <c r="AM2223" s="878" t="str">
        <f t="shared" ref="AM2223" si="8960">IFERROR((AK2223/AL2223),"-")</f>
        <v>-</v>
      </c>
      <c r="AN2223" s="2"/>
      <c r="AO2223" s="884">
        <v>663</v>
      </c>
      <c r="AP2223" s="884">
        <f t="shared" ref="AP2223" si="8961">AO2223-AK2223</f>
        <v>663</v>
      </c>
      <c r="AV2223" t="str">
        <f t="shared" si="8810"/>
        <v>Drenagem Superficial</v>
      </c>
      <c r="AW2223" s="4" t="str">
        <f t="shared" si="8808"/>
        <v xml:space="preserve">   Seg. 3.1-C07 - Drenagem Superficial - Valetas de proteção de corte (Manual)</v>
      </c>
    </row>
    <row r="2224" spans="1:50" ht="15" hidden="1" customHeight="1" outlineLevel="2">
      <c r="A2224" s="8" t="str">
        <f t="shared" ref="A2224" si="8962">A2223</f>
        <v>N</v>
      </c>
      <c r="B2224" s="150"/>
      <c r="C2224" s="150" t="s">
        <v>2539</v>
      </c>
      <c r="D2224" s="120" t="s">
        <v>569</v>
      </c>
      <c r="E2224" s="893"/>
      <c r="F2224" s="902"/>
      <c r="G2224" s="528"/>
      <c r="H2224" s="549" t="s">
        <v>38</v>
      </c>
      <c r="I2224" s="711">
        <v>0</v>
      </c>
      <c r="J2224" s="897"/>
      <c r="K2224" s="528"/>
      <c r="L2224" s="549" t="s">
        <v>38</v>
      </c>
      <c r="M2224" s="711">
        <f t="shared" si="8919"/>
        <v>0</v>
      </c>
      <c r="N2224" s="897"/>
      <c r="O2224" s="528"/>
      <c r="P2224" s="548">
        <v>0</v>
      </c>
      <c r="Q2224" s="548">
        <v>0</v>
      </c>
      <c r="R2224" s="548">
        <v>0</v>
      </c>
      <c r="S2224" s="548">
        <v>0</v>
      </c>
      <c r="T2224" s="548">
        <v>0</v>
      </c>
      <c r="U2224" s="548">
        <v>0</v>
      </c>
      <c r="V2224" s="548"/>
      <c r="W2224" s="528"/>
      <c r="X2224" s="711"/>
      <c r="Y2224" s="897"/>
      <c r="Z2224" s="528"/>
      <c r="AA2224" s="899"/>
      <c r="AB2224" s="899"/>
      <c r="AC2224" s="904"/>
      <c r="AD2224" s="905"/>
      <c r="AE2224" s="2"/>
      <c r="AF2224" s="885"/>
      <c r="AG2224" s="885"/>
      <c r="AH2224" s="885"/>
      <c r="AI2224" s="885"/>
      <c r="AJ2224" s="885"/>
      <c r="AK2224" s="885"/>
      <c r="AL2224" s="885"/>
      <c r="AM2224" s="879"/>
      <c r="AN2224" s="2"/>
      <c r="AO2224" s="886"/>
      <c r="AP2224" s="886"/>
      <c r="AV2224" t="str">
        <f t="shared" si="8810"/>
        <v>Drenagem Superficial</v>
      </c>
      <c r="AW2224" s="4" t="str">
        <f t="shared" si="8808"/>
        <v xml:space="preserve">   Seg. 3.1-C07 - Drenagem Superficial - Valetas de proteção de corte (Manual)</v>
      </c>
    </row>
    <row r="2225" spans="1:50" ht="15.6" hidden="1" customHeight="1" outlineLevel="2">
      <c r="A2225" s="8" t="str">
        <f t="shared" ref="A2225" si="8963">IF(SUM(P2225:V2226)&gt;0,"S","N")</f>
        <v>N</v>
      </c>
      <c r="B2225" s="150">
        <v>1064682</v>
      </c>
      <c r="C2225" s="150" t="s">
        <v>2541</v>
      </c>
      <c r="D2225" s="120" t="s">
        <v>2542</v>
      </c>
      <c r="E2225" s="892" t="s">
        <v>2543</v>
      </c>
      <c r="F2225" s="902" t="s">
        <v>52</v>
      </c>
      <c r="G2225" s="528"/>
      <c r="H2225" s="546" t="s">
        <v>37</v>
      </c>
      <c r="I2225" s="711">
        <v>0</v>
      </c>
      <c r="J2225" s="896" t="str">
        <f t="shared" ref="J2225" si="8964">IFERROR((I2226/I2225),"-")</f>
        <v>-</v>
      </c>
      <c r="K2225" s="528"/>
      <c r="L2225" s="546" t="s">
        <v>37</v>
      </c>
      <c r="M2225" s="711">
        <f t="shared" si="8919"/>
        <v>0</v>
      </c>
      <c r="N2225" s="896" t="str">
        <f t="shared" ref="N2225" si="8965">IFERROR((M2226/M2225),"-")</f>
        <v>-</v>
      </c>
      <c r="O2225" s="528"/>
      <c r="P2225" s="547">
        <v>0</v>
      </c>
      <c r="Q2225" s="547">
        <v>0</v>
      </c>
      <c r="R2225" s="547">
        <v>0</v>
      </c>
      <c r="S2225" s="547">
        <v>0</v>
      </c>
      <c r="T2225" s="547">
        <v>0</v>
      </c>
      <c r="U2225" s="547">
        <v>0</v>
      </c>
      <c r="V2225" s="548">
        <v>0</v>
      </c>
      <c r="W2225" s="528"/>
      <c r="X2225" s="711"/>
      <c r="Y2225" s="896" t="str">
        <f t="shared" ref="Y2225" si="8966">IFERROR((X2226/X2225),"-")</f>
        <v>-</v>
      </c>
      <c r="Z2225" s="528"/>
      <c r="AA2225" s="898">
        <v>143</v>
      </c>
      <c r="AB2225" s="898">
        <v>0</v>
      </c>
      <c r="AC2225" s="903">
        <v>0</v>
      </c>
      <c r="AD2225" s="896" t="str">
        <f t="shared" ref="AD2225" si="8967">IFERROR((AC2225/AB2225),"-")</f>
        <v>-</v>
      </c>
      <c r="AE2225" s="2"/>
      <c r="AF2225" s="884">
        <v>0</v>
      </c>
      <c r="AG2225" s="884"/>
      <c r="AH2225" s="884">
        <v>0</v>
      </c>
      <c r="AI2225" s="884"/>
      <c r="AJ2225" s="884"/>
      <c r="AK2225" s="884">
        <f t="shared" ref="AK2225" si="8968">AF2225+AG2225+AH2225+AI2225+AJ2225+AC2225</f>
        <v>0</v>
      </c>
      <c r="AL2225" s="884">
        <v>0</v>
      </c>
      <c r="AM2225" s="878" t="str">
        <f t="shared" ref="AM2225" si="8969">IFERROR((AK2225/AL2225),"-")</f>
        <v>-</v>
      </c>
      <c r="AN2225" s="2"/>
      <c r="AO2225" s="884">
        <v>143</v>
      </c>
      <c r="AP2225" s="884">
        <f t="shared" ref="AP2225" si="8970">AO2225-AK2225</f>
        <v>143</v>
      </c>
      <c r="AV2225" t="str">
        <f t="shared" si="8810"/>
        <v>Drenagem Superficial</v>
      </c>
      <c r="AW2225" s="4" t="str">
        <f t="shared" si="8808"/>
        <v xml:space="preserve">   Seg. 3.1-C08 - Drenagem Superficial - Valetas de proteção de corte (Extrusada)</v>
      </c>
    </row>
    <row r="2226" spans="1:50" ht="15.6" hidden="1" customHeight="1" outlineLevel="2">
      <c r="A2226" s="8" t="str">
        <f t="shared" ref="A2226" si="8971">A2225</f>
        <v>N</v>
      </c>
      <c r="B2226" s="150"/>
      <c r="C2226" s="150" t="s">
        <v>2541</v>
      </c>
      <c r="D2226" s="120" t="s">
        <v>2542</v>
      </c>
      <c r="E2226" s="893"/>
      <c r="F2226" s="902"/>
      <c r="G2226" s="528"/>
      <c r="H2226" s="549" t="s">
        <v>38</v>
      </c>
      <c r="I2226" s="711">
        <v>0</v>
      </c>
      <c r="J2226" s="897"/>
      <c r="K2226" s="528"/>
      <c r="L2226" s="549" t="s">
        <v>38</v>
      </c>
      <c r="M2226" s="711">
        <f t="shared" si="8919"/>
        <v>0</v>
      </c>
      <c r="N2226" s="897"/>
      <c r="O2226" s="528"/>
      <c r="P2226" s="548">
        <v>0</v>
      </c>
      <c r="Q2226" s="548">
        <v>0</v>
      </c>
      <c r="R2226" s="548">
        <v>0</v>
      </c>
      <c r="S2226" s="548">
        <v>0</v>
      </c>
      <c r="T2226" s="548">
        <v>0</v>
      </c>
      <c r="U2226" s="548">
        <v>0</v>
      </c>
      <c r="V2226" s="548"/>
      <c r="W2226" s="528"/>
      <c r="X2226" s="711"/>
      <c r="Y2226" s="897"/>
      <c r="Z2226" s="528"/>
      <c r="AA2226" s="899"/>
      <c r="AB2226" s="899"/>
      <c r="AC2226" s="904"/>
      <c r="AD2226" s="905"/>
      <c r="AE2226" s="2"/>
      <c r="AF2226" s="885"/>
      <c r="AG2226" s="885"/>
      <c r="AH2226" s="885"/>
      <c r="AI2226" s="885"/>
      <c r="AJ2226" s="885"/>
      <c r="AK2226" s="885"/>
      <c r="AL2226" s="885"/>
      <c r="AM2226" s="879"/>
      <c r="AN2226" s="2"/>
      <c r="AO2226" s="886"/>
      <c r="AP2226" s="886"/>
      <c r="AV2226" t="str">
        <f t="shared" si="8810"/>
        <v>Drenagem Superficial</v>
      </c>
      <c r="AW2226" s="4" t="str">
        <f t="shared" si="8808"/>
        <v xml:space="preserve">   Seg. 3.1-C08 - Drenagem Superficial - Valetas de proteção de corte (Extrusada)</v>
      </c>
    </row>
    <row r="2227" spans="1:50" ht="15.6" hidden="1" customHeight="1" outlineLevel="2">
      <c r="A2227" s="209" t="str">
        <f t="shared" ref="A2227" si="8972">IF(SUM(P2227:V2228)&gt;0,"S","N")</f>
        <v>N</v>
      </c>
      <c r="B2227" s="150">
        <v>1064684</v>
      </c>
      <c r="C2227" s="150" t="s">
        <v>2544</v>
      </c>
      <c r="D2227" s="120" t="s">
        <v>2545</v>
      </c>
      <c r="E2227" s="892" t="s">
        <v>2546</v>
      </c>
      <c r="F2227" s="902" t="s">
        <v>52</v>
      </c>
      <c r="G2227" s="528"/>
      <c r="H2227" s="546" t="s">
        <v>37</v>
      </c>
      <c r="I2227" s="711">
        <v>0</v>
      </c>
      <c r="J2227" s="896" t="str">
        <f t="shared" ref="J2227" si="8973">IFERROR((I2228/I2227),"-")</f>
        <v>-</v>
      </c>
      <c r="K2227" s="528"/>
      <c r="L2227" s="546" t="s">
        <v>37</v>
      </c>
      <c r="M2227" s="711">
        <f t="shared" si="8919"/>
        <v>0</v>
      </c>
      <c r="N2227" s="896" t="str">
        <f t="shared" ref="N2227" si="8974">IFERROR((M2228/M2227),"-")</f>
        <v>-</v>
      </c>
      <c r="O2227" s="528"/>
      <c r="P2227" s="547">
        <v>0</v>
      </c>
      <c r="Q2227" s="547">
        <v>0</v>
      </c>
      <c r="R2227" s="547">
        <v>0</v>
      </c>
      <c r="S2227" s="547">
        <v>0</v>
      </c>
      <c r="T2227" s="547">
        <v>0</v>
      </c>
      <c r="U2227" s="547">
        <v>0</v>
      </c>
      <c r="V2227" s="548">
        <v>0</v>
      </c>
      <c r="W2227" s="528"/>
      <c r="X2227" s="711"/>
      <c r="Y2227" s="896" t="str">
        <f t="shared" ref="Y2227" si="8975">IFERROR((X2228/X2227),"-")</f>
        <v>-</v>
      </c>
      <c r="Z2227" s="528"/>
      <c r="AA2227" s="898">
        <v>98.57</v>
      </c>
      <c r="AB2227" s="898">
        <v>0</v>
      </c>
      <c r="AC2227" s="903">
        <v>0</v>
      </c>
      <c r="AD2227" s="896" t="str">
        <f t="shared" ref="AD2227" si="8976">IFERROR((AC2227/AB2227),"-")</f>
        <v>-</v>
      </c>
      <c r="AE2227" s="2"/>
      <c r="AF2227" s="884">
        <v>0</v>
      </c>
      <c r="AG2227" s="884"/>
      <c r="AH2227" s="884">
        <v>0</v>
      </c>
      <c r="AI2227" s="884"/>
      <c r="AJ2227" s="884"/>
      <c r="AK2227" s="884">
        <f t="shared" ref="AK2227" si="8977">AF2227+AG2227+AH2227+AI2227+AJ2227+AC2227</f>
        <v>0</v>
      </c>
      <c r="AL2227" s="884">
        <v>440.99999999999977</v>
      </c>
      <c r="AM2227" s="878">
        <f t="shared" ref="AM2227" si="8978">IFERROR((AK2227/AL2227),"-")</f>
        <v>0</v>
      </c>
      <c r="AN2227" s="2"/>
      <c r="AO2227" s="884">
        <v>1501</v>
      </c>
      <c r="AP2227" s="884">
        <f t="shared" ref="AP2227" si="8979">AO2227-AK2227</f>
        <v>1501</v>
      </c>
      <c r="AV2227" t="str">
        <f t="shared" si="8810"/>
        <v>Drenagem Superficial</v>
      </c>
      <c r="AW2227" s="4" t="str">
        <f t="shared" si="8808"/>
        <v xml:space="preserve">   Seg. 3.1-A02 - Drenagem Superficial - Valetas de proteção de aterro (Extrusada)</v>
      </c>
    </row>
    <row r="2228" spans="1:50" ht="15.6" hidden="1" customHeight="1" outlineLevel="2">
      <c r="A2228" s="209" t="str">
        <f t="shared" ref="A2228" si="8980">A2227</f>
        <v>N</v>
      </c>
      <c r="B2228" s="150"/>
      <c r="C2228" s="150" t="s">
        <v>2544</v>
      </c>
      <c r="D2228" s="120" t="s">
        <v>2545</v>
      </c>
      <c r="E2228" s="893"/>
      <c r="F2228" s="902"/>
      <c r="G2228" s="528"/>
      <c r="H2228" s="549" t="s">
        <v>38</v>
      </c>
      <c r="I2228" s="711">
        <v>0</v>
      </c>
      <c r="J2228" s="897"/>
      <c r="K2228" s="528"/>
      <c r="L2228" s="549" t="s">
        <v>38</v>
      </c>
      <c r="M2228" s="711">
        <f t="shared" si="8919"/>
        <v>0</v>
      </c>
      <c r="N2228" s="897"/>
      <c r="O2228" s="528"/>
      <c r="P2228" s="548">
        <v>0</v>
      </c>
      <c r="Q2228" s="548">
        <v>0</v>
      </c>
      <c r="R2228" s="548">
        <v>0</v>
      </c>
      <c r="S2228" s="548">
        <v>0</v>
      </c>
      <c r="T2228" s="548">
        <v>0</v>
      </c>
      <c r="U2228" s="548">
        <v>0</v>
      </c>
      <c r="V2228" s="548"/>
      <c r="W2228" s="528"/>
      <c r="X2228" s="711"/>
      <c r="Y2228" s="897"/>
      <c r="Z2228" s="528"/>
      <c r="AA2228" s="899"/>
      <c r="AB2228" s="899"/>
      <c r="AC2228" s="904"/>
      <c r="AD2228" s="905"/>
      <c r="AE2228" s="2"/>
      <c r="AF2228" s="885"/>
      <c r="AG2228" s="885"/>
      <c r="AH2228" s="885"/>
      <c r="AI2228" s="885"/>
      <c r="AJ2228" s="885"/>
      <c r="AK2228" s="885"/>
      <c r="AL2228" s="885"/>
      <c r="AM2228" s="879"/>
      <c r="AN2228" s="2"/>
      <c r="AO2228" s="886"/>
      <c r="AP2228" s="886"/>
      <c r="AV2228" t="str">
        <f t="shared" si="8810"/>
        <v>Drenagem Superficial</v>
      </c>
      <c r="AW2228" s="4" t="str">
        <f t="shared" si="8808"/>
        <v xml:space="preserve">   Seg. 3.1-A02 - Drenagem Superficial - Valetas de proteção de aterro (Extrusada)</v>
      </c>
    </row>
    <row r="2229" spans="1:50" ht="15.6" hidden="1" customHeight="1" outlineLevel="2">
      <c r="A2229" s="8" t="str">
        <f t="shared" ref="A2229" si="8981">IF(SUM(P2229:V2230)&gt;0,"S","N")</f>
        <v>N</v>
      </c>
      <c r="B2229" s="150">
        <v>1064695</v>
      </c>
      <c r="C2229" s="150" t="s">
        <v>2547</v>
      </c>
      <c r="D2229" s="120" t="s">
        <v>2074</v>
      </c>
      <c r="E2229" s="892" t="s">
        <v>2548</v>
      </c>
      <c r="F2229" s="902" t="s">
        <v>52</v>
      </c>
      <c r="G2229" s="528"/>
      <c r="H2229" s="546" t="s">
        <v>37</v>
      </c>
      <c r="I2229" s="711">
        <v>0</v>
      </c>
      <c r="J2229" s="896" t="str">
        <f t="shared" ref="J2229" si="8982">IFERROR((I2230/I2229),"-")</f>
        <v>-</v>
      </c>
      <c r="K2229" s="528"/>
      <c r="L2229" s="546" t="s">
        <v>37</v>
      </c>
      <c r="M2229" s="711">
        <f t="shared" si="8919"/>
        <v>0</v>
      </c>
      <c r="N2229" s="896" t="str">
        <f t="shared" ref="N2229" si="8983">IFERROR((M2230/M2229),"-")</f>
        <v>-</v>
      </c>
      <c r="O2229" s="528"/>
      <c r="P2229" s="547">
        <v>0</v>
      </c>
      <c r="Q2229" s="547">
        <v>0</v>
      </c>
      <c r="R2229" s="547">
        <v>0</v>
      </c>
      <c r="S2229" s="547">
        <v>0</v>
      </c>
      <c r="T2229" s="547">
        <v>0</v>
      </c>
      <c r="U2229" s="547">
        <v>0</v>
      </c>
      <c r="V2229" s="548">
        <v>0</v>
      </c>
      <c r="W2229" s="528"/>
      <c r="X2229" s="711"/>
      <c r="Y2229" s="896" t="str">
        <f t="shared" ref="Y2229" si="8984">IFERROR((X2230/X2229),"-")</f>
        <v>-</v>
      </c>
      <c r="Z2229" s="528"/>
      <c r="AA2229" s="898">
        <v>269</v>
      </c>
      <c r="AB2229" s="898">
        <v>179.32</v>
      </c>
      <c r="AC2229" s="903">
        <v>0</v>
      </c>
      <c r="AD2229" s="896">
        <f t="shared" ref="AD2229" si="8985">IFERROR((AC2229/AB2229),"-")</f>
        <v>0</v>
      </c>
      <c r="AE2229" s="2"/>
      <c r="AF2229" s="884">
        <v>0</v>
      </c>
      <c r="AG2229" s="884"/>
      <c r="AH2229" s="884">
        <v>0</v>
      </c>
      <c r="AI2229" s="884"/>
      <c r="AJ2229" s="884"/>
      <c r="AK2229" s="884">
        <f t="shared" ref="AK2229" si="8986">AF2229+AG2229+AH2229+AI2229+AJ2229+AC2229</f>
        <v>0</v>
      </c>
      <c r="AL2229" s="884">
        <v>179.32</v>
      </c>
      <c r="AM2229" s="878">
        <f t="shared" ref="AM2229" si="8987">IFERROR((AK2229/AL2229),"-")</f>
        <v>0</v>
      </c>
      <c r="AN2229" s="2"/>
      <c r="AO2229" s="884">
        <v>269</v>
      </c>
      <c r="AP2229" s="884">
        <f t="shared" ref="AP2229" si="8988">AO2229-AK2229</f>
        <v>269</v>
      </c>
      <c r="AV2229" t="str">
        <f t="shared" si="8810"/>
        <v>Drenagem Superficial</v>
      </c>
      <c r="AW2229" s="4" t="str">
        <f t="shared" si="8808"/>
        <v xml:space="preserve">   Seg. 3.1-A04 - Drenagem Superficial - Valetas de proteção de aterro (Extrusada)</v>
      </c>
    </row>
    <row r="2230" spans="1:50" ht="15.6" hidden="1" customHeight="1" outlineLevel="2">
      <c r="A2230" s="8" t="str">
        <f t="shared" ref="A2230" si="8989">A2229</f>
        <v>N</v>
      </c>
      <c r="B2230" s="150"/>
      <c r="C2230" s="150" t="s">
        <v>2547</v>
      </c>
      <c r="D2230" s="120" t="s">
        <v>2074</v>
      </c>
      <c r="E2230" s="893"/>
      <c r="F2230" s="902"/>
      <c r="G2230" s="528"/>
      <c r="H2230" s="549" t="s">
        <v>38</v>
      </c>
      <c r="I2230" s="711">
        <v>0</v>
      </c>
      <c r="J2230" s="897"/>
      <c r="K2230" s="528"/>
      <c r="L2230" s="549" t="s">
        <v>38</v>
      </c>
      <c r="M2230" s="711">
        <f t="shared" si="8919"/>
        <v>0</v>
      </c>
      <c r="N2230" s="897"/>
      <c r="O2230" s="528"/>
      <c r="P2230" s="548">
        <v>0</v>
      </c>
      <c r="Q2230" s="548">
        <v>0</v>
      </c>
      <c r="R2230" s="548">
        <v>0</v>
      </c>
      <c r="S2230" s="548">
        <v>0</v>
      </c>
      <c r="T2230" s="548">
        <v>0</v>
      </c>
      <c r="U2230" s="548">
        <v>0</v>
      </c>
      <c r="V2230" s="548"/>
      <c r="W2230" s="528"/>
      <c r="X2230" s="711"/>
      <c r="Y2230" s="897"/>
      <c r="Z2230" s="528"/>
      <c r="AA2230" s="899"/>
      <c r="AB2230" s="899"/>
      <c r="AC2230" s="904"/>
      <c r="AD2230" s="905"/>
      <c r="AE2230" s="2"/>
      <c r="AF2230" s="885"/>
      <c r="AG2230" s="885"/>
      <c r="AH2230" s="885"/>
      <c r="AI2230" s="885"/>
      <c r="AJ2230" s="885"/>
      <c r="AK2230" s="885"/>
      <c r="AL2230" s="885"/>
      <c r="AM2230" s="879"/>
      <c r="AN2230" s="2"/>
      <c r="AO2230" s="886"/>
      <c r="AP2230" s="886"/>
      <c r="AV2230" t="str">
        <f t="shared" si="8810"/>
        <v>Drenagem Superficial</v>
      </c>
      <c r="AW2230" s="4" t="str">
        <f t="shared" si="8808"/>
        <v xml:space="preserve">   Seg. 3.1-A04 - Drenagem Superficial - Valetas de proteção de aterro (Extrusada)</v>
      </c>
    </row>
    <row r="2231" spans="1:50" ht="18.600000000000001" hidden="1" customHeight="1" outlineLevel="2">
      <c r="A2231" s="8" t="str">
        <f t="shared" ref="A2231" si="8990">IF(SUM(P2231:V2232)&gt;0,"S","N")</f>
        <v>N</v>
      </c>
      <c r="B2231" s="150">
        <v>1064700</v>
      </c>
      <c r="C2231" s="150" t="s">
        <v>2549</v>
      </c>
      <c r="D2231" s="120" t="s">
        <v>1311</v>
      </c>
      <c r="E2231" s="892" t="s">
        <v>2550</v>
      </c>
      <c r="F2231" s="902" t="s">
        <v>52</v>
      </c>
      <c r="G2231" s="528"/>
      <c r="H2231" s="546" t="s">
        <v>37</v>
      </c>
      <c r="I2231" s="711">
        <v>0</v>
      </c>
      <c r="J2231" s="896" t="str">
        <f t="shared" ref="J2231" si="8991">IFERROR((I2232/I2231),"-")</f>
        <v>-</v>
      </c>
      <c r="K2231" s="528"/>
      <c r="L2231" s="546" t="s">
        <v>37</v>
      </c>
      <c r="M2231" s="711">
        <f t="shared" si="8919"/>
        <v>0</v>
      </c>
      <c r="N2231" s="896" t="str">
        <f t="shared" ref="N2231" si="8992">IFERROR((M2232/M2231),"-")</f>
        <v>-</v>
      </c>
      <c r="O2231" s="528"/>
      <c r="P2231" s="547">
        <v>0</v>
      </c>
      <c r="Q2231" s="547">
        <v>0</v>
      </c>
      <c r="R2231" s="547">
        <v>0</v>
      </c>
      <c r="S2231" s="547">
        <v>0</v>
      </c>
      <c r="T2231" s="547">
        <v>0</v>
      </c>
      <c r="U2231" s="547">
        <v>0</v>
      </c>
      <c r="V2231" s="548">
        <v>0</v>
      </c>
      <c r="W2231" s="528"/>
      <c r="X2231" s="711"/>
      <c r="Y2231" s="896" t="str">
        <f t="shared" ref="Y2231" si="8993">IFERROR((X2232/X2231),"-")</f>
        <v>-</v>
      </c>
      <c r="Z2231" s="528"/>
      <c r="AA2231" s="898">
        <v>0</v>
      </c>
      <c r="AB2231" s="898">
        <v>0</v>
      </c>
      <c r="AC2231" s="903">
        <v>0</v>
      </c>
      <c r="AD2231" s="896" t="str">
        <f t="shared" ref="AD2231" si="8994">IFERROR((AC2231/AB2231),"-")</f>
        <v>-</v>
      </c>
      <c r="AE2231" s="2"/>
      <c r="AF2231" s="884">
        <v>0</v>
      </c>
      <c r="AG2231" s="884"/>
      <c r="AH2231" s="884">
        <v>0</v>
      </c>
      <c r="AI2231" s="884"/>
      <c r="AJ2231" s="884"/>
      <c r="AK2231" s="884">
        <f t="shared" ref="AK2231" si="8995">AF2231+AG2231+AH2231+AI2231+AJ2231+AC2231</f>
        <v>0</v>
      </c>
      <c r="AL2231" s="884">
        <v>0</v>
      </c>
      <c r="AM2231" s="878" t="str">
        <f t="shared" ref="AM2231" si="8996">IFERROR((AK2231/AL2231),"-")</f>
        <v>-</v>
      </c>
      <c r="AN2231" s="2"/>
      <c r="AO2231" s="884">
        <v>295</v>
      </c>
      <c r="AP2231" s="884">
        <f t="shared" ref="AP2231" si="8997">AO2231-AK2231</f>
        <v>295</v>
      </c>
      <c r="AR2231" s="4"/>
      <c r="AV2231" t="str">
        <f t="shared" si="8810"/>
        <v>Drenagem Superficial</v>
      </c>
      <c r="AW2231" t="str">
        <f t="shared" si="8808"/>
        <v xml:space="preserve">   Seg. 3.1-A05 - Drenagem Superficial - Valetas de proteção de aterro (Manual)</v>
      </c>
    </row>
    <row r="2232" spans="1:50" ht="18.600000000000001" hidden="1" customHeight="1" outlineLevel="2">
      <c r="A2232" s="8" t="str">
        <f t="shared" ref="A2232" si="8998">A2231</f>
        <v>N</v>
      </c>
      <c r="B2232" s="150"/>
      <c r="C2232" s="150" t="s">
        <v>2549</v>
      </c>
      <c r="D2232" s="120" t="s">
        <v>1311</v>
      </c>
      <c r="E2232" s="893"/>
      <c r="F2232" s="902"/>
      <c r="G2232" s="528"/>
      <c r="H2232" s="549" t="s">
        <v>38</v>
      </c>
      <c r="I2232" s="711">
        <v>0</v>
      </c>
      <c r="J2232" s="897"/>
      <c r="K2232" s="528"/>
      <c r="L2232" s="549" t="s">
        <v>38</v>
      </c>
      <c r="M2232" s="711">
        <f t="shared" si="8919"/>
        <v>0</v>
      </c>
      <c r="N2232" s="897"/>
      <c r="O2232" s="528"/>
      <c r="P2232" s="548">
        <v>0</v>
      </c>
      <c r="Q2232" s="548">
        <v>0</v>
      </c>
      <c r="R2232" s="548">
        <v>0</v>
      </c>
      <c r="S2232" s="548">
        <v>0</v>
      </c>
      <c r="T2232" s="548">
        <v>0</v>
      </c>
      <c r="U2232" s="548">
        <v>0</v>
      </c>
      <c r="V2232" s="548"/>
      <c r="W2232" s="528"/>
      <c r="X2232" s="711"/>
      <c r="Y2232" s="897"/>
      <c r="Z2232" s="528"/>
      <c r="AA2232" s="899"/>
      <c r="AB2232" s="899"/>
      <c r="AC2232" s="904"/>
      <c r="AD2232" s="905"/>
      <c r="AE2232" s="2"/>
      <c r="AF2232" s="885"/>
      <c r="AG2232" s="885"/>
      <c r="AH2232" s="885"/>
      <c r="AI2232" s="885"/>
      <c r="AJ2232" s="885"/>
      <c r="AK2232" s="885"/>
      <c r="AL2232" s="885"/>
      <c r="AM2232" s="879"/>
      <c r="AN2232" s="2"/>
      <c r="AO2232" s="886"/>
      <c r="AP2232" s="886"/>
      <c r="AR2232" s="4"/>
      <c r="AV2232" t="str">
        <f t="shared" si="8810"/>
        <v>Drenagem Superficial</v>
      </c>
      <c r="AW2232" t="str">
        <f t="shared" si="8808"/>
        <v xml:space="preserve">   Seg. 3.1-A05 - Drenagem Superficial - Valetas de proteção de aterro (Manual)</v>
      </c>
    </row>
    <row r="2233" spans="1:50" ht="18.399999999999999" hidden="1" customHeight="1" outlineLevel="2" collapsed="1">
      <c r="A2233" s="8" t="str">
        <f t="shared" ref="A2233" si="8999">IF(SUM(P2233:V2234)&gt;0,"S","N")</f>
        <v>N</v>
      </c>
      <c r="B2233" s="150">
        <v>1064705</v>
      </c>
      <c r="C2233" s="150" t="s">
        <v>2551</v>
      </c>
      <c r="D2233" s="120" t="s">
        <v>1313</v>
      </c>
      <c r="E2233" s="892" t="s">
        <v>2552</v>
      </c>
      <c r="F2233" s="902" t="s">
        <v>52</v>
      </c>
      <c r="G2233" s="528"/>
      <c r="H2233" s="546" t="s">
        <v>37</v>
      </c>
      <c r="I2233" s="711">
        <v>0</v>
      </c>
      <c r="J2233" s="896" t="str">
        <f t="shared" ref="J2233" si="9000">IFERROR((I2234/I2233),"-")</f>
        <v>-</v>
      </c>
      <c r="K2233" s="528"/>
      <c r="L2233" s="546" t="s">
        <v>37</v>
      </c>
      <c r="M2233" s="711">
        <f t="shared" si="8919"/>
        <v>0</v>
      </c>
      <c r="N2233" s="896" t="str">
        <f t="shared" ref="N2233" si="9001">IFERROR((M2234/M2233),"-")</f>
        <v>-</v>
      </c>
      <c r="O2233" s="528"/>
      <c r="P2233" s="547">
        <v>0</v>
      </c>
      <c r="Q2233" s="547">
        <v>0</v>
      </c>
      <c r="R2233" s="547">
        <v>0</v>
      </c>
      <c r="S2233" s="547">
        <v>0</v>
      </c>
      <c r="T2233" s="547">
        <v>0</v>
      </c>
      <c r="U2233" s="547">
        <v>0</v>
      </c>
      <c r="V2233" s="548">
        <v>0</v>
      </c>
      <c r="W2233" s="528"/>
      <c r="X2233" s="711"/>
      <c r="Y2233" s="896" t="str">
        <f t="shared" ref="Y2233" si="9002">IFERROR((X2234/X2233),"-")</f>
        <v>-</v>
      </c>
      <c r="Z2233" s="528"/>
      <c r="AA2233" s="898">
        <v>0</v>
      </c>
      <c r="AB2233" s="898">
        <v>0</v>
      </c>
      <c r="AC2233" s="903">
        <v>0</v>
      </c>
      <c r="AD2233" s="896" t="str">
        <f t="shared" ref="AD2233" si="9003">IFERROR((AC2233/AB2233),"-")</f>
        <v>-</v>
      </c>
      <c r="AE2233" s="2"/>
      <c r="AF2233" s="884">
        <v>0</v>
      </c>
      <c r="AG2233" s="884"/>
      <c r="AH2233" s="884">
        <v>0</v>
      </c>
      <c r="AI2233" s="884"/>
      <c r="AJ2233" s="884"/>
      <c r="AK2233" s="884">
        <f t="shared" ref="AK2233" si="9004">AF2233+AG2233+AH2233+AI2233+AJ2233+AC2233</f>
        <v>0</v>
      </c>
      <c r="AL2233" s="884">
        <v>0</v>
      </c>
      <c r="AM2233" s="878" t="str">
        <f t="shared" ref="AM2233" si="9005">IFERROR((AK2233/AL2233),"-")</f>
        <v>-</v>
      </c>
      <c r="AN2233" s="2"/>
      <c r="AO2233" s="884">
        <v>563</v>
      </c>
      <c r="AP2233" s="884">
        <f t="shared" ref="AP2233" si="9006">AO2233-AK2233</f>
        <v>563</v>
      </c>
      <c r="AV2233" t="str">
        <f t="shared" si="8810"/>
        <v>Drenagem Superficial</v>
      </c>
      <c r="AW2233" s="4" t="str">
        <f t="shared" si="8808"/>
        <v xml:space="preserve">   Seg. 3.1-A06 - Drenagem Superficial - Valetas de proteção de aterro (Manual)</v>
      </c>
    </row>
    <row r="2234" spans="1:50" ht="18.399999999999999" hidden="1" customHeight="1" outlineLevel="2" collapsed="1">
      <c r="A2234" s="8" t="str">
        <f t="shared" ref="A2234" si="9007">A2233</f>
        <v>N</v>
      </c>
      <c r="B2234" s="150"/>
      <c r="C2234" s="150" t="s">
        <v>2551</v>
      </c>
      <c r="D2234" s="120" t="s">
        <v>1313</v>
      </c>
      <c r="E2234" s="893"/>
      <c r="F2234" s="902"/>
      <c r="G2234" s="528"/>
      <c r="H2234" s="549" t="s">
        <v>38</v>
      </c>
      <c r="I2234" s="711">
        <v>0</v>
      </c>
      <c r="J2234" s="897"/>
      <c r="K2234" s="528"/>
      <c r="L2234" s="549" t="s">
        <v>38</v>
      </c>
      <c r="M2234" s="711">
        <f t="shared" si="8919"/>
        <v>0</v>
      </c>
      <c r="N2234" s="897"/>
      <c r="O2234" s="528"/>
      <c r="P2234" s="548">
        <v>0</v>
      </c>
      <c r="Q2234" s="548">
        <v>0</v>
      </c>
      <c r="R2234" s="548">
        <v>0</v>
      </c>
      <c r="S2234" s="548">
        <v>0</v>
      </c>
      <c r="T2234" s="548">
        <v>0</v>
      </c>
      <c r="U2234" s="548">
        <v>0</v>
      </c>
      <c r="V2234" s="548"/>
      <c r="W2234" s="528"/>
      <c r="X2234" s="711"/>
      <c r="Y2234" s="897"/>
      <c r="Z2234" s="528"/>
      <c r="AA2234" s="899"/>
      <c r="AB2234" s="899"/>
      <c r="AC2234" s="904"/>
      <c r="AD2234" s="905"/>
      <c r="AE2234" s="2"/>
      <c r="AF2234" s="885"/>
      <c r="AG2234" s="885"/>
      <c r="AH2234" s="885"/>
      <c r="AI2234" s="885"/>
      <c r="AJ2234" s="885"/>
      <c r="AK2234" s="885"/>
      <c r="AL2234" s="885"/>
      <c r="AM2234" s="879"/>
      <c r="AN2234" s="2"/>
      <c r="AO2234" s="886"/>
      <c r="AP2234" s="886"/>
      <c r="AV2234" t="str">
        <f t="shared" si="8810"/>
        <v>Drenagem Superficial</v>
      </c>
      <c r="AW2234" s="4" t="str">
        <f t="shared" si="8808"/>
        <v xml:space="preserve">   Seg. 3.1-A06 - Drenagem Superficial - Valetas de proteção de aterro (Manual)</v>
      </c>
    </row>
    <row r="2235" spans="1:50" ht="18.399999999999999" hidden="1" customHeight="1" outlineLevel="2">
      <c r="A2235" s="8" t="str">
        <f t="shared" ref="A2235" si="9008">IF(SUM(P2235:V2236)&gt;0,"S","N")</f>
        <v>N</v>
      </c>
      <c r="B2235" s="150">
        <v>1064709</v>
      </c>
      <c r="C2235" s="150" t="s">
        <v>2553</v>
      </c>
      <c r="D2235" s="120" t="s">
        <v>2554</v>
      </c>
      <c r="E2235" s="892" t="s">
        <v>2555</v>
      </c>
      <c r="F2235" s="902" t="s">
        <v>52</v>
      </c>
      <c r="G2235" s="528"/>
      <c r="H2235" s="546" t="s">
        <v>37</v>
      </c>
      <c r="I2235" s="711">
        <v>0</v>
      </c>
      <c r="J2235" s="896" t="str">
        <f t="shared" ref="J2235" si="9009">IFERROR((I2236/I2235),"-")</f>
        <v>-</v>
      </c>
      <c r="K2235" s="528"/>
      <c r="L2235" s="546" t="s">
        <v>37</v>
      </c>
      <c r="M2235" s="711">
        <f t="shared" si="8919"/>
        <v>0</v>
      </c>
      <c r="N2235" s="896" t="str">
        <f t="shared" ref="N2235" si="9010">IFERROR((M2236/M2235),"-")</f>
        <v>-</v>
      </c>
      <c r="O2235" s="528"/>
      <c r="P2235" s="547">
        <v>0</v>
      </c>
      <c r="Q2235" s="547">
        <v>0</v>
      </c>
      <c r="R2235" s="547">
        <v>0</v>
      </c>
      <c r="S2235" s="547">
        <v>0</v>
      </c>
      <c r="T2235" s="547">
        <v>0</v>
      </c>
      <c r="U2235" s="547">
        <v>0</v>
      </c>
      <c r="V2235" s="548">
        <v>0</v>
      </c>
      <c r="W2235" s="528"/>
      <c r="X2235" s="711"/>
      <c r="Y2235" s="896" t="str">
        <f t="shared" ref="Y2235" si="9011">IFERROR((X2236/X2235),"-")</f>
        <v>-</v>
      </c>
      <c r="Z2235" s="528"/>
      <c r="AA2235" s="898">
        <v>0.52</v>
      </c>
      <c r="AB2235" s="898">
        <v>0</v>
      </c>
      <c r="AC2235" s="903">
        <v>0</v>
      </c>
      <c r="AD2235" s="896" t="str">
        <f t="shared" ref="AD2235" si="9012">IFERROR((AC2235/AB2235),"-")</f>
        <v>-</v>
      </c>
      <c r="AE2235" s="2"/>
      <c r="AF2235" s="884">
        <v>0</v>
      </c>
      <c r="AG2235" s="884"/>
      <c r="AH2235" s="884">
        <v>0</v>
      </c>
      <c r="AI2235" s="884"/>
      <c r="AJ2235" s="884"/>
      <c r="AK2235" s="884">
        <f t="shared" ref="AK2235" si="9013">AF2235+AG2235+AH2235+AI2235+AJ2235+AC2235</f>
        <v>0</v>
      </c>
      <c r="AL2235" s="884">
        <v>0</v>
      </c>
      <c r="AM2235" s="878" t="str">
        <f t="shared" ref="AM2235" si="9014">IFERROR((AK2235/AL2235),"-")</f>
        <v>-</v>
      </c>
      <c r="AN2235" s="2"/>
      <c r="AO2235" s="884">
        <v>1020</v>
      </c>
      <c r="AP2235" s="884">
        <f t="shared" ref="AP2235" si="9015">AO2235-AK2235</f>
        <v>1020</v>
      </c>
      <c r="AV2235" t="str">
        <f t="shared" si="8810"/>
        <v>Drenagem Superficial</v>
      </c>
      <c r="AW2235" s="4" t="str">
        <f t="shared" si="8808"/>
        <v xml:space="preserve">   Seg. 3.1-A07 - Drenagem Superficial - Valetas de proteção de aterro (Extrusada)</v>
      </c>
      <c r="AX2235" s="4"/>
    </row>
    <row r="2236" spans="1:50" ht="18.399999999999999" hidden="1" customHeight="1" outlineLevel="2">
      <c r="A2236" s="8" t="str">
        <f t="shared" ref="A2236" si="9016">A2235</f>
        <v>N</v>
      </c>
      <c r="B2236" s="150"/>
      <c r="C2236" s="150" t="s">
        <v>2553</v>
      </c>
      <c r="D2236" s="120" t="s">
        <v>2554</v>
      </c>
      <c r="E2236" s="893"/>
      <c r="F2236" s="902"/>
      <c r="G2236" s="528"/>
      <c r="H2236" s="549" t="s">
        <v>38</v>
      </c>
      <c r="I2236" s="711">
        <v>0</v>
      </c>
      <c r="J2236" s="897"/>
      <c r="K2236" s="528"/>
      <c r="L2236" s="549" t="s">
        <v>38</v>
      </c>
      <c r="M2236" s="711">
        <f t="shared" si="8919"/>
        <v>0</v>
      </c>
      <c r="N2236" s="897"/>
      <c r="O2236" s="528"/>
      <c r="P2236" s="548">
        <v>0</v>
      </c>
      <c r="Q2236" s="548">
        <v>0</v>
      </c>
      <c r="R2236" s="548">
        <v>0</v>
      </c>
      <c r="S2236" s="548">
        <v>0</v>
      </c>
      <c r="T2236" s="548">
        <v>0</v>
      </c>
      <c r="U2236" s="548">
        <v>0</v>
      </c>
      <c r="V2236" s="548"/>
      <c r="W2236" s="528"/>
      <c r="X2236" s="711"/>
      <c r="Y2236" s="897"/>
      <c r="Z2236" s="528"/>
      <c r="AA2236" s="899"/>
      <c r="AB2236" s="899"/>
      <c r="AC2236" s="904"/>
      <c r="AD2236" s="905"/>
      <c r="AE2236" s="2"/>
      <c r="AF2236" s="885"/>
      <c r="AG2236" s="885"/>
      <c r="AH2236" s="885"/>
      <c r="AI2236" s="885"/>
      <c r="AJ2236" s="885"/>
      <c r="AK2236" s="885"/>
      <c r="AL2236" s="885"/>
      <c r="AM2236" s="879"/>
      <c r="AN2236" s="2"/>
      <c r="AO2236" s="886"/>
      <c r="AP2236" s="886"/>
      <c r="AV2236" t="str">
        <f t="shared" si="8810"/>
        <v>Drenagem Superficial</v>
      </c>
      <c r="AW2236" s="4" t="str">
        <f t="shared" si="8808"/>
        <v xml:space="preserve">   Seg. 3.1-A07 - Drenagem Superficial - Valetas de proteção de aterro (Extrusada)</v>
      </c>
    </row>
    <row r="2237" spans="1:50" ht="18.399999999999999" hidden="1" customHeight="1" outlineLevel="2">
      <c r="A2237" s="8" t="str">
        <f t="shared" ref="A2237" si="9017">IF(SUM(P2237:V2238)&gt;0,"S","N")</f>
        <v>S</v>
      </c>
      <c r="B2237" s="150">
        <v>1064715</v>
      </c>
      <c r="C2237" s="150" t="s">
        <v>2556</v>
      </c>
      <c r="D2237" s="120" t="s">
        <v>1317</v>
      </c>
      <c r="E2237" s="892" t="s">
        <v>2557</v>
      </c>
      <c r="F2237" s="902" t="s">
        <v>52</v>
      </c>
      <c r="G2237" s="528"/>
      <c r="H2237" s="546" t="s">
        <v>37</v>
      </c>
      <c r="I2237" s="711">
        <v>0</v>
      </c>
      <c r="J2237" s="896" t="str">
        <f t="shared" ref="J2237" si="9018">IFERROR((I2238/I2237),"-")</f>
        <v>-</v>
      </c>
      <c r="K2237" s="528"/>
      <c r="L2237" s="546" t="s">
        <v>37</v>
      </c>
      <c r="M2237" s="711">
        <f t="shared" si="8919"/>
        <v>0</v>
      </c>
      <c r="N2237" s="896" t="str">
        <f t="shared" ref="N2237" si="9019">IFERROR((M2238/M2237),"-")</f>
        <v>-</v>
      </c>
      <c r="O2237" s="528"/>
      <c r="P2237" s="547">
        <v>0</v>
      </c>
      <c r="Q2237" s="547">
        <v>0</v>
      </c>
      <c r="R2237" s="547">
        <v>0</v>
      </c>
      <c r="S2237" s="547">
        <v>0</v>
      </c>
      <c r="T2237" s="547">
        <v>0</v>
      </c>
      <c r="U2237" s="547">
        <v>0</v>
      </c>
      <c r="V2237" s="548">
        <v>0</v>
      </c>
      <c r="W2237" s="528"/>
      <c r="X2237" s="711"/>
      <c r="Y2237" s="896" t="str">
        <f t="shared" ref="Y2237" si="9020">IFERROR((X2238/X2237),"-")</f>
        <v>-</v>
      </c>
      <c r="Z2237" s="528"/>
      <c r="AA2237" s="898">
        <v>0</v>
      </c>
      <c r="AB2237" s="898">
        <v>0</v>
      </c>
      <c r="AC2237" s="903">
        <v>25</v>
      </c>
      <c r="AD2237" s="896" t="str">
        <f t="shared" ref="AD2237" si="9021">IFERROR((AC2237/AB2237),"-")</f>
        <v>-</v>
      </c>
      <c r="AE2237" s="2"/>
      <c r="AF2237" s="884">
        <v>0</v>
      </c>
      <c r="AG2237" s="884"/>
      <c r="AH2237" s="884">
        <v>0</v>
      </c>
      <c r="AI2237" s="884"/>
      <c r="AJ2237" s="884"/>
      <c r="AK2237" s="884">
        <f t="shared" ref="AK2237" si="9022">AF2237+AG2237+AH2237+AI2237+AJ2237+AC2237</f>
        <v>25</v>
      </c>
      <c r="AL2237" s="884">
        <v>0</v>
      </c>
      <c r="AM2237" s="878" t="str">
        <f t="shared" ref="AM2237" si="9023">IFERROR((AK2237/AL2237),"-")</f>
        <v>-</v>
      </c>
      <c r="AN2237" s="2"/>
      <c r="AO2237" s="884">
        <v>42</v>
      </c>
      <c r="AP2237" s="884">
        <f t="shared" ref="AP2237" si="9024">AO2237-AK2237</f>
        <v>17</v>
      </c>
      <c r="AV2237" t="str">
        <f t="shared" si="8810"/>
        <v>Drenagem Superficial</v>
      </c>
      <c r="AW2237" s="4" t="str">
        <f t="shared" si="8808"/>
        <v xml:space="preserve">   Seg. 3.1-A08 - Drenagem Superficial - Valetas de proteção de aterro (Manual)</v>
      </c>
    </row>
    <row r="2238" spans="1:50" ht="18.399999999999999" hidden="1" customHeight="1" outlineLevel="2">
      <c r="A2238" s="8" t="str">
        <f t="shared" ref="A2238" si="9025">A2237</f>
        <v>S</v>
      </c>
      <c r="B2238" s="150"/>
      <c r="C2238" s="150" t="s">
        <v>2556</v>
      </c>
      <c r="D2238" s="120" t="s">
        <v>1317</v>
      </c>
      <c r="E2238" s="893"/>
      <c r="F2238" s="902"/>
      <c r="G2238" s="528"/>
      <c r="H2238" s="549" t="s">
        <v>38</v>
      </c>
      <c r="I2238" s="711">
        <v>0</v>
      </c>
      <c r="J2238" s="897"/>
      <c r="K2238" s="528"/>
      <c r="L2238" s="549" t="s">
        <v>38</v>
      </c>
      <c r="M2238" s="711">
        <f t="shared" si="8919"/>
        <v>25</v>
      </c>
      <c r="N2238" s="897"/>
      <c r="O2238" s="528"/>
      <c r="P2238" s="548">
        <v>0</v>
      </c>
      <c r="Q2238" s="548">
        <v>25</v>
      </c>
      <c r="R2238" s="548">
        <v>0</v>
      </c>
      <c r="S2238" s="548">
        <v>0</v>
      </c>
      <c r="T2238" s="548">
        <v>0</v>
      </c>
      <c r="U2238" s="548">
        <v>0</v>
      </c>
      <c r="V2238" s="548"/>
      <c r="W2238" s="528"/>
      <c r="X2238" s="711"/>
      <c r="Y2238" s="897"/>
      <c r="Z2238" s="528"/>
      <c r="AA2238" s="899"/>
      <c r="AB2238" s="899"/>
      <c r="AC2238" s="904"/>
      <c r="AD2238" s="905"/>
      <c r="AE2238" s="2"/>
      <c r="AF2238" s="885"/>
      <c r="AG2238" s="885"/>
      <c r="AH2238" s="885"/>
      <c r="AI2238" s="885"/>
      <c r="AJ2238" s="885"/>
      <c r="AK2238" s="885"/>
      <c r="AL2238" s="885"/>
      <c r="AM2238" s="879"/>
      <c r="AN2238" s="2"/>
      <c r="AO2238" s="886"/>
      <c r="AP2238" s="886"/>
      <c r="AV2238" t="str">
        <f t="shared" si="8810"/>
        <v>Drenagem Superficial</v>
      </c>
      <c r="AW2238" s="4" t="str">
        <f t="shared" si="8808"/>
        <v xml:space="preserve">   Seg. 3.1-A08 - Drenagem Superficial - Valetas de proteção de aterro (Manual)</v>
      </c>
    </row>
    <row r="2239" spans="1:50" ht="18.399999999999999" hidden="1" customHeight="1" outlineLevel="2" collapsed="1">
      <c r="A2239" s="8" t="str">
        <f t="shared" ref="A2239" si="9026">IF(SUM(P2239:V2240)&gt;0,"S","N")</f>
        <v>N</v>
      </c>
      <c r="B2239" s="150">
        <v>1064717</v>
      </c>
      <c r="C2239" s="150" t="s">
        <v>2558</v>
      </c>
      <c r="D2239" s="274" t="s">
        <v>2559</v>
      </c>
      <c r="E2239" s="892" t="s">
        <v>2560</v>
      </c>
      <c r="F2239" s="902" t="s">
        <v>52</v>
      </c>
      <c r="G2239" s="528"/>
      <c r="H2239" s="546" t="s">
        <v>37</v>
      </c>
      <c r="I2239" s="711">
        <v>0</v>
      </c>
      <c r="J2239" s="896" t="str">
        <f t="shared" ref="J2239" si="9027">IFERROR((I2240/I2239),"-")</f>
        <v>-</v>
      </c>
      <c r="K2239" s="528"/>
      <c r="L2239" s="546" t="s">
        <v>37</v>
      </c>
      <c r="M2239" s="711">
        <f t="shared" si="8919"/>
        <v>0</v>
      </c>
      <c r="N2239" s="896" t="str">
        <f>IFERROR((M2240/M2239),"-")</f>
        <v>-</v>
      </c>
      <c r="O2239" s="528"/>
      <c r="P2239" s="547">
        <v>0</v>
      </c>
      <c r="Q2239" s="547">
        <v>0</v>
      </c>
      <c r="R2239" s="547">
        <v>0</v>
      </c>
      <c r="S2239" s="547">
        <v>0</v>
      </c>
      <c r="T2239" s="547">
        <v>0</v>
      </c>
      <c r="U2239" s="547">
        <v>0</v>
      </c>
      <c r="V2239" s="548">
        <v>0</v>
      </c>
      <c r="W2239" s="528"/>
      <c r="X2239" s="711">
        <f t="shared" ref="X2239:X2288" si="9028">SUMIFS(P2239:V2239,$P$8:$V$8,"&gt;="&amp;$P$8,$P$8:$V$8,"&lt;="&amp;$N$8)</f>
        <v>0</v>
      </c>
      <c r="Y2239" s="896" t="str">
        <f t="shared" ref="Y2239" si="9029">IFERROR((X2240/X2239),"-")</f>
        <v>-</v>
      </c>
      <c r="Z2239" s="528"/>
      <c r="AA2239" s="898">
        <v>0</v>
      </c>
      <c r="AB2239" s="898">
        <v>0</v>
      </c>
      <c r="AC2239" s="903">
        <v>0</v>
      </c>
      <c r="AD2239" s="896" t="str">
        <f t="shared" ref="AD2239" si="9030">IFERROR((AC2239/AB2239),"-")</f>
        <v>-</v>
      </c>
      <c r="AE2239" s="2"/>
      <c r="AF2239" s="884">
        <v>0</v>
      </c>
      <c r="AG2239" s="884"/>
      <c r="AH2239" s="884">
        <v>0</v>
      </c>
      <c r="AI2239" s="884"/>
      <c r="AJ2239" s="884"/>
      <c r="AK2239" s="884">
        <f t="shared" ref="AK2239" si="9031">AF2239+AG2239+AH2239+AI2239+AJ2239+AC2239</f>
        <v>0</v>
      </c>
      <c r="AL2239" s="884">
        <v>0</v>
      </c>
      <c r="AM2239" s="878" t="str">
        <f t="shared" ref="AM2239" si="9032">IFERROR((AK2239/AL2239),"-")</f>
        <v>-</v>
      </c>
      <c r="AN2239" s="2"/>
      <c r="AO2239" s="884">
        <v>402</v>
      </c>
      <c r="AP2239" s="884">
        <f t="shared" ref="AP2239" si="9033">AO2239-AK2239</f>
        <v>402</v>
      </c>
      <c r="AV2239" t="str">
        <f t="shared" si="8810"/>
        <v>Drenagem Superficial</v>
      </c>
      <c r="AW2239" s="4" t="str">
        <f t="shared" si="8808"/>
        <v xml:space="preserve">   Seg. 3.1-A10 - Drenagem Superficial - Valetas de proteção de aterro (Extrusada)</v>
      </c>
      <c r="AX2239" s="4"/>
    </row>
    <row r="2240" spans="1:50" ht="18.399999999999999" hidden="1" customHeight="1" outlineLevel="2">
      <c r="A2240" s="8" t="str">
        <f t="shared" ref="A2240" si="9034">A2239</f>
        <v>N</v>
      </c>
      <c r="B2240" s="150"/>
      <c r="C2240" s="150" t="s">
        <v>2558</v>
      </c>
      <c r="D2240" s="274" t="s">
        <v>2559</v>
      </c>
      <c r="E2240" s="893"/>
      <c r="F2240" s="902"/>
      <c r="G2240" s="528"/>
      <c r="H2240" s="549" t="s">
        <v>38</v>
      </c>
      <c r="I2240" s="711">
        <v>0</v>
      </c>
      <c r="J2240" s="897"/>
      <c r="K2240" s="528"/>
      <c r="L2240" s="549" t="s">
        <v>38</v>
      </c>
      <c r="M2240" s="711">
        <f t="shared" si="8919"/>
        <v>0</v>
      </c>
      <c r="N2240" s="897"/>
      <c r="O2240" s="528"/>
      <c r="P2240" s="548">
        <v>0</v>
      </c>
      <c r="Q2240" s="548">
        <v>0</v>
      </c>
      <c r="R2240" s="548">
        <v>0</v>
      </c>
      <c r="S2240" s="548">
        <v>0</v>
      </c>
      <c r="T2240" s="548">
        <v>0</v>
      </c>
      <c r="U2240" s="548">
        <v>0</v>
      </c>
      <c r="V2240" s="548"/>
      <c r="W2240" s="528"/>
      <c r="X2240" s="711">
        <f t="shared" si="9028"/>
        <v>0</v>
      </c>
      <c r="Y2240" s="897"/>
      <c r="Z2240" s="528"/>
      <c r="AA2240" s="899"/>
      <c r="AB2240" s="899"/>
      <c r="AC2240" s="904"/>
      <c r="AD2240" s="905"/>
      <c r="AE2240" s="2"/>
      <c r="AF2240" s="885"/>
      <c r="AG2240" s="885"/>
      <c r="AH2240" s="885"/>
      <c r="AI2240" s="885"/>
      <c r="AJ2240" s="885"/>
      <c r="AK2240" s="885"/>
      <c r="AL2240" s="885"/>
      <c r="AM2240" s="879"/>
      <c r="AN2240" s="2"/>
      <c r="AO2240" s="886"/>
      <c r="AP2240" s="886"/>
      <c r="AV2240" t="str">
        <f t="shared" si="8810"/>
        <v>Drenagem Superficial</v>
      </c>
      <c r="AW2240" s="4" t="str">
        <f t="shared" si="8808"/>
        <v xml:space="preserve">   Seg. 3.1-A10 - Drenagem Superficial - Valetas de proteção de aterro (Extrusada)</v>
      </c>
    </row>
    <row r="2241" spans="1:49" ht="18.399999999999999" hidden="1" customHeight="1" outlineLevel="2">
      <c r="A2241" s="8" t="str">
        <f t="shared" ref="A2241" si="9035">IF(SUM(P2241:V2242)&gt;0,"S","N")</f>
        <v>N</v>
      </c>
      <c r="B2241" s="150">
        <v>1064974</v>
      </c>
      <c r="C2241" s="150" t="s">
        <v>2561</v>
      </c>
      <c r="D2241" s="120" t="s">
        <v>2562</v>
      </c>
      <c r="E2241" s="892" t="s">
        <v>2563</v>
      </c>
      <c r="F2241" s="902" t="s">
        <v>52</v>
      </c>
      <c r="G2241" s="528"/>
      <c r="H2241" s="546" t="s">
        <v>37</v>
      </c>
      <c r="I2241" s="711">
        <v>0</v>
      </c>
      <c r="J2241" s="896" t="str">
        <f t="shared" ref="J2241" si="9036">IFERROR((I2242/I2241),"-")</f>
        <v>-</v>
      </c>
      <c r="K2241" s="528"/>
      <c r="L2241" s="546" t="s">
        <v>37</v>
      </c>
      <c r="M2241" s="711">
        <f t="shared" si="8919"/>
        <v>0</v>
      </c>
      <c r="N2241" s="896" t="str">
        <f>IFERROR((M2242/M2241),"-")</f>
        <v>-</v>
      </c>
      <c r="O2241" s="528"/>
      <c r="P2241" s="547">
        <v>0</v>
      </c>
      <c r="Q2241" s="547">
        <v>0</v>
      </c>
      <c r="R2241" s="547">
        <v>0</v>
      </c>
      <c r="S2241" s="547">
        <v>0</v>
      </c>
      <c r="T2241" s="547">
        <v>0</v>
      </c>
      <c r="U2241" s="547">
        <v>0</v>
      </c>
      <c r="V2241" s="548">
        <v>0</v>
      </c>
      <c r="W2241" s="528"/>
      <c r="X2241" s="711">
        <f t="shared" si="9028"/>
        <v>0</v>
      </c>
      <c r="Y2241" s="896" t="str">
        <f t="shared" ref="Y2241" si="9037">IFERROR((X2242/X2241),"-")</f>
        <v>-</v>
      </c>
      <c r="Z2241" s="528"/>
      <c r="AA2241" s="898">
        <v>281.06</v>
      </c>
      <c r="AB2241" s="898">
        <v>281.06</v>
      </c>
      <c r="AC2241" s="903">
        <v>340</v>
      </c>
      <c r="AD2241" s="896">
        <f t="shared" ref="AD2241" si="9038">IFERROR((AC2241/AB2241),"-")</f>
        <v>1.2097061125738275</v>
      </c>
      <c r="AE2241" s="2"/>
      <c r="AF2241" s="884">
        <v>0</v>
      </c>
      <c r="AG2241" s="884"/>
      <c r="AH2241" s="884">
        <v>300</v>
      </c>
      <c r="AI2241" s="884"/>
      <c r="AJ2241" s="884">
        <v>341.18299999999999</v>
      </c>
      <c r="AK2241" s="884">
        <f t="shared" ref="AK2241" si="9039">AF2241+AG2241+AH2241+AI2241+AJ2241+AC2241</f>
        <v>981.18299999999999</v>
      </c>
      <c r="AL2241" s="884">
        <v>819.75000000000011</v>
      </c>
      <c r="AM2241" s="878">
        <f t="shared" ref="AM2241" si="9040">IFERROR((AK2241/AL2241),"-")</f>
        <v>1.1969295516925891</v>
      </c>
      <c r="AN2241" s="2"/>
      <c r="AO2241" s="884">
        <v>1939</v>
      </c>
      <c r="AP2241" s="884">
        <f t="shared" ref="AP2241" si="9041">AO2241-AK2241</f>
        <v>957.81700000000001</v>
      </c>
      <c r="AV2241" t="str">
        <f t="shared" si="8810"/>
        <v>Drenagem Superficial</v>
      </c>
      <c r="AW2241" s="4" t="str">
        <f t="shared" si="8808"/>
        <v xml:space="preserve">   Seg. 3.1-Acesso A02 - Drenagem Superficial - Valetas de proteção de corte (Manual)</v>
      </c>
    </row>
    <row r="2242" spans="1:49" ht="18.399999999999999" hidden="1" customHeight="1" outlineLevel="2">
      <c r="A2242" s="8" t="str">
        <f t="shared" ref="A2242" si="9042">A2241</f>
        <v>N</v>
      </c>
      <c r="B2242" s="150"/>
      <c r="C2242" s="150" t="s">
        <v>2561</v>
      </c>
      <c r="D2242" s="120" t="s">
        <v>2562</v>
      </c>
      <c r="E2242" s="893"/>
      <c r="F2242" s="902"/>
      <c r="G2242" s="528"/>
      <c r="H2242" s="549" t="s">
        <v>38</v>
      </c>
      <c r="I2242" s="711">
        <v>140</v>
      </c>
      <c r="J2242" s="897"/>
      <c r="K2242" s="528"/>
      <c r="L2242" s="549" t="s">
        <v>38</v>
      </c>
      <c r="M2242" s="711">
        <f t="shared" si="8919"/>
        <v>0</v>
      </c>
      <c r="N2242" s="897"/>
      <c r="O2242" s="528"/>
      <c r="P2242" s="548">
        <v>0</v>
      </c>
      <c r="Q2242" s="548">
        <v>0</v>
      </c>
      <c r="R2242" s="548">
        <v>0</v>
      </c>
      <c r="S2242" s="548">
        <v>0</v>
      </c>
      <c r="T2242" s="581">
        <v>0</v>
      </c>
      <c r="U2242" s="548">
        <v>0</v>
      </c>
      <c r="V2242" s="548"/>
      <c r="W2242" s="528"/>
      <c r="X2242" s="711">
        <f t="shared" si="9028"/>
        <v>0</v>
      </c>
      <c r="Y2242" s="897"/>
      <c r="Z2242" s="528"/>
      <c r="AA2242" s="899"/>
      <c r="AB2242" s="899"/>
      <c r="AC2242" s="904"/>
      <c r="AD2242" s="905"/>
      <c r="AE2242" s="2"/>
      <c r="AF2242" s="885"/>
      <c r="AG2242" s="885"/>
      <c r="AH2242" s="885"/>
      <c r="AI2242" s="885"/>
      <c r="AJ2242" s="885"/>
      <c r="AK2242" s="885"/>
      <c r="AL2242" s="885"/>
      <c r="AM2242" s="879"/>
      <c r="AN2242" s="2"/>
      <c r="AO2242" s="886"/>
      <c r="AP2242" s="886"/>
      <c r="AV2242" t="str">
        <f t="shared" si="8810"/>
        <v>Drenagem Superficial</v>
      </c>
      <c r="AW2242" s="4" t="str">
        <f t="shared" si="8808"/>
        <v xml:space="preserve">   Seg. 3.1-Acesso A02 - Drenagem Superficial - Valetas de proteção de corte (Manual)</v>
      </c>
    </row>
    <row r="2243" spans="1:49" ht="18.399999999999999" hidden="1" customHeight="1" outlineLevel="2">
      <c r="A2243" s="209" t="str">
        <f t="shared" ref="A2243" si="9043">IF(SUM(P2243:V2244)&gt;0,"S","N")</f>
        <v>N</v>
      </c>
      <c r="B2243" s="150">
        <v>1064979</v>
      </c>
      <c r="C2243" s="150" t="s">
        <v>2564</v>
      </c>
      <c r="D2243" s="120" t="s">
        <v>2565</v>
      </c>
      <c r="E2243" s="892" t="s">
        <v>2566</v>
      </c>
      <c r="F2243" s="902" t="s">
        <v>52</v>
      </c>
      <c r="G2243" s="528"/>
      <c r="H2243" s="546" t="s">
        <v>37</v>
      </c>
      <c r="I2243" s="711">
        <v>0</v>
      </c>
      <c r="J2243" s="896" t="str">
        <f t="shared" ref="J2243" si="9044">IFERROR((I2244/I2243),"-")</f>
        <v>-</v>
      </c>
      <c r="K2243" s="528"/>
      <c r="L2243" s="546" t="s">
        <v>37</v>
      </c>
      <c r="M2243" s="711">
        <f t="shared" si="8919"/>
        <v>0</v>
      </c>
      <c r="N2243" s="896" t="str">
        <f>IFERROR((M2244/M2243),"-")</f>
        <v>-</v>
      </c>
      <c r="O2243" s="528"/>
      <c r="P2243" s="547">
        <v>0</v>
      </c>
      <c r="Q2243" s="547">
        <v>0</v>
      </c>
      <c r="R2243" s="547">
        <v>0</v>
      </c>
      <c r="S2243" s="547">
        <v>0</v>
      </c>
      <c r="T2243" s="547">
        <v>0</v>
      </c>
      <c r="U2243" s="547">
        <v>0</v>
      </c>
      <c r="V2243" s="548">
        <v>0</v>
      </c>
      <c r="W2243" s="528"/>
      <c r="X2243" s="711">
        <f t="shared" si="9028"/>
        <v>0</v>
      </c>
      <c r="Y2243" s="896" t="str">
        <f t="shared" ref="Y2243" si="9045">IFERROR((X2244/X2243),"-")</f>
        <v>-</v>
      </c>
      <c r="Z2243" s="528"/>
      <c r="AA2243" s="898">
        <v>0</v>
      </c>
      <c r="AB2243" s="898">
        <v>0</v>
      </c>
      <c r="AC2243" s="903">
        <v>0</v>
      </c>
      <c r="AD2243" s="896" t="str">
        <f t="shared" ref="AD2243" si="9046">IFERROR((AC2243/AB2243),"-")</f>
        <v>-</v>
      </c>
      <c r="AE2243" s="2"/>
      <c r="AF2243" s="884">
        <v>0</v>
      </c>
      <c r="AG2243" s="884"/>
      <c r="AH2243" s="884">
        <v>0</v>
      </c>
      <c r="AI2243" s="884"/>
      <c r="AJ2243" s="884">
        <v>493.83100000000002</v>
      </c>
      <c r="AK2243" s="884">
        <f t="shared" ref="AK2243" si="9047">AF2243+AG2243+AH2243+AI2243+AJ2243+AC2243</f>
        <v>493.83100000000002</v>
      </c>
      <c r="AL2243" s="884">
        <v>516</v>
      </c>
      <c r="AM2243" s="878">
        <f t="shared" ref="AM2243" si="9048">IFERROR((AK2243/AL2243),"-")</f>
        <v>0.95703682170542637</v>
      </c>
      <c r="AN2243" s="2"/>
      <c r="AO2243" s="884">
        <v>516</v>
      </c>
      <c r="AP2243" s="884">
        <f t="shared" ref="AP2243" si="9049">AO2243-AK2243</f>
        <v>22.168999999999983</v>
      </c>
      <c r="AV2243" t="str">
        <f t="shared" si="8810"/>
        <v>Drenagem Superficial</v>
      </c>
      <c r="AW2243" s="4" t="str">
        <f t="shared" si="8808"/>
        <v xml:space="preserve">   Seg. 3.1-Acesso C03 - Drenagem Superficial - Valetas de proteção de corte (Manual)</v>
      </c>
    </row>
    <row r="2244" spans="1:49" ht="18.399999999999999" hidden="1" customHeight="1" outlineLevel="2">
      <c r="A2244" s="209" t="str">
        <f t="shared" ref="A2244" si="9050">A2243</f>
        <v>N</v>
      </c>
      <c r="B2244" s="150"/>
      <c r="C2244" s="150" t="s">
        <v>2564</v>
      </c>
      <c r="D2244" s="120" t="s">
        <v>2565</v>
      </c>
      <c r="E2244" s="893"/>
      <c r="F2244" s="902"/>
      <c r="G2244" s="528"/>
      <c r="H2244" s="549" t="s">
        <v>38</v>
      </c>
      <c r="I2244" s="711">
        <v>0</v>
      </c>
      <c r="J2244" s="897"/>
      <c r="K2244" s="528"/>
      <c r="L2244" s="549" t="s">
        <v>38</v>
      </c>
      <c r="M2244" s="711">
        <f t="shared" si="8919"/>
        <v>0</v>
      </c>
      <c r="N2244" s="897"/>
      <c r="O2244" s="528"/>
      <c r="P2244" s="548">
        <v>0</v>
      </c>
      <c r="Q2244" s="548">
        <v>0</v>
      </c>
      <c r="R2244" s="548">
        <v>0</v>
      </c>
      <c r="S2244" s="548">
        <v>0</v>
      </c>
      <c r="T2244" s="548">
        <v>0</v>
      </c>
      <c r="U2244" s="548">
        <v>0</v>
      </c>
      <c r="V2244" s="548"/>
      <c r="W2244" s="528"/>
      <c r="X2244" s="711">
        <f t="shared" si="9028"/>
        <v>0</v>
      </c>
      <c r="Y2244" s="897"/>
      <c r="Z2244" s="528"/>
      <c r="AA2244" s="899"/>
      <c r="AB2244" s="899"/>
      <c r="AC2244" s="904"/>
      <c r="AD2244" s="905"/>
      <c r="AE2244" s="2"/>
      <c r="AF2244" s="885"/>
      <c r="AG2244" s="885"/>
      <c r="AH2244" s="885"/>
      <c r="AI2244" s="885"/>
      <c r="AJ2244" s="885"/>
      <c r="AK2244" s="885"/>
      <c r="AL2244" s="885"/>
      <c r="AM2244" s="879"/>
      <c r="AN2244" s="2"/>
      <c r="AO2244" s="886"/>
      <c r="AP2244" s="886"/>
      <c r="AV2244" t="str">
        <f t="shared" si="8810"/>
        <v>Drenagem Superficial</v>
      </c>
      <c r="AW2244" s="4" t="str">
        <f t="shared" si="8808"/>
        <v xml:space="preserve">   Seg. 3.1-Acesso C03 - Drenagem Superficial - Valetas de proteção de corte (Manual)</v>
      </c>
    </row>
    <row r="2245" spans="1:49" ht="18.399999999999999" hidden="1" customHeight="1" outlineLevel="2">
      <c r="A2245" s="8" t="str">
        <f t="shared" ref="A2245" si="9051">IF(SUM(P2245:V2246)&gt;0,"S","N")</f>
        <v>N</v>
      </c>
      <c r="B2245" s="150">
        <v>1064988</v>
      </c>
      <c r="C2245" s="150" t="s">
        <v>2567</v>
      </c>
      <c r="D2245" s="120" t="s">
        <v>2077</v>
      </c>
      <c r="E2245" s="892" t="s">
        <v>2568</v>
      </c>
      <c r="F2245" s="902" t="s">
        <v>52</v>
      </c>
      <c r="G2245" s="528"/>
      <c r="H2245" s="546" t="s">
        <v>37</v>
      </c>
      <c r="I2245" s="711">
        <v>0</v>
      </c>
      <c r="J2245" s="896" t="str">
        <f t="shared" ref="J2245" si="9052">IFERROR((I2246/I2245),"-")</f>
        <v>-</v>
      </c>
      <c r="K2245" s="528"/>
      <c r="L2245" s="546" t="s">
        <v>37</v>
      </c>
      <c r="M2245" s="711">
        <f t="shared" si="8919"/>
        <v>0</v>
      </c>
      <c r="N2245" s="896" t="str">
        <f>IFERROR((M2246/M2245),"-")</f>
        <v>-</v>
      </c>
      <c r="O2245" s="528"/>
      <c r="P2245" s="547">
        <v>0</v>
      </c>
      <c r="Q2245" s="547">
        <v>0</v>
      </c>
      <c r="R2245" s="547">
        <v>0</v>
      </c>
      <c r="S2245" s="547">
        <v>0</v>
      </c>
      <c r="T2245" s="547">
        <v>0</v>
      </c>
      <c r="U2245" s="547">
        <v>0</v>
      </c>
      <c r="V2245" s="548">
        <v>0</v>
      </c>
      <c r="W2245" s="528"/>
      <c r="X2245" s="711">
        <f t="shared" si="9028"/>
        <v>0</v>
      </c>
      <c r="Y2245" s="896" t="str">
        <f t="shared" ref="Y2245" si="9053">IFERROR((X2246/X2245),"-")</f>
        <v>-</v>
      </c>
      <c r="Z2245" s="528"/>
      <c r="AA2245" s="898">
        <v>0</v>
      </c>
      <c r="AB2245" s="898">
        <v>0</v>
      </c>
      <c r="AC2245" s="903">
        <v>0</v>
      </c>
      <c r="AD2245" s="896" t="str">
        <f t="shared" ref="AD2245" si="9054">IFERROR((AC2245/AB2245),"-")</f>
        <v>-</v>
      </c>
      <c r="AE2245" s="2"/>
      <c r="AF2245" s="884">
        <v>0</v>
      </c>
      <c r="AG2245" s="884"/>
      <c r="AH2245" s="884">
        <v>0</v>
      </c>
      <c r="AI2245" s="884"/>
      <c r="AJ2245" s="884"/>
      <c r="AK2245" s="884">
        <f t="shared" ref="AK2245" si="9055">AF2245+AG2245+AH2245+AI2245+AJ2245+AC2245</f>
        <v>0</v>
      </c>
      <c r="AL2245" s="884">
        <v>0</v>
      </c>
      <c r="AM2245" s="878" t="str">
        <f t="shared" ref="AM2245" si="9056">IFERROR((AK2245/AL2245),"-")</f>
        <v>-</v>
      </c>
      <c r="AN2245" s="2"/>
      <c r="AO2245" s="884">
        <v>185</v>
      </c>
      <c r="AP2245" s="884">
        <f t="shared" ref="AP2245" si="9057">AO2245-AK2245</f>
        <v>185</v>
      </c>
      <c r="AV2245" t="str">
        <f t="shared" si="8810"/>
        <v>Drenagem Superficial</v>
      </c>
      <c r="AW2245" s="4" t="str">
        <f t="shared" si="8808"/>
        <v xml:space="preserve">   Seg. 3.1-ADME 04 - Drenagem Superficial - Valetas de proteção de aterro (Manual)</v>
      </c>
    </row>
    <row r="2246" spans="1:49" ht="18.399999999999999" hidden="1" customHeight="1" outlineLevel="2">
      <c r="A2246" s="8" t="str">
        <f t="shared" ref="A2246" si="9058">A2245</f>
        <v>N</v>
      </c>
      <c r="B2246" s="150"/>
      <c r="C2246" s="150" t="s">
        <v>2567</v>
      </c>
      <c r="D2246" s="120" t="s">
        <v>2077</v>
      </c>
      <c r="E2246" s="893"/>
      <c r="F2246" s="902"/>
      <c r="G2246" s="528"/>
      <c r="H2246" s="549" t="s">
        <v>38</v>
      </c>
      <c r="I2246" s="711">
        <v>0</v>
      </c>
      <c r="J2246" s="897"/>
      <c r="K2246" s="528"/>
      <c r="L2246" s="549" t="s">
        <v>38</v>
      </c>
      <c r="M2246" s="711">
        <f t="shared" si="8919"/>
        <v>0</v>
      </c>
      <c r="N2246" s="897"/>
      <c r="O2246" s="528"/>
      <c r="P2246" s="548">
        <v>0</v>
      </c>
      <c r="Q2246" s="548">
        <v>0</v>
      </c>
      <c r="R2246" s="548">
        <v>0</v>
      </c>
      <c r="S2246" s="548">
        <v>0</v>
      </c>
      <c r="T2246" s="548">
        <v>0</v>
      </c>
      <c r="U2246" s="548">
        <v>0</v>
      </c>
      <c r="V2246" s="548"/>
      <c r="W2246" s="528"/>
      <c r="X2246" s="711">
        <f t="shared" si="9028"/>
        <v>0</v>
      </c>
      <c r="Y2246" s="897"/>
      <c r="Z2246" s="528"/>
      <c r="AA2246" s="899"/>
      <c r="AB2246" s="899"/>
      <c r="AC2246" s="904"/>
      <c r="AD2246" s="905"/>
      <c r="AE2246" s="2"/>
      <c r="AF2246" s="885"/>
      <c r="AG2246" s="885"/>
      <c r="AH2246" s="885"/>
      <c r="AI2246" s="885"/>
      <c r="AJ2246" s="885"/>
      <c r="AK2246" s="885"/>
      <c r="AL2246" s="885"/>
      <c r="AM2246" s="879"/>
      <c r="AN2246" s="2"/>
      <c r="AO2246" s="886"/>
      <c r="AP2246" s="886"/>
      <c r="AV2246" t="str">
        <f t="shared" si="8810"/>
        <v>Drenagem Superficial</v>
      </c>
      <c r="AW2246" s="4" t="str">
        <f t="shared" si="8808"/>
        <v xml:space="preserve">   Seg. 3.1-ADME 04 - Drenagem Superficial - Valetas de proteção de aterro (Manual)</v>
      </c>
    </row>
    <row r="2247" spans="1:49" ht="18.399999999999999" hidden="1" customHeight="1" outlineLevel="2">
      <c r="A2247" s="8" t="str">
        <f t="shared" ref="A2247" si="9059">IF(SUM(P2247:V2248)&gt;0,"S","N")</f>
        <v>N</v>
      </c>
      <c r="B2247" s="150">
        <v>1064993</v>
      </c>
      <c r="C2247" s="150" t="s">
        <v>2569</v>
      </c>
      <c r="D2247" s="120" t="s">
        <v>2061</v>
      </c>
      <c r="E2247" s="892" t="s">
        <v>2570</v>
      </c>
      <c r="F2247" s="902" t="s">
        <v>52</v>
      </c>
      <c r="G2247" s="528"/>
      <c r="H2247" s="546" t="s">
        <v>37</v>
      </c>
      <c r="I2247" s="711">
        <v>0</v>
      </c>
      <c r="J2247" s="896" t="str">
        <f t="shared" ref="J2247" si="9060">IFERROR((I2248/I2247),"-")</f>
        <v>-</v>
      </c>
      <c r="K2247" s="528"/>
      <c r="L2247" s="546" t="s">
        <v>37</v>
      </c>
      <c r="M2247" s="711">
        <f t="shared" si="8919"/>
        <v>0</v>
      </c>
      <c r="N2247" s="896" t="str">
        <f>IFERROR((M2248/M2247),"-")</f>
        <v>-</v>
      </c>
      <c r="O2247" s="528"/>
      <c r="P2247" s="547">
        <v>0</v>
      </c>
      <c r="Q2247" s="547">
        <v>0</v>
      </c>
      <c r="R2247" s="547">
        <v>0</v>
      </c>
      <c r="S2247" s="547">
        <v>0</v>
      </c>
      <c r="T2247" s="547">
        <v>0</v>
      </c>
      <c r="U2247" s="547">
        <v>0</v>
      </c>
      <c r="V2247" s="548">
        <v>0</v>
      </c>
      <c r="W2247" s="528"/>
      <c r="X2247" s="711">
        <f t="shared" si="9028"/>
        <v>0</v>
      </c>
      <c r="Y2247" s="896" t="str">
        <f t="shared" ref="Y2247" si="9061">IFERROR((X2248/X2247),"-")</f>
        <v>-</v>
      </c>
      <c r="Z2247" s="528"/>
      <c r="AA2247" s="898">
        <v>0</v>
      </c>
      <c r="AB2247" s="898">
        <v>0</v>
      </c>
      <c r="AC2247" s="903">
        <v>0</v>
      </c>
      <c r="AD2247" s="896" t="str">
        <f t="shared" ref="AD2247" si="9062">IFERROR((AC2247/AB2247),"-")</f>
        <v>-</v>
      </c>
      <c r="AE2247" s="2"/>
      <c r="AF2247" s="884">
        <v>0</v>
      </c>
      <c r="AG2247" s="884"/>
      <c r="AH2247" s="884">
        <v>0</v>
      </c>
      <c r="AI2247" s="884"/>
      <c r="AJ2247" s="884"/>
      <c r="AK2247" s="884">
        <f t="shared" ref="AK2247" si="9063">AF2247+AG2247+AH2247+AI2247+AJ2247+AC2247</f>
        <v>0</v>
      </c>
      <c r="AL2247" s="884">
        <v>0</v>
      </c>
      <c r="AM2247" s="878" t="str">
        <f t="shared" ref="AM2247" si="9064">IFERROR((AK2247/AL2247),"-")</f>
        <v>-</v>
      </c>
      <c r="AN2247" s="2"/>
      <c r="AO2247" s="884">
        <v>325</v>
      </c>
      <c r="AP2247" s="884">
        <f t="shared" ref="AP2247" si="9065">AO2247-AK2247</f>
        <v>325</v>
      </c>
      <c r="AV2247" t="str">
        <f t="shared" si="8810"/>
        <v>Drenagem Superficial</v>
      </c>
      <c r="AW2247" s="4" t="str">
        <f t="shared" si="8808"/>
        <v xml:space="preserve">   Seg. 3.1-ADME 05 - Drenagem Superficial - Valetas de proteção de aterro (Manual)</v>
      </c>
    </row>
    <row r="2248" spans="1:49" ht="18.399999999999999" hidden="1" customHeight="1" outlineLevel="2">
      <c r="A2248" s="8" t="str">
        <f t="shared" ref="A2248" si="9066">A2247</f>
        <v>N</v>
      </c>
      <c r="B2248" s="150"/>
      <c r="C2248" s="150" t="s">
        <v>2569</v>
      </c>
      <c r="D2248" s="120" t="s">
        <v>2061</v>
      </c>
      <c r="E2248" s="893"/>
      <c r="F2248" s="902"/>
      <c r="G2248" s="528"/>
      <c r="H2248" s="549" t="s">
        <v>38</v>
      </c>
      <c r="I2248" s="711">
        <v>0</v>
      </c>
      <c r="J2248" s="897"/>
      <c r="K2248" s="528"/>
      <c r="L2248" s="549" t="s">
        <v>38</v>
      </c>
      <c r="M2248" s="711">
        <f t="shared" si="8919"/>
        <v>0</v>
      </c>
      <c r="N2248" s="897"/>
      <c r="O2248" s="528"/>
      <c r="P2248" s="548">
        <v>0</v>
      </c>
      <c r="Q2248" s="548">
        <v>0</v>
      </c>
      <c r="R2248" s="548">
        <v>0</v>
      </c>
      <c r="S2248" s="548">
        <v>0</v>
      </c>
      <c r="T2248" s="548">
        <v>0</v>
      </c>
      <c r="U2248" s="548">
        <v>0</v>
      </c>
      <c r="V2248" s="548"/>
      <c r="W2248" s="528"/>
      <c r="X2248" s="711">
        <f t="shared" si="9028"/>
        <v>0</v>
      </c>
      <c r="Y2248" s="897"/>
      <c r="Z2248" s="528"/>
      <c r="AA2248" s="899"/>
      <c r="AB2248" s="899"/>
      <c r="AC2248" s="904"/>
      <c r="AD2248" s="905"/>
      <c r="AE2248" s="2"/>
      <c r="AF2248" s="885"/>
      <c r="AG2248" s="885"/>
      <c r="AH2248" s="885"/>
      <c r="AI2248" s="885"/>
      <c r="AJ2248" s="885"/>
      <c r="AK2248" s="885"/>
      <c r="AL2248" s="885"/>
      <c r="AM2248" s="879"/>
      <c r="AN2248" s="2"/>
      <c r="AO2248" s="886"/>
      <c r="AP2248" s="886"/>
      <c r="AV2248" t="str">
        <f t="shared" si="8810"/>
        <v>Drenagem Superficial</v>
      </c>
      <c r="AW2248" s="4" t="str">
        <f t="shared" si="8808"/>
        <v xml:space="preserve">   Seg. 3.1-ADME 05 - Drenagem Superficial - Valetas de proteção de aterro (Manual)</v>
      </c>
    </row>
    <row r="2249" spans="1:49" ht="18.399999999999999" hidden="1" customHeight="1" outlineLevel="2">
      <c r="A2249" s="8" t="str">
        <f t="shared" ref="A2249" si="9067">IF(SUM(P2249:V2250)&gt;0,"S","N")</f>
        <v>N</v>
      </c>
      <c r="B2249" s="150">
        <v>1069344</v>
      </c>
      <c r="C2249" s="150" t="s">
        <v>2571</v>
      </c>
      <c r="D2249" s="120" t="s">
        <v>2572</v>
      </c>
      <c r="E2249" s="892" t="s">
        <v>2573</v>
      </c>
      <c r="F2249" s="902" t="s">
        <v>52</v>
      </c>
      <c r="G2249" s="528"/>
      <c r="H2249" s="546" t="s">
        <v>37</v>
      </c>
      <c r="I2249" s="711">
        <v>0</v>
      </c>
      <c r="J2249" s="896" t="str">
        <f t="shared" ref="J2249" si="9068">IFERROR((I2250/I2249),"-")</f>
        <v>-</v>
      </c>
      <c r="K2249" s="528"/>
      <c r="L2249" s="546" t="s">
        <v>37</v>
      </c>
      <c r="M2249" s="711">
        <f t="shared" si="8919"/>
        <v>0</v>
      </c>
      <c r="N2249" s="896" t="str">
        <f>IFERROR((M2250/M2249),"-")</f>
        <v>-</v>
      </c>
      <c r="O2249" s="528"/>
      <c r="P2249" s="547">
        <v>0</v>
      </c>
      <c r="Q2249" s="547">
        <v>0</v>
      </c>
      <c r="R2249" s="547">
        <v>0</v>
      </c>
      <c r="S2249" s="547">
        <v>0</v>
      </c>
      <c r="T2249" s="547">
        <v>0</v>
      </c>
      <c r="U2249" s="547">
        <v>0</v>
      </c>
      <c r="V2249" s="548">
        <v>0</v>
      </c>
      <c r="W2249" s="528"/>
      <c r="X2249" s="711">
        <f t="shared" si="9028"/>
        <v>0</v>
      </c>
      <c r="Y2249" s="896" t="str">
        <f t="shared" ref="Y2249" si="9069">IFERROR((X2250/X2249),"-")</f>
        <v>-</v>
      </c>
      <c r="Z2249" s="528"/>
      <c r="AA2249" s="898">
        <v>0</v>
      </c>
      <c r="AB2249" s="898">
        <v>0</v>
      </c>
      <c r="AC2249" s="903">
        <v>0</v>
      </c>
      <c r="AD2249" s="896" t="str">
        <f t="shared" ref="AD2249" si="9070">IFERROR((AC2249/AB2249),"-")</f>
        <v>-</v>
      </c>
      <c r="AE2249" s="2"/>
      <c r="AF2249" s="884">
        <v>0</v>
      </c>
      <c r="AG2249" s="884"/>
      <c r="AH2249" s="884">
        <v>0</v>
      </c>
      <c r="AI2249" s="884"/>
      <c r="AJ2249" s="884">
        <v>375.358</v>
      </c>
      <c r="AK2249" s="884">
        <f t="shared" ref="AK2249" si="9071">AF2249+AG2249+AH2249+AI2249+AJ2249+AC2249</f>
        <v>375.358</v>
      </c>
      <c r="AL2249" s="884">
        <v>743.25</v>
      </c>
      <c r="AM2249" s="878">
        <f t="shared" ref="AM2249" si="9072">IFERROR((AK2249/AL2249),"-")</f>
        <v>0.50502253615876225</v>
      </c>
      <c r="AN2249" s="2"/>
      <c r="AO2249" s="884">
        <v>659</v>
      </c>
      <c r="AP2249" s="884">
        <f t="shared" ref="AP2249" si="9073">AO2249-AK2249</f>
        <v>283.642</v>
      </c>
      <c r="AV2249" t="str">
        <f t="shared" si="8810"/>
        <v>Drenagem Superficial</v>
      </c>
      <c r="AW2249" s="4" t="str">
        <f t="shared" ref="AW2249:AW2312" si="9074">IF(E2249&lt;&gt;"",E2249,AW2248)</f>
        <v xml:space="preserve">   Seg. 3.1-C03 - Drenagem Superficial - Valetas de proteção de corte (Extrusada)</v>
      </c>
    </row>
    <row r="2250" spans="1:49" ht="18.399999999999999" hidden="1" customHeight="1" outlineLevel="2">
      <c r="A2250" s="8" t="str">
        <f t="shared" ref="A2250" si="9075">A2249</f>
        <v>N</v>
      </c>
      <c r="B2250" s="150"/>
      <c r="C2250" s="150" t="s">
        <v>2571</v>
      </c>
      <c r="D2250" s="120" t="s">
        <v>2572</v>
      </c>
      <c r="E2250" s="893"/>
      <c r="F2250" s="902"/>
      <c r="G2250" s="528"/>
      <c r="H2250" s="549" t="s">
        <v>38</v>
      </c>
      <c r="I2250" s="711">
        <v>0</v>
      </c>
      <c r="J2250" s="897"/>
      <c r="K2250" s="528"/>
      <c r="L2250" s="549" t="s">
        <v>38</v>
      </c>
      <c r="M2250" s="711">
        <f t="shared" si="8919"/>
        <v>0</v>
      </c>
      <c r="N2250" s="897"/>
      <c r="O2250" s="528"/>
      <c r="P2250" s="548">
        <v>0</v>
      </c>
      <c r="Q2250" s="548">
        <v>0</v>
      </c>
      <c r="R2250" s="548">
        <v>0</v>
      </c>
      <c r="S2250" s="548">
        <v>0</v>
      </c>
      <c r="T2250" s="548">
        <v>0</v>
      </c>
      <c r="U2250" s="548">
        <v>0</v>
      </c>
      <c r="V2250" s="548"/>
      <c r="W2250" s="528"/>
      <c r="X2250" s="711">
        <f t="shared" si="9028"/>
        <v>0</v>
      </c>
      <c r="Y2250" s="897"/>
      <c r="Z2250" s="528"/>
      <c r="AA2250" s="899"/>
      <c r="AB2250" s="899"/>
      <c r="AC2250" s="904"/>
      <c r="AD2250" s="905"/>
      <c r="AE2250" s="2"/>
      <c r="AF2250" s="885"/>
      <c r="AG2250" s="885"/>
      <c r="AH2250" s="885"/>
      <c r="AI2250" s="885"/>
      <c r="AJ2250" s="885"/>
      <c r="AK2250" s="885"/>
      <c r="AL2250" s="885"/>
      <c r="AM2250" s="879"/>
      <c r="AN2250" s="2"/>
      <c r="AO2250" s="886"/>
      <c r="AP2250" s="886"/>
      <c r="AV2250" t="str">
        <f t="shared" ref="AV2250:AV2313" si="9076">IF(AX2250="Y",LEFT(E2250,20),IF(AX2250="x",E2250,AV2249))</f>
        <v>Drenagem Superficial</v>
      </c>
      <c r="AW2250" s="4" t="str">
        <f t="shared" si="9074"/>
        <v xml:space="preserve">   Seg. 3.1-C03 - Drenagem Superficial - Valetas de proteção de corte (Extrusada)</v>
      </c>
    </row>
    <row r="2251" spans="1:49" ht="18.399999999999999" hidden="1" customHeight="1" outlineLevel="2">
      <c r="A2251" s="8" t="str">
        <f t="shared" ref="A2251" si="9077">IF(SUM(P2251:V2252)&gt;0,"S","N")</f>
        <v>N</v>
      </c>
      <c r="B2251" s="150">
        <v>1069348</v>
      </c>
      <c r="C2251" s="150" t="s">
        <v>2574</v>
      </c>
      <c r="D2251" s="120" t="s">
        <v>566</v>
      </c>
      <c r="E2251" s="892" t="s">
        <v>2575</v>
      </c>
      <c r="F2251" s="902" t="s">
        <v>52</v>
      </c>
      <c r="G2251" s="528"/>
      <c r="H2251" s="546" t="s">
        <v>37</v>
      </c>
      <c r="I2251" s="711">
        <v>0</v>
      </c>
      <c r="J2251" s="896" t="str">
        <f t="shared" ref="J2251" si="9078">IFERROR((I2252/I2251),"-")</f>
        <v>-</v>
      </c>
      <c r="K2251" s="528"/>
      <c r="L2251" s="546" t="s">
        <v>37</v>
      </c>
      <c r="M2251" s="711">
        <f t="shared" si="8919"/>
        <v>0</v>
      </c>
      <c r="N2251" s="896" t="str">
        <f>IFERROR((M2252/M2251),"-")</f>
        <v>-</v>
      </c>
      <c r="O2251" s="528"/>
      <c r="P2251" s="547">
        <v>0</v>
      </c>
      <c r="Q2251" s="547">
        <v>0</v>
      </c>
      <c r="R2251" s="547">
        <v>0</v>
      </c>
      <c r="S2251" s="547">
        <v>0</v>
      </c>
      <c r="T2251" s="547">
        <v>0</v>
      </c>
      <c r="U2251" s="547">
        <v>0</v>
      </c>
      <c r="V2251" s="548">
        <v>0</v>
      </c>
      <c r="W2251" s="528"/>
      <c r="X2251" s="711">
        <f t="shared" si="9028"/>
        <v>0</v>
      </c>
      <c r="Y2251" s="896" t="str">
        <f t="shared" ref="Y2251" si="9079">IFERROR((X2252/X2251),"-")</f>
        <v>-</v>
      </c>
      <c r="Z2251" s="528"/>
      <c r="AA2251" s="898">
        <v>0</v>
      </c>
      <c r="AB2251" s="898">
        <v>0</v>
      </c>
      <c r="AC2251" s="903">
        <v>0</v>
      </c>
      <c r="AD2251" s="896" t="str">
        <f t="shared" ref="AD2251" si="9080">IFERROR((AC2251/AB2251),"-")</f>
        <v>-</v>
      </c>
      <c r="AE2251" s="2"/>
      <c r="AF2251" s="884">
        <v>0</v>
      </c>
      <c r="AG2251" s="884"/>
      <c r="AH2251" s="884">
        <v>0</v>
      </c>
      <c r="AI2251" s="884"/>
      <c r="AJ2251" s="884"/>
      <c r="AK2251" s="884">
        <f t="shared" ref="AK2251" si="9081">AF2251+AG2251+AH2251+AI2251+AJ2251+AC2251</f>
        <v>0</v>
      </c>
      <c r="AL2251" s="884">
        <v>0</v>
      </c>
      <c r="AM2251" s="878" t="str">
        <f t="shared" ref="AM2251" si="9082">IFERROR((AK2251/AL2251),"-")</f>
        <v>-</v>
      </c>
      <c r="AN2251" s="2"/>
      <c r="AO2251" s="884">
        <v>194</v>
      </c>
      <c r="AP2251" s="884">
        <f t="shared" ref="AP2251" si="9083">AO2251-AK2251</f>
        <v>194</v>
      </c>
      <c r="AV2251" t="str">
        <f t="shared" si="9076"/>
        <v>Drenagem Superficial</v>
      </c>
      <c r="AW2251" s="4" t="str">
        <f t="shared" si="9074"/>
        <v xml:space="preserve">   Seg. 3.1-C06 - Drenagem Superficial - Valetas de proteção de corte (Manual)</v>
      </c>
    </row>
    <row r="2252" spans="1:49" ht="18.399999999999999" hidden="1" customHeight="1" outlineLevel="2" collapsed="1">
      <c r="A2252" s="8" t="str">
        <f t="shared" ref="A2252" si="9084">A2251</f>
        <v>N</v>
      </c>
      <c r="B2252" s="150"/>
      <c r="C2252" s="150" t="s">
        <v>2574</v>
      </c>
      <c r="D2252" s="120" t="s">
        <v>566</v>
      </c>
      <c r="E2252" s="893"/>
      <c r="F2252" s="902"/>
      <c r="G2252" s="528"/>
      <c r="H2252" s="549" t="s">
        <v>38</v>
      </c>
      <c r="I2252" s="711">
        <v>0</v>
      </c>
      <c r="J2252" s="897"/>
      <c r="K2252" s="528"/>
      <c r="L2252" s="549" t="s">
        <v>38</v>
      </c>
      <c r="M2252" s="711">
        <f t="shared" si="8919"/>
        <v>0</v>
      </c>
      <c r="N2252" s="897"/>
      <c r="O2252" s="528"/>
      <c r="P2252" s="548">
        <v>0</v>
      </c>
      <c r="Q2252" s="548">
        <v>0</v>
      </c>
      <c r="R2252" s="548">
        <v>0</v>
      </c>
      <c r="S2252" s="548">
        <v>0</v>
      </c>
      <c r="T2252" s="548">
        <v>0</v>
      </c>
      <c r="U2252" s="548">
        <v>0</v>
      </c>
      <c r="V2252" s="548"/>
      <c r="W2252" s="528"/>
      <c r="X2252" s="711">
        <f t="shared" si="9028"/>
        <v>0</v>
      </c>
      <c r="Y2252" s="897"/>
      <c r="Z2252" s="528"/>
      <c r="AA2252" s="899"/>
      <c r="AB2252" s="899"/>
      <c r="AC2252" s="904"/>
      <c r="AD2252" s="905"/>
      <c r="AE2252" s="2"/>
      <c r="AF2252" s="885"/>
      <c r="AG2252" s="885"/>
      <c r="AH2252" s="885"/>
      <c r="AI2252" s="885"/>
      <c r="AJ2252" s="885"/>
      <c r="AK2252" s="885"/>
      <c r="AL2252" s="885"/>
      <c r="AM2252" s="879"/>
      <c r="AN2252" s="2"/>
      <c r="AO2252" s="886"/>
      <c r="AP2252" s="886"/>
      <c r="AV2252" t="str">
        <f t="shared" si="9076"/>
        <v>Drenagem Superficial</v>
      </c>
      <c r="AW2252" s="4" t="str">
        <f t="shared" si="9074"/>
        <v xml:space="preserve">   Seg. 3.1-C06 - Drenagem Superficial - Valetas de proteção de corte (Manual)</v>
      </c>
    </row>
    <row r="2253" spans="1:49" ht="18.399999999999999" hidden="1" customHeight="1" outlineLevel="2">
      <c r="A2253" s="8" t="str">
        <f t="shared" ref="A2253" si="9085">IF(SUM(P2253:V2254)&gt;0,"S","N")</f>
        <v>N</v>
      </c>
      <c r="B2253" s="150">
        <v>1069353</v>
      </c>
      <c r="C2253" s="150" t="s">
        <v>2576</v>
      </c>
      <c r="D2253" s="120" t="s">
        <v>588</v>
      </c>
      <c r="E2253" s="892" t="s">
        <v>2577</v>
      </c>
      <c r="F2253" s="902" t="s">
        <v>52</v>
      </c>
      <c r="G2253" s="528"/>
      <c r="H2253" s="546" t="s">
        <v>37</v>
      </c>
      <c r="I2253" s="711">
        <v>0</v>
      </c>
      <c r="J2253" s="896" t="str">
        <f t="shared" ref="J2253" si="9086">IFERROR((I2254/I2253),"-")</f>
        <v>-</v>
      </c>
      <c r="K2253" s="528"/>
      <c r="L2253" s="546" t="s">
        <v>37</v>
      </c>
      <c r="M2253" s="711">
        <f t="shared" si="8919"/>
        <v>0</v>
      </c>
      <c r="N2253" s="896" t="str">
        <f>IFERROR((M2254/M2253),"-")</f>
        <v>-</v>
      </c>
      <c r="O2253" s="528"/>
      <c r="P2253" s="547">
        <v>0</v>
      </c>
      <c r="Q2253" s="547">
        <v>0</v>
      </c>
      <c r="R2253" s="547">
        <v>0</v>
      </c>
      <c r="S2253" s="547">
        <v>0</v>
      </c>
      <c r="T2253" s="547">
        <v>0</v>
      </c>
      <c r="U2253" s="547">
        <v>0</v>
      </c>
      <c r="V2253" s="548">
        <v>0</v>
      </c>
      <c r="W2253" s="528"/>
      <c r="X2253" s="711">
        <f t="shared" si="9028"/>
        <v>0</v>
      </c>
      <c r="Y2253" s="896" t="str">
        <f t="shared" ref="Y2253" si="9087">IFERROR((X2254/X2253),"-")</f>
        <v>-</v>
      </c>
      <c r="Z2253" s="528"/>
      <c r="AA2253" s="898">
        <v>0</v>
      </c>
      <c r="AB2253" s="898">
        <v>0</v>
      </c>
      <c r="AC2253" s="903">
        <v>0</v>
      </c>
      <c r="AD2253" s="896" t="str">
        <f t="shared" ref="AD2253" si="9088">IFERROR((AC2253/AB2253),"-")</f>
        <v>-</v>
      </c>
      <c r="AE2253" s="2"/>
      <c r="AF2253" s="884">
        <v>0</v>
      </c>
      <c r="AG2253" s="884">
        <v>58.280999999999999</v>
      </c>
      <c r="AH2253" s="884">
        <v>0</v>
      </c>
      <c r="AI2253" s="884"/>
      <c r="AJ2253" s="884"/>
      <c r="AK2253" s="884">
        <f t="shared" ref="AK2253" si="9089">AF2253+AG2253+AH2253+AI2253+AJ2253+AC2253</f>
        <v>58.280999999999999</v>
      </c>
      <c r="AL2253" s="884">
        <v>49.949999999999982</v>
      </c>
      <c r="AM2253" s="878">
        <f t="shared" ref="AM2253" si="9090">IFERROR((AK2253/AL2253),"-")</f>
        <v>1.1667867867867872</v>
      </c>
      <c r="AN2253" s="2"/>
      <c r="AO2253" s="884">
        <v>50</v>
      </c>
      <c r="AP2253" s="884">
        <f t="shared" ref="AP2253" si="9091">AO2253-AK2253</f>
        <v>-8.2809999999999988</v>
      </c>
      <c r="AV2253" t="str">
        <f t="shared" si="9076"/>
        <v>Drenagem Superficial</v>
      </c>
      <c r="AW2253" s="4" t="str">
        <f t="shared" si="9074"/>
        <v xml:space="preserve">   Seg. 3.1-A01 - Drenagem Superficial - Valetas de proteção de aterro (Manual)</v>
      </c>
    </row>
    <row r="2254" spans="1:49" ht="18.399999999999999" hidden="1" customHeight="1" outlineLevel="2">
      <c r="A2254" s="8" t="str">
        <f t="shared" ref="A2254" si="9092">A2253</f>
        <v>N</v>
      </c>
      <c r="B2254" s="150"/>
      <c r="C2254" s="150" t="s">
        <v>2576</v>
      </c>
      <c r="D2254" s="120" t="s">
        <v>588</v>
      </c>
      <c r="E2254" s="893"/>
      <c r="F2254" s="902"/>
      <c r="G2254" s="528"/>
      <c r="H2254" s="549" t="s">
        <v>38</v>
      </c>
      <c r="I2254" s="711">
        <v>0</v>
      </c>
      <c r="J2254" s="897"/>
      <c r="K2254" s="528"/>
      <c r="L2254" s="549" t="s">
        <v>38</v>
      </c>
      <c r="M2254" s="711">
        <f t="shared" si="8919"/>
        <v>0</v>
      </c>
      <c r="N2254" s="897"/>
      <c r="O2254" s="528"/>
      <c r="P2254" s="548">
        <v>0</v>
      </c>
      <c r="Q2254" s="548">
        <v>0</v>
      </c>
      <c r="R2254" s="548">
        <v>0</v>
      </c>
      <c r="S2254" s="548">
        <v>0</v>
      </c>
      <c r="T2254" s="548">
        <v>0</v>
      </c>
      <c r="U2254" s="548">
        <v>0</v>
      </c>
      <c r="V2254" s="548"/>
      <c r="W2254" s="528"/>
      <c r="X2254" s="711">
        <f t="shared" si="9028"/>
        <v>0</v>
      </c>
      <c r="Y2254" s="897"/>
      <c r="Z2254" s="528"/>
      <c r="AA2254" s="899"/>
      <c r="AB2254" s="899"/>
      <c r="AC2254" s="904"/>
      <c r="AD2254" s="905"/>
      <c r="AE2254" s="2"/>
      <c r="AF2254" s="885"/>
      <c r="AG2254" s="885"/>
      <c r="AH2254" s="885"/>
      <c r="AI2254" s="885"/>
      <c r="AJ2254" s="885"/>
      <c r="AK2254" s="885"/>
      <c r="AL2254" s="885"/>
      <c r="AM2254" s="879"/>
      <c r="AN2254" s="2"/>
      <c r="AO2254" s="886"/>
      <c r="AP2254" s="886"/>
      <c r="AV2254" t="str">
        <f t="shared" si="9076"/>
        <v>Drenagem Superficial</v>
      </c>
      <c r="AW2254" s="4" t="str">
        <f t="shared" si="9074"/>
        <v xml:space="preserve">   Seg. 3.1-A01 - Drenagem Superficial - Valetas de proteção de aterro (Manual)</v>
      </c>
    </row>
    <row r="2255" spans="1:49" ht="18.399999999999999" hidden="1" customHeight="1" outlineLevel="2">
      <c r="A2255" s="8" t="str">
        <f t="shared" ref="A2255" si="9093">IF(SUM(P2255:V2256)&gt;0,"S","N")</f>
        <v>N</v>
      </c>
      <c r="B2255" s="150">
        <v>1069409</v>
      </c>
      <c r="C2255" s="150" t="s">
        <v>2578</v>
      </c>
      <c r="D2255" s="120" t="s">
        <v>2579</v>
      </c>
      <c r="E2255" s="892" t="s">
        <v>2580</v>
      </c>
      <c r="F2255" s="902" t="s">
        <v>52</v>
      </c>
      <c r="G2255" s="528"/>
      <c r="H2255" s="546" t="s">
        <v>37</v>
      </c>
      <c r="I2255" s="711">
        <v>0</v>
      </c>
      <c r="J2255" s="896" t="str">
        <f t="shared" ref="J2255" si="9094">IFERROR((I2256/I2255),"-")</f>
        <v>-</v>
      </c>
      <c r="K2255" s="528"/>
      <c r="L2255" s="546" t="s">
        <v>37</v>
      </c>
      <c r="M2255" s="711">
        <f t="shared" si="8919"/>
        <v>0</v>
      </c>
      <c r="N2255" s="896" t="str">
        <f>IFERROR((M2256/M2255),"-")</f>
        <v>-</v>
      </c>
      <c r="O2255" s="528"/>
      <c r="P2255" s="547">
        <v>0</v>
      </c>
      <c r="Q2255" s="547">
        <v>0</v>
      </c>
      <c r="R2255" s="547">
        <v>0</v>
      </c>
      <c r="S2255" s="547">
        <v>0</v>
      </c>
      <c r="T2255" s="547">
        <v>0</v>
      </c>
      <c r="U2255" s="547">
        <v>0</v>
      </c>
      <c r="V2255" s="548">
        <v>0</v>
      </c>
      <c r="W2255" s="528"/>
      <c r="X2255" s="711">
        <f t="shared" si="9028"/>
        <v>0</v>
      </c>
      <c r="Y2255" s="896" t="str">
        <f t="shared" ref="Y2255" si="9095">IFERROR((X2256/X2255),"-")</f>
        <v>-</v>
      </c>
      <c r="Z2255" s="528"/>
      <c r="AA2255" s="898">
        <v>0</v>
      </c>
      <c r="AB2255" s="898">
        <v>0</v>
      </c>
      <c r="AC2255" s="903">
        <v>0</v>
      </c>
      <c r="AD2255" s="896" t="str">
        <f t="shared" ref="AD2255" si="9096">IFERROR((AC2255/AB2255),"-")</f>
        <v>-</v>
      </c>
      <c r="AE2255" s="2"/>
      <c r="AF2255" s="884">
        <v>0</v>
      </c>
      <c r="AG2255" s="884"/>
      <c r="AH2255" s="884">
        <v>0</v>
      </c>
      <c r="AI2255" s="884"/>
      <c r="AJ2255" s="884"/>
      <c r="AK2255" s="884">
        <f t="shared" ref="AK2255" si="9097">AF2255+AG2255+AH2255+AI2255+AJ2255+AC2255</f>
        <v>0</v>
      </c>
      <c r="AL2255" s="884">
        <v>0</v>
      </c>
      <c r="AM2255" s="878" t="str">
        <f t="shared" ref="AM2255" si="9098">IFERROR((AK2255/AL2255),"-")</f>
        <v>-</v>
      </c>
      <c r="AN2255" s="2"/>
      <c r="AO2255" s="884">
        <v>197</v>
      </c>
      <c r="AP2255" s="884">
        <f t="shared" ref="AP2255" si="9099">AO2255-AK2255</f>
        <v>197</v>
      </c>
      <c r="AV2255" t="str">
        <f t="shared" si="9076"/>
        <v>Drenagem Superficial</v>
      </c>
      <c r="AW2255" s="4" t="str">
        <f t="shared" si="9074"/>
        <v xml:space="preserve">   Seg. 3.1-ADME 06 - Drenagem Superficial - Valetas de proteção de aterro (Manual)</v>
      </c>
    </row>
    <row r="2256" spans="1:49" ht="18.399999999999999" hidden="1" customHeight="1" outlineLevel="2">
      <c r="A2256" s="8" t="str">
        <f t="shared" ref="A2256" si="9100">A2255</f>
        <v>N</v>
      </c>
      <c r="B2256" s="150"/>
      <c r="C2256" s="150" t="s">
        <v>2578</v>
      </c>
      <c r="D2256" s="120" t="s">
        <v>2579</v>
      </c>
      <c r="E2256" s="893"/>
      <c r="F2256" s="902"/>
      <c r="G2256" s="528"/>
      <c r="H2256" s="549" t="s">
        <v>38</v>
      </c>
      <c r="I2256" s="711">
        <v>0</v>
      </c>
      <c r="J2256" s="897"/>
      <c r="K2256" s="528"/>
      <c r="L2256" s="549" t="s">
        <v>38</v>
      </c>
      <c r="M2256" s="711">
        <f t="shared" si="8919"/>
        <v>0</v>
      </c>
      <c r="N2256" s="897"/>
      <c r="O2256" s="528"/>
      <c r="P2256" s="548">
        <v>0</v>
      </c>
      <c r="Q2256" s="548">
        <v>0</v>
      </c>
      <c r="R2256" s="548">
        <v>0</v>
      </c>
      <c r="S2256" s="548">
        <v>0</v>
      </c>
      <c r="T2256" s="548">
        <v>0</v>
      </c>
      <c r="U2256" s="548">
        <v>0</v>
      </c>
      <c r="V2256" s="548"/>
      <c r="W2256" s="528"/>
      <c r="X2256" s="711">
        <f t="shared" si="9028"/>
        <v>0</v>
      </c>
      <c r="Y2256" s="897"/>
      <c r="Z2256" s="528"/>
      <c r="AA2256" s="899"/>
      <c r="AB2256" s="899"/>
      <c r="AC2256" s="904"/>
      <c r="AD2256" s="905"/>
      <c r="AE2256" s="2"/>
      <c r="AF2256" s="885"/>
      <c r="AG2256" s="885"/>
      <c r="AH2256" s="885"/>
      <c r="AI2256" s="885"/>
      <c r="AJ2256" s="885"/>
      <c r="AK2256" s="885"/>
      <c r="AL2256" s="885"/>
      <c r="AM2256" s="879"/>
      <c r="AN2256" s="2"/>
      <c r="AO2256" s="886"/>
      <c r="AP2256" s="886"/>
      <c r="AV2256" t="str">
        <f t="shared" si="9076"/>
        <v>Drenagem Superficial</v>
      </c>
      <c r="AW2256" s="4" t="str">
        <f t="shared" si="9074"/>
        <v xml:space="preserve">   Seg. 3.1-ADME 06 - Drenagem Superficial - Valetas de proteção de aterro (Manual)</v>
      </c>
    </row>
    <row r="2257" spans="1:50" ht="18.399999999999999" hidden="1" customHeight="1" outlineLevel="2">
      <c r="A2257" s="8" t="str">
        <f t="shared" ref="A2257" si="9101">IF(SUM(P2257:V2258)&gt;0,"S","N")</f>
        <v>N</v>
      </c>
      <c r="B2257" s="150">
        <v>1069426</v>
      </c>
      <c r="C2257" s="150" t="s">
        <v>2581</v>
      </c>
      <c r="D2257" s="120" t="s">
        <v>2092</v>
      </c>
      <c r="E2257" s="892" t="s">
        <v>2582</v>
      </c>
      <c r="F2257" s="902" t="s">
        <v>52</v>
      </c>
      <c r="G2257" s="528"/>
      <c r="H2257" s="546" t="s">
        <v>37</v>
      </c>
      <c r="I2257" s="711">
        <v>0</v>
      </c>
      <c r="J2257" s="896" t="str">
        <f t="shared" ref="J2257" si="9102">IFERROR((I2258/I2257),"-")</f>
        <v>-</v>
      </c>
      <c r="K2257" s="528"/>
      <c r="L2257" s="546" t="s">
        <v>37</v>
      </c>
      <c r="M2257" s="711">
        <f t="shared" si="8919"/>
        <v>0</v>
      </c>
      <c r="N2257" s="896" t="str">
        <f>IFERROR((M2258/M2257),"-")</f>
        <v>-</v>
      </c>
      <c r="O2257" s="528"/>
      <c r="P2257" s="547">
        <v>0</v>
      </c>
      <c r="Q2257" s="547">
        <v>0</v>
      </c>
      <c r="R2257" s="547">
        <v>0</v>
      </c>
      <c r="S2257" s="547">
        <v>0</v>
      </c>
      <c r="T2257" s="547">
        <v>0</v>
      </c>
      <c r="U2257" s="547">
        <v>0</v>
      </c>
      <c r="V2257" s="548">
        <v>0</v>
      </c>
      <c r="W2257" s="528"/>
      <c r="X2257" s="711">
        <f t="shared" si="9028"/>
        <v>0</v>
      </c>
      <c r="Y2257" s="896" t="str">
        <f t="shared" ref="Y2257" si="9103">IFERROR((X2258/X2257),"-")</f>
        <v>-</v>
      </c>
      <c r="Z2257" s="528"/>
      <c r="AA2257" s="898">
        <v>0</v>
      </c>
      <c r="AB2257" s="898">
        <v>0</v>
      </c>
      <c r="AC2257" s="903">
        <v>0</v>
      </c>
      <c r="AD2257" s="896" t="str">
        <f t="shared" ref="AD2257" si="9104">IFERROR((AC2257/AB2257),"-")</f>
        <v>-</v>
      </c>
      <c r="AE2257" s="2"/>
      <c r="AF2257" s="884">
        <v>0</v>
      </c>
      <c r="AG2257" s="884"/>
      <c r="AH2257" s="884">
        <v>0</v>
      </c>
      <c r="AI2257" s="884"/>
      <c r="AJ2257" s="884"/>
      <c r="AK2257" s="884">
        <f t="shared" ref="AK2257" si="9105">AF2257+AG2257+AH2257+AI2257+AJ2257+AC2257</f>
        <v>0</v>
      </c>
      <c r="AL2257" s="884">
        <v>0</v>
      </c>
      <c r="AM2257" s="878" t="str">
        <f t="shared" ref="AM2257" si="9106">IFERROR((AK2257/AL2257),"-")</f>
        <v>-</v>
      </c>
      <c r="AN2257" s="2"/>
      <c r="AO2257" s="884">
        <v>166</v>
      </c>
      <c r="AP2257" s="884">
        <f t="shared" ref="AP2257" si="9107">AO2257-AK2257</f>
        <v>166</v>
      </c>
      <c r="AV2257" s="4" t="str">
        <f t="shared" si="9076"/>
        <v>Drenagem Superficial</v>
      </c>
      <c r="AW2257" s="4" t="str">
        <f t="shared" si="9074"/>
        <v xml:space="preserve">   Seg. 3.1-ADME 11 - Drenagem Superficial - Valetas de proteção de aterro</v>
      </c>
      <c r="AX2257" s="4"/>
    </row>
    <row r="2258" spans="1:50" ht="18.399999999999999" hidden="1" customHeight="1" outlineLevel="2">
      <c r="A2258" s="8" t="str">
        <f t="shared" ref="A2258" si="9108">A2257</f>
        <v>N</v>
      </c>
      <c r="B2258" s="150"/>
      <c r="C2258" s="150" t="s">
        <v>2581</v>
      </c>
      <c r="D2258" s="120" t="s">
        <v>2092</v>
      </c>
      <c r="E2258" s="893"/>
      <c r="F2258" s="902"/>
      <c r="G2258" s="528"/>
      <c r="H2258" s="549" t="s">
        <v>38</v>
      </c>
      <c r="I2258" s="711">
        <v>0</v>
      </c>
      <c r="J2258" s="897"/>
      <c r="K2258" s="528"/>
      <c r="L2258" s="549" t="s">
        <v>38</v>
      </c>
      <c r="M2258" s="711">
        <f t="shared" si="8919"/>
        <v>0</v>
      </c>
      <c r="N2258" s="897"/>
      <c r="O2258" s="528"/>
      <c r="P2258" s="548">
        <v>0</v>
      </c>
      <c r="Q2258" s="548">
        <v>0</v>
      </c>
      <c r="R2258" s="548">
        <v>0</v>
      </c>
      <c r="S2258" s="548">
        <v>0</v>
      </c>
      <c r="T2258" s="548">
        <v>0</v>
      </c>
      <c r="U2258" s="548">
        <v>0</v>
      </c>
      <c r="V2258" s="548"/>
      <c r="W2258" s="528"/>
      <c r="X2258" s="711">
        <f t="shared" si="9028"/>
        <v>0</v>
      </c>
      <c r="Y2258" s="897"/>
      <c r="Z2258" s="528"/>
      <c r="AA2258" s="899"/>
      <c r="AB2258" s="899"/>
      <c r="AC2258" s="904"/>
      <c r="AD2258" s="905"/>
      <c r="AE2258" s="2"/>
      <c r="AF2258" s="885"/>
      <c r="AG2258" s="885"/>
      <c r="AH2258" s="885"/>
      <c r="AI2258" s="885"/>
      <c r="AJ2258" s="885"/>
      <c r="AK2258" s="885"/>
      <c r="AL2258" s="885"/>
      <c r="AM2258" s="879"/>
      <c r="AN2258" s="2"/>
      <c r="AO2258" s="886"/>
      <c r="AP2258" s="886"/>
      <c r="AV2258" t="str">
        <f t="shared" si="9076"/>
        <v>Drenagem Superficial</v>
      </c>
      <c r="AW2258" s="4" t="str">
        <f t="shared" si="9074"/>
        <v xml:space="preserve">   Seg. 3.1-ADME 11 - Drenagem Superficial - Valetas de proteção de aterro</v>
      </c>
    </row>
    <row r="2259" spans="1:50" ht="18.399999999999999" hidden="1" customHeight="1" outlineLevel="2">
      <c r="A2259" s="209" t="str">
        <f t="shared" ref="A2259" si="9109">IF(SUM(P2259:V2260)&gt;0,"S","N")</f>
        <v>N</v>
      </c>
      <c r="B2259" s="150">
        <v>1069684</v>
      </c>
      <c r="C2259" s="150" t="s">
        <v>2583</v>
      </c>
      <c r="D2259" s="120" t="s">
        <v>2027</v>
      </c>
      <c r="E2259" s="892" t="s">
        <v>2584</v>
      </c>
      <c r="F2259" s="902" t="s">
        <v>52</v>
      </c>
      <c r="G2259" s="528"/>
      <c r="H2259" s="546" t="s">
        <v>37</v>
      </c>
      <c r="I2259" s="711">
        <v>0</v>
      </c>
      <c r="J2259" s="896" t="str">
        <f t="shared" ref="J2259" si="9110">IFERROR((I2260/I2259),"-")</f>
        <v>-</v>
      </c>
      <c r="K2259" s="528"/>
      <c r="L2259" s="546" t="s">
        <v>37</v>
      </c>
      <c r="M2259" s="711">
        <f t="shared" si="8919"/>
        <v>0</v>
      </c>
      <c r="N2259" s="896" t="str">
        <f>IFERROR((M2260/M2259),"-")</f>
        <v>-</v>
      </c>
      <c r="O2259" s="528"/>
      <c r="P2259" s="547">
        <v>0</v>
      </c>
      <c r="Q2259" s="547">
        <v>0</v>
      </c>
      <c r="R2259" s="547">
        <v>0</v>
      </c>
      <c r="S2259" s="547">
        <v>0</v>
      </c>
      <c r="T2259" s="547">
        <v>0</v>
      </c>
      <c r="U2259" s="547">
        <v>0</v>
      </c>
      <c r="V2259" s="548">
        <v>0</v>
      </c>
      <c r="W2259" s="528"/>
      <c r="X2259" s="711">
        <f t="shared" si="9028"/>
        <v>0</v>
      </c>
      <c r="Y2259" s="896" t="str">
        <f t="shared" ref="Y2259" si="9111">IFERROR((X2260/X2259),"-")</f>
        <v>-</v>
      </c>
      <c r="Z2259" s="528"/>
      <c r="AA2259" s="898">
        <v>26.03</v>
      </c>
      <c r="AB2259" s="898">
        <v>15.8</v>
      </c>
      <c r="AC2259" s="903">
        <v>0</v>
      </c>
      <c r="AD2259" s="896">
        <f t="shared" ref="AD2259" si="9112">IFERROR((AC2259/AB2259),"-")</f>
        <v>0</v>
      </c>
      <c r="AE2259" s="2"/>
      <c r="AF2259" s="884">
        <v>0</v>
      </c>
      <c r="AG2259" s="884"/>
      <c r="AH2259" s="884">
        <v>0</v>
      </c>
      <c r="AI2259" s="884"/>
      <c r="AJ2259" s="884">
        <v>632.28399999999999</v>
      </c>
      <c r="AK2259" s="884">
        <f t="shared" ref="AK2259" si="9113">AF2259+AG2259+AH2259+AI2259+AJ2259+AC2259</f>
        <v>632.28399999999999</v>
      </c>
      <c r="AL2259" s="884">
        <v>67.400000000000006</v>
      </c>
      <c r="AM2259" s="878">
        <f t="shared" ref="AM2259" si="9114">IFERROR((AK2259/AL2259),"-")</f>
        <v>9.3810682492581599</v>
      </c>
      <c r="AN2259" s="2"/>
      <c r="AO2259" s="884">
        <v>867</v>
      </c>
      <c r="AP2259" s="884">
        <f t="shared" ref="AP2259" si="9115">AO2259-AK2259</f>
        <v>234.71600000000001</v>
      </c>
      <c r="AV2259" t="str">
        <f t="shared" si="9076"/>
        <v>Drenagem Superficial</v>
      </c>
      <c r="AW2259" s="4" t="str">
        <f t="shared" si="9074"/>
        <v xml:space="preserve">   Seg. 3.1-C01 - Drenagem Superficial - Valetas de proteção de corte (Extrusada)</v>
      </c>
    </row>
    <row r="2260" spans="1:50" ht="18.399999999999999" hidden="1" customHeight="1" outlineLevel="2">
      <c r="A2260" s="209" t="str">
        <f t="shared" ref="A2260" si="9116">A2259</f>
        <v>N</v>
      </c>
      <c r="B2260" s="150"/>
      <c r="C2260" s="150" t="s">
        <v>2583</v>
      </c>
      <c r="D2260" s="120" t="s">
        <v>2027</v>
      </c>
      <c r="E2260" s="893"/>
      <c r="F2260" s="902"/>
      <c r="G2260" s="528"/>
      <c r="H2260" s="549" t="s">
        <v>38</v>
      </c>
      <c r="I2260" s="711">
        <v>0</v>
      </c>
      <c r="J2260" s="897"/>
      <c r="K2260" s="528"/>
      <c r="L2260" s="549" t="s">
        <v>38</v>
      </c>
      <c r="M2260" s="711">
        <f t="shared" si="8919"/>
        <v>0</v>
      </c>
      <c r="N2260" s="897"/>
      <c r="O2260" s="528"/>
      <c r="P2260" s="548">
        <v>0</v>
      </c>
      <c r="Q2260" s="548">
        <v>0</v>
      </c>
      <c r="R2260" s="548">
        <v>0</v>
      </c>
      <c r="S2260" s="548">
        <v>0</v>
      </c>
      <c r="T2260" s="548">
        <v>0</v>
      </c>
      <c r="U2260" s="548">
        <v>0</v>
      </c>
      <c r="V2260" s="548"/>
      <c r="W2260" s="528"/>
      <c r="X2260" s="711">
        <f t="shared" si="9028"/>
        <v>0</v>
      </c>
      <c r="Y2260" s="897"/>
      <c r="Z2260" s="528"/>
      <c r="AA2260" s="899"/>
      <c r="AB2260" s="899"/>
      <c r="AC2260" s="904"/>
      <c r="AD2260" s="905"/>
      <c r="AE2260" s="2"/>
      <c r="AF2260" s="885"/>
      <c r="AG2260" s="885"/>
      <c r="AH2260" s="885"/>
      <c r="AI2260" s="885"/>
      <c r="AJ2260" s="885"/>
      <c r="AK2260" s="885"/>
      <c r="AL2260" s="885"/>
      <c r="AM2260" s="879"/>
      <c r="AN2260" s="2"/>
      <c r="AO2260" s="886"/>
      <c r="AP2260" s="886"/>
      <c r="AV2260" t="str">
        <f t="shared" si="9076"/>
        <v>Drenagem Superficial</v>
      </c>
      <c r="AW2260" s="4" t="str">
        <f t="shared" si="9074"/>
        <v xml:space="preserve">   Seg. 3.1-C01 - Drenagem Superficial - Valetas de proteção de corte (Extrusada)</v>
      </c>
    </row>
    <row r="2261" spans="1:50" ht="18.399999999999999" hidden="1" customHeight="1" outlineLevel="2">
      <c r="A2261" s="8" t="str">
        <f t="shared" ref="A2261" si="9117">IF(SUM(P2261:V2262)&gt;0,"S","N")</f>
        <v>S</v>
      </c>
      <c r="B2261" s="150">
        <v>1069686</v>
      </c>
      <c r="C2261" s="150" t="s">
        <v>2585</v>
      </c>
      <c r="D2261" s="120" t="s">
        <v>560</v>
      </c>
      <c r="E2261" s="892" t="s">
        <v>2586</v>
      </c>
      <c r="F2261" s="902" t="s">
        <v>52</v>
      </c>
      <c r="G2261" s="528"/>
      <c r="H2261" s="546" t="s">
        <v>37</v>
      </c>
      <c r="I2261" s="711">
        <v>400</v>
      </c>
      <c r="J2261" s="896">
        <f t="shared" ref="J2261" si="9118">IFERROR((I2262/I2261),"-")</f>
        <v>0.13</v>
      </c>
      <c r="K2261" s="528"/>
      <c r="L2261" s="546" t="s">
        <v>37</v>
      </c>
      <c r="M2261" s="711">
        <f t="shared" si="8919"/>
        <v>70</v>
      </c>
      <c r="N2261" s="896">
        <f>IFERROR((M2262/M2261),"-")</f>
        <v>0.9642857142857143</v>
      </c>
      <c r="O2261" s="528"/>
      <c r="P2261" s="547">
        <v>70</v>
      </c>
      <c r="Q2261" s="547">
        <v>70</v>
      </c>
      <c r="R2261" s="547">
        <v>70</v>
      </c>
      <c r="S2261" s="547">
        <v>70</v>
      </c>
      <c r="T2261" s="547">
        <v>60</v>
      </c>
      <c r="U2261" s="547">
        <v>60</v>
      </c>
      <c r="V2261" s="548">
        <v>0</v>
      </c>
      <c r="W2261" s="528"/>
      <c r="X2261" s="711">
        <f t="shared" si="9028"/>
        <v>140</v>
      </c>
      <c r="Y2261" s="896">
        <f t="shared" ref="Y2261" si="9119">IFERROR((X2262/X2261),"-")</f>
        <v>0.9821428571428571</v>
      </c>
      <c r="Z2261" s="528"/>
      <c r="AA2261" s="898">
        <v>211.61</v>
      </c>
      <c r="AB2261" s="898">
        <v>211.61</v>
      </c>
      <c r="AC2261" s="903">
        <v>189.5</v>
      </c>
      <c r="AD2261" s="896">
        <f t="shared" ref="AD2261" si="9120">IFERROR((AC2261/AB2261),"-")</f>
        <v>0.89551533481404466</v>
      </c>
      <c r="AE2261" s="2"/>
      <c r="AF2261" s="884">
        <v>0</v>
      </c>
      <c r="AG2261" s="884"/>
      <c r="AH2261" s="884">
        <v>0</v>
      </c>
      <c r="AI2261" s="884"/>
      <c r="AJ2261" s="884">
        <v>327.399</v>
      </c>
      <c r="AK2261" s="884">
        <f t="shared" ref="AK2261" si="9121">AF2261+AG2261+AH2261+AI2261+AJ2261+AC2261</f>
        <v>516.899</v>
      </c>
      <c r="AL2261" s="884">
        <v>789.1099999999999</v>
      </c>
      <c r="AM2261" s="878">
        <f t="shared" ref="AM2261" si="9122">IFERROR((AK2261/AL2261),"-")</f>
        <v>0.65504048865177233</v>
      </c>
      <c r="AN2261" s="2"/>
      <c r="AO2261" s="884">
        <v>789</v>
      </c>
      <c r="AP2261" s="884">
        <f t="shared" ref="AP2261" si="9123">AO2261-AK2261</f>
        <v>272.101</v>
      </c>
      <c r="AV2261" t="str">
        <f t="shared" si="9076"/>
        <v>Drenagem Superficial</v>
      </c>
      <c r="AW2261" s="4" t="str">
        <f t="shared" si="9074"/>
        <v xml:space="preserve">   Seg. 3.1-C02 - Drenagem Superficial - Valetas de proteção de corte (Manual)</v>
      </c>
    </row>
    <row r="2262" spans="1:50" ht="18.399999999999999" hidden="1" customHeight="1" outlineLevel="2">
      <c r="A2262" s="8" t="str">
        <f t="shared" ref="A2262" si="9124">A2261</f>
        <v>S</v>
      </c>
      <c r="B2262" s="150"/>
      <c r="C2262" s="150" t="s">
        <v>2585</v>
      </c>
      <c r="D2262" s="120" t="s">
        <v>560</v>
      </c>
      <c r="E2262" s="893"/>
      <c r="F2262" s="902"/>
      <c r="G2262" s="528"/>
      <c r="H2262" s="549" t="s">
        <v>38</v>
      </c>
      <c r="I2262" s="711">
        <v>52</v>
      </c>
      <c r="J2262" s="897"/>
      <c r="K2262" s="528"/>
      <c r="L2262" s="549" t="s">
        <v>38</v>
      </c>
      <c r="M2262" s="711">
        <f t="shared" si="8919"/>
        <v>67.5</v>
      </c>
      <c r="N2262" s="897"/>
      <c r="O2262" s="528"/>
      <c r="P2262" s="548">
        <v>70</v>
      </c>
      <c r="Q2262" s="548">
        <v>67.5</v>
      </c>
      <c r="R2262" s="548">
        <v>0</v>
      </c>
      <c r="S2262" s="548">
        <v>0</v>
      </c>
      <c r="T2262" s="548">
        <v>0</v>
      </c>
      <c r="U2262" s="548">
        <v>0</v>
      </c>
      <c r="V2262" s="548"/>
      <c r="W2262" s="528"/>
      <c r="X2262" s="711">
        <f t="shared" si="9028"/>
        <v>137.5</v>
      </c>
      <c r="Y2262" s="897"/>
      <c r="Z2262" s="528"/>
      <c r="AA2262" s="899"/>
      <c r="AB2262" s="899"/>
      <c r="AC2262" s="904"/>
      <c r="AD2262" s="905"/>
      <c r="AE2262" s="2"/>
      <c r="AF2262" s="885"/>
      <c r="AG2262" s="885"/>
      <c r="AH2262" s="885"/>
      <c r="AI2262" s="885"/>
      <c r="AJ2262" s="885"/>
      <c r="AK2262" s="885"/>
      <c r="AL2262" s="885"/>
      <c r="AM2262" s="879"/>
      <c r="AN2262" s="2"/>
      <c r="AO2262" s="886"/>
      <c r="AP2262" s="886"/>
      <c r="AV2262" t="str">
        <f t="shared" si="9076"/>
        <v>Drenagem Superficial</v>
      </c>
      <c r="AW2262" s="4" t="str">
        <f t="shared" si="9074"/>
        <v xml:space="preserve">   Seg. 3.1-C02 - Drenagem Superficial - Valetas de proteção de corte (Manual)</v>
      </c>
    </row>
    <row r="2263" spans="1:50" ht="18.399999999999999" hidden="1" customHeight="1" outlineLevel="2" collapsed="1">
      <c r="A2263" s="8" t="str">
        <f t="shared" ref="A2263" si="9125">IF(SUM(P2263:V2264)&gt;0,"S","N")</f>
        <v>N</v>
      </c>
      <c r="B2263" s="150">
        <v>1069690</v>
      </c>
      <c r="C2263" s="150" t="s">
        <v>2587</v>
      </c>
      <c r="D2263" s="120" t="s">
        <v>2071</v>
      </c>
      <c r="E2263" s="892" t="s">
        <v>2588</v>
      </c>
      <c r="F2263" s="902" t="s">
        <v>52</v>
      </c>
      <c r="G2263" s="528"/>
      <c r="H2263" s="546" t="s">
        <v>37</v>
      </c>
      <c r="I2263" s="711">
        <v>0</v>
      </c>
      <c r="J2263" s="896" t="str">
        <f t="shared" ref="J2263" si="9126">IFERROR((I2264/I2263),"-")</f>
        <v>-</v>
      </c>
      <c r="K2263" s="528"/>
      <c r="L2263" s="546" t="s">
        <v>37</v>
      </c>
      <c r="M2263" s="711">
        <f t="shared" si="8919"/>
        <v>0</v>
      </c>
      <c r="N2263" s="896" t="str">
        <f t="shared" ref="N2263" si="9127">IFERROR((M2264/M2263),"-")</f>
        <v>-</v>
      </c>
      <c r="O2263" s="528"/>
      <c r="P2263" s="547">
        <v>0</v>
      </c>
      <c r="Q2263" s="547">
        <v>0</v>
      </c>
      <c r="R2263" s="547">
        <v>0</v>
      </c>
      <c r="S2263" s="547">
        <v>0</v>
      </c>
      <c r="T2263" s="547">
        <v>0</v>
      </c>
      <c r="U2263" s="547">
        <v>0</v>
      </c>
      <c r="V2263" s="548">
        <v>0</v>
      </c>
      <c r="W2263" s="528"/>
      <c r="X2263" s="711">
        <f t="shared" si="9028"/>
        <v>0</v>
      </c>
      <c r="Y2263" s="896" t="str">
        <f t="shared" ref="Y2263" si="9128">IFERROR((X2264/X2263),"-")</f>
        <v>-</v>
      </c>
      <c r="Z2263" s="528"/>
      <c r="AA2263" s="898">
        <v>787</v>
      </c>
      <c r="AB2263" s="898">
        <v>0</v>
      </c>
      <c r="AC2263" s="903">
        <v>0</v>
      </c>
      <c r="AD2263" s="896" t="str">
        <f t="shared" ref="AD2263" si="9129">IFERROR((AC2263/AB2263),"-")</f>
        <v>-</v>
      </c>
      <c r="AE2263" s="2"/>
      <c r="AF2263" s="884">
        <v>0</v>
      </c>
      <c r="AG2263" s="884"/>
      <c r="AH2263" s="884">
        <v>0</v>
      </c>
      <c r="AI2263" s="884"/>
      <c r="AJ2263" s="884"/>
      <c r="AK2263" s="884">
        <f t="shared" ref="AK2263" si="9130">AF2263+AG2263+AH2263+AI2263+AJ2263+AC2263</f>
        <v>0</v>
      </c>
      <c r="AL2263" s="884">
        <v>0</v>
      </c>
      <c r="AM2263" s="878" t="str">
        <f t="shared" ref="AM2263" si="9131">IFERROR((AK2263/AL2263),"-")</f>
        <v>-</v>
      </c>
      <c r="AN2263" s="2"/>
      <c r="AO2263" s="884">
        <v>787</v>
      </c>
      <c r="AP2263" s="884">
        <f t="shared" ref="AP2263" si="9132">AO2263-AK2263</f>
        <v>787</v>
      </c>
      <c r="AV2263" t="str">
        <f t="shared" si="9076"/>
        <v>Drenagem Superficial</v>
      </c>
      <c r="AW2263" s="4" t="str">
        <f t="shared" si="9074"/>
        <v xml:space="preserve">   Seg. 3.1-C07 - Drenagem Superficial - Valetas de proteção de corte (Extrusada)</v>
      </c>
    </row>
    <row r="2264" spans="1:50" ht="18.399999999999999" hidden="1" customHeight="1" outlineLevel="2">
      <c r="A2264" s="8" t="str">
        <f t="shared" ref="A2264" si="9133">A2263</f>
        <v>N</v>
      </c>
      <c r="B2264" s="150"/>
      <c r="C2264" s="150" t="s">
        <v>2587</v>
      </c>
      <c r="D2264" s="120" t="s">
        <v>2071</v>
      </c>
      <c r="E2264" s="893"/>
      <c r="F2264" s="902"/>
      <c r="G2264" s="528"/>
      <c r="H2264" s="549" t="s">
        <v>38</v>
      </c>
      <c r="I2264" s="711">
        <v>0</v>
      </c>
      <c r="J2264" s="897"/>
      <c r="K2264" s="528"/>
      <c r="L2264" s="549" t="s">
        <v>38</v>
      </c>
      <c r="M2264" s="711">
        <f t="shared" si="8919"/>
        <v>0</v>
      </c>
      <c r="N2264" s="897"/>
      <c r="O2264" s="528"/>
      <c r="P2264" s="548">
        <v>0</v>
      </c>
      <c r="Q2264" s="548">
        <v>0</v>
      </c>
      <c r="R2264" s="548">
        <v>0</v>
      </c>
      <c r="S2264" s="548">
        <v>0</v>
      </c>
      <c r="T2264" s="548">
        <v>0</v>
      </c>
      <c r="U2264" s="548">
        <v>0</v>
      </c>
      <c r="V2264" s="548"/>
      <c r="W2264" s="528"/>
      <c r="X2264" s="711">
        <f t="shared" si="9028"/>
        <v>0</v>
      </c>
      <c r="Y2264" s="897"/>
      <c r="Z2264" s="528"/>
      <c r="AA2264" s="899"/>
      <c r="AB2264" s="899"/>
      <c r="AC2264" s="904"/>
      <c r="AD2264" s="905"/>
      <c r="AE2264" s="2"/>
      <c r="AF2264" s="885"/>
      <c r="AG2264" s="885"/>
      <c r="AH2264" s="885"/>
      <c r="AI2264" s="885"/>
      <c r="AJ2264" s="885"/>
      <c r="AK2264" s="885"/>
      <c r="AL2264" s="885"/>
      <c r="AM2264" s="879"/>
      <c r="AN2264" s="2"/>
      <c r="AO2264" s="886"/>
      <c r="AP2264" s="886"/>
      <c r="AV2264" t="str">
        <f t="shared" si="9076"/>
        <v>Drenagem Superficial</v>
      </c>
      <c r="AW2264" s="4" t="str">
        <f t="shared" si="9074"/>
        <v xml:space="preserve">   Seg. 3.1-C07 - Drenagem Superficial - Valetas de proteção de corte (Extrusada)</v>
      </c>
    </row>
    <row r="2265" spans="1:50" ht="18.399999999999999" hidden="1" customHeight="1" outlineLevel="2">
      <c r="A2265" s="209" t="str">
        <f t="shared" ref="A2265" si="9134">IF(SUM(P2265:V2266)&gt;0,"S","N")</f>
        <v>N</v>
      </c>
      <c r="B2265" s="150">
        <v>1069691</v>
      </c>
      <c r="C2265" s="150" t="s">
        <v>2589</v>
      </c>
      <c r="D2265" s="120" t="s">
        <v>2590</v>
      </c>
      <c r="E2265" s="892" t="s">
        <v>2591</v>
      </c>
      <c r="F2265" s="902" t="s">
        <v>52</v>
      </c>
      <c r="G2265" s="528"/>
      <c r="H2265" s="546" t="s">
        <v>37</v>
      </c>
      <c r="I2265" s="711">
        <v>0</v>
      </c>
      <c r="J2265" s="896" t="str">
        <f t="shared" ref="J2265" si="9135">IFERROR((I2266/I2265),"-")</f>
        <v>-</v>
      </c>
      <c r="K2265" s="528"/>
      <c r="L2265" s="546" t="s">
        <v>37</v>
      </c>
      <c r="M2265" s="711">
        <f t="shared" si="8919"/>
        <v>0</v>
      </c>
      <c r="N2265" s="896" t="str">
        <f t="shared" ref="N2265" si="9136">IFERROR((M2266/M2265),"-")</f>
        <v>-</v>
      </c>
      <c r="O2265" s="528"/>
      <c r="P2265" s="547">
        <v>0</v>
      </c>
      <c r="Q2265" s="547">
        <v>0</v>
      </c>
      <c r="R2265" s="547">
        <v>0</v>
      </c>
      <c r="S2265" s="547">
        <v>0</v>
      </c>
      <c r="T2265" s="547">
        <v>0</v>
      </c>
      <c r="U2265" s="547">
        <v>0</v>
      </c>
      <c r="V2265" s="548">
        <v>0</v>
      </c>
      <c r="W2265" s="528"/>
      <c r="X2265" s="711">
        <f t="shared" si="9028"/>
        <v>0</v>
      </c>
      <c r="Y2265" s="896" t="str">
        <f t="shared" ref="Y2265" si="9137">IFERROR((X2266/X2265),"-")</f>
        <v>-</v>
      </c>
      <c r="Z2265" s="528"/>
      <c r="AA2265" s="898">
        <v>0</v>
      </c>
      <c r="AB2265" s="898">
        <v>0</v>
      </c>
      <c r="AC2265" s="903">
        <v>0</v>
      </c>
      <c r="AD2265" s="896" t="str">
        <f t="shared" ref="AD2265" si="9138">IFERROR((AC2265/AB2265),"-")</f>
        <v>-</v>
      </c>
      <c r="AE2265" s="2"/>
      <c r="AF2265" s="884">
        <v>0</v>
      </c>
      <c r="AG2265" s="884"/>
      <c r="AH2265" s="884">
        <v>0</v>
      </c>
      <c r="AI2265" s="884"/>
      <c r="AJ2265" s="884"/>
      <c r="AK2265" s="884">
        <f t="shared" ref="AK2265" si="9139">AF2265+AG2265+AH2265+AI2265+AJ2265+AC2265</f>
        <v>0</v>
      </c>
      <c r="AL2265" s="884">
        <v>82.000000000000014</v>
      </c>
      <c r="AM2265" s="878">
        <f t="shared" ref="AM2265" si="9140">IFERROR((AK2265/AL2265),"-")</f>
        <v>0</v>
      </c>
      <c r="AN2265" s="2"/>
      <c r="AO2265" s="884">
        <v>82</v>
      </c>
      <c r="AP2265" s="884">
        <f t="shared" ref="AP2265" si="9141">AO2265-AK2265</f>
        <v>82</v>
      </c>
      <c r="AV2265" s="4" t="str">
        <f t="shared" si="9076"/>
        <v>Drenagem Superficial</v>
      </c>
      <c r="AW2265" s="4" t="str">
        <f t="shared" si="9074"/>
        <v xml:space="preserve">   Seg. 3.1-A03 - Drenagem Superficial - Valetas de proteção de aterro (Extrusada)</v>
      </c>
      <c r="AX2265" s="4"/>
    </row>
    <row r="2266" spans="1:50" ht="18.399999999999999" hidden="1" customHeight="1" outlineLevel="2">
      <c r="A2266" s="209" t="str">
        <f t="shared" ref="A2266" si="9142">A2265</f>
        <v>N</v>
      </c>
      <c r="B2266" s="150"/>
      <c r="C2266" s="150" t="s">
        <v>2589</v>
      </c>
      <c r="D2266" s="120" t="s">
        <v>2590</v>
      </c>
      <c r="E2266" s="893"/>
      <c r="F2266" s="902"/>
      <c r="G2266" s="528"/>
      <c r="H2266" s="549" t="s">
        <v>38</v>
      </c>
      <c r="I2266" s="711">
        <v>0</v>
      </c>
      <c r="J2266" s="897"/>
      <c r="K2266" s="528"/>
      <c r="L2266" s="549" t="s">
        <v>38</v>
      </c>
      <c r="M2266" s="711">
        <f t="shared" si="8919"/>
        <v>0</v>
      </c>
      <c r="N2266" s="897"/>
      <c r="O2266" s="528"/>
      <c r="P2266" s="548">
        <v>0</v>
      </c>
      <c r="Q2266" s="548">
        <v>0</v>
      </c>
      <c r="R2266" s="548">
        <v>0</v>
      </c>
      <c r="S2266" s="548">
        <v>0</v>
      </c>
      <c r="T2266" s="548">
        <v>0</v>
      </c>
      <c r="U2266" s="548">
        <v>0</v>
      </c>
      <c r="V2266" s="548"/>
      <c r="W2266" s="528"/>
      <c r="X2266" s="711">
        <f t="shared" si="9028"/>
        <v>0</v>
      </c>
      <c r="Y2266" s="897"/>
      <c r="Z2266" s="528"/>
      <c r="AA2266" s="899"/>
      <c r="AB2266" s="899"/>
      <c r="AC2266" s="904"/>
      <c r="AD2266" s="905"/>
      <c r="AE2266" s="2"/>
      <c r="AF2266" s="885"/>
      <c r="AG2266" s="885"/>
      <c r="AH2266" s="885"/>
      <c r="AI2266" s="885"/>
      <c r="AJ2266" s="885"/>
      <c r="AK2266" s="885"/>
      <c r="AL2266" s="885"/>
      <c r="AM2266" s="879"/>
      <c r="AN2266" s="2"/>
      <c r="AO2266" s="886"/>
      <c r="AP2266" s="886"/>
      <c r="AV2266" t="str">
        <f t="shared" si="9076"/>
        <v>Drenagem Superficial</v>
      </c>
      <c r="AW2266" s="4" t="str">
        <f t="shared" si="9074"/>
        <v xml:space="preserve">   Seg. 3.1-A03 - Drenagem Superficial - Valetas de proteção de aterro (Extrusada)</v>
      </c>
    </row>
    <row r="2267" spans="1:50" ht="18.399999999999999" hidden="1" customHeight="1" outlineLevel="2">
      <c r="A2267" s="8" t="str">
        <f t="shared" ref="A2267" si="9143">IF(SUM(P2267:V2268)&gt;0,"S","N")</f>
        <v>N</v>
      </c>
      <c r="B2267" s="150">
        <v>1069692</v>
      </c>
      <c r="C2267" s="150" t="s">
        <v>2592</v>
      </c>
      <c r="D2267" s="120" t="s">
        <v>596</v>
      </c>
      <c r="E2267" s="892" t="s">
        <v>2593</v>
      </c>
      <c r="F2267" s="902" t="s">
        <v>52</v>
      </c>
      <c r="G2267" s="528"/>
      <c r="H2267" s="546" t="s">
        <v>37</v>
      </c>
      <c r="I2267" s="711">
        <v>0</v>
      </c>
      <c r="J2267" s="896" t="str">
        <f t="shared" ref="J2267" si="9144">IFERROR((I2268/I2267),"-")</f>
        <v>-</v>
      </c>
      <c r="K2267" s="528"/>
      <c r="L2267" s="546" t="s">
        <v>37</v>
      </c>
      <c r="M2267" s="711">
        <f t="shared" si="8919"/>
        <v>0</v>
      </c>
      <c r="N2267" s="896" t="str">
        <f>IFERROR((M2268/M2267),"-")</f>
        <v>-</v>
      </c>
      <c r="O2267" s="528"/>
      <c r="P2267" s="547">
        <v>0</v>
      </c>
      <c r="Q2267" s="547">
        <v>0</v>
      </c>
      <c r="R2267" s="547">
        <v>0</v>
      </c>
      <c r="S2267" s="547">
        <v>0</v>
      </c>
      <c r="T2267" s="547">
        <v>0</v>
      </c>
      <c r="U2267" s="547">
        <v>0</v>
      </c>
      <c r="V2267" s="548">
        <v>0</v>
      </c>
      <c r="W2267" s="528"/>
      <c r="X2267" s="711">
        <f t="shared" si="9028"/>
        <v>0</v>
      </c>
      <c r="Y2267" s="896" t="str">
        <f t="shared" ref="Y2267" si="9145">IFERROR((X2268/X2267),"-")</f>
        <v>-</v>
      </c>
      <c r="Z2267" s="528"/>
      <c r="AA2267" s="898">
        <v>92</v>
      </c>
      <c r="AB2267" s="898">
        <v>61.32</v>
      </c>
      <c r="AC2267" s="903">
        <v>0</v>
      </c>
      <c r="AD2267" s="896">
        <f t="shared" ref="AD2267" si="9146">IFERROR((AC2267/AB2267),"-")</f>
        <v>0</v>
      </c>
      <c r="AE2267" s="2"/>
      <c r="AF2267" s="884">
        <v>0</v>
      </c>
      <c r="AG2267" s="884"/>
      <c r="AH2267" s="884">
        <v>0</v>
      </c>
      <c r="AI2267" s="884"/>
      <c r="AJ2267" s="884"/>
      <c r="AK2267" s="884">
        <f t="shared" ref="AK2267" si="9147">AF2267+AG2267+AH2267+AI2267+AJ2267+AC2267</f>
        <v>0</v>
      </c>
      <c r="AL2267" s="884">
        <v>61.32</v>
      </c>
      <c r="AM2267" s="878">
        <f t="shared" ref="AM2267" si="9148">IFERROR((AK2267/AL2267),"-")</f>
        <v>0</v>
      </c>
      <c r="AN2267" s="2"/>
      <c r="AO2267" s="884">
        <v>92</v>
      </c>
      <c r="AP2267" s="884">
        <f t="shared" ref="AP2267" si="9149">AO2267-AK2267</f>
        <v>92</v>
      </c>
      <c r="AV2267" t="str">
        <f t="shared" si="9076"/>
        <v>Drenagem Superficial</v>
      </c>
      <c r="AW2267" s="4" t="str">
        <f t="shared" si="9074"/>
        <v xml:space="preserve">   Seg. 3.1-A03 - Drenagem Superficial - Valetas de proteção de aterro (Manual)</v>
      </c>
    </row>
    <row r="2268" spans="1:50" ht="18.399999999999999" hidden="1" customHeight="1" outlineLevel="2">
      <c r="A2268" s="8" t="str">
        <f t="shared" ref="A2268" si="9150">A2267</f>
        <v>N</v>
      </c>
      <c r="B2268" s="150"/>
      <c r="C2268" s="150" t="s">
        <v>2592</v>
      </c>
      <c r="D2268" s="120" t="s">
        <v>596</v>
      </c>
      <c r="E2268" s="893"/>
      <c r="F2268" s="902"/>
      <c r="G2268" s="528"/>
      <c r="H2268" s="549" t="s">
        <v>38</v>
      </c>
      <c r="I2268" s="711">
        <v>0</v>
      </c>
      <c r="J2268" s="897"/>
      <c r="K2268" s="528"/>
      <c r="L2268" s="549" t="s">
        <v>38</v>
      </c>
      <c r="M2268" s="711">
        <f t="shared" si="8919"/>
        <v>0</v>
      </c>
      <c r="N2268" s="897"/>
      <c r="O2268" s="528"/>
      <c r="P2268" s="548">
        <v>0</v>
      </c>
      <c r="Q2268" s="548">
        <v>0</v>
      </c>
      <c r="R2268" s="548">
        <v>0</v>
      </c>
      <c r="S2268" s="548">
        <v>0</v>
      </c>
      <c r="T2268" s="548">
        <v>0</v>
      </c>
      <c r="U2268" s="548">
        <v>0</v>
      </c>
      <c r="V2268" s="548"/>
      <c r="W2268" s="528"/>
      <c r="X2268" s="711">
        <f t="shared" si="9028"/>
        <v>0</v>
      </c>
      <c r="Y2268" s="897"/>
      <c r="Z2268" s="528"/>
      <c r="AA2268" s="899"/>
      <c r="AB2268" s="899"/>
      <c r="AC2268" s="904"/>
      <c r="AD2268" s="905"/>
      <c r="AE2268" s="2"/>
      <c r="AF2268" s="885"/>
      <c r="AG2268" s="885"/>
      <c r="AH2268" s="885"/>
      <c r="AI2268" s="885"/>
      <c r="AJ2268" s="885"/>
      <c r="AK2268" s="885"/>
      <c r="AL2268" s="885"/>
      <c r="AM2268" s="879"/>
      <c r="AN2268" s="2"/>
      <c r="AO2268" s="886"/>
      <c r="AP2268" s="886"/>
      <c r="AV2268" t="str">
        <f t="shared" si="9076"/>
        <v>Drenagem Superficial</v>
      </c>
      <c r="AW2268" s="4" t="str">
        <f t="shared" si="9074"/>
        <v xml:space="preserve">   Seg. 3.1-A03 - Drenagem Superficial - Valetas de proteção de aterro (Manual)</v>
      </c>
    </row>
    <row r="2269" spans="1:50" ht="18.399999999999999" hidden="1" customHeight="1" outlineLevel="2">
      <c r="A2269" s="8" t="str">
        <f t="shared" ref="A2269" si="9151">IF(SUM(P2269:V2270)&gt;0,"S","N")</f>
        <v>N</v>
      </c>
      <c r="B2269" s="150">
        <v>1069696</v>
      </c>
      <c r="C2269" s="150" t="s">
        <v>2594</v>
      </c>
      <c r="D2269" s="120" t="s">
        <v>2595</v>
      </c>
      <c r="E2269" s="892" t="s">
        <v>2596</v>
      </c>
      <c r="F2269" s="902" t="s">
        <v>52</v>
      </c>
      <c r="G2269" s="528"/>
      <c r="H2269" s="546" t="s">
        <v>37</v>
      </c>
      <c r="I2269" s="711">
        <v>0</v>
      </c>
      <c r="J2269" s="896" t="str">
        <f t="shared" ref="J2269" si="9152">IFERROR((I2270/I2269),"-")</f>
        <v>-</v>
      </c>
      <c r="K2269" s="528"/>
      <c r="L2269" s="546" t="s">
        <v>37</v>
      </c>
      <c r="M2269" s="711">
        <f t="shared" si="8919"/>
        <v>0</v>
      </c>
      <c r="N2269" s="896" t="str">
        <f t="shared" ref="N2269" si="9153">IFERROR((M2270/M2269),"-")</f>
        <v>-</v>
      </c>
      <c r="O2269" s="528"/>
      <c r="P2269" s="547">
        <v>0</v>
      </c>
      <c r="Q2269" s="547">
        <v>0</v>
      </c>
      <c r="R2269" s="547">
        <v>0</v>
      </c>
      <c r="S2269" s="547">
        <v>0</v>
      </c>
      <c r="T2269" s="547">
        <v>0</v>
      </c>
      <c r="U2269" s="547">
        <v>0</v>
      </c>
      <c r="V2269" s="548">
        <v>0</v>
      </c>
      <c r="W2269" s="528"/>
      <c r="X2269" s="711">
        <f t="shared" si="9028"/>
        <v>0</v>
      </c>
      <c r="Y2269" s="896" t="str">
        <f t="shared" ref="Y2269" si="9154">IFERROR((X2270/X2269),"-")</f>
        <v>-</v>
      </c>
      <c r="Z2269" s="528"/>
      <c r="AA2269" s="898">
        <v>0</v>
      </c>
      <c r="AB2269" s="898">
        <v>0</v>
      </c>
      <c r="AC2269" s="903">
        <v>0</v>
      </c>
      <c r="AD2269" s="896" t="str">
        <f t="shared" ref="AD2269" si="9155">IFERROR((AC2269/AB2269),"-")</f>
        <v>-</v>
      </c>
      <c r="AE2269" s="2"/>
      <c r="AF2269" s="884">
        <v>0</v>
      </c>
      <c r="AG2269" s="884"/>
      <c r="AH2269" s="884">
        <v>0</v>
      </c>
      <c r="AI2269" s="884"/>
      <c r="AJ2269" s="884"/>
      <c r="AK2269" s="884">
        <f t="shared" ref="AK2269" si="9156">AF2269+AG2269+AH2269+AI2269+AJ2269+AC2269</f>
        <v>0</v>
      </c>
      <c r="AL2269" s="884">
        <v>0</v>
      </c>
      <c r="AM2269" s="878" t="str">
        <f t="shared" ref="AM2269" si="9157">IFERROR((AK2269/AL2269),"-")</f>
        <v>-</v>
      </c>
      <c r="AN2269" s="2"/>
      <c r="AO2269" s="884">
        <v>40</v>
      </c>
      <c r="AP2269" s="884">
        <f t="shared" ref="AP2269" si="9158">AO2269-AK2269</f>
        <v>40</v>
      </c>
      <c r="AV2269" t="str">
        <f t="shared" si="9076"/>
        <v>Drenagem Superficial</v>
      </c>
      <c r="AW2269" s="4" t="str">
        <f t="shared" si="9074"/>
        <v xml:space="preserve">   Seg. 3.1-A08 - Drenagem Superficial - Valetas de proteção de aterro (Extrusada)</v>
      </c>
    </row>
    <row r="2270" spans="1:50" ht="18.399999999999999" hidden="1" customHeight="1" outlineLevel="2">
      <c r="A2270" s="8" t="str">
        <f t="shared" ref="A2270" si="9159">A2269</f>
        <v>N</v>
      </c>
      <c r="B2270" s="150"/>
      <c r="C2270" s="150" t="s">
        <v>2594</v>
      </c>
      <c r="D2270" s="120" t="s">
        <v>2595</v>
      </c>
      <c r="E2270" s="893"/>
      <c r="F2270" s="902"/>
      <c r="G2270" s="528"/>
      <c r="H2270" s="549" t="s">
        <v>38</v>
      </c>
      <c r="I2270" s="711">
        <v>0</v>
      </c>
      <c r="J2270" s="897"/>
      <c r="K2270" s="528"/>
      <c r="L2270" s="549" t="s">
        <v>38</v>
      </c>
      <c r="M2270" s="711">
        <f t="shared" si="8919"/>
        <v>0</v>
      </c>
      <c r="N2270" s="897"/>
      <c r="O2270" s="528"/>
      <c r="P2270" s="548">
        <v>0</v>
      </c>
      <c r="Q2270" s="548">
        <v>0</v>
      </c>
      <c r="R2270" s="548">
        <v>0</v>
      </c>
      <c r="S2270" s="548">
        <v>0</v>
      </c>
      <c r="T2270" s="548">
        <v>0</v>
      </c>
      <c r="U2270" s="548">
        <v>0</v>
      </c>
      <c r="V2270" s="548"/>
      <c r="W2270" s="528"/>
      <c r="X2270" s="711">
        <f t="shared" si="9028"/>
        <v>0</v>
      </c>
      <c r="Y2270" s="897"/>
      <c r="Z2270" s="528"/>
      <c r="AA2270" s="899"/>
      <c r="AB2270" s="899"/>
      <c r="AC2270" s="904"/>
      <c r="AD2270" s="905"/>
      <c r="AE2270" s="2"/>
      <c r="AF2270" s="885"/>
      <c r="AG2270" s="885"/>
      <c r="AH2270" s="885"/>
      <c r="AI2270" s="885"/>
      <c r="AJ2270" s="885"/>
      <c r="AK2270" s="885"/>
      <c r="AL2270" s="885"/>
      <c r="AM2270" s="879"/>
      <c r="AN2270" s="2"/>
      <c r="AO2270" s="886"/>
      <c r="AP2270" s="886"/>
      <c r="AV2270" t="str">
        <f t="shared" si="9076"/>
        <v>Drenagem Superficial</v>
      </c>
      <c r="AW2270" s="4" t="str">
        <f t="shared" si="9074"/>
        <v xml:space="preserve">   Seg. 3.1-A08 - Drenagem Superficial - Valetas de proteção de aterro (Extrusada)</v>
      </c>
    </row>
    <row r="2271" spans="1:50" ht="18.399999999999999" hidden="1" customHeight="1" outlineLevel="2">
      <c r="A2271" s="8" t="str">
        <f t="shared" ref="A2271" si="9160">IF(SUM(P2271:V2272)&gt;0,"S","N")</f>
        <v>N</v>
      </c>
      <c r="B2271" s="150">
        <v>1069841</v>
      </c>
      <c r="C2271" s="150" t="s">
        <v>2597</v>
      </c>
      <c r="D2271" s="120" t="s">
        <v>600</v>
      </c>
      <c r="E2271" s="892" t="s">
        <v>2598</v>
      </c>
      <c r="F2271" s="902" t="s">
        <v>52</v>
      </c>
      <c r="G2271" s="528"/>
      <c r="H2271" s="546" t="s">
        <v>37</v>
      </c>
      <c r="I2271" s="711">
        <v>0</v>
      </c>
      <c r="J2271" s="896" t="str">
        <f t="shared" ref="J2271" si="9161">IFERROR((I2272/I2271),"-")</f>
        <v>-</v>
      </c>
      <c r="K2271" s="528"/>
      <c r="L2271" s="546" t="s">
        <v>37</v>
      </c>
      <c r="M2271" s="711">
        <f t="shared" si="8919"/>
        <v>0</v>
      </c>
      <c r="N2271" s="896" t="str">
        <f t="shared" ref="N2271" si="9162">IFERROR((M2272/M2271),"-")</f>
        <v>-</v>
      </c>
      <c r="O2271" s="528"/>
      <c r="P2271" s="547">
        <v>0</v>
      </c>
      <c r="Q2271" s="547">
        <v>0</v>
      </c>
      <c r="R2271" s="547">
        <v>0</v>
      </c>
      <c r="S2271" s="547">
        <v>0</v>
      </c>
      <c r="T2271" s="547">
        <v>0</v>
      </c>
      <c r="U2271" s="547">
        <v>0</v>
      </c>
      <c r="V2271" s="548">
        <v>0</v>
      </c>
      <c r="W2271" s="528"/>
      <c r="X2271" s="711">
        <f t="shared" si="9028"/>
        <v>0</v>
      </c>
      <c r="Y2271" s="896" t="str">
        <f t="shared" ref="Y2271" si="9163">IFERROR((X2272/X2271),"-")</f>
        <v>-</v>
      </c>
      <c r="Z2271" s="528"/>
      <c r="AA2271" s="898">
        <v>150</v>
      </c>
      <c r="AB2271" s="898">
        <v>0</v>
      </c>
      <c r="AC2271" s="903">
        <v>0</v>
      </c>
      <c r="AD2271" s="896" t="str">
        <f t="shared" ref="AD2271" si="9164">IFERROR((AC2271/AB2271),"-")</f>
        <v>-</v>
      </c>
      <c r="AE2271" s="2"/>
      <c r="AF2271" s="884">
        <v>0</v>
      </c>
      <c r="AG2271" s="884"/>
      <c r="AH2271" s="884">
        <v>0</v>
      </c>
      <c r="AI2271" s="884"/>
      <c r="AJ2271" s="884"/>
      <c r="AK2271" s="884">
        <f t="shared" ref="AK2271" si="9165">AF2271+AG2271+AH2271+AI2271+AJ2271+AC2271</f>
        <v>0</v>
      </c>
      <c r="AL2271" s="884">
        <v>0</v>
      </c>
      <c r="AM2271" s="878" t="str">
        <f t="shared" ref="AM2271" si="9166">IFERROR((AK2271/AL2271),"-")</f>
        <v>-</v>
      </c>
      <c r="AN2271" s="2"/>
      <c r="AO2271" s="884">
        <v>150</v>
      </c>
      <c r="AP2271" s="884">
        <f t="shared" ref="AP2271" si="9167">AO2271-AK2271</f>
        <v>150</v>
      </c>
      <c r="AV2271" s="4" t="str">
        <f t="shared" si="9076"/>
        <v>Drenagem Superficial</v>
      </c>
      <c r="AW2271" s="4" t="str">
        <f t="shared" si="9074"/>
        <v xml:space="preserve">   Seg. 3.1-A04 - Drenagem Superficial - Valetas de proteção de aterro (Manual)</v>
      </c>
      <c r="AX2271" s="4"/>
    </row>
    <row r="2272" spans="1:50" ht="18.399999999999999" hidden="1" customHeight="1" outlineLevel="2">
      <c r="A2272" s="8" t="str">
        <f t="shared" ref="A2272" si="9168">A2271</f>
        <v>N</v>
      </c>
      <c r="B2272" s="150"/>
      <c r="C2272" s="150" t="s">
        <v>2597</v>
      </c>
      <c r="D2272" s="120" t="s">
        <v>600</v>
      </c>
      <c r="E2272" s="893"/>
      <c r="F2272" s="902"/>
      <c r="G2272" s="528"/>
      <c r="H2272" s="549" t="s">
        <v>38</v>
      </c>
      <c r="I2272" s="711">
        <v>0</v>
      </c>
      <c r="J2272" s="897"/>
      <c r="K2272" s="528"/>
      <c r="L2272" s="549" t="s">
        <v>38</v>
      </c>
      <c r="M2272" s="711">
        <f t="shared" si="8919"/>
        <v>0</v>
      </c>
      <c r="N2272" s="897"/>
      <c r="O2272" s="528"/>
      <c r="P2272" s="548">
        <v>0</v>
      </c>
      <c r="Q2272" s="548">
        <v>0</v>
      </c>
      <c r="R2272" s="548">
        <v>0</v>
      </c>
      <c r="S2272" s="548">
        <v>0</v>
      </c>
      <c r="T2272" s="548">
        <v>0</v>
      </c>
      <c r="U2272" s="548">
        <v>0</v>
      </c>
      <c r="V2272" s="548"/>
      <c r="W2272" s="528"/>
      <c r="X2272" s="711">
        <f t="shared" si="9028"/>
        <v>0</v>
      </c>
      <c r="Y2272" s="897"/>
      <c r="Z2272" s="528"/>
      <c r="AA2272" s="899"/>
      <c r="AB2272" s="899"/>
      <c r="AC2272" s="904"/>
      <c r="AD2272" s="905"/>
      <c r="AE2272" s="2"/>
      <c r="AF2272" s="885"/>
      <c r="AG2272" s="885"/>
      <c r="AH2272" s="885"/>
      <c r="AI2272" s="885"/>
      <c r="AJ2272" s="885"/>
      <c r="AK2272" s="885"/>
      <c r="AL2272" s="885"/>
      <c r="AM2272" s="879"/>
      <c r="AN2272" s="2"/>
      <c r="AO2272" s="886"/>
      <c r="AP2272" s="886"/>
      <c r="AV2272" t="str">
        <f t="shared" si="9076"/>
        <v>Drenagem Superficial</v>
      </c>
      <c r="AW2272" s="4" t="str">
        <f t="shared" si="9074"/>
        <v xml:space="preserve">   Seg. 3.1-A04 - Drenagem Superficial - Valetas de proteção de aterro (Manual)</v>
      </c>
    </row>
    <row r="2273" spans="1:50" ht="18.399999999999999" hidden="1" customHeight="1" outlineLevel="2">
      <c r="A2273" s="8" t="str">
        <f t="shared" ref="A2273" si="9169">IF(SUM(P2273:V2274)&gt;0,"S","N")</f>
        <v>N</v>
      </c>
      <c r="B2273" s="150">
        <v>1069842</v>
      </c>
      <c r="C2273" s="150" t="s">
        <v>2599</v>
      </c>
      <c r="D2273" s="120" t="s">
        <v>2080</v>
      </c>
      <c r="E2273" s="892" t="s">
        <v>2600</v>
      </c>
      <c r="F2273" s="902" t="s">
        <v>52</v>
      </c>
      <c r="G2273" s="528"/>
      <c r="H2273" s="546" t="s">
        <v>37</v>
      </c>
      <c r="I2273" s="711">
        <v>0</v>
      </c>
      <c r="J2273" s="896" t="str">
        <f t="shared" ref="J2273" si="9170">IFERROR((I2274/I2273),"-")</f>
        <v>-</v>
      </c>
      <c r="K2273" s="528"/>
      <c r="L2273" s="546" t="s">
        <v>37</v>
      </c>
      <c r="M2273" s="711">
        <f t="shared" si="8919"/>
        <v>0</v>
      </c>
      <c r="N2273" s="896" t="str">
        <f t="shared" ref="N2273" si="9171">IFERROR((M2274/M2273),"-")</f>
        <v>-</v>
      </c>
      <c r="O2273" s="528"/>
      <c r="P2273" s="547">
        <v>0</v>
      </c>
      <c r="Q2273" s="547">
        <v>0</v>
      </c>
      <c r="R2273" s="547">
        <v>0</v>
      </c>
      <c r="S2273" s="547">
        <v>0</v>
      </c>
      <c r="T2273" s="547">
        <v>0</v>
      </c>
      <c r="U2273" s="547">
        <v>0</v>
      </c>
      <c r="V2273" s="548">
        <v>0</v>
      </c>
      <c r="W2273" s="528"/>
      <c r="X2273" s="711">
        <f t="shared" si="9028"/>
        <v>0</v>
      </c>
      <c r="Y2273" s="896" t="str">
        <f t="shared" ref="Y2273" si="9172">IFERROR((X2274/X2273),"-")</f>
        <v>-</v>
      </c>
      <c r="Z2273" s="528"/>
      <c r="AA2273" s="898">
        <v>0</v>
      </c>
      <c r="AB2273" s="898">
        <v>0</v>
      </c>
      <c r="AC2273" s="903">
        <v>0</v>
      </c>
      <c r="AD2273" s="896" t="str">
        <f t="shared" ref="AD2273" si="9173">IFERROR((AC2273/AB2273),"-")</f>
        <v>-</v>
      </c>
      <c r="AE2273" s="2"/>
      <c r="AF2273" s="884">
        <v>0</v>
      </c>
      <c r="AG2273" s="884"/>
      <c r="AH2273" s="884">
        <v>0</v>
      </c>
      <c r="AI2273" s="884"/>
      <c r="AJ2273" s="884"/>
      <c r="AK2273" s="884">
        <f t="shared" ref="AK2273" si="9174">AF2273+AG2273+AH2273+AI2273+AJ2273+AC2273</f>
        <v>0</v>
      </c>
      <c r="AL2273" s="884">
        <v>0</v>
      </c>
      <c r="AM2273" s="878" t="str">
        <f t="shared" ref="AM2273" si="9175">IFERROR((AK2273/AL2273),"-")</f>
        <v>-</v>
      </c>
      <c r="AN2273" s="2"/>
      <c r="AO2273" s="884">
        <v>430</v>
      </c>
      <c r="AP2273" s="884">
        <f t="shared" ref="AP2273" si="9176">AO2273-AK2273</f>
        <v>430</v>
      </c>
      <c r="AV2273" t="str">
        <f t="shared" si="9076"/>
        <v>Drenagem Superficial</v>
      </c>
      <c r="AW2273" s="4" t="str">
        <f t="shared" si="9074"/>
        <v xml:space="preserve">   Seg. 3.1-ADME 1-2 - Drenagem Superficial - Valetas de proteção de aterro (Manual)</v>
      </c>
    </row>
    <row r="2274" spans="1:50" ht="18.399999999999999" hidden="1" customHeight="1" outlineLevel="2">
      <c r="A2274" s="8" t="str">
        <f t="shared" ref="A2274" si="9177">A2273</f>
        <v>N</v>
      </c>
      <c r="B2274" s="150"/>
      <c r="C2274" s="150" t="s">
        <v>2599</v>
      </c>
      <c r="D2274" s="120" t="s">
        <v>2080</v>
      </c>
      <c r="E2274" s="893"/>
      <c r="F2274" s="902"/>
      <c r="G2274" s="528"/>
      <c r="H2274" s="549" t="s">
        <v>38</v>
      </c>
      <c r="I2274" s="711">
        <v>0</v>
      </c>
      <c r="J2274" s="897"/>
      <c r="K2274" s="528"/>
      <c r="L2274" s="549" t="s">
        <v>38</v>
      </c>
      <c r="M2274" s="711">
        <f t="shared" si="8919"/>
        <v>0</v>
      </c>
      <c r="N2274" s="897"/>
      <c r="O2274" s="528"/>
      <c r="P2274" s="548">
        <v>0</v>
      </c>
      <c r="Q2274" s="548">
        <v>0</v>
      </c>
      <c r="R2274" s="548">
        <v>0</v>
      </c>
      <c r="S2274" s="548">
        <v>0</v>
      </c>
      <c r="T2274" s="548">
        <v>0</v>
      </c>
      <c r="U2274" s="548">
        <v>0</v>
      </c>
      <c r="V2274" s="548"/>
      <c r="W2274" s="528"/>
      <c r="X2274" s="711">
        <f t="shared" si="9028"/>
        <v>0</v>
      </c>
      <c r="Y2274" s="897"/>
      <c r="Z2274" s="528"/>
      <c r="AA2274" s="899"/>
      <c r="AB2274" s="899"/>
      <c r="AC2274" s="904"/>
      <c r="AD2274" s="905"/>
      <c r="AE2274" s="2"/>
      <c r="AF2274" s="885"/>
      <c r="AG2274" s="885"/>
      <c r="AH2274" s="885"/>
      <c r="AI2274" s="885"/>
      <c r="AJ2274" s="885"/>
      <c r="AK2274" s="885"/>
      <c r="AL2274" s="885"/>
      <c r="AM2274" s="879"/>
      <c r="AN2274" s="2"/>
      <c r="AO2274" s="886"/>
      <c r="AP2274" s="886"/>
      <c r="AV2274" t="str">
        <f t="shared" si="9076"/>
        <v>Drenagem Superficial</v>
      </c>
      <c r="AW2274" s="4" t="str">
        <f t="shared" si="9074"/>
        <v xml:space="preserve">   Seg. 3.1-ADME 1-2 - Drenagem Superficial - Valetas de proteção de aterro (Manual)</v>
      </c>
    </row>
    <row r="2275" spans="1:50" ht="18.399999999999999" hidden="1" customHeight="1" outlineLevel="2">
      <c r="A2275" s="8" t="str">
        <f t="shared" ref="A2275" si="9178">IF(SUM(P2275:V2276)&gt;0,"S","N")</f>
        <v>N</v>
      </c>
      <c r="B2275" s="150">
        <v>1069882</v>
      </c>
      <c r="C2275" s="150" t="s">
        <v>2601</v>
      </c>
      <c r="D2275" s="120" t="s">
        <v>1171</v>
      </c>
      <c r="E2275" s="892" t="s">
        <v>2602</v>
      </c>
      <c r="F2275" s="902" t="s">
        <v>52</v>
      </c>
      <c r="G2275" s="528"/>
      <c r="H2275" s="546" t="s">
        <v>37</v>
      </c>
      <c r="I2275" s="711">
        <v>0</v>
      </c>
      <c r="J2275" s="896" t="str">
        <f t="shared" ref="J2275" si="9179">IFERROR((I2276/I2275),"-")</f>
        <v>-</v>
      </c>
      <c r="K2275" s="528"/>
      <c r="L2275" s="546" t="s">
        <v>37</v>
      </c>
      <c r="M2275" s="711">
        <f t="shared" si="8919"/>
        <v>0</v>
      </c>
      <c r="N2275" s="896" t="str">
        <f t="shared" ref="N2275" si="9180">IFERROR((M2276/M2275),"-")</f>
        <v>-</v>
      </c>
      <c r="O2275" s="528"/>
      <c r="P2275" s="547">
        <v>0</v>
      </c>
      <c r="Q2275" s="547">
        <v>0</v>
      </c>
      <c r="R2275" s="547">
        <v>0</v>
      </c>
      <c r="S2275" s="547">
        <v>0</v>
      </c>
      <c r="T2275" s="547">
        <v>0</v>
      </c>
      <c r="U2275" s="547">
        <v>0</v>
      </c>
      <c r="V2275" s="548">
        <v>0</v>
      </c>
      <c r="W2275" s="528"/>
      <c r="X2275" s="711">
        <f t="shared" si="9028"/>
        <v>0</v>
      </c>
      <c r="Y2275" s="896" t="str">
        <f t="shared" ref="Y2275" si="9181">IFERROR((X2276/X2275),"-")</f>
        <v>-</v>
      </c>
      <c r="Z2275" s="528"/>
      <c r="AA2275" s="898">
        <v>0</v>
      </c>
      <c r="AB2275" s="898">
        <v>0</v>
      </c>
      <c r="AC2275" s="903">
        <v>0</v>
      </c>
      <c r="AD2275" s="896" t="str">
        <f t="shared" ref="AD2275" si="9182">IFERROR((AC2275/AB2275),"-")</f>
        <v>-</v>
      </c>
      <c r="AE2275" s="2"/>
      <c r="AF2275" s="884">
        <v>0</v>
      </c>
      <c r="AG2275" s="884"/>
      <c r="AH2275" s="884">
        <v>0</v>
      </c>
      <c r="AI2275" s="884"/>
      <c r="AJ2275" s="884"/>
      <c r="AK2275" s="884">
        <f t="shared" ref="AK2275" si="9183">AF2275+AG2275+AH2275+AI2275+AJ2275+AC2275</f>
        <v>0</v>
      </c>
      <c r="AL2275" s="884">
        <v>0</v>
      </c>
      <c r="AM2275" s="878" t="str">
        <f t="shared" ref="AM2275" si="9184">IFERROR((AK2275/AL2275),"-")</f>
        <v>-</v>
      </c>
      <c r="AN2275" s="2"/>
      <c r="AO2275" s="884">
        <v>617</v>
      </c>
      <c r="AP2275" s="884">
        <f t="shared" ref="AP2275" si="9185">AO2275-AK2275</f>
        <v>617</v>
      </c>
      <c r="AV2275" t="str">
        <f t="shared" si="9076"/>
        <v>Drenagem Superficial</v>
      </c>
      <c r="AW2275" s="4" t="str">
        <f t="shared" si="9074"/>
        <v xml:space="preserve">   Construção de valeta de proteção de aterro</v>
      </c>
    </row>
    <row r="2276" spans="1:50" ht="18.399999999999999" hidden="1" customHeight="1" outlineLevel="2">
      <c r="A2276" s="8" t="str">
        <f t="shared" ref="A2276" si="9186">A2275</f>
        <v>N</v>
      </c>
      <c r="B2276" s="150"/>
      <c r="C2276" s="150" t="s">
        <v>2601</v>
      </c>
      <c r="D2276" s="120" t="s">
        <v>1171</v>
      </c>
      <c r="E2276" s="893"/>
      <c r="F2276" s="902"/>
      <c r="G2276" s="528"/>
      <c r="H2276" s="549" t="s">
        <v>38</v>
      </c>
      <c r="I2276" s="711">
        <v>0</v>
      </c>
      <c r="J2276" s="897"/>
      <c r="K2276" s="528"/>
      <c r="L2276" s="549" t="s">
        <v>38</v>
      </c>
      <c r="M2276" s="711">
        <f t="shared" si="8919"/>
        <v>0</v>
      </c>
      <c r="N2276" s="897"/>
      <c r="O2276" s="528"/>
      <c r="P2276" s="548">
        <v>0</v>
      </c>
      <c r="Q2276" s="548">
        <v>0</v>
      </c>
      <c r="R2276" s="548">
        <v>0</v>
      </c>
      <c r="S2276" s="548">
        <v>0</v>
      </c>
      <c r="T2276" s="548">
        <v>0</v>
      </c>
      <c r="U2276" s="548">
        <v>0</v>
      </c>
      <c r="V2276" s="548"/>
      <c r="W2276" s="528"/>
      <c r="X2276" s="711">
        <f t="shared" si="9028"/>
        <v>0</v>
      </c>
      <c r="Y2276" s="897"/>
      <c r="Z2276" s="528"/>
      <c r="AA2276" s="899"/>
      <c r="AB2276" s="899"/>
      <c r="AC2276" s="904"/>
      <c r="AD2276" s="905"/>
      <c r="AE2276" s="2"/>
      <c r="AF2276" s="885"/>
      <c r="AG2276" s="885"/>
      <c r="AH2276" s="885"/>
      <c r="AI2276" s="885"/>
      <c r="AJ2276" s="885"/>
      <c r="AK2276" s="885"/>
      <c r="AL2276" s="885"/>
      <c r="AM2276" s="879"/>
      <c r="AN2276" s="2"/>
      <c r="AO2276" s="886"/>
      <c r="AP2276" s="886"/>
      <c r="AV2276" t="str">
        <f t="shared" si="9076"/>
        <v>Drenagem Superficial</v>
      </c>
      <c r="AW2276" s="4" t="str">
        <f t="shared" si="9074"/>
        <v xml:space="preserve">   Construção de valeta de proteção de aterro</v>
      </c>
    </row>
    <row r="2277" spans="1:50" ht="18.399999999999999" hidden="1" customHeight="1" outlineLevel="2" collapsed="1">
      <c r="A2277" s="8" t="str">
        <f>IF(SUM(P2277:V2278)&gt;0,"S","N")</f>
        <v>N</v>
      </c>
      <c r="B2277" s="150">
        <v>1069899</v>
      </c>
      <c r="C2277" s="150"/>
      <c r="D2277" s="147" t="s">
        <v>2105</v>
      </c>
      <c r="E2277" s="892" t="s">
        <v>2603</v>
      </c>
      <c r="F2277" s="902" t="s">
        <v>52</v>
      </c>
      <c r="G2277" s="528"/>
      <c r="H2277" s="546" t="s">
        <v>37</v>
      </c>
      <c r="I2277" s="711">
        <v>0</v>
      </c>
      <c r="J2277" s="896" t="str">
        <f t="shared" ref="J2277" si="9187">IFERROR((I2278/I2277),"-")</f>
        <v>-</v>
      </c>
      <c r="K2277" s="528"/>
      <c r="L2277" s="546" t="s">
        <v>37</v>
      </c>
      <c r="M2277" s="711">
        <f>_xlfn.XLOOKUP($N$8,$P$8:$V$8,$P2277:$V2277)</f>
        <v>0</v>
      </c>
      <c r="N2277" s="896" t="str">
        <f t="shared" ref="N2277" si="9188">IFERROR((M2278/M2277),"-")</f>
        <v>-</v>
      </c>
      <c r="O2277" s="528"/>
      <c r="P2277" s="547">
        <v>0</v>
      </c>
      <c r="Q2277" s="547">
        <v>0</v>
      </c>
      <c r="R2277" s="547">
        <v>0</v>
      </c>
      <c r="S2277" s="547">
        <v>0</v>
      </c>
      <c r="T2277" s="547">
        <v>0</v>
      </c>
      <c r="U2277" s="547">
        <v>0</v>
      </c>
      <c r="V2277" s="548">
        <v>0</v>
      </c>
      <c r="W2277" s="528"/>
      <c r="X2277" s="711">
        <f t="shared" si="9028"/>
        <v>0</v>
      </c>
      <c r="Y2277" s="896" t="str">
        <f t="shared" ref="Y2277" si="9189">IFERROR((X2278/X2277),"-")</f>
        <v>-</v>
      </c>
      <c r="Z2277" s="528"/>
      <c r="AA2277" s="898">
        <v>1329.67</v>
      </c>
      <c r="AB2277" s="898">
        <v>616.42999999999984</v>
      </c>
      <c r="AC2277" s="903">
        <v>310</v>
      </c>
      <c r="AD2277" s="896">
        <f t="shared" ref="AD2277" si="9190">IFERROR((AC2277/AB2277),"-")</f>
        <v>0.50289570591956922</v>
      </c>
      <c r="AE2277" s="2"/>
      <c r="AF2277" s="884">
        <v>0</v>
      </c>
      <c r="AG2277" s="884"/>
      <c r="AH2277" s="884">
        <v>0</v>
      </c>
      <c r="AI2277" s="884"/>
      <c r="AJ2277" s="884"/>
      <c r="AK2277" s="884">
        <f t="shared" ref="AK2277" si="9191">AF2277+AG2277+AH2277+AI2277+AJ2277+AC2277</f>
        <v>310</v>
      </c>
      <c r="AL2277" s="884">
        <v>629.75</v>
      </c>
      <c r="AM2277" s="878">
        <f t="shared" ref="AM2277" si="9192">IFERROR((AK2277/AL2277),"-")</f>
        <v>0.49225883287018657</v>
      </c>
      <c r="AN2277" s="2"/>
      <c r="AO2277" s="884">
        <v>52</v>
      </c>
      <c r="AP2277" s="884">
        <f t="shared" ref="AP2277:AP2279" si="9193">AO2277-AK2277</f>
        <v>-258</v>
      </c>
      <c r="AV2277" s="4" t="str">
        <f t="shared" si="9076"/>
        <v>Drenagem Superficial</v>
      </c>
      <c r="AW2277" s="4" t="str">
        <f t="shared" si="9074"/>
        <v xml:space="preserve">   Construção de valeta</v>
      </c>
      <c r="AX2277" s="4"/>
    </row>
    <row r="2278" spans="1:50" ht="18.399999999999999" hidden="1" customHeight="1" outlineLevel="2">
      <c r="A2278" s="8" t="str">
        <f>A2277</f>
        <v>N</v>
      </c>
      <c r="B2278" s="150"/>
      <c r="C2278" s="150"/>
      <c r="D2278" s="147" t="s">
        <v>2105</v>
      </c>
      <c r="E2278" s="893"/>
      <c r="F2278" s="902"/>
      <c r="G2278" s="528"/>
      <c r="H2278" s="549" t="s">
        <v>38</v>
      </c>
      <c r="I2278" s="711">
        <v>172.5</v>
      </c>
      <c r="J2278" s="897"/>
      <c r="K2278" s="528"/>
      <c r="L2278" s="549" t="s">
        <v>38</v>
      </c>
      <c r="M2278" s="711">
        <f>_xlfn.XLOOKUP($N$8,$P$8:$V$8,$P2278:$V2278)</f>
        <v>0</v>
      </c>
      <c r="N2278" s="897"/>
      <c r="O2278" s="528"/>
      <c r="P2278" s="548">
        <v>0</v>
      </c>
      <c r="Q2278" s="548">
        <v>0</v>
      </c>
      <c r="R2278" s="548">
        <v>0</v>
      </c>
      <c r="S2278" s="548">
        <v>0</v>
      </c>
      <c r="T2278" s="548">
        <v>0</v>
      </c>
      <c r="U2278" s="548">
        <v>0</v>
      </c>
      <c r="V2278" s="548"/>
      <c r="W2278" s="528"/>
      <c r="X2278" s="711">
        <f t="shared" si="9028"/>
        <v>0</v>
      </c>
      <c r="Y2278" s="897"/>
      <c r="Z2278" s="528"/>
      <c r="AA2278" s="899"/>
      <c r="AB2278" s="899"/>
      <c r="AC2278" s="904"/>
      <c r="AD2278" s="905"/>
      <c r="AE2278" s="2"/>
      <c r="AF2278" s="885"/>
      <c r="AG2278" s="885"/>
      <c r="AH2278" s="885"/>
      <c r="AI2278" s="885"/>
      <c r="AJ2278" s="885"/>
      <c r="AK2278" s="885"/>
      <c r="AL2278" s="885"/>
      <c r="AM2278" s="879"/>
      <c r="AN2278" s="2"/>
      <c r="AO2278" s="886"/>
      <c r="AP2278" s="886"/>
      <c r="AV2278" t="str">
        <f t="shared" si="9076"/>
        <v>Drenagem Superficial</v>
      </c>
      <c r="AW2278" s="4" t="str">
        <f t="shared" si="9074"/>
        <v xml:space="preserve">   Construção de valeta</v>
      </c>
    </row>
    <row r="2279" spans="1:50" ht="18.399999999999999" hidden="1" customHeight="1" outlineLevel="2">
      <c r="A2279" s="8" t="str">
        <f t="shared" ref="A2279" si="9194">IF(SUM(P2279:V2280)&gt;0,"S","N")</f>
        <v>S</v>
      </c>
      <c r="B2279" s="150" t="s">
        <v>416</v>
      </c>
      <c r="C2279" s="150" t="s">
        <v>627</v>
      </c>
      <c r="D2279" s="120" t="s">
        <v>542</v>
      </c>
      <c r="E2279" s="892" t="s">
        <v>2604</v>
      </c>
      <c r="F2279" s="902" t="s">
        <v>52</v>
      </c>
      <c r="G2279" s="528"/>
      <c r="H2279" s="546" t="s">
        <v>37</v>
      </c>
      <c r="I2279" s="711">
        <v>0</v>
      </c>
      <c r="J2279" s="896" t="str">
        <f t="shared" ref="J2279" si="9195">IFERROR((I2280/I2279),"-")</f>
        <v>-</v>
      </c>
      <c r="K2279" s="528"/>
      <c r="L2279" s="546" t="s">
        <v>37</v>
      </c>
      <c r="M2279" s="711">
        <f t="shared" ref="M2279:M2288" si="9196">_xlfn.XLOOKUP($N$8,$P$8:$V$8,$P2279:$V2279)</f>
        <v>0</v>
      </c>
      <c r="N2279" s="896" t="str">
        <f t="shared" ref="N2279" si="9197">IFERROR((M2280/M2279),"-")</f>
        <v>-</v>
      </c>
      <c r="O2279" s="528"/>
      <c r="P2279" s="547"/>
      <c r="Q2279" s="547"/>
      <c r="R2279" s="547"/>
      <c r="S2279" s="547"/>
      <c r="T2279" s="547"/>
      <c r="U2279" s="547"/>
      <c r="V2279" s="548"/>
      <c r="W2279" s="528"/>
      <c r="X2279" s="711">
        <f t="shared" si="9028"/>
        <v>0</v>
      </c>
      <c r="Y2279" s="896" t="str">
        <f t="shared" ref="Y2279" si="9198">IFERROR((X2280/X2279),"-")</f>
        <v>-</v>
      </c>
      <c r="Z2279" s="528"/>
      <c r="AA2279" s="898">
        <v>0</v>
      </c>
      <c r="AB2279" s="898">
        <v>0</v>
      </c>
      <c r="AC2279" s="903">
        <v>2.5</v>
      </c>
      <c r="AD2279" s="896" t="str">
        <f t="shared" ref="AD2279" si="9199">IFERROR((AC2279/AB2279),"-")</f>
        <v>-</v>
      </c>
      <c r="AE2279" s="2"/>
      <c r="AF2279" s="884">
        <v>0</v>
      </c>
      <c r="AG2279" s="884"/>
      <c r="AH2279" s="884">
        <v>0</v>
      </c>
      <c r="AI2279" s="884"/>
      <c r="AJ2279" s="884"/>
      <c r="AK2279" s="884">
        <f t="shared" ref="AK2279:AK2287" si="9200">AF2279+AG2279+AH2279+AI2279+AJ2279+AC2279</f>
        <v>2.5</v>
      </c>
      <c r="AL2279" s="884">
        <v>0</v>
      </c>
      <c r="AM2279" s="878" t="str">
        <f t="shared" ref="AM2279" si="9201">IFERROR((AK2279/AL2279),"-")</f>
        <v>-</v>
      </c>
      <c r="AN2279" s="2"/>
      <c r="AO2279" s="884">
        <v>0</v>
      </c>
      <c r="AP2279" s="884">
        <f t="shared" si="9193"/>
        <v>-2.5</v>
      </c>
      <c r="AV2279" t="str">
        <f t="shared" si="9076"/>
        <v>Drenagem Superficial</v>
      </c>
      <c r="AW2279" s="4" t="str">
        <f t="shared" si="9074"/>
        <v>Seg.3.1 -Corte 3 - Valeta Manual</v>
      </c>
    </row>
    <row r="2280" spans="1:50" ht="18.399999999999999" hidden="1" customHeight="1" outlineLevel="2">
      <c r="A2280" s="8" t="str">
        <f t="shared" ref="A2280" si="9202">A2279</f>
        <v>S</v>
      </c>
      <c r="B2280" s="150"/>
      <c r="C2280" s="150"/>
      <c r="D2280" s="120" t="s">
        <v>542</v>
      </c>
      <c r="E2280" s="893"/>
      <c r="F2280" s="902"/>
      <c r="G2280" s="528"/>
      <c r="H2280" s="549" t="s">
        <v>38</v>
      </c>
      <c r="I2280" s="711">
        <v>0</v>
      </c>
      <c r="J2280" s="897"/>
      <c r="K2280" s="528"/>
      <c r="L2280" s="549" t="s">
        <v>38</v>
      </c>
      <c r="M2280" s="711">
        <f t="shared" si="9196"/>
        <v>2.5</v>
      </c>
      <c r="N2280" s="897"/>
      <c r="O2280" s="528"/>
      <c r="P2280" s="548">
        <v>0</v>
      </c>
      <c r="Q2280" s="548">
        <v>2.5</v>
      </c>
      <c r="R2280" s="548">
        <v>0</v>
      </c>
      <c r="S2280" s="548">
        <v>0</v>
      </c>
      <c r="T2280" s="548">
        <v>0</v>
      </c>
      <c r="U2280" s="548">
        <v>0</v>
      </c>
      <c r="V2280" s="548"/>
      <c r="W2280" s="528"/>
      <c r="X2280" s="711">
        <f t="shared" si="9028"/>
        <v>2.5</v>
      </c>
      <c r="Y2280" s="897"/>
      <c r="Z2280" s="528"/>
      <c r="AA2280" s="899"/>
      <c r="AB2280" s="899"/>
      <c r="AC2280" s="904"/>
      <c r="AD2280" s="905"/>
      <c r="AE2280" s="2"/>
      <c r="AF2280" s="885"/>
      <c r="AG2280" s="885"/>
      <c r="AH2280" s="885"/>
      <c r="AI2280" s="885"/>
      <c r="AJ2280" s="885"/>
      <c r="AK2280" s="885"/>
      <c r="AL2280" s="885"/>
      <c r="AM2280" s="879"/>
      <c r="AN2280" s="2"/>
      <c r="AO2280" s="886"/>
      <c r="AP2280" s="886"/>
      <c r="AV2280" t="str">
        <f t="shared" si="9076"/>
        <v>Drenagem Superficial</v>
      </c>
      <c r="AW2280" s="4" t="str">
        <f t="shared" si="9074"/>
        <v>Seg.3.1 -Corte 3 - Valeta Manual</v>
      </c>
    </row>
    <row r="2281" spans="1:50" ht="18.399999999999999" hidden="1" customHeight="1" outlineLevel="2">
      <c r="A2281" s="209" t="str">
        <f t="shared" ref="A2281" si="9203">IF(SUM(P2281:V2282)&gt;0,"S","N")</f>
        <v>N</v>
      </c>
      <c r="B2281" s="150">
        <v>0</v>
      </c>
      <c r="C2281" s="150"/>
      <c r="D2281" s="120" t="s">
        <v>557</v>
      </c>
      <c r="E2281" s="892" t="s">
        <v>2605</v>
      </c>
      <c r="F2281" s="902" t="s">
        <v>52</v>
      </c>
      <c r="G2281" s="528"/>
      <c r="H2281" s="546" t="s">
        <v>37</v>
      </c>
      <c r="I2281" s="711">
        <v>0</v>
      </c>
      <c r="J2281" s="896" t="str">
        <f t="shared" ref="J2281" si="9204">IFERROR((I2282/I2281),"-")</f>
        <v>-</v>
      </c>
      <c r="K2281" s="528"/>
      <c r="L2281" s="546" t="s">
        <v>37</v>
      </c>
      <c r="M2281" s="711">
        <f t="shared" si="9196"/>
        <v>0</v>
      </c>
      <c r="N2281" s="896" t="str">
        <f t="shared" ref="N2281" si="9205">IFERROR((M2282/M2281),"-")</f>
        <v>-</v>
      </c>
      <c r="O2281" s="528"/>
      <c r="P2281" s="547"/>
      <c r="Q2281" s="547"/>
      <c r="R2281" s="547"/>
      <c r="S2281" s="547"/>
      <c r="T2281" s="547"/>
      <c r="U2281" s="547"/>
      <c r="V2281" s="548"/>
      <c r="W2281" s="528"/>
      <c r="X2281" s="711">
        <f t="shared" si="9028"/>
        <v>0</v>
      </c>
      <c r="Y2281" s="896" t="str">
        <f t="shared" ref="Y2281" si="9206">IFERROR((X2282/X2281),"-")</f>
        <v>-</v>
      </c>
      <c r="Z2281" s="528"/>
      <c r="AA2281" s="898">
        <v>0</v>
      </c>
      <c r="AB2281" s="898">
        <v>0</v>
      </c>
      <c r="AC2281" s="903">
        <v>0</v>
      </c>
      <c r="AD2281" s="896" t="str">
        <f t="shared" ref="AD2281" si="9207">IFERROR((AC2281/AB2281),"-")</f>
        <v>-</v>
      </c>
      <c r="AE2281" s="2"/>
      <c r="AF2281" s="884">
        <v>0</v>
      </c>
      <c r="AG2281" s="884"/>
      <c r="AH2281" s="884">
        <v>0</v>
      </c>
      <c r="AI2281" s="884"/>
      <c r="AJ2281" s="884"/>
      <c r="AK2281" s="884">
        <f t="shared" si="9200"/>
        <v>0</v>
      </c>
      <c r="AL2281" s="884">
        <v>0</v>
      </c>
      <c r="AM2281" s="878" t="str">
        <f t="shared" ref="AM2281" si="9208">IFERROR((AK2281/AL2281),"-")</f>
        <v>-</v>
      </c>
      <c r="AN2281" s="2"/>
      <c r="AO2281" s="884">
        <v>0</v>
      </c>
      <c r="AP2281" s="884">
        <f t="shared" ref="AP2281:AP2287" si="9209">AO2281-AK2281</f>
        <v>0</v>
      </c>
      <c r="AV2281" s="4" t="str">
        <f t="shared" si="9076"/>
        <v>Drenagem Superficial</v>
      </c>
      <c r="AW2281" s="4" t="str">
        <f t="shared" si="9074"/>
        <v>Seg.3.1 -Corte 01 - Valeta Manual</v>
      </c>
      <c r="AX2281" s="4"/>
    </row>
    <row r="2282" spans="1:50" ht="18.399999999999999" hidden="1" customHeight="1" outlineLevel="2">
      <c r="A2282" s="209" t="str">
        <f t="shared" ref="A2282:A2288" si="9210">A2281</f>
        <v>N</v>
      </c>
      <c r="B2282" s="150">
        <v>0</v>
      </c>
      <c r="C2282" s="150"/>
      <c r="D2282" s="120" t="s">
        <v>557</v>
      </c>
      <c r="E2282" s="893"/>
      <c r="F2282" s="902"/>
      <c r="G2282" s="528"/>
      <c r="H2282" s="549" t="s">
        <v>38</v>
      </c>
      <c r="I2282" s="711">
        <v>0</v>
      </c>
      <c r="J2282" s="897"/>
      <c r="K2282" s="528"/>
      <c r="L2282" s="549" t="s">
        <v>38</v>
      </c>
      <c r="M2282" s="711">
        <f t="shared" si="9196"/>
        <v>0</v>
      </c>
      <c r="N2282" s="897"/>
      <c r="O2282" s="528"/>
      <c r="P2282" s="548">
        <v>0</v>
      </c>
      <c r="Q2282" s="548">
        <v>0</v>
      </c>
      <c r="R2282" s="548">
        <v>0</v>
      </c>
      <c r="S2282" s="548">
        <v>0</v>
      </c>
      <c r="T2282" s="548">
        <v>0</v>
      </c>
      <c r="U2282" s="548">
        <v>0</v>
      </c>
      <c r="V2282" s="548"/>
      <c r="W2282" s="528"/>
      <c r="X2282" s="711">
        <f t="shared" si="9028"/>
        <v>0</v>
      </c>
      <c r="Y2282" s="897"/>
      <c r="Z2282" s="528"/>
      <c r="AA2282" s="899"/>
      <c r="AB2282" s="899"/>
      <c r="AC2282" s="904"/>
      <c r="AD2282" s="905"/>
      <c r="AE2282" s="2"/>
      <c r="AF2282" s="908"/>
      <c r="AG2282" s="885"/>
      <c r="AH2282" s="885"/>
      <c r="AI2282" s="885"/>
      <c r="AJ2282" s="885"/>
      <c r="AK2282" s="885"/>
      <c r="AL2282" s="885"/>
      <c r="AM2282" s="879"/>
      <c r="AN2282" s="2"/>
      <c r="AO2282" s="886"/>
      <c r="AP2282" s="886"/>
      <c r="AV2282" t="str">
        <f t="shared" si="9076"/>
        <v>Drenagem Superficial</v>
      </c>
      <c r="AW2282" s="4" t="str">
        <f t="shared" si="9074"/>
        <v>Seg.3.1 -Corte 01 - Valeta Manual</v>
      </c>
    </row>
    <row r="2283" spans="1:50" ht="26.85" hidden="1" customHeight="1" outlineLevel="2">
      <c r="A2283" s="209" t="str">
        <f t="shared" ref="A2283" si="9211">IF(SUM(P2283:V2284)&gt;0,"S","N")</f>
        <v>S</v>
      </c>
      <c r="B2283" s="150">
        <v>0</v>
      </c>
      <c r="C2283" s="150"/>
      <c r="D2283" s="120" t="s">
        <v>545</v>
      </c>
      <c r="E2283" s="892" t="s">
        <v>2606</v>
      </c>
      <c r="F2283" s="902" t="s">
        <v>52</v>
      </c>
      <c r="G2283" s="528"/>
      <c r="H2283" s="546" t="s">
        <v>37</v>
      </c>
      <c r="I2283" s="711">
        <v>0</v>
      </c>
      <c r="J2283" s="896" t="str">
        <f t="shared" ref="J2283" si="9212">IFERROR((I2284/I2283),"-")</f>
        <v>-</v>
      </c>
      <c r="K2283" s="528"/>
      <c r="L2283" s="546" t="s">
        <v>37</v>
      </c>
      <c r="M2283" s="711">
        <f t="shared" si="9196"/>
        <v>0</v>
      </c>
      <c r="N2283" s="896" t="str">
        <f t="shared" ref="N2283" si="9213">IFERROR((M2284/M2283),"-")</f>
        <v>-</v>
      </c>
      <c r="O2283" s="528"/>
      <c r="P2283" s="547"/>
      <c r="Q2283" s="547"/>
      <c r="R2283" s="547"/>
      <c r="S2283" s="547"/>
      <c r="T2283" s="547"/>
      <c r="U2283" s="547"/>
      <c r="V2283" s="548"/>
      <c r="W2283" s="528"/>
      <c r="X2283" s="711">
        <f t="shared" si="9028"/>
        <v>0</v>
      </c>
      <c r="Y2283" s="896" t="str">
        <f t="shared" ref="Y2283" si="9214">IFERROR((X2284/X2283),"-")</f>
        <v>-</v>
      </c>
      <c r="Z2283" s="528"/>
      <c r="AA2283" s="898">
        <v>0</v>
      </c>
      <c r="AB2283" s="898">
        <v>0</v>
      </c>
      <c r="AC2283" s="903">
        <v>10</v>
      </c>
      <c r="AD2283" s="896" t="str">
        <f t="shared" ref="AD2283" si="9215">IFERROR((AC2283/AB2283),"-")</f>
        <v>-</v>
      </c>
      <c r="AE2283" s="2"/>
      <c r="AF2283" s="884">
        <v>0</v>
      </c>
      <c r="AG2283" s="884"/>
      <c r="AH2283" s="884">
        <v>242</v>
      </c>
      <c r="AI2283" s="884"/>
      <c r="AJ2283" s="884"/>
      <c r="AK2283" s="884">
        <f t="shared" si="9200"/>
        <v>252</v>
      </c>
      <c r="AL2283" s="884">
        <v>0</v>
      </c>
      <c r="AM2283" s="878" t="str">
        <f t="shared" ref="AM2283" si="9216">IFERROR((AK2283/AL2283),"-")</f>
        <v>-</v>
      </c>
      <c r="AN2283" s="2"/>
      <c r="AO2283" s="884">
        <v>0</v>
      </c>
      <c r="AP2283" s="884">
        <f t="shared" si="9209"/>
        <v>-252</v>
      </c>
      <c r="AV2283" t="str">
        <f t="shared" si="9076"/>
        <v>Drenagem Superficial</v>
      </c>
      <c r="AW2283" s="4" t="str">
        <f t="shared" si="9074"/>
        <v>Seg.3.1 -Corte 05 - Valeta Manual</v>
      </c>
    </row>
    <row r="2284" spans="1:50" ht="26.85" hidden="1" customHeight="1" outlineLevel="2">
      <c r="A2284" s="209" t="str">
        <f t="shared" si="9210"/>
        <v>S</v>
      </c>
      <c r="B2284" s="150">
        <v>0</v>
      </c>
      <c r="C2284" s="150"/>
      <c r="D2284" s="120" t="s">
        <v>545</v>
      </c>
      <c r="E2284" s="893"/>
      <c r="F2284" s="902"/>
      <c r="G2284" s="528"/>
      <c r="H2284" s="549" t="s">
        <v>38</v>
      </c>
      <c r="I2284" s="711">
        <v>0</v>
      </c>
      <c r="J2284" s="897"/>
      <c r="K2284" s="528"/>
      <c r="L2284" s="549" t="s">
        <v>38</v>
      </c>
      <c r="M2284" s="711">
        <f t="shared" si="9196"/>
        <v>10</v>
      </c>
      <c r="N2284" s="897"/>
      <c r="O2284" s="528"/>
      <c r="P2284" s="548">
        <v>0</v>
      </c>
      <c r="Q2284" s="548">
        <v>10</v>
      </c>
      <c r="R2284" s="548">
        <v>0</v>
      </c>
      <c r="S2284" s="548">
        <v>0</v>
      </c>
      <c r="T2284" s="548">
        <v>0</v>
      </c>
      <c r="U2284" s="548">
        <v>0</v>
      </c>
      <c r="V2284" s="548"/>
      <c r="W2284" s="528"/>
      <c r="X2284" s="711">
        <f t="shared" si="9028"/>
        <v>10</v>
      </c>
      <c r="Y2284" s="897"/>
      <c r="Z2284" s="528"/>
      <c r="AA2284" s="899"/>
      <c r="AB2284" s="899"/>
      <c r="AC2284" s="904"/>
      <c r="AD2284" s="905"/>
      <c r="AE2284" s="2"/>
      <c r="AF2284" s="908"/>
      <c r="AG2284" s="885"/>
      <c r="AH2284" s="885"/>
      <c r="AI2284" s="885"/>
      <c r="AJ2284" s="885"/>
      <c r="AK2284" s="885"/>
      <c r="AL2284" s="885"/>
      <c r="AM2284" s="879"/>
      <c r="AN2284" s="2"/>
      <c r="AO2284" s="886"/>
      <c r="AP2284" s="886"/>
      <c r="AV2284" t="str">
        <f t="shared" si="9076"/>
        <v>Drenagem Superficial</v>
      </c>
      <c r="AW2284" s="4" t="str">
        <f t="shared" si="9074"/>
        <v>Seg.3.1 -Corte 05 - Valeta Manual</v>
      </c>
    </row>
    <row r="2285" spans="1:50" ht="26.85" hidden="1" customHeight="1" outlineLevel="2">
      <c r="A2285" s="209" t="str">
        <f t="shared" ref="A2285" si="9217">IF(SUM(P2285:V2286)&gt;0,"S","N")</f>
        <v>S</v>
      </c>
      <c r="B2285" s="150">
        <v>0</v>
      </c>
      <c r="C2285" s="150"/>
      <c r="D2285" s="120" t="s">
        <v>1315</v>
      </c>
      <c r="E2285" s="892" t="s">
        <v>2607</v>
      </c>
      <c r="F2285" s="902" t="s">
        <v>52</v>
      </c>
      <c r="G2285" s="528"/>
      <c r="H2285" s="546" t="s">
        <v>37</v>
      </c>
      <c r="I2285" s="711">
        <v>0</v>
      </c>
      <c r="J2285" s="896" t="str">
        <f t="shared" ref="J2285" si="9218">IFERROR((I2286/I2285),"-")</f>
        <v>-</v>
      </c>
      <c r="K2285" s="528"/>
      <c r="L2285" s="546" t="s">
        <v>37</v>
      </c>
      <c r="M2285" s="711">
        <f t="shared" si="9196"/>
        <v>0</v>
      </c>
      <c r="N2285" s="896" t="str">
        <f t="shared" ref="N2285" si="9219">IFERROR((M2286/M2285),"-")</f>
        <v>-</v>
      </c>
      <c r="O2285" s="528"/>
      <c r="P2285" s="547"/>
      <c r="Q2285" s="547"/>
      <c r="R2285" s="547"/>
      <c r="S2285" s="547"/>
      <c r="T2285" s="547"/>
      <c r="U2285" s="547"/>
      <c r="V2285" s="548"/>
      <c r="W2285" s="528"/>
      <c r="X2285" s="711">
        <f t="shared" si="9028"/>
        <v>0</v>
      </c>
      <c r="Y2285" s="896" t="str">
        <f t="shared" ref="Y2285" si="9220">IFERROR((X2286/X2285),"-")</f>
        <v>-</v>
      </c>
      <c r="Z2285" s="528"/>
      <c r="AA2285" s="898">
        <v>0</v>
      </c>
      <c r="AB2285" s="898">
        <v>0</v>
      </c>
      <c r="AC2285" s="903">
        <v>82.5</v>
      </c>
      <c r="AD2285" s="896" t="str">
        <f t="shared" ref="AD2285" si="9221">IFERROR((AC2285/AB2285),"-")</f>
        <v>-</v>
      </c>
      <c r="AE2285" s="2"/>
      <c r="AF2285" s="884">
        <v>0</v>
      </c>
      <c r="AG2285" s="884"/>
      <c r="AH2285" s="884">
        <v>0</v>
      </c>
      <c r="AI2285" s="884"/>
      <c r="AJ2285" s="884"/>
      <c r="AK2285" s="884">
        <f t="shared" ref="AK2285" si="9222">AF2285+AG2285+AH2285+AI2285+AJ2285+AC2285</f>
        <v>82.5</v>
      </c>
      <c r="AL2285" s="884">
        <v>0</v>
      </c>
      <c r="AM2285" s="878" t="str">
        <f t="shared" ref="AM2285" si="9223">IFERROR((AK2285/AL2285),"-")</f>
        <v>-</v>
      </c>
      <c r="AN2285" s="2"/>
      <c r="AO2285" s="884">
        <v>0</v>
      </c>
      <c r="AP2285" s="884">
        <f t="shared" ref="AP2285" si="9224">AO2285-AK2285</f>
        <v>-82.5</v>
      </c>
      <c r="AV2285" s="275" t="str">
        <f t="shared" si="9076"/>
        <v>Seg.3.1 -Aterro 07 - Valeta Manual</v>
      </c>
      <c r="AW2285" s="275" t="str">
        <f t="shared" si="9074"/>
        <v>Seg.3.1 -Aterro 07 - Valeta Manual</v>
      </c>
      <c r="AX2285" s="275" t="s">
        <v>1434</v>
      </c>
    </row>
    <row r="2286" spans="1:50" ht="26.85" hidden="1" customHeight="1" outlineLevel="2">
      <c r="A2286" s="209" t="str">
        <f t="shared" si="9210"/>
        <v>S</v>
      </c>
      <c r="B2286" s="150">
        <v>0</v>
      </c>
      <c r="C2286" s="150"/>
      <c r="D2286" s="120" t="s">
        <v>1315</v>
      </c>
      <c r="E2286" s="893"/>
      <c r="F2286" s="902"/>
      <c r="G2286" s="528"/>
      <c r="H2286" s="549" t="s">
        <v>38</v>
      </c>
      <c r="I2286" s="711">
        <v>0</v>
      </c>
      <c r="J2286" s="897"/>
      <c r="K2286" s="528"/>
      <c r="L2286" s="549" t="s">
        <v>38</v>
      </c>
      <c r="M2286" s="711">
        <f t="shared" si="9196"/>
        <v>40</v>
      </c>
      <c r="N2286" s="897"/>
      <c r="O2286" s="528"/>
      <c r="P2286" s="548">
        <v>42.5</v>
      </c>
      <c r="Q2286" s="548">
        <v>40</v>
      </c>
      <c r="R2286" s="548">
        <v>0</v>
      </c>
      <c r="S2286" s="548">
        <v>0</v>
      </c>
      <c r="T2286" s="548">
        <v>0</v>
      </c>
      <c r="U2286" s="548">
        <v>0</v>
      </c>
      <c r="V2286" s="548"/>
      <c r="W2286" s="528"/>
      <c r="X2286" s="711">
        <f t="shared" si="9028"/>
        <v>82.5</v>
      </c>
      <c r="Y2286" s="897"/>
      <c r="Z2286" s="528"/>
      <c r="AA2286" s="899"/>
      <c r="AB2286" s="899"/>
      <c r="AC2286" s="904"/>
      <c r="AD2286" s="905"/>
      <c r="AE2286" s="2"/>
      <c r="AF2286" s="908"/>
      <c r="AG2286" s="885"/>
      <c r="AH2286" s="885"/>
      <c r="AI2286" s="885"/>
      <c r="AJ2286" s="885"/>
      <c r="AK2286" s="885"/>
      <c r="AL2286" s="885"/>
      <c r="AM2286" s="879"/>
      <c r="AN2286" s="2"/>
      <c r="AO2286" s="886"/>
      <c r="AP2286" s="886"/>
      <c r="AV2286" t="str">
        <f t="shared" si="9076"/>
        <v>Seg.3.1 -Aterro 07 - Valeta Manual</v>
      </c>
      <c r="AW2286" s="4" t="str">
        <f t="shared" si="9074"/>
        <v>Seg.3.1 -Aterro 07 - Valeta Manual</v>
      </c>
    </row>
    <row r="2287" spans="1:50" ht="26.85" hidden="1" customHeight="1" outlineLevel="2">
      <c r="A2287" s="209" t="str">
        <f t="shared" ref="A2287" si="9225">IF(SUM(P2287:V2288)&gt;0,"S","N")</f>
        <v>S</v>
      </c>
      <c r="B2287" s="150">
        <v>0</v>
      </c>
      <c r="C2287" s="150"/>
      <c r="D2287" s="120" t="s">
        <v>594</v>
      </c>
      <c r="E2287" s="892" t="s">
        <v>2608</v>
      </c>
      <c r="F2287" s="902" t="s">
        <v>52</v>
      </c>
      <c r="G2287" s="528"/>
      <c r="H2287" s="546" t="s">
        <v>37</v>
      </c>
      <c r="I2287" s="711">
        <v>0</v>
      </c>
      <c r="J2287" s="896" t="str">
        <f t="shared" ref="J2287" si="9226">IFERROR((I2288/I2287),"-")</f>
        <v>-</v>
      </c>
      <c r="K2287" s="528"/>
      <c r="L2287" s="546" t="s">
        <v>37</v>
      </c>
      <c r="M2287" s="711">
        <f t="shared" si="9196"/>
        <v>0</v>
      </c>
      <c r="N2287" s="896" t="str">
        <f t="shared" ref="N2287" si="9227">IFERROR((M2288/M2287),"-")</f>
        <v>-</v>
      </c>
      <c r="O2287" s="528"/>
      <c r="P2287" s="547"/>
      <c r="Q2287" s="547"/>
      <c r="R2287" s="547"/>
      <c r="S2287" s="547"/>
      <c r="T2287" s="547"/>
      <c r="U2287" s="547"/>
      <c r="V2287" s="548"/>
      <c r="W2287" s="528"/>
      <c r="X2287" s="711">
        <f t="shared" si="9028"/>
        <v>0</v>
      </c>
      <c r="Y2287" s="896" t="str">
        <f t="shared" ref="Y2287" si="9228">IFERROR((X2288/X2287),"-")</f>
        <v>-</v>
      </c>
      <c r="Z2287" s="528"/>
      <c r="AA2287" s="898">
        <v>0</v>
      </c>
      <c r="AB2287" s="898">
        <v>0</v>
      </c>
      <c r="AC2287" s="903">
        <v>252.5</v>
      </c>
      <c r="AD2287" s="896" t="str">
        <f t="shared" ref="AD2287" si="9229">IFERROR((AC2287/AB2287),"-")</f>
        <v>-</v>
      </c>
      <c r="AE2287" s="2"/>
      <c r="AF2287" s="884">
        <v>0</v>
      </c>
      <c r="AG2287" s="884"/>
      <c r="AH2287" s="884">
        <v>0</v>
      </c>
      <c r="AI2287" s="884"/>
      <c r="AJ2287" s="884"/>
      <c r="AK2287" s="884">
        <f t="shared" si="9200"/>
        <v>252.5</v>
      </c>
      <c r="AL2287" s="884">
        <v>0</v>
      </c>
      <c r="AM2287" s="878" t="str">
        <f t="shared" ref="AM2287" si="9230">IFERROR((AK2287/AL2287),"-")</f>
        <v>-</v>
      </c>
      <c r="AN2287" s="2"/>
      <c r="AO2287" s="884">
        <v>0</v>
      </c>
      <c r="AP2287" s="884">
        <f t="shared" si="9209"/>
        <v>-252.5</v>
      </c>
      <c r="AV2287" t="str">
        <f t="shared" si="9076"/>
        <v>Seg.3.1 -Aterro 07 - Valeta Manual</v>
      </c>
      <c r="AW2287" s="4" t="str">
        <f t="shared" si="9074"/>
        <v>Seg.3.1 -Aterro 02 - Valeta Manual</v>
      </c>
    </row>
    <row r="2288" spans="1:50" ht="26.85" hidden="1" customHeight="1" outlineLevel="2">
      <c r="A2288" s="209" t="str">
        <f t="shared" si="9210"/>
        <v>S</v>
      </c>
      <c r="B2288" s="150">
        <v>0</v>
      </c>
      <c r="C2288" s="150"/>
      <c r="D2288" s="120" t="s">
        <v>594</v>
      </c>
      <c r="E2288" s="893"/>
      <c r="F2288" s="902"/>
      <c r="G2288" s="528"/>
      <c r="H2288" s="549" t="s">
        <v>38</v>
      </c>
      <c r="I2288" s="711">
        <v>117.5</v>
      </c>
      <c r="J2288" s="897"/>
      <c r="K2288" s="528"/>
      <c r="L2288" s="549" t="s">
        <v>38</v>
      </c>
      <c r="M2288" s="711">
        <f t="shared" si="9196"/>
        <v>57.5</v>
      </c>
      <c r="N2288" s="897"/>
      <c r="O2288" s="528"/>
      <c r="P2288" s="548">
        <v>77.5</v>
      </c>
      <c r="Q2288" s="548">
        <v>57.5</v>
      </c>
      <c r="R2288" s="548">
        <v>0</v>
      </c>
      <c r="S2288" s="548">
        <v>0</v>
      </c>
      <c r="T2288" s="548">
        <v>0</v>
      </c>
      <c r="U2288" s="548">
        <v>0</v>
      </c>
      <c r="V2288" s="548"/>
      <c r="W2288" s="528"/>
      <c r="X2288" s="711">
        <f t="shared" si="9028"/>
        <v>135</v>
      </c>
      <c r="Y2288" s="897"/>
      <c r="Z2288" s="528"/>
      <c r="AA2288" s="899"/>
      <c r="AB2288" s="899"/>
      <c r="AC2288" s="904"/>
      <c r="AD2288" s="905"/>
      <c r="AE2288" s="2"/>
      <c r="AF2288" s="908"/>
      <c r="AG2288" s="885"/>
      <c r="AH2288" s="885"/>
      <c r="AI2288" s="885"/>
      <c r="AJ2288" s="885"/>
      <c r="AK2288" s="885"/>
      <c r="AL2288" s="885"/>
      <c r="AM2288" s="879"/>
      <c r="AN2288" s="2"/>
      <c r="AO2288" s="886"/>
      <c r="AP2288" s="886"/>
      <c r="AV2288" t="str">
        <f t="shared" si="9076"/>
        <v>Seg.3.1 -Aterro 07 - Valeta Manual</v>
      </c>
      <c r="AW2288" s="4" t="str">
        <f t="shared" si="9074"/>
        <v>Seg.3.1 -Aterro 02 - Valeta Manual</v>
      </c>
    </row>
    <row r="2289" spans="1:49" ht="26.85" hidden="1" customHeight="1" outlineLevel="1" collapsed="1">
      <c r="A2289" s="209">
        <v>0</v>
      </c>
      <c r="B2289" s="150"/>
      <c r="C2289" s="150"/>
      <c r="D2289" s="117"/>
      <c r="E2289" s="535"/>
      <c r="F2289" s="536"/>
      <c r="G2289" s="537"/>
      <c r="H2289" s="714"/>
      <c r="I2289" s="538"/>
      <c r="J2289" s="714"/>
      <c r="K2289" s="537"/>
      <c r="L2289" s="714"/>
      <c r="M2289" s="538"/>
      <c r="N2289" s="714"/>
      <c r="O2289" s="537"/>
      <c r="P2289" s="539"/>
      <c r="Q2289" s="539"/>
      <c r="R2289" s="539"/>
      <c r="S2289" s="539"/>
      <c r="T2289" s="539"/>
      <c r="U2289" s="539"/>
      <c r="V2289" s="539"/>
      <c r="W2289" s="537"/>
      <c r="X2289" s="540"/>
      <c r="Y2289" s="537"/>
      <c r="Z2289" s="537"/>
      <c r="AA2289" s="250"/>
      <c r="AB2289" s="250"/>
      <c r="AC2289" s="249"/>
      <c r="AD2289" s="537"/>
      <c r="AE2289" s="3"/>
      <c r="AF2289" s="36"/>
      <c r="AG2289" s="36"/>
      <c r="AH2289" s="36"/>
      <c r="AI2289" s="36"/>
      <c r="AJ2289" s="36"/>
      <c r="AK2289" s="36"/>
      <c r="AL2289" s="36"/>
      <c r="AM2289" s="3"/>
      <c r="AN2289" s="3"/>
      <c r="AO2289" s="36"/>
      <c r="AP2289" s="36"/>
      <c r="AV2289" t="str">
        <f t="shared" si="9076"/>
        <v>Seg.3.1 -Aterro 07 - Valeta Manual</v>
      </c>
      <c r="AW2289" s="4" t="str">
        <f t="shared" si="9074"/>
        <v>Seg.3.1 -Aterro 02 - Valeta Manual</v>
      </c>
    </row>
    <row r="2290" spans="1:49" ht="26.85" customHeight="1" collapsed="1">
      <c r="A2290" s="209">
        <v>0</v>
      </c>
      <c r="B2290" s="150"/>
      <c r="C2290" s="150"/>
      <c r="D2290" s="117"/>
      <c r="E2290" s="535"/>
      <c r="F2290" s="541"/>
      <c r="G2290" s="537"/>
      <c r="H2290" s="537"/>
      <c r="I2290" s="250"/>
      <c r="J2290" s="537"/>
      <c r="K2290" s="537"/>
      <c r="L2290" s="537"/>
      <c r="M2290" s="250"/>
      <c r="N2290" s="537"/>
      <c r="O2290" s="537"/>
      <c r="P2290" s="539"/>
      <c r="Q2290" s="539"/>
      <c r="R2290" s="539"/>
      <c r="S2290" s="539"/>
      <c r="T2290" s="539"/>
      <c r="U2290" s="539"/>
      <c r="V2290" s="539"/>
      <c r="W2290" s="537"/>
      <c r="X2290" s="540"/>
      <c r="Y2290" s="537"/>
      <c r="Z2290" s="537"/>
      <c r="AA2290" s="250"/>
      <c r="AB2290" s="250"/>
      <c r="AC2290" s="249"/>
      <c r="AD2290" s="537"/>
      <c r="AE2290" s="3"/>
      <c r="AF2290" s="36"/>
      <c r="AG2290" s="36"/>
      <c r="AH2290" s="36"/>
      <c r="AI2290" s="36"/>
      <c r="AJ2290" s="36"/>
      <c r="AK2290" s="36"/>
      <c r="AL2290" s="36"/>
      <c r="AM2290" s="3"/>
      <c r="AN2290" s="3"/>
      <c r="AO2290" s="36"/>
      <c r="AP2290" s="36"/>
      <c r="AV2290" t="str">
        <f t="shared" si="9076"/>
        <v>Seg.3.1 -Aterro 07 - Valeta Manual</v>
      </c>
      <c r="AW2290" s="4" t="str">
        <f t="shared" si="9074"/>
        <v>Seg.3.1 -Aterro 02 - Valeta Manual</v>
      </c>
    </row>
    <row r="2291" spans="1:49" ht="26.85" customHeight="1">
      <c r="A2291" s="209">
        <v>0</v>
      </c>
      <c r="B2291" s="150"/>
      <c r="C2291" s="150">
        <v>0</v>
      </c>
      <c r="D2291" s="124"/>
      <c r="E2291" s="759" t="s">
        <v>2609</v>
      </c>
      <c r="F2291" s="902" t="s">
        <v>52</v>
      </c>
      <c r="G2291" s="528"/>
      <c r="H2291" s="529" t="s">
        <v>37</v>
      </c>
      <c r="I2291" s="707">
        <f>I2295+I2320+I2333+I2345+I2359</f>
        <v>0</v>
      </c>
      <c r="J2291" s="900" t="str">
        <f t="shared" ref="J2291" si="9231">IFERROR((I2292/I2291),"-")</f>
        <v>-</v>
      </c>
      <c r="K2291" s="528"/>
      <c r="L2291" s="529" t="s">
        <v>37</v>
      </c>
      <c r="M2291" s="707">
        <f>M2295+M2320+M2333+M2345+M2359</f>
        <v>336</v>
      </c>
      <c r="N2291" s="900">
        <f t="shared" ref="N2291" si="9232">IFERROR((M2292/M2291),"-")</f>
        <v>0.47619047619047616</v>
      </c>
      <c r="O2291" s="528"/>
      <c r="P2291" s="707">
        <f t="shared" ref="P2291:V2292" si="9233">P2295+P2320+P2333+P2345+P2359</f>
        <v>336</v>
      </c>
      <c r="Q2291" s="707">
        <f t="shared" si="9233"/>
        <v>336</v>
      </c>
      <c r="R2291" s="707">
        <f t="shared" si="9233"/>
        <v>336</v>
      </c>
      <c r="S2291" s="707">
        <f t="shared" si="9233"/>
        <v>112</v>
      </c>
      <c r="T2291" s="707">
        <f t="shared" si="9233"/>
        <v>96</v>
      </c>
      <c r="U2291" s="707">
        <f t="shared" si="9233"/>
        <v>96</v>
      </c>
      <c r="V2291" s="708">
        <f t="shared" si="9233"/>
        <v>0</v>
      </c>
      <c r="W2291" s="528"/>
      <c r="X2291" s="707">
        <f>SUMIFS(P2291:V2291,$P$8:$V$8,"&gt;="&amp;$P$8,$P$8:$V$8,"&lt;="&amp;$N$8)</f>
        <v>672</v>
      </c>
      <c r="Y2291" s="900">
        <f>IFERROR((X2292/X2291),"-")</f>
        <v>0.47619047619047616</v>
      </c>
      <c r="Z2291" s="528"/>
      <c r="AA2291" s="755">
        <f>AA2295+AA2320+AA2333+AA2345+AA2359</f>
        <v>9405.18</v>
      </c>
      <c r="AB2291" s="755">
        <f>AB2295+AB2320+AB2333+AB2345+AB2359</f>
        <v>4785.71</v>
      </c>
      <c r="AC2291" s="906">
        <f>AC2295+AC2320+AC2333+AC2345+AC2359</f>
        <v>820</v>
      </c>
      <c r="AD2291" s="900">
        <f t="shared" ref="AD2291" si="9234">IFERROR((AC2291/AB2291),"-")</f>
        <v>0.17134343702397345</v>
      </c>
      <c r="AE2291" s="40"/>
      <c r="AF2291" s="924">
        <f t="shared" ref="AF2291:AL2291" si="9235">AF2295+AF2320+AF2333+AF2345+AF2359</f>
        <v>3669.96</v>
      </c>
      <c r="AG2291" s="924">
        <f t="shared" si="9235"/>
        <v>407.637</v>
      </c>
      <c r="AH2291" s="924">
        <f t="shared" si="9235"/>
        <v>955</v>
      </c>
      <c r="AI2291" s="924">
        <f t="shared" si="9235"/>
        <v>1907.6969999999999</v>
      </c>
      <c r="AJ2291" s="924">
        <f t="shared" si="9235"/>
        <v>1139.6420000000001</v>
      </c>
      <c r="AK2291" s="755">
        <f t="shared" si="9235"/>
        <v>8899.9359999999997</v>
      </c>
      <c r="AL2291" s="755">
        <f t="shared" si="9235"/>
        <v>10570.759999999998</v>
      </c>
      <c r="AM2291" s="900">
        <f>IFERROR((AK2291/AL2291),"-")</f>
        <v>0.84193908479617374</v>
      </c>
      <c r="AN2291" s="40"/>
      <c r="AO2291" s="924">
        <f>AO2295+AO2320+AO2333+AO2345+AO2359</f>
        <v>35328.04</v>
      </c>
      <c r="AP2291" s="909">
        <f>AP2295+AP2320+AP2333+AP2345+AP2359</f>
        <v>26428.103999999999</v>
      </c>
      <c r="AV2291" t="str">
        <f t="shared" si="9076"/>
        <v>Seg.3.1 -Aterro 07 - Valeta Manual</v>
      </c>
      <c r="AW2291" s="4" t="str">
        <f t="shared" si="9074"/>
        <v>DPS - Dreno Longitudinal Profundo</v>
      </c>
    </row>
    <row r="2292" spans="1:49" ht="26.85" customHeight="1">
      <c r="A2292" s="209">
        <v>0</v>
      </c>
      <c r="B2292" s="150"/>
      <c r="C2292" s="150"/>
      <c r="D2292" s="124"/>
      <c r="E2292" s="760"/>
      <c r="F2292" s="902"/>
      <c r="G2292" s="528"/>
      <c r="H2292" s="531" t="s">
        <v>38</v>
      </c>
      <c r="I2292" s="707">
        <f>I2296+I2321+I2334+I2346+I2360</f>
        <v>330</v>
      </c>
      <c r="J2292" s="901"/>
      <c r="K2292" s="528"/>
      <c r="L2292" s="531" t="s">
        <v>38</v>
      </c>
      <c r="M2292" s="707">
        <f>M2296+M2321+M2334+M2346+M2360</f>
        <v>160</v>
      </c>
      <c r="N2292" s="901"/>
      <c r="O2292" s="528"/>
      <c r="P2292" s="707">
        <f t="shared" si="9233"/>
        <v>160</v>
      </c>
      <c r="Q2292" s="707">
        <f t="shared" si="9233"/>
        <v>160</v>
      </c>
      <c r="R2292" s="707">
        <f t="shared" si="9233"/>
        <v>0</v>
      </c>
      <c r="S2292" s="707">
        <f t="shared" si="9233"/>
        <v>0</v>
      </c>
      <c r="T2292" s="707">
        <f t="shared" si="9233"/>
        <v>0</v>
      </c>
      <c r="U2292" s="707">
        <f t="shared" si="9233"/>
        <v>0</v>
      </c>
      <c r="V2292" s="707">
        <f t="shared" si="9233"/>
        <v>0</v>
      </c>
      <c r="W2292" s="528"/>
      <c r="X2292" s="707">
        <f>SUMIFS(P2292:V2292,$P$8:$V$8,"&gt;="&amp;$P$8,$P$8:$V$8,"&lt;="&amp;$N$8)</f>
        <v>320</v>
      </c>
      <c r="Y2292" s="901"/>
      <c r="Z2292" s="528"/>
      <c r="AA2292" s="756"/>
      <c r="AB2292" s="756"/>
      <c r="AC2292" s="907"/>
      <c r="AD2292" s="901"/>
      <c r="AE2292" s="40"/>
      <c r="AF2292" s="925"/>
      <c r="AG2292" s="925"/>
      <c r="AH2292" s="925"/>
      <c r="AI2292" s="925"/>
      <c r="AJ2292" s="925"/>
      <c r="AK2292" s="756"/>
      <c r="AL2292" s="756"/>
      <c r="AM2292" s="901"/>
      <c r="AN2292" s="40"/>
      <c r="AO2292" s="925"/>
      <c r="AP2292" s="910"/>
      <c r="AV2292" t="str">
        <f t="shared" si="9076"/>
        <v>Seg.3.1 -Aterro 07 - Valeta Manual</v>
      </c>
      <c r="AW2292" s="4" t="str">
        <f t="shared" si="9074"/>
        <v>DPS - Dreno Longitudinal Profundo</v>
      </c>
    </row>
    <row r="2293" spans="1:49" ht="26.85" customHeight="1" collapsed="1">
      <c r="A2293" s="209">
        <v>0</v>
      </c>
      <c r="B2293" s="150"/>
      <c r="C2293" s="150"/>
      <c r="D2293" s="117"/>
      <c r="E2293" s="535"/>
      <c r="F2293" s="536"/>
      <c r="G2293" s="537"/>
      <c r="H2293" s="714"/>
      <c r="I2293" s="538"/>
      <c r="J2293" s="714"/>
      <c r="K2293" s="537"/>
      <c r="L2293" s="714"/>
      <c r="M2293" s="538"/>
      <c r="N2293" s="714"/>
      <c r="O2293" s="537"/>
      <c r="P2293" s="539"/>
      <c r="Q2293" s="539"/>
      <c r="R2293" s="539"/>
      <c r="S2293" s="539"/>
      <c r="T2293" s="539"/>
      <c r="U2293" s="539"/>
      <c r="V2293" s="539"/>
      <c r="W2293" s="537"/>
      <c r="X2293" s="540"/>
      <c r="Y2293" s="537"/>
      <c r="Z2293" s="537"/>
      <c r="AA2293" s="250"/>
      <c r="AB2293" s="250"/>
      <c r="AC2293" s="249"/>
      <c r="AD2293" s="537"/>
      <c r="AE2293" s="3"/>
      <c r="AF2293" s="36"/>
      <c r="AG2293" s="36"/>
      <c r="AH2293" s="36"/>
      <c r="AI2293" s="36"/>
      <c r="AJ2293" s="36"/>
      <c r="AK2293" s="36"/>
      <c r="AL2293" s="36"/>
      <c r="AM2293" s="3"/>
      <c r="AN2293" s="3"/>
      <c r="AO2293" s="36"/>
      <c r="AP2293" s="36"/>
      <c r="AV2293" t="str">
        <f t="shared" si="9076"/>
        <v>Seg.3.1 -Aterro 07 - Valeta Manual</v>
      </c>
      <c r="AW2293" s="4" t="str">
        <f t="shared" si="9074"/>
        <v>DPS - Dreno Longitudinal Profundo</v>
      </c>
    </row>
    <row r="2294" spans="1:49" ht="15" customHeight="1">
      <c r="A2294" s="209">
        <v>0</v>
      </c>
      <c r="B2294" s="150"/>
      <c r="C2294" s="150"/>
      <c r="D2294" s="117"/>
      <c r="E2294" s="535"/>
      <c r="F2294" s="541"/>
      <c r="G2294" s="537"/>
      <c r="H2294" s="537"/>
      <c r="I2294" s="250"/>
      <c r="J2294" s="537"/>
      <c r="K2294" s="537"/>
      <c r="L2294" s="537"/>
      <c r="M2294" s="250"/>
      <c r="N2294" s="537"/>
      <c r="O2294" s="537"/>
      <c r="P2294" s="539"/>
      <c r="Q2294" s="539"/>
      <c r="R2294" s="539"/>
      <c r="S2294" s="539"/>
      <c r="T2294" s="539"/>
      <c r="U2294" s="539"/>
      <c r="V2294" s="539"/>
      <c r="W2294" s="537"/>
      <c r="X2294" s="540"/>
      <c r="Y2294" s="537"/>
      <c r="Z2294" s="537"/>
      <c r="AA2294" s="250"/>
      <c r="AB2294" s="250"/>
      <c r="AC2294" s="249"/>
      <c r="AD2294" s="537"/>
      <c r="AE2294" s="3"/>
      <c r="AF2294" s="36"/>
      <c r="AG2294" s="36"/>
      <c r="AH2294" s="36"/>
      <c r="AI2294" s="36"/>
      <c r="AJ2294" s="36"/>
      <c r="AK2294" s="36"/>
      <c r="AL2294" s="36"/>
      <c r="AM2294" s="3"/>
      <c r="AN2294" s="3"/>
      <c r="AO2294" s="36"/>
      <c r="AP2294" s="36"/>
      <c r="AV2294" t="str">
        <f t="shared" si="9076"/>
        <v>Seg.3.1 -Aterro 07 - Valeta Manual</v>
      </c>
      <c r="AW2294" s="4" t="str">
        <f t="shared" si="9074"/>
        <v>DPS - Dreno Longitudinal Profundo</v>
      </c>
    </row>
    <row r="2295" spans="1:49" ht="15" customHeight="1">
      <c r="A2295" s="209">
        <v>0</v>
      </c>
      <c r="B2295" s="150"/>
      <c r="C2295" s="150"/>
      <c r="D2295" s="122"/>
      <c r="E2295" s="913" t="s">
        <v>39</v>
      </c>
      <c r="F2295" s="859" t="s">
        <v>52</v>
      </c>
      <c r="G2295" s="528"/>
      <c r="H2295" s="542" t="s">
        <v>37</v>
      </c>
      <c r="I2295" s="543">
        <f>SUMIF($L2297:$L2318,$L2295,I2297:I2318)</f>
        <v>0</v>
      </c>
      <c r="J2295" s="860" t="str">
        <f>IFERROR((I2296/I2295),"-")</f>
        <v>-</v>
      </c>
      <c r="K2295" s="528"/>
      <c r="L2295" s="542" t="s">
        <v>37</v>
      </c>
      <c r="M2295" s="543">
        <f>SUMIF($L2297:$L2318,$L2295,M2297:M2318)</f>
        <v>224</v>
      </c>
      <c r="N2295" s="860">
        <f>IFERROR((M2296/M2295),"-")</f>
        <v>0</v>
      </c>
      <c r="O2295" s="528"/>
      <c r="P2295" s="543">
        <f>SUMIF($L2297:$L2318,$L2295,P2297:P2318)</f>
        <v>224</v>
      </c>
      <c r="Q2295" s="543">
        <f t="shared" ref="Q2295:V2295" si="9236">SUMIF($L2297:$L2318,$L2295,Q2297:Q2318)</f>
        <v>224</v>
      </c>
      <c r="R2295" s="543">
        <f t="shared" si="9236"/>
        <v>224</v>
      </c>
      <c r="S2295" s="543">
        <f t="shared" si="9236"/>
        <v>112</v>
      </c>
      <c r="T2295" s="543">
        <f t="shared" si="9236"/>
        <v>96</v>
      </c>
      <c r="U2295" s="543">
        <f t="shared" si="9236"/>
        <v>96</v>
      </c>
      <c r="V2295" s="543">
        <f t="shared" si="9236"/>
        <v>0</v>
      </c>
      <c r="W2295" s="528"/>
      <c r="X2295" s="543">
        <f t="shared" ref="X2295" si="9237">SUMIF($L2297:$L2314,$L2295,X2297:X2314)</f>
        <v>448</v>
      </c>
      <c r="Y2295" s="860">
        <f>IFERROR((X2296/X2295),"-")</f>
        <v>0</v>
      </c>
      <c r="Z2295" s="528"/>
      <c r="AA2295" s="814">
        <f t="shared" ref="AA2295:AC2295" si="9238">SUM(AA2297:AA2318)</f>
        <v>2684.27</v>
      </c>
      <c r="AB2295" s="814">
        <f t="shared" si="9238"/>
        <v>1558.7</v>
      </c>
      <c r="AC2295" s="814">
        <f t="shared" si="9238"/>
        <v>500</v>
      </c>
      <c r="AD2295" s="911">
        <f t="shared" ref="AD2295" si="9239">IFERROR((AC2295/AA2295),"-")</f>
        <v>0.18627038263662002</v>
      </c>
      <c r="AE2295" s="2"/>
      <c r="AF2295" s="888">
        <f>SUM(AF2297:AF2318)</f>
        <v>3256.67</v>
      </c>
      <c r="AG2295" s="888">
        <f t="shared" ref="AG2295:AK2295" si="9240">SUM(AG2297:AG2318)</f>
        <v>0</v>
      </c>
      <c r="AH2295" s="888">
        <f t="shared" si="9240"/>
        <v>255</v>
      </c>
      <c r="AI2295" s="888">
        <f t="shared" si="9240"/>
        <v>1644.2539999999999</v>
      </c>
      <c r="AJ2295" s="888">
        <f t="shared" si="9240"/>
        <v>1139.6420000000001</v>
      </c>
      <c r="AK2295" s="888">
        <f t="shared" si="9240"/>
        <v>6795.5659999999998</v>
      </c>
      <c r="AL2295" s="888">
        <f>SUM(AL2297:AL2318)</f>
        <v>6191.0999999999985</v>
      </c>
      <c r="AM2295" s="743">
        <f>IFERROR((AK2295/AL2295),"-")</f>
        <v>1.0976346691218042</v>
      </c>
      <c r="AN2295" s="2"/>
      <c r="AO2295" s="888">
        <f t="shared" ref="AO2295:AP2295" si="9241">SUM(AO2297:AO2318)</f>
        <v>6176.9400000000005</v>
      </c>
      <c r="AP2295" s="888">
        <f t="shared" si="9241"/>
        <v>-618.62599999999998</v>
      </c>
      <c r="AV2295" t="str">
        <f t="shared" si="9076"/>
        <v>Seg.3.1 -Aterro 07 - Valeta Manual</v>
      </c>
      <c r="AW2295" s="4" t="str">
        <f t="shared" si="9074"/>
        <v>Pacote 04 - Segmento 2.2B- Km 104+500 a Km 116+400</v>
      </c>
    </row>
    <row r="2296" spans="1:49" ht="15" customHeight="1">
      <c r="A2296" s="209">
        <v>0</v>
      </c>
      <c r="B2296" s="150"/>
      <c r="C2296" s="150"/>
      <c r="D2296" s="123"/>
      <c r="E2296" s="913"/>
      <c r="F2296" s="859"/>
      <c r="G2296" s="528"/>
      <c r="H2296" s="544" t="s">
        <v>38</v>
      </c>
      <c r="I2296" s="543">
        <f>SUMIF($L2297:$L2318,$L2296,I2297:I2318)</f>
        <v>330</v>
      </c>
      <c r="J2296" s="861"/>
      <c r="K2296" s="528"/>
      <c r="L2296" s="544" t="s">
        <v>38</v>
      </c>
      <c r="M2296" s="543">
        <f>SUMIF($L2297:$L2318,$L2296,M2297:M2318)</f>
        <v>0</v>
      </c>
      <c r="N2296" s="861"/>
      <c r="O2296" s="528"/>
      <c r="P2296" s="543">
        <f>SUMIF($L2297:$L2318,$L2296,P2297:P2318)</f>
        <v>0</v>
      </c>
      <c r="Q2296" s="543">
        <f t="shared" ref="Q2296:V2296" si="9242">SUMIF($L2297:$L2318,$L2296,Q2297:Q2318)</f>
        <v>0</v>
      </c>
      <c r="R2296" s="543">
        <f t="shared" si="9242"/>
        <v>0</v>
      </c>
      <c r="S2296" s="543">
        <f t="shared" si="9242"/>
        <v>0</v>
      </c>
      <c r="T2296" s="543">
        <f t="shared" si="9242"/>
        <v>0</v>
      </c>
      <c r="U2296" s="543">
        <f t="shared" si="9242"/>
        <v>0</v>
      </c>
      <c r="V2296" s="543">
        <f t="shared" si="9242"/>
        <v>0</v>
      </c>
      <c r="W2296" s="528"/>
      <c r="X2296" s="543">
        <f t="shared" ref="X2296" si="9243">SUMIF($L2297:$L2314,$L2296,X2297:X2314)</f>
        <v>0</v>
      </c>
      <c r="Y2296" s="861"/>
      <c r="Z2296" s="528"/>
      <c r="AA2296" s="815"/>
      <c r="AB2296" s="815"/>
      <c r="AC2296" s="815"/>
      <c r="AD2296" s="912"/>
      <c r="AE2296" s="2"/>
      <c r="AF2296" s="889"/>
      <c r="AG2296" s="889"/>
      <c r="AH2296" s="889"/>
      <c r="AI2296" s="889"/>
      <c r="AJ2296" s="889"/>
      <c r="AK2296" s="889"/>
      <c r="AL2296" s="889"/>
      <c r="AM2296" s="744"/>
      <c r="AN2296" s="2"/>
      <c r="AO2296" s="889"/>
      <c r="AP2296" s="889"/>
      <c r="AV2296" t="str">
        <f t="shared" si="9076"/>
        <v>Seg.3.1 -Aterro 07 - Valeta Manual</v>
      </c>
      <c r="AW2296" s="4" t="str">
        <f t="shared" si="9074"/>
        <v>Pacote 04 - Segmento 2.2B- Km 104+500 a Km 116+400</v>
      </c>
    </row>
    <row r="2297" spans="1:49" ht="15.6" customHeight="1" outlineLevel="2">
      <c r="A2297" s="8" t="str">
        <f t="shared" ref="A2297" si="9244">IF(SUM(P2297:V2298)&gt;0,"S","N")</f>
        <v>N</v>
      </c>
      <c r="B2297" s="150">
        <v>1066434</v>
      </c>
      <c r="C2297" s="150" t="s">
        <v>2610</v>
      </c>
      <c r="D2297" s="120"/>
      <c r="E2297" s="892" t="s">
        <v>2611</v>
      </c>
      <c r="F2297" s="902" t="s">
        <v>52</v>
      </c>
      <c r="G2297" s="528"/>
      <c r="H2297" s="546" t="s">
        <v>37</v>
      </c>
      <c r="I2297" s="711">
        <v>0</v>
      </c>
      <c r="J2297" s="896" t="str">
        <f t="shared" ref="J2297" si="9245">IFERROR((I2298/I2297),"-")</f>
        <v>-</v>
      </c>
      <c r="K2297" s="528"/>
      <c r="L2297" s="546" t="s">
        <v>37</v>
      </c>
      <c r="M2297" s="711">
        <f t="shared" ref="M2297:M2318" si="9246">_xlfn.XLOOKUP($N$8,$P$8:$V$8,$P2297:$V2297)</f>
        <v>0</v>
      </c>
      <c r="N2297" s="896" t="str">
        <f t="shared" ref="N2297" si="9247">IFERROR((M2298/M2297),"-")</f>
        <v>-</v>
      </c>
      <c r="O2297" s="528"/>
      <c r="P2297" s="547">
        <v>0</v>
      </c>
      <c r="Q2297" s="547">
        <v>0</v>
      </c>
      <c r="R2297" s="547">
        <v>0</v>
      </c>
      <c r="S2297" s="547">
        <v>0</v>
      </c>
      <c r="T2297" s="547">
        <v>0</v>
      </c>
      <c r="U2297" s="547">
        <v>0</v>
      </c>
      <c r="V2297" s="548">
        <v>0</v>
      </c>
      <c r="W2297" s="528"/>
      <c r="X2297" s="711">
        <f t="shared" ref="X2297:X2305" si="9248">SUMIFS(P2297:V2297,$P$8:$V$8,"&gt;="&amp;$P$8,$P$8:$V$8,"&lt;="&amp;$N$8)</f>
        <v>0</v>
      </c>
      <c r="Y2297" s="896" t="str">
        <f t="shared" ref="Y2297" si="9249">IFERROR((X2298/X2297),"0")</f>
        <v>0</v>
      </c>
      <c r="Z2297" s="528"/>
      <c r="AA2297" s="898">
        <v>0</v>
      </c>
      <c r="AB2297" s="898">
        <v>0</v>
      </c>
      <c r="AC2297" s="903">
        <v>0</v>
      </c>
      <c r="AD2297" s="896" t="str">
        <f t="shared" ref="AD2297" si="9250">IFERROR((AC2297/AA2297),"-")</f>
        <v>-</v>
      </c>
      <c r="AE2297" s="2"/>
      <c r="AF2297" s="884">
        <v>0</v>
      </c>
      <c r="AG2297" s="884"/>
      <c r="AH2297" s="903">
        <v>0</v>
      </c>
      <c r="AI2297" s="884"/>
      <c r="AJ2297" s="884"/>
      <c r="AK2297" s="884">
        <f t="shared" ref="AK2297" si="9251">AF2297+AG2297+AH2297+AI2297+AJ2297+AC2297</f>
        <v>0</v>
      </c>
      <c r="AL2297" s="884">
        <v>6.4</v>
      </c>
      <c r="AM2297" s="878">
        <f t="shared" ref="AM2297" si="9252">IFERROR((AK2297/AL2297),"-")</f>
        <v>0</v>
      </c>
      <c r="AN2297" s="2"/>
      <c r="AO2297" s="884">
        <v>6.4</v>
      </c>
      <c r="AP2297" s="884">
        <f t="shared" ref="AP2297" si="9253">AO2297-AK2297</f>
        <v>6.4</v>
      </c>
      <c r="AV2297" t="str">
        <f t="shared" si="9076"/>
        <v>Seg.3.1 -Aterro 07 - Valeta Manual</v>
      </c>
      <c r="AW2297" s="4" t="str">
        <f t="shared" si="9074"/>
        <v xml:space="preserve">   Seg. 2.2-C13 - Dreno de transição - DPS 06-A1 - DPS 04-B1 - Seg.2.2B C 13</v>
      </c>
    </row>
    <row r="2298" spans="1:49" ht="12" customHeight="1" outlineLevel="2">
      <c r="A2298" s="8" t="str">
        <f t="shared" ref="A2298" si="9254">A2297</f>
        <v>N</v>
      </c>
      <c r="B2298" s="150"/>
      <c r="C2298" s="150" t="s">
        <v>2610</v>
      </c>
      <c r="D2298" s="120" t="s">
        <v>212</v>
      </c>
      <c r="E2298" s="893"/>
      <c r="F2298" s="902"/>
      <c r="G2298" s="528"/>
      <c r="H2298" s="549" t="s">
        <v>38</v>
      </c>
      <c r="I2298" s="711">
        <v>0</v>
      </c>
      <c r="J2298" s="897"/>
      <c r="K2298" s="528"/>
      <c r="L2298" s="549" t="s">
        <v>38</v>
      </c>
      <c r="M2298" s="711">
        <f t="shared" si="9246"/>
        <v>0</v>
      </c>
      <c r="N2298" s="897"/>
      <c r="O2298" s="528"/>
      <c r="P2298" s="548">
        <v>0</v>
      </c>
      <c r="Q2298" s="548">
        <v>0</v>
      </c>
      <c r="R2298" s="548">
        <v>0</v>
      </c>
      <c r="S2298" s="548">
        <v>0</v>
      </c>
      <c r="T2298" s="548">
        <v>0</v>
      </c>
      <c r="U2298" s="548">
        <v>0</v>
      </c>
      <c r="V2298" s="548">
        <v>0</v>
      </c>
      <c r="W2298" s="528"/>
      <c r="X2298" s="711">
        <f t="shared" si="9248"/>
        <v>0</v>
      </c>
      <c r="Y2298" s="897"/>
      <c r="Z2298" s="528"/>
      <c r="AA2298" s="899"/>
      <c r="AB2298" s="899"/>
      <c r="AC2298" s="904"/>
      <c r="AD2298" s="905"/>
      <c r="AE2298" s="2"/>
      <c r="AF2298" s="885"/>
      <c r="AG2298" s="885"/>
      <c r="AH2298" s="904"/>
      <c r="AI2298" s="885"/>
      <c r="AJ2298" s="885"/>
      <c r="AK2298" s="885"/>
      <c r="AL2298" s="885"/>
      <c r="AM2298" s="879"/>
      <c r="AN2298" s="2"/>
      <c r="AO2298" s="886"/>
      <c r="AP2298" s="886"/>
      <c r="AV2298" t="str">
        <f t="shared" si="9076"/>
        <v>Seg.3.1 -Aterro 07 - Valeta Manual</v>
      </c>
      <c r="AW2298" s="4" t="str">
        <f t="shared" si="9074"/>
        <v xml:space="preserve">   Seg. 2.2-C13 - Dreno de transição - DPS 06-A1 - DPS 04-B1 - Seg.2.2B C 13</v>
      </c>
    </row>
    <row r="2299" spans="1:49" ht="18" customHeight="1" outlineLevel="2">
      <c r="A2299" s="8" t="str">
        <f t="shared" ref="A2299" si="9255">IF(SUM(P2299:V2300)&gt;0,"S","N")</f>
        <v>S</v>
      </c>
      <c r="B2299" s="150" t="s">
        <v>627</v>
      </c>
      <c r="C2299" s="150" t="s">
        <v>627</v>
      </c>
      <c r="D2299" s="150" t="s">
        <v>194</v>
      </c>
      <c r="E2299" s="892" t="s">
        <v>2612</v>
      </c>
      <c r="F2299" s="902" t="s">
        <v>52</v>
      </c>
      <c r="G2299" s="528"/>
      <c r="H2299" s="546" t="s">
        <v>37</v>
      </c>
      <c r="I2299" s="711">
        <v>0</v>
      </c>
      <c r="J2299" s="896" t="str">
        <f t="shared" ref="J2299" si="9256">IFERROR((I2300/I2299),"-")</f>
        <v>-</v>
      </c>
      <c r="K2299" s="528"/>
      <c r="L2299" s="546" t="s">
        <v>37</v>
      </c>
      <c r="M2299" s="711">
        <f t="shared" si="9246"/>
        <v>112</v>
      </c>
      <c r="N2299" s="896">
        <f t="shared" ref="N2299" si="9257">IFERROR((M2300/M2299),"-")</f>
        <v>0</v>
      </c>
      <c r="O2299" s="528"/>
      <c r="P2299" s="547">
        <v>112</v>
      </c>
      <c r="Q2299" s="547">
        <v>112</v>
      </c>
      <c r="R2299" s="547">
        <v>112</v>
      </c>
      <c r="S2299" s="547">
        <v>112</v>
      </c>
      <c r="T2299" s="547">
        <v>96</v>
      </c>
      <c r="U2299" s="547">
        <v>96</v>
      </c>
      <c r="V2299" s="548">
        <v>0</v>
      </c>
      <c r="W2299" s="528"/>
      <c r="X2299" s="711">
        <f t="shared" si="9248"/>
        <v>224</v>
      </c>
      <c r="Y2299" s="896">
        <f t="shared" ref="Y2299" si="9258">IFERROR((X2300/X2299),"0")</f>
        <v>0</v>
      </c>
      <c r="Z2299" s="528"/>
      <c r="AA2299" s="898">
        <v>0</v>
      </c>
      <c r="AB2299" s="898">
        <v>0</v>
      </c>
      <c r="AC2299" s="903">
        <v>420</v>
      </c>
      <c r="AD2299" s="896" t="str">
        <f t="shared" ref="AD2299" si="9259">IFERROR((AC2299/AA2299),"-")</f>
        <v>-</v>
      </c>
      <c r="AE2299" s="2"/>
      <c r="AF2299" s="884">
        <v>0</v>
      </c>
      <c r="AG2299" s="884"/>
      <c r="AH2299" s="903">
        <v>0</v>
      </c>
      <c r="AI2299" s="884"/>
      <c r="AJ2299" s="884"/>
      <c r="AK2299" s="884">
        <f t="shared" ref="AK2299" si="9260">AF2299+AG2299+AH2299+AI2299+AJ2299+AC2299</f>
        <v>420</v>
      </c>
      <c r="AL2299" s="884">
        <v>0</v>
      </c>
      <c r="AM2299" s="878" t="str">
        <f t="shared" ref="AM2299" si="9261">IFERROR((AK2299/AL2299),"-")</f>
        <v>-</v>
      </c>
      <c r="AN2299" s="2"/>
      <c r="AO2299" s="884">
        <v>0</v>
      </c>
      <c r="AP2299" s="884">
        <f t="shared" ref="AP2299" si="9262">AO2299-AK2299</f>
        <v>-420</v>
      </c>
      <c r="AV2299" t="str">
        <f t="shared" si="9076"/>
        <v>Seg.3.1 -Aterro 07 - Valeta Manual</v>
      </c>
      <c r="AW2299" s="4" t="str">
        <f t="shared" si="9074"/>
        <v xml:space="preserve">   Seg. 2.2-C07-Plataforma - Dreno Longitudinal Profo</v>
      </c>
    </row>
    <row r="2300" spans="1:49" ht="18" customHeight="1" outlineLevel="2">
      <c r="A2300" s="8" t="str">
        <f t="shared" ref="A2300" si="9263">A2299</f>
        <v>S</v>
      </c>
      <c r="B2300" s="150"/>
      <c r="C2300" s="150" t="s">
        <v>627</v>
      </c>
      <c r="D2300" s="150" t="s">
        <v>194</v>
      </c>
      <c r="E2300" s="893"/>
      <c r="F2300" s="902"/>
      <c r="G2300" s="528"/>
      <c r="H2300" s="549" t="s">
        <v>38</v>
      </c>
      <c r="I2300" s="711">
        <v>250</v>
      </c>
      <c r="J2300" s="897"/>
      <c r="K2300" s="528"/>
      <c r="L2300" s="549" t="s">
        <v>38</v>
      </c>
      <c r="M2300" s="711">
        <f t="shared" si="9246"/>
        <v>0</v>
      </c>
      <c r="N2300" s="897"/>
      <c r="O2300" s="528"/>
      <c r="P2300" s="548">
        <v>0</v>
      </c>
      <c r="Q2300" s="548">
        <v>0</v>
      </c>
      <c r="R2300" s="548">
        <v>0</v>
      </c>
      <c r="S2300" s="548">
        <v>0</v>
      </c>
      <c r="T2300" s="548">
        <v>0</v>
      </c>
      <c r="U2300" s="548">
        <v>0</v>
      </c>
      <c r="V2300" s="548">
        <v>0</v>
      </c>
      <c r="W2300" s="528"/>
      <c r="X2300" s="711">
        <f t="shared" si="9248"/>
        <v>0</v>
      </c>
      <c r="Y2300" s="897"/>
      <c r="Z2300" s="528"/>
      <c r="AA2300" s="899"/>
      <c r="AB2300" s="899"/>
      <c r="AC2300" s="904"/>
      <c r="AD2300" s="905"/>
      <c r="AE2300" s="2"/>
      <c r="AF2300" s="885"/>
      <c r="AG2300" s="885"/>
      <c r="AH2300" s="904"/>
      <c r="AI2300" s="885"/>
      <c r="AJ2300" s="885"/>
      <c r="AK2300" s="885"/>
      <c r="AL2300" s="885"/>
      <c r="AM2300" s="879"/>
      <c r="AN2300" s="2"/>
      <c r="AO2300" s="885"/>
      <c r="AP2300" s="886"/>
      <c r="AV2300" t="str">
        <f t="shared" si="9076"/>
        <v>Seg.3.1 -Aterro 07 - Valeta Manual</v>
      </c>
      <c r="AW2300" s="4" t="str">
        <f t="shared" si="9074"/>
        <v xml:space="preserve">   Seg. 2.2-C07-Plataforma - Dreno Longitudinal Profo</v>
      </c>
    </row>
    <row r="2301" spans="1:49" ht="18" customHeight="1" outlineLevel="2">
      <c r="A2301" s="8" t="str">
        <f t="shared" ref="A2301" si="9264">IF(SUM(P2301:V2302)&gt;0,"S","N")</f>
        <v>S</v>
      </c>
      <c r="B2301" s="150">
        <v>1069853</v>
      </c>
      <c r="C2301" s="150" t="s">
        <v>2613</v>
      </c>
      <c r="D2301" s="147" t="s">
        <v>187</v>
      </c>
      <c r="E2301" s="892" t="s">
        <v>2614</v>
      </c>
      <c r="F2301" s="902" t="s">
        <v>52</v>
      </c>
      <c r="G2301" s="528"/>
      <c r="H2301" s="546" t="s">
        <v>37</v>
      </c>
      <c r="I2301" s="711">
        <v>0</v>
      </c>
      <c r="J2301" s="896" t="str">
        <f t="shared" ref="J2301" si="9265">IFERROR((I2302/I2301),"-")</f>
        <v>-</v>
      </c>
      <c r="K2301" s="528"/>
      <c r="L2301" s="546" t="s">
        <v>37</v>
      </c>
      <c r="M2301" s="711">
        <f t="shared" si="9246"/>
        <v>112</v>
      </c>
      <c r="N2301" s="896">
        <f t="shared" ref="N2301" si="9266">IFERROR((M2302/M2301),"-")</f>
        <v>0</v>
      </c>
      <c r="O2301" s="528"/>
      <c r="P2301" s="547">
        <v>112</v>
      </c>
      <c r="Q2301" s="547">
        <v>112</v>
      </c>
      <c r="R2301" s="547">
        <v>112</v>
      </c>
      <c r="S2301" s="547">
        <v>0</v>
      </c>
      <c r="T2301" s="547">
        <v>0</v>
      </c>
      <c r="U2301" s="547">
        <v>0</v>
      </c>
      <c r="V2301" s="548">
        <v>0</v>
      </c>
      <c r="W2301" s="528"/>
      <c r="X2301" s="711">
        <f t="shared" si="9248"/>
        <v>224</v>
      </c>
      <c r="Y2301" s="896">
        <f t="shared" ref="Y2301" si="9267">IFERROR((X2302/X2301),"0")</f>
        <v>0</v>
      </c>
      <c r="Z2301" s="528"/>
      <c r="AA2301" s="898">
        <v>2037.4</v>
      </c>
      <c r="AB2301" s="898">
        <v>1558.7</v>
      </c>
      <c r="AC2301" s="903">
        <v>0</v>
      </c>
      <c r="AD2301" s="896">
        <f t="shared" ref="AD2301" si="9268">IFERROR((AC2301/AA2301),"-")</f>
        <v>0</v>
      </c>
      <c r="AE2301" s="2"/>
      <c r="AF2301" s="884">
        <v>0</v>
      </c>
      <c r="AG2301" s="884"/>
      <c r="AH2301" s="903">
        <v>255</v>
      </c>
      <c r="AI2301" s="884"/>
      <c r="AJ2301" s="884"/>
      <c r="AK2301" s="884">
        <f t="shared" ref="AK2301" si="9269">AF2301+AG2301+AH2301+AI2301+AJ2301+AC2301</f>
        <v>255</v>
      </c>
      <c r="AL2301" s="884">
        <v>1788.3</v>
      </c>
      <c r="AM2301" s="878">
        <f t="shared" ref="AM2301" si="9270">IFERROR((AK2301/AL2301),"-")</f>
        <v>0.14259352457641336</v>
      </c>
      <c r="AN2301" s="2"/>
      <c r="AO2301" s="884">
        <v>2267</v>
      </c>
      <c r="AP2301" s="884">
        <f t="shared" ref="AP2301" si="9271">AO2301-AK2301</f>
        <v>2012</v>
      </c>
      <c r="AV2301" t="str">
        <f t="shared" si="9076"/>
        <v>Seg.3.1 -Aterro 07 - Valeta Manual</v>
      </c>
      <c r="AW2301" s="4" t="str">
        <f t="shared" si="9074"/>
        <v xml:space="preserve">   Seg. 2.2-C04-Plataforma - Dreno Longitudinal Profo - DPS 03-B1</v>
      </c>
    </row>
    <row r="2302" spans="1:49" ht="18" customHeight="1" outlineLevel="2">
      <c r="A2302" s="8" t="str">
        <f t="shared" ref="A2302" si="9272">A2301</f>
        <v>S</v>
      </c>
      <c r="B2302" s="150"/>
      <c r="C2302" s="150" t="s">
        <v>2613</v>
      </c>
      <c r="D2302" s="147" t="s">
        <v>187</v>
      </c>
      <c r="E2302" s="893"/>
      <c r="F2302" s="902"/>
      <c r="G2302" s="528"/>
      <c r="H2302" s="549" t="s">
        <v>38</v>
      </c>
      <c r="I2302" s="711">
        <v>0</v>
      </c>
      <c r="J2302" s="897"/>
      <c r="K2302" s="528"/>
      <c r="L2302" s="549" t="s">
        <v>38</v>
      </c>
      <c r="M2302" s="711">
        <f t="shared" si="9246"/>
        <v>0</v>
      </c>
      <c r="N2302" s="897"/>
      <c r="O2302" s="528"/>
      <c r="P2302" s="548">
        <v>0</v>
      </c>
      <c r="Q2302" s="548">
        <v>0</v>
      </c>
      <c r="R2302" s="548">
        <v>0</v>
      </c>
      <c r="S2302" s="548">
        <v>0</v>
      </c>
      <c r="T2302" s="548">
        <v>0</v>
      </c>
      <c r="U2302" s="548">
        <v>0</v>
      </c>
      <c r="V2302" s="548">
        <v>0</v>
      </c>
      <c r="W2302" s="528"/>
      <c r="X2302" s="711">
        <f t="shared" si="9248"/>
        <v>0</v>
      </c>
      <c r="Y2302" s="897"/>
      <c r="Z2302" s="528"/>
      <c r="AA2302" s="899"/>
      <c r="AB2302" s="899"/>
      <c r="AC2302" s="904"/>
      <c r="AD2302" s="905"/>
      <c r="AE2302" s="2"/>
      <c r="AF2302" s="885"/>
      <c r="AG2302" s="885"/>
      <c r="AH2302" s="904"/>
      <c r="AI2302" s="885"/>
      <c r="AJ2302" s="885"/>
      <c r="AK2302" s="885"/>
      <c r="AL2302" s="885"/>
      <c r="AM2302" s="879"/>
      <c r="AN2302" s="2"/>
      <c r="AO2302" s="885"/>
      <c r="AP2302" s="886"/>
      <c r="AV2302" t="str">
        <f t="shared" si="9076"/>
        <v>Seg.3.1 -Aterro 07 - Valeta Manual</v>
      </c>
      <c r="AW2302" s="4" t="str">
        <f t="shared" si="9074"/>
        <v xml:space="preserve">   Seg. 2.2-C04-Plataforma - Dreno Longitudinal Profo - DPS 03-B1</v>
      </c>
    </row>
    <row r="2303" spans="1:49" ht="18" customHeight="1" outlineLevel="2">
      <c r="A2303" s="8" t="str">
        <f t="shared" ref="A2303" si="9273">IF(SUM(P2303:V2304)&gt;0,"S","N")</f>
        <v>N</v>
      </c>
      <c r="B2303" s="150">
        <v>1069077</v>
      </c>
      <c r="C2303" s="150" t="s">
        <v>2615</v>
      </c>
      <c r="D2303" s="120" t="s">
        <v>212</v>
      </c>
      <c r="E2303" s="892" t="s">
        <v>2616</v>
      </c>
      <c r="F2303" s="902" t="s">
        <v>52</v>
      </c>
      <c r="G2303" s="528"/>
      <c r="H2303" s="546" t="s">
        <v>37</v>
      </c>
      <c r="I2303" s="711">
        <v>0</v>
      </c>
      <c r="J2303" s="896" t="str">
        <f t="shared" ref="J2303" si="9274">IFERROR((I2304/I2303),"-")</f>
        <v>-</v>
      </c>
      <c r="K2303" s="528"/>
      <c r="L2303" s="546" t="s">
        <v>37</v>
      </c>
      <c r="M2303" s="711">
        <f t="shared" si="9246"/>
        <v>0</v>
      </c>
      <c r="N2303" s="896" t="str">
        <f t="shared" ref="N2303" si="9275">IFERROR((M2304/M2303),"-")</f>
        <v>-</v>
      </c>
      <c r="O2303" s="528"/>
      <c r="P2303" s="547">
        <v>0</v>
      </c>
      <c r="Q2303" s="547">
        <v>0</v>
      </c>
      <c r="R2303" s="547">
        <v>0</v>
      </c>
      <c r="S2303" s="547">
        <v>0</v>
      </c>
      <c r="T2303" s="547">
        <v>0</v>
      </c>
      <c r="U2303" s="547">
        <v>0</v>
      </c>
      <c r="V2303" s="548">
        <v>0</v>
      </c>
      <c r="W2303" s="528"/>
      <c r="X2303" s="711">
        <f t="shared" si="9248"/>
        <v>0</v>
      </c>
      <c r="Y2303" s="896" t="str">
        <f t="shared" ref="Y2303" si="9276">IFERROR((X2304/X2303),"0")</f>
        <v>0</v>
      </c>
      <c r="Z2303" s="528"/>
      <c r="AA2303" s="898">
        <v>0</v>
      </c>
      <c r="AB2303" s="898">
        <v>0</v>
      </c>
      <c r="AC2303" s="903">
        <v>0</v>
      </c>
      <c r="AD2303" s="896" t="str">
        <f t="shared" ref="AD2303" si="9277">IFERROR((AC2303/AA2303),"-")</f>
        <v>-</v>
      </c>
      <c r="AE2303" s="2"/>
      <c r="AF2303" s="884">
        <v>885</v>
      </c>
      <c r="AG2303" s="884"/>
      <c r="AH2303" s="903">
        <v>0</v>
      </c>
      <c r="AI2303" s="884"/>
      <c r="AJ2303" s="884">
        <v>1139.6420000000001</v>
      </c>
      <c r="AK2303" s="884">
        <f t="shared" ref="AK2303" si="9278">AF2303+AG2303+AH2303+AI2303+AJ2303+AC2303</f>
        <v>2024.6420000000001</v>
      </c>
      <c r="AL2303" s="884">
        <v>2024.7599999999986</v>
      </c>
      <c r="AM2303" s="878">
        <f t="shared" ref="AM2303" si="9279">IFERROR((AK2303/AL2303),"-")</f>
        <v>0.99994172148797955</v>
      </c>
      <c r="AN2303" s="2"/>
      <c r="AO2303" s="884">
        <v>885</v>
      </c>
      <c r="AP2303" s="884">
        <f t="shared" ref="AP2303" si="9280">AO2303-AK2303</f>
        <v>-1139.6420000000001</v>
      </c>
      <c r="AV2303" t="str">
        <f t="shared" si="9076"/>
        <v>Seg.3.1 -Aterro 07 - Valeta Manual</v>
      </c>
      <c r="AW2303" s="4" t="str">
        <f t="shared" si="9074"/>
        <v xml:space="preserve">   Seg. 2.2-C13 - Dreno Longitudinal Profo - DPS 03-B1 - Seg.2.2B C 13</v>
      </c>
    </row>
    <row r="2304" spans="1:49" ht="18" customHeight="1" outlineLevel="2">
      <c r="A2304" s="8" t="str">
        <f t="shared" ref="A2304" si="9281">A2303</f>
        <v>N</v>
      </c>
      <c r="B2304" s="150"/>
      <c r="C2304" s="150" t="s">
        <v>2615</v>
      </c>
      <c r="D2304" s="120" t="s">
        <v>212</v>
      </c>
      <c r="E2304" s="893"/>
      <c r="F2304" s="902"/>
      <c r="G2304" s="528"/>
      <c r="H2304" s="549" t="s">
        <v>38</v>
      </c>
      <c r="I2304" s="711">
        <v>0</v>
      </c>
      <c r="J2304" s="897"/>
      <c r="K2304" s="528"/>
      <c r="L2304" s="549" t="s">
        <v>38</v>
      </c>
      <c r="M2304" s="711">
        <f t="shared" si="9246"/>
        <v>0</v>
      </c>
      <c r="N2304" s="897"/>
      <c r="O2304" s="528"/>
      <c r="P2304" s="548">
        <v>0</v>
      </c>
      <c r="Q2304" s="548">
        <v>0</v>
      </c>
      <c r="R2304" s="548">
        <v>0</v>
      </c>
      <c r="S2304" s="548">
        <v>0</v>
      </c>
      <c r="T2304" s="548">
        <v>0</v>
      </c>
      <c r="U2304" s="548">
        <v>0</v>
      </c>
      <c r="V2304" s="548">
        <v>0</v>
      </c>
      <c r="W2304" s="528"/>
      <c r="X2304" s="711">
        <f t="shared" si="9248"/>
        <v>0</v>
      </c>
      <c r="Y2304" s="897"/>
      <c r="Z2304" s="528"/>
      <c r="AA2304" s="899"/>
      <c r="AB2304" s="899"/>
      <c r="AC2304" s="904"/>
      <c r="AD2304" s="905"/>
      <c r="AE2304" s="2"/>
      <c r="AF2304" s="885"/>
      <c r="AG2304" s="885"/>
      <c r="AH2304" s="904"/>
      <c r="AI2304" s="885"/>
      <c r="AJ2304" s="885"/>
      <c r="AK2304" s="885"/>
      <c r="AL2304" s="885"/>
      <c r="AM2304" s="879"/>
      <c r="AN2304" s="2"/>
      <c r="AO2304" s="886"/>
      <c r="AP2304" s="886"/>
      <c r="AV2304" t="str">
        <f t="shared" si="9076"/>
        <v>Seg.3.1 -Aterro 07 - Valeta Manual</v>
      </c>
      <c r="AW2304" s="4" t="str">
        <f t="shared" si="9074"/>
        <v xml:space="preserve">   Seg. 2.2-C13 - Dreno Longitudinal Profo - DPS 03-B1 - Seg.2.2B C 13</v>
      </c>
    </row>
    <row r="2305" spans="1:50" ht="18" customHeight="1" outlineLevel="2">
      <c r="A2305" s="8" t="str">
        <f t="shared" ref="A2305" si="9282">IF(SUM(P2305:V2306)&gt;0,"S","N")</f>
        <v>N</v>
      </c>
      <c r="B2305" s="150">
        <v>1069447</v>
      </c>
      <c r="C2305" s="150" t="s">
        <v>2617</v>
      </c>
      <c r="D2305" s="120" t="s">
        <v>191</v>
      </c>
      <c r="E2305" s="892" t="s">
        <v>2618</v>
      </c>
      <c r="F2305" s="902" t="s">
        <v>52</v>
      </c>
      <c r="G2305" s="528"/>
      <c r="H2305" s="546" t="s">
        <v>37</v>
      </c>
      <c r="I2305" s="711">
        <v>0</v>
      </c>
      <c r="J2305" s="896" t="str">
        <f t="shared" ref="J2305" si="9283">IFERROR((I2306/I2305),"-")</f>
        <v>-</v>
      </c>
      <c r="K2305" s="528"/>
      <c r="L2305" s="546" t="s">
        <v>37</v>
      </c>
      <c r="M2305" s="711">
        <f t="shared" si="9246"/>
        <v>0</v>
      </c>
      <c r="N2305" s="896" t="str">
        <f t="shared" ref="N2305" si="9284">IFERROR((M2306/M2305),"-")</f>
        <v>-</v>
      </c>
      <c r="O2305" s="528"/>
      <c r="P2305" s="547">
        <v>0</v>
      </c>
      <c r="Q2305" s="547">
        <v>0</v>
      </c>
      <c r="R2305" s="547">
        <v>0</v>
      </c>
      <c r="S2305" s="547">
        <v>0</v>
      </c>
      <c r="T2305" s="547">
        <v>0</v>
      </c>
      <c r="U2305" s="547">
        <v>0</v>
      </c>
      <c r="V2305" s="548">
        <v>0</v>
      </c>
      <c r="W2305" s="528"/>
      <c r="X2305" s="711">
        <f t="shared" si="9248"/>
        <v>0</v>
      </c>
      <c r="Y2305" s="896" t="str">
        <f t="shared" ref="Y2305" si="9285">IFERROR((X2306/X2305),"0")</f>
        <v>0</v>
      </c>
      <c r="Z2305" s="528"/>
      <c r="AA2305" s="898">
        <v>646.87</v>
      </c>
      <c r="AB2305" s="898">
        <v>0</v>
      </c>
      <c r="AC2305" s="903">
        <v>0</v>
      </c>
      <c r="AD2305" s="896">
        <f t="shared" ref="AD2305" si="9286">IFERROR((AC2305/AA2305),"-")</f>
        <v>0</v>
      </c>
      <c r="AE2305" s="2"/>
      <c r="AF2305" s="884">
        <v>171.13</v>
      </c>
      <c r="AG2305" s="884"/>
      <c r="AH2305" s="903">
        <v>0</v>
      </c>
      <c r="AI2305" s="884">
        <v>805.81700000000001</v>
      </c>
      <c r="AJ2305" s="884"/>
      <c r="AK2305" s="884">
        <f t="shared" ref="AK2305" si="9287">AF2305+AG2305+AH2305+AI2305+AJ2305+AC2305</f>
        <v>976.947</v>
      </c>
      <c r="AL2305" s="884">
        <v>171.13</v>
      </c>
      <c r="AM2305" s="878">
        <f t="shared" ref="AM2305" si="9288">IFERROR((AK2305/AL2305),"-")</f>
        <v>5.7088003272366041</v>
      </c>
      <c r="AN2305" s="2"/>
      <c r="AO2305" s="884">
        <v>818</v>
      </c>
      <c r="AP2305" s="884">
        <f t="shared" ref="AP2305" si="9289">AO2305-AK2305</f>
        <v>-158.947</v>
      </c>
      <c r="AV2305" t="str">
        <f t="shared" si="9076"/>
        <v>Seg.3.1 -Aterro 07 - Valeta Manual</v>
      </c>
      <c r="AW2305" s="4" t="str">
        <f t="shared" si="9074"/>
        <v xml:space="preserve">   Seg. 2.2-C05- Dreno Longitudinal Profo - DPS 03-B1 - Seg.2.2B C05</v>
      </c>
    </row>
    <row r="2306" spans="1:50" ht="18" customHeight="1" outlineLevel="2">
      <c r="A2306" s="8" t="str">
        <f t="shared" ref="A2306" si="9290">A2305</f>
        <v>N</v>
      </c>
      <c r="B2306" s="150"/>
      <c r="C2306" s="150" t="s">
        <v>2617</v>
      </c>
      <c r="D2306" s="120" t="s">
        <v>191</v>
      </c>
      <c r="E2306" s="893"/>
      <c r="F2306" s="902"/>
      <c r="G2306" s="528"/>
      <c r="H2306" s="549" t="s">
        <v>38</v>
      </c>
      <c r="I2306" s="711">
        <v>0</v>
      </c>
      <c r="J2306" s="897"/>
      <c r="K2306" s="528"/>
      <c r="L2306" s="549" t="s">
        <v>38</v>
      </c>
      <c r="M2306" s="711">
        <f t="shared" si="9246"/>
        <v>0</v>
      </c>
      <c r="N2306" s="897"/>
      <c r="O2306" s="528"/>
      <c r="P2306" s="548">
        <v>0</v>
      </c>
      <c r="Q2306" s="548">
        <v>0</v>
      </c>
      <c r="R2306" s="548">
        <v>0</v>
      </c>
      <c r="S2306" s="548">
        <v>0</v>
      </c>
      <c r="T2306" s="548">
        <v>0</v>
      </c>
      <c r="U2306" s="548">
        <v>0</v>
      </c>
      <c r="V2306" s="548">
        <v>0</v>
      </c>
      <c r="W2306" s="528"/>
      <c r="X2306" s="711">
        <f>SUMIFS(P2306:V2306,$P$8:$V$8,"&gt;="&amp;$P$8,$P$8:$V$8,"&lt;="&amp;$N$8)</f>
        <v>0</v>
      </c>
      <c r="Y2306" s="897"/>
      <c r="Z2306" s="528"/>
      <c r="AA2306" s="899"/>
      <c r="AB2306" s="899"/>
      <c r="AC2306" s="904"/>
      <c r="AD2306" s="905"/>
      <c r="AE2306" s="2"/>
      <c r="AF2306" s="885"/>
      <c r="AG2306" s="885"/>
      <c r="AH2306" s="904"/>
      <c r="AI2306" s="885"/>
      <c r="AJ2306" s="885"/>
      <c r="AK2306" s="885"/>
      <c r="AL2306" s="885"/>
      <c r="AM2306" s="879"/>
      <c r="AN2306" s="2"/>
      <c r="AO2306" s="886"/>
      <c r="AP2306" s="886"/>
      <c r="AV2306" t="str">
        <f t="shared" si="9076"/>
        <v>Seg.3.1 -Aterro 07 - Valeta Manual</v>
      </c>
      <c r="AW2306" s="4" t="str">
        <f t="shared" si="9074"/>
        <v xml:space="preserve">   Seg. 2.2-C05- Dreno Longitudinal Profo - DPS 03-B1 - Seg.2.2B C05</v>
      </c>
    </row>
    <row r="2307" spans="1:50" ht="18" customHeight="1" outlineLevel="2">
      <c r="A2307" s="8" t="str">
        <f t="shared" ref="A2307" si="9291">IF(SUM(P2307:V2308)&gt;0,"S","N")</f>
        <v>N</v>
      </c>
      <c r="B2307" s="150">
        <v>1070093</v>
      </c>
      <c r="C2307" s="150" t="s">
        <v>2619</v>
      </c>
      <c r="D2307" s="120" t="s">
        <v>206</v>
      </c>
      <c r="E2307" s="892" t="s">
        <v>2620</v>
      </c>
      <c r="F2307" s="902" t="s">
        <v>52</v>
      </c>
      <c r="G2307" s="528"/>
      <c r="H2307" s="546" t="s">
        <v>37</v>
      </c>
      <c r="I2307" s="711">
        <v>0</v>
      </c>
      <c r="J2307" s="896" t="str">
        <f t="shared" ref="J2307" si="9292">IFERROR((I2308/I2307),"-")</f>
        <v>-</v>
      </c>
      <c r="K2307" s="528"/>
      <c r="L2307" s="546" t="s">
        <v>37</v>
      </c>
      <c r="M2307" s="711">
        <f t="shared" si="9246"/>
        <v>0</v>
      </c>
      <c r="N2307" s="896" t="str">
        <f t="shared" ref="N2307" si="9293">IFERROR((M2308/M2307),"-")</f>
        <v>-</v>
      </c>
      <c r="O2307" s="528"/>
      <c r="P2307" s="547">
        <v>0</v>
      </c>
      <c r="Q2307" s="547">
        <v>0</v>
      </c>
      <c r="R2307" s="547">
        <v>0</v>
      </c>
      <c r="S2307" s="547">
        <v>0</v>
      </c>
      <c r="T2307" s="547">
        <v>0</v>
      </c>
      <c r="U2307" s="547">
        <v>0</v>
      </c>
      <c r="V2307" s="548">
        <v>0</v>
      </c>
      <c r="W2307" s="528"/>
      <c r="X2307" s="711">
        <f t="shared" ref="X2307:X2318" si="9294">SUMIFS(P2307:V2307,$P$8:$V$8,"&gt;="&amp;$P$8,$P$8:$V$8,"&lt;="&amp;$N$8)</f>
        <v>0</v>
      </c>
      <c r="Y2307" s="896" t="str">
        <f t="shared" ref="Y2307" si="9295">IFERROR((X2308/X2307),"0")</f>
        <v>0</v>
      </c>
      <c r="Z2307" s="528"/>
      <c r="AA2307" s="898">
        <v>0</v>
      </c>
      <c r="AB2307" s="898">
        <v>0</v>
      </c>
      <c r="AC2307" s="903">
        <v>0</v>
      </c>
      <c r="AD2307" s="896" t="str">
        <f t="shared" ref="AD2307" si="9296">IFERROR((AC2307/AA2307),"-")</f>
        <v>-</v>
      </c>
      <c r="AE2307" s="2"/>
      <c r="AF2307" s="884">
        <v>592.54</v>
      </c>
      <c r="AG2307" s="884"/>
      <c r="AH2307" s="903">
        <v>0</v>
      </c>
      <c r="AI2307" s="884"/>
      <c r="AJ2307" s="884"/>
      <c r="AK2307" s="884">
        <f t="shared" ref="AK2307" si="9297">AF2307+AG2307+AH2307+AI2307+AJ2307+AC2307</f>
        <v>592.54</v>
      </c>
      <c r="AL2307" s="884">
        <v>592.54999999999995</v>
      </c>
      <c r="AM2307" s="878">
        <f t="shared" ref="AM2307" si="9298">IFERROR((AK2307/AL2307),"-")</f>
        <v>0.99998312378702225</v>
      </c>
      <c r="AN2307" s="2"/>
      <c r="AO2307" s="884">
        <v>592.54</v>
      </c>
      <c r="AP2307" s="884">
        <f t="shared" ref="AP2307" si="9299">AO2307-AK2307</f>
        <v>0</v>
      </c>
      <c r="AV2307" t="str">
        <f t="shared" si="9076"/>
        <v>Seg.3.1 -Aterro 07 - Valeta Manual</v>
      </c>
      <c r="AW2307" s="4" t="str">
        <f t="shared" si="9074"/>
        <v xml:space="preserve">   Seg. 2.2-C11- Dreno Longitudinal Profo - DPS 03-B1 - Seg.2.2B C 11</v>
      </c>
    </row>
    <row r="2308" spans="1:50" ht="18" customHeight="1" outlineLevel="2">
      <c r="A2308" s="8" t="str">
        <f t="shared" ref="A2308" si="9300">A2307</f>
        <v>N</v>
      </c>
      <c r="B2308" s="150"/>
      <c r="C2308" s="150" t="s">
        <v>2619</v>
      </c>
      <c r="D2308" s="120" t="s">
        <v>206</v>
      </c>
      <c r="E2308" s="893"/>
      <c r="F2308" s="902"/>
      <c r="G2308" s="528"/>
      <c r="H2308" s="549" t="s">
        <v>38</v>
      </c>
      <c r="I2308" s="711">
        <v>0</v>
      </c>
      <c r="J2308" s="897"/>
      <c r="K2308" s="528"/>
      <c r="L2308" s="549" t="s">
        <v>38</v>
      </c>
      <c r="M2308" s="711">
        <f t="shared" si="9246"/>
        <v>0</v>
      </c>
      <c r="N2308" s="897"/>
      <c r="O2308" s="528"/>
      <c r="P2308" s="548">
        <v>0</v>
      </c>
      <c r="Q2308" s="548">
        <v>0</v>
      </c>
      <c r="R2308" s="548">
        <v>0</v>
      </c>
      <c r="S2308" s="548">
        <v>0</v>
      </c>
      <c r="T2308" s="548">
        <v>0</v>
      </c>
      <c r="U2308" s="548">
        <v>0</v>
      </c>
      <c r="V2308" s="548">
        <v>0</v>
      </c>
      <c r="W2308" s="528"/>
      <c r="X2308" s="711">
        <f t="shared" si="9294"/>
        <v>0</v>
      </c>
      <c r="Y2308" s="897"/>
      <c r="Z2308" s="528"/>
      <c r="AA2308" s="899"/>
      <c r="AB2308" s="899"/>
      <c r="AC2308" s="904"/>
      <c r="AD2308" s="905"/>
      <c r="AE2308" s="2"/>
      <c r="AF2308" s="885"/>
      <c r="AG2308" s="885"/>
      <c r="AH2308" s="904"/>
      <c r="AI2308" s="885"/>
      <c r="AJ2308" s="885"/>
      <c r="AK2308" s="885"/>
      <c r="AL2308" s="885"/>
      <c r="AM2308" s="879"/>
      <c r="AN2308" s="2"/>
      <c r="AO2308" s="886"/>
      <c r="AP2308" s="886"/>
      <c r="AV2308" t="str">
        <f t="shared" si="9076"/>
        <v>Seg.3.1 -Aterro 07 - Valeta Manual</v>
      </c>
      <c r="AW2308" s="4" t="str">
        <f t="shared" si="9074"/>
        <v xml:space="preserve">   Seg. 2.2-C11- Dreno Longitudinal Profo - DPS 03-B1 - Seg.2.2B C 11</v>
      </c>
    </row>
    <row r="2309" spans="1:50" ht="18" customHeight="1" outlineLevel="2">
      <c r="A2309" s="8" t="str">
        <f t="shared" ref="A2309" si="9301">IF(SUM(P2309:V2310)&gt;0,"S","N")</f>
        <v>N</v>
      </c>
      <c r="B2309" s="150">
        <v>1070094</v>
      </c>
      <c r="C2309" s="150" t="s">
        <v>2621</v>
      </c>
      <c r="D2309" s="120" t="s">
        <v>206</v>
      </c>
      <c r="E2309" s="892" t="s">
        <v>2622</v>
      </c>
      <c r="F2309" s="902" t="s">
        <v>52</v>
      </c>
      <c r="G2309" s="528"/>
      <c r="H2309" s="546" t="s">
        <v>37</v>
      </c>
      <c r="I2309" s="711">
        <v>0</v>
      </c>
      <c r="J2309" s="896" t="str">
        <f t="shared" ref="J2309" si="9302">IFERROR((I2310/I2309),"-")</f>
        <v>-</v>
      </c>
      <c r="K2309" s="528"/>
      <c r="L2309" s="546" t="s">
        <v>37</v>
      </c>
      <c r="M2309" s="711">
        <f t="shared" si="9246"/>
        <v>0</v>
      </c>
      <c r="N2309" s="896" t="str">
        <f t="shared" ref="N2309" si="9303">IFERROR((M2310/M2309),"-")</f>
        <v>-</v>
      </c>
      <c r="O2309" s="528"/>
      <c r="P2309" s="547">
        <v>0</v>
      </c>
      <c r="Q2309" s="547">
        <v>0</v>
      </c>
      <c r="R2309" s="547">
        <v>0</v>
      </c>
      <c r="S2309" s="547">
        <v>0</v>
      </c>
      <c r="T2309" s="547">
        <v>0</v>
      </c>
      <c r="U2309" s="547">
        <v>0</v>
      </c>
      <c r="V2309" s="548">
        <v>0</v>
      </c>
      <c r="W2309" s="528"/>
      <c r="X2309" s="711">
        <f t="shared" si="9294"/>
        <v>0</v>
      </c>
      <c r="Y2309" s="896" t="str">
        <f t="shared" ref="Y2309" si="9304">IFERROR((X2310/X2309),"0")</f>
        <v>0</v>
      </c>
      <c r="Z2309" s="528"/>
      <c r="AA2309" s="898">
        <v>0</v>
      </c>
      <c r="AB2309" s="898">
        <v>0</v>
      </c>
      <c r="AC2309" s="903">
        <v>0</v>
      </c>
      <c r="AD2309" s="896" t="str">
        <f t="shared" ref="AD2309" si="9305">IFERROR((AC2309/AA2309),"-")</f>
        <v>-</v>
      </c>
      <c r="AE2309" s="2"/>
      <c r="AF2309" s="884">
        <v>1608</v>
      </c>
      <c r="AG2309" s="884"/>
      <c r="AH2309" s="903">
        <v>0</v>
      </c>
      <c r="AI2309" s="884"/>
      <c r="AJ2309" s="884"/>
      <c r="AK2309" s="884">
        <f t="shared" ref="AK2309" si="9306">AF2309+AG2309+AH2309+AI2309+AJ2309+AC2309</f>
        <v>1608</v>
      </c>
      <c r="AL2309" s="884">
        <v>1607.96</v>
      </c>
      <c r="AM2309" s="878">
        <f t="shared" ref="AM2309" si="9307">IFERROR((AK2309/AL2309),"-")</f>
        <v>1.0000248762407025</v>
      </c>
      <c r="AN2309" s="2"/>
      <c r="AO2309" s="884">
        <v>1608</v>
      </c>
      <c r="AP2309" s="884">
        <f t="shared" ref="AP2309" si="9308">AO2309-AK2309</f>
        <v>0</v>
      </c>
      <c r="AV2309" t="str">
        <f t="shared" si="9076"/>
        <v>Seg.3.1 -Aterro 07 - Valeta Manual</v>
      </c>
      <c r="AW2309" s="4" t="str">
        <f t="shared" si="9074"/>
        <v xml:space="preserve">   Seg. 2.2-C12 - Dreno Longitudinal Profo - DPS 03-B1 - Seg.2.2B C 12</v>
      </c>
    </row>
    <row r="2310" spans="1:50" ht="18" customHeight="1" outlineLevel="2">
      <c r="A2310" s="8" t="str">
        <f t="shared" ref="A2310" si="9309">A2309</f>
        <v>N</v>
      </c>
      <c r="B2310" s="150"/>
      <c r="C2310" s="150" t="s">
        <v>2621</v>
      </c>
      <c r="D2310" s="120" t="s">
        <v>206</v>
      </c>
      <c r="E2310" s="893"/>
      <c r="F2310" s="902"/>
      <c r="G2310" s="528"/>
      <c r="H2310" s="549" t="s">
        <v>38</v>
      </c>
      <c r="I2310" s="711">
        <v>0</v>
      </c>
      <c r="J2310" s="897"/>
      <c r="K2310" s="528"/>
      <c r="L2310" s="549" t="s">
        <v>38</v>
      </c>
      <c r="M2310" s="711">
        <f t="shared" si="9246"/>
        <v>0</v>
      </c>
      <c r="N2310" s="897"/>
      <c r="O2310" s="528"/>
      <c r="P2310" s="548">
        <v>0</v>
      </c>
      <c r="Q2310" s="548">
        <v>0</v>
      </c>
      <c r="R2310" s="548">
        <v>0</v>
      </c>
      <c r="S2310" s="548">
        <v>0</v>
      </c>
      <c r="T2310" s="548">
        <v>0</v>
      </c>
      <c r="U2310" s="548">
        <v>0</v>
      </c>
      <c r="V2310" s="548">
        <v>0</v>
      </c>
      <c r="W2310" s="528"/>
      <c r="X2310" s="711">
        <f t="shared" si="9294"/>
        <v>0</v>
      </c>
      <c r="Y2310" s="897"/>
      <c r="Z2310" s="528"/>
      <c r="AA2310" s="899"/>
      <c r="AB2310" s="899"/>
      <c r="AC2310" s="904"/>
      <c r="AD2310" s="905"/>
      <c r="AE2310" s="2"/>
      <c r="AF2310" s="885"/>
      <c r="AG2310" s="885"/>
      <c r="AH2310" s="904"/>
      <c r="AI2310" s="885"/>
      <c r="AJ2310" s="885"/>
      <c r="AK2310" s="885"/>
      <c r="AL2310" s="885"/>
      <c r="AM2310" s="879"/>
      <c r="AN2310" s="2"/>
      <c r="AO2310" s="886"/>
      <c r="AP2310" s="886"/>
      <c r="AV2310" t="str">
        <f t="shared" si="9076"/>
        <v>Seg.3.1 -Aterro 07 - Valeta Manual</v>
      </c>
      <c r="AW2310" s="4" t="str">
        <f t="shared" si="9074"/>
        <v xml:space="preserve">   Seg. 2.2-C12 - Dreno Longitudinal Profo - DPS 03-B1 - Seg.2.2B C 12</v>
      </c>
    </row>
    <row r="2311" spans="1:50" ht="18" customHeight="1" outlineLevel="2" collapsed="1">
      <c r="A2311" s="8" t="str">
        <f t="shared" ref="A2311" si="9310">IF(SUM(P2311:V2312)&gt;0,"S","N")</f>
        <v>N</v>
      </c>
      <c r="B2311" s="150" t="s">
        <v>627</v>
      </c>
      <c r="C2311" s="150" t="s">
        <v>627</v>
      </c>
      <c r="D2311" s="120" t="s">
        <v>779</v>
      </c>
      <c r="E2311" s="892" t="s">
        <v>2623</v>
      </c>
      <c r="F2311" s="902" t="s">
        <v>52</v>
      </c>
      <c r="G2311" s="528"/>
      <c r="H2311" s="546" t="s">
        <v>37</v>
      </c>
      <c r="I2311" s="711">
        <v>0</v>
      </c>
      <c r="J2311" s="896" t="str">
        <f t="shared" ref="J2311" si="9311">IFERROR((I2312/I2311),"-")</f>
        <v>-</v>
      </c>
      <c r="K2311" s="528"/>
      <c r="L2311" s="546" t="s">
        <v>37</v>
      </c>
      <c r="M2311" s="711">
        <f t="shared" si="9246"/>
        <v>0</v>
      </c>
      <c r="N2311" s="896" t="str">
        <f t="shared" ref="N2311" si="9312">IFERROR((M2312/M2311),"-")</f>
        <v>-</v>
      </c>
      <c r="O2311" s="528"/>
      <c r="P2311" s="547">
        <v>0</v>
      </c>
      <c r="Q2311" s="547">
        <v>0</v>
      </c>
      <c r="R2311" s="547">
        <v>0</v>
      </c>
      <c r="S2311" s="547">
        <v>0</v>
      </c>
      <c r="T2311" s="547">
        <v>0</v>
      </c>
      <c r="U2311" s="547">
        <v>0</v>
      </c>
      <c r="V2311" s="548">
        <v>0</v>
      </c>
      <c r="W2311" s="528"/>
      <c r="X2311" s="711">
        <f t="shared" si="9294"/>
        <v>0</v>
      </c>
      <c r="Y2311" s="896" t="str">
        <f t="shared" ref="Y2311" si="9313">IFERROR((X2312/X2311),"0")</f>
        <v>0</v>
      </c>
      <c r="Z2311" s="528"/>
      <c r="AA2311" s="898">
        <v>0</v>
      </c>
      <c r="AB2311" s="898">
        <v>0</v>
      </c>
      <c r="AC2311" s="903">
        <v>0</v>
      </c>
      <c r="AD2311" s="896" t="str">
        <f t="shared" ref="AD2311" si="9314">IFERROR((AC2311/AA2311),"-")</f>
        <v>-</v>
      </c>
      <c r="AE2311" s="2"/>
      <c r="AF2311" s="884">
        <v>0</v>
      </c>
      <c r="AG2311" s="884"/>
      <c r="AH2311" s="903">
        <v>0</v>
      </c>
      <c r="AI2311" s="884"/>
      <c r="AJ2311" s="884"/>
      <c r="AK2311" s="884">
        <f t="shared" ref="AK2311" si="9315">AF2311+AG2311+AH2311+AI2311+AJ2311+AC2311</f>
        <v>0</v>
      </c>
      <c r="AL2311" s="884">
        <v>0</v>
      </c>
      <c r="AM2311" s="878" t="str">
        <f t="shared" ref="AM2311" si="9316">IFERROR((AK2311/AL2311),"-")</f>
        <v>-</v>
      </c>
      <c r="AN2311" s="2"/>
      <c r="AO2311" s="884">
        <v>0</v>
      </c>
      <c r="AP2311" s="884">
        <f t="shared" ref="AP2311" si="9317">AO2311-AK2311</f>
        <v>0</v>
      </c>
      <c r="AV2311" t="str">
        <f t="shared" si="9076"/>
        <v>Seg.3.1 -Aterro 07 - Valeta Manual</v>
      </c>
      <c r="AW2311" s="4" t="str">
        <f t="shared" si="9074"/>
        <v>Seg.2.2B - Aterro 03 - Km 105+550 a Km 105+600</v>
      </c>
    </row>
    <row r="2312" spans="1:50" ht="18" customHeight="1" outlineLevel="2">
      <c r="A2312" s="8" t="str">
        <f t="shared" ref="A2312" si="9318">A2311</f>
        <v>N</v>
      </c>
      <c r="B2312" s="150"/>
      <c r="C2312" s="150"/>
      <c r="D2312" s="120" t="s">
        <v>779</v>
      </c>
      <c r="E2312" s="893"/>
      <c r="F2312" s="902"/>
      <c r="G2312" s="528"/>
      <c r="H2312" s="549" t="s">
        <v>38</v>
      </c>
      <c r="I2312" s="711">
        <v>0</v>
      </c>
      <c r="J2312" s="897"/>
      <c r="K2312" s="528"/>
      <c r="L2312" s="549" t="s">
        <v>38</v>
      </c>
      <c r="M2312" s="711">
        <f t="shared" si="9246"/>
        <v>0</v>
      </c>
      <c r="N2312" s="897"/>
      <c r="O2312" s="528"/>
      <c r="P2312" s="548">
        <v>0</v>
      </c>
      <c r="Q2312" s="548">
        <v>0</v>
      </c>
      <c r="R2312" s="548">
        <v>0</v>
      </c>
      <c r="S2312" s="548">
        <v>0</v>
      </c>
      <c r="T2312" s="548">
        <v>0</v>
      </c>
      <c r="U2312" s="548">
        <v>0</v>
      </c>
      <c r="V2312" s="548">
        <v>0</v>
      </c>
      <c r="W2312" s="528"/>
      <c r="X2312" s="711">
        <f t="shared" si="9294"/>
        <v>0</v>
      </c>
      <c r="Y2312" s="897"/>
      <c r="Z2312" s="528"/>
      <c r="AA2312" s="899"/>
      <c r="AB2312" s="899"/>
      <c r="AC2312" s="904"/>
      <c r="AD2312" s="905"/>
      <c r="AE2312" s="2"/>
      <c r="AF2312" s="885"/>
      <c r="AG2312" s="885"/>
      <c r="AH2312" s="904"/>
      <c r="AI2312" s="885"/>
      <c r="AJ2312" s="885"/>
      <c r="AK2312" s="885"/>
      <c r="AL2312" s="885"/>
      <c r="AM2312" s="879"/>
      <c r="AN2312" s="2"/>
      <c r="AO2312" s="886"/>
      <c r="AP2312" s="886"/>
      <c r="AV2312" t="str">
        <f t="shared" si="9076"/>
        <v>Seg.3.1 -Aterro 07 - Valeta Manual</v>
      </c>
      <c r="AW2312" s="4" t="str">
        <f t="shared" si="9074"/>
        <v>Seg.2.2B - Aterro 03 - Km 105+550 a Km 105+600</v>
      </c>
    </row>
    <row r="2313" spans="1:50" ht="18" customHeight="1" outlineLevel="2">
      <c r="A2313" s="8" t="str">
        <f t="shared" ref="A2313" si="9319">IF(SUM(P2313:V2314)&gt;0,"S","N")</f>
        <v>N</v>
      </c>
      <c r="B2313" s="150" t="s">
        <v>627</v>
      </c>
      <c r="C2313" s="150" t="s">
        <v>627</v>
      </c>
      <c r="D2313" s="120" t="s">
        <v>1233</v>
      </c>
      <c r="E2313" s="892" t="s">
        <v>2624</v>
      </c>
      <c r="F2313" s="902" t="s">
        <v>52</v>
      </c>
      <c r="G2313" s="528"/>
      <c r="H2313" s="546" t="s">
        <v>37</v>
      </c>
      <c r="I2313" s="711">
        <v>0</v>
      </c>
      <c r="J2313" s="896" t="str">
        <f t="shared" ref="J2313" si="9320">IFERROR((I2314/I2313),"-")</f>
        <v>-</v>
      </c>
      <c r="K2313" s="528"/>
      <c r="L2313" s="546" t="s">
        <v>37</v>
      </c>
      <c r="M2313" s="711">
        <f t="shared" si="9246"/>
        <v>0</v>
      </c>
      <c r="N2313" s="896" t="str">
        <f t="shared" ref="N2313" si="9321">IFERROR((M2314/M2313),"-")</f>
        <v>-</v>
      </c>
      <c r="O2313" s="528"/>
      <c r="P2313" s="547">
        <v>0</v>
      </c>
      <c r="Q2313" s="547">
        <v>0</v>
      </c>
      <c r="R2313" s="547">
        <v>0</v>
      </c>
      <c r="S2313" s="547">
        <v>0</v>
      </c>
      <c r="T2313" s="547">
        <v>0</v>
      </c>
      <c r="U2313" s="547">
        <v>0</v>
      </c>
      <c r="V2313" s="548">
        <v>0</v>
      </c>
      <c r="W2313" s="528"/>
      <c r="X2313" s="711">
        <f t="shared" si="9294"/>
        <v>0</v>
      </c>
      <c r="Y2313" s="896" t="str">
        <f t="shared" ref="Y2313" si="9322">IFERROR((X2314/X2313),"0")</f>
        <v>0</v>
      </c>
      <c r="Z2313" s="528"/>
      <c r="AA2313" s="898">
        <v>0</v>
      </c>
      <c r="AB2313" s="898">
        <v>0</v>
      </c>
      <c r="AC2313" s="903">
        <v>80</v>
      </c>
      <c r="AD2313" s="896" t="str">
        <f t="shared" ref="AD2313" si="9323">IFERROR((AC2313/AA2313),"-")</f>
        <v>-</v>
      </c>
      <c r="AE2313" s="2"/>
      <c r="AF2313" s="884">
        <v>0</v>
      </c>
      <c r="AG2313" s="884"/>
      <c r="AH2313" s="903">
        <v>0</v>
      </c>
      <c r="AI2313" s="884"/>
      <c r="AJ2313" s="884"/>
      <c r="AK2313" s="884">
        <f t="shared" ref="AK2313" si="9324">AF2313+AG2313+AH2313+AI2313+AJ2313+AC2313</f>
        <v>80</v>
      </c>
      <c r="AL2313" s="884">
        <v>0</v>
      </c>
      <c r="AM2313" s="878" t="str">
        <f t="shared" ref="AM2313" si="9325">IFERROR((AK2313/AL2313),"-")</f>
        <v>-</v>
      </c>
      <c r="AN2313" s="2"/>
      <c r="AO2313" s="884">
        <v>0</v>
      </c>
      <c r="AP2313" s="884">
        <f t="shared" ref="AP2313" si="9326">AO2313-AK2313</f>
        <v>-80</v>
      </c>
      <c r="AV2313" t="str">
        <f t="shared" si="9076"/>
        <v>Seg.3.1 -Aterro 07 - Valeta Manual</v>
      </c>
      <c r="AW2313" s="4" t="str">
        <f t="shared" ref="AW2313:AW2376" si="9327">IF(E2313&lt;&gt;"",E2313,AW2312)</f>
        <v>Seg.2.2B - Aterro 07 - Km 109+200 a Km 109+320</v>
      </c>
    </row>
    <row r="2314" spans="1:50" ht="15.6" customHeight="1" outlineLevel="2">
      <c r="A2314" s="8" t="str">
        <f t="shared" ref="A2314" si="9328">A2313</f>
        <v>N</v>
      </c>
      <c r="B2314" s="150"/>
      <c r="C2314" s="150"/>
      <c r="D2314" s="120" t="s">
        <v>1233</v>
      </c>
      <c r="E2314" s="893"/>
      <c r="F2314" s="902"/>
      <c r="G2314" s="528"/>
      <c r="H2314" s="549" t="s">
        <v>38</v>
      </c>
      <c r="I2314" s="711">
        <v>80</v>
      </c>
      <c r="J2314" s="897"/>
      <c r="K2314" s="528"/>
      <c r="L2314" s="549" t="s">
        <v>38</v>
      </c>
      <c r="M2314" s="711">
        <f t="shared" si="9246"/>
        <v>0</v>
      </c>
      <c r="N2314" s="897"/>
      <c r="O2314" s="528"/>
      <c r="P2314" s="548">
        <v>0</v>
      </c>
      <c r="Q2314" s="548">
        <v>0</v>
      </c>
      <c r="R2314" s="548">
        <v>0</v>
      </c>
      <c r="S2314" s="548">
        <v>0</v>
      </c>
      <c r="T2314" s="548">
        <v>0</v>
      </c>
      <c r="U2314" s="548">
        <v>0</v>
      </c>
      <c r="V2314" s="548">
        <v>0</v>
      </c>
      <c r="W2314" s="528"/>
      <c r="X2314" s="711">
        <f t="shared" si="9294"/>
        <v>0</v>
      </c>
      <c r="Y2314" s="897"/>
      <c r="Z2314" s="528"/>
      <c r="AA2314" s="899"/>
      <c r="AB2314" s="899"/>
      <c r="AC2314" s="904"/>
      <c r="AD2314" s="905"/>
      <c r="AE2314" s="2"/>
      <c r="AF2314" s="885"/>
      <c r="AG2314" s="885"/>
      <c r="AH2314" s="904"/>
      <c r="AI2314" s="885"/>
      <c r="AJ2314" s="885"/>
      <c r="AK2314" s="885"/>
      <c r="AL2314" s="885"/>
      <c r="AM2314" s="879"/>
      <c r="AN2314" s="2"/>
      <c r="AO2314" s="886"/>
      <c r="AP2314" s="886"/>
      <c r="AV2314" t="str">
        <f t="shared" ref="AV2314:AV2377" si="9329">IF(AX2314="Y",LEFT(E2314,20),IF(AX2314="x",E2314,AV2313))</f>
        <v>Seg.3.1 -Aterro 07 - Valeta Manual</v>
      </c>
      <c r="AW2314" s="4" t="str">
        <f t="shared" si="9327"/>
        <v>Seg.2.2B - Aterro 07 - Km 109+200 a Km 109+320</v>
      </c>
    </row>
    <row r="2315" spans="1:50" ht="15.6" customHeight="1" outlineLevel="2" collapsed="1">
      <c r="A2315" s="209" t="str">
        <f t="shared" ref="A2315" si="9330">IF(SUM(P2315:V2316)&gt;0,"S","N")</f>
        <v>N</v>
      </c>
      <c r="B2315" s="150" t="s">
        <v>627</v>
      </c>
      <c r="C2315" s="150" t="s">
        <v>627</v>
      </c>
      <c r="D2315" s="150" t="s">
        <v>1235</v>
      </c>
      <c r="E2315" s="892" t="s">
        <v>2625</v>
      </c>
      <c r="F2315" s="902" t="s">
        <v>52</v>
      </c>
      <c r="G2315" s="528"/>
      <c r="H2315" s="546" t="s">
        <v>37</v>
      </c>
      <c r="I2315" s="711">
        <v>0</v>
      </c>
      <c r="J2315" s="896" t="str">
        <f t="shared" ref="J2315" si="9331">IFERROR((I2316/I2315),"-")</f>
        <v>-</v>
      </c>
      <c r="K2315" s="528"/>
      <c r="L2315" s="546" t="s">
        <v>37</v>
      </c>
      <c r="M2315" s="711">
        <f t="shared" si="9246"/>
        <v>0</v>
      </c>
      <c r="N2315" s="896" t="str">
        <f t="shared" ref="N2315" si="9332">IFERROR((M2316/M2315),"-")</f>
        <v>-</v>
      </c>
      <c r="O2315" s="528"/>
      <c r="P2315" s="547">
        <v>0</v>
      </c>
      <c r="Q2315" s="547">
        <v>0</v>
      </c>
      <c r="R2315" s="547">
        <v>0</v>
      </c>
      <c r="S2315" s="547">
        <v>0</v>
      </c>
      <c r="T2315" s="547">
        <v>0</v>
      </c>
      <c r="U2315" s="547">
        <v>0</v>
      </c>
      <c r="V2315" s="548">
        <v>0</v>
      </c>
      <c r="W2315" s="528"/>
      <c r="X2315" s="711">
        <f t="shared" si="9294"/>
        <v>0</v>
      </c>
      <c r="Y2315" s="896" t="str">
        <f t="shared" ref="Y2315" si="9333">IFERROR((X2316/X2315),"0")</f>
        <v>0</v>
      </c>
      <c r="Z2315" s="528"/>
      <c r="AA2315" s="898">
        <v>0</v>
      </c>
      <c r="AB2315" s="898">
        <v>0</v>
      </c>
      <c r="AC2315" s="903">
        <v>0</v>
      </c>
      <c r="AD2315" s="896" t="str">
        <f t="shared" ref="AD2315" si="9334">IFERROR((AC2315/AA2315),"-")</f>
        <v>-</v>
      </c>
      <c r="AE2315" s="2"/>
      <c r="AF2315" s="884">
        <v>0</v>
      </c>
      <c r="AG2315" s="884"/>
      <c r="AH2315" s="903">
        <v>0</v>
      </c>
      <c r="AI2315" s="884"/>
      <c r="AJ2315" s="884"/>
      <c r="AK2315" s="884">
        <f t="shared" ref="AK2315" si="9335">AF2315+AG2315+AH2315+AI2315+AJ2315+AC2315</f>
        <v>0</v>
      </c>
      <c r="AL2315" s="884">
        <v>0</v>
      </c>
      <c r="AM2315" s="878" t="str">
        <f t="shared" ref="AM2315" si="9336">IFERROR((AK2315/AL2315),"-")</f>
        <v>-</v>
      </c>
      <c r="AN2315" s="2"/>
      <c r="AO2315" s="884">
        <v>0</v>
      </c>
      <c r="AP2315" s="884">
        <f t="shared" ref="AP2315" si="9337">AO2315-AK2315</f>
        <v>0</v>
      </c>
      <c r="AV2315" t="str">
        <f t="shared" si="9329"/>
        <v>Seg.3.1 -Aterro 07 - Valeta Manual</v>
      </c>
      <c r="AW2315" s="4" t="str">
        <f t="shared" si="9327"/>
        <v>Seg.2.2B - Aterro 08 - Km 109+440 a Km 109+600</v>
      </c>
    </row>
    <row r="2316" spans="1:50" ht="15.6" customHeight="1" outlineLevel="2">
      <c r="A2316" s="209" t="str">
        <f t="shared" ref="A2316" si="9338">A2315</f>
        <v>N</v>
      </c>
      <c r="B2316" s="150"/>
      <c r="C2316" s="150"/>
      <c r="D2316" s="150" t="s">
        <v>1235</v>
      </c>
      <c r="E2316" s="893"/>
      <c r="F2316" s="902"/>
      <c r="G2316" s="528"/>
      <c r="H2316" s="549" t="s">
        <v>38</v>
      </c>
      <c r="I2316" s="711">
        <v>0</v>
      </c>
      <c r="J2316" s="897"/>
      <c r="K2316" s="528"/>
      <c r="L2316" s="549" t="s">
        <v>38</v>
      </c>
      <c r="M2316" s="711">
        <f t="shared" si="9246"/>
        <v>0</v>
      </c>
      <c r="N2316" s="897"/>
      <c r="O2316" s="528"/>
      <c r="P2316" s="548">
        <v>0</v>
      </c>
      <c r="Q2316" s="548">
        <v>0</v>
      </c>
      <c r="R2316" s="548">
        <v>0</v>
      </c>
      <c r="S2316" s="548">
        <v>0</v>
      </c>
      <c r="T2316" s="548">
        <v>0</v>
      </c>
      <c r="U2316" s="548">
        <v>0</v>
      </c>
      <c r="V2316" s="548">
        <v>0</v>
      </c>
      <c r="W2316" s="528"/>
      <c r="X2316" s="711">
        <f t="shared" si="9294"/>
        <v>0</v>
      </c>
      <c r="Y2316" s="897"/>
      <c r="Z2316" s="528"/>
      <c r="AA2316" s="899"/>
      <c r="AB2316" s="899"/>
      <c r="AC2316" s="904"/>
      <c r="AD2316" s="905"/>
      <c r="AE2316" s="2"/>
      <c r="AF2316" s="885"/>
      <c r="AG2316" s="885"/>
      <c r="AH2316" s="904"/>
      <c r="AI2316" s="885"/>
      <c r="AJ2316" s="885"/>
      <c r="AK2316" s="885"/>
      <c r="AL2316" s="885"/>
      <c r="AM2316" s="879"/>
      <c r="AN2316" s="2"/>
      <c r="AO2316" s="886"/>
      <c r="AP2316" s="886"/>
      <c r="AV2316" t="str">
        <f t="shared" si="9329"/>
        <v>Seg.3.1 -Aterro 07 - Valeta Manual</v>
      </c>
      <c r="AW2316" s="4" t="str">
        <f t="shared" si="9327"/>
        <v>Seg.2.2B - Aterro 08 - Km 109+440 a Km 109+600</v>
      </c>
      <c r="AX2316" s="4"/>
    </row>
    <row r="2317" spans="1:50" ht="15.6" customHeight="1" outlineLevel="2">
      <c r="A2317" s="8" t="str">
        <f t="shared" ref="A2317" si="9339">IF(SUM(P2317:V2318)&gt;0,"S","N")</f>
        <v>N</v>
      </c>
      <c r="B2317" s="150" t="s">
        <v>627</v>
      </c>
      <c r="C2317" s="150" t="s">
        <v>627</v>
      </c>
      <c r="D2317" s="150" t="s">
        <v>200</v>
      </c>
      <c r="E2317" s="892" t="s">
        <v>2626</v>
      </c>
      <c r="F2317" s="902" t="s">
        <v>52</v>
      </c>
      <c r="G2317" s="528"/>
      <c r="H2317" s="546" t="s">
        <v>37</v>
      </c>
      <c r="I2317" s="711">
        <v>0</v>
      </c>
      <c r="J2317" s="896" t="str">
        <f t="shared" ref="J2317" si="9340">IFERROR((I2318/I2317),"-")</f>
        <v>-</v>
      </c>
      <c r="K2317" s="528"/>
      <c r="L2317" s="546" t="s">
        <v>37</v>
      </c>
      <c r="M2317" s="711">
        <f t="shared" si="9246"/>
        <v>0</v>
      </c>
      <c r="N2317" s="896" t="str">
        <f t="shared" ref="N2317" si="9341">IFERROR((M2318/M2317),"-")</f>
        <v>-</v>
      </c>
      <c r="O2317" s="528"/>
      <c r="P2317" s="547">
        <v>0</v>
      </c>
      <c r="Q2317" s="547">
        <v>0</v>
      </c>
      <c r="R2317" s="547">
        <v>0</v>
      </c>
      <c r="S2317" s="547">
        <v>0</v>
      </c>
      <c r="T2317" s="547">
        <v>0</v>
      </c>
      <c r="U2317" s="547">
        <v>0</v>
      </c>
      <c r="V2317" s="548">
        <v>0</v>
      </c>
      <c r="W2317" s="528"/>
      <c r="X2317" s="711">
        <f t="shared" si="9294"/>
        <v>0</v>
      </c>
      <c r="Y2317" s="896" t="str">
        <f t="shared" ref="Y2317" si="9342">IFERROR((X2318/X2317),"0")</f>
        <v>0</v>
      </c>
      <c r="Z2317" s="528"/>
      <c r="AA2317" s="898">
        <v>0</v>
      </c>
      <c r="AB2317" s="898">
        <v>0</v>
      </c>
      <c r="AC2317" s="903">
        <v>0</v>
      </c>
      <c r="AD2317" s="896" t="str">
        <f t="shared" ref="AD2317" si="9343">IFERROR((AC2317/AA2317),"-")</f>
        <v>-</v>
      </c>
      <c r="AE2317" s="2"/>
      <c r="AF2317" s="884">
        <v>0</v>
      </c>
      <c r="AG2317" s="884"/>
      <c r="AH2317" s="903">
        <v>0</v>
      </c>
      <c r="AI2317" s="884">
        <v>838.43700000000001</v>
      </c>
      <c r="AJ2317" s="884"/>
      <c r="AK2317" s="884">
        <f t="shared" ref="AK2317" si="9344">AF2317+AG2317+AH2317+AI2317+AJ2317+AC2317</f>
        <v>838.43700000000001</v>
      </c>
      <c r="AL2317" s="884">
        <v>0</v>
      </c>
      <c r="AM2317" s="878" t="str">
        <f t="shared" ref="AM2317" si="9345">IFERROR((AK2317/AL2317),"-")</f>
        <v>-</v>
      </c>
      <c r="AN2317" s="2"/>
      <c r="AO2317" s="884">
        <v>0</v>
      </c>
      <c r="AP2317" s="884">
        <f t="shared" ref="AP2317" si="9346">AO2317-AK2317</f>
        <v>-838.43700000000001</v>
      </c>
      <c r="AV2317" t="str">
        <f t="shared" si="9329"/>
        <v>Seg.3.1 -Aterro 07 - Valeta Manual</v>
      </c>
      <c r="AW2317" s="4" t="str">
        <f t="shared" si="9327"/>
        <v>Seg.2.2B - Corte 09 - Km 109+600 a Km 109+980</v>
      </c>
      <c r="AX2317" s="4"/>
    </row>
    <row r="2318" spans="1:50" ht="15.6" customHeight="1" outlineLevel="2">
      <c r="A2318" s="8" t="str">
        <f t="shared" ref="A2318" si="9347">A2317</f>
        <v>N</v>
      </c>
      <c r="B2318" s="150"/>
      <c r="C2318" s="150"/>
      <c r="D2318" s="150" t="s">
        <v>200</v>
      </c>
      <c r="E2318" s="893"/>
      <c r="F2318" s="902"/>
      <c r="G2318" s="528"/>
      <c r="H2318" s="549" t="s">
        <v>38</v>
      </c>
      <c r="I2318" s="711">
        <v>0</v>
      </c>
      <c r="J2318" s="897"/>
      <c r="K2318" s="528"/>
      <c r="L2318" s="549" t="s">
        <v>38</v>
      </c>
      <c r="M2318" s="711">
        <f t="shared" si="9246"/>
        <v>0</v>
      </c>
      <c r="N2318" s="897"/>
      <c r="O2318" s="528"/>
      <c r="P2318" s="548">
        <v>0</v>
      </c>
      <c r="Q2318" s="548">
        <v>0</v>
      </c>
      <c r="R2318" s="548">
        <v>0</v>
      </c>
      <c r="S2318" s="548">
        <v>0</v>
      </c>
      <c r="T2318" s="548">
        <v>0</v>
      </c>
      <c r="U2318" s="548">
        <v>0</v>
      </c>
      <c r="V2318" s="548">
        <v>0</v>
      </c>
      <c r="W2318" s="528"/>
      <c r="X2318" s="711">
        <f t="shared" si="9294"/>
        <v>0</v>
      </c>
      <c r="Y2318" s="897"/>
      <c r="Z2318" s="528"/>
      <c r="AA2318" s="899"/>
      <c r="AB2318" s="899"/>
      <c r="AC2318" s="904"/>
      <c r="AD2318" s="905"/>
      <c r="AE2318" s="2"/>
      <c r="AF2318" s="885"/>
      <c r="AG2318" s="885"/>
      <c r="AH2318" s="904"/>
      <c r="AI2318" s="885"/>
      <c r="AJ2318" s="885"/>
      <c r="AK2318" s="885"/>
      <c r="AL2318" s="885"/>
      <c r="AM2318" s="879"/>
      <c r="AN2318" s="2"/>
      <c r="AO2318" s="886"/>
      <c r="AP2318" s="886"/>
      <c r="AV2318" t="str">
        <f t="shared" si="9329"/>
        <v>Seg.3.1 -Aterro 07 - Valeta Manual</v>
      </c>
      <c r="AW2318" s="4" t="str">
        <f t="shared" si="9327"/>
        <v>Seg.2.2B - Corte 09 - Km 109+600 a Km 109+980</v>
      </c>
      <c r="AX2318" s="4"/>
    </row>
    <row r="2319" spans="1:50" ht="15.6" customHeight="1" outlineLevel="2" collapsed="1">
      <c r="A2319" s="209">
        <v>0</v>
      </c>
      <c r="B2319" s="150"/>
      <c r="C2319" s="150">
        <v>0</v>
      </c>
      <c r="D2319" s="117"/>
      <c r="E2319" s="535"/>
      <c r="F2319" s="536"/>
      <c r="G2319" s="537"/>
      <c r="H2319" s="714"/>
      <c r="I2319" s="538"/>
      <c r="J2319" s="714"/>
      <c r="K2319" s="537"/>
      <c r="L2319" s="714"/>
      <c r="M2319" s="538"/>
      <c r="N2319" s="714"/>
      <c r="O2319" s="537"/>
      <c r="P2319" s="539"/>
      <c r="Q2319" s="539"/>
      <c r="R2319" s="539"/>
      <c r="S2319" s="539"/>
      <c r="T2319" s="539"/>
      <c r="U2319" s="539"/>
      <c r="V2319" s="539"/>
      <c r="W2319" s="537"/>
      <c r="X2319" s="540"/>
      <c r="Y2319" s="537"/>
      <c r="Z2319" s="537"/>
      <c r="AA2319" s="250"/>
      <c r="AB2319" s="250"/>
      <c r="AC2319" s="249"/>
      <c r="AD2319" s="537"/>
      <c r="AE2319" s="3"/>
      <c r="AF2319" s="36"/>
      <c r="AG2319" s="36"/>
      <c r="AH2319" s="36"/>
      <c r="AI2319" s="36"/>
      <c r="AJ2319" s="36"/>
      <c r="AK2319" s="36"/>
      <c r="AL2319" s="36"/>
      <c r="AM2319" s="3"/>
      <c r="AN2319" s="3"/>
      <c r="AO2319" s="36"/>
      <c r="AP2319" s="36"/>
      <c r="AV2319" t="str">
        <f t="shared" si="9329"/>
        <v>Seg.3.1 -Aterro 07 - Valeta Manual</v>
      </c>
      <c r="AW2319" s="4" t="str">
        <f t="shared" si="9327"/>
        <v>Seg.2.2B - Corte 09 - Km 109+600 a Km 109+980</v>
      </c>
      <c r="AX2319" s="4"/>
    </row>
    <row r="2320" spans="1:50" ht="15.6" customHeight="1" outlineLevel="2">
      <c r="A2320" s="209">
        <v>0</v>
      </c>
      <c r="B2320" s="150"/>
      <c r="C2320" s="150"/>
      <c r="D2320" s="122"/>
      <c r="E2320" s="913" t="s">
        <v>41</v>
      </c>
      <c r="F2320" s="859" t="s">
        <v>52</v>
      </c>
      <c r="G2320" s="528"/>
      <c r="H2320" s="542" t="s">
        <v>37</v>
      </c>
      <c r="I2320" s="543">
        <f>SUMIF($L2322:$L2331,$L2320,I2322:I2331)</f>
        <v>0</v>
      </c>
      <c r="J2320" s="860" t="str">
        <f>IFERROR((I2321/I2320),"-")</f>
        <v>-</v>
      </c>
      <c r="K2320" s="528"/>
      <c r="L2320" s="542" t="s">
        <v>37</v>
      </c>
      <c r="M2320" s="543">
        <f>SUMIF($L2322:$L2331,$L2320,M2322:M2331)</f>
        <v>112</v>
      </c>
      <c r="N2320" s="860">
        <f>IFERROR((M2321/M2320),"-")</f>
        <v>1.4285714285714286</v>
      </c>
      <c r="O2320" s="528"/>
      <c r="P2320" s="543">
        <f t="shared" ref="P2320:U2320" si="9348">SUMIF($L2322:$L2331,$L2320,P2322:P2331)</f>
        <v>112</v>
      </c>
      <c r="Q2320" s="543">
        <f t="shared" si="9348"/>
        <v>112</v>
      </c>
      <c r="R2320" s="543">
        <f t="shared" si="9348"/>
        <v>112</v>
      </c>
      <c r="S2320" s="543">
        <f t="shared" si="9348"/>
        <v>0</v>
      </c>
      <c r="T2320" s="543">
        <f t="shared" si="9348"/>
        <v>0</v>
      </c>
      <c r="U2320" s="543">
        <f t="shared" si="9348"/>
        <v>0</v>
      </c>
      <c r="V2320" s="543"/>
      <c r="W2320" s="528"/>
      <c r="X2320" s="543">
        <f t="shared" ref="X2320" si="9349">SUMIFS(P2320:V2320,$P$8:$V$8,"&gt;="&amp;$P$8,$P$8:$V$8,"&lt;="&amp;$N$8)</f>
        <v>224</v>
      </c>
      <c r="Y2320" s="860">
        <f>IFERROR((X2321/X2320),"-")</f>
        <v>1.4285714285714286</v>
      </c>
      <c r="Z2320" s="528"/>
      <c r="AA2320" s="814">
        <f>SUM(AA2322:AA2331)</f>
        <v>3615.35</v>
      </c>
      <c r="AB2320" s="814">
        <f>SUM(AB2322:AB2331)</f>
        <v>2300.9999999999995</v>
      </c>
      <c r="AC2320" s="814">
        <f>SUM(AC2322:AC2331)</f>
        <v>320</v>
      </c>
      <c r="AD2320" s="911">
        <f t="shared" ref="AD2320" si="9350">IFERROR((AC2320/AA2320),"-")</f>
        <v>8.851148574826781E-2</v>
      </c>
      <c r="AE2320" s="2"/>
      <c r="AF2320" s="888">
        <f t="shared" ref="AF2320:AL2320" si="9351">SUM(AF2322:AF2331)</f>
        <v>413.28999999999996</v>
      </c>
      <c r="AG2320" s="888">
        <f t="shared" si="9351"/>
        <v>407.637</v>
      </c>
      <c r="AH2320" s="888">
        <f t="shared" si="9351"/>
        <v>700</v>
      </c>
      <c r="AI2320" s="888">
        <f t="shared" si="9351"/>
        <v>0</v>
      </c>
      <c r="AJ2320" s="888"/>
      <c r="AK2320" s="888">
        <f t="shared" si="9351"/>
        <v>1840.9269999999999</v>
      </c>
      <c r="AL2320" s="888">
        <f t="shared" si="9351"/>
        <v>3453.6499999999996</v>
      </c>
      <c r="AM2320" s="743">
        <f>IFERROR((AK2320/AL2320),"-")</f>
        <v>0.53303809013652226</v>
      </c>
      <c r="AN2320" s="2"/>
      <c r="AO2320" s="888">
        <f>SUM(AO2322:AO2331)</f>
        <v>5787</v>
      </c>
      <c r="AP2320" s="888">
        <f>SUM(AP2322:AP2331)</f>
        <v>3946.0729999999999</v>
      </c>
      <c r="AV2320" t="str">
        <f t="shared" si="9329"/>
        <v>Seg.3.1 -Aterro 07 - Valeta Manual</v>
      </c>
      <c r="AW2320" s="4" t="str">
        <f t="shared" si="9327"/>
        <v>Pacote 04 - Segmento 2.3 - Km 116+517 a 131+241</v>
      </c>
      <c r="AX2320" s="4"/>
    </row>
    <row r="2321" spans="1:50" ht="15.6" customHeight="1" outlineLevel="2">
      <c r="A2321" s="209">
        <v>0</v>
      </c>
      <c r="B2321" s="150"/>
      <c r="C2321" s="150">
        <v>0</v>
      </c>
      <c r="D2321" s="123"/>
      <c r="E2321" s="913"/>
      <c r="F2321" s="859"/>
      <c r="G2321" s="528"/>
      <c r="H2321" s="544" t="s">
        <v>38</v>
      </c>
      <c r="I2321" s="543">
        <f>SUMIF($L2322:$L2331,$L2321,I2322:I2331)</f>
        <v>0</v>
      </c>
      <c r="J2321" s="861"/>
      <c r="K2321" s="528"/>
      <c r="L2321" s="544" t="s">
        <v>38</v>
      </c>
      <c r="M2321" s="543">
        <f>SUMIF($L2322:$L2331,$L2321,M2322:M2331)</f>
        <v>160</v>
      </c>
      <c r="N2321" s="861"/>
      <c r="O2321" s="528"/>
      <c r="P2321" s="543">
        <f t="shared" ref="P2321:U2321" si="9352">SUMIF($L2322:$L2331,$L2321,P2322:P2331)</f>
        <v>160</v>
      </c>
      <c r="Q2321" s="543">
        <f t="shared" si="9352"/>
        <v>160</v>
      </c>
      <c r="R2321" s="543">
        <f t="shared" si="9352"/>
        <v>0</v>
      </c>
      <c r="S2321" s="543">
        <f t="shared" si="9352"/>
        <v>0</v>
      </c>
      <c r="T2321" s="543">
        <f t="shared" si="9352"/>
        <v>0</v>
      </c>
      <c r="U2321" s="543">
        <f t="shared" si="9352"/>
        <v>0</v>
      </c>
      <c r="V2321" s="543"/>
      <c r="W2321" s="528"/>
      <c r="X2321" s="543">
        <f>SUMIFS(P2321:V2321,$P$8:$V$8,"&gt;="&amp;$P$8,$P$8:$V$8,"&lt;="&amp;$N$8)</f>
        <v>320</v>
      </c>
      <c r="Y2321" s="861"/>
      <c r="Z2321" s="528"/>
      <c r="AA2321" s="815"/>
      <c r="AB2321" s="815"/>
      <c r="AC2321" s="815"/>
      <c r="AD2321" s="912"/>
      <c r="AE2321" s="2"/>
      <c r="AF2321" s="889"/>
      <c r="AG2321" s="889"/>
      <c r="AH2321" s="889"/>
      <c r="AI2321" s="889"/>
      <c r="AJ2321" s="889"/>
      <c r="AK2321" s="889"/>
      <c r="AL2321" s="889"/>
      <c r="AM2321" s="744"/>
      <c r="AN2321" s="2"/>
      <c r="AO2321" s="889"/>
      <c r="AP2321" s="889"/>
      <c r="AV2321" t="str">
        <f t="shared" si="9329"/>
        <v>Seg.3.1 -Aterro 07 - Valeta Manual</v>
      </c>
      <c r="AW2321" s="4" t="str">
        <f t="shared" si="9327"/>
        <v>Pacote 04 - Segmento 2.3 - Km 116+517 a 131+241</v>
      </c>
      <c r="AX2321" s="4"/>
    </row>
    <row r="2322" spans="1:50" ht="15.6" customHeight="1" outlineLevel="2">
      <c r="A2322" s="8" t="str">
        <f t="shared" ref="A2322" si="9353">IF(SUM(P2322:V2323)&gt;0,"S","N")</f>
        <v>S</v>
      </c>
      <c r="B2322" s="150">
        <v>1066431</v>
      </c>
      <c r="C2322" s="150" t="s">
        <v>2627</v>
      </c>
      <c r="D2322" s="120" t="s">
        <v>324</v>
      </c>
      <c r="E2322" s="892" t="s">
        <v>2628</v>
      </c>
      <c r="F2322" s="902" t="s">
        <v>52</v>
      </c>
      <c r="G2322" s="528"/>
      <c r="H2322" s="546" t="s">
        <v>37</v>
      </c>
      <c r="I2322" s="711">
        <v>0</v>
      </c>
      <c r="J2322" s="896" t="str">
        <f t="shared" ref="J2322" si="9354">IFERROR((I2323/I2322),"-")</f>
        <v>-</v>
      </c>
      <c r="K2322" s="528"/>
      <c r="L2322" s="546" t="s">
        <v>37</v>
      </c>
      <c r="M2322" s="711">
        <f t="shared" ref="M2322:M2331" si="9355">_xlfn.XLOOKUP($N$8,$P$8:$V$8,$P2322:$V2322)</f>
        <v>0</v>
      </c>
      <c r="N2322" s="896" t="str">
        <f t="shared" ref="N2322" si="9356">IFERROR((M2323/M2322),"-")</f>
        <v>-</v>
      </c>
      <c r="O2322" s="528"/>
      <c r="P2322" s="547">
        <v>0</v>
      </c>
      <c r="Q2322" s="547">
        <v>0</v>
      </c>
      <c r="R2322" s="547">
        <v>0</v>
      </c>
      <c r="S2322" s="547">
        <v>0</v>
      </c>
      <c r="T2322" s="547">
        <v>0</v>
      </c>
      <c r="U2322" s="547">
        <v>0</v>
      </c>
      <c r="V2322" s="548">
        <v>0</v>
      </c>
      <c r="W2322" s="528"/>
      <c r="X2322" s="711">
        <f t="shared" ref="X2322:X2331" si="9357">SUMIFS(P2322:V2322,$P$8:$V$8,"&gt;="&amp;$P$8,$P$8:$V$8,"&lt;="&amp;$N$8)</f>
        <v>0</v>
      </c>
      <c r="Y2322" s="896" t="str">
        <f t="shared" ref="Y2322" si="9358">IFERROR((X2323/X2322),"0")</f>
        <v>0</v>
      </c>
      <c r="Z2322" s="528"/>
      <c r="AA2322" s="898">
        <v>465.13</v>
      </c>
      <c r="AB2322" s="898">
        <v>465.12</v>
      </c>
      <c r="AC2322" s="903">
        <v>160</v>
      </c>
      <c r="AD2322" s="896">
        <f t="shared" ref="AD2322" si="9359">IFERROR((AC2322/AA2322),"-")</f>
        <v>0.34398985229935719</v>
      </c>
      <c r="AE2322" s="2"/>
      <c r="AF2322" s="884">
        <v>180.87</v>
      </c>
      <c r="AG2322" s="884"/>
      <c r="AH2322" s="903">
        <v>0</v>
      </c>
      <c r="AI2322" s="884"/>
      <c r="AJ2322" s="884"/>
      <c r="AK2322" s="884">
        <f t="shared" ref="AK2322" si="9360">AF2322+AG2322+AH2322+AI2322+AJ2322+AC2322</f>
        <v>340.87</v>
      </c>
      <c r="AL2322" s="884">
        <v>645.99</v>
      </c>
      <c r="AM2322" s="878">
        <f t="shared" ref="AM2322" si="9361">IFERROR((AK2322/AL2322),"-")</f>
        <v>0.52767070697688823</v>
      </c>
      <c r="AN2322" s="2"/>
      <c r="AO2322" s="884">
        <v>646</v>
      </c>
      <c r="AP2322" s="884">
        <f t="shared" ref="AP2322" si="9362">AO2322-AK2322</f>
        <v>305.13</v>
      </c>
      <c r="AV2322" t="str">
        <f t="shared" si="9329"/>
        <v>Seg.3.1 -Aterro 07 - Valeta Manual</v>
      </c>
      <c r="AW2322" s="4" t="str">
        <f t="shared" si="9327"/>
        <v xml:space="preserve">   Seg. 2.3-C05 - Dreno Longitudinal Profo - DPS 03-B1- Seg.2.3 C 05 </v>
      </c>
      <c r="AX2322" s="4"/>
    </row>
    <row r="2323" spans="1:50" ht="15.6" customHeight="1" outlineLevel="2">
      <c r="A2323" s="8" t="str">
        <f t="shared" ref="A2323" si="9363">A2322</f>
        <v>S</v>
      </c>
      <c r="B2323" s="150"/>
      <c r="C2323" s="150" t="s">
        <v>2627</v>
      </c>
      <c r="D2323" s="120" t="s">
        <v>324</v>
      </c>
      <c r="E2323" s="893"/>
      <c r="F2323" s="902"/>
      <c r="G2323" s="528"/>
      <c r="H2323" s="549" t="s">
        <v>38</v>
      </c>
      <c r="I2323" s="711">
        <v>0</v>
      </c>
      <c r="J2323" s="897"/>
      <c r="K2323" s="528"/>
      <c r="L2323" s="549" t="s">
        <v>38</v>
      </c>
      <c r="M2323" s="711">
        <f t="shared" si="9355"/>
        <v>160</v>
      </c>
      <c r="N2323" s="897"/>
      <c r="O2323" s="528"/>
      <c r="P2323" s="548">
        <v>0</v>
      </c>
      <c r="Q2323" s="548">
        <v>160</v>
      </c>
      <c r="R2323" s="548">
        <v>0</v>
      </c>
      <c r="S2323" s="548">
        <v>0</v>
      </c>
      <c r="T2323" s="548">
        <v>0</v>
      </c>
      <c r="U2323" s="548">
        <v>0</v>
      </c>
      <c r="V2323" s="548">
        <v>0</v>
      </c>
      <c r="W2323" s="528"/>
      <c r="X2323" s="711">
        <f t="shared" si="9357"/>
        <v>160</v>
      </c>
      <c r="Y2323" s="897"/>
      <c r="Z2323" s="528"/>
      <c r="AA2323" s="899"/>
      <c r="AB2323" s="899"/>
      <c r="AC2323" s="904"/>
      <c r="AD2323" s="905"/>
      <c r="AE2323" s="2"/>
      <c r="AF2323" s="885"/>
      <c r="AG2323" s="885"/>
      <c r="AH2323" s="904"/>
      <c r="AI2323" s="885"/>
      <c r="AJ2323" s="885"/>
      <c r="AK2323" s="885"/>
      <c r="AL2323" s="885"/>
      <c r="AM2323" s="879"/>
      <c r="AN2323" s="2"/>
      <c r="AO2323" s="886"/>
      <c r="AP2323" s="886"/>
      <c r="AV2323" t="str">
        <f t="shared" si="9329"/>
        <v>Seg.3.1 -Aterro 07 - Valeta Manual</v>
      </c>
      <c r="AW2323" s="4" t="str">
        <f t="shared" si="9327"/>
        <v xml:space="preserve">   Seg. 2.3-C05 - Dreno Longitudinal Profo - DPS 03-B1- Seg.2.3 C 05 </v>
      </c>
      <c r="AX2323" s="4"/>
    </row>
    <row r="2324" spans="1:50" ht="15.6" customHeight="1" outlineLevel="2">
      <c r="A2324" s="8" t="str">
        <f t="shared" ref="A2324" si="9364">IF(SUM(P2324:V2325)&gt;0,"S","N")</f>
        <v>N</v>
      </c>
      <c r="B2324" s="150">
        <v>1066432</v>
      </c>
      <c r="C2324" s="150" t="s">
        <v>2629</v>
      </c>
      <c r="D2324" s="147" t="s">
        <v>298</v>
      </c>
      <c r="E2324" s="892" t="s">
        <v>2630</v>
      </c>
      <c r="F2324" s="902" t="s">
        <v>52</v>
      </c>
      <c r="G2324" s="528"/>
      <c r="H2324" s="546" t="s">
        <v>37</v>
      </c>
      <c r="I2324" s="711">
        <v>0</v>
      </c>
      <c r="J2324" s="896" t="str">
        <f t="shared" ref="J2324" si="9365">IFERROR((I2325/I2324),"-")</f>
        <v>-</v>
      </c>
      <c r="K2324" s="528"/>
      <c r="L2324" s="546" t="s">
        <v>37</v>
      </c>
      <c r="M2324" s="711">
        <f t="shared" si="9355"/>
        <v>0</v>
      </c>
      <c r="N2324" s="896" t="str">
        <f t="shared" ref="N2324" si="9366">IFERROR((M2325/M2324),"-")</f>
        <v>-</v>
      </c>
      <c r="O2324" s="528"/>
      <c r="P2324" s="547">
        <v>0</v>
      </c>
      <c r="Q2324" s="547">
        <v>0</v>
      </c>
      <c r="R2324" s="547">
        <v>0</v>
      </c>
      <c r="S2324" s="547">
        <v>0</v>
      </c>
      <c r="T2324" s="547">
        <v>0</v>
      </c>
      <c r="U2324" s="547">
        <v>0</v>
      </c>
      <c r="V2324" s="548">
        <v>0</v>
      </c>
      <c r="W2324" s="528"/>
      <c r="X2324" s="711">
        <f t="shared" si="9357"/>
        <v>0</v>
      </c>
      <c r="Y2324" s="896" t="str">
        <f t="shared" ref="Y2324" si="9367">IFERROR((X2325/X2324),"0")</f>
        <v>0</v>
      </c>
      <c r="Z2324" s="528"/>
      <c r="AA2324" s="898">
        <v>1593.6399999999999</v>
      </c>
      <c r="AB2324" s="898">
        <v>327.76</v>
      </c>
      <c r="AC2324" s="903">
        <v>0</v>
      </c>
      <c r="AD2324" s="896">
        <f t="shared" ref="AD2324" si="9368">IFERROR((AC2324/AA2324),"-")</f>
        <v>0</v>
      </c>
      <c r="AE2324" s="2"/>
      <c r="AF2324" s="884">
        <v>0</v>
      </c>
      <c r="AG2324" s="884">
        <v>407.637</v>
      </c>
      <c r="AH2324" s="903">
        <v>140</v>
      </c>
      <c r="AI2324" s="884"/>
      <c r="AJ2324" s="884"/>
      <c r="AK2324" s="884">
        <f t="shared" ref="AK2324" si="9369">AF2324+AG2324+AH2324+AI2324+AJ2324+AC2324</f>
        <v>547.63699999999994</v>
      </c>
      <c r="AL2324" s="884">
        <v>331.12</v>
      </c>
      <c r="AM2324" s="878">
        <f t="shared" ref="AM2324" si="9370">IFERROR((AK2324/AL2324),"-")</f>
        <v>1.6538928485141338</v>
      </c>
      <c r="AN2324" s="2"/>
      <c r="AO2324" s="884">
        <v>1597</v>
      </c>
      <c r="AP2324" s="884">
        <f t="shared" ref="AP2324" si="9371">AO2324-AK2324</f>
        <v>1049.3630000000001</v>
      </c>
      <c r="AV2324" t="str">
        <f t="shared" si="9329"/>
        <v>Seg.3.1 -Aterro 07 - Valeta Manual</v>
      </c>
      <c r="AW2324" s="4" t="str">
        <f t="shared" si="9327"/>
        <v xml:space="preserve">   Seg. 2.3-C08-Plataforma - Dreno Longitudinal Profo - DPS 03-B1</v>
      </c>
      <c r="AX2324" s="4"/>
    </row>
    <row r="2325" spans="1:50" ht="15.6" customHeight="1" outlineLevel="2">
      <c r="A2325" s="8" t="str">
        <f t="shared" ref="A2325" si="9372">A2324</f>
        <v>N</v>
      </c>
      <c r="B2325" s="150"/>
      <c r="C2325" s="150" t="s">
        <v>2629</v>
      </c>
      <c r="D2325" s="147" t="s">
        <v>298</v>
      </c>
      <c r="E2325" s="893"/>
      <c r="F2325" s="902"/>
      <c r="G2325" s="528"/>
      <c r="H2325" s="549" t="s">
        <v>38</v>
      </c>
      <c r="I2325" s="711">
        <v>0</v>
      </c>
      <c r="J2325" s="897"/>
      <c r="K2325" s="528"/>
      <c r="L2325" s="549" t="s">
        <v>38</v>
      </c>
      <c r="M2325" s="711">
        <f t="shared" si="9355"/>
        <v>0</v>
      </c>
      <c r="N2325" s="897"/>
      <c r="O2325" s="528"/>
      <c r="P2325" s="548">
        <v>0</v>
      </c>
      <c r="Q2325" s="548">
        <v>0</v>
      </c>
      <c r="R2325" s="548">
        <v>0</v>
      </c>
      <c r="S2325" s="548">
        <v>0</v>
      </c>
      <c r="T2325" s="548">
        <v>0</v>
      </c>
      <c r="U2325" s="548">
        <v>0</v>
      </c>
      <c r="V2325" s="548">
        <v>0</v>
      </c>
      <c r="W2325" s="528"/>
      <c r="X2325" s="711">
        <f t="shared" si="9357"/>
        <v>0</v>
      </c>
      <c r="Y2325" s="897"/>
      <c r="Z2325" s="528"/>
      <c r="AA2325" s="899"/>
      <c r="AB2325" s="899"/>
      <c r="AC2325" s="904"/>
      <c r="AD2325" s="905"/>
      <c r="AE2325" s="2"/>
      <c r="AF2325" s="885"/>
      <c r="AG2325" s="885"/>
      <c r="AH2325" s="904"/>
      <c r="AI2325" s="885"/>
      <c r="AJ2325" s="885"/>
      <c r="AK2325" s="885"/>
      <c r="AL2325" s="885"/>
      <c r="AM2325" s="879"/>
      <c r="AN2325" s="2"/>
      <c r="AO2325" s="885"/>
      <c r="AP2325" s="886"/>
      <c r="AV2325" t="str">
        <f t="shared" si="9329"/>
        <v>Seg.3.1 -Aterro 07 - Valeta Manual</v>
      </c>
      <c r="AW2325" s="4" t="str">
        <f t="shared" si="9327"/>
        <v xml:space="preserve">   Seg. 2.3-C08-Plataforma - Dreno Longitudinal Profo - DPS 03-B1</v>
      </c>
      <c r="AX2325" s="4"/>
    </row>
    <row r="2326" spans="1:50" ht="15.6" customHeight="1" outlineLevel="2">
      <c r="A2326" s="8" t="str">
        <f t="shared" ref="A2326" si="9373">IF(SUM(P2326:V2327)&gt;0,"S","N")</f>
        <v>N</v>
      </c>
      <c r="B2326" s="150">
        <v>1069519</v>
      </c>
      <c r="C2326" s="150" t="s">
        <v>2631</v>
      </c>
      <c r="D2326" s="120" t="s">
        <v>866</v>
      </c>
      <c r="E2326" s="892" t="s">
        <v>2632</v>
      </c>
      <c r="F2326" s="902" t="s">
        <v>52</v>
      </c>
      <c r="G2326" s="528"/>
      <c r="H2326" s="546" t="s">
        <v>37</v>
      </c>
      <c r="I2326" s="711">
        <v>0</v>
      </c>
      <c r="J2326" s="896" t="str">
        <f t="shared" ref="J2326" si="9374">IFERROR((I2327/I2326),"-")</f>
        <v>-</v>
      </c>
      <c r="K2326" s="528"/>
      <c r="L2326" s="546" t="s">
        <v>37</v>
      </c>
      <c r="M2326" s="711">
        <f t="shared" si="9355"/>
        <v>0</v>
      </c>
      <c r="N2326" s="896" t="str">
        <f t="shared" ref="N2326" si="9375">IFERROR((M2327/M2326),"-")</f>
        <v>-</v>
      </c>
      <c r="O2326" s="528"/>
      <c r="P2326" s="547">
        <v>0</v>
      </c>
      <c r="Q2326" s="547">
        <v>0</v>
      </c>
      <c r="R2326" s="547">
        <v>0</v>
      </c>
      <c r="S2326" s="547">
        <v>0</v>
      </c>
      <c r="T2326" s="547">
        <v>0</v>
      </c>
      <c r="U2326" s="547">
        <v>0</v>
      </c>
      <c r="V2326" s="548">
        <v>0</v>
      </c>
      <c r="W2326" s="528"/>
      <c r="X2326" s="711">
        <f t="shared" si="9357"/>
        <v>0</v>
      </c>
      <c r="Y2326" s="896" t="str">
        <f t="shared" ref="Y2326" si="9376">IFERROR((X2327/X2326),"0")</f>
        <v>0</v>
      </c>
      <c r="Z2326" s="528"/>
      <c r="AA2326" s="898">
        <v>1555.58</v>
      </c>
      <c r="AB2326" s="898">
        <v>1508.1199999999994</v>
      </c>
      <c r="AC2326" s="903">
        <v>0</v>
      </c>
      <c r="AD2326" s="896">
        <f t="shared" ref="AD2326" si="9377">IFERROR((AC2326/AA2326),"-")</f>
        <v>0</v>
      </c>
      <c r="AE2326" s="2"/>
      <c r="AF2326" s="884">
        <v>232.42</v>
      </c>
      <c r="AG2326" s="884"/>
      <c r="AH2326" s="903">
        <v>0</v>
      </c>
      <c r="AI2326" s="884"/>
      <c r="AJ2326" s="884"/>
      <c r="AK2326" s="884">
        <f t="shared" ref="AK2326" si="9378">AF2326+AG2326+AH2326+AI2326+AJ2326+AC2326</f>
        <v>232.42</v>
      </c>
      <c r="AL2326" s="884">
        <v>1740.5399999999995</v>
      </c>
      <c r="AM2326" s="878">
        <f t="shared" ref="AM2326" si="9379">IFERROR((AK2326/AL2326),"-")</f>
        <v>0.13353327128362466</v>
      </c>
      <c r="AN2326" s="2"/>
      <c r="AO2326" s="884">
        <v>1788</v>
      </c>
      <c r="AP2326" s="884">
        <f t="shared" ref="AP2326" si="9380">AO2326-AK2326</f>
        <v>1555.58</v>
      </c>
      <c r="AV2326" t="str">
        <f t="shared" si="9329"/>
        <v>Seg.3.1 -Aterro 07 - Valeta Manual</v>
      </c>
      <c r="AW2326" s="4" t="str">
        <f t="shared" si="9327"/>
        <v xml:space="preserve">   Dreno Longitudinal Profo - DPS 03- GO 336 (1000+280 a 1000+725 / 1001+180 a 1001+745)</v>
      </c>
      <c r="AX2326" s="4"/>
    </row>
    <row r="2327" spans="1:50" ht="15.6" customHeight="1" outlineLevel="2">
      <c r="A2327" s="8" t="str">
        <f t="shared" ref="A2327" si="9381">A2326</f>
        <v>N</v>
      </c>
      <c r="B2327" s="150"/>
      <c r="C2327" s="150" t="s">
        <v>2631</v>
      </c>
      <c r="D2327" s="120" t="s">
        <v>866</v>
      </c>
      <c r="E2327" s="893"/>
      <c r="F2327" s="902"/>
      <c r="G2327" s="528"/>
      <c r="H2327" s="549" t="s">
        <v>38</v>
      </c>
      <c r="I2327" s="711">
        <v>0</v>
      </c>
      <c r="J2327" s="897"/>
      <c r="K2327" s="528"/>
      <c r="L2327" s="549" t="s">
        <v>38</v>
      </c>
      <c r="M2327" s="711">
        <f t="shared" si="9355"/>
        <v>0</v>
      </c>
      <c r="N2327" s="897"/>
      <c r="O2327" s="528"/>
      <c r="P2327" s="548">
        <v>0</v>
      </c>
      <c r="Q2327" s="548">
        <v>0</v>
      </c>
      <c r="R2327" s="548">
        <v>0</v>
      </c>
      <c r="S2327" s="548">
        <v>0</v>
      </c>
      <c r="T2327" s="548">
        <v>0</v>
      </c>
      <c r="U2327" s="548">
        <v>0</v>
      </c>
      <c r="V2327" s="548">
        <v>0</v>
      </c>
      <c r="W2327" s="528"/>
      <c r="X2327" s="711">
        <f t="shared" si="9357"/>
        <v>0</v>
      </c>
      <c r="Y2327" s="897"/>
      <c r="Z2327" s="528"/>
      <c r="AA2327" s="899"/>
      <c r="AB2327" s="899"/>
      <c r="AC2327" s="904"/>
      <c r="AD2327" s="905"/>
      <c r="AE2327" s="2"/>
      <c r="AF2327" s="885"/>
      <c r="AG2327" s="885"/>
      <c r="AH2327" s="904"/>
      <c r="AI2327" s="885"/>
      <c r="AJ2327" s="885"/>
      <c r="AK2327" s="885"/>
      <c r="AL2327" s="885"/>
      <c r="AM2327" s="879"/>
      <c r="AN2327" s="2"/>
      <c r="AO2327" s="886"/>
      <c r="AP2327" s="886"/>
      <c r="AV2327" t="str">
        <f t="shared" si="9329"/>
        <v>Seg.3.1 -Aterro 07 - Valeta Manual</v>
      </c>
      <c r="AW2327" s="4" t="str">
        <f t="shared" si="9327"/>
        <v xml:space="preserve">   Dreno Longitudinal Profo - DPS 03- GO 336 (1000+280 a 1000+725 / 1001+180 a 1001+745)</v>
      </c>
      <c r="AX2327" s="4"/>
    </row>
    <row r="2328" spans="1:50" ht="15.6" customHeight="1" outlineLevel="2">
      <c r="A2328" s="8" t="str">
        <f t="shared" ref="A2328" si="9382">IF(SUM(P2328:V2329)&gt;0,"S","N")</f>
        <v>S</v>
      </c>
      <c r="B2328" s="150">
        <v>1069853</v>
      </c>
      <c r="C2328" s="150" t="s">
        <v>2633</v>
      </c>
      <c r="D2328" s="120" t="s">
        <v>321</v>
      </c>
      <c r="E2328" s="892" t="s">
        <v>2634</v>
      </c>
      <c r="F2328" s="902" t="s">
        <v>52</v>
      </c>
      <c r="G2328" s="528"/>
      <c r="H2328" s="546" t="s">
        <v>37</v>
      </c>
      <c r="I2328" s="711">
        <v>0</v>
      </c>
      <c r="J2328" s="896" t="str">
        <f t="shared" ref="J2328" si="9383">IFERROR((I2329/I2328),"-")</f>
        <v>-</v>
      </c>
      <c r="K2328" s="528"/>
      <c r="L2328" s="546" t="s">
        <v>37</v>
      </c>
      <c r="M2328" s="711">
        <f t="shared" si="9355"/>
        <v>112</v>
      </c>
      <c r="N2328" s="896">
        <f t="shared" ref="N2328" si="9384">IFERROR((M2329/M2328),"-")</f>
        <v>0</v>
      </c>
      <c r="O2328" s="528"/>
      <c r="P2328" s="547">
        <v>112</v>
      </c>
      <c r="Q2328" s="547">
        <v>112</v>
      </c>
      <c r="R2328" s="547">
        <v>112</v>
      </c>
      <c r="S2328" s="547">
        <v>0</v>
      </c>
      <c r="T2328" s="547">
        <v>0</v>
      </c>
      <c r="U2328" s="547">
        <v>0</v>
      </c>
      <c r="V2328" s="548">
        <v>0</v>
      </c>
      <c r="W2328" s="528"/>
      <c r="X2328" s="711">
        <f t="shared" si="9357"/>
        <v>224</v>
      </c>
      <c r="Y2328" s="896">
        <f t="shared" ref="Y2328" si="9385">IFERROR((X2329/X2328),"0")</f>
        <v>0.7142857142857143</v>
      </c>
      <c r="Z2328" s="528"/>
      <c r="AA2328" s="898">
        <v>1</v>
      </c>
      <c r="AB2328" s="898">
        <v>0</v>
      </c>
      <c r="AC2328" s="903">
        <v>160</v>
      </c>
      <c r="AD2328" s="896">
        <f t="shared" ref="AD2328" si="9386">IFERROR((AC2328/AA2328),"-")</f>
        <v>160</v>
      </c>
      <c r="AE2328" s="2"/>
      <c r="AF2328" s="884">
        <v>0</v>
      </c>
      <c r="AG2328" s="884"/>
      <c r="AH2328" s="903">
        <v>560</v>
      </c>
      <c r="AI2328" s="884"/>
      <c r="AJ2328" s="884"/>
      <c r="AK2328" s="884">
        <f t="shared" ref="AK2328" si="9387">AF2328+AG2328+AH2328+AI2328+AJ2328+AC2328</f>
        <v>720</v>
      </c>
      <c r="AL2328" s="884">
        <v>735.99999999999977</v>
      </c>
      <c r="AM2328" s="878">
        <f t="shared" ref="AM2328" si="9388">IFERROR((AK2328/AL2328),"-")</f>
        <v>0.97826086956521774</v>
      </c>
      <c r="AN2328" s="2"/>
      <c r="AO2328" s="884">
        <v>1756</v>
      </c>
      <c r="AP2328" s="884">
        <f t="shared" ref="AP2328" si="9389">AO2328-AK2328</f>
        <v>1036</v>
      </c>
      <c r="AV2328" t="str">
        <f t="shared" si="9329"/>
        <v>Seg.3.1 -Aterro 07 - Valeta Manual</v>
      </c>
      <c r="AW2328" s="4" t="str">
        <f t="shared" si="9327"/>
        <v xml:space="preserve">   Seg.2.3 C 04 - Dreno Longitudinal Profo - DPS 06-A1 - DPS 04-B1 </v>
      </c>
    </row>
    <row r="2329" spans="1:50" ht="15.6" customHeight="1" outlineLevel="2">
      <c r="A2329" s="8" t="str">
        <f t="shared" ref="A2329" si="9390">A2328</f>
        <v>S</v>
      </c>
      <c r="B2329" s="150"/>
      <c r="C2329" s="150" t="s">
        <v>2633</v>
      </c>
      <c r="D2329" s="120" t="s">
        <v>321</v>
      </c>
      <c r="E2329" s="893"/>
      <c r="F2329" s="902"/>
      <c r="G2329" s="528"/>
      <c r="H2329" s="549" t="s">
        <v>38</v>
      </c>
      <c r="I2329" s="711">
        <v>0</v>
      </c>
      <c r="J2329" s="897"/>
      <c r="K2329" s="528"/>
      <c r="L2329" s="549" t="s">
        <v>38</v>
      </c>
      <c r="M2329" s="711">
        <f t="shared" si="9355"/>
        <v>0</v>
      </c>
      <c r="N2329" s="897"/>
      <c r="O2329" s="528"/>
      <c r="P2329" s="548">
        <v>160</v>
      </c>
      <c r="Q2329" s="548">
        <v>0</v>
      </c>
      <c r="R2329" s="548">
        <v>0</v>
      </c>
      <c r="S2329" s="548">
        <v>0</v>
      </c>
      <c r="T2329" s="548">
        <v>0</v>
      </c>
      <c r="U2329" s="548">
        <v>0</v>
      </c>
      <c r="V2329" s="548">
        <v>0</v>
      </c>
      <c r="W2329" s="528"/>
      <c r="X2329" s="711">
        <f t="shared" si="9357"/>
        <v>160</v>
      </c>
      <c r="Y2329" s="897"/>
      <c r="Z2329" s="528"/>
      <c r="AA2329" s="899"/>
      <c r="AB2329" s="899"/>
      <c r="AC2329" s="904"/>
      <c r="AD2329" s="905"/>
      <c r="AE2329" s="2"/>
      <c r="AF2329" s="885"/>
      <c r="AG2329" s="885"/>
      <c r="AH2329" s="904"/>
      <c r="AI2329" s="885"/>
      <c r="AJ2329" s="885"/>
      <c r="AK2329" s="885"/>
      <c r="AL2329" s="885"/>
      <c r="AM2329" s="879"/>
      <c r="AN2329" s="2"/>
      <c r="AO2329" s="886"/>
      <c r="AP2329" s="886"/>
      <c r="AV2329" t="str">
        <f t="shared" si="9329"/>
        <v>Seg.3.1 -Aterro 07 - Valeta Manual</v>
      </c>
      <c r="AW2329" s="4" t="str">
        <f t="shared" si="9327"/>
        <v xml:space="preserve">   Seg.2.3 C 04 - Dreno Longitudinal Profo - DPS 06-A1 - DPS 04-B1 </v>
      </c>
    </row>
    <row r="2330" spans="1:50" ht="15.6" customHeight="1" outlineLevel="2">
      <c r="A2330" s="8" t="str">
        <f t="shared" ref="A2330" si="9391">IF(SUM(P2330:V2331)&gt;0,"S","N")</f>
        <v>N</v>
      </c>
      <c r="B2330" s="150" t="s">
        <v>266</v>
      </c>
      <c r="C2330" s="150" t="s">
        <v>266</v>
      </c>
      <c r="D2330" s="120" t="s">
        <v>266</v>
      </c>
      <c r="E2330" s="892"/>
      <c r="F2330" s="902" t="s">
        <v>52</v>
      </c>
      <c r="G2330" s="528"/>
      <c r="H2330" s="546" t="s">
        <v>37</v>
      </c>
      <c r="I2330" s="711">
        <v>0</v>
      </c>
      <c r="J2330" s="896" t="str">
        <f t="shared" ref="J2330" si="9392">IFERROR((I2331/I2330),"-")</f>
        <v>-</v>
      </c>
      <c r="K2330" s="528"/>
      <c r="L2330" s="546" t="s">
        <v>37</v>
      </c>
      <c r="M2330" s="711">
        <f t="shared" si="9355"/>
        <v>0</v>
      </c>
      <c r="N2330" s="896" t="str">
        <f t="shared" ref="N2330" si="9393">IFERROR((M2331/M2330),"-")</f>
        <v>-</v>
      </c>
      <c r="O2330" s="528"/>
      <c r="P2330" s="547">
        <v>0</v>
      </c>
      <c r="Q2330" s="547">
        <v>0</v>
      </c>
      <c r="R2330" s="547">
        <v>0</v>
      </c>
      <c r="S2330" s="547">
        <v>0</v>
      </c>
      <c r="T2330" s="547">
        <v>0</v>
      </c>
      <c r="U2330" s="547">
        <v>0</v>
      </c>
      <c r="V2330" s="548">
        <v>0</v>
      </c>
      <c r="W2330" s="528"/>
      <c r="X2330" s="711">
        <f t="shared" si="9357"/>
        <v>0</v>
      </c>
      <c r="Y2330" s="896" t="str">
        <f>IFERROR((X2331/X2330),"-")</f>
        <v>-</v>
      </c>
      <c r="Z2330" s="528"/>
      <c r="AA2330" s="898">
        <v>0</v>
      </c>
      <c r="AB2330" s="898">
        <v>0</v>
      </c>
      <c r="AC2330" s="903">
        <v>0</v>
      </c>
      <c r="AD2330" s="896" t="str">
        <f t="shared" ref="AD2330" si="9394">IFERROR((AC2330/AA2330),"-")</f>
        <v>-</v>
      </c>
      <c r="AE2330" s="2"/>
      <c r="AF2330" s="884">
        <v>0</v>
      </c>
      <c r="AG2330" s="884">
        <v>0</v>
      </c>
      <c r="AH2330" s="903">
        <v>0</v>
      </c>
      <c r="AI2330" s="884"/>
      <c r="AJ2330" s="884"/>
      <c r="AK2330" s="884">
        <f t="shared" ref="AK2330" si="9395">AF2330+AG2330+AH2330+AI2330+AJ2330+AC2330</f>
        <v>0</v>
      </c>
      <c r="AL2330" s="884">
        <v>0</v>
      </c>
      <c r="AM2330" s="878" t="str">
        <f t="shared" ref="AM2330" si="9396">IFERROR((AK2330/AL2330),"-")</f>
        <v>-</v>
      </c>
      <c r="AN2330" s="2"/>
      <c r="AO2330" s="884">
        <v>0</v>
      </c>
      <c r="AP2330" s="884">
        <f t="shared" ref="AP2330" si="9397">AO2330-AK2330</f>
        <v>0</v>
      </c>
      <c r="AV2330" t="str">
        <f t="shared" si="9329"/>
        <v>Seg.3.1 -Aterro 07 - Valeta Manual</v>
      </c>
      <c r="AW2330" s="4" t="str">
        <f t="shared" si="9327"/>
        <v xml:space="preserve">   Seg.2.3 C 04 - Dreno Longitudinal Profo - DPS 06-A1 - DPS 04-B1 </v>
      </c>
    </row>
    <row r="2331" spans="1:50" ht="15.6" customHeight="1" outlineLevel="2">
      <c r="A2331" s="8" t="str">
        <f t="shared" ref="A2331" si="9398">A2330</f>
        <v>N</v>
      </c>
      <c r="B2331" s="150"/>
      <c r="C2331" s="150"/>
      <c r="D2331" s="120" t="s">
        <v>266</v>
      </c>
      <c r="E2331" s="893"/>
      <c r="F2331" s="902"/>
      <c r="G2331" s="528"/>
      <c r="H2331" s="549" t="s">
        <v>38</v>
      </c>
      <c r="I2331" s="711">
        <v>0</v>
      </c>
      <c r="J2331" s="897"/>
      <c r="K2331" s="528"/>
      <c r="L2331" s="549" t="s">
        <v>38</v>
      </c>
      <c r="M2331" s="711">
        <f t="shared" si="9355"/>
        <v>0</v>
      </c>
      <c r="N2331" s="897"/>
      <c r="O2331" s="528"/>
      <c r="P2331" s="548">
        <v>0</v>
      </c>
      <c r="Q2331" s="548">
        <v>0</v>
      </c>
      <c r="R2331" s="548">
        <v>0</v>
      </c>
      <c r="S2331" s="548">
        <v>0</v>
      </c>
      <c r="T2331" s="548">
        <v>0</v>
      </c>
      <c r="U2331" s="548">
        <v>0</v>
      </c>
      <c r="V2331" s="548">
        <v>0</v>
      </c>
      <c r="W2331" s="528"/>
      <c r="X2331" s="711">
        <f t="shared" si="9357"/>
        <v>0</v>
      </c>
      <c r="Y2331" s="897"/>
      <c r="Z2331" s="528"/>
      <c r="AA2331" s="899"/>
      <c r="AB2331" s="899"/>
      <c r="AC2331" s="904"/>
      <c r="AD2331" s="905"/>
      <c r="AE2331" s="2"/>
      <c r="AF2331" s="885"/>
      <c r="AG2331" s="885"/>
      <c r="AH2331" s="904"/>
      <c r="AI2331" s="885"/>
      <c r="AJ2331" s="885"/>
      <c r="AK2331" s="885"/>
      <c r="AL2331" s="885"/>
      <c r="AM2331" s="879"/>
      <c r="AN2331" s="2"/>
      <c r="AO2331" s="886"/>
      <c r="AP2331" s="886"/>
      <c r="AV2331" t="str">
        <f t="shared" si="9329"/>
        <v>Seg.3.1 -Aterro 07 - Valeta Manual</v>
      </c>
      <c r="AW2331" s="4" t="str">
        <f t="shared" si="9327"/>
        <v xml:space="preserve">   Seg.2.3 C 04 - Dreno Longitudinal Profo - DPS 06-A1 - DPS 04-B1 </v>
      </c>
    </row>
    <row r="2332" spans="1:50" ht="15.6" customHeight="1" outlineLevel="2">
      <c r="A2332" s="209">
        <v>0</v>
      </c>
      <c r="B2332" s="150"/>
      <c r="C2332" s="150"/>
      <c r="D2332" s="117"/>
      <c r="E2332" s="535"/>
      <c r="F2332" s="536"/>
      <c r="G2332" s="537"/>
      <c r="H2332" s="714"/>
      <c r="I2332" s="538"/>
      <c r="J2332" s="714"/>
      <c r="K2332" s="537"/>
      <c r="L2332" s="714"/>
      <c r="M2332" s="538"/>
      <c r="N2332" s="714"/>
      <c r="O2332" s="537"/>
      <c r="P2332" s="539"/>
      <c r="Q2332" s="539"/>
      <c r="R2332" s="539"/>
      <c r="S2332" s="539"/>
      <c r="T2332" s="539"/>
      <c r="U2332" s="539"/>
      <c r="V2332" s="539"/>
      <c r="W2332" s="537"/>
      <c r="X2332" s="540"/>
      <c r="Y2332" s="537"/>
      <c r="Z2332" s="537"/>
      <c r="AA2332" s="250"/>
      <c r="AB2332" s="250"/>
      <c r="AC2332" s="249"/>
      <c r="AD2332" s="537"/>
      <c r="AE2332" s="3"/>
      <c r="AF2332" s="36"/>
      <c r="AG2332" s="36"/>
      <c r="AH2332" s="36"/>
      <c r="AI2332" s="36"/>
      <c r="AJ2332" s="36"/>
      <c r="AK2332" s="36"/>
      <c r="AL2332" s="36"/>
      <c r="AM2332" s="3"/>
      <c r="AN2332" s="3"/>
      <c r="AO2332" s="36"/>
      <c r="AP2332" s="36"/>
      <c r="AV2332" t="str">
        <f t="shared" si="9329"/>
        <v>Seg.3.1 -Aterro 07 - Valeta Manual</v>
      </c>
      <c r="AW2332" s="4" t="str">
        <f t="shared" si="9327"/>
        <v xml:space="preserve">   Seg.2.3 C 04 - Dreno Longitudinal Profo - DPS 06-A1 - DPS 04-B1 </v>
      </c>
    </row>
    <row r="2333" spans="1:50" ht="15.6" customHeight="1" outlineLevel="2">
      <c r="A2333" s="209">
        <v>0</v>
      </c>
      <c r="B2333" s="150"/>
      <c r="C2333" s="150">
        <v>0</v>
      </c>
      <c r="D2333" s="122"/>
      <c r="E2333" s="913" t="s">
        <v>42</v>
      </c>
      <c r="F2333" s="859" t="s">
        <v>52</v>
      </c>
      <c r="G2333" s="528"/>
      <c r="H2333" s="542" t="s">
        <v>37</v>
      </c>
      <c r="I2333" s="543">
        <f>SUMIF($L2335:$L2342,$L2333,I2335:I2342)</f>
        <v>0</v>
      </c>
      <c r="J2333" s="860" t="str">
        <f>IFERROR((I2334/I2333),"-")</f>
        <v>-</v>
      </c>
      <c r="K2333" s="528"/>
      <c r="L2333" s="542" t="s">
        <v>37</v>
      </c>
      <c r="M2333" s="543">
        <f>SUMIF($L2335:$L2342,$L2333,M2335:M2342)</f>
        <v>0</v>
      </c>
      <c r="N2333" s="860" t="str">
        <f>IFERROR((M2334/M2333),"-")</f>
        <v>-</v>
      </c>
      <c r="O2333" s="528"/>
      <c r="P2333" s="543">
        <f t="shared" ref="P2333:U2333" si="9399">SUMIF($L2335:$L2342,$L2333,P2335:P2342)</f>
        <v>0</v>
      </c>
      <c r="Q2333" s="543">
        <f t="shared" si="9399"/>
        <v>0</v>
      </c>
      <c r="R2333" s="543">
        <f t="shared" si="9399"/>
        <v>0</v>
      </c>
      <c r="S2333" s="543">
        <f t="shared" si="9399"/>
        <v>0</v>
      </c>
      <c r="T2333" s="543">
        <f t="shared" si="9399"/>
        <v>0</v>
      </c>
      <c r="U2333" s="543">
        <f t="shared" si="9399"/>
        <v>0</v>
      </c>
      <c r="V2333" s="543"/>
      <c r="W2333" s="528"/>
      <c r="X2333" s="543">
        <f t="shared" ref="X2333:X2342" si="9400">SUMIFS(P2333:V2333,$P$8:$V$8,"&gt;="&amp;$P$8,$P$8:$V$8,"&lt;="&amp;$N$8)</f>
        <v>0</v>
      </c>
      <c r="Y2333" s="860" t="str">
        <f>IFERROR((X2334/X2333),"-")</f>
        <v>-</v>
      </c>
      <c r="Z2333" s="528"/>
      <c r="AA2333" s="814">
        <f>SUM(AA2335:AA2342)</f>
        <v>1300</v>
      </c>
      <c r="AB2333" s="814">
        <f>SUM(AB2335:AB2342)</f>
        <v>700.00000000000011</v>
      </c>
      <c r="AC2333" s="814">
        <f>SUM(AC2335:AC2342)</f>
        <v>0</v>
      </c>
      <c r="AD2333" s="911">
        <f t="shared" ref="AD2333" si="9401">IFERROR((AC2333/AA2333),"-")</f>
        <v>0</v>
      </c>
      <c r="AE2333" s="2"/>
      <c r="AF2333" s="888">
        <f t="shared" ref="AF2333" si="9402">SUM(AF2335:AF2342)</f>
        <v>0</v>
      </c>
      <c r="AG2333" s="888">
        <f t="shared" ref="AG2333:AL2333" si="9403">SUM(AG2335:AG2342)</f>
        <v>0</v>
      </c>
      <c r="AH2333" s="888">
        <f t="shared" si="9403"/>
        <v>0</v>
      </c>
      <c r="AI2333" s="888">
        <f t="shared" si="9403"/>
        <v>0</v>
      </c>
      <c r="AJ2333" s="888"/>
      <c r="AK2333" s="888">
        <f t="shared" si="9403"/>
        <v>0</v>
      </c>
      <c r="AL2333" s="888">
        <f t="shared" si="9403"/>
        <v>700.00000000000011</v>
      </c>
      <c r="AM2333" s="743">
        <f>IFERROR((AK2333/AL2333),"-")</f>
        <v>0</v>
      </c>
      <c r="AN2333" s="2"/>
      <c r="AO2333" s="888">
        <f>SUM(AO2335:AO2342)</f>
        <v>1874.4</v>
      </c>
      <c r="AP2333" s="888">
        <f>SUM(AP2335:AP2342)</f>
        <v>1874.4</v>
      </c>
      <c r="AV2333" t="str">
        <f t="shared" si="9329"/>
        <v>Seg.3.1 -Aterro 07 - Valeta Manual</v>
      </c>
      <c r="AW2333" s="4" t="str">
        <f t="shared" si="9327"/>
        <v>Pacote 05 - Segmento 2.4 - Km 131+260 a  Km 138+000</v>
      </c>
    </row>
    <row r="2334" spans="1:50" ht="15.6" customHeight="1" outlineLevel="2">
      <c r="A2334" s="209">
        <v>0</v>
      </c>
      <c r="B2334" s="150"/>
      <c r="C2334" s="150"/>
      <c r="D2334" s="123"/>
      <c r="E2334" s="913"/>
      <c r="F2334" s="859"/>
      <c r="G2334" s="528"/>
      <c r="H2334" s="544" t="s">
        <v>38</v>
      </c>
      <c r="I2334" s="543">
        <f>SUMIF($L2335:$L2342,$L2334,I2335:I2342)</f>
        <v>0</v>
      </c>
      <c r="J2334" s="861"/>
      <c r="K2334" s="528"/>
      <c r="L2334" s="544" t="s">
        <v>38</v>
      </c>
      <c r="M2334" s="543">
        <f>SUMIF($L2335:$L2342,$L2334,M2335:M2342)</f>
        <v>0</v>
      </c>
      <c r="N2334" s="861"/>
      <c r="O2334" s="528"/>
      <c r="P2334" s="543">
        <f t="shared" ref="P2334:U2334" si="9404">SUMIF($L2335:$L2342,$L2334,P2335:P2342)</f>
        <v>0</v>
      </c>
      <c r="Q2334" s="543">
        <f t="shared" si="9404"/>
        <v>0</v>
      </c>
      <c r="R2334" s="543">
        <f t="shared" si="9404"/>
        <v>0</v>
      </c>
      <c r="S2334" s="543">
        <f t="shared" si="9404"/>
        <v>0</v>
      </c>
      <c r="T2334" s="543">
        <f t="shared" si="9404"/>
        <v>0</v>
      </c>
      <c r="U2334" s="543">
        <f t="shared" si="9404"/>
        <v>0</v>
      </c>
      <c r="V2334" s="543"/>
      <c r="W2334" s="528"/>
      <c r="X2334" s="543">
        <f t="shared" si="9400"/>
        <v>0</v>
      </c>
      <c r="Y2334" s="861"/>
      <c r="Z2334" s="528"/>
      <c r="AA2334" s="815"/>
      <c r="AB2334" s="815"/>
      <c r="AC2334" s="815"/>
      <c r="AD2334" s="912"/>
      <c r="AE2334" s="2"/>
      <c r="AF2334" s="889"/>
      <c r="AG2334" s="889"/>
      <c r="AH2334" s="889"/>
      <c r="AI2334" s="889"/>
      <c r="AJ2334" s="889"/>
      <c r="AK2334" s="889"/>
      <c r="AL2334" s="889"/>
      <c r="AM2334" s="744"/>
      <c r="AN2334" s="2"/>
      <c r="AO2334" s="889"/>
      <c r="AP2334" s="889"/>
      <c r="AV2334" t="str">
        <f t="shared" si="9329"/>
        <v>Seg.3.1 -Aterro 07 - Valeta Manual</v>
      </c>
      <c r="AW2334" s="4" t="str">
        <f t="shared" si="9327"/>
        <v>Pacote 05 - Segmento 2.4 - Km 131+260 a  Km 138+000</v>
      </c>
    </row>
    <row r="2335" spans="1:50" ht="15.6" customHeight="1" outlineLevel="2">
      <c r="A2335" s="8" t="str">
        <f t="shared" ref="A2335" si="9405">IF(SUM(P2335:V2336)&gt;0,"S","N")</f>
        <v>N</v>
      </c>
      <c r="B2335" s="150">
        <v>1069967</v>
      </c>
      <c r="C2335" s="150" t="s">
        <v>2635</v>
      </c>
      <c r="D2335" s="120" t="s">
        <v>382</v>
      </c>
      <c r="E2335" s="892" t="s">
        <v>2636</v>
      </c>
      <c r="F2335" s="902" t="s">
        <v>52</v>
      </c>
      <c r="G2335" s="528"/>
      <c r="H2335" s="546" t="s">
        <v>37</v>
      </c>
      <c r="I2335" s="711">
        <v>0</v>
      </c>
      <c r="J2335" s="896" t="str">
        <f t="shared" ref="J2335" si="9406">IFERROR((I2336/I2335),"-")</f>
        <v>-</v>
      </c>
      <c r="K2335" s="528"/>
      <c r="L2335" s="546" t="s">
        <v>37</v>
      </c>
      <c r="M2335" s="711">
        <f t="shared" ref="M2335:M2342" si="9407">_xlfn.XLOOKUP($N$8,$P$8:$V$8,$P2335:$V2335)</f>
        <v>0</v>
      </c>
      <c r="N2335" s="896" t="str">
        <f t="shared" ref="N2335" si="9408">IFERROR((M2336/M2335),"-")</f>
        <v>-</v>
      </c>
      <c r="O2335" s="528"/>
      <c r="P2335" s="547">
        <v>0</v>
      </c>
      <c r="Q2335" s="547">
        <v>0</v>
      </c>
      <c r="R2335" s="547">
        <v>0</v>
      </c>
      <c r="S2335" s="547">
        <v>0</v>
      </c>
      <c r="T2335" s="547">
        <v>0</v>
      </c>
      <c r="U2335" s="547">
        <v>0</v>
      </c>
      <c r="V2335" s="548">
        <v>0</v>
      </c>
      <c r="W2335" s="528"/>
      <c r="X2335" s="711">
        <f t="shared" si="9400"/>
        <v>0</v>
      </c>
      <c r="Y2335" s="896" t="str">
        <f t="shared" ref="Y2335" si="9409">IFERROR((X2336/X2335),"-")</f>
        <v>-</v>
      </c>
      <c r="Z2335" s="528"/>
      <c r="AA2335" s="898">
        <v>700</v>
      </c>
      <c r="AB2335" s="898">
        <v>700.00000000000011</v>
      </c>
      <c r="AC2335" s="903">
        <v>0</v>
      </c>
      <c r="AD2335" s="896">
        <f t="shared" ref="AD2335" si="9410">IFERROR((AC2335/AA2335),"-")</f>
        <v>0</v>
      </c>
      <c r="AE2335" s="2"/>
      <c r="AF2335" s="884">
        <v>0</v>
      </c>
      <c r="AG2335" s="884"/>
      <c r="AH2335" s="903">
        <v>0</v>
      </c>
      <c r="AI2335" s="884"/>
      <c r="AJ2335" s="884"/>
      <c r="AK2335" s="884">
        <f t="shared" ref="AK2335" si="9411">AF2335+AG2335+AH2335+AI2335+AJ2335+AC2335</f>
        <v>0</v>
      </c>
      <c r="AL2335" s="884">
        <v>700.00000000000011</v>
      </c>
      <c r="AM2335" s="878">
        <f t="shared" ref="AM2335" si="9412">IFERROR((AK2335/AL2335),"-")</f>
        <v>0</v>
      </c>
      <c r="AN2335" s="2"/>
      <c r="AO2335" s="884">
        <v>700</v>
      </c>
      <c r="AP2335" s="884">
        <f t="shared" ref="AP2335" si="9413">AO2335-AK2335</f>
        <v>700</v>
      </c>
      <c r="AV2335" t="str">
        <f t="shared" si="9329"/>
        <v>Seg.3.1 -Aterro 07 - Valeta Manual</v>
      </c>
      <c r="AW2335" s="4" t="str">
        <f t="shared" si="9327"/>
        <v xml:space="preserve">   Dreno Longitudinal Profo - DPS 03-B1- Seg.2.4 C 04</v>
      </c>
    </row>
    <row r="2336" spans="1:50" ht="15.6" customHeight="1" outlineLevel="2">
      <c r="A2336" s="8" t="str">
        <f t="shared" ref="A2336" si="9414">A2335</f>
        <v>N</v>
      </c>
      <c r="B2336" s="150"/>
      <c r="C2336" s="150" t="s">
        <v>2635</v>
      </c>
      <c r="D2336" s="120" t="s">
        <v>382</v>
      </c>
      <c r="E2336" s="893"/>
      <c r="F2336" s="902"/>
      <c r="G2336" s="528"/>
      <c r="H2336" s="549" t="s">
        <v>38</v>
      </c>
      <c r="I2336" s="711">
        <v>0</v>
      </c>
      <c r="J2336" s="897"/>
      <c r="K2336" s="528"/>
      <c r="L2336" s="549" t="s">
        <v>38</v>
      </c>
      <c r="M2336" s="711">
        <f t="shared" si="9407"/>
        <v>0</v>
      </c>
      <c r="N2336" s="897"/>
      <c r="O2336" s="528"/>
      <c r="P2336" s="548">
        <v>0</v>
      </c>
      <c r="Q2336" s="548">
        <v>0</v>
      </c>
      <c r="R2336" s="548">
        <v>0</v>
      </c>
      <c r="S2336" s="548">
        <v>0</v>
      </c>
      <c r="T2336" s="548">
        <v>0</v>
      </c>
      <c r="U2336" s="548">
        <v>0</v>
      </c>
      <c r="V2336" s="548">
        <v>0</v>
      </c>
      <c r="W2336" s="528"/>
      <c r="X2336" s="711">
        <f t="shared" si="9400"/>
        <v>0</v>
      </c>
      <c r="Y2336" s="897"/>
      <c r="Z2336" s="528"/>
      <c r="AA2336" s="899"/>
      <c r="AB2336" s="899"/>
      <c r="AC2336" s="904"/>
      <c r="AD2336" s="905"/>
      <c r="AE2336" s="2"/>
      <c r="AF2336" s="885"/>
      <c r="AG2336" s="885"/>
      <c r="AH2336" s="904"/>
      <c r="AI2336" s="885"/>
      <c r="AJ2336" s="885"/>
      <c r="AK2336" s="885"/>
      <c r="AL2336" s="885"/>
      <c r="AM2336" s="879"/>
      <c r="AN2336" s="2"/>
      <c r="AO2336" s="886"/>
      <c r="AP2336" s="886"/>
      <c r="AV2336" t="str">
        <f t="shared" si="9329"/>
        <v>Seg.3.1 -Aterro 07 - Valeta Manual</v>
      </c>
      <c r="AW2336" s="4" t="str">
        <f t="shared" si="9327"/>
        <v xml:space="preserve">   Dreno Longitudinal Profo - DPS 03-B1- Seg.2.4 C 04</v>
      </c>
    </row>
    <row r="2337" spans="1:50" ht="15.6" customHeight="1" outlineLevel="2">
      <c r="A2337" s="8" t="str">
        <f t="shared" ref="A2337" si="9415">IF(SUM(P2337:V2338)&gt;0,"S","N")</f>
        <v>N</v>
      </c>
      <c r="B2337" s="150">
        <v>1069968</v>
      </c>
      <c r="C2337" s="150" t="s">
        <v>2637</v>
      </c>
      <c r="D2337" s="120" t="s">
        <v>385</v>
      </c>
      <c r="E2337" s="892" t="s">
        <v>2638</v>
      </c>
      <c r="F2337" s="902" t="s">
        <v>52</v>
      </c>
      <c r="G2337" s="528"/>
      <c r="H2337" s="546" t="s">
        <v>37</v>
      </c>
      <c r="I2337" s="711">
        <v>0</v>
      </c>
      <c r="J2337" s="896" t="str">
        <f t="shared" ref="J2337" si="9416">IFERROR((I2338/I2337),"-")</f>
        <v>-</v>
      </c>
      <c r="K2337" s="528"/>
      <c r="L2337" s="546" t="s">
        <v>37</v>
      </c>
      <c r="M2337" s="711">
        <f t="shared" si="9407"/>
        <v>0</v>
      </c>
      <c r="N2337" s="896" t="str">
        <f t="shared" ref="N2337" si="9417">IFERROR((M2338/M2337),"-")</f>
        <v>-</v>
      </c>
      <c r="O2337" s="528"/>
      <c r="P2337" s="547">
        <v>0</v>
      </c>
      <c r="Q2337" s="547">
        <v>0</v>
      </c>
      <c r="R2337" s="547">
        <v>0</v>
      </c>
      <c r="S2337" s="547">
        <v>0</v>
      </c>
      <c r="T2337" s="547">
        <v>0</v>
      </c>
      <c r="U2337" s="547">
        <v>0</v>
      </c>
      <c r="V2337" s="548">
        <v>0</v>
      </c>
      <c r="W2337" s="528"/>
      <c r="X2337" s="711">
        <f t="shared" si="9400"/>
        <v>0</v>
      </c>
      <c r="Y2337" s="896" t="str">
        <f t="shared" ref="Y2337" si="9418">IFERROR((X2338/X2337),"-")</f>
        <v>-</v>
      </c>
      <c r="Z2337" s="528"/>
      <c r="AA2337" s="898">
        <v>0</v>
      </c>
      <c r="AB2337" s="898">
        <v>0</v>
      </c>
      <c r="AC2337" s="903">
        <v>0</v>
      </c>
      <c r="AD2337" s="896" t="str">
        <f t="shared" ref="AD2337" si="9419">IFERROR((AC2337/AA2337),"-")</f>
        <v>-</v>
      </c>
      <c r="AE2337" s="2"/>
      <c r="AF2337" s="884">
        <v>0</v>
      </c>
      <c r="AG2337" s="884"/>
      <c r="AH2337" s="903">
        <v>0</v>
      </c>
      <c r="AI2337" s="884"/>
      <c r="AJ2337" s="884"/>
      <c r="AK2337" s="884">
        <f t="shared" ref="AK2337" si="9420">AF2337+AG2337+AH2337+AI2337+AJ2337+AC2337</f>
        <v>0</v>
      </c>
      <c r="AL2337" s="884">
        <v>0</v>
      </c>
      <c r="AM2337" s="878" t="str">
        <f t="shared" ref="AM2337" si="9421">IFERROR((AK2337/AL2337),"-")</f>
        <v>-</v>
      </c>
      <c r="AN2337" s="2"/>
      <c r="AO2337" s="884">
        <v>49.4</v>
      </c>
      <c r="AP2337" s="884">
        <f t="shared" ref="AP2337" si="9422">AO2337-AK2337</f>
        <v>49.4</v>
      </c>
      <c r="AV2337" t="str">
        <f t="shared" si="9329"/>
        <v>Seg.3.1 -Aterro 07 - Valeta Manual</v>
      </c>
      <c r="AW2337" s="4" t="str">
        <f t="shared" si="9327"/>
        <v xml:space="preserve">   Dreno Longitudinal Profo - DPS 04/06 - Seg.2.4 C 05</v>
      </c>
    </row>
    <row r="2338" spans="1:50" ht="15.6" customHeight="1" outlineLevel="2">
      <c r="A2338" s="8" t="str">
        <f t="shared" ref="A2338" si="9423">A2337</f>
        <v>N</v>
      </c>
      <c r="B2338" s="150"/>
      <c r="C2338" s="150" t="s">
        <v>2637</v>
      </c>
      <c r="D2338" s="120" t="s">
        <v>385</v>
      </c>
      <c r="E2338" s="893"/>
      <c r="F2338" s="902"/>
      <c r="G2338" s="528"/>
      <c r="H2338" s="549" t="s">
        <v>38</v>
      </c>
      <c r="I2338" s="711">
        <v>0</v>
      </c>
      <c r="J2338" s="897"/>
      <c r="K2338" s="528"/>
      <c r="L2338" s="549" t="s">
        <v>38</v>
      </c>
      <c r="M2338" s="711">
        <f t="shared" si="9407"/>
        <v>0</v>
      </c>
      <c r="N2338" s="897"/>
      <c r="O2338" s="528"/>
      <c r="P2338" s="548">
        <v>0</v>
      </c>
      <c r="Q2338" s="548">
        <v>0</v>
      </c>
      <c r="R2338" s="548">
        <v>0</v>
      </c>
      <c r="S2338" s="548">
        <v>0</v>
      </c>
      <c r="T2338" s="548">
        <v>0</v>
      </c>
      <c r="U2338" s="548">
        <v>0</v>
      </c>
      <c r="V2338" s="548">
        <v>0</v>
      </c>
      <c r="W2338" s="528"/>
      <c r="X2338" s="711">
        <f t="shared" si="9400"/>
        <v>0</v>
      </c>
      <c r="Y2338" s="897"/>
      <c r="Z2338" s="528"/>
      <c r="AA2338" s="899"/>
      <c r="AB2338" s="899"/>
      <c r="AC2338" s="904"/>
      <c r="AD2338" s="905"/>
      <c r="AE2338" s="2"/>
      <c r="AF2338" s="885"/>
      <c r="AG2338" s="885"/>
      <c r="AH2338" s="904"/>
      <c r="AI2338" s="885"/>
      <c r="AJ2338" s="885"/>
      <c r="AK2338" s="885"/>
      <c r="AL2338" s="885"/>
      <c r="AM2338" s="879"/>
      <c r="AN2338" s="2"/>
      <c r="AO2338" s="886"/>
      <c r="AP2338" s="886"/>
      <c r="AV2338" t="str">
        <f t="shared" si="9329"/>
        <v>Seg.3.1 -Aterro 07 - Valeta Manual</v>
      </c>
      <c r="AW2338" s="4" t="str">
        <f t="shared" si="9327"/>
        <v xml:space="preserve">   Dreno Longitudinal Profo - DPS 04/06 - Seg.2.4 C 05</v>
      </c>
    </row>
    <row r="2339" spans="1:50" ht="15.6" customHeight="1" outlineLevel="2">
      <c r="A2339" s="8" t="str">
        <f t="shared" ref="A2339" si="9424">IF(SUM(P2339:V2340)&gt;0,"S","N")</f>
        <v>N</v>
      </c>
      <c r="B2339" s="150">
        <v>1069969</v>
      </c>
      <c r="C2339" s="150" t="s">
        <v>2639</v>
      </c>
      <c r="D2339" s="120" t="s">
        <v>388</v>
      </c>
      <c r="E2339" s="892" t="s">
        <v>2640</v>
      </c>
      <c r="F2339" s="902" t="s">
        <v>52</v>
      </c>
      <c r="G2339" s="528"/>
      <c r="H2339" s="546" t="s">
        <v>37</v>
      </c>
      <c r="I2339" s="711">
        <v>0</v>
      </c>
      <c r="J2339" s="896" t="str">
        <f t="shared" ref="J2339" si="9425">IFERROR((I2340/I2339),"-")</f>
        <v>-</v>
      </c>
      <c r="K2339" s="528"/>
      <c r="L2339" s="546" t="s">
        <v>37</v>
      </c>
      <c r="M2339" s="711">
        <f t="shared" si="9407"/>
        <v>0</v>
      </c>
      <c r="N2339" s="896" t="str">
        <f t="shared" ref="N2339" si="9426">IFERROR((M2340/M2339),"-")</f>
        <v>-</v>
      </c>
      <c r="O2339" s="528"/>
      <c r="P2339" s="547">
        <v>0</v>
      </c>
      <c r="Q2339" s="547">
        <v>0</v>
      </c>
      <c r="R2339" s="547">
        <v>0</v>
      </c>
      <c r="S2339" s="547">
        <v>0</v>
      </c>
      <c r="T2339" s="547">
        <v>0</v>
      </c>
      <c r="U2339" s="547">
        <v>0</v>
      </c>
      <c r="V2339" s="548">
        <v>0</v>
      </c>
      <c r="W2339" s="528"/>
      <c r="X2339" s="711">
        <f t="shared" si="9400"/>
        <v>0</v>
      </c>
      <c r="Y2339" s="896" t="str">
        <f t="shared" ref="Y2339" si="9427">IFERROR((X2340/X2339),"-")</f>
        <v>-</v>
      </c>
      <c r="Z2339" s="528"/>
      <c r="AA2339" s="898">
        <v>600</v>
      </c>
      <c r="AB2339" s="898">
        <v>0</v>
      </c>
      <c r="AC2339" s="903">
        <v>0</v>
      </c>
      <c r="AD2339" s="896">
        <f t="shared" ref="AD2339" si="9428">IFERROR((AC2339/AA2339),"-")</f>
        <v>0</v>
      </c>
      <c r="AE2339" s="2"/>
      <c r="AF2339" s="884">
        <v>0</v>
      </c>
      <c r="AG2339" s="884"/>
      <c r="AH2339" s="903">
        <v>0</v>
      </c>
      <c r="AI2339" s="884"/>
      <c r="AJ2339" s="884"/>
      <c r="AK2339" s="884">
        <f t="shared" ref="AK2339" si="9429">AF2339+AG2339+AH2339+AI2339+AJ2339+AC2339</f>
        <v>0</v>
      </c>
      <c r="AL2339" s="884">
        <v>0</v>
      </c>
      <c r="AM2339" s="878" t="str">
        <f t="shared" ref="AM2339" si="9430">IFERROR((AK2339/AL2339),"-")</f>
        <v>-</v>
      </c>
      <c r="AN2339" s="2"/>
      <c r="AO2339" s="884">
        <v>600</v>
      </c>
      <c r="AP2339" s="884">
        <f t="shared" ref="AP2339" si="9431">AO2339-AK2339</f>
        <v>600</v>
      </c>
      <c r="AV2339" t="str">
        <f t="shared" si="9329"/>
        <v>Seg.3.1 -Aterro 07 - Valeta Manual</v>
      </c>
      <c r="AW2339" s="4" t="str">
        <f t="shared" si="9327"/>
        <v xml:space="preserve">   Dreno Longitudinal Profo - DPS 03-B1- Seg.2.4 C 06</v>
      </c>
    </row>
    <row r="2340" spans="1:50" ht="15.6" customHeight="1" outlineLevel="2">
      <c r="A2340" s="8" t="str">
        <f t="shared" ref="A2340" si="9432">A2339</f>
        <v>N</v>
      </c>
      <c r="B2340" s="150"/>
      <c r="C2340" s="150" t="s">
        <v>2639</v>
      </c>
      <c r="D2340" s="120" t="s">
        <v>388</v>
      </c>
      <c r="E2340" s="893"/>
      <c r="F2340" s="902"/>
      <c r="G2340" s="528"/>
      <c r="H2340" s="549" t="s">
        <v>38</v>
      </c>
      <c r="I2340" s="711">
        <v>0</v>
      </c>
      <c r="J2340" s="897"/>
      <c r="K2340" s="528"/>
      <c r="L2340" s="549" t="s">
        <v>38</v>
      </c>
      <c r="M2340" s="711">
        <f t="shared" si="9407"/>
        <v>0</v>
      </c>
      <c r="N2340" s="897"/>
      <c r="O2340" s="528"/>
      <c r="P2340" s="548">
        <v>0</v>
      </c>
      <c r="Q2340" s="548">
        <v>0</v>
      </c>
      <c r="R2340" s="548">
        <v>0</v>
      </c>
      <c r="S2340" s="548">
        <v>0</v>
      </c>
      <c r="T2340" s="548">
        <v>0</v>
      </c>
      <c r="U2340" s="548">
        <v>0</v>
      </c>
      <c r="V2340" s="548">
        <v>0</v>
      </c>
      <c r="W2340" s="528"/>
      <c r="X2340" s="711">
        <f t="shared" si="9400"/>
        <v>0</v>
      </c>
      <c r="Y2340" s="897"/>
      <c r="Z2340" s="528"/>
      <c r="AA2340" s="899"/>
      <c r="AB2340" s="899"/>
      <c r="AC2340" s="904"/>
      <c r="AD2340" s="905"/>
      <c r="AE2340" s="2"/>
      <c r="AF2340" s="885"/>
      <c r="AG2340" s="885"/>
      <c r="AH2340" s="904"/>
      <c r="AI2340" s="885"/>
      <c r="AJ2340" s="885"/>
      <c r="AK2340" s="885"/>
      <c r="AL2340" s="885"/>
      <c r="AM2340" s="879"/>
      <c r="AN2340" s="2"/>
      <c r="AO2340" s="886"/>
      <c r="AP2340" s="886"/>
      <c r="AV2340" t="str">
        <f t="shared" si="9329"/>
        <v>Seg.3.1 -Aterro 07 - Valeta Manual</v>
      </c>
      <c r="AW2340" s="4" t="str">
        <f t="shared" si="9327"/>
        <v xml:space="preserve">   Dreno Longitudinal Profo - DPS 03-B1- Seg.2.4 C 06</v>
      </c>
    </row>
    <row r="2341" spans="1:50" ht="15.6" customHeight="1" outlineLevel="2">
      <c r="A2341" s="8" t="str">
        <f t="shared" ref="A2341" si="9433">IF(SUM(P2341:V2342)&gt;0,"S","N")</f>
        <v>N</v>
      </c>
      <c r="B2341" s="150">
        <v>1069970</v>
      </c>
      <c r="C2341" s="150" t="s">
        <v>2641</v>
      </c>
      <c r="D2341" s="120" t="s">
        <v>402</v>
      </c>
      <c r="E2341" s="892" t="s">
        <v>2642</v>
      </c>
      <c r="F2341" s="902" t="s">
        <v>52</v>
      </c>
      <c r="G2341" s="528"/>
      <c r="H2341" s="546" t="s">
        <v>37</v>
      </c>
      <c r="I2341" s="711">
        <v>0</v>
      </c>
      <c r="J2341" s="896" t="str">
        <f t="shared" ref="J2341" si="9434">IFERROR((I2342/I2341),"-")</f>
        <v>-</v>
      </c>
      <c r="K2341" s="528"/>
      <c r="L2341" s="546" t="s">
        <v>37</v>
      </c>
      <c r="M2341" s="711">
        <f t="shared" si="9407"/>
        <v>0</v>
      </c>
      <c r="N2341" s="896" t="str">
        <f t="shared" ref="N2341" si="9435">IFERROR((M2342/M2341),"-")</f>
        <v>-</v>
      </c>
      <c r="O2341" s="528"/>
      <c r="P2341" s="547">
        <v>0</v>
      </c>
      <c r="Q2341" s="547">
        <v>0</v>
      </c>
      <c r="R2341" s="547">
        <v>0</v>
      </c>
      <c r="S2341" s="547">
        <v>0</v>
      </c>
      <c r="T2341" s="547">
        <v>0</v>
      </c>
      <c r="U2341" s="547">
        <v>0</v>
      </c>
      <c r="V2341" s="548">
        <v>0</v>
      </c>
      <c r="W2341" s="528"/>
      <c r="X2341" s="711">
        <f t="shared" si="9400"/>
        <v>0</v>
      </c>
      <c r="Y2341" s="896" t="str">
        <f t="shared" ref="Y2341" si="9436">IFERROR((X2342/X2341),"-")</f>
        <v>-</v>
      </c>
      <c r="Z2341" s="528"/>
      <c r="AA2341" s="898">
        <v>0</v>
      </c>
      <c r="AB2341" s="898">
        <v>0</v>
      </c>
      <c r="AC2341" s="903">
        <v>0</v>
      </c>
      <c r="AD2341" s="896" t="str">
        <f t="shared" ref="AD2341" si="9437">IFERROR((AC2341/AA2341),"-")</f>
        <v>-</v>
      </c>
      <c r="AE2341" s="2"/>
      <c r="AF2341" s="884">
        <v>0</v>
      </c>
      <c r="AG2341" s="884"/>
      <c r="AH2341" s="903">
        <v>0</v>
      </c>
      <c r="AI2341" s="884"/>
      <c r="AJ2341" s="884"/>
      <c r="AK2341" s="884">
        <f t="shared" ref="AK2341" si="9438">AF2341+AG2341+AH2341+AI2341+AJ2341+AC2341</f>
        <v>0</v>
      </c>
      <c r="AL2341" s="884">
        <v>0</v>
      </c>
      <c r="AM2341" s="878" t="str">
        <f t="shared" ref="AM2341" si="9439">IFERROR((AK2341/AL2341),"-")</f>
        <v>-</v>
      </c>
      <c r="AN2341" s="2"/>
      <c r="AO2341" s="884">
        <v>525</v>
      </c>
      <c r="AP2341" s="884">
        <f t="shared" ref="AP2341" si="9440">AO2341-AK2341</f>
        <v>525</v>
      </c>
      <c r="AV2341" t="str">
        <f t="shared" si="9329"/>
        <v>Seg.3.1 -Aterro 07 - Valeta Manual</v>
      </c>
      <c r="AW2341" s="4" t="str">
        <f t="shared" si="9327"/>
        <v xml:space="preserve">   Dreno Longitudinal Profo - DPS 03-B1- Seg.2.4 C 08</v>
      </c>
    </row>
    <row r="2342" spans="1:50" ht="15.6" customHeight="1" outlineLevel="2" collapsed="1">
      <c r="A2342" s="8" t="str">
        <f t="shared" ref="A2342" si="9441">A2341</f>
        <v>N</v>
      </c>
      <c r="B2342" s="150"/>
      <c r="C2342" s="150" t="s">
        <v>2641</v>
      </c>
      <c r="D2342" s="120" t="s">
        <v>402</v>
      </c>
      <c r="E2342" s="893"/>
      <c r="F2342" s="902"/>
      <c r="G2342" s="528"/>
      <c r="H2342" s="549" t="s">
        <v>38</v>
      </c>
      <c r="I2342" s="711">
        <v>0</v>
      </c>
      <c r="J2342" s="897"/>
      <c r="K2342" s="528"/>
      <c r="L2342" s="549" t="s">
        <v>38</v>
      </c>
      <c r="M2342" s="711">
        <f t="shared" si="9407"/>
        <v>0</v>
      </c>
      <c r="N2342" s="897"/>
      <c r="O2342" s="528"/>
      <c r="P2342" s="548">
        <v>0</v>
      </c>
      <c r="Q2342" s="548">
        <v>0</v>
      </c>
      <c r="R2342" s="548">
        <v>0</v>
      </c>
      <c r="S2342" s="548">
        <v>0</v>
      </c>
      <c r="T2342" s="548">
        <v>0</v>
      </c>
      <c r="U2342" s="548">
        <v>0</v>
      </c>
      <c r="V2342" s="548">
        <v>0</v>
      </c>
      <c r="W2342" s="528"/>
      <c r="X2342" s="711">
        <f t="shared" si="9400"/>
        <v>0</v>
      </c>
      <c r="Y2342" s="897"/>
      <c r="Z2342" s="528"/>
      <c r="AA2342" s="899"/>
      <c r="AB2342" s="899"/>
      <c r="AC2342" s="904"/>
      <c r="AD2342" s="905"/>
      <c r="AE2342" s="2"/>
      <c r="AF2342" s="885"/>
      <c r="AG2342" s="885"/>
      <c r="AH2342" s="904"/>
      <c r="AI2342" s="885"/>
      <c r="AJ2342" s="885"/>
      <c r="AK2342" s="885"/>
      <c r="AL2342" s="885"/>
      <c r="AM2342" s="879"/>
      <c r="AN2342" s="2"/>
      <c r="AO2342" s="886"/>
      <c r="AP2342" s="886"/>
      <c r="AV2342" t="str">
        <f t="shared" si="9329"/>
        <v>Seg.3.1 -Aterro 07 - Valeta Manual</v>
      </c>
      <c r="AW2342" s="4" t="str">
        <f t="shared" si="9327"/>
        <v xml:space="preserve">   Dreno Longitudinal Profo - DPS 03-B1- Seg.2.4 C 08</v>
      </c>
    </row>
    <row r="2343" spans="1:50" ht="15.6" customHeight="1" outlineLevel="2">
      <c r="A2343" s="209">
        <v>0</v>
      </c>
      <c r="B2343" s="150"/>
      <c r="C2343" s="150">
        <v>0</v>
      </c>
      <c r="D2343" s="117"/>
      <c r="E2343" s="535"/>
      <c r="F2343" s="536"/>
      <c r="G2343" s="537"/>
      <c r="H2343" s="714"/>
      <c r="I2343" s="538"/>
      <c r="J2343" s="714"/>
      <c r="K2343" s="537"/>
      <c r="L2343" s="714"/>
      <c r="M2343" s="538"/>
      <c r="N2343" s="714"/>
      <c r="O2343" s="537"/>
      <c r="P2343" s="539"/>
      <c r="Q2343" s="539"/>
      <c r="R2343" s="539"/>
      <c r="S2343" s="539"/>
      <c r="T2343" s="539"/>
      <c r="U2343" s="539"/>
      <c r="V2343" s="539"/>
      <c r="W2343" s="537"/>
      <c r="X2343" s="540"/>
      <c r="Y2343" s="537"/>
      <c r="Z2343" s="537"/>
      <c r="AA2343" s="250"/>
      <c r="AB2343" s="250"/>
      <c r="AC2343" s="249"/>
      <c r="AD2343" s="537"/>
      <c r="AE2343" s="3"/>
      <c r="AF2343" s="36"/>
      <c r="AG2343" s="36"/>
      <c r="AH2343" s="36"/>
      <c r="AI2343" s="36"/>
      <c r="AJ2343" s="36"/>
      <c r="AK2343" s="36"/>
      <c r="AL2343" s="36"/>
      <c r="AM2343" s="3"/>
      <c r="AN2343" s="3"/>
      <c r="AO2343" s="36"/>
      <c r="AP2343" s="36"/>
      <c r="AV2343" t="str">
        <f t="shared" si="9329"/>
        <v>Seg.3.1 -Aterro 07 - Valeta Manual</v>
      </c>
      <c r="AW2343" s="4" t="str">
        <f t="shared" si="9327"/>
        <v xml:space="preserve">   Dreno Longitudinal Profo - DPS 03-B1- Seg.2.4 C 08</v>
      </c>
      <c r="AX2343" s="4"/>
    </row>
    <row r="2344" spans="1:50" ht="15.6" customHeight="1" outlineLevel="2">
      <c r="A2344" s="209">
        <v>0</v>
      </c>
      <c r="B2344" s="150"/>
      <c r="C2344" s="150"/>
      <c r="D2344" s="117"/>
      <c r="E2344" s="535"/>
      <c r="F2344" s="541"/>
      <c r="G2344" s="537"/>
      <c r="H2344" s="537"/>
      <c r="I2344" s="250"/>
      <c r="J2344" s="537"/>
      <c r="K2344" s="537"/>
      <c r="L2344" s="537"/>
      <c r="M2344" s="250"/>
      <c r="N2344" s="537"/>
      <c r="O2344" s="537"/>
      <c r="P2344" s="539"/>
      <c r="Q2344" s="539"/>
      <c r="R2344" s="539"/>
      <c r="S2344" s="539"/>
      <c r="T2344" s="539"/>
      <c r="U2344" s="539"/>
      <c r="V2344" s="539"/>
      <c r="W2344" s="537"/>
      <c r="X2344" s="540"/>
      <c r="Y2344" s="537"/>
      <c r="Z2344" s="537"/>
      <c r="AA2344" s="250"/>
      <c r="AB2344" s="250"/>
      <c r="AC2344" s="249"/>
      <c r="AD2344" s="537"/>
      <c r="AE2344" s="3"/>
      <c r="AF2344" s="36"/>
      <c r="AG2344" s="36"/>
      <c r="AH2344" s="36"/>
      <c r="AI2344" s="36"/>
      <c r="AJ2344" s="36"/>
      <c r="AK2344" s="36"/>
      <c r="AL2344" s="36"/>
      <c r="AM2344" s="3"/>
      <c r="AN2344" s="3"/>
      <c r="AO2344" s="36"/>
      <c r="AP2344" s="36"/>
      <c r="AV2344" t="str">
        <f t="shared" si="9329"/>
        <v>Seg.3.1 -Aterro 07 - Valeta Manual</v>
      </c>
      <c r="AW2344" s="4" t="str">
        <f t="shared" si="9327"/>
        <v xml:space="preserve">   Dreno Longitudinal Profo - DPS 03-B1- Seg.2.4 C 08</v>
      </c>
    </row>
    <row r="2345" spans="1:50" ht="15.6" customHeight="1" outlineLevel="2">
      <c r="A2345" s="209">
        <v>0</v>
      </c>
      <c r="B2345" s="150"/>
      <c r="C2345" s="150">
        <v>0</v>
      </c>
      <c r="D2345" s="122"/>
      <c r="E2345" s="913" t="s">
        <v>44</v>
      </c>
      <c r="F2345" s="859" t="s">
        <v>52</v>
      </c>
      <c r="G2345" s="528"/>
      <c r="H2345" s="542" t="s">
        <v>37</v>
      </c>
      <c r="I2345" s="543">
        <f>SUMIF($L2347:$L2356,$L2345,I2347:I2356)</f>
        <v>0</v>
      </c>
      <c r="J2345" s="860" t="str">
        <f>IFERROR((I2346/I2345),"-")</f>
        <v>-</v>
      </c>
      <c r="K2345" s="528"/>
      <c r="L2345" s="542" t="s">
        <v>37</v>
      </c>
      <c r="M2345" s="543">
        <f>SUMIF($L2347:$L2356,$L2345,M2347:M2356)</f>
        <v>0</v>
      </c>
      <c r="N2345" s="860" t="str">
        <f>IFERROR((M2346/M2345),"-")</f>
        <v>-</v>
      </c>
      <c r="O2345" s="528"/>
      <c r="P2345" s="543">
        <f t="shared" ref="P2345:U2345" si="9442">SUMIF($L2347:$L2356,$L2345,P2347:P2356)</f>
        <v>0</v>
      </c>
      <c r="Q2345" s="543">
        <f t="shared" si="9442"/>
        <v>0</v>
      </c>
      <c r="R2345" s="543">
        <f t="shared" si="9442"/>
        <v>0</v>
      </c>
      <c r="S2345" s="543">
        <f t="shared" si="9442"/>
        <v>0</v>
      </c>
      <c r="T2345" s="543">
        <f t="shared" si="9442"/>
        <v>0</v>
      </c>
      <c r="U2345" s="543">
        <f t="shared" si="9442"/>
        <v>0</v>
      </c>
      <c r="V2345" s="543"/>
      <c r="W2345" s="528"/>
      <c r="X2345" s="543">
        <f t="shared" ref="X2345:X2356" si="9443">SUMIFS(P2345:V2345,$P$8:$V$8,"&gt;="&amp;$P$8,$P$8:$V$8,"&lt;="&amp;$N$8)</f>
        <v>0</v>
      </c>
      <c r="Y2345" s="860" t="str">
        <f>IFERROR((X2346/X2345),"-")</f>
        <v>-</v>
      </c>
      <c r="Z2345" s="528"/>
      <c r="AA2345" s="814">
        <f>SUM(AA2347:AA2356)</f>
        <v>914.7</v>
      </c>
      <c r="AB2345" s="814">
        <f>SUM(AB2347:AB2356)</f>
        <v>226.01</v>
      </c>
      <c r="AC2345" s="814">
        <f>SUM(AC2347:AC2356)</f>
        <v>0</v>
      </c>
      <c r="AD2345" s="911">
        <f t="shared" ref="AD2345" si="9444">IFERROR((AC2345/AA2345),"-")</f>
        <v>0</v>
      </c>
      <c r="AE2345" s="2"/>
      <c r="AF2345" s="888">
        <f t="shared" ref="AF2345" si="9445">SUM(AF2347:AF2356)</f>
        <v>0</v>
      </c>
      <c r="AG2345" s="888">
        <f t="shared" ref="AG2345:AL2345" si="9446">SUM(AG2347:AG2356)</f>
        <v>0</v>
      </c>
      <c r="AH2345" s="888">
        <f t="shared" si="9446"/>
        <v>0</v>
      </c>
      <c r="AI2345" s="888">
        <f t="shared" si="9446"/>
        <v>0</v>
      </c>
      <c r="AJ2345" s="888"/>
      <c r="AK2345" s="888">
        <f t="shared" si="9446"/>
        <v>0</v>
      </c>
      <c r="AL2345" s="888">
        <f t="shared" si="9446"/>
        <v>226.01</v>
      </c>
      <c r="AM2345" s="743">
        <f>IFERROR((AK2345/AL2345),"-")</f>
        <v>0</v>
      </c>
      <c r="AN2345" s="2"/>
      <c r="AO2345" s="888">
        <f>SUM(AO2347:AO2356)</f>
        <v>7794.7</v>
      </c>
      <c r="AP2345" s="888">
        <f>SUM(AP2347:AP2356)</f>
        <v>7794.7</v>
      </c>
      <c r="AV2345" t="str">
        <f t="shared" si="9329"/>
        <v>Seg.3.1 -Aterro 07 - Valeta Manual</v>
      </c>
      <c r="AW2345" s="4" t="str">
        <f t="shared" si="9327"/>
        <v>Pacote 05 - Segmento 2.5 - 138+160 a 153+420</v>
      </c>
    </row>
    <row r="2346" spans="1:50" ht="15.6" customHeight="1" outlineLevel="2">
      <c r="A2346" s="209">
        <v>0</v>
      </c>
      <c r="B2346" s="150"/>
      <c r="C2346" s="150"/>
      <c r="D2346" s="123"/>
      <c r="E2346" s="913"/>
      <c r="F2346" s="859"/>
      <c r="G2346" s="528"/>
      <c r="H2346" s="544" t="s">
        <v>38</v>
      </c>
      <c r="I2346" s="543">
        <f>SUMIF($L2347:$L2356,$L2346,I2347:I2356)</f>
        <v>0</v>
      </c>
      <c r="J2346" s="861"/>
      <c r="K2346" s="528"/>
      <c r="L2346" s="544" t="s">
        <v>38</v>
      </c>
      <c r="M2346" s="543">
        <f>SUMIF($L2347:$L2356,$L2346,M2347:M2356)</f>
        <v>0</v>
      </c>
      <c r="N2346" s="861"/>
      <c r="O2346" s="528"/>
      <c r="P2346" s="543">
        <f t="shared" ref="P2346:U2346" si="9447">SUMIF($L2347:$L2356,$L2346,P2347:P2356)</f>
        <v>0</v>
      </c>
      <c r="Q2346" s="543">
        <f t="shared" si="9447"/>
        <v>0</v>
      </c>
      <c r="R2346" s="543">
        <f t="shared" si="9447"/>
        <v>0</v>
      </c>
      <c r="S2346" s="543">
        <f t="shared" si="9447"/>
        <v>0</v>
      </c>
      <c r="T2346" s="543">
        <f t="shared" si="9447"/>
        <v>0</v>
      </c>
      <c r="U2346" s="543">
        <f t="shared" si="9447"/>
        <v>0</v>
      </c>
      <c r="V2346" s="543"/>
      <c r="W2346" s="528"/>
      <c r="X2346" s="543">
        <f t="shared" si="9443"/>
        <v>0</v>
      </c>
      <c r="Y2346" s="861"/>
      <c r="Z2346" s="528"/>
      <c r="AA2346" s="815"/>
      <c r="AB2346" s="815"/>
      <c r="AC2346" s="815"/>
      <c r="AD2346" s="912"/>
      <c r="AE2346" s="2"/>
      <c r="AF2346" s="889"/>
      <c r="AG2346" s="889"/>
      <c r="AH2346" s="889"/>
      <c r="AI2346" s="889"/>
      <c r="AJ2346" s="889"/>
      <c r="AK2346" s="889"/>
      <c r="AL2346" s="889"/>
      <c r="AM2346" s="744"/>
      <c r="AN2346" s="2"/>
      <c r="AO2346" s="889"/>
      <c r="AP2346" s="889"/>
      <c r="AV2346" t="str">
        <f t="shared" si="9329"/>
        <v>Seg.3.1 -Aterro 07 - Valeta Manual</v>
      </c>
      <c r="AW2346" s="4" t="str">
        <f t="shared" si="9327"/>
        <v>Pacote 05 - Segmento 2.5 - 138+160 a 153+420</v>
      </c>
    </row>
    <row r="2347" spans="1:50" ht="15.6" customHeight="1" outlineLevel="2">
      <c r="A2347" s="8" t="str">
        <f t="shared" ref="A2347" si="9448">IF(SUM(P2347:V2348)&gt;0,"S","N")</f>
        <v>N</v>
      </c>
      <c r="B2347" s="150">
        <v>1067798</v>
      </c>
      <c r="C2347" s="150" t="s">
        <v>2643</v>
      </c>
      <c r="D2347" s="120" t="s">
        <v>463</v>
      </c>
      <c r="E2347" s="892" t="s">
        <v>2644</v>
      </c>
      <c r="F2347" s="902" t="s">
        <v>52</v>
      </c>
      <c r="G2347" s="528"/>
      <c r="H2347" s="546" t="s">
        <v>37</v>
      </c>
      <c r="I2347" s="711">
        <v>0</v>
      </c>
      <c r="J2347" s="896" t="str">
        <f t="shared" ref="J2347" si="9449">IFERROR((I2348/I2347),"-")</f>
        <v>-</v>
      </c>
      <c r="K2347" s="528"/>
      <c r="L2347" s="546" t="s">
        <v>37</v>
      </c>
      <c r="M2347" s="711">
        <f t="shared" ref="M2347:M2356" si="9450">_xlfn.XLOOKUP($N$8,$P$8:$V$8,$P2347:$V2347)</f>
        <v>0</v>
      </c>
      <c r="N2347" s="896" t="str">
        <f t="shared" ref="N2347" si="9451">IFERROR((M2348/M2347),"-")</f>
        <v>-</v>
      </c>
      <c r="O2347" s="528"/>
      <c r="P2347" s="547">
        <v>0</v>
      </c>
      <c r="Q2347" s="547">
        <v>0</v>
      </c>
      <c r="R2347" s="547">
        <v>0</v>
      </c>
      <c r="S2347" s="547">
        <v>0</v>
      </c>
      <c r="T2347" s="547">
        <v>0</v>
      </c>
      <c r="U2347" s="547">
        <v>0</v>
      </c>
      <c r="V2347" s="548">
        <v>0</v>
      </c>
      <c r="W2347" s="528"/>
      <c r="X2347" s="711">
        <f t="shared" si="9443"/>
        <v>0</v>
      </c>
      <c r="Y2347" s="896" t="str">
        <f t="shared" ref="Y2347" si="9452">IFERROR((X2348/X2347),"-")</f>
        <v>-</v>
      </c>
      <c r="Z2347" s="528"/>
      <c r="AA2347" s="898">
        <v>914.7</v>
      </c>
      <c r="AB2347" s="898">
        <v>226.01</v>
      </c>
      <c r="AC2347" s="903">
        <v>0</v>
      </c>
      <c r="AD2347" s="896">
        <f t="shared" ref="AD2347" si="9453">IFERROR((AC2347/AA2347),"-")</f>
        <v>0</v>
      </c>
      <c r="AE2347" s="2"/>
      <c r="AF2347" s="884">
        <v>0</v>
      </c>
      <c r="AG2347" s="884"/>
      <c r="AH2347" s="903">
        <v>0</v>
      </c>
      <c r="AI2347" s="884"/>
      <c r="AJ2347" s="884"/>
      <c r="AK2347" s="884">
        <f t="shared" ref="AK2347" si="9454">AF2347+AG2347+AH2347+AI2347+AJ2347+AC2347</f>
        <v>0</v>
      </c>
      <c r="AL2347" s="884">
        <v>226.01</v>
      </c>
      <c r="AM2347" s="878">
        <f t="shared" ref="AM2347" si="9455">IFERROR((AK2347/AL2347),"-")</f>
        <v>0</v>
      </c>
      <c r="AN2347" s="2"/>
      <c r="AO2347" s="884">
        <v>914.7</v>
      </c>
      <c r="AP2347" s="884">
        <f t="shared" ref="AP2347" si="9456">AO2347-AK2347</f>
        <v>914.7</v>
      </c>
      <c r="AV2347" t="str">
        <f t="shared" si="9329"/>
        <v>Seg.3.1 -Aterro 07 - Valeta Manual</v>
      </c>
      <c r="AW2347" s="4" t="str">
        <f t="shared" si="9327"/>
        <v xml:space="preserve">   Dreno Longitudinal Profo - DPS 03-B1- Seg.2.5 C 01</v>
      </c>
    </row>
    <row r="2348" spans="1:50" ht="15.6" customHeight="1" outlineLevel="2">
      <c r="A2348" s="8" t="str">
        <f t="shared" ref="A2348" si="9457">A2347</f>
        <v>N</v>
      </c>
      <c r="B2348" s="150"/>
      <c r="C2348" s="150" t="s">
        <v>2643</v>
      </c>
      <c r="D2348" s="120" t="s">
        <v>463</v>
      </c>
      <c r="E2348" s="893"/>
      <c r="F2348" s="902"/>
      <c r="G2348" s="528"/>
      <c r="H2348" s="549" t="s">
        <v>38</v>
      </c>
      <c r="I2348" s="711">
        <v>0</v>
      </c>
      <c r="J2348" s="897"/>
      <c r="K2348" s="528"/>
      <c r="L2348" s="549" t="s">
        <v>38</v>
      </c>
      <c r="M2348" s="711">
        <f t="shared" si="9450"/>
        <v>0</v>
      </c>
      <c r="N2348" s="897"/>
      <c r="O2348" s="528"/>
      <c r="P2348" s="548">
        <v>0</v>
      </c>
      <c r="Q2348" s="548">
        <v>0</v>
      </c>
      <c r="R2348" s="548">
        <v>0</v>
      </c>
      <c r="S2348" s="548">
        <v>0</v>
      </c>
      <c r="T2348" s="548">
        <v>0</v>
      </c>
      <c r="U2348" s="548">
        <v>0</v>
      </c>
      <c r="V2348" s="548">
        <v>0</v>
      </c>
      <c r="W2348" s="528"/>
      <c r="X2348" s="711">
        <f t="shared" si="9443"/>
        <v>0</v>
      </c>
      <c r="Y2348" s="897"/>
      <c r="Z2348" s="528"/>
      <c r="AA2348" s="899"/>
      <c r="AB2348" s="899"/>
      <c r="AC2348" s="904"/>
      <c r="AD2348" s="905"/>
      <c r="AE2348" s="2"/>
      <c r="AF2348" s="885"/>
      <c r="AG2348" s="885"/>
      <c r="AH2348" s="904"/>
      <c r="AI2348" s="885"/>
      <c r="AJ2348" s="885"/>
      <c r="AK2348" s="885"/>
      <c r="AL2348" s="885"/>
      <c r="AM2348" s="879"/>
      <c r="AN2348" s="2"/>
      <c r="AO2348" s="886"/>
      <c r="AP2348" s="886"/>
      <c r="AV2348" t="str">
        <f t="shared" si="9329"/>
        <v>Seg.3.1 -Aterro 07 - Valeta Manual</v>
      </c>
      <c r="AW2348" s="4" t="str">
        <f t="shared" si="9327"/>
        <v xml:space="preserve">   Dreno Longitudinal Profo - DPS 03-B1- Seg.2.5 C 01</v>
      </c>
    </row>
    <row r="2349" spans="1:50" ht="15.6" customHeight="1" outlineLevel="2">
      <c r="A2349" s="8" t="str">
        <f t="shared" ref="A2349" si="9458">IF(SUM(P2349:V2350)&gt;0,"S","N")</f>
        <v>N</v>
      </c>
      <c r="B2349" s="150">
        <v>1067799</v>
      </c>
      <c r="C2349" s="150" t="s">
        <v>2645</v>
      </c>
      <c r="D2349" s="120" t="s">
        <v>472</v>
      </c>
      <c r="E2349" s="892" t="s">
        <v>2646</v>
      </c>
      <c r="F2349" s="902" t="s">
        <v>52</v>
      </c>
      <c r="G2349" s="528"/>
      <c r="H2349" s="546" t="s">
        <v>37</v>
      </c>
      <c r="I2349" s="711">
        <v>0</v>
      </c>
      <c r="J2349" s="896" t="str">
        <f t="shared" ref="J2349" si="9459">IFERROR((I2350/I2349),"-")</f>
        <v>-</v>
      </c>
      <c r="K2349" s="528"/>
      <c r="L2349" s="546" t="s">
        <v>37</v>
      </c>
      <c r="M2349" s="711">
        <f t="shared" si="9450"/>
        <v>0</v>
      </c>
      <c r="N2349" s="896" t="str">
        <f t="shared" ref="N2349" si="9460">IFERROR((M2350/M2349),"-")</f>
        <v>-</v>
      </c>
      <c r="O2349" s="528"/>
      <c r="P2349" s="547">
        <v>0</v>
      </c>
      <c r="Q2349" s="547">
        <v>0</v>
      </c>
      <c r="R2349" s="547">
        <v>0</v>
      </c>
      <c r="S2349" s="547">
        <v>0</v>
      </c>
      <c r="T2349" s="547">
        <v>0</v>
      </c>
      <c r="U2349" s="547">
        <v>0</v>
      </c>
      <c r="V2349" s="548">
        <v>0</v>
      </c>
      <c r="W2349" s="528"/>
      <c r="X2349" s="711">
        <f t="shared" si="9443"/>
        <v>0</v>
      </c>
      <c r="Y2349" s="896" t="str">
        <f t="shared" ref="Y2349" si="9461">IFERROR((X2350/X2349),"-")</f>
        <v>-</v>
      </c>
      <c r="Z2349" s="528"/>
      <c r="AA2349" s="898">
        <v>0</v>
      </c>
      <c r="AB2349" s="898">
        <v>0</v>
      </c>
      <c r="AC2349" s="903">
        <v>0</v>
      </c>
      <c r="AD2349" s="896" t="str">
        <f t="shared" ref="AD2349" si="9462">IFERROR((AC2349/AA2349),"-")</f>
        <v>-</v>
      </c>
      <c r="AE2349" s="2"/>
      <c r="AF2349" s="884">
        <v>0</v>
      </c>
      <c r="AG2349" s="884"/>
      <c r="AH2349" s="903">
        <v>0</v>
      </c>
      <c r="AI2349" s="884"/>
      <c r="AJ2349" s="884"/>
      <c r="AK2349" s="884">
        <f t="shared" ref="AK2349" si="9463">AF2349+AG2349+AH2349+AI2349+AJ2349+AC2349</f>
        <v>0</v>
      </c>
      <c r="AL2349" s="884">
        <v>0</v>
      </c>
      <c r="AM2349" s="878" t="str">
        <f t="shared" ref="AM2349" si="9464">IFERROR((AK2349/AL2349),"-")</f>
        <v>-</v>
      </c>
      <c r="AN2349" s="2"/>
      <c r="AO2349" s="884">
        <v>830</v>
      </c>
      <c r="AP2349" s="884">
        <f t="shared" ref="AP2349" si="9465">AO2349-AK2349</f>
        <v>830</v>
      </c>
      <c r="AV2349" t="str">
        <f t="shared" si="9329"/>
        <v>Seg.3.1 -Aterro 07 - Valeta Manual</v>
      </c>
      <c r="AW2349" s="4" t="str">
        <f t="shared" si="9327"/>
        <v xml:space="preserve">   Dreno Longitudinal Profo - DPS 03-B1 Seg.2.5 C 04</v>
      </c>
      <c r="AX2349" s="4"/>
    </row>
    <row r="2350" spans="1:50" ht="15.6" customHeight="1" outlineLevel="2">
      <c r="A2350" s="8" t="str">
        <f t="shared" ref="A2350" si="9466">A2349</f>
        <v>N</v>
      </c>
      <c r="B2350" s="150"/>
      <c r="C2350" s="150" t="s">
        <v>2645</v>
      </c>
      <c r="D2350" s="120" t="s">
        <v>472</v>
      </c>
      <c r="E2350" s="893"/>
      <c r="F2350" s="902"/>
      <c r="G2350" s="528"/>
      <c r="H2350" s="549" t="s">
        <v>38</v>
      </c>
      <c r="I2350" s="711">
        <v>0</v>
      </c>
      <c r="J2350" s="897"/>
      <c r="K2350" s="528"/>
      <c r="L2350" s="549" t="s">
        <v>38</v>
      </c>
      <c r="M2350" s="711">
        <f t="shared" si="9450"/>
        <v>0</v>
      </c>
      <c r="N2350" s="897"/>
      <c r="O2350" s="528"/>
      <c r="P2350" s="548">
        <v>0</v>
      </c>
      <c r="Q2350" s="548">
        <v>0</v>
      </c>
      <c r="R2350" s="548">
        <v>0</v>
      </c>
      <c r="S2350" s="548">
        <v>0</v>
      </c>
      <c r="T2350" s="548">
        <v>0</v>
      </c>
      <c r="U2350" s="548">
        <v>0</v>
      </c>
      <c r="V2350" s="548">
        <v>0</v>
      </c>
      <c r="W2350" s="528"/>
      <c r="X2350" s="711">
        <f t="shared" si="9443"/>
        <v>0</v>
      </c>
      <c r="Y2350" s="897"/>
      <c r="Z2350" s="528"/>
      <c r="AA2350" s="899"/>
      <c r="AB2350" s="899"/>
      <c r="AC2350" s="904"/>
      <c r="AD2350" s="905"/>
      <c r="AE2350" s="2"/>
      <c r="AF2350" s="885"/>
      <c r="AG2350" s="885"/>
      <c r="AH2350" s="904"/>
      <c r="AI2350" s="885"/>
      <c r="AJ2350" s="885"/>
      <c r="AK2350" s="885"/>
      <c r="AL2350" s="885"/>
      <c r="AM2350" s="879"/>
      <c r="AN2350" s="2"/>
      <c r="AO2350" s="886"/>
      <c r="AP2350" s="886"/>
      <c r="AV2350" t="str">
        <f t="shared" si="9329"/>
        <v>Seg.3.1 -Aterro 07 - Valeta Manual</v>
      </c>
      <c r="AW2350" s="4" t="str">
        <f t="shared" si="9327"/>
        <v xml:space="preserve">   Dreno Longitudinal Profo - DPS 03-B1 Seg.2.5 C 04</v>
      </c>
    </row>
    <row r="2351" spans="1:50" ht="15.6" customHeight="1" outlineLevel="2">
      <c r="A2351" s="8" t="str">
        <f t="shared" ref="A2351" si="9467">IF(SUM(P2351:V2352)&gt;0,"S","N")</f>
        <v>N</v>
      </c>
      <c r="B2351" s="150">
        <v>1067800</v>
      </c>
      <c r="C2351" s="150" t="s">
        <v>2647</v>
      </c>
      <c r="D2351" s="120" t="s">
        <v>475</v>
      </c>
      <c r="E2351" s="892" t="s">
        <v>2648</v>
      </c>
      <c r="F2351" s="902" t="s">
        <v>52</v>
      </c>
      <c r="G2351" s="528"/>
      <c r="H2351" s="546" t="s">
        <v>37</v>
      </c>
      <c r="I2351" s="711">
        <v>0</v>
      </c>
      <c r="J2351" s="896" t="str">
        <f t="shared" ref="J2351" si="9468">IFERROR((I2352/I2351),"-")</f>
        <v>-</v>
      </c>
      <c r="K2351" s="528"/>
      <c r="L2351" s="546" t="s">
        <v>37</v>
      </c>
      <c r="M2351" s="711">
        <f t="shared" si="9450"/>
        <v>0</v>
      </c>
      <c r="N2351" s="896" t="str">
        <f t="shared" ref="N2351" si="9469">IFERROR((M2352/M2351),"-")</f>
        <v>-</v>
      </c>
      <c r="O2351" s="528"/>
      <c r="P2351" s="547">
        <v>0</v>
      </c>
      <c r="Q2351" s="547">
        <v>0</v>
      </c>
      <c r="R2351" s="547">
        <v>0</v>
      </c>
      <c r="S2351" s="547">
        <v>0</v>
      </c>
      <c r="T2351" s="547">
        <v>0</v>
      </c>
      <c r="U2351" s="547">
        <v>0</v>
      </c>
      <c r="V2351" s="548">
        <v>0</v>
      </c>
      <c r="W2351" s="528"/>
      <c r="X2351" s="711">
        <f t="shared" si="9443"/>
        <v>0</v>
      </c>
      <c r="Y2351" s="896" t="str">
        <f t="shared" ref="Y2351" si="9470">IFERROR((X2352/X2351),"-")</f>
        <v>-</v>
      </c>
      <c r="Z2351" s="528"/>
      <c r="AA2351" s="898">
        <v>0</v>
      </c>
      <c r="AB2351" s="898">
        <v>0</v>
      </c>
      <c r="AC2351" s="903">
        <v>0</v>
      </c>
      <c r="AD2351" s="896" t="str">
        <f t="shared" ref="AD2351" si="9471">IFERROR((AC2351/AA2351),"-")</f>
        <v>-</v>
      </c>
      <c r="AE2351" s="2"/>
      <c r="AF2351" s="884">
        <v>0</v>
      </c>
      <c r="AG2351" s="884"/>
      <c r="AH2351" s="903">
        <v>0</v>
      </c>
      <c r="AI2351" s="884"/>
      <c r="AJ2351" s="884"/>
      <c r="AK2351" s="884">
        <f t="shared" ref="AK2351" si="9472">AF2351+AG2351+AH2351+AI2351+AJ2351+AC2351</f>
        <v>0</v>
      </c>
      <c r="AL2351" s="884">
        <v>0</v>
      </c>
      <c r="AM2351" s="878" t="str">
        <f t="shared" ref="AM2351" si="9473">IFERROR((AK2351/AL2351),"-")</f>
        <v>-</v>
      </c>
      <c r="AN2351" s="2"/>
      <c r="AO2351" s="884">
        <v>560</v>
      </c>
      <c r="AP2351" s="884">
        <f t="shared" ref="AP2351" si="9474">AO2351-AK2351</f>
        <v>560</v>
      </c>
      <c r="AV2351" t="str">
        <f t="shared" si="9329"/>
        <v>Seg.3.1 -Aterro 07 - Valeta Manual</v>
      </c>
      <c r="AW2351" s="4" t="str">
        <f t="shared" si="9327"/>
        <v xml:space="preserve">   Dreno Longitudinal Profo - DPS 03-B1- Seg.2.5 C 05</v>
      </c>
    </row>
    <row r="2352" spans="1:50" ht="15.6" customHeight="1" outlineLevel="2">
      <c r="A2352" s="8" t="str">
        <f t="shared" ref="A2352" si="9475">A2351</f>
        <v>N</v>
      </c>
      <c r="B2352" s="150"/>
      <c r="C2352" s="150" t="s">
        <v>2647</v>
      </c>
      <c r="D2352" s="120" t="s">
        <v>475</v>
      </c>
      <c r="E2352" s="893"/>
      <c r="F2352" s="902"/>
      <c r="G2352" s="528"/>
      <c r="H2352" s="549" t="s">
        <v>38</v>
      </c>
      <c r="I2352" s="711">
        <v>0</v>
      </c>
      <c r="J2352" s="897"/>
      <c r="K2352" s="528"/>
      <c r="L2352" s="549" t="s">
        <v>38</v>
      </c>
      <c r="M2352" s="711">
        <f t="shared" si="9450"/>
        <v>0</v>
      </c>
      <c r="N2352" s="897"/>
      <c r="O2352" s="528"/>
      <c r="P2352" s="548">
        <v>0</v>
      </c>
      <c r="Q2352" s="548">
        <v>0</v>
      </c>
      <c r="R2352" s="548">
        <v>0</v>
      </c>
      <c r="S2352" s="548">
        <v>0</v>
      </c>
      <c r="T2352" s="548">
        <v>0</v>
      </c>
      <c r="U2352" s="548">
        <v>0</v>
      </c>
      <c r="V2352" s="548">
        <v>0</v>
      </c>
      <c r="W2352" s="528"/>
      <c r="X2352" s="711">
        <f t="shared" si="9443"/>
        <v>0</v>
      </c>
      <c r="Y2352" s="897"/>
      <c r="Z2352" s="528"/>
      <c r="AA2352" s="899"/>
      <c r="AB2352" s="899"/>
      <c r="AC2352" s="904"/>
      <c r="AD2352" s="905"/>
      <c r="AE2352" s="2"/>
      <c r="AF2352" s="885"/>
      <c r="AG2352" s="885"/>
      <c r="AH2352" s="904"/>
      <c r="AI2352" s="885"/>
      <c r="AJ2352" s="885"/>
      <c r="AK2352" s="885"/>
      <c r="AL2352" s="885"/>
      <c r="AM2352" s="879"/>
      <c r="AN2352" s="2"/>
      <c r="AO2352" s="886"/>
      <c r="AP2352" s="886"/>
      <c r="AV2352" t="str">
        <f t="shared" si="9329"/>
        <v>Seg.3.1 -Aterro 07 - Valeta Manual</v>
      </c>
      <c r="AW2352" s="4" t="str">
        <f t="shared" si="9327"/>
        <v xml:space="preserve">   Dreno Longitudinal Profo - DPS 03-B1- Seg.2.5 C 05</v>
      </c>
    </row>
    <row r="2353" spans="1:50" ht="15.6" customHeight="1" outlineLevel="2">
      <c r="A2353" s="8" t="str">
        <f t="shared" ref="A2353" si="9476">IF(SUM(P2353:V2354)&gt;0,"S","N")</f>
        <v>N</v>
      </c>
      <c r="B2353" s="150">
        <v>1067801</v>
      </c>
      <c r="C2353" s="150" t="s">
        <v>2649</v>
      </c>
      <c r="D2353" s="120" t="s">
        <v>481</v>
      </c>
      <c r="E2353" s="892" t="s">
        <v>2650</v>
      </c>
      <c r="F2353" s="902" t="s">
        <v>52</v>
      </c>
      <c r="G2353" s="528"/>
      <c r="H2353" s="546" t="s">
        <v>37</v>
      </c>
      <c r="I2353" s="711">
        <v>0</v>
      </c>
      <c r="J2353" s="896" t="str">
        <f t="shared" ref="J2353" si="9477">IFERROR((I2354/I2353),"-")</f>
        <v>-</v>
      </c>
      <c r="K2353" s="528"/>
      <c r="L2353" s="546" t="s">
        <v>37</v>
      </c>
      <c r="M2353" s="711">
        <f t="shared" si="9450"/>
        <v>0</v>
      </c>
      <c r="N2353" s="896" t="str">
        <f t="shared" ref="N2353" si="9478">IFERROR((M2354/M2353),"-")</f>
        <v>-</v>
      </c>
      <c r="O2353" s="528"/>
      <c r="P2353" s="547">
        <v>0</v>
      </c>
      <c r="Q2353" s="547">
        <v>0</v>
      </c>
      <c r="R2353" s="547">
        <v>0</v>
      </c>
      <c r="S2353" s="547">
        <v>0</v>
      </c>
      <c r="T2353" s="547">
        <v>0</v>
      </c>
      <c r="U2353" s="547">
        <v>0</v>
      </c>
      <c r="V2353" s="548">
        <v>0</v>
      </c>
      <c r="W2353" s="528"/>
      <c r="X2353" s="711">
        <f t="shared" si="9443"/>
        <v>0</v>
      </c>
      <c r="Y2353" s="896" t="str">
        <f t="shared" ref="Y2353" si="9479">IFERROR((X2354/X2353),"-")</f>
        <v>-</v>
      </c>
      <c r="Z2353" s="528"/>
      <c r="AA2353" s="898">
        <v>0</v>
      </c>
      <c r="AB2353" s="898">
        <v>0</v>
      </c>
      <c r="AC2353" s="903">
        <v>0</v>
      </c>
      <c r="AD2353" s="896" t="str">
        <f t="shared" ref="AD2353" si="9480">IFERROR((AC2353/AA2353),"-")</f>
        <v>-</v>
      </c>
      <c r="AE2353" s="2"/>
      <c r="AF2353" s="884">
        <v>0</v>
      </c>
      <c r="AG2353" s="884"/>
      <c r="AH2353" s="903">
        <v>0</v>
      </c>
      <c r="AI2353" s="884"/>
      <c r="AJ2353" s="884"/>
      <c r="AK2353" s="884">
        <f t="shared" ref="AK2353" si="9481">AF2353+AG2353+AH2353+AI2353+AJ2353+AC2353</f>
        <v>0</v>
      </c>
      <c r="AL2353" s="884">
        <v>0</v>
      </c>
      <c r="AM2353" s="878" t="str">
        <f t="shared" ref="AM2353" si="9482">IFERROR((AK2353/AL2353),"-")</f>
        <v>-</v>
      </c>
      <c r="AN2353" s="2"/>
      <c r="AO2353" s="884">
        <v>960</v>
      </c>
      <c r="AP2353" s="884">
        <f t="shared" ref="AP2353" si="9483">AO2353-AK2353</f>
        <v>960</v>
      </c>
      <c r="AV2353" t="str">
        <f t="shared" si="9329"/>
        <v>Seg.3.1 -Aterro 07 - Valeta Manual</v>
      </c>
      <c r="AW2353" s="4" t="str">
        <f t="shared" si="9327"/>
        <v xml:space="preserve">   Dreno Longitudinal Profo - DPS 03-B1- Seg.2.5 C 08</v>
      </c>
    </row>
    <row r="2354" spans="1:50" ht="15.6" customHeight="1" outlineLevel="2">
      <c r="A2354" s="8" t="str">
        <f t="shared" ref="A2354" si="9484">A2353</f>
        <v>N</v>
      </c>
      <c r="B2354" s="150"/>
      <c r="C2354" s="150" t="s">
        <v>2649</v>
      </c>
      <c r="D2354" s="120" t="s">
        <v>481</v>
      </c>
      <c r="E2354" s="893"/>
      <c r="F2354" s="902"/>
      <c r="G2354" s="528"/>
      <c r="H2354" s="549" t="s">
        <v>38</v>
      </c>
      <c r="I2354" s="711">
        <v>0</v>
      </c>
      <c r="J2354" s="897"/>
      <c r="K2354" s="528"/>
      <c r="L2354" s="549" t="s">
        <v>38</v>
      </c>
      <c r="M2354" s="711">
        <f t="shared" si="9450"/>
        <v>0</v>
      </c>
      <c r="N2354" s="897"/>
      <c r="O2354" s="528"/>
      <c r="P2354" s="548">
        <v>0</v>
      </c>
      <c r="Q2354" s="548">
        <v>0</v>
      </c>
      <c r="R2354" s="548">
        <v>0</v>
      </c>
      <c r="S2354" s="548">
        <v>0</v>
      </c>
      <c r="T2354" s="548">
        <v>0</v>
      </c>
      <c r="U2354" s="548">
        <v>0</v>
      </c>
      <c r="V2354" s="548">
        <v>0</v>
      </c>
      <c r="W2354" s="528"/>
      <c r="X2354" s="711">
        <f t="shared" si="9443"/>
        <v>0</v>
      </c>
      <c r="Y2354" s="897"/>
      <c r="Z2354" s="528"/>
      <c r="AA2354" s="899"/>
      <c r="AB2354" s="899"/>
      <c r="AC2354" s="904"/>
      <c r="AD2354" s="905"/>
      <c r="AE2354" s="2"/>
      <c r="AF2354" s="885"/>
      <c r="AG2354" s="885"/>
      <c r="AH2354" s="904"/>
      <c r="AI2354" s="885"/>
      <c r="AJ2354" s="885"/>
      <c r="AK2354" s="885"/>
      <c r="AL2354" s="885"/>
      <c r="AM2354" s="879"/>
      <c r="AN2354" s="2"/>
      <c r="AO2354" s="886"/>
      <c r="AP2354" s="886"/>
      <c r="AV2354" t="str">
        <f t="shared" si="9329"/>
        <v>Seg.3.1 -Aterro 07 - Valeta Manual</v>
      </c>
      <c r="AW2354" s="4" t="str">
        <f t="shared" si="9327"/>
        <v xml:space="preserve">   Dreno Longitudinal Profo - DPS 03-B1- Seg.2.5 C 08</v>
      </c>
    </row>
    <row r="2355" spans="1:50" ht="19.899999999999999" customHeight="1" outlineLevel="2">
      <c r="A2355" s="8" t="str">
        <f t="shared" ref="A2355" si="9485">IF(SUM(P2355:V2356)&gt;0,"S","N")</f>
        <v>N</v>
      </c>
      <c r="B2355" s="150">
        <v>1067802</v>
      </c>
      <c r="C2355" s="150" t="s">
        <v>2651</v>
      </c>
      <c r="D2355" s="120" t="s">
        <v>502</v>
      </c>
      <c r="E2355" s="892" t="s">
        <v>2652</v>
      </c>
      <c r="F2355" s="902" t="s">
        <v>52</v>
      </c>
      <c r="G2355" s="528"/>
      <c r="H2355" s="546" t="s">
        <v>37</v>
      </c>
      <c r="I2355" s="711">
        <v>0</v>
      </c>
      <c r="J2355" s="896" t="str">
        <f t="shared" ref="J2355" si="9486">IFERROR((I2356/I2355),"-")</f>
        <v>-</v>
      </c>
      <c r="K2355" s="528"/>
      <c r="L2355" s="546" t="s">
        <v>37</v>
      </c>
      <c r="M2355" s="711">
        <f t="shared" si="9450"/>
        <v>0</v>
      </c>
      <c r="N2355" s="896" t="str">
        <f t="shared" ref="N2355" si="9487">IFERROR((M2356/M2355),"-")</f>
        <v>-</v>
      </c>
      <c r="O2355" s="528"/>
      <c r="P2355" s="547">
        <v>0</v>
      </c>
      <c r="Q2355" s="547">
        <v>0</v>
      </c>
      <c r="R2355" s="547">
        <v>0</v>
      </c>
      <c r="S2355" s="547">
        <v>0</v>
      </c>
      <c r="T2355" s="547">
        <v>0</v>
      </c>
      <c r="U2355" s="547">
        <v>0</v>
      </c>
      <c r="V2355" s="548">
        <v>0</v>
      </c>
      <c r="W2355" s="528"/>
      <c r="X2355" s="711">
        <f t="shared" si="9443"/>
        <v>0</v>
      </c>
      <c r="Y2355" s="896" t="str">
        <f t="shared" ref="Y2355" si="9488">IFERROR((X2356/X2355),"-")</f>
        <v>-</v>
      </c>
      <c r="Z2355" s="528"/>
      <c r="AA2355" s="898">
        <v>0</v>
      </c>
      <c r="AB2355" s="898">
        <v>0</v>
      </c>
      <c r="AC2355" s="903">
        <v>0</v>
      </c>
      <c r="AD2355" s="896" t="str">
        <f t="shared" ref="AD2355" si="9489">IFERROR((AC2355/AA2355),"-")</f>
        <v>-</v>
      </c>
      <c r="AE2355" s="2"/>
      <c r="AF2355" s="884">
        <v>0</v>
      </c>
      <c r="AG2355" s="884"/>
      <c r="AH2355" s="903">
        <v>0</v>
      </c>
      <c r="AI2355" s="884"/>
      <c r="AJ2355" s="884"/>
      <c r="AK2355" s="884">
        <f t="shared" ref="AK2355" si="9490">AF2355+AG2355+AH2355+AI2355+AJ2355+AC2355</f>
        <v>0</v>
      </c>
      <c r="AL2355" s="884">
        <v>0</v>
      </c>
      <c r="AM2355" s="878" t="str">
        <f t="shared" ref="AM2355" si="9491">IFERROR((AK2355/AL2355),"-")</f>
        <v>-</v>
      </c>
      <c r="AN2355" s="2"/>
      <c r="AO2355" s="884">
        <v>4530</v>
      </c>
      <c r="AP2355" s="884">
        <f t="shared" ref="AP2355" si="9492">AO2355-AK2355</f>
        <v>4530</v>
      </c>
      <c r="AV2355" s="4" t="str">
        <f t="shared" si="9329"/>
        <v>Seg.3.1 -Aterro 07 - Valeta Manual</v>
      </c>
      <c r="AW2355" s="4" t="str">
        <f t="shared" si="9327"/>
        <v xml:space="preserve">   Dreno Longitudinal Profo - DPS 03-B1- Seg.2.5 C 09_Plataforma</v>
      </c>
      <c r="AX2355" s="4"/>
    </row>
    <row r="2356" spans="1:50" ht="19.899999999999999" customHeight="1" outlineLevel="2">
      <c r="A2356" s="8" t="str">
        <f t="shared" ref="A2356" si="9493">A2355</f>
        <v>N</v>
      </c>
      <c r="B2356" s="150"/>
      <c r="C2356" s="150"/>
      <c r="D2356" s="120"/>
      <c r="E2356" s="893"/>
      <c r="F2356" s="902"/>
      <c r="G2356" s="528"/>
      <c r="H2356" s="549" t="s">
        <v>38</v>
      </c>
      <c r="I2356" s="711">
        <v>0</v>
      </c>
      <c r="J2356" s="897"/>
      <c r="K2356" s="528"/>
      <c r="L2356" s="549" t="s">
        <v>38</v>
      </c>
      <c r="M2356" s="711">
        <f t="shared" si="9450"/>
        <v>0</v>
      </c>
      <c r="N2356" s="897"/>
      <c r="O2356" s="528"/>
      <c r="P2356" s="548">
        <v>0</v>
      </c>
      <c r="Q2356" s="548">
        <v>0</v>
      </c>
      <c r="R2356" s="548">
        <v>0</v>
      </c>
      <c r="S2356" s="548">
        <v>0</v>
      </c>
      <c r="T2356" s="548">
        <v>0</v>
      </c>
      <c r="U2356" s="548">
        <v>0</v>
      </c>
      <c r="V2356" s="548">
        <v>0</v>
      </c>
      <c r="W2356" s="528"/>
      <c r="X2356" s="711">
        <f t="shared" si="9443"/>
        <v>0</v>
      </c>
      <c r="Y2356" s="897"/>
      <c r="Z2356" s="528"/>
      <c r="AA2356" s="899"/>
      <c r="AB2356" s="899"/>
      <c r="AC2356" s="904"/>
      <c r="AD2356" s="905"/>
      <c r="AE2356" s="2"/>
      <c r="AF2356" s="908"/>
      <c r="AG2356" s="908"/>
      <c r="AH2356" s="904"/>
      <c r="AI2356" s="908"/>
      <c r="AJ2356" s="908"/>
      <c r="AK2356" s="885"/>
      <c r="AL2356" s="885"/>
      <c r="AM2356" s="879"/>
      <c r="AN2356" s="2"/>
      <c r="AO2356" s="886"/>
      <c r="AP2356" s="886"/>
      <c r="AV2356" t="str">
        <f t="shared" si="9329"/>
        <v>Seg.3.1 -Aterro 07 - Valeta Manual</v>
      </c>
      <c r="AW2356" s="4" t="str">
        <f t="shared" si="9327"/>
        <v xml:space="preserve">   Dreno Longitudinal Profo - DPS 03-B1- Seg.2.5 C 09_Plataforma</v>
      </c>
    </row>
    <row r="2357" spans="1:50" ht="15.6" customHeight="1" outlineLevel="2">
      <c r="A2357" s="209">
        <v>0</v>
      </c>
      <c r="B2357" s="150"/>
      <c r="C2357" s="150">
        <v>0</v>
      </c>
      <c r="D2357" s="117"/>
      <c r="E2357" s="535"/>
      <c r="F2357" s="536"/>
      <c r="G2357" s="537"/>
      <c r="H2357" s="714"/>
      <c r="I2357" s="555"/>
      <c r="J2357" s="714"/>
      <c r="K2357" s="537"/>
      <c r="L2357" s="714"/>
      <c r="M2357" s="555"/>
      <c r="N2357" s="714"/>
      <c r="O2357" s="537"/>
      <c r="P2357" s="539"/>
      <c r="Q2357" s="539"/>
      <c r="R2357" s="539"/>
      <c r="S2357" s="539"/>
      <c r="T2357" s="539"/>
      <c r="U2357" s="539"/>
      <c r="V2357" s="539"/>
      <c r="W2357" s="537"/>
      <c r="X2357" s="540"/>
      <c r="Y2357" s="537"/>
      <c r="Z2357" s="537"/>
      <c r="AA2357" s="249"/>
      <c r="AB2357" s="249"/>
      <c r="AC2357" s="249"/>
      <c r="AD2357" s="537"/>
      <c r="AE2357" s="3"/>
      <c r="AF2357" s="35"/>
      <c r="AG2357" s="35"/>
      <c r="AH2357" s="35"/>
      <c r="AI2357" s="35"/>
      <c r="AJ2357" s="35"/>
      <c r="AK2357" s="35"/>
      <c r="AL2357" s="35"/>
      <c r="AM2357" s="3"/>
      <c r="AN2357" s="3"/>
      <c r="AO2357" s="35"/>
      <c r="AP2357" s="35"/>
      <c r="AV2357" t="str">
        <f t="shared" si="9329"/>
        <v>Seg.3.1 -Aterro 07 - Valeta Manual</v>
      </c>
      <c r="AW2357" s="4" t="str">
        <f t="shared" si="9327"/>
        <v xml:space="preserve">   Dreno Longitudinal Profo - DPS 03-B1- Seg.2.5 C 09_Plataforma</v>
      </c>
    </row>
    <row r="2358" spans="1:50" ht="15.6" customHeight="1" outlineLevel="2">
      <c r="A2358" s="209">
        <v>0</v>
      </c>
      <c r="B2358" s="150"/>
      <c r="C2358" s="150"/>
      <c r="D2358" s="117"/>
      <c r="E2358" s="535"/>
      <c r="F2358" s="541"/>
      <c r="G2358" s="537"/>
      <c r="H2358" s="537"/>
      <c r="I2358" s="250"/>
      <c r="J2358" s="537"/>
      <c r="K2358" s="537"/>
      <c r="L2358" s="537"/>
      <c r="M2358" s="250"/>
      <c r="N2358" s="537"/>
      <c r="O2358" s="537"/>
      <c r="P2358" s="539"/>
      <c r="Q2358" s="539"/>
      <c r="R2358" s="539"/>
      <c r="S2358" s="539"/>
      <c r="T2358" s="539"/>
      <c r="U2358" s="539"/>
      <c r="V2358" s="539"/>
      <c r="W2358" s="537"/>
      <c r="X2358" s="540"/>
      <c r="Y2358" s="537"/>
      <c r="Z2358" s="537"/>
      <c r="AA2358" s="250"/>
      <c r="AB2358" s="250"/>
      <c r="AC2358" s="249"/>
      <c r="AD2358" s="537"/>
      <c r="AE2358" s="3"/>
      <c r="AF2358" s="36"/>
      <c r="AG2358" s="36"/>
      <c r="AH2358" s="36"/>
      <c r="AI2358" s="36"/>
      <c r="AJ2358" s="36"/>
      <c r="AK2358" s="36"/>
      <c r="AL2358" s="36"/>
      <c r="AM2358" s="3"/>
      <c r="AN2358" s="3"/>
      <c r="AO2358" s="36"/>
      <c r="AP2358" s="36"/>
      <c r="AV2358" t="str">
        <f t="shared" si="9329"/>
        <v>Seg.3.1 -Aterro 07 - Valeta Manual</v>
      </c>
      <c r="AW2358" s="4" t="str">
        <f t="shared" si="9327"/>
        <v xml:space="preserve">   Dreno Longitudinal Profo - DPS 03-B1- Seg.2.5 C 09_Plataforma</v>
      </c>
    </row>
    <row r="2359" spans="1:50" ht="15.6" customHeight="1" outlineLevel="2">
      <c r="A2359" s="209">
        <v>0</v>
      </c>
      <c r="B2359" s="150"/>
      <c r="C2359" s="150">
        <v>0</v>
      </c>
      <c r="D2359" s="122"/>
      <c r="E2359" s="913" t="s">
        <v>45</v>
      </c>
      <c r="F2359" s="859" t="s">
        <v>52</v>
      </c>
      <c r="G2359" s="528"/>
      <c r="H2359" s="542" t="s">
        <v>37</v>
      </c>
      <c r="I2359" s="543">
        <f>SUMIF($L2361:$L2370,$L2359,I2361:I2370)</f>
        <v>0</v>
      </c>
      <c r="J2359" s="860" t="str">
        <f>IFERROR((I2360/I2359),"-")</f>
        <v>-</v>
      </c>
      <c r="K2359" s="528"/>
      <c r="L2359" s="542" t="s">
        <v>37</v>
      </c>
      <c r="M2359" s="543">
        <f>SUMIF($L2361:$L2370,$L2359,M2361:M2370)</f>
        <v>0</v>
      </c>
      <c r="N2359" s="860" t="str">
        <f>IFERROR((M2360/M2359),"-")</f>
        <v>-</v>
      </c>
      <c r="O2359" s="528"/>
      <c r="P2359" s="543">
        <f t="shared" ref="P2359:U2359" si="9494">SUMIF($L2361:$L2370,$L2359,P2361:P2370)</f>
        <v>0</v>
      </c>
      <c r="Q2359" s="543">
        <f t="shared" si="9494"/>
        <v>0</v>
      </c>
      <c r="R2359" s="543">
        <f t="shared" si="9494"/>
        <v>0</v>
      </c>
      <c r="S2359" s="543">
        <f t="shared" si="9494"/>
        <v>0</v>
      </c>
      <c r="T2359" s="543">
        <f t="shared" si="9494"/>
        <v>0</v>
      </c>
      <c r="U2359" s="543">
        <f t="shared" si="9494"/>
        <v>0</v>
      </c>
      <c r="V2359" s="543"/>
      <c r="W2359" s="528"/>
      <c r="X2359" s="543">
        <f t="shared" ref="X2359:X2372" si="9495">SUMIFS(P2359:V2359,$P$8:$V$8,"&gt;="&amp;$P$8,$P$8:$V$8,"&lt;="&amp;$N$8)</f>
        <v>0</v>
      </c>
      <c r="Y2359" s="860" t="str">
        <f>IFERROR((X2360/X2359),"-")</f>
        <v>-</v>
      </c>
      <c r="Z2359" s="528"/>
      <c r="AA2359" s="814">
        <f t="shared" ref="AA2359:AB2359" si="9496">SUM(AA2361:AA2372)</f>
        <v>890.86</v>
      </c>
      <c r="AB2359" s="814">
        <f t="shared" si="9496"/>
        <v>0</v>
      </c>
      <c r="AC2359" s="814">
        <f>SUM(AC2361:AC2372)</f>
        <v>0</v>
      </c>
      <c r="AD2359" s="911">
        <f t="shared" ref="AD2359" si="9497">IFERROR((AC2359/AA2359),"-")</f>
        <v>0</v>
      </c>
      <c r="AE2359" s="2"/>
      <c r="AF2359" s="888">
        <f t="shared" ref="AF2359:AH2359" si="9498">SUM(AF2361:AF2372)</f>
        <v>0</v>
      </c>
      <c r="AG2359" s="888">
        <f t="shared" si="9498"/>
        <v>0</v>
      </c>
      <c r="AH2359" s="888">
        <f t="shared" si="9498"/>
        <v>0</v>
      </c>
      <c r="AI2359" s="888">
        <f>SUM(AI2361:AI2372)</f>
        <v>263.44299999999998</v>
      </c>
      <c r="AJ2359" s="888"/>
      <c r="AK2359" s="888">
        <f t="shared" ref="AK2359:AL2359" si="9499">SUM(AK2361:AK2372)</f>
        <v>263.44299999999998</v>
      </c>
      <c r="AL2359" s="888">
        <f t="shared" si="9499"/>
        <v>0</v>
      </c>
      <c r="AM2359" s="743" t="str">
        <f>IFERROR((AK2359/AL2359),"-")</f>
        <v>-</v>
      </c>
      <c r="AN2359" s="2"/>
      <c r="AO2359" s="888">
        <f t="shared" ref="AO2359:AP2359" si="9500">SUM(AO2361:AO2372)</f>
        <v>13695</v>
      </c>
      <c r="AP2359" s="888">
        <f t="shared" si="9500"/>
        <v>13431.557000000001</v>
      </c>
      <c r="AV2359" t="str">
        <f t="shared" si="9329"/>
        <v>Seg.3.1 -Aterro 07 - Valeta Manual</v>
      </c>
      <c r="AW2359" s="4" t="str">
        <f t="shared" si="9327"/>
        <v>Pacote 05 - Segmento 3.1 - 153+000 a 167+400</v>
      </c>
    </row>
    <row r="2360" spans="1:50" ht="15.6" customHeight="1" outlineLevel="2">
      <c r="A2360" s="209">
        <v>0</v>
      </c>
      <c r="B2360" s="150"/>
      <c r="C2360" s="150"/>
      <c r="D2360" s="123"/>
      <c r="E2360" s="913"/>
      <c r="F2360" s="859"/>
      <c r="G2360" s="528"/>
      <c r="H2360" s="544" t="s">
        <v>38</v>
      </c>
      <c r="I2360" s="543">
        <f>SUMIF($L2361:$L2370,$L2360,I2361:I2370)</f>
        <v>0</v>
      </c>
      <c r="J2360" s="861"/>
      <c r="K2360" s="528"/>
      <c r="L2360" s="544" t="s">
        <v>38</v>
      </c>
      <c r="M2360" s="543">
        <f>SUMIF($L2361:$L2370,$L2360,M2361:M2370)</f>
        <v>0</v>
      </c>
      <c r="N2360" s="861"/>
      <c r="O2360" s="528"/>
      <c r="P2360" s="543">
        <f t="shared" ref="P2360:U2360" si="9501">SUMIF($L2361:$L2370,$L2360,P2361:P2370)</f>
        <v>0</v>
      </c>
      <c r="Q2360" s="543">
        <f t="shared" si="9501"/>
        <v>0</v>
      </c>
      <c r="R2360" s="543">
        <f t="shared" si="9501"/>
        <v>0</v>
      </c>
      <c r="S2360" s="543">
        <f t="shared" si="9501"/>
        <v>0</v>
      </c>
      <c r="T2360" s="543">
        <f t="shared" si="9501"/>
        <v>0</v>
      </c>
      <c r="U2360" s="543">
        <f t="shared" si="9501"/>
        <v>0</v>
      </c>
      <c r="V2360" s="543"/>
      <c r="W2360" s="528"/>
      <c r="X2360" s="543">
        <f t="shared" si="9495"/>
        <v>0</v>
      </c>
      <c r="Y2360" s="861"/>
      <c r="Z2360" s="528"/>
      <c r="AA2360" s="815"/>
      <c r="AB2360" s="815"/>
      <c r="AC2360" s="815"/>
      <c r="AD2360" s="912"/>
      <c r="AE2360" s="2"/>
      <c r="AF2360" s="889"/>
      <c r="AG2360" s="889"/>
      <c r="AH2360" s="889"/>
      <c r="AI2360" s="889"/>
      <c r="AJ2360" s="889"/>
      <c r="AK2360" s="889"/>
      <c r="AL2360" s="889"/>
      <c r="AM2360" s="744"/>
      <c r="AN2360" s="2"/>
      <c r="AO2360" s="889"/>
      <c r="AP2360" s="889"/>
      <c r="AV2360" t="str">
        <f t="shared" si="9329"/>
        <v>Seg.3.1 -Aterro 07 - Valeta Manual</v>
      </c>
      <c r="AW2360" s="4" t="str">
        <f t="shared" si="9327"/>
        <v>Pacote 05 - Segmento 3.1 - 153+000 a 167+400</v>
      </c>
    </row>
    <row r="2361" spans="1:50" ht="37.9" customHeight="1" outlineLevel="2">
      <c r="A2361" s="8" t="str">
        <f t="shared" ref="A2361" si="9502">IF(SUM(P2361:V2362)&gt;0,"S","N")</f>
        <v>N</v>
      </c>
      <c r="B2361" s="150">
        <v>1067803</v>
      </c>
      <c r="C2361" s="150" t="s">
        <v>2653</v>
      </c>
      <c r="D2361" s="120" t="s">
        <v>560</v>
      </c>
      <c r="E2361" s="892" t="s">
        <v>2654</v>
      </c>
      <c r="F2361" s="902" t="s">
        <v>52</v>
      </c>
      <c r="G2361" s="528"/>
      <c r="H2361" s="546" t="s">
        <v>37</v>
      </c>
      <c r="I2361" s="711">
        <v>0</v>
      </c>
      <c r="J2361" s="896" t="str">
        <f t="shared" ref="J2361" si="9503">IFERROR((I2362/I2361),"-")</f>
        <v>-</v>
      </c>
      <c r="K2361" s="528"/>
      <c r="L2361" s="546" t="s">
        <v>37</v>
      </c>
      <c r="M2361" s="711">
        <f t="shared" ref="M2361:M2372" si="9504">_xlfn.XLOOKUP($N$8,$P$8:$V$8,$P2361:$V2361)</f>
        <v>0</v>
      </c>
      <c r="N2361" s="896" t="str">
        <f t="shared" ref="N2361" si="9505">IFERROR((M2362/M2361),"-")</f>
        <v>-</v>
      </c>
      <c r="O2361" s="528"/>
      <c r="P2361" s="547">
        <v>0</v>
      </c>
      <c r="Q2361" s="547">
        <v>0</v>
      </c>
      <c r="R2361" s="547">
        <v>0</v>
      </c>
      <c r="S2361" s="547">
        <v>0</v>
      </c>
      <c r="T2361" s="547">
        <v>0</v>
      </c>
      <c r="U2361" s="547">
        <v>0</v>
      </c>
      <c r="V2361" s="548">
        <v>0</v>
      </c>
      <c r="W2361" s="528"/>
      <c r="X2361" s="711">
        <f t="shared" si="9495"/>
        <v>0</v>
      </c>
      <c r="Y2361" s="896" t="str">
        <f t="shared" ref="Y2361" si="9506">IFERROR((X2362/X2361),"-")</f>
        <v>-</v>
      </c>
      <c r="Z2361" s="528"/>
      <c r="AA2361" s="898">
        <v>890.86</v>
      </c>
      <c r="AB2361" s="898">
        <v>0</v>
      </c>
      <c r="AC2361" s="903">
        <v>0</v>
      </c>
      <c r="AD2361" s="896">
        <f t="shared" ref="AD2361" si="9507">IFERROR((AC2361/AA2361),"-")</f>
        <v>0</v>
      </c>
      <c r="AE2361" s="2"/>
      <c r="AF2361" s="884">
        <v>0</v>
      </c>
      <c r="AG2361" s="884"/>
      <c r="AH2361" s="903">
        <v>0</v>
      </c>
      <c r="AI2361" s="884"/>
      <c r="AJ2361" s="884"/>
      <c r="AK2361" s="884">
        <f t="shared" ref="AK2361" si="9508">AF2361+AG2361+AH2361+AI2361+AJ2361+AC2361</f>
        <v>0</v>
      </c>
      <c r="AL2361" s="884">
        <v>0</v>
      </c>
      <c r="AM2361" s="878" t="str">
        <f t="shared" ref="AM2361" si="9509">IFERROR((AK2361/AL2361),"-")</f>
        <v>-</v>
      </c>
      <c r="AN2361" s="2"/>
      <c r="AO2361" s="884">
        <v>2480</v>
      </c>
      <c r="AP2361" s="884">
        <f t="shared" ref="AP2361" si="9510">AO2361-AK2361</f>
        <v>2480</v>
      </c>
      <c r="AV2361" s="4" t="str">
        <f t="shared" si="9329"/>
        <v>Seg.3.1 -Aterro 07 - Valeta Manual</v>
      </c>
      <c r="AW2361" s="4" t="str">
        <f t="shared" si="9327"/>
        <v xml:space="preserve">   Dreno Longitudinal Profo - DPS 03-B1- Seg.3.1 C 02</v>
      </c>
      <c r="AX2361" s="4"/>
    </row>
    <row r="2362" spans="1:50" ht="37.9" customHeight="1" outlineLevel="2">
      <c r="A2362" s="8" t="str">
        <f t="shared" ref="A2362" si="9511">A2361</f>
        <v>N</v>
      </c>
      <c r="B2362" s="150"/>
      <c r="C2362" s="150" t="s">
        <v>2653</v>
      </c>
      <c r="D2362" s="120" t="s">
        <v>560</v>
      </c>
      <c r="E2362" s="893"/>
      <c r="F2362" s="902"/>
      <c r="G2362" s="528"/>
      <c r="H2362" s="549" t="s">
        <v>38</v>
      </c>
      <c r="I2362" s="711">
        <v>0</v>
      </c>
      <c r="J2362" s="897"/>
      <c r="K2362" s="528"/>
      <c r="L2362" s="549" t="s">
        <v>38</v>
      </c>
      <c r="M2362" s="711">
        <f t="shared" si="9504"/>
        <v>0</v>
      </c>
      <c r="N2362" s="897"/>
      <c r="O2362" s="528"/>
      <c r="P2362" s="548">
        <v>0</v>
      </c>
      <c r="Q2362" s="548">
        <v>0</v>
      </c>
      <c r="R2362" s="548">
        <v>0</v>
      </c>
      <c r="S2362" s="548">
        <v>0</v>
      </c>
      <c r="T2362" s="548">
        <v>0</v>
      </c>
      <c r="U2362" s="548">
        <v>0</v>
      </c>
      <c r="V2362" s="548">
        <v>0</v>
      </c>
      <c r="W2362" s="528"/>
      <c r="X2362" s="711">
        <f t="shared" si="9495"/>
        <v>0</v>
      </c>
      <c r="Y2362" s="897"/>
      <c r="Z2362" s="528"/>
      <c r="AA2362" s="899"/>
      <c r="AB2362" s="899"/>
      <c r="AC2362" s="904"/>
      <c r="AD2362" s="905"/>
      <c r="AE2362" s="2"/>
      <c r="AF2362" s="885"/>
      <c r="AG2362" s="885"/>
      <c r="AH2362" s="904"/>
      <c r="AI2362" s="885"/>
      <c r="AJ2362" s="885"/>
      <c r="AK2362" s="885"/>
      <c r="AL2362" s="885"/>
      <c r="AM2362" s="879"/>
      <c r="AN2362" s="2"/>
      <c r="AO2362" s="886"/>
      <c r="AP2362" s="886"/>
      <c r="AV2362" t="str">
        <f t="shared" si="9329"/>
        <v>Seg.3.1 -Aterro 07 - Valeta Manual</v>
      </c>
      <c r="AW2362" s="4" t="str">
        <f t="shared" si="9327"/>
        <v xml:space="preserve">   Dreno Longitudinal Profo - DPS 03-B1- Seg.3.1 C 02</v>
      </c>
    </row>
    <row r="2363" spans="1:50" ht="15.6" customHeight="1" outlineLevel="2">
      <c r="A2363" s="8" t="str">
        <f t="shared" ref="A2363" si="9512">IF(SUM(P2363:V2364)&gt;0,"S","N")</f>
        <v>N</v>
      </c>
      <c r="B2363" s="150">
        <v>1067804</v>
      </c>
      <c r="C2363" s="150" t="s">
        <v>2655</v>
      </c>
      <c r="D2363" s="120" t="s">
        <v>542</v>
      </c>
      <c r="E2363" s="892" t="s">
        <v>2656</v>
      </c>
      <c r="F2363" s="902" t="s">
        <v>52</v>
      </c>
      <c r="G2363" s="528"/>
      <c r="H2363" s="546" t="s">
        <v>37</v>
      </c>
      <c r="I2363" s="711">
        <v>0</v>
      </c>
      <c r="J2363" s="896" t="str">
        <f t="shared" ref="J2363" si="9513">IFERROR((I2364/I2363),"-")</f>
        <v>-</v>
      </c>
      <c r="K2363" s="528"/>
      <c r="L2363" s="546" t="s">
        <v>37</v>
      </c>
      <c r="M2363" s="711">
        <f t="shared" si="9504"/>
        <v>0</v>
      </c>
      <c r="N2363" s="896" t="str">
        <f t="shared" ref="N2363" si="9514">IFERROR((M2364/M2363),"-")</f>
        <v>-</v>
      </c>
      <c r="O2363" s="528"/>
      <c r="P2363" s="547">
        <v>0</v>
      </c>
      <c r="Q2363" s="547">
        <v>0</v>
      </c>
      <c r="R2363" s="547">
        <v>0</v>
      </c>
      <c r="S2363" s="547">
        <v>0</v>
      </c>
      <c r="T2363" s="547">
        <v>0</v>
      </c>
      <c r="U2363" s="547">
        <v>0</v>
      </c>
      <c r="V2363" s="548">
        <v>0</v>
      </c>
      <c r="W2363" s="528"/>
      <c r="X2363" s="711">
        <f t="shared" si="9495"/>
        <v>0</v>
      </c>
      <c r="Y2363" s="896" t="str">
        <f t="shared" ref="Y2363" si="9515">IFERROR((X2364/X2363),"-")</f>
        <v>-</v>
      </c>
      <c r="Z2363" s="528"/>
      <c r="AA2363" s="898">
        <v>0</v>
      </c>
      <c r="AB2363" s="898">
        <v>0</v>
      </c>
      <c r="AC2363" s="903">
        <v>0</v>
      </c>
      <c r="AD2363" s="896" t="str">
        <f t="shared" ref="AD2363" si="9516">IFERROR((AC2363/AA2363),"-")</f>
        <v>-</v>
      </c>
      <c r="AE2363" s="2"/>
      <c r="AF2363" s="884">
        <v>0</v>
      </c>
      <c r="AG2363" s="884"/>
      <c r="AH2363" s="903">
        <v>0</v>
      </c>
      <c r="AI2363" s="884"/>
      <c r="AJ2363" s="884"/>
      <c r="AK2363" s="884">
        <f t="shared" ref="AK2363" si="9517">AF2363+AG2363+AH2363+AI2363+AJ2363+AC2363</f>
        <v>0</v>
      </c>
      <c r="AL2363" s="884">
        <v>0</v>
      </c>
      <c r="AM2363" s="878" t="str">
        <f t="shared" ref="AM2363" si="9518">IFERROR((AK2363/AL2363),"-")</f>
        <v>-</v>
      </c>
      <c r="AN2363" s="2"/>
      <c r="AO2363" s="884">
        <v>1400</v>
      </c>
      <c r="AP2363" s="884">
        <f t="shared" ref="AP2363" si="9519">AO2363-AK2363</f>
        <v>1400</v>
      </c>
      <c r="AV2363" t="str">
        <f t="shared" si="9329"/>
        <v>Seg.3.1 -Aterro 07 - Valeta Manual</v>
      </c>
      <c r="AW2363" s="4" t="str">
        <f t="shared" si="9327"/>
        <v xml:space="preserve">   Dreno Longitudinal Profo - DPS 03-B1- Seg.3.1 C 03</v>
      </c>
    </row>
    <row r="2364" spans="1:50" ht="15.6" customHeight="1" outlineLevel="2">
      <c r="A2364" s="8" t="str">
        <f t="shared" ref="A2364" si="9520">A2363</f>
        <v>N</v>
      </c>
      <c r="B2364" s="150"/>
      <c r="C2364" s="150" t="s">
        <v>2655</v>
      </c>
      <c r="D2364" s="120" t="s">
        <v>542</v>
      </c>
      <c r="E2364" s="893"/>
      <c r="F2364" s="902"/>
      <c r="G2364" s="528"/>
      <c r="H2364" s="549" t="s">
        <v>38</v>
      </c>
      <c r="I2364" s="711">
        <v>0</v>
      </c>
      <c r="J2364" s="897"/>
      <c r="K2364" s="528"/>
      <c r="L2364" s="549" t="s">
        <v>38</v>
      </c>
      <c r="M2364" s="711">
        <f t="shared" si="9504"/>
        <v>0</v>
      </c>
      <c r="N2364" s="897"/>
      <c r="O2364" s="528"/>
      <c r="P2364" s="548">
        <v>0</v>
      </c>
      <c r="Q2364" s="548">
        <v>0</v>
      </c>
      <c r="R2364" s="548">
        <v>0</v>
      </c>
      <c r="S2364" s="548">
        <v>0</v>
      </c>
      <c r="T2364" s="548">
        <v>0</v>
      </c>
      <c r="U2364" s="548">
        <v>0</v>
      </c>
      <c r="V2364" s="548">
        <v>0</v>
      </c>
      <c r="W2364" s="528"/>
      <c r="X2364" s="711">
        <f t="shared" si="9495"/>
        <v>0</v>
      </c>
      <c r="Y2364" s="897"/>
      <c r="Z2364" s="528"/>
      <c r="AA2364" s="899"/>
      <c r="AB2364" s="899"/>
      <c r="AC2364" s="904"/>
      <c r="AD2364" s="905"/>
      <c r="AE2364" s="2"/>
      <c r="AF2364" s="885"/>
      <c r="AG2364" s="885"/>
      <c r="AH2364" s="904"/>
      <c r="AI2364" s="885"/>
      <c r="AJ2364" s="885"/>
      <c r="AK2364" s="885"/>
      <c r="AL2364" s="885"/>
      <c r="AM2364" s="879"/>
      <c r="AN2364" s="2"/>
      <c r="AO2364" s="886"/>
      <c r="AP2364" s="886"/>
      <c r="AV2364" t="str">
        <f t="shared" si="9329"/>
        <v>Seg.3.1 -Aterro 07 - Valeta Manual</v>
      </c>
      <c r="AW2364" s="4" t="str">
        <f t="shared" si="9327"/>
        <v xml:space="preserve">   Dreno Longitudinal Profo - DPS 03-B1- Seg.3.1 C 03</v>
      </c>
    </row>
    <row r="2365" spans="1:50" ht="15.6" customHeight="1" outlineLevel="2">
      <c r="A2365" s="8" t="str">
        <f t="shared" ref="A2365" si="9521">IF(SUM(P2365:V2366)&gt;0,"S","N")</f>
        <v>N</v>
      </c>
      <c r="B2365" s="150">
        <v>1067805</v>
      </c>
      <c r="C2365" s="150" t="s">
        <v>2657</v>
      </c>
      <c r="D2365" s="120" t="s">
        <v>563</v>
      </c>
      <c r="E2365" s="892" t="s">
        <v>2658</v>
      </c>
      <c r="F2365" s="902" t="s">
        <v>52</v>
      </c>
      <c r="G2365" s="528"/>
      <c r="H2365" s="546" t="s">
        <v>37</v>
      </c>
      <c r="I2365" s="711">
        <v>0</v>
      </c>
      <c r="J2365" s="896" t="str">
        <f t="shared" ref="J2365" si="9522">IFERROR((I2366/I2365),"-")</f>
        <v>-</v>
      </c>
      <c r="K2365" s="528"/>
      <c r="L2365" s="546" t="s">
        <v>37</v>
      </c>
      <c r="M2365" s="711">
        <f t="shared" si="9504"/>
        <v>0</v>
      </c>
      <c r="N2365" s="896" t="str">
        <f t="shared" ref="N2365" si="9523">IFERROR((M2366/M2365),"-")</f>
        <v>-</v>
      </c>
      <c r="O2365" s="528"/>
      <c r="P2365" s="547">
        <v>0</v>
      </c>
      <c r="Q2365" s="547">
        <v>0</v>
      </c>
      <c r="R2365" s="547">
        <v>0</v>
      </c>
      <c r="S2365" s="547">
        <v>0</v>
      </c>
      <c r="T2365" s="547">
        <v>0</v>
      </c>
      <c r="U2365" s="547">
        <v>0</v>
      </c>
      <c r="V2365" s="548">
        <v>0</v>
      </c>
      <c r="W2365" s="528"/>
      <c r="X2365" s="711">
        <f t="shared" si="9495"/>
        <v>0</v>
      </c>
      <c r="Y2365" s="896" t="str">
        <f t="shared" ref="Y2365" si="9524">IFERROR((X2366/X2365),"-")</f>
        <v>-</v>
      </c>
      <c r="Z2365" s="528"/>
      <c r="AA2365" s="898">
        <v>0</v>
      </c>
      <c r="AB2365" s="898">
        <v>0</v>
      </c>
      <c r="AC2365" s="903">
        <v>0</v>
      </c>
      <c r="AD2365" s="896" t="str">
        <f t="shared" ref="AD2365" si="9525">IFERROR((AC2365/AA2365),"-")</f>
        <v>-</v>
      </c>
      <c r="AE2365" s="2"/>
      <c r="AF2365" s="884">
        <v>0</v>
      </c>
      <c r="AG2365" s="884"/>
      <c r="AH2365" s="903">
        <v>0</v>
      </c>
      <c r="AI2365" s="884"/>
      <c r="AJ2365" s="884"/>
      <c r="AK2365" s="884">
        <f t="shared" ref="AK2365" si="9526">AF2365+AG2365+AH2365+AI2365+AJ2365+AC2365</f>
        <v>0</v>
      </c>
      <c r="AL2365" s="884">
        <v>0</v>
      </c>
      <c r="AM2365" s="878" t="str">
        <f t="shared" ref="AM2365" si="9527">IFERROR((AK2365/AL2365),"-")</f>
        <v>-</v>
      </c>
      <c r="AN2365" s="2"/>
      <c r="AO2365" s="884">
        <v>3300</v>
      </c>
      <c r="AP2365" s="884">
        <f t="shared" ref="AP2365" si="9528">AO2365-AK2365</f>
        <v>3300</v>
      </c>
      <c r="AV2365" t="str">
        <f t="shared" si="9329"/>
        <v>Seg.3.1 -Aterro 07 - Valeta Manual</v>
      </c>
      <c r="AW2365" s="4" t="str">
        <f t="shared" si="9327"/>
        <v xml:space="preserve">   Dreno Longitudinal Profo - DPS 03-B1- Seg.3.1 C 04</v>
      </c>
    </row>
    <row r="2366" spans="1:50" ht="15.6" customHeight="1" outlineLevel="2" collapsed="1">
      <c r="A2366" s="8" t="str">
        <f t="shared" ref="A2366" si="9529">A2365</f>
        <v>N</v>
      </c>
      <c r="B2366" s="150"/>
      <c r="C2366" s="150" t="s">
        <v>2657</v>
      </c>
      <c r="D2366" s="120" t="s">
        <v>563</v>
      </c>
      <c r="E2366" s="893"/>
      <c r="F2366" s="902"/>
      <c r="G2366" s="528"/>
      <c r="H2366" s="549" t="s">
        <v>38</v>
      </c>
      <c r="I2366" s="711">
        <v>0</v>
      </c>
      <c r="J2366" s="897"/>
      <c r="K2366" s="528"/>
      <c r="L2366" s="549" t="s">
        <v>38</v>
      </c>
      <c r="M2366" s="711">
        <f t="shared" si="9504"/>
        <v>0</v>
      </c>
      <c r="N2366" s="897"/>
      <c r="O2366" s="528"/>
      <c r="P2366" s="548">
        <v>0</v>
      </c>
      <c r="Q2366" s="548">
        <v>0</v>
      </c>
      <c r="R2366" s="548">
        <v>0</v>
      </c>
      <c r="S2366" s="548">
        <v>0</v>
      </c>
      <c r="T2366" s="548">
        <v>0</v>
      </c>
      <c r="U2366" s="548">
        <v>0</v>
      </c>
      <c r="V2366" s="548">
        <v>0</v>
      </c>
      <c r="W2366" s="528"/>
      <c r="X2366" s="711">
        <f t="shared" si="9495"/>
        <v>0</v>
      </c>
      <c r="Y2366" s="897"/>
      <c r="Z2366" s="528"/>
      <c r="AA2366" s="899"/>
      <c r="AB2366" s="899"/>
      <c r="AC2366" s="904"/>
      <c r="AD2366" s="905"/>
      <c r="AE2366" s="2"/>
      <c r="AF2366" s="885"/>
      <c r="AG2366" s="885"/>
      <c r="AH2366" s="904"/>
      <c r="AI2366" s="885"/>
      <c r="AJ2366" s="885"/>
      <c r="AK2366" s="885"/>
      <c r="AL2366" s="885"/>
      <c r="AM2366" s="879"/>
      <c r="AN2366" s="2"/>
      <c r="AO2366" s="886"/>
      <c r="AP2366" s="886"/>
      <c r="AV2366" t="str">
        <f t="shared" si="9329"/>
        <v>Seg.3.1 -Aterro 07 - Valeta Manual</v>
      </c>
      <c r="AW2366" s="4" t="str">
        <f t="shared" si="9327"/>
        <v xml:space="preserve">   Dreno Longitudinal Profo - DPS 03-B1- Seg.3.1 C 04</v>
      </c>
    </row>
    <row r="2367" spans="1:50" ht="40.35" customHeight="1" outlineLevel="1">
      <c r="A2367" s="8" t="str">
        <f t="shared" ref="A2367" si="9530">IF(SUM(P2367:V2368)&gt;0,"S","N")</f>
        <v>N</v>
      </c>
      <c r="B2367" s="150">
        <v>1067806</v>
      </c>
      <c r="C2367" s="150" t="s">
        <v>2659</v>
      </c>
      <c r="D2367" s="120" t="s">
        <v>545</v>
      </c>
      <c r="E2367" s="892" t="s">
        <v>2660</v>
      </c>
      <c r="F2367" s="902" t="s">
        <v>52</v>
      </c>
      <c r="G2367" s="528"/>
      <c r="H2367" s="546" t="s">
        <v>37</v>
      </c>
      <c r="I2367" s="711">
        <v>0</v>
      </c>
      <c r="J2367" s="896" t="str">
        <f t="shared" ref="J2367" si="9531">IFERROR((I2368/I2367),"-")</f>
        <v>-</v>
      </c>
      <c r="K2367" s="528"/>
      <c r="L2367" s="546" t="s">
        <v>37</v>
      </c>
      <c r="M2367" s="711">
        <f t="shared" si="9504"/>
        <v>0</v>
      </c>
      <c r="N2367" s="896" t="str">
        <f t="shared" ref="N2367" si="9532">IFERROR((M2368/M2367),"-")</f>
        <v>-</v>
      </c>
      <c r="O2367" s="528"/>
      <c r="P2367" s="547">
        <v>0</v>
      </c>
      <c r="Q2367" s="547">
        <v>0</v>
      </c>
      <c r="R2367" s="547">
        <v>0</v>
      </c>
      <c r="S2367" s="547">
        <v>0</v>
      </c>
      <c r="T2367" s="547">
        <v>0</v>
      </c>
      <c r="U2367" s="547">
        <v>0</v>
      </c>
      <c r="V2367" s="548">
        <v>0</v>
      </c>
      <c r="W2367" s="528"/>
      <c r="X2367" s="711">
        <f t="shared" si="9495"/>
        <v>0</v>
      </c>
      <c r="Y2367" s="896" t="str">
        <f t="shared" ref="Y2367" si="9533">IFERROR((X2368/X2367),"-")</f>
        <v>-</v>
      </c>
      <c r="Z2367" s="528"/>
      <c r="AA2367" s="898">
        <v>0</v>
      </c>
      <c r="AB2367" s="898">
        <v>0</v>
      </c>
      <c r="AC2367" s="903">
        <v>0</v>
      </c>
      <c r="AD2367" s="896" t="str">
        <f t="shared" ref="AD2367" si="9534">IFERROR((AC2367/AA2367),"-")</f>
        <v>-</v>
      </c>
      <c r="AE2367" s="2"/>
      <c r="AF2367" s="884">
        <v>0</v>
      </c>
      <c r="AG2367" s="884"/>
      <c r="AH2367" s="903">
        <v>0</v>
      </c>
      <c r="AI2367" s="884"/>
      <c r="AJ2367" s="884"/>
      <c r="AK2367" s="884">
        <f t="shared" ref="AK2367" si="9535">AF2367+AG2367+AH2367+AI2367+AJ2367+AC2367</f>
        <v>0</v>
      </c>
      <c r="AL2367" s="884">
        <v>0</v>
      </c>
      <c r="AM2367" s="878" t="str">
        <f t="shared" ref="AM2367" si="9536">IFERROR((AK2367/AL2367),"-")</f>
        <v>-</v>
      </c>
      <c r="AN2367" s="2"/>
      <c r="AO2367" s="884">
        <v>2140</v>
      </c>
      <c r="AP2367" s="884">
        <f t="shared" ref="AP2367" si="9537">AO2367-AK2367</f>
        <v>2140</v>
      </c>
      <c r="AV2367" s="4" t="str">
        <f t="shared" si="9329"/>
        <v>Seg.3.1 -Aterro 07 - Valeta Manual</v>
      </c>
      <c r="AW2367" s="4" t="str">
        <f t="shared" si="9327"/>
        <v xml:space="preserve">   Dreno Longitudinal Profo - DPS 03-B1- Seg.3.1 C 05</v>
      </c>
      <c r="AX2367" s="4"/>
    </row>
    <row r="2368" spans="1:50" ht="40.35" customHeight="1">
      <c r="A2368" s="8" t="str">
        <f t="shared" ref="A2368" si="9538">A2367</f>
        <v>N</v>
      </c>
      <c r="B2368" s="150"/>
      <c r="C2368" s="150" t="s">
        <v>2659</v>
      </c>
      <c r="D2368" s="120" t="s">
        <v>545</v>
      </c>
      <c r="E2368" s="893"/>
      <c r="F2368" s="902"/>
      <c r="G2368" s="528"/>
      <c r="H2368" s="549" t="s">
        <v>38</v>
      </c>
      <c r="I2368" s="711">
        <v>0</v>
      </c>
      <c r="J2368" s="897"/>
      <c r="K2368" s="528"/>
      <c r="L2368" s="549" t="s">
        <v>38</v>
      </c>
      <c r="M2368" s="711">
        <f t="shared" si="9504"/>
        <v>0</v>
      </c>
      <c r="N2368" s="897"/>
      <c r="O2368" s="528"/>
      <c r="P2368" s="548">
        <v>0</v>
      </c>
      <c r="Q2368" s="548">
        <v>0</v>
      </c>
      <c r="R2368" s="548">
        <v>0</v>
      </c>
      <c r="S2368" s="548">
        <v>0</v>
      </c>
      <c r="T2368" s="548">
        <v>0</v>
      </c>
      <c r="U2368" s="548">
        <v>0</v>
      </c>
      <c r="V2368" s="548">
        <v>0</v>
      </c>
      <c r="W2368" s="528"/>
      <c r="X2368" s="711">
        <f t="shared" si="9495"/>
        <v>0</v>
      </c>
      <c r="Y2368" s="897"/>
      <c r="Z2368" s="528"/>
      <c r="AA2368" s="899"/>
      <c r="AB2368" s="899"/>
      <c r="AC2368" s="904"/>
      <c r="AD2368" s="905"/>
      <c r="AE2368" s="2"/>
      <c r="AF2368" s="885"/>
      <c r="AG2368" s="885"/>
      <c r="AH2368" s="904"/>
      <c r="AI2368" s="885"/>
      <c r="AJ2368" s="885"/>
      <c r="AK2368" s="885"/>
      <c r="AL2368" s="885"/>
      <c r="AM2368" s="879"/>
      <c r="AN2368" s="2"/>
      <c r="AO2368" s="886"/>
      <c r="AP2368" s="886"/>
      <c r="AV2368" s="4" t="str">
        <f t="shared" si="9329"/>
        <v>Seg.3.1 -Aterro 07 - Valeta Manual</v>
      </c>
      <c r="AW2368" s="4" t="str">
        <f t="shared" si="9327"/>
        <v xml:space="preserve">   Dreno Longitudinal Profo - DPS 03-B1- Seg.3.1 C 05</v>
      </c>
      <c r="AX2368" s="4"/>
    </row>
    <row r="2369" spans="1:50" ht="20.65" customHeight="1">
      <c r="A2369" s="8" t="str">
        <f t="shared" ref="A2369" si="9539">IF(SUM(P2369:V2370)&gt;0,"S","N")</f>
        <v>N</v>
      </c>
      <c r="B2369" s="150">
        <v>1067807</v>
      </c>
      <c r="C2369" s="150" t="s">
        <v>2661</v>
      </c>
      <c r="D2369" s="120" t="s">
        <v>569</v>
      </c>
      <c r="E2369" s="892" t="s">
        <v>2662</v>
      </c>
      <c r="F2369" s="902" t="s">
        <v>52</v>
      </c>
      <c r="G2369" s="528"/>
      <c r="H2369" s="546" t="s">
        <v>37</v>
      </c>
      <c r="I2369" s="711">
        <v>0</v>
      </c>
      <c r="J2369" s="896" t="str">
        <f t="shared" ref="J2369" si="9540">IFERROR((I2370/I2369),"-")</f>
        <v>-</v>
      </c>
      <c r="K2369" s="528"/>
      <c r="L2369" s="546" t="s">
        <v>37</v>
      </c>
      <c r="M2369" s="711">
        <f t="shared" si="9504"/>
        <v>0</v>
      </c>
      <c r="N2369" s="896" t="str">
        <f t="shared" ref="N2369" si="9541">IFERROR((M2370/M2369),"-")</f>
        <v>-</v>
      </c>
      <c r="O2369" s="528"/>
      <c r="P2369" s="547">
        <v>0</v>
      </c>
      <c r="Q2369" s="547">
        <v>0</v>
      </c>
      <c r="R2369" s="547">
        <v>0</v>
      </c>
      <c r="S2369" s="547">
        <v>0</v>
      </c>
      <c r="T2369" s="547">
        <v>0</v>
      </c>
      <c r="U2369" s="547">
        <v>0</v>
      </c>
      <c r="V2369" s="548">
        <v>0</v>
      </c>
      <c r="W2369" s="528"/>
      <c r="X2369" s="711">
        <f t="shared" si="9495"/>
        <v>0</v>
      </c>
      <c r="Y2369" s="896" t="str">
        <f t="shared" ref="Y2369" si="9542">IFERROR((X2370/X2369),"-")</f>
        <v>-</v>
      </c>
      <c r="Z2369" s="528"/>
      <c r="AA2369" s="898">
        <v>0</v>
      </c>
      <c r="AB2369" s="898">
        <v>0</v>
      </c>
      <c r="AC2369" s="903">
        <v>0</v>
      </c>
      <c r="AD2369" s="896" t="str">
        <f t="shared" ref="AD2369" si="9543">IFERROR((AC2369/AA2369),"-")</f>
        <v>-</v>
      </c>
      <c r="AE2369" s="2"/>
      <c r="AF2369" s="884">
        <v>0</v>
      </c>
      <c r="AG2369" s="884"/>
      <c r="AH2369" s="903">
        <v>0</v>
      </c>
      <c r="AI2369" s="884"/>
      <c r="AJ2369" s="884"/>
      <c r="AK2369" s="884">
        <f t="shared" ref="AK2369" si="9544">AF2369+AG2369+AH2369+AI2369+AJ2369+AC2369</f>
        <v>0</v>
      </c>
      <c r="AL2369" s="884">
        <v>0</v>
      </c>
      <c r="AM2369" s="878" t="str">
        <f t="shared" ref="AM2369" si="9545">IFERROR((AK2369/AL2369),"-")</f>
        <v>-</v>
      </c>
      <c r="AN2369" s="2"/>
      <c r="AO2369" s="884">
        <v>4375</v>
      </c>
      <c r="AP2369" s="884">
        <f t="shared" ref="AP2369" si="9546">AO2369-AK2369</f>
        <v>4375</v>
      </c>
      <c r="AV2369" s="4" t="str">
        <f t="shared" si="9329"/>
        <v>Seg.3.1 -Aterro 07 - Valeta Manual</v>
      </c>
      <c r="AW2369" s="4" t="str">
        <f t="shared" si="9327"/>
        <v xml:space="preserve">   Dreno Longitudinal Profo - DPS 03-B1- Seg.3.1 C 07</v>
      </c>
      <c r="AX2369" s="4"/>
    </row>
    <row r="2370" spans="1:50" ht="20.65" customHeight="1">
      <c r="A2370" s="8" t="str">
        <f t="shared" ref="A2370" si="9547">A2369</f>
        <v>N</v>
      </c>
      <c r="B2370" s="150"/>
      <c r="C2370" s="150"/>
      <c r="D2370" s="120"/>
      <c r="E2370" s="893"/>
      <c r="F2370" s="902"/>
      <c r="G2370" s="528"/>
      <c r="H2370" s="549" t="s">
        <v>38</v>
      </c>
      <c r="I2370" s="711">
        <v>0</v>
      </c>
      <c r="J2370" s="897"/>
      <c r="K2370" s="528"/>
      <c r="L2370" s="549" t="s">
        <v>38</v>
      </c>
      <c r="M2370" s="711">
        <f t="shared" si="9504"/>
        <v>0</v>
      </c>
      <c r="N2370" s="897"/>
      <c r="O2370" s="528"/>
      <c r="P2370" s="548">
        <v>0</v>
      </c>
      <c r="Q2370" s="548">
        <v>0</v>
      </c>
      <c r="R2370" s="548">
        <v>0</v>
      </c>
      <c r="S2370" s="548">
        <v>0</v>
      </c>
      <c r="T2370" s="548">
        <v>0</v>
      </c>
      <c r="U2370" s="548">
        <v>0</v>
      </c>
      <c r="V2370" s="548">
        <v>0</v>
      </c>
      <c r="W2370" s="528"/>
      <c r="X2370" s="711">
        <f t="shared" si="9495"/>
        <v>0</v>
      </c>
      <c r="Y2370" s="897"/>
      <c r="Z2370" s="528"/>
      <c r="AA2370" s="899"/>
      <c r="AB2370" s="899"/>
      <c r="AC2370" s="904"/>
      <c r="AD2370" s="905"/>
      <c r="AE2370" s="2"/>
      <c r="AF2370" s="885"/>
      <c r="AG2370" s="885"/>
      <c r="AH2370" s="904"/>
      <c r="AI2370" s="885"/>
      <c r="AJ2370" s="885"/>
      <c r="AK2370" s="885"/>
      <c r="AL2370" s="885"/>
      <c r="AM2370" s="879"/>
      <c r="AN2370" s="2"/>
      <c r="AO2370" s="886"/>
      <c r="AP2370" s="886"/>
      <c r="AV2370" t="str">
        <f t="shared" si="9329"/>
        <v>Seg.3.1 -Aterro 07 - Valeta Manual</v>
      </c>
      <c r="AW2370" s="4" t="str">
        <f t="shared" si="9327"/>
        <v xml:space="preserve">   Dreno Longitudinal Profo - DPS 03-B1- Seg.3.1 C 07</v>
      </c>
    </row>
    <row r="2371" spans="1:50" ht="15.6" customHeight="1">
      <c r="A2371" s="8" t="str">
        <f t="shared" ref="A2371" si="9548">IF(SUM(P2371:V2372)&gt;0,"S","N")</f>
        <v>N</v>
      </c>
      <c r="B2371" s="150"/>
      <c r="C2371" s="150"/>
      <c r="D2371" s="120" t="s">
        <v>2025</v>
      </c>
      <c r="E2371" s="892" t="s">
        <v>2663</v>
      </c>
      <c r="F2371" s="902" t="s">
        <v>52</v>
      </c>
      <c r="G2371" s="528"/>
      <c r="H2371" s="546" t="s">
        <v>37</v>
      </c>
      <c r="I2371" s="711">
        <v>0</v>
      </c>
      <c r="J2371" s="896" t="str">
        <f t="shared" ref="J2371" si="9549">IFERROR((I2372/I2371),"-")</f>
        <v>-</v>
      </c>
      <c r="K2371" s="528"/>
      <c r="L2371" s="546" t="s">
        <v>37</v>
      </c>
      <c r="M2371" s="711">
        <f t="shared" si="9504"/>
        <v>0</v>
      </c>
      <c r="N2371" s="896" t="str">
        <f t="shared" ref="N2371" si="9550">IFERROR((M2372/M2371),"-")</f>
        <v>-</v>
      </c>
      <c r="O2371" s="528"/>
      <c r="P2371" s="547">
        <v>0</v>
      </c>
      <c r="Q2371" s="547">
        <v>0</v>
      </c>
      <c r="R2371" s="547">
        <v>0</v>
      </c>
      <c r="S2371" s="547">
        <v>0</v>
      </c>
      <c r="T2371" s="547">
        <v>0</v>
      </c>
      <c r="U2371" s="547">
        <v>0</v>
      </c>
      <c r="V2371" s="548">
        <v>0</v>
      </c>
      <c r="W2371" s="528"/>
      <c r="X2371" s="711">
        <f t="shared" si="9495"/>
        <v>0</v>
      </c>
      <c r="Y2371" s="896" t="str">
        <f t="shared" ref="Y2371" si="9551">IFERROR((X2372/X2371),"-")</f>
        <v>-</v>
      </c>
      <c r="Z2371" s="528"/>
      <c r="AA2371" s="898">
        <v>0</v>
      </c>
      <c r="AB2371" s="898">
        <v>0</v>
      </c>
      <c r="AC2371" s="903">
        <v>0</v>
      </c>
      <c r="AD2371" s="896" t="str">
        <f t="shared" ref="AD2371" si="9552">IFERROR((AC2371/AA2371),"-")</f>
        <v>-</v>
      </c>
      <c r="AE2371" s="2"/>
      <c r="AF2371" s="884">
        <v>0</v>
      </c>
      <c r="AG2371" s="884"/>
      <c r="AH2371" s="903">
        <v>0</v>
      </c>
      <c r="AI2371" s="884">
        <v>263.44299999999998</v>
      </c>
      <c r="AJ2371" s="884"/>
      <c r="AK2371" s="884">
        <f t="shared" ref="AK2371" si="9553">AF2371+AG2371+AH2371+AI2371+AJ2371+AC2371</f>
        <v>263.44299999999998</v>
      </c>
      <c r="AL2371" s="884">
        <v>0</v>
      </c>
      <c r="AM2371" s="878" t="str">
        <f t="shared" ref="AM2371" si="9554">IFERROR((AK2371/AL2371),"-")</f>
        <v>-</v>
      </c>
      <c r="AN2371" s="2"/>
      <c r="AO2371" s="884">
        <v>0</v>
      </c>
      <c r="AP2371" s="884">
        <f t="shared" ref="AP2371" si="9555">AO2371-AK2371</f>
        <v>-263.44299999999998</v>
      </c>
      <c r="AV2371" t="str">
        <f t="shared" si="9329"/>
        <v>Seg.3.1 -Aterro 07 - Valeta Manual</v>
      </c>
      <c r="AW2371" s="4" t="str">
        <f t="shared" si="9327"/>
        <v>Desvio da GO-164</v>
      </c>
    </row>
    <row r="2372" spans="1:50" ht="15.6" customHeight="1" outlineLevel="1">
      <c r="A2372" s="8" t="str">
        <f t="shared" ref="A2372" si="9556">A2371</f>
        <v>N</v>
      </c>
      <c r="B2372" s="150"/>
      <c r="C2372" s="150"/>
      <c r="D2372" s="120" t="s">
        <v>2025</v>
      </c>
      <c r="E2372" s="893"/>
      <c r="F2372" s="902"/>
      <c r="G2372" s="528"/>
      <c r="H2372" s="549" t="s">
        <v>38</v>
      </c>
      <c r="I2372" s="711">
        <v>0</v>
      </c>
      <c r="J2372" s="897"/>
      <c r="K2372" s="528"/>
      <c r="L2372" s="549" t="s">
        <v>38</v>
      </c>
      <c r="M2372" s="711">
        <f t="shared" si="9504"/>
        <v>0</v>
      </c>
      <c r="N2372" s="897"/>
      <c r="O2372" s="528"/>
      <c r="P2372" s="548">
        <v>0</v>
      </c>
      <c r="Q2372" s="548">
        <v>0</v>
      </c>
      <c r="R2372" s="548">
        <v>0</v>
      </c>
      <c r="S2372" s="548">
        <v>0</v>
      </c>
      <c r="T2372" s="548">
        <v>0</v>
      </c>
      <c r="U2372" s="548">
        <v>0</v>
      </c>
      <c r="V2372" s="548">
        <v>0</v>
      </c>
      <c r="W2372" s="528"/>
      <c r="X2372" s="711">
        <f t="shared" si="9495"/>
        <v>0</v>
      </c>
      <c r="Y2372" s="897"/>
      <c r="Z2372" s="528"/>
      <c r="AA2372" s="899"/>
      <c r="AB2372" s="899"/>
      <c r="AC2372" s="904"/>
      <c r="AD2372" s="905"/>
      <c r="AE2372" s="2"/>
      <c r="AF2372" s="908"/>
      <c r="AG2372" s="908"/>
      <c r="AH2372" s="904"/>
      <c r="AI2372" s="908"/>
      <c r="AJ2372" s="908"/>
      <c r="AK2372" s="885"/>
      <c r="AL2372" s="885"/>
      <c r="AM2372" s="879"/>
      <c r="AN2372" s="2"/>
      <c r="AO2372" s="886"/>
      <c r="AP2372" s="886"/>
      <c r="AV2372" t="str">
        <f t="shared" si="9329"/>
        <v>Seg.3.1 -Aterro 07 - Valeta Manual</v>
      </c>
      <c r="AW2372" s="4" t="str">
        <f t="shared" si="9327"/>
        <v>Desvio da GO-164</v>
      </c>
    </row>
    <row r="2373" spans="1:50" ht="15.6" customHeight="1" outlineLevel="1">
      <c r="A2373" s="209">
        <v>0</v>
      </c>
      <c r="B2373" s="150"/>
      <c r="C2373" s="150"/>
      <c r="D2373" s="117"/>
      <c r="E2373" s="535"/>
      <c r="F2373" s="536"/>
      <c r="G2373" s="537"/>
      <c r="H2373" s="714"/>
      <c r="I2373" s="555"/>
      <c r="J2373" s="714"/>
      <c r="K2373" s="537"/>
      <c r="L2373" s="714"/>
      <c r="M2373" s="555"/>
      <c r="N2373" s="714"/>
      <c r="O2373" s="537"/>
      <c r="P2373" s="539"/>
      <c r="Q2373" s="539"/>
      <c r="R2373" s="539"/>
      <c r="S2373" s="539"/>
      <c r="T2373" s="539"/>
      <c r="U2373" s="539"/>
      <c r="V2373" s="539"/>
      <c r="W2373" s="537"/>
      <c r="X2373" s="540"/>
      <c r="Y2373" s="537"/>
      <c r="Z2373" s="537"/>
      <c r="AA2373" s="249"/>
      <c r="AB2373" s="249"/>
      <c r="AC2373" s="249"/>
      <c r="AD2373" s="537"/>
      <c r="AE2373" s="3"/>
      <c r="AF2373" s="35"/>
      <c r="AG2373" s="35"/>
      <c r="AH2373" s="35"/>
      <c r="AI2373" s="35"/>
      <c r="AJ2373" s="35"/>
      <c r="AK2373" s="35"/>
      <c r="AL2373" s="35"/>
      <c r="AM2373" s="3"/>
      <c r="AN2373" s="3"/>
      <c r="AO2373" s="35"/>
      <c r="AP2373" s="35"/>
      <c r="AV2373" s="4" t="str">
        <f t="shared" si="9329"/>
        <v>Seg.3.1 -Aterro 07 - Valeta Manual</v>
      </c>
      <c r="AW2373" s="4" t="str">
        <f t="shared" si="9327"/>
        <v>Desvio da GO-164</v>
      </c>
      <c r="AX2373" s="4"/>
    </row>
    <row r="2374" spans="1:50" ht="15.6" customHeight="1" outlineLevel="1">
      <c r="A2374" s="209">
        <v>0</v>
      </c>
      <c r="B2374" s="150"/>
      <c r="C2374" s="150"/>
      <c r="D2374" s="117"/>
      <c r="E2374" s="535"/>
      <c r="F2374" s="541"/>
      <c r="G2374" s="537"/>
      <c r="H2374" s="537"/>
      <c r="I2374" s="250"/>
      <c r="J2374" s="537"/>
      <c r="K2374" s="537"/>
      <c r="L2374" s="537"/>
      <c r="M2374" s="250"/>
      <c r="N2374" s="537"/>
      <c r="O2374" s="537"/>
      <c r="P2374" s="539"/>
      <c r="Q2374" s="539"/>
      <c r="R2374" s="539"/>
      <c r="S2374" s="539"/>
      <c r="T2374" s="539"/>
      <c r="U2374" s="539"/>
      <c r="V2374" s="539"/>
      <c r="W2374" s="537"/>
      <c r="X2374" s="540"/>
      <c r="Y2374" s="537"/>
      <c r="Z2374" s="537"/>
      <c r="AA2374" s="250"/>
      <c r="AB2374" s="250"/>
      <c r="AC2374" s="249"/>
      <c r="AD2374" s="537"/>
      <c r="AE2374" s="3"/>
      <c r="AF2374" s="36"/>
      <c r="AG2374" s="36"/>
      <c r="AH2374" s="36"/>
      <c r="AI2374" s="36"/>
      <c r="AJ2374" s="36"/>
      <c r="AK2374" s="36"/>
      <c r="AL2374" s="36"/>
      <c r="AM2374" s="3"/>
      <c r="AN2374" s="3"/>
      <c r="AO2374" s="36"/>
      <c r="AP2374" s="36"/>
      <c r="AV2374" s="4" t="str">
        <f t="shared" si="9329"/>
        <v>Seg.3.1 -Aterro 07 - Valeta Manual</v>
      </c>
      <c r="AW2374" s="4" t="str">
        <f t="shared" si="9327"/>
        <v>Desvio da GO-164</v>
      </c>
      <c r="AX2374" s="4"/>
    </row>
    <row r="2375" spans="1:50" ht="15.6" customHeight="1" outlineLevel="2" collapsed="1">
      <c r="A2375" s="209">
        <v>0</v>
      </c>
      <c r="B2375" s="150"/>
      <c r="C2375" s="150">
        <v>0</v>
      </c>
      <c r="D2375" s="124"/>
      <c r="E2375" s="994" t="s">
        <v>2664</v>
      </c>
      <c r="F2375" s="902" t="s">
        <v>52</v>
      </c>
      <c r="G2375" s="528"/>
      <c r="H2375" s="529" t="s">
        <v>37</v>
      </c>
      <c r="I2375" s="707">
        <f>I2379+I2393</f>
        <v>520</v>
      </c>
      <c r="J2375" s="900">
        <f t="shared" ref="J2375" si="9557">IFERROR((I2376/I2375),"-")</f>
        <v>0.54807692307692313</v>
      </c>
      <c r="K2375" s="528"/>
      <c r="L2375" s="529" t="s">
        <v>37</v>
      </c>
      <c r="M2375" s="707">
        <f>M2379+M2393</f>
        <v>140</v>
      </c>
      <c r="N2375" s="900">
        <f t="shared" ref="N2375" si="9558">IFERROR((M2376/M2375),"-")</f>
        <v>2.7857142857142856</v>
      </c>
      <c r="O2375" s="528"/>
      <c r="P2375" s="707">
        <f t="shared" ref="P2375:V2376" si="9559">P2379+P2393</f>
        <v>140</v>
      </c>
      <c r="Q2375" s="707">
        <f t="shared" si="9559"/>
        <v>140</v>
      </c>
      <c r="R2375" s="707">
        <f t="shared" si="9559"/>
        <v>140</v>
      </c>
      <c r="S2375" s="707">
        <f t="shared" si="9559"/>
        <v>280</v>
      </c>
      <c r="T2375" s="707">
        <f t="shared" si="9559"/>
        <v>240</v>
      </c>
      <c r="U2375" s="707">
        <f t="shared" si="9559"/>
        <v>240</v>
      </c>
      <c r="V2375" s="708">
        <f t="shared" si="9559"/>
        <v>0</v>
      </c>
      <c r="W2375" s="528"/>
      <c r="X2375" s="707">
        <f>SUMIFS(P2375:V2375,$P$8:$V$8,"&gt;="&amp;$P$8,$P$8:$V$8,"&lt;="&amp;$N$8)</f>
        <v>280</v>
      </c>
      <c r="Y2375" s="900">
        <f t="shared" ref="Y2375" si="9560">IFERROR((X2376/X2375),"-")</f>
        <v>2.4107142857142856</v>
      </c>
      <c r="Z2375" s="528"/>
      <c r="AA2375" s="755">
        <f>AA2379+AA2393</f>
        <v>3359</v>
      </c>
      <c r="AB2375" s="755">
        <f>AB2379+AB2393</f>
        <v>1200</v>
      </c>
      <c r="AC2375" s="755">
        <f>AC2379+AC2393</f>
        <v>621</v>
      </c>
      <c r="AD2375" s="900">
        <f t="shared" ref="AD2375" si="9561">IFERROR((AC2375/AB2375),"-")</f>
        <v>0.51749999999999996</v>
      </c>
      <c r="AE2375" s="40"/>
      <c r="AF2375" s="924">
        <f t="shared" ref="AF2375:AJ2375" si="9562">AF2379+AF2393</f>
        <v>3173.73</v>
      </c>
      <c r="AG2375" s="924">
        <f t="shared" si="9562"/>
        <v>0</v>
      </c>
      <c r="AH2375" s="924">
        <f t="shared" si="9562"/>
        <v>0</v>
      </c>
      <c r="AI2375" s="924">
        <f t="shared" si="9562"/>
        <v>0</v>
      </c>
      <c r="AJ2375" s="924">
        <f t="shared" si="9562"/>
        <v>1211.25</v>
      </c>
      <c r="AK2375" s="755">
        <f>AK2379+AK2393</f>
        <v>5680.98</v>
      </c>
      <c r="AL2375" s="755">
        <f>AL2379+AL2393</f>
        <v>6119.25</v>
      </c>
      <c r="AM2375" s="900">
        <f>IFERROR((AK2375/AL2375),"-")</f>
        <v>0.92837847775462667</v>
      </c>
      <c r="AN2375" s="40"/>
      <c r="AO2375" s="924">
        <f>AO2379+AO2393</f>
        <v>24428</v>
      </c>
      <c r="AP2375" s="924">
        <f>AP2379+AP2393</f>
        <v>18747.02</v>
      </c>
      <c r="AV2375" s="275" t="str">
        <f t="shared" si="9329"/>
        <v>DSH / DHP - Drenos Sub-Horizontal e Horizontal Profundo</v>
      </c>
      <c r="AW2375" s="275" t="str">
        <f t="shared" si="9327"/>
        <v>DSH / DHP - Drenos Sub-Horizontal e Horizontal Profundo</v>
      </c>
      <c r="AX2375" s="275" t="s">
        <v>176</v>
      </c>
    </row>
    <row r="2376" spans="1:50" ht="15.6" customHeight="1" outlineLevel="2">
      <c r="A2376" s="209">
        <v>0</v>
      </c>
      <c r="B2376" s="150"/>
      <c r="C2376" s="150"/>
      <c r="D2376" s="124"/>
      <c r="E2376" s="995"/>
      <c r="F2376" s="902"/>
      <c r="G2376" s="528"/>
      <c r="H2376" s="531" t="s">
        <v>38</v>
      </c>
      <c r="I2376" s="707">
        <f>I2380+I2394</f>
        <v>285</v>
      </c>
      <c r="J2376" s="901"/>
      <c r="K2376" s="528"/>
      <c r="L2376" s="531" t="s">
        <v>38</v>
      </c>
      <c r="M2376" s="707">
        <f>M2380+M2394</f>
        <v>390</v>
      </c>
      <c r="N2376" s="901"/>
      <c r="O2376" s="528"/>
      <c r="P2376" s="707">
        <f t="shared" si="9559"/>
        <v>285</v>
      </c>
      <c r="Q2376" s="707">
        <f t="shared" si="9559"/>
        <v>390</v>
      </c>
      <c r="R2376" s="707">
        <f t="shared" si="9559"/>
        <v>0</v>
      </c>
      <c r="S2376" s="707">
        <f t="shared" si="9559"/>
        <v>0</v>
      </c>
      <c r="T2376" s="707">
        <f t="shared" si="9559"/>
        <v>0</v>
      </c>
      <c r="U2376" s="707">
        <f t="shared" si="9559"/>
        <v>0</v>
      </c>
      <c r="V2376" s="707">
        <f t="shared" si="9559"/>
        <v>0</v>
      </c>
      <c r="W2376" s="528"/>
      <c r="X2376" s="707">
        <f t="shared" ref="X2376" si="9563">SUMIFS(P2376:V2376,$P$8:$V$8,"&gt;="&amp;$P$8,$P$8:$V$8,"&lt;="&amp;$N$8)</f>
        <v>675</v>
      </c>
      <c r="Y2376" s="901"/>
      <c r="Z2376" s="528"/>
      <c r="AA2376" s="756"/>
      <c r="AB2376" s="756"/>
      <c r="AC2376" s="756"/>
      <c r="AD2376" s="901"/>
      <c r="AE2376" s="40"/>
      <c r="AF2376" s="925"/>
      <c r="AG2376" s="925"/>
      <c r="AH2376" s="925"/>
      <c r="AI2376" s="925"/>
      <c r="AJ2376" s="925"/>
      <c r="AK2376" s="756"/>
      <c r="AL2376" s="756"/>
      <c r="AM2376" s="901"/>
      <c r="AN2376" s="40"/>
      <c r="AO2376" s="925"/>
      <c r="AP2376" s="925"/>
      <c r="AV2376" t="str">
        <f t="shared" si="9329"/>
        <v>DSH / DHP - Drenos Sub-Horizontal e Horizontal Profundo</v>
      </c>
      <c r="AW2376" s="4" t="str">
        <f t="shared" si="9327"/>
        <v>DSH / DHP - Drenos Sub-Horizontal e Horizontal Profundo</v>
      </c>
    </row>
    <row r="2377" spans="1:50" ht="15.6" customHeight="1" outlineLevel="2">
      <c r="A2377" s="209">
        <v>0</v>
      </c>
      <c r="B2377" s="150"/>
      <c r="C2377" s="150">
        <v>0</v>
      </c>
      <c r="D2377" s="117"/>
      <c r="E2377" s="535"/>
      <c r="F2377" s="536"/>
      <c r="G2377" s="537"/>
      <c r="H2377" s="714"/>
      <c r="I2377" s="538"/>
      <c r="J2377" s="714"/>
      <c r="K2377" s="537"/>
      <c r="L2377" s="714"/>
      <c r="M2377" s="538"/>
      <c r="N2377" s="714"/>
      <c r="O2377" s="537"/>
      <c r="P2377" s="539"/>
      <c r="Q2377" s="539"/>
      <c r="R2377" s="539"/>
      <c r="S2377" s="539"/>
      <c r="T2377" s="539"/>
      <c r="U2377" s="539"/>
      <c r="V2377" s="539"/>
      <c r="W2377" s="537"/>
      <c r="X2377" s="540"/>
      <c r="Y2377" s="537"/>
      <c r="Z2377" s="537"/>
      <c r="AA2377" s="250"/>
      <c r="AB2377" s="250"/>
      <c r="AC2377" s="249"/>
      <c r="AD2377" s="537"/>
      <c r="AE2377" s="3"/>
      <c r="AF2377" s="36"/>
      <c r="AG2377" s="36"/>
      <c r="AH2377" s="36"/>
      <c r="AI2377" s="36"/>
      <c r="AJ2377" s="36"/>
      <c r="AK2377" s="36"/>
      <c r="AL2377" s="36"/>
      <c r="AM2377" s="3"/>
      <c r="AN2377" s="3"/>
      <c r="AO2377" s="36"/>
      <c r="AP2377" s="36"/>
      <c r="AV2377" t="str">
        <f t="shared" si="9329"/>
        <v>DSH / DHP - Drenos Sub-Horizontal e Horizontal Profundo</v>
      </c>
      <c r="AW2377" s="4" t="str">
        <f t="shared" ref="AW2377:AW2440" si="9564">IF(E2377&lt;&gt;"",E2377,AW2376)</f>
        <v>DSH / DHP - Drenos Sub-Horizontal e Horizontal Profundo</v>
      </c>
    </row>
    <row r="2378" spans="1:50" ht="15.6" customHeight="1" outlineLevel="2">
      <c r="A2378" s="209">
        <v>0</v>
      </c>
      <c r="B2378" s="150"/>
      <c r="C2378" s="150"/>
      <c r="D2378" s="117"/>
      <c r="E2378" s="535"/>
      <c r="F2378" s="541"/>
      <c r="G2378" s="537"/>
      <c r="H2378" s="537"/>
      <c r="I2378" s="250"/>
      <c r="J2378" s="537"/>
      <c r="K2378" s="537"/>
      <c r="L2378" s="537"/>
      <c r="M2378" s="250"/>
      <c r="N2378" s="537"/>
      <c r="O2378" s="537"/>
      <c r="P2378" s="539"/>
      <c r="Q2378" s="539"/>
      <c r="R2378" s="539"/>
      <c r="S2378" s="539"/>
      <c r="T2378" s="539"/>
      <c r="U2378" s="539"/>
      <c r="V2378" s="539"/>
      <c r="W2378" s="537"/>
      <c r="X2378" s="540"/>
      <c r="Y2378" s="537"/>
      <c r="Z2378" s="537"/>
      <c r="AA2378" s="250"/>
      <c r="AB2378" s="250"/>
      <c r="AC2378" s="249"/>
      <c r="AD2378" s="537"/>
      <c r="AE2378" s="3"/>
      <c r="AF2378" s="36"/>
      <c r="AG2378" s="36"/>
      <c r="AH2378" s="36"/>
      <c r="AI2378" s="36"/>
      <c r="AJ2378" s="36"/>
      <c r="AK2378" s="36"/>
      <c r="AL2378" s="36"/>
      <c r="AM2378" s="3"/>
      <c r="AN2378" s="3"/>
      <c r="AO2378" s="36"/>
      <c r="AP2378" s="36"/>
      <c r="AV2378" t="str">
        <f t="shared" ref="AV2378:AV2441" si="9565">IF(AX2378="Y",LEFT(E2378,20),IF(AX2378="x",E2378,AV2377))</f>
        <v>DSH / DHP - Drenos Sub-Horizontal e Horizontal Profundo</v>
      </c>
      <c r="AW2378" s="4" t="str">
        <f t="shared" si="9564"/>
        <v>DSH / DHP - Drenos Sub-Horizontal e Horizontal Profundo</v>
      </c>
    </row>
    <row r="2379" spans="1:50" ht="15.6" customHeight="1" outlineLevel="2">
      <c r="A2379" s="209">
        <v>0</v>
      </c>
      <c r="B2379" s="150"/>
      <c r="C2379" s="150">
        <v>0</v>
      </c>
      <c r="D2379" s="122"/>
      <c r="E2379" s="913" t="s">
        <v>39</v>
      </c>
      <c r="F2379" s="859" t="s">
        <v>52</v>
      </c>
      <c r="G2379" s="528"/>
      <c r="H2379" s="542" t="s">
        <v>37</v>
      </c>
      <c r="I2379" s="543">
        <f>SUMIF($L2381:$L2388,$L2379,I2381:I2388)</f>
        <v>520</v>
      </c>
      <c r="J2379" s="860">
        <f>IFERROR((I2380/I2379),"-")</f>
        <v>0.54807692307692313</v>
      </c>
      <c r="K2379" s="528"/>
      <c r="L2379" s="542" t="s">
        <v>37</v>
      </c>
      <c r="M2379" s="543">
        <f>SUMIF($L2381:$L2390,$L2379,M2381:M2390)</f>
        <v>0</v>
      </c>
      <c r="N2379" s="860" t="str">
        <f>IFERROR((M2380/M2379),"-")</f>
        <v>-</v>
      </c>
      <c r="O2379" s="528"/>
      <c r="P2379" s="543">
        <f>SUMIF($L2381:$L2390,$L2379,P2381:P2390)</f>
        <v>0</v>
      </c>
      <c r="Q2379" s="543">
        <f t="shared" ref="Q2379:V2379" si="9566">SUMIF($L2381:$L2390,$L2379,Q2381:Q2390)</f>
        <v>0</v>
      </c>
      <c r="R2379" s="543">
        <f t="shared" si="9566"/>
        <v>0</v>
      </c>
      <c r="S2379" s="543">
        <f t="shared" si="9566"/>
        <v>0</v>
      </c>
      <c r="T2379" s="543">
        <f t="shared" si="9566"/>
        <v>0</v>
      </c>
      <c r="U2379" s="543">
        <f t="shared" si="9566"/>
        <v>0</v>
      </c>
      <c r="V2379" s="543">
        <f t="shared" si="9566"/>
        <v>0</v>
      </c>
      <c r="W2379" s="528"/>
      <c r="X2379" s="543">
        <f t="shared" ref="X2379:X2390" si="9567">SUMIFS(P2379:V2379,$P$8:$V$8,"&gt;="&amp;$P$8,$P$8:$V$8,"&lt;="&amp;$N$8)</f>
        <v>0</v>
      </c>
      <c r="Y2379" s="860" t="str">
        <f>IFERROR((X2380/X2379),"-")</f>
        <v>-</v>
      </c>
      <c r="Z2379" s="528"/>
      <c r="AA2379" s="814">
        <f>SUM(AA2381:AA2390)</f>
        <v>264</v>
      </c>
      <c r="AB2379" s="814">
        <f>SUM(AB2381:AB2390)</f>
        <v>1200</v>
      </c>
      <c r="AC2379" s="814">
        <f>SUM(AC2381:AC2388)</f>
        <v>621</v>
      </c>
      <c r="AD2379" s="911">
        <f t="shared" ref="AD2379" si="9568">IFERROR((AC2379/AA2379),"-")</f>
        <v>2.3522727272727271</v>
      </c>
      <c r="AE2379" s="2"/>
      <c r="AF2379" s="888">
        <f t="shared" ref="AF2379:AL2379" si="9569">SUM(AF2381:AF2390)</f>
        <v>1972.98</v>
      </c>
      <c r="AG2379" s="888">
        <f t="shared" si="9569"/>
        <v>0</v>
      </c>
      <c r="AH2379" s="888">
        <f t="shared" si="9569"/>
        <v>0</v>
      </c>
      <c r="AI2379" s="888">
        <f t="shared" si="9569"/>
        <v>0</v>
      </c>
      <c r="AJ2379" s="888">
        <f t="shared" ref="AJ2379" si="9570">SUM(AJ2381:AJ2390)</f>
        <v>1211.25</v>
      </c>
      <c r="AK2379" s="888">
        <f t="shared" si="9569"/>
        <v>3805.23</v>
      </c>
      <c r="AL2379" s="888">
        <f t="shared" si="9569"/>
        <v>4858.12</v>
      </c>
      <c r="AM2379" s="743">
        <f>IFERROR((AK2379/AL2379),"-")</f>
        <v>0.7832721299597375</v>
      </c>
      <c r="AN2379" s="2"/>
      <c r="AO2379" s="888">
        <f>SUM(AO2381:AO2390)</f>
        <v>7962</v>
      </c>
      <c r="AP2379" s="888">
        <f>SUM(AP2381:AP2388)</f>
        <v>4156.7700000000004</v>
      </c>
      <c r="AV2379" t="str">
        <f t="shared" si="9565"/>
        <v>DSH / DHP - Drenos Sub-Horizontal e Horizontal Profundo</v>
      </c>
      <c r="AW2379" s="4" t="str">
        <f t="shared" si="9564"/>
        <v>Pacote 04 - Segmento 2.2B- Km 104+500 a Km 116+400</v>
      </c>
    </row>
    <row r="2380" spans="1:50" ht="15.6" customHeight="1" outlineLevel="2">
      <c r="A2380" s="209">
        <v>0</v>
      </c>
      <c r="B2380" s="150"/>
      <c r="C2380" s="150"/>
      <c r="D2380" s="123"/>
      <c r="E2380" s="913"/>
      <c r="F2380" s="859"/>
      <c r="G2380" s="528"/>
      <c r="H2380" s="544" t="s">
        <v>38</v>
      </c>
      <c r="I2380" s="543">
        <f>SUMIF($L2381:$L2388,$L2380,I2381:I2388)</f>
        <v>285</v>
      </c>
      <c r="J2380" s="861"/>
      <c r="K2380" s="528"/>
      <c r="L2380" s="544" t="s">
        <v>38</v>
      </c>
      <c r="M2380" s="543">
        <f>SUMIF($L2381:$L2390,$L2380,M2381:M2390)</f>
        <v>0</v>
      </c>
      <c r="N2380" s="861"/>
      <c r="O2380" s="528"/>
      <c r="P2380" s="543">
        <f>SUMIF($L2381:$L2390,$L2380,P2381:P2390)</f>
        <v>0</v>
      </c>
      <c r="Q2380" s="543">
        <f t="shared" ref="Q2380:V2380" si="9571">SUMIF($L2381:$L2390,$L2380,Q2381:Q2390)</f>
        <v>0</v>
      </c>
      <c r="R2380" s="543">
        <f t="shared" si="9571"/>
        <v>0</v>
      </c>
      <c r="S2380" s="543">
        <f t="shared" si="9571"/>
        <v>0</v>
      </c>
      <c r="T2380" s="543">
        <f t="shared" si="9571"/>
        <v>0</v>
      </c>
      <c r="U2380" s="543">
        <f t="shared" si="9571"/>
        <v>0</v>
      </c>
      <c r="V2380" s="543">
        <f t="shared" si="9571"/>
        <v>0</v>
      </c>
      <c r="W2380" s="528"/>
      <c r="X2380" s="543">
        <f t="shared" si="9567"/>
        <v>0</v>
      </c>
      <c r="Y2380" s="861"/>
      <c r="Z2380" s="528"/>
      <c r="AA2380" s="815"/>
      <c r="AB2380" s="815"/>
      <c r="AC2380" s="815"/>
      <c r="AD2380" s="912"/>
      <c r="AE2380" s="2"/>
      <c r="AF2380" s="889"/>
      <c r="AG2380" s="889"/>
      <c r="AH2380" s="889"/>
      <c r="AI2380" s="889"/>
      <c r="AJ2380" s="889"/>
      <c r="AK2380" s="889"/>
      <c r="AL2380" s="889"/>
      <c r="AM2380" s="744"/>
      <c r="AN2380" s="2"/>
      <c r="AO2380" s="889"/>
      <c r="AP2380" s="889"/>
      <c r="AV2380" t="str">
        <f t="shared" si="9565"/>
        <v>DSH / DHP - Drenos Sub-Horizontal e Horizontal Profundo</v>
      </c>
      <c r="AW2380" s="4" t="str">
        <f t="shared" si="9564"/>
        <v>Pacote 04 - Segmento 2.2B- Km 104+500 a Km 116+400</v>
      </c>
    </row>
    <row r="2381" spans="1:50" ht="24" customHeight="1" outlineLevel="2">
      <c r="A2381" s="8" t="str">
        <f t="shared" ref="A2381" si="9572">IF(SUM(P2381:V2382)&gt;0,"S","N")</f>
        <v>N</v>
      </c>
      <c r="B2381" s="150">
        <v>1066422</v>
      </c>
      <c r="C2381" s="150" t="s">
        <v>2665</v>
      </c>
      <c r="D2381" s="120" t="s">
        <v>209</v>
      </c>
      <c r="E2381" s="892" t="s">
        <v>2666</v>
      </c>
      <c r="F2381" s="902" t="s">
        <v>52</v>
      </c>
      <c r="G2381" s="528"/>
      <c r="H2381" s="546" t="s">
        <v>37</v>
      </c>
      <c r="I2381" s="711">
        <v>0</v>
      </c>
      <c r="J2381" s="896" t="str">
        <f t="shared" ref="J2381" si="9573">IFERROR((I2382/I2381),"-")</f>
        <v>-</v>
      </c>
      <c r="K2381" s="528"/>
      <c r="L2381" s="546" t="s">
        <v>37</v>
      </c>
      <c r="M2381" s="711">
        <f t="shared" ref="M2381:M2390" si="9574">_xlfn.XLOOKUP($N$8,$P$8:$V$8,$P2381:$V2381)</f>
        <v>0</v>
      </c>
      <c r="N2381" s="896" t="str">
        <f t="shared" ref="N2381" si="9575">IFERROR((M2382/M2381),"-")</f>
        <v>-</v>
      </c>
      <c r="O2381" s="528"/>
      <c r="P2381" s="547">
        <v>0</v>
      </c>
      <c r="Q2381" s="547">
        <v>0</v>
      </c>
      <c r="R2381" s="547">
        <v>0</v>
      </c>
      <c r="S2381" s="547">
        <v>0</v>
      </c>
      <c r="T2381" s="547">
        <v>0</v>
      </c>
      <c r="U2381" s="547">
        <v>0</v>
      </c>
      <c r="V2381" s="548">
        <v>0</v>
      </c>
      <c r="W2381" s="528"/>
      <c r="X2381" s="711">
        <f t="shared" si="9567"/>
        <v>0</v>
      </c>
      <c r="Y2381" s="896" t="str">
        <f t="shared" ref="Y2381" si="9576">IFERROR((X2382/X2381),"-")</f>
        <v>-</v>
      </c>
      <c r="Z2381" s="528"/>
      <c r="AA2381" s="898">
        <v>0</v>
      </c>
      <c r="AB2381" s="898">
        <v>0</v>
      </c>
      <c r="AC2381" s="903">
        <v>0</v>
      </c>
      <c r="AD2381" s="896" t="str">
        <f t="shared" ref="AD2381" si="9577">IFERROR((AC2381/AA2381),"-")</f>
        <v>-</v>
      </c>
      <c r="AE2381" s="2"/>
      <c r="AF2381" s="884">
        <v>1180.98</v>
      </c>
      <c r="AG2381" s="884"/>
      <c r="AH2381" s="884">
        <v>0</v>
      </c>
      <c r="AI2381" s="884"/>
      <c r="AJ2381" s="884"/>
      <c r="AK2381" s="884">
        <f t="shared" ref="AK2381" si="9578">AF2381+AG2381+AH2381+AI2381+AJ2381+AC2381</f>
        <v>1180.98</v>
      </c>
      <c r="AL2381" s="884">
        <v>1180.9599999999998</v>
      </c>
      <c r="AM2381" s="878">
        <f t="shared" ref="AM2381" si="9579">IFERROR((AK2381/AL2381),"-")</f>
        <v>1.0000169353746107</v>
      </c>
      <c r="AN2381" s="2"/>
      <c r="AO2381" s="884">
        <v>2286</v>
      </c>
      <c r="AP2381" s="884">
        <f t="shared" ref="AP2381" si="9580">AO2381-AK2381</f>
        <v>1105.02</v>
      </c>
      <c r="AU2381" s="4"/>
      <c r="AV2381" s="4" t="str">
        <f t="shared" si="9565"/>
        <v>DSH / DHP - Drenos Sub-Horizontal e Horizontal Profundo</v>
      </c>
      <c r="AW2381" s="4" t="str">
        <f t="shared" si="9564"/>
        <v xml:space="preserve">   Seg. 2.2-C12 - Instalação de DSH01 - Seg.2.2B C 12</v>
      </c>
      <c r="AX2381" s="4"/>
    </row>
    <row r="2382" spans="1:50" ht="24" customHeight="1" outlineLevel="2">
      <c r="A2382" s="8" t="str">
        <f t="shared" ref="A2382" si="9581">A2381</f>
        <v>N</v>
      </c>
      <c r="B2382" s="150"/>
      <c r="C2382" s="150"/>
      <c r="D2382" s="120" t="s">
        <v>209</v>
      </c>
      <c r="E2382" s="893"/>
      <c r="F2382" s="902"/>
      <c r="G2382" s="528"/>
      <c r="H2382" s="549" t="s">
        <v>38</v>
      </c>
      <c r="I2382" s="711">
        <v>0</v>
      </c>
      <c r="J2382" s="897"/>
      <c r="K2382" s="528"/>
      <c r="L2382" s="549" t="s">
        <v>38</v>
      </c>
      <c r="M2382" s="711">
        <f t="shared" si="9574"/>
        <v>0</v>
      </c>
      <c r="N2382" s="897"/>
      <c r="O2382" s="528"/>
      <c r="P2382" s="548">
        <v>0</v>
      </c>
      <c r="Q2382" s="548">
        <v>0</v>
      </c>
      <c r="R2382" s="548">
        <v>0</v>
      </c>
      <c r="S2382" s="548">
        <v>0</v>
      </c>
      <c r="T2382" s="548">
        <v>0</v>
      </c>
      <c r="U2382" s="548">
        <v>0</v>
      </c>
      <c r="V2382" s="548">
        <v>0</v>
      </c>
      <c r="W2382" s="528"/>
      <c r="X2382" s="711">
        <f t="shared" si="9567"/>
        <v>0</v>
      </c>
      <c r="Y2382" s="897"/>
      <c r="Z2382" s="528"/>
      <c r="AA2382" s="899"/>
      <c r="AB2382" s="899"/>
      <c r="AC2382" s="904"/>
      <c r="AD2382" s="905"/>
      <c r="AE2382" s="2"/>
      <c r="AF2382" s="885"/>
      <c r="AG2382" s="885"/>
      <c r="AH2382" s="885"/>
      <c r="AI2382" s="885"/>
      <c r="AJ2382" s="885"/>
      <c r="AK2382" s="885"/>
      <c r="AL2382" s="885"/>
      <c r="AM2382" s="879"/>
      <c r="AN2382" s="2"/>
      <c r="AO2382" s="886"/>
      <c r="AP2382" s="886"/>
      <c r="AV2382" t="str">
        <f t="shared" si="9565"/>
        <v>DSH / DHP - Drenos Sub-Horizontal e Horizontal Profundo</v>
      </c>
      <c r="AW2382" s="4" t="str">
        <f t="shared" si="9564"/>
        <v xml:space="preserve">   Seg. 2.2-C12 - Instalação de DSH01 - Seg.2.2B C 12</v>
      </c>
    </row>
    <row r="2383" spans="1:50" ht="15.6" customHeight="1" outlineLevel="2">
      <c r="A2383" s="8" t="str">
        <f t="shared" ref="A2383" si="9582">IF(SUM(P2383:V2384)&gt;0,"S","N")</f>
        <v>N</v>
      </c>
      <c r="B2383" s="150">
        <v>1066423</v>
      </c>
      <c r="C2383" s="150" t="s">
        <v>2667</v>
      </c>
      <c r="D2383" s="120" t="s">
        <v>212</v>
      </c>
      <c r="E2383" s="892" t="s">
        <v>2668</v>
      </c>
      <c r="F2383" s="902" t="s">
        <v>52</v>
      </c>
      <c r="G2383" s="528"/>
      <c r="H2383" s="546" t="s">
        <v>37</v>
      </c>
      <c r="I2383" s="711">
        <v>0</v>
      </c>
      <c r="J2383" s="896" t="str">
        <f t="shared" ref="J2383" si="9583">IFERROR((I2384/I2383),"-")</f>
        <v>-</v>
      </c>
      <c r="K2383" s="528"/>
      <c r="L2383" s="546" t="s">
        <v>37</v>
      </c>
      <c r="M2383" s="711">
        <f t="shared" si="9574"/>
        <v>0</v>
      </c>
      <c r="N2383" s="896" t="str">
        <f t="shared" ref="N2383" si="9584">IFERROR((M2384/M2383),"-")</f>
        <v>-</v>
      </c>
      <c r="O2383" s="528"/>
      <c r="P2383" s="547">
        <v>0</v>
      </c>
      <c r="Q2383" s="547">
        <v>0</v>
      </c>
      <c r="R2383" s="547">
        <v>0</v>
      </c>
      <c r="S2383" s="547">
        <v>0</v>
      </c>
      <c r="T2383" s="547">
        <v>0</v>
      </c>
      <c r="U2383" s="547">
        <v>0</v>
      </c>
      <c r="V2383" s="548">
        <v>0</v>
      </c>
      <c r="W2383" s="528"/>
      <c r="X2383" s="711">
        <f t="shared" si="9567"/>
        <v>0</v>
      </c>
      <c r="Y2383" s="896" t="str">
        <f t="shared" ref="Y2383" si="9585">IFERROR((X2384/X2383),"-")</f>
        <v>-</v>
      </c>
      <c r="Z2383" s="528"/>
      <c r="AA2383" s="898">
        <v>0</v>
      </c>
      <c r="AB2383" s="898">
        <v>0</v>
      </c>
      <c r="AC2383" s="903">
        <v>0</v>
      </c>
      <c r="AD2383" s="896" t="str">
        <f t="shared" ref="AD2383" si="9586">IFERROR((AC2383/AA2383),"-")</f>
        <v>-</v>
      </c>
      <c r="AE2383" s="2"/>
      <c r="AF2383" s="884">
        <v>0</v>
      </c>
      <c r="AG2383" s="884"/>
      <c r="AH2383" s="884">
        <v>0</v>
      </c>
      <c r="AI2383" s="884"/>
      <c r="AJ2383" s="884">
        <v>1211.25</v>
      </c>
      <c r="AK2383" s="884">
        <f t="shared" ref="AK2383" si="9587">AF2383+AG2383+AH2383+AI2383+AJ2383+AC2383</f>
        <v>1211.25</v>
      </c>
      <c r="AL2383" s="884">
        <v>1541.2299999999996</v>
      </c>
      <c r="AM2383" s="878">
        <f t="shared" ref="AM2383" si="9588">IFERROR((AK2383/AL2383),"-")</f>
        <v>0.78589827605224416</v>
      </c>
      <c r="AN2383" s="2"/>
      <c r="AO2383" s="884">
        <v>3540</v>
      </c>
      <c r="AP2383" s="884">
        <f t="shared" ref="AP2383" si="9589">AO2383-AK2383</f>
        <v>2328.75</v>
      </c>
      <c r="AV2383" t="str">
        <f t="shared" si="9565"/>
        <v>DSH / DHP - Drenos Sub-Horizontal e Horizontal Profundo</v>
      </c>
      <c r="AW2383" s="4" t="str">
        <f t="shared" si="9564"/>
        <v xml:space="preserve">   Seg. 2.2-C13 - Instalação de DSH01 - Seg.2.2B C 13</v>
      </c>
    </row>
    <row r="2384" spans="1:50" ht="15.6" customHeight="1" outlineLevel="2">
      <c r="A2384" s="8" t="str">
        <f t="shared" ref="A2384" si="9590">A2383</f>
        <v>N</v>
      </c>
      <c r="B2384" s="150"/>
      <c r="C2384" s="150"/>
      <c r="D2384" s="120" t="s">
        <v>212</v>
      </c>
      <c r="E2384" s="893"/>
      <c r="F2384" s="902"/>
      <c r="G2384" s="528"/>
      <c r="H2384" s="549" t="s">
        <v>38</v>
      </c>
      <c r="I2384" s="711">
        <v>0</v>
      </c>
      <c r="J2384" s="897"/>
      <c r="K2384" s="528"/>
      <c r="L2384" s="549" t="s">
        <v>38</v>
      </c>
      <c r="M2384" s="711">
        <f t="shared" si="9574"/>
        <v>0</v>
      </c>
      <c r="N2384" s="897"/>
      <c r="O2384" s="528"/>
      <c r="P2384" s="548">
        <v>0</v>
      </c>
      <c r="Q2384" s="548">
        <v>0</v>
      </c>
      <c r="R2384" s="548">
        <v>0</v>
      </c>
      <c r="S2384" s="548">
        <v>0</v>
      </c>
      <c r="T2384" s="548">
        <v>0</v>
      </c>
      <c r="U2384" s="548">
        <v>0</v>
      </c>
      <c r="V2384" s="548">
        <v>0</v>
      </c>
      <c r="W2384" s="528"/>
      <c r="X2384" s="711">
        <f t="shared" si="9567"/>
        <v>0</v>
      </c>
      <c r="Y2384" s="897"/>
      <c r="Z2384" s="528"/>
      <c r="AA2384" s="899"/>
      <c r="AB2384" s="899"/>
      <c r="AC2384" s="904"/>
      <c r="AD2384" s="905"/>
      <c r="AE2384" s="2"/>
      <c r="AF2384" s="885"/>
      <c r="AG2384" s="885"/>
      <c r="AH2384" s="885"/>
      <c r="AI2384" s="885"/>
      <c r="AJ2384" s="885"/>
      <c r="AK2384" s="885"/>
      <c r="AL2384" s="885"/>
      <c r="AM2384" s="879"/>
      <c r="AN2384" s="2"/>
      <c r="AO2384" s="886"/>
      <c r="AP2384" s="886"/>
      <c r="AV2384" t="str">
        <f t="shared" si="9565"/>
        <v>DSH / DHP - Drenos Sub-Horizontal e Horizontal Profundo</v>
      </c>
      <c r="AW2384" s="4" t="str">
        <f t="shared" si="9564"/>
        <v xml:space="preserve">   Seg. 2.2-C13 - Instalação de DSH01 - Seg.2.2B C 13</v>
      </c>
    </row>
    <row r="2385" spans="1:50" ht="15.6" customHeight="1" outlineLevel="2">
      <c r="A2385" s="8" t="str">
        <f t="shared" ref="A2385" si="9591">IF(SUM(P2385:V2386)&gt;0,"S","N")</f>
        <v>N</v>
      </c>
      <c r="B2385" s="150">
        <v>1069446</v>
      </c>
      <c r="C2385" s="150" t="s">
        <v>2669</v>
      </c>
      <c r="D2385" s="120" t="s">
        <v>191</v>
      </c>
      <c r="E2385" s="892" t="s">
        <v>2670</v>
      </c>
      <c r="F2385" s="902" t="s">
        <v>52</v>
      </c>
      <c r="G2385" s="528"/>
      <c r="H2385" s="546" t="s">
        <v>37</v>
      </c>
      <c r="I2385" s="711">
        <v>0</v>
      </c>
      <c r="J2385" s="896" t="str">
        <f t="shared" ref="J2385" si="9592">IFERROR((I2386/I2385),"-")</f>
        <v>-</v>
      </c>
      <c r="K2385" s="528"/>
      <c r="L2385" s="546" t="s">
        <v>37</v>
      </c>
      <c r="M2385" s="711">
        <f t="shared" si="9574"/>
        <v>0</v>
      </c>
      <c r="N2385" s="896" t="str">
        <f t="shared" ref="N2385" si="9593">IFERROR((M2386/M2385),"-")</f>
        <v>-</v>
      </c>
      <c r="O2385" s="528"/>
      <c r="P2385" s="547">
        <v>0</v>
      </c>
      <c r="Q2385" s="547">
        <v>0</v>
      </c>
      <c r="R2385" s="547">
        <v>0</v>
      </c>
      <c r="S2385" s="547">
        <v>0</v>
      </c>
      <c r="T2385" s="547">
        <v>0</v>
      </c>
      <c r="U2385" s="547">
        <v>0</v>
      </c>
      <c r="V2385" s="548">
        <v>0</v>
      </c>
      <c r="W2385" s="528"/>
      <c r="X2385" s="711">
        <f t="shared" si="9567"/>
        <v>0</v>
      </c>
      <c r="Y2385" s="896" t="str">
        <f t="shared" ref="Y2385" si="9594">IFERROR((X2386/X2385),"-")</f>
        <v>-</v>
      </c>
      <c r="Z2385" s="528"/>
      <c r="AA2385" s="898">
        <v>0</v>
      </c>
      <c r="AB2385" s="898">
        <v>0</v>
      </c>
      <c r="AC2385" s="903">
        <v>0</v>
      </c>
      <c r="AD2385" s="896" t="str">
        <f t="shared" ref="AD2385" si="9595">IFERROR((AC2385/AA2385),"-")</f>
        <v>-</v>
      </c>
      <c r="AE2385" s="2"/>
      <c r="AF2385" s="884">
        <v>792</v>
      </c>
      <c r="AG2385" s="884"/>
      <c r="AH2385" s="884">
        <v>0</v>
      </c>
      <c r="AI2385" s="884"/>
      <c r="AJ2385" s="884"/>
      <c r="AK2385" s="884">
        <f t="shared" ref="AK2385" si="9596">AF2385+AG2385+AH2385+AI2385+AJ2385+AC2385</f>
        <v>792</v>
      </c>
      <c r="AL2385" s="884">
        <v>791.93000000000029</v>
      </c>
      <c r="AM2385" s="878">
        <f t="shared" ref="AM2385" si="9597">IFERROR((AK2385/AL2385),"-")</f>
        <v>1.0000883916507768</v>
      </c>
      <c r="AN2385" s="2"/>
      <c r="AO2385" s="884">
        <v>792</v>
      </c>
      <c r="AP2385" s="884">
        <f t="shared" ref="AP2385" si="9598">AO2385-AK2385</f>
        <v>0</v>
      </c>
      <c r="AV2385" t="str">
        <f t="shared" si="9565"/>
        <v>DSH / DHP - Drenos Sub-Horizontal e Horizontal Profundo</v>
      </c>
      <c r="AW2385" s="4" t="str">
        <f t="shared" si="9564"/>
        <v xml:space="preserve">   Seg. 2.2-C05 - Instalação de DSH01 - Seg.2.2B C05</v>
      </c>
    </row>
    <row r="2386" spans="1:50" ht="15.6" customHeight="1" outlineLevel="1">
      <c r="A2386" s="8" t="str">
        <f t="shared" ref="A2386" si="9599">A2385</f>
        <v>N</v>
      </c>
      <c r="B2386" s="150"/>
      <c r="C2386" s="150"/>
      <c r="D2386" s="120" t="s">
        <v>191</v>
      </c>
      <c r="E2386" s="893"/>
      <c r="F2386" s="902"/>
      <c r="G2386" s="528"/>
      <c r="H2386" s="549" t="s">
        <v>38</v>
      </c>
      <c r="I2386" s="711">
        <v>0</v>
      </c>
      <c r="J2386" s="897"/>
      <c r="K2386" s="528"/>
      <c r="L2386" s="549" t="s">
        <v>38</v>
      </c>
      <c r="M2386" s="711">
        <f t="shared" si="9574"/>
        <v>0</v>
      </c>
      <c r="N2386" s="897"/>
      <c r="O2386" s="528"/>
      <c r="P2386" s="548">
        <v>0</v>
      </c>
      <c r="Q2386" s="548">
        <v>0</v>
      </c>
      <c r="R2386" s="548">
        <v>0</v>
      </c>
      <c r="S2386" s="548">
        <v>0</v>
      </c>
      <c r="T2386" s="548">
        <v>0</v>
      </c>
      <c r="U2386" s="548">
        <v>0</v>
      </c>
      <c r="V2386" s="548">
        <v>0</v>
      </c>
      <c r="W2386" s="528"/>
      <c r="X2386" s="711">
        <f t="shared" si="9567"/>
        <v>0</v>
      </c>
      <c r="Y2386" s="897"/>
      <c r="Z2386" s="528"/>
      <c r="AA2386" s="899"/>
      <c r="AB2386" s="899"/>
      <c r="AC2386" s="904"/>
      <c r="AD2386" s="905"/>
      <c r="AE2386" s="2"/>
      <c r="AF2386" s="885"/>
      <c r="AG2386" s="885"/>
      <c r="AH2386" s="885"/>
      <c r="AI2386" s="885"/>
      <c r="AJ2386" s="885"/>
      <c r="AK2386" s="885"/>
      <c r="AL2386" s="885"/>
      <c r="AM2386" s="879"/>
      <c r="AN2386" s="2"/>
      <c r="AO2386" s="886"/>
      <c r="AP2386" s="886"/>
      <c r="AV2386" t="str">
        <f t="shared" si="9565"/>
        <v>DSH / DHP - Drenos Sub-Horizontal e Horizontal Profundo</v>
      </c>
      <c r="AW2386" s="4" t="str">
        <f t="shared" si="9564"/>
        <v xml:space="preserve">   Seg. 2.2-C05 - Instalação de DSH01 - Seg.2.2B C05</v>
      </c>
    </row>
    <row r="2387" spans="1:50" ht="15.6" customHeight="1" outlineLevel="1">
      <c r="A2387" s="8" t="str">
        <f t="shared" ref="A2387" si="9600">IF(SUM(P2387:V2388)&gt;0,"S","N")</f>
        <v>N</v>
      </c>
      <c r="B2387" s="150">
        <v>1069856</v>
      </c>
      <c r="C2387" s="150" t="s">
        <v>2671</v>
      </c>
      <c r="D2387" s="147" t="s">
        <v>187</v>
      </c>
      <c r="E2387" s="892" t="s">
        <v>2672</v>
      </c>
      <c r="F2387" s="902" t="s">
        <v>52</v>
      </c>
      <c r="G2387" s="528"/>
      <c r="H2387" s="546" t="s">
        <v>37</v>
      </c>
      <c r="I2387" s="711">
        <v>520</v>
      </c>
      <c r="J2387" s="896">
        <f t="shared" ref="J2387" si="9601">IFERROR((I2388/I2387),"-")</f>
        <v>0.54807692307692313</v>
      </c>
      <c r="K2387" s="528"/>
      <c r="L2387" s="546" t="s">
        <v>37</v>
      </c>
      <c r="M2387" s="711">
        <f t="shared" si="9574"/>
        <v>0</v>
      </c>
      <c r="N2387" s="896" t="str">
        <f t="shared" ref="N2387" si="9602">IFERROR((M2388/M2387),"-")</f>
        <v>-</v>
      </c>
      <c r="O2387" s="528"/>
      <c r="P2387" s="547">
        <v>0</v>
      </c>
      <c r="Q2387" s="547">
        <v>0</v>
      </c>
      <c r="R2387" s="547">
        <v>0</v>
      </c>
      <c r="S2387" s="547">
        <v>0</v>
      </c>
      <c r="T2387" s="547">
        <v>0</v>
      </c>
      <c r="U2387" s="547">
        <v>0</v>
      </c>
      <c r="V2387" s="548">
        <v>0</v>
      </c>
      <c r="W2387" s="528"/>
      <c r="X2387" s="711">
        <f t="shared" si="9567"/>
        <v>0</v>
      </c>
      <c r="Y2387" s="896" t="str">
        <f t="shared" ref="Y2387" si="9603">IFERROR((X2388/X2387),"-")</f>
        <v>-</v>
      </c>
      <c r="Z2387" s="528"/>
      <c r="AA2387" s="898">
        <v>264</v>
      </c>
      <c r="AB2387" s="898">
        <v>1200</v>
      </c>
      <c r="AC2387" s="903">
        <v>621</v>
      </c>
      <c r="AD2387" s="896">
        <f t="shared" ref="AD2387" si="9604">IFERROR((AC2387/AA2387),"-")</f>
        <v>2.3522727272727271</v>
      </c>
      <c r="AE2387" s="2"/>
      <c r="AF2387" s="884">
        <v>0</v>
      </c>
      <c r="AG2387" s="884"/>
      <c r="AH2387" s="884">
        <v>0</v>
      </c>
      <c r="AI2387" s="884"/>
      <c r="AJ2387" s="884"/>
      <c r="AK2387" s="884">
        <f t="shared" ref="AK2387:AK2389" si="9605">AF2387+AG2387+AH2387+AI2387+AJ2387+AC2387</f>
        <v>621</v>
      </c>
      <c r="AL2387" s="884">
        <v>1344</v>
      </c>
      <c r="AM2387" s="878">
        <f t="shared" ref="AM2387" si="9606">IFERROR((AK2387/AL2387),"-")</f>
        <v>0.46205357142857145</v>
      </c>
      <c r="AN2387" s="2"/>
      <c r="AO2387" s="884">
        <v>1344</v>
      </c>
      <c r="AP2387" s="884">
        <f t="shared" ref="AP2387:AP2389" si="9607">AO2387-AK2387</f>
        <v>723</v>
      </c>
      <c r="AV2387" t="str">
        <f t="shared" si="9565"/>
        <v>DSH / DHP - Drenos Sub-Horizontal e Horizontal Profundo</v>
      </c>
      <c r="AW2387" s="4" t="str">
        <f t="shared" si="9564"/>
        <v xml:space="preserve">   Instalação de DSH01 - Seg.2.2 C 04_Plataforma</v>
      </c>
    </row>
    <row r="2388" spans="1:50" ht="15.6" customHeight="1" outlineLevel="1">
      <c r="A2388" s="8" t="str">
        <f t="shared" ref="A2388:A2390" si="9608">A2387</f>
        <v>N</v>
      </c>
      <c r="B2388" s="150"/>
      <c r="C2388" s="150"/>
      <c r="D2388" s="147" t="s">
        <v>187</v>
      </c>
      <c r="E2388" s="893"/>
      <c r="F2388" s="902"/>
      <c r="G2388" s="528"/>
      <c r="H2388" s="549" t="s">
        <v>38</v>
      </c>
      <c r="I2388" s="711">
        <v>285</v>
      </c>
      <c r="J2388" s="897"/>
      <c r="K2388" s="528"/>
      <c r="L2388" s="549" t="s">
        <v>38</v>
      </c>
      <c r="M2388" s="711">
        <f t="shared" si="9574"/>
        <v>0</v>
      </c>
      <c r="N2388" s="897"/>
      <c r="O2388" s="528"/>
      <c r="P2388" s="548">
        <v>0</v>
      </c>
      <c r="Q2388" s="548">
        <v>0</v>
      </c>
      <c r="R2388" s="548">
        <v>0</v>
      </c>
      <c r="S2388" s="548">
        <v>0</v>
      </c>
      <c r="T2388" s="548">
        <v>0</v>
      </c>
      <c r="U2388" s="548">
        <v>0</v>
      </c>
      <c r="V2388" s="548">
        <v>0</v>
      </c>
      <c r="W2388" s="528"/>
      <c r="X2388" s="711">
        <f t="shared" si="9567"/>
        <v>0</v>
      </c>
      <c r="Y2388" s="897"/>
      <c r="Z2388" s="528"/>
      <c r="AA2388" s="899"/>
      <c r="AB2388" s="899"/>
      <c r="AC2388" s="904"/>
      <c r="AD2388" s="905"/>
      <c r="AE2388" s="2"/>
      <c r="AF2388" s="885"/>
      <c r="AG2388" s="885"/>
      <c r="AH2388" s="885"/>
      <c r="AI2388" s="885"/>
      <c r="AJ2388" s="885"/>
      <c r="AK2388" s="885"/>
      <c r="AL2388" s="885"/>
      <c r="AM2388" s="879"/>
      <c r="AN2388" s="2"/>
      <c r="AO2388" s="885"/>
      <c r="AP2388" s="886"/>
      <c r="AV2388" t="str">
        <f t="shared" si="9565"/>
        <v>DSH / DHP - Drenos Sub-Horizontal e Horizontal Profundo</v>
      </c>
      <c r="AW2388" s="4" t="str">
        <f t="shared" si="9564"/>
        <v xml:space="preserve">   Instalação de DSH01 - Seg.2.2 C 04_Plataforma</v>
      </c>
    </row>
    <row r="2389" spans="1:50" ht="15.6" customHeight="1" outlineLevel="1">
      <c r="A2389" s="8" t="str">
        <f t="shared" ref="A2389" si="9609">IF(SUM(P2389:V2390)&gt;0,"S","N")</f>
        <v>N</v>
      </c>
      <c r="B2389" s="150"/>
      <c r="C2389" s="150"/>
      <c r="D2389" s="150"/>
      <c r="E2389" s="892"/>
      <c r="F2389" s="902" t="s">
        <v>52</v>
      </c>
      <c r="G2389" s="528"/>
      <c r="H2389" s="546" t="s">
        <v>37</v>
      </c>
      <c r="I2389" s="711">
        <v>0</v>
      </c>
      <c r="J2389" s="896" t="str">
        <f t="shared" ref="J2389" si="9610">IFERROR((I2390/I2389),"-")</f>
        <v>-</v>
      </c>
      <c r="K2389" s="528"/>
      <c r="L2389" s="546" t="s">
        <v>37</v>
      </c>
      <c r="M2389" s="711">
        <f t="shared" si="9574"/>
        <v>0</v>
      </c>
      <c r="N2389" s="896" t="str">
        <f t="shared" ref="N2389" si="9611">IFERROR((M2390/M2389),"-")</f>
        <v>-</v>
      </c>
      <c r="O2389" s="528"/>
      <c r="P2389" s="547"/>
      <c r="Q2389" s="547"/>
      <c r="R2389" s="547"/>
      <c r="S2389" s="547"/>
      <c r="T2389" s="547"/>
      <c r="U2389" s="547"/>
      <c r="V2389" s="548"/>
      <c r="W2389" s="528"/>
      <c r="X2389" s="711">
        <f t="shared" si="9567"/>
        <v>0</v>
      </c>
      <c r="Y2389" s="896" t="str">
        <f t="shared" ref="Y2389" si="9612">IFERROR((X2390/X2389),"-")</f>
        <v>-</v>
      </c>
      <c r="Z2389" s="528"/>
      <c r="AA2389" s="898">
        <v>0</v>
      </c>
      <c r="AB2389" s="898">
        <v>0</v>
      </c>
      <c r="AC2389" s="903">
        <v>0</v>
      </c>
      <c r="AD2389" s="896" t="str">
        <f t="shared" ref="AD2389" si="9613">IFERROR((AC2389/AA2389),"-")</f>
        <v>-</v>
      </c>
      <c r="AE2389" s="2"/>
      <c r="AF2389" s="884">
        <v>0</v>
      </c>
      <c r="AG2389" s="884"/>
      <c r="AH2389" s="884">
        <v>0</v>
      </c>
      <c r="AI2389" s="884"/>
      <c r="AJ2389" s="884"/>
      <c r="AK2389" s="884">
        <f t="shared" si="9605"/>
        <v>0</v>
      </c>
      <c r="AL2389" s="884">
        <v>0</v>
      </c>
      <c r="AM2389" s="878" t="str">
        <f t="shared" ref="AM2389" si="9614">IFERROR((AK2389/AL2389),"-")</f>
        <v>-</v>
      </c>
      <c r="AN2389" s="2"/>
      <c r="AO2389" s="884">
        <v>0</v>
      </c>
      <c r="AP2389" s="884">
        <f t="shared" si="9607"/>
        <v>0</v>
      </c>
      <c r="AV2389" t="str">
        <f t="shared" si="9565"/>
        <v>DSH / DHP - Drenos Sub-Horizontal e Horizontal Profundo</v>
      </c>
      <c r="AW2389" s="4" t="str">
        <f t="shared" si="9564"/>
        <v xml:space="preserve">   Instalação de DSH01 - Seg.2.2 C 04_Plataforma</v>
      </c>
    </row>
    <row r="2390" spans="1:50" ht="15.6" customHeight="1" outlineLevel="1">
      <c r="A2390" s="8" t="str">
        <f t="shared" si="9608"/>
        <v>N</v>
      </c>
      <c r="B2390" s="150"/>
      <c r="C2390" s="150"/>
      <c r="D2390" s="150"/>
      <c r="E2390" s="893"/>
      <c r="F2390" s="902"/>
      <c r="G2390" s="528"/>
      <c r="H2390" s="549" t="s">
        <v>38</v>
      </c>
      <c r="I2390" s="711">
        <v>0</v>
      </c>
      <c r="J2390" s="897"/>
      <c r="K2390" s="528"/>
      <c r="L2390" s="549" t="s">
        <v>38</v>
      </c>
      <c r="M2390" s="711">
        <f t="shared" si="9574"/>
        <v>0</v>
      </c>
      <c r="N2390" s="897"/>
      <c r="O2390" s="528"/>
      <c r="P2390" s="548">
        <v>0</v>
      </c>
      <c r="Q2390" s="548">
        <v>0</v>
      </c>
      <c r="R2390" s="548">
        <v>0</v>
      </c>
      <c r="S2390" s="548">
        <v>0</v>
      </c>
      <c r="T2390" s="548">
        <v>0</v>
      </c>
      <c r="U2390" s="548">
        <v>0</v>
      </c>
      <c r="V2390" s="548">
        <v>0</v>
      </c>
      <c r="W2390" s="528"/>
      <c r="X2390" s="711">
        <f t="shared" si="9567"/>
        <v>0</v>
      </c>
      <c r="Y2390" s="897"/>
      <c r="Z2390" s="528"/>
      <c r="AA2390" s="899"/>
      <c r="AB2390" s="899"/>
      <c r="AC2390" s="904"/>
      <c r="AD2390" s="905"/>
      <c r="AE2390" s="2"/>
      <c r="AF2390" s="885"/>
      <c r="AG2390" s="885"/>
      <c r="AH2390" s="885"/>
      <c r="AI2390" s="885"/>
      <c r="AJ2390" s="885"/>
      <c r="AK2390" s="885"/>
      <c r="AL2390" s="885"/>
      <c r="AM2390" s="879"/>
      <c r="AN2390" s="2"/>
      <c r="AO2390" s="886"/>
      <c r="AP2390" s="886"/>
      <c r="AV2390" t="str">
        <f t="shared" si="9565"/>
        <v>DSH / DHP - Drenos Sub-Horizontal e Horizontal Profundo</v>
      </c>
      <c r="AW2390" s="4" t="str">
        <f t="shared" si="9564"/>
        <v xml:space="preserve">   Instalação de DSH01 - Seg.2.2 C 04_Plataforma</v>
      </c>
    </row>
    <row r="2391" spans="1:50" ht="15.6" customHeight="1" outlineLevel="1">
      <c r="A2391" s="209">
        <v>0</v>
      </c>
      <c r="B2391" s="150"/>
      <c r="C2391" s="150">
        <v>0</v>
      </c>
      <c r="D2391" s="117"/>
      <c r="E2391" s="535"/>
      <c r="F2391" s="536"/>
      <c r="G2391" s="537"/>
      <c r="H2391" s="714"/>
      <c r="I2391" s="555"/>
      <c r="J2391" s="714"/>
      <c r="K2391" s="537"/>
      <c r="L2391" s="714"/>
      <c r="M2391" s="555"/>
      <c r="N2391" s="714"/>
      <c r="O2391" s="537"/>
      <c r="P2391" s="539"/>
      <c r="Q2391" s="539"/>
      <c r="R2391" s="539"/>
      <c r="S2391" s="539"/>
      <c r="T2391" s="539"/>
      <c r="U2391" s="539"/>
      <c r="V2391" s="539"/>
      <c r="W2391" s="537"/>
      <c r="X2391" s="540"/>
      <c r="Y2391" s="537"/>
      <c r="Z2391" s="537"/>
      <c r="AA2391" s="249"/>
      <c r="AB2391" s="249"/>
      <c r="AC2391" s="249"/>
      <c r="AD2391" s="537"/>
      <c r="AE2391" s="3"/>
      <c r="AF2391" s="35"/>
      <c r="AG2391" s="35"/>
      <c r="AH2391" s="35"/>
      <c r="AI2391" s="35"/>
      <c r="AJ2391" s="35"/>
      <c r="AK2391" s="35"/>
      <c r="AL2391" s="35"/>
      <c r="AM2391" s="3"/>
      <c r="AN2391" s="3"/>
      <c r="AO2391" s="35"/>
      <c r="AP2391" s="35"/>
      <c r="AV2391" t="str">
        <f t="shared" si="9565"/>
        <v>DSH / DHP - Drenos Sub-Horizontal e Horizontal Profundo</v>
      </c>
      <c r="AW2391" s="4" t="str">
        <f t="shared" si="9564"/>
        <v xml:space="preserve">   Instalação de DSH01 - Seg.2.2 C 04_Plataforma</v>
      </c>
    </row>
    <row r="2392" spans="1:50" ht="15.6" customHeight="1" outlineLevel="1">
      <c r="A2392" s="209">
        <v>0</v>
      </c>
      <c r="B2392" s="150"/>
      <c r="C2392" s="150"/>
      <c r="D2392" s="117"/>
      <c r="E2392" s="535"/>
      <c r="F2392" s="541"/>
      <c r="G2392" s="537"/>
      <c r="H2392" s="537"/>
      <c r="I2392" s="249"/>
      <c r="J2392" s="537"/>
      <c r="K2392" s="537"/>
      <c r="L2392" s="537"/>
      <c r="M2392" s="249"/>
      <c r="N2392" s="537"/>
      <c r="O2392" s="537"/>
      <c r="P2392" s="539"/>
      <c r="Q2392" s="539"/>
      <c r="R2392" s="539"/>
      <c r="S2392" s="539"/>
      <c r="T2392" s="539"/>
      <c r="U2392" s="539"/>
      <c r="V2392" s="539"/>
      <c r="W2392" s="537"/>
      <c r="X2392" s="540"/>
      <c r="Y2392" s="537"/>
      <c r="Z2392" s="537"/>
      <c r="AA2392" s="249"/>
      <c r="AB2392" s="249"/>
      <c r="AC2392" s="249"/>
      <c r="AD2392" s="537"/>
      <c r="AE2392" s="3"/>
      <c r="AF2392" s="35"/>
      <c r="AG2392" s="35"/>
      <c r="AH2392" s="35"/>
      <c r="AI2392" s="35"/>
      <c r="AJ2392" s="35"/>
      <c r="AK2392" s="35"/>
      <c r="AL2392" s="35"/>
      <c r="AM2392" s="3"/>
      <c r="AN2392" s="3"/>
      <c r="AO2392" s="35"/>
      <c r="AP2392" s="35"/>
      <c r="AV2392" t="str">
        <f t="shared" si="9565"/>
        <v>DSH / DHP - Drenos Sub-Horizontal e Horizontal Profundo</v>
      </c>
      <c r="AW2392" s="4" t="str">
        <f t="shared" si="9564"/>
        <v xml:space="preserve">   Instalação de DSH01 - Seg.2.2 C 04_Plataforma</v>
      </c>
    </row>
    <row r="2393" spans="1:50" ht="28.35" customHeight="1" outlineLevel="1">
      <c r="A2393" s="209">
        <v>0</v>
      </c>
      <c r="B2393" s="150"/>
      <c r="C2393" s="150">
        <v>0</v>
      </c>
      <c r="D2393" s="122"/>
      <c r="E2393" s="913" t="s">
        <v>41</v>
      </c>
      <c r="F2393" s="859" t="s">
        <v>52</v>
      </c>
      <c r="G2393" s="528"/>
      <c r="H2393" s="542" t="s">
        <v>37</v>
      </c>
      <c r="I2393" s="543">
        <f>SUMIF($L2395:$L2396,$L2393,I2395:I2396)</f>
        <v>0</v>
      </c>
      <c r="J2393" s="860" t="str">
        <f>IFERROR((I2394/I2393),"-")</f>
        <v>-</v>
      </c>
      <c r="K2393" s="528"/>
      <c r="L2393" s="542" t="s">
        <v>37</v>
      </c>
      <c r="M2393" s="543">
        <f>SUMIF($L2395:$L2398,$L2393,M2395:M2398)</f>
        <v>140</v>
      </c>
      <c r="N2393" s="860">
        <f>IFERROR((M2394/M2393),"-")</f>
        <v>2.7857142857142856</v>
      </c>
      <c r="O2393" s="528"/>
      <c r="P2393" s="543">
        <f t="shared" ref="P2393:V2393" si="9615">SUMIF($L2395:$L2398,$L2393,P2395:P2398)</f>
        <v>140</v>
      </c>
      <c r="Q2393" s="543">
        <f t="shared" si="9615"/>
        <v>140</v>
      </c>
      <c r="R2393" s="543">
        <f t="shared" si="9615"/>
        <v>140</v>
      </c>
      <c r="S2393" s="543">
        <f t="shared" si="9615"/>
        <v>280</v>
      </c>
      <c r="T2393" s="543">
        <f t="shared" si="9615"/>
        <v>240</v>
      </c>
      <c r="U2393" s="543">
        <f t="shared" si="9615"/>
        <v>240</v>
      </c>
      <c r="V2393" s="543">
        <f t="shared" si="9615"/>
        <v>0</v>
      </c>
      <c r="W2393" s="528"/>
      <c r="X2393" s="543">
        <f t="shared" ref="X2393:X2398" si="9616">SUMIFS(P2393:V2393,$P$8:$V$8,"&gt;="&amp;$P$8,$P$8:$V$8,"&lt;="&amp;$N$8)</f>
        <v>280</v>
      </c>
      <c r="Y2393" s="860">
        <f>IFERROR((X2394/X2393),"-")</f>
        <v>2.4107142857142856</v>
      </c>
      <c r="Z2393" s="528"/>
      <c r="AA2393" s="814">
        <f>SUM(AA2395:AA2398)</f>
        <v>3095</v>
      </c>
      <c r="AB2393" s="814">
        <f>SUM(AB2395:AB2398)</f>
        <v>0</v>
      </c>
      <c r="AC2393" s="814">
        <f>SUM(AC2395:AC2396)</f>
        <v>0</v>
      </c>
      <c r="AD2393" s="911">
        <f t="shared" ref="AD2393" si="9617">IFERROR((AC2393/AA2393),"-")</f>
        <v>0</v>
      </c>
      <c r="AE2393" s="2"/>
      <c r="AF2393" s="888">
        <f>SUM(AF2395:AF2398)</f>
        <v>1200.75</v>
      </c>
      <c r="AG2393" s="888">
        <f t="shared" ref="AG2393:AL2393" si="9618">SUM(AG2395:AG2398)</f>
        <v>0</v>
      </c>
      <c r="AH2393" s="888">
        <f t="shared" si="9618"/>
        <v>0</v>
      </c>
      <c r="AI2393" s="888">
        <f t="shared" si="9618"/>
        <v>0</v>
      </c>
      <c r="AJ2393" s="888"/>
      <c r="AK2393" s="888">
        <f t="shared" si="9618"/>
        <v>1875.75</v>
      </c>
      <c r="AL2393" s="888">
        <f t="shared" si="9618"/>
        <v>1261.1300000000001</v>
      </c>
      <c r="AM2393" s="743">
        <f>IFERROR((AK2393/AL2393),"-")</f>
        <v>1.487356577038053</v>
      </c>
      <c r="AN2393" s="2"/>
      <c r="AO2393" s="888">
        <f t="shared" ref="AO2393:AP2393" si="9619">SUM(AO2395:AO2398)</f>
        <v>16466</v>
      </c>
      <c r="AP2393" s="888">
        <f t="shared" si="9619"/>
        <v>14590.25</v>
      </c>
      <c r="AV2393" t="str">
        <f t="shared" si="9565"/>
        <v>DSH / DHP - Drenos Sub-Horizontal e Horizontal Profundo</v>
      </c>
      <c r="AW2393" s="4" t="str">
        <f t="shared" si="9564"/>
        <v>Pacote 04 - Segmento 2.3 - Km 116+517 a 131+241</v>
      </c>
    </row>
    <row r="2394" spans="1:50" ht="28.35" customHeight="1">
      <c r="A2394" s="209">
        <v>0</v>
      </c>
      <c r="B2394" s="150"/>
      <c r="C2394" s="150"/>
      <c r="D2394" s="123"/>
      <c r="E2394" s="913"/>
      <c r="F2394" s="859"/>
      <c r="G2394" s="528"/>
      <c r="H2394" s="544" t="s">
        <v>38</v>
      </c>
      <c r="I2394" s="543">
        <f>SUMIF($L2395:$L2396,$L2394,I2395:I2396)</f>
        <v>0</v>
      </c>
      <c r="J2394" s="861"/>
      <c r="K2394" s="528"/>
      <c r="L2394" s="544" t="s">
        <v>38</v>
      </c>
      <c r="M2394" s="543">
        <f>SUMIF($L2395:$L2398,$L2394,M2395:M2398)</f>
        <v>390</v>
      </c>
      <c r="N2394" s="861"/>
      <c r="O2394" s="528"/>
      <c r="P2394" s="543">
        <f t="shared" ref="P2394:V2394" si="9620">SUMIF($L2395:$L2398,$L2394,P2395:P2398)</f>
        <v>285</v>
      </c>
      <c r="Q2394" s="543">
        <f t="shared" si="9620"/>
        <v>390</v>
      </c>
      <c r="R2394" s="543">
        <f t="shared" si="9620"/>
        <v>0</v>
      </c>
      <c r="S2394" s="543">
        <f t="shared" si="9620"/>
        <v>0</v>
      </c>
      <c r="T2394" s="543">
        <f t="shared" si="9620"/>
        <v>0</v>
      </c>
      <c r="U2394" s="543">
        <f t="shared" si="9620"/>
        <v>0</v>
      </c>
      <c r="V2394" s="543">
        <f t="shared" si="9620"/>
        <v>0</v>
      </c>
      <c r="W2394" s="528"/>
      <c r="X2394" s="543">
        <f t="shared" si="9616"/>
        <v>675</v>
      </c>
      <c r="Y2394" s="861"/>
      <c r="Z2394" s="528"/>
      <c r="AA2394" s="815"/>
      <c r="AB2394" s="815"/>
      <c r="AC2394" s="815"/>
      <c r="AD2394" s="912"/>
      <c r="AE2394" s="2"/>
      <c r="AF2394" s="889"/>
      <c r="AG2394" s="889"/>
      <c r="AH2394" s="889"/>
      <c r="AI2394" s="889"/>
      <c r="AJ2394" s="889"/>
      <c r="AK2394" s="889"/>
      <c r="AL2394" s="889"/>
      <c r="AM2394" s="744"/>
      <c r="AN2394" s="2"/>
      <c r="AO2394" s="889"/>
      <c r="AP2394" s="889"/>
      <c r="AV2394" t="str">
        <f t="shared" si="9565"/>
        <v>DSH / DHP - Drenos Sub-Horizontal e Horizontal Profundo</v>
      </c>
      <c r="AW2394" s="4" t="str">
        <f t="shared" si="9564"/>
        <v>Pacote 04 - Segmento 2.3 - Km 116+517 a 131+241</v>
      </c>
    </row>
    <row r="2395" spans="1:50" ht="21.6" customHeight="1">
      <c r="A2395" s="8" t="str">
        <f t="shared" ref="A2395" si="9621">IF(SUM(P2395:V2396)&gt;0,"S","N")</f>
        <v>N</v>
      </c>
      <c r="B2395" s="150">
        <v>1066426</v>
      </c>
      <c r="C2395" s="150" t="s">
        <v>2673</v>
      </c>
      <c r="D2395" s="147" t="s">
        <v>298</v>
      </c>
      <c r="E2395" s="892" t="s">
        <v>2674</v>
      </c>
      <c r="F2395" s="902" t="s">
        <v>52</v>
      </c>
      <c r="G2395" s="528"/>
      <c r="H2395" s="546" t="s">
        <v>37</v>
      </c>
      <c r="I2395" s="711">
        <v>0</v>
      </c>
      <c r="J2395" s="896" t="str">
        <f t="shared" ref="J2395" si="9622">IFERROR((I2396/I2395),"-")</f>
        <v>-</v>
      </c>
      <c r="K2395" s="528"/>
      <c r="L2395" s="546" t="s">
        <v>37</v>
      </c>
      <c r="M2395" s="711">
        <f t="shared" ref="M2395:M2398" si="9623">_xlfn.XLOOKUP($N$8,$P$8:$V$8,$P2395:$V2395)</f>
        <v>0</v>
      </c>
      <c r="N2395" s="896" t="str">
        <f t="shared" ref="N2395" si="9624">IFERROR((M2396/M2395),"-")</f>
        <v>-</v>
      </c>
      <c r="O2395" s="528"/>
      <c r="P2395" s="547">
        <v>0</v>
      </c>
      <c r="Q2395" s="547">
        <v>0</v>
      </c>
      <c r="R2395" s="547">
        <v>0</v>
      </c>
      <c r="S2395" s="547">
        <v>0</v>
      </c>
      <c r="T2395" s="547">
        <v>0</v>
      </c>
      <c r="U2395" s="547">
        <v>0</v>
      </c>
      <c r="V2395" s="548">
        <v>0</v>
      </c>
      <c r="W2395" s="528"/>
      <c r="X2395" s="711">
        <f t="shared" si="9616"/>
        <v>0</v>
      </c>
      <c r="Y2395" s="896" t="str">
        <f t="shared" ref="Y2395" si="9625">IFERROR((X2396/X2395),"-")</f>
        <v>-</v>
      </c>
      <c r="Z2395" s="528"/>
      <c r="AA2395" s="898">
        <v>0</v>
      </c>
      <c r="AB2395" s="898">
        <v>0</v>
      </c>
      <c r="AC2395" s="903">
        <v>0</v>
      </c>
      <c r="AD2395" s="896" t="str">
        <f t="shared" ref="AD2395" si="9626">IFERROR((AC2395/AA2395),"-")</f>
        <v>-</v>
      </c>
      <c r="AE2395" s="2"/>
      <c r="AF2395" s="884">
        <v>1200.75</v>
      </c>
      <c r="AG2395" s="884"/>
      <c r="AH2395" s="884">
        <v>0</v>
      </c>
      <c r="AI2395" s="884"/>
      <c r="AJ2395" s="884"/>
      <c r="AK2395" s="884">
        <f t="shared" ref="AK2395" si="9627">AF2395+AG2395+AH2395+AI2395+AJ2395+AC2395</f>
        <v>1200.75</v>
      </c>
      <c r="AL2395" s="884">
        <v>1261.1300000000001</v>
      </c>
      <c r="AM2395" s="878">
        <f t="shared" ref="AM2395" si="9628">IFERROR((AK2395/AL2395),"-")</f>
        <v>0.95212230301396361</v>
      </c>
      <c r="AN2395" s="2"/>
      <c r="AO2395" s="884">
        <v>12056</v>
      </c>
      <c r="AP2395" s="884">
        <f t="shared" ref="AP2395" si="9629">AO2395-AK2395</f>
        <v>10855.25</v>
      </c>
      <c r="AV2395" s="275" t="str">
        <f t="shared" si="9565"/>
        <v xml:space="preserve">   Seg. 2.3-C08-Plataforma- Instalação de DSH01 - Seg.2.3 C 08 </v>
      </c>
      <c r="AW2395" s="275" t="str">
        <f t="shared" si="9564"/>
        <v xml:space="preserve">   Seg. 2.3-C08-Plataforma- Instalação de DSH01 - Seg.2.3 C 08 </v>
      </c>
      <c r="AX2395" s="275" t="s">
        <v>1434</v>
      </c>
    </row>
    <row r="2396" spans="1:50" ht="21.6" customHeight="1">
      <c r="A2396" s="8" t="str">
        <f t="shared" ref="A2396" si="9630">A2395</f>
        <v>N</v>
      </c>
      <c r="B2396" s="150"/>
      <c r="C2396" s="150" t="s">
        <v>2673</v>
      </c>
      <c r="D2396" s="147" t="s">
        <v>298</v>
      </c>
      <c r="E2396" s="893"/>
      <c r="F2396" s="902"/>
      <c r="G2396" s="528"/>
      <c r="H2396" s="549" t="s">
        <v>38</v>
      </c>
      <c r="I2396" s="711">
        <v>0</v>
      </c>
      <c r="J2396" s="897"/>
      <c r="K2396" s="528"/>
      <c r="L2396" s="549" t="s">
        <v>38</v>
      </c>
      <c r="M2396" s="711">
        <f t="shared" si="9623"/>
        <v>0</v>
      </c>
      <c r="N2396" s="897"/>
      <c r="O2396" s="528"/>
      <c r="P2396" s="548">
        <v>0</v>
      </c>
      <c r="Q2396" s="548">
        <v>0</v>
      </c>
      <c r="R2396" s="548">
        <v>0</v>
      </c>
      <c r="S2396" s="548">
        <v>0</v>
      </c>
      <c r="T2396" s="548">
        <v>0</v>
      </c>
      <c r="U2396" s="548">
        <v>0</v>
      </c>
      <c r="V2396" s="548">
        <v>0</v>
      </c>
      <c r="W2396" s="528"/>
      <c r="X2396" s="711">
        <f t="shared" si="9616"/>
        <v>0</v>
      </c>
      <c r="Y2396" s="897"/>
      <c r="Z2396" s="528"/>
      <c r="AA2396" s="899"/>
      <c r="AB2396" s="899"/>
      <c r="AC2396" s="904"/>
      <c r="AD2396" s="905"/>
      <c r="AE2396" s="2"/>
      <c r="AF2396" s="885"/>
      <c r="AG2396" s="885"/>
      <c r="AH2396" s="885"/>
      <c r="AI2396" s="885"/>
      <c r="AJ2396" s="885"/>
      <c r="AK2396" s="885"/>
      <c r="AL2396" s="885"/>
      <c r="AM2396" s="879"/>
      <c r="AN2396" s="2"/>
      <c r="AO2396" s="885"/>
      <c r="AP2396" s="886"/>
      <c r="AV2396" t="str">
        <f t="shared" si="9565"/>
        <v xml:space="preserve">   Seg. 2.3-C08-Plataforma- Instalação de DSH01 - Seg.2.3 C 08 </v>
      </c>
      <c r="AW2396" s="4" t="str">
        <f t="shared" si="9564"/>
        <v xml:space="preserve">   Seg. 2.3-C08-Plataforma- Instalação de DSH01 - Seg.2.3 C 08 </v>
      </c>
    </row>
    <row r="2397" spans="1:50" ht="15.6" customHeight="1">
      <c r="A2397" s="8" t="str">
        <f t="shared" ref="A2397" si="9631">IF(SUM(P2397:V2398)&gt;0,"S","N")</f>
        <v>S</v>
      </c>
      <c r="B2397" s="212">
        <v>1070306</v>
      </c>
      <c r="C2397" s="212" t="s">
        <v>2675</v>
      </c>
      <c r="D2397" s="150" t="s">
        <v>2676</v>
      </c>
      <c r="E2397" s="892" t="s">
        <v>2677</v>
      </c>
      <c r="F2397" s="902" t="s">
        <v>52</v>
      </c>
      <c r="G2397" s="528"/>
      <c r="H2397" s="546" t="s">
        <v>37</v>
      </c>
      <c r="I2397" s="711">
        <v>0</v>
      </c>
      <c r="J2397" s="896" t="str">
        <f t="shared" ref="J2397" si="9632">IFERROR((I2398/I2397),"-")</f>
        <v>-</v>
      </c>
      <c r="K2397" s="528"/>
      <c r="L2397" s="546" t="s">
        <v>37</v>
      </c>
      <c r="M2397" s="711">
        <f t="shared" si="9623"/>
        <v>140</v>
      </c>
      <c r="N2397" s="896">
        <f t="shared" ref="N2397" si="9633">IFERROR((M2398/M2397),"-")</f>
        <v>2.7857142857142856</v>
      </c>
      <c r="O2397" s="528"/>
      <c r="P2397" s="547">
        <v>140</v>
      </c>
      <c r="Q2397" s="547">
        <v>140</v>
      </c>
      <c r="R2397" s="547">
        <v>140</v>
      </c>
      <c r="S2397" s="547">
        <v>280</v>
      </c>
      <c r="T2397" s="547">
        <v>240</v>
      </c>
      <c r="U2397" s="547">
        <v>240</v>
      </c>
      <c r="V2397" s="548">
        <v>0</v>
      </c>
      <c r="W2397" s="528"/>
      <c r="X2397" s="711">
        <f t="shared" si="9616"/>
        <v>280</v>
      </c>
      <c r="Y2397" s="896">
        <f t="shared" ref="Y2397" si="9634">IFERROR((X2398/X2397),"-")</f>
        <v>2.4107142857142856</v>
      </c>
      <c r="Z2397" s="528"/>
      <c r="AA2397" s="898">
        <v>3095</v>
      </c>
      <c r="AB2397" s="898">
        <v>0</v>
      </c>
      <c r="AC2397" s="903">
        <v>675</v>
      </c>
      <c r="AD2397" s="896">
        <f t="shared" ref="AD2397" si="9635">IFERROR((AC2397/AA2397),"-")</f>
        <v>0.21809369951534732</v>
      </c>
      <c r="AE2397" s="2"/>
      <c r="AF2397" s="884">
        <v>0</v>
      </c>
      <c r="AG2397" s="884"/>
      <c r="AH2397" s="884">
        <v>0</v>
      </c>
      <c r="AI2397" s="884"/>
      <c r="AJ2397" s="884"/>
      <c r="AK2397" s="884">
        <f t="shared" ref="AK2397" si="9636">AF2397+AG2397+AH2397+AI2397+AJ2397+AC2397</f>
        <v>675</v>
      </c>
      <c r="AL2397" s="884">
        <v>0</v>
      </c>
      <c r="AM2397" s="878" t="str">
        <f t="shared" ref="AM2397" si="9637">IFERROR((AK2397/AL2397),"-")</f>
        <v>-</v>
      </c>
      <c r="AN2397" s="2"/>
      <c r="AO2397" s="884">
        <v>4410</v>
      </c>
      <c r="AP2397" s="884">
        <f t="shared" ref="AP2397" si="9638">AO2397-AK2397</f>
        <v>3735</v>
      </c>
      <c r="AV2397" t="str">
        <f t="shared" si="9565"/>
        <v xml:space="preserve">   Seg. 2.3-C08-Plataforma- Instalação de DSH01 - Seg.2.3 C 08 </v>
      </c>
      <c r="AW2397" s="4" t="str">
        <f t="shared" si="9564"/>
        <v>Instalação de DSH01 - Seg.2.3 GO 336</v>
      </c>
    </row>
    <row r="2398" spans="1:50" ht="15.6" customHeight="1" outlineLevel="1">
      <c r="A2398" s="8" t="str">
        <f t="shared" ref="A2398" si="9639">A2397</f>
        <v>S</v>
      </c>
      <c r="B2398" s="150"/>
      <c r="C2398" s="150"/>
      <c r="D2398" s="150" t="s">
        <v>2676</v>
      </c>
      <c r="E2398" s="893"/>
      <c r="F2398" s="902"/>
      <c r="G2398" s="528"/>
      <c r="H2398" s="549" t="s">
        <v>38</v>
      </c>
      <c r="I2398" s="711">
        <v>0</v>
      </c>
      <c r="J2398" s="897"/>
      <c r="K2398" s="528"/>
      <c r="L2398" s="549" t="s">
        <v>38</v>
      </c>
      <c r="M2398" s="711">
        <f t="shared" si="9623"/>
        <v>390</v>
      </c>
      <c r="N2398" s="897"/>
      <c r="O2398" s="528"/>
      <c r="P2398" s="548">
        <v>285</v>
      </c>
      <c r="Q2398" s="548">
        <v>390</v>
      </c>
      <c r="R2398" s="548">
        <v>0</v>
      </c>
      <c r="S2398" s="548">
        <v>0</v>
      </c>
      <c r="T2398" s="548">
        <v>0</v>
      </c>
      <c r="U2398" s="548">
        <v>0</v>
      </c>
      <c r="V2398" s="548">
        <v>0</v>
      </c>
      <c r="W2398" s="528"/>
      <c r="X2398" s="711">
        <f t="shared" si="9616"/>
        <v>675</v>
      </c>
      <c r="Y2398" s="897"/>
      <c r="Z2398" s="528"/>
      <c r="AA2398" s="899"/>
      <c r="AB2398" s="899"/>
      <c r="AC2398" s="904"/>
      <c r="AD2398" s="905"/>
      <c r="AE2398" s="2"/>
      <c r="AF2398" s="885"/>
      <c r="AG2398" s="885"/>
      <c r="AH2398" s="885"/>
      <c r="AI2398" s="885"/>
      <c r="AJ2398" s="885"/>
      <c r="AK2398" s="885"/>
      <c r="AL2398" s="885"/>
      <c r="AM2398" s="879"/>
      <c r="AN2398" s="2"/>
      <c r="AO2398" s="886"/>
      <c r="AP2398" s="886"/>
      <c r="AV2398" t="str">
        <f t="shared" si="9565"/>
        <v xml:space="preserve">   Seg. 2.3-C08-Plataforma- Instalação de DSH01 - Seg.2.3 C 08 </v>
      </c>
      <c r="AW2398" s="4" t="str">
        <f t="shared" si="9564"/>
        <v>Instalação de DSH01 - Seg.2.3 GO 336</v>
      </c>
    </row>
    <row r="2399" spans="1:50" ht="15.6" customHeight="1" outlineLevel="1">
      <c r="A2399" s="209">
        <v>0</v>
      </c>
      <c r="B2399" s="150"/>
      <c r="C2399" s="150">
        <v>0</v>
      </c>
      <c r="D2399" s="117"/>
      <c r="E2399" s="535"/>
      <c r="F2399" s="536"/>
      <c r="G2399" s="537"/>
      <c r="H2399" s="714"/>
      <c r="I2399" s="555"/>
      <c r="J2399" s="714"/>
      <c r="K2399" s="537"/>
      <c r="L2399" s="714"/>
      <c r="M2399" s="555"/>
      <c r="N2399" s="714"/>
      <c r="O2399" s="537"/>
      <c r="P2399" s="539"/>
      <c r="Q2399" s="539"/>
      <c r="R2399" s="539"/>
      <c r="S2399" s="539"/>
      <c r="T2399" s="539"/>
      <c r="U2399" s="539"/>
      <c r="V2399" s="539"/>
      <c r="W2399" s="537"/>
      <c r="X2399" s="540"/>
      <c r="Y2399" s="537"/>
      <c r="Z2399" s="537"/>
      <c r="AA2399" s="249"/>
      <c r="AB2399" s="249"/>
      <c r="AC2399" s="249"/>
      <c r="AD2399" s="537"/>
      <c r="AE2399" s="3"/>
      <c r="AF2399" s="35"/>
      <c r="AG2399" s="35"/>
      <c r="AH2399" s="35"/>
      <c r="AI2399" s="35"/>
      <c r="AJ2399" s="35"/>
      <c r="AK2399" s="35"/>
      <c r="AL2399" s="35"/>
      <c r="AM2399" s="3"/>
      <c r="AN2399" s="3"/>
      <c r="AO2399" s="35"/>
      <c r="AP2399" s="35"/>
      <c r="AV2399" t="str">
        <f t="shared" si="9565"/>
        <v xml:space="preserve">   Seg. 2.3-C08-Plataforma- Instalação de DSH01 - Seg.2.3 C 08 </v>
      </c>
      <c r="AW2399" s="4" t="str">
        <f t="shared" si="9564"/>
        <v>Instalação de DSH01 - Seg.2.3 GO 336</v>
      </c>
    </row>
    <row r="2400" spans="1:50" ht="15.6" customHeight="1" outlineLevel="1">
      <c r="A2400" s="209">
        <v>0</v>
      </c>
      <c r="B2400" s="150"/>
      <c r="C2400" s="150"/>
      <c r="D2400" s="117"/>
      <c r="E2400" s="535"/>
      <c r="F2400" s="541"/>
      <c r="G2400" s="537"/>
      <c r="H2400" s="537"/>
      <c r="I2400" s="249"/>
      <c r="J2400" s="537"/>
      <c r="K2400" s="537"/>
      <c r="L2400" s="537"/>
      <c r="M2400" s="249"/>
      <c r="N2400" s="537"/>
      <c r="O2400" s="537"/>
      <c r="P2400" s="539"/>
      <c r="Q2400" s="539"/>
      <c r="R2400" s="539"/>
      <c r="S2400" s="539"/>
      <c r="T2400" s="539"/>
      <c r="U2400" s="539"/>
      <c r="V2400" s="539"/>
      <c r="W2400" s="537"/>
      <c r="X2400" s="540"/>
      <c r="Y2400" s="537"/>
      <c r="Z2400" s="537"/>
      <c r="AA2400" s="249"/>
      <c r="AB2400" s="249"/>
      <c r="AC2400" s="249"/>
      <c r="AD2400" s="537"/>
      <c r="AE2400" s="3"/>
      <c r="AF2400" s="35"/>
      <c r="AG2400" s="35"/>
      <c r="AH2400" s="35"/>
      <c r="AI2400" s="35"/>
      <c r="AJ2400" s="35"/>
      <c r="AK2400" s="35"/>
      <c r="AL2400" s="35"/>
      <c r="AM2400" s="3"/>
      <c r="AN2400" s="3"/>
      <c r="AO2400" s="35"/>
      <c r="AP2400" s="35"/>
      <c r="AV2400" t="str">
        <f t="shared" si="9565"/>
        <v xml:space="preserve">   Seg. 2.3-C08-Plataforma- Instalação de DSH01 - Seg.2.3 C 08 </v>
      </c>
      <c r="AW2400" s="4" t="str">
        <f t="shared" si="9564"/>
        <v>Instalação de DSH01 - Seg.2.3 GO 336</v>
      </c>
    </row>
    <row r="2401" spans="1:49" ht="15.6" customHeight="1" outlineLevel="2">
      <c r="A2401" s="209">
        <v>0</v>
      </c>
      <c r="B2401" s="150"/>
      <c r="C2401" s="150"/>
      <c r="D2401" s="124"/>
      <c r="E2401" s="759" t="s">
        <v>2678</v>
      </c>
      <c r="F2401" s="902" t="s">
        <v>52</v>
      </c>
      <c r="G2401" s="528"/>
      <c r="H2401" s="529" t="s">
        <v>37</v>
      </c>
      <c r="I2401" s="707">
        <f>I2405+I2457</f>
        <v>36</v>
      </c>
      <c r="J2401" s="900">
        <f t="shared" ref="J2401" si="9640">IFERROR((I2402/I2401),"-")</f>
        <v>9.4444444444444442E-2</v>
      </c>
      <c r="K2401" s="528"/>
      <c r="L2401" s="529" t="s">
        <v>37</v>
      </c>
      <c r="M2401" s="707">
        <f>M2405+M2457+M2527+M2537+M2563</f>
        <v>6</v>
      </c>
      <c r="N2401" s="900">
        <f t="shared" ref="N2401" si="9641">IFERROR((M2402/M2401),"-")</f>
        <v>0.53333333333333333</v>
      </c>
      <c r="O2401" s="528"/>
      <c r="P2401" s="707">
        <f t="shared" ref="P2401:V2402" si="9642">P2405+P2457+P2527+P2537+P2563</f>
        <v>6</v>
      </c>
      <c r="Q2401" s="707">
        <f t="shared" si="9642"/>
        <v>6</v>
      </c>
      <c r="R2401" s="707">
        <f t="shared" si="9642"/>
        <v>6</v>
      </c>
      <c r="S2401" s="707">
        <f t="shared" si="9642"/>
        <v>6</v>
      </c>
      <c r="T2401" s="707">
        <f t="shared" si="9642"/>
        <v>6</v>
      </c>
      <c r="U2401" s="707">
        <f t="shared" si="9642"/>
        <v>6</v>
      </c>
      <c r="V2401" s="708">
        <f t="shared" si="9642"/>
        <v>0</v>
      </c>
      <c r="W2401" s="528"/>
      <c r="X2401" s="707">
        <f>SUMIFS(P2401:V2401,$P$8:$V$8,"&gt;="&amp;$P$8,$P$8:$V$8,"&lt;="&amp;$N$8)</f>
        <v>12</v>
      </c>
      <c r="Y2401" s="900">
        <f t="shared" ref="Y2401" si="9643">IFERROR((X2402/X2401),"-")</f>
        <v>0.26666666666666666</v>
      </c>
      <c r="Z2401" s="528"/>
      <c r="AA2401" s="755">
        <f>AA2405+AA2457+AA2527+AA2537+AA2563</f>
        <v>307.67</v>
      </c>
      <c r="AB2401" s="755">
        <f>AB2405+AB2457+AB2527+AB2537+AB2563</f>
        <v>88.93</v>
      </c>
      <c r="AC2401" s="906">
        <f>AC2405+AC2457+AC2527+AC2537+AC2563</f>
        <v>44.275000000000006</v>
      </c>
      <c r="AD2401" s="900">
        <f t="shared" ref="AD2401" si="9644">IFERROR((AC2401/AB2401),"-")</f>
        <v>0.49786348813673681</v>
      </c>
      <c r="AE2401" s="40"/>
      <c r="AF2401" s="924">
        <f t="shared" ref="AF2401:AL2401" si="9645">AF2405+AF2457+AF2527+AF2537+AF2563</f>
        <v>225.60499999999999</v>
      </c>
      <c r="AG2401" s="924">
        <f t="shared" si="9645"/>
        <v>18.884</v>
      </c>
      <c r="AH2401" s="924">
        <f t="shared" si="9645"/>
        <v>23.625</v>
      </c>
      <c r="AI2401" s="924">
        <f t="shared" si="9645"/>
        <v>75.19</v>
      </c>
      <c r="AJ2401" s="924">
        <f t="shared" si="9645"/>
        <v>91.484999999999999</v>
      </c>
      <c r="AK2401" s="755">
        <f t="shared" si="9645"/>
        <v>479.06400000000002</v>
      </c>
      <c r="AL2401" s="755">
        <f t="shared" si="9645"/>
        <v>480.89999999999986</v>
      </c>
      <c r="AM2401" s="900">
        <f>IFERROR((AK2401/AL2401),"-")</f>
        <v>0.99618215845290115</v>
      </c>
      <c r="AN2401" s="40"/>
      <c r="AO2401" s="909">
        <f>AO2405+AO2457+AO2527+AO2537+AO2563</f>
        <v>2544.48</v>
      </c>
      <c r="AP2401" s="909">
        <f>AP2405+AP2457+AP2527+AP2537+AP2563</f>
        <v>2065.4159999999997</v>
      </c>
      <c r="AV2401" t="str">
        <f t="shared" si="9565"/>
        <v xml:space="preserve">   Seg. 2.3-C08-Plataforma- Instalação de DSH01 - Seg.2.3 C 08 </v>
      </c>
      <c r="AW2401" s="4" t="str">
        <f t="shared" si="9564"/>
        <v>Descida D'Água  (Escavação / lançamento / concretagem)</v>
      </c>
    </row>
    <row r="2402" spans="1:49" ht="15.6" customHeight="1" outlineLevel="2">
      <c r="A2402" s="209">
        <v>0</v>
      </c>
      <c r="B2402" s="150"/>
      <c r="C2402" s="150">
        <v>0</v>
      </c>
      <c r="D2402" s="124"/>
      <c r="E2402" s="760"/>
      <c r="F2402" s="902"/>
      <c r="G2402" s="528"/>
      <c r="H2402" s="531" t="s">
        <v>38</v>
      </c>
      <c r="I2402" s="707">
        <f>I2406+I2458</f>
        <v>3.4</v>
      </c>
      <c r="J2402" s="901"/>
      <c r="K2402" s="528"/>
      <c r="L2402" s="531" t="s">
        <v>38</v>
      </c>
      <c r="M2402" s="707">
        <f>M2406+M2458+M2528+M2538+M2564</f>
        <v>3.2</v>
      </c>
      <c r="N2402" s="901"/>
      <c r="O2402" s="528"/>
      <c r="P2402" s="707">
        <f t="shared" si="9642"/>
        <v>0</v>
      </c>
      <c r="Q2402" s="707">
        <f t="shared" si="9642"/>
        <v>3.2</v>
      </c>
      <c r="R2402" s="707">
        <f t="shared" si="9642"/>
        <v>0</v>
      </c>
      <c r="S2402" s="707">
        <f t="shared" si="9642"/>
        <v>0</v>
      </c>
      <c r="T2402" s="707">
        <f t="shared" si="9642"/>
        <v>0</v>
      </c>
      <c r="U2402" s="707">
        <f t="shared" si="9642"/>
        <v>0</v>
      </c>
      <c r="V2402" s="707">
        <f t="shared" si="9642"/>
        <v>0</v>
      </c>
      <c r="W2402" s="528"/>
      <c r="X2402" s="707">
        <f t="shared" ref="X2402" si="9646">SUMIFS(P2402:V2402,$P$8:$V$8,"&gt;="&amp;$P$8,$P$8:$V$8,"&lt;="&amp;$N$8)</f>
        <v>3.2</v>
      </c>
      <c r="Y2402" s="901"/>
      <c r="Z2402" s="528"/>
      <c r="AA2402" s="756"/>
      <c r="AB2402" s="756"/>
      <c r="AC2402" s="907"/>
      <c r="AD2402" s="901"/>
      <c r="AE2402" s="40"/>
      <c r="AF2402" s="925"/>
      <c r="AG2402" s="925"/>
      <c r="AH2402" s="925"/>
      <c r="AI2402" s="925"/>
      <c r="AJ2402" s="925"/>
      <c r="AK2402" s="756"/>
      <c r="AL2402" s="756"/>
      <c r="AM2402" s="901"/>
      <c r="AN2402" s="40"/>
      <c r="AO2402" s="910"/>
      <c r="AP2402" s="910"/>
      <c r="AV2402" t="str">
        <f t="shared" si="9565"/>
        <v xml:space="preserve">   Seg. 2.3-C08-Plataforma- Instalação de DSH01 - Seg.2.3 C 08 </v>
      </c>
      <c r="AW2402" s="4" t="str">
        <f t="shared" si="9564"/>
        <v>Descida D'Água  (Escavação / lançamento / concretagem)</v>
      </c>
    </row>
    <row r="2403" spans="1:49" ht="15.6" customHeight="1" outlineLevel="2">
      <c r="A2403" s="209">
        <v>0</v>
      </c>
      <c r="B2403" s="150"/>
      <c r="C2403" s="150"/>
      <c r="D2403" s="117"/>
      <c r="E2403" s="535"/>
      <c r="F2403" s="536"/>
      <c r="G2403" s="537"/>
      <c r="H2403" s="714"/>
      <c r="I2403" s="538"/>
      <c r="J2403" s="714"/>
      <c r="K2403" s="537"/>
      <c r="L2403" s="714"/>
      <c r="M2403" s="538"/>
      <c r="N2403" s="714"/>
      <c r="O2403" s="537"/>
      <c r="P2403" s="539"/>
      <c r="Q2403" s="539"/>
      <c r="R2403" s="539"/>
      <c r="S2403" s="539"/>
      <c r="T2403" s="539"/>
      <c r="U2403" s="539"/>
      <c r="V2403" s="539"/>
      <c r="W2403" s="537"/>
      <c r="X2403" s="540"/>
      <c r="Y2403" s="537"/>
      <c r="Z2403" s="537"/>
      <c r="AA2403" s="250"/>
      <c r="AB2403" s="250"/>
      <c r="AC2403" s="249"/>
      <c r="AD2403" s="537"/>
      <c r="AE2403" s="3"/>
      <c r="AF2403" s="36"/>
      <c r="AG2403" s="36"/>
      <c r="AH2403" s="36"/>
      <c r="AI2403" s="36"/>
      <c r="AJ2403" s="36"/>
      <c r="AK2403" s="36"/>
      <c r="AL2403" s="36"/>
      <c r="AM2403" s="3"/>
      <c r="AN2403" s="3"/>
      <c r="AO2403" s="36"/>
      <c r="AP2403" s="36"/>
      <c r="AV2403" t="str">
        <f t="shared" si="9565"/>
        <v xml:space="preserve">   Seg. 2.3-C08-Plataforma- Instalação de DSH01 - Seg.2.3 C 08 </v>
      </c>
      <c r="AW2403" s="4" t="str">
        <f t="shared" si="9564"/>
        <v>Descida D'Água  (Escavação / lançamento / concretagem)</v>
      </c>
    </row>
    <row r="2404" spans="1:49" ht="15.6" customHeight="1" outlineLevel="2">
      <c r="A2404" s="209">
        <v>0</v>
      </c>
      <c r="B2404" s="150"/>
      <c r="C2404" s="150">
        <v>0</v>
      </c>
      <c r="D2404" s="117"/>
      <c r="E2404" s="535"/>
      <c r="F2404" s="541"/>
      <c r="G2404" s="537"/>
      <c r="H2404" s="537"/>
      <c r="I2404" s="250"/>
      <c r="J2404" s="537"/>
      <c r="K2404" s="537"/>
      <c r="L2404" s="537"/>
      <c r="M2404" s="250"/>
      <c r="N2404" s="537"/>
      <c r="O2404" s="537"/>
      <c r="P2404" s="539"/>
      <c r="Q2404" s="539"/>
      <c r="R2404" s="539"/>
      <c r="S2404" s="539"/>
      <c r="T2404" s="539"/>
      <c r="U2404" s="539"/>
      <c r="V2404" s="539"/>
      <c r="W2404" s="537"/>
      <c r="X2404" s="540"/>
      <c r="Y2404" s="537"/>
      <c r="Z2404" s="537"/>
      <c r="AA2404" s="250"/>
      <c r="AB2404" s="250"/>
      <c r="AC2404" s="249"/>
      <c r="AD2404" s="537"/>
      <c r="AE2404" s="3"/>
      <c r="AF2404" s="36"/>
      <c r="AG2404" s="36"/>
      <c r="AH2404" s="36"/>
      <c r="AI2404" s="36"/>
      <c r="AJ2404" s="36"/>
      <c r="AK2404" s="36"/>
      <c r="AL2404" s="36"/>
      <c r="AM2404" s="3"/>
      <c r="AN2404" s="3"/>
      <c r="AO2404" s="36"/>
      <c r="AP2404" s="36"/>
      <c r="AV2404" t="str">
        <f t="shared" si="9565"/>
        <v xml:space="preserve">   Seg. 2.3-C08-Plataforma- Instalação de DSH01 - Seg.2.3 C 08 </v>
      </c>
      <c r="AW2404" s="4" t="str">
        <f t="shared" si="9564"/>
        <v>Descida D'Água  (Escavação / lançamento / concretagem)</v>
      </c>
    </row>
    <row r="2405" spans="1:49" ht="15.6" customHeight="1" outlineLevel="2">
      <c r="A2405" s="209">
        <v>0</v>
      </c>
      <c r="B2405" s="150"/>
      <c r="C2405" s="150"/>
      <c r="D2405" s="122"/>
      <c r="E2405" s="913" t="s">
        <v>39</v>
      </c>
      <c r="F2405" s="859" t="s">
        <v>52</v>
      </c>
      <c r="G2405" s="528"/>
      <c r="H2405" s="542" t="s">
        <v>37</v>
      </c>
      <c r="I2405" s="543">
        <f>SUMIF($L2407:$L2452,$L2405,I2407:I2452)</f>
        <v>36</v>
      </c>
      <c r="J2405" s="860">
        <f>IFERROR((I2406/I2405),"-")</f>
        <v>9.4444444444444442E-2</v>
      </c>
      <c r="K2405" s="528"/>
      <c r="L2405" s="542" t="s">
        <v>37</v>
      </c>
      <c r="M2405" s="543">
        <f>SUMIF($L2407:$L2452,$L2405,M2407:M2452)</f>
        <v>6</v>
      </c>
      <c r="N2405" s="860">
        <f>IFERROR((M2406/M2405),"-")</f>
        <v>0.53333333333333333</v>
      </c>
      <c r="O2405" s="528"/>
      <c r="P2405" s="543">
        <f t="shared" ref="P2405:U2405" si="9647">SUMIF($L2407:$L2452,$L2405,P2407:P2452)</f>
        <v>6</v>
      </c>
      <c r="Q2405" s="543">
        <f t="shared" si="9647"/>
        <v>6</v>
      </c>
      <c r="R2405" s="543">
        <f t="shared" si="9647"/>
        <v>6</v>
      </c>
      <c r="S2405" s="543">
        <f t="shared" si="9647"/>
        <v>6</v>
      </c>
      <c r="T2405" s="543">
        <f t="shared" si="9647"/>
        <v>6</v>
      </c>
      <c r="U2405" s="543">
        <f t="shared" si="9647"/>
        <v>6</v>
      </c>
      <c r="V2405" s="543"/>
      <c r="W2405" s="528"/>
      <c r="X2405" s="543">
        <f t="shared" ref="X2405:X2454" si="9648">SUMIFS(P2405:V2405,$P$8:$V$8,"&gt;="&amp;$P$8,$P$8:$V$8,"&lt;="&amp;$N$8)</f>
        <v>12</v>
      </c>
      <c r="Y2405" s="860">
        <f>IFERROR((X2406/X2405),"-")</f>
        <v>0.26666666666666666</v>
      </c>
      <c r="Z2405" s="528"/>
      <c r="AA2405" s="814">
        <f t="shared" ref="AA2405:AB2405" si="9649">SUM(AA2407:AA2454)</f>
        <v>63.400000000000006</v>
      </c>
      <c r="AB2405" s="814">
        <f t="shared" si="9649"/>
        <v>10.34</v>
      </c>
      <c r="AC2405" s="814">
        <f>SUM(AC2407:AC2454)</f>
        <v>44.275000000000006</v>
      </c>
      <c r="AD2405" s="911">
        <f t="shared" ref="AD2405" si="9650">IFERROR((AC2405/AA2405),"-")</f>
        <v>0.69834384858044163</v>
      </c>
      <c r="AE2405" s="2"/>
      <c r="AF2405" s="888">
        <f t="shared" ref="AF2405:AL2405" si="9651">SUM(AF2407:AF2454)</f>
        <v>32.734000000000002</v>
      </c>
      <c r="AG2405" s="888">
        <f t="shared" si="9651"/>
        <v>9.8119999999999994</v>
      </c>
      <c r="AH2405" s="888">
        <f t="shared" si="9651"/>
        <v>3</v>
      </c>
      <c r="AI2405" s="888">
        <f t="shared" si="9651"/>
        <v>75.19</v>
      </c>
      <c r="AJ2405" s="888">
        <f t="shared" ref="AJ2405" si="9652">SUM(AJ2407:AJ2454)</f>
        <v>91.484999999999999</v>
      </c>
      <c r="AK2405" s="888">
        <f t="shared" si="9651"/>
        <v>256.49600000000004</v>
      </c>
      <c r="AL2405" s="888">
        <f t="shared" si="9651"/>
        <v>146.54000000000002</v>
      </c>
      <c r="AM2405" s="743">
        <f>IFERROR((AK2405/AL2405),"-")</f>
        <v>1.7503480278422274</v>
      </c>
      <c r="AN2405" s="2"/>
      <c r="AO2405" s="888">
        <f>SUM(AO2407:AO2454)</f>
        <v>483.7</v>
      </c>
      <c r="AP2405" s="888">
        <f t="shared" ref="AP2405" si="9653">SUM(AP2407:AP2454)</f>
        <v>227.20399999999995</v>
      </c>
      <c r="AV2405" t="str">
        <f t="shared" si="9565"/>
        <v xml:space="preserve">   Seg. 2.3-C08-Plataforma- Instalação de DSH01 - Seg.2.3 C 08 </v>
      </c>
      <c r="AW2405" s="4" t="str">
        <f t="shared" si="9564"/>
        <v>Pacote 04 - Segmento 2.2B- Km 104+500 a Km 116+400</v>
      </c>
    </row>
    <row r="2406" spans="1:49" ht="15.6" customHeight="1" outlineLevel="2">
      <c r="A2406" s="209">
        <v>0</v>
      </c>
      <c r="B2406" s="150"/>
      <c r="C2406" s="150">
        <v>0</v>
      </c>
      <c r="D2406" s="123"/>
      <c r="E2406" s="913"/>
      <c r="F2406" s="859"/>
      <c r="G2406" s="528"/>
      <c r="H2406" s="544" t="s">
        <v>38</v>
      </c>
      <c r="I2406" s="543">
        <f>SUMIF($L2407:$L2452,$L2406,I2407:I2452)</f>
        <v>3.4</v>
      </c>
      <c r="J2406" s="861"/>
      <c r="K2406" s="528"/>
      <c r="L2406" s="544" t="s">
        <v>38</v>
      </c>
      <c r="M2406" s="543">
        <f>SUMIF($L2407:$L2452,$L2406,M2407:M2452)</f>
        <v>3.2</v>
      </c>
      <c r="N2406" s="861"/>
      <c r="O2406" s="528"/>
      <c r="P2406" s="543">
        <f t="shared" ref="P2406:U2406" si="9654">SUMIF($L2407:$L2452,$L2406,P2407:P2452)</f>
        <v>0</v>
      </c>
      <c r="Q2406" s="543">
        <f t="shared" si="9654"/>
        <v>3.2</v>
      </c>
      <c r="R2406" s="543">
        <f t="shared" si="9654"/>
        <v>0</v>
      </c>
      <c r="S2406" s="543">
        <f t="shared" si="9654"/>
        <v>0</v>
      </c>
      <c r="T2406" s="543">
        <f t="shared" si="9654"/>
        <v>0</v>
      </c>
      <c r="U2406" s="543">
        <f t="shared" si="9654"/>
        <v>0</v>
      </c>
      <c r="V2406" s="543"/>
      <c r="W2406" s="528"/>
      <c r="X2406" s="543">
        <f t="shared" si="9648"/>
        <v>3.2</v>
      </c>
      <c r="Y2406" s="861"/>
      <c r="Z2406" s="528"/>
      <c r="AA2406" s="815"/>
      <c r="AB2406" s="815"/>
      <c r="AC2406" s="815"/>
      <c r="AD2406" s="912"/>
      <c r="AE2406" s="2"/>
      <c r="AF2406" s="889"/>
      <c r="AG2406" s="889"/>
      <c r="AH2406" s="889"/>
      <c r="AI2406" s="889"/>
      <c r="AJ2406" s="889"/>
      <c r="AK2406" s="889"/>
      <c r="AL2406" s="889"/>
      <c r="AM2406" s="744"/>
      <c r="AN2406" s="2"/>
      <c r="AO2406" s="889"/>
      <c r="AP2406" s="889"/>
      <c r="AV2406" t="str">
        <f t="shared" si="9565"/>
        <v xml:space="preserve">   Seg. 2.3-C08-Plataforma- Instalação de DSH01 - Seg.2.3 C 08 </v>
      </c>
      <c r="AW2406" s="4" t="str">
        <f t="shared" si="9564"/>
        <v>Pacote 04 - Segmento 2.2B- Km 104+500 a Km 116+400</v>
      </c>
    </row>
    <row r="2407" spans="1:49" ht="15.6" customHeight="1" outlineLevel="2">
      <c r="A2407" s="8" t="str">
        <f t="shared" ref="A2407" si="9655">IF(SUM(P2407:V2408)&gt;0,"S","N")</f>
        <v>N</v>
      </c>
      <c r="B2407" s="150">
        <v>1066812</v>
      </c>
      <c r="C2407" s="150" t="s">
        <v>2679</v>
      </c>
      <c r="D2407" s="120" t="s">
        <v>2680</v>
      </c>
      <c r="E2407" s="892" t="s">
        <v>2681</v>
      </c>
      <c r="F2407" s="902" t="s">
        <v>52</v>
      </c>
      <c r="G2407" s="528"/>
      <c r="H2407" s="546" t="s">
        <v>37</v>
      </c>
      <c r="I2407" s="711">
        <v>0</v>
      </c>
      <c r="J2407" s="896" t="str">
        <f t="shared" ref="J2407" si="9656">IFERROR((I2408/I2407),"-")</f>
        <v>-</v>
      </c>
      <c r="K2407" s="528"/>
      <c r="L2407" s="546" t="s">
        <v>37</v>
      </c>
      <c r="M2407" s="711">
        <f t="shared" ref="M2407:M2454" si="9657">_xlfn.XLOOKUP($N$8,$P$8:$V$8,$P2407:$V2407)</f>
        <v>0</v>
      </c>
      <c r="N2407" s="896" t="str">
        <f t="shared" ref="N2407" si="9658">IFERROR((M2408/M2407),"-")</f>
        <v>-</v>
      </c>
      <c r="O2407" s="528"/>
      <c r="P2407" s="547">
        <v>0</v>
      </c>
      <c r="Q2407" s="547">
        <v>0</v>
      </c>
      <c r="R2407" s="547">
        <v>0</v>
      </c>
      <c r="S2407" s="547">
        <v>0</v>
      </c>
      <c r="T2407" s="547">
        <v>0</v>
      </c>
      <c r="U2407" s="547">
        <v>0</v>
      </c>
      <c r="V2407" s="548">
        <v>0</v>
      </c>
      <c r="W2407" s="528"/>
      <c r="X2407" s="711">
        <f t="shared" si="9648"/>
        <v>0</v>
      </c>
      <c r="Y2407" s="896" t="str">
        <f t="shared" ref="Y2407" si="9659">IFERROR((X2408/X2407),"-")</f>
        <v>-</v>
      </c>
      <c r="Z2407" s="528"/>
      <c r="AA2407" s="898">
        <v>0</v>
      </c>
      <c r="AB2407" s="898">
        <v>0</v>
      </c>
      <c r="AC2407" s="903">
        <v>0</v>
      </c>
      <c r="AD2407" s="896" t="str">
        <f t="shared" ref="AD2407" si="9660">IFERROR((AC2407/AA2407),"-")</f>
        <v>-</v>
      </c>
      <c r="AE2407" s="2"/>
      <c r="AF2407" s="884">
        <v>0</v>
      </c>
      <c r="AG2407" s="884"/>
      <c r="AH2407" s="884">
        <v>0</v>
      </c>
      <c r="AI2407" s="884"/>
      <c r="AJ2407" s="884"/>
      <c r="AK2407" s="884">
        <f t="shared" ref="AK2407" si="9661">AF2407+AG2407+AH2407+AI2407+AJ2407+AC2407</f>
        <v>0</v>
      </c>
      <c r="AL2407" s="884">
        <v>0</v>
      </c>
      <c r="AM2407" s="878" t="str">
        <f t="shared" ref="AM2407" si="9662">IFERROR((AK2407/AL2407),"-")</f>
        <v>-</v>
      </c>
      <c r="AN2407" s="2"/>
      <c r="AO2407" s="884">
        <v>3.8</v>
      </c>
      <c r="AP2407" s="884">
        <f t="shared" ref="AP2407" si="9663">AO2407-AK2407</f>
        <v>3.8</v>
      </c>
      <c r="AV2407" t="str">
        <f t="shared" si="9565"/>
        <v xml:space="preserve">   Seg. 2.3-C08-Plataforma- Instalação de DSH01 - Seg.2.3 C 08 </v>
      </c>
      <c r="AW2407" s="4" t="str">
        <f t="shared" si="9564"/>
        <v xml:space="preserve">   Seg. 2.2-A04-OAC - Descida DDA 04, L=3,80m</v>
      </c>
    </row>
    <row r="2408" spans="1:49" ht="15.6" customHeight="1" outlineLevel="2">
      <c r="A2408" s="8" t="str">
        <f t="shared" ref="A2408" si="9664">A2407</f>
        <v>N</v>
      </c>
      <c r="B2408" s="150"/>
      <c r="C2408" s="150"/>
      <c r="D2408" s="120" t="s">
        <v>2680</v>
      </c>
      <c r="E2408" s="893"/>
      <c r="F2408" s="902"/>
      <c r="G2408" s="528"/>
      <c r="H2408" s="549" t="s">
        <v>38</v>
      </c>
      <c r="I2408" s="711">
        <v>0</v>
      </c>
      <c r="J2408" s="897"/>
      <c r="K2408" s="528"/>
      <c r="L2408" s="549" t="s">
        <v>38</v>
      </c>
      <c r="M2408" s="711">
        <f t="shared" si="9657"/>
        <v>0</v>
      </c>
      <c r="N2408" s="897"/>
      <c r="O2408" s="528"/>
      <c r="P2408" s="548">
        <v>0</v>
      </c>
      <c r="Q2408" s="548">
        <v>0</v>
      </c>
      <c r="R2408" s="548">
        <v>0</v>
      </c>
      <c r="S2408" s="548">
        <v>0</v>
      </c>
      <c r="T2408" s="548">
        <v>0</v>
      </c>
      <c r="U2408" s="548">
        <v>0</v>
      </c>
      <c r="V2408" s="548">
        <v>0</v>
      </c>
      <c r="W2408" s="528"/>
      <c r="X2408" s="711">
        <f t="shared" si="9648"/>
        <v>0</v>
      </c>
      <c r="Y2408" s="897"/>
      <c r="Z2408" s="528"/>
      <c r="AA2408" s="899"/>
      <c r="AB2408" s="899"/>
      <c r="AC2408" s="904"/>
      <c r="AD2408" s="905"/>
      <c r="AE2408" s="2"/>
      <c r="AF2408" s="885"/>
      <c r="AG2408" s="885"/>
      <c r="AH2408" s="885"/>
      <c r="AI2408" s="885"/>
      <c r="AJ2408" s="885"/>
      <c r="AK2408" s="885"/>
      <c r="AL2408" s="885"/>
      <c r="AM2408" s="879"/>
      <c r="AN2408" s="2"/>
      <c r="AO2408" s="886"/>
      <c r="AP2408" s="886"/>
      <c r="AV2408" t="str">
        <f t="shared" si="9565"/>
        <v xml:space="preserve">   Seg. 2.3-C08-Plataforma- Instalação de DSH01 - Seg.2.3 C 08 </v>
      </c>
      <c r="AW2408" s="4" t="str">
        <f t="shared" si="9564"/>
        <v xml:space="preserve">   Seg. 2.2-A04-OAC - Descida DDA 04, L=3,80m</v>
      </c>
    </row>
    <row r="2409" spans="1:49" ht="15.6" customHeight="1" outlineLevel="2">
      <c r="A2409" s="209" t="str">
        <f t="shared" ref="A2409" si="9665">IF(SUM(P2409:V2410)&gt;0,"S","N")</f>
        <v>N</v>
      </c>
      <c r="B2409" s="150">
        <v>1066866</v>
      </c>
      <c r="C2409" s="150" t="s">
        <v>2682</v>
      </c>
      <c r="D2409" s="120" t="s">
        <v>275</v>
      </c>
      <c r="E2409" s="892" t="s">
        <v>2683</v>
      </c>
      <c r="F2409" s="902" t="s">
        <v>52</v>
      </c>
      <c r="G2409" s="528"/>
      <c r="H2409" s="546" t="s">
        <v>37</v>
      </c>
      <c r="I2409" s="711">
        <v>0</v>
      </c>
      <c r="J2409" s="896" t="str">
        <f t="shared" ref="J2409" si="9666">IFERROR((I2410/I2409),"-")</f>
        <v>-</v>
      </c>
      <c r="K2409" s="528"/>
      <c r="L2409" s="546" t="s">
        <v>37</v>
      </c>
      <c r="M2409" s="711">
        <f t="shared" si="9657"/>
        <v>0</v>
      </c>
      <c r="N2409" s="896" t="str">
        <f t="shared" ref="N2409" si="9667">IFERROR((M2410/M2409),"-")</f>
        <v>-</v>
      </c>
      <c r="O2409" s="528"/>
      <c r="P2409" s="547">
        <v>0</v>
      </c>
      <c r="Q2409" s="547">
        <v>0</v>
      </c>
      <c r="R2409" s="547">
        <v>0</v>
      </c>
      <c r="S2409" s="547">
        <v>0</v>
      </c>
      <c r="T2409" s="547">
        <v>0</v>
      </c>
      <c r="U2409" s="547">
        <v>0</v>
      </c>
      <c r="V2409" s="548">
        <v>0</v>
      </c>
      <c r="W2409" s="528"/>
      <c r="X2409" s="711">
        <f t="shared" si="9648"/>
        <v>0</v>
      </c>
      <c r="Y2409" s="896" t="str">
        <f t="shared" ref="Y2409" si="9668">IFERROR((X2410/X2409),"-")</f>
        <v>-</v>
      </c>
      <c r="Z2409" s="528"/>
      <c r="AA2409" s="898">
        <v>0</v>
      </c>
      <c r="AB2409" s="898">
        <v>0</v>
      </c>
      <c r="AC2409" s="903">
        <v>0</v>
      </c>
      <c r="AD2409" s="896" t="str">
        <f t="shared" ref="AD2409" si="9669">IFERROR((AC2409/AA2409),"-")</f>
        <v>-</v>
      </c>
      <c r="AE2409" s="2"/>
      <c r="AF2409" s="884">
        <v>9.8119999999999994</v>
      </c>
      <c r="AG2409" s="884">
        <v>9.8119999999999994</v>
      </c>
      <c r="AH2409" s="884">
        <v>0</v>
      </c>
      <c r="AI2409" s="884"/>
      <c r="AJ2409" s="884">
        <v>30.209</v>
      </c>
      <c r="AK2409" s="884">
        <f t="shared" ref="AK2409" si="9670">AF2409+AG2409+AH2409+AI2409+AJ2409+AC2409</f>
        <v>49.832999999999998</v>
      </c>
      <c r="AL2409" s="884">
        <v>30.250000000000014</v>
      </c>
      <c r="AM2409" s="878">
        <f t="shared" ref="AM2409" si="9671">IFERROR((AK2409/AL2409),"-")</f>
        <v>1.6473719008264454</v>
      </c>
      <c r="AN2409" s="2"/>
      <c r="AO2409" s="884">
        <v>41.9</v>
      </c>
      <c r="AP2409" s="884">
        <f t="shared" ref="AP2409" si="9672">AO2409-AK2409</f>
        <v>-7.9329999999999998</v>
      </c>
      <c r="AV2409" t="str">
        <f t="shared" si="9565"/>
        <v xml:space="preserve">   Seg. 2.3-C08-Plataforma- Instalação de DSH01 - Seg.2.3 C 08 </v>
      </c>
      <c r="AW2409" s="4" t="str">
        <f t="shared" si="9564"/>
        <v xml:space="preserve">   Seg. 2.2-A06 - Drenagem Superficial - Descida d´água (Km 108+120 a 108+540)</v>
      </c>
    </row>
    <row r="2410" spans="1:49" ht="15.6" customHeight="1" outlineLevel="2">
      <c r="A2410" s="209" t="str">
        <f t="shared" ref="A2410" si="9673">A2409</f>
        <v>N</v>
      </c>
      <c r="B2410" s="150"/>
      <c r="C2410" s="150"/>
      <c r="D2410" s="120" t="s">
        <v>275</v>
      </c>
      <c r="E2410" s="893"/>
      <c r="F2410" s="902"/>
      <c r="G2410" s="528"/>
      <c r="H2410" s="549" t="s">
        <v>38</v>
      </c>
      <c r="I2410" s="711">
        <v>0</v>
      </c>
      <c r="J2410" s="897"/>
      <c r="K2410" s="528"/>
      <c r="L2410" s="549" t="s">
        <v>38</v>
      </c>
      <c r="M2410" s="711">
        <f t="shared" si="9657"/>
        <v>0</v>
      </c>
      <c r="N2410" s="897"/>
      <c r="O2410" s="528"/>
      <c r="P2410" s="548">
        <v>0</v>
      </c>
      <c r="Q2410" s="548">
        <v>0</v>
      </c>
      <c r="R2410" s="548">
        <v>0</v>
      </c>
      <c r="S2410" s="548">
        <v>0</v>
      </c>
      <c r="T2410" s="548">
        <v>0</v>
      </c>
      <c r="U2410" s="548">
        <v>0</v>
      </c>
      <c r="V2410" s="548">
        <v>0</v>
      </c>
      <c r="W2410" s="548">
        <v>0</v>
      </c>
      <c r="X2410" s="711">
        <f t="shared" si="9648"/>
        <v>0</v>
      </c>
      <c r="Y2410" s="897"/>
      <c r="Z2410" s="528"/>
      <c r="AA2410" s="899"/>
      <c r="AB2410" s="899"/>
      <c r="AC2410" s="904"/>
      <c r="AD2410" s="905"/>
      <c r="AE2410" s="2"/>
      <c r="AF2410" s="885"/>
      <c r="AG2410" s="885"/>
      <c r="AH2410" s="885"/>
      <c r="AI2410" s="885"/>
      <c r="AJ2410" s="885"/>
      <c r="AK2410" s="885"/>
      <c r="AL2410" s="885"/>
      <c r="AM2410" s="879"/>
      <c r="AN2410" s="2"/>
      <c r="AO2410" s="886"/>
      <c r="AP2410" s="886"/>
      <c r="AV2410" t="str">
        <f t="shared" si="9565"/>
        <v xml:space="preserve">   Seg. 2.3-C08-Plataforma- Instalação de DSH01 - Seg.2.3 C 08 </v>
      </c>
      <c r="AW2410" s="4" t="str">
        <f t="shared" si="9564"/>
        <v xml:space="preserve">   Seg. 2.2-A06 - Drenagem Superficial - Descida d´água (Km 108+120 a 108+540)</v>
      </c>
    </row>
    <row r="2411" spans="1:49" ht="15.6" customHeight="1" outlineLevel="2">
      <c r="A2411" s="8" t="str">
        <f t="shared" ref="A2411" si="9674">IF(SUM(P2411:V2412)&gt;0,"S","N")</f>
        <v>S</v>
      </c>
      <c r="B2411" s="150">
        <v>1066867</v>
      </c>
      <c r="C2411" s="150" t="s">
        <v>2684</v>
      </c>
      <c r="D2411" s="120" t="s">
        <v>279</v>
      </c>
      <c r="E2411" s="892" t="s">
        <v>2685</v>
      </c>
      <c r="F2411" s="902" t="s">
        <v>52</v>
      </c>
      <c r="G2411" s="528"/>
      <c r="H2411" s="546" t="s">
        <v>37</v>
      </c>
      <c r="I2411" s="711">
        <v>12</v>
      </c>
      <c r="J2411" s="896">
        <f t="shared" ref="J2411" si="9675">IFERROR((I2412/I2411),"-")</f>
        <v>0.28333333333333333</v>
      </c>
      <c r="K2411" s="528"/>
      <c r="L2411" s="546" t="s">
        <v>37</v>
      </c>
      <c r="M2411" s="711">
        <f t="shared" si="9657"/>
        <v>2</v>
      </c>
      <c r="N2411" s="896">
        <f t="shared" ref="N2411" si="9676">IFERROR((M2412/M2411),"-")</f>
        <v>0</v>
      </c>
      <c r="O2411" s="528"/>
      <c r="P2411" s="547">
        <v>2</v>
      </c>
      <c r="Q2411" s="547">
        <v>2</v>
      </c>
      <c r="R2411" s="547">
        <v>2</v>
      </c>
      <c r="S2411" s="547">
        <v>2</v>
      </c>
      <c r="T2411" s="547">
        <v>2</v>
      </c>
      <c r="U2411" s="547">
        <v>2</v>
      </c>
      <c r="V2411" s="548">
        <v>0</v>
      </c>
      <c r="W2411" s="528"/>
      <c r="X2411" s="711">
        <f t="shared" si="9648"/>
        <v>4</v>
      </c>
      <c r="Y2411" s="896">
        <f t="shared" ref="Y2411" si="9677">IFERROR((X2412/X2411),"-")</f>
        <v>0</v>
      </c>
      <c r="Z2411" s="528"/>
      <c r="AA2411" s="898">
        <v>0</v>
      </c>
      <c r="AB2411" s="898">
        <v>0</v>
      </c>
      <c r="AC2411" s="903">
        <v>3.4</v>
      </c>
      <c r="AD2411" s="896" t="str">
        <f t="shared" ref="AD2411" si="9678">IFERROR((AC2411/AA2411),"-")</f>
        <v>-</v>
      </c>
      <c r="AE2411" s="2"/>
      <c r="AF2411" s="884">
        <v>0</v>
      </c>
      <c r="AG2411" s="884"/>
      <c r="AH2411" s="884">
        <v>0</v>
      </c>
      <c r="AI2411" s="884"/>
      <c r="AJ2411" s="884"/>
      <c r="AK2411" s="884">
        <f t="shared" ref="AK2411" si="9679">AF2411+AG2411+AH2411+AI2411+AJ2411+AC2411</f>
        <v>3.4</v>
      </c>
      <c r="AL2411" s="884">
        <v>0</v>
      </c>
      <c r="AM2411" s="878" t="str">
        <f t="shared" ref="AM2411" si="9680">IFERROR((AK2411/AL2411),"-")</f>
        <v>-</v>
      </c>
      <c r="AN2411" s="2"/>
      <c r="AO2411" s="884">
        <v>54.3</v>
      </c>
      <c r="AP2411" s="884">
        <f t="shared" ref="AP2411" si="9681">AO2411-AK2411</f>
        <v>50.9</v>
      </c>
      <c r="AV2411" t="str">
        <f t="shared" si="9565"/>
        <v xml:space="preserve">   Seg. 2.3-C08-Plataforma- Instalação de DSH01 - Seg.2.3 C 08 </v>
      </c>
      <c r="AW2411" s="4" t="str">
        <f t="shared" si="9564"/>
        <v xml:space="preserve">   Seg. 2.2-A01 - Drenagem Superficial - Descida d´água (Km 104+500 a 105+040)</v>
      </c>
    </row>
    <row r="2412" spans="1:49" ht="15.6" customHeight="1" outlineLevel="2">
      <c r="A2412" s="8" t="str">
        <f t="shared" ref="A2412" si="9682">A2411</f>
        <v>S</v>
      </c>
      <c r="B2412" s="150"/>
      <c r="C2412" s="150"/>
      <c r="D2412" s="120" t="s">
        <v>279</v>
      </c>
      <c r="E2412" s="893"/>
      <c r="F2412" s="902"/>
      <c r="G2412" s="528"/>
      <c r="H2412" s="549" t="s">
        <v>38</v>
      </c>
      <c r="I2412" s="711">
        <v>3.4</v>
      </c>
      <c r="J2412" s="897"/>
      <c r="K2412" s="528"/>
      <c r="L2412" s="549" t="s">
        <v>38</v>
      </c>
      <c r="M2412" s="711">
        <f t="shared" si="9657"/>
        <v>0</v>
      </c>
      <c r="N2412" s="897"/>
      <c r="O2412" s="528"/>
      <c r="P2412" s="548">
        <v>0</v>
      </c>
      <c r="Q2412" s="548">
        <v>0</v>
      </c>
      <c r="R2412" s="548">
        <v>0</v>
      </c>
      <c r="S2412" s="548">
        <v>0</v>
      </c>
      <c r="T2412" s="548">
        <v>0</v>
      </c>
      <c r="U2412" s="548">
        <v>0</v>
      </c>
      <c r="V2412" s="548">
        <v>0</v>
      </c>
      <c r="W2412" s="528"/>
      <c r="X2412" s="711">
        <f t="shared" si="9648"/>
        <v>0</v>
      </c>
      <c r="Y2412" s="897"/>
      <c r="Z2412" s="528"/>
      <c r="AA2412" s="899"/>
      <c r="AB2412" s="899"/>
      <c r="AC2412" s="904"/>
      <c r="AD2412" s="905"/>
      <c r="AE2412" s="2"/>
      <c r="AF2412" s="885"/>
      <c r="AG2412" s="885"/>
      <c r="AH2412" s="885"/>
      <c r="AI2412" s="885"/>
      <c r="AJ2412" s="885"/>
      <c r="AK2412" s="885"/>
      <c r="AL2412" s="885"/>
      <c r="AM2412" s="879"/>
      <c r="AN2412" s="2"/>
      <c r="AO2412" s="886"/>
      <c r="AP2412" s="886"/>
      <c r="AV2412" t="str">
        <f t="shared" si="9565"/>
        <v xml:space="preserve">   Seg. 2.3-C08-Plataforma- Instalação de DSH01 - Seg.2.3 C 08 </v>
      </c>
      <c r="AW2412" s="4" t="str">
        <f t="shared" si="9564"/>
        <v xml:space="preserve">   Seg. 2.2-A01 - Drenagem Superficial - Descida d´água (Km 104+500 a 105+040)</v>
      </c>
    </row>
    <row r="2413" spans="1:49" ht="15.6" customHeight="1" outlineLevel="2">
      <c r="A2413" s="8" t="str">
        <f t="shared" ref="A2413" si="9683">IF(SUM(P2413:V2414)&gt;0,"S","N")</f>
        <v>N</v>
      </c>
      <c r="B2413" s="150">
        <v>1066868</v>
      </c>
      <c r="C2413" s="150" t="s">
        <v>2686</v>
      </c>
      <c r="D2413" s="120" t="s">
        <v>1229</v>
      </c>
      <c r="E2413" s="892" t="s">
        <v>2687</v>
      </c>
      <c r="F2413" s="902" t="s">
        <v>52</v>
      </c>
      <c r="G2413" s="528"/>
      <c r="H2413" s="546" t="s">
        <v>37</v>
      </c>
      <c r="I2413" s="711">
        <v>0</v>
      </c>
      <c r="J2413" s="896" t="str">
        <f t="shared" ref="J2413" si="9684">IFERROR((I2414/I2413),"-")</f>
        <v>-</v>
      </c>
      <c r="K2413" s="528"/>
      <c r="L2413" s="546" t="s">
        <v>37</v>
      </c>
      <c r="M2413" s="711">
        <f t="shared" si="9657"/>
        <v>0</v>
      </c>
      <c r="N2413" s="896" t="str">
        <f t="shared" ref="N2413" si="9685">IFERROR((M2414/M2413),"-")</f>
        <v>-</v>
      </c>
      <c r="O2413" s="528"/>
      <c r="P2413" s="547">
        <v>0</v>
      </c>
      <c r="Q2413" s="547">
        <v>0</v>
      </c>
      <c r="R2413" s="547">
        <v>0</v>
      </c>
      <c r="S2413" s="547">
        <v>0</v>
      </c>
      <c r="T2413" s="547">
        <v>0</v>
      </c>
      <c r="U2413" s="547">
        <v>0</v>
      </c>
      <c r="V2413" s="548">
        <v>0</v>
      </c>
      <c r="W2413" s="528"/>
      <c r="X2413" s="711">
        <f t="shared" si="9648"/>
        <v>0</v>
      </c>
      <c r="Y2413" s="896" t="str">
        <f t="shared" ref="Y2413" si="9686">IFERROR((X2414/X2413),"-")</f>
        <v>-</v>
      </c>
      <c r="Z2413" s="528"/>
      <c r="AA2413" s="898">
        <v>0</v>
      </c>
      <c r="AB2413" s="898">
        <v>0</v>
      </c>
      <c r="AC2413" s="903">
        <v>0</v>
      </c>
      <c r="AD2413" s="896" t="str">
        <f t="shared" ref="AD2413" si="9687">IFERROR((AC2413/AA2413),"-")</f>
        <v>-</v>
      </c>
      <c r="AE2413" s="2"/>
      <c r="AF2413" s="884">
        <v>0</v>
      </c>
      <c r="AG2413" s="884"/>
      <c r="AH2413" s="884">
        <v>0</v>
      </c>
      <c r="AI2413" s="884"/>
      <c r="AJ2413" s="884"/>
      <c r="AK2413" s="884">
        <f t="shared" ref="AK2413" si="9688">AF2413+AG2413+AH2413+AI2413+AJ2413+AC2413</f>
        <v>0</v>
      </c>
      <c r="AL2413" s="884">
        <v>0</v>
      </c>
      <c r="AM2413" s="878" t="str">
        <f t="shared" ref="AM2413" si="9689">IFERROR((AK2413/AL2413),"-")</f>
        <v>-</v>
      </c>
      <c r="AN2413" s="2"/>
      <c r="AO2413" s="884">
        <v>2.9</v>
      </c>
      <c r="AP2413" s="884">
        <f t="shared" ref="AP2413" si="9690">AO2413-AK2413</f>
        <v>2.9</v>
      </c>
      <c r="AV2413" t="str">
        <f t="shared" si="9565"/>
        <v xml:space="preserve">   Seg. 2.3-C08-Plataforma- Instalação de DSH01 - Seg.2.3 C 08 </v>
      </c>
      <c r="AW2413" s="4" t="str">
        <f t="shared" si="9564"/>
        <v xml:space="preserve">   Seg. 2.2-A04 - Drenagem Superficial - Descida d´água (Km 105+980 a 106+200)</v>
      </c>
    </row>
    <row r="2414" spans="1:49" ht="15.6" customHeight="1" outlineLevel="2">
      <c r="A2414" s="8" t="str">
        <f t="shared" ref="A2414" si="9691">A2413</f>
        <v>N</v>
      </c>
      <c r="B2414" s="150"/>
      <c r="C2414" s="150"/>
      <c r="D2414" s="120" t="s">
        <v>1229</v>
      </c>
      <c r="E2414" s="893"/>
      <c r="F2414" s="902"/>
      <c r="G2414" s="528"/>
      <c r="H2414" s="549" t="s">
        <v>38</v>
      </c>
      <c r="I2414" s="711">
        <v>0</v>
      </c>
      <c r="J2414" s="897"/>
      <c r="K2414" s="528"/>
      <c r="L2414" s="549" t="s">
        <v>38</v>
      </c>
      <c r="M2414" s="711">
        <f t="shared" si="9657"/>
        <v>0</v>
      </c>
      <c r="N2414" s="897"/>
      <c r="O2414" s="528"/>
      <c r="P2414" s="548">
        <v>0</v>
      </c>
      <c r="Q2414" s="548">
        <v>0</v>
      </c>
      <c r="R2414" s="548">
        <v>0</v>
      </c>
      <c r="S2414" s="548">
        <v>0</v>
      </c>
      <c r="T2414" s="548">
        <v>0</v>
      </c>
      <c r="U2414" s="548">
        <v>0</v>
      </c>
      <c r="V2414" s="548">
        <v>0</v>
      </c>
      <c r="W2414" s="528"/>
      <c r="X2414" s="711">
        <f t="shared" si="9648"/>
        <v>0</v>
      </c>
      <c r="Y2414" s="897"/>
      <c r="Z2414" s="528"/>
      <c r="AA2414" s="899"/>
      <c r="AB2414" s="899"/>
      <c r="AC2414" s="904"/>
      <c r="AD2414" s="905"/>
      <c r="AE2414" s="2"/>
      <c r="AF2414" s="885"/>
      <c r="AG2414" s="885"/>
      <c r="AH2414" s="885"/>
      <c r="AI2414" s="885"/>
      <c r="AJ2414" s="885"/>
      <c r="AK2414" s="885"/>
      <c r="AL2414" s="885"/>
      <c r="AM2414" s="879"/>
      <c r="AN2414" s="2"/>
      <c r="AO2414" s="886"/>
      <c r="AP2414" s="886"/>
      <c r="AV2414" t="str">
        <f t="shared" si="9565"/>
        <v xml:space="preserve">   Seg. 2.3-C08-Plataforma- Instalação de DSH01 - Seg.2.3 C 08 </v>
      </c>
      <c r="AW2414" s="4" t="str">
        <f t="shared" si="9564"/>
        <v xml:space="preserve">   Seg. 2.2-A04 - Drenagem Superficial - Descida d´água (Km 105+980 a 106+200)</v>
      </c>
    </row>
    <row r="2415" spans="1:49" ht="15.6" customHeight="1" outlineLevel="2">
      <c r="A2415" s="8" t="str">
        <f t="shared" ref="A2415" si="9692">IF(SUM(P2415:V2416)&gt;0,"S","N")</f>
        <v>S</v>
      </c>
      <c r="B2415" s="150">
        <v>1066869</v>
      </c>
      <c r="C2415" s="150" t="s">
        <v>2688</v>
      </c>
      <c r="D2415" s="120" t="s">
        <v>782</v>
      </c>
      <c r="E2415" s="892" t="s">
        <v>2689</v>
      </c>
      <c r="F2415" s="902" t="s">
        <v>52</v>
      </c>
      <c r="G2415" s="528"/>
      <c r="H2415" s="546" t="s">
        <v>37</v>
      </c>
      <c r="I2415" s="711">
        <v>0</v>
      </c>
      <c r="J2415" s="896" t="str">
        <f t="shared" ref="J2415" si="9693">IFERROR((I2416/I2415),"-")</f>
        <v>-</v>
      </c>
      <c r="K2415" s="528"/>
      <c r="L2415" s="546" t="s">
        <v>37</v>
      </c>
      <c r="M2415" s="711">
        <f t="shared" si="9657"/>
        <v>0</v>
      </c>
      <c r="N2415" s="896" t="str">
        <f t="shared" ref="N2415" si="9694">IFERROR((M2416/M2415),"-")</f>
        <v>-</v>
      </c>
      <c r="O2415" s="528"/>
      <c r="P2415" s="547">
        <v>0</v>
      </c>
      <c r="Q2415" s="547">
        <v>0</v>
      </c>
      <c r="R2415" s="547">
        <v>0</v>
      </c>
      <c r="S2415" s="547">
        <v>0</v>
      </c>
      <c r="T2415" s="547">
        <v>0</v>
      </c>
      <c r="U2415" s="547">
        <v>0</v>
      </c>
      <c r="V2415" s="548">
        <v>0</v>
      </c>
      <c r="W2415" s="528"/>
      <c r="X2415" s="711">
        <f t="shared" si="9648"/>
        <v>0</v>
      </c>
      <c r="Y2415" s="896" t="str">
        <f t="shared" ref="Y2415" si="9695">IFERROR((X2416/X2415),"-")</f>
        <v>-</v>
      </c>
      <c r="Z2415" s="528"/>
      <c r="AA2415" s="898">
        <v>0</v>
      </c>
      <c r="AB2415" s="898">
        <v>0</v>
      </c>
      <c r="AC2415" s="903">
        <v>3.2</v>
      </c>
      <c r="AD2415" s="896" t="str">
        <f t="shared" ref="AD2415" si="9696">IFERROR((AC2415/AA2415),"-")</f>
        <v>-</v>
      </c>
      <c r="AE2415" s="2"/>
      <c r="AF2415" s="884">
        <v>0</v>
      </c>
      <c r="AG2415" s="884"/>
      <c r="AH2415" s="884">
        <v>0</v>
      </c>
      <c r="AI2415" s="884"/>
      <c r="AJ2415" s="884"/>
      <c r="AK2415" s="884">
        <f t="shared" ref="AK2415" si="9697">AF2415+AG2415+AH2415+AI2415+AJ2415+AC2415</f>
        <v>3.2</v>
      </c>
      <c r="AL2415" s="884">
        <v>0</v>
      </c>
      <c r="AM2415" s="878" t="str">
        <f t="shared" ref="AM2415" si="9698">IFERROR((AK2415/AL2415),"-")</f>
        <v>-</v>
      </c>
      <c r="AN2415" s="2"/>
      <c r="AO2415" s="884">
        <v>6.2</v>
      </c>
      <c r="AP2415" s="884">
        <f t="shared" ref="AP2415" si="9699">AO2415-AK2415</f>
        <v>3</v>
      </c>
      <c r="AV2415" t="str">
        <f t="shared" si="9565"/>
        <v xml:space="preserve">   Seg. 2.3-C08-Plataforma- Instalação de DSH01 - Seg.2.3 C 08 </v>
      </c>
      <c r="AW2415" s="4" t="str">
        <f t="shared" si="9564"/>
        <v xml:space="preserve">   Seg. 2.2-A05 - Drenagem Superficial - Descida d´água (Km 107+420 a 107+700)</v>
      </c>
    </row>
    <row r="2416" spans="1:49" ht="15.6" customHeight="1" outlineLevel="2">
      <c r="A2416" s="8" t="str">
        <f t="shared" ref="A2416" si="9700">A2415</f>
        <v>S</v>
      </c>
      <c r="B2416" s="150"/>
      <c r="C2416" s="150"/>
      <c r="D2416" s="120" t="s">
        <v>782</v>
      </c>
      <c r="E2416" s="893"/>
      <c r="F2416" s="902"/>
      <c r="G2416" s="528"/>
      <c r="H2416" s="549" t="s">
        <v>38</v>
      </c>
      <c r="I2416" s="711">
        <v>0</v>
      </c>
      <c r="J2416" s="897"/>
      <c r="K2416" s="528"/>
      <c r="L2416" s="549" t="s">
        <v>38</v>
      </c>
      <c r="M2416" s="711">
        <f t="shared" si="9657"/>
        <v>3.2</v>
      </c>
      <c r="N2416" s="897"/>
      <c r="O2416" s="528"/>
      <c r="P2416" s="548">
        <v>0</v>
      </c>
      <c r="Q2416" s="548">
        <v>3.2</v>
      </c>
      <c r="R2416" s="548">
        <v>0</v>
      </c>
      <c r="S2416" s="548">
        <v>0</v>
      </c>
      <c r="T2416" s="548">
        <v>0</v>
      </c>
      <c r="U2416" s="548">
        <v>0</v>
      </c>
      <c r="V2416" s="548">
        <v>0</v>
      </c>
      <c r="W2416" s="528"/>
      <c r="X2416" s="711">
        <f t="shared" si="9648"/>
        <v>3.2</v>
      </c>
      <c r="Y2416" s="897"/>
      <c r="Z2416" s="528"/>
      <c r="AA2416" s="899"/>
      <c r="AB2416" s="899"/>
      <c r="AC2416" s="904"/>
      <c r="AD2416" s="905"/>
      <c r="AE2416" s="2"/>
      <c r="AF2416" s="885"/>
      <c r="AG2416" s="885"/>
      <c r="AH2416" s="885"/>
      <c r="AI2416" s="885"/>
      <c r="AJ2416" s="885"/>
      <c r="AK2416" s="885"/>
      <c r="AL2416" s="885"/>
      <c r="AM2416" s="879"/>
      <c r="AN2416" s="2"/>
      <c r="AO2416" s="886"/>
      <c r="AP2416" s="886"/>
      <c r="AV2416" t="str">
        <f t="shared" si="9565"/>
        <v xml:space="preserve">   Seg. 2.3-C08-Plataforma- Instalação de DSH01 - Seg.2.3 C 08 </v>
      </c>
      <c r="AW2416" s="4" t="str">
        <f t="shared" si="9564"/>
        <v xml:space="preserve">   Seg. 2.2-A05 - Drenagem Superficial - Descida d´água (Km 107+420 a 107+700)</v>
      </c>
    </row>
    <row r="2417" spans="1:49" ht="15.6" customHeight="1" outlineLevel="2">
      <c r="A2417" s="8" t="str">
        <f t="shared" ref="A2417" si="9701">IF(SUM(P2417:V2418)&gt;0,"S","N")</f>
        <v>N</v>
      </c>
      <c r="B2417" s="150">
        <v>1066871</v>
      </c>
      <c r="C2417" s="150" t="s">
        <v>2690</v>
      </c>
      <c r="D2417" s="147" t="s">
        <v>187</v>
      </c>
      <c r="E2417" s="892" t="s">
        <v>2691</v>
      </c>
      <c r="F2417" s="902" t="s">
        <v>52</v>
      </c>
      <c r="G2417" s="528"/>
      <c r="H2417" s="546" t="s">
        <v>37</v>
      </c>
      <c r="I2417" s="711">
        <v>0</v>
      </c>
      <c r="J2417" s="896" t="str">
        <f t="shared" ref="J2417" si="9702">IFERROR((I2418/I2417),"-")</f>
        <v>-</v>
      </c>
      <c r="K2417" s="528"/>
      <c r="L2417" s="546" t="s">
        <v>37</v>
      </c>
      <c r="M2417" s="711">
        <f t="shared" si="9657"/>
        <v>0</v>
      </c>
      <c r="N2417" s="896" t="str">
        <f t="shared" ref="N2417" si="9703">IFERROR((M2418/M2417),"-")</f>
        <v>-</v>
      </c>
      <c r="O2417" s="528"/>
      <c r="P2417" s="547">
        <v>0</v>
      </c>
      <c r="Q2417" s="547">
        <v>0</v>
      </c>
      <c r="R2417" s="547">
        <v>0</v>
      </c>
      <c r="S2417" s="547">
        <v>0</v>
      </c>
      <c r="T2417" s="547">
        <v>0</v>
      </c>
      <c r="U2417" s="547">
        <v>0</v>
      </c>
      <c r="V2417" s="548">
        <v>0</v>
      </c>
      <c r="W2417" s="528"/>
      <c r="X2417" s="711">
        <f t="shared" si="9648"/>
        <v>0</v>
      </c>
      <c r="Y2417" s="896" t="str">
        <f t="shared" ref="Y2417" si="9704">IFERROR((X2418/X2417),"-")</f>
        <v>-</v>
      </c>
      <c r="Z2417" s="528"/>
      <c r="AA2417" s="898">
        <v>14.9</v>
      </c>
      <c r="AB2417" s="898">
        <v>0</v>
      </c>
      <c r="AC2417" s="903">
        <v>0</v>
      </c>
      <c r="AD2417" s="896">
        <f t="shared" ref="AD2417" si="9705">IFERROR((AC2417/AA2417),"-")</f>
        <v>0</v>
      </c>
      <c r="AE2417" s="2"/>
      <c r="AF2417" s="884">
        <v>0</v>
      </c>
      <c r="AG2417" s="884"/>
      <c r="AH2417" s="884">
        <v>0</v>
      </c>
      <c r="AI2417" s="884"/>
      <c r="AJ2417" s="884"/>
      <c r="AK2417" s="884">
        <f t="shared" ref="AK2417" si="9706">AF2417+AG2417+AH2417+AI2417+AJ2417+AC2417</f>
        <v>0</v>
      </c>
      <c r="AL2417" s="884">
        <v>0</v>
      </c>
      <c r="AM2417" s="878" t="str">
        <f t="shared" ref="AM2417" si="9707">IFERROR((AK2417/AL2417),"-")</f>
        <v>-</v>
      </c>
      <c r="AN2417" s="2"/>
      <c r="AO2417" s="884">
        <v>34.799999999999997</v>
      </c>
      <c r="AP2417" s="884">
        <f t="shared" ref="AP2417" si="9708">AO2417-AK2417</f>
        <v>34.799999999999997</v>
      </c>
      <c r="AV2417" t="str">
        <f t="shared" si="9565"/>
        <v xml:space="preserve">   Seg. 2.3-C08-Plataforma- Instalação de DSH01 - Seg.2.3 C 08 </v>
      </c>
      <c r="AW2417" s="4" t="str">
        <f t="shared" si="9564"/>
        <v xml:space="preserve">   Seg. 2.2-C04-B01 - Drenagem Superficial - Descida D´água</v>
      </c>
    </row>
    <row r="2418" spans="1:49" ht="15.6" customHeight="1" outlineLevel="2">
      <c r="A2418" s="8" t="str">
        <f t="shared" ref="A2418" si="9709">A2417</f>
        <v>N</v>
      </c>
      <c r="B2418" s="150"/>
      <c r="C2418" s="150"/>
      <c r="D2418" s="147" t="s">
        <v>187</v>
      </c>
      <c r="E2418" s="893"/>
      <c r="F2418" s="902"/>
      <c r="G2418" s="528"/>
      <c r="H2418" s="549" t="s">
        <v>38</v>
      </c>
      <c r="I2418" s="711">
        <v>0</v>
      </c>
      <c r="J2418" s="897"/>
      <c r="K2418" s="528"/>
      <c r="L2418" s="549" t="s">
        <v>38</v>
      </c>
      <c r="M2418" s="711">
        <f t="shared" si="9657"/>
        <v>0</v>
      </c>
      <c r="N2418" s="897"/>
      <c r="O2418" s="528"/>
      <c r="P2418" s="548">
        <v>0</v>
      </c>
      <c r="Q2418" s="548">
        <v>0</v>
      </c>
      <c r="R2418" s="548">
        <v>0</v>
      </c>
      <c r="S2418" s="548">
        <v>0</v>
      </c>
      <c r="T2418" s="548">
        <v>0</v>
      </c>
      <c r="U2418" s="548">
        <v>0</v>
      </c>
      <c r="V2418" s="548">
        <v>0</v>
      </c>
      <c r="W2418" s="528"/>
      <c r="X2418" s="711">
        <f t="shared" si="9648"/>
        <v>0</v>
      </c>
      <c r="Y2418" s="897"/>
      <c r="Z2418" s="528"/>
      <c r="AA2418" s="899"/>
      <c r="AB2418" s="899"/>
      <c r="AC2418" s="904"/>
      <c r="AD2418" s="905"/>
      <c r="AE2418" s="2"/>
      <c r="AF2418" s="885"/>
      <c r="AG2418" s="885"/>
      <c r="AH2418" s="885"/>
      <c r="AI2418" s="885"/>
      <c r="AJ2418" s="885"/>
      <c r="AK2418" s="885"/>
      <c r="AL2418" s="885"/>
      <c r="AM2418" s="879"/>
      <c r="AN2418" s="2"/>
      <c r="AO2418" s="885"/>
      <c r="AP2418" s="886"/>
      <c r="AV2418" t="str">
        <f t="shared" si="9565"/>
        <v xml:space="preserve">   Seg. 2.3-C08-Plataforma- Instalação de DSH01 - Seg.2.3 C 08 </v>
      </c>
      <c r="AW2418" s="4" t="str">
        <f t="shared" si="9564"/>
        <v xml:space="preserve">   Seg. 2.2-C04-B01 - Drenagem Superficial - Descida D´água</v>
      </c>
    </row>
    <row r="2419" spans="1:49" ht="15.6" customHeight="1" outlineLevel="2">
      <c r="A2419" s="8" t="str">
        <f t="shared" ref="A2419" si="9710">IF(SUM(P2419:V2420)&gt;0,"S","N")</f>
        <v>N</v>
      </c>
      <c r="B2419" s="150">
        <v>1066873</v>
      </c>
      <c r="C2419" s="150" t="s">
        <v>2692</v>
      </c>
      <c r="D2419" s="120" t="s">
        <v>184</v>
      </c>
      <c r="E2419" s="892" t="s">
        <v>2693</v>
      </c>
      <c r="F2419" s="902" t="s">
        <v>52</v>
      </c>
      <c r="G2419" s="528"/>
      <c r="H2419" s="546" t="s">
        <v>37</v>
      </c>
      <c r="I2419" s="711">
        <v>0</v>
      </c>
      <c r="J2419" s="896" t="str">
        <f t="shared" ref="J2419" si="9711">IFERROR((I2420/I2419),"-")</f>
        <v>-</v>
      </c>
      <c r="K2419" s="528"/>
      <c r="L2419" s="546" t="s">
        <v>37</v>
      </c>
      <c r="M2419" s="711">
        <f t="shared" si="9657"/>
        <v>0</v>
      </c>
      <c r="N2419" s="896" t="str">
        <f t="shared" ref="N2419" si="9712">IFERROR((M2420/M2419),"-")</f>
        <v>-</v>
      </c>
      <c r="O2419" s="528"/>
      <c r="P2419" s="547">
        <v>0</v>
      </c>
      <c r="Q2419" s="547">
        <v>0</v>
      </c>
      <c r="R2419" s="547">
        <v>0</v>
      </c>
      <c r="S2419" s="547">
        <v>0</v>
      </c>
      <c r="T2419" s="547">
        <v>0</v>
      </c>
      <c r="U2419" s="547">
        <v>0</v>
      </c>
      <c r="V2419" s="548">
        <v>0</v>
      </c>
      <c r="W2419" s="528"/>
      <c r="X2419" s="711">
        <f t="shared" si="9648"/>
        <v>0</v>
      </c>
      <c r="Y2419" s="896" t="str">
        <f t="shared" ref="Y2419" si="9713">IFERROR((X2420/X2419),"-")</f>
        <v>-</v>
      </c>
      <c r="Z2419" s="528"/>
      <c r="AA2419" s="898">
        <v>0</v>
      </c>
      <c r="AB2419" s="898">
        <v>0</v>
      </c>
      <c r="AC2419" s="903">
        <v>0</v>
      </c>
      <c r="AD2419" s="896" t="str">
        <f t="shared" ref="AD2419" si="9714">IFERROR((AC2419/AA2419),"-")</f>
        <v>-</v>
      </c>
      <c r="AE2419" s="2"/>
      <c r="AF2419" s="884">
        <v>0</v>
      </c>
      <c r="AG2419" s="884"/>
      <c r="AH2419" s="884">
        <v>0</v>
      </c>
      <c r="AI2419" s="884"/>
      <c r="AJ2419" s="884"/>
      <c r="AK2419" s="884">
        <f t="shared" ref="AK2419" si="9715">AF2419+AG2419+AH2419+AI2419+AJ2419+AC2419</f>
        <v>0</v>
      </c>
      <c r="AL2419" s="884">
        <v>0</v>
      </c>
      <c r="AM2419" s="878" t="str">
        <f t="shared" ref="AM2419" si="9716">IFERROR((AK2419/AL2419),"-")</f>
        <v>-</v>
      </c>
      <c r="AN2419" s="2"/>
      <c r="AO2419" s="884">
        <v>3.4</v>
      </c>
      <c r="AP2419" s="884">
        <f t="shared" ref="AP2419" si="9717">AO2419-AK2419</f>
        <v>3.4</v>
      </c>
      <c r="AV2419" t="str">
        <f t="shared" si="9565"/>
        <v xml:space="preserve">   Seg. 2.3-C08-Plataforma- Instalação de DSH01 - Seg.2.3 C 08 </v>
      </c>
      <c r="AW2419" s="4" t="str">
        <f t="shared" si="9564"/>
        <v xml:space="preserve">   Seg. 2.2-C03 - Drenagem Superficial - Descida d´água (Km 105+620 a 105+960)</v>
      </c>
    </row>
    <row r="2420" spans="1:49" ht="15.6" customHeight="1" outlineLevel="2">
      <c r="A2420" s="8" t="str">
        <f t="shared" ref="A2420" si="9718">A2419</f>
        <v>N</v>
      </c>
      <c r="B2420" s="150"/>
      <c r="C2420" s="150"/>
      <c r="D2420" s="120" t="s">
        <v>184</v>
      </c>
      <c r="E2420" s="893"/>
      <c r="F2420" s="902"/>
      <c r="G2420" s="528"/>
      <c r="H2420" s="549" t="s">
        <v>38</v>
      </c>
      <c r="I2420" s="711">
        <v>0</v>
      </c>
      <c r="J2420" s="897"/>
      <c r="K2420" s="528"/>
      <c r="L2420" s="549" t="s">
        <v>38</v>
      </c>
      <c r="M2420" s="711">
        <f t="shared" si="9657"/>
        <v>0</v>
      </c>
      <c r="N2420" s="897"/>
      <c r="O2420" s="528"/>
      <c r="P2420" s="548">
        <v>0</v>
      </c>
      <c r="Q2420" s="548">
        <v>0</v>
      </c>
      <c r="R2420" s="548">
        <v>0</v>
      </c>
      <c r="S2420" s="548">
        <v>0</v>
      </c>
      <c r="T2420" s="548">
        <v>0</v>
      </c>
      <c r="U2420" s="548">
        <v>0</v>
      </c>
      <c r="V2420" s="548">
        <v>0</v>
      </c>
      <c r="W2420" s="528"/>
      <c r="X2420" s="711">
        <f t="shared" si="9648"/>
        <v>0</v>
      </c>
      <c r="Y2420" s="897"/>
      <c r="Z2420" s="528"/>
      <c r="AA2420" s="899"/>
      <c r="AB2420" s="899"/>
      <c r="AC2420" s="904"/>
      <c r="AD2420" s="905"/>
      <c r="AE2420" s="2"/>
      <c r="AF2420" s="885"/>
      <c r="AG2420" s="885"/>
      <c r="AH2420" s="885"/>
      <c r="AI2420" s="885"/>
      <c r="AJ2420" s="885"/>
      <c r="AK2420" s="885"/>
      <c r="AL2420" s="885"/>
      <c r="AM2420" s="879"/>
      <c r="AN2420" s="2"/>
      <c r="AO2420" s="886"/>
      <c r="AP2420" s="886"/>
      <c r="AV2420" t="str">
        <f t="shared" si="9565"/>
        <v xml:space="preserve">   Seg. 2.3-C08-Plataforma- Instalação de DSH01 - Seg.2.3 C 08 </v>
      </c>
      <c r="AW2420" s="4" t="str">
        <f t="shared" si="9564"/>
        <v xml:space="preserve">   Seg. 2.2-C03 - Drenagem Superficial - Descida d´água (Km 105+620 a 105+960)</v>
      </c>
    </row>
    <row r="2421" spans="1:49" ht="15.6" customHeight="1" outlineLevel="2">
      <c r="A2421" s="8" t="str">
        <f t="shared" ref="A2421" si="9719">IF(SUM(P2421:V2422)&gt;0,"S","N")</f>
        <v>N</v>
      </c>
      <c r="B2421" s="150">
        <v>1066875</v>
      </c>
      <c r="C2421" s="150" t="s">
        <v>2694</v>
      </c>
      <c r="D2421" s="120" t="s">
        <v>194</v>
      </c>
      <c r="E2421" s="892" t="s">
        <v>2695</v>
      </c>
      <c r="F2421" s="902" t="s">
        <v>52</v>
      </c>
      <c r="G2421" s="528"/>
      <c r="H2421" s="546" t="s">
        <v>37</v>
      </c>
      <c r="I2421" s="711">
        <v>0</v>
      </c>
      <c r="J2421" s="896" t="str">
        <f t="shared" ref="J2421" si="9720">IFERROR((I2422/I2421),"-")</f>
        <v>-</v>
      </c>
      <c r="K2421" s="528"/>
      <c r="L2421" s="546" t="s">
        <v>37</v>
      </c>
      <c r="M2421" s="711">
        <f t="shared" si="9657"/>
        <v>0</v>
      </c>
      <c r="N2421" s="896" t="str">
        <f t="shared" ref="N2421" si="9721">IFERROR((M2422/M2421),"-")</f>
        <v>-</v>
      </c>
      <c r="O2421" s="528"/>
      <c r="P2421" s="547">
        <v>0</v>
      </c>
      <c r="Q2421" s="547">
        <v>0</v>
      </c>
      <c r="R2421" s="547">
        <v>0</v>
      </c>
      <c r="S2421" s="547">
        <v>0</v>
      </c>
      <c r="T2421" s="547">
        <v>0</v>
      </c>
      <c r="U2421" s="547">
        <v>0</v>
      </c>
      <c r="V2421" s="548">
        <v>0</v>
      </c>
      <c r="W2421" s="528"/>
      <c r="X2421" s="711">
        <f t="shared" si="9648"/>
        <v>0</v>
      </c>
      <c r="Y2421" s="896" t="str">
        <f t="shared" ref="Y2421" si="9722">IFERROR((X2422/X2421),"-")</f>
        <v>-</v>
      </c>
      <c r="Z2421" s="528"/>
      <c r="AA2421" s="898">
        <v>6.3</v>
      </c>
      <c r="AB2421" s="898">
        <v>0</v>
      </c>
      <c r="AC2421" s="903">
        <v>0</v>
      </c>
      <c r="AD2421" s="896">
        <f t="shared" ref="AD2421" si="9723">IFERROR((AC2421/AA2421),"-")</f>
        <v>0</v>
      </c>
      <c r="AE2421" s="2"/>
      <c r="AF2421" s="884">
        <v>0</v>
      </c>
      <c r="AG2421" s="884"/>
      <c r="AH2421" s="884">
        <v>0</v>
      </c>
      <c r="AI2421" s="884"/>
      <c r="AJ2421" s="884"/>
      <c r="AK2421" s="884">
        <f t="shared" ref="AK2421" si="9724">AF2421+AG2421+AH2421+AI2421+AJ2421+AC2421</f>
        <v>0</v>
      </c>
      <c r="AL2421" s="884">
        <v>0</v>
      </c>
      <c r="AM2421" s="878" t="str">
        <f t="shared" ref="AM2421" si="9725">IFERROR((AK2421/AL2421),"-")</f>
        <v>-</v>
      </c>
      <c r="AN2421" s="2"/>
      <c r="AO2421" s="884">
        <v>6.7</v>
      </c>
      <c r="AP2421" s="884">
        <f t="shared" ref="AP2421" si="9726">AO2421-AK2421</f>
        <v>6.7</v>
      </c>
      <c r="AV2421" t="str">
        <f t="shared" si="9565"/>
        <v xml:space="preserve">   Seg. 2.3-C08-Plataforma- Instalação de DSH01 - Seg.2.3 C 08 </v>
      </c>
      <c r="AW2421" s="4" t="str">
        <f t="shared" si="9564"/>
        <v xml:space="preserve">   Seg. 2.2-C07 - Drenagem Superficial - Descida d´água (Km 108+560 a 109+200)</v>
      </c>
    </row>
    <row r="2422" spans="1:49" ht="15.6" customHeight="1" outlineLevel="2">
      <c r="A2422" s="8" t="str">
        <f t="shared" ref="A2422" si="9727">A2421</f>
        <v>N</v>
      </c>
      <c r="B2422" s="150"/>
      <c r="C2422" s="150"/>
      <c r="D2422" s="120" t="s">
        <v>194</v>
      </c>
      <c r="E2422" s="893"/>
      <c r="F2422" s="902"/>
      <c r="G2422" s="528"/>
      <c r="H2422" s="549" t="s">
        <v>38</v>
      </c>
      <c r="I2422" s="711">
        <v>0</v>
      </c>
      <c r="J2422" s="897"/>
      <c r="K2422" s="528"/>
      <c r="L2422" s="549" t="s">
        <v>38</v>
      </c>
      <c r="M2422" s="711">
        <f t="shared" si="9657"/>
        <v>0</v>
      </c>
      <c r="N2422" s="897"/>
      <c r="O2422" s="528"/>
      <c r="P2422" s="548">
        <v>0</v>
      </c>
      <c r="Q2422" s="548">
        <v>0</v>
      </c>
      <c r="R2422" s="548">
        <v>0</v>
      </c>
      <c r="S2422" s="548">
        <v>0</v>
      </c>
      <c r="T2422" s="548">
        <v>0</v>
      </c>
      <c r="U2422" s="548">
        <v>0</v>
      </c>
      <c r="V2422" s="548">
        <v>0</v>
      </c>
      <c r="W2422" s="528"/>
      <c r="X2422" s="711">
        <f t="shared" si="9648"/>
        <v>0</v>
      </c>
      <c r="Y2422" s="897"/>
      <c r="Z2422" s="528"/>
      <c r="AA2422" s="899"/>
      <c r="AB2422" s="899"/>
      <c r="AC2422" s="904"/>
      <c r="AD2422" s="905"/>
      <c r="AE2422" s="2"/>
      <c r="AF2422" s="885"/>
      <c r="AG2422" s="885"/>
      <c r="AH2422" s="885"/>
      <c r="AI2422" s="885"/>
      <c r="AJ2422" s="885"/>
      <c r="AK2422" s="885"/>
      <c r="AL2422" s="885"/>
      <c r="AM2422" s="879"/>
      <c r="AN2422" s="2"/>
      <c r="AO2422" s="886"/>
      <c r="AP2422" s="886"/>
      <c r="AV2422" t="str">
        <f t="shared" si="9565"/>
        <v xml:space="preserve">   Seg. 2.3-C08-Plataforma- Instalação de DSH01 - Seg.2.3 C 08 </v>
      </c>
      <c r="AW2422" s="4" t="str">
        <f t="shared" si="9564"/>
        <v xml:space="preserve">   Seg. 2.2-C07 - Drenagem Superficial - Descida d´água (Km 108+560 a 109+200)</v>
      </c>
    </row>
    <row r="2423" spans="1:49" ht="15.6" customHeight="1" outlineLevel="2">
      <c r="A2423" s="8" t="str">
        <f t="shared" ref="A2423" si="9728">IF(SUM(P2423:V2424)&gt;0,"S","N")</f>
        <v>S</v>
      </c>
      <c r="B2423" s="150">
        <v>1066876</v>
      </c>
      <c r="C2423" s="150" t="s">
        <v>2696</v>
      </c>
      <c r="D2423" s="120" t="s">
        <v>1225</v>
      </c>
      <c r="E2423" s="892" t="s">
        <v>2697</v>
      </c>
      <c r="F2423" s="902" t="s">
        <v>52</v>
      </c>
      <c r="G2423" s="528"/>
      <c r="H2423" s="546" t="s">
        <v>37</v>
      </c>
      <c r="I2423" s="711">
        <v>12</v>
      </c>
      <c r="J2423" s="896">
        <f t="shared" ref="J2423" si="9729">IFERROR((I2424/I2423),"-")</f>
        <v>0</v>
      </c>
      <c r="K2423" s="528"/>
      <c r="L2423" s="546" t="s">
        <v>37</v>
      </c>
      <c r="M2423" s="711">
        <f t="shared" si="9657"/>
        <v>2</v>
      </c>
      <c r="N2423" s="896">
        <f t="shared" ref="N2423" si="9730">IFERROR((M2424/M2423),"-")</f>
        <v>0</v>
      </c>
      <c r="O2423" s="528"/>
      <c r="P2423" s="547">
        <v>2</v>
      </c>
      <c r="Q2423" s="547">
        <v>2</v>
      </c>
      <c r="R2423" s="547">
        <v>2</v>
      </c>
      <c r="S2423" s="547">
        <v>2</v>
      </c>
      <c r="T2423" s="547">
        <v>2</v>
      </c>
      <c r="U2423" s="547">
        <v>2</v>
      </c>
      <c r="V2423" s="548">
        <v>0</v>
      </c>
      <c r="W2423" s="528"/>
      <c r="X2423" s="711">
        <f t="shared" si="9648"/>
        <v>4</v>
      </c>
      <c r="Y2423" s="896">
        <f t="shared" ref="Y2423" si="9731">IFERROR((X2424/X2423),"-")</f>
        <v>0</v>
      </c>
      <c r="Z2423" s="528"/>
      <c r="AA2423" s="898">
        <v>0</v>
      </c>
      <c r="AB2423" s="898">
        <v>0</v>
      </c>
      <c r="AC2423" s="903">
        <v>0</v>
      </c>
      <c r="AD2423" s="896" t="str">
        <f t="shared" ref="AD2423" si="9732">IFERROR((AC2423/AA2423),"-")</f>
        <v>-</v>
      </c>
      <c r="AE2423" s="2"/>
      <c r="AF2423" s="884">
        <v>0</v>
      </c>
      <c r="AG2423" s="884"/>
      <c r="AH2423" s="884">
        <v>0</v>
      </c>
      <c r="AI2423" s="884"/>
      <c r="AJ2423" s="884"/>
      <c r="AK2423" s="884">
        <f t="shared" ref="AK2423" si="9733">AF2423+AG2423+AH2423+AI2423+AJ2423+AC2423</f>
        <v>0</v>
      </c>
      <c r="AL2423" s="884">
        <v>0</v>
      </c>
      <c r="AM2423" s="878" t="str">
        <f t="shared" ref="AM2423" si="9734">IFERROR((AK2423/AL2423),"-")</f>
        <v>-</v>
      </c>
      <c r="AN2423" s="2"/>
      <c r="AO2423" s="884">
        <v>94.9</v>
      </c>
      <c r="AP2423" s="884">
        <f t="shared" ref="AP2423" si="9735">AO2423-AK2423</f>
        <v>94.9</v>
      </c>
      <c r="AV2423" t="str">
        <f t="shared" si="9565"/>
        <v xml:space="preserve">   Seg. 2.3-C08-Plataforma- Instalação de DSH01 - Seg.2.3 C 08 </v>
      </c>
      <c r="AW2423" s="4" t="str">
        <f t="shared" si="9564"/>
        <v xml:space="preserve">   Seg. 2.2-A02 - Drenagem Superficial - Descida d´água (Km 105+120 a 105+270)</v>
      </c>
    </row>
    <row r="2424" spans="1:49" ht="15.6" customHeight="1" outlineLevel="2">
      <c r="A2424" s="8" t="str">
        <f t="shared" ref="A2424" si="9736">A2423</f>
        <v>S</v>
      </c>
      <c r="B2424" s="150"/>
      <c r="C2424" s="150"/>
      <c r="D2424" s="120" t="s">
        <v>1225</v>
      </c>
      <c r="E2424" s="893"/>
      <c r="F2424" s="902"/>
      <c r="G2424" s="528"/>
      <c r="H2424" s="549" t="s">
        <v>38</v>
      </c>
      <c r="I2424" s="711">
        <v>0</v>
      </c>
      <c r="J2424" s="897"/>
      <c r="K2424" s="528"/>
      <c r="L2424" s="549" t="s">
        <v>38</v>
      </c>
      <c r="M2424" s="711">
        <f t="shared" si="9657"/>
        <v>0</v>
      </c>
      <c r="N2424" s="897"/>
      <c r="O2424" s="528"/>
      <c r="P2424" s="548">
        <v>0</v>
      </c>
      <c r="Q2424" s="548">
        <v>0</v>
      </c>
      <c r="R2424" s="548">
        <v>0</v>
      </c>
      <c r="S2424" s="548">
        <v>0</v>
      </c>
      <c r="T2424" s="548">
        <v>0</v>
      </c>
      <c r="U2424" s="548">
        <v>0</v>
      </c>
      <c r="V2424" s="548">
        <v>0</v>
      </c>
      <c r="W2424" s="528"/>
      <c r="X2424" s="711">
        <f t="shared" si="9648"/>
        <v>0</v>
      </c>
      <c r="Y2424" s="897"/>
      <c r="Z2424" s="528"/>
      <c r="AA2424" s="899"/>
      <c r="AB2424" s="899"/>
      <c r="AC2424" s="904"/>
      <c r="AD2424" s="905"/>
      <c r="AE2424" s="2"/>
      <c r="AF2424" s="885"/>
      <c r="AG2424" s="885"/>
      <c r="AH2424" s="885"/>
      <c r="AI2424" s="885"/>
      <c r="AJ2424" s="885"/>
      <c r="AK2424" s="885"/>
      <c r="AL2424" s="885"/>
      <c r="AM2424" s="879"/>
      <c r="AN2424" s="2"/>
      <c r="AO2424" s="886"/>
      <c r="AP2424" s="886"/>
      <c r="AV2424" t="str">
        <f t="shared" si="9565"/>
        <v xml:space="preserve">   Seg. 2.3-C08-Plataforma- Instalação de DSH01 - Seg.2.3 C 08 </v>
      </c>
      <c r="AW2424" s="4" t="str">
        <f t="shared" si="9564"/>
        <v xml:space="preserve">   Seg. 2.2-A02 - Drenagem Superficial - Descida d´água (Km 105+120 a 105+270)</v>
      </c>
    </row>
    <row r="2425" spans="1:49" ht="15.6" customHeight="1" outlineLevel="2">
      <c r="A2425" s="209" t="str">
        <f t="shared" ref="A2425" si="9737">IF(SUM(P2425:V2426)&gt;0,"S","N")</f>
        <v>N</v>
      </c>
      <c r="B2425" s="150">
        <v>1066877</v>
      </c>
      <c r="C2425" s="150" t="s">
        <v>2698</v>
      </c>
      <c r="D2425" s="120" t="s">
        <v>1233</v>
      </c>
      <c r="E2425" s="892" t="s">
        <v>2699</v>
      </c>
      <c r="F2425" s="902" t="s">
        <v>52</v>
      </c>
      <c r="G2425" s="528"/>
      <c r="H2425" s="546" t="s">
        <v>37</v>
      </c>
      <c r="I2425" s="711">
        <v>0</v>
      </c>
      <c r="J2425" s="896" t="str">
        <f t="shared" ref="J2425" si="9738">IFERROR((I2426/I2425),"-")</f>
        <v>-</v>
      </c>
      <c r="K2425" s="528"/>
      <c r="L2425" s="546" t="s">
        <v>37</v>
      </c>
      <c r="M2425" s="711">
        <f t="shared" si="9657"/>
        <v>0</v>
      </c>
      <c r="N2425" s="896" t="str">
        <f t="shared" ref="N2425" si="9739">IFERROR((M2426/M2425),"-")</f>
        <v>-</v>
      </c>
      <c r="O2425" s="528"/>
      <c r="P2425" s="547">
        <v>0</v>
      </c>
      <c r="Q2425" s="547">
        <v>0</v>
      </c>
      <c r="R2425" s="547">
        <v>0</v>
      </c>
      <c r="S2425" s="547">
        <v>0</v>
      </c>
      <c r="T2425" s="547">
        <v>0</v>
      </c>
      <c r="U2425" s="547">
        <v>0</v>
      </c>
      <c r="V2425" s="548">
        <v>0</v>
      </c>
      <c r="W2425" s="528"/>
      <c r="X2425" s="711">
        <f t="shared" si="9648"/>
        <v>0</v>
      </c>
      <c r="Y2425" s="896" t="str">
        <f t="shared" ref="Y2425" si="9740">IFERROR((X2426/X2425),"-")</f>
        <v>-</v>
      </c>
      <c r="Z2425" s="528"/>
      <c r="AA2425" s="898">
        <v>0</v>
      </c>
      <c r="AB2425" s="898">
        <v>0</v>
      </c>
      <c r="AC2425" s="903">
        <v>0</v>
      </c>
      <c r="AD2425" s="896" t="str">
        <f t="shared" ref="AD2425" si="9741">IFERROR((AC2425/AA2425),"-")</f>
        <v>-</v>
      </c>
      <c r="AE2425" s="2"/>
      <c r="AF2425" s="884">
        <v>3.5</v>
      </c>
      <c r="AG2425" s="884"/>
      <c r="AH2425" s="884">
        <v>0</v>
      </c>
      <c r="AI2425" s="884"/>
      <c r="AJ2425" s="884">
        <v>4.9210000000000003</v>
      </c>
      <c r="AK2425" s="884">
        <f t="shared" ref="AK2425" si="9742">AF2425+AG2425+AH2425+AI2425+AJ2425+AC2425</f>
        <v>8.4209999999999994</v>
      </c>
      <c r="AL2425" s="884">
        <v>8.3800000000000008</v>
      </c>
      <c r="AM2425" s="878">
        <f t="shared" ref="AM2425" si="9743">IFERROR((AK2425/AL2425),"-")</f>
        <v>1.0048926014319808</v>
      </c>
      <c r="AN2425" s="2"/>
      <c r="AO2425" s="884">
        <v>5.7</v>
      </c>
      <c r="AP2425" s="884">
        <f t="shared" ref="AP2425" si="9744">AO2425-AK2425</f>
        <v>-2.7209999999999992</v>
      </c>
      <c r="AV2425" t="str">
        <f t="shared" si="9565"/>
        <v xml:space="preserve">   Seg. 2.3-C08-Plataforma- Instalação de DSH01 - Seg.2.3 C 08 </v>
      </c>
      <c r="AW2425" s="4" t="str">
        <f t="shared" si="9564"/>
        <v xml:space="preserve">   Seg. 2.2-A07 - Drenagem Superficial - Descida d´água (Km 109+200 a 109+280)</v>
      </c>
    </row>
    <row r="2426" spans="1:49" ht="15.6" customHeight="1" outlineLevel="2">
      <c r="A2426" s="209" t="str">
        <f t="shared" ref="A2426" si="9745">A2425</f>
        <v>N</v>
      </c>
      <c r="B2426" s="150"/>
      <c r="C2426" s="150"/>
      <c r="D2426" s="120" t="s">
        <v>1233</v>
      </c>
      <c r="E2426" s="893"/>
      <c r="F2426" s="902"/>
      <c r="G2426" s="528"/>
      <c r="H2426" s="549" t="s">
        <v>38</v>
      </c>
      <c r="I2426" s="711">
        <v>0</v>
      </c>
      <c r="J2426" s="897"/>
      <c r="K2426" s="528"/>
      <c r="L2426" s="549" t="s">
        <v>38</v>
      </c>
      <c r="M2426" s="711">
        <f t="shared" si="9657"/>
        <v>0</v>
      </c>
      <c r="N2426" s="897"/>
      <c r="O2426" s="528"/>
      <c r="P2426" s="548">
        <v>0</v>
      </c>
      <c r="Q2426" s="548">
        <v>0</v>
      </c>
      <c r="R2426" s="548">
        <v>0</v>
      </c>
      <c r="S2426" s="548">
        <v>0</v>
      </c>
      <c r="T2426" s="548">
        <v>0</v>
      </c>
      <c r="U2426" s="548">
        <v>0</v>
      </c>
      <c r="V2426" s="548">
        <v>0</v>
      </c>
      <c r="W2426" s="528"/>
      <c r="X2426" s="711">
        <f t="shared" si="9648"/>
        <v>0</v>
      </c>
      <c r="Y2426" s="897"/>
      <c r="Z2426" s="528"/>
      <c r="AA2426" s="899"/>
      <c r="AB2426" s="899"/>
      <c r="AC2426" s="904"/>
      <c r="AD2426" s="905"/>
      <c r="AE2426" s="2"/>
      <c r="AF2426" s="885"/>
      <c r="AG2426" s="885"/>
      <c r="AH2426" s="885"/>
      <c r="AI2426" s="885"/>
      <c r="AJ2426" s="885"/>
      <c r="AK2426" s="885"/>
      <c r="AL2426" s="885"/>
      <c r="AM2426" s="879"/>
      <c r="AN2426" s="2"/>
      <c r="AO2426" s="886"/>
      <c r="AP2426" s="886"/>
      <c r="AV2426" t="str">
        <f t="shared" si="9565"/>
        <v xml:space="preserve">   Seg. 2.3-C08-Plataforma- Instalação de DSH01 - Seg.2.3 C 08 </v>
      </c>
      <c r="AW2426" s="4" t="str">
        <f t="shared" si="9564"/>
        <v xml:space="preserve">   Seg. 2.2-A07 - Drenagem Superficial - Descida d´água (Km 109+200 a 109+280)</v>
      </c>
    </row>
    <row r="2427" spans="1:49" ht="15.6" customHeight="1" outlineLevel="2">
      <c r="A2427" s="209" t="str">
        <f t="shared" ref="A2427" si="9746">IF(SUM(P2427:V2428)&gt;0,"S","N")</f>
        <v>N</v>
      </c>
      <c r="B2427" s="150">
        <v>1066878</v>
      </c>
      <c r="C2427" s="150" t="s">
        <v>2700</v>
      </c>
      <c r="D2427" s="120" t="s">
        <v>1235</v>
      </c>
      <c r="E2427" s="892" t="s">
        <v>2701</v>
      </c>
      <c r="F2427" s="902" t="s">
        <v>52</v>
      </c>
      <c r="G2427" s="528"/>
      <c r="H2427" s="546" t="s">
        <v>37</v>
      </c>
      <c r="I2427" s="711">
        <v>0</v>
      </c>
      <c r="J2427" s="896" t="str">
        <f t="shared" ref="J2427" si="9747">IFERROR((I2428/I2427),"-")</f>
        <v>-</v>
      </c>
      <c r="K2427" s="528"/>
      <c r="L2427" s="546" t="s">
        <v>37</v>
      </c>
      <c r="M2427" s="711">
        <f t="shared" si="9657"/>
        <v>0</v>
      </c>
      <c r="N2427" s="896" t="str">
        <f t="shared" ref="N2427" si="9748">IFERROR((M2428/M2427),"-")</f>
        <v>-</v>
      </c>
      <c r="O2427" s="528"/>
      <c r="P2427" s="547">
        <v>0</v>
      </c>
      <c r="Q2427" s="547">
        <v>0</v>
      </c>
      <c r="R2427" s="547">
        <v>0</v>
      </c>
      <c r="S2427" s="547">
        <v>0</v>
      </c>
      <c r="T2427" s="547">
        <v>0</v>
      </c>
      <c r="U2427" s="547">
        <v>0</v>
      </c>
      <c r="V2427" s="548">
        <v>0</v>
      </c>
      <c r="W2427" s="528"/>
      <c r="X2427" s="711">
        <f t="shared" si="9648"/>
        <v>0</v>
      </c>
      <c r="Y2427" s="896" t="str">
        <f t="shared" ref="Y2427" si="9749">IFERROR((X2428/X2427),"-")</f>
        <v>-</v>
      </c>
      <c r="Z2427" s="528"/>
      <c r="AA2427" s="898">
        <v>0</v>
      </c>
      <c r="AB2427" s="898">
        <v>0</v>
      </c>
      <c r="AC2427" s="903">
        <v>0</v>
      </c>
      <c r="AD2427" s="896" t="str">
        <f t="shared" ref="AD2427" si="9750">IFERROR((AC2427/AA2427),"-")</f>
        <v>-</v>
      </c>
      <c r="AE2427" s="2"/>
      <c r="AF2427" s="884">
        <v>0</v>
      </c>
      <c r="AG2427" s="884"/>
      <c r="AH2427" s="884">
        <v>0</v>
      </c>
      <c r="AI2427" s="884">
        <v>6.8129999999999997</v>
      </c>
      <c r="AJ2427" s="884"/>
      <c r="AK2427" s="884">
        <f t="shared" ref="AK2427" si="9751">AF2427+AG2427+AH2427+AI2427+AJ2427+AC2427</f>
        <v>6.8129999999999997</v>
      </c>
      <c r="AL2427" s="884">
        <v>6.25</v>
      </c>
      <c r="AM2427" s="878">
        <f t="shared" ref="AM2427" si="9752">IFERROR((AK2427/AL2427),"-")</f>
        <v>1.0900799999999999</v>
      </c>
      <c r="AN2427" s="2"/>
      <c r="AO2427" s="884">
        <v>6.2</v>
      </c>
      <c r="AP2427" s="884">
        <f t="shared" ref="AP2427" si="9753">AO2427-AK2427</f>
        <v>-0.61299999999999955</v>
      </c>
      <c r="AV2427" t="str">
        <f t="shared" si="9565"/>
        <v xml:space="preserve">   Seg. 2.3-C08-Plataforma- Instalação de DSH01 - Seg.2.3 C 08 </v>
      </c>
      <c r="AW2427" s="4" t="str">
        <f t="shared" si="9564"/>
        <v xml:space="preserve">   Seg. 2.2-A08 - Drenagem Superficial - Descida d´água (Km 109+440 a 109+580)</v>
      </c>
    </row>
    <row r="2428" spans="1:49" ht="15.6" customHeight="1" outlineLevel="2">
      <c r="A2428" s="209" t="str">
        <f t="shared" ref="A2428" si="9754">A2427</f>
        <v>N</v>
      </c>
      <c r="B2428" s="150"/>
      <c r="C2428" s="150"/>
      <c r="D2428" s="120" t="s">
        <v>1235</v>
      </c>
      <c r="E2428" s="893"/>
      <c r="F2428" s="902"/>
      <c r="G2428" s="528"/>
      <c r="H2428" s="549" t="s">
        <v>38</v>
      </c>
      <c r="I2428" s="711">
        <v>0</v>
      </c>
      <c r="J2428" s="897"/>
      <c r="K2428" s="528"/>
      <c r="L2428" s="549" t="s">
        <v>38</v>
      </c>
      <c r="M2428" s="711">
        <f t="shared" si="9657"/>
        <v>0</v>
      </c>
      <c r="N2428" s="897"/>
      <c r="O2428" s="528"/>
      <c r="P2428" s="548">
        <v>0</v>
      </c>
      <c r="Q2428" s="548">
        <v>0</v>
      </c>
      <c r="R2428" s="548">
        <v>0</v>
      </c>
      <c r="S2428" s="548">
        <v>0</v>
      </c>
      <c r="T2428" s="548">
        <v>0</v>
      </c>
      <c r="U2428" s="548">
        <v>0</v>
      </c>
      <c r="V2428" s="548">
        <v>0</v>
      </c>
      <c r="W2428" s="528"/>
      <c r="X2428" s="711">
        <f t="shared" si="9648"/>
        <v>0</v>
      </c>
      <c r="Y2428" s="897"/>
      <c r="Z2428" s="528"/>
      <c r="AA2428" s="899"/>
      <c r="AB2428" s="899"/>
      <c r="AC2428" s="904"/>
      <c r="AD2428" s="905"/>
      <c r="AE2428" s="2"/>
      <c r="AF2428" s="885"/>
      <c r="AG2428" s="885"/>
      <c r="AH2428" s="885"/>
      <c r="AI2428" s="885"/>
      <c r="AJ2428" s="885"/>
      <c r="AK2428" s="885"/>
      <c r="AL2428" s="885"/>
      <c r="AM2428" s="879"/>
      <c r="AN2428" s="2"/>
      <c r="AO2428" s="886"/>
      <c r="AP2428" s="886"/>
      <c r="AV2428" t="str">
        <f t="shared" si="9565"/>
        <v xml:space="preserve">   Seg. 2.3-C08-Plataforma- Instalação de DSH01 - Seg.2.3 C 08 </v>
      </c>
      <c r="AW2428" s="4" t="str">
        <f t="shared" si="9564"/>
        <v xml:space="preserve">   Seg. 2.2-A08 - Drenagem Superficial - Descida d´água (Km 109+440 a 109+580)</v>
      </c>
    </row>
    <row r="2429" spans="1:49" ht="15.6" customHeight="1" outlineLevel="2">
      <c r="A2429" s="8" t="str">
        <f t="shared" ref="A2429" si="9755">IF(SUM(P2429:V2430)&gt;0,"S","N")</f>
        <v>N</v>
      </c>
      <c r="B2429" s="150">
        <v>1066880</v>
      </c>
      <c r="C2429" s="150" t="s">
        <v>2702</v>
      </c>
      <c r="D2429" s="120" t="s">
        <v>1239</v>
      </c>
      <c r="E2429" s="892" t="s">
        <v>2703</v>
      </c>
      <c r="F2429" s="902" t="s">
        <v>52</v>
      </c>
      <c r="G2429" s="528"/>
      <c r="H2429" s="546" t="s">
        <v>37</v>
      </c>
      <c r="I2429" s="711">
        <v>0</v>
      </c>
      <c r="J2429" s="896" t="str">
        <f t="shared" ref="J2429" si="9756">IFERROR((I2430/I2429),"-")</f>
        <v>-</v>
      </c>
      <c r="K2429" s="528"/>
      <c r="L2429" s="546" t="s">
        <v>37</v>
      </c>
      <c r="M2429" s="711">
        <f t="shared" si="9657"/>
        <v>0</v>
      </c>
      <c r="N2429" s="896" t="str">
        <f t="shared" ref="N2429" si="9757">IFERROR((M2430/M2429),"-")</f>
        <v>-</v>
      </c>
      <c r="O2429" s="528"/>
      <c r="P2429" s="547">
        <v>0</v>
      </c>
      <c r="Q2429" s="547">
        <v>0</v>
      </c>
      <c r="R2429" s="547">
        <v>0</v>
      </c>
      <c r="S2429" s="547">
        <v>0</v>
      </c>
      <c r="T2429" s="547">
        <v>0</v>
      </c>
      <c r="U2429" s="547">
        <v>0</v>
      </c>
      <c r="V2429" s="548">
        <v>0</v>
      </c>
      <c r="W2429" s="528"/>
      <c r="X2429" s="711">
        <f t="shared" si="9648"/>
        <v>0</v>
      </c>
      <c r="Y2429" s="896" t="str">
        <f t="shared" ref="Y2429" si="9758">IFERROR((X2430/X2429),"-")</f>
        <v>-</v>
      </c>
      <c r="Z2429" s="528"/>
      <c r="AA2429" s="898">
        <v>0</v>
      </c>
      <c r="AB2429" s="898">
        <v>0</v>
      </c>
      <c r="AC2429" s="903">
        <v>0</v>
      </c>
      <c r="AD2429" s="896" t="str">
        <f t="shared" ref="AD2429" si="9759">IFERROR((AC2429/AA2429),"-")</f>
        <v>-</v>
      </c>
      <c r="AE2429" s="2"/>
      <c r="AF2429" s="884">
        <v>0</v>
      </c>
      <c r="AG2429" s="884"/>
      <c r="AH2429" s="884">
        <v>0</v>
      </c>
      <c r="AI2429" s="884"/>
      <c r="AJ2429" s="884">
        <v>31.018999999999998</v>
      </c>
      <c r="AK2429" s="884">
        <f t="shared" ref="AK2429" si="9760">AF2429+AG2429+AH2429+AI2429+AJ2429+AC2429</f>
        <v>31.018999999999998</v>
      </c>
      <c r="AL2429" s="884">
        <v>31.04</v>
      </c>
      <c r="AM2429" s="878">
        <f t="shared" ref="AM2429" si="9761">IFERROR((AK2429/AL2429),"-")</f>
        <v>0.99932345360824737</v>
      </c>
      <c r="AN2429" s="2"/>
      <c r="AO2429" s="884">
        <v>30.9</v>
      </c>
      <c r="AP2429" s="884">
        <f t="shared" ref="AP2429" si="9762">AO2429-AK2429</f>
        <v>-0.11899999999999977</v>
      </c>
      <c r="AV2429" t="str">
        <f t="shared" si="9565"/>
        <v xml:space="preserve">   Seg. 2.3-C08-Plataforma- Instalação de DSH01 - Seg.2.3 C 08 </v>
      </c>
      <c r="AW2429" s="4" t="str">
        <f t="shared" si="9564"/>
        <v xml:space="preserve">   Seg. 2.2-A10 - Drenagem Superficial - Descida d´água (Km 110+880 a 111+220)</v>
      </c>
    </row>
    <row r="2430" spans="1:49" ht="15.6" customHeight="1" outlineLevel="2">
      <c r="A2430" s="8" t="str">
        <f t="shared" ref="A2430" si="9763">A2429</f>
        <v>N</v>
      </c>
      <c r="B2430" s="150"/>
      <c r="C2430" s="150"/>
      <c r="D2430" s="120" t="s">
        <v>1239</v>
      </c>
      <c r="E2430" s="893"/>
      <c r="F2430" s="902"/>
      <c r="G2430" s="528"/>
      <c r="H2430" s="549" t="s">
        <v>38</v>
      </c>
      <c r="I2430" s="711">
        <v>0</v>
      </c>
      <c r="J2430" s="897"/>
      <c r="K2430" s="528"/>
      <c r="L2430" s="549" t="s">
        <v>38</v>
      </c>
      <c r="M2430" s="711">
        <f t="shared" si="9657"/>
        <v>0</v>
      </c>
      <c r="N2430" s="897"/>
      <c r="O2430" s="528"/>
      <c r="P2430" s="548">
        <v>0</v>
      </c>
      <c r="Q2430" s="548">
        <v>0</v>
      </c>
      <c r="R2430" s="548">
        <v>0</v>
      </c>
      <c r="S2430" s="548">
        <v>0</v>
      </c>
      <c r="T2430" s="548">
        <v>0</v>
      </c>
      <c r="U2430" s="548">
        <v>0</v>
      </c>
      <c r="V2430" s="548">
        <v>0</v>
      </c>
      <c r="W2430" s="528"/>
      <c r="X2430" s="711">
        <f t="shared" si="9648"/>
        <v>0</v>
      </c>
      <c r="Y2430" s="897"/>
      <c r="Z2430" s="528"/>
      <c r="AA2430" s="899"/>
      <c r="AB2430" s="899"/>
      <c r="AC2430" s="904"/>
      <c r="AD2430" s="905"/>
      <c r="AE2430" s="2"/>
      <c r="AF2430" s="885"/>
      <c r="AG2430" s="885"/>
      <c r="AH2430" s="885"/>
      <c r="AI2430" s="885"/>
      <c r="AJ2430" s="885"/>
      <c r="AK2430" s="885"/>
      <c r="AL2430" s="885"/>
      <c r="AM2430" s="879"/>
      <c r="AN2430" s="2"/>
      <c r="AO2430" s="886"/>
      <c r="AP2430" s="886"/>
      <c r="AV2430" t="str">
        <f t="shared" si="9565"/>
        <v xml:space="preserve">   Seg. 2.3-C08-Plataforma- Instalação de DSH01 - Seg.2.3 C 08 </v>
      </c>
      <c r="AW2430" s="4" t="str">
        <f t="shared" si="9564"/>
        <v xml:space="preserve">   Seg. 2.2-A10 - Drenagem Superficial - Descida d´água (Km 110+880 a 111+220)</v>
      </c>
    </row>
    <row r="2431" spans="1:49" ht="12.6" customHeight="1" outlineLevel="2">
      <c r="A2431" s="209" t="str">
        <f t="shared" ref="A2431" si="9764">IF(SUM(P2431:V2432)&gt;0,"S","N")</f>
        <v>N</v>
      </c>
      <c r="B2431" s="150">
        <v>1066881</v>
      </c>
      <c r="C2431" s="150" t="s">
        <v>2704</v>
      </c>
      <c r="D2431" s="120" t="s">
        <v>1241</v>
      </c>
      <c r="E2431" s="892" t="s">
        <v>2705</v>
      </c>
      <c r="F2431" s="902" t="s">
        <v>52</v>
      </c>
      <c r="G2431" s="528"/>
      <c r="H2431" s="546" t="s">
        <v>37</v>
      </c>
      <c r="I2431" s="711">
        <v>0</v>
      </c>
      <c r="J2431" s="896" t="str">
        <f t="shared" ref="J2431" si="9765">IFERROR((I2432/I2431),"-")</f>
        <v>-</v>
      </c>
      <c r="K2431" s="528"/>
      <c r="L2431" s="546" t="s">
        <v>37</v>
      </c>
      <c r="M2431" s="711">
        <f t="shared" si="9657"/>
        <v>0</v>
      </c>
      <c r="N2431" s="896" t="str">
        <f t="shared" ref="N2431" si="9766">IFERROR((M2432/M2431),"-")</f>
        <v>-</v>
      </c>
      <c r="O2431" s="528"/>
      <c r="P2431" s="547">
        <v>0</v>
      </c>
      <c r="Q2431" s="547">
        <v>0</v>
      </c>
      <c r="R2431" s="547">
        <v>0</v>
      </c>
      <c r="S2431" s="547">
        <v>0</v>
      </c>
      <c r="T2431" s="547">
        <v>0</v>
      </c>
      <c r="U2431" s="547">
        <v>0</v>
      </c>
      <c r="V2431" s="548">
        <v>0</v>
      </c>
      <c r="W2431" s="528"/>
      <c r="X2431" s="711">
        <f t="shared" si="9648"/>
        <v>0</v>
      </c>
      <c r="Y2431" s="896" t="str">
        <f t="shared" ref="Y2431" si="9767">IFERROR((X2432/X2431),"-")</f>
        <v>-</v>
      </c>
      <c r="Z2431" s="528"/>
      <c r="AA2431" s="898">
        <v>35.5</v>
      </c>
      <c r="AB2431" s="898">
        <v>6.34</v>
      </c>
      <c r="AC2431" s="903">
        <v>0</v>
      </c>
      <c r="AD2431" s="896">
        <f t="shared" ref="AD2431" si="9768">IFERROR((AC2431/AA2431),"-")</f>
        <v>0</v>
      </c>
      <c r="AE2431" s="2"/>
      <c r="AF2431" s="884">
        <v>0</v>
      </c>
      <c r="AG2431" s="884"/>
      <c r="AH2431" s="884">
        <v>0</v>
      </c>
      <c r="AI2431" s="884"/>
      <c r="AJ2431" s="884"/>
      <c r="AK2431" s="884">
        <f t="shared" ref="AK2431" si="9769">AF2431+AG2431+AH2431+AI2431+AJ2431+AC2431</f>
        <v>0</v>
      </c>
      <c r="AL2431" s="884">
        <v>6.34</v>
      </c>
      <c r="AM2431" s="878">
        <f t="shared" ref="AM2431" si="9770">IFERROR((AK2431/AL2431),"-")</f>
        <v>0</v>
      </c>
      <c r="AN2431" s="2"/>
      <c r="AO2431" s="884">
        <v>35.5</v>
      </c>
      <c r="AP2431" s="884">
        <f t="shared" ref="AP2431" si="9771">AO2431-AK2431</f>
        <v>35.5</v>
      </c>
      <c r="AV2431" t="str">
        <f t="shared" si="9565"/>
        <v xml:space="preserve">   Seg. 2.3-C08-Plataforma- Instalação de DSH01 - Seg.2.3 C 08 </v>
      </c>
      <c r="AW2431" s="4" t="str">
        <f t="shared" si="9564"/>
        <v xml:space="preserve">   Seg. 2.2-A11 - Drenagem Superficial - Descida d´água (Km 111+640 a 112+000)</v>
      </c>
    </row>
    <row r="2432" spans="1:49" ht="12.6" customHeight="1" outlineLevel="2">
      <c r="A2432" s="209" t="str">
        <f t="shared" ref="A2432" si="9772">A2431</f>
        <v>N</v>
      </c>
      <c r="B2432" s="150"/>
      <c r="C2432" s="150"/>
      <c r="D2432" s="120" t="s">
        <v>1241</v>
      </c>
      <c r="E2432" s="893"/>
      <c r="F2432" s="902"/>
      <c r="G2432" s="528"/>
      <c r="H2432" s="549" t="s">
        <v>38</v>
      </c>
      <c r="I2432" s="711">
        <v>0</v>
      </c>
      <c r="J2432" s="897"/>
      <c r="K2432" s="528"/>
      <c r="L2432" s="549" t="s">
        <v>38</v>
      </c>
      <c r="M2432" s="711">
        <f t="shared" si="9657"/>
        <v>0</v>
      </c>
      <c r="N2432" s="897"/>
      <c r="O2432" s="528"/>
      <c r="P2432" s="548">
        <v>0</v>
      </c>
      <c r="Q2432" s="548">
        <v>0</v>
      </c>
      <c r="R2432" s="548">
        <v>0</v>
      </c>
      <c r="S2432" s="548">
        <v>0</v>
      </c>
      <c r="T2432" s="548">
        <v>0</v>
      </c>
      <c r="U2432" s="548">
        <v>0</v>
      </c>
      <c r="V2432" s="548">
        <v>0</v>
      </c>
      <c r="W2432" s="528"/>
      <c r="X2432" s="711">
        <f t="shared" si="9648"/>
        <v>0</v>
      </c>
      <c r="Y2432" s="897"/>
      <c r="Z2432" s="528"/>
      <c r="AA2432" s="899"/>
      <c r="AB2432" s="899"/>
      <c r="AC2432" s="904"/>
      <c r="AD2432" s="905"/>
      <c r="AE2432" s="2"/>
      <c r="AF2432" s="885"/>
      <c r="AG2432" s="885"/>
      <c r="AH2432" s="885"/>
      <c r="AI2432" s="885"/>
      <c r="AJ2432" s="885"/>
      <c r="AK2432" s="885"/>
      <c r="AL2432" s="885"/>
      <c r="AM2432" s="879"/>
      <c r="AN2432" s="2"/>
      <c r="AO2432" s="886"/>
      <c r="AP2432" s="886"/>
      <c r="AV2432" t="str">
        <f t="shared" si="9565"/>
        <v xml:space="preserve">   Seg. 2.3-C08-Plataforma- Instalação de DSH01 - Seg.2.3 C 08 </v>
      </c>
      <c r="AW2432" s="4" t="str">
        <f t="shared" si="9564"/>
        <v xml:space="preserve">   Seg. 2.2-A11 - Drenagem Superficial - Descida d´água (Km 111+640 a 112+000)</v>
      </c>
    </row>
    <row r="2433" spans="1:49" ht="15.6" customHeight="1" outlineLevel="2">
      <c r="A2433" s="209" t="str">
        <f t="shared" ref="A2433" si="9773">IF(SUM(P2433:V2434)&gt;0,"S","N")</f>
        <v>N</v>
      </c>
      <c r="B2433" s="150">
        <v>1066882</v>
      </c>
      <c r="C2433" s="150" t="s">
        <v>2706</v>
      </c>
      <c r="D2433" s="120" t="s">
        <v>1243</v>
      </c>
      <c r="E2433" s="892" t="s">
        <v>2707</v>
      </c>
      <c r="F2433" s="902" t="s">
        <v>52</v>
      </c>
      <c r="G2433" s="528"/>
      <c r="H2433" s="546" t="s">
        <v>37</v>
      </c>
      <c r="I2433" s="711">
        <v>0</v>
      </c>
      <c r="J2433" s="896" t="str">
        <f t="shared" ref="J2433" si="9774">IFERROR((I2434/I2433),"-")</f>
        <v>-</v>
      </c>
      <c r="K2433" s="528"/>
      <c r="L2433" s="546" t="s">
        <v>37</v>
      </c>
      <c r="M2433" s="711">
        <f t="shared" si="9657"/>
        <v>0</v>
      </c>
      <c r="N2433" s="896" t="str">
        <f t="shared" ref="N2433" si="9775">IFERROR((M2434/M2433),"-")</f>
        <v>-</v>
      </c>
      <c r="O2433" s="528"/>
      <c r="P2433" s="547">
        <v>0</v>
      </c>
      <c r="Q2433" s="547">
        <v>0</v>
      </c>
      <c r="R2433" s="547">
        <v>0</v>
      </c>
      <c r="S2433" s="547">
        <v>0</v>
      </c>
      <c r="T2433" s="547">
        <v>0</v>
      </c>
      <c r="U2433" s="547">
        <v>0</v>
      </c>
      <c r="V2433" s="548">
        <v>0</v>
      </c>
      <c r="W2433" s="528"/>
      <c r="X2433" s="711">
        <f t="shared" si="9648"/>
        <v>0</v>
      </c>
      <c r="Y2433" s="896" t="str">
        <f t="shared" ref="Y2433" si="9776">IFERROR((X2434/X2433),"-")</f>
        <v>-</v>
      </c>
      <c r="Z2433" s="528"/>
      <c r="AA2433" s="898">
        <v>0</v>
      </c>
      <c r="AB2433" s="898">
        <v>0</v>
      </c>
      <c r="AC2433" s="903">
        <v>32.6</v>
      </c>
      <c r="AD2433" s="896" t="str">
        <f t="shared" ref="AD2433" si="9777">IFERROR((AC2433/AA2433),"-")</f>
        <v>-</v>
      </c>
      <c r="AE2433" s="2"/>
      <c r="AF2433" s="884">
        <v>6.6360000000000001</v>
      </c>
      <c r="AG2433" s="884"/>
      <c r="AH2433" s="884">
        <v>3</v>
      </c>
      <c r="AI2433" s="884">
        <v>28.067</v>
      </c>
      <c r="AJ2433" s="884">
        <v>25.335999999999999</v>
      </c>
      <c r="AK2433" s="884">
        <f t="shared" ref="AK2433" si="9778">AF2433+AG2433+AH2433+AI2433+AJ2433+AC2433</f>
        <v>95.63900000000001</v>
      </c>
      <c r="AL2433" s="884">
        <v>45.12</v>
      </c>
      <c r="AM2433" s="878">
        <f t="shared" ref="AM2433" si="9779">IFERROR((AK2433/AL2433),"-")</f>
        <v>2.1196586879432626</v>
      </c>
      <c r="AN2433" s="2"/>
      <c r="AO2433" s="884">
        <v>98.2</v>
      </c>
      <c r="AP2433" s="884">
        <f t="shared" ref="AP2433" si="9780">AO2433-AK2433</f>
        <v>2.5609999999999928</v>
      </c>
      <c r="AV2433" t="str">
        <f t="shared" si="9565"/>
        <v xml:space="preserve">   Seg. 2.3-C08-Plataforma- Instalação de DSH01 - Seg.2.3 C 08 </v>
      </c>
      <c r="AW2433" s="4" t="str">
        <f t="shared" si="9564"/>
        <v xml:space="preserve">   Seg. 2.2-A12 - Drenagem Superficial - Descida d´água (Km 112+440 a 113+280)</v>
      </c>
    </row>
    <row r="2434" spans="1:49" ht="15.6" customHeight="1" outlineLevel="2">
      <c r="A2434" s="209" t="str">
        <f t="shared" ref="A2434" si="9781">A2433</f>
        <v>N</v>
      </c>
      <c r="B2434" s="150"/>
      <c r="C2434" s="150"/>
      <c r="D2434" s="120" t="s">
        <v>1243</v>
      </c>
      <c r="E2434" s="893"/>
      <c r="F2434" s="902"/>
      <c r="G2434" s="528"/>
      <c r="H2434" s="549" t="s">
        <v>38</v>
      </c>
      <c r="I2434" s="711">
        <v>0</v>
      </c>
      <c r="J2434" s="897"/>
      <c r="K2434" s="528"/>
      <c r="L2434" s="549" t="s">
        <v>38</v>
      </c>
      <c r="M2434" s="711">
        <f t="shared" si="9657"/>
        <v>0</v>
      </c>
      <c r="N2434" s="897"/>
      <c r="O2434" s="528"/>
      <c r="P2434" s="548">
        <v>0</v>
      </c>
      <c r="Q2434" s="548">
        <v>0</v>
      </c>
      <c r="R2434" s="548">
        <v>0</v>
      </c>
      <c r="S2434" s="548">
        <v>0</v>
      </c>
      <c r="T2434" s="548">
        <v>0</v>
      </c>
      <c r="U2434" s="548">
        <v>0</v>
      </c>
      <c r="V2434" s="548">
        <v>0</v>
      </c>
      <c r="W2434" s="528"/>
      <c r="X2434" s="711">
        <f t="shared" si="9648"/>
        <v>0</v>
      </c>
      <c r="Y2434" s="897"/>
      <c r="Z2434" s="528"/>
      <c r="AA2434" s="899"/>
      <c r="AB2434" s="899"/>
      <c r="AC2434" s="904"/>
      <c r="AD2434" s="905"/>
      <c r="AE2434" s="2"/>
      <c r="AF2434" s="885"/>
      <c r="AG2434" s="885"/>
      <c r="AH2434" s="885"/>
      <c r="AI2434" s="885"/>
      <c r="AJ2434" s="885"/>
      <c r="AK2434" s="885"/>
      <c r="AL2434" s="885"/>
      <c r="AM2434" s="879"/>
      <c r="AN2434" s="2"/>
      <c r="AO2434" s="886"/>
      <c r="AP2434" s="886"/>
      <c r="AV2434" t="str">
        <f t="shared" si="9565"/>
        <v xml:space="preserve">   Seg. 2.3-C08-Plataforma- Instalação de DSH01 - Seg.2.3 C 08 </v>
      </c>
      <c r="AW2434" s="4" t="str">
        <f t="shared" si="9564"/>
        <v xml:space="preserve">   Seg. 2.2-A12 - Drenagem Superficial - Descida d´água (Km 112+440 a 113+280)</v>
      </c>
    </row>
    <row r="2435" spans="1:49" ht="15.6" customHeight="1" outlineLevel="2">
      <c r="A2435" s="209" t="str">
        <f t="shared" ref="A2435" si="9782">IF(SUM(P2435:V2436)&gt;0,"S","N")</f>
        <v>S</v>
      </c>
      <c r="B2435" s="150">
        <v>1066883</v>
      </c>
      <c r="C2435" s="150" t="s">
        <v>2708</v>
      </c>
      <c r="D2435" s="120" t="s">
        <v>273</v>
      </c>
      <c r="E2435" s="892" t="s">
        <v>2709</v>
      </c>
      <c r="F2435" s="902" t="s">
        <v>52</v>
      </c>
      <c r="G2435" s="528"/>
      <c r="H2435" s="546" t="s">
        <v>37</v>
      </c>
      <c r="I2435" s="711">
        <v>12</v>
      </c>
      <c r="J2435" s="896">
        <f t="shared" ref="J2435" si="9783">IFERROR((I2436/I2435),"-")</f>
        <v>0</v>
      </c>
      <c r="K2435" s="528"/>
      <c r="L2435" s="546" t="s">
        <v>37</v>
      </c>
      <c r="M2435" s="711">
        <f t="shared" si="9657"/>
        <v>2</v>
      </c>
      <c r="N2435" s="896">
        <f t="shared" ref="N2435" si="9784">IFERROR((M2436/M2435),"-")</f>
        <v>0</v>
      </c>
      <c r="O2435" s="528"/>
      <c r="P2435" s="547">
        <v>2</v>
      </c>
      <c r="Q2435" s="547">
        <v>2</v>
      </c>
      <c r="R2435" s="547">
        <v>2</v>
      </c>
      <c r="S2435" s="547">
        <v>2</v>
      </c>
      <c r="T2435" s="547">
        <v>2</v>
      </c>
      <c r="U2435" s="547">
        <v>2</v>
      </c>
      <c r="V2435" s="548">
        <v>0</v>
      </c>
      <c r="W2435" s="528"/>
      <c r="X2435" s="711">
        <f t="shared" si="9648"/>
        <v>4</v>
      </c>
      <c r="Y2435" s="896">
        <f t="shared" ref="Y2435" si="9785">IFERROR((X2436/X2435),"-")</f>
        <v>0</v>
      </c>
      <c r="Z2435" s="528"/>
      <c r="AA2435" s="898">
        <v>0</v>
      </c>
      <c r="AB2435" s="898">
        <v>0</v>
      </c>
      <c r="AC2435" s="903">
        <v>0</v>
      </c>
      <c r="AD2435" s="896" t="str">
        <f t="shared" ref="AD2435" si="9786">IFERROR((AC2435/AA2435),"-")</f>
        <v>-</v>
      </c>
      <c r="AE2435" s="2"/>
      <c r="AF2435" s="884">
        <v>0</v>
      </c>
      <c r="AG2435" s="884"/>
      <c r="AH2435" s="884">
        <v>0</v>
      </c>
      <c r="AI2435" s="884">
        <v>21.494</v>
      </c>
      <c r="AJ2435" s="884"/>
      <c r="AK2435" s="884">
        <f t="shared" ref="AK2435" si="9787">AF2435+AG2435+AH2435+AI2435+AJ2435+AC2435</f>
        <v>21.494</v>
      </c>
      <c r="AL2435" s="884">
        <v>0</v>
      </c>
      <c r="AM2435" s="878" t="str">
        <f t="shared" ref="AM2435" si="9788">IFERROR((AK2435/AL2435),"-")</f>
        <v>-</v>
      </c>
      <c r="AN2435" s="2"/>
      <c r="AO2435" s="884">
        <v>23.8</v>
      </c>
      <c r="AP2435" s="884">
        <f t="shared" ref="AP2435" si="9789">AO2435-AK2435</f>
        <v>2.3060000000000009</v>
      </c>
      <c r="AV2435" t="str">
        <f t="shared" si="9565"/>
        <v xml:space="preserve">   Seg. 2.3-C08-Plataforma- Instalação de DSH01 - Seg.2.3 C 08 </v>
      </c>
      <c r="AW2435" s="4" t="str">
        <f t="shared" si="9564"/>
        <v xml:space="preserve">   Seg. 2.2-A13 - Drenagem Superficial - Descida d´água (Km 114+320 a 114+940)</v>
      </c>
    </row>
    <row r="2436" spans="1:49" ht="15.6" customHeight="1" outlineLevel="2">
      <c r="A2436" s="209" t="str">
        <f t="shared" ref="A2436" si="9790">A2435</f>
        <v>S</v>
      </c>
      <c r="B2436" s="150"/>
      <c r="C2436" s="150"/>
      <c r="D2436" s="120" t="s">
        <v>273</v>
      </c>
      <c r="E2436" s="893"/>
      <c r="F2436" s="902"/>
      <c r="G2436" s="528"/>
      <c r="H2436" s="549" t="s">
        <v>38</v>
      </c>
      <c r="I2436" s="711">
        <v>0</v>
      </c>
      <c r="J2436" s="897"/>
      <c r="K2436" s="528"/>
      <c r="L2436" s="549" t="s">
        <v>38</v>
      </c>
      <c r="M2436" s="711">
        <f t="shared" si="9657"/>
        <v>0</v>
      </c>
      <c r="N2436" s="897"/>
      <c r="O2436" s="528"/>
      <c r="P2436" s="548">
        <v>0</v>
      </c>
      <c r="Q2436" s="548">
        <v>0</v>
      </c>
      <c r="R2436" s="548">
        <v>0</v>
      </c>
      <c r="S2436" s="548">
        <v>0</v>
      </c>
      <c r="T2436" s="548">
        <v>0</v>
      </c>
      <c r="U2436" s="548">
        <v>0</v>
      </c>
      <c r="V2436" s="548">
        <v>0</v>
      </c>
      <c r="W2436" s="528"/>
      <c r="X2436" s="711">
        <f t="shared" si="9648"/>
        <v>0</v>
      </c>
      <c r="Y2436" s="897"/>
      <c r="Z2436" s="528"/>
      <c r="AA2436" s="899"/>
      <c r="AB2436" s="899"/>
      <c r="AC2436" s="904"/>
      <c r="AD2436" s="905"/>
      <c r="AE2436" s="2"/>
      <c r="AF2436" s="885"/>
      <c r="AG2436" s="885"/>
      <c r="AH2436" s="885"/>
      <c r="AI2436" s="885"/>
      <c r="AJ2436" s="885"/>
      <c r="AK2436" s="885"/>
      <c r="AL2436" s="885"/>
      <c r="AM2436" s="879"/>
      <c r="AN2436" s="2"/>
      <c r="AO2436" s="886"/>
      <c r="AP2436" s="886"/>
      <c r="AV2436" t="str">
        <f t="shared" si="9565"/>
        <v xml:space="preserve">   Seg. 2.3-C08-Plataforma- Instalação de DSH01 - Seg.2.3 C 08 </v>
      </c>
      <c r="AW2436" s="4" t="str">
        <f t="shared" si="9564"/>
        <v xml:space="preserve">   Seg. 2.2-A13 - Drenagem Superficial - Descida d´água (Km 114+320 a 114+940)</v>
      </c>
    </row>
    <row r="2437" spans="1:49" ht="15.6" customHeight="1" outlineLevel="2">
      <c r="A2437" s="209" t="str">
        <f t="shared" ref="A2437" si="9791">IF(SUM(P2437:V2438)&gt;0,"S","N")</f>
        <v>N</v>
      </c>
      <c r="B2437" s="150">
        <v>1066884</v>
      </c>
      <c r="C2437" s="150" t="s">
        <v>2710</v>
      </c>
      <c r="D2437" s="120" t="s">
        <v>1248</v>
      </c>
      <c r="E2437" s="892" t="s">
        <v>2711</v>
      </c>
      <c r="F2437" s="902" t="s">
        <v>52</v>
      </c>
      <c r="G2437" s="528"/>
      <c r="H2437" s="546" t="s">
        <v>37</v>
      </c>
      <c r="I2437" s="711">
        <v>0</v>
      </c>
      <c r="J2437" s="896" t="str">
        <f t="shared" ref="J2437" si="9792">IFERROR((I2438/I2437),"-")</f>
        <v>-</v>
      </c>
      <c r="K2437" s="528"/>
      <c r="L2437" s="546" t="s">
        <v>37</v>
      </c>
      <c r="M2437" s="711">
        <f t="shared" si="9657"/>
        <v>0</v>
      </c>
      <c r="N2437" s="896" t="str">
        <f t="shared" ref="N2437" si="9793">IFERROR((M2438/M2437),"-")</f>
        <v>-</v>
      </c>
      <c r="O2437" s="528"/>
      <c r="P2437" s="547">
        <v>0</v>
      </c>
      <c r="Q2437" s="547">
        <v>0</v>
      </c>
      <c r="R2437" s="547">
        <v>0</v>
      </c>
      <c r="S2437" s="547">
        <v>0</v>
      </c>
      <c r="T2437" s="547">
        <v>0</v>
      </c>
      <c r="U2437" s="547">
        <v>0</v>
      </c>
      <c r="V2437" s="548">
        <v>0</v>
      </c>
      <c r="W2437" s="528"/>
      <c r="X2437" s="711">
        <f t="shared" si="9648"/>
        <v>0</v>
      </c>
      <c r="Y2437" s="896" t="str">
        <f t="shared" ref="Y2437" si="9794">IFERROR((X2438/X2437),"-")</f>
        <v>-</v>
      </c>
      <c r="Z2437" s="528"/>
      <c r="AA2437" s="898">
        <v>0</v>
      </c>
      <c r="AB2437" s="898">
        <v>0</v>
      </c>
      <c r="AC2437" s="903">
        <v>0</v>
      </c>
      <c r="AD2437" s="896" t="str">
        <f t="shared" ref="AD2437" si="9795">IFERROR((AC2437/AA2437),"-")</f>
        <v>-</v>
      </c>
      <c r="AE2437" s="2"/>
      <c r="AF2437" s="884">
        <v>5.5860000000000003</v>
      </c>
      <c r="AG2437" s="884"/>
      <c r="AH2437" s="884">
        <v>0</v>
      </c>
      <c r="AI2437" s="884">
        <v>5.4820000000000002</v>
      </c>
      <c r="AJ2437" s="884"/>
      <c r="AK2437" s="884">
        <f t="shared" ref="AK2437" si="9796">AF2437+AG2437+AH2437+AI2437+AJ2437+AC2437</f>
        <v>11.068000000000001</v>
      </c>
      <c r="AL2437" s="884">
        <v>5.56</v>
      </c>
      <c r="AM2437" s="878">
        <f t="shared" ref="AM2437" si="9797">IFERROR((AK2437/AL2437),"-")</f>
        <v>1.9906474820143889</v>
      </c>
      <c r="AN2437" s="2"/>
      <c r="AO2437" s="884">
        <v>6.4</v>
      </c>
      <c r="AP2437" s="884">
        <f t="shared" ref="AP2437" si="9798">AO2437-AK2437</f>
        <v>-4.668000000000001</v>
      </c>
      <c r="AV2437" t="str">
        <f t="shared" si="9565"/>
        <v xml:space="preserve">   Seg. 2.3-C08-Plataforma- Instalação de DSH01 - Seg.2.3 C 08 </v>
      </c>
      <c r="AW2437" s="4" t="str">
        <f t="shared" si="9564"/>
        <v xml:space="preserve">   Seg. 2.2-A14 - Drenagem Superficial - Descida d´água (Km 115+820 a 116+020)</v>
      </c>
    </row>
    <row r="2438" spans="1:49" ht="15.6" customHeight="1" outlineLevel="2">
      <c r="A2438" s="209" t="str">
        <f t="shared" ref="A2438" si="9799">A2437</f>
        <v>N</v>
      </c>
      <c r="B2438" s="150"/>
      <c r="C2438" s="150"/>
      <c r="D2438" s="120" t="s">
        <v>1248</v>
      </c>
      <c r="E2438" s="893"/>
      <c r="F2438" s="902"/>
      <c r="G2438" s="528"/>
      <c r="H2438" s="549" t="s">
        <v>38</v>
      </c>
      <c r="I2438" s="711">
        <v>0</v>
      </c>
      <c r="J2438" s="897"/>
      <c r="K2438" s="528"/>
      <c r="L2438" s="549" t="s">
        <v>38</v>
      </c>
      <c r="M2438" s="711">
        <f t="shared" si="9657"/>
        <v>0</v>
      </c>
      <c r="N2438" s="897"/>
      <c r="O2438" s="528"/>
      <c r="P2438" s="548">
        <v>0</v>
      </c>
      <c r="Q2438" s="548">
        <v>0</v>
      </c>
      <c r="R2438" s="548">
        <v>0</v>
      </c>
      <c r="S2438" s="548">
        <v>0</v>
      </c>
      <c r="T2438" s="548">
        <v>0</v>
      </c>
      <c r="U2438" s="548">
        <v>0</v>
      </c>
      <c r="V2438" s="548">
        <v>0</v>
      </c>
      <c r="W2438" s="528"/>
      <c r="X2438" s="711">
        <f t="shared" si="9648"/>
        <v>0</v>
      </c>
      <c r="Y2438" s="897"/>
      <c r="Z2438" s="528"/>
      <c r="AA2438" s="899"/>
      <c r="AB2438" s="899"/>
      <c r="AC2438" s="904"/>
      <c r="AD2438" s="905"/>
      <c r="AE2438" s="2"/>
      <c r="AF2438" s="885"/>
      <c r="AG2438" s="885"/>
      <c r="AH2438" s="885"/>
      <c r="AI2438" s="885"/>
      <c r="AJ2438" s="885"/>
      <c r="AK2438" s="885"/>
      <c r="AL2438" s="885"/>
      <c r="AM2438" s="879"/>
      <c r="AN2438" s="2"/>
      <c r="AO2438" s="886"/>
      <c r="AP2438" s="886"/>
      <c r="AV2438" t="str">
        <f t="shared" si="9565"/>
        <v xml:space="preserve">   Seg. 2.3-C08-Plataforma- Instalação de DSH01 - Seg.2.3 C 08 </v>
      </c>
      <c r="AW2438" s="4" t="str">
        <f t="shared" si="9564"/>
        <v xml:space="preserve">   Seg. 2.2-A14 - Drenagem Superficial - Descida d´água (Km 115+820 a 116+020)</v>
      </c>
    </row>
    <row r="2439" spans="1:49" ht="15.6" customHeight="1" outlineLevel="2">
      <c r="A2439" s="8" t="str">
        <f t="shared" ref="A2439" si="9800">IF(SUM(P2439:V2440)&gt;0,"S","N")</f>
        <v>N</v>
      </c>
      <c r="B2439" s="150">
        <v>1066885</v>
      </c>
      <c r="C2439" s="150" t="s">
        <v>2712</v>
      </c>
      <c r="D2439" s="120" t="s">
        <v>1250</v>
      </c>
      <c r="E2439" s="892" t="s">
        <v>2713</v>
      </c>
      <c r="F2439" s="902" t="s">
        <v>52</v>
      </c>
      <c r="G2439" s="528"/>
      <c r="H2439" s="546" t="s">
        <v>37</v>
      </c>
      <c r="I2439" s="711">
        <v>0</v>
      </c>
      <c r="J2439" s="896" t="str">
        <f t="shared" ref="J2439" si="9801">IFERROR((I2440/I2439),"-")</f>
        <v>-</v>
      </c>
      <c r="K2439" s="528"/>
      <c r="L2439" s="546" t="s">
        <v>37</v>
      </c>
      <c r="M2439" s="711">
        <f t="shared" si="9657"/>
        <v>0</v>
      </c>
      <c r="N2439" s="896" t="str">
        <f t="shared" ref="N2439" si="9802">IFERROR((M2440/M2439),"-")</f>
        <v>-</v>
      </c>
      <c r="O2439" s="528"/>
      <c r="P2439" s="547">
        <v>0</v>
      </c>
      <c r="Q2439" s="547">
        <v>0</v>
      </c>
      <c r="R2439" s="547">
        <v>0</v>
      </c>
      <c r="S2439" s="547">
        <v>0</v>
      </c>
      <c r="T2439" s="547">
        <v>0</v>
      </c>
      <c r="U2439" s="547">
        <v>0</v>
      </c>
      <c r="V2439" s="548">
        <v>0</v>
      </c>
      <c r="W2439" s="528"/>
      <c r="X2439" s="711">
        <f t="shared" si="9648"/>
        <v>0</v>
      </c>
      <c r="Y2439" s="896" t="str">
        <f t="shared" ref="Y2439" si="9803">IFERROR((X2440/X2439),"-")</f>
        <v>-</v>
      </c>
      <c r="Z2439" s="528"/>
      <c r="AA2439" s="898">
        <v>0</v>
      </c>
      <c r="AB2439" s="898">
        <v>0</v>
      </c>
      <c r="AC2439" s="903">
        <v>0</v>
      </c>
      <c r="AD2439" s="896" t="str">
        <f t="shared" ref="AD2439" si="9804">IFERROR((AC2439/AA2439),"-")</f>
        <v>-</v>
      </c>
      <c r="AE2439" s="2"/>
      <c r="AF2439" s="884">
        <v>7.2</v>
      </c>
      <c r="AG2439" s="884"/>
      <c r="AH2439" s="884">
        <v>0</v>
      </c>
      <c r="AI2439" s="884"/>
      <c r="AJ2439" s="884"/>
      <c r="AK2439" s="884">
        <f t="shared" ref="AK2439" si="9805">AF2439+AG2439+AH2439+AI2439+AJ2439+AC2439</f>
        <v>7.2</v>
      </c>
      <c r="AL2439" s="884">
        <v>6.1</v>
      </c>
      <c r="AM2439" s="878">
        <f t="shared" ref="AM2439" si="9806">IFERROR((AK2439/AL2439),"-")</f>
        <v>1.1803278688524592</v>
      </c>
      <c r="AN2439" s="2"/>
      <c r="AO2439" s="884">
        <v>6.1</v>
      </c>
      <c r="AP2439" s="884">
        <f t="shared" ref="AP2439" si="9807">AO2439-AK2439</f>
        <v>-1.1000000000000005</v>
      </c>
      <c r="AV2439" t="str">
        <f t="shared" si="9565"/>
        <v xml:space="preserve">   Seg. 2.3-C08-Plataforma- Instalação de DSH01 - Seg.2.3 C 08 </v>
      </c>
      <c r="AW2439" s="4" t="str">
        <f t="shared" si="9564"/>
        <v xml:space="preserve">   Seg. 2.2-A15-B01 - Drenagem Superficial - Descida d´água (Km 116+260 a 116+460)</v>
      </c>
    </row>
    <row r="2440" spans="1:49" ht="15.6" customHeight="1" outlineLevel="2">
      <c r="A2440" s="8" t="str">
        <f t="shared" ref="A2440" si="9808">A2439</f>
        <v>N</v>
      </c>
      <c r="B2440" s="150"/>
      <c r="C2440" s="150"/>
      <c r="D2440" s="120" t="s">
        <v>1250</v>
      </c>
      <c r="E2440" s="893"/>
      <c r="F2440" s="902"/>
      <c r="G2440" s="528"/>
      <c r="H2440" s="549" t="s">
        <v>38</v>
      </c>
      <c r="I2440" s="711">
        <v>0</v>
      </c>
      <c r="J2440" s="897"/>
      <c r="K2440" s="528"/>
      <c r="L2440" s="549" t="s">
        <v>38</v>
      </c>
      <c r="M2440" s="711">
        <f t="shared" si="9657"/>
        <v>0</v>
      </c>
      <c r="N2440" s="897"/>
      <c r="O2440" s="528"/>
      <c r="P2440" s="548">
        <v>0</v>
      </c>
      <c r="Q2440" s="548">
        <v>0</v>
      </c>
      <c r="R2440" s="548">
        <v>0</v>
      </c>
      <c r="S2440" s="548">
        <v>0</v>
      </c>
      <c r="T2440" s="548">
        <v>0</v>
      </c>
      <c r="U2440" s="548">
        <v>0</v>
      </c>
      <c r="V2440" s="548">
        <v>0</v>
      </c>
      <c r="W2440" s="528"/>
      <c r="X2440" s="711">
        <f t="shared" si="9648"/>
        <v>0</v>
      </c>
      <c r="Y2440" s="897"/>
      <c r="Z2440" s="528"/>
      <c r="AA2440" s="899"/>
      <c r="AB2440" s="899"/>
      <c r="AC2440" s="904"/>
      <c r="AD2440" s="905"/>
      <c r="AE2440" s="2"/>
      <c r="AF2440" s="885"/>
      <c r="AG2440" s="885"/>
      <c r="AH2440" s="885"/>
      <c r="AI2440" s="885"/>
      <c r="AJ2440" s="885"/>
      <c r="AK2440" s="885"/>
      <c r="AL2440" s="885"/>
      <c r="AM2440" s="879"/>
      <c r="AN2440" s="2"/>
      <c r="AO2440" s="886"/>
      <c r="AP2440" s="886"/>
      <c r="AV2440" t="str">
        <f t="shared" si="9565"/>
        <v xml:space="preserve">   Seg. 2.3-C08-Plataforma- Instalação de DSH01 - Seg.2.3 C 08 </v>
      </c>
      <c r="AW2440" s="4" t="str">
        <f t="shared" si="9564"/>
        <v xml:space="preserve">   Seg. 2.2-A15-B01 - Drenagem Superficial - Descida d´água (Km 116+260 a 116+460)</v>
      </c>
    </row>
    <row r="2441" spans="1:49" ht="12.6" customHeight="1" outlineLevel="2">
      <c r="A2441" s="8" t="str">
        <f t="shared" ref="A2441" si="9809">IF(SUM(P2441:V2442)&gt;0,"S","N")</f>
        <v>N</v>
      </c>
      <c r="B2441" s="150">
        <v>1066913</v>
      </c>
      <c r="C2441" s="150" t="s">
        <v>2714</v>
      </c>
      <c r="D2441" s="120" t="s">
        <v>2715</v>
      </c>
      <c r="E2441" s="892" t="s">
        <v>2716</v>
      </c>
      <c r="F2441" s="902" t="s">
        <v>52</v>
      </c>
      <c r="G2441" s="528"/>
      <c r="H2441" s="546" t="s">
        <v>37</v>
      </c>
      <c r="I2441" s="711">
        <v>0</v>
      </c>
      <c r="J2441" s="896" t="str">
        <f t="shared" ref="J2441" si="9810">IFERROR((I2442/I2441),"-")</f>
        <v>-</v>
      </c>
      <c r="K2441" s="528"/>
      <c r="L2441" s="546" t="s">
        <v>37</v>
      </c>
      <c r="M2441" s="711">
        <f t="shared" si="9657"/>
        <v>0</v>
      </c>
      <c r="N2441" s="896" t="str">
        <f t="shared" ref="N2441" si="9811">IFERROR((M2442/M2441),"-")</f>
        <v>-</v>
      </c>
      <c r="O2441" s="528"/>
      <c r="P2441" s="547">
        <v>0</v>
      </c>
      <c r="Q2441" s="547">
        <v>0</v>
      </c>
      <c r="R2441" s="547">
        <v>0</v>
      </c>
      <c r="S2441" s="547">
        <v>0</v>
      </c>
      <c r="T2441" s="547">
        <v>0</v>
      </c>
      <c r="U2441" s="547">
        <v>0</v>
      </c>
      <c r="V2441" s="548">
        <v>0</v>
      </c>
      <c r="W2441" s="528"/>
      <c r="X2441" s="711">
        <f t="shared" si="9648"/>
        <v>0</v>
      </c>
      <c r="Y2441" s="896" t="str">
        <f t="shared" ref="Y2441" si="9812">IFERROR((X2442/X2441),"-")</f>
        <v>-</v>
      </c>
      <c r="Z2441" s="528"/>
      <c r="AA2441" s="898">
        <v>2.7</v>
      </c>
      <c r="AB2441" s="898">
        <v>0</v>
      </c>
      <c r="AC2441" s="903">
        <v>0</v>
      </c>
      <c r="AD2441" s="896">
        <f t="shared" ref="AD2441" si="9813">IFERROR((AC2441/AA2441),"-")</f>
        <v>0</v>
      </c>
      <c r="AE2441" s="2"/>
      <c r="AF2441" s="884">
        <v>0</v>
      </c>
      <c r="AG2441" s="884"/>
      <c r="AH2441" s="884">
        <v>0</v>
      </c>
      <c r="AI2441" s="884"/>
      <c r="AJ2441" s="884"/>
      <c r="AK2441" s="884">
        <f t="shared" ref="AK2441" si="9814">AF2441+AG2441+AH2441+AI2441+AJ2441+AC2441</f>
        <v>0</v>
      </c>
      <c r="AL2441" s="884">
        <v>0</v>
      </c>
      <c r="AM2441" s="878" t="str">
        <f t="shared" ref="AM2441" si="9815">IFERROR((AK2441/AL2441),"-")</f>
        <v>-</v>
      </c>
      <c r="AN2441" s="2"/>
      <c r="AO2441" s="884">
        <v>2.7</v>
      </c>
      <c r="AP2441" s="884">
        <f t="shared" ref="AP2441" si="9816">AO2441-AK2441</f>
        <v>2.7</v>
      </c>
      <c r="AV2441" t="str">
        <f t="shared" si="9565"/>
        <v xml:space="preserve">   Seg. 2.3-C08-Plataforma- Instalação de DSH01 - Seg.2.3 C 08 </v>
      </c>
      <c r="AW2441" s="4" t="str">
        <f t="shared" ref="AW2441:AW2504" si="9817">IF(E2441&lt;&gt;"",E2441,AW2440)</f>
        <v xml:space="preserve">   Seg. 2.2-C09-Acesso-OAC - Descida d'água - LE - DDA-04(L=2,70m)</v>
      </c>
    </row>
    <row r="2442" spans="1:49" ht="12.6" customHeight="1" outlineLevel="2">
      <c r="A2442" s="8" t="str">
        <f t="shared" ref="A2442" si="9818">A2441</f>
        <v>N</v>
      </c>
      <c r="B2442" s="150"/>
      <c r="C2442" s="150"/>
      <c r="D2442" s="120" t="s">
        <v>2715</v>
      </c>
      <c r="E2442" s="893"/>
      <c r="F2442" s="902"/>
      <c r="G2442" s="528"/>
      <c r="H2442" s="549" t="s">
        <v>38</v>
      </c>
      <c r="I2442" s="711">
        <v>0</v>
      </c>
      <c r="J2442" s="897"/>
      <c r="K2442" s="528"/>
      <c r="L2442" s="549" t="s">
        <v>38</v>
      </c>
      <c r="M2442" s="711">
        <f t="shared" si="9657"/>
        <v>0</v>
      </c>
      <c r="N2442" s="897"/>
      <c r="O2442" s="528"/>
      <c r="P2442" s="548">
        <v>0</v>
      </c>
      <c r="Q2442" s="548">
        <v>0</v>
      </c>
      <c r="R2442" s="548">
        <v>0</v>
      </c>
      <c r="S2442" s="548">
        <v>0</v>
      </c>
      <c r="T2442" s="548">
        <v>0</v>
      </c>
      <c r="U2442" s="548">
        <v>0</v>
      </c>
      <c r="V2442" s="548">
        <v>0</v>
      </c>
      <c r="W2442" s="528"/>
      <c r="X2442" s="711">
        <f t="shared" si="9648"/>
        <v>0</v>
      </c>
      <c r="Y2442" s="897"/>
      <c r="Z2442" s="528"/>
      <c r="AA2442" s="899"/>
      <c r="AB2442" s="899"/>
      <c r="AC2442" s="904"/>
      <c r="AD2442" s="905"/>
      <c r="AE2442" s="2"/>
      <c r="AF2442" s="885"/>
      <c r="AG2442" s="885"/>
      <c r="AH2442" s="885"/>
      <c r="AI2442" s="885"/>
      <c r="AJ2442" s="885"/>
      <c r="AK2442" s="885"/>
      <c r="AL2442" s="885"/>
      <c r="AM2442" s="879"/>
      <c r="AN2442" s="2"/>
      <c r="AO2442" s="886"/>
      <c r="AP2442" s="886"/>
      <c r="AV2442" t="str">
        <f t="shared" ref="AV2442:AV2505" si="9819">IF(AX2442="Y",LEFT(E2442,20),IF(AX2442="x",E2442,AV2441))</f>
        <v xml:space="preserve">   Seg. 2.3-C08-Plataforma- Instalação de DSH01 - Seg.2.3 C 08 </v>
      </c>
      <c r="AW2442" s="4" t="str">
        <f t="shared" si="9817"/>
        <v xml:space="preserve">   Seg. 2.2-C09-Acesso-OAC - Descida d'água - LE - DDA-04(L=2,70m)</v>
      </c>
    </row>
    <row r="2443" spans="1:49" ht="15.6" customHeight="1" outlineLevel="2">
      <c r="A2443" s="8" t="str">
        <f t="shared" ref="A2443" si="9820">IF(SUM(P2443:V2444)&gt;0,"S","N")</f>
        <v>N</v>
      </c>
      <c r="B2443" s="150">
        <v>1066914</v>
      </c>
      <c r="C2443" s="150" t="s">
        <v>2717</v>
      </c>
      <c r="D2443" s="120" t="s">
        <v>2718</v>
      </c>
      <c r="E2443" s="892" t="s">
        <v>2719</v>
      </c>
      <c r="F2443" s="902" t="s">
        <v>52</v>
      </c>
      <c r="G2443" s="528"/>
      <c r="H2443" s="546" t="s">
        <v>37</v>
      </c>
      <c r="I2443" s="711">
        <v>0</v>
      </c>
      <c r="J2443" s="896" t="str">
        <f t="shared" ref="J2443" si="9821">IFERROR((I2444/I2443),"-")</f>
        <v>-</v>
      </c>
      <c r="K2443" s="528"/>
      <c r="L2443" s="546" t="s">
        <v>37</v>
      </c>
      <c r="M2443" s="711">
        <f t="shared" si="9657"/>
        <v>0</v>
      </c>
      <c r="N2443" s="896" t="str">
        <f t="shared" ref="N2443" si="9822">IFERROR((M2444/M2443),"-")</f>
        <v>-</v>
      </c>
      <c r="O2443" s="528"/>
      <c r="P2443" s="547">
        <v>0</v>
      </c>
      <c r="Q2443" s="547">
        <v>0</v>
      </c>
      <c r="R2443" s="547">
        <v>0</v>
      </c>
      <c r="S2443" s="547">
        <v>0</v>
      </c>
      <c r="T2443" s="547">
        <v>0</v>
      </c>
      <c r="U2443" s="547">
        <v>0</v>
      </c>
      <c r="V2443" s="548">
        <v>0</v>
      </c>
      <c r="W2443" s="528"/>
      <c r="X2443" s="711">
        <f t="shared" si="9648"/>
        <v>0</v>
      </c>
      <c r="Y2443" s="896" t="str">
        <f t="shared" ref="Y2443" si="9823">IFERROR((X2444/X2443),"-")</f>
        <v>-</v>
      </c>
      <c r="Z2443" s="528"/>
      <c r="AA2443" s="898">
        <v>4</v>
      </c>
      <c r="AB2443" s="898">
        <v>4</v>
      </c>
      <c r="AC2443" s="903">
        <v>0</v>
      </c>
      <c r="AD2443" s="896">
        <f t="shared" ref="AD2443" si="9824">IFERROR((AC2443/AA2443),"-")</f>
        <v>0</v>
      </c>
      <c r="AE2443" s="2"/>
      <c r="AF2443" s="884">
        <v>0</v>
      </c>
      <c r="AG2443" s="884"/>
      <c r="AH2443" s="884">
        <v>0</v>
      </c>
      <c r="AI2443" s="884"/>
      <c r="AJ2443" s="884"/>
      <c r="AK2443" s="884">
        <f t="shared" ref="AK2443" si="9825">AF2443+AG2443+AH2443+AI2443+AJ2443+AC2443</f>
        <v>0</v>
      </c>
      <c r="AL2443" s="884">
        <v>4</v>
      </c>
      <c r="AM2443" s="878">
        <f t="shared" ref="AM2443" si="9826">IFERROR((AK2443/AL2443),"-")</f>
        <v>0</v>
      </c>
      <c r="AN2443" s="2"/>
      <c r="AO2443" s="884">
        <v>4</v>
      </c>
      <c r="AP2443" s="884">
        <f t="shared" ref="AP2443" si="9827">AO2443-AK2443</f>
        <v>4</v>
      </c>
      <c r="AV2443" t="str">
        <f t="shared" si="9819"/>
        <v xml:space="preserve">   Seg. 2.3-C08-Plataforma- Instalação de DSH01 - Seg.2.3 C 08 </v>
      </c>
      <c r="AW2443" s="4" t="str">
        <f t="shared" si="9817"/>
        <v xml:space="preserve">   Construção de descida d'água (Km 1000+375 a 1000+420)</v>
      </c>
    </row>
    <row r="2444" spans="1:49" ht="15.6" customHeight="1" outlineLevel="2">
      <c r="A2444" s="8" t="str">
        <f t="shared" ref="A2444" si="9828">A2443</f>
        <v>N</v>
      </c>
      <c r="B2444" s="150"/>
      <c r="C2444" s="150"/>
      <c r="D2444" s="120" t="s">
        <v>2718</v>
      </c>
      <c r="E2444" s="893"/>
      <c r="F2444" s="902"/>
      <c r="G2444" s="528"/>
      <c r="H2444" s="549" t="s">
        <v>38</v>
      </c>
      <c r="I2444" s="711">
        <v>0</v>
      </c>
      <c r="J2444" s="897"/>
      <c r="K2444" s="528"/>
      <c r="L2444" s="549" t="s">
        <v>38</v>
      </c>
      <c r="M2444" s="711">
        <f t="shared" si="9657"/>
        <v>0</v>
      </c>
      <c r="N2444" s="897"/>
      <c r="O2444" s="528"/>
      <c r="P2444" s="548">
        <v>0</v>
      </c>
      <c r="Q2444" s="548">
        <v>0</v>
      </c>
      <c r="R2444" s="548">
        <v>0</v>
      </c>
      <c r="S2444" s="548">
        <v>0</v>
      </c>
      <c r="T2444" s="548">
        <v>0</v>
      </c>
      <c r="U2444" s="548">
        <v>0</v>
      </c>
      <c r="V2444" s="548">
        <v>0</v>
      </c>
      <c r="W2444" s="528"/>
      <c r="X2444" s="711">
        <f t="shared" si="9648"/>
        <v>0</v>
      </c>
      <c r="Y2444" s="897"/>
      <c r="Z2444" s="528"/>
      <c r="AA2444" s="899"/>
      <c r="AB2444" s="899"/>
      <c r="AC2444" s="904"/>
      <c r="AD2444" s="905"/>
      <c r="AE2444" s="2"/>
      <c r="AF2444" s="885"/>
      <c r="AG2444" s="885"/>
      <c r="AH2444" s="885"/>
      <c r="AI2444" s="885"/>
      <c r="AJ2444" s="885"/>
      <c r="AK2444" s="885"/>
      <c r="AL2444" s="885"/>
      <c r="AM2444" s="879"/>
      <c r="AN2444" s="2"/>
      <c r="AO2444" s="886"/>
      <c r="AP2444" s="886"/>
      <c r="AV2444" t="str">
        <f t="shared" si="9819"/>
        <v xml:space="preserve">   Seg. 2.3-C08-Plataforma- Instalação de DSH01 - Seg.2.3 C 08 </v>
      </c>
      <c r="AW2444" s="4" t="str">
        <f t="shared" si="9817"/>
        <v xml:space="preserve">   Construção de descida d'água (Km 1000+375 a 1000+420)</v>
      </c>
    </row>
    <row r="2445" spans="1:49" ht="15.6" customHeight="1" outlineLevel="2" collapsed="1">
      <c r="A2445" s="8" t="str">
        <f t="shared" ref="A2445" si="9829">IF(SUM(P2445:V2446)&gt;0,"S","N")</f>
        <v>N</v>
      </c>
      <c r="B2445" s="150">
        <v>1069158</v>
      </c>
      <c r="C2445" s="150" t="s">
        <v>2720</v>
      </c>
      <c r="D2445" s="120" t="s">
        <v>2721</v>
      </c>
      <c r="E2445" s="892" t="s">
        <v>2722</v>
      </c>
      <c r="F2445" s="902" t="s">
        <v>52</v>
      </c>
      <c r="G2445" s="528"/>
      <c r="H2445" s="546" t="s">
        <v>37</v>
      </c>
      <c r="I2445" s="711">
        <v>0</v>
      </c>
      <c r="J2445" s="896" t="str">
        <f t="shared" ref="J2445" si="9830">IFERROR((I2446/I2445),"-")</f>
        <v>-</v>
      </c>
      <c r="K2445" s="528"/>
      <c r="L2445" s="546" t="s">
        <v>37</v>
      </c>
      <c r="M2445" s="711">
        <f t="shared" si="9657"/>
        <v>0</v>
      </c>
      <c r="N2445" s="896" t="str">
        <f t="shared" ref="N2445" si="9831">IFERROR((M2446/M2445),"-")</f>
        <v>-</v>
      </c>
      <c r="O2445" s="528"/>
      <c r="P2445" s="547">
        <v>0</v>
      </c>
      <c r="Q2445" s="547">
        <v>0</v>
      </c>
      <c r="R2445" s="547">
        <v>0</v>
      </c>
      <c r="S2445" s="547">
        <v>0</v>
      </c>
      <c r="T2445" s="547">
        <v>0</v>
      </c>
      <c r="U2445" s="547">
        <v>0</v>
      </c>
      <c r="V2445" s="548">
        <v>0</v>
      </c>
      <c r="W2445" s="528"/>
      <c r="X2445" s="711">
        <f t="shared" si="9648"/>
        <v>0</v>
      </c>
      <c r="Y2445" s="896" t="str">
        <f t="shared" ref="Y2445" si="9832">IFERROR((X2446/X2445),"-")</f>
        <v>-</v>
      </c>
      <c r="Z2445" s="528"/>
      <c r="AA2445" s="898">
        <v>0</v>
      </c>
      <c r="AB2445" s="898">
        <v>0</v>
      </c>
      <c r="AC2445" s="903">
        <v>0</v>
      </c>
      <c r="AD2445" s="896" t="str">
        <f t="shared" ref="AD2445" si="9833">IFERROR((AC2445/AA2445),"-")</f>
        <v>-</v>
      </c>
      <c r="AE2445" s="2"/>
      <c r="AF2445" s="884">
        <v>0</v>
      </c>
      <c r="AG2445" s="884"/>
      <c r="AH2445" s="884">
        <v>0</v>
      </c>
      <c r="AI2445" s="884"/>
      <c r="AJ2445" s="884"/>
      <c r="AK2445" s="884">
        <f t="shared" ref="AK2445" si="9834">AF2445+AG2445+AH2445+AI2445+AJ2445+AC2445</f>
        <v>0</v>
      </c>
      <c r="AL2445" s="884">
        <v>3.5</v>
      </c>
      <c r="AM2445" s="878">
        <f t="shared" ref="AM2445" si="9835">IFERROR((AK2445/AL2445),"-")</f>
        <v>0</v>
      </c>
      <c r="AN2445" s="2"/>
      <c r="AO2445" s="884">
        <v>3.5</v>
      </c>
      <c r="AP2445" s="884">
        <f t="shared" ref="AP2445" si="9836">AO2445-AK2445</f>
        <v>3.5</v>
      </c>
      <c r="AV2445" t="str">
        <f t="shared" si="9819"/>
        <v xml:space="preserve">   Seg. 2.3-C08-Plataforma- Instalação de DSH01 - Seg.2.3 C 08 </v>
      </c>
      <c r="AW2445" s="4" t="str">
        <f t="shared" si="9817"/>
        <v xml:space="preserve">   Seg. 2.2-A07-OAC -Descida DDA-6 L=3,5</v>
      </c>
    </row>
    <row r="2446" spans="1:49" ht="15.6" customHeight="1" outlineLevel="2">
      <c r="A2446" s="8" t="str">
        <f t="shared" ref="A2446" si="9837">A2445</f>
        <v>N</v>
      </c>
      <c r="B2446" s="150"/>
      <c r="C2446" s="150"/>
      <c r="D2446" s="120" t="s">
        <v>2721</v>
      </c>
      <c r="E2446" s="893"/>
      <c r="F2446" s="902"/>
      <c r="G2446" s="528"/>
      <c r="H2446" s="549" t="s">
        <v>38</v>
      </c>
      <c r="I2446" s="711">
        <v>0</v>
      </c>
      <c r="J2446" s="897"/>
      <c r="K2446" s="528"/>
      <c r="L2446" s="549" t="s">
        <v>38</v>
      </c>
      <c r="M2446" s="711">
        <f t="shared" si="9657"/>
        <v>0</v>
      </c>
      <c r="N2446" s="897"/>
      <c r="O2446" s="528"/>
      <c r="P2446" s="548">
        <v>0</v>
      </c>
      <c r="Q2446" s="548">
        <v>0</v>
      </c>
      <c r="R2446" s="548">
        <v>0</v>
      </c>
      <c r="S2446" s="548">
        <v>0</v>
      </c>
      <c r="T2446" s="548">
        <v>0</v>
      </c>
      <c r="U2446" s="548">
        <v>0</v>
      </c>
      <c r="V2446" s="548">
        <v>0</v>
      </c>
      <c r="W2446" s="528"/>
      <c r="X2446" s="711">
        <f t="shared" si="9648"/>
        <v>0</v>
      </c>
      <c r="Y2446" s="897"/>
      <c r="Z2446" s="528"/>
      <c r="AA2446" s="899"/>
      <c r="AB2446" s="899"/>
      <c r="AC2446" s="904"/>
      <c r="AD2446" s="905"/>
      <c r="AE2446" s="2"/>
      <c r="AF2446" s="885"/>
      <c r="AG2446" s="885"/>
      <c r="AH2446" s="885"/>
      <c r="AI2446" s="885"/>
      <c r="AJ2446" s="885"/>
      <c r="AK2446" s="885"/>
      <c r="AL2446" s="885"/>
      <c r="AM2446" s="879"/>
      <c r="AN2446" s="2"/>
      <c r="AO2446" s="886"/>
      <c r="AP2446" s="886"/>
      <c r="AV2446" t="str">
        <f t="shared" si="9819"/>
        <v xml:space="preserve">   Seg. 2.3-C08-Plataforma- Instalação de DSH01 - Seg.2.3 C 08 </v>
      </c>
      <c r="AW2446" s="4" t="str">
        <f t="shared" si="9817"/>
        <v xml:space="preserve">   Seg. 2.2-A07-OAC -Descida DDA-6 L=3,5</v>
      </c>
    </row>
    <row r="2447" spans="1:49" ht="15.6" customHeight="1" outlineLevel="2">
      <c r="A2447" s="8" t="str">
        <f t="shared" ref="A2447" si="9838">IF(SUM(P2447:V2448)&gt;0,"S","N")</f>
        <v>N</v>
      </c>
      <c r="B2447" s="150">
        <v>1070105</v>
      </c>
      <c r="C2447" s="150" t="s">
        <v>2723</v>
      </c>
      <c r="D2447" s="120" t="s">
        <v>2724</v>
      </c>
      <c r="E2447" s="892" t="s">
        <v>2725</v>
      </c>
      <c r="F2447" s="902" t="s">
        <v>52</v>
      </c>
      <c r="G2447" s="528"/>
      <c r="H2447" s="546" t="s">
        <v>37</v>
      </c>
      <c r="I2447" s="711">
        <v>0</v>
      </c>
      <c r="J2447" s="896" t="str">
        <f t="shared" ref="J2447" si="9839">IFERROR((I2448/I2447),"-")</f>
        <v>-</v>
      </c>
      <c r="K2447" s="528"/>
      <c r="L2447" s="546" t="s">
        <v>37</v>
      </c>
      <c r="M2447" s="711">
        <f t="shared" si="9657"/>
        <v>0</v>
      </c>
      <c r="N2447" s="896" t="str">
        <f t="shared" ref="N2447" si="9840">IFERROR((M2448/M2447),"-")</f>
        <v>-</v>
      </c>
      <c r="O2447" s="528"/>
      <c r="P2447" s="547">
        <v>0</v>
      </c>
      <c r="Q2447" s="547">
        <v>0</v>
      </c>
      <c r="R2447" s="547">
        <v>0</v>
      </c>
      <c r="S2447" s="547">
        <v>0</v>
      </c>
      <c r="T2447" s="547">
        <v>0</v>
      </c>
      <c r="U2447" s="547">
        <v>0</v>
      </c>
      <c r="V2447" s="548">
        <v>0</v>
      </c>
      <c r="W2447" s="528"/>
      <c r="X2447" s="711">
        <f t="shared" si="9648"/>
        <v>0</v>
      </c>
      <c r="Y2447" s="896" t="str">
        <f t="shared" ref="Y2447" si="9841">IFERROR((X2448/X2447),"-")</f>
        <v>-</v>
      </c>
      <c r="Z2447" s="528"/>
      <c r="AA2447" s="898">
        <v>0</v>
      </c>
      <c r="AB2447" s="898">
        <v>0</v>
      </c>
      <c r="AC2447" s="903">
        <v>0</v>
      </c>
      <c r="AD2447" s="896" t="str">
        <f t="shared" ref="AD2447" si="9842">IFERROR((AC2447/AA2447),"-")</f>
        <v>-</v>
      </c>
      <c r="AE2447" s="2"/>
      <c r="AF2447" s="884">
        <v>0</v>
      </c>
      <c r="AG2447" s="884"/>
      <c r="AH2447" s="884">
        <v>0</v>
      </c>
      <c r="AI2447" s="884">
        <v>4.0919999999999996</v>
      </c>
      <c r="AJ2447" s="884"/>
      <c r="AK2447" s="884">
        <f t="shared" ref="AK2447" si="9843">AF2447+AG2447+AH2447+AI2447+AJ2447+AC2447</f>
        <v>4.0919999999999996</v>
      </c>
      <c r="AL2447" s="884">
        <v>0</v>
      </c>
      <c r="AM2447" s="878" t="str">
        <f t="shared" ref="AM2447" si="9844">IFERROR((AK2447/AL2447),"-")</f>
        <v>-</v>
      </c>
      <c r="AN2447" s="2"/>
      <c r="AO2447" s="884">
        <v>6</v>
      </c>
      <c r="AP2447" s="884">
        <f t="shared" ref="AP2447" si="9845">AO2447-AK2447</f>
        <v>1.9080000000000004</v>
      </c>
      <c r="AV2447" t="str">
        <f t="shared" si="9819"/>
        <v xml:space="preserve">   Seg. 2.3-C08-Plataforma- Instalação de DSH01 - Seg.2.3 C 08 </v>
      </c>
      <c r="AW2447" s="4" t="str">
        <f t="shared" si="9817"/>
        <v xml:space="preserve">   Seg. 2.2-A09-Acesso - Drenagem Superficial - Descida D´água (Km 110+035)</v>
      </c>
    </row>
    <row r="2448" spans="1:49" ht="15.6" customHeight="1" outlineLevel="2">
      <c r="A2448" s="8" t="str">
        <f t="shared" ref="A2448" si="9846">A2447</f>
        <v>N</v>
      </c>
      <c r="B2448" s="150"/>
      <c r="C2448" s="150"/>
      <c r="D2448" s="120" t="s">
        <v>2724</v>
      </c>
      <c r="E2448" s="893"/>
      <c r="F2448" s="902"/>
      <c r="G2448" s="528"/>
      <c r="H2448" s="549" t="s">
        <v>38</v>
      </c>
      <c r="I2448" s="711">
        <v>0</v>
      </c>
      <c r="J2448" s="897"/>
      <c r="K2448" s="528"/>
      <c r="L2448" s="549" t="s">
        <v>38</v>
      </c>
      <c r="M2448" s="711">
        <f t="shared" si="9657"/>
        <v>0</v>
      </c>
      <c r="N2448" s="897"/>
      <c r="O2448" s="528"/>
      <c r="P2448" s="548">
        <v>0</v>
      </c>
      <c r="Q2448" s="548">
        <v>0</v>
      </c>
      <c r="R2448" s="548">
        <v>0</v>
      </c>
      <c r="S2448" s="548">
        <v>0</v>
      </c>
      <c r="T2448" s="548">
        <v>0</v>
      </c>
      <c r="U2448" s="548">
        <v>0</v>
      </c>
      <c r="V2448" s="548">
        <v>0</v>
      </c>
      <c r="W2448" s="528"/>
      <c r="X2448" s="711">
        <f t="shared" si="9648"/>
        <v>0</v>
      </c>
      <c r="Y2448" s="897"/>
      <c r="Z2448" s="528"/>
      <c r="AA2448" s="899"/>
      <c r="AB2448" s="899"/>
      <c r="AC2448" s="904"/>
      <c r="AD2448" s="905"/>
      <c r="AE2448" s="2"/>
      <c r="AF2448" s="885"/>
      <c r="AG2448" s="885"/>
      <c r="AH2448" s="885"/>
      <c r="AI2448" s="885"/>
      <c r="AJ2448" s="885"/>
      <c r="AK2448" s="885"/>
      <c r="AL2448" s="885"/>
      <c r="AM2448" s="879"/>
      <c r="AN2448" s="2"/>
      <c r="AO2448" s="886"/>
      <c r="AP2448" s="886"/>
      <c r="AV2448" t="str">
        <f t="shared" si="9819"/>
        <v xml:space="preserve">   Seg. 2.3-C08-Plataforma- Instalação de DSH01 - Seg.2.3 C 08 </v>
      </c>
      <c r="AW2448" s="4" t="str">
        <f t="shared" si="9817"/>
        <v xml:space="preserve">   Seg. 2.2-A09-Acesso - Drenagem Superficial - Descida D´água (Km 110+035)</v>
      </c>
    </row>
    <row r="2449" spans="1:49" ht="15.6" customHeight="1" outlineLevel="1">
      <c r="A2449" s="209" t="str">
        <f t="shared" ref="A2449" si="9847">IF(SUM(P2449:V2450)&gt;0,"S","N")</f>
        <v>N</v>
      </c>
      <c r="B2449" s="120">
        <v>1066908</v>
      </c>
      <c r="C2449" s="120"/>
      <c r="D2449" s="120" t="s">
        <v>2726</v>
      </c>
      <c r="E2449" s="892" t="s">
        <v>2727</v>
      </c>
      <c r="F2449" s="902" t="s">
        <v>52</v>
      </c>
      <c r="G2449" s="528"/>
      <c r="H2449" s="546" t="s">
        <v>37</v>
      </c>
      <c r="I2449" s="711">
        <v>0</v>
      </c>
      <c r="J2449" s="896" t="str">
        <f t="shared" ref="J2449" si="9848">IFERROR((I2450/I2449),"-")</f>
        <v>-</v>
      </c>
      <c r="K2449" s="528"/>
      <c r="L2449" s="546" t="s">
        <v>37</v>
      </c>
      <c r="M2449" s="711">
        <f t="shared" si="9657"/>
        <v>0</v>
      </c>
      <c r="N2449" s="896" t="str">
        <f t="shared" ref="N2449" si="9849">IFERROR((M2450/M2449),"-")</f>
        <v>-</v>
      </c>
      <c r="O2449" s="528"/>
      <c r="P2449" s="547">
        <v>0</v>
      </c>
      <c r="Q2449" s="547">
        <v>0</v>
      </c>
      <c r="R2449" s="547">
        <v>0</v>
      </c>
      <c r="S2449" s="547">
        <v>0</v>
      </c>
      <c r="T2449" s="547">
        <v>0</v>
      </c>
      <c r="U2449" s="547">
        <v>0</v>
      </c>
      <c r="V2449" s="548">
        <v>0</v>
      </c>
      <c r="W2449" s="528"/>
      <c r="X2449" s="711">
        <f t="shared" si="9648"/>
        <v>0</v>
      </c>
      <c r="Y2449" s="896" t="str">
        <f t="shared" ref="Y2449" si="9850">IFERROR((X2450/X2449),"-")</f>
        <v>-</v>
      </c>
      <c r="Z2449" s="528"/>
      <c r="AA2449" s="898">
        <v>0</v>
      </c>
      <c r="AB2449" s="898">
        <v>0</v>
      </c>
      <c r="AC2449" s="903">
        <v>5.0749999999999993</v>
      </c>
      <c r="AD2449" s="896" t="str">
        <f t="shared" ref="AD2449" si="9851">IFERROR((AC2449/AA2449),"-")</f>
        <v>-</v>
      </c>
      <c r="AE2449" s="2"/>
      <c r="AF2449" s="884">
        <v>0</v>
      </c>
      <c r="AG2449" s="884"/>
      <c r="AH2449" s="884">
        <v>0</v>
      </c>
      <c r="AI2449" s="884"/>
      <c r="AJ2449" s="884"/>
      <c r="AK2449" s="884">
        <f t="shared" ref="AK2449" si="9852">AF2449+AG2449+AH2449+AI2449+AJ2449+AC2449</f>
        <v>5.0749999999999993</v>
      </c>
      <c r="AL2449" s="884">
        <v>0</v>
      </c>
      <c r="AM2449" s="878" t="str">
        <f t="shared" ref="AM2449" si="9853">IFERROR((AK2449/AL2449),"-")</f>
        <v>-</v>
      </c>
      <c r="AN2449" s="2"/>
      <c r="AO2449" s="884">
        <v>5.8</v>
      </c>
      <c r="AP2449" s="884">
        <f t="shared" ref="AP2449" si="9854">AO2449-AK2449</f>
        <v>0.72500000000000053</v>
      </c>
      <c r="AV2449" t="str">
        <f t="shared" si="9819"/>
        <v xml:space="preserve">   Seg. 2.3-C08-Plataforma- Instalação de DSH01 - Seg.2.3 C 08 </v>
      </c>
      <c r="AW2449" s="4" t="str">
        <f t="shared" si="9817"/>
        <v xml:space="preserve">   Seg. 2.2-A13-Acesso - Drenagem Superficial - Descida D´água</v>
      </c>
    </row>
    <row r="2450" spans="1:49" ht="15.6" customHeight="1" outlineLevel="1">
      <c r="A2450" s="209" t="str">
        <f t="shared" ref="A2450" si="9855">A2449</f>
        <v>N</v>
      </c>
      <c r="B2450" s="120"/>
      <c r="C2450" s="120"/>
      <c r="D2450" s="120" t="s">
        <v>2728</v>
      </c>
      <c r="E2450" s="893"/>
      <c r="F2450" s="902"/>
      <c r="G2450" s="528"/>
      <c r="H2450" s="549" t="s">
        <v>38</v>
      </c>
      <c r="I2450" s="711">
        <v>0</v>
      </c>
      <c r="J2450" s="897"/>
      <c r="K2450" s="528"/>
      <c r="L2450" s="549" t="s">
        <v>38</v>
      </c>
      <c r="M2450" s="711">
        <f t="shared" si="9657"/>
        <v>0</v>
      </c>
      <c r="N2450" s="897"/>
      <c r="O2450" s="528"/>
      <c r="P2450" s="548">
        <v>0</v>
      </c>
      <c r="Q2450" s="548">
        <v>0</v>
      </c>
      <c r="R2450" s="548">
        <v>0</v>
      </c>
      <c r="S2450" s="548">
        <v>0</v>
      </c>
      <c r="T2450" s="548">
        <v>0</v>
      </c>
      <c r="U2450" s="548">
        <v>0</v>
      </c>
      <c r="V2450" s="548">
        <v>0</v>
      </c>
      <c r="W2450" s="528"/>
      <c r="X2450" s="711">
        <f t="shared" si="9648"/>
        <v>0</v>
      </c>
      <c r="Y2450" s="897"/>
      <c r="Z2450" s="528"/>
      <c r="AA2450" s="899"/>
      <c r="AB2450" s="899"/>
      <c r="AC2450" s="904"/>
      <c r="AD2450" s="905"/>
      <c r="AE2450" s="2"/>
      <c r="AF2450" s="885"/>
      <c r="AG2450" s="885"/>
      <c r="AH2450" s="885"/>
      <c r="AI2450" s="885"/>
      <c r="AJ2450" s="885"/>
      <c r="AK2450" s="885"/>
      <c r="AL2450" s="885"/>
      <c r="AM2450" s="879"/>
      <c r="AN2450" s="2"/>
      <c r="AO2450" s="886"/>
      <c r="AP2450" s="886"/>
      <c r="AV2450" t="str">
        <f t="shared" si="9819"/>
        <v xml:space="preserve">   Seg. 2.3-C08-Plataforma- Instalação de DSH01 - Seg.2.3 C 08 </v>
      </c>
      <c r="AW2450" s="4" t="str">
        <f t="shared" si="9817"/>
        <v xml:space="preserve">   Seg. 2.2-A13-Acesso - Drenagem Superficial - Descida D´água</v>
      </c>
    </row>
    <row r="2451" spans="1:49" ht="15.6" customHeight="1" outlineLevel="1">
      <c r="A2451" s="8" t="str">
        <f t="shared" ref="A2451" si="9856">IF(SUM(P2451:V2452)&gt;0,"S","N")</f>
        <v>N</v>
      </c>
      <c r="B2451" s="150" t="s">
        <v>266</v>
      </c>
      <c r="C2451" s="150" t="s">
        <v>266</v>
      </c>
      <c r="D2451" s="120" t="s">
        <v>200</v>
      </c>
      <c r="E2451" s="892" t="s">
        <v>2729</v>
      </c>
      <c r="F2451" s="902" t="s">
        <v>52</v>
      </c>
      <c r="G2451" s="528"/>
      <c r="H2451" s="546" t="s">
        <v>37</v>
      </c>
      <c r="I2451" s="711">
        <v>0</v>
      </c>
      <c r="J2451" s="896" t="str">
        <f t="shared" ref="J2451" si="9857">IFERROR((I2452/I2451),"-")</f>
        <v>-</v>
      </c>
      <c r="K2451" s="528"/>
      <c r="L2451" s="546" t="s">
        <v>37</v>
      </c>
      <c r="M2451" s="711">
        <f t="shared" si="9657"/>
        <v>0</v>
      </c>
      <c r="N2451" s="896" t="str">
        <f t="shared" ref="N2451" si="9858">IFERROR((M2452/M2451),"-")</f>
        <v>-</v>
      </c>
      <c r="O2451" s="528"/>
      <c r="P2451" s="547">
        <v>0</v>
      </c>
      <c r="Q2451" s="547">
        <v>0</v>
      </c>
      <c r="R2451" s="547">
        <v>0</v>
      </c>
      <c r="S2451" s="547">
        <v>0</v>
      </c>
      <c r="T2451" s="547">
        <v>0</v>
      </c>
      <c r="U2451" s="547">
        <v>0</v>
      </c>
      <c r="V2451" s="548">
        <v>0</v>
      </c>
      <c r="W2451" s="528"/>
      <c r="X2451" s="711">
        <f t="shared" si="9648"/>
        <v>0</v>
      </c>
      <c r="Y2451" s="896" t="str">
        <f t="shared" ref="Y2451" si="9859">IFERROR((X2452/X2451),"-")</f>
        <v>-</v>
      </c>
      <c r="Z2451" s="528"/>
      <c r="AA2451" s="898">
        <v>0</v>
      </c>
      <c r="AB2451" s="898">
        <v>0</v>
      </c>
      <c r="AC2451" s="903">
        <v>0</v>
      </c>
      <c r="AD2451" s="896" t="str">
        <f t="shared" ref="AD2451" si="9860">IFERROR((AC2451/AA2451),"-")</f>
        <v>-</v>
      </c>
      <c r="AE2451" s="2"/>
      <c r="AF2451" s="884">
        <v>0</v>
      </c>
      <c r="AG2451" s="884"/>
      <c r="AH2451" s="884">
        <v>0</v>
      </c>
      <c r="AI2451" s="884">
        <v>4.6210000000000004</v>
      </c>
      <c r="AJ2451" s="884"/>
      <c r="AK2451" s="884">
        <f t="shared" ref="AK2451" si="9861">AF2451+AG2451+AH2451+AI2451+AJ2451+AC2451</f>
        <v>4.6210000000000004</v>
      </c>
      <c r="AL2451" s="884">
        <v>0</v>
      </c>
      <c r="AM2451" s="878" t="str">
        <f t="shared" ref="AM2451" si="9862">IFERROR((AK2451/AL2451),"-")</f>
        <v>-</v>
      </c>
      <c r="AN2451" s="2"/>
      <c r="AO2451" s="884">
        <v>0</v>
      </c>
      <c r="AP2451" s="884">
        <f t="shared" ref="AP2451" si="9863">AO2451-AK2451</f>
        <v>-4.6210000000000004</v>
      </c>
      <c r="AV2451" t="str">
        <f t="shared" si="9819"/>
        <v xml:space="preserve">   Seg. 2.3-C08-Plataforma- Instalação de DSH01 - Seg.2.3 C 08 </v>
      </c>
      <c r="AW2451" s="4" t="str">
        <f t="shared" si="9817"/>
        <v xml:space="preserve">   Seg. 2.2-C09- Drenagem Superficial - Descida D´água</v>
      </c>
    </row>
    <row r="2452" spans="1:49" ht="15.6" customHeight="1" outlineLevel="1">
      <c r="A2452" s="8" t="str">
        <f t="shared" ref="A2452" si="9864">A2451</f>
        <v>N</v>
      </c>
      <c r="B2452" s="150" t="s">
        <v>266</v>
      </c>
      <c r="C2452" s="150" t="s">
        <v>266</v>
      </c>
      <c r="D2452" s="120" t="s">
        <v>200</v>
      </c>
      <c r="E2452" s="893"/>
      <c r="F2452" s="902"/>
      <c r="G2452" s="528"/>
      <c r="H2452" s="549" t="s">
        <v>38</v>
      </c>
      <c r="I2452" s="711">
        <v>0</v>
      </c>
      <c r="J2452" s="897"/>
      <c r="K2452" s="528"/>
      <c r="L2452" s="549" t="s">
        <v>38</v>
      </c>
      <c r="M2452" s="711">
        <f t="shared" si="9657"/>
        <v>0</v>
      </c>
      <c r="N2452" s="897"/>
      <c r="O2452" s="528"/>
      <c r="P2452" s="548">
        <v>0</v>
      </c>
      <c r="Q2452" s="548">
        <v>0</v>
      </c>
      <c r="R2452" s="548">
        <v>0</v>
      </c>
      <c r="S2452" s="548">
        <v>0</v>
      </c>
      <c r="T2452" s="548">
        <v>0</v>
      </c>
      <c r="U2452" s="548">
        <v>0</v>
      </c>
      <c r="V2452" s="548">
        <v>0</v>
      </c>
      <c r="W2452" s="528"/>
      <c r="X2452" s="711">
        <f t="shared" si="9648"/>
        <v>0</v>
      </c>
      <c r="Y2452" s="897"/>
      <c r="Z2452" s="528"/>
      <c r="AA2452" s="899"/>
      <c r="AB2452" s="899"/>
      <c r="AC2452" s="904"/>
      <c r="AD2452" s="905"/>
      <c r="AE2452" s="2"/>
      <c r="AF2452" s="885"/>
      <c r="AG2452" s="885"/>
      <c r="AH2452" s="885"/>
      <c r="AI2452" s="885"/>
      <c r="AJ2452" s="885"/>
      <c r="AK2452" s="885"/>
      <c r="AL2452" s="885"/>
      <c r="AM2452" s="879"/>
      <c r="AN2452" s="2"/>
      <c r="AO2452" s="886"/>
      <c r="AP2452" s="886"/>
      <c r="AV2452" t="str">
        <f t="shared" si="9819"/>
        <v xml:space="preserve">   Seg. 2.3-C08-Plataforma- Instalação de DSH01 - Seg.2.3 C 08 </v>
      </c>
      <c r="AW2452" s="4" t="str">
        <f t="shared" si="9817"/>
        <v xml:space="preserve">   Seg. 2.2-C09- Drenagem Superficial - Descida D´água</v>
      </c>
    </row>
    <row r="2453" spans="1:49" ht="15.6" customHeight="1" outlineLevel="2">
      <c r="A2453" s="8" t="str">
        <f t="shared" ref="A2453" si="9865">IF(SUM(P2453:V2454)&gt;0,"S","N")</f>
        <v>N</v>
      </c>
      <c r="B2453" s="150" t="s">
        <v>266</v>
      </c>
      <c r="C2453" s="150" t="s">
        <v>266</v>
      </c>
      <c r="D2453" s="120" t="s">
        <v>2730</v>
      </c>
      <c r="E2453" s="892" t="s">
        <v>2731</v>
      </c>
      <c r="F2453" s="902" t="s">
        <v>52</v>
      </c>
      <c r="G2453" s="528"/>
      <c r="H2453" s="546" t="s">
        <v>37</v>
      </c>
      <c r="I2453" s="711">
        <v>0</v>
      </c>
      <c r="J2453" s="896" t="str">
        <f t="shared" ref="J2453" si="9866">IFERROR((I2454/I2453),"-")</f>
        <v>-</v>
      </c>
      <c r="K2453" s="528"/>
      <c r="L2453" s="546" t="s">
        <v>37</v>
      </c>
      <c r="M2453" s="711">
        <f t="shared" si="9657"/>
        <v>0</v>
      </c>
      <c r="N2453" s="896" t="str">
        <f t="shared" ref="N2453" si="9867">IFERROR((M2454/M2453),"-")</f>
        <v>-</v>
      </c>
      <c r="O2453" s="528"/>
      <c r="P2453" s="547">
        <v>0</v>
      </c>
      <c r="Q2453" s="547">
        <v>0</v>
      </c>
      <c r="R2453" s="547">
        <v>0</v>
      </c>
      <c r="S2453" s="547">
        <v>0</v>
      </c>
      <c r="T2453" s="547">
        <v>0</v>
      </c>
      <c r="U2453" s="547">
        <v>0</v>
      </c>
      <c r="V2453" s="548">
        <v>0</v>
      </c>
      <c r="W2453" s="528"/>
      <c r="X2453" s="711">
        <f t="shared" si="9648"/>
        <v>0</v>
      </c>
      <c r="Y2453" s="896" t="str">
        <f t="shared" ref="Y2453" si="9868">IFERROR((X2454/X2453),"-")</f>
        <v>-</v>
      </c>
      <c r="Z2453" s="528"/>
      <c r="AA2453" s="898">
        <v>0</v>
      </c>
      <c r="AB2453" s="898">
        <v>0</v>
      </c>
      <c r="AC2453" s="903">
        <v>0</v>
      </c>
      <c r="AD2453" s="896" t="str">
        <f t="shared" ref="AD2453" si="9869">IFERROR((AC2453/AA2453),"-")</f>
        <v>-</v>
      </c>
      <c r="AE2453" s="2"/>
      <c r="AF2453" s="884">
        <v>0</v>
      </c>
      <c r="AG2453" s="884"/>
      <c r="AH2453" s="884">
        <v>0</v>
      </c>
      <c r="AI2453" s="884">
        <v>4.6210000000000004</v>
      </c>
      <c r="AJ2453" s="884"/>
      <c r="AK2453" s="884">
        <f t="shared" ref="AK2453" si="9870">AF2453+AG2453+AH2453+AI2453+AJ2453+AC2453</f>
        <v>4.6210000000000004</v>
      </c>
      <c r="AL2453" s="884">
        <v>0</v>
      </c>
      <c r="AM2453" s="878" t="str">
        <f t="shared" ref="AM2453" si="9871">IFERROR((AK2453/AL2453),"-")</f>
        <v>-</v>
      </c>
      <c r="AN2453" s="2"/>
      <c r="AO2453" s="884">
        <v>0</v>
      </c>
      <c r="AP2453" s="884">
        <f t="shared" ref="AP2453" si="9872">AO2453-AK2453</f>
        <v>-4.6210000000000004</v>
      </c>
      <c r="AV2453" t="str">
        <f t="shared" si="9819"/>
        <v xml:space="preserve">   Seg. 2.3-C08-Plataforma- Instalação de DSH01 - Seg.2.3 C 08 </v>
      </c>
      <c r="AW2453" s="4" t="str">
        <f t="shared" si="9817"/>
        <v xml:space="preserve">   Seg. 2.2-A09- Drenagem Superficial - Descida D´água</v>
      </c>
    </row>
    <row r="2454" spans="1:49" ht="15.6" customHeight="1" outlineLevel="2">
      <c r="A2454" s="8" t="str">
        <f t="shared" ref="A2454" si="9873">A2453</f>
        <v>N</v>
      </c>
      <c r="B2454" s="150" t="s">
        <v>266</v>
      </c>
      <c r="C2454" s="150" t="s">
        <v>266</v>
      </c>
      <c r="D2454" s="120" t="s">
        <v>2730</v>
      </c>
      <c r="E2454" s="893"/>
      <c r="F2454" s="902"/>
      <c r="G2454" s="528"/>
      <c r="H2454" s="549" t="s">
        <v>38</v>
      </c>
      <c r="I2454" s="711">
        <v>0</v>
      </c>
      <c r="J2454" s="897"/>
      <c r="K2454" s="528"/>
      <c r="L2454" s="549" t="s">
        <v>38</v>
      </c>
      <c r="M2454" s="711">
        <f t="shared" si="9657"/>
        <v>0</v>
      </c>
      <c r="N2454" s="897"/>
      <c r="O2454" s="528"/>
      <c r="P2454" s="548">
        <v>0</v>
      </c>
      <c r="Q2454" s="548">
        <v>0</v>
      </c>
      <c r="R2454" s="548">
        <v>0</v>
      </c>
      <c r="S2454" s="548">
        <v>0</v>
      </c>
      <c r="T2454" s="548">
        <v>0</v>
      </c>
      <c r="U2454" s="548">
        <v>0</v>
      </c>
      <c r="V2454" s="548">
        <v>0</v>
      </c>
      <c r="W2454" s="528"/>
      <c r="X2454" s="711">
        <f t="shared" si="9648"/>
        <v>0</v>
      </c>
      <c r="Y2454" s="897"/>
      <c r="Z2454" s="528"/>
      <c r="AA2454" s="899"/>
      <c r="AB2454" s="899"/>
      <c r="AC2454" s="904"/>
      <c r="AD2454" s="905"/>
      <c r="AE2454" s="2"/>
      <c r="AF2454" s="885"/>
      <c r="AG2454" s="885"/>
      <c r="AH2454" s="885"/>
      <c r="AI2454" s="885"/>
      <c r="AJ2454" s="885"/>
      <c r="AK2454" s="885"/>
      <c r="AL2454" s="885"/>
      <c r="AM2454" s="879"/>
      <c r="AN2454" s="2"/>
      <c r="AO2454" s="886"/>
      <c r="AP2454" s="886"/>
      <c r="AV2454" t="str">
        <f t="shared" si="9819"/>
        <v xml:space="preserve">   Seg. 2.3-C08-Plataforma- Instalação de DSH01 - Seg.2.3 C 08 </v>
      </c>
      <c r="AW2454" s="4" t="str">
        <f t="shared" si="9817"/>
        <v xml:space="preserve">   Seg. 2.2-A09- Drenagem Superficial - Descida D´água</v>
      </c>
    </row>
    <row r="2455" spans="1:49" ht="15.6" customHeight="1" outlineLevel="2" collapsed="1">
      <c r="A2455" s="209">
        <v>0</v>
      </c>
      <c r="B2455" s="150"/>
      <c r="C2455" s="150"/>
      <c r="D2455" s="120"/>
      <c r="E2455" s="535"/>
      <c r="F2455" s="536"/>
      <c r="G2455" s="537"/>
      <c r="H2455" s="714"/>
      <c r="I2455" s="555"/>
      <c r="J2455" s="714"/>
      <c r="K2455" s="537"/>
      <c r="L2455" s="714"/>
      <c r="M2455" s="555"/>
      <c r="N2455" s="714"/>
      <c r="O2455" s="537"/>
      <c r="P2455" s="539"/>
      <c r="Q2455" s="539"/>
      <c r="R2455" s="539"/>
      <c r="S2455" s="539"/>
      <c r="T2455" s="539"/>
      <c r="U2455" s="539"/>
      <c r="V2455" s="539"/>
      <c r="W2455" s="537"/>
      <c r="X2455" s="540"/>
      <c r="Y2455" s="537"/>
      <c r="Z2455" s="537"/>
      <c r="AA2455" s="249"/>
      <c r="AB2455" s="249"/>
      <c r="AC2455" s="249"/>
      <c r="AD2455" s="537"/>
      <c r="AE2455" s="3"/>
      <c r="AF2455" s="35"/>
      <c r="AG2455" s="35"/>
      <c r="AH2455" s="35"/>
      <c r="AI2455" s="35"/>
      <c r="AJ2455" s="35"/>
      <c r="AK2455" s="35"/>
      <c r="AL2455" s="35"/>
      <c r="AM2455" s="3"/>
      <c r="AN2455" s="3"/>
      <c r="AO2455" s="35"/>
      <c r="AP2455" s="35"/>
      <c r="AV2455" t="str">
        <f t="shared" si="9819"/>
        <v xml:space="preserve">   Seg. 2.3-C08-Plataforma- Instalação de DSH01 - Seg.2.3 C 08 </v>
      </c>
      <c r="AW2455" s="4" t="str">
        <f t="shared" si="9817"/>
        <v xml:space="preserve">   Seg. 2.2-A09- Drenagem Superficial - Descida D´água</v>
      </c>
    </row>
    <row r="2456" spans="1:49" ht="15.6" customHeight="1" outlineLevel="2">
      <c r="A2456" s="209">
        <v>0</v>
      </c>
      <c r="B2456" s="150"/>
      <c r="C2456" s="150"/>
      <c r="D2456" s="117"/>
      <c r="E2456" s="535"/>
      <c r="F2456" s="541"/>
      <c r="G2456" s="537"/>
      <c r="H2456" s="537"/>
      <c r="I2456" s="249"/>
      <c r="J2456" s="537"/>
      <c r="K2456" s="537"/>
      <c r="L2456" s="537"/>
      <c r="M2456" s="249"/>
      <c r="N2456" s="537"/>
      <c r="O2456" s="537"/>
      <c r="P2456" s="539"/>
      <c r="Q2456" s="539"/>
      <c r="R2456" s="539"/>
      <c r="S2456" s="539"/>
      <c r="T2456" s="539"/>
      <c r="U2456" s="539"/>
      <c r="V2456" s="539"/>
      <c r="W2456" s="537"/>
      <c r="X2456" s="540"/>
      <c r="Y2456" s="537"/>
      <c r="Z2456" s="537"/>
      <c r="AA2456" s="249"/>
      <c r="AB2456" s="249"/>
      <c r="AC2456" s="249"/>
      <c r="AD2456" s="537"/>
      <c r="AE2456" s="3"/>
      <c r="AF2456" s="35"/>
      <c r="AG2456" s="35"/>
      <c r="AH2456" s="35"/>
      <c r="AI2456" s="35"/>
      <c r="AJ2456" s="35"/>
      <c r="AK2456" s="35"/>
      <c r="AL2456" s="35"/>
      <c r="AM2456" s="3"/>
      <c r="AN2456" s="3"/>
      <c r="AO2456" s="35"/>
      <c r="AP2456" s="35"/>
      <c r="AV2456" t="str">
        <f t="shared" si="9819"/>
        <v xml:space="preserve">   Seg. 2.3-C08-Plataforma- Instalação de DSH01 - Seg.2.3 C 08 </v>
      </c>
      <c r="AW2456" s="4" t="str">
        <f t="shared" si="9817"/>
        <v xml:space="preserve">   Seg. 2.2-A09- Drenagem Superficial - Descida D´água</v>
      </c>
    </row>
    <row r="2457" spans="1:49" ht="15.6" customHeight="1" outlineLevel="2">
      <c r="A2457" s="209">
        <v>0</v>
      </c>
      <c r="B2457" s="150"/>
      <c r="C2457" s="150"/>
      <c r="D2457" s="122"/>
      <c r="E2457" s="913" t="s">
        <v>41</v>
      </c>
      <c r="F2457" s="859" t="s">
        <v>52</v>
      </c>
      <c r="G2457" s="528"/>
      <c r="H2457" s="542" t="s">
        <v>37</v>
      </c>
      <c r="I2457" s="543">
        <f>SUMIF($L2459:$L2522,$L2457,I2459:I2522)</f>
        <v>0</v>
      </c>
      <c r="J2457" s="860" t="str">
        <f>IFERROR((I2458/I2457),"-")</f>
        <v>-</v>
      </c>
      <c r="K2457" s="528"/>
      <c r="L2457" s="542" t="s">
        <v>37</v>
      </c>
      <c r="M2457" s="543">
        <f>SUMIF($L2459:$L2522,$L2457,M2459:M2522)</f>
        <v>0</v>
      </c>
      <c r="N2457" s="860" t="str">
        <f>IFERROR((M2458/M2457),"-")</f>
        <v>-</v>
      </c>
      <c r="O2457" s="528"/>
      <c r="P2457" s="543">
        <f t="shared" ref="P2457:U2457" si="9874">SUMIF($L2459:$L2522,$L2457,P2459:P2522)</f>
        <v>0</v>
      </c>
      <c r="Q2457" s="543">
        <f t="shared" si="9874"/>
        <v>0</v>
      </c>
      <c r="R2457" s="543">
        <f t="shared" si="9874"/>
        <v>0</v>
      </c>
      <c r="S2457" s="543">
        <f t="shared" si="9874"/>
        <v>0</v>
      </c>
      <c r="T2457" s="543">
        <f t="shared" si="9874"/>
        <v>0</v>
      </c>
      <c r="U2457" s="543">
        <f t="shared" si="9874"/>
        <v>0</v>
      </c>
      <c r="V2457" s="543"/>
      <c r="W2457" s="528"/>
      <c r="X2457" s="543">
        <f t="shared" ref="X2457:X2520" si="9875">SUMIFS(P2457:V2457,$P$8:$V$8,"&gt;="&amp;$P$8,$P$8:$V$8,"&lt;="&amp;$N$8)</f>
        <v>0</v>
      </c>
      <c r="Y2457" s="860" t="str">
        <f>IFERROR((X2458/X2457),"-")</f>
        <v>-</v>
      </c>
      <c r="Z2457" s="528"/>
      <c r="AA2457" s="814">
        <f>SUM(AA2459:AA2522)</f>
        <v>129.54</v>
      </c>
      <c r="AB2457" s="814">
        <f>SUM(AB2459:AB2522)</f>
        <v>78.59</v>
      </c>
      <c r="AC2457" s="814">
        <f>SUM(AC2459:AC2522)</f>
        <v>0</v>
      </c>
      <c r="AD2457" s="911">
        <f t="shared" ref="AD2457" si="9876">IFERROR((AC2457/AA2457),"-")</f>
        <v>0</v>
      </c>
      <c r="AE2457" s="2"/>
      <c r="AF2457" s="888">
        <f>SUM(AF2459:AF2524)</f>
        <v>192.87099999999998</v>
      </c>
      <c r="AG2457" s="888">
        <f t="shared" ref="AG2457:AL2457" si="9877">SUM(AG2459:AG2524)</f>
        <v>9.0719999999999992</v>
      </c>
      <c r="AH2457" s="888">
        <f t="shared" si="9877"/>
        <v>20.625</v>
      </c>
      <c r="AI2457" s="888">
        <f t="shared" si="9877"/>
        <v>0</v>
      </c>
      <c r="AJ2457" s="888">
        <f t="shared" si="9877"/>
        <v>0</v>
      </c>
      <c r="AK2457" s="888">
        <f t="shared" si="9877"/>
        <v>222.56799999999998</v>
      </c>
      <c r="AL2457" s="888">
        <f t="shared" si="9877"/>
        <v>334.35999999999984</v>
      </c>
      <c r="AM2457" s="743">
        <f>IFERROR((AK2457/AL2457),"-")</f>
        <v>0.66565378633807903</v>
      </c>
      <c r="AN2457" s="2"/>
      <c r="AO2457" s="888">
        <f t="shared" ref="AO2457:AP2457" si="9878">SUM(AO2459:AO2524)</f>
        <v>750.04000000000008</v>
      </c>
      <c r="AP2457" s="888">
        <f t="shared" si="9878"/>
        <v>527.47199999999998</v>
      </c>
      <c r="AV2457" t="str">
        <f t="shared" si="9819"/>
        <v xml:space="preserve">   Seg. 2.3-C08-Plataforma- Instalação de DSH01 - Seg.2.3 C 08 </v>
      </c>
      <c r="AW2457" s="4" t="str">
        <f t="shared" si="9817"/>
        <v>Pacote 04 - Segmento 2.3 - Km 116+517 a 131+241</v>
      </c>
    </row>
    <row r="2458" spans="1:49" ht="15.6" customHeight="1" outlineLevel="2">
      <c r="A2458" s="209">
        <v>0</v>
      </c>
      <c r="B2458" s="150"/>
      <c r="C2458" s="150"/>
      <c r="D2458" s="123"/>
      <c r="E2458" s="913"/>
      <c r="F2458" s="859"/>
      <c r="G2458" s="528"/>
      <c r="H2458" s="544" t="s">
        <v>38</v>
      </c>
      <c r="I2458" s="543">
        <f>SUMIF($L2459:$L2522,$L2458,I2459:I2522)</f>
        <v>0</v>
      </c>
      <c r="J2458" s="861"/>
      <c r="K2458" s="528"/>
      <c r="L2458" s="544" t="s">
        <v>38</v>
      </c>
      <c r="M2458" s="543">
        <f>SUMIF($L2459:$L2522,$L2458,M2459:M2522)</f>
        <v>0</v>
      </c>
      <c r="N2458" s="861"/>
      <c r="O2458" s="528"/>
      <c r="P2458" s="543">
        <f t="shared" ref="P2458:U2458" si="9879">SUMIF($L2459:$L2522,$L2458,P2459:P2522)</f>
        <v>0</v>
      </c>
      <c r="Q2458" s="543">
        <f t="shared" si="9879"/>
        <v>0</v>
      </c>
      <c r="R2458" s="543">
        <f t="shared" si="9879"/>
        <v>0</v>
      </c>
      <c r="S2458" s="543">
        <f t="shared" si="9879"/>
        <v>0</v>
      </c>
      <c r="T2458" s="543">
        <f t="shared" si="9879"/>
        <v>0</v>
      </c>
      <c r="U2458" s="543">
        <f t="shared" si="9879"/>
        <v>0</v>
      </c>
      <c r="V2458" s="543"/>
      <c r="W2458" s="528"/>
      <c r="X2458" s="543">
        <f t="shared" si="9875"/>
        <v>0</v>
      </c>
      <c r="Y2458" s="861"/>
      <c r="Z2458" s="528"/>
      <c r="AA2458" s="815"/>
      <c r="AB2458" s="815"/>
      <c r="AC2458" s="815"/>
      <c r="AD2458" s="912"/>
      <c r="AE2458" s="2"/>
      <c r="AF2458" s="889"/>
      <c r="AG2458" s="889"/>
      <c r="AH2458" s="889"/>
      <c r="AI2458" s="889"/>
      <c r="AJ2458" s="889"/>
      <c r="AK2458" s="889"/>
      <c r="AL2458" s="889"/>
      <c r="AM2458" s="744"/>
      <c r="AN2458" s="2"/>
      <c r="AO2458" s="889"/>
      <c r="AP2458" s="889"/>
      <c r="AV2458" t="str">
        <f t="shared" si="9819"/>
        <v xml:space="preserve">   Seg. 2.3-C08-Plataforma- Instalação de DSH01 - Seg.2.3 C 08 </v>
      </c>
      <c r="AW2458" s="4" t="str">
        <f t="shared" si="9817"/>
        <v>Pacote 04 - Segmento 2.3 - Km 116+517 a 131+241</v>
      </c>
    </row>
    <row r="2459" spans="1:49" ht="15.6" customHeight="1" outlineLevel="2">
      <c r="A2459" s="8" t="str">
        <f t="shared" ref="A2459" si="9880">IF(SUM(P2459:V2460)&gt;0,"S","N")</f>
        <v>N</v>
      </c>
      <c r="B2459" s="150">
        <v>1066804</v>
      </c>
      <c r="C2459" s="150" t="s">
        <v>2732</v>
      </c>
      <c r="D2459" s="120" t="s">
        <v>2733</v>
      </c>
      <c r="E2459" s="892" t="s">
        <v>2734</v>
      </c>
      <c r="F2459" s="902" t="s">
        <v>52</v>
      </c>
      <c r="G2459" s="528"/>
      <c r="H2459" s="546" t="s">
        <v>37</v>
      </c>
      <c r="I2459" s="711">
        <v>0</v>
      </c>
      <c r="J2459" s="896" t="str">
        <f t="shared" ref="J2459" si="9881">IFERROR((I2460/I2459),"-")</f>
        <v>-</v>
      </c>
      <c r="K2459" s="528"/>
      <c r="L2459" s="546" t="s">
        <v>37</v>
      </c>
      <c r="M2459" s="711">
        <f t="shared" ref="M2459:M2522" si="9882">_xlfn.XLOOKUP($N$8,$P$8:$V$8,$P2459:$V2459)</f>
        <v>0</v>
      </c>
      <c r="N2459" s="896" t="str">
        <f t="shared" ref="N2459" si="9883">IFERROR((M2460/M2459),"-")</f>
        <v>-</v>
      </c>
      <c r="O2459" s="528"/>
      <c r="P2459" s="547">
        <v>0</v>
      </c>
      <c r="Q2459" s="547">
        <v>0</v>
      </c>
      <c r="R2459" s="547">
        <v>0</v>
      </c>
      <c r="S2459" s="547">
        <v>0</v>
      </c>
      <c r="T2459" s="547">
        <v>0</v>
      </c>
      <c r="U2459" s="547">
        <v>0</v>
      </c>
      <c r="V2459" s="548">
        <v>0</v>
      </c>
      <c r="W2459" s="528"/>
      <c r="X2459" s="711">
        <f t="shared" si="9875"/>
        <v>0</v>
      </c>
      <c r="Y2459" s="896" t="str">
        <f t="shared" ref="Y2459" si="9884">IFERROR((X2460/X2459),"-")</f>
        <v>-</v>
      </c>
      <c r="Z2459" s="528"/>
      <c r="AA2459" s="898">
        <v>0</v>
      </c>
      <c r="AB2459" s="898">
        <v>0</v>
      </c>
      <c r="AC2459" s="903">
        <v>0</v>
      </c>
      <c r="AD2459" s="896" t="str">
        <f t="shared" ref="AD2459" si="9885">IFERROR((AC2459/AA2459),"-")</f>
        <v>-</v>
      </c>
      <c r="AE2459" s="2"/>
      <c r="AF2459" s="884">
        <v>0</v>
      </c>
      <c r="AG2459" s="884"/>
      <c r="AH2459" s="884">
        <v>0</v>
      </c>
      <c r="AI2459" s="884"/>
      <c r="AJ2459" s="884"/>
      <c r="AK2459" s="884">
        <f t="shared" ref="AK2459" si="9886">AF2459+AG2459+AH2459+AI2459+AJ2459+AC2459</f>
        <v>0</v>
      </c>
      <c r="AL2459" s="884">
        <v>0</v>
      </c>
      <c r="AM2459" s="878" t="str">
        <f t="shared" ref="AM2459" si="9887">IFERROR((AK2459/AL2459),"-")</f>
        <v>-</v>
      </c>
      <c r="AN2459" s="2"/>
      <c r="AO2459" s="884">
        <v>3</v>
      </c>
      <c r="AP2459" s="884">
        <f t="shared" ref="AP2459" si="9888">AO2459-AK2459</f>
        <v>3</v>
      </c>
      <c r="AV2459" t="str">
        <f t="shared" si="9819"/>
        <v xml:space="preserve">   Seg. 2.3-C08-Plataforma- Instalação de DSH01 - Seg.2.3 C 08 </v>
      </c>
      <c r="AW2459" s="4" t="str">
        <f t="shared" si="9817"/>
        <v xml:space="preserve">   Seg. 2.3-A13-OAC - Descida DDAB-3-esc. 20º -VALEC L=3,00m</v>
      </c>
    </row>
    <row r="2460" spans="1:49" ht="15.6" customHeight="1" outlineLevel="2">
      <c r="A2460" s="8" t="str">
        <f t="shared" ref="A2460" si="9889">A2459</f>
        <v>N</v>
      </c>
      <c r="B2460" s="150"/>
      <c r="C2460" s="150"/>
      <c r="D2460" s="120" t="s">
        <v>2733</v>
      </c>
      <c r="E2460" s="893"/>
      <c r="F2460" s="902"/>
      <c r="G2460" s="528"/>
      <c r="H2460" s="549" t="s">
        <v>38</v>
      </c>
      <c r="I2460" s="711">
        <v>0</v>
      </c>
      <c r="J2460" s="897"/>
      <c r="K2460" s="528"/>
      <c r="L2460" s="549" t="s">
        <v>38</v>
      </c>
      <c r="M2460" s="711">
        <f t="shared" si="9882"/>
        <v>0</v>
      </c>
      <c r="N2460" s="897"/>
      <c r="O2460" s="528"/>
      <c r="P2460" s="548">
        <v>0</v>
      </c>
      <c r="Q2460" s="548">
        <v>0</v>
      </c>
      <c r="R2460" s="548">
        <v>0</v>
      </c>
      <c r="S2460" s="548">
        <v>0</v>
      </c>
      <c r="T2460" s="548">
        <v>0</v>
      </c>
      <c r="U2460" s="548">
        <v>0</v>
      </c>
      <c r="V2460" s="548">
        <v>0</v>
      </c>
      <c r="W2460" s="528"/>
      <c r="X2460" s="711">
        <f t="shared" si="9875"/>
        <v>0</v>
      </c>
      <c r="Y2460" s="897"/>
      <c r="Z2460" s="528"/>
      <c r="AA2460" s="899"/>
      <c r="AB2460" s="899"/>
      <c r="AC2460" s="904"/>
      <c r="AD2460" s="905"/>
      <c r="AE2460" s="2"/>
      <c r="AF2460" s="885"/>
      <c r="AG2460" s="885"/>
      <c r="AH2460" s="885"/>
      <c r="AI2460" s="885"/>
      <c r="AJ2460" s="885"/>
      <c r="AK2460" s="885"/>
      <c r="AL2460" s="885"/>
      <c r="AM2460" s="879"/>
      <c r="AN2460" s="2"/>
      <c r="AO2460" s="886"/>
      <c r="AP2460" s="886"/>
      <c r="AV2460" t="str">
        <f t="shared" si="9819"/>
        <v xml:space="preserve">   Seg. 2.3-C08-Plataforma- Instalação de DSH01 - Seg.2.3 C 08 </v>
      </c>
      <c r="AW2460" s="4" t="str">
        <f t="shared" si="9817"/>
        <v xml:space="preserve">   Seg. 2.3-A13-OAC - Descida DDAB-3-esc. 20º -VALEC L=3,00m</v>
      </c>
    </row>
    <row r="2461" spans="1:49" ht="15.6" customHeight="1" outlineLevel="2">
      <c r="A2461" s="8" t="str">
        <f t="shared" ref="A2461" si="9890">IF(SUM(P2461:V2462)&gt;0,"S","N")</f>
        <v>N</v>
      </c>
      <c r="B2461" s="150">
        <v>1066828</v>
      </c>
      <c r="C2461" s="150" t="s">
        <v>2735</v>
      </c>
      <c r="D2461" s="120" t="s">
        <v>2736</v>
      </c>
      <c r="E2461" s="892" t="s">
        <v>2737</v>
      </c>
      <c r="F2461" s="902" t="s">
        <v>52</v>
      </c>
      <c r="G2461" s="528"/>
      <c r="H2461" s="546" t="s">
        <v>37</v>
      </c>
      <c r="I2461" s="711">
        <v>0</v>
      </c>
      <c r="J2461" s="896" t="str">
        <f t="shared" ref="J2461" si="9891">IFERROR((I2462/I2461),"-")</f>
        <v>-</v>
      </c>
      <c r="K2461" s="528"/>
      <c r="L2461" s="546" t="s">
        <v>37</v>
      </c>
      <c r="M2461" s="711">
        <f t="shared" si="9882"/>
        <v>0</v>
      </c>
      <c r="N2461" s="896" t="str">
        <f t="shared" ref="N2461" si="9892">IFERROR((M2462/M2461),"-")</f>
        <v>-</v>
      </c>
      <c r="O2461" s="528"/>
      <c r="P2461" s="547">
        <v>0</v>
      </c>
      <c r="Q2461" s="547">
        <v>0</v>
      </c>
      <c r="R2461" s="547">
        <v>0</v>
      </c>
      <c r="S2461" s="547">
        <v>0</v>
      </c>
      <c r="T2461" s="547">
        <v>0</v>
      </c>
      <c r="U2461" s="547">
        <v>0</v>
      </c>
      <c r="V2461" s="548">
        <v>0</v>
      </c>
      <c r="W2461" s="528"/>
      <c r="X2461" s="711">
        <f t="shared" si="9875"/>
        <v>0</v>
      </c>
      <c r="Y2461" s="896" t="str">
        <f t="shared" ref="Y2461" si="9893">IFERROR((X2462/X2461),"-")</f>
        <v>-</v>
      </c>
      <c r="Z2461" s="528"/>
      <c r="AA2461" s="898">
        <v>0</v>
      </c>
      <c r="AB2461" s="898">
        <v>0</v>
      </c>
      <c r="AC2461" s="903">
        <v>0</v>
      </c>
      <c r="AD2461" s="896" t="str">
        <f t="shared" ref="AD2461" si="9894">IFERROR((AC2461/AA2461),"-")</f>
        <v>-</v>
      </c>
      <c r="AE2461" s="2"/>
      <c r="AF2461" s="884">
        <v>0</v>
      </c>
      <c r="AG2461" s="884"/>
      <c r="AH2461" s="884">
        <v>0</v>
      </c>
      <c r="AI2461" s="884"/>
      <c r="AJ2461" s="884"/>
      <c r="AK2461" s="884">
        <f t="shared" ref="AK2461" si="9895">AF2461+AG2461+AH2461+AI2461+AJ2461+AC2461</f>
        <v>0</v>
      </c>
      <c r="AL2461" s="884">
        <v>0</v>
      </c>
      <c r="AM2461" s="878" t="str">
        <f t="shared" ref="AM2461" si="9896">IFERROR((AK2461/AL2461),"-")</f>
        <v>-</v>
      </c>
      <c r="AN2461" s="2"/>
      <c r="AO2461" s="884">
        <v>2.7</v>
      </c>
      <c r="AP2461" s="884">
        <f t="shared" ref="AP2461" si="9897">AO2461-AK2461</f>
        <v>2.7</v>
      </c>
      <c r="AV2461" t="str">
        <f t="shared" si="9819"/>
        <v xml:space="preserve">   Seg. 2.3-C08-Plataforma- Instalação de DSH01 - Seg.2.3 C 08 </v>
      </c>
      <c r="AW2461" s="4" t="str">
        <f t="shared" si="9817"/>
        <v xml:space="preserve">   Seg. 2.3-A06-OAC -Descida DDA 05 L=2,70m</v>
      </c>
    </row>
    <row r="2462" spans="1:49" ht="15.6" customHeight="1" outlineLevel="2">
      <c r="A2462" s="8" t="str">
        <f t="shared" ref="A2462" si="9898">A2461</f>
        <v>N</v>
      </c>
      <c r="B2462" s="150"/>
      <c r="C2462" s="150"/>
      <c r="D2462" s="120" t="s">
        <v>2736</v>
      </c>
      <c r="E2462" s="893"/>
      <c r="F2462" s="902"/>
      <c r="G2462" s="528"/>
      <c r="H2462" s="549" t="s">
        <v>38</v>
      </c>
      <c r="I2462" s="711">
        <v>0</v>
      </c>
      <c r="J2462" s="897"/>
      <c r="K2462" s="528"/>
      <c r="L2462" s="549" t="s">
        <v>38</v>
      </c>
      <c r="M2462" s="711">
        <f t="shared" si="9882"/>
        <v>0</v>
      </c>
      <c r="N2462" s="897"/>
      <c r="O2462" s="528"/>
      <c r="P2462" s="548">
        <v>0</v>
      </c>
      <c r="Q2462" s="548">
        <v>0</v>
      </c>
      <c r="R2462" s="548">
        <v>0</v>
      </c>
      <c r="S2462" s="548">
        <v>0</v>
      </c>
      <c r="T2462" s="548">
        <v>0</v>
      </c>
      <c r="U2462" s="548">
        <v>0</v>
      </c>
      <c r="V2462" s="548">
        <v>0</v>
      </c>
      <c r="W2462" s="528"/>
      <c r="X2462" s="711">
        <f t="shared" si="9875"/>
        <v>0</v>
      </c>
      <c r="Y2462" s="897"/>
      <c r="Z2462" s="528"/>
      <c r="AA2462" s="899"/>
      <c r="AB2462" s="899"/>
      <c r="AC2462" s="904"/>
      <c r="AD2462" s="905"/>
      <c r="AE2462" s="2"/>
      <c r="AF2462" s="885"/>
      <c r="AG2462" s="885"/>
      <c r="AH2462" s="885"/>
      <c r="AI2462" s="885"/>
      <c r="AJ2462" s="885"/>
      <c r="AK2462" s="885"/>
      <c r="AL2462" s="885"/>
      <c r="AM2462" s="879"/>
      <c r="AN2462" s="2"/>
      <c r="AO2462" s="886"/>
      <c r="AP2462" s="886"/>
      <c r="AV2462" t="str">
        <f t="shared" si="9819"/>
        <v xml:space="preserve">   Seg. 2.3-C08-Plataforma- Instalação de DSH01 - Seg.2.3 C 08 </v>
      </c>
      <c r="AW2462" s="4" t="str">
        <f t="shared" si="9817"/>
        <v xml:space="preserve">   Seg. 2.3-A06-OAC -Descida DDA 05 L=2,70m</v>
      </c>
    </row>
    <row r="2463" spans="1:49" ht="15.6" customHeight="1" outlineLevel="2">
      <c r="A2463" s="8" t="str">
        <f t="shared" ref="A2463" si="9899">IF(SUM(P2463:V2464)&gt;0,"S","N")</f>
        <v>N</v>
      </c>
      <c r="B2463" s="150">
        <v>1066886</v>
      </c>
      <c r="C2463" s="150" t="s">
        <v>2738</v>
      </c>
      <c r="D2463" s="120" t="s">
        <v>321</v>
      </c>
      <c r="E2463" s="892" t="s">
        <v>2739</v>
      </c>
      <c r="F2463" s="902" t="s">
        <v>52</v>
      </c>
      <c r="G2463" s="528"/>
      <c r="H2463" s="546" t="s">
        <v>37</v>
      </c>
      <c r="I2463" s="711">
        <v>0</v>
      </c>
      <c r="J2463" s="896" t="str">
        <f t="shared" ref="J2463" si="9900">IFERROR((I2464/I2463),"-")</f>
        <v>-</v>
      </c>
      <c r="K2463" s="528"/>
      <c r="L2463" s="546" t="s">
        <v>37</v>
      </c>
      <c r="M2463" s="711">
        <f t="shared" si="9882"/>
        <v>0</v>
      </c>
      <c r="N2463" s="896" t="str">
        <f t="shared" ref="N2463" si="9901">IFERROR((M2464/M2463),"-")</f>
        <v>-</v>
      </c>
      <c r="O2463" s="528"/>
      <c r="P2463" s="547">
        <v>0</v>
      </c>
      <c r="Q2463" s="547">
        <v>0</v>
      </c>
      <c r="R2463" s="547">
        <v>0</v>
      </c>
      <c r="S2463" s="547">
        <v>0</v>
      </c>
      <c r="T2463" s="547">
        <v>0</v>
      </c>
      <c r="U2463" s="547">
        <v>0</v>
      </c>
      <c r="V2463" s="548">
        <v>0</v>
      </c>
      <c r="W2463" s="528"/>
      <c r="X2463" s="711">
        <f t="shared" si="9875"/>
        <v>0</v>
      </c>
      <c r="Y2463" s="896" t="str">
        <f t="shared" ref="Y2463" si="9902">IFERROR((X2464/X2463),"-")</f>
        <v>-</v>
      </c>
      <c r="Z2463" s="528"/>
      <c r="AA2463" s="898">
        <v>0</v>
      </c>
      <c r="AB2463" s="898">
        <v>0</v>
      </c>
      <c r="AC2463" s="903">
        <v>0</v>
      </c>
      <c r="AD2463" s="896" t="str">
        <f t="shared" ref="AD2463" si="9903">IFERROR((AC2463/AA2463),"-")</f>
        <v>-</v>
      </c>
      <c r="AE2463" s="2"/>
      <c r="AF2463" s="884">
        <v>0</v>
      </c>
      <c r="AG2463" s="884"/>
      <c r="AH2463" s="884">
        <v>0</v>
      </c>
      <c r="AI2463" s="884"/>
      <c r="AJ2463" s="884"/>
      <c r="AK2463" s="884">
        <f t="shared" ref="AK2463" si="9904">AF2463+AG2463+AH2463+AI2463+AJ2463+AC2463</f>
        <v>0</v>
      </c>
      <c r="AL2463" s="884">
        <v>0</v>
      </c>
      <c r="AM2463" s="878" t="str">
        <f t="shared" ref="AM2463" si="9905">IFERROR((AK2463/AL2463),"-")</f>
        <v>-</v>
      </c>
      <c r="AN2463" s="2"/>
      <c r="AO2463" s="884">
        <v>44.4</v>
      </c>
      <c r="AP2463" s="884">
        <f t="shared" ref="AP2463" si="9906">AO2463-AK2463</f>
        <v>44.4</v>
      </c>
      <c r="AV2463" t="str">
        <f t="shared" si="9819"/>
        <v xml:space="preserve">   Seg. 2.3-C08-Plataforma- Instalação de DSH01 - Seg.2.3 C 08 </v>
      </c>
      <c r="AW2463" s="4" t="str">
        <f t="shared" si="9817"/>
        <v xml:space="preserve">   Seg. 2.3-C04 - Drenagem Superficial - Descida d´água (Km 118+580 a 120+020)</v>
      </c>
    </row>
    <row r="2464" spans="1:49" ht="15.6" customHeight="1" outlineLevel="2">
      <c r="A2464" s="8" t="str">
        <f t="shared" ref="A2464" si="9907">A2463</f>
        <v>N</v>
      </c>
      <c r="B2464" s="150"/>
      <c r="C2464" s="150"/>
      <c r="D2464" s="120" t="s">
        <v>321</v>
      </c>
      <c r="E2464" s="893"/>
      <c r="F2464" s="902"/>
      <c r="G2464" s="528"/>
      <c r="H2464" s="549" t="s">
        <v>38</v>
      </c>
      <c r="I2464" s="711">
        <v>0</v>
      </c>
      <c r="J2464" s="897"/>
      <c r="K2464" s="528"/>
      <c r="L2464" s="549" t="s">
        <v>38</v>
      </c>
      <c r="M2464" s="711">
        <f t="shared" si="9882"/>
        <v>0</v>
      </c>
      <c r="N2464" s="897"/>
      <c r="O2464" s="528"/>
      <c r="P2464" s="548">
        <v>0</v>
      </c>
      <c r="Q2464" s="548">
        <v>0</v>
      </c>
      <c r="R2464" s="548">
        <v>0</v>
      </c>
      <c r="S2464" s="548">
        <v>0</v>
      </c>
      <c r="T2464" s="548">
        <v>0</v>
      </c>
      <c r="U2464" s="548">
        <v>0</v>
      </c>
      <c r="V2464" s="548">
        <v>0</v>
      </c>
      <c r="W2464" s="528"/>
      <c r="X2464" s="711">
        <f t="shared" si="9875"/>
        <v>0</v>
      </c>
      <c r="Y2464" s="897"/>
      <c r="Z2464" s="528"/>
      <c r="AA2464" s="899"/>
      <c r="AB2464" s="899"/>
      <c r="AC2464" s="904"/>
      <c r="AD2464" s="905"/>
      <c r="AE2464" s="2"/>
      <c r="AF2464" s="885"/>
      <c r="AG2464" s="885"/>
      <c r="AH2464" s="885"/>
      <c r="AI2464" s="885"/>
      <c r="AJ2464" s="885"/>
      <c r="AK2464" s="885"/>
      <c r="AL2464" s="885"/>
      <c r="AM2464" s="879"/>
      <c r="AN2464" s="2"/>
      <c r="AO2464" s="886"/>
      <c r="AP2464" s="886"/>
      <c r="AV2464" t="str">
        <f t="shared" si="9819"/>
        <v xml:space="preserve">   Seg. 2.3-C08-Plataforma- Instalação de DSH01 - Seg.2.3 C 08 </v>
      </c>
      <c r="AW2464" s="4" t="str">
        <f t="shared" si="9817"/>
        <v xml:space="preserve">   Seg. 2.3-C04 - Drenagem Superficial - Descida d´água (Km 118+580 a 120+020)</v>
      </c>
    </row>
    <row r="2465" spans="1:49" ht="15.6" customHeight="1" outlineLevel="2">
      <c r="A2465" s="8" t="str">
        <f t="shared" ref="A2465" si="9908">IF(SUM(P2465:V2466)&gt;0,"S","N")</f>
        <v>N</v>
      </c>
      <c r="B2465" s="150">
        <v>1066887</v>
      </c>
      <c r="C2465" s="150" t="s">
        <v>2740</v>
      </c>
      <c r="D2465" s="120" t="s">
        <v>324</v>
      </c>
      <c r="E2465" s="892" t="s">
        <v>2741</v>
      </c>
      <c r="F2465" s="902" t="s">
        <v>52</v>
      </c>
      <c r="G2465" s="528"/>
      <c r="H2465" s="546" t="s">
        <v>37</v>
      </c>
      <c r="I2465" s="711">
        <v>0</v>
      </c>
      <c r="J2465" s="896" t="str">
        <f t="shared" ref="J2465" si="9909">IFERROR((I2466/I2465),"-")</f>
        <v>-</v>
      </c>
      <c r="K2465" s="528"/>
      <c r="L2465" s="546" t="s">
        <v>37</v>
      </c>
      <c r="M2465" s="711">
        <f t="shared" si="9882"/>
        <v>0</v>
      </c>
      <c r="N2465" s="896" t="str">
        <f t="shared" ref="N2465" si="9910">IFERROR((M2466/M2465),"-")</f>
        <v>-</v>
      </c>
      <c r="O2465" s="528"/>
      <c r="P2465" s="547">
        <v>0</v>
      </c>
      <c r="Q2465" s="547">
        <v>0</v>
      </c>
      <c r="R2465" s="547">
        <v>0</v>
      </c>
      <c r="S2465" s="547">
        <v>0</v>
      </c>
      <c r="T2465" s="547">
        <v>0</v>
      </c>
      <c r="U2465" s="547">
        <v>0</v>
      </c>
      <c r="V2465" s="548">
        <v>0</v>
      </c>
      <c r="W2465" s="528"/>
      <c r="X2465" s="711">
        <f t="shared" si="9875"/>
        <v>0</v>
      </c>
      <c r="Y2465" s="896" t="str">
        <f t="shared" ref="Y2465" si="9911">IFERROR((X2466/X2465),"-")</f>
        <v>-</v>
      </c>
      <c r="Z2465" s="528"/>
      <c r="AA2465" s="898">
        <v>0</v>
      </c>
      <c r="AB2465" s="898">
        <v>0</v>
      </c>
      <c r="AC2465" s="903">
        <v>0</v>
      </c>
      <c r="AD2465" s="896" t="str">
        <f t="shared" ref="AD2465" si="9912">IFERROR((AC2465/AA2465),"-")</f>
        <v>-</v>
      </c>
      <c r="AE2465" s="2"/>
      <c r="AF2465" s="884">
        <v>0</v>
      </c>
      <c r="AG2465" s="884"/>
      <c r="AH2465" s="884">
        <v>0</v>
      </c>
      <c r="AI2465" s="884"/>
      <c r="AJ2465" s="884"/>
      <c r="AK2465" s="884">
        <f t="shared" ref="AK2465" si="9913">AF2465+AG2465+AH2465+AI2465+AJ2465+AC2465</f>
        <v>0</v>
      </c>
      <c r="AL2465" s="884">
        <v>0</v>
      </c>
      <c r="AM2465" s="878" t="str">
        <f t="shared" ref="AM2465" si="9914">IFERROR((AK2465/AL2465),"-")</f>
        <v>-</v>
      </c>
      <c r="AN2465" s="2"/>
      <c r="AO2465" s="884">
        <v>4</v>
      </c>
      <c r="AP2465" s="884">
        <f t="shared" ref="AP2465" si="9915">AO2465-AK2465</f>
        <v>4</v>
      </c>
      <c r="AV2465" t="str">
        <f t="shared" si="9819"/>
        <v xml:space="preserve">   Seg. 2.3-C08-Plataforma- Instalação de DSH01 - Seg.2.3 C 08 </v>
      </c>
      <c r="AW2465" s="4" t="str">
        <f t="shared" si="9817"/>
        <v xml:space="preserve">   Seg. 2.3-C05 - Drenagem Superficial - Descida d´água (Km 120+240 a 120+900)</v>
      </c>
    </row>
    <row r="2466" spans="1:49" ht="15.6" customHeight="1" outlineLevel="2">
      <c r="A2466" s="8" t="str">
        <f t="shared" ref="A2466" si="9916">A2465</f>
        <v>N</v>
      </c>
      <c r="B2466" s="150"/>
      <c r="C2466" s="150"/>
      <c r="D2466" s="120" t="s">
        <v>324</v>
      </c>
      <c r="E2466" s="893"/>
      <c r="F2466" s="902"/>
      <c r="G2466" s="528"/>
      <c r="H2466" s="549" t="s">
        <v>38</v>
      </c>
      <c r="I2466" s="711">
        <v>0</v>
      </c>
      <c r="J2466" s="897"/>
      <c r="K2466" s="528"/>
      <c r="L2466" s="549" t="s">
        <v>38</v>
      </c>
      <c r="M2466" s="711">
        <f t="shared" si="9882"/>
        <v>0</v>
      </c>
      <c r="N2466" s="897"/>
      <c r="O2466" s="528"/>
      <c r="P2466" s="548">
        <v>0</v>
      </c>
      <c r="Q2466" s="548">
        <v>0</v>
      </c>
      <c r="R2466" s="548">
        <v>0</v>
      </c>
      <c r="S2466" s="548">
        <v>0</v>
      </c>
      <c r="T2466" s="548">
        <v>0</v>
      </c>
      <c r="U2466" s="548">
        <v>0</v>
      </c>
      <c r="V2466" s="548">
        <v>0</v>
      </c>
      <c r="W2466" s="528"/>
      <c r="X2466" s="711">
        <f t="shared" si="9875"/>
        <v>0</v>
      </c>
      <c r="Y2466" s="897"/>
      <c r="Z2466" s="528"/>
      <c r="AA2466" s="899"/>
      <c r="AB2466" s="899"/>
      <c r="AC2466" s="904"/>
      <c r="AD2466" s="905"/>
      <c r="AE2466" s="2"/>
      <c r="AF2466" s="885"/>
      <c r="AG2466" s="885"/>
      <c r="AH2466" s="885"/>
      <c r="AI2466" s="885"/>
      <c r="AJ2466" s="885"/>
      <c r="AK2466" s="885"/>
      <c r="AL2466" s="885"/>
      <c r="AM2466" s="879"/>
      <c r="AN2466" s="2"/>
      <c r="AO2466" s="886"/>
      <c r="AP2466" s="886"/>
      <c r="AV2466" t="str">
        <f t="shared" si="9819"/>
        <v xml:space="preserve">   Seg. 2.3-C08-Plataforma- Instalação de DSH01 - Seg.2.3 C 08 </v>
      </c>
      <c r="AW2466" s="4" t="str">
        <f t="shared" si="9817"/>
        <v xml:space="preserve">   Seg. 2.3-C05 - Drenagem Superficial - Descida d´água (Km 120+240 a 120+900)</v>
      </c>
    </row>
    <row r="2467" spans="1:49" ht="11.1" customHeight="1" outlineLevel="2">
      <c r="A2467" s="8" t="str">
        <f t="shared" ref="A2467" si="9917">IF(SUM(P2467:V2468)&gt;0,"S","N")</f>
        <v>N</v>
      </c>
      <c r="B2467" s="150">
        <v>1066888</v>
      </c>
      <c r="C2467" s="150" t="s">
        <v>2742</v>
      </c>
      <c r="D2467" s="120" t="s">
        <v>330</v>
      </c>
      <c r="E2467" s="892" t="s">
        <v>2743</v>
      </c>
      <c r="F2467" s="902" t="s">
        <v>52</v>
      </c>
      <c r="G2467" s="528"/>
      <c r="H2467" s="546" t="s">
        <v>37</v>
      </c>
      <c r="I2467" s="711">
        <v>0</v>
      </c>
      <c r="J2467" s="896" t="str">
        <f t="shared" ref="J2467" si="9918">IFERROR((I2468/I2467),"-")</f>
        <v>-</v>
      </c>
      <c r="K2467" s="528"/>
      <c r="L2467" s="546" t="s">
        <v>37</v>
      </c>
      <c r="M2467" s="711">
        <f t="shared" si="9882"/>
        <v>0</v>
      </c>
      <c r="N2467" s="896" t="str">
        <f t="shared" ref="N2467" si="9919">IFERROR((M2468/M2467),"-")</f>
        <v>-</v>
      </c>
      <c r="O2467" s="528"/>
      <c r="P2467" s="547">
        <v>0</v>
      </c>
      <c r="Q2467" s="547">
        <v>0</v>
      </c>
      <c r="R2467" s="547">
        <v>0</v>
      </c>
      <c r="S2467" s="547">
        <v>0</v>
      </c>
      <c r="T2467" s="547">
        <v>0</v>
      </c>
      <c r="U2467" s="547">
        <v>0</v>
      </c>
      <c r="V2467" s="548">
        <v>0</v>
      </c>
      <c r="W2467" s="528"/>
      <c r="X2467" s="711">
        <f t="shared" si="9875"/>
        <v>0</v>
      </c>
      <c r="Y2467" s="896" t="str">
        <f t="shared" ref="Y2467" si="9920">IFERROR((X2468/X2467),"-")</f>
        <v>-</v>
      </c>
      <c r="Z2467" s="528"/>
      <c r="AA2467" s="898">
        <v>0</v>
      </c>
      <c r="AB2467" s="898">
        <v>0</v>
      </c>
      <c r="AC2467" s="903">
        <v>0</v>
      </c>
      <c r="AD2467" s="896" t="str">
        <f t="shared" ref="AD2467" si="9921">IFERROR((AC2467/AA2467),"-")</f>
        <v>-</v>
      </c>
      <c r="AE2467" s="2"/>
      <c r="AF2467" s="884">
        <v>0</v>
      </c>
      <c r="AG2467" s="884"/>
      <c r="AH2467" s="884">
        <v>0</v>
      </c>
      <c r="AI2467" s="884"/>
      <c r="AJ2467" s="884"/>
      <c r="AK2467" s="884">
        <f t="shared" ref="AK2467" si="9922">AF2467+AG2467+AH2467+AI2467+AJ2467+AC2467</f>
        <v>0</v>
      </c>
      <c r="AL2467" s="884">
        <v>0</v>
      </c>
      <c r="AM2467" s="878" t="str">
        <f t="shared" ref="AM2467" si="9923">IFERROR((AK2467/AL2467),"-")</f>
        <v>-</v>
      </c>
      <c r="AN2467" s="2"/>
      <c r="AO2467" s="884">
        <v>9</v>
      </c>
      <c r="AP2467" s="884">
        <f t="shared" ref="AP2467" si="9924">AO2467-AK2467</f>
        <v>9</v>
      </c>
      <c r="AV2467" t="str">
        <f t="shared" si="9819"/>
        <v xml:space="preserve">   Seg. 2.3-C08-Plataforma- Instalação de DSH01 - Seg.2.3 C 08 </v>
      </c>
      <c r="AW2467" s="4" t="str">
        <f t="shared" si="9817"/>
        <v xml:space="preserve">   Seg. 2.3-C07 - Drenagem Superficial - Descida d´água (Km 121+700 a 122+200)</v>
      </c>
    </row>
    <row r="2468" spans="1:49" ht="11.1" customHeight="1" outlineLevel="2">
      <c r="A2468" s="8" t="str">
        <f t="shared" ref="A2468" si="9925">A2467</f>
        <v>N</v>
      </c>
      <c r="B2468" s="150"/>
      <c r="C2468" s="150"/>
      <c r="D2468" s="120" t="s">
        <v>330</v>
      </c>
      <c r="E2468" s="893"/>
      <c r="F2468" s="902"/>
      <c r="G2468" s="528"/>
      <c r="H2468" s="549" t="s">
        <v>38</v>
      </c>
      <c r="I2468" s="711">
        <v>0</v>
      </c>
      <c r="J2468" s="897"/>
      <c r="K2468" s="528"/>
      <c r="L2468" s="549" t="s">
        <v>38</v>
      </c>
      <c r="M2468" s="711">
        <f t="shared" si="9882"/>
        <v>0</v>
      </c>
      <c r="N2468" s="897"/>
      <c r="O2468" s="528"/>
      <c r="P2468" s="548">
        <v>0</v>
      </c>
      <c r="Q2468" s="548">
        <v>0</v>
      </c>
      <c r="R2468" s="548">
        <v>0</v>
      </c>
      <c r="S2468" s="548">
        <v>0</v>
      </c>
      <c r="T2468" s="548">
        <v>0</v>
      </c>
      <c r="U2468" s="548">
        <v>0</v>
      </c>
      <c r="V2468" s="548">
        <v>0</v>
      </c>
      <c r="W2468" s="528"/>
      <c r="X2468" s="711">
        <f t="shared" si="9875"/>
        <v>0</v>
      </c>
      <c r="Y2468" s="897"/>
      <c r="Z2468" s="528"/>
      <c r="AA2468" s="899"/>
      <c r="AB2468" s="899"/>
      <c r="AC2468" s="904"/>
      <c r="AD2468" s="905"/>
      <c r="AE2468" s="2"/>
      <c r="AF2468" s="885"/>
      <c r="AG2468" s="885"/>
      <c r="AH2468" s="885"/>
      <c r="AI2468" s="885"/>
      <c r="AJ2468" s="885"/>
      <c r="AK2468" s="885"/>
      <c r="AL2468" s="885"/>
      <c r="AM2468" s="879"/>
      <c r="AN2468" s="2"/>
      <c r="AO2468" s="886"/>
      <c r="AP2468" s="886"/>
      <c r="AV2468" t="str">
        <f t="shared" si="9819"/>
        <v xml:space="preserve">   Seg. 2.3-C08-Plataforma- Instalação de DSH01 - Seg.2.3 C 08 </v>
      </c>
      <c r="AW2468" s="4" t="str">
        <f t="shared" si="9817"/>
        <v xml:space="preserve">   Seg. 2.3-C07 - Drenagem Superficial - Descida d´água (Km 121+700 a 122+200)</v>
      </c>
    </row>
    <row r="2469" spans="1:49" ht="15.6" customHeight="1" outlineLevel="2">
      <c r="A2469" s="8" t="str">
        <f t="shared" ref="A2469" si="9926">IF(SUM(P2469:V2470)&gt;0,"S","N")</f>
        <v>N</v>
      </c>
      <c r="B2469" s="150">
        <v>1066891</v>
      </c>
      <c r="C2469" s="150" t="s">
        <v>2744</v>
      </c>
      <c r="D2469" s="120" t="s">
        <v>333</v>
      </c>
      <c r="E2469" s="892" t="s">
        <v>2745</v>
      </c>
      <c r="F2469" s="902" t="s">
        <v>52</v>
      </c>
      <c r="G2469" s="528"/>
      <c r="H2469" s="546" t="s">
        <v>37</v>
      </c>
      <c r="I2469" s="711">
        <v>0</v>
      </c>
      <c r="J2469" s="896" t="str">
        <f t="shared" ref="J2469" si="9927">IFERROR((I2470/I2469),"-")</f>
        <v>-</v>
      </c>
      <c r="K2469" s="528"/>
      <c r="L2469" s="546" t="s">
        <v>37</v>
      </c>
      <c r="M2469" s="711">
        <f t="shared" si="9882"/>
        <v>0</v>
      </c>
      <c r="N2469" s="896" t="str">
        <f t="shared" ref="N2469" si="9928">IFERROR((M2470/M2469),"-")</f>
        <v>-</v>
      </c>
      <c r="O2469" s="528"/>
      <c r="P2469" s="547">
        <v>0</v>
      </c>
      <c r="Q2469" s="547">
        <v>0</v>
      </c>
      <c r="R2469" s="547">
        <v>0</v>
      </c>
      <c r="S2469" s="547">
        <v>0</v>
      </c>
      <c r="T2469" s="547">
        <v>0</v>
      </c>
      <c r="U2469" s="547">
        <v>0</v>
      </c>
      <c r="V2469" s="548">
        <v>0</v>
      </c>
      <c r="W2469" s="528"/>
      <c r="X2469" s="711">
        <f t="shared" si="9875"/>
        <v>0</v>
      </c>
      <c r="Y2469" s="896" t="str">
        <f t="shared" ref="Y2469" si="9929">IFERROR((X2470/X2469),"-")</f>
        <v>-</v>
      </c>
      <c r="Z2469" s="528"/>
      <c r="AA2469" s="898">
        <v>0</v>
      </c>
      <c r="AB2469" s="898">
        <v>0</v>
      </c>
      <c r="AC2469" s="903">
        <v>0</v>
      </c>
      <c r="AD2469" s="896" t="str">
        <f t="shared" ref="AD2469" si="9930">IFERROR((AC2469/AA2469),"-")</f>
        <v>-</v>
      </c>
      <c r="AE2469" s="2"/>
      <c r="AF2469" s="884">
        <v>0</v>
      </c>
      <c r="AG2469" s="884"/>
      <c r="AH2469" s="884">
        <v>0</v>
      </c>
      <c r="AI2469" s="884"/>
      <c r="AJ2469" s="884"/>
      <c r="AK2469" s="884">
        <f t="shared" ref="AK2469" si="9931">AF2469+AG2469+AH2469+AI2469+AJ2469+AC2469</f>
        <v>0</v>
      </c>
      <c r="AL2469" s="884">
        <v>0</v>
      </c>
      <c r="AM2469" s="878" t="str">
        <f t="shared" ref="AM2469" si="9932">IFERROR((AK2469/AL2469),"-")</f>
        <v>-</v>
      </c>
      <c r="AN2469" s="2"/>
      <c r="AO2469" s="884">
        <v>10.5</v>
      </c>
      <c r="AP2469" s="884">
        <f t="shared" ref="AP2469" si="9933">AO2469-AK2469</f>
        <v>10.5</v>
      </c>
      <c r="AV2469" t="str">
        <f t="shared" si="9819"/>
        <v xml:space="preserve">   Seg. 2.3-C08-Plataforma- Instalação de DSH01 - Seg.2.3 C 08 </v>
      </c>
      <c r="AW2469" s="4" t="str">
        <f t="shared" si="9817"/>
        <v xml:space="preserve">   Seg. 2.3-C10 - Drenagem Superficial - Descida d´água (Km 125+160 a 125+640)</v>
      </c>
    </row>
    <row r="2470" spans="1:49" ht="15.6" customHeight="1" outlineLevel="2">
      <c r="A2470" s="8" t="str">
        <f t="shared" ref="A2470" si="9934">A2469</f>
        <v>N</v>
      </c>
      <c r="B2470" s="150"/>
      <c r="C2470" s="150"/>
      <c r="D2470" s="120" t="s">
        <v>333</v>
      </c>
      <c r="E2470" s="893"/>
      <c r="F2470" s="902"/>
      <c r="G2470" s="528"/>
      <c r="H2470" s="549" t="s">
        <v>38</v>
      </c>
      <c r="I2470" s="711">
        <v>0</v>
      </c>
      <c r="J2470" s="897"/>
      <c r="K2470" s="528"/>
      <c r="L2470" s="549" t="s">
        <v>38</v>
      </c>
      <c r="M2470" s="711">
        <f t="shared" si="9882"/>
        <v>0</v>
      </c>
      <c r="N2470" s="897"/>
      <c r="O2470" s="528"/>
      <c r="P2470" s="548">
        <v>0</v>
      </c>
      <c r="Q2470" s="548">
        <v>0</v>
      </c>
      <c r="R2470" s="548">
        <v>0</v>
      </c>
      <c r="S2470" s="548">
        <v>0</v>
      </c>
      <c r="T2470" s="548">
        <v>0</v>
      </c>
      <c r="U2470" s="548">
        <v>0</v>
      </c>
      <c r="V2470" s="548">
        <v>0</v>
      </c>
      <c r="W2470" s="528"/>
      <c r="X2470" s="711">
        <f t="shared" si="9875"/>
        <v>0</v>
      </c>
      <c r="Y2470" s="897"/>
      <c r="Z2470" s="528"/>
      <c r="AA2470" s="899"/>
      <c r="AB2470" s="899"/>
      <c r="AC2470" s="904"/>
      <c r="AD2470" s="905"/>
      <c r="AE2470" s="2"/>
      <c r="AF2470" s="885"/>
      <c r="AG2470" s="885"/>
      <c r="AH2470" s="885"/>
      <c r="AI2470" s="885"/>
      <c r="AJ2470" s="885"/>
      <c r="AK2470" s="885"/>
      <c r="AL2470" s="885"/>
      <c r="AM2470" s="879"/>
      <c r="AN2470" s="2"/>
      <c r="AO2470" s="886"/>
      <c r="AP2470" s="886"/>
      <c r="AV2470" t="str">
        <f t="shared" si="9819"/>
        <v xml:space="preserve">   Seg. 2.3-C08-Plataforma- Instalação de DSH01 - Seg.2.3 C 08 </v>
      </c>
      <c r="AW2470" s="4" t="str">
        <f t="shared" si="9817"/>
        <v xml:space="preserve">   Seg. 2.3-C10 - Drenagem Superficial - Descida d´água (Km 125+160 a 125+640)</v>
      </c>
    </row>
    <row r="2471" spans="1:49" ht="15.6" customHeight="1" outlineLevel="2">
      <c r="A2471" s="8" t="str">
        <f t="shared" ref="A2471" si="9935">IF(SUM(P2471:V2472)&gt;0,"S","N")</f>
        <v>N</v>
      </c>
      <c r="B2471" s="150">
        <v>1066892</v>
      </c>
      <c r="C2471" s="150" t="s">
        <v>2746</v>
      </c>
      <c r="D2471" s="120" t="s">
        <v>1252</v>
      </c>
      <c r="E2471" s="892" t="s">
        <v>2747</v>
      </c>
      <c r="F2471" s="902" t="s">
        <v>52</v>
      </c>
      <c r="G2471" s="528"/>
      <c r="H2471" s="546" t="s">
        <v>37</v>
      </c>
      <c r="I2471" s="711">
        <v>0</v>
      </c>
      <c r="J2471" s="896" t="str">
        <f t="shared" ref="J2471" si="9936">IFERROR((I2472/I2471),"-")</f>
        <v>-</v>
      </c>
      <c r="K2471" s="528"/>
      <c r="L2471" s="546" t="s">
        <v>37</v>
      </c>
      <c r="M2471" s="711">
        <f t="shared" si="9882"/>
        <v>0</v>
      </c>
      <c r="N2471" s="896" t="str">
        <f t="shared" ref="N2471" si="9937">IFERROR((M2472/M2471),"-")</f>
        <v>-</v>
      </c>
      <c r="O2471" s="528"/>
      <c r="P2471" s="547">
        <v>0</v>
      </c>
      <c r="Q2471" s="547">
        <v>0</v>
      </c>
      <c r="R2471" s="547">
        <v>0</v>
      </c>
      <c r="S2471" s="547">
        <v>0</v>
      </c>
      <c r="T2471" s="547">
        <v>0</v>
      </c>
      <c r="U2471" s="547">
        <v>0</v>
      </c>
      <c r="V2471" s="548">
        <v>0</v>
      </c>
      <c r="W2471" s="528"/>
      <c r="X2471" s="711">
        <f t="shared" si="9875"/>
        <v>0</v>
      </c>
      <c r="Y2471" s="896" t="str">
        <f t="shared" ref="Y2471" si="9938">IFERROR((X2472/X2471),"-")</f>
        <v>-</v>
      </c>
      <c r="Z2471" s="528"/>
      <c r="AA2471" s="898">
        <v>0</v>
      </c>
      <c r="AB2471" s="898">
        <v>0</v>
      </c>
      <c r="AC2471" s="903">
        <v>0</v>
      </c>
      <c r="AD2471" s="896" t="str">
        <f t="shared" ref="AD2471" si="9939">IFERROR((AC2471/AA2471),"-")</f>
        <v>-</v>
      </c>
      <c r="AE2471" s="2"/>
      <c r="AF2471" s="884">
        <v>38.865000000000002</v>
      </c>
      <c r="AG2471" s="884"/>
      <c r="AH2471" s="884">
        <v>0</v>
      </c>
      <c r="AI2471" s="884"/>
      <c r="AJ2471" s="884"/>
      <c r="AK2471" s="884">
        <f t="shared" ref="AK2471" si="9940">AF2471+AG2471+AH2471+AI2471+AJ2471+AC2471</f>
        <v>38.865000000000002</v>
      </c>
      <c r="AL2471" s="884">
        <v>22</v>
      </c>
      <c r="AM2471" s="878">
        <f t="shared" ref="AM2471" si="9941">IFERROR((AK2471/AL2471),"-")</f>
        <v>1.7665909090909091</v>
      </c>
      <c r="AN2471" s="2"/>
      <c r="AO2471" s="884">
        <v>22</v>
      </c>
      <c r="AP2471" s="884">
        <f t="shared" ref="AP2471" si="9942">AO2471-AK2471</f>
        <v>-16.865000000000002</v>
      </c>
      <c r="AV2471" t="str">
        <f t="shared" si="9819"/>
        <v xml:space="preserve">   Seg. 2.3-C08-Plataforma- Instalação de DSH01 - Seg.2.3 C 08 </v>
      </c>
      <c r="AW2471" s="4" t="str">
        <f t="shared" si="9817"/>
        <v xml:space="preserve">   Seg. 2.3-A01 - Drenagem Superficial - Descida d´água (Km 116+540 a 116+680)</v>
      </c>
    </row>
    <row r="2472" spans="1:49" ht="15.6" customHeight="1" outlineLevel="2">
      <c r="A2472" s="8" t="str">
        <f t="shared" ref="A2472" si="9943">A2471</f>
        <v>N</v>
      </c>
      <c r="B2472" s="150"/>
      <c r="C2472" s="150"/>
      <c r="D2472" s="120" t="s">
        <v>1252</v>
      </c>
      <c r="E2472" s="893"/>
      <c r="F2472" s="902"/>
      <c r="G2472" s="528"/>
      <c r="H2472" s="549" t="s">
        <v>38</v>
      </c>
      <c r="I2472" s="711">
        <v>0</v>
      </c>
      <c r="J2472" s="897"/>
      <c r="K2472" s="528"/>
      <c r="L2472" s="549" t="s">
        <v>38</v>
      </c>
      <c r="M2472" s="711">
        <f t="shared" si="9882"/>
        <v>0</v>
      </c>
      <c r="N2472" s="897"/>
      <c r="O2472" s="528"/>
      <c r="P2472" s="548">
        <v>0</v>
      </c>
      <c r="Q2472" s="548">
        <v>0</v>
      </c>
      <c r="R2472" s="548">
        <v>0</v>
      </c>
      <c r="S2472" s="548">
        <v>0</v>
      </c>
      <c r="T2472" s="548">
        <v>0</v>
      </c>
      <c r="U2472" s="548">
        <v>0</v>
      </c>
      <c r="V2472" s="548">
        <v>0</v>
      </c>
      <c r="W2472" s="528"/>
      <c r="X2472" s="711">
        <f t="shared" si="9875"/>
        <v>0</v>
      </c>
      <c r="Y2472" s="897"/>
      <c r="Z2472" s="528"/>
      <c r="AA2472" s="899"/>
      <c r="AB2472" s="899"/>
      <c r="AC2472" s="904"/>
      <c r="AD2472" s="905"/>
      <c r="AE2472" s="2"/>
      <c r="AF2472" s="885"/>
      <c r="AG2472" s="885"/>
      <c r="AH2472" s="885"/>
      <c r="AI2472" s="885"/>
      <c r="AJ2472" s="885"/>
      <c r="AK2472" s="885"/>
      <c r="AL2472" s="885"/>
      <c r="AM2472" s="879"/>
      <c r="AN2472" s="2"/>
      <c r="AO2472" s="886"/>
      <c r="AP2472" s="886"/>
      <c r="AV2472" t="str">
        <f t="shared" si="9819"/>
        <v xml:space="preserve">   Seg. 2.3-C08-Plataforma- Instalação de DSH01 - Seg.2.3 C 08 </v>
      </c>
      <c r="AW2472" s="4" t="str">
        <f t="shared" si="9817"/>
        <v xml:space="preserve">   Seg. 2.3-A01 - Drenagem Superficial - Descida d´água (Km 116+540 a 116+680)</v>
      </c>
    </row>
    <row r="2473" spans="1:49" ht="15.6" customHeight="1" outlineLevel="2">
      <c r="A2473" s="8" t="str">
        <f t="shared" ref="A2473" si="9944">IF(SUM(P2473:V2474)&gt;0,"S","N")</f>
        <v>N</v>
      </c>
      <c r="B2473" s="150">
        <v>1066893</v>
      </c>
      <c r="C2473" s="150" t="s">
        <v>2748</v>
      </c>
      <c r="D2473" s="120" t="s">
        <v>1254</v>
      </c>
      <c r="E2473" s="892" t="s">
        <v>2749</v>
      </c>
      <c r="F2473" s="902" t="s">
        <v>52</v>
      </c>
      <c r="G2473" s="528"/>
      <c r="H2473" s="546" t="s">
        <v>37</v>
      </c>
      <c r="I2473" s="711">
        <v>0</v>
      </c>
      <c r="J2473" s="896" t="str">
        <f t="shared" ref="J2473" si="9945">IFERROR((I2474/I2473),"-")</f>
        <v>-</v>
      </c>
      <c r="K2473" s="528"/>
      <c r="L2473" s="546" t="s">
        <v>37</v>
      </c>
      <c r="M2473" s="711">
        <f t="shared" si="9882"/>
        <v>0</v>
      </c>
      <c r="N2473" s="896" t="str">
        <f t="shared" ref="N2473" si="9946">IFERROR((M2474/M2473),"-")</f>
        <v>-</v>
      </c>
      <c r="O2473" s="528"/>
      <c r="P2473" s="547">
        <v>0</v>
      </c>
      <c r="Q2473" s="547">
        <v>0</v>
      </c>
      <c r="R2473" s="547">
        <v>0</v>
      </c>
      <c r="S2473" s="547">
        <v>0</v>
      </c>
      <c r="T2473" s="547">
        <v>0</v>
      </c>
      <c r="U2473" s="547">
        <v>0</v>
      </c>
      <c r="V2473" s="548">
        <v>0</v>
      </c>
      <c r="W2473" s="528"/>
      <c r="X2473" s="711">
        <f t="shared" si="9875"/>
        <v>0</v>
      </c>
      <c r="Y2473" s="896" t="str">
        <f t="shared" ref="Y2473" si="9947">IFERROR((X2474/X2473),"-")</f>
        <v>-</v>
      </c>
      <c r="Z2473" s="528"/>
      <c r="AA2473" s="898">
        <v>0</v>
      </c>
      <c r="AB2473" s="898">
        <v>0</v>
      </c>
      <c r="AC2473" s="903">
        <v>0</v>
      </c>
      <c r="AD2473" s="896" t="str">
        <f t="shared" ref="AD2473" si="9948">IFERROR((AC2473/AA2473),"-")</f>
        <v>-</v>
      </c>
      <c r="AE2473" s="2"/>
      <c r="AF2473" s="884">
        <v>32.134</v>
      </c>
      <c r="AG2473" s="884">
        <v>9.0719999999999992</v>
      </c>
      <c r="AH2473" s="884">
        <v>0</v>
      </c>
      <c r="AI2473" s="884"/>
      <c r="AJ2473" s="884"/>
      <c r="AK2473" s="884">
        <f t="shared" ref="AK2473" si="9949">AF2473+AG2473+AH2473+AI2473+AJ2473+AC2473</f>
        <v>41.206000000000003</v>
      </c>
      <c r="AL2473" s="884">
        <v>12</v>
      </c>
      <c r="AM2473" s="878">
        <f t="shared" ref="AM2473" si="9950">IFERROR((AK2473/AL2473),"-")</f>
        <v>3.4338333333333337</v>
      </c>
      <c r="AN2473" s="2"/>
      <c r="AO2473" s="884">
        <v>12</v>
      </c>
      <c r="AP2473" s="884">
        <f t="shared" ref="AP2473" si="9951">AO2473-AK2473</f>
        <v>-29.206000000000003</v>
      </c>
      <c r="AV2473" t="str">
        <f t="shared" si="9819"/>
        <v xml:space="preserve">   Seg. 2.3-C08-Plataforma- Instalação de DSH01 - Seg.2.3 C 08 </v>
      </c>
      <c r="AW2473" s="4" t="str">
        <f t="shared" si="9817"/>
        <v xml:space="preserve">   Seg. 2.3-A02 - Drenagem Superficial - Descida d´água (Km 116+940 a 118+020)</v>
      </c>
    </row>
    <row r="2474" spans="1:49" ht="15.6" customHeight="1" outlineLevel="2">
      <c r="A2474" s="8" t="str">
        <f t="shared" ref="A2474" si="9952">A2473</f>
        <v>N</v>
      </c>
      <c r="B2474" s="150"/>
      <c r="C2474" s="150"/>
      <c r="D2474" s="120" t="s">
        <v>1254</v>
      </c>
      <c r="E2474" s="893"/>
      <c r="F2474" s="902"/>
      <c r="G2474" s="528"/>
      <c r="H2474" s="549" t="s">
        <v>38</v>
      </c>
      <c r="I2474" s="711">
        <v>0</v>
      </c>
      <c r="J2474" s="897"/>
      <c r="K2474" s="528"/>
      <c r="L2474" s="549" t="s">
        <v>38</v>
      </c>
      <c r="M2474" s="711">
        <f t="shared" si="9882"/>
        <v>0</v>
      </c>
      <c r="N2474" s="897"/>
      <c r="O2474" s="528"/>
      <c r="P2474" s="548">
        <v>0</v>
      </c>
      <c r="Q2474" s="548">
        <v>0</v>
      </c>
      <c r="R2474" s="548">
        <v>0</v>
      </c>
      <c r="S2474" s="548">
        <v>0</v>
      </c>
      <c r="T2474" s="548">
        <v>0</v>
      </c>
      <c r="U2474" s="548">
        <v>0</v>
      </c>
      <c r="V2474" s="548">
        <v>0</v>
      </c>
      <c r="W2474" s="528"/>
      <c r="X2474" s="711">
        <f t="shared" si="9875"/>
        <v>0</v>
      </c>
      <c r="Y2474" s="897"/>
      <c r="Z2474" s="528"/>
      <c r="AA2474" s="899"/>
      <c r="AB2474" s="899"/>
      <c r="AC2474" s="904"/>
      <c r="AD2474" s="905"/>
      <c r="AE2474" s="2"/>
      <c r="AF2474" s="885"/>
      <c r="AG2474" s="885"/>
      <c r="AH2474" s="885"/>
      <c r="AI2474" s="885"/>
      <c r="AJ2474" s="885"/>
      <c r="AK2474" s="885"/>
      <c r="AL2474" s="885"/>
      <c r="AM2474" s="879"/>
      <c r="AN2474" s="2"/>
      <c r="AO2474" s="886"/>
      <c r="AP2474" s="886"/>
      <c r="AV2474" t="str">
        <f t="shared" si="9819"/>
        <v xml:space="preserve">   Seg. 2.3-C08-Plataforma- Instalação de DSH01 - Seg.2.3 C 08 </v>
      </c>
      <c r="AW2474" s="4" t="str">
        <f t="shared" si="9817"/>
        <v xml:space="preserve">   Seg. 2.3-A02 - Drenagem Superficial - Descida d´água (Km 116+940 a 118+020)</v>
      </c>
    </row>
    <row r="2475" spans="1:49" ht="15.6" customHeight="1" outlineLevel="2">
      <c r="A2475" s="8" t="str">
        <f t="shared" ref="A2475" si="9953">IF(SUM(P2475:V2476)&gt;0,"S","N")</f>
        <v>N</v>
      </c>
      <c r="B2475" s="150">
        <v>1066894</v>
      </c>
      <c r="C2475" s="150" t="s">
        <v>2750</v>
      </c>
      <c r="D2475" s="120" t="s">
        <v>1256</v>
      </c>
      <c r="E2475" s="892" t="s">
        <v>2751</v>
      </c>
      <c r="F2475" s="902" t="s">
        <v>52</v>
      </c>
      <c r="G2475" s="528"/>
      <c r="H2475" s="546" t="s">
        <v>37</v>
      </c>
      <c r="I2475" s="711">
        <v>0</v>
      </c>
      <c r="J2475" s="896" t="str">
        <f t="shared" ref="J2475" si="9954">IFERROR((I2476/I2475),"-")</f>
        <v>-</v>
      </c>
      <c r="K2475" s="528"/>
      <c r="L2475" s="546" t="s">
        <v>37</v>
      </c>
      <c r="M2475" s="711">
        <f t="shared" si="9882"/>
        <v>0</v>
      </c>
      <c r="N2475" s="896" t="str">
        <f t="shared" ref="N2475" si="9955">IFERROR((M2476/M2475),"-")</f>
        <v>-</v>
      </c>
      <c r="O2475" s="528"/>
      <c r="P2475" s="547">
        <v>0</v>
      </c>
      <c r="Q2475" s="547">
        <v>0</v>
      </c>
      <c r="R2475" s="547">
        <v>0</v>
      </c>
      <c r="S2475" s="547">
        <v>0</v>
      </c>
      <c r="T2475" s="547">
        <v>0</v>
      </c>
      <c r="U2475" s="547">
        <v>0</v>
      </c>
      <c r="V2475" s="548">
        <v>0</v>
      </c>
      <c r="W2475" s="528"/>
      <c r="X2475" s="711">
        <f t="shared" si="9875"/>
        <v>0</v>
      </c>
      <c r="Y2475" s="896" t="str">
        <f t="shared" ref="Y2475" si="9956">IFERROR((X2476/X2475),"-")</f>
        <v>-</v>
      </c>
      <c r="Z2475" s="528"/>
      <c r="AA2475" s="898">
        <v>0</v>
      </c>
      <c r="AB2475" s="898">
        <v>0</v>
      </c>
      <c r="AC2475" s="903">
        <v>0</v>
      </c>
      <c r="AD2475" s="896" t="str">
        <f t="shared" ref="AD2475" si="9957">IFERROR((AC2475/AA2475),"-")</f>
        <v>-</v>
      </c>
      <c r="AE2475" s="2"/>
      <c r="AF2475" s="884">
        <v>0</v>
      </c>
      <c r="AG2475" s="884"/>
      <c r="AH2475" s="884">
        <v>0</v>
      </c>
      <c r="AI2475" s="884"/>
      <c r="AJ2475" s="884"/>
      <c r="AK2475" s="884">
        <f t="shared" ref="AK2475" si="9958">AF2475+AG2475+AH2475+AI2475+AJ2475+AC2475</f>
        <v>0</v>
      </c>
      <c r="AL2475" s="884">
        <v>0</v>
      </c>
      <c r="AM2475" s="878" t="str">
        <f t="shared" ref="AM2475" si="9959">IFERROR((AK2475/AL2475),"-")</f>
        <v>-</v>
      </c>
      <c r="AN2475" s="2"/>
      <c r="AO2475" s="884">
        <v>8</v>
      </c>
      <c r="AP2475" s="884">
        <f t="shared" ref="AP2475" si="9960">AO2475-AK2475</f>
        <v>8</v>
      </c>
      <c r="AV2475" t="str">
        <f t="shared" si="9819"/>
        <v xml:space="preserve">   Seg. 2.3-C08-Plataforma- Instalação de DSH01 - Seg.2.3 C 08 </v>
      </c>
      <c r="AW2475" s="4" t="str">
        <f t="shared" si="9817"/>
        <v xml:space="preserve">   Seg. 2.3-A03 - Drenagem Superficial - Descida d´água (Km 118+180 a 118+280)</v>
      </c>
    </row>
    <row r="2476" spans="1:49" ht="15.6" customHeight="1" outlineLevel="2">
      <c r="A2476" s="8" t="str">
        <f t="shared" ref="A2476" si="9961">A2475</f>
        <v>N</v>
      </c>
      <c r="B2476" s="150"/>
      <c r="C2476" s="150"/>
      <c r="D2476" s="120" t="s">
        <v>1256</v>
      </c>
      <c r="E2476" s="893"/>
      <c r="F2476" s="902"/>
      <c r="G2476" s="528"/>
      <c r="H2476" s="549" t="s">
        <v>38</v>
      </c>
      <c r="I2476" s="711">
        <v>0</v>
      </c>
      <c r="J2476" s="897"/>
      <c r="K2476" s="528"/>
      <c r="L2476" s="549" t="s">
        <v>38</v>
      </c>
      <c r="M2476" s="711">
        <f t="shared" si="9882"/>
        <v>0</v>
      </c>
      <c r="N2476" s="897"/>
      <c r="O2476" s="528"/>
      <c r="P2476" s="548">
        <v>0</v>
      </c>
      <c r="Q2476" s="548">
        <v>0</v>
      </c>
      <c r="R2476" s="548">
        <v>0</v>
      </c>
      <c r="S2476" s="548">
        <v>0</v>
      </c>
      <c r="T2476" s="548">
        <v>0</v>
      </c>
      <c r="U2476" s="548">
        <v>0</v>
      </c>
      <c r="V2476" s="548">
        <v>0</v>
      </c>
      <c r="W2476" s="528"/>
      <c r="X2476" s="711">
        <f t="shared" si="9875"/>
        <v>0</v>
      </c>
      <c r="Y2476" s="897"/>
      <c r="Z2476" s="528"/>
      <c r="AA2476" s="899"/>
      <c r="AB2476" s="899"/>
      <c r="AC2476" s="904"/>
      <c r="AD2476" s="905"/>
      <c r="AE2476" s="2"/>
      <c r="AF2476" s="885"/>
      <c r="AG2476" s="885"/>
      <c r="AH2476" s="885"/>
      <c r="AI2476" s="885"/>
      <c r="AJ2476" s="885"/>
      <c r="AK2476" s="885"/>
      <c r="AL2476" s="885"/>
      <c r="AM2476" s="879"/>
      <c r="AN2476" s="2"/>
      <c r="AO2476" s="886"/>
      <c r="AP2476" s="886"/>
      <c r="AV2476" t="str">
        <f t="shared" si="9819"/>
        <v xml:space="preserve">   Seg. 2.3-C08-Plataforma- Instalação de DSH01 - Seg.2.3 C 08 </v>
      </c>
      <c r="AW2476" s="4" t="str">
        <f t="shared" si="9817"/>
        <v xml:space="preserve">   Seg. 2.3-A03 - Drenagem Superficial - Descida d´água (Km 118+180 a 118+280)</v>
      </c>
    </row>
    <row r="2477" spans="1:49" ht="15.6" customHeight="1" outlineLevel="2">
      <c r="A2477" s="8" t="str">
        <f t="shared" ref="A2477" si="9962">IF(SUM(P2477:V2478)&gt;0,"S","N")</f>
        <v>N</v>
      </c>
      <c r="B2477" s="150">
        <v>1066895</v>
      </c>
      <c r="C2477" s="150" t="s">
        <v>2752</v>
      </c>
      <c r="D2477" s="120" t="s">
        <v>1258</v>
      </c>
      <c r="E2477" s="892" t="s">
        <v>2753</v>
      </c>
      <c r="F2477" s="902" t="s">
        <v>52</v>
      </c>
      <c r="G2477" s="528"/>
      <c r="H2477" s="546" t="s">
        <v>37</v>
      </c>
      <c r="I2477" s="711">
        <v>0</v>
      </c>
      <c r="J2477" s="896" t="str">
        <f t="shared" ref="J2477" si="9963">IFERROR((I2478/I2477),"-")</f>
        <v>-</v>
      </c>
      <c r="K2477" s="528"/>
      <c r="L2477" s="546" t="s">
        <v>37</v>
      </c>
      <c r="M2477" s="711">
        <f t="shared" si="9882"/>
        <v>0</v>
      </c>
      <c r="N2477" s="896" t="str">
        <f t="shared" ref="N2477" si="9964">IFERROR((M2478/M2477),"-")</f>
        <v>-</v>
      </c>
      <c r="O2477" s="528"/>
      <c r="P2477" s="547">
        <v>0</v>
      </c>
      <c r="Q2477" s="547">
        <v>0</v>
      </c>
      <c r="R2477" s="547">
        <v>0</v>
      </c>
      <c r="S2477" s="547">
        <v>0</v>
      </c>
      <c r="T2477" s="547">
        <v>0</v>
      </c>
      <c r="U2477" s="547">
        <v>0</v>
      </c>
      <c r="V2477" s="548">
        <v>0</v>
      </c>
      <c r="W2477" s="528"/>
      <c r="X2477" s="711">
        <f t="shared" si="9875"/>
        <v>0</v>
      </c>
      <c r="Y2477" s="896" t="str">
        <f t="shared" ref="Y2477" si="9965">IFERROR((X2478/X2477),"-")</f>
        <v>-</v>
      </c>
      <c r="Z2477" s="528"/>
      <c r="AA2477" s="898">
        <v>0</v>
      </c>
      <c r="AB2477" s="898">
        <v>0</v>
      </c>
      <c r="AC2477" s="903">
        <v>0</v>
      </c>
      <c r="AD2477" s="896" t="str">
        <f t="shared" ref="AD2477" si="9966">IFERROR((AC2477/AA2477),"-")</f>
        <v>-</v>
      </c>
      <c r="AE2477" s="2"/>
      <c r="AF2477" s="884">
        <v>0</v>
      </c>
      <c r="AG2477" s="884"/>
      <c r="AH2477" s="884">
        <v>0</v>
      </c>
      <c r="AI2477" s="884"/>
      <c r="AJ2477" s="884"/>
      <c r="AK2477" s="884">
        <f t="shared" ref="AK2477" si="9967">AF2477+AG2477+AH2477+AI2477+AJ2477+AC2477</f>
        <v>0</v>
      </c>
      <c r="AL2477" s="884">
        <v>0</v>
      </c>
      <c r="AM2477" s="878" t="str">
        <f t="shared" ref="AM2477" si="9968">IFERROR((AK2477/AL2477),"-")</f>
        <v>-</v>
      </c>
      <c r="AN2477" s="2"/>
      <c r="AO2477" s="884">
        <v>4</v>
      </c>
      <c r="AP2477" s="884">
        <f t="shared" ref="AP2477" si="9969">AO2477-AK2477</f>
        <v>4</v>
      </c>
      <c r="AV2477" t="str">
        <f t="shared" si="9819"/>
        <v xml:space="preserve">   Seg. 2.3-C08-Plataforma- Instalação de DSH01 - Seg.2.3 C 08 </v>
      </c>
      <c r="AW2477" s="4" t="str">
        <f t="shared" si="9817"/>
        <v xml:space="preserve">   Seg. 2.3-A04 - Drenagem Superficial - Descida D´água (Km 118+500 a 118+580)</v>
      </c>
    </row>
    <row r="2478" spans="1:49" ht="15.6" customHeight="1" outlineLevel="2">
      <c r="A2478" s="8" t="str">
        <f t="shared" ref="A2478" si="9970">A2477</f>
        <v>N</v>
      </c>
      <c r="B2478" s="150"/>
      <c r="C2478" s="150"/>
      <c r="D2478" s="120" t="s">
        <v>1258</v>
      </c>
      <c r="E2478" s="893"/>
      <c r="F2478" s="902"/>
      <c r="G2478" s="528"/>
      <c r="H2478" s="549" t="s">
        <v>38</v>
      </c>
      <c r="I2478" s="711">
        <v>0</v>
      </c>
      <c r="J2478" s="897"/>
      <c r="K2478" s="528"/>
      <c r="L2478" s="549" t="s">
        <v>38</v>
      </c>
      <c r="M2478" s="711">
        <f t="shared" si="9882"/>
        <v>0</v>
      </c>
      <c r="N2478" s="897"/>
      <c r="O2478" s="528"/>
      <c r="P2478" s="548">
        <v>0</v>
      </c>
      <c r="Q2478" s="548">
        <v>0</v>
      </c>
      <c r="R2478" s="548">
        <v>0</v>
      </c>
      <c r="S2478" s="548">
        <v>0</v>
      </c>
      <c r="T2478" s="548">
        <v>0</v>
      </c>
      <c r="U2478" s="548">
        <v>0</v>
      </c>
      <c r="V2478" s="548">
        <v>0</v>
      </c>
      <c r="W2478" s="528"/>
      <c r="X2478" s="711">
        <f t="shared" si="9875"/>
        <v>0</v>
      </c>
      <c r="Y2478" s="897"/>
      <c r="Z2478" s="528"/>
      <c r="AA2478" s="899"/>
      <c r="AB2478" s="899"/>
      <c r="AC2478" s="904"/>
      <c r="AD2478" s="905"/>
      <c r="AE2478" s="2"/>
      <c r="AF2478" s="885"/>
      <c r="AG2478" s="885"/>
      <c r="AH2478" s="885"/>
      <c r="AI2478" s="885"/>
      <c r="AJ2478" s="885"/>
      <c r="AK2478" s="885"/>
      <c r="AL2478" s="885"/>
      <c r="AM2478" s="879"/>
      <c r="AN2478" s="2"/>
      <c r="AO2478" s="886"/>
      <c r="AP2478" s="886"/>
      <c r="AV2478" t="str">
        <f t="shared" si="9819"/>
        <v xml:space="preserve">   Seg. 2.3-C08-Plataforma- Instalação de DSH01 - Seg.2.3 C 08 </v>
      </c>
      <c r="AW2478" s="4" t="str">
        <f t="shared" si="9817"/>
        <v xml:space="preserve">   Seg. 2.3-A04 - Drenagem Superficial - Descida D´água (Km 118+500 a 118+580)</v>
      </c>
    </row>
    <row r="2479" spans="1:49" ht="15.6" customHeight="1" outlineLevel="2">
      <c r="A2479" s="8" t="str">
        <f t="shared" ref="A2479" si="9971">IF(SUM(P2479:V2480)&gt;0,"S","N")</f>
        <v>N</v>
      </c>
      <c r="B2479" s="150">
        <v>1066896</v>
      </c>
      <c r="C2479" s="150" t="s">
        <v>2754</v>
      </c>
      <c r="D2479" s="120" t="s">
        <v>1260</v>
      </c>
      <c r="E2479" s="892" t="s">
        <v>2755</v>
      </c>
      <c r="F2479" s="902" t="s">
        <v>52</v>
      </c>
      <c r="G2479" s="528"/>
      <c r="H2479" s="546" t="s">
        <v>37</v>
      </c>
      <c r="I2479" s="711">
        <v>0</v>
      </c>
      <c r="J2479" s="896" t="str">
        <f t="shared" ref="J2479" si="9972">IFERROR((I2480/I2479),"-")</f>
        <v>-</v>
      </c>
      <c r="K2479" s="528"/>
      <c r="L2479" s="546" t="s">
        <v>37</v>
      </c>
      <c r="M2479" s="711">
        <f t="shared" si="9882"/>
        <v>0</v>
      </c>
      <c r="N2479" s="896" t="str">
        <f t="shared" ref="N2479" si="9973">IFERROR((M2480/M2479),"-")</f>
        <v>-</v>
      </c>
      <c r="O2479" s="528"/>
      <c r="P2479" s="547">
        <v>0</v>
      </c>
      <c r="Q2479" s="547">
        <v>0</v>
      </c>
      <c r="R2479" s="547">
        <v>0</v>
      </c>
      <c r="S2479" s="547">
        <v>0</v>
      </c>
      <c r="T2479" s="547">
        <v>0</v>
      </c>
      <c r="U2479" s="547">
        <v>0</v>
      </c>
      <c r="V2479" s="548">
        <v>0</v>
      </c>
      <c r="W2479" s="528"/>
      <c r="X2479" s="711">
        <f t="shared" si="9875"/>
        <v>0</v>
      </c>
      <c r="Y2479" s="896" t="str">
        <f t="shared" ref="Y2479" si="9974">IFERROR((X2480/X2479),"-")</f>
        <v>-</v>
      </c>
      <c r="Z2479" s="528"/>
      <c r="AA2479" s="898">
        <v>0</v>
      </c>
      <c r="AB2479" s="898">
        <v>0</v>
      </c>
      <c r="AC2479" s="903">
        <v>0</v>
      </c>
      <c r="AD2479" s="896" t="str">
        <f t="shared" ref="AD2479" si="9975">IFERROR((AC2479/AA2479),"-")</f>
        <v>-</v>
      </c>
      <c r="AE2479" s="2"/>
      <c r="AF2479" s="884">
        <v>0</v>
      </c>
      <c r="AG2479" s="884"/>
      <c r="AH2479" s="884">
        <v>0</v>
      </c>
      <c r="AI2479" s="884"/>
      <c r="AJ2479" s="884"/>
      <c r="AK2479" s="884">
        <f t="shared" ref="AK2479" si="9976">AF2479+AG2479+AH2479+AI2479+AJ2479+AC2479</f>
        <v>0</v>
      </c>
      <c r="AL2479" s="884">
        <v>0</v>
      </c>
      <c r="AM2479" s="878" t="str">
        <f t="shared" ref="AM2479" si="9977">IFERROR((AK2479/AL2479),"-")</f>
        <v>-</v>
      </c>
      <c r="AN2479" s="2"/>
      <c r="AO2479" s="884">
        <v>6</v>
      </c>
      <c r="AP2479" s="884">
        <f t="shared" ref="AP2479" si="9978">AO2479-AK2479</f>
        <v>6</v>
      </c>
      <c r="AV2479" t="str">
        <f t="shared" si="9819"/>
        <v xml:space="preserve">   Seg. 2.3-C08-Plataforma- Instalação de DSH01 - Seg.2.3 C 08 </v>
      </c>
      <c r="AW2479" s="4" t="str">
        <f t="shared" si="9817"/>
        <v xml:space="preserve">   Seg. 2.3-A05 - Drenagem Superficial - Descida D´água (Km 120+040 a 120+320)</v>
      </c>
    </row>
    <row r="2480" spans="1:49" ht="15.6" customHeight="1" outlineLevel="2">
      <c r="A2480" s="8" t="str">
        <f t="shared" ref="A2480" si="9979">A2479</f>
        <v>N</v>
      </c>
      <c r="B2480" s="150"/>
      <c r="C2480" s="150"/>
      <c r="D2480" s="120" t="s">
        <v>1260</v>
      </c>
      <c r="E2480" s="893"/>
      <c r="F2480" s="902"/>
      <c r="G2480" s="528"/>
      <c r="H2480" s="549" t="s">
        <v>38</v>
      </c>
      <c r="I2480" s="711">
        <v>0</v>
      </c>
      <c r="J2480" s="897"/>
      <c r="K2480" s="528"/>
      <c r="L2480" s="549" t="s">
        <v>38</v>
      </c>
      <c r="M2480" s="711">
        <f t="shared" si="9882"/>
        <v>0</v>
      </c>
      <c r="N2480" s="897"/>
      <c r="O2480" s="528"/>
      <c r="P2480" s="548">
        <v>0</v>
      </c>
      <c r="Q2480" s="548">
        <v>0</v>
      </c>
      <c r="R2480" s="548">
        <v>0</v>
      </c>
      <c r="S2480" s="548">
        <v>0</v>
      </c>
      <c r="T2480" s="548">
        <v>0</v>
      </c>
      <c r="U2480" s="548">
        <v>0</v>
      </c>
      <c r="V2480" s="548">
        <v>0</v>
      </c>
      <c r="W2480" s="528"/>
      <c r="X2480" s="711">
        <f t="shared" si="9875"/>
        <v>0</v>
      </c>
      <c r="Y2480" s="897"/>
      <c r="Z2480" s="528"/>
      <c r="AA2480" s="899"/>
      <c r="AB2480" s="899"/>
      <c r="AC2480" s="904"/>
      <c r="AD2480" s="905"/>
      <c r="AE2480" s="2"/>
      <c r="AF2480" s="885"/>
      <c r="AG2480" s="885"/>
      <c r="AH2480" s="885"/>
      <c r="AI2480" s="885"/>
      <c r="AJ2480" s="885"/>
      <c r="AK2480" s="885"/>
      <c r="AL2480" s="885"/>
      <c r="AM2480" s="879"/>
      <c r="AN2480" s="2"/>
      <c r="AO2480" s="886"/>
      <c r="AP2480" s="886"/>
      <c r="AV2480" t="str">
        <f t="shared" si="9819"/>
        <v xml:space="preserve">   Seg. 2.3-C08-Plataforma- Instalação de DSH01 - Seg.2.3 C 08 </v>
      </c>
      <c r="AW2480" s="4" t="str">
        <f t="shared" si="9817"/>
        <v xml:space="preserve">   Seg. 2.3-A05 - Drenagem Superficial - Descida D´água (Km 120+040 a 120+320)</v>
      </c>
    </row>
    <row r="2481" spans="1:49" ht="15.6" customHeight="1" outlineLevel="2" collapsed="1">
      <c r="A2481" s="8" t="str">
        <f t="shared" ref="A2481" si="9980">IF(SUM(P2481:V2482)&gt;0,"S","N")</f>
        <v>N</v>
      </c>
      <c r="B2481" s="150">
        <v>1066897</v>
      </c>
      <c r="C2481" s="150" t="s">
        <v>2756</v>
      </c>
      <c r="D2481" s="120" t="s">
        <v>1262</v>
      </c>
      <c r="E2481" s="892" t="s">
        <v>2757</v>
      </c>
      <c r="F2481" s="902" t="s">
        <v>52</v>
      </c>
      <c r="G2481" s="528"/>
      <c r="H2481" s="546" t="s">
        <v>37</v>
      </c>
      <c r="I2481" s="711">
        <v>0</v>
      </c>
      <c r="J2481" s="896" t="str">
        <f t="shared" ref="J2481" si="9981">IFERROR((I2482/I2481),"-")</f>
        <v>-</v>
      </c>
      <c r="K2481" s="528"/>
      <c r="L2481" s="546" t="s">
        <v>37</v>
      </c>
      <c r="M2481" s="711">
        <f t="shared" si="9882"/>
        <v>0</v>
      </c>
      <c r="N2481" s="896" t="str">
        <f t="shared" ref="N2481" si="9982">IFERROR((M2482/M2481),"-")</f>
        <v>-</v>
      </c>
      <c r="O2481" s="528"/>
      <c r="P2481" s="547">
        <v>0</v>
      </c>
      <c r="Q2481" s="547">
        <v>0</v>
      </c>
      <c r="R2481" s="547">
        <v>0</v>
      </c>
      <c r="S2481" s="547">
        <v>0</v>
      </c>
      <c r="T2481" s="547">
        <v>0</v>
      </c>
      <c r="U2481" s="547">
        <v>0</v>
      </c>
      <c r="V2481" s="548">
        <v>0</v>
      </c>
      <c r="W2481" s="528"/>
      <c r="X2481" s="711">
        <f t="shared" si="9875"/>
        <v>0</v>
      </c>
      <c r="Y2481" s="896" t="str">
        <f t="shared" ref="Y2481" si="9983">IFERROR((X2482/X2481),"-")</f>
        <v>-</v>
      </c>
      <c r="Z2481" s="528"/>
      <c r="AA2481" s="898">
        <v>0</v>
      </c>
      <c r="AB2481" s="898">
        <v>0</v>
      </c>
      <c r="AC2481" s="903">
        <v>0</v>
      </c>
      <c r="AD2481" s="896" t="str">
        <f t="shared" ref="AD2481" si="9984">IFERROR((AC2481/AA2481),"-")</f>
        <v>-</v>
      </c>
      <c r="AE2481" s="2"/>
      <c r="AF2481" s="884">
        <v>0</v>
      </c>
      <c r="AG2481" s="884"/>
      <c r="AH2481" s="884">
        <v>0</v>
      </c>
      <c r="AI2481" s="884"/>
      <c r="AJ2481" s="884"/>
      <c r="AK2481" s="884">
        <f t="shared" ref="AK2481" si="9985">AF2481+AG2481+AH2481+AI2481+AJ2481+AC2481</f>
        <v>0</v>
      </c>
      <c r="AL2481" s="884">
        <v>0</v>
      </c>
      <c r="AM2481" s="878" t="str">
        <f t="shared" ref="AM2481" si="9986">IFERROR((AK2481/AL2481),"-")</f>
        <v>-</v>
      </c>
      <c r="AN2481" s="2"/>
      <c r="AO2481" s="884">
        <v>64.5</v>
      </c>
      <c r="AP2481" s="884">
        <f t="shared" ref="AP2481" si="9987">AO2481-AK2481</f>
        <v>64.5</v>
      </c>
      <c r="AV2481" t="str">
        <f t="shared" si="9819"/>
        <v xml:space="preserve">   Seg. 2.3-C08-Plataforma- Instalação de DSH01 - Seg.2.3 C 08 </v>
      </c>
      <c r="AW2481" s="4" t="str">
        <f t="shared" si="9817"/>
        <v xml:space="preserve">   Seg. 2.3-A06 - Drenagem Superficial - Descida d´água (Km 120+920 a 121+560)</v>
      </c>
    </row>
    <row r="2482" spans="1:49" ht="15.6" customHeight="1" outlineLevel="2">
      <c r="A2482" s="8" t="str">
        <f t="shared" ref="A2482" si="9988">A2481</f>
        <v>N</v>
      </c>
      <c r="B2482" s="150"/>
      <c r="C2482" s="150"/>
      <c r="D2482" s="120" t="s">
        <v>1262</v>
      </c>
      <c r="E2482" s="893"/>
      <c r="F2482" s="902"/>
      <c r="G2482" s="528"/>
      <c r="H2482" s="549" t="s">
        <v>38</v>
      </c>
      <c r="I2482" s="711">
        <v>0</v>
      </c>
      <c r="J2482" s="897"/>
      <c r="K2482" s="528"/>
      <c r="L2482" s="549" t="s">
        <v>38</v>
      </c>
      <c r="M2482" s="711">
        <f t="shared" si="9882"/>
        <v>0</v>
      </c>
      <c r="N2482" s="897"/>
      <c r="O2482" s="528"/>
      <c r="P2482" s="548">
        <v>0</v>
      </c>
      <c r="Q2482" s="548">
        <v>0</v>
      </c>
      <c r="R2482" s="548">
        <v>0</v>
      </c>
      <c r="S2482" s="548">
        <v>0</v>
      </c>
      <c r="T2482" s="548">
        <v>0</v>
      </c>
      <c r="U2482" s="548">
        <v>0</v>
      </c>
      <c r="V2482" s="548">
        <v>0</v>
      </c>
      <c r="W2482" s="528"/>
      <c r="X2482" s="711">
        <f t="shared" si="9875"/>
        <v>0</v>
      </c>
      <c r="Y2482" s="897"/>
      <c r="Z2482" s="528"/>
      <c r="AA2482" s="899"/>
      <c r="AB2482" s="899"/>
      <c r="AC2482" s="904"/>
      <c r="AD2482" s="905"/>
      <c r="AE2482" s="2"/>
      <c r="AF2482" s="885"/>
      <c r="AG2482" s="885"/>
      <c r="AH2482" s="885"/>
      <c r="AI2482" s="885"/>
      <c r="AJ2482" s="885"/>
      <c r="AK2482" s="885"/>
      <c r="AL2482" s="885"/>
      <c r="AM2482" s="879"/>
      <c r="AN2482" s="2"/>
      <c r="AO2482" s="886"/>
      <c r="AP2482" s="886"/>
      <c r="AV2482" t="str">
        <f t="shared" si="9819"/>
        <v xml:space="preserve">   Seg. 2.3-C08-Plataforma- Instalação de DSH01 - Seg.2.3 C 08 </v>
      </c>
      <c r="AW2482" s="4" t="str">
        <f t="shared" si="9817"/>
        <v xml:space="preserve">   Seg. 2.3-A06 - Drenagem Superficial - Descida d´água (Km 120+920 a 121+560)</v>
      </c>
    </row>
    <row r="2483" spans="1:49" ht="15.6" customHeight="1" outlineLevel="2">
      <c r="A2483" s="8" t="str">
        <f t="shared" ref="A2483" si="9989">IF(SUM(P2483:V2484)&gt;0,"S","N")</f>
        <v>N</v>
      </c>
      <c r="B2483" s="150">
        <v>1066898</v>
      </c>
      <c r="C2483" s="150" t="s">
        <v>2758</v>
      </c>
      <c r="D2483" s="120" t="s">
        <v>1264</v>
      </c>
      <c r="E2483" s="892" t="s">
        <v>2759</v>
      </c>
      <c r="F2483" s="902" t="s">
        <v>52</v>
      </c>
      <c r="G2483" s="528"/>
      <c r="H2483" s="546" t="s">
        <v>37</v>
      </c>
      <c r="I2483" s="711">
        <v>0</v>
      </c>
      <c r="J2483" s="896" t="str">
        <f t="shared" ref="J2483" si="9990">IFERROR((I2484/I2483),"-")</f>
        <v>-</v>
      </c>
      <c r="K2483" s="528"/>
      <c r="L2483" s="546" t="s">
        <v>37</v>
      </c>
      <c r="M2483" s="711">
        <f t="shared" si="9882"/>
        <v>0</v>
      </c>
      <c r="N2483" s="896" t="str">
        <f t="shared" ref="N2483" si="9991">IFERROR((M2484/M2483),"-")</f>
        <v>-</v>
      </c>
      <c r="O2483" s="528"/>
      <c r="P2483" s="547">
        <v>0</v>
      </c>
      <c r="Q2483" s="547">
        <v>0</v>
      </c>
      <c r="R2483" s="547">
        <v>0</v>
      </c>
      <c r="S2483" s="547">
        <v>0</v>
      </c>
      <c r="T2483" s="547">
        <v>0</v>
      </c>
      <c r="U2483" s="547">
        <v>0</v>
      </c>
      <c r="V2483" s="548">
        <v>0</v>
      </c>
      <c r="W2483" s="528"/>
      <c r="X2483" s="711">
        <f t="shared" si="9875"/>
        <v>0</v>
      </c>
      <c r="Y2483" s="896" t="str">
        <f t="shared" ref="Y2483" si="9992">IFERROR((X2484/X2483),"-")</f>
        <v>-</v>
      </c>
      <c r="Z2483" s="528"/>
      <c r="AA2483" s="898">
        <v>0</v>
      </c>
      <c r="AB2483" s="898">
        <v>0</v>
      </c>
      <c r="AC2483" s="903">
        <v>0</v>
      </c>
      <c r="AD2483" s="896" t="str">
        <f t="shared" ref="AD2483" si="9993">IFERROR((AC2483/AA2483),"-")</f>
        <v>-</v>
      </c>
      <c r="AE2483" s="2"/>
      <c r="AF2483" s="884">
        <v>0</v>
      </c>
      <c r="AG2483" s="884"/>
      <c r="AH2483" s="884">
        <v>0</v>
      </c>
      <c r="AI2483" s="884"/>
      <c r="AJ2483" s="884"/>
      <c r="AK2483" s="884">
        <f t="shared" ref="AK2483" si="9994">AF2483+AG2483+AH2483+AI2483+AJ2483+AC2483</f>
        <v>0</v>
      </c>
      <c r="AL2483" s="884">
        <v>0</v>
      </c>
      <c r="AM2483" s="878" t="str">
        <f t="shared" ref="AM2483" si="9995">IFERROR((AK2483/AL2483),"-")</f>
        <v>-</v>
      </c>
      <c r="AN2483" s="2"/>
      <c r="AO2483" s="884">
        <v>3</v>
      </c>
      <c r="AP2483" s="884">
        <f t="shared" ref="AP2483" si="9996">AO2483-AK2483</f>
        <v>3</v>
      </c>
      <c r="AV2483" t="str">
        <f t="shared" si="9819"/>
        <v xml:space="preserve">   Seg. 2.3-C08-Plataforma- Instalação de DSH01 - Seg.2.3 C 08 </v>
      </c>
      <c r="AW2483" s="4" t="str">
        <f t="shared" si="9817"/>
        <v xml:space="preserve">   Seg. 2.3-A07 - Drenagem Superficial - Descida d´água (Km 121+660 a 121+700)</v>
      </c>
    </row>
    <row r="2484" spans="1:49" ht="15.6" customHeight="1" outlineLevel="2">
      <c r="A2484" s="8" t="str">
        <f t="shared" ref="A2484" si="9997">A2483</f>
        <v>N</v>
      </c>
      <c r="B2484" s="150"/>
      <c r="C2484" s="150"/>
      <c r="D2484" s="120" t="s">
        <v>1264</v>
      </c>
      <c r="E2484" s="893"/>
      <c r="F2484" s="902"/>
      <c r="G2484" s="528"/>
      <c r="H2484" s="549" t="s">
        <v>38</v>
      </c>
      <c r="I2484" s="711">
        <v>0</v>
      </c>
      <c r="J2484" s="897"/>
      <c r="K2484" s="528"/>
      <c r="L2484" s="549" t="s">
        <v>38</v>
      </c>
      <c r="M2484" s="711">
        <f t="shared" si="9882"/>
        <v>0</v>
      </c>
      <c r="N2484" s="897"/>
      <c r="O2484" s="528"/>
      <c r="P2484" s="548">
        <v>0</v>
      </c>
      <c r="Q2484" s="548">
        <v>0</v>
      </c>
      <c r="R2484" s="548">
        <v>0</v>
      </c>
      <c r="S2484" s="548">
        <v>0</v>
      </c>
      <c r="T2484" s="548">
        <v>0</v>
      </c>
      <c r="U2484" s="548">
        <v>0</v>
      </c>
      <c r="V2484" s="548">
        <v>0</v>
      </c>
      <c r="W2484" s="528"/>
      <c r="X2484" s="711">
        <f t="shared" si="9875"/>
        <v>0</v>
      </c>
      <c r="Y2484" s="897"/>
      <c r="Z2484" s="528"/>
      <c r="AA2484" s="899"/>
      <c r="AB2484" s="899"/>
      <c r="AC2484" s="904"/>
      <c r="AD2484" s="905"/>
      <c r="AE2484" s="2"/>
      <c r="AF2484" s="885"/>
      <c r="AG2484" s="885"/>
      <c r="AH2484" s="885"/>
      <c r="AI2484" s="885"/>
      <c r="AJ2484" s="885"/>
      <c r="AK2484" s="885"/>
      <c r="AL2484" s="885"/>
      <c r="AM2484" s="879"/>
      <c r="AN2484" s="2"/>
      <c r="AO2484" s="886"/>
      <c r="AP2484" s="886"/>
      <c r="AV2484" t="str">
        <f t="shared" si="9819"/>
        <v xml:space="preserve">   Seg. 2.3-C08-Plataforma- Instalação de DSH01 - Seg.2.3 C 08 </v>
      </c>
      <c r="AW2484" s="4" t="str">
        <f t="shared" si="9817"/>
        <v xml:space="preserve">   Seg. 2.3-A07 - Drenagem Superficial - Descida d´água (Km 121+660 a 121+700)</v>
      </c>
    </row>
    <row r="2485" spans="1:49" ht="15.6" customHeight="1" outlineLevel="2">
      <c r="A2485" s="8" t="str">
        <f t="shared" ref="A2485" si="9998">IF(SUM(P2485:V2486)&gt;0,"S","N")</f>
        <v>N</v>
      </c>
      <c r="B2485" s="150">
        <v>1066900</v>
      </c>
      <c r="C2485" s="150" t="s">
        <v>2760</v>
      </c>
      <c r="D2485" s="120" t="s">
        <v>1271</v>
      </c>
      <c r="E2485" s="892" t="s">
        <v>2761</v>
      </c>
      <c r="F2485" s="902" t="s">
        <v>52</v>
      </c>
      <c r="G2485" s="528"/>
      <c r="H2485" s="546" t="s">
        <v>37</v>
      </c>
      <c r="I2485" s="711">
        <v>0</v>
      </c>
      <c r="J2485" s="896" t="str">
        <f t="shared" ref="J2485" si="9999">IFERROR((I2486/I2485),"-")</f>
        <v>-</v>
      </c>
      <c r="K2485" s="528"/>
      <c r="L2485" s="546" t="s">
        <v>37</v>
      </c>
      <c r="M2485" s="711">
        <f t="shared" si="9882"/>
        <v>0</v>
      </c>
      <c r="N2485" s="896" t="str">
        <f t="shared" ref="N2485" si="10000">IFERROR((M2486/M2485),"-")</f>
        <v>-</v>
      </c>
      <c r="O2485" s="528"/>
      <c r="P2485" s="547">
        <v>0</v>
      </c>
      <c r="Q2485" s="547">
        <v>0</v>
      </c>
      <c r="R2485" s="547">
        <v>0</v>
      </c>
      <c r="S2485" s="547">
        <v>0</v>
      </c>
      <c r="T2485" s="547">
        <v>0</v>
      </c>
      <c r="U2485" s="547">
        <v>0</v>
      </c>
      <c r="V2485" s="548">
        <v>0</v>
      </c>
      <c r="W2485" s="528"/>
      <c r="X2485" s="711">
        <f t="shared" si="9875"/>
        <v>0</v>
      </c>
      <c r="Y2485" s="896" t="str">
        <f t="shared" ref="Y2485" si="10001">IFERROR((X2486/X2485),"-")</f>
        <v>-</v>
      </c>
      <c r="Z2485" s="528"/>
      <c r="AA2485" s="898">
        <v>0</v>
      </c>
      <c r="AB2485" s="898">
        <v>0</v>
      </c>
      <c r="AC2485" s="903">
        <v>0</v>
      </c>
      <c r="AD2485" s="896" t="str">
        <f t="shared" ref="AD2485" si="10002">IFERROR((AC2485/AA2485),"-")</f>
        <v>-</v>
      </c>
      <c r="AE2485" s="2"/>
      <c r="AF2485" s="884">
        <v>0</v>
      </c>
      <c r="AG2485" s="884"/>
      <c r="AH2485" s="884">
        <v>0</v>
      </c>
      <c r="AI2485" s="884"/>
      <c r="AJ2485" s="884"/>
      <c r="AK2485" s="884">
        <f t="shared" ref="AK2485" si="10003">AF2485+AG2485+AH2485+AI2485+AJ2485+AC2485</f>
        <v>0</v>
      </c>
      <c r="AL2485" s="884">
        <v>0</v>
      </c>
      <c r="AM2485" s="878" t="str">
        <f t="shared" ref="AM2485" si="10004">IFERROR((AK2485/AL2485),"-")</f>
        <v>-</v>
      </c>
      <c r="AN2485" s="2"/>
      <c r="AO2485" s="884">
        <v>7.5</v>
      </c>
      <c r="AP2485" s="884">
        <f t="shared" ref="AP2485" si="10005">AO2485-AK2485</f>
        <v>7.5</v>
      </c>
      <c r="AV2485" t="str">
        <f t="shared" si="9819"/>
        <v xml:space="preserve">   Seg. 2.3-C08-Plataforma- Instalação de DSH01 - Seg.2.3 C 08 </v>
      </c>
      <c r="AW2485" s="4" t="str">
        <f t="shared" si="9817"/>
        <v xml:space="preserve">   Seg. 2.3-A11 - Drenagem Superficial - Descida d´água (Km 124+400 ao 124+460)</v>
      </c>
    </row>
    <row r="2486" spans="1:49" ht="15.6" customHeight="1" outlineLevel="2">
      <c r="A2486" s="8" t="str">
        <f t="shared" ref="A2486" si="10006">A2485</f>
        <v>N</v>
      </c>
      <c r="B2486" s="150"/>
      <c r="C2486" s="150"/>
      <c r="D2486" s="120" t="s">
        <v>1271</v>
      </c>
      <c r="E2486" s="893"/>
      <c r="F2486" s="902"/>
      <c r="G2486" s="528"/>
      <c r="H2486" s="549" t="s">
        <v>38</v>
      </c>
      <c r="I2486" s="711">
        <v>0</v>
      </c>
      <c r="J2486" s="897"/>
      <c r="K2486" s="528"/>
      <c r="L2486" s="549" t="s">
        <v>38</v>
      </c>
      <c r="M2486" s="711">
        <f t="shared" si="9882"/>
        <v>0</v>
      </c>
      <c r="N2486" s="897"/>
      <c r="O2486" s="528"/>
      <c r="P2486" s="548">
        <v>0</v>
      </c>
      <c r="Q2486" s="548">
        <v>0</v>
      </c>
      <c r="R2486" s="548">
        <v>0</v>
      </c>
      <c r="S2486" s="548">
        <v>0</v>
      </c>
      <c r="T2486" s="548">
        <v>0</v>
      </c>
      <c r="U2486" s="548">
        <v>0</v>
      </c>
      <c r="V2486" s="548">
        <v>0</v>
      </c>
      <c r="W2486" s="528"/>
      <c r="X2486" s="711">
        <f t="shared" si="9875"/>
        <v>0</v>
      </c>
      <c r="Y2486" s="897"/>
      <c r="Z2486" s="528"/>
      <c r="AA2486" s="899"/>
      <c r="AB2486" s="899"/>
      <c r="AC2486" s="904"/>
      <c r="AD2486" s="905"/>
      <c r="AE2486" s="2"/>
      <c r="AF2486" s="885"/>
      <c r="AG2486" s="885"/>
      <c r="AH2486" s="885"/>
      <c r="AI2486" s="885"/>
      <c r="AJ2486" s="885"/>
      <c r="AK2486" s="885"/>
      <c r="AL2486" s="885"/>
      <c r="AM2486" s="879"/>
      <c r="AN2486" s="2"/>
      <c r="AO2486" s="886"/>
      <c r="AP2486" s="886"/>
      <c r="AV2486" t="str">
        <f t="shared" si="9819"/>
        <v xml:space="preserve">   Seg. 2.3-C08-Plataforma- Instalação de DSH01 - Seg.2.3 C 08 </v>
      </c>
      <c r="AW2486" s="4" t="str">
        <f t="shared" si="9817"/>
        <v xml:space="preserve">   Seg. 2.3-A11 - Drenagem Superficial - Descida d´água (Km 124+400 ao 124+460)</v>
      </c>
    </row>
    <row r="2487" spans="1:49" ht="15.6" customHeight="1" outlineLevel="2">
      <c r="A2487" s="8" t="str">
        <f t="shared" ref="A2487" si="10007">IF(SUM(P2487:V2488)&gt;0,"S","N")</f>
        <v>N</v>
      </c>
      <c r="B2487" s="150">
        <v>1066901</v>
      </c>
      <c r="C2487" s="150" t="s">
        <v>2762</v>
      </c>
      <c r="D2487" s="120" t="s">
        <v>1273</v>
      </c>
      <c r="E2487" s="892" t="s">
        <v>2763</v>
      </c>
      <c r="F2487" s="902" t="s">
        <v>52</v>
      </c>
      <c r="G2487" s="528"/>
      <c r="H2487" s="546" t="s">
        <v>37</v>
      </c>
      <c r="I2487" s="711">
        <v>0</v>
      </c>
      <c r="J2487" s="896" t="str">
        <f t="shared" ref="J2487" si="10008">IFERROR((I2488/I2487),"-")</f>
        <v>-</v>
      </c>
      <c r="K2487" s="528"/>
      <c r="L2487" s="546" t="s">
        <v>37</v>
      </c>
      <c r="M2487" s="711">
        <f t="shared" si="9882"/>
        <v>0</v>
      </c>
      <c r="N2487" s="896" t="str">
        <f t="shared" ref="N2487" si="10009">IFERROR((M2488/M2487),"-")</f>
        <v>-</v>
      </c>
      <c r="O2487" s="528"/>
      <c r="P2487" s="547">
        <v>0</v>
      </c>
      <c r="Q2487" s="547">
        <v>0</v>
      </c>
      <c r="R2487" s="547">
        <v>0</v>
      </c>
      <c r="S2487" s="547">
        <v>0</v>
      </c>
      <c r="T2487" s="547">
        <v>0</v>
      </c>
      <c r="U2487" s="547">
        <v>0</v>
      </c>
      <c r="V2487" s="548">
        <v>0</v>
      </c>
      <c r="W2487" s="528"/>
      <c r="X2487" s="711">
        <f t="shared" si="9875"/>
        <v>0</v>
      </c>
      <c r="Y2487" s="896" t="str">
        <f t="shared" ref="Y2487" si="10010">IFERROR((X2488/X2487),"-")</f>
        <v>-</v>
      </c>
      <c r="Z2487" s="528"/>
      <c r="AA2487" s="898">
        <v>0</v>
      </c>
      <c r="AB2487" s="898">
        <v>0</v>
      </c>
      <c r="AC2487" s="903">
        <v>0</v>
      </c>
      <c r="AD2487" s="896" t="str">
        <f t="shared" ref="AD2487" si="10011">IFERROR((AC2487/AA2487),"-")</f>
        <v>-</v>
      </c>
      <c r="AE2487" s="2"/>
      <c r="AF2487" s="884">
        <v>19.974</v>
      </c>
      <c r="AG2487" s="884"/>
      <c r="AH2487" s="884">
        <v>0</v>
      </c>
      <c r="AI2487" s="884"/>
      <c r="AJ2487" s="884"/>
      <c r="AK2487" s="884">
        <f t="shared" ref="AK2487" si="10012">AF2487+AG2487+AH2487+AI2487+AJ2487+AC2487</f>
        <v>19.974</v>
      </c>
      <c r="AL2487" s="884">
        <v>0</v>
      </c>
      <c r="AM2487" s="878" t="str">
        <f t="shared" ref="AM2487" si="10013">IFERROR((AK2487/AL2487),"-")</f>
        <v>-</v>
      </c>
      <c r="AN2487" s="2"/>
      <c r="AO2487" s="884">
        <v>13</v>
      </c>
      <c r="AP2487" s="884">
        <f t="shared" ref="AP2487" si="10014">AO2487-AK2487</f>
        <v>-6.9740000000000002</v>
      </c>
      <c r="AV2487" t="str">
        <f t="shared" si="9819"/>
        <v xml:space="preserve">   Seg. 2.3-C08-Plataforma- Instalação de DSH01 - Seg.2.3 C 08 </v>
      </c>
      <c r="AW2487" s="4" t="str">
        <f t="shared" si="9817"/>
        <v xml:space="preserve">   Seg. 2.3-A12 - Drenagem Superficial - Descida d´água (Km 124+620 a 125+180)</v>
      </c>
    </row>
    <row r="2488" spans="1:49" ht="15.6" customHeight="1" outlineLevel="2">
      <c r="A2488" s="8" t="str">
        <f t="shared" ref="A2488" si="10015">A2487</f>
        <v>N</v>
      </c>
      <c r="B2488" s="150"/>
      <c r="C2488" s="150"/>
      <c r="D2488" s="120" t="s">
        <v>1273</v>
      </c>
      <c r="E2488" s="893"/>
      <c r="F2488" s="902"/>
      <c r="G2488" s="528"/>
      <c r="H2488" s="549" t="s">
        <v>38</v>
      </c>
      <c r="I2488" s="711">
        <v>0</v>
      </c>
      <c r="J2488" s="897"/>
      <c r="K2488" s="528"/>
      <c r="L2488" s="549" t="s">
        <v>38</v>
      </c>
      <c r="M2488" s="711">
        <f t="shared" si="9882"/>
        <v>0</v>
      </c>
      <c r="N2488" s="897"/>
      <c r="O2488" s="528"/>
      <c r="P2488" s="548">
        <v>0</v>
      </c>
      <c r="Q2488" s="548">
        <v>0</v>
      </c>
      <c r="R2488" s="548">
        <v>0</v>
      </c>
      <c r="S2488" s="548">
        <v>0</v>
      </c>
      <c r="T2488" s="548">
        <v>0</v>
      </c>
      <c r="U2488" s="548">
        <v>0</v>
      </c>
      <c r="V2488" s="548">
        <v>0</v>
      </c>
      <c r="W2488" s="528"/>
      <c r="X2488" s="711">
        <f t="shared" si="9875"/>
        <v>0</v>
      </c>
      <c r="Y2488" s="897"/>
      <c r="Z2488" s="528"/>
      <c r="AA2488" s="899"/>
      <c r="AB2488" s="899"/>
      <c r="AC2488" s="904"/>
      <c r="AD2488" s="905"/>
      <c r="AE2488" s="2"/>
      <c r="AF2488" s="885"/>
      <c r="AG2488" s="885"/>
      <c r="AH2488" s="885"/>
      <c r="AI2488" s="885"/>
      <c r="AJ2488" s="885"/>
      <c r="AK2488" s="885"/>
      <c r="AL2488" s="885"/>
      <c r="AM2488" s="879"/>
      <c r="AN2488" s="2"/>
      <c r="AO2488" s="886"/>
      <c r="AP2488" s="886"/>
      <c r="AV2488" t="str">
        <f t="shared" si="9819"/>
        <v xml:space="preserve">   Seg. 2.3-C08-Plataforma- Instalação de DSH01 - Seg.2.3 C 08 </v>
      </c>
      <c r="AW2488" s="4" t="str">
        <f t="shared" si="9817"/>
        <v xml:space="preserve">   Seg. 2.3-A12 - Drenagem Superficial - Descida d´água (Km 124+620 a 125+180)</v>
      </c>
    </row>
    <row r="2489" spans="1:49" ht="15.6" customHeight="1" outlineLevel="2">
      <c r="A2489" s="8" t="str">
        <f t="shared" ref="A2489" si="10016">IF(SUM(P2489:V2490)&gt;0,"S","N")</f>
        <v>N</v>
      </c>
      <c r="B2489" s="150">
        <v>1066902</v>
      </c>
      <c r="C2489" s="150" t="s">
        <v>2764</v>
      </c>
      <c r="D2489" s="120" t="s">
        <v>1275</v>
      </c>
      <c r="E2489" s="892" t="s">
        <v>2765</v>
      </c>
      <c r="F2489" s="902" t="s">
        <v>52</v>
      </c>
      <c r="G2489" s="528"/>
      <c r="H2489" s="546" t="s">
        <v>37</v>
      </c>
      <c r="I2489" s="711">
        <v>0</v>
      </c>
      <c r="J2489" s="896" t="str">
        <f t="shared" ref="J2489" si="10017">IFERROR((I2490/I2489),"-")</f>
        <v>-</v>
      </c>
      <c r="K2489" s="528"/>
      <c r="L2489" s="546" t="s">
        <v>37</v>
      </c>
      <c r="M2489" s="711">
        <f t="shared" si="9882"/>
        <v>0</v>
      </c>
      <c r="N2489" s="896" t="str">
        <f t="shared" ref="N2489" si="10018">IFERROR((M2490/M2489),"-")</f>
        <v>-</v>
      </c>
      <c r="O2489" s="528"/>
      <c r="P2489" s="547">
        <v>0</v>
      </c>
      <c r="Q2489" s="547">
        <v>0</v>
      </c>
      <c r="R2489" s="547">
        <v>0</v>
      </c>
      <c r="S2489" s="547">
        <v>0</v>
      </c>
      <c r="T2489" s="547">
        <v>0</v>
      </c>
      <c r="U2489" s="547">
        <v>0</v>
      </c>
      <c r="V2489" s="548">
        <v>0</v>
      </c>
      <c r="W2489" s="528"/>
      <c r="X2489" s="711">
        <f t="shared" si="9875"/>
        <v>0</v>
      </c>
      <c r="Y2489" s="896" t="str">
        <f t="shared" ref="Y2489" si="10019">IFERROR((X2490/X2489),"-")</f>
        <v>-</v>
      </c>
      <c r="Z2489" s="528"/>
      <c r="AA2489" s="898">
        <v>0</v>
      </c>
      <c r="AB2489" s="898">
        <v>0</v>
      </c>
      <c r="AC2489" s="903">
        <v>0</v>
      </c>
      <c r="AD2489" s="896" t="str">
        <f t="shared" ref="AD2489" si="10020">IFERROR((AC2489/AA2489),"-")</f>
        <v>-</v>
      </c>
      <c r="AE2489" s="2"/>
      <c r="AF2489" s="884">
        <v>4.9909999999999997</v>
      </c>
      <c r="AG2489" s="884"/>
      <c r="AH2489" s="884">
        <v>0</v>
      </c>
      <c r="AI2489" s="884"/>
      <c r="AJ2489" s="884"/>
      <c r="AK2489" s="884">
        <f t="shared" ref="AK2489" si="10021">AF2489+AG2489+AH2489+AI2489+AJ2489+AC2489</f>
        <v>4.9909999999999997</v>
      </c>
      <c r="AL2489" s="884">
        <v>3</v>
      </c>
      <c r="AM2489" s="878">
        <f t="shared" ref="AM2489" si="10022">IFERROR((AK2489/AL2489),"-")</f>
        <v>1.6636666666666666</v>
      </c>
      <c r="AN2489" s="2"/>
      <c r="AO2489" s="884">
        <v>6</v>
      </c>
      <c r="AP2489" s="884">
        <f t="shared" ref="AP2489" si="10023">AO2489-AK2489</f>
        <v>1.0090000000000003</v>
      </c>
      <c r="AV2489" t="str">
        <f t="shared" si="9819"/>
        <v xml:space="preserve">   Seg. 2.3-C08-Plataforma- Instalação de DSH01 - Seg.2.3 C 08 </v>
      </c>
      <c r="AW2489" s="4" t="str">
        <f t="shared" si="9817"/>
        <v xml:space="preserve">   Seg. 2.3-A13 - Drenagem Superficial - Descida D´água (Km 125+640 a 125+960)</v>
      </c>
    </row>
    <row r="2490" spans="1:49" ht="15.6" customHeight="1" outlineLevel="2">
      <c r="A2490" s="8" t="str">
        <f t="shared" ref="A2490" si="10024">A2489</f>
        <v>N</v>
      </c>
      <c r="B2490" s="150"/>
      <c r="C2490" s="150"/>
      <c r="D2490" s="120" t="s">
        <v>1275</v>
      </c>
      <c r="E2490" s="893"/>
      <c r="F2490" s="902"/>
      <c r="G2490" s="528"/>
      <c r="H2490" s="549" t="s">
        <v>38</v>
      </c>
      <c r="I2490" s="711">
        <v>0</v>
      </c>
      <c r="J2490" s="897"/>
      <c r="K2490" s="528"/>
      <c r="L2490" s="549" t="s">
        <v>38</v>
      </c>
      <c r="M2490" s="711">
        <f t="shared" si="9882"/>
        <v>0</v>
      </c>
      <c r="N2490" s="897"/>
      <c r="O2490" s="528"/>
      <c r="P2490" s="548">
        <v>0</v>
      </c>
      <c r="Q2490" s="548">
        <v>0</v>
      </c>
      <c r="R2490" s="548">
        <v>0</v>
      </c>
      <c r="S2490" s="548">
        <v>0</v>
      </c>
      <c r="T2490" s="548">
        <v>0</v>
      </c>
      <c r="U2490" s="548">
        <v>0</v>
      </c>
      <c r="V2490" s="548">
        <v>0</v>
      </c>
      <c r="W2490" s="528"/>
      <c r="X2490" s="711">
        <f t="shared" si="9875"/>
        <v>0</v>
      </c>
      <c r="Y2490" s="897"/>
      <c r="Z2490" s="528"/>
      <c r="AA2490" s="899"/>
      <c r="AB2490" s="899"/>
      <c r="AC2490" s="904"/>
      <c r="AD2490" s="905"/>
      <c r="AE2490" s="2"/>
      <c r="AF2490" s="885"/>
      <c r="AG2490" s="885"/>
      <c r="AH2490" s="885"/>
      <c r="AI2490" s="885"/>
      <c r="AJ2490" s="885"/>
      <c r="AK2490" s="885"/>
      <c r="AL2490" s="885"/>
      <c r="AM2490" s="879"/>
      <c r="AN2490" s="2"/>
      <c r="AO2490" s="886"/>
      <c r="AP2490" s="886"/>
      <c r="AV2490" t="str">
        <f t="shared" si="9819"/>
        <v xml:space="preserve">   Seg. 2.3-C08-Plataforma- Instalação de DSH01 - Seg.2.3 C 08 </v>
      </c>
      <c r="AW2490" s="4" t="str">
        <f t="shared" si="9817"/>
        <v xml:space="preserve">   Seg. 2.3-A13 - Drenagem Superficial - Descida D´água (Km 125+640 a 125+960)</v>
      </c>
    </row>
    <row r="2491" spans="1:49" ht="15.6" customHeight="1" outlineLevel="2">
      <c r="A2491" s="8" t="str">
        <f t="shared" ref="A2491" si="10025">IF(SUM(P2491:V2492)&gt;0,"S","N")</f>
        <v>N</v>
      </c>
      <c r="B2491" s="150">
        <v>1066903</v>
      </c>
      <c r="C2491" s="150" t="s">
        <v>2766</v>
      </c>
      <c r="D2491" s="120" t="s">
        <v>1277</v>
      </c>
      <c r="E2491" s="892" t="s">
        <v>2767</v>
      </c>
      <c r="F2491" s="902" t="s">
        <v>52</v>
      </c>
      <c r="G2491" s="528"/>
      <c r="H2491" s="546" t="s">
        <v>37</v>
      </c>
      <c r="I2491" s="711">
        <v>0</v>
      </c>
      <c r="J2491" s="896" t="str">
        <f t="shared" ref="J2491" si="10026">IFERROR((I2492/I2491),"-")</f>
        <v>-</v>
      </c>
      <c r="K2491" s="528"/>
      <c r="L2491" s="546" t="s">
        <v>37</v>
      </c>
      <c r="M2491" s="711">
        <f t="shared" si="9882"/>
        <v>0</v>
      </c>
      <c r="N2491" s="896" t="str">
        <f t="shared" ref="N2491" si="10027">IFERROR((M2492/M2491),"-")</f>
        <v>-</v>
      </c>
      <c r="O2491" s="528"/>
      <c r="P2491" s="547">
        <v>0</v>
      </c>
      <c r="Q2491" s="547">
        <v>0</v>
      </c>
      <c r="R2491" s="547">
        <v>0</v>
      </c>
      <c r="S2491" s="547">
        <v>0</v>
      </c>
      <c r="T2491" s="547">
        <v>0</v>
      </c>
      <c r="U2491" s="547">
        <v>0</v>
      </c>
      <c r="V2491" s="548">
        <v>0</v>
      </c>
      <c r="W2491" s="528"/>
      <c r="X2491" s="711">
        <f t="shared" si="9875"/>
        <v>0</v>
      </c>
      <c r="Y2491" s="896" t="str">
        <f t="shared" ref="Y2491" si="10028">IFERROR((X2492/X2491),"-")</f>
        <v>-</v>
      </c>
      <c r="Z2491" s="528"/>
      <c r="AA2491" s="898">
        <v>0</v>
      </c>
      <c r="AB2491" s="898">
        <v>0</v>
      </c>
      <c r="AC2491" s="903">
        <v>0</v>
      </c>
      <c r="AD2491" s="896" t="str">
        <f t="shared" ref="AD2491" si="10029">IFERROR((AC2491/AA2491),"-")</f>
        <v>-</v>
      </c>
      <c r="AE2491" s="2"/>
      <c r="AF2491" s="884">
        <v>6.47</v>
      </c>
      <c r="AG2491" s="884"/>
      <c r="AH2491" s="884">
        <v>0</v>
      </c>
      <c r="AI2491" s="884"/>
      <c r="AJ2491" s="884"/>
      <c r="AK2491" s="884">
        <f t="shared" ref="AK2491" si="10030">AF2491+AG2491+AH2491+AI2491+AJ2491+AC2491</f>
        <v>6.47</v>
      </c>
      <c r="AL2491" s="884">
        <v>2.52</v>
      </c>
      <c r="AM2491" s="878">
        <f t="shared" ref="AM2491" si="10031">IFERROR((AK2491/AL2491),"-")</f>
        <v>2.5674603174603172</v>
      </c>
      <c r="AN2491" s="2"/>
      <c r="AO2491" s="884">
        <v>6</v>
      </c>
      <c r="AP2491" s="884">
        <f t="shared" ref="AP2491" si="10032">AO2491-AK2491</f>
        <v>-0.46999999999999975</v>
      </c>
      <c r="AV2491" t="str">
        <f t="shared" si="9819"/>
        <v xml:space="preserve">   Seg. 2.3-C08-Plataforma- Instalação de DSH01 - Seg.2.3 C 08 </v>
      </c>
      <c r="AW2491" s="4" t="str">
        <f t="shared" si="9817"/>
        <v xml:space="preserve">   Seg. 2.3-A14 - Drenagem Superficial - Descida d´água (Km 126+360 a 126+500)</v>
      </c>
    </row>
    <row r="2492" spans="1:49" ht="15.6" customHeight="1" outlineLevel="2">
      <c r="A2492" s="8" t="str">
        <f t="shared" ref="A2492" si="10033">A2491</f>
        <v>N</v>
      </c>
      <c r="B2492" s="150"/>
      <c r="C2492" s="150"/>
      <c r="D2492" s="120" t="s">
        <v>1277</v>
      </c>
      <c r="E2492" s="893"/>
      <c r="F2492" s="902"/>
      <c r="G2492" s="528"/>
      <c r="H2492" s="549" t="s">
        <v>38</v>
      </c>
      <c r="I2492" s="711">
        <v>0</v>
      </c>
      <c r="J2492" s="897"/>
      <c r="K2492" s="528"/>
      <c r="L2492" s="549" t="s">
        <v>38</v>
      </c>
      <c r="M2492" s="711">
        <f t="shared" si="9882"/>
        <v>0</v>
      </c>
      <c r="N2492" s="897"/>
      <c r="O2492" s="528"/>
      <c r="P2492" s="548">
        <v>0</v>
      </c>
      <c r="Q2492" s="548">
        <v>0</v>
      </c>
      <c r="R2492" s="548">
        <v>0</v>
      </c>
      <c r="S2492" s="548">
        <v>0</v>
      </c>
      <c r="T2492" s="548">
        <v>0</v>
      </c>
      <c r="U2492" s="548">
        <v>0</v>
      </c>
      <c r="V2492" s="548">
        <v>0</v>
      </c>
      <c r="W2492" s="528"/>
      <c r="X2492" s="711">
        <f t="shared" si="9875"/>
        <v>0</v>
      </c>
      <c r="Y2492" s="897"/>
      <c r="Z2492" s="528"/>
      <c r="AA2492" s="899"/>
      <c r="AB2492" s="899"/>
      <c r="AC2492" s="904"/>
      <c r="AD2492" s="905"/>
      <c r="AE2492" s="2"/>
      <c r="AF2492" s="885"/>
      <c r="AG2492" s="885"/>
      <c r="AH2492" s="885"/>
      <c r="AI2492" s="885"/>
      <c r="AJ2492" s="885"/>
      <c r="AK2492" s="885"/>
      <c r="AL2492" s="885"/>
      <c r="AM2492" s="879"/>
      <c r="AN2492" s="2"/>
      <c r="AO2492" s="886"/>
      <c r="AP2492" s="886"/>
      <c r="AV2492" t="str">
        <f t="shared" si="9819"/>
        <v xml:space="preserve">   Seg. 2.3-C08-Plataforma- Instalação de DSH01 - Seg.2.3 C 08 </v>
      </c>
      <c r="AW2492" s="4" t="str">
        <f t="shared" si="9817"/>
        <v xml:space="preserve">   Seg. 2.3-A14 - Drenagem Superficial - Descida d´água (Km 126+360 a 126+500)</v>
      </c>
    </row>
    <row r="2493" spans="1:49" ht="15.6" customHeight="1" outlineLevel="2">
      <c r="A2493" s="8" t="str">
        <f t="shared" ref="A2493" si="10034">IF(SUM(P2493:V2494)&gt;0,"S","N")</f>
        <v>N</v>
      </c>
      <c r="B2493" s="150">
        <v>1066904</v>
      </c>
      <c r="C2493" s="150" t="s">
        <v>2768</v>
      </c>
      <c r="D2493" s="120" t="s">
        <v>1279</v>
      </c>
      <c r="E2493" s="892" t="s">
        <v>2769</v>
      </c>
      <c r="F2493" s="902" t="s">
        <v>52</v>
      </c>
      <c r="G2493" s="528"/>
      <c r="H2493" s="546" t="s">
        <v>37</v>
      </c>
      <c r="I2493" s="711">
        <v>0</v>
      </c>
      <c r="J2493" s="896" t="str">
        <f t="shared" ref="J2493" si="10035">IFERROR((I2494/I2493),"-")</f>
        <v>-</v>
      </c>
      <c r="K2493" s="528"/>
      <c r="L2493" s="546" t="s">
        <v>37</v>
      </c>
      <c r="M2493" s="711">
        <f t="shared" si="9882"/>
        <v>0</v>
      </c>
      <c r="N2493" s="896" t="str">
        <f t="shared" ref="N2493" si="10036">IFERROR((M2494/M2493),"-")</f>
        <v>-</v>
      </c>
      <c r="O2493" s="528"/>
      <c r="P2493" s="547">
        <v>0</v>
      </c>
      <c r="Q2493" s="547">
        <v>0</v>
      </c>
      <c r="R2493" s="547">
        <v>0</v>
      </c>
      <c r="S2493" s="547">
        <v>0</v>
      </c>
      <c r="T2493" s="547">
        <v>0</v>
      </c>
      <c r="U2493" s="547">
        <v>0</v>
      </c>
      <c r="V2493" s="548">
        <v>0</v>
      </c>
      <c r="W2493" s="528"/>
      <c r="X2493" s="711">
        <f t="shared" si="9875"/>
        <v>0</v>
      </c>
      <c r="Y2493" s="896" t="str">
        <f t="shared" ref="Y2493" si="10037">IFERROR((X2494/X2493),"-")</f>
        <v>-</v>
      </c>
      <c r="Z2493" s="528"/>
      <c r="AA2493" s="898">
        <v>0</v>
      </c>
      <c r="AB2493" s="898">
        <v>0</v>
      </c>
      <c r="AC2493" s="903">
        <v>0</v>
      </c>
      <c r="AD2493" s="896" t="str">
        <f t="shared" ref="AD2493" si="10038">IFERROR((AC2493/AA2493),"-")</f>
        <v>-</v>
      </c>
      <c r="AE2493" s="2"/>
      <c r="AF2493" s="884">
        <v>1.5</v>
      </c>
      <c r="AG2493" s="884"/>
      <c r="AH2493" s="884">
        <v>0</v>
      </c>
      <c r="AI2493" s="884"/>
      <c r="AJ2493" s="884"/>
      <c r="AK2493" s="884">
        <f t="shared" ref="AK2493" si="10039">AF2493+AG2493+AH2493+AI2493+AJ2493+AC2493</f>
        <v>1.5</v>
      </c>
      <c r="AL2493" s="884">
        <v>2.36</v>
      </c>
      <c r="AM2493" s="878">
        <f t="shared" ref="AM2493" si="10040">IFERROR((AK2493/AL2493),"-")</f>
        <v>0.63559322033898313</v>
      </c>
      <c r="AN2493" s="2"/>
      <c r="AO2493" s="884">
        <v>21.5</v>
      </c>
      <c r="AP2493" s="884">
        <f t="shared" ref="AP2493" si="10041">AO2493-AK2493</f>
        <v>20</v>
      </c>
      <c r="AV2493" t="str">
        <f t="shared" si="9819"/>
        <v xml:space="preserve">   Seg. 2.3-C08-Plataforma- Instalação de DSH01 - Seg.2.3 C 08 </v>
      </c>
      <c r="AW2493" s="4" t="str">
        <f t="shared" si="9817"/>
        <v xml:space="preserve">   Seg. 2.3-A15 - Drenagem Superficial - Descida d´água (Km 126+620 a 127+440)</v>
      </c>
    </row>
    <row r="2494" spans="1:49" ht="15.6" customHeight="1" outlineLevel="2">
      <c r="A2494" s="8" t="str">
        <f t="shared" ref="A2494" si="10042">A2493</f>
        <v>N</v>
      </c>
      <c r="B2494" s="150"/>
      <c r="C2494" s="150"/>
      <c r="D2494" s="120" t="s">
        <v>1279</v>
      </c>
      <c r="E2494" s="893"/>
      <c r="F2494" s="902"/>
      <c r="G2494" s="528"/>
      <c r="H2494" s="549" t="s">
        <v>38</v>
      </c>
      <c r="I2494" s="711">
        <v>0</v>
      </c>
      <c r="J2494" s="897"/>
      <c r="K2494" s="528"/>
      <c r="L2494" s="549" t="s">
        <v>38</v>
      </c>
      <c r="M2494" s="711">
        <f t="shared" si="9882"/>
        <v>0</v>
      </c>
      <c r="N2494" s="897"/>
      <c r="O2494" s="528"/>
      <c r="P2494" s="548">
        <v>0</v>
      </c>
      <c r="Q2494" s="548">
        <v>0</v>
      </c>
      <c r="R2494" s="548">
        <v>0</v>
      </c>
      <c r="S2494" s="548">
        <v>0</v>
      </c>
      <c r="T2494" s="548">
        <v>0</v>
      </c>
      <c r="U2494" s="548">
        <v>0</v>
      </c>
      <c r="V2494" s="548">
        <v>0</v>
      </c>
      <c r="W2494" s="528"/>
      <c r="X2494" s="711">
        <f t="shared" si="9875"/>
        <v>0</v>
      </c>
      <c r="Y2494" s="897"/>
      <c r="Z2494" s="528"/>
      <c r="AA2494" s="899"/>
      <c r="AB2494" s="899"/>
      <c r="AC2494" s="904"/>
      <c r="AD2494" s="905"/>
      <c r="AE2494" s="2"/>
      <c r="AF2494" s="885"/>
      <c r="AG2494" s="885"/>
      <c r="AH2494" s="885"/>
      <c r="AI2494" s="885"/>
      <c r="AJ2494" s="885"/>
      <c r="AK2494" s="885"/>
      <c r="AL2494" s="885"/>
      <c r="AM2494" s="879"/>
      <c r="AN2494" s="2"/>
      <c r="AO2494" s="886"/>
      <c r="AP2494" s="886"/>
      <c r="AV2494" t="str">
        <f t="shared" si="9819"/>
        <v xml:space="preserve">   Seg. 2.3-C08-Plataforma- Instalação de DSH01 - Seg.2.3 C 08 </v>
      </c>
      <c r="AW2494" s="4" t="str">
        <f t="shared" si="9817"/>
        <v xml:space="preserve">   Seg. 2.3-A15 - Drenagem Superficial - Descida d´água (Km 126+620 a 127+440)</v>
      </c>
    </row>
    <row r="2495" spans="1:49" ht="15.6" customHeight="1" outlineLevel="2">
      <c r="A2495" s="8" t="str">
        <f t="shared" ref="A2495" si="10043">IF(SUM(P2495:V2496)&gt;0,"S","N")</f>
        <v>N</v>
      </c>
      <c r="B2495" s="150">
        <v>1066905</v>
      </c>
      <c r="C2495" s="150" t="s">
        <v>2770</v>
      </c>
      <c r="D2495" s="120" t="s">
        <v>1281</v>
      </c>
      <c r="E2495" s="892" t="s">
        <v>2771</v>
      </c>
      <c r="F2495" s="902" t="s">
        <v>52</v>
      </c>
      <c r="G2495" s="528"/>
      <c r="H2495" s="546" t="s">
        <v>37</v>
      </c>
      <c r="I2495" s="711">
        <v>0</v>
      </c>
      <c r="J2495" s="896" t="str">
        <f t="shared" ref="J2495" si="10044">IFERROR((I2496/I2495),"-")</f>
        <v>-</v>
      </c>
      <c r="K2495" s="528"/>
      <c r="L2495" s="546" t="s">
        <v>37</v>
      </c>
      <c r="M2495" s="711">
        <f t="shared" si="9882"/>
        <v>0</v>
      </c>
      <c r="N2495" s="896" t="str">
        <f t="shared" ref="N2495" si="10045">IFERROR((M2496/M2495),"-")</f>
        <v>-</v>
      </c>
      <c r="O2495" s="528"/>
      <c r="P2495" s="547">
        <v>0</v>
      </c>
      <c r="Q2495" s="547">
        <v>0</v>
      </c>
      <c r="R2495" s="547">
        <v>0</v>
      </c>
      <c r="S2495" s="547">
        <v>0</v>
      </c>
      <c r="T2495" s="547">
        <v>0</v>
      </c>
      <c r="U2495" s="547">
        <v>0</v>
      </c>
      <c r="V2495" s="548">
        <v>0</v>
      </c>
      <c r="W2495" s="528"/>
      <c r="X2495" s="711">
        <f t="shared" si="9875"/>
        <v>0</v>
      </c>
      <c r="Y2495" s="896" t="str">
        <f t="shared" ref="Y2495" si="10046">IFERROR((X2496/X2495),"-")</f>
        <v>-</v>
      </c>
      <c r="Z2495" s="528"/>
      <c r="AA2495" s="898">
        <v>0</v>
      </c>
      <c r="AB2495" s="898">
        <v>0</v>
      </c>
      <c r="AC2495" s="903">
        <v>0</v>
      </c>
      <c r="AD2495" s="896" t="str">
        <f t="shared" ref="AD2495" si="10047">IFERROR((AC2495/AA2495),"-")</f>
        <v>-</v>
      </c>
      <c r="AE2495" s="2"/>
      <c r="AF2495" s="884">
        <v>0</v>
      </c>
      <c r="AG2495" s="884"/>
      <c r="AH2495" s="884">
        <v>0</v>
      </c>
      <c r="AI2495" s="884"/>
      <c r="AJ2495" s="884"/>
      <c r="AK2495" s="884">
        <f t="shared" ref="AK2495" si="10048">AF2495+AG2495+AH2495+AI2495+AJ2495+AC2495</f>
        <v>0</v>
      </c>
      <c r="AL2495" s="884">
        <v>0</v>
      </c>
      <c r="AM2495" s="878" t="str">
        <f t="shared" ref="AM2495" si="10049">IFERROR((AK2495/AL2495),"-")</f>
        <v>-</v>
      </c>
      <c r="AN2495" s="2"/>
      <c r="AO2495" s="884">
        <v>11.5</v>
      </c>
      <c r="AP2495" s="884">
        <f t="shared" ref="AP2495" si="10050">AO2495-AK2495</f>
        <v>11.5</v>
      </c>
      <c r="AV2495" t="str">
        <f t="shared" si="9819"/>
        <v xml:space="preserve">   Seg. 2.3-C08-Plataforma- Instalação de DSH01 - Seg.2.3 C 08 </v>
      </c>
      <c r="AW2495" s="4" t="str">
        <f t="shared" si="9817"/>
        <v xml:space="preserve">   Seg. 2.3-A16 - Drenagem Superficial - Descida d´água (Km 127+540 a 127+980)</v>
      </c>
    </row>
    <row r="2496" spans="1:49" ht="15.6" customHeight="1" outlineLevel="2">
      <c r="A2496" s="8" t="str">
        <f t="shared" ref="A2496" si="10051">A2495</f>
        <v>N</v>
      </c>
      <c r="B2496" s="150"/>
      <c r="C2496" s="150"/>
      <c r="D2496" s="120" t="s">
        <v>1281</v>
      </c>
      <c r="E2496" s="893"/>
      <c r="F2496" s="902"/>
      <c r="G2496" s="528"/>
      <c r="H2496" s="549" t="s">
        <v>38</v>
      </c>
      <c r="I2496" s="711">
        <v>0</v>
      </c>
      <c r="J2496" s="897"/>
      <c r="K2496" s="528"/>
      <c r="L2496" s="549" t="s">
        <v>38</v>
      </c>
      <c r="M2496" s="711">
        <f t="shared" si="9882"/>
        <v>0</v>
      </c>
      <c r="N2496" s="897"/>
      <c r="O2496" s="528"/>
      <c r="P2496" s="548">
        <v>0</v>
      </c>
      <c r="Q2496" s="548">
        <v>0</v>
      </c>
      <c r="R2496" s="548">
        <v>0</v>
      </c>
      <c r="S2496" s="548">
        <v>0</v>
      </c>
      <c r="T2496" s="548">
        <v>0</v>
      </c>
      <c r="U2496" s="548">
        <v>0</v>
      </c>
      <c r="V2496" s="548">
        <v>0</v>
      </c>
      <c r="W2496" s="528"/>
      <c r="X2496" s="711">
        <f t="shared" si="9875"/>
        <v>0</v>
      </c>
      <c r="Y2496" s="897"/>
      <c r="Z2496" s="528"/>
      <c r="AA2496" s="899"/>
      <c r="AB2496" s="899"/>
      <c r="AC2496" s="904"/>
      <c r="AD2496" s="905"/>
      <c r="AE2496" s="2"/>
      <c r="AF2496" s="885"/>
      <c r="AG2496" s="885"/>
      <c r="AH2496" s="885"/>
      <c r="AI2496" s="885"/>
      <c r="AJ2496" s="885"/>
      <c r="AK2496" s="885"/>
      <c r="AL2496" s="885"/>
      <c r="AM2496" s="879"/>
      <c r="AN2496" s="2"/>
      <c r="AO2496" s="886"/>
      <c r="AP2496" s="886"/>
      <c r="AV2496" t="str">
        <f t="shared" si="9819"/>
        <v xml:space="preserve">   Seg. 2.3-C08-Plataforma- Instalação de DSH01 - Seg.2.3 C 08 </v>
      </c>
      <c r="AW2496" s="4" t="str">
        <f t="shared" si="9817"/>
        <v xml:space="preserve">   Seg. 2.3-A16 - Drenagem Superficial - Descida d´água (Km 127+540 a 127+980)</v>
      </c>
    </row>
    <row r="2497" spans="1:49" ht="15.6" customHeight="1" outlineLevel="2">
      <c r="A2497" s="8" t="str">
        <f t="shared" ref="A2497" si="10052">IF(SUM(P2497:V2498)&gt;0,"S","N")</f>
        <v>N</v>
      </c>
      <c r="B2497" s="150">
        <v>1066906</v>
      </c>
      <c r="C2497" s="150" t="s">
        <v>2772</v>
      </c>
      <c r="D2497" s="120" t="s">
        <v>370</v>
      </c>
      <c r="E2497" s="892" t="s">
        <v>2773</v>
      </c>
      <c r="F2497" s="902" t="s">
        <v>52</v>
      </c>
      <c r="G2497" s="528"/>
      <c r="H2497" s="546" t="s">
        <v>37</v>
      </c>
      <c r="I2497" s="711">
        <v>0</v>
      </c>
      <c r="J2497" s="896" t="str">
        <f t="shared" ref="J2497" si="10053">IFERROR((I2498/I2497),"-")</f>
        <v>-</v>
      </c>
      <c r="K2497" s="528"/>
      <c r="L2497" s="546" t="s">
        <v>37</v>
      </c>
      <c r="M2497" s="711">
        <f t="shared" si="9882"/>
        <v>0</v>
      </c>
      <c r="N2497" s="896" t="str">
        <f t="shared" ref="N2497" si="10054">IFERROR((M2498/M2497),"-")</f>
        <v>-</v>
      </c>
      <c r="O2497" s="528"/>
      <c r="P2497" s="547">
        <v>0</v>
      </c>
      <c r="Q2497" s="547">
        <v>0</v>
      </c>
      <c r="R2497" s="547">
        <v>0</v>
      </c>
      <c r="S2497" s="547">
        <v>0</v>
      </c>
      <c r="T2497" s="547">
        <v>0</v>
      </c>
      <c r="U2497" s="547">
        <v>0</v>
      </c>
      <c r="V2497" s="548">
        <v>0</v>
      </c>
      <c r="W2497" s="528"/>
      <c r="X2497" s="711">
        <f t="shared" si="9875"/>
        <v>0</v>
      </c>
      <c r="Y2497" s="896" t="str">
        <f t="shared" ref="Y2497" si="10055">IFERROR((X2498/X2497),"-")</f>
        <v>-</v>
      </c>
      <c r="Z2497" s="528"/>
      <c r="AA2497" s="898">
        <v>0</v>
      </c>
      <c r="AB2497" s="898">
        <v>0</v>
      </c>
      <c r="AC2497" s="903">
        <v>0</v>
      </c>
      <c r="AD2497" s="896" t="str">
        <f t="shared" ref="AD2497" si="10056">IFERROR((AC2497/AA2497),"-")</f>
        <v>-</v>
      </c>
      <c r="AE2497" s="2"/>
      <c r="AF2497" s="884">
        <v>255.93700000000001</v>
      </c>
      <c r="AG2497" s="884"/>
      <c r="AH2497" s="884">
        <v>20.625</v>
      </c>
      <c r="AI2497" s="884"/>
      <c r="AJ2497" s="884"/>
      <c r="AK2497" s="884">
        <f t="shared" ref="AK2497" si="10057">AF2497+AG2497+AH2497+AI2497+AJ2497+AC2497</f>
        <v>276.56200000000001</v>
      </c>
      <c r="AL2497" s="884">
        <v>203.6999999999999</v>
      </c>
      <c r="AM2497" s="878">
        <f t="shared" ref="AM2497" si="10058">IFERROR((AK2497/AL2497),"-")</f>
        <v>1.3576926853215521</v>
      </c>
      <c r="AN2497" s="2"/>
      <c r="AO2497" s="884">
        <v>321</v>
      </c>
      <c r="AP2497" s="884">
        <f t="shared" ref="AP2497" si="10059">AO2497-AK2497</f>
        <v>44.437999999999988</v>
      </c>
      <c r="AV2497" t="str">
        <f t="shared" si="9819"/>
        <v xml:space="preserve">   Seg. 2.3-C08-Plataforma- Instalação de DSH01 - Seg.2.3 C 08 </v>
      </c>
      <c r="AW2497" s="4" t="str">
        <f t="shared" si="9817"/>
        <v xml:space="preserve">   Seg. 2.3-A17 - Drenagem Superficial - Descida d´água (Km 128+320 a 131+241)</v>
      </c>
    </row>
    <row r="2498" spans="1:49" ht="15.6" customHeight="1" outlineLevel="2">
      <c r="A2498" s="8" t="str">
        <f t="shared" ref="A2498" si="10060">A2497</f>
        <v>N</v>
      </c>
      <c r="B2498" s="150"/>
      <c r="C2498" s="150"/>
      <c r="D2498" s="120" t="s">
        <v>370</v>
      </c>
      <c r="E2498" s="893"/>
      <c r="F2498" s="902"/>
      <c r="G2498" s="528"/>
      <c r="H2498" s="549" t="s">
        <v>38</v>
      </c>
      <c r="I2498" s="711">
        <v>0</v>
      </c>
      <c r="J2498" s="897"/>
      <c r="K2498" s="528"/>
      <c r="L2498" s="549" t="s">
        <v>38</v>
      </c>
      <c r="M2498" s="711">
        <f t="shared" si="9882"/>
        <v>0</v>
      </c>
      <c r="N2498" s="897"/>
      <c r="O2498" s="528"/>
      <c r="P2498" s="548">
        <v>0</v>
      </c>
      <c r="Q2498" s="548">
        <v>0</v>
      </c>
      <c r="R2498" s="548">
        <v>0</v>
      </c>
      <c r="S2498" s="548">
        <v>0</v>
      </c>
      <c r="T2498" s="548">
        <v>0</v>
      </c>
      <c r="U2498" s="548">
        <v>0</v>
      </c>
      <c r="V2498" s="548">
        <v>0</v>
      </c>
      <c r="W2498" s="528"/>
      <c r="X2498" s="711">
        <f t="shared" si="9875"/>
        <v>0</v>
      </c>
      <c r="Y2498" s="897"/>
      <c r="Z2498" s="528"/>
      <c r="AA2498" s="899"/>
      <c r="AB2498" s="899"/>
      <c r="AC2498" s="904"/>
      <c r="AD2498" s="905"/>
      <c r="AE2498" s="2"/>
      <c r="AF2498" s="885"/>
      <c r="AG2498" s="885"/>
      <c r="AH2498" s="885"/>
      <c r="AI2498" s="885"/>
      <c r="AJ2498" s="885"/>
      <c r="AK2498" s="885"/>
      <c r="AL2498" s="885"/>
      <c r="AM2498" s="879"/>
      <c r="AN2498" s="2"/>
      <c r="AO2498" s="886"/>
      <c r="AP2498" s="886"/>
      <c r="AV2498" t="str">
        <f t="shared" si="9819"/>
        <v xml:space="preserve">   Seg. 2.3-C08-Plataforma- Instalação de DSH01 - Seg.2.3 C 08 </v>
      </c>
      <c r="AW2498" s="4" t="str">
        <f t="shared" si="9817"/>
        <v xml:space="preserve">   Seg. 2.3-A17 - Drenagem Superficial - Descida d´água (Km 128+320 a 131+241)</v>
      </c>
    </row>
    <row r="2499" spans="1:49" ht="15.6" customHeight="1" outlineLevel="2">
      <c r="A2499" s="8" t="str">
        <f t="shared" ref="A2499" si="10061">IF(SUM(P2499:V2500)&gt;0,"S","N")</f>
        <v>N</v>
      </c>
      <c r="B2499" s="150">
        <v>1066909</v>
      </c>
      <c r="C2499" s="150" t="s">
        <v>2774</v>
      </c>
      <c r="D2499" s="120" t="s">
        <v>2775</v>
      </c>
      <c r="E2499" s="892" t="s">
        <v>2776</v>
      </c>
      <c r="F2499" s="902" t="s">
        <v>52</v>
      </c>
      <c r="G2499" s="528"/>
      <c r="H2499" s="546" t="s">
        <v>37</v>
      </c>
      <c r="I2499" s="711">
        <v>0</v>
      </c>
      <c r="J2499" s="896" t="str">
        <f t="shared" ref="J2499" si="10062">IFERROR((I2500/I2499),"-")</f>
        <v>-</v>
      </c>
      <c r="K2499" s="528"/>
      <c r="L2499" s="546" t="s">
        <v>37</v>
      </c>
      <c r="M2499" s="711">
        <f t="shared" si="9882"/>
        <v>0</v>
      </c>
      <c r="N2499" s="896" t="str">
        <f t="shared" ref="N2499" si="10063">IFERROR((M2500/M2499),"-")</f>
        <v>-</v>
      </c>
      <c r="O2499" s="528"/>
      <c r="P2499" s="547">
        <v>0</v>
      </c>
      <c r="Q2499" s="547">
        <v>0</v>
      </c>
      <c r="R2499" s="547">
        <v>0</v>
      </c>
      <c r="S2499" s="547">
        <v>0</v>
      </c>
      <c r="T2499" s="547">
        <v>0</v>
      </c>
      <c r="U2499" s="547">
        <v>0</v>
      </c>
      <c r="V2499" s="548">
        <v>0</v>
      </c>
      <c r="W2499" s="528"/>
      <c r="X2499" s="711">
        <f t="shared" si="9875"/>
        <v>0</v>
      </c>
      <c r="Y2499" s="896" t="str">
        <f t="shared" ref="Y2499" si="10064">IFERROR((X2500/X2499),"-")</f>
        <v>-</v>
      </c>
      <c r="Z2499" s="528"/>
      <c r="AA2499" s="898">
        <v>0</v>
      </c>
      <c r="AB2499" s="898">
        <v>0</v>
      </c>
      <c r="AC2499" s="903">
        <v>0</v>
      </c>
      <c r="AD2499" s="896" t="str">
        <f t="shared" ref="AD2499" si="10065">IFERROR((AC2499/AA2499),"-")</f>
        <v>-</v>
      </c>
      <c r="AE2499" s="2"/>
      <c r="AF2499" s="884">
        <v>0</v>
      </c>
      <c r="AG2499" s="884"/>
      <c r="AH2499" s="884">
        <v>0</v>
      </c>
      <c r="AI2499" s="884"/>
      <c r="AJ2499" s="884"/>
      <c r="AK2499" s="884">
        <f t="shared" ref="AK2499" si="10066">AF2499+AG2499+AH2499+AI2499+AJ2499+AC2499</f>
        <v>0</v>
      </c>
      <c r="AL2499" s="884">
        <v>0</v>
      </c>
      <c r="AM2499" s="878" t="str">
        <f t="shared" ref="AM2499" si="10067">IFERROR((AK2499/AL2499),"-")</f>
        <v>-</v>
      </c>
      <c r="AN2499" s="2"/>
      <c r="AO2499" s="884">
        <v>14.6</v>
      </c>
      <c r="AP2499" s="884">
        <f t="shared" ref="AP2499" si="10068">AO2499-AK2499</f>
        <v>14.6</v>
      </c>
      <c r="AV2499" t="str">
        <f t="shared" si="9819"/>
        <v xml:space="preserve">   Seg. 2.3-C08-Plataforma- Instalação de DSH01 - Seg.2.3 C 08 </v>
      </c>
      <c r="AW2499" s="4" t="str">
        <f t="shared" si="9817"/>
        <v xml:space="preserve">   Seg. 2.3-C12-Acesso - Drenagem Superficial - Execução de descida d'água</v>
      </c>
    </row>
    <row r="2500" spans="1:49" ht="15.6" customHeight="1" outlineLevel="2">
      <c r="A2500" s="8" t="str">
        <f t="shared" ref="A2500" si="10069">A2499</f>
        <v>N</v>
      </c>
      <c r="B2500" s="150"/>
      <c r="C2500" s="150"/>
      <c r="D2500" s="120" t="s">
        <v>2775</v>
      </c>
      <c r="E2500" s="893"/>
      <c r="F2500" s="902"/>
      <c r="G2500" s="528"/>
      <c r="H2500" s="549" t="s">
        <v>38</v>
      </c>
      <c r="I2500" s="711">
        <v>0</v>
      </c>
      <c r="J2500" s="897"/>
      <c r="K2500" s="528"/>
      <c r="L2500" s="549" t="s">
        <v>38</v>
      </c>
      <c r="M2500" s="711">
        <f t="shared" si="9882"/>
        <v>0</v>
      </c>
      <c r="N2500" s="897"/>
      <c r="O2500" s="528"/>
      <c r="P2500" s="548">
        <v>0</v>
      </c>
      <c r="Q2500" s="548">
        <v>0</v>
      </c>
      <c r="R2500" s="548">
        <v>0</v>
      </c>
      <c r="S2500" s="548">
        <v>0</v>
      </c>
      <c r="T2500" s="548">
        <v>0</v>
      </c>
      <c r="U2500" s="548">
        <v>0</v>
      </c>
      <c r="V2500" s="548">
        <v>0</v>
      </c>
      <c r="W2500" s="528"/>
      <c r="X2500" s="711">
        <f t="shared" si="9875"/>
        <v>0</v>
      </c>
      <c r="Y2500" s="897"/>
      <c r="Z2500" s="528"/>
      <c r="AA2500" s="899"/>
      <c r="AB2500" s="899"/>
      <c r="AC2500" s="904"/>
      <c r="AD2500" s="905"/>
      <c r="AE2500" s="2"/>
      <c r="AF2500" s="885"/>
      <c r="AG2500" s="885"/>
      <c r="AH2500" s="885"/>
      <c r="AI2500" s="885"/>
      <c r="AJ2500" s="885"/>
      <c r="AK2500" s="885"/>
      <c r="AL2500" s="885"/>
      <c r="AM2500" s="879"/>
      <c r="AN2500" s="2"/>
      <c r="AO2500" s="886"/>
      <c r="AP2500" s="886"/>
      <c r="AV2500" t="str">
        <f t="shared" si="9819"/>
        <v xml:space="preserve">   Seg. 2.3-C08-Plataforma- Instalação de DSH01 - Seg.2.3 C 08 </v>
      </c>
      <c r="AW2500" s="4" t="str">
        <f t="shared" si="9817"/>
        <v xml:space="preserve">   Seg. 2.3-C12-Acesso - Drenagem Superficial - Execução de descida d'água</v>
      </c>
    </row>
    <row r="2501" spans="1:49" ht="15.6" customHeight="1" outlineLevel="2">
      <c r="A2501" s="8" t="str">
        <f t="shared" ref="A2501" si="10070">IF(SUM(P2501:V2502)&gt;0,"S","N")</f>
        <v>N</v>
      </c>
      <c r="B2501" s="150">
        <v>1066910</v>
      </c>
      <c r="C2501" s="150" t="s">
        <v>2777</v>
      </c>
      <c r="D2501" s="120" t="s">
        <v>2775</v>
      </c>
      <c r="E2501" s="892" t="s">
        <v>2778</v>
      </c>
      <c r="F2501" s="902" t="s">
        <v>52</v>
      </c>
      <c r="G2501" s="528"/>
      <c r="H2501" s="546" t="s">
        <v>37</v>
      </c>
      <c r="I2501" s="711">
        <v>0</v>
      </c>
      <c r="J2501" s="896" t="str">
        <f t="shared" ref="J2501" si="10071">IFERROR((I2502/I2501),"-")</f>
        <v>-</v>
      </c>
      <c r="K2501" s="528"/>
      <c r="L2501" s="546" t="s">
        <v>37</v>
      </c>
      <c r="M2501" s="711">
        <f t="shared" si="9882"/>
        <v>0</v>
      </c>
      <c r="N2501" s="896" t="str">
        <f t="shared" ref="N2501" si="10072">IFERROR((M2502/M2501),"-")</f>
        <v>-</v>
      </c>
      <c r="O2501" s="528"/>
      <c r="P2501" s="547">
        <v>0</v>
      </c>
      <c r="Q2501" s="547">
        <v>0</v>
      </c>
      <c r="R2501" s="547">
        <v>0</v>
      </c>
      <c r="S2501" s="547">
        <v>0</v>
      </c>
      <c r="T2501" s="547">
        <v>0</v>
      </c>
      <c r="U2501" s="547">
        <v>0</v>
      </c>
      <c r="V2501" s="548">
        <v>0</v>
      </c>
      <c r="W2501" s="528"/>
      <c r="X2501" s="711">
        <f t="shared" si="9875"/>
        <v>0</v>
      </c>
      <c r="Y2501" s="896" t="str">
        <f t="shared" ref="Y2501" si="10073">IFERROR((X2502/X2501),"-")</f>
        <v>-</v>
      </c>
      <c r="Z2501" s="528"/>
      <c r="AA2501" s="898">
        <v>6.5</v>
      </c>
      <c r="AB2501" s="898">
        <v>6.5</v>
      </c>
      <c r="AC2501" s="903">
        <v>0</v>
      </c>
      <c r="AD2501" s="896">
        <f t="shared" ref="AD2501" si="10074">IFERROR((AC2501/AA2501),"-")</f>
        <v>0</v>
      </c>
      <c r="AE2501" s="2"/>
      <c r="AF2501" s="884">
        <v>0</v>
      </c>
      <c r="AG2501" s="884"/>
      <c r="AH2501" s="884">
        <v>0</v>
      </c>
      <c r="AI2501" s="884"/>
      <c r="AJ2501" s="884"/>
      <c r="AK2501" s="884">
        <f t="shared" ref="AK2501" si="10075">AF2501+AG2501+AH2501+AI2501+AJ2501+AC2501</f>
        <v>0</v>
      </c>
      <c r="AL2501" s="884">
        <v>6.5</v>
      </c>
      <c r="AM2501" s="878">
        <f t="shared" ref="AM2501" si="10076">IFERROR((AK2501/AL2501),"-")</f>
        <v>0</v>
      </c>
      <c r="AN2501" s="2"/>
      <c r="AO2501" s="884">
        <v>6.5</v>
      </c>
      <c r="AP2501" s="884">
        <f t="shared" ref="AP2501" si="10077">AO2501-AK2501</f>
        <v>6.5</v>
      </c>
      <c r="AV2501" t="str">
        <f t="shared" si="9819"/>
        <v xml:space="preserve">   Seg. 2.3-C08-Plataforma- Instalação de DSH01 - Seg.2.3 C 08 </v>
      </c>
      <c r="AW2501" s="4" t="str">
        <f t="shared" si="9817"/>
        <v xml:space="preserve">   Seg. 2.3-A17-Acesso - Drenagem Superficial - Execução de descida d'água</v>
      </c>
    </row>
    <row r="2502" spans="1:49" ht="15.6" customHeight="1" outlineLevel="2">
      <c r="A2502" s="8" t="str">
        <f t="shared" ref="A2502" si="10078">A2501</f>
        <v>N</v>
      </c>
      <c r="B2502" s="150"/>
      <c r="C2502" s="150"/>
      <c r="D2502" s="120" t="s">
        <v>2775</v>
      </c>
      <c r="E2502" s="893"/>
      <c r="F2502" s="902"/>
      <c r="G2502" s="528"/>
      <c r="H2502" s="549" t="s">
        <v>38</v>
      </c>
      <c r="I2502" s="711">
        <v>0</v>
      </c>
      <c r="J2502" s="897"/>
      <c r="K2502" s="528"/>
      <c r="L2502" s="549" t="s">
        <v>38</v>
      </c>
      <c r="M2502" s="711">
        <f t="shared" si="9882"/>
        <v>0</v>
      </c>
      <c r="N2502" s="897"/>
      <c r="O2502" s="528"/>
      <c r="P2502" s="548">
        <v>0</v>
      </c>
      <c r="Q2502" s="548">
        <v>0</v>
      </c>
      <c r="R2502" s="548">
        <v>0</v>
      </c>
      <c r="S2502" s="548">
        <v>0</v>
      </c>
      <c r="T2502" s="548">
        <v>0</v>
      </c>
      <c r="U2502" s="548">
        <v>0</v>
      </c>
      <c r="V2502" s="548">
        <v>0</v>
      </c>
      <c r="W2502" s="528"/>
      <c r="X2502" s="711">
        <f t="shared" si="9875"/>
        <v>0</v>
      </c>
      <c r="Y2502" s="897"/>
      <c r="Z2502" s="528"/>
      <c r="AA2502" s="899"/>
      <c r="AB2502" s="899"/>
      <c r="AC2502" s="904"/>
      <c r="AD2502" s="905"/>
      <c r="AE2502" s="2"/>
      <c r="AF2502" s="885"/>
      <c r="AG2502" s="885"/>
      <c r="AH2502" s="885"/>
      <c r="AI2502" s="885"/>
      <c r="AJ2502" s="885"/>
      <c r="AK2502" s="885"/>
      <c r="AL2502" s="885"/>
      <c r="AM2502" s="879"/>
      <c r="AN2502" s="2"/>
      <c r="AO2502" s="886"/>
      <c r="AP2502" s="886"/>
      <c r="AV2502" t="str">
        <f t="shared" si="9819"/>
        <v xml:space="preserve">   Seg. 2.3-C08-Plataforma- Instalação de DSH01 - Seg.2.3 C 08 </v>
      </c>
      <c r="AW2502" s="4" t="str">
        <f t="shared" si="9817"/>
        <v xml:space="preserve">   Seg. 2.3-A17-Acesso - Drenagem Superficial - Execução de descida d'água</v>
      </c>
    </row>
    <row r="2503" spans="1:49" ht="15.6" customHeight="1" outlineLevel="2">
      <c r="A2503" s="8" t="str">
        <f t="shared" ref="A2503" si="10079">IF(SUM(P2503:V2504)&gt;0,"S","N")</f>
        <v>N</v>
      </c>
      <c r="B2503" s="150">
        <v>1069148</v>
      </c>
      <c r="C2503" s="150" t="s">
        <v>2779</v>
      </c>
      <c r="D2503" s="120" t="s">
        <v>2780</v>
      </c>
      <c r="E2503" s="892" t="s">
        <v>2781</v>
      </c>
      <c r="F2503" s="902" t="s">
        <v>52</v>
      </c>
      <c r="G2503" s="528"/>
      <c r="H2503" s="546" t="s">
        <v>37</v>
      </c>
      <c r="I2503" s="711">
        <v>0</v>
      </c>
      <c r="J2503" s="896" t="str">
        <f t="shared" ref="J2503" si="10080">IFERROR((I2504/I2503),"-")</f>
        <v>-</v>
      </c>
      <c r="K2503" s="528"/>
      <c r="L2503" s="546" t="s">
        <v>37</v>
      </c>
      <c r="M2503" s="711">
        <f t="shared" si="9882"/>
        <v>0</v>
      </c>
      <c r="N2503" s="896" t="str">
        <f t="shared" ref="N2503" si="10081">IFERROR((M2504/M2503),"-")</f>
        <v>-</v>
      </c>
      <c r="O2503" s="528"/>
      <c r="P2503" s="547">
        <v>0</v>
      </c>
      <c r="Q2503" s="547">
        <v>0</v>
      </c>
      <c r="R2503" s="547">
        <v>0</v>
      </c>
      <c r="S2503" s="547">
        <v>0</v>
      </c>
      <c r="T2503" s="547">
        <v>0</v>
      </c>
      <c r="U2503" s="547">
        <v>0</v>
      </c>
      <c r="V2503" s="548">
        <v>0</v>
      </c>
      <c r="W2503" s="528"/>
      <c r="X2503" s="711">
        <f t="shared" si="9875"/>
        <v>0</v>
      </c>
      <c r="Y2503" s="896" t="str">
        <f t="shared" ref="Y2503" si="10082">IFERROR((X2504/X2503),"-")</f>
        <v>-</v>
      </c>
      <c r="Z2503" s="528"/>
      <c r="AA2503" s="898">
        <v>0</v>
      </c>
      <c r="AB2503" s="898">
        <v>0</v>
      </c>
      <c r="AC2503" s="903">
        <v>0</v>
      </c>
      <c r="AD2503" s="896" t="str">
        <f t="shared" ref="AD2503" si="10083">IFERROR((AC2503/AA2503),"-")</f>
        <v>-</v>
      </c>
      <c r="AE2503" s="2"/>
      <c r="AF2503" s="884">
        <v>0</v>
      </c>
      <c r="AG2503" s="884"/>
      <c r="AH2503" s="884">
        <v>0</v>
      </c>
      <c r="AI2503" s="884"/>
      <c r="AJ2503" s="884"/>
      <c r="AK2503" s="884">
        <f t="shared" ref="AK2503" si="10084">AF2503+AG2503+AH2503+AI2503+AJ2503+AC2503</f>
        <v>0</v>
      </c>
      <c r="AL2503" s="884">
        <v>1</v>
      </c>
      <c r="AM2503" s="878">
        <f t="shared" ref="AM2503" si="10085">IFERROR((AK2503/AL2503),"-")</f>
        <v>0</v>
      </c>
      <c r="AN2503" s="2"/>
      <c r="AO2503" s="884">
        <v>1</v>
      </c>
      <c r="AP2503" s="884">
        <f t="shared" ref="AP2503" si="10086">AO2503-AK2503</f>
        <v>1</v>
      </c>
      <c r="AV2503" t="str">
        <f t="shared" si="9819"/>
        <v xml:space="preserve">   Seg. 2.3-C08-Plataforma- Instalação de DSH01 - Seg.2.3 C 08 </v>
      </c>
      <c r="AW2503" s="4" t="str">
        <f t="shared" si="9817"/>
        <v xml:space="preserve">   Seg. 2.3-A12-OAC - Descida DDA 06 L=1,00m</v>
      </c>
    </row>
    <row r="2504" spans="1:49" ht="15.6" customHeight="1" outlineLevel="2">
      <c r="A2504" s="8" t="str">
        <f t="shared" ref="A2504" si="10087">A2503</f>
        <v>N</v>
      </c>
      <c r="B2504" s="150"/>
      <c r="C2504" s="150"/>
      <c r="D2504" s="120" t="s">
        <v>2780</v>
      </c>
      <c r="E2504" s="893"/>
      <c r="F2504" s="902"/>
      <c r="G2504" s="528"/>
      <c r="H2504" s="549" t="s">
        <v>38</v>
      </c>
      <c r="I2504" s="711">
        <v>0</v>
      </c>
      <c r="J2504" s="897"/>
      <c r="K2504" s="528"/>
      <c r="L2504" s="549" t="s">
        <v>38</v>
      </c>
      <c r="M2504" s="711">
        <f t="shared" si="9882"/>
        <v>0</v>
      </c>
      <c r="N2504" s="897"/>
      <c r="O2504" s="528"/>
      <c r="P2504" s="548">
        <v>0</v>
      </c>
      <c r="Q2504" s="548">
        <v>0</v>
      </c>
      <c r="R2504" s="548">
        <v>0</v>
      </c>
      <c r="S2504" s="548">
        <v>0</v>
      </c>
      <c r="T2504" s="548">
        <v>0</v>
      </c>
      <c r="U2504" s="548">
        <v>0</v>
      </c>
      <c r="V2504" s="548">
        <v>0</v>
      </c>
      <c r="W2504" s="528"/>
      <c r="X2504" s="711">
        <f t="shared" si="9875"/>
        <v>0</v>
      </c>
      <c r="Y2504" s="897"/>
      <c r="Z2504" s="528"/>
      <c r="AA2504" s="899"/>
      <c r="AB2504" s="899"/>
      <c r="AC2504" s="904"/>
      <c r="AD2504" s="905"/>
      <c r="AE2504" s="2"/>
      <c r="AF2504" s="885"/>
      <c r="AG2504" s="885"/>
      <c r="AH2504" s="885"/>
      <c r="AI2504" s="885"/>
      <c r="AJ2504" s="885"/>
      <c r="AK2504" s="885"/>
      <c r="AL2504" s="885"/>
      <c r="AM2504" s="879"/>
      <c r="AN2504" s="2"/>
      <c r="AO2504" s="886"/>
      <c r="AP2504" s="886"/>
      <c r="AV2504" t="str">
        <f t="shared" si="9819"/>
        <v xml:space="preserve">   Seg. 2.3-C08-Plataforma- Instalação de DSH01 - Seg.2.3 C 08 </v>
      </c>
      <c r="AW2504" s="4" t="str">
        <f t="shared" si="9817"/>
        <v xml:space="preserve">   Seg. 2.3-A12-OAC - Descida DDA 06 L=1,00m</v>
      </c>
    </row>
    <row r="2505" spans="1:49" ht="15.6" customHeight="1" outlineLevel="2">
      <c r="A2505" s="8" t="str">
        <f t="shared" ref="A2505" si="10088">IF(SUM(P2505:V2506)&gt;0,"S","N")</f>
        <v>N</v>
      </c>
      <c r="B2505" s="150">
        <v>1069150</v>
      </c>
      <c r="C2505" s="150" t="s">
        <v>2782</v>
      </c>
      <c r="D2505" s="120" t="s">
        <v>2783</v>
      </c>
      <c r="E2505" s="892" t="s">
        <v>2784</v>
      </c>
      <c r="F2505" s="902" t="s">
        <v>52</v>
      </c>
      <c r="G2505" s="528"/>
      <c r="H2505" s="546" t="s">
        <v>37</v>
      </c>
      <c r="I2505" s="711">
        <v>0</v>
      </c>
      <c r="J2505" s="896" t="str">
        <f t="shared" ref="J2505" si="10089">IFERROR((I2506/I2505),"-")</f>
        <v>-</v>
      </c>
      <c r="K2505" s="528"/>
      <c r="L2505" s="546" t="s">
        <v>37</v>
      </c>
      <c r="M2505" s="711">
        <f t="shared" si="9882"/>
        <v>0</v>
      </c>
      <c r="N2505" s="896" t="str">
        <f t="shared" ref="N2505" si="10090">IFERROR((M2506/M2505),"-")</f>
        <v>-</v>
      </c>
      <c r="O2505" s="528"/>
      <c r="P2505" s="547">
        <v>0</v>
      </c>
      <c r="Q2505" s="547">
        <v>0</v>
      </c>
      <c r="R2505" s="547">
        <v>0</v>
      </c>
      <c r="S2505" s="547">
        <v>0</v>
      </c>
      <c r="T2505" s="547">
        <v>0</v>
      </c>
      <c r="U2505" s="547">
        <v>0</v>
      </c>
      <c r="V2505" s="548">
        <v>0</v>
      </c>
      <c r="W2505" s="528"/>
      <c r="X2505" s="711">
        <f t="shared" si="9875"/>
        <v>0</v>
      </c>
      <c r="Y2505" s="896" t="str">
        <f t="shared" ref="Y2505" si="10091">IFERROR((X2506/X2505),"-")</f>
        <v>-</v>
      </c>
      <c r="Z2505" s="528"/>
      <c r="AA2505" s="898">
        <v>0</v>
      </c>
      <c r="AB2505" s="898">
        <v>0</v>
      </c>
      <c r="AC2505" s="903">
        <v>0</v>
      </c>
      <c r="AD2505" s="896" t="str">
        <f t="shared" ref="AD2505" si="10092">IFERROR((AC2505/AA2505),"-")</f>
        <v>-</v>
      </c>
      <c r="AE2505" s="2"/>
      <c r="AF2505" s="884">
        <v>0</v>
      </c>
      <c r="AG2505" s="884"/>
      <c r="AH2505" s="884">
        <v>0</v>
      </c>
      <c r="AI2505" s="884"/>
      <c r="AJ2505" s="884"/>
      <c r="AK2505" s="884">
        <f t="shared" ref="AK2505" si="10093">AF2505+AG2505+AH2505+AI2505+AJ2505+AC2505</f>
        <v>0</v>
      </c>
      <c r="AL2505" s="884">
        <v>2.6599999999999997</v>
      </c>
      <c r="AM2505" s="878">
        <f t="shared" ref="AM2505" si="10094">IFERROR((AK2505/AL2505),"-")</f>
        <v>0</v>
      </c>
      <c r="AN2505" s="2"/>
      <c r="AO2505" s="884">
        <v>2.7</v>
      </c>
      <c r="AP2505" s="884">
        <f t="shared" ref="AP2505" si="10095">AO2505-AK2505</f>
        <v>2.7</v>
      </c>
      <c r="AV2505" t="str">
        <f t="shared" si="9819"/>
        <v xml:space="preserve">   Seg. 2.3-C08-Plataforma- Instalação de DSH01 - Seg.2.3 C 08 </v>
      </c>
      <c r="AW2505" s="4" t="str">
        <f t="shared" ref="AW2505:AW2568" si="10096">IF(E2505&lt;&gt;"",E2505,AW2504)</f>
        <v xml:space="preserve">   Seg. 2.3-A12-OAC -Descida DDA 05 L=2,70m - LD</v>
      </c>
    </row>
    <row r="2506" spans="1:49" ht="15.6" customHeight="1" outlineLevel="2">
      <c r="A2506" s="8" t="str">
        <f t="shared" ref="A2506" si="10097">A2505</f>
        <v>N</v>
      </c>
      <c r="B2506" s="150"/>
      <c r="C2506" s="150"/>
      <c r="D2506" s="120" t="s">
        <v>2783</v>
      </c>
      <c r="E2506" s="893"/>
      <c r="F2506" s="902"/>
      <c r="G2506" s="528"/>
      <c r="H2506" s="549" t="s">
        <v>38</v>
      </c>
      <c r="I2506" s="711">
        <v>0</v>
      </c>
      <c r="J2506" s="897"/>
      <c r="K2506" s="528"/>
      <c r="L2506" s="549" t="s">
        <v>38</v>
      </c>
      <c r="M2506" s="711">
        <f t="shared" si="9882"/>
        <v>0</v>
      </c>
      <c r="N2506" s="897"/>
      <c r="O2506" s="528"/>
      <c r="P2506" s="548">
        <v>0</v>
      </c>
      <c r="Q2506" s="548">
        <v>0</v>
      </c>
      <c r="R2506" s="548">
        <v>0</v>
      </c>
      <c r="S2506" s="548">
        <v>0</v>
      </c>
      <c r="T2506" s="548">
        <v>0</v>
      </c>
      <c r="U2506" s="548">
        <v>0</v>
      </c>
      <c r="V2506" s="548">
        <v>0</v>
      </c>
      <c r="W2506" s="528"/>
      <c r="X2506" s="711">
        <f t="shared" si="9875"/>
        <v>0</v>
      </c>
      <c r="Y2506" s="897"/>
      <c r="Z2506" s="528"/>
      <c r="AA2506" s="899"/>
      <c r="AB2506" s="899"/>
      <c r="AC2506" s="904"/>
      <c r="AD2506" s="905"/>
      <c r="AE2506" s="2"/>
      <c r="AF2506" s="885"/>
      <c r="AG2506" s="885"/>
      <c r="AH2506" s="885"/>
      <c r="AI2506" s="885"/>
      <c r="AJ2506" s="885"/>
      <c r="AK2506" s="885"/>
      <c r="AL2506" s="885"/>
      <c r="AM2506" s="879"/>
      <c r="AN2506" s="2"/>
      <c r="AO2506" s="886"/>
      <c r="AP2506" s="886"/>
      <c r="AV2506" t="str">
        <f t="shared" ref="AV2506:AV2569" si="10098">IF(AX2506="Y",LEFT(E2506,20),IF(AX2506="x",E2506,AV2505))</f>
        <v xml:space="preserve">   Seg. 2.3-C08-Plataforma- Instalação de DSH01 - Seg.2.3 C 08 </v>
      </c>
      <c r="AW2506" s="4" t="str">
        <f t="shared" si="10096"/>
        <v xml:space="preserve">   Seg. 2.3-A12-OAC -Descida DDA 05 L=2,70m - LD</v>
      </c>
    </row>
    <row r="2507" spans="1:49" ht="15.6" customHeight="1" outlineLevel="2">
      <c r="A2507" s="8" t="str">
        <f t="shared" ref="A2507" si="10099">IF(SUM(P2507:V2508)&gt;0,"S","N")</f>
        <v>N</v>
      </c>
      <c r="B2507" s="150">
        <v>1069152</v>
      </c>
      <c r="C2507" s="150" t="s">
        <v>2785</v>
      </c>
      <c r="D2507" s="120" t="s">
        <v>2786</v>
      </c>
      <c r="E2507" s="892" t="s">
        <v>2787</v>
      </c>
      <c r="F2507" s="902" t="s">
        <v>52</v>
      </c>
      <c r="G2507" s="528"/>
      <c r="H2507" s="546" t="s">
        <v>37</v>
      </c>
      <c r="I2507" s="711">
        <v>0</v>
      </c>
      <c r="J2507" s="896" t="str">
        <f t="shared" ref="J2507" si="10100">IFERROR((I2508/I2507),"-")</f>
        <v>-</v>
      </c>
      <c r="K2507" s="528"/>
      <c r="L2507" s="546" t="s">
        <v>37</v>
      </c>
      <c r="M2507" s="711">
        <f t="shared" si="9882"/>
        <v>0</v>
      </c>
      <c r="N2507" s="896" t="str">
        <f t="shared" ref="N2507" si="10101">IFERROR((M2508/M2507),"-")</f>
        <v>-</v>
      </c>
      <c r="O2507" s="528"/>
      <c r="P2507" s="547">
        <v>0</v>
      </c>
      <c r="Q2507" s="547">
        <v>0</v>
      </c>
      <c r="R2507" s="547">
        <v>0</v>
      </c>
      <c r="S2507" s="547">
        <v>0</v>
      </c>
      <c r="T2507" s="547">
        <v>0</v>
      </c>
      <c r="U2507" s="547">
        <v>0</v>
      </c>
      <c r="V2507" s="548">
        <v>0</v>
      </c>
      <c r="W2507" s="528"/>
      <c r="X2507" s="711">
        <f t="shared" si="9875"/>
        <v>0</v>
      </c>
      <c r="Y2507" s="896" t="str">
        <f t="shared" ref="Y2507" si="10102">IFERROR((X2508/X2507),"-")</f>
        <v>-</v>
      </c>
      <c r="Z2507" s="528"/>
      <c r="AA2507" s="898">
        <v>0</v>
      </c>
      <c r="AB2507" s="898">
        <v>0</v>
      </c>
      <c r="AC2507" s="903">
        <v>0</v>
      </c>
      <c r="AD2507" s="896" t="str">
        <f t="shared" ref="AD2507" si="10103">IFERROR((AC2507/AA2507),"-")</f>
        <v>-</v>
      </c>
      <c r="AE2507" s="2"/>
      <c r="AF2507" s="884">
        <v>0</v>
      </c>
      <c r="AG2507" s="884"/>
      <c r="AH2507" s="884">
        <v>0</v>
      </c>
      <c r="AI2507" s="884"/>
      <c r="AJ2507" s="884"/>
      <c r="AK2507" s="884">
        <f t="shared" ref="AK2507" si="10104">AF2507+AG2507+AH2507+AI2507+AJ2507+AC2507</f>
        <v>0</v>
      </c>
      <c r="AL2507" s="884">
        <v>5</v>
      </c>
      <c r="AM2507" s="878">
        <f t="shared" ref="AM2507" si="10105">IFERROR((AK2507/AL2507),"-")</f>
        <v>0</v>
      </c>
      <c r="AN2507" s="2"/>
      <c r="AO2507" s="884">
        <v>5</v>
      </c>
      <c r="AP2507" s="884">
        <f t="shared" ref="AP2507" si="10106">AO2507-AK2507</f>
        <v>5</v>
      </c>
      <c r="AV2507" t="str">
        <f t="shared" si="10098"/>
        <v xml:space="preserve">   Seg. 2.3-C08-Plataforma- Instalação de DSH01 - Seg.2.3 C 08 </v>
      </c>
      <c r="AW2507" s="4" t="str">
        <f t="shared" si="10096"/>
        <v xml:space="preserve">   Seg. 2.3-A12-OAC - Descida DDA 05 L=5,00m</v>
      </c>
    </row>
    <row r="2508" spans="1:49" ht="15.6" customHeight="1" outlineLevel="2">
      <c r="A2508" s="8" t="str">
        <f t="shared" ref="A2508" si="10107">A2507</f>
        <v>N</v>
      </c>
      <c r="B2508" s="150"/>
      <c r="C2508" s="150"/>
      <c r="D2508" s="120" t="s">
        <v>2786</v>
      </c>
      <c r="E2508" s="893"/>
      <c r="F2508" s="902"/>
      <c r="G2508" s="528"/>
      <c r="H2508" s="549" t="s">
        <v>38</v>
      </c>
      <c r="I2508" s="711">
        <v>0</v>
      </c>
      <c r="J2508" s="897"/>
      <c r="K2508" s="528"/>
      <c r="L2508" s="549" t="s">
        <v>38</v>
      </c>
      <c r="M2508" s="711">
        <f t="shared" si="9882"/>
        <v>0</v>
      </c>
      <c r="N2508" s="897"/>
      <c r="O2508" s="528"/>
      <c r="P2508" s="548">
        <v>0</v>
      </c>
      <c r="Q2508" s="548">
        <v>0</v>
      </c>
      <c r="R2508" s="548">
        <v>0</v>
      </c>
      <c r="S2508" s="548">
        <v>0</v>
      </c>
      <c r="T2508" s="548">
        <v>0</v>
      </c>
      <c r="U2508" s="548">
        <v>0</v>
      </c>
      <c r="V2508" s="548">
        <v>0</v>
      </c>
      <c r="W2508" s="528"/>
      <c r="X2508" s="711">
        <f t="shared" si="9875"/>
        <v>0</v>
      </c>
      <c r="Y2508" s="897"/>
      <c r="Z2508" s="528"/>
      <c r="AA2508" s="899"/>
      <c r="AB2508" s="899"/>
      <c r="AC2508" s="904"/>
      <c r="AD2508" s="905"/>
      <c r="AE2508" s="2"/>
      <c r="AF2508" s="885"/>
      <c r="AG2508" s="885"/>
      <c r="AH2508" s="885"/>
      <c r="AI2508" s="885"/>
      <c r="AJ2508" s="885"/>
      <c r="AK2508" s="885"/>
      <c r="AL2508" s="885"/>
      <c r="AM2508" s="879"/>
      <c r="AN2508" s="2"/>
      <c r="AO2508" s="886"/>
      <c r="AP2508" s="886"/>
      <c r="AV2508" t="str">
        <f t="shared" si="10098"/>
        <v xml:space="preserve">   Seg. 2.3-C08-Plataforma- Instalação de DSH01 - Seg.2.3 C 08 </v>
      </c>
      <c r="AW2508" s="4" t="str">
        <f t="shared" si="10096"/>
        <v xml:space="preserve">   Seg. 2.3-A12-OAC - Descida DDA 05 L=5,00m</v>
      </c>
    </row>
    <row r="2509" spans="1:49" ht="16.350000000000001" customHeight="1" outlineLevel="2">
      <c r="A2509" s="8" t="str">
        <f t="shared" ref="A2509" si="10108">IF(SUM(P2509:V2510)&gt;0,"S","N")</f>
        <v>N</v>
      </c>
      <c r="B2509" s="150">
        <v>1069153</v>
      </c>
      <c r="C2509" s="150" t="s">
        <v>2788</v>
      </c>
      <c r="D2509" s="120" t="s">
        <v>2789</v>
      </c>
      <c r="E2509" s="892" t="s">
        <v>2790</v>
      </c>
      <c r="F2509" s="902" t="s">
        <v>52</v>
      </c>
      <c r="G2509" s="528"/>
      <c r="H2509" s="546" t="s">
        <v>37</v>
      </c>
      <c r="I2509" s="711">
        <v>0</v>
      </c>
      <c r="J2509" s="896" t="str">
        <f t="shared" ref="J2509" si="10109">IFERROR((I2510/I2509),"-")</f>
        <v>-</v>
      </c>
      <c r="K2509" s="528"/>
      <c r="L2509" s="546" t="s">
        <v>37</v>
      </c>
      <c r="M2509" s="711">
        <f t="shared" si="9882"/>
        <v>0</v>
      </c>
      <c r="N2509" s="896" t="str">
        <f t="shared" ref="N2509" si="10110">IFERROR((M2510/M2509),"-")</f>
        <v>-</v>
      </c>
      <c r="O2509" s="528"/>
      <c r="P2509" s="547">
        <v>0</v>
      </c>
      <c r="Q2509" s="547">
        <v>0</v>
      </c>
      <c r="R2509" s="547">
        <v>0</v>
      </c>
      <c r="S2509" s="547">
        <v>0</v>
      </c>
      <c r="T2509" s="547">
        <v>0</v>
      </c>
      <c r="U2509" s="547">
        <v>0</v>
      </c>
      <c r="V2509" s="548">
        <v>0</v>
      </c>
      <c r="W2509" s="528"/>
      <c r="X2509" s="711">
        <f t="shared" si="9875"/>
        <v>0</v>
      </c>
      <c r="Y2509" s="896" t="str">
        <f t="shared" ref="Y2509" si="10111">IFERROR((X2510/X2509),"-")</f>
        <v>-</v>
      </c>
      <c r="Z2509" s="528"/>
      <c r="AA2509" s="898">
        <v>0</v>
      </c>
      <c r="AB2509" s="898">
        <v>0</v>
      </c>
      <c r="AC2509" s="903">
        <v>0</v>
      </c>
      <c r="AD2509" s="896" t="str">
        <f t="shared" ref="AD2509" si="10112">IFERROR((AC2509/AA2509),"-")</f>
        <v>-</v>
      </c>
      <c r="AE2509" s="2"/>
      <c r="AF2509" s="884">
        <v>0</v>
      </c>
      <c r="AG2509" s="884"/>
      <c r="AH2509" s="884">
        <v>0</v>
      </c>
      <c r="AI2509" s="884"/>
      <c r="AJ2509" s="884"/>
      <c r="AK2509" s="884">
        <f t="shared" ref="AK2509" si="10113">AF2509+AG2509+AH2509+AI2509+AJ2509+AC2509</f>
        <v>0</v>
      </c>
      <c r="AL2509" s="884">
        <v>1.5300000000000002</v>
      </c>
      <c r="AM2509" s="878">
        <f t="shared" ref="AM2509" si="10114">IFERROR((AK2509/AL2509),"-")</f>
        <v>0</v>
      </c>
      <c r="AN2509" s="2"/>
      <c r="AO2509" s="884">
        <v>1.5</v>
      </c>
      <c r="AP2509" s="884">
        <f t="shared" ref="AP2509" si="10115">AO2509-AK2509</f>
        <v>1.5</v>
      </c>
      <c r="AV2509" t="str">
        <f t="shared" si="10098"/>
        <v xml:space="preserve">   Seg. 2.3-C08-Plataforma- Instalação de DSH01 - Seg.2.3 C 08 </v>
      </c>
      <c r="AW2509" s="4" t="str">
        <f t="shared" si="10096"/>
        <v xml:space="preserve">   Seg. 2.3-A15-OAC - Descida DDA 06 L=1,5m</v>
      </c>
    </row>
    <row r="2510" spans="1:49" ht="16.350000000000001" customHeight="1" outlineLevel="2">
      <c r="A2510" s="8" t="str">
        <f t="shared" ref="A2510" si="10116">A2509</f>
        <v>N</v>
      </c>
      <c r="B2510" s="150"/>
      <c r="C2510" s="150"/>
      <c r="D2510" s="120" t="s">
        <v>2789</v>
      </c>
      <c r="E2510" s="893"/>
      <c r="F2510" s="902"/>
      <c r="G2510" s="528"/>
      <c r="H2510" s="549" t="s">
        <v>38</v>
      </c>
      <c r="I2510" s="711">
        <v>0</v>
      </c>
      <c r="J2510" s="897"/>
      <c r="K2510" s="528"/>
      <c r="L2510" s="549" t="s">
        <v>38</v>
      </c>
      <c r="M2510" s="711">
        <f t="shared" si="9882"/>
        <v>0</v>
      </c>
      <c r="N2510" s="897"/>
      <c r="O2510" s="528"/>
      <c r="P2510" s="548">
        <v>0</v>
      </c>
      <c r="Q2510" s="548">
        <v>0</v>
      </c>
      <c r="R2510" s="548">
        <v>0</v>
      </c>
      <c r="S2510" s="548">
        <v>0</v>
      </c>
      <c r="T2510" s="548">
        <v>0</v>
      </c>
      <c r="U2510" s="548">
        <v>0</v>
      </c>
      <c r="V2510" s="548">
        <v>0</v>
      </c>
      <c r="W2510" s="528"/>
      <c r="X2510" s="711">
        <f t="shared" si="9875"/>
        <v>0</v>
      </c>
      <c r="Y2510" s="897"/>
      <c r="Z2510" s="528"/>
      <c r="AA2510" s="899"/>
      <c r="AB2510" s="899"/>
      <c r="AC2510" s="904"/>
      <c r="AD2510" s="905"/>
      <c r="AE2510" s="2"/>
      <c r="AF2510" s="885"/>
      <c r="AG2510" s="885"/>
      <c r="AH2510" s="885"/>
      <c r="AI2510" s="885"/>
      <c r="AJ2510" s="885"/>
      <c r="AK2510" s="885"/>
      <c r="AL2510" s="885"/>
      <c r="AM2510" s="879"/>
      <c r="AN2510" s="2"/>
      <c r="AO2510" s="886"/>
      <c r="AP2510" s="886"/>
      <c r="AV2510" t="str">
        <f t="shared" si="10098"/>
        <v xml:space="preserve">   Seg. 2.3-C08-Plataforma- Instalação de DSH01 - Seg.2.3 C 08 </v>
      </c>
      <c r="AW2510" s="4" t="str">
        <f t="shared" si="10096"/>
        <v xml:space="preserve">   Seg. 2.3-A15-OAC - Descida DDA 06 L=1,5m</v>
      </c>
    </row>
    <row r="2511" spans="1:49" ht="16.350000000000001" customHeight="1" outlineLevel="2">
      <c r="A2511" s="8" t="str">
        <f t="shared" ref="A2511" si="10117">IF(SUM(P2511:V2512)&gt;0,"S","N")</f>
        <v>N</v>
      </c>
      <c r="B2511" s="150">
        <v>1069249</v>
      </c>
      <c r="C2511" s="150" t="s">
        <v>2791</v>
      </c>
      <c r="D2511" s="120" t="s">
        <v>347</v>
      </c>
      <c r="E2511" s="892" t="s">
        <v>2792</v>
      </c>
      <c r="F2511" s="902" t="s">
        <v>52</v>
      </c>
      <c r="G2511" s="528"/>
      <c r="H2511" s="546" t="s">
        <v>37</v>
      </c>
      <c r="I2511" s="711">
        <v>0</v>
      </c>
      <c r="J2511" s="896" t="str">
        <f t="shared" ref="J2511" si="10118">IFERROR((I2512/I2511),"-")</f>
        <v>-</v>
      </c>
      <c r="K2511" s="528"/>
      <c r="L2511" s="546" t="s">
        <v>37</v>
      </c>
      <c r="M2511" s="711">
        <f t="shared" si="9882"/>
        <v>0</v>
      </c>
      <c r="N2511" s="896" t="str">
        <f t="shared" ref="N2511" si="10119">IFERROR((M2512/M2511),"-")</f>
        <v>-</v>
      </c>
      <c r="O2511" s="528"/>
      <c r="P2511" s="547">
        <v>0</v>
      </c>
      <c r="Q2511" s="547">
        <v>0</v>
      </c>
      <c r="R2511" s="547">
        <v>0</v>
      </c>
      <c r="S2511" s="547">
        <v>0</v>
      </c>
      <c r="T2511" s="547">
        <v>0</v>
      </c>
      <c r="U2511" s="547">
        <v>0</v>
      </c>
      <c r="V2511" s="548">
        <v>0</v>
      </c>
      <c r="W2511" s="528"/>
      <c r="X2511" s="711">
        <f t="shared" si="9875"/>
        <v>0</v>
      </c>
      <c r="Y2511" s="896" t="str">
        <f t="shared" ref="Y2511" si="10120">IFERROR((X2512/X2511),"-")</f>
        <v>-</v>
      </c>
      <c r="Z2511" s="528"/>
      <c r="AA2511" s="898">
        <v>0</v>
      </c>
      <c r="AB2511" s="898">
        <v>0</v>
      </c>
      <c r="AC2511" s="903">
        <v>0</v>
      </c>
      <c r="AD2511" s="896" t="str">
        <f t="shared" ref="AD2511" si="10121">IFERROR((AC2511/AA2511),"-")</f>
        <v>-</v>
      </c>
      <c r="AE2511" s="2"/>
      <c r="AF2511" s="884">
        <v>0</v>
      </c>
      <c r="AG2511" s="884"/>
      <c r="AH2511" s="884">
        <v>0</v>
      </c>
      <c r="AI2511" s="884"/>
      <c r="AJ2511" s="884"/>
      <c r="AK2511" s="884">
        <f t="shared" ref="AK2511" si="10122">AF2511+AG2511+AH2511+AI2511+AJ2511+AC2511</f>
        <v>0</v>
      </c>
      <c r="AL2511" s="884">
        <v>0</v>
      </c>
      <c r="AM2511" s="878" t="str">
        <f t="shared" ref="AM2511" si="10123">IFERROR((AK2511/AL2511),"-")</f>
        <v>-</v>
      </c>
      <c r="AN2511" s="2"/>
      <c r="AO2511" s="884">
        <v>8.1</v>
      </c>
      <c r="AP2511" s="884">
        <f t="shared" ref="AP2511" si="10124">AO2511-AK2511</f>
        <v>8.1</v>
      </c>
      <c r="AV2511" t="str">
        <f t="shared" si="10098"/>
        <v xml:space="preserve">   Seg. 2.3-C08-Plataforma- Instalação de DSH01 - Seg.2.3 C 08 </v>
      </c>
      <c r="AW2511" s="4" t="str">
        <f t="shared" si="10096"/>
        <v xml:space="preserve">   Seg. 2.3-C09 - Drenagem Superficial - Descida d´água (Km 109+590 a 109+990 e 110+040 a 110+840)</v>
      </c>
    </row>
    <row r="2512" spans="1:49" ht="20.25" customHeight="1" outlineLevel="2">
      <c r="A2512" s="8" t="str">
        <f t="shared" ref="A2512" si="10125">A2511</f>
        <v>N</v>
      </c>
      <c r="B2512" s="150"/>
      <c r="C2512" s="150"/>
      <c r="D2512" s="120" t="s">
        <v>347</v>
      </c>
      <c r="E2512" s="893"/>
      <c r="F2512" s="902"/>
      <c r="G2512" s="528"/>
      <c r="H2512" s="549" t="s">
        <v>38</v>
      </c>
      <c r="I2512" s="711">
        <v>0</v>
      </c>
      <c r="J2512" s="897"/>
      <c r="K2512" s="528"/>
      <c r="L2512" s="549" t="s">
        <v>38</v>
      </c>
      <c r="M2512" s="711">
        <f t="shared" si="9882"/>
        <v>0</v>
      </c>
      <c r="N2512" s="897"/>
      <c r="O2512" s="528"/>
      <c r="P2512" s="548">
        <v>0</v>
      </c>
      <c r="Q2512" s="548">
        <v>0</v>
      </c>
      <c r="R2512" s="548">
        <v>0</v>
      </c>
      <c r="S2512" s="548">
        <v>0</v>
      </c>
      <c r="T2512" s="548">
        <v>0</v>
      </c>
      <c r="U2512" s="548">
        <v>0</v>
      </c>
      <c r="V2512" s="548">
        <v>0</v>
      </c>
      <c r="W2512" s="528"/>
      <c r="X2512" s="711">
        <f t="shared" si="9875"/>
        <v>0</v>
      </c>
      <c r="Y2512" s="897"/>
      <c r="Z2512" s="528"/>
      <c r="AA2512" s="899"/>
      <c r="AB2512" s="899"/>
      <c r="AC2512" s="904"/>
      <c r="AD2512" s="905"/>
      <c r="AE2512" s="2"/>
      <c r="AF2512" s="885"/>
      <c r="AG2512" s="885"/>
      <c r="AH2512" s="885"/>
      <c r="AI2512" s="885"/>
      <c r="AJ2512" s="885"/>
      <c r="AK2512" s="885"/>
      <c r="AL2512" s="885"/>
      <c r="AM2512" s="879"/>
      <c r="AN2512" s="2"/>
      <c r="AO2512" s="886"/>
      <c r="AP2512" s="886"/>
      <c r="AV2512" t="str">
        <f t="shared" si="10098"/>
        <v xml:space="preserve">   Seg. 2.3-C08-Plataforma- Instalação de DSH01 - Seg.2.3 C 08 </v>
      </c>
      <c r="AW2512" s="4" t="str">
        <f t="shared" si="10096"/>
        <v xml:space="preserve">   Seg. 2.3-C09 - Drenagem Superficial - Descida d´água (Km 109+590 a 109+990 e 110+040 a 110+840)</v>
      </c>
    </row>
    <row r="2513" spans="1:49" ht="24.95" customHeight="1" outlineLevel="2">
      <c r="A2513" s="8" t="str">
        <f t="shared" ref="A2513" si="10126">IF(SUM(P2513:V2514)&gt;0,"S","N")</f>
        <v>N</v>
      </c>
      <c r="B2513" s="150">
        <v>1069257</v>
      </c>
      <c r="C2513" s="150" t="s">
        <v>2793</v>
      </c>
      <c r="D2513" s="120" t="s">
        <v>292</v>
      </c>
      <c r="E2513" s="892" t="s">
        <v>2794</v>
      </c>
      <c r="F2513" s="902" t="s">
        <v>52</v>
      </c>
      <c r="G2513" s="528"/>
      <c r="H2513" s="546" t="s">
        <v>37</v>
      </c>
      <c r="I2513" s="711">
        <v>0</v>
      </c>
      <c r="J2513" s="896" t="str">
        <f t="shared" ref="J2513" si="10127">IFERROR((I2514/I2513),"-")</f>
        <v>-</v>
      </c>
      <c r="K2513" s="528"/>
      <c r="L2513" s="546" t="s">
        <v>37</v>
      </c>
      <c r="M2513" s="711">
        <f t="shared" si="9882"/>
        <v>0</v>
      </c>
      <c r="N2513" s="896" t="str">
        <f t="shared" ref="N2513" si="10128">IFERROR((M2514/M2513),"-")</f>
        <v>-</v>
      </c>
      <c r="O2513" s="528"/>
      <c r="P2513" s="547">
        <v>0</v>
      </c>
      <c r="Q2513" s="547">
        <v>0</v>
      </c>
      <c r="R2513" s="547">
        <v>0</v>
      </c>
      <c r="S2513" s="547">
        <v>0</v>
      </c>
      <c r="T2513" s="547">
        <v>0</v>
      </c>
      <c r="U2513" s="547">
        <v>0</v>
      </c>
      <c r="V2513" s="548">
        <v>0</v>
      </c>
      <c r="W2513" s="528"/>
      <c r="X2513" s="711">
        <f t="shared" si="9875"/>
        <v>0</v>
      </c>
      <c r="Y2513" s="896" t="str">
        <f t="shared" ref="Y2513" si="10129">IFERROR((X2514/X2513),"-")</f>
        <v>-</v>
      </c>
      <c r="Z2513" s="528"/>
      <c r="AA2513" s="898">
        <v>0</v>
      </c>
      <c r="AB2513" s="898">
        <v>0</v>
      </c>
      <c r="AC2513" s="903">
        <v>0</v>
      </c>
      <c r="AD2513" s="896" t="str">
        <f t="shared" ref="AD2513" si="10130">IFERROR((AC2513/AA2513),"-")</f>
        <v>-</v>
      </c>
      <c r="AE2513" s="2"/>
      <c r="AF2513" s="884">
        <v>0</v>
      </c>
      <c r="AG2513" s="884"/>
      <c r="AH2513" s="884">
        <v>0</v>
      </c>
      <c r="AI2513" s="884"/>
      <c r="AJ2513" s="884"/>
      <c r="AK2513" s="884">
        <f t="shared" ref="AK2513" si="10131">AF2513+AG2513+AH2513+AI2513+AJ2513+AC2513</f>
        <v>0</v>
      </c>
      <c r="AL2513" s="884">
        <v>0</v>
      </c>
      <c r="AM2513" s="878" t="str">
        <f t="shared" ref="AM2513" si="10132">IFERROR((AK2513/AL2513),"-")</f>
        <v>-</v>
      </c>
      <c r="AN2513" s="2"/>
      <c r="AO2513" s="884">
        <v>4</v>
      </c>
      <c r="AP2513" s="884">
        <f t="shared" ref="AP2513" si="10133">AO2513-AK2513</f>
        <v>4</v>
      </c>
      <c r="AV2513" t="str">
        <f t="shared" si="10098"/>
        <v xml:space="preserve">   Seg. 2.3-C08-Plataforma- Instalação de DSH01 - Seg.2.3 C 08 </v>
      </c>
      <c r="AW2513" s="4" t="str">
        <f t="shared" si="10096"/>
        <v xml:space="preserve">   Seg. 2.3-C03 - Drenagem Superficial - Descida d´água (Km 118+300 a 118+500)</v>
      </c>
    </row>
    <row r="2514" spans="1:49" ht="24.95" customHeight="1" outlineLevel="2">
      <c r="A2514" s="8" t="str">
        <f t="shared" ref="A2514" si="10134">A2513</f>
        <v>N</v>
      </c>
      <c r="B2514" s="150"/>
      <c r="C2514" s="150"/>
      <c r="D2514" s="120" t="s">
        <v>292</v>
      </c>
      <c r="E2514" s="893"/>
      <c r="F2514" s="902"/>
      <c r="G2514" s="528"/>
      <c r="H2514" s="549" t="s">
        <v>38</v>
      </c>
      <c r="I2514" s="711">
        <v>0</v>
      </c>
      <c r="J2514" s="897"/>
      <c r="K2514" s="528"/>
      <c r="L2514" s="549" t="s">
        <v>38</v>
      </c>
      <c r="M2514" s="711">
        <f t="shared" si="9882"/>
        <v>0</v>
      </c>
      <c r="N2514" s="897"/>
      <c r="O2514" s="528"/>
      <c r="P2514" s="548">
        <v>0</v>
      </c>
      <c r="Q2514" s="548">
        <v>0</v>
      </c>
      <c r="R2514" s="548">
        <v>0</v>
      </c>
      <c r="S2514" s="548">
        <v>0</v>
      </c>
      <c r="T2514" s="548">
        <v>0</v>
      </c>
      <c r="U2514" s="548">
        <v>0</v>
      </c>
      <c r="V2514" s="548">
        <v>0</v>
      </c>
      <c r="W2514" s="528"/>
      <c r="X2514" s="711">
        <f t="shared" si="9875"/>
        <v>0</v>
      </c>
      <c r="Y2514" s="897"/>
      <c r="Z2514" s="528"/>
      <c r="AA2514" s="899"/>
      <c r="AB2514" s="899"/>
      <c r="AC2514" s="904"/>
      <c r="AD2514" s="905"/>
      <c r="AE2514" s="2"/>
      <c r="AF2514" s="885"/>
      <c r="AG2514" s="885"/>
      <c r="AH2514" s="885"/>
      <c r="AI2514" s="885"/>
      <c r="AJ2514" s="885"/>
      <c r="AK2514" s="885"/>
      <c r="AL2514" s="885"/>
      <c r="AM2514" s="879"/>
      <c r="AN2514" s="2"/>
      <c r="AO2514" s="886"/>
      <c r="AP2514" s="886"/>
      <c r="AV2514" t="str">
        <f t="shared" si="10098"/>
        <v xml:space="preserve">   Seg. 2.3-C08-Plataforma- Instalação de DSH01 - Seg.2.3 C 08 </v>
      </c>
      <c r="AW2514" s="4" t="str">
        <f t="shared" si="10096"/>
        <v xml:space="preserve">   Seg. 2.3-C03 - Drenagem Superficial - Descida d´água (Km 118+300 a 118+500)</v>
      </c>
    </row>
    <row r="2515" spans="1:49" ht="10.35" customHeight="1" outlineLevel="2">
      <c r="A2515" s="8" t="str">
        <f t="shared" ref="A2515" si="10135">IF(SUM(P2515:V2516)&gt;0,"S","N")</f>
        <v>N</v>
      </c>
      <c r="B2515" s="150">
        <v>1069514</v>
      </c>
      <c r="C2515" s="150" t="s">
        <v>2795</v>
      </c>
      <c r="D2515" s="120" t="s">
        <v>298</v>
      </c>
      <c r="E2515" s="892" t="s">
        <v>2796</v>
      </c>
      <c r="F2515" s="902" t="s">
        <v>52</v>
      </c>
      <c r="G2515" s="528"/>
      <c r="H2515" s="546" t="s">
        <v>37</v>
      </c>
      <c r="I2515" s="711">
        <v>0</v>
      </c>
      <c r="J2515" s="896" t="str">
        <f t="shared" ref="J2515" si="10136">IFERROR((I2516/I2515),"-")</f>
        <v>-</v>
      </c>
      <c r="K2515" s="528"/>
      <c r="L2515" s="546" t="s">
        <v>37</v>
      </c>
      <c r="M2515" s="711">
        <f t="shared" si="9882"/>
        <v>0</v>
      </c>
      <c r="N2515" s="896" t="str">
        <f t="shared" ref="N2515" si="10137">IFERROR((M2516/M2515),"-")</f>
        <v>-</v>
      </c>
      <c r="O2515" s="528"/>
      <c r="P2515" s="547">
        <v>0</v>
      </c>
      <c r="Q2515" s="547">
        <v>0</v>
      </c>
      <c r="R2515" s="547">
        <v>0</v>
      </c>
      <c r="S2515" s="547">
        <v>0</v>
      </c>
      <c r="T2515" s="547">
        <v>0</v>
      </c>
      <c r="U2515" s="547">
        <v>0</v>
      </c>
      <c r="V2515" s="548">
        <v>0</v>
      </c>
      <c r="W2515" s="528"/>
      <c r="X2515" s="711">
        <f t="shared" si="9875"/>
        <v>0</v>
      </c>
      <c r="Y2515" s="896" t="str">
        <f t="shared" ref="Y2515" si="10138">IFERROR((X2516/X2515),"-")</f>
        <v>-</v>
      </c>
      <c r="Z2515" s="528"/>
      <c r="AA2515" s="898">
        <v>0</v>
      </c>
      <c r="AB2515" s="898">
        <v>0</v>
      </c>
      <c r="AC2515" s="903">
        <v>0</v>
      </c>
      <c r="AD2515" s="896" t="str">
        <f t="shared" ref="AD2515" si="10139">IFERROR((AC2515/AA2515),"-")</f>
        <v>-</v>
      </c>
      <c r="AE2515" s="2"/>
      <c r="AF2515" s="884">
        <v>0</v>
      </c>
      <c r="AG2515" s="884"/>
      <c r="AH2515" s="884">
        <v>0</v>
      </c>
      <c r="AI2515" s="884"/>
      <c r="AJ2515" s="884"/>
      <c r="AK2515" s="884">
        <f t="shared" ref="AK2515" si="10140">AF2515+AG2515+AH2515+AI2515+AJ2515+AC2515</f>
        <v>0</v>
      </c>
      <c r="AL2515" s="884">
        <v>0</v>
      </c>
      <c r="AM2515" s="878" t="str">
        <f t="shared" ref="AM2515" si="10141">IFERROR((AK2515/AL2515),"-")</f>
        <v>-</v>
      </c>
      <c r="AN2515" s="2"/>
      <c r="AO2515" s="884">
        <v>4</v>
      </c>
      <c r="AP2515" s="884">
        <f t="shared" ref="AP2515" si="10142">AO2515-AK2515</f>
        <v>4</v>
      </c>
      <c r="AV2515" t="str">
        <f t="shared" si="10098"/>
        <v xml:space="preserve">   Seg. 2.3-C08-Plataforma- Instalação de DSH01 - Seg.2.3 C 08 </v>
      </c>
      <c r="AW2515" s="4" t="str">
        <f t="shared" si="10096"/>
        <v xml:space="preserve">   Seg. 2.3-C08-Plataforma - Drenagem Superficial - Descida D´água</v>
      </c>
    </row>
    <row r="2516" spans="1:49" ht="14.45" customHeight="1" outlineLevel="2">
      <c r="A2516" s="8" t="str">
        <f t="shared" ref="A2516" si="10143">A2515</f>
        <v>N</v>
      </c>
      <c r="B2516" s="150"/>
      <c r="C2516" s="150"/>
      <c r="D2516" s="120" t="s">
        <v>298</v>
      </c>
      <c r="E2516" s="893"/>
      <c r="F2516" s="902"/>
      <c r="G2516" s="528"/>
      <c r="H2516" s="549" t="s">
        <v>38</v>
      </c>
      <c r="I2516" s="711">
        <v>0</v>
      </c>
      <c r="J2516" s="897"/>
      <c r="K2516" s="528"/>
      <c r="L2516" s="549" t="s">
        <v>38</v>
      </c>
      <c r="M2516" s="711">
        <f t="shared" si="9882"/>
        <v>0</v>
      </c>
      <c r="N2516" s="897"/>
      <c r="O2516" s="528"/>
      <c r="P2516" s="548">
        <v>0</v>
      </c>
      <c r="Q2516" s="548">
        <v>0</v>
      </c>
      <c r="R2516" s="548">
        <v>0</v>
      </c>
      <c r="S2516" s="548">
        <v>0</v>
      </c>
      <c r="T2516" s="548">
        <v>0</v>
      </c>
      <c r="U2516" s="548">
        <v>0</v>
      </c>
      <c r="V2516" s="548">
        <v>0</v>
      </c>
      <c r="W2516" s="528"/>
      <c r="X2516" s="711">
        <f t="shared" si="9875"/>
        <v>0</v>
      </c>
      <c r="Y2516" s="897"/>
      <c r="Z2516" s="528"/>
      <c r="AA2516" s="899"/>
      <c r="AB2516" s="899"/>
      <c r="AC2516" s="904"/>
      <c r="AD2516" s="905"/>
      <c r="AE2516" s="2"/>
      <c r="AF2516" s="885"/>
      <c r="AG2516" s="885"/>
      <c r="AH2516" s="885"/>
      <c r="AI2516" s="885"/>
      <c r="AJ2516" s="885"/>
      <c r="AK2516" s="885"/>
      <c r="AL2516" s="885"/>
      <c r="AM2516" s="879"/>
      <c r="AN2516" s="2"/>
      <c r="AO2516" s="886"/>
      <c r="AP2516" s="886"/>
      <c r="AV2516" t="str">
        <f t="shared" si="10098"/>
        <v xml:space="preserve">   Seg. 2.3-C08-Plataforma- Instalação de DSH01 - Seg.2.3 C 08 </v>
      </c>
      <c r="AW2516" s="4" t="str">
        <f t="shared" si="10096"/>
        <v xml:space="preserve">   Seg. 2.3-C08-Plataforma - Drenagem Superficial - Descida D´água</v>
      </c>
    </row>
    <row r="2517" spans="1:49" ht="15" customHeight="1" outlineLevel="2">
      <c r="A2517" s="8" t="str">
        <f t="shared" ref="A2517" si="10144">IF(SUM(P2517:V2518)&gt;0,"S","N")</f>
        <v>N</v>
      </c>
      <c r="B2517" s="150">
        <v>1069520</v>
      </c>
      <c r="C2517" s="150" t="s">
        <v>2797</v>
      </c>
      <c r="D2517" s="120" t="s">
        <v>2798</v>
      </c>
      <c r="E2517" s="892" t="s">
        <v>2799</v>
      </c>
      <c r="F2517" s="902" t="s">
        <v>52</v>
      </c>
      <c r="G2517" s="528"/>
      <c r="H2517" s="546" t="s">
        <v>37</v>
      </c>
      <c r="I2517" s="711">
        <v>0</v>
      </c>
      <c r="J2517" s="896" t="str">
        <f t="shared" ref="J2517" si="10145">IFERROR((I2518/I2517),"-")</f>
        <v>-</v>
      </c>
      <c r="K2517" s="528"/>
      <c r="L2517" s="546" t="s">
        <v>37</v>
      </c>
      <c r="M2517" s="711">
        <f t="shared" si="9882"/>
        <v>0</v>
      </c>
      <c r="N2517" s="896" t="str">
        <f t="shared" ref="N2517" si="10146">IFERROR((M2518/M2517),"-")</f>
        <v>-</v>
      </c>
      <c r="O2517" s="528"/>
      <c r="P2517" s="547">
        <v>0</v>
      </c>
      <c r="Q2517" s="547">
        <v>0</v>
      </c>
      <c r="R2517" s="547">
        <v>0</v>
      </c>
      <c r="S2517" s="547">
        <v>0</v>
      </c>
      <c r="T2517" s="547">
        <v>0</v>
      </c>
      <c r="U2517" s="547">
        <v>0</v>
      </c>
      <c r="V2517" s="548">
        <v>0</v>
      </c>
      <c r="W2517" s="528"/>
      <c r="X2517" s="711">
        <f t="shared" si="9875"/>
        <v>0</v>
      </c>
      <c r="Y2517" s="896" t="str">
        <f t="shared" ref="Y2517" si="10147">IFERROR((X2518/X2517),"-")</f>
        <v>-</v>
      </c>
      <c r="Z2517" s="528"/>
      <c r="AA2517" s="898">
        <v>93.5</v>
      </c>
      <c r="AB2517" s="898">
        <v>51.089999999999996</v>
      </c>
      <c r="AC2517" s="903">
        <v>0</v>
      </c>
      <c r="AD2517" s="896">
        <f t="shared" ref="AD2517" si="10148">IFERROR((AC2517/AA2517),"-")</f>
        <v>0</v>
      </c>
      <c r="AE2517" s="2"/>
      <c r="AF2517" s="884">
        <v>0</v>
      </c>
      <c r="AG2517" s="884"/>
      <c r="AH2517" s="884">
        <v>0</v>
      </c>
      <c r="AI2517" s="884"/>
      <c r="AJ2517" s="884"/>
      <c r="AK2517" s="884">
        <f t="shared" ref="AK2517" si="10149">AF2517+AG2517+AH2517+AI2517+AJ2517+AC2517</f>
        <v>0</v>
      </c>
      <c r="AL2517" s="884">
        <v>51.089999999999996</v>
      </c>
      <c r="AM2517" s="878">
        <f t="shared" ref="AM2517" si="10150">IFERROR((AK2517/AL2517),"-")</f>
        <v>0</v>
      </c>
      <c r="AN2517" s="2"/>
      <c r="AO2517" s="884">
        <v>93.5</v>
      </c>
      <c r="AP2517" s="884">
        <f t="shared" ref="AP2517" si="10151">AO2517-AK2517</f>
        <v>93.5</v>
      </c>
      <c r="AV2517" t="str">
        <f t="shared" si="10098"/>
        <v xml:space="preserve">   Seg. 2.3-C08-Plataforma- Instalação de DSH01 - Seg.2.3 C 08 </v>
      </c>
      <c r="AW2517" s="4" t="str">
        <f t="shared" si="10096"/>
        <v xml:space="preserve">   Construção de descida d'agua</v>
      </c>
    </row>
    <row r="2518" spans="1:49" ht="15" customHeight="1" outlineLevel="2">
      <c r="A2518" s="8" t="str">
        <f t="shared" ref="A2518" si="10152">A2517</f>
        <v>N</v>
      </c>
      <c r="B2518" s="150"/>
      <c r="C2518" s="150"/>
      <c r="D2518" s="120" t="s">
        <v>2798</v>
      </c>
      <c r="E2518" s="893"/>
      <c r="F2518" s="902"/>
      <c r="G2518" s="528"/>
      <c r="H2518" s="549" t="s">
        <v>38</v>
      </c>
      <c r="I2518" s="711">
        <v>0</v>
      </c>
      <c r="J2518" s="897"/>
      <c r="K2518" s="528"/>
      <c r="L2518" s="549" t="s">
        <v>38</v>
      </c>
      <c r="M2518" s="711">
        <f t="shared" si="9882"/>
        <v>0</v>
      </c>
      <c r="N2518" s="897"/>
      <c r="O2518" s="528"/>
      <c r="P2518" s="548">
        <v>0</v>
      </c>
      <c r="Q2518" s="548">
        <v>0</v>
      </c>
      <c r="R2518" s="548">
        <v>0</v>
      </c>
      <c r="S2518" s="548">
        <v>0</v>
      </c>
      <c r="T2518" s="548">
        <v>0</v>
      </c>
      <c r="U2518" s="548">
        <v>0</v>
      </c>
      <c r="V2518" s="548">
        <v>0</v>
      </c>
      <c r="W2518" s="528"/>
      <c r="X2518" s="711">
        <f t="shared" si="9875"/>
        <v>0</v>
      </c>
      <c r="Y2518" s="897"/>
      <c r="Z2518" s="528"/>
      <c r="AA2518" s="899"/>
      <c r="AB2518" s="899"/>
      <c r="AC2518" s="904"/>
      <c r="AD2518" s="905"/>
      <c r="AE2518" s="2"/>
      <c r="AF2518" s="885"/>
      <c r="AG2518" s="885"/>
      <c r="AH2518" s="885"/>
      <c r="AI2518" s="885"/>
      <c r="AJ2518" s="885"/>
      <c r="AK2518" s="885"/>
      <c r="AL2518" s="885"/>
      <c r="AM2518" s="879"/>
      <c r="AN2518" s="2"/>
      <c r="AO2518" s="886"/>
      <c r="AP2518" s="886"/>
      <c r="AV2518" t="str">
        <f t="shared" si="10098"/>
        <v xml:space="preserve">   Seg. 2.3-C08-Plataforma- Instalação de DSH01 - Seg.2.3 C 08 </v>
      </c>
      <c r="AW2518" s="4" t="str">
        <f t="shared" si="10096"/>
        <v xml:space="preserve">   Construção de descida d'agua</v>
      </c>
    </row>
    <row r="2519" spans="1:49" ht="15.6" customHeight="1" outlineLevel="1">
      <c r="A2519" s="8" t="str">
        <f t="shared" ref="A2519" si="10153">IF(SUM(P2519:V2520)&gt;0,"S","N")</f>
        <v>N</v>
      </c>
      <c r="B2519" s="150">
        <v>1070101</v>
      </c>
      <c r="C2519" s="150" t="s">
        <v>2800</v>
      </c>
      <c r="D2519" s="120" t="s">
        <v>298</v>
      </c>
      <c r="E2519" s="892" t="s">
        <v>2796</v>
      </c>
      <c r="F2519" s="902" t="s">
        <v>52</v>
      </c>
      <c r="G2519" s="528"/>
      <c r="H2519" s="546" t="s">
        <v>37</v>
      </c>
      <c r="I2519" s="711">
        <v>0</v>
      </c>
      <c r="J2519" s="896" t="str">
        <f t="shared" ref="J2519" si="10154">IFERROR((I2520/I2519),"-")</f>
        <v>-</v>
      </c>
      <c r="K2519" s="528"/>
      <c r="L2519" s="546" t="s">
        <v>37</v>
      </c>
      <c r="M2519" s="711">
        <f t="shared" si="9882"/>
        <v>0</v>
      </c>
      <c r="N2519" s="896" t="str">
        <f t="shared" ref="N2519" si="10155">IFERROR((M2520/M2519),"-")</f>
        <v>-</v>
      </c>
      <c r="O2519" s="528"/>
      <c r="P2519" s="547">
        <v>0</v>
      </c>
      <c r="Q2519" s="547">
        <v>0</v>
      </c>
      <c r="R2519" s="547">
        <v>0</v>
      </c>
      <c r="S2519" s="547">
        <v>0</v>
      </c>
      <c r="T2519" s="547">
        <v>0</v>
      </c>
      <c r="U2519" s="547">
        <v>0</v>
      </c>
      <c r="V2519" s="548">
        <v>0</v>
      </c>
      <c r="W2519" s="528"/>
      <c r="X2519" s="711">
        <f t="shared" si="9875"/>
        <v>0</v>
      </c>
      <c r="Y2519" s="896" t="str">
        <f t="shared" ref="Y2519" si="10156">IFERROR((X2520/X2519),"-")</f>
        <v>-</v>
      </c>
      <c r="Z2519" s="528"/>
      <c r="AA2519" s="898">
        <v>5</v>
      </c>
      <c r="AB2519" s="898">
        <v>0</v>
      </c>
      <c r="AC2519" s="903">
        <v>0</v>
      </c>
      <c r="AD2519" s="896">
        <f t="shared" ref="AD2519" si="10157">IFERROR((AC2519/AA2519),"-")</f>
        <v>0</v>
      </c>
      <c r="AE2519" s="2"/>
      <c r="AF2519" s="884">
        <v>0</v>
      </c>
      <c r="AG2519" s="884"/>
      <c r="AH2519" s="884">
        <v>0</v>
      </c>
      <c r="AI2519" s="884"/>
      <c r="AJ2519" s="884"/>
      <c r="AK2519" s="884">
        <f t="shared" ref="AK2519" si="10158">AF2519+AG2519+AH2519+AI2519+AJ2519+AC2519</f>
        <v>0</v>
      </c>
      <c r="AL2519" s="884">
        <v>0</v>
      </c>
      <c r="AM2519" s="878" t="str">
        <f t="shared" ref="AM2519" si="10159">IFERROR((AK2519/AL2519),"-")</f>
        <v>-</v>
      </c>
      <c r="AN2519" s="2"/>
      <c r="AO2519" s="884">
        <v>5</v>
      </c>
      <c r="AP2519" s="884">
        <f t="shared" ref="AP2519" si="10160">AO2519-AK2519</f>
        <v>5</v>
      </c>
      <c r="AV2519" t="str">
        <f t="shared" si="10098"/>
        <v xml:space="preserve">   Seg. 2.3-C08-Plataforma- Instalação de DSH01 - Seg.2.3 C 08 </v>
      </c>
      <c r="AW2519" s="4" t="str">
        <f t="shared" si="10096"/>
        <v xml:space="preserve">   Seg. 2.3-C08-Plataforma - Drenagem Superficial - Descida D´água</v>
      </c>
    </row>
    <row r="2520" spans="1:49" ht="15.6" customHeight="1" outlineLevel="1">
      <c r="A2520" s="8" t="str">
        <f t="shared" ref="A2520" si="10161">A2519</f>
        <v>N</v>
      </c>
      <c r="B2520" s="150"/>
      <c r="C2520" s="150"/>
      <c r="D2520" s="120" t="s">
        <v>298</v>
      </c>
      <c r="E2520" s="893"/>
      <c r="F2520" s="902"/>
      <c r="G2520" s="528"/>
      <c r="H2520" s="549" t="s">
        <v>38</v>
      </c>
      <c r="I2520" s="711">
        <v>0</v>
      </c>
      <c r="J2520" s="897"/>
      <c r="K2520" s="528"/>
      <c r="L2520" s="549" t="s">
        <v>38</v>
      </c>
      <c r="M2520" s="711">
        <f t="shared" si="9882"/>
        <v>0</v>
      </c>
      <c r="N2520" s="897"/>
      <c r="O2520" s="528"/>
      <c r="P2520" s="548">
        <v>0</v>
      </c>
      <c r="Q2520" s="548">
        <v>0</v>
      </c>
      <c r="R2520" s="548">
        <v>0</v>
      </c>
      <c r="S2520" s="548">
        <v>0</v>
      </c>
      <c r="T2520" s="548">
        <v>0</v>
      </c>
      <c r="U2520" s="548">
        <v>0</v>
      </c>
      <c r="V2520" s="548">
        <v>0</v>
      </c>
      <c r="W2520" s="528"/>
      <c r="X2520" s="711">
        <f t="shared" si="9875"/>
        <v>0</v>
      </c>
      <c r="Y2520" s="897"/>
      <c r="Z2520" s="528"/>
      <c r="AA2520" s="899"/>
      <c r="AB2520" s="899"/>
      <c r="AC2520" s="904"/>
      <c r="AD2520" s="905"/>
      <c r="AE2520" s="2"/>
      <c r="AF2520" s="885"/>
      <c r="AG2520" s="885"/>
      <c r="AH2520" s="885"/>
      <c r="AI2520" s="885"/>
      <c r="AJ2520" s="885"/>
      <c r="AK2520" s="885"/>
      <c r="AL2520" s="885"/>
      <c r="AM2520" s="879"/>
      <c r="AN2520" s="2"/>
      <c r="AO2520" s="886"/>
      <c r="AP2520" s="886"/>
      <c r="AV2520" t="str">
        <f t="shared" si="10098"/>
        <v xml:space="preserve">   Seg. 2.3-C08-Plataforma- Instalação de DSH01 - Seg.2.3 C 08 </v>
      </c>
      <c r="AW2520" s="4" t="str">
        <f t="shared" si="10096"/>
        <v xml:space="preserve">   Seg. 2.3-C08-Plataforma - Drenagem Superficial - Descida D´água</v>
      </c>
    </row>
    <row r="2521" spans="1:49" ht="15.6" customHeight="1" outlineLevel="1">
      <c r="A2521" s="8" t="str">
        <f t="shared" ref="A2521" si="10162">IF(SUM(P2521:V2522)&gt;0,"S","N")</f>
        <v>N</v>
      </c>
      <c r="B2521" s="150">
        <v>1070296</v>
      </c>
      <c r="C2521" s="150" t="s">
        <v>2801</v>
      </c>
      <c r="D2521" s="120" t="s">
        <v>2802</v>
      </c>
      <c r="E2521" s="892" t="s">
        <v>2803</v>
      </c>
      <c r="F2521" s="902" t="s">
        <v>52</v>
      </c>
      <c r="G2521" s="528"/>
      <c r="H2521" s="546" t="s">
        <v>37</v>
      </c>
      <c r="I2521" s="711">
        <v>0</v>
      </c>
      <c r="J2521" s="896" t="str">
        <f t="shared" ref="J2521" si="10163">IFERROR((I2522/I2521),"-")</f>
        <v>-</v>
      </c>
      <c r="K2521" s="528"/>
      <c r="L2521" s="546" t="s">
        <v>37</v>
      </c>
      <c r="M2521" s="711">
        <f t="shared" si="9882"/>
        <v>0</v>
      </c>
      <c r="N2521" s="896" t="str">
        <f t="shared" ref="N2521" si="10164">IFERROR((M2522/M2521),"-")</f>
        <v>-</v>
      </c>
      <c r="O2521" s="528"/>
      <c r="P2521" s="547">
        <v>0</v>
      </c>
      <c r="Q2521" s="547">
        <v>0</v>
      </c>
      <c r="R2521" s="547">
        <v>0</v>
      </c>
      <c r="S2521" s="547">
        <v>0</v>
      </c>
      <c r="T2521" s="547">
        <v>0</v>
      </c>
      <c r="U2521" s="547">
        <v>0</v>
      </c>
      <c r="V2521" s="548">
        <v>0</v>
      </c>
      <c r="W2521" s="528"/>
      <c r="X2521" s="711">
        <f t="shared" ref="X2521:X2524" si="10165">SUMIFS(P2521:V2521,$P$8:$V$8,"&gt;="&amp;$P$8,$P$8:$V$8,"&lt;="&amp;$N$8)</f>
        <v>0</v>
      </c>
      <c r="Y2521" s="896" t="str">
        <f t="shared" ref="Y2521" si="10166">IFERROR((X2522/X2521),"-")</f>
        <v>-</v>
      </c>
      <c r="Z2521" s="528"/>
      <c r="AA2521" s="898">
        <v>24.54</v>
      </c>
      <c r="AB2521" s="898">
        <v>21</v>
      </c>
      <c r="AC2521" s="903">
        <v>0</v>
      </c>
      <c r="AD2521" s="896">
        <f t="shared" ref="AD2521" si="10167">IFERROR((AC2521/AA2521),"-")</f>
        <v>0</v>
      </c>
      <c r="AE2521" s="2"/>
      <c r="AF2521" s="884">
        <v>0</v>
      </c>
      <c r="AG2521" s="884"/>
      <c r="AH2521" s="884">
        <v>0</v>
      </c>
      <c r="AI2521" s="884"/>
      <c r="AJ2521" s="884"/>
      <c r="AK2521" s="884">
        <f t="shared" ref="AK2521" si="10168">AF2521+AG2521+AH2521+AI2521+AJ2521+AC2521</f>
        <v>0</v>
      </c>
      <c r="AL2521" s="884">
        <v>21</v>
      </c>
      <c r="AM2521" s="878">
        <f t="shared" ref="AM2521" si="10169">IFERROR((AK2521/AL2521),"-")</f>
        <v>0</v>
      </c>
      <c r="AN2521" s="2"/>
      <c r="AO2521" s="884">
        <v>24.54</v>
      </c>
      <c r="AP2521" s="884">
        <f t="shared" ref="AP2521" si="10170">AO2521-AK2521</f>
        <v>24.54</v>
      </c>
      <c r="AV2521" t="str">
        <f t="shared" si="10098"/>
        <v xml:space="preserve">   Seg. 2.3-C08-Plataforma- Instalação de DSH01 - Seg.2.3 C 08 </v>
      </c>
      <c r="AW2521" s="4" t="str">
        <f t="shared" si="10096"/>
        <v xml:space="preserve">   Saldo remanescente - Descida d'água</v>
      </c>
    </row>
    <row r="2522" spans="1:49" ht="15.6" customHeight="1" outlineLevel="1">
      <c r="A2522" s="8" t="str">
        <f t="shared" ref="A2522" si="10171">A2521</f>
        <v>N</v>
      </c>
      <c r="B2522" s="150"/>
      <c r="C2522" s="150" t="s">
        <v>2801</v>
      </c>
      <c r="D2522" s="120" t="s">
        <v>2802</v>
      </c>
      <c r="E2522" s="893"/>
      <c r="F2522" s="902"/>
      <c r="G2522" s="528"/>
      <c r="H2522" s="549" t="s">
        <v>38</v>
      </c>
      <c r="I2522" s="711">
        <v>0</v>
      </c>
      <c r="J2522" s="897"/>
      <c r="K2522" s="528"/>
      <c r="L2522" s="549" t="s">
        <v>38</v>
      </c>
      <c r="M2522" s="711">
        <f t="shared" si="9882"/>
        <v>0</v>
      </c>
      <c r="N2522" s="897"/>
      <c r="O2522" s="528"/>
      <c r="P2522" s="548">
        <v>0</v>
      </c>
      <c r="Q2522" s="548">
        <v>0</v>
      </c>
      <c r="R2522" s="548">
        <v>0</v>
      </c>
      <c r="S2522" s="548">
        <v>0</v>
      </c>
      <c r="T2522" s="548">
        <v>0</v>
      </c>
      <c r="U2522" s="548">
        <v>0</v>
      </c>
      <c r="V2522" s="548">
        <v>0</v>
      </c>
      <c r="W2522" s="528"/>
      <c r="X2522" s="711">
        <f t="shared" si="10165"/>
        <v>0</v>
      </c>
      <c r="Y2522" s="897"/>
      <c r="Z2522" s="528"/>
      <c r="AA2522" s="899"/>
      <c r="AB2522" s="899"/>
      <c r="AC2522" s="904"/>
      <c r="AD2522" s="905"/>
      <c r="AE2522" s="2"/>
      <c r="AF2522" s="908"/>
      <c r="AG2522" s="908"/>
      <c r="AH2522" s="885"/>
      <c r="AI2522" s="908"/>
      <c r="AJ2522" s="908"/>
      <c r="AK2522" s="885"/>
      <c r="AL2522" s="885"/>
      <c r="AM2522" s="879"/>
      <c r="AN2522" s="2"/>
      <c r="AO2522" s="886"/>
      <c r="AP2522" s="886"/>
      <c r="AV2522" t="str">
        <f t="shared" si="10098"/>
        <v xml:space="preserve">   Seg. 2.3-C08-Plataforma- Instalação de DSH01 - Seg.2.3 C 08 </v>
      </c>
      <c r="AW2522" s="4" t="str">
        <f t="shared" si="10096"/>
        <v xml:space="preserve">   Saldo remanescente - Descida d'água</v>
      </c>
    </row>
    <row r="2523" spans="1:49" ht="15.6" customHeight="1" outlineLevel="2" collapsed="1">
      <c r="A2523" s="8" t="str">
        <f t="shared" ref="A2523" si="10172">IF(SUM(P2523:V2524)&gt;0,"S","N")</f>
        <v>N</v>
      </c>
      <c r="B2523" s="150"/>
      <c r="C2523" s="150"/>
      <c r="D2523" s="120"/>
      <c r="E2523" s="892" t="s">
        <v>2804</v>
      </c>
      <c r="F2523" s="902" t="s">
        <v>52</v>
      </c>
      <c r="G2523" s="528"/>
      <c r="H2523" s="546" t="s">
        <v>37</v>
      </c>
      <c r="I2523" s="711">
        <v>0</v>
      </c>
      <c r="J2523" s="896" t="str">
        <f t="shared" ref="J2523" si="10173">IFERROR((I2524/I2523),"-")</f>
        <v>-</v>
      </c>
      <c r="K2523" s="528"/>
      <c r="L2523" s="546" t="s">
        <v>37</v>
      </c>
      <c r="M2523" s="711">
        <f t="shared" ref="M2523:M2524" si="10174">_xlfn.XLOOKUP($N$8,$P$8:$V$8,$P2523:$V2523)</f>
        <v>0</v>
      </c>
      <c r="N2523" s="896" t="str">
        <f t="shared" ref="N2523" si="10175">IFERROR((M2524/M2523),"-")</f>
        <v>-</v>
      </c>
      <c r="O2523" s="528"/>
      <c r="P2523" s="547">
        <v>0</v>
      </c>
      <c r="Q2523" s="547">
        <v>0</v>
      </c>
      <c r="R2523" s="547">
        <v>0</v>
      </c>
      <c r="S2523" s="547">
        <v>0</v>
      </c>
      <c r="T2523" s="547">
        <v>0</v>
      </c>
      <c r="U2523" s="547">
        <v>0</v>
      </c>
      <c r="V2523" s="548">
        <v>0</v>
      </c>
      <c r="W2523" s="528"/>
      <c r="X2523" s="711">
        <f t="shared" si="10165"/>
        <v>0</v>
      </c>
      <c r="Y2523" s="896" t="str">
        <f t="shared" ref="Y2523" si="10176">IFERROR((X2524/X2523),"-")</f>
        <v>-</v>
      </c>
      <c r="Z2523" s="528"/>
      <c r="AA2523" s="898">
        <v>0</v>
      </c>
      <c r="AB2523" s="898">
        <v>0</v>
      </c>
      <c r="AC2523" s="903">
        <v>0</v>
      </c>
      <c r="AD2523" s="896" t="str">
        <f t="shared" ref="AD2523" si="10177">IFERROR((AC2523/AA2523),"-")</f>
        <v>-</v>
      </c>
      <c r="AE2523" s="2"/>
      <c r="AF2523" s="884">
        <v>-167</v>
      </c>
      <c r="AG2523" s="884"/>
      <c r="AH2523" s="884">
        <v>0</v>
      </c>
      <c r="AI2523" s="884"/>
      <c r="AJ2523" s="884"/>
      <c r="AK2523" s="884">
        <f t="shared" ref="AK2523" si="10178">AF2523+AG2523+AH2523+AI2523+AJ2523+AC2523</f>
        <v>-167</v>
      </c>
      <c r="AL2523" s="884"/>
      <c r="AM2523" s="878" t="str">
        <f t="shared" ref="AM2523" si="10179">IFERROR((AK2523/AL2523),"-")</f>
        <v>-</v>
      </c>
      <c r="AN2523" s="2"/>
      <c r="AO2523" s="884"/>
      <c r="AP2523" s="884">
        <f t="shared" ref="AP2523" si="10180">AO2523-AK2523</f>
        <v>167</v>
      </c>
      <c r="AV2523" t="str">
        <f t="shared" si="10098"/>
        <v xml:space="preserve">   Seg. 2.3-C08-Plataforma- Instalação de DSH01 - Seg.2.3 C 08 </v>
      </c>
      <c r="AW2523" s="4" t="str">
        <f t="shared" si="10096"/>
        <v>Item de correção de acumulado - Bm</v>
      </c>
    </row>
    <row r="2524" spans="1:49" ht="15.6" customHeight="1" outlineLevel="2">
      <c r="A2524" s="8" t="str">
        <f t="shared" ref="A2524" si="10181">A2523</f>
        <v>N</v>
      </c>
      <c r="B2524" s="150"/>
      <c r="C2524" s="150"/>
      <c r="D2524" s="120"/>
      <c r="E2524" s="893"/>
      <c r="F2524" s="902"/>
      <c r="G2524" s="528"/>
      <c r="H2524" s="549" t="s">
        <v>38</v>
      </c>
      <c r="I2524" s="711">
        <v>0</v>
      </c>
      <c r="J2524" s="897"/>
      <c r="K2524" s="528"/>
      <c r="L2524" s="549" t="s">
        <v>38</v>
      </c>
      <c r="M2524" s="711">
        <f t="shared" si="10174"/>
        <v>0</v>
      </c>
      <c r="N2524" s="897"/>
      <c r="O2524" s="528"/>
      <c r="P2524" s="548">
        <v>0</v>
      </c>
      <c r="Q2524" s="548">
        <v>0</v>
      </c>
      <c r="R2524" s="548">
        <v>0</v>
      </c>
      <c r="S2524" s="548">
        <v>0</v>
      </c>
      <c r="T2524" s="548">
        <v>0</v>
      </c>
      <c r="U2524" s="548">
        <v>0</v>
      </c>
      <c r="V2524" s="548">
        <v>0</v>
      </c>
      <c r="W2524" s="528"/>
      <c r="X2524" s="711">
        <f t="shared" si="10165"/>
        <v>0</v>
      </c>
      <c r="Y2524" s="897"/>
      <c r="Z2524" s="528"/>
      <c r="AA2524" s="899"/>
      <c r="AB2524" s="899"/>
      <c r="AC2524" s="904"/>
      <c r="AD2524" s="905"/>
      <c r="AE2524" s="2"/>
      <c r="AF2524" s="908"/>
      <c r="AG2524" s="908"/>
      <c r="AH2524" s="885"/>
      <c r="AI2524" s="908"/>
      <c r="AJ2524" s="908"/>
      <c r="AK2524" s="885"/>
      <c r="AL2524" s="885"/>
      <c r="AM2524" s="879"/>
      <c r="AN2524" s="2"/>
      <c r="AO2524" s="886"/>
      <c r="AP2524" s="886"/>
      <c r="AV2524" t="str">
        <f t="shared" si="10098"/>
        <v xml:space="preserve">   Seg. 2.3-C08-Plataforma- Instalação de DSH01 - Seg.2.3 C 08 </v>
      </c>
      <c r="AW2524" s="4" t="str">
        <f t="shared" si="10096"/>
        <v>Item de correção de acumulado - Bm</v>
      </c>
    </row>
    <row r="2525" spans="1:49" ht="15.6" customHeight="1" outlineLevel="2">
      <c r="A2525" s="209">
        <v>0</v>
      </c>
      <c r="B2525" s="150"/>
      <c r="C2525" s="150"/>
      <c r="D2525" s="117"/>
      <c r="E2525" s="535"/>
      <c r="F2525" s="536"/>
      <c r="G2525" s="537"/>
      <c r="H2525" s="714"/>
      <c r="I2525" s="555"/>
      <c r="J2525" s="714"/>
      <c r="K2525" s="537"/>
      <c r="L2525" s="714"/>
      <c r="M2525" s="555"/>
      <c r="N2525" s="714"/>
      <c r="O2525" s="537"/>
      <c r="P2525" s="539"/>
      <c r="Q2525" s="539"/>
      <c r="R2525" s="539"/>
      <c r="S2525" s="539"/>
      <c r="T2525" s="539"/>
      <c r="U2525" s="539"/>
      <c r="V2525" s="539"/>
      <c r="W2525" s="537"/>
      <c r="X2525" s="540"/>
      <c r="Y2525" s="537"/>
      <c r="Z2525" s="537"/>
      <c r="AA2525" s="249"/>
      <c r="AB2525" s="249"/>
      <c r="AC2525" s="249"/>
      <c r="AD2525" s="537"/>
      <c r="AE2525" s="3"/>
      <c r="AF2525" s="35"/>
      <c r="AG2525" s="35"/>
      <c r="AH2525" s="35"/>
      <c r="AI2525" s="35"/>
      <c r="AJ2525" s="35"/>
      <c r="AK2525" s="35"/>
      <c r="AL2525" s="35"/>
      <c r="AM2525" s="3"/>
      <c r="AN2525" s="3"/>
      <c r="AO2525" s="35"/>
      <c r="AP2525" s="35"/>
      <c r="AV2525" t="str">
        <f t="shared" si="10098"/>
        <v xml:space="preserve">   Seg. 2.3-C08-Plataforma- Instalação de DSH01 - Seg.2.3 C 08 </v>
      </c>
      <c r="AW2525" s="4" t="str">
        <f t="shared" si="10096"/>
        <v>Item de correção de acumulado - Bm</v>
      </c>
    </row>
    <row r="2526" spans="1:49" ht="15.6" customHeight="1" outlineLevel="2">
      <c r="A2526" s="209">
        <v>0</v>
      </c>
      <c r="B2526" s="150"/>
      <c r="C2526" s="150">
        <v>0</v>
      </c>
      <c r="D2526" s="117"/>
      <c r="E2526" s="535"/>
      <c r="F2526" s="541"/>
      <c r="G2526" s="537"/>
      <c r="H2526" s="537"/>
      <c r="I2526" s="249"/>
      <c r="J2526" s="537"/>
      <c r="K2526" s="537"/>
      <c r="L2526" s="537"/>
      <c r="M2526" s="249"/>
      <c r="N2526" s="537"/>
      <c r="O2526" s="537"/>
      <c r="P2526" s="539"/>
      <c r="Q2526" s="539"/>
      <c r="R2526" s="539"/>
      <c r="S2526" s="539"/>
      <c r="T2526" s="539"/>
      <c r="U2526" s="539"/>
      <c r="V2526" s="539"/>
      <c r="W2526" s="537"/>
      <c r="X2526" s="540"/>
      <c r="Y2526" s="537"/>
      <c r="Z2526" s="537"/>
      <c r="AA2526" s="249"/>
      <c r="AB2526" s="249"/>
      <c r="AC2526" s="249"/>
      <c r="AD2526" s="537"/>
      <c r="AE2526" s="3"/>
      <c r="AF2526" s="35"/>
      <c r="AG2526" s="35"/>
      <c r="AH2526" s="35"/>
      <c r="AI2526" s="35"/>
      <c r="AJ2526" s="35"/>
      <c r="AK2526" s="35"/>
      <c r="AL2526" s="35"/>
      <c r="AM2526" s="3"/>
      <c r="AN2526" s="3"/>
      <c r="AO2526" s="35"/>
      <c r="AP2526" s="35"/>
      <c r="AV2526" t="str">
        <f t="shared" si="10098"/>
        <v xml:space="preserve">   Seg. 2.3-C08-Plataforma- Instalação de DSH01 - Seg.2.3 C 08 </v>
      </c>
      <c r="AW2526" s="4" t="str">
        <f t="shared" si="10096"/>
        <v>Item de correção de acumulado - Bm</v>
      </c>
    </row>
    <row r="2527" spans="1:49" ht="15.6" customHeight="1" outlineLevel="2">
      <c r="A2527" s="209">
        <v>0</v>
      </c>
      <c r="B2527" s="150"/>
      <c r="C2527" s="150"/>
      <c r="D2527" s="122"/>
      <c r="E2527" s="913" t="s">
        <v>42</v>
      </c>
      <c r="F2527" s="859" t="s">
        <v>52</v>
      </c>
      <c r="G2527" s="528"/>
      <c r="H2527" s="542" t="s">
        <v>37</v>
      </c>
      <c r="I2527" s="543">
        <f t="shared" ref="I2527" si="10182">SUMIF($L2529:$L2534,$L2527,I2529:I2534)</f>
        <v>0</v>
      </c>
      <c r="J2527" s="860" t="str">
        <f>IFERROR((I2528/I2527),"-")</f>
        <v>-</v>
      </c>
      <c r="K2527" s="528"/>
      <c r="L2527" s="542" t="s">
        <v>37</v>
      </c>
      <c r="M2527" s="543">
        <f>SUMIF($L2529:$L2534,$L2527,M2529:M2534)</f>
        <v>0</v>
      </c>
      <c r="N2527" s="860" t="str">
        <f>IFERROR((M2528/M2527),"-")</f>
        <v>-</v>
      </c>
      <c r="O2527" s="528"/>
      <c r="P2527" s="543">
        <f t="shared" ref="P2527:U2527" si="10183">SUMIF($L2529:$L2534,$L2527,P2529:P2534)</f>
        <v>0</v>
      </c>
      <c r="Q2527" s="543">
        <f t="shared" si="10183"/>
        <v>0</v>
      </c>
      <c r="R2527" s="543">
        <f t="shared" si="10183"/>
        <v>0</v>
      </c>
      <c r="S2527" s="543">
        <f t="shared" si="10183"/>
        <v>0</v>
      </c>
      <c r="T2527" s="543">
        <f t="shared" si="10183"/>
        <v>0</v>
      </c>
      <c r="U2527" s="543">
        <f t="shared" si="10183"/>
        <v>0</v>
      </c>
      <c r="V2527" s="543"/>
      <c r="W2527" s="528"/>
      <c r="X2527" s="543">
        <f t="shared" ref="X2527:X2534" si="10184">SUMIFS(P2527:V2527,$P$8:$V$8,"&gt;="&amp;$P$8,$P$8:$V$8,"&lt;="&amp;$N$8)</f>
        <v>0</v>
      </c>
      <c r="Y2527" s="860" t="str">
        <f>IFERROR((X2528/X2527),"-")</f>
        <v>-</v>
      </c>
      <c r="Z2527" s="528"/>
      <c r="AA2527" s="814">
        <f>SUM(AA2529:AA2534)</f>
        <v>114.73</v>
      </c>
      <c r="AB2527" s="814">
        <f>SUM(AB2529:AB2534)</f>
        <v>0</v>
      </c>
      <c r="AC2527" s="814">
        <f>SUM(AC2529:AC2534)</f>
        <v>0</v>
      </c>
      <c r="AD2527" s="911">
        <f t="shared" ref="AD2527" si="10185">IFERROR((AC2527/AA2527),"-")</f>
        <v>0</v>
      </c>
      <c r="AE2527" s="2"/>
      <c r="AF2527" s="888">
        <f t="shared" ref="AF2527" si="10186">SUM(AF2529:AF2534)</f>
        <v>0</v>
      </c>
      <c r="AG2527" s="888">
        <f t="shared" ref="AG2527:AL2527" si="10187">SUM(AG2529:AG2534)</f>
        <v>0</v>
      </c>
      <c r="AH2527" s="888">
        <f t="shared" si="10187"/>
        <v>0</v>
      </c>
      <c r="AI2527" s="888">
        <f t="shared" si="10187"/>
        <v>0</v>
      </c>
      <c r="AJ2527" s="888"/>
      <c r="AK2527" s="888">
        <f t="shared" si="10187"/>
        <v>0</v>
      </c>
      <c r="AL2527" s="888">
        <f t="shared" si="10187"/>
        <v>0</v>
      </c>
      <c r="AM2527" s="743" t="str">
        <f>IFERROR((AK2527/AL2527),"-")</f>
        <v>-</v>
      </c>
      <c r="AN2527" s="2"/>
      <c r="AO2527" s="888">
        <f>SUM(AO2529:AO2534)</f>
        <v>427.6</v>
      </c>
      <c r="AP2527" s="888">
        <f>SUM(AP2529:AP2534)</f>
        <v>427.6</v>
      </c>
      <c r="AV2527" t="str">
        <f t="shared" si="10098"/>
        <v xml:space="preserve">   Seg. 2.3-C08-Plataforma- Instalação de DSH01 - Seg.2.3 C 08 </v>
      </c>
      <c r="AW2527" s="4" t="str">
        <f t="shared" si="10096"/>
        <v>Pacote 05 - Segmento 2.4 - Km 131+260 a  Km 138+000</v>
      </c>
    </row>
    <row r="2528" spans="1:49" ht="15.6" customHeight="1" outlineLevel="2">
      <c r="A2528" s="209">
        <v>0</v>
      </c>
      <c r="B2528" s="150"/>
      <c r="C2528" s="150">
        <v>0</v>
      </c>
      <c r="D2528" s="123"/>
      <c r="E2528" s="913"/>
      <c r="F2528" s="859"/>
      <c r="G2528" s="528"/>
      <c r="H2528" s="544" t="s">
        <v>38</v>
      </c>
      <c r="I2528" s="543">
        <f t="shared" ref="I2528" si="10188">SUMIF($L2529:$L2534,$L2528,I2529:I2534)</f>
        <v>0</v>
      </c>
      <c r="J2528" s="861"/>
      <c r="K2528" s="528"/>
      <c r="L2528" s="544" t="s">
        <v>38</v>
      </c>
      <c r="M2528" s="543">
        <f>SUMIF($L2529:$L2534,$L2528,M2529:M2534)</f>
        <v>0</v>
      </c>
      <c r="N2528" s="861"/>
      <c r="O2528" s="528"/>
      <c r="P2528" s="543">
        <f t="shared" ref="P2528:U2528" si="10189">SUMIF($L2529:$L2534,$L2528,P2529:P2534)</f>
        <v>0</v>
      </c>
      <c r="Q2528" s="543">
        <f t="shared" si="10189"/>
        <v>0</v>
      </c>
      <c r="R2528" s="543">
        <f t="shared" si="10189"/>
        <v>0</v>
      </c>
      <c r="S2528" s="543">
        <f t="shared" si="10189"/>
        <v>0</v>
      </c>
      <c r="T2528" s="543">
        <f t="shared" si="10189"/>
        <v>0</v>
      </c>
      <c r="U2528" s="543">
        <f t="shared" si="10189"/>
        <v>0</v>
      </c>
      <c r="V2528" s="543"/>
      <c r="W2528" s="528"/>
      <c r="X2528" s="543">
        <f t="shared" si="10184"/>
        <v>0</v>
      </c>
      <c r="Y2528" s="861"/>
      <c r="Z2528" s="528"/>
      <c r="AA2528" s="815"/>
      <c r="AB2528" s="815"/>
      <c r="AC2528" s="815"/>
      <c r="AD2528" s="912"/>
      <c r="AE2528" s="2"/>
      <c r="AF2528" s="889"/>
      <c r="AG2528" s="889"/>
      <c r="AH2528" s="889"/>
      <c r="AI2528" s="889"/>
      <c r="AJ2528" s="889"/>
      <c r="AK2528" s="889"/>
      <c r="AL2528" s="889"/>
      <c r="AM2528" s="744"/>
      <c r="AN2528" s="2"/>
      <c r="AO2528" s="888"/>
      <c r="AP2528" s="888"/>
      <c r="AV2528" t="str">
        <f t="shared" si="10098"/>
        <v xml:space="preserve">   Seg. 2.3-C08-Plataforma- Instalação de DSH01 - Seg.2.3 C 08 </v>
      </c>
      <c r="AW2528" s="4" t="str">
        <f t="shared" si="10096"/>
        <v>Pacote 05 - Segmento 2.4 - Km 131+260 a  Km 138+000</v>
      </c>
    </row>
    <row r="2529" spans="1:49" ht="15.6" customHeight="1" outlineLevel="1">
      <c r="A2529" s="8" t="str">
        <f t="shared" ref="A2529" si="10190">IF(SUM(P2529:V2530)&gt;0,"S","N")</f>
        <v>N</v>
      </c>
      <c r="B2529" s="150">
        <v>1068762</v>
      </c>
      <c r="C2529" s="150" t="s">
        <v>2805</v>
      </c>
      <c r="D2529" s="120" t="s">
        <v>421</v>
      </c>
      <c r="E2529" s="892" t="s">
        <v>2806</v>
      </c>
      <c r="F2529" s="902" t="s">
        <v>52</v>
      </c>
      <c r="G2529" s="528"/>
      <c r="H2529" s="546" t="s">
        <v>37</v>
      </c>
      <c r="I2529" s="711">
        <v>0</v>
      </c>
      <c r="J2529" s="896" t="str">
        <f t="shared" ref="J2529" si="10191">IFERROR((I2530/I2529),"-")</f>
        <v>-</v>
      </c>
      <c r="K2529" s="528"/>
      <c r="L2529" s="546" t="s">
        <v>37</v>
      </c>
      <c r="M2529" s="711">
        <f t="shared" ref="M2529:M2534" si="10192">_xlfn.XLOOKUP($N$8,$P$8:$V$8,$P2529:$V2529)</f>
        <v>0</v>
      </c>
      <c r="N2529" s="896" t="str">
        <f t="shared" ref="N2529" si="10193">IFERROR((M2530/M2529),"-")</f>
        <v>-</v>
      </c>
      <c r="O2529" s="528"/>
      <c r="P2529" s="547">
        <v>0</v>
      </c>
      <c r="Q2529" s="547">
        <v>0</v>
      </c>
      <c r="R2529" s="547">
        <v>0</v>
      </c>
      <c r="S2529" s="547">
        <v>0</v>
      </c>
      <c r="T2529" s="547">
        <v>0</v>
      </c>
      <c r="U2529" s="547">
        <v>0</v>
      </c>
      <c r="V2529" s="548">
        <v>0</v>
      </c>
      <c r="W2529" s="528"/>
      <c r="X2529" s="711">
        <f t="shared" si="10184"/>
        <v>0</v>
      </c>
      <c r="Y2529" s="896" t="str">
        <f t="shared" ref="Y2529" si="10194">IFERROR((X2530/X2529),"-")</f>
        <v>-</v>
      </c>
      <c r="Z2529" s="528"/>
      <c r="AA2529" s="898">
        <v>100</v>
      </c>
      <c r="AB2529" s="898">
        <v>0</v>
      </c>
      <c r="AC2529" s="903">
        <v>0</v>
      </c>
      <c r="AD2529" s="896">
        <f t="shared" ref="AD2529" si="10195">IFERROR((AC2529/AA2529),"-")</f>
        <v>0</v>
      </c>
      <c r="AE2529" s="2"/>
      <c r="AF2529" s="884">
        <v>0</v>
      </c>
      <c r="AG2529" s="884"/>
      <c r="AH2529" s="884">
        <v>0</v>
      </c>
      <c r="AI2529" s="884"/>
      <c r="AJ2529" s="884"/>
      <c r="AK2529" s="884">
        <f t="shared" ref="AK2529" si="10196">AF2529+AG2529+AH2529+AI2529+AJ2529+AC2529</f>
        <v>0</v>
      </c>
      <c r="AL2529" s="884">
        <v>0</v>
      </c>
      <c r="AM2529" s="878" t="str">
        <f t="shared" ref="AM2529" si="10197">IFERROR((AK2529/AL2529),"-")</f>
        <v>-</v>
      </c>
      <c r="AN2529" s="2"/>
      <c r="AO2529" s="884">
        <v>348.6</v>
      </c>
      <c r="AP2529" s="884">
        <f t="shared" ref="AP2529" si="10198">AO2529-AK2529</f>
        <v>348.6</v>
      </c>
      <c r="AV2529" t="str">
        <f t="shared" si="10098"/>
        <v xml:space="preserve">   Seg. 2.3-C08-Plataforma- Instalação de DSH01 - Seg.2.3 C 08 </v>
      </c>
      <c r="AW2529" s="4" t="str">
        <f t="shared" si="10096"/>
        <v xml:space="preserve">   Seg. 2.4-A01 - Drenagem Superficial - Descida D´água</v>
      </c>
    </row>
    <row r="2530" spans="1:49" ht="15.6" customHeight="1" outlineLevel="1">
      <c r="A2530" s="8" t="str">
        <f t="shared" ref="A2530" si="10199">A2529</f>
        <v>N</v>
      </c>
      <c r="B2530" s="150"/>
      <c r="C2530" s="150"/>
      <c r="D2530" s="120" t="s">
        <v>421</v>
      </c>
      <c r="E2530" s="893"/>
      <c r="F2530" s="902"/>
      <c r="G2530" s="528"/>
      <c r="H2530" s="549" t="s">
        <v>38</v>
      </c>
      <c r="I2530" s="711">
        <v>0</v>
      </c>
      <c r="J2530" s="897"/>
      <c r="K2530" s="528"/>
      <c r="L2530" s="549" t="s">
        <v>38</v>
      </c>
      <c r="M2530" s="711">
        <f t="shared" si="10192"/>
        <v>0</v>
      </c>
      <c r="N2530" s="897"/>
      <c r="O2530" s="528"/>
      <c r="P2530" s="548">
        <v>0</v>
      </c>
      <c r="Q2530" s="548">
        <v>0</v>
      </c>
      <c r="R2530" s="548">
        <v>0</v>
      </c>
      <c r="S2530" s="548">
        <v>0</v>
      </c>
      <c r="T2530" s="548">
        <v>0</v>
      </c>
      <c r="U2530" s="548">
        <v>0</v>
      </c>
      <c r="V2530" s="548">
        <v>0</v>
      </c>
      <c r="W2530" s="528"/>
      <c r="X2530" s="711">
        <f t="shared" si="10184"/>
        <v>0</v>
      </c>
      <c r="Y2530" s="897"/>
      <c r="Z2530" s="528"/>
      <c r="AA2530" s="899"/>
      <c r="AB2530" s="899"/>
      <c r="AC2530" s="904"/>
      <c r="AD2530" s="905"/>
      <c r="AE2530" s="2"/>
      <c r="AF2530" s="885"/>
      <c r="AG2530" s="885"/>
      <c r="AH2530" s="885"/>
      <c r="AI2530" s="885"/>
      <c r="AJ2530" s="885"/>
      <c r="AK2530" s="885"/>
      <c r="AL2530" s="885"/>
      <c r="AM2530" s="879"/>
      <c r="AN2530" s="2"/>
      <c r="AO2530" s="886"/>
      <c r="AP2530" s="886"/>
      <c r="AV2530" t="str">
        <f t="shared" si="10098"/>
        <v xml:space="preserve">   Seg. 2.3-C08-Plataforma- Instalação de DSH01 - Seg.2.3 C 08 </v>
      </c>
      <c r="AW2530" s="4" t="str">
        <f t="shared" si="10096"/>
        <v xml:space="preserve">   Seg. 2.4-A01 - Drenagem Superficial - Descida D´água</v>
      </c>
    </row>
    <row r="2531" spans="1:49" ht="15.6" customHeight="1" outlineLevel="1">
      <c r="A2531" s="8" t="str">
        <f t="shared" ref="A2531" si="10200">IF(SUM(P2531:V2532)&gt;0,"S","N")</f>
        <v>N</v>
      </c>
      <c r="B2531" s="150">
        <v>1068763</v>
      </c>
      <c r="C2531" s="150" t="s">
        <v>2807</v>
      </c>
      <c r="D2531" s="120" t="s">
        <v>436</v>
      </c>
      <c r="E2531" s="892" t="s">
        <v>2808</v>
      </c>
      <c r="F2531" s="902" t="s">
        <v>52</v>
      </c>
      <c r="G2531" s="528"/>
      <c r="H2531" s="546" t="s">
        <v>37</v>
      </c>
      <c r="I2531" s="711">
        <v>0</v>
      </c>
      <c r="J2531" s="896" t="str">
        <f t="shared" ref="J2531" si="10201">IFERROR((I2532/I2531),"-")</f>
        <v>-</v>
      </c>
      <c r="K2531" s="528"/>
      <c r="L2531" s="546" t="s">
        <v>37</v>
      </c>
      <c r="M2531" s="711">
        <f t="shared" si="10192"/>
        <v>0</v>
      </c>
      <c r="N2531" s="896" t="str">
        <f t="shared" ref="N2531" si="10202">IFERROR((M2532/M2531),"-")</f>
        <v>-</v>
      </c>
      <c r="O2531" s="528"/>
      <c r="P2531" s="547">
        <v>0</v>
      </c>
      <c r="Q2531" s="547">
        <v>0</v>
      </c>
      <c r="R2531" s="547">
        <v>0</v>
      </c>
      <c r="S2531" s="547">
        <v>0</v>
      </c>
      <c r="T2531" s="547">
        <v>0</v>
      </c>
      <c r="U2531" s="547">
        <v>0</v>
      </c>
      <c r="V2531" s="548">
        <v>0</v>
      </c>
      <c r="W2531" s="528"/>
      <c r="X2531" s="711">
        <f t="shared" si="10184"/>
        <v>0</v>
      </c>
      <c r="Y2531" s="896" t="str">
        <f t="shared" ref="Y2531" si="10203">IFERROR((X2532/X2531),"-")</f>
        <v>-</v>
      </c>
      <c r="Z2531" s="528"/>
      <c r="AA2531" s="898">
        <v>14.73</v>
      </c>
      <c r="AB2531" s="898">
        <v>0</v>
      </c>
      <c r="AC2531" s="903">
        <v>0</v>
      </c>
      <c r="AD2531" s="896">
        <f t="shared" ref="AD2531" si="10204">IFERROR((AC2531/AA2531),"-")</f>
        <v>0</v>
      </c>
      <c r="AE2531" s="2"/>
      <c r="AF2531" s="884">
        <v>0</v>
      </c>
      <c r="AG2531" s="884"/>
      <c r="AH2531" s="884">
        <v>0</v>
      </c>
      <c r="AI2531" s="884"/>
      <c r="AJ2531" s="884"/>
      <c r="AK2531" s="884">
        <f t="shared" ref="AK2531" si="10205">AF2531+AG2531+AH2531+AI2531+AJ2531+AC2531</f>
        <v>0</v>
      </c>
      <c r="AL2531" s="884">
        <v>0</v>
      </c>
      <c r="AM2531" s="878" t="str">
        <f t="shared" ref="AM2531" si="10206">IFERROR((AK2531/AL2531),"-")</f>
        <v>-</v>
      </c>
      <c r="AN2531" s="2"/>
      <c r="AO2531" s="884">
        <v>76.8</v>
      </c>
      <c r="AP2531" s="884">
        <f t="shared" ref="AP2531" si="10207">AO2531-AK2531</f>
        <v>76.8</v>
      </c>
      <c r="AV2531" t="str">
        <f t="shared" si="10098"/>
        <v xml:space="preserve">   Seg. 2.3-C08-Plataforma- Instalação de DSH01 - Seg.2.3 C 08 </v>
      </c>
      <c r="AW2531" s="4" t="str">
        <f t="shared" si="10096"/>
        <v xml:space="preserve">   Seg. 2.4-A06 - Drenagem Superficial - Descida D´água</v>
      </c>
    </row>
    <row r="2532" spans="1:49" ht="15.6" customHeight="1" outlineLevel="1">
      <c r="A2532" s="8" t="str">
        <f t="shared" ref="A2532" si="10208">A2531</f>
        <v>N</v>
      </c>
      <c r="B2532" s="150"/>
      <c r="C2532" s="150"/>
      <c r="D2532" s="120" t="s">
        <v>436</v>
      </c>
      <c r="E2532" s="893"/>
      <c r="F2532" s="902"/>
      <c r="G2532" s="528"/>
      <c r="H2532" s="549" t="s">
        <v>38</v>
      </c>
      <c r="I2532" s="711">
        <v>0</v>
      </c>
      <c r="J2532" s="897"/>
      <c r="K2532" s="528"/>
      <c r="L2532" s="549" t="s">
        <v>38</v>
      </c>
      <c r="M2532" s="711">
        <f t="shared" si="10192"/>
        <v>0</v>
      </c>
      <c r="N2532" s="897"/>
      <c r="O2532" s="528"/>
      <c r="P2532" s="548">
        <v>0</v>
      </c>
      <c r="Q2532" s="548">
        <v>0</v>
      </c>
      <c r="R2532" s="548">
        <v>0</v>
      </c>
      <c r="S2532" s="548">
        <v>0</v>
      </c>
      <c r="T2532" s="548">
        <v>0</v>
      </c>
      <c r="U2532" s="548">
        <v>0</v>
      </c>
      <c r="V2532" s="548">
        <v>0</v>
      </c>
      <c r="W2532" s="528"/>
      <c r="X2532" s="711">
        <f t="shared" si="10184"/>
        <v>0</v>
      </c>
      <c r="Y2532" s="897"/>
      <c r="Z2532" s="528"/>
      <c r="AA2532" s="899"/>
      <c r="AB2532" s="899"/>
      <c r="AC2532" s="904"/>
      <c r="AD2532" s="905"/>
      <c r="AE2532" s="2"/>
      <c r="AF2532" s="885"/>
      <c r="AG2532" s="885"/>
      <c r="AH2532" s="885"/>
      <c r="AI2532" s="885"/>
      <c r="AJ2532" s="885"/>
      <c r="AK2532" s="885"/>
      <c r="AL2532" s="885"/>
      <c r="AM2532" s="879"/>
      <c r="AN2532" s="2"/>
      <c r="AO2532" s="886"/>
      <c r="AP2532" s="886"/>
      <c r="AV2532" t="str">
        <f t="shared" si="10098"/>
        <v xml:space="preserve">   Seg. 2.3-C08-Plataforma- Instalação de DSH01 - Seg.2.3 C 08 </v>
      </c>
      <c r="AW2532" s="4" t="str">
        <f t="shared" si="10096"/>
        <v xml:space="preserve">   Seg. 2.4-A06 - Drenagem Superficial - Descida D´água</v>
      </c>
    </row>
    <row r="2533" spans="1:49" ht="15.6" customHeight="1" outlineLevel="2">
      <c r="A2533" s="8" t="str">
        <f t="shared" ref="A2533" si="10209">IF(SUM(P2533:V2534)&gt;0,"S","N")</f>
        <v>N</v>
      </c>
      <c r="B2533" s="150">
        <v>1069219</v>
      </c>
      <c r="C2533" s="150" t="s">
        <v>2809</v>
      </c>
      <c r="D2533" s="120" t="s">
        <v>2810</v>
      </c>
      <c r="E2533" s="892" t="s">
        <v>2811</v>
      </c>
      <c r="F2533" s="902" t="s">
        <v>52</v>
      </c>
      <c r="G2533" s="528"/>
      <c r="H2533" s="546" t="s">
        <v>37</v>
      </c>
      <c r="I2533" s="711">
        <v>0</v>
      </c>
      <c r="J2533" s="896" t="str">
        <f t="shared" ref="J2533" si="10210">IFERROR((I2534/I2533),"-")</f>
        <v>-</v>
      </c>
      <c r="K2533" s="528"/>
      <c r="L2533" s="546" t="s">
        <v>37</v>
      </c>
      <c r="M2533" s="711">
        <f t="shared" si="10192"/>
        <v>0</v>
      </c>
      <c r="N2533" s="896" t="str">
        <f t="shared" ref="N2533" si="10211">IFERROR((M2534/M2533),"-")</f>
        <v>-</v>
      </c>
      <c r="O2533" s="528"/>
      <c r="P2533" s="547">
        <v>0</v>
      </c>
      <c r="Q2533" s="547">
        <v>0</v>
      </c>
      <c r="R2533" s="547">
        <v>0</v>
      </c>
      <c r="S2533" s="547">
        <v>0</v>
      </c>
      <c r="T2533" s="547">
        <v>0</v>
      </c>
      <c r="U2533" s="547">
        <v>0</v>
      </c>
      <c r="V2533" s="548">
        <v>0</v>
      </c>
      <c r="W2533" s="528"/>
      <c r="X2533" s="711">
        <f t="shared" si="10184"/>
        <v>0</v>
      </c>
      <c r="Y2533" s="896" t="str">
        <f t="shared" ref="Y2533" si="10212">IFERROR((X2534/X2533),"-")</f>
        <v>-</v>
      </c>
      <c r="Z2533" s="528"/>
      <c r="AA2533" s="898">
        <v>0</v>
      </c>
      <c r="AB2533" s="898">
        <v>0</v>
      </c>
      <c r="AC2533" s="903">
        <v>0</v>
      </c>
      <c r="AD2533" s="896" t="str">
        <f t="shared" ref="AD2533" si="10213">IFERROR((AC2533/AA2533),"-")</f>
        <v>-</v>
      </c>
      <c r="AE2533" s="2"/>
      <c r="AF2533" s="884">
        <v>0</v>
      </c>
      <c r="AG2533" s="884"/>
      <c r="AH2533" s="884">
        <v>0</v>
      </c>
      <c r="AI2533" s="884"/>
      <c r="AJ2533" s="884"/>
      <c r="AK2533" s="884">
        <f t="shared" ref="AK2533" si="10214">AF2533+AG2533+AH2533+AI2533+AJ2533+AC2533</f>
        <v>0</v>
      </c>
      <c r="AL2533" s="884">
        <v>0</v>
      </c>
      <c r="AM2533" s="878" t="str">
        <f t="shared" ref="AM2533" si="10215">IFERROR((AK2533/AL2533),"-")</f>
        <v>-</v>
      </c>
      <c r="AN2533" s="2"/>
      <c r="AO2533" s="884">
        <v>2.2000000000000002</v>
      </c>
      <c r="AP2533" s="884">
        <f t="shared" ref="AP2533" si="10216">AO2533-AK2533</f>
        <v>2.2000000000000002</v>
      </c>
      <c r="AV2533" t="str">
        <f t="shared" si="10098"/>
        <v xml:space="preserve">   Seg. 2.3-C08-Plataforma- Instalação de DSH01 - Seg.2.3 C 08 </v>
      </c>
      <c r="AW2533" s="4" t="str">
        <f t="shared" si="10096"/>
        <v xml:space="preserve">   Descida DDAB-4 L=2,20m</v>
      </c>
    </row>
    <row r="2534" spans="1:49" ht="15.6" customHeight="1" outlineLevel="2">
      <c r="A2534" s="8" t="str">
        <f t="shared" ref="A2534" si="10217">A2533</f>
        <v>N</v>
      </c>
      <c r="B2534" s="150"/>
      <c r="C2534" s="150"/>
      <c r="D2534" s="120" t="s">
        <v>2810</v>
      </c>
      <c r="E2534" s="893"/>
      <c r="F2534" s="902"/>
      <c r="G2534" s="528"/>
      <c r="H2534" s="549" t="s">
        <v>38</v>
      </c>
      <c r="I2534" s="711">
        <v>0</v>
      </c>
      <c r="J2534" s="897"/>
      <c r="K2534" s="528"/>
      <c r="L2534" s="549" t="s">
        <v>38</v>
      </c>
      <c r="M2534" s="711">
        <f t="shared" si="10192"/>
        <v>0</v>
      </c>
      <c r="N2534" s="897"/>
      <c r="O2534" s="528"/>
      <c r="P2534" s="548">
        <v>0</v>
      </c>
      <c r="Q2534" s="548">
        <v>0</v>
      </c>
      <c r="R2534" s="548">
        <v>0</v>
      </c>
      <c r="S2534" s="548">
        <v>0</v>
      </c>
      <c r="T2534" s="548">
        <v>0</v>
      </c>
      <c r="U2534" s="548">
        <v>0</v>
      </c>
      <c r="V2534" s="548">
        <v>0</v>
      </c>
      <c r="W2534" s="528"/>
      <c r="X2534" s="711">
        <f t="shared" si="10184"/>
        <v>0</v>
      </c>
      <c r="Y2534" s="897"/>
      <c r="Z2534" s="528"/>
      <c r="AA2534" s="899"/>
      <c r="AB2534" s="899"/>
      <c r="AC2534" s="904"/>
      <c r="AD2534" s="905"/>
      <c r="AE2534" s="2"/>
      <c r="AF2534" s="908"/>
      <c r="AG2534" s="908"/>
      <c r="AH2534" s="885"/>
      <c r="AI2534" s="908"/>
      <c r="AJ2534" s="908"/>
      <c r="AK2534" s="885"/>
      <c r="AL2534" s="885"/>
      <c r="AM2534" s="879"/>
      <c r="AN2534" s="2"/>
      <c r="AO2534" s="886"/>
      <c r="AP2534" s="886"/>
      <c r="AV2534" t="str">
        <f t="shared" si="10098"/>
        <v xml:space="preserve">   Seg. 2.3-C08-Plataforma- Instalação de DSH01 - Seg.2.3 C 08 </v>
      </c>
      <c r="AW2534" s="4" t="str">
        <f t="shared" si="10096"/>
        <v xml:space="preserve">   Descida DDAB-4 L=2,20m</v>
      </c>
    </row>
    <row r="2535" spans="1:49" ht="15.6" customHeight="1" outlineLevel="2">
      <c r="A2535" s="209">
        <v>0</v>
      </c>
      <c r="B2535" s="150"/>
      <c r="C2535" s="150"/>
      <c r="D2535" s="117"/>
      <c r="E2535" s="535"/>
      <c r="F2535" s="536"/>
      <c r="G2535" s="537"/>
      <c r="H2535" s="714"/>
      <c r="I2535" s="555"/>
      <c r="J2535" s="714"/>
      <c r="K2535" s="537"/>
      <c r="L2535" s="714"/>
      <c r="M2535" s="555"/>
      <c r="N2535" s="714"/>
      <c r="O2535" s="537"/>
      <c r="P2535" s="539"/>
      <c r="Q2535" s="539"/>
      <c r="R2535" s="539"/>
      <c r="S2535" s="539"/>
      <c r="T2535" s="539"/>
      <c r="U2535" s="539"/>
      <c r="V2535" s="539"/>
      <c r="W2535" s="537"/>
      <c r="X2535" s="540"/>
      <c r="Y2535" s="537"/>
      <c r="Z2535" s="537"/>
      <c r="AA2535" s="249"/>
      <c r="AB2535" s="249"/>
      <c r="AC2535" s="249"/>
      <c r="AD2535" s="537"/>
      <c r="AE2535" s="3"/>
      <c r="AF2535" s="35"/>
      <c r="AG2535" s="35"/>
      <c r="AH2535" s="35"/>
      <c r="AI2535" s="35"/>
      <c r="AJ2535" s="35"/>
      <c r="AK2535" s="35"/>
      <c r="AL2535" s="35"/>
      <c r="AM2535" s="3"/>
      <c r="AN2535" s="3"/>
      <c r="AO2535" s="35"/>
      <c r="AP2535" s="35"/>
      <c r="AV2535" t="str">
        <f t="shared" si="10098"/>
        <v xml:space="preserve">   Seg. 2.3-C08-Plataforma- Instalação de DSH01 - Seg.2.3 C 08 </v>
      </c>
      <c r="AW2535" s="4" t="str">
        <f t="shared" si="10096"/>
        <v xml:space="preserve">   Descida DDAB-4 L=2,20m</v>
      </c>
    </row>
    <row r="2536" spans="1:49" ht="15.6" customHeight="1" outlineLevel="2">
      <c r="A2536" s="209">
        <v>0</v>
      </c>
      <c r="B2536" s="150"/>
      <c r="C2536" s="150">
        <v>0</v>
      </c>
      <c r="D2536" s="117"/>
      <c r="E2536" s="535"/>
      <c r="F2536" s="541"/>
      <c r="G2536" s="537"/>
      <c r="H2536" s="537"/>
      <c r="I2536" s="249"/>
      <c r="J2536" s="537"/>
      <c r="K2536" s="537"/>
      <c r="L2536" s="537"/>
      <c r="M2536" s="249"/>
      <c r="N2536" s="537"/>
      <c r="O2536" s="537"/>
      <c r="P2536" s="539"/>
      <c r="Q2536" s="539"/>
      <c r="R2536" s="539"/>
      <c r="S2536" s="539"/>
      <c r="T2536" s="539"/>
      <c r="U2536" s="539"/>
      <c r="V2536" s="539"/>
      <c r="W2536" s="537"/>
      <c r="X2536" s="540"/>
      <c r="Y2536" s="537"/>
      <c r="Z2536" s="537"/>
      <c r="AA2536" s="249"/>
      <c r="AB2536" s="249"/>
      <c r="AC2536" s="249"/>
      <c r="AD2536" s="537"/>
      <c r="AE2536" s="3"/>
      <c r="AF2536" s="35"/>
      <c r="AG2536" s="35"/>
      <c r="AH2536" s="35"/>
      <c r="AI2536" s="35"/>
      <c r="AJ2536" s="35"/>
      <c r="AK2536" s="35"/>
      <c r="AL2536" s="35"/>
      <c r="AM2536" s="3"/>
      <c r="AN2536" s="3"/>
      <c r="AO2536" s="35"/>
      <c r="AP2536" s="35"/>
      <c r="AV2536" t="str">
        <f t="shared" si="10098"/>
        <v xml:space="preserve">   Seg. 2.3-C08-Plataforma- Instalação de DSH01 - Seg.2.3 C 08 </v>
      </c>
      <c r="AW2536" s="4" t="str">
        <f t="shared" si="10096"/>
        <v xml:space="preserve">   Descida DDAB-4 L=2,20m</v>
      </c>
    </row>
    <row r="2537" spans="1:49" ht="15.6" customHeight="1" outlineLevel="2">
      <c r="A2537" s="209">
        <v>0</v>
      </c>
      <c r="B2537" s="150"/>
      <c r="C2537" s="150"/>
      <c r="D2537" s="122"/>
      <c r="E2537" s="913" t="s">
        <v>44</v>
      </c>
      <c r="F2537" s="859" t="s">
        <v>52</v>
      </c>
      <c r="G2537" s="528"/>
      <c r="H2537" s="542" t="s">
        <v>37</v>
      </c>
      <c r="I2537" s="543">
        <f t="shared" ref="I2537" si="10218">SUMIF($L2539:$L2560,$L2537,I2539:I2560)</f>
        <v>0</v>
      </c>
      <c r="J2537" s="860" t="str">
        <f>IFERROR((I2538/I2537),"-")</f>
        <v>-</v>
      </c>
      <c r="K2537" s="528"/>
      <c r="L2537" s="542" t="s">
        <v>37</v>
      </c>
      <c r="M2537" s="543">
        <f>SUMIF($L2539:$L2560,$L2537,M2539:M2560)</f>
        <v>0</v>
      </c>
      <c r="N2537" s="860" t="str">
        <f>IFERROR((M2538/M2537),"-")</f>
        <v>-</v>
      </c>
      <c r="O2537" s="528"/>
      <c r="P2537" s="543">
        <f t="shared" ref="P2537:U2537" si="10219">SUMIF($L2539:$L2560,$L2537,P2539:P2560)</f>
        <v>0</v>
      </c>
      <c r="Q2537" s="543">
        <f t="shared" si="10219"/>
        <v>0</v>
      </c>
      <c r="R2537" s="543">
        <f t="shared" si="10219"/>
        <v>0</v>
      </c>
      <c r="S2537" s="543">
        <f t="shared" si="10219"/>
        <v>0</v>
      </c>
      <c r="T2537" s="543">
        <f t="shared" si="10219"/>
        <v>0</v>
      </c>
      <c r="U2537" s="543">
        <f t="shared" si="10219"/>
        <v>0</v>
      </c>
      <c r="V2537" s="543"/>
      <c r="W2537" s="528"/>
      <c r="X2537" s="543">
        <f t="shared" ref="X2537:X2560" si="10220">SUMIFS(P2537:V2537,$P$8:$V$8,"&gt;="&amp;$P$8,$P$8:$V$8,"&lt;="&amp;$N$8)</f>
        <v>0</v>
      </c>
      <c r="Y2537" s="860" t="str">
        <f>IFERROR((X2538/X2537),"-")</f>
        <v>-</v>
      </c>
      <c r="Z2537" s="528"/>
      <c r="AA2537" s="814">
        <f>SUM(AA2539:AA2560)</f>
        <v>0</v>
      </c>
      <c r="AB2537" s="814">
        <f>SUM(AB2539:AB2560)</f>
        <v>0</v>
      </c>
      <c r="AC2537" s="814">
        <f>SUM(AC2539:AC2560)</f>
        <v>0</v>
      </c>
      <c r="AD2537" s="911" t="str">
        <f t="shared" ref="AD2537" si="10221">IFERROR((AC2537/AA2537),"-")</f>
        <v>-</v>
      </c>
      <c r="AE2537" s="2"/>
      <c r="AF2537" s="888">
        <f t="shared" ref="AF2537" si="10222">SUM(AF2539:AF2560)</f>
        <v>0</v>
      </c>
      <c r="AG2537" s="888">
        <f t="shared" ref="AG2537:AL2537" si="10223">SUM(AG2539:AG2560)</f>
        <v>0</v>
      </c>
      <c r="AH2537" s="888">
        <f t="shared" si="10223"/>
        <v>0</v>
      </c>
      <c r="AI2537" s="888">
        <f t="shared" si="10223"/>
        <v>0</v>
      </c>
      <c r="AJ2537" s="888"/>
      <c r="AK2537" s="888">
        <f t="shared" si="10223"/>
        <v>0</v>
      </c>
      <c r="AL2537" s="888">
        <f t="shared" si="10223"/>
        <v>0</v>
      </c>
      <c r="AM2537" s="743" t="str">
        <f>IFERROR((AK2537/AL2537),"-")</f>
        <v>-</v>
      </c>
      <c r="AN2537" s="2"/>
      <c r="AO2537" s="888">
        <f>SUM(AO2539:AO2560)</f>
        <v>587.20000000000005</v>
      </c>
      <c r="AP2537" s="888">
        <f>AO2537-AG2537</f>
        <v>587.20000000000005</v>
      </c>
      <c r="AV2537" t="str">
        <f t="shared" si="10098"/>
        <v xml:space="preserve">   Seg. 2.3-C08-Plataforma- Instalação de DSH01 - Seg.2.3 C 08 </v>
      </c>
      <c r="AW2537" s="4" t="str">
        <f t="shared" si="10096"/>
        <v>Pacote 05 - Segmento 2.5 - 138+160 a 153+420</v>
      </c>
    </row>
    <row r="2538" spans="1:49" ht="15.6" customHeight="1" outlineLevel="2">
      <c r="A2538" s="209">
        <v>0</v>
      </c>
      <c r="B2538" s="150"/>
      <c r="C2538" s="150">
        <v>0</v>
      </c>
      <c r="D2538" s="123"/>
      <c r="E2538" s="913"/>
      <c r="F2538" s="859"/>
      <c r="G2538" s="528"/>
      <c r="H2538" s="544" t="s">
        <v>38</v>
      </c>
      <c r="I2538" s="543">
        <f t="shared" ref="I2538" si="10224">SUMIF($L2539:$L2560,$L2538,I2539:I2560)</f>
        <v>0</v>
      </c>
      <c r="J2538" s="861"/>
      <c r="K2538" s="528"/>
      <c r="L2538" s="544" t="s">
        <v>38</v>
      </c>
      <c r="M2538" s="543">
        <f>SUMIF($L2539:$L2560,$L2538,M2539:M2560)</f>
        <v>0</v>
      </c>
      <c r="N2538" s="861"/>
      <c r="O2538" s="528"/>
      <c r="P2538" s="543">
        <f t="shared" ref="P2538:U2538" si="10225">SUMIF($L2539:$L2560,$L2538,P2539:P2560)</f>
        <v>0</v>
      </c>
      <c r="Q2538" s="543">
        <f t="shared" si="10225"/>
        <v>0</v>
      </c>
      <c r="R2538" s="543">
        <f t="shared" si="10225"/>
        <v>0</v>
      </c>
      <c r="S2538" s="543">
        <f t="shared" si="10225"/>
        <v>0</v>
      </c>
      <c r="T2538" s="543">
        <f t="shared" si="10225"/>
        <v>0</v>
      </c>
      <c r="U2538" s="543">
        <f t="shared" si="10225"/>
        <v>0</v>
      </c>
      <c r="V2538" s="543"/>
      <c r="W2538" s="528"/>
      <c r="X2538" s="543">
        <f t="shared" si="10220"/>
        <v>0</v>
      </c>
      <c r="Y2538" s="861"/>
      <c r="Z2538" s="528"/>
      <c r="AA2538" s="815"/>
      <c r="AB2538" s="815"/>
      <c r="AC2538" s="815"/>
      <c r="AD2538" s="912"/>
      <c r="AE2538" s="2"/>
      <c r="AF2538" s="889"/>
      <c r="AG2538" s="889"/>
      <c r="AH2538" s="889"/>
      <c r="AI2538" s="889"/>
      <c r="AJ2538" s="889"/>
      <c r="AK2538" s="889"/>
      <c r="AL2538" s="889"/>
      <c r="AM2538" s="744"/>
      <c r="AN2538" s="2"/>
      <c r="AO2538" s="888"/>
      <c r="AP2538" s="888"/>
      <c r="AV2538" t="str">
        <f t="shared" si="10098"/>
        <v xml:space="preserve">   Seg. 2.3-C08-Plataforma- Instalação de DSH01 - Seg.2.3 C 08 </v>
      </c>
      <c r="AW2538" s="4" t="str">
        <f t="shared" si="10096"/>
        <v>Pacote 05 - Segmento 2.5 - 138+160 a 153+420</v>
      </c>
    </row>
    <row r="2539" spans="1:49" ht="15.6" customHeight="1" outlineLevel="2">
      <c r="A2539" s="8" t="str">
        <f t="shared" ref="A2539" si="10226">IF(SUM(P2539:V2540)&gt;0,"S","N")</f>
        <v>N</v>
      </c>
      <c r="B2539" s="150">
        <v>1068766</v>
      </c>
      <c r="C2539" s="150" t="s">
        <v>2812</v>
      </c>
      <c r="D2539" s="120" t="s">
        <v>1291</v>
      </c>
      <c r="E2539" s="892" t="s">
        <v>2813</v>
      </c>
      <c r="F2539" s="902" t="s">
        <v>52</v>
      </c>
      <c r="G2539" s="528"/>
      <c r="H2539" s="546" t="s">
        <v>37</v>
      </c>
      <c r="I2539" s="711">
        <v>0</v>
      </c>
      <c r="J2539" s="896" t="str">
        <f t="shared" ref="J2539" si="10227">IFERROR((I2540/I2539),"-")</f>
        <v>-</v>
      </c>
      <c r="K2539" s="528"/>
      <c r="L2539" s="546" t="s">
        <v>37</v>
      </c>
      <c r="M2539" s="711">
        <f t="shared" ref="M2539:M2560" si="10228">_xlfn.XLOOKUP($N$8,$P$8:$V$8,$P2539:$V2539)</f>
        <v>0</v>
      </c>
      <c r="N2539" s="896" t="str">
        <f t="shared" ref="N2539" si="10229">IFERROR((M2540/M2539),"-")</f>
        <v>-</v>
      </c>
      <c r="O2539" s="528"/>
      <c r="P2539" s="547">
        <v>0</v>
      </c>
      <c r="Q2539" s="547">
        <v>0</v>
      </c>
      <c r="R2539" s="547">
        <v>0</v>
      </c>
      <c r="S2539" s="547">
        <v>0</v>
      </c>
      <c r="T2539" s="547">
        <v>0</v>
      </c>
      <c r="U2539" s="547">
        <v>0</v>
      </c>
      <c r="V2539" s="548">
        <v>0</v>
      </c>
      <c r="W2539" s="528"/>
      <c r="X2539" s="711">
        <f t="shared" si="10220"/>
        <v>0</v>
      </c>
      <c r="Y2539" s="896" t="str">
        <f t="shared" ref="Y2539" si="10230">IFERROR((X2540/X2539),"-")</f>
        <v>-</v>
      </c>
      <c r="Z2539" s="528"/>
      <c r="AA2539" s="898">
        <v>0</v>
      </c>
      <c r="AB2539" s="898">
        <v>0</v>
      </c>
      <c r="AC2539" s="903">
        <v>0</v>
      </c>
      <c r="AD2539" s="896" t="str">
        <f t="shared" ref="AD2539" si="10231">IFERROR((AC2539/AA2539),"-")</f>
        <v>-</v>
      </c>
      <c r="AE2539" s="2"/>
      <c r="AF2539" s="884">
        <v>0</v>
      </c>
      <c r="AG2539" s="884"/>
      <c r="AH2539" s="884">
        <v>0</v>
      </c>
      <c r="AI2539" s="884"/>
      <c r="AJ2539" s="884"/>
      <c r="AK2539" s="884">
        <f t="shared" ref="AK2539" si="10232">AF2539+AG2539+AH2539+AI2539+AJ2539+AC2539</f>
        <v>0</v>
      </c>
      <c r="AL2539" s="884">
        <v>0</v>
      </c>
      <c r="AM2539" s="878" t="str">
        <f t="shared" ref="AM2539" si="10233">IFERROR((AK2539/AL2539),"-")</f>
        <v>-</v>
      </c>
      <c r="AN2539" s="2"/>
      <c r="AO2539" s="884">
        <v>31.8</v>
      </c>
      <c r="AP2539" s="884">
        <f t="shared" ref="AP2539" si="10234">AO2539-AK2539</f>
        <v>31.8</v>
      </c>
      <c r="AV2539" t="str">
        <f t="shared" si="10098"/>
        <v xml:space="preserve">   Seg. 2.3-C08-Plataforma- Instalação de DSH01 - Seg.2.3 C 08 </v>
      </c>
      <c r="AW2539" s="4" t="str">
        <f t="shared" si="10096"/>
        <v xml:space="preserve">   Seg. 2.5-A01 - Drenagem Superficial - Descida D´água</v>
      </c>
    </row>
    <row r="2540" spans="1:49" ht="15.6" customHeight="1" outlineLevel="2">
      <c r="A2540" s="8" t="str">
        <f t="shared" ref="A2540" si="10235">A2539</f>
        <v>N</v>
      </c>
      <c r="B2540" s="150"/>
      <c r="C2540" s="150"/>
      <c r="D2540" s="120" t="s">
        <v>1291</v>
      </c>
      <c r="E2540" s="893"/>
      <c r="F2540" s="902"/>
      <c r="G2540" s="528"/>
      <c r="H2540" s="549" t="s">
        <v>38</v>
      </c>
      <c r="I2540" s="711">
        <v>0</v>
      </c>
      <c r="J2540" s="897"/>
      <c r="K2540" s="528"/>
      <c r="L2540" s="549" t="s">
        <v>38</v>
      </c>
      <c r="M2540" s="711">
        <f t="shared" si="10228"/>
        <v>0</v>
      </c>
      <c r="N2540" s="897"/>
      <c r="O2540" s="528"/>
      <c r="P2540" s="548">
        <v>0</v>
      </c>
      <c r="Q2540" s="548">
        <v>0</v>
      </c>
      <c r="R2540" s="548">
        <v>0</v>
      </c>
      <c r="S2540" s="548">
        <v>0</v>
      </c>
      <c r="T2540" s="548">
        <v>0</v>
      </c>
      <c r="U2540" s="548">
        <v>0</v>
      </c>
      <c r="V2540" s="548">
        <v>0</v>
      </c>
      <c r="W2540" s="528"/>
      <c r="X2540" s="711">
        <f t="shared" si="10220"/>
        <v>0</v>
      </c>
      <c r="Y2540" s="897"/>
      <c r="Z2540" s="528"/>
      <c r="AA2540" s="899"/>
      <c r="AB2540" s="899"/>
      <c r="AC2540" s="904"/>
      <c r="AD2540" s="905"/>
      <c r="AE2540" s="2"/>
      <c r="AF2540" s="885"/>
      <c r="AG2540" s="885"/>
      <c r="AH2540" s="885"/>
      <c r="AI2540" s="885"/>
      <c r="AJ2540" s="885"/>
      <c r="AK2540" s="885"/>
      <c r="AL2540" s="885"/>
      <c r="AM2540" s="879"/>
      <c r="AN2540" s="2"/>
      <c r="AO2540" s="886"/>
      <c r="AP2540" s="886"/>
      <c r="AV2540" t="str">
        <f t="shared" si="10098"/>
        <v xml:space="preserve">   Seg. 2.3-C08-Plataforma- Instalação de DSH01 - Seg.2.3 C 08 </v>
      </c>
      <c r="AW2540" s="4" t="str">
        <f t="shared" si="10096"/>
        <v xml:space="preserve">   Seg. 2.5-A01 - Drenagem Superficial - Descida D´água</v>
      </c>
    </row>
    <row r="2541" spans="1:49" ht="15.6" customHeight="1" outlineLevel="2">
      <c r="A2541" s="8" t="str">
        <f t="shared" ref="A2541" si="10236">IF(SUM(P2541:V2542)&gt;0,"S","N")</f>
        <v>N</v>
      </c>
      <c r="B2541" s="150">
        <v>1068767</v>
      </c>
      <c r="C2541" s="150" t="s">
        <v>2814</v>
      </c>
      <c r="D2541" s="120" t="s">
        <v>534</v>
      </c>
      <c r="E2541" s="892" t="s">
        <v>2815</v>
      </c>
      <c r="F2541" s="902" t="s">
        <v>52</v>
      </c>
      <c r="G2541" s="528"/>
      <c r="H2541" s="546" t="s">
        <v>37</v>
      </c>
      <c r="I2541" s="711">
        <v>0</v>
      </c>
      <c r="J2541" s="896" t="str">
        <f t="shared" ref="J2541" si="10237">IFERROR((I2542/I2541),"-")</f>
        <v>-</v>
      </c>
      <c r="K2541" s="528"/>
      <c r="L2541" s="546" t="s">
        <v>37</v>
      </c>
      <c r="M2541" s="711">
        <f t="shared" si="10228"/>
        <v>0</v>
      </c>
      <c r="N2541" s="896" t="str">
        <f t="shared" ref="N2541" si="10238">IFERROR((M2542/M2541),"-")</f>
        <v>-</v>
      </c>
      <c r="O2541" s="528"/>
      <c r="P2541" s="547">
        <v>0</v>
      </c>
      <c r="Q2541" s="547">
        <v>0</v>
      </c>
      <c r="R2541" s="547">
        <v>0</v>
      </c>
      <c r="S2541" s="547">
        <v>0</v>
      </c>
      <c r="T2541" s="547">
        <v>0</v>
      </c>
      <c r="U2541" s="547">
        <v>0</v>
      </c>
      <c r="V2541" s="548">
        <v>0</v>
      </c>
      <c r="W2541" s="528"/>
      <c r="X2541" s="711">
        <f t="shared" si="10220"/>
        <v>0</v>
      </c>
      <c r="Y2541" s="896" t="str">
        <f t="shared" ref="Y2541" si="10239">IFERROR((X2542/X2541),"-")</f>
        <v>-</v>
      </c>
      <c r="Z2541" s="528"/>
      <c r="AA2541" s="898">
        <v>0</v>
      </c>
      <c r="AB2541" s="898">
        <v>0</v>
      </c>
      <c r="AC2541" s="903">
        <v>0</v>
      </c>
      <c r="AD2541" s="896" t="str">
        <f t="shared" ref="AD2541" si="10240">IFERROR((AC2541/AA2541),"-")</f>
        <v>-</v>
      </c>
      <c r="AE2541" s="2"/>
      <c r="AF2541" s="884">
        <v>0</v>
      </c>
      <c r="AG2541" s="884"/>
      <c r="AH2541" s="884">
        <v>0</v>
      </c>
      <c r="AI2541" s="884"/>
      <c r="AJ2541" s="884"/>
      <c r="AK2541" s="884">
        <f t="shared" ref="AK2541" si="10241">AF2541+AG2541+AH2541+AI2541+AJ2541+AC2541</f>
        <v>0</v>
      </c>
      <c r="AL2541" s="884">
        <v>0</v>
      </c>
      <c r="AM2541" s="878" t="str">
        <f t="shared" ref="AM2541" si="10242">IFERROR((AK2541/AL2541),"-")</f>
        <v>-</v>
      </c>
      <c r="AN2541" s="2"/>
      <c r="AO2541" s="884">
        <v>39</v>
      </c>
      <c r="AP2541" s="884">
        <f t="shared" ref="AP2541" si="10243">AO2541-AK2541</f>
        <v>39</v>
      </c>
      <c r="AV2541" t="str">
        <f t="shared" si="10098"/>
        <v xml:space="preserve">   Seg. 2.3-C08-Plataforma- Instalação de DSH01 - Seg.2.3 C 08 </v>
      </c>
      <c r="AW2541" s="4" t="str">
        <f t="shared" si="10096"/>
        <v xml:space="preserve">   Seg. 2.5-A03 - Drenagem Superficial - Descida D´água</v>
      </c>
    </row>
    <row r="2542" spans="1:49" ht="15.6" customHeight="1" outlineLevel="2">
      <c r="A2542" s="8" t="str">
        <f t="shared" ref="A2542" si="10244">A2541</f>
        <v>N</v>
      </c>
      <c r="B2542" s="150"/>
      <c r="C2542" s="150"/>
      <c r="D2542" s="120" t="s">
        <v>534</v>
      </c>
      <c r="E2542" s="893"/>
      <c r="F2542" s="902"/>
      <c r="G2542" s="528"/>
      <c r="H2542" s="549" t="s">
        <v>38</v>
      </c>
      <c r="I2542" s="711">
        <v>0</v>
      </c>
      <c r="J2542" s="897"/>
      <c r="K2542" s="528"/>
      <c r="L2542" s="549" t="s">
        <v>38</v>
      </c>
      <c r="M2542" s="711">
        <f t="shared" si="10228"/>
        <v>0</v>
      </c>
      <c r="N2542" s="897"/>
      <c r="O2542" s="528"/>
      <c r="P2542" s="548">
        <v>0</v>
      </c>
      <c r="Q2542" s="548">
        <v>0</v>
      </c>
      <c r="R2542" s="548">
        <v>0</v>
      </c>
      <c r="S2542" s="548">
        <v>0</v>
      </c>
      <c r="T2542" s="548">
        <v>0</v>
      </c>
      <c r="U2542" s="548">
        <v>0</v>
      </c>
      <c r="V2542" s="548">
        <v>0</v>
      </c>
      <c r="W2542" s="528"/>
      <c r="X2542" s="711">
        <f t="shared" si="10220"/>
        <v>0</v>
      </c>
      <c r="Y2542" s="897"/>
      <c r="Z2542" s="528"/>
      <c r="AA2542" s="899"/>
      <c r="AB2542" s="899"/>
      <c r="AC2542" s="904"/>
      <c r="AD2542" s="905"/>
      <c r="AE2542" s="2"/>
      <c r="AF2542" s="885"/>
      <c r="AG2542" s="885"/>
      <c r="AH2542" s="885"/>
      <c r="AI2542" s="885"/>
      <c r="AJ2542" s="885"/>
      <c r="AK2542" s="885"/>
      <c r="AL2542" s="885"/>
      <c r="AM2542" s="879"/>
      <c r="AN2542" s="2"/>
      <c r="AO2542" s="886"/>
      <c r="AP2542" s="886"/>
      <c r="AV2542" t="str">
        <f t="shared" si="10098"/>
        <v xml:space="preserve">   Seg. 2.3-C08-Plataforma- Instalação de DSH01 - Seg.2.3 C 08 </v>
      </c>
      <c r="AW2542" s="4" t="str">
        <f t="shared" si="10096"/>
        <v xml:space="preserve">   Seg. 2.5-A03 - Drenagem Superficial - Descida D´água</v>
      </c>
    </row>
    <row r="2543" spans="1:49" ht="15.6" customHeight="1" outlineLevel="2">
      <c r="A2543" s="8" t="str">
        <f t="shared" ref="A2543" si="10245">IF(SUM(P2543:V2544)&gt;0,"S","N")</f>
        <v>N</v>
      </c>
      <c r="B2543" s="150">
        <v>1068768</v>
      </c>
      <c r="C2543" s="150" t="s">
        <v>2816</v>
      </c>
      <c r="D2543" s="120" t="s">
        <v>524</v>
      </c>
      <c r="E2543" s="892" t="s">
        <v>2817</v>
      </c>
      <c r="F2543" s="902" t="s">
        <v>52</v>
      </c>
      <c r="G2543" s="528"/>
      <c r="H2543" s="546" t="s">
        <v>37</v>
      </c>
      <c r="I2543" s="711">
        <v>0</v>
      </c>
      <c r="J2543" s="896" t="str">
        <f t="shared" ref="J2543" si="10246">IFERROR((I2544/I2543),"-")</f>
        <v>-</v>
      </c>
      <c r="K2543" s="528"/>
      <c r="L2543" s="546" t="s">
        <v>37</v>
      </c>
      <c r="M2543" s="711">
        <f t="shared" si="10228"/>
        <v>0</v>
      </c>
      <c r="N2543" s="896" t="str">
        <f t="shared" ref="N2543" si="10247">IFERROR((M2544/M2543),"-")</f>
        <v>-</v>
      </c>
      <c r="O2543" s="528"/>
      <c r="P2543" s="547">
        <v>0</v>
      </c>
      <c r="Q2543" s="547">
        <v>0</v>
      </c>
      <c r="R2543" s="547">
        <v>0</v>
      </c>
      <c r="S2543" s="547">
        <v>0</v>
      </c>
      <c r="T2543" s="547">
        <v>0</v>
      </c>
      <c r="U2543" s="547">
        <v>0</v>
      </c>
      <c r="V2543" s="548">
        <v>0</v>
      </c>
      <c r="W2543" s="528"/>
      <c r="X2543" s="711">
        <f t="shared" si="10220"/>
        <v>0</v>
      </c>
      <c r="Y2543" s="896" t="str">
        <f t="shared" ref="Y2543" si="10248">IFERROR((X2544/X2543),"-")</f>
        <v>-</v>
      </c>
      <c r="Z2543" s="528"/>
      <c r="AA2543" s="898">
        <v>0</v>
      </c>
      <c r="AB2543" s="898">
        <v>0</v>
      </c>
      <c r="AC2543" s="903">
        <v>0</v>
      </c>
      <c r="AD2543" s="896" t="str">
        <f t="shared" ref="AD2543" si="10249">IFERROR((AC2543/AA2543),"-")</f>
        <v>-</v>
      </c>
      <c r="AE2543" s="2"/>
      <c r="AF2543" s="884">
        <v>0</v>
      </c>
      <c r="AG2543" s="884"/>
      <c r="AH2543" s="884">
        <v>0</v>
      </c>
      <c r="AI2543" s="884"/>
      <c r="AJ2543" s="884"/>
      <c r="AK2543" s="884">
        <f t="shared" ref="AK2543" si="10250">AF2543+AG2543+AH2543+AI2543+AJ2543+AC2543</f>
        <v>0</v>
      </c>
      <c r="AL2543" s="884">
        <v>0</v>
      </c>
      <c r="AM2543" s="878" t="str">
        <f t="shared" ref="AM2543" si="10251">IFERROR((AK2543/AL2543),"-")</f>
        <v>-</v>
      </c>
      <c r="AN2543" s="2"/>
      <c r="AO2543" s="884">
        <v>42.4</v>
      </c>
      <c r="AP2543" s="884">
        <f t="shared" ref="AP2543" si="10252">AO2543-AK2543</f>
        <v>42.4</v>
      </c>
      <c r="AV2543" t="str">
        <f t="shared" si="10098"/>
        <v xml:space="preserve">   Seg. 2.3-C08-Plataforma- Instalação de DSH01 - Seg.2.3 C 08 </v>
      </c>
      <c r="AW2543" s="4" t="str">
        <f t="shared" si="10096"/>
        <v xml:space="preserve">   Seg. 2.5-A04 - Drenagem Superficial - Descida D´água</v>
      </c>
    </row>
    <row r="2544" spans="1:49" ht="15.6" customHeight="1" outlineLevel="2">
      <c r="A2544" s="8" t="str">
        <f t="shared" ref="A2544" si="10253">A2543</f>
        <v>N</v>
      </c>
      <c r="B2544" s="150"/>
      <c r="C2544" s="150"/>
      <c r="D2544" s="120" t="s">
        <v>524</v>
      </c>
      <c r="E2544" s="893"/>
      <c r="F2544" s="902"/>
      <c r="G2544" s="528"/>
      <c r="H2544" s="549" t="s">
        <v>38</v>
      </c>
      <c r="I2544" s="711">
        <v>0</v>
      </c>
      <c r="J2544" s="897"/>
      <c r="K2544" s="528"/>
      <c r="L2544" s="549" t="s">
        <v>38</v>
      </c>
      <c r="M2544" s="711">
        <f t="shared" si="10228"/>
        <v>0</v>
      </c>
      <c r="N2544" s="897"/>
      <c r="O2544" s="528"/>
      <c r="P2544" s="548">
        <v>0</v>
      </c>
      <c r="Q2544" s="548">
        <v>0</v>
      </c>
      <c r="R2544" s="548">
        <v>0</v>
      </c>
      <c r="S2544" s="548">
        <v>0</v>
      </c>
      <c r="T2544" s="548">
        <v>0</v>
      </c>
      <c r="U2544" s="548">
        <v>0</v>
      </c>
      <c r="V2544" s="548">
        <v>0</v>
      </c>
      <c r="W2544" s="528"/>
      <c r="X2544" s="711">
        <f t="shared" si="10220"/>
        <v>0</v>
      </c>
      <c r="Y2544" s="897"/>
      <c r="Z2544" s="528"/>
      <c r="AA2544" s="899"/>
      <c r="AB2544" s="899"/>
      <c r="AC2544" s="904"/>
      <c r="AD2544" s="905"/>
      <c r="AE2544" s="2"/>
      <c r="AF2544" s="885"/>
      <c r="AG2544" s="885"/>
      <c r="AH2544" s="885"/>
      <c r="AI2544" s="885"/>
      <c r="AJ2544" s="885"/>
      <c r="AK2544" s="885"/>
      <c r="AL2544" s="885"/>
      <c r="AM2544" s="879"/>
      <c r="AN2544" s="2"/>
      <c r="AO2544" s="886"/>
      <c r="AP2544" s="886"/>
      <c r="AV2544" t="str">
        <f t="shared" si="10098"/>
        <v xml:space="preserve">   Seg. 2.3-C08-Plataforma- Instalação de DSH01 - Seg.2.3 C 08 </v>
      </c>
      <c r="AW2544" s="4" t="str">
        <f t="shared" si="10096"/>
        <v xml:space="preserve">   Seg. 2.5-A04 - Drenagem Superficial - Descida D´água</v>
      </c>
    </row>
    <row r="2545" spans="1:50" ht="15.6" customHeight="1" outlineLevel="2">
      <c r="A2545" s="8" t="str">
        <f t="shared" ref="A2545" si="10254">IF(SUM(P2545:V2546)&gt;0,"S","N")</f>
        <v>N</v>
      </c>
      <c r="B2545" s="150">
        <v>1068769</v>
      </c>
      <c r="C2545" s="150" t="s">
        <v>2818</v>
      </c>
      <c r="D2545" s="120" t="s">
        <v>532</v>
      </c>
      <c r="E2545" s="892" t="s">
        <v>2819</v>
      </c>
      <c r="F2545" s="902" t="s">
        <v>52</v>
      </c>
      <c r="G2545" s="528"/>
      <c r="H2545" s="546" t="s">
        <v>37</v>
      </c>
      <c r="I2545" s="711">
        <v>0</v>
      </c>
      <c r="J2545" s="896" t="str">
        <f t="shared" ref="J2545" si="10255">IFERROR((I2546/I2545),"-")</f>
        <v>-</v>
      </c>
      <c r="K2545" s="528"/>
      <c r="L2545" s="546" t="s">
        <v>37</v>
      </c>
      <c r="M2545" s="711">
        <f t="shared" si="10228"/>
        <v>0</v>
      </c>
      <c r="N2545" s="896" t="str">
        <f t="shared" ref="N2545" si="10256">IFERROR((M2546/M2545),"-")</f>
        <v>-</v>
      </c>
      <c r="O2545" s="528"/>
      <c r="P2545" s="547">
        <v>0</v>
      </c>
      <c r="Q2545" s="547">
        <v>0</v>
      </c>
      <c r="R2545" s="547">
        <v>0</v>
      </c>
      <c r="S2545" s="547">
        <v>0</v>
      </c>
      <c r="T2545" s="547">
        <v>0</v>
      </c>
      <c r="U2545" s="547">
        <v>0</v>
      </c>
      <c r="V2545" s="548">
        <v>0</v>
      </c>
      <c r="W2545" s="528"/>
      <c r="X2545" s="711">
        <f t="shared" si="10220"/>
        <v>0</v>
      </c>
      <c r="Y2545" s="896" t="str">
        <f t="shared" ref="Y2545" si="10257">IFERROR((X2546/X2545),"-")</f>
        <v>-</v>
      </c>
      <c r="Z2545" s="528"/>
      <c r="AA2545" s="898">
        <v>0</v>
      </c>
      <c r="AB2545" s="898">
        <v>0</v>
      </c>
      <c r="AC2545" s="903">
        <v>0</v>
      </c>
      <c r="AD2545" s="896" t="str">
        <f t="shared" ref="AD2545" si="10258">IFERROR((AC2545/AA2545),"-")</f>
        <v>-</v>
      </c>
      <c r="AE2545" s="2"/>
      <c r="AF2545" s="884">
        <v>0</v>
      </c>
      <c r="AG2545" s="884"/>
      <c r="AH2545" s="884">
        <v>0</v>
      </c>
      <c r="AI2545" s="884"/>
      <c r="AJ2545" s="884"/>
      <c r="AK2545" s="884">
        <f t="shared" ref="AK2545" si="10259">AF2545+AG2545+AH2545+AI2545+AJ2545+AC2545</f>
        <v>0</v>
      </c>
      <c r="AL2545" s="884">
        <v>0</v>
      </c>
      <c r="AM2545" s="878" t="str">
        <f t="shared" ref="AM2545" si="10260">IFERROR((AK2545/AL2545),"-")</f>
        <v>-</v>
      </c>
      <c r="AN2545" s="2"/>
      <c r="AO2545" s="884">
        <v>42.4</v>
      </c>
      <c r="AP2545" s="884">
        <f t="shared" ref="AP2545" si="10261">AO2545-AK2545</f>
        <v>42.4</v>
      </c>
      <c r="AV2545" t="str">
        <f t="shared" si="10098"/>
        <v xml:space="preserve">   Seg. 2.3-C08-Plataforma- Instalação de DSH01 - Seg.2.3 C 08 </v>
      </c>
      <c r="AW2545" s="4" t="str">
        <f t="shared" si="10096"/>
        <v xml:space="preserve">   Seg.2.5-A06 - Drenagem Superficial - Descida D´água</v>
      </c>
    </row>
    <row r="2546" spans="1:50" ht="15.6" customHeight="1" outlineLevel="2" collapsed="1">
      <c r="A2546" s="8" t="str">
        <f t="shared" ref="A2546" si="10262">A2545</f>
        <v>N</v>
      </c>
      <c r="B2546" s="150"/>
      <c r="C2546" s="150"/>
      <c r="D2546" s="120" t="s">
        <v>532</v>
      </c>
      <c r="E2546" s="893"/>
      <c r="F2546" s="902"/>
      <c r="G2546" s="528"/>
      <c r="H2546" s="549" t="s">
        <v>38</v>
      </c>
      <c r="I2546" s="711">
        <v>0</v>
      </c>
      <c r="J2546" s="897"/>
      <c r="K2546" s="528"/>
      <c r="L2546" s="549" t="s">
        <v>38</v>
      </c>
      <c r="M2546" s="711">
        <f t="shared" si="10228"/>
        <v>0</v>
      </c>
      <c r="N2546" s="897"/>
      <c r="O2546" s="528"/>
      <c r="P2546" s="548">
        <v>0</v>
      </c>
      <c r="Q2546" s="548">
        <v>0</v>
      </c>
      <c r="R2546" s="548">
        <v>0</v>
      </c>
      <c r="S2546" s="548">
        <v>0</v>
      </c>
      <c r="T2546" s="548">
        <v>0</v>
      </c>
      <c r="U2546" s="548">
        <v>0</v>
      </c>
      <c r="V2546" s="548">
        <v>0</v>
      </c>
      <c r="W2546" s="528"/>
      <c r="X2546" s="711">
        <f t="shared" si="10220"/>
        <v>0</v>
      </c>
      <c r="Y2546" s="897"/>
      <c r="Z2546" s="528"/>
      <c r="AA2546" s="899"/>
      <c r="AB2546" s="899"/>
      <c r="AC2546" s="904"/>
      <c r="AD2546" s="905"/>
      <c r="AE2546" s="2"/>
      <c r="AF2546" s="885"/>
      <c r="AG2546" s="885"/>
      <c r="AH2546" s="885"/>
      <c r="AI2546" s="885"/>
      <c r="AJ2546" s="885"/>
      <c r="AK2546" s="885"/>
      <c r="AL2546" s="885"/>
      <c r="AM2546" s="879"/>
      <c r="AN2546" s="2"/>
      <c r="AO2546" s="886"/>
      <c r="AP2546" s="886"/>
      <c r="AV2546" t="str">
        <f t="shared" si="10098"/>
        <v xml:space="preserve">   Seg. 2.3-C08-Plataforma- Instalação de DSH01 - Seg.2.3 C 08 </v>
      </c>
      <c r="AW2546" s="4" t="str">
        <f t="shared" si="10096"/>
        <v xml:space="preserve">   Seg.2.5-A06 - Drenagem Superficial - Descida D´água</v>
      </c>
    </row>
    <row r="2547" spans="1:50" ht="15.6" customHeight="1" outlineLevel="2">
      <c r="A2547" s="8" t="str">
        <f t="shared" ref="A2547" si="10263">IF(SUM(P2547:V2548)&gt;0,"S","N")</f>
        <v>N</v>
      </c>
      <c r="B2547" s="150">
        <v>1068770</v>
      </c>
      <c r="C2547" s="150" t="s">
        <v>2820</v>
      </c>
      <c r="D2547" s="120" t="s">
        <v>2821</v>
      </c>
      <c r="E2547" s="892" t="s">
        <v>2822</v>
      </c>
      <c r="F2547" s="902" t="s">
        <v>52</v>
      </c>
      <c r="G2547" s="528"/>
      <c r="H2547" s="546" t="s">
        <v>37</v>
      </c>
      <c r="I2547" s="711">
        <v>0</v>
      </c>
      <c r="J2547" s="896" t="str">
        <f t="shared" ref="J2547" si="10264">IFERROR((I2548/I2547),"-")</f>
        <v>-</v>
      </c>
      <c r="K2547" s="528"/>
      <c r="L2547" s="546" t="s">
        <v>37</v>
      </c>
      <c r="M2547" s="711">
        <f t="shared" si="10228"/>
        <v>0</v>
      </c>
      <c r="N2547" s="896" t="str">
        <f t="shared" ref="N2547" si="10265">IFERROR((M2548/M2547),"-")</f>
        <v>-</v>
      </c>
      <c r="O2547" s="528"/>
      <c r="P2547" s="547">
        <v>0</v>
      </c>
      <c r="Q2547" s="547">
        <v>0</v>
      </c>
      <c r="R2547" s="547">
        <v>0</v>
      </c>
      <c r="S2547" s="547">
        <v>0</v>
      </c>
      <c r="T2547" s="547">
        <v>0</v>
      </c>
      <c r="U2547" s="547">
        <v>0</v>
      </c>
      <c r="V2547" s="548">
        <v>0</v>
      </c>
      <c r="W2547" s="528"/>
      <c r="X2547" s="711">
        <f t="shared" si="10220"/>
        <v>0</v>
      </c>
      <c r="Y2547" s="896" t="str">
        <f t="shared" ref="Y2547" si="10266">IFERROR((X2548/X2547),"-")</f>
        <v>-</v>
      </c>
      <c r="Z2547" s="528"/>
      <c r="AA2547" s="898">
        <v>0</v>
      </c>
      <c r="AB2547" s="898">
        <v>0</v>
      </c>
      <c r="AC2547" s="903">
        <v>0</v>
      </c>
      <c r="AD2547" s="896" t="str">
        <f t="shared" ref="AD2547" si="10267">IFERROR((AC2547/AA2547),"-")</f>
        <v>-</v>
      </c>
      <c r="AE2547" s="2"/>
      <c r="AF2547" s="884">
        <v>0</v>
      </c>
      <c r="AG2547" s="884"/>
      <c r="AH2547" s="884">
        <v>0</v>
      </c>
      <c r="AI2547" s="884"/>
      <c r="AJ2547" s="884"/>
      <c r="AK2547" s="884">
        <f t="shared" ref="AK2547" si="10268">AF2547+AG2547+AH2547+AI2547+AJ2547+AC2547</f>
        <v>0</v>
      </c>
      <c r="AL2547" s="884">
        <v>0</v>
      </c>
      <c r="AM2547" s="878" t="str">
        <f t="shared" ref="AM2547" si="10269">IFERROR((AK2547/AL2547),"-")</f>
        <v>-</v>
      </c>
      <c r="AN2547" s="2"/>
      <c r="AO2547" s="884">
        <v>168.5</v>
      </c>
      <c r="AP2547" s="884">
        <f t="shared" ref="AP2547" si="10270">AO2547-AK2547</f>
        <v>168.5</v>
      </c>
      <c r="AV2547" t="str">
        <f t="shared" si="10098"/>
        <v xml:space="preserve">   Seg. 2.3-C08-Plataforma- Instalação de DSH01 - Seg.2.3 C 08 </v>
      </c>
      <c r="AW2547" s="4" t="str">
        <f t="shared" si="10096"/>
        <v xml:space="preserve">   Seg.2.5-A07 - Drenagem Superficial - Descida D´água</v>
      </c>
      <c r="AX2547" s="4"/>
    </row>
    <row r="2548" spans="1:50" ht="15.6" customHeight="1" outlineLevel="2">
      <c r="A2548" s="8" t="str">
        <f t="shared" ref="A2548" si="10271">A2547</f>
        <v>N</v>
      </c>
      <c r="B2548" s="150"/>
      <c r="C2548" s="150"/>
      <c r="D2548" s="120" t="s">
        <v>2821</v>
      </c>
      <c r="E2548" s="893"/>
      <c r="F2548" s="902"/>
      <c r="G2548" s="528"/>
      <c r="H2548" s="549" t="s">
        <v>38</v>
      </c>
      <c r="I2548" s="711">
        <v>0</v>
      </c>
      <c r="J2548" s="897"/>
      <c r="K2548" s="528"/>
      <c r="L2548" s="549" t="s">
        <v>38</v>
      </c>
      <c r="M2548" s="711">
        <f t="shared" si="10228"/>
        <v>0</v>
      </c>
      <c r="N2548" s="897"/>
      <c r="O2548" s="528"/>
      <c r="P2548" s="548">
        <v>0</v>
      </c>
      <c r="Q2548" s="548">
        <v>0</v>
      </c>
      <c r="R2548" s="548">
        <v>0</v>
      </c>
      <c r="S2548" s="548">
        <v>0</v>
      </c>
      <c r="T2548" s="548">
        <v>0</v>
      </c>
      <c r="U2548" s="548">
        <v>0</v>
      </c>
      <c r="V2548" s="548">
        <v>0</v>
      </c>
      <c r="W2548" s="528"/>
      <c r="X2548" s="711">
        <f t="shared" si="10220"/>
        <v>0</v>
      </c>
      <c r="Y2548" s="897"/>
      <c r="Z2548" s="528"/>
      <c r="AA2548" s="899"/>
      <c r="AB2548" s="899"/>
      <c r="AC2548" s="904"/>
      <c r="AD2548" s="905"/>
      <c r="AE2548" s="2"/>
      <c r="AF2548" s="885"/>
      <c r="AG2548" s="885"/>
      <c r="AH2548" s="885"/>
      <c r="AI2548" s="885"/>
      <c r="AJ2548" s="885"/>
      <c r="AK2548" s="885"/>
      <c r="AL2548" s="885"/>
      <c r="AM2548" s="879"/>
      <c r="AN2548" s="2"/>
      <c r="AO2548" s="886"/>
      <c r="AP2548" s="886"/>
      <c r="AV2548" t="str">
        <f t="shared" si="10098"/>
        <v xml:space="preserve">   Seg. 2.3-C08-Plataforma- Instalação de DSH01 - Seg.2.3 C 08 </v>
      </c>
      <c r="AW2548" s="4" t="str">
        <f t="shared" si="10096"/>
        <v xml:space="preserve">   Seg.2.5-A07 - Drenagem Superficial - Descida D´água</v>
      </c>
    </row>
    <row r="2549" spans="1:50" ht="15.6" customHeight="1" outlineLevel="2">
      <c r="A2549" s="8" t="str">
        <f t="shared" ref="A2549" si="10272">IF(SUM(P2549:V2550)&gt;0,"S","N")</f>
        <v>N</v>
      </c>
      <c r="B2549" s="150">
        <v>1068771</v>
      </c>
      <c r="C2549" s="150" t="s">
        <v>2823</v>
      </c>
      <c r="D2549" s="120" t="s">
        <v>518</v>
      </c>
      <c r="E2549" s="892" t="s">
        <v>2824</v>
      </c>
      <c r="F2549" s="902" t="s">
        <v>52</v>
      </c>
      <c r="G2549" s="528"/>
      <c r="H2549" s="546" t="s">
        <v>37</v>
      </c>
      <c r="I2549" s="711">
        <v>0</v>
      </c>
      <c r="J2549" s="896" t="str">
        <f t="shared" ref="J2549" si="10273">IFERROR((I2550/I2549),"-")</f>
        <v>-</v>
      </c>
      <c r="K2549" s="528"/>
      <c r="L2549" s="546" t="s">
        <v>37</v>
      </c>
      <c r="M2549" s="711">
        <f t="shared" si="10228"/>
        <v>0</v>
      </c>
      <c r="N2549" s="896" t="str">
        <f t="shared" ref="N2549" si="10274">IFERROR((M2550/M2549),"-")</f>
        <v>-</v>
      </c>
      <c r="O2549" s="528"/>
      <c r="P2549" s="547">
        <v>0</v>
      </c>
      <c r="Q2549" s="547">
        <v>0</v>
      </c>
      <c r="R2549" s="547">
        <v>0</v>
      </c>
      <c r="S2549" s="547">
        <v>0</v>
      </c>
      <c r="T2549" s="547">
        <v>0</v>
      </c>
      <c r="U2549" s="547">
        <v>0</v>
      </c>
      <c r="V2549" s="548">
        <v>0</v>
      </c>
      <c r="W2549" s="528"/>
      <c r="X2549" s="711">
        <f t="shared" si="10220"/>
        <v>0</v>
      </c>
      <c r="Y2549" s="896" t="str">
        <f t="shared" ref="Y2549" si="10275">IFERROR((X2550/X2549),"-")</f>
        <v>-</v>
      </c>
      <c r="Z2549" s="528"/>
      <c r="AA2549" s="898">
        <v>0</v>
      </c>
      <c r="AB2549" s="898">
        <v>0</v>
      </c>
      <c r="AC2549" s="903">
        <v>0</v>
      </c>
      <c r="AD2549" s="896" t="str">
        <f t="shared" ref="AD2549" si="10276">IFERROR((AC2549/AA2549),"-")</f>
        <v>-</v>
      </c>
      <c r="AE2549" s="2"/>
      <c r="AF2549" s="884">
        <v>0</v>
      </c>
      <c r="AG2549" s="884"/>
      <c r="AH2549" s="884">
        <v>0</v>
      </c>
      <c r="AI2549" s="884"/>
      <c r="AJ2549" s="884"/>
      <c r="AK2549" s="884">
        <f t="shared" ref="AK2549" si="10277">AF2549+AG2549+AH2549+AI2549+AJ2549+AC2549</f>
        <v>0</v>
      </c>
      <c r="AL2549" s="884">
        <v>0</v>
      </c>
      <c r="AM2549" s="878" t="str">
        <f t="shared" ref="AM2549" si="10278">IFERROR((AK2549/AL2549),"-")</f>
        <v>-</v>
      </c>
      <c r="AN2549" s="2"/>
      <c r="AO2549" s="884">
        <v>38.4</v>
      </c>
      <c r="AP2549" s="884">
        <f t="shared" ref="AP2549" si="10279">AO2549-AK2549</f>
        <v>38.4</v>
      </c>
      <c r="AV2549" t="str">
        <f t="shared" si="10098"/>
        <v xml:space="preserve">   Seg. 2.3-C08-Plataforma- Instalação de DSH01 - Seg.2.3 C 08 </v>
      </c>
      <c r="AW2549" s="4" t="str">
        <f t="shared" si="10096"/>
        <v xml:space="preserve">   Seg.2.5-A11 - Drenagem Superficial - Descida D´água</v>
      </c>
    </row>
    <row r="2550" spans="1:50" ht="15.6" customHeight="1" outlineLevel="2">
      <c r="A2550" s="8" t="str">
        <f t="shared" ref="A2550" si="10280">A2549</f>
        <v>N</v>
      </c>
      <c r="B2550" s="150"/>
      <c r="C2550" s="150"/>
      <c r="D2550" s="120" t="s">
        <v>518</v>
      </c>
      <c r="E2550" s="893"/>
      <c r="F2550" s="902"/>
      <c r="G2550" s="528"/>
      <c r="H2550" s="549" t="s">
        <v>38</v>
      </c>
      <c r="I2550" s="711">
        <v>0</v>
      </c>
      <c r="J2550" s="897"/>
      <c r="K2550" s="528"/>
      <c r="L2550" s="549" t="s">
        <v>38</v>
      </c>
      <c r="M2550" s="711">
        <f t="shared" si="10228"/>
        <v>0</v>
      </c>
      <c r="N2550" s="897"/>
      <c r="O2550" s="528"/>
      <c r="P2550" s="548">
        <v>0</v>
      </c>
      <c r="Q2550" s="548">
        <v>0</v>
      </c>
      <c r="R2550" s="548">
        <v>0</v>
      </c>
      <c r="S2550" s="548">
        <v>0</v>
      </c>
      <c r="T2550" s="548">
        <v>0</v>
      </c>
      <c r="U2550" s="548">
        <v>0</v>
      </c>
      <c r="V2550" s="548">
        <v>0</v>
      </c>
      <c r="W2550" s="528"/>
      <c r="X2550" s="711">
        <f t="shared" si="10220"/>
        <v>0</v>
      </c>
      <c r="Y2550" s="897"/>
      <c r="Z2550" s="528"/>
      <c r="AA2550" s="899"/>
      <c r="AB2550" s="899"/>
      <c r="AC2550" s="904"/>
      <c r="AD2550" s="905"/>
      <c r="AE2550" s="2"/>
      <c r="AF2550" s="885"/>
      <c r="AG2550" s="885"/>
      <c r="AH2550" s="885"/>
      <c r="AI2550" s="885"/>
      <c r="AJ2550" s="885"/>
      <c r="AK2550" s="885"/>
      <c r="AL2550" s="885"/>
      <c r="AM2550" s="879"/>
      <c r="AN2550" s="2"/>
      <c r="AO2550" s="886"/>
      <c r="AP2550" s="886"/>
      <c r="AV2550" t="str">
        <f t="shared" si="10098"/>
        <v xml:space="preserve">   Seg. 2.3-C08-Plataforma- Instalação de DSH01 - Seg.2.3 C 08 </v>
      </c>
      <c r="AW2550" s="4" t="str">
        <f t="shared" si="10096"/>
        <v xml:space="preserve">   Seg.2.5-A11 - Drenagem Superficial - Descida D´água</v>
      </c>
    </row>
    <row r="2551" spans="1:50" ht="15.6" customHeight="1" outlineLevel="2">
      <c r="A2551" s="8" t="str">
        <f t="shared" ref="A2551" si="10281">IF(SUM(P2551:V2552)&gt;0,"S","N")</f>
        <v>N</v>
      </c>
      <c r="B2551" s="150">
        <v>1068772</v>
      </c>
      <c r="C2551" s="150" t="s">
        <v>2825</v>
      </c>
      <c r="D2551" s="120" t="s">
        <v>520</v>
      </c>
      <c r="E2551" s="892" t="s">
        <v>2826</v>
      </c>
      <c r="F2551" s="902" t="s">
        <v>52</v>
      </c>
      <c r="G2551" s="528"/>
      <c r="H2551" s="546" t="s">
        <v>37</v>
      </c>
      <c r="I2551" s="711">
        <v>0</v>
      </c>
      <c r="J2551" s="896" t="str">
        <f t="shared" ref="J2551" si="10282">IFERROR((I2552/I2551),"-")</f>
        <v>-</v>
      </c>
      <c r="K2551" s="528"/>
      <c r="L2551" s="546" t="s">
        <v>37</v>
      </c>
      <c r="M2551" s="711">
        <f t="shared" si="10228"/>
        <v>0</v>
      </c>
      <c r="N2551" s="896" t="str">
        <f t="shared" ref="N2551" si="10283">IFERROR((M2552/M2551),"-")</f>
        <v>-</v>
      </c>
      <c r="O2551" s="528"/>
      <c r="P2551" s="547">
        <v>0</v>
      </c>
      <c r="Q2551" s="547">
        <v>0</v>
      </c>
      <c r="R2551" s="547">
        <v>0</v>
      </c>
      <c r="S2551" s="547">
        <v>0</v>
      </c>
      <c r="T2551" s="547">
        <v>0</v>
      </c>
      <c r="U2551" s="547">
        <v>0</v>
      </c>
      <c r="V2551" s="548">
        <v>0</v>
      </c>
      <c r="W2551" s="528"/>
      <c r="X2551" s="711">
        <f t="shared" si="10220"/>
        <v>0</v>
      </c>
      <c r="Y2551" s="896" t="str">
        <f t="shared" ref="Y2551" si="10284">IFERROR((X2552/X2551),"-")</f>
        <v>-</v>
      </c>
      <c r="Z2551" s="528"/>
      <c r="AA2551" s="898">
        <v>0</v>
      </c>
      <c r="AB2551" s="898">
        <v>0</v>
      </c>
      <c r="AC2551" s="903">
        <v>0</v>
      </c>
      <c r="AD2551" s="896" t="str">
        <f t="shared" ref="AD2551" si="10285">IFERROR((AC2551/AA2551),"-")</f>
        <v>-</v>
      </c>
      <c r="AE2551" s="2"/>
      <c r="AF2551" s="884">
        <v>0</v>
      </c>
      <c r="AG2551" s="884"/>
      <c r="AH2551" s="884">
        <v>0</v>
      </c>
      <c r="AI2551" s="884"/>
      <c r="AJ2551" s="884"/>
      <c r="AK2551" s="884">
        <f t="shared" ref="AK2551" si="10286">AF2551+AG2551+AH2551+AI2551+AJ2551+AC2551</f>
        <v>0</v>
      </c>
      <c r="AL2551" s="884">
        <v>0</v>
      </c>
      <c r="AM2551" s="878" t="str">
        <f t="shared" ref="AM2551" si="10287">IFERROR((AK2551/AL2551),"-")</f>
        <v>-</v>
      </c>
      <c r="AN2551" s="2"/>
      <c r="AO2551" s="884">
        <v>110.8</v>
      </c>
      <c r="AP2551" s="884">
        <f t="shared" ref="AP2551" si="10288">AO2551-AK2551</f>
        <v>110.8</v>
      </c>
      <c r="AV2551" t="str">
        <f t="shared" si="10098"/>
        <v xml:space="preserve">   Seg. 2.3-C08-Plataforma- Instalação de DSH01 - Seg.2.3 C 08 </v>
      </c>
      <c r="AW2551" s="4" t="str">
        <f t="shared" si="10096"/>
        <v xml:space="preserve">   Seg.2.5-A13 - Drenagem Superficial - Descida D´água</v>
      </c>
    </row>
    <row r="2552" spans="1:50" ht="15.6" customHeight="1" outlineLevel="2">
      <c r="A2552" s="8" t="str">
        <f t="shared" ref="A2552" si="10289">A2551</f>
        <v>N</v>
      </c>
      <c r="B2552" s="150"/>
      <c r="C2552" s="150"/>
      <c r="D2552" s="120" t="s">
        <v>520</v>
      </c>
      <c r="E2552" s="893"/>
      <c r="F2552" s="902"/>
      <c r="G2552" s="528"/>
      <c r="H2552" s="549" t="s">
        <v>38</v>
      </c>
      <c r="I2552" s="711">
        <v>0</v>
      </c>
      <c r="J2552" s="897"/>
      <c r="K2552" s="528"/>
      <c r="L2552" s="549" t="s">
        <v>38</v>
      </c>
      <c r="M2552" s="711">
        <f t="shared" si="10228"/>
        <v>0</v>
      </c>
      <c r="N2552" s="897"/>
      <c r="O2552" s="528"/>
      <c r="P2552" s="548">
        <v>0</v>
      </c>
      <c r="Q2552" s="548">
        <v>0</v>
      </c>
      <c r="R2552" s="548">
        <v>0</v>
      </c>
      <c r="S2552" s="548">
        <v>0</v>
      </c>
      <c r="T2552" s="548">
        <v>0</v>
      </c>
      <c r="U2552" s="548">
        <v>0</v>
      </c>
      <c r="V2552" s="548">
        <v>0</v>
      </c>
      <c r="W2552" s="528"/>
      <c r="X2552" s="711">
        <f t="shared" si="10220"/>
        <v>0</v>
      </c>
      <c r="Y2552" s="897"/>
      <c r="Z2552" s="528"/>
      <c r="AA2552" s="899"/>
      <c r="AB2552" s="899"/>
      <c r="AC2552" s="904"/>
      <c r="AD2552" s="905"/>
      <c r="AE2552" s="2"/>
      <c r="AF2552" s="885"/>
      <c r="AG2552" s="885"/>
      <c r="AH2552" s="885"/>
      <c r="AI2552" s="885"/>
      <c r="AJ2552" s="885"/>
      <c r="AK2552" s="885"/>
      <c r="AL2552" s="885"/>
      <c r="AM2552" s="879"/>
      <c r="AN2552" s="2"/>
      <c r="AO2552" s="886"/>
      <c r="AP2552" s="886"/>
      <c r="AV2552" s="4" t="str">
        <f t="shared" si="10098"/>
        <v xml:space="preserve">   Seg. 2.3-C08-Plataforma- Instalação de DSH01 - Seg.2.3 C 08 </v>
      </c>
      <c r="AW2552" s="4" t="str">
        <f t="shared" si="10096"/>
        <v xml:space="preserve">   Seg.2.5-A13 - Drenagem Superficial - Descida D´água</v>
      </c>
      <c r="AX2552" s="4"/>
    </row>
    <row r="2553" spans="1:50" ht="15.6" customHeight="1" outlineLevel="2">
      <c r="A2553" s="8" t="str">
        <f t="shared" ref="A2553" si="10290">IF(SUM(P2553:V2554)&gt;0,"S","N")</f>
        <v>N</v>
      </c>
      <c r="B2553" s="150">
        <v>1068778</v>
      </c>
      <c r="C2553" s="150" t="s">
        <v>2827</v>
      </c>
      <c r="D2553" s="120" t="s">
        <v>2828</v>
      </c>
      <c r="E2553" s="892" t="s">
        <v>2829</v>
      </c>
      <c r="F2553" s="902" t="s">
        <v>52</v>
      </c>
      <c r="G2553" s="528"/>
      <c r="H2553" s="546" t="s">
        <v>37</v>
      </c>
      <c r="I2553" s="711">
        <v>0</v>
      </c>
      <c r="J2553" s="896" t="str">
        <f t="shared" ref="J2553" si="10291">IFERROR((I2554/I2553),"-")</f>
        <v>-</v>
      </c>
      <c r="K2553" s="528"/>
      <c r="L2553" s="546" t="s">
        <v>37</v>
      </c>
      <c r="M2553" s="711">
        <f t="shared" si="10228"/>
        <v>0</v>
      </c>
      <c r="N2553" s="896" t="str">
        <f t="shared" ref="N2553" si="10292">IFERROR((M2554/M2553),"-")</f>
        <v>-</v>
      </c>
      <c r="O2553" s="528"/>
      <c r="P2553" s="547">
        <v>0</v>
      </c>
      <c r="Q2553" s="547">
        <v>0</v>
      </c>
      <c r="R2553" s="547">
        <v>0</v>
      </c>
      <c r="S2553" s="547">
        <v>0</v>
      </c>
      <c r="T2553" s="547">
        <v>0</v>
      </c>
      <c r="U2553" s="547">
        <v>0</v>
      </c>
      <c r="V2553" s="548">
        <v>0</v>
      </c>
      <c r="W2553" s="528"/>
      <c r="X2553" s="711">
        <f t="shared" si="10220"/>
        <v>0</v>
      </c>
      <c r="Y2553" s="896" t="str">
        <f t="shared" ref="Y2553" si="10293">IFERROR((X2554/X2553),"-")</f>
        <v>-</v>
      </c>
      <c r="Z2553" s="528"/>
      <c r="AA2553" s="898">
        <v>0</v>
      </c>
      <c r="AB2553" s="898">
        <v>0</v>
      </c>
      <c r="AC2553" s="903">
        <v>0</v>
      </c>
      <c r="AD2553" s="896" t="str">
        <f t="shared" ref="AD2553" si="10294">IFERROR((AC2553/AA2553),"-")</f>
        <v>-</v>
      </c>
      <c r="AE2553" s="2"/>
      <c r="AF2553" s="884">
        <v>0</v>
      </c>
      <c r="AG2553" s="884"/>
      <c r="AH2553" s="884">
        <v>0</v>
      </c>
      <c r="AI2553" s="884"/>
      <c r="AJ2553" s="884"/>
      <c r="AK2553" s="884">
        <f t="shared" ref="AK2553" si="10295">AF2553+AG2553+AH2553+AI2553+AJ2553+AC2553</f>
        <v>0</v>
      </c>
      <c r="AL2553" s="884">
        <v>0</v>
      </c>
      <c r="AM2553" s="878" t="str">
        <f t="shared" ref="AM2553" si="10296">IFERROR((AK2553/AL2553),"-")</f>
        <v>-</v>
      </c>
      <c r="AN2553" s="2"/>
      <c r="AO2553" s="884">
        <v>4.9000000000000004</v>
      </c>
      <c r="AP2553" s="884">
        <f t="shared" ref="AP2553" si="10297">AO2553-AK2553</f>
        <v>4.9000000000000004</v>
      </c>
      <c r="AV2553" s="4" t="str">
        <f t="shared" si="10098"/>
        <v xml:space="preserve">   Seg. 2.3-C08-Plataforma- Instalação de DSH01 - Seg.2.3 C 08 </v>
      </c>
      <c r="AW2553" s="4" t="str">
        <f t="shared" si="10096"/>
        <v xml:space="preserve">   Seg. 2.5- Acesso Km 144 - C07 - Drenagem Superficial - Descida D´água</v>
      </c>
      <c r="AX2553" s="4"/>
    </row>
    <row r="2554" spans="1:50" ht="15.6" customHeight="1" outlineLevel="2">
      <c r="A2554" s="8" t="str">
        <f t="shared" ref="A2554" si="10298">A2553</f>
        <v>N</v>
      </c>
      <c r="B2554" s="150"/>
      <c r="C2554" s="150"/>
      <c r="D2554" s="120" t="s">
        <v>2828</v>
      </c>
      <c r="E2554" s="893"/>
      <c r="F2554" s="902"/>
      <c r="G2554" s="528"/>
      <c r="H2554" s="549" t="s">
        <v>38</v>
      </c>
      <c r="I2554" s="711">
        <v>0</v>
      </c>
      <c r="J2554" s="897"/>
      <c r="K2554" s="528"/>
      <c r="L2554" s="549" t="s">
        <v>38</v>
      </c>
      <c r="M2554" s="711">
        <f t="shared" si="10228"/>
        <v>0</v>
      </c>
      <c r="N2554" s="897"/>
      <c r="O2554" s="528"/>
      <c r="P2554" s="548">
        <v>0</v>
      </c>
      <c r="Q2554" s="548">
        <v>0</v>
      </c>
      <c r="R2554" s="548">
        <v>0</v>
      </c>
      <c r="S2554" s="548">
        <v>0</v>
      </c>
      <c r="T2554" s="548">
        <v>0</v>
      </c>
      <c r="U2554" s="548">
        <v>0</v>
      </c>
      <c r="V2554" s="548">
        <v>0</v>
      </c>
      <c r="W2554" s="528"/>
      <c r="X2554" s="711">
        <f t="shared" si="10220"/>
        <v>0</v>
      </c>
      <c r="Y2554" s="897"/>
      <c r="Z2554" s="528"/>
      <c r="AA2554" s="899"/>
      <c r="AB2554" s="899"/>
      <c r="AC2554" s="904"/>
      <c r="AD2554" s="905"/>
      <c r="AE2554" s="2"/>
      <c r="AF2554" s="885"/>
      <c r="AG2554" s="885"/>
      <c r="AH2554" s="885"/>
      <c r="AI2554" s="885"/>
      <c r="AJ2554" s="885"/>
      <c r="AK2554" s="885"/>
      <c r="AL2554" s="885"/>
      <c r="AM2554" s="879"/>
      <c r="AN2554" s="2"/>
      <c r="AO2554" s="886"/>
      <c r="AP2554" s="886"/>
      <c r="AV2554" t="str">
        <f t="shared" si="10098"/>
        <v xml:space="preserve">   Seg. 2.3-C08-Plataforma- Instalação de DSH01 - Seg.2.3 C 08 </v>
      </c>
      <c r="AW2554" s="4" t="str">
        <f t="shared" si="10096"/>
        <v xml:space="preserve">   Seg. 2.5- Acesso Km 144 - C07 - Drenagem Superficial - Descida D´água</v>
      </c>
    </row>
    <row r="2555" spans="1:50" ht="15.6" customHeight="1" outlineLevel="2">
      <c r="A2555" s="8" t="str">
        <f t="shared" ref="A2555" si="10299">IF(SUM(P2555:V2556)&gt;0,"S","N")</f>
        <v>N</v>
      </c>
      <c r="B2555" s="150">
        <v>1069008</v>
      </c>
      <c r="C2555" s="150" t="s">
        <v>2830</v>
      </c>
      <c r="D2555" s="120" t="s">
        <v>502</v>
      </c>
      <c r="E2555" s="892" t="s">
        <v>2831</v>
      </c>
      <c r="F2555" s="902" t="s">
        <v>52</v>
      </c>
      <c r="G2555" s="528"/>
      <c r="H2555" s="546" t="s">
        <v>37</v>
      </c>
      <c r="I2555" s="711">
        <v>0</v>
      </c>
      <c r="J2555" s="896" t="str">
        <f t="shared" ref="J2555" si="10300">IFERROR((I2556/I2555),"-")</f>
        <v>-</v>
      </c>
      <c r="K2555" s="528"/>
      <c r="L2555" s="546" t="s">
        <v>37</v>
      </c>
      <c r="M2555" s="711">
        <f t="shared" si="10228"/>
        <v>0</v>
      </c>
      <c r="N2555" s="896" t="str">
        <f t="shared" ref="N2555" si="10301">IFERROR((M2556/M2555),"-")</f>
        <v>-</v>
      </c>
      <c r="O2555" s="528"/>
      <c r="P2555" s="547">
        <v>0</v>
      </c>
      <c r="Q2555" s="547">
        <v>0</v>
      </c>
      <c r="R2555" s="547">
        <v>0</v>
      </c>
      <c r="S2555" s="547">
        <v>0</v>
      </c>
      <c r="T2555" s="547">
        <v>0</v>
      </c>
      <c r="U2555" s="547">
        <v>0</v>
      </c>
      <c r="V2555" s="548">
        <v>0</v>
      </c>
      <c r="W2555" s="528"/>
      <c r="X2555" s="711">
        <f t="shared" si="10220"/>
        <v>0</v>
      </c>
      <c r="Y2555" s="896" t="str">
        <f t="shared" ref="Y2555" si="10302">IFERROR((X2556/X2555),"-")</f>
        <v>-</v>
      </c>
      <c r="Z2555" s="528"/>
      <c r="AA2555" s="898">
        <v>0</v>
      </c>
      <c r="AB2555" s="898">
        <v>0</v>
      </c>
      <c r="AC2555" s="903">
        <v>0</v>
      </c>
      <c r="AD2555" s="896" t="str">
        <f t="shared" ref="AD2555" si="10303">IFERROR((AC2555/AA2555),"-")</f>
        <v>-</v>
      </c>
      <c r="AE2555" s="2"/>
      <c r="AF2555" s="884">
        <v>0</v>
      </c>
      <c r="AG2555" s="884"/>
      <c r="AH2555" s="884">
        <v>0</v>
      </c>
      <c r="AI2555" s="884"/>
      <c r="AJ2555" s="884"/>
      <c r="AK2555" s="884">
        <f t="shared" ref="AK2555" si="10304">AF2555+AG2555+AH2555+AI2555+AJ2555+AC2555</f>
        <v>0</v>
      </c>
      <c r="AL2555" s="884">
        <v>0</v>
      </c>
      <c r="AM2555" s="878" t="str">
        <f t="shared" ref="AM2555" si="10305">IFERROR((AK2555/AL2555),"-")</f>
        <v>-</v>
      </c>
      <c r="AN2555" s="2"/>
      <c r="AO2555" s="884">
        <v>31</v>
      </c>
      <c r="AP2555" s="884">
        <f t="shared" ref="AP2555" si="10306">AO2555-AK2555</f>
        <v>31</v>
      </c>
      <c r="AV2555" t="str">
        <f t="shared" si="10098"/>
        <v xml:space="preserve">   Seg. 2.3-C08-Plataforma- Instalação de DSH01 - Seg.2.3 C 08 </v>
      </c>
      <c r="AW2555" s="4" t="str">
        <f t="shared" si="10096"/>
        <v xml:space="preserve">   Seg. 2.5-C09 - Drenagem Superficial - Descida D´água</v>
      </c>
    </row>
    <row r="2556" spans="1:50" ht="15.6" customHeight="1" outlineLevel="1">
      <c r="A2556" s="8" t="str">
        <f t="shared" ref="A2556" si="10307">A2555</f>
        <v>N</v>
      </c>
      <c r="B2556" s="150"/>
      <c r="C2556" s="150"/>
      <c r="D2556" s="120" t="s">
        <v>502</v>
      </c>
      <c r="E2556" s="893"/>
      <c r="F2556" s="902"/>
      <c r="G2556" s="528"/>
      <c r="H2556" s="549" t="s">
        <v>38</v>
      </c>
      <c r="I2556" s="711">
        <v>0</v>
      </c>
      <c r="J2556" s="897"/>
      <c r="K2556" s="528"/>
      <c r="L2556" s="549" t="s">
        <v>38</v>
      </c>
      <c r="M2556" s="711">
        <f t="shared" si="10228"/>
        <v>0</v>
      </c>
      <c r="N2556" s="897"/>
      <c r="O2556" s="528"/>
      <c r="P2556" s="548">
        <v>0</v>
      </c>
      <c r="Q2556" s="548">
        <v>0</v>
      </c>
      <c r="R2556" s="548">
        <v>0</v>
      </c>
      <c r="S2556" s="548">
        <v>0</v>
      </c>
      <c r="T2556" s="548">
        <v>0</v>
      </c>
      <c r="U2556" s="548">
        <v>0</v>
      </c>
      <c r="V2556" s="548">
        <v>0</v>
      </c>
      <c r="W2556" s="528"/>
      <c r="X2556" s="711">
        <f t="shared" si="10220"/>
        <v>0</v>
      </c>
      <c r="Y2556" s="897"/>
      <c r="Z2556" s="528"/>
      <c r="AA2556" s="899"/>
      <c r="AB2556" s="899"/>
      <c r="AC2556" s="904"/>
      <c r="AD2556" s="905"/>
      <c r="AE2556" s="2"/>
      <c r="AF2556" s="885"/>
      <c r="AG2556" s="885"/>
      <c r="AH2556" s="885"/>
      <c r="AI2556" s="885"/>
      <c r="AJ2556" s="885"/>
      <c r="AK2556" s="885"/>
      <c r="AL2556" s="885"/>
      <c r="AM2556" s="879"/>
      <c r="AN2556" s="2"/>
      <c r="AO2556" s="886"/>
      <c r="AP2556" s="886"/>
      <c r="AV2556" t="str">
        <f t="shared" si="10098"/>
        <v xml:space="preserve">   Seg. 2.3-C08-Plataforma- Instalação de DSH01 - Seg.2.3 C 08 </v>
      </c>
      <c r="AW2556" s="4" t="str">
        <f t="shared" si="10096"/>
        <v xml:space="preserve">   Seg. 2.5-C09 - Drenagem Superficial - Descida D´água</v>
      </c>
    </row>
    <row r="2557" spans="1:50" ht="15.6" customHeight="1" outlineLevel="1">
      <c r="A2557" s="8" t="str">
        <f t="shared" ref="A2557" si="10308">IF(SUM(P2557:V2558)&gt;0,"S","N")</f>
        <v>N</v>
      </c>
      <c r="B2557" s="150">
        <v>1069337</v>
      </c>
      <c r="C2557" s="150" t="s">
        <v>2832</v>
      </c>
      <c r="D2557" s="120" t="s">
        <v>536</v>
      </c>
      <c r="E2557" s="892" t="s">
        <v>2833</v>
      </c>
      <c r="F2557" s="902" t="s">
        <v>52</v>
      </c>
      <c r="G2557" s="528"/>
      <c r="H2557" s="546" t="s">
        <v>37</v>
      </c>
      <c r="I2557" s="711">
        <v>0</v>
      </c>
      <c r="J2557" s="896" t="str">
        <f t="shared" ref="J2557" si="10309">IFERROR((I2558/I2557),"-")</f>
        <v>-</v>
      </c>
      <c r="K2557" s="528"/>
      <c r="L2557" s="546" t="s">
        <v>37</v>
      </c>
      <c r="M2557" s="711">
        <f t="shared" si="10228"/>
        <v>0</v>
      </c>
      <c r="N2557" s="896" t="str">
        <f t="shared" ref="N2557" si="10310">IFERROR((M2558/M2557),"-")</f>
        <v>-</v>
      </c>
      <c r="O2557" s="528"/>
      <c r="P2557" s="547">
        <v>0</v>
      </c>
      <c r="Q2557" s="547">
        <v>0</v>
      </c>
      <c r="R2557" s="547">
        <v>0</v>
      </c>
      <c r="S2557" s="547">
        <v>0</v>
      </c>
      <c r="T2557" s="547">
        <v>0</v>
      </c>
      <c r="U2557" s="547">
        <v>0</v>
      </c>
      <c r="V2557" s="548">
        <v>0</v>
      </c>
      <c r="W2557" s="528"/>
      <c r="X2557" s="711">
        <f t="shared" si="10220"/>
        <v>0</v>
      </c>
      <c r="Y2557" s="896" t="str">
        <f t="shared" ref="Y2557" si="10311">IFERROR((X2558/X2557),"-")</f>
        <v>-</v>
      </c>
      <c r="Z2557" s="528"/>
      <c r="AA2557" s="898">
        <v>0</v>
      </c>
      <c r="AB2557" s="898">
        <v>0</v>
      </c>
      <c r="AC2557" s="903">
        <v>0</v>
      </c>
      <c r="AD2557" s="896" t="str">
        <f t="shared" ref="AD2557" si="10312">IFERROR((AC2557/AA2557),"-")</f>
        <v>-</v>
      </c>
      <c r="AE2557" s="2"/>
      <c r="AF2557" s="884">
        <v>0</v>
      </c>
      <c r="AG2557" s="884"/>
      <c r="AH2557" s="884">
        <v>0</v>
      </c>
      <c r="AI2557" s="884"/>
      <c r="AJ2557" s="884"/>
      <c r="AK2557" s="884">
        <f t="shared" ref="AK2557" si="10313">AF2557+AG2557+AH2557+AI2557+AJ2557+AC2557</f>
        <v>0</v>
      </c>
      <c r="AL2557" s="884">
        <v>0</v>
      </c>
      <c r="AM2557" s="878" t="str">
        <f t="shared" ref="AM2557" si="10314">IFERROR((AK2557/AL2557),"-")</f>
        <v>-</v>
      </c>
      <c r="AN2557" s="2"/>
      <c r="AO2557" s="884">
        <v>52.8</v>
      </c>
      <c r="AP2557" s="884">
        <f t="shared" ref="AP2557" si="10315">AO2557-AK2557</f>
        <v>52.8</v>
      </c>
      <c r="AV2557" s="4" t="str">
        <f t="shared" si="10098"/>
        <v xml:space="preserve">   Seg. 2.3-C08-Plataforma- Instalação de DSH01 - Seg.2.3 C 08 </v>
      </c>
      <c r="AW2557" s="4" t="str">
        <f t="shared" si="10096"/>
        <v xml:space="preserve">   Seg.2.5-A09 - Drenagem Superficial - Descida D´água</v>
      </c>
      <c r="AX2557" s="4"/>
    </row>
    <row r="2558" spans="1:50" ht="15.6" customHeight="1" outlineLevel="1">
      <c r="A2558" s="8" t="str">
        <f t="shared" ref="A2558" si="10316">A2557</f>
        <v>N</v>
      </c>
      <c r="B2558" s="150"/>
      <c r="C2558" s="150"/>
      <c r="D2558" s="120" t="s">
        <v>536</v>
      </c>
      <c r="E2558" s="893"/>
      <c r="F2558" s="902"/>
      <c r="G2558" s="528"/>
      <c r="H2558" s="549" t="s">
        <v>38</v>
      </c>
      <c r="I2558" s="711">
        <v>0</v>
      </c>
      <c r="J2558" s="897"/>
      <c r="K2558" s="528"/>
      <c r="L2558" s="549" t="s">
        <v>38</v>
      </c>
      <c r="M2558" s="711">
        <f t="shared" si="10228"/>
        <v>0</v>
      </c>
      <c r="N2558" s="897"/>
      <c r="O2558" s="528"/>
      <c r="P2558" s="548">
        <v>0</v>
      </c>
      <c r="Q2558" s="548">
        <v>0</v>
      </c>
      <c r="R2558" s="548">
        <v>0</v>
      </c>
      <c r="S2558" s="548">
        <v>0</v>
      </c>
      <c r="T2558" s="548">
        <v>0</v>
      </c>
      <c r="U2558" s="548">
        <v>0</v>
      </c>
      <c r="V2558" s="548">
        <v>0</v>
      </c>
      <c r="W2558" s="528"/>
      <c r="X2558" s="711">
        <f t="shared" si="10220"/>
        <v>0</v>
      </c>
      <c r="Y2558" s="897"/>
      <c r="Z2558" s="528"/>
      <c r="AA2558" s="899"/>
      <c r="AB2558" s="899"/>
      <c r="AC2558" s="904"/>
      <c r="AD2558" s="905"/>
      <c r="AE2558" s="2"/>
      <c r="AF2558" s="885"/>
      <c r="AG2558" s="885"/>
      <c r="AH2558" s="885"/>
      <c r="AI2558" s="885"/>
      <c r="AJ2558" s="885"/>
      <c r="AK2558" s="885"/>
      <c r="AL2558" s="885"/>
      <c r="AM2558" s="879"/>
      <c r="AN2558" s="2"/>
      <c r="AO2558" s="886"/>
      <c r="AP2558" s="886"/>
      <c r="AV2558" s="4" t="str">
        <f t="shared" si="10098"/>
        <v xml:space="preserve">   Seg. 2.3-C08-Plataforma- Instalação de DSH01 - Seg.2.3 C 08 </v>
      </c>
      <c r="AW2558" s="4" t="str">
        <f t="shared" si="10096"/>
        <v xml:space="preserve">   Seg.2.5-A09 - Drenagem Superficial - Descida D´água</v>
      </c>
      <c r="AX2558" s="4"/>
    </row>
    <row r="2559" spans="1:50" ht="15.6" customHeight="1" outlineLevel="2">
      <c r="A2559" s="8" t="str">
        <f t="shared" ref="A2559" si="10317">IF(SUM(P2559:V2560)&gt;0,"S","N")</f>
        <v>N</v>
      </c>
      <c r="B2559" s="150">
        <v>1069339</v>
      </c>
      <c r="C2559" s="150" t="s">
        <v>2834</v>
      </c>
      <c r="D2559" s="120" t="s">
        <v>530</v>
      </c>
      <c r="E2559" s="892" t="s">
        <v>2835</v>
      </c>
      <c r="F2559" s="902" t="s">
        <v>52</v>
      </c>
      <c r="G2559" s="528"/>
      <c r="H2559" s="546" t="s">
        <v>37</v>
      </c>
      <c r="I2559" s="711">
        <v>0</v>
      </c>
      <c r="J2559" s="896" t="str">
        <f t="shared" ref="J2559" si="10318">IFERROR((I2560/I2559),"-")</f>
        <v>-</v>
      </c>
      <c r="K2559" s="528"/>
      <c r="L2559" s="546" t="s">
        <v>37</v>
      </c>
      <c r="M2559" s="711">
        <f t="shared" si="10228"/>
        <v>0</v>
      </c>
      <c r="N2559" s="896" t="str">
        <f t="shared" ref="N2559" si="10319">IFERROR((M2560/M2559),"-")</f>
        <v>-</v>
      </c>
      <c r="O2559" s="528"/>
      <c r="P2559" s="547">
        <v>0</v>
      </c>
      <c r="Q2559" s="547">
        <v>0</v>
      </c>
      <c r="R2559" s="547">
        <v>0</v>
      </c>
      <c r="S2559" s="547">
        <v>0</v>
      </c>
      <c r="T2559" s="547">
        <v>0</v>
      </c>
      <c r="U2559" s="547">
        <v>0</v>
      </c>
      <c r="V2559" s="548">
        <v>0</v>
      </c>
      <c r="W2559" s="528"/>
      <c r="X2559" s="711">
        <f t="shared" si="10220"/>
        <v>0</v>
      </c>
      <c r="Y2559" s="896" t="str">
        <f t="shared" ref="Y2559" si="10320">IFERROR((X2560/X2559),"-")</f>
        <v>-</v>
      </c>
      <c r="Z2559" s="528"/>
      <c r="AA2559" s="898">
        <v>0</v>
      </c>
      <c r="AB2559" s="898">
        <v>0</v>
      </c>
      <c r="AC2559" s="903">
        <v>0</v>
      </c>
      <c r="AD2559" s="896" t="str">
        <f t="shared" ref="AD2559" si="10321">IFERROR((AC2559/AA2559),"-")</f>
        <v>-</v>
      </c>
      <c r="AE2559" s="2"/>
      <c r="AF2559" s="884">
        <v>0</v>
      </c>
      <c r="AG2559" s="884"/>
      <c r="AH2559" s="884">
        <v>0</v>
      </c>
      <c r="AI2559" s="884"/>
      <c r="AJ2559" s="884"/>
      <c r="AK2559" s="884">
        <f t="shared" ref="AK2559" si="10322">AF2559+AG2559+AH2559+AI2559+AJ2559+AC2559</f>
        <v>0</v>
      </c>
      <c r="AL2559" s="884">
        <v>0</v>
      </c>
      <c r="AM2559" s="878" t="str">
        <f t="shared" ref="AM2559" si="10323">IFERROR((AK2559/AL2559),"-")</f>
        <v>-</v>
      </c>
      <c r="AN2559" s="2"/>
      <c r="AO2559" s="884">
        <v>25.2</v>
      </c>
      <c r="AP2559" s="884">
        <f t="shared" ref="AP2559" si="10324">AO2559-AK2559</f>
        <v>25.2</v>
      </c>
      <c r="AV2559" t="str">
        <f t="shared" si="10098"/>
        <v xml:space="preserve">   Seg. 2.3-C08-Plataforma- Instalação de DSH01 - Seg.2.3 C 08 </v>
      </c>
      <c r="AW2559" s="4" t="str">
        <f t="shared" si="10096"/>
        <v xml:space="preserve">   Seg.2.5-A10 - Drenagem Superficial - Descida D´água</v>
      </c>
    </row>
    <row r="2560" spans="1:50" ht="15.6" customHeight="1" outlineLevel="2">
      <c r="A2560" s="8" t="str">
        <f t="shared" ref="A2560" si="10325">A2559</f>
        <v>N</v>
      </c>
      <c r="B2560" s="150"/>
      <c r="C2560" s="150"/>
      <c r="D2560" s="120" t="s">
        <v>530</v>
      </c>
      <c r="E2560" s="893"/>
      <c r="F2560" s="902"/>
      <c r="G2560" s="528"/>
      <c r="H2560" s="549" t="s">
        <v>38</v>
      </c>
      <c r="I2560" s="711">
        <v>0</v>
      </c>
      <c r="J2560" s="897"/>
      <c r="K2560" s="528"/>
      <c r="L2560" s="549" t="s">
        <v>38</v>
      </c>
      <c r="M2560" s="711">
        <f t="shared" si="10228"/>
        <v>0</v>
      </c>
      <c r="N2560" s="897"/>
      <c r="O2560" s="528"/>
      <c r="P2560" s="548">
        <v>0</v>
      </c>
      <c r="Q2560" s="548">
        <v>0</v>
      </c>
      <c r="R2560" s="548">
        <v>0</v>
      </c>
      <c r="S2560" s="548">
        <v>0</v>
      </c>
      <c r="T2560" s="548">
        <v>0</v>
      </c>
      <c r="U2560" s="548">
        <v>0</v>
      </c>
      <c r="V2560" s="548">
        <v>0</v>
      </c>
      <c r="W2560" s="528"/>
      <c r="X2560" s="711">
        <f t="shared" si="10220"/>
        <v>0</v>
      </c>
      <c r="Y2560" s="897"/>
      <c r="Z2560" s="528"/>
      <c r="AA2560" s="899"/>
      <c r="AB2560" s="899"/>
      <c r="AC2560" s="904"/>
      <c r="AD2560" s="905"/>
      <c r="AE2560" s="2"/>
      <c r="AF2560" s="908"/>
      <c r="AG2560" s="908"/>
      <c r="AH2560" s="885"/>
      <c r="AI2560" s="908"/>
      <c r="AJ2560" s="908"/>
      <c r="AK2560" s="885"/>
      <c r="AL2560" s="885"/>
      <c r="AM2560" s="879"/>
      <c r="AN2560" s="2"/>
      <c r="AO2560" s="886"/>
      <c r="AP2560" s="886"/>
      <c r="AV2560" t="str">
        <f t="shared" si="10098"/>
        <v xml:space="preserve">   Seg. 2.3-C08-Plataforma- Instalação de DSH01 - Seg.2.3 C 08 </v>
      </c>
      <c r="AW2560" s="4" t="str">
        <f t="shared" si="10096"/>
        <v xml:space="preserve">   Seg.2.5-A10 - Drenagem Superficial - Descida D´água</v>
      </c>
    </row>
    <row r="2561" spans="1:50" ht="15.6" customHeight="1" outlineLevel="2">
      <c r="A2561" s="209">
        <v>0</v>
      </c>
      <c r="B2561" s="150"/>
      <c r="C2561" s="150"/>
      <c r="D2561" s="117"/>
      <c r="E2561" s="535"/>
      <c r="F2561" s="536"/>
      <c r="G2561" s="537"/>
      <c r="H2561" s="714"/>
      <c r="I2561" s="555"/>
      <c r="J2561" s="714"/>
      <c r="K2561" s="537"/>
      <c r="L2561" s="714"/>
      <c r="M2561" s="555"/>
      <c r="N2561" s="714"/>
      <c r="O2561" s="537"/>
      <c r="P2561" s="539"/>
      <c r="Q2561" s="539"/>
      <c r="R2561" s="539"/>
      <c r="S2561" s="539"/>
      <c r="T2561" s="539"/>
      <c r="U2561" s="539"/>
      <c r="V2561" s="539"/>
      <c r="W2561" s="537"/>
      <c r="X2561" s="540"/>
      <c r="Y2561" s="537"/>
      <c r="Z2561" s="537"/>
      <c r="AA2561" s="249"/>
      <c r="AB2561" s="249"/>
      <c r="AC2561" s="249"/>
      <c r="AD2561" s="537"/>
      <c r="AE2561" s="3"/>
      <c r="AF2561" s="35"/>
      <c r="AG2561" s="35"/>
      <c r="AH2561" s="35"/>
      <c r="AI2561" s="35"/>
      <c r="AJ2561" s="35"/>
      <c r="AK2561" s="35"/>
      <c r="AL2561" s="35"/>
      <c r="AM2561" s="3"/>
      <c r="AN2561" s="3"/>
      <c r="AO2561" s="35"/>
      <c r="AP2561" s="35"/>
      <c r="AV2561" t="str">
        <f t="shared" si="10098"/>
        <v xml:space="preserve">   Seg. 2.3-C08-Plataforma- Instalação de DSH01 - Seg.2.3 C 08 </v>
      </c>
      <c r="AW2561" s="4" t="str">
        <f t="shared" si="10096"/>
        <v xml:space="preserve">   Seg.2.5-A10 - Drenagem Superficial - Descida D´água</v>
      </c>
    </row>
    <row r="2562" spans="1:50" ht="15.6" customHeight="1" outlineLevel="2">
      <c r="A2562" s="209">
        <v>0</v>
      </c>
      <c r="B2562" s="150"/>
      <c r="C2562" s="150"/>
      <c r="D2562" s="117"/>
      <c r="E2562" s="535"/>
      <c r="F2562" s="541"/>
      <c r="G2562" s="537"/>
      <c r="H2562" s="537"/>
      <c r="I2562" s="249"/>
      <c r="J2562" s="537"/>
      <c r="K2562" s="537"/>
      <c r="L2562" s="537"/>
      <c r="M2562" s="249"/>
      <c r="N2562" s="537"/>
      <c r="O2562" s="537"/>
      <c r="P2562" s="539"/>
      <c r="Q2562" s="539"/>
      <c r="R2562" s="539"/>
      <c r="S2562" s="539"/>
      <c r="T2562" s="539"/>
      <c r="U2562" s="539"/>
      <c r="V2562" s="539"/>
      <c r="W2562" s="537"/>
      <c r="X2562" s="540"/>
      <c r="Y2562" s="537"/>
      <c r="Z2562" s="537"/>
      <c r="AA2562" s="249"/>
      <c r="AB2562" s="249"/>
      <c r="AC2562" s="249"/>
      <c r="AD2562" s="537"/>
      <c r="AE2562" s="3"/>
      <c r="AF2562" s="35"/>
      <c r="AG2562" s="35"/>
      <c r="AH2562" s="35"/>
      <c r="AI2562" s="35"/>
      <c r="AJ2562" s="35"/>
      <c r="AK2562" s="35"/>
      <c r="AL2562" s="35"/>
      <c r="AM2562" s="3"/>
      <c r="AN2562" s="3"/>
      <c r="AO2562" s="35"/>
      <c r="AP2562" s="35"/>
      <c r="AV2562" t="str">
        <f t="shared" si="10098"/>
        <v xml:space="preserve">   Seg. 2.3-C08-Plataforma- Instalação de DSH01 - Seg.2.3 C 08 </v>
      </c>
      <c r="AW2562" s="4" t="str">
        <f t="shared" si="10096"/>
        <v xml:space="preserve">   Seg.2.5-A10 - Drenagem Superficial - Descida D´água</v>
      </c>
    </row>
    <row r="2563" spans="1:50" ht="15.6" customHeight="1" outlineLevel="2">
      <c r="A2563" s="209">
        <v>0</v>
      </c>
      <c r="B2563" s="150"/>
      <c r="C2563" s="150"/>
      <c r="D2563" s="122"/>
      <c r="E2563" s="913" t="s">
        <v>45</v>
      </c>
      <c r="F2563" s="859" t="s">
        <v>52</v>
      </c>
      <c r="G2563" s="528"/>
      <c r="H2563" s="542" t="s">
        <v>37</v>
      </c>
      <c r="I2563" s="543">
        <f t="shared" ref="I2563" si="10326">SUMIF($L2565:$L2602,$L2563,I2565:I2602)</f>
        <v>0</v>
      </c>
      <c r="J2563" s="860" t="str">
        <f>IFERROR((I2564/I2563),"-")</f>
        <v>-</v>
      </c>
      <c r="K2563" s="528"/>
      <c r="L2563" s="542" t="s">
        <v>37</v>
      </c>
      <c r="M2563" s="543">
        <f>SUMIF($L2565:$L2602,$L2563,M2565:M2602)</f>
        <v>0</v>
      </c>
      <c r="N2563" s="860" t="str">
        <f>IFERROR((M2564/M2563),"-")</f>
        <v>-</v>
      </c>
      <c r="O2563" s="528"/>
      <c r="P2563" s="543">
        <f t="shared" ref="P2563:U2563" si="10327">SUMIF($L2565:$L2602,$L2563,P2565:P2602)</f>
        <v>0</v>
      </c>
      <c r="Q2563" s="543">
        <f t="shared" si="10327"/>
        <v>0</v>
      </c>
      <c r="R2563" s="543">
        <f t="shared" si="10327"/>
        <v>0</v>
      </c>
      <c r="S2563" s="543">
        <f t="shared" si="10327"/>
        <v>0</v>
      </c>
      <c r="T2563" s="543">
        <f t="shared" si="10327"/>
        <v>0</v>
      </c>
      <c r="U2563" s="543">
        <f t="shared" si="10327"/>
        <v>0</v>
      </c>
      <c r="V2563" s="543"/>
      <c r="W2563" s="528"/>
      <c r="X2563" s="543">
        <f t="shared" ref="X2563:X2602" si="10328">SUMIFS(P2563:V2563,$P$8:$V$8,"&gt;="&amp;$P$8,$P$8:$V$8,"&lt;="&amp;$N$8)</f>
        <v>0</v>
      </c>
      <c r="Y2563" s="860" t="str">
        <f>IFERROR((X2564/X2563),"-")</f>
        <v>-</v>
      </c>
      <c r="Z2563" s="528"/>
      <c r="AA2563" s="814">
        <f>SUM(AA2565:AA2602)</f>
        <v>0</v>
      </c>
      <c r="AB2563" s="814">
        <f>SUM(AB2565:AB2602)</f>
        <v>0</v>
      </c>
      <c r="AC2563" s="814">
        <f>SUM(AC2565:AC2602)</f>
        <v>0</v>
      </c>
      <c r="AD2563" s="911" t="str">
        <f t="shared" ref="AD2563" si="10329">IFERROR((AC2563/AA2563),"-")</f>
        <v>-</v>
      </c>
      <c r="AE2563" s="2"/>
      <c r="AF2563" s="888">
        <f t="shared" ref="AF2563" si="10330">SUM(AF2565:AF2602)</f>
        <v>0</v>
      </c>
      <c r="AG2563" s="888">
        <f t="shared" ref="AG2563:AL2563" si="10331">SUM(AG2565:AG2602)</f>
        <v>0</v>
      </c>
      <c r="AH2563" s="888">
        <f t="shared" si="10331"/>
        <v>0</v>
      </c>
      <c r="AI2563" s="888">
        <f t="shared" si="10331"/>
        <v>0</v>
      </c>
      <c r="AJ2563" s="888"/>
      <c r="AK2563" s="888">
        <f t="shared" si="10331"/>
        <v>0</v>
      </c>
      <c r="AL2563" s="888">
        <f t="shared" si="10331"/>
        <v>0</v>
      </c>
      <c r="AM2563" s="743" t="str">
        <f>IFERROR((AK2563/AL2563),"-")</f>
        <v>-</v>
      </c>
      <c r="AN2563" s="2"/>
      <c r="AO2563" s="888">
        <f>SUM(AO2565:AO2602)</f>
        <v>295.94</v>
      </c>
      <c r="AP2563" s="888">
        <f>SUM(AP2565:AP2602)</f>
        <v>295.94</v>
      </c>
      <c r="AV2563" t="str">
        <f t="shared" si="10098"/>
        <v xml:space="preserve">   Seg. 2.3-C08-Plataforma- Instalação de DSH01 - Seg.2.3 C 08 </v>
      </c>
      <c r="AW2563" s="4" t="str">
        <f t="shared" si="10096"/>
        <v>Pacote 05 - Segmento 3.1 - 153+000 a 167+400</v>
      </c>
    </row>
    <row r="2564" spans="1:50" ht="15.6" customHeight="1" outlineLevel="2">
      <c r="A2564" s="209">
        <v>0</v>
      </c>
      <c r="B2564" s="150"/>
      <c r="C2564" s="150"/>
      <c r="D2564" s="123"/>
      <c r="E2564" s="913"/>
      <c r="F2564" s="859"/>
      <c r="G2564" s="528"/>
      <c r="H2564" s="544" t="s">
        <v>38</v>
      </c>
      <c r="I2564" s="543">
        <f t="shared" ref="I2564" si="10332">SUMIF($L2565:$L2586,$L2564,I2565:I2586)</f>
        <v>0</v>
      </c>
      <c r="J2564" s="861"/>
      <c r="K2564" s="528"/>
      <c r="L2564" s="544" t="s">
        <v>38</v>
      </c>
      <c r="M2564" s="543">
        <f>SUMIF($L2565:$L2586,$L2564,M2565:M2586)</f>
        <v>0</v>
      </c>
      <c r="N2564" s="861"/>
      <c r="O2564" s="528"/>
      <c r="P2564" s="543">
        <f t="shared" ref="P2564:U2564" si="10333">SUMIF($L2565:$L2586,$L2564,P2565:P2586)</f>
        <v>0</v>
      </c>
      <c r="Q2564" s="543">
        <f t="shared" si="10333"/>
        <v>0</v>
      </c>
      <c r="R2564" s="543">
        <f t="shared" si="10333"/>
        <v>0</v>
      </c>
      <c r="S2564" s="543">
        <f t="shared" si="10333"/>
        <v>0</v>
      </c>
      <c r="T2564" s="543">
        <f t="shared" si="10333"/>
        <v>0</v>
      </c>
      <c r="U2564" s="543">
        <f t="shared" si="10333"/>
        <v>0</v>
      </c>
      <c r="V2564" s="543"/>
      <c r="W2564" s="528"/>
      <c r="X2564" s="543">
        <f t="shared" si="10328"/>
        <v>0</v>
      </c>
      <c r="Y2564" s="861"/>
      <c r="Z2564" s="528"/>
      <c r="AA2564" s="815"/>
      <c r="AB2564" s="815"/>
      <c r="AC2564" s="815"/>
      <c r="AD2564" s="912"/>
      <c r="AE2564" s="2"/>
      <c r="AF2564" s="889"/>
      <c r="AG2564" s="889"/>
      <c r="AH2564" s="889"/>
      <c r="AI2564" s="889"/>
      <c r="AJ2564" s="889"/>
      <c r="AK2564" s="889"/>
      <c r="AL2564" s="889"/>
      <c r="AM2564" s="744"/>
      <c r="AN2564" s="2"/>
      <c r="AO2564" s="888"/>
      <c r="AP2564" s="888"/>
      <c r="AV2564" t="str">
        <f t="shared" si="10098"/>
        <v xml:space="preserve">   Seg. 2.3-C08-Plataforma- Instalação de DSH01 - Seg.2.3 C 08 </v>
      </c>
      <c r="AW2564" s="4" t="str">
        <f t="shared" si="10096"/>
        <v>Pacote 05 - Segmento 3.1 - 153+000 a 167+400</v>
      </c>
    </row>
    <row r="2565" spans="1:50" ht="15.6" customHeight="1" outlineLevel="2">
      <c r="A2565" s="8" t="str">
        <f t="shared" ref="A2565" si="10334">IF(SUM(P2565:V2566)&gt;0,"S","N")</f>
        <v>N</v>
      </c>
      <c r="B2565" s="150">
        <v>1070301</v>
      </c>
      <c r="C2565" s="150" t="s">
        <v>2836</v>
      </c>
      <c r="D2565" s="120" t="s">
        <v>2837</v>
      </c>
      <c r="E2565" s="892" t="s">
        <v>2803</v>
      </c>
      <c r="F2565" s="902" t="s">
        <v>52</v>
      </c>
      <c r="G2565" s="528"/>
      <c r="H2565" s="546" t="s">
        <v>37</v>
      </c>
      <c r="I2565" s="711">
        <v>0</v>
      </c>
      <c r="J2565" s="896" t="str">
        <f t="shared" ref="J2565" si="10335">IFERROR((I2566/I2565),"-")</f>
        <v>-</v>
      </c>
      <c r="K2565" s="528"/>
      <c r="L2565" s="546" t="s">
        <v>37</v>
      </c>
      <c r="M2565" s="711">
        <f t="shared" ref="M2565:M2602" si="10336">_xlfn.XLOOKUP($N$8,$P$8:$V$8,$P2565:$V2565)</f>
        <v>0</v>
      </c>
      <c r="N2565" s="896" t="str">
        <f t="shared" ref="N2565" si="10337">IFERROR((M2566/M2565),"-")</f>
        <v>-</v>
      </c>
      <c r="O2565" s="528"/>
      <c r="P2565" s="547">
        <v>0</v>
      </c>
      <c r="Q2565" s="547">
        <v>0</v>
      </c>
      <c r="R2565" s="547">
        <v>0</v>
      </c>
      <c r="S2565" s="547">
        <v>0</v>
      </c>
      <c r="T2565" s="547">
        <v>0</v>
      </c>
      <c r="U2565" s="547">
        <v>0</v>
      </c>
      <c r="V2565" s="548">
        <v>0</v>
      </c>
      <c r="W2565" s="528"/>
      <c r="X2565" s="711">
        <f t="shared" si="10328"/>
        <v>0</v>
      </c>
      <c r="Y2565" s="896" t="str">
        <f t="shared" ref="Y2565" si="10338">IFERROR((X2566/X2565),"-")</f>
        <v>-</v>
      </c>
      <c r="Z2565" s="528"/>
      <c r="AA2565" s="898">
        <v>0</v>
      </c>
      <c r="AB2565" s="898">
        <v>0</v>
      </c>
      <c r="AC2565" s="903">
        <v>0</v>
      </c>
      <c r="AD2565" s="896" t="str">
        <f t="shared" ref="AD2565" si="10339">IFERROR((AC2565/AA2565),"-")</f>
        <v>-</v>
      </c>
      <c r="AE2565" s="2"/>
      <c r="AF2565" s="884">
        <v>0</v>
      </c>
      <c r="AG2565" s="884"/>
      <c r="AH2565" s="884">
        <v>0</v>
      </c>
      <c r="AI2565" s="884"/>
      <c r="AJ2565" s="884"/>
      <c r="AK2565" s="884">
        <f t="shared" ref="AK2565" si="10340">AF2565+AG2565+AH2565+AI2565+AJ2565+AC2565</f>
        <v>0</v>
      </c>
      <c r="AL2565" s="884">
        <v>0</v>
      </c>
      <c r="AM2565" s="878" t="str">
        <f t="shared" ref="AM2565" si="10341">IFERROR((AK2565/AL2565),"-")</f>
        <v>-</v>
      </c>
      <c r="AN2565" s="2"/>
      <c r="AO2565" s="884">
        <v>24.54</v>
      </c>
      <c r="AP2565" s="884">
        <f t="shared" ref="AP2565" si="10342">AO2565-AK2565</f>
        <v>24.54</v>
      </c>
      <c r="AV2565" t="str">
        <f t="shared" si="10098"/>
        <v xml:space="preserve">   Seg. 2.3-C08-Plataforma- Instalação de DSH01 - Seg.2.3 C 08 </v>
      </c>
      <c r="AW2565" s="4" t="str">
        <f t="shared" si="10096"/>
        <v xml:space="preserve">   Saldo remanescente - Descida d'água</v>
      </c>
    </row>
    <row r="2566" spans="1:50" ht="15.6" customHeight="1" outlineLevel="2">
      <c r="A2566" s="8" t="str">
        <f t="shared" ref="A2566" si="10343">A2565</f>
        <v>N</v>
      </c>
      <c r="B2566" s="150"/>
      <c r="C2566" s="150"/>
      <c r="D2566" s="120" t="s">
        <v>2837</v>
      </c>
      <c r="E2566" s="893"/>
      <c r="F2566" s="902"/>
      <c r="G2566" s="528"/>
      <c r="H2566" s="549" t="s">
        <v>38</v>
      </c>
      <c r="I2566" s="711">
        <v>0</v>
      </c>
      <c r="J2566" s="897"/>
      <c r="K2566" s="528"/>
      <c r="L2566" s="549" t="s">
        <v>38</v>
      </c>
      <c r="M2566" s="711">
        <f t="shared" si="10336"/>
        <v>0</v>
      </c>
      <c r="N2566" s="897"/>
      <c r="O2566" s="528"/>
      <c r="P2566" s="548">
        <v>0</v>
      </c>
      <c r="Q2566" s="548">
        <v>0</v>
      </c>
      <c r="R2566" s="548">
        <v>0</v>
      </c>
      <c r="S2566" s="548">
        <v>0</v>
      </c>
      <c r="T2566" s="548">
        <v>0</v>
      </c>
      <c r="U2566" s="548">
        <v>0</v>
      </c>
      <c r="V2566" s="548">
        <v>0</v>
      </c>
      <c r="W2566" s="528"/>
      <c r="X2566" s="711">
        <f t="shared" si="10328"/>
        <v>0</v>
      </c>
      <c r="Y2566" s="897"/>
      <c r="Z2566" s="528"/>
      <c r="AA2566" s="899"/>
      <c r="AB2566" s="899"/>
      <c r="AC2566" s="904"/>
      <c r="AD2566" s="905"/>
      <c r="AE2566" s="2"/>
      <c r="AF2566" s="885"/>
      <c r="AG2566" s="885"/>
      <c r="AH2566" s="885"/>
      <c r="AI2566" s="885"/>
      <c r="AJ2566" s="885"/>
      <c r="AK2566" s="885"/>
      <c r="AL2566" s="885"/>
      <c r="AM2566" s="879"/>
      <c r="AN2566" s="2"/>
      <c r="AO2566" s="886"/>
      <c r="AP2566" s="886"/>
      <c r="AV2566" t="str">
        <f t="shared" si="10098"/>
        <v xml:space="preserve">   Seg. 2.3-C08-Plataforma- Instalação de DSH01 - Seg.2.3 C 08 </v>
      </c>
      <c r="AW2566" s="4" t="str">
        <f t="shared" si="10096"/>
        <v xml:space="preserve">   Saldo remanescente - Descida d'água</v>
      </c>
    </row>
    <row r="2567" spans="1:50" ht="15.6" customHeight="1" outlineLevel="2">
      <c r="A2567" s="8" t="str">
        <f t="shared" ref="A2567" si="10344">IF(SUM(P2567:V2568)&gt;0,"S","N")</f>
        <v>N</v>
      </c>
      <c r="B2567" s="150">
        <v>1067923</v>
      </c>
      <c r="C2567" s="150" t="s">
        <v>2838</v>
      </c>
      <c r="D2567" s="120" t="s">
        <v>594</v>
      </c>
      <c r="E2567" s="892" t="s">
        <v>2839</v>
      </c>
      <c r="F2567" s="902" t="s">
        <v>52</v>
      </c>
      <c r="G2567" s="528"/>
      <c r="H2567" s="546" t="s">
        <v>37</v>
      </c>
      <c r="I2567" s="711">
        <v>0</v>
      </c>
      <c r="J2567" s="896" t="str">
        <f t="shared" ref="J2567" si="10345">IFERROR((I2568/I2567),"-")</f>
        <v>-</v>
      </c>
      <c r="K2567" s="528"/>
      <c r="L2567" s="546" t="s">
        <v>37</v>
      </c>
      <c r="M2567" s="711">
        <f t="shared" si="10336"/>
        <v>0</v>
      </c>
      <c r="N2567" s="896" t="str">
        <f t="shared" ref="N2567" si="10346">IFERROR((M2568/M2567),"-")</f>
        <v>-</v>
      </c>
      <c r="O2567" s="528"/>
      <c r="P2567" s="547">
        <v>0</v>
      </c>
      <c r="Q2567" s="547">
        <v>0</v>
      </c>
      <c r="R2567" s="547">
        <v>0</v>
      </c>
      <c r="S2567" s="547">
        <v>0</v>
      </c>
      <c r="T2567" s="547">
        <v>0</v>
      </c>
      <c r="U2567" s="547">
        <v>0</v>
      </c>
      <c r="V2567" s="548">
        <v>0</v>
      </c>
      <c r="W2567" s="528"/>
      <c r="X2567" s="711">
        <f t="shared" si="10328"/>
        <v>0</v>
      </c>
      <c r="Y2567" s="896" t="str">
        <f t="shared" ref="Y2567" si="10347">IFERROR((X2568/X2567),"-")</f>
        <v>-</v>
      </c>
      <c r="Z2567" s="528"/>
      <c r="AA2567" s="898">
        <v>0</v>
      </c>
      <c r="AB2567" s="898">
        <v>0</v>
      </c>
      <c r="AC2567" s="903">
        <v>0</v>
      </c>
      <c r="AD2567" s="896" t="str">
        <f t="shared" ref="AD2567" si="10348">IFERROR((AC2567/AA2567),"-")</f>
        <v>-</v>
      </c>
      <c r="AE2567" s="2"/>
      <c r="AF2567" s="884">
        <v>0</v>
      </c>
      <c r="AG2567" s="884"/>
      <c r="AH2567" s="884">
        <v>0</v>
      </c>
      <c r="AI2567" s="884"/>
      <c r="AJ2567" s="884"/>
      <c r="AK2567" s="884">
        <f t="shared" ref="AK2567" si="10349">AF2567+AG2567+AH2567+AI2567+AJ2567+AC2567</f>
        <v>0</v>
      </c>
      <c r="AL2567" s="884">
        <v>0</v>
      </c>
      <c r="AM2567" s="878" t="str">
        <f t="shared" ref="AM2567" si="10350">IFERROR((AK2567/AL2567),"-")</f>
        <v>-</v>
      </c>
      <c r="AN2567" s="2"/>
      <c r="AO2567" s="884">
        <v>36</v>
      </c>
      <c r="AP2567" s="884">
        <f t="shared" ref="AP2567" si="10351">AO2567-AK2567</f>
        <v>36</v>
      </c>
      <c r="AV2567" t="str">
        <f t="shared" si="10098"/>
        <v xml:space="preserve">   Seg. 2.3-C08-Plataforma- Instalação de DSH01 - Seg.2.3 C 08 </v>
      </c>
      <c r="AW2567" s="4" t="str">
        <f t="shared" si="10096"/>
        <v xml:space="preserve">   Seg. 3.1-A02 - Drenagem Superficial - Descida D´água</v>
      </c>
    </row>
    <row r="2568" spans="1:50" ht="15.6" customHeight="1" outlineLevel="2">
      <c r="A2568" s="8" t="str">
        <f t="shared" ref="A2568" si="10352">A2567</f>
        <v>N</v>
      </c>
      <c r="B2568" s="150"/>
      <c r="C2568" s="150"/>
      <c r="D2568" s="120" t="s">
        <v>594</v>
      </c>
      <c r="E2568" s="893"/>
      <c r="F2568" s="902"/>
      <c r="G2568" s="528"/>
      <c r="H2568" s="549" t="s">
        <v>38</v>
      </c>
      <c r="I2568" s="711">
        <v>0</v>
      </c>
      <c r="J2568" s="897"/>
      <c r="K2568" s="528"/>
      <c r="L2568" s="549" t="s">
        <v>38</v>
      </c>
      <c r="M2568" s="711">
        <f t="shared" si="10336"/>
        <v>0</v>
      </c>
      <c r="N2568" s="897"/>
      <c r="O2568" s="528"/>
      <c r="P2568" s="548">
        <v>0</v>
      </c>
      <c r="Q2568" s="548">
        <v>0</v>
      </c>
      <c r="R2568" s="548">
        <v>0</v>
      </c>
      <c r="S2568" s="548">
        <v>0</v>
      </c>
      <c r="T2568" s="548">
        <v>0</v>
      </c>
      <c r="U2568" s="548">
        <v>0</v>
      </c>
      <c r="V2568" s="548">
        <v>0</v>
      </c>
      <c r="W2568" s="528"/>
      <c r="X2568" s="711">
        <f t="shared" si="10328"/>
        <v>0</v>
      </c>
      <c r="Y2568" s="897"/>
      <c r="Z2568" s="528"/>
      <c r="AA2568" s="899"/>
      <c r="AB2568" s="899"/>
      <c r="AC2568" s="904"/>
      <c r="AD2568" s="905"/>
      <c r="AE2568" s="2"/>
      <c r="AF2568" s="885"/>
      <c r="AG2568" s="885"/>
      <c r="AH2568" s="885"/>
      <c r="AI2568" s="885"/>
      <c r="AJ2568" s="885"/>
      <c r="AK2568" s="885"/>
      <c r="AL2568" s="885"/>
      <c r="AM2568" s="879"/>
      <c r="AN2568" s="2"/>
      <c r="AO2568" s="886"/>
      <c r="AP2568" s="886"/>
      <c r="AV2568" t="str">
        <f t="shared" si="10098"/>
        <v xml:space="preserve">   Seg. 2.3-C08-Plataforma- Instalação de DSH01 - Seg.2.3 C 08 </v>
      </c>
      <c r="AW2568" s="4" t="str">
        <f t="shared" si="10096"/>
        <v xml:space="preserve">   Seg. 3.1-A02 - Drenagem Superficial - Descida D´água</v>
      </c>
    </row>
    <row r="2569" spans="1:50" ht="15.6" customHeight="1" outlineLevel="2">
      <c r="A2569" s="8" t="str">
        <f t="shared" ref="A2569" si="10353">IF(SUM(P2569:V2570)&gt;0,"S","N")</f>
        <v>N</v>
      </c>
      <c r="B2569" s="150">
        <v>1068774</v>
      </c>
      <c r="C2569" s="150" t="s">
        <v>2840</v>
      </c>
      <c r="D2569" s="120" t="s">
        <v>596</v>
      </c>
      <c r="E2569" s="892" t="s">
        <v>2841</v>
      </c>
      <c r="F2569" s="902" t="s">
        <v>52</v>
      </c>
      <c r="G2569" s="528"/>
      <c r="H2569" s="546" t="s">
        <v>37</v>
      </c>
      <c r="I2569" s="711">
        <v>0</v>
      </c>
      <c r="J2569" s="896" t="str">
        <f t="shared" ref="J2569" si="10354">IFERROR((I2570/I2569),"-")</f>
        <v>-</v>
      </c>
      <c r="K2569" s="528"/>
      <c r="L2569" s="546" t="s">
        <v>37</v>
      </c>
      <c r="M2569" s="711">
        <f t="shared" si="10336"/>
        <v>0</v>
      </c>
      <c r="N2569" s="896" t="str">
        <f t="shared" ref="N2569" si="10355">IFERROR((M2570/M2569),"-")</f>
        <v>-</v>
      </c>
      <c r="O2569" s="528"/>
      <c r="P2569" s="547">
        <v>0</v>
      </c>
      <c r="Q2569" s="547">
        <v>0</v>
      </c>
      <c r="R2569" s="547">
        <v>0</v>
      </c>
      <c r="S2569" s="547">
        <v>0</v>
      </c>
      <c r="T2569" s="547">
        <v>0</v>
      </c>
      <c r="U2569" s="547">
        <v>0</v>
      </c>
      <c r="V2569" s="548">
        <v>0</v>
      </c>
      <c r="W2569" s="528"/>
      <c r="X2569" s="711">
        <f t="shared" si="10328"/>
        <v>0</v>
      </c>
      <c r="Y2569" s="896" t="str">
        <f t="shared" ref="Y2569" si="10356">IFERROR((X2570/X2569),"-")</f>
        <v>-</v>
      </c>
      <c r="Z2569" s="528"/>
      <c r="AA2569" s="898">
        <v>0</v>
      </c>
      <c r="AB2569" s="898">
        <v>0</v>
      </c>
      <c r="AC2569" s="903">
        <v>0</v>
      </c>
      <c r="AD2569" s="896" t="str">
        <f t="shared" ref="AD2569" si="10357">IFERROR((AC2569/AA2569),"-")</f>
        <v>-</v>
      </c>
      <c r="AE2569" s="2"/>
      <c r="AF2569" s="884">
        <v>0</v>
      </c>
      <c r="AG2569" s="884"/>
      <c r="AH2569" s="884">
        <v>0</v>
      </c>
      <c r="AI2569" s="884"/>
      <c r="AJ2569" s="884"/>
      <c r="AK2569" s="884">
        <f t="shared" ref="AK2569" si="10358">AF2569+AG2569+AH2569+AI2569+AJ2569+AC2569</f>
        <v>0</v>
      </c>
      <c r="AL2569" s="884">
        <v>0</v>
      </c>
      <c r="AM2569" s="878" t="str">
        <f t="shared" ref="AM2569" si="10359">IFERROR((AK2569/AL2569),"-")</f>
        <v>-</v>
      </c>
      <c r="AN2569" s="2"/>
      <c r="AO2569" s="884">
        <v>2.7</v>
      </c>
      <c r="AP2569" s="884">
        <f t="shared" ref="AP2569" si="10360">AO2569-AK2569</f>
        <v>2.7</v>
      </c>
      <c r="AV2569" t="str">
        <f t="shared" si="10098"/>
        <v xml:space="preserve">   Seg. 2.3-C08-Plataforma- Instalação de DSH01 - Seg.2.3 C 08 </v>
      </c>
      <c r="AW2569" s="4" t="str">
        <f t="shared" ref="AW2569:AW2632" si="10361">IF(E2569&lt;&gt;"",E2569,AW2568)</f>
        <v xml:space="preserve">   Seg. 3.1-A03 - Drenagem Superficial - Descida D´água</v>
      </c>
    </row>
    <row r="2570" spans="1:50" ht="15.6" customHeight="1" outlineLevel="2">
      <c r="A2570" s="8" t="str">
        <f t="shared" ref="A2570" si="10362">A2569</f>
        <v>N</v>
      </c>
      <c r="B2570" s="150"/>
      <c r="C2570" s="150"/>
      <c r="D2570" s="120" t="s">
        <v>596</v>
      </c>
      <c r="E2570" s="893"/>
      <c r="F2570" s="902"/>
      <c r="G2570" s="528"/>
      <c r="H2570" s="549" t="s">
        <v>38</v>
      </c>
      <c r="I2570" s="711">
        <v>0</v>
      </c>
      <c r="J2570" s="897"/>
      <c r="K2570" s="528"/>
      <c r="L2570" s="549" t="s">
        <v>38</v>
      </c>
      <c r="M2570" s="711">
        <f t="shared" si="10336"/>
        <v>0</v>
      </c>
      <c r="N2570" s="897"/>
      <c r="O2570" s="528"/>
      <c r="P2570" s="548">
        <v>0</v>
      </c>
      <c r="Q2570" s="548">
        <v>0</v>
      </c>
      <c r="R2570" s="548">
        <v>0</v>
      </c>
      <c r="S2570" s="548">
        <v>0</v>
      </c>
      <c r="T2570" s="548">
        <v>0</v>
      </c>
      <c r="U2570" s="548">
        <v>0</v>
      </c>
      <c r="V2570" s="548">
        <v>0</v>
      </c>
      <c r="W2570" s="528"/>
      <c r="X2570" s="711">
        <f t="shared" si="10328"/>
        <v>0</v>
      </c>
      <c r="Y2570" s="897"/>
      <c r="Z2570" s="528"/>
      <c r="AA2570" s="899"/>
      <c r="AB2570" s="899"/>
      <c r="AC2570" s="904"/>
      <c r="AD2570" s="905"/>
      <c r="AE2570" s="2"/>
      <c r="AF2570" s="885"/>
      <c r="AG2570" s="885"/>
      <c r="AH2570" s="885"/>
      <c r="AI2570" s="885"/>
      <c r="AJ2570" s="885"/>
      <c r="AK2570" s="885"/>
      <c r="AL2570" s="885"/>
      <c r="AM2570" s="879"/>
      <c r="AN2570" s="2"/>
      <c r="AO2570" s="886"/>
      <c r="AP2570" s="886"/>
      <c r="AV2570" t="str">
        <f t="shared" ref="AV2570:AV2633" si="10363">IF(AX2570="Y",LEFT(E2570,20),IF(AX2570="x",E2570,AV2569))</f>
        <v xml:space="preserve">   Seg. 2.3-C08-Plataforma- Instalação de DSH01 - Seg.2.3 C 08 </v>
      </c>
      <c r="AW2570" s="4" t="str">
        <f t="shared" si="10361"/>
        <v xml:space="preserve">   Seg. 3.1-A03 - Drenagem Superficial - Descida D´água</v>
      </c>
    </row>
    <row r="2571" spans="1:50" ht="15.6" customHeight="1" outlineLevel="2">
      <c r="A2571" s="8" t="str">
        <f t="shared" ref="A2571" si="10364">IF(SUM(P2571:V2572)&gt;0,"S","N")</f>
        <v>N</v>
      </c>
      <c r="B2571" s="150">
        <v>1068775</v>
      </c>
      <c r="C2571" s="150" t="s">
        <v>2842</v>
      </c>
      <c r="D2571" s="120" t="s">
        <v>600</v>
      </c>
      <c r="E2571" s="892" t="s">
        <v>2843</v>
      </c>
      <c r="F2571" s="902" t="s">
        <v>52</v>
      </c>
      <c r="G2571" s="528"/>
      <c r="H2571" s="546" t="s">
        <v>37</v>
      </c>
      <c r="I2571" s="711">
        <v>0</v>
      </c>
      <c r="J2571" s="896" t="str">
        <f t="shared" ref="J2571" si="10365">IFERROR((I2572/I2571),"-")</f>
        <v>-</v>
      </c>
      <c r="K2571" s="528"/>
      <c r="L2571" s="546" t="s">
        <v>37</v>
      </c>
      <c r="M2571" s="711">
        <f t="shared" si="10336"/>
        <v>0</v>
      </c>
      <c r="N2571" s="896" t="str">
        <f t="shared" ref="N2571" si="10366">IFERROR((M2572/M2571),"-")</f>
        <v>-</v>
      </c>
      <c r="O2571" s="528"/>
      <c r="P2571" s="547">
        <v>0</v>
      </c>
      <c r="Q2571" s="547">
        <v>0</v>
      </c>
      <c r="R2571" s="547">
        <v>0</v>
      </c>
      <c r="S2571" s="547">
        <v>0</v>
      </c>
      <c r="T2571" s="547">
        <v>0</v>
      </c>
      <c r="U2571" s="547">
        <v>0</v>
      </c>
      <c r="V2571" s="548">
        <v>0</v>
      </c>
      <c r="W2571" s="528"/>
      <c r="X2571" s="711">
        <f t="shared" si="10328"/>
        <v>0</v>
      </c>
      <c r="Y2571" s="896" t="str">
        <f t="shared" ref="Y2571" si="10367">IFERROR((X2572/X2571),"-")</f>
        <v>-</v>
      </c>
      <c r="Z2571" s="528"/>
      <c r="AA2571" s="898">
        <v>0</v>
      </c>
      <c r="AB2571" s="898">
        <v>0</v>
      </c>
      <c r="AC2571" s="903">
        <v>0</v>
      </c>
      <c r="AD2571" s="896" t="str">
        <f t="shared" ref="AD2571" si="10368">IFERROR((AC2571/AA2571),"-")</f>
        <v>-</v>
      </c>
      <c r="AE2571" s="2"/>
      <c r="AF2571" s="884">
        <v>0</v>
      </c>
      <c r="AG2571" s="884"/>
      <c r="AH2571" s="884">
        <v>0</v>
      </c>
      <c r="AI2571" s="884"/>
      <c r="AJ2571" s="884"/>
      <c r="AK2571" s="884">
        <f t="shared" ref="AK2571" si="10369">AF2571+AG2571+AH2571+AI2571+AJ2571+AC2571</f>
        <v>0</v>
      </c>
      <c r="AL2571" s="884">
        <v>0</v>
      </c>
      <c r="AM2571" s="878" t="str">
        <f t="shared" ref="AM2571" si="10370">IFERROR((AK2571/AL2571),"-")</f>
        <v>-</v>
      </c>
      <c r="AN2571" s="2"/>
      <c r="AO2571" s="884">
        <v>7.8</v>
      </c>
      <c r="AP2571" s="884">
        <f t="shared" ref="AP2571" si="10371">AO2571-AK2571</f>
        <v>7.8</v>
      </c>
      <c r="AV2571" t="str">
        <f t="shared" si="10363"/>
        <v xml:space="preserve">   Seg. 2.3-C08-Plataforma- Instalação de DSH01 - Seg.2.3 C 08 </v>
      </c>
      <c r="AW2571" s="4" t="str">
        <f t="shared" si="10361"/>
        <v xml:space="preserve">   Seg. 3.1-A04 - Drenagem Superficial - Descida D´água</v>
      </c>
    </row>
    <row r="2572" spans="1:50" ht="15.6" customHeight="1" outlineLevel="2">
      <c r="A2572" s="8" t="str">
        <f t="shared" ref="A2572" si="10372">A2571</f>
        <v>N</v>
      </c>
      <c r="B2572" s="150"/>
      <c r="C2572" s="150"/>
      <c r="D2572" s="120" t="s">
        <v>600</v>
      </c>
      <c r="E2572" s="893"/>
      <c r="F2572" s="902"/>
      <c r="G2572" s="528"/>
      <c r="H2572" s="549" t="s">
        <v>38</v>
      </c>
      <c r="I2572" s="711">
        <v>0</v>
      </c>
      <c r="J2572" s="897"/>
      <c r="K2572" s="528"/>
      <c r="L2572" s="549" t="s">
        <v>38</v>
      </c>
      <c r="M2572" s="711">
        <f t="shared" si="10336"/>
        <v>0</v>
      </c>
      <c r="N2572" s="897"/>
      <c r="O2572" s="528"/>
      <c r="P2572" s="548">
        <v>0</v>
      </c>
      <c r="Q2572" s="548">
        <v>0</v>
      </c>
      <c r="R2572" s="548">
        <v>0</v>
      </c>
      <c r="S2572" s="548">
        <v>0</v>
      </c>
      <c r="T2572" s="548">
        <v>0</v>
      </c>
      <c r="U2572" s="548">
        <v>0</v>
      </c>
      <c r="V2572" s="548">
        <v>0</v>
      </c>
      <c r="W2572" s="528"/>
      <c r="X2572" s="711">
        <f t="shared" si="10328"/>
        <v>0</v>
      </c>
      <c r="Y2572" s="897"/>
      <c r="Z2572" s="528"/>
      <c r="AA2572" s="899"/>
      <c r="AB2572" s="899"/>
      <c r="AC2572" s="904"/>
      <c r="AD2572" s="905"/>
      <c r="AE2572" s="2"/>
      <c r="AF2572" s="885"/>
      <c r="AG2572" s="885"/>
      <c r="AH2572" s="885"/>
      <c r="AI2572" s="885"/>
      <c r="AJ2572" s="885"/>
      <c r="AK2572" s="885"/>
      <c r="AL2572" s="885"/>
      <c r="AM2572" s="879"/>
      <c r="AN2572" s="2"/>
      <c r="AO2572" s="886"/>
      <c r="AP2572" s="886"/>
      <c r="AV2572" t="str">
        <f t="shared" si="10363"/>
        <v xml:space="preserve">   Seg. 2.3-C08-Plataforma- Instalação de DSH01 - Seg.2.3 C 08 </v>
      </c>
      <c r="AW2572" s="4" t="str">
        <f t="shared" si="10361"/>
        <v xml:space="preserve">   Seg. 3.1-A04 - Drenagem Superficial - Descida D´água</v>
      </c>
    </row>
    <row r="2573" spans="1:50" ht="15.6" customHeight="1" outlineLevel="2">
      <c r="A2573" s="8" t="str">
        <f t="shared" ref="A2573" si="10373">IF(SUM(P2573:V2574)&gt;0,"S","N")</f>
        <v>N</v>
      </c>
      <c r="B2573" s="150">
        <v>1068776</v>
      </c>
      <c r="C2573" s="150" t="s">
        <v>2844</v>
      </c>
      <c r="D2573" s="120" t="s">
        <v>1311</v>
      </c>
      <c r="E2573" s="892" t="s">
        <v>2845</v>
      </c>
      <c r="F2573" s="902" t="s">
        <v>52</v>
      </c>
      <c r="G2573" s="528"/>
      <c r="H2573" s="546" t="s">
        <v>37</v>
      </c>
      <c r="I2573" s="711">
        <v>0</v>
      </c>
      <c r="J2573" s="896" t="str">
        <f t="shared" ref="J2573" si="10374">IFERROR((I2574/I2573),"-")</f>
        <v>-</v>
      </c>
      <c r="K2573" s="528"/>
      <c r="L2573" s="546" t="s">
        <v>37</v>
      </c>
      <c r="M2573" s="711">
        <f t="shared" si="10336"/>
        <v>0</v>
      </c>
      <c r="N2573" s="896" t="str">
        <f t="shared" ref="N2573" si="10375">IFERROR((M2574/M2573),"-")</f>
        <v>-</v>
      </c>
      <c r="O2573" s="528"/>
      <c r="P2573" s="547">
        <v>0</v>
      </c>
      <c r="Q2573" s="547">
        <v>0</v>
      </c>
      <c r="R2573" s="547">
        <v>0</v>
      </c>
      <c r="S2573" s="547">
        <v>0</v>
      </c>
      <c r="T2573" s="547">
        <v>0</v>
      </c>
      <c r="U2573" s="547">
        <v>0</v>
      </c>
      <c r="V2573" s="548">
        <v>0</v>
      </c>
      <c r="W2573" s="528"/>
      <c r="X2573" s="711">
        <f t="shared" si="10328"/>
        <v>0</v>
      </c>
      <c r="Y2573" s="896" t="str">
        <f t="shared" ref="Y2573" si="10376">IFERROR((X2574/X2573),"-")</f>
        <v>-</v>
      </c>
      <c r="Z2573" s="528"/>
      <c r="AA2573" s="898">
        <v>0</v>
      </c>
      <c r="AB2573" s="898">
        <v>0</v>
      </c>
      <c r="AC2573" s="903">
        <v>0</v>
      </c>
      <c r="AD2573" s="896" t="str">
        <f t="shared" ref="AD2573" si="10377">IFERROR((AC2573/AA2573),"-")</f>
        <v>-</v>
      </c>
      <c r="AE2573" s="2"/>
      <c r="AF2573" s="884">
        <v>0</v>
      </c>
      <c r="AG2573" s="884"/>
      <c r="AH2573" s="884">
        <v>0</v>
      </c>
      <c r="AI2573" s="884"/>
      <c r="AJ2573" s="884"/>
      <c r="AK2573" s="884">
        <f t="shared" ref="AK2573" si="10378">AF2573+AG2573+AH2573+AI2573+AJ2573+AC2573</f>
        <v>0</v>
      </c>
      <c r="AL2573" s="884">
        <v>0</v>
      </c>
      <c r="AM2573" s="878" t="str">
        <f t="shared" ref="AM2573" si="10379">IFERROR((AK2573/AL2573),"-")</f>
        <v>-</v>
      </c>
      <c r="AN2573" s="2"/>
      <c r="AO2573" s="884">
        <v>5.4</v>
      </c>
      <c r="AP2573" s="884">
        <f t="shared" ref="AP2573" si="10380">AO2573-AK2573</f>
        <v>5.4</v>
      </c>
      <c r="AV2573" t="str">
        <f t="shared" si="10363"/>
        <v xml:space="preserve">   Seg. 2.3-C08-Plataforma- Instalação de DSH01 - Seg.2.3 C 08 </v>
      </c>
      <c r="AW2573" s="4" t="str">
        <f t="shared" si="10361"/>
        <v xml:space="preserve">   Seg. 3.1-A05 - Drenagem Superficial - Descida D´água</v>
      </c>
    </row>
    <row r="2574" spans="1:50" ht="15.6" customHeight="1" outlineLevel="2">
      <c r="A2574" s="8" t="str">
        <f t="shared" ref="A2574" si="10381">A2573</f>
        <v>N</v>
      </c>
      <c r="B2574" s="150"/>
      <c r="C2574" s="150"/>
      <c r="D2574" s="120" t="s">
        <v>1311</v>
      </c>
      <c r="E2574" s="893"/>
      <c r="F2574" s="902"/>
      <c r="G2574" s="528"/>
      <c r="H2574" s="549" t="s">
        <v>38</v>
      </c>
      <c r="I2574" s="711">
        <v>0</v>
      </c>
      <c r="J2574" s="897"/>
      <c r="K2574" s="528"/>
      <c r="L2574" s="549" t="s">
        <v>38</v>
      </c>
      <c r="M2574" s="711">
        <f t="shared" si="10336"/>
        <v>0</v>
      </c>
      <c r="N2574" s="897"/>
      <c r="O2574" s="528"/>
      <c r="P2574" s="548">
        <v>0</v>
      </c>
      <c r="Q2574" s="548">
        <v>0</v>
      </c>
      <c r="R2574" s="548">
        <v>0</v>
      </c>
      <c r="S2574" s="548">
        <v>0</v>
      </c>
      <c r="T2574" s="548">
        <v>0</v>
      </c>
      <c r="U2574" s="548">
        <v>0</v>
      </c>
      <c r="V2574" s="548">
        <v>0</v>
      </c>
      <c r="W2574" s="528"/>
      <c r="X2574" s="711">
        <f t="shared" si="10328"/>
        <v>0</v>
      </c>
      <c r="Y2574" s="897"/>
      <c r="Z2574" s="528"/>
      <c r="AA2574" s="899"/>
      <c r="AB2574" s="899"/>
      <c r="AC2574" s="904"/>
      <c r="AD2574" s="905"/>
      <c r="AE2574" s="2"/>
      <c r="AF2574" s="885"/>
      <c r="AG2574" s="885"/>
      <c r="AH2574" s="885"/>
      <c r="AI2574" s="885"/>
      <c r="AJ2574" s="885"/>
      <c r="AK2574" s="885"/>
      <c r="AL2574" s="885"/>
      <c r="AM2574" s="879"/>
      <c r="AN2574" s="2"/>
      <c r="AO2574" s="886"/>
      <c r="AP2574" s="886"/>
      <c r="AV2574" t="str">
        <f t="shared" si="10363"/>
        <v xml:space="preserve">   Seg. 2.3-C08-Plataforma- Instalação de DSH01 - Seg.2.3 C 08 </v>
      </c>
      <c r="AW2574" s="4" t="str">
        <f t="shared" si="10361"/>
        <v xml:space="preserve">   Seg. 3.1-A05 - Drenagem Superficial - Descida D´água</v>
      </c>
    </row>
    <row r="2575" spans="1:50" ht="15.6" customHeight="1" outlineLevel="2">
      <c r="A2575" s="8" t="str">
        <f t="shared" ref="A2575" si="10382">IF(SUM(P2575:V2576)&gt;0,"S","N")</f>
        <v>N</v>
      </c>
      <c r="B2575" s="150">
        <v>1068777</v>
      </c>
      <c r="C2575" s="150" t="s">
        <v>2846</v>
      </c>
      <c r="D2575" s="120" t="s">
        <v>1315</v>
      </c>
      <c r="E2575" s="892" t="s">
        <v>2847</v>
      </c>
      <c r="F2575" s="902" t="s">
        <v>52</v>
      </c>
      <c r="G2575" s="528"/>
      <c r="H2575" s="546" t="s">
        <v>37</v>
      </c>
      <c r="I2575" s="711">
        <v>0</v>
      </c>
      <c r="J2575" s="896" t="str">
        <f t="shared" ref="J2575" si="10383">IFERROR((I2576/I2575),"-")</f>
        <v>-</v>
      </c>
      <c r="K2575" s="528"/>
      <c r="L2575" s="546" t="s">
        <v>37</v>
      </c>
      <c r="M2575" s="711">
        <f t="shared" si="10336"/>
        <v>0</v>
      </c>
      <c r="N2575" s="896" t="str">
        <f t="shared" ref="N2575" si="10384">IFERROR((M2576/M2575),"-")</f>
        <v>-</v>
      </c>
      <c r="O2575" s="528"/>
      <c r="P2575" s="547">
        <v>0</v>
      </c>
      <c r="Q2575" s="547">
        <v>0</v>
      </c>
      <c r="R2575" s="547">
        <v>0</v>
      </c>
      <c r="S2575" s="547">
        <v>0</v>
      </c>
      <c r="T2575" s="547">
        <v>0</v>
      </c>
      <c r="U2575" s="547">
        <v>0</v>
      </c>
      <c r="V2575" s="548">
        <v>0</v>
      </c>
      <c r="W2575" s="528"/>
      <c r="X2575" s="711">
        <f t="shared" si="10328"/>
        <v>0</v>
      </c>
      <c r="Y2575" s="896" t="str">
        <f t="shared" ref="Y2575" si="10385">IFERROR((X2576/X2575),"-")</f>
        <v>-</v>
      </c>
      <c r="Z2575" s="528"/>
      <c r="AA2575" s="898">
        <v>0</v>
      </c>
      <c r="AB2575" s="898">
        <v>0</v>
      </c>
      <c r="AC2575" s="903">
        <v>0</v>
      </c>
      <c r="AD2575" s="896" t="str">
        <f t="shared" ref="AD2575" si="10386">IFERROR((AC2575/AA2575),"-")</f>
        <v>-</v>
      </c>
      <c r="AE2575" s="2"/>
      <c r="AF2575" s="884">
        <v>0</v>
      </c>
      <c r="AG2575" s="884"/>
      <c r="AH2575" s="884">
        <v>0</v>
      </c>
      <c r="AI2575" s="884"/>
      <c r="AJ2575" s="884"/>
      <c r="AK2575" s="884">
        <f t="shared" ref="AK2575" si="10387">AF2575+AG2575+AH2575+AI2575+AJ2575+AC2575</f>
        <v>0</v>
      </c>
      <c r="AL2575" s="884">
        <v>0</v>
      </c>
      <c r="AM2575" s="878" t="str">
        <f t="shared" ref="AM2575" si="10388">IFERROR((AK2575/AL2575),"-")</f>
        <v>-</v>
      </c>
      <c r="AN2575" s="2"/>
      <c r="AO2575" s="884">
        <v>6.5</v>
      </c>
      <c r="AP2575" s="884">
        <f t="shared" ref="AP2575" si="10389">AO2575-AK2575</f>
        <v>6.5</v>
      </c>
      <c r="AV2575" t="str">
        <f t="shared" si="10363"/>
        <v xml:space="preserve">   Seg. 2.3-C08-Plataforma- Instalação de DSH01 - Seg.2.3 C 08 </v>
      </c>
      <c r="AW2575" s="4" t="str">
        <f t="shared" si="10361"/>
        <v xml:space="preserve">   Seg. 3.1-A07 - Drenagem Superficial - Descida D´água</v>
      </c>
    </row>
    <row r="2576" spans="1:50" ht="15.6" customHeight="1" outlineLevel="2">
      <c r="A2576" s="8" t="str">
        <f t="shared" ref="A2576" si="10390">A2575</f>
        <v>N</v>
      </c>
      <c r="B2576" s="150"/>
      <c r="C2576" s="150"/>
      <c r="D2576" s="120" t="s">
        <v>1315</v>
      </c>
      <c r="E2576" s="893"/>
      <c r="F2576" s="902"/>
      <c r="G2576" s="528"/>
      <c r="H2576" s="549" t="s">
        <v>38</v>
      </c>
      <c r="I2576" s="711">
        <v>0</v>
      </c>
      <c r="J2576" s="897"/>
      <c r="K2576" s="528"/>
      <c r="L2576" s="549" t="s">
        <v>38</v>
      </c>
      <c r="M2576" s="711">
        <f t="shared" si="10336"/>
        <v>0</v>
      </c>
      <c r="N2576" s="897"/>
      <c r="O2576" s="528"/>
      <c r="P2576" s="548">
        <v>0</v>
      </c>
      <c r="Q2576" s="548">
        <v>0</v>
      </c>
      <c r="R2576" s="548">
        <v>0</v>
      </c>
      <c r="S2576" s="548">
        <v>0</v>
      </c>
      <c r="T2576" s="548">
        <v>0</v>
      </c>
      <c r="U2576" s="548">
        <v>0</v>
      </c>
      <c r="V2576" s="548">
        <v>0</v>
      </c>
      <c r="W2576" s="528"/>
      <c r="X2576" s="711">
        <f t="shared" si="10328"/>
        <v>0</v>
      </c>
      <c r="Y2576" s="897"/>
      <c r="Z2576" s="528"/>
      <c r="AA2576" s="899"/>
      <c r="AB2576" s="899"/>
      <c r="AC2576" s="904"/>
      <c r="AD2576" s="905"/>
      <c r="AE2576" s="2"/>
      <c r="AF2576" s="885"/>
      <c r="AG2576" s="885"/>
      <c r="AH2576" s="885"/>
      <c r="AI2576" s="885"/>
      <c r="AJ2576" s="885"/>
      <c r="AK2576" s="885"/>
      <c r="AL2576" s="885"/>
      <c r="AM2576" s="879"/>
      <c r="AN2576" s="2"/>
      <c r="AO2576" s="886"/>
      <c r="AP2576" s="886"/>
      <c r="AV2576" s="4" t="str">
        <f t="shared" si="10363"/>
        <v xml:space="preserve">   Seg. 2.3-C08-Plataforma- Instalação de DSH01 - Seg.2.3 C 08 </v>
      </c>
      <c r="AW2576" s="4" t="str">
        <f t="shared" si="10361"/>
        <v xml:space="preserve">   Seg. 3.1-A07 - Drenagem Superficial - Descida D´água</v>
      </c>
      <c r="AX2576" s="4"/>
    </row>
    <row r="2577" spans="1:50" ht="14.45" customHeight="1" outlineLevel="2">
      <c r="A2577" s="8" t="str">
        <f t="shared" ref="A2577" si="10391">IF(SUM(P2577:V2578)&gt;0,"S","N")</f>
        <v>N</v>
      </c>
      <c r="B2577" s="150">
        <v>1068779</v>
      </c>
      <c r="C2577" s="150" t="s">
        <v>2848</v>
      </c>
      <c r="D2577" s="120" t="s">
        <v>2080</v>
      </c>
      <c r="E2577" s="892" t="s">
        <v>2849</v>
      </c>
      <c r="F2577" s="902" t="s">
        <v>52</v>
      </c>
      <c r="G2577" s="528"/>
      <c r="H2577" s="546" t="s">
        <v>37</v>
      </c>
      <c r="I2577" s="711">
        <v>0</v>
      </c>
      <c r="J2577" s="896" t="str">
        <f t="shared" ref="J2577" si="10392">IFERROR((I2578/I2577),"-")</f>
        <v>-</v>
      </c>
      <c r="K2577" s="528"/>
      <c r="L2577" s="546" t="s">
        <v>37</v>
      </c>
      <c r="M2577" s="711">
        <f t="shared" si="10336"/>
        <v>0</v>
      </c>
      <c r="N2577" s="896" t="str">
        <f t="shared" ref="N2577" si="10393">IFERROR((M2578/M2577),"-")</f>
        <v>-</v>
      </c>
      <c r="O2577" s="528"/>
      <c r="P2577" s="547">
        <v>0</v>
      </c>
      <c r="Q2577" s="547">
        <v>0</v>
      </c>
      <c r="R2577" s="547">
        <v>0</v>
      </c>
      <c r="S2577" s="547">
        <v>0</v>
      </c>
      <c r="T2577" s="547">
        <v>0</v>
      </c>
      <c r="U2577" s="547">
        <v>0</v>
      </c>
      <c r="V2577" s="548">
        <v>0</v>
      </c>
      <c r="W2577" s="528"/>
      <c r="X2577" s="711">
        <f t="shared" si="10328"/>
        <v>0</v>
      </c>
      <c r="Y2577" s="896" t="str">
        <f t="shared" ref="Y2577" si="10394">IFERROR((X2578/X2577),"-")</f>
        <v>-</v>
      </c>
      <c r="Z2577" s="528"/>
      <c r="AA2577" s="898">
        <v>0</v>
      </c>
      <c r="AB2577" s="898">
        <v>0</v>
      </c>
      <c r="AC2577" s="903">
        <v>0</v>
      </c>
      <c r="AD2577" s="896" t="str">
        <f t="shared" ref="AD2577" si="10395">IFERROR((AC2577/AA2577),"-")</f>
        <v>-</v>
      </c>
      <c r="AE2577" s="2"/>
      <c r="AF2577" s="884">
        <v>0</v>
      </c>
      <c r="AG2577" s="884"/>
      <c r="AH2577" s="884">
        <v>0</v>
      </c>
      <c r="AI2577" s="884"/>
      <c r="AJ2577" s="884"/>
      <c r="AK2577" s="884">
        <f t="shared" ref="AK2577" si="10396">AF2577+AG2577+AH2577+AI2577+AJ2577+AC2577</f>
        <v>0</v>
      </c>
      <c r="AL2577" s="884">
        <v>0</v>
      </c>
      <c r="AM2577" s="878" t="str">
        <f t="shared" ref="AM2577" si="10397">IFERROR((AK2577/AL2577),"-")</f>
        <v>-</v>
      </c>
      <c r="AN2577" s="2"/>
      <c r="AO2577" s="884">
        <v>37</v>
      </c>
      <c r="AP2577" s="884">
        <f t="shared" ref="AP2577" si="10398">AO2577-AK2577</f>
        <v>37</v>
      </c>
      <c r="AV2577" s="4" t="str">
        <f t="shared" si="10363"/>
        <v xml:space="preserve">   Seg. 2.3-C08-Plataforma- Instalação de DSH01 - Seg.2.3 C 08 </v>
      </c>
      <c r="AW2577" s="4" t="str">
        <f t="shared" si="10361"/>
        <v xml:space="preserve">   Seg. 3.1- ADME 1 e 2 - Drenagem Superficial - Descida D´água</v>
      </c>
      <c r="AX2577" s="4"/>
    </row>
    <row r="2578" spans="1:50" ht="14.45" customHeight="1" outlineLevel="2">
      <c r="A2578" s="8" t="str">
        <f t="shared" ref="A2578" si="10399">A2577</f>
        <v>N</v>
      </c>
      <c r="B2578" s="150"/>
      <c r="C2578" s="150"/>
      <c r="D2578" s="120" t="s">
        <v>2080</v>
      </c>
      <c r="E2578" s="893"/>
      <c r="F2578" s="902"/>
      <c r="G2578" s="528"/>
      <c r="H2578" s="549" t="s">
        <v>38</v>
      </c>
      <c r="I2578" s="711">
        <v>0</v>
      </c>
      <c r="J2578" s="897"/>
      <c r="K2578" s="528"/>
      <c r="L2578" s="549" t="s">
        <v>38</v>
      </c>
      <c r="M2578" s="711">
        <f t="shared" si="10336"/>
        <v>0</v>
      </c>
      <c r="N2578" s="897"/>
      <c r="O2578" s="528"/>
      <c r="P2578" s="548">
        <v>0</v>
      </c>
      <c r="Q2578" s="548">
        <v>0</v>
      </c>
      <c r="R2578" s="548">
        <v>0</v>
      </c>
      <c r="S2578" s="548">
        <v>0</v>
      </c>
      <c r="T2578" s="548">
        <v>0</v>
      </c>
      <c r="U2578" s="548">
        <v>0</v>
      </c>
      <c r="V2578" s="548">
        <v>0</v>
      </c>
      <c r="W2578" s="528"/>
      <c r="X2578" s="711">
        <f t="shared" si="10328"/>
        <v>0</v>
      </c>
      <c r="Y2578" s="897"/>
      <c r="Z2578" s="528"/>
      <c r="AA2578" s="899"/>
      <c r="AB2578" s="899"/>
      <c r="AC2578" s="904"/>
      <c r="AD2578" s="905"/>
      <c r="AE2578" s="2"/>
      <c r="AF2578" s="885"/>
      <c r="AG2578" s="885"/>
      <c r="AH2578" s="885"/>
      <c r="AI2578" s="885"/>
      <c r="AJ2578" s="885"/>
      <c r="AK2578" s="885"/>
      <c r="AL2578" s="885"/>
      <c r="AM2578" s="879"/>
      <c r="AN2578" s="2"/>
      <c r="AO2578" s="886"/>
      <c r="AP2578" s="886"/>
      <c r="AV2578" s="4" t="str">
        <f t="shared" si="10363"/>
        <v xml:space="preserve">   Seg. 2.3-C08-Plataforma- Instalação de DSH01 - Seg.2.3 C 08 </v>
      </c>
      <c r="AW2578" s="4" t="str">
        <f t="shared" si="10361"/>
        <v xml:space="preserve">   Seg. 3.1- ADME 1 e 2 - Drenagem Superficial - Descida D´água</v>
      </c>
      <c r="AX2578" s="4"/>
    </row>
    <row r="2579" spans="1:50" ht="14.45" customHeight="1" outlineLevel="2">
      <c r="A2579" s="8" t="str">
        <f t="shared" ref="A2579" si="10400">IF(SUM(P2579:V2580)&gt;0,"S","N")</f>
        <v>N</v>
      </c>
      <c r="B2579" s="150">
        <v>1068780</v>
      </c>
      <c r="C2579" s="150" t="s">
        <v>2850</v>
      </c>
      <c r="D2579" s="120" t="s">
        <v>2056</v>
      </c>
      <c r="E2579" s="892" t="s">
        <v>2851</v>
      </c>
      <c r="F2579" s="902" t="s">
        <v>52</v>
      </c>
      <c r="G2579" s="528"/>
      <c r="H2579" s="546" t="s">
        <v>37</v>
      </c>
      <c r="I2579" s="711">
        <v>0</v>
      </c>
      <c r="J2579" s="896" t="str">
        <f t="shared" ref="J2579" si="10401">IFERROR((I2580/I2579),"-")</f>
        <v>-</v>
      </c>
      <c r="K2579" s="528"/>
      <c r="L2579" s="546" t="s">
        <v>37</v>
      </c>
      <c r="M2579" s="711">
        <f t="shared" si="10336"/>
        <v>0</v>
      </c>
      <c r="N2579" s="896" t="str">
        <f t="shared" ref="N2579" si="10402">IFERROR((M2580/M2579),"-")</f>
        <v>-</v>
      </c>
      <c r="O2579" s="528"/>
      <c r="P2579" s="547">
        <v>0</v>
      </c>
      <c r="Q2579" s="547">
        <v>0</v>
      </c>
      <c r="R2579" s="547">
        <v>0</v>
      </c>
      <c r="S2579" s="547">
        <v>0</v>
      </c>
      <c r="T2579" s="547">
        <v>0</v>
      </c>
      <c r="U2579" s="547">
        <v>0</v>
      </c>
      <c r="V2579" s="548">
        <v>0</v>
      </c>
      <c r="W2579" s="528"/>
      <c r="X2579" s="711">
        <f t="shared" si="10328"/>
        <v>0</v>
      </c>
      <c r="Y2579" s="896" t="str">
        <f t="shared" ref="Y2579" si="10403">IFERROR((X2580/X2579),"-")</f>
        <v>-</v>
      </c>
      <c r="Z2579" s="528"/>
      <c r="AA2579" s="898">
        <v>0</v>
      </c>
      <c r="AB2579" s="898">
        <v>0</v>
      </c>
      <c r="AC2579" s="903">
        <v>0</v>
      </c>
      <c r="AD2579" s="896" t="str">
        <f t="shared" ref="AD2579" si="10404">IFERROR((AC2579/AA2579),"-")</f>
        <v>-</v>
      </c>
      <c r="AE2579" s="2"/>
      <c r="AF2579" s="884">
        <v>0</v>
      </c>
      <c r="AG2579" s="884"/>
      <c r="AH2579" s="884">
        <v>0</v>
      </c>
      <c r="AI2579" s="884"/>
      <c r="AJ2579" s="884"/>
      <c r="AK2579" s="884">
        <f t="shared" ref="AK2579" si="10405">AF2579+AG2579+AH2579+AI2579+AJ2579+AC2579</f>
        <v>0</v>
      </c>
      <c r="AL2579" s="884">
        <v>0</v>
      </c>
      <c r="AM2579" s="878" t="str">
        <f t="shared" ref="AM2579" si="10406">IFERROR((AK2579/AL2579),"-")</f>
        <v>-</v>
      </c>
      <c r="AN2579" s="2"/>
      <c r="AO2579" s="884">
        <v>10.4</v>
      </c>
      <c r="AP2579" s="884">
        <f t="shared" ref="AP2579" si="10407">AO2579-AK2579</f>
        <v>10.4</v>
      </c>
      <c r="AV2579" s="4" t="str">
        <f t="shared" si="10363"/>
        <v xml:space="preserve">   Seg. 2.3-C08-Plataforma- Instalação de DSH01 - Seg.2.3 C 08 </v>
      </c>
      <c r="AW2579" s="4" t="str">
        <f t="shared" si="10361"/>
        <v xml:space="preserve">   Seg. 3.1- ADME 03 - Drenagem Superficial - Descida D´água</v>
      </c>
      <c r="AX2579" s="4"/>
    </row>
    <row r="2580" spans="1:50" ht="15.6" customHeight="1" outlineLevel="2">
      <c r="A2580" s="8" t="str">
        <f t="shared" ref="A2580" si="10408">A2579</f>
        <v>N</v>
      </c>
      <c r="B2580" s="150"/>
      <c r="C2580" s="150"/>
      <c r="D2580" s="120" t="s">
        <v>2056</v>
      </c>
      <c r="E2580" s="893"/>
      <c r="F2580" s="902"/>
      <c r="G2580" s="528"/>
      <c r="H2580" s="549" t="s">
        <v>38</v>
      </c>
      <c r="I2580" s="711">
        <v>0</v>
      </c>
      <c r="J2580" s="897"/>
      <c r="K2580" s="528"/>
      <c r="L2580" s="549" t="s">
        <v>38</v>
      </c>
      <c r="M2580" s="711">
        <f t="shared" si="10336"/>
        <v>0</v>
      </c>
      <c r="N2580" s="897"/>
      <c r="O2580" s="528"/>
      <c r="P2580" s="548">
        <v>0</v>
      </c>
      <c r="Q2580" s="548">
        <v>0</v>
      </c>
      <c r="R2580" s="548">
        <v>0</v>
      </c>
      <c r="S2580" s="548">
        <v>0</v>
      </c>
      <c r="T2580" s="548">
        <v>0</v>
      </c>
      <c r="U2580" s="548">
        <v>0</v>
      </c>
      <c r="V2580" s="548">
        <v>0</v>
      </c>
      <c r="W2580" s="528"/>
      <c r="X2580" s="711">
        <f t="shared" si="10328"/>
        <v>0</v>
      </c>
      <c r="Y2580" s="897"/>
      <c r="Z2580" s="528"/>
      <c r="AA2580" s="899"/>
      <c r="AB2580" s="899"/>
      <c r="AC2580" s="904"/>
      <c r="AD2580" s="905"/>
      <c r="AE2580" s="2"/>
      <c r="AF2580" s="885"/>
      <c r="AG2580" s="885"/>
      <c r="AH2580" s="885"/>
      <c r="AI2580" s="885"/>
      <c r="AJ2580" s="885"/>
      <c r="AK2580" s="885"/>
      <c r="AL2580" s="885"/>
      <c r="AM2580" s="879"/>
      <c r="AN2580" s="2"/>
      <c r="AO2580" s="886"/>
      <c r="AP2580" s="886"/>
      <c r="AV2580" s="4" t="str">
        <f t="shared" si="10363"/>
        <v xml:space="preserve">   Seg. 2.3-C08-Plataforma- Instalação de DSH01 - Seg.2.3 C 08 </v>
      </c>
      <c r="AW2580" s="4" t="str">
        <f t="shared" si="10361"/>
        <v xml:space="preserve">   Seg. 3.1- ADME 03 - Drenagem Superficial - Descida D´água</v>
      </c>
      <c r="AX2580" s="4"/>
    </row>
    <row r="2581" spans="1:50" ht="15.6" customHeight="1" outlineLevel="2">
      <c r="A2581" s="8" t="str">
        <f t="shared" ref="A2581" si="10409">IF(SUM(P2581:V2582)&gt;0,"S","N")</f>
        <v>N</v>
      </c>
      <c r="B2581" s="150">
        <v>1068781</v>
      </c>
      <c r="C2581" s="150" t="s">
        <v>2852</v>
      </c>
      <c r="D2581" s="120" t="s">
        <v>2077</v>
      </c>
      <c r="E2581" s="892" t="s">
        <v>2853</v>
      </c>
      <c r="F2581" s="902" t="s">
        <v>52</v>
      </c>
      <c r="G2581" s="528"/>
      <c r="H2581" s="546" t="s">
        <v>37</v>
      </c>
      <c r="I2581" s="711">
        <v>0</v>
      </c>
      <c r="J2581" s="896" t="str">
        <f t="shared" ref="J2581" si="10410">IFERROR((I2582/I2581),"-")</f>
        <v>-</v>
      </c>
      <c r="K2581" s="528"/>
      <c r="L2581" s="546" t="s">
        <v>37</v>
      </c>
      <c r="M2581" s="711">
        <f t="shared" si="10336"/>
        <v>0</v>
      </c>
      <c r="N2581" s="896" t="str">
        <f t="shared" ref="N2581" si="10411">IFERROR((M2582/M2581),"-")</f>
        <v>-</v>
      </c>
      <c r="O2581" s="528"/>
      <c r="P2581" s="547">
        <v>0</v>
      </c>
      <c r="Q2581" s="547">
        <v>0</v>
      </c>
      <c r="R2581" s="547">
        <v>0</v>
      </c>
      <c r="S2581" s="547">
        <v>0</v>
      </c>
      <c r="T2581" s="547">
        <v>0</v>
      </c>
      <c r="U2581" s="547">
        <v>0</v>
      </c>
      <c r="V2581" s="548">
        <v>0</v>
      </c>
      <c r="W2581" s="528"/>
      <c r="X2581" s="711">
        <f t="shared" si="10328"/>
        <v>0</v>
      </c>
      <c r="Y2581" s="896" t="str">
        <f t="shared" ref="Y2581" si="10412">IFERROR((X2582/X2581),"-")</f>
        <v>-</v>
      </c>
      <c r="Z2581" s="528"/>
      <c r="AA2581" s="898">
        <v>0</v>
      </c>
      <c r="AB2581" s="898">
        <v>0</v>
      </c>
      <c r="AC2581" s="903">
        <v>0</v>
      </c>
      <c r="AD2581" s="896" t="str">
        <f t="shared" ref="AD2581" si="10413">IFERROR((AC2581/AA2581),"-")</f>
        <v>-</v>
      </c>
      <c r="AE2581" s="2"/>
      <c r="AF2581" s="884">
        <v>0</v>
      </c>
      <c r="AG2581" s="884"/>
      <c r="AH2581" s="884">
        <v>0</v>
      </c>
      <c r="AI2581" s="884"/>
      <c r="AJ2581" s="884"/>
      <c r="AK2581" s="884">
        <f t="shared" ref="AK2581" si="10414">AF2581+AG2581+AH2581+AI2581+AJ2581+AC2581</f>
        <v>0</v>
      </c>
      <c r="AL2581" s="884">
        <v>0</v>
      </c>
      <c r="AM2581" s="878" t="str">
        <f t="shared" ref="AM2581" si="10415">IFERROR((AK2581/AL2581),"-")</f>
        <v>-</v>
      </c>
      <c r="AN2581" s="2"/>
      <c r="AO2581" s="884">
        <v>10.4</v>
      </c>
      <c r="AP2581" s="884">
        <f t="shared" ref="AP2581" si="10416">AO2581-AK2581</f>
        <v>10.4</v>
      </c>
      <c r="AV2581" s="4" t="str">
        <f t="shared" si="10363"/>
        <v xml:space="preserve">   Seg. 2.3-C08-Plataforma- Instalação de DSH01 - Seg.2.3 C 08 </v>
      </c>
      <c r="AW2581" s="4" t="str">
        <f t="shared" si="10361"/>
        <v xml:space="preserve">   Seg. 3.1- ADME 04 - Drenagem Superficial - Descida D´água</v>
      </c>
      <c r="AX2581" s="4"/>
    </row>
    <row r="2582" spans="1:50" ht="15.6" customHeight="1" outlineLevel="2">
      <c r="A2582" s="8" t="str">
        <f t="shared" ref="A2582" si="10417">A2581</f>
        <v>N</v>
      </c>
      <c r="B2582" s="150"/>
      <c r="C2582" s="150"/>
      <c r="D2582" s="120" t="s">
        <v>2077</v>
      </c>
      <c r="E2582" s="893"/>
      <c r="F2582" s="902"/>
      <c r="G2582" s="528"/>
      <c r="H2582" s="549" t="s">
        <v>38</v>
      </c>
      <c r="I2582" s="711">
        <v>0</v>
      </c>
      <c r="J2582" s="897"/>
      <c r="K2582" s="528"/>
      <c r="L2582" s="549" t="s">
        <v>38</v>
      </c>
      <c r="M2582" s="711">
        <f t="shared" si="10336"/>
        <v>0</v>
      </c>
      <c r="N2582" s="897"/>
      <c r="O2582" s="528"/>
      <c r="P2582" s="548">
        <v>0</v>
      </c>
      <c r="Q2582" s="548">
        <v>0</v>
      </c>
      <c r="R2582" s="548">
        <v>0</v>
      </c>
      <c r="S2582" s="548">
        <v>0</v>
      </c>
      <c r="T2582" s="548">
        <v>0</v>
      </c>
      <c r="U2582" s="548">
        <v>0</v>
      </c>
      <c r="V2582" s="548">
        <v>0</v>
      </c>
      <c r="W2582" s="528"/>
      <c r="X2582" s="711">
        <f t="shared" si="10328"/>
        <v>0</v>
      </c>
      <c r="Y2582" s="897"/>
      <c r="Z2582" s="528"/>
      <c r="AA2582" s="899"/>
      <c r="AB2582" s="899"/>
      <c r="AC2582" s="904"/>
      <c r="AD2582" s="905"/>
      <c r="AE2582" s="2"/>
      <c r="AF2582" s="885"/>
      <c r="AG2582" s="885"/>
      <c r="AH2582" s="885"/>
      <c r="AI2582" s="885"/>
      <c r="AJ2582" s="885"/>
      <c r="AK2582" s="885"/>
      <c r="AL2582" s="885"/>
      <c r="AM2582" s="879"/>
      <c r="AN2582" s="2"/>
      <c r="AO2582" s="886"/>
      <c r="AP2582" s="886"/>
      <c r="AV2582" s="4" t="str">
        <f t="shared" si="10363"/>
        <v xml:space="preserve">   Seg. 2.3-C08-Plataforma- Instalação de DSH01 - Seg.2.3 C 08 </v>
      </c>
      <c r="AW2582" s="4" t="str">
        <f t="shared" si="10361"/>
        <v xml:space="preserve">   Seg. 3.1- ADME 04 - Drenagem Superficial - Descida D´água</v>
      </c>
      <c r="AX2582" s="4"/>
    </row>
    <row r="2583" spans="1:50" ht="15.6" customHeight="1" outlineLevel="2">
      <c r="A2583" s="8" t="str">
        <f t="shared" ref="A2583" si="10418">IF(SUM(P2583:V2584)&gt;0,"S","N")</f>
        <v>N</v>
      </c>
      <c r="B2583" s="150">
        <v>1069351</v>
      </c>
      <c r="C2583" s="150" t="s">
        <v>2854</v>
      </c>
      <c r="D2583" s="120" t="s">
        <v>569</v>
      </c>
      <c r="E2583" s="892" t="s">
        <v>2855</v>
      </c>
      <c r="F2583" s="902" t="s">
        <v>52</v>
      </c>
      <c r="G2583" s="528"/>
      <c r="H2583" s="546" t="s">
        <v>37</v>
      </c>
      <c r="I2583" s="711">
        <v>0</v>
      </c>
      <c r="J2583" s="896" t="str">
        <f t="shared" ref="J2583" si="10419">IFERROR((I2584/I2583),"-")</f>
        <v>-</v>
      </c>
      <c r="K2583" s="528"/>
      <c r="L2583" s="546" t="s">
        <v>37</v>
      </c>
      <c r="M2583" s="711">
        <f t="shared" si="10336"/>
        <v>0</v>
      </c>
      <c r="N2583" s="896" t="str">
        <f t="shared" ref="N2583" si="10420">IFERROR((M2584/M2583),"-")</f>
        <v>-</v>
      </c>
      <c r="O2583" s="528"/>
      <c r="P2583" s="547">
        <v>0</v>
      </c>
      <c r="Q2583" s="547">
        <v>0</v>
      </c>
      <c r="R2583" s="547">
        <v>0</v>
      </c>
      <c r="S2583" s="547">
        <v>0</v>
      </c>
      <c r="T2583" s="547">
        <v>0</v>
      </c>
      <c r="U2583" s="547">
        <v>0</v>
      </c>
      <c r="V2583" s="548">
        <v>0</v>
      </c>
      <c r="W2583" s="528"/>
      <c r="X2583" s="711">
        <f t="shared" si="10328"/>
        <v>0</v>
      </c>
      <c r="Y2583" s="896" t="str">
        <f t="shared" ref="Y2583" si="10421">IFERROR((X2584/X2583),"-")</f>
        <v>-</v>
      </c>
      <c r="Z2583" s="528"/>
      <c r="AA2583" s="898">
        <v>0</v>
      </c>
      <c r="AB2583" s="898">
        <v>0</v>
      </c>
      <c r="AC2583" s="903">
        <v>0</v>
      </c>
      <c r="AD2583" s="896" t="str">
        <f t="shared" ref="AD2583" si="10422">IFERROR((AC2583/AA2583),"-")</f>
        <v>-</v>
      </c>
      <c r="AE2583" s="2"/>
      <c r="AF2583" s="884">
        <v>0</v>
      </c>
      <c r="AG2583" s="884"/>
      <c r="AH2583" s="884">
        <v>0</v>
      </c>
      <c r="AI2583" s="884"/>
      <c r="AJ2583" s="884"/>
      <c r="AK2583" s="884">
        <f t="shared" ref="AK2583" si="10423">AF2583+AG2583+AH2583+AI2583+AJ2583+AC2583</f>
        <v>0</v>
      </c>
      <c r="AL2583" s="884">
        <v>0</v>
      </c>
      <c r="AM2583" s="878" t="str">
        <f t="shared" ref="AM2583" si="10424">IFERROR((AK2583/AL2583),"-")</f>
        <v>-</v>
      </c>
      <c r="AN2583" s="2"/>
      <c r="AO2583" s="884">
        <v>22.4</v>
      </c>
      <c r="AP2583" s="884">
        <f t="shared" ref="AP2583" si="10425">AO2583-AK2583</f>
        <v>22.4</v>
      </c>
      <c r="AV2583" s="4" t="str">
        <f t="shared" si="10363"/>
        <v xml:space="preserve">   Seg. 2.3-C08-Plataforma- Instalação de DSH01 - Seg.2.3 C 08 </v>
      </c>
      <c r="AW2583" s="4" t="str">
        <f t="shared" si="10361"/>
        <v xml:space="preserve">   Seg. 3.1-C07 - Drenagem Superficial - Descida D´água</v>
      </c>
      <c r="AX2583" s="4"/>
    </row>
    <row r="2584" spans="1:50" ht="15.6" customHeight="1" outlineLevel="2">
      <c r="A2584" s="8" t="str">
        <f t="shared" ref="A2584" si="10426">A2583</f>
        <v>N</v>
      </c>
      <c r="B2584" s="150"/>
      <c r="C2584" s="150"/>
      <c r="D2584" s="120" t="s">
        <v>569</v>
      </c>
      <c r="E2584" s="893"/>
      <c r="F2584" s="902"/>
      <c r="G2584" s="528"/>
      <c r="H2584" s="549" t="s">
        <v>38</v>
      </c>
      <c r="I2584" s="711">
        <v>0</v>
      </c>
      <c r="J2584" s="897"/>
      <c r="K2584" s="528"/>
      <c r="L2584" s="549" t="s">
        <v>38</v>
      </c>
      <c r="M2584" s="711">
        <f t="shared" si="10336"/>
        <v>0</v>
      </c>
      <c r="N2584" s="897"/>
      <c r="O2584" s="528"/>
      <c r="P2584" s="548">
        <v>0</v>
      </c>
      <c r="Q2584" s="548">
        <v>0</v>
      </c>
      <c r="R2584" s="548">
        <v>0</v>
      </c>
      <c r="S2584" s="548">
        <v>0</v>
      </c>
      <c r="T2584" s="548">
        <v>0</v>
      </c>
      <c r="U2584" s="548">
        <v>0</v>
      </c>
      <c r="V2584" s="548">
        <v>0</v>
      </c>
      <c r="W2584" s="528"/>
      <c r="X2584" s="711">
        <f t="shared" si="10328"/>
        <v>0</v>
      </c>
      <c r="Y2584" s="897"/>
      <c r="Z2584" s="528"/>
      <c r="AA2584" s="899"/>
      <c r="AB2584" s="899"/>
      <c r="AC2584" s="904"/>
      <c r="AD2584" s="905"/>
      <c r="AE2584" s="2"/>
      <c r="AF2584" s="885"/>
      <c r="AG2584" s="885"/>
      <c r="AH2584" s="885"/>
      <c r="AI2584" s="885"/>
      <c r="AJ2584" s="885"/>
      <c r="AK2584" s="885"/>
      <c r="AL2584" s="885"/>
      <c r="AM2584" s="879"/>
      <c r="AN2584" s="2"/>
      <c r="AO2584" s="886"/>
      <c r="AP2584" s="886"/>
      <c r="AV2584" t="str">
        <f t="shared" si="10363"/>
        <v xml:space="preserve">   Seg. 2.3-C08-Plataforma- Instalação de DSH01 - Seg.2.3 C 08 </v>
      </c>
      <c r="AW2584" s="4" t="str">
        <f t="shared" si="10361"/>
        <v xml:space="preserve">   Seg. 3.1-C07 - Drenagem Superficial - Descida D´água</v>
      </c>
    </row>
    <row r="2585" spans="1:50" ht="23.25" customHeight="1" outlineLevel="2">
      <c r="A2585" s="8" t="str">
        <f t="shared" ref="A2585" si="10427">IF(SUM(P2585:V2586)&gt;0,"S","N")</f>
        <v>N</v>
      </c>
      <c r="B2585" s="150">
        <v>1069354</v>
      </c>
      <c r="C2585" s="150" t="s">
        <v>2856</v>
      </c>
      <c r="D2585" s="120" t="s">
        <v>588</v>
      </c>
      <c r="E2585" s="892" t="s">
        <v>2857</v>
      </c>
      <c r="F2585" s="902" t="s">
        <v>52</v>
      </c>
      <c r="G2585" s="528"/>
      <c r="H2585" s="546" t="s">
        <v>37</v>
      </c>
      <c r="I2585" s="711">
        <v>0</v>
      </c>
      <c r="J2585" s="896" t="str">
        <f t="shared" ref="J2585" si="10428">IFERROR((I2586/I2585),"-")</f>
        <v>-</v>
      </c>
      <c r="K2585" s="528"/>
      <c r="L2585" s="546" t="s">
        <v>37</v>
      </c>
      <c r="M2585" s="711">
        <f t="shared" si="10336"/>
        <v>0</v>
      </c>
      <c r="N2585" s="896" t="str">
        <f t="shared" ref="N2585" si="10429">IFERROR((M2586/M2585),"-")</f>
        <v>-</v>
      </c>
      <c r="O2585" s="528"/>
      <c r="P2585" s="547">
        <v>0</v>
      </c>
      <c r="Q2585" s="547">
        <v>0</v>
      </c>
      <c r="R2585" s="547">
        <v>0</v>
      </c>
      <c r="S2585" s="547">
        <v>0</v>
      </c>
      <c r="T2585" s="547">
        <v>0</v>
      </c>
      <c r="U2585" s="547">
        <v>0</v>
      </c>
      <c r="V2585" s="548">
        <v>0</v>
      </c>
      <c r="W2585" s="528"/>
      <c r="X2585" s="711">
        <f t="shared" si="10328"/>
        <v>0</v>
      </c>
      <c r="Y2585" s="896" t="str">
        <f t="shared" ref="Y2585" si="10430">IFERROR((X2586/X2585),"-")</f>
        <v>-</v>
      </c>
      <c r="Z2585" s="528"/>
      <c r="AA2585" s="898">
        <v>0</v>
      </c>
      <c r="AB2585" s="898">
        <v>0</v>
      </c>
      <c r="AC2585" s="903">
        <v>0</v>
      </c>
      <c r="AD2585" s="896" t="str">
        <f t="shared" ref="AD2585" si="10431">IFERROR((AC2585/AA2585),"-")</f>
        <v>-</v>
      </c>
      <c r="AE2585" s="2"/>
      <c r="AF2585" s="884">
        <v>0</v>
      </c>
      <c r="AG2585" s="884"/>
      <c r="AH2585" s="884">
        <v>0</v>
      </c>
      <c r="AI2585" s="884"/>
      <c r="AJ2585" s="884"/>
      <c r="AK2585" s="884">
        <f t="shared" ref="AK2585" si="10432">AF2585+AG2585+AH2585+AI2585+AJ2585+AC2585</f>
        <v>0</v>
      </c>
      <c r="AL2585" s="884">
        <v>0</v>
      </c>
      <c r="AM2585" s="878" t="str">
        <f t="shared" ref="AM2585" si="10433">IFERROR((AK2585/AL2585),"-")</f>
        <v>-</v>
      </c>
      <c r="AN2585" s="2"/>
      <c r="AO2585" s="884">
        <v>28.5</v>
      </c>
      <c r="AP2585" s="884">
        <f t="shared" ref="AP2585" si="10434">AO2585-AK2585</f>
        <v>28.5</v>
      </c>
      <c r="AV2585" s="4" t="str">
        <f t="shared" si="10363"/>
        <v xml:space="preserve">   Seg. 2.3-C08-Plataforma- Instalação de DSH01 - Seg.2.3 C 08 </v>
      </c>
      <c r="AW2585" s="4" t="str">
        <f t="shared" si="10361"/>
        <v xml:space="preserve">   Seg.3.1-A01 - Drenagem Superficial - Descida D´água</v>
      </c>
      <c r="AX2585" s="4"/>
    </row>
    <row r="2586" spans="1:50" ht="23.25" customHeight="1" outlineLevel="2">
      <c r="A2586" s="8" t="str">
        <f t="shared" ref="A2586" si="10435">A2585</f>
        <v>N</v>
      </c>
      <c r="B2586" s="150"/>
      <c r="C2586" s="150"/>
      <c r="D2586" s="120" t="s">
        <v>588</v>
      </c>
      <c r="E2586" s="893"/>
      <c r="F2586" s="902"/>
      <c r="G2586" s="528"/>
      <c r="H2586" s="549" t="s">
        <v>38</v>
      </c>
      <c r="I2586" s="711">
        <v>0</v>
      </c>
      <c r="J2586" s="897"/>
      <c r="K2586" s="528"/>
      <c r="L2586" s="549" t="s">
        <v>38</v>
      </c>
      <c r="M2586" s="711">
        <f t="shared" si="10336"/>
        <v>0</v>
      </c>
      <c r="N2586" s="897"/>
      <c r="O2586" s="528"/>
      <c r="P2586" s="548">
        <v>0</v>
      </c>
      <c r="Q2586" s="548">
        <v>0</v>
      </c>
      <c r="R2586" s="548">
        <v>0</v>
      </c>
      <c r="S2586" s="548">
        <v>0</v>
      </c>
      <c r="T2586" s="548">
        <v>0</v>
      </c>
      <c r="U2586" s="548">
        <v>0</v>
      </c>
      <c r="V2586" s="548">
        <v>0</v>
      </c>
      <c r="W2586" s="528"/>
      <c r="X2586" s="711">
        <f t="shared" si="10328"/>
        <v>0</v>
      </c>
      <c r="Y2586" s="897"/>
      <c r="Z2586" s="528"/>
      <c r="AA2586" s="899"/>
      <c r="AB2586" s="899"/>
      <c r="AC2586" s="904"/>
      <c r="AD2586" s="905"/>
      <c r="AE2586" s="2"/>
      <c r="AF2586" s="885"/>
      <c r="AG2586" s="885"/>
      <c r="AH2586" s="885"/>
      <c r="AI2586" s="885"/>
      <c r="AJ2586" s="885"/>
      <c r="AK2586" s="885"/>
      <c r="AL2586" s="885"/>
      <c r="AM2586" s="879"/>
      <c r="AN2586" s="2"/>
      <c r="AO2586" s="886"/>
      <c r="AP2586" s="886"/>
      <c r="AV2586" t="str">
        <f t="shared" si="10363"/>
        <v xml:space="preserve">   Seg. 2.3-C08-Plataforma- Instalação de DSH01 - Seg.2.3 C 08 </v>
      </c>
      <c r="AW2586" s="4" t="str">
        <f t="shared" si="10361"/>
        <v xml:space="preserve">   Seg.3.1-A01 - Drenagem Superficial - Descida D´água</v>
      </c>
    </row>
    <row r="2587" spans="1:50" ht="15.6" customHeight="1" outlineLevel="2">
      <c r="A2587" s="8" t="str">
        <f t="shared" ref="A2587" si="10436">IF(SUM(P2587:V2588)&gt;0,"S","N")</f>
        <v>N</v>
      </c>
      <c r="B2587" s="150">
        <v>1069357</v>
      </c>
      <c r="C2587" s="150" t="s">
        <v>2858</v>
      </c>
      <c r="D2587" s="120" t="s">
        <v>1313</v>
      </c>
      <c r="E2587" s="892" t="s">
        <v>2859</v>
      </c>
      <c r="F2587" s="902" t="s">
        <v>52</v>
      </c>
      <c r="G2587" s="528"/>
      <c r="H2587" s="546" t="s">
        <v>37</v>
      </c>
      <c r="I2587" s="711">
        <v>0</v>
      </c>
      <c r="J2587" s="896" t="str">
        <f t="shared" ref="J2587" si="10437">IFERROR((I2588/I2587),"-")</f>
        <v>-</v>
      </c>
      <c r="K2587" s="528"/>
      <c r="L2587" s="546" t="s">
        <v>37</v>
      </c>
      <c r="M2587" s="711">
        <f t="shared" si="10336"/>
        <v>0</v>
      </c>
      <c r="N2587" s="896" t="str">
        <f t="shared" ref="N2587" si="10438">IFERROR((M2588/M2587),"-")</f>
        <v>-</v>
      </c>
      <c r="O2587" s="528"/>
      <c r="P2587" s="547">
        <v>0</v>
      </c>
      <c r="Q2587" s="547">
        <v>0</v>
      </c>
      <c r="R2587" s="547">
        <v>0</v>
      </c>
      <c r="S2587" s="547">
        <v>0</v>
      </c>
      <c r="T2587" s="547">
        <v>0</v>
      </c>
      <c r="U2587" s="547">
        <v>0</v>
      </c>
      <c r="V2587" s="548">
        <v>0</v>
      </c>
      <c r="W2587" s="528"/>
      <c r="X2587" s="711">
        <f t="shared" si="10328"/>
        <v>0</v>
      </c>
      <c r="Y2587" s="896" t="str">
        <f t="shared" ref="Y2587" si="10439">IFERROR((X2588/X2587),"-")</f>
        <v>-</v>
      </c>
      <c r="Z2587" s="528"/>
      <c r="AA2587" s="898">
        <v>0</v>
      </c>
      <c r="AB2587" s="898">
        <v>0</v>
      </c>
      <c r="AC2587" s="903">
        <v>0</v>
      </c>
      <c r="AD2587" s="896" t="str">
        <f t="shared" ref="AD2587" si="10440">IFERROR((AC2587/AA2587),"-")</f>
        <v>-</v>
      </c>
      <c r="AE2587" s="2"/>
      <c r="AF2587" s="884">
        <v>0</v>
      </c>
      <c r="AG2587" s="884"/>
      <c r="AH2587" s="884">
        <v>0</v>
      </c>
      <c r="AI2587" s="884"/>
      <c r="AJ2587" s="884"/>
      <c r="AK2587" s="884">
        <f t="shared" ref="AK2587" si="10441">AF2587+AG2587+AH2587+AI2587+AJ2587+AC2587</f>
        <v>0</v>
      </c>
      <c r="AL2587" s="884">
        <v>0</v>
      </c>
      <c r="AM2587" s="878" t="str">
        <f t="shared" ref="AM2587" si="10442">IFERROR((AK2587/AL2587),"-")</f>
        <v>-</v>
      </c>
      <c r="AN2587" s="2"/>
      <c r="AO2587" s="884">
        <v>5.4</v>
      </c>
      <c r="AP2587" s="884">
        <f t="shared" ref="AP2587" si="10443">AO2587-AK2587</f>
        <v>5.4</v>
      </c>
      <c r="AV2587" t="str">
        <f t="shared" si="10363"/>
        <v xml:space="preserve">   Seg. 2.3-C08-Plataforma- Instalação de DSH01 - Seg.2.3 C 08 </v>
      </c>
      <c r="AW2587" s="4" t="str">
        <f t="shared" si="10361"/>
        <v xml:space="preserve">   Seg.3.1-A06 - Drenagem Superficial - Descida D´água</v>
      </c>
    </row>
    <row r="2588" spans="1:50" ht="15.6" customHeight="1" outlineLevel="2">
      <c r="A2588" s="8" t="str">
        <f t="shared" ref="A2588" si="10444">A2587</f>
        <v>N</v>
      </c>
      <c r="B2588" s="150"/>
      <c r="C2588" s="150"/>
      <c r="D2588" s="120" t="s">
        <v>1313</v>
      </c>
      <c r="E2588" s="893"/>
      <c r="F2588" s="902"/>
      <c r="G2588" s="528"/>
      <c r="H2588" s="549" t="s">
        <v>38</v>
      </c>
      <c r="I2588" s="711">
        <v>0</v>
      </c>
      <c r="J2588" s="897"/>
      <c r="K2588" s="528"/>
      <c r="L2588" s="549" t="s">
        <v>38</v>
      </c>
      <c r="M2588" s="711">
        <f t="shared" si="10336"/>
        <v>0</v>
      </c>
      <c r="N2588" s="897"/>
      <c r="O2588" s="528"/>
      <c r="P2588" s="548">
        <v>0</v>
      </c>
      <c r="Q2588" s="548">
        <v>0</v>
      </c>
      <c r="R2588" s="548">
        <v>0</v>
      </c>
      <c r="S2588" s="548">
        <v>0</v>
      </c>
      <c r="T2588" s="548">
        <v>0</v>
      </c>
      <c r="U2588" s="548">
        <v>0</v>
      </c>
      <c r="V2588" s="548">
        <v>0</v>
      </c>
      <c r="W2588" s="528"/>
      <c r="X2588" s="711">
        <f t="shared" si="10328"/>
        <v>0</v>
      </c>
      <c r="Y2588" s="897"/>
      <c r="Z2588" s="528"/>
      <c r="AA2588" s="899"/>
      <c r="AB2588" s="899"/>
      <c r="AC2588" s="904"/>
      <c r="AD2588" s="905"/>
      <c r="AE2588" s="2"/>
      <c r="AF2588" s="885"/>
      <c r="AG2588" s="885"/>
      <c r="AH2588" s="885"/>
      <c r="AI2588" s="885"/>
      <c r="AJ2588" s="885"/>
      <c r="AK2588" s="885"/>
      <c r="AL2588" s="885"/>
      <c r="AM2588" s="879"/>
      <c r="AN2588" s="2"/>
      <c r="AO2588" s="886"/>
      <c r="AP2588" s="886"/>
      <c r="AV2588" t="str">
        <f t="shared" si="10363"/>
        <v xml:space="preserve">   Seg. 2.3-C08-Plataforma- Instalação de DSH01 - Seg.2.3 C 08 </v>
      </c>
      <c r="AW2588" s="4" t="str">
        <f t="shared" si="10361"/>
        <v xml:space="preserve">   Seg.3.1-A06 - Drenagem Superficial - Descida D´água</v>
      </c>
    </row>
    <row r="2589" spans="1:50" ht="15.6" customHeight="1" outlineLevel="2">
      <c r="A2589" s="8" t="str">
        <f t="shared" ref="A2589" si="10445">IF(SUM(P2589:V2590)&gt;0,"S","N")</f>
        <v>N</v>
      </c>
      <c r="B2589" s="150">
        <v>1069406</v>
      </c>
      <c r="C2589" s="150" t="s">
        <v>2860</v>
      </c>
      <c r="D2589" s="120" t="s">
        <v>2061</v>
      </c>
      <c r="E2589" s="892" t="s">
        <v>2861</v>
      </c>
      <c r="F2589" s="902" t="s">
        <v>52</v>
      </c>
      <c r="G2589" s="528"/>
      <c r="H2589" s="546" t="s">
        <v>37</v>
      </c>
      <c r="I2589" s="711">
        <v>0</v>
      </c>
      <c r="J2589" s="896" t="str">
        <f t="shared" ref="J2589" si="10446">IFERROR((I2590/I2589),"-")</f>
        <v>-</v>
      </c>
      <c r="K2589" s="528"/>
      <c r="L2589" s="546" t="s">
        <v>37</v>
      </c>
      <c r="M2589" s="711">
        <f t="shared" si="10336"/>
        <v>0</v>
      </c>
      <c r="N2589" s="896" t="str">
        <f t="shared" ref="N2589" si="10447">IFERROR((M2590/M2589),"-")</f>
        <v>-</v>
      </c>
      <c r="O2589" s="528"/>
      <c r="P2589" s="547">
        <v>0</v>
      </c>
      <c r="Q2589" s="547">
        <v>0</v>
      </c>
      <c r="R2589" s="547">
        <v>0</v>
      </c>
      <c r="S2589" s="547">
        <v>0</v>
      </c>
      <c r="T2589" s="547">
        <v>0</v>
      </c>
      <c r="U2589" s="547">
        <v>0</v>
      </c>
      <c r="V2589" s="548">
        <v>0</v>
      </c>
      <c r="W2589" s="528"/>
      <c r="X2589" s="711">
        <f t="shared" si="10328"/>
        <v>0</v>
      </c>
      <c r="Y2589" s="896" t="str">
        <f t="shared" ref="Y2589" si="10448">IFERROR((X2590/X2589),"-")</f>
        <v>-</v>
      </c>
      <c r="Z2589" s="528"/>
      <c r="AA2589" s="898">
        <v>0</v>
      </c>
      <c r="AB2589" s="898">
        <v>0</v>
      </c>
      <c r="AC2589" s="903">
        <v>0</v>
      </c>
      <c r="AD2589" s="896" t="str">
        <f t="shared" ref="AD2589" si="10449">IFERROR((AC2589/AA2589),"-")</f>
        <v>-</v>
      </c>
      <c r="AE2589" s="2"/>
      <c r="AF2589" s="884">
        <v>0</v>
      </c>
      <c r="AG2589" s="884"/>
      <c r="AH2589" s="884">
        <v>0</v>
      </c>
      <c r="AI2589" s="884"/>
      <c r="AJ2589" s="884"/>
      <c r="AK2589" s="884">
        <f t="shared" ref="AK2589" si="10450">AF2589+AG2589+AH2589+AI2589+AJ2589+AC2589</f>
        <v>0</v>
      </c>
      <c r="AL2589" s="884">
        <v>0</v>
      </c>
      <c r="AM2589" s="878" t="str">
        <f t="shared" ref="AM2589" si="10451">IFERROR((AK2589/AL2589),"-")</f>
        <v>-</v>
      </c>
      <c r="AN2589" s="2"/>
      <c r="AO2589" s="884">
        <v>27.8</v>
      </c>
      <c r="AP2589" s="884">
        <f t="shared" ref="AP2589" si="10452">AO2589-AK2589</f>
        <v>27.8</v>
      </c>
      <c r="AV2589" t="str">
        <f t="shared" si="10363"/>
        <v xml:space="preserve">   Seg. 2.3-C08-Plataforma- Instalação de DSH01 - Seg.2.3 C 08 </v>
      </c>
      <c r="AW2589" s="4" t="str">
        <f t="shared" si="10361"/>
        <v xml:space="preserve">   Seg. 3.1- ADME 05 - Drenagem Superficial - Descida D´água</v>
      </c>
    </row>
    <row r="2590" spans="1:50" ht="15.6" customHeight="1" outlineLevel="2">
      <c r="A2590" s="8" t="str">
        <f t="shared" ref="A2590" si="10453">A2589</f>
        <v>N</v>
      </c>
      <c r="B2590" s="150"/>
      <c r="C2590" s="150"/>
      <c r="D2590" s="120" t="s">
        <v>2061</v>
      </c>
      <c r="E2590" s="893"/>
      <c r="F2590" s="902"/>
      <c r="G2590" s="528"/>
      <c r="H2590" s="549" t="s">
        <v>38</v>
      </c>
      <c r="I2590" s="711">
        <v>0</v>
      </c>
      <c r="J2590" s="897"/>
      <c r="K2590" s="528"/>
      <c r="L2590" s="549" t="s">
        <v>38</v>
      </c>
      <c r="M2590" s="711">
        <f t="shared" si="10336"/>
        <v>0</v>
      </c>
      <c r="N2590" s="897"/>
      <c r="O2590" s="528"/>
      <c r="P2590" s="548">
        <v>0</v>
      </c>
      <c r="Q2590" s="548">
        <v>0</v>
      </c>
      <c r="R2590" s="548">
        <v>0</v>
      </c>
      <c r="S2590" s="548">
        <v>0</v>
      </c>
      <c r="T2590" s="548">
        <v>0</v>
      </c>
      <c r="U2590" s="548">
        <v>0</v>
      </c>
      <c r="V2590" s="548">
        <v>0</v>
      </c>
      <c r="W2590" s="528"/>
      <c r="X2590" s="711">
        <f t="shared" si="10328"/>
        <v>0</v>
      </c>
      <c r="Y2590" s="897"/>
      <c r="Z2590" s="528"/>
      <c r="AA2590" s="899"/>
      <c r="AB2590" s="899"/>
      <c r="AC2590" s="904"/>
      <c r="AD2590" s="905"/>
      <c r="AE2590" s="2"/>
      <c r="AF2590" s="885"/>
      <c r="AG2590" s="885"/>
      <c r="AH2590" s="885"/>
      <c r="AI2590" s="885"/>
      <c r="AJ2590" s="885"/>
      <c r="AK2590" s="885"/>
      <c r="AL2590" s="885"/>
      <c r="AM2590" s="879"/>
      <c r="AN2590" s="2"/>
      <c r="AO2590" s="886"/>
      <c r="AP2590" s="886"/>
      <c r="AV2590" t="str">
        <f t="shared" si="10363"/>
        <v xml:space="preserve">   Seg. 2.3-C08-Plataforma- Instalação de DSH01 - Seg.2.3 C 08 </v>
      </c>
      <c r="AW2590" s="4" t="str">
        <f t="shared" si="10361"/>
        <v xml:space="preserve">   Seg. 3.1- ADME 05 - Drenagem Superficial - Descida D´água</v>
      </c>
    </row>
    <row r="2591" spans="1:50" ht="29.25" customHeight="1" outlineLevel="2" collapsed="1">
      <c r="A2591" s="8" t="str">
        <f t="shared" ref="A2591" si="10454">IF(SUM(P2591:V2592)&gt;0,"S","N")</f>
        <v>N</v>
      </c>
      <c r="B2591" s="150">
        <v>1069412</v>
      </c>
      <c r="C2591" s="150" t="s">
        <v>2862</v>
      </c>
      <c r="D2591" s="120" t="s">
        <v>2083</v>
      </c>
      <c r="E2591" s="892" t="s">
        <v>2863</v>
      </c>
      <c r="F2591" s="902" t="s">
        <v>52</v>
      </c>
      <c r="G2591" s="528"/>
      <c r="H2591" s="546" t="s">
        <v>37</v>
      </c>
      <c r="I2591" s="711">
        <v>0</v>
      </c>
      <c r="J2591" s="896" t="str">
        <f t="shared" ref="J2591" si="10455">IFERROR((I2592/I2591),"-")</f>
        <v>-</v>
      </c>
      <c r="K2591" s="528"/>
      <c r="L2591" s="546" t="s">
        <v>37</v>
      </c>
      <c r="M2591" s="711">
        <f t="shared" si="10336"/>
        <v>0</v>
      </c>
      <c r="N2591" s="896" t="str">
        <f t="shared" ref="N2591" si="10456">IFERROR((M2592/M2591),"-")</f>
        <v>-</v>
      </c>
      <c r="O2591" s="528"/>
      <c r="P2591" s="547">
        <v>0</v>
      </c>
      <c r="Q2591" s="547">
        <v>0</v>
      </c>
      <c r="R2591" s="547">
        <v>0</v>
      </c>
      <c r="S2591" s="547">
        <v>0</v>
      </c>
      <c r="T2591" s="547">
        <v>0</v>
      </c>
      <c r="U2591" s="547">
        <v>0</v>
      </c>
      <c r="V2591" s="548">
        <v>0</v>
      </c>
      <c r="W2591" s="528"/>
      <c r="X2591" s="711">
        <f t="shared" si="10328"/>
        <v>0</v>
      </c>
      <c r="Y2591" s="896" t="str">
        <f t="shared" ref="Y2591" si="10457">IFERROR((X2592/X2591),"-")</f>
        <v>-</v>
      </c>
      <c r="Z2591" s="528"/>
      <c r="AA2591" s="898">
        <v>0</v>
      </c>
      <c r="AB2591" s="898">
        <v>0</v>
      </c>
      <c r="AC2591" s="903">
        <v>0</v>
      </c>
      <c r="AD2591" s="896" t="str">
        <f t="shared" ref="AD2591" si="10458">IFERROR((AC2591/AA2591),"-")</f>
        <v>-</v>
      </c>
      <c r="AE2591" s="2"/>
      <c r="AF2591" s="884">
        <v>0</v>
      </c>
      <c r="AG2591" s="884"/>
      <c r="AH2591" s="884">
        <v>0</v>
      </c>
      <c r="AI2591" s="884"/>
      <c r="AJ2591" s="884"/>
      <c r="AK2591" s="884">
        <f t="shared" ref="AK2591" si="10459">AF2591+AG2591+AH2591+AI2591+AJ2591+AC2591</f>
        <v>0</v>
      </c>
      <c r="AL2591" s="884">
        <v>0</v>
      </c>
      <c r="AM2591" s="878" t="str">
        <f t="shared" ref="AM2591" si="10460">IFERROR((AK2591/AL2591),"-")</f>
        <v>-</v>
      </c>
      <c r="AN2591" s="2"/>
      <c r="AO2591" s="884">
        <v>9.9</v>
      </c>
      <c r="AP2591" s="884">
        <f t="shared" ref="AP2591" si="10461">AO2591-AK2591</f>
        <v>9.9</v>
      </c>
      <c r="AV2591" s="4" t="str">
        <f t="shared" si="10363"/>
        <v xml:space="preserve">   Seg. 2.3-C08-Plataforma- Instalação de DSH01 - Seg.2.3 C 08 </v>
      </c>
      <c r="AW2591" s="4" t="str">
        <f t="shared" si="10361"/>
        <v xml:space="preserve">   Seg. 3.1- ADME 07 - Drenagem Superficial - Descida D´água</v>
      </c>
      <c r="AX2591" s="4"/>
    </row>
    <row r="2592" spans="1:50" ht="29.25" customHeight="1" outlineLevel="2">
      <c r="A2592" s="8" t="str">
        <f t="shared" ref="A2592" si="10462">A2591</f>
        <v>N</v>
      </c>
      <c r="B2592" s="150"/>
      <c r="C2592" s="150"/>
      <c r="D2592" s="120" t="s">
        <v>2083</v>
      </c>
      <c r="E2592" s="893"/>
      <c r="F2592" s="902"/>
      <c r="G2592" s="528"/>
      <c r="H2592" s="549" t="s">
        <v>38</v>
      </c>
      <c r="I2592" s="711">
        <v>0</v>
      </c>
      <c r="J2592" s="897"/>
      <c r="K2592" s="528"/>
      <c r="L2592" s="549" t="s">
        <v>38</v>
      </c>
      <c r="M2592" s="711">
        <f t="shared" si="10336"/>
        <v>0</v>
      </c>
      <c r="N2592" s="897"/>
      <c r="O2592" s="528"/>
      <c r="P2592" s="548">
        <v>0</v>
      </c>
      <c r="Q2592" s="548">
        <v>0</v>
      </c>
      <c r="R2592" s="548">
        <v>0</v>
      </c>
      <c r="S2592" s="548">
        <v>0</v>
      </c>
      <c r="T2592" s="548">
        <v>0</v>
      </c>
      <c r="U2592" s="548">
        <v>0</v>
      </c>
      <c r="V2592" s="548">
        <v>0</v>
      </c>
      <c r="W2592" s="528"/>
      <c r="X2592" s="711">
        <f t="shared" si="10328"/>
        <v>0</v>
      </c>
      <c r="Y2592" s="897"/>
      <c r="Z2592" s="528"/>
      <c r="AA2592" s="899"/>
      <c r="AB2592" s="899"/>
      <c r="AC2592" s="904"/>
      <c r="AD2592" s="905"/>
      <c r="AE2592" s="2"/>
      <c r="AF2592" s="885"/>
      <c r="AG2592" s="885"/>
      <c r="AH2592" s="885"/>
      <c r="AI2592" s="885"/>
      <c r="AJ2592" s="885"/>
      <c r="AK2592" s="885"/>
      <c r="AL2592" s="885"/>
      <c r="AM2592" s="879"/>
      <c r="AN2592" s="2"/>
      <c r="AO2592" s="886"/>
      <c r="AP2592" s="886"/>
      <c r="AV2592" t="str">
        <f t="shared" si="10363"/>
        <v xml:space="preserve">   Seg. 2.3-C08-Plataforma- Instalação de DSH01 - Seg.2.3 C 08 </v>
      </c>
      <c r="AW2592" s="4" t="str">
        <f t="shared" si="10361"/>
        <v xml:space="preserve">   Seg. 3.1- ADME 07 - Drenagem Superficial - Descida D´água</v>
      </c>
    </row>
    <row r="2593" spans="1:50" ht="15.6" customHeight="1" outlineLevel="2">
      <c r="A2593" s="8" t="str">
        <f t="shared" ref="A2593" si="10463">IF(SUM(P2593:V2594)&gt;0,"S","N")</f>
        <v>N</v>
      </c>
      <c r="B2593" s="150">
        <v>1069416</v>
      </c>
      <c r="C2593" s="150" t="s">
        <v>2864</v>
      </c>
      <c r="D2593" s="120" t="s">
        <v>2086</v>
      </c>
      <c r="E2593" s="892" t="s">
        <v>2865</v>
      </c>
      <c r="F2593" s="902" t="s">
        <v>52</v>
      </c>
      <c r="G2593" s="528"/>
      <c r="H2593" s="546" t="s">
        <v>37</v>
      </c>
      <c r="I2593" s="711">
        <v>0</v>
      </c>
      <c r="J2593" s="896" t="str">
        <f t="shared" ref="J2593" si="10464">IFERROR((I2594/I2593),"-")</f>
        <v>-</v>
      </c>
      <c r="K2593" s="528"/>
      <c r="L2593" s="546" t="s">
        <v>37</v>
      </c>
      <c r="M2593" s="711">
        <f t="shared" si="10336"/>
        <v>0</v>
      </c>
      <c r="N2593" s="896" t="str">
        <f t="shared" ref="N2593" si="10465">IFERROR((M2594/M2593),"-")</f>
        <v>-</v>
      </c>
      <c r="O2593" s="528"/>
      <c r="P2593" s="547">
        <v>0</v>
      </c>
      <c r="Q2593" s="547">
        <v>0</v>
      </c>
      <c r="R2593" s="547">
        <v>0</v>
      </c>
      <c r="S2593" s="547">
        <v>0</v>
      </c>
      <c r="T2593" s="547">
        <v>0</v>
      </c>
      <c r="U2593" s="547">
        <v>0</v>
      </c>
      <c r="V2593" s="548">
        <v>0</v>
      </c>
      <c r="W2593" s="528"/>
      <c r="X2593" s="711">
        <f t="shared" si="10328"/>
        <v>0</v>
      </c>
      <c r="Y2593" s="896" t="str">
        <f t="shared" ref="Y2593" si="10466">IFERROR((X2594/X2593),"-")</f>
        <v>-</v>
      </c>
      <c r="Z2593" s="528"/>
      <c r="AA2593" s="898">
        <v>0</v>
      </c>
      <c r="AB2593" s="898">
        <v>0</v>
      </c>
      <c r="AC2593" s="903">
        <v>0</v>
      </c>
      <c r="AD2593" s="896" t="str">
        <f t="shared" ref="AD2593" si="10467">IFERROR((AC2593/AA2593),"-")</f>
        <v>-</v>
      </c>
      <c r="AE2593" s="2"/>
      <c r="AF2593" s="884">
        <v>0</v>
      </c>
      <c r="AG2593" s="884"/>
      <c r="AH2593" s="884">
        <v>0</v>
      </c>
      <c r="AI2593" s="884"/>
      <c r="AJ2593" s="884"/>
      <c r="AK2593" s="884">
        <f t="shared" ref="AK2593" si="10468">AF2593+AG2593+AH2593+AI2593+AJ2593+AC2593</f>
        <v>0</v>
      </c>
      <c r="AL2593" s="884">
        <v>0</v>
      </c>
      <c r="AM2593" s="878" t="str">
        <f t="shared" ref="AM2593" si="10469">IFERROR((AK2593/AL2593),"-")</f>
        <v>-</v>
      </c>
      <c r="AN2593" s="2"/>
      <c r="AO2593" s="884">
        <v>20.7</v>
      </c>
      <c r="AP2593" s="884">
        <f t="shared" ref="AP2593" si="10470">AO2593-AK2593</f>
        <v>20.7</v>
      </c>
      <c r="AV2593" t="str">
        <f t="shared" si="10363"/>
        <v xml:space="preserve">   Seg. 2.3-C08-Plataforma- Instalação de DSH01 - Seg.2.3 C 08 </v>
      </c>
      <c r="AW2593" s="4" t="str">
        <f t="shared" si="10361"/>
        <v xml:space="preserve">   Seg. 3.1- ADME 08 - Drenagem Superficial - Descida D´água</v>
      </c>
    </row>
    <row r="2594" spans="1:50" ht="28.35" customHeight="1" outlineLevel="2">
      <c r="A2594" s="8" t="str">
        <f t="shared" ref="A2594" si="10471">A2593</f>
        <v>N</v>
      </c>
      <c r="B2594" s="150"/>
      <c r="C2594" s="150"/>
      <c r="D2594" s="120" t="s">
        <v>2086</v>
      </c>
      <c r="E2594" s="893"/>
      <c r="F2594" s="902"/>
      <c r="G2594" s="528"/>
      <c r="H2594" s="549" t="s">
        <v>38</v>
      </c>
      <c r="I2594" s="711">
        <v>0</v>
      </c>
      <c r="J2594" s="897"/>
      <c r="K2594" s="528"/>
      <c r="L2594" s="549" t="s">
        <v>38</v>
      </c>
      <c r="M2594" s="711">
        <f t="shared" si="10336"/>
        <v>0</v>
      </c>
      <c r="N2594" s="897"/>
      <c r="O2594" s="528"/>
      <c r="P2594" s="548">
        <v>0</v>
      </c>
      <c r="Q2594" s="548">
        <v>0</v>
      </c>
      <c r="R2594" s="548">
        <v>0</v>
      </c>
      <c r="S2594" s="548">
        <v>0</v>
      </c>
      <c r="T2594" s="548">
        <v>0</v>
      </c>
      <c r="U2594" s="548">
        <v>0</v>
      </c>
      <c r="V2594" s="548">
        <v>0</v>
      </c>
      <c r="W2594" s="528"/>
      <c r="X2594" s="711">
        <f t="shared" si="10328"/>
        <v>0</v>
      </c>
      <c r="Y2594" s="897"/>
      <c r="Z2594" s="528"/>
      <c r="AA2594" s="899"/>
      <c r="AB2594" s="899"/>
      <c r="AC2594" s="904"/>
      <c r="AD2594" s="905"/>
      <c r="AE2594" s="2"/>
      <c r="AF2594" s="885"/>
      <c r="AG2594" s="885"/>
      <c r="AH2594" s="885"/>
      <c r="AI2594" s="885"/>
      <c r="AJ2594" s="885"/>
      <c r="AK2594" s="885"/>
      <c r="AL2594" s="885"/>
      <c r="AM2594" s="879"/>
      <c r="AN2594" s="2"/>
      <c r="AO2594" s="886"/>
      <c r="AP2594" s="886"/>
      <c r="AV2594" t="str">
        <f t="shared" si="10363"/>
        <v xml:space="preserve">   Seg. 2.3-C08-Plataforma- Instalação de DSH01 - Seg.2.3 C 08 </v>
      </c>
      <c r="AW2594" s="4" t="str">
        <f t="shared" si="10361"/>
        <v xml:space="preserve">   Seg. 3.1- ADME 08 - Drenagem Superficial - Descida D´água</v>
      </c>
    </row>
    <row r="2595" spans="1:50" ht="19.7" customHeight="1" outlineLevel="2">
      <c r="A2595" s="8" t="str">
        <f t="shared" ref="A2595" si="10472">IF(SUM(P2595:V2596)&gt;0,"S","N")</f>
        <v>N</v>
      </c>
      <c r="B2595" s="150">
        <v>1069420</v>
      </c>
      <c r="C2595" s="150" t="s">
        <v>2866</v>
      </c>
      <c r="D2595" s="120" t="s">
        <v>2089</v>
      </c>
      <c r="E2595" s="892" t="s">
        <v>2867</v>
      </c>
      <c r="F2595" s="902" t="s">
        <v>52</v>
      </c>
      <c r="G2595" s="528"/>
      <c r="H2595" s="546" t="s">
        <v>37</v>
      </c>
      <c r="I2595" s="711">
        <v>0</v>
      </c>
      <c r="J2595" s="896" t="str">
        <f t="shared" ref="J2595" si="10473">IFERROR((I2596/I2595),"-")</f>
        <v>-</v>
      </c>
      <c r="K2595" s="528"/>
      <c r="L2595" s="546" t="s">
        <v>37</v>
      </c>
      <c r="M2595" s="711">
        <f t="shared" si="10336"/>
        <v>0</v>
      </c>
      <c r="N2595" s="896" t="str">
        <f t="shared" ref="N2595" si="10474">IFERROR((M2596/M2595),"-")</f>
        <v>-</v>
      </c>
      <c r="O2595" s="528"/>
      <c r="P2595" s="547">
        <v>0</v>
      </c>
      <c r="Q2595" s="547">
        <v>0</v>
      </c>
      <c r="R2595" s="547">
        <v>0</v>
      </c>
      <c r="S2595" s="547">
        <v>0</v>
      </c>
      <c r="T2595" s="547">
        <v>0</v>
      </c>
      <c r="U2595" s="547">
        <v>0</v>
      </c>
      <c r="V2595" s="548">
        <v>0</v>
      </c>
      <c r="W2595" s="528"/>
      <c r="X2595" s="711">
        <f t="shared" si="10328"/>
        <v>0</v>
      </c>
      <c r="Y2595" s="896" t="str">
        <f t="shared" ref="Y2595" si="10475">IFERROR((X2596/X2595),"-")</f>
        <v>-</v>
      </c>
      <c r="Z2595" s="528"/>
      <c r="AA2595" s="898">
        <v>0</v>
      </c>
      <c r="AB2595" s="898">
        <v>0</v>
      </c>
      <c r="AC2595" s="903">
        <v>0</v>
      </c>
      <c r="AD2595" s="896" t="str">
        <f t="shared" ref="AD2595" si="10476">IFERROR((AC2595/AA2595),"-")</f>
        <v>-</v>
      </c>
      <c r="AE2595" s="2"/>
      <c r="AF2595" s="884">
        <v>0</v>
      </c>
      <c r="AG2595" s="884"/>
      <c r="AH2595" s="884">
        <v>0</v>
      </c>
      <c r="AI2595" s="884"/>
      <c r="AJ2595" s="884"/>
      <c r="AK2595" s="884">
        <f t="shared" ref="AK2595" si="10477">AF2595+AG2595+AH2595+AI2595+AJ2595+AC2595</f>
        <v>0</v>
      </c>
      <c r="AL2595" s="884">
        <v>0</v>
      </c>
      <c r="AM2595" s="878" t="str">
        <f t="shared" ref="AM2595" si="10478">IFERROR((AK2595/AL2595),"-")</f>
        <v>-</v>
      </c>
      <c r="AN2595" s="2"/>
      <c r="AO2595" s="884">
        <v>8.6</v>
      </c>
      <c r="AP2595" s="884">
        <f t="shared" ref="AP2595" si="10479">AO2595-AK2595</f>
        <v>8.6</v>
      </c>
      <c r="AV2595" t="str">
        <f t="shared" si="10363"/>
        <v xml:space="preserve">   Seg. 2.3-C08-Plataforma- Instalação de DSH01 - Seg.2.3 C 08 </v>
      </c>
      <c r="AW2595" s="4" t="str">
        <f t="shared" si="10361"/>
        <v xml:space="preserve">   Seg. 3.1- ADME 10 - Drenagem Superficial - Descida D´água</v>
      </c>
    </row>
    <row r="2596" spans="1:50" ht="18.95" customHeight="1" outlineLevel="2">
      <c r="A2596" s="8" t="str">
        <f t="shared" ref="A2596" si="10480">A2595</f>
        <v>N</v>
      </c>
      <c r="B2596" s="150"/>
      <c r="C2596" s="150"/>
      <c r="D2596" s="120" t="s">
        <v>2089</v>
      </c>
      <c r="E2596" s="893"/>
      <c r="F2596" s="902"/>
      <c r="G2596" s="528"/>
      <c r="H2596" s="549" t="s">
        <v>38</v>
      </c>
      <c r="I2596" s="711">
        <v>0</v>
      </c>
      <c r="J2596" s="897"/>
      <c r="K2596" s="528"/>
      <c r="L2596" s="549" t="s">
        <v>38</v>
      </c>
      <c r="M2596" s="711">
        <f t="shared" si="10336"/>
        <v>0</v>
      </c>
      <c r="N2596" s="897"/>
      <c r="O2596" s="528"/>
      <c r="P2596" s="548">
        <v>0</v>
      </c>
      <c r="Q2596" s="548">
        <v>0</v>
      </c>
      <c r="R2596" s="548">
        <v>0</v>
      </c>
      <c r="S2596" s="548">
        <v>0</v>
      </c>
      <c r="T2596" s="548">
        <v>0</v>
      </c>
      <c r="U2596" s="548">
        <v>0</v>
      </c>
      <c r="V2596" s="548">
        <v>0</v>
      </c>
      <c r="W2596" s="528"/>
      <c r="X2596" s="711">
        <f t="shared" si="10328"/>
        <v>0</v>
      </c>
      <c r="Y2596" s="897"/>
      <c r="Z2596" s="528"/>
      <c r="AA2596" s="899"/>
      <c r="AB2596" s="899"/>
      <c r="AC2596" s="904"/>
      <c r="AD2596" s="905"/>
      <c r="AE2596" s="2"/>
      <c r="AF2596" s="885"/>
      <c r="AG2596" s="885"/>
      <c r="AH2596" s="885"/>
      <c r="AI2596" s="885"/>
      <c r="AJ2596" s="885"/>
      <c r="AK2596" s="885"/>
      <c r="AL2596" s="885"/>
      <c r="AM2596" s="879"/>
      <c r="AN2596" s="2"/>
      <c r="AO2596" s="886"/>
      <c r="AP2596" s="886"/>
      <c r="AV2596" t="str">
        <f t="shared" si="10363"/>
        <v xml:space="preserve">   Seg. 2.3-C08-Plataforma- Instalação de DSH01 - Seg.2.3 C 08 </v>
      </c>
      <c r="AW2596" s="4" t="str">
        <f t="shared" si="10361"/>
        <v xml:space="preserve">   Seg. 3.1- ADME 10 - Drenagem Superficial - Descida D´água</v>
      </c>
    </row>
    <row r="2597" spans="1:50" ht="12" customHeight="1" outlineLevel="1">
      <c r="A2597" s="8" t="str">
        <f t="shared" ref="A2597" si="10481">IF(SUM(P2597:V2598)&gt;0,"S","N")</f>
        <v>N</v>
      </c>
      <c r="B2597" s="150">
        <v>1069424</v>
      </c>
      <c r="C2597" s="150" t="s">
        <v>2868</v>
      </c>
      <c r="D2597" s="120" t="s">
        <v>2092</v>
      </c>
      <c r="E2597" s="892" t="s">
        <v>2869</v>
      </c>
      <c r="F2597" s="902" t="s">
        <v>52</v>
      </c>
      <c r="G2597" s="528"/>
      <c r="H2597" s="546" t="s">
        <v>37</v>
      </c>
      <c r="I2597" s="711">
        <v>0</v>
      </c>
      <c r="J2597" s="896" t="str">
        <f t="shared" ref="J2597" si="10482">IFERROR((I2598/I2597),"-")</f>
        <v>-</v>
      </c>
      <c r="K2597" s="528"/>
      <c r="L2597" s="546" t="s">
        <v>37</v>
      </c>
      <c r="M2597" s="711">
        <f t="shared" si="10336"/>
        <v>0</v>
      </c>
      <c r="N2597" s="896" t="str">
        <f t="shared" ref="N2597" si="10483">IFERROR((M2598/M2597),"-")</f>
        <v>-</v>
      </c>
      <c r="O2597" s="528"/>
      <c r="P2597" s="547">
        <v>0</v>
      </c>
      <c r="Q2597" s="547">
        <v>0</v>
      </c>
      <c r="R2597" s="547">
        <v>0</v>
      </c>
      <c r="S2597" s="547">
        <v>0</v>
      </c>
      <c r="T2597" s="547">
        <v>0</v>
      </c>
      <c r="U2597" s="547">
        <v>0</v>
      </c>
      <c r="V2597" s="548">
        <v>0</v>
      </c>
      <c r="W2597" s="528"/>
      <c r="X2597" s="711">
        <f t="shared" si="10328"/>
        <v>0</v>
      </c>
      <c r="Y2597" s="896" t="str">
        <f t="shared" ref="Y2597" si="10484">IFERROR((X2598/X2597),"-")</f>
        <v>-</v>
      </c>
      <c r="Z2597" s="528"/>
      <c r="AA2597" s="898">
        <v>0</v>
      </c>
      <c r="AB2597" s="898">
        <v>0</v>
      </c>
      <c r="AC2597" s="903">
        <v>0</v>
      </c>
      <c r="AD2597" s="896" t="str">
        <f t="shared" ref="AD2597" si="10485">IFERROR((AC2597/AA2597),"-")</f>
        <v>-</v>
      </c>
      <c r="AE2597" s="2"/>
      <c r="AF2597" s="884">
        <v>0</v>
      </c>
      <c r="AG2597" s="884"/>
      <c r="AH2597" s="884">
        <v>0</v>
      </c>
      <c r="AI2597" s="884"/>
      <c r="AJ2597" s="884"/>
      <c r="AK2597" s="884">
        <f t="shared" ref="AK2597" si="10486">AF2597+AG2597+AH2597+AI2597+AJ2597+AC2597</f>
        <v>0</v>
      </c>
      <c r="AL2597" s="884">
        <v>0</v>
      </c>
      <c r="AM2597" s="878" t="str">
        <f t="shared" ref="AM2597" si="10487">IFERROR((AK2597/AL2597),"-")</f>
        <v>-</v>
      </c>
      <c r="AN2597" s="2"/>
      <c r="AO2597" s="884">
        <v>7.2</v>
      </c>
      <c r="AP2597" s="884">
        <f t="shared" ref="AP2597" si="10488">AO2597-AK2597</f>
        <v>7.2</v>
      </c>
      <c r="AV2597" s="4" t="str">
        <f t="shared" si="10363"/>
        <v xml:space="preserve">   Seg. 2.3-C08-Plataforma- Instalação de DSH01 - Seg.2.3 C 08 </v>
      </c>
      <c r="AW2597" s="4" t="str">
        <f t="shared" si="10361"/>
        <v xml:space="preserve">   Seg. 3.1- ADME 11 - Drenagem Superficial - Descida D´água</v>
      </c>
      <c r="AX2597" s="4"/>
    </row>
    <row r="2598" spans="1:50" ht="12" customHeight="1">
      <c r="A2598" s="8" t="str">
        <f t="shared" ref="A2598" si="10489">A2597</f>
        <v>N</v>
      </c>
      <c r="B2598" s="150"/>
      <c r="C2598" s="150"/>
      <c r="D2598" s="120" t="s">
        <v>2092</v>
      </c>
      <c r="E2598" s="893"/>
      <c r="F2598" s="902"/>
      <c r="G2598" s="528"/>
      <c r="H2598" s="549" t="s">
        <v>38</v>
      </c>
      <c r="I2598" s="711">
        <v>0</v>
      </c>
      <c r="J2598" s="897"/>
      <c r="K2598" s="528"/>
      <c r="L2598" s="549" t="s">
        <v>38</v>
      </c>
      <c r="M2598" s="711">
        <f t="shared" si="10336"/>
        <v>0</v>
      </c>
      <c r="N2598" s="897"/>
      <c r="O2598" s="528"/>
      <c r="P2598" s="548">
        <v>0</v>
      </c>
      <c r="Q2598" s="548">
        <v>0</v>
      </c>
      <c r="R2598" s="548">
        <v>0</v>
      </c>
      <c r="S2598" s="548">
        <v>0</v>
      </c>
      <c r="T2598" s="548">
        <v>0</v>
      </c>
      <c r="U2598" s="548">
        <v>0</v>
      </c>
      <c r="V2598" s="548">
        <v>0</v>
      </c>
      <c r="W2598" s="528"/>
      <c r="X2598" s="711">
        <f t="shared" si="10328"/>
        <v>0</v>
      </c>
      <c r="Y2598" s="897"/>
      <c r="Z2598" s="528"/>
      <c r="AA2598" s="899"/>
      <c r="AB2598" s="899"/>
      <c r="AC2598" s="904"/>
      <c r="AD2598" s="905"/>
      <c r="AE2598" s="2"/>
      <c r="AF2598" s="885"/>
      <c r="AG2598" s="885"/>
      <c r="AH2598" s="885"/>
      <c r="AI2598" s="885"/>
      <c r="AJ2598" s="885"/>
      <c r="AK2598" s="885"/>
      <c r="AL2598" s="885"/>
      <c r="AM2598" s="879"/>
      <c r="AN2598" s="2"/>
      <c r="AO2598" s="886"/>
      <c r="AP2598" s="886"/>
      <c r="AV2598" t="str">
        <f t="shared" si="10363"/>
        <v xml:space="preserve">   Seg. 2.3-C08-Plataforma- Instalação de DSH01 - Seg.2.3 C 08 </v>
      </c>
      <c r="AW2598" s="4" t="str">
        <f t="shared" si="10361"/>
        <v xml:space="preserve">   Seg. 3.1- ADME 11 - Drenagem Superficial - Descida D´água</v>
      </c>
    </row>
    <row r="2599" spans="1:50" ht="31.9" customHeight="1">
      <c r="A2599" s="8" t="str">
        <f t="shared" ref="A2599" si="10490">IF(SUM(P2599:V2600)&gt;0,"S","N")</f>
        <v>N</v>
      </c>
      <c r="B2599" s="150">
        <v>1069429</v>
      </c>
      <c r="C2599" s="150" t="s">
        <v>2870</v>
      </c>
      <c r="D2599" s="120" t="s">
        <v>2095</v>
      </c>
      <c r="E2599" s="892" t="s">
        <v>2871</v>
      </c>
      <c r="F2599" s="902" t="s">
        <v>52</v>
      </c>
      <c r="G2599" s="528"/>
      <c r="H2599" s="546" t="s">
        <v>37</v>
      </c>
      <c r="I2599" s="711">
        <v>0</v>
      </c>
      <c r="J2599" s="896" t="str">
        <f t="shared" ref="J2599" si="10491">IFERROR((I2600/I2599),"-")</f>
        <v>-</v>
      </c>
      <c r="K2599" s="528"/>
      <c r="L2599" s="546" t="s">
        <v>37</v>
      </c>
      <c r="M2599" s="711">
        <f t="shared" si="10336"/>
        <v>0</v>
      </c>
      <c r="N2599" s="896" t="str">
        <f t="shared" ref="N2599" si="10492">IFERROR((M2600/M2599),"-")</f>
        <v>-</v>
      </c>
      <c r="O2599" s="528"/>
      <c r="P2599" s="547">
        <v>0</v>
      </c>
      <c r="Q2599" s="547">
        <v>0</v>
      </c>
      <c r="R2599" s="547">
        <v>0</v>
      </c>
      <c r="S2599" s="547">
        <v>0</v>
      </c>
      <c r="T2599" s="547">
        <v>0</v>
      </c>
      <c r="U2599" s="547">
        <v>0</v>
      </c>
      <c r="V2599" s="548">
        <v>0</v>
      </c>
      <c r="W2599" s="528"/>
      <c r="X2599" s="711">
        <f t="shared" si="10328"/>
        <v>0</v>
      </c>
      <c r="Y2599" s="896" t="str">
        <f t="shared" ref="Y2599" si="10493">IFERROR((X2600/X2599),"-")</f>
        <v>-</v>
      </c>
      <c r="Z2599" s="528"/>
      <c r="AA2599" s="898">
        <v>0</v>
      </c>
      <c r="AB2599" s="898">
        <v>0</v>
      </c>
      <c r="AC2599" s="903">
        <v>0</v>
      </c>
      <c r="AD2599" s="896" t="str">
        <f t="shared" ref="AD2599" si="10494">IFERROR((AC2599/AA2599),"-")</f>
        <v>-</v>
      </c>
      <c r="AE2599" s="2"/>
      <c r="AF2599" s="884">
        <v>0</v>
      </c>
      <c r="AG2599" s="884"/>
      <c r="AH2599" s="884">
        <v>0</v>
      </c>
      <c r="AI2599" s="884"/>
      <c r="AJ2599" s="884"/>
      <c r="AK2599" s="884">
        <f t="shared" ref="AK2599" si="10495">AF2599+AG2599+AH2599+AI2599+AJ2599+AC2599</f>
        <v>0</v>
      </c>
      <c r="AL2599" s="884">
        <v>0</v>
      </c>
      <c r="AM2599" s="878" t="str">
        <f t="shared" ref="AM2599" si="10496">IFERROR((AK2599/AL2599),"-")</f>
        <v>-</v>
      </c>
      <c r="AN2599" s="2"/>
      <c r="AO2599" s="884">
        <v>8.6999999999999993</v>
      </c>
      <c r="AP2599" s="884">
        <f t="shared" ref="AP2599" si="10497">AO2599-AK2599</f>
        <v>8.6999999999999993</v>
      </c>
      <c r="AV2599" s="275" t="str">
        <f t="shared" si="10363"/>
        <v xml:space="preserve">   Seg. 3.1- ADME 12 - Drenagem Superficial - Descida D´água</v>
      </c>
      <c r="AW2599" s="275" t="str">
        <f t="shared" si="10361"/>
        <v xml:space="preserve">   Seg. 3.1- ADME 12 - Drenagem Superficial - Descida D´água</v>
      </c>
      <c r="AX2599" s="275" t="s">
        <v>1434</v>
      </c>
    </row>
    <row r="2600" spans="1:50" ht="31.9" customHeight="1">
      <c r="A2600" s="8" t="str">
        <f t="shared" ref="A2600" si="10498">A2599</f>
        <v>N</v>
      </c>
      <c r="B2600" s="150"/>
      <c r="C2600" s="150"/>
      <c r="D2600" s="120" t="s">
        <v>2095</v>
      </c>
      <c r="E2600" s="893"/>
      <c r="F2600" s="902"/>
      <c r="G2600" s="528"/>
      <c r="H2600" s="549" t="s">
        <v>38</v>
      </c>
      <c r="I2600" s="711">
        <v>0</v>
      </c>
      <c r="J2600" s="897"/>
      <c r="K2600" s="528"/>
      <c r="L2600" s="549" t="s">
        <v>38</v>
      </c>
      <c r="M2600" s="711">
        <f t="shared" si="10336"/>
        <v>0</v>
      </c>
      <c r="N2600" s="897"/>
      <c r="O2600" s="528"/>
      <c r="P2600" s="548">
        <v>0</v>
      </c>
      <c r="Q2600" s="548">
        <v>0</v>
      </c>
      <c r="R2600" s="548">
        <v>0</v>
      </c>
      <c r="S2600" s="548">
        <v>0</v>
      </c>
      <c r="T2600" s="548">
        <v>0</v>
      </c>
      <c r="U2600" s="548">
        <v>0</v>
      </c>
      <c r="V2600" s="548">
        <v>0</v>
      </c>
      <c r="W2600" s="528"/>
      <c r="X2600" s="711">
        <f t="shared" si="10328"/>
        <v>0</v>
      </c>
      <c r="Y2600" s="897"/>
      <c r="Z2600" s="528"/>
      <c r="AA2600" s="899"/>
      <c r="AB2600" s="899"/>
      <c r="AC2600" s="904"/>
      <c r="AD2600" s="905"/>
      <c r="AE2600" s="2"/>
      <c r="AF2600" s="885"/>
      <c r="AG2600" s="885"/>
      <c r="AH2600" s="885"/>
      <c r="AI2600" s="885"/>
      <c r="AJ2600" s="885"/>
      <c r="AK2600" s="885"/>
      <c r="AL2600" s="885"/>
      <c r="AM2600" s="879"/>
      <c r="AN2600" s="2"/>
      <c r="AO2600" s="886"/>
      <c r="AP2600" s="886"/>
      <c r="AV2600" t="str">
        <f t="shared" si="10363"/>
        <v xml:space="preserve">   Seg. 3.1- ADME 12 - Drenagem Superficial - Descida D´água</v>
      </c>
      <c r="AW2600" s="4" t="str">
        <f t="shared" si="10361"/>
        <v xml:space="preserve">   Seg. 3.1- ADME 12 - Drenagem Superficial - Descida D´água</v>
      </c>
    </row>
    <row r="2601" spans="1:50" ht="15.6" customHeight="1">
      <c r="A2601" s="8" t="str">
        <f t="shared" ref="A2601" si="10499">IF(SUM(P2601:V2602)&gt;0,"S","N")</f>
        <v>N</v>
      </c>
      <c r="B2601" s="150">
        <v>1069884</v>
      </c>
      <c r="C2601" s="150" t="s">
        <v>2872</v>
      </c>
      <c r="D2601" s="120" t="s">
        <v>2873</v>
      </c>
      <c r="E2601" s="892" t="s">
        <v>2799</v>
      </c>
      <c r="F2601" s="902" t="s">
        <v>52</v>
      </c>
      <c r="G2601" s="528"/>
      <c r="H2601" s="546" t="s">
        <v>37</v>
      </c>
      <c r="I2601" s="711">
        <v>0</v>
      </c>
      <c r="J2601" s="896" t="str">
        <f t="shared" ref="J2601" si="10500">IFERROR((I2602/I2601),"-")</f>
        <v>-</v>
      </c>
      <c r="K2601" s="528"/>
      <c r="L2601" s="546" t="s">
        <v>37</v>
      </c>
      <c r="M2601" s="711">
        <f t="shared" si="10336"/>
        <v>0</v>
      </c>
      <c r="N2601" s="896" t="str">
        <f t="shared" ref="N2601" si="10501">IFERROR((M2602/M2601),"-")</f>
        <v>-</v>
      </c>
      <c r="O2601" s="528"/>
      <c r="P2601" s="547">
        <v>0</v>
      </c>
      <c r="Q2601" s="547">
        <v>0</v>
      </c>
      <c r="R2601" s="547">
        <v>0</v>
      </c>
      <c r="S2601" s="547">
        <v>0</v>
      </c>
      <c r="T2601" s="547">
        <v>0</v>
      </c>
      <c r="U2601" s="547">
        <v>0</v>
      </c>
      <c r="V2601" s="548">
        <v>0</v>
      </c>
      <c r="W2601" s="528"/>
      <c r="X2601" s="711">
        <f t="shared" si="10328"/>
        <v>0</v>
      </c>
      <c r="Y2601" s="896" t="str">
        <f t="shared" ref="Y2601" si="10502">IFERROR((X2602/X2601),"-")</f>
        <v>-</v>
      </c>
      <c r="Z2601" s="528"/>
      <c r="AA2601" s="898">
        <v>0</v>
      </c>
      <c r="AB2601" s="898">
        <v>0</v>
      </c>
      <c r="AC2601" s="903">
        <v>0</v>
      </c>
      <c r="AD2601" s="896" t="str">
        <f t="shared" ref="AD2601" si="10503">IFERROR((AC2601/AA2601),"-")</f>
        <v>-</v>
      </c>
      <c r="AE2601" s="2"/>
      <c r="AF2601" s="884">
        <v>0</v>
      </c>
      <c r="AG2601" s="884"/>
      <c r="AH2601" s="884">
        <v>0</v>
      </c>
      <c r="AI2601" s="884"/>
      <c r="AJ2601" s="884"/>
      <c r="AK2601" s="884">
        <f t="shared" ref="AK2601" si="10504">AF2601+AG2601+AH2601+AI2601+AJ2601+AC2601</f>
        <v>0</v>
      </c>
      <c r="AL2601" s="884">
        <v>0</v>
      </c>
      <c r="AM2601" s="878" t="str">
        <f t="shared" ref="AM2601" si="10505">IFERROR((AK2601/AL2601),"-")</f>
        <v>-</v>
      </c>
      <c r="AN2601" s="2"/>
      <c r="AO2601" s="884">
        <v>16</v>
      </c>
      <c r="AP2601" s="884">
        <f t="shared" ref="AP2601" si="10506">AO2601-AK2601</f>
        <v>16</v>
      </c>
      <c r="AV2601" t="str">
        <f t="shared" si="10363"/>
        <v xml:space="preserve">   Seg. 3.1- ADME 12 - Drenagem Superficial - Descida D´água</v>
      </c>
      <c r="AW2601" s="4" t="str">
        <f t="shared" si="10361"/>
        <v xml:space="preserve">   Construção de descida d'agua</v>
      </c>
    </row>
    <row r="2602" spans="1:50" ht="15.6" customHeight="1" outlineLevel="1">
      <c r="A2602" s="8" t="str">
        <f t="shared" ref="A2602" si="10507">A2601</f>
        <v>N</v>
      </c>
      <c r="B2602" s="150"/>
      <c r="C2602" s="150"/>
      <c r="D2602" s="120" t="s">
        <v>2873</v>
      </c>
      <c r="E2602" s="893"/>
      <c r="F2602" s="902"/>
      <c r="G2602" s="528"/>
      <c r="H2602" s="549" t="s">
        <v>38</v>
      </c>
      <c r="I2602" s="711">
        <v>0</v>
      </c>
      <c r="J2602" s="897"/>
      <c r="K2602" s="528"/>
      <c r="L2602" s="549" t="s">
        <v>38</v>
      </c>
      <c r="M2602" s="711">
        <f t="shared" si="10336"/>
        <v>0</v>
      </c>
      <c r="N2602" s="897"/>
      <c r="O2602" s="528"/>
      <c r="P2602" s="548">
        <v>0</v>
      </c>
      <c r="Q2602" s="548">
        <v>0</v>
      </c>
      <c r="R2602" s="548">
        <v>0</v>
      </c>
      <c r="S2602" s="548">
        <v>0</v>
      </c>
      <c r="T2602" s="548">
        <v>0</v>
      </c>
      <c r="U2602" s="548">
        <v>0</v>
      </c>
      <c r="V2602" s="548">
        <v>0</v>
      </c>
      <c r="W2602" s="528"/>
      <c r="X2602" s="711">
        <f t="shared" si="10328"/>
        <v>0</v>
      </c>
      <c r="Y2602" s="897"/>
      <c r="Z2602" s="528"/>
      <c r="AA2602" s="899"/>
      <c r="AB2602" s="899"/>
      <c r="AC2602" s="904"/>
      <c r="AD2602" s="905"/>
      <c r="AE2602" s="2"/>
      <c r="AF2602" s="908"/>
      <c r="AG2602" s="908"/>
      <c r="AH2602" s="885"/>
      <c r="AI2602" s="908"/>
      <c r="AJ2602" s="908"/>
      <c r="AK2602" s="885"/>
      <c r="AL2602" s="885"/>
      <c r="AM2602" s="879"/>
      <c r="AN2602" s="2"/>
      <c r="AO2602" s="886"/>
      <c r="AP2602" s="886"/>
      <c r="AV2602" t="str">
        <f t="shared" si="10363"/>
        <v xml:space="preserve">   Seg. 3.1- ADME 12 - Drenagem Superficial - Descida D´água</v>
      </c>
      <c r="AW2602" s="4" t="str">
        <f t="shared" si="10361"/>
        <v xml:space="preserve">   Construção de descida d'agua</v>
      </c>
    </row>
    <row r="2603" spans="1:50" ht="15.6" customHeight="1" outlineLevel="1">
      <c r="A2603" s="209">
        <v>0</v>
      </c>
      <c r="B2603" s="150"/>
      <c r="C2603" s="150"/>
      <c r="D2603" s="117"/>
      <c r="E2603" s="535"/>
      <c r="F2603" s="536"/>
      <c r="G2603" s="537"/>
      <c r="H2603" s="714"/>
      <c r="I2603" s="555"/>
      <c r="J2603" s="714"/>
      <c r="K2603" s="537"/>
      <c r="L2603" s="714"/>
      <c r="M2603" s="555"/>
      <c r="N2603" s="714"/>
      <c r="O2603" s="537"/>
      <c r="P2603" s="539"/>
      <c r="Q2603" s="539"/>
      <c r="R2603" s="539"/>
      <c r="S2603" s="539"/>
      <c r="T2603" s="539"/>
      <c r="U2603" s="539"/>
      <c r="V2603" s="539"/>
      <c r="W2603" s="537"/>
      <c r="X2603" s="540"/>
      <c r="Y2603" s="537"/>
      <c r="Z2603" s="537"/>
      <c r="AA2603" s="249"/>
      <c r="AB2603" s="249"/>
      <c r="AC2603" s="249"/>
      <c r="AD2603" s="537"/>
      <c r="AE2603" s="3"/>
      <c r="AF2603" s="35"/>
      <c r="AG2603" s="35"/>
      <c r="AH2603" s="35"/>
      <c r="AI2603" s="35"/>
      <c r="AJ2603" s="35"/>
      <c r="AK2603" s="35"/>
      <c r="AL2603" s="35"/>
      <c r="AM2603" s="3"/>
      <c r="AN2603" s="3"/>
      <c r="AO2603" s="35"/>
      <c r="AP2603" s="35"/>
      <c r="AV2603" t="str">
        <f t="shared" si="10363"/>
        <v xml:space="preserve">   Seg. 3.1- ADME 12 - Drenagem Superficial - Descida D´água</v>
      </c>
      <c r="AW2603" s="4" t="str">
        <f t="shared" si="10361"/>
        <v xml:space="preserve">   Construção de descida d'agua</v>
      </c>
    </row>
    <row r="2604" spans="1:50" ht="15.6" customHeight="1" outlineLevel="1">
      <c r="A2604" s="209">
        <v>0</v>
      </c>
      <c r="B2604" s="150"/>
      <c r="C2604" s="150">
        <v>0</v>
      </c>
      <c r="D2604" s="117"/>
      <c r="E2604" s="535"/>
      <c r="F2604" s="541"/>
      <c r="G2604" s="537"/>
      <c r="H2604" s="537"/>
      <c r="I2604" s="250"/>
      <c r="J2604" s="537"/>
      <c r="K2604" s="537"/>
      <c r="L2604" s="537"/>
      <c r="M2604" s="250"/>
      <c r="N2604" s="537"/>
      <c r="O2604" s="537"/>
      <c r="P2604" s="539"/>
      <c r="Q2604" s="539"/>
      <c r="R2604" s="539"/>
      <c r="S2604" s="539"/>
      <c r="T2604" s="539"/>
      <c r="U2604" s="539"/>
      <c r="V2604" s="539"/>
      <c r="W2604" s="537"/>
      <c r="X2604" s="540"/>
      <c r="Y2604" s="537"/>
      <c r="Z2604" s="537"/>
      <c r="AA2604" s="250"/>
      <c r="AB2604" s="250"/>
      <c r="AC2604" s="249"/>
      <c r="AD2604" s="537"/>
      <c r="AE2604" s="3"/>
      <c r="AF2604" s="36"/>
      <c r="AG2604" s="36"/>
      <c r="AH2604" s="36"/>
      <c r="AI2604" s="36"/>
      <c r="AJ2604" s="36"/>
      <c r="AK2604" s="36"/>
      <c r="AL2604" s="36"/>
      <c r="AM2604" s="3"/>
      <c r="AN2604" s="3"/>
      <c r="AO2604" s="36"/>
      <c r="AP2604" s="36"/>
      <c r="AV2604" t="str">
        <f t="shared" si="10363"/>
        <v xml:space="preserve">   Seg. 3.1- ADME 12 - Drenagem Superficial - Descida D´água</v>
      </c>
      <c r="AW2604" s="4" t="str">
        <f t="shared" si="10361"/>
        <v xml:space="preserve">   Construção de descida d'agua</v>
      </c>
    </row>
    <row r="2605" spans="1:50" ht="15.6" customHeight="1" outlineLevel="2">
      <c r="A2605" s="525">
        <v>0</v>
      </c>
      <c r="B2605" s="526"/>
      <c r="C2605" s="526"/>
      <c r="D2605" s="558"/>
      <c r="E2605" s="759" t="s">
        <v>2874</v>
      </c>
      <c r="F2605" s="902" t="s">
        <v>36</v>
      </c>
      <c r="G2605" s="528"/>
      <c r="H2605" s="529" t="s">
        <v>37</v>
      </c>
      <c r="I2605" s="707">
        <f>I2609+I2672+I2738+I2764+I2814</f>
        <v>2019</v>
      </c>
      <c r="J2605" s="900">
        <f t="shared" ref="J2605" si="10508">IFERROR((I2606/I2605),"-")</f>
        <v>6.8053491827637452E-2</v>
      </c>
      <c r="K2605" s="528"/>
      <c r="L2605" s="529" t="s">
        <v>37</v>
      </c>
      <c r="M2605" s="707">
        <f>M2609+M2672+M2738+M2764+M2814</f>
        <v>0</v>
      </c>
      <c r="N2605" s="900" t="str">
        <f t="shared" ref="N2605" si="10509">IFERROR((M2606/M2605),"-")</f>
        <v>-</v>
      </c>
      <c r="O2605" s="528"/>
      <c r="P2605" s="707">
        <f t="shared" ref="P2605:V2606" si="10510">P2609+P2672+P2738+P2764+P2814</f>
        <v>0</v>
      </c>
      <c r="Q2605" s="707">
        <f t="shared" si="10510"/>
        <v>0</v>
      </c>
      <c r="R2605" s="707">
        <f t="shared" si="10510"/>
        <v>700</v>
      </c>
      <c r="S2605" s="707">
        <f t="shared" si="10510"/>
        <v>700</v>
      </c>
      <c r="T2605" s="707">
        <f t="shared" si="10510"/>
        <v>600</v>
      </c>
      <c r="U2605" s="707">
        <f t="shared" si="10510"/>
        <v>19</v>
      </c>
      <c r="V2605" s="708">
        <f t="shared" si="10510"/>
        <v>0</v>
      </c>
      <c r="W2605" s="528"/>
      <c r="X2605" s="707">
        <f>SUMIFS(P2605:V2605,$P$8:$V$8,"&gt;="&amp;$P$8,$P$8:$V$8,"&lt;="&amp;$N$8)</f>
        <v>0</v>
      </c>
      <c r="Y2605" s="900" t="str">
        <f t="shared" ref="Y2605" si="10511">IFERROR((X2606/X2605),"-")</f>
        <v>-</v>
      </c>
      <c r="Z2605" s="528"/>
      <c r="AA2605" s="755">
        <f>AA2609+AA2672+AA2738+AA2764+AA2814</f>
        <v>20795.18</v>
      </c>
      <c r="AB2605" s="755">
        <f>AB2609+AB2672+AB2738+AB2764+AB2814</f>
        <v>4449.2</v>
      </c>
      <c r="AC2605" s="906">
        <f>AC2609+AC2672+AC2738+AC2764+AC2814</f>
        <v>137.4</v>
      </c>
      <c r="AD2605" s="900">
        <f t="shared" ref="AD2605" si="10512">IFERROR((AC2605/AB2605),"-")</f>
        <v>3.0881956306751779E-2</v>
      </c>
      <c r="AE2605" s="528"/>
      <c r="AF2605" s="755">
        <f t="shared" ref="AF2605:AL2605" si="10513">AF2609+AF2672+AF2738+AF2764+AF2814</f>
        <v>24551.55</v>
      </c>
      <c r="AG2605" s="755">
        <f t="shared" si="10513"/>
        <v>0</v>
      </c>
      <c r="AH2605" s="755">
        <f t="shared" si="10513"/>
        <v>512.96</v>
      </c>
      <c r="AI2605" s="755">
        <f t="shared" si="10513"/>
        <v>0</v>
      </c>
      <c r="AJ2605" s="755">
        <f t="shared" si="10513"/>
        <v>2503.39</v>
      </c>
      <c r="AK2605" s="755">
        <f t="shared" si="10513"/>
        <v>27705.3</v>
      </c>
      <c r="AL2605" s="755">
        <f t="shared" si="10513"/>
        <v>45446.37000000001</v>
      </c>
      <c r="AM2605" s="900">
        <f>IFERROR((AK2605/AL2605),"-")</f>
        <v>0.609626247376853</v>
      </c>
      <c r="AN2605" s="528"/>
      <c r="AO2605" s="906">
        <f>AO2609+AO2672+AO2738+AO2764+AO2814</f>
        <v>131386.47</v>
      </c>
      <c r="AP2605" s="906">
        <f>AP2609+AP2672+AP2738+AP2764+AP2814</f>
        <v>103681.17000000001</v>
      </c>
      <c r="AV2605" t="str">
        <f t="shared" si="10363"/>
        <v xml:space="preserve">   Seg. 3.1- ADME 12 - Drenagem Superficial - Descida D´água</v>
      </c>
      <c r="AW2605" s="4" t="str">
        <f t="shared" si="10361"/>
        <v>Sublastro</v>
      </c>
    </row>
    <row r="2606" spans="1:50" ht="15.6" customHeight="1" outlineLevel="2">
      <c r="A2606" s="525">
        <v>0</v>
      </c>
      <c r="B2606" s="526"/>
      <c r="C2606" s="526">
        <v>0</v>
      </c>
      <c r="D2606" s="558"/>
      <c r="E2606" s="760"/>
      <c r="F2606" s="902"/>
      <c r="G2606" s="528"/>
      <c r="H2606" s="531" t="s">
        <v>38</v>
      </c>
      <c r="I2606" s="707">
        <f>I2610+I2673+I2739+I2765+I2815</f>
        <v>137.4</v>
      </c>
      <c r="J2606" s="901"/>
      <c r="K2606" s="528"/>
      <c r="L2606" s="531" t="s">
        <v>38</v>
      </c>
      <c r="M2606" s="707">
        <f>M2610+M2673+M2739+M2765+M2815</f>
        <v>0</v>
      </c>
      <c r="N2606" s="901"/>
      <c r="O2606" s="528"/>
      <c r="P2606" s="707">
        <f t="shared" si="10510"/>
        <v>0</v>
      </c>
      <c r="Q2606" s="707">
        <f t="shared" si="10510"/>
        <v>0</v>
      </c>
      <c r="R2606" s="707">
        <f t="shared" si="10510"/>
        <v>0</v>
      </c>
      <c r="S2606" s="707">
        <f t="shared" si="10510"/>
        <v>0</v>
      </c>
      <c r="T2606" s="707">
        <f t="shared" si="10510"/>
        <v>0</v>
      </c>
      <c r="U2606" s="707">
        <f t="shared" si="10510"/>
        <v>0</v>
      </c>
      <c r="V2606" s="707">
        <f t="shared" si="10510"/>
        <v>0</v>
      </c>
      <c r="W2606" s="528"/>
      <c r="X2606" s="707">
        <f t="shared" ref="X2606" si="10514">SUMIFS(P2606:V2606,$P$8:$V$8,"&gt;="&amp;$P$8,$P$8:$V$8,"&lt;="&amp;$N$8)</f>
        <v>0</v>
      </c>
      <c r="Y2606" s="901"/>
      <c r="Z2606" s="528"/>
      <c r="AA2606" s="756"/>
      <c r="AB2606" s="756"/>
      <c r="AC2606" s="907"/>
      <c r="AD2606" s="901"/>
      <c r="AE2606" s="528"/>
      <c r="AF2606" s="756"/>
      <c r="AG2606" s="756"/>
      <c r="AH2606" s="756"/>
      <c r="AI2606" s="756"/>
      <c r="AJ2606" s="756"/>
      <c r="AK2606" s="756"/>
      <c r="AL2606" s="756"/>
      <c r="AM2606" s="901"/>
      <c r="AN2606" s="528"/>
      <c r="AO2606" s="907"/>
      <c r="AP2606" s="907"/>
      <c r="AV2606" t="str">
        <f t="shared" si="10363"/>
        <v xml:space="preserve">   Seg. 3.1- ADME 12 - Drenagem Superficial - Descida D´água</v>
      </c>
      <c r="AW2606" s="4" t="str">
        <f t="shared" si="10361"/>
        <v>Sublastro</v>
      </c>
    </row>
    <row r="2607" spans="1:50" ht="15.6" customHeight="1" outlineLevel="2">
      <c r="A2607" s="209">
        <v>0</v>
      </c>
      <c r="B2607" s="150"/>
      <c r="C2607" s="150"/>
      <c r="D2607" s="117"/>
      <c r="E2607" s="535"/>
      <c r="F2607" s="536"/>
      <c r="G2607" s="537"/>
      <c r="H2607" s="714"/>
      <c r="I2607" s="538"/>
      <c r="J2607" s="714"/>
      <c r="K2607" s="537"/>
      <c r="L2607" s="714"/>
      <c r="M2607" s="538"/>
      <c r="N2607" s="714"/>
      <c r="O2607" s="537"/>
      <c r="P2607" s="539"/>
      <c r="Q2607" s="539"/>
      <c r="R2607" s="539"/>
      <c r="S2607" s="539"/>
      <c r="T2607" s="539"/>
      <c r="U2607" s="539"/>
      <c r="V2607" s="539"/>
      <c r="W2607" s="537"/>
      <c r="X2607" s="540"/>
      <c r="Y2607" s="537"/>
      <c r="Z2607" s="537"/>
      <c r="AA2607" s="250"/>
      <c r="AB2607" s="250"/>
      <c r="AC2607" s="249"/>
      <c r="AD2607" s="537"/>
      <c r="AE2607" s="3"/>
      <c r="AF2607" s="36"/>
      <c r="AG2607" s="36"/>
      <c r="AH2607" s="36"/>
      <c r="AI2607" s="36"/>
      <c r="AJ2607" s="36"/>
      <c r="AK2607" s="36"/>
      <c r="AL2607" s="36"/>
      <c r="AM2607" s="3"/>
      <c r="AN2607" s="3"/>
      <c r="AO2607" s="36"/>
      <c r="AP2607" s="36"/>
      <c r="AV2607" t="str">
        <f t="shared" si="10363"/>
        <v xml:space="preserve">   Seg. 3.1- ADME 12 - Drenagem Superficial - Descida D´água</v>
      </c>
      <c r="AW2607" s="4" t="str">
        <f t="shared" si="10361"/>
        <v>Sublastro</v>
      </c>
    </row>
    <row r="2608" spans="1:50" ht="15.6" customHeight="1" outlineLevel="2">
      <c r="A2608" s="209">
        <v>0</v>
      </c>
      <c r="B2608" s="150"/>
      <c r="C2608" s="150">
        <v>0</v>
      </c>
      <c r="D2608" s="117"/>
      <c r="E2608" s="535"/>
      <c r="F2608" s="541"/>
      <c r="G2608" s="537"/>
      <c r="H2608" s="537"/>
      <c r="I2608" s="250"/>
      <c r="J2608" s="537"/>
      <c r="K2608" s="537"/>
      <c r="L2608" s="537"/>
      <c r="M2608" s="250"/>
      <c r="N2608" s="537"/>
      <c r="O2608" s="537"/>
      <c r="P2608" s="539"/>
      <c r="Q2608" s="539"/>
      <c r="R2608" s="539"/>
      <c r="S2608" s="539"/>
      <c r="T2608" s="539"/>
      <c r="U2608" s="539"/>
      <c r="V2608" s="539"/>
      <c r="W2608" s="537"/>
      <c r="X2608" s="540"/>
      <c r="Y2608" s="537"/>
      <c r="Z2608" s="537"/>
      <c r="AA2608" s="250"/>
      <c r="AB2608" s="250"/>
      <c r="AC2608" s="249"/>
      <c r="AD2608" s="537"/>
      <c r="AE2608" s="3"/>
      <c r="AF2608" s="36"/>
      <c r="AG2608" s="36"/>
      <c r="AH2608" s="36"/>
      <c r="AI2608" s="36"/>
      <c r="AJ2608" s="36"/>
      <c r="AK2608" s="36"/>
      <c r="AL2608" s="36"/>
      <c r="AM2608" s="3"/>
      <c r="AN2608" s="3"/>
      <c r="AO2608" s="36"/>
      <c r="AP2608" s="36"/>
      <c r="AV2608" t="str">
        <f t="shared" si="10363"/>
        <v xml:space="preserve">   Seg. 3.1- ADME 12 - Drenagem Superficial - Descida D´água</v>
      </c>
      <c r="AW2608" s="4" t="str">
        <f t="shared" si="10361"/>
        <v>Sublastro</v>
      </c>
    </row>
    <row r="2609" spans="1:49" ht="15.6" customHeight="1" outlineLevel="2">
      <c r="A2609" s="209">
        <v>0</v>
      </c>
      <c r="B2609" s="150"/>
      <c r="C2609" s="150"/>
      <c r="D2609" s="122"/>
      <c r="E2609" s="913" t="s">
        <v>39</v>
      </c>
      <c r="F2609" s="859" t="s">
        <v>36</v>
      </c>
      <c r="G2609" s="528"/>
      <c r="H2609" s="542" t="s">
        <v>37</v>
      </c>
      <c r="I2609" s="543">
        <f>SUMIF($L2611:$L2670,$L2609,I2611:I2670)</f>
        <v>2019</v>
      </c>
      <c r="J2609" s="860">
        <f>IFERROR((I2610/I2609),"-")</f>
        <v>6.8053491827637452E-2</v>
      </c>
      <c r="K2609" s="528"/>
      <c r="L2609" s="542" t="s">
        <v>37</v>
      </c>
      <c r="M2609" s="543">
        <f>SUMIF($L2611:$L2670,$L2609,M2611:M2670)</f>
        <v>0</v>
      </c>
      <c r="N2609" s="860" t="str">
        <f>IFERROR((M2610/M2609),"-")</f>
        <v>-</v>
      </c>
      <c r="O2609" s="528"/>
      <c r="P2609" s="543">
        <f t="shared" ref="P2609:V2609" si="10515">SUMIF($L2611:$L2670,$L2609,P2611:P2670)</f>
        <v>0</v>
      </c>
      <c r="Q2609" s="543">
        <f t="shared" si="10515"/>
        <v>0</v>
      </c>
      <c r="R2609" s="543">
        <f t="shared" si="10515"/>
        <v>700</v>
      </c>
      <c r="S2609" s="543">
        <f t="shared" si="10515"/>
        <v>700</v>
      </c>
      <c r="T2609" s="543">
        <f t="shared" si="10515"/>
        <v>600</v>
      </c>
      <c r="U2609" s="543">
        <f t="shared" si="10515"/>
        <v>19</v>
      </c>
      <c r="V2609" s="543">
        <f t="shared" si="10515"/>
        <v>0</v>
      </c>
      <c r="W2609" s="528"/>
      <c r="X2609" s="543">
        <f t="shared" ref="X2609:X2670" si="10516">SUMIFS(P2609:V2609,$P$8:$V$8,"&gt;="&amp;$P$8,$P$8:$V$8,"&lt;="&amp;$N$8)</f>
        <v>0</v>
      </c>
      <c r="Y2609" s="860" t="str">
        <f>IFERROR((X2610/X2609),"-")</f>
        <v>-</v>
      </c>
      <c r="Z2609" s="528"/>
      <c r="AA2609" s="814">
        <f>SUM(AA2611:AA2670)</f>
        <v>3823.96</v>
      </c>
      <c r="AB2609" s="814">
        <f>SUM(AB2611:AB2670)</f>
        <v>2769.96</v>
      </c>
      <c r="AC2609" s="814">
        <f>SUM(AC2611:AC2670)</f>
        <v>137.4</v>
      </c>
      <c r="AD2609" s="911">
        <f>IFERROR((AC2609/AA2609),"-")</f>
        <v>3.5931338193914163E-2</v>
      </c>
      <c r="AE2609" s="2"/>
      <c r="AF2609" s="888">
        <f t="shared" ref="AF2609:AL2609" si="10517">SUM(AF2611:AF2670)</f>
        <v>8922</v>
      </c>
      <c r="AG2609" s="888">
        <f t="shared" si="10517"/>
        <v>0</v>
      </c>
      <c r="AH2609" s="888">
        <f t="shared" si="10517"/>
        <v>512.96</v>
      </c>
      <c r="AI2609" s="888">
        <f t="shared" si="10517"/>
        <v>0</v>
      </c>
      <c r="AJ2609" s="888">
        <f t="shared" ref="AJ2609" si="10518">SUM(AJ2611:AJ2670)</f>
        <v>2503.39</v>
      </c>
      <c r="AK2609" s="888">
        <f t="shared" si="10517"/>
        <v>12075.75</v>
      </c>
      <c r="AL2609" s="888">
        <f t="shared" si="10517"/>
        <v>23137.190000000002</v>
      </c>
      <c r="AM2609" s="743">
        <f>IFERROR((AK2609/AL2609),"-")</f>
        <v>0.52191947250292703</v>
      </c>
      <c r="AN2609" s="2"/>
      <c r="AO2609" s="888">
        <f>SUM(AO2611:AO2670)</f>
        <v>21687.9</v>
      </c>
      <c r="AP2609" s="888">
        <f>SUM(AP2611:AP2670)</f>
        <v>9612.15</v>
      </c>
      <c r="AV2609" t="str">
        <f t="shared" si="10363"/>
        <v xml:space="preserve">   Seg. 3.1- ADME 12 - Drenagem Superficial - Descida D´água</v>
      </c>
      <c r="AW2609" s="4" t="str">
        <f t="shared" si="10361"/>
        <v>Pacote 04 - Segmento 2.2B- Km 104+500 a Km 116+400</v>
      </c>
    </row>
    <row r="2610" spans="1:49" ht="15.6" customHeight="1" outlineLevel="2">
      <c r="A2610" s="209">
        <v>0</v>
      </c>
      <c r="B2610" s="150"/>
      <c r="C2610" s="150">
        <v>0</v>
      </c>
      <c r="D2610" s="123"/>
      <c r="E2610" s="913"/>
      <c r="F2610" s="859"/>
      <c r="G2610" s="528"/>
      <c r="H2610" s="544" t="s">
        <v>38</v>
      </c>
      <c r="I2610" s="543">
        <f>SUMIF($L2611:$L2670,$L2610,I2611:I2670)</f>
        <v>137.4</v>
      </c>
      <c r="J2610" s="861"/>
      <c r="K2610" s="528"/>
      <c r="L2610" s="544" t="s">
        <v>38</v>
      </c>
      <c r="M2610" s="543">
        <f>SUMIF($L2611:$L2670,$L2610,M2611:M2670)</f>
        <v>0</v>
      </c>
      <c r="N2610" s="861"/>
      <c r="O2610" s="528"/>
      <c r="P2610" s="543">
        <f t="shared" ref="P2610:V2610" si="10519">SUMIF($L2611:$L2670,$L2610,P2611:P2670)</f>
        <v>0</v>
      </c>
      <c r="Q2610" s="543">
        <f t="shared" si="10519"/>
        <v>0</v>
      </c>
      <c r="R2610" s="543">
        <f t="shared" si="10519"/>
        <v>0</v>
      </c>
      <c r="S2610" s="543">
        <f t="shared" si="10519"/>
        <v>0</v>
      </c>
      <c r="T2610" s="543">
        <f t="shared" si="10519"/>
        <v>0</v>
      </c>
      <c r="U2610" s="543">
        <f t="shared" si="10519"/>
        <v>0</v>
      </c>
      <c r="V2610" s="543">
        <f t="shared" si="10519"/>
        <v>0</v>
      </c>
      <c r="W2610" s="528"/>
      <c r="X2610" s="543">
        <f t="shared" si="10516"/>
        <v>0</v>
      </c>
      <c r="Y2610" s="861"/>
      <c r="Z2610" s="528"/>
      <c r="AA2610" s="815"/>
      <c r="AB2610" s="815"/>
      <c r="AC2610" s="815"/>
      <c r="AD2610" s="912"/>
      <c r="AE2610" s="2"/>
      <c r="AF2610" s="889"/>
      <c r="AG2610" s="889"/>
      <c r="AH2610" s="889"/>
      <c r="AI2610" s="889"/>
      <c r="AJ2610" s="889"/>
      <c r="AK2610" s="889"/>
      <c r="AL2610" s="889"/>
      <c r="AM2610" s="744"/>
      <c r="AN2610" s="2"/>
      <c r="AO2610" s="888"/>
      <c r="AP2610" s="888"/>
      <c r="AV2610" t="str">
        <f t="shared" si="10363"/>
        <v xml:space="preserve">   Seg. 3.1- ADME 12 - Drenagem Superficial - Descida D´água</v>
      </c>
      <c r="AW2610" s="4" t="str">
        <f t="shared" si="10361"/>
        <v>Pacote 04 - Segmento 2.2B- Km 104+500 a Km 116+400</v>
      </c>
    </row>
    <row r="2611" spans="1:49" ht="15.6" customHeight="1" outlineLevel="2">
      <c r="A2611" s="8" t="str">
        <f t="shared" ref="A2611" si="10520">IF(SUM(P2611:V2612)&gt;0,"S","N")</f>
        <v>N</v>
      </c>
      <c r="B2611" s="150">
        <v>1052722</v>
      </c>
      <c r="C2611" s="150" t="s">
        <v>2875</v>
      </c>
      <c r="D2611" s="120" t="s">
        <v>2876</v>
      </c>
      <c r="E2611" s="892" t="s">
        <v>2877</v>
      </c>
      <c r="F2611" s="902" t="s">
        <v>36</v>
      </c>
      <c r="G2611" s="528"/>
      <c r="H2611" s="546" t="s">
        <v>37</v>
      </c>
      <c r="I2611" s="711">
        <v>0</v>
      </c>
      <c r="J2611" s="896" t="str">
        <f t="shared" ref="J2611" si="10521">IFERROR((I2612/I2611),"-")</f>
        <v>-</v>
      </c>
      <c r="K2611" s="528"/>
      <c r="L2611" s="546" t="s">
        <v>37</v>
      </c>
      <c r="M2611" s="711">
        <f t="shared" ref="M2611:M2670" si="10522">_xlfn.XLOOKUP($N$8,$P$8:$V$8,$P2611:$V2611)</f>
        <v>0</v>
      </c>
      <c r="N2611" s="896" t="str">
        <f t="shared" ref="N2611" si="10523">IFERROR((M2612/M2611),"-")</f>
        <v>-</v>
      </c>
      <c r="O2611" s="528"/>
      <c r="P2611" s="547">
        <v>0</v>
      </c>
      <c r="Q2611" s="547">
        <v>0</v>
      </c>
      <c r="R2611" s="547">
        <v>0</v>
      </c>
      <c r="S2611" s="547">
        <v>0</v>
      </c>
      <c r="T2611" s="547">
        <v>0</v>
      </c>
      <c r="U2611" s="547">
        <v>0</v>
      </c>
      <c r="V2611" s="547">
        <v>0</v>
      </c>
      <c r="W2611" s="528"/>
      <c r="X2611" s="711">
        <f t="shared" si="10516"/>
        <v>0</v>
      </c>
      <c r="Y2611" s="896" t="str">
        <f t="shared" ref="Y2611" si="10524">IFERROR((X2612/X2611),"-")</f>
        <v>-</v>
      </c>
      <c r="Z2611" s="528"/>
      <c r="AA2611" s="898">
        <v>0</v>
      </c>
      <c r="AB2611" s="898">
        <v>0</v>
      </c>
      <c r="AC2611" s="903">
        <v>0</v>
      </c>
      <c r="AD2611" s="896" t="str">
        <f t="shared" ref="AD2611" si="10525">IFERROR((AC2611/AA2611),"-")</f>
        <v>-</v>
      </c>
      <c r="AE2611" s="2"/>
      <c r="AF2611" s="884">
        <v>0</v>
      </c>
      <c r="AG2611" s="884"/>
      <c r="AH2611" s="884">
        <v>0</v>
      </c>
      <c r="AI2611" s="884"/>
      <c r="AJ2611" s="884"/>
      <c r="AK2611" s="884">
        <f t="shared" ref="AK2611" si="10526">AF2611+AG2611+AH2611+AI2611+AJ2611+AC2611</f>
        <v>0</v>
      </c>
      <c r="AL2611" s="884">
        <v>116</v>
      </c>
      <c r="AM2611" s="878">
        <f t="shared" ref="AM2611" si="10527">IFERROR((AK2611/AL2611),"-")</f>
        <v>0</v>
      </c>
      <c r="AN2611" s="2"/>
      <c r="AO2611" s="884">
        <v>116</v>
      </c>
      <c r="AP2611" s="884">
        <f t="shared" ref="AP2611" si="10528">AO2611-AK2611</f>
        <v>116</v>
      </c>
      <c r="AV2611" t="str">
        <f t="shared" si="10363"/>
        <v xml:space="preserve">   Seg. 3.1- ADME 12 - Drenagem Superficial - Descida D´água</v>
      </c>
      <c r="AW2611" s="4" t="str">
        <f t="shared" si="10361"/>
        <v xml:space="preserve">   Seg. 2.2-C01-Execução de sublastro</v>
      </c>
    </row>
    <row r="2612" spans="1:49" ht="15.6" customHeight="1" outlineLevel="2">
      <c r="A2612" s="8" t="str">
        <f t="shared" ref="A2612" si="10529">A2611</f>
        <v>N</v>
      </c>
      <c r="B2612" s="150">
        <v>1052722</v>
      </c>
      <c r="C2612" s="150" t="s">
        <v>2875</v>
      </c>
      <c r="D2612" s="120" t="s">
        <v>2876</v>
      </c>
      <c r="E2612" s="893"/>
      <c r="F2612" s="902"/>
      <c r="G2612" s="528"/>
      <c r="H2612" s="549" t="s">
        <v>38</v>
      </c>
      <c r="I2612" s="711">
        <v>0</v>
      </c>
      <c r="J2612" s="897"/>
      <c r="K2612" s="528"/>
      <c r="L2612" s="549" t="s">
        <v>38</v>
      </c>
      <c r="M2612" s="711">
        <f t="shared" si="10522"/>
        <v>0</v>
      </c>
      <c r="N2612" s="897"/>
      <c r="O2612" s="528"/>
      <c r="P2612" s="548">
        <v>0</v>
      </c>
      <c r="Q2612" s="548">
        <v>0</v>
      </c>
      <c r="R2612" s="548">
        <v>0</v>
      </c>
      <c r="S2612" s="548">
        <v>0</v>
      </c>
      <c r="T2612" s="548">
        <v>0</v>
      </c>
      <c r="U2612" s="548">
        <v>0</v>
      </c>
      <c r="V2612" s="548">
        <v>0</v>
      </c>
      <c r="W2612" s="528"/>
      <c r="X2612" s="711">
        <f t="shared" si="10516"/>
        <v>0</v>
      </c>
      <c r="Y2612" s="897"/>
      <c r="Z2612" s="528"/>
      <c r="AA2612" s="899"/>
      <c r="AB2612" s="899"/>
      <c r="AC2612" s="904"/>
      <c r="AD2612" s="905"/>
      <c r="AE2612" s="2"/>
      <c r="AF2612" s="885"/>
      <c r="AG2612" s="885"/>
      <c r="AH2612" s="885"/>
      <c r="AI2612" s="885"/>
      <c r="AJ2612" s="885"/>
      <c r="AK2612" s="885"/>
      <c r="AL2612" s="885"/>
      <c r="AM2612" s="879"/>
      <c r="AN2612" s="2"/>
      <c r="AO2612" s="886"/>
      <c r="AP2612" s="886"/>
      <c r="AV2612" t="str">
        <f t="shared" si="10363"/>
        <v xml:space="preserve">   Seg. 3.1- ADME 12 - Drenagem Superficial - Descida D´água</v>
      </c>
      <c r="AW2612" s="4" t="str">
        <f t="shared" si="10361"/>
        <v xml:space="preserve">   Seg. 2.2-C01-Execução de sublastro</v>
      </c>
    </row>
    <row r="2613" spans="1:49" ht="15.6" customHeight="1" outlineLevel="2">
      <c r="A2613" s="8" t="str">
        <f t="shared" ref="A2613" si="10530">IF(SUM(P2613:V2614)&gt;0,"S","N")</f>
        <v>N</v>
      </c>
      <c r="B2613" s="150">
        <v>1052723</v>
      </c>
      <c r="C2613" s="150" t="s">
        <v>2878</v>
      </c>
      <c r="D2613" s="120" t="s">
        <v>2879</v>
      </c>
      <c r="E2613" s="892" t="s">
        <v>2880</v>
      </c>
      <c r="F2613" s="902" t="s">
        <v>36</v>
      </c>
      <c r="G2613" s="528"/>
      <c r="H2613" s="546" t="s">
        <v>37</v>
      </c>
      <c r="I2613" s="711">
        <v>0</v>
      </c>
      <c r="J2613" s="896" t="str">
        <f t="shared" ref="J2613" si="10531">IFERROR((I2614/I2613),"-")</f>
        <v>-</v>
      </c>
      <c r="K2613" s="528"/>
      <c r="L2613" s="546" t="s">
        <v>37</v>
      </c>
      <c r="M2613" s="711">
        <f t="shared" si="10522"/>
        <v>0</v>
      </c>
      <c r="N2613" s="896" t="str">
        <f t="shared" ref="N2613" si="10532">IFERROR((M2614/M2613),"-")</f>
        <v>-</v>
      </c>
      <c r="O2613" s="528"/>
      <c r="P2613" s="547">
        <v>0</v>
      </c>
      <c r="Q2613" s="547">
        <v>0</v>
      </c>
      <c r="R2613" s="547">
        <v>0</v>
      </c>
      <c r="S2613" s="547">
        <v>0</v>
      </c>
      <c r="T2613" s="547">
        <v>0</v>
      </c>
      <c r="U2613" s="547">
        <v>0</v>
      </c>
      <c r="V2613" s="547">
        <v>0</v>
      </c>
      <c r="W2613" s="528"/>
      <c r="X2613" s="711">
        <f t="shared" si="10516"/>
        <v>0</v>
      </c>
      <c r="Y2613" s="896" t="str">
        <f t="shared" ref="Y2613" si="10533">IFERROR((X2614/X2613),"-")</f>
        <v>-</v>
      </c>
      <c r="Z2613" s="528"/>
      <c r="AA2613" s="898">
        <v>0</v>
      </c>
      <c r="AB2613" s="898">
        <v>0</v>
      </c>
      <c r="AC2613" s="903">
        <v>0</v>
      </c>
      <c r="AD2613" s="896" t="str">
        <f t="shared" ref="AD2613" si="10534">IFERROR((AC2613/AA2613),"-")</f>
        <v>-</v>
      </c>
      <c r="AE2613" s="2"/>
      <c r="AF2613" s="884">
        <v>0</v>
      </c>
      <c r="AG2613" s="884"/>
      <c r="AH2613" s="884">
        <v>0</v>
      </c>
      <c r="AI2613" s="884"/>
      <c r="AJ2613" s="884"/>
      <c r="AK2613" s="884">
        <f t="shared" ref="AK2613" si="10535">AF2613+AG2613+AH2613+AI2613+AJ2613+AC2613</f>
        <v>0</v>
      </c>
      <c r="AL2613" s="884">
        <v>856.00000000000011</v>
      </c>
      <c r="AM2613" s="878">
        <f t="shared" ref="AM2613" si="10536">IFERROR((AK2613/AL2613),"-")</f>
        <v>0</v>
      </c>
      <c r="AN2613" s="2"/>
      <c r="AO2613" s="884">
        <v>856</v>
      </c>
      <c r="AP2613" s="884">
        <f t="shared" ref="AP2613" si="10537">AO2613-AK2613</f>
        <v>856</v>
      </c>
      <c r="AV2613" t="str">
        <f t="shared" si="10363"/>
        <v xml:space="preserve">   Seg. 3.1- ADME 12 - Drenagem Superficial - Descida D´água</v>
      </c>
      <c r="AW2613" s="4" t="str">
        <f t="shared" si="10361"/>
        <v xml:space="preserve">   Seg. 2.2-A01-Execução de sublastro</v>
      </c>
    </row>
    <row r="2614" spans="1:49" ht="15.6" customHeight="1" outlineLevel="2">
      <c r="A2614" s="8" t="str">
        <f t="shared" ref="A2614" si="10538">A2613</f>
        <v>N</v>
      </c>
      <c r="B2614" s="150">
        <v>1052723</v>
      </c>
      <c r="C2614" s="150" t="s">
        <v>2878</v>
      </c>
      <c r="D2614" s="120" t="s">
        <v>2879</v>
      </c>
      <c r="E2614" s="893"/>
      <c r="F2614" s="902"/>
      <c r="G2614" s="528"/>
      <c r="H2614" s="549" t="s">
        <v>38</v>
      </c>
      <c r="I2614" s="711">
        <v>0</v>
      </c>
      <c r="J2614" s="897"/>
      <c r="K2614" s="528"/>
      <c r="L2614" s="549" t="s">
        <v>38</v>
      </c>
      <c r="M2614" s="711">
        <f t="shared" si="10522"/>
        <v>0</v>
      </c>
      <c r="N2614" s="897"/>
      <c r="O2614" s="528"/>
      <c r="P2614" s="548">
        <v>0</v>
      </c>
      <c r="Q2614" s="548">
        <v>0</v>
      </c>
      <c r="R2614" s="548">
        <v>0</v>
      </c>
      <c r="S2614" s="548">
        <v>0</v>
      </c>
      <c r="T2614" s="548">
        <v>0</v>
      </c>
      <c r="U2614" s="548">
        <v>0</v>
      </c>
      <c r="V2614" s="548">
        <v>0</v>
      </c>
      <c r="W2614" s="528"/>
      <c r="X2614" s="711">
        <f t="shared" si="10516"/>
        <v>0</v>
      </c>
      <c r="Y2614" s="897"/>
      <c r="Z2614" s="528"/>
      <c r="AA2614" s="899"/>
      <c r="AB2614" s="899"/>
      <c r="AC2614" s="904"/>
      <c r="AD2614" s="905"/>
      <c r="AE2614" s="2"/>
      <c r="AF2614" s="885"/>
      <c r="AG2614" s="885"/>
      <c r="AH2614" s="885"/>
      <c r="AI2614" s="885"/>
      <c r="AJ2614" s="885"/>
      <c r="AK2614" s="885"/>
      <c r="AL2614" s="885"/>
      <c r="AM2614" s="879"/>
      <c r="AN2614" s="2"/>
      <c r="AO2614" s="886"/>
      <c r="AP2614" s="886"/>
      <c r="AV2614" t="str">
        <f t="shared" si="10363"/>
        <v xml:space="preserve">   Seg. 3.1- ADME 12 - Drenagem Superficial - Descida D´água</v>
      </c>
      <c r="AW2614" s="4" t="str">
        <f t="shared" si="10361"/>
        <v xml:space="preserve">   Seg. 2.2-A01-Execução de sublastro</v>
      </c>
    </row>
    <row r="2615" spans="1:49" ht="15.6" customHeight="1" outlineLevel="2">
      <c r="A2615" s="209" t="str">
        <f t="shared" ref="A2615" si="10539">IF(SUM(P2615:V2616)&gt;0,"S","N")</f>
        <v>N</v>
      </c>
      <c r="B2615" s="150">
        <v>1052724</v>
      </c>
      <c r="C2615" s="150" t="s">
        <v>2881</v>
      </c>
      <c r="D2615" s="120" t="s">
        <v>2882</v>
      </c>
      <c r="E2615" s="892" t="s">
        <v>2883</v>
      </c>
      <c r="F2615" s="902" t="s">
        <v>36</v>
      </c>
      <c r="G2615" s="528"/>
      <c r="H2615" s="546" t="s">
        <v>37</v>
      </c>
      <c r="I2615" s="711">
        <v>0</v>
      </c>
      <c r="J2615" s="896" t="str">
        <f t="shared" ref="J2615" si="10540">IFERROR((I2616/I2615),"-")</f>
        <v>-</v>
      </c>
      <c r="K2615" s="528"/>
      <c r="L2615" s="546" t="s">
        <v>37</v>
      </c>
      <c r="M2615" s="711">
        <f t="shared" si="10522"/>
        <v>0</v>
      </c>
      <c r="N2615" s="896" t="str">
        <f t="shared" ref="N2615" si="10541">IFERROR((M2616/M2615),"-")</f>
        <v>-</v>
      </c>
      <c r="O2615" s="528"/>
      <c r="P2615" s="547">
        <v>0</v>
      </c>
      <c r="Q2615" s="547">
        <v>0</v>
      </c>
      <c r="R2615" s="547">
        <v>0</v>
      </c>
      <c r="S2615" s="547">
        <v>0</v>
      </c>
      <c r="T2615" s="547">
        <v>0</v>
      </c>
      <c r="U2615" s="547">
        <v>0</v>
      </c>
      <c r="V2615" s="547">
        <v>0</v>
      </c>
      <c r="W2615" s="528"/>
      <c r="X2615" s="711">
        <f t="shared" si="10516"/>
        <v>0</v>
      </c>
      <c r="Y2615" s="896" t="str">
        <f t="shared" ref="Y2615" si="10542">IFERROR((X2616/X2615),"-")</f>
        <v>-</v>
      </c>
      <c r="Z2615" s="528"/>
      <c r="AA2615" s="898">
        <v>0</v>
      </c>
      <c r="AB2615" s="898">
        <v>0</v>
      </c>
      <c r="AC2615" s="903">
        <v>0</v>
      </c>
      <c r="AD2615" s="896" t="str">
        <f t="shared" ref="AD2615" si="10543">IFERROR((AC2615/AA2615),"-")</f>
        <v>-</v>
      </c>
      <c r="AE2615" s="2"/>
      <c r="AF2615" s="884">
        <v>0</v>
      </c>
      <c r="AG2615" s="884"/>
      <c r="AH2615" s="884">
        <v>0</v>
      </c>
      <c r="AI2615" s="884"/>
      <c r="AJ2615" s="884"/>
      <c r="AK2615" s="884">
        <f t="shared" ref="AK2615" si="10544">AF2615+AG2615+AH2615+AI2615+AJ2615+AC2615</f>
        <v>0</v>
      </c>
      <c r="AL2615" s="884">
        <v>193.99999999999994</v>
      </c>
      <c r="AM2615" s="878">
        <f t="shared" ref="AM2615" si="10545">IFERROR((AK2615/AL2615),"-")</f>
        <v>0</v>
      </c>
      <c r="AN2615" s="2"/>
      <c r="AO2615" s="884">
        <v>194</v>
      </c>
      <c r="AP2615" s="884">
        <f t="shared" ref="AP2615" si="10546">AO2615-AK2615</f>
        <v>194</v>
      </c>
      <c r="AV2615" t="str">
        <f t="shared" si="10363"/>
        <v xml:space="preserve">   Seg. 3.1- ADME 12 - Drenagem Superficial - Descida D´água</v>
      </c>
      <c r="AW2615" s="4" t="str">
        <f t="shared" si="10361"/>
        <v xml:space="preserve">   Seg. 2.2-A02-Execução de sublastro</v>
      </c>
    </row>
    <row r="2616" spans="1:49" ht="15.6" customHeight="1" outlineLevel="2">
      <c r="A2616" s="209" t="str">
        <f t="shared" ref="A2616" si="10547">A2615</f>
        <v>N</v>
      </c>
      <c r="B2616" s="150">
        <v>1052724</v>
      </c>
      <c r="C2616" s="150" t="s">
        <v>2881</v>
      </c>
      <c r="D2616" s="120" t="s">
        <v>2882</v>
      </c>
      <c r="E2616" s="893"/>
      <c r="F2616" s="902"/>
      <c r="G2616" s="528"/>
      <c r="H2616" s="549" t="s">
        <v>38</v>
      </c>
      <c r="I2616" s="711">
        <v>0</v>
      </c>
      <c r="J2616" s="897"/>
      <c r="K2616" s="528"/>
      <c r="L2616" s="549" t="s">
        <v>38</v>
      </c>
      <c r="M2616" s="711">
        <f t="shared" si="10522"/>
        <v>0</v>
      </c>
      <c r="N2616" s="897"/>
      <c r="O2616" s="528"/>
      <c r="P2616" s="548">
        <v>0</v>
      </c>
      <c r="Q2616" s="548">
        <v>0</v>
      </c>
      <c r="R2616" s="548">
        <v>0</v>
      </c>
      <c r="S2616" s="548">
        <v>0</v>
      </c>
      <c r="T2616" s="548">
        <v>0</v>
      </c>
      <c r="U2616" s="548">
        <v>0</v>
      </c>
      <c r="V2616" s="548">
        <v>0</v>
      </c>
      <c r="W2616" s="528"/>
      <c r="X2616" s="711">
        <f t="shared" si="10516"/>
        <v>0</v>
      </c>
      <c r="Y2616" s="897"/>
      <c r="Z2616" s="528"/>
      <c r="AA2616" s="899"/>
      <c r="AB2616" s="899"/>
      <c r="AC2616" s="904"/>
      <c r="AD2616" s="905"/>
      <c r="AE2616" s="2"/>
      <c r="AF2616" s="885"/>
      <c r="AG2616" s="885"/>
      <c r="AH2616" s="885"/>
      <c r="AI2616" s="885"/>
      <c r="AJ2616" s="885"/>
      <c r="AK2616" s="885"/>
      <c r="AL2616" s="885"/>
      <c r="AM2616" s="879"/>
      <c r="AN2616" s="2"/>
      <c r="AO2616" s="886"/>
      <c r="AP2616" s="886"/>
      <c r="AV2616" t="str">
        <f t="shared" si="10363"/>
        <v xml:space="preserve">   Seg. 3.1- ADME 12 - Drenagem Superficial - Descida D´água</v>
      </c>
      <c r="AW2616" s="4" t="str">
        <f t="shared" si="10361"/>
        <v xml:space="preserve">   Seg. 2.2-A02-Execução de sublastro</v>
      </c>
    </row>
    <row r="2617" spans="1:49" ht="15.6" customHeight="1" outlineLevel="2">
      <c r="A2617" s="8" t="str">
        <f t="shared" ref="A2617" si="10548">IF(SUM(P2617:V2618)&gt;0,"S","N")</f>
        <v>N</v>
      </c>
      <c r="B2617" s="150">
        <v>1052725</v>
      </c>
      <c r="C2617" s="150" t="s">
        <v>2884</v>
      </c>
      <c r="D2617" s="120" t="s">
        <v>2885</v>
      </c>
      <c r="E2617" s="892" t="s">
        <v>2886</v>
      </c>
      <c r="F2617" s="902" t="s">
        <v>36</v>
      </c>
      <c r="G2617" s="528"/>
      <c r="H2617" s="546" t="s">
        <v>37</v>
      </c>
      <c r="I2617" s="711">
        <v>0</v>
      </c>
      <c r="J2617" s="896" t="str">
        <f t="shared" ref="J2617" si="10549">IFERROR((I2618/I2617),"-")</f>
        <v>-</v>
      </c>
      <c r="K2617" s="528"/>
      <c r="L2617" s="546" t="s">
        <v>37</v>
      </c>
      <c r="M2617" s="711">
        <f t="shared" si="10522"/>
        <v>0</v>
      </c>
      <c r="N2617" s="896" t="str">
        <f t="shared" ref="N2617" si="10550">IFERROR((M2618/M2617),"-")</f>
        <v>-</v>
      </c>
      <c r="O2617" s="528"/>
      <c r="P2617" s="547">
        <v>0</v>
      </c>
      <c r="Q2617" s="547">
        <v>0</v>
      </c>
      <c r="R2617" s="547">
        <v>0</v>
      </c>
      <c r="S2617" s="547">
        <v>0</v>
      </c>
      <c r="T2617" s="547">
        <v>0</v>
      </c>
      <c r="U2617" s="547">
        <v>0</v>
      </c>
      <c r="V2617" s="547">
        <v>0</v>
      </c>
      <c r="W2617" s="528"/>
      <c r="X2617" s="711">
        <f t="shared" si="10516"/>
        <v>0</v>
      </c>
      <c r="Y2617" s="896" t="str">
        <f t="shared" ref="Y2617" si="10551">IFERROR((X2618/X2617),"-")</f>
        <v>-</v>
      </c>
      <c r="Z2617" s="528"/>
      <c r="AA2617" s="898">
        <v>0</v>
      </c>
      <c r="AB2617" s="898">
        <v>0</v>
      </c>
      <c r="AC2617" s="903">
        <v>0</v>
      </c>
      <c r="AD2617" s="896" t="str">
        <f t="shared" ref="AD2617" si="10552">IFERROR((AC2617/AA2617),"-")</f>
        <v>-</v>
      </c>
      <c r="AE2617" s="2"/>
      <c r="AF2617" s="884">
        <v>0</v>
      </c>
      <c r="AG2617" s="884"/>
      <c r="AH2617" s="884">
        <v>0</v>
      </c>
      <c r="AI2617" s="884"/>
      <c r="AJ2617" s="884"/>
      <c r="AK2617" s="884">
        <f t="shared" ref="AK2617" si="10553">AF2617+AG2617+AH2617+AI2617+AJ2617+AC2617</f>
        <v>0</v>
      </c>
      <c r="AL2617" s="884">
        <v>504.00000000000028</v>
      </c>
      <c r="AM2617" s="878">
        <f t="shared" ref="AM2617" si="10554">IFERROR((AK2617/AL2617),"-")</f>
        <v>0</v>
      </c>
      <c r="AN2617" s="2"/>
      <c r="AO2617" s="884">
        <v>504</v>
      </c>
      <c r="AP2617" s="884">
        <f t="shared" ref="AP2617" si="10555">AO2617-AK2617</f>
        <v>504</v>
      </c>
      <c r="AV2617" t="str">
        <f t="shared" si="10363"/>
        <v xml:space="preserve">   Seg. 3.1- ADME 12 - Drenagem Superficial - Descida D´água</v>
      </c>
      <c r="AW2617" s="4" t="str">
        <f t="shared" si="10361"/>
        <v xml:space="preserve">   Seg. 2.2-C02-Execução de sublastro</v>
      </c>
    </row>
    <row r="2618" spans="1:49" ht="15.6" customHeight="1" outlineLevel="2">
      <c r="A2618" s="8" t="str">
        <f t="shared" ref="A2618" si="10556">A2617</f>
        <v>N</v>
      </c>
      <c r="B2618" s="150">
        <v>1052725</v>
      </c>
      <c r="C2618" s="150" t="s">
        <v>2884</v>
      </c>
      <c r="D2618" s="120" t="s">
        <v>2885</v>
      </c>
      <c r="E2618" s="893"/>
      <c r="F2618" s="902"/>
      <c r="G2618" s="528"/>
      <c r="H2618" s="549" t="s">
        <v>38</v>
      </c>
      <c r="I2618" s="711">
        <v>0</v>
      </c>
      <c r="J2618" s="897"/>
      <c r="K2618" s="528"/>
      <c r="L2618" s="549" t="s">
        <v>38</v>
      </c>
      <c r="M2618" s="711">
        <f t="shared" si="10522"/>
        <v>0</v>
      </c>
      <c r="N2618" s="897"/>
      <c r="O2618" s="528"/>
      <c r="P2618" s="548">
        <v>0</v>
      </c>
      <c r="Q2618" s="548">
        <v>0</v>
      </c>
      <c r="R2618" s="548">
        <v>0</v>
      </c>
      <c r="S2618" s="548">
        <v>0</v>
      </c>
      <c r="T2618" s="548">
        <v>0</v>
      </c>
      <c r="U2618" s="548">
        <v>0</v>
      </c>
      <c r="V2618" s="548">
        <v>0</v>
      </c>
      <c r="W2618" s="528"/>
      <c r="X2618" s="711">
        <f t="shared" si="10516"/>
        <v>0</v>
      </c>
      <c r="Y2618" s="897"/>
      <c r="Z2618" s="528"/>
      <c r="AA2618" s="899"/>
      <c r="AB2618" s="899"/>
      <c r="AC2618" s="904"/>
      <c r="AD2618" s="905"/>
      <c r="AE2618" s="2"/>
      <c r="AF2618" s="885"/>
      <c r="AG2618" s="885"/>
      <c r="AH2618" s="885"/>
      <c r="AI2618" s="885"/>
      <c r="AJ2618" s="885"/>
      <c r="AK2618" s="885"/>
      <c r="AL2618" s="885"/>
      <c r="AM2618" s="879"/>
      <c r="AN2618" s="2"/>
      <c r="AO2618" s="886"/>
      <c r="AP2618" s="886"/>
      <c r="AV2618" t="str">
        <f t="shared" si="10363"/>
        <v xml:space="preserve">   Seg. 3.1- ADME 12 - Drenagem Superficial - Descida D´água</v>
      </c>
      <c r="AW2618" s="4" t="str">
        <f t="shared" si="10361"/>
        <v xml:space="preserve">   Seg. 2.2-C02-Execução de sublastro</v>
      </c>
    </row>
    <row r="2619" spans="1:49" ht="15.6" customHeight="1" outlineLevel="2">
      <c r="A2619" s="8" t="str">
        <f t="shared" ref="A2619" si="10557">IF(SUM(P2619:V2620)&gt;0,"S","N")</f>
        <v>N</v>
      </c>
      <c r="B2619" s="150">
        <v>1052726</v>
      </c>
      <c r="C2619" s="150" t="s">
        <v>2887</v>
      </c>
      <c r="D2619" s="120" t="s">
        <v>2888</v>
      </c>
      <c r="E2619" s="892" t="s">
        <v>2889</v>
      </c>
      <c r="F2619" s="902" t="s">
        <v>36</v>
      </c>
      <c r="G2619" s="528"/>
      <c r="H2619" s="546" t="s">
        <v>37</v>
      </c>
      <c r="I2619" s="711">
        <v>0</v>
      </c>
      <c r="J2619" s="896" t="str">
        <f t="shared" ref="J2619" si="10558">IFERROR((I2620/I2619),"-")</f>
        <v>-</v>
      </c>
      <c r="K2619" s="528"/>
      <c r="L2619" s="546" t="s">
        <v>37</v>
      </c>
      <c r="M2619" s="711">
        <f t="shared" si="10522"/>
        <v>0</v>
      </c>
      <c r="N2619" s="896" t="str">
        <f t="shared" ref="N2619" si="10559">IFERROR((M2620/M2619),"-")</f>
        <v>-</v>
      </c>
      <c r="O2619" s="528"/>
      <c r="P2619" s="547">
        <v>0</v>
      </c>
      <c r="Q2619" s="547">
        <v>0</v>
      </c>
      <c r="R2619" s="547">
        <v>0</v>
      </c>
      <c r="S2619" s="547">
        <v>0</v>
      </c>
      <c r="T2619" s="547">
        <v>0</v>
      </c>
      <c r="U2619" s="547">
        <v>0</v>
      </c>
      <c r="V2619" s="547">
        <v>0</v>
      </c>
      <c r="W2619" s="528"/>
      <c r="X2619" s="711">
        <f t="shared" si="10516"/>
        <v>0</v>
      </c>
      <c r="Y2619" s="896" t="str">
        <f t="shared" ref="Y2619" si="10560">IFERROR((X2620/X2619),"-")</f>
        <v>-</v>
      </c>
      <c r="Z2619" s="528"/>
      <c r="AA2619" s="898">
        <v>0</v>
      </c>
      <c r="AB2619" s="898">
        <v>0</v>
      </c>
      <c r="AC2619" s="903">
        <v>0</v>
      </c>
      <c r="AD2619" s="896" t="str">
        <f t="shared" ref="AD2619" si="10561">IFERROR((AC2619/AA2619),"-")</f>
        <v>-</v>
      </c>
      <c r="AE2619" s="2"/>
      <c r="AF2619" s="884">
        <v>0</v>
      </c>
      <c r="AG2619" s="884"/>
      <c r="AH2619" s="884">
        <v>0</v>
      </c>
      <c r="AI2619" s="884"/>
      <c r="AJ2619" s="884"/>
      <c r="AK2619" s="884">
        <f t="shared" ref="AK2619" si="10562">AF2619+AG2619+AH2619+AI2619+AJ2619+AC2619</f>
        <v>0</v>
      </c>
      <c r="AL2619" s="884">
        <v>78</v>
      </c>
      <c r="AM2619" s="878">
        <f t="shared" ref="AM2619" si="10563">IFERROR((AK2619/AL2619),"-")</f>
        <v>0</v>
      </c>
      <c r="AN2619" s="2"/>
      <c r="AO2619" s="884">
        <v>78</v>
      </c>
      <c r="AP2619" s="884">
        <f t="shared" ref="AP2619" si="10564">AO2619-AK2619</f>
        <v>78</v>
      </c>
      <c r="AV2619" t="str">
        <f t="shared" si="10363"/>
        <v xml:space="preserve">   Seg. 3.1- ADME 12 - Drenagem Superficial - Descida D´água</v>
      </c>
      <c r="AW2619" s="4" t="str">
        <f t="shared" si="10361"/>
        <v xml:space="preserve">   Seg. 2.2-A03-Execução de sublastro</v>
      </c>
    </row>
    <row r="2620" spans="1:49" ht="15.6" customHeight="1" outlineLevel="2">
      <c r="A2620" s="8" t="str">
        <f t="shared" ref="A2620" si="10565">A2619</f>
        <v>N</v>
      </c>
      <c r="B2620" s="150">
        <v>1052726</v>
      </c>
      <c r="C2620" s="150" t="s">
        <v>2887</v>
      </c>
      <c r="D2620" s="120" t="s">
        <v>2888</v>
      </c>
      <c r="E2620" s="893"/>
      <c r="F2620" s="902"/>
      <c r="G2620" s="528"/>
      <c r="H2620" s="549" t="s">
        <v>38</v>
      </c>
      <c r="I2620" s="711">
        <v>0</v>
      </c>
      <c r="J2620" s="897"/>
      <c r="K2620" s="528"/>
      <c r="L2620" s="549" t="s">
        <v>38</v>
      </c>
      <c r="M2620" s="711">
        <f t="shared" si="10522"/>
        <v>0</v>
      </c>
      <c r="N2620" s="897"/>
      <c r="O2620" s="528"/>
      <c r="P2620" s="548">
        <v>0</v>
      </c>
      <c r="Q2620" s="548">
        <v>0</v>
      </c>
      <c r="R2620" s="548">
        <v>0</v>
      </c>
      <c r="S2620" s="548">
        <v>0</v>
      </c>
      <c r="T2620" s="548">
        <v>0</v>
      </c>
      <c r="U2620" s="548">
        <v>0</v>
      </c>
      <c r="V2620" s="548">
        <v>0</v>
      </c>
      <c r="W2620" s="528"/>
      <c r="X2620" s="711">
        <f t="shared" si="10516"/>
        <v>0</v>
      </c>
      <c r="Y2620" s="897"/>
      <c r="Z2620" s="528"/>
      <c r="AA2620" s="899"/>
      <c r="AB2620" s="899"/>
      <c r="AC2620" s="904"/>
      <c r="AD2620" s="905"/>
      <c r="AE2620" s="2"/>
      <c r="AF2620" s="885"/>
      <c r="AG2620" s="885"/>
      <c r="AH2620" s="885"/>
      <c r="AI2620" s="885"/>
      <c r="AJ2620" s="885"/>
      <c r="AK2620" s="885"/>
      <c r="AL2620" s="885"/>
      <c r="AM2620" s="879"/>
      <c r="AN2620" s="2"/>
      <c r="AO2620" s="886"/>
      <c r="AP2620" s="886"/>
      <c r="AV2620" t="str">
        <f t="shared" si="10363"/>
        <v xml:space="preserve">   Seg. 3.1- ADME 12 - Drenagem Superficial - Descida D´água</v>
      </c>
      <c r="AW2620" s="4" t="str">
        <f t="shared" si="10361"/>
        <v xml:space="preserve">   Seg. 2.2-A03-Execução de sublastro</v>
      </c>
    </row>
    <row r="2621" spans="1:49" ht="15.6" customHeight="1" outlineLevel="2">
      <c r="A2621" s="8" t="str">
        <f t="shared" ref="A2621" si="10566">IF(SUM(P2621:V2622)&gt;0,"S","N")</f>
        <v>N</v>
      </c>
      <c r="B2621" s="150">
        <v>1052727</v>
      </c>
      <c r="C2621" s="150" t="s">
        <v>2890</v>
      </c>
      <c r="D2621" s="120" t="s">
        <v>2891</v>
      </c>
      <c r="E2621" s="892" t="s">
        <v>2892</v>
      </c>
      <c r="F2621" s="902" t="s">
        <v>36</v>
      </c>
      <c r="G2621" s="528"/>
      <c r="H2621" s="546" t="s">
        <v>37</v>
      </c>
      <c r="I2621" s="711">
        <v>0</v>
      </c>
      <c r="J2621" s="896" t="str">
        <f t="shared" ref="J2621" si="10567">IFERROR((I2622/I2621),"-")</f>
        <v>-</v>
      </c>
      <c r="K2621" s="528"/>
      <c r="L2621" s="546" t="s">
        <v>37</v>
      </c>
      <c r="M2621" s="711">
        <f t="shared" si="10522"/>
        <v>0</v>
      </c>
      <c r="N2621" s="896" t="str">
        <f t="shared" ref="N2621" si="10568">IFERROR((M2622/M2621),"-")</f>
        <v>-</v>
      </c>
      <c r="O2621" s="528"/>
      <c r="P2621" s="547">
        <v>0</v>
      </c>
      <c r="Q2621" s="547">
        <v>0</v>
      </c>
      <c r="R2621" s="547">
        <v>0</v>
      </c>
      <c r="S2621" s="547">
        <v>0</v>
      </c>
      <c r="T2621" s="547">
        <v>0</v>
      </c>
      <c r="U2621" s="547">
        <v>0</v>
      </c>
      <c r="V2621" s="547">
        <v>0</v>
      </c>
      <c r="W2621" s="528"/>
      <c r="X2621" s="711">
        <f t="shared" si="10516"/>
        <v>0</v>
      </c>
      <c r="Y2621" s="896" t="str">
        <f t="shared" ref="Y2621" si="10569">IFERROR((X2622/X2621),"-")</f>
        <v>-</v>
      </c>
      <c r="Z2621" s="528"/>
      <c r="AA2621" s="898">
        <v>0</v>
      </c>
      <c r="AB2621" s="898">
        <v>0</v>
      </c>
      <c r="AC2621" s="903">
        <v>0</v>
      </c>
      <c r="AD2621" s="896" t="str">
        <f t="shared" ref="AD2621" si="10570">IFERROR((AC2621/AA2621),"-")</f>
        <v>-</v>
      </c>
      <c r="AE2621" s="2"/>
      <c r="AF2621" s="884">
        <v>0</v>
      </c>
      <c r="AG2621" s="884"/>
      <c r="AH2621" s="884">
        <v>0</v>
      </c>
      <c r="AI2621" s="884"/>
      <c r="AJ2621" s="884"/>
      <c r="AK2621" s="884">
        <f t="shared" ref="AK2621" si="10571">AF2621+AG2621+AH2621+AI2621+AJ2621+AC2621</f>
        <v>0</v>
      </c>
      <c r="AL2621" s="884">
        <v>620</v>
      </c>
      <c r="AM2621" s="878">
        <f t="shared" ref="AM2621" si="10572">IFERROR((AK2621/AL2621),"-")</f>
        <v>0</v>
      </c>
      <c r="AN2621" s="2"/>
      <c r="AO2621" s="884">
        <v>620</v>
      </c>
      <c r="AP2621" s="884">
        <f t="shared" ref="AP2621" si="10573">AO2621-AK2621</f>
        <v>620</v>
      </c>
      <c r="AV2621" t="str">
        <f t="shared" si="10363"/>
        <v xml:space="preserve">   Seg. 3.1- ADME 12 - Drenagem Superficial - Descida D´água</v>
      </c>
      <c r="AW2621" s="4" t="str">
        <f t="shared" si="10361"/>
        <v xml:space="preserve">   Seg. 2.2-C03-Execução de sublastro</v>
      </c>
    </row>
    <row r="2622" spans="1:49" ht="15.6" customHeight="1" outlineLevel="2">
      <c r="A2622" s="8" t="str">
        <f t="shared" ref="A2622" si="10574">A2621</f>
        <v>N</v>
      </c>
      <c r="B2622" s="150">
        <v>1052727</v>
      </c>
      <c r="C2622" s="150" t="s">
        <v>2890</v>
      </c>
      <c r="D2622" s="120" t="s">
        <v>2891</v>
      </c>
      <c r="E2622" s="893"/>
      <c r="F2622" s="902"/>
      <c r="G2622" s="528"/>
      <c r="H2622" s="549" t="s">
        <v>38</v>
      </c>
      <c r="I2622" s="711">
        <v>0</v>
      </c>
      <c r="J2622" s="897"/>
      <c r="K2622" s="528"/>
      <c r="L2622" s="549" t="s">
        <v>38</v>
      </c>
      <c r="M2622" s="711">
        <f t="shared" si="10522"/>
        <v>0</v>
      </c>
      <c r="N2622" s="897"/>
      <c r="O2622" s="528"/>
      <c r="P2622" s="548">
        <v>0</v>
      </c>
      <c r="Q2622" s="548">
        <v>0</v>
      </c>
      <c r="R2622" s="548">
        <v>0</v>
      </c>
      <c r="S2622" s="548">
        <v>0</v>
      </c>
      <c r="T2622" s="548">
        <v>0</v>
      </c>
      <c r="U2622" s="548">
        <v>0</v>
      </c>
      <c r="V2622" s="548">
        <v>0</v>
      </c>
      <c r="W2622" s="528"/>
      <c r="X2622" s="711">
        <f t="shared" si="10516"/>
        <v>0</v>
      </c>
      <c r="Y2622" s="897"/>
      <c r="Z2622" s="528"/>
      <c r="AA2622" s="899"/>
      <c r="AB2622" s="899"/>
      <c r="AC2622" s="904"/>
      <c r="AD2622" s="905"/>
      <c r="AE2622" s="2"/>
      <c r="AF2622" s="885"/>
      <c r="AG2622" s="885"/>
      <c r="AH2622" s="885"/>
      <c r="AI2622" s="885"/>
      <c r="AJ2622" s="885"/>
      <c r="AK2622" s="885"/>
      <c r="AL2622" s="885"/>
      <c r="AM2622" s="879"/>
      <c r="AN2622" s="2"/>
      <c r="AO2622" s="886"/>
      <c r="AP2622" s="886"/>
      <c r="AV2622" t="str">
        <f t="shared" si="10363"/>
        <v xml:space="preserve">   Seg. 3.1- ADME 12 - Drenagem Superficial - Descida D´água</v>
      </c>
      <c r="AW2622" s="4" t="str">
        <f t="shared" si="10361"/>
        <v xml:space="preserve">   Seg. 2.2-C03-Execução de sublastro</v>
      </c>
    </row>
    <row r="2623" spans="1:49" ht="15.6" customHeight="1" outlineLevel="2">
      <c r="A2623" s="8" t="str">
        <f t="shared" ref="A2623" si="10575">IF(SUM(P2623:V2624)&gt;0,"S","N")</f>
        <v>N</v>
      </c>
      <c r="B2623" s="150">
        <v>1052728</v>
      </c>
      <c r="C2623" s="150" t="s">
        <v>2893</v>
      </c>
      <c r="D2623" s="120" t="s">
        <v>2894</v>
      </c>
      <c r="E2623" s="892" t="s">
        <v>2895</v>
      </c>
      <c r="F2623" s="902" t="s">
        <v>36</v>
      </c>
      <c r="G2623" s="528"/>
      <c r="H2623" s="546" t="s">
        <v>37</v>
      </c>
      <c r="I2623" s="711">
        <v>0</v>
      </c>
      <c r="J2623" s="896" t="str">
        <f t="shared" ref="J2623" si="10576">IFERROR((I2624/I2623),"-")</f>
        <v>-</v>
      </c>
      <c r="K2623" s="528"/>
      <c r="L2623" s="546" t="s">
        <v>37</v>
      </c>
      <c r="M2623" s="711">
        <f t="shared" si="10522"/>
        <v>0</v>
      </c>
      <c r="N2623" s="896" t="str">
        <f t="shared" ref="N2623" si="10577">IFERROR((M2624/M2623),"-")</f>
        <v>-</v>
      </c>
      <c r="O2623" s="528"/>
      <c r="P2623" s="547">
        <v>0</v>
      </c>
      <c r="Q2623" s="547">
        <v>0</v>
      </c>
      <c r="R2623" s="547">
        <v>0</v>
      </c>
      <c r="S2623" s="547">
        <v>0</v>
      </c>
      <c r="T2623" s="547">
        <v>0</v>
      </c>
      <c r="U2623" s="547">
        <v>0</v>
      </c>
      <c r="V2623" s="547">
        <v>0</v>
      </c>
      <c r="W2623" s="528"/>
      <c r="X2623" s="711">
        <f t="shared" si="10516"/>
        <v>0</v>
      </c>
      <c r="Y2623" s="896" t="str">
        <f t="shared" ref="Y2623" si="10578">IFERROR((X2624/X2623),"-")</f>
        <v>-</v>
      </c>
      <c r="Z2623" s="528"/>
      <c r="AA2623" s="898">
        <v>0</v>
      </c>
      <c r="AB2623" s="898">
        <v>0</v>
      </c>
      <c r="AC2623" s="903">
        <v>0</v>
      </c>
      <c r="AD2623" s="896" t="str">
        <f t="shared" ref="AD2623" si="10579">IFERROR((AC2623/AA2623),"-")</f>
        <v>-</v>
      </c>
      <c r="AE2623" s="2"/>
      <c r="AF2623" s="884">
        <v>499</v>
      </c>
      <c r="AG2623" s="884"/>
      <c r="AH2623" s="884">
        <v>0</v>
      </c>
      <c r="AI2623" s="884"/>
      <c r="AJ2623" s="884"/>
      <c r="AK2623" s="884">
        <f t="shared" ref="AK2623" si="10580">AF2623+AG2623+AH2623+AI2623+AJ2623+AC2623</f>
        <v>499</v>
      </c>
      <c r="AL2623" s="884">
        <v>499.1100000000003</v>
      </c>
      <c r="AM2623" s="878">
        <f t="shared" ref="AM2623" si="10581">IFERROR((AK2623/AL2623),"-")</f>
        <v>0.99977960770170848</v>
      </c>
      <c r="AN2623" s="2"/>
      <c r="AO2623" s="884">
        <v>499</v>
      </c>
      <c r="AP2623" s="884">
        <f t="shared" ref="AP2623" si="10582">AO2623-AK2623</f>
        <v>0</v>
      </c>
      <c r="AV2623" t="str">
        <f t="shared" si="10363"/>
        <v xml:space="preserve">   Seg. 3.1- ADME 12 - Drenagem Superficial - Descida D´água</v>
      </c>
      <c r="AW2623" s="4" t="str">
        <f t="shared" si="10361"/>
        <v xml:space="preserve">   Seg. 2.2-A04-Execução de sublastro</v>
      </c>
    </row>
    <row r="2624" spans="1:49" ht="15.6" customHeight="1" outlineLevel="2">
      <c r="A2624" s="8" t="str">
        <f t="shared" ref="A2624" si="10583">A2623</f>
        <v>N</v>
      </c>
      <c r="B2624" s="150">
        <v>1052728</v>
      </c>
      <c r="C2624" s="150" t="s">
        <v>2893</v>
      </c>
      <c r="D2624" s="120" t="s">
        <v>2894</v>
      </c>
      <c r="E2624" s="893"/>
      <c r="F2624" s="902"/>
      <c r="G2624" s="528"/>
      <c r="H2624" s="549" t="s">
        <v>38</v>
      </c>
      <c r="I2624" s="711">
        <v>0</v>
      </c>
      <c r="J2624" s="897"/>
      <c r="K2624" s="528"/>
      <c r="L2624" s="549" t="s">
        <v>38</v>
      </c>
      <c r="M2624" s="711">
        <f t="shared" si="10522"/>
        <v>0</v>
      </c>
      <c r="N2624" s="897"/>
      <c r="O2624" s="528"/>
      <c r="P2624" s="548">
        <v>0</v>
      </c>
      <c r="Q2624" s="548">
        <v>0</v>
      </c>
      <c r="R2624" s="548">
        <v>0</v>
      </c>
      <c r="S2624" s="548">
        <v>0</v>
      </c>
      <c r="T2624" s="548">
        <v>0</v>
      </c>
      <c r="U2624" s="548">
        <v>0</v>
      </c>
      <c r="V2624" s="548">
        <v>0</v>
      </c>
      <c r="W2624" s="528"/>
      <c r="X2624" s="711">
        <f t="shared" si="10516"/>
        <v>0</v>
      </c>
      <c r="Y2624" s="897"/>
      <c r="Z2624" s="528"/>
      <c r="AA2624" s="899"/>
      <c r="AB2624" s="899"/>
      <c r="AC2624" s="904"/>
      <c r="AD2624" s="905"/>
      <c r="AE2624" s="2"/>
      <c r="AF2624" s="885"/>
      <c r="AG2624" s="885"/>
      <c r="AH2624" s="885"/>
      <c r="AI2624" s="885"/>
      <c r="AJ2624" s="885"/>
      <c r="AK2624" s="885"/>
      <c r="AL2624" s="885"/>
      <c r="AM2624" s="879"/>
      <c r="AN2624" s="2"/>
      <c r="AO2624" s="886"/>
      <c r="AP2624" s="886"/>
      <c r="AV2624" t="str">
        <f t="shared" si="10363"/>
        <v xml:space="preserve">   Seg. 3.1- ADME 12 - Drenagem Superficial - Descida D´água</v>
      </c>
      <c r="AW2624" s="4" t="str">
        <f t="shared" si="10361"/>
        <v xml:space="preserve">   Seg. 2.2-A04-Execução de sublastro</v>
      </c>
    </row>
    <row r="2625" spans="1:49" ht="15.6" customHeight="1" outlineLevel="2">
      <c r="A2625" s="8" t="str">
        <f t="shared" ref="A2625" si="10584">IF(SUM(P2625:V2626)&gt;0,"S","N")</f>
        <v>S</v>
      </c>
      <c r="B2625" s="150">
        <v>1052729</v>
      </c>
      <c r="C2625" s="150" t="s">
        <v>2896</v>
      </c>
      <c r="D2625" s="120" t="s">
        <v>2897</v>
      </c>
      <c r="E2625" s="892" t="s">
        <v>2898</v>
      </c>
      <c r="F2625" s="902" t="s">
        <v>36</v>
      </c>
      <c r="G2625" s="528"/>
      <c r="H2625" s="546" t="s">
        <v>37</v>
      </c>
      <c r="I2625" s="711">
        <v>2019</v>
      </c>
      <c r="J2625" s="896">
        <f t="shared" ref="J2625" si="10585">IFERROR((I2626/I2625),"-")</f>
        <v>0</v>
      </c>
      <c r="K2625" s="528"/>
      <c r="L2625" s="546" t="s">
        <v>37</v>
      </c>
      <c r="M2625" s="711">
        <f t="shared" si="10522"/>
        <v>0</v>
      </c>
      <c r="N2625" s="896" t="str">
        <f t="shared" ref="N2625" si="10586">IFERROR((M2626/M2625),"-")</f>
        <v>-</v>
      </c>
      <c r="O2625" s="528"/>
      <c r="P2625" s="547">
        <v>0</v>
      </c>
      <c r="Q2625" s="547">
        <v>0</v>
      </c>
      <c r="R2625" s="547">
        <v>700</v>
      </c>
      <c r="S2625" s="547">
        <v>700</v>
      </c>
      <c r="T2625" s="547">
        <v>600</v>
      </c>
      <c r="U2625" s="547">
        <v>19</v>
      </c>
      <c r="V2625" s="547">
        <v>0</v>
      </c>
      <c r="W2625" s="528"/>
      <c r="X2625" s="711">
        <f t="shared" si="10516"/>
        <v>0</v>
      </c>
      <c r="Y2625" s="896" t="str">
        <f t="shared" ref="Y2625" si="10587">IFERROR((X2626/X2625),"-")</f>
        <v>-</v>
      </c>
      <c r="Z2625" s="528"/>
      <c r="AA2625" s="898">
        <v>2019</v>
      </c>
      <c r="AB2625" s="898">
        <v>2019</v>
      </c>
      <c r="AC2625" s="903">
        <v>0</v>
      </c>
      <c r="AD2625" s="896">
        <f t="shared" ref="AD2625" si="10588">IFERROR((AC2625/AA2625),"-")</f>
        <v>0</v>
      </c>
      <c r="AE2625" s="2"/>
      <c r="AF2625" s="884">
        <v>0</v>
      </c>
      <c r="AG2625" s="884"/>
      <c r="AH2625" s="884">
        <v>0</v>
      </c>
      <c r="AI2625" s="884"/>
      <c r="AJ2625" s="884"/>
      <c r="AK2625" s="884">
        <f t="shared" ref="AK2625" si="10589">AF2625+AG2625+AH2625+AI2625+AJ2625+AC2625</f>
        <v>0</v>
      </c>
      <c r="AL2625" s="884">
        <v>2019</v>
      </c>
      <c r="AM2625" s="878">
        <f t="shared" ref="AM2625" si="10590">IFERROR((AK2625/AL2625),"-")</f>
        <v>0</v>
      </c>
      <c r="AN2625" s="2"/>
      <c r="AO2625" s="884">
        <v>2019</v>
      </c>
      <c r="AP2625" s="884">
        <f t="shared" ref="AP2625" si="10591">AO2625-AK2625</f>
        <v>2019</v>
      </c>
      <c r="AV2625" t="str">
        <f t="shared" si="10363"/>
        <v xml:space="preserve">   Seg. 3.1- ADME 12 - Drenagem Superficial - Descida D´água</v>
      </c>
      <c r="AW2625" s="4" t="str">
        <f t="shared" si="10361"/>
        <v xml:space="preserve">   Seg. 2.2-C04-Execução de sublastro - 1° Trecho</v>
      </c>
    </row>
    <row r="2626" spans="1:49" ht="15.6" customHeight="1" outlineLevel="2">
      <c r="A2626" s="8" t="str">
        <f t="shared" ref="A2626" si="10592">A2625</f>
        <v>S</v>
      </c>
      <c r="B2626" s="150">
        <v>1052729</v>
      </c>
      <c r="C2626" s="150" t="s">
        <v>2896</v>
      </c>
      <c r="D2626" s="120" t="s">
        <v>2897</v>
      </c>
      <c r="E2626" s="893"/>
      <c r="F2626" s="902"/>
      <c r="G2626" s="528"/>
      <c r="H2626" s="549" t="s">
        <v>38</v>
      </c>
      <c r="I2626" s="711">
        <v>0</v>
      </c>
      <c r="J2626" s="897"/>
      <c r="K2626" s="528"/>
      <c r="L2626" s="549" t="s">
        <v>38</v>
      </c>
      <c r="M2626" s="711">
        <f t="shared" si="10522"/>
        <v>0</v>
      </c>
      <c r="N2626" s="897"/>
      <c r="O2626" s="528"/>
      <c r="P2626" s="548">
        <v>0</v>
      </c>
      <c r="Q2626" s="548">
        <v>0</v>
      </c>
      <c r="R2626" s="548">
        <v>0</v>
      </c>
      <c r="S2626" s="548">
        <v>0</v>
      </c>
      <c r="T2626" s="548">
        <v>0</v>
      </c>
      <c r="U2626" s="548">
        <v>0</v>
      </c>
      <c r="V2626" s="548">
        <v>0</v>
      </c>
      <c r="W2626" s="528"/>
      <c r="X2626" s="711">
        <f t="shared" si="10516"/>
        <v>0</v>
      </c>
      <c r="Y2626" s="897"/>
      <c r="Z2626" s="528"/>
      <c r="AA2626" s="899"/>
      <c r="AB2626" s="899"/>
      <c r="AC2626" s="904"/>
      <c r="AD2626" s="905"/>
      <c r="AE2626" s="2"/>
      <c r="AF2626" s="885"/>
      <c r="AG2626" s="885"/>
      <c r="AH2626" s="885"/>
      <c r="AI2626" s="885"/>
      <c r="AJ2626" s="885"/>
      <c r="AK2626" s="885"/>
      <c r="AL2626" s="885"/>
      <c r="AM2626" s="879"/>
      <c r="AN2626" s="2"/>
      <c r="AO2626" s="886"/>
      <c r="AP2626" s="886"/>
      <c r="AV2626" t="str">
        <f t="shared" si="10363"/>
        <v xml:space="preserve">   Seg. 3.1- ADME 12 - Drenagem Superficial - Descida D´água</v>
      </c>
      <c r="AW2626" s="4" t="str">
        <f t="shared" si="10361"/>
        <v xml:space="preserve">   Seg. 2.2-C04-Execução de sublastro - 1° Trecho</v>
      </c>
    </row>
    <row r="2627" spans="1:49" ht="15.6" customHeight="1" outlineLevel="2">
      <c r="A2627" s="8" t="str">
        <f t="shared" ref="A2627" si="10593">IF(SUM(P2627:V2628)&gt;0,"S","N")</f>
        <v>N</v>
      </c>
      <c r="B2627" s="150">
        <v>1052730</v>
      </c>
      <c r="C2627" s="150" t="s">
        <v>2899</v>
      </c>
      <c r="D2627" s="120" t="s">
        <v>2900</v>
      </c>
      <c r="E2627" s="892" t="s">
        <v>2901</v>
      </c>
      <c r="F2627" s="902" t="s">
        <v>36</v>
      </c>
      <c r="G2627" s="528"/>
      <c r="H2627" s="546" t="s">
        <v>37</v>
      </c>
      <c r="I2627" s="711">
        <v>0</v>
      </c>
      <c r="J2627" s="896" t="str">
        <f t="shared" ref="J2627" si="10594">IFERROR((I2628/I2627),"-")</f>
        <v>-</v>
      </c>
      <c r="K2627" s="528"/>
      <c r="L2627" s="546" t="s">
        <v>37</v>
      </c>
      <c r="M2627" s="711">
        <f t="shared" si="10522"/>
        <v>0</v>
      </c>
      <c r="N2627" s="896" t="str">
        <f t="shared" ref="N2627" si="10595">IFERROR((M2628/M2627),"-")</f>
        <v>-</v>
      </c>
      <c r="O2627" s="528"/>
      <c r="P2627" s="547">
        <v>0</v>
      </c>
      <c r="Q2627" s="547">
        <v>0</v>
      </c>
      <c r="R2627" s="547">
        <v>0</v>
      </c>
      <c r="S2627" s="547">
        <v>0</v>
      </c>
      <c r="T2627" s="547">
        <v>0</v>
      </c>
      <c r="U2627" s="547">
        <v>0</v>
      </c>
      <c r="V2627" s="547">
        <v>0</v>
      </c>
      <c r="W2627" s="528"/>
      <c r="X2627" s="711">
        <f t="shared" si="10516"/>
        <v>0</v>
      </c>
      <c r="Y2627" s="896" t="str">
        <f t="shared" ref="Y2627" si="10596">IFERROR((X2628/X2627),"-")</f>
        <v>-</v>
      </c>
      <c r="Z2627" s="528"/>
      <c r="AA2627" s="898">
        <v>59</v>
      </c>
      <c r="AB2627" s="898">
        <v>59</v>
      </c>
      <c r="AC2627" s="903">
        <v>0</v>
      </c>
      <c r="AD2627" s="896">
        <f t="shared" ref="AD2627" si="10597">IFERROR((AC2627/AA2627),"-")</f>
        <v>0</v>
      </c>
      <c r="AE2627" s="2"/>
      <c r="AF2627" s="884">
        <v>523</v>
      </c>
      <c r="AG2627" s="884"/>
      <c r="AH2627" s="884">
        <v>0</v>
      </c>
      <c r="AI2627" s="884"/>
      <c r="AJ2627" s="884"/>
      <c r="AK2627" s="884">
        <f t="shared" ref="AK2627" si="10598">AF2627+AG2627+AH2627+AI2627+AJ2627+AC2627</f>
        <v>523</v>
      </c>
      <c r="AL2627" s="884">
        <v>581.99</v>
      </c>
      <c r="AM2627" s="878">
        <f t="shared" ref="AM2627" si="10599">IFERROR((AK2627/AL2627),"-")</f>
        <v>0.89864087011804328</v>
      </c>
      <c r="AN2627" s="2"/>
      <c r="AO2627" s="884">
        <v>582</v>
      </c>
      <c r="AP2627" s="884">
        <f t="shared" ref="AP2627" si="10600">AO2627-AK2627</f>
        <v>59</v>
      </c>
      <c r="AV2627" t="str">
        <f t="shared" si="10363"/>
        <v xml:space="preserve">   Seg. 3.1- ADME 12 - Drenagem Superficial - Descida D´água</v>
      </c>
      <c r="AW2627" s="4" t="str">
        <f t="shared" si="10361"/>
        <v xml:space="preserve">   Seg. 2.2-A05-Execução de sublastro</v>
      </c>
    </row>
    <row r="2628" spans="1:49" ht="15.6" customHeight="1" outlineLevel="2">
      <c r="A2628" s="8" t="str">
        <f t="shared" ref="A2628" si="10601">A2627</f>
        <v>N</v>
      </c>
      <c r="B2628" s="150">
        <v>1052730</v>
      </c>
      <c r="C2628" s="150" t="s">
        <v>2899</v>
      </c>
      <c r="D2628" s="120" t="s">
        <v>2900</v>
      </c>
      <c r="E2628" s="893"/>
      <c r="F2628" s="902"/>
      <c r="G2628" s="528"/>
      <c r="H2628" s="549" t="s">
        <v>38</v>
      </c>
      <c r="I2628" s="711">
        <v>0</v>
      </c>
      <c r="J2628" s="897"/>
      <c r="K2628" s="528"/>
      <c r="L2628" s="549" t="s">
        <v>38</v>
      </c>
      <c r="M2628" s="711">
        <f t="shared" si="10522"/>
        <v>0</v>
      </c>
      <c r="N2628" s="897"/>
      <c r="O2628" s="528"/>
      <c r="P2628" s="548">
        <v>0</v>
      </c>
      <c r="Q2628" s="548">
        <v>0</v>
      </c>
      <c r="R2628" s="548">
        <v>0</v>
      </c>
      <c r="S2628" s="548">
        <v>0</v>
      </c>
      <c r="T2628" s="548">
        <v>0</v>
      </c>
      <c r="U2628" s="548">
        <v>0</v>
      </c>
      <c r="V2628" s="548">
        <v>0</v>
      </c>
      <c r="W2628" s="528"/>
      <c r="X2628" s="711">
        <f t="shared" si="10516"/>
        <v>0</v>
      </c>
      <c r="Y2628" s="897"/>
      <c r="Z2628" s="528"/>
      <c r="AA2628" s="899"/>
      <c r="AB2628" s="899"/>
      <c r="AC2628" s="904"/>
      <c r="AD2628" s="905"/>
      <c r="AE2628" s="2"/>
      <c r="AF2628" s="885"/>
      <c r="AG2628" s="885"/>
      <c r="AH2628" s="885"/>
      <c r="AI2628" s="885"/>
      <c r="AJ2628" s="885"/>
      <c r="AK2628" s="885"/>
      <c r="AL2628" s="885"/>
      <c r="AM2628" s="879"/>
      <c r="AN2628" s="2"/>
      <c r="AO2628" s="886"/>
      <c r="AP2628" s="886"/>
      <c r="AV2628" t="str">
        <f t="shared" si="10363"/>
        <v xml:space="preserve">   Seg. 3.1- ADME 12 - Drenagem Superficial - Descida D´água</v>
      </c>
      <c r="AW2628" s="4" t="str">
        <f t="shared" si="10361"/>
        <v xml:space="preserve">   Seg. 2.2-A05-Execução de sublastro</v>
      </c>
    </row>
    <row r="2629" spans="1:49" ht="15.6" customHeight="1" outlineLevel="2">
      <c r="A2629" s="8" t="str">
        <f t="shared" ref="A2629" si="10602">IF(SUM(P2629:V2630)&gt;0,"S","N")</f>
        <v>N</v>
      </c>
      <c r="B2629" s="150">
        <v>1052731</v>
      </c>
      <c r="C2629" s="150" t="s">
        <v>2902</v>
      </c>
      <c r="D2629" s="120" t="s">
        <v>2903</v>
      </c>
      <c r="E2629" s="892" t="s">
        <v>2904</v>
      </c>
      <c r="F2629" s="902" t="s">
        <v>36</v>
      </c>
      <c r="G2629" s="528"/>
      <c r="H2629" s="546" t="s">
        <v>37</v>
      </c>
      <c r="I2629" s="711">
        <v>0</v>
      </c>
      <c r="J2629" s="896" t="str">
        <f t="shared" ref="J2629" si="10603">IFERROR((I2630/I2629),"-")</f>
        <v>-</v>
      </c>
      <c r="K2629" s="528"/>
      <c r="L2629" s="546" t="s">
        <v>37</v>
      </c>
      <c r="M2629" s="711">
        <f t="shared" si="10522"/>
        <v>0</v>
      </c>
      <c r="N2629" s="896" t="str">
        <f t="shared" ref="N2629" si="10604">IFERROR((M2630/M2629),"-")</f>
        <v>-</v>
      </c>
      <c r="O2629" s="528"/>
      <c r="P2629" s="547">
        <v>0</v>
      </c>
      <c r="Q2629" s="547">
        <v>0</v>
      </c>
      <c r="R2629" s="547">
        <v>0</v>
      </c>
      <c r="S2629" s="547">
        <v>0</v>
      </c>
      <c r="T2629" s="547">
        <v>0</v>
      </c>
      <c r="U2629" s="547">
        <v>0</v>
      </c>
      <c r="V2629" s="547">
        <v>0</v>
      </c>
      <c r="W2629" s="528"/>
      <c r="X2629" s="711">
        <f t="shared" si="10516"/>
        <v>0</v>
      </c>
      <c r="Y2629" s="896" t="str">
        <f t="shared" ref="Y2629" si="10605">IFERROR((X2630/X2629),"-")</f>
        <v>-</v>
      </c>
      <c r="Z2629" s="528"/>
      <c r="AA2629" s="898">
        <v>0</v>
      </c>
      <c r="AB2629" s="898">
        <v>0</v>
      </c>
      <c r="AC2629" s="903">
        <v>0</v>
      </c>
      <c r="AD2629" s="896" t="str">
        <f t="shared" ref="AD2629" si="10606">IFERROR((AC2629/AA2629),"-")</f>
        <v>-</v>
      </c>
      <c r="AE2629" s="2"/>
      <c r="AF2629" s="884">
        <v>501</v>
      </c>
      <c r="AG2629" s="884"/>
      <c r="AH2629" s="884">
        <v>0</v>
      </c>
      <c r="AI2629" s="884"/>
      <c r="AJ2629" s="884"/>
      <c r="AK2629" s="884">
        <f t="shared" ref="AK2629" si="10607">AF2629+AG2629+AH2629+AI2629+AJ2629+AC2629</f>
        <v>501</v>
      </c>
      <c r="AL2629" s="884">
        <v>698</v>
      </c>
      <c r="AM2629" s="878">
        <f t="shared" ref="AM2629" si="10608">IFERROR((AK2629/AL2629),"-")</f>
        <v>0.7177650429799427</v>
      </c>
      <c r="AN2629" s="2"/>
      <c r="AO2629" s="884">
        <v>698</v>
      </c>
      <c r="AP2629" s="884">
        <f t="shared" ref="AP2629" si="10609">AO2629-AK2629</f>
        <v>197</v>
      </c>
      <c r="AV2629" t="str">
        <f t="shared" si="10363"/>
        <v xml:space="preserve">   Seg. 3.1- ADME 12 - Drenagem Superficial - Descida D´água</v>
      </c>
      <c r="AW2629" s="4" t="str">
        <f t="shared" si="10361"/>
        <v xml:space="preserve">   Seg. 2.2-C05-Execução de sublastro</v>
      </c>
    </row>
    <row r="2630" spans="1:49" ht="15.6" customHeight="1" outlineLevel="2">
      <c r="A2630" s="8" t="str">
        <f t="shared" ref="A2630" si="10610">A2629</f>
        <v>N</v>
      </c>
      <c r="B2630" s="150">
        <v>1052731</v>
      </c>
      <c r="C2630" s="150" t="s">
        <v>2902</v>
      </c>
      <c r="D2630" s="120" t="s">
        <v>2903</v>
      </c>
      <c r="E2630" s="893"/>
      <c r="F2630" s="902"/>
      <c r="G2630" s="528"/>
      <c r="H2630" s="549" t="s">
        <v>38</v>
      </c>
      <c r="I2630" s="711">
        <v>0</v>
      </c>
      <c r="J2630" s="897"/>
      <c r="K2630" s="528"/>
      <c r="L2630" s="549" t="s">
        <v>38</v>
      </c>
      <c r="M2630" s="711">
        <f t="shared" si="10522"/>
        <v>0</v>
      </c>
      <c r="N2630" s="897"/>
      <c r="O2630" s="528"/>
      <c r="P2630" s="548">
        <v>0</v>
      </c>
      <c r="Q2630" s="548">
        <v>0</v>
      </c>
      <c r="R2630" s="548">
        <v>0</v>
      </c>
      <c r="S2630" s="548">
        <v>0</v>
      </c>
      <c r="T2630" s="548">
        <v>0</v>
      </c>
      <c r="U2630" s="548">
        <v>0</v>
      </c>
      <c r="V2630" s="548">
        <v>0</v>
      </c>
      <c r="W2630" s="528"/>
      <c r="X2630" s="711">
        <f t="shared" si="10516"/>
        <v>0</v>
      </c>
      <c r="Y2630" s="897"/>
      <c r="Z2630" s="528"/>
      <c r="AA2630" s="899"/>
      <c r="AB2630" s="899"/>
      <c r="AC2630" s="904"/>
      <c r="AD2630" s="905"/>
      <c r="AE2630" s="2"/>
      <c r="AF2630" s="885"/>
      <c r="AG2630" s="885"/>
      <c r="AH2630" s="885"/>
      <c r="AI2630" s="885"/>
      <c r="AJ2630" s="885"/>
      <c r="AK2630" s="885"/>
      <c r="AL2630" s="885"/>
      <c r="AM2630" s="879"/>
      <c r="AN2630" s="2"/>
      <c r="AO2630" s="886"/>
      <c r="AP2630" s="886"/>
      <c r="AV2630" t="str">
        <f t="shared" si="10363"/>
        <v xml:space="preserve">   Seg. 3.1- ADME 12 - Drenagem Superficial - Descida D´água</v>
      </c>
      <c r="AW2630" s="4" t="str">
        <f t="shared" si="10361"/>
        <v xml:space="preserve">   Seg. 2.2-C05-Execução de sublastro</v>
      </c>
    </row>
    <row r="2631" spans="1:49" ht="15.6" customHeight="1" outlineLevel="2">
      <c r="A2631" s="8" t="str">
        <f t="shared" ref="A2631" si="10611">IF(SUM(P2631:V2632)&gt;0,"S","N")</f>
        <v>N</v>
      </c>
      <c r="B2631" s="150">
        <v>1052732</v>
      </c>
      <c r="C2631" s="150" t="s">
        <v>2905</v>
      </c>
      <c r="D2631" s="120" t="s">
        <v>2906</v>
      </c>
      <c r="E2631" s="892" t="s">
        <v>2907</v>
      </c>
      <c r="F2631" s="902" t="s">
        <v>36</v>
      </c>
      <c r="G2631" s="528"/>
      <c r="H2631" s="546" t="s">
        <v>37</v>
      </c>
      <c r="I2631" s="711">
        <v>0</v>
      </c>
      <c r="J2631" s="896" t="str">
        <f t="shared" ref="J2631" si="10612">IFERROR((I2632/I2631),"-")</f>
        <v>-</v>
      </c>
      <c r="K2631" s="528"/>
      <c r="L2631" s="546" t="s">
        <v>37</v>
      </c>
      <c r="M2631" s="711">
        <f t="shared" si="10522"/>
        <v>0</v>
      </c>
      <c r="N2631" s="896" t="str">
        <f t="shared" ref="N2631" si="10613">IFERROR((M2632/M2631),"-")</f>
        <v>-</v>
      </c>
      <c r="O2631" s="528"/>
      <c r="P2631" s="547">
        <v>0</v>
      </c>
      <c r="Q2631" s="547">
        <v>0</v>
      </c>
      <c r="R2631" s="547">
        <v>0</v>
      </c>
      <c r="S2631" s="547">
        <v>0</v>
      </c>
      <c r="T2631" s="547">
        <v>0</v>
      </c>
      <c r="U2631" s="547">
        <v>0</v>
      </c>
      <c r="V2631" s="547">
        <v>0</v>
      </c>
      <c r="W2631" s="528"/>
      <c r="X2631" s="711">
        <f t="shared" si="10516"/>
        <v>0</v>
      </c>
      <c r="Y2631" s="896" t="str">
        <f t="shared" ref="Y2631" si="10614">IFERROR((X2632/X2631),"-")</f>
        <v>-</v>
      </c>
      <c r="Z2631" s="528"/>
      <c r="AA2631" s="898">
        <v>0</v>
      </c>
      <c r="AB2631" s="898">
        <v>0</v>
      </c>
      <c r="AC2631" s="903">
        <v>0</v>
      </c>
      <c r="AD2631" s="896" t="str">
        <f t="shared" ref="AD2631" si="10615">IFERROR((AC2631/AA2631),"-")</f>
        <v>-</v>
      </c>
      <c r="AE2631" s="2"/>
      <c r="AF2631" s="884">
        <v>0</v>
      </c>
      <c r="AG2631" s="884"/>
      <c r="AH2631" s="884">
        <v>0</v>
      </c>
      <c r="AI2631" s="884"/>
      <c r="AJ2631" s="884"/>
      <c r="AK2631" s="884">
        <f t="shared" ref="AK2631" si="10616">AF2631+AG2631+AH2631+AI2631+AJ2631+AC2631</f>
        <v>0</v>
      </c>
      <c r="AL2631" s="884">
        <v>78.03000000000003</v>
      </c>
      <c r="AM2631" s="878">
        <f t="shared" ref="AM2631" si="10617">IFERROR((AK2631/AL2631),"-")</f>
        <v>0</v>
      </c>
      <c r="AN2631" s="2"/>
      <c r="AO2631" s="884">
        <v>78</v>
      </c>
      <c r="AP2631" s="884">
        <f t="shared" ref="AP2631" si="10618">AO2631-AK2631</f>
        <v>78</v>
      </c>
      <c r="AV2631" t="str">
        <f t="shared" si="10363"/>
        <v xml:space="preserve">   Seg. 3.1- ADME 12 - Drenagem Superficial - Descida D´água</v>
      </c>
      <c r="AW2631" s="4" t="str">
        <f t="shared" si="10361"/>
        <v xml:space="preserve">   Seg. 2.2-C06-Execução de sublastro</v>
      </c>
    </row>
    <row r="2632" spans="1:49" ht="15.6" customHeight="1" outlineLevel="2">
      <c r="A2632" s="8" t="str">
        <f t="shared" ref="A2632" si="10619">A2631</f>
        <v>N</v>
      </c>
      <c r="B2632" s="150">
        <v>1052732</v>
      </c>
      <c r="C2632" s="150" t="s">
        <v>2905</v>
      </c>
      <c r="D2632" s="120" t="s">
        <v>2906</v>
      </c>
      <c r="E2632" s="893"/>
      <c r="F2632" s="902"/>
      <c r="G2632" s="528"/>
      <c r="H2632" s="549" t="s">
        <v>38</v>
      </c>
      <c r="I2632" s="711">
        <v>0</v>
      </c>
      <c r="J2632" s="897"/>
      <c r="K2632" s="528"/>
      <c r="L2632" s="549" t="s">
        <v>38</v>
      </c>
      <c r="M2632" s="711">
        <f t="shared" si="10522"/>
        <v>0</v>
      </c>
      <c r="N2632" s="897"/>
      <c r="O2632" s="528"/>
      <c r="P2632" s="548">
        <v>0</v>
      </c>
      <c r="Q2632" s="548">
        <v>0</v>
      </c>
      <c r="R2632" s="548">
        <v>0</v>
      </c>
      <c r="S2632" s="548">
        <v>0</v>
      </c>
      <c r="T2632" s="548">
        <v>0</v>
      </c>
      <c r="U2632" s="548">
        <v>0</v>
      </c>
      <c r="V2632" s="548">
        <v>0</v>
      </c>
      <c r="W2632" s="528"/>
      <c r="X2632" s="711">
        <f t="shared" si="10516"/>
        <v>0</v>
      </c>
      <c r="Y2632" s="897"/>
      <c r="Z2632" s="528"/>
      <c r="AA2632" s="899"/>
      <c r="AB2632" s="899"/>
      <c r="AC2632" s="904"/>
      <c r="AD2632" s="905"/>
      <c r="AE2632" s="2"/>
      <c r="AF2632" s="885"/>
      <c r="AG2632" s="885"/>
      <c r="AH2632" s="885"/>
      <c r="AI2632" s="885"/>
      <c r="AJ2632" s="885"/>
      <c r="AK2632" s="885"/>
      <c r="AL2632" s="885"/>
      <c r="AM2632" s="879"/>
      <c r="AN2632" s="2"/>
      <c r="AO2632" s="886"/>
      <c r="AP2632" s="886"/>
      <c r="AV2632" t="str">
        <f t="shared" si="10363"/>
        <v xml:space="preserve">   Seg. 3.1- ADME 12 - Drenagem Superficial - Descida D´água</v>
      </c>
      <c r="AW2632" s="4" t="str">
        <f t="shared" si="10361"/>
        <v xml:space="preserve">   Seg. 2.2-C06-Execução de sublastro</v>
      </c>
    </row>
    <row r="2633" spans="1:49" ht="15.6" customHeight="1" outlineLevel="2">
      <c r="A2633" s="8" t="str">
        <f t="shared" ref="A2633" si="10620">IF(SUM(P2633:V2634)&gt;0,"S","N")</f>
        <v>N</v>
      </c>
      <c r="B2633" s="150">
        <v>1052733</v>
      </c>
      <c r="C2633" s="150" t="s">
        <v>2908</v>
      </c>
      <c r="D2633" s="120" t="s">
        <v>2909</v>
      </c>
      <c r="E2633" s="892" t="s">
        <v>2910</v>
      </c>
      <c r="F2633" s="902" t="s">
        <v>36</v>
      </c>
      <c r="G2633" s="528"/>
      <c r="H2633" s="546" t="s">
        <v>37</v>
      </c>
      <c r="I2633" s="711">
        <v>0</v>
      </c>
      <c r="J2633" s="896" t="str">
        <f t="shared" ref="J2633" si="10621">IFERROR((I2634/I2633),"-")</f>
        <v>-</v>
      </c>
      <c r="K2633" s="528"/>
      <c r="L2633" s="546" t="s">
        <v>37</v>
      </c>
      <c r="M2633" s="711">
        <f t="shared" si="10522"/>
        <v>0</v>
      </c>
      <c r="N2633" s="896" t="str">
        <f t="shared" ref="N2633" si="10622">IFERROR((M2634/M2633),"-")</f>
        <v>-</v>
      </c>
      <c r="O2633" s="528"/>
      <c r="P2633" s="547">
        <v>0</v>
      </c>
      <c r="Q2633" s="547">
        <v>0</v>
      </c>
      <c r="R2633" s="547">
        <v>0</v>
      </c>
      <c r="S2633" s="547">
        <v>0</v>
      </c>
      <c r="T2633" s="547">
        <v>0</v>
      </c>
      <c r="U2633" s="547">
        <v>0</v>
      </c>
      <c r="V2633" s="547">
        <v>0</v>
      </c>
      <c r="W2633" s="528"/>
      <c r="X2633" s="711">
        <f t="shared" si="10516"/>
        <v>0</v>
      </c>
      <c r="Y2633" s="896" t="str">
        <f t="shared" ref="Y2633" si="10623">IFERROR((X2634/X2633),"-")</f>
        <v>-</v>
      </c>
      <c r="Z2633" s="528"/>
      <c r="AA2633" s="898">
        <v>82</v>
      </c>
      <c r="AB2633" s="898">
        <v>0</v>
      </c>
      <c r="AC2633" s="903">
        <v>0</v>
      </c>
      <c r="AD2633" s="896">
        <f t="shared" ref="AD2633" si="10624">IFERROR((AC2633/AA2633),"-")</f>
        <v>0</v>
      </c>
      <c r="AE2633" s="2"/>
      <c r="AF2633" s="884">
        <v>771</v>
      </c>
      <c r="AG2633" s="884"/>
      <c r="AH2633" s="884">
        <v>0</v>
      </c>
      <c r="AI2633" s="884"/>
      <c r="AJ2633" s="884"/>
      <c r="AK2633" s="884">
        <f t="shared" ref="AK2633" si="10625">AF2633+AG2633+AH2633+AI2633+AJ2633+AC2633</f>
        <v>771</v>
      </c>
      <c r="AL2633" s="884">
        <v>771.00000000000011</v>
      </c>
      <c r="AM2633" s="878">
        <f t="shared" ref="AM2633" si="10626">IFERROR((AK2633/AL2633),"-")</f>
        <v>0.99999999999999989</v>
      </c>
      <c r="AN2633" s="2"/>
      <c r="AO2633" s="884">
        <v>853</v>
      </c>
      <c r="AP2633" s="884">
        <f t="shared" ref="AP2633" si="10627">AO2633-AK2633</f>
        <v>82</v>
      </c>
      <c r="AV2633" t="str">
        <f t="shared" si="10363"/>
        <v xml:space="preserve">   Seg. 3.1- ADME 12 - Drenagem Superficial - Descida D´água</v>
      </c>
      <c r="AW2633" s="4" t="str">
        <f t="shared" ref="AW2633:AW2696" si="10628">IF(E2633&lt;&gt;"",E2633,AW2632)</f>
        <v xml:space="preserve">   Seg. 2.2-A06-Execução de sublastro</v>
      </c>
    </row>
    <row r="2634" spans="1:49" ht="15.6" customHeight="1" outlineLevel="2">
      <c r="A2634" s="8" t="str">
        <f t="shared" ref="A2634" si="10629">A2633</f>
        <v>N</v>
      </c>
      <c r="B2634" s="150">
        <v>1052733</v>
      </c>
      <c r="C2634" s="150" t="s">
        <v>2908</v>
      </c>
      <c r="D2634" s="120" t="s">
        <v>2909</v>
      </c>
      <c r="E2634" s="893"/>
      <c r="F2634" s="902"/>
      <c r="G2634" s="528"/>
      <c r="H2634" s="549" t="s">
        <v>38</v>
      </c>
      <c r="I2634" s="711">
        <v>0</v>
      </c>
      <c r="J2634" s="897"/>
      <c r="K2634" s="528"/>
      <c r="L2634" s="549" t="s">
        <v>38</v>
      </c>
      <c r="M2634" s="711">
        <f t="shared" si="10522"/>
        <v>0</v>
      </c>
      <c r="N2634" s="897"/>
      <c r="O2634" s="528"/>
      <c r="P2634" s="548">
        <v>0</v>
      </c>
      <c r="Q2634" s="548">
        <v>0</v>
      </c>
      <c r="R2634" s="548">
        <v>0</v>
      </c>
      <c r="S2634" s="548">
        <v>0</v>
      </c>
      <c r="T2634" s="548">
        <v>0</v>
      </c>
      <c r="U2634" s="548">
        <v>0</v>
      </c>
      <c r="V2634" s="548">
        <v>0</v>
      </c>
      <c r="W2634" s="528"/>
      <c r="X2634" s="711">
        <f t="shared" si="10516"/>
        <v>0</v>
      </c>
      <c r="Y2634" s="897"/>
      <c r="Z2634" s="528"/>
      <c r="AA2634" s="899"/>
      <c r="AB2634" s="899"/>
      <c r="AC2634" s="904"/>
      <c r="AD2634" s="905"/>
      <c r="AE2634" s="2"/>
      <c r="AF2634" s="885"/>
      <c r="AG2634" s="885"/>
      <c r="AH2634" s="885"/>
      <c r="AI2634" s="885"/>
      <c r="AJ2634" s="885"/>
      <c r="AK2634" s="885"/>
      <c r="AL2634" s="885"/>
      <c r="AM2634" s="879"/>
      <c r="AN2634" s="2"/>
      <c r="AO2634" s="886"/>
      <c r="AP2634" s="886"/>
      <c r="AV2634" t="str">
        <f t="shared" ref="AV2634:AV2697" si="10630">IF(AX2634="Y",LEFT(E2634,20),IF(AX2634="x",E2634,AV2633))</f>
        <v xml:space="preserve">   Seg. 3.1- ADME 12 - Drenagem Superficial - Descida D´água</v>
      </c>
      <c r="AW2634" s="4" t="str">
        <f t="shared" si="10628"/>
        <v xml:space="preserve">   Seg. 2.2-A06-Execução de sublastro</v>
      </c>
    </row>
    <row r="2635" spans="1:49" ht="15.6" customHeight="1" outlineLevel="2">
      <c r="A2635" s="8" t="str">
        <f t="shared" ref="A2635" si="10631">IF(SUM(P2635:V2636)&gt;0,"S","N")</f>
        <v>N</v>
      </c>
      <c r="B2635" s="150">
        <v>1052734</v>
      </c>
      <c r="C2635" s="150" t="s">
        <v>2911</v>
      </c>
      <c r="D2635" s="120" t="s">
        <v>2912</v>
      </c>
      <c r="E2635" s="892" t="s">
        <v>2913</v>
      </c>
      <c r="F2635" s="902" t="s">
        <v>36</v>
      </c>
      <c r="G2635" s="528"/>
      <c r="H2635" s="546" t="s">
        <v>37</v>
      </c>
      <c r="I2635" s="711">
        <v>0</v>
      </c>
      <c r="J2635" s="896" t="str">
        <f t="shared" ref="J2635" si="10632">IFERROR((I2636/I2635),"-")</f>
        <v>-</v>
      </c>
      <c r="K2635" s="528"/>
      <c r="L2635" s="546" t="s">
        <v>37</v>
      </c>
      <c r="M2635" s="711">
        <f t="shared" si="10522"/>
        <v>0</v>
      </c>
      <c r="N2635" s="896" t="str">
        <f t="shared" ref="N2635" si="10633">IFERROR((M2636/M2635),"-")</f>
        <v>-</v>
      </c>
      <c r="O2635" s="528"/>
      <c r="P2635" s="547">
        <v>0</v>
      </c>
      <c r="Q2635" s="547">
        <v>0</v>
      </c>
      <c r="R2635" s="547">
        <v>0</v>
      </c>
      <c r="S2635" s="547">
        <v>0</v>
      </c>
      <c r="T2635" s="547">
        <v>0</v>
      </c>
      <c r="U2635" s="547">
        <v>0</v>
      </c>
      <c r="V2635" s="547">
        <v>0</v>
      </c>
      <c r="W2635" s="528"/>
      <c r="X2635" s="711">
        <f t="shared" si="10516"/>
        <v>0</v>
      </c>
      <c r="Y2635" s="896" t="str">
        <f t="shared" ref="Y2635" si="10634">IFERROR((X2636/X2635),"-")</f>
        <v>-</v>
      </c>
      <c r="Z2635" s="528"/>
      <c r="AA2635" s="898">
        <v>972</v>
      </c>
      <c r="AB2635" s="898">
        <v>0</v>
      </c>
      <c r="AC2635" s="903">
        <v>0</v>
      </c>
      <c r="AD2635" s="896">
        <f t="shared" ref="AD2635" si="10635">IFERROR((AC2635/AA2635),"-")</f>
        <v>0</v>
      </c>
      <c r="AE2635" s="2"/>
      <c r="AF2635" s="884">
        <v>0</v>
      </c>
      <c r="AG2635" s="884"/>
      <c r="AH2635" s="884">
        <v>0</v>
      </c>
      <c r="AI2635" s="884"/>
      <c r="AJ2635" s="884"/>
      <c r="AK2635" s="884">
        <f t="shared" ref="AK2635" si="10636">AF2635+AG2635+AH2635+AI2635+AJ2635+AC2635</f>
        <v>0</v>
      </c>
      <c r="AL2635" s="884">
        <v>0</v>
      </c>
      <c r="AM2635" s="878" t="str">
        <f t="shared" ref="AM2635" si="10637">IFERROR((AK2635/AL2635),"-")</f>
        <v>-</v>
      </c>
      <c r="AN2635" s="2"/>
      <c r="AO2635" s="884">
        <v>972</v>
      </c>
      <c r="AP2635" s="884">
        <f t="shared" ref="AP2635" si="10638">AO2635-AK2635</f>
        <v>972</v>
      </c>
      <c r="AV2635" t="str">
        <f t="shared" si="10630"/>
        <v xml:space="preserve">   Seg. 3.1- ADME 12 - Drenagem Superficial - Descida D´água</v>
      </c>
      <c r="AW2635" s="4" t="str">
        <f t="shared" si="10628"/>
        <v xml:space="preserve">   Seg. 2.2-C07-Execução de sublastro</v>
      </c>
    </row>
    <row r="2636" spans="1:49" ht="15.6" customHeight="1" outlineLevel="2">
      <c r="A2636" s="8" t="str">
        <f t="shared" ref="A2636" si="10639">A2635</f>
        <v>N</v>
      </c>
      <c r="B2636" s="150">
        <v>1052734</v>
      </c>
      <c r="C2636" s="150" t="s">
        <v>2911</v>
      </c>
      <c r="D2636" s="120" t="s">
        <v>2912</v>
      </c>
      <c r="E2636" s="893"/>
      <c r="F2636" s="902"/>
      <c r="G2636" s="528"/>
      <c r="H2636" s="549" t="s">
        <v>38</v>
      </c>
      <c r="I2636" s="711">
        <v>0</v>
      </c>
      <c r="J2636" s="897"/>
      <c r="K2636" s="528"/>
      <c r="L2636" s="549" t="s">
        <v>38</v>
      </c>
      <c r="M2636" s="711">
        <f t="shared" si="10522"/>
        <v>0</v>
      </c>
      <c r="N2636" s="897"/>
      <c r="O2636" s="528"/>
      <c r="P2636" s="548">
        <v>0</v>
      </c>
      <c r="Q2636" s="548">
        <v>0</v>
      </c>
      <c r="R2636" s="548">
        <v>0</v>
      </c>
      <c r="S2636" s="548">
        <v>0</v>
      </c>
      <c r="T2636" s="548">
        <v>0</v>
      </c>
      <c r="U2636" s="548">
        <v>0</v>
      </c>
      <c r="V2636" s="548">
        <v>0</v>
      </c>
      <c r="W2636" s="528"/>
      <c r="X2636" s="711">
        <f t="shared" si="10516"/>
        <v>0</v>
      </c>
      <c r="Y2636" s="897"/>
      <c r="Z2636" s="528"/>
      <c r="AA2636" s="899"/>
      <c r="AB2636" s="899"/>
      <c r="AC2636" s="904"/>
      <c r="AD2636" s="905"/>
      <c r="AE2636" s="2"/>
      <c r="AF2636" s="885"/>
      <c r="AG2636" s="885"/>
      <c r="AH2636" s="885"/>
      <c r="AI2636" s="885"/>
      <c r="AJ2636" s="885"/>
      <c r="AK2636" s="885"/>
      <c r="AL2636" s="885"/>
      <c r="AM2636" s="879"/>
      <c r="AN2636" s="2"/>
      <c r="AO2636" s="886"/>
      <c r="AP2636" s="886"/>
      <c r="AV2636" t="str">
        <f t="shared" si="10630"/>
        <v xml:space="preserve">   Seg. 3.1- ADME 12 - Drenagem Superficial - Descida D´água</v>
      </c>
      <c r="AW2636" s="4" t="str">
        <f t="shared" si="10628"/>
        <v xml:space="preserve">   Seg. 2.2-C07-Execução de sublastro</v>
      </c>
    </row>
    <row r="2637" spans="1:49" ht="15.6" customHeight="1" outlineLevel="2">
      <c r="A2637" s="8" t="str">
        <f t="shared" ref="A2637" si="10640">IF(SUM(P2637:V2638)&gt;0,"S","N")</f>
        <v>N</v>
      </c>
      <c r="B2637" s="150">
        <v>1052735</v>
      </c>
      <c r="C2637" s="150" t="s">
        <v>2914</v>
      </c>
      <c r="D2637" s="120" t="s">
        <v>2915</v>
      </c>
      <c r="E2637" s="892" t="s">
        <v>2916</v>
      </c>
      <c r="F2637" s="902" t="s">
        <v>36</v>
      </c>
      <c r="G2637" s="528"/>
      <c r="H2637" s="546" t="s">
        <v>37</v>
      </c>
      <c r="I2637" s="711">
        <v>0</v>
      </c>
      <c r="J2637" s="896" t="str">
        <f t="shared" ref="J2637" si="10641">IFERROR((I2638/I2637),"-")</f>
        <v>-</v>
      </c>
      <c r="K2637" s="528"/>
      <c r="L2637" s="546" t="s">
        <v>37</v>
      </c>
      <c r="M2637" s="711">
        <f t="shared" si="10522"/>
        <v>0</v>
      </c>
      <c r="N2637" s="896" t="str">
        <f t="shared" ref="N2637" si="10642">IFERROR((M2638/M2637),"-")</f>
        <v>-</v>
      </c>
      <c r="O2637" s="528"/>
      <c r="P2637" s="547">
        <v>0</v>
      </c>
      <c r="Q2637" s="547">
        <v>0</v>
      </c>
      <c r="R2637" s="547">
        <v>0</v>
      </c>
      <c r="S2637" s="547">
        <v>0</v>
      </c>
      <c r="T2637" s="547">
        <v>0</v>
      </c>
      <c r="U2637" s="547">
        <v>0</v>
      </c>
      <c r="V2637" s="547">
        <v>0</v>
      </c>
      <c r="W2637" s="528"/>
      <c r="X2637" s="711">
        <f t="shared" si="10516"/>
        <v>0</v>
      </c>
      <c r="Y2637" s="896" t="str">
        <f t="shared" ref="Y2637" si="10643">IFERROR((X2638/X2637),"-")</f>
        <v>-</v>
      </c>
      <c r="Z2637" s="528"/>
      <c r="AA2637" s="898">
        <v>0</v>
      </c>
      <c r="AB2637" s="898">
        <v>0</v>
      </c>
      <c r="AC2637" s="903">
        <v>0</v>
      </c>
      <c r="AD2637" s="896" t="str">
        <f t="shared" ref="AD2637" si="10644">IFERROR((AC2637/AA2637),"-")</f>
        <v>-</v>
      </c>
      <c r="AE2637" s="2"/>
      <c r="AF2637" s="884">
        <v>0</v>
      </c>
      <c r="AG2637" s="884"/>
      <c r="AH2637" s="884">
        <v>0</v>
      </c>
      <c r="AI2637" s="884"/>
      <c r="AJ2637" s="884"/>
      <c r="AK2637" s="884">
        <f t="shared" ref="AK2637" si="10645">AF2637+AG2637+AH2637+AI2637+AJ2637+AC2637</f>
        <v>0</v>
      </c>
      <c r="AL2637" s="884">
        <v>155</v>
      </c>
      <c r="AM2637" s="878">
        <f t="shared" ref="AM2637" si="10646">IFERROR((AK2637/AL2637),"-")</f>
        <v>0</v>
      </c>
      <c r="AN2637" s="2"/>
      <c r="AO2637" s="884">
        <v>155</v>
      </c>
      <c r="AP2637" s="884">
        <f t="shared" ref="AP2637" si="10647">AO2637-AK2637</f>
        <v>155</v>
      </c>
      <c r="AV2637" t="str">
        <f t="shared" si="10630"/>
        <v xml:space="preserve">   Seg. 3.1- ADME 12 - Drenagem Superficial - Descida D´água</v>
      </c>
      <c r="AW2637" s="4" t="str">
        <f t="shared" si="10628"/>
        <v xml:space="preserve">   Seg. 2.2-A07-Execução de sublastro</v>
      </c>
    </row>
    <row r="2638" spans="1:49" ht="15.6" customHeight="1" outlineLevel="2">
      <c r="A2638" s="8" t="str">
        <f t="shared" ref="A2638" si="10648">A2637</f>
        <v>N</v>
      </c>
      <c r="B2638" s="150">
        <v>1052735</v>
      </c>
      <c r="C2638" s="150" t="s">
        <v>2914</v>
      </c>
      <c r="D2638" s="120" t="s">
        <v>2915</v>
      </c>
      <c r="E2638" s="893"/>
      <c r="F2638" s="902"/>
      <c r="G2638" s="528"/>
      <c r="H2638" s="549" t="s">
        <v>38</v>
      </c>
      <c r="I2638" s="711">
        <v>0</v>
      </c>
      <c r="J2638" s="897"/>
      <c r="K2638" s="528"/>
      <c r="L2638" s="549" t="s">
        <v>38</v>
      </c>
      <c r="M2638" s="711">
        <f t="shared" si="10522"/>
        <v>0</v>
      </c>
      <c r="N2638" s="897"/>
      <c r="O2638" s="528"/>
      <c r="P2638" s="548">
        <v>0</v>
      </c>
      <c r="Q2638" s="548">
        <v>0</v>
      </c>
      <c r="R2638" s="548">
        <v>0</v>
      </c>
      <c r="S2638" s="548">
        <v>0</v>
      </c>
      <c r="T2638" s="548">
        <v>0</v>
      </c>
      <c r="U2638" s="548">
        <v>0</v>
      </c>
      <c r="V2638" s="548">
        <v>0</v>
      </c>
      <c r="W2638" s="528"/>
      <c r="X2638" s="711">
        <f t="shared" si="10516"/>
        <v>0</v>
      </c>
      <c r="Y2638" s="897"/>
      <c r="Z2638" s="528"/>
      <c r="AA2638" s="899"/>
      <c r="AB2638" s="899"/>
      <c r="AC2638" s="904"/>
      <c r="AD2638" s="905"/>
      <c r="AE2638" s="2"/>
      <c r="AF2638" s="885"/>
      <c r="AG2638" s="885"/>
      <c r="AH2638" s="885"/>
      <c r="AI2638" s="885"/>
      <c r="AJ2638" s="885"/>
      <c r="AK2638" s="885"/>
      <c r="AL2638" s="885"/>
      <c r="AM2638" s="879"/>
      <c r="AN2638" s="2"/>
      <c r="AO2638" s="886"/>
      <c r="AP2638" s="886"/>
      <c r="AV2638" t="str">
        <f t="shared" si="10630"/>
        <v xml:space="preserve">   Seg. 3.1- ADME 12 - Drenagem Superficial - Descida D´água</v>
      </c>
      <c r="AW2638" s="4" t="str">
        <f t="shared" si="10628"/>
        <v xml:space="preserve">   Seg. 2.2-A07-Execução de sublastro</v>
      </c>
    </row>
    <row r="2639" spans="1:49" ht="15.6" customHeight="1" outlineLevel="2">
      <c r="A2639" s="8" t="str">
        <f t="shared" ref="A2639" si="10649">IF(SUM(P2639:V2640)&gt;0,"S","N")</f>
        <v>N</v>
      </c>
      <c r="B2639" s="150">
        <v>1052736</v>
      </c>
      <c r="C2639" s="150" t="s">
        <v>2917</v>
      </c>
      <c r="D2639" s="120" t="s">
        <v>2918</v>
      </c>
      <c r="E2639" s="892" t="s">
        <v>2919</v>
      </c>
      <c r="F2639" s="902" t="s">
        <v>36</v>
      </c>
      <c r="G2639" s="528"/>
      <c r="H2639" s="546" t="s">
        <v>37</v>
      </c>
      <c r="I2639" s="711">
        <v>0</v>
      </c>
      <c r="J2639" s="896" t="str">
        <f t="shared" ref="J2639" si="10650">IFERROR((I2640/I2639),"-")</f>
        <v>-</v>
      </c>
      <c r="K2639" s="528"/>
      <c r="L2639" s="546" t="s">
        <v>37</v>
      </c>
      <c r="M2639" s="711">
        <f t="shared" si="10522"/>
        <v>0</v>
      </c>
      <c r="N2639" s="896" t="str">
        <f t="shared" ref="N2639" si="10651">IFERROR((M2640/M2639),"-")</f>
        <v>-</v>
      </c>
      <c r="O2639" s="528"/>
      <c r="P2639" s="547">
        <v>0</v>
      </c>
      <c r="Q2639" s="547">
        <v>0</v>
      </c>
      <c r="R2639" s="547">
        <v>0</v>
      </c>
      <c r="S2639" s="547">
        <v>0</v>
      </c>
      <c r="T2639" s="547">
        <v>0</v>
      </c>
      <c r="U2639" s="547">
        <v>0</v>
      </c>
      <c r="V2639" s="547">
        <v>0</v>
      </c>
      <c r="W2639" s="528"/>
      <c r="X2639" s="711">
        <f t="shared" si="10516"/>
        <v>0</v>
      </c>
      <c r="Y2639" s="896" t="str">
        <f t="shared" ref="Y2639" si="10652">IFERROR((X2640/X2639),"-")</f>
        <v>-</v>
      </c>
      <c r="Z2639" s="528"/>
      <c r="AA2639" s="898">
        <v>0</v>
      </c>
      <c r="AB2639" s="898">
        <v>0</v>
      </c>
      <c r="AC2639" s="903">
        <v>0</v>
      </c>
      <c r="AD2639" s="896" t="str">
        <f t="shared" ref="AD2639" si="10653">IFERROR((AC2639/AA2639),"-")</f>
        <v>-</v>
      </c>
      <c r="AE2639" s="2"/>
      <c r="AF2639" s="884">
        <v>0</v>
      </c>
      <c r="AG2639" s="884"/>
      <c r="AH2639" s="884">
        <v>0</v>
      </c>
      <c r="AI2639" s="884"/>
      <c r="AJ2639" s="884"/>
      <c r="AK2639" s="884">
        <f t="shared" ref="AK2639" si="10654">AF2639+AG2639+AH2639+AI2639+AJ2639+AC2639</f>
        <v>0</v>
      </c>
      <c r="AL2639" s="884">
        <v>270.98</v>
      </c>
      <c r="AM2639" s="878">
        <f t="shared" ref="AM2639" si="10655">IFERROR((AK2639/AL2639),"-")</f>
        <v>0</v>
      </c>
      <c r="AN2639" s="2"/>
      <c r="AO2639" s="884">
        <v>271</v>
      </c>
      <c r="AP2639" s="884">
        <f t="shared" ref="AP2639" si="10656">AO2639-AK2639</f>
        <v>271</v>
      </c>
      <c r="AV2639" t="str">
        <f t="shared" si="10630"/>
        <v xml:space="preserve">   Seg. 3.1- ADME 12 - Drenagem Superficial - Descida D´água</v>
      </c>
      <c r="AW2639" s="4" t="str">
        <f t="shared" si="10628"/>
        <v xml:space="preserve">   Seg. 2.2-C08-Execução de sublastro</v>
      </c>
    </row>
    <row r="2640" spans="1:49" ht="15.6" customHeight="1" outlineLevel="2">
      <c r="A2640" s="8" t="str">
        <f t="shared" ref="A2640" si="10657">A2639</f>
        <v>N</v>
      </c>
      <c r="B2640" s="150">
        <v>1052736</v>
      </c>
      <c r="C2640" s="150" t="s">
        <v>2917</v>
      </c>
      <c r="D2640" s="120" t="s">
        <v>2918</v>
      </c>
      <c r="E2640" s="893"/>
      <c r="F2640" s="902"/>
      <c r="G2640" s="528"/>
      <c r="H2640" s="549" t="s">
        <v>38</v>
      </c>
      <c r="I2640" s="711">
        <v>0</v>
      </c>
      <c r="J2640" s="897"/>
      <c r="K2640" s="528"/>
      <c r="L2640" s="549" t="s">
        <v>38</v>
      </c>
      <c r="M2640" s="711">
        <f t="shared" si="10522"/>
        <v>0</v>
      </c>
      <c r="N2640" s="897"/>
      <c r="O2640" s="528"/>
      <c r="P2640" s="548">
        <v>0</v>
      </c>
      <c r="Q2640" s="548">
        <v>0</v>
      </c>
      <c r="R2640" s="548">
        <v>0</v>
      </c>
      <c r="S2640" s="548">
        <v>0</v>
      </c>
      <c r="T2640" s="548">
        <v>0</v>
      </c>
      <c r="U2640" s="548">
        <v>0</v>
      </c>
      <c r="V2640" s="548">
        <v>0</v>
      </c>
      <c r="W2640" s="528"/>
      <c r="X2640" s="711">
        <f t="shared" si="10516"/>
        <v>0</v>
      </c>
      <c r="Y2640" s="897"/>
      <c r="Z2640" s="528"/>
      <c r="AA2640" s="899"/>
      <c r="AB2640" s="899"/>
      <c r="AC2640" s="904"/>
      <c r="AD2640" s="905"/>
      <c r="AE2640" s="2"/>
      <c r="AF2640" s="885"/>
      <c r="AG2640" s="885"/>
      <c r="AH2640" s="885"/>
      <c r="AI2640" s="885"/>
      <c r="AJ2640" s="885"/>
      <c r="AK2640" s="885"/>
      <c r="AL2640" s="885"/>
      <c r="AM2640" s="879"/>
      <c r="AN2640" s="2"/>
      <c r="AO2640" s="886"/>
      <c r="AP2640" s="886"/>
      <c r="AV2640" t="str">
        <f t="shared" si="10630"/>
        <v xml:space="preserve">   Seg. 3.1- ADME 12 - Drenagem Superficial - Descida D´água</v>
      </c>
      <c r="AW2640" s="4" t="str">
        <f t="shared" si="10628"/>
        <v xml:space="preserve">   Seg. 2.2-C08-Execução de sublastro</v>
      </c>
    </row>
    <row r="2641" spans="1:49" ht="15.6" customHeight="1" outlineLevel="2">
      <c r="A2641" s="8" t="str">
        <f t="shared" ref="A2641" si="10658">IF(SUM(P2641:V2642)&gt;0,"S","N")</f>
        <v>N</v>
      </c>
      <c r="B2641" s="150">
        <v>1052737</v>
      </c>
      <c r="C2641" s="150" t="s">
        <v>2920</v>
      </c>
      <c r="D2641" s="120" t="s">
        <v>2921</v>
      </c>
      <c r="E2641" s="892" t="s">
        <v>2922</v>
      </c>
      <c r="F2641" s="902" t="s">
        <v>36</v>
      </c>
      <c r="G2641" s="528"/>
      <c r="H2641" s="546" t="s">
        <v>37</v>
      </c>
      <c r="I2641" s="711">
        <v>0</v>
      </c>
      <c r="J2641" s="896" t="str">
        <f t="shared" ref="J2641" si="10659">IFERROR((I2642/I2641),"-")</f>
        <v>-</v>
      </c>
      <c r="K2641" s="528"/>
      <c r="L2641" s="546" t="s">
        <v>37</v>
      </c>
      <c r="M2641" s="711">
        <f t="shared" si="10522"/>
        <v>0</v>
      </c>
      <c r="N2641" s="896" t="str">
        <f t="shared" ref="N2641" si="10660">IFERROR((M2642/M2641),"-")</f>
        <v>-</v>
      </c>
      <c r="O2641" s="528"/>
      <c r="P2641" s="547">
        <v>0</v>
      </c>
      <c r="Q2641" s="547">
        <v>0</v>
      </c>
      <c r="R2641" s="547">
        <v>0</v>
      </c>
      <c r="S2641" s="547">
        <v>0</v>
      </c>
      <c r="T2641" s="547">
        <v>0</v>
      </c>
      <c r="U2641" s="547">
        <v>0</v>
      </c>
      <c r="V2641" s="547">
        <v>0</v>
      </c>
      <c r="W2641" s="528"/>
      <c r="X2641" s="711">
        <f t="shared" si="10516"/>
        <v>0</v>
      </c>
      <c r="Y2641" s="896" t="str">
        <f t="shared" ref="Y2641" si="10661">IFERROR((X2642/X2641),"-")</f>
        <v>-</v>
      </c>
      <c r="Z2641" s="528"/>
      <c r="AA2641" s="898">
        <v>0</v>
      </c>
      <c r="AB2641" s="898">
        <v>0</v>
      </c>
      <c r="AC2641" s="903">
        <v>0</v>
      </c>
      <c r="AD2641" s="896" t="str">
        <f t="shared" ref="AD2641" si="10662">IFERROR((AC2641/AA2641),"-")</f>
        <v>-</v>
      </c>
      <c r="AE2641" s="2"/>
      <c r="AF2641" s="884">
        <v>0</v>
      </c>
      <c r="AG2641" s="884"/>
      <c r="AH2641" s="884">
        <v>0</v>
      </c>
      <c r="AI2641" s="884"/>
      <c r="AJ2641" s="884"/>
      <c r="AK2641" s="884">
        <f t="shared" ref="AK2641" si="10663">AF2641+AG2641+AH2641+AI2641+AJ2641+AC2641</f>
        <v>0</v>
      </c>
      <c r="AL2641" s="884">
        <v>270.98</v>
      </c>
      <c r="AM2641" s="878">
        <f t="shared" ref="AM2641" si="10664">IFERROR((AK2641/AL2641),"-")</f>
        <v>0</v>
      </c>
      <c r="AN2641" s="2"/>
      <c r="AO2641" s="884">
        <v>271</v>
      </c>
      <c r="AP2641" s="884">
        <f t="shared" ref="AP2641" si="10665">AO2641-AK2641</f>
        <v>271</v>
      </c>
      <c r="AV2641" t="str">
        <f t="shared" si="10630"/>
        <v xml:space="preserve">   Seg. 3.1- ADME 12 - Drenagem Superficial - Descida D´água</v>
      </c>
      <c r="AW2641" s="4" t="str">
        <f t="shared" si="10628"/>
        <v xml:space="preserve">   Seg. 2.2-A08-Execução de sublastro</v>
      </c>
    </row>
    <row r="2642" spans="1:49" ht="14.45" customHeight="1" outlineLevel="2">
      <c r="A2642" s="8" t="str">
        <f t="shared" ref="A2642" si="10666">A2641</f>
        <v>N</v>
      </c>
      <c r="B2642" s="150">
        <v>1052737</v>
      </c>
      <c r="C2642" s="150" t="s">
        <v>2920</v>
      </c>
      <c r="D2642" s="120" t="s">
        <v>2921</v>
      </c>
      <c r="E2642" s="893"/>
      <c r="F2642" s="902"/>
      <c r="G2642" s="528"/>
      <c r="H2642" s="549" t="s">
        <v>38</v>
      </c>
      <c r="I2642" s="711">
        <v>0</v>
      </c>
      <c r="J2642" s="897"/>
      <c r="K2642" s="528"/>
      <c r="L2642" s="549" t="s">
        <v>38</v>
      </c>
      <c r="M2642" s="711">
        <f t="shared" si="10522"/>
        <v>0</v>
      </c>
      <c r="N2642" s="897"/>
      <c r="O2642" s="528"/>
      <c r="P2642" s="548">
        <v>0</v>
      </c>
      <c r="Q2642" s="548">
        <v>0</v>
      </c>
      <c r="R2642" s="548">
        <v>0</v>
      </c>
      <c r="S2642" s="548">
        <v>0</v>
      </c>
      <c r="T2642" s="548">
        <v>0</v>
      </c>
      <c r="U2642" s="548">
        <v>0</v>
      </c>
      <c r="V2642" s="548">
        <v>0</v>
      </c>
      <c r="W2642" s="528"/>
      <c r="X2642" s="711">
        <f t="shared" si="10516"/>
        <v>0</v>
      </c>
      <c r="Y2642" s="897"/>
      <c r="Z2642" s="528"/>
      <c r="AA2642" s="899"/>
      <c r="AB2642" s="899"/>
      <c r="AC2642" s="904"/>
      <c r="AD2642" s="905"/>
      <c r="AE2642" s="2"/>
      <c r="AF2642" s="885"/>
      <c r="AG2642" s="885"/>
      <c r="AH2642" s="885"/>
      <c r="AI2642" s="885"/>
      <c r="AJ2642" s="885"/>
      <c r="AK2642" s="885"/>
      <c r="AL2642" s="885"/>
      <c r="AM2642" s="879"/>
      <c r="AN2642" s="2"/>
      <c r="AO2642" s="886"/>
      <c r="AP2642" s="886"/>
      <c r="AV2642" t="str">
        <f t="shared" si="10630"/>
        <v xml:space="preserve">   Seg. 3.1- ADME 12 - Drenagem Superficial - Descida D´água</v>
      </c>
      <c r="AW2642" s="4" t="str">
        <f t="shared" si="10628"/>
        <v xml:space="preserve">   Seg. 2.2-A08-Execução de sublastro</v>
      </c>
    </row>
    <row r="2643" spans="1:49" ht="14.1" customHeight="1" outlineLevel="2">
      <c r="A2643" s="8" t="str">
        <f t="shared" ref="A2643" si="10667">IF(SUM(P2643:V2644)&gt;0,"S","N")</f>
        <v>N</v>
      </c>
      <c r="B2643" s="150">
        <v>1052738</v>
      </c>
      <c r="C2643" s="150" t="s">
        <v>2923</v>
      </c>
      <c r="D2643" s="120" t="s">
        <v>2924</v>
      </c>
      <c r="E2643" s="892" t="s">
        <v>2925</v>
      </c>
      <c r="F2643" s="902" t="s">
        <v>36</v>
      </c>
      <c r="G2643" s="528"/>
      <c r="H2643" s="546" t="s">
        <v>37</v>
      </c>
      <c r="I2643" s="711">
        <v>0</v>
      </c>
      <c r="J2643" s="896" t="str">
        <f t="shared" ref="J2643" si="10668">IFERROR((I2644/I2643),"-")</f>
        <v>-</v>
      </c>
      <c r="K2643" s="528"/>
      <c r="L2643" s="546" t="s">
        <v>37</v>
      </c>
      <c r="M2643" s="711">
        <f t="shared" si="10522"/>
        <v>0</v>
      </c>
      <c r="N2643" s="896" t="str">
        <f t="shared" ref="N2643" si="10669">IFERROR((M2644/M2643),"-")</f>
        <v>-</v>
      </c>
      <c r="O2643" s="528"/>
      <c r="P2643" s="547">
        <v>0</v>
      </c>
      <c r="Q2643" s="547">
        <v>0</v>
      </c>
      <c r="R2643" s="547">
        <v>0</v>
      </c>
      <c r="S2643" s="547">
        <v>0</v>
      </c>
      <c r="T2643" s="547">
        <v>0</v>
      </c>
      <c r="U2643" s="547">
        <v>0</v>
      </c>
      <c r="V2643" s="547">
        <v>0</v>
      </c>
      <c r="W2643" s="528"/>
      <c r="X2643" s="711">
        <f t="shared" si="10516"/>
        <v>0</v>
      </c>
      <c r="Y2643" s="896" t="str">
        <f t="shared" ref="Y2643" si="10670">IFERROR((X2644/X2643),"-")</f>
        <v>-</v>
      </c>
      <c r="Z2643" s="528"/>
      <c r="AA2643" s="898">
        <v>0</v>
      </c>
      <c r="AB2643" s="898">
        <v>0</v>
      </c>
      <c r="AC2643" s="903">
        <v>0</v>
      </c>
      <c r="AD2643" s="896" t="str">
        <f t="shared" ref="AD2643" si="10671">IFERROR((AC2643/AA2643),"-")</f>
        <v>-</v>
      </c>
      <c r="AE2643" s="2"/>
      <c r="AF2643" s="884">
        <v>0</v>
      </c>
      <c r="AG2643" s="884"/>
      <c r="AH2643" s="884">
        <v>0</v>
      </c>
      <c r="AI2643" s="884"/>
      <c r="AJ2643" s="884"/>
      <c r="AK2643" s="884">
        <f t="shared" ref="AK2643" si="10672">AF2643+AG2643+AH2643+AI2643+AJ2643+AC2643</f>
        <v>0</v>
      </c>
      <c r="AL2643" s="884">
        <v>2095.9299999999998</v>
      </c>
      <c r="AM2643" s="878">
        <f t="shared" ref="AM2643" si="10673">IFERROR((AK2643/AL2643),"-")</f>
        <v>0</v>
      </c>
      <c r="AN2643" s="2"/>
      <c r="AO2643" s="884">
        <v>2096</v>
      </c>
      <c r="AP2643" s="884">
        <f t="shared" ref="AP2643" si="10674">AO2643-AK2643</f>
        <v>2096</v>
      </c>
      <c r="AV2643" t="str">
        <f t="shared" si="10630"/>
        <v xml:space="preserve">   Seg. 3.1- ADME 12 - Drenagem Superficial - Descida D´água</v>
      </c>
      <c r="AW2643" s="4" t="str">
        <f t="shared" si="10628"/>
        <v xml:space="preserve">   Seg. 2.2-C09-Execução de sublastro</v>
      </c>
    </row>
    <row r="2644" spans="1:49" ht="14.45" customHeight="1" outlineLevel="2">
      <c r="A2644" s="8" t="str">
        <f t="shared" ref="A2644" si="10675">A2643</f>
        <v>N</v>
      </c>
      <c r="B2644" s="150">
        <v>1052738</v>
      </c>
      <c r="C2644" s="150" t="s">
        <v>2923</v>
      </c>
      <c r="D2644" s="120" t="s">
        <v>2924</v>
      </c>
      <c r="E2644" s="893"/>
      <c r="F2644" s="902"/>
      <c r="G2644" s="528"/>
      <c r="H2644" s="549" t="s">
        <v>38</v>
      </c>
      <c r="I2644" s="711">
        <v>0</v>
      </c>
      <c r="J2644" s="897"/>
      <c r="K2644" s="528"/>
      <c r="L2644" s="549" t="s">
        <v>38</v>
      </c>
      <c r="M2644" s="711">
        <f t="shared" si="10522"/>
        <v>0</v>
      </c>
      <c r="N2644" s="897"/>
      <c r="O2644" s="528"/>
      <c r="P2644" s="548">
        <v>0</v>
      </c>
      <c r="Q2644" s="548">
        <v>0</v>
      </c>
      <c r="R2644" s="548">
        <v>0</v>
      </c>
      <c r="S2644" s="548">
        <v>0</v>
      </c>
      <c r="T2644" s="548">
        <v>0</v>
      </c>
      <c r="U2644" s="548">
        <v>0</v>
      </c>
      <c r="V2644" s="548">
        <v>0</v>
      </c>
      <c r="W2644" s="528"/>
      <c r="X2644" s="711">
        <f t="shared" si="10516"/>
        <v>0</v>
      </c>
      <c r="Y2644" s="897"/>
      <c r="Z2644" s="528"/>
      <c r="AA2644" s="899"/>
      <c r="AB2644" s="899"/>
      <c r="AC2644" s="904"/>
      <c r="AD2644" s="905"/>
      <c r="AE2644" s="2"/>
      <c r="AF2644" s="885"/>
      <c r="AG2644" s="885"/>
      <c r="AH2644" s="885"/>
      <c r="AI2644" s="885"/>
      <c r="AJ2644" s="885"/>
      <c r="AK2644" s="885"/>
      <c r="AL2644" s="885"/>
      <c r="AM2644" s="879"/>
      <c r="AN2644" s="2"/>
      <c r="AO2644" s="886"/>
      <c r="AP2644" s="886"/>
      <c r="AV2644" t="str">
        <f t="shared" si="10630"/>
        <v xml:space="preserve">   Seg. 3.1- ADME 12 - Drenagem Superficial - Descida D´água</v>
      </c>
      <c r="AW2644" s="4" t="str">
        <f t="shared" si="10628"/>
        <v xml:space="preserve">   Seg. 2.2-C09-Execução de sublastro</v>
      </c>
    </row>
    <row r="2645" spans="1:49" ht="14.45" customHeight="1" outlineLevel="2">
      <c r="A2645" s="8" t="str">
        <f t="shared" ref="A2645" si="10676">IF(SUM(P2645:V2646)&gt;0,"S","N")</f>
        <v>N</v>
      </c>
      <c r="B2645" s="150">
        <v>1052739</v>
      </c>
      <c r="C2645" s="150" t="s">
        <v>2926</v>
      </c>
      <c r="D2645" s="120" t="s">
        <v>2927</v>
      </c>
      <c r="E2645" s="892" t="s">
        <v>2928</v>
      </c>
      <c r="F2645" s="902" t="s">
        <v>36</v>
      </c>
      <c r="G2645" s="528"/>
      <c r="H2645" s="546" t="s">
        <v>37</v>
      </c>
      <c r="I2645" s="711">
        <v>0</v>
      </c>
      <c r="J2645" s="896" t="str">
        <f t="shared" ref="J2645" si="10677">IFERROR((I2646/I2645),"-")</f>
        <v>-</v>
      </c>
      <c r="K2645" s="528"/>
      <c r="L2645" s="546" t="s">
        <v>37</v>
      </c>
      <c r="M2645" s="711">
        <f t="shared" si="10522"/>
        <v>0</v>
      </c>
      <c r="N2645" s="896" t="str">
        <f t="shared" ref="N2645" si="10678">IFERROR((M2646/M2645),"-")</f>
        <v>-</v>
      </c>
      <c r="O2645" s="528"/>
      <c r="P2645" s="547">
        <v>0</v>
      </c>
      <c r="Q2645" s="547">
        <v>0</v>
      </c>
      <c r="R2645" s="547">
        <v>0</v>
      </c>
      <c r="S2645" s="547">
        <v>0</v>
      </c>
      <c r="T2645" s="547">
        <v>0</v>
      </c>
      <c r="U2645" s="547">
        <v>0</v>
      </c>
      <c r="V2645" s="547">
        <v>0</v>
      </c>
      <c r="W2645" s="528"/>
      <c r="X2645" s="711">
        <f t="shared" si="10516"/>
        <v>0</v>
      </c>
      <c r="Y2645" s="896" t="str">
        <f t="shared" ref="Y2645" si="10679">IFERROR((X2646/X2645),"-")</f>
        <v>-</v>
      </c>
      <c r="Z2645" s="528"/>
      <c r="AA2645" s="898">
        <v>0</v>
      </c>
      <c r="AB2645" s="898">
        <v>0</v>
      </c>
      <c r="AC2645" s="903">
        <v>0</v>
      </c>
      <c r="AD2645" s="896" t="str">
        <f t="shared" ref="AD2645" si="10680">IFERROR((AC2645/AA2645),"-")</f>
        <v>-</v>
      </c>
      <c r="AE2645" s="2"/>
      <c r="AF2645" s="884">
        <v>0</v>
      </c>
      <c r="AG2645" s="884"/>
      <c r="AH2645" s="884">
        <v>0</v>
      </c>
      <c r="AI2645" s="884"/>
      <c r="AJ2645" s="884"/>
      <c r="AK2645" s="884">
        <f t="shared" ref="AK2645" si="10681">AF2645+AG2645+AH2645+AI2645+AJ2645+AC2645</f>
        <v>0</v>
      </c>
      <c r="AL2645" s="884">
        <v>115.93999999999997</v>
      </c>
      <c r="AM2645" s="878">
        <f t="shared" ref="AM2645" si="10682">IFERROR((AK2645/AL2645),"-")</f>
        <v>0</v>
      </c>
      <c r="AN2645" s="2"/>
      <c r="AO2645" s="884">
        <v>116</v>
      </c>
      <c r="AP2645" s="884">
        <f t="shared" ref="AP2645" si="10683">AO2645-AK2645</f>
        <v>116</v>
      </c>
      <c r="AV2645" t="str">
        <f t="shared" si="10630"/>
        <v xml:space="preserve">   Seg. 3.1- ADME 12 - Drenagem Superficial - Descida D´água</v>
      </c>
      <c r="AW2645" s="4" t="str">
        <f t="shared" si="10628"/>
        <v xml:space="preserve">   Seg. 2.2-A09-Execução de sublastro</v>
      </c>
    </row>
    <row r="2646" spans="1:49" ht="15.6" customHeight="1" outlineLevel="2">
      <c r="A2646" s="8" t="str">
        <f t="shared" ref="A2646" si="10684">A2645</f>
        <v>N</v>
      </c>
      <c r="B2646" s="150">
        <v>1052739</v>
      </c>
      <c r="C2646" s="150" t="s">
        <v>2926</v>
      </c>
      <c r="D2646" s="120" t="s">
        <v>2927</v>
      </c>
      <c r="E2646" s="893"/>
      <c r="F2646" s="902"/>
      <c r="G2646" s="528"/>
      <c r="H2646" s="549" t="s">
        <v>38</v>
      </c>
      <c r="I2646" s="711">
        <v>0</v>
      </c>
      <c r="J2646" s="897"/>
      <c r="K2646" s="528"/>
      <c r="L2646" s="549" t="s">
        <v>38</v>
      </c>
      <c r="M2646" s="711">
        <f t="shared" si="10522"/>
        <v>0</v>
      </c>
      <c r="N2646" s="897"/>
      <c r="O2646" s="528"/>
      <c r="P2646" s="548">
        <v>0</v>
      </c>
      <c r="Q2646" s="548">
        <v>0</v>
      </c>
      <c r="R2646" s="548">
        <v>0</v>
      </c>
      <c r="S2646" s="548">
        <v>0</v>
      </c>
      <c r="T2646" s="548">
        <v>0</v>
      </c>
      <c r="U2646" s="548">
        <v>0</v>
      </c>
      <c r="V2646" s="548">
        <v>0</v>
      </c>
      <c r="W2646" s="528"/>
      <c r="X2646" s="711">
        <f t="shared" si="10516"/>
        <v>0</v>
      </c>
      <c r="Y2646" s="897"/>
      <c r="Z2646" s="528"/>
      <c r="AA2646" s="899"/>
      <c r="AB2646" s="899"/>
      <c r="AC2646" s="904"/>
      <c r="AD2646" s="905"/>
      <c r="AE2646" s="2"/>
      <c r="AF2646" s="885"/>
      <c r="AG2646" s="885"/>
      <c r="AH2646" s="885"/>
      <c r="AI2646" s="885"/>
      <c r="AJ2646" s="885"/>
      <c r="AK2646" s="885"/>
      <c r="AL2646" s="885"/>
      <c r="AM2646" s="879"/>
      <c r="AN2646" s="2"/>
      <c r="AO2646" s="886"/>
      <c r="AP2646" s="886"/>
      <c r="AV2646" t="str">
        <f t="shared" si="10630"/>
        <v xml:space="preserve">   Seg. 3.1- ADME 12 - Drenagem Superficial - Descida D´água</v>
      </c>
      <c r="AW2646" s="4" t="str">
        <f t="shared" si="10628"/>
        <v xml:space="preserve">   Seg. 2.2-A09-Execução de sublastro</v>
      </c>
    </row>
    <row r="2647" spans="1:49" ht="15.6" customHeight="1" outlineLevel="2">
      <c r="A2647" s="8" t="str">
        <f t="shared" ref="A2647" si="10685">IF(SUM(P2647:V2648)&gt;0,"S","N")</f>
        <v>N</v>
      </c>
      <c r="B2647" s="150">
        <v>1052740</v>
      </c>
      <c r="C2647" s="150" t="s">
        <v>2929</v>
      </c>
      <c r="D2647" s="120" t="s">
        <v>2930</v>
      </c>
      <c r="E2647" s="892" t="s">
        <v>2931</v>
      </c>
      <c r="F2647" s="902" t="s">
        <v>36</v>
      </c>
      <c r="G2647" s="528"/>
      <c r="H2647" s="546" t="s">
        <v>37</v>
      </c>
      <c r="I2647" s="711">
        <v>0</v>
      </c>
      <c r="J2647" s="896" t="str">
        <f t="shared" ref="J2647" si="10686">IFERROR((I2648/I2647),"-")</f>
        <v>-</v>
      </c>
      <c r="K2647" s="528"/>
      <c r="L2647" s="546" t="s">
        <v>37</v>
      </c>
      <c r="M2647" s="711">
        <f t="shared" si="10522"/>
        <v>0</v>
      </c>
      <c r="N2647" s="896" t="str">
        <f t="shared" ref="N2647" si="10687">IFERROR((M2648/M2647),"-")</f>
        <v>-</v>
      </c>
      <c r="O2647" s="528"/>
      <c r="P2647" s="547">
        <v>0</v>
      </c>
      <c r="Q2647" s="547">
        <v>0</v>
      </c>
      <c r="R2647" s="547">
        <v>0</v>
      </c>
      <c r="S2647" s="547">
        <v>0</v>
      </c>
      <c r="T2647" s="547">
        <v>0</v>
      </c>
      <c r="U2647" s="547">
        <v>0</v>
      </c>
      <c r="V2647" s="547">
        <v>0</v>
      </c>
      <c r="W2647" s="528"/>
      <c r="X2647" s="711">
        <f t="shared" si="10516"/>
        <v>0</v>
      </c>
      <c r="Y2647" s="896" t="str">
        <f t="shared" ref="Y2647" si="10688">IFERROR((X2648/X2647),"-")</f>
        <v>-</v>
      </c>
      <c r="Z2647" s="528"/>
      <c r="AA2647" s="898">
        <v>0</v>
      </c>
      <c r="AB2647" s="898">
        <v>0</v>
      </c>
      <c r="AC2647" s="903">
        <v>0</v>
      </c>
      <c r="AD2647" s="896" t="str">
        <f t="shared" ref="AD2647" si="10689">IFERROR((AC2647/AA2647),"-")</f>
        <v>-</v>
      </c>
      <c r="AE2647" s="2"/>
      <c r="AF2647" s="884">
        <v>941</v>
      </c>
      <c r="AG2647" s="884"/>
      <c r="AH2647" s="884">
        <v>0</v>
      </c>
      <c r="AI2647" s="884"/>
      <c r="AJ2647" s="884">
        <v>624.17999999999995</v>
      </c>
      <c r="AK2647" s="884">
        <f t="shared" ref="AK2647" si="10690">AF2647+AG2647+AH2647+AI2647+AJ2647+AC2647</f>
        <v>1565.1799999999998</v>
      </c>
      <c r="AL2647" s="884">
        <v>1565.1000000000006</v>
      </c>
      <c r="AM2647" s="878">
        <f t="shared" ref="AM2647" si="10691">IFERROR((AK2647/AL2647),"-")</f>
        <v>1.0000511149447315</v>
      </c>
      <c r="AN2647" s="2"/>
      <c r="AO2647" s="884">
        <v>941</v>
      </c>
      <c r="AP2647" s="884">
        <f t="shared" ref="AP2647" si="10692">AO2647-AK2647</f>
        <v>-624.17999999999984</v>
      </c>
      <c r="AV2647" t="str">
        <f t="shared" si="10630"/>
        <v xml:space="preserve">   Seg. 3.1- ADME 12 - Drenagem Superficial - Descida D´água</v>
      </c>
      <c r="AW2647" s="4" t="str">
        <f t="shared" si="10628"/>
        <v xml:space="preserve">   Seg. 2.2-A10-Execução de sublastro</v>
      </c>
    </row>
    <row r="2648" spans="1:49" ht="15.6" customHeight="1" outlineLevel="2">
      <c r="A2648" s="8" t="str">
        <f t="shared" ref="A2648" si="10693">A2647</f>
        <v>N</v>
      </c>
      <c r="B2648" s="150">
        <v>1052740</v>
      </c>
      <c r="C2648" s="150" t="s">
        <v>2929</v>
      </c>
      <c r="D2648" s="120" t="s">
        <v>2930</v>
      </c>
      <c r="E2648" s="893"/>
      <c r="F2648" s="902"/>
      <c r="G2648" s="528"/>
      <c r="H2648" s="549" t="s">
        <v>38</v>
      </c>
      <c r="I2648" s="711">
        <v>0</v>
      </c>
      <c r="J2648" s="897"/>
      <c r="K2648" s="528"/>
      <c r="L2648" s="549" t="s">
        <v>38</v>
      </c>
      <c r="M2648" s="711">
        <f t="shared" si="10522"/>
        <v>0</v>
      </c>
      <c r="N2648" s="897"/>
      <c r="O2648" s="528"/>
      <c r="P2648" s="548">
        <v>0</v>
      </c>
      <c r="Q2648" s="548">
        <v>0</v>
      </c>
      <c r="R2648" s="548">
        <v>0</v>
      </c>
      <c r="S2648" s="548">
        <v>0</v>
      </c>
      <c r="T2648" s="548">
        <v>0</v>
      </c>
      <c r="U2648" s="548">
        <v>0</v>
      </c>
      <c r="V2648" s="548">
        <v>0</v>
      </c>
      <c r="W2648" s="528"/>
      <c r="X2648" s="711">
        <f t="shared" si="10516"/>
        <v>0</v>
      </c>
      <c r="Y2648" s="897"/>
      <c r="Z2648" s="528"/>
      <c r="AA2648" s="899"/>
      <c r="AB2648" s="899"/>
      <c r="AC2648" s="904"/>
      <c r="AD2648" s="905"/>
      <c r="AE2648" s="2"/>
      <c r="AF2648" s="885"/>
      <c r="AG2648" s="885"/>
      <c r="AH2648" s="885"/>
      <c r="AI2648" s="885"/>
      <c r="AJ2648" s="885"/>
      <c r="AK2648" s="885"/>
      <c r="AL2648" s="885"/>
      <c r="AM2648" s="879"/>
      <c r="AN2648" s="2"/>
      <c r="AO2648" s="886"/>
      <c r="AP2648" s="886"/>
      <c r="AV2648" t="str">
        <f t="shared" si="10630"/>
        <v xml:space="preserve">   Seg. 3.1- ADME 12 - Drenagem Superficial - Descida D´água</v>
      </c>
      <c r="AW2648" s="4" t="str">
        <f t="shared" si="10628"/>
        <v xml:space="preserve">   Seg. 2.2-A10-Execução de sublastro</v>
      </c>
    </row>
    <row r="2649" spans="1:49" ht="15.6" customHeight="1" outlineLevel="2">
      <c r="A2649" s="8" t="str">
        <f t="shared" ref="A2649" si="10694">IF(SUM(P2649:V2650)&gt;0,"S","N")</f>
        <v>N</v>
      </c>
      <c r="B2649" s="150">
        <v>1052741</v>
      </c>
      <c r="C2649" s="150" t="s">
        <v>2932</v>
      </c>
      <c r="D2649" s="120" t="s">
        <v>2933</v>
      </c>
      <c r="E2649" s="892" t="s">
        <v>2934</v>
      </c>
      <c r="F2649" s="902" t="s">
        <v>36</v>
      </c>
      <c r="G2649" s="528"/>
      <c r="H2649" s="546" t="s">
        <v>37</v>
      </c>
      <c r="I2649" s="711">
        <v>0</v>
      </c>
      <c r="J2649" s="896" t="str">
        <f t="shared" ref="J2649" si="10695">IFERROR((I2650/I2649),"-")</f>
        <v>-</v>
      </c>
      <c r="K2649" s="528"/>
      <c r="L2649" s="546" t="s">
        <v>37</v>
      </c>
      <c r="M2649" s="711">
        <f t="shared" si="10522"/>
        <v>0</v>
      </c>
      <c r="N2649" s="896" t="str">
        <f t="shared" ref="N2649" si="10696">IFERROR((M2650/M2649),"-")</f>
        <v>-</v>
      </c>
      <c r="O2649" s="528"/>
      <c r="P2649" s="547">
        <v>0</v>
      </c>
      <c r="Q2649" s="547">
        <v>0</v>
      </c>
      <c r="R2649" s="547">
        <v>0</v>
      </c>
      <c r="S2649" s="547">
        <v>0</v>
      </c>
      <c r="T2649" s="547">
        <v>0</v>
      </c>
      <c r="U2649" s="547">
        <v>0</v>
      </c>
      <c r="V2649" s="547">
        <v>0</v>
      </c>
      <c r="W2649" s="528"/>
      <c r="X2649" s="711">
        <f t="shared" si="10516"/>
        <v>0</v>
      </c>
      <c r="Y2649" s="896" t="str">
        <f t="shared" ref="Y2649" si="10697">IFERROR((X2650/X2649),"-")</f>
        <v>-</v>
      </c>
      <c r="Z2649" s="528"/>
      <c r="AA2649" s="898">
        <v>0</v>
      </c>
      <c r="AB2649" s="898">
        <v>0</v>
      </c>
      <c r="AC2649" s="903">
        <v>0</v>
      </c>
      <c r="AD2649" s="896" t="str">
        <f t="shared" ref="AD2649" si="10698">IFERROR((AC2649/AA2649),"-")</f>
        <v>-</v>
      </c>
      <c r="AE2649" s="2"/>
      <c r="AF2649" s="884">
        <v>854</v>
      </c>
      <c r="AG2649" s="884"/>
      <c r="AH2649" s="884">
        <v>0</v>
      </c>
      <c r="AI2649" s="884"/>
      <c r="AJ2649" s="884"/>
      <c r="AK2649" s="884">
        <f t="shared" ref="AK2649" si="10699">AF2649+AG2649+AH2649+AI2649+AJ2649+AC2649</f>
        <v>854</v>
      </c>
      <c r="AL2649" s="884">
        <v>853.9899999999999</v>
      </c>
      <c r="AM2649" s="878">
        <f t="shared" ref="AM2649" si="10700">IFERROR((AK2649/AL2649),"-")</f>
        <v>1.00001170973899</v>
      </c>
      <c r="AN2649" s="2"/>
      <c r="AO2649" s="884">
        <v>854</v>
      </c>
      <c r="AP2649" s="884">
        <f t="shared" ref="AP2649" si="10701">AO2649-AK2649</f>
        <v>0</v>
      </c>
      <c r="AV2649" t="str">
        <f t="shared" si="10630"/>
        <v xml:space="preserve">   Seg. 3.1- ADME 12 - Drenagem Superficial - Descida D´água</v>
      </c>
      <c r="AW2649" s="4" t="str">
        <f t="shared" si="10628"/>
        <v xml:space="preserve">   Seg. 2.2-C10-Execução de sublastro</v>
      </c>
    </row>
    <row r="2650" spans="1:49" ht="15.6" customHeight="1" outlineLevel="2">
      <c r="A2650" s="8" t="str">
        <f t="shared" ref="A2650" si="10702">A2649</f>
        <v>N</v>
      </c>
      <c r="B2650" s="150">
        <v>1052741</v>
      </c>
      <c r="C2650" s="150" t="s">
        <v>2932</v>
      </c>
      <c r="D2650" s="120" t="s">
        <v>2933</v>
      </c>
      <c r="E2650" s="893"/>
      <c r="F2650" s="902"/>
      <c r="G2650" s="528"/>
      <c r="H2650" s="549" t="s">
        <v>38</v>
      </c>
      <c r="I2650" s="711">
        <v>0</v>
      </c>
      <c r="J2650" s="897"/>
      <c r="K2650" s="528"/>
      <c r="L2650" s="549" t="s">
        <v>38</v>
      </c>
      <c r="M2650" s="711">
        <f t="shared" si="10522"/>
        <v>0</v>
      </c>
      <c r="N2650" s="897"/>
      <c r="O2650" s="528"/>
      <c r="P2650" s="548">
        <v>0</v>
      </c>
      <c r="Q2650" s="548">
        <v>0</v>
      </c>
      <c r="R2650" s="548">
        <v>0</v>
      </c>
      <c r="S2650" s="548">
        <v>0</v>
      </c>
      <c r="T2650" s="548">
        <v>0</v>
      </c>
      <c r="U2650" s="548">
        <v>0</v>
      </c>
      <c r="V2650" s="548">
        <v>0</v>
      </c>
      <c r="W2650" s="528"/>
      <c r="X2650" s="711">
        <f t="shared" si="10516"/>
        <v>0</v>
      </c>
      <c r="Y2650" s="897"/>
      <c r="Z2650" s="528"/>
      <c r="AA2650" s="899"/>
      <c r="AB2650" s="899"/>
      <c r="AC2650" s="904"/>
      <c r="AD2650" s="905"/>
      <c r="AE2650" s="2"/>
      <c r="AF2650" s="885"/>
      <c r="AG2650" s="885"/>
      <c r="AH2650" s="885"/>
      <c r="AI2650" s="885"/>
      <c r="AJ2650" s="885"/>
      <c r="AK2650" s="885"/>
      <c r="AL2650" s="885"/>
      <c r="AM2650" s="879"/>
      <c r="AN2650" s="2"/>
      <c r="AO2650" s="886"/>
      <c r="AP2650" s="886"/>
      <c r="AV2650" t="str">
        <f t="shared" si="10630"/>
        <v xml:space="preserve">   Seg. 3.1- ADME 12 - Drenagem Superficial - Descida D´água</v>
      </c>
      <c r="AW2650" s="4" t="str">
        <f t="shared" si="10628"/>
        <v xml:space="preserve">   Seg. 2.2-C10-Execução de sublastro</v>
      </c>
    </row>
    <row r="2651" spans="1:49" ht="15.6" customHeight="1" outlineLevel="2">
      <c r="A2651" s="8" t="str">
        <f t="shared" ref="A2651" si="10703">IF(SUM(P2651:V2652)&gt;0,"S","N")</f>
        <v>N</v>
      </c>
      <c r="B2651" s="150">
        <v>1052742</v>
      </c>
      <c r="C2651" s="150" t="s">
        <v>2935</v>
      </c>
      <c r="D2651" s="120" t="s">
        <v>2936</v>
      </c>
      <c r="E2651" s="892" t="s">
        <v>2937</v>
      </c>
      <c r="F2651" s="902" t="s">
        <v>36</v>
      </c>
      <c r="G2651" s="528"/>
      <c r="H2651" s="546" t="s">
        <v>37</v>
      </c>
      <c r="I2651" s="711">
        <v>0</v>
      </c>
      <c r="J2651" s="896" t="str">
        <f t="shared" ref="J2651" si="10704">IFERROR((I2652/I2651),"-")</f>
        <v>-</v>
      </c>
      <c r="K2651" s="528"/>
      <c r="L2651" s="546" t="s">
        <v>37</v>
      </c>
      <c r="M2651" s="711">
        <f t="shared" si="10522"/>
        <v>0</v>
      </c>
      <c r="N2651" s="896" t="str">
        <f t="shared" ref="N2651" si="10705">IFERROR((M2652/M2651),"-")</f>
        <v>-</v>
      </c>
      <c r="O2651" s="528"/>
      <c r="P2651" s="547">
        <v>0</v>
      </c>
      <c r="Q2651" s="547">
        <v>0</v>
      </c>
      <c r="R2651" s="547">
        <v>0</v>
      </c>
      <c r="S2651" s="547">
        <v>0</v>
      </c>
      <c r="T2651" s="547">
        <v>0</v>
      </c>
      <c r="U2651" s="547">
        <v>0</v>
      </c>
      <c r="V2651" s="547">
        <v>0</v>
      </c>
      <c r="W2651" s="528"/>
      <c r="X2651" s="711">
        <f t="shared" si="10516"/>
        <v>0</v>
      </c>
      <c r="Y2651" s="896" t="str">
        <f t="shared" ref="Y2651" si="10706">IFERROR((X2652/X2651),"-")</f>
        <v>-</v>
      </c>
      <c r="Z2651" s="528"/>
      <c r="AA2651" s="898">
        <v>0</v>
      </c>
      <c r="AB2651" s="898">
        <v>0</v>
      </c>
      <c r="AC2651" s="903">
        <v>0</v>
      </c>
      <c r="AD2651" s="896" t="str">
        <f t="shared" ref="AD2651" si="10707">IFERROR((AC2651/AA2651),"-")</f>
        <v>-</v>
      </c>
      <c r="AE2651" s="2"/>
      <c r="AF2651" s="884">
        <v>1152</v>
      </c>
      <c r="AG2651" s="884"/>
      <c r="AH2651" s="884">
        <v>0</v>
      </c>
      <c r="AI2651" s="884"/>
      <c r="AJ2651" s="884"/>
      <c r="AK2651" s="884">
        <f t="shared" ref="AK2651" si="10708">AF2651+AG2651+AH2651+AI2651+AJ2651+AC2651</f>
        <v>1152</v>
      </c>
      <c r="AL2651" s="884">
        <v>1152</v>
      </c>
      <c r="AM2651" s="878">
        <f t="shared" ref="AM2651" si="10709">IFERROR((AK2651/AL2651),"-")</f>
        <v>1</v>
      </c>
      <c r="AN2651" s="2"/>
      <c r="AO2651" s="884">
        <v>1152</v>
      </c>
      <c r="AP2651" s="884">
        <f t="shared" ref="AP2651" si="10710">AO2651-AK2651</f>
        <v>0</v>
      </c>
      <c r="AV2651" t="str">
        <f t="shared" si="10630"/>
        <v xml:space="preserve">   Seg. 3.1- ADME 12 - Drenagem Superficial - Descida D´água</v>
      </c>
      <c r="AW2651" s="4" t="str">
        <f t="shared" si="10628"/>
        <v xml:space="preserve">   Seg. 2.2-A11-Execução de sublastro</v>
      </c>
    </row>
    <row r="2652" spans="1:49" ht="15.6" customHeight="1" outlineLevel="2">
      <c r="A2652" s="8" t="str">
        <f t="shared" ref="A2652" si="10711">A2651</f>
        <v>N</v>
      </c>
      <c r="B2652" s="150">
        <v>1052742</v>
      </c>
      <c r="C2652" s="150" t="s">
        <v>2935</v>
      </c>
      <c r="D2652" s="120" t="s">
        <v>2936</v>
      </c>
      <c r="E2652" s="893"/>
      <c r="F2652" s="902"/>
      <c r="G2652" s="528"/>
      <c r="H2652" s="549" t="s">
        <v>38</v>
      </c>
      <c r="I2652" s="711">
        <v>0</v>
      </c>
      <c r="J2652" s="897"/>
      <c r="K2652" s="528"/>
      <c r="L2652" s="549" t="s">
        <v>38</v>
      </c>
      <c r="M2652" s="711">
        <f t="shared" si="10522"/>
        <v>0</v>
      </c>
      <c r="N2652" s="897"/>
      <c r="O2652" s="528"/>
      <c r="P2652" s="548">
        <v>0</v>
      </c>
      <c r="Q2652" s="548">
        <v>0</v>
      </c>
      <c r="R2652" s="548">
        <v>0</v>
      </c>
      <c r="S2652" s="548">
        <v>0</v>
      </c>
      <c r="T2652" s="548">
        <v>0</v>
      </c>
      <c r="U2652" s="548">
        <v>0</v>
      </c>
      <c r="V2652" s="548">
        <v>0</v>
      </c>
      <c r="W2652" s="528"/>
      <c r="X2652" s="711">
        <f t="shared" si="10516"/>
        <v>0</v>
      </c>
      <c r="Y2652" s="897"/>
      <c r="Z2652" s="528"/>
      <c r="AA2652" s="899"/>
      <c r="AB2652" s="899"/>
      <c r="AC2652" s="904"/>
      <c r="AD2652" s="905"/>
      <c r="AE2652" s="2"/>
      <c r="AF2652" s="885"/>
      <c r="AG2652" s="885"/>
      <c r="AH2652" s="885"/>
      <c r="AI2652" s="885"/>
      <c r="AJ2652" s="885"/>
      <c r="AK2652" s="885"/>
      <c r="AL2652" s="885"/>
      <c r="AM2652" s="879"/>
      <c r="AN2652" s="2"/>
      <c r="AO2652" s="886"/>
      <c r="AP2652" s="886"/>
      <c r="AV2652" t="str">
        <f t="shared" si="10630"/>
        <v xml:space="preserve">   Seg. 3.1- ADME 12 - Drenagem Superficial - Descida D´água</v>
      </c>
      <c r="AW2652" s="4" t="str">
        <f t="shared" si="10628"/>
        <v xml:space="preserve">   Seg. 2.2-A11-Execução de sublastro</v>
      </c>
    </row>
    <row r="2653" spans="1:49" ht="15.6" customHeight="1" outlineLevel="2">
      <c r="A2653" s="8" t="str">
        <f t="shared" ref="A2653" si="10712">IF(SUM(P2653:V2654)&gt;0,"S","N")</f>
        <v>N</v>
      </c>
      <c r="B2653" s="150">
        <v>1052743</v>
      </c>
      <c r="C2653" s="150" t="s">
        <v>2938</v>
      </c>
      <c r="D2653" s="120" t="s">
        <v>2939</v>
      </c>
      <c r="E2653" s="892" t="s">
        <v>2940</v>
      </c>
      <c r="F2653" s="902" t="s">
        <v>36</v>
      </c>
      <c r="G2653" s="528"/>
      <c r="H2653" s="546" t="s">
        <v>37</v>
      </c>
      <c r="I2653" s="711">
        <v>0</v>
      </c>
      <c r="J2653" s="896" t="str">
        <f t="shared" ref="J2653" si="10713">IFERROR((I2654/I2653),"-")</f>
        <v>-</v>
      </c>
      <c r="K2653" s="528"/>
      <c r="L2653" s="546" t="s">
        <v>37</v>
      </c>
      <c r="M2653" s="711">
        <f t="shared" si="10522"/>
        <v>0</v>
      </c>
      <c r="N2653" s="896" t="str">
        <f t="shared" ref="N2653" si="10714">IFERROR((M2654/M2653),"-")</f>
        <v>-</v>
      </c>
      <c r="O2653" s="528"/>
      <c r="P2653" s="547">
        <v>0</v>
      </c>
      <c r="Q2653" s="547">
        <v>0</v>
      </c>
      <c r="R2653" s="547">
        <v>0</v>
      </c>
      <c r="S2653" s="547">
        <v>0</v>
      </c>
      <c r="T2653" s="547">
        <v>0</v>
      </c>
      <c r="U2653" s="547">
        <v>0</v>
      </c>
      <c r="V2653" s="547">
        <v>0</v>
      </c>
      <c r="W2653" s="528"/>
      <c r="X2653" s="711">
        <f t="shared" si="10516"/>
        <v>0</v>
      </c>
      <c r="Y2653" s="896" t="str">
        <f t="shared" ref="Y2653" si="10715">IFERROR((X2654/X2653),"-")</f>
        <v>-</v>
      </c>
      <c r="Z2653" s="528"/>
      <c r="AA2653" s="898">
        <v>0</v>
      </c>
      <c r="AB2653" s="898">
        <v>0</v>
      </c>
      <c r="AC2653" s="903">
        <v>137.4</v>
      </c>
      <c r="AD2653" s="896" t="str">
        <f t="shared" ref="AD2653" si="10716">IFERROR((AC2653/AA2653),"-")</f>
        <v>-</v>
      </c>
      <c r="AE2653" s="2"/>
      <c r="AF2653" s="884">
        <v>0</v>
      </c>
      <c r="AG2653" s="884"/>
      <c r="AH2653" s="884">
        <v>0</v>
      </c>
      <c r="AI2653" s="884"/>
      <c r="AJ2653" s="884"/>
      <c r="AK2653" s="884">
        <f t="shared" ref="AK2653" si="10717">AF2653+AG2653+AH2653+AI2653+AJ2653+AC2653</f>
        <v>137.4</v>
      </c>
      <c r="AL2653" s="884">
        <v>698.01999999999975</v>
      </c>
      <c r="AM2653" s="878">
        <f t="shared" ref="AM2653" si="10718">IFERROR((AK2653/AL2653),"-")</f>
        <v>0.19684249734964621</v>
      </c>
      <c r="AN2653" s="2"/>
      <c r="AO2653" s="884">
        <v>698</v>
      </c>
      <c r="AP2653" s="884">
        <f t="shared" ref="AP2653" si="10719">AO2653-AK2653</f>
        <v>560.6</v>
      </c>
      <c r="AV2653" t="str">
        <f t="shared" si="10630"/>
        <v xml:space="preserve">   Seg. 3.1- ADME 12 - Drenagem Superficial - Descida D´água</v>
      </c>
      <c r="AW2653" s="4" t="str">
        <f t="shared" si="10628"/>
        <v xml:space="preserve">   Seg. 2.2-C11-Execução de sublastro</v>
      </c>
    </row>
    <row r="2654" spans="1:49" ht="15.6" customHeight="1" outlineLevel="2">
      <c r="A2654" s="8" t="str">
        <f t="shared" ref="A2654" si="10720">A2653</f>
        <v>N</v>
      </c>
      <c r="B2654" s="150">
        <v>1052743</v>
      </c>
      <c r="C2654" s="150" t="s">
        <v>2938</v>
      </c>
      <c r="D2654" s="120" t="s">
        <v>2939</v>
      </c>
      <c r="E2654" s="893"/>
      <c r="F2654" s="902"/>
      <c r="G2654" s="528"/>
      <c r="H2654" s="549" t="s">
        <v>38</v>
      </c>
      <c r="I2654" s="711">
        <v>137.4</v>
      </c>
      <c r="J2654" s="897"/>
      <c r="K2654" s="528"/>
      <c r="L2654" s="549" t="s">
        <v>38</v>
      </c>
      <c r="M2654" s="711">
        <f t="shared" si="10522"/>
        <v>0</v>
      </c>
      <c r="N2654" s="897"/>
      <c r="O2654" s="528"/>
      <c r="P2654" s="548">
        <v>0</v>
      </c>
      <c r="Q2654" s="548">
        <v>0</v>
      </c>
      <c r="R2654" s="548">
        <v>0</v>
      </c>
      <c r="S2654" s="548">
        <v>0</v>
      </c>
      <c r="T2654" s="548">
        <v>0</v>
      </c>
      <c r="U2654" s="548">
        <v>0</v>
      </c>
      <c r="V2654" s="548">
        <v>0</v>
      </c>
      <c r="W2654" s="528"/>
      <c r="X2654" s="711">
        <f t="shared" si="10516"/>
        <v>0</v>
      </c>
      <c r="Y2654" s="897"/>
      <c r="Z2654" s="528"/>
      <c r="AA2654" s="899"/>
      <c r="AB2654" s="899"/>
      <c r="AC2654" s="904"/>
      <c r="AD2654" s="905"/>
      <c r="AE2654" s="2"/>
      <c r="AF2654" s="885"/>
      <c r="AG2654" s="885"/>
      <c r="AH2654" s="885"/>
      <c r="AI2654" s="885"/>
      <c r="AJ2654" s="885"/>
      <c r="AK2654" s="885"/>
      <c r="AL2654" s="885"/>
      <c r="AM2654" s="879"/>
      <c r="AN2654" s="2"/>
      <c r="AO2654" s="886"/>
      <c r="AP2654" s="886"/>
      <c r="AV2654" t="str">
        <f t="shared" si="10630"/>
        <v xml:space="preserve">   Seg. 3.1- ADME 12 - Drenagem Superficial - Descida D´água</v>
      </c>
      <c r="AW2654" s="4" t="str">
        <f t="shared" si="10628"/>
        <v xml:space="preserve">   Seg. 2.2-C11-Execução de sublastro</v>
      </c>
    </row>
    <row r="2655" spans="1:49" ht="15.6" customHeight="1" outlineLevel="2">
      <c r="A2655" s="8" t="str">
        <f t="shared" ref="A2655" si="10721">IF(SUM(P2655:V2656)&gt;0,"S","N")</f>
        <v>N</v>
      </c>
      <c r="B2655" s="150">
        <v>1052744</v>
      </c>
      <c r="C2655" s="150" t="s">
        <v>2941</v>
      </c>
      <c r="D2655" s="120" t="s">
        <v>2942</v>
      </c>
      <c r="E2655" s="892" t="s">
        <v>2943</v>
      </c>
      <c r="F2655" s="902" t="s">
        <v>36</v>
      </c>
      <c r="G2655" s="528"/>
      <c r="H2655" s="546" t="s">
        <v>37</v>
      </c>
      <c r="I2655" s="711">
        <v>0</v>
      </c>
      <c r="J2655" s="896" t="str">
        <f t="shared" ref="J2655" si="10722">IFERROR((I2656/I2655),"-")</f>
        <v>-</v>
      </c>
      <c r="K2655" s="528"/>
      <c r="L2655" s="546" t="s">
        <v>37</v>
      </c>
      <c r="M2655" s="711">
        <f t="shared" si="10522"/>
        <v>0</v>
      </c>
      <c r="N2655" s="896" t="str">
        <f t="shared" ref="N2655" si="10723">IFERROR((M2656/M2655),"-")</f>
        <v>-</v>
      </c>
      <c r="O2655" s="528"/>
      <c r="P2655" s="547">
        <v>0</v>
      </c>
      <c r="Q2655" s="547">
        <v>0</v>
      </c>
      <c r="R2655" s="547">
        <v>0</v>
      </c>
      <c r="S2655" s="547">
        <v>0</v>
      </c>
      <c r="T2655" s="547">
        <v>0</v>
      </c>
      <c r="U2655" s="547">
        <v>0</v>
      </c>
      <c r="V2655" s="547">
        <v>0</v>
      </c>
      <c r="W2655" s="528"/>
      <c r="X2655" s="711">
        <f t="shared" si="10516"/>
        <v>0</v>
      </c>
      <c r="Y2655" s="896" t="str">
        <f t="shared" ref="Y2655" si="10724">IFERROR((X2656/X2655),"-")</f>
        <v>-</v>
      </c>
      <c r="Z2655" s="528"/>
      <c r="AA2655" s="898">
        <v>0</v>
      </c>
      <c r="AB2655" s="898">
        <v>0</v>
      </c>
      <c r="AC2655" s="903">
        <v>0</v>
      </c>
      <c r="AD2655" s="896" t="str">
        <f t="shared" ref="AD2655" si="10725">IFERROR((AC2655/AA2655),"-")</f>
        <v>-</v>
      </c>
      <c r="AE2655" s="2"/>
      <c r="AF2655" s="884">
        <v>1617</v>
      </c>
      <c r="AG2655" s="884"/>
      <c r="AH2655" s="884">
        <v>0</v>
      </c>
      <c r="AI2655" s="884"/>
      <c r="AJ2655" s="884"/>
      <c r="AK2655" s="884">
        <f t="shared" ref="AK2655" si="10726">AF2655+AG2655+AH2655+AI2655+AJ2655+AC2655</f>
        <v>1617</v>
      </c>
      <c r="AL2655" s="884">
        <v>1705.9999999999986</v>
      </c>
      <c r="AM2655" s="878">
        <f t="shared" ref="AM2655" si="10727">IFERROR((AK2655/AL2655),"-")</f>
        <v>0.94783118405627276</v>
      </c>
      <c r="AN2655" s="2"/>
      <c r="AO2655" s="884">
        <v>1706</v>
      </c>
      <c r="AP2655" s="884">
        <f t="shared" ref="AP2655" si="10728">AO2655-AK2655</f>
        <v>89</v>
      </c>
      <c r="AV2655" t="str">
        <f t="shared" si="10630"/>
        <v xml:space="preserve">   Seg. 3.1- ADME 12 - Drenagem Superficial - Descida D´água</v>
      </c>
      <c r="AW2655" s="4" t="str">
        <f t="shared" si="10628"/>
        <v xml:space="preserve">   Seg. 2.2-A12-Execução de sublastro</v>
      </c>
    </row>
    <row r="2656" spans="1:49" ht="15.6" customHeight="1" outlineLevel="2" collapsed="1">
      <c r="A2656" s="8" t="str">
        <f t="shared" ref="A2656" si="10729">A2655</f>
        <v>N</v>
      </c>
      <c r="B2656" s="150">
        <v>1052744</v>
      </c>
      <c r="C2656" s="150" t="s">
        <v>2941</v>
      </c>
      <c r="D2656" s="120" t="s">
        <v>2942</v>
      </c>
      <c r="E2656" s="893"/>
      <c r="F2656" s="902"/>
      <c r="G2656" s="528"/>
      <c r="H2656" s="549" t="s">
        <v>38</v>
      </c>
      <c r="I2656" s="711">
        <v>0</v>
      </c>
      <c r="J2656" s="897"/>
      <c r="K2656" s="528"/>
      <c r="L2656" s="549" t="s">
        <v>38</v>
      </c>
      <c r="M2656" s="711">
        <f t="shared" si="10522"/>
        <v>0</v>
      </c>
      <c r="N2656" s="897"/>
      <c r="O2656" s="528"/>
      <c r="P2656" s="548">
        <v>0</v>
      </c>
      <c r="Q2656" s="548">
        <v>0</v>
      </c>
      <c r="R2656" s="548">
        <v>0</v>
      </c>
      <c r="S2656" s="548">
        <v>0</v>
      </c>
      <c r="T2656" s="548">
        <v>0</v>
      </c>
      <c r="U2656" s="548">
        <v>0</v>
      </c>
      <c r="V2656" s="548">
        <v>0</v>
      </c>
      <c r="W2656" s="528"/>
      <c r="X2656" s="711">
        <f t="shared" si="10516"/>
        <v>0</v>
      </c>
      <c r="Y2656" s="897"/>
      <c r="Z2656" s="528"/>
      <c r="AA2656" s="899"/>
      <c r="AB2656" s="899"/>
      <c r="AC2656" s="904"/>
      <c r="AD2656" s="905"/>
      <c r="AE2656" s="2"/>
      <c r="AF2656" s="885"/>
      <c r="AG2656" s="885"/>
      <c r="AH2656" s="885"/>
      <c r="AI2656" s="885"/>
      <c r="AJ2656" s="885"/>
      <c r="AK2656" s="885"/>
      <c r="AL2656" s="885"/>
      <c r="AM2656" s="879"/>
      <c r="AN2656" s="2"/>
      <c r="AO2656" s="886"/>
      <c r="AP2656" s="886"/>
      <c r="AV2656" t="str">
        <f t="shared" si="10630"/>
        <v xml:space="preserve">   Seg. 3.1- ADME 12 - Drenagem Superficial - Descida D´água</v>
      </c>
      <c r="AW2656" s="4" t="str">
        <f t="shared" si="10628"/>
        <v xml:space="preserve">   Seg. 2.2-A12-Execução de sublastro</v>
      </c>
    </row>
    <row r="2657" spans="1:49" ht="15.6" customHeight="1" outlineLevel="2">
      <c r="A2657" s="8" t="str">
        <f t="shared" ref="A2657" si="10730">IF(SUM(P2657:V2658)&gt;0,"S","N")</f>
        <v>N</v>
      </c>
      <c r="B2657" s="150">
        <v>1052745</v>
      </c>
      <c r="C2657" s="150" t="s">
        <v>2944</v>
      </c>
      <c r="D2657" s="120" t="s">
        <v>2945</v>
      </c>
      <c r="E2657" s="892" t="s">
        <v>2946</v>
      </c>
      <c r="F2657" s="902" t="s">
        <v>36</v>
      </c>
      <c r="G2657" s="528"/>
      <c r="H2657" s="546" t="s">
        <v>37</v>
      </c>
      <c r="I2657" s="711">
        <v>0</v>
      </c>
      <c r="J2657" s="896" t="str">
        <f t="shared" ref="J2657" si="10731">IFERROR((I2658/I2657),"-")</f>
        <v>-</v>
      </c>
      <c r="K2657" s="528"/>
      <c r="L2657" s="546" t="s">
        <v>37</v>
      </c>
      <c r="M2657" s="711">
        <f t="shared" si="10522"/>
        <v>0</v>
      </c>
      <c r="N2657" s="896" t="str">
        <f t="shared" ref="N2657" si="10732">IFERROR((M2658/M2657),"-")</f>
        <v>-</v>
      </c>
      <c r="O2657" s="528"/>
      <c r="P2657" s="547">
        <v>0</v>
      </c>
      <c r="Q2657" s="547">
        <v>0</v>
      </c>
      <c r="R2657" s="547">
        <v>0</v>
      </c>
      <c r="S2657" s="547">
        <v>0</v>
      </c>
      <c r="T2657" s="547">
        <v>0</v>
      </c>
      <c r="U2657" s="547">
        <v>0</v>
      </c>
      <c r="V2657" s="547">
        <v>0</v>
      </c>
      <c r="W2657" s="528"/>
      <c r="X2657" s="711">
        <f t="shared" si="10516"/>
        <v>0</v>
      </c>
      <c r="Y2657" s="896" t="str">
        <f t="shared" ref="Y2657" si="10733">IFERROR((X2658/X2657),"-")</f>
        <v>-</v>
      </c>
      <c r="Z2657" s="528"/>
      <c r="AA2657" s="898">
        <v>0</v>
      </c>
      <c r="AB2657" s="898">
        <v>0</v>
      </c>
      <c r="AC2657" s="903">
        <v>0</v>
      </c>
      <c r="AD2657" s="896" t="str">
        <f t="shared" ref="AD2657" si="10734">IFERROR((AC2657/AA2657),"-")</f>
        <v>-</v>
      </c>
      <c r="AE2657" s="2"/>
      <c r="AF2657" s="884">
        <v>0</v>
      </c>
      <c r="AG2657" s="884"/>
      <c r="AH2657" s="884">
        <v>0</v>
      </c>
      <c r="AI2657" s="884"/>
      <c r="AJ2657" s="884">
        <v>1879.21</v>
      </c>
      <c r="AK2657" s="884">
        <f t="shared" ref="AK2657" si="10735">AF2657+AG2657+AH2657+AI2657+AJ2657+AC2657</f>
        <v>1879.21</v>
      </c>
      <c r="AL2657" s="884">
        <v>3471.2000000000012</v>
      </c>
      <c r="AM2657" s="878">
        <f t="shared" ref="AM2657" si="10736">IFERROR((AK2657/AL2657),"-")</f>
        <v>0.54137185987554715</v>
      </c>
      <c r="AN2657" s="2"/>
      <c r="AO2657" s="884">
        <v>1592</v>
      </c>
      <c r="AP2657" s="884">
        <f t="shared" ref="AP2657" si="10737">AO2657-AK2657</f>
        <v>-287.21000000000004</v>
      </c>
      <c r="AV2657" t="str">
        <f t="shared" si="10630"/>
        <v xml:space="preserve">   Seg. 3.1- ADME 12 - Drenagem Superficial - Descida D´água</v>
      </c>
      <c r="AW2657" s="4" t="str">
        <f t="shared" si="10628"/>
        <v xml:space="preserve">   Seg. 2.2-C12-Execução de sublastro</v>
      </c>
    </row>
    <row r="2658" spans="1:49" ht="15.6" customHeight="1" outlineLevel="2">
      <c r="A2658" s="8" t="str">
        <f t="shared" ref="A2658" si="10738">A2657</f>
        <v>N</v>
      </c>
      <c r="B2658" s="150">
        <v>1052745</v>
      </c>
      <c r="C2658" s="150" t="s">
        <v>2944</v>
      </c>
      <c r="D2658" s="120" t="s">
        <v>2945</v>
      </c>
      <c r="E2658" s="893"/>
      <c r="F2658" s="902"/>
      <c r="G2658" s="528"/>
      <c r="H2658" s="549" t="s">
        <v>38</v>
      </c>
      <c r="I2658" s="711">
        <v>0</v>
      </c>
      <c r="J2658" s="897"/>
      <c r="K2658" s="528"/>
      <c r="L2658" s="549" t="s">
        <v>38</v>
      </c>
      <c r="M2658" s="711">
        <f t="shared" si="10522"/>
        <v>0</v>
      </c>
      <c r="N2658" s="897"/>
      <c r="O2658" s="528"/>
      <c r="P2658" s="548">
        <v>0</v>
      </c>
      <c r="Q2658" s="548">
        <v>0</v>
      </c>
      <c r="R2658" s="548">
        <v>0</v>
      </c>
      <c r="S2658" s="548">
        <v>0</v>
      </c>
      <c r="T2658" s="548">
        <v>0</v>
      </c>
      <c r="U2658" s="548">
        <v>0</v>
      </c>
      <c r="V2658" s="548">
        <v>0</v>
      </c>
      <c r="W2658" s="528"/>
      <c r="X2658" s="711">
        <f t="shared" si="10516"/>
        <v>0</v>
      </c>
      <c r="Y2658" s="897"/>
      <c r="Z2658" s="528"/>
      <c r="AA2658" s="899"/>
      <c r="AB2658" s="899"/>
      <c r="AC2658" s="904"/>
      <c r="AD2658" s="905"/>
      <c r="AE2658" s="2"/>
      <c r="AF2658" s="885"/>
      <c r="AG2658" s="885"/>
      <c r="AH2658" s="885"/>
      <c r="AI2658" s="885"/>
      <c r="AJ2658" s="885"/>
      <c r="AK2658" s="885"/>
      <c r="AL2658" s="885"/>
      <c r="AM2658" s="879"/>
      <c r="AN2658" s="2"/>
      <c r="AO2658" s="886"/>
      <c r="AP2658" s="886"/>
      <c r="AV2658" t="str">
        <f t="shared" si="10630"/>
        <v xml:space="preserve">   Seg. 3.1- ADME 12 - Drenagem Superficial - Descida D´água</v>
      </c>
      <c r="AW2658" s="4" t="str">
        <f t="shared" si="10628"/>
        <v xml:space="preserve">   Seg. 2.2-C12-Execução de sublastro</v>
      </c>
    </row>
    <row r="2659" spans="1:49" ht="15.6" customHeight="1" outlineLevel="2">
      <c r="A2659" s="8" t="str">
        <f t="shared" ref="A2659" si="10739">IF(SUM(P2659:V2660)&gt;0,"S","N")</f>
        <v>N</v>
      </c>
      <c r="B2659" s="150">
        <v>1052746</v>
      </c>
      <c r="C2659" s="150" t="s">
        <v>2947</v>
      </c>
      <c r="D2659" s="120" t="s">
        <v>2948</v>
      </c>
      <c r="E2659" s="892" t="s">
        <v>2949</v>
      </c>
      <c r="F2659" s="902" t="s">
        <v>36</v>
      </c>
      <c r="G2659" s="528"/>
      <c r="H2659" s="546" t="s">
        <v>37</v>
      </c>
      <c r="I2659" s="711">
        <v>0</v>
      </c>
      <c r="J2659" s="896" t="str">
        <f t="shared" ref="J2659" si="10740">IFERROR((I2660/I2659),"-")</f>
        <v>-</v>
      </c>
      <c r="K2659" s="528"/>
      <c r="L2659" s="546" t="s">
        <v>37</v>
      </c>
      <c r="M2659" s="711">
        <f t="shared" si="10522"/>
        <v>0</v>
      </c>
      <c r="N2659" s="896" t="str">
        <f t="shared" ref="N2659" si="10741">IFERROR((M2660/M2659),"-")</f>
        <v>-</v>
      </c>
      <c r="O2659" s="528"/>
      <c r="P2659" s="547">
        <v>0</v>
      </c>
      <c r="Q2659" s="547">
        <v>0</v>
      </c>
      <c r="R2659" s="547">
        <v>0</v>
      </c>
      <c r="S2659" s="547">
        <v>0</v>
      </c>
      <c r="T2659" s="547">
        <v>0</v>
      </c>
      <c r="U2659" s="547">
        <v>0</v>
      </c>
      <c r="V2659" s="547">
        <v>0</v>
      </c>
      <c r="W2659" s="528"/>
      <c r="X2659" s="711">
        <f t="shared" si="10516"/>
        <v>0</v>
      </c>
      <c r="Y2659" s="896" t="str">
        <f t="shared" ref="Y2659" si="10742">IFERROR((X2660/X2659),"-")</f>
        <v>-</v>
      </c>
      <c r="Z2659" s="528"/>
      <c r="AA2659" s="898">
        <v>0</v>
      </c>
      <c r="AB2659" s="898">
        <v>0</v>
      </c>
      <c r="AC2659" s="903">
        <v>0</v>
      </c>
      <c r="AD2659" s="896" t="str">
        <f t="shared" ref="AD2659" si="10743">IFERROR((AC2659/AA2659),"-")</f>
        <v>-</v>
      </c>
      <c r="AE2659" s="2"/>
      <c r="AF2659" s="884">
        <v>997</v>
      </c>
      <c r="AG2659" s="884"/>
      <c r="AH2659" s="884">
        <v>0</v>
      </c>
      <c r="AI2659" s="884"/>
      <c r="AJ2659" s="884"/>
      <c r="AK2659" s="884">
        <f t="shared" ref="AK2659" si="10744">AF2659+AG2659+AH2659+AI2659+AJ2659+AC2659</f>
        <v>997</v>
      </c>
      <c r="AL2659" s="884">
        <v>1204.9999999999989</v>
      </c>
      <c r="AM2659" s="878">
        <f t="shared" ref="AM2659" si="10745">IFERROR((AK2659/AL2659),"-")</f>
        <v>0.82738589211618341</v>
      </c>
      <c r="AN2659" s="2"/>
      <c r="AO2659" s="884">
        <v>1205</v>
      </c>
      <c r="AP2659" s="884">
        <f t="shared" ref="AP2659" si="10746">AO2659-AK2659</f>
        <v>208</v>
      </c>
      <c r="AV2659" t="str">
        <f t="shared" si="10630"/>
        <v xml:space="preserve">   Seg. 3.1- ADME 12 - Drenagem Superficial - Descida D´água</v>
      </c>
      <c r="AW2659" s="4" t="str">
        <f t="shared" si="10628"/>
        <v xml:space="preserve">   Seg. 2.2-A13-Execução de sublastro</v>
      </c>
    </row>
    <row r="2660" spans="1:49" ht="15.6" customHeight="1" outlineLevel="2">
      <c r="A2660" s="8" t="str">
        <f t="shared" ref="A2660" si="10747">A2659</f>
        <v>N</v>
      </c>
      <c r="B2660" s="150">
        <v>1052746</v>
      </c>
      <c r="C2660" s="150" t="s">
        <v>2947</v>
      </c>
      <c r="D2660" s="120" t="s">
        <v>2948</v>
      </c>
      <c r="E2660" s="893"/>
      <c r="F2660" s="902"/>
      <c r="G2660" s="528"/>
      <c r="H2660" s="549" t="s">
        <v>38</v>
      </c>
      <c r="I2660" s="711">
        <v>0</v>
      </c>
      <c r="J2660" s="897"/>
      <c r="K2660" s="528"/>
      <c r="L2660" s="549" t="s">
        <v>38</v>
      </c>
      <c r="M2660" s="711">
        <f t="shared" si="10522"/>
        <v>0</v>
      </c>
      <c r="N2660" s="897"/>
      <c r="O2660" s="528"/>
      <c r="P2660" s="548">
        <v>0</v>
      </c>
      <c r="Q2660" s="548">
        <v>0</v>
      </c>
      <c r="R2660" s="548">
        <v>0</v>
      </c>
      <c r="S2660" s="548">
        <v>0</v>
      </c>
      <c r="T2660" s="548">
        <v>0</v>
      </c>
      <c r="U2660" s="548">
        <v>0</v>
      </c>
      <c r="V2660" s="548">
        <v>0</v>
      </c>
      <c r="W2660" s="528"/>
      <c r="X2660" s="711">
        <f t="shared" si="10516"/>
        <v>0</v>
      </c>
      <c r="Y2660" s="897"/>
      <c r="Z2660" s="528"/>
      <c r="AA2660" s="899"/>
      <c r="AB2660" s="899"/>
      <c r="AC2660" s="904"/>
      <c r="AD2660" s="905"/>
      <c r="AE2660" s="2"/>
      <c r="AF2660" s="885"/>
      <c r="AG2660" s="885"/>
      <c r="AH2660" s="885"/>
      <c r="AI2660" s="885"/>
      <c r="AJ2660" s="885"/>
      <c r="AK2660" s="885"/>
      <c r="AL2660" s="885"/>
      <c r="AM2660" s="879"/>
      <c r="AN2660" s="2"/>
      <c r="AO2660" s="886"/>
      <c r="AP2660" s="886"/>
      <c r="AV2660" t="str">
        <f t="shared" si="10630"/>
        <v xml:space="preserve">   Seg. 3.1- ADME 12 - Drenagem Superficial - Descida D´água</v>
      </c>
      <c r="AW2660" s="4" t="str">
        <f t="shared" si="10628"/>
        <v xml:space="preserve">   Seg. 2.2-A13-Execução de sublastro</v>
      </c>
    </row>
    <row r="2661" spans="1:49" ht="15.6" customHeight="1" outlineLevel="2">
      <c r="A2661" s="8" t="str">
        <f t="shared" ref="A2661" si="10748">IF(SUM(P2661:V2662)&gt;0,"S","N")</f>
        <v>N</v>
      </c>
      <c r="B2661" s="150">
        <v>1052747</v>
      </c>
      <c r="C2661" s="150" t="s">
        <v>2950</v>
      </c>
      <c r="D2661" s="120" t="s">
        <v>2951</v>
      </c>
      <c r="E2661" s="892" t="s">
        <v>2952</v>
      </c>
      <c r="F2661" s="902" t="s">
        <v>36</v>
      </c>
      <c r="G2661" s="528"/>
      <c r="H2661" s="546" t="s">
        <v>37</v>
      </c>
      <c r="I2661" s="711">
        <v>0</v>
      </c>
      <c r="J2661" s="896" t="str">
        <f t="shared" ref="J2661" si="10749">IFERROR((I2662/I2661),"-")</f>
        <v>-</v>
      </c>
      <c r="K2661" s="528"/>
      <c r="L2661" s="546" t="s">
        <v>37</v>
      </c>
      <c r="M2661" s="711">
        <f t="shared" si="10522"/>
        <v>0</v>
      </c>
      <c r="N2661" s="896" t="str">
        <f t="shared" ref="N2661" si="10750">IFERROR((M2662/M2661),"-")</f>
        <v>-</v>
      </c>
      <c r="O2661" s="528"/>
      <c r="P2661" s="547">
        <v>0</v>
      </c>
      <c r="Q2661" s="547">
        <v>0</v>
      </c>
      <c r="R2661" s="547">
        <v>0</v>
      </c>
      <c r="S2661" s="547">
        <v>0</v>
      </c>
      <c r="T2661" s="547">
        <v>0</v>
      </c>
      <c r="U2661" s="547">
        <v>0</v>
      </c>
      <c r="V2661" s="547">
        <v>0</v>
      </c>
      <c r="W2661" s="528"/>
      <c r="X2661" s="711">
        <f t="shared" si="10516"/>
        <v>0</v>
      </c>
      <c r="Y2661" s="896" t="str">
        <f t="shared" ref="Y2661" si="10751">IFERROR((X2662/X2661),"-")</f>
        <v>-</v>
      </c>
      <c r="Z2661" s="528"/>
      <c r="AA2661" s="898">
        <v>691.96</v>
      </c>
      <c r="AB2661" s="898">
        <v>691.96</v>
      </c>
      <c r="AC2661" s="903">
        <v>0</v>
      </c>
      <c r="AD2661" s="896">
        <f t="shared" ref="AD2661" si="10752">IFERROR((AC2661/AA2661),"-")</f>
        <v>0</v>
      </c>
      <c r="AE2661" s="2"/>
      <c r="AF2661" s="884">
        <v>0</v>
      </c>
      <c r="AG2661" s="884"/>
      <c r="AH2661" s="884">
        <v>512.96</v>
      </c>
      <c r="AI2661" s="884"/>
      <c r="AJ2661" s="884"/>
      <c r="AK2661" s="884">
        <f t="shared" ref="AK2661" si="10753">AF2661+AG2661+AH2661+AI2661+AJ2661+AC2661</f>
        <v>512.96</v>
      </c>
      <c r="AL2661" s="884">
        <v>1204.9599999999998</v>
      </c>
      <c r="AM2661" s="878">
        <f t="shared" ref="AM2661" si="10754">IFERROR((AK2661/AL2661),"-")</f>
        <v>0.42570707741335823</v>
      </c>
      <c r="AN2661" s="2"/>
      <c r="AO2661" s="884">
        <v>1205</v>
      </c>
      <c r="AP2661" s="884">
        <f t="shared" ref="AP2661" si="10755">AO2661-AK2661</f>
        <v>692.04</v>
      </c>
      <c r="AV2661" t="str">
        <f t="shared" si="10630"/>
        <v xml:space="preserve">   Seg. 3.1- ADME 12 - Drenagem Superficial - Descida D´água</v>
      </c>
      <c r="AW2661" s="4" t="str">
        <f t="shared" si="10628"/>
        <v xml:space="preserve">   Seg. 2.2-C13-Execução de sublastro</v>
      </c>
    </row>
    <row r="2662" spans="1:49" ht="15.6" customHeight="1" outlineLevel="2">
      <c r="A2662" s="8" t="str">
        <f t="shared" ref="A2662" si="10756">A2661</f>
        <v>N</v>
      </c>
      <c r="B2662" s="150">
        <v>1052747</v>
      </c>
      <c r="C2662" s="150" t="s">
        <v>2950</v>
      </c>
      <c r="D2662" s="120" t="s">
        <v>2951</v>
      </c>
      <c r="E2662" s="893"/>
      <c r="F2662" s="902"/>
      <c r="G2662" s="528"/>
      <c r="H2662" s="549" t="s">
        <v>38</v>
      </c>
      <c r="I2662" s="711">
        <v>0</v>
      </c>
      <c r="J2662" s="897"/>
      <c r="K2662" s="528"/>
      <c r="L2662" s="549" t="s">
        <v>38</v>
      </c>
      <c r="M2662" s="711">
        <f t="shared" si="10522"/>
        <v>0</v>
      </c>
      <c r="N2662" s="897"/>
      <c r="O2662" s="528"/>
      <c r="P2662" s="548">
        <v>0</v>
      </c>
      <c r="Q2662" s="548">
        <v>0</v>
      </c>
      <c r="R2662" s="548">
        <v>0</v>
      </c>
      <c r="S2662" s="548">
        <v>0</v>
      </c>
      <c r="T2662" s="548">
        <v>0</v>
      </c>
      <c r="U2662" s="548">
        <v>0</v>
      </c>
      <c r="V2662" s="548">
        <v>0</v>
      </c>
      <c r="W2662" s="528"/>
      <c r="X2662" s="711">
        <f t="shared" si="10516"/>
        <v>0</v>
      </c>
      <c r="Y2662" s="897"/>
      <c r="Z2662" s="528"/>
      <c r="AA2662" s="899"/>
      <c r="AB2662" s="899"/>
      <c r="AC2662" s="904"/>
      <c r="AD2662" s="905"/>
      <c r="AE2662" s="2"/>
      <c r="AF2662" s="885"/>
      <c r="AG2662" s="885"/>
      <c r="AH2662" s="885"/>
      <c r="AI2662" s="885"/>
      <c r="AJ2662" s="885"/>
      <c r="AK2662" s="885"/>
      <c r="AL2662" s="885"/>
      <c r="AM2662" s="879"/>
      <c r="AN2662" s="2"/>
      <c r="AO2662" s="886"/>
      <c r="AP2662" s="886"/>
      <c r="AV2662" t="str">
        <f t="shared" si="10630"/>
        <v xml:space="preserve">   Seg. 3.1- ADME 12 - Drenagem Superficial - Descida D´água</v>
      </c>
      <c r="AW2662" s="4" t="str">
        <f t="shared" si="10628"/>
        <v xml:space="preserve">   Seg. 2.2-C13-Execução de sublastro</v>
      </c>
    </row>
    <row r="2663" spans="1:49" ht="15.6" customHeight="1" outlineLevel="2">
      <c r="A2663" s="8" t="str">
        <f t="shared" ref="A2663" si="10757">IF(SUM(P2663:V2664)&gt;0,"S","N")</f>
        <v>N</v>
      </c>
      <c r="B2663" s="150">
        <v>1052749</v>
      </c>
      <c r="C2663" s="150" t="s">
        <v>2953</v>
      </c>
      <c r="D2663" s="120" t="s">
        <v>2954</v>
      </c>
      <c r="E2663" s="892" t="s">
        <v>2955</v>
      </c>
      <c r="F2663" s="902" t="s">
        <v>36</v>
      </c>
      <c r="G2663" s="528"/>
      <c r="H2663" s="546" t="s">
        <v>37</v>
      </c>
      <c r="I2663" s="711">
        <v>0</v>
      </c>
      <c r="J2663" s="896" t="str">
        <f t="shared" ref="J2663" si="10758">IFERROR((I2664/I2663),"-")</f>
        <v>-</v>
      </c>
      <c r="K2663" s="528"/>
      <c r="L2663" s="546" t="s">
        <v>37</v>
      </c>
      <c r="M2663" s="711">
        <f t="shared" si="10522"/>
        <v>0</v>
      </c>
      <c r="N2663" s="896" t="str">
        <f t="shared" ref="N2663" si="10759">IFERROR((M2664/M2663),"-")</f>
        <v>-</v>
      </c>
      <c r="O2663" s="528"/>
      <c r="P2663" s="547">
        <v>0</v>
      </c>
      <c r="Q2663" s="547">
        <v>0</v>
      </c>
      <c r="R2663" s="547">
        <v>0</v>
      </c>
      <c r="S2663" s="547">
        <v>0</v>
      </c>
      <c r="T2663" s="547">
        <v>0</v>
      </c>
      <c r="U2663" s="547">
        <v>0</v>
      </c>
      <c r="V2663" s="547">
        <v>0</v>
      </c>
      <c r="W2663" s="528"/>
      <c r="X2663" s="711">
        <f t="shared" si="10516"/>
        <v>0</v>
      </c>
      <c r="Y2663" s="896" t="str">
        <f t="shared" ref="Y2663" si="10760">IFERROR((X2664/X2663),"-")</f>
        <v>-</v>
      </c>
      <c r="Z2663" s="528"/>
      <c r="AA2663" s="898">
        <v>0</v>
      </c>
      <c r="AB2663" s="898">
        <v>0</v>
      </c>
      <c r="AC2663" s="903">
        <v>0</v>
      </c>
      <c r="AD2663" s="896" t="str">
        <f t="shared" ref="AD2663" si="10761">IFERROR((AC2663/AA2663),"-")</f>
        <v>-</v>
      </c>
      <c r="AE2663" s="2"/>
      <c r="AF2663" s="884">
        <v>670</v>
      </c>
      <c r="AG2663" s="884"/>
      <c r="AH2663" s="884">
        <v>0</v>
      </c>
      <c r="AI2663" s="884"/>
      <c r="AJ2663" s="884"/>
      <c r="AK2663" s="884">
        <f t="shared" ref="AK2663" si="10762">AF2663+AG2663+AH2663+AI2663+AJ2663+AC2663</f>
        <v>670</v>
      </c>
      <c r="AL2663" s="884">
        <v>737.00000000000011</v>
      </c>
      <c r="AM2663" s="878">
        <f t="shared" ref="AM2663" si="10763">IFERROR((AK2663/AL2663),"-")</f>
        <v>0.90909090909090895</v>
      </c>
      <c r="AN2663" s="2"/>
      <c r="AO2663" s="884">
        <v>737</v>
      </c>
      <c r="AP2663" s="884">
        <f t="shared" ref="AP2663" si="10764">AO2663-AK2663</f>
        <v>67</v>
      </c>
      <c r="AV2663" t="str">
        <f t="shared" si="10630"/>
        <v xml:space="preserve">   Seg. 3.1- ADME 12 - Drenagem Superficial - Descida D´água</v>
      </c>
      <c r="AW2663" s="4" t="str">
        <f t="shared" si="10628"/>
        <v xml:space="preserve">   Seg. 2.2-A14-Execução de sublastro</v>
      </c>
    </row>
    <row r="2664" spans="1:49" ht="15.6" customHeight="1" outlineLevel="2">
      <c r="A2664" s="8" t="str">
        <f t="shared" ref="A2664" si="10765">A2663</f>
        <v>N</v>
      </c>
      <c r="B2664" s="150">
        <v>1052749</v>
      </c>
      <c r="C2664" s="150" t="s">
        <v>2953</v>
      </c>
      <c r="D2664" s="120" t="s">
        <v>2954</v>
      </c>
      <c r="E2664" s="893"/>
      <c r="F2664" s="902"/>
      <c r="G2664" s="528"/>
      <c r="H2664" s="549" t="s">
        <v>38</v>
      </c>
      <c r="I2664" s="711">
        <v>0</v>
      </c>
      <c r="J2664" s="897"/>
      <c r="K2664" s="528"/>
      <c r="L2664" s="549" t="s">
        <v>38</v>
      </c>
      <c r="M2664" s="711">
        <f t="shared" si="10522"/>
        <v>0</v>
      </c>
      <c r="N2664" s="897"/>
      <c r="O2664" s="528"/>
      <c r="P2664" s="548">
        <v>0</v>
      </c>
      <c r="Q2664" s="548">
        <v>0</v>
      </c>
      <c r="R2664" s="548">
        <v>0</v>
      </c>
      <c r="S2664" s="548">
        <v>0</v>
      </c>
      <c r="T2664" s="548">
        <v>0</v>
      </c>
      <c r="U2664" s="548">
        <v>0</v>
      </c>
      <c r="V2664" s="548">
        <v>0</v>
      </c>
      <c r="W2664" s="528"/>
      <c r="X2664" s="711">
        <f t="shared" si="10516"/>
        <v>0</v>
      </c>
      <c r="Y2664" s="897"/>
      <c r="Z2664" s="528"/>
      <c r="AA2664" s="899"/>
      <c r="AB2664" s="899"/>
      <c r="AC2664" s="904"/>
      <c r="AD2664" s="905"/>
      <c r="AE2664" s="2"/>
      <c r="AF2664" s="885"/>
      <c r="AG2664" s="885"/>
      <c r="AH2664" s="885"/>
      <c r="AI2664" s="885"/>
      <c r="AJ2664" s="885"/>
      <c r="AK2664" s="885"/>
      <c r="AL2664" s="885"/>
      <c r="AM2664" s="879"/>
      <c r="AN2664" s="2"/>
      <c r="AO2664" s="886"/>
      <c r="AP2664" s="886"/>
      <c r="AV2664" t="str">
        <f t="shared" si="10630"/>
        <v xml:space="preserve">   Seg. 3.1- ADME 12 - Drenagem Superficial - Descida D´água</v>
      </c>
      <c r="AW2664" s="4" t="str">
        <f t="shared" si="10628"/>
        <v xml:space="preserve">   Seg. 2.2-A14-Execução de sublastro</v>
      </c>
    </row>
    <row r="2665" spans="1:49" ht="15.6" customHeight="1" outlineLevel="2">
      <c r="A2665" s="8" t="str">
        <f t="shared" ref="A2665" si="10766">IF(SUM(P2665:V2666)&gt;0,"S","N")</f>
        <v>N</v>
      </c>
      <c r="B2665" s="150">
        <v>1052750</v>
      </c>
      <c r="C2665" s="150" t="s">
        <v>2956</v>
      </c>
      <c r="D2665" s="120" t="s">
        <v>2954</v>
      </c>
      <c r="E2665" s="892" t="s">
        <v>2957</v>
      </c>
      <c r="F2665" s="902" t="s">
        <v>36</v>
      </c>
      <c r="G2665" s="528"/>
      <c r="H2665" s="546" t="s">
        <v>37</v>
      </c>
      <c r="I2665" s="711">
        <v>0</v>
      </c>
      <c r="J2665" s="896" t="str">
        <f t="shared" ref="J2665" si="10767">IFERROR((I2666/I2665),"-")</f>
        <v>-</v>
      </c>
      <c r="K2665" s="528"/>
      <c r="L2665" s="546" t="s">
        <v>37</v>
      </c>
      <c r="M2665" s="711">
        <f t="shared" si="10522"/>
        <v>0</v>
      </c>
      <c r="N2665" s="896" t="str">
        <f t="shared" ref="N2665" si="10768">IFERROR((M2666/M2665),"-")</f>
        <v>-</v>
      </c>
      <c r="O2665" s="528"/>
      <c r="P2665" s="547">
        <v>0</v>
      </c>
      <c r="Q2665" s="547">
        <v>0</v>
      </c>
      <c r="R2665" s="547">
        <v>0</v>
      </c>
      <c r="S2665" s="547">
        <v>0</v>
      </c>
      <c r="T2665" s="547">
        <v>0</v>
      </c>
      <c r="U2665" s="547">
        <v>0</v>
      </c>
      <c r="V2665" s="547">
        <v>0</v>
      </c>
      <c r="W2665" s="528"/>
      <c r="X2665" s="711">
        <f t="shared" si="10516"/>
        <v>0</v>
      </c>
      <c r="Y2665" s="896" t="str">
        <f t="shared" ref="Y2665" si="10769">IFERROR((X2666/X2665),"-")</f>
        <v>-</v>
      </c>
      <c r="Z2665" s="528"/>
      <c r="AA2665" s="898">
        <v>0</v>
      </c>
      <c r="AB2665" s="898">
        <v>0</v>
      </c>
      <c r="AC2665" s="903">
        <v>0</v>
      </c>
      <c r="AD2665" s="896" t="str">
        <f t="shared" ref="AD2665" si="10770">IFERROR((AC2665/AA2665),"-")</f>
        <v>-</v>
      </c>
      <c r="AE2665" s="2"/>
      <c r="AF2665" s="884">
        <v>0</v>
      </c>
      <c r="AG2665" s="884"/>
      <c r="AH2665" s="884">
        <v>0</v>
      </c>
      <c r="AI2665" s="884"/>
      <c r="AJ2665" s="884"/>
      <c r="AK2665" s="884">
        <f t="shared" ref="AK2665" si="10771">AF2665+AG2665+AH2665+AI2665+AJ2665+AC2665</f>
        <v>0</v>
      </c>
      <c r="AL2665" s="884">
        <v>116</v>
      </c>
      <c r="AM2665" s="878">
        <f t="shared" ref="AM2665" si="10772">IFERROR((AK2665/AL2665),"-")</f>
        <v>0</v>
      </c>
      <c r="AN2665" s="2"/>
      <c r="AO2665" s="884">
        <v>116</v>
      </c>
      <c r="AP2665" s="884">
        <f t="shared" ref="AP2665" si="10773">AO2665-AK2665</f>
        <v>116</v>
      </c>
      <c r="AV2665" t="str">
        <f t="shared" si="10630"/>
        <v xml:space="preserve">   Seg. 3.1- ADME 12 - Drenagem Superficial - Descida D´água</v>
      </c>
      <c r="AW2665" s="4" t="str">
        <f t="shared" si="10628"/>
        <v xml:space="preserve">   Seg. 2.2-C14-Execução de sublastro</v>
      </c>
    </row>
    <row r="2666" spans="1:49" ht="15.6" customHeight="1" outlineLevel="2">
      <c r="A2666" s="8" t="str">
        <f t="shared" ref="A2666" si="10774">A2665</f>
        <v>N</v>
      </c>
      <c r="B2666" s="150">
        <v>1052750</v>
      </c>
      <c r="C2666" s="150" t="s">
        <v>2956</v>
      </c>
      <c r="D2666" s="120" t="s">
        <v>2954</v>
      </c>
      <c r="E2666" s="893"/>
      <c r="F2666" s="902"/>
      <c r="G2666" s="528"/>
      <c r="H2666" s="549" t="s">
        <v>38</v>
      </c>
      <c r="I2666" s="711">
        <v>0</v>
      </c>
      <c r="J2666" s="897"/>
      <c r="K2666" s="528"/>
      <c r="L2666" s="549" t="s">
        <v>38</v>
      </c>
      <c r="M2666" s="711">
        <f t="shared" si="10522"/>
        <v>0</v>
      </c>
      <c r="N2666" s="897"/>
      <c r="O2666" s="528"/>
      <c r="P2666" s="548">
        <v>0</v>
      </c>
      <c r="Q2666" s="548">
        <v>0</v>
      </c>
      <c r="R2666" s="548">
        <v>0</v>
      </c>
      <c r="S2666" s="548">
        <v>0</v>
      </c>
      <c r="T2666" s="548">
        <v>0</v>
      </c>
      <c r="U2666" s="548">
        <v>0</v>
      </c>
      <c r="V2666" s="548">
        <v>0</v>
      </c>
      <c r="W2666" s="528"/>
      <c r="X2666" s="711">
        <f t="shared" si="10516"/>
        <v>0</v>
      </c>
      <c r="Y2666" s="897"/>
      <c r="Z2666" s="528"/>
      <c r="AA2666" s="899"/>
      <c r="AB2666" s="899"/>
      <c r="AC2666" s="904"/>
      <c r="AD2666" s="905"/>
      <c r="AE2666" s="2"/>
      <c r="AF2666" s="885"/>
      <c r="AG2666" s="885"/>
      <c r="AH2666" s="885"/>
      <c r="AI2666" s="885"/>
      <c r="AJ2666" s="885"/>
      <c r="AK2666" s="885"/>
      <c r="AL2666" s="885"/>
      <c r="AM2666" s="879"/>
      <c r="AN2666" s="2"/>
      <c r="AO2666" s="886"/>
      <c r="AP2666" s="886"/>
      <c r="AV2666" t="str">
        <f t="shared" si="10630"/>
        <v xml:space="preserve">   Seg. 3.1- ADME 12 - Drenagem Superficial - Descida D´água</v>
      </c>
      <c r="AW2666" s="4" t="str">
        <f t="shared" si="10628"/>
        <v xml:space="preserve">   Seg. 2.2-C14-Execução de sublastro</v>
      </c>
    </row>
    <row r="2667" spans="1:49" ht="15.6" customHeight="1" outlineLevel="2">
      <c r="A2667" s="8" t="str">
        <f t="shared" ref="A2667" si="10775">IF(SUM(P2667:V2668)&gt;0,"S","N")</f>
        <v>N</v>
      </c>
      <c r="B2667" s="150">
        <v>1052751</v>
      </c>
      <c r="C2667" s="150" t="s">
        <v>2958</v>
      </c>
      <c r="D2667" s="120" t="s">
        <v>2959</v>
      </c>
      <c r="E2667" s="892" t="s">
        <v>2960</v>
      </c>
      <c r="F2667" s="902" t="s">
        <v>36</v>
      </c>
      <c r="G2667" s="528"/>
      <c r="H2667" s="546" t="s">
        <v>37</v>
      </c>
      <c r="I2667" s="711">
        <v>0</v>
      </c>
      <c r="J2667" s="896" t="str">
        <f t="shared" ref="J2667" si="10776">IFERROR((I2668/I2667),"-")</f>
        <v>-</v>
      </c>
      <c r="K2667" s="528"/>
      <c r="L2667" s="546" t="s">
        <v>37</v>
      </c>
      <c r="M2667" s="711">
        <f t="shared" si="10522"/>
        <v>0</v>
      </c>
      <c r="N2667" s="896" t="str">
        <f t="shared" ref="N2667" si="10777">IFERROR((M2668/M2667),"-")</f>
        <v>-</v>
      </c>
      <c r="O2667" s="528"/>
      <c r="P2667" s="547">
        <v>0</v>
      </c>
      <c r="Q2667" s="547">
        <v>0</v>
      </c>
      <c r="R2667" s="547">
        <v>0</v>
      </c>
      <c r="S2667" s="547">
        <v>0</v>
      </c>
      <c r="T2667" s="547">
        <v>0</v>
      </c>
      <c r="U2667" s="547">
        <v>0</v>
      </c>
      <c r="V2667" s="547">
        <v>0</v>
      </c>
      <c r="W2667" s="528"/>
      <c r="X2667" s="711">
        <f t="shared" si="10516"/>
        <v>0</v>
      </c>
      <c r="Y2667" s="896" t="str">
        <f t="shared" ref="Y2667" si="10778">IFERROR((X2668/X2667),"-")</f>
        <v>-</v>
      </c>
      <c r="Z2667" s="528"/>
      <c r="AA2667" s="898">
        <v>0</v>
      </c>
      <c r="AB2667" s="898">
        <v>0</v>
      </c>
      <c r="AC2667" s="903">
        <v>0</v>
      </c>
      <c r="AD2667" s="896" t="str">
        <f t="shared" ref="AD2667" si="10779">IFERROR((AC2667/AA2667),"-")</f>
        <v>-</v>
      </c>
      <c r="AE2667" s="2"/>
      <c r="AF2667" s="884">
        <v>0</v>
      </c>
      <c r="AG2667" s="884"/>
      <c r="AH2667" s="884">
        <v>0</v>
      </c>
      <c r="AI2667" s="884"/>
      <c r="AJ2667" s="884"/>
      <c r="AK2667" s="884">
        <f t="shared" ref="AK2667" si="10780">AF2667+AG2667+AH2667+AI2667+AJ2667+AC2667</f>
        <v>0</v>
      </c>
      <c r="AL2667" s="884">
        <v>39.059999999999995</v>
      </c>
      <c r="AM2667" s="878">
        <f t="shared" ref="AM2667" si="10781">IFERROR((AK2667/AL2667),"-")</f>
        <v>0</v>
      </c>
      <c r="AN2667" s="2"/>
      <c r="AO2667" s="884">
        <v>39</v>
      </c>
      <c r="AP2667" s="884">
        <f t="shared" ref="AP2667" si="10782">AO2667-AK2667</f>
        <v>39</v>
      </c>
      <c r="AV2667" t="str">
        <f t="shared" si="10630"/>
        <v xml:space="preserve">   Seg. 3.1- ADME 12 - Drenagem Superficial - Descida D´água</v>
      </c>
      <c r="AW2667" s="4" t="str">
        <f t="shared" si="10628"/>
        <v xml:space="preserve">   Seg. 2.2-C15-Execução de sublastro</v>
      </c>
    </row>
    <row r="2668" spans="1:49" ht="14.45" customHeight="1" outlineLevel="2">
      <c r="A2668" s="8" t="str">
        <f t="shared" ref="A2668" si="10783">A2667</f>
        <v>N</v>
      </c>
      <c r="B2668" s="150">
        <v>1052751</v>
      </c>
      <c r="C2668" s="150" t="s">
        <v>2958</v>
      </c>
      <c r="D2668" s="120" t="s">
        <v>2959</v>
      </c>
      <c r="E2668" s="893"/>
      <c r="F2668" s="902"/>
      <c r="G2668" s="528"/>
      <c r="H2668" s="549" t="s">
        <v>38</v>
      </c>
      <c r="I2668" s="711">
        <v>0</v>
      </c>
      <c r="J2668" s="897"/>
      <c r="K2668" s="528"/>
      <c r="L2668" s="549" t="s">
        <v>38</v>
      </c>
      <c r="M2668" s="711">
        <f t="shared" si="10522"/>
        <v>0</v>
      </c>
      <c r="N2668" s="897"/>
      <c r="O2668" s="528"/>
      <c r="P2668" s="548">
        <v>0</v>
      </c>
      <c r="Q2668" s="548">
        <v>0</v>
      </c>
      <c r="R2668" s="548">
        <v>0</v>
      </c>
      <c r="S2668" s="548">
        <v>0</v>
      </c>
      <c r="T2668" s="548">
        <v>0</v>
      </c>
      <c r="U2668" s="548">
        <v>0</v>
      </c>
      <c r="V2668" s="548">
        <v>0</v>
      </c>
      <c r="W2668" s="528"/>
      <c r="X2668" s="711">
        <f t="shared" si="10516"/>
        <v>0</v>
      </c>
      <c r="Y2668" s="897"/>
      <c r="Z2668" s="528"/>
      <c r="AA2668" s="899"/>
      <c r="AB2668" s="899"/>
      <c r="AC2668" s="904"/>
      <c r="AD2668" s="905"/>
      <c r="AE2668" s="2"/>
      <c r="AF2668" s="885"/>
      <c r="AG2668" s="885"/>
      <c r="AH2668" s="885"/>
      <c r="AI2668" s="885"/>
      <c r="AJ2668" s="885"/>
      <c r="AK2668" s="885"/>
      <c r="AL2668" s="885"/>
      <c r="AM2668" s="879"/>
      <c r="AN2668" s="2"/>
      <c r="AO2668" s="886"/>
      <c r="AP2668" s="886"/>
      <c r="AV2668" t="str">
        <f t="shared" si="10630"/>
        <v xml:space="preserve">   Seg. 3.1- ADME 12 - Drenagem Superficial - Descida D´água</v>
      </c>
      <c r="AW2668" s="4" t="str">
        <f t="shared" si="10628"/>
        <v xml:space="preserve">   Seg. 2.2-C15-Execução de sublastro</v>
      </c>
    </row>
    <row r="2669" spans="1:49" ht="12.6" customHeight="1" outlineLevel="2">
      <c r="A2669" s="8" t="str">
        <f t="shared" ref="A2669" si="10784">IF(SUM(P2669:V2670)&gt;0,"S","N")</f>
        <v>N</v>
      </c>
      <c r="B2669" s="150">
        <v>1052752</v>
      </c>
      <c r="C2669" s="150" t="s">
        <v>2961</v>
      </c>
      <c r="D2669" s="120" t="s">
        <v>2962</v>
      </c>
      <c r="E2669" s="892" t="s">
        <v>2963</v>
      </c>
      <c r="F2669" s="902" t="s">
        <v>36</v>
      </c>
      <c r="G2669" s="528"/>
      <c r="H2669" s="546" t="s">
        <v>37</v>
      </c>
      <c r="I2669" s="711">
        <v>0</v>
      </c>
      <c r="J2669" s="896" t="str">
        <f t="shared" ref="J2669" si="10785">IFERROR((I2670/I2669),"-")</f>
        <v>-</v>
      </c>
      <c r="K2669" s="528"/>
      <c r="L2669" s="546" t="s">
        <v>37</v>
      </c>
      <c r="M2669" s="711">
        <f t="shared" si="10522"/>
        <v>0</v>
      </c>
      <c r="N2669" s="896" t="str">
        <f t="shared" ref="N2669" si="10786">IFERROR((M2670/M2669),"-")</f>
        <v>-</v>
      </c>
      <c r="O2669" s="528"/>
      <c r="P2669" s="547">
        <v>0</v>
      </c>
      <c r="Q2669" s="547">
        <v>0</v>
      </c>
      <c r="R2669" s="547">
        <v>0</v>
      </c>
      <c r="S2669" s="547">
        <v>0</v>
      </c>
      <c r="T2669" s="547">
        <v>0</v>
      </c>
      <c r="U2669" s="547">
        <v>0</v>
      </c>
      <c r="V2669" s="547">
        <v>0</v>
      </c>
      <c r="W2669" s="528"/>
      <c r="X2669" s="711">
        <f t="shared" si="10516"/>
        <v>0</v>
      </c>
      <c r="Y2669" s="896" t="str">
        <f t="shared" ref="Y2669" si="10787">IFERROR((X2670/X2669),"-")</f>
        <v>-</v>
      </c>
      <c r="Z2669" s="528"/>
      <c r="AA2669" s="898">
        <v>0</v>
      </c>
      <c r="AB2669" s="898">
        <v>0</v>
      </c>
      <c r="AC2669" s="903">
        <v>0</v>
      </c>
      <c r="AD2669" s="896" t="str">
        <f t="shared" ref="AD2669" si="10788">IFERROR((AC2669/AA2669),"-")</f>
        <v>-</v>
      </c>
      <c r="AE2669" s="2"/>
      <c r="AF2669" s="884">
        <v>397</v>
      </c>
      <c r="AG2669" s="884"/>
      <c r="AH2669" s="884">
        <v>0</v>
      </c>
      <c r="AI2669" s="884"/>
      <c r="AJ2669" s="884"/>
      <c r="AK2669" s="884">
        <f t="shared" ref="AK2669" si="10789">AF2669+AG2669+AH2669+AI2669+AJ2669+AC2669</f>
        <v>397</v>
      </c>
      <c r="AL2669" s="884">
        <v>464.90000000000003</v>
      </c>
      <c r="AM2669" s="878">
        <f t="shared" ref="AM2669" si="10790">IFERROR((AK2669/AL2669),"-")</f>
        <v>0.85394708539470843</v>
      </c>
      <c r="AN2669" s="2"/>
      <c r="AO2669" s="884">
        <v>464.9</v>
      </c>
      <c r="AP2669" s="884">
        <f t="shared" ref="AP2669" si="10791">AO2669-AK2669</f>
        <v>67.899999999999977</v>
      </c>
      <c r="AV2669" t="str">
        <f t="shared" si="10630"/>
        <v xml:space="preserve">   Seg. 3.1- ADME 12 - Drenagem Superficial - Descida D´água</v>
      </c>
      <c r="AW2669" s="4" t="str">
        <f t="shared" si="10628"/>
        <v xml:space="preserve">   Seg. 2.2-A15-Execução de sublastro</v>
      </c>
    </row>
    <row r="2670" spans="1:49" ht="14.45" customHeight="1" outlineLevel="2">
      <c r="A2670" s="8" t="str">
        <f t="shared" ref="A2670" si="10792">A2669</f>
        <v>N</v>
      </c>
      <c r="B2670" s="150">
        <v>1052752</v>
      </c>
      <c r="C2670" s="150" t="s">
        <v>2961</v>
      </c>
      <c r="D2670" s="120" t="s">
        <v>2962</v>
      </c>
      <c r="E2670" s="893"/>
      <c r="F2670" s="902"/>
      <c r="G2670" s="528"/>
      <c r="H2670" s="549" t="s">
        <v>38</v>
      </c>
      <c r="I2670" s="711">
        <v>0</v>
      </c>
      <c r="J2670" s="897"/>
      <c r="K2670" s="528"/>
      <c r="L2670" s="549" t="s">
        <v>38</v>
      </c>
      <c r="M2670" s="711">
        <f t="shared" si="10522"/>
        <v>0</v>
      </c>
      <c r="N2670" s="897"/>
      <c r="O2670" s="528"/>
      <c r="P2670" s="548">
        <v>0</v>
      </c>
      <c r="Q2670" s="548">
        <v>0</v>
      </c>
      <c r="R2670" s="548">
        <v>0</v>
      </c>
      <c r="S2670" s="548">
        <v>0</v>
      </c>
      <c r="T2670" s="548">
        <v>0</v>
      </c>
      <c r="U2670" s="548">
        <v>0</v>
      </c>
      <c r="V2670" s="548">
        <v>0</v>
      </c>
      <c r="W2670" s="528"/>
      <c r="X2670" s="711">
        <f t="shared" si="10516"/>
        <v>0</v>
      </c>
      <c r="Y2670" s="897"/>
      <c r="Z2670" s="528"/>
      <c r="AA2670" s="899"/>
      <c r="AB2670" s="899"/>
      <c r="AC2670" s="904"/>
      <c r="AD2670" s="905"/>
      <c r="AE2670" s="2"/>
      <c r="AF2670" s="908"/>
      <c r="AG2670" s="885"/>
      <c r="AH2670" s="885"/>
      <c r="AI2670" s="885"/>
      <c r="AJ2670" s="885"/>
      <c r="AK2670" s="885"/>
      <c r="AL2670" s="885"/>
      <c r="AM2670" s="879"/>
      <c r="AN2670" s="2"/>
      <c r="AO2670" s="886"/>
      <c r="AP2670" s="886"/>
      <c r="AV2670" t="str">
        <f t="shared" si="10630"/>
        <v xml:space="preserve">   Seg. 3.1- ADME 12 - Drenagem Superficial - Descida D´água</v>
      </c>
      <c r="AW2670" s="4" t="str">
        <f t="shared" si="10628"/>
        <v xml:space="preserve">   Seg. 2.2-A15-Execução de sublastro</v>
      </c>
    </row>
    <row r="2671" spans="1:49" ht="14.45" customHeight="1" outlineLevel="2">
      <c r="A2671" s="209">
        <v>0</v>
      </c>
      <c r="B2671" s="150"/>
      <c r="C2671" s="150"/>
      <c r="D2671" s="117"/>
      <c r="E2671" s="535"/>
      <c r="F2671" s="536"/>
      <c r="G2671" s="537"/>
      <c r="H2671" s="714"/>
      <c r="I2671" s="555"/>
      <c r="J2671" s="714"/>
      <c r="K2671" s="537"/>
      <c r="L2671" s="714"/>
      <c r="M2671" s="555"/>
      <c r="N2671" s="714"/>
      <c r="O2671" s="537"/>
      <c r="P2671" s="539"/>
      <c r="Q2671" s="539"/>
      <c r="R2671" s="539"/>
      <c r="S2671" s="539"/>
      <c r="T2671" s="539"/>
      <c r="U2671" s="539"/>
      <c r="V2671" s="539"/>
      <c r="W2671" s="537"/>
      <c r="X2671" s="540"/>
      <c r="Y2671" s="537"/>
      <c r="Z2671" s="537"/>
      <c r="AA2671" s="249"/>
      <c r="AB2671" s="249"/>
      <c r="AC2671" s="249"/>
      <c r="AD2671" s="537"/>
      <c r="AE2671" s="3"/>
      <c r="AF2671" s="3"/>
      <c r="AG2671" s="3"/>
      <c r="AH2671" s="3"/>
      <c r="AI2671" s="3"/>
      <c r="AJ2671" s="3"/>
      <c r="AK2671" s="3"/>
      <c r="AL2671" s="35"/>
      <c r="AM2671" s="3"/>
      <c r="AN2671" s="3"/>
      <c r="AO2671" s="35"/>
      <c r="AP2671" s="35"/>
      <c r="AV2671" t="str">
        <f t="shared" si="10630"/>
        <v xml:space="preserve">   Seg. 3.1- ADME 12 - Drenagem Superficial - Descida D´água</v>
      </c>
      <c r="AW2671" s="4" t="str">
        <f t="shared" si="10628"/>
        <v xml:space="preserve">   Seg. 2.2-A15-Execução de sublastro</v>
      </c>
    </row>
    <row r="2672" spans="1:49" ht="15.6" customHeight="1" outlineLevel="2">
      <c r="A2672" s="209">
        <v>0</v>
      </c>
      <c r="B2672" s="150"/>
      <c r="C2672" s="150"/>
      <c r="D2672" s="122"/>
      <c r="E2672" s="913" t="s">
        <v>41</v>
      </c>
      <c r="F2672" s="859" t="s">
        <v>36</v>
      </c>
      <c r="G2672" s="528"/>
      <c r="H2672" s="542" t="s">
        <v>37</v>
      </c>
      <c r="I2672" s="543">
        <f>SUMIF($L2674:$L2735,$L2672,I2674:I2735)</f>
        <v>0</v>
      </c>
      <c r="J2672" s="860" t="str">
        <f>IFERROR((I2673/I2672),"-")</f>
        <v>-</v>
      </c>
      <c r="K2672" s="528"/>
      <c r="L2672" s="542" t="s">
        <v>37</v>
      </c>
      <c r="M2672" s="543">
        <f>SUMIF($L2674:$L2735,$L2672,M2674:M2735)</f>
        <v>0</v>
      </c>
      <c r="N2672" s="860" t="str">
        <f>IFERROR((M2673/M2672),"-")</f>
        <v>-</v>
      </c>
      <c r="O2672" s="528"/>
      <c r="P2672" s="543">
        <f t="shared" ref="P2672:U2672" si="10793">SUMIF($L2674:$L2735,$L2672,P2674:P2735)</f>
        <v>0</v>
      </c>
      <c r="Q2672" s="543">
        <f t="shared" si="10793"/>
        <v>0</v>
      </c>
      <c r="R2672" s="543">
        <f t="shared" si="10793"/>
        <v>0</v>
      </c>
      <c r="S2672" s="543">
        <f t="shared" si="10793"/>
        <v>0</v>
      </c>
      <c r="T2672" s="543">
        <f t="shared" si="10793"/>
        <v>0</v>
      </c>
      <c r="U2672" s="543">
        <f t="shared" si="10793"/>
        <v>0</v>
      </c>
      <c r="V2672" s="566"/>
      <c r="W2672" s="528"/>
      <c r="X2672" s="543">
        <f t="shared" ref="X2672:X2735" si="10794">SUMIFS(P2672:V2672,$P$8:$V$8,"&gt;="&amp;$P$8,$P$8:$V$8,"&lt;="&amp;$N$8)</f>
        <v>0</v>
      </c>
      <c r="Y2672" s="860" t="str">
        <f>IFERROR((X2673/X2672),"-")</f>
        <v>-</v>
      </c>
      <c r="Z2672" s="528"/>
      <c r="AA2672" s="814">
        <f>SUM(AA2674:AA2735)</f>
        <v>4163.22</v>
      </c>
      <c r="AB2672" s="814">
        <f>SUM(AB2674:AB2735)</f>
        <v>1679.24</v>
      </c>
      <c r="AC2672" s="814">
        <f>SUM(AC2674:AC2735)</f>
        <v>0</v>
      </c>
      <c r="AD2672" s="911">
        <f>IFERROR((AC2672/AA2672),"-")</f>
        <v>0</v>
      </c>
      <c r="AE2672" s="2"/>
      <c r="AF2672" s="888">
        <f t="shared" ref="AF2672:AL2672" si="10795">SUM(AF2674:AF2735)</f>
        <v>15629.55</v>
      </c>
      <c r="AG2672" s="888">
        <f t="shared" si="10795"/>
        <v>0</v>
      </c>
      <c r="AH2672" s="888">
        <f t="shared" si="10795"/>
        <v>0</v>
      </c>
      <c r="AI2672" s="888">
        <f t="shared" si="10795"/>
        <v>0</v>
      </c>
      <c r="AJ2672" s="888">
        <f t="shared" ref="AJ2672" si="10796">SUM(AJ2674:AJ2735)</f>
        <v>0</v>
      </c>
      <c r="AK2672" s="888">
        <f t="shared" si="10795"/>
        <v>15629.55</v>
      </c>
      <c r="AL2672" s="888">
        <f t="shared" si="10795"/>
        <v>22309.180000000004</v>
      </c>
      <c r="AM2672" s="743">
        <f>IFERROR((AK2672/AL2672),"-")</f>
        <v>0.70058827800932155</v>
      </c>
      <c r="AN2672" s="2"/>
      <c r="AO2672" s="888">
        <f>SUM(AO2674:AO2735)</f>
        <v>29138.22</v>
      </c>
      <c r="AP2672" s="888">
        <f>SUM(AP2674:AP2735)</f>
        <v>13508.670000000002</v>
      </c>
      <c r="AV2672" t="str">
        <f t="shared" si="10630"/>
        <v xml:space="preserve">   Seg. 3.1- ADME 12 - Drenagem Superficial - Descida D´água</v>
      </c>
      <c r="AW2672" s="4" t="str">
        <f t="shared" si="10628"/>
        <v>Pacote 04 - Segmento 2.3 - Km 116+517 a 131+241</v>
      </c>
    </row>
    <row r="2673" spans="1:49" ht="15.6" customHeight="1" outlineLevel="2">
      <c r="A2673" s="209">
        <v>0</v>
      </c>
      <c r="B2673" s="150"/>
      <c r="C2673" s="150"/>
      <c r="D2673" s="123"/>
      <c r="E2673" s="913"/>
      <c r="F2673" s="859"/>
      <c r="G2673" s="528"/>
      <c r="H2673" s="544" t="s">
        <v>38</v>
      </c>
      <c r="I2673" s="543">
        <f>SUMIF($L2674:$L2735,$L2673,I2674:I2735)</f>
        <v>0</v>
      </c>
      <c r="J2673" s="861"/>
      <c r="K2673" s="528"/>
      <c r="L2673" s="544" t="s">
        <v>38</v>
      </c>
      <c r="M2673" s="543">
        <f>SUMIF($L2674:$L2735,$L2673,M2674:M2735)</f>
        <v>0</v>
      </c>
      <c r="N2673" s="861"/>
      <c r="O2673" s="528"/>
      <c r="P2673" s="543">
        <f t="shared" ref="P2673:U2673" si="10797">SUMIF($L2674:$L2735,$L2673,P2674:P2735)</f>
        <v>0</v>
      </c>
      <c r="Q2673" s="543">
        <f t="shared" si="10797"/>
        <v>0</v>
      </c>
      <c r="R2673" s="543">
        <f t="shared" si="10797"/>
        <v>0</v>
      </c>
      <c r="S2673" s="543">
        <f t="shared" si="10797"/>
        <v>0</v>
      </c>
      <c r="T2673" s="543">
        <f t="shared" si="10797"/>
        <v>0</v>
      </c>
      <c r="U2673" s="543">
        <f t="shared" si="10797"/>
        <v>0</v>
      </c>
      <c r="V2673" s="566"/>
      <c r="W2673" s="528"/>
      <c r="X2673" s="543">
        <f t="shared" si="10794"/>
        <v>0</v>
      </c>
      <c r="Y2673" s="861"/>
      <c r="Z2673" s="528"/>
      <c r="AA2673" s="815"/>
      <c r="AB2673" s="815"/>
      <c r="AC2673" s="815"/>
      <c r="AD2673" s="912"/>
      <c r="AE2673" s="2"/>
      <c r="AF2673" s="889"/>
      <c r="AG2673" s="889"/>
      <c r="AH2673" s="889"/>
      <c r="AI2673" s="889"/>
      <c r="AJ2673" s="889"/>
      <c r="AK2673" s="889"/>
      <c r="AL2673" s="889"/>
      <c r="AM2673" s="744"/>
      <c r="AN2673" s="2"/>
      <c r="AO2673" s="888"/>
      <c r="AP2673" s="888"/>
      <c r="AV2673" t="str">
        <f t="shared" si="10630"/>
        <v xml:space="preserve">   Seg. 3.1- ADME 12 - Drenagem Superficial - Descida D´água</v>
      </c>
      <c r="AW2673" s="4" t="str">
        <f t="shared" si="10628"/>
        <v>Pacote 04 - Segmento 2.3 - Km 116+517 a 131+241</v>
      </c>
    </row>
    <row r="2674" spans="1:49" ht="15.6" customHeight="1" outlineLevel="2">
      <c r="A2674" s="8" t="str">
        <f t="shared" ref="A2674" si="10798">IF(SUM(P2674:V2675)&gt;0,"S","N")</f>
        <v>N</v>
      </c>
      <c r="B2674" s="150">
        <v>1052754</v>
      </c>
      <c r="C2674" s="150" t="s">
        <v>2964</v>
      </c>
      <c r="D2674" s="120" t="s">
        <v>2965</v>
      </c>
      <c r="E2674" s="892" t="s">
        <v>2966</v>
      </c>
      <c r="F2674" s="902" t="s">
        <v>36</v>
      </c>
      <c r="G2674" s="528"/>
      <c r="H2674" s="546" t="s">
        <v>37</v>
      </c>
      <c r="I2674" s="711">
        <v>0</v>
      </c>
      <c r="J2674" s="896" t="str">
        <f t="shared" ref="J2674" si="10799">IFERROR((I2675/I2674),"-")</f>
        <v>-</v>
      </c>
      <c r="K2674" s="528"/>
      <c r="L2674" s="546" t="s">
        <v>37</v>
      </c>
      <c r="M2674" s="711">
        <f t="shared" ref="M2674:M2735" si="10800">_xlfn.XLOOKUP($N$8,$P$8:$V$8,$P2674:$V2674)</f>
        <v>0</v>
      </c>
      <c r="N2674" s="896" t="str">
        <f t="shared" ref="N2674" si="10801">IFERROR((M2675/M2674),"-")</f>
        <v>-</v>
      </c>
      <c r="O2674" s="528"/>
      <c r="P2674" s="547">
        <v>0</v>
      </c>
      <c r="Q2674" s="547">
        <v>0</v>
      </c>
      <c r="R2674" s="547">
        <v>0</v>
      </c>
      <c r="S2674" s="547">
        <v>0</v>
      </c>
      <c r="T2674" s="547">
        <v>0</v>
      </c>
      <c r="U2674" s="547">
        <v>0</v>
      </c>
      <c r="V2674" s="547">
        <v>0</v>
      </c>
      <c r="W2674" s="528"/>
      <c r="X2674" s="711">
        <f t="shared" si="10794"/>
        <v>0</v>
      </c>
      <c r="Y2674" s="896" t="str">
        <f>IFERROR((X2675/X2674),"-")</f>
        <v>-</v>
      </c>
      <c r="Z2674" s="528"/>
      <c r="AA2674" s="898">
        <v>0</v>
      </c>
      <c r="AB2674" s="898">
        <v>0</v>
      </c>
      <c r="AC2674" s="903">
        <v>0</v>
      </c>
      <c r="AD2674" s="896" t="str">
        <f t="shared" ref="AD2674" si="10802">IFERROR((AC2674/AA2674),"-")</f>
        <v>-</v>
      </c>
      <c r="AE2674" s="2"/>
      <c r="AF2674" s="884">
        <v>0</v>
      </c>
      <c r="AG2674" s="884"/>
      <c r="AH2674" s="884">
        <v>0</v>
      </c>
      <c r="AI2674" s="884"/>
      <c r="AJ2674" s="884"/>
      <c r="AK2674" s="884">
        <f t="shared" ref="AK2674" si="10803">AF2674+AG2674+AH2674+AI2674+AJ2674+AC2674</f>
        <v>0</v>
      </c>
      <c r="AL2674" s="884">
        <v>464.95000000000016</v>
      </c>
      <c r="AM2674" s="878">
        <f t="shared" ref="AM2674" si="10804">IFERROR((AK2674/AL2674),"-")</f>
        <v>0</v>
      </c>
      <c r="AN2674" s="2"/>
      <c r="AO2674" s="884">
        <v>465</v>
      </c>
      <c r="AP2674" s="884">
        <f t="shared" ref="AP2674" si="10805">AO2674-AK2674</f>
        <v>465</v>
      </c>
      <c r="AV2674" t="str">
        <f t="shared" si="10630"/>
        <v xml:space="preserve">   Seg. 3.1- ADME 12 - Drenagem Superficial - Descida D´água</v>
      </c>
      <c r="AW2674" s="4" t="str">
        <f t="shared" si="10628"/>
        <v xml:space="preserve">   Seg. 2.3-C01 - Execução de sublastro</v>
      </c>
    </row>
    <row r="2675" spans="1:49" ht="15.6" customHeight="1" outlineLevel="2">
      <c r="A2675" s="8" t="str">
        <f t="shared" ref="A2675" si="10806">A2674</f>
        <v>N</v>
      </c>
      <c r="B2675" s="150"/>
      <c r="C2675" s="150" t="s">
        <v>2964</v>
      </c>
      <c r="D2675" s="120" t="s">
        <v>2965</v>
      </c>
      <c r="E2675" s="893"/>
      <c r="F2675" s="902"/>
      <c r="G2675" s="528"/>
      <c r="H2675" s="549" t="s">
        <v>38</v>
      </c>
      <c r="I2675" s="711">
        <v>0</v>
      </c>
      <c r="J2675" s="897"/>
      <c r="K2675" s="528"/>
      <c r="L2675" s="549" t="s">
        <v>38</v>
      </c>
      <c r="M2675" s="711">
        <f t="shared" si="10800"/>
        <v>0</v>
      </c>
      <c r="N2675" s="897"/>
      <c r="O2675" s="528"/>
      <c r="P2675" s="548">
        <v>0</v>
      </c>
      <c r="Q2675" s="548">
        <v>0</v>
      </c>
      <c r="R2675" s="548">
        <v>0</v>
      </c>
      <c r="S2675" s="548">
        <v>0</v>
      </c>
      <c r="T2675" s="548">
        <v>0</v>
      </c>
      <c r="U2675" s="548">
        <v>0</v>
      </c>
      <c r="V2675" s="548">
        <v>0</v>
      </c>
      <c r="W2675" s="528"/>
      <c r="X2675" s="711">
        <f t="shared" si="10794"/>
        <v>0</v>
      </c>
      <c r="Y2675" s="897"/>
      <c r="Z2675" s="528"/>
      <c r="AA2675" s="899"/>
      <c r="AB2675" s="899"/>
      <c r="AC2675" s="904"/>
      <c r="AD2675" s="905"/>
      <c r="AE2675" s="2"/>
      <c r="AF2675" s="885"/>
      <c r="AG2675" s="885"/>
      <c r="AH2675" s="885"/>
      <c r="AI2675" s="885"/>
      <c r="AJ2675" s="885"/>
      <c r="AK2675" s="885"/>
      <c r="AL2675" s="885"/>
      <c r="AM2675" s="879"/>
      <c r="AN2675" s="2"/>
      <c r="AO2675" s="886"/>
      <c r="AP2675" s="886"/>
      <c r="AV2675" t="str">
        <f t="shared" si="10630"/>
        <v xml:space="preserve">   Seg. 3.1- ADME 12 - Drenagem Superficial - Descida D´água</v>
      </c>
      <c r="AW2675" s="4" t="str">
        <f t="shared" si="10628"/>
        <v xml:space="preserve">   Seg. 2.3-C01 - Execução de sublastro</v>
      </c>
    </row>
    <row r="2676" spans="1:49" ht="15.6" customHeight="1" outlineLevel="2">
      <c r="A2676" s="8" t="str">
        <f t="shared" ref="A2676" si="10807">IF(SUM(P2676:V2677)&gt;0,"S","N")</f>
        <v>N</v>
      </c>
      <c r="B2676" s="150">
        <v>1052755</v>
      </c>
      <c r="C2676" s="150" t="s">
        <v>2967</v>
      </c>
      <c r="D2676" s="120" t="s">
        <v>2968</v>
      </c>
      <c r="E2676" s="892" t="s">
        <v>2969</v>
      </c>
      <c r="F2676" s="902" t="s">
        <v>36</v>
      </c>
      <c r="G2676" s="528"/>
      <c r="H2676" s="546" t="s">
        <v>37</v>
      </c>
      <c r="I2676" s="711">
        <v>0</v>
      </c>
      <c r="J2676" s="896" t="str">
        <f t="shared" ref="J2676" si="10808">IFERROR((I2677/I2676),"-")</f>
        <v>-</v>
      </c>
      <c r="K2676" s="528"/>
      <c r="L2676" s="546" t="s">
        <v>37</v>
      </c>
      <c r="M2676" s="711">
        <f t="shared" si="10800"/>
        <v>0</v>
      </c>
      <c r="N2676" s="896" t="str">
        <f t="shared" ref="N2676" si="10809">IFERROR((M2677/M2676),"-")</f>
        <v>-</v>
      </c>
      <c r="O2676" s="528"/>
      <c r="P2676" s="547">
        <v>0</v>
      </c>
      <c r="Q2676" s="547">
        <v>0</v>
      </c>
      <c r="R2676" s="547">
        <v>0</v>
      </c>
      <c r="S2676" s="547">
        <v>0</v>
      </c>
      <c r="T2676" s="547">
        <v>0</v>
      </c>
      <c r="U2676" s="547">
        <v>0</v>
      </c>
      <c r="V2676" s="547">
        <v>0</v>
      </c>
      <c r="W2676" s="528"/>
      <c r="X2676" s="711">
        <f t="shared" si="10794"/>
        <v>0</v>
      </c>
      <c r="Y2676" s="896" t="str">
        <f>IFERROR((X2677/X2676),"-")</f>
        <v>-</v>
      </c>
      <c r="Z2676" s="528"/>
      <c r="AA2676" s="898">
        <v>0</v>
      </c>
      <c r="AB2676" s="898">
        <v>0</v>
      </c>
      <c r="AC2676" s="903">
        <v>0</v>
      </c>
      <c r="AD2676" s="896" t="str">
        <f t="shared" ref="AD2676" si="10810">IFERROR((AC2676/AA2676),"-")</f>
        <v>-</v>
      </c>
      <c r="AE2676" s="2"/>
      <c r="AF2676" s="884">
        <v>1882</v>
      </c>
      <c r="AG2676" s="884"/>
      <c r="AH2676" s="884">
        <v>0</v>
      </c>
      <c r="AI2676" s="884"/>
      <c r="AJ2676" s="884"/>
      <c r="AK2676" s="884">
        <f t="shared" ref="AK2676" si="10811">AF2676+AG2676+AH2676+AI2676+AJ2676+AC2676</f>
        <v>1882</v>
      </c>
      <c r="AL2676" s="884">
        <v>1882.190000000001</v>
      </c>
      <c r="AM2676" s="878">
        <f t="shared" ref="AM2676" si="10812">IFERROR((AK2676/AL2676),"-")</f>
        <v>0.99989905376184074</v>
      </c>
      <c r="AN2676" s="2"/>
      <c r="AO2676" s="884">
        <v>1882</v>
      </c>
      <c r="AP2676" s="884">
        <f t="shared" ref="AP2676" si="10813">AO2676-AK2676</f>
        <v>0</v>
      </c>
      <c r="AV2676" t="str">
        <f t="shared" si="10630"/>
        <v xml:space="preserve">   Seg. 3.1- ADME 12 - Drenagem Superficial - Descida D´água</v>
      </c>
      <c r="AW2676" s="4" t="str">
        <f t="shared" si="10628"/>
        <v xml:space="preserve">   Seg. 2.3-A02 - Execução de sublastro</v>
      </c>
    </row>
    <row r="2677" spans="1:49" ht="15.6" customHeight="1" outlineLevel="2">
      <c r="A2677" s="8" t="str">
        <f t="shared" ref="A2677" si="10814">A2676</f>
        <v>N</v>
      </c>
      <c r="B2677" s="150"/>
      <c r="C2677" s="150" t="s">
        <v>2967</v>
      </c>
      <c r="D2677" s="120" t="s">
        <v>2968</v>
      </c>
      <c r="E2677" s="893"/>
      <c r="F2677" s="902"/>
      <c r="G2677" s="528"/>
      <c r="H2677" s="549" t="s">
        <v>38</v>
      </c>
      <c r="I2677" s="711">
        <v>0</v>
      </c>
      <c r="J2677" s="897"/>
      <c r="K2677" s="528"/>
      <c r="L2677" s="549" t="s">
        <v>38</v>
      </c>
      <c r="M2677" s="711">
        <f t="shared" si="10800"/>
        <v>0</v>
      </c>
      <c r="N2677" s="897"/>
      <c r="O2677" s="528"/>
      <c r="P2677" s="548">
        <v>0</v>
      </c>
      <c r="Q2677" s="548">
        <v>0</v>
      </c>
      <c r="R2677" s="548">
        <v>0</v>
      </c>
      <c r="S2677" s="548">
        <v>0</v>
      </c>
      <c r="T2677" s="548">
        <v>0</v>
      </c>
      <c r="U2677" s="548">
        <v>0</v>
      </c>
      <c r="V2677" s="548">
        <v>0</v>
      </c>
      <c r="W2677" s="528"/>
      <c r="X2677" s="711">
        <f t="shared" si="10794"/>
        <v>0</v>
      </c>
      <c r="Y2677" s="897"/>
      <c r="Z2677" s="528"/>
      <c r="AA2677" s="899"/>
      <c r="AB2677" s="899"/>
      <c r="AC2677" s="904"/>
      <c r="AD2677" s="905"/>
      <c r="AE2677" s="2"/>
      <c r="AF2677" s="885"/>
      <c r="AG2677" s="885"/>
      <c r="AH2677" s="885"/>
      <c r="AI2677" s="885"/>
      <c r="AJ2677" s="885"/>
      <c r="AK2677" s="885"/>
      <c r="AL2677" s="885"/>
      <c r="AM2677" s="879"/>
      <c r="AN2677" s="2"/>
      <c r="AO2677" s="886"/>
      <c r="AP2677" s="886"/>
      <c r="AV2677" t="str">
        <f t="shared" si="10630"/>
        <v xml:space="preserve">   Seg. 3.1- ADME 12 - Drenagem Superficial - Descida D´água</v>
      </c>
      <c r="AW2677" s="4" t="str">
        <f t="shared" si="10628"/>
        <v xml:space="preserve">   Seg. 2.3-A02 - Execução de sublastro</v>
      </c>
    </row>
    <row r="2678" spans="1:49" ht="15.6" customHeight="1" outlineLevel="2">
      <c r="A2678" s="8" t="str">
        <f t="shared" ref="A2678" si="10815">IF(SUM(P2678:V2679)&gt;0,"S","N")</f>
        <v>N</v>
      </c>
      <c r="B2678" s="150">
        <v>1052756</v>
      </c>
      <c r="C2678" s="150" t="s">
        <v>2970</v>
      </c>
      <c r="D2678" s="120" t="s">
        <v>2971</v>
      </c>
      <c r="E2678" s="892" t="s">
        <v>2972</v>
      </c>
      <c r="F2678" s="902" t="s">
        <v>36</v>
      </c>
      <c r="G2678" s="528"/>
      <c r="H2678" s="546" t="s">
        <v>37</v>
      </c>
      <c r="I2678" s="711">
        <v>0</v>
      </c>
      <c r="J2678" s="896" t="str">
        <f t="shared" ref="J2678" si="10816">IFERROR((I2679/I2678),"-")</f>
        <v>-</v>
      </c>
      <c r="K2678" s="528"/>
      <c r="L2678" s="546" t="s">
        <v>37</v>
      </c>
      <c r="M2678" s="711">
        <f t="shared" si="10800"/>
        <v>0</v>
      </c>
      <c r="N2678" s="896" t="str">
        <f t="shared" ref="N2678" si="10817">IFERROR((M2679/M2678),"-")</f>
        <v>-</v>
      </c>
      <c r="O2678" s="528"/>
      <c r="P2678" s="547">
        <v>0</v>
      </c>
      <c r="Q2678" s="547">
        <v>0</v>
      </c>
      <c r="R2678" s="547">
        <v>0</v>
      </c>
      <c r="S2678" s="547">
        <v>0</v>
      </c>
      <c r="T2678" s="547">
        <v>0</v>
      </c>
      <c r="U2678" s="547">
        <v>0</v>
      </c>
      <c r="V2678" s="547">
        <v>0</v>
      </c>
      <c r="W2678" s="528"/>
      <c r="X2678" s="711">
        <f t="shared" si="10794"/>
        <v>0</v>
      </c>
      <c r="Y2678" s="896" t="str">
        <f>IFERROR((X2679/X2678),"-")</f>
        <v>-</v>
      </c>
      <c r="Z2678" s="528"/>
      <c r="AA2678" s="898">
        <v>0</v>
      </c>
      <c r="AB2678" s="898">
        <v>0</v>
      </c>
      <c r="AC2678" s="903">
        <v>0</v>
      </c>
      <c r="AD2678" s="896" t="str">
        <f t="shared" ref="AD2678" si="10818">IFERROR((AC2678/AA2678),"-")</f>
        <v>-</v>
      </c>
      <c r="AE2678" s="2"/>
      <c r="AF2678" s="884">
        <v>236</v>
      </c>
      <c r="AG2678" s="884"/>
      <c r="AH2678" s="884">
        <v>0</v>
      </c>
      <c r="AI2678" s="884"/>
      <c r="AJ2678" s="884"/>
      <c r="AK2678" s="884">
        <f t="shared" ref="AK2678" si="10819">AF2678+AG2678+AH2678+AI2678+AJ2678+AC2678</f>
        <v>236</v>
      </c>
      <c r="AL2678" s="884">
        <v>236</v>
      </c>
      <c r="AM2678" s="878">
        <f t="shared" ref="AM2678" si="10820">IFERROR((AK2678/AL2678),"-")</f>
        <v>1</v>
      </c>
      <c r="AN2678" s="2"/>
      <c r="AO2678" s="884">
        <v>236</v>
      </c>
      <c r="AP2678" s="884">
        <f t="shared" ref="AP2678" si="10821">AO2678-AK2678</f>
        <v>0</v>
      </c>
      <c r="AV2678" t="str">
        <f t="shared" si="10630"/>
        <v xml:space="preserve">   Seg. 3.1- ADME 12 - Drenagem Superficial - Descida D´água</v>
      </c>
      <c r="AW2678" s="4" t="str">
        <f t="shared" si="10628"/>
        <v xml:space="preserve">   Seg. 2.3-C02 - Execução de sublastro</v>
      </c>
    </row>
    <row r="2679" spans="1:49" ht="15.6" customHeight="1" outlineLevel="2">
      <c r="A2679" s="8" t="str">
        <f t="shared" ref="A2679" si="10822">A2678</f>
        <v>N</v>
      </c>
      <c r="B2679" s="150"/>
      <c r="C2679" s="150" t="s">
        <v>2970</v>
      </c>
      <c r="D2679" s="120" t="s">
        <v>2971</v>
      </c>
      <c r="E2679" s="893"/>
      <c r="F2679" s="902"/>
      <c r="G2679" s="528"/>
      <c r="H2679" s="549" t="s">
        <v>38</v>
      </c>
      <c r="I2679" s="711">
        <v>0</v>
      </c>
      <c r="J2679" s="897"/>
      <c r="K2679" s="528"/>
      <c r="L2679" s="549" t="s">
        <v>38</v>
      </c>
      <c r="M2679" s="711">
        <f t="shared" si="10800"/>
        <v>0</v>
      </c>
      <c r="N2679" s="897"/>
      <c r="O2679" s="528"/>
      <c r="P2679" s="548">
        <v>0</v>
      </c>
      <c r="Q2679" s="548">
        <v>0</v>
      </c>
      <c r="R2679" s="548">
        <v>0</v>
      </c>
      <c r="S2679" s="548">
        <v>0</v>
      </c>
      <c r="T2679" s="548">
        <v>0</v>
      </c>
      <c r="U2679" s="548">
        <v>0</v>
      </c>
      <c r="V2679" s="548">
        <v>0</v>
      </c>
      <c r="W2679" s="528"/>
      <c r="X2679" s="711">
        <f t="shared" si="10794"/>
        <v>0</v>
      </c>
      <c r="Y2679" s="897"/>
      <c r="Z2679" s="528"/>
      <c r="AA2679" s="899"/>
      <c r="AB2679" s="899"/>
      <c r="AC2679" s="904"/>
      <c r="AD2679" s="905"/>
      <c r="AE2679" s="2"/>
      <c r="AF2679" s="885"/>
      <c r="AG2679" s="885"/>
      <c r="AH2679" s="885"/>
      <c r="AI2679" s="885"/>
      <c r="AJ2679" s="885"/>
      <c r="AK2679" s="885"/>
      <c r="AL2679" s="885"/>
      <c r="AM2679" s="879"/>
      <c r="AN2679" s="2"/>
      <c r="AO2679" s="886"/>
      <c r="AP2679" s="886"/>
      <c r="AV2679" t="str">
        <f t="shared" si="10630"/>
        <v xml:space="preserve">   Seg. 3.1- ADME 12 - Drenagem Superficial - Descida D´água</v>
      </c>
      <c r="AW2679" s="4" t="str">
        <f t="shared" si="10628"/>
        <v xml:space="preserve">   Seg. 2.3-C02 - Execução de sublastro</v>
      </c>
    </row>
    <row r="2680" spans="1:49" ht="15.6" customHeight="1" outlineLevel="2">
      <c r="A2680" s="8" t="str">
        <f t="shared" ref="A2680" si="10823">IF(SUM(P2680:V2681)&gt;0,"S","N")</f>
        <v>N</v>
      </c>
      <c r="B2680" s="150">
        <v>1052757</v>
      </c>
      <c r="C2680" s="150" t="s">
        <v>2973</v>
      </c>
      <c r="D2680" s="120" t="s">
        <v>2974</v>
      </c>
      <c r="E2680" s="892" t="s">
        <v>2975</v>
      </c>
      <c r="F2680" s="902" t="s">
        <v>36</v>
      </c>
      <c r="G2680" s="528"/>
      <c r="H2680" s="546" t="s">
        <v>37</v>
      </c>
      <c r="I2680" s="711">
        <v>0</v>
      </c>
      <c r="J2680" s="896" t="str">
        <f t="shared" ref="J2680" si="10824">IFERROR((I2681/I2680),"-")</f>
        <v>-</v>
      </c>
      <c r="K2680" s="528"/>
      <c r="L2680" s="546" t="s">
        <v>37</v>
      </c>
      <c r="M2680" s="711">
        <f t="shared" si="10800"/>
        <v>0</v>
      </c>
      <c r="N2680" s="896" t="str">
        <f t="shared" ref="N2680" si="10825">IFERROR((M2681/M2680),"-")</f>
        <v>-</v>
      </c>
      <c r="O2680" s="528"/>
      <c r="P2680" s="547">
        <v>0</v>
      </c>
      <c r="Q2680" s="547">
        <v>0</v>
      </c>
      <c r="R2680" s="547">
        <v>0</v>
      </c>
      <c r="S2680" s="547">
        <v>0</v>
      </c>
      <c r="T2680" s="547">
        <v>0</v>
      </c>
      <c r="U2680" s="547">
        <v>0</v>
      </c>
      <c r="V2680" s="547">
        <v>0</v>
      </c>
      <c r="W2680" s="528"/>
      <c r="X2680" s="711">
        <f t="shared" si="10794"/>
        <v>0</v>
      </c>
      <c r="Y2680" s="896" t="str">
        <f t="shared" ref="Y2680" si="10826">IFERROR((X2681/X2680),"-")</f>
        <v>-</v>
      </c>
      <c r="Z2680" s="528"/>
      <c r="AA2680" s="898">
        <v>0</v>
      </c>
      <c r="AB2680" s="898">
        <v>0</v>
      </c>
      <c r="AC2680" s="903">
        <v>0</v>
      </c>
      <c r="AD2680" s="896" t="str">
        <f t="shared" ref="AD2680" si="10827">IFERROR((AC2680/AA2680),"-")</f>
        <v>-</v>
      </c>
      <c r="AE2680" s="2"/>
      <c r="AF2680" s="884">
        <v>285</v>
      </c>
      <c r="AG2680" s="884"/>
      <c r="AH2680" s="884">
        <v>0</v>
      </c>
      <c r="AI2680" s="884"/>
      <c r="AJ2680" s="884"/>
      <c r="AK2680" s="884">
        <f t="shared" ref="AK2680" si="10828">AF2680+AG2680+AH2680+AI2680+AJ2680+AC2680</f>
        <v>285</v>
      </c>
      <c r="AL2680" s="884">
        <v>285</v>
      </c>
      <c r="AM2680" s="878">
        <f t="shared" ref="AM2680" si="10829">IFERROR((AK2680/AL2680),"-")</f>
        <v>1</v>
      </c>
      <c r="AN2680" s="2"/>
      <c r="AO2680" s="884">
        <v>285</v>
      </c>
      <c r="AP2680" s="884">
        <f t="shared" ref="AP2680" si="10830">AO2680-AK2680</f>
        <v>0</v>
      </c>
      <c r="AV2680" t="str">
        <f t="shared" si="10630"/>
        <v xml:space="preserve">   Seg. 3.1- ADME 12 - Drenagem Superficial - Descida D´água</v>
      </c>
      <c r="AW2680" s="4" t="str">
        <f t="shared" si="10628"/>
        <v xml:space="preserve">   Seg. 2.3-A03 - Execução de sublastro</v>
      </c>
    </row>
    <row r="2681" spans="1:49" ht="15.6" customHeight="1" outlineLevel="2">
      <c r="A2681" s="8" t="str">
        <f t="shared" ref="A2681" si="10831">A2680</f>
        <v>N</v>
      </c>
      <c r="B2681" s="150"/>
      <c r="C2681" s="150" t="s">
        <v>2973</v>
      </c>
      <c r="D2681" s="120" t="s">
        <v>2974</v>
      </c>
      <c r="E2681" s="893"/>
      <c r="F2681" s="902"/>
      <c r="G2681" s="528"/>
      <c r="H2681" s="549" t="s">
        <v>38</v>
      </c>
      <c r="I2681" s="711">
        <v>0</v>
      </c>
      <c r="J2681" s="897"/>
      <c r="K2681" s="528"/>
      <c r="L2681" s="549" t="s">
        <v>38</v>
      </c>
      <c r="M2681" s="711">
        <f t="shared" si="10800"/>
        <v>0</v>
      </c>
      <c r="N2681" s="897"/>
      <c r="O2681" s="528"/>
      <c r="P2681" s="548">
        <v>0</v>
      </c>
      <c r="Q2681" s="548">
        <v>0</v>
      </c>
      <c r="R2681" s="548">
        <v>0</v>
      </c>
      <c r="S2681" s="548">
        <v>0</v>
      </c>
      <c r="T2681" s="548">
        <v>0</v>
      </c>
      <c r="U2681" s="548">
        <v>0</v>
      </c>
      <c r="V2681" s="548">
        <v>0</v>
      </c>
      <c r="W2681" s="528"/>
      <c r="X2681" s="711">
        <f t="shared" si="10794"/>
        <v>0</v>
      </c>
      <c r="Y2681" s="897"/>
      <c r="Z2681" s="528"/>
      <c r="AA2681" s="899"/>
      <c r="AB2681" s="899"/>
      <c r="AC2681" s="904"/>
      <c r="AD2681" s="905"/>
      <c r="AE2681" s="2"/>
      <c r="AF2681" s="885"/>
      <c r="AG2681" s="885"/>
      <c r="AH2681" s="885"/>
      <c r="AI2681" s="885"/>
      <c r="AJ2681" s="885"/>
      <c r="AK2681" s="885"/>
      <c r="AL2681" s="885"/>
      <c r="AM2681" s="879"/>
      <c r="AN2681" s="2"/>
      <c r="AO2681" s="886"/>
      <c r="AP2681" s="886"/>
      <c r="AV2681" t="str">
        <f t="shared" si="10630"/>
        <v xml:space="preserve">   Seg. 3.1- ADME 12 - Drenagem Superficial - Descida D´água</v>
      </c>
      <c r="AW2681" s="4" t="str">
        <f t="shared" si="10628"/>
        <v xml:space="preserve">   Seg. 2.3-A03 - Execução de sublastro</v>
      </c>
    </row>
    <row r="2682" spans="1:49" ht="15.6" customHeight="1" outlineLevel="2" collapsed="1">
      <c r="A2682" s="8" t="str">
        <f t="shared" ref="A2682" si="10832">IF(SUM(P2682:V2683)&gt;0,"S","N")</f>
        <v>N</v>
      </c>
      <c r="B2682" s="150">
        <v>1052758</v>
      </c>
      <c r="C2682" s="150" t="s">
        <v>2976</v>
      </c>
      <c r="D2682" s="120" t="s">
        <v>2977</v>
      </c>
      <c r="E2682" s="892" t="s">
        <v>2978</v>
      </c>
      <c r="F2682" s="902" t="s">
        <v>36</v>
      </c>
      <c r="G2682" s="528"/>
      <c r="H2682" s="546" t="s">
        <v>37</v>
      </c>
      <c r="I2682" s="711">
        <v>0</v>
      </c>
      <c r="J2682" s="896" t="str">
        <f t="shared" ref="J2682" si="10833">IFERROR((I2683/I2682),"-")</f>
        <v>-</v>
      </c>
      <c r="K2682" s="528"/>
      <c r="L2682" s="546" t="s">
        <v>37</v>
      </c>
      <c r="M2682" s="711">
        <f t="shared" si="10800"/>
        <v>0</v>
      </c>
      <c r="N2682" s="896" t="str">
        <f t="shared" ref="N2682" si="10834">IFERROR((M2683/M2682),"-")</f>
        <v>-</v>
      </c>
      <c r="O2682" s="528"/>
      <c r="P2682" s="547">
        <v>0</v>
      </c>
      <c r="Q2682" s="547">
        <v>0</v>
      </c>
      <c r="R2682" s="547">
        <v>0</v>
      </c>
      <c r="S2682" s="547">
        <v>0</v>
      </c>
      <c r="T2682" s="547">
        <v>0</v>
      </c>
      <c r="U2682" s="547">
        <v>0</v>
      </c>
      <c r="V2682" s="547">
        <v>0</v>
      </c>
      <c r="W2682" s="528"/>
      <c r="X2682" s="711">
        <f t="shared" si="10794"/>
        <v>0</v>
      </c>
      <c r="Y2682" s="896" t="str">
        <f t="shared" ref="Y2682" si="10835">IFERROR((X2683/X2682),"-")</f>
        <v>-</v>
      </c>
      <c r="Z2682" s="528"/>
      <c r="AA2682" s="898">
        <v>0</v>
      </c>
      <c r="AB2682" s="898">
        <v>0</v>
      </c>
      <c r="AC2682" s="903">
        <v>0</v>
      </c>
      <c r="AD2682" s="896" t="str">
        <f t="shared" ref="AD2682" si="10836">IFERROR((AC2682/AA2682),"-")</f>
        <v>-</v>
      </c>
      <c r="AE2682" s="2"/>
      <c r="AF2682" s="884">
        <v>310</v>
      </c>
      <c r="AG2682" s="884"/>
      <c r="AH2682" s="884">
        <v>0</v>
      </c>
      <c r="AI2682" s="884"/>
      <c r="AJ2682" s="884"/>
      <c r="AK2682" s="884">
        <f t="shared" ref="AK2682" si="10837">AF2682+AG2682+AH2682+AI2682+AJ2682+AC2682</f>
        <v>310</v>
      </c>
      <c r="AL2682" s="884">
        <v>310</v>
      </c>
      <c r="AM2682" s="878">
        <f t="shared" ref="AM2682" si="10838">IFERROR((AK2682/AL2682),"-")</f>
        <v>1</v>
      </c>
      <c r="AN2682" s="2"/>
      <c r="AO2682" s="884">
        <v>310</v>
      </c>
      <c r="AP2682" s="884">
        <f t="shared" ref="AP2682" si="10839">AO2682-AK2682</f>
        <v>0</v>
      </c>
      <c r="AV2682" t="str">
        <f t="shared" si="10630"/>
        <v xml:space="preserve">   Seg. 3.1- ADME 12 - Drenagem Superficial - Descida D´água</v>
      </c>
      <c r="AW2682" s="4" t="str">
        <f t="shared" si="10628"/>
        <v xml:space="preserve">   Seg. 2.3-C03 - Execução de sublastro</v>
      </c>
    </row>
    <row r="2683" spans="1:49" ht="15.6" customHeight="1" outlineLevel="2">
      <c r="A2683" s="8" t="str">
        <f t="shared" ref="A2683" si="10840">A2682</f>
        <v>N</v>
      </c>
      <c r="B2683" s="150"/>
      <c r="C2683" s="150" t="s">
        <v>2976</v>
      </c>
      <c r="D2683" s="120" t="s">
        <v>2977</v>
      </c>
      <c r="E2683" s="893"/>
      <c r="F2683" s="902"/>
      <c r="G2683" s="528"/>
      <c r="H2683" s="549" t="s">
        <v>38</v>
      </c>
      <c r="I2683" s="711">
        <v>0</v>
      </c>
      <c r="J2683" s="897"/>
      <c r="K2683" s="528"/>
      <c r="L2683" s="549" t="s">
        <v>38</v>
      </c>
      <c r="M2683" s="711">
        <f t="shared" si="10800"/>
        <v>0</v>
      </c>
      <c r="N2683" s="897"/>
      <c r="O2683" s="528"/>
      <c r="P2683" s="548">
        <v>0</v>
      </c>
      <c r="Q2683" s="548">
        <v>0</v>
      </c>
      <c r="R2683" s="548">
        <v>0</v>
      </c>
      <c r="S2683" s="548">
        <v>0</v>
      </c>
      <c r="T2683" s="548">
        <v>0</v>
      </c>
      <c r="U2683" s="548">
        <v>0</v>
      </c>
      <c r="V2683" s="548">
        <v>0</v>
      </c>
      <c r="W2683" s="528"/>
      <c r="X2683" s="711">
        <f t="shared" si="10794"/>
        <v>0</v>
      </c>
      <c r="Y2683" s="897"/>
      <c r="Z2683" s="528"/>
      <c r="AA2683" s="899"/>
      <c r="AB2683" s="899"/>
      <c r="AC2683" s="904"/>
      <c r="AD2683" s="905"/>
      <c r="AE2683" s="2"/>
      <c r="AF2683" s="885"/>
      <c r="AG2683" s="885"/>
      <c r="AH2683" s="885"/>
      <c r="AI2683" s="885"/>
      <c r="AJ2683" s="885"/>
      <c r="AK2683" s="885"/>
      <c r="AL2683" s="885"/>
      <c r="AM2683" s="879"/>
      <c r="AN2683" s="2"/>
      <c r="AO2683" s="886"/>
      <c r="AP2683" s="886"/>
      <c r="AV2683" t="str">
        <f t="shared" si="10630"/>
        <v xml:space="preserve">   Seg. 3.1- ADME 12 - Drenagem Superficial - Descida D´água</v>
      </c>
      <c r="AW2683" s="4" t="str">
        <f t="shared" si="10628"/>
        <v xml:space="preserve">   Seg. 2.3-C03 - Execução de sublastro</v>
      </c>
    </row>
    <row r="2684" spans="1:49" ht="15.6" customHeight="1" outlineLevel="2">
      <c r="A2684" s="8" t="str">
        <f t="shared" ref="A2684" si="10841">IF(SUM(P2684:V2685)&gt;0,"S","N")</f>
        <v>N</v>
      </c>
      <c r="B2684" s="150">
        <v>1052759</v>
      </c>
      <c r="C2684" s="150" t="s">
        <v>2979</v>
      </c>
      <c r="D2684" s="120" t="s">
        <v>2980</v>
      </c>
      <c r="E2684" s="892" t="s">
        <v>2981</v>
      </c>
      <c r="F2684" s="902" t="s">
        <v>36</v>
      </c>
      <c r="G2684" s="528"/>
      <c r="H2684" s="546" t="s">
        <v>37</v>
      </c>
      <c r="I2684" s="711">
        <v>0</v>
      </c>
      <c r="J2684" s="896" t="str">
        <f t="shared" ref="J2684" si="10842">IFERROR((I2685/I2684),"-")</f>
        <v>-</v>
      </c>
      <c r="K2684" s="528"/>
      <c r="L2684" s="546" t="s">
        <v>37</v>
      </c>
      <c r="M2684" s="711">
        <f t="shared" si="10800"/>
        <v>0</v>
      </c>
      <c r="N2684" s="896" t="str">
        <f t="shared" ref="N2684" si="10843">IFERROR((M2685/M2684),"-")</f>
        <v>-</v>
      </c>
      <c r="O2684" s="528"/>
      <c r="P2684" s="547">
        <v>0</v>
      </c>
      <c r="Q2684" s="547">
        <v>0</v>
      </c>
      <c r="R2684" s="547">
        <v>0</v>
      </c>
      <c r="S2684" s="547">
        <v>0</v>
      </c>
      <c r="T2684" s="547">
        <v>0</v>
      </c>
      <c r="U2684" s="547">
        <v>0</v>
      </c>
      <c r="V2684" s="547">
        <v>0</v>
      </c>
      <c r="W2684" s="528"/>
      <c r="X2684" s="711">
        <f t="shared" si="10794"/>
        <v>0</v>
      </c>
      <c r="Y2684" s="896" t="str">
        <f t="shared" ref="Y2684" si="10844">IFERROR((X2685/X2684),"-")</f>
        <v>-</v>
      </c>
      <c r="Z2684" s="528"/>
      <c r="AA2684" s="898">
        <v>0</v>
      </c>
      <c r="AB2684" s="898">
        <v>0</v>
      </c>
      <c r="AC2684" s="903">
        <v>0</v>
      </c>
      <c r="AD2684" s="896" t="str">
        <f t="shared" ref="AD2684" si="10845">IFERROR((AC2684/AA2684),"-")</f>
        <v>-</v>
      </c>
      <c r="AE2684" s="2"/>
      <c r="AF2684" s="884">
        <v>38</v>
      </c>
      <c r="AG2684" s="884"/>
      <c r="AH2684" s="884">
        <v>0</v>
      </c>
      <c r="AI2684" s="884"/>
      <c r="AJ2684" s="884"/>
      <c r="AK2684" s="884">
        <f t="shared" ref="AK2684" si="10846">AF2684+AG2684+AH2684+AI2684+AJ2684+AC2684</f>
        <v>38</v>
      </c>
      <c r="AL2684" s="884">
        <v>155.03999999999996</v>
      </c>
      <c r="AM2684" s="878">
        <f t="shared" ref="AM2684" si="10847">IFERROR((AK2684/AL2684),"-")</f>
        <v>0.24509803921568632</v>
      </c>
      <c r="AN2684" s="2"/>
      <c r="AO2684" s="884">
        <v>155</v>
      </c>
      <c r="AP2684" s="884">
        <f t="shared" ref="AP2684" si="10848">AO2684-AK2684</f>
        <v>117</v>
      </c>
      <c r="AV2684" t="str">
        <f t="shared" si="10630"/>
        <v xml:space="preserve">   Seg. 3.1- ADME 12 - Drenagem Superficial - Descida D´água</v>
      </c>
      <c r="AW2684" s="4" t="str">
        <f t="shared" si="10628"/>
        <v xml:space="preserve">   Seg. 2.3-A04 - Execução de sublastro</v>
      </c>
    </row>
    <row r="2685" spans="1:49" ht="15.6" customHeight="1" outlineLevel="2">
      <c r="A2685" s="8" t="str">
        <f t="shared" ref="A2685" si="10849">A2684</f>
        <v>N</v>
      </c>
      <c r="B2685" s="150"/>
      <c r="C2685" s="150" t="s">
        <v>2979</v>
      </c>
      <c r="D2685" s="120" t="s">
        <v>2980</v>
      </c>
      <c r="E2685" s="893"/>
      <c r="F2685" s="902"/>
      <c r="G2685" s="528"/>
      <c r="H2685" s="549" t="s">
        <v>38</v>
      </c>
      <c r="I2685" s="711">
        <v>0</v>
      </c>
      <c r="J2685" s="897"/>
      <c r="K2685" s="528"/>
      <c r="L2685" s="549" t="s">
        <v>38</v>
      </c>
      <c r="M2685" s="711">
        <f t="shared" si="10800"/>
        <v>0</v>
      </c>
      <c r="N2685" s="897"/>
      <c r="O2685" s="528"/>
      <c r="P2685" s="548">
        <v>0</v>
      </c>
      <c r="Q2685" s="548">
        <v>0</v>
      </c>
      <c r="R2685" s="548">
        <v>0</v>
      </c>
      <c r="S2685" s="548">
        <v>0</v>
      </c>
      <c r="T2685" s="548">
        <v>0</v>
      </c>
      <c r="U2685" s="548">
        <v>0</v>
      </c>
      <c r="V2685" s="548">
        <v>0</v>
      </c>
      <c r="W2685" s="528"/>
      <c r="X2685" s="711">
        <f t="shared" si="10794"/>
        <v>0</v>
      </c>
      <c r="Y2685" s="897"/>
      <c r="Z2685" s="528"/>
      <c r="AA2685" s="899"/>
      <c r="AB2685" s="899"/>
      <c r="AC2685" s="904"/>
      <c r="AD2685" s="905"/>
      <c r="AE2685" s="2"/>
      <c r="AF2685" s="885"/>
      <c r="AG2685" s="885"/>
      <c r="AH2685" s="885"/>
      <c r="AI2685" s="885"/>
      <c r="AJ2685" s="885"/>
      <c r="AK2685" s="885"/>
      <c r="AL2685" s="885"/>
      <c r="AM2685" s="879"/>
      <c r="AN2685" s="2"/>
      <c r="AO2685" s="886"/>
      <c r="AP2685" s="886"/>
      <c r="AV2685" t="str">
        <f t="shared" si="10630"/>
        <v xml:space="preserve">   Seg. 3.1- ADME 12 - Drenagem Superficial - Descida D´água</v>
      </c>
      <c r="AW2685" s="4" t="str">
        <f t="shared" si="10628"/>
        <v xml:space="preserve">   Seg. 2.3-A04 - Execução de sublastro</v>
      </c>
    </row>
    <row r="2686" spans="1:49" ht="15.6" customHeight="1" outlineLevel="2">
      <c r="A2686" s="8" t="str">
        <f t="shared" ref="A2686" si="10850">IF(SUM(P2686:V2687)&gt;0,"S","N")</f>
        <v>N</v>
      </c>
      <c r="B2686" s="150">
        <v>1052760</v>
      </c>
      <c r="C2686" s="150" t="s">
        <v>2982</v>
      </c>
      <c r="D2686" s="120" t="s">
        <v>2983</v>
      </c>
      <c r="E2686" s="892" t="s">
        <v>2984</v>
      </c>
      <c r="F2686" s="902" t="s">
        <v>36</v>
      </c>
      <c r="G2686" s="528"/>
      <c r="H2686" s="546" t="s">
        <v>37</v>
      </c>
      <c r="I2686" s="711">
        <v>0</v>
      </c>
      <c r="J2686" s="896" t="str">
        <f t="shared" ref="J2686" si="10851">IFERROR((I2687/I2686),"-")</f>
        <v>-</v>
      </c>
      <c r="K2686" s="528"/>
      <c r="L2686" s="546" t="s">
        <v>37</v>
      </c>
      <c r="M2686" s="711">
        <f t="shared" si="10800"/>
        <v>0</v>
      </c>
      <c r="N2686" s="896" t="str">
        <f t="shared" ref="N2686" si="10852">IFERROR((M2687/M2686),"-")</f>
        <v>-</v>
      </c>
      <c r="O2686" s="528"/>
      <c r="P2686" s="547">
        <v>0</v>
      </c>
      <c r="Q2686" s="547">
        <v>0</v>
      </c>
      <c r="R2686" s="547">
        <v>0</v>
      </c>
      <c r="S2686" s="547">
        <v>0</v>
      </c>
      <c r="T2686" s="547">
        <v>0</v>
      </c>
      <c r="U2686" s="547">
        <v>0</v>
      </c>
      <c r="V2686" s="547">
        <v>0</v>
      </c>
      <c r="W2686" s="528"/>
      <c r="X2686" s="711">
        <f t="shared" si="10794"/>
        <v>0</v>
      </c>
      <c r="Y2686" s="896" t="str">
        <f t="shared" ref="Y2686" si="10853">IFERROR((X2687/X2686),"-")</f>
        <v>-</v>
      </c>
      <c r="Z2686" s="528"/>
      <c r="AA2686" s="898">
        <v>2484</v>
      </c>
      <c r="AB2686" s="898">
        <v>0</v>
      </c>
      <c r="AC2686" s="903">
        <v>0</v>
      </c>
      <c r="AD2686" s="896">
        <f t="shared" ref="AD2686" si="10854">IFERROR((AC2686/AA2686),"-")</f>
        <v>0</v>
      </c>
      <c r="AE2686" s="2"/>
      <c r="AF2686" s="884">
        <v>0</v>
      </c>
      <c r="AG2686" s="884"/>
      <c r="AH2686" s="884">
        <v>0</v>
      </c>
      <c r="AI2686" s="884"/>
      <c r="AJ2686" s="884"/>
      <c r="AK2686" s="884">
        <f t="shared" ref="AK2686" si="10855">AF2686+AG2686+AH2686+AI2686+AJ2686+AC2686</f>
        <v>0</v>
      </c>
      <c r="AL2686" s="884">
        <v>0</v>
      </c>
      <c r="AM2686" s="878" t="str">
        <f t="shared" ref="AM2686" si="10856">IFERROR((AK2686/AL2686),"-")</f>
        <v>-</v>
      </c>
      <c r="AN2686" s="2"/>
      <c r="AO2686" s="884">
        <v>2484</v>
      </c>
      <c r="AP2686" s="884">
        <f t="shared" ref="AP2686" si="10857">AO2686-AK2686</f>
        <v>2484</v>
      </c>
      <c r="AV2686" t="str">
        <f t="shared" si="10630"/>
        <v xml:space="preserve">   Seg. 3.1- ADME 12 - Drenagem Superficial - Descida D´água</v>
      </c>
      <c r="AW2686" s="4" t="str">
        <f t="shared" si="10628"/>
        <v xml:space="preserve">   Seg. 2.3-C04 - Execução de sublastro</v>
      </c>
    </row>
    <row r="2687" spans="1:49" ht="15.6" customHeight="1" outlineLevel="2">
      <c r="A2687" s="8" t="str">
        <f t="shared" ref="A2687" si="10858">A2686</f>
        <v>N</v>
      </c>
      <c r="B2687" s="150"/>
      <c r="C2687" s="150" t="s">
        <v>2982</v>
      </c>
      <c r="D2687" s="120" t="s">
        <v>2983</v>
      </c>
      <c r="E2687" s="893"/>
      <c r="F2687" s="902"/>
      <c r="G2687" s="528"/>
      <c r="H2687" s="549" t="s">
        <v>38</v>
      </c>
      <c r="I2687" s="711">
        <v>0</v>
      </c>
      <c r="J2687" s="897"/>
      <c r="K2687" s="528"/>
      <c r="L2687" s="549" t="s">
        <v>38</v>
      </c>
      <c r="M2687" s="711">
        <f t="shared" si="10800"/>
        <v>0</v>
      </c>
      <c r="N2687" s="897"/>
      <c r="O2687" s="528"/>
      <c r="P2687" s="548">
        <v>0</v>
      </c>
      <c r="Q2687" s="548">
        <v>0</v>
      </c>
      <c r="R2687" s="548">
        <v>0</v>
      </c>
      <c r="S2687" s="548">
        <v>0</v>
      </c>
      <c r="T2687" s="548">
        <v>0</v>
      </c>
      <c r="U2687" s="548">
        <v>0</v>
      </c>
      <c r="V2687" s="548">
        <v>0</v>
      </c>
      <c r="W2687" s="528"/>
      <c r="X2687" s="711">
        <f t="shared" si="10794"/>
        <v>0</v>
      </c>
      <c r="Y2687" s="897"/>
      <c r="Z2687" s="528"/>
      <c r="AA2687" s="899"/>
      <c r="AB2687" s="899"/>
      <c r="AC2687" s="904"/>
      <c r="AD2687" s="905"/>
      <c r="AE2687" s="2"/>
      <c r="AF2687" s="885"/>
      <c r="AG2687" s="885"/>
      <c r="AH2687" s="885"/>
      <c r="AI2687" s="885"/>
      <c r="AJ2687" s="885"/>
      <c r="AK2687" s="885"/>
      <c r="AL2687" s="885"/>
      <c r="AM2687" s="879"/>
      <c r="AN2687" s="2"/>
      <c r="AO2687" s="886"/>
      <c r="AP2687" s="886"/>
      <c r="AV2687" t="str">
        <f t="shared" si="10630"/>
        <v xml:space="preserve">   Seg. 3.1- ADME 12 - Drenagem Superficial - Descida D´água</v>
      </c>
      <c r="AW2687" s="4" t="str">
        <f t="shared" si="10628"/>
        <v xml:space="preserve">   Seg. 2.3-C04 - Execução de sublastro</v>
      </c>
    </row>
    <row r="2688" spans="1:49" ht="15.6" customHeight="1" outlineLevel="2">
      <c r="A2688" s="8" t="str">
        <f t="shared" ref="A2688" si="10859">IF(SUM(P2688:V2689)&gt;0,"S","N")</f>
        <v>N</v>
      </c>
      <c r="B2688" s="150">
        <v>1052762</v>
      </c>
      <c r="C2688" s="150" t="s">
        <v>2985</v>
      </c>
      <c r="D2688" s="120" t="s">
        <v>2986</v>
      </c>
      <c r="E2688" s="892" t="s">
        <v>2987</v>
      </c>
      <c r="F2688" s="902" t="s">
        <v>36</v>
      </c>
      <c r="G2688" s="528"/>
      <c r="H2688" s="546" t="s">
        <v>37</v>
      </c>
      <c r="I2688" s="711">
        <v>0</v>
      </c>
      <c r="J2688" s="896" t="str">
        <f t="shared" ref="J2688" si="10860">IFERROR((I2689/I2688),"-")</f>
        <v>-</v>
      </c>
      <c r="K2688" s="528"/>
      <c r="L2688" s="546" t="s">
        <v>37</v>
      </c>
      <c r="M2688" s="711">
        <f t="shared" si="10800"/>
        <v>0</v>
      </c>
      <c r="N2688" s="896" t="str">
        <f t="shared" ref="N2688" si="10861">IFERROR((M2689/M2688),"-")</f>
        <v>-</v>
      </c>
      <c r="O2688" s="528"/>
      <c r="P2688" s="547">
        <v>0</v>
      </c>
      <c r="Q2688" s="547">
        <v>0</v>
      </c>
      <c r="R2688" s="547">
        <v>0</v>
      </c>
      <c r="S2688" s="547">
        <v>0</v>
      </c>
      <c r="T2688" s="547">
        <v>0</v>
      </c>
      <c r="U2688" s="547">
        <v>0</v>
      </c>
      <c r="V2688" s="547">
        <v>0</v>
      </c>
      <c r="W2688" s="528"/>
      <c r="X2688" s="711">
        <f t="shared" si="10794"/>
        <v>0</v>
      </c>
      <c r="Y2688" s="896" t="str">
        <f t="shared" ref="Y2688" si="10862">IFERROR((X2689/X2688),"-")</f>
        <v>-</v>
      </c>
      <c r="Z2688" s="528"/>
      <c r="AA2688" s="898">
        <v>230</v>
      </c>
      <c r="AB2688" s="898">
        <v>230</v>
      </c>
      <c r="AC2688" s="903">
        <v>0</v>
      </c>
      <c r="AD2688" s="896">
        <f t="shared" ref="AD2688" si="10863">IFERROR((AC2688/AA2688),"-")</f>
        <v>0</v>
      </c>
      <c r="AE2688" s="2"/>
      <c r="AF2688" s="884">
        <v>352</v>
      </c>
      <c r="AG2688" s="884"/>
      <c r="AH2688" s="884">
        <v>0</v>
      </c>
      <c r="AI2688" s="884"/>
      <c r="AJ2688" s="884"/>
      <c r="AK2688" s="884">
        <f t="shared" ref="AK2688" si="10864">AF2688+AG2688+AH2688+AI2688+AJ2688+AC2688</f>
        <v>352</v>
      </c>
      <c r="AL2688" s="884">
        <v>582</v>
      </c>
      <c r="AM2688" s="878">
        <f t="shared" ref="AM2688" si="10865">IFERROR((AK2688/AL2688),"-")</f>
        <v>0.60481099656357384</v>
      </c>
      <c r="AN2688" s="2"/>
      <c r="AO2688" s="884">
        <v>582</v>
      </c>
      <c r="AP2688" s="884">
        <f t="shared" ref="AP2688" si="10866">AO2688-AK2688</f>
        <v>230</v>
      </c>
      <c r="AV2688" t="str">
        <f t="shared" si="10630"/>
        <v xml:space="preserve">   Seg. 3.1- ADME 12 - Drenagem Superficial - Descida D´água</v>
      </c>
      <c r="AW2688" s="4" t="str">
        <f t="shared" si="10628"/>
        <v xml:space="preserve">   Seg. 2.3-A05 - Execução de sublastro</v>
      </c>
    </row>
    <row r="2689" spans="1:49" ht="15.6" customHeight="1" outlineLevel="2">
      <c r="A2689" s="8" t="str">
        <f t="shared" ref="A2689" si="10867">A2688</f>
        <v>N</v>
      </c>
      <c r="B2689" s="150"/>
      <c r="C2689" s="150" t="s">
        <v>2985</v>
      </c>
      <c r="D2689" s="120" t="s">
        <v>2986</v>
      </c>
      <c r="E2689" s="893"/>
      <c r="F2689" s="902"/>
      <c r="G2689" s="528"/>
      <c r="H2689" s="549" t="s">
        <v>38</v>
      </c>
      <c r="I2689" s="711">
        <v>0</v>
      </c>
      <c r="J2689" s="897"/>
      <c r="K2689" s="528"/>
      <c r="L2689" s="549" t="s">
        <v>38</v>
      </c>
      <c r="M2689" s="711">
        <f t="shared" si="10800"/>
        <v>0</v>
      </c>
      <c r="N2689" s="897"/>
      <c r="O2689" s="528"/>
      <c r="P2689" s="548">
        <v>0</v>
      </c>
      <c r="Q2689" s="548">
        <v>0</v>
      </c>
      <c r="R2689" s="548">
        <v>0</v>
      </c>
      <c r="S2689" s="548">
        <v>0</v>
      </c>
      <c r="T2689" s="548">
        <v>0</v>
      </c>
      <c r="U2689" s="548">
        <v>0</v>
      </c>
      <c r="V2689" s="548">
        <v>0</v>
      </c>
      <c r="W2689" s="528"/>
      <c r="X2689" s="711">
        <f t="shared" si="10794"/>
        <v>0</v>
      </c>
      <c r="Y2689" s="897"/>
      <c r="Z2689" s="528"/>
      <c r="AA2689" s="899"/>
      <c r="AB2689" s="899"/>
      <c r="AC2689" s="904"/>
      <c r="AD2689" s="905"/>
      <c r="AE2689" s="2"/>
      <c r="AF2689" s="885"/>
      <c r="AG2689" s="885"/>
      <c r="AH2689" s="885"/>
      <c r="AI2689" s="885"/>
      <c r="AJ2689" s="885"/>
      <c r="AK2689" s="885"/>
      <c r="AL2689" s="885"/>
      <c r="AM2689" s="879"/>
      <c r="AN2689" s="2"/>
      <c r="AO2689" s="886"/>
      <c r="AP2689" s="886"/>
      <c r="AV2689" t="str">
        <f t="shared" si="10630"/>
        <v xml:space="preserve">   Seg. 3.1- ADME 12 - Drenagem Superficial - Descida D´água</v>
      </c>
      <c r="AW2689" s="4" t="str">
        <f t="shared" si="10628"/>
        <v xml:space="preserve">   Seg. 2.3-A05 - Execução de sublastro</v>
      </c>
    </row>
    <row r="2690" spans="1:49" ht="15.6" customHeight="1" outlineLevel="2">
      <c r="A2690" s="8" t="str">
        <f t="shared" ref="A2690" si="10868">IF(SUM(P2690:V2691)&gt;0,"S","N")</f>
        <v>N</v>
      </c>
      <c r="B2690" s="150">
        <v>1052763</v>
      </c>
      <c r="C2690" s="150" t="s">
        <v>2988</v>
      </c>
      <c r="D2690" s="120" t="s">
        <v>2989</v>
      </c>
      <c r="E2690" s="892" t="s">
        <v>2990</v>
      </c>
      <c r="F2690" s="902" t="s">
        <v>36</v>
      </c>
      <c r="G2690" s="528"/>
      <c r="H2690" s="546" t="s">
        <v>37</v>
      </c>
      <c r="I2690" s="711">
        <v>0</v>
      </c>
      <c r="J2690" s="896" t="str">
        <f t="shared" ref="J2690" si="10869">IFERROR((I2691/I2690),"-")</f>
        <v>-</v>
      </c>
      <c r="K2690" s="528"/>
      <c r="L2690" s="546" t="s">
        <v>37</v>
      </c>
      <c r="M2690" s="711">
        <f t="shared" si="10800"/>
        <v>0</v>
      </c>
      <c r="N2690" s="896" t="str">
        <f t="shared" ref="N2690" si="10870">IFERROR((M2691/M2690),"-")</f>
        <v>-</v>
      </c>
      <c r="O2690" s="528"/>
      <c r="P2690" s="547">
        <v>0</v>
      </c>
      <c r="Q2690" s="547">
        <v>0</v>
      </c>
      <c r="R2690" s="547">
        <v>0</v>
      </c>
      <c r="S2690" s="547">
        <v>0</v>
      </c>
      <c r="T2690" s="547">
        <v>0</v>
      </c>
      <c r="U2690" s="547">
        <v>0</v>
      </c>
      <c r="V2690" s="547">
        <v>0</v>
      </c>
      <c r="W2690" s="528"/>
      <c r="X2690" s="711">
        <f t="shared" si="10794"/>
        <v>0</v>
      </c>
      <c r="Y2690" s="896" t="str">
        <f>IFERROR((X2691/X2690),"-")</f>
        <v>-</v>
      </c>
      <c r="Z2690" s="528"/>
      <c r="AA2690" s="898">
        <v>1047</v>
      </c>
      <c r="AB2690" s="898">
        <v>1047</v>
      </c>
      <c r="AC2690" s="903">
        <v>0</v>
      </c>
      <c r="AD2690" s="896">
        <f t="shared" ref="AD2690" si="10871">IFERROR((AC2690/AA2690),"-")</f>
        <v>0</v>
      </c>
      <c r="AE2690" s="2"/>
      <c r="AF2690" s="884">
        <v>0</v>
      </c>
      <c r="AG2690" s="884"/>
      <c r="AH2690" s="884">
        <v>0</v>
      </c>
      <c r="AI2690" s="884"/>
      <c r="AJ2690" s="884"/>
      <c r="AK2690" s="884">
        <f t="shared" ref="AK2690" si="10872">AF2690+AG2690+AH2690+AI2690+AJ2690+AC2690</f>
        <v>0</v>
      </c>
      <c r="AL2690" s="884">
        <v>1047</v>
      </c>
      <c r="AM2690" s="878">
        <f t="shared" ref="AM2690" si="10873">IFERROR((AK2690/AL2690),"-")</f>
        <v>0</v>
      </c>
      <c r="AN2690" s="2"/>
      <c r="AO2690" s="884">
        <v>1047</v>
      </c>
      <c r="AP2690" s="884">
        <f t="shared" ref="AP2690" si="10874">AO2690-AK2690</f>
        <v>1047</v>
      </c>
      <c r="AV2690" t="str">
        <f t="shared" si="10630"/>
        <v xml:space="preserve">   Seg. 3.1- ADME 12 - Drenagem Superficial - Descida D´água</v>
      </c>
      <c r="AW2690" s="4" t="str">
        <f t="shared" si="10628"/>
        <v xml:space="preserve">   Seg. 2.3-C05 - Execução de sublastro</v>
      </c>
    </row>
    <row r="2691" spans="1:49" ht="15.6" customHeight="1" outlineLevel="2">
      <c r="A2691" s="8" t="str">
        <f t="shared" ref="A2691" si="10875">A2690</f>
        <v>N</v>
      </c>
      <c r="B2691" s="150"/>
      <c r="C2691" s="150" t="s">
        <v>2988</v>
      </c>
      <c r="D2691" s="120" t="s">
        <v>2989</v>
      </c>
      <c r="E2691" s="893"/>
      <c r="F2691" s="902"/>
      <c r="G2691" s="528"/>
      <c r="H2691" s="549" t="s">
        <v>38</v>
      </c>
      <c r="I2691" s="711">
        <v>0</v>
      </c>
      <c r="J2691" s="897"/>
      <c r="K2691" s="528"/>
      <c r="L2691" s="549" t="s">
        <v>38</v>
      </c>
      <c r="M2691" s="711">
        <f t="shared" si="10800"/>
        <v>0</v>
      </c>
      <c r="N2691" s="897"/>
      <c r="O2691" s="528"/>
      <c r="P2691" s="548">
        <v>0</v>
      </c>
      <c r="Q2691" s="548">
        <v>0</v>
      </c>
      <c r="R2691" s="548">
        <v>0</v>
      </c>
      <c r="S2691" s="548">
        <v>0</v>
      </c>
      <c r="T2691" s="548">
        <v>0</v>
      </c>
      <c r="U2691" s="548">
        <v>0</v>
      </c>
      <c r="V2691" s="548">
        <v>0</v>
      </c>
      <c r="W2691" s="528"/>
      <c r="X2691" s="711">
        <f t="shared" si="10794"/>
        <v>0</v>
      </c>
      <c r="Y2691" s="897"/>
      <c r="Z2691" s="528"/>
      <c r="AA2691" s="899"/>
      <c r="AB2691" s="899"/>
      <c r="AC2691" s="904"/>
      <c r="AD2691" s="905"/>
      <c r="AE2691" s="2"/>
      <c r="AF2691" s="885"/>
      <c r="AG2691" s="885"/>
      <c r="AH2691" s="885"/>
      <c r="AI2691" s="885"/>
      <c r="AJ2691" s="885"/>
      <c r="AK2691" s="885"/>
      <c r="AL2691" s="885"/>
      <c r="AM2691" s="879"/>
      <c r="AN2691" s="2"/>
      <c r="AO2691" s="886"/>
      <c r="AP2691" s="886"/>
      <c r="AV2691" t="str">
        <f t="shared" si="10630"/>
        <v xml:space="preserve">   Seg. 3.1- ADME 12 - Drenagem Superficial - Descida D´água</v>
      </c>
      <c r="AW2691" s="4" t="str">
        <f t="shared" si="10628"/>
        <v xml:space="preserve">   Seg. 2.3-C05 - Execução de sublastro</v>
      </c>
    </row>
    <row r="2692" spans="1:49" ht="15.6" customHeight="1" outlineLevel="2">
      <c r="A2692" s="8" t="str">
        <f t="shared" ref="A2692" si="10876">IF(SUM(P2692:V2693)&gt;0,"S","N")</f>
        <v>N</v>
      </c>
      <c r="B2692" s="150">
        <v>1052764</v>
      </c>
      <c r="C2692" s="150" t="s">
        <v>2991</v>
      </c>
      <c r="D2692" s="120" t="s">
        <v>2992</v>
      </c>
      <c r="E2692" s="892" t="s">
        <v>2993</v>
      </c>
      <c r="F2692" s="902" t="s">
        <v>36</v>
      </c>
      <c r="G2692" s="528"/>
      <c r="H2692" s="546" t="s">
        <v>37</v>
      </c>
      <c r="I2692" s="711">
        <v>0</v>
      </c>
      <c r="J2692" s="896" t="str">
        <f t="shared" ref="J2692" si="10877">IFERROR((I2693/I2692),"-")</f>
        <v>-</v>
      </c>
      <c r="K2692" s="528"/>
      <c r="L2692" s="546" t="s">
        <v>37</v>
      </c>
      <c r="M2692" s="711">
        <f t="shared" si="10800"/>
        <v>0</v>
      </c>
      <c r="N2692" s="896" t="str">
        <f t="shared" ref="N2692" si="10878">IFERROR((M2693/M2692),"-")</f>
        <v>-</v>
      </c>
      <c r="O2692" s="528"/>
      <c r="P2692" s="547">
        <v>0</v>
      </c>
      <c r="Q2692" s="547">
        <v>0</v>
      </c>
      <c r="R2692" s="547">
        <v>0</v>
      </c>
      <c r="S2692" s="547">
        <v>0</v>
      </c>
      <c r="T2692" s="547">
        <v>0</v>
      </c>
      <c r="U2692" s="547">
        <v>0</v>
      </c>
      <c r="V2692" s="547">
        <v>0</v>
      </c>
      <c r="W2692" s="528"/>
      <c r="X2692" s="711">
        <f t="shared" si="10794"/>
        <v>0</v>
      </c>
      <c r="Y2692" s="896" t="str">
        <f>IFERROR((X2693/X2692),"-")</f>
        <v>-</v>
      </c>
      <c r="Z2692" s="528"/>
      <c r="AA2692" s="898">
        <v>0</v>
      </c>
      <c r="AB2692" s="898">
        <v>0</v>
      </c>
      <c r="AC2692" s="903">
        <v>0</v>
      </c>
      <c r="AD2692" s="896" t="str">
        <f t="shared" ref="AD2692" si="10879">IFERROR((AC2692/AA2692),"-")</f>
        <v>-</v>
      </c>
      <c r="AE2692" s="2"/>
      <c r="AF2692" s="884">
        <v>1835</v>
      </c>
      <c r="AG2692" s="884"/>
      <c r="AH2692" s="884">
        <v>0</v>
      </c>
      <c r="AI2692" s="884"/>
      <c r="AJ2692" s="884"/>
      <c r="AK2692" s="884">
        <f t="shared" ref="AK2692" si="10880">AF2692+AG2692+AH2692+AI2692+AJ2692+AC2692</f>
        <v>1835</v>
      </c>
      <c r="AL2692" s="884">
        <v>1835</v>
      </c>
      <c r="AM2692" s="878">
        <f t="shared" ref="AM2692" si="10881">IFERROR((AK2692/AL2692),"-")</f>
        <v>1</v>
      </c>
      <c r="AN2692" s="2"/>
      <c r="AO2692" s="884">
        <v>1835</v>
      </c>
      <c r="AP2692" s="884">
        <f t="shared" ref="AP2692" si="10882">AO2692-AK2692</f>
        <v>0</v>
      </c>
      <c r="AV2692" t="str">
        <f t="shared" si="10630"/>
        <v xml:space="preserve">   Seg. 3.1- ADME 12 - Drenagem Superficial - Descida D´água</v>
      </c>
      <c r="AW2692" s="4" t="str">
        <f t="shared" si="10628"/>
        <v xml:space="preserve">   Seg. 2.3-A06 - Execução de sublastro</v>
      </c>
    </row>
    <row r="2693" spans="1:49" ht="15.6" customHeight="1" outlineLevel="2">
      <c r="A2693" s="8" t="str">
        <f t="shared" ref="A2693" si="10883">A2692</f>
        <v>N</v>
      </c>
      <c r="B2693" s="150"/>
      <c r="C2693" s="150" t="s">
        <v>2991</v>
      </c>
      <c r="D2693" s="120" t="s">
        <v>2992</v>
      </c>
      <c r="E2693" s="893"/>
      <c r="F2693" s="902"/>
      <c r="G2693" s="528"/>
      <c r="H2693" s="549" t="s">
        <v>38</v>
      </c>
      <c r="I2693" s="711">
        <v>0</v>
      </c>
      <c r="J2693" s="897"/>
      <c r="K2693" s="528"/>
      <c r="L2693" s="549" t="s">
        <v>38</v>
      </c>
      <c r="M2693" s="711">
        <f t="shared" si="10800"/>
        <v>0</v>
      </c>
      <c r="N2693" s="897"/>
      <c r="O2693" s="528"/>
      <c r="P2693" s="548">
        <v>0</v>
      </c>
      <c r="Q2693" s="548">
        <v>0</v>
      </c>
      <c r="R2693" s="548">
        <v>0</v>
      </c>
      <c r="S2693" s="548">
        <v>0</v>
      </c>
      <c r="T2693" s="548">
        <v>0</v>
      </c>
      <c r="U2693" s="548">
        <v>0</v>
      </c>
      <c r="V2693" s="548">
        <v>0</v>
      </c>
      <c r="W2693" s="528"/>
      <c r="X2693" s="711">
        <f t="shared" si="10794"/>
        <v>0</v>
      </c>
      <c r="Y2693" s="897"/>
      <c r="Z2693" s="528"/>
      <c r="AA2693" s="899"/>
      <c r="AB2693" s="899"/>
      <c r="AC2693" s="904"/>
      <c r="AD2693" s="905"/>
      <c r="AE2693" s="2"/>
      <c r="AF2693" s="885"/>
      <c r="AG2693" s="885"/>
      <c r="AH2693" s="885"/>
      <c r="AI2693" s="885"/>
      <c r="AJ2693" s="885"/>
      <c r="AK2693" s="885"/>
      <c r="AL2693" s="885"/>
      <c r="AM2693" s="879"/>
      <c r="AN2693" s="2"/>
      <c r="AO2693" s="886"/>
      <c r="AP2693" s="886"/>
      <c r="AV2693" t="str">
        <f t="shared" si="10630"/>
        <v xml:space="preserve">   Seg. 3.1- ADME 12 - Drenagem Superficial - Descida D´água</v>
      </c>
      <c r="AW2693" s="4" t="str">
        <f t="shared" si="10628"/>
        <v xml:space="preserve">   Seg. 2.3-A06 - Execução de sublastro</v>
      </c>
    </row>
    <row r="2694" spans="1:49" ht="15.6" customHeight="1" outlineLevel="2">
      <c r="A2694" s="8" t="str">
        <f t="shared" ref="A2694" si="10884">IF(SUM(P2694:V2695)&gt;0,"S","N")</f>
        <v>N</v>
      </c>
      <c r="B2694" s="150">
        <v>1052765</v>
      </c>
      <c r="C2694" s="150" t="s">
        <v>2994</v>
      </c>
      <c r="D2694" s="120" t="s">
        <v>2995</v>
      </c>
      <c r="E2694" s="892" t="s">
        <v>2996</v>
      </c>
      <c r="F2694" s="902" t="s">
        <v>36</v>
      </c>
      <c r="G2694" s="528"/>
      <c r="H2694" s="546" t="s">
        <v>37</v>
      </c>
      <c r="I2694" s="711">
        <v>0</v>
      </c>
      <c r="J2694" s="896" t="str">
        <f t="shared" ref="J2694" si="10885">IFERROR((I2695/I2694),"-")</f>
        <v>-</v>
      </c>
      <c r="K2694" s="528"/>
      <c r="L2694" s="546" t="s">
        <v>37</v>
      </c>
      <c r="M2694" s="711">
        <f t="shared" si="10800"/>
        <v>0</v>
      </c>
      <c r="N2694" s="896" t="str">
        <f t="shared" ref="N2694" si="10886">IFERROR((M2695/M2694),"-")</f>
        <v>-</v>
      </c>
      <c r="O2694" s="528"/>
      <c r="P2694" s="547">
        <v>0</v>
      </c>
      <c r="Q2694" s="547">
        <v>0</v>
      </c>
      <c r="R2694" s="547">
        <v>0</v>
      </c>
      <c r="S2694" s="547">
        <v>0</v>
      </c>
      <c r="T2694" s="547">
        <v>0</v>
      </c>
      <c r="U2694" s="547">
        <v>0</v>
      </c>
      <c r="V2694" s="547">
        <v>0</v>
      </c>
      <c r="W2694" s="528"/>
      <c r="X2694" s="711">
        <f t="shared" si="10794"/>
        <v>0</v>
      </c>
      <c r="Y2694" s="896" t="str">
        <f>IFERROR((X2695/X2694),"-")</f>
        <v>-</v>
      </c>
      <c r="Z2694" s="528"/>
      <c r="AA2694" s="898">
        <v>0</v>
      </c>
      <c r="AB2694" s="898">
        <v>0</v>
      </c>
      <c r="AC2694" s="903">
        <v>0</v>
      </c>
      <c r="AD2694" s="896" t="str">
        <f t="shared" ref="AD2694" si="10887">IFERROR((AC2694/AA2694),"-")</f>
        <v>-</v>
      </c>
      <c r="AE2694" s="2"/>
      <c r="AF2694" s="884">
        <v>1217</v>
      </c>
      <c r="AG2694" s="884"/>
      <c r="AH2694" s="884">
        <v>0</v>
      </c>
      <c r="AI2694" s="884"/>
      <c r="AJ2694" s="884"/>
      <c r="AK2694" s="884">
        <f t="shared" ref="AK2694" si="10888">AF2694+AG2694+AH2694+AI2694+AJ2694+AC2694</f>
        <v>1217</v>
      </c>
      <c r="AL2694" s="884">
        <v>1217</v>
      </c>
      <c r="AM2694" s="878">
        <f t="shared" ref="AM2694" si="10889">IFERROR((AK2694/AL2694),"-")</f>
        <v>1</v>
      </c>
      <c r="AN2694" s="2"/>
      <c r="AO2694" s="884">
        <v>1217</v>
      </c>
      <c r="AP2694" s="884">
        <f t="shared" ref="AP2694" si="10890">AO2694-AK2694</f>
        <v>0</v>
      </c>
      <c r="AV2694" t="str">
        <f t="shared" si="10630"/>
        <v xml:space="preserve">   Seg. 3.1- ADME 12 - Drenagem Superficial - Descida D´água</v>
      </c>
      <c r="AW2694" s="4" t="str">
        <f t="shared" si="10628"/>
        <v xml:space="preserve">   Seg. 2.3-C06 - Execução de sublastro</v>
      </c>
    </row>
    <row r="2695" spans="1:49" ht="15.6" customHeight="1" outlineLevel="2">
      <c r="A2695" s="8" t="str">
        <f t="shared" ref="A2695" si="10891">A2694</f>
        <v>N</v>
      </c>
      <c r="B2695" s="150"/>
      <c r="C2695" s="150" t="s">
        <v>2994</v>
      </c>
      <c r="D2695" s="120" t="s">
        <v>2995</v>
      </c>
      <c r="E2695" s="893"/>
      <c r="F2695" s="902"/>
      <c r="G2695" s="528"/>
      <c r="H2695" s="549" t="s">
        <v>38</v>
      </c>
      <c r="I2695" s="711">
        <v>0</v>
      </c>
      <c r="J2695" s="897"/>
      <c r="K2695" s="528"/>
      <c r="L2695" s="549" t="s">
        <v>38</v>
      </c>
      <c r="M2695" s="711">
        <f t="shared" si="10800"/>
        <v>0</v>
      </c>
      <c r="N2695" s="897"/>
      <c r="O2695" s="528"/>
      <c r="P2695" s="548">
        <v>0</v>
      </c>
      <c r="Q2695" s="548">
        <v>0</v>
      </c>
      <c r="R2695" s="548">
        <v>0</v>
      </c>
      <c r="S2695" s="548">
        <v>0</v>
      </c>
      <c r="T2695" s="548">
        <v>0</v>
      </c>
      <c r="U2695" s="548">
        <v>0</v>
      </c>
      <c r="V2695" s="548">
        <v>0</v>
      </c>
      <c r="W2695" s="528"/>
      <c r="X2695" s="711">
        <f t="shared" si="10794"/>
        <v>0</v>
      </c>
      <c r="Y2695" s="897"/>
      <c r="Z2695" s="528"/>
      <c r="AA2695" s="899"/>
      <c r="AB2695" s="899"/>
      <c r="AC2695" s="904"/>
      <c r="AD2695" s="905"/>
      <c r="AE2695" s="2"/>
      <c r="AF2695" s="885"/>
      <c r="AG2695" s="885"/>
      <c r="AH2695" s="885"/>
      <c r="AI2695" s="885"/>
      <c r="AJ2695" s="885"/>
      <c r="AK2695" s="885"/>
      <c r="AL2695" s="885"/>
      <c r="AM2695" s="879"/>
      <c r="AN2695" s="2"/>
      <c r="AO2695" s="886"/>
      <c r="AP2695" s="886"/>
      <c r="AV2695" t="str">
        <f t="shared" si="10630"/>
        <v xml:space="preserve">   Seg. 3.1- ADME 12 - Drenagem Superficial - Descida D´água</v>
      </c>
      <c r="AW2695" s="4" t="str">
        <f t="shared" si="10628"/>
        <v xml:space="preserve">   Seg. 2.3-C06 - Execução de sublastro</v>
      </c>
    </row>
    <row r="2696" spans="1:49" ht="15.6" customHeight="1" outlineLevel="2">
      <c r="A2696" s="8" t="str">
        <f t="shared" ref="A2696" si="10892">IF(SUM(P2696:V2697)&gt;0,"S","N")</f>
        <v>N</v>
      </c>
      <c r="B2696" s="150">
        <v>1052766</v>
      </c>
      <c r="C2696" s="150" t="s">
        <v>2997</v>
      </c>
      <c r="D2696" s="120" t="s">
        <v>2998</v>
      </c>
      <c r="E2696" s="892" t="s">
        <v>2999</v>
      </c>
      <c r="F2696" s="902" t="s">
        <v>36</v>
      </c>
      <c r="G2696" s="528"/>
      <c r="H2696" s="546" t="s">
        <v>37</v>
      </c>
      <c r="I2696" s="711">
        <v>0</v>
      </c>
      <c r="J2696" s="896" t="str">
        <f t="shared" ref="J2696" si="10893">IFERROR((I2697/I2696),"-")</f>
        <v>-</v>
      </c>
      <c r="K2696" s="528"/>
      <c r="L2696" s="546" t="s">
        <v>37</v>
      </c>
      <c r="M2696" s="711">
        <f t="shared" si="10800"/>
        <v>0</v>
      </c>
      <c r="N2696" s="896" t="str">
        <f t="shared" ref="N2696" si="10894">IFERROR((M2697/M2696),"-")</f>
        <v>-</v>
      </c>
      <c r="O2696" s="528"/>
      <c r="P2696" s="547">
        <v>0</v>
      </c>
      <c r="Q2696" s="547">
        <v>0</v>
      </c>
      <c r="R2696" s="547">
        <v>0</v>
      </c>
      <c r="S2696" s="547">
        <v>0</v>
      </c>
      <c r="T2696" s="547">
        <v>0</v>
      </c>
      <c r="U2696" s="547">
        <v>0</v>
      </c>
      <c r="V2696" s="547">
        <v>0</v>
      </c>
      <c r="W2696" s="528"/>
      <c r="X2696" s="711">
        <f t="shared" si="10794"/>
        <v>0</v>
      </c>
      <c r="Y2696" s="896" t="str">
        <f t="shared" ref="Y2696" si="10895">IFERROR((X2697/X2696),"-")</f>
        <v>-</v>
      </c>
      <c r="Z2696" s="528"/>
      <c r="AA2696" s="898">
        <v>0</v>
      </c>
      <c r="AB2696" s="898">
        <v>0</v>
      </c>
      <c r="AC2696" s="903">
        <v>0</v>
      </c>
      <c r="AD2696" s="896" t="str">
        <f t="shared" ref="AD2696" si="10896">IFERROR((AC2696/AA2696),"-")</f>
        <v>-</v>
      </c>
      <c r="AE2696" s="2"/>
      <c r="AF2696" s="884">
        <v>0</v>
      </c>
      <c r="AG2696" s="884"/>
      <c r="AH2696" s="884">
        <v>0</v>
      </c>
      <c r="AI2696" s="884"/>
      <c r="AJ2696" s="884"/>
      <c r="AK2696" s="884">
        <f t="shared" ref="AK2696" si="10897">AF2696+AG2696+AH2696+AI2696+AJ2696+AC2696</f>
        <v>0</v>
      </c>
      <c r="AL2696" s="884">
        <v>78</v>
      </c>
      <c r="AM2696" s="878">
        <f t="shared" ref="AM2696" si="10898">IFERROR((AK2696/AL2696),"-")</f>
        <v>0</v>
      </c>
      <c r="AN2696" s="2"/>
      <c r="AO2696" s="884">
        <v>78</v>
      </c>
      <c r="AP2696" s="884">
        <f t="shared" ref="AP2696" si="10899">AO2696-AK2696</f>
        <v>78</v>
      </c>
      <c r="AV2696" t="str">
        <f t="shared" si="10630"/>
        <v xml:space="preserve">   Seg. 3.1- ADME 12 - Drenagem Superficial - Descida D´água</v>
      </c>
      <c r="AW2696" s="4" t="str">
        <f t="shared" si="10628"/>
        <v xml:space="preserve">   Seg. 2.3-A07 - Execução de sublastro</v>
      </c>
    </row>
    <row r="2697" spans="1:49" ht="15.6" customHeight="1" outlineLevel="2">
      <c r="A2697" s="8" t="str">
        <f t="shared" ref="A2697" si="10900">A2696</f>
        <v>N</v>
      </c>
      <c r="B2697" s="150"/>
      <c r="C2697" s="150" t="s">
        <v>2997</v>
      </c>
      <c r="D2697" s="120" t="s">
        <v>2998</v>
      </c>
      <c r="E2697" s="893"/>
      <c r="F2697" s="902"/>
      <c r="G2697" s="528"/>
      <c r="H2697" s="549" t="s">
        <v>38</v>
      </c>
      <c r="I2697" s="711">
        <v>0</v>
      </c>
      <c r="J2697" s="897"/>
      <c r="K2697" s="528"/>
      <c r="L2697" s="549" t="s">
        <v>38</v>
      </c>
      <c r="M2697" s="711">
        <f t="shared" si="10800"/>
        <v>0</v>
      </c>
      <c r="N2697" s="897"/>
      <c r="O2697" s="528"/>
      <c r="P2697" s="548">
        <v>0</v>
      </c>
      <c r="Q2697" s="548">
        <v>0</v>
      </c>
      <c r="R2697" s="548">
        <v>0</v>
      </c>
      <c r="S2697" s="548">
        <v>0</v>
      </c>
      <c r="T2697" s="548">
        <v>0</v>
      </c>
      <c r="U2697" s="548">
        <v>0</v>
      </c>
      <c r="V2697" s="548">
        <v>0</v>
      </c>
      <c r="W2697" s="528"/>
      <c r="X2697" s="711">
        <f t="shared" si="10794"/>
        <v>0</v>
      </c>
      <c r="Y2697" s="897"/>
      <c r="Z2697" s="528"/>
      <c r="AA2697" s="899"/>
      <c r="AB2697" s="899"/>
      <c r="AC2697" s="904"/>
      <c r="AD2697" s="905"/>
      <c r="AE2697" s="2"/>
      <c r="AF2697" s="885"/>
      <c r="AG2697" s="885"/>
      <c r="AH2697" s="885"/>
      <c r="AI2697" s="885"/>
      <c r="AJ2697" s="885"/>
      <c r="AK2697" s="885"/>
      <c r="AL2697" s="885"/>
      <c r="AM2697" s="879"/>
      <c r="AN2697" s="2"/>
      <c r="AO2697" s="886"/>
      <c r="AP2697" s="886"/>
      <c r="AV2697" t="str">
        <f t="shared" si="10630"/>
        <v xml:space="preserve">   Seg. 3.1- ADME 12 - Drenagem Superficial - Descida D´água</v>
      </c>
      <c r="AW2697" s="4" t="str">
        <f t="shared" ref="AW2697:AW2760" si="10901">IF(E2697&lt;&gt;"",E2697,AW2696)</f>
        <v xml:space="preserve">   Seg. 2.3-A07 - Execução de sublastro</v>
      </c>
    </row>
    <row r="2698" spans="1:49" ht="15.6" customHeight="1" outlineLevel="2">
      <c r="A2698" s="8" t="str">
        <f t="shared" ref="A2698" si="10902">IF(SUM(P2698:V2699)&gt;0,"S","N")</f>
        <v>N</v>
      </c>
      <c r="B2698" s="150">
        <v>1052767</v>
      </c>
      <c r="C2698" s="150" t="s">
        <v>3000</v>
      </c>
      <c r="D2698" s="120" t="s">
        <v>3001</v>
      </c>
      <c r="E2698" s="892" t="s">
        <v>3002</v>
      </c>
      <c r="F2698" s="902" t="s">
        <v>36</v>
      </c>
      <c r="G2698" s="528"/>
      <c r="H2698" s="546" t="s">
        <v>37</v>
      </c>
      <c r="I2698" s="711">
        <v>0</v>
      </c>
      <c r="J2698" s="896" t="str">
        <f t="shared" ref="J2698" si="10903">IFERROR((I2699/I2698),"-")</f>
        <v>-</v>
      </c>
      <c r="K2698" s="528"/>
      <c r="L2698" s="546" t="s">
        <v>37</v>
      </c>
      <c r="M2698" s="711">
        <f t="shared" si="10800"/>
        <v>0</v>
      </c>
      <c r="N2698" s="896" t="str">
        <f t="shared" ref="N2698" si="10904">IFERROR((M2699/M2698),"-")</f>
        <v>-</v>
      </c>
      <c r="O2698" s="528"/>
      <c r="P2698" s="547">
        <v>0</v>
      </c>
      <c r="Q2698" s="547">
        <v>0</v>
      </c>
      <c r="R2698" s="547">
        <v>0</v>
      </c>
      <c r="S2698" s="547">
        <v>0</v>
      </c>
      <c r="T2698" s="547">
        <v>0</v>
      </c>
      <c r="U2698" s="547">
        <v>0</v>
      </c>
      <c r="V2698" s="547">
        <v>0</v>
      </c>
      <c r="W2698" s="528"/>
      <c r="X2698" s="711">
        <f t="shared" si="10794"/>
        <v>0</v>
      </c>
      <c r="Y2698" s="896" t="str">
        <f t="shared" ref="Y2698" si="10905">IFERROR((X2699/X2698),"-")</f>
        <v>-</v>
      </c>
      <c r="Z2698" s="528"/>
      <c r="AA2698" s="898">
        <v>0</v>
      </c>
      <c r="AB2698" s="898">
        <v>0</v>
      </c>
      <c r="AC2698" s="903">
        <v>0</v>
      </c>
      <c r="AD2698" s="896" t="str">
        <f t="shared" ref="AD2698" si="10906">IFERROR((AC2698/AA2698),"-")</f>
        <v>-</v>
      </c>
      <c r="AE2698" s="2"/>
      <c r="AF2698" s="884">
        <v>0</v>
      </c>
      <c r="AG2698" s="884"/>
      <c r="AH2698" s="884">
        <v>0</v>
      </c>
      <c r="AI2698" s="884"/>
      <c r="AJ2698" s="884"/>
      <c r="AK2698" s="884">
        <f t="shared" ref="AK2698" si="10907">AF2698+AG2698+AH2698+AI2698+AJ2698+AC2698</f>
        <v>0</v>
      </c>
      <c r="AL2698" s="884">
        <v>891.99000000000035</v>
      </c>
      <c r="AM2698" s="878">
        <f t="shared" ref="AM2698" si="10908">IFERROR((AK2698/AL2698),"-")</f>
        <v>0</v>
      </c>
      <c r="AN2698" s="2"/>
      <c r="AO2698" s="884">
        <v>892</v>
      </c>
      <c r="AP2698" s="884">
        <f t="shared" ref="AP2698" si="10909">AO2698-AK2698</f>
        <v>892</v>
      </c>
      <c r="AV2698" t="str">
        <f t="shared" ref="AV2698:AV2761" si="10910">IF(AX2698="Y",LEFT(E2698,20),IF(AX2698="x",E2698,AV2697))</f>
        <v xml:space="preserve">   Seg. 3.1- ADME 12 - Drenagem Superficial - Descida D´água</v>
      </c>
      <c r="AW2698" s="4" t="str">
        <f t="shared" si="10901"/>
        <v xml:space="preserve">   Seg. 2.3-C07 - Execução de sublastro</v>
      </c>
    </row>
    <row r="2699" spans="1:49" ht="15.6" customHeight="1" outlineLevel="2">
      <c r="A2699" s="8" t="str">
        <f t="shared" ref="A2699" si="10911">A2698</f>
        <v>N</v>
      </c>
      <c r="B2699" s="150"/>
      <c r="C2699" s="150" t="s">
        <v>3000</v>
      </c>
      <c r="D2699" s="120" t="s">
        <v>3001</v>
      </c>
      <c r="E2699" s="893"/>
      <c r="F2699" s="902"/>
      <c r="G2699" s="528"/>
      <c r="H2699" s="549" t="s">
        <v>38</v>
      </c>
      <c r="I2699" s="711">
        <v>0</v>
      </c>
      <c r="J2699" s="897"/>
      <c r="K2699" s="528"/>
      <c r="L2699" s="549" t="s">
        <v>38</v>
      </c>
      <c r="M2699" s="711">
        <f t="shared" si="10800"/>
        <v>0</v>
      </c>
      <c r="N2699" s="897"/>
      <c r="O2699" s="528"/>
      <c r="P2699" s="548">
        <v>0</v>
      </c>
      <c r="Q2699" s="548">
        <v>0</v>
      </c>
      <c r="R2699" s="548">
        <v>0</v>
      </c>
      <c r="S2699" s="548">
        <v>0</v>
      </c>
      <c r="T2699" s="548">
        <v>0</v>
      </c>
      <c r="U2699" s="548">
        <v>0</v>
      </c>
      <c r="V2699" s="548">
        <v>0</v>
      </c>
      <c r="W2699" s="528"/>
      <c r="X2699" s="711">
        <f t="shared" si="10794"/>
        <v>0</v>
      </c>
      <c r="Y2699" s="897"/>
      <c r="Z2699" s="528"/>
      <c r="AA2699" s="899"/>
      <c r="AB2699" s="899"/>
      <c r="AC2699" s="904"/>
      <c r="AD2699" s="905"/>
      <c r="AE2699" s="2"/>
      <c r="AF2699" s="885"/>
      <c r="AG2699" s="885"/>
      <c r="AH2699" s="885"/>
      <c r="AI2699" s="885"/>
      <c r="AJ2699" s="885"/>
      <c r="AK2699" s="885"/>
      <c r="AL2699" s="885"/>
      <c r="AM2699" s="879"/>
      <c r="AN2699" s="2"/>
      <c r="AO2699" s="886"/>
      <c r="AP2699" s="886"/>
      <c r="AV2699" t="str">
        <f t="shared" si="10910"/>
        <v xml:space="preserve">   Seg. 3.1- ADME 12 - Drenagem Superficial - Descida D´água</v>
      </c>
      <c r="AW2699" s="4" t="str">
        <f t="shared" si="10901"/>
        <v xml:space="preserve">   Seg. 2.3-C07 - Execução de sublastro</v>
      </c>
    </row>
    <row r="2700" spans="1:49" ht="15.6" customHeight="1" outlineLevel="2">
      <c r="A2700" s="8" t="str">
        <f t="shared" ref="A2700" si="10912">IF(SUM(P2700:V2701)&gt;0,"S","N")</f>
        <v>N</v>
      </c>
      <c r="B2700" s="150">
        <v>1052768</v>
      </c>
      <c r="C2700" s="150" t="s">
        <v>3003</v>
      </c>
      <c r="D2700" s="120" t="s">
        <v>3004</v>
      </c>
      <c r="E2700" s="892" t="s">
        <v>3005</v>
      </c>
      <c r="F2700" s="902" t="s">
        <v>36</v>
      </c>
      <c r="G2700" s="528"/>
      <c r="H2700" s="546" t="s">
        <v>37</v>
      </c>
      <c r="I2700" s="711">
        <v>0</v>
      </c>
      <c r="J2700" s="896" t="str">
        <f t="shared" ref="J2700" si="10913">IFERROR((I2701/I2700),"-")</f>
        <v>-</v>
      </c>
      <c r="K2700" s="528"/>
      <c r="L2700" s="546" t="s">
        <v>37</v>
      </c>
      <c r="M2700" s="711">
        <f t="shared" si="10800"/>
        <v>0</v>
      </c>
      <c r="N2700" s="896" t="str">
        <f t="shared" ref="N2700" si="10914">IFERROR((M2701/M2700),"-")</f>
        <v>-</v>
      </c>
      <c r="O2700" s="528"/>
      <c r="P2700" s="547">
        <v>0</v>
      </c>
      <c r="Q2700" s="547">
        <v>0</v>
      </c>
      <c r="R2700" s="547">
        <v>0</v>
      </c>
      <c r="S2700" s="547">
        <v>0</v>
      </c>
      <c r="T2700" s="547">
        <v>0</v>
      </c>
      <c r="U2700" s="547">
        <v>0</v>
      </c>
      <c r="V2700" s="547">
        <v>0</v>
      </c>
      <c r="W2700" s="528"/>
      <c r="X2700" s="711">
        <f t="shared" si="10794"/>
        <v>0</v>
      </c>
      <c r="Y2700" s="896" t="str">
        <f t="shared" ref="Y2700" si="10915">IFERROR((X2701/X2700),"-")</f>
        <v>-</v>
      </c>
      <c r="Z2700" s="528"/>
      <c r="AA2700" s="898">
        <v>0</v>
      </c>
      <c r="AB2700" s="898">
        <v>0</v>
      </c>
      <c r="AC2700" s="903">
        <v>0</v>
      </c>
      <c r="AD2700" s="896" t="str">
        <f t="shared" ref="AD2700" si="10916">IFERROR((AC2700/AA2700),"-")</f>
        <v>-</v>
      </c>
      <c r="AE2700" s="2"/>
      <c r="AF2700" s="884">
        <v>0</v>
      </c>
      <c r="AG2700" s="884"/>
      <c r="AH2700" s="884">
        <v>0</v>
      </c>
      <c r="AI2700" s="884"/>
      <c r="AJ2700" s="884"/>
      <c r="AK2700" s="884">
        <f t="shared" ref="AK2700" si="10917">AF2700+AG2700+AH2700+AI2700+AJ2700+AC2700</f>
        <v>0</v>
      </c>
      <c r="AL2700" s="884">
        <v>77.97999999999999</v>
      </c>
      <c r="AM2700" s="878">
        <f t="shared" ref="AM2700" si="10918">IFERROR((AK2700/AL2700),"-")</f>
        <v>0</v>
      </c>
      <c r="AN2700" s="2"/>
      <c r="AO2700" s="884">
        <v>78</v>
      </c>
      <c r="AP2700" s="884">
        <f t="shared" ref="AP2700" si="10919">AO2700-AK2700</f>
        <v>78</v>
      </c>
      <c r="AV2700" t="str">
        <f t="shared" si="10910"/>
        <v xml:space="preserve">   Seg. 3.1- ADME 12 - Drenagem Superficial - Descida D´água</v>
      </c>
      <c r="AW2700" s="4" t="str">
        <f t="shared" si="10901"/>
        <v xml:space="preserve">   Seg. 2.3-A08-Execução de sublastro</v>
      </c>
    </row>
    <row r="2701" spans="1:49" ht="15.6" customHeight="1" outlineLevel="2">
      <c r="A2701" s="8" t="str">
        <f t="shared" ref="A2701" si="10920">A2700</f>
        <v>N</v>
      </c>
      <c r="B2701" s="150"/>
      <c r="C2701" s="150" t="s">
        <v>3003</v>
      </c>
      <c r="D2701" s="120" t="s">
        <v>3004</v>
      </c>
      <c r="E2701" s="893"/>
      <c r="F2701" s="902"/>
      <c r="G2701" s="528"/>
      <c r="H2701" s="549" t="s">
        <v>38</v>
      </c>
      <c r="I2701" s="711">
        <v>0</v>
      </c>
      <c r="J2701" s="897"/>
      <c r="K2701" s="528"/>
      <c r="L2701" s="549" t="s">
        <v>38</v>
      </c>
      <c r="M2701" s="711">
        <f t="shared" si="10800"/>
        <v>0</v>
      </c>
      <c r="N2701" s="897"/>
      <c r="O2701" s="528"/>
      <c r="P2701" s="548">
        <v>0</v>
      </c>
      <c r="Q2701" s="548">
        <v>0</v>
      </c>
      <c r="R2701" s="548">
        <v>0</v>
      </c>
      <c r="S2701" s="548">
        <v>0</v>
      </c>
      <c r="T2701" s="548">
        <v>0</v>
      </c>
      <c r="U2701" s="548">
        <v>0</v>
      </c>
      <c r="V2701" s="548">
        <v>0</v>
      </c>
      <c r="W2701" s="528"/>
      <c r="X2701" s="711">
        <f t="shared" si="10794"/>
        <v>0</v>
      </c>
      <c r="Y2701" s="897"/>
      <c r="Z2701" s="528"/>
      <c r="AA2701" s="899"/>
      <c r="AB2701" s="899"/>
      <c r="AC2701" s="904"/>
      <c r="AD2701" s="905"/>
      <c r="AE2701" s="2"/>
      <c r="AF2701" s="885"/>
      <c r="AG2701" s="885"/>
      <c r="AH2701" s="885"/>
      <c r="AI2701" s="885"/>
      <c r="AJ2701" s="885"/>
      <c r="AK2701" s="885"/>
      <c r="AL2701" s="885"/>
      <c r="AM2701" s="879"/>
      <c r="AN2701" s="2"/>
      <c r="AO2701" s="886"/>
      <c r="AP2701" s="886"/>
      <c r="AV2701" t="str">
        <f t="shared" si="10910"/>
        <v xml:space="preserve">   Seg. 3.1- ADME 12 - Drenagem Superficial - Descida D´água</v>
      </c>
      <c r="AW2701" s="4" t="str">
        <f t="shared" si="10901"/>
        <v xml:space="preserve">   Seg. 2.3-A08-Execução de sublastro</v>
      </c>
    </row>
    <row r="2702" spans="1:49" ht="15.6" customHeight="1" outlineLevel="2">
      <c r="A2702" s="8" t="str">
        <f t="shared" ref="A2702" si="10921">IF(SUM(P2702:V2703)&gt;0,"S","N")</f>
        <v>N</v>
      </c>
      <c r="B2702" s="150">
        <v>1052772</v>
      </c>
      <c r="C2702" s="150" t="s">
        <v>3006</v>
      </c>
      <c r="D2702" s="120" t="s">
        <v>3007</v>
      </c>
      <c r="E2702" s="892" t="s">
        <v>3008</v>
      </c>
      <c r="F2702" s="902" t="s">
        <v>36</v>
      </c>
      <c r="G2702" s="528"/>
      <c r="H2702" s="546" t="s">
        <v>37</v>
      </c>
      <c r="I2702" s="711">
        <v>0</v>
      </c>
      <c r="J2702" s="896" t="str">
        <f t="shared" ref="J2702" si="10922">IFERROR((I2703/I2702),"-")</f>
        <v>-</v>
      </c>
      <c r="K2702" s="528"/>
      <c r="L2702" s="546" t="s">
        <v>37</v>
      </c>
      <c r="M2702" s="711">
        <f t="shared" si="10800"/>
        <v>0</v>
      </c>
      <c r="N2702" s="896" t="str">
        <f t="shared" ref="N2702" si="10923">IFERROR((M2703/M2702),"-")</f>
        <v>-</v>
      </c>
      <c r="O2702" s="528"/>
      <c r="P2702" s="547">
        <v>0</v>
      </c>
      <c r="Q2702" s="547">
        <v>0</v>
      </c>
      <c r="R2702" s="547">
        <v>0</v>
      </c>
      <c r="S2702" s="547">
        <v>0</v>
      </c>
      <c r="T2702" s="547">
        <v>0</v>
      </c>
      <c r="U2702" s="547">
        <v>0</v>
      </c>
      <c r="V2702" s="547">
        <v>0</v>
      </c>
      <c r="W2702" s="528"/>
      <c r="X2702" s="711">
        <f t="shared" si="10794"/>
        <v>0</v>
      </c>
      <c r="Y2702" s="896" t="str">
        <f t="shared" ref="Y2702" si="10924">IFERROR((X2703/X2702),"-")</f>
        <v>-</v>
      </c>
      <c r="Z2702" s="528"/>
      <c r="AA2702" s="898">
        <v>0</v>
      </c>
      <c r="AB2702" s="898">
        <v>0</v>
      </c>
      <c r="AC2702" s="903">
        <v>0</v>
      </c>
      <c r="AD2702" s="896" t="str">
        <f t="shared" ref="AD2702" si="10925">IFERROR((AC2702/AA2702),"-")</f>
        <v>-</v>
      </c>
      <c r="AE2702" s="2"/>
      <c r="AF2702" s="884">
        <v>0</v>
      </c>
      <c r="AG2702" s="884"/>
      <c r="AH2702" s="884">
        <v>0</v>
      </c>
      <c r="AI2702" s="884"/>
      <c r="AJ2702" s="884"/>
      <c r="AK2702" s="884">
        <f t="shared" ref="AK2702" si="10926">AF2702+AG2702+AH2702+AI2702+AJ2702+AC2702</f>
        <v>0</v>
      </c>
      <c r="AL2702" s="884">
        <v>232.95999999999992</v>
      </c>
      <c r="AM2702" s="878">
        <f t="shared" ref="AM2702" si="10927">IFERROR((AK2702/AL2702),"-")</f>
        <v>0</v>
      </c>
      <c r="AN2702" s="2"/>
      <c r="AO2702" s="884">
        <v>233</v>
      </c>
      <c r="AP2702" s="884">
        <f t="shared" ref="AP2702" si="10928">AO2702-AK2702</f>
        <v>233</v>
      </c>
      <c r="AV2702" t="str">
        <f t="shared" si="10910"/>
        <v xml:space="preserve">   Seg. 3.1- ADME 12 - Drenagem Superficial - Descida D´água</v>
      </c>
      <c r="AW2702" s="4" t="str">
        <f t="shared" si="10901"/>
        <v xml:space="preserve">   Seg. 2.3-A09-Execução de sublastro</v>
      </c>
    </row>
    <row r="2703" spans="1:49" ht="15.6" customHeight="1" outlineLevel="2">
      <c r="A2703" s="8" t="str">
        <f t="shared" ref="A2703" si="10929">A2702</f>
        <v>N</v>
      </c>
      <c r="B2703" s="150"/>
      <c r="C2703" s="150" t="s">
        <v>3006</v>
      </c>
      <c r="D2703" s="120" t="s">
        <v>3007</v>
      </c>
      <c r="E2703" s="893"/>
      <c r="F2703" s="902"/>
      <c r="G2703" s="528"/>
      <c r="H2703" s="549" t="s">
        <v>38</v>
      </c>
      <c r="I2703" s="711">
        <v>0</v>
      </c>
      <c r="J2703" s="897"/>
      <c r="K2703" s="528"/>
      <c r="L2703" s="549" t="s">
        <v>38</v>
      </c>
      <c r="M2703" s="711">
        <f t="shared" si="10800"/>
        <v>0</v>
      </c>
      <c r="N2703" s="897"/>
      <c r="O2703" s="528"/>
      <c r="P2703" s="548">
        <v>0</v>
      </c>
      <c r="Q2703" s="548">
        <v>0</v>
      </c>
      <c r="R2703" s="548">
        <v>0</v>
      </c>
      <c r="S2703" s="548">
        <v>0</v>
      </c>
      <c r="T2703" s="548">
        <v>0</v>
      </c>
      <c r="U2703" s="548">
        <v>0</v>
      </c>
      <c r="V2703" s="548">
        <v>0</v>
      </c>
      <c r="W2703" s="528"/>
      <c r="X2703" s="711">
        <f t="shared" si="10794"/>
        <v>0</v>
      </c>
      <c r="Y2703" s="897"/>
      <c r="Z2703" s="528"/>
      <c r="AA2703" s="899"/>
      <c r="AB2703" s="899"/>
      <c r="AC2703" s="904"/>
      <c r="AD2703" s="905"/>
      <c r="AE2703" s="2"/>
      <c r="AF2703" s="885"/>
      <c r="AG2703" s="885"/>
      <c r="AH2703" s="885"/>
      <c r="AI2703" s="885"/>
      <c r="AJ2703" s="885"/>
      <c r="AK2703" s="885"/>
      <c r="AL2703" s="885"/>
      <c r="AM2703" s="879"/>
      <c r="AN2703" s="2"/>
      <c r="AO2703" s="886"/>
      <c r="AP2703" s="886"/>
      <c r="AV2703" t="str">
        <f t="shared" si="10910"/>
        <v xml:space="preserve">   Seg. 3.1- ADME 12 - Drenagem Superficial - Descida D´água</v>
      </c>
      <c r="AW2703" s="4" t="str">
        <f t="shared" si="10901"/>
        <v xml:space="preserve">   Seg. 2.3-A09-Execução de sublastro</v>
      </c>
    </row>
    <row r="2704" spans="1:49" ht="15.6" customHeight="1" outlineLevel="2">
      <c r="A2704" s="8" t="str">
        <f t="shared" ref="A2704" si="10930">IF(SUM(P2704:V2705)&gt;0,"S","N")</f>
        <v>N</v>
      </c>
      <c r="B2704" s="150">
        <v>1052774</v>
      </c>
      <c r="C2704" s="150" t="s">
        <v>3009</v>
      </c>
      <c r="D2704" s="120" t="s">
        <v>3010</v>
      </c>
      <c r="E2704" s="892" t="s">
        <v>3011</v>
      </c>
      <c r="F2704" s="902" t="s">
        <v>36</v>
      </c>
      <c r="G2704" s="528"/>
      <c r="H2704" s="546" t="s">
        <v>37</v>
      </c>
      <c r="I2704" s="711">
        <v>0</v>
      </c>
      <c r="J2704" s="896" t="str">
        <f t="shared" ref="J2704" si="10931">IFERROR((I2705/I2704),"-")</f>
        <v>-</v>
      </c>
      <c r="K2704" s="528"/>
      <c r="L2704" s="546" t="s">
        <v>37</v>
      </c>
      <c r="M2704" s="711">
        <f t="shared" si="10800"/>
        <v>0</v>
      </c>
      <c r="N2704" s="896" t="str">
        <f t="shared" ref="N2704" si="10932">IFERROR((M2705/M2704),"-")</f>
        <v>-</v>
      </c>
      <c r="O2704" s="528"/>
      <c r="P2704" s="547">
        <v>0</v>
      </c>
      <c r="Q2704" s="547">
        <v>0</v>
      </c>
      <c r="R2704" s="547">
        <v>0</v>
      </c>
      <c r="S2704" s="547">
        <v>0</v>
      </c>
      <c r="T2704" s="547">
        <v>0</v>
      </c>
      <c r="U2704" s="547">
        <v>0</v>
      </c>
      <c r="V2704" s="547">
        <v>0</v>
      </c>
      <c r="W2704" s="528"/>
      <c r="X2704" s="711">
        <f t="shared" si="10794"/>
        <v>0</v>
      </c>
      <c r="Y2704" s="896" t="str">
        <f t="shared" ref="Y2704" si="10933">IFERROR((X2705/X2704),"-")</f>
        <v>-</v>
      </c>
      <c r="Z2704" s="528"/>
      <c r="AA2704" s="898">
        <v>0</v>
      </c>
      <c r="AB2704" s="898">
        <v>0</v>
      </c>
      <c r="AC2704" s="903">
        <v>0</v>
      </c>
      <c r="AD2704" s="896" t="str">
        <f t="shared" ref="AD2704" si="10934">IFERROR((AC2704/AA2704),"-")</f>
        <v>-</v>
      </c>
      <c r="AE2704" s="2"/>
      <c r="AF2704" s="884">
        <v>0</v>
      </c>
      <c r="AG2704" s="884"/>
      <c r="AH2704" s="884">
        <v>0</v>
      </c>
      <c r="AI2704" s="884"/>
      <c r="AJ2704" s="884"/>
      <c r="AK2704" s="884">
        <f t="shared" ref="AK2704" si="10935">AF2704+AG2704+AH2704+AI2704+AJ2704+AC2704</f>
        <v>0</v>
      </c>
      <c r="AL2704" s="884">
        <v>115.95999999999994</v>
      </c>
      <c r="AM2704" s="878">
        <f t="shared" ref="AM2704" si="10936">IFERROR((AK2704/AL2704),"-")</f>
        <v>0</v>
      </c>
      <c r="AN2704" s="2"/>
      <c r="AO2704" s="884">
        <v>116</v>
      </c>
      <c r="AP2704" s="884">
        <f t="shared" ref="AP2704" si="10937">AO2704-AK2704</f>
        <v>116</v>
      </c>
      <c r="AV2704" t="str">
        <f t="shared" si="10910"/>
        <v xml:space="preserve">   Seg. 3.1- ADME 12 - Drenagem Superficial - Descida D´água</v>
      </c>
      <c r="AW2704" s="4" t="str">
        <f t="shared" si="10901"/>
        <v xml:space="preserve">   Seg. 2.3-A11 - Execução de sublastro</v>
      </c>
    </row>
    <row r="2705" spans="1:49" ht="15.6" customHeight="1" outlineLevel="2">
      <c r="A2705" s="8" t="str">
        <f t="shared" ref="A2705" si="10938">A2704</f>
        <v>N</v>
      </c>
      <c r="B2705" s="150"/>
      <c r="C2705" s="150" t="s">
        <v>3009</v>
      </c>
      <c r="D2705" s="120" t="s">
        <v>3010</v>
      </c>
      <c r="E2705" s="893"/>
      <c r="F2705" s="902"/>
      <c r="G2705" s="528"/>
      <c r="H2705" s="549" t="s">
        <v>38</v>
      </c>
      <c r="I2705" s="711">
        <v>0</v>
      </c>
      <c r="J2705" s="897"/>
      <c r="K2705" s="528"/>
      <c r="L2705" s="549" t="s">
        <v>38</v>
      </c>
      <c r="M2705" s="711">
        <f t="shared" si="10800"/>
        <v>0</v>
      </c>
      <c r="N2705" s="897"/>
      <c r="O2705" s="528"/>
      <c r="P2705" s="548">
        <v>0</v>
      </c>
      <c r="Q2705" s="548">
        <v>0</v>
      </c>
      <c r="R2705" s="548">
        <v>0</v>
      </c>
      <c r="S2705" s="548">
        <v>0</v>
      </c>
      <c r="T2705" s="548">
        <v>0</v>
      </c>
      <c r="U2705" s="548">
        <v>0</v>
      </c>
      <c r="V2705" s="548">
        <v>0</v>
      </c>
      <c r="W2705" s="528"/>
      <c r="X2705" s="711">
        <f t="shared" si="10794"/>
        <v>0</v>
      </c>
      <c r="Y2705" s="897"/>
      <c r="Z2705" s="528"/>
      <c r="AA2705" s="899"/>
      <c r="AB2705" s="899"/>
      <c r="AC2705" s="904"/>
      <c r="AD2705" s="905"/>
      <c r="AE2705" s="2"/>
      <c r="AF2705" s="885"/>
      <c r="AG2705" s="885"/>
      <c r="AH2705" s="885"/>
      <c r="AI2705" s="885"/>
      <c r="AJ2705" s="885"/>
      <c r="AK2705" s="885"/>
      <c r="AL2705" s="885"/>
      <c r="AM2705" s="879"/>
      <c r="AN2705" s="2"/>
      <c r="AO2705" s="886"/>
      <c r="AP2705" s="886"/>
      <c r="AV2705" t="str">
        <f t="shared" si="10910"/>
        <v xml:space="preserve">   Seg. 3.1- ADME 12 - Drenagem Superficial - Descida D´água</v>
      </c>
      <c r="AW2705" s="4" t="str">
        <f t="shared" si="10901"/>
        <v xml:space="preserve">   Seg. 2.3-A11 - Execução de sublastro</v>
      </c>
    </row>
    <row r="2706" spans="1:49" ht="15.6" customHeight="1" outlineLevel="2">
      <c r="A2706" s="8" t="str">
        <f t="shared" ref="A2706" si="10939">IF(SUM(P2706:V2707)&gt;0,"S","N")</f>
        <v>N</v>
      </c>
      <c r="B2706" s="150">
        <v>1052775</v>
      </c>
      <c r="C2706" s="150" t="s">
        <v>3012</v>
      </c>
      <c r="D2706" s="120" t="s">
        <v>3013</v>
      </c>
      <c r="E2706" s="892" t="s">
        <v>3014</v>
      </c>
      <c r="F2706" s="902" t="s">
        <v>36</v>
      </c>
      <c r="G2706" s="528"/>
      <c r="H2706" s="546" t="s">
        <v>37</v>
      </c>
      <c r="I2706" s="711">
        <v>0</v>
      </c>
      <c r="J2706" s="896" t="str">
        <f t="shared" ref="J2706" si="10940">IFERROR((I2707/I2706),"-")</f>
        <v>-</v>
      </c>
      <c r="K2706" s="528"/>
      <c r="L2706" s="546" t="s">
        <v>37</v>
      </c>
      <c r="M2706" s="711">
        <f t="shared" si="10800"/>
        <v>0</v>
      </c>
      <c r="N2706" s="896" t="str">
        <f t="shared" ref="N2706" si="10941">IFERROR((M2707/M2706),"-")</f>
        <v>-</v>
      </c>
      <c r="O2706" s="528"/>
      <c r="P2706" s="547">
        <v>0</v>
      </c>
      <c r="Q2706" s="547">
        <v>0</v>
      </c>
      <c r="R2706" s="547">
        <v>0</v>
      </c>
      <c r="S2706" s="547">
        <v>0</v>
      </c>
      <c r="T2706" s="547">
        <v>0</v>
      </c>
      <c r="U2706" s="547">
        <v>0</v>
      </c>
      <c r="V2706" s="547">
        <v>0</v>
      </c>
      <c r="W2706" s="528"/>
      <c r="X2706" s="711">
        <f t="shared" si="10794"/>
        <v>0</v>
      </c>
      <c r="Y2706" s="896" t="str">
        <f>IFERROR((X2707/X2706),"-")</f>
        <v>-</v>
      </c>
      <c r="Z2706" s="528"/>
      <c r="AA2706" s="898">
        <v>0</v>
      </c>
      <c r="AB2706" s="898">
        <v>0</v>
      </c>
      <c r="AC2706" s="903">
        <v>0</v>
      </c>
      <c r="AD2706" s="896" t="str">
        <f t="shared" ref="AD2706" si="10942">IFERROR((AC2706/AA2706),"-")</f>
        <v>-</v>
      </c>
      <c r="AE2706" s="2"/>
      <c r="AF2706" s="884">
        <v>928</v>
      </c>
      <c r="AG2706" s="884"/>
      <c r="AH2706" s="884">
        <v>0</v>
      </c>
      <c r="AI2706" s="884"/>
      <c r="AJ2706" s="884"/>
      <c r="AK2706" s="884">
        <f t="shared" ref="AK2706" si="10943">AF2706+AG2706+AH2706+AI2706+AJ2706+AC2706</f>
        <v>928</v>
      </c>
      <c r="AL2706" s="884">
        <v>1047</v>
      </c>
      <c r="AM2706" s="878">
        <f t="shared" ref="AM2706" si="10944">IFERROR((AK2706/AL2706),"-")</f>
        <v>0.88634192932187206</v>
      </c>
      <c r="AN2706" s="2"/>
      <c r="AO2706" s="884">
        <v>1047</v>
      </c>
      <c r="AP2706" s="884">
        <f t="shared" ref="AP2706" si="10945">AO2706-AK2706</f>
        <v>119</v>
      </c>
      <c r="AV2706" t="str">
        <f t="shared" si="10910"/>
        <v xml:space="preserve">   Seg. 3.1- ADME 12 - Drenagem Superficial - Descida D´água</v>
      </c>
      <c r="AW2706" s="4" t="str">
        <f t="shared" si="10901"/>
        <v xml:space="preserve">   Seg. 2.3-A12-Execução de sublastro</v>
      </c>
    </row>
    <row r="2707" spans="1:49" ht="15.6" customHeight="1" outlineLevel="2">
      <c r="A2707" s="8" t="str">
        <f t="shared" ref="A2707" si="10946">A2706</f>
        <v>N</v>
      </c>
      <c r="B2707" s="150"/>
      <c r="C2707" s="150" t="s">
        <v>3012</v>
      </c>
      <c r="D2707" s="120" t="s">
        <v>3013</v>
      </c>
      <c r="E2707" s="893"/>
      <c r="F2707" s="902"/>
      <c r="G2707" s="528"/>
      <c r="H2707" s="549" t="s">
        <v>38</v>
      </c>
      <c r="I2707" s="711">
        <v>0</v>
      </c>
      <c r="J2707" s="897"/>
      <c r="K2707" s="528"/>
      <c r="L2707" s="549" t="s">
        <v>38</v>
      </c>
      <c r="M2707" s="711">
        <f t="shared" si="10800"/>
        <v>0</v>
      </c>
      <c r="N2707" s="897"/>
      <c r="O2707" s="528"/>
      <c r="P2707" s="548">
        <v>0</v>
      </c>
      <c r="Q2707" s="548">
        <v>0</v>
      </c>
      <c r="R2707" s="548">
        <v>0</v>
      </c>
      <c r="S2707" s="548">
        <v>0</v>
      </c>
      <c r="T2707" s="548">
        <v>0</v>
      </c>
      <c r="U2707" s="548">
        <v>0</v>
      </c>
      <c r="V2707" s="548">
        <v>0</v>
      </c>
      <c r="W2707" s="528"/>
      <c r="X2707" s="711">
        <f t="shared" si="10794"/>
        <v>0</v>
      </c>
      <c r="Y2707" s="897"/>
      <c r="Z2707" s="528"/>
      <c r="AA2707" s="899"/>
      <c r="AB2707" s="899"/>
      <c r="AC2707" s="904"/>
      <c r="AD2707" s="905"/>
      <c r="AE2707" s="2"/>
      <c r="AF2707" s="885"/>
      <c r="AG2707" s="885"/>
      <c r="AH2707" s="885"/>
      <c r="AI2707" s="885"/>
      <c r="AJ2707" s="885"/>
      <c r="AK2707" s="885"/>
      <c r="AL2707" s="885"/>
      <c r="AM2707" s="879"/>
      <c r="AN2707" s="2"/>
      <c r="AO2707" s="886"/>
      <c r="AP2707" s="886"/>
      <c r="AV2707" t="str">
        <f t="shared" si="10910"/>
        <v xml:space="preserve">   Seg. 3.1- ADME 12 - Drenagem Superficial - Descida D´água</v>
      </c>
      <c r="AW2707" s="4" t="str">
        <f t="shared" si="10901"/>
        <v xml:space="preserve">   Seg. 2.3-A12-Execução de sublastro</v>
      </c>
    </row>
    <row r="2708" spans="1:49" ht="15.6" customHeight="1" outlineLevel="2">
      <c r="A2708" s="8" t="str">
        <f t="shared" ref="A2708" si="10947">IF(SUM(P2708:V2709)&gt;0,"S","N")</f>
        <v>N</v>
      </c>
      <c r="B2708" s="150">
        <v>1052777</v>
      </c>
      <c r="C2708" s="150" t="s">
        <v>3015</v>
      </c>
      <c r="D2708" s="120" t="s">
        <v>3016</v>
      </c>
      <c r="E2708" s="892" t="s">
        <v>3017</v>
      </c>
      <c r="F2708" s="902" t="s">
        <v>36</v>
      </c>
      <c r="G2708" s="528"/>
      <c r="H2708" s="546" t="s">
        <v>37</v>
      </c>
      <c r="I2708" s="711">
        <v>0</v>
      </c>
      <c r="J2708" s="896" t="str">
        <f t="shared" ref="J2708" si="10948">IFERROR((I2709/I2708),"-")</f>
        <v>-</v>
      </c>
      <c r="K2708" s="528"/>
      <c r="L2708" s="546" t="s">
        <v>37</v>
      </c>
      <c r="M2708" s="711">
        <f t="shared" si="10800"/>
        <v>0</v>
      </c>
      <c r="N2708" s="896" t="str">
        <f t="shared" ref="N2708" si="10949">IFERROR((M2709/M2708),"-")</f>
        <v>-</v>
      </c>
      <c r="O2708" s="528"/>
      <c r="P2708" s="547">
        <v>0</v>
      </c>
      <c r="Q2708" s="547">
        <v>0</v>
      </c>
      <c r="R2708" s="547">
        <v>0</v>
      </c>
      <c r="S2708" s="547">
        <v>0</v>
      </c>
      <c r="T2708" s="547">
        <v>0</v>
      </c>
      <c r="U2708" s="547">
        <v>0</v>
      </c>
      <c r="V2708" s="547">
        <v>0</v>
      </c>
      <c r="W2708" s="528"/>
      <c r="X2708" s="711">
        <f t="shared" si="10794"/>
        <v>0</v>
      </c>
      <c r="Y2708" s="896" t="str">
        <f>IFERROR((X2709/X2708),"-")</f>
        <v>-</v>
      </c>
      <c r="Z2708" s="528"/>
      <c r="AA2708" s="898">
        <v>0</v>
      </c>
      <c r="AB2708" s="898">
        <v>0</v>
      </c>
      <c r="AC2708" s="903">
        <v>0</v>
      </c>
      <c r="AD2708" s="896" t="str">
        <f t="shared" ref="AD2708" si="10950">IFERROR((AC2708/AA2708),"-")</f>
        <v>-</v>
      </c>
      <c r="AE2708" s="2"/>
      <c r="AF2708" s="884">
        <v>580</v>
      </c>
      <c r="AG2708" s="884"/>
      <c r="AH2708" s="884">
        <v>0</v>
      </c>
      <c r="AI2708" s="884"/>
      <c r="AJ2708" s="884"/>
      <c r="AK2708" s="884">
        <f t="shared" ref="AK2708" si="10951">AF2708+AG2708+AH2708+AI2708+AJ2708+AC2708</f>
        <v>580</v>
      </c>
      <c r="AL2708" s="884">
        <v>619.99000000000024</v>
      </c>
      <c r="AM2708" s="878">
        <f t="shared" ref="AM2708" si="10952">IFERROR((AK2708/AL2708),"-")</f>
        <v>0.93549895966063934</v>
      </c>
      <c r="AN2708" s="2"/>
      <c r="AO2708" s="884">
        <v>620</v>
      </c>
      <c r="AP2708" s="884">
        <f t="shared" ref="AP2708" si="10953">AO2708-AK2708</f>
        <v>40</v>
      </c>
      <c r="AV2708" t="str">
        <f t="shared" si="10910"/>
        <v xml:space="preserve">   Seg. 3.1- ADME 12 - Drenagem Superficial - Descida D´água</v>
      </c>
      <c r="AW2708" s="4" t="str">
        <f t="shared" si="10901"/>
        <v xml:space="preserve">   Seg. 2.3-A13 - Execução de sublastro</v>
      </c>
    </row>
    <row r="2709" spans="1:49" ht="15.6" customHeight="1" outlineLevel="2">
      <c r="A2709" s="8" t="str">
        <f t="shared" ref="A2709" si="10954">A2708</f>
        <v>N</v>
      </c>
      <c r="B2709" s="150"/>
      <c r="C2709" s="150" t="s">
        <v>3015</v>
      </c>
      <c r="D2709" s="120" t="s">
        <v>3016</v>
      </c>
      <c r="E2709" s="893"/>
      <c r="F2709" s="902"/>
      <c r="G2709" s="528"/>
      <c r="H2709" s="549" t="s">
        <v>38</v>
      </c>
      <c r="I2709" s="711">
        <v>0</v>
      </c>
      <c r="J2709" s="897"/>
      <c r="K2709" s="528"/>
      <c r="L2709" s="549" t="s">
        <v>38</v>
      </c>
      <c r="M2709" s="711">
        <f t="shared" si="10800"/>
        <v>0</v>
      </c>
      <c r="N2709" s="897"/>
      <c r="O2709" s="528"/>
      <c r="P2709" s="548">
        <v>0</v>
      </c>
      <c r="Q2709" s="548">
        <v>0</v>
      </c>
      <c r="R2709" s="548">
        <v>0</v>
      </c>
      <c r="S2709" s="548">
        <v>0</v>
      </c>
      <c r="T2709" s="548">
        <v>0</v>
      </c>
      <c r="U2709" s="548">
        <v>0</v>
      </c>
      <c r="V2709" s="548">
        <v>0</v>
      </c>
      <c r="W2709" s="528"/>
      <c r="X2709" s="711">
        <f t="shared" si="10794"/>
        <v>0</v>
      </c>
      <c r="Y2709" s="897"/>
      <c r="Z2709" s="528"/>
      <c r="AA2709" s="899"/>
      <c r="AB2709" s="899"/>
      <c r="AC2709" s="904"/>
      <c r="AD2709" s="905"/>
      <c r="AE2709" s="2"/>
      <c r="AF2709" s="885"/>
      <c r="AG2709" s="885"/>
      <c r="AH2709" s="885"/>
      <c r="AI2709" s="885"/>
      <c r="AJ2709" s="885"/>
      <c r="AK2709" s="885"/>
      <c r="AL2709" s="885"/>
      <c r="AM2709" s="879"/>
      <c r="AN2709" s="2"/>
      <c r="AO2709" s="886"/>
      <c r="AP2709" s="886"/>
      <c r="AV2709" t="str">
        <f t="shared" si="10910"/>
        <v xml:space="preserve">   Seg. 3.1- ADME 12 - Drenagem Superficial - Descida D´água</v>
      </c>
      <c r="AW2709" s="4" t="str">
        <f t="shared" si="10901"/>
        <v xml:space="preserve">   Seg. 2.3-A13 - Execução de sublastro</v>
      </c>
    </row>
    <row r="2710" spans="1:49" ht="15.6" customHeight="1" outlineLevel="2">
      <c r="A2710" s="8" t="str">
        <f t="shared" ref="A2710" si="10955">IF(SUM(P2710:V2711)&gt;0,"S","N")</f>
        <v>N</v>
      </c>
      <c r="B2710" s="150">
        <v>1052779</v>
      </c>
      <c r="C2710" s="150" t="s">
        <v>3018</v>
      </c>
      <c r="D2710" s="120" t="s">
        <v>3019</v>
      </c>
      <c r="E2710" s="892" t="s">
        <v>3020</v>
      </c>
      <c r="F2710" s="902" t="s">
        <v>36</v>
      </c>
      <c r="G2710" s="528"/>
      <c r="H2710" s="546" t="s">
        <v>37</v>
      </c>
      <c r="I2710" s="711">
        <v>0</v>
      </c>
      <c r="J2710" s="896" t="str">
        <f t="shared" ref="J2710" si="10956">IFERROR((I2711/I2710),"-")</f>
        <v>-</v>
      </c>
      <c r="K2710" s="528"/>
      <c r="L2710" s="546" t="s">
        <v>37</v>
      </c>
      <c r="M2710" s="711">
        <f t="shared" si="10800"/>
        <v>0</v>
      </c>
      <c r="N2710" s="896" t="str">
        <f t="shared" ref="N2710" si="10957">IFERROR((M2711/M2710),"-")</f>
        <v>-</v>
      </c>
      <c r="O2710" s="528"/>
      <c r="P2710" s="547">
        <v>0</v>
      </c>
      <c r="Q2710" s="547">
        <v>0</v>
      </c>
      <c r="R2710" s="547">
        <v>0</v>
      </c>
      <c r="S2710" s="547">
        <v>0</v>
      </c>
      <c r="T2710" s="547">
        <v>0</v>
      </c>
      <c r="U2710" s="547">
        <v>0</v>
      </c>
      <c r="V2710" s="547">
        <v>0</v>
      </c>
      <c r="W2710" s="528"/>
      <c r="X2710" s="711">
        <f t="shared" si="10794"/>
        <v>0</v>
      </c>
      <c r="Y2710" s="896" t="str">
        <f>IFERROR((X2711/X2710),"-")</f>
        <v>-</v>
      </c>
      <c r="Z2710" s="528"/>
      <c r="AA2710" s="898">
        <v>0</v>
      </c>
      <c r="AB2710" s="898">
        <v>0</v>
      </c>
      <c r="AC2710" s="903">
        <v>0</v>
      </c>
      <c r="AD2710" s="896" t="str">
        <f t="shared" ref="AD2710" si="10958">IFERROR((AC2710/AA2710),"-")</f>
        <v>-</v>
      </c>
      <c r="AE2710" s="2"/>
      <c r="AF2710" s="884">
        <v>252</v>
      </c>
      <c r="AG2710" s="884"/>
      <c r="AH2710" s="884">
        <v>0</v>
      </c>
      <c r="AI2710" s="884"/>
      <c r="AJ2710" s="884"/>
      <c r="AK2710" s="884">
        <f t="shared" ref="AK2710" si="10959">AF2710+AG2710+AH2710+AI2710+AJ2710+AC2710</f>
        <v>252</v>
      </c>
      <c r="AL2710" s="884">
        <v>252</v>
      </c>
      <c r="AM2710" s="878">
        <f t="shared" ref="AM2710" si="10960">IFERROR((AK2710/AL2710),"-")</f>
        <v>1</v>
      </c>
      <c r="AN2710" s="2"/>
      <c r="AO2710" s="884">
        <v>252</v>
      </c>
      <c r="AP2710" s="884">
        <f t="shared" ref="AP2710" si="10961">AO2710-AK2710</f>
        <v>0</v>
      </c>
      <c r="AV2710" t="str">
        <f t="shared" si="10910"/>
        <v xml:space="preserve">   Seg. 3.1- ADME 12 - Drenagem Superficial - Descida D´água</v>
      </c>
      <c r="AW2710" s="4" t="str">
        <f t="shared" si="10901"/>
        <v xml:space="preserve">   Seg. 2.3-A14 - Execução de sublastro</v>
      </c>
    </row>
    <row r="2711" spans="1:49" ht="15.6" customHeight="1" outlineLevel="2">
      <c r="A2711" s="8" t="str">
        <f t="shared" ref="A2711" si="10962">A2710</f>
        <v>N</v>
      </c>
      <c r="B2711" s="150"/>
      <c r="C2711" s="150" t="s">
        <v>3018</v>
      </c>
      <c r="D2711" s="120" t="s">
        <v>3019</v>
      </c>
      <c r="E2711" s="893"/>
      <c r="F2711" s="902"/>
      <c r="G2711" s="528"/>
      <c r="H2711" s="549" t="s">
        <v>38</v>
      </c>
      <c r="I2711" s="711">
        <v>0</v>
      </c>
      <c r="J2711" s="897"/>
      <c r="K2711" s="528"/>
      <c r="L2711" s="549" t="s">
        <v>38</v>
      </c>
      <c r="M2711" s="711">
        <f t="shared" si="10800"/>
        <v>0</v>
      </c>
      <c r="N2711" s="897"/>
      <c r="O2711" s="528"/>
      <c r="P2711" s="548">
        <v>0</v>
      </c>
      <c r="Q2711" s="548">
        <v>0</v>
      </c>
      <c r="R2711" s="548">
        <v>0</v>
      </c>
      <c r="S2711" s="548">
        <v>0</v>
      </c>
      <c r="T2711" s="548">
        <v>0</v>
      </c>
      <c r="U2711" s="548">
        <v>0</v>
      </c>
      <c r="V2711" s="548">
        <v>0</v>
      </c>
      <c r="W2711" s="528"/>
      <c r="X2711" s="711">
        <f t="shared" si="10794"/>
        <v>0</v>
      </c>
      <c r="Y2711" s="897"/>
      <c r="Z2711" s="528"/>
      <c r="AA2711" s="899"/>
      <c r="AB2711" s="899"/>
      <c r="AC2711" s="904"/>
      <c r="AD2711" s="905"/>
      <c r="AE2711" s="2"/>
      <c r="AF2711" s="885"/>
      <c r="AG2711" s="885"/>
      <c r="AH2711" s="885"/>
      <c r="AI2711" s="885"/>
      <c r="AJ2711" s="885"/>
      <c r="AK2711" s="885"/>
      <c r="AL2711" s="885"/>
      <c r="AM2711" s="879"/>
      <c r="AN2711" s="2"/>
      <c r="AO2711" s="886"/>
      <c r="AP2711" s="886"/>
      <c r="AV2711" t="str">
        <f t="shared" si="10910"/>
        <v xml:space="preserve">   Seg. 3.1- ADME 12 - Drenagem Superficial - Descida D´água</v>
      </c>
      <c r="AW2711" s="4" t="str">
        <f t="shared" si="10901"/>
        <v xml:space="preserve">   Seg. 2.3-A14 - Execução de sublastro</v>
      </c>
    </row>
    <row r="2712" spans="1:49" ht="15.6" customHeight="1" outlineLevel="2">
      <c r="A2712" s="8" t="str">
        <f t="shared" ref="A2712" si="10963">IF(SUM(P2712:V2713)&gt;0,"S","N")</f>
        <v>N</v>
      </c>
      <c r="B2712" s="150">
        <v>1052781</v>
      </c>
      <c r="C2712" s="150" t="s">
        <v>3021</v>
      </c>
      <c r="D2712" s="120" t="s">
        <v>3022</v>
      </c>
      <c r="E2712" s="892" t="s">
        <v>3023</v>
      </c>
      <c r="F2712" s="902" t="s">
        <v>36</v>
      </c>
      <c r="G2712" s="528"/>
      <c r="H2712" s="546" t="s">
        <v>37</v>
      </c>
      <c r="I2712" s="711">
        <v>0</v>
      </c>
      <c r="J2712" s="896" t="str">
        <f t="shared" ref="J2712" si="10964">IFERROR((I2713/I2712),"-")</f>
        <v>-</v>
      </c>
      <c r="K2712" s="528"/>
      <c r="L2712" s="546" t="s">
        <v>37</v>
      </c>
      <c r="M2712" s="711">
        <f t="shared" si="10800"/>
        <v>0</v>
      </c>
      <c r="N2712" s="896" t="str">
        <f t="shared" ref="N2712" si="10965">IFERROR((M2713/M2712),"-")</f>
        <v>-</v>
      </c>
      <c r="O2712" s="528"/>
      <c r="P2712" s="547">
        <v>0</v>
      </c>
      <c r="Q2712" s="547">
        <v>0</v>
      </c>
      <c r="R2712" s="547">
        <v>0</v>
      </c>
      <c r="S2712" s="547">
        <v>0</v>
      </c>
      <c r="T2712" s="547">
        <v>0</v>
      </c>
      <c r="U2712" s="547">
        <v>0</v>
      </c>
      <c r="V2712" s="547">
        <v>0</v>
      </c>
      <c r="W2712" s="528"/>
      <c r="X2712" s="711">
        <f t="shared" si="10794"/>
        <v>0</v>
      </c>
      <c r="Y2712" s="896" t="str">
        <f t="shared" ref="Y2712" si="10966">IFERROR((X2713/X2712),"-")</f>
        <v>-</v>
      </c>
      <c r="Z2712" s="528"/>
      <c r="AA2712" s="898">
        <v>0</v>
      </c>
      <c r="AB2712" s="898">
        <v>0</v>
      </c>
      <c r="AC2712" s="903">
        <v>0</v>
      </c>
      <c r="AD2712" s="896" t="str">
        <f t="shared" ref="AD2712" si="10967">IFERROR((AC2712/AA2712),"-")</f>
        <v>-</v>
      </c>
      <c r="AE2712" s="2"/>
      <c r="AF2712" s="884">
        <v>1532.55</v>
      </c>
      <c r="AG2712" s="884"/>
      <c r="AH2712" s="884">
        <v>0</v>
      </c>
      <c r="AI2712" s="884"/>
      <c r="AJ2712" s="884"/>
      <c r="AK2712" s="884">
        <f t="shared" ref="AK2712" si="10968">AF2712+AG2712+AH2712+AI2712+AJ2712+AC2712</f>
        <v>1532.55</v>
      </c>
      <c r="AL2712" s="884">
        <v>1589.94</v>
      </c>
      <c r="AM2712" s="878">
        <f t="shared" ref="AM2712" si="10969">IFERROR((AK2712/AL2712),"-")</f>
        <v>0.96390429827540658</v>
      </c>
      <c r="AN2712" s="2"/>
      <c r="AO2712" s="884">
        <v>1590</v>
      </c>
      <c r="AP2712" s="884">
        <f t="shared" ref="AP2712" si="10970">AO2712-AK2712</f>
        <v>57.450000000000045</v>
      </c>
      <c r="AV2712" t="str">
        <f t="shared" si="10910"/>
        <v xml:space="preserve">   Seg. 3.1- ADME 12 - Drenagem Superficial - Descida D´água</v>
      </c>
      <c r="AW2712" s="4" t="str">
        <f t="shared" si="10901"/>
        <v xml:space="preserve">   Seg. 2.3-A15 - Execução de sublastro</v>
      </c>
    </row>
    <row r="2713" spans="1:49" ht="15.6" customHeight="1" outlineLevel="2">
      <c r="A2713" s="8" t="str">
        <f t="shared" ref="A2713" si="10971">A2712</f>
        <v>N</v>
      </c>
      <c r="B2713" s="150"/>
      <c r="C2713" s="150" t="s">
        <v>3021</v>
      </c>
      <c r="D2713" s="120" t="s">
        <v>3022</v>
      </c>
      <c r="E2713" s="893"/>
      <c r="F2713" s="902"/>
      <c r="G2713" s="528"/>
      <c r="H2713" s="549" t="s">
        <v>38</v>
      </c>
      <c r="I2713" s="711">
        <v>0</v>
      </c>
      <c r="J2713" s="897"/>
      <c r="K2713" s="528"/>
      <c r="L2713" s="549" t="s">
        <v>38</v>
      </c>
      <c r="M2713" s="711">
        <f t="shared" si="10800"/>
        <v>0</v>
      </c>
      <c r="N2713" s="897"/>
      <c r="O2713" s="528"/>
      <c r="P2713" s="548">
        <v>0</v>
      </c>
      <c r="Q2713" s="548">
        <v>0</v>
      </c>
      <c r="R2713" s="548">
        <v>0</v>
      </c>
      <c r="S2713" s="548">
        <v>0</v>
      </c>
      <c r="T2713" s="548">
        <v>0</v>
      </c>
      <c r="U2713" s="548">
        <v>0</v>
      </c>
      <c r="V2713" s="548">
        <v>0</v>
      </c>
      <c r="W2713" s="528"/>
      <c r="X2713" s="711">
        <f t="shared" si="10794"/>
        <v>0</v>
      </c>
      <c r="Y2713" s="897"/>
      <c r="Z2713" s="528"/>
      <c r="AA2713" s="899"/>
      <c r="AB2713" s="899"/>
      <c r="AC2713" s="904"/>
      <c r="AD2713" s="905"/>
      <c r="AE2713" s="2"/>
      <c r="AF2713" s="885"/>
      <c r="AG2713" s="885"/>
      <c r="AH2713" s="885"/>
      <c r="AI2713" s="885"/>
      <c r="AJ2713" s="885"/>
      <c r="AK2713" s="885"/>
      <c r="AL2713" s="885"/>
      <c r="AM2713" s="879"/>
      <c r="AN2713" s="2"/>
      <c r="AO2713" s="886"/>
      <c r="AP2713" s="886"/>
      <c r="AV2713" t="str">
        <f t="shared" si="10910"/>
        <v xml:space="preserve">   Seg. 3.1- ADME 12 - Drenagem Superficial - Descida D´água</v>
      </c>
      <c r="AW2713" s="4" t="str">
        <f t="shared" si="10901"/>
        <v xml:space="preserve">   Seg. 2.3-A15 - Execução de sublastro</v>
      </c>
    </row>
    <row r="2714" spans="1:49" ht="15.6" customHeight="1" outlineLevel="2">
      <c r="A2714" s="8" t="str">
        <f t="shared" ref="A2714" si="10972">IF(SUM(P2714:V2715)&gt;0,"S","N")</f>
        <v>N</v>
      </c>
      <c r="B2714" s="150">
        <v>1057281</v>
      </c>
      <c r="C2714" s="150" t="s">
        <v>3024</v>
      </c>
      <c r="D2714" s="120" t="s">
        <v>3025</v>
      </c>
      <c r="E2714" s="892" t="s">
        <v>3026</v>
      </c>
      <c r="F2714" s="902" t="s">
        <v>36</v>
      </c>
      <c r="G2714" s="528"/>
      <c r="H2714" s="546" t="s">
        <v>37</v>
      </c>
      <c r="I2714" s="711">
        <v>0</v>
      </c>
      <c r="J2714" s="896" t="str">
        <f t="shared" ref="J2714" si="10973">IFERROR((I2715/I2714),"-")</f>
        <v>-</v>
      </c>
      <c r="K2714" s="528"/>
      <c r="L2714" s="546" t="s">
        <v>37</v>
      </c>
      <c r="M2714" s="711">
        <f t="shared" si="10800"/>
        <v>0</v>
      </c>
      <c r="N2714" s="896" t="str">
        <f t="shared" ref="N2714" si="10974">IFERROR((M2715/M2714),"-")</f>
        <v>-</v>
      </c>
      <c r="O2714" s="528"/>
      <c r="P2714" s="547">
        <v>0</v>
      </c>
      <c r="Q2714" s="547">
        <v>0</v>
      </c>
      <c r="R2714" s="547">
        <v>0</v>
      </c>
      <c r="S2714" s="547">
        <v>0</v>
      </c>
      <c r="T2714" s="547">
        <v>0</v>
      </c>
      <c r="U2714" s="547">
        <v>0</v>
      </c>
      <c r="V2714" s="547">
        <v>0</v>
      </c>
      <c r="W2714" s="528"/>
      <c r="X2714" s="711">
        <f t="shared" si="10794"/>
        <v>0</v>
      </c>
      <c r="Y2714" s="896" t="str">
        <f t="shared" ref="Y2714" si="10975">IFERROR((X2715/X2714),"-")</f>
        <v>-</v>
      </c>
      <c r="Z2714" s="528"/>
      <c r="AA2714" s="898">
        <v>0</v>
      </c>
      <c r="AB2714" s="898">
        <v>0</v>
      </c>
      <c r="AC2714" s="903">
        <v>0</v>
      </c>
      <c r="AD2714" s="896" t="str">
        <f t="shared" ref="AD2714" si="10976">IFERROR((AC2714/AA2714),"-")</f>
        <v>-</v>
      </c>
      <c r="AE2714" s="2"/>
      <c r="AF2714" s="884">
        <v>0</v>
      </c>
      <c r="AG2714" s="884"/>
      <c r="AH2714" s="884">
        <v>0</v>
      </c>
      <c r="AI2714" s="884"/>
      <c r="AJ2714" s="884"/>
      <c r="AK2714" s="884">
        <f t="shared" ref="AK2714" si="10977">AF2714+AG2714+AH2714+AI2714+AJ2714+AC2714</f>
        <v>0</v>
      </c>
      <c r="AL2714" s="884">
        <v>77.97999999999999</v>
      </c>
      <c r="AM2714" s="878">
        <f t="shared" ref="AM2714" si="10978">IFERROR((AK2714/AL2714),"-")</f>
        <v>0</v>
      </c>
      <c r="AN2714" s="2"/>
      <c r="AO2714" s="884">
        <v>78</v>
      </c>
      <c r="AP2714" s="884">
        <f t="shared" ref="AP2714" si="10979">AO2714-AK2714</f>
        <v>78</v>
      </c>
      <c r="AV2714" t="str">
        <f t="shared" si="10910"/>
        <v xml:space="preserve">   Seg. 3.1- ADME 12 - Drenagem Superficial - Descida D´água</v>
      </c>
      <c r="AW2714" s="4" t="str">
        <f t="shared" si="10901"/>
        <v xml:space="preserve">   Seg. 2.3-C09-Execução de sublastro</v>
      </c>
    </row>
    <row r="2715" spans="1:49" ht="15.6" customHeight="1" outlineLevel="2">
      <c r="A2715" s="8" t="str">
        <f t="shared" ref="A2715" si="10980">A2714</f>
        <v>N</v>
      </c>
      <c r="B2715" s="150"/>
      <c r="C2715" s="150" t="s">
        <v>3024</v>
      </c>
      <c r="D2715" s="120" t="s">
        <v>3025</v>
      </c>
      <c r="E2715" s="893"/>
      <c r="F2715" s="902"/>
      <c r="G2715" s="528"/>
      <c r="H2715" s="549" t="s">
        <v>38</v>
      </c>
      <c r="I2715" s="711">
        <v>0</v>
      </c>
      <c r="J2715" s="897"/>
      <c r="K2715" s="528"/>
      <c r="L2715" s="549" t="s">
        <v>38</v>
      </c>
      <c r="M2715" s="711">
        <f t="shared" si="10800"/>
        <v>0</v>
      </c>
      <c r="N2715" s="897"/>
      <c r="O2715" s="528"/>
      <c r="P2715" s="548">
        <v>0</v>
      </c>
      <c r="Q2715" s="548">
        <v>0</v>
      </c>
      <c r="R2715" s="548">
        <v>0</v>
      </c>
      <c r="S2715" s="548">
        <v>0</v>
      </c>
      <c r="T2715" s="548">
        <v>0</v>
      </c>
      <c r="U2715" s="548">
        <v>0</v>
      </c>
      <c r="V2715" s="548">
        <v>0</v>
      </c>
      <c r="W2715" s="528"/>
      <c r="X2715" s="711">
        <f t="shared" si="10794"/>
        <v>0</v>
      </c>
      <c r="Y2715" s="897"/>
      <c r="Z2715" s="528"/>
      <c r="AA2715" s="899"/>
      <c r="AB2715" s="899"/>
      <c r="AC2715" s="904"/>
      <c r="AD2715" s="905"/>
      <c r="AE2715" s="2"/>
      <c r="AF2715" s="885"/>
      <c r="AG2715" s="885"/>
      <c r="AH2715" s="885"/>
      <c r="AI2715" s="885"/>
      <c r="AJ2715" s="885"/>
      <c r="AK2715" s="885"/>
      <c r="AL2715" s="885"/>
      <c r="AM2715" s="879"/>
      <c r="AN2715" s="2"/>
      <c r="AO2715" s="886"/>
      <c r="AP2715" s="886"/>
      <c r="AV2715" t="str">
        <f t="shared" si="10910"/>
        <v xml:space="preserve">   Seg. 3.1- ADME 12 - Drenagem Superficial - Descida D´água</v>
      </c>
      <c r="AW2715" s="4" t="str">
        <f t="shared" si="10901"/>
        <v xml:space="preserve">   Seg. 2.3-C09-Execução de sublastro</v>
      </c>
    </row>
    <row r="2716" spans="1:49" ht="15.6" customHeight="1" outlineLevel="2">
      <c r="A2716" s="8" t="str">
        <f t="shared" ref="A2716" si="10981">IF(SUM(P2716:V2717)&gt;0,"S","N")</f>
        <v>N</v>
      </c>
      <c r="B2716" s="150">
        <v>1057282</v>
      </c>
      <c r="C2716" s="150" t="s">
        <v>3027</v>
      </c>
      <c r="D2716" s="120" t="s">
        <v>3028</v>
      </c>
      <c r="E2716" s="892" t="s">
        <v>3029</v>
      </c>
      <c r="F2716" s="902" t="s">
        <v>36</v>
      </c>
      <c r="G2716" s="528"/>
      <c r="H2716" s="546" t="s">
        <v>37</v>
      </c>
      <c r="I2716" s="711">
        <v>0</v>
      </c>
      <c r="J2716" s="896" t="str">
        <f t="shared" ref="J2716" si="10982">IFERROR((I2717/I2716),"-")</f>
        <v>-</v>
      </c>
      <c r="K2716" s="528"/>
      <c r="L2716" s="546" t="s">
        <v>37</v>
      </c>
      <c r="M2716" s="711">
        <f t="shared" si="10800"/>
        <v>0</v>
      </c>
      <c r="N2716" s="896" t="str">
        <f t="shared" ref="N2716" si="10983">IFERROR((M2717/M2716),"-")</f>
        <v>-</v>
      </c>
      <c r="O2716" s="528"/>
      <c r="P2716" s="547">
        <v>0</v>
      </c>
      <c r="Q2716" s="547">
        <v>0</v>
      </c>
      <c r="R2716" s="547">
        <v>0</v>
      </c>
      <c r="S2716" s="547">
        <v>0</v>
      </c>
      <c r="T2716" s="547">
        <v>0</v>
      </c>
      <c r="U2716" s="547">
        <v>0</v>
      </c>
      <c r="V2716" s="547">
        <v>0</v>
      </c>
      <c r="W2716" s="528"/>
      <c r="X2716" s="711">
        <f t="shared" si="10794"/>
        <v>0</v>
      </c>
      <c r="Y2716" s="896" t="str">
        <f t="shared" ref="Y2716" si="10984">IFERROR((X2717/X2716),"-")</f>
        <v>-</v>
      </c>
      <c r="Z2716" s="528"/>
      <c r="AA2716" s="898">
        <v>0</v>
      </c>
      <c r="AB2716" s="898">
        <v>0</v>
      </c>
      <c r="AC2716" s="903">
        <v>0</v>
      </c>
      <c r="AD2716" s="896" t="str">
        <f t="shared" ref="AD2716" si="10985">IFERROR((AC2716/AA2716),"-")</f>
        <v>-</v>
      </c>
      <c r="AE2716" s="2"/>
      <c r="AF2716" s="884">
        <v>0</v>
      </c>
      <c r="AG2716" s="884"/>
      <c r="AH2716" s="884">
        <v>0</v>
      </c>
      <c r="AI2716" s="884"/>
      <c r="AJ2716" s="884"/>
      <c r="AK2716" s="884">
        <f t="shared" ref="AK2716" si="10986">AF2716+AG2716+AH2716+AI2716+AJ2716+AC2716</f>
        <v>0</v>
      </c>
      <c r="AL2716" s="884">
        <v>853.01999999999975</v>
      </c>
      <c r="AM2716" s="878">
        <f t="shared" ref="AM2716" si="10987">IFERROR((AK2716/AL2716),"-")</f>
        <v>0</v>
      </c>
      <c r="AN2716" s="2"/>
      <c r="AO2716" s="884">
        <v>853</v>
      </c>
      <c r="AP2716" s="884">
        <f t="shared" ref="AP2716" si="10988">AO2716-AK2716</f>
        <v>853</v>
      </c>
      <c r="AV2716" t="str">
        <f t="shared" si="10910"/>
        <v xml:space="preserve">   Seg. 3.1- ADME 12 - Drenagem Superficial - Descida D´água</v>
      </c>
      <c r="AW2716" s="4" t="str">
        <f t="shared" si="10901"/>
        <v xml:space="preserve">   Seg. 2.3-C10 - Execução de sublastro</v>
      </c>
    </row>
    <row r="2717" spans="1:49" ht="15.6" customHeight="1" outlineLevel="2">
      <c r="A2717" s="8" t="str">
        <f t="shared" ref="A2717" si="10989">A2716</f>
        <v>N</v>
      </c>
      <c r="B2717" s="150"/>
      <c r="C2717" s="150" t="s">
        <v>3027</v>
      </c>
      <c r="D2717" s="120" t="s">
        <v>3028</v>
      </c>
      <c r="E2717" s="893"/>
      <c r="F2717" s="902"/>
      <c r="G2717" s="528"/>
      <c r="H2717" s="549" t="s">
        <v>38</v>
      </c>
      <c r="I2717" s="711">
        <v>0</v>
      </c>
      <c r="J2717" s="897"/>
      <c r="K2717" s="528"/>
      <c r="L2717" s="549" t="s">
        <v>38</v>
      </c>
      <c r="M2717" s="711">
        <f t="shared" si="10800"/>
        <v>0</v>
      </c>
      <c r="N2717" s="897"/>
      <c r="O2717" s="528"/>
      <c r="P2717" s="548">
        <v>0</v>
      </c>
      <c r="Q2717" s="548">
        <v>0</v>
      </c>
      <c r="R2717" s="548">
        <v>0</v>
      </c>
      <c r="S2717" s="548">
        <v>0</v>
      </c>
      <c r="T2717" s="548">
        <v>0</v>
      </c>
      <c r="U2717" s="548">
        <v>0</v>
      </c>
      <c r="V2717" s="548">
        <v>0</v>
      </c>
      <c r="W2717" s="528"/>
      <c r="X2717" s="711">
        <f t="shared" si="10794"/>
        <v>0</v>
      </c>
      <c r="Y2717" s="897"/>
      <c r="Z2717" s="528"/>
      <c r="AA2717" s="899"/>
      <c r="AB2717" s="899"/>
      <c r="AC2717" s="904"/>
      <c r="AD2717" s="905"/>
      <c r="AE2717" s="2"/>
      <c r="AF2717" s="885"/>
      <c r="AG2717" s="885"/>
      <c r="AH2717" s="885"/>
      <c r="AI2717" s="885"/>
      <c r="AJ2717" s="885"/>
      <c r="AK2717" s="885"/>
      <c r="AL2717" s="885"/>
      <c r="AM2717" s="879"/>
      <c r="AN2717" s="2"/>
      <c r="AO2717" s="886"/>
      <c r="AP2717" s="886"/>
      <c r="AV2717" t="str">
        <f t="shared" si="10910"/>
        <v xml:space="preserve">   Seg. 3.1- ADME 12 - Drenagem Superficial - Descida D´água</v>
      </c>
      <c r="AW2717" s="4" t="str">
        <f t="shared" si="10901"/>
        <v xml:space="preserve">   Seg. 2.3-C10 - Execução de sublastro</v>
      </c>
    </row>
    <row r="2718" spans="1:49" ht="14.45" customHeight="1" outlineLevel="2">
      <c r="A2718" s="8" t="str">
        <f t="shared" ref="A2718" si="10990">IF(SUM(P2718:V2719)&gt;0,"S","N")</f>
        <v>N</v>
      </c>
      <c r="B2718" s="150">
        <v>1057283</v>
      </c>
      <c r="C2718" s="150" t="s">
        <v>3030</v>
      </c>
      <c r="D2718" s="120" t="s">
        <v>3031</v>
      </c>
      <c r="E2718" s="892" t="s">
        <v>3032</v>
      </c>
      <c r="F2718" s="902" t="s">
        <v>36</v>
      </c>
      <c r="G2718" s="528"/>
      <c r="H2718" s="546" t="s">
        <v>37</v>
      </c>
      <c r="I2718" s="711">
        <v>0</v>
      </c>
      <c r="J2718" s="896" t="str">
        <f t="shared" ref="J2718" si="10991">IFERROR((I2719/I2718),"-")</f>
        <v>-</v>
      </c>
      <c r="K2718" s="528"/>
      <c r="L2718" s="546" t="s">
        <v>37</v>
      </c>
      <c r="M2718" s="711">
        <f t="shared" si="10800"/>
        <v>0</v>
      </c>
      <c r="N2718" s="896" t="str">
        <f t="shared" ref="N2718" si="10992">IFERROR((M2719/M2718),"-")</f>
        <v>-</v>
      </c>
      <c r="O2718" s="528"/>
      <c r="P2718" s="547">
        <v>0</v>
      </c>
      <c r="Q2718" s="547">
        <v>0</v>
      </c>
      <c r="R2718" s="547">
        <v>0</v>
      </c>
      <c r="S2718" s="547">
        <v>0</v>
      </c>
      <c r="T2718" s="547">
        <v>0</v>
      </c>
      <c r="U2718" s="547">
        <v>0</v>
      </c>
      <c r="V2718" s="547">
        <v>0</v>
      </c>
      <c r="W2718" s="528"/>
      <c r="X2718" s="711">
        <f t="shared" si="10794"/>
        <v>0</v>
      </c>
      <c r="Y2718" s="896" t="str">
        <f t="shared" ref="Y2718" si="10993">IFERROR((X2719/X2718),"-")</f>
        <v>-</v>
      </c>
      <c r="Z2718" s="528"/>
      <c r="AA2718" s="898">
        <v>0</v>
      </c>
      <c r="AB2718" s="898">
        <v>0</v>
      </c>
      <c r="AC2718" s="903">
        <v>0</v>
      </c>
      <c r="AD2718" s="896" t="str">
        <f t="shared" ref="AD2718" si="10994">IFERROR((AC2718/AA2718),"-")</f>
        <v>-</v>
      </c>
      <c r="AE2718" s="2"/>
      <c r="AF2718" s="884">
        <v>0</v>
      </c>
      <c r="AG2718" s="884"/>
      <c r="AH2718" s="884">
        <v>0</v>
      </c>
      <c r="AI2718" s="884"/>
      <c r="AJ2718" s="884"/>
      <c r="AK2718" s="884">
        <f t="shared" ref="AK2718" si="10995">AF2718+AG2718+AH2718+AI2718+AJ2718+AC2718</f>
        <v>0</v>
      </c>
      <c r="AL2718" s="884">
        <v>232.96000000000015</v>
      </c>
      <c r="AM2718" s="878">
        <f t="shared" ref="AM2718" si="10996">IFERROR((AK2718/AL2718),"-")</f>
        <v>0</v>
      </c>
      <c r="AN2718" s="2"/>
      <c r="AO2718" s="884">
        <v>233</v>
      </c>
      <c r="AP2718" s="884">
        <f t="shared" ref="AP2718" si="10997">AO2718-AK2718</f>
        <v>233</v>
      </c>
      <c r="AV2718" t="str">
        <f t="shared" si="10910"/>
        <v xml:space="preserve">   Seg. 3.1- ADME 12 - Drenagem Superficial - Descida D´água</v>
      </c>
      <c r="AW2718" s="4" t="str">
        <f t="shared" si="10901"/>
        <v xml:space="preserve">   Seg. 2.3-A10 - Execução de sublastro</v>
      </c>
    </row>
    <row r="2719" spans="1:49" ht="12" customHeight="1" outlineLevel="2">
      <c r="A2719" s="8" t="str">
        <f t="shared" ref="A2719" si="10998">A2718</f>
        <v>N</v>
      </c>
      <c r="B2719" s="150"/>
      <c r="C2719" s="150" t="s">
        <v>3030</v>
      </c>
      <c r="D2719" s="120" t="s">
        <v>3031</v>
      </c>
      <c r="E2719" s="893"/>
      <c r="F2719" s="902"/>
      <c r="G2719" s="528"/>
      <c r="H2719" s="549" t="s">
        <v>38</v>
      </c>
      <c r="I2719" s="711">
        <v>0</v>
      </c>
      <c r="J2719" s="897"/>
      <c r="K2719" s="528"/>
      <c r="L2719" s="549" t="s">
        <v>38</v>
      </c>
      <c r="M2719" s="711">
        <f t="shared" si="10800"/>
        <v>0</v>
      </c>
      <c r="N2719" s="897"/>
      <c r="O2719" s="528"/>
      <c r="P2719" s="548">
        <v>0</v>
      </c>
      <c r="Q2719" s="548">
        <v>0</v>
      </c>
      <c r="R2719" s="548">
        <v>0</v>
      </c>
      <c r="S2719" s="548">
        <v>0</v>
      </c>
      <c r="T2719" s="548">
        <v>0</v>
      </c>
      <c r="U2719" s="548">
        <v>0</v>
      </c>
      <c r="V2719" s="548">
        <v>0</v>
      </c>
      <c r="W2719" s="528"/>
      <c r="X2719" s="711">
        <f t="shared" si="10794"/>
        <v>0</v>
      </c>
      <c r="Y2719" s="897"/>
      <c r="Z2719" s="528"/>
      <c r="AA2719" s="899"/>
      <c r="AB2719" s="899"/>
      <c r="AC2719" s="904"/>
      <c r="AD2719" s="905"/>
      <c r="AE2719" s="2"/>
      <c r="AF2719" s="885"/>
      <c r="AG2719" s="885"/>
      <c r="AH2719" s="885"/>
      <c r="AI2719" s="885"/>
      <c r="AJ2719" s="885"/>
      <c r="AK2719" s="885"/>
      <c r="AL2719" s="885"/>
      <c r="AM2719" s="879"/>
      <c r="AN2719" s="2"/>
      <c r="AO2719" s="886"/>
      <c r="AP2719" s="886"/>
      <c r="AV2719" t="str">
        <f t="shared" si="10910"/>
        <v xml:space="preserve">   Seg. 3.1- ADME 12 - Drenagem Superficial - Descida D´água</v>
      </c>
      <c r="AW2719" s="4" t="str">
        <f t="shared" si="10901"/>
        <v xml:space="preserve">   Seg. 2.3-A10 - Execução de sublastro</v>
      </c>
    </row>
    <row r="2720" spans="1:49" ht="14.45" customHeight="1" outlineLevel="2">
      <c r="A2720" s="8" t="str">
        <f t="shared" ref="A2720" si="10999">IF(SUM(P2720:V2721)&gt;0,"S","N")</f>
        <v>N</v>
      </c>
      <c r="B2720" s="150">
        <v>1057284</v>
      </c>
      <c r="C2720" s="150" t="s">
        <v>3033</v>
      </c>
      <c r="D2720" s="120" t="s">
        <v>3034</v>
      </c>
      <c r="E2720" s="892" t="s">
        <v>3035</v>
      </c>
      <c r="F2720" s="902" t="s">
        <v>36</v>
      </c>
      <c r="G2720" s="528"/>
      <c r="H2720" s="546" t="s">
        <v>37</v>
      </c>
      <c r="I2720" s="711">
        <v>0</v>
      </c>
      <c r="J2720" s="896" t="str">
        <f t="shared" ref="J2720" si="11000">IFERROR((I2721/I2720),"-")</f>
        <v>-</v>
      </c>
      <c r="K2720" s="528"/>
      <c r="L2720" s="546" t="s">
        <v>37</v>
      </c>
      <c r="M2720" s="711">
        <f t="shared" si="10800"/>
        <v>0</v>
      </c>
      <c r="N2720" s="896" t="str">
        <f t="shared" ref="N2720" si="11001">IFERROR((M2721/M2720),"-")</f>
        <v>-</v>
      </c>
      <c r="O2720" s="528"/>
      <c r="P2720" s="547">
        <v>0</v>
      </c>
      <c r="Q2720" s="547">
        <v>0</v>
      </c>
      <c r="R2720" s="547">
        <v>0</v>
      </c>
      <c r="S2720" s="547">
        <v>0</v>
      </c>
      <c r="T2720" s="547">
        <v>0</v>
      </c>
      <c r="U2720" s="547">
        <v>0</v>
      </c>
      <c r="V2720" s="547">
        <v>0</v>
      </c>
      <c r="W2720" s="528"/>
      <c r="X2720" s="711">
        <f t="shared" si="10794"/>
        <v>0</v>
      </c>
      <c r="Y2720" s="896" t="str">
        <f t="shared" ref="Y2720" si="11002">IFERROR((X2721/X2720),"-")</f>
        <v>-</v>
      </c>
      <c r="Z2720" s="528"/>
      <c r="AA2720" s="898">
        <v>0</v>
      </c>
      <c r="AB2720" s="898">
        <v>0</v>
      </c>
      <c r="AC2720" s="903">
        <v>0</v>
      </c>
      <c r="AD2720" s="896" t="str">
        <f t="shared" ref="AD2720" si="11003">IFERROR((AC2720/AA2720),"-")</f>
        <v>-</v>
      </c>
      <c r="AE2720" s="2"/>
      <c r="AF2720" s="884">
        <v>0</v>
      </c>
      <c r="AG2720" s="884"/>
      <c r="AH2720" s="884">
        <v>0</v>
      </c>
      <c r="AI2720" s="884"/>
      <c r="AJ2720" s="884"/>
      <c r="AK2720" s="884">
        <f t="shared" ref="AK2720" si="11004">AF2720+AG2720+AH2720+AI2720+AJ2720+AC2720</f>
        <v>0</v>
      </c>
      <c r="AL2720" s="884">
        <v>698.10000000000036</v>
      </c>
      <c r="AM2720" s="878">
        <f t="shared" ref="AM2720" si="11005">IFERROR((AK2720/AL2720),"-")</f>
        <v>0</v>
      </c>
      <c r="AN2720" s="2"/>
      <c r="AO2720" s="884">
        <v>698</v>
      </c>
      <c r="AP2720" s="884">
        <f t="shared" ref="AP2720" si="11006">AO2720-AK2720</f>
        <v>698</v>
      </c>
      <c r="AV2720" t="str">
        <f t="shared" si="10910"/>
        <v xml:space="preserve">   Seg. 3.1- ADME 12 - Drenagem Superficial - Descida D´água</v>
      </c>
      <c r="AW2720" s="4" t="str">
        <f t="shared" si="10901"/>
        <v xml:space="preserve">   Seg. 2.3-C11 - Execução de sublastro</v>
      </c>
    </row>
    <row r="2721" spans="1:49" ht="14.45" customHeight="1" outlineLevel="2">
      <c r="A2721" s="8" t="str">
        <f t="shared" ref="A2721" si="11007">A2720</f>
        <v>N</v>
      </c>
      <c r="B2721" s="150"/>
      <c r="C2721" s="150" t="s">
        <v>3033</v>
      </c>
      <c r="D2721" s="120" t="s">
        <v>3034</v>
      </c>
      <c r="E2721" s="893"/>
      <c r="F2721" s="902"/>
      <c r="G2721" s="528"/>
      <c r="H2721" s="549" t="s">
        <v>38</v>
      </c>
      <c r="I2721" s="711">
        <v>0</v>
      </c>
      <c r="J2721" s="897"/>
      <c r="K2721" s="528"/>
      <c r="L2721" s="549" t="s">
        <v>38</v>
      </c>
      <c r="M2721" s="711">
        <f t="shared" si="10800"/>
        <v>0</v>
      </c>
      <c r="N2721" s="897"/>
      <c r="O2721" s="528"/>
      <c r="P2721" s="548">
        <v>0</v>
      </c>
      <c r="Q2721" s="548">
        <v>0</v>
      </c>
      <c r="R2721" s="548">
        <v>0</v>
      </c>
      <c r="S2721" s="548">
        <v>0</v>
      </c>
      <c r="T2721" s="548">
        <v>0</v>
      </c>
      <c r="U2721" s="548">
        <v>0</v>
      </c>
      <c r="V2721" s="548">
        <v>0</v>
      </c>
      <c r="W2721" s="528"/>
      <c r="X2721" s="711">
        <f t="shared" si="10794"/>
        <v>0</v>
      </c>
      <c r="Y2721" s="897"/>
      <c r="Z2721" s="528"/>
      <c r="AA2721" s="899"/>
      <c r="AB2721" s="899"/>
      <c r="AC2721" s="904"/>
      <c r="AD2721" s="905"/>
      <c r="AE2721" s="2"/>
      <c r="AF2721" s="885"/>
      <c r="AG2721" s="885"/>
      <c r="AH2721" s="885"/>
      <c r="AI2721" s="885"/>
      <c r="AJ2721" s="885"/>
      <c r="AK2721" s="885"/>
      <c r="AL2721" s="885"/>
      <c r="AM2721" s="879"/>
      <c r="AN2721" s="2"/>
      <c r="AO2721" s="886"/>
      <c r="AP2721" s="886"/>
      <c r="AV2721" t="str">
        <f t="shared" si="10910"/>
        <v xml:space="preserve">   Seg. 3.1- ADME 12 - Drenagem Superficial - Descida D´água</v>
      </c>
      <c r="AW2721" s="4" t="str">
        <f t="shared" si="10901"/>
        <v xml:space="preserve">   Seg. 2.3-C11 - Execução de sublastro</v>
      </c>
    </row>
    <row r="2722" spans="1:49" ht="15.6" customHeight="1" outlineLevel="2">
      <c r="A2722" s="8" t="str">
        <f t="shared" ref="A2722" si="11008">IF(SUM(P2722:V2723)&gt;0,"S","N")</f>
        <v>N</v>
      </c>
      <c r="B2722" s="150">
        <v>1057285</v>
      </c>
      <c r="C2722" s="150" t="s">
        <v>3036</v>
      </c>
      <c r="D2722" s="120" t="s">
        <v>3037</v>
      </c>
      <c r="E2722" s="892" t="s">
        <v>3038</v>
      </c>
      <c r="F2722" s="902" t="s">
        <v>36</v>
      </c>
      <c r="G2722" s="528"/>
      <c r="H2722" s="546" t="s">
        <v>37</v>
      </c>
      <c r="I2722" s="711">
        <v>0</v>
      </c>
      <c r="J2722" s="896" t="str">
        <f t="shared" ref="J2722" si="11009">IFERROR((I2723/I2722),"-")</f>
        <v>-</v>
      </c>
      <c r="K2722" s="528"/>
      <c r="L2722" s="546" t="s">
        <v>37</v>
      </c>
      <c r="M2722" s="711">
        <f t="shared" si="10800"/>
        <v>0</v>
      </c>
      <c r="N2722" s="896" t="str">
        <f t="shared" ref="N2722" si="11010">IFERROR((M2723/M2722),"-")</f>
        <v>-</v>
      </c>
      <c r="O2722" s="528"/>
      <c r="P2722" s="547">
        <v>0</v>
      </c>
      <c r="Q2722" s="547">
        <v>0</v>
      </c>
      <c r="R2722" s="547">
        <v>0</v>
      </c>
      <c r="S2722" s="547">
        <v>0</v>
      </c>
      <c r="T2722" s="547">
        <v>0</v>
      </c>
      <c r="U2722" s="547">
        <v>0</v>
      </c>
      <c r="V2722" s="547">
        <v>0</v>
      </c>
      <c r="W2722" s="528"/>
      <c r="X2722" s="711">
        <f t="shared" si="10794"/>
        <v>0</v>
      </c>
      <c r="Y2722" s="896" t="str">
        <f t="shared" ref="Y2722" si="11011">IFERROR((X2723/X2722),"-")</f>
        <v>-</v>
      </c>
      <c r="Z2722" s="528"/>
      <c r="AA2722" s="898">
        <v>0</v>
      </c>
      <c r="AB2722" s="898">
        <v>0</v>
      </c>
      <c r="AC2722" s="903">
        <v>0</v>
      </c>
      <c r="AD2722" s="896" t="str">
        <f t="shared" ref="AD2722" si="11012">IFERROR((AC2722/AA2722),"-")</f>
        <v>-</v>
      </c>
      <c r="AE2722" s="2"/>
      <c r="AF2722" s="884">
        <v>0</v>
      </c>
      <c r="AG2722" s="884"/>
      <c r="AH2722" s="884">
        <v>0</v>
      </c>
      <c r="AI2722" s="884"/>
      <c r="AJ2722" s="884"/>
      <c r="AK2722" s="884">
        <f t="shared" ref="AK2722" si="11013">AF2722+AG2722+AH2722+AI2722+AJ2722+AC2722</f>
        <v>0</v>
      </c>
      <c r="AL2722" s="884">
        <v>193.96</v>
      </c>
      <c r="AM2722" s="878">
        <f t="shared" ref="AM2722" si="11014">IFERROR((AK2722/AL2722),"-")</f>
        <v>0</v>
      </c>
      <c r="AN2722" s="2"/>
      <c r="AO2722" s="884">
        <v>194</v>
      </c>
      <c r="AP2722" s="884">
        <f t="shared" ref="AP2722" si="11015">AO2722-AK2722</f>
        <v>194</v>
      </c>
      <c r="AV2722" t="str">
        <f t="shared" si="10910"/>
        <v xml:space="preserve">   Seg. 3.1- ADME 12 - Drenagem Superficial - Descida D´água</v>
      </c>
      <c r="AW2722" s="4" t="str">
        <f t="shared" si="10901"/>
        <v xml:space="preserve">   Seg. 2.3-C12-Execução de sublastro</v>
      </c>
    </row>
    <row r="2723" spans="1:49" ht="15.6" customHeight="1" outlineLevel="2">
      <c r="A2723" s="8" t="str">
        <f t="shared" ref="A2723" si="11016">A2722</f>
        <v>N</v>
      </c>
      <c r="B2723" s="150"/>
      <c r="C2723" s="150" t="s">
        <v>3036</v>
      </c>
      <c r="D2723" s="120" t="s">
        <v>3037</v>
      </c>
      <c r="E2723" s="893"/>
      <c r="F2723" s="902"/>
      <c r="G2723" s="528"/>
      <c r="H2723" s="549" t="s">
        <v>38</v>
      </c>
      <c r="I2723" s="711">
        <v>0</v>
      </c>
      <c r="J2723" s="897"/>
      <c r="K2723" s="528"/>
      <c r="L2723" s="549" t="s">
        <v>38</v>
      </c>
      <c r="M2723" s="711">
        <f t="shared" si="10800"/>
        <v>0</v>
      </c>
      <c r="N2723" s="897"/>
      <c r="O2723" s="528"/>
      <c r="P2723" s="548">
        <v>0</v>
      </c>
      <c r="Q2723" s="548">
        <v>0</v>
      </c>
      <c r="R2723" s="548">
        <v>0</v>
      </c>
      <c r="S2723" s="548">
        <v>0</v>
      </c>
      <c r="T2723" s="548">
        <v>0</v>
      </c>
      <c r="U2723" s="548">
        <v>0</v>
      </c>
      <c r="V2723" s="548">
        <v>0</v>
      </c>
      <c r="W2723" s="528"/>
      <c r="X2723" s="711">
        <f t="shared" si="10794"/>
        <v>0</v>
      </c>
      <c r="Y2723" s="897"/>
      <c r="Z2723" s="528"/>
      <c r="AA2723" s="899"/>
      <c r="AB2723" s="899"/>
      <c r="AC2723" s="904"/>
      <c r="AD2723" s="905"/>
      <c r="AE2723" s="2"/>
      <c r="AF2723" s="885"/>
      <c r="AG2723" s="885"/>
      <c r="AH2723" s="885"/>
      <c r="AI2723" s="885"/>
      <c r="AJ2723" s="885"/>
      <c r="AK2723" s="885"/>
      <c r="AL2723" s="885"/>
      <c r="AM2723" s="879"/>
      <c r="AN2723" s="2"/>
      <c r="AO2723" s="886"/>
      <c r="AP2723" s="886"/>
      <c r="AV2723" t="str">
        <f t="shared" si="10910"/>
        <v xml:space="preserve">   Seg. 3.1- ADME 12 - Drenagem Superficial - Descida D´água</v>
      </c>
      <c r="AW2723" s="4" t="str">
        <f t="shared" si="10901"/>
        <v xml:space="preserve">   Seg. 2.3-C12-Execução de sublastro</v>
      </c>
    </row>
    <row r="2724" spans="1:49" ht="15.6" customHeight="1" outlineLevel="2">
      <c r="A2724" s="8" t="str">
        <f t="shared" ref="A2724" si="11017">IF(SUM(P2724:V2725)&gt;0,"S","N")</f>
        <v>N</v>
      </c>
      <c r="B2724" s="150">
        <v>1057286</v>
      </c>
      <c r="C2724" s="150" t="s">
        <v>3039</v>
      </c>
      <c r="D2724" s="120" t="s">
        <v>3040</v>
      </c>
      <c r="E2724" s="892" t="s">
        <v>3041</v>
      </c>
      <c r="F2724" s="902" t="s">
        <v>36</v>
      </c>
      <c r="G2724" s="528"/>
      <c r="H2724" s="546" t="s">
        <v>37</v>
      </c>
      <c r="I2724" s="711">
        <v>0</v>
      </c>
      <c r="J2724" s="896" t="str">
        <f t="shared" ref="J2724" si="11018">IFERROR((I2725/I2724),"-")</f>
        <v>-</v>
      </c>
      <c r="K2724" s="528"/>
      <c r="L2724" s="546" t="s">
        <v>37</v>
      </c>
      <c r="M2724" s="711">
        <f t="shared" si="10800"/>
        <v>0</v>
      </c>
      <c r="N2724" s="896" t="str">
        <f t="shared" ref="N2724" si="11019">IFERROR((M2725/M2724),"-")</f>
        <v>-</v>
      </c>
      <c r="O2724" s="528"/>
      <c r="P2724" s="547">
        <v>0</v>
      </c>
      <c r="Q2724" s="547">
        <v>0</v>
      </c>
      <c r="R2724" s="547">
        <v>0</v>
      </c>
      <c r="S2724" s="547">
        <v>0</v>
      </c>
      <c r="T2724" s="547">
        <v>0</v>
      </c>
      <c r="U2724" s="547">
        <v>0</v>
      </c>
      <c r="V2724" s="547">
        <v>0</v>
      </c>
      <c r="W2724" s="528"/>
      <c r="X2724" s="711">
        <f t="shared" si="10794"/>
        <v>0</v>
      </c>
      <c r="Y2724" s="896" t="str">
        <f>IFERROR((X2725/X2724),"-")</f>
        <v>-</v>
      </c>
      <c r="Z2724" s="528"/>
      <c r="AA2724" s="898">
        <v>0</v>
      </c>
      <c r="AB2724" s="898">
        <v>0</v>
      </c>
      <c r="AC2724" s="903">
        <v>0</v>
      </c>
      <c r="AD2724" s="896" t="str">
        <f t="shared" ref="AD2724" si="11020">IFERROR((AC2724/AA2724),"-")</f>
        <v>-</v>
      </c>
      <c r="AE2724" s="2"/>
      <c r="AF2724" s="884">
        <v>0</v>
      </c>
      <c r="AG2724" s="884"/>
      <c r="AH2724" s="884">
        <v>0</v>
      </c>
      <c r="AI2724" s="884"/>
      <c r="AJ2724" s="884"/>
      <c r="AK2724" s="884">
        <f t="shared" ref="AK2724" si="11021">AF2724+AG2724+AH2724+AI2724+AJ2724+AC2724</f>
        <v>0</v>
      </c>
      <c r="AL2724" s="884">
        <v>115.95999999999994</v>
      </c>
      <c r="AM2724" s="878">
        <f t="shared" ref="AM2724" si="11022">IFERROR((AK2724/AL2724),"-")</f>
        <v>0</v>
      </c>
      <c r="AN2724" s="2"/>
      <c r="AO2724" s="884">
        <v>116</v>
      </c>
      <c r="AP2724" s="884">
        <f t="shared" ref="AP2724" si="11023">AO2724-AK2724</f>
        <v>116</v>
      </c>
      <c r="AV2724" t="str">
        <f t="shared" si="10910"/>
        <v xml:space="preserve">   Seg. 3.1- ADME 12 - Drenagem Superficial - Descida D´água</v>
      </c>
      <c r="AW2724" s="4" t="str">
        <f t="shared" si="10901"/>
        <v xml:space="preserve">   Seg. 2.3-C13 - Execução de sublastro</v>
      </c>
    </row>
    <row r="2725" spans="1:49" ht="15.6" customHeight="1" outlineLevel="2">
      <c r="A2725" s="8" t="str">
        <f t="shared" ref="A2725" si="11024">A2724</f>
        <v>N</v>
      </c>
      <c r="B2725" s="150"/>
      <c r="C2725" s="150" t="s">
        <v>3039</v>
      </c>
      <c r="D2725" s="120" t="s">
        <v>3040</v>
      </c>
      <c r="E2725" s="893"/>
      <c r="F2725" s="902"/>
      <c r="G2725" s="528"/>
      <c r="H2725" s="549" t="s">
        <v>38</v>
      </c>
      <c r="I2725" s="711">
        <v>0</v>
      </c>
      <c r="J2725" s="897"/>
      <c r="K2725" s="528"/>
      <c r="L2725" s="549" t="s">
        <v>38</v>
      </c>
      <c r="M2725" s="711">
        <f t="shared" si="10800"/>
        <v>0</v>
      </c>
      <c r="N2725" s="897"/>
      <c r="O2725" s="528"/>
      <c r="P2725" s="548">
        <v>0</v>
      </c>
      <c r="Q2725" s="548">
        <v>0</v>
      </c>
      <c r="R2725" s="548">
        <v>0</v>
      </c>
      <c r="S2725" s="548">
        <v>0</v>
      </c>
      <c r="T2725" s="548">
        <v>0</v>
      </c>
      <c r="U2725" s="548">
        <v>0</v>
      </c>
      <c r="V2725" s="548">
        <v>0</v>
      </c>
      <c r="W2725" s="528"/>
      <c r="X2725" s="711">
        <f t="shared" si="10794"/>
        <v>0</v>
      </c>
      <c r="Y2725" s="897"/>
      <c r="Z2725" s="528"/>
      <c r="AA2725" s="899"/>
      <c r="AB2725" s="899"/>
      <c r="AC2725" s="904"/>
      <c r="AD2725" s="905"/>
      <c r="AE2725" s="2"/>
      <c r="AF2725" s="885"/>
      <c r="AG2725" s="885"/>
      <c r="AH2725" s="885"/>
      <c r="AI2725" s="885"/>
      <c r="AJ2725" s="885"/>
      <c r="AK2725" s="885"/>
      <c r="AL2725" s="885"/>
      <c r="AM2725" s="879"/>
      <c r="AN2725" s="2"/>
      <c r="AO2725" s="886"/>
      <c r="AP2725" s="886"/>
      <c r="AV2725" t="str">
        <f t="shared" si="10910"/>
        <v xml:space="preserve">   Seg. 3.1- ADME 12 - Drenagem Superficial - Descida D´água</v>
      </c>
      <c r="AW2725" s="4" t="str">
        <f t="shared" si="10901"/>
        <v xml:space="preserve">   Seg. 2.3-C13 - Execução de sublastro</v>
      </c>
    </row>
    <row r="2726" spans="1:49" ht="15.6" customHeight="1" outlineLevel="2">
      <c r="A2726" s="8" t="str">
        <f t="shared" ref="A2726" si="11025">IF(SUM(P2726:V2727)&gt;0,"S","N")</f>
        <v>N</v>
      </c>
      <c r="B2726" s="150">
        <v>1057287</v>
      </c>
      <c r="C2726" s="150" t="s">
        <v>3042</v>
      </c>
      <c r="D2726" s="120" t="s">
        <v>3043</v>
      </c>
      <c r="E2726" s="892" t="s">
        <v>3044</v>
      </c>
      <c r="F2726" s="902" t="s">
        <v>36</v>
      </c>
      <c r="G2726" s="528"/>
      <c r="H2726" s="546" t="s">
        <v>37</v>
      </c>
      <c r="I2726" s="711">
        <v>0</v>
      </c>
      <c r="J2726" s="896" t="str">
        <f t="shared" ref="J2726" si="11026">IFERROR((I2727/I2726),"-")</f>
        <v>-</v>
      </c>
      <c r="K2726" s="528"/>
      <c r="L2726" s="546" t="s">
        <v>37</v>
      </c>
      <c r="M2726" s="711">
        <f t="shared" si="10800"/>
        <v>0</v>
      </c>
      <c r="N2726" s="896" t="str">
        <f t="shared" ref="N2726" si="11027">IFERROR((M2727/M2726),"-")</f>
        <v>-</v>
      </c>
      <c r="O2726" s="528"/>
      <c r="P2726" s="547">
        <v>0</v>
      </c>
      <c r="Q2726" s="547">
        <v>0</v>
      </c>
      <c r="R2726" s="547">
        <v>0</v>
      </c>
      <c r="S2726" s="547">
        <v>0</v>
      </c>
      <c r="T2726" s="547">
        <v>0</v>
      </c>
      <c r="U2726" s="547">
        <v>0</v>
      </c>
      <c r="V2726" s="547">
        <v>0</v>
      </c>
      <c r="W2726" s="528"/>
      <c r="X2726" s="711">
        <f t="shared" si="10794"/>
        <v>0</v>
      </c>
      <c r="Y2726" s="896" t="str">
        <f>IFERROR((X2727/X2726),"-")</f>
        <v>-</v>
      </c>
      <c r="Z2726" s="528"/>
      <c r="AA2726" s="898">
        <v>0</v>
      </c>
      <c r="AB2726" s="898">
        <v>0</v>
      </c>
      <c r="AC2726" s="903">
        <v>0</v>
      </c>
      <c r="AD2726" s="896" t="str">
        <f t="shared" ref="AD2726" si="11028">IFERROR((AC2726/AA2726),"-")</f>
        <v>-</v>
      </c>
      <c r="AE2726" s="2"/>
      <c r="AF2726" s="884">
        <v>0</v>
      </c>
      <c r="AG2726" s="884"/>
      <c r="AH2726" s="884">
        <v>0</v>
      </c>
      <c r="AI2726" s="884"/>
      <c r="AJ2726" s="884"/>
      <c r="AK2726" s="884">
        <f t="shared" ref="AK2726" si="11029">AF2726+AG2726+AH2726+AI2726+AJ2726+AC2726</f>
        <v>0</v>
      </c>
      <c r="AL2726" s="884">
        <v>543</v>
      </c>
      <c r="AM2726" s="878">
        <f t="shared" ref="AM2726" si="11030">IFERROR((AK2726/AL2726),"-")</f>
        <v>0</v>
      </c>
      <c r="AN2726" s="2"/>
      <c r="AO2726" s="884">
        <v>543</v>
      </c>
      <c r="AP2726" s="884">
        <f t="shared" ref="AP2726" si="11031">AO2726-AK2726</f>
        <v>543</v>
      </c>
      <c r="AV2726" t="str">
        <f t="shared" si="10910"/>
        <v xml:space="preserve">   Seg. 3.1- ADME 12 - Drenagem Superficial - Descida D´água</v>
      </c>
      <c r="AW2726" s="4" t="str">
        <f t="shared" si="10901"/>
        <v xml:space="preserve">   Seg. 2.3-C14 - Execução de sublastro</v>
      </c>
    </row>
    <row r="2727" spans="1:49" ht="15.6" customHeight="1" outlineLevel="2">
      <c r="A2727" s="8" t="str">
        <f t="shared" ref="A2727" si="11032">A2726</f>
        <v>N</v>
      </c>
      <c r="B2727" s="150"/>
      <c r="C2727" s="150" t="s">
        <v>3042</v>
      </c>
      <c r="D2727" s="120" t="s">
        <v>3043</v>
      </c>
      <c r="E2727" s="893"/>
      <c r="F2727" s="902"/>
      <c r="G2727" s="528"/>
      <c r="H2727" s="549" t="s">
        <v>38</v>
      </c>
      <c r="I2727" s="711">
        <v>0</v>
      </c>
      <c r="J2727" s="897"/>
      <c r="K2727" s="528"/>
      <c r="L2727" s="549" t="s">
        <v>38</v>
      </c>
      <c r="M2727" s="711">
        <f t="shared" si="10800"/>
        <v>0</v>
      </c>
      <c r="N2727" s="897"/>
      <c r="O2727" s="528"/>
      <c r="P2727" s="548">
        <v>0</v>
      </c>
      <c r="Q2727" s="548">
        <v>0</v>
      </c>
      <c r="R2727" s="548">
        <v>0</v>
      </c>
      <c r="S2727" s="548">
        <v>0</v>
      </c>
      <c r="T2727" s="548">
        <v>0</v>
      </c>
      <c r="U2727" s="548">
        <v>0</v>
      </c>
      <c r="V2727" s="548">
        <v>0</v>
      </c>
      <c r="W2727" s="528"/>
      <c r="X2727" s="711">
        <f t="shared" si="10794"/>
        <v>0</v>
      </c>
      <c r="Y2727" s="897"/>
      <c r="Z2727" s="528"/>
      <c r="AA2727" s="899"/>
      <c r="AB2727" s="899"/>
      <c r="AC2727" s="904"/>
      <c r="AD2727" s="905"/>
      <c r="AE2727" s="2"/>
      <c r="AF2727" s="885"/>
      <c r="AG2727" s="885"/>
      <c r="AH2727" s="885"/>
      <c r="AI2727" s="885"/>
      <c r="AJ2727" s="885"/>
      <c r="AK2727" s="885"/>
      <c r="AL2727" s="885"/>
      <c r="AM2727" s="879"/>
      <c r="AN2727" s="2"/>
      <c r="AO2727" s="886"/>
      <c r="AP2727" s="886"/>
      <c r="AV2727" t="str">
        <f t="shared" si="10910"/>
        <v xml:space="preserve">   Seg. 3.1- ADME 12 - Drenagem Superficial - Descida D´água</v>
      </c>
      <c r="AW2727" s="4" t="str">
        <f t="shared" si="10901"/>
        <v xml:space="preserve">   Seg. 2.3-C14 - Execução de sublastro</v>
      </c>
    </row>
    <row r="2728" spans="1:49" ht="15.6" customHeight="1" outlineLevel="2">
      <c r="A2728" s="8" t="str">
        <f t="shared" ref="A2728" si="11033">IF(SUM(P2728:V2729)&gt;0,"S","N")</f>
        <v>N</v>
      </c>
      <c r="B2728" s="150">
        <v>1057289</v>
      </c>
      <c r="C2728" s="150" t="s">
        <v>3045</v>
      </c>
      <c r="D2728" s="120" t="s">
        <v>3046</v>
      </c>
      <c r="E2728" s="892" t="s">
        <v>3047</v>
      </c>
      <c r="F2728" s="902" t="s">
        <v>36</v>
      </c>
      <c r="G2728" s="528"/>
      <c r="H2728" s="546" t="s">
        <v>37</v>
      </c>
      <c r="I2728" s="711">
        <v>0</v>
      </c>
      <c r="J2728" s="896" t="str">
        <f t="shared" ref="J2728" si="11034">IFERROR((I2729/I2728),"-")</f>
        <v>-</v>
      </c>
      <c r="K2728" s="528"/>
      <c r="L2728" s="546" t="s">
        <v>37</v>
      </c>
      <c r="M2728" s="711">
        <f t="shared" si="10800"/>
        <v>0</v>
      </c>
      <c r="N2728" s="896" t="str">
        <f t="shared" ref="N2728" si="11035">IFERROR((M2729/M2728),"-")</f>
        <v>-</v>
      </c>
      <c r="O2728" s="528"/>
      <c r="P2728" s="547">
        <v>0</v>
      </c>
      <c r="Q2728" s="547">
        <v>0</v>
      </c>
      <c r="R2728" s="547">
        <v>0</v>
      </c>
      <c r="S2728" s="547">
        <v>0</v>
      </c>
      <c r="T2728" s="547">
        <v>0</v>
      </c>
      <c r="U2728" s="547">
        <v>0</v>
      </c>
      <c r="V2728" s="547">
        <v>0</v>
      </c>
      <c r="W2728" s="528"/>
      <c r="X2728" s="711">
        <f t="shared" si="10794"/>
        <v>0</v>
      </c>
      <c r="Y2728" s="896" t="str">
        <f>IFERROR((X2729/X2728),"-")</f>
        <v>-</v>
      </c>
      <c r="Z2728" s="528"/>
      <c r="AA2728" s="898">
        <v>0</v>
      </c>
      <c r="AB2728" s="898">
        <v>0</v>
      </c>
      <c r="AC2728" s="903">
        <v>0</v>
      </c>
      <c r="AD2728" s="896" t="str">
        <f t="shared" ref="AD2728" si="11036">IFERROR((AC2728/AA2728),"-")</f>
        <v>-</v>
      </c>
      <c r="AE2728" s="2"/>
      <c r="AF2728" s="884">
        <v>724</v>
      </c>
      <c r="AG2728" s="884"/>
      <c r="AH2728" s="884">
        <v>0</v>
      </c>
      <c r="AI2728" s="884"/>
      <c r="AJ2728" s="884"/>
      <c r="AK2728" s="884">
        <f t="shared" ref="AK2728" si="11037">AF2728+AG2728+AH2728+AI2728+AJ2728+AC2728</f>
        <v>724</v>
      </c>
      <c r="AL2728" s="884">
        <v>813.99000000000012</v>
      </c>
      <c r="AM2728" s="878">
        <f t="shared" ref="AM2728" si="11038">IFERROR((AK2728/AL2728),"-")</f>
        <v>0.88944581628766928</v>
      </c>
      <c r="AN2728" s="2"/>
      <c r="AO2728" s="884">
        <v>814</v>
      </c>
      <c r="AP2728" s="884">
        <f t="shared" ref="AP2728" si="11039">AO2728-AK2728</f>
        <v>90</v>
      </c>
      <c r="AV2728" t="str">
        <f t="shared" si="10910"/>
        <v xml:space="preserve">   Seg. 3.1- ADME 12 - Drenagem Superficial - Descida D´água</v>
      </c>
      <c r="AW2728" s="4" t="str">
        <f t="shared" si="10901"/>
        <v xml:space="preserve">   Seg. 2.3-A16 - Execução de sublastro</v>
      </c>
    </row>
    <row r="2729" spans="1:49" ht="15.6" customHeight="1" outlineLevel="2">
      <c r="A2729" s="8" t="str">
        <f t="shared" ref="A2729" si="11040">A2728</f>
        <v>N</v>
      </c>
      <c r="B2729" s="150"/>
      <c r="C2729" s="150" t="s">
        <v>3045</v>
      </c>
      <c r="D2729" s="120" t="s">
        <v>3046</v>
      </c>
      <c r="E2729" s="893"/>
      <c r="F2729" s="902"/>
      <c r="G2729" s="528"/>
      <c r="H2729" s="549" t="s">
        <v>38</v>
      </c>
      <c r="I2729" s="711">
        <v>0</v>
      </c>
      <c r="J2729" s="897"/>
      <c r="K2729" s="528"/>
      <c r="L2729" s="549" t="s">
        <v>38</v>
      </c>
      <c r="M2729" s="711">
        <f t="shared" si="10800"/>
        <v>0</v>
      </c>
      <c r="N2729" s="897"/>
      <c r="O2729" s="528"/>
      <c r="P2729" s="548">
        <v>0</v>
      </c>
      <c r="Q2729" s="548">
        <v>0</v>
      </c>
      <c r="R2729" s="548">
        <v>0</v>
      </c>
      <c r="S2729" s="548">
        <v>0</v>
      </c>
      <c r="T2729" s="548">
        <v>0</v>
      </c>
      <c r="U2729" s="548">
        <v>0</v>
      </c>
      <c r="V2729" s="548">
        <v>0</v>
      </c>
      <c r="W2729" s="528"/>
      <c r="X2729" s="711">
        <f t="shared" si="10794"/>
        <v>0</v>
      </c>
      <c r="Y2729" s="897"/>
      <c r="Z2729" s="528"/>
      <c r="AA2729" s="899"/>
      <c r="AB2729" s="899"/>
      <c r="AC2729" s="904"/>
      <c r="AD2729" s="905"/>
      <c r="AE2729" s="2"/>
      <c r="AF2729" s="885"/>
      <c r="AG2729" s="885"/>
      <c r="AH2729" s="885"/>
      <c r="AI2729" s="885"/>
      <c r="AJ2729" s="885"/>
      <c r="AK2729" s="885"/>
      <c r="AL2729" s="885"/>
      <c r="AM2729" s="879"/>
      <c r="AN2729" s="2"/>
      <c r="AO2729" s="886"/>
      <c r="AP2729" s="886"/>
      <c r="AV2729" t="str">
        <f t="shared" si="10910"/>
        <v xml:space="preserve">   Seg. 3.1- ADME 12 - Drenagem Superficial - Descida D´água</v>
      </c>
      <c r="AW2729" s="4" t="str">
        <f t="shared" si="10901"/>
        <v xml:space="preserve">   Seg. 2.3-A16 - Execução de sublastro</v>
      </c>
    </row>
    <row r="2730" spans="1:49" ht="15.6" customHeight="1" outlineLevel="2">
      <c r="A2730" s="8" t="str">
        <f t="shared" ref="A2730" si="11041">IF(SUM(P2730:V2731)&gt;0,"S","N")</f>
        <v>N</v>
      </c>
      <c r="B2730" s="150">
        <v>1057290</v>
      </c>
      <c r="C2730" s="150" t="s">
        <v>3048</v>
      </c>
      <c r="D2730" s="120" t="s">
        <v>3049</v>
      </c>
      <c r="E2730" s="892" t="s">
        <v>3050</v>
      </c>
      <c r="F2730" s="902" t="s">
        <v>36</v>
      </c>
      <c r="G2730" s="528"/>
      <c r="H2730" s="546" t="s">
        <v>37</v>
      </c>
      <c r="I2730" s="711">
        <v>0</v>
      </c>
      <c r="J2730" s="896" t="str">
        <f t="shared" ref="J2730" si="11042">IFERROR((I2731/I2730),"-")</f>
        <v>-</v>
      </c>
      <c r="K2730" s="528"/>
      <c r="L2730" s="546" t="s">
        <v>37</v>
      </c>
      <c r="M2730" s="711">
        <f t="shared" si="10800"/>
        <v>0</v>
      </c>
      <c r="N2730" s="896" t="str">
        <f t="shared" ref="N2730" si="11043">IFERROR((M2731/M2730),"-")</f>
        <v>-</v>
      </c>
      <c r="O2730" s="528"/>
      <c r="P2730" s="547">
        <v>0</v>
      </c>
      <c r="Q2730" s="547">
        <v>0</v>
      </c>
      <c r="R2730" s="547">
        <v>0</v>
      </c>
      <c r="S2730" s="547">
        <v>0</v>
      </c>
      <c r="T2730" s="547">
        <v>0</v>
      </c>
      <c r="U2730" s="547">
        <v>0</v>
      </c>
      <c r="V2730" s="547">
        <v>0</v>
      </c>
      <c r="W2730" s="528"/>
      <c r="X2730" s="711">
        <f t="shared" si="10794"/>
        <v>0</v>
      </c>
      <c r="Y2730" s="896" t="str">
        <f t="shared" ref="Y2730" si="11044">IFERROR((X2731/X2730),"-")</f>
        <v>-</v>
      </c>
      <c r="Z2730" s="528"/>
      <c r="AA2730" s="898">
        <v>402.22</v>
      </c>
      <c r="AB2730" s="898">
        <v>402.24000000000007</v>
      </c>
      <c r="AC2730" s="903">
        <v>0</v>
      </c>
      <c r="AD2730" s="896">
        <f t="shared" ref="AD2730" si="11045">IFERROR((AC2730/AA2730),"-")</f>
        <v>0</v>
      </c>
      <c r="AE2730" s="2"/>
      <c r="AF2730" s="884">
        <v>5144</v>
      </c>
      <c r="AG2730" s="884"/>
      <c r="AH2730" s="884">
        <v>0</v>
      </c>
      <c r="AI2730" s="884"/>
      <c r="AJ2730" s="884"/>
      <c r="AK2730" s="884">
        <f t="shared" ref="AK2730" si="11046">AF2730+AG2730+AH2730+AI2730+AJ2730+AC2730</f>
        <v>5144</v>
      </c>
      <c r="AL2730" s="884">
        <v>5546.2100000000019</v>
      </c>
      <c r="AM2730" s="878">
        <f t="shared" ref="AM2730" si="11047">IFERROR((AK2730/AL2730),"-")</f>
        <v>0.92748020720455915</v>
      </c>
      <c r="AN2730" s="2"/>
      <c r="AO2730" s="884">
        <v>5546.22</v>
      </c>
      <c r="AP2730" s="884">
        <f t="shared" ref="AP2730" si="11048">AO2730-AK2730</f>
        <v>402.22000000000025</v>
      </c>
      <c r="AV2730" t="str">
        <f t="shared" si="10910"/>
        <v xml:space="preserve">   Seg. 3.1- ADME 12 - Drenagem Superficial - Descida D´água</v>
      </c>
      <c r="AW2730" s="4" t="str">
        <f t="shared" si="10901"/>
        <v xml:space="preserve">   Seg. 2.3-A17 - Execução de sublastro</v>
      </c>
    </row>
    <row r="2731" spans="1:49" ht="15.6" customHeight="1" outlineLevel="2">
      <c r="A2731" s="8" t="str">
        <f t="shared" ref="A2731" si="11049">A2730</f>
        <v>N</v>
      </c>
      <c r="B2731" s="150"/>
      <c r="C2731" s="150" t="s">
        <v>3048</v>
      </c>
      <c r="D2731" s="120" t="s">
        <v>3049</v>
      </c>
      <c r="E2731" s="893"/>
      <c r="F2731" s="902"/>
      <c r="G2731" s="528"/>
      <c r="H2731" s="549" t="s">
        <v>38</v>
      </c>
      <c r="I2731" s="711">
        <v>0</v>
      </c>
      <c r="J2731" s="897"/>
      <c r="K2731" s="528"/>
      <c r="L2731" s="549" t="s">
        <v>38</v>
      </c>
      <c r="M2731" s="711">
        <f t="shared" si="10800"/>
        <v>0</v>
      </c>
      <c r="N2731" s="897"/>
      <c r="O2731" s="528"/>
      <c r="P2731" s="548">
        <v>0</v>
      </c>
      <c r="Q2731" s="548">
        <v>0</v>
      </c>
      <c r="R2731" s="548">
        <v>0</v>
      </c>
      <c r="S2731" s="548">
        <v>0</v>
      </c>
      <c r="T2731" s="548">
        <v>0</v>
      </c>
      <c r="U2731" s="548">
        <v>0</v>
      </c>
      <c r="V2731" s="548">
        <v>0</v>
      </c>
      <c r="W2731" s="528"/>
      <c r="X2731" s="711">
        <f t="shared" si="10794"/>
        <v>0</v>
      </c>
      <c r="Y2731" s="897"/>
      <c r="Z2731" s="528"/>
      <c r="AA2731" s="899"/>
      <c r="AB2731" s="899"/>
      <c r="AC2731" s="904"/>
      <c r="AD2731" s="905"/>
      <c r="AE2731" s="2"/>
      <c r="AF2731" s="885"/>
      <c r="AG2731" s="885"/>
      <c r="AH2731" s="885"/>
      <c r="AI2731" s="885"/>
      <c r="AJ2731" s="885"/>
      <c r="AK2731" s="885"/>
      <c r="AL2731" s="885"/>
      <c r="AM2731" s="879"/>
      <c r="AN2731" s="2"/>
      <c r="AO2731" s="886"/>
      <c r="AP2731" s="886"/>
      <c r="AV2731" t="str">
        <f t="shared" si="10910"/>
        <v xml:space="preserve">   Seg. 3.1- ADME 12 - Drenagem Superficial - Descida D´água</v>
      </c>
      <c r="AW2731" s="4" t="str">
        <f t="shared" si="10901"/>
        <v xml:space="preserve">   Seg. 2.3-A17 - Execução de sublastro</v>
      </c>
    </row>
    <row r="2732" spans="1:49" ht="15.6" customHeight="1" outlineLevel="2" collapsed="1">
      <c r="A2732" s="8" t="str">
        <f t="shared" ref="A2732" si="11050">IF(SUM(P2732:V2733)&gt;0,"S","N")</f>
        <v>N</v>
      </c>
      <c r="B2732" s="150">
        <v>1057398</v>
      </c>
      <c r="C2732" s="150" t="s">
        <v>3051</v>
      </c>
      <c r="D2732" s="120" t="s">
        <v>3052</v>
      </c>
      <c r="E2732" s="892" t="s">
        <v>3053</v>
      </c>
      <c r="F2732" s="902" t="s">
        <v>36</v>
      </c>
      <c r="G2732" s="528"/>
      <c r="H2732" s="546" t="s">
        <v>37</v>
      </c>
      <c r="I2732" s="711">
        <v>0</v>
      </c>
      <c r="J2732" s="896" t="str">
        <f t="shared" ref="J2732" si="11051">IFERROR((I2733/I2732),"-")</f>
        <v>-</v>
      </c>
      <c r="K2732" s="528"/>
      <c r="L2732" s="546" t="s">
        <v>37</v>
      </c>
      <c r="M2732" s="711">
        <f t="shared" si="10800"/>
        <v>0</v>
      </c>
      <c r="N2732" s="896" t="str">
        <f t="shared" ref="N2732" si="11052">IFERROR((M2733/M2732),"-")</f>
        <v>-</v>
      </c>
      <c r="O2732" s="528"/>
      <c r="P2732" s="547">
        <v>0</v>
      </c>
      <c r="Q2732" s="547">
        <v>0</v>
      </c>
      <c r="R2732" s="547">
        <v>0</v>
      </c>
      <c r="S2732" s="547">
        <v>0</v>
      </c>
      <c r="T2732" s="547">
        <v>0</v>
      </c>
      <c r="U2732" s="547">
        <v>0</v>
      </c>
      <c r="V2732" s="547">
        <v>0</v>
      </c>
      <c r="W2732" s="528"/>
      <c r="X2732" s="711">
        <f t="shared" si="10794"/>
        <v>0</v>
      </c>
      <c r="Y2732" s="896" t="str">
        <f t="shared" ref="Y2732" si="11053">IFERROR((X2733/X2732),"-")</f>
        <v>-</v>
      </c>
      <c r="Z2732" s="528"/>
      <c r="AA2732" s="898">
        <v>0</v>
      </c>
      <c r="AB2732" s="898">
        <v>0</v>
      </c>
      <c r="AC2732" s="903">
        <v>0</v>
      </c>
      <c r="AD2732" s="896" t="str">
        <f t="shared" ref="AD2732" si="11054">IFERROR((AC2732/AA2732),"-")</f>
        <v>-</v>
      </c>
      <c r="AE2732" s="2"/>
      <c r="AF2732" s="884">
        <v>314</v>
      </c>
      <c r="AG2732" s="884"/>
      <c r="AH2732" s="884">
        <v>0</v>
      </c>
      <c r="AI2732" s="884"/>
      <c r="AJ2732" s="884"/>
      <c r="AK2732" s="884">
        <f t="shared" ref="AK2732" si="11055">AF2732+AG2732+AH2732+AI2732+AJ2732+AC2732</f>
        <v>314</v>
      </c>
      <c r="AL2732" s="884">
        <v>314</v>
      </c>
      <c r="AM2732" s="878">
        <f t="shared" ref="AM2732" si="11056">IFERROR((AK2732/AL2732),"-")</f>
        <v>1</v>
      </c>
      <c r="AN2732" s="2"/>
      <c r="AO2732" s="884">
        <v>314</v>
      </c>
      <c r="AP2732" s="884">
        <f t="shared" ref="AP2732" si="11057">AO2732-AK2732</f>
        <v>0</v>
      </c>
      <c r="AV2732" t="str">
        <f t="shared" si="10910"/>
        <v xml:space="preserve">   Seg. 3.1- ADME 12 - Drenagem Superficial - Descida D´água</v>
      </c>
      <c r="AW2732" s="4" t="str">
        <f t="shared" si="10901"/>
        <v xml:space="preserve">   Seg. 2.3-A01 - Execução de sublastro</v>
      </c>
    </row>
    <row r="2733" spans="1:49" ht="15.6" customHeight="1" outlineLevel="2">
      <c r="A2733" s="8" t="str">
        <f t="shared" ref="A2733" si="11058">A2732</f>
        <v>N</v>
      </c>
      <c r="B2733" s="150"/>
      <c r="C2733" s="150" t="s">
        <v>3051</v>
      </c>
      <c r="D2733" s="120" t="s">
        <v>3052</v>
      </c>
      <c r="E2733" s="893"/>
      <c r="F2733" s="902"/>
      <c r="G2733" s="528"/>
      <c r="H2733" s="549" t="s">
        <v>38</v>
      </c>
      <c r="I2733" s="711">
        <v>0</v>
      </c>
      <c r="J2733" s="897"/>
      <c r="K2733" s="528"/>
      <c r="L2733" s="549" t="s">
        <v>38</v>
      </c>
      <c r="M2733" s="711">
        <f t="shared" si="10800"/>
        <v>0</v>
      </c>
      <c r="N2733" s="897"/>
      <c r="O2733" s="528"/>
      <c r="P2733" s="548">
        <v>0</v>
      </c>
      <c r="Q2733" s="548">
        <v>0</v>
      </c>
      <c r="R2733" s="548">
        <v>0</v>
      </c>
      <c r="S2733" s="548">
        <v>0</v>
      </c>
      <c r="T2733" s="548">
        <v>0</v>
      </c>
      <c r="U2733" s="548">
        <v>0</v>
      </c>
      <c r="V2733" s="548">
        <v>0</v>
      </c>
      <c r="W2733" s="528"/>
      <c r="X2733" s="711">
        <f t="shared" si="10794"/>
        <v>0</v>
      </c>
      <c r="Y2733" s="897"/>
      <c r="Z2733" s="528"/>
      <c r="AA2733" s="899"/>
      <c r="AB2733" s="899"/>
      <c r="AC2733" s="904"/>
      <c r="AD2733" s="905"/>
      <c r="AE2733" s="2"/>
      <c r="AF2733" s="885"/>
      <c r="AG2733" s="885"/>
      <c r="AH2733" s="885"/>
      <c r="AI2733" s="885"/>
      <c r="AJ2733" s="885"/>
      <c r="AK2733" s="885"/>
      <c r="AL2733" s="885"/>
      <c r="AM2733" s="879"/>
      <c r="AN2733" s="2"/>
      <c r="AO2733" s="886"/>
      <c r="AP2733" s="886"/>
      <c r="AV2733" t="str">
        <f t="shared" si="10910"/>
        <v xml:space="preserve">   Seg. 3.1- ADME 12 - Drenagem Superficial - Descida D´água</v>
      </c>
      <c r="AW2733" s="4" t="str">
        <f t="shared" si="10901"/>
        <v xml:space="preserve">   Seg. 2.3-A01 - Execução de sublastro</v>
      </c>
    </row>
    <row r="2734" spans="1:49" ht="15.6" customHeight="1" outlineLevel="2">
      <c r="A2734" s="8" t="str">
        <f t="shared" ref="A2734" si="11059">IF(SUM(P2734:V2735)&gt;0,"S","N")</f>
        <v>N</v>
      </c>
      <c r="B2734" s="150">
        <v>1069878</v>
      </c>
      <c r="C2734" s="150" t="s">
        <v>3054</v>
      </c>
      <c r="D2734" s="120" t="s">
        <v>3055</v>
      </c>
      <c r="E2734" s="892" t="s">
        <v>3056</v>
      </c>
      <c r="F2734" s="902" t="s">
        <v>36</v>
      </c>
      <c r="G2734" s="528"/>
      <c r="H2734" s="546" t="s">
        <v>37</v>
      </c>
      <c r="I2734" s="711">
        <v>0</v>
      </c>
      <c r="J2734" s="896" t="str">
        <f t="shared" ref="J2734" si="11060">IFERROR((I2735/I2734),"-")</f>
        <v>-</v>
      </c>
      <c r="K2734" s="528"/>
      <c r="L2734" s="546" t="s">
        <v>37</v>
      </c>
      <c r="M2734" s="711">
        <f t="shared" si="10800"/>
        <v>0</v>
      </c>
      <c r="N2734" s="896" t="str">
        <f t="shared" ref="N2734" si="11061">IFERROR((M2735/M2734),"-")</f>
        <v>-</v>
      </c>
      <c r="O2734" s="528"/>
      <c r="P2734" s="547">
        <v>0</v>
      </c>
      <c r="Q2734" s="547">
        <v>0</v>
      </c>
      <c r="R2734" s="547">
        <v>0</v>
      </c>
      <c r="S2734" s="547">
        <v>0</v>
      </c>
      <c r="T2734" s="547">
        <v>0</v>
      </c>
      <c r="U2734" s="547">
        <v>0</v>
      </c>
      <c r="V2734" s="547">
        <v>0</v>
      </c>
      <c r="W2734" s="528"/>
      <c r="X2734" s="711">
        <f t="shared" si="10794"/>
        <v>0</v>
      </c>
      <c r="Y2734" s="896" t="str">
        <f t="shared" ref="Y2734" si="11062">IFERROR((X2735/X2734),"-")</f>
        <v>-</v>
      </c>
      <c r="Z2734" s="528"/>
      <c r="AA2734" s="898">
        <v>0</v>
      </c>
      <c r="AB2734" s="898">
        <v>0</v>
      </c>
      <c r="AC2734" s="903">
        <v>0</v>
      </c>
      <c r="AD2734" s="896" t="str">
        <f t="shared" ref="AD2734" si="11063">IFERROR((AC2734/AA2734),"-")</f>
        <v>-</v>
      </c>
      <c r="AE2734" s="2"/>
      <c r="AF2734" s="884">
        <v>0</v>
      </c>
      <c r="AG2734" s="884"/>
      <c r="AH2734" s="884">
        <v>0</v>
      </c>
      <c r="AI2734" s="884"/>
      <c r="AJ2734" s="884"/>
      <c r="AK2734" s="884">
        <f t="shared" ref="AK2734" si="11064">AF2734+AG2734+AH2734+AI2734+AJ2734+AC2734</f>
        <v>0</v>
      </c>
      <c r="AL2734" s="884">
        <v>0</v>
      </c>
      <c r="AM2734" s="878" t="str">
        <f t="shared" ref="AM2734" si="11065">IFERROR((AK2734/AL2734),"-")</f>
        <v>-</v>
      </c>
      <c r="AN2734" s="2"/>
      <c r="AO2734" s="884">
        <v>4345</v>
      </c>
      <c r="AP2734" s="884">
        <f t="shared" ref="AP2734" si="11066">AO2734-AK2734</f>
        <v>4345</v>
      </c>
      <c r="AV2734" t="str">
        <f t="shared" si="10910"/>
        <v xml:space="preserve">   Seg. 3.1- ADME 12 - Drenagem Superficial - Descida D´água</v>
      </c>
      <c r="AW2734" s="4" t="str">
        <f t="shared" si="10901"/>
        <v xml:space="preserve">   Seg. 2.3-C08 - Execução de sublastro</v>
      </c>
    </row>
    <row r="2735" spans="1:49" ht="15.6" customHeight="1" outlineLevel="2">
      <c r="A2735" s="8" t="str">
        <f t="shared" ref="A2735" si="11067">A2734</f>
        <v>N</v>
      </c>
      <c r="B2735" s="150"/>
      <c r="C2735" s="150" t="s">
        <v>3054</v>
      </c>
      <c r="D2735" s="120" t="s">
        <v>3055</v>
      </c>
      <c r="E2735" s="893"/>
      <c r="F2735" s="902"/>
      <c r="G2735" s="528"/>
      <c r="H2735" s="549" t="s">
        <v>38</v>
      </c>
      <c r="I2735" s="711">
        <v>0</v>
      </c>
      <c r="J2735" s="897"/>
      <c r="K2735" s="528"/>
      <c r="L2735" s="549" t="s">
        <v>38</v>
      </c>
      <c r="M2735" s="711">
        <f t="shared" si="10800"/>
        <v>0</v>
      </c>
      <c r="N2735" s="897"/>
      <c r="O2735" s="528"/>
      <c r="P2735" s="548">
        <v>0</v>
      </c>
      <c r="Q2735" s="548">
        <v>0</v>
      </c>
      <c r="R2735" s="548">
        <v>0</v>
      </c>
      <c r="S2735" s="548">
        <v>0</v>
      </c>
      <c r="T2735" s="548">
        <v>0</v>
      </c>
      <c r="U2735" s="548">
        <v>0</v>
      </c>
      <c r="V2735" s="548">
        <v>0</v>
      </c>
      <c r="W2735" s="528"/>
      <c r="X2735" s="711">
        <f t="shared" si="10794"/>
        <v>0</v>
      </c>
      <c r="Y2735" s="897"/>
      <c r="Z2735" s="528"/>
      <c r="AA2735" s="899"/>
      <c r="AB2735" s="899"/>
      <c r="AC2735" s="904"/>
      <c r="AD2735" s="905"/>
      <c r="AE2735" s="2"/>
      <c r="AF2735" s="885"/>
      <c r="AG2735" s="885"/>
      <c r="AH2735" s="885"/>
      <c r="AI2735" s="885"/>
      <c r="AJ2735" s="885"/>
      <c r="AK2735" s="885"/>
      <c r="AL2735" s="885"/>
      <c r="AM2735" s="879"/>
      <c r="AN2735" s="2"/>
      <c r="AO2735" s="886"/>
      <c r="AP2735" s="886"/>
      <c r="AV2735" t="str">
        <f t="shared" si="10910"/>
        <v xml:space="preserve">   Seg. 3.1- ADME 12 - Drenagem Superficial - Descida D´água</v>
      </c>
      <c r="AW2735" s="4" t="str">
        <f t="shared" si="10901"/>
        <v xml:space="preserve">   Seg. 2.3-C08 - Execução de sublastro</v>
      </c>
    </row>
    <row r="2736" spans="1:49" ht="15.6" customHeight="1" outlineLevel="2">
      <c r="A2736" s="209">
        <v>0</v>
      </c>
      <c r="B2736" s="150"/>
      <c r="C2736" s="150"/>
      <c r="D2736" s="117"/>
      <c r="E2736" s="535"/>
      <c r="F2736" s="536"/>
      <c r="G2736" s="537"/>
      <c r="H2736" s="714"/>
      <c r="I2736" s="538"/>
      <c r="J2736" s="714"/>
      <c r="K2736" s="537"/>
      <c r="L2736" s="714"/>
      <c r="M2736" s="538"/>
      <c r="N2736" s="714"/>
      <c r="O2736" s="537"/>
      <c r="P2736" s="539"/>
      <c r="Q2736" s="539"/>
      <c r="R2736" s="539"/>
      <c r="S2736" s="539"/>
      <c r="T2736" s="539"/>
      <c r="U2736" s="539"/>
      <c r="V2736" s="539"/>
      <c r="W2736" s="537"/>
      <c r="X2736" s="540"/>
      <c r="Y2736" s="537"/>
      <c r="Z2736" s="537"/>
      <c r="AA2736" s="250"/>
      <c r="AB2736" s="250"/>
      <c r="AC2736" s="249"/>
      <c r="AD2736" s="537"/>
      <c r="AE2736" s="3"/>
      <c r="AF2736" s="36"/>
      <c r="AG2736" s="36"/>
      <c r="AH2736" s="36"/>
      <c r="AI2736" s="36"/>
      <c r="AJ2736" s="36"/>
      <c r="AK2736" s="36"/>
      <c r="AL2736" s="36"/>
      <c r="AM2736" s="3"/>
      <c r="AN2736" s="3"/>
      <c r="AO2736" s="36"/>
      <c r="AP2736" s="36"/>
      <c r="AV2736" t="str">
        <f t="shared" si="10910"/>
        <v xml:space="preserve">   Seg. 3.1- ADME 12 - Drenagem Superficial - Descida D´água</v>
      </c>
      <c r="AW2736" s="4" t="str">
        <f t="shared" si="10901"/>
        <v xml:space="preserve">   Seg. 2.3-C08 - Execução de sublastro</v>
      </c>
    </row>
    <row r="2737" spans="1:49" ht="15.6" customHeight="1" outlineLevel="2">
      <c r="A2737" s="209">
        <v>0</v>
      </c>
      <c r="B2737" s="150"/>
      <c r="C2737" s="150"/>
      <c r="D2737" s="117"/>
      <c r="E2737" s="535"/>
      <c r="F2737" s="541"/>
      <c r="G2737" s="537"/>
      <c r="H2737" s="537"/>
      <c r="I2737" s="249"/>
      <c r="J2737" s="537"/>
      <c r="K2737" s="537"/>
      <c r="L2737" s="537"/>
      <c r="M2737" s="249"/>
      <c r="N2737" s="537"/>
      <c r="O2737" s="537"/>
      <c r="P2737" s="539"/>
      <c r="Q2737" s="539"/>
      <c r="R2737" s="539"/>
      <c r="S2737" s="539"/>
      <c r="T2737" s="539"/>
      <c r="U2737" s="539"/>
      <c r="V2737" s="539"/>
      <c r="W2737" s="537"/>
      <c r="X2737" s="540"/>
      <c r="Y2737" s="537"/>
      <c r="Z2737" s="537"/>
      <c r="AA2737" s="249"/>
      <c r="AB2737" s="249"/>
      <c r="AC2737" s="249"/>
      <c r="AD2737" s="537"/>
      <c r="AE2737" s="3"/>
      <c r="AF2737" s="35"/>
      <c r="AG2737" s="35"/>
      <c r="AH2737" s="35"/>
      <c r="AI2737" s="35"/>
      <c r="AJ2737" s="35"/>
      <c r="AK2737" s="35"/>
      <c r="AL2737" s="35"/>
      <c r="AM2737" s="3"/>
      <c r="AN2737" s="3"/>
      <c r="AO2737" s="35"/>
      <c r="AP2737" s="35"/>
      <c r="AV2737" t="str">
        <f t="shared" si="10910"/>
        <v xml:space="preserve">   Seg. 3.1- ADME 12 - Drenagem Superficial - Descida D´água</v>
      </c>
      <c r="AW2737" s="4" t="str">
        <f t="shared" si="10901"/>
        <v xml:space="preserve">   Seg. 2.3-C08 - Execução de sublastro</v>
      </c>
    </row>
    <row r="2738" spans="1:49" ht="15.6" customHeight="1" outlineLevel="2">
      <c r="A2738" s="209">
        <v>0</v>
      </c>
      <c r="B2738" s="150"/>
      <c r="C2738" s="150"/>
      <c r="D2738" s="122"/>
      <c r="E2738" s="913" t="s">
        <v>42</v>
      </c>
      <c r="F2738" s="859" t="s">
        <v>36</v>
      </c>
      <c r="G2738" s="528"/>
      <c r="H2738" s="542" t="s">
        <v>37</v>
      </c>
      <c r="I2738" s="543">
        <f>SUMIF($L2740:$L2761,$L2738,I2740:I2761)</f>
        <v>0</v>
      </c>
      <c r="J2738" s="860" t="str">
        <f>IFERROR((I2739/I2738),"-")</f>
        <v>-</v>
      </c>
      <c r="K2738" s="528"/>
      <c r="L2738" s="542" t="s">
        <v>37</v>
      </c>
      <c r="M2738" s="543">
        <f>SUMIF($L2740:$L2761,$L2738,M2740:M2761)</f>
        <v>0</v>
      </c>
      <c r="N2738" s="860" t="str">
        <f>IFERROR((M2739/M2738),"-")</f>
        <v>-</v>
      </c>
      <c r="O2738" s="528"/>
      <c r="P2738" s="543">
        <f t="shared" ref="P2738:U2738" si="11068">SUMIF($L2740:$L2761,$L2738,P2740:P2761)</f>
        <v>0</v>
      </c>
      <c r="Q2738" s="543">
        <f t="shared" si="11068"/>
        <v>0</v>
      </c>
      <c r="R2738" s="543">
        <f t="shared" si="11068"/>
        <v>0</v>
      </c>
      <c r="S2738" s="543">
        <f t="shared" si="11068"/>
        <v>0</v>
      </c>
      <c r="T2738" s="543">
        <f t="shared" si="11068"/>
        <v>0</v>
      </c>
      <c r="U2738" s="543">
        <f t="shared" si="11068"/>
        <v>0</v>
      </c>
      <c r="V2738" s="566"/>
      <c r="W2738" s="528"/>
      <c r="X2738" s="543">
        <f t="shared" ref="X2738:X2739" si="11069">SUMIFS(P2738:V2738,$P$8:$V$8,"&gt;="&amp;$P$8,$P$8:$V$8,"&lt;="&amp;$N$8)</f>
        <v>0</v>
      </c>
      <c r="Y2738" s="860" t="str">
        <f>IFERROR((X2739/X2738),"-")</f>
        <v>-</v>
      </c>
      <c r="Z2738" s="528"/>
      <c r="AA2738" s="814">
        <f>SUM(AA2740:AA2761)</f>
        <v>2877</v>
      </c>
      <c r="AB2738" s="814">
        <f>SUM(AB2740:AB2761)</f>
        <v>0</v>
      </c>
      <c r="AC2738" s="814">
        <f>SUM(AC2740:AC2761)</f>
        <v>0</v>
      </c>
      <c r="AD2738" s="911">
        <f>IFERROR((AC2738/AA2738),"-")</f>
        <v>0</v>
      </c>
      <c r="AE2738" s="2"/>
      <c r="AF2738" s="888">
        <f t="shared" ref="AF2738" si="11070">SUM(AF2740:AF2761)</f>
        <v>0</v>
      </c>
      <c r="AG2738" s="888">
        <f t="shared" ref="AG2738:AL2738" si="11071">SUM(AG2740:AG2761)</f>
        <v>0</v>
      </c>
      <c r="AH2738" s="888">
        <f t="shared" si="11071"/>
        <v>0</v>
      </c>
      <c r="AI2738" s="888">
        <f t="shared" si="11071"/>
        <v>0</v>
      </c>
      <c r="AJ2738" s="888">
        <f t="shared" si="11071"/>
        <v>0</v>
      </c>
      <c r="AK2738" s="888">
        <f t="shared" si="11071"/>
        <v>0</v>
      </c>
      <c r="AL2738" s="888">
        <f t="shared" si="11071"/>
        <v>0</v>
      </c>
      <c r="AM2738" s="743" t="str">
        <f>IFERROR((AK2738/AL2738),"-")</f>
        <v>-</v>
      </c>
      <c r="AN2738" s="2"/>
      <c r="AO2738" s="888">
        <f>SUM(AO2740:AO2761)</f>
        <v>14835.7</v>
      </c>
      <c r="AP2738" s="888">
        <f>SUM(AP2740:AP2761)</f>
        <v>14835.7</v>
      </c>
      <c r="AV2738" t="str">
        <f t="shared" si="10910"/>
        <v xml:space="preserve">   Seg. 3.1- ADME 12 - Drenagem Superficial - Descida D´água</v>
      </c>
      <c r="AW2738" s="4" t="str">
        <f t="shared" si="10901"/>
        <v>Pacote 05 - Segmento 2.4 - Km 131+260 a  Km 138+000</v>
      </c>
    </row>
    <row r="2739" spans="1:49" ht="15.6" customHeight="1" outlineLevel="2">
      <c r="A2739" s="209">
        <v>0</v>
      </c>
      <c r="B2739" s="150"/>
      <c r="C2739" s="150"/>
      <c r="D2739" s="123"/>
      <c r="E2739" s="913"/>
      <c r="F2739" s="859"/>
      <c r="G2739" s="528"/>
      <c r="H2739" s="544" t="s">
        <v>38</v>
      </c>
      <c r="I2739" s="543">
        <f>SUMIF($L2740:$L2805,$L2739,I2740:I2805)</f>
        <v>0</v>
      </c>
      <c r="J2739" s="861"/>
      <c r="K2739" s="528"/>
      <c r="L2739" s="544" t="s">
        <v>38</v>
      </c>
      <c r="M2739" s="543">
        <f>SUMIF($L2740:$L2805,$L2739,M2740:M2805)</f>
        <v>0</v>
      </c>
      <c r="N2739" s="861"/>
      <c r="O2739" s="528"/>
      <c r="P2739" s="543">
        <f t="shared" ref="P2739:U2739" si="11072">SUMIF($L2740:$L2805,$L2739,P2740:P2805)</f>
        <v>0</v>
      </c>
      <c r="Q2739" s="543">
        <f t="shared" si="11072"/>
        <v>0</v>
      </c>
      <c r="R2739" s="543">
        <f t="shared" si="11072"/>
        <v>0</v>
      </c>
      <c r="S2739" s="543">
        <f t="shared" si="11072"/>
        <v>0</v>
      </c>
      <c r="T2739" s="543">
        <f t="shared" si="11072"/>
        <v>0</v>
      </c>
      <c r="U2739" s="543">
        <f t="shared" si="11072"/>
        <v>0</v>
      </c>
      <c r="V2739" s="566"/>
      <c r="W2739" s="528"/>
      <c r="X2739" s="543">
        <f t="shared" si="11069"/>
        <v>0</v>
      </c>
      <c r="Y2739" s="861"/>
      <c r="Z2739" s="528"/>
      <c r="AA2739" s="815"/>
      <c r="AB2739" s="815"/>
      <c r="AC2739" s="815"/>
      <c r="AD2739" s="912"/>
      <c r="AE2739" s="2"/>
      <c r="AF2739" s="889"/>
      <c r="AG2739" s="889"/>
      <c r="AH2739" s="889"/>
      <c r="AI2739" s="889"/>
      <c r="AJ2739" s="889"/>
      <c r="AK2739" s="889"/>
      <c r="AL2739" s="889"/>
      <c r="AM2739" s="744"/>
      <c r="AN2739" s="2"/>
      <c r="AO2739" s="888"/>
      <c r="AP2739" s="888"/>
      <c r="AV2739" t="str">
        <f t="shared" si="10910"/>
        <v xml:space="preserve">   Seg. 3.1- ADME 12 - Drenagem Superficial - Descida D´água</v>
      </c>
      <c r="AW2739" s="4" t="str">
        <f t="shared" si="10901"/>
        <v>Pacote 05 - Segmento 2.4 - Km 131+260 a  Km 138+000</v>
      </c>
    </row>
    <row r="2740" spans="1:49" ht="15.6" customHeight="1" outlineLevel="2">
      <c r="A2740" s="8" t="str">
        <f t="shared" ref="A2740" si="11073">IF(SUM(P2740:V2741)&gt;0,"S","N")</f>
        <v>N</v>
      </c>
      <c r="B2740" s="150">
        <v>1065464</v>
      </c>
      <c r="C2740" s="150" t="s">
        <v>3057</v>
      </c>
      <c r="D2740" s="120" t="s">
        <v>3058</v>
      </c>
      <c r="E2740" s="892" t="s">
        <v>3059</v>
      </c>
      <c r="F2740" s="902" t="s">
        <v>36</v>
      </c>
      <c r="G2740" s="528"/>
      <c r="H2740" s="546" t="s">
        <v>37</v>
      </c>
      <c r="I2740" s="711">
        <v>0</v>
      </c>
      <c r="J2740" s="896" t="str">
        <f>IFERROR((I2741/I2740),"-")</f>
        <v>-</v>
      </c>
      <c r="K2740" s="528"/>
      <c r="L2740" s="546" t="s">
        <v>37</v>
      </c>
      <c r="M2740" s="711">
        <f t="shared" ref="M2740:M2761" si="11074">_xlfn.XLOOKUP($N$8,$P$8:$V$8,$P2740:$V2740)</f>
        <v>0</v>
      </c>
      <c r="N2740" s="896" t="str">
        <f>IFERROR((M2741/M2740),"-")</f>
        <v>-</v>
      </c>
      <c r="O2740" s="528"/>
      <c r="P2740" s="547">
        <v>0</v>
      </c>
      <c r="Q2740" s="547">
        <v>0</v>
      </c>
      <c r="R2740" s="547">
        <v>0</v>
      </c>
      <c r="S2740" s="547">
        <v>0</v>
      </c>
      <c r="T2740" s="547">
        <v>0</v>
      </c>
      <c r="U2740" s="547">
        <v>0</v>
      </c>
      <c r="V2740" s="547">
        <v>0</v>
      </c>
      <c r="W2740" s="528"/>
      <c r="X2740" s="711">
        <f>SUMIFS(P2740:V2740,$P$8:$V$8,"&gt;="&amp;$P$8,$P$8:$V$8,"&lt;="&amp;$N$8)</f>
        <v>0</v>
      </c>
      <c r="Y2740" s="896" t="str">
        <f>IFERROR((X2741/X2740),"-")</f>
        <v>-</v>
      </c>
      <c r="Z2740" s="528"/>
      <c r="AA2740" s="898">
        <v>0</v>
      </c>
      <c r="AB2740" s="898">
        <v>0</v>
      </c>
      <c r="AC2740" s="903">
        <v>0</v>
      </c>
      <c r="AD2740" s="896" t="str">
        <f t="shared" ref="AD2740" si="11075">IFERROR((AC2740/AA2740),"-")</f>
        <v>-</v>
      </c>
      <c r="AE2740" s="2"/>
      <c r="AF2740" s="884">
        <v>0</v>
      </c>
      <c r="AG2740" s="884"/>
      <c r="AH2740" s="884">
        <v>0</v>
      </c>
      <c r="AI2740" s="884"/>
      <c r="AJ2740" s="884"/>
      <c r="AK2740" s="884">
        <f t="shared" ref="AK2740" si="11076">AF2740+AG2740+AH2740+AI2740+AJ2740+AC2740</f>
        <v>0</v>
      </c>
      <c r="AL2740" s="884">
        <v>0</v>
      </c>
      <c r="AM2740" s="878" t="str">
        <f t="shared" ref="AM2740" si="11077">IFERROR((AK2740/AL2740),"-")</f>
        <v>-</v>
      </c>
      <c r="AN2740" s="2"/>
      <c r="AO2740" s="884">
        <v>881.7</v>
      </c>
      <c r="AP2740" s="884">
        <f t="shared" ref="AP2740" si="11078">AO2740-AK2740</f>
        <v>881.7</v>
      </c>
      <c r="AV2740" t="str">
        <f t="shared" si="10910"/>
        <v xml:space="preserve">   Seg. 3.1- ADME 12 - Drenagem Superficial - Descida D´água</v>
      </c>
      <c r="AW2740" s="4" t="str">
        <f t="shared" si="10901"/>
        <v xml:space="preserve">   Execução de sublastro - Seg.2.4 C 08</v>
      </c>
    </row>
    <row r="2741" spans="1:49" ht="15.6" customHeight="1" outlineLevel="2">
      <c r="A2741" s="8" t="str">
        <f t="shared" ref="A2741" si="11079">A2740</f>
        <v>N</v>
      </c>
      <c r="B2741" s="150"/>
      <c r="C2741" s="150" t="s">
        <v>3057</v>
      </c>
      <c r="D2741" s="120" t="s">
        <v>3058</v>
      </c>
      <c r="E2741" s="893"/>
      <c r="F2741" s="902"/>
      <c r="G2741" s="528"/>
      <c r="H2741" s="549" t="s">
        <v>38</v>
      </c>
      <c r="I2741" s="711">
        <v>0</v>
      </c>
      <c r="J2741" s="897"/>
      <c r="K2741" s="528"/>
      <c r="L2741" s="549" t="s">
        <v>38</v>
      </c>
      <c r="M2741" s="711">
        <f t="shared" si="11074"/>
        <v>0</v>
      </c>
      <c r="N2741" s="897"/>
      <c r="O2741" s="528"/>
      <c r="P2741" s="548">
        <v>0</v>
      </c>
      <c r="Q2741" s="548">
        <v>0</v>
      </c>
      <c r="R2741" s="548">
        <v>0</v>
      </c>
      <c r="S2741" s="548">
        <v>0</v>
      </c>
      <c r="T2741" s="548">
        <v>0</v>
      </c>
      <c r="U2741" s="548">
        <v>0</v>
      </c>
      <c r="V2741" s="548">
        <v>0</v>
      </c>
      <c r="W2741" s="528"/>
      <c r="X2741" s="711">
        <f>SUMIFS(P2741:V2741,$P$8:$V$8,"&gt;="&amp;$P$8,$P$8:$V$8,"&lt;="&amp;$N$8)</f>
        <v>0</v>
      </c>
      <c r="Y2741" s="897"/>
      <c r="Z2741" s="528"/>
      <c r="AA2741" s="899"/>
      <c r="AB2741" s="899"/>
      <c r="AC2741" s="904"/>
      <c r="AD2741" s="905"/>
      <c r="AE2741" s="2"/>
      <c r="AF2741" s="885"/>
      <c r="AG2741" s="885"/>
      <c r="AH2741" s="885"/>
      <c r="AI2741" s="885"/>
      <c r="AJ2741" s="885"/>
      <c r="AK2741" s="885"/>
      <c r="AL2741" s="885"/>
      <c r="AM2741" s="879"/>
      <c r="AN2741" s="2"/>
      <c r="AO2741" s="886"/>
      <c r="AP2741" s="886"/>
      <c r="AV2741" t="str">
        <f t="shared" si="10910"/>
        <v xml:space="preserve">   Seg. 3.1- ADME 12 - Drenagem Superficial - Descida D´água</v>
      </c>
      <c r="AW2741" s="4" t="str">
        <f t="shared" si="10901"/>
        <v xml:space="preserve">   Execução de sublastro - Seg.2.4 C 08</v>
      </c>
    </row>
    <row r="2742" spans="1:49" ht="15.6" customHeight="1" outlineLevel="2">
      <c r="A2742" s="8" t="str">
        <f t="shared" ref="A2742" si="11080">IF(SUM(P2742:V2743)&gt;0,"S","N")</f>
        <v>N</v>
      </c>
      <c r="B2742" s="150">
        <v>1065702</v>
      </c>
      <c r="C2742" s="150" t="s">
        <v>3060</v>
      </c>
      <c r="D2742" s="120" t="s">
        <v>3061</v>
      </c>
      <c r="E2742" s="892" t="s">
        <v>3062</v>
      </c>
      <c r="F2742" s="902" t="s">
        <v>36</v>
      </c>
      <c r="G2742" s="528"/>
      <c r="H2742" s="546" t="s">
        <v>37</v>
      </c>
      <c r="I2742" s="711">
        <v>0</v>
      </c>
      <c r="J2742" s="896" t="str">
        <f t="shared" ref="J2742" si="11081">IFERROR((I2743/I2742),"-")</f>
        <v>-</v>
      </c>
      <c r="K2742" s="528"/>
      <c r="L2742" s="546" t="s">
        <v>37</v>
      </c>
      <c r="M2742" s="711">
        <f t="shared" si="11074"/>
        <v>0</v>
      </c>
      <c r="N2742" s="896" t="str">
        <f t="shared" ref="N2742" si="11082">IFERROR((M2743/M2742),"-")</f>
        <v>-</v>
      </c>
      <c r="O2742" s="528"/>
      <c r="P2742" s="547">
        <v>0</v>
      </c>
      <c r="Q2742" s="547">
        <v>0</v>
      </c>
      <c r="R2742" s="547">
        <v>0</v>
      </c>
      <c r="S2742" s="547">
        <v>0</v>
      </c>
      <c r="T2742" s="547">
        <v>0</v>
      </c>
      <c r="U2742" s="547">
        <v>0</v>
      </c>
      <c r="V2742" s="547">
        <v>0</v>
      </c>
      <c r="W2742" s="528"/>
      <c r="X2742" s="711">
        <f t="shared" ref="X2742:X2761" si="11083">SUMIFS(P2742:V2742,$P$8:$V$8,"&gt;="&amp;$P$8,$P$8:$V$8,"&lt;="&amp;$N$8)</f>
        <v>0</v>
      </c>
      <c r="Y2742" s="896" t="str">
        <f t="shared" ref="Y2742" si="11084">IFERROR((X2743/X2742),"-")</f>
        <v>-</v>
      </c>
      <c r="Z2742" s="528"/>
      <c r="AA2742" s="898">
        <v>0</v>
      </c>
      <c r="AB2742" s="898">
        <v>0</v>
      </c>
      <c r="AC2742" s="903">
        <v>0</v>
      </c>
      <c r="AD2742" s="896" t="str">
        <f t="shared" ref="AD2742" si="11085">IFERROR((AC2742/AA2742),"-")</f>
        <v>-</v>
      </c>
      <c r="AE2742" s="2"/>
      <c r="AF2742" s="884">
        <v>0</v>
      </c>
      <c r="AG2742" s="884"/>
      <c r="AH2742" s="884">
        <v>0</v>
      </c>
      <c r="AI2742" s="884"/>
      <c r="AJ2742" s="884"/>
      <c r="AK2742" s="884">
        <f t="shared" ref="AK2742" si="11086">AF2742+AG2742+AH2742+AI2742+AJ2742+AC2742</f>
        <v>0</v>
      </c>
      <c r="AL2742" s="884">
        <v>0</v>
      </c>
      <c r="AM2742" s="878" t="str">
        <f t="shared" ref="AM2742" si="11087">IFERROR((AK2742/AL2742),"-")</f>
        <v>-</v>
      </c>
      <c r="AN2742" s="2"/>
      <c r="AO2742" s="884">
        <v>8570</v>
      </c>
      <c r="AP2742" s="884">
        <f t="shared" ref="AP2742" si="11088">AO2742-AK2742</f>
        <v>8570</v>
      </c>
      <c r="AV2742" t="str">
        <f t="shared" si="10910"/>
        <v xml:space="preserve">   Seg. 3.1- ADME 12 - Drenagem Superficial - Descida D´água</v>
      </c>
      <c r="AW2742" s="4" t="str">
        <f t="shared" si="10901"/>
        <v xml:space="preserve">   Execução de sublastro - Seg.2.4 CA 01</v>
      </c>
    </row>
    <row r="2743" spans="1:49" ht="15.6" customHeight="1" outlineLevel="2">
      <c r="A2743" s="8" t="str">
        <f t="shared" ref="A2743" si="11089">A2742</f>
        <v>N</v>
      </c>
      <c r="B2743" s="150"/>
      <c r="C2743" s="150" t="s">
        <v>3060</v>
      </c>
      <c r="D2743" s="120" t="s">
        <v>3061</v>
      </c>
      <c r="E2743" s="893"/>
      <c r="F2743" s="902"/>
      <c r="G2743" s="528"/>
      <c r="H2743" s="549" t="s">
        <v>38</v>
      </c>
      <c r="I2743" s="711">
        <v>0</v>
      </c>
      <c r="J2743" s="897"/>
      <c r="K2743" s="528"/>
      <c r="L2743" s="549" t="s">
        <v>38</v>
      </c>
      <c r="M2743" s="711">
        <f t="shared" si="11074"/>
        <v>0</v>
      </c>
      <c r="N2743" s="897"/>
      <c r="O2743" s="528"/>
      <c r="P2743" s="548">
        <v>0</v>
      </c>
      <c r="Q2743" s="548">
        <v>0</v>
      </c>
      <c r="R2743" s="548">
        <v>0</v>
      </c>
      <c r="S2743" s="548">
        <v>0</v>
      </c>
      <c r="T2743" s="548">
        <v>0</v>
      </c>
      <c r="U2743" s="548">
        <v>0</v>
      </c>
      <c r="V2743" s="548">
        <v>0</v>
      </c>
      <c r="W2743" s="528"/>
      <c r="X2743" s="711">
        <f t="shared" si="11083"/>
        <v>0</v>
      </c>
      <c r="Y2743" s="897"/>
      <c r="Z2743" s="528"/>
      <c r="AA2743" s="899"/>
      <c r="AB2743" s="899"/>
      <c r="AC2743" s="904"/>
      <c r="AD2743" s="905"/>
      <c r="AE2743" s="2"/>
      <c r="AF2743" s="885"/>
      <c r="AG2743" s="885"/>
      <c r="AH2743" s="885"/>
      <c r="AI2743" s="885"/>
      <c r="AJ2743" s="885"/>
      <c r="AK2743" s="885"/>
      <c r="AL2743" s="885"/>
      <c r="AM2743" s="879"/>
      <c r="AN2743" s="2"/>
      <c r="AO2743" s="886"/>
      <c r="AP2743" s="886"/>
      <c r="AV2743" t="str">
        <f t="shared" si="10910"/>
        <v xml:space="preserve">   Seg. 3.1- ADME 12 - Drenagem Superficial - Descida D´água</v>
      </c>
      <c r="AW2743" s="4" t="str">
        <f t="shared" si="10901"/>
        <v xml:space="preserve">   Execução de sublastro - Seg.2.4 CA 01</v>
      </c>
    </row>
    <row r="2744" spans="1:49" ht="15.6" customHeight="1" outlineLevel="2">
      <c r="A2744" s="8" t="str">
        <f t="shared" ref="A2744" si="11090">IF(SUM(P2744:V2745)&gt;0,"S","N")</f>
        <v>N</v>
      </c>
      <c r="B2744" s="150">
        <v>1065703</v>
      </c>
      <c r="C2744" s="150" t="s">
        <v>3063</v>
      </c>
      <c r="D2744" s="120" t="s">
        <v>3064</v>
      </c>
      <c r="E2744" s="892" t="s">
        <v>3065</v>
      </c>
      <c r="F2744" s="902" t="s">
        <v>36</v>
      </c>
      <c r="G2744" s="528"/>
      <c r="H2744" s="546" t="s">
        <v>37</v>
      </c>
      <c r="I2744" s="711">
        <v>0</v>
      </c>
      <c r="J2744" s="896" t="str">
        <f t="shared" ref="J2744" si="11091">IFERROR((I2745/I2744),"-")</f>
        <v>-</v>
      </c>
      <c r="K2744" s="528"/>
      <c r="L2744" s="546" t="s">
        <v>37</v>
      </c>
      <c r="M2744" s="711">
        <f t="shared" si="11074"/>
        <v>0</v>
      </c>
      <c r="N2744" s="896" t="str">
        <f t="shared" ref="N2744" si="11092">IFERROR((M2745/M2744),"-")</f>
        <v>-</v>
      </c>
      <c r="O2744" s="528"/>
      <c r="P2744" s="547">
        <v>0</v>
      </c>
      <c r="Q2744" s="547">
        <v>0</v>
      </c>
      <c r="R2744" s="547">
        <v>0</v>
      </c>
      <c r="S2744" s="547">
        <v>0</v>
      </c>
      <c r="T2744" s="547">
        <v>0</v>
      </c>
      <c r="U2744" s="547">
        <v>0</v>
      </c>
      <c r="V2744" s="547">
        <v>0</v>
      </c>
      <c r="W2744" s="528"/>
      <c r="X2744" s="711">
        <f t="shared" si="11083"/>
        <v>0</v>
      </c>
      <c r="Y2744" s="896" t="str">
        <f t="shared" ref="Y2744" si="11093">IFERROR((X2745/X2744),"-")</f>
        <v>-</v>
      </c>
      <c r="Z2744" s="528"/>
      <c r="AA2744" s="898">
        <v>232</v>
      </c>
      <c r="AB2744" s="898">
        <v>0</v>
      </c>
      <c r="AC2744" s="903">
        <v>0</v>
      </c>
      <c r="AD2744" s="896">
        <f t="shared" ref="AD2744" si="11094">IFERROR((AC2744/AA2744),"-")</f>
        <v>0</v>
      </c>
      <c r="AE2744" s="2"/>
      <c r="AF2744" s="884">
        <v>0</v>
      </c>
      <c r="AG2744" s="884"/>
      <c r="AH2744" s="884">
        <v>0</v>
      </c>
      <c r="AI2744" s="884"/>
      <c r="AJ2744" s="884"/>
      <c r="AK2744" s="884">
        <f t="shared" ref="AK2744" si="11095">AF2744+AG2744+AH2744+AI2744+AJ2744+AC2744</f>
        <v>0</v>
      </c>
      <c r="AL2744" s="884">
        <v>0</v>
      </c>
      <c r="AM2744" s="878" t="str">
        <f t="shared" ref="AM2744" si="11096">IFERROR((AK2744/AL2744),"-")</f>
        <v>-</v>
      </c>
      <c r="AN2744" s="2"/>
      <c r="AO2744" s="884">
        <v>232</v>
      </c>
      <c r="AP2744" s="884">
        <f t="shared" ref="AP2744" si="11097">AO2744-AK2744</f>
        <v>232</v>
      </c>
      <c r="AV2744" t="str">
        <f t="shared" si="10910"/>
        <v xml:space="preserve">   Seg. 3.1- ADME 12 - Drenagem Superficial - Descida D´água</v>
      </c>
      <c r="AW2744" s="4" t="str">
        <f t="shared" si="10901"/>
        <v xml:space="preserve">   Execução de sublastro - Seg.2.4 CA 02</v>
      </c>
    </row>
    <row r="2745" spans="1:49" ht="15.6" customHeight="1" outlineLevel="2">
      <c r="A2745" s="8" t="str">
        <f t="shared" ref="A2745" si="11098">A2744</f>
        <v>N</v>
      </c>
      <c r="B2745" s="150"/>
      <c r="C2745" s="150" t="s">
        <v>3063</v>
      </c>
      <c r="D2745" s="120" t="s">
        <v>3064</v>
      </c>
      <c r="E2745" s="893"/>
      <c r="F2745" s="902"/>
      <c r="G2745" s="528"/>
      <c r="H2745" s="549" t="s">
        <v>38</v>
      </c>
      <c r="I2745" s="711">
        <v>0</v>
      </c>
      <c r="J2745" s="897"/>
      <c r="K2745" s="528"/>
      <c r="L2745" s="549" t="s">
        <v>38</v>
      </c>
      <c r="M2745" s="711">
        <f t="shared" si="11074"/>
        <v>0</v>
      </c>
      <c r="N2745" s="897"/>
      <c r="O2745" s="528"/>
      <c r="P2745" s="548">
        <v>0</v>
      </c>
      <c r="Q2745" s="548">
        <v>0</v>
      </c>
      <c r="R2745" s="548">
        <v>0</v>
      </c>
      <c r="S2745" s="548">
        <v>0</v>
      </c>
      <c r="T2745" s="548">
        <v>0</v>
      </c>
      <c r="U2745" s="548">
        <v>0</v>
      </c>
      <c r="V2745" s="548">
        <v>0</v>
      </c>
      <c r="W2745" s="528"/>
      <c r="X2745" s="711">
        <f t="shared" si="11083"/>
        <v>0</v>
      </c>
      <c r="Y2745" s="897"/>
      <c r="Z2745" s="528"/>
      <c r="AA2745" s="899"/>
      <c r="AB2745" s="899"/>
      <c r="AC2745" s="904"/>
      <c r="AD2745" s="905"/>
      <c r="AE2745" s="2"/>
      <c r="AF2745" s="885"/>
      <c r="AG2745" s="885"/>
      <c r="AH2745" s="885"/>
      <c r="AI2745" s="885"/>
      <c r="AJ2745" s="885"/>
      <c r="AK2745" s="885"/>
      <c r="AL2745" s="885"/>
      <c r="AM2745" s="879"/>
      <c r="AN2745" s="2"/>
      <c r="AO2745" s="886"/>
      <c r="AP2745" s="886"/>
      <c r="AV2745" t="str">
        <f t="shared" si="10910"/>
        <v xml:space="preserve">   Seg. 3.1- ADME 12 - Drenagem Superficial - Descida D´água</v>
      </c>
      <c r="AW2745" s="4" t="str">
        <f t="shared" si="10901"/>
        <v xml:space="preserve">   Execução de sublastro - Seg.2.4 CA 02</v>
      </c>
    </row>
    <row r="2746" spans="1:49" ht="15.6" customHeight="1" outlineLevel="2">
      <c r="A2746" s="8" t="str">
        <f t="shared" ref="A2746" si="11099">IF(SUM(P2746:V2747)&gt;0,"S","N")</f>
        <v>N</v>
      </c>
      <c r="B2746" s="150">
        <v>1065704</v>
      </c>
      <c r="C2746" s="150" t="s">
        <v>3066</v>
      </c>
      <c r="D2746" s="120" t="s">
        <v>3067</v>
      </c>
      <c r="E2746" s="892" t="s">
        <v>3068</v>
      </c>
      <c r="F2746" s="902" t="s">
        <v>36</v>
      </c>
      <c r="G2746" s="528"/>
      <c r="H2746" s="546" t="s">
        <v>37</v>
      </c>
      <c r="I2746" s="711">
        <v>0</v>
      </c>
      <c r="J2746" s="896" t="str">
        <f t="shared" ref="J2746" si="11100">IFERROR((I2747/I2746),"-")</f>
        <v>-</v>
      </c>
      <c r="K2746" s="528"/>
      <c r="L2746" s="546" t="s">
        <v>37</v>
      </c>
      <c r="M2746" s="711">
        <f t="shared" si="11074"/>
        <v>0</v>
      </c>
      <c r="N2746" s="896" t="str">
        <f t="shared" ref="N2746" si="11101">IFERROR((M2747/M2746),"-")</f>
        <v>-</v>
      </c>
      <c r="O2746" s="528"/>
      <c r="P2746" s="547">
        <v>0</v>
      </c>
      <c r="Q2746" s="547">
        <v>0</v>
      </c>
      <c r="R2746" s="547">
        <v>0</v>
      </c>
      <c r="S2746" s="547">
        <v>0</v>
      </c>
      <c r="T2746" s="547">
        <v>0</v>
      </c>
      <c r="U2746" s="547">
        <v>0</v>
      </c>
      <c r="V2746" s="547">
        <v>0</v>
      </c>
      <c r="W2746" s="528"/>
      <c r="X2746" s="711">
        <f t="shared" si="11083"/>
        <v>0</v>
      </c>
      <c r="Y2746" s="896" t="str">
        <f t="shared" ref="Y2746" si="11102">IFERROR((X2747/X2746),"-")</f>
        <v>-</v>
      </c>
      <c r="Z2746" s="528"/>
      <c r="AA2746" s="898">
        <v>232</v>
      </c>
      <c r="AB2746" s="898">
        <v>0</v>
      </c>
      <c r="AC2746" s="903">
        <v>0</v>
      </c>
      <c r="AD2746" s="896">
        <f t="shared" ref="AD2746" si="11103">IFERROR((AC2746/AA2746),"-")</f>
        <v>0</v>
      </c>
      <c r="AE2746" s="2"/>
      <c r="AF2746" s="884">
        <v>0</v>
      </c>
      <c r="AG2746" s="884"/>
      <c r="AH2746" s="884">
        <v>0</v>
      </c>
      <c r="AI2746" s="884"/>
      <c r="AJ2746" s="884"/>
      <c r="AK2746" s="884">
        <f t="shared" ref="AK2746" si="11104">AF2746+AG2746+AH2746+AI2746+AJ2746+AC2746</f>
        <v>0</v>
      </c>
      <c r="AL2746" s="884">
        <v>0</v>
      </c>
      <c r="AM2746" s="878" t="str">
        <f t="shared" ref="AM2746" si="11105">IFERROR((AK2746/AL2746),"-")</f>
        <v>-</v>
      </c>
      <c r="AN2746" s="2"/>
      <c r="AO2746" s="884">
        <v>232</v>
      </c>
      <c r="AP2746" s="884">
        <f t="shared" ref="AP2746" si="11106">AO2746-AK2746</f>
        <v>232</v>
      </c>
      <c r="AV2746" t="str">
        <f t="shared" si="10910"/>
        <v xml:space="preserve">   Seg. 3.1- ADME 12 - Drenagem Superficial - Descida D´água</v>
      </c>
      <c r="AW2746" s="4" t="str">
        <f t="shared" si="10901"/>
        <v xml:space="preserve">   Execução de sublastro - Seg.2.4 CA 03</v>
      </c>
    </row>
    <row r="2747" spans="1:49" ht="15.6" customHeight="1" outlineLevel="2">
      <c r="A2747" s="8" t="str">
        <f t="shared" ref="A2747" si="11107">A2746</f>
        <v>N</v>
      </c>
      <c r="B2747" s="150"/>
      <c r="C2747" s="150" t="s">
        <v>3066</v>
      </c>
      <c r="D2747" s="120" t="s">
        <v>3067</v>
      </c>
      <c r="E2747" s="893"/>
      <c r="F2747" s="902"/>
      <c r="G2747" s="528"/>
      <c r="H2747" s="549" t="s">
        <v>38</v>
      </c>
      <c r="I2747" s="711">
        <v>0</v>
      </c>
      <c r="J2747" s="897"/>
      <c r="K2747" s="528"/>
      <c r="L2747" s="549" t="s">
        <v>38</v>
      </c>
      <c r="M2747" s="711">
        <f t="shared" si="11074"/>
        <v>0</v>
      </c>
      <c r="N2747" s="897"/>
      <c r="O2747" s="528"/>
      <c r="P2747" s="548">
        <v>0</v>
      </c>
      <c r="Q2747" s="548">
        <v>0</v>
      </c>
      <c r="R2747" s="548">
        <v>0</v>
      </c>
      <c r="S2747" s="548">
        <v>0</v>
      </c>
      <c r="T2747" s="548">
        <v>0</v>
      </c>
      <c r="U2747" s="548">
        <v>0</v>
      </c>
      <c r="V2747" s="548">
        <v>0</v>
      </c>
      <c r="W2747" s="528"/>
      <c r="X2747" s="711">
        <f t="shared" si="11083"/>
        <v>0</v>
      </c>
      <c r="Y2747" s="897"/>
      <c r="Z2747" s="528"/>
      <c r="AA2747" s="899"/>
      <c r="AB2747" s="899"/>
      <c r="AC2747" s="904"/>
      <c r="AD2747" s="905"/>
      <c r="AE2747" s="2"/>
      <c r="AF2747" s="885"/>
      <c r="AG2747" s="885"/>
      <c r="AH2747" s="885"/>
      <c r="AI2747" s="885"/>
      <c r="AJ2747" s="885"/>
      <c r="AK2747" s="885"/>
      <c r="AL2747" s="885"/>
      <c r="AM2747" s="879"/>
      <c r="AN2747" s="2"/>
      <c r="AO2747" s="886"/>
      <c r="AP2747" s="886"/>
      <c r="AV2747" t="str">
        <f t="shared" si="10910"/>
        <v xml:space="preserve">   Seg. 3.1- ADME 12 - Drenagem Superficial - Descida D´água</v>
      </c>
      <c r="AW2747" s="4" t="str">
        <f t="shared" si="10901"/>
        <v xml:space="preserve">   Execução de sublastro - Seg.2.4 CA 03</v>
      </c>
    </row>
    <row r="2748" spans="1:49" ht="15.6" customHeight="1" outlineLevel="2">
      <c r="A2748" s="8" t="str">
        <f t="shared" ref="A2748" si="11108">IF(SUM(P2748:V2749)&gt;0,"S","N")</f>
        <v>N</v>
      </c>
      <c r="B2748" s="150">
        <v>1065705</v>
      </c>
      <c r="C2748" s="150" t="s">
        <v>3069</v>
      </c>
      <c r="D2748" s="120" t="s">
        <v>3070</v>
      </c>
      <c r="E2748" s="892" t="s">
        <v>3071</v>
      </c>
      <c r="F2748" s="902" t="s">
        <v>36</v>
      </c>
      <c r="G2748" s="528"/>
      <c r="H2748" s="546" t="s">
        <v>37</v>
      </c>
      <c r="I2748" s="711">
        <v>0</v>
      </c>
      <c r="J2748" s="896" t="str">
        <f t="shared" ref="J2748" si="11109">IFERROR((I2749/I2748),"-")</f>
        <v>-</v>
      </c>
      <c r="K2748" s="528"/>
      <c r="L2748" s="546" t="s">
        <v>37</v>
      </c>
      <c r="M2748" s="711">
        <f t="shared" si="11074"/>
        <v>0</v>
      </c>
      <c r="N2748" s="896" t="str">
        <f t="shared" ref="N2748" si="11110">IFERROR((M2749/M2748),"-")</f>
        <v>-</v>
      </c>
      <c r="O2748" s="528"/>
      <c r="P2748" s="547">
        <v>0</v>
      </c>
      <c r="Q2748" s="547">
        <v>0</v>
      </c>
      <c r="R2748" s="547">
        <v>0</v>
      </c>
      <c r="S2748" s="547">
        <v>0</v>
      </c>
      <c r="T2748" s="547">
        <v>0</v>
      </c>
      <c r="U2748" s="547">
        <v>0</v>
      </c>
      <c r="V2748" s="547">
        <v>0</v>
      </c>
      <c r="W2748" s="528"/>
      <c r="X2748" s="711">
        <f t="shared" si="11083"/>
        <v>0</v>
      </c>
      <c r="Y2748" s="896" t="str">
        <f t="shared" ref="Y2748" si="11111">IFERROR((X2749/X2748),"-")</f>
        <v>-</v>
      </c>
      <c r="Z2748" s="528"/>
      <c r="AA2748" s="898">
        <v>789</v>
      </c>
      <c r="AB2748" s="898">
        <v>0</v>
      </c>
      <c r="AC2748" s="903">
        <v>0</v>
      </c>
      <c r="AD2748" s="896">
        <f t="shared" ref="AD2748" si="11112">IFERROR((AC2748/AA2748),"-")</f>
        <v>0</v>
      </c>
      <c r="AE2748" s="2"/>
      <c r="AF2748" s="884">
        <v>0</v>
      </c>
      <c r="AG2748" s="884"/>
      <c r="AH2748" s="884">
        <v>0</v>
      </c>
      <c r="AI2748" s="884"/>
      <c r="AJ2748" s="884"/>
      <c r="AK2748" s="884">
        <f t="shared" ref="AK2748" si="11113">AF2748+AG2748+AH2748+AI2748+AJ2748+AC2748</f>
        <v>0</v>
      </c>
      <c r="AL2748" s="884">
        <v>0</v>
      </c>
      <c r="AM2748" s="878" t="str">
        <f t="shared" ref="AM2748" si="11114">IFERROR((AK2748/AL2748),"-")</f>
        <v>-</v>
      </c>
      <c r="AN2748" s="2"/>
      <c r="AO2748" s="884">
        <v>789</v>
      </c>
      <c r="AP2748" s="884">
        <f t="shared" ref="AP2748" si="11115">AO2748-AK2748</f>
        <v>789</v>
      </c>
      <c r="AV2748" t="str">
        <f t="shared" si="10910"/>
        <v xml:space="preserve">   Seg. 3.1- ADME 12 - Drenagem Superficial - Descida D´água</v>
      </c>
      <c r="AW2748" s="4" t="str">
        <f t="shared" si="10901"/>
        <v xml:space="preserve">   Execução de sublastro - Seg.2.4 C 04</v>
      </c>
    </row>
    <row r="2749" spans="1:49" ht="15.6" customHeight="1" outlineLevel="2">
      <c r="A2749" s="8" t="str">
        <f t="shared" ref="A2749" si="11116">A2748</f>
        <v>N</v>
      </c>
      <c r="B2749" s="150"/>
      <c r="C2749" s="150" t="s">
        <v>3069</v>
      </c>
      <c r="D2749" s="120" t="s">
        <v>3070</v>
      </c>
      <c r="E2749" s="893"/>
      <c r="F2749" s="902"/>
      <c r="G2749" s="528"/>
      <c r="H2749" s="549" t="s">
        <v>38</v>
      </c>
      <c r="I2749" s="711">
        <v>0</v>
      </c>
      <c r="J2749" s="897"/>
      <c r="K2749" s="528"/>
      <c r="L2749" s="549" t="s">
        <v>38</v>
      </c>
      <c r="M2749" s="711">
        <f t="shared" si="11074"/>
        <v>0</v>
      </c>
      <c r="N2749" s="897"/>
      <c r="O2749" s="528"/>
      <c r="P2749" s="548">
        <v>0</v>
      </c>
      <c r="Q2749" s="548">
        <v>0</v>
      </c>
      <c r="R2749" s="548">
        <v>0</v>
      </c>
      <c r="S2749" s="548">
        <v>0</v>
      </c>
      <c r="T2749" s="548">
        <v>0</v>
      </c>
      <c r="U2749" s="548">
        <v>0</v>
      </c>
      <c r="V2749" s="548">
        <v>0</v>
      </c>
      <c r="W2749" s="528"/>
      <c r="X2749" s="711">
        <f t="shared" si="11083"/>
        <v>0</v>
      </c>
      <c r="Y2749" s="897"/>
      <c r="Z2749" s="528"/>
      <c r="AA2749" s="899"/>
      <c r="AB2749" s="899"/>
      <c r="AC2749" s="904"/>
      <c r="AD2749" s="905"/>
      <c r="AE2749" s="2"/>
      <c r="AF2749" s="885"/>
      <c r="AG2749" s="885"/>
      <c r="AH2749" s="885"/>
      <c r="AI2749" s="885"/>
      <c r="AJ2749" s="885"/>
      <c r="AK2749" s="885"/>
      <c r="AL2749" s="885"/>
      <c r="AM2749" s="879"/>
      <c r="AN2749" s="2"/>
      <c r="AO2749" s="886"/>
      <c r="AP2749" s="886"/>
      <c r="AV2749" t="str">
        <f t="shared" si="10910"/>
        <v xml:space="preserve">   Seg. 3.1- ADME 12 - Drenagem Superficial - Descida D´água</v>
      </c>
      <c r="AW2749" s="4" t="str">
        <f t="shared" si="10901"/>
        <v xml:space="preserve">   Execução de sublastro - Seg.2.4 C 04</v>
      </c>
    </row>
    <row r="2750" spans="1:49" ht="15.6" customHeight="1" outlineLevel="2">
      <c r="A2750" s="8" t="str">
        <f t="shared" ref="A2750" si="11117">IF(SUM(P2750:V2751)&gt;0,"S","N")</f>
        <v>N</v>
      </c>
      <c r="B2750" s="150">
        <v>1065706</v>
      </c>
      <c r="C2750" s="150" t="s">
        <v>3072</v>
      </c>
      <c r="D2750" s="120" t="s">
        <v>3073</v>
      </c>
      <c r="E2750" s="892" t="s">
        <v>3074</v>
      </c>
      <c r="F2750" s="902" t="s">
        <v>36</v>
      </c>
      <c r="G2750" s="528"/>
      <c r="H2750" s="546" t="s">
        <v>37</v>
      </c>
      <c r="I2750" s="711">
        <v>0</v>
      </c>
      <c r="J2750" s="896" t="str">
        <f t="shared" ref="J2750" si="11118">IFERROR((I2751/I2750),"-")</f>
        <v>-</v>
      </c>
      <c r="K2750" s="528"/>
      <c r="L2750" s="546" t="s">
        <v>37</v>
      </c>
      <c r="M2750" s="711">
        <f t="shared" si="11074"/>
        <v>0</v>
      </c>
      <c r="N2750" s="896" t="str">
        <f t="shared" ref="N2750" si="11119">IFERROR((M2751/M2750),"-")</f>
        <v>-</v>
      </c>
      <c r="O2750" s="528"/>
      <c r="P2750" s="547">
        <v>0</v>
      </c>
      <c r="Q2750" s="547">
        <v>0</v>
      </c>
      <c r="R2750" s="547">
        <v>0</v>
      </c>
      <c r="S2750" s="547">
        <v>0</v>
      </c>
      <c r="T2750" s="547">
        <v>0</v>
      </c>
      <c r="U2750" s="547">
        <v>0</v>
      </c>
      <c r="V2750" s="547">
        <v>0</v>
      </c>
      <c r="W2750" s="528"/>
      <c r="X2750" s="711">
        <f t="shared" si="11083"/>
        <v>0</v>
      </c>
      <c r="Y2750" s="896" t="str">
        <f t="shared" ref="Y2750" si="11120">IFERROR((X2751/X2750),"-")</f>
        <v>-</v>
      </c>
      <c r="Z2750" s="528"/>
      <c r="AA2750" s="898">
        <v>0</v>
      </c>
      <c r="AB2750" s="898">
        <v>0</v>
      </c>
      <c r="AC2750" s="903">
        <v>0</v>
      </c>
      <c r="AD2750" s="896" t="str">
        <f t="shared" ref="AD2750" si="11121">IFERROR((AC2750/AA2750),"-")</f>
        <v>-</v>
      </c>
      <c r="AE2750" s="2"/>
      <c r="AF2750" s="884">
        <v>0</v>
      </c>
      <c r="AG2750" s="884"/>
      <c r="AH2750" s="884">
        <v>0</v>
      </c>
      <c r="AI2750" s="884"/>
      <c r="AJ2750" s="884"/>
      <c r="AK2750" s="884">
        <f t="shared" ref="AK2750" si="11122">AF2750+AG2750+AH2750+AI2750+AJ2750+AC2750</f>
        <v>0</v>
      </c>
      <c r="AL2750" s="884">
        <v>0</v>
      </c>
      <c r="AM2750" s="878" t="str">
        <f t="shared" ref="AM2750" si="11123">IFERROR((AK2750/AL2750),"-")</f>
        <v>-</v>
      </c>
      <c r="AN2750" s="2"/>
      <c r="AO2750" s="884">
        <v>93</v>
      </c>
      <c r="AP2750" s="884">
        <f t="shared" ref="AP2750" si="11124">AO2750-AK2750</f>
        <v>93</v>
      </c>
      <c r="AV2750" t="str">
        <f t="shared" si="10910"/>
        <v xml:space="preserve">   Seg. 3.1- ADME 12 - Drenagem Superficial - Descida D´água</v>
      </c>
      <c r="AW2750" s="4" t="str">
        <f t="shared" si="10901"/>
        <v xml:space="preserve">   Execução de sublastro - Seg.2.4 CA 04</v>
      </c>
    </row>
    <row r="2751" spans="1:49" ht="15.6" customHeight="1" outlineLevel="2">
      <c r="A2751" s="8" t="str">
        <f t="shared" ref="A2751" si="11125">A2750</f>
        <v>N</v>
      </c>
      <c r="B2751" s="150"/>
      <c r="C2751" s="150" t="s">
        <v>3072</v>
      </c>
      <c r="D2751" s="120" t="s">
        <v>3073</v>
      </c>
      <c r="E2751" s="893"/>
      <c r="F2751" s="902"/>
      <c r="G2751" s="528"/>
      <c r="H2751" s="549" t="s">
        <v>38</v>
      </c>
      <c r="I2751" s="711">
        <v>0</v>
      </c>
      <c r="J2751" s="897"/>
      <c r="K2751" s="528"/>
      <c r="L2751" s="549" t="s">
        <v>38</v>
      </c>
      <c r="M2751" s="711">
        <f t="shared" si="11074"/>
        <v>0</v>
      </c>
      <c r="N2751" s="897"/>
      <c r="O2751" s="528"/>
      <c r="P2751" s="548">
        <v>0</v>
      </c>
      <c r="Q2751" s="548">
        <v>0</v>
      </c>
      <c r="R2751" s="548">
        <v>0</v>
      </c>
      <c r="S2751" s="548">
        <v>0</v>
      </c>
      <c r="T2751" s="548">
        <v>0</v>
      </c>
      <c r="U2751" s="548">
        <v>0</v>
      </c>
      <c r="V2751" s="548">
        <v>0</v>
      </c>
      <c r="W2751" s="528"/>
      <c r="X2751" s="711">
        <f t="shared" si="11083"/>
        <v>0</v>
      </c>
      <c r="Y2751" s="897"/>
      <c r="Z2751" s="528"/>
      <c r="AA2751" s="899"/>
      <c r="AB2751" s="899"/>
      <c r="AC2751" s="904"/>
      <c r="AD2751" s="905"/>
      <c r="AE2751" s="2"/>
      <c r="AF2751" s="885"/>
      <c r="AG2751" s="885"/>
      <c r="AH2751" s="885"/>
      <c r="AI2751" s="885"/>
      <c r="AJ2751" s="885"/>
      <c r="AK2751" s="885"/>
      <c r="AL2751" s="885"/>
      <c r="AM2751" s="879"/>
      <c r="AN2751" s="2"/>
      <c r="AO2751" s="886"/>
      <c r="AP2751" s="886"/>
      <c r="AV2751" t="str">
        <f t="shared" si="10910"/>
        <v xml:space="preserve">   Seg. 3.1- ADME 12 - Drenagem Superficial - Descida D´água</v>
      </c>
      <c r="AW2751" s="4" t="str">
        <f t="shared" si="10901"/>
        <v xml:space="preserve">   Execução de sublastro - Seg.2.4 CA 04</v>
      </c>
    </row>
    <row r="2752" spans="1:49" ht="15.6" customHeight="1" outlineLevel="2">
      <c r="A2752" s="8" t="str">
        <f t="shared" ref="A2752" si="11126">IF(SUM(P2752:V2753)&gt;0,"S","N")</f>
        <v>N</v>
      </c>
      <c r="B2752" s="150">
        <v>1065707</v>
      </c>
      <c r="C2752" s="150" t="s">
        <v>3075</v>
      </c>
      <c r="D2752" s="120" t="s">
        <v>3076</v>
      </c>
      <c r="E2752" s="892" t="s">
        <v>3077</v>
      </c>
      <c r="F2752" s="902" t="s">
        <v>36</v>
      </c>
      <c r="G2752" s="528"/>
      <c r="H2752" s="546" t="s">
        <v>37</v>
      </c>
      <c r="I2752" s="711">
        <v>0</v>
      </c>
      <c r="J2752" s="896" t="str">
        <f t="shared" ref="J2752" si="11127">IFERROR((I2753/I2752),"-")</f>
        <v>-</v>
      </c>
      <c r="K2752" s="528"/>
      <c r="L2752" s="546" t="s">
        <v>37</v>
      </c>
      <c r="M2752" s="711">
        <f t="shared" si="11074"/>
        <v>0</v>
      </c>
      <c r="N2752" s="896" t="str">
        <f t="shared" ref="N2752" si="11128">IFERROR((M2753/M2752),"-")</f>
        <v>-</v>
      </c>
      <c r="O2752" s="528"/>
      <c r="P2752" s="547">
        <v>0</v>
      </c>
      <c r="Q2752" s="547">
        <v>0</v>
      </c>
      <c r="R2752" s="547">
        <v>0</v>
      </c>
      <c r="S2752" s="547">
        <v>0</v>
      </c>
      <c r="T2752" s="547">
        <v>0</v>
      </c>
      <c r="U2752" s="547">
        <v>0</v>
      </c>
      <c r="V2752" s="547">
        <v>0</v>
      </c>
      <c r="W2752" s="528"/>
      <c r="X2752" s="711">
        <f t="shared" si="11083"/>
        <v>0</v>
      </c>
      <c r="Y2752" s="896" t="str">
        <f t="shared" ref="Y2752" si="11129">IFERROR((X2753/X2752),"-")</f>
        <v>-</v>
      </c>
      <c r="Z2752" s="528"/>
      <c r="AA2752" s="898">
        <v>0</v>
      </c>
      <c r="AB2752" s="898">
        <v>0</v>
      </c>
      <c r="AC2752" s="903">
        <v>0</v>
      </c>
      <c r="AD2752" s="896" t="str">
        <f t="shared" ref="AD2752" si="11130">IFERROR((AC2752/AA2752),"-")</f>
        <v>-</v>
      </c>
      <c r="AE2752" s="2"/>
      <c r="AF2752" s="884">
        <v>0</v>
      </c>
      <c r="AG2752" s="884"/>
      <c r="AH2752" s="884">
        <v>0</v>
      </c>
      <c r="AI2752" s="884"/>
      <c r="AJ2752" s="884"/>
      <c r="AK2752" s="884">
        <f t="shared" ref="AK2752" si="11131">AF2752+AG2752+AH2752+AI2752+AJ2752+AC2752</f>
        <v>0</v>
      </c>
      <c r="AL2752" s="884">
        <v>0</v>
      </c>
      <c r="AM2752" s="878" t="str">
        <f t="shared" ref="AM2752" si="11132">IFERROR((AK2752/AL2752),"-")</f>
        <v>-</v>
      </c>
      <c r="AN2752" s="2"/>
      <c r="AO2752" s="884">
        <v>1439</v>
      </c>
      <c r="AP2752" s="884">
        <f t="shared" ref="AP2752" si="11133">AO2752-AK2752</f>
        <v>1439</v>
      </c>
      <c r="AV2752" t="str">
        <f t="shared" si="10910"/>
        <v xml:space="preserve">   Seg. 3.1- ADME 12 - Drenagem Superficial - Descida D´água</v>
      </c>
      <c r="AW2752" s="4" t="str">
        <f t="shared" si="10901"/>
        <v xml:space="preserve">   Execução de sublastro - Seg.2.4 C 05</v>
      </c>
    </row>
    <row r="2753" spans="1:49" ht="15.6" customHeight="1" outlineLevel="2">
      <c r="A2753" s="8" t="str">
        <f t="shared" ref="A2753" si="11134">A2752</f>
        <v>N</v>
      </c>
      <c r="B2753" s="150"/>
      <c r="C2753" s="150" t="s">
        <v>3075</v>
      </c>
      <c r="D2753" s="120" t="s">
        <v>3076</v>
      </c>
      <c r="E2753" s="893"/>
      <c r="F2753" s="902"/>
      <c r="G2753" s="528"/>
      <c r="H2753" s="549" t="s">
        <v>38</v>
      </c>
      <c r="I2753" s="711">
        <v>0</v>
      </c>
      <c r="J2753" s="897"/>
      <c r="K2753" s="528"/>
      <c r="L2753" s="549" t="s">
        <v>38</v>
      </c>
      <c r="M2753" s="711">
        <f t="shared" si="11074"/>
        <v>0</v>
      </c>
      <c r="N2753" s="897"/>
      <c r="O2753" s="528"/>
      <c r="P2753" s="548">
        <v>0</v>
      </c>
      <c r="Q2753" s="548">
        <v>0</v>
      </c>
      <c r="R2753" s="548">
        <v>0</v>
      </c>
      <c r="S2753" s="548">
        <v>0</v>
      </c>
      <c r="T2753" s="548">
        <v>0</v>
      </c>
      <c r="U2753" s="548">
        <v>0</v>
      </c>
      <c r="V2753" s="548">
        <v>0</v>
      </c>
      <c r="W2753" s="528"/>
      <c r="X2753" s="711">
        <f t="shared" si="11083"/>
        <v>0</v>
      </c>
      <c r="Y2753" s="897"/>
      <c r="Z2753" s="528"/>
      <c r="AA2753" s="899"/>
      <c r="AB2753" s="899"/>
      <c r="AC2753" s="904"/>
      <c r="AD2753" s="905"/>
      <c r="AE2753" s="2"/>
      <c r="AF2753" s="885"/>
      <c r="AG2753" s="885"/>
      <c r="AH2753" s="885"/>
      <c r="AI2753" s="885"/>
      <c r="AJ2753" s="885"/>
      <c r="AK2753" s="885"/>
      <c r="AL2753" s="885"/>
      <c r="AM2753" s="879"/>
      <c r="AN2753" s="2"/>
      <c r="AO2753" s="886"/>
      <c r="AP2753" s="886"/>
      <c r="AV2753" t="str">
        <f t="shared" si="10910"/>
        <v xml:space="preserve">   Seg. 3.1- ADME 12 - Drenagem Superficial - Descida D´água</v>
      </c>
      <c r="AW2753" s="4" t="str">
        <f t="shared" si="10901"/>
        <v xml:space="preserve">   Execução de sublastro - Seg.2.4 C 05</v>
      </c>
    </row>
    <row r="2754" spans="1:49" ht="15.6" customHeight="1" outlineLevel="2">
      <c r="A2754" s="8" t="str">
        <f t="shared" ref="A2754" si="11135">IF(SUM(P2754:V2755)&gt;0,"S","N")</f>
        <v>N</v>
      </c>
      <c r="B2754" s="150">
        <v>1065708</v>
      </c>
      <c r="C2754" s="150" t="s">
        <v>3078</v>
      </c>
      <c r="D2754" s="120" t="s">
        <v>3079</v>
      </c>
      <c r="E2754" s="892" t="s">
        <v>3080</v>
      </c>
      <c r="F2754" s="902" t="s">
        <v>36</v>
      </c>
      <c r="G2754" s="528"/>
      <c r="H2754" s="546" t="s">
        <v>37</v>
      </c>
      <c r="I2754" s="711">
        <v>0</v>
      </c>
      <c r="J2754" s="896" t="str">
        <f t="shared" ref="J2754" si="11136">IFERROR((I2755/I2754),"-")</f>
        <v>-</v>
      </c>
      <c r="K2754" s="528"/>
      <c r="L2754" s="546" t="s">
        <v>37</v>
      </c>
      <c r="M2754" s="711">
        <f t="shared" si="11074"/>
        <v>0</v>
      </c>
      <c r="N2754" s="896" t="str">
        <f t="shared" ref="N2754" si="11137">IFERROR((M2755/M2754),"-")</f>
        <v>-</v>
      </c>
      <c r="O2754" s="528"/>
      <c r="P2754" s="547">
        <v>0</v>
      </c>
      <c r="Q2754" s="547">
        <v>0</v>
      </c>
      <c r="R2754" s="547">
        <v>0</v>
      </c>
      <c r="S2754" s="547">
        <v>0</v>
      </c>
      <c r="T2754" s="547">
        <v>0</v>
      </c>
      <c r="U2754" s="547">
        <v>0</v>
      </c>
      <c r="V2754" s="547">
        <v>0</v>
      </c>
      <c r="W2754" s="528"/>
      <c r="X2754" s="711">
        <f t="shared" si="11083"/>
        <v>0</v>
      </c>
      <c r="Y2754" s="896" t="str">
        <f t="shared" ref="Y2754" si="11138">IFERROR((X2755/X2754),"-")</f>
        <v>-</v>
      </c>
      <c r="Z2754" s="528"/>
      <c r="AA2754" s="898">
        <v>0</v>
      </c>
      <c r="AB2754" s="898">
        <v>0</v>
      </c>
      <c r="AC2754" s="903">
        <v>0</v>
      </c>
      <c r="AD2754" s="896" t="str">
        <f t="shared" ref="AD2754" si="11139">IFERROR((AC2754/AA2754),"-")</f>
        <v>-</v>
      </c>
      <c r="AE2754" s="2"/>
      <c r="AF2754" s="884">
        <v>0</v>
      </c>
      <c r="AG2754" s="884"/>
      <c r="AH2754" s="884">
        <v>0</v>
      </c>
      <c r="AI2754" s="884"/>
      <c r="AJ2754" s="884"/>
      <c r="AK2754" s="884">
        <f t="shared" ref="AK2754" si="11140">AF2754+AG2754+AH2754+AI2754+AJ2754+AC2754</f>
        <v>0</v>
      </c>
      <c r="AL2754" s="884">
        <v>0</v>
      </c>
      <c r="AM2754" s="878" t="str">
        <f t="shared" ref="AM2754" si="11141">IFERROR((AK2754/AL2754),"-")</f>
        <v>-</v>
      </c>
      <c r="AN2754" s="2"/>
      <c r="AO2754" s="884">
        <v>186</v>
      </c>
      <c r="AP2754" s="884">
        <f t="shared" ref="AP2754" si="11142">AO2754-AK2754</f>
        <v>186</v>
      </c>
      <c r="AV2754" t="str">
        <f t="shared" si="10910"/>
        <v xml:space="preserve">   Seg. 3.1- ADME 12 - Drenagem Superficial - Descida D´água</v>
      </c>
      <c r="AW2754" s="4" t="str">
        <f t="shared" si="10901"/>
        <v xml:space="preserve">   Execução de sublastro - Seg.2.4 CA 05</v>
      </c>
    </row>
    <row r="2755" spans="1:49" ht="15.6" customHeight="1" outlineLevel="2">
      <c r="A2755" s="8" t="str">
        <f t="shared" ref="A2755" si="11143">A2754</f>
        <v>N</v>
      </c>
      <c r="B2755" s="150"/>
      <c r="C2755" s="150" t="s">
        <v>3078</v>
      </c>
      <c r="D2755" s="120" t="s">
        <v>3079</v>
      </c>
      <c r="E2755" s="893"/>
      <c r="F2755" s="902"/>
      <c r="G2755" s="528"/>
      <c r="H2755" s="549" t="s">
        <v>38</v>
      </c>
      <c r="I2755" s="711">
        <v>0</v>
      </c>
      <c r="J2755" s="897"/>
      <c r="K2755" s="528"/>
      <c r="L2755" s="549" t="s">
        <v>38</v>
      </c>
      <c r="M2755" s="711">
        <f t="shared" si="11074"/>
        <v>0</v>
      </c>
      <c r="N2755" s="897"/>
      <c r="O2755" s="528"/>
      <c r="P2755" s="548">
        <v>0</v>
      </c>
      <c r="Q2755" s="548">
        <v>0</v>
      </c>
      <c r="R2755" s="548">
        <v>0</v>
      </c>
      <c r="S2755" s="548">
        <v>0</v>
      </c>
      <c r="T2755" s="548">
        <v>0</v>
      </c>
      <c r="U2755" s="548">
        <v>0</v>
      </c>
      <c r="V2755" s="548">
        <v>0</v>
      </c>
      <c r="W2755" s="528"/>
      <c r="X2755" s="711">
        <f t="shared" si="11083"/>
        <v>0</v>
      </c>
      <c r="Y2755" s="897"/>
      <c r="Z2755" s="528"/>
      <c r="AA2755" s="899"/>
      <c r="AB2755" s="899"/>
      <c r="AC2755" s="904"/>
      <c r="AD2755" s="905"/>
      <c r="AE2755" s="2"/>
      <c r="AF2755" s="885"/>
      <c r="AG2755" s="885"/>
      <c r="AH2755" s="885"/>
      <c r="AI2755" s="885"/>
      <c r="AJ2755" s="885"/>
      <c r="AK2755" s="885"/>
      <c r="AL2755" s="885"/>
      <c r="AM2755" s="879"/>
      <c r="AN2755" s="2"/>
      <c r="AO2755" s="886"/>
      <c r="AP2755" s="886"/>
      <c r="AV2755" t="str">
        <f t="shared" si="10910"/>
        <v xml:space="preserve">   Seg. 3.1- ADME 12 - Drenagem Superficial - Descida D´água</v>
      </c>
      <c r="AW2755" s="4" t="str">
        <f t="shared" si="10901"/>
        <v xml:space="preserve">   Execução de sublastro - Seg.2.4 CA 05</v>
      </c>
    </row>
    <row r="2756" spans="1:49" ht="14.45" customHeight="1" outlineLevel="2">
      <c r="A2756" s="8" t="str">
        <f t="shared" ref="A2756" si="11144">IF(SUM(P2756:V2757)&gt;0,"S","N")</f>
        <v>N</v>
      </c>
      <c r="B2756" s="150">
        <v>1065709</v>
      </c>
      <c r="C2756" s="150" t="s">
        <v>3081</v>
      </c>
      <c r="D2756" s="120" t="s">
        <v>3082</v>
      </c>
      <c r="E2756" s="892" t="s">
        <v>3083</v>
      </c>
      <c r="F2756" s="902" t="s">
        <v>36</v>
      </c>
      <c r="G2756" s="528"/>
      <c r="H2756" s="546" t="s">
        <v>37</v>
      </c>
      <c r="I2756" s="711">
        <v>0</v>
      </c>
      <c r="J2756" s="896" t="str">
        <f t="shared" ref="J2756" si="11145">IFERROR((I2757/I2756),"-")</f>
        <v>-</v>
      </c>
      <c r="K2756" s="528"/>
      <c r="L2756" s="546" t="s">
        <v>37</v>
      </c>
      <c r="M2756" s="711">
        <f t="shared" si="11074"/>
        <v>0</v>
      </c>
      <c r="N2756" s="896" t="str">
        <f t="shared" ref="N2756" si="11146">IFERROR((M2757/M2756),"-")</f>
        <v>-</v>
      </c>
      <c r="O2756" s="528"/>
      <c r="P2756" s="547">
        <v>0</v>
      </c>
      <c r="Q2756" s="547">
        <v>0</v>
      </c>
      <c r="R2756" s="547">
        <v>0</v>
      </c>
      <c r="S2756" s="547">
        <v>0</v>
      </c>
      <c r="T2756" s="547">
        <v>0</v>
      </c>
      <c r="U2756" s="547">
        <v>0</v>
      </c>
      <c r="V2756" s="547">
        <v>0</v>
      </c>
      <c r="W2756" s="528"/>
      <c r="X2756" s="711">
        <f t="shared" si="11083"/>
        <v>0</v>
      </c>
      <c r="Y2756" s="896" t="str">
        <f t="shared" ref="Y2756" si="11147">IFERROR((X2757/X2756),"-")</f>
        <v>-</v>
      </c>
      <c r="Z2756" s="528"/>
      <c r="AA2756" s="898">
        <v>0</v>
      </c>
      <c r="AB2756" s="898">
        <v>0</v>
      </c>
      <c r="AC2756" s="903">
        <v>0</v>
      </c>
      <c r="AD2756" s="896" t="str">
        <f t="shared" ref="AD2756" si="11148">IFERROR((AC2756/AA2756),"-")</f>
        <v>-</v>
      </c>
      <c r="AE2756" s="2"/>
      <c r="AF2756" s="884">
        <v>0</v>
      </c>
      <c r="AG2756" s="884"/>
      <c r="AH2756" s="884">
        <v>0</v>
      </c>
      <c r="AI2756" s="884"/>
      <c r="AJ2756" s="884"/>
      <c r="AK2756" s="884">
        <f t="shared" ref="AK2756" si="11149">AF2756+AG2756+AH2756+AI2756+AJ2756+AC2756</f>
        <v>0</v>
      </c>
      <c r="AL2756" s="884">
        <v>0</v>
      </c>
      <c r="AM2756" s="878" t="str">
        <f t="shared" ref="AM2756" si="11150">IFERROR((AK2756/AL2756),"-")</f>
        <v>-</v>
      </c>
      <c r="AN2756" s="2"/>
      <c r="AO2756" s="884">
        <v>650</v>
      </c>
      <c r="AP2756" s="884">
        <f t="shared" ref="AP2756" si="11151">AO2756-AK2756</f>
        <v>650</v>
      </c>
      <c r="AV2756" t="str">
        <f t="shared" si="10910"/>
        <v xml:space="preserve">   Seg. 3.1- ADME 12 - Drenagem Superficial - Descida D´água</v>
      </c>
      <c r="AW2756" s="4" t="str">
        <f t="shared" si="10901"/>
        <v xml:space="preserve">   Execução de sublastro - Seg.2.4 C 06</v>
      </c>
    </row>
    <row r="2757" spans="1:49" ht="14.85" customHeight="1" outlineLevel="2">
      <c r="A2757" s="8" t="str">
        <f t="shared" ref="A2757" si="11152">A2756</f>
        <v>N</v>
      </c>
      <c r="B2757" s="150"/>
      <c r="C2757" s="150" t="s">
        <v>3081</v>
      </c>
      <c r="D2757" s="120" t="s">
        <v>3082</v>
      </c>
      <c r="E2757" s="893"/>
      <c r="F2757" s="902"/>
      <c r="G2757" s="528"/>
      <c r="H2757" s="549" t="s">
        <v>38</v>
      </c>
      <c r="I2757" s="711">
        <v>0</v>
      </c>
      <c r="J2757" s="897"/>
      <c r="K2757" s="528"/>
      <c r="L2757" s="549" t="s">
        <v>38</v>
      </c>
      <c r="M2757" s="711">
        <f t="shared" si="11074"/>
        <v>0</v>
      </c>
      <c r="N2757" s="897"/>
      <c r="O2757" s="528"/>
      <c r="P2757" s="548">
        <v>0</v>
      </c>
      <c r="Q2757" s="548">
        <v>0</v>
      </c>
      <c r="R2757" s="548">
        <v>0</v>
      </c>
      <c r="S2757" s="548">
        <v>0</v>
      </c>
      <c r="T2757" s="548">
        <v>0</v>
      </c>
      <c r="U2757" s="548">
        <v>0</v>
      </c>
      <c r="V2757" s="548">
        <v>0</v>
      </c>
      <c r="W2757" s="528"/>
      <c r="X2757" s="711">
        <f t="shared" si="11083"/>
        <v>0</v>
      </c>
      <c r="Y2757" s="897"/>
      <c r="Z2757" s="528"/>
      <c r="AA2757" s="899"/>
      <c r="AB2757" s="899"/>
      <c r="AC2757" s="904"/>
      <c r="AD2757" s="905"/>
      <c r="AE2757" s="2"/>
      <c r="AF2757" s="885"/>
      <c r="AG2757" s="885"/>
      <c r="AH2757" s="885"/>
      <c r="AI2757" s="885"/>
      <c r="AJ2757" s="885"/>
      <c r="AK2757" s="885"/>
      <c r="AL2757" s="885"/>
      <c r="AM2757" s="879"/>
      <c r="AN2757" s="2"/>
      <c r="AO2757" s="886"/>
      <c r="AP2757" s="886"/>
      <c r="AV2757" t="str">
        <f t="shared" si="10910"/>
        <v xml:space="preserve">   Seg. 3.1- ADME 12 - Drenagem Superficial - Descida D´água</v>
      </c>
      <c r="AW2757" s="4" t="str">
        <f t="shared" si="10901"/>
        <v xml:space="preserve">   Execução de sublastro - Seg.2.4 C 06</v>
      </c>
    </row>
    <row r="2758" spans="1:49" ht="20.25" customHeight="1" outlineLevel="2">
      <c r="A2758" s="8" t="str">
        <f t="shared" ref="A2758" si="11153">IF(SUM(P2758:V2759)&gt;0,"S","N")</f>
        <v>N</v>
      </c>
      <c r="B2758" s="150">
        <v>1065710</v>
      </c>
      <c r="C2758" s="150" t="s">
        <v>3084</v>
      </c>
      <c r="D2758" s="120" t="s">
        <v>3085</v>
      </c>
      <c r="E2758" s="892" t="s">
        <v>3086</v>
      </c>
      <c r="F2758" s="902" t="s">
        <v>36</v>
      </c>
      <c r="G2758" s="528"/>
      <c r="H2758" s="546" t="s">
        <v>37</v>
      </c>
      <c r="I2758" s="711">
        <v>0</v>
      </c>
      <c r="J2758" s="896" t="str">
        <f t="shared" ref="J2758" si="11154">IFERROR((I2759/I2758),"-")</f>
        <v>-</v>
      </c>
      <c r="K2758" s="528"/>
      <c r="L2758" s="546" t="s">
        <v>37</v>
      </c>
      <c r="M2758" s="711">
        <f t="shared" si="11074"/>
        <v>0</v>
      </c>
      <c r="N2758" s="896" t="str">
        <f t="shared" ref="N2758" si="11155">IFERROR((M2759/M2758),"-")</f>
        <v>-</v>
      </c>
      <c r="O2758" s="528"/>
      <c r="P2758" s="547">
        <v>0</v>
      </c>
      <c r="Q2758" s="547">
        <v>0</v>
      </c>
      <c r="R2758" s="547">
        <v>0</v>
      </c>
      <c r="S2758" s="547">
        <v>0</v>
      </c>
      <c r="T2758" s="547">
        <v>0</v>
      </c>
      <c r="U2758" s="547">
        <v>0</v>
      </c>
      <c r="V2758" s="547">
        <v>0</v>
      </c>
      <c r="W2758" s="528"/>
      <c r="X2758" s="711">
        <f t="shared" si="11083"/>
        <v>0</v>
      </c>
      <c r="Y2758" s="896" t="str">
        <f t="shared" ref="Y2758" si="11156">IFERROR((X2759/X2758),"-")</f>
        <v>-</v>
      </c>
      <c r="Z2758" s="528"/>
      <c r="AA2758" s="898">
        <v>1624</v>
      </c>
      <c r="AB2758" s="898">
        <v>0</v>
      </c>
      <c r="AC2758" s="903">
        <v>0</v>
      </c>
      <c r="AD2758" s="896">
        <f t="shared" ref="AD2758" si="11157">IFERROR((AC2758/AA2758),"-")</f>
        <v>0</v>
      </c>
      <c r="AE2758" s="2"/>
      <c r="AF2758" s="884">
        <v>0</v>
      </c>
      <c r="AG2758" s="884"/>
      <c r="AH2758" s="884">
        <v>0</v>
      </c>
      <c r="AI2758" s="884"/>
      <c r="AJ2758" s="884"/>
      <c r="AK2758" s="884">
        <f t="shared" ref="AK2758" si="11158">AF2758+AG2758+AH2758+AI2758+AJ2758+AC2758</f>
        <v>0</v>
      </c>
      <c r="AL2758" s="884">
        <v>0</v>
      </c>
      <c r="AM2758" s="878" t="str">
        <f t="shared" ref="AM2758" si="11159">IFERROR((AK2758/AL2758),"-")</f>
        <v>-</v>
      </c>
      <c r="AN2758" s="2"/>
      <c r="AO2758" s="884">
        <v>1624</v>
      </c>
      <c r="AP2758" s="884">
        <f t="shared" ref="AP2758" si="11160">AO2758-AK2758</f>
        <v>1624</v>
      </c>
      <c r="AV2758" t="str">
        <f t="shared" si="10910"/>
        <v xml:space="preserve">   Seg. 3.1- ADME 12 - Drenagem Superficial - Descida D´água</v>
      </c>
      <c r="AW2758" s="4" t="str">
        <f t="shared" si="10901"/>
        <v xml:space="preserve">   Execução de sublastro - Seg.2.4 CA 06</v>
      </c>
    </row>
    <row r="2759" spans="1:49" ht="20.25" customHeight="1" outlineLevel="2">
      <c r="A2759" s="8" t="str">
        <f t="shared" ref="A2759" si="11161">A2758</f>
        <v>N</v>
      </c>
      <c r="B2759" s="150"/>
      <c r="C2759" s="150" t="s">
        <v>3084</v>
      </c>
      <c r="D2759" s="120" t="s">
        <v>3085</v>
      </c>
      <c r="E2759" s="893"/>
      <c r="F2759" s="902"/>
      <c r="G2759" s="528"/>
      <c r="H2759" s="549" t="s">
        <v>38</v>
      </c>
      <c r="I2759" s="711">
        <v>0</v>
      </c>
      <c r="J2759" s="897"/>
      <c r="K2759" s="528"/>
      <c r="L2759" s="549" t="s">
        <v>38</v>
      </c>
      <c r="M2759" s="711">
        <f t="shared" si="11074"/>
        <v>0</v>
      </c>
      <c r="N2759" s="897"/>
      <c r="O2759" s="528"/>
      <c r="P2759" s="548">
        <v>0</v>
      </c>
      <c r="Q2759" s="548">
        <v>0</v>
      </c>
      <c r="R2759" s="548">
        <v>0</v>
      </c>
      <c r="S2759" s="548">
        <v>0</v>
      </c>
      <c r="T2759" s="548">
        <v>0</v>
      </c>
      <c r="U2759" s="548">
        <v>0</v>
      </c>
      <c r="V2759" s="548">
        <v>0</v>
      </c>
      <c r="W2759" s="528"/>
      <c r="X2759" s="711">
        <f t="shared" si="11083"/>
        <v>0</v>
      </c>
      <c r="Y2759" s="897"/>
      <c r="Z2759" s="528"/>
      <c r="AA2759" s="899"/>
      <c r="AB2759" s="899"/>
      <c r="AC2759" s="904"/>
      <c r="AD2759" s="905"/>
      <c r="AE2759" s="2"/>
      <c r="AF2759" s="885"/>
      <c r="AG2759" s="885"/>
      <c r="AH2759" s="885"/>
      <c r="AI2759" s="885"/>
      <c r="AJ2759" s="885"/>
      <c r="AK2759" s="885"/>
      <c r="AL2759" s="885"/>
      <c r="AM2759" s="879"/>
      <c r="AN2759" s="2"/>
      <c r="AO2759" s="886"/>
      <c r="AP2759" s="886"/>
      <c r="AV2759" t="str">
        <f t="shared" si="10910"/>
        <v xml:space="preserve">   Seg. 3.1- ADME 12 - Drenagem Superficial - Descida D´água</v>
      </c>
      <c r="AW2759" s="4" t="str">
        <f t="shared" si="10901"/>
        <v xml:space="preserve">   Execução de sublastro - Seg.2.4 CA 06</v>
      </c>
    </row>
    <row r="2760" spans="1:49" ht="18.600000000000001" customHeight="1" outlineLevel="2">
      <c r="A2760" s="8" t="str">
        <f t="shared" ref="A2760" si="11162">IF(SUM(P2760:V2761)&gt;0,"S","N")</f>
        <v>N</v>
      </c>
      <c r="B2760" s="150">
        <v>1065711</v>
      </c>
      <c r="C2760" s="150" t="s">
        <v>3087</v>
      </c>
      <c r="D2760" s="120" t="s">
        <v>3088</v>
      </c>
      <c r="E2760" s="892" t="s">
        <v>3089</v>
      </c>
      <c r="F2760" s="902" t="s">
        <v>36</v>
      </c>
      <c r="G2760" s="528"/>
      <c r="H2760" s="546" t="s">
        <v>37</v>
      </c>
      <c r="I2760" s="711">
        <v>0</v>
      </c>
      <c r="J2760" s="896" t="str">
        <f t="shared" ref="J2760" si="11163">IFERROR((I2761/I2760),"-")</f>
        <v>-</v>
      </c>
      <c r="K2760" s="528"/>
      <c r="L2760" s="546" t="s">
        <v>37</v>
      </c>
      <c r="M2760" s="711">
        <f t="shared" si="11074"/>
        <v>0</v>
      </c>
      <c r="N2760" s="896" t="str">
        <f t="shared" ref="N2760" si="11164">IFERROR((M2761/M2760),"-")</f>
        <v>-</v>
      </c>
      <c r="O2760" s="528"/>
      <c r="P2760" s="547">
        <v>0</v>
      </c>
      <c r="Q2760" s="547">
        <v>0</v>
      </c>
      <c r="R2760" s="547">
        <v>0</v>
      </c>
      <c r="S2760" s="547">
        <v>0</v>
      </c>
      <c r="T2760" s="547">
        <v>0</v>
      </c>
      <c r="U2760" s="547">
        <v>0</v>
      </c>
      <c r="V2760" s="547">
        <v>0</v>
      </c>
      <c r="W2760" s="528"/>
      <c r="X2760" s="711">
        <f t="shared" si="11083"/>
        <v>0</v>
      </c>
      <c r="Y2760" s="896" t="str">
        <f t="shared" ref="Y2760" si="11165">IFERROR((X2761/X2760),"-")</f>
        <v>-</v>
      </c>
      <c r="Z2760" s="528"/>
      <c r="AA2760" s="898">
        <v>0</v>
      </c>
      <c r="AB2760" s="898">
        <v>0</v>
      </c>
      <c r="AC2760" s="903">
        <v>0</v>
      </c>
      <c r="AD2760" s="896" t="str">
        <f t="shared" ref="AD2760" si="11166">IFERROR((AC2760/AA2760),"-")</f>
        <v>-</v>
      </c>
      <c r="AE2760" s="2"/>
      <c r="AF2760" s="884">
        <v>0</v>
      </c>
      <c r="AG2760" s="884"/>
      <c r="AH2760" s="884">
        <v>0</v>
      </c>
      <c r="AI2760" s="884"/>
      <c r="AJ2760" s="884"/>
      <c r="AK2760" s="884">
        <f t="shared" ref="AK2760" si="11167">AF2760+AG2760+AH2760+AI2760+AJ2760+AC2760</f>
        <v>0</v>
      </c>
      <c r="AL2760" s="884">
        <v>0</v>
      </c>
      <c r="AM2760" s="878" t="str">
        <f t="shared" ref="AM2760" si="11168">IFERROR((AK2760/AL2760),"-")</f>
        <v>-</v>
      </c>
      <c r="AN2760" s="2"/>
      <c r="AO2760" s="884">
        <v>139</v>
      </c>
      <c r="AP2760" s="884">
        <f t="shared" ref="AP2760" si="11169">AO2760-AK2760</f>
        <v>139</v>
      </c>
      <c r="AV2760" t="str">
        <f t="shared" si="10910"/>
        <v xml:space="preserve">   Seg. 3.1- ADME 12 - Drenagem Superficial - Descida D´água</v>
      </c>
      <c r="AW2760" s="4" t="str">
        <f t="shared" si="10901"/>
        <v xml:space="preserve">   Execução de sublastro - Seg.2.4 C 07</v>
      </c>
    </row>
    <row r="2761" spans="1:49" ht="18.600000000000001" customHeight="1" outlineLevel="2">
      <c r="A2761" s="8" t="str">
        <f t="shared" ref="A2761" si="11170">A2760</f>
        <v>N</v>
      </c>
      <c r="B2761" s="150"/>
      <c r="C2761" s="150" t="s">
        <v>3087</v>
      </c>
      <c r="D2761" s="120" t="s">
        <v>3088</v>
      </c>
      <c r="E2761" s="893"/>
      <c r="F2761" s="902"/>
      <c r="G2761" s="528"/>
      <c r="H2761" s="549" t="s">
        <v>38</v>
      </c>
      <c r="I2761" s="711">
        <v>0</v>
      </c>
      <c r="J2761" s="897"/>
      <c r="K2761" s="528"/>
      <c r="L2761" s="549" t="s">
        <v>38</v>
      </c>
      <c r="M2761" s="711">
        <f t="shared" si="11074"/>
        <v>0</v>
      </c>
      <c r="N2761" s="897"/>
      <c r="O2761" s="528"/>
      <c r="P2761" s="548">
        <v>0</v>
      </c>
      <c r="Q2761" s="548">
        <v>0</v>
      </c>
      <c r="R2761" s="548">
        <v>0</v>
      </c>
      <c r="S2761" s="548">
        <v>0</v>
      </c>
      <c r="T2761" s="548">
        <v>0</v>
      </c>
      <c r="U2761" s="548">
        <v>0</v>
      </c>
      <c r="V2761" s="548">
        <v>0</v>
      </c>
      <c r="W2761" s="528"/>
      <c r="X2761" s="711">
        <f t="shared" si="11083"/>
        <v>0</v>
      </c>
      <c r="Y2761" s="897"/>
      <c r="Z2761" s="528"/>
      <c r="AA2761" s="899"/>
      <c r="AB2761" s="899"/>
      <c r="AC2761" s="904"/>
      <c r="AD2761" s="905"/>
      <c r="AE2761" s="2"/>
      <c r="AF2761" s="908"/>
      <c r="AG2761" s="885"/>
      <c r="AH2761" s="885"/>
      <c r="AI2761" s="885"/>
      <c r="AJ2761" s="885"/>
      <c r="AK2761" s="885"/>
      <c r="AL2761" s="885"/>
      <c r="AM2761" s="879"/>
      <c r="AN2761" s="2"/>
      <c r="AO2761" s="886"/>
      <c r="AP2761" s="886"/>
      <c r="AV2761" t="str">
        <f t="shared" si="10910"/>
        <v xml:space="preserve">   Seg. 3.1- ADME 12 - Drenagem Superficial - Descida D´água</v>
      </c>
      <c r="AW2761" s="4" t="str">
        <f t="shared" ref="AW2761:AW2824" si="11171">IF(E2761&lt;&gt;"",E2761,AW2760)</f>
        <v xml:space="preserve">   Execução de sublastro - Seg.2.4 C 07</v>
      </c>
    </row>
    <row r="2762" spans="1:49" ht="14.45" customHeight="1" outlineLevel="2">
      <c r="A2762" s="209">
        <v>0</v>
      </c>
      <c r="B2762" s="150"/>
      <c r="C2762" s="150"/>
      <c r="D2762" s="117"/>
      <c r="E2762" s="535"/>
      <c r="F2762" s="536"/>
      <c r="G2762" s="537"/>
      <c r="H2762" s="714"/>
      <c r="I2762" s="555"/>
      <c r="J2762" s="714"/>
      <c r="K2762" s="537"/>
      <c r="L2762" s="714"/>
      <c r="M2762" s="555"/>
      <c r="N2762" s="714"/>
      <c r="O2762" s="537"/>
      <c r="P2762" s="539"/>
      <c r="Q2762" s="539"/>
      <c r="R2762" s="539"/>
      <c r="S2762" s="539"/>
      <c r="T2762" s="539"/>
      <c r="U2762" s="539"/>
      <c r="V2762" s="539"/>
      <c r="W2762" s="537"/>
      <c r="X2762" s="540"/>
      <c r="Y2762" s="537"/>
      <c r="Z2762" s="537"/>
      <c r="AA2762" s="249"/>
      <c r="AB2762" s="249"/>
      <c r="AC2762" s="249"/>
      <c r="AD2762" s="537"/>
      <c r="AE2762" s="3"/>
      <c r="AF2762" s="35"/>
      <c r="AG2762" s="35"/>
      <c r="AH2762" s="35"/>
      <c r="AI2762" s="35"/>
      <c r="AJ2762" s="35"/>
      <c r="AK2762" s="35"/>
      <c r="AL2762" s="35"/>
      <c r="AM2762" s="3"/>
      <c r="AN2762" s="3"/>
      <c r="AO2762" s="35"/>
      <c r="AP2762" s="35"/>
      <c r="AV2762" t="str">
        <f t="shared" ref="AV2762:AV2825" si="11172">IF(AX2762="Y",LEFT(E2762,20),IF(AX2762="x",E2762,AV2761))</f>
        <v xml:space="preserve">   Seg. 3.1- ADME 12 - Drenagem Superficial - Descida D´água</v>
      </c>
      <c r="AW2762" s="4" t="str">
        <f t="shared" si="11171"/>
        <v xml:space="preserve">   Execução de sublastro - Seg.2.4 C 07</v>
      </c>
    </row>
    <row r="2763" spans="1:49" ht="14.45" customHeight="1" outlineLevel="2">
      <c r="A2763" s="209">
        <v>0</v>
      </c>
      <c r="B2763" s="150"/>
      <c r="C2763" s="150"/>
      <c r="D2763" s="117"/>
      <c r="E2763" s="535"/>
      <c r="F2763" s="541"/>
      <c r="G2763" s="537"/>
      <c r="H2763" s="537"/>
      <c r="I2763" s="249"/>
      <c r="J2763" s="537"/>
      <c r="K2763" s="537"/>
      <c r="L2763" s="537"/>
      <c r="M2763" s="249"/>
      <c r="N2763" s="537"/>
      <c r="O2763" s="537"/>
      <c r="P2763" s="539"/>
      <c r="Q2763" s="539"/>
      <c r="R2763" s="539"/>
      <c r="S2763" s="539"/>
      <c r="T2763" s="539"/>
      <c r="U2763" s="539"/>
      <c r="V2763" s="539"/>
      <c r="W2763" s="537"/>
      <c r="X2763" s="540"/>
      <c r="Y2763" s="537"/>
      <c r="Z2763" s="537"/>
      <c r="AA2763" s="249"/>
      <c r="AB2763" s="249"/>
      <c r="AC2763" s="249"/>
      <c r="AD2763" s="537"/>
      <c r="AE2763" s="3"/>
      <c r="AF2763" s="35"/>
      <c r="AG2763" s="35"/>
      <c r="AH2763" s="35"/>
      <c r="AI2763" s="35"/>
      <c r="AJ2763" s="35"/>
      <c r="AK2763" s="35"/>
      <c r="AL2763" s="35"/>
      <c r="AM2763" s="3"/>
      <c r="AN2763" s="3"/>
      <c r="AO2763" s="35"/>
      <c r="AP2763" s="35"/>
      <c r="AV2763" t="str">
        <f t="shared" si="11172"/>
        <v xml:space="preserve">   Seg. 3.1- ADME 12 - Drenagem Superficial - Descida D´água</v>
      </c>
      <c r="AW2763" s="4" t="str">
        <f t="shared" si="11171"/>
        <v xml:space="preserve">   Execução de sublastro - Seg.2.4 C 07</v>
      </c>
    </row>
    <row r="2764" spans="1:49" ht="15.6" customHeight="1" outlineLevel="2">
      <c r="A2764" s="209">
        <v>0</v>
      </c>
      <c r="B2764" s="150"/>
      <c r="C2764" s="150">
        <v>0</v>
      </c>
      <c r="D2764" s="122"/>
      <c r="E2764" s="913" t="s">
        <v>44</v>
      </c>
      <c r="F2764" s="859" t="s">
        <v>36</v>
      </c>
      <c r="G2764" s="528"/>
      <c r="H2764" s="542" t="s">
        <v>37</v>
      </c>
      <c r="I2764" s="543">
        <f>SUMIF($L2766:$L2811,$L2764,I2766:I2811)</f>
        <v>0</v>
      </c>
      <c r="J2764" s="860" t="str">
        <f>IFERROR((I2765/I2764),"-")</f>
        <v>-</v>
      </c>
      <c r="K2764" s="528"/>
      <c r="L2764" s="542" t="s">
        <v>37</v>
      </c>
      <c r="M2764" s="543">
        <f>SUMIF($L2766:$L2811,$L2764,M2766:M2811)</f>
        <v>0</v>
      </c>
      <c r="N2764" s="860" t="str">
        <f>IFERROR((M2765/M2764),"-")</f>
        <v>-</v>
      </c>
      <c r="O2764" s="528"/>
      <c r="P2764" s="543">
        <f t="shared" ref="P2764:U2764" si="11173">SUMIF($L2766:$L2811,$L2764,P2766:P2811)</f>
        <v>0</v>
      </c>
      <c r="Q2764" s="543">
        <f t="shared" si="11173"/>
        <v>0</v>
      </c>
      <c r="R2764" s="543">
        <f t="shared" si="11173"/>
        <v>0</v>
      </c>
      <c r="S2764" s="543">
        <f t="shared" si="11173"/>
        <v>0</v>
      </c>
      <c r="T2764" s="543">
        <f t="shared" si="11173"/>
        <v>0</v>
      </c>
      <c r="U2764" s="543">
        <f t="shared" si="11173"/>
        <v>0</v>
      </c>
      <c r="V2764" s="543"/>
      <c r="W2764" s="528"/>
      <c r="X2764" s="543">
        <f t="shared" ref="X2764:X2811" si="11174">SUMIFS(P2764:V2764,$P$8:$V$8,"&gt;="&amp;$P$8,$P$8:$V$8,"&lt;="&amp;$N$8)</f>
        <v>0</v>
      </c>
      <c r="Y2764" s="860" t="str">
        <f>IFERROR((X2765/X2764),"-")</f>
        <v>-</v>
      </c>
      <c r="Z2764" s="528"/>
      <c r="AA2764" s="814">
        <f>SUM(AA2766:AA2811)</f>
        <v>9931</v>
      </c>
      <c r="AB2764" s="814">
        <f>SUM(AB2766:AB2811)</f>
        <v>0</v>
      </c>
      <c r="AC2764" s="814">
        <f>SUM(AC2766:AC2811)</f>
        <v>0</v>
      </c>
      <c r="AD2764" s="911">
        <f>IFERROR((AC2764/AA2764),"-")</f>
        <v>0</v>
      </c>
      <c r="AE2764" s="2"/>
      <c r="AF2764" s="888">
        <f t="shared" ref="AF2764" si="11175">SUM(AF2766:AF2811)</f>
        <v>0</v>
      </c>
      <c r="AG2764" s="888">
        <f t="shared" ref="AG2764:AL2764" si="11176">SUM(AG2766:AG2811)</f>
        <v>0</v>
      </c>
      <c r="AH2764" s="888">
        <f t="shared" si="11176"/>
        <v>0</v>
      </c>
      <c r="AI2764" s="888">
        <f t="shared" si="11176"/>
        <v>0</v>
      </c>
      <c r="AJ2764" s="888">
        <f t="shared" si="11176"/>
        <v>0</v>
      </c>
      <c r="AK2764" s="888">
        <f t="shared" si="11176"/>
        <v>0</v>
      </c>
      <c r="AL2764" s="888">
        <f t="shared" si="11176"/>
        <v>0</v>
      </c>
      <c r="AM2764" s="743" t="str">
        <f>IFERROR((AK2764/AL2764),"-")</f>
        <v>-</v>
      </c>
      <c r="AN2764" s="2"/>
      <c r="AO2764" s="888">
        <f>SUM(AO2766:AO2811)</f>
        <v>34340</v>
      </c>
      <c r="AP2764" s="888">
        <f>SUM(AP2766:AP2811)</f>
        <v>34340</v>
      </c>
      <c r="AV2764" t="str">
        <f t="shared" si="11172"/>
        <v xml:space="preserve">   Seg. 3.1- ADME 12 - Drenagem Superficial - Descida D´água</v>
      </c>
      <c r="AW2764" s="4" t="str">
        <f t="shared" si="11171"/>
        <v>Pacote 05 - Segmento 2.5 - 138+160 a 153+420</v>
      </c>
    </row>
    <row r="2765" spans="1:49" ht="15.6" customHeight="1" outlineLevel="2">
      <c r="A2765" s="209">
        <v>0</v>
      </c>
      <c r="B2765" s="150"/>
      <c r="C2765" s="150"/>
      <c r="D2765" s="123"/>
      <c r="E2765" s="913"/>
      <c r="F2765" s="859"/>
      <c r="G2765" s="528"/>
      <c r="H2765" s="544" t="s">
        <v>38</v>
      </c>
      <c r="I2765" s="543">
        <f>SUMIF($L2766:$L2811,$L2765,I2766:I2811)</f>
        <v>0</v>
      </c>
      <c r="J2765" s="861"/>
      <c r="K2765" s="528"/>
      <c r="L2765" s="544" t="s">
        <v>38</v>
      </c>
      <c r="M2765" s="543">
        <f>SUMIF($L2766:$L2811,$L2765,M2766:M2811)</f>
        <v>0</v>
      </c>
      <c r="N2765" s="861"/>
      <c r="O2765" s="528"/>
      <c r="P2765" s="543">
        <f t="shared" ref="P2765:U2765" si="11177">SUMIF($L2766:$L2811,$L2765,P2766:P2811)</f>
        <v>0</v>
      </c>
      <c r="Q2765" s="543">
        <f t="shared" si="11177"/>
        <v>0</v>
      </c>
      <c r="R2765" s="543">
        <f t="shared" si="11177"/>
        <v>0</v>
      </c>
      <c r="S2765" s="543">
        <f t="shared" si="11177"/>
        <v>0</v>
      </c>
      <c r="T2765" s="543">
        <f t="shared" si="11177"/>
        <v>0</v>
      </c>
      <c r="U2765" s="543">
        <f t="shared" si="11177"/>
        <v>0</v>
      </c>
      <c r="V2765" s="543"/>
      <c r="W2765" s="528"/>
      <c r="X2765" s="543">
        <f t="shared" si="11174"/>
        <v>0</v>
      </c>
      <c r="Y2765" s="861"/>
      <c r="Z2765" s="528"/>
      <c r="AA2765" s="815"/>
      <c r="AB2765" s="815"/>
      <c r="AC2765" s="815"/>
      <c r="AD2765" s="912"/>
      <c r="AE2765" s="2"/>
      <c r="AF2765" s="889"/>
      <c r="AG2765" s="889"/>
      <c r="AH2765" s="889"/>
      <c r="AI2765" s="889"/>
      <c r="AJ2765" s="889"/>
      <c r="AK2765" s="889"/>
      <c r="AL2765" s="889"/>
      <c r="AM2765" s="744"/>
      <c r="AN2765" s="2"/>
      <c r="AO2765" s="888"/>
      <c r="AP2765" s="888"/>
      <c r="AV2765" t="str">
        <f t="shared" si="11172"/>
        <v xml:space="preserve">   Seg. 3.1- ADME 12 - Drenagem Superficial - Descida D´água</v>
      </c>
      <c r="AW2765" s="4" t="str">
        <f t="shared" si="11171"/>
        <v>Pacote 05 - Segmento 2.5 - 138+160 a 153+420</v>
      </c>
    </row>
    <row r="2766" spans="1:49" ht="15.6" customHeight="1" outlineLevel="2">
      <c r="A2766" s="8" t="str">
        <f t="shared" ref="A2766" si="11178">IF(SUM(P2766:V2767)&gt;0,"S","N")</f>
        <v>N</v>
      </c>
      <c r="B2766" s="150">
        <v>1065712</v>
      </c>
      <c r="C2766" s="150" t="s">
        <v>3090</v>
      </c>
      <c r="D2766" s="120" t="s">
        <v>3091</v>
      </c>
      <c r="E2766" s="892" t="s">
        <v>3092</v>
      </c>
      <c r="F2766" s="902" t="s">
        <v>36</v>
      </c>
      <c r="G2766" s="528"/>
      <c r="H2766" s="546" t="s">
        <v>37</v>
      </c>
      <c r="I2766" s="711">
        <v>0</v>
      </c>
      <c r="J2766" s="896" t="str">
        <f t="shared" ref="J2766" si="11179">IFERROR((I2767/I2766),"-")</f>
        <v>-</v>
      </c>
      <c r="K2766" s="528"/>
      <c r="L2766" s="546" t="s">
        <v>37</v>
      </c>
      <c r="M2766" s="711">
        <f t="shared" ref="M2766:M2811" si="11180">_xlfn.XLOOKUP($N$8,$P$8:$V$8,$P2766:$V2766)</f>
        <v>0</v>
      </c>
      <c r="N2766" s="896" t="str">
        <f t="shared" ref="N2766" si="11181">IFERROR((M2767/M2766),"-")</f>
        <v>-</v>
      </c>
      <c r="O2766" s="528"/>
      <c r="P2766" s="547">
        <v>0</v>
      </c>
      <c r="Q2766" s="547">
        <v>0</v>
      </c>
      <c r="R2766" s="547">
        <v>0</v>
      </c>
      <c r="S2766" s="547">
        <v>0</v>
      </c>
      <c r="T2766" s="547">
        <v>0</v>
      </c>
      <c r="U2766" s="547">
        <v>0</v>
      </c>
      <c r="V2766" s="547">
        <v>0</v>
      </c>
      <c r="W2766" s="528"/>
      <c r="X2766" s="711">
        <f t="shared" si="11174"/>
        <v>0</v>
      </c>
      <c r="Y2766" s="896" t="str">
        <f t="shared" ref="Y2766" si="11182">IFERROR((X2767/X2766),"-")</f>
        <v>-</v>
      </c>
      <c r="Z2766" s="528"/>
      <c r="AA2766" s="898">
        <v>1346</v>
      </c>
      <c r="AB2766" s="898">
        <v>0</v>
      </c>
      <c r="AC2766" s="903">
        <v>0</v>
      </c>
      <c r="AD2766" s="896">
        <f t="shared" ref="AD2766" si="11183">IFERROR((AC2766/AA2766),"-")</f>
        <v>0</v>
      </c>
      <c r="AE2766" s="2"/>
      <c r="AF2766" s="884">
        <v>0</v>
      </c>
      <c r="AG2766" s="884"/>
      <c r="AH2766" s="884">
        <v>0</v>
      </c>
      <c r="AI2766" s="884"/>
      <c r="AJ2766" s="884"/>
      <c r="AK2766" s="884">
        <f t="shared" ref="AK2766" si="11184">AF2766+AG2766+AH2766+AI2766+AJ2766+AC2766</f>
        <v>0</v>
      </c>
      <c r="AL2766" s="884">
        <v>0</v>
      </c>
      <c r="AM2766" s="878" t="str">
        <f t="shared" ref="AM2766" si="11185">IFERROR((AK2766/AL2766),"-")</f>
        <v>-</v>
      </c>
      <c r="AN2766" s="2"/>
      <c r="AO2766" s="884">
        <v>1346</v>
      </c>
      <c r="AP2766" s="884">
        <f t="shared" ref="AP2766" si="11186">AO2766-AK2766</f>
        <v>1346</v>
      </c>
      <c r="AV2766" t="str">
        <f t="shared" si="11172"/>
        <v xml:space="preserve">   Seg. 3.1- ADME 12 - Drenagem Superficial - Descida D´água</v>
      </c>
      <c r="AW2766" s="4" t="str">
        <f t="shared" si="11171"/>
        <v xml:space="preserve">   Execução de sublastro - Seg.2.5 C 01</v>
      </c>
    </row>
    <row r="2767" spans="1:49" ht="15.6" customHeight="1" outlineLevel="2">
      <c r="A2767" s="8" t="str">
        <f t="shared" ref="A2767" si="11187">A2766</f>
        <v>N</v>
      </c>
      <c r="B2767" s="150"/>
      <c r="C2767" s="150" t="s">
        <v>3090</v>
      </c>
      <c r="D2767" s="120" t="s">
        <v>3091</v>
      </c>
      <c r="E2767" s="893"/>
      <c r="F2767" s="902"/>
      <c r="G2767" s="528"/>
      <c r="H2767" s="549" t="s">
        <v>38</v>
      </c>
      <c r="I2767" s="711">
        <v>0</v>
      </c>
      <c r="J2767" s="897"/>
      <c r="K2767" s="528"/>
      <c r="L2767" s="549" t="s">
        <v>38</v>
      </c>
      <c r="M2767" s="711">
        <f t="shared" si="11180"/>
        <v>0</v>
      </c>
      <c r="N2767" s="897"/>
      <c r="O2767" s="528"/>
      <c r="P2767" s="548">
        <v>0</v>
      </c>
      <c r="Q2767" s="548">
        <v>0</v>
      </c>
      <c r="R2767" s="548">
        <v>0</v>
      </c>
      <c r="S2767" s="548">
        <v>0</v>
      </c>
      <c r="T2767" s="548">
        <v>0</v>
      </c>
      <c r="U2767" s="548">
        <v>0</v>
      </c>
      <c r="V2767" s="548">
        <v>0</v>
      </c>
      <c r="W2767" s="528"/>
      <c r="X2767" s="711">
        <f t="shared" si="11174"/>
        <v>0</v>
      </c>
      <c r="Y2767" s="897"/>
      <c r="Z2767" s="528"/>
      <c r="AA2767" s="899"/>
      <c r="AB2767" s="899"/>
      <c r="AC2767" s="904"/>
      <c r="AD2767" s="905"/>
      <c r="AE2767" s="2"/>
      <c r="AF2767" s="885"/>
      <c r="AG2767" s="885"/>
      <c r="AH2767" s="885"/>
      <c r="AI2767" s="885"/>
      <c r="AJ2767" s="885"/>
      <c r="AK2767" s="885"/>
      <c r="AL2767" s="885"/>
      <c r="AM2767" s="879"/>
      <c r="AN2767" s="2"/>
      <c r="AO2767" s="886"/>
      <c r="AP2767" s="886"/>
      <c r="AV2767" t="str">
        <f t="shared" si="11172"/>
        <v xml:space="preserve">   Seg. 3.1- ADME 12 - Drenagem Superficial - Descida D´água</v>
      </c>
      <c r="AW2767" s="4" t="str">
        <f t="shared" si="11171"/>
        <v xml:space="preserve">   Execução de sublastro - Seg.2.5 C 01</v>
      </c>
    </row>
    <row r="2768" spans="1:49" ht="15.6" customHeight="1" outlineLevel="2">
      <c r="A2768" s="8" t="str">
        <f t="shared" ref="A2768" si="11188">IF(SUM(P2768:V2769)&gt;0,"S","N")</f>
        <v>N</v>
      </c>
      <c r="B2768" s="150">
        <v>1065714</v>
      </c>
      <c r="C2768" s="150" t="s">
        <v>3093</v>
      </c>
      <c r="D2768" s="120" t="s">
        <v>3094</v>
      </c>
      <c r="E2768" s="892" t="s">
        <v>3095</v>
      </c>
      <c r="F2768" s="902" t="s">
        <v>36</v>
      </c>
      <c r="G2768" s="528"/>
      <c r="H2768" s="546" t="s">
        <v>37</v>
      </c>
      <c r="I2768" s="711">
        <v>0</v>
      </c>
      <c r="J2768" s="896" t="str">
        <f t="shared" ref="J2768" si="11189">IFERROR((I2769/I2768),"-")</f>
        <v>-</v>
      </c>
      <c r="K2768" s="528"/>
      <c r="L2768" s="546" t="s">
        <v>37</v>
      </c>
      <c r="M2768" s="711">
        <f t="shared" si="11180"/>
        <v>0</v>
      </c>
      <c r="N2768" s="896" t="str">
        <f t="shared" ref="N2768" si="11190">IFERROR((M2769/M2768),"-")</f>
        <v>-</v>
      </c>
      <c r="O2768" s="528"/>
      <c r="P2768" s="547">
        <v>0</v>
      </c>
      <c r="Q2768" s="547">
        <v>0</v>
      </c>
      <c r="R2768" s="547">
        <v>0</v>
      </c>
      <c r="S2768" s="547">
        <v>0</v>
      </c>
      <c r="T2768" s="547">
        <v>0</v>
      </c>
      <c r="U2768" s="547">
        <v>0</v>
      </c>
      <c r="V2768" s="547">
        <v>0</v>
      </c>
      <c r="W2768" s="528"/>
      <c r="X2768" s="711">
        <f t="shared" si="11174"/>
        <v>0</v>
      </c>
      <c r="Y2768" s="896" t="str">
        <f t="shared" ref="Y2768" si="11191">IFERROR((X2769/X2768),"-")</f>
        <v>-</v>
      </c>
      <c r="Z2768" s="528"/>
      <c r="AA2768" s="898">
        <v>1207</v>
      </c>
      <c r="AB2768" s="898">
        <v>0</v>
      </c>
      <c r="AC2768" s="903">
        <v>0</v>
      </c>
      <c r="AD2768" s="896">
        <f t="shared" ref="AD2768" si="11192">IFERROR((AC2768/AA2768),"-")</f>
        <v>0</v>
      </c>
      <c r="AE2768" s="2"/>
      <c r="AF2768" s="884">
        <v>0</v>
      </c>
      <c r="AG2768" s="884"/>
      <c r="AH2768" s="884">
        <v>0</v>
      </c>
      <c r="AI2768" s="884"/>
      <c r="AJ2768" s="884"/>
      <c r="AK2768" s="884">
        <f t="shared" ref="AK2768" si="11193">AF2768+AG2768+AH2768+AI2768+AJ2768+AC2768</f>
        <v>0</v>
      </c>
      <c r="AL2768" s="884">
        <v>0</v>
      </c>
      <c r="AM2768" s="878" t="str">
        <f t="shared" ref="AM2768" si="11194">IFERROR((AK2768/AL2768),"-")</f>
        <v>-</v>
      </c>
      <c r="AN2768" s="2"/>
      <c r="AO2768" s="884">
        <v>1207</v>
      </c>
      <c r="AP2768" s="884">
        <f t="shared" ref="AP2768" si="11195">AO2768-AK2768</f>
        <v>1207</v>
      </c>
      <c r="AV2768" t="str">
        <f t="shared" si="11172"/>
        <v xml:space="preserve">   Seg. 3.1- ADME 12 - Drenagem Superficial - Descida D´água</v>
      </c>
      <c r="AW2768" s="4" t="str">
        <f t="shared" si="11171"/>
        <v xml:space="preserve">   Execução de sublastro - Seg.2.5 C 02</v>
      </c>
    </row>
    <row r="2769" spans="1:49" ht="15.6" customHeight="1" outlineLevel="2">
      <c r="A2769" s="8" t="str">
        <f t="shared" ref="A2769" si="11196">A2768</f>
        <v>N</v>
      </c>
      <c r="B2769" s="150"/>
      <c r="C2769" s="150" t="s">
        <v>3093</v>
      </c>
      <c r="D2769" s="120" t="s">
        <v>3094</v>
      </c>
      <c r="E2769" s="893"/>
      <c r="F2769" s="902"/>
      <c r="G2769" s="528"/>
      <c r="H2769" s="549" t="s">
        <v>38</v>
      </c>
      <c r="I2769" s="711">
        <v>0</v>
      </c>
      <c r="J2769" s="897"/>
      <c r="K2769" s="528"/>
      <c r="L2769" s="549" t="s">
        <v>38</v>
      </c>
      <c r="M2769" s="711">
        <f t="shared" si="11180"/>
        <v>0</v>
      </c>
      <c r="N2769" s="897"/>
      <c r="O2769" s="528"/>
      <c r="P2769" s="548">
        <v>0</v>
      </c>
      <c r="Q2769" s="548">
        <v>0</v>
      </c>
      <c r="R2769" s="548">
        <v>0</v>
      </c>
      <c r="S2769" s="548">
        <v>0</v>
      </c>
      <c r="T2769" s="548">
        <v>0</v>
      </c>
      <c r="U2769" s="548">
        <v>0</v>
      </c>
      <c r="V2769" s="548">
        <v>0</v>
      </c>
      <c r="W2769" s="528"/>
      <c r="X2769" s="711">
        <f t="shared" si="11174"/>
        <v>0</v>
      </c>
      <c r="Y2769" s="897"/>
      <c r="Z2769" s="528"/>
      <c r="AA2769" s="899"/>
      <c r="AB2769" s="899"/>
      <c r="AC2769" s="904"/>
      <c r="AD2769" s="905"/>
      <c r="AE2769" s="2"/>
      <c r="AF2769" s="885"/>
      <c r="AG2769" s="885"/>
      <c r="AH2769" s="885"/>
      <c r="AI2769" s="885"/>
      <c r="AJ2769" s="885"/>
      <c r="AK2769" s="885"/>
      <c r="AL2769" s="885"/>
      <c r="AM2769" s="879"/>
      <c r="AN2769" s="2"/>
      <c r="AO2769" s="886"/>
      <c r="AP2769" s="886"/>
      <c r="AV2769" t="str">
        <f t="shared" si="11172"/>
        <v xml:space="preserve">   Seg. 3.1- ADME 12 - Drenagem Superficial - Descida D´água</v>
      </c>
      <c r="AW2769" s="4" t="str">
        <f t="shared" si="11171"/>
        <v xml:space="preserve">   Execução de sublastro - Seg.2.5 C 02</v>
      </c>
    </row>
    <row r="2770" spans="1:49" ht="15.6" customHeight="1" outlineLevel="2" collapsed="1">
      <c r="A2770" s="8" t="str">
        <f t="shared" ref="A2770" si="11197">IF(SUM(P2770:V2771)&gt;0,"S","N")</f>
        <v>N</v>
      </c>
      <c r="B2770" s="150">
        <v>1065716</v>
      </c>
      <c r="C2770" s="150" t="s">
        <v>3096</v>
      </c>
      <c r="D2770" s="120" t="s">
        <v>3097</v>
      </c>
      <c r="E2770" s="892" t="s">
        <v>3098</v>
      </c>
      <c r="F2770" s="902" t="s">
        <v>36</v>
      </c>
      <c r="G2770" s="528"/>
      <c r="H2770" s="546" t="s">
        <v>37</v>
      </c>
      <c r="I2770" s="711">
        <v>0</v>
      </c>
      <c r="J2770" s="896" t="str">
        <f t="shared" ref="J2770" si="11198">IFERROR((I2771/I2770),"-")</f>
        <v>-</v>
      </c>
      <c r="K2770" s="528"/>
      <c r="L2770" s="546" t="s">
        <v>37</v>
      </c>
      <c r="M2770" s="711">
        <f t="shared" si="11180"/>
        <v>0</v>
      </c>
      <c r="N2770" s="896" t="str">
        <f t="shared" ref="N2770" si="11199">IFERROR((M2771/M2770),"-")</f>
        <v>-</v>
      </c>
      <c r="O2770" s="528"/>
      <c r="P2770" s="547">
        <v>0</v>
      </c>
      <c r="Q2770" s="547">
        <v>0</v>
      </c>
      <c r="R2770" s="547">
        <v>0</v>
      </c>
      <c r="S2770" s="547">
        <v>0</v>
      </c>
      <c r="T2770" s="547">
        <v>0</v>
      </c>
      <c r="U2770" s="547">
        <v>0</v>
      </c>
      <c r="V2770" s="547">
        <v>0</v>
      </c>
      <c r="W2770" s="528"/>
      <c r="X2770" s="711">
        <f t="shared" si="11174"/>
        <v>0</v>
      </c>
      <c r="Y2770" s="896" t="str">
        <f t="shared" ref="Y2770" si="11200">IFERROR((X2771/X2770),"-")</f>
        <v>-</v>
      </c>
      <c r="Z2770" s="528"/>
      <c r="AA2770" s="898">
        <v>557</v>
      </c>
      <c r="AB2770" s="898">
        <v>0</v>
      </c>
      <c r="AC2770" s="903">
        <v>0</v>
      </c>
      <c r="AD2770" s="896">
        <f t="shared" ref="AD2770" si="11201">IFERROR((AC2770/AA2770),"-")</f>
        <v>0</v>
      </c>
      <c r="AE2770" s="2"/>
      <c r="AF2770" s="884">
        <v>0</v>
      </c>
      <c r="AG2770" s="884"/>
      <c r="AH2770" s="884">
        <v>0</v>
      </c>
      <c r="AI2770" s="884"/>
      <c r="AJ2770" s="884"/>
      <c r="AK2770" s="884">
        <f t="shared" ref="AK2770" si="11202">AF2770+AG2770+AH2770+AI2770+AJ2770+AC2770</f>
        <v>0</v>
      </c>
      <c r="AL2770" s="884">
        <v>0</v>
      </c>
      <c r="AM2770" s="878" t="str">
        <f t="shared" ref="AM2770" si="11203">IFERROR((AK2770/AL2770),"-")</f>
        <v>-</v>
      </c>
      <c r="AN2770" s="2"/>
      <c r="AO2770" s="884">
        <v>557</v>
      </c>
      <c r="AP2770" s="884">
        <f t="shared" ref="AP2770" si="11204">AO2770-AK2770</f>
        <v>557</v>
      </c>
      <c r="AV2770" t="str">
        <f t="shared" si="11172"/>
        <v xml:space="preserve">   Seg. 3.1- ADME 12 - Drenagem Superficial - Descida D´água</v>
      </c>
      <c r="AW2770" s="4" t="str">
        <f t="shared" si="11171"/>
        <v xml:space="preserve">   Execução de sublastro - Seg.2.5 C 03</v>
      </c>
    </row>
    <row r="2771" spans="1:49" ht="15.6" customHeight="1" outlineLevel="2">
      <c r="A2771" s="8" t="str">
        <f t="shared" ref="A2771" si="11205">A2770</f>
        <v>N</v>
      </c>
      <c r="B2771" s="150"/>
      <c r="C2771" s="150" t="s">
        <v>3096</v>
      </c>
      <c r="D2771" s="120" t="s">
        <v>3097</v>
      </c>
      <c r="E2771" s="893"/>
      <c r="F2771" s="902"/>
      <c r="G2771" s="528"/>
      <c r="H2771" s="549" t="s">
        <v>38</v>
      </c>
      <c r="I2771" s="711">
        <v>0</v>
      </c>
      <c r="J2771" s="897"/>
      <c r="K2771" s="528"/>
      <c r="L2771" s="549" t="s">
        <v>38</v>
      </c>
      <c r="M2771" s="711">
        <f t="shared" si="11180"/>
        <v>0</v>
      </c>
      <c r="N2771" s="897"/>
      <c r="O2771" s="528"/>
      <c r="P2771" s="548">
        <v>0</v>
      </c>
      <c r="Q2771" s="548">
        <v>0</v>
      </c>
      <c r="R2771" s="548">
        <v>0</v>
      </c>
      <c r="S2771" s="548">
        <v>0</v>
      </c>
      <c r="T2771" s="548">
        <v>0</v>
      </c>
      <c r="U2771" s="548">
        <v>0</v>
      </c>
      <c r="V2771" s="548">
        <v>0</v>
      </c>
      <c r="W2771" s="528"/>
      <c r="X2771" s="711">
        <f t="shared" si="11174"/>
        <v>0</v>
      </c>
      <c r="Y2771" s="897"/>
      <c r="Z2771" s="528"/>
      <c r="AA2771" s="899"/>
      <c r="AB2771" s="899"/>
      <c r="AC2771" s="904"/>
      <c r="AD2771" s="905"/>
      <c r="AE2771" s="2"/>
      <c r="AF2771" s="885"/>
      <c r="AG2771" s="885"/>
      <c r="AH2771" s="885"/>
      <c r="AI2771" s="885"/>
      <c r="AJ2771" s="885"/>
      <c r="AK2771" s="885"/>
      <c r="AL2771" s="885"/>
      <c r="AM2771" s="879"/>
      <c r="AN2771" s="2"/>
      <c r="AO2771" s="886"/>
      <c r="AP2771" s="886"/>
      <c r="AV2771" t="str">
        <f t="shared" si="11172"/>
        <v xml:space="preserve">   Seg. 3.1- ADME 12 - Drenagem Superficial - Descida D´água</v>
      </c>
      <c r="AW2771" s="4" t="str">
        <f t="shared" si="11171"/>
        <v xml:space="preserve">   Execução de sublastro - Seg.2.5 C 03</v>
      </c>
    </row>
    <row r="2772" spans="1:49" ht="15.6" customHeight="1" outlineLevel="2">
      <c r="A2772" s="8" t="str">
        <f t="shared" ref="A2772" si="11206">IF(SUM(P2772:V2773)&gt;0,"S","N")</f>
        <v>N</v>
      </c>
      <c r="B2772" s="150">
        <v>1065718</v>
      </c>
      <c r="C2772" s="150" t="s">
        <v>3099</v>
      </c>
      <c r="D2772" s="120" t="s">
        <v>3100</v>
      </c>
      <c r="E2772" s="892" t="s">
        <v>3101</v>
      </c>
      <c r="F2772" s="902" t="s">
        <v>36</v>
      </c>
      <c r="G2772" s="528"/>
      <c r="H2772" s="546" t="s">
        <v>37</v>
      </c>
      <c r="I2772" s="711">
        <v>0</v>
      </c>
      <c r="J2772" s="896" t="str">
        <f t="shared" ref="J2772" si="11207">IFERROR((I2773/I2772),"-")</f>
        <v>-</v>
      </c>
      <c r="K2772" s="528"/>
      <c r="L2772" s="546" t="s">
        <v>37</v>
      </c>
      <c r="M2772" s="711">
        <f t="shared" si="11180"/>
        <v>0</v>
      </c>
      <c r="N2772" s="896" t="str">
        <f t="shared" ref="N2772" si="11208">IFERROR((M2773/M2772),"-")</f>
        <v>-</v>
      </c>
      <c r="O2772" s="528"/>
      <c r="P2772" s="547">
        <v>0</v>
      </c>
      <c r="Q2772" s="547">
        <v>0</v>
      </c>
      <c r="R2772" s="547">
        <v>0</v>
      </c>
      <c r="S2772" s="547">
        <v>0</v>
      </c>
      <c r="T2772" s="547">
        <v>0</v>
      </c>
      <c r="U2772" s="547">
        <v>0</v>
      </c>
      <c r="V2772" s="547">
        <v>0</v>
      </c>
      <c r="W2772" s="528"/>
      <c r="X2772" s="711">
        <f t="shared" si="11174"/>
        <v>0</v>
      </c>
      <c r="Y2772" s="896" t="str">
        <f t="shared" ref="Y2772" si="11209">IFERROR((X2773/X2772),"-")</f>
        <v>-</v>
      </c>
      <c r="Z2772" s="528"/>
      <c r="AA2772" s="898">
        <v>0</v>
      </c>
      <c r="AB2772" s="898">
        <v>0</v>
      </c>
      <c r="AC2772" s="903">
        <v>0</v>
      </c>
      <c r="AD2772" s="896" t="str">
        <f t="shared" ref="AD2772" si="11210">IFERROR((AC2772/AA2772),"-")</f>
        <v>-</v>
      </c>
      <c r="AE2772" s="2"/>
      <c r="AF2772" s="884">
        <v>0</v>
      </c>
      <c r="AG2772" s="884"/>
      <c r="AH2772" s="884">
        <v>0</v>
      </c>
      <c r="AI2772" s="884"/>
      <c r="AJ2772" s="884"/>
      <c r="AK2772" s="884">
        <f t="shared" ref="AK2772" si="11211">AF2772+AG2772+AH2772+AI2772+AJ2772+AC2772</f>
        <v>0</v>
      </c>
      <c r="AL2772" s="884">
        <v>0</v>
      </c>
      <c r="AM2772" s="878" t="str">
        <f t="shared" ref="AM2772" si="11212">IFERROR((AK2772/AL2772),"-")</f>
        <v>-</v>
      </c>
      <c r="AN2772" s="2"/>
      <c r="AO2772" s="884">
        <v>1207</v>
      </c>
      <c r="AP2772" s="884">
        <f t="shared" ref="AP2772" si="11213">AO2772-AK2772</f>
        <v>1207</v>
      </c>
      <c r="AV2772" t="str">
        <f t="shared" si="11172"/>
        <v xml:space="preserve">   Seg. 3.1- ADME 12 - Drenagem Superficial - Descida D´água</v>
      </c>
      <c r="AW2772" s="4" t="str">
        <f t="shared" si="11171"/>
        <v xml:space="preserve">   Execução de sublastro - Seg.2.5 C 04</v>
      </c>
    </row>
    <row r="2773" spans="1:49" ht="15.6" customHeight="1" outlineLevel="2">
      <c r="A2773" s="8" t="str">
        <f t="shared" ref="A2773" si="11214">A2772</f>
        <v>N</v>
      </c>
      <c r="B2773" s="150"/>
      <c r="C2773" s="150" t="s">
        <v>3099</v>
      </c>
      <c r="D2773" s="120" t="s">
        <v>3100</v>
      </c>
      <c r="E2773" s="893"/>
      <c r="F2773" s="902"/>
      <c r="G2773" s="528"/>
      <c r="H2773" s="549" t="s">
        <v>38</v>
      </c>
      <c r="I2773" s="711">
        <v>0</v>
      </c>
      <c r="J2773" s="897"/>
      <c r="K2773" s="528"/>
      <c r="L2773" s="549" t="s">
        <v>38</v>
      </c>
      <c r="M2773" s="711">
        <f t="shared" si="11180"/>
        <v>0</v>
      </c>
      <c r="N2773" s="897"/>
      <c r="O2773" s="528"/>
      <c r="P2773" s="548">
        <v>0</v>
      </c>
      <c r="Q2773" s="548">
        <v>0</v>
      </c>
      <c r="R2773" s="548">
        <v>0</v>
      </c>
      <c r="S2773" s="548">
        <v>0</v>
      </c>
      <c r="T2773" s="548">
        <v>0</v>
      </c>
      <c r="U2773" s="548">
        <v>0</v>
      </c>
      <c r="V2773" s="548">
        <v>0</v>
      </c>
      <c r="W2773" s="528"/>
      <c r="X2773" s="711">
        <f t="shared" si="11174"/>
        <v>0</v>
      </c>
      <c r="Y2773" s="897"/>
      <c r="Z2773" s="528"/>
      <c r="AA2773" s="899"/>
      <c r="AB2773" s="899"/>
      <c r="AC2773" s="904"/>
      <c r="AD2773" s="905"/>
      <c r="AE2773" s="2"/>
      <c r="AF2773" s="885"/>
      <c r="AG2773" s="885"/>
      <c r="AH2773" s="885"/>
      <c r="AI2773" s="885"/>
      <c r="AJ2773" s="885"/>
      <c r="AK2773" s="885"/>
      <c r="AL2773" s="885"/>
      <c r="AM2773" s="879"/>
      <c r="AN2773" s="2"/>
      <c r="AO2773" s="886"/>
      <c r="AP2773" s="886"/>
      <c r="AV2773" t="str">
        <f t="shared" si="11172"/>
        <v xml:space="preserve">   Seg. 3.1- ADME 12 - Drenagem Superficial - Descida D´água</v>
      </c>
      <c r="AW2773" s="4" t="str">
        <f t="shared" si="11171"/>
        <v xml:space="preserve">   Execução de sublastro - Seg.2.5 C 04</v>
      </c>
    </row>
    <row r="2774" spans="1:49" ht="15.6" customHeight="1" outlineLevel="2">
      <c r="A2774" s="8" t="str">
        <f t="shared" ref="A2774" si="11215">IF(SUM(P2774:V2775)&gt;0,"S","N")</f>
        <v>N</v>
      </c>
      <c r="B2774" s="150">
        <v>1065720</v>
      </c>
      <c r="C2774" s="150" t="s">
        <v>3102</v>
      </c>
      <c r="D2774" s="120" t="s">
        <v>3103</v>
      </c>
      <c r="E2774" s="892" t="s">
        <v>3104</v>
      </c>
      <c r="F2774" s="902" t="s">
        <v>36</v>
      </c>
      <c r="G2774" s="528"/>
      <c r="H2774" s="546" t="s">
        <v>37</v>
      </c>
      <c r="I2774" s="711">
        <v>0</v>
      </c>
      <c r="J2774" s="896" t="str">
        <f t="shared" ref="J2774" si="11216">IFERROR((I2775/I2774),"-")</f>
        <v>-</v>
      </c>
      <c r="K2774" s="528"/>
      <c r="L2774" s="546" t="s">
        <v>37</v>
      </c>
      <c r="M2774" s="711">
        <f t="shared" si="11180"/>
        <v>0</v>
      </c>
      <c r="N2774" s="896" t="str">
        <f t="shared" ref="N2774" si="11217">IFERROR((M2775/M2774),"-")</f>
        <v>-</v>
      </c>
      <c r="O2774" s="528"/>
      <c r="P2774" s="547">
        <v>0</v>
      </c>
      <c r="Q2774" s="547">
        <v>0</v>
      </c>
      <c r="R2774" s="547">
        <v>0</v>
      </c>
      <c r="S2774" s="547">
        <v>0</v>
      </c>
      <c r="T2774" s="547">
        <v>0</v>
      </c>
      <c r="U2774" s="547">
        <v>0</v>
      </c>
      <c r="V2774" s="547">
        <v>0</v>
      </c>
      <c r="W2774" s="528"/>
      <c r="X2774" s="711">
        <f t="shared" si="11174"/>
        <v>0</v>
      </c>
      <c r="Y2774" s="896" t="str">
        <f t="shared" ref="Y2774" si="11218">IFERROR((X2775/X2774),"-")</f>
        <v>-</v>
      </c>
      <c r="Z2774" s="528"/>
      <c r="AA2774" s="898">
        <v>0</v>
      </c>
      <c r="AB2774" s="898">
        <v>0</v>
      </c>
      <c r="AC2774" s="903">
        <v>0</v>
      </c>
      <c r="AD2774" s="896" t="str">
        <f t="shared" ref="AD2774" si="11219">IFERROR((AC2774/AA2774),"-")</f>
        <v>-</v>
      </c>
      <c r="AE2774" s="2"/>
      <c r="AF2774" s="884">
        <v>0</v>
      </c>
      <c r="AG2774" s="884"/>
      <c r="AH2774" s="884">
        <v>0</v>
      </c>
      <c r="AI2774" s="884"/>
      <c r="AJ2774" s="884"/>
      <c r="AK2774" s="884">
        <f t="shared" ref="AK2774" si="11220">AF2774+AG2774+AH2774+AI2774+AJ2774+AC2774</f>
        <v>0</v>
      </c>
      <c r="AL2774" s="884">
        <v>0</v>
      </c>
      <c r="AM2774" s="878" t="str">
        <f t="shared" ref="AM2774" si="11221">IFERROR((AK2774/AL2774),"-")</f>
        <v>-</v>
      </c>
      <c r="AN2774" s="2"/>
      <c r="AO2774" s="884">
        <v>835</v>
      </c>
      <c r="AP2774" s="884">
        <f t="shared" ref="AP2774" si="11222">AO2774-AK2774</f>
        <v>835</v>
      </c>
      <c r="AV2774" t="str">
        <f t="shared" si="11172"/>
        <v xml:space="preserve">   Seg. 3.1- ADME 12 - Drenagem Superficial - Descida D´água</v>
      </c>
      <c r="AW2774" s="4" t="str">
        <f t="shared" si="11171"/>
        <v xml:space="preserve">   Execução de sublastro - Seg.2.5 C 05</v>
      </c>
    </row>
    <row r="2775" spans="1:49" ht="15.6" customHeight="1" outlineLevel="2">
      <c r="A2775" s="8" t="str">
        <f t="shared" ref="A2775" si="11223">A2774</f>
        <v>N</v>
      </c>
      <c r="B2775" s="150"/>
      <c r="C2775" s="150" t="s">
        <v>3102</v>
      </c>
      <c r="D2775" s="120" t="s">
        <v>3103</v>
      </c>
      <c r="E2775" s="893"/>
      <c r="F2775" s="902"/>
      <c r="G2775" s="528"/>
      <c r="H2775" s="549" t="s">
        <v>38</v>
      </c>
      <c r="I2775" s="711">
        <v>0</v>
      </c>
      <c r="J2775" s="897"/>
      <c r="K2775" s="528"/>
      <c r="L2775" s="549" t="s">
        <v>38</v>
      </c>
      <c r="M2775" s="711">
        <f t="shared" si="11180"/>
        <v>0</v>
      </c>
      <c r="N2775" s="897"/>
      <c r="O2775" s="528"/>
      <c r="P2775" s="548">
        <v>0</v>
      </c>
      <c r="Q2775" s="548">
        <v>0</v>
      </c>
      <c r="R2775" s="548">
        <v>0</v>
      </c>
      <c r="S2775" s="548">
        <v>0</v>
      </c>
      <c r="T2775" s="548">
        <v>0</v>
      </c>
      <c r="U2775" s="548">
        <v>0</v>
      </c>
      <c r="V2775" s="548">
        <v>0</v>
      </c>
      <c r="W2775" s="528"/>
      <c r="X2775" s="711">
        <f t="shared" si="11174"/>
        <v>0</v>
      </c>
      <c r="Y2775" s="897"/>
      <c r="Z2775" s="528"/>
      <c r="AA2775" s="899"/>
      <c r="AB2775" s="899"/>
      <c r="AC2775" s="904"/>
      <c r="AD2775" s="905"/>
      <c r="AE2775" s="2"/>
      <c r="AF2775" s="885"/>
      <c r="AG2775" s="885"/>
      <c r="AH2775" s="885"/>
      <c r="AI2775" s="885"/>
      <c r="AJ2775" s="885"/>
      <c r="AK2775" s="885"/>
      <c r="AL2775" s="885"/>
      <c r="AM2775" s="879"/>
      <c r="AN2775" s="2"/>
      <c r="AO2775" s="886"/>
      <c r="AP2775" s="886"/>
      <c r="AV2775" t="str">
        <f t="shared" si="11172"/>
        <v xml:space="preserve">   Seg. 3.1- ADME 12 - Drenagem Superficial - Descida D´água</v>
      </c>
      <c r="AW2775" s="4" t="str">
        <f t="shared" si="11171"/>
        <v xml:space="preserve">   Execução de sublastro - Seg.2.5 C 05</v>
      </c>
    </row>
    <row r="2776" spans="1:49" ht="15.6" customHeight="1" outlineLevel="2">
      <c r="A2776" s="8" t="str">
        <f t="shared" ref="A2776" si="11224">IF(SUM(P2776:V2777)&gt;0,"S","N")</f>
        <v>N</v>
      </c>
      <c r="B2776" s="150">
        <v>1065724</v>
      </c>
      <c r="C2776" s="150" t="s">
        <v>3105</v>
      </c>
      <c r="D2776" s="120" t="s">
        <v>3106</v>
      </c>
      <c r="E2776" s="892" t="s">
        <v>3107</v>
      </c>
      <c r="F2776" s="902" t="s">
        <v>36</v>
      </c>
      <c r="G2776" s="528"/>
      <c r="H2776" s="546" t="s">
        <v>37</v>
      </c>
      <c r="I2776" s="711">
        <v>0</v>
      </c>
      <c r="J2776" s="896" t="str">
        <f t="shared" ref="J2776" si="11225">IFERROR((I2777/I2776),"-")</f>
        <v>-</v>
      </c>
      <c r="K2776" s="528"/>
      <c r="L2776" s="546" t="s">
        <v>37</v>
      </c>
      <c r="M2776" s="711">
        <f t="shared" si="11180"/>
        <v>0</v>
      </c>
      <c r="N2776" s="896" t="str">
        <f t="shared" ref="N2776" si="11226">IFERROR((M2777/M2776),"-")</f>
        <v>-</v>
      </c>
      <c r="O2776" s="528"/>
      <c r="P2776" s="547">
        <v>0</v>
      </c>
      <c r="Q2776" s="547">
        <v>0</v>
      </c>
      <c r="R2776" s="547">
        <v>0</v>
      </c>
      <c r="S2776" s="547">
        <v>0</v>
      </c>
      <c r="T2776" s="547">
        <v>0</v>
      </c>
      <c r="U2776" s="547">
        <v>0</v>
      </c>
      <c r="V2776" s="547">
        <v>0</v>
      </c>
      <c r="W2776" s="528"/>
      <c r="X2776" s="711">
        <f t="shared" si="11174"/>
        <v>0</v>
      </c>
      <c r="Y2776" s="896" t="str">
        <f t="shared" ref="Y2776" si="11227">IFERROR((X2777/X2776),"-")</f>
        <v>-</v>
      </c>
      <c r="Z2776" s="528"/>
      <c r="AA2776" s="898">
        <v>0</v>
      </c>
      <c r="AB2776" s="898">
        <v>0</v>
      </c>
      <c r="AC2776" s="903">
        <v>0</v>
      </c>
      <c r="AD2776" s="896" t="str">
        <f t="shared" ref="AD2776" si="11228">IFERROR((AC2776/AA2776),"-")</f>
        <v>-</v>
      </c>
      <c r="AE2776" s="2"/>
      <c r="AF2776" s="884">
        <v>0</v>
      </c>
      <c r="AG2776" s="884"/>
      <c r="AH2776" s="884">
        <v>0</v>
      </c>
      <c r="AI2776" s="884"/>
      <c r="AJ2776" s="884"/>
      <c r="AK2776" s="884">
        <f t="shared" ref="AK2776" si="11229">AF2776+AG2776+AH2776+AI2776+AJ2776+AC2776</f>
        <v>0</v>
      </c>
      <c r="AL2776" s="884">
        <v>0</v>
      </c>
      <c r="AM2776" s="878" t="str">
        <f t="shared" ref="AM2776" si="11230">IFERROR((AK2776/AL2776),"-")</f>
        <v>-</v>
      </c>
      <c r="AN2776" s="2"/>
      <c r="AO2776" s="884">
        <v>510</v>
      </c>
      <c r="AP2776" s="884">
        <f t="shared" ref="AP2776" si="11231">AO2776-AK2776</f>
        <v>510</v>
      </c>
      <c r="AV2776" t="str">
        <f t="shared" si="11172"/>
        <v xml:space="preserve">   Seg. 3.1- ADME 12 - Drenagem Superficial - Descida D´água</v>
      </c>
      <c r="AW2776" s="4" t="str">
        <f t="shared" si="11171"/>
        <v xml:space="preserve">   Execução de sublastro - Seg.2.5 C 07</v>
      </c>
    </row>
    <row r="2777" spans="1:49" ht="15.6" customHeight="1" outlineLevel="2">
      <c r="A2777" s="8" t="str">
        <f t="shared" ref="A2777" si="11232">A2776</f>
        <v>N</v>
      </c>
      <c r="B2777" s="150"/>
      <c r="C2777" s="150" t="s">
        <v>3105</v>
      </c>
      <c r="D2777" s="120" t="s">
        <v>3106</v>
      </c>
      <c r="E2777" s="893"/>
      <c r="F2777" s="902"/>
      <c r="G2777" s="528"/>
      <c r="H2777" s="549" t="s">
        <v>38</v>
      </c>
      <c r="I2777" s="711">
        <v>0</v>
      </c>
      <c r="J2777" s="897"/>
      <c r="K2777" s="528"/>
      <c r="L2777" s="549" t="s">
        <v>38</v>
      </c>
      <c r="M2777" s="711">
        <f t="shared" si="11180"/>
        <v>0</v>
      </c>
      <c r="N2777" s="897"/>
      <c r="O2777" s="528"/>
      <c r="P2777" s="548">
        <v>0</v>
      </c>
      <c r="Q2777" s="548">
        <v>0</v>
      </c>
      <c r="R2777" s="548">
        <v>0</v>
      </c>
      <c r="S2777" s="548">
        <v>0</v>
      </c>
      <c r="T2777" s="548">
        <v>0</v>
      </c>
      <c r="U2777" s="548">
        <v>0</v>
      </c>
      <c r="V2777" s="548">
        <v>0</v>
      </c>
      <c r="W2777" s="528"/>
      <c r="X2777" s="711">
        <f t="shared" si="11174"/>
        <v>0</v>
      </c>
      <c r="Y2777" s="897"/>
      <c r="Z2777" s="528"/>
      <c r="AA2777" s="899"/>
      <c r="AB2777" s="899"/>
      <c r="AC2777" s="904"/>
      <c r="AD2777" s="905"/>
      <c r="AE2777" s="2"/>
      <c r="AF2777" s="885"/>
      <c r="AG2777" s="885"/>
      <c r="AH2777" s="885"/>
      <c r="AI2777" s="885"/>
      <c r="AJ2777" s="885"/>
      <c r="AK2777" s="885"/>
      <c r="AL2777" s="885"/>
      <c r="AM2777" s="879"/>
      <c r="AN2777" s="2"/>
      <c r="AO2777" s="886"/>
      <c r="AP2777" s="886"/>
      <c r="AV2777" t="str">
        <f t="shared" si="11172"/>
        <v xml:space="preserve">   Seg. 3.1- ADME 12 - Drenagem Superficial - Descida D´água</v>
      </c>
      <c r="AW2777" s="4" t="str">
        <f t="shared" si="11171"/>
        <v xml:space="preserve">   Execução de sublastro - Seg.2.5 C 07</v>
      </c>
    </row>
    <row r="2778" spans="1:49" ht="15.6" customHeight="1" outlineLevel="2">
      <c r="A2778" s="8" t="str">
        <f t="shared" ref="A2778" si="11233">IF(SUM(P2778:V2779)&gt;0,"S","N")</f>
        <v>N</v>
      </c>
      <c r="B2778" s="150">
        <v>1065726</v>
      </c>
      <c r="C2778" s="150" t="s">
        <v>3108</v>
      </c>
      <c r="D2778" s="120" t="s">
        <v>3109</v>
      </c>
      <c r="E2778" s="892" t="s">
        <v>3110</v>
      </c>
      <c r="F2778" s="902" t="s">
        <v>36</v>
      </c>
      <c r="G2778" s="528"/>
      <c r="H2778" s="546" t="s">
        <v>37</v>
      </c>
      <c r="I2778" s="711">
        <v>0</v>
      </c>
      <c r="J2778" s="896" t="str">
        <f t="shared" ref="J2778" si="11234">IFERROR((I2779/I2778),"-")</f>
        <v>-</v>
      </c>
      <c r="K2778" s="528"/>
      <c r="L2778" s="546" t="s">
        <v>37</v>
      </c>
      <c r="M2778" s="711">
        <f t="shared" si="11180"/>
        <v>0</v>
      </c>
      <c r="N2778" s="896" t="str">
        <f t="shared" ref="N2778" si="11235">IFERROR((M2779/M2778),"-")</f>
        <v>-</v>
      </c>
      <c r="O2778" s="528"/>
      <c r="P2778" s="547">
        <v>0</v>
      </c>
      <c r="Q2778" s="547">
        <v>0</v>
      </c>
      <c r="R2778" s="547">
        <v>0</v>
      </c>
      <c r="S2778" s="547">
        <v>0</v>
      </c>
      <c r="T2778" s="547">
        <v>0</v>
      </c>
      <c r="U2778" s="547">
        <v>0</v>
      </c>
      <c r="V2778" s="547">
        <v>0</v>
      </c>
      <c r="W2778" s="528"/>
      <c r="X2778" s="711">
        <f t="shared" si="11174"/>
        <v>0</v>
      </c>
      <c r="Y2778" s="896" t="str">
        <f t="shared" ref="Y2778" si="11236">IFERROR((X2779/X2778),"-")</f>
        <v>-</v>
      </c>
      <c r="Z2778" s="528"/>
      <c r="AA2778" s="898">
        <v>0</v>
      </c>
      <c r="AB2778" s="898">
        <v>0</v>
      </c>
      <c r="AC2778" s="903">
        <v>0</v>
      </c>
      <c r="AD2778" s="896" t="str">
        <f t="shared" ref="AD2778" si="11237">IFERROR((AC2778/AA2778),"-")</f>
        <v>-</v>
      </c>
      <c r="AE2778" s="2"/>
      <c r="AF2778" s="884">
        <v>0</v>
      </c>
      <c r="AG2778" s="884"/>
      <c r="AH2778" s="884">
        <v>0</v>
      </c>
      <c r="AI2778" s="884"/>
      <c r="AJ2778" s="884"/>
      <c r="AK2778" s="884">
        <f t="shared" ref="AK2778" si="11238">AF2778+AG2778+AH2778+AI2778+AJ2778+AC2778</f>
        <v>0</v>
      </c>
      <c r="AL2778" s="884">
        <v>0</v>
      </c>
      <c r="AM2778" s="878" t="str">
        <f t="shared" ref="AM2778" si="11239">IFERROR((AK2778/AL2778),"-")</f>
        <v>-</v>
      </c>
      <c r="AN2778" s="2"/>
      <c r="AO2778" s="884">
        <v>1021</v>
      </c>
      <c r="AP2778" s="884">
        <f t="shared" ref="AP2778" si="11240">AO2778-AK2778</f>
        <v>1021</v>
      </c>
      <c r="AV2778" t="str">
        <f t="shared" si="11172"/>
        <v xml:space="preserve">   Seg. 3.1- ADME 12 - Drenagem Superficial - Descida D´água</v>
      </c>
      <c r="AW2778" s="4" t="str">
        <f t="shared" si="11171"/>
        <v xml:space="preserve">   Execução de sublastro - Seg.2.5 C 08</v>
      </c>
    </row>
    <row r="2779" spans="1:49" ht="15.6" customHeight="1" outlineLevel="2">
      <c r="A2779" s="8" t="str">
        <f t="shared" ref="A2779" si="11241">A2778</f>
        <v>N</v>
      </c>
      <c r="B2779" s="150"/>
      <c r="C2779" s="150" t="s">
        <v>3108</v>
      </c>
      <c r="D2779" s="120" t="s">
        <v>3109</v>
      </c>
      <c r="E2779" s="893"/>
      <c r="F2779" s="902"/>
      <c r="G2779" s="528"/>
      <c r="H2779" s="549" t="s">
        <v>38</v>
      </c>
      <c r="I2779" s="711">
        <v>0</v>
      </c>
      <c r="J2779" s="897"/>
      <c r="K2779" s="528"/>
      <c r="L2779" s="549" t="s">
        <v>38</v>
      </c>
      <c r="M2779" s="711">
        <f t="shared" si="11180"/>
        <v>0</v>
      </c>
      <c r="N2779" s="897"/>
      <c r="O2779" s="528"/>
      <c r="P2779" s="548">
        <v>0</v>
      </c>
      <c r="Q2779" s="548">
        <v>0</v>
      </c>
      <c r="R2779" s="548">
        <v>0</v>
      </c>
      <c r="S2779" s="548">
        <v>0</v>
      </c>
      <c r="T2779" s="548">
        <v>0</v>
      </c>
      <c r="U2779" s="548">
        <v>0</v>
      </c>
      <c r="V2779" s="548">
        <v>0</v>
      </c>
      <c r="W2779" s="528"/>
      <c r="X2779" s="711">
        <f t="shared" si="11174"/>
        <v>0</v>
      </c>
      <c r="Y2779" s="897"/>
      <c r="Z2779" s="528"/>
      <c r="AA2779" s="899"/>
      <c r="AB2779" s="899"/>
      <c r="AC2779" s="904"/>
      <c r="AD2779" s="905"/>
      <c r="AE2779" s="2"/>
      <c r="AF2779" s="885"/>
      <c r="AG2779" s="885"/>
      <c r="AH2779" s="885"/>
      <c r="AI2779" s="885"/>
      <c r="AJ2779" s="885"/>
      <c r="AK2779" s="885"/>
      <c r="AL2779" s="885"/>
      <c r="AM2779" s="879"/>
      <c r="AN2779" s="2"/>
      <c r="AO2779" s="886"/>
      <c r="AP2779" s="886"/>
      <c r="AV2779" t="str">
        <f t="shared" si="11172"/>
        <v xml:space="preserve">   Seg. 3.1- ADME 12 - Drenagem Superficial - Descida D´água</v>
      </c>
      <c r="AW2779" s="4" t="str">
        <f t="shared" si="11171"/>
        <v xml:space="preserve">   Execução de sublastro - Seg.2.5 C 08</v>
      </c>
    </row>
    <row r="2780" spans="1:49" ht="15.6" customHeight="1" outlineLevel="2">
      <c r="A2780" s="8" t="str">
        <f t="shared" ref="A2780" si="11242">IF(SUM(P2780:V2781)&gt;0,"S","N")</f>
        <v>N</v>
      </c>
      <c r="B2780" s="150">
        <v>1065728</v>
      </c>
      <c r="C2780" s="150" t="s">
        <v>3111</v>
      </c>
      <c r="D2780" s="120" t="s">
        <v>3112</v>
      </c>
      <c r="E2780" s="892" t="s">
        <v>3113</v>
      </c>
      <c r="F2780" s="902" t="s">
        <v>36</v>
      </c>
      <c r="G2780" s="528"/>
      <c r="H2780" s="546" t="s">
        <v>37</v>
      </c>
      <c r="I2780" s="711">
        <v>0</v>
      </c>
      <c r="J2780" s="896" t="str">
        <f t="shared" ref="J2780" si="11243">IFERROR((I2781/I2780),"-")</f>
        <v>-</v>
      </c>
      <c r="K2780" s="528"/>
      <c r="L2780" s="546" t="s">
        <v>37</v>
      </c>
      <c r="M2780" s="711">
        <f t="shared" si="11180"/>
        <v>0</v>
      </c>
      <c r="N2780" s="896" t="str">
        <f t="shared" ref="N2780" si="11244">IFERROR((M2781/M2780),"-")</f>
        <v>-</v>
      </c>
      <c r="O2780" s="528"/>
      <c r="P2780" s="547">
        <v>0</v>
      </c>
      <c r="Q2780" s="547">
        <v>0</v>
      </c>
      <c r="R2780" s="547">
        <v>0</v>
      </c>
      <c r="S2780" s="547">
        <v>0</v>
      </c>
      <c r="T2780" s="547">
        <v>0</v>
      </c>
      <c r="U2780" s="547">
        <v>0</v>
      </c>
      <c r="V2780" s="547">
        <v>0</v>
      </c>
      <c r="W2780" s="528"/>
      <c r="X2780" s="711">
        <f t="shared" si="11174"/>
        <v>0</v>
      </c>
      <c r="Y2780" s="896" t="str">
        <f t="shared" ref="Y2780" si="11245">IFERROR((X2781/X2780),"-")</f>
        <v>-</v>
      </c>
      <c r="Z2780" s="528"/>
      <c r="AA2780" s="898">
        <v>0</v>
      </c>
      <c r="AB2780" s="898">
        <v>0</v>
      </c>
      <c r="AC2780" s="903">
        <v>0</v>
      </c>
      <c r="AD2780" s="896" t="str">
        <f t="shared" ref="AD2780" si="11246">IFERROR((AC2780/AA2780),"-")</f>
        <v>-</v>
      </c>
      <c r="AE2780" s="2"/>
      <c r="AF2780" s="884">
        <v>0</v>
      </c>
      <c r="AG2780" s="884"/>
      <c r="AH2780" s="884">
        <v>0</v>
      </c>
      <c r="AI2780" s="884"/>
      <c r="AJ2780" s="884"/>
      <c r="AK2780" s="884">
        <f t="shared" ref="AK2780" si="11247">AF2780+AG2780+AH2780+AI2780+AJ2780+AC2780</f>
        <v>0</v>
      </c>
      <c r="AL2780" s="884">
        <v>0</v>
      </c>
      <c r="AM2780" s="878" t="str">
        <f t="shared" ref="AM2780" si="11248">IFERROR((AK2780/AL2780),"-")</f>
        <v>-</v>
      </c>
      <c r="AN2780" s="2"/>
      <c r="AO2780" s="884">
        <v>7007</v>
      </c>
      <c r="AP2780" s="884">
        <f t="shared" ref="AP2780" si="11249">AO2780-AK2780</f>
        <v>7007</v>
      </c>
      <c r="AV2780" t="str">
        <f t="shared" si="11172"/>
        <v xml:space="preserve">   Seg. 3.1- ADME 12 - Drenagem Superficial - Descida D´água</v>
      </c>
      <c r="AW2780" s="4" t="str">
        <f t="shared" si="11171"/>
        <v xml:space="preserve">   Execução de sublastro - Seg.2.5 C 09</v>
      </c>
    </row>
    <row r="2781" spans="1:49" ht="15.6" customHeight="1" outlineLevel="2">
      <c r="A2781" s="8" t="str">
        <f t="shared" ref="A2781" si="11250">A2780</f>
        <v>N</v>
      </c>
      <c r="B2781" s="150"/>
      <c r="C2781" s="150" t="s">
        <v>3111</v>
      </c>
      <c r="D2781" s="120" t="s">
        <v>3112</v>
      </c>
      <c r="E2781" s="893"/>
      <c r="F2781" s="902"/>
      <c r="G2781" s="528"/>
      <c r="H2781" s="549" t="s">
        <v>38</v>
      </c>
      <c r="I2781" s="711">
        <v>0</v>
      </c>
      <c r="J2781" s="897"/>
      <c r="K2781" s="528"/>
      <c r="L2781" s="549" t="s">
        <v>38</v>
      </c>
      <c r="M2781" s="711">
        <f t="shared" si="11180"/>
        <v>0</v>
      </c>
      <c r="N2781" s="897"/>
      <c r="O2781" s="528"/>
      <c r="P2781" s="548">
        <v>0</v>
      </c>
      <c r="Q2781" s="548">
        <v>0</v>
      </c>
      <c r="R2781" s="548">
        <v>0</v>
      </c>
      <c r="S2781" s="548">
        <v>0</v>
      </c>
      <c r="T2781" s="548">
        <v>0</v>
      </c>
      <c r="U2781" s="548">
        <v>0</v>
      </c>
      <c r="V2781" s="548">
        <v>0</v>
      </c>
      <c r="W2781" s="528"/>
      <c r="X2781" s="711">
        <f t="shared" si="11174"/>
        <v>0</v>
      </c>
      <c r="Y2781" s="897"/>
      <c r="Z2781" s="528"/>
      <c r="AA2781" s="899"/>
      <c r="AB2781" s="899"/>
      <c r="AC2781" s="904"/>
      <c r="AD2781" s="905"/>
      <c r="AE2781" s="2"/>
      <c r="AF2781" s="885"/>
      <c r="AG2781" s="885"/>
      <c r="AH2781" s="885"/>
      <c r="AI2781" s="885"/>
      <c r="AJ2781" s="885"/>
      <c r="AK2781" s="885"/>
      <c r="AL2781" s="885"/>
      <c r="AM2781" s="879"/>
      <c r="AN2781" s="2"/>
      <c r="AO2781" s="886"/>
      <c r="AP2781" s="886"/>
      <c r="AV2781" t="str">
        <f t="shared" si="11172"/>
        <v xml:space="preserve">   Seg. 3.1- ADME 12 - Drenagem Superficial - Descida D´água</v>
      </c>
      <c r="AW2781" s="4" t="str">
        <f t="shared" si="11171"/>
        <v xml:space="preserve">   Execução de sublastro - Seg.2.5 C 09</v>
      </c>
    </row>
    <row r="2782" spans="1:49" ht="15.6" customHeight="1" outlineLevel="2">
      <c r="A2782" s="8" t="str">
        <f t="shared" ref="A2782" si="11251">IF(SUM(P2782:V2783)&gt;0,"S","N")</f>
        <v>N</v>
      </c>
      <c r="B2782" s="150">
        <v>1065730</v>
      </c>
      <c r="C2782" s="150" t="s">
        <v>3114</v>
      </c>
      <c r="D2782" s="120" t="s">
        <v>3115</v>
      </c>
      <c r="E2782" s="892" t="s">
        <v>3116</v>
      </c>
      <c r="F2782" s="902" t="s">
        <v>36</v>
      </c>
      <c r="G2782" s="528"/>
      <c r="H2782" s="546" t="s">
        <v>37</v>
      </c>
      <c r="I2782" s="711">
        <v>0</v>
      </c>
      <c r="J2782" s="896" t="str">
        <f t="shared" ref="J2782" si="11252">IFERROR((I2783/I2782),"-")</f>
        <v>-</v>
      </c>
      <c r="K2782" s="528"/>
      <c r="L2782" s="546" t="s">
        <v>37</v>
      </c>
      <c r="M2782" s="711">
        <f t="shared" si="11180"/>
        <v>0</v>
      </c>
      <c r="N2782" s="896" t="str">
        <f t="shared" ref="N2782" si="11253">IFERROR((M2783/M2782),"-")</f>
        <v>-</v>
      </c>
      <c r="O2782" s="528"/>
      <c r="P2782" s="547">
        <v>0</v>
      </c>
      <c r="Q2782" s="547">
        <v>0</v>
      </c>
      <c r="R2782" s="547">
        <v>0</v>
      </c>
      <c r="S2782" s="547">
        <v>0</v>
      </c>
      <c r="T2782" s="547">
        <v>0</v>
      </c>
      <c r="U2782" s="547">
        <v>0</v>
      </c>
      <c r="V2782" s="547">
        <v>0</v>
      </c>
      <c r="W2782" s="528"/>
      <c r="X2782" s="711">
        <f t="shared" si="11174"/>
        <v>0</v>
      </c>
      <c r="Y2782" s="896" t="str">
        <f t="shared" ref="Y2782" si="11254">IFERROR((X2783/X2782),"-")</f>
        <v>-</v>
      </c>
      <c r="Z2782" s="528"/>
      <c r="AA2782" s="898">
        <v>0</v>
      </c>
      <c r="AB2782" s="898">
        <v>0</v>
      </c>
      <c r="AC2782" s="903">
        <v>0</v>
      </c>
      <c r="AD2782" s="896" t="str">
        <f t="shared" ref="AD2782" si="11255">IFERROR((AC2782/AA2782),"-")</f>
        <v>-</v>
      </c>
      <c r="AE2782" s="2"/>
      <c r="AF2782" s="884">
        <v>0</v>
      </c>
      <c r="AG2782" s="884"/>
      <c r="AH2782" s="884">
        <v>0</v>
      </c>
      <c r="AI2782" s="884"/>
      <c r="AJ2782" s="884"/>
      <c r="AK2782" s="884">
        <f t="shared" ref="AK2782" si="11256">AF2782+AG2782+AH2782+AI2782+AJ2782+AC2782</f>
        <v>0</v>
      </c>
      <c r="AL2782" s="884">
        <v>0</v>
      </c>
      <c r="AM2782" s="878" t="str">
        <f t="shared" ref="AM2782" si="11257">IFERROR((AK2782/AL2782),"-")</f>
        <v>-</v>
      </c>
      <c r="AN2782" s="2"/>
      <c r="AO2782" s="884">
        <v>1021</v>
      </c>
      <c r="AP2782" s="884">
        <f t="shared" ref="AP2782" si="11258">AO2782-AK2782</f>
        <v>1021</v>
      </c>
      <c r="AV2782" t="str">
        <f t="shared" si="11172"/>
        <v xml:space="preserve">   Seg. 3.1- ADME 12 - Drenagem Superficial - Descida D´água</v>
      </c>
      <c r="AW2782" s="4" t="str">
        <f t="shared" si="11171"/>
        <v xml:space="preserve">   Execução de sublastro - Seg.2.5 C 10</v>
      </c>
    </row>
    <row r="2783" spans="1:49" ht="15.6" customHeight="1" outlineLevel="2">
      <c r="A2783" s="8" t="str">
        <f t="shared" ref="A2783" si="11259">A2782</f>
        <v>N</v>
      </c>
      <c r="B2783" s="150"/>
      <c r="C2783" s="150" t="s">
        <v>3114</v>
      </c>
      <c r="D2783" s="120" t="s">
        <v>3115</v>
      </c>
      <c r="E2783" s="893"/>
      <c r="F2783" s="902"/>
      <c r="G2783" s="528"/>
      <c r="H2783" s="549" t="s">
        <v>38</v>
      </c>
      <c r="I2783" s="711">
        <v>0</v>
      </c>
      <c r="J2783" s="897"/>
      <c r="K2783" s="528"/>
      <c r="L2783" s="549" t="s">
        <v>38</v>
      </c>
      <c r="M2783" s="711">
        <f t="shared" si="11180"/>
        <v>0</v>
      </c>
      <c r="N2783" s="897"/>
      <c r="O2783" s="528"/>
      <c r="P2783" s="548">
        <v>0</v>
      </c>
      <c r="Q2783" s="548">
        <v>0</v>
      </c>
      <c r="R2783" s="548">
        <v>0</v>
      </c>
      <c r="S2783" s="548">
        <v>0</v>
      </c>
      <c r="T2783" s="548">
        <v>0</v>
      </c>
      <c r="U2783" s="548">
        <v>0</v>
      </c>
      <c r="V2783" s="548">
        <v>0</v>
      </c>
      <c r="W2783" s="528"/>
      <c r="X2783" s="711">
        <f t="shared" si="11174"/>
        <v>0</v>
      </c>
      <c r="Y2783" s="897"/>
      <c r="Z2783" s="528"/>
      <c r="AA2783" s="899"/>
      <c r="AB2783" s="899"/>
      <c r="AC2783" s="904"/>
      <c r="AD2783" s="905"/>
      <c r="AE2783" s="2"/>
      <c r="AF2783" s="885"/>
      <c r="AG2783" s="885"/>
      <c r="AH2783" s="885"/>
      <c r="AI2783" s="885"/>
      <c r="AJ2783" s="885"/>
      <c r="AK2783" s="885"/>
      <c r="AL2783" s="885"/>
      <c r="AM2783" s="879"/>
      <c r="AN2783" s="2"/>
      <c r="AO2783" s="886"/>
      <c r="AP2783" s="886"/>
      <c r="AV2783" t="str">
        <f t="shared" si="11172"/>
        <v xml:space="preserve">   Seg. 3.1- ADME 12 - Drenagem Superficial - Descida D´água</v>
      </c>
      <c r="AW2783" s="4" t="str">
        <f t="shared" si="11171"/>
        <v xml:space="preserve">   Execução de sublastro - Seg.2.5 C 10</v>
      </c>
    </row>
    <row r="2784" spans="1:49" ht="15.6" customHeight="1" outlineLevel="2">
      <c r="A2784" s="8" t="str">
        <f t="shared" ref="A2784" si="11260">IF(SUM(P2784:V2785)&gt;0,"S","N")</f>
        <v>N</v>
      </c>
      <c r="B2784" s="150">
        <v>1065732</v>
      </c>
      <c r="C2784" s="150" t="s">
        <v>3117</v>
      </c>
      <c r="D2784" s="120" t="s">
        <v>3118</v>
      </c>
      <c r="E2784" s="892" t="s">
        <v>3119</v>
      </c>
      <c r="F2784" s="902" t="s">
        <v>36</v>
      </c>
      <c r="G2784" s="528"/>
      <c r="H2784" s="546" t="s">
        <v>37</v>
      </c>
      <c r="I2784" s="711">
        <v>0</v>
      </c>
      <c r="J2784" s="896" t="str">
        <f t="shared" ref="J2784" si="11261">IFERROR((I2785/I2784),"-")</f>
        <v>-</v>
      </c>
      <c r="K2784" s="528"/>
      <c r="L2784" s="546" t="s">
        <v>37</v>
      </c>
      <c r="M2784" s="711">
        <f t="shared" si="11180"/>
        <v>0</v>
      </c>
      <c r="N2784" s="896" t="str">
        <f t="shared" ref="N2784" si="11262">IFERROR((M2785/M2784),"-")</f>
        <v>-</v>
      </c>
      <c r="O2784" s="528"/>
      <c r="P2784" s="547">
        <v>0</v>
      </c>
      <c r="Q2784" s="547">
        <v>0</v>
      </c>
      <c r="R2784" s="547">
        <v>0</v>
      </c>
      <c r="S2784" s="547">
        <v>0</v>
      </c>
      <c r="T2784" s="547">
        <v>0</v>
      </c>
      <c r="U2784" s="547">
        <v>0</v>
      </c>
      <c r="V2784" s="547">
        <v>0</v>
      </c>
      <c r="W2784" s="528"/>
      <c r="X2784" s="711">
        <f t="shared" si="11174"/>
        <v>0</v>
      </c>
      <c r="Y2784" s="896" t="str">
        <f t="shared" ref="Y2784" si="11263">IFERROR((X2785/X2784),"-")</f>
        <v>-</v>
      </c>
      <c r="Z2784" s="528"/>
      <c r="AA2784" s="898">
        <v>0</v>
      </c>
      <c r="AB2784" s="898">
        <v>0</v>
      </c>
      <c r="AC2784" s="903">
        <v>0</v>
      </c>
      <c r="AD2784" s="896" t="str">
        <f t="shared" ref="AD2784" si="11264">IFERROR((AC2784/AA2784),"-")</f>
        <v>-</v>
      </c>
      <c r="AE2784" s="2"/>
      <c r="AF2784" s="884">
        <v>0</v>
      </c>
      <c r="AG2784" s="884"/>
      <c r="AH2784" s="884">
        <v>0</v>
      </c>
      <c r="AI2784" s="884"/>
      <c r="AJ2784" s="884"/>
      <c r="AK2784" s="884">
        <f t="shared" ref="AK2784" si="11265">AF2784+AG2784+AH2784+AI2784+AJ2784+AC2784</f>
        <v>0</v>
      </c>
      <c r="AL2784" s="884">
        <v>0</v>
      </c>
      <c r="AM2784" s="878" t="str">
        <f t="shared" ref="AM2784" si="11266">IFERROR((AK2784/AL2784),"-")</f>
        <v>-</v>
      </c>
      <c r="AN2784" s="2"/>
      <c r="AO2784" s="884">
        <v>510</v>
      </c>
      <c r="AP2784" s="884">
        <f t="shared" ref="AP2784" si="11267">AO2784-AK2784</f>
        <v>510</v>
      </c>
      <c r="AV2784" t="str">
        <f t="shared" si="11172"/>
        <v xml:space="preserve">   Seg. 3.1- ADME 12 - Drenagem Superficial - Descida D´água</v>
      </c>
      <c r="AW2784" s="4" t="str">
        <f t="shared" si="11171"/>
        <v xml:space="preserve">   Execução de sublastro - Seg.2.5 C 11</v>
      </c>
    </row>
    <row r="2785" spans="1:50" ht="15.6" customHeight="1" outlineLevel="2">
      <c r="A2785" s="8" t="str">
        <f t="shared" ref="A2785" si="11268">A2784</f>
        <v>N</v>
      </c>
      <c r="B2785" s="150"/>
      <c r="C2785" s="150" t="s">
        <v>3117</v>
      </c>
      <c r="D2785" s="120" t="s">
        <v>3118</v>
      </c>
      <c r="E2785" s="893"/>
      <c r="F2785" s="902"/>
      <c r="G2785" s="528"/>
      <c r="H2785" s="549" t="s">
        <v>38</v>
      </c>
      <c r="I2785" s="711">
        <v>0</v>
      </c>
      <c r="J2785" s="897"/>
      <c r="K2785" s="528"/>
      <c r="L2785" s="549" t="s">
        <v>38</v>
      </c>
      <c r="M2785" s="711">
        <f t="shared" si="11180"/>
        <v>0</v>
      </c>
      <c r="N2785" s="897"/>
      <c r="O2785" s="528"/>
      <c r="P2785" s="548">
        <v>0</v>
      </c>
      <c r="Q2785" s="548">
        <v>0</v>
      </c>
      <c r="R2785" s="548">
        <v>0</v>
      </c>
      <c r="S2785" s="548">
        <v>0</v>
      </c>
      <c r="T2785" s="548">
        <v>0</v>
      </c>
      <c r="U2785" s="548">
        <v>0</v>
      </c>
      <c r="V2785" s="548">
        <v>0</v>
      </c>
      <c r="W2785" s="528"/>
      <c r="X2785" s="711">
        <f t="shared" si="11174"/>
        <v>0</v>
      </c>
      <c r="Y2785" s="897"/>
      <c r="Z2785" s="528"/>
      <c r="AA2785" s="899"/>
      <c r="AB2785" s="899"/>
      <c r="AC2785" s="904"/>
      <c r="AD2785" s="905"/>
      <c r="AE2785" s="2"/>
      <c r="AF2785" s="885"/>
      <c r="AG2785" s="885"/>
      <c r="AH2785" s="885"/>
      <c r="AI2785" s="885"/>
      <c r="AJ2785" s="885"/>
      <c r="AK2785" s="885"/>
      <c r="AL2785" s="885"/>
      <c r="AM2785" s="879"/>
      <c r="AN2785" s="2"/>
      <c r="AO2785" s="886"/>
      <c r="AP2785" s="886"/>
      <c r="AV2785" t="str">
        <f t="shared" si="11172"/>
        <v xml:space="preserve">   Seg. 3.1- ADME 12 - Drenagem Superficial - Descida D´água</v>
      </c>
      <c r="AW2785" s="4" t="str">
        <f t="shared" si="11171"/>
        <v xml:space="preserve">   Execução de sublastro - Seg.2.5 C 11</v>
      </c>
    </row>
    <row r="2786" spans="1:50" ht="15.6" customHeight="1" outlineLevel="2">
      <c r="A2786" s="8" t="str">
        <f t="shared" ref="A2786" si="11269">IF(SUM(P2786:V2787)&gt;0,"S","N")</f>
        <v>N</v>
      </c>
      <c r="B2786" s="150">
        <v>1065734</v>
      </c>
      <c r="C2786" s="150" t="s">
        <v>3120</v>
      </c>
      <c r="D2786" s="120" t="s">
        <v>3121</v>
      </c>
      <c r="E2786" s="892" t="s">
        <v>3122</v>
      </c>
      <c r="F2786" s="902" t="s">
        <v>36</v>
      </c>
      <c r="G2786" s="528"/>
      <c r="H2786" s="546" t="s">
        <v>37</v>
      </c>
      <c r="I2786" s="711">
        <v>0</v>
      </c>
      <c r="J2786" s="896" t="str">
        <f t="shared" ref="J2786" si="11270">IFERROR((I2787/I2786),"-")</f>
        <v>-</v>
      </c>
      <c r="K2786" s="528"/>
      <c r="L2786" s="546" t="s">
        <v>37</v>
      </c>
      <c r="M2786" s="711">
        <f t="shared" si="11180"/>
        <v>0</v>
      </c>
      <c r="N2786" s="896" t="str">
        <f t="shared" ref="N2786" si="11271">IFERROR((M2787/M2786),"-")</f>
        <v>-</v>
      </c>
      <c r="O2786" s="528"/>
      <c r="P2786" s="547">
        <v>0</v>
      </c>
      <c r="Q2786" s="547">
        <v>0</v>
      </c>
      <c r="R2786" s="547">
        <v>0</v>
      </c>
      <c r="S2786" s="547">
        <v>0</v>
      </c>
      <c r="T2786" s="547">
        <v>0</v>
      </c>
      <c r="U2786" s="547">
        <v>0</v>
      </c>
      <c r="V2786" s="547">
        <v>0</v>
      </c>
      <c r="W2786" s="528"/>
      <c r="X2786" s="711">
        <f t="shared" si="11174"/>
        <v>0</v>
      </c>
      <c r="Y2786" s="896" t="str">
        <f t="shared" ref="Y2786" si="11272">IFERROR((X2787/X2786),"-")</f>
        <v>-</v>
      </c>
      <c r="Z2786" s="528"/>
      <c r="AA2786" s="898">
        <v>0</v>
      </c>
      <c r="AB2786" s="898">
        <v>0</v>
      </c>
      <c r="AC2786" s="903">
        <v>0</v>
      </c>
      <c r="AD2786" s="896" t="str">
        <f t="shared" ref="AD2786" si="11273">IFERROR((AC2786/AA2786),"-")</f>
        <v>-</v>
      </c>
      <c r="AE2786" s="2"/>
      <c r="AF2786" s="884">
        <v>0</v>
      </c>
      <c r="AG2786" s="884"/>
      <c r="AH2786" s="884">
        <v>0</v>
      </c>
      <c r="AI2786" s="884"/>
      <c r="AJ2786" s="884"/>
      <c r="AK2786" s="884">
        <f t="shared" ref="AK2786" si="11274">AF2786+AG2786+AH2786+AI2786+AJ2786+AC2786</f>
        <v>0</v>
      </c>
      <c r="AL2786" s="884">
        <v>0</v>
      </c>
      <c r="AM2786" s="878" t="str">
        <f t="shared" ref="AM2786" si="11275">IFERROR((AK2786/AL2786),"-")</f>
        <v>-</v>
      </c>
      <c r="AN2786" s="2"/>
      <c r="AO2786" s="884">
        <v>325</v>
      </c>
      <c r="AP2786" s="884">
        <f t="shared" ref="AP2786" si="11276">AO2786-AK2786</f>
        <v>325</v>
      </c>
      <c r="AV2786" t="str">
        <f t="shared" si="11172"/>
        <v xml:space="preserve">   Seg. 3.1- ADME 12 - Drenagem Superficial - Descida D´água</v>
      </c>
      <c r="AW2786" s="4" t="str">
        <f t="shared" si="11171"/>
        <v xml:space="preserve">   Execução de sublastro - Seg.2.5 C 12</v>
      </c>
    </row>
    <row r="2787" spans="1:50" ht="15.6" customHeight="1" outlineLevel="2">
      <c r="A2787" s="8" t="str">
        <f t="shared" ref="A2787" si="11277">A2786</f>
        <v>N</v>
      </c>
      <c r="B2787" s="150"/>
      <c r="C2787" s="150" t="s">
        <v>3120</v>
      </c>
      <c r="D2787" s="120" t="s">
        <v>3121</v>
      </c>
      <c r="E2787" s="893"/>
      <c r="F2787" s="902"/>
      <c r="G2787" s="528"/>
      <c r="H2787" s="549" t="s">
        <v>38</v>
      </c>
      <c r="I2787" s="711">
        <v>0</v>
      </c>
      <c r="J2787" s="897"/>
      <c r="K2787" s="528"/>
      <c r="L2787" s="549" t="s">
        <v>38</v>
      </c>
      <c r="M2787" s="711">
        <f t="shared" si="11180"/>
        <v>0</v>
      </c>
      <c r="N2787" s="897"/>
      <c r="O2787" s="528"/>
      <c r="P2787" s="548">
        <v>0</v>
      </c>
      <c r="Q2787" s="548">
        <v>0</v>
      </c>
      <c r="R2787" s="548">
        <v>0</v>
      </c>
      <c r="S2787" s="548">
        <v>0</v>
      </c>
      <c r="T2787" s="548">
        <v>0</v>
      </c>
      <c r="U2787" s="548">
        <v>0</v>
      </c>
      <c r="V2787" s="548">
        <v>0</v>
      </c>
      <c r="W2787" s="528"/>
      <c r="X2787" s="711">
        <f t="shared" si="11174"/>
        <v>0</v>
      </c>
      <c r="Y2787" s="897"/>
      <c r="Z2787" s="528"/>
      <c r="AA2787" s="899"/>
      <c r="AB2787" s="899"/>
      <c r="AC2787" s="904"/>
      <c r="AD2787" s="905"/>
      <c r="AE2787" s="2"/>
      <c r="AF2787" s="885"/>
      <c r="AG2787" s="885"/>
      <c r="AH2787" s="885"/>
      <c r="AI2787" s="885"/>
      <c r="AJ2787" s="885"/>
      <c r="AK2787" s="885"/>
      <c r="AL2787" s="885"/>
      <c r="AM2787" s="879"/>
      <c r="AN2787" s="2"/>
      <c r="AO2787" s="886"/>
      <c r="AP2787" s="886"/>
      <c r="AV2787" t="str">
        <f t="shared" si="11172"/>
        <v xml:space="preserve">   Seg. 3.1- ADME 12 - Drenagem Superficial - Descida D´água</v>
      </c>
      <c r="AW2787" s="4" t="str">
        <f t="shared" si="11171"/>
        <v xml:space="preserve">   Execução de sublastro - Seg.2.5 C 12</v>
      </c>
    </row>
    <row r="2788" spans="1:50" ht="15.6" customHeight="1" outlineLevel="2">
      <c r="A2788" s="8" t="str">
        <f t="shared" ref="A2788" si="11278">IF(SUM(P2788:V2789)&gt;0,"S","N")</f>
        <v>N</v>
      </c>
      <c r="B2788" s="150">
        <v>1065713</v>
      </c>
      <c r="C2788" s="150" t="s">
        <v>3123</v>
      </c>
      <c r="D2788" s="120" t="s">
        <v>3124</v>
      </c>
      <c r="E2788" s="892" t="s">
        <v>3125</v>
      </c>
      <c r="F2788" s="902" t="s">
        <v>36</v>
      </c>
      <c r="G2788" s="528"/>
      <c r="H2788" s="546" t="s">
        <v>37</v>
      </c>
      <c r="I2788" s="711">
        <v>0</v>
      </c>
      <c r="J2788" s="896" t="str">
        <f t="shared" ref="J2788" si="11279">IFERROR((I2789/I2788),"-")</f>
        <v>-</v>
      </c>
      <c r="K2788" s="528"/>
      <c r="L2788" s="546" t="s">
        <v>37</v>
      </c>
      <c r="M2788" s="711">
        <f t="shared" si="11180"/>
        <v>0</v>
      </c>
      <c r="N2788" s="896" t="str">
        <f t="shared" ref="N2788" si="11280">IFERROR((M2789/M2788),"-")</f>
        <v>-</v>
      </c>
      <c r="O2788" s="528"/>
      <c r="P2788" s="547">
        <v>0</v>
      </c>
      <c r="Q2788" s="547">
        <v>0</v>
      </c>
      <c r="R2788" s="547">
        <v>0</v>
      </c>
      <c r="S2788" s="547">
        <v>0</v>
      </c>
      <c r="T2788" s="547">
        <v>0</v>
      </c>
      <c r="U2788" s="547">
        <v>0</v>
      </c>
      <c r="V2788" s="547">
        <v>0</v>
      </c>
      <c r="W2788" s="528"/>
      <c r="X2788" s="711">
        <f t="shared" si="11174"/>
        <v>0</v>
      </c>
      <c r="Y2788" s="896" t="str">
        <f t="shared" ref="Y2788" si="11281">IFERROR((X2789/X2788),"-")</f>
        <v>-</v>
      </c>
      <c r="Z2788" s="528"/>
      <c r="AA2788" s="898">
        <v>0</v>
      </c>
      <c r="AB2788" s="898">
        <v>0</v>
      </c>
      <c r="AC2788" s="903">
        <v>0</v>
      </c>
      <c r="AD2788" s="896" t="str">
        <f t="shared" ref="AD2788" si="11282">IFERROR((AC2788/AA2788),"-")</f>
        <v>-</v>
      </c>
      <c r="AE2788" s="2"/>
      <c r="AF2788" s="884">
        <v>0</v>
      </c>
      <c r="AG2788" s="884"/>
      <c r="AH2788" s="884">
        <v>0</v>
      </c>
      <c r="AI2788" s="884"/>
      <c r="AJ2788" s="884"/>
      <c r="AK2788" s="884">
        <f t="shared" ref="AK2788" si="11283">AF2788+AG2788+AH2788+AI2788+AJ2788+AC2788</f>
        <v>0</v>
      </c>
      <c r="AL2788" s="884">
        <v>0</v>
      </c>
      <c r="AM2788" s="878" t="str">
        <f t="shared" ref="AM2788" si="11284">IFERROR((AK2788/AL2788),"-")</f>
        <v>-</v>
      </c>
      <c r="AN2788" s="2"/>
      <c r="AO2788" s="884">
        <v>928</v>
      </c>
      <c r="AP2788" s="884">
        <f t="shared" ref="AP2788" si="11285">AO2788-AK2788</f>
        <v>928</v>
      </c>
      <c r="AV2788" t="str">
        <f t="shared" si="11172"/>
        <v xml:space="preserve">   Seg. 3.1- ADME 12 - Drenagem Superficial - Descida D´água</v>
      </c>
      <c r="AW2788" s="4" t="str">
        <f t="shared" si="11171"/>
        <v xml:space="preserve">   Execução de sublastro - Seg.2.5 CA 01</v>
      </c>
    </row>
    <row r="2789" spans="1:50" ht="15.6" customHeight="1" outlineLevel="2">
      <c r="A2789" s="8" t="str">
        <f t="shared" ref="A2789" si="11286">A2788</f>
        <v>N</v>
      </c>
      <c r="B2789" s="150"/>
      <c r="C2789" s="150" t="s">
        <v>3123</v>
      </c>
      <c r="D2789" s="120" t="s">
        <v>3124</v>
      </c>
      <c r="E2789" s="893"/>
      <c r="F2789" s="902"/>
      <c r="G2789" s="528"/>
      <c r="H2789" s="549" t="s">
        <v>38</v>
      </c>
      <c r="I2789" s="711">
        <v>0</v>
      </c>
      <c r="J2789" s="897"/>
      <c r="K2789" s="528"/>
      <c r="L2789" s="549" t="s">
        <v>38</v>
      </c>
      <c r="M2789" s="711">
        <f t="shared" si="11180"/>
        <v>0</v>
      </c>
      <c r="N2789" s="897"/>
      <c r="O2789" s="528"/>
      <c r="P2789" s="548">
        <v>0</v>
      </c>
      <c r="Q2789" s="548">
        <v>0</v>
      </c>
      <c r="R2789" s="548">
        <v>0</v>
      </c>
      <c r="S2789" s="548">
        <v>0</v>
      </c>
      <c r="T2789" s="548">
        <v>0</v>
      </c>
      <c r="U2789" s="548">
        <v>0</v>
      </c>
      <c r="V2789" s="548">
        <v>0</v>
      </c>
      <c r="W2789" s="528"/>
      <c r="X2789" s="711">
        <f t="shared" si="11174"/>
        <v>0</v>
      </c>
      <c r="Y2789" s="897"/>
      <c r="Z2789" s="528"/>
      <c r="AA2789" s="899"/>
      <c r="AB2789" s="899"/>
      <c r="AC2789" s="904"/>
      <c r="AD2789" s="905"/>
      <c r="AE2789" s="2"/>
      <c r="AF2789" s="885"/>
      <c r="AG2789" s="885"/>
      <c r="AH2789" s="885"/>
      <c r="AI2789" s="885"/>
      <c r="AJ2789" s="885"/>
      <c r="AK2789" s="885"/>
      <c r="AL2789" s="885"/>
      <c r="AM2789" s="879"/>
      <c r="AN2789" s="2"/>
      <c r="AO2789" s="886"/>
      <c r="AP2789" s="886"/>
      <c r="AV2789" t="str">
        <f t="shared" si="11172"/>
        <v xml:space="preserve">   Seg. 3.1- ADME 12 - Drenagem Superficial - Descida D´água</v>
      </c>
      <c r="AW2789" s="4" t="str">
        <f t="shared" si="11171"/>
        <v xml:space="preserve">   Execução de sublastro - Seg.2.5 CA 01</v>
      </c>
    </row>
    <row r="2790" spans="1:50" ht="15.6" customHeight="1" outlineLevel="2">
      <c r="A2790" s="8" t="str">
        <f t="shared" ref="A2790" si="11287">IF(SUM(P2790:V2791)&gt;0,"S","N")</f>
        <v>N</v>
      </c>
      <c r="B2790" s="150">
        <v>1065717</v>
      </c>
      <c r="C2790" s="150" t="s">
        <v>3126</v>
      </c>
      <c r="D2790" s="120" t="s">
        <v>3127</v>
      </c>
      <c r="E2790" s="892" t="s">
        <v>3128</v>
      </c>
      <c r="F2790" s="902" t="s">
        <v>36</v>
      </c>
      <c r="G2790" s="528"/>
      <c r="H2790" s="546" t="s">
        <v>37</v>
      </c>
      <c r="I2790" s="711">
        <v>0</v>
      </c>
      <c r="J2790" s="896" t="str">
        <f t="shared" ref="J2790" si="11288">IFERROR((I2791/I2790),"-")</f>
        <v>-</v>
      </c>
      <c r="K2790" s="528"/>
      <c r="L2790" s="546" t="s">
        <v>37</v>
      </c>
      <c r="M2790" s="711">
        <f t="shared" si="11180"/>
        <v>0</v>
      </c>
      <c r="N2790" s="896" t="str">
        <f t="shared" ref="N2790" si="11289">IFERROR((M2791/M2790),"-")</f>
        <v>-</v>
      </c>
      <c r="O2790" s="528"/>
      <c r="P2790" s="547">
        <v>0</v>
      </c>
      <c r="Q2790" s="547">
        <v>0</v>
      </c>
      <c r="R2790" s="547">
        <v>0</v>
      </c>
      <c r="S2790" s="547">
        <v>0</v>
      </c>
      <c r="T2790" s="547">
        <v>0</v>
      </c>
      <c r="U2790" s="547">
        <v>0</v>
      </c>
      <c r="V2790" s="547">
        <v>0</v>
      </c>
      <c r="W2790" s="528"/>
      <c r="X2790" s="711">
        <f t="shared" si="11174"/>
        <v>0</v>
      </c>
      <c r="Y2790" s="896" t="str">
        <f t="shared" ref="Y2790" si="11290">IFERROR((X2791/X2790),"-")</f>
        <v>-</v>
      </c>
      <c r="Z2790" s="528"/>
      <c r="AA2790" s="898">
        <v>0</v>
      </c>
      <c r="AB2790" s="898">
        <v>0</v>
      </c>
      <c r="AC2790" s="903">
        <v>0</v>
      </c>
      <c r="AD2790" s="896" t="str">
        <f t="shared" ref="AD2790" si="11291">IFERROR((AC2790/AA2790),"-")</f>
        <v>-</v>
      </c>
      <c r="AE2790" s="2"/>
      <c r="AF2790" s="884">
        <v>0</v>
      </c>
      <c r="AG2790" s="884"/>
      <c r="AH2790" s="884">
        <v>0</v>
      </c>
      <c r="AI2790" s="884"/>
      <c r="AJ2790" s="884"/>
      <c r="AK2790" s="884">
        <f t="shared" ref="AK2790" si="11292">AF2790+AG2790+AH2790+AI2790+AJ2790+AC2790</f>
        <v>0</v>
      </c>
      <c r="AL2790" s="884">
        <v>0</v>
      </c>
      <c r="AM2790" s="878" t="str">
        <f t="shared" ref="AM2790" si="11293">IFERROR((AK2790/AL2790),"-")</f>
        <v>-</v>
      </c>
      <c r="AN2790" s="2"/>
      <c r="AO2790" s="884">
        <v>1160</v>
      </c>
      <c r="AP2790" s="884">
        <f t="shared" ref="AP2790" si="11294">AO2790-AK2790</f>
        <v>1160</v>
      </c>
      <c r="AV2790" t="str">
        <f t="shared" si="11172"/>
        <v xml:space="preserve">   Seg. 3.1- ADME 12 - Drenagem Superficial - Descida D´água</v>
      </c>
      <c r="AW2790" s="4" t="str">
        <f t="shared" si="11171"/>
        <v xml:space="preserve">   Execução de sublastro - Seg.2.5 CA 03</v>
      </c>
    </row>
    <row r="2791" spans="1:50" ht="15.6" customHeight="1" outlineLevel="2">
      <c r="A2791" s="8" t="str">
        <f t="shared" ref="A2791" si="11295">A2790</f>
        <v>N</v>
      </c>
      <c r="B2791" s="150"/>
      <c r="C2791" s="150" t="s">
        <v>3126</v>
      </c>
      <c r="D2791" s="120" t="s">
        <v>3127</v>
      </c>
      <c r="E2791" s="893"/>
      <c r="F2791" s="902"/>
      <c r="G2791" s="528"/>
      <c r="H2791" s="549" t="s">
        <v>38</v>
      </c>
      <c r="I2791" s="711">
        <v>0</v>
      </c>
      <c r="J2791" s="897"/>
      <c r="K2791" s="528"/>
      <c r="L2791" s="549" t="s">
        <v>38</v>
      </c>
      <c r="M2791" s="711">
        <f t="shared" si="11180"/>
        <v>0</v>
      </c>
      <c r="N2791" s="897"/>
      <c r="O2791" s="528"/>
      <c r="P2791" s="548">
        <v>0</v>
      </c>
      <c r="Q2791" s="548">
        <v>0</v>
      </c>
      <c r="R2791" s="548">
        <v>0</v>
      </c>
      <c r="S2791" s="548">
        <v>0</v>
      </c>
      <c r="T2791" s="548">
        <v>0</v>
      </c>
      <c r="U2791" s="548">
        <v>0</v>
      </c>
      <c r="V2791" s="548">
        <v>0</v>
      </c>
      <c r="W2791" s="528"/>
      <c r="X2791" s="711">
        <f t="shared" si="11174"/>
        <v>0</v>
      </c>
      <c r="Y2791" s="897"/>
      <c r="Z2791" s="528"/>
      <c r="AA2791" s="899"/>
      <c r="AB2791" s="899"/>
      <c r="AC2791" s="904"/>
      <c r="AD2791" s="905"/>
      <c r="AE2791" s="2"/>
      <c r="AF2791" s="885"/>
      <c r="AG2791" s="885"/>
      <c r="AH2791" s="885"/>
      <c r="AI2791" s="885"/>
      <c r="AJ2791" s="885"/>
      <c r="AK2791" s="885"/>
      <c r="AL2791" s="885"/>
      <c r="AM2791" s="879"/>
      <c r="AN2791" s="2"/>
      <c r="AO2791" s="886"/>
      <c r="AP2791" s="886"/>
      <c r="AV2791" t="str">
        <f t="shared" si="11172"/>
        <v xml:space="preserve">   Seg. 3.1- ADME 12 - Drenagem Superficial - Descida D´água</v>
      </c>
      <c r="AW2791" s="4" t="str">
        <f t="shared" si="11171"/>
        <v xml:space="preserve">   Execução de sublastro - Seg.2.5 CA 03</v>
      </c>
    </row>
    <row r="2792" spans="1:50" ht="15.6" customHeight="1" outlineLevel="2">
      <c r="A2792" s="8" t="str">
        <f t="shared" ref="A2792" si="11296">IF(SUM(P2792:V2793)&gt;0,"S","N")</f>
        <v>N</v>
      </c>
      <c r="B2792" s="150">
        <v>1065719</v>
      </c>
      <c r="C2792" s="150" t="s">
        <v>3129</v>
      </c>
      <c r="D2792" s="120" t="s">
        <v>3130</v>
      </c>
      <c r="E2792" s="892" t="s">
        <v>3131</v>
      </c>
      <c r="F2792" s="902" t="s">
        <v>36</v>
      </c>
      <c r="G2792" s="528"/>
      <c r="H2792" s="546" t="s">
        <v>37</v>
      </c>
      <c r="I2792" s="711">
        <v>0</v>
      </c>
      <c r="J2792" s="896" t="str">
        <f t="shared" ref="J2792" si="11297">IFERROR((I2793/I2792),"-")</f>
        <v>-</v>
      </c>
      <c r="K2792" s="528"/>
      <c r="L2792" s="546" t="s">
        <v>37</v>
      </c>
      <c r="M2792" s="711">
        <f t="shared" si="11180"/>
        <v>0</v>
      </c>
      <c r="N2792" s="896" t="str">
        <f t="shared" ref="N2792" si="11298">IFERROR((M2793/M2792),"-")</f>
        <v>-</v>
      </c>
      <c r="O2792" s="528"/>
      <c r="P2792" s="547">
        <v>0</v>
      </c>
      <c r="Q2792" s="547">
        <v>0</v>
      </c>
      <c r="R2792" s="547">
        <v>0</v>
      </c>
      <c r="S2792" s="547">
        <v>0</v>
      </c>
      <c r="T2792" s="547">
        <v>0</v>
      </c>
      <c r="U2792" s="547">
        <v>0</v>
      </c>
      <c r="V2792" s="547">
        <v>0</v>
      </c>
      <c r="W2792" s="528"/>
      <c r="X2792" s="711">
        <f t="shared" si="11174"/>
        <v>0</v>
      </c>
      <c r="Y2792" s="896" t="str">
        <f t="shared" ref="Y2792" si="11299">IFERROR((X2793/X2792),"-")</f>
        <v>-</v>
      </c>
      <c r="Z2792" s="528"/>
      <c r="AA2792" s="898">
        <v>0</v>
      </c>
      <c r="AB2792" s="898">
        <v>0</v>
      </c>
      <c r="AC2792" s="903">
        <v>0</v>
      </c>
      <c r="AD2792" s="896" t="str">
        <f t="shared" ref="AD2792" si="11300">IFERROR((AC2792/AA2792),"-")</f>
        <v>-</v>
      </c>
      <c r="AE2792" s="2"/>
      <c r="AF2792" s="884">
        <v>0</v>
      </c>
      <c r="AG2792" s="884"/>
      <c r="AH2792" s="884">
        <v>0</v>
      </c>
      <c r="AI2792" s="884"/>
      <c r="AJ2792" s="884"/>
      <c r="AK2792" s="884">
        <f t="shared" ref="AK2792" si="11301">AF2792+AG2792+AH2792+AI2792+AJ2792+AC2792</f>
        <v>0</v>
      </c>
      <c r="AL2792" s="884">
        <v>0</v>
      </c>
      <c r="AM2792" s="878" t="str">
        <f t="shared" ref="AM2792" si="11302">IFERROR((AK2792/AL2792),"-")</f>
        <v>-</v>
      </c>
      <c r="AN2792" s="2"/>
      <c r="AO2792" s="884">
        <v>1392</v>
      </c>
      <c r="AP2792" s="884">
        <f t="shared" ref="AP2792" si="11303">AO2792-AK2792</f>
        <v>1392</v>
      </c>
      <c r="AV2792" t="str">
        <f t="shared" si="11172"/>
        <v xml:space="preserve">   Seg. 3.1- ADME 12 - Drenagem Superficial - Descida D´água</v>
      </c>
      <c r="AW2792" s="4" t="str">
        <f t="shared" si="11171"/>
        <v xml:space="preserve">   Execução de sublastro - Seg.2.5 CA 04</v>
      </c>
    </row>
    <row r="2793" spans="1:50" ht="15.6" customHeight="1" outlineLevel="2" collapsed="1">
      <c r="A2793" s="8" t="str">
        <f t="shared" ref="A2793" si="11304">A2792</f>
        <v>N</v>
      </c>
      <c r="B2793" s="150"/>
      <c r="C2793" s="150" t="s">
        <v>3129</v>
      </c>
      <c r="D2793" s="120" t="s">
        <v>3130</v>
      </c>
      <c r="E2793" s="893"/>
      <c r="F2793" s="902"/>
      <c r="G2793" s="528"/>
      <c r="H2793" s="549" t="s">
        <v>38</v>
      </c>
      <c r="I2793" s="711">
        <v>0</v>
      </c>
      <c r="J2793" s="897"/>
      <c r="K2793" s="528"/>
      <c r="L2793" s="549" t="s">
        <v>38</v>
      </c>
      <c r="M2793" s="711">
        <f t="shared" si="11180"/>
        <v>0</v>
      </c>
      <c r="N2793" s="897"/>
      <c r="O2793" s="528"/>
      <c r="P2793" s="548">
        <v>0</v>
      </c>
      <c r="Q2793" s="548">
        <v>0</v>
      </c>
      <c r="R2793" s="548">
        <v>0</v>
      </c>
      <c r="S2793" s="548">
        <v>0</v>
      </c>
      <c r="T2793" s="548">
        <v>0</v>
      </c>
      <c r="U2793" s="548">
        <v>0</v>
      </c>
      <c r="V2793" s="548">
        <v>0</v>
      </c>
      <c r="W2793" s="528"/>
      <c r="X2793" s="711">
        <f t="shared" si="11174"/>
        <v>0</v>
      </c>
      <c r="Y2793" s="897"/>
      <c r="Z2793" s="528"/>
      <c r="AA2793" s="899"/>
      <c r="AB2793" s="899"/>
      <c r="AC2793" s="904"/>
      <c r="AD2793" s="905"/>
      <c r="AE2793" s="2"/>
      <c r="AF2793" s="885"/>
      <c r="AG2793" s="885"/>
      <c r="AH2793" s="885"/>
      <c r="AI2793" s="885"/>
      <c r="AJ2793" s="885"/>
      <c r="AK2793" s="885"/>
      <c r="AL2793" s="885"/>
      <c r="AM2793" s="879"/>
      <c r="AN2793" s="2"/>
      <c r="AO2793" s="886"/>
      <c r="AP2793" s="886"/>
      <c r="AV2793" t="str">
        <f t="shared" si="11172"/>
        <v xml:space="preserve">   Seg. 3.1- ADME 12 - Drenagem Superficial - Descida D´água</v>
      </c>
      <c r="AW2793" s="4" t="str">
        <f t="shared" si="11171"/>
        <v xml:space="preserve">   Execução de sublastro - Seg.2.5 CA 04</v>
      </c>
    </row>
    <row r="2794" spans="1:50" ht="15.6" customHeight="1" outlineLevel="2">
      <c r="A2794" s="8" t="str">
        <f t="shared" ref="A2794" si="11305">IF(SUM(P2794:V2795)&gt;0,"S","N")</f>
        <v>N</v>
      </c>
      <c r="B2794" s="150">
        <v>1065721</v>
      </c>
      <c r="C2794" s="150" t="s">
        <v>3132</v>
      </c>
      <c r="D2794" s="120" t="s">
        <v>3133</v>
      </c>
      <c r="E2794" s="892" t="s">
        <v>3134</v>
      </c>
      <c r="F2794" s="902" t="s">
        <v>36</v>
      </c>
      <c r="G2794" s="528"/>
      <c r="H2794" s="546" t="s">
        <v>37</v>
      </c>
      <c r="I2794" s="711">
        <v>0</v>
      </c>
      <c r="J2794" s="896" t="str">
        <f t="shared" ref="J2794" si="11306">IFERROR((I2795/I2794),"-")</f>
        <v>-</v>
      </c>
      <c r="K2794" s="528"/>
      <c r="L2794" s="546" t="s">
        <v>37</v>
      </c>
      <c r="M2794" s="711">
        <f t="shared" si="11180"/>
        <v>0</v>
      </c>
      <c r="N2794" s="896" t="str">
        <f t="shared" ref="N2794" si="11307">IFERROR((M2795/M2794),"-")</f>
        <v>-</v>
      </c>
      <c r="O2794" s="528"/>
      <c r="P2794" s="547">
        <v>0</v>
      </c>
      <c r="Q2794" s="547">
        <v>0</v>
      </c>
      <c r="R2794" s="547">
        <v>0</v>
      </c>
      <c r="S2794" s="547">
        <v>0</v>
      </c>
      <c r="T2794" s="547">
        <v>0</v>
      </c>
      <c r="U2794" s="547">
        <v>0</v>
      </c>
      <c r="V2794" s="547">
        <v>0</v>
      </c>
      <c r="W2794" s="528"/>
      <c r="X2794" s="711">
        <f t="shared" si="11174"/>
        <v>0</v>
      </c>
      <c r="Y2794" s="896" t="str">
        <f t="shared" ref="Y2794" si="11308">IFERROR((X2795/X2794),"-")</f>
        <v>-</v>
      </c>
      <c r="Z2794" s="528"/>
      <c r="AA2794" s="898">
        <v>0</v>
      </c>
      <c r="AB2794" s="898">
        <v>0</v>
      </c>
      <c r="AC2794" s="903">
        <v>0</v>
      </c>
      <c r="AD2794" s="896" t="str">
        <f t="shared" ref="AD2794" si="11309">IFERROR((AC2794/AA2794),"-")</f>
        <v>-</v>
      </c>
      <c r="AE2794" s="2"/>
      <c r="AF2794" s="884">
        <v>0</v>
      </c>
      <c r="AG2794" s="884"/>
      <c r="AH2794" s="884">
        <v>0</v>
      </c>
      <c r="AI2794" s="884"/>
      <c r="AJ2794" s="884"/>
      <c r="AK2794" s="884">
        <f t="shared" ref="AK2794" si="11310">AF2794+AG2794+AH2794+AI2794+AJ2794+AC2794</f>
        <v>0</v>
      </c>
      <c r="AL2794" s="884">
        <v>0</v>
      </c>
      <c r="AM2794" s="878" t="str">
        <f t="shared" ref="AM2794" si="11311">IFERROR((AK2794/AL2794),"-")</f>
        <v>-</v>
      </c>
      <c r="AN2794" s="2"/>
      <c r="AO2794" s="884">
        <v>186</v>
      </c>
      <c r="AP2794" s="884">
        <f t="shared" ref="AP2794" si="11312">AO2794-AK2794</f>
        <v>186</v>
      </c>
      <c r="AV2794" t="str">
        <f t="shared" si="11172"/>
        <v xml:space="preserve">   Seg. 3.1- ADME 12 - Drenagem Superficial - Descida D´água</v>
      </c>
      <c r="AW2794" s="4" t="str">
        <f t="shared" si="11171"/>
        <v xml:space="preserve">   Execução de sublastro - Seg.2.5 CA 05</v>
      </c>
      <c r="AX2794" s="4"/>
    </row>
    <row r="2795" spans="1:50" ht="15.6" customHeight="1" outlineLevel="2">
      <c r="A2795" s="8" t="str">
        <f t="shared" ref="A2795" si="11313">A2794</f>
        <v>N</v>
      </c>
      <c r="B2795" s="150"/>
      <c r="C2795" s="150" t="s">
        <v>3132</v>
      </c>
      <c r="D2795" s="120" t="s">
        <v>3133</v>
      </c>
      <c r="E2795" s="893"/>
      <c r="F2795" s="902"/>
      <c r="G2795" s="528"/>
      <c r="H2795" s="549" t="s">
        <v>38</v>
      </c>
      <c r="I2795" s="711">
        <v>0</v>
      </c>
      <c r="J2795" s="897"/>
      <c r="K2795" s="528"/>
      <c r="L2795" s="549" t="s">
        <v>38</v>
      </c>
      <c r="M2795" s="711">
        <f t="shared" si="11180"/>
        <v>0</v>
      </c>
      <c r="N2795" s="897"/>
      <c r="O2795" s="528"/>
      <c r="P2795" s="548">
        <v>0</v>
      </c>
      <c r="Q2795" s="548">
        <v>0</v>
      </c>
      <c r="R2795" s="548">
        <v>0</v>
      </c>
      <c r="S2795" s="548">
        <v>0</v>
      </c>
      <c r="T2795" s="548">
        <v>0</v>
      </c>
      <c r="U2795" s="548">
        <v>0</v>
      </c>
      <c r="V2795" s="548">
        <v>0</v>
      </c>
      <c r="W2795" s="528"/>
      <c r="X2795" s="711">
        <f t="shared" si="11174"/>
        <v>0</v>
      </c>
      <c r="Y2795" s="897"/>
      <c r="Z2795" s="528"/>
      <c r="AA2795" s="899"/>
      <c r="AB2795" s="899"/>
      <c r="AC2795" s="904"/>
      <c r="AD2795" s="905"/>
      <c r="AE2795" s="2"/>
      <c r="AF2795" s="885"/>
      <c r="AG2795" s="885"/>
      <c r="AH2795" s="885"/>
      <c r="AI2795" s="885"/>
      <c r="AJ2795" s="885"/>
      <c r="AK2795" s="885"/>
      <c r="AL2795" s="885"/>
      <c r="AM2795" s="879"/>
      <c r="AN2795" s="2"/>
      <c r="AO2795" s="886"/>
      <c r="AP2795" s="886"/>
      <c r="AV2795" t="str">
        <f t="shared" si="11172"/>
        <v xml:space="preserve">   Seg. 3.1- ADME 12 - Drenagem Superficial - Descida D´água</v>
      </c>
      <c r="AW2795" s="4" t="str">
        <f t="shared" si="11171"/>
        <v xml:space="preserve">   Execução de sublastro - Seg.2.5 CA 05</v>
      </c>
    </row>
    <row r="2796" spans="1:50" ht="15.6" customHeight="1" outlineLevel="2">
      <c r="A2796" s="8" t="str">
        <f t="shared" ref="A2796" si="11314">IF(SUM(P2796:V2797)&gt;0,"S","N")</f>
        <v>N</v>
      </c>
      <c r="B2796" s="150">
        <v>1065723</v>
      </c>
      <c r="C2796" s="150" t="s">
        <v>3135</v>
      </c>
      <c r="D2796" s="120" t="s">
        <v>3136</v>
      </c>
      <c r="E2796" s="892" t="s">
        <v>3137</v>
      </c>
      <c r="F2796" s="902" t="s">
        <v>36</v>
      </c>
      <c r="G2796" s="528"/>
      <c r="H2796" s="546" t="s">
        <v>37</v>
      </c>
      <c r="I2796" s="711">
        <v>0</v>
      </c>
      <c r="J2796" s="896" t="str">
        <f t="shared" ref="J2796" si="11315">IFERROR((I2797/I2796),"-")</f>
        <v>-</v>
      </c>
      <c r="K2796" s="528"/>
      <c r="L2796" s="546" t="s">
        <v>37</v>
      </c>
      <c r="M2796" s="711">
        <f t="shared" si="11180"/>
        <v>0</v>
      </c>
      <c r="N2796" s="896" t="str">
        <f t="shared" ref="N2796" si="11316">IFERROR((M2797/M2796),"-")</f>
        <v>-</v>
      </c>
      <c r="O2796" s="528"/>
      <c r="P2796" s="547">
        <v>0</v>
      </c>
      <c r="Q2796" s="547">
        <v>0</v>
      </c>
      <c r="R2796" s="547">
        <v>0</v>
      </c>
      <c r="S2796" s="547">
        <v>0</v>
      </c>
      <c r="T2796" s="547">
        <v>0</v>
      </c>
      <c r="U2796" s="547">
        <v>0</v>
      </c>
      <c r="V2796" s="547">
        <v>0</v>
      </c>
      <c r="W2796" s="528"/>
      <c r="X2796" s="711">
        <f t="shared" si="11174"/>
        <v>0</v>
      </c>
      <c r="Y2796" s="896" t="str">
        <f t="shared" ref="Y2796" si="11317">IFERROR((X2797/X2796),"-")</f>
        <v>-</v>
      </c>
      <c r="Z2796" s="528"/>
      <c r="AA2796" s="898">
        <v>0</v>
      </c>
      <c r="AB2796" s="898">
        <v>0</v>
      </c>
      <c r="AC2796" s="903">
        <v>0</v>
      </c>
      <c r="AD2796" s="896" t="str">
        <f t="shared" ref="AD2796" si="11318">IFERROR((AC2796/AA2796),"-")</f>
        <v>-</v>
      </c>
      <c r="AE2796" s="2"/>
      <c r="AF2796" s="884">
        <v>0</v>
      </c>
      <c r="AG2796" s="884"/>
      <c r="AH2796" s="884">
        <v>0</v>
      </c>
      <c r="AI2796" s="884"/>
      <c r="AJ2796" s="884"/>
      <c r="AK2796" s="884">
        <f t="shared" ref="AK2796" si="11319">AF2796+AG2796+AH2796+AI2796+AJ2796+AC2796</f>
        <v>0</v>
      </c>
      <c r="AL2796" s="884">
        <v>0</v>
      </c>
      <c r="AM2796" s="878" t="str">
        <f t="shared" ref="AM2796" si="11320">IFERROR((AK2796/AL2796),"-")</f>
        <v>-</v>
      </c>
      <c r="AN2796" s="2"/>
      <c r="AO2796" s="884">
        <v>1671</v>
      </c>
      <c r="AP2796" s="884">
        <f t="shared" ref="AP2796" si="11321">AO2796-AK2796</f>
        <v>1671</v>
      </c>
      <c r="AV2796" t="str">
        <f t="shared" si="11172"/>
        <v xml:space="preserve">   Seg. 3.1- ADME 12 - Drenagem Superficial - Descida D´água</v>
      </c>
      <c r="AW2796" s="4" t="str">
        <f t="shared" si="11171"/>
        <v xml:space="preserve">   Execução de sublastro - Seg.2.5 CA 06</v>
      </c>
    </row>
    <row r="2797" spans="1:50" ht="15.6" customHeight="1" outlineLevel="2">
      <c r="A2797" s="8" t="str">
        <f t="shared" ref="A2797" si="11322">A2796</f>
        <v>N</v>
      </c>
      <c r="B2797" s="150"/>
      <c r="C2797" s="150" t="s">
        <v>3135</v>
      </c>
      <c r="D2797" s="120" t="s">
        <v>3136</v>
      </c>
      <c r="E2797" s="893"/>
      <c r="F2797" s="902"/>
      <c r="G2797" s="528"/>
      <c r="H2797" s="549" t="s">
        <v>38</v>
      </c>
      <c r="I2797" s="711">
        <v>0</v>
      </c>
      <c r="J2797" s="897"/>
      <c r="K2797" s="528"/>
      <c r="L2797" s="549" t="s">
        <v>38</v>
      </c>
      <c r="M2797" s="711">
        <f t="shared" si="11180"/>
        <v>0</v>
      </c>
      <c r="N2797" s="897"/>
      <c r="O2797" s="528"/>
      <c r="P2797" s="548">
        <v>0</v>
      </c>
      <c r="Q2797" s="548">
        <v>0</v>
      </c>
      <c r="R2797" s="548">
        <v>0</v>
      </c>
      <c r="S2797" s="548">
        <v>0</v>
      </c>
      <c r="T2797" s="548">
        <v>0</v>
      </c>
      <c r="U2797" s="548">
        <v>0</v>
      </c>
      <c r="V2797" s="548">
        <v>0</v>
      </c>
      <c r="W2797" s="528"/>
      <c r="X2797" s="711">
        <f t="shared" si="11174"/>
        <v>0</v>
      </c>
      <c r="Y2797" s="897"/>
      <c r="Z2797" s="528"/>
      <c r="AA2797" s="899"/>
      <c r="AB2797" s="899"/>
      <c r="AC2797" s="904"/>
      <c r="AD2797" s="905"/>
      <c r="AE2797" s="2"/>
      <c r="AF2797" s="885"/>
      <c r="AG2797" s="885"/>
      <c r="AH2797" s="885"/>
      <c r="AI2797" s="885"/>
      <c r="AJ2797" s="885"/>
      <c r="AK2797" s="885"/>
      <c r="AL2797" s="885"/>
      <c r="AM2797" s="879"/>
      <c r="AN2797" s="2"/>
      <c r="AO2797" s="886"/>
      <c r="AP2797" s="886"/>
      <c r="AV2797" t="str">
        <f t="shared" si="11172"/>
        <v xml:space="preserve">   Seg. 3.1- ADME 12 - Drenagem Superficial - Descida D´água</v>
      </c>
      <c r="AW2797" s="4" t="str">
        <f t="shared" si="11171"/>
        <v xml:space="preserve">   Execução de sublastro - Seg.2.5 CA 06</v>
      </c>
    </row>
    <row r="2798" spans="1:50" ht="15.6" customHeight="1" outlineLevel="2">
      <c r="A2798" s="8" t="str">
        <f t="shared" ref="A2798" si="11323">IF(SUM(P2798:V2799)&gt;0,"S","N")</f>
        <v>N</v>
      </c>
      <c r="B2798" s="150">
        <v>1065725</v>
      </c>
      <c r="C2798" s="150" t="s">
        <v>3138</v>
      </c>
      <c r="D2798" s="120" t="s">
        <v>3139</v>
      </c>
      <c r="E2798" s="892" t="s">
        <v>3140</v>
      </c>
      <c r="F2798" s="902" t="s">
        <v>36</v>
      </c>
      <c r="G2798" s="528"/>
      <c r="H2798" s="546" t="s">
        <v>37</v>
      </c>
      <c r="I2798" s="711">
        <v>0</v>
      </c>
      <c r="J2798" s="896" t="str">
        <f t="shared" ref="J2798" si="11324">IFERROR((I2799/I2798),"-")</f>
        <v>-</v>
      </c>
      <c r="K2798" s="528"/>
      <c r="L2798" s="546" t="s">
        <v>37</v>
      </c>
      <c r="M2798" s="711">
        <f t="shared" si="11180"/>
        <v>0</v>
      </c>
      <c r="N2798" s="896" t="str">
        <f t="shared" ref="N2798" si="11325">IFERROR((M2799/M2798),"-")</f>
        <v>-</v>
      </c>
      <c r="O2798" s="528"/>
      <c r="P2798" s="547">
        <v>0</v>
      </c>
      <c r="Q2798" s="547">
        <v>0</v>
      </c>
      <c r="R2798" s="547">
        <v>0</v>
      </c>
      <c r="S2798" s="547">
        <v>0</v>
      </c>
      <c r="T2798" s="547">
        <v>0</v>
      </c>
      <c r="U2798" s="547">
        <v>0</v>
      </c>
      <c r="V2798" s="547">
        <v>0</v>
      </c>
      <c r="W2798" s="528"/>
      <c r="X2798" s="711">
        <f t="shared" si="11174"/>
        <v>0</v>
      </c>
      <c r="Y2798" s="896" t="str">
        <f t="shared" ref="Y2798" si="11326">IFERROR((X2799/X2798),"-")</f>
        <v>-</v>
      </c>
      <c r="Z2798" s="528"/>
      <c r="AA2798" s="898">
        <v>0</v>
      </c>
      <c r="AB2798" s="898">
        <v>0</v>
      </c>
      <c r="AC2798" s="903">
        <v>0</v>
      </c>
      <c r="AD2798" s="896" t="str">
        <f t="shared" ref="AD2798" si="11327">IFERROR((AC2798/AA2798),"-")</f>
        <v>-</v>
      </c>
      <c r="AE2798" s="2"/>
      <c r="AF2798" s="884">
        <v>0</v>
      </c>
      <c r="AG2798" s="884"/>
      <c r="AH2798" s="884">
        <v>0</v>
      </c>
      <c r="AI2798" s="884"/>
      <c r="AJ2798" s="884"/>
      <c r="AK2798" s="884">
        <f t="shared" ref="AK2798" si="11328">AF2798+AG2798+AH2798+AI2798+AJ2798+AC2798</f>
        <v>0</v>
      </c>
      <c r="AL2798" s="884">
        <v>0</v>
      </c>
      <c r="AM2798" s="878" t="str">
        <f t="shared" ref="AM2798" si="11329">IFERROR((AK2798/AL2798),"-")</f>
        <v>-</v>
      </c>
      <c r="AN2798" s="2"/>
      <c r="AO2798" s="884">
        <v>3202</v>
      </c>
      <c r="AP2798" s="884">
        <f t="shared" ref="AP2798" si="11330">AO2798-AK2798</f>
        <v>3202</v>
      </c>
      <c r="AV2798" t="str">
        <f t="shared" si="11172"/>
        <v xml:space="preserve">   Seg. 3.1- ADME 12 - Drenagem Superficial - Descida D´água</v>
      </c>
      <c r="AW2798" s="4" t="str">
        <f t="shared" si="11171"/>
        <v xml:space="preserve">   Execução de sublastro - Seg.2.5 CA 07</v>
      </c>
    </row>
    <row r="2799" spans="1:50" ht="15.6" customHeight="1" outlineLevel="2">
      <c r="A2799" s="8" t="str">
        <f t="shared" ref="A2799" si="11331">A2798</f>
        <v>N</v>
      </c>
      <c r="B2799" s="150"/>
      <c r="C2799" s="150" t="s">
        <v>3138</v>
      </c>
      <c r="D2799" s="120" t="s">
        <v>3139</v>
      </c>
      <c r="E2799" s="893"/>
      <c r="F2799" s="902"/>
      <c r="G2799" s="528"/>
      <c r="H2799" s="549" t="s">
        <v>38</v>
      </c>
      <c r="I2799" s="711">
        <v>0</v>
      </c>
      <c r="J2799" s="897"/>
      <c r="K2799" s="528"/>
      <c r="L2799" s="549" t="s">
        <v>38</v>
      </c>
      <c r="M2799" s="711">
        <f t="shared" si="11180"/>
        <v>0</v>
      </c>
      <c r="N2799" s="897"/>
      <c r="O2799" s="528"/>
      <c r="P2799" s="548">
        <v>0</v>
      </c>
      <c r="Q2799" s="548">
        <v>0</v>
      </c>
      <c r="R2799" s="548">
        <v>0</v>
      </c>
      <c r="S2799" s="548">
        <v>0</v>
      </c>
      <c r="T2799" s="548">
        <v>0</v>
      </c>
      <c r="U2799" s="548">
        <v>0</v>
      </c>
      <c r="V2799" s="548">
        <v>0</v>
      </c>
      <c r="W2799" s="528"/>
      <c r="X2799" s="711">
        <f t="shared" si="11174"/>
        <v>0</v>
      </c>
      <c r="Y2799" s="897"/>
      <c r="Z2799" s="528"/>
      <c r="AA2799" s="899"/>
      <c r="AB2799" s="899"/>
      <c r="AC2799" s="904"/>
      <c r="AD2799" s="905"/>
      <c r="AE2799" s="2"/>
      <c r="AF2799" s="885"/>
      <c r="AG2799" s="885"/>
      <c r="AH2799" s="885"/>
      <c r="AI2799" s="885"/>
      <c r="AJ2799" s="885"/>
      <c r="AK2799" s="885"/>
      <c r="AL2799" s="885"/>
      <c r="AM2799" s="879"/>
      <c r="AN2799" s="2"/>
      <c r="AO2799" s="886"/>
      <c r="AP2799" s="886"/>
      <c r="AV2799" t="str">
        <f t="shared" si="11172"/>
        <v xml:space="preserve">   Seg. 3.1- ADME 12 - Drenagem Superficial - Descida D´água</v>
      </c>
      <c r="AW2799" s="4" t="str">
        <f t="shared" si="11171"/>
        <v xml:space="preserve">   Execução de sublastro - Seg.2.5 CA 07</v>
      </c>
      <c r="AX2799" s="4"/>
    </row>
    <row r="2800" spans="1:50" ht="15.6" customHeight="1" outlineLevel="2">
      <c r="A2800" s="8" t="str">
        <f t="shared" ref="A2800" si="11332">IF(SUM(P2800:V2801)&gt;0,"S","N")</f>
        <v>N</v>
      </c>
      <c r="B2800" s="150">
        <v>1065727</v>
      </c>
      <c r="C2800" s="150" t="s">
        <v>3141</v>
      </c>
      <c r="D2800" s="120" t="s">
        <v>3142</v>
      </c>
      <c r="E2800" s="892" t="s">
        <v>3143</v>
      </c>
      <c r="F2800" s="902" t="s">
        <v>36</v>
      </c>
      <c r="G2800" s="528"/>
      <c r="H2800" s="546" t="s">
        <v>37</v>
      </c>
      <c r="I2800" s="711">
        <v>0</v>
      </c>
      <c r="J2800" s="896" t="str">
        <f t="shared" ref="J2800" si="11333">IFERROR((I2801/I2800),"-")</f>
        <v>-</v>
      </c>
      <c r="K2800" s="528"/>
      <c r="L2800" s="546" t="s">
        <v>37</v>
      </c>
      <c r="M2800" s="711">
        <f t="shared" si="11180"/>
        <v>0</v>
      </c>
      <c r="N2800" s="896" t="str">
        <f t="shared" ref="N2800" si="11334">IFERROR((M2801/M2800),"-")</f>
        <v>-</v>
      </c>
      <c r="O2800" s="528"/>
      <c r="P2800" s="547">
        <v>0</v>
      </c>
      <c r="Q2800" s="547">
        <v>0</v>
      </c>
      <c r="R2800" s="547">
        <v>0</v>
      </c>
      <c r="S2800" s="547">
        <v>0</v>
      </c>
      <c r="T2800" s="547">
        <v>0</v>
      </c>
      <c r="U2800" s="547">
        <v>0</v>
      </c>
      <c r="V2800" s="547">
        <v>0</v>
      </c>
      <c r="W2800" s="528"/>
      <c r="X2800" s="711">
        <f t="shared" si="11174"/>
        <v>0</v>
      </c>
      <c r="Y2800" s="896" t="str">
        <f t="shared" ref="Y2800" si="11335">IFERROR((X2801/X2800),"-")</f>
        <v>-</v>
      </c>
      <c r="Z2800" s="528"/>
      <c r="AA2800" s="898">
        <v>0</v>
      </c>
      <c r="AB2800" s="898">
        <v>0</v>
      </c>
      <c r="AC2800" s="903">
        <v>0</v>
      </c>
      <c r="AD2800" s="896" t="str">
        <f t="shared" ref="AD2800" si="11336">IFERROR((AC2800/AA2800),"-")</f>
        <v>-</v>
      </c>
      <c r="AE2800" s="2"/>
      <c r="AF2800" s="884">
        <v>0</v>
      </c>
      <c r="AG2800" s="884"/>
      <c r="AH2800" s="884">
        <v>0</v>
      </c>
      <c r="AI2800" s="884"/>
      <c r="AJ2800" s="884"/>
      <c r="AK2800" s="884">
        <f t="shared" ref="AK2800" si="11337">AF2800+AG2800+AH2800+AI2800+AJ2800+AC2800</f>
        <v>0</v>
      </c>
      <c r="AL2800" s="884">
        <v>0</v>
      </c>
      <c r="AM2800" s="878" t="str">
        <f t="shared" ref="AM2800" si="11338">IFERROR((AK2800/AL2800),"-")</f>
        <v>-</v>
      </c>
      <c r="AN2800" s="2"/>
      <c r="AO2800" s="884">
        <v>232</v>
      </c>
      <c r="AP2800" s="884">
        <f t="shared" ref="AP2800" si="11339">AO2800-AK2800</f>
        <v>232</v>
      </c>
      <c r="AV2800" t="str">
        <f t="shared" si="11172"/>
        <v xml:space="preserve">   Seg. 3.1- ADME 12 - Drenagem Superficial - Descida D´água</v>
      </c>
      <c r="AW2800" s="4" t="str">
        <f t="shared" si="11171"/>
        <v xml:space="preserve">   Execução de sublastro - Seg.2.5 CA 08</v>
      </c>
      <c r="AX2800" s="4"/>
    </row>
    <row r="2801" spans="1:49" ht="15.6" customHeight="1" outlineLevel="2">
      <c r="A2801" s="8" t="str">
        <f t="shared" ref="A2801" si="11340">A2800</f>
        <v>N</v>
      </c>
      <c r="B2801" s="150"/>
      <c r="C2801" s="150" t="s">
        <v>3141</v>
      </c>
      <c r="D2801" s="120" t="s">
        <v>3142</v>
      </c>
      <c r="E2801" s="893"/>
      <c r="F2801" s="902"/>
      <c r="G2801" s="528"/>
      <c r="H2801" s="549" t="s">
        <v>38</v>
      </c>
      <c r="I2801" s="711">
        <v>0</v>
      </c>
      <c r="J2801" s="897"/>
      <c r="K2801" s="528"/>
      <c r="L2801" s="549" t="s">
        <v>38</v>
      </c>
      <c r="M2801" s="711">
        <f t="shared" si="11180"/>
        <v>0</v>
      </c>
      <c r="N2801" s="897"/>
      <c r="O2801" s="528"/>
      <c r="P2801" s="548">
        <v>0</v>
      </c>
      <c r="Q2801" s="548">
        <v>0</v>
      </c>
      <c r="R2801" s="548">
        <v>0</v>
      </c>
      <c r="S2801" s="548">
        <v>0</v>
      </c>
      <c r="T2801" s="548">
        <v>0</v>
      </c>
      <c r="U2801" s="548">
        <v>0</v>
      </c>
      <c r="V2801" s="548">
        <v>0</v>
      </c>
      <c r="W2801" s="528"/>
      <c r="X2801" s="711">
        <f t="shared" si="11174"/>
        <v>0</v>
      </c>
      <c r="Y2801" s="897"/>
      <c r="Z2801" s="528"/>
      <c r="AA2801" s="899"/>
      <c r="AB2801" s="899"/>
      <c r="AC2801" s="904"/>
      <c r="AD2801" s="905"/>
      <c r="AE2801" s="2"/>
      <c r="AF2801" s="885"/>
      <c r="AG2801" s="885"/>
      <c r="AH2801" s="885"/>
      <c r="AI2801" s="885"/>
      <c r="AJ2801" s="885"/>
      <c r="AK2801" s="885"/>
      <c r="AL2801" s="885"/>
      <c r="AM2801" s="879"/>
      <c r="AN2801" s="2"/>
      <c r="AO2801" s="886"/>
      <c r="AP2801" s="886"/>
      <c r="AV2801" t="str">
        <f t="shared" si="11172"/>
        <v xml:space="preserve">   Seg. 3.1- ADME 12 - Drenagem Superficial - Descida D´água</v>
      </c>
      <c r="AW2801" s="4" t="str">
        <f t="shared" si="11171"/>
        <v xml:space="preserve">   Execução de sublastro - Seg.2.5 CA 08</v>
      </c>
    </row>
    <row r="2802" spans="1:49" ht="15.6" customHeight="1" outlineLevel="2">
      <c r="A2802" s="8" t="str">
        <f t="shared" ref="A2802" si="11341">IF(SUM(P2802:V2803)&gt;0,"S","N")</f>
        <v>N</v>
      </c>
      <c r="B2802" s="150">
        <v>1065729</v>
      </c>
      <c r="C2802" s="150" t="s">
        <v>3144</v>
      </c>
      <c r="D2802" s="120" t="s">
        <v>3145</v>
      </c>
      <c r="E2802" s="892" t="s">
        <v>3146</v>
      </c>
      <c r="F2802" s="902" t="s">
        <v>36</v>
      </c>
      <c r="G2802" s="528"/>
      <c r="H2802" s="546" t="s">
        <v>37</v>
      </c>
      <c r="I2802" s="711">
        <v>0</v>
      </c>
      <c r="J2802" s="896" t="str">
        <f t="shared" ref="J2802" si="11342">IFERROR((I2803/I2802),"-")</f>
        <v>-</v>
      </c>
      <c r="K2802" s="528"/>
      <c r="L2802" s="546" t="s">
        <v>37</v>
      </c>
      <c r="M2802" s="711">
        <f t="shared" si="11180"/>
        <v>0</v>
      </c>
      <c r="N2802" s="896" t="str">
        <f t="shared" ref="N2802" si="11343">IFERROR((M2803/M2802),"-")</f>
        <v>-</v>
      </c>
      <c r="O2802" s="528"/>
      <c r="P2802" s="547">
        <v>0</v>
      </c>
      <c r="Q2802" s="547">
        <v>0</v>
      </c>
      <c r="R2802" s="547">
        <v>0</v>
      </c>
      <c r="S2802" s="547">
        <v>0</v>
      </c>
      <c r="T2802" s="547">
        <v>0</v>
      </c>
      <c r="U2802" s="547">
        <v>0</v>
      </c>
      <c r="V2802" s="547">
        <v>0</v>
      </c>
      <c r="W2802" s="528"/>
      <c r="X2802" s="711">
        <f t="shared" si="11174"/>
        <v>0</v>
      </c>
      <c r="Y2802" s="896" t="str">
        <f t="shared" ref="Y2802" si="11344">IFERROR((X2803/X2802),"-")</f>
        <v>-</v>
      </c>
      <c r="Z2802" s="528"/>
      <c r="AA2802" s="898">
        <v>0</v>
      </c>
      <c r="AB2802" s="898">
        <v>0</v>
      </c>
      <c r="AC2802" s="903">
        <v>0</v>
      </c>
      <c r="AD2802" s="896" t="str">
        <f t="shared" ref="AD2802" si="11345">IFERROR((AC2802/AA2802),"-")</f>
        <v>-</v>
      </c>
      <c r="AE2802" s="2"/>
      <c r="AF2802" s="884">
        <v>0</v>
      </c>
      <c r="AG2802" s="884"/>
      <c r="AH2802" s="884">
        <v>0</v>
      </c>
      <c r="AI2802" s="884"/>
      <c r="AJ2802" s="884"/>
      <c r="AK2802" s="884">
        <f t="shared" ref="AK2802" si="11346">AF2802+AG2802+AH2802+AI2802+AJ2802+AC2802</f>
        <v>0</v>
      </c>
      <c r="AL2802" s="884">
        <v>0</v>
      </c>
      <c r="AM2802" s="878" t="str">
        <f t="shared" ref="AM2802" si="11347">IFERROR((AK2802/AL2802),"-")</f>
        <v>-</v>
      </c>
      <c r="AN2802" s="2"/>
      <c r="AO2802" s="884">
        <v>2042</v>
      </c>
      <c r="AP2802" s="884">
        <f t="shared" ref="AP2802" si="11348">AO2802-AK2802</f>
        <v>2042</v>
      </c>
      <c r="AV2802" t="str">
        <f t="shared" si="11172"/>
        <v xml:space="preserve">   Seg. 3.1- ADME 12 - Drenagem Superficial - Descida D´água</v>
      </c>
      <c r="AW2802" s="4" t="str">
        <f t="shared" si="11171"/>
        <v xml:space="preserve">   Execução de sublastro - Seg.2.5 CA 09</v>
      </c>
    </row>
    <row r="2803" spans="1:49" ht="15.6" customHeight="1" outlineLevel="2">
      <c r="A2803" s="8" t="str">
        <f t="shared" ref="A2803" si="11349">A2802</f>
        <v>N</v>
      </c>
      <c r="B2803" s="150"/>
      <c r="C2803" s="150" t="s">
        <v>3144</v>
      </c>
      <c r="D2803" s="120" t="s">
        <v>3145</v>
      </c>
      <c r="E2803" s="893"/>
      <c r="F2803" s="902"/>
      <c r="G2803" s="528"/>
      <c r="H2803" s="549" t="s">
        <v>38</v>
      </c>
      <c r="I2803" s="711">
        <v>0</v>
      </c>
      <c r="J2803" s="897"/>
      <c r="K2803" s="528"/>
      <c r="L2803" s="549" t="s">
        <v>38</v>
      </c>
      <c r="M2803" s="711">
        <f t="shared" si="11180"/>
        <v>0</v>
      </c>
      <c r="N2803" s="897"/>
      <c r="O2803" s="528"/>
      <c r="P2803" s="548">
        <v>0</v>
      </c>
      <c r="Q2803" s="548">
        <v>0</v>
      </c>
      <c r="R2803" s="548">
        <v>0</v>
      </c>
      <c r="S2803" s="548">
        <v>0</v>
      </c>
      <c r="T2803" s="548">
        <v>0</v>
      </c>
      <c r="U2803" s="548">
        <v>0</v>
      </c>
      <c r="V2803" s="548">
        <v>0</v>
      </c>
      <c r="W2803" s="528"/>
      <c r="X2803" s="711">
        <f t="shared" si="11174"/>
        <v>0</v>
      </c>
      <c r="Y2803" s="897"/>
      <c r="Z2803" s="528"/>
      <c r="AA2803" s="899"/>
      <c r="AB2803" s="899"/>
      <c r="AC2803" s="904"/>
      <c r="AD2803" s="905"/>
      <c r="AE2803" s="2"/>
      <c r="AF2803" s="885"/>
      <c r="AG2803" s="885"/>
      <c r="AH2803" s="885"/>
      <c r="AI2803" s="885"/>
      <c r="AJ2803" s="885"/>
      <c r="AK2803" s="885"/>
      <c r="AL2803" s="885"/>
      <c r="AM2803" s="879"/>
      <c r="AN2803" s="2"/>
      <c r="AO2803" s="886"/>
      <c r="AP2803" s="886"/>
      <c r="AV2803" t="str">
        <f t="shared" si="11172"/>
        <v xml:space="preserve">   Seg. 3.1- ADME 12 - Drenagem Superficial - Descida D´água</v>
      </c>
      <c r="AW2803" s="4" t="str">
        <f t="shared" si="11171"/>
        <v xml:space="preserve">   Execução de sublastro - Seg.2.5 CA 09</v>
      </c>
    </row>
    <row r="2804" spans="1:49" ht="15.6" customHeight="1" outlineLevel="2">
      <c r="A2804" s="8" t="str">
        <f t="shared" ref="A2804" si="11350">IF(SUM(P2804:V2805)&gt;0,"S","N")</f>
        <v>N</v>
      </c>
      <c r="B2804" s="150">
        <v>1065731</v>
      </c>
      <c r="C2804" s="150" t="s">
        <v>3147</v>
      </c>
      <c r="D2804" s="120" t="s">
        <v>3148</v>
      </c>
      <c r="E2804" s="892" t="s">
        <v>3149</v>
      </c>
      <c r="F2804" s="902" t="s">
        <v>36</v>
      </c>
      <c r="G2804" s="528"/>
      <c r="H2804" s="546" t="s">
        <v>37</v>
      </c>
      <c r="I2804" s="711">
        <v>0</v>
      </c>
      <c r="J2804" s="896" t="str">
        <f t="shared" ref="J2804" si="11351">IFERROR((I2805/I2804),"-")</f>
        <v>-</v>
      </c>
      <c r="K2804" s="528"/>
      <c r="L2804" s="546" t="s">
        <v>37</v>
      </c>
      <c r="M2804" s="711">
        <f t="shared" si="11180"/>
        <v>0</v>
      </c>
      <c r="N2804" s="896" t="str">
        <f t="shared" ref="N2804" si="11352">IFERROR((M2805/M2804),"-")</f>
        <v>-</v>
      </c>
      <c r="O2804" s="528"/>
      <c r="P2804" s="547">
        <v>0</v>
      </c>
      <c r="Q2804" s="547">
        <v>0</v>
      </c>
      <c r="R2804" s="547">
        <v>0</v>
      </c>
      <c r="S2804" s="547">
        <v>0</v>
      </c>
      <c r="T2804" s="547">
        <v>0</v>
      </c>
      <c r="U2804" s="547">
        <v>0</v>
      </c>
      <c r="V2804" s="547">
        <v>0</v>
      </c>
      <c r="W2804" s="528"/>
      <c r="X2804" s="711">
        <f t="shared" si="11174"/>
        <v>0</v>
      </c>
      <c r="Y2804" s="896" t="str">
        <f t="shared" ref="Y2804" si="11353">IFERROR((X2805/X2804),"-")</f>
        <v>-</v>
      </c>
      <c r="Z2804" s="528"/>
      <c r="AA2804" s="898">
        <v>0</v>
      </c>
      <c r="AB2804" s="898">
        <v>0</v>
      </c>
      <c r="AC2804" s="903">
        <v>0</v>
      </c>
      <c r="AD2804" s="896" t="str">
        <f t="shared" ref="AD2804" si="11354">IFERROR((AC2804/AA2804),"-")</f>
        <v>-</v>
      </c>
      <c r="AE2804" s="2"/>
      <c r="AF2804" s="884">
        <v>0</v>
      </c>
      <c r="AG2804" s="884"/>
      <c r="AH2804" s="884">
        <v>0</v>
      </c>
      <c r="AI2804" s="884"/>
      <c r="AJ2804" s="884"/>
      <c r="AK2804" s="884">
        <f t="shared" ref="AK2804" si="11355">AF2804+AG2804+AH2804+AI2804+AJ2804+AC2804</f>
        <v>0</v>
      </c>
      <c r="AL2804" s="884">
        <v>0</v>
      </c>
      <c r="AM2804" s="878" t="str">
        <f t="shared" ref="AM2804" si="11356">IFERROR((AK2804/AL2804),"-")</f>
        <v>-</v>
      </c>
      <c r="AN2804" s="2"/>
      <c r="AO2804" s="884">
        <v>1160</v>
      </c>
      <c r="AP2804" s="884">
        <f t="shared" ref="AP2804" si="11357">AO2804-AK2804</f>
        <v>1160</v>
      </c>
      <c r="AV2804" t="str">
        <f t="shared" si="11172"/>
        <v xml:space="preserve">   Seg. 3.1- ADME 12 - Drenagem Superficial - Descida D´água</v>
      </c>
      <c r="AW2804" s="4" t="str">
        <f t="shared" si="11171"/>
        <v xml:space="preserve">   Execução de sublastro - Seg.2.5 CA 10</v>
      </c>
    </row>
    <row r="2805" spans="1:49" ht="15.6" customHeight="1" outlineLevel="2">
      <c r="A2805" s="8" t="str">
        <f t="shared" ref="A2805" si="11358">A2804</f>
        <v>N</v>
      </c>
      <c r="B2805" s="150"/>
      <c r="C2805" s="150" t="s">
        <v>3147</v>
      </c>
      <c r="D2805" s="120" t="s">
        <v>3148</v>
      </c>
      <c r="E2805" s="893"/>
      <c r="F2805" s="902"/>
      <c r="G2805" s="528"/>
      <c r="H2805" s="549" t="s">
        <v>38</v>
      </c>
      <c r="I2805" s="711">
        <v>0</v>
      </c>
      <c r="J2805" s="897"/>
      <c r="K2805" s="528"/>
      <c r="L2805" s="549" t="s">
        <v>38</v>
      </c>
      <c r="M2805" s="711">
        <f t="shared" si="11180"/>
        <v>0</v>
      </c>
      <c r="N2805" s="897"/>
      <c r="O2805" s="528"/>
      <c r="P2805" s="548">
        <v>0</v>
      </c>
      <c r="Q2805" s="548">
        <v>0</v>
      </c>
      <c r="R2805" s="548">
        <v>0</v>
      </c>
      <c r="S2805" s="548">
        <v>0</v>
      </c>
      <c r="T2805" s="548">
        <v>0</v>
      </c>
      <c r="U2805" s="548">
        <v>0</v>
      </c>
      <c r="V2805" s="548">
        <v>0</v>
      </c>
      <c r="W2805" s="528"/>
      <c r="X2805" s="711">
        <f t="shared" si="11174"/>
        <v>0</v>
      </c>
      <c r="Y2805" s="897"/>
      <c r="Z2805" s="528"/>
      <c r="AA2805" s="899"/>
      <c r="AB2805" s="899"/>
      <c r="AC2805" s="904"/>
      <c r="AD2805" s="905"/>
      <c r="AE2805" s="2"/>
      <c r="AF2805" s="885"/>
      <c r="AG2805" s="885"/>
      <c r="AH2805" s="885"/>
      <c r="AI2805" s="885"/>
      <c r="AJ2805" s="885"/>
      <c r="AK2805" s="885"/>
      <c r="AL2805" s="885"/>
      <c r="AM2805" s="879"/>
      <c r="AN2805" s="2"/>
      <c r="AO2805" s="886"/>
      <c r="AP2805" s="886"/>
      <c r="AV2805" t="str">
        <f t="shared" si="11172"/>
        <v xml:space="preserve">   Seg. 3.1- ADME 12 - Drenagem Superficial - Descida D´água</v>
      </c>
      <c r="AW2805" s="4" t="str">
        <f t="shared" si="11171"/>
        <v xml:space="preserve">   Execução de sublastro - Seg.2.5 CA 10</v>
      </c>
    </row>
    <row r="2806" spans="1:49" ht="15.6" customHeight="1" outlineLevel="1">
      <c r="A2806" s="8" t="str">
        <f t="shared" ref="A2806" si="11359">IF(SUM(P2806:V2807)&gt;0,"S","N")</f>
        <v>N</v>
      </c>
      <c r="B2806" s="150">
        <v>1065733</v>
      </c>
      <c r="C2806" s="150" t="s">
        <v>3150</v>
      </c>
      <c r="D2806" s="120" t="s">
        <v>3151</v>
      </c>
      <c r="E2806" s="892" t="s">
        <v>3152</v>
      </c>
      <c r="F2806" s="902" t="s">
        <v>36</v>
      </c>
      <c r="G2806" s="528"/>
      <c r="H2806" s="546" t="s">
        <v>37</v>
      </c>
      <c r="I2806" s="711">
        <v>0</v>
      </c>
      <c r="J2806" s="896" t="str">
        <f t="shared" ref="J2806" si="11360">IFERROR((I2807/I2806),"-")</f>
        <v>-</v>
      </c>
      <c r="K2806" s="528"/>
      <c r="L2806" s="546" t="s">
        <v>37</v>
      </c>
      <c r="M2806" s="711">
        <f t="shared" si="11180"/>
        <v>0</v>
      </c>
      <c r="N2806" s="896" t="str">
        <f t="shared" ref="N2806" si="11361">IFERROR((M2807/M2806),"-")</f>
        <v>-</v>
      </c>
      <c r="O2806" s="528"/>
      <c r="P2806" s="547">
        <v>0</v>
      </c>
      <c r="Q2806" s="547">
        <v>0</v>
      </c>
      <c r="R2806" s="547">
        <v>0</v>
      </c>
      <c r="S2806" s="547">
        <v>0</v>
      </c>
      <c r="T2806" s="547">
        <v>0</v>
      </c>
      <c r="U2806" s="547">
        <v>0</v>
      </c>
      <c r="V2806" s="547">
        <v>0</v>
      </c>
      <c r="W2806" s="528"/>
      <c r="X2806" s="711">
        <f t="shared" si="11174"/>
        <v>0</v>
      </c>
      <c r="Y2806" s="896" t="str">
        <f t="shared" ref="Y2806" si="11362">IFERROR((X2807/X2806),"-")</f>
        <v>-</v>
      </c>
      <c r="Z2806" s="528"/>
      <c r="AA2806" s="898">
        <v>1717</v>
      </c>
      <c r="AB2806" s="898">
        <v>0</v>
      </c>
      <c r="AC2806" s="903">
        <v>0</v>
      </c>
      <c r="AD2806" s="896">
        <f t="shared" ref="AD2806" si="11363">IFERROR((AC2806/AA2806),"-")</f>
        <v>0</v>
      </c>
      <c r="AE2806" s="2"/>
      <c r="AF2806" s="884">
        <v>0</v>
      </c>
      <c r="AG2806" s="884"/>
      <c r="AH2806" s="884">
        <v>0</v>
      </c>
      <c r="AI2806" s="884"/>
      <c r="AJ2806" s="884"/>
      <c r="AK2806" s="884">
        <f t="shared" ref="AK2806" si="11364">AF2806+AG2806+AH2806+AI2806+AJ2806+AC2806</f>
        <v>0</v>
      </c>
      <c r="AL2806" s="884">
        <v>0</v>
      </c>
      <c r="AM2806" s="878" t="str">
        <f t="shared" ref="AM2806" si="11365">IFERROR((AK2806/AL2806),"-")</f>
        <v>-</v>
      </c>
      <c r="AN2806" s="2"/>
      <c r="AO2806" s="884">
        <v>1717</v>
      </c>
      <c r="AP2806" s="884">
        <f t="shared" ref="AP2806" si="11366">AO2806-AK2806</f>
        <v>1717</v>
      </c>
      <c r="AV2806" t="str">
        <f t="shared" si="11172"/>
        <v xml:space="preserve">   Seg. 3.1- ADME 12 - Drenagem Superficial - Descida D´água</v>
      </c>
      <c r="AW2806" s="4" t="str">
        <f t="shared" si="11171"/>
        <v xml:space="preserve">   Execução de sublastro - Seg.2.5 CA 11</v>
      </c>
    </row>
    <row r="2807" spans="1:49" ht="15.6" customHeight="1" outlineLevel="1">
      <c r="A2807" s="8" t="str">
        <f t="shared" ref="A2807" si="11367">A2806</f>
        <v>N</v>
      </c>
      <c r="B2807" s="150"/>
      <c r="C2807" s="150" t="s">
        <v>3150</v>
      </c>
      <c r="D2807" s="120" t="s">
        <v>3151</v>
      </c>
      <c r="E2807" s="893"/>
      <c r="F2807" s="902"/>
      <c r="G2807" s="528"/>
      <c r="H2807" s="549" t="s">
        <v>38</v>
      </c>
      <c r="I2807" s="711">
        <v>0</v>
      </c>
      <c r="J2807" s="897"/>
      <c r="K2807" s="528"/>
      <c r="L2807" s="549" t="s">
        <v>38</v>
      </c>
      <c r="M2807" s="711">
        <f t="shared" si="11180"/>
        <v>0</v>
      </c>
      <c r="N2807" s="897"/>
      <c r="O2807" s="528"/>
      <c r="P2807" s="548">
        <v>0</v>
      </c>
      <c r="Q2807" s="548">
        <v>0</v>
      </c>
      <c r="R2807" s="548">
        <v>0</v>
      </c>
      <c r="S2807" s="548">
        <v>0</v>
      </c>
      <c r="T2807" s="548">
        <v>0</v>
      </c>
      <c r="U2807" s="548">
        <v>0</v>
      </c>
      <c r="V2807" s="548">
        <v>0</v>
      </c>
      <c r="W2807" s="528"/>
      <c r="X2807" s="711">
        <f t="shared" si="11174"/>
        <v>0</v>
      </c>
      <c r="Y2807" s="897"/>
      <c r="Z2807" s="528"/>
      <c r="AA2807" s="899"/>
      <c r="AB2807" s="899"/>
      <c r="AC2807" s="904"/>
      <c r="AD2807" s="905"/>
      <c r="AE2807" s="2"/>
      <c r="AF2807" s="885"/>
      <c r="AG2807" s="885"/>
      <c r="AH2807" s="885"/>
      <c r="AI2807" s="885"/>
      <c r="AJ2807" s="885"/>
      <c r="AK2807" s="885"/>
      <c r="AL2807" s="885"/>
      <c r="AM2807" s="879"/>
      <c r="AN2807" s="2"/>
      <c r="AO2807" s="886"/>
      <c r="AP2807" s="886"/>
      <c r="AV2807" t="str">
        <f t="shared" si="11172"/>
        <v xml:space="preserve">   Seg. 3.1- ADME 12 - Drenagem Superficial - Descida D´água</v>
      </c>
      <c r="AW2807" s="4" t="str">
        <f t="shared" si="11171"/>
        <v xml:space="preserve">   Execução de sublastro - Seg.2.5 CA 11</v>
      </c>
    </row>
    <row r="2808" spans="1:49" ht="15.6" customHeight="1" outlineLevel="1">
      <c r="A2808" s="8" t="str">
        <f t="shared" ref="A2808" si="11368">IF(SUM(P2808:V2809)&gt;0,"S","N")</f>
        <v>N</v>
      </c>
      <c r="B2808" s="150">
        <v>1065735</v>
      </c>
      <c r="C2808" s="150" t="s">
        <v>3153</v>
      </c>
      <c r="D2808" s="120" t="s">
        <v>3154</v>
      </c>
      <c r="E2808" s="892" t="s">
        <v>3155</v>
      </c>
      <c r="F2808" s="902" t="s">
        <v>36</v>
      </c>
      <c r="G2808" s="528"/>
      <c r="H2808" s="546" t="s">
        <v>37</v>
      </c>
      <c r="I2808" s="711">
        <v>0</v>
      </c>
      <c r="J2808" s="896" t="str">
        <f t="shared" ref="J2808" si="11369">IFERROR((I2809/I2808),"-")</f>
        <v>-</v>
      </c>
      <c r="K2808" s="528"/>
      <c r="L2808" s="546" t="s">
        <v>37</v>
      </c>
      <c r="M2808" s="711">
        <f t="shared" si="11180"/>
        <v>0</v>
      </c>
      <c r="N2808" s="896" t="str">
        <f t="shared" ref="N2808" si="11370">IFERROR((M2809/M2808),"-")</f>
        <v>-</v>
      </c>
      <c r="O2808" s="528"/>
      <c r="P2808" s="547">
        <v>0</v>
      </c>
      <c r="Q2808" s="547">
        <v>0</v>
      </c>
      <c r="R2808" s="547">
        <v>0</v>
      </c>
      <c r="S2808" s="547">
        <v>0</v>
      </c>
      <c r="T2808" s="547">
        <v>0</v>
      </c>
      <c r="U2808" s="547">
        <v>0</v>
      </c>
      <c r="V2808" s="547">
        <v>0</v>
      </c>
      <c r="W2808" s="528"/>
      <c r="X2808" s="711">
        <f t="shared" si="11174"/>
        <v>0</v>
      </c>
      <c r="Y2808" s="896" t="str">
        <f t="shared" ref="Y2808" si="11371">IFERROR((X2809/X2808),"-")</f>
        <v>-</v>
      </c>
      <c r="Z2808" s="528"/>
      <c r="AA2808" s="898">
        <v>46</v>
      </c>
      <c r="AB2808" s="898">
        <v>0</v>
      </c>
      <c r="AC2808" s="903">
        <v>0</v>
      </c>
      <c r="AD2808" s="896">
        <f t="shared" ref="AD2808" si="11372">IFERROR((AC2808/AA2808),"-")</f>
        <v>0</v>
      </c>
      <c r="AE2808" s="2"/>
      <c r="AF2808" s="884">
        <v>0</v>
      </c>
      <c r="AG2808" s="884"/>
      <c r="AH2808" s="884">
        <v>0</v>
      </c>
      <c r="AI2808" s="884"/>
      <c r="AJ2808" s="884"/>
      <c r="AK2808" s="884">
        <f t="shared" ref="AK2808" si="11373">AF2808+AG2808+AH2808+AI2808+AJ2808+AC2808</f>
        <v>0</v>
      </c>
      <c r="AL2808" s="884">
        <v>0</v>
      </c>
      <c r="AM2808" s="878" t="str">
        <f t="shared" ref="AM2808" si="11374">IFERROR((AK2808/AL2808),"-")</f>
        <v>-</v>
      </c>
      <c r="AN2808" s="2"/>
      <c r="AO2808" s="884">
        <v>46</v>
      </c>
      <c r="AP2808" s="884">
        <f t="shared" ref="AP2808" si="11375">AO2808-AK2808</f>
        <v>46</v>
      </c>
      <c r="AV2808" t="str">
        <f t="shared" si="11172"/>
        <v xml:space="preserve">   Seg. 3.1- ADME 12 - Drenagem Superficial - Descida D´água</v>
      </c>
      <c r="AW2808" s="4" t="str">
        <f t="shared" si="11171"/>
        <v xml:space="preserve">   Execução de sublastro - Seg.2.5 CA 12</v>
      </c>
    </row>
    <row r="2809" spans="1:49" ht="15.6" customHeight="1" outlineLevel="1">
      <c r="A2809" s="8" t="str">
        <f t="shared" ref="A2809" si="11376">A2808</f>
        <v>N</v>
      </c>
      <c r="B2809" s="150"/>
      <c r="C2809" s="150" t="s">
        <v>3153</v>
      </c>
      <c r="D2809" s="120" t="s">
        <v>3154</v>
      </c>
      <c r="E2809" s="893"/>
      <c r="F2809" s="902"/>
      <c r="G2809" s="528"/>
      <c r="H2809" s="549" t="s">
        <v>38</v>
      </c>
      <c r="I2809" s="711">
        <v>0</v>
      </c>
      <c r="J2809" s="897"/>
      <c r="K2809" s="528"/>
      <c r="L2809" s="549" t="s">
        <v>38</v>
      </c>
      <c r="M2809" s="711">
        <f t="shared" si="11180"/>
        <v>0</v>
      </c>
      <c r="N2809" s="897"/>
      <c r="O2809" s="528"/>
      <c r="P2809" s="548">
        <v>0</v>
      </c>
      <c r="Q2809" s="548">
        <v>0</v>
      </c>
      <c r="R2809" s="548">
        <v>0</v>
      </c>
      <c r="S2809" s="548">
        <v>0</v>
      </c>
      <c r="T2809" s="548">
        <v>0</v>
      </c>
      <c r="U2809" s="548">
        <v>0</v>
      </c>
      <c r="V2809" s="548">
        <v>0</v>
      </c>
      <c r="W2809" s="528"/>
      <c r="X2809" s="711">
        <f t="shared" si="11174"/>
        <v>0</v>
      </c>
      <c r="Y2809" s="897"/>
      <c r="Z2809" s="528"/>
      <c r="AA2809" s="899"/>
      <c r="AB2809" s="899"/>
      <c r="AC2809" s="904"/>
      <c r="AD2809" s="905"/>
      <c r="AE2809" s="2"/>
      <c r="AF2809" s="885"/>
      <c r="AG2809" s="885"/>
      <c r="AH2809" s="885"/>
      <c r="AI2809" s="885"/>
      <c r="AJ2809" s="885"/>
      <c r="AK2809" s="885"/>
      <c r="AL2809" s="885"/>
      <c r="AM2809" s="879"/>
      <c r="AN2809" s="2"/>
      <c r="AO2809" s="886"/>
      <c r="AP2809" s="886"/>
      <c r="AV2809" t="str">
        <f t="shared" si="11172"/>
        <v xml:space="preserve">   Seg. 3.1- ADME 12 - Drenagem Superficial - Descida D´água</v>
      </c>
      <c r="AW2809" s="4" t="str">
        <f t="shared" si="11171"/>
        <v xml:space="preserve">   Execução de sublastro - Seg.2.5 CA 12</v>
      </c>
    </row>
    <row r="2810" spans="1:49" ht="15.6" customHeight="1" outlineLevel="1">
      <c r="A2810" s="8" t="str">
        <f t="shared" ref="A2810" si="11377">IF(SUM(P2810:V2811)&gt;0,"S","N")</f>
        <v>N</v>
      </c>
      <c r="B2810" s="150">
        <v>1065490</v>
      </c>
      <c r="C2810" s="150" t="s">
        <v>3156</v>
      </c>
      <c r="D2810" s="120" t="s">
        <v>3157</v>
      </c>
      <c r="E2810" s="892" t="s">
        <v>3158</v>
      </c>
      <c r="F2810" s="902" t="s">
        <v>36</v>
      </c>
      <c r="G2810" s="528"/>
      <c r="H2810" s="546" t="s">
        <v>37</v>
      </c>
      <c r="I2810" s="711">
        <v>0</v>
      </c>
      <c r="J2810" s="896" t="str">
        <f t="shared" ref="J2810" si="11378">IFERROR((I2811/I2810),"-")</f>
        <v>-</v>
      </c>
      <c r="K2810" s="528"/>
      <c r="L2810" s="546" t="s">
        <v>37</v>
      </c>
      <c r="M2810" s="711">
        <f t="shared" si="11180"/>
        <v>0</v>
      </c>
      <c r="N2810" s="896" t="str">
        <f t="shared" ref="N2810" si="11379">IFERROR((M2811/M2810),"-")</f>
        <v>-</v>
      </c>
      <c r="O2810" s="528"/>
      <c r="P2810" s="547">
        <v>0</v>
      </c>
      <c r="Q2810" s="547">
        <v>0</v>
      </c>
      <c r="R2810" s="547">
        <v>0</v>
      </c>
      <c r="S2810" s="547">
        <v>0</v>
      </c>
      <c r="T2810" s="547">
        <v>0</v>
      </c>
      <c r="U2810" s="547">
        <v>0</v>
      </c>
      <c r="V2810" s="547">
        <v>0</v>
      </c>
      <c r="W2810" s="528"/>
      <c r="X2810" s="711">
        <f t="shared" si="11174"/>
        <v>0</v>
      </c>
      <c r="Y2810" s="896" t="str">
        <f t="shared" ref="Y2810" si="11380">IFERROR((X2811/X2810),"-")</f>
        <v>-</v>
      </c>
      <c r="Z2810" s="528"/>
      <c r="AA2810" s="898">
        <v>5058</v>
      </c>
      <c r="AB2810" s="898">
        <v>0</v>
      </c>
      <c r="AC2810" s="903">
        <v>0</v>
      </c>
      <c r="AD2810" s="896">
        <f t="shared" ref="AD2810" si="11381">IFERROR((AC2810/AA2810),"-")</f>
        <v>0</v>
      </c>
      <c r="AE2810" s="2"/>
      <c r="AF2810" s="884">
        <v>0</v>
      </c>
      <c r="AG2810" s="884"/>
      <c r="AH2810" s="884">
        <v>0</v>
      </c>
      <c r="AI2810" s="884"/>
      <c r="AJ2810" s="884"/>
      <c r="AK2810" s="884">
        <f t="shared" ref="AK2810" si="11382">AF2810+AG2810+AH2810+AI2810+AJ2810+AC2810</f>
        <v>0</v>
      </c>
      <c r="AL2810" s="884">
        <v>0</v>
      </c>
      <c r="AM2810" s="878" t="str">
        <f t="shared" ref="AM2810" si="11383">IFERROR((AK2810/AL2810),"-")</f>
        <v>-</v>
      </c>
      <c r="AN2810" s="2"/>
      <c r="AO2810" s="884">
        <v>5058</v>
      </c>
      <c r="AP2810" s="884">
        <f t="shared" ref="AP2810" si="11384">AO2810-AK2810</f>
        <v>5058</v>
      </c>
      <c r="AV2810" t="str">
        <f t="shared" si="11172"/>
        <v xml:space="preserve">   Seg. 3.1- ADME 12 - Drenagem Superficial - Descida D´água</v>
      </c>
      <c r="AW2810" s="4" t="str">
        <f t="shared" si="11171"/>
        <v xml:space="preserve">   Execução de sublastro - Seg.2.5 CA 13</v>
      </c>
    </row>
    <row r="2811" spans="1:49" ht="15.6" customHeight="1" outlineLevel="1">
      <c r="A2811" s="8" t="str">
        <f t="shared" ref="A2811" si="11385">A2810</f>
        <v>N</v>
      </c>
      <c r="B2811" s="150"/>
      <c r="C2811" s="150" t="s">
        <v>3156</v>
      </c>
      <c r="D2811" s="120" t="s">
        <v>3157</v>
      </c>
      <c r="E2811" s="893"/>
      <c r="F2811" s="902"/>
      <c r="G2811" s="528"/>
      <c r="H2811" s="549" t="s">
        <v>38</v>
      </c>
      <c r="I2811" s="711">
        <v>0</v>
      </c>
      <c r="J2811" s="897"/>
      <c r="K2811" s="528"/>
      <c r="L2811" s="549" t="s">
        <v>38</v>
      </c>
      <c r="M2811" s="711">
        <f t="shared" si="11180"/>
        <v>0</v>
      </c>
      <c r="N2811" s="897"/>
      <c r="O2811" s="528"/>
      <c r="P2811" s="548">
        <v>0</v>
      </c>
      <c r="Q2811" s="548">
        <v>0</v>
      </c>
      <c r="R2811" s="548">
        <v>0</v>
      </c>
      <c r="S2811" s="548">
        <v>0</v>
      </c>
      <c r="T2811" s="548">
        <v>0</v>
      </c>
      <c r="U2811" s="548">
        <v>0</v>
      </c>
      <c r="V2811" s="548">
        <v>0</v>
      </c>
      <c r="W2811" s="528"/>
      <c r="X2811" s="711">
        <f t="shared" si="11174"/>
        <v>0</v>
      </c>
      <c r="Y2811" s="897"/>
      <c r="Z2811" s="528"/>
      <c r="AA2811" s="899"/>
      <c r="AB2811" s="899"/>
      <c r="AC2811" s="904"/>
      <c r="AD2811" s="905"/>
      <c r="AE2811" s="2"/>
      <c r="AF2811" s="908"/>
      <c r="AG2811" s="885"/>
      <c r="AH2811" s="885"/>
      <c r="AI2811" s="885"/>
      <c r="AJ2811" s="885"/>
      <c r="AK2811" s="885"/>
      <c r="AL2811" s="885"/>
      <c r="AM2811" s="879"/>
      <c r="AN2811" s="2"/>
      <c r="AO2811" s="886"/>
      <c r="AP2811" s="886"/>
      <c r="AV2811" t="str">
        <f t="shared" si="11172"/>
        <v xml:space="preserve">   Seg. 3.1- ADME 12 - Drenagem Superficial - Descida D´água</v>
      </c>
      <c r="AW2811" s="4" t="str">
        <f t="shared" si="11171"/>
        <v xml:space="preserve">   Execução de sublastro - Seg.2.5 CA 13</v>
      </c>
    </row>
    <row r="2812" spans="1:49" ht="15.6" customHeight="1" outlineLevel="1">
      <c r="A2812" s="209">
        <v>0</v>
      </c>
      <c r="B2812" s="150"/>
      <c r="C2812" s="150"/>
      <c r="D2812" s="117"/>
      <c r="E2812" s="535"/>
      <c r="F2812" s="536"/>
      <c r="G2812" s="537"/>
      <c r="H2812" s="714"/>
      <c r="I2812" s="555"/>
      <c r="J2812" s="714"/>
      <c r="K2812" s="537"/>
      <c r="L2812" s="714"/>
      <c r="M2812" s="555"/>
      <c r="N2812" s="714"/>
      <c r="O2812" s="537"/>
      <c r="P2812" s="539"/>
      <c r="Q2812" s="539"/>
      <c r="R2812" s="539"/>
      <c r="S2812" s="539"/>
      <c r="T2812" s="539"/>
      <c r="U2812" s="539"/>
      <c r="V2812" s="539"/>
      <c r="W2812" s="537"/>
      <c r="X2812" s="540"/>
      <c r="Y2812" s="537"/>
      <c r="Z2812" s="537"/>
      <c r="AA2812" s="249"/>
      <c r="AB2812" s="249"/>
      <c r="AC2812" s="249"/>
      <c r="AD2812" s="537"/>
      <c r="AE2812" s="3"/>
      <c r="AF2812" s="35"/>
      <c r="AG2812" s="35"/>
      <c r="AH2812" s="35"/>
      <c r="AI2812" s="35"/>
      <c r="AJ2812" s="35"/>
      <c r="AK2812" s="35"/>
      <c r="AL2812" s="35"/>
      <c r="AM2812" s="3"/>
      <c r="AN2812" s="3"/>
      <c r="AO2812" s="35"/>
      <c r="AP2812" s="35"/>
      <c r="AV2812" t="str">
        <f t="shared" si="11172"/>
        <v xml:space="preserve">   Seg. 3.1- ADME 12 - Drenagem Superficial - Descida D´água</v>
      </c>
      <c r="AW2812" s="4" t="str">
        <f t="shared" si="11171"/>
        <v xml:space="preserve">   Execução de sublastro - Seg.2.5 CA 13</v>
      </c>
    </row>
    <row r="2813" spans="1:49" ht="15.6" customHeight="1" outlineLevel="1">
      <c r="A2813" s="209">
        <v>0</v>
      </c>
      <c r="B2813" s="150"/>
      <c r="C2813" s="150"/>
      <c r="D2813" s="117"/>
      <c r="E2813" s="535"/>
      <c r="F2813" s="541"/>
      <c r="G2813" s="537"/>
      <c r="H2813" s="537"/>
      <c r="I2813" s="249"/>
      <c r="J2813" s="537"/>
      <c r="K2813" s="537"/>
      <c r="L2813" s="537"/>
      <c r="M2813" s="249"/>
      <c r="N2813" s="537"/>
      <c r="O2813" s="537"/>
      <c r="P2813" s="539"/>
      <c r="Q2813" s="539"/>
      <c r="R2813" s="539"/>
      <c r="S2813" s="539"/>
      <c r="T2813" s="539"/>
      <c r="U2813" s="539"/>
      <c r="V2813" s="539"/>
      <c r="W2813" s="537"/>
      <c r="X2813" s="540"/>
      <c r="Y2813" s="537"/>
      <c r="Z2813" s="537"/>
      <c r="AA2813" s="249"/>
      <c r="AB2813" s="249"/>
      <c r="AC2813" s="249"/>
      <c r="AD2813" s="537"/>
      <c r="AE2813" s="3"/>
      <c r="AF2813" s="35"/>
      <c r="AG2813" s="35"/>
      <c r="AH2813" s="35"/>
      <c r="AI2813" s="35"/>
      <c r="AJ2813" s="35"/>
      <c r="AK2813" s="35"/>
      <c r="AL2813" s="35"/>
      <c r="AM2813" s="3"/>
      <c r="AN2813" s="3"/>
      <c r="AO2813" s="35"/>
      <c r="AP2813" s="35"/>
      <c r="AV2813" t="str">
        <f t="shared" si="11172"/>
        <v xml:space="preserve">   Seg. 3.1- ADME 12 - Drenagem Superficial - Descida D´água</v>
      </c>
      <c r="AW2813" s="4" t="str">
        <f t="shared" si="11171"/>
        <v xml:space="preserve">   Execução de sublastro - Seg.2.5 CA 13</v>
      </c>
    </row>
    <row r="2814" spans="1:49" ht="15.6" customHeight="1" outlineLevel="1">
      <c r="A2814" s="209">
        <v>0</v>
      </c>
      <c r="B2814" s="150"/>
      <c r="C2814" s="150">
        <v>0</v>
      </c>
      <c r="D2814" s="122"/>
      <c r="E2814" s="913" t="s">
        <v>45</v>
      </c>
      <c r="F2814" s="859" t="s">
        <v>36</v>
      </c>
      <c r="G2814" s="528"/>
      <c r="H2814" s="542" t="s">
        <v>37</v>
      </c>
      <c r="I2814" s="543">
        <f>SUMIF($L2816:$L2849,$L2814,I2816:I2849)</f>
        <v>0</v>
      </c>
      <c r="J2814" s="860" t="str">
        <f>IFERROR((I2815/I2814),"-")</f>
        <v>-</v>
      </c>
      <c r="K2814" s="528"/>
      <c r="L2814" s="542" t="s">
        <v>37</v>
      </c>
      <c r="M2814" s="543">
        <f>SUMIF($L2816:$L2849,$L2814,M2816:M2849)</f>
        <v>0</v>
      </c>
      <c r="N2814" s="860" t="str">
        <f>IFERROR((M2815/M2814),"-")</f>
        <v>-</v>
      </c>
      <c r="O2814" s="528"/>
      <c r="P2814" s="543">
        <f t="shared" ref="P2814:U2814" si="11386">SUMIF($L2816:$L2849,$L2814,P2816:P2849)</f>
        <v>0</v>
      </c>
      <c r="Q2814" s="543">
        <f t="shared" si="11386"/>
        <v>0</v>
      </c>
      <c r="R2814" s="543">
        <f t="shared" si="11386"/>
        <v>0</v>
      </c>
      <c r="S2814" s="543">
        <f t="shared" si="11386"/>
        <v>0</v>
      </c>
      <c r="T2814" s="543">
        <f t="shared" si="11386"/>
        <v>0</v>
      </c>
      <c r="U2814" s="543">
        <f t="shared" si="11386"/>
        <v>0</v>
      </c>
      <c r="V2814" s="543"/>
      <c r="W2814" s="528"/>
      <c r="X2814" s="543">
        <f t="shared" ref="X2814:X2849" si="11387">SUMIFS(P2814:V2814,$P$8:$V$8,"&gt;="&amp;$P$8,$P$8:$V$8,"&lt;="&amp;$N$8)</f>
        <v>0</v>
      </c>
      <c r="Y2814" s="860" t="str">
        <f>IFERROR((X2815/X2814),"-")</f>
        <v>-</v>
      </c>
      <c r="Z2814" s="528"/>
      <c r="AA2814" s="814">
        <f>SUM(AA2816:AA2849)</f>
        <v>0</v>
      </c>
      <c r="AB2814" s="814">
        <f>SUM(AB2816:AB2849)</f>
        <v>0</v>
      </c>
      <c r="AC2814" s="814">
        <f>SUM(AC2816:AC2849)</f>
        <v>0</v>
      </c>
      <c r="AD2814" s="911" t="str">
        <f>IFERROR((AC2814/AA2814),"-")</f>
        <v>-</v>
      </c>
      <c r="AE2814" s="2"/>
      <c r="AF2814" s="888">
        <f t="shared" ref="AF2814" si="11388">SUM(AF2816:AF2849)</f>
        <v>0</v>
      </c>
      <c r="AG2814" s="888">
        <f t="shared" ref="AG2814:AL2814" si="11389">SUM(AG2816:AG2849)</f>
        <v>0</v>
      </c>
      <c r="AH2814" s="888">
        <f t="shared" si="11389"/>
        <v>0</v>
      </c>
      <c r="AI2814" s="888">
        <f t="shared" si="11389"/>
        <v>0</v>
      </c>
      <c r="AJ2814" s="888">
        <f t="shared" si="11389"/>
        <v>0</v>
      </c>
      <c r="AK2814" s="888">
        <f t="shared" si="11389"/>
        <v>0</v>
      </c>
      <c r="AL2814" s="888">
        <f t="shared" si="11389"/>
        <v>0</v>
      </c>
      <c r="AM2814" s="743" t="str">
        <f>IFERROR((AK2814/AL2814),"-")</f>
        <v>-</v>
      </c>
      <c r="AN2814" s="2"/>
      <c r="AO2814" s="888">
        <f>SUM(AO2816:AO2849)</f>
        <v>31384.65</v>
      </c>
      <c r="AP2814" s="888">
        <f>SUM(AP2816:AP2849)</f>
        <v>31384.65</v>
      </c>
      <c r="AV2814" t="str">
        <f t="shared" si="11172"/>
        <v xml:space="preserve">   Seg. 3.1- ADME 12 - Drenagem Superficial - Descida D´água</v>
      </c>
      <c r="AW2814" s="4" t="str">
        <f t="shared" si="11171"/>
        <v>Pacote 05 - Segmento 3.1 - 153+000 a 167+400</v>
      </c>
    </row>
    <row r="2815" spans="1:49" ht="15.6" customHeight="1" outlineLevel="1">
      <c r="A2815" s="209">
        <v>0</v>
      </c>
      <c r="B2815" s="150"/>
      <c r="C2815" s="150"/>
      <c r="D2815" s="123"/>
      <c r="E2815" s="913"/>
      <c r="F2815" s="859"/>
      <c r="G2815" s="528"/>
      <c r="H2815" s="544" t="s">
        <v>38</v>
      </c>
      <c r="I2815" s="543">
        <f>SUMIF($L2816:$L2849,$L2815,I2816:I2849)</f>
        <v>0</v>
      </c>
      <c r="J2815" s="861"/>
      <c r="K2815" s="528"/>
      <c r="L2815" s="544" t="s">
        <v>38</v>
      </c>
      <c r="M2815" s="543">
        <f>SUMIF($L2816:$L2849,$L2815,M2816:M2849)</f>
        <v>0</v>
      </c>
      <c r="N2815" s="861"/>
      <c r="O2815" s="528"/>
      <c r="P2815" s="543">
        <f t="shared" ref="P2815:U2815" si="11390">SUMIF($L2816:$L2849,$L2815,P2816:P2849)</f>
        <v>0</v>
      </c>
      <c r="Q2815" s="543">
        <f t="shared" si="11390"/>
        <v>0</v>
      </c>
      <c r="R2815" s="543">
        <f t="shared" si="11390"/>
        <v>0</v>
      </c>
      <c r="S2815" s="543">
        <f t="shared" si="11390"/>
        <v>0</v>
      </c>
      <c r="T2815" s="543">
        <f t="shared" si="11390"/>
        <v>0</v>
      </c>
      <c r="U2815" s="543">
        <f t="shared" si="11390"/>
        <v>0</v>
      </c>
      <c r="V2815" s="543"/>
      <c r="W2815" s="528"/>
      <c r="X2815" s="543">
        <f t="shared" si="11387"/>
        <v>0</v>
      </c>
      <c r="Y2815" s="861"/>
      <c r="Z2815" s="528"/>
      <c r="AA2815" s="815"/>
      <c r="AB2815" s="815"/>
      <c r="AC2815" s="815"/>
      <c r="AD2815" s="912"/>
      <c r="AE2815" s="2"/>
      <c r="AF2815" s="889"/>
      <c r="AG2815" s="889"/>
      <c r="AH2815" s="889"/>
      <c r="AI2815" s="889"/>
      <c r="AJ2815" s="889"/>
      <c r="AK2815" s="889"/>
      <c r="AL2815" s="889"/>
      <c r="AM2815" s="744"/>
      <c r="AN2815" s="2"/>
      <c r="AO2815" s="888"/>
      <c r="AP2815" s="888"/>
      <c r="AV2815" t="str">
        <f t="shared" si="11172"/>
        <v xml:space="preserve">   Seg. 3.1- ADME 12 - Drenagem Superficial - Descida D´água</v>
      </c>
      <c r="AW2815" s="4" t="str">
        <f t="shared" si="11171"/>
        <v>Pacote 05 - Segmento 3.1 - 153+000 a 167+400</v>
      </c>
    </row>
    <row r="2816" spans="1:49" ht="15.6" customHeight="1" outlineLevel="1">
      <c r="A2816" s="8" t="str">
        <f t="shared" ref="A2816" si="11391">IF(SUM(P2816:V2817)&gt;0,"S","N")</f>
        <v>N</v>
      </c>
      <c r="B2816" s="150">
        <v>1065736</v>
      </c>
      <c r="C2816" s="150" t="s">
        <v>3159</v>
      </c>
      <c r="D2816" s="120" t="s">
        <v>3160</v>
      </c>
      <c r="E2816" s="892" t="s">
        <v>3161</v>
      </c>
      <c r="F2816" s="902" t="s">
        <v>36</v>
      </c>
      <c r="G2816" s="528"/>
      <c r="H2816" s="546" t="s">
        <v>37</v>
      </c>
      <c r="I2816" s="711">
        <v>0</v>
      </c>
      <c r="J2816" s="896" t="str">
        <f t="shared" ref="J2816" si="11392">IFERROR((I2817/I2816),"-")</f>
        <v>-</v>
      </c>
      <c r="K2816" s="528"/>
      <c r="L2816" s="546" t="s">
        <v>37</v>
      </c>
      <c r="M2816" s="711">
        <f t="shared" ref="M2816:M2849" si="11393">_xlfn.XLOOKUP($N$8,$P$8:$V$8,$P2816:$V2816)</f>
        <v>0</v>
      </c>
      <c r="N2816" s="896" t="str">
        <f t="shared" ref="N2816" si="11394">IFERROR((M2817/M2816),"-")</f>
        <v>-</v>
      </c>
      <c r="O2816" s="528"/>
      <c r="P2816" s="547">
        <v>0</v>
      </c>
      <c r="Q2816" s="547">
        <v>0</v>
      </c>
      <c r="R2816" s="547">
        <v>0</v>
      </c>
      <c r="S2816" s="547">
        <v>0</v>
      </c>
      <c r="T2816" s="547">
        <v>0</v>
      </c>
      <c r="U2816" s="547">
        <v>0</v>
      </c>
      <c r="V2816" s="547">
        <v>0</v>
      </c>
      <c r="W2816" s="528"/>
      <c r="X2816" s="711">
        <f t="shared" si="11387"/>
        <v>0</v>
      </c>
      <c r="Y2816" s="896" t="str">
        <f>IFERROR((X2817/X2816),"-")</f>
        <v>-</v>
      </c>
      <c r="Z2816" s="528"/>
      <c r="AA2816" s="898">
        <v>0</v>
      </c>
      <c r="AB2816" s="898">
        <v>0</v>
      </c>
      <c r="AC2816" s="903">
        <v>0</v>
      </c>
      <c r="AD2816" s="896" t="str">
        <f t="shared" ref="AD2816" si="11395">IFERROR((AC2816/AA2816),"-")</f>
        <v>-</v>
      </c>
      <c r="AE2816" s="2"/>
      <c r="AF2816" s="884">
        <v>0</v>
      </c>
      <c r="AG2816" s="884"/>
      <c r="AH2816" s="884">
        <v>0</v>
      </c>
      <c r="AI2816" s="884"/>
      <c r="AJ2816" s="884"/>
      <c r="AK2816" s="884">
        <f t="shared" ref="AK2816" si="11396">AF2816+AG2816+AH2816+AI2816+AJ2816+AC2816</f>
        <v>0</v>
      </c>
      <c r="AL2816" s="884">
        <v>0</v>
      </c>
      <c r="AM2816" s="878" t="str">
        <f t="shared" ref="AM2816" si="11397">IFERROR((AK2816/AL2816),"-")</f>
        <v>-</v>
      </c>
      <c r="AN2816" s="2"/>
      <c r="AO2816" s="884">
        <v>1995</v>
      </c>
      <c r="AP2816" s="884">
        <f t="shared" ref="AP2816" si="11398">AO2816-AK2816</f>
        <v>1995</v>
      </c>
      <c r="AV2816" t="str">
        <f t="shared" si="11172"/>
        <v xml:space="preserve">   Seg. 3.1- ADME 12 - Drenagem Superficial - Descida D´água</v>
      </c>
      <c r="AW2816" s="4" t="str">
        <f t="shared" si="11171"/>
        <v xml:space="preserve">   Execução de sublastro - Seg.3.1 C 01</v>
      </c>
    </row>
    <row r="2817" spans="1:50" ht="15.6" customHeight="1" outlineLevel="1">
      <c r="A2817" s="8" t="str">
        <f t="shared" ref="A2817" si="11399">A2816</f>
        <v>N</v>
      </c>
      <c r="B2817" s="150"/>
      <c r="C2817" s="150" t="s">
        <v>3159</v>
      </c>
      <c r="D2817" s="120" t="s">
        <v>3160</v>
      </c>
      <c r="E2817" s="893"/>
      <c r="F2817" s="902"/>
      <c r="G2817" s="528"/>
      <c r="H2817" s="549" t="s">
        <v>38</v>
      </c>
      <c r="I2817" s="711">
        <v>0</v>
      </c>
      <c r="J2817" s="897"/>
      <c r="K2817" s="528"/>
      <c r="L2817" s="549" t="s">
        <v>38</v>
      </c>
      <c r="M2817" s="711">
        <f t="shared" si="11393"/>
        <v>0</v>
      </c>
      <c r="N2817" s="897"/>
      <c r="O2817" s="528"/>
      <c r="P2817" s="548">
        <v>0</v>
      </c>
      <c r="Q2817" s="548">
        <v>0</v>
      </c>
      <c r="R2817" s="548">
        <v>0</v>
      </c>
      <c r="S2817" s="548">
        <v>0</v>
      </c>
      <c r="T2817" s="548">
        <v>0</v>
      </c>
      <c r="U2817" s="548">
        <v>0</v>
      </c>
      <c r="V2817" s="548">
        <v>0</v>
      </c>
      <c r="W2817" s="528"/>
      <c r="X2817" s="711">
        <f t="shared" si="11387"/>
        <v>0</v>
      </c>
      <c r="Y2817" s="897"/>
      <c r="Z2817" s="528"/>
      <c r="AA2817" s="899"/>
      <c r="AB2817" s="899"/>
      <c r="AC2817" s="904"/>
      <c r="AD2817" s="905"/>
      <c r="AE2817" s="2"/>
      <c r="AF2817" s="885"/>
      <c r="AG2817" s="885"/>
      <c r="AH2817" s="885"/>
      <c r="AI2817" s="885"/>
      <c r="AJ2817" s="885"/>
      <c r="AK2817" s="885"/>
      <c r="AL2817" s="885"/>
      <c r="AM2817" s="879"/>
      <c r="AN2817" s="2"/>
      <c r="AO2817" s="886"/>
      <c r="AP2817" s="886"/>
      <c r="AV2817" t="str">
        <f t="shared" si="11172"/>
        <v xml:space="preserve">   Seg. 3.1- ADME 12 - Drenagem Superficial - Descida D´água</v>
      </c>
      <c r="AW2817" s="4" t="str">
        <f t="shared" si="11171"/>
        <v xml:space="preserve">   Execução de sublastro - Seg.3.1 C 01</v>
      </c>
    </row>
    <row r="2818" spans="1:50" ht="15.6" customHeight="1" outlineLevel="1">
      <c r="A2818" s="8" t="str">
        <f t="shared" ref="A2818" si="11400">IF(SUM(P2818:V2819)&gt;0,"S","N")</f>
        <v>N</v>
      </c>
      <c r="B2818" s="150">
        <v>1065737</v>
      </c>
      <c r="C2818" s="150" t="s">
        <v>3162</v>
      </c>
      <c r="D2818" s="120" t="s">
        <v>3163</v>
      </c>
      <c r="E2818" s="892" t="s">
        <v>3164</v>
      </c>
      <c r="F2818" s="902" t="s">
        <v>36</v>
      </c>
      <c r="G2818" s="528"/>
      <c r="H2818" s="546" t="s">
        <v>37</v>
      </c>
      <c r="I2818" s="711">
        <v>0</v>
      </c>
      <c r="J2818" s="896" t="str">
        <f t="shared" ref="J2818" si="11401">IFERROR((I2819/I2818),"-")</f>
        <v>-</v>
      </c>
      <c r="K2818" s="528"/>
      <c r="L2818" s="546" t="s">
        <v>37</v>
      </c>
      <c r="M2818" s="711">
        <f t="shared" si="11393"/>
        <v>0</v>
      </c>
      <c r="N2818" s="896" t="str">
        <f t="shared" ref="N2818" si="11402">IFERROR((M2819/M2818),"-")</f>
        <v>-</v>
      </c>
      <c r="O2818" s="528"/>
      <c r="P2818" s="547">
        <v>0</v>
      </c>
      <c r="Q2818" s="547">
        <v>0</v>
      </c>
      <c r="R2818" s="547">
        <v>0</v>
      </c>
      <c r="S2818" s="547">
        <v>0</v>
      </c>
      <c r="T2818" s="547">
        <v>0</v>
      </c>
      <c r="U2818" s="547">
        <v>0</v>
      </c>
      <c r="V2818" s="547">
        <v>0</v>
      </c>
      <c r="W2818" s="528"/>
      <c r="X2818" s="711">
        <f t="shared" si="11387"/>
        <v>0</v>
      </c>
      <c r="Y2818" s="896" t="str">
        <f>IFERROR((X2819/X2818),"-")</f>
        <v>-</v>
      </c>
      <c r="Z2818" s="528"/>
      <c r="AA2818" s="898">
        <v>0</v>
      </c>
      <c r="AB2818" s="898">
        <v>0</v>
      </c>
      <c r="AC2818" s="903">
        <v>0</v>
      </c>
      <c r="AD2818" s="896" t="str">
        <f t="shared" ref="AD2818" si="11403">IFERROR((AC2818/AA2818),"-")</f>
        <v>-</v>
      </c>
      <c r="AE2818" s="2"/>
      <c r="AF2818" s="884">
        <v>0</v>
      </c>
      <c r="AG2818" s="884"/>
      <c r="AH2818" s="884">
        <v>0</v>
      </c>
      <c r="AI2818" s="884"/>
      <c r="AJ2818" s="884"/>
      <c r="AK2818" s="884">
        <f t="shared" ref="AK2818" si="11404">AF2818+AG2818+AH2818+AI2818+AJ2818+AC2818</f>
        <v>0</v>
      </c>
      <c r="AL2818" s="884">
        <v>0</v>
      </c>
      <c r="AM2818" s="878" t="str">
        <f t="shared" ref="AM2818" si="11405">IFERROR((AK2818/AL2818),"-")</f>
        <v>-</v>
      </c>
      <c r="AN2818" s="2"/>
      <c r="AO2818" s="884">
        <v>6358</v>
      </c>
      <c r="AP2818" s="884">
        <f t="shared" ref="AP2818" si="11406">AO2818-AK2818</f>
        <v>6358</v>
      </c>
      <c r="AV2818" s="4" t="str">
        <f t="shared" si="11172"/>
        <v xml:space="preserve">   Seg. 3.1- ADME 12 - Drenagem Superficial - Descida D´água</v>
      </c>
      <c r="AW2818" s="4" t="str">
        <f t="shared" si="11171"/>
        <v xml:space="preserve">   Execução de sublastro - Seg.3.1 C 02</v>
      </c>
      <c r="AX2818" s="4"/>
    </row>
    <row r="2819" spans="1:50" ht="15.6" customHeight="1" outlineLevel="1">
      <c r="A2819" s="8" t="str">
        <f t="shared" ref="A2819" si="11407">A2818</f>
        <v>N</v>
      </c>
      <c r="B2819" s="150"/>
      <c r="C2819" s="150" t="s">
        <v>3162</v>
      </c>
      <c r="D2819" s="120" t="s">
        <v>3163</v>
      </c>
      <c r="E2819" s="893"/>
      <c r="F2819" s="902"/>
      <c r="G2819" s="528"/>
      <c r="H2819" s="549" t="s">
        <v>38</v>
      </c>
      <c r="I2819" s="711">
        <v>0</v>
      </c>
      <c r="J2819" s="897"/>
      <c r="K2819" s="528"/>
      <c r="L2819" s="549" t="s">
        <v>38</v>
      </c>
      <c r="M2819" s="711">
        <f t="shared" si="11393"/>
        <v>0</v>
      </c>
      <c r="N2819" s="897"/>
      <c r="O2819" s="528"/>
      <c r="P2819" s="548">
        <v>0</v>
      </c>
      <c r="Q2819" s="548">
        <v>0</v>
      </c>
      <c r="R2819" s="548">
        <v>0</v>
      </c>
      <c r="S2819" s="548">
        <v>0</v>
      </c>
      <c r="T2819" s="548">
        <v>0</v>
      </c>
      <c r="U2819" s="548">
        <v>0</v>
      </c>
      <c r="V2819" s="548">
        <v>0</v>
      </c>
      <c r="W2819" s="528"/>
      <c r="X2819" s="711">
        <f t="shared" si="11387"/>
        <v>0</v>
      </c>
      <c r="Y2819" s="897"/>
      <c r="Z2819" s="528"/>
      <c r="AA2819" s="899"/>
      <c r="AB2819" s="899"/>
      <c r="AC2819" s="904"/>
      <c r="AD2819" s="905"/>
      <c r="AE2819" s="2"/>
      <c r="AF2819" s="885"/>
      <c r="AG2819" s="885"/>
      <c r="AH2819" s="885"/>
      <c r="AI2819" s="885"/>
      <c r="AJ2819" s="885"/>
      <c r="AK2819" s="885"/>
      <c r="AL2819" s="885"/>
      <c r="AM2819" s="879"/>
      <c r="AN2819" s="2"/>
      <c r="AO2819" s="886"/>
      <c r="AP2819" s="886"/>
      <c r="AV2819" t="str">
        <f t="shared" si="11172"/>
        <v xml:space="preserve">   Seg. 3.1- ADME 12 - Drenagem Superficial - Descida D´água</v>
      </c>
      <c r="AW2819" s="4" t="str">
        <f t="shared" si="11171"/>
        <v xml:space="preserve">   Execução de sublastro - Seg.3.1 C 02</v>
      </c>
    </row>
    <row r="2820" spans="1:50" ht="15.6" customHeight="1" outlineLevel="1">
      <c r="A2820" s="8" t="str">
        <f t="shared" ref="A2820" si="11408">IF(SUM(P2820:V2821)&gt;0,"S","N")</f>
        <v>N</v>
      </c>
      <c r="B2820" s="150">
        <v>1065738</v>
      </c>
      <c r="C2820" s="150" t="s">
        <v>3165</v>
      </c>
      <c r="D2820" s="120" t="s">
        <v>3166</v>
      </c>
      <c r="E2820" s="892" t="s">
        <v>3167</v>
      </c>
      <c r="F2820" s="902" t="s">
        <v>36</v>
      </c>
      <c r="G2820" s="528"/>
      <c r="H2820" s="546" t="s">
        <v>37</v>
      </c>
      <c r="I2820" s="711">
        <v>0</v>
      </c>
      <c r="J2820" s="896" t="str">
        <f t="shared" ref="J2820" si="11409">IFERROR((I2821/I2820),"-")</f>
        <v>-</v>
      </c>
      <c r="K2820" s="528"/>
      <c r="L2820" s="546" t="s">
        <v>37</v>
      </c>
      <c r="M2820" s="711">
        <f t="shared" si="11393"/>
        <v>0</v>
      </c>
      <c r="N2820" s="896" t="str">
        <f t="shared" ref="N2820" si="11410">IFERROR((M2821/M2820),"-")</f>
        <v>-</v>
      </c>
      <c r="O2820" s="528"/>
      <c r="P2820" s="547">
        <v>0</v>
      </c>
      <c r="Q2820" s="547">
        <v>0</v>
      </c>
      <c r="R2820" s="547">
        <v>0</v>
      </c>
      <c r="S2820" s="547">
        <v>0</v>
      </c>
      <c r="T2820" s="547">
        <v>0</v>
      </c>
      <c r="U2820" s="547">
        <v>0</v>
      </c>
      <c r="V2820" s="547">
        <v>0</v>
      </c>
      <c r="W2820" s="528"/>
      <c r="X2820" s="711">
        <f t="shared" si="11387"/>
        <v>0</v>
      </c>
      <c r="Y2820" s="896" t="str">
        <f>IFERROR((X2821/X2820),"-")</f>
        <v>-</v>
      </c>
      <c r="Z2820" s="528"/>
      <c r="AA2820" s="898">
        <v>0</v>
      </c>
      <c r="AB2820" s="898">
        <v>0</v>
      </c>
      <c r="AC2820" s="903">
        <v>0</v>
      </c>
      <c r="AD2820" s="896" t="str">
        <f t="shared" ref="AD2820" si="11411">IFERROR((AC2820/AA2820),"-")</f>
        <v>-</v>
      </c>
      <c r="AE2820" s="2"/>
      <c r="AF2820" s="884">
        <v>0</v>
      </c>
      <c r="AG2820" s="884"/>
      <c r="AH2820" s="884">
        <v>0</v>
      </c>
      <c r="AI2820" s="884"/>
      <c r="AJ2820" s="884"/>
      <c r="AK2820" s="884">
        <f t="shared" ref="AK2820" si="11412">AF2820+AG2820+AH2820+AI2820+AJ2820+AC2820</f>
        <v>0</v>
      </c>
      <c r="AL2820" s="884">
        <v>0</v>
      </c>
      <c r="AM2820" s="878" t="str">
        <f t="shared" ref="AM2820" si="11413">IFERROR((AK2820/AL2820),"-")</f>
        <v>-</v>
      </c>
      <c r="AN2820" s="2"/>
      <c r="AO2820" s="884">
        <v>2754</v>
      </c>
      <c r="AP2820" s="884">
        <f t="shared" ref="AP2820" si="11414">AO2820-AK2820</f>
        <v>2754</v>
      </c>
      <c r="AV2820" t="str">
        <f t="shared" si="11172"/>
        <v xml:space="preserve">   Seg. 3.1- ADME 12 - Drenagem Superficial - Descida D´água</v>
      </c>
      <c r="AW2820" s="4" t="str">
        <f t="shared" si="11171"/>
        <v xml:space="preserve">   Execução de sublastro - Seg.3.1 CA 02</v>
      </c>
    </row>
    <row r="2821" spans="1:50" ht="15.6" customHeight="1" outlineLevel="1">
      <c r="A2821" s="8" t="str">
        <f t="shared" ref="A2821" si="11415">A2820</f>
        <v>N</v>
      </c>
      <c r="B2821" s="150"/>
      <c r="C2821" s="150" t="s">
        <v>3165</v>
      </c>
      <c r="D2821" s="120" t="s">
        <v>3166</v>
      </c>
      <c r="E2821" s="893"/>
      <c r="F2821" s="902"/>
      <c r="G2821" s="528"/>
      <c r="H2821" s="549" t="s">
        <v>38</v>
      </c>
      <c r="I2821" s="711">
        <v>0</v>
      </c>
      <c r="J2821" s="897"/>
      <c r="K2821" s="528"/>
      <c r="L2821" s="549" t="s">
        <v>38</v>
      </c>
      <c r="M2821" s="711">
        <f t="shared" si="11393"/>
        <v>0</v>
      </c>
      <c r="N2821" s="897"/>
      <c r="O2821" s="528"/>
      <c r="P2821" s="548">
        <v>0</v>
      </c>
      <c r="Q2821" s="548">
        <v>0</v>
      </c>
      <c r="R2821" s="548">
        <v>0</v>
      </c>
      <c r="S2821" s="548">
        <v>0</v>
      </c>
      <c r="T2821" s="548">
        <v>0</v>
      </c>
      <c r="U2821" s="548">
        <v>0</v>
      </c>
      <c r="V2821" s="548">
        <v>0</v>
      </c>
      <c r="W2821" s="528"/>
      <c r="X2821" s="711">
        <f t="shared" si="11387"/>
        <v>0</v>
      </c>
      <c r="Y2821" s="897"/>
      <c r="Z2821" s="528"/>
      <c r="AA2821" s="899"/>
      <c r="AB2821" s="899"/>
      <c r="AC2821" s="904"/>
      <c r="AD2821" s="905"/>
      <c r="AE2821" s="2"/>
      <c r="AF2821" s="885"/>
      <c r="AG2821" s="885"/>
      <c r="AH2821" s="885"/>
      <c r="AI2821" s="885"/>
      <c r="AJ2821" s="885"/>
      <c r="AK2821" s="885"/>
      <c r="AL2821" s="885"/>
      <c r="AM2821" s="879"/>
      <c r="AN2821" s="2"/>
      <c r="AO2821" s="886"/>
      <c r="AP2821" s="886"/>
      <c r="AV2821" t="str">
        <f t="shared" si="11172"/>
        <v xml:space="preserve">   Seg. 3.1- ADME 12 - Drenagem Superficial - Descida D´água</v>
      </c>
      <c r="AW2821" s="4" t="str">
        <f t="shared" si="11171"/>
        <v xml:space="preserve">   Execução de sublastro - Seg.3.1 CA 02</v>
      </c>
    </row>
    <row r="2822" spans="1:50" ht="15.6" customHeight="1" outlineLevel="1">
      <c r="A2822" s="8" t="str">
        <f t="shared" ref="A2822" si="11416">IF(SUM(P2822:V2823)&gt;0,"S","N")</f>
        <v>N</v>
      </c>
      <c r="B2822" s="150">
        <v>1065739</v>
      </c>
      <c r="C2822" s="150" t="s">
        <v>3168</v>
      </c>
      <c r="D2822" s="120" t="s">
        <v>3169</v>
      </c>
      <c r="E2822" s="892" t="s">
        <v>3170</v>
      </c>
      <c r="F2822" s="902" t="s">
        <v>36</v>
      </c>
      <c r="G2822" s="528"/>
      <c r="H2822" s="546" t="s">
        <v>37</v>
      </c>
      <c r="I2822" s="711">
        <v>0</v>
      </c>
      <c r="J2822" s="896" t="str">
        <f t="shared" ref="J2822" si="11417">IFERROR((I2823/I2822),"-")</f>
        <v>-</v>
      </c>
      <c r="K2822" s="528"/>
      <c r="L2822" s="546" t="s">
        <v>37</v>
      </c>
      <c r="M2822" s="711">
        <f t="shared" si="11393"/>
        <v>0</v>
      </c>
      <c r="N2822" s="896" t="str">
        <f t="shared" ref="N2822" si="11418">IFERROR((M2823/M2822),"-")</f>
        <v>-</v>
      </c>
      <c r="O2822" s="528"/>
      <c r="P2822" s="547">
        <v>0</v>
      </c>
      <c r="Q2822" s="547">
        <v>0</v>
      </c>
      <c r="R2822" s="547">
        <v>0</v>
      </c>
      <c r="S2822" s="547">
        <v>0</v>
      </c>
      <c r="T2822" s="547">
        <v>0</v>
      </c>
      <c r="U2822" s="547">
        <v>0</v>
      </c>
      <c r="V2822" s="547">
        <v>0</v>
      </c>
      <c r="W2822" s="528"/>
      <c r="X2822" s="711">
        <f t="shared" si="11387"/>
        <v>0</v>
      </c>
      <c r="Y2822" s="896" t="str">
        <f t="shared" ref="Y2822" si="11419">IFERROR((X2823/X2822),"-")</f>
        <v>-</v>
      </c>
      <c r="Z2822" s="528"/>
      <c r="AA2822" s="898">
        <v>0</v>
      </c>
      <c r="AB2822" s="898">
        <v>0</v>
      </c>
      <c r="AC2822" s="903">
        <v>0</v>
      </c>
      <c r="AD2822" s="896" t="str">
        <f t="shared" ref="AD2822" si="11420">IFERROR((AC2822/AA2822),"-")</f>
        <v>-</v>
      </c>
      <c r="AE2822" s="2"/>
      <c r="AF2822" s="884">
        <v>0</v>
      </c>
      <c r="AG2822" s="884"/>
      <c r="AH2822" s="884">
        <v>0</v>
      </c>
      <c r="AI2822" s="884"/>
      <c r="AJ2822" s="884"/>
      <c r="AK2822" s="884">
        <f t="shared" ref="AK2822" si="11421">AF2822+AG2822+AH2822+AI2822+AJ2822+AC2822</f>
        <v>0</v>
      </c>
      <c r="AL2822" s="884">
        <v>0</v>
      </c>
      <c r="AM2822" s="878" t="str">
        <f t="shared" ref="AM2822" si="11422">IFERROR((AK2822/AL2822),"-")</f>
        <v>-</v>
      </c>
      <c r="AN2822" s="2"/>
      <c r="AO2822" s="884">
        <v>1439</v>
      </c>
      <c r="AP2822" s="884">
        <f t="shared" ref="AP2822" si="11423">AO2822-AK2822</f>
        <v>1439</v>
      </c>
      <c r="AV2822" t="str">
        <f t="shared" si="11172"/>
        <v xml:space="preserve">   Seg. 3.1- ADME 12 - Drenagem Superficial - Descida D´água</v>
      </c>
      <c r="AW2822" s="4" t="str">
        <f t="shared" si="11171"/>
        <v xml:space="preserve">   Execução de sublastro - Seg.3.1 C 03</v>
      </c>
    </row>
    <row r="2823" spans="1:50" ht="15.6" customHeight="1" outlineLevel="1">
      <c r="A2823" s="8" t="str">
        <f t="shared" ref="A2823" si="11424">A2822</f>
        <v>N</v>
      </c>
      <c r="B2823" s="150"/>
      <c r="C2823" s="150" t="s">
        <v>3168</v>
      </c>
      <c r="D2823" s="120" t="s">
        <v>3169</v>
      </c>
      <c r="E2823" s="893"/>
      <c r="F2823" s="902"/>
      <c r="G2823" s="528"/>
      <c r="H2823" s="549" t="s">
        <v>38</v>
      </c>
      <c r="I2823" s="711">
        <v>0</v>
      </c>
      <c r="J2823" s="897"/>
      <c r="K2823" s="528"/>
      <c r="L2823" s="549" t="s">
        <v>38</v>
      </c>
      <c r="M2823" s="711">
        <f t="shared" si="11393"/>
        <v>0</v>
      </c>
      <c r="N2823" s="897"/>
      <c r="O2823" s="528"/>
      <c r="P2823" s="548">
        <v>0</v>
      </c>
      <c r="Q2823" s="548">
        <v>0</v>
      </c>
      <c r="R2823" s="548">
        <v>0</v>
      </c>
      <c r="S2823" s="548">
        <v>0</v>
      </c>
      <c r="T2823" s="548">
        <v>0</v>
      </c>
      <c r="U2823" s="548">
        <v>0</v>
      </c>
      <c r="V2823" s="548">
        <v>0</v>
      </c>
      <c r="W2823" s="528"/>
      <c r="X2823" s="711">
        <f t="shared" si="11387"/>
        <v>0</v>
      </c>
      <c r="Y2823" s="897"/>
      <c r="Z2823" s="528"/>
      <c r="AA2823" s="899"/>
      <c r="AB2823" s="899"/>
      <c r="AC2823" s="904"/>
      <c r="AD2823" s="905"/>
      <c r="AE2823" s="2"/>
      <c r="AF2823" s="885"/>
      <c r="AG2823" s="885"/>
      <c r="AH2823" s="885"/>
      <c r="AI2823" s="885"/>
      <c r="AJ2823" s="885"/>
      <c r="AK2823" s="885"/>
      <c r="AL2823" s="885"/>
      <c r="AM2823" s="879"/>
      <c r="AN2823" s="2"/>
      <c r="AO2823" s="886"/>
      <c r="AP2823" s="886"/>
      <c r="AV2823" t="str">
        <f t="shared" si="11172"/>
        <v xml:space="preserve">   Seg. 3.1- ADME 12 - Drenagem Superficial - Descida D´água</v>
      </c>
      <c r="AW2823" s="4" t="str">
        <f t="shared" si="11171"/>
        <v xml:space="preserve">   Execução de sublastro - Seg.3.1 C 03</v>
      </c>
    </row>
    <row r="2824" spans="1:50" ht="15.6" customHeight="1" outlineLevel="1">
      <c r="A2824" s="8" t="str">
        <f t="shared" ref="A2824" si="11425">IF(SUM(P2824:V2825)&gt;0,"S","N")</f>
        <v>N</v>
      </c>
      <c r="B2824" s="150">
        <v>1065740</v>
      </c>
      <c r="C2824" s="150" t="s">
        <v>3171</v>
      </c>
      <c r="D2824" s="120" t="s">
        <v>3172</v>
      </c>
      <c r="E2824" s="892" t="s">
        <v>3173</v>
      </c>
      <c r="F2824" s="902" t="s">
        <v>36</v>
      </c>
      <c r="G2824" s="528"/>
      <c r="H2824" s="546" t="s">
        <v>37</v>
      </c>
      <c r="I2824" s="711">
        <v>0</v>
      </c>
      <c r="J2824" s="896" t="str">
        <f t="shared" ref="J2824" si="11426">IFERROR((I2825/I2824),"-")</f>
        <v>-</v>
      </c>
      <c r="K2824" s="528"/>
      <c r="L2824" s="546" t="s">
        <v>37</v>
      </c>
      <c r="M2824" s="711">
        <f t="shared" si="11393"/>
        <v>0</v>
      </c>
      <c r="N2824" s="896" t="str">
        <f t="shared" ref="N2824" si="11427">IFERROR((M2825/M2824),"-")</f>
        <v>-</v>
      </c>
      <c r="O2824" s="528"/>
      <c r="P2824" s="547">
        <v>0</v>
      </c>
      <c r="Q2824" s="547">
        <v>0</v>
      </c>
      <c r="R2824" s="547">
        <v>0</v>
      </c>
      <c r="S2824" s="547">
        <v>0</v>
      </c>
      <c r="T2824" s="547">
        <v>0</v>
      </c>
      <c r="U2824" s="547">
        <v>0</v>
      </c>
      <c r="V2824" s="547">
        <v>0</v>
      </c>
      <c r="W2824" s="528"/>
      <c r="X2824" s="711">
        <f t="shared" si="11387"/>
        <v>0</v>
      </c>
      <c r="Y2824" s="896" t="str">
        <f t="shared" ref="Y2824" si="11428">IFERROR((X2825/X2824),"-")</f>
        <v>-</v>
      </c>
      <c r="Z2824" s="528"/>
      <c r="AA2824" s="898">
        <v>0</v>
      </c>
      <c r="AB2824" s="898">
        <v>0</v>
      </c>
      <c r="AC2824" s="903">
        <v>0</v>
      </c>
      <c r="AD2824" s="896" t="str">
        <f t="shared" ref="AD2824" si="11429">IFERROR((AC2824/AA2824),"-")</f>
        <v>-</v>
      </c>
      <c r="AE2824" s="2"/>
      <c r="AF2824" s="884">
        <v>0</v>
      </c>
      <c r="AG2824" s="884"/>
      <c r="AH2824" s="884">
        <v>0</v>
      </c>
      <c r="AI2824" s="884"/>
      <c r="AJ2824" s="884"/>
      <c r="AK2824" s="884">
        <f t="shared" ref="AK2824" si="11430">AF2824+AG2824+AH2824+AI2824+AJ2824+AC2824</f>
        <v>0</v>
      </c>
      <c r="AL2824" s="884">
        <v>0</v>
      </c>
      <c r="AM2824" s="878" t="str">
        <f t="shared" ref="AM2824" si="11431">IFERROR((AK2824/AL2824),"-")</f>
        <v>-</v>
      </c>
      <c r="AN2824" s="2"/>
      <c r="AO2824" s="884">
        <v>418</v>
      </c>
      <c r="AP2824" s="884">
        <f t="shared" ref="AP2824" si="11432">AO2824-AK2824</f>
        <v>418</v>
      </c>
      <c r="AV2824" t="str">
        <f t="shared" si="11172"/>
        <v xml:space="preserve">   Seg. 3.1- ADME 12 - Drenagem Superficial - Descida D´água</v>
      </c>
      <c r="AW2824" s="4" t="str">
        <f t="shared" si="11171"/>
        <v xml:space="preserve">   Execução de sublastro - Seg.3.1 CA 03</v>
      </c>
    </row>
    <row r="2825" spans="1:50" ht="15.6" customHeight="1" outlineLevel="1">
      <c r="A2825" s="8" t="str">
        <f t="shared" ref="A2825" si="11433">A2824</f>
        <v>N</v>
      </c>
      <c r="B2825" s="150"/>
      <c r="C2825" s="150" t="s">
        <v>3171</v>
      </c>
      <c r="D2825" s="120" t="s">
        <v>3172</v>
      </c>
      <c r="E2825" s="893"/>
      <c r="F2825" s="902"/>
      <c r="G2825" s="528"/>
      <c r="H2825" s="549" t="s">
        <v>38</v>
      </c>
      <c r="I2825" s="711">
        <v>0</v>
      </c>
      <c r="J2825" s="897"/>
      <c r="K2825" s="528"/>
      <c r="L2825" s="549" t="s">
        <v>38</v>
      </c>
      <c r="M2825" s="711">
        <f t="shared" si="11393"/>
        <v>0</v>
      </c>
      <c r="N2825" s="897"/>
      <c r="O2825" s="528"/>
      <c r="P2825" s="548">
        <v>0</v>
      </c>
      <c r="Q2825" s="548">
        <v>0</v>
      </c>
      <c r="R2825" s="548">
        <v>0</v>
      </c>
      <c r="S2825" s="548">
        <v>0</v>
      </c>
      <c r="T2825" s="548">
        <v>0</v>
      </c>
      <c r="U2825" s="548">
        <v>0</v>
      </c>
      <c r="V2825" s="548">
        <v>0</v>
      </c>
      <c r="W2825" s="528"/>
      <c r="X2825" s="711">
        <f t="shared" si="11387"/>
        <v>0</v>
      </c>
      <c r="Y2825" s="897"/>
      <c r="Z2825" s="528"/>
      <c r="AA2825" s="899"/>
      <c r="AB2825" s="899"/>
      <c r="AC2825" s="904"/>
      <c r="AD2825" s="905"/>
      <c r="AE2825" s="2"/>
      <c r="AF2825" s="885"/>
      <c r="AG2825" s="885"/>
      <c r="AH2825" s="885"/>
      <c r="AI2825" s="885"/>
      <c r="AJ2825" s="885"/>
      <c r="AK2825" s="885"/>
      <c r="AL2825" s="885"/>
      <c r="AM2825" s="879"/>
      <c r="AN2825" s="2"/>
      <c r="AO2825" s="886"/>
      <c r="AP2825" s="886"/>
      <c r="AV2825" t="str">
        <f t="shared" si="11172"/>
        <v xml:space="preserve">   Seg. 3.1- ADME 12 - Drenagem Superficial - Descida D´água</v>
      </c>
      <c r="AW2825" s="4" t="str">
        <f t="shared" ref="AW2825:AW2888" si="11434">IF(E2825&lt;&gt;"",E2825,AW2824)</f>
        <v xml:space="preserve">   Execução de sublastro - Seg.3.1 CA 03</v>
      </c>
    </row>
    <row r="2826" spans="1:50" ht="15.6" customHeight="1" outlineLevel="1">
      <c r="A2826" s="8" t="str">
        <f t="shared" ref="A2826" si="11435">IF(SUM(P2826:V2827)&gt;0,"S","N")</f>
        <v>N</v>
      </c>
      <c r="B2826" s="150">
        <v>1065741</v>
      </c>
      <c r="C2826" s="150" t="s">
        <v>3174</v>
      </c>
      <c r="D2826" s="120" t="s">
        <v>3175</v>
      </c>
      <c r="E2826" s="892" t="s">
        <v>3176</v>
      </c>
      <c r="F2826" s="902" t="s">
        <v>36</v>
      </c>
      <c r="G2826" s="528"/>
      <c r="H2826" s="546" t="s">
        <v>37</v>
      </c>
      <c r="I2826" s="711">
        <v>0</v>
      </c>
      <c r="J2826" s="896" t="str">
        <f t="shared" ref="J2826" si="11436">IFERROR((I2827/I2826),"-")</f>
        <v>-</v>
      </c>
      <c r="K2826" s="528"/>
      <c r="L2826" s="546" t="s">
        <v>37</v>
      </c>
      <c r="M2826" s="711">
        <f t="shared" si="11393"/>
        <v>0</v>
      </c>
      <c r="N2826" s="896" t="str">
        <f t="shared" ref="N2826" si="11437">IFERROR((M2827/M2826),"-")</f>
        <v>-</v>
      </c>
      <c r="O2826" s="528"/>
      <c r="P2826" s="547">
        <v>0</v>
      </c>
      <c r="Q2826" s="547">
        <v>0</v>
      </c>
      <c r="R2826" s="547">
        <v>0</v>
      </c>
      <c r="S2826" s="547">
        <v>0</v>
      </c>
      <c r="T2826" s="547">
        <v>0</v>
      </c>
      <c r="U2826" s="547">
        <v>0</v>
      </c>
      <c r="V2826" s="547">
        <v>0</v>
      </c>
      <c r="W2826" s="528"/>
      <c r="X2826" s="711">
        <f t="shared" si="11387"/>
        <v>0</v>
      </c>
      <c r="Y2826" s="896" t="str">
        <f t="shared" ref="Y2826" si="11438">IFERROR((X2827/X2826),"-")</f>
        <v>-</v>
      </c>
      <c r="Z2826" s="528"/>
      <c r="AA2826" s="898">
        <v>0</v>
      </c>
      <c r="AB2826" s="898">
        <v>0</v>
      </c>
      <c r="AC2826" s="903">
        <v>0</v>
      </c>
      <c r="AD2826" s="896" t="str">
        <f t="shared" ref="AD2826" si="11439">IFERROR((AC2826/AA2826),"-")</f>
        <v>-</v>
      </c>
      <c r="AE2826" s="2"/>
      <c r="AF2826" s="884">
        <v>0</v>
      </c>
      <c r="AG2826" s="884"/>
      <c r="AH2826" s="884">
        <v>0</v>
      </c>
      <c r="AI2826" s="884"/>
      <c r="AJ2826" s="884"/>
      <c r="AK2826" s="884">
        <f t="shared" ref="AK2826" si="11440">AF2826+AG2826+AH2826+AI2826+AJ2826+AC2826</f>
        <v>0</v>
      </c>
      <c r="AL2826" s="884">
        <v>0</v>
      </c>
      <c r="AM2826" s="878" t="str">
        <f t="shared" ref="AM2826" si="11441">IFERROR((AK2826/AL2826),"-")</f>
        <v>-</v>
      </c>
      <c r="AN2826" s="2"/>
      <c r="AO2826" s="884">
        <v>3944</v>
      </c>
      <c r="AP2826" s="884">
        <f t="shared" ref="AP2826" si="11442">AO2826-AK2826</f>
        <v>3944</v>
      </c>
      <c r="AV2826" s="4" t="str">
        <f t="shared" ref="AV2826:AV2889" si="11443">IF(AX2826="Y",LEFT(E2826,20),IF(AX2826="x",E2826,AV2825))</f>
        <v xml:space="preserve">   Seg. 3.1- ADME 12 - Drenagem Superficial - Descida D´água</v>
      </c>
      <c r="AW2826" s="4" t="str">
        <f t="shared" si="11434"/>
        <v xml:space="preserve">   Execução de sublastro - Seg.3.1 C 04</v>
      </c>
      <c r="AX2826" s="4"/>
    </row>
    <row r="2827" spans="1:50" ht="15.6" customHeight="1" outlineLevel="1">
      <c r="A2827" s="8" t="str">
        <f t="shared" ref="A2827" si="11444">A2826</f>
        <v>N</v>
      </c>
      <c r="B2827" s="150"/>
      <c r="C2827" s="150" t="s">
        <v>3174</v>
      </c>
      <c r="D2827" s="120" t="s">
        <v>3175</v>
      </c>
      <c r="E2827" s="893"/>
      <c r="F2827" s="902"/>
      <c r="G2827" s="528"/>
      <c r="H2827" s="549" t="s">
        <v>38</v>
      </c>
      <c r="I2827" s="711">
        <v>0</v>
      </c>
      <c r="J2827" s="897"/>
      <c r="K2827" s="528"/>
      <c r="L2827" s="549" t="s">
        <v>38</v>
      </c>
      <c r="M2827" s="711">
        <f t="shared" si="11393"/>
        <v>0</v>
      </c>
      <c r="N2827" s="897"/>
      <c r="O2827" s="528"/>
      <c r="P2827" s="548">
        <v>0</v>
      </c>
      <c r="Q2827" s="548">
        <v>0</v>
      </c>
      <c r="R2827" s="548">
        <v>0</v>
      </c>
      <c r="S2827" s="548">
        <v>0</v>
      </c>
      <c r="T2827" s="548">
        <v>0</v>
      </c>
      <c r="U2827" s="548">
        <v>0</v>
      </c>
      <c r="V2827" s="548">
        <v>0</v>
      </c>
      <c r="W2827" s="528"/>
      <c r="X2827" s="711">
        <f t="shared" si="11387"/>
        <v>0</v>
      </c>
      <c r="Y2827" s="897"/>
      <c r="Z2827" s="528"/>
      <c r="AA2827" s="899"/>
      <c r="AB2827" s="899"/>
      <c r="AC2827" s="904"/>
      <c r="AD2827" s="905"/>
      <c r="AE2827" s="2"/>
      <c r="AF2827" s="885"/>
      <c r="AG2827" s="885"/>
      <c r="AH2827" s="885"/>
      <c r="AI2827" s="885"/>
      <c r="AJ2827" s="885"/>
      <c r="AK2827" s="885"/>
      <c r="AL2827" s="885"/>
      <c r="AM2827" s="879"/>
      <c r="AN2827" s="2"/>
      <c r="AO2827" s="886"/>
      <c r="AP2827" s="886"/>
      <c r="AV2827" s="4" t="str">
        <f t="shared" si="11443"/>
        <v xml:space="preserve">   Seg. 3.1- ADME 12 - Drenagem Superficial - Descida D´água</v>
      </c>
      <c r="AW2827" s="4" t="str">
        <f t="shared" si="11434"/>
        <v xml:space="preserve">   Execução de sublastro - Seg.3.1 C 04</v>
      </c>
      <c r="AX2827" s="4"/>
    </row>
    <row r="2828" spans="1:50" ht="15.6" customHeight="1" outlineLevel="1">
      <c r="A2828" s="8" t="str">
        <f t="shared" ref="A2828" si="11445">IF(SUM(P2828:V2829)&gt;0,"S","N")</f>
        <v>N</v>
      </c>
      <c r="B2828" s="150">
        <v>1065742</v>
      </c>
      <c r="C2828" s="150" t="s">
        <v>3177</v>
      </c>
      <c r="D2828" s="120" t="s">
        <v>3178</v>
      </c>
      <c r="E2828" s="892" t="s">
        <v>3179</v>
      </c>
      <c r="F2828" s="902" t="s">
        <v>36</v>
      </c>
      <c r="G2828" s="528"/>
      <c r="H2828" s="546" t="s">
        <v>37</v>
      </c>
      <c r="I2828" s="711">
        <v>0</v>
      </c>
      <c r="J2828" s="896" t="str">
        <f t="shared" ref="J2828" si="11446">IFERROR((I2829/I2828),"-")</f>
        <v>-</v>
      </c>
      <c r="K2828" s="528"/>
      <c r="L2828" s="546" t="s">
        <v>37</v>
      </c>
      <c r="M2828" s="711">
        <f t="shared" si="11393"/>
        <v>0</v>
      </c>
      <c r="N2828" s="896" t="str">
        <f t="shared" ref="N2828" si="11447">IFERROR((M2829/M2828),"-")</f>
        <v>-</v>
      </c>
      <c r="O2828" s="528"/>
      <c r="P2828" s="547">
        <v>0</v>
      </c>
      <c r="Q2828" s="547">
        <v>0</v>
      </c>
      <c r="R2828" s="547">
        <v>0</v>
      </c>
      <c r="S2828" s="547">
        <v>0</v>
      </c>
      <c r="T2828" s="547">
        <v>0</v>
      </c>
      <c r="U2828" s="547">
        <v>0</v>
      </c>
      <c r="V2828" s="547">
        <v>0</v>
      </c>
      <c r="W2828" s="528"/>
      <c r="X2828" s="711">
        <f t="shared" si="11387"/>
        <v>0</v>
      </c>
      <c r="Y2828" s="896" t="str">
        <f t="shared" ref="Y2828" si="11448">IFERROR((X2829/X2828),"-")</f>
        <v>-</v>
      </c>
      <c r="Z2828" s="528"/>
      <c r="AA2828" s="898">
        <v>0</v>
      </c>
      <c r="AB2828" s="898">
        <v>0</v>
      </c>
      <c r="AC2828" s="903">
        <v>0</v>
      </c>
      <c r="AD2828" s="896" t="str">
        <f t="shared" ref="AD2828" si="11449">IFERROR((AC2828/AA2828),"-")</f>
        <v>-</v>
      </c>
      <c r="AE2828" s="2"/>
      <c r="AF2828" s="884">
        <v>0</v>
      </c>
      <c r="AG2828" s="884"/>
      <c r="AH2828" s="884">
        <v>0</v>
      </c>
      <c r="AI2828" s="884"/>
      <c r="AJ2828" s="884"/>
      <c r="AK2828" s="884">
        <f t="shared" ref="AK2828" si="11450">AF2828+AG2828+AH2828+AI2828+AJ2828+AC2828</f>
        <v>0</v>
      </c>
      <c r="AL2828" s="884">
        <v>0</v>
      </c>
      <c r="AM2828" s="878" t="str">
        <f t="shared" ref="AM2828" si="11451">IFERROR((AK2828/AL2828),"-")</f>
        <v>-</v>
      </c>
      <c r="AN2828" s="2"/>
      <c r="AO2828" s="884">
        <v>1021</v>
      </c>
      <c r="AP2828" s="884">
        <f t="shared" ref="AP2828" si="11452">AO2828-AK2828</f>
        <v>1021</v>
      </c>
      <c r="AV2828" s="4" t="str">
        <f t="shared" si="11443"/>
        <v xml:space="preserve">   Seg. 3.1- ADME 12 - Drenagem Superficial - Descida D´água</v>
      </c>
      <c r="AW2828" s="4" t="str">
        <f t="shared" si="11434"/>
        <v xml:space="preserve">   Execução de sublastro - Seg.3.1 CA 04</v>
      </c>
      <c r="AX2828" s="4"/>
    </row>
    <row r="2829" spans="1:50" ht="15.6" customHeight="1" outlineLevel="1">
      <c r="A2829" s="8" t="str">
        <f t="shared" ref="A2829" si="11453">A2828</f>
        <v>N</v>
      </c>
      <c r="B2829" s="150"/>
      <c r="C2829" s="150" t="s">
        <v>3177</v>
      </c>
      <c r="D2829" s="120" t="s">
        <v>3178</v>
      </c>
      <c r="E2829" s="893"/>
      <c r="F2829" s="902"/>
      <c r="G2829" s="528"/>
      <c r="H2829" s="549" t="s">
        <v>38</v>
      </c>
      <c r="I2829" s="711">
        <v>0</v>
      </c>
      <c r="J2829" s="897"/>
      <c r="K2829" s="528"/>
      <c r="L2829" s="549" t="s">
        <v>38</v>
      </c>
      <c r="M2829" s="711">
        <f t="shared" si="11393"/>
        <v>0</v>
      </c>
      <c r="N2829" s="897"/>
      <c r="O2829" s="528"/>
      <c r="P2829" s="548">
        <v>0</v>
      </c>
      <c r="Q2829" s="548">
        <v>0</v>
      </c>
      <c r="R2829" s="548">
        <v>0</v>
      </c>
      <c r="S2829" s="548">
        <v>0</v>
      </c>
      <c r="T2829" s="548">
        <v>0</v>
      </c>
      <c r="U2829" s="548">
        <v>0</v>
      </c>
      <c r="V2829" s="548">
        <v>0</v>
      </c>
      <c r="W2829" s="528"/>
      <c r="X2829" s="711">
        <f t="shared" si="11387"/>
        <v>0</v>
      </c>
      <c r="Y2829" s="897"/>
      <c r="Z2829" s="528"/>
      <c r="AA2829" s="899"/>
      <c r="AB2829" s="899"/>
      <c r="AC2829" s="904"/>
      <c r="AD2829" s="905"/>
      <c r="AE2829" s="2"/>
      <c r="AF2829" s="885"/>
      <c r="AG2829" s="885"/>
      <c r="AH2829" s="885"/>
      <c r="AI2829" s="885"/>
      <c r="AJ2829" s="885"/>
      <c r="AK2829" s="885"/>
      <c r="AL2829" s="885"/>
      <c r="AM2829" s="879"/>
      <c r="AN2829" s="2"/>
      <c r="AO2829" s="886"/>
      <c r="AP2829" s="886"/>
      <c r="AV2829" t="str">
        <f t="shared" si="11443"/>
        <v xml:space="preserve">   Seg. 3.1- ADME 12 - Drenagem Superficial - Descida D´água</v>
      </c>
      <c r="AW2829" s="4" t="str">
        <f t="shared" si="11434"/>
        <v xml:space="preserve">   Execução de sublastro - Seg.3.1 CA 04</v>
      </c>
    </row>
    <row r="2830" spans="1:50" ht="15.6" customHeight="1" outlineLevel="1">
      <c r="A2830" s="8" t="str">
        <f t="shared" ref="A2830" si="11454">IF(SUM(P2830:V2831)&gt;0,"S","N")</f>
        <v>N</v>
      </c>
      <c r="B2830" s="150">
        <v>1065743</v>
      </c>
      <c r="C2830" s="150" t="s">
        <v>3180</v>
      </c>
      <c r="D2830" s="120" t="s">
        <v>3181</v>
      </c>
      <c r="E2830" s="892" t="s">
        <v>3182</v>
      </c>
      <c r="F2830" s="902" t="s">
        <v>36</v>
      </c>
      <c r="G2830" s="528"/>
      <c r="H2830" s="546" t="s">
        <v>37</v>
      </c>
      <c r="I2830" s="711">
        <v>0</v>
      </c>
      <c r="J2830" s="896" t="str">
        <f t="shared" ref="J2830" si="11455">IFERROR((I2831/I2830),"-")</f>
        <v>-</v>
      </c>
      <c r="K2830" s="528"/>
      <c r="L2830" s="546" t="s">
        <v>37</v>
      </c>
      <c r="M2830" s="711">
        <f t="shared" si="11393"/>
        <v>0</v>
      </c>
      <c r="N2830" s="896" t="str">
        <f t="shared" ref="N2830" si="11456">IFERROR((M2831/M2830),"-")</f>
        <v>-</v>
      </c>
      <c r="O2830" s="528"/>
      <c r="P2830" s="547">
        <v>0</v>
      </c>
      <c r="Q2830" s="547">
        <v>0</v>
      </c>
      <c r="R2830" s="547">
        <v>0</v>
      </c>
      <c r="S2830" s="547">
        <v>0</v>
      </c>
      <c r="T2830" s="547">
        <v>0</v>
      </c>
      <c r="U2830" s="547">
        <v>0</v>
      </c>
      <c r="V2830" s="547">
        <v>0</v>
      </c>
      <c r="W2830" s="528"/>
      <c r="X2830" s="711">
        <f t="shared" si="11387"/>
        <v>0</v>
      </c>
      <c r="Y2830" s="896" t="str">
        <f t="shared" ref="Y2830" si="11457">IFERROR((X2831/X2830),"-")</f>
        <v>-</v>
      </c>
      <c r="Z2830" s="528"/>
      <c r="AA2830" s="898">
        <v>0</v>
      </c>
      <c r="AB2830" s="898">
        <v>0</v>
      </c>
      <c r="AC2830" s="903">
        <v>0</v>
      </c>
      <c r="AD2830" s="896" t="str">
        <f t="shared" ref="AD2830" si="11458">IFERROR((AC2830/AA2830),"-")</f>
        <v>-</v>
      </c>
      <c r="AE2830" s="2"/>
      <c r="AF2830" s="884">
        <v>0</v>
      </c>
      <c r="AG2830" s="884"/>
      <c r="AH2830" s="884">
        <v>0</v>
      </c>
      <c r="AI2830" s="884"/>
      <c r="AJ2830" s="884"/>
      <c r="AK2830" s="884">
        <f t="shared" ref="AK2830" si="11459">AF2830+AG2830+AH2830+AI2830+AJ2830+AC2830</f>
        <v>0</v>
      </c>
      <c r="AL2830" s="884">
        <v>0</v>
      </c>
      <c r="AM2830" s="878" t="str">
        <f t="shared" ref="AM2830" si="11460">IFERROR((AK2830/AL2830),"-")</f>
        <v>-</v>
      </c>
      <c r="AN2830" s="2"/>
      <c r="AO2830" s="884">
        <v>2967</v>
      </c>
      <c r="AP2830" s="884">
        <f t="shared" ref="AP2830" si="11461">AO2830-AK2830</f>
        <v>2967</v>
      </c>
      <c r="AV2830" t="str">
        <f t="shared" si="11443"/>
        <v xml:space="preserve">   Seg. 3.1- ADME 12 - Drenagem Superficial - Descida D´água</v>
      </c>
      <c r="AW2830" s="4" t="str">
        <f t="shared" si="11434"/>
        <v xml:space="preserve">   Execução de sublastro - Seg.3.1 C 05</v>
      </c>
    </row>
    <row r="2831" spans="1:50" ht="15.6" customHeight="1" outlineLevel="1">
      <c r="A2831" s="8" t="str">
        <f t="shared" ref="A2831" si="11462">A2830</f>
        <v>N</v>
      </c>
      <c r="B2831" s="150"/>
      <c r="C2831" s="150" t="s">
        <v>3180</v>
      </c>
      <c r="D2831" s="120" t="s">
        <v>3181</v>
      </c>
      <c r="E2831" s="893"/>
      <c r="F2831" s="902"/>
      <c r="G2831" s="528"/>
      <c r="H2831" s="549" t="s">
        <v>38</v>
      </c>
      <c r="I2831" s="711">
        <v>0</v>
      </c>
      <c r="J2831" s="897"/>
      <c r="K2831" s="528"/>
      <c r="L2831" s="549" t="s">
        <v>38</v>
      </c>
      <c r="M2831" s="711">
        <f t="shared" si="11393"/>
        <v>0</v>
      </c>
      <c r="N2831" s="897"/>
      <c r="O2831" s="528"/>
      <c r="P2831" s="548">
        <v>0</v>
      </c>
      <c r="Q2831" s="548">
        <v>0</v>
      </c>
      <c r="R2831" s="548">
        <v>0</v>
      </c>
      <c r="S2831" s="548">
        <v>0</v>
      </c>
      <c r="T2831" s="548">
        <v>0</v>
      </c>
      <c r="U2831" s="548">
        <v>0</v>
      </c>
      <c r="V2831" s="548">
        <v>0</v>
      </c>
      <c r="W2831" s="528"/>
      <c r="X2831" s="711">
        <f t="shared" si="11387"/>
        <v>0</v>
      </c>
      <c r="Y2831" s="897"/>
      <c r="Z2831" s="528"/>
      <c r="AA2831" s="899"/>
      <c r="AB2831" s="899"/>
      <c r="AC2831" s="904"/>
      <c r="AD2831" s="905"/>
      <c r="AE2831" s="2"/>
      <c r="AF2831" s="885"/>
      <c r="AG2831" s="885"/>
      <c r="AH2831" s="885"/>
      <c r="AI2831" s="885"/>
      <c r="AJ2831" s="885"/>
      <c r="AK2831" s="885"/>
      <c r="AL2831" s="885"/>
      <c r="AM2831" s="879"/>
      <c r="AN2831" s="2"/>
      <c r="AO2831" s="886"/>
      <c r="AP2831" s="886"/>
      <c r="AV2831" t="str">
        <f t="shared" si="11443"/>
        <v xml:space="preserve">   Seg. 3.1- ADME 12 - Drenagem Superficial - Descida D´água</v>
      </c>
      <c r="AW2831" s="4" t="str">
        <f t="shared" si="11434"/>
        <v xml:space="preserve">   Execução de sublastro - Seg.3.1 C 05</v>
      </c>
    </row>
    <row r="2832" spans="1:50" ht="18" customHeight="1" outlineLevel="1">
      <c r="A2832" s="8" t="str">
        <f t="shared" ref="A2832" si="11463">IF(SUM(P2832:V2833)&gt;0,"S","N")</f>
        <v>N</v>
      </c>
      <c r="B2832" s="150">
        <v>1065744</v>
      </c>
      <c r="C2832" s="150" t="s">
        <v>3183</v>
      </c>
      <c r="D2832" s="120" t="s">
        <v>3184</v>
      </c>
      <c r="E2832" s="892" t="s">
        <v>3185</v>
      </c>
      <c r="F2832" s="902" t="s">
        <v>36</v>
      </c>
      <c r="G2832" s="528"/>
      <c r="H2832" s="546" t="s">
        <v>37</v>
      </c>
      <c r="I2832" s="711">
        <v>0</v>
      </c>
      <c r="J2832" s="896" t="str">
        <f t="shared" ref="J2832" si="11464">IFERROR((I2833/I2832),"-")</f>
        <v>-</v>
      </c>
      <c r="K2832" s="528"/>
      <c r="L2832" s="546" t="s">
        <v>37</v>
      </c>
      <c r="M2832" s="711">
        <f t="shared" si="11393"/>
        <v>0</v>
      </c>
      <c r="N2832" s="896" t="str">
        <f t="shared" ref="N2832" si="11465">IFERROR((M2833/M2832),"-")</f>
        <v>-</v>
      </c>
      <c r="O2832" s="528"/>
      <c r="P2832" s="547">
        <v>0</v>
      </c>
      <c r="Q2832" s="547">
        <v>0</v>
      </c>
      <c r="R2832" s="547">
        <v>0</v>
      </c>
      <c r="S2832" s="547">
        <v>0</v>
      </c>
      <c r="T2832" s="547">
        <v>0</v>
      </c>
      <c r="U2832" s="547">
        <v>0</v>
      </c>
      <c r="V2832" s="547">
        <v>0</v>
      </c>
      <c r="W2832" s="528"/>
      <c r="X2832" s="711">
        <f t="shared" si="11387"/>
        <v>0</v>
      </c>
      <c r="Y2832" s="896" t="str">
        <f t="shared" ref="Y2832" si="11466">IFERROR((X2833/X2832),"-")</f>
        <v>-</v>
      </c>
      <c r="Z2832" s="528"/>
      <c r="AA2832" s="898">
        <v>0</v>
      </c>
      <c r="AB2832" s="898">
        <v>0</v>
      </c>
      <c r="AC2832" s="903">
        <v>0</v>
      </c>
      <c r="AD2832" s="896" t="str">
        <f t="shared" ref="AD2832" si="11467">IFERROR((AC2832/AA2832),"-")</f>
        <v>-</v>
      </c>
      <c r="AE2832" s="2"/>
      <c r="AF2832" s="884">
        <v>0</v>
      </c>
      <c r="AG2832" s="884"/>
      <c r="AH2832" s="884">
        <v>0</v>
      </c>
      <c r="AI2832" s="884"/>
      <c r="AJ2832" s="884"/>
      <c r="AK2832" s="884">
        <f t="shared" ref="AK2832" si="11468">AF2832+AG2832+AH2832+AI2832+AJ2832+AC2832</f>
        <v>0</v>
      </c>
      <c r="AL2832" s="884">
        <v>0</v>
      </c>
      <c r="AM2832" s="878" t="str">
        <f t="shared" ref="AM2832" si="11469">IFERROR((AK2832/AL2832),"-")</f>
        <v>-</v>
      </c>
      <c r="AN2832" s="2"/>
      <c r="AO2832" s="884">
        <v>557</v>
      </c>
      <c r="AP2832" s="884">
        <f t="shared" ref="AP2832" si="11470">AO2832-AK2832</f>
        <v>557</v>
      </c>
      <c r="AV2832" s="4" t="str">
        <f t="shared" si="11443"/>
        <v xml:space="preserve">   Seg. 3.1- ADME 12 - Drenagem Superficial - Descida D´água</v>
      </c>
      <c r="AW2832" s="4" t="str">
        <f t="shared" si="11434"/>
        <v xml:space="preserve">   Execução de sublastro - Seg.3.1 CA 05</v>
      </c>
      <c r="AX2832" s="4"/>
    </row>
    <row r="2833" spans="1:50" ht="18" customHeight="1" outlineLevel="1">
      <c r="A2833" s="8" t="str">
        <f t="shared" ref="A2833" si="11471">A2832</f>
        <v>N</v>
      </c>
      <c r="B2833" s="150"/>
      <c r="C2833" s="150" t="s">
        <v>3183</v>
      </c>
      <c r="D2833" s="120" t="s">
        <v>3184</v>
      </c>
      <c r="E2833" s="893"/>
      <c r="F2833" s="902"/>
      <c r="G2833" s="528"/>
      <c r="H2833" s="549" t="s">
        <v>38</v>
      </c>
      <c r="I2833" s="711">
        <v>0</v>
      </c>
      <c r="J2833" s="897"/>
      <c r="K2833" s="528"/>
      <c r="L2833" s="549" t="s">
        <v>38</v>
      </c>
      <c r="M2833" s="711">
        <f t="shared" si="11393"/>
        <v>0</v>
      </c>
      <c r="N2833" s="897"/>
      <c r="O2833" s="528"/>
      <c r="P2833" s="548">
        <v>0</v>
      </c>
      <c r="Q2833" s="548">
        <v>0</v>
      </c>
      <c r="R2833" s="548">
        <v>0</v>
      </c>
      <c r="S2833" s="548">
        <v>0</v>
      </c>
      <c r="T2833" s="548">
        <v>0</v>
      </c>
      <c r="U2833" s="548">
        <v>0</v>
      </c>
      <c r="V2833" s="548">
        <v>0</v>
      </c>
      <c r="W2833" s="528"/>
      <c r="X2833" s="711">
        <f t="shared" si="11387"/>
        <v>0</v>
      </c>
      <c r="Y2833" s="897"/>
      <c r="Z2833" s="528"/>
      <c r="AA2833" s="899"/>
      <c r="AB2833" s="899"/>
      <c r="AC2833" s="904"/>
      <c r="AD2833" s="905"/>
      <c r="AE2833" s="2"/>
      <c r="AF2833" s="885"/>
      <c r="AG2833" s="885"/>
      <c r="AH2833" s="885"/>
      <c r="AI2833" s="885"/>
      <c r="AJ2833" s="885"/>
      <c r="AK2833" s="885"/>
      <c r="AL2833" s="885"/>
      <c r="AM2833" s="879"/>
      <c r="AN2833" s="2"/>
      <c r="AO2833" s="886"/>
      <c r="AP2833" s="886"/>
      <c r="AV2833" t="str">
        <f t="shared" si="11443"/>
        <v xml:space="preserve">   Seg. 3.1- ADME 12 - Drenagem Superficial - Descida D´água</v>
      </c>
      <c r="AW2833" s="4" t="str">
        <f t="shared" si="11434"/>
        <v xml:space="preserve">   Execução de sublastro - Seg.3.1 CA 05</v>
      </c>
    </row>
    <row r="2834" spans="1:50" ht="15.6" customHeight="1" outlineLevel="1">
      <c r="A2834" s="8" t="str">
        <f t="shared" ref="A2834" si="11472">IF(SUM(P2834:V2835)&gt;0,"S","N")</f>
        <v>N</v>
      </c>
      <c r="B2834" s="150">
        <v>1065745</v>
      </c>
      <c r="C2834" s="150" t="s">
        <v>3186</v>
      </c>
      <c r="D2834" s="120" t="s">
        <v>3187</v>
      </c>
      <c r="E2834" s="892" t="s">
        <v>3188</v>
      </c>
      <c r="F2834" s="902" t="s">
        <v>36</v>
      </c>
      <c r="G2834" s="528"/>
      <c r="H2834" s="546" t="s">
        <v>37</v>
      </c>
      <c r="I2834" s="711">
        <v>0</v>
      </c>
      <c r="J2834" s="896" t="str">
        <f t="shared" ref="J2834" si="11473">IFERROR((I2835/I2834),"-")</f>
        <v>-</v>
      </c>
      <c r="K2834" s="528"/>
      <c r="L2834" s="546" t="s">
        <v>37</v>
      </c>
      <c r="M2834" s="711">
        <f t="shared" si="11393"/>
        <v>0</v>
      </c>
      <c r="N2834" s="896" t="str">
        <f t="shared" ref="N2834" si="11474">IFERROR((M2835/M2834),"-")</f>
        <v>-</v>
      </c>
      <c r="O2834" s="528"/>
      <c r="P2834" s="547">
        <v>0</v>
      </c>
      <c r="Q2834" s="547">
        <v>0</v>
      </c>
      <c r="R2834" s="547">
        <v>0</v>
      </c>
      <c r="S2834" s="547">
        <v>0</v>
      </c>
      <c r="T2834" s="547">
        <v>0</v>
      </c>
      <c r="U2834" s="547">
        <v>0</v>
      </c>
      <c r="V2834" s="547">
        <v>0</v>
      </c>
      <c r="W2834" s="528"/>
      <c r="X2834" s="711">
        <f t="shared" si="11387"/>
        <v>0</v>
      </c>
      <c r="Y2834" s="896" t="str">
        <f t="shared" ref="Y2834" si="11475">IFERROR((X2835/X2834),"-")</f>
        <v>-</v>
      </c>
      <c r="Z2834" s="528"/>
      <c r="AA2834" s="898">
        <v>0</v>
      </c>
      <c r="AB2834" s="898">
        <v>0</v>
      </c>
      <c r="AC2834" s="903">
        <v>0</v>
      </c>
      <c r="AD2834" s="896" t="str">
        <f t="shared" ref="AD2834" si="11476">IFERROR((AC2834/AA2834),"-")</f>
        <v>-</v>
      </c>
      <c r="AE2834" s="2"/>
      <c r="AF2834" s="884">
        <v>0</v>
      </c>
      <c r="AG2834" s="884"/>
      <c r="AH2834" s="884">
        <v>0</v>
      </c>
      <c r="AI2834" s="884"/>
      <c r="AJ2834" s="884"/>
      <c r="AK2834" s="884">
        <f t="shared" ref="AK2834" si="11477">AF2834+AG2834+AH2834+AI2834+AJ2834+AC2834</f>
        <v>0</v>
      </c>
      <c r="AL2834" s="884">
        <v>0</v>
      </c>
      <c r="AM2834" s="878" t="str">
        <f t="shared" ref="AM2834" si="11478">IFERROR((AK2834/AL2834),"-")</f>
        <v>-</v>
      </c>
      <c r="AN2834" s="2"/>
      <c r="AO2834" s="884">
        <v>232</v>
      </c>
      <c r="AP2834" s="884">
        <f t="shared" ref="AP2834" si="11479">AO2834-AK2834</f>
        <v>232</v>
      </c>
      <c r="AV2834" t="str">
        <f t="shared" si="11443"/>
        <v xml:space="preserve">   Seg. 3.1- ADME 12 - Drenagem Superficial - Descida D´água</v>
      </c>
      <c r="AW2834" s="4" t="str">
        <f t="shared" si="11434"/>
        <v xml:space="preserve">   Execução de sublastro - Seg.3.1 C 06</v>
      </c>
    </row>
    <row r="2835" spans="1:50" ht="15.6" customHeight="1" outlineLevel="1">
      <c r="A2835" s="8" t="str">
        <f t="shared" ref="A2835" si="11480">A2834</f>
        <v>N</v>
      </c>
      <c r="B2835" s="150"/>
      <c r="C2835" s="150" t="s">
        <v>3186</v>
      </c>
      <c r="D2835" s="120" t="s">
        <v>3187</v>
      </c>
      <c r="E2835" s="893"/>
      <c r="F2835" s="902"/>
      <c r="G2835" s="528"/>
      <c r="H2835" s="549" t="s">
        <v>38</v>
      </c>
      <c r="I2835" s="711">
        <v>0</v>
      </c>
      <c r="J2835" s="897"/>
      <c r="K2835" s="528"/>
      <c r="L2835" s="549" t="s">
        <v>38</v>
      </c>
      <c r="M2835" s="711">
        <f t="shared" si="11393"/>
        <v>0</v>
      </c>
      <c r="N2835" s="897"/>
      <c r="O2835" s="528"/>
      <c r="P2835" s="548">
        <v>0</v>
      </c>
      <c r="Q2835" s="548">
        <v>0</v>
      </c>
      <c r="R2835" s="548">
        <v>0</v>
      </c>
      <c r="S2835" s="548">
        <v>0</v>
      </c>
      <c r="T2835" s="548">
        <v>0</v>
      </c>
      <c r="U2835" s="548">
        <v>0</v>
      </c>
      <c r="V2835" s="548">
        <v>0</v>
      </c>
      <c r="W2835" s="528"/>
      <c r="X2835" s="711">
        <f t="shared" si="11387"/>
        <v>0</v>
      </c>
      <c r="Y2835" s="897"/>
      <c r="Z2835" s="528"/>
      <c r="AA2835" s="899"/>
      <c r="AB2835" s="899"/>
      <c r="AC2835" s="904"/>
      <c r="AD2835" s="905"/>
      <c r="AE2835" s="2"/>
      <c r="AF2835" s="885"/>
      <c r="AG2835" s="885"/>
      <c r="AH2835" s="885"/>
      <c r="AI2835" s="885"/>
      <c r="AJ2835" s="885"/>
      <c r="AK2835" s="885"/>
      <c r="AL2835" s="885"/>
      <c r="AM2835" s="879"/>
      <c r="AN2835" s="2"/>
      <c r="AO2835" s="886"/>
      <c r="AP2835" s="886"/>
      <c r="AV2835" t="str">
        <f t="shared" si="11443"/>
        <v xml:space="preserve">   Seg. 3.1- ADME 12 - Drenagem Superficial - Descida D´água</v>
      </c>
      <c r="AW2835" s="4" t="str">
        <f t="shared" si="11434"/>
        <v xml:space="preserve">   Execução de sublastro - Seg.3.1 C 06</v>
      </c>
    </row>
    <row r="2836" spans="1:50" ht="15.6" customHeight="1" outlineLevel="1">
      <c r="A2836" s="8" t="str">
        <f t="shared" ref="A2836" si="11481">IF(SUM(P2836:V2837)&gt;0,"S","N")</f>
        <v>N</v>
      </c>
      <c r="B2836" s="150">
        <v>1065746</v>
      </c>
      <c r="C2836" s="150" t="s">
        <v>3189</v>
      </c>
      <c r="D2836" s="120" t="s">
        <v>3190</v>
      </c>
      <c r="E2836" s="892" t="s">
        <v>3191</v>
      </c>
      <c r="F2836" s="902" t="s">
        <v>36</v>
      </c>
      <c r="G2836" s="528"/>
      <c r="H2836" s="546" t="s">
        <v>37</v>
      </c>
      <c r="I2836" s="711">
        <v>0</v>
      </c>
      <c r="J2836" s="896" t="str">
        <f t="shared" ref="J2836" si="11482">IFERROR((I2837/I2836),"-")</f>
        <v>-</v>
      </c>
      <c r="K2836" s="528"/>
      <c r="L2836" s="546" t="s">
        <v>37</v>
      </c>
      <c r="M2836" s="711">
        <f t="shared" si="11393"/>
        <v>0</v>
      </c>
      <c r="N2836" s="896" t="str">
        <f t="shared" ref="N2836" si="11483">IFERROR((M2837/M2836),"-")</f>
        <v>-</v>
      </c>
      <c r="O2836" s="528"/>
      <c r="P2836" s="547">
        <v>0</v>
      </c>
      <c r="Q2836" s="547">
        <v>0</v>
      </c>
      <c r="R2836" s="547">
        <v>0</v>
      </c>
      <c r="S2836" s="547">
        <v>0</v>
      </c>
      <c r="T2836" s="547">
        <v>0</v>
      </c>
      <c r="U2836" s="547">
        <v>0</v>
      </c>
      <c r="V2836" s="547">
        <v>0</v>
      </c>
      <c r="W2836" s="528"/>
      <c r="X2836" s="711">
        <f t="shared" si="11387"/>
        <v>0</v>
      </c>
      <c r="Y2836" s="896" t="str">
        <f t="shared" ref="Y2836" si="11484">IFERROR((X2837/X2836),"-")</f>
        <v>-</v>
      </c>
      <c r="Z2836" s="528"/>
      <c r="AA2836" s="898">
        <v>0</v>
      </c>
      <c r="AB2836" s="898">
        <v>0</v>
      </c>
      <c r="AC2836" s="903">
        <v>0</v>
      </c>
      <c r="AD2836" s="896" t="str">
        <f t="shared" ref="AD2836" si="11485">IFERROR((AC2836/AA2836),"-")</f>
        <v>-</v>
      </c>
      <c r="AE2836" s="2"/>
      <c r="AF2836" s="884">
        <v>0</v>
      </c>
      <c r="AG2836" s="884"/>
      <c r="AH2836" s="884">
        <v>0</v>
      </c>
      <c r="AI2836" s="884"/>
      <c r="AJ2836" s="884"/>
      <c r="AK2836" s="884">
        <f t="shared" ref="AK2836" si="11486">AF2836+AG2836+AH2836+AI2836+AJ2836+AC2836</f>
        <v>0</v>
      </c>
      <c r="AL2836" s="884">
        <v>0</v>
      </c>
      <c r="AM2836" s="878" t="str">
        <f t="shared" ref="AM2836" si="11487">IFERROR((AK2836/AL2836),"-")</f>
        <v>-</v>
      </c>
      <c r="AN2836" s="2"/>
      <c r="AO2836" s="884">
        <v>650</v>
      </c>
      <c r="AP2836" s="884">
        <f t="shared" ref="AP2836" si="11488">AO2836-AK2836</f>
        <v>650</v>
      </c>
      <c r="AV2836" t="str">
        <f t="shared" si="11443"/>
        <v xml:space="preserve">   Seg. 3.1- ADME 12 - Drenagem Superficial - Descida D´água</v>
      </c>
      <c r="AW2836" s="4" t="str">
        <f t="shared" si="11434"/>
        <v xml:space="preserve">   Execução de sublastro - Seg.3.1 CA 06</v>
      </c>
    </row>
    <row r="2837" spans="1:50" ht="15.6" customHeight="1" outlineLevel="1">
      <c r="A2837" s="8" t="str">
        <f t="shared" ref="A2837" si="11489">A2836</f>
        <v>N</v>
      </c>
      <c r="B2837" s="150"/>
      <c r="C2837" s="150" t="s">
        <v>3189</v>
      </c>
      <c r="D2837" s="120" t="s">
        <v>3190</v>
      </c>
      <c r="E2837" s="893"/>
      <c r="F2837" s="902"/>
      <c r="G2837" s="528"/>
      <c r="H2837" s="549" t="s">
        <v>38</v>
      </c>
      <c r="I2837" s="711">
        <v>0</v>
      </c>
      <c r="J2837" s="897"/>
      <c r="K2837" s="528"/>
      <c r="L2837" s="549" t="s">
        <v>38</v>
      </c>
      <c r="M2837" s="711">
        <f t="shared" si="11393"/>
        <v>0</v>
      </c>
      <c r="N2837" s="897"/>
      <c r="O2837" s="528"/>
      <c r="P2837" s="548">
        <v>0</v>
      </c>
      <c r="Q2837" s="548">
        <v>0</v>
      </c>
      <c r="R2837" s="548">
        <v>0</v>
      </c>
      <c r="S2837" s="548">
        <v>0</v>
      </c>
      <c r="T2837" s="548">
        <v>0</v>
      </c>
      <c r="U2837" s="548">
        <v>0</v>
      </c>
      <c r="V2837" s="548">
        <v>0</v>
      </c>
      <c r="W2837" s="528"/>
      <c r="X2837" s="711">
        <f t="shared" si="11387"/>
        <v>0</v>
      </c>
      <c r="Y2837" s="897"/>
      <c r="Z2837" s="528"/>
      <c r="AA2837" s="899"/>
      <c r="AB2837" s="899"/>
      <c r="AC2837" s="904"/>
      <c r="AD2837" s="905"/>
      <c r="AE2837" s="2"/>
      <c r="AF2837" s="885"/>
      <c r="AG2837" s="885"/>
      <c r="AH2837" s="885"/>
      <c r="AI2837" s="885"/>
      <c r="AJ2837" s="885"/>
      <c r="AK2837" s="885"/>
      <c r="AL2837" s="885"/>
      <c r="AM2837" s="879"/>
      <c r="AN2837" s="2"/>
      <c r="AO2837" s="886"/>
      <c r="AP2837" s="886"/>
      <c r="AV2837" t="str">
        <f t="shared" si="11443"/>
        <v xml:space="preserve">   Seg. 3.1- ADME 12 - Drenagem Superficial - Descida D´água</v>
      </c>
      <c r="AW2837" s="4" t="str">
        <f t="shared" si="11434"/>
        <v xml:space="preserve">   Execução de sublastro - Seg.3.1 CA 06</v>
      </c>
    </row>
    <row r="2838" spans="1:50" ht="28.35" customHeight="1" outlineLevel="1">
      <c r="A2838" s="8" t="str">
        <f t="shared" ref="A2838" si="11490">IF(SUM(P2838:V2839)&gt;0,"S","N")</f>
        <v>N</v>
      </c>
      <c r="B2838" s="150">
        <v>1065747</v>
      </c>
      <c r="C2838" s="150" t="s">
        <v>3192</v>
      </c>
      <c r="D2838" s="120" t="s">
        <v>3193</v>
      </c>
      <c r="E2838" s="892" t="s">
        <v>3194</v>
      </c>
      <c r="F2838" s="902" t="s">
        <v>36</v>
      </c>
      <c r="G2838" s="528"/>
      <c r="H2838" s="546" t="s">
        <v>37</v>
      </c>
      <c r="I2838" s="711">
        <v>0</v>
      </c>
      <c r="J2838" s="896" t="str">
        <f t="shared" ref="J2838" si="11491">IFERROR((I2839/I2838),"-")</f>
        <v>-</v>
      </c>
      <c r="K2838" s="528"/>
      <c r="L2838" s="546" t="s">
        <v>37</v>
      </c>
      <c r="M2838" s="711">
        <f t="shared" si="11393"/>
        <v>0</v>
      </c>
      <c r="N2838" s="896" t="str">
        <f t="shared" ref="N2838" si="11492">IFERROR((M2839/M2838),"-")</f>
        <v>-</v>
      </c>
      <c r="O2838" s="528"/>
      <c r="P2838" s="547">
        <v>0</v>
      </c>
      <c r="Q2838" s="547">
        <v>0</v>
      </c>
      <c r="R2838" s="547">
        <v>0</v>
      </c>
      <c r="S2838" s="547">
        <v>0</v>
      </c>
      <c r="T2838" s="547">
        <v>0</v>
      </c>
      <c r="U2838" s="547">
        <v>0</v>
      </c>
      <c r="V2838" s="547">
        <v>0</v>
      </c>
      <c r="W2838" s="528"/>
      <c r="X2838" s="711">
        <f t="shared" si="11387"/>
        <v>0</v>
      </c>
      <c r="Y2838" s="896" t="str">
        <f t="shared" ref="Y2838" si="11493">IFERROR((X2839/X2838),"-")</f>
        <v>-</v>
      </c>
      <c r="Z2838" s="528"/>
      <c r="AA2838" s="898">
        <v>0</v>
      </c>
      <c r="AB2838" s="898">
        <v>0</v>
      </c>
      <c r="AC2838" s="903">
        <v>0</v>
      </c>
      <c r="AD2838" s="896" t="str">
        <f t="shared" ref="AD2838" si="11494">IFERROR((AC2838/AA2838),"-")</f>
        <v>-</v>
      </c>
      <c r="AE2838" s="2"/>
      <c r="AF2838" s="884">
        <v>0</v>
      </c>
      <c r="AG2838" s="884"/>
      <c r="AH2838" s="884">
        <v>0</v>
      </c>
      <c r="AI2838" s="884"/>
      <c r="AJ2838" s="884"/>
      <c r="AK2838" s="884">
        <f t="shared" ref="AK2838" si="11495">AF2838+AG2838+AH2838+AI2838+AJ2838+AC2838</f>
        <v>0</v>
      </c>
      <c r="AL2838" s="884">
        <v>0</v>
      </c>
      <c r="AM2838" s="878" t="str">
        <f t="shared" ref="AM2838" si="11496">IFERROR((AK2838/AL2838),"-")</f>
        <v>-</v>
      </c>
      <c r="AN2838" s="2"/>
      <c r="AO2838" s="884">
        <v>5105</v>
      </c>
      <c r="AP2838" s="884">
        <f t="shared" ref="AP2838" si="11497">AO2838-AK2838</f>
        <v>5105</v>
      </c>
      <c r="AV2838" s="4" t="str">
        <f t="shared" si="11443"/>
        <v xml:space="preserve">   Seg. 3.1- ADME 12 - Drenagem Superficial - Descida D´água</v>
      </c>
      <c r="AW2838" s="4" t="str">
        <f t="shared" si="11434"/>
        <v xml:space="preserve">   Execução de sublastro - Seg.3.1 C 07</v>
      </c>
      <c r="AX2838" s="4"/>
    </row>
    <row r="2839" spans="1:50" ht="28.35" customHeight="1" outlineLevel="1">
      <c r="A2839" s="8" t="str">
        <f t="shared" ref="A2839" si="11498">A2838</f>
        <v>N</v>
      </c>
      <c r="B2839" s="150"/>
      <c r="C2839" s="150" t="s">
        <v>3192</v>
      </c>
      <c r="D2839" s="120" t="s">
        <v>3193</v>
      </c>
      <c r="E2839" s="893"/>
      <c r="F2839" s="902"/>
      <c r="G2839" s="528"/>
      <c r="H2839" s="549" t="s">
        <v>38</v>
      </c>
      <c r="I2839" s="711">
        <v>0</v>
      </c>
      <c r="J2839" s="897"/>
      <c r="K2839" s="528"/>
      <c r="L2839" s="549" t="s">
        <v>38</v>
      </c>
      <c r="M2839" s="711">
        <f t="shared" si="11393"/>
        <v>0</v>
      </c>
      <c r="N2839" s="897"/>
      <c r="O2839" s="528"/>
      <c r="P2839" s="548">
        <v>0</v>
      </c>
      <c r="Q2839" s="548">
        <v>0</v>
      </c>
      <c r="R2839" s="548">
        <v>0</v>
      </c>
      <c r="S2839" s="548">
        <v>0</v>
      </c>
      <c r="T2839" s="548">
        <v>0</v>
      </c>
      <c r="U2839" s="548">
        <v>0</v>
      </c>
      <c r="V2839" s="548">
        <v>0</v>
      </c>
      <c r="W2839" s="528"/>
      <c r="X2839" s="711">
        <f t="shared" si="11387"/>
        <v>0</v>
      </c>
      <c r="Y2839" s="897"/>
      <c r="Z2839" s="528"/>
      <c r="AA2839" s="899"/>
      <c r="AB2839" s="899"/>
      <c r="AC2839" s="904"/>
      <c r="AD2839" s="905"/>
      <c r="AE2839" s="2"/>
      <c r="AF2839" s="885"/>
      <c r="AG2839" s="885"/>
      <c r="AH2839" s="885"/>
      <c r="AI2839" s="885"/>
      <c r="AJ2839" s="885"/>
      <c r="AK2839" s="885"/>
      <c r="AL2839" s="885"/>
      <c r="AM2839" s="879"/>
      <c r="AN2839" s="2"/>
      <c r="AO2839" s="886"/>
      <c r="AP2839" s="886"/>
      <c r="AV2839" t="str">
        <f t="shared" si="11443"/>
        <v xml:space="preserve">   Seg. 3.1- ADME 12 - Drenagem Superficial - Descida D´água</v>
      </c>
      <c r="AW2839" s="4" t="str">
        <f t="shared" si="11434"/>
        <v xml:space="preserve">   Execução de sublastro - Seg.3.1 C 07</v>
      </c>
    </row>
    <row r="2840" spans="1:50" ht="15.6" customHeight="1" outlineLevel="1">
      <c r="A2840" s="8" t="str">
        <f t="shared" ref="A2840" si="11499">IF(SUM(P2840:V2841)&gt;0,"S","N")</f>
        <v>N</v>
      </c>
      <c r="B2840" s="150">
        <v>1065748</v>
      </c>
      <c r="C2840" s="150" t="s">
        <v>3195</v>
      </c>
      <c r="D2840" s="120" t="s">
        <v>3190</v>
      </c>
      <c r="E2840" s="892" t="s">
        <v>3196</v>
      </c>
      <c r="F2840" s="902" t="s">
        <v>36</v>
      </c>
      <c r="G2840" s="528"/>
      <c r="H2840" s="546" t="s">
        <v>37</v>
      </c>
      <c r="I2840" s="711">
        <v>0</v>
      </c>
      <c r="J2840" s="896" t="str">
        <f t="shared" ref="J2840" si="11500">IFERROR((I2841/I2840),"-")</f>
        <v>-</v>
      </c>
      <c r="K2840" s="528"/>
      <c r="L2840" s="546" t="s">
        <v>37</v>
      </c>
      <c r="M2840" s="711">
        <f t="shared" si="11393"/>
        <v>0</v>
      </c>
      <c r="N2840" s="896" t="str">
        <f t="shared" ref="N2840" si="11501">IFERROR((M2841/M2840),"-")</f>
        <v>-</v>
      </c>
      <c r="O2840" s="528"/>
      <c r="P2840" s="547">
        <v>0</v>
      </c>
      <c r="Q2840" s="547">
        <v>0</v>
      </c>
      <c r="R2840" s="547">
        <v>0</v>
      </c>
      <c r="S2840" s="547">
        <v>0</v>
      </c>
      <c r="T2840" s="547">
        <v>0</v>
      </c>
      <c r="U2840" s="547">
        <v>0</v>
      </c>
      <c r="V2840" s="547">
        <v>0</v>
      </c>
      <c r="W2840" s="528"/>
      <c r="X2840" s="711">
        <f t="shared" si="11387"/>
        <v>0</v>
      </c>
      <c r="Y2840" s="896" t="str">
        <f t="shared" ref="Y2840" si="11502">IFERROR((X2841/X2840),"-")</f>
        <v>-</v>
      </c>
      <c r="Z2840" s="528"/>
      <c r="AA2840" s="898">
        <v>0</v>
      </c>
      <c r="AB2840" s="898">
        <v>0</v>
      </c>
      <c r="AC2840" s="903">
        <v>0</v>
      </c>
      <c r="AD2840" s="896" t="str">
        <f t="shared" ref="AD2840" si="11503">IFERROR((AC2840/AA2840),"-")</f>
        <v>-</v>
      </c>
      <c r="AE2840" s="2"/>
      <c r="AF2840" s="884">
        <v>0</v>
      </c>
      <c r="AG2840" s="884"/>
      <c r="AH2840" s="884">
        <v>0</v>
      </c>
      <c r="AI2840" s="884"/>
      <c r="AJ2840" s="884"/>
      <c r="AK2840" s="884">
        <f t="shared" ref="AK2840" si="11504">AF2840+AG2840+AH2840+AI2840+AJ2840+AC2840</f>
        <v>0</v>
      </c>
      <c r="AL2840" s="884">
        <v>0</v>
      </c>
      <c r="AM2840" s="878" t="str">
        <f t="shared" ref="AM2840" si="11505">IFERROR((AK2840/AL2840),"-")</f>
        <v>-</v>
      </c>
      <c r="AN2840" s="2"/>
      <c r="AO2840" s="884">
        <v>1810</v>
      </c>
      <c r="AP2840" s="884">
        <f t="shared" ref="AP2840" si="11506">AO2840-AK2840</f>
        <v>1810</v>
      </c>
      <c r="AV2840" t="str">
        <f t="shared" si="11443"/>
        <v xml:space="preserve">   Seg. 3.1- ADME 12 - Drenagem Superficial - Descida D´água</v>
      </c>
      <c r="AW2840" s="4" t="str">
        <f t="shared" si="11434"/>
        <v xml:space="preserve">   Execução de sublastro - Seg.3.1 CA 07</v>
      </c>
    </row>
    <row r="2841" spans="1:50" ht="15.6" customHeight="1" outlineLevel="1">
      <c r="A2841" s="8" t="str">
        <f t="shared" ref="A2841" si="11507">A2840</f>
        <v>N</v>
      </c>
      <c r="B2841" s="150"/>
      <c r="C2841" s="150" t="s">
        <v>3195</v>
      </c>
      <c r="D2841" s="120" t="s">
        <v>3190</v>
      </c>
      <c r="E2841" s="893"/>
      <c r="F2841" s="902"/>
      <c r="G2841" s="528"/>
      <c r="H2841" s="549" t="s">
        <v>38</v>
      </c>
      <c r="I2841" s="711">
        <v>0</v>
      </c>
      <c r="J2841" s="897"/>
      <c r="K2841" s="528"/>
      <c r="L2841" s="549" t="s">
        <v>38</v>
      </c>
      <c r="M2841" s="711">
        <f t="shared" si="11393"/>
        <v>0</v>
      </c>
      <c r="N2841" s="897"/>
      <c r="O2841" s="528"/>
      <c r="P2841" s="548">
        <v>0</v>
      </c>
      <c r="Q2841" s="548">
        <v>0</v>
      </c>
      <c r="R2841" s="548">
        <v>0</v>
      </c>
      <c r="S2841" s="548">
        <v>0</v>
      </c>
      <c r="T2841" s="548">
        <v>0</v>
      </c>
      <c r="U2841" s="548">
        <v>0</v>
      </c>
      <c r="V2841" s="548">
        <v>0</v>
      </c>
      <c r="W2841" s="528"/>
      <c r="X2841" s="711">
        <f t="shared" si="11387"/>
        <v>0</v>
      </c>
      <c r="Y2841" s="897"/>
      <c r="Z2841" s="528"/>
      <c r="AA2841" s="899"/>
      <c r="AB2841" s="899"/>
      <c r="AC2841" s="904"/>
      <c r="AD2841" s="905"/>
      <c r="AE2841" s="2"/>
      <c r="AF2841" s="885"/>
      <c r="AG2841" s="885"/>
      <c r="AH2841" s="885"/>
      <c r="AI2841" s="885"/>
      <c r="AJ2841" s="885"/>
      <c r="AK2841" s="885"/>
      <c r="AL2841" s="885"/>
      <c r="AM2841" s="879"/>
      <c r="AN2841" s="2"/>
      <c r="AO2841" s="886"/>
      <c r="AP2841" s="886"/>
      <c r="AV2841" t="str">
        <f t="shared" si="11443"/>
        <v xml:space="preserve">   Seg. 3.1- ADME 12 - Drenagem Superficial - Descida D´água</v>
      </c>
      <c r="AW2841" s="4" t="str">
        <f t="shared" si="11434"/>
        <v xml:space="preserve">   Execução de sublastro - Seg.3.1 CA 07</v>
      </c>
    </row>
    <row r="2842" spans="1:50" ht="15.6" customHeight="1" outlineLevel="1">
      <c r="A2842" s="8" t="str">
        <f t="shared" ref="A2842" si="11508">IF(SUM(P2842:V2843)&gt;0,"S","N")</f>
        <v>N</v>
      </c>
      <c r="B2842" s="150">
        <v>1065749</v>
      </c>
      <c r="C2842" s="150" t="s">
        <v>3197</v>
      </c>
      <c r="D2842" s="120" t="s">
        <v>3198</v>
      </c>
      <c r="E2842" s="892" t="s">
        <v>3199</v>
      </c>
      <c r="F2842" s="902" t="s">
        <v>36</v>
      </c>
      <c r="G2842" s="528"/>
      <c r="H2842" s="546" t="s">
        <v>37</v>
      </c>
      <c r="I2842" s="711">
        <v>0</v>
      </c>
      <c r="J2842" s="896" t="str">
        <f t="shared" ref="J2842" si="11509">IFERROR((I2843/I2842),"-")</f>
        <v>-</v>
      </c>
      <c r="K2842" s="528"/>
      <c r="L2842" s="546" t="s">
        <v>37</v>
      </c>
      <c r="M2842" s="711">
        <f t="shared" si="11393"/>
        <v>0</v>
      </c>
      <c r="N2842" s="896" t="str">
        <f t="shared" ref="N2842" si="11510">IFERROR((M2843/M2842),"-")</f>
        <v>-</v>
      </c>
      <c r="O2842" s="528"/>
      <c r="P2842" s="547">
        <v>0</v>
      </c>
      <c r="Q2842" s="547">
        <v>0</v>
      </c>
      <c r="R2842" s="547">
        <v>0</v>
      </c>
      <c r="S2842" s="547">
        <v>0</v>
      </c>
      <c r="T2842" s="547">
        <v>0</v>
      </c>
      <c r="U2842" s="547">
        <v>0</v>
      </c>
      <c r="V2842" s="547">
        <v>0</v>
      </c>
      <c r="W2842" s="528"/>
      <c r="X2842" s="711">
        <f t="shared" si="11387"/>
        <v>0</v>
      </c>
      <c r="Y2842" s="896" t="str">
        <f t="shared" ref="Y2842" si="11511">IFERROR((X2843/X2842),"-")</f>
        <v>-</v>
      </c>
      <c r="Z2842" s="528"/>
      <c r="AA2842" s="898">
        <v>0</v>
      </c>
      <c r="AB2842" s="898">
        <v>0</v>
      </c>
      <c r="AC2842" s="903">
        <v>0</v>
      </c>
      <c r="AD2842" s="896" t="str">
        <f t="shared" ref="AD2842" si="11512">IFERROR((AC2842/AA2842),"-")</f>
        <v>-</v>
      </c>
      <c r="AE2842" s="2"/>
      <c r="AF2842" s="884">
        <v>0</v>
      </c>
      <c r="AG2842" s="884"/>
      <c r="AH2842" s="884">
        <v>0</v>
      </c>
      <c r="AI2842" s="884"/>
      <c r="AJ2842" s="884"/>
      <c r="AK2842" s="884">
        <f t="shared" ref="AK2842" si="11513">AF2842+AG2842+AH2842+AI2842+AJ2842+AC2842</f>
        <v>0</v>
      </c>
      <c r="AL2842" s="884">
        <v>0</v>
      </c>
      <c r="AM2842" s="878" t="str">
        <f t="shared" ref="AM2842" si="11514">IFERROR((AK2842/AL2842),"-")</f>
        <v>-</v>
      </c>
      <c r="AN2842" s="2"/>
      <c r="AO2842" s="884">
        <v>417.65</v>
      </c>
      <c r="AP2842" s="884">
        <f t="shared" ref="AP2842" si="11515">AO2842-AK2842</f>
        <v>417.65</v>
      </c>
      <c r="AV2842" s="4" t="str">
        <f t="shared" si="11443"/>
        <v xml:space="preserve">   Seg. 3.1- ADME 12 - Drenagem Superficial - Descida D´água</v>
      </c>
      <c r="AW2842" s="4" t="str">
        <f t="shared" si="11434"/>
        <v xml:space="preserve">   Execução de sublastro - Seg.3.1 C 08</v>
      </c>
      <c r="AX2842" s="4"/>
    </row>
    <row r="2843" spans="1:50" ht="15.6" customHeight="1" outlineLevel="1">
      <c r="A2843" s="8" t="str">
        <f t="shared" ref="A2843" si="11516">A2842</f>
        <v>N</v>
      </c>
      <c r="B2843" s="150"/>
      <c r="C2843" s="150" t="s">
        <v>3197</v>
      </c>
      <c r="D2843" s="120" t="s">
        <v>3198</v>
      </c>
      <c r="E2843" s="893"/>
      <c r="F2843" s="902"/>
      <c r="G2843" s="528"/>
      <c r="H2843" s="549" t="s">
        <v>38</v>
      </c>
      <c r="I2843" s="711">
        <v>0</v>
      </c>
      <c r="J2843" s="897"/>
      <c r="K2843" s="528"/>
      <c r="L2843" s="549" t="s">
        <v>38</v>
      </c>
      <c r="M2843" s="711">
        <f t="shared" si="11393"/>
        <v>0</v>
      </c>
      <c r="N2843" s="897"/>
      <c r="O2843" s="528"/>
      <c r="P2843" s="548">
        <v>0</v>
      </c>
      <c r="Q2843" s="548">
        <v>0</v>
      </c>
      <c r="R2843" s="548">
        <v>0</v>
      </c>
      <c r="S2843" s="548">
        <v>0</v>
      </c>
      <c r="T2843" s="548">
        <v>0</v>
      </c>
      <c r="U2843" s="548">
        <v>0</v>
      </c>
      <c r="V2843" s="548">
        <v>0</v>
      </c>
      <c r="W2843" s="528"/>
      <c r="X2843" s="711">
        <f t="shared" si="11387"/>
        <v>0</v>
      </c>
      <c r="Y2843" s="897"/>
      <c r="Z2843" s="528"/>
      <c r="AA2843" s="899"/>
      <c r="AB2843" s="899"/>
      <c r="AC2843" s="904"/>
      <c r="AD2843" s="905"/>
      <c r="AE2843" s="2"/>
      <c r="AF2843" s="885"/>
      <c r="AG2843" s="885"/>
      <c r="AH2843" s="885"/>
      <c r="AI2843" s="885"/>
      <c r="AJ2843" s="885"/>
      <c r="AK2843" s="885"/>
      <c r="AL2843" s="885"/>
      <c r="AM2843" s="879"/>
      <c r="AN2843" s="2"/>
      <c r="AO2843" s="886"/>
      <c r="AP2843" s="886"/>
      <c r="AV2843" s="4" t="str">
        <f t="shared" si="11443"/>
        <v xml:space="preserve">   Seg. 3.1- ADME 12 - Drenagem Superficial - Descida D´água</v>
      </c>
      <c r="AW2843" s="4" t="str">
        <f t="shared" si="11434"/>
        <v xml:space="preserve">   Execução de sublastro - Seg.3.1 C 08</v>
      </c>
      <c r="AX2843" s="4"/>
    </row>
    <row r="2844" spans="1:50" ht="30.6" customHeight="1" outlineLevel="1">
      <c r="A2844" s="8" t="str">
        <f t="shared" ref="A2844" si="11517">IF(SUM(P2844:V2845)&gt;0,"S","N")</f>
        <v>N</v>
      </c>
      <c r="B2844" s="150">
        <v>1065750</v>
      </c>
      <c r="C2844" s="150" t="s">
        <v>3200</v>
      </c>
      <c r="D2844" s="120" t="s">
        <v>3201</v>
      </c>
      <c r="E2844" s="892" t="s">
        <v>3202</v>
      </c>
      <c r="F2844" s="902" t="s">
        <v>36</v>
      </c>
      <c r="G2844" s="528"/>
      <c r="H2844" s="546" t="s">
        <v>37</v>
      </c>
      <c r="I2844" s="711">
        <v>0</v>
      </c>
      <c r="J2844" s="896" t="str">
        <f t="shared" ref="J2844" si="11518">IFERROR((I2845/I2844),"-")</f>
        <v>-</v>
      </c>
      <c r="K2844" s="528"/>
      <c r="L2844" s="546" t="s">
        <v>37</v>
      </c>
      <c r="M2844" s="711">
        <f t="shared" si="11393"/>
        <v>0</v>
      </c>
      <c r="N2844" s="896" t="str">
        <f t="shared" ref="N2844" si="11519">IFERROR((M2845/M2844),"-")</f>
        <v>-</v>
      </c>
      <c r="O2844" s="528"/>
      <c r="P2844" s="547">
        <v>0</v>
      </c>
      <c r="Q2844" s="547">
        <v>0</v>
      </c>
      <c r="R2844" s="547">
        <v>0</v>
      </c>
      <c r="S2844" s="547">
        <v>0</v>
      </c>
      <c r="T2844" s="547">
        <v>0</v>
      </c>
      <c r="U2844" s="547">
        <v>0</v>
      </c>
      <c r="V2844" s="547">
        <v>0</v>
      </c>
      <c r="W2844" s="528"/>
      <c r="X2844" s="711">
        <f t="shared" si="11387"/>
        <v>0</v>
      </c>
      <c r="Y2844" s="896" t="str">
        <f t="shared" ref="Y2844" si="11520">IFERROR((X2845/X2844),"-")</f>
        <v>-</v>
      </c>
      <c r="Z2844" s="528"/>
      <c r="AA2844" s="898">
        <v>0</v>
      </c>
      <c r="AB2844" s="898">
        <v>0</v>
      </c>
      <c r="AC2844" s="903">
        <v>0</v>
      </c>
      <c r="AD2844" s="896" t="str">
        <f t="shared" ref="AD2844" si="11521">IFERROR((AC2844/AA2844),"-")</f>
        <v>-</v>
      </c>
      <c r="AE2844" s="2"/>
      <c r="AF2844" s="884">
        <v>0</v>
      </c>
      <c r="AG2844" s="884"/>
      <c r="AH2844" s="884">
        <v>0</v>
      </c>
      <c r="AI2844" s="884"/>
      <c r="AJ2844" s="884"/>
      <c r="AK2844" s="884">
        <f t="shared" ref="AK2844" si="11522">AF2844+AG2844+AH2844+AI2844+AJ2844+AC2844</f>
        <v>0</v>
      </c>
      <c r="AL2844" s="884">
        <v>0</v>
      </c>
      <c r="AM2844" s="878" t="str">
        <f t="shared" ref="AM2844" si="11523">IFERROR((AK2844/AL2844),"-")</f>
        <v>-</v>
      </c>
      <c r="AN2844" s="2"/>
      <c r="AO2844" s="884">
        <v>232</v>
      </c>
      <c r="AP2844" s="884">
        <f t="shared" ref="AP2844" si="11524">AO2844-AK2844</f>
        <v>232</v>
      </c>
      <c r="AV2844" s="4" t="str">
        <f t="shared" si="11443"/>
        <v xml:space="preserve">   Seg. 3.1- ADME 12 - Drenagem Superficial - Descida D´água</v>
      </c>
      <c r="AW2844" s="4" t="str">
        <f t="shared" si="11434"/>
        <v xml:space="preserve">   Execução de sublastro - Seg.3.1 CA 08</v>
      </c>
      <c r="AX2844" s="4"/>
    </row>
    <row r="2845" spans="1:50" ht="30.6" customHeight="1">
      <c r="A2845" s="8" t="str">
        <f t="shared" ref="A2845" si="11525">A2844</f>
        <v>N</v>
      </c>
      <c r="B2845" s="150"/>
      <c r="C2845" s="150" t="s">
        <v>3200</v>
      </c>
      <c r="D2845" s="120" t="s">
        <v>3201</v>
      </c>
      <c r="E2845" s="893"/>
      <c r="F2845" s="902"/>
      <c r="G2845" s="528"/>
      <c r="H2845" s="549" t="s">
        <v>38</v>
      </c>
      <c r="I2845" s="711">
        <v>0</v>
      </c>
      <c r="J2845" s="897"/>
      <c r="K2845" s="528"/>
      <c r="L2845" s="549" t="s">
        <v>38</v>
      </c>
      <c r="M2845" s="711">
        <f t="shared" si="11393"/>
        <v>0</v>
      </c>
      <c r="N2845" s="897"/>
      <c r="O2845" s="528"/>
      <c r="P2845" s="548">
        <v>0</v>
      </c>
      <c r="Q2845" s="548">
        <v>0</v>
      </c>
      <c r="R2845" s="548">
        <v>0</v>
      </c>
      <c r="S2845" s="548">
        <v>0</v>
      </c>
      <c r="T2845" s="548">
        <v>0</v>
      </c>
      <c r="U2845" s="548">
        <v>0</v>
      </c>
      <c r="V2845" s="548">
        <v>0</v>
      </c>
      <c r="W2845" s="528"/>
      <c r="X2845" s="711">
        <f t="shared" si="11387"/>
        <v>0</v>
      </c>
      <c r="Y2845" s="897"/>
      <c r="Z2845" s="528"/>
      <c r="AA2845" s="899"/>
      <c r="AB2845" s="899"/>
      <c r="AC2845" s="904"/>
      <c r="AD2845" s="905"/>
      <c r="AE2845" s="2"/>
      <c r="AF2845" s="885"/>
      <c r="AG2845" s="885"/>
      <c r="AH2845" s="885"/>
      <c r="AI2845" s="885"/>
      <c r="AJ2845" s="885"/>
      <c r="AK2845" s="885"/>
      <c r="AL2845" s="885"/>
      <c r="AM2845" s="879"/>
      <c r="AN2845" s="2"/>
      <c r="AO2845" s="886"/>
      <c r="AP2845" s="886"/>
      <c r="AV2845" s="4" t="str">
        <f t="shared" si="11443"/>
        <v xml:space="preserve">   Seg. 3.1- ADME 12 - Drenagem Superficial - Descida D´água</v>
      </c>
      <c r="AW2845" s="4" t="str">
        <f t="shared" si="11434"/>
        <v xml:space="preserve">   Execução de sublastro - Seg.3.1 CA 08</v>
      </c>
      <c r="AX2845" s="4"/>
    </row>
    <row r="2846" spans="1:50" ht="30.95" customHeight="1">
      <c r="A2846" s="8" t="str">
        <f t="shared" ref="A2846" si="11526">IF(SUM(P2846:V2847)&gt;0,"S","N")</f>
        <v>N</v>
      </c>
      <c r="B2846" s="150">
        <v>1065751</v>
      </c>
      <c r="C2846" s="150" t="s">
        <v>3203</v>
      </c>
      <c r="D2846" s="120" t="s">
        <v>3204</v>
      </c>
      <c r="E2846" s="892" t="s">
        <v>3205</v>
      </c>
      <c r="F2846" s="902" t="s">
        <v>36</v>
      </c>
      <c r="G2846" s="528"/>
      <c r="H2846" s="546" t="s">
        <v>37</v>
      </c>
      <c r="I2846" s="711">
        <v>0</v>
      </c>
      <c r="J2846" s="896" t="str">
        <f t="shared" ref="J2846" si="11527">IFERROR((I2847/I2846),"-")</f>
        <v>-</v>
      </c>
      <c r="K2846" s="528"/>
      <c r="L2846" s="546" t="s">
        <v>37</v>
      </c>
      <c r="M2846" s="711">
        <f t="shared" si="11393"/>
        <v>0</v>
      </c>
      <c r="N2846" s="896" t="str">
        <f t="shared" ref="N2846" si="11528">IFERROR((M2847/M2846),"-")</f>
        <v>-</v>
      </c>
      <c r="O2846" s="528"/>
      <c r="P2846" s="547">
        <v>0</v>
      </c>
      <c r="Q2846" s="547">
        <v>0</v>
      </c>
      <c r="R2846" s="547">
        <v>0</v>
      </c>
      <c r="S2846" s="547">
        <v>0</v>
      </c>
      <c r="T2846" s="547">
        <v>0</v>
      </c>
      <c r="U2846" s="547">
        <v>0</v>
      </c>
      <c r="V2846" s="547">
        <v>0</v>
      </c>
      <c r="W2846" s="528"/>
      <c r="X2846" s="711">
        <f t="shared" si="11387"/>
        <v>0</v>
      </c>
      <c r="Y2846" s="896" t="str">
        <f t="shared" ref="Y2846" si="11529">IFERROR((X2847/X2846),"-")</f>
        <v>-</v>
      </c>
      <c r="Z2846" s="528"/>
      <c r="AA2846" s="898">
        <v>0</v>
      </c>
      <c r="AB2846" s="898">
        <v>0</v>
      </c>
      <c r="AC2846" s="903">
        <v>0</v>
      </c>
      <c r="AD2846" s="896" t="str">
        <f t="shared" ref="AD2846" si="11530">IFERROR((AC2846/AA2846),"-")</f>
        <v>-</v>
      </c>
      <c r="AE2846" s="2"/>
      <c r="AF2846" s="884">
        <v>0</v>
      </c>
      <c r="AG2846" s="884"/>
      <c r="AH2846" s="884">
        <v>0</v>
      </c>
      <c r="AI2846" s="884"/>
      <c r="AJ2846" s="884"/>
      <c r="AK2846" s="884">
        <f t="shared" ref="AK2846" si="11531">AF2846+AG2846+AH2846+AI2846+AJ2846+AC2846</f>
        <v>0</v>
      </c>
      <c r="AL2846" s="884">
        <v>0</v>
      </c>
      <c r="AM2846" s="878" t="str">
        <f t="shared" ref="AM2846" si="11532">IFERROR((AK2846/AL2846),"-")</f>
        <v>-</v>
      </c>
      <c r="AN2846" s="2"/>
      <c r="AO2846" s="884">
        <v>186</v>
      </c>
      <c r="AP2846" s="884">
        <f t="shared" ref="AP2846" si="11533">AO2846-AK2846</f>
        <v>186</v>
      </c>
      <c r="AV2846" s="4" t="str">
        <f t="shared" si="11443"/>
        <v xml:space="preserve">   Seg. 3.1- ADME 12 - Drenagem Superficial - Descida D´água</v>
      </c>
      <c r="AW2846" s="4" t="str">
        <f t="shared" si="11434"/>
        <v xml:space="preserve">   Execução de sublastro - Seg.3.1 CA 09</v>
      </c>
      <c r="AX2846" s="4"/>
    </row>
    <row r="2847" spans="1:50" ht="30.95" customHeight="1">
      <c r="A2847" s="8" t="str">
        <f t="shared" ref="A2847" si="11534">A2846</f>
        <v>N</v>
      </c>
      <c r="B2847" s="150"/>
      <c r="C2847" s="150" t="s">
        <v>3203</v>
      </c>
      <c r="D2847" s="120" t="s">
        <v>3204</v>
      </c>
      <c r="E2847" s="893"/>
      <c r="F2847" s="902"/>
      <c r="G2847" s="528"/>
      <c r="H2847" s="549" t="s">
        <v>38</v>
      </c>
      <c r="I2847" s="711">
        <v>0</v>
      </c>
      <c r="J2847" s="897"/>
      <c r="K2847" s="528"/>
      <c r="L2847" s="549" t="s">
        <v>38</v>
      </c>
      <c r="M2847" s="711">
        <f t="shared" si="11393"/>
        <v>0</v>
      </c>
      <c r="N2847" s="897"/>
      <c r="O2847" s="528"/>
      <c r="P2847" s="548">
        <v>0</v>
      </c>
      <c r="Q2847" s="548">
        <v>0</v>
      </c>
      <c r="R2847" s="548">
        <v>0</v>
      </c>
      <c r="S2847" s="548">
        <v>0</v>
      </c>
      <c r="T2847" s="548">
        <v>0</v>
      </c>
      <c r="U2847" s="548">
        <v>0</v>
      </c>
      <c r="V2847" s="548">
        <v>0</v>
      </c>
      <c r="W2847" s="528"/>
      <c r="X2847" s="711">
        <f t="shared" si="11387"/>
        <v>0</v>
      </c>
      <c r="Y2847" s="897"/>
      <c r="Z2847" s="528"/>
      <c r="AA2847" s="899"/>
      <c r="AB2847" s="899"/>
      <c r="AC2847" s="904"/>
      <c r="AD2847" s="905"/>
      <c r="AE2847" s="2"/>
      <c r="AF2847" s="885"/>
      <c r="AG2847" s="885"/>
      <c r="AH2847" s="885"/>
      <c r="AI2847" s="885"/>
      <c r="AJ2847" s="885"/>
      <c r="AK2847" s="885"/>
      <c r="AL2847" s="885"/>
      <c r="AM2847" s="879"/>
      <c r="AN2847" s="2"/>
      <c r="AO2847" s="886"/>
      <c r="AP2847" s="886"/>
      <c r="AV2847" s="4" t="str">
        <f t="shared" si="11443"/>
        <v xml:space="preserve">   Seg. 3.1- ADME 12 - Drenagem Superficial - Descida D´água</v>
      </c>
      <c r="AW2847" s="4" t="str">
        <f t="shared" ref="AW2847:AW2851" si="11535">IF(E2847&lt;&gt;"",E2847,AW2846)</f>
        <v xml:space="preserve">   Execução de sublastro - Seg.3.1 CA 09</v>
      </c>
      <c r="AX2847" s="4"/>
    </row>
    <row r="2848" spans="1:50" ht="15.6" customHeight="1">
      <c r="A2848" s="8" t="str">
        <f t="shared" ref="A2848" si="11536">IF(SUM(P2848:V2849)&gt;0,"S","N")</f>
        <v>N</v>
      </c>
      <c r="B2848" s="150">
        <v>1065752</v>
      </c>
      <c r="C2848" s="150" t="s">
        <v>3206</v>
      </c>
      <c r="D2848" s="120" t="s">
        <v>3207</v>
      </c>
      <c r="E2848" s="892" t="s">
        <v>3208</v>
      </c>
      <c r="F2848" s="894" t="s">
        <v>36</v>
      </c>
      <c r="G2848" s="528"/>
      <c r="H2848" s="546" t="s">
        <v>37</v>
      </c>
      <c r="I2848" s="711">
        <v>0</v>
      </c>
      <c r="J2848" s="896" t="str">
        <f t="shared" ref="J2848" si="11537">IFERROR((I2849/I2848),"-")</f>
        <v>-</v>
      </c>
      <c r="K2848" s="528"/>
      <c r="L2848" s="546" t="s">
        <v>37</v>
      </c>
      <c r="M2848" s="711">
        <f t="shared" si="11393"/>
        <v>0</v>
      </c>
      <c r="N2848" s="896" t="str">
        <f t="shared" ref="N2848" si="11538">IFERROR((M2849/M2848),"-")</f>
        <v>-</v>
      </c>
      <c r="O2848" s="528"/>
      <c r="P2848" s="547">
        <v>0</v>
      </c>
      <c r="Q2848" s="547">
        <v>0</v>
      </c>
      <c r="R2848" s="547">
        <v>0</v>
      </c>
      <c r="S2848" s="547">
        <v>0</v>
      </c>
      <c r="T2848" s="547">
        <v>0</v>
      </c>
      <c r="U2848" s="547">
        <v>0</v>
      </c>
      <c r="V2848" s="547">
        <v>0</v>
      </c>
      <c r="W2848" s="528"/>
      <c r="X2848" s="711">
        <f t="shared" si="11387"/>
        <v>0</v>
      </c>
      <c r="Y2848" s="896" t="str">
        <f t="shared" ref="Y2848" si="11539">IFERROR((X2849/X2848),"-")</f>
        <v>-</v>
      </c>
      <c r="Z2848" s="528"/>
      <c r="AA2848" s="898">
        <v>0</v>
      </c>
      <c r="AB2848" s="898">
        <v>0</v>
      </c>
      <c r="AC2848" s="903">
        <v>0</v>
      </c>
      <c r="AD2848" s="896" t="str">
        <f t="shared" ref="AD2848" si="11540">IFERROR((AC2848/AA2848),"-")</f>
        <v>-</v>
      </c>
      <c r="AE2848" s="2"/>
      <c r="AF2848" s="884">
        <v>0</v>
      </c>
      <c r="AG2848" s="884"/>
      <c r="AH2848" s="884">
        <v>0</v>
      </c>
      <c r="AI2848" s="884"/>
      <c r="AJ2848" s="884"/>
      <c r="AK2848" s="884">
        <f t="shared" ref="AK2848" si="11541">AF2848+AG2848+AH2848+AI2848+AJ2848+AC2848</f>
        <v>0</v>
      </c>
      <c r="AL2848" s="884">
        <v>0</v>
      </c>
      <c r="AM2848" s="878" t="str">
        <f t="shared" ref="AM2848" si="11542">IFERROR((AK2848/AL2848),"-")</f>
        <v>-</v>
      </c>
      <c r="AN2848" s="2"/>
      <c r="AO2848" s="884">
        <v>1299</v>
      </c>
      <c r="AP2848" s="884">
        <f t="shared" ref="AP2848" si="11543">AO2848-AK2848</f>
        <v>1299</v>
      </c>
      <c r="AV2848" t="str">
        <f t="shared" si="11443"/>
        <v xml:space="preserve">   Seg. 3.1- ADME 12 - Drenagem Superficial - Descida D´água</v>
      </c>
      <c r="AW2848" s="4" t="str">
        <f t="shared" si="11535"/>
        <v xml:space="preserve">   Execução de sublastro - Seg.3.1 CA 10</v>
      </c>
    </row>
    <row r="2849" spans="1:50" ht="15.6" customHeight="1" outlineLevel="1">
      <c r="A2849" s="8" t="str">
        <f t="shared" ref="A2849" si="11544">A2848</f>
        <v>N</v>
      </c>
      <c r="B2849" s="150"/>
      <c r="C2849" s="150" t="s">
        <v>3206</v>
      </c>
      <c r="D2849" s="120" t="s">
        <v>3207</v>
      </c>
      <c r="E2849" s="893"/>
      <c r="F2849" s="895"/>
      <c r="G2849" s="528"/>
      <c r="H2849" s="549" t="s">
        <v>38</v>
      </c>
      <c r="I2849" s="711">
        <v>0</v>
      </c>
      <c r="J2849" s="897"/>
      <c r="K2849" s="528"/>
      <c r="L2849" s="549" t="s">
        <v>38</v>
      </c>
      <c r="M2849" s="711">
        <f t="shared" si="11393"/>
        <v>0</v>
      </c>
      <c r="N2849" s="897"/>
      <c r="O2849" s="528"/>
      <c r="P2849" s="548">
        <v>0</v>
      </c>
      <c r="Q2849" s="548">
        <v>0</v>
      </c>
      <c r="R2849" s="548">
        <v>0</v>
      </c>
      <c r="S2849" s="548">
        <v>0</v>
      </c>
      <c r="T2849" s="548">
        <v>0</v>
      </c>
      <c r="U2849" s="548">
        <v>0</v>
      </c>
      <c r="V2849" s="548">
        <v>0</v>
      </c>
      <c r="W2849" s="528"/>
      <c r="X2849" s="711">
        <f t="shared" si="11387"/>
        <v>0</v>
      </c>
      <c r="Y2849" s="897"/>
      <c r="Z2849" s="528"/>
      <c r="AA2849" s="899"/>
      <c r="AB2849" s="899"/>
      <c r="AC2849" s="904"/>
      <c r="AD2849" s="905"/>
      <c r="AE2849" s="2"/>
      <c r="AF2849" s="908"/>
      <c r="AG2849" s="885"/>
      <c r="AH2849" s="885"/>
      <c r="AI2849" s="885"/>
      <c r="AJ2849" s="885"/>
      <c r="AK2849" s="885"/>
      <c r="AL2849" s="885"/>
      <c r="AM2849" s="879"/>
      <c r="AN2849" s="2"/>
      <c r="AO2849" s="886"/>
      <c r="AP2849" s="886"/>
      <c r="AV2849" t="str">
        <f t="shared" si="11443"/>
        <v xml:space="preserve">   Seg. 3.1- ADME 12 - Drenagem Superficial - Descida D´água</v>
      </c>
      <c r="AW2849" s="4" t="str">
        <f t="shared" si="11535"/>
        <v xml:space="preserve">   Execução de sublastro - Seg.3.1 CA 10</v>
      </c>
    </row>
    <row r="2850" spans="1:50" ht="15.6" customHeight="1" outlineLevel="1">
      <c r="A2850" s="209">
        <v>0</v>
      </c>
      <c r="B2850" s="150"/>
      <c r="C2850" s="150"/>
      <c r="D2850" s="117"/>
      <c r="E2850" s="535"/>
      <c r="F2850" s="536"/>
      <c r="G2850" s="537"/>
      <c r="H2850" s="714"/>
      <c r="I2850" s="538"/>
      <c r="J2850" s="714"/>
      <c r="K2850" s="537"/>
      <c r="L2850" s="714"/>
      <c r="M2850" s="714"/>
      <c r="N2850" s="714"/>
      <c r="O2850" s="537"/>
      <c r="P2850" s="539"/>
      <c r="Q2850" s="539"/>
      <c r="R2850" s="539"/>
      <c r="S2850" s="539"/>
      <c r="T2850" s="539"/>
      <c r="U2850" s="539"/>
      <c r="V2850" s="539"/>
      <c r="W2850" s="537"/>
      <c r="X2850" s="540"/>
      <c r="Y2850" s="537"/>
      <c r="Z2850" s="537"/>
      <c r="AA2850" s="250"/>
      <c r="AB2850" s="250"/>
      <c r="AC2850" s="249"/>
      <c r="AD2850" s="537"/>
      <c r="AE2850" s="3"/>
      <c r="AF2850" s="36"/>
      <c r="AG2850" s="36"/>
      <c r="AH2850" s="36"/>
      <c r="AI2850" s="36"/>
      <c r="AJ2850" s="36"/>
      <c r="AK2850" s="36"/>
      <c r="AL2850" s="36"/>
      <c r="AM2850" s="3"/>
      <c r="AN2850" s="3"/>
      <c r="AO2850" s="36"/>
      <c r="AP2850" s="36"/>
      <c r="AV2850" t="str">
        <f t="shared" si="11443"/>
        <v xml:space="preserve">   Seg. 3.1- ADME 12 - Drenagem Superficial - Descida D´água</v>
      </c>
      <c r="AW2850" s="4" t="str">
        <f t="shared" si="11535"/>
        <v xml:space="preserve">   Execução de sublastro - Seg.3.1 CA 10</v>
      </c>
    </row>
    <row r="2851" spans="1:50" ht="15.6" customHeight="1" outlineLevel="1">
      <c r="A2851" s="209">
        <v>0</v>
      </c>
      <c r="B2851" s="150"/>
      <c r="C2851" s="150"/>
      <c r="D2851" s="117"/>
      <c r="E2851" s="535"/>
      <c r="F2851" s="541"/>
      <c r="G2851" s="537"/>
      <c r="H2851" s="537"/>
      <c r="I2851" s="250"/>
      <c r="J2851" s="537"/>
      <c r="K2851" s="537"/>
      <c r="L2851" s="537"/>
      <c r="M2851" s="250"/>
      <c r="N2851" s="537"/>
      <c r="O2851" s="537"/>
      <c r="P2851" s="539"/>
      <c r="Q2851" s="539"/>
      <c r="R2851" s="539"/>
      <c r="S2851" s="539"/>
      <c r="T2851" s="539"/>
      <c r="U2851" s="539"/>
      <c r="V2851" s="539"/>
      <c r="W2851" s="537"/>
      <c r="X2851" s="540"/>
      <c r="Y2851" s="537"/>
      <c r="Z2851" s="537"/>
      <c r="AA2851" s="250"/>
      <c r="AB2851" s="250"/>
      <c r="AC2851" s="249"/>
      <c r="AD2851" s="537"/>
      <c r="AE2851" s="3"/>
      <c r="AF2851" s="36"/>
      <c r="AG2851" s="36"/>
      <c r="AH2851" s="36"/>
      <c r="AI2851" s="36"/>
      <c r="AJ2851" s="36"/>
      <c r="AK2851" s="36"/>
      <c r="AL2851" s="36"/>
      <c r="AM2851" s="3"/>
      <c r="AN2851" s="3"/>
      <c r="AO2851" s="36"/>
      <c r="AP2851" s="36"/>
      <c r="AV2851" t="str">
        <f t="shared" si="11443"/>
        <v xml:space="preserve">   Seg. 3.1- ADME 12 - Drenagem Superficial - Descida D´água</v>
      </c>
      <c r="AW2851" s="4" t="str">
        <f t="shared" si="11535"/>
        <v xml:space="preserve">   Execução de sublastro - Seg.3.1 CA 10</v>
      </c>
    </row>
    <row r="2852" spans="1:50" ht="30.95" customHeight="1" outlineLevel="2">
      <c r="A2852" s="525">
        <v>0</v>
      </c>
      <c r="B2852" s="526"/>
      <c r="C2852" s="526">
        <v>0</v>
      </c>
      <c r="D2852" s="609"/>
      <c r="E2852" s="870" t="s">
        <v>3209</v>
      </c>
      <c r="F2852" s="894" t="s">
        <v>3210</v>
      </c>
      <c r="G2852" s="590"/>
      <c r="H2852" s="529" t="s">
        <v>37</v>
      </c>
      <c r="I2852" s="707">
        <f>I2856+I2960+I3063+I3101+I3151</f>
        <v>26000</v>
      </c>
      <c r="J2852" s="900">
        <f t="shared" ref="J2852" si="11545">IFERROR((I2853/I2852),"-")</f>
        <v>0.39615384615384613</v>
      </c>
      <c r="K2852" s="590"/>
      <c r="L2852" s="529" t="s">
        <v>37</v>
      </c>
      <c r="M2852" s="707">
        <f>M2856+M2960+M3063+M3101+M3151</f>
        <v>4550</v>
      </c>
      <c r="N2852" s="900">
        <f t="shared" ref="N2852" si="11546">IFERROR((M2853/M2852),"-")</f>
        <v>1.3406593406593406</v>
      </c>
      <c r="O2852" s="590"/>
      <c r="P2852" s="707">
        <f t="shared" ref="P2852:V2853" si="11547">P2856+P2960+P3063+P3101+P3151</f>
        <v>4550</v>
      </c>
      <c r="Q2852" s="707">
        <f t="shared" si="11547"/>
        <v>4550</v>
      </c>
      <c r="R2852" s="707">
        <f t="shared" si="11547"/>
        <v>4550</v>
      </c>
      <c r="S2852" s="707">
        <f t="shared" si="11547"/>
        <v>4550</v>
      </c>
      <c r="T2852" s="707">
        <f t="shared" si="11547"/>
        <v>3900</v>
      </c>
      <c r="U2852" s="707">
        <f t="shared" si="11547"/>
        <v>3900</v>
      </c>
      <c r="V2852" s="708">
        <f t="shared" si="11547"/>
        <v>0</v>
      </c>
      <c r="W2852" s="590"/>
      <c r="X2852" s="707">
        <f>SUMIFS(P2852:V2852,$P$8:$V$8,"&gt;="&amp;$P$8,$P$8:$V$8,"&lt;="&amp;$N$8)</f>
        <v>9100</v>
      </c>
      <c r="Y2852" s="900">
        <f t="shared" ref="Y2852" si="11548">IFERROR((X2853/X2852),"-")</f>
        <v>1.3406593406593406</v>
      </c>
      <c r="Z2852" s="590"/>
      <c r="AA2852" s="755">
        <f>AA2856+AA2960+AA3063+AA3101++AA3151</f>
        <v>165178.26999999999</v>
      </c>
      <c r="AB2852" s="755">
        <f>AB2856+AB2960+AB3063+AB3101++AB3151</f>
        <v>109478.26000000002</v>
      </c>
      <c r="AC2852" s="755">
        <f>AC2856+AC2960+AC3063+AC3101+AC3151</f>
        <v>39800</v>
      </c>
      <c r="AD2852" s="900">
        <f>IFERROR((AC2852/AB2852),"-")</f>
        <v>0.36354249693044072</v>
      </c>
      <c r="AE2852" s="590"/>
      <c r="AF2852" s="755">
        <f t="shared" ref="AF2852:AL2852" si="11549">AF2856+AF2960+AF3063+AF3101+AF3151</f>
        <v>442712.71</v>
      </c>
      <c r="AG2852" s="755">
        <f t="shared" si="11549"/>
        <v>100696.68</v>
      </c>
      <c r="AH2852" s="755">
        <f t="shared" si="11549"/>
        <v>9100</v>
      </c>
      <c r="AI2852" s="755">
        <f t="shared" si="11549"/>
        <v>99622.010000000009</v>
      </c>
      <c r="AJ2852" s="755">
        <f>AJ2856+AJ2960+AJ3063+AJ3101+AJ3151</f>
        <v>30245.729999999996</v>
      </c>
      <c r="AK2852" s="755">
        <f t="shared" si="11549"/>
        <v>722177.13</v>
      </c>
      <c r="AL2852" s="755">
        <f t="shared" si="11549"/>
        <v>658241.06999999995</v>
      </c>
      <c r="AM2852" s="900">
        <f>IFERROR((AK2852/AL2852),"-")</f>
        <v>1.0971316785201508</v>
      </c>
      <c r="AN2852" s="590"/>
      <c r="AO2852" s="755">
        <f>AO2856+AO2960+AO3063+AO3101+AO3151</f>
        <v>2041249.6600000001</v>
      </c>
      <c r="AP2852" s="755">
        <f>AP2856+AP2960+AP3063+AP3101+AP3151</f>
        <v>1319072.53</v>
      </c>
      <c r="AV2852" s="275" t="str">
        <f t="shared" si="11443"/>
        <v>Revegetação - Hidrossemeadura</v>
      </c>
      <c r="AW2852" s="275" t="str">
        <f t="shared" si="11434"/>
        <v>Revegetação - Hidrossemeadura</v>
      </c>
      <c r="AX2852" s="275" t="s">
        <v>176</v>
      </c>
    </row>
    <row r="2853" spans="1:50" ht="30.95" customHeight="1" outlineLevel="2">
      <c r="A2853" s="525">
        <v>0</v>
      </c>
      <c r="B2853" s="526"/>
      <c r="C2853" s="526"/>
      <c r="D2853" s="609"/>
      <c r="E2853" s="871"/>
      <c r="F2853" s="895"/>
      <c r="G2853" s="590"/>
      <c r="H2853" s="531" t="s">
        <v>38</v>
      </c>
      <c r="I2853" s="707">
        <f>I2857+I2961+I3064+I3102+I3152</f>
        <v>10300</v>
      </c>
      <c r="J2853" s="901"/>
      <c r="K2853" s="590"/>
      <c r="L2853" s="531" t="s">
        <v>38</v>
      </c>
      <c r="M2853" s="707">
        <f>M2857+M2961+M3064+M3102+M3152</f>
        <v>6100</v>
      </c>
      <c r="N2853" s="901"/>
      <c r="O2853" s="590"/>
      <c r="P2853" s="707">
        <f t="shared" si="11547"/>
        <v>6100</v>
      </c>
      <c r="Q2853" s="707">
        <f t="shared" si="11547"/>
        <v>6100</v>
      </c>
      <c r="R2853" s="707">
        <f t="shared" si="11547"/>
        <v>0</v>
      </c>
      <c r="S2853" s="707">
        <f t="shared" si="11547"/>
        <v>0</v>
      </c>
      <c r="T2853" s="707">
        <f t="shared" si="11547"/>
        <v>0</v>
      </c>
      <c r="U2853" s="707">
        <f t="shared" si="11547"/>
        <v>0</v>
      </c>
      <c r="V2853" s="707">
        <f t="shared" si="11547"/>
        <v>0</v>
      </c>
      <c r="W2853" s="590"/>
      <c r="X2853" s="707">
        <f t="shared" ref="X2853" si="11550">SUMIFS(P2853:V2853,$P$8:$V$8,"&gt;="&amp;$P$8,$P$8:$V$8,"&lt;="&amp;$N$8)</f>
        <v>12200</v>
      </c>
      <c r="Y2853" s="901"/>
      <c r="Z2853" s="590"/>
      <c r="AA2853" s="756"/>
      <c r="AB2853" s="756"/>
      <c r="AC2853" s="756"/>
      <c r="AD2853" s="901"/>
      <c r="AE2853" s="590"/>
      <c r="AF2853" s="756"/>
      <c r="AG2853" s="756"/>
      <c r="AH2853" s="756"/>
      <c r="AI2853" s="756"/>
      <c r="AJ2853" s="756"/>
      <c r="AK2853" s="756"/>
      <c r="AL2853" s="756"/>
      <c r="AM2853" s="901"/>
      <c r="AN2853" s="590"/>
      <c r="AO2853" s="756"/>
      <c r="AP2853" s="756"/>
      <c r="AV2853" t="str">
        <f t="shared" si="11443"/>
        <v>Revegetação - Hidrossemeadura</v>
      </c>
      <c r="AW2853" s="4" t="str">
        <f t="shared" si="11434"/>
        <v>Revegetação - Hidrossemeadura</v>
      </c>
    </row>
    <row r="2854" spans="1:50" ht="15.6" customHeight="1" outlineLevel="2">
      <c r="A2854" s="209">
        <v>0</v>
      </c>
      <c r="B2854" s="150"/>
      <c r="C2854" s="150">
        <v>0</v>
      </c>
      <c r="D2854" s="117"/>
      <c r="E2854" s="535"/>
      <c r="F2854" s="536"/>
      <c r="G2854" s="537"/>
      <c r="H2854" s="714"/>
      <c r="I2854" s="538"/>
      <c r="J2854" s="714"/>
      <c r="K2854" s="537"/>
      <c r="L2854" s="714"/>
      <c r="M2854" s="538"/>
      <c r="N2854" s="714"/>
      <c r="O2854" s="537"/>
      <c r="P2854" s="539"/>
      <c r="Q2854" s="539"/>
      <c r="R2854" s="539"/>
      <c r="S2854" s="539"/>
      <c r="T2854" s="539"/>
      <c r="U2854" s="539"/>
      <c r="V2854" s="539"/>
      <c r="W2854" s="537"/>
      <c r="X2854" s="540"/>
      <c r="Y2854" s="537"/>
      <c r="Z2854" s="537"/>
      <c r="AA2854" s="250"/>
      <c r="AB2854" s="250"/>
      <c r="AC2854" s="249"/>
      <c r="AD2854" s="537"/>
      <c r="AE2854" s="3"/>
      <c r="AF2854" s="36"/>
      <c r="AG2854" s="36"/>
      <c r="AH2854" s="36"/>
      <c r="AI2854" s="36"/>
      <c r="AJ2854" s="36"/>
      <c r="AK2854" s="36"/>
      <c r="AL2854" s="36"/>
      <c r="AM2854" s="3"/>
      <c r="AN2854" s="3"/>
      <c r="AO2854" s="36"/>
      <c r="AP2854" s="36"/>
      <c r="AV2854" t="str">
        <f t="shared" si="11443"/>
        <v>Revegetação - Hidrossemeadura</v>
      </c>
      <c r="AW2854" s="4" t="str">
        <f t="shared" si="11434"/>
        <v>Revegetação - Hidrossemeadura</v>
      </c>
    </row>
    <row r="2855" spans="1:50" ht="15.6" customHeight="1" outlineLevel="2">
      <c r="A2855" s="209">
        <v>0</v>
      </c>
      <c r="B2855" s="150"/>
      <c r="C2855" s="150"/>
      <c r="D2855" s="117"/>
      <c r="E2855" s="535"/>
      <c r="F2855" s="541"/>
      <c r="G2855" s="537"/>
      <c r="H2855" s="537"/>
      <c r="I2855" s="250"/>
      <c r="J2855" s="537"/>
      <c r="K2855" s="537"/>
      <c r="L2855" s="537"/>
      <c r="M2855" s="250"/>
      <c r="N2855" s="537"/>
      <c r="O2855" s="537"/>
      <c r="P2855" s="539"/>
      <c r="Q2855" s="539"/>
      <c r="R2855" s="539"/>
      <c r="S2855" s="539"/>
      <c r="T2855" s="539"/>
      <c r="U2855" s="539"/>
      <c r="V2855" s="539"/>
      <c r="W2855" s="537"/>
      <c r="X2855" s="540"/>
      <c r="Y2855" s="537"/>
      <c r="Z2855" s="537"/>
      <c r="AA2855" s="250"/>
      <c r="AB2855" s="250"/>
      <c r="AC2855" s="249"/>
      <c r="AD2855" s="537"/>
      <c r="AE2855" s="3"/>
      <c r="AF2855" s="36"/>
      <c r="AG2855" s="36"/>
      <c r="AH2855" s="36"/>
      <c r="AI2855" s="36"/>
      <c r="AJ2855" s="36"/>
      <c r="AK2855" s="36"/>
      <c r="AL2855" s="36"/>
      <c r="AM2855" s="3"/>
      <c r="AN2855" s="3"/>
      <c r="AO2855" s="36"/>
      <c r="AP2855" s="36"/>
      <c r="AV2855" t="str">
        <f t="shared" si="11443"/>
        <v>Revegetação - Hidrossemeadura</v>
      </c>
      <c r="AW2855" s="4" t="str">
        <f t="shared" si="11434"/>
        <v>Revegetação - Hidrossemeadura</v>
      </c>
    </row>
    <row r="2856" spans="1:50" ht="15.6" customHeight="1" outlineLevel="2">
      <c r="A2856" s="209">
        <v>0</v>
      </c>
      <c r="B2856" s="150"/>
      <c r="C2856" s="150">
        <v>0</v>
      </c>
      <c r="D2856" s="122"/>
      <c r="E2856" s="913" t="s">
        <v>39</v>
      </c>
      <c r="F2856" s="894" t="s">
        <v>3210</v>
      </c>
      <c r="G2856" s="528"/>
      <c r="H2856" s="542" t="s">
        <v>37</v>
      </c>
      <c r="I2856" s="543">
        <f>SUMIF($L2858:$L2953,$L2856,I2858:I2953)</f>
        <v>0</v>
      </c>
      <c r="J2856" s="860" t="str">
        <f>IFERROR((I2857/I2856),"-")</f>
        <v>-</v>
      </c>
      <c r="K2856" s="528"/>
      <c r="L2856" s="542" t="s">
        <v>37</v>
      </c>
      <c r="M2856" s="543">
        <f>SUMIF($L2858:$L2953,$L2856,M2858:M2953)</f>
        <v>0</v>
      </c>
      <c r="N2856" s="860" t="str">
        <f>IFERROR((M2857/M2856),"-")</f>
        <v>-</v>
      </c>
      <c r="O2856" s="528"/>
      <c r="P2856" s="543">
        <f t="shared" ref="P2856:V2856" si="11551">SUMIF($L2858:$L2953,$L2856,P2858:P2953)</f>
        <v>0</v>
      </c>
      <c r="Q2856" s="543">
        <f t="shared" si="11551"/>
        <v>0</v>
      </c>
      <c r="R2856" s="543">
        <f t="shared" si="11551"/>
        <v>0</v>
      </c>
      <c r="S2856" s="543">
        <f t="shared" si="11551"/>
        <v>0</v>
      </c>
      <c r="T2856" s="543">
        <f t="shared" si="11551"/>
        <v>0</v>
      </c>
      <c r="U2856" s="543">
        <f t="shared" si="11551"/>
        <v>0</v>
      </c>
      <c r="V2856" s="543">
        <f t="shared" si="11551"/>
        <v>0</v>
      </c>
      <c r="W2856" s="528"/>
      <c r="X2856" s="543">
        <f t="shared" ref="X2856:X2919" si="11552">SUMIFS(P2856:V2856,$P$8:$V$8,"&gt;="&amp;$P$8,$P$8:$V$8,"&lt;="&amp;$N$8)</f>
        <v>0</v>
      </c>
      <c r="Y2856" s="860" t="str">
        <f>IFERROR((X2857/X2856),"-")</f>
        <v>-</v>
      </c>
      <c r="Z2856" s="528"/>
      <c r="AA2856" s="814">
        <f t="shared" ref="AA2856:AC2856" si="11553">SUM(AA2858:AA2955)</f>
        <v>55510.549999999996</v>
      </c>
      <c r="AB2856" s="814">
        <f t="shared" si="11553"/>
        <v>29437.66</v>
      </c>
      <c r="AC2856" s="814">
        <f t="shared" si="11553"/>
        <v>4400</v>
      </c>
      <c r="AD2856" s="911">
        <f>IFERROR((AC2856/AA2856),"-")</f>
        <v>7.926421193809105E-2</v>
      </c>
      <c r="AE2856" s="2"/>
      <c r="AF2856" s="888">
        <f>SUM(AF2858:AF2957)</f>
        <v>200591.68000000002</v>
      </c>
      <c r="AG2856" s="888">
        <f t="shared" ref="AG2856:AL2856" si="11554">SUM(AG2858:AG2957)</f>
        <v>24369.370000000003</v>
      </c>
      <c r="AH2856" s="888">
        <f t="shared" si="11554"/>
        <v>0</v>
      </c>
      <c r="AI2856" s="888">
        <f t="shared" si="11554"/>
        <v>24749.71</v>
      </c>
      <c r="AJ2856" s="888">
        <f t="shared" si="11554"/>
        <v>25810.489999999998</v>
      </c>
      <c r="AK2856" s="888">
        <f t="shared" si="11554"/>
        <v>279921.25</v>
      </c>
      <c r="AL2856" s="888">
        <f t="shared" si="11554"/>
        <v>258671.77999999997</v>
      </c>
      <c r="AM2856" s="743">
        <f>IFERROR((AK2856/AL2856),"-")</f>
        <v>1.0821483889738572</v>
      </c>
      <c r="AN2856" s="2"/>
      <c r="AO2856" s="888">
        <f t="shared" ref="AO2856:AP2856" si="11555">SUM(AO2858:AO2957)</f>
        <v>573193.72</v>
      </c>
      <c r="AP2856" s="888">
        <f t="shared" si="11555"/>
        <v>293272.46999999997</v>
      </c>
      <c r="AV2856" t="str">
        <f t="shared" si="11443"/>
        <v>Revegetação - Hidrossemeadura</v>
      </c>
      <c r="AW2856" s="4" t="str">
        <f t="shared" si="11434"/>
        <v>Pacote 04 - Segmento 2.2B- Km 104+500 a Km 116+400</v>
      </c>
    </row>
    <row r="2857" spans="1:50" ht="15.6" customHeight="1" outlineLevel="2">
      <c r="A2857" s="209">
        <v>0</v>
      </c>
      <c r="B2857" s="150"/>
      <c r="C2857" s="150"/>
      <c r="D2857" s="123"/>
      <c r="E2857" s="913"/>
      <c r="F2857" s="895"/>
      <c r="G2857" s="528"/>
      <c r="H2857" s="544" t="s">
        <v>38</v>
      </c>
      <c r="I2857" s="543">
        <f>SUMIF($L2858:$L2953,$L2857,I2858:I2953)</f>
        <v>4400</v>
      </c>
      <c r="J2857" s="861"/>
      <c r="K2857" s="528"/>
      <c r="L2857" s="544" t="s">
        <v>38</v>
      </c>
      <c r="M2857" s="543">
        <f>SUMIF($L2858:$L2953,$L2857,M2858:M2953)</f>
        <v>0</v>
      </c>
      <c r="N2857" s="861"/>
      <c r="O2857" s="528"/>
      <c r="P2857" s="543">
        <f t="shared" ref="P2857:V2857" si="11556">SUMIF($L2858:$L2953,$L2857,P2858:P2953)</f>
        <v>0</v>
      </c>
      <c r="Q2857" s="543">
        <f t="shared" si="11556"/>
        <v>0</v>
      </c>
      <c r="R2857" s="543">
        <f t="shared" si="11556"/>
        <v>0</v>
      </c>
      <c r="S2857" s="543">
        <f t="shared" si="11556"/>
        <v>0</v>
      </c>
      <c r="T2857" s="543">
        <f t="shared" si="11556"/>
        <v>0</v>
      </c>
      <c r="U2857" s="543">
        <f t="shared" si="11556"/>
        <v>0</v>
      </c>
      <c r="V2857" s="543">
        <f t="shared" si="11556"/>
        <v>0</v>
      </c>
      <c r="W2857" s="528"/>
      <c r="X2857" s="543">
        <f t="shared" si="11552"/>
        <v>0</v>
      </c>
      <c r="Y2857" s="861"/>
      <c r="Z2857" s="528"/>
      <c r="AA2857" s="815"/>
      <c r="AB2857" s="815"/>
      <c r="AC2857" s="815"/>
      <c r="AD2857" s="912"/>
      <c r="AE2857" s="2"/>
      <c r="AF2857" s="889"/>
      <c r="AG2857" s="889"/>
      <c r="AH2857" s="889"/>
      <c r="AI2857" s="889"/>
      <c r="AJ2857" s="889"/>
      <c r="AK2857" s="889"/>
      <c r="AL2857" s="889"/>
      <c r="AM2857" s="744"/>
      <c r="AN2857" s="2"/>
      <c r="AO2857" s="889"/>
      <c r="AP2857" s="889"/>
      <c r="AV2857" t="str">
        <f t="shared" si="11443"/>
        <v>Revegetação - Hidrossemeadura</v>
      </c>
      <c r="AW2857" s="4" t="str">
        <f t="shared" si="11434"/>
        <v>Pacote 04 - Segmento 2.2B- Km 104+500 a Km 116+400</v>
      </c>
    </row>
    <row r="2858" spans="1:50" ht="15.6" customHeight="1" outlineLevel="2">
      <c r="A2858" s="8" t="str">
        <f t="shared" ref="A2858" si="11557">IF(SUM(P2858:V2859)&gt;0,"S","N")</f>
        <v>N</v>
      </c>
      <c r="B2858" s="150">
        <v>1066491</v>
      </c>
      <c r="C2858" s="150" t="s">
        <v>3211</v>
      </c>
      <c r="D2858" s="120" t="s">
        <v>3212</v>
      </c>
      <c r="E2858" s="892" t="s">
        <v>3213</v>
      </c>
      <c r="F2858" s="894" t="s">
        <v>3210</v>
      </c>
      <c r="G2858" s="528"/>
      <c r="H2858" s="546" t="s">
        <v>37</v>
      </c>
      <c r="I2858" s="711">
        <v>0</v>
      </c>
      <c r="J2858" s="896" t="str">
        <f t="shared" ref="J2858" si="11558">IFERROR((I2859/I2858),"-")</f>
        <v>-</v>
      </c>
      <c r="K2858" s="528"/>
      <c r="L2858" s="546" t="s">
        <v>37</v>
      </c>
      <c r="M2858" s="711">
        <f t="shared" ref="M2858:M2921" si="11559">_xlfn.XLOOKUP($N$8,$P$8:$V$8,$P2858:$V2858)</f>
        <v>0</v>
      </c>
      <c r="N2858" s="896" t="str">
        <f t="shared" ref="N2858" si="11560">IFERROR((M2859/M2858),"-")</f>
        <v>-</v>
      </c>
      <c r="O2858" s="528"/>
      <c r="P2858" s="547">
        <v>0</v>
      </c>
      <c r="Q2858" s="547">
        <v>0</v>
      </c>
      <c r="R2858" s="547">
        <v>0</v>
      </c>
      <c r="S2858" s="547">
        <v>0</v>
      </c>
      <c r="T2858" s="547">
        <v>0</v>
      </c>
      <c r="U2858" s="547">
        <v>0</v>
      </c>
      <c r="V2858" s="548">
        <v>0</v>
      </c>
      <c r="W2858" s="528"/>
      <c r="X2858" s="711">
        <f t="shared" si="11552"/>
        <v>0</v>
      </c>
      <c r="Y2858" s="896" t="str">
        <f t="shared" ref="Y2858" si="11561">IFERROR((X2859/X2858),"-")</f>
        <v>-</v>
      </c>
      <c r="Z2858" s="528"/>
      <c r="AA2858" s="898">
        <v>157.82</v>
      </c>
      <c r="AB2858" s="898">
        <v>70.2</v>
      </c>
      <c r="AC2858" s="898">
        <v>0</v>
      </c>
      <c r="AD2858" s="896">
        <f>IFERROR((AC2858/AA2858),"-")</f>
        <v>0</v>
      </c>
      <c r="AE2858" s="2"/>
      <c r="AF2858" s="884">
        <v>564.96</v>
      </c>
      <c r="AG2858" s="884">
        <v>0</v>
      </c>
      <c r="AH2858" s="884">
        <v>0</v>
      </c>
      <c r="AI2858" s="884"/>
      <c r="AJ2858" s="884"/>
      <c r="AK2858" s="884">
        <f t="shared" ref="AK2858" si="11562">AF2858+AG2858+AH2858+AI2858+AJ2858+AC2858</f>
        <v>564.96</v>
      </c>
      <c r="AL2858" s="884">
        <v>532.6600000000002</v>
      </c>
      <c r="AM2858" s="878">
        <f t="shared" ref="AM2858" si="11563">IFERROR((AK2858/AL2858),"-")</f>
        <v>1.0606390568092212</v>
      </c>
      <c r="AN2858" s="2"/>
      <c r="AO2858" s="884">
        <v>620.28</v>
      </c>
      <c r="AP2858" s="884">
        <f t="shared" ref="AP2858" si="11564">AO2858-AK2858</f>
        <v>55.319999999999936</v>
      </c>
      <c r="AV2858" t="str">
        <f t="shared" si="11443"/>
        <v>Revegetação - Hidrossemeadura</v>
      </c>
      <c r="AW2858" s="4" t="str">
        <f t="shared" si="11434"/>
        <v xml:space="preserve">   Seg. 2.2-C08-Revestimento vegetal por hidrossemeadura</v>
      </c>
    </row>
    <row r="2859" spans="1:50" ht="15.6" customHeight="1" outlineLevel="2">
      <c r="A2859" s="8" t="str">
        <f t="shared" ref="A2859" si="11565">A2858</f>
        <v>N</v>
      </c>
      <c r="B2859" s="150"/>
      <c r="C2859" s="150" t="s">
        <v>3211</v>
      </c>
      <c r="D2859" s="120" t="s">
        <v>3212</v>
      </c>
      <c r="E2859" s="893"/>
      <c r="F2859" s="895"/>
      <c r="G2859" s="528"/>
      <c r="H2859" s="549" t="s">
        <v>38</v>
      </c>
      <c r="I2859" s="711">
        <v>0</v>
      </c>
      <c r="J2859" s="897"/>
      <c r="K2859" s="528"/>
      <c r="L2859" s="549" t="s">
        <v>38</v>
      </c>
      <c r="M2859" s="711">
        <f t="shared" si="11559"/>
        <v>0</v>
      </c>
      <c r="N2859" s="897"/>
      <c r="O2859" s="528"/>
      <c r="P2859" s="548">
        <v>0</v>
      </c>
      <c r="Q2859" s="548">
        <v>0</v>
      </c>
      <c r="R2859" s="548">
        <v>0</v>
      </c>
      <c r="S2859" s="548">
        <v>0</v>
      </c>
      <c r="T2859" s="548">
        <v>0</v>
      </c>
      <c r="U2859" s="548">
        <v>0</v>
      </c>
      <c r="V2859" s="548"/>
      <c r="W2859" s="528"/>
      <c r="X2859" s="711">
        <f t="shared" si="11552"/>
        <v>0</v>
      </c>
      <c r="Y2859" s="897"/>
      <c r="Z2859" s="528"/>
      <c r="AA2859" s="899"/>
      <c r="AB2859" s="899"/>
      <c r="AC2859" s="899"/>
      <c r="AD2859" s="897"/>
      <c r="AE2859" s="2"/>
      <c r="AF2859" s="885"/>
      <c r="AG2859" s="885"/>
      <c r="AH2859" s="885"/>
      <c r="AI2859" s="885"/>
      <c r="AJ2859" s="885"/>
      <c r="AK2859" s="885"/>
      <c r="AL2859" s="885"/>
      <c r="AM2859" s="879"/>
      <c r="AN2859" s="2"/>
      <c r="AO2859" s="886"/>
      <c r="AP2859" s="886"/>
      <c r="AV2859" t="str">
        <f t="shared" si="11443"/>
        <v>Revegetação - Hidrossemeadura</v>
      </c>
      <c r="AW2859" s="4" t="str">
        <f t="shared" si="11434"/>
        <v xml:space="preserve">   Seg. 2.2-C08-Revestimento vegetal por hidrossemeadura</v>
      </c>
    </row>
    <row r="2860" spans="1:50" ht="15.6" customHeight="1" outlineLevel="2">
      <c r="A2860" s="8" t="str">
        <f t="shared" ref="A2860" si="11566">IF(SUM(P2860:V2861)&gt;0,"S","N")</f>
        <v>N</v>
      </c>
      <c r="B2860" s="150">
        <v>1066492</v>
      </c>
      <c r="C2860" s="150" t="s">
        <v>3214</v>
      </c>
      <c r="D2860" s="120" t="s">
        <v>3215</v>
      </c>
      <c r="E2860" s="892" t="s">
        <v>3216</v>
      </c>
      <c r="F2860" s="894" t="s">
        <v>3210</v>
      </c>
      <c r="G2860" s="528"/>
      <c r="H2860" s="546" t="s">
        <v>37</v>
      </c>
      <c r="I2860" s="711">
        <v>0</v>
      </c>
      <c r="J2860" s="896" t="str">
        <f t="shared" ref="J2860" si="11567">IFERROR((I2861/I2860),"-")</f>
        <v>-</v>
      </c>
      <c r="K2860" s="528"/>
      <c r="L2860" s="546" t="s">
        <v>37</v>
      </c>
      <c r="M2860" s="711">
        <f t="shared" si="11559"/>
        <v>0</v>
      </c>
      <c r="N2860" s="896" t="str">
        <f t="shared" ref="N2860" si="11568">IFERROR((M2861/M2860),"-")</f>
        <v>-</v>
      </c>
      <c r="O2860" s="528"/>
      <c r="P2860" s="547">
        <v>0</v>
      </c>
      <c r="Q2860" s="547">
        <v>0</v>
      </c>
      <c r="R2860" s="547">
        <v>0</v>
      </c>
      <c r="S2860" s="547">
        <v>0</v>
      </c>
      <c r="T2860" s="547">
        <v>0</v>
      </c>
      <c r="U2860" s="547">
        <v>0</v>
      </c>
      <c r="V2860" s="548">
        <v>0</v>
      </c>
      <c r="W2860" s="528"/>
      <c r="X2860" s="711">
        <f t="shared" si="11552"/>
        <v>0</v>
      </c>
      <c r="Y2860" s="896" t="str">
        <f t="shared" ref="Y2860" si="11569">IFERROR((X2861/X2860),"-")</f>
        <v>-</v>
      </c>
      <c r="Z2860" s="528"/>
      <c r="AA2860" s="898">
        <v>0</v>
      </c>
      <c r="AB2860" s="898">
        <v>0</v>
      </c>
      <c r="AC2860" s="898">
        <v>0</v>
      </c>
      <c r="AD2860" s="896" t="str">
        <f t="shared" ref="AD2860" si="11570">IFERROR((AC2860/AA2860),"-")</f>
        <v>-</v>
      </c>
      <c r="AE2860" s="2"/>
      <c r="AF2860" s="884">
        <v>43669.35</v>
      </c>
      <c r="AG2860" s="884">
        <v>0</v>
      </c>
      <c r="AH2860" s="884">
        <v>0</v>
      </c>
      <c r="AI2860" s="884"/>
      <c r="AJ2860" s="884"/>
      <c r="AK2860" s="884">
        <f t="shared" ref="AK2860" si="11571">AF2860+AG2860+AH2860+AI2860+AJ2860+AC2860</f>
        <v>43669.35</v>
      </c>
      <c r="AL2860" s="884">
        <v>21447.040000000001</v>
      </c>
      <c r="AM2860" s="878">
        <f t="shared" ref="AM2860" si="11572">IFERROR((AK2860/AL2860),"-")</f>
        <v>2.0361481118140312</v>
      </c>
      <c r="AN2860" s="2"/>
      <c r="AO2860" s="884">
        <v>21447.02</v>
      </c>
      <c r="AP2860" s="884">
        <f t="shared" ref="AP2860" si="11573">AO2860-AK2860</f>
        <v>-22222.329999999998</v>
      </c>
      <c r="AV2860" t="str">
        <f t="shared" si="11443"/>
        <v>Revegetação - Hidrossemeadura</v>
      </c>
      <c r="AW2860" s="4" t="str">
        <f t="shared" si="11434"/>
        <v xml:space="preserve">   Seg. 2.2-C09-Revestimento vegetal por hidrossemeadura</v>
      </c>
    </row>
    <row r="2861" spans="1:50" ht="15.6" customHeight="1" outlineLevel="2">
      <c r="A2861" s="8" t="str">
        <f t="shared" ref="A2861" si="11574">A2860</f>
        <v>N</v>
      </c>
      <c r="B2861" s="150"/>
      <c r="C2861" s="150"/>
      <c r="D2861" s="120" t="s">
        <v>3215</v>
      </c>
      <c r="E2861" s="893"/>
      <c r="F2861" s="895"/>
      <c r="G2861" s="528"/>
      <c r="H2861" s="549" t="s">
        <v>38</v>
      </c>
      <c r="I2861" s="711">
        <v>0</v>
      </c>
      <c r="J2861" s="897"/>
      <c r="K2861" s="528"/>
      <c r="L2861" s="549" t="s">
        <v>38</v>
      </c>
      <c r="M2861" s="711">
        <f t="shared" si="11559"/>
        <v>0</v>
      </c>
      <c r="N2861" s="897"/>
      <c r="O2861" s="528"/>
      <c r="P2861" s="548">
        <v>0</v>
      </c>
      <c r="Q2861" s="548">
        <v>0</v>
      </c>
      <c r="R2861" s="548">
        <v>0</v>
      </c>
      <c r="S2861" s="548">
        <v>0</v>
      </c>
      <c r="T2861" s="548">
        <v>0</v>
      </c>
      <c r="U2861" s="548">
        <v>0</v>
      </c>
      <c r="V2861" s="548"/>
      <c r="W2861" s="528"/>
      <c r="X2861" s="711">
        <f t="shared" si="11552"/>
        <v>0</v>
      </c>
      <c r="Y2861" s="897"/>
      <c r="Z2861" s="528"/>
      <c r="AA2861" s="899"/>
      <c r="AB2861" s="899"/>
      <c r="AC2861" s="899"/>
      <c r="AD2861" s="897"/>
      <c r="AE2861" s="2"/>
      <c r="AF2861" s="885"/>
      <c r="AG2861" s="885"/>
      <c r="AH2861" s="885"/>
      <c r="AI2861" s="885"/>
      <c r="AJ2861" s="885"/>
      <c r="AK2861" s="885"/>
      <c r="AL2861" s="885"/>
      <c r="AM2861" s="879"/>
      <c r="AN2861" s="2"/>
      <c r="AO2861" s="886"/>
      <c r="AP2861" s="886"/>
      <c r="AV2861" t="str">
        <f t="shared" si="11443"/>
        <v>Revegetação - Hidrossemeadura</v>
      </c>
      <c r="AW2861" s="4" t="str">
        <f t="shared" si="11434"/>
        <v xml:space="preserve">   Seg. 2.2-C09-Revestimento vegetal por hidrossemeadura</v>
      </c>
    </row>
    <row r="2862" spans="1:50" ht="15.6" customHeight="1" outlineLevel="2">
      <c r="A2862" s="8" t="str">
        <f t="shared" ref="A2862" si="11575">IF(SUM(P2862:V2863)&gt;0,"S","N")</f>
        <v>N</v>
      </c>
      <c r="B2862" s="150">
        <v>1066495</v>
      </c>
      <c r="C2862" s="150" t="s">
        <v>3217</v>
      </c>
      <c r="D2862" s="120" t="s">
        <v>3218</v>
      </c>
      <c r="E2862" s="892" t="s">
        <v>3219</v>
      </c>
      <c r="F2862" s="894" t="s">
        <v>3210</v>
      </c>
      <c r="G2862" s="528"/>
      <c r="H2862" s="546" t="s">
        <v>37</v>
      </c>
      <c r="I2862" s="711">
        <v>0</v>
      </c>
      <c r="J2862" s="896" t="str">
        <f t="shared" ref="J2862" si="11576">IFERROR((I2863/I2862),"-")</f>
        <v>-</v>
      </c>
      <c r="K2862" s="528"/>
      <c r="L2862" s="546" t="s">
        <v>37</v>
      </c>
      <c r="M2862" s="711">
        <f t="shared" si="11559"/>
        <v>0</v>
      </c>
      <c r="N2862" s="896" t="str">
        <f t="shared" ref="N2862" si="11577">IFERROR((M2863/M2862),"-")</f>
        <v>-</v>
      </c>
      <c r="O2862" s="528"/>
      <c r="P2862" s="547">
        <v>0</v>
      </c>
      <c r="Q2862" s="547">
        <v>0</v>
      </c>
      <c r="R2862" s="547">
        <v>0</v>
      </c>
      <c r="S2862" s="547">
        <v>0</v>
      </c>
      <c r="T2862" s="547">
        <v>0</v>
      </c>
      <c r="U2862" s="547">
        <v>0</v>
      </c>
      <c r="V2862" s="548">
        <v>0</v>
      </c>
      <c r="W2862" s="528"/>
      <c r="X2862" s="711">
        <f t="shared" si="11552"/>
        <v>0</v>
      </c>
      <c r="Y2862" s="896" t="str">
        <f t="shared" ref="Y2862" si="11578">IFERROR((X2863/X2862),"-")</f>
        <v>-</v>
      </c>
      <c r="Z2862" s="528"/>
      <c r="AA2862" s="898">
        <v>0</v>
      </c>
      <c r="AB2862" s="898">
        <v>0</v>
      </c>
      <c r="AC2862" s="898">
        <v>0</v>
      </c>
      <c r="AD2862" s="896" t="str">
        <f t="shared" ref="AD2862" si="11579">IFERROR((AC2862/AA2862),"-")</f>
        <v>-</v>
      </c>
      <c r="AE2862" s="2"/>
      <c r="AF2862" s="884">
        <v>20740.88</v>
      </c>
      <c r="AG2862" s="884">
        <v>0</v>
      </c>
      <c r="AH2862" s="884">
        <v>0</v>
      </c>
      <c r="AI2862" s="884"/>
      <c r="AJ2862" s="884"/>
      <c r="AK2862" s="884">
        <f t="shared" ref="AK2862" si="11580">AF2862+AG2862+AH2862+AI2862+AJ2862+AC2862</f>
        <v>20740.88</v>
      </c>
      <c r="AL2862" s="884">
        <v>23355.15</v>
      </c>
      <c r="AM2862" s="878">
        <f t="shared" ref="AM2862" si="11581">IFERROR((AK2862/AL2862),"-")</f>
        <v>0.88806451681963072</v>
      </c>
      <c r="AN2862" s="2"/>
      <c r="AO2862" s="884">
        <v>24351.33</v>
      </c>
      <c r="AP2862" s="884">
        <f t="shared" ref="AP2862" si="11582">AO2862-AK2862</f>
        <v>3610.4500000000007</v>
      </c>
      <c r="AV2862" t="str">
        <f t="shared" si="11443"/>
        <v>Revegetação - Hidrossemeadura</v>
      </c>
      <c r="AW2862" s="4" t="str">
        <f t="shared" si="11434"/>
        <v xml:space="preserve">   Seg. 2.2-C12-Revestimento vegetal por hidrossemeadura</v>
      </c>
    </row>
    <row r="2863" spans="1:50" ht="15.6" customHeight="1" outlineLevel="2">
      <c r="A2863" s="8" t="str">
        <f t="shared" ref="A2863" si="11583">A2862</f>
        <v>N</v>
      </c>
      <c r="B2863" s="150"/>
      <c r="C2863" s="150"/>
      <c r="D2863" s="120" t="s">
        <v>3218</v>
      </c>
      <c r="E2863" s="893"/>
      <c r="F2863" s="895"/>
      <c r="G2863" s="528"/>
      <c r="H2863" s="549" t="s">
        <v>38</v>
      </c>
      <c r="I2863" s="711">
        <v>0</v>
      </c>
      <c r="J2863" s="897"/>
      <c r="K2863" s="528"/>
      <c r="L2863" s="549" t="s">
        <v>38</v>
      </c>
      <c r="M2863" s="711">
        <f t="shared" si="11559"/>
        <v>0</v>
      </c>
      <c r="N2863" s="897"/>
      <c r="O2863" s="528"/>
      <c r="P2863" s="548">
        <v>0</v>
      </c>
      <c r="Q2863" s="548">
        <v>0</v>
      </c>
      <c r="R2863" s="548">
        <v>0</v>
      </c>
      <c r="S2863" s="548">
        <v>0</v>
      </c>
      <c r="T2863" s="548">
        <v>0</v>
      </c>
      <c r="U2863" s="548">
        <v>0</v>
      </c>
      <c r="V2863" s="548"/>
      <c r="W2863" s="528"/>
      <c r="X2863" s="711">
        <f t="shared" si="11552"/>
        <v>0</v>
      </c>
      <c r="Y2863" s="897"/>
      <c r="Z2863" s="528"/>
      <c r="AA2863" s="899"/>
      <c r="AB2863" s="899"/>
      <c r="AC2863" s="899"/>
      <c r="AD2863" s="897"/>
      <c r="AE2863" s="2"/>
      <c r="AF2863" s="885"/>
      <c r="AG2863" s="885"/>
      <c r="AH2863" s="885"/>
      <c r="AI2863" s="885"/>
      <c r="AJ2863" s="885"/>
      <c r="AK2863" s="885"/>
      <c r="AL2863" s="885"/>
      <c r="AM2863" s="879"/>
      <c r="AN2863" s="2"/>
      <c r="AO2863" s="886"/>
      <c r="AP2863" s="886"/>
      <c r="AV2863" t="str">
        <f t="shared" si="11443"/>
        <v>Revegetação - Hidrossemeadura</v>
      </c>
      <c r="AW2863" s="4" t="str">
        <f t="shared" si="11434"/>
        <v xml:space="preserve">   Seg. 2.2-C12-Revestimento vegetal por hidrossemeadura</v>
      </c>
    </row>
    <row r="2864" spans="1:50" ht="14.45" customHeight="1" outlineLevel="2">
      <c r="A2864" s="8" t="str">
        <f t="shared" ref="A2864" si="11584">IF(SUM(P2864:V2865)&gt;0,"S","N")</f>
        <v>N</v>
      </c>
      <c r="B2864" s="150">
        <v>1066496</v>
      </c>
      <c r="C2864" s="150" t="s">
        <v>3220</v>
      </c>
      <c r="D2864" s="120" t="s">
        <v>3221</v>
      </c>
      <c r="E2864" s="892" t="s">
        <v>3222</v>
      </c>
      <c r="F2864" s="894" t="s">
        <v>3210</v>
      </c>
      <c r="G2864" s="528"/>
      <c r="H2864" s="546" t="s">
        <v>37</v>
      </c>
      <c r="I2864" s="711">
        <v>0</v>
      </c>
      <c r="J2864" s="896" t="str">
        <f t="shared" ref="J2864" si="11585">IFERROR((I2865/I2864),"-")</f>
        <v>-</v>
      </c>
      <c r="K2864" s="528"/>
      <c r="L2864" s="546" t="s">
        <v>37</v>
      </c>
      <c r="M2864" s="711">
        <f t="shared" si="11559"/>
        <v>0</v>
      </c>
      <c r="N2864" s="896" t="str">
        <f t="shared" ref="N2864" si="11586">IFERROR((M2865/M2864),"-")</f>
        <v>-</v>
      </c>
      <c r="O2864" s="528"/>
      <c r="P2864" s="547">
        <v>0</v>
      </c>
      <c r="Q2864" s="547">
        <v>0</v>
      </c>
      <c r="R2864" s="547">
        <v>0</v>
      </c>
      <c r="S2864" s="547">
        <v>0</v>
      </c>
      <c r="T2864" s="547">
        <v>0</v>
      </c>
      <c r="U2864" s="547">
        <v>0</v>
      </c>
      <c r="V2864" s="548">
        <v>0</v>
      </c>
      <c r="W2864" s="528"/>
      <c r="X2864" s="711">
        <f t="shared" si="11552"/>
        <v>0</v>
      </c>
      <c r="Y2864" s="896" t="str">
        <f t="shared" ref="Y2864" si="11587">IFERROR((X2865/X2864),"-")</f>
        <v>-</v>
      </c>
      <c r="Z2864" s="528"/>
      <c r="AA2864" s="898">
        <v>16974.169999999998</v>
      </c>
      <c r="AB2864" s="898">
        <v>8642.0399999999991</v>
      </c>
      <c r="AC2864" s="898">
        <v>4400</v>
      </c>
      <c r="AD2864" s="896">
        <f t="shared" ref="AD2864" si="11588">IFERROR((AC2864/AA2864),"-")</f>
        <v>0.25921738735973543</v>
      </c>
      <c r="AE2864" s="2"/>
      <c r="AF2864" s="884">
        <v>4030.56</v>
      </c>
      <c r="AG2864" s="884">
        <v>4577.3500000000004</v>
      </c>
      <c r="AH2864" s="884">
        <v>0</v>
      </c>
      <c r="AI2864" s="884"/>
      <c r="AJ2864" s="884"/>
      <c r="AK2864" s="884">
        <f t="shared" ref="AK2864" si="11589">AF2864+AG2864+AH2864+AI2864+AJ2864+AC2864</f>
        <v>13007.91</v>
      </c>
      <c r="AL2864" s="884">
        <v>17250.079999999994</v>
      </c>
      <c r="AM2864" s="878">
        <f t="shared" ref="AM2864" si="11590">IFERROR((AK2864/AL2864),"-")</f>
        <v>0.75407824195597961</v>
      </c>
      <c r="AN2864" s="2"/>
      <c r="AO2864" s="884">
        <v>25582.17</v>
      </c>
      <c r="AP2864" s="884">
        <f t="shared" ref="AP2864" si="11591">AO2864-AK2864</f>
        <v>12574.259999999998</v>
      </c>
      <c r="AV2864" t="str">
        <f t="shared" si="11443"/>
        <v>Revegetação - Hidrossemeadura</v>
      </c>
      <c r="AW2864" s="4" t="str">
        <f t="shared" si="11434"/>
        <v xml:space="preserve">   Seg. 2.2-C13-Revestimento vegetal por hidrossemeadura</v>
      </c>
    </row>
    <row r="2865" spans="1:49" ht="16.7" customHeight="1" outlineLevel="2">
      <c r="A2865" s="8" t="str">
        <f t="shared" ref="A2865" si="11592">A2864</f>
        <v>N</v>
      </c>
      <c r="B2865" s="150"/>
      <c r="C2865" s="150"/>
      <c r="D2865" s="120" t="s">
        <v>3221</v>
      </c>
      <c r="E2865" s="893"/>
      <c r="F2865" s="895"/>
      <c r="G2865" s="528"/>
      <c r="H2865" s="549" t="s">
        <v>38</v>
      </c>
      <c r="I2865" s="711">
        <v>4400</v>
      </c>
      <c r="J2865" s="897"/>
      <c r="K2865" s="528"/>
      <c r="L2865" s="549" t="s">
        <v>38</v>
      </c>
      <c r="M2865" s="711">
        <f t="shared" si="11559"/>
        <v>0</v>
      </c>
      <c r="N2865" s="897"/>
      <c r="O2865" s="528"/>
      <c r="P2865" s="548">
        <v>0</v>
      </c>
      <c r="Q2865" s="548">
        <v>0</v>
      </c>
      <c r="R2865" s="548">
        <v>0</v>
      </c>
      <c r="S2865" s="548">
        <v>0</v>
      </c>
      <c r="T2865" s="548">
        <v>0</v>
      </c>
      <c r="U2865" s="548">
        <v>0</v>
      </c>
      <c r="V2865" s="548"/>
      <c r="W2865" s="528"/>
      <c r="X2865" s="711">
        <f t="shared" si="11552"/>
        <v>0</v>
      </c>
      <c r="Y2865" s="897"/>
      <c r="Z2865" s="528"/>
      <c r="AA2865" s="899"/>
      <c r="AB2865" s="899"/>
      <c r="AC2865" s="899"/>
      <c r="AD2865" s="897"/>
      <c r="AE2865" s="2"/>
      <c r="AF2865" s="885"/>
      <c r="AG2865" s="885"/>
      <c r="AH2865" s="885"/>
      <c r="AI2865" s="885"/>
      <c r="AJ2865" s="885"/>
      <c r="AK2865" s="885"/>
      <c r="AL2865" s="885"/>
      <c r="AM2865" s="879"/>
      <c r="AN2865" s="2"/>
      <c r="AO2865" s="886"/>
      <c r="AP2865" s="886"/>
      <c r="AV2865" t="str">
        <f t="shared" si="11443"/>
        <v>Revegetação - Hidrossemeadura</v>
      </c>
      <c r="AW2865" s="4" t="str">
        <f t="shared" si="11434"/>
        <v xml:space="preserve">   Seg. 2.2-C13-Revestimento vegetal por hidrossemeadura</v>
      </c>
    </row>
    <row r="2866" spans="1:49" ht="14.45" customHeight="1" outlineLevel="2">
      <c r="A2866" s="8" t="str">
        <f t="shared" ref="A2866" si="11593">IF(SUM(P2866:V2867)&gt;0,"S","N")</f>
        <v>N</v>
      </c>
      <c r="B2866" s="150">
        <v>1066498</v>
      </c>
      <c r="C2866" s="150" t="s">
        <v>3223</v>
      </c>
      <c r="D2866" s="120" t="s">
        <v>3224</v>
      </c>
      <c r="E2866" s="892" t="s">
        <v>3225</v>
      </c>
      <c r="F2866" s="894" t="s">
        <v>3210</v>
      </c>
      <c r="G2866" s="528"/>
      <c r="H2866" s="546" t="s">
        <v>37</v>
      </c>
      <c r="I2866" s="711">
        <v>0</v>
      </c>
      <c r="J2866" s="896" t="str">
        <f t="shared" ref="J2866" si="11594">IFERROR((I2867/I2866),"-")</f>
        <v>-</v>
      </c>
      <c r="K2866" s="528"/>
      <c r="L2866" s="546" t="s">
        <v>37</v>
      </c>
      <c r="M2866" s="711">
        <f t="shared" si="11559"/>
        <v>0</v>
      </c>
      <c r="N2866" s="896" t="str">
        <f t="shared" ref="N2866" si="11595">IFERROR((M2867/M2866),"-")</f>
        <v>-</v>
      </c>
      <c r="O2866" s="528"/>
      <c r="P2866" s="547">
        <v>0</v>
      </c>
      <c r="Q2866" s="547">
        <v>0</v>
      </c>
      <c r="R2866" s="547">
        <v>0</v>
      </c>
      <c r="S2866" s="547">
        <v>0</v>
      </c>
      <c r="T2866" s="547">
        <v>0</v>
      </c>
      <c r="U2866" s="547">
        <v>0</v>
      </c>
      <c r="V2866" s="548">
        <v>0</v>
      </c>
      <c r="W2866" s="528"/>
      <c r="X2866" s="711">
        <f t="shared" si="11552"/>
        <v>0</v>
      </c>
      <c r="Y2866" s="896" t="str">
        <f t="shared" ref="Y2866" si="11596">IFERROR((X2867/X2866),"-")</f>
        <v>-</v>
      </c>
      <c r="Z2866" s="528"/>
      <c r="AA2866" s="898">
        <v>50.76</v>
      </c>
      <c r="AB2866" s="898">
        <v>0</v>
      </c>
      <c r="AC2866" s="898">
        <v>0</v>
      </c>
      <c r="AD2866" s="896">
        <f t="shared" ref="AD2866" si="11597">IFERROR((AC2866/AA2866),"-")</f>
        <v>0</v>
      </c>
      <c r="AE2866" s="2"/>
      <c r="AF2866" s="884">
        <v>0</v>
      </c>
      <c r="AG2866" s="884">
        <v>0</v>
      </c>
      <c r="AH2866" s="884">
        <v>0</v>
      </c>
      <c r="AI2866" s="884"/>
      <c r="AJ2866" s="884"/>
      <c r="AK2866" s="884">
        <f t="shared" ref="AK2866" si="11598">AF2866+AG2866+AH2866+AI2866+AJ2866+AC2866</f>
        <v>0</v>
      </c>
      <c r="AL2866" s="884">
        <v>0</v>
      </c>
      <c r="AM2866" s="878" t="str">
        <f t="shared" ref="AM2866" si="11599">IFERROR((AK2866/AL2866),"-")</f>
        <v>-</v>
      </c>
      <c r="AN2866" s="2"/>
      <c r="AO2866" s="884">
        <v>50.76</v>
      </c>
      <c r="AP2866" s="884">
        <f t="shared" ref="AP2866" si="11600">AO2866-AK2866</f>
        <v>50.76</v>
      </c>
      <c r="AV2866" t="str">
        <f t="shared" si="11443"/>
        <v>Revegetação - Hidrossemeadura</v>
      </c>
      <c r="AW2866" s="4" t="str">
        <f t="shared" si="11434"/>
        <v xml:space="preserve">   Seg. 2.2-C15-Revestimento vegetal por hidrossemeadura</v>
      </c>
    </row>
    <row r="2867" spans="1:49" ht="14.45" customHeight="1" outlineLevel="2">
      <c r="A2867" s="8" t="str">
        <f t="shared" ref="A2867" si="11601">A2866</f>
        <v>N</v>
      </c>
      <c r="B2867" s="150"/>
      <c r="C2867" s="150"/>
      <c r="D2867" s="120" t="s">
        <v>3224</v>
      </c>
      <c r="E2867" s="893"/>
      <c r="F2867" s="895"/>
      <c r="G2867" s="528"/>
      <c r="H2867" s="549" t="s">
        <v>38</v>
      </c>
      <c r="I2867" s="711">
        <v>0</v>
      </c>
      <c r="J2867" s="897"/>
      <c r="K2867" s="528"/>
      <c r="L2867" s="549" t="s">
        <v>38</v>
      </c>
      <c r="M2867" s="711">
        <f t="shared" si="11559"/>
        <v>0</v>
      </c>
      <c r="N2867" s="897"/>
      <c r="O2867" s="528"/>
      <c r="P2867" s="548">
        <v>0</v>
      </c>
      <c r="Q2867" s="548">
        <v>0</v>
      </c>
      <c r="R2867" s="548">
        <v>0</v>
      </c>
      <c r="S2867" s="548">
        <v>0</v>
      </c>
      <c r="T2867" s="548">
        <v>0</v>
      </c>
      <c r="U2867" s="548">
        <v>0</v>
      </c>
      <c r="V2867" s="548"/>
      <c r="W2867" s="528"/>
      <c r="X2867" s="711">
        <f t="shared" si="11552"/>
        <v>0</v>
      </c>
      <c r="Y2867" s="897"/>
      <c r="Z2867" s="528"/>
      <c r="AA2867" s="899"/>
      <c r="AB2867" s="899"/>
      <c r="AC2867" s="899"/>
      <c r="AD2867" s="897"/>
      <c r="AE2867" s="2"/>
      <c r="AF2867" s="885"/>
      <c r="AG2867" s="885"/>
      <c r="AH2867" s="885"/>
      <c r="AI2867" s="885"/>
      <c r="AJ2867" s="885"/>
      <c r="AK2867" s="885"/>
      <c r="AL2867" s="885"/>
      <c r="AM2867" s="879"/>
      <c r="AN2867" s="2"/>
      <c r="AO2867" s="886"/>
      <c r="AP2867" s="886"/>
      <c r="AV2867" t="str">
        <f t="shared" si="11443"/>
        <v>Revegetação - Hidrossemeadura</v>
      </c>
      <c r="AW2867" s="4" t="str">
        <f t="shared" si="11434"/>
        <v xml:space="preserve">   Seg. 2.2-C15-Revestimento vegetal por hidrossemeadura</v>
      </c>
    </row>
    <row r="2868" spans="1:49" ht="15.6" customHeight="1" outlineLevel="2">
      <c r="A2868" s="209" t="str">
        <f t="shared" ref="A2868" si="11602">IF(SUM(P2868:V2869)&gt;0,"S","N")</f>
        <v>N</v>
      </c>
      <c r="B2868" s="150">
        <v>1066499</v>
      </c>
      <c r="C2868" s="150" t="s">
        <v>3226</v>
      </c>
      <c r="D2868" s="120" t="s">
        <v>3227</v>
      </c>
      <c r="E2868" s="892" t="s">
        <v>3228</v>
      </c>
      <c r="F2868" s="894" t="s">
        <v>3210</v>
      </c>
      <c r="G2868" s="528"/>
      <c r="H2868" s="546" t="s">
        <v>37</v>
      </c>
      <c r="I2868" s="711">
        <v>0</v>
      </c>
      <c r="J2868" s="896" t="str">
        <f t="shared" ref="J2868" si="11603">IFERROR((I2869/I2868),"-")</f>
        <v>-</v>
      </c>
      <c r="K2868" s="528"/>
      <c r="L2868" s="546" t="s">
        <v>37</v>
      </c>
      <c r="M2868" s="711">
        <f t="shared" si="11559"/>
        <v>0</v>
      </c>
      <c r="N2868" s="896" t="str">
        <f t="shared" ref="N2868" si="11604">IFERROR((M2869/M2868),"-")</f>
        <v>-</v>
      </c>
      <c r="O2868" s="528"/>
      <c r="P2868" s="547">
        <v>0</v>
      </c>
      <c r="Q2868" s="547">
        <v>0</v>
      </c>
      <c r="R2868" s="547">
        <v>0</v>
      </c>
      <c r="S2868" s="547">
        <v>0</v>
      </c>
      <c r="T2868" s="547">
        <v>0</v>
      </c>
      <c r="U2868" s="547">
        <v>0</v>
      </c>
      <c r="V2868" s="548">
        <v>0</v>
      </c>
      <c r="W2868" s="528"/>
      <c r="X2868" s="711">
        <f t="shared" si="11552"/>
        <v>0</v>
      </c>
      <c r="Y2868" s="896" t="str">
        <f t="shared" ref="Y2868" si="11605">IFERROR((X2869/X2868),"-")</f>
        <v>-</v>
      </c>
      <c r="Z2868" s="528"/>
      <c r="AA2868" s="898">
        <v>1396.04</v>
      </c>
      <c r="AB2868" s="898">
        <v>0</v>
      </c>
      <c r="AC2868" s="898">
        <v>0</v>
      </c>
      <c r="AD2868" s="896">
        <f t="shared" ref="AD2868" si="11606">IFERROR((AC2868/AA2868),"-")</f>
        <v>0</v>
      </c>
      <c r="AE2868" s="2"/>
      <c r="AF2868" s="884">
        <v>0</v>
      </c>
      <c r="AG2868" s="884">
        <v>0</v>
      </c>
      <c r="AH2868" s="884">
        <v>0</v>
      </c>
      <c r="AI2868" s="884"/>
      <c r="AJ2868" s="884"/>
      <c r="AK2868" s="884">
        <f t="shared" ref="AK2868" si="11607">AF2868+AG2868+AH2868+AI2868+AJ2868+AC2868</f>
        <v>0</v>
      </c>
      <c r="AL2868" s="884">
        <v>7428.87</v>
      </c>
      <c r="AM2868" s="878">
        <f t="shared" ref="AM2868" si="11608">IFERROR((AK2868/AL2868),"-")</f>
        <v>0</v>
      </c>
      <c r="AN2868" s="2"/>
      <c r="AO2868" s="884">
        <v>8824.91</v>
      </c>
      <c r="AP2868" s="884">
        <f t="shared" ref="AP2868" si="11609">AO2868-AK2868</f>
        <v>8824.91</v>
      </c>
      <c r="AV2868" t="str">
        <f t="shared" si="11443"/>
        <v>Revegetação - Hidrossemeadura</v>
      </c>
      <c r="AW2868" s="4" t="str">
        <f t="shared" si="11434"/>
        <v xml:space="preserve">   Seg. 2.2-A06-Acesso - Revestimento vegetal por hidrossemeadura</v>
      </c>
    </row>
    <row r="2869" spans="1:49" ht="15.6" customHeight="1" outlineLevel="2">
      <c r="A2869" s="209" t="str">
        <f t="shared" ref="A2869" si="11610">A2868</f>
        <v>N</v>
      </c>
      <c r="B2869" s="150"/>
      <c r="C2869" s="150"/>
      <c r="D2869" s="120" t="s">
        <v>3227</v>
      </c>
      <c r="E2869" s="893"/>
      <c r="F2869" s="895"/>
      <c r="G2869" s="528"/>
      <c r="H2869" s="549" t="s">
        <v>38</v>
      </c>
      <c r="I2869" s="711">
        <v>0</v>
      </c>
      <c r="J2869" s="897"/>
      <c r="K2869" s="528"/>
      <c r="L2869" s="549" t="s">
        <v>38</v>
      </c>
      <c r="M2869" s="711">
        <f t="shared" si="11559"/>
        <v>0</v>
      </c>
      <c r="N2869" s="897"/>
      <c r="O2869" s="528"/>
      <c r="P2869" s="548">
        <v>0</v>
      </c>
      <c r="Q2869" s="548">
        <v>0</v>
      </c>
      <c r="R2869" s="548">
        <v>0</v>
      </c>
      <c r="S2869" s="548">
        <v>0</v>
      </c>
      <c r="T2869" s="548">
        <v>0</v>
      </c>
      <c r="U2869" s="548">
        <v>0</v>
      </c>
      <c r="V2869" s="548"/>
      <c r="W2869" s="528"/>
      <c r="X2869" s="711">
        <f t="shared" si="11552"/>
        <v>0</v>
      </c>
      <c r="Y2869" s="897"/>
      <c r="Z2869" s="528"/>
      <c r="AA2869" s="899"/>
      <c r="AB2869" s="899"/>
      <c r="AC2869" s="899"/>
      <c r="AD2869" s="897"/>
      <c r="AE2869" s="2"/>
      <c r="AF2869" s="885"/>
      <c r="AG2869" s="885"/>
      <c r="AH2869" s="885"/>
      <c r="AI2869" s="885"/>
      <c r="AJ2869" s="885"/>
      <c r="AK2869" s="885"/>
      <c r="AL2869" s="885"/>
      <c r="AM2869" s="879"/>
      <c r="AN2869" s="2"/>
      <c r="AO2869" s="886"/>
      <c r="AP2869" s="886"/>
      <c r="AV2869" t="str">
        <f t="shared" si="11443"/>
        <v>Revegetação - Hidrossemeadura</v>
      </c>
      <c r="AW2869" s="4" t="str">
        <f t="shared" si="11434"/>
        <v xml:space="preserve">   Seg. 2.2-A06-Acesso - Revestimento vegetal por hidrossemeadura</v>
      </c>
    </row>
    <row r="2870" spans="1:49" ht="15.6" customHeight="1" outlineLevel="2">
      <c r="A2870" s="8" t="str">
        <f t="shared" ref="A2870" si="11611">IF(SUM(P2870:V2871)&gt;0,"S","N")</f>
        <v>N</v>
      </c>
      <c r="B2870" s="150">
        <v>1066500</v>
      </c>
      <c r="C2870" s="150" t="s">
        <v>3229</v>
      </c>
      <c r="D2870" s="120" t="s">
        <v>3230</v>
      </c>
      <c r="E2870" s="892" t="s">
        <v>3231</v>
      </c>
      <c r="F2870" s="894" t="s">
        <v>3210</v>
      </c>
      <c r="G2870" s="528"/>
      <c r="H2870" s="546" t="s">
        <v>37</v>
      </c>
      <c r="I2870" s="711">
        <v>0</v>
      </c>
      <c r="J2870" s="896" t="str">
        <f t="shared" ref="J2870" si="11612">IFERROR((I2871/I2870),"-")</f>
        <v>-</v>
      </c>
      <c r="K2870" s="528"/>
      <c r="L2870" s="546" t="s">
        <v>37</v>
      </c>
      <c r="M2870" s="711">
        <f t="shared" si="11559"/>
        <v>0</v>
      </c>
      <c r="N2870" s="896" t="str">
        <f t="shared" ref="N2870" si="11613">IFERROR((M2871/M2870),"-")</f>
        <v>-</v>
      </c>
      <c r="O2870" s="528"/>
      <c r="P2870" s="547">
        <v>0</v>
      </c>
      <c r="Q2870" s="547">
        <v>0</v>
      </c>
      <c r="R2870" s="547">
        <v>0</v>
      </c>
      <c r="S2870" s="547">
        <v>0</v>
      </c>
      <c r="T2870" s="547">
        <v>0</v>
      </c>
      <c r="U2870" s="547">
        <v>0</v>
      </c>
      <c r="V2870" s="548">
        <v>0</v>
      </c>
      <c r="W2870" s="528"/>
      <c r="X2870" s="711">
        <f t="shared" si="11552"/>
        <v>0</v>
      </c>
      <c r="Y2870" s="896" t="str">
        <f t="shared" ref="Y2870" si="11614">IFERROR((X2871/X2870),"-")</f>
        <v>-</v>
      </c>
      <c r="Z2870" s="528"/>
      <c r="AA2870" s="898">
        <v>296.89999999999998</v>
      </c>
      <c r="AB2870" s="898">
        <v>0</v>
      </c>
      <c r="AC2870" s="898">
        <v>0</v>
      </c>
      <c r="AD2870" s="896">
        <f t="shared" ref="AD2870" si="11615">IFERROR((AC2870/AA2870),"-")</f>
        <v>0</v>
      </c>
      <c r="AE2870" s="2"/>
      <c r="AF2870" s="884">
        <v>657.73</v>
      </c>
      <c r="AG2870" s="884">
        <v>0</v>
      </c>
      <c r="AH2870" s="884">
        <v>0</v>
      </c>
      <c r="AI2870" s="884"/>
      <c r="AJ2870" s="884"/>
      <c r="AK2870" s="884">
        <f t="shared" ref="AK2870" si="11616">AF2870+AG2870+AH2870+AI2870+AJ2870+AC2870</f>
        <v>657.73</v>
      </c>
      <c r="AL2870" s="884">
        <v>657.73</v>
      </c>
      <c r="AM2870" s="878">
        <f t="shared" ref="AM2870" si="11617">IFERROR((AK2870/AL2870),"-")</f>
        <v>1</v>
      </c>
      <c r="AN2870" s="2"/>
      <c r="AO2870" s="884">
        <v>954.63</v>
      </c>
      <c r="AP2870" s="884">
        <f t="shared" ref="AP2870" si="11618">AO2870-AK2870</f>
        <v>296.89999999999998</v>
      </c>
      <c r="AV2870" t="str">
        <f t="shared" si="11443"/>
        <v>Revegetação - Hidrossemeadura</v>
      </c>
      <c r="AW2870" s="4" t="str">
        <f t="shared" si="11434"/>
        <v xml:space="preserve">   Seg. 2.2-A07-Revestimento vegetal por hidrossemeadura</v>
      </c>
    </row>
    <row r="2871" spans="1:49" ht="15.6" customHeight="1" outlineLevel="2">
      <c r="A2871" s="8" t="str">
        <f t="shared" ref="A2871" si="11619">A2870</f>
        <v>N</v>
      </c>
      <c r="B2871" s="150"/>
      <c r="C2871" s="150"/>
      <c r="D2871" s="120" t="s">
        <v>3230</v>
      </c>
      <c r="E2871" s="893"/>
      <c r="F2871" s="895"/>
      <c r="G2871" s="528"/>
      <c r="H2871" s="549" t="s">
        <v>38</v>
      </c>
      <c r="I2871" s="711">
        <v>0</v>
      </c>
      <c r="J2871" s="897"/>
      <c r="K2871" s="528"/>
      <c r="L2871" s="549" t="s">
        <v>38</v>
      </c>
      <c r="M2871" s="711">
        <f t="shared" si="11559"/>
        <v>0</v>
      </c>
      <c r="N2871" s="897"/>
      <c r="O2871" s="528"/>
      <c r="P2871" s="548">
        <v>0</v>
      </c>
      <c r="Q2871" s="548">
        <v>0</v>
      </c>
      <c r="R2871" s="548">
        <v>0</v>
      </c>
      <c r="S2871" s="548">
        <v>0</v>
      </c>
      <c r="T2871" s="548">
        <v>0</v>
      </c>
      <c r="U2871" s="548">
        <v>0</v>
      </c>
      <c r="V2871" s="548"/>
      <c r="W2871" s="528"/>
      <c r="X2871" s="711">
        <f t="shared" si="11552"/>
        <v>0</v>
      </c>
      <c r="Y2871" s="897"/>
      <c r="Z2871" s="528"/>
      <c r="AA2871" s="899"/>
      <c r="AB2871" s="899"/>
      <c r="AC2871" s="899"/>
      <c r="AD2871" s="897"/>
      <c r="AE2871" s="2"/>
      <c r="AF2871" s="885"/>
      <c r="AG2871" s="885"/>
      <c r="AH2871" s="885"/>
      <c r="AI2871" s="885"/>
      <c r="AJ2871" s="885"/>
      <c r="AK2871" s="885"/>
      <c r="AL2871" s="885"/>
      <c r="AM2871" s="879"/>
      <c r="AN2871" s="2"/>
      <c r="AO2871" s="886"/>
      <c r="AP2871" s="886"/>
      <c r="AV2871" t="str">
        <f t="shared" si="11443"/>
        <v>Revegetação - Hidrossemeadura</v>
      </c>
      <c r="AW2871" s="4" t="str">
        <f t="shared" si="11434"/>
        <v xml:space="preserve">   Seg. 2.2-A07-Revestimento vegetal por hidrossemeadura</v>
      </c>
    </row>
    <row r="2872" spans="1:49" ht="15.6" customHeight="1" outlineLevel="2">
      <c r="A2872" s="8" t="str">
        <f t="shared" ref="A2872" si="11620">IF(SUM(P2872:V2873)&gt;0,"S","N")</f>
        <v>N</v>
      </c>
      <c r="B2872" s="150">
        <v>1066501</v>
      </c>
      <c r="C2872" s="150" t="s">
        <v>3232</v>
      </c>
      <c r="D2872" s="120" t="s">
        <v>3233</v>
      </c>
      <c r="E2872" s="892" t="s">
        <v>3234</v>
      </c>
      <c r="F2872" s="894" t="s">
        <v>3210</v>
      </c>
      <c r="G2872" s="528"/>
      <c r="H2872" s="546" t="s">
        <v>37</v>
      </c>
      <c r="I2872" s="711">
        <v>0</v>
      </c>
      <c r="J2872" s="896" t="str">
        <f t="shared" ref="J2872" si="11621">IFERROR((I2873/I2872),"-")</f>
        <v>-</v>
      </c>
      <c r="K2872" s="528"/>
      <c r="L2872" s="546" t="s">
        <v>37</v>
      </c>
      <c r="M2872" s="711">
        <f t="shared" si="11559"/>
        <v>0</v>
      </c>
      <c r="N2872" s="896" t="str">
        <f t="shared" ref="N2872" si="11622">IFERROR((M2873/M2872),"-")</f>
        <v>-</v>
      </c>
      <c r="O2872" s="528"/>
      <c r="P2872" s="547">
        <v>0</v>
      </c>
      <c r="Q2872" s="547">
        <v>0</v>
      </c>
      <c r="R2872" s="547">
        <v>0</v>
      </c>
      <c r="S2872" s="547">
        <v>0</v>
      </c>
      <c r="T2872" s="547">
        <v>0</v>
      </c>
      <c r="U2872" s="547">
        <v>0</v>
      </c>
      <c r="V2872" s="548">
        <v>0</v>
      </c>
      <c r="W2872" s="528"/>
      <c r="X2872" s="711">
        <f t="shared" si="11552"/>
        <v>0</v>
      </c>
      <c r="Y2872" s="896" t="str">
        <f t="shared" ref="Y2872" si="11623">IFERROR((X2873/X2872),"-")</f>
        <v>-</v>
      </c>
      <c r="Z2872" s="528"/>
      <c r="AA2872" s="898">
        <v>977.25</v>
      </c>
      <c r="AB2872" s="898">
        <v>0</v>
      </c>
      <c r="AC2872" s="898">
        <v>0</v>
      </c>
      <c r="AD2872" s="896">
        <f t="shared" ref="AD2872" si="11624">IFERROR((AC2872/AA2872),"-")</f>
        <v>0</v>
      </c>
      <c r="AE2872" s="2"/>
      <c r="AF2872" s="884">
        <v>3426.11</v>
      </c>
      <c r="AG2872" s="884">
        <v>0</v>
      </c>
      <c r="AH2872" s="884">
        <v>0</v>
      </c>
      <c r="AI2872" s="884"/>
      <c r="AJ2872" s="884"/>
      <c r="AK2872" s="884">
        <f t="shared" ref="AK2872" si="11625">AF2872+AG2872+AH2872+AI2872+AJ2872+AC2872</f>
        <v>3426.11</v>
      </c>
      <c r="AL2872" s="884">
        <v>1860.53</v>
      </c>
      <c r="AM2872" s="878">
        <f t="shared" ref="AM2872" si="11626">IFERROR((AK2872/AL2872),"-")</f>
        <v>1.8414699037371072</v>
      </c>
      <c r="AN2872" s="2"/>
      <c r="AO2872" s="884">
        <v>2837.78</v>
      </c>
      <c r="AP2872" s="884">
        <f t="shared" ref="AP2872" si="11627">AO2872-AK2872</f>
        <v>-588.32999999999993</v>
      </c>
      <c r="AV2872" t="str">
        <f t="shared" si="11443"/>
        <v>Revegetação - Hidrossemeadura</v>
      </c>
      <c r="AW2872" s="4" t="str">
        <f t="shared" si="11434"/>
        <v xml:space="preserve">   Seg. 2.2-A08-Revestimento vegetal por hidrossemeadura</v>
      </c>
    </row>
    <row r="2873" spans="1:49" ht="15.6" customHeight="1" outlineLevel="2">
      <c r="A2873" s="8" t="str">
        <f t="shared" ref="A2873" si="11628">A2872</f>
        <v>N</v>
      </c>
      <c r="B2873" s="150"/>
      <c r="C2873" s="150"/>
      <c r="D2873" s="120" t="s">
        <v>3233</v>
      </c>
      <c r="E2873" s="893"/>
      <c r="F2873" s="895"/>
      <c r="G2873" s="528"/>
      <c r="H2873" s="549" t="s">
        <v>38</v>
      </c>
      <c r="I2873" s="711">
        <v>0</v>
      </c>
      <c r="J2873" s="897"/>
      <c r="K2873" s="528"/>
      <c r="L2873" s="549" t="s">
        <v>38</v>
      </c>
      <c r="M2873" s="711">
        <f t="shared" si="11559"/>
        <v>0</v>
      </c>
      <c r="N2873" s="897"/>
      <c r="O2873" s="528"/>
      <c r="P2873" s="548">
        <v>0</v>
      </c>
      <c r="Q2873" s="548">
        <v>0</v>
      </c>
      <c r="R2873" s="548">
        <v>0</v>
      </c>
      <c r="S2873" s="548">
        <v>0</v>
      </c>
      <c r="T2873" s="548">
        <v>0</v>
      </c>
      <c r="U2873" s="548">
        <v>0</v>
      </c>
      <c r="V2873" s="548"/>
      <c r="W2873" s="528"/>
      <c r="X2873" s="711">
        <f t="shared" si="11552"/>
        <v>0</v>
      </c>
      <c r="Y2873" s="897"/>
      <c r="Z2873" s="528"/>
      <c r="AA2873" s="899"/>
      <c r="AB2873" s="899"/>
      <c r="AC2873" s="899"/>
      <c r="AD2873" s="897"/>
      <c r="AE2873" s="2"/>
      <c r="AF2873" s="885"/>
      <c r="AG2873" s="885"/>
      <c r="AH2873" s="885"/>
      <c r="AI2873" s="885"/>
      <c r="AJ2873" s="885"/>
      <c r="AK2873" s="885"/>
      <c r="AL2873" s="885"/>
      <c r="AM2873" s="879"/>
      <c r="AN2873" s="2"/>
      <c r="AO2873" s="886"/>
      <c r="AP2873" s="886"/>
      <c r="AV2873" t="str">
        <f t="shared" si="11443"/>
        <v>Revegetação - Hidrossemeadura</v>
      </c>
      <c r="AW2873" s="4" t="str">
        <f t="shared" si="11434"/>
        <v xml:space="preserve">   Seg. 2.2-A08-Revestimento vegetal por hidrossemeadura</v>
      </c>
    </row>
    <row r="2874" spans="1:49" ht="15.6" customHeight="1" outlineLevel="2">
      <c r="A2874" s="8" t="str">
        <f t="shared" ref="A2874" si="11629">IF(SUM(P2874:V2875)&gt;0,"S","N")</f>
        <v>N</v>
      </c>
      <c r="B2874" s="150">
        <v>1066502</v>
      </c>
      <c r="C2874" s="150" t="s">
        <v>3235</v>
      </c>
      <c r="D2874" s="120" t="s">
        <v>3236</v>
      </c>
      <c r="E2874" s="892" t="s">
        <v>3237</v>
      </c>
      <c r="F2874" s="894" t="s">
        <v>3210</v>
      </c>
      <c r="G2874" s="528"/>
      <c r="H2874" s="546" t="s">
        <v>37</v>
      </c>
      <c r="I2874" s="711">
        <v>0</v>
      </c>
      <c r="J2874" s="896" t="str">
        <f t="shared" ref="J2874" si="11630">IFERROR((I2875/I2874),"-")</f>
        <v>-</v>
      </c>
      <c r="K2874" s="528"/>
      <c r="L2874" s="546" t="s">
        <v>37</v>
      </c>
      <c r="M2874" s="711">
        <f t="shared" si="11559"/>
        <v>0</v>
      </c>
      <c r="N2874" s="896" t="str">
        <f t="shared" ref="N2874" si="11631">IFERROR((M2875/M2874),"-")</f>
        <v>-</v>
      </c>
      <c r="O2874" s="528"/>
      <c r="P2874" s="547">
        <v>0</v>
      </c>
      <c r="Q2874" s="547">
        <v>0</v>
      </c>
      <c r="R2874" s="547">
        <v>0</v>
      </c>
      <c r="S2874" s="547">
        <v>0</v>
      </c>
      <c r="T2874" s="547">
        <v>0</v>
      </c>
      <c r="U2874" s="547">
        <v>0</v>
      </c>
      <c r="V2874" s="548">
        <v>0</v>
      </c>
      <c r="W2874" s="528"/>
      <c r="X2874" s="711">
        <f t="shared" si="11552"/>
        <v>0</v>
      </c>
      <c r="Y2874" s="896" t="str">
        <f t="shared" ref="Y2874" si="11632">IFERROR((X2875/X2874),"-")</f>
        <v>-</v>
      </c>
      <c r="Z2874" s="528"/>
      <c r="AA2874" s="898">
        <v>0</v>
      </c>
      <c r="AB2874" s="898">
        <v>0</v>
      </c>
      <c r="AC2874" s="898">
        <v>0</v>
      </c>
      <c r="AD2874" s="896" t="str">
        <f t="shared" ref="AD2874" si="11633">IFERROR((AC2874/AA2874),"-")</f>
        <v>-</v>
      </c>
      <c r="AE2874" s="2"/>
      <c r="AF2874" s="884">
        <v>2192.4499999999998</v>
      </c>
      <c r="AG2874" s="884">
        <v>0</v>
      </c>
      <c r="AH2874" s="884">
        <v>0</v>
      </c>
      <c r="AI2874" s="884"/>
      <c r="AJ2874" s="884"/>
      <c r="AK2874" s="884">
        <f t="shared" ref="AK2874" si="11634">AF2874+AG2874+AH2874+AI2874+AJ2874+AC2874</f>
        <v>2192.4499999999998</v>
      </c>
      <c r="AL2874" s="884">
        <v>514.49000000000046</v>
      </c>
      <c r="AM2874" s="878">
        <f t="shared" ref="AM2874" si="11635">IFERROR((AK2874/AL2874),"-")</f>
        <v>4.2614044976578702</v>
      </c>
      <c r="AN2874" s="2"/>
      <c r="AO2874" s="884">
        <v>514.49</v>
      </c>
      <c r="AP2874" s="884">
        <f t="shared" ref="AP2874" si="11636">AO2874-AK2874</f>
        <v>-1677.9599999999998</v>
      </c>
      <c r="AV2874" t="str">
        <f t="shared" si="11443"/>
        <v>Revegetação - Hidrossemeadura</v>
      </c>
      <c r="AW2874" s="4" t="str">
        <f t="shared" si="11434"/>
        <v xml:space="preserve">   Seg. 2.2-A09-Revestimento vegetal por hidrossemeadura</v>
      </c>
    </row>
    <row r="2875" spans="1:49" ht="15.6" customHeight="1" outlineLevel="2">
      <c r="A2875" s="8" t="str">
        <f t="shared" ref="A2875" si="11637">A2874</f>
        <v>N</v>
      </c>
      <c r="B2875" s="150"/>
      <c r="C2875" s="150"/>
      <c r="D2875" s="120" t="s">
        <v>3236</v>
      </c>
      <c r="E2875" s="893"/>
      <c r="F2875" s="895"/>
      <c r="G2875" s="528"/>
      <c r="H2875" s="549" t="s">
        <v>38</v>
      </c>
      <c r="I2875" s="711">
        <v>0</v>
      </c>
      <c r="J2875" s="897"/>
      <c r="K2875" s="528"/>
      <c r="L2875" s="549" t="s">
        <v>38</v>
      </c>
      <c r="M2875" s="711">
        <f t="shared" si="11559"/>
        <v>0</v>
      </c>
      <c r="N2875" s="897"/>
      <c r="O2875" s="528"/>
      <c r="P2875" s="548">
        <v>0</v>
      </c>
      <c r="Q2875" s="548">
        <v>0</v>
      </c>
      <c r="R2875" s="548">
        <v>0</v>
      </c>
      <c r="S2875" s="548">
        <v>0</v>
      </c>
      <c r="T2875" s="548">
        <v>0</v>
      </c>
      <c r="U2875" s="548">
        <v>0</v>
      </c>
      <c r="V2875" s="548"/>
      <c r="W2875" s="528"/>
      <c r="X2875" s="711">
        <f t="shared" si="11552"/>
        <v>0</v>
      </c>
      <c r="Y2875" s="897"/>
      <c r="Z2875" s="528"/>
      <c r="AA2875" s="899"/>
      <c r="AB2875" s="899"/>
      <c r="AC2875" s="899"/>
      <c r="AD2875" s="897"/>
      <c r="AE2875" s="2"/>
      <c r="AF2875" s="885"/>
      <c r="AG2875" s="885"/>
      <c r="AH2875" s="885"/>
      <c r="AI2875" s="885"/>
      <c r="AJ2875" s="885"/>
      <c r="AK2875" s="885"/>
      <c r="AL2875" s="885"/>
      <c r="AM2875" s="879"/>
      <c r="AN2875" s="2"/>
      <c r="AO2875" s="886"/>
      <c r="AP2875" s="886"/>
      <c r="AV2875" t="str">
        <f t="shared" si="11443"/>
        <v>Revegetação - Hidrossemeadura</v>
      </c>
      <c r="AW2875" s="4" t="str">
        <f t="shared" si="11434"/>
        <v xml:space="preserve">   Seg. 2.2-A09-Revestimento vegetal por hidrossemeadura</v>
      </c>
    </row>
    <row r="2876" spans="1:49" ht="15.6" customHeight="1" outlineLevel="2">
      <c r="A2876" s="8" t="str">
        <f t="shared" ref="A2876" si="11638">IF(SUM(P2876:V2877)&gt;0,"S","N")</f>
        <v>N</v>
      </c>
      <c r="B2876" s="150">
        <v>1066503</v>
      </c>
      <c r="C2876" s="150" t="s">
        <v>3238</v>
      </c>
      <c r="D2876" s="120" t="s">
        <v>3239</v>
      </c>
      <c r="E2876" s="892" t="s">
        <v>3240</v>
      </c>
      <c r="F2876" s="894" t="s">
        <v>3210</v>
      </c>
      <c r="G2876" s="528"/>
      <c r="H2876" s="546" t="s">
        <v>37</v>
      </c>
      <c r="I2876" s="711">
        <v>0</v>
      </c>
      <c r="J2876" s="896" t="str">
        <f t="shared" ref="J2876" si="11639">IFERROR((I2877/I2876),"-")</f>
        <v>-</v>
      </c>
      <c r="K2876" s="528"/>
      <c r="L2876" s="546" t="s">
        <v>37</v>
      </c>
      <c r="M2876" s="711">
        <f t="shared" si="11559"/>
        <v>0</v>
      </c>
      <c r="N2876" s="896" t="str">
        <f t="shared" ref="N2876" si="11640">IFERROR((M2877/M2876),"-")</f>
        <v>-</v>
      </c>
      <c r="O2876" s="528"/>
      <c r="P2876" s="547">
        <v>0</v>
      </c>
      <c r="Q2876" s="547">
        <v>0</v>
      </c>
      <c r="R2876" s="547">
        <v>0</v>
      </c>
      <c r="S2876" s="547">
        <v>0</v>
      </c>
      <c r="T2876" s="547">
        <v>0</v>
      </c>
      <c r="U2876" s="547">
        <v>0</v>
      </c>
      <c r="V2876" s="548">
        <v>0</v>
      </c>
      <c r="W2876" s="528"/>
      <c r="X2876" s="711">
        <f t="shared" si="11552"/>
        <v>0</v>
      </c>
      <c r="Y2876" s="896" t="str">
        <f t="shared" ref="Y2876" si="11641">IFERROR((X2877/X2876),"-")</f>
        <v>-</v>
      </c>
      <c r="Z2876" s="528"/>
      <c r="AA2876" s="898">
        <v>1685.68</v>
      </c>
      <c r="AB2876" s="898">
        <v>0</v>
      </c>
      <c r="AC2876" s="898">
        <v>0</v>
      </c>
      <c r="AD2876" s="896">
        <f t="shared" ref="AD2876" si="11642">IFERROR((AC2876/AA2876),"-")</f>
        <v>0</v>
      </c>
      <c r="AE2876" s="2"/>
      <c r="AF2876" s="884">
        <v>11115.46</v>
      </c>
      <c r="AG2876" s="884">
        <v>0</v>
      </c>
      <c r="AH2876" s="884">
        <v>0</v>
      </c>
      <c r="AI2876" s="884"/>
      <c r="AJ2876" s="884"/>
      <c r="AK2876" s="884">
        <f t="shared" ref="AK2876" si="11643">AF2876+AG2876+AH2876+AI2876+AJ2876+AC2876</f>
        <v>11115.46</v>
      </c>
      <c r="AL2876" s="884">
        <v>6941.46</v>
      </c>
      <c r="AM2876" s="878">
        <f t="shared" ref="AM2876" si="11644">IFERROR((AK2876/AL2876),"-")</f>
        <v>1.6013144208855197</v>
      </c>
      <c r="AN2876" s="2"/>
      <c r="AO2876" s="884">
        <v>8627.14</v>
      </c>
      <c r="AP2876" s="884">
        <f t="shared" ref="AP2876" si="11645">AO2876-AK2876</f>
        <v>-2488.3199999999997</v>
      </c>
      <c r="AV2876" t="str">
        <f t="shared" si="11443"/>
        <v>Revegetação - Hidrossemeadura</v>
      </c>
      <c r="AW2876" s="4" t="str">
        <f t="shared" si="11434"/>
        <v xml:space="preserve">   Seg. 2.2-A10-Revestimento vegetal por hidrossemeadura</v>
      </c>
    </row>
    <row r="2877" spans="1:49" ht="15.6" customHeight="1" outlineLevel="2">
      <c r="A2877" s="8" t="str">
        <f t="shared" ref="A2877" si="11646">A2876</f>
        <v>N</v>
      </c>
      <c r="B2877" s="150"/>
      <c r="C2877" s="150"/>
      <c r="D2877" s="120" t="s">
        <v>3239</v>
      </c>
      <c r="E2877" s="893"/>
      <c r="F2877" s="895"/>
      <c r="G2877" s="528"/>
      <c r="H2877" s="549" t="s">
        <v>38</v>
      </c>
      <c r="I2877" s="711">
        <v>0</v>
      </c>
      <c r="J2877" s="897"/>
      <c r="K2877" s="528"/>
      <c r="L2877" s="549" t="s">
        <v>38</v>
      </c>
      <c r="M2877" s="711">
        <f t="shared" si="11559"/>
        <v>0</v>
      </c>
      <c r="N2877" s="897"/>
      <c r="O2877" s="528"/>
      <c r="P2877" s="548">
        <v>0</v>
      </c>
      <c r="Q2877" s="548">
        <v>0</v>
      </c>
      <c r="R2877" s="548">
        <v>0</v>
      </c>
      <c r="S2877" s="548">
        <v>0</v>
      </c>
      <c r="T2877" s="548">
        <v>0</v>
      </c>
      <c r="U2877" s="548">
        <v>0</v>
      </c>
      <c r="V2877" s="548"/>
      <c r="W2877" s="528"/>
      <c r="X2877" s="711">
        <f t="shared" si="11552"/>
        <v>0</v>
      </c>
      <c r="Y2877" s="897"/>
      <c r="Z2877" s="528"/>
      <c r="AA2877" s="899"/>
      <c r="AB2877" s="899"/>
      <c r="AC2877" s="899"/>
      <c r="AD2877" s="897"/>
      <c r="AE2877" s="2"/>
      <c r="AF2877" s="885"/>
      <c r="AG2877" s="885"/>
      <c r="AH2877" s="885"/>
      <c r="AI2877" s="885"/>
      <c r="AJ2877" s="885"/>
      <c r="AK2877" s="885"/>
      <c r="AL2877" s="885"/>
      <c r="AM2877" s="879"/>
      <c r="AN2877" s="2"/>
      <c r="AO2877" s="886"/>
      <c r="AP2877" s="886"/>
      <c r="AV2877" t="str">
        <f t="shared" si="11443"/>
        <v>Revegetação - Hidrossemeadura</v>
      </c>
      <c r="AW2877" s="4" t="str">
        <f t="shared" si="11434"/>
        <v xml:space="preserve">   Seg. 2.2-A10-Revestimento vegetal por hidrossemeadura</v>
      </c>
    </row>
    <row r="2878" spans="1:49" ht="15.6" customHeight="1" outlineLevel="2" collapsed="1">
      <c r="A2878" s="8" t="str">
        <f t="shared" ref="A2878" si="11647">IF(SUM(P2878:V2879)&gt;0,"S","N")</f>
        <v>N</v>
      </c>
      <c r="B2878" s="150">
        <v>1066504</v>
      </c>
      <c r="C2878" s="150" t="s">
        <v>3241</v>
      </c>
      <c r="D2878" s="120" t="s">
        <v>3242</v>
      </c>
      <c r="E2878" s="892" t="s">
        <v>3243</v>
      </c>
      <c r="F2878" s="894" t="s">
        <v>3210</v>
      </c>
      <c r="G2878" s="528"/>
      <c r="H2878" s="546" t="s">
        <v>37</v>
      </c>
      <c r="I2878" s="711">
        <v>0</v>
      </c>
      <c r="J2878" s="896" t="str">
        <f t="shared" ref="J2878" si="11648">IFERROR((I2879/I2878),"-")</f>
        <v>-</v>
      </c>
      <c r="K2878" s="528"/>
      <c r="L2878" s="546" t="s">
        <v>37</v>
      </c>
      <c r="M2878" s="711">
        <f t="shared" si="11559"/>
        <v>0</v>
      </c>
      <c r="N2878" s="896" t="str">
        <f t="shared" ref="N2878" si="11649">IFERROR((M2879/M2878),"-")</f>
        <v>-</v>
      </c>
      <c r="O2878" s="528"/>
      <c r="P2878" s="547">
        <v>0</v>
      </c>
      <c r="Q2878" s="547">
        <v>0</v>
      </c>
      <c r="R2878" s="547">
        <v>0</v>
      </c>
      <c r="S2878" s="547">
        <v>0</v>
      </c>
      <c r="T2878" s="547">
        <v>0</v>
      </c>
      <c r="U2878" s="547">
        <v>0</v>
      </c>
      <c r="V2878" s="548">
        <v>0</v>
      </c>
      <c r="W2878" s="528"/>
      <c r="X2878" s="711">
        <f t="shared" si="11552"/>
        <v>0</v>
      </c>
      <c r="Y2878" s="896" t="str">
        <f t="shared" ref="Y2878" si="11650">IFERROR((X2879/X2878),"-")</f>
        <v>-</v>
      </c>
      <c r="Z2878" s="528"/>
      <c r="AA2878" s="898">
        <v>240.49</v>
      </c>
      <c r="AB2878" s="898">
        <v>0</v>
      </c>
      <c r="AC2878" s="898">
        <v>0</v>
      </c>
      <c r="AD2878" s="896">
        <f t="shared" ref="AD2878" si="11651">IFERROR((AC2878/AA2878),"-")</f>
        <v>0</v>
      </c>
      <c r="AE2878" s="2"/>
      <c r="AF2878" s="884">
        <v>8746.8799999999992</v>
      </c>
      <c r="AG2878" s="884">
        <v>10991.62</v>
      </c>
      <c r="AH2878" s="884">
        <v>0</v>
      </c>
      <c r="AI2878" s="884"/>
      <c r="AJ2878" s="884"/>
      <c r="AK2878" s="884">
        <f t="shared" ref="AK2878" si="11652">AF2878+AG2878+AH2878+AI2878+AJ2878+AC2878</f>
        <v>19738.5</v>
      </c>
      <c r="AL2878" s="884">
        <v>10128.740000000009</v>
      </c>
      <c r="AM2878" s="878">
        <f t="shared" ref="AM2878" si="11653">IFERROR((AK2878/AL2878),"-")</f>
        <v>1.9487616426129986</v>
      </c>
      <c r="AN2878" s="2"/>
      <c r="AO2878" s="884">
        <v>11823.4</v>
      </c>
      <c r="AP2878" s="884">
        <f t="shared" ref="AP2878" si="11654">AO2878-AK2878</f>
        <v>-7915.1</v>
      </c>
      <c r="AV2878" t="str">
        <f t="shared" si="11443"/>
        <v>Revegetação - Hidrossemeadura</v>
      </c>
      <c r="AW2878" s="4" t="str">
        <f t="shared" si="11434"/>
        <v xml:space="preserve">   Seg. 2.2-A11-Revestimento vegetal por hidrossemeadura</v>
      </c>
    </row>
    <row r="2879" spans="1:49" ht="15.6" customHeight="1" outlineLevel="2">
      <c r="A2879" s="8" t="str">
        <f t="shared" ref="A2879" si="11655">A2878</f>
        <v>N</v>
      </c>
      <c r="B2879" s="150"/>
      <c r="C2879" s="150"/>
      <c r="D2879" s="120" t="s">
        <v>3242</v>
      </c>
      <c r="E2879" s="893"/>
      <c r="F2879" s="895"/>
      <c r="G2879" s="528"/>
      <c r="H2879" s="549" t="s">
        <v>38</v>
      </c>
      <c r="I2879" s="711">
        <v>0</v>
      </c>
      <c r="J2879" s="897"/>
      <c r="K2879" s="528"/>
      <c r="L2879" s="549" t="s">
        <v>38</v>
      </c>
      <c r="M2879" s="711">
        <f t="shared" si="11559"/>
        <v>0</v>
      </c>
      <c r="N2879" s="897"/>
      <c r="O2879" s="528"/>
      <c r="P2879" s="548">
        <v>0</v>
      </c>
      <c r="Q2879" s="548">
        <v>0</v>
      </c>
      <c r="R2879" s="548">
        <v>0</v>
      </c>
      <c r="S2879" s="548">
        <v>0</v>
      </c>
      <c r="T2879" s="548">
        <v>0</v>
      </c>
      <c r="U2879" s="548">
        <v>0</v>
      </c>
      <c r="V2879" s="548"/>
      <c r="W2879" s="528"/>
      <c r="X2879" s="711">
        <f t="shared" si="11552"/>
        <v>0</v>
      </c>
      <c r="Y2879" s="897"/>
      <c r="Z2879" s="528"/>
      <c r="AA2879" s="899"/>
      <c r="AB2879" s="899"/>
      <c r="AC2879" s="899"/>
      <c r="AD2879" s="897"/>
      <c r="AE2879" s="2"/>
      <c r="AF2879" s="885"/>
      <c r="AG2879" s="885"/>
      <c r="AH2879" s="885"/>
      <c r="AI2879" s="885"/>
      <c r="AJ2879" s="885"/>
      <c r="AK2879" s="885"/>
      <c r="AL2879" s="885"/>
      <c r="AM2879" s="879"/>
      <c r="AN2879" s="2"/>
      <c r="AO2879" s="886"/>
      <c r="AP2879" s="886"/>
      <c r="AV2879" t="str">
        <f t="shared" si="11443"/>
        <v>Revegetação - Hidrossemeadura</v>
      </c>
      <c r="AW2879" s="4" t="str">
        <f t="shared" si="11434"/>
        <v xml:space="preserve">   Seg. 2.2-A11-Revestimento vegetal por hidrossemeadura</v>
      </c>
    </row>
    <row r="2880" spans="1:49" ht="15.6" customHeight="1" outlineLevel="2">
      <c r="A2880" s="209" t="str">
        <f t="shared" ref="A2880" si="11656">IF(SUM(P2880:V2881)&gt;0,"S","N")</f>
        <v>N</v>
      </c>
      <c r="B2880" s="150">
        <v>1066505</v>
      </c>
      <c r="C2880" s="150" t="s">
        <v>3244</v>
      </c>
      <c r="D2880" s="120" t="s">
        <v>3245</v>
      </c>
      <c r="E2880" s="892" t="s">
        <v>3246</v>
      </c>
      <c r="F2880" s="894" t="s">
        <v>3210</v>
      </c>
      <c r="G2880" s="528"/>
      <c r="H2880" s="546" t="s">
        <v>37</v>
      </c>
      <c r="I2880" s="711">
        <v>0</v>
      </c>
      <c r="J2880" s="896" t="str">
        <f t="shared" ref="J2880" si="11657">IFERROR((I2881/I2880),"-")</f>
        <v>-</v>
      </c>
      <c r="K2880" s="528"/>
      <c r="L2880" s="546" t="s">
        <v>37</v>
      </c>
      <c r="M2880" s="711">
        <f t="shared" si="11559"/>
        <v>0</v>
      </c>
      <c r="N2880" s="896" t="str">
        <f t="shared" ref="N2880" si="11658">IFERROR((M2881/M2880),"-")</f>
        <v>-</v>
      </c>
      <c r="O2880" s="528"/>
      <c r="P2880" s="547">
        <v>0</v>
      </c>
      <c r="Q2880" s="547">
        <v>0</v>
      </c>
      <c r="R2880" s="547">
        <v>0</v>
      </c>
      <c r="S2880" s="547">
        <v>0</v>
      </c>
      <c r="T2880" s="547">
        <v>0</v>
      </c>
      <c r="U2880" s="547">
        <v>0</v>
      </c>
      <c r="V2880" s="548">
        <v>0</v>
      </c>
      <c r="W2880" s="528"/>
      <c r="X2880" s="711">
        <f t="shared" si="11552"/>
        <v>0</v>
      </c>
      <c r="Y2880" s="896" t="str">
        <f t="shared" ref="Y2880" si="11659">IFERROR((X2881/X2880),"-")</f>
        <v>-</v>
      </c>
      <c r="Z2880" s="528"/>
      <c r="AA2880" s="898">
        <v>0</v>
      </c>
      <c r="AB2880" s="898">
        <v>0</v>
      </c>
      <c r="AC2880" s="898">
        <v>0</v>
      </c>
      <c r="AD2880" s="896" t="str">
        <f t="shared" ref="AD2880" si="11660">IFERROR((AC2880/AA2880),"-")</f>
        <v>-</v>
      </c>
      <c r="AE2880" s="2"/>
      <c r="AF2880" s="884">
        <v>0</v>
      </c>
      <c r="AG2880" s="884">
        <v>0</v>
      </c>
      <c r="AH2880" s="884">
        <v>0</v>
      </c>
      <c r="AI2880" s="884">
        <v>10856.2</v>
      </c>
      <c r="AJ2880" s="884">
        <v>20044.259999999998</v>
      </c>
      <c r="AK2880" s="884">
        <f t="shared" ref="AK2880" si="11661">AF2880+AG2880+AH2880+AI2880+AJ2880+AC2880</f>
        <v>30900.46</v>
      </c>
      <c r="AL2880" s="884">
        <v>50000.249999999949</v>
      </c>
      <c r="AM2880" s="878">
        <f t="shared" ref="AM2880" si="11662">IFERROR((AK2880/AL2880),"-")</f>
        <v>0.61800610996945071</v>
      </c>
      <c r="AN2880" s="2"/>
      <c r="AO2880" s="884">
        <v>40667.24</v>
      </c>
      <c r="AP2880" s="884">
        <f t="shared" ref="AP2880" si="11663">AO2880-AK2880</f>
        <v>9766.7799999999988</v>
      </c>
      <c r="AV2880" t="str">
        <f t="shared" si="11443"/>
        <v>Revegetação - Hidrossemeadura</v>
      </c>
      <c r="AW2880" s="4" t="str">
        <f t="shared" si="11434"/>
        <v xml:space="preserve">   Seg. 2.2-A12-Revestimento vegetal por hidrossemeadura</v>
      </c>
    </row>
    <row r="2881" spans="1:49" ht="15.6" customHeight="1" outlineLevel="2">
      <c r="A2881" s="209" t="str">
        <f t="shared" ref="A2881" si="11664">A2880</f>
        <v>N</v>
      </c>
      <c r="B2881" s="150"/>
      <c r="C2881" s="150"/>
      <c r="D2881" s="120" t="s">
        <v>3245</v>
      </c>
      <c r="E2881" s="893"/>
      <c r="F2881" s="895"/>
      <c r="G2881" s="528"/>
      <c r="H2881" s="549" t="s">
        <v>38</v>
      </c>
      <c r="I2881" s="711">
        <v>0</v>
      </c>
      <c r="J2881" s="897"/>
      <c r="K2881" s="528"/>
      <c r="L2881" s="549" t="s">
        <v>38</v>
      </c>
      <c r="M2881" s="711">
        <f t="shared" si="11559"/>
        <v>0</v>
      </c>
      <c r="N2881" s="897"/>
      <c r="O2881" s="528"/>
      <c r="P2881" s="548">
        <v>0</v>
      </c>
      <c r="Q2881" s="548">
        <v>0</v>
      </c>
      <c r="R2881" s="548">
        <v>0</v>
      </c>
      <c r="S2881" s="548">
        <v>0</v>
      </c>
      <c r="T2881" s="548">
        <v>0</v>
      </c>
      <c r="U2881" s="548">
        <v>0</v>
      </c>
      <c r="V2881" s="548"/>
      <c r="W2881" s="528"/>
      <c r="X2881" s="711">
        <f t="shared" si="11552"/>
        <v>0</v>
      </c>
      <c r="Y2881" s="897"/>
      <c r="Z2881" s="528"/>
      <c r="AA2881" s="899"/>
      <c r="AB2881" s="899"/>
      <c r="AC2881" s="899"/>
      <c r="AD2881" s="897"/>
      <c r="AE2881" s="2"/>
      <c r="AF2881" s="885"/>
      <c r="AG2881" s="885"/>
      <c r="AH2881" s="885"/>
      <c r="AI2881" s="885"/>
      <c r="AJ2881" s="885"/>
      <c r="AK2881" s="885"/>
      <c r="AL2881" s="885"/>
      <c r="AM2881" s="879"/>
      <c r="AN2881" s="2"/>
      <c r="AO2881" s="886"/>
      <c r="AP2881" s="886"/>
      <c r="AV2881" t="str">
        <f t="shared" si="11443"/>
        <v>Revegetação - Hidrossemeadura</v>
      </c>
      <c r="AW2881" s="4" t="str">
        <f t="shared" si="11434"/>
        <v xml:space="preserve">   Seg. 2.2-A12-Revestimento vegetal por hidrossemeadura</v>
      </c>
    </row>
    <row r="2882" spans="1:49" ht="15.6" customHeight="1" outlineLevel="2">
      <c r="A2882" s="8" t="str">
        <f t="shared" ref="A2882" si="11665">IF(SUM(P2882:V2883)&gt;0,"S","N")</f>
        <v>N</v>
      </c>
      <c r="B2882" s="150">
        <v>1066506</v>
      </c>
      <c r="C2882" s="150" t="s">
        <v>3247</v>
      </c>
      <c r="D2882" s="120" t="s">
        <v>3248</v>
      </c>
      <c r="E2882" s="892" t="s">
        <v>3249</v>
      </c>
      <c r="F2882" s="894" t="s">
        <v>3210</v>
      </c>
      <c r="G2882" s="528"/>
      <c r="H2882" s="546" t="s">
        <v>37</v>
      </c>
      <c r="I2882" s="711">
        <v>0</v>
      </c>
      <c r="J2882" s="896" t="str">
        <f t="shared" ref="J2882" si="11666">IFERROR((I2883/I2882),"-")</f>
        <v>-</v>
      </c>
      <c r="K2882" s="528"/>
      <c r="L2882" s="546" t="s">
        <v>37</v>
      </c>
      <c r="M2882" s="711">
        <f t="shared" si="11559"/>
        <v>0</v>
      </c>
      <c r="N2882" s="896" t="str">
        <f t="shared" ref="N2882" si="11667">IFERROR((M2883/M2882),"-")</f>
        <v>-</v>
      </c>
      <c r="O2882" s="528"/>
      <c r="P2882" s="547">
        <v>0</v>
      </c>
      <c r="Q2882" s="547">
        <v>0</v>
      </c>
      <c r="R2882" s="547">
        <v>0</v>
      </c>
      <c r="S2882" s="547">
        <v>0</v>
      </c>
      <c r="T2882" s="547">
        <v>0</v>
      </c>
      <c r="U2882" s="547">
        <v>0</v>
      </c>
      <c r="V2882" s="548">
        <v>0</v>
      </c>
      <c r="W2882" s="528"/>
      <c r="X2882" s="711">
        <f t="shared" si="11552"/>
        <v>0</v>
      </c>
      <c r="Y2882" s="896" t="str">
        <f t="shared" ref="Y2882" si="11668">IFERROR((X2883/X2882),"-")</f>
        <v>-</v>
      </c>
      <c r="Z2882" s="528"/>
      <c r="AA2882" s="898">
        <v>10455.06</v>
      </c>
      <c r="AB2882" s="898">
        <v>10455.06</v>
      </c>
      <c r="AC2882" s="898">
        <v>0</v>
      </c>
      <c r="AD2882" s="896">
        <f t="shared" ref="AD2882" si="11669">IFERROR((AC2882/AA2882),"-")</f>
        <v>0</v>
      </c>
      <c r="AE2882" s="2"/>
      <c r="AF2882" s="884">
        <v>0</v>
      </c>
      <c r="AG2882" s="884">
        <v>0</v>
      </c>
      <c r="AH2882" s="884">
        <v>0</v>
      </c>
      <c r="AI2882" s="884"/>
      <c r="AJ2882" s="884"/>
      <c r="AK2882" s="884">
        <f t="shared" ref="AK2882" si="11670">AF2882+AG2882+AH2882+AI2882+AJ2882+AC2882</f>
        <v>0</v>
      </c>
      <c r="AL2882" s="884">
        <v>10455.06</v>
      </c>
      <c r="AM2882" s="878">
        <f t="shared" ref="AM2882" si="11671">IFERROR((AK2882/AL2882),"-")</f>
        <v>0</v>
      </c>
      <c r="AN2882" s="2"/>
      <c r="AO2882" s="884">
        <v>10455.06</v>
      </c>
      <c r="AP2882" s="884">
        <f t="shared" ref="AP2882" si="11672">AO2882-AK2882</f>
        <v>10455.06</v>
      </c>
      <c r="AV2882" t="str">
        <f t="shared" si="11443"/>
        <v>Revegetação - Hidrossemeadura</v>
      </c>
      <c r="AW2882" s="4" t="str">
        <f t="shared" si="11434"/>
        <v xml:space="preserve">   Seg. 2.2-A13-Revestimento vegetal por hidrossemeadura</v>
      </c>
    </row>
    <row r="2883" spans="1:49" ht="15.6" customHeight="1" outlineLevel="2">
      <c r="A2883" s="8" t="str">
        <f t="shared" ref="A2883" si="11673">A2882</f>
        <v>N</v>
      </c>
      <c r="B2883" s="150"/>
      <c r="C2883" s="150"/>
      <c r="D2883" s="120" t="s">
        <v>3248</v>
      </c>
      <c r="E2883" s="893"/>
      <c r="F2883" s="895"/>
      <c r="G2883" s="528"/>
      <c r="H2883" s="549" t="s">
        <v>38</v>
      </c>
      <c r="I2883" s="711">
        <v>0</v>
      </c>
      <c r="J2883" s="897"/>
      <c r="K2883" s="528"/>
      <c r="L2883" s="549" t="s">
        <v>38</v>
      </c>
      <c r="M2883" s="711">
        <f t="shared" si="11559"/>
        <v>0</v>
      </c>
      <c r="N2883" s="897"/>
      <c r="O2883" s="528"/>
      <c r="P2883" s="548">
        <v>0</v>
      </c>
      <c r="Q2883" s="548">
        <v>0</v>
      </c>
      <c r="R2883" s="548">
        <v>0</v>
      </c>
      <c r="S2883" s="548">
        <v>0</v>
      </c>
      <c r="T2883" s="548">
        <v>0</v>
      </c>
      <c r="U2883" s="548">
        <v>0</v>
      </c>
      <c r="V2883" s="548"/>
      <c r="W2883" s="528"/>
      <c r="X2883" s="711">
        <f t="shared" si="11552"/>
        <v>0</v>
      </c>
      <c r="Y2883" s="897"/>
      <c r="Z2883" s="528"/>
      <c r="AA2883" s="899"/>
      <c r="AB2883" s="899"/>
      <c r="AC2883" s="899"/>
      <c r="AD2883" s="897"/>
      <c r="AE2883" s="2"/>
      <c r="AF2883" s="885"/>
      <c r="AG2883" s="885"/>
      <c r="AH2883" s="885"/>
      <c r="AI2883" s="885"/>
      <c r="AJ2883" s="885"/>
      <c r="AK2883" s="885"/>
      <c r="AL2883" s="885"/>
      <c r="AM2883" s="879"/>
      <c r="AN2883" s="2"/>
      <c r="AO2883" s="886"/>
      <c r="AP2883" s="886"/>
      <c r="AV2883" t="str">
        <f t="shared" si="11443"/>
        <v>Revegetação - Hidrossemeadura</v>
      </c>
      <c r="AW2883" s="4" t="str">
        <f t="shared" si="11434"/>
        <v xml:space="preserve">   Seg. 2.2-A13-Revestimento vegetal por hidrossemeadura</v>
      </c>
    </row>
    <row r="2884" spans="1:49" ht="15.6" customHeight="1" outlineLevel="2">
      <c r="A2884" s="8" t="str">
        <f t="shared" ref="A2884" si="11674">IF(SUM(P2884:V2885)&gt;0,"S","N")</f>
        <v>N</v>
      </c>
      <c r="B2884" s="150">
        <v>1066507</v>
      </c>
      <c r="C2884" s="150" t="s">
        <v>3250</v>
      </c>
      <c r="D2884" s="120" t="s">
        <v>3251</v>
      </c>
      <c r="E2884" s="892" t="s">
        <v>3252</v>
      </c>
      <c r="F2884" s="894" t="s">
        <v>3210</v>
      </c>
      <c r="G2884" s="528"/>
      <c r="H2884" s="546" t="s">
        <v>37</v>
      </c>
      <c r="I2884" s="711">
        <v>0</v>
      </c>
      <c r="J2884" s="896" t="str">
        <f t="shared" ref="J2884" si="11675">IFERROR((I2885/I2884),"-")</f>
        <v>-</v>
      </c>
      <c r="K2884" s="528"/>
      <c r="L2884" s="546" t="s">
        <v>37</v>
      </c>
      <c r="M2884" s="711">
        <f t="shared" si="11559"/>
        <v>0</v>
      </c>
      <c r="N2884" s="896" t="str">
        <f t="shared" ref="N2884" si="11676">IFERROR((M2885/M2884),"-")</f>
        <v>-</v>
      </c>
      <c r="O2884" s="528"/>
      <c r="P2884" s="547">
        <v>0</v>
      </c>
      <c r="Q2884" s="547">
        <v>0</v>
      </c>
      <c r="R2884" s="547">
        <v>0</v>
      </c>
      <c r="S2884" s="547">
        <v>0</v>
      </c>
      <c r="T2884" s="547">
        <v>0</v>
      </c>
      <c r="U2884" s="547">
        <v>0</v>
      </c>
      <c r="V2884" s="548">
        <v>0</v>
      </c>
      <c r="W2884" s="528"/>
      <c r="X2884" s="711">
        <f t="shared" si="11552"/>
        <v>0</v>
      </c>
      <c r="Y2884" s="896" t="str">
        <f t="shared" ref="Y2884" si="11677">IFERROR((X2885/X2884),"-")</f>
        <v>-</v>
      </c>
      <c r="Z2884" s="528"/>
      <c r="AA2884" s="898">
        <v>4068.5</v>
      </c>
      <c r="AB2884" s="898">
        <v>4068.5</v>
      </c>
      <c r="AC2884" s="898">
        <v>0</v>
      </c>
      <c r="AD2884" s="896">
        <f t="shared" ref="AD2884" si="11678">IFERROR((AC2884/AA2884),"-")</f>
        <v>0</v>
      </c>
      <c r="AE2884" s="2"/>
      <c r="AF2884" s="884">
        <v>0</v>
      </c>
      <c r="AG2884" s="884">
        <v>0</v>
      </c>
      <c r="AH2884" s="884">
        <v>0</v>
      </c>
      <c r="AI2884" s="884"/>
      <c r="AJ2884" s="884"/>
      <c r="AK2884" s="884">
        <f t="shared" ref="AK2884" si="11679">AF2884+AG2884+AH2884+AI2884+AJ2884+AC2884</f>
        <v>0</v>
      </c>
      <c r="AL2884" s="884">
        <v>4068.5</v>
      </c>
      <c r="AM2884" s="878">
        <f t="shared" ref="AM2884" si="11680">IFERROR((AK2884/AL2884),"-")</f>
        <v>0</v>
      </c>
      <c r="AN2884" s="2"/>
      <c r="AO2884" s="884">
        <v>4068.5</v>
      </c>
      <c r="AP2884" s="884">
        <f t="shared" ref="AP2884" si="11681">AO2884-AK2884</f>
        <v>4068.5</v>
      </c>
      <c r="AV2884" t="str">
        <f t="shared" si="11443"/>
        <v>Revegetação - Hidrossemeadura</v>
      </c>
      <c r="AW2884" s="4" t="str">
        <f t="shared" si="11434"/>
        <v xml:space="preserve">   Seg. 2.2-A14-Revestimento vegetal por hidrossemeadura</v>
      </c>
    </row>
    <row r="2885" spans="1:49" ht="15.6" customHeight="1" outlineLevel="2">
      <c r="A2885" s="8" t="str">
        <f t="shared" ref="A2885" si="11682">A2884</f>
        <v>N</v>
      </c>
      <c r="B2885" s="150"/>
      <c r="C2885" s="150"/>
      <c r="D2885" s="120" t="s">
        <v>3251</v>
      </c>
      <c r="E2885" s="893"/>
      <c r="F2885" s="895"/>
      <c r="G2885" s="528"/>
      <c r="H2885" s="549" t="s">
        <v>38</v>
      </c>
      <c r="I2885" s="711">
        <v>0</v>
      </c>
      <c r="J2885" s="897"/>
      <c r="K2885" s="528"/>
      <c r="L2885" s="549" t="s">
        <v>38</v>
      </c>
      <c r="M2885" s="711">
        <f t="shared" si="11559"/>
        <v>0</v>
      </c>
      <c r="N2885" s="897"/>
      <c r="O2885" s="528"/>
      <c r="P2885" s="548">
        <v>0</v>
      </c>
      <c r="Q2885" s="548">
        <v>0</v>
      </c>
      <c r="R2885" s="548">
        <v>0</v>
      </c>
      <c r="S2885" s="548">
        <v>0</v>
      </c>
      <c r="T2885" s="548">
        <v>0</v>
      </c>
      <c r="U2885" s="548">
        <v>0</v>
      </c>
      <c r="V2885" s="548"/>
      <c r="W2885" s="528"/>
      <c r="X2885" s="711">
        <f t="shared" si="11552"/>
        <v>0</v>
      </c>
      <c r="Y2885" s="897"/>
      <c r="Z2885" s="528"/>
      <c r="AA2885" s="899"/>
      <c r="AB2885" s="899"/>
      <c r="AC2885" s="899"/>
      <c r="AD2885" s="897"/>
      <c r="AE2885" s="2"/>
      <c r="AF2885" s="885"/>
      <c r="AG2885" s="885"/>
      <c r="AH2885" s="885"/>
      <c r="AI2885" s="885"/>
      <c r="AJ2885" s="885"/>
      <c r="AK2885" s="885"/>
      <c r="AL2885" s="885"/>
      <c r="AM2885" s="879"/>
      <c r="AN2885" s="2"/>
      <c r="AO2885" s="886"/>
      <c r="AP2885" s="886"/>
      <c r="AV2885" t="str">
        <f t="shared" si="11443"/>
        <v>Revegetação - Hidrossemeadura</v>
      </c>
      <c r="AW2885" s="4" t="str">
        <f t="shared" si="11434"/>
        <v xml:space="preserve">   Seg. 2.2-A14-Revestimento vegetal por hidrossemeadura</v>
      </c>
    </row>
    <row r="2886" spans="1:49" ht="15.6" customHeight="1" outlineLevel="2">
      <c r="A2886" s="8" t="str">
        <f t="shared" ref="A2886" si="11683">IF(SUM(P2886:V2887)&gt;0,"S","N")</f>
        <v>N</v>
      </c>
      <c r="B2886" s="150">
        <v>1066508</v>
      </c>
      <c r="C2886" s="150" t="s">
        <v>3253</v>
      </c>
      <c r="D2886" s="120" t="s">
        <v>3254</v>
      </c>
      <c r="E2886" s="892" t="s">
        <v>3255</v>
      </c>
      <c r="F2886" s="894" t="s">
        <v>3210</v>
      </c>
      <c r="G2886" s="528"/>
      <c r="H2886" s="546" t="s">
        <v>37</v>
      </c>
      <c r="I2886" s="711">
        <v>0</v>
      </c>
      <c r="J2886" s="896" t="str">
        <f t="shared" ref="J2886" si="11684">IFERROR((I2887/I2886),"-")</f>
        <v>-</v>
      </c>
      <c r="K2886" s="528"/>
      <c r="L2886" s="546" t="s">
        <v>37</v>
      </c>
      <c r="M2886" s="711">
        <f t="shared" si="11559"/>
        <v>0</v>
      </c>
      <c r="N2886" s="896" t="str">
        <f t="shared" ref="N2886" si="11685">IFERROR((M2887/M2886),"-")</f>
        <v>-</v>
      </c>
      <c r="O2886" s="528"/>
      <c r="P2886" s="547">
        <v>0</v>
      </c>
      <c r="Q2886" s="547">
        <v>0</v>
      </c>
      <c r="R2886" s="547">
        <v>0</v>
      </c>
      <c r="S2886" s="547">
        <v>0</v>
      </c>
      <c r="T2886" s="547">
        <v>0</v>
      </c>
      <c r="U2886" s="547">
        <v>0</v>
      </c>
      <c r="V2886" s="548">
        <v>0</v>
      </c>
      <c r="W2886" s="528"/>
      <c r="X2886" s="711">
        <f t="shared" si="11552"/>
        <v>0</v>
      </c>
      <c r="Y2886" s="896" t="str">
        <f t="shared" ref="Y2886" si="11686">IFERROR((X2887/X2886),"-")</f>
        <v>-</v>
      </c>
      <c r="Z2886" s="528"/>
      <c r="AA2886" s="898">
        <v>4068.5</v>
      </c>
      <c r="AB2886" s="898">
        <v>4068.5</v>
      </c>
      <c r="AC2886" s="898">
        <v>0</v>
      </c>
      <c r="AD2886" s="896">
        <f t="shared" ref="AD2886" si="11687">IFERROR((AC2886/AA2886),"-")</f>
        <v>0</v>
      </c>
      <c r="AE2886" s="2"/>
      <c r="AF2886" s="884">
        <v>0</v>
      </c>
      <c r="AG2886" s="884">
        <v>0</v>
      </c>
      <c r="AH2886" s="884">
        <v>0</v>
      </c>
      <c r="AI2886" s="884"/>
      <c r="AJ2886" s="884"/>
      <c r="AK2886" s="884">
        <f t="shared" ref="AK2886" si="11688">AF2886+AG2886+AH2886+AI2886+AJ2886+AC2886</f>
        <v>0</v>
      </c>
      <c r="AL2886" s="884">
        <v>4068.5</v>
      </c>
      <c r="AM2886" s="878">
        <f t="shared" ref="AM2886" si="11689">IFERROR((AK2886/AL2886),"-")</f>
        <v>0</v>
      </c>
      <c r="AN2886" s="2"/>
      <c r="AO2886" s="884">
        <v>4068.5</v>
      </c>
      <c r="AP2886" s="884">
        <f t="shared" ref="AP2886" si="11690">AO2886-AK2886</f>
        <v>4068.5</v>
      </c>
      <c r="AV2886" t="str">
        <f t="shared" si="11443"/>
        <v>Revegetação - Hidrossemeadura</v>
      </c>
      <c r="AW2886" s="4" t="str">
        <f t="shared" si="11434"/>
        <v xml:space="preserve">   Seg. 2.2-A15-Revestimento vegetal por hidrossemeadura</v>
      </c>
    </row>
    <row r="2887" spans="1:49" ht="15.6" customHeight="1" outlineLevel="2">
      <c r="A2887" s="8" t="str">
        <f t="shared" ref="A2887" si="11691">A2886</f>
        <v>N</v>
      </c>
      <c r="B2887" s="150"/>
      <c r="C2887" s="150"/>
      <c r="D2887" s="120" t="s">
        <v>3254</v>
      </c>
      <c r="E2887" s="893"/>
      <c r="F2887" s="895"/>
      <c r="G2887" s="528"/>
      <c r="H2887" s="549" t="s">
        <v>38</v>
      </c>
      <c r="I2887" s="711">
        <v>0</v>
      </c>
      <c r="J2887" s="897"/>
      <c r="K2887" s="528"/>
      <c r="L2887" s="549" t="s">
        <v>38</v>
      </c>
      <c r="M2887" s="711">
        <f t="shared" si="11559"/>
        <v>0</v>
      </c>
      <c r="N2887" s="897"/>
      <c r="O2887" s="528"/>
      <c r="P2887" s="548">
        <v>0</v>
      </c>
      <c r="Q2887" s="548">
        <v>0</v>
      </c>
      <c r="R2887" s="548">
        <v>0</v>
      </c>
      <c r="S2887" s="548">
        <v>0</v>
      </c>
      <c r="T2887" s="548">
        <v>0</v>
      </c>
      <c r="U2887" s="548">
        <v>0</v>
      </c>
      <c r="V2887" s="548"/>
      <c r="W2887" s="528"/>
      <c r="X2887" s="711">
        <f t="shared" si="11552"/>
        <v>0</v>
      </c>
      <c r="Y2887" s="897"/>
      <c r="Z2887" s="528"/>
      <c r="AA2887" s="899"/>
      <c r="AB2887" s="899"/>
      <c r="AC2887" s="899"/>
      <c r="AD2887" s="897"/>
      <c r="AE2887" s="2"/>
      <c r="AF2887" s="885"/>
      <c r="AG2887" s="885"/>
      <c r="AH2887" s="885"/>
      <c r="AI2887" s="885"/>
      <c r="AJ2887" s="885"/>
      <c r="AK2887" s="885"/>
      <c r="AL2887" s="885"/>
      <c r="AM2887" s="879"/>
      <c r="AN2887" s="2"/>
      <c r="AO2887" s="886"/>
      <c r="AP2887" s="886"/>
      <c r="AV2887" t="str">
        <f t="shared" si="11443"/>
        <v>Revegetação - Hidrossemeadura</v>
      </c>
      <c r="AW2887" s="4" t="str">
        <f t="shared" si="11434"/>
        <v xml:space="preserve">   Seg. 2.2-A15-Revestimento vegetal por hidrossemeadura</v>
      </c>
    </row>
    <row r="2888" spans="1:49" ht="15.6" customHeight="1" outlineLevel="2">
      <c r="A2888" s="8" t="str">
        <f t="shared" ref="A2888" si="11692">IF(SUM(P2888:V2889)&gt;0,"S","N")</f>
        <v>N</v>
      </c>
      <c r="B2888" s="150">
        <v>1066541</v>
      </c>
      <c r="C2888" s="150" t="s">
        <v>3256</v>
      </c>
      <c r="D2888" s="120" t="s">
        <v>3257</v>
      </c>
      <c r="E2888" s="892" t="s">
        <v>3228</v>
      </c>
      <c r="F2888" s="894" t="s">
        <v>3210</v>
      </c>
      <c r="G2888" s="528"/>
      <c r="H2888" s="546" t="s">
        <v>37</v>
      </c>
      <c r="I2888" s="711">
        <v>0</v>
      </c>
      <c r="J2888" s="896" t="str">
        <f t="shared" ref="J2888" si="11693">IFERROR((I2889/I2888),"-")</f>
        <v>-</v>
      </c>
      <c r="K2888" s="528"/>
      <c r="L2888" s="546" t="s">
        <v>37</v>
      </c>
      <c r="M2888" s="711">
        <f t="shared" si="11559"/>
        <v>0</v>
      </c>
      <c r="N2888" s="896" t="str">
        <f t="shared" ref="N2888" si="11694">IFERROR((M2889/M2888),"-")</f>
        <v>-</v>
      </c>
      <c r="O2888" s="528"/>
      <c r="P2888" s="547">
        <v>0</v>
      </c>
      <c r="Q2888" s="547">
        <v>0</v>
      </c>
      <c r="R2888" s="547">
        <v>0</v>
      </c>
      <c r="S2888" s="547">
        <v>0</v>
      </c>
      <c r="T2888" s="547">
        <v>0</v>
      </c>
      <c r="U2888" s="547">
        <v>0</v>
      </c>
      <c r="V2888" s="548">
        <v>0</v>
      </c>
      <c r="W2888" s="528"/>
      <c r="X2888" s="711">
        <f t="shared" si="11552"/>
        <v>0</v>
      </c>
      <c r="Y2888" s="896" t="str">
        <f t="shared" ref="Y2888" si="11695">IFERROR((X2889/X2888),"-")</f>
        <v>-</v>
      </c>
      <c r="Z2888" s="528"/>
      <c r="AA2888" s="898">
        <v>0</v>
      </c>
      <c r="AB2888" s="898">
        <v>0</v>
      </c>
      <c r="AC2888" s="898">
        <v>0</v>
      </c>
      <c r="AD2888" s="896" t="str">
        <f t="shared" ref="AD2888" si="11696">IFERROR((AC2888/AA2888),"-")</f>
        <v>-</v>
      </c>
      <c r="AE2888" s="2"/>
      <c r="AF2888" s="884">
        <v>0</v>
      </c>
      <c r="AG2888" s="884">
        <v>0</v>
      </c>
      <c r="AH2888" s="884">
        <v>0</v>
      </c>
      <c r="AI2888" s="884"/>
      <c r="AJ2888" s="884">
        <v>-422.72</v>
      </c>
      <c r="AK2888" s="884">
        <f t="shared" ref="AK2888" si="11697">AF2888+AG2888+AH2888+AI2888+AJ2888+AC2888</f>
        <v>-422.72</v>
      </c>
      <c r="AL2888" s="884">
        <v>0</v>
      </c>
      <c r="AM2888" s="878" t="str">
        <f t="shared" ref="AM2888" si="11698">IFERROR((AK2888/AL2888),"-")</f>
        <v>-</v>
      </c>
      <c r="AN2888" s="2"/>
      <c r="AO2888" s="884">
        <v>25476.89</v>
      </c>
      <c r="AP2888" s="884">
        <f t="shared" ref="AP2888" si="11699">AO2888-AK2888</f>
        <v>25899.61</v>
      </c>
      <c r="AV2888" t="str">
        <f t="shared" si="11443"/>
        <v>Revegetação - Hidrossemeadura</v>
      </c>
      <c r="AW2888" s="4" t="str">
        <f t="shared" si="11434"/>
        <v xml:space="preserve">   Seg. 2.2-A06-Acesso - Revestimento vegetal por hidrossemeadura</v>
      </c>
    </row>
    <row r="2889" spans="1:49" ht="15.6" customHeight="1" outlineLevel="2">
      <c r="A2889" s="8" t="str">
        <f t="shared" ref="A2889" si="11700">A2888</f>
        <v>N</v>
      </c>
      <c r="B2889" s="150"/>
      <c r="C2889" s="150"/>
      <c r="D2889" s="120" t="s">
        <v>3257</v>
      </c>
      <c r="E2889" s="893"/>
      <c r="F2889" s="895"/>
      <c r="G2889" s="528"/>
      <c r="H2889" s="549" t="s">
        <v>38</v>
      </c>
      <c r="I2889" s="711">
        <v>0</v>
      </c>
      <c r="J2889" s="897"/>
      <c r="K2889" s="528"/>
      <c r="L2889" s="549" t="s">
        <v>38</v>
      </c>
      <c r="M2889" s="711">
        <f t="shared" si="11559"/>
        <v>0</v>
      </c>
      <c r="N2889" s="897"/>
      <c r="O2889" s="528"/>
      <c r="P2889" s="548">
        <v>0</v>
      </c>
      <c r="Q2889" s="548">
        <v>0</v>
      </c>
      <c r="R2889" s="548">
        <v>0</v>
      </c>
      <c r="S2889" s="548">
        <v>0</v>
      </c>
      <c r="T2889" s="548">
        <v>0</v>
      </c>
      <c r="U2889" s="548">
        <v>0</v>
      </c>
      <c r="V2889" s="548"/>
      <c r="W2889" s="528"/>
      <c r="X2889" s="711">
        <f t="shared" si="11552"/>
        <v>0</v>
      </c>
      <c r="Y2889" s="897"/>
      <c r="Z2889" s="528"/>
      <c r="AA2889" s="899"/>
      <c r="AB2889" s="899"/>
      <c r="AC2889" s="899"/>
      <c r="AD2889" s="897"/>
      <c r="AE2889" s="2"/>
      <c r="AF2889" s="885"/>
      <c r="AG2889" s="885"/>
      <c r="AH2889" s="885"/>
      <c r="AI2889" s="885"/>
      <c r="AJ2889" s="885"/>
      <c r="AK2889" s="885"/>
      <c r="AL2889" s="885"/>
      <c r="AM2889" s="879"/>
      <c r="AN2889" s="2"/>
      <c r="AO2889" s="886"/>
      <c r="AP2889" s="886"/>
      <c r="AV2889" t="str">
        <f t="shared" si="11443"/>
        <v>Revegetação - Hidrossemeadura</v>
      </c>
      <c r="AW2889" s="4" t="str">
        <f t="shared" ref="AW2889:AW2952" si="11701">IF(E2889&lt;&gt;"",E2889,AW2888)</f>
        <v xml:space="preserve">   Seg. 2.2-A06-Acesso - Revestimento vegetal por hidrossemeadura</v>
      </c>
    </row>
    <row r="2890" spans="1:49" ht="15.6" customHeight="1" outlineLevel="2">
      <c r="A2890" s="8" t="str">
        <f t="shared" ref="A2890" si="11702">IF(SUM(P2890:V2891)&gt;0,"S","N")</f>
        <v>N</v>
      </c>
      <c r="B2890" s="150">
        <v>1066542</v>
      </c>
      <c r="C2890" s="150" t="s">
        <v>3258</v>
      </c>
      <c r="D2890" s="120" t="s">
        <v>3259</v>
      </c>
      <c r="E2890" s="892" t="s">
        <v>3260</v>
      </c>
      <c r="F2890" s="894" t="s">
        <v>3210</v>
      </c>
      <c r="G2890" s="528"/>
      <c r="H2890" s="546" t="s">
        <v>37</v>
      </c>
      <c r="I2890" s="711">
        <v>0</v>
      </c>
      <c r="J2890" s="896" t="str">
        <f t="shared" ref="J2890" si="11703">IFERROR((I2891/I2890),"-")</f>
        <v>-</v>
      </c>
      <c r="K2890" s="528"/>
      <c r="L2890" s="546" t="s">
        <v>37</v>
      </c>
      <c r="M2890" s="711">
        <f t="shared" si="11559"/>
        <v>0</v>
      </c>
      <c r="N2890" s="896" t="str">
        <f t="shared" ref="N2890" si="11704">IFERROR((M2891/M2890),"-")</f>
        <v>-</v>
      </c>
      <c r="O2890" s="528"/>
      <c r="P2890" s="547">
        <v>0</v>
      </c>
      <c r="Q2890" s="547">
        <v>0</v>
      </c>
      <c r="R2890" s="547">
        <v>0</v>
      </c>
      <c r="S2890" s="547">
        <v>0</v>
      </c>
      <c r="T2890" s="547">
        <v>0</v>
      </c>
      <c r="U2890" s="547">
        <v>0</v>
      </c>
      <c r="V2890" s="548">
        <v>0</v>
      </c>
      <c r="W2890" s="528"/>
      <c r="X2890" s="711">
        <f t="shared" si="11552"/>
        <v>0</v>
      </c>
      <c r="Y2890" s="896" t="str">
        <f t="shared" ref="Y2890" si="11705">IFERROR((X2891/X2890),"-")</f>
        <v>-</v>
      </c>
      <c r="Z2890" s="528"/>
      <c r="AA2890" s="898">
        <v>0</v>
      </c>
      <c r="AB2890" s="898">
        <v>0</v>
      </c>
      <c r="AC2890" s="898">
        <v>0</v>
      </c>
      <c r="AD2890" s="896" t="str">
        <f t="shared" ref="AD2890" si="11706">IFERROR((AC2890/AA2890),"-")</f>
        <v>-</v>
      </c>
      <c r="AE2890" s="2"/>
      <c r="AF2890" s="884">
        <v>0</v>
      </c>
      <c r="AG2890" s="884">
        <v>0</v>
      </c>
      <c r="AH2890" s="884">
        <v>0</v>
      </c>
      <c r="AI2890" s="884"/>
      <c r="AJ2890" s="884"/>
      <c r="AK2890" s="884">
        <f t="shared" ref="AK2890" si="11707">AF2890+AG2890+AH2890+AI2890+AJ2890+AC2890</f>
        <v>0</v>
      </c>
      <c r="AL2890" s="884">
        <v>0</v>
      </c>
      <c r="AM2890" s="878" t="str">
        <f t="shared" ref="AM2890" si="11708">IFERROR((AK2890/AL2890),"-")</f>
        <v>-</v>
      </c>
      <c r="AN2890" s="2"/>
      <c r="AO2890" s="884">
        <v>5157.74</v>
      </c>
      <c r="AP2890" s="884">
        <f t="shared" ref="AP2890" si="11709">AO2890-AK2890</f>
        <v>5157.74</v>
      </c>
      <c r="AV2890" t="str">
        <f t="shared" ref="AV2890:AV2953" si="11710">IF(AX2890="Y",LEFT(E2890,20),IF(AX2890="x",E2890,AV2889))</f>
        <v>Revegetação - Hidrossemeadura</v>
      </c>
      <c r="AW2890" s="4" t="str">
        <f t="shared" si="11701"/>
        <v xml:space="preserve">   Seg. 2.2-C09-Acesso - Revestimento vegetal por hidrossemeadura</v>
      </c>
    </row>
    <row r="2891" spans="1:49" ht="15.6" customHeight="1" outlineLevel="2">
      <c r="A2891" s="8" t="str">
        <f t="shared" ref="A2891" si="11711">A2890</f>
        <v>N</v>
      </c>
      <c r="B2891" s="150"/>
      <c r="C2891" s="150"/>
      <c r="D2891" s="120" t="s">
        <v>3259</v>
      </c>
      <c r="E2891" s="893"/>
      <c r="F2891" s="895"/>
      <c r="G2891" s="528"/>
      <c r="H2891" s="549" t="s">
        <v>38</v>
      </c>
      <c r="I2891" s="711">
        <v>0</v>
      </c>
      <c r="J2891" s="897"/>
      <c r="K2891" s="528"/>
      <c r="L2891" s="549" t="s">
        <v>38</v>
      </c>
      <c r="M2891" s="711">
        <f t="shared" si="11559"/>
        <v>0</v>
      </c>
      <c r="N2891" s="897"/>
      <c r="O2891" s="528"/>
      <c r="P2891" s="548">
        <v>0</v>
      </c>
      <c r="Q2891" s="548">
        <v>0</v>
      </c>
      <c r="R2891" s="548">
        <v>0</v>
      </c>
      <c r="S2891" s="548">
        <v>0</v>
      </c>
      <c r="T2891" s="548">
        <v>0</v>
      </c>
      <c r="U2891" s="548">
        <v>0</v>
      </c>
      <c r="V2891" s="548"/>
      <c r="W2891" s="528"/>
      <c r="X2891" s="711">
        <f t="shared" si="11552"/>
        <v>0</v>
      </c>
      <c r="Y2891" s="897"/>
      <c r="Z2891" s="528"/>
      <c r="AA2891" s="899"/>
      <c r="AB2891" s="899"/>
      <c r="AC2891" s="899"/>
      <c r="AD2891" s="897"/>
      <c r="AE2891" s="2"/>
      <c r="AF2891" s="885"/>
      <c r="AG2891" s="885"/>
      <c r="AH2891" s="885"/>
      <c r="AI2891" s="885"/>
      <c r="AJ2891" s="885"/>
      <c r="AK2891" s="885"/>
      <c r="AL2891" s="885"/>
      <c r="AM2891" s="879"/>
      <c r="AN2891" s="2"/>
      <c r="AO2891" s="886"/>
      <c r="AP2891" s="886"/>
      <c r="AV2891" t="str">
        <f t="shared" si="11710"/>
        <v>Revegetação - Hidrossemeadura</v>
      </c>
      <c r="AW2891" s="4" t="str">
        <f t="shared" si="11701"/>
        <v xml:space="preserve">   Seg. 2.2-C09-Acesso - Revestimento vegetal por hidrossemeadura</v>
      </c>
    </row>
    <row r="2892" spans="1:49" ht="15.6" customHeight="1" outlineLevel="2">
      <c r="A2892" s="8" t="str">
        <f t="shared" ref="A2892" si="11712">IF(SUM(P2892:V2893)&gt;0,"S","N")</f>
        <v>N</v>
      </c>
      <c r="B2892" s="150">
        <v>1066544</v>
      </c>
      <c r="C2892" s="150" t="s">
        <v>3261</v>
      </c>
      <c r="D2892" s="120" t="s">
        <v>3262</v>
      </c>
      <c r="E2892" s="892" t="s">
        <v>3263</v>
      </c>
      <c r="F2892" s="894" t="s">
        <v>3210</v>
      </c>
      <c r="G2892" s="528"/>
      <c r="H2892" s="546" t="s">
        <v>37</v>
      </c>
      <c r="I2892" s="711">
        <v>0</v>
      </c>
      <c r="J2892" s="896" t="str">
        <f t="shared" ref="J2892" si="11713">IFERROR((I2893/I2892),"-")</f>
        <v>-</v>
      </c>
      <c r="K2892" s="528"/>
      <c r="L2892" s="546" t="s">
        <v>37</v>
      </c>
      <c r="M2892" s="711">
        <f t="shared" si="11559"/>
        <v>0</v>
      </c>
      <c r="N2892" s="896" t="str">
        <f t="shared" ref="N2892" si="11714">IFERROR((M2893/M2892),"-")</f>
        <v>-</v>
      </c>
      <c r="O2892" s="528"/>
      <c r="P2892" s="547">
        <v>0</v>
      </c>
      <c r="Q2892" s="547">
        <v>0</v>
      </c>
      <c r="R2892" s="547">
        <v>0</v>
      </c>
      <c r="S2892" s="547">
        <v>0</v>
      </c>
      <c r="T2892" s="547">
        <v>0</v>
      </c>
      <c r="U2892" s="547">
        <v>0</v>
      </c>
      <c r="V2892" s="548">
        <v>0</v>
      </c>
      <c r="W2892" s="528"/>
      <c r="X2892" s="711">
        <f t="shared" si="11552"/>
        <v>0</v>
      </c>
      <c r="Y2892" s="896" t="str">
        <f t="shared" ref="Y2892" si="11715">IFERROR((X2893/X2892),"-")</f>
        <v>-</v>
      </c>
      <c r="Z2892" s="528"/>
      <c r="AA2892" s="898">
        <v>0</v>
      </c>
      <c r="AB2892" s="898">
        <v>0</v>
      </c>
      <c r="AC2892" s="898">
        <v>0</v>
      </c>
      <c r="AD2892" s="896" t="str">
        <f t="shared" ref="AD2892" si="11716">IFERROR((AC2892/AA2892),"-")</f>
        <v>-</v>
      </c>
      <c r="AE2892" s="2"/>
      <c r="AF2892" s="884">
        <v>0</v>
      </c>
      <c r="AG2892" s="884">
        <v>0</v>
      </c>
      <c r="AH2892" s="884">
        <v>0</v>
      </c>
      <c r="AI2892" s="884"/>
      <c r="AJ2892" s="884"/>
      <c r="AK2892" s="884">
        <f t="shared" ref="AK2892" si="11717">AF2892+AG2892+AH2892+AI2892+AJ2892+AC2892</f>
        <v>0</v>
      </c>
      <c r="AL2892" s="884">
        <v>0</v>
      </c>
      <c r="AM2892" s="878" t="str">
        <f t="shared" ref="AM2892" si="11718">IFERROR((AK2892/AL2892),"-")</f>
        <v>-</v>
      </c>
      <c r="AN2892" s="2"/>
      <c r="AO2892" s="884">
        <v>4602.3999999999996</v>
      </c>
      <c r="AP2892" s="884">
        <f t="shared" ref="AP2892" si="11719">AO2892-AK2892</f>
        <v>4602.3999999999996</v>
      </c>
      <c r="AV2892" t="str">
        <f t="shared" si="11710"/>
        <v>Revegetação - Hidrossemeadura</v>
      </c>
      <c r="AW2892" s="4" t="str">
        <f t="shared" si="11701"/>
        <v xml:space="preserve">   Seg. 2.2-A13-Acesso - Revestimento vegetal por hidrossemeadura</v>
      </c>
    </row>
    <row r="2893" spans="1:49" ht="15.6" customHeight="1" outlineLevel="2">
      <c r="A2893" s="8" t="str">
        <f t="shared" ref="A2893" si="11720">A2892</f>
        <v>N</v>
      </c>
      <c r="B2893" s="150"/>
      <c r="C2893" s="150"/>
      <c r="D2893" s="120" t="s">
        <v>3262</v>
      </c>
      <c r="E2893" s="893"/>
      <c r="F2893" s="895"/>
      <c r="G2893" s="528"/>
      <c r="H2893" s="549" t="s">
        <v>38</v>
      </c>
      <c r="I2893" s="711">
        <v>0</v>
      </c>
      <c r="J2893" s="897"/>
      <c r="K2893" s="528"/>
      <c r="L2893" s="549" t="s">
        <v>38</v>
      </c>
      <c r="M2893" s="711">
        <f t="shared" si="11559"/>
        <v>0</v>
      </c>
      <c r="N2893" s="897"/>
      <c r="O2893" s="528"/>
      <c r="P2893" s="548">
        <v>0</v>
      </c>
      <c r="Q2893" s="548">
        <v>0</v>
      </c>
      <c r="R2893" s="548">
        <v>0</v>
      </c>
      <c r="S2893" s="548">
        <v>0</v>
      </c>
      <c r="T2893" s="548">
        <v>0</v>
      </c>
      <c r="U2893" s="548">
        <v>0</v>
      </c>
      <c r="V2893" s="548"/>
      <c r="W2893" s="528"/>
      <c r="X2893" s="711">
        <f t="shared" si="11552"/>
        <v>0</v>
      </c>
      <c r="Y2893" s="897"/>
      <c r="Z2893" s="528"/>
      <c r="AA2893" s="899"/>
      <c r="AB2893" s="899"/>
      <c r="AC2893" s="899"/>
      <c r="AD2893" s="897"/>
      <c r="AE2893" s="2"/>
      <c r="AF2893" s="885"/>
      <c r="AG2893" s="885"/>
      <c r="AH2893" s="885"/>
      <c r="AI2893" s="885"/>
      <c r="AJ2893" s="885"/>
      <c r="AK2893" s="885"/>
      <c r="AL2893" s="885"/>
      <c r="AM2893" s="879"/>
      <c r="AN2893" s="2"/>
      <c r="AO2893" s="886"/>
      <c r="AP2893" s="886"/>
      <c r="AV2893" t="str">
        <f t="shared" si="11710"/>
        <v>Revegetação - Hidrossemeadura</v>
      </c>
      <c r="AW2893" s="4" t="str">
        <f t="shared" si="11701"/>
        <v xml:space="preserve">   Seg. 2.2-A13-Acesso - Revestimento vegetal por hidrossemeadura</v>
      </c>
    </row>
    <row r="2894" spans="1:49" ht="15.6" customHeight="1" outlineLevel="2">
      <c r="A2894" s="8" t="str">
        <f t="shared" ref="A2894" si="11721">IF(SUM(P2894:V2895)&gt;0,"S","N")</f>
        <v>N</v>
      </c>
      <c r="B2894" s="150">
        <v>1066545</v>
      </c>
      <c r="C2894" s="150" t="s">
        <v>3264</v>
      </c>
      <c r="D2894" s="120" t="s">
        <v>3265</v>
      </c>
      <c r="E2894" s="892" t="s">
        <v>3266</v>
      </c>
      <c r="F2894" s="894" t="s">
        <v>3210</v>
      </c>
      <c r="G2894" s="528"/>
      <c r="H2894" s="546" t="s">
        <v>37</v>
      </c>
      <c r="I2894" s="711">
        <v>0</v>
      </c>
      <c r="J2894" s="896" t="str">
        <f t="shared" ref="J2894" si="11722">IFERROR((I2895/I2894),"-")</f>
        <v>-</v>
      </c>
      <c r="K2894" s="528"/>
      <c r="L2894" s="546" t="s">
        <v>37</v>
      </c>
      <c r="M2894" s="711">
        <f t="shared" si="11559"/>
        <v>0</v>
      </c>
      <c r="N2894" s="896" t="str">
        <f t="shared" ref="N2894" si="11723">IFERROR((M2895/M2894),"-")</f>
        <v>-</v>
      </c>
      <c r="O2894" s="528"/>
      <c r="P2894" s="547">
        <v>0</v>
      </c>
      <c r="Q2894" s="547">
        <v>0</v>
      </c>
      <c r="R2894" s="547">
        <v>0</v>
      </c>
      <c r="S2894" s="547">
        <v>0</v>
      </c>
      <c r="T2894" s="547">
        <v>0</v>
      </c>
      <c r="U2894" s="547">
        <v>0</v>
      </c>
      <c r="V2894" s="548">
        <v>0</v>
      </c>
      <c r="W2894" s="528"/>
      <c r="X2894" s="711">
        <f t="shared" si="11552"/>
        <v>0</v>
      </c>
      <c r="Y2894" s="896" t="str">
        <f t="shared" ref="Y2894" si="11724">IFERROR((X2895/X2894),"-")</f>
        <v>-</v>
      </c>
      <c r="Z2894" s="528"/>
      <c r="AA2894" s="898">
        <v>0</v>
      </c>
      <c r="AB2894" s="898">
        <v>0</v>
      </c>
      <c r="AC2894" s="898">
        <v>0</v>
      </c>
      <c r="AD2894" s="896" t="str">
        <f t="shared" ref="AD2894" si="11725">IFERROR((AC2894/AA2894),"-")</f>
        <v>-</v>
      </c>
      <c r="AE2894" s="2"/>
      <c r="AF2894" s="884">
        <v>0</v>
      </c>
      <c r="AG2894" s="884">
        <v>0</v>
      </c>
      <c r="AH2894" s="884">
        <v>0</v>
      </c>
      <c r="AI2894" s="884"/>
      <c r="AJ2894" s="884"/>
      <c r="AK2894" s="884">
        <f t="shared" ref="AK2894" si="11726">AF2894+AG2894+AH2894+AI2894+AJ2894+AC2894</f>
        <v>0</v>
      </c>
      <c r="AL2894" s="884">
        <v>0</v>
      </c>
      <c r="AM2894" s="878" t="str">
        <f t="shared" ref="AM2894" si="11727">IFERROR((AK2894/AL2894),"-")</f>
        <v>-</v>
      </c>
      <c r="AN2894" s="2"/>
      <c r="AO2894" s="884">
        <v>1250.55</v>
      </c>
      <c r="AP2894" s="884">
        <f t="shared" ref="AP2894" si="11728">AO2894-AK2894</f>
        <v>1250.55</v>
      </c>
      <c r="AV2894" t="str">
        <f t="shared" si="11710"/>
        <v>Revegetação - Hidrossemeadura</v>
      </c>
      <c r="AW2894" s="4" t="str">
        <f t="shared" si="11701"/>
        <v xml:space="preserve">   Seg. 2.2-A14-Acesso - Revestimento vegetal por hidrossemeadura</v>
      </c>
    </row>
    <row r="2895" spans="1:49" ht="15.6" customHeight="1" outlineLevel="2">
      <c r="A2895" s="8" t="str">
        <f t="shared" ref="A2895" si="11729">A2894</f>
        <v>N</v>
      </c>
      <c r="B2895" s="150"/>
      <c r="C2895" s="150"/>
      <c r="D2895" s="120" t="s">
        <v>3265</v>
      </c>
      <c r="E2895" s="893"/>
      <c r="F2895" s="895"/>
      <c r="G2895" s="528"/>
      <c r="H2895" s="549" t="s">
        <v>38</v>
      </c>
      <c r="I2895" s="711">
        <v>0</v>
      </c>
      <c r="J2895" s="897"/>
      <c r="K2895" s="528"/>
      <c r="L2895" s="549" t="s">
        <v>38</v>
      </c>
      <c r="M2895" s="711">
        <f t="shared" si="11559"/>
        <v>0</v>
      </c>
      <c r="N2895" s="897"/>
      <c r="O2895" s="528"/>
      <c r="P2895" s="548">
        <v>0</v>
      </c>
      <c r="Q2895" s="548">
        <v>0</v>
      </c>
      <c r="R2895" s="548">
        <v>0</v>
      </c>
      <c r="S2895" s="548">
        <v>0</v>
      </c>
      <c r="T2895" s="548">
        <v>0</v>
      </c>
      <c r="U2895" s="548">
        <v>0</v>
      </c>
      <c r="V2895" s="548"/>
      <c r="W2895" s="528"/>
      <c r="X2895" s="711">
        <f t="shared" si="11552"/>
        <v>0</v>
      </c>
      <c r="Y2895" s="897"/>
      <c r="Z2895" s="528"/>
      <c r="AA2895" s="899"/>
      <c r="AB2895" s="899"/>
      <c r="AC2895" s="899"/>
      <c r="AD2895" s="897"/>
      <c r="AE2895" s="2"/>
      <c r="AF2895" s="885"/>
      <c r="AG2895" s="885"/>
      <c r="AH2895" s="885"/>
      <c r="AI2895" s="885"/>
      <c r="AJ2895" s="885"/>
      <c r="AK2895" s="885"/>
      <c r="AL2895" s="885"/>
      <c r="AM2895" s="879"/>
      <c r="AN2895" s="2"/>
      <c r="AO2895" s="886"/>
      <c r="AP2895" s="886"/>
      <c r="AV2895" t="str">
        <f t="shared" si="11710"/>
        <v>Revegetação - Hidrossemeadura</v>
      </c>
      <c r="AW2895" s="4" t="str">
        <f t="shared" si="11701"/>
        <v xml:space="preserve">   Seg. 2.2-A14-Acesso - Revestimento vegetal por hidrossemeadura</v>
      </c>
    </row>
    <row r="2896" spans="1:49" ht="15.6" customHeight="1" outlineLevel="2">
      <c r="A2896" s="8" t="str">
        <f t="shared" ref="A2896" si="11730">IF(SUM(P2896:V2897)&gt;0,"S","N")</f>
        <v>N</v>
      </c>
      <c r="B2896" s="150">
        <v>1066546</v>
      </c>
      <c r="C2896" s="150" t="s">
        <v>3267</v>
      </c>
      <c r="D2896" s="120" t="s">
        <v>3268</v>
      </c>
      <c r="E2896" s="892" t="s">
        <v>3269</v>
      </c>
      <c r="F2896" s="894" t="s">
        <v>3210</v>
      </c>
      <c r="G2896" s="528"/>
      <c r="H2896" s="546" t="s">
        <v>37</v>
      </c>
      <c r="I2896" s="711">
        <v>0</v>
      </c>
      <c r="J2896" s="896" t="str">
        <f t="shared" ref="J2896" si="11731">IFERROR((I2897/I2896),"-")</f>
        <v>-</v>
      </c>
      <c r="K2896" s="528"/>
      <c r="L2896" s="546" t="s">
        <v>37</v>
      </c>
      <c r="M2896" s="711">
        <f t="shared" si="11559"/>
        <v>0</v>
      </c>
      <c r="N2896" s="896" t="str">
        <f t="shared" ref="N2896" si="11732">IFERROR((M2897/M2896),"-")</f>
        <v>-</v>
      </c>
      <c r="O2896" s="528"/>
      <c r="P2896" s="547">
        <v>0</v>
      </c>
      <c r="Q2896" s="547">
        <v>0</v>
      </c>
      <c r="R2896" s="547">
        <v>0</v>
      </c>
      <c r="S2896" s="547">
        <v>0</v>
      </c>
      <c r="T2896" s="547">
        <v>0</v>
      </c>
      <c r="U2896" s="547">
        <v>0</v>
      </c>
      <c r="V2896" s="548">
        <v>0</v>
      </c>
      <c r="W2896" s="528"/>
      <c r="X2896" s="711">
        <f t="shared" si="11552"/>
        <v>0</v>
      </c>
      <c r="Y2896" s="896" t="str">
        <f t="shared" ref="Y2896" si="11733">IFERROR((X2897/X2896),"-")</f>
        <v>-</v>
      </c>
      <c r="Z2896" s="528"/>
      <c r="AA2896" s="898">
        <v>0</v>
      </c>
      <c r="AB2896" s="898">
        <v>0</v>
      </c>
      <c r="AC2896" s="898">
        <v>0</v>
      </c>
      <c r="AD2896" s="896" t="str">
        <f t="shared" ref="AD2896" si="11734">IFERROR((AC2896/AA2896),"-")</f>
        <v>-</v>
      </c>
      <c r="AE2896" s="2"/>
      <c r="AF2896" s="884">
        <v>0</v>
      </c>
      <c r="AG2896" s="884">
        <v>0</v>
      </c>
      <c r="AH2896" s="884">
        <v>0</v>
      </c>
      <c r="AI2896" s="884"/>
      <c r="AJ2896" s="884"/>
      <c r="AK2896" s="884">
        <f t="shared" ref="AK2896" si="11735">AF2896+AG2896+AH2896+AI2896+AJ2896+AC2896</f>
        <v>0</v>
      </c>
      <c r="AL2896" s="884">
        <v>26431.16</v>
      </c>
      <c r="AM2896" s="878">
        <f t="shared" ref="AM2896" si="11736">IFERROR((AK2896/AL2896),"-")</f>
        <v>0</v>
      </c>
      <c r="AN2896" s="2"/>
      <c r="AO2896" s="884">
        <v>189648</v>
      </c>
      <c r="AP2896" s="884">
        <f t="shared" ref="AP2896" si="11737">AO2896-AK2896</f>
        <v>189648</v>
      </c>
      <c r="AV2896" t="str">
        <f t="shared" si="11710"/>
        <v>Revegetação - Hidrossemeadura</v>
      </c>
      <c r="AW2896" s="4" t="str">
        <f t="shared" si="11701"/>
        <v xml:space="preserve">   Seg. 2.2-ADME01-Revestimento vegetal por hidrossemeadura</v>
      </c>
    </row>
    <row r="2897" spans="1:49" ht="15.6" customHeight="1" outlineLevel="2">
      <c r="A2897" s="8" t="str">
        <f t="shared" ref="A2897" si="11738">A2896</f>
        <v>N</v>
      </c>
      <c r="B2897" s="150"/>
      <c r="C2897" s="150"/>
      <c r="D2897" s="120" t="s">
        <v>3268</v>
      </c>
      <c r="E2897" s="893"/>
      <c r="F2897" s="895"/>
      <c r="G2897" s="528"/>
      <c r="H2897" s="549" t="s">
        <v>38</v>
      </c>
      <c r="I2897" s="711">
        <v>0</v>
      </c>
      <c r="J2897" s="897"/>
      <c r="K2897" s="528"/>
      <c r="L2897" s="549" t="s">
        <v>38</v>
      </c>
      <c r="M2897" s="711">
        <f t="shared" si="11559"/>
        <v>0</v>
      </c>
      <c r="N2897" s="897"/>
      <c r="O2897" s="528"/>
      <c r="P2897" s="548">
        <v>0</v>
      </c>
      <c r="Q2897" s="548">
        <v>0</v>
      </c>
      <c r="R2897" s="548">
        <v>0</v>
      </c>
      <c r="S2897" s="548">
        <v>0</v>
      </c>
      <c r="T2897" s="548">
        <v>0</v>
      </c>
      <c r="U2897" s="548">
        <v>0</v>
      </c>
      <c r="V2897" s="548"/>
      <c r="W2897" s="528"/>
      <c r="X2897" s="711">
        <f t="shared" si="11552"/>
        <v>0</v>
      </c>
      <c r="Y2897" s="897"/>
      <c r="Z2897" s="528"/>
      <c r="AA2897" s="899"/>
      <c r="AB2897" s="899"/>
      <c r="AC2897" s="899"/>
      <c r="AD2897" s="897"/>
      <c r="AE2897" s="2"/>
      <c r="AF2897" s="885"/>
      <c r="AG2897" s="885"/>
      <c r="AH2897" s="885"/>
      <c r="AI2897" s="885"/>
      <c r="AJ2897" s="885"/>
      <c r="AK2897" s="885"/>
      <c r="AL2897" s="885"/>
      <c r="AM2897" s="879"/>
      <c r="AN2897" s="2"/>
      <c r="AO2897" s="886"/>
      <c r="AP2897" s="886"/>
      <c r="AV2897" t="str">
        <f t="shared" si="11710"/>
        <v>Revegetação - Hidrossemeadura</v>
      </c>
      <c r="AW2897" s="4" t="str">
        <f t="shared" si="11701"/>
        <v xml:space="preserve">   Seg. 2.2-ADME01-Revestimento vegetal por hidrossemeadura</v>
      </c>
    </row>
    <row r="2898" spans="1:49" ht="15.6" customHeight="1" outlineLevel="2">
      <c r="A2898" s="8" t="str">
        <f t="shared" ref="A2898" si="11739">IF(SUM(P2898:V2899)&gt;0,"S","N")</f>
        <v>N</v>
      </c>
      <c r="B2898" s="150">
        <v>1066547</v>
      </c>
      <c r="C2898" s="150" t="s">
        <v>3270</v>
      </c>
      <c r="D2898" s="120" t="s">
        <v>3271</v>
      </c>
      <c r="E2898" s="892" t="s">
        <v>3272</v>
      </c>
      <c r="F2898" s="894" t="s">
        <v>3210</v>
      </c>
      <c r="G2898" s="528"/>
      <c r="H2898" s="546" t="s">
        <v>37</v>
      </c>
      <c r="I2898" s="711">
        <v>0</v>
      </c>
      <c r="J2898" s="896" t="str">
        <f t="shared" ref="J2898" si="11740">IFERROR((I2899/I2898),"-")</f>
        <v>-</v>
      </c>
      <c r="K2898" s="528"/>
      <c r="L2898" s="546" t="s">
        <v>37</v>
      </c>
      <c r="M2898" s="711">
        <f t="shared" si="11559"/>
        <v>0</v>
      </c>
      <c r="N2898" s="896" t="str">
        <f t="shared" ref="N2898" si="11741">IFERROR((M2899/M2898),"-")</f>
        <v>-</v>
      </c>
      <c r="O2898" s="528"/>
      <c r="P2898" s="547">
        <v>0</v>
      </c>
      <c r="Q2898" s="547">
        <v>0</v>
      </c>
      <c r="R2898" s="547">
        <v>0</v>
      </c>
      <c r="S2898" s="547">
        <v>0</v>
      </c>
      <c r="T2898" s="547">
        <v>0</v>
      </c>
      <c r="U2898" s="547">
        <v>0</v>
      </c>
      <c r="V2898" s="548">
        <v>0</v>
      </c>
      <c r="W2898" s="528"/>
      <c r="X2898" s="711">
        <f t="shared" si="11552"/>
        <v>0</v>
      </c>
      <c r="Y2898" s="896" t="str">
        <f t="shared" ref="Y2898" si="11742">IFERROR((X2899/X2898),"-")</f>
        <v>-</v>
      </c>
      <c r="Z2898" s="528"/>
      <c r="AA2898" s="898">
        <v>0</v>
      </c>
      <c r="AB2898" s="898">
        <v>0</v>
      </c>
      <c r="AC2898" s="898">
        <v>0</v>
      </c>
      <c r="AD2898" s="896" t="str">
        <f t="shared" ref="AD2898" si="11743">IFERROR((AC2898/AA2898),"-")</f>
        <v>-</v>
      </c>
      <c r="AE2898" s="2"/>
      <c r="AF2898" s="884">
        <v>0</v>
      </c>
      <c r="AG2898" s="884">
        <v>0</v>
      </c>
      <c r="AH2898" s="884">
        <v>0</v>
      </c>
      <c r="AI2898" s="884"/>
      <c r="AJ2898" s="884"/>
      <c r="AK2898" s="884">
        <f t="shared" ref="AK2898" si="11744">AF2898+AG2898+AH2898+AI2898+AJ2898+AC2898</f>
        <v>0</v>
      </c>
      <c r="AL2898" s="884">
        <v>0</v>
      </c>
      <c r="AM2898" s="878" t="str">
        <f t="shared" ref="AM2898" si="11745">IFERROR((AK2898/AL2898),"-")</f>
        <v>-</v>
      </c>
      <c r="AN2898" s="2"/>
      <c r="AO2898" s="884">
        <v>0</v>
      </c>
      <c r="AP2898" s="884">
        <f t="shared" ref="AP2898" si="11746">AO2898-AK2898</f>
        <v>0</v>
      </c>
      <c r="AV2898" t="str">
        <f t="shared" si="11710"/>
        <v>Revegetação - Hidrossemeadura</v>
      </c>
      <c r="AW2898" s="4" t="str">
        <f t="shared" si="11701"/>
        <v xml:space="preserve">   Seg. 2.2-ADME02 - Revestimento vegetal por hidrossemeadura</v>
      </c>
    </row>
    <row r="2899" spans="1:49" ht="15.6" customHeight="1" outlineLevel="2">
      <c r="A2899" s="8" t="str">
        <f t="shared" ref="A2899" si="11747">A2898</f>
        <v>N</v>
      </c>
      <c r="B2899" s="150"/>
      <c r="C2899" s="150"/>
      <c r="D2899" s="120" t="s">
        <v>3271</v>
      </c>
      <c r="E2899" s="893"/>
      <c r="F2899" s="895"/>
      <c r="G2899" s="528"/>
      <c r="H2899" s="549" t="s">
        <v>38</v>
      </c>
      <c r="I2899" s="711">
        <v>0</v>
      </c>
      <c r="J2899" s="897"/>
      <c r="K2899" s="528"/>
      <c r="L2899" s="549" t="s">
        <v>38</v>
      </c>
      <c r="M2899" s="711">
        <f t="shared" si="11559"/>
        <v>0</v>
      </c>
      <c r="N2899" s="897"/>
      <c r="O2899" s="528"/>
      <c r="P2899" s="548">
        <v>0</v>
      </c>
      <c r="Q2899" s="548">
        <v>0</v>
      </c>
      <c r="R2899" s="548">
        <v>0</v>
      </c>
      <c r="S2899" s="548">
        <v>0</v>
      </c>
      <c r="T2899" s="548">
        <v>0</v>
      </c>
      <c r="U2899" s="548">
        <v>0</v>
      </c>
      <c r="V2899" s="548"/>
      <c r="W2899" s="528"/>
      <c r="X2899" s="711">
        <f t="shared" si="11552"/>
        <v>0</v>
      </c>
      <c r="Y2899" s="897"/>
      <c r="Z2899" s="528"/>
      <c r="AA2899" s="899"/>
      <c r="AB2899" s="899"/>
      <c r="AC2899" s="899"/>
      <c r="AD2899" s="897"/>
      <c r="AE2899" s="2"/>
      <c r="AF2899" s="885"/>
      <c r="AG2899" s="885"/>
      <c r="AH2899" s="885"/>
      <c r="AI2899" s="885"/>
      <c r="AJ2899" s="885"/>
      <c r="AK2899" s="885"/>
      <c r="AL2899" s="885"/>
      <c r="AM2899" s="879"/>
      <c r="AN2899" s="2"/>
      <c r="AO2899" s="886"/>
      <c r="AP2899" s="886"/>
      <c r="AV2899" t="str">
        <f t="shared" si="11710"/>
        <v>Revegetação - Hidrossemeadura</v>
      </c>
      <c r="AW2899" s="4" t="str">
        <f t="shared" si="11701"/>
        <v xml:space="preserve">   Seg. 2.2-ADME02 - Revestimento vegetal por hidrossemeadura</v>
      </c>
    </row>
    <row r="2900" spans="1:49" ht="15.6" customHeight="1" outlineLevel="2">
      <c r="A2900" s="8" t="str">
        <f t="shared" ref="A2900" si="11748">IF(SUM(P2900:V2901)&gt;0,"S","N")</f>
        <v>N</v>
      </c>
      <c r="B2900" s="150">
        <v>1066548</v>
      </c>
      <c r="C2900" s="150" t="s">
        <v>3273</v>
      </c>
      <c r="D2900" s="120" t="s">
        <v>3274</v>
      </c>
      <c r="E2900" s="892" t="s">
        <v>3275</v>
      </c>
      <c r="F2900" s="894" t="s">
        <v>3210</v>
      </c>
      <c r="G2900" s="528"/>
      <c r="H2900" s="546" t="s">
        <v>37</v>
      </c>
      <c r="I2900" s="711">
        <v>0</v>
      </c>
      <c r="J2900" s="896" t="str">
        <f t="shared" ref="J2900" si="11749">IFERROR((I2901/I2900),"-")</f>
        <v>-</v>
      </c>
      <c r="K2900" s="528"/>
      <c r="L2900" s="546" t="s">
        <v>37</v>
      </c>
      <c r="M2900" s="711">
        <f t="shared" si="11559"/>
        <v>0</v>
      </c>
      <c r="N2900" s="896" t="str">
        <f t="shared" ref="N2900" si="11750">IFERROR((M2901/M2900),"-")</f>
        <v>-</v>
      </c>
      <c r="O2900" s="528"/>
      <c r="P2900" s="547">
        <v>0</v>
      </c>
      <c r="Q2900" s="547">
        <v>0</v>
      </c>
      <c r="R2900" s="547">
        <v>0</v>
      </c>
      <c r="S2900" s="547">
        <v>0</v>
      </c>
      <c r="T2900" s="547">
        <v>0</v>
      </c>
      <c r="U2900" s="547">
        <v>0</v>
      </c>
      <c r="V2900" s="548">
        <v>0</v>
      </c>
      <c r="W2900" s="528"/>
      <c r="X2900" s="711">
        <f t="shared" si="11552"/>
        <v>0</v>
      </c>
      <c r="Y2900" s="896" t="str">
        <f t="shared" ref="Y2900" si="11751">IFERROR((X2901/X2900),"-")</f>
        <v>-</v>
      </c>
      <c r="Z2900" s="528"/>
      <c r="AA2900" s="898">
        <v>0</v>
      </c>
      <c r="AB2900" s="898">
        <v>0</v>
      </c>
      <c r="AC2900" s="898">
        <v>0</v>
      </c>
      <c r="AD2900" s="896" t="str">
        <f t="shared" ref="AD2900" si="11752">IFERROR((AC2900/AA2900),"-")</f>
        <v>-</v>
      </c>
      <c r="AE2900" s="2"/>
      <c r="AF2900" s="884">
        <v>0</v>
      </c>
      <c r="AG2900" s="884">
        <v>0</v>
      </c>
      <c r="AH2900" s="884">
        <v>0</v>
      </c>
      <c r="AI2900" s="884"/>
      <c r="AJ2900" s="884"/>
      <c r="AK2900" s="884">
        <f t="shared" ref="AK2900" si="11753">AF2900+AG2900+AH2900+AI2900+AJ2900+AC2900</f>
        <v>0</v>
      </c>
      <c r="AL2900" s="884">
        <v>0</v>
      </c>
      <c r="AM2900" s="878" t="str">
        <f t="shared" ref="AM2900" si="11754">IFERROR((AK2900/AL2900),"-")</f>
        <v>-</v>
      </c>
      <c r="AN2900" s="2"/>
      <c r="AO2900" s="884">
        <v>0</v>
      </c>
      <c r="AP2900" s="884">
        <f t="shared" ref="AP2900" si="11755">AO2900-AK2900</f>
        <v>0</v>
      </c>
      <c r="AV2900" t="str">
        <f t="shared" si="11710"/>
        <v>Revegetação - Hidrossemeadura</v>
      </c>
      <c r="AW2900" s="4" t="str">
        <f t="shared" si="11701"/>
        <v xml:space="preserve">   Seg. 2.2-ADME03 - Revestimento vegetal por hidrossemeadura</v>
      </c>
    </row>
    <row r="2901" spans="1:49" ht="15.6" customHeight="1" outlineLevel="2">
      <c r="A2901" s="8" t="str">
        <f t="shared" ref="A2901" si="11756">A2900</f>
        <v>N</v>
      </c>
      <c r="B2901" s="150"/>
      <c r="C2901" s="150"/>
      <c r="D2901" s="120" t="s">
        <v>3274</v>
      </c>
      <c r="E2901" s="893"/>
      <c r="F2901" s="895"/>
      <c r="G2901" s="528"/>
      <c r="H2901" s="549" t="s">
        <v>38</v>
      </c>
      <c r="I2901" s="711">
        <v>0</v>
      </c>
      <c r="J2901" s="897"/>
      <c r="K2901" s="528"/>
      <c r="L2901" s="549" t="s">
        <v>38</v>
      </c>
      <c r="M2901" s="711">
        <f t="shared" si="11559"/>
        <v>0</v>
      </c>
      <c r="N2901" s="897"/>
      <c r="O2901" s="528"/>
      <c r="P2901" s="548">
        <v>0</v>
      </c>
      <c r="Q2901" s="548">
        <v>0</v>
      </c>
      <c r="R2901" s="548">
        <v>0</v>
      </c>
      <c r="S2901" s="548">
        <v>0</v>
      </c>
      <c r="T2901" s="548">
        <v>0</v>
      </c>
      <c r="U2901" s="548">
        <v>0</v>
      </c>
      <c r="V2901" s="548"/>
      <c r="W2901" s="528"/>
      <c r="X2901" s="711">
        <f t="shared" si="11552"/>
        <v>0</v>
      </c>
      <c r="Y2901" s="897"/>
      <c r="Z2901" s="528"/>
      <c r="AA2901" s="899"/>
      <c r="AB2901" s="899"/>
      <c r="AC2901" s="899"/>
      <c r="AD2901" s="897"/>
      <c r="AE2901" s="2"/>
      <c r="AF2901" s="885"/>
      <c r="AG2901" s="885"/>
      <c r="AH2901" s="885"/>
      <c r="AI2901" s="885"/>
      <c r="AJ2901" s="885"/>
      <c r="AK2901" s="885"/>
      <c r="AL2901" s="885"/>
      <c r="AM2901" s="879"/>
      <c r="AN2901" s="2"/>
      <c r="AO2901" s="886"/>
      <c r="AP2901" s="886"/>
      <c r="AV2901" t="str">
        <f t="shared" si="11710"/>
        <v>Revegetação - Hidrossemeadura</v>
      </c>
      <c r="AW2901" s="4" t="str">
        <f t="shared" si="11701"/>
        <v xml:space="preserve">   Seg. 2.2-ADME03 - Revestimento vegetal por hidrossemeadura</v>
      </c>
    </row>
    <row r="2902" spans="1:49" ht="15.6" customHeight="1" outlineLevel="2">
      <c r="A2902" s="8" t="str">
        <f t="shared" ref="A2902" si="11757">IF(SUM(P2902:V2903)&gt;0,"S","N")</f>
        <v>N</v>
      </c>
      <c r="B2902" s="150">
        <v>1066549</v>
      </c>
      <c r="C2902" s="150" t="s">
        <v>3276</v>
      </c>
      <c r="D2902" s="120" t="s">
        <v>3277</v>
      </c>
      <c r="E2902" s="892" t="s">
        <v>3278</v>
      </c>
      <c r="F2902" s="894" t="s">
        <v>3210</v>
      </c>
      <c r="G2902" s="528"/>
      <c r="H2902" s="546" t="s">
        <v>37</v>
      </c>
      <c r="I2902" s="711">
        <v>0</v>
      </c>
      <c r="J2902" s="896" t="str">
        <f t="shared" ref="J2902" si="11758">IFERROR((I2903/I2902),"-")</f>
        <v>-</v>
      </c>
      <c r="K2902" s="528"/>
      <c r="L2902" s="546" t="s">
        <v>37</v>
      </c>
      <c r="M2902" s="711">
        <f t="shared" si="11559"/>
        <v>0</v>
      </c>
      <c r="N2902" s="896" t="str">
        <f t="shared" ref="N2902" si="11759">IFERROR((M2903/M2902),"-")</f>
        <v>-</v>
      </c>
      <c r="O2902" s="528"/>
      <c r="P2902" s="547">
        <v>0</v>
      </c>
      <c r="Q2902" s="547">
        <v>0</v>
      </c>
      <c r="R2902" s="547">
        <v>0</v>
      </c>
      <c r="S2902" s="547">
        <v>0</v>
      </c>
      <c r="T2902" s="547">
        <v>0</v>
      </c>
      <c r="U2902" s="547">
        <v>0</v>
      </c>
      <c r="V2902" s="548">
        <v>0</v>
      </c>
      <c r="W2902" s="528"/>
      <c r="X2902" s="711">
        <f t="shared" si="11552"/>
        <v>0</v>
      </c>
      <c r="Y2902" s="896" t="str">
        <f t="shared" ref="Y2902" si="11760">IFERROR((X2903/X2902),"-")</f>
        <v>-</v>
      </c>
      <c r="Z2902" s="528"/>
      <c r="AA2902" s="898">
        <v>0</v>
      </c>
      <c r="AB2902" s="898">
        <v>0</v>
      </c>
      <c r="AC2902" s="898">
        <v>0</v>
      </c>
      <c r="AD2902" s="896" t="str">
        <f t="shared" ref="AD2902" si="11761">IFERROR((AC2902/AA2902),"-")</f>
        <v>-</v>
      </c>
      <c r="AE2902" s="2"/>
      <c r="AF2902" s="884">
        <v>0</v>
      </c>
      <c r="AG2902" s="884">
        <v>0</v>
      </c>
      <c r="AH2902" s="884">
        <v>0</v>
      </c>
      <c r="AI2902" s="884"/>
      <c r="AJ2902" s="884"/>
      <c r="AK2902" s="884">
        <f t="shared" ref="AK2902" si="11762">AF2902+AG2902+AH2902+AI2902+AJ2902+AC2902</f>
        <v>0</v>
      </c>
      <c r="AL2902" s="884">
        <v>0</v>
      </c>
      <c r="AM2902" s="878" t="str">
        <f t="shared" ref="AM2902" si="11763">IFERROR((AK2902/AL2902),"-")</f>
        <v>-</v>
      </c>
      <c r="AN2902" s="2"/>
      <c r="AO2902" s="884">
        <v>0</v>
      </c>
      <c r="AP2902" s="884">
        <f t="shared" ref="AP2902" si="11764">AO2902-AK2902</f>
        <v>0</v>
      </c>
      <c r="AV2902" t="str">
        <f t="shared" si="11710"/>
        <v>Revegetação - Hidrossemeadura</v>
      </c>
      <c r="AW2902" s="4" t="str">
        <f t="shared" si="11701"/>
        <v xml:space="preserve">   Seg. 2.2-ADME04 - Revestimento vegetal por hidrossemeadura</v>
      </c>
    </row>
    <row r="2903" spans="1:49" ht="15.6" customHeight="1" outlineLevel="2">
      <c r="A2903" s="8" t="str">
        <f t="shared" ref="A2903" si="11765">A2902</f>
        <v>N</v>
      </c>
      <c r="B2903" s="150"/>
      <c r="C2903" s="150"/>
      <c r="D2903" s="120" t="s">
        <v>3277</v>
      </c>
      <c r="E2903" s="893"/>
      <c r="F2903" s="895"/>
      <c r="G2903" s="528"/>
      <c r="H2903" s="549" t="s">
        <v>38</v>
      </c>
      <c r="I2903" s="711">
        <v>0</v>
      </c>
      <c r="J2903" s="897"/>
      <c r="K2903" s="528"/>
      <c r="L2903" s="549" t="s">
        <v>38</v>
      </c>
      <c r="M2903" s="711">
        <f t="shared" si="11559"/>
        <v>0</v>
      </c>
      <c r="N2903" s="897"/>
      <c r="O2903" s="528"/>
      <c r="P2903" s="548">
        <v>0</v>
      </c>
      <c r="Q2903" s="548">
        <v>0</v>
      </c>
      <c r="R2903" s="548">
        <v>0</v>
      </c>
      <c r="S2903" s="548">
        <v>0</v>
      </c>
      <c r="T2903" s="548">
        <v>0</v>
      </c>
      <c r="U2903" s="548">
        <v>0</v>
      </c>
      <c r="V2903" s="548"/>
      <c r="W2903" s="528"/>
      <c r="X2903" s="711">
        <f t="shared" si="11552"/>
        <v>0</v>
      </c>
      <c r="Y2903" s="897"/>
      <c r="Z2903" s="528"/>
      <c r="AA2903" s="899"/>
      <c r="AB2903" s="899"/>
      <c r="AC2903" s="899"/>
      <c r="AD2903" s="897"/>
      <c r="AE2903" s="2"/>
      <c r="AF2903" s="885"/>
      <c r="AG2903" s="885"/>
      <c r="AH2903" s="885"/>
      <c r="AI2903" s="885"/>
      <c r="AJ2903" s="885"/>
      <c r="AK2903" s="885"/>
      <c r="AL2903" s="885"/>
      <c r="AM2903" s="879"/>
      <c r="AN2903" s="2"/>
      <c r="AO2903" s="886"/>
      <c r="AP2903" s="886"/>
      <c r="AV2903" t="str">
        <f t="shared" si="11710"/>
        <v>Revegetação - Hidrossemeadura</v>
      </c>
      <c r="AW2903" s="4" t="str">
        <f t="shared" si="11701"/>
        <v xml:space="preserve">   Seg. 2.2-ADME04 - Revestimento vegetal por hidrossemeadura</v>
      </c>
    </row>
    <row r="2904" spans="1:49" ht="15.6" customHeight="1" outlineLevel="2">
      <c r="A2904" s="8" t="str">
        <f t="shared" ref="A2904" si="11766">IF(SUM(P2904:V2905)&gt;0,"S","N")</f>
        <v>N</v>
      </c>
      <c r="B2904" s="150">
        <v>1066551</v>
      </c>
      <c r="C2904" s="150" t="s">
        <v>3279</v>
      </c>
      <c r="D2904" s="120" t="s">
        <v>3280</v>
      </c>
      <c r="E2904" s="892" t="s">
        <v>3281</v>
      </c>
      <c r="F2904" s="894" t="s">
        <v>3210</v>
      </c>
      <c r="G2904" s="528"/>
      <c r="H2904" s="546" t="s">
        <v>37</v>
      </c>
      <c r="I2904" s="711">
        <v>0</v>
      </c>
      <c r="J2904" s="896" t="str">
        <f t="shared" ref="J2904" si="11767">IFERROR((I2905/I2904),"-")</f>
        <v>-</v>
      </c>
      <c r="K2904" s="528"/>
      <c r="L2904" s="546" t="s">
        <v>37</v>
      </c>
      <c r="M2904" s="711">
        <f t="shared" si="11559"/>
        <v>0</v>
      </c>
      <c r="N2904" s="896" t="str">
        <f t="shared" ref="N2904" si="11768">IFERROR((M2905/M2904),"-")</f>
        <v>-</v>
      </c>
      <c r="O2904" s="528"/>
      <c r="P2904" s="547">
        <v>0</v>
      </c>
      <c r="Q2904" s="547">
        <v>0</v>
      </c>
      <c r="R2904" s="547">
        <v>0</v>
      </c>
      <c r="S2904" s="547">
        <v>0</v>
      </c>
      <c r="T2904" s="547">
        <v>0</v>
      </c>
      <c r="U2904" s="547">
        <v>0</v>
      </c>
      <c r="V2904" s="548">
        <v>0</v>
      </c>
      <c r="W2904" s="528"/>
      <c r="X2904" s="711">
        <f t="shared" si="11552"/>
        <v>0</v>
      </c>
      <c r="Y2904" s="896" t="str">
        <f t="shared" ref="Y2904" si="11769">IFERROR((X2905/X2904),"-")</f>
        <v>-</v>
      </c>
      <c r="Z2904" s="528"/>
      <c r="AA2904" s="898">
        <v>0</v>
      </c>
      <c r="AB2904" s="898">
        <v>0</v>
      </c>
      <c r="AC2904" s="898">
        <v>0</v>
      </c>
      <c r="AD2904" s="896" t="str">
        <f t="shared" ref="AD2904" si="11770">IFERROR((AC2904/AA2904),"-")</f>
        <v>-</v>
      </c>
      <c r="AE2904" s="2"/>
      <c r="AF2904" s="884">
        <v>0</v>
      </c>
      <c r="AG2904" s="884">
        <v>0</v>
      </c>
      <c r="AH2904" s="884">
        <v>0</v>
      </c>
      <c r="AI2904" s="884"/>
      <c r="AJ2904" s="884"/>
      <c r="AK2904" s="884">
        <f t="shared" ref="AK2904" si="11771">AF2904+AG2904+AH2904+AI2904+AJ2904+AC2904</f>
        <v>0</v>
      </c>
      <c r="AL2904" s="884">
        <v>0</v>
      </c>
      <c r="AM2904" s="878" t="str">
        <f t="shared" ref="AM2904" si="11772">IFERROR((AK2904/AL2904),"-")</f>
        <v>-</v>
      </c>
      <c r="AN2904" s="2"/>
      <c r="AO2904" s="884">
        <v>0</v>
      </c>
      <c r="AP2904" s="884">
        <f t="shared" ref="AP2904" si="11773">AO2904-AK2904</f>
        <v>0</v>
      </c>
      <c r="AV2904" t="str">
        <f t="shared" si="11710"/>
        <v>Revegetação - Hidrossemeadura</v>
      </c>
      <c r="AW2904" s="4" t="str">
        <f t="shared" si="11701"/>
        <v xml:space="preserve">   Seg. 2.2-ADME06 - Revestimento vegetal por hidrossemeadura</v>
      </c>
    </row>
    <row r="2905" spans="1:49" ht="15.6" customHeight="1" outlineLevel="2">
      <c r="A2905" s="8" t="str">
        <f t="shared" ref="A2905" si="11774">A2904</f>
        <v>N</v>
      </c>
      <c r="B2905" s="150"/>
      <c r="C2905" s="150"/>
      <c r="D2905" s="120" t="s">
        <v>3280</v>
      </c>
      <c r="E2905" s="893"/>
      <c r="F2905" s="895"/>
      <c r="G2905" s="528"/>
      <c r="H2905" s="549" t="s">
        <v>38</v>
      </c>
      <c r="I2905" s="711">
        <v>0</v>
      </c>
      <c r="J2905" s="897"/>
      <c r="K2905" s="528"/>
      <c r="L2905" s="549" t="s">
        <v>38</v>
      </c>
      <c r="M2905" s="711">
        <f t="shared" si="11559"/>
        <v>0</v>
      </c>
      <c r="N2905" s="897"/>
      <c r="O2905" s="528"/>
      <c r="P2905" s="548">
        <v>0</v>
      </c>
      <c r="Q2905" s="548">
        <v>0</v>
      </c>
      <c r="R2905" s="548">
        <v>0</v>
      </c>
      <c r="S2905" s="548">
        <v>0</v>
      </c>
      <c r="T2905" s="548">
        <v>0</v>
      </c>
      <c r="U2905" s="548">
        <v>0</v>
      </c>
      <c r="V2905" s="548"/>
      <c r="W2905" s="528"/>
      <c r="X2905" s="711">
        <f t="shared" si="11552"/>
        <v>0</v>
      </c>
      <c r="Y2905" s="897"/>
      <c r="Z2905" s="528"/>
      <c r="AA2905" s="899"/>
      <c r="AB2905" s="899"/>
      <c r="AC2905" s="899"/>
      <c r="AD2905" s="897"/>
      <c r="AE2905" s="2"/>
      <c r="AF2905" s="885"/>
      <c r="AG2905" s="885"/>
      <c r="AH2905" s="885"/>
      <c r="AI2905" s="885"/>
      <c r="AJ2905" s="885"/>
      <c r="AK2905" s="885"/>
      <c r="AL2905" s="885"/>
      <c r="AM2905" s="879"/>
      <c r="AN2905" s="2"/>
      <c r="AO2905" s="886"/>
      <c r="AP2905" s="886"/>
      <c r="AV2905" t="str">
        <f t="shared" si="11710"/>
        <v>Revegetação - Hidrossemeadura</v>
      </c>
      <c r="AW2905" s="4" t="str">
        <f t="shared" si="11701"/>
        <v xml:space="preserve">   Seg. 2.2-ADME06 - Revestimento vegetal por hidrossemeadura</v>
      </c>
    </row>
    <row r="2906" spans="1:49" ht="15.6" customHeight="1" outlineLevel="2">
      <c r="A2906" s="8" t="str">
        <f t="shared" ref="A2906" si="11775">IF(SUM(P2906:V2907)&gt;0,"S","N")</f>
        <v>N</v>
      </c>
      <c r="B2906" s="150">
        <v>1066577</v>
      </c>
      <c r="C2906" s="150" t="s">
        <v>3282</v>
      </c>
      <c r="D2906" s="120" t="s">
        <v>3283</v>
      </c>
      <c r="E2906" s="892" t="s">
        <v>3284</v>
      </c>
      <c r="F2906" s="894" t="s">
        <v>3210</v>
      </c>
      <c r="G2906" s="528"/>
      <c r="H2906" s="546" t="s">
        <v>37</v>
      </c>
      <c r="I2906" s="711">
        <v>0</v>
      </c>
      <c r="J2906" s="896" t="str">
        <f t="shared" ref="J2906" si="11776">IFERROR((I2907/I2906),"-")</f>
        <v>-</v>
      </c>
      <c r="K2906" s="528"/>
      <c r="L2906" s="546" t="s">
        <v>37</v>
      </c>
      <c r="M2906" s="711">
        <f t="shared" si="11559"/>
        <v>0</v>
      </c>
      <c r="N2906" s="896" t="str">
        <f t="shared" ref="N2906" si="11777">IFERROR((M2907/M2906),"-")</f>
        <v>-</v>
      </c>
      <c r="O2906" s="528"/>
      <c r="P2906" s="547">
        <v>0</v>
      </c>
      <c r="Q2906" s="547">
        <v>0</v>
      </c>
      <c r="R2906" s="547">
        <v>0</v>
      </c>
      <c r="S2906" s="547">
        <v>0</v>
      </c>
      <c r="T2906" s="547">
        <v>0</v>
      </c>
      <c r="U2906" s="547">
        <v>0</v>
      </c>
      <c r="V2906" s="548">
        <v>0</v>
      </c>
      <c r="W2906" s="528"/>
      <c r="X2906" s="711">
        <f t="shared" si="11552"/>
        <v>0</v>
      </c>
      <c r="Y2906" s="896" t="str">
        <f t="shared" ref="Y2906" si="11778">IFERROR((X2907/X2906),"-")</f>
        <v>-</v>
      </c>
      <c r="Z2906" s="528"/>
      <c r="AA2906" s="898">
        <v>0</v>
      </c>
      <c r="AB2906" s="898">
        <v>0</v>
      </c>
      <c r="AC2906" s="898">
        <v>0</v>
      </c>
      <c r="AD2906" s="896" t="str">
        <f t="shared" ref="AD2906" si="11779">IFERROR((AC2906/AA2906),"-")</f>
        <v>-</v>
      </c>
      <c r="AE2906" s="2"/>
      <c r="AF2906" s="884">
        <v>11383.28</v>
      </c>
      <c r="AG2906" s="884">
        <v>2787.79</v>
      </c>
      <c r="AH2906" s="884">
        <v>0</v>
      </c>
      <c r="AI2906" s="884"/>
      <c r="AJ2906" s="884"/>
      <c r="AK2906" s="884">
        <f t="shared" ref="AK2906" si="11780">AF2906+AG2906+AH2906+AI2906+AJ2906+AC2906</f>
        <v>14171.07</v>
      </c>
      <c r="AL2906" s="884">
        <v>14120.820000000007</v>
      </c>
      <c r="AM2906" s="878">
        <f t="shared" ref="AM2906" si="11781">IFERROR((AK2906/AL2906),"-")</f>
        <v>1.003558575210221</v>
      </c>
      <c r="AN2906" s="2"/>
      <c r="AO2906" s="884">
        <v>25473</v>
      </c>
      <c r="AP2906" s="884">
        <f t="shared" ref="AP2906" si="11782">AO2906-AK2906</f>
        <v>11301.93</v>
      </c>
      <c r="AV2906" t="str">
        <f t="shared" si="11710"/>
        <v>Revegetação - Hidrossemeadura</v>
      </c>
      <c r="AW2906" s="4" t="str">
        <f t="shared" si="11701"/>
        <v xml:space="preserve">   Seg. 2.2-C07 - Revestimento vegetal por hidrossemeadura</v>
      </c>
    </row>
    <row r="2907" spans="1:49" ht="15.6" customHeight="1" outlineLevel="2">
      <c r="A2907" s="8" t="str">
        <f t="shared" ref="A2907" si="11783">A2906</f>
        <v>N</v>
      </c>
      <c r="B2907" s="150"/>
      <c r="C2907" s="150"/>
      <c r="D2907" s="120" t="s">
        <v>3283</v>
      </c>
      <c r="E2907" s="893"/>
      <c r="F2907" s="895"/>
      <c r="G2907" s="528"/>
      <c r="H2907" s="549" t="s">
        <v>38</v>
      </c>
      <c r="I2907" s="711">
        <v>0</v>
      </c>
      <c r="J2907" s="897"/>
      <c r="K2907" s="528"/>
      <c r="L2907" s="549" t="s">
        <v>38</v>
      </c>
      <c r="M2907" s="711">
        <f t="shared" si="11559"/>
        <v>0</v>
      </c>
      <c r="N2907" s="897"/>
      <c r="O2907" s="528"/>
      <c r="P2907" s="548">
        <v>0</v>
      </c>
      <c r="Q2907" s="548">
        <v>0</v>
      </c>
      <c r="R2907" s="548">
        <v>0</v>
      </c>
      <c r="S2907" s="548">
        <v>0</v>
      </c>
      <c r="T2907" s="548">
        <v>0</v>
      </c>
      <c r="U2907" s="548">
        <v>0</v>
      </c>
      <c r="V2907" s="548"/>
      <c r="W2907" s="528"/>
      <c r="X2907" s="711">
        <f t="shared" si="11552"/>
        <v>0</v>
      </c>
      <c r="Y2907" s="897"/>
      <c r="Z2907" s="528"/>
      <c r="AA2907" s="899"/>
      <c r="AB2907" s="899"/>
      <c r="AC2907" s="899"/>
      <c r="AD2907" s="897"/>
      <c r="AE2907" s="2"/>
      <c r="AF2907" s="885"/>
      <c r="AG2907" s="885"/>
      <c r="AH2907" s="885"/>
      <c r="AI2907" s="885"/>
      <c r="AJ2907" s="885"/>
      <c r="AK2907" s="885"/>
      <c r="AL2907" s="885"/>
      <c r="AM2907" s="879"/>
      <c r="AN2907" s="2"/>
      <c r="AO2907" s="886"/>
      <c r="AP2907" s="886"/>
      <c r="AV2907" t="str">
        <f t="shared" si="11710"/>
        <v>Revegetação - Hidrossemeadura</v>
      </c>
      <c r="AW2907" s="4" t="str">
        <f t="shared" si="11701"/>
        <v xml:space="preserve">   Seg. 2.2-C07 - Revestimento vegetal por hidrossemeadura</v>
      </c>
    </row>
    <row r="2908" spans="1:49" ht="15.6" customHeight="1" outlineLevel="2">
      <c r="A2908" s="8" t="str">
        <f t="shared" ref="A2908" si="11784">IF(SUM(P2908:V2909)&gt;0,"S","N")</f>
        <v>N</v>
      </c>
      <c r="B2908" s="150">
        <v>1066578</v>
      </c>
      <c r="C2908" s="150" t="s">
        <v>3285</v>
      </c>
      <c r="D2908" s="120" t="s">
        <v>3286</v>
      </c>
      <c r="E2908" s="892" t="s">
        <v>3287</v>
      </c>
      <c r="F2908" s="894" t="s">
        <v>3210</v>
      </c>
      <c r="G2908" s="528"/>
      <c r="H2908" s="546" t="s">
        <v>37</v>
      </c>
      <c r="I2908" s="711">
        <v>0</v>
      </c>
      <c r="J2908" s="896" t="str">
        <f t="shared" ref="J2908" si="11785">IFERROR((I2909/I2908),"-")</f>
        <v>-</v>
      </c>
      <c r="K2908" s="528"/>
      <c r="L2908" s="546" t="s">
        <v>37</v>
      </c>
      <c r="M2908" s="711">
        <f t="shared" si="11559"/>
        <v>0</v>
      </c>
      <c r="N2908" s="896" t="str">
        <f t="shared" ref="N2908" si="11786">IFERROR((M2909/M2908),"-")</f>
        <v>-</v>
      </c>
      <c r="O2908" s="528"/>
      <c r="P2908" s="547">
        <v>0</v>
      </c>
      <c r="Q2908" s="547">
        <v>0</v>
      </c>
      <c r="R2908" s="547">
        <v>0</v>
      </c>
      <c r="S2908" s="547">
        <v>0</v>
      </c>
      <c r="T2908" s="547">
        <v>0</v>
      </c>
      <c r="U2908" s="547">
        <v>0</v>
      </c>
      <c r="V2908" s="548">
        <v>0</v>
      </c>
      <c r="W2908" s="528"/>
      <c r="X2908" s="711">
        <f t="shared" si="11552"/>
        <v>0</v>
      </c>
      <c r="Y2908" s="896" t="str">
        <f t="shared" ref="Y2908" si="11787">IFERROR((X2909/X2908),"-")</f>
        <v>-</v>
      </c>
      <c r="Z2908" s="528"/>
      <c r="AA2908" s="898">
        <v>9860.0300000000007</v>
      </c>
      <c r="AB2908" s="898">
        <v>0</v>
      </c>
      <c r="AC2908" s="898">
        <v>0</v>
      </c>
      <c r="AD2908" s="896">
        <f t="shared" ref="AD2908" si="11788">IFERROR((AC2908/AA2908),"-")</f>
        <v>0</v>
      </c>
      <c r="AE2908" s="2"/>
      <c r="AF2908" s="884">
        <v>0</v>
      </c>
      <c r="AG2908" s="884">
        <v>3531.75</v>
      </c>
      <c r="AH2908" s="884">
        <v>0</v>
      </c>
      <c r="AI2908" s="884"/>
      <c r="AJ2908" s="884"/>
      <c r="AK2908" s="884">
        <f t="shared" ref="AK2908" si="11789">AF2908+AG2908+AH2908+AI2908+AJ2908+AC2908</f>
        <v>3531.75</v>
      </c>
      <c r="AL2908" s="884">
        <v>7461.9999999999964</v>
      </c>
      <c r="AM2908" s="878">
        <f t="shared" ref="AM2908" si="11790">IFERROR((AK2908/AL2908),"-")</f>
        <v>0.47329804341999487</v>
      </c>
      <c r="AN2908" s="2"/>
      <c r="AO2908" s="884">
        <v>17323.03</v>
      </c>
      <c r="AP2908" s="884">
        <f t="shared" ref="AP2908" si="11791">AO2908-AK2908</f>
        <v>13791.279999999999</v>
      </c>
      <c r="AV2908" t="str">
        <f t="shared" si="11710"/>
        <v>Revegetação - Hidrossemeadura</v>
      </c>
      <c r="AW2908" s="4" t="str">
        <f t="shared" si="11701"/>
        <v xml:space="preserve">   Seg. 2.2-A01-Revestimento vegetal por hidrossemeadura</v>
      </c>
    </row>
    <row r="2909" spans="1:49" ht="15.6" customHeight="1" outlineLevel="2">
      <c r="A2909" s="8" t="str">
        <f t="shared" ref="A2909" si="11792">A2908</f>
        <v>N</v>
      </c>
      <c r="B2909" s="150"/>
      <c r="C2909" s="150"/>
      <c r="D2909" s="120" t="s">
        <v>3286</v>
      </c>
      <c r="E2909" s="893"/>
      <c r="F2909" s="895"/>
      <c r="G2909" s="528"/>
      <c r="H2909" s="549" t="s">
        <v>38</v>
      </c>
      <c r="I2909" s="711">
        <v>0</v>
      </c>
      <c r="J2909" s="897"/>
      <c r="K2909" s="528"/>
      <c r="L2909" s="549" t="s">
        <v>38</v>
      </c>
      <c r="M2909" s="711">
        <f t="shared" si="11559"/>
        <v>0</v>
      </c>
      <c r="N2909" s="897"/>
      <c r="O2909" s="528"/>
      <c r="P2909" s="548">
        <v>0</v>
      </c>
      <c r="Q2909" s="548">
        <v>0</v>
      </c>
      <c r="R2909" s="548">
        <v>0</v>
      </c>
      <c r="S2909" s="548">
        <v>0</v>
      </c>
      <c r="T2909" s="548">
        <v>0</v>
      </c>
      <c r="U2909" s="548">
        <v>0</v>
      </c>
      <c r="V2909" s="548"/>
      <c r="W2909" s="528"/>
      <c r="X2909" s="711">
        <f t="shared" si="11552"/>
        <v>0</v>
      </c>
      <c r="Y2909" s="897"/>
      <c r="Z2909" s="528"/>
      <c r="AA2909" s="899"/>
      <c r="AB2909" s="899"/>
      <c r="AC2909" s="899"/>
      <c r="AD2909" s="897"/>
      <c r="AE2909" s="2"/>
      <c r="AF2909" s="885"/>
      <c r="AG2909" s="885"/>
      <c r="AH2909" s="885"/>
      <c r="AI2909" s="885"/>
      <c r="AJ2909" s="885"/>
      <c r="AK2909" s="885"/>
      <c r="AL2909" s="885"/>
      <c r="AM2909" s="879"/>
      <c r="AN2909" s="2"/>
      <c r="AO2909" s="886"/>
      <c r="AP2909" s="886"/>
      <c r="AV2909" t="str">
        <f t="shared" si="11710"/>
        <v>Revegetação - Hidrossemeadura</v>
      </c>
      <c r="AW2909" s="4" t="str">
        <f t="shared" si="11701"/>
        <v xml:space="preserve">   Seg. 2.2-A01-Revestimento vegetal por hidrossemeadura</v>
      </c>
    </row>
    <row r="2910" spans="1:49" ht="15.6" customHeight="1" outlineLevel="2">
      <c r="A2910" s="8" t="str">
        <f t="shared" ref="A2910" si="11793">IF(SUM(P2910:V2911)&gt;0,"S","N")</f>
        <v>N</v>
      </c>
      <c r="B2910" s="150">
        <v>1066579</v>
      </c>
      <c r="C2910" s="150" t="s">
        <v>3288</v>
      </c>
      <c r="D2910" s="120" t="s">
        <v>3289</v>
      </c>
      <c r="E2910" s="892" t="s">
        <v>3290</v>
      </c>
      <c r="F2910" s="894" t="s">
        <v>3210</v>
      </c>
      <c r="G2910" s="528"/>
      <c r="H2910" s="546" t="s">
        <v>37</v>
      </c>
      <c r="I2910" s="711">
        <v>0</v>
      </c>
      <c r="J2910" s="896" t="str">
        <f t="shared" ref="J2910" si="11794">IFERROR((I2911/I2910),"-")</f>
        <v>-</v>
      </c>
      <c r="K2910" s="528"/>
      <c r="L2910" s="546" t="s">
        <v>37</v>
      </c>
      <c r="M2910" s="711">
        <f t="shared" si="11559"/>
        <v>0</v>
      </c>
      <c r="N2910" s="896" t="str">
        <f t="shared" ref="N2910" si="11795">IFERROR((M2911/M2910),"-")</f>
        <v>-</v>
      </c>
      <c r="O2910" s="528"/>
      <c r="P2910" s="547">
        <v>0</v>
      </c>
      <c r="Q2910" s="547">
        <v>0</v>
      </c>
      <c r="R2910" s="547">
        <v>0</v>
      </c>
      <c r="S2910" s="547">
        <v>0</v>
      </c>
      <c r="T2910" s="547">
        <v>0</v>
      </c>
      <c r="U2910" s="547">
        <v>0</v>
      </c>
      <c r="V2910" s="548">
        <v>0</v>
      </c>
      <c r="W2910" s="528"/>
      <c r="X2910" s="711">
        <f t="shared" si="11552"/>
        <v>0</v>
      </c>
      <c r="Y2910" s="896" t="str">
        <f t="shared" ref="Y2910" si="11796">IFERROR((X2911/X2910),"-")</f>
        <v>-</v>
      </c>
      <c r="Z2910" s="528"/>
      <c r="AA2910" s="898">
        <v>0</v>
      </c>
      <c r="AB2910" s="898">
        <v>0</v>
      </c>
      <c r="AC2910" s="898">
        <v>0</v>
      </c>
      <c r="AD2910" s="896" t="str">
        <f t="shared" ref="AD2910" si="11797">IFERROR((AC2910/AA2910),"-")</f>
        <v>-</v>
      </c>
      <c r="AE2910" s="2"/>
      <c r="AF2910" s="884">
        <v>4981.12</v>
      </c>
      <c r="AG2910" s="884">
        <v>2480.86</v>
      </c>
      <c r="AH2910" s="884">
        <v>0</v>
      </c>
      <c r="AI2910" s="884"/>
      <c r="AJ2910" s="884"/>
      <c r="AK2910" s="884">
        <f t="shared" ref="AK2910" si="11798">AF2910+AG2910+AH2910+AI2910+AJ2910+AC2910</f>
        <v>7461.98</v>
      </c>
      <c r="AL2910" s="884">
        <v>4047.3999999999996</v>
      </c>
      <c r="AM2910" s="878">
        <f t="shared" ref="AM2910" si="11799">IFERROR((AK2910/AL2910),"-")</f>
        <v>1.8436477738795276</v>
      </c>
      <c r="AN2910" s="2"/>
      <c r="AO2910" s="884">
        <v>4047.39</v>
      </c>
      <c r="AP2910" s="884">
        <f t="shared" ref="AP2910" si="11800">AO2910-AK2910</f>
        <v>-3414.5899999999997</v>
      </c>
      <c r="AV2910" t="str">
        <f t="shared" si="11710"/>
        <v>Revegetação - Hidrossemeadura</v>
      </c>
      <c r="AW2910" s="4" t="str">
        <f t="shared" si="11701"/>
        <v xml:space="preserve">   Seg. 2.2-A02-Revestimento vegetal por hidrossemeadura</v>
      </c>
    </row>
    <row r="2911" spans="1:49" ht="15.6" customHeight="1" outlineLevel="2">
      <c r="A2911" s="8" t="str">
        <f t="shared" ref="A2911" si="11801">A2910</f>
        <v>N</v>
      </c>
      <c r="B2911" s="150"/>
      <c r="C2911" s="150"/>
      <c r="D2911" s="120" t="s">
        <v>3289</v>
      </c>
      <c r="E2911" s="893"/>
      <c r="F2911" s="895"/>
      <c r="G2911" s="528"/>
      <c r="H2911" s="549" t="s">
        <v>38</v>
      </c>
      <c r="I2911" s="711">
        <v>0</v>
      </c>
      <c r="J2911" s="897"/>
      <c r="K2911" s="528"/>
      <c r="L2911" s="549" t="s">
        <v>38</v>
      </c>
      <c r="M2911" s="711">
        <f t="shared" si="11559"/>
        <v>0</v>
      </c>
      <c r="N2911" s="897"/>
      <c r="O2911" s="528"/>
      <c r="P2911" s="548">
        <v>0</v>
      </c>
      <c r="Q2911" s="548">
        <v>0</v>
      </c>
      <c r="R2911" s="548">
        <v>0</v>
      </c>
      <c r="S2911" s="548">
        <v>0</v>
      </c>
      <c r="T2911" s="548">
        <v>0</v>
      </c>
      <c r="U2911" s="548">
        <v>0</v>
      </c>
      <c r="V2911" s="548"/>
      <c r="W2911" s="528"/>
      <c r="X2911" s="711">
        <f t="shared" si="11552"/>
        <v>0</v>
      </c>
      <c r="Y2911" s="897"/>
      <c r="Z2911" s="528"/>
      <c r="AA2911" s="899"/>
      <c r="AB2911" s="899"/>
      <c r="AC2911" s="899"/>
      <c r="AD2911" s="897"/>
      <c r="AE2911" s="2"/>
      <c r="AF2911" s="885"/>
      <c r="AG2911" s="885"/>
      <c r="AH2911" s="885"/>
      <c r="AI2911" s="885"/>
      <c r="AJ2911" s="885"/>
      <c r="AK2911" s="885"/>
      <c r="AL2911" s="885"/>
      <c r="AM2911" s="879"/>
      <c r="AN2911" s="2"/>
      <c r="AO2911" s="886"/>
      <c r="AP2911" s="886"/>
      <c r="AV2911" t="str">
        <f t="shared" si="11710"/>
        <v>Revegetação - Hidrossemeadura</v>
      </c>
      <c r="AW2911" s="4" t="str">
        <f t="shared" si="11701"/>
        <v xml:space="preserve">   Seg. 2.2-A02-Revestimento vegetal por hidrossemeadura</v>
      </c>
    </row>
    <row r="2912" spans="1:49" ht="15.6" customHeight="1" outlineLevel="2">
      <c r="A2912" s="8" t="str">
        <f t="shared" ref="A2912" si="11802">IF(SUM(P2912:V2913)&gt;0,"S","N")</f>
        <v>N</v>
      </c>
      <c r="B2912" s="150">
        <v>1066580</v>
      </c>
      <c r="C2912" s="150" t="s">
        <v>3291</v>
      </c>
      <c r="D2912" s="120" t="s">
        <v>3292</v>
      </c>
      <c r="E2912" s="892" t="s">
        <v>3293</v>
      </c>
      <c r="F2912" s="894" t="s">
        <v>3210</v>
      </c>
      <c r="G2912" s="528"/>
      <c r="H2912" s="546" t="s">
        <v>37</v>
      </c>
      <c r="I2912" s="711">
        <v>0</v>
      </c>
      <c r="J2912" s="896" t="str">
        <f t="shared" ref="J2912" si="11803">IFERROR((I2913/I2912),"-")</f>
        <v>-</v>
      </c>
      <c r="K2912" s="528"/>
      <c r="L2912" s="546" t="s">
        <v>37</v>
      </c>
      <c r="M2912" s="711">
        <f t="shared" si="11559"/>
        <v>0</v>
      </c>
      <c r="N2912" s="896" t="str">
        <f t="shared" ref="N2912" si="11804">IFERROR((M2913/M2912),"-")</f>
        <v>-</v>
      </c>
      <c r="O2912" s="528"/>
      <c r="P2912" s="547">
        <v>0</v>
      </c>
      <c r="Q2912" s="547">
        <v>0</v>
      </c>
      <c r="R2912" s="547">
        <v>0</v>
      </c>
      <c r="S2912" s="547">
        <v>0</v>
      </c>
      <c r="T2912" s="547">
        <v>0</v>
      </c>
      <c r="U2912" s="547">
        <v>0</v>
      </c>
      <c r="V2912" s="548">
        <v>0</v>
      </c>
      <c r="W2912" s="528"/>
      <c r="X2912" s="711">
        <f t="shared" si="11552"/>
        <v>0</v>
      </c>
      <c r="Y2912" s="896" t="str">
        <f t="shared" ref="Y2912" si="11805">IFERROR((X2913/X2912),"-")</f>
        <v>-</v>
      </c>
      <c r="Z2912" s="528"/>
      <c r="AA2912" s="898">
        <v>479.2</v>
      </c>
      <c r="AB2912" s="898">
        <v>0</v>
      </c>
      <c r="AC2912" s="898">
        <v>0</v>
      </c>
      <c r="AD2912" s="896">
        <f t="shared" ref="AD2912" si="11806">IFERROR((AC2912/AA2912),"-")</f>
        <v>0</v>
      </c>
      <c r="AE2912" s="2"/>
      <c r="AF2912" s="884">
        <v>0</v>
      </c>
      <c r="AG2912" s="884">
        <v>0</v>
      </c>
      <c r="AH2912" s="884">
        <v>0</v>
      </c>
      <c r="AI2912" s="884"/>
      <c r="AJ2912" s="884"/>
      <c r="AK2912" s="884">
        <f t="shared" ref="AK2912" si="11807">AF2912+AG2912+AH2912+AI2912+AJ2912+AC2912</f>
        <v>0</v>
      </c>
      <c r="AL2912" s="884">
        <v>0</v>
      </c>
      <c r="AM2912" s="878" t="str">
        <f t="shared" ref="AM2912" si="11808">IFERROR((AK2912/AL2912),"-")</f>
        <v>-</v>
      </c>
      <c r="AN2912" s="2"/>
      <c r="AO2912" s="884">
        <v>479.2</v>
      </c>
      <c r="AP2912" s="884">
        <f t="shared" ref="AP2912" si="11809">AO2912-AK2912</f>
        <v>479.2</v>
      </c>
      <c r="AV2912" t="str">
        <f t="shared" si="11710"/>
        <v>Revegetação - Hidrossemeadura</v>
      </c>
      <c r="AW2912" s="4" t="str">
        <f t="shared" si="11701"/>
        <v xml:space="preserve">   Seg. 2.2-A03-Revestimento vegetal por hidrossemeadura</v>
      </c>
    </row>
    <row r="2913" spans="1:49" ht="15.6" customHeight="1" outlineLevel="2">
      <c r="A2913" s="8" t="str">
        <f t="shared" ref="A2913" si="11810">A2912</f>
        <v>N</v>
      </c>
      <c r="B2913" s="150"/>
      <c r="C2913" s="150"/>
      <c r="D2913" s="120" t="s">
        <v>3292</v>
      </c>
      <c r="E2913" s="893"/>
      <c r="F2913" s="895"/>
      <c r="G2913" s="528"/>
      <c r="H2913" s="549" t="s">
        <v>38</v>
      </c>
      <c r="I2913" s="711">
        <v>0</v>
      </c>
      <c r="J2913" s="897"/>
      <c r="K2913" s="528"/>
      <c r="L2913" s="549" t="s">
        <v>38</v>
      </c>
      <c r="M2913" s="711">
        <f t="shared" si="11559"/>
        <v>0</v>
      </c>
      <c r="N2913" s="897"/>
      <c r="O2913" s="528"/>
      <c r="P2913" s="548">
        <v>0</v>
      </c>
      <c r="Q2913" s="548">
        <v>0</v>
      </c>
      <c r="R2913" s="548">
        <v>0</v>
      </c>
      <c r="S2913" s="548">
        <v>0</v>
      </c>
      <c r="T2913" s="548">
        <v>0</v>
      </c>
      <c r="U2913" s="548">
        <v>0</v>
      </c>
      <c r="V2913" s="548"/>
      <c r="W2913" s="528"/>
      <c r="X2913" s="711">
        <f t="shared" si="11552"/>
        <v>0</v>
      </c>
      <c r="Y2913" s="897"/>
      <c r="Z2913" s="528"/>
      <c r="AA2913" s="899"/>
      <c r="AB2913" s="899"/>
      <c r="AC2913" s="899"/>
      <c r="AD2913" s="897"/>
      <c r="AE2913" s="2"/>
      <c r="AF2913" s="885"/>
      <c r="AG2913" s="885"/>
      <c r="AH2913" s="885"/>
      <c r="AI2913" s="885"/>
      <c r="AJ2913" s="885"/>
      <c r="AK2913" s="885"/>
      <c r="AL2913" s="885"/>
      <c r="AM2913" s="879"/>
      <c r="AN2913" s="2"/>
      <c r="AO2913" s="886"/>
      <c r="AP2913" s="886"/>
      <c r="AV2913" t="str">
        <f t="shared" si="11710"/>
        <v>Revegetação - Hidrossemeadura</v>
      </c>
      <c r="AW2913" s="4" t="str">
        <f t="shared" si="11701"/>
        <v xml:space="preserve">   Seg. 2.2-A03-Revestimento vegetal por hidrossemeadura</v>
      </c>
    </row>
    <row r="2914" spans="1:49" ht="15.6" customHeight="1" outlineLevel="2">
      <c r="A2914" s="8" t="str">
        <f t="shared" ref="A2914" si="11811">IF(SUM(P2914:V2915)&gt;0,"S","N")</f>
        <v>N</v>
      </c>
      <c r="B2914" s="150">
        <v>1066581</v>
      </c>
      <c r="C2914" s="150" t="s">
        <v>3294</v>
      </c>
      <c r="D2914" s="120" t="s">
        <v>3295</v>
      </c>
      <c r="E2914" s="892" t="s">
        <v>3296</v>
      </c>
      <c r="F2914" s="894" t="s">
        <v>3210</v>
      </c>
      <c r="G2914" s="528"/>
      <c r="H2914" s="546" t="s">
        <v>37</v>
      </c>
      <c r="I2914" s="711">
        <v>0</v>
      </c>
      <c r="J2914" s="896" t="str">
        <f t="shared" ref="J2914" si="11812">IFERROR((I2915/I2914),"-")</f>
        <v>-</v>
      </c>
      <c r="K2914" s="528"/>
      <c r="L2914" s="546" t="s">
        <v>37</v>
      </c>
      <c r="M2914" s="711">
        <f t="shared" si="11559"/>
        <v>0</v>
      </c>
      <c r="N2914" s="896" t="str">
        <f t="shared" ref="N2914" si="11813">IFERROR((M2915/M2914),"-")</f>
        <v>-</v>
      </c>
      <c r="O2914" s="528"/>
      <c r="P2914" s="547">
        <v>0</v>
      </c>
      <c r="Q2914" s="547">
        <v>0</v>
      </c>
      <c r="R2914" s="547">
        <v>0</v>
      </c>
      <c r="S2914" s="547">
        <v>0</v>
      </c>
      <c r="T2914" s="547">
        <v>0</v>
      </c>
      <c r="U2914" s="547">
        <v>0</v>
      </c>
      <c r="V2914" s="548">
        <v>0</v>
      </c>
      <c r="W2914" s="528"/>
      <c r="X2914" s="711">
        <f t="shared" si="11552"/>
        <v>0</v>
      </c>
      <c r="Y2914" s="896" t="str">
        <f t="shared" ref="Y2914" si="11814">IFERROR((X2915/X2914),"-")</f>
        <v>-</v>
      </c>
      <c r="Z2914" s="528"/>
      <c r="AA2914" s="898">
        <v>0</v>
      </c>
      <c r="AB2914" s="898">
        <v>0</v>
      </c>
      <c r="AC2914" s="898">
        <v>0</v>
      </c>
      <c r="AD2914" s="896" t="str">
        <f t="shared" ref="AD2914" si="11815">IFERROR((AC2914/AA2914),"-")</f>
        <v>-</v>
      </c>
      <c r="AE2914" s="2"/>
      <c r="AF2914" s="884">
        <v>11946.55</v>
      </c>
      <c r="AG2914" s="884">
        <v>0</v>
      </c>
      <c r="AH2914" s="884">
        <v>0</v>
      </c>
      <c r="AI2914" s="884"/>
      <c r="AJ2914" s="884"/>
      <c r="AK2914" s="884">
        <f t="shared" ref="AK2914" si="11816">AF2914+AG2914+AH2914+AI2914+AJ2914+AC2914</f>
        <v>11946.55</v>
      </c>
      <c r="AL2914" s="884">
        <v>4559.58</v>
      </c>
      <c r="AM2914" s="878">
        <f t="shared" ref="AM2914" si="11817">IFERROR((AK2914/AL2914),"-")</f>
        <v>2.6200987810280769</v>
      </c>
      <c r="AN2914" s="2"/>
      <c r="AO2914" s="884">
        <v>4559.58</v>
      </c>
      <c r="AP2914" s="884">
        <f t="shared" ref="AP2914" si="11818">AO2914-AK2914</f>
        <v>-7386.9699999999993</v>
      </c>
      <c r="AV2914" t="str">
        <f t="shared" si="11710"/>
        <v>Revegetação - Hidrossemeadura</v>
      </c>
      <c r="AW2914" s="4" t="str">
        <f t="shared" si="11701"/>
        <v xml:space="preserve">   Seg. 2.2-A04-Revestimento vegetal por hidrossemeadura</v>
      </c>
    </row>
    <row r="2915" spans="1:49" ht="15.6" customHeight="1" outlineLevel="2">
      <c r="A2915" s="8" t="str">
        <f t="shared" ref="A2915" si="11819">A2914</f>
        <v>N</v>
      </c>
      <c r="B2915" s="150"/>
      <c r="C2915" s="150"/>
      <c r="D2915" s="120" t="s">
        <v>3295</v>
      </c>
      <c r="E2915" s="893"/>
      <c r="F2915" s="895"/>
      <c r="G2915" s="528"/>
      <c r="H2915" s="549" t="s">
        <v>38</v>
      </c>
      <c r="I2915" s="711">
        <v>0</v>
      </c>
      <c r="J2915" s="897"/>
      <c r="K2915" s="528"/>
      <c r="L2915" s="549" t="s">
        <v>38</v>
      </c>
      <c r="M2915" s="711">
        <f t="shared" si="11559"/>
        <v>0</v>
      </c>
      <c r="N2915" s="897"/>
      <c r="O2915" s="528"/>
      <c r="P2915" s="548">
        <v>0</v>
      </c>
      <c r="Q2915" s="548">
        <v>0</v>
      </c>
      <c r="R2915" s="548">
        <v>0</v>
      </c>
      <c r="S2915" s="548">
        <v>0</v>
      </c>
      <c r="T2915" s="548">
        <v>0</v>
      </c>
      <c r="U2915" s="548">
        <v>0</v>
      </c>
      <c r="V2915" s="548"/>
      <c r="W2915" s="528"/>
      <c r="X2915" s="711">
        <f t="shared" si="11552"/>
        <v>0</v>
      </c>
      <c r="Y2915" s="897"/>
      <c r="Z2915" s="528"/>
      <c r="AA2915" s="899"/>
      <c r="AB2915" s="899"/>
      <c r="AC2915" s="899"/>
      <c r="AD2915" s="897"/>
      <c r="AE2915" s="2"/>
      <c r="AF2915" s="885"/>
      <c r="AG2915" s="885"/>
      <c r="AH2915" s="885"/>
      <c r="AI2915" s="885"/>
      <c r="AJ2915" s="885"/>
      <c r="AK2915" s="885"/>
      <c r="AL2915" s="885"/>
      <c r="AM2915" s="879"/>
      <c r="AN2915" s="2"/>
      <c r="AO2915" s="886"/>
      <c r="AP2915" s="886"/>
      <c r="AV2915" t="str">
        <f t="shared" si="11710"/>
        <v>Revegetação - Hidrossemeadura</v>
      </c>
      <c r="AW2915" s="4" t="str">
        <f t="shared" si="11701"/>
        <v xml:space="preserve">   Seg. 2.2-A04-Revestimento vegetal por hidrossemeadura</v>
      </c>
    </row>
    <row r="2916" spans="1:49" ht="15.6" customHeight="1" outlineLevel="2">
      <c r="A2916" s="8" t="str">
        <f t="shared" ref="A2916" si="11820">IF(SUM(P2916:V2917)&gt;0,"S","N")</f>
        <v>N</v>
      </c>
      <c r="B2916" s="150">
        <v>1066582</v>
      </c>
      <c r="C2916" s="150" t="s">
        <v>3297</v>
      </c>
      <c r="D2916" s="120" t="s">
        <v>3298</v>
      </c>
      <c r="E2916" s="892" t="s">
        <v>3299</v>
      </c>
      <c r="F2916" s="894" t="s">
        <v>3210</v>
      </c>
      <c r="G2916" s="528"/>
      <c r="H2916" s="546" t="s">
        <v>37</v>
      </c>
      <c r="I2916" s="711">
        <v>0</v>
      </c>
      <c r="J2916" s="896" t="str">
        <f t="shared" ref="J2916" si="11821">IFERROR((I2917/I2916),"-")</f>
        <v>-</v>
      </c>
      <c r="K2916" s="528"/>
      <c r="L2916" s="546" t="s">
        <v>37</v>
      </c>
      <c r="M2916" s="711">
        <f t="shared" si="11559"/>
        <v>0</v>
      </c>
      <c r="N2916" s="896" t="str">
        <f t="shared" ref="N2916" si="11822">IFERROR((M2917/M2916),"-")</f>
        <v>-</v>
      </c>
      <c r="O2916" s="528"/>
      <c r="P2916" s="547">
        <v>0</v>
      </c>
      <c r="Q2916" s="547">
        <v>0</v>
      </c>
      <c r="R2916" s="547">
        <v>0</v>
      </c>
      <c r="S2916" s="547">
        <v>0</v>
      </c>
      <c r="T2916" s="547">
        <v>0</v>
      </c>
      <c r="U2916" s="547">
        <v>0</v>
      </c>
      <c r="V2916" s="548">
        <v>0</v>
      </c>
      <c r="W2916" s="528"/>
      <c r="X2916" s="711">
        <f t="shared" si="11552"/>
        <v>0</v>
      </c>
      <c r="Y2916" s="896" t="str">
        <f t="shared" ref="Y2916" si="11823">IFERROR((X2917/X2916),"-")</f>
        <v>-</v>
      </c>
      <c r="Z2916" s="528"/>
      <c r="AA2916" s="898">
        <v>0</v>
      </c>
      <c r="AB2916" s="898">
        <v>0</v>
      </c>
      <c r="AC2916" s="898">
        <v>0</v>
      </c>
      <c r="AD2916" s="896" t="str">
        <f t="shared" ref="AD2916" si="11824">IFERROR((AC2916/AA2916),"-")</f>
        <v>-</v>
      </c>
      <c r="AE2916" s="2"/>
      <c r="AF2916" s="884">
        <v>10729.8</v>
      </c>
      <c r="AG2916" s="884">
        <v>0</v>
      </c>
      <c r="AH2916" s="884">
        <v>0</v>
      </c>
      <c r="AI2916" s="884"/>
      <c r="AJ2916" s="884"/>
      <c r="AK2916" s="884">
        <f t="shared" ref="AK2916" si="11825">AF2916+AG2916+AH2916+AI2916+AJ2916+AC2916</f>
        <v>10729.8</v>
      </c>
      <c r="AL2916" s="884">
        <v>6829.5399999999936</v>
      </c>
      <c r="AM2916" s="878">
        <f t="shared" ref="AM2916" si="11826">IFERROR((AK2916/AL2916),"-")</f>
        <v>1.5710867789045835</v>
      </c>
      <c r="AN2916" s="2"/>
      <c r="AO2916" s="884">
        <v>6829.71</v>
      </c>
      <c r="AP2916" s="884">
        <f t="shared" ref="AP2916" si="11827">AO2916-AK2916</f>
        <v>-3900.0899999999992</v>
      </c>
      <c r="AV2916" t="str">
        <f t="shared" si="11710"/>
        <v>Revegetação - Hidrossemeadura</v>
      </c>
      <c r="AW2916" s="4" t="str">
        <f t="shared" si="11701"/>
        <v xml:space="preserve">   Seg. 2.2-A05-Revestimento vegetal por hidrossemeadura</v>
      </c>
    </row>
    <row r="2917" spans="1:49" ht="15.6" customHeight="1" outlineLevel="2">
      <c r="A2917" s="8" t="str">
        <f t="shared" ref="A2917" si="11828">A2916</f>
        <v>N</v>
      </c>
      <c r="B2917" s="150"/>
      <c r="C2917" s="150"/>
      <c r="D2917" s="120" t="s">
        <v>3298</v>
      </c>
      <c r="E2917" s="893"/>
      <c r="F2917" s="895"/>
      <c r="G2917" s="528"/>
      <c r="H2917" s="549" t="s">
        <v>38</v>
      </c>
      <c r="I2917" s="711">
        <v>0</v>
      </c>
      <c r="J2917" s="897"/>
      <c r="K2917" s="528"/>
      <c r="L2917" s="549" t="s">
        <v>38</v>
      </c>
      <c r="M2917" s="711">
        <f t="shared" si="11559"/>
        <v>0</v>
      </c>
      <c r="N2917" s="897"/>
      <c r="O2917" s="528"/>
      <c r="P2917" s="548">
        <v>0</v>
      </c>
      <c r="Q2917" s="548">
        <v>0</v>
      </c>
      <c r="R2917" s="548">
        <v>0</v>
      </c>
      <c r="S2917" s="548">
        <v>0</v>
      </c>
      <c r="T2917" s="548">
        <v>0</v>
      </c>
      <c r="U2917" s="548">
        <v>0</v>
      </c>
      <c r="V2917" s="548"/>
      <c r="W2917" s="528"/>
      <c r="X2917" s="711">
        <f t="shared" si="11552"/>
        <v>0</v>
      </c>
      <c r="Y2917" s="897"/>
      <c r="Z2917" s="528"/>
      <c r="AA2917" s="899"/>
      <c r="AB2917" s="899"/>
      <c r="AC2917" s="899"/>
      <c r="AD2917" s="897"/>
      <c r="AE2917" s="2"/>
      <c r="AF2917" s="885"/>
      <c r="AG2917" s="885"/>
      <c r="AH2917" s="885"/>
      <c r="AI2917" s="885"/>
      <c r="AJ2917" s="885"/>
      <c r="AK2917" s="885"/>
      <c r="AL2917" s="885"/>
      <c r="AM2917" s="879"/>
      <c r="AN2917" s="2"/>
      <c r="AO2917" s="886"/>
      <c r="AP2917" s="886"/>
      <c r="AV2917" t="str">
        <f t="shared" si="11710"/>
        <v>Revegetação - Hidrossemeadura</v>
      </c>
      <c r="AW2917" s="4" t="str">
        <f t="shared" si="11701"/>
        <v xml:space="preserve">   Seg. 2.2-A05-Revestimento vegetal por hidrossemeadura</v>
      </c>
    </row>
    <row r="2918" spans="1:49" ht="15.6" customHeight="1" outlineLevel="2">
      <c r="A2918" s="8" t="str">
        <f t="shared" ref="A2918" si="11829">IF(SUM(P2918:V2919)&gt;0,"S","N")</f>
        <v>N</v>
      </c>
      <c r="B2918" s="150">
        <v>1066583</v>
      </c>
      <c r="C2918" s="150" t="s">
        <v>3300</v>
      </c>
      <c r="D2918" s="147" t="s">
        <v>3301</v>
      </c>
      <c r="E2918" s="892" t="s">
        <v>3302</v>
      </c>
      <c r="F2918" s="894" t="s">
        <v>3210</v>
      </c>
      <c r="G2918" s="528"/>
      <c r="H2918" s="546" t="s">
        <v>37</v>
      </c>
      <c r="I2918" s="711">
        <v>0</v>
      </c>
      <c r="J2918" s="896" t="str">
        <f t="shared" ref="J2918" si="11830">IFERROR((I2919/I2918),"-")</f>
        <v>-</v>
      </c>
      <c r="K2918" s="528"/>
      <c r="L2918" s="546" t="s">
        <v>37</v>
      </c>
      <c r="M2918" s="711">
        <f t="shared" si="11559"/>
        <v>0</v>
      </c>
      <c r="N2918" s="896" t="str">
        <f t="shared" ref="N2918" si="11831">IFERROR((M2919/M2918),"-")</f>
        <v>-</v>
      </c>
      <c r="O2918" s="528"/>
      <c r="P2918" s="547">
        <v>0</v>
      </c>
      <c r="Q2918" s="547">
        <v>0</v>
      </c>
      <c r="R2918" s="547">
        <v>0</v>
      </c>
      <c r="S2918" s="547">
        <v>0</v>
      </c>
      <c r="T2918" s="547">
        <v>0</v>
      </c>
      <c r="U2918" s="547">
        <v>0</v>
      </c>
      <c r="V2918" s="548">
        <v>0</v>
      </c>
      <c r="W2918" s="528"/>
      <c r="X2918" s="711">
        <f t="shared" si="11552"/>
        <v>0</v>
      </c>
      <c r="Y2918" s="896" t="str">
        <f t="shared" ref="Y2918" si="11832">IFERROR((X2919/X2918),"-")</f>
        <v>-</v>
      </c>
      <c r="Z2918" s="528"/>
      <c r="AA2918" s="898">
        <v>0</v>
      </c>
      <c r="AB2918" s="898">
        <v>0</v>
      </c>
      <c r="AC2918" s="898">
        <v>0</v>
      </c>
      <c r="AD2918" s="896" t="str">
        <f t="shared" ref="AD2918" si="11833">IFERROR((AC2918/AA2918),"-")</f>
        <v>-</v>
      </c>
      <c r="AE2918" s="2"/>
      <c r="AF2918" s="884">
        <v>0</v>
      </c>
      <c r="AG2918" s="884">
        <v>0</v>
      </c>
      <c r="AH2918" s="884">
        <v>0</v>
      </c>
      <c r="AI2918" s="884"/>
      <c r="AJ2918" s="884">
        <v>6188.95</v>
      </c>
      <c r="AK2918" s="884">
        <f t="shared" ref="AK2918" si="11834">AF2918+AG2918+AH2918+AI2918+AJ2918+AC2918</f>
        <v>6188.95</v>
      </c>
      <c r="AL2918" s="884">
        <v>7799.9400000000023</v>
      </c>
      <c r="AM2918" s="878">
        <f t="shared" ref="AM2918" si="11835">IFERROR((AK2918/AL2918),"-")</f>
        <v>0.79346123175306449</v>
      </c>
      <c r="AN2918" s="2"/>
      <c r="AO2918" s="884">
        <v>44894.41</v>
      </c>
      <c r="AP2918" s="884">
        <f t="shared" ref="AP2918" si="11836">AO2918-AK2918</f>
        <v>38705.460000000006</v>
      </c>
      <c r="AV2918" t="str">
        <f t="shared" si="11710"/>
        <v>Revegetação - Hidrossemeadura</v>
      </c>
      <c r="AW2918" s="4" t="str">
        <f t="shared" si="11701"/>
        <v xml:space="preserve">   Revestimento vegetal por hidrossemeadura</v>
      </c>
    </row>
    <row r="2919" spans="1:49" ht="15.6" customHeight="1" outlineLevel="2">
      <c r="A2919" s="8" t="str">
        <f t="shared" ref="A2919" si="11837">A2918</f>
        <v>N</v>
      </c>
      <c r="B2919" s="150"/>
      <c r="C2919" s="150"/>
      <c r="D2919" s="147" t="s">
        <v>3301</v>
      </c>
      <c r="E2919" s="893"/>
      <c r="F2919" s="895"/>
      <c r="G2919" s="528"/>
      <c r="H2919" s="549" t="s">
        <v>38</v>
      </c>
      <c r="I2919" s="711">
        <v>0</v>
      </c>
      <c r="J2919" s="897"/>
      <c r="K2919" s="528"/>
      <c r="L2919" s="549" t="s">
        <v>38</v>
      </c>
      <c r="M2919" s="711">
        <f t="shared" si="11559"/>
        <v>0</v>
      </c>
      <c r="N2919" s="897"/>
      <c r="O2919" s="528"/>
      <c r="P2919" s="548">
        <v>0</v>
      </c>
      <c r="Q2919" s="548">
        <v>0</v>
      </c>
      <c r="R2919" s="548">
        <v>0</v>
      </c>
      <c r="S2919" s="548">
        <v>0</v>
      </c>
      <c r="T2919" s="548">
        <v>0</v>
      </c>
      <c r="U2919" s="548">
        <v>0</v>
      </c>
      <c r="V2919" s="548"/>
      <c r="W2919" s="528"/>
      <c r="X2919" s="711">
        <f t="shared" si="11552"/>
        <v>0</v>
      </c>
      <c r="Y2919" s="897"/>
      <c r="Z2919" s="528"/>
      <c r="AA2919" s="899"/>
      <c r="AB2919" s="899"/>
      <c r="AC2919" s="899"/>
      <c r="AD2919" s="897"/>
      <c r="AE2919" s="2"/>
      <c r="AF2919" s="885"/>
      <c r="AG2919" s="885"/>
      <c r="AH2919" s="885"/>
      <c r="AI2919" s="885"/>
      <c r="AJ2919" s="885"/>
      <c r="AK2919" s="885"/>
      <c r="AL2919" s="885"/>
      <c r="AM2919" s="879"/>
      <c r="AN2919" s="2"/>
      <c r="AO2919" s="885"/>
      <c r="AP2919" s="886"/>
      <c r="AV2919" t="str">
        <f t="shared" si="11710"/>
        <v>Revegetação - Hidrossemeadura</v>
      </c>
      <c r="AW2919" s="4" t="str">
        <f t="shared" si="11701"/>
        <v xml:space="preserve">   Revestimento vegetal por hidrossemeadura</v>
      </c>
    </row>
    <row r="2920" spans="1:49" ht="15.6" customHeight="1" outlineLevel="2">
      <c r="A2920" s="8" t="str">
        <f t="shared" ref="A2920" si="11838">IF(SUM(P2920:V2921)&gt;0,"S","N")</f>
        <v>N</v>
      </c>
      <c r="B2920" s="150">
        <v>1069311</v>
      </c>
      <c r="C2920" s="150" t="s">
        <v>3303</v>
      </c>
      <c r="D2920" s="120" t="s">
        <v>3304</v>
      </c>
      <c r="E2920" s="892" t="s">
        <v>3305</v>
      </c>
      <c r="F2920" s="894" t="s">
        <v>3210</v>
      </c>
      <c r="G2920" s="528"/>
      <c r="H2920" s="546" t="s">
        <v>37</v>
      </c>
      <c r="I2920" s="711">
        <v>0</v>
      </c>
      <c r="J2920" s="896" t="str">
        <f t="shared" ref="J2920" si="11839">IFERROR((I2921/I2920),"-")</f>
        <v>-</v>
      </c>
      <c r="K2920" s="528"/>
      <c r="L2920" s="546" t="s">
        <v>37</v>
      </c>
      <c r="M2920" s="711">
        <f t="shared" si="11559"/>
        <v>0</v>
      </c>
      <c r="N2920" s="896" t="str">
        <f t="shared" ref="N2920" si="11840">IFERROR((M2921/M2920),"-")</f>
        <v>-</v>
      </c>
      <c r="O2920" s="528"/>
      <c r="P2920" s="547">
        <v>0</v>
      </c>
      <c r="Q2920" s="547">
        <v>0</v>
      </c>
      <c r="R2920" s="547">
        <v>0</v>
      </c>
      <c r="S2920" s="547">
        <v>0</v>
      </c>
      <c r="T2920" s="547">
        <v>0</v>
      </c>
      <c r="U2920" s="547">
        <v>0</v>
      </c>
      <c r="V2920" s="548">
        <v>0</v>
      </c>
      <c r="W2920" s="528"/>
      <c r="X2920" s="711">
        <f t="shared" ref="X2920:X2957" si="11841">SUMIFS(P2920:V2920,$P$8:$V$8,"&gt;="&amp;$P$8,$P$8:$V$8,"&lt;="&amp;$N$8)</f>
        <v>0</v>
      </c>
      <c r="Y2920" s="896" t="str">
        <f t="shared" ref="Y2920" si="11842">IFERROR((X2921/X2920),"-")</f>
        <v>-</v>
      </c>
      <c r="Z2920" s="528"/>
      <c r="AA2920" s="898">
        <v>0</v>
      </c>
      <c r="AB2920" s="898">
        <v>0</v>
      </c>
      <c r="AC2920" s="898">
        <v>0</v>
      </c>
      <c r="AD2920" s="896" t="str">
        <f t="shared" ref="AD2920" si="11843">IFERROR((AC2920/AA2920),"-")</f>
        <v>-</v>
      </c>
      <c r="AE2920" s="2"/>
      <c r="AF2920" s="884">
        <v>0</v>
      </c>
      <c r="AG2920" s="884">
        <v>0</v>
      </c>
      <c r="AH2920" s="884">
        <v>0</v>
      </c>
      <c r="AI2920" s="884"/>
      <c r="AJ2920" s="884"/>
      <c r="AK2920" s="884">
        <f t="shared" ref="AK2920" si="11844">AF2920+AG2920+AH2920+AI2920+AJ2920+AC2920</f>
        <v>0</v>
      </c>
      <c r="AL2920" s="884">
        <v>0</v>
      </c>
      <c r="AM2920" s="878" t="str">
        <f t="shared" ref="AM2920" si="11845">IFERROR((AK2920/AL2920),"-")</f>
        <v>-</v>
      </c>
      <c r="AN2920" s="2"/>
      <c r="AO2920" s="884">
        <v>0</v>
      </c>
      <c r="AP2920" s="884">
        <f t="shared" ref="AP2920" si="11846">AO2920-AK2920</f>
        <v>0</v>
      </c>
      <c r="AV2920" t="str">
        <f t="shared" si="11710"/>
        <v>Revegetação - Hidrossemeadura</v>
      </c>
      <c r="AW2920" s="4" t="str">
        <f t="shared" si="11701"/>
        <v xml:space="preserve">   Seg. 2.2-ADME - Revestimento vegetal por hidrossemeadura</v>
      </c>
    </row>
    <row r="2921" spans="1:49" ht="15.6" customHeight="1" outlineLevel="2">
      <c r="A2921" s="8" t="str">
        <f t="shared" ref="A2921" si="11847">A2920</f>
        <v>N</v>
      </c>
      <c r="B2921" s="150"/>
      <c r="C2921" s="150"/>
      <c r="D2921" s="120" t="s">
        <v>3304</v>
      </c>
      <c r="E2921" s="893"/>
      <c r="F2921" s="895"/>
      <c r="G2921" s="528"/>
      <c r="H2921" s="549" t="s">
        <v>38</v>
      </c>
      <c r="I2921" s="711">
        <v>0</v>
      </c>
      <c r="J2921" s="897"/>
      <c r="K2921" s="528"/>
      <c r="L2921" s="549" t="s">
        <v>38</v>
      </c>
      <c r="M2921" s="711">
        <f t="shared" si="11559"/>
        <v>0</v>
      </c>
      <c r="N2921" s="897"/>
      <c r="O2921" s="528"/>
      <c r="P2921" s="548">
        <v>0</v>
      </c>
      <c r="Q2921" s="548">
        <v>0</v>
      </c>
      <c r="R2921" s="548">
        <v>0</v>
      </c>
      <c r="S2921" s="548">
        <v>0</v>
      </c>
      <c r="T2921" s="548">
        <v>0</v>
      </c>
      <c r="U2921" s="548">
        <v>0</v>
      </c>
      <c r="V2921" s="548"/>
      <c r="W2921" s="528"/>
      <c r="X2921" s="711">
        <f t="shared" si="11841"/>
        <v>0</v>
      </c>
      <c r="Y2921" s="897"/>
      <c r="Z2921" s="528"/>
      <c r="AA2921" s="899"/>
      <c r="AB2921" s="899"/>
      <c r="AC2921" s="899"/>
      <c r="AD2921" s="897"/>
      <c r="AE2921" s="2"/>
      <c r="AF2921" s="885"/>
      <c r="AG2921" s="885"/>
      <c r="AH2921" s="885"/>
      <c r="AI2921" s="885"/>
      <c r="AJ2921" s="885"/>
      <c r="AK2921" s="885"/>
      <c r="AL2921" s="885"/>
      <c r="AM2921" s="879"/>
      <c r="AN2921" s="2"/>
      <c r="AO2921" s="886"/>
      <c r="AP2921" s="886"/>
      <c r="AV2921" t="str">
        <f t="shared" si="11710"/>
        <v>Revegetação - Hidrossemeadura</v>
      </c>
      <c r="AW2921" s="4" t="str">
        <f t="shared" si="11701"/>
        <v xml:space="preserve">   Seg. 2.2-ADME - Revestimento vegetal por hidrossemeadura</v>
      </c>
    </row>
    <row r="2922" spans="1:49" ht="15.6" customHeight="1" outlineLevel="2">
      <c r="A2922" s="8" t="str">
        <f t="shared" ref="A2922" si="11848">IF(SUM(P2922:V2923)&gt;0,"S","N")</f>
        <v>N</v>
      </c>
      <c r="B2922" s="150">
        <v>1069312</v>
      </c>
      <c r="C2922" s="150" t="s">
        <v>3306</v>
      </c>
      <c r="D2922" s="120" t="s">
        <v>3307</v>
      </c>
      <c r="E2922" s="892" t="s">
        <v>3305</v>
      </c>
      <c r="F2922" s="894" t="s">
        <v>3210</v>
      </c>
      <c r="G2922" s="528"/>
      <c r="H2922" s="546" t="s">
        <v>37</v>
      </c>
      <c r="I2922" s="711">
        <v>0</v>
      </c>
      <c r="J2922" s="896" t="str">
        <f t="shared" ref="J2922" si="11849">IFERROR((I2923/I2922),"-")</f>
        <v>-</v>
      </c>
      <c r="K2922" s="528"/>
      <c r="L2922" s="546" t="s">
        <v>37</v>
      </c>
      <c r="M2922" s="711">
        <f t="shared" ref="M2922:M2957" si="11850">_xlfn.XLOOKUP($N$8,$P$8:$V$8,$P2922:$V2922)</f>
        <v>0</v>
      </c>
      <c r="N2922" s="896" t="str">
        <f t="shared" ref="N2922" si="11851">IFERROR((M2923/M2922),"-")</f>
        <v>-</v>
      </c>
      <c r="O2922" s="528"/>
      <c r="P2922" s="547">
        <v>0</v>
      </c>
      <c r="Q2922" s="547">
        <v>0</v>
      </c>
      <c r="R2922" s="547">
        <v>0</v>
      </c>
      <c r="S2922" s="547">
        <v>0</v>
      </c>
      <c r="T2922" s="547">
        <v>0</v>
      </c>
      <c r="U2922" s="547">
        <v>0</v>
      </c>
      <c r="V2922" s="548">
        <v>0</v>
      </c>
      <c r="W2922" s="528"/>
      <c r="X2922" s="711">
        <f t="shared" si="11841"/>
        <v>0</v>
      </c>
      <c r="Y2922" s="896" t="str">
        <f t="shared" ref="Y2922" si="11852">IFERROR((X2923/X2922),"-")</f>
        <v>-</v>
      </c>
      <c r="Z2922" s="528"/>
      <c r="AA2922" s="898">
        <v>0</v>
      </c>
      <c r="AB2922" s="898">
        <v>0</v>
      </c>
      <c r="AC2922" s="898">
        <v>0</v>
      </c>
      <c r="AD2922" s="896" t="str">
        <f t="shared" ref="AD2922" si="11853">IFERROR((AC2922/AA2922),"-")</f>
        <v>-</v>
      </c>
      <c r="AE2922" s="2"/>
      <c r="AF2922" s="884">
        <v>0</v>
      </c>
      <c r="AG2922" s="884">
        <v>0</v>
      </c>
      <c r="AH2922" s="884">
        <v>0</v>
      </c>
      <c r="AI2922" s="884"/>
      <c r="AJ2922" s="884"/>
      <c r="AK2922" s="884">
        <f t="shared" ref="AK2922" si="11854">AF2922+AG2922+AH2922+AI2922+AJ2922+AC2922</f>
        <v>0</v>
      </c>
      <c r="AL2922" s="884">
        <v>0</v>
      </c>
      <c r="AM2922" s="878" t="str">
        <f t="shared" ref="AM2922" si="11855">IFERROR((AK2922/AL2922),"-")</f>
        <v>-</v>
      </c>
      <c r="AN2922" s="2"/>
      <c r="AO2922" s="884">
        <v>0</v>
      </c>
      <c r="AP2922" s="884">
        <f t="shared" ref="AP2922" si="11856">AO2922-AK2922</f>
        <v>0</v>
      </c>
      <c r="AV2922" t="str">
        <f t="shared" si="11710"/>
        <v>Revegetação - Hidrossemeadura</v>
      </c>
      <c r="AW2922" s="4" t="str">
        <f t="shared" si="11701"/>
        <v xml:space="preserve">   Seg. 2.2-ADME - Revestimento vegetal por hidrossemeadura</v>
      </c>
    </row>
    <row r="2923" spans="1:49" ht="15.6" customHeight="1" outlineLevel="2">
      <c r="A2923" s="8" t="str">
        <f t="shared" ref="A2923" si="11857">A2922</f>
        <v>N</v>
      </c>
      <c r="B2923" s="150"/>
      <c r="C2923" s="150"/>
      <c r="D2923" s="120" t="s">
        <v>3307</v>
      </c>
      <c r="E2923" s="893"/>
      <c r="F2923" s="895"/>
      <c r="G2923" s="528"/>
      <c r="H2923" s="549" t="s">
        <v>38</v>
      </c>
      <c r="I2923" s="711">
        <v>0</v>
      </c>
      <c r="J2923" s="897"/>
      <c r="K2923" s="528"/>
      <c r="L2923" s="549" t="s">
        <v>38</v>
      </c>
      <c r="M2923" s="711">
        <f t="shared" si="11850"/>
        <v>0</v>
      </c>
      <c r="N2923" s="897"/>
      <c r="O2923" s="528"/>
      <c r="P2923" s="548">
        <v>0</v>
      </c>
      <c r="Q2923" s="548">
        <v>0</v>
      </c>
      <c r="R2923" s="548">
        <v>0</v>
      </c>
      <c r="S2923" s="548">
        <v>0</v>
      </c>
      <c r="T2923" s="548">
        <v>0</v>
      </c>
      <c r="U2923" s="548">
        <v>0</v>
      </c>
      <c r="V2923" s="548"/>
      <c r="W2923" s="528"/>
      <c r="X2923" s="711">
        <f t="shared" si="11841"/>
        <v>0</v>
      </c>
      <c r="Y2923" s="897"/>
      <c r="Z2923" s="528"/>
      <c r="AA2923" s="899"/>
      <c r="AB2923" s="899"/>
      <c r="AC2923" s="899"/>
      <c r="AD2923" s="897"/>
      <c r="AE2923" s="2"/>
      <c r="AF2923" s="885"/>
      <c r="AG2923" s="885"/>
      <c r="AH2923" s="885"/>
      <c r="AI2923" s="885"/>
      <c r="AJ2923" s="885"/>
      <c r="AK2923" s="885"/>
      <c r="AL2923" s="885"/>
      <c r="AM2923" s="879"/>
      <c r="AN2923" s="2"/>
      <c r="AO2923" s="886"/>
      <c r="AP2923" s="886"/>
      <c r="AV2923" t="str">
        <f t="shared" si="11710"/>
        <v>Revegetação - Hidrossemeadura</v>
      </c>
      <c r="AW2923" s="4" t="str">
        <f t="shared" si="11701"/>
        <v xml:space="preserve">   Seg. 2.2-ADME - Revestimento vegetal por hidrossemeadura</v>
      </c>
    </row>
    <row r="2924" spans="1:49" ht="15.6" customHeight="1" outlineLevel="2">
      <c r="A2924" s="8" t="str">
        <f t="shared" ref="A2924" si="11858">IF(SUM(P2924:V2925)&gt;0,"S","N")</f>
        <v>N</v>
      </c>
      <c r="B2924" s="150">
        <v>1069313</v>
      </c>
      <c r="C2924" s="150" t="s">
        <v>3308</v>
      </c>
      <c r="D2924" s="120" t="s">
        <v>3309</v>
      </c>
      <c r="E2924" s="892" t="s">
        <v>3310</v>
      </c>
      <c r="F2924" s="894" t="s">
        <v>3210</v>
      </c>
      <c r="G2924" s="528"/>
      <c r="H2924" s="546" t="s">
        <v>37</v>
      </c>
      <c r="I2924" s="711">
        <v>0</v>
      </c>
      <c r="J2924" s="896" t="str">
        <f t="shared" ref="J2924" si="11859">IFERROR((I2925/I2924),"-")</f>
        <v>-</v>
      </c>
      <c r="K2924" s="528"/>
      <c r="L2924" s="546" t="s">
        <v>37</v>
      </c>
      <c r="M2924" s="711">
        <f t="shared" si="11850"/>
        <v>0</v>
      </c>
      <c r="N2924" s="896" t="str">
        <f t="shared" ref="N2924" si="11860">IFERROR((M2925/M2924),"-")</f>
        <v>-</v>
      </c>
      <c r="O2924" s="528"/>
      <c r="P2924" s="547">
        <v>0</v>
      </c>
      <c r="Q2924" s="547">
        <v>0</v>
      </c>
      <c r="R2924" s="547">
        <v>0</v>
      </c>
      <c r="S2924" s="547">
        <v>0</v>
      </c>
      <c r="T2924" s="547">
        <v>0</v>
      </c>
      <c r="U2924" s="547">
        <v>0</v>
      </c>
      <c r="V2924" s="548">
        <v>0</v>
      </c>
      <c r="W2924" s="528"/>
      <c r="X2924" s="711">
        <f t="shared" si="11841"/>
        <v>0</v>
      </c>
      <c r="Y2924" s="896" t="str">
        <f t="shared" ref="Y2924" si="11861">IFERROR((X2925/X2924),"-")</f>
        <v>-</v>
      </c>
      <c r="Z2924" s="528"/>
      <c r="AA2924" s="898">
        <v>0</v>
      </c>
      <c r="AB2924" s="898">
        <v>0</v>
      </c>
      <c r="AC2924" s="898">
        <v>0</v>
      </c>
      <c r="AD2924" s="896" t="str">
        <f t="shared" ref="AD2924" si="11862">IFERROR((AC2924/AA2924),"-")</f>
        <v>-</v>
      </c>
      <c r="AE2924" s="2"/>
      <c r="AF2924" s="884">
        <v>0</v>
      </c>
      <c r="AG2924" s="884">
        <v>0</v>
      </c>
      <c r="AH2924" s="884">
        <v>0</v>
      </c>
      <c r="AI2924" s="884"/>
      <c r="AJ2924" s="884"/>
      <c r="AK2924" s="884">
        <f t="shared" ref="AK2924" si="11863">AF2924+AG2924+AH2924+AI2924+AJ2924+AC2924</f>
        <v>0</v>
      </c>
      <c r="AL2924" s="884">
        <v>0</v>
      </c>
      <c r="AM2924" s="878" t="str">
        <f t="shared" ref="AM2924" si="11864">IFERROR((AK2924/AL2924),"-")</f>
        <v>-</v>
      </c>
      <c r="AN2924" s="2"/>
      <c r="AO2924" s="884">
        <v>0</v>
      </c>
      <c r="AP2924" s="884">
        <f t="shared" ref="AP2924" si="11865">AO2924-AK2924</f>
        <v>0</v>
      </c>
      <c r="AV2924" t="str">
        <f t="shared" si="11710"/>
        <v>Revegetação - Hidrossemeadura</v>
      </c>
      <c r="AW2924" s="4" t="str">
        <f t="shared" si="11701"/>
        <v xml:space="preserve">   Seg. 2.2-AE02 - Revestimento vegetal por hidrossemeadura</v>
      </c>
    </row>
    <row r="2925" spans="1:49" ht="15.6" customHeight="1" outlineLevel="2">
      <c r="A2925" s="8" t="str">
        <f t="shared" ref="A2925" si="11866">A2924</f>
        <v>N</v>
      </c>
      <c r="B2925" s="150"/>
      <c r="C2925" s="150"/>
      <c r="D2925" s="120" t="s">
        <v>3309</v>
      </c>
      <c r="E2925" s="893"/>
      <c r="F2925" s="895"/>
      <c r="G2925" s="528"/>
      <c r="H2925" s="549" t="s">
        <v>38</v>
      </c>
      <c r="I2925" s="711">
        <v>0</v>
      </c>
      <c r="J2925" s="897"/>
      <c r="K2925" s="528"/>
      <c r="L2925" s="549" t="s">
        <v>38</v>
      </c>
      <c r="M2925" s="711">
        <f t="shared" si="11850"/>
        <v>0</v>
      </c>
      <c r="N2925" s="897"/>
      <c r="O2925" s="528"/>
      <c r="P2925" s="548">
        <v>0</v>
      </c>
      <c r="Q2925" s="548">
        <v>0</v>
      </c>
      <c r="R2925" s="548">
        <v>0</v>
      </c>
      <c r="S2925" s="548">
        <v>0</v>
      </c>
      <c r="T2925" s="548">
        <v>0</v>
      </c>
      <c r="U2925" s="548">
        <v>0</v>
      </c>
      <c r="V2925" s="548"/>
      <c r="W2925" s="528"/>
      <c r="X2925" s="711">
        <f t="shared" si="11841"/>
        <v>0</v>
      </c>
      <c r="Y2925" s="897"/>
      <c r="Z2925" s="528"/>
      <c r="AA2925" s="899"/>
      <c r="AB2925" s="899"/>
      <c r="AC2925" s="899"/>
      <c r="AD2925" s="897"/>
      <c r="AE2925" s="2"/>
      <c r="AF2925" s="885"/>
      <c r="AG2925" s="885"/>
      <c r="AH2925" s="885"/>
      <c r="AI2925" s="885"/>
      <c r="AJ2925" s="885"/>
      <c r="AK2925" s="885"/>
      <c r="AL2925" s="885"/>
      <c r="AM2925" s="879"/>
      <c r="AN2925" s="2"/>
      <c r="AO2925" s="886"/>
      <c r="AP2925" s="886"/>
      <c r="AV2925" t="str">
        <f t="shared" si="11710"/>
        <v>Revegetação - Hidrossemeadura</v>
      </c>
      <c r="AW2925" s="4" t="str">
        <f t="shared" si="11701"/>
        <v xml:space="preserve">   Seg. 2.2-AE02 - Revestimento vegetal por hidrossemeadura</v>
      </c>
    </row>
    <row r="2926" spans="1:49" ht="15.6" customHeight="1" outlineLevel="2">
      <c r="A2926" s="8" t="str">
        <f t="shared" ref="A2926" si="11867">IF(SUM(P2926:V2927)&gt;0,"S","N")</f>
        <v>N</v>
      </c>
      <c r="B2926" s="150">
        <v>1069314</v>
      </c>
      <c r="C2926" s="150" t="s">
        <v>3311</v>
      </c>
      <c r="D2926" s="120" t="s">
        <v>3312</v>
      </c>
      <c r="E2926" s="892" t="s">
        <v>3313</v>
      </c>
      <c r="F2926" s="894" t="s">
        <v>3210</v>
      </c>
      <c r="G2926" s="528"/>
      <c r="H2926" s="546" t="s">
        <v>37</v>
      </c>
      <c r="I2926" s="711">
        <v>0</v>
      </c>
      <c r="J2926" s="896" t="str">
        <f t="shared" ref="J2926" si="11868">IFERROR((I2927/I2926),"-")</f>
        <v>-</v>
      </c>
      <c r="K2926" s="528"/>
      <c r="L2926" s="546" t="s">
        <v>37</v>
      </c>
      <c r="M2926" s="711">
        <f t="shared" si="11850"/>
        <v>0</v>
      </c>
      <c r="N2926" s="896" t="str">
        <f t="shared" ref="N2926" si="11869">IFERROR((M2927/M2926),"-")</f>
        <v>-</v>
      </c>
      <c r="O2926" s="528"/>
      <c r="P2926" s="547">
        <v>0</v>
      </c>
      <c r="Q2926" s="547">
        <v>0</v>
      </c>
      <c r="R2926" s="547">
        <v>0</v>
      </c>
      <c r="S2926" s="547">
        <v>0</v>
      </c>
      <c r="T2926" s="547">
        <v>0</v>
      </c>
      <c r="U2926" s="547">
        <v>0</v>
      </c>
      <c r="V2926" s="548">
        <v>0</v>
      </c>
      <c r="W2926" s="528"/>
      <c r="X2926" s="711">
        <f t="shared" si="11841"/>
        <v>0</v>
      </c>
      <c r="Y2926" s="896" t="str">
        <f t="shared" ref="Y2926" si="11870">IFERROR((X2927/X2926),"-")</f>
        <v>-</v>
      </c>
      <c r="Z2926" s="528"/>
      <c r="AA2926" s="898">
        <v>0</v>
      </c>
      <c r="AB2926" s="898">
        <v>0</v>
      </c>
      <c r="AC2926" s="898">
        <v>0</v>
      </c>
      <c r="AD2926" s="896" t="str">
        <f t="shared" ref="AD2926" si="11871">IFERROR((AC2926/AA2926),"-")</f>
        <v>-</v>
      </c>
      <c r="AE2926" s="2"/>
      <c r="AF2926" s="884">
        <v>0</v>
      </c>
      <c r="AG2926" s="884">
        <v>0</v>
      </c>
      <c r="AH2926" s="884">
        <v>0</v>
      </c>
      <c r="AI2926" s="884"/>
      <c r="AJ2926" s="884"/>
      <c r="AK2926" s="884">
        <f t="shared" ref="AK2926" si="11872">AF2926+AG2926+AH2926+AI2926+AJ2926+AC2926</f>
        <v>0</v>
      </c>
      <c r="AL2926" s="884">
        <v>0</v>
      </c>
      <c r="AM2926" s="878" t="str">
        <f t="shared" ref="AM2926" si="11873">IFERROR((AK2926/AL2926),"-")</f>
        <v>-</v>
      </c>
      <c r="AN2926" s="2"/>
      <c r="AO2926" s="884">
        <v>0</v>
      </c>
      <c r="AP2926" s="884">
        <f t="shared" ref="AP2926" si="11874">AO2926-AK2926</f>
        <v>0</v>
      </c>
      <c r="AV2926" t="str">
        <f t="shared" si="11710"/>
        <v>Revegetação - Hidrossemeadura</v>
      </c>
      <c r="AW2926" s="4" t="str">
        <f t="shared" si="11701"/>
        <v xml:space="preserve">   Seg. 2.2-AE03 - Revestimento vegetal por hidrossemeadura</v>
      </c>
    </row>
    <row r="2927" spans="1:49" ht="15.6" customHeight="1" outlineLevel="2">
      <c r="A2927" s="8" t="str">
        <f t="shared" ref="A2927" si="11875">A2926</f>
        <v>N</v>
      </c>
      <c r="B2927" s="150"/>
      <c r="C2927" s="150"/>
      <c r="D2927" s="120" t="s">
        <v>3312</v>
      </c>
      <c r="E2927" s="893"/>
      <c r="F2927" s="895"/>
      <c r="G2927" s="528"/>
      <c r="H2927" s="549" t="s">
        <v>38</v>
      </c>
      <c r="I2927" s="711">
        <v>0</v>
      </c>
      <c r="J2927" s="897"/>
      <c r="K2927" s="528"/>
      <c r="L2927" s="549" t="s">
        <v>38</v>
      </c>
      <c r="M2927" s="711">
        <f t="shared" si="11850"/>
        <v>0</v>
      </c>
      <c r="N2927" s="897"/>
      <c r="O2927" s="528"/>
      <c r="P2927" s="548">
        <v>0</v>
      </c>
      <c r="Q2927" s="548">
        <v>0</v>
      </c>
      <c r="R2927" s="548">
        <v>0</v>
      </c>
      <c r="S2927" s="548">
        <v>0</v>
      </c>
      <c r="T2927" s="548">
        <v>0</v>
      </c>
      <c r="U2927" s="548">
        <v>0</v>
      </c>
      <c r="V2927" s="548"/>
      <c r="W2927" s="528"/>
      <c r="X2927" s="711">
        <f t="shared" si="11841"/>
        <v>0</v>
      </c>
      <c r="Y2927" s="897"/>
      <c r="Z2927" s="528"/>
      <c r="AA2927" s="899"/>
      <c r="AB2927" s="899"/>
      <c r="AC2927" s="899"/>
      <c r="AD2927" s="897"/>
      <c r="AE2927" s="2"/>
      <c r="AF2927" s="885"/>
      <c r="AG2927" s="885"/>
      <c r="AH2927" s="885"/>
      <c r="AI2927" s="885"/>
      <c r="AJ2927" s="885"/>
      <c r="AK2927" s="885"/>
      <c r="AL2927" s="885"/>
      <c r="AM2927" s="879"/>
      <c r="AN2927" s="2"/>
      <c r="AO2927" s="886"/>
      <c r="AP2927" s="886"/>
      <c r="AV2927" t="str">
        <f t="shared" si="11710"/>
        <v>Revegetação - Hidrossemeadura</v>
      </c>
      <c r="AW2927" s="4" t="str">
        <f t="shared" si="11701"/>
        <v xml:space="preserve">   Seg. 2.2-AE03 - Revestimento vegetal por hidrossemeadura</v>
      </c>
    </row>
    <row r="2928" spans="1:49" ht="15.6" customHeight="1" outlineLevel="2">
      <c r="A2928" s="8" t="str">
        <f t="shared" ref="A2928" si="11876">IF(SUM(P2928:V2929)&gt;0,"S","N")</f>
        <v>N</v>
      </c>
      <c r="B2928" s="150">
        <v>1069315</v>
      </c>
      <c r="C2928" s="150" t="s">
        <v>3314</v>
      </c>
      <c r="D2928" s="120" t="s">
        <v>3315</v>
      </c>
      <c r="E2928" s="892" t="s">
        <v>3316</v>
      </c>
      <c r="F2928" s="894" t="s">
        <v>3210</v>
      </c>
      <c r="G2928" s="528"/>
      <c r="H2928" s="546" t="s">
        <v>37</v>
      </c>
      <c r="I2928" s="711">
        <v>0</v>
      </c>
      <c r="J2928" s="896" t="str">
        <f t="shared" ref="J2928" si="11877">IFERROR((I2929/I2928),"-")</f>
        <v>-</v>
      </c>
      <c r="K2928" s="528"/>
      <c r="L2928" s="546" t="s">
        <v>37</v>
      </c>
      <c r="M2928" s="711">
        <f t="shared" si="11850"/>
        <v>0</v>
      </c>
      <c r="N2928" s="896" t="str">
        <f t="shared" ref="N2928" si="11878">IFERROR((M2929/M2928),"-")</f>
        <v>-</v>
      </c>
      <c r="O2928" s="528"/>
      <c r="P2928" s="547">
        <v>0</v>
      </c>
      <c r="Q2928" s="547">
        <v>0</v>
      </c>
      <c r="R2928" s="547">
        <v>0</v>
      </c>
      <c r="S2928" s="547">
        <v>0</v>
      </c>
      <c r="T2928" s="547">
        <v>0</v>
      </c>
      <c r="U2928" s="547">
        <v>0</v>
      </c>
      <c r="V2928" s="548">
        <v>0</v>
      </c>
      <c r="W2928" s="528"/>
      <c r="X2928" s="711">
        <f t="shared" si="11841"/>
        <v>0</v>
      </c>
      <c r="Y2928" s="896" t="str">
        <f t="shared" ref="Y2928" si="11879">IFERROR((X2929/X2928),"-")</f>
        <v>-</v>
      </c>
      <c r="Z2928" s="528"/>
      <c r="AA2928" s="898">
        <v>0</v>
      </c>
      <c r="AB2928" s="898">
        <v>0</v>
      </c>
      <c r="AC2928" s="898">
        <v>0</v>
      </c>
      <c r="AD2928" s="896" t="str">
        <f t="shared" ref="AD2928" si="11880">IFERROR((AC2928/AA2928),"-")</f>
        <v>-</v>
      </c>
      <c r="AE2928" s="2"/>
      <c r="AF2928" s="884">
        <v>0</v>
      </c>
      <c r="AG2928" s="884">
        <v>0</v>
      </c>
      <c r="AH2928" s="884">
        <v>0</v>
      </c>
      <c r="AI2928" s="884"/>
      <c r="AJ2928" s="884"/>
      <c r="AK2928" s="884">
        <f t="shared" ref="AK2928" si="11881">AF2928+AG2928+AH2928+AI2928+AJ2928+AC2928</f>
        <v>0</v>
      </c>
      <c r="AL2928" s="884">
        <v>0</v>
      </c>
      <c r="AM2928" s="878" t="str">
        <f t="shared" ref="AM2928" si="11882">IFERROR((AK2928/AL2928),"-")</f>
        <v>-</v>
      </c>
      <c r="AN2928" s="2"/>
      <c r="AO2928" s="884">
        <v>0</v>
      </c>
      <c r="AP2928" s="884">
        <f t="shared" ref="AP2928" si="11883">AO2928-AK2928</f>
        <v>0</v>
      </c>
      <c r="AV2928" t="str">
        <f t="shared" si="11710"/>
        <v>Revegetação - Hidrossemeadura</v>
      </c>
      <c r="AW2928" s="4" t="str">
        <f t="shared" si="11701"/>
        <v xml:space="preserve">   Seg. 2.2-AE04 - Revestimento vegetal por hidrossemeadura</v>
      </c>
    </row>
    <row r="2929" spans="1:49" ht="15.6" customHeight="1" outlineLevel="2">
      <c r="A2929" s="8" t="str">
        <f t="shared" ref="A2929" si="11884">A2928</f>
        <v>N</v>
      </c>
      <c r="B2929" s="150"/>
      <c r="C2929" s="150"/>
      <c r="D2929" s="120" t="s">
        <v>3315</v>
      </c>
      <c r="E2929" s="893"/>
      <c r="F2929" s="895"/>
      <c r="G2929" s="528"/>
      <c r="H2929" s="549" t="s">
        <v>38</v>
      </c>
      <c r="I2929" s="711">
        <v>0</v>
      </c>
      <c r="J2929" s="897"/>
      <c r="K2929" s="528"/>
      <c r="L2929" s="549" t="s">
        <v>38</v>
      </c>
      <c r="M2929" s="711">
        <f t="shared" si="11850"/>
        <v>0</v>
      </c>
      <c r="N2929" s="897"/>
      <c r="O2929" s="528"/>
      <c r="P2929" s="548">
        <v>0</v>
      </c>
      <c r="Q2929" s="548">
        <v>0</v>
      </c>
      <c r="R2929" s="548">
        <v>0</v>
      </c>
      <c r="S2929" s="548">
        <v>0</v>
      </c>
      <c r="T2929" s="548">
        <v>0</v>
      </c>
      <c r="U2929" s="548">
        <v>0</v>
      </c>
      <c r="V2929" s="548"/>
      <c r="W2929" s="528"/>
      <c r="X2929" s="711">
        <f t="shared" si="11841"/>
        <v>0</v>
      </c>
      <c r="Y2929" s="897"/>
      <c r="Z2929" s="528"/>
      <c r="AA2929" s="899"/>
      <c r="AB2929" s="899"/>
      <c r="AC2929" s="899"/>
      <c r="AD2929" s="897"/>
      <c r="AE2929" s="2"/>
      <c r="AF2929" s="885"/>
      <c r="AG2929" s="885"/>
      <c r="AH2929" s="885"/>
      <c r="AI2929" s="885"/>
      <c r="AJ2929" s="885"/>
      <c r="AK2929" s="885"/>
      <c r="AL2929" s="885"/>
      <c r="AM2929" s="879"/>
      <c r="AN2929" s="2"/>
      <c r="AO2929" s="886"/>
      <c r="AP2929" s="886"/>
      <c r="AV2929" t="str">
        <f t="shared" si="11710"/>
        <v>Revegetação - Hidrossemeadura</v>
      </c>
      <c r="AW2929" s="4" t="str">
        <f t="shared" si="11701"/>
        <v xml:space="preserve">   Seg. 2.2-AE04 - Revestimento vegetal por hidrossemeadura</v>
      </c>
    </row>
    <row r="2930" spans="1:49" ht="15.6" customHeight="1" outlineLevel="2">
      <c r="A2930" s="8" t="str">
        <f t="shared" ref="A2930" si="11885">IF(SUM(P2930:V2931)&gt;0,"S","N")</f>
        <v>N</v>
      </c>
      <c r="B2930" s="150">
        <v>1069316</v>
      </c>
      <c r="C2930" s="150" t="s">
        <v>3317</v>
      </c>
      <c r="D2930" s="120" t="s">
        <v>3318</v>
      </c>
      <c r="E2930" s="892" t="s">
        <v>3319</v>
      </c>
      <c r="F2930" s="894" t="s">
        <v>3210</v>
      </c>
      <c r="G2930" s="528"/>
      <c r="H2930" s="546" t="s">
        <v>37</v>
      </c>
      <c r="I2930" s="711">
        <v>0</v>
      </c>
      <c r="J2930" s="896" t="str">
        <f t="shared" ref="J2930" si="11886">IFERROR((I2931/I2930),"-")</f>
        <v>-</v>
      </c>
      <c r="K2930" s="528"/>
      <c r="L2930" s="546" t="s">
        <v>37</v>
      </c>
      <c r="M2930" s="711">
        <f t="shared" si="11850"/>
        <v>0</v>
      </c>
      <c r="N2930" s="896" t="str">
        <f t="shared" ref="N2930" si="11887">IFERROR((M2931/M2930),"-")</f>
        <v>-</v>
      </c>
      <c r="O2930" s="528"/>
      <c r="P2930" s="547">
        <v>0</v>
      </c>
      <c r="Q2930" s="547">
        <v>0</v>
      </c>
      <c r="R2930" s="547">
        <v>0</v>
      </c>
      <c r="S2930" s="547">
        <v>0</v>
      </c>
      <c r="T2930" s="547">
        <v>0</v>
      </c>
      <c r="U2930" s="547">
        <v>0</v>
      </c>
      <c r="V2930" s="548">
        <v>0</v>
      </c>
      <c r="W2930" s="528"/>
      <c r="X2930" s="711">
        <f t="shared" si="11841"/>
        <v>0</v>
      </c>
      <c r="Y2930" s="896" t="str">
        <f t="shared" ref="Y2930" si="11888">IFERROR((X2931/X2930),"-")</f>
        <v>-</v>
      </c>
      <c r="Z2930" s="528"/>
      <c r="AA2930" s="898">
        <v>0</v>
      </c>
      <c r="AB2930" s="898">
        <v>0</v>
      </c>
      <c r="AC2930" s="898">
        <v>0</v>
      </c>
      <c r="AD2930" s="896" t="str">
        <f t="shared" ref="AD2930" si="11889">IFERROR((AC2930/AA2930),"-")</f>
        <v>-</v>
      </c>
      <c r="AE2930" s="2"/>
      <c r="AF2930" s="884">
        <v>0</v>
      </c>
      <c r="AG2930" s="884">
        <v>0</v>
      </c>
      <c r="AH2930" s="884">
        <v>0</v>
      </c>
      <c r="AI2930" s="884"/>
      <c r="AJ2930" s="884"/>
      <c r="AK2930" s="884">
        <f t="shared" ref="AK2930" si="11890">AF2930+AG2930+AH2930+AI2930+AJ2930+AC2930</f>
        <v>0</v>
      </c>
      <c r="AL2930" s="884">
        <v>0</v>
      </c>
      <c r="AM2930" s="878" t="str">
        <f t="shared" ref="AM2930" si="11891">IFERROR((AK2930/AL2930),"-")</f>
        <v>-</v>
      </c>
      <c r="AN2930" s="2"/>
      <c r="AO2930" s="884">
        <v>0</v>
      </c>
      <c r="AP2930" s="884">
        <f t="shared" ref="AP2930" si="11892">AO2930-AK2930</f>
        <v>0</v>
      </c>
      <c r="AV2930" t="str">
        <f t="shared" si="11710"/>
        <v>Revegetação - Hidrossemeadura</v>
      </c>
      <c r="AW2930" s="4" t="str">
        <f t="shared" si="11701"/>
        <v xml:space="preserve">   Seg. 2.2-AE05 - Revestimento vegetal por hidrossemeadura</v>
      </c>
    </row>
    <row r="2931" spans="1:49" ht="15.6" customHeight="1" outlineLevel="2">
      <c r="A2931" s="8" t="str">
        <f t="shared" ref="A2931" si="11893">A2930</f>
        <v>N</v>
      </c>
      <c r="B2931" s="150"/>
      <c r="C2931" s="150"/>
      <c r="D2931" s="120" t="s">
        <v>3318</v>
      </c>
      <c r="E2931" s="893"/>
      <c r="F2931" s="895"/>
      <c r="G2931" s="528"/>
      <c r="H2931" s="549" t="s">
        <v>38</v>
      </c>
      <c r="I2931" s="711">
        <v>0</v>
      </c>
      <c r="J2931" s="897"/>
      <c r="K2931" s="528"/>
      <c r="L2931" s="549" t="s">
        <v>38</v>
      </c>
      <c r="M2931" s="711">
        <f t="shared" si="11850"/>
        <v>0</v>
      </c>
      <c r="N2931" s="897"/>
      <c r="O2931" s="528"/>
      <c r="P2931" s="548">
        <v>0</v>
      </c>
      <c r="Q2931" s="548">
        <v>0</v>
      </c>
      <c r="R2931" s="548">
        <v>0</v>
      </c>
      <c r="S2931" s="548">
        <v>0</v>
      </c>
      <c r="T2931" s="548">
        <v>0</v>
      </c>
      <c r="U2931" s="548">
        <v>0</v>
      </c>
      <c r="V2931" s="548"/>
      <c r="W2931" s="528"/>
      <c r="X2931" s="711">
        <f t="shared" si="11841"/>
        <v>0</v>
      </c>
      <c r="Y2931" s="897"/>
      <c r="Z2931" s="528"/>
      <c r="AA2931" s="899"/>
      <c r="AB2931" s="899"/>
      <c r="AC2931" s="899"/>
      <c r="AD2931" s="897"/>
      <c r="AE2931" s="2"/>
      <c r="AF2931" s="885"/>
      <c r="AG2931" s="885"/>
      <c r="AH2931" s="885"/>
      <c r="AI2931" s="885"/>
      <c r="AJ2931" s="885"/>
      <c r="AK2931" s="885"/>
      <c r="AL2931" s="885"/>
      <c r="AM2931" s="879"/>
      <c r="AN2931" s="2"/>
      <c r="AO2931" s="886"/>
      <c r="AP2931" s="886"/>
      <c r="AV2931" t="str">
        <f t="shared" si="11710"/>
        <v>Revegetação - Hidrossemeadura</v>
      </c>
      <c r="AW2931" s="4" t="str">
        <f t="shared" si="11701"/>
        <v xml:space="preserve">   Seg. 2.2-AE05 - Revestimento vegetal por hidrossemeadura</v>
      </c>
    </row>
    <row r="2932" spans="1:49" ht="15.6" customHeight="1" outlineLevel="2">
      <c r="A2932" s="8" t="str">
        <f t="shared" ref="A2932" si="11894">IF(SUM(P2932:V2933)&gt;0,"S","N")</f>
        <v>N</v>
      </c>
      <c r="B2932" s="150">
        <v>1069317</v>
      </c>
      <c r="C2932" s="150" t="s">
        <v>3320</v>
      </c>
      <c r="D2932" s="120" t="s">
        <v>3321</v>
      </c>
      <c r="E2932" s="892" t="s">
        <v>3322</v>
      </c>
      <c r="F2932" s="894" t="s">
        <v>3210</v>
      </c>
      <c r="G2932" s="528"/>
      <c r="H2932" s="546" t="s">
        <v>37</v>
      </c>
      <c r="I2932" s="711">
        <v>0</v>
      </c>
      <c r="J2932" s="896" t="str">
        <f t="shared" ref="J2932" si="11895">IFERROR((I2933/I2932),"-")</f>
        <v>-</v>
      </c>
      <c r="K2932" s="528"/>
      <c r="L2932" s="546" t="s">
        <v>37</v>
      </c>
      <c r="M2932" s="711">
        <f t="shared" si="11850"/>
        <v>0</v>
      </c>
      <c r="N2932" s="896" t="str">
        <f t="shared" ref="N2932" si="11896">IFERROR((M2933/M2932),"-")</f>
        <v>-</v>
      </c>
      <c r="O2932" s="528"/>
      <c r="P2932" s="547">
        <v>0</v>
      </c>
      <c r="Q2932" s="547">
        <v>0</v>
      </c>
      <c r="R2932" s="547">
        <v>0</v>
      </c>
      <c r="S2932" s="547">
        <v>0</v>
      </c>
      <c r="T2932" s="547">
        <v>0</v>
      </c>
      <c r="U2932" s="547">
        <v>0</v>
      </c>
      <c r="V2932" s="548">
        <v>0</v>
      </c>
      <c r="W2932" s="528"/>
      <c r="X2932" s="711">
        <f t="shared" si="11841"/>
        <v>0</v>
      </c>
      <c r="Y2932" s="896" t="str">
        <f t="shared" ref="Y2932" si="11897">IFERROR((X2933/X2932),"-")</f>
        <v>-</v>
      </c>
      <c r="Z2932" s="528"/>
      <c r="AA2932" s="898">
        <v>0</v>
      </c>
      <c r="AB2932" s="898">
        <v>0</v>
      </c>
      <c r="AC2932" s="898">
        <v>0</v>
      </c>
      <c r="AD2932" s="896" t="str">
        <f t="shared" ref="AD2932" si="11898">IFERROR((AC2932/AA2932),"-")</f>
        <v>-</v>
      </c>
      <c r="AE2932" s="2"/>
      <c r="AF2932" s="884">
        <v>0</v>
      </c>
      <c r="AG2932" s="884">
        <v>0</v>
      </c>
      <c r="AH2932" s="884">
        <v>0</v>
      </c>
      <c r="AI2932" s="884"/>
      <c r="AJ2932" s="884"/>
      <c r="AK2932" s="884">
        <f t="shared" ref="AK2932" si="11899">AF2932+AG2932+AH2932+AI2932+AJ2932+AC2932</f>
        <v>0</v>
      </c>
      <c r="AL2932" s="884">
        <v>0</v>
      </c>
      <c r="AM2932" s="878" t="str">
        <f t="shared" ref="AM2932" si="11900">IFERROR((AK2932/AL2932),"-")</f>
        <v>-</v>
      </c>
      <c r="AN2932" s="2"/>
      <c r="AO2932" s="884">
        <v>0</v>
      </c>
      <c r="AP2932" s="884">
        <f t="shared" ref="AP2932" si="11901">AO2932-AK2932</f>
        <v>0</v>
      </c>
      <c r="AV2932" t="str">
        <f t="shared" si="11710"/>
        <v>Revegetação - Hidrossemeadura</v>
      </c>
      <c r="AW2932" s="4" t="str">
        <f t="shared" si="11701"/>
        <v xml:space="preserve">   Seg. 2.2-AE06 - Revestimento vegetal por hidrossemeadura</v>
      </c>
    </row>
    <row r="2933" spans="1:49" ht="15.6" customHeight="1" outlineLevel="2">
      <c r="A2933" s="8" t="str">
        <f t="shared" ref="A2933" si="11902">A2932</f>
        <v>N</v>
      </c>
      <c r="B2933" s="150"/>
      <c r="C2933" s="150"/>
      <c r="D2933" s="120" t="s">
        <v>3321</v>
      </c>
      <c r="E2933" s="893"/>
      <c r="F2933" s="895"/>
      <c r="G2933" s="528"/>
      <c r="H2933" s="549" t="s">
        <v>38</v>
      </c>
      <c r="I2933" s="711">
        <v>0</v>
      </c>
      <c r="J2933" s="897"/>
      <c r="K2933" s="528"/>
      <c r="L2933" s="549" t="s">
        <v>38</v>
      </c>
      <c r="M2933" s="711">
        <f t="shared" si="11850"/>
        <v>0</v>
      </c>
      <c r="N2933" s="897"/>
      <c r="O2933" s="528"/>
      <c r="P2933" s="548">
        <v>0</v>
      </c>
      <c r="Q2933" s="548">
        <v>0</v>
      </c>
      <c r="R2933" s="548">
        <v>0</v>
      </c>
      <c r="S2933" s="548">
        <v>0</v>
      </c>
      <c r="T2933" s="548">
        <v>0</v>
      </c>
      <c r="U2933" s="548">
        <v>0</v>
      </c>
      <c r="V2933" s="548"/>
      <c r="W2933" s="528"/>
      <c r="X2933" s="711">
        <f t="shared" si="11841"/>
        <v>0</v>
      </c>
      <c r="Y2933" s="897"/>
      <c r="Z2933" s="528"/>
      <c r="AA2933" s="899"/>
      <c r="AB2933" s="899"/>
      <c r="AC2933" s="899"/>
      <c r="AD2933" s="897"/>
      <c r="AE2933" s="2"/>
      <c r="AF2933" s="885"/>
      <c r="AG2933" s="885"/>
      <c r="AH2933" s="885"/>
      <c r="AI2933" s="885"/>
      <c r="AJ2933" s="885"/>
      <c r="AK2933" s="885"/>
      <c r="AL2933" s="885"/>
      <c r="AM2933" s="879"/>
      <c r="AN2933" s="2"/>
      <c r="AO2933" s="886"/>
      <c r="AP2933" s="886"/>
      <c r="AV2933" t="str">
        <f t="shared" si="11710"/>
        <v>Revegetação - Hidrossemeadura</v>
      </c>
      <c r="AW2933" s="4" t="str">
        <f t="shared" si="11701"/>
        <v xml:space="preserve">   Seg. 2.2-AE06 - Revestimento vegetal por hidrossemeadura</v>
      </c>
    </row>
    <row r="2934" spans="1:49" ht="15.6" customHeight="1" outlineLevel="2">
      <c r="A2934" s="8" t="str">
        <f t="shared" ref="A2934" si="11903">IF(SUM(P2934:V2935)&gt;0,"S","N")</f>
        <v>N</v>
      </c>
      <c r="B2934" s="150">
        <v>1069318</v>
      </c>
      <c r="C2934" s="150" t="s">
        <v>3323</v>
      </c>
      <c r="D2934" s="120" t="s">
        <v>3324</v>
      </c>
      <c r="E2934" s="892" t="s">
        <v>3325</v>
      </c>
      <c r="F2934" s="894" t="s">
        <v>3210</v>
      </c>
      <c r="G2934" s="528"/>
      <c r="H2934" s="546" t="s">
        <v>37</v>
      </c>
      <c r="I2934" s="711">
        <v>0</v>
      </c>
      <c r="J2934" s="896" t="str">
        <f t="shared" ref="J2934" si="11904">IFERROR((I2935/I2934),"-")</f>
        <v>-</v>
      </c>
      <c r="K2934" s="528"/>
      <c r="L2934" s="546" t="s">
        <v>37</v>
      </c>
      <c r="M2934" s="711">
        <f t="shared" si="11850"/>
        <v>0</v>
      </c>
      <c r="N2934" s="896" t="str">
        <f t="shared" ref="N2934" si="11905">IFERROR((M2935/M2934),"-")</f>
        <v>-</v>
      </c>
      <c r="O2934" s="528"/>
      <c r="P2934" s="547">
        <v>0</v>
      </c>
      <c r="Q2934" s="547">
        <v>0</v>
      </c>
      <c r="R2934" s="547">
        <v>0</v>
      </c>
      <c r="S2934" s="547">
        <v>0</v>
      </c>
      <c r="T2934" s="547">
        <v>0</v>
      </c>
      <c r="U2934" s="547">
        <v>0</v>
      </c>
      <c r="V2934" s="548">
        <v>0</v>
      </c>
      <c r="W2934" s="528"/>
      <c r="X2934" s="711">
        <f t="shared" si="11841"/>
        <v>0</v>
      </c>
      <c r="Y2934" s="896" t="str">
        <f t="shared" ref="Y2934" si="11906">IFERROR((X2935/X2934),"-")</f>
        <v>-</v>
      </c>
      <c r="Z2934" s="528"/>
      <c r="AA2934" s="898">
        <v>0</v>
      </c>
      <c r="AB2934" s="898">
        <v>0</v>
      </c>
      <c r="AC2934" s="898">
        <v>0</v>
      </c>
      <c r="AD2934" s="896" t="str">
        <f t="shared" ref="AD2934" si="11907">IFERROR((AC2934/AA2934),"-")</f>
        <v>-</v>
      </c>
      <c r="AE2934" s="2"/>
      <c r="AF2934" s="884">
        <v>0</v>
      </c>
      <c r="AG2934" s="884">
        <v>0</v>
      </c>
      <c r="AH2934" s="884">
        <v>0</v>
      </c>
      <c r="AI2934" s="884"/>
      <c r="AJ2934" s="884"/>
      <c r="AK2934" s="884">
        <f t="shared" ref="AK2934" si="11908">AF2934+AG2934+AH2934+AI2934+AJ2934+AC2934</f>
        <v>0</v>
      </c>
      <c r="AL2934" s="884">
        <v>0</v>
      </c>
      <c r="AM2934" s="878" t="str">
        <f t="shared" ref="AM2934" si="11909">IFERROR((AK2934/AL2934),"-")</f>
        <v>-</v>
      </c>
      <c r="AN2934" s="2"/>
      <c r="AO2934" s="884">
        <v>0</v>
      </c>
      <c r="AP2934" s="884">
        <f t="shared" ref="AP2934" si="11910">AO2934-AK2934</f>
        <v>0</v>
      </c>
      <c r="AV2934" t="str">
        <f t="shared" si="11710"/>
        <v>Revegetação - Hidrossemeadura</v>
      </c>
      <c r="AW2934" s="4" t="str">
        <f t="shared" si="11701"/>
        <v xml:space="preserve">   Seg. 2.2-AE07 - Revestimento vegetal por hidrossemeadura</v>
      </c>
    </row>
    <row r="2935" spans="1:49" ht="15.6" customHeight="1" outlineLevel="2">
      <c r="A2935" s="8" t="str">
        <f t="shared" ref="A2935" si="11911">A2934</f>
        <v>N</v>
      </c>
      <c r="B2935" s="150"/>
      <c r="C2935" s="150"/>
      <c r="D2935" s="120" t="s">
        <v>3324</v>
      </c>
      <c r="E2935" s="893"/>
      <c r="F2935" s="895"/>
      <c r="G2935" s="528"/>
      <c r="H2935" s="549" t="s">
        <v>38</v>
      </c>
      <c r="I2935" s="711">
        <v>0</v>
      </c>
      <c r="J2935" s="897"/>
      <c r="K2935" s="528"/>
      <c r="L2935" s="549" t="s">
        <v>38</v>
      </c>
      <c r="M2935" s="711">
        <f t="shared" si="11850"/>
        <v>0</v>
      </c>
      <c r="N2935" s="897"/>
      <c r="O2935" s="528"/>
      <c r="P2935" s="548">
        <v>0</v>
      </c>
      <c r="Q2935" s="548">
        <v>0</v>
      </c>
      <c r="R2935" s="548">
        <v>0</v>
      </c>
      <c r="S2935" s="548">
        <v>0</v>
      </c>
      <c r="T2935" s="548">
        <v>0</v>
      </c>
      <c r="U2935" s="548">
        <v>0</v>
      </c>
      <c r="V2935" s="548"/>
      <c r="W2935" s="528"/>
      <c r="X2935" s="711">
        <f t="shared" si="11841"/>
        <v>0</v>
      </c>
      <c r="Y2935" s="897"/>
      <c r="Z2935" s="528"/>
      <c r="AA2935" s="899"/>
      <c r="AB2935" s="899"/>
      <c r="AC2935" s="899"/>
      <c r="AD2935" s="897"/>
      <c r="AE2935" s="2"/>
      <c r="AF2935" s="885"/>
      <c r="AG2935" s="885"/>
      <c r="AH2935" s="885"/>
      <c r="AI2935" s="885"/>
      <c r="AJ2935" s="885"/>
      <c r="AK2935" s="885"/>
      <c r="AL2935" s="885"/>
      <c r="AM2935" s="879"/>
      <c r="AN2935" s="2"/>
      <c r="AO2935" s="886"/>
      <c r="AP2935" s="886"/>
      <c r="AV2935" t="str">
        <f t="shared" si="11710"/>
        <v>Revegetação - Hidrossemeadura</v>
      </c>
      <c r="AW2935" s="4" t="str">
        <f t="shared" si="11701"/>
        <v xml:space="preserve">   Seg. 2.2-AE07 - Revestimento vegetal por hidrossemeadura</v>
      </c>
    </row>
    <row r="2936" spans="1:49" ht="15.6" customHeight="1" outlineLevel="2">
      <c r="A2936" s="8" t="str">
        <f t="shared" ref="A2936" si="11912">IF(SUM(P2936:V2937)&gt;0,"S","N")</f>
        <v>N</v>
      </c>
      <c r="B2936" s="150">
        <v>1069319</v>
      </c>
      <c r="C2936" s="150" t="s">
        <v>3326</v>
      </c>
      <c r="D2936" s="120" t="s">
        <v>3327</v>
      </c>
      <c r="E2936" s="892" t="s">
        <v>3328</v>
      </c>
      <c r="F2936" s="894" t="s">
        <v>3210</v>
      </c>
      <c r="G2936" s="528"/>
      <c r="H2936" s="546" t="s">
        <v>37</v>
      </c>
      <c r="I2936" s="711">
        <v>0</v>
      </c>
      <c r="J2936" s="896" t="str">
        <f t="shared" ref="J2936" si="11913">IFERROR((I2937/I2936),"-")</f>
        <v>-</v>
      </c>
      <c r="K2936" s="528"/>
      <c r="L2936" s="546" t="s">
        <v>37</v>
      </c>
      <c r="M2936" s="711">
        <f t="shared" si="11850"/>
        <v>0</v>
      </c>
      <c r="N2936" s="896" t="str">
        <f t="shared" ref="N2936" si="11914">IFERROR((M2937/M2936),"-")</f>
        <v>-</v>
      </c>
      <c r="O2936" s="528"/>
      <c r="P2936" s="547">
        <v>0</v>
      </c>
      <c r="Q2936" s="547">
        <v>0</v>
      </c>
      <c r="R2936" s="547">
        <v>0</v>
      </c>
      <c r="S2936" s="547">
        <v>0</v>
      </c>
      <c r="T2936" s="547">
        <v>0</v>
      </c>
      <c r="U2936" s="547">
        <v>0</v>
      </c>
      <c r="V2936" s="548">
        <v>0</v>
      </c>
      <c r="W2936" s="528"/>
      <c r="X2936" s="711">
        <f t="shared" si="11841"/>
        <v>0</v>
      </c>
      <c r="Y2936" s="896" t="str">
        <f t="shared" ref="Y2936" si="11915">IFERROR((X2937/X2936),"-")</f>
        <v>-</v>
      </c>
      <c r="Z2936" s="528"/>
      <c r="AA2936" s="898">
        <v>0</v>
      </c>
      <c r="AB2936" s="898">
        <v>0</v>
      </c>
      <c r="AC2936" s="898">
        <v>0</v>
      </c>
      <c r="AD2936" s="896" t="str">
        <f t="shared" ref="AD2936" si="11916">IFERROR((AC2936/AA2936),"-")</f>
        <v>-</v>
      </c>
      <c r="AE2936" s="2"/>
      <c r="AF2936" s="884">
        <v>0</v>
      </c>
      <c r="AG2936" s="884">
        <v>0</v>
      </c>
      <c r="AH2936" s="884">
        <v>0</v>
      </c>
      <c r="AI2936" s="884"/>
      <c r="AJ2936" s="884"/>
      <c r="AK2936" s="884">
        <f t="shared" ref="AK2936" si="11917">AF2936+AG2936+AH2936+AI2936+AJ2936+AC2936</f>
        <v>0</v>
      </c>
      <c r="AL2936" s="884">
        <v>0</v>
      </c>
      <c r="AM2936" s="878" t="str">
        <f t="shared" ref="AM2936" si="11918">IFERROR((AK2936/AL2936),"-")</f>
        <v>-</v>
      </c>
      <c r="AN2936" s="2"/>
      <c r="AO2936" s="884">
        <v>0</v>
      </c>
      <c r="AP2936" s="884">
        <f t="shared" ref="AP2936" si="11919">AO2936-AK2936</f>
        <v>0</v>
      </c>
      <c r="AV2936" t="str">
        <f t="shared" si="11710"/>
        <v>Revegetação - Hidrossemeadura</v>
      </c>
      <c r="AW2936" s="4" t="str">
        <f t="shared" si="11701"/>
        <v xml:space="preserve">   Seg. 2.2-AE08 - Revestimento vegetal por hidrossemeadura</v>
      </c>
    </row>
    <row r="2937" spans="1:49" ht="15.6" customHeight="1" outlineLevel="2">
      <c r="A2937" s="8" t="str">
        <f t="shared" ref="A2937" si="11920">A2936</f>
        <v>N</v>
      </c>
      <c r="B2937" s="150"/>
      <c r="C2937" s="150"/>
      <c r="D2937" s="120" t="s">
        <v>3327</v>
      </c>
      <c r="E2937" s="893"/>
      <c r="F2937" s="895"/>
      <c r="G2937" s="528"/>
      <c r="H2937" s="549" t="s">
        <v>38</v>
      </c>
      <c r="I2937" s="711">
        <v>0</v>
      </c>
      <c r="J2937" s="897"/>
      <c r="K2937" s="528"/>
      <c r="L2937" s="549" t="s">
        <v>38</v>
      </c>
      <c r="M2937" s="711">
        <f t="shared" si="11850"/>
        <v>0</v>
      </c>
      <c r="N2937" s="897"/>
      <c r="O2937" s="528"/>
      <c r="P2937" s="548">
        <v>0</v>
      </c>
      <c r="Q2937" s="548">
        <v>0</v>
      </c>
      <c r="R2937" s="548">
        <v>0</v>
      </c>
      <c r="S2937" s="548">
        <v>0</v>
      </c>
      <c r="T2937" s="548">
        <v>0</v>
      </c>
      <c r="U2937" s="548">
        <v>0</v>
      </c>
      <c r="V2937" s="548"/>
      <c r="W2937" s="528"/>
      <c r="X2937" s="711">
        <f t="shared" si="11841"/>
        <v>0</v>
      </c>
      <c r="Y2937" s="897"/>
      <c r="Z2937" s="528"/>
      <c r="AA2937" s="899"/>
      <c r="AB2937" s="899"/>
      <c r="AC2937" s="899"/>
      <c r="AD2937" s="897"/>
      <c r="AE2937" s="2"/>
      <c r="AF2937" s="885"/>
      <c r="AG2937" s="885"/>
      <c r="AH2937" s="885"/>
      <c r="AI2937" s="885"/>
      <c r="AJ2937" s="885"/>
      <c r="AK2937" s="885"/>
      <c r="AL2937" s="885"/>
      <c r="AM2937" s="879"/>
      <c r="AN2937" s="2"/>
      <c r="AO2937" s="886"/>
      <c r="AP2937" s="886"/>
      <c r="AV2937" t="str">
        <f t="shared" si="11710"/>
        <v>Revegetação - Hidrossemeadura</v>
      </c>
      <c r="AW2937" s="4" t="str">
        <f t="shared" si="11701"/>
        <v xml:space="preserve">   Seg. 2.2-AE08 - Revestimento vegetal por hidrossemeadura</v>
      </c>
    </row>
    <row r="2938" spans="1:49" ht="15.6" customHeight="1" outlineLevel="2">
      <c r="A2938" s="8" t="str">
        <f t="shared" ref="A2938" si="11921">IF(SUM(P2938:V2939)&gt;0,"S","N")</f>
        <v>N</v>
      </c>
      <c r="B2938" s="150">
        <v>1070074</v>
      </c>
      <c r="C2938" s="150" t="s">
        <v>3329</v>
      </c>
      <c r="D2938" s="120" t="s">
        <v>3330</v>
      </c>
      <c r="E2938" s="892" t="s">
        <v>3331</v>
      </c>
      <c r="F2938" s="894" t="s">
        <v>3210</v>
      </c>
      <c r="G2938" s="528"/>
      <c r="H2938" s="546" t="s">
        <v>37</v>
      </c>
      <c r="I2938" s="711">
        <v>0</v>
      </c>
      <c r="J2938" s="896" t="str">
        <f t="shared" ref="J2938" si="11922">IFERROR((I2939/I2938),"-")</f>
        <v>-</v>
      </c>
      <c r="K2938" s="528"/>
      <c r="L2938" s="546" t="s">
        <v>37</v>
      </c>
      <c r="M2938" s="711">
        <f t="shared" si="11850"/>
        <v>0</v>
      </c>
      <c r="N2938" s="896" t="str">
        <f t="shared" ref="N2938" si="11923">IFERROR((M2939/M2938),"-")</f>
        <v>-</v>
      </c>
      <c r="O2938" s="528"/>
      <c r="P2938" s="547">
        <v>0</v>
      </c>
      <c r="Q2938" s="547">
        <v>0</v>
      </c>
      <c r="R2938" s="547">
        <v>0</v>
      </c>
      <c r="S2938" s="547">
        <v>0</v>
      </c>
      <c r="T2938" s="547">
        <v>0</v>
      </c>
      <c r="U2938" s="547">
        <v>0</v>
      </c>
      <c r="V2938" s="548">
        <v>0</v>
      </c>
      <c r="W2938" s="528"/>
      <c r="X2938" s="711">
        <f t="shared" si="11841"/>
        <v>0</v>
      </c>
      <c r="Y2938" s="896" t="str">
        <f t="shared" ref="Y2938" si="11924">IFERROR((X2939/X2938),"-")</f>
        <v>-</v>
      </c>
      <c r="Z2938" s="528"/>
      <c r="AA2938" s="898">
        <v>0</v>
      </c>
      <c r="AB2938" s="898">
        <v>0</v>
      </c>
      <c r="AC2938" s="898">
        <v>0</v>
      </c>
      <c r="AD2938" s="896" t="str">
        <f t="shared" ref="AD2938" si="11925">IFERROR((AC2938/AA2938),"-")</f>
        <v>-</v>
      </c>
      <c r="AE2938" s="2"/>
      <c r="AF2938" s="884">
        <v>0</v>
      </c>
      <c r="AG2938" s="884">
        <v>0</v>
      </c>
      <c r="AH2938" s="884">
        <v>0</v>
      </c>
      <c r="AI2938" s="884"/>
      <c r="AJ2938" s="884"/>
      <c r="AK2938" s="884">
        <f t="shared" ref="AK2938" si="11926">AF2938+AG2938+AH2938+AI2938+AJ2938+AC2938</f>
        <v>0</v>
      </c>
      <c r="AL2938" s="884">
        <v>0</v>
      </c>
      <c r="AM2938" s="878" t="str">
        <f t="shared" ref="AM2938" si="11927">IFERROR((AK2938/AL2938),"-")</f>
        <v>-</v>
      </c>
      <c r="AN2938" s="2"/>
      <c r="AO2938" s="884">
        <v>0</v>
      </c>
      <c r="AP2938" s="884">
        <f t="shared" ref="AP2938" si="11928">AO2938-AK2938</f>
        <v>0</v>
      </c>
      <c r="AV2938" t="str">
        <f t="shared" si="11710"/>
        <v>Revegetação - Hidrossemeadura</v>
      </c>
      <c r="AW2938" s="4" t="str">
        <f t="shared" si="11701"/>
        <v xml:space="preserve">   AE 01 -Seg. 2.2B km 112+200 - Revestimento vegetal por hidrossemeadura</v>
      </c>
    </row>
    <row r="2939" spans="1:49" ht="15.6" customHeight="1" outlineLevel="2">
      <c r="A2939" s="8" t="str">
        <f t="shared" ref="A2939" si="11929">A2938</f>
        <v>N</v>
      </c>
      <c r="B2939" s="150"/>
      <c r="C2939" s="150"/>
      <c r="D2939" s="120" t="s">
        <v>3330</v>
      </c>
      <c r="E2939" s="893"/>
      <c r="F2939" s="895"/>
      <c r="G2939" s="528"/>
      <c r="H2939" s="549" t="s">
        <v>38</v>
      </c>
      <c r="I2939" s="711">
        <v>0</v>
      </c>
      <c r="J2939" s="897"/>
      <c r="K2939" s="528"/>
      <c r="L2939" s="549" t="s">
        <v>38</v>
      </c>
      <c r="M2939" s="711">
        <f t="shared" si="11850"/>
        <v>0</v>
      </c>
      <c r="N2939" s="897"/>
      <c r="O2939" s="528"/>
      <c r="P2939" s="548">
        <v>0</v>
      </c>
      <c r="Q2939" s="548">
        <v>0</v>
      </c>
      <c r="R2939" s="548">
        <v>0</v>
      </c>
      <c r="S2939" s="548">
        <v>0</v>
      </c>
      <c r="T2939" s="548">
        <v>0</v>
      </c>
      <c r="U2939" s="548">
        <v>0</v>
      </c>
      <c r="V2939" s="548"/>
      <c r="W2939" s="528"/>
      <c r="X2939" s="711">
        <f t="shared" si="11841"/>
        <v>0</v>
      </c>
      <c r="Y2939" s="897"/>
      <c r="Z2939" s="528"/>
      <c r="AA2939" s="899"/>
      <c r="AB2939" s="899"/>
      <c r="AC2939" s="899"/>
      <c r="AD2939" s="897"/>
      <c r="AE2939" s="2"/>
      <c r="AF2939" s="885"/>
      <c r="AG2939" s="885"/>
      <c r="AH2939" s="885"/>
      <c r="AI2939" s="885"/>
      <c r="AJ2939" s="885"/>
      <c r="AK2939" s="885"/>
      <c r="AL2939" s="885"/>
      <c r="AM2939" s="879"/>
      <c r="AN2939" s="2"/>
      <c r="AO2939" s="886"/>
      <c r="AP2939" s="886"/>
      <c r="AV2939" t="str">
        <f t="shared" si="11710"/>
        <v>Revegetação - Hidrossemeadura</v>
      </c>
      <c r="AW2939" s="4" t="str">
        <f t="shared" si="11701"/>
        <v xml:space="preserve">   AE 01 -Seg. 2.2B km 112+200 - Revestimento vegetal por hidrossemeadura</v>
      </c>
    </row>
    <row r="2940" spans="1:49" ht="15.6" customHeight="1" outlineLevel="2">
      <c r="A2940" s="8" t="str">
        <f t="shared" ref="A2940" si="11930">IF(SUM(P2940:V2941)&gt;0,"S","N")</f>
        <v>N</v>
      </c>
      <c r="B2940" s="150">
        <v>1070076</v>
      </c>
      <c r="C2940" s="150" t="s">
        <v>3332</v>
      </c>
      <c r="D2940" s="120" t="s">
        <v>3333</v>
      </c>
      <c r="E2940" s="892" t="s">
        <v>3334</v>
      </c>
      <c r="F2940" s="894" t="s">
        <v>3210</v>
      </c>
      <c r="G2940" s="528"/>
      <c r="H2940" s="546" t="s">
        <v>37</v>
      </c>
      <c r="I2940" s="711">
        <v>0</v>
      </c>
      <c r="J2940" s="896" t="str">
        <f t="shared" ref="J2940" si="11931">IFERROR((I2941/I2940),"-")</f>
        <v>-</v>
      </c>
      <c r="K2940" s="528"/>
      <c r="L2940" s="546" t="s">
        <v>37</v>
      </c>
      <c r="M2940" s="711">
        <f t="shared" si="11850"/>
        <v>0</v>
      </c>
      <c r="N2940" s="896" t="str">
        <f t="shared" ref="N2940" si="11932">IFERROR((M2941/M2940),"-")</f>
        <v>-</v>
      </c>
      <c r="O2940" s="528"/>
      <c r="P2940" s="547">
        <v>0</v>
      </c>
      <c r="Q2940" s="547">
        <v>0</v>
      </c>
      <c r="R2940" s="547">
        <v>0</v>
      </c>
      <c r="S2940" s="547">
        <v>0</v>
      </c>
      <c r="T2940" s="547">
        <v>0</v>
      </c>
      <c r="U2940" s="547">
        <v>0</v>
      </c>
      <c r="V2940" s="548">
        <v>0</v>
      </c>
      <c r="W2940" s="528"/>
      <c r="X2940" s="711">
        <f t="shared" si="11841"/>
        <v>0</v>
      </c>
      <c r="Y2940" s="896" t="str">
        <f t="shared" ref="Y2940" si="11933">IFERROR((X2941/X2940),"-")</f>
        <v>-</v>
      </c>
      <c r="Z2940" s="528"/>
      <c r="AA2940" s="898">
        <v>4800.1499999999996</v>
      </c>
      <c r="AB2940" s="898">
        <v>2133.36</v>
      </c>
      <c r="AC2940" s="898">
        <v>0</v>
      </c>
      <c r="AD2940" s="896">
        <f t="shared" ref="AD2940" si="11934">IFERROR((AC2940/AA2940),"-")</f>
        <v>0</v>
      </c>
      <c r="AE2940" s="2"/>
      <c r="AF2940" s="884">
        <v>584.55999999999995</v>
      </c>
      <c r="AG2940" s="884">
        <v>0</v>
      </c>
      <c r="AH2940" s="884">
        <v>0</v>
      </c>
      <c r="AI2940" s="884"/>
      <c r="AJ2940" s="884"/>
      <c r="AK2940" s="884">
        <f t="shared" ref="AK2940" si="11935">AF2940+AG2940+AH2940+AI2940+AJ2940+AC2940</f>
        <v>584.55999999999995</v>
      </c>
      <c r="AL2940" s="884">
        <v>2141.88</v>
      </c>
      <c r="AM2940" s="878">
        <f t="shared" ref="AM2940" si="11936">IFERROR((AK2940/AL2940),"-")</f>
        <v>0.27291911778437633</v>
      </c>
      <c r="AN2940" s="2"/>
      <c r="AO2940" s="884">
        <v>4808.67</v>
      </c>
      <c r="AP2940" s="884">
        <f t="shared" ref="AP2940" si="11937">AO2940-AK2940</f>
        <v>4224.1100000000006</v>
      </c>
      <c r="AV2940" t="str">
        <f t="shared" si="11710"/>
        <v>Revegetação - Hidrossemeadura</v>
      </c>
      <c r="AW2940" s="4" t="str">
        <f t="shared" si="11701"/>
        <v xml:space="preserve">   Seg. 2.2-C02-Revestimento vegetal por hidrossemeadura</v>
      </c>
    </row>
    <row r="2941" spans="1:49" ht="15.6" customHeight="1" outlineLevel="2">
      <c r="A2941" s="8" t="str">
        <f t="shared" ref="A2941" si="11938">A2940</f>
        <v>N</v>
      </c>
      <c r="B2941" s="150"/>
      <c r="C2941" s="150"/>
      <c r="D2941" s="120" t="s">
        <v>3333</v>
      </c>
      <c r="E2941" s="893"/>
      <c r="F2941" s="895"/>
      <c r="G2941" s="528"/>
      <c r="H2941" s="549" t="s">
        <v>38</v>
      </c>
      <c r="I2941" s="711">
        <v>0</v>
      </c>
      <c r="J2941" s="897"/>
      <c r="K2941" s="528"/>
      <c r="L2941" s="549" t="s">
        <v>38</v>
      </c>
      <c r="M2941" s="711">
        <f t="shared" si="11850"/>
        <v>0</v>
      </c>
      <c r="N2941" s="897"/>
      <c r="O2941" s="528"/>
      <c r="P2941" s="548">
        <v>0</v>
      </c>
      <c r="Q2941" s="548">
        <v>0</v>
      </c>
      <c r="R2941" s="548">
        <v>0</v>
      </c>
      <c r="S2941" s="548">
        <v>0</v>
      </c>
      <c r="T2941" s="548">
        <v>0</v>
      </c>
      <c r="U2941" s="548">
        <v>0</v>
      </c>
      <c r="V2941" s="548"/>
      <c r="W2941" s="528"/>
      <c r="X2941" s="711">
        <f t="shared" si="11841"/>
        <v>0</v>
      </c>
      <c r="Y2941" s="897"/>
      <c r="Z2941" s="528"/>
      <c r="AA2941" s="899"/>
      <c r="AB2941" s="899"/>
      <c r="AC2941" s="899"/>
      <c r="AD2941" s="897"/>
      <c r="AE2941" s="2"/>
      <c r="AF2941" s="885"/>
      <c r="AG2941" s="885"/>
      <c r="AH2941" s="885"/>
      <c r="AI2941" s="885"/>
      <c r="AJ2941" s="885"/>
      <c r="AK2941" s="885"/>
      <c r="AL2941" s="885"/>
      <c r="AM2941" s="879"/>
      <c r="AN2941" s="2"/>
      <c r="AO2941" s="886"/>
      <c r="AP2941" s="886"/>
      <c r="AV2941" t="str">
        <f t="shared" si="11710"/>
        <v>Revegetação - Hidrossemeadura</v>
      </c>
      <c r="AW2941" s="4" t="str">
        <f t="shared" si="11701"/>
        <v xml:space="preserve">   Seg. 2.2-C02-Revestimento vegetal por hidrossemeadura</v>
      </c>
    </row>
    <row r="2942" spans="1:49" ht="15.6" customHeight="1" outlineLevel="2">
      <c r="A2942" s="8" t="str">
        <f t="shared" ref="A2942" si="11939">IF(SUM(P2942:V2943)&gt;0,"S","N")</f>
        <v>N</v>
      </c>
      <c r="B2942" s="150">
        <v>1070078</v>
      </c>
      <c r="C2942" s="150" t="s">
        <v>3335</v>
      </c>
      <c r="D2942" s="120" t="s">
        <v>3336</v>
      </c>
      <c r="E2942" s="892" t="s">
        <v>3337</v>
      </c>
      <c r="F2942" s="894" t="s">
        <v>3210</v>
      </c>
      <c r="G2942" s="528"/>
      <c r="H2942" s="546" t="s">
        <v>37</v>
      </c>
      <c r="I2942" s="711">
        <v>0</v>
      </c>
      <c r="J2942" s="896" t="str">
        <f t="shared" ref="J2942" si="11940">IFERROR((I2943/I2942),"-")</f>
        <v>-</v>
      </c>
      <c r="K2942" s="528"/>
      <c r="L2942" s="546" t="s">
        <v>37</v>
      </c>
      <c r="M2942" s="711">
        <f t="shared" si="11850"/>
        <v>0</v>
      </c>
      <c r="N2942" s="896" t="str">
        <f t="shared" ref="N2942" si="11941">IFERROR((M2943/M2942),"-")</f>
        <v>-</v>
      </c>
      <c r="O2942" s="528"/>
      <c r="P2942" s="547">
        <v>0</v>
      </c>
      <c r="Q2942" s="547">
        <v>0</v>
      </c>
      <c r="R2942" s="547">
        <v>0</v>
      </c>
      <c r="S2942" s="547">
        <v>0</v>
      </c>
      <c r="T2942" s="547">
        <v>0</v>
      </c>
      <c r="U2942" s="547">
        <v>0</v>
      </c>
      <c r="V2942" s="548">
        <v>0</v>
      </c>
      <c r="W2942" s="528"/>
      <c r="X2942" s="711">
        <f t="shared" si="11841"/>
        <v>0</v>
      </c>
      <c r="Y2942" s="896" t="str">
        <f t="shared" ref="Y2942" si="11942">IFERROR((X2943/X2942),"-")</f>
        <v>-</v>
      </c>
      <c r="Z2942" s="528"/>
      <c r="AA2942" s="898">
        <v>0</v>
      </c>
      <c r="AB2942" s="898">
        <v>0</v>
      </c>
      <c r="AC2942" s="898">
        <v>0</v>
      </c>
      <c r="AD2942" s="896" t="str">
        <f t="shared" ref="AD2942" si="11943">IFERROR((AC2942/AA2942),"-")</f>
        <v>-</v>
      </c>
      <c r="AE2942" s="2"/>
      <c r="AF2942" s="884">
        <v>0</v>
      </c>
      <c r="AG2942" s="884">
        <v>0</v>
      </c>
      <c r="AH2942" s="884">
        <v>0</v>
      </c>
      <c r="AI2942" s="884"/>
      <c r="AJ2942" s="884"/>
      <c r="AK2942" s="884">
        <f t="shared" ref="AK2942" si="11944">AF2942+AG2942+AH2942+AI2942+AJ2942+AC2942</f>
        <v>0</v>
      </c>
      <c r="AL2942" s="884">
        <v>0</v>
      </c>
      <c r="AM2942" s="878" t="str">
        <f t="shared" ref="AM2942" si="11945">IFERROR((AK2942/AL2942),"-")</f>
        <v>-</v>
      </c>
      <c r="AN2942" s="2"/>
      <c r="AO2942" s="884">
        <v>3734.8</v>
      </c>
      <c r="AP2942" s="884">
        <f t="shared" ref="AP2942" si="11946">AO2942-AK2942</f>
        <v>3734.8</v>
      </c>
      <c r="AV2942" t="str">
        <f t="shared" si="11710"/>
        <v>Revegetação - Hidrossemeadura</v>
      </c>
      <c r="AW2942" s="4" t="str">
        <f t="shared" si="11701"/>
        <v xml:space="preserve">   Seg. 2.2-C03-Revestimento vegetal por hidrossemeadura</v>
      </c>
    </row>
    <row r="2943" spans="1:49" ht="15.6" customHeight="1" outlineLevel="2">
      <c r="A2943" s="8" t="str">
        <f t="shared" ref="A2943" si="11947">A2942</f>
        <v>N</v>
      </c>
      <c r="B2943" s="150"/>
      <c r="C2943" s="150"/>
      <c r="D2943" s="120" t="s">
        <v>3336</v>
      </c>
      <c r="E2943" s="893"/>
      <c r="F2943" s="895"/>
      <c r="G2943" s="528"/>
      <c r="H2943" s="549" t="s">
        <v>38</v>
      </c>
      <c r="I2943" s="711">
        <v>0</v>
      </c>
      <c r="J2943" s="897"/>
      <c r="K2943" s="528"/>
      <c r="L2943" s="549" t="s">
        <v>38</v>
      </c>
      <c r="M2943" s="711">
        <f t="shared" si="11850"/>
        <v>0</v>
      </c>
      <c r="N2943" s="897"/>
      <c r="O2943" s="528"/>
      <c r="P2943" s="548">
        <v>0</v>
      </c>
      <c r="Q2943" s="548">
        <v>0</v>
      </c>
      <c r="R2943" s="548">
        <v>0</v>
      </c>
      <c r="S2943" s="548">
        <v>0</v>
      </c>
      <c r="T2943" s="548">
        <v>0</v>
      </c>
      <c r="U2943" s="548">
        <v>0</v>
      </c>
      <c r="V2943" s="548"/>
      <c r="W2943" s="528"/>
      <c r="X2943" s="711">
        <f t="shared" si="11841"/>
        <v>0</v>
      </c>
      <c r="Y2943" s="897"/>
      <c r="Z2943" s="528"/>
      <c r="AA2943" s="899"/>
      <c r="AB2943" s="899"/>
      <c r="AC2943" s="899"/>
      <c r="AD2943" s="897"/>
      <c r="AE2943" s="2"/>
      <c r="AF2943" s="885"/>
      <c r="AG2943" s="885"/>
      <c r="AH2943" s="885"/>
      <c r="AI2943" s="885"/>
      <c r="AJ2943" s="885"/>
      <c r="AK2943" s="885"/>
      <c r="AL2943" s="885"/>
      <c r="AM2943" s="879"/>
      <c r="AN2943" s="2"/>
      <c r="AO2943" s="886"/>
      <c r="AP2943" s="886"/>
      <c r="AV2943" t="str">
        <f t="shared" si="11710"/>
        <v>Revegetação - Hidrossemeadura</v>
      </c>
      <c r="AW2943" s="4" t="str">
        <f t="shared" si="11701"/>
        <v xml:space="preserve">   Seg. 2.2-C03-Revestimento vegetal por hidrossemeadura</v>
      </c>
    </row>
    <row r="2944" spans="1:49" ht="15.6" customHeight="1" outlineLevel="2">
      <c r="A2944" s="209" t="str">
        <f t="shared" ref="A2944" si="11948">IF(SUM(P2944:V2945)&gt;0,"S","N")</f>
        <v>N</v>
      </c>
      <c r="B2944" s="150">
        <v>1070079</v>
      </c>
      <c r="C2944" s="150" t="s">
        <v>3338</v>
      </c>
      <c r="D2944" s="120"/>
      <c r="E2944" s="892" t="s">
        <v>3339</v>
      </c>
      <c r="F2944" s="894" t="s">
        <v>3210</v>
      </c>
      <c r="G2944" s="528"/>
      <c r="H2944" s="546" t="s">
        <v>37</v>
      </c>
      <c r="I2944" s="711">
        <v>0</v>
      </c>
      <c r="J2944" s="896" t="str">
        <f t="shared" ref="J2944" si="11949">IFERROR((I2945/I2944),"-")</f>
        <v>-</v>
      </c>
      <c r="K2944" s="528"/>
      <c r="L2944" s="546" t="s">
        <v>37</v>
      </c>
      <c r="M2944" s="711">
        <f t="shared" si="11850"/>
        <v>0</v>
      </c>
      <c r="N2944" s="896" t="str">
        <f t="shared" ref="N2944" si="11950">IFERROR((M2945/M2944),"-")</f>
        <v>-</v>
      </c>
      <c r="O2944" s="528"/>
      <c r="P2944" s="547">
        <v>0</v>
      </c>
      <c r="Q2944" s="547">
        <v>0</v>
      </c>
      <c r="R2944" s="547">
        <v>0</v>
      </c>
      <c r="S2944" s="547">
        <v>0</v>
      </c>
      <c r="T2944" s="547">
        <v>0</v>
      </c>
      <c r="U2944" s="547">
        <v>0</v>
      </c>
      <c r="V2944" s="548">
        <v>0</v>
      </c>
      <c r="W2944" s="528"/>
      <c r="X2944" s="711">
        <f t="shared" si="11841"/>
        <v>0</v>
      </c>
      <c r="Y2944" s="896" t="str">
        <f t="shared" ref="Y2944" si="11951">IFERROR((X2945/X2944),"-")</f>
        <v>-</v>
      </c>
      <c r="Z2944" s="528"/>
      <c r="AA2944" s="898">
        <v>0</v>
      </c>
      <c r="AB2944" s="898">
        <v>0</v>
      </c>
      <c r="AC2944" s="898">
        <v>0</v>
      </c>
      <c r="AD2944" s="896" t="str">
        <f t="shared" ref="AD2944" si="11952">IFERROR((AC2944/AA2944),"-")</f>
        <v>-</v>
      </c>
      <c r="AE2944" s="2"/>
      <c r="AF2944" s="884">
        <v>0</v>
      </c>
      <c r="AG2944" s="884">
        <v>0</v>
      </c>
      <c r="AH2944" s="884">
        <v>0</v>
      </c>
      <c r="AI2944" s="884"/>
      <c r="AJ2944" s="884"/>
      <c r="AK2944" s="884">
        <f t="shared" ref="AK2944" si="11953">AF2944+AG2944+AH2944+AI2944+AJ2944+AC2944</f>
        <v>0</v>
      </c>
      <c r="AL2944" s="884">
        <v>7799.9400000000023</v>
      </c>
      <c r="AM2944" s="878">
        <f t="shared" ref="AM2944" si="11954">IFERROR((AK2944/AL2944),"-")</f>
        <v>0</v>
      </c>
      <c r="AN2944" s="2"/>
      <c r="AO2944" s="884">
        <v>44894.41</v>
      </c>
      <c r="AP2944" s="884">
        <f t="shared" ref="AP2944" si="11955">AO2944-AK2944</f>
        <v>44894.41</v>
      </c>
      <c r="AV2944" t="str">
        <f t="shared" si="11710"/>
        <v>Revegetação - Hidrossemeadura</v>
      </c>
      <c r="AW2944" s="4" t="str">
        <f t="shared" si="11701"/>
        <v xml:space="preserve">   Seg. 2.2-C04-Revestimento vegetal por hidrossemeadura</v>
      </c>
    </row>
    <row r="2945" spans="1:49" ht="15.6" customHeight="1" outlineLevel="2">
      <c r="A2945" s="209" t="str">
        <f t="shared" ref="A2945" si="11956">A2944</f>
        <v>N</v>
      </c>
      <c r="B2945" s="150"/>
      <c r="C2945" s="150"/>
      <c r="D2945" s="120"/>
      <c r="E2945" s="893"/>
      <c r="F2945" s="895"/>
      <c r="G2945" s="528"/>
      <c r="H2945" s="549" t="s">
        <v>38</v>
      </c>
      <c r="I2945" s="711">
        <v>0</v>
      </c>
      <c r="J2945" s="897"/>
      <c r="K2945" s="528"/>
      <c r="L2945" s="549" t="s">
        <v>38</v>
      </c>
      <c r="M2945" s="711">
        <f t="shared" si="11850"/>
        <v>0</v>
      </c>
      <c r="N2945" s="897"/>
      <c r="O2945" s="528"/>
      <c r="P2945" s="548">
        <v>0</v>
      </c>
      <c r="Q2945" s="548">
        <v>0</v>
      </c>
      <c r="R2945" s="548">
        <v>0</v>
      </c>
      <c r="S2945" s="548">
        <v>0</v>
      </c>
      <c r="T2945" s="548">
        <v>0</v>
      </c>
      <c r="U2945" s="548">
        <v>0</v>
      </c>
      <c r="V2945" s="548"/>
      <c r="W2945" s="528"/>
      <c r="X2945" s="711">
        <f t="shared" si="11841"/>
        <v>0</v>
      </c>
      <c r="Y2945" s="897"/>
      <c r="Z2945" s="528"/>
      <c r="AA2945" s="899"/>
      <c r="AB2945" s="899"/>
      <c r="AC2945" s="899"/>
      <c r="AD2945" s="897"/>
      <c r="AE2945" s="2"/>
      <c r="AF2945" s="885"/>
      <c r="AG2945" s="885"/>
      <c r="AH2945" s="885"/>
      <c r="AI2945" s="885"/>
      <c r="AJ2945" s="885"/>
      <c r="AK2945" s="885"/>
      <c r="AL2945" s="885"/>
      <c r="AM2945" s="879"/>
      <c r="AN2945" s="2"/>
      <c r="AO2945" s="886"/>
      <c r="AP2945" s="886"/>
      <c r="AV2945" t="str">
        <f t="shared" si="11710"/>
        <v>Revegetação - Hidrossemeadura</v>
      </c>
      <c r="AW2945" s="4" t="str">
        <f t="shared" si="11701"/>
        <v xml:space="preserve">   Seg. 2.2-C04-Revestimento vegetal por hidrossemeadura</v>
      </c>
    </row>
    <row r="2946" spans="1:49" ht="15.6" customHeight="1" outlineLevel="2">
      <c r="A2946" s="8" t="str">
        <f t="shared" ref="A2946" si="11957">IF(SUM(P2946:V2947)&gt;0,"S","N")</f>
        <v>N</v>
      </c>
      <c r="B2946" s="150">
        <v>1070081</v>
      </c>
      <c r="C2946" s="150" t="s">
        <v>3340</v>
      </c>
      <c r="D2946" s="120" t="s">
        <v>3341</v>
      </c>
      <c r="E2946" s="892" t="s">
        <v>3342</v>
      </c>
      <c r="F2946" s="894" t="s">
        <v>3210</v>
      </c>
      <c r="G2946" s="528"/>
      <c r="H2946" s="546" t="s">
        <v>37</v>
      </c>
      <c r="I2946" s="711">
        <v>0</v>
      </c>
      <c r="J2946" s="896" t="str">
        <f t="shared" ref="J2946" si="11958">IFERROR((I2947/I2946),"-")</f>
        <v>-</v>
      </c>
      <c r="K2946" s="528"/>
      <c r="L2946" s="546" t="s">
        <v>37</v>
      </c>
      <c r="M2946" s="711">
        <f t="shared" si="11850"/>
        <v>0</v>
      </c>
      <c r="N2946" s="896" t="str">
        <f t="shared" ref="N2946" si="11959">IFERROR((M2947/M2946),"-")</f>
        <v>-</v>
      </c>
      <c r="O2946" s="528"/>
      <c r="P2946" s="547">
        <v>0</v>
      </c>
      <c r="Q2946" s="547">
        <v>0</v>
      </c>
      <c r="R2946" s="547">
        <v>0</v>
      </c>
      <c r="S2946" s="547">
        <v>0</v>
      </c>
      <c r="T2946" s="547">
        <v>0</v>
      </c>
      <c r="U2946" s="547">
        <v>0</v>
      </c>
      <c r="V2946" s="548">
        <v>0</v>
      </c>
      <c r="W2946" s="528"/>
      <c r="X2946" s="711">
        <f t="shared" si="11841"/>
        <v>0</v>
      </c>
      <c r="Y2946" s="896" t="str">
        <f t="shared" ref="Y2946" si="11960">IFERROR((X2947/X2946),"-")</f>
        <v>-</v>
      </c>
      <c r="Z2946" s="528"/>
      <c r="AA2946" s="898">
        <v>0</v>
      </c>
      <c r="AB2946" s="898">
        <v>0</v>
      </c>
      <c r="AC2946" s="898">
        <v>0</v>
      </c>
      <c r="AD2946" s="896" t="str">
        <f t="shared" ref="AD2946" si="11961">IFERROR((AC2946/AA2946),"-")</f>
        <v>-</v>
      </c>
      <c r="AE2946" s="2"/>
      <c r="AF2946" s="884">
        <v>33904.47</v>
      </c>
      <c r="AG2946" s="884">
        <v>0</v>
      </c>
      <c r="AH2946" s="884">
        <v>0</v>
      </c>
      <c r="AI2946" s="884"/>
      <c r="AJ2946" s="884"/>
      <c r="AK2946" s="884">
        <f t="shared" ref="AK2946" si="11962">AF2946+AG2946+AH2946+AI2946+AJ2946+AC2946</f>
        <v>33904.47</v>
      </c>
      <c r="AL2946" s="884">
        <v>10535.199999999997</v>
      </c>
      <c r="AM2946" s="878">
        <f t="shared" ref="AM2946" si="11963">IFERROR((AK2946/AL2946),"-")</f>
        <v>3.2182084820411583</v>
      </c>
      <c r="AN2946" s="2"/>
      <c r="AO2946" s="884">
        <v>10535.17</v>
      </c>
      <c r="AP2946" s="884">
        <f t="shared" ref="AP2946" si="11964">AO2946-AK2946</f>
        <v>-23369.300000000003</v>
      </c>
      <c r="AV2946" t="str">
        <f t="shared" si="11710"/>
        <v>Revegetação - Hidrossemeadura</v>
      </c>
      <c r="AW2946" s="4" t="str">
        <f t="shared" si="11701"/>
        <v xml:space="preserve">   Seg. 2.2-C05-Revestimento vegetal por hidrossemeadura</v>
      </c>
    </row>
    <row r="2947" spans="1:49" ht="15.6" customHeight="1" outlineLevel="2">
      <c r="A2947" s="8" t="str">
        <f t="shared" ref="A2947" si="11965">A2946</f>
        <v>N</v>
      </c>
      <c r="B2947" s="150"/>
      <c r="C2947" s="150"/>
      <c r="D2947" s="120" t="s">
        <v>3341</v>
      </c>
      <c r="E2947" s="893"/>
      <c r="F2947" s="895"/>
      <c r="G2947" s="528"/>
      <c r="H2947" s="549" t="s">
        <v>38</v>
      </c>
      <c r="I2947" s="711">
        <v>0</v>
      </c>
      <c r="J2947" s="897"/>
      <c r="K2947" s="528"/>
      <c r="L2947" s="549" t="s">
        <v>38</v>
      </c>
      <c r="M2947" s="711">
        <f t="shared" si="11850"/>
        <v>0</v>
      </c>
      <c r="N2947" s="897"/>
      <c r="O2947" s="528"/>
      <c r="P2947" s="548">
        <v>0</v>
      </c>
      <c r="Q2947" s="548">
        <v>0</v>
      </c>
      <c r="R2947" s="548">
        <v>0</v>
      </c>
      <c r="S2947" s="548">
        <v>0</v>
      </c>
      <c r="T2947" s="548">
        <v>0</v>
      </c>
      <c r="U2947" s="548">
        <v>0</v>
      </c>
      <c r="V2947" s="548"/>
      <c r="W2947" s="528"/>
      <c r="X2947" s="711">
        <f t="shared" si="11841"/>
        <v>0</v>
      </c>
      <c r="Y2947" s="897"/>
      <c r="Z2947" s="528"/>
      <c r="AA2947" s="899"/>
      <c r="AB2947" s="899"/>
      <c r="AC2947" s="899"/>
      <c r="AD2947" s="897"/>
      <c r="AE2947" s="2"/>
      <c r="AF2947" s="885"/>
      <c r="AG2947" s="885"/>
      <c r="AH2947" s="885"/>
      <c r="AI2947" s="885"/>
      <c r="AJ2947" s="885"/>
      <c r="AK2947" s="885"/>
      <c r="AL2947" s="885"/>
      <c r="AM2947" s="879"/>
      <c r="AN2947" s="2"/>
      <c r="AO2947" s="886"/>
      <c r="AP2947" s="886"/>
      <c r="AV2947" t="str">
        <f t="shared" si="11710"/>
        <v>Revegetação - Hidrossemeadura</v>
      </c>
      <c r="AW2947" s="4" t="str">
        <f t="shared" si="11701"/>
        <v xml:space="preserve">   Seg. 2.2-C05-Revestimento vegetal por hidrossemeadura</v>
      </c>
    </row>
    <row r="2948" spans="1:49" ht="15.6" customHeight="1" outlineLevel="2">
      <c r="A2948" s="8" t="str">
        <f t="shared" ref="A2948" si="11966">IF(SUM(P2948:V2949)&gt;0,"S","N")</f>
        <v>N</v>
      </c>
      <c r="B2948" s="150">
        <v>1070084</v>
      </c>
      <c r="C2948" s="150" t="s">
        <v>3343</v>
      </c>
      <c r="D2948" s="120" t="s">
        <v>3344</v>
      </c>
      <c r="E2948" s="892" t="s">
        <v>3345</v>
      </c>
      <c r="F2948" s="894" t="s">
        <v>3210</v>
      </c>
      <c r="G2948" s="528"/>
      <c r="H2948" s="546" t="s">
        <v>37</v>
      </c>
      <c r="I2948" s="711">
        <v>0</v>
      </c>
      <c r="J2948" s="896" t="str">
        <f t="shared" ref="J2948" si="11967">IFERROR((I2949/I2948),"-")</f>
        <v>-</v>
      </c>
      <c r="K2948" s="528"/>
      <c r="L2948" s="546" t="s">
        <v>37</v>
      </c>
      <c r="M2948" s="711">
        <f t="shared" si="11850"/>
        <v>0</v>
      </c>
      <c r="N2948" s="896" t="str">
        <f t="shared" ref="N2948" si="11968">IFERROR((M2949/M2948),"-")</f>
        <v>-</v>
      </c>
      <c r="O2948" s="528"/>
      <c r="P2948" s="547">
        <v>0</v>
      </c>
      <c r="Q2948" s="547">
        <v>0</v>
      </c>
      <c r="R2948" s="547">
        <v>0</v>
      </c>
      <c r="S2948" s="547">
        <v>0</v>
      </c>
      <c r="T2948" s="547">
        <v>0</v>
      </c>
      <c r="U2948" s="547">
        <v>0</v>
      </c>
      <c r="V2948" s="548">
        <v>0</v>
      </c>
      <c r="W2948" s="528"/>
      <c r="X2948" s="711">
        <f t="shared" si="11841"/>
        <v>0</v>
      </c>
      <c r="Y2948" s="896" t="str">
        <f t="shared" ref="Y2948" si="11969">IFERROR((X2949/X2948),"-")</f>
        <v>-</v>
      </c>
      <c r="Z2948" s="528"/>
      <c r="AA2948" s="898">
        <v>0</v>
      </c>
      <c r="AB2948" s="898">
        <v>0</v>
      </c>
      <c r="AC2948" s="898">
        <v>0</v>
      </c>
      <c r="AD2948" s="896" t="str">
        <f t="shared" ref="AD2948" si="11970">IFERROR((AC2948/AA2948),"-")</f>
        <v>-</v>
      </c>
      <c r="AE2948" s="2"/>
      <c r="AF2948" s="884">
        <v>0</v>
      </c>
      <c r="AG2948" s="884">
        <v>0</v>
      </c>
      <c r="AH2948" s="884">
        <v>0</v>
      </c>
      <c r="AI2948" s="884"/>
      <c r="AJ2948" s="884"/>
      <c r="AK2948" s="884">
        <f t="shared" ref="AK2948" si="11971">AF2948+AG2948+AH2948+AI2948+AJ2948+AC2948</f>
        <v>0</v>
      </c>
      <c r="AL2948" s="884">
        <v>0</v>
      </c>
      <c r="AM2948" s="878" t="str">
        <f t="shared" ref="AM2948" si="11972">IFERROR((AK2948/AL2948),"-")</f>
        <v>-</v>
      </c>
      <c r="AN2948" s="2"/>
      <c r="AO2948" s="884">
        <v>4669.58</v>
      </c>
      <c r="AP2948" s="884">
        <f t="shared" ref="AP2948" si="11973">AO2948-AK2948</f>
        <v>4669.58</v>
      </c>
      <c r="AV2948" t="str">
        <f t="shared" si="11710"/>
        <v>Revegetação - Hidrossemeadura</v>
      </c>
      <c r="AW2948" s="4" t="str">
        <f t="shared" si="11701"/>
        <v xml:space="preserve">   Seg. 2.2-C10-Revestimento vegetal por hidrossemeadura</v>
      </c>
    </row>
    <row r="2949" spans="1:49" ht="15.6" customHeight="1" outlineLevel="2">
      <c r="A2949" s="8" t="str">
        <f t="shared" ref="A2949" si="11974">A2948</f>
        <v>N</v>
      </c>
      <c r="B2949" s="150"/>
      <c r="C2949" s="150"/>
      <c r="D2949" s="120" t="s">
        <v>3344</v>
      </c>
      <c r="E2949" s="893"/>
      <c r="F2949" s="895"/>
      <c r="G2949" s="528"/>
      <c r="H2949" s="549" t="s">
        <v>38</v>
      </c>
      <c r="I2949" s="711">
        <v>0</v>
      </c>
      <c r="J2949" s="897"/>
      <c r="K2949" s="528"/>
      <c r="L2949" s="549" t="s">
        <v>38</v>
      </c>
      <c r="M2949" s="711">
        <f t="shared" si="11850"/>
        <v>0</v>
      </c>
      <c r="N2949" s="897"/>
      <c r="O2949" s="528"/>
      <c r="P2949" s="548">
        <v>0</v>
      </c>
      <c r="Q2949" s="548">
        <v>0</v>
      </c>
      <c r="R2949" s="548">
        <v>0</v>
      </c>
      <c r="S2949" s="548">
        <v>0</v>
      </c>
      <c r="T2949" s="548">
        <v>0</v>
      </c>
      <c r="U2949" s="548">
        <v>0</v>
      </c>
      <c r="V2949" s="548"/>
      <c r="W2949" s="528"/>
      <c r="X2949" s="711">
        <f t="shared" si="11841"/>
        <v>0</v>
      </c>
      <c r="Y2949" s="897"/>
      <c r="Z2949" s="528"/>
      <c r="AA2949" s="899"/>
      <c r="AB2949" s="899"/>
      <c r="AC2949" s="899"/>
      <c r="AD2949" s="897"/>
      <c r="AE2949" s="2"/>
      <c r="AF2949" s="885"/>
      <c r="AG2949" s="885"/>
      <c r="AH2949" s="885"/>
      <c r="AI2949" s="885"/>
      <c r="AJ2949" s="885"/>
      <c r="AK2949" s="885"/>
      <c r="AL2949" s="885"/>
      <c r="AM2949" s="879"/>
      <c r="AN2949" s="2"/>
      <c r="AO2949" s="886"/>
      <c r="AP2949" s="886"/>
      <c r="AV2949" t="str">
        <f t="shared" si="11710"/>
        <v>Revegetação - Hidrossemeadura</v>
      </c>
      <c r="AW2949" s="4" t="str">
        <f t="shared" si="11701"/>
        <v xml:space="preserve">   Seg. 2.2-C10-Revestimento vegetal por hidrossemeadura</v>
      </c>
    </row>
    <row r="2950" spans="1:49" ht="15.6" customHeight="1" outlineLevel="2">
      <c r="A2950" s="8" t="str">
        <f t="shared" ref="A2950" si="11975">IF(SUM(P2950:V2951)&gt;0,"S","N")</f>
        <v>N</v>
      </c>
      <c r="B2950" s="150">
        <v>1070086</v>
      </c>
      <c r="C2950" s="150" t="s">
        <v>3346</v>
      </c>
      <c r="D2950" s="120" t="s">
        <v>3347</v>
      </c>
      <c r="E2950" s="892" t="s">
        <v>3348</v>
      </c>
      <c r="F2950" s="894" t="s">
        <v>3210</v>
      </c>
      <c r="G2950" s="528"/>
      <c r="H2950" s="546" t="s">
        <v>37</v>
      </c>
      <c r="I2950" s="711">
        <v>0</v>
      </c>
      <c r="J2950" s="896" t="str">
        <f t="shared" ref="J2950" si="11976">IFERROR((I2951/I2950),"-")</f>
        <v>-</v>
      </c>
      <c r="K2950" s="528"/>
      <c r="L2950" s="546" t="s">
        <v>37</v>
      </c>
      <c r="M2950" s="711">
        <f t="shared" si="11850"/>
        <v>0</v>
      </c>
      <c r="N2950" s="896" t="str">
        <f t="shared" ref="N2950" si="11977">IFERROR((M2951/M2950),"-")</f>
        <v>-</v>
      </c>
      <c r="O2950" s="528"/>
      <c r="P2950" s="547">
        <v>0</v>
      </c>
      <c r="Q2950" s="547">
        <v>0</v>
      </c>
      <c r="R2950" s="547">
        <v>0</v>
      </c>
      <c r="S2950" s="547">
        <v>0</v>
      </c>
      <c r="T2950" s="547">
        <v>0</v>
      </c>
      <c r="U2950" s="547">
        <v>0</v>
      </c>
      <c r="V2950" s="548">
        <v>0</v>
      </c>
      <c r="W2950" s="528"/>
      <c r="X2950" s="711">
        <f t="shared" si="11841"/>
        <v>0</v>
      </c>
      <c r="Y2950" s="896" t="str">
        <f t="shared" ref="Y2950" si="11978">IFERROR((X2951/X2950),"-")</f>
        <v>-</v>
      </c>
      <c r="Z2950" s="528"/>
      <c r="AA2950" s="898">
        <v>0</v>
      </c>
      <c r="AB2950" s="898">
        <v>0</v>
      </c>
      <c r="AC2950" s="952">
        <v>0</v>
      </c>
      <c r="AD2950" s="896" t="str">
        <f t="shared" ref="AD2950" si="11979">IFERROR((AC2950/AA2950),"-")</f>
        <v>-</v>
      </c>
      <c r="AE2950" s="2"/>
      <c r="AF2950" s="884">
        <v>15319.82</v>
      </c>
      <c r="AG2950" s="884">
        <v>0</v>
      </c>
      <c r="AH2950" s="884">
        <v>0</v>
      </c>
      <c r="AI2950" s="884"/>
      <c r="AJ2950" s="884"/>
      <c r="AK2950" s="884">
        <f t="shared" ref="AK2950" si="11980">AF2950+AG2950+AH2950+AI2950+AJ2950+AC2950</f>
        <v>15319.82</v>
      </c>
      <c r="AL2950" s="884">
        <v>8235.26</v>
      </c>
      <c r="AM2950" s="878">
        <f t="shared" ref="AM2950" si="11981">IFERROR((AK2950/AL2950),"-")</f>
        <v>1.8602715639821936</v>
      </c>
      <c r="AN2950" s="2"/>
      <c r="AO2950" s="884">
        <v>8235.26</v>
      </c>
      <c r="AP2950" s="884">
        <f t="shared" ref="AP2950" si="11982">AO2950-AK2950</f>
        <v>-7084.5599999999995</v>
      </c>
      <c r="AV2950" t="str">
        <f t="shared" si="11710"/>
        <v>Revegetação - Hidrossemeadura</v>
      </c>
      <c r="AW2950" s="4" t="str">
        <f t="shared" si="11701"/>
        <v xml:space="preserve">   Seg. 2.2-C11-Revestimento vegetal por hidrossemeadura</v>
      </c>
    </row>
    <row r="2951" spans="1:49" ht="15.6" customHeight="1" outlineLevel="2">
      <c r="A2951" s="8" t="str">
        <f t="shared" ref="A2951" si="11983">A2950</f>
        <v>N</v>
      </c>
      <c r="B2951" s="150"/>
      <c r="C2951" s="150"/>
      <c r="D2951" s="120" t="s">
        <v>3347</v>
      </c>
      <c r="E2951" s="893"/>
      <c r="F2951" s="895"/>
      <c r="G2951" s="528"/>
      <c r="H2951" s="549" t="s">
        <v>38</v>
      </c>
      <c r="I2951" s="711">
        <v>0</v>
      </c>
      <c r="J2951" s="897"/>
      <c r="K2951" s="528"/>
      <c r="L2951" s="549" t="s">
        <v>38</v>
      </c>
      <c r="M2951" s="711">
        <f t="shared" si="11850"/>
        <v>0</v>
      </c>
      <c r="N2951" s="897"/>
      <c r="O2951" s="528"/>
      <c r="P2951" s="548">
        <v>0</v>
      </c>
      <c r="Q2951" s="548">
        <v>0</v>
      </c>
      <c r="R2951" s="548">
        <v>0</v>
      </c>
      <c r="S2951" s="548">
        <v>0</v>
      </c>
      <c r="T2951" s="548">
        <v>0</v>
      </c>
      <c r="U2951" s="548">
        <v>0</v>
      </c>
      <c r="V2951" s="548"/>
      <c r="W2951" s="528"/>
      <c r="X2951" s="711">
        <f t="shared" si="11841"/>
        <v>0</v>
      </c>
      <c r="Y2951" s="897"/>
      <c r="Z2951" s="528"/>
      <c r="AA2951" s="899"/>
      <c r="AB2951" s="899"/>
      <c r="AC2951" s="953"/>
      <c r="AD2951" s="897"/>
      <c r="AE2951" s="2"/>
      <c r="AF2951" s="885"/>
      <c r="AG2951" s="885"/>
      <c r="AH2951" s="885"/>
      <c r="AI2951" s="885"/>
      <c r="AJ2951" s="885"/>
      <c r="AK2951" s="885"/>
      <c r="AL2951" s="885"/>
      <c r="AM2951" s="879"/>
      <c r="AN2951" s="2"/>
      <c r="AO2951" s="886"/>
      <c r="AP2951" s="886"/>
      <c r="AV2951" t="str">
        <f t="shared" si="11710"/>
        <v>Revegetação - Hidrossemeadura</v>
      </c>
      <c r="AW2951" s="4" t="str">
        <f t="shared" si="11701"/>
        <v xml:space="preserve">   Seg. 2.2-C11-Revestimento vegetal por hidrossemeadura</v>
      </c>
    </row>
    <row r="2952" spans="1:49" ht="15.6" customHeight="1" outlineLevel="2">
      <c r="A2952" s="8" t="str">
        <f t="shared" ref="A2952" si="11984">IF(SUM(P2952:V2953)&gt;0,"S","N")</f>
        <v>N</v>
      </c>
      <c r="B2952" s="150">
        <v>1070088</v>
      </c>
      <c r="C2952" s="150" t="s">
        <v>3349</v>
      </c>
      <c r="D2952" s="120" t="s">
        <v>3350</v>
      </c>
      <c r="E2952" s="892" t="s">
        <v>3351</v>
      </c>
      <c r="F2952" s="894" t="s">
        <v>3210</v>
      </c>
      <c r="G2952" s="528"/>
      <c r="H2952" s="546" t="s">
        <v>37</v>
      </c>
      <c r="I2952" s="711">
        <v>0</v>
      </c>
      <c r="J2952" s="896" t="str">
        <f t="shared" ref="J2952" si="11985">IFERROR((I2953/I2952),"-")</f>
        <v>-</v>
      </c>
      <c r="K2952" s="528"/>
      <c r="L2952" s="546" t="s">
        <v>37</v>
      </c>
      <c r="M2952" s="711">
        <f t="shared" si="11850"/>
        <v>0</v>
      </c>
      <c r="N2952" s="896" t="str">
        <f t="shared" ref="N2952" si="11986">IFERROR((M2953/M2952),"-")</f>
        <v>-</v>
      </c>
      <c r="O2952" s="528"/>
      <c r="P2952" s="547">
        <v>0</v>
      </c>
      <c r="Q2952" s="547">
        <v>0</v>
      </c>
      <c r="R2952" s="547">
        <v>0</v>
      </c>
      <c r="S2952" s="547">
        <v>0</v>
      </c>
      <c r="T2952" s="547">
        <v>0</v>
      </c>
      <c r="U2952" s="547">
        <v>0</v>
      </c>
      <c r="V2952" s="548">
        <v>0</v>
      </c>
      <c r="W2952" s="528"/>
      <c r="X2952" s="711">
        <f t="shared" si="11841"/>
        <v>0</v>
      </c>
      <c r="Y2952" s="896" t="str">
        <f t="shared" ref="Y2952" si="11987">IFERROR((X2953/X2952),"-")</f>
        <v>-</v>
      </c>
      <c r="Z2952" s="528"/>
      <c r="AA2952" s="898">
        <v>0</v>
      </c>
      <c r="AB2952" s="898">
        <v>0</v>
      </c>
      <c r="AC2952" s="898">
        <v>0</v>
      </c>
      <c r="AD2952" s="896" t="str">
        <f t="shared" ref="AD2952" si="11988">IFERROR((AC2952/AA2952),"-")</f>
        <v>-</v>
      </c>
      <c r="AE2952" s="2"/>
      <c r="AF2952" s="884">
        <v>0</v>
      </c>
      <c r="AG2952" s="884">
        <v>0</v>
      </c>
      <c r="AH2952" s="884">
        <v>0</v>
      </c>
      <c r="AI2952" s="884"/>
      <c r="AJ2952" s="884"/>
      <c r="AK2952" s="884">
        <f t="shared" ref="AK2952:AK2956" si="11989">AF2952+AG2952+AH2952+AI2952+AJ2952+AC2952</f>
        <v>0</v>
      </c>
      <c r="AL2952" s="884">
        <v>0</v>
      </c>
      <c r="AM2952" s="878" t="str">
        <f t="shared" ref="AM2952" si="11990">IFERROR((AK2952/AL2952),"-")</f>
        <v>-</v>
      </c>
      <c r="AN2952" s="2"/>
      <c r="AO2952" s="884">
        <v>1680.72</v>
      </c>
      <c r="AP2952" s="884">
        <f t="shared" ref="AP2952:AP2956" si="11991">AO2952-AK2952</f>
        <v>1680.72</v>
      </c>
      <c r="AV2952" t="str">
        <f t="shared" si="11710"/>
        <v>Revegetação - Hidrossemeadura</v>
      </c>
      <c r="AW2952" s="4" t="str">
        <f t="shared" si="11701"/>
        <v xml:space="preserve">   Seg. 2.2-A04-Acesso - Revestimento vegetal por hidrossemeadura</v>
      </c>
    </row>
    <row r="2953" spans="1:49" ht="15.6" customHeight="1" outlineLevel="2">
      <c r="A2953" s="8" t="str">
        <f t="shared" ref="A2953:A2957" si="11992">A2952</f>
        <v>N</v>
      </c>
      <c r="B2953" s="150"/>
      <c r="C2953" s="150"/>
      <c r="D2953" s="120" t="s">
        <v>3350</v>
      </c>
      <c r="E2953" s="893"/>
      <c r="F2953" s="895"/>
      <c r="G2953" s="528"/>
      <c r="H2953" s="549" t="s">
        <v>38</v>
      </c>
      <c r="I2953" s="711">
        <v>0</v>
      </c>
      <c r="J2953" s="897"/>
      <c r="K2953" s="528"/>
      <c r="L2953" s="549" t="s">
        <v>38</v>
      </c>
      <c r="M2953" s="711">
        <f t="shared" si="11850"/>
        <v>0</v>
      </c>
      <c r="N2953" s="897"/>
      <c r="O2953" s="528"/>
      <c r="P2953" s="548">
        <v>0</v>
      </c>
      <c r="Q2953" s="548">
        <v>0</v>
      </c>
      <c r="R2953" s="548">
        <v>0</v>
      </c>
      <c r="S2953" s="548">
        <v>0</v>
      </c>
      <c r="T2953" s="548">
        <v>0</v>
      </c>
      <c r="U2953" s="548">
        <v>0</v>
      </c>
      <c r="V2953" s="548"/>
      <c r="W2953" s="528"/>
      <c r="X2953" s="711">
        <f t="shared" si="11841"/>
        <v>0</v>
      </c>
      <c r="Y2953" s="897"/>
      <c r="Z2953" s="528"/>
      <c r="AA2953" s="899"/>
      <c r="AB2953" s="899"/>
      <c r="AC2953" s="899"/>
      <c r="AD2953" s="897"/>
      <c r="AE2953" s="2"/>
      <c r="AF2953" s="885"/>
      <c r="AG2953" s="885"/>
      <c r="AH2953" s="885"/>
      <c r="AI2953" s="885"/>
      <c r="AJ2953" s="885"/>
      <c r="AK2953" s="885"/>
      <c r="AL2953" s="885"/>
      <c r="AM2953" s="879"/>
      <c r="AN2953" s="2"/>
      <c r="AO2953" s="886"/>
      <c r="AP2953" s="886"/>
      <c r="AV2953" t="str">
        <f t="shared" si="11710"/>
        <v>Revegetação - Hidrossemeadura</v>
      </c>
      <c r="AW2953" s="4" t="str">
        <f t="shared" ref="AW2953:AW3016" si="11993">IF(E2953&lt;&gt;"",E2953,AW2952)</f>
        <v xml:space="preserve">   Seg. 2.2-A04-Acesso - Revestimento vegetal por hidrossemeadura</v>
      </c>
    </row>
    <row r="2954" spans="1:49" ht="15.6" customHeight="1" outlineLevel="2">
      <c r="A2954" s="8" t="str">
        <f t="shared" ref="A2954" si="11994">IF(SUM(P2954:V2955)&gt;0,"S","N")</f>
        <v>N</v>
      </c>
      <c r="B2954" s="150"/>
      <c r="C2954" s="150"/>
      <c r="D2954" s="120"/>
      <c r="E2954" s="892" t="s">
        <v>3352</v>
      </c>
      <c r="F2954" s="894" t="s">
        <v>3210</v>
      </c>
      <c r="G2954" s="528"/>
      <c r="H2954" s="546" t="s">
        <v>37</v>
      </c>
      <c r="I2954" s="711">
        <v>0</v>
      </c>
      <c r="J2954" s="896" t="str">
        <f t="shared" ref="J2954" si="11995">IFERROR((I2955/I2954),"-")</f>
        <v>-</v>
      </c>
      <c r="K2954" s="528"/>
      <c r="L2954" s="546" t="s">
        <v>37</v>
      </c>
      <c r="M2954" s="711">
        <f t="shared" si="11850"/>
        <v>0</v>
      </c>
      <c r="N2954" s="896" t="str">
        <f t="shared" ref="N2954" si="11996">IFERROR((M2955/M2954),"-")</f>
        <v>-</v>
      </c>
      <c r="O2954" s="528"/>
      <c r="P2954" s="547"/>
      <c r="Q2954" s="547"/>
      <c r="R2954" s="547"/>
      <c r="S2954" s="547"/>
      <c r="T2954" s="547"/>
      <c r="U2954" s="547"/>
      <c r="V2954" s="548"/>
      <c r="W2954" s="528"/>
      <c r="X2954" s="711">
        <f t="shared" si="11841"/>
        <v>0</v>
      </c>
      <c r="Y2954" s="896" t="str">
        <f t="shared" ref="Y2954" si="11997">IFERROR((X2955/X2954),"-")</f>
        <v>-</v>
      </c>
      <c r="Z2954" s="528"/>
      <c r="AA2954" s="898">
        <v>0</v>
      </c>
      <c r="AB2954" s="898">
        <v>0</v>
      </c>
      <c r="AC2954" s="898">
        <v>0</v>
      </c>
      <c r="AD2954" s="896" t="str">
        <f t="shared" ref="AD2954" si="11998">IFERROR((AC2954/AA2954),"-")</f>
        <v>-</v>
      </c>
      <c r="AE2954" s="2"/>
      <c r="AF2954" s="884">
        <v>0</v>
      </c>
      <c r="AG2954" s="884">
        <v>0</v>
      </c>
      <c r="AH2954" s="884">
        <v>0</v>
      </c>
      <c r="AI2954" s="884">
        <v>13893.51</v>
      </c>
      <c r="AJ2954" s="884"/>
      <c r="AK2954" s="884">
        <f t="shared" si="11989"/>
        <v>13893.51</v>
      </c>
      <c r="AL2954" s="884">
        <v>0</v>
      </c>
      <c r="AM2954" s="878" t="str">
        <f t="shared" ref="AM2954" si="11999">IFERROR((AK2954/AL2954),"-")</f>
        <v>-</v>
      </c>
      <c r="AN2954" s="2"/>
      <c r="AO2954" s="884">
        <v>0</v>
      </c>
      <c r="AP2954" s="884">
        <f t="shared" si="11991"/>
        <v>-13893.51</v>
      </c>
      <c r="AV2954" t="str">
        <f t="shared" ref="AV2954:AV3017" si="12000">IF(AX2954="Y",LEFT(E2954,20),IF(AX2954="x",E2954,AV2953))</f>
        <v>Revegetação - Hidrossemeadura</v>
      </c>
      <c r="AW2954" s="4" t="str">
        <f t="shared" si="11993"/>
        <v>Heliponto</v>
      </c>
    </row>
    <row r="2955" spans="1:49" ht="15.6" customHeight="1" outlineLevel="2">
      <c r="A2955" s="8" t="str">
        <f t="shared" si="11992"/>
        <v>N</v>
      </c>
      <c r="B2955" s="150"/>
      <c r="C2955" s="150"/>
      <c r="D2955" s="120"/>
      <c r="E2955" s="893"/>
      <c r="F2955" s="895"/>
      <c r="G2955" s="528"/>
      <c r="H2955" s="549" t="s">
        <v>38</v>
      </c>
      <c r="I2955" s="711">
        <v>0</v>
      </c>
      <c r="J2955" s="897"/>
      <c r="K2955" s="528"/>
      <c r="L2955" s="549" t="s">
        <v>38</v>
      </c>
      <c r="M2955" s="711">
        <f t="shared" si="11850"/>
        <v>0</v>
      </c>
      <c r="N2955" s="897"/>
      <c r="O2955" s="528"/>
      <c r="P2955" s="548">
        <v>0</v>
      </c>
      <c r="Q2955" s="548">
        <v>0</v>
      </c>
      <c r="R2955" s="548">
        <v>0</v>
      </c>
      <c r="S2955" s="548">
        <v>0</v>
      </c>
      <c r="T2955" s="548">
        <v>0</v>
      </c>
      <c r="U2955" s="548">
        <v>0</v>
      </c>
      <c r="V2955" s="548"/>
      <c r="W2955" s="528"/>
      <c r="X2955" s="711">
        <f t="shared" si="11841"/>
        <v>0</v>
      </c>
      <c r="Y2955" s="897"/>
      <c r="Z2955" s="528"/>
      <c r="AA2955" s="899"/>
      <c r="AB2955" s="899"/>
      <c r="AC2955" s="899"/>
      <c r="AD2955" s="897"/>
      <c r="AE2955" s="2"/>
      <c r="AF2955" s="885"/>
      <c r="AG2955" s="885"/>
      <c r="AH2955" s="885"/>
      <c r="AI2955" s="885"/>
      <c r="AJ2955" s="885"/>
      <c r="AK2955" s="885"/>
      <c r="AL2955" s="885"/>
      <c r="AM2955" s="879"/>
      <c r="AN2955" s="2"/>
      <c r="AO2955" s="886"/>
      <c r="AP2955" s="886"/>
      <c r="AV2955" t="str">
        <f t="shared" si="12000"/>
        <v>Revegetação - Hidrossemeadura</v>
      </c>
      <c r="AW2955" s="4" t="str">
        <f t="shared" si="11993"/>
        <v>Heliponto</v>
      </c>
    </row>
    <row r="2956" spans="1:49" ht="15.6" customHeight="1" outlineLevel="2">
      <c r="A2956" s="8" t="str">
        <f t="shared" ref="A2956" si="12001">IF(SUM(P2956:V2957)&gt;0,"S","N")</f>
        <v>N</v>
      </c>
      <c r="B2956" s="150"/>
      <c r="C2956" s="150"/>
      <c r="D2956" s="120" t="s">
        <v>3353</v>
      </c>
      <c r="E2956" s="892" t="s">
        <v>3354</v>
      </c>
      <c r="F2956" s="894" t="s">
        <v>3210</v>
      </c>
      <c r="G2956" s="528"/>
      <c r="H2956" s="546" t="s">
        <v>37</v>
      </c>
      <c r="I2956" s="711">
        <v>0</v>
      </c>
      <c r="J2956" s="896" t="str">
        <f t="shared" ref="J2956" si="12002">IFERROR((I2957/I2956),"-")</f>
        <v>-</v>
      </c>
      <c r="K2956" s="528"/>
      <c r="L2956" s="546" t="s">
        <v>37</v>
      </c>
      <c r="M2956" s="711">
        <f t="shared" si="11850"/>
        <v>0</v>
      </c>
      <c r="N2956" s="896" t="str">
        <f t="shared" ref="N2956" si="12003">IFERROR((M2957/M2956),"-")</f>
        <v>-</v>
      </c>
      <c r="O2956" s="528"/>
      <c r="P2956" s="547"/>
      <c r="Q2956" s="547"/>
      <c r="R2956" s="547"/>
      <c r="S2956" s="547"/>
      <c r="T2956" s="547"/>
      <c r="U2956" s="547"/>
      <c r="V2956" s="548"/>
      <c r="W2956" s="528"/>
      <c r="X2956" s="711">
        <f t="shared" si="11841"/>
        <v>0</v>
      </c>
      <c r="Y2956" s="896" t="str">
        <f t="shared" ref="Y2956" si="12004">IFERROR((X2957/X2956),"-")</f>
        <v>-</v>
      </c>
      <c r="Z2956" s="528"/>
      <c r="AA2956" s="898">
        <v>0</v>
      </c>
      <c r="AB2956" s="898">
        <v>0</v>
      </c>
      <c r="AC2956" s="898">
        <v>0</v>
      </c>
      <c r="AD2956" s="896" t="str">
        <f t="shared" ref="AD2956" si="12005">IFERROR((AC2956/AA2956),"-")</f>
        <v>-</v>
      </c>
      <c r="AE2956" s="2"/>
      <c r="AF2956" s="884">
        <v>16597.7</v>
      </c>
      <c r="AG2956" s="884">
        <v>0</v>
      </c>
      <c r="AH2956" s="884">
        <v>0</v>
      </c>
      <c r="AI2956" s="884"/>
      <c r="AJ2956" s="884"/>
      <c r="AK2956" s="884">
        <f t="shared" si="11989"/>
        <v>16597.7</v>
      </c>
      <c r="AL2956" s="884">
        <v>0</v>
      </c>
      <c r="AM2956" s="878" t="str">
        <f t="shared" ref="AM2956" si="12006">IFERROR((AK2956/AL2956),"-")</f>
        <v>-</v>
      </c>
      <c r="AN2956" s="2"/>
      <c r="AO2956" s="884">
        <v>0</v>
      </c>
      <c r="AP2956" s="884">
        <f t="shared" si="11991"/>
        <v>-16597.7</v>
      </c>
      <c r="AV2956" t="str">
        <f t="shared" si="12000"/>
        <v>Revegetação - Hidrossemeadura</v>
      </c>
      <c r="AW2956" s="4" t="str">
        <f t="shared" si="11993"/>
        <v xml:space="preserve">   Seg. 2.2-A06-Revestimento vegetal por hidrossemeadura</v>
      </c>
    </row>
    <row r="2957" spans="1:49" ht="15.6" customHeight="1" outlineLevel="2">
      <c r="A2957" s="8" t="str">
        <f t="shared" si="11992"/>
        <v>N</v>
      </c>
      <c r="B2957" s="150"/>
      <c r="C2957" s="150"/>
      <c r="D2957" s="120" t="s">
        <v>3353</v>
      </c>
      <c r="E2957" s="893"/>
      <c r="F2957" s="895"/>
      <c r="G2957" s="528"/>
      <c r="H2957" s="549" t="s">
        <v>38</v>
      </c>
      <c r="I2957" s="711">
        <v>0</v>
      </c>
      <c r="J2957" s="897"/>
      <c r="K2957" s="528"/>
      <c r="L2957" s="549" t="s">
        <v>38</v>
      </c>
      <c r="M2957" s="711">
        <f t="shared" si="11850"/>
        <v>0</v>
      </c>
      <c r="N2957" s="897"/>
      <c r="O2957" s="528"/>
      <c r="P2957" s="548">
        <v>0</v>
      </c>
      <c r="Q2957" s="548">
        <v>0</v>
      </c>
      <c r="R2957" s="548">
        <v>0</v>
      </c>
      <c r="S2957" s="548">
        <v>0</v>
      </c>
      <c r="T2957" s="548">
        <v>0</v>
      </c>
      <c r="U2957" s="548">
        <v>0</v>
      </c>
      <c r="V2957" s="548"/>
      <c r="W2957" s="528"/>
      <c r="X2957" s="711">
        <f t="shared" si="11841"/>
        <v>0</v>
      </c>
      <c r="Y2957" s="897"/>
      <c r="Z2957" s="528"/>
      <c r="AA2957" s="899"/>
      <c r="AB2957" s="899"/>
      <c r="AC2957" s="899"/>
      <c r="AD2957" s="897"/>
      <c r="AE2957" s="2"/>
      <c r="AF2957" s="885"/>
      <c r="AG2957" s="885"/>
      <c r="AH2957" s="885"/>
      <c r="AI2957" s="885"/>
      <c r="AJ2957" s="885"/>
      <c r="AK2957" s="885"/>
      <c r="AL2957" s="885"/>
      <c r="AM2957" s="879"/>
      <c r="AN2957" s="2"/>
      <c r="AO2957" s="886"/>
      <c r="AP2957" s="886"/>
      <c r="AV2957" t="str">
        <f t="shared" si="12000"/>
        <v>Revegetação - Hidrossemeadura</v>
      </c>
      <c r="AW2957" s="4" t="str">
        <f t="shared" si="11993"/>
        <v xml:space="preserve">   Seg. 2.2-A06-Revestimento vegetal por hidrossemeadura</v>
      </c>
    </row>
    <row r="2958" spans="1:49" ht="15.6" customHeight="1" outlineLevel="2">
      <c r="A2958" s="209">
        <v>0</v>
      </c>
      <c r="B2958" s="150"/>
      <c r="C2958" s="150"/>
      <c r="D2958" s="117"/>
      <c r="E2958" s="535"/>
      <c r="F2958" s="536"/>
      <c r="G2958" s="537"/>
      <c r="H2958" s="714"/>
      <c r="I2958" s="555"/>
      <c r="J2958" s="714"/>
      <c r="K2958" s="537"/>
      <c r="L2958" s="714"/>
      <c r="M2958" s="555"/>
      <c r="N2958" s="714"/>
      <c r="O2958" s="714"/>
      <c r="P2958" s="714"/>
      <c r="Q2958" s="714"/>
      <c r="R2958" s="714"/>
      <c r="S2958" s="714"/>
      <c r="T2958" s="714"/>
      <c r="U2958" s="714"/>
      <c r="V2958" s="714"/>
      <c r="W2958" s="714"/>
      <c r="X2958" s="540"/>
      <c r="Y2958" s="537"/>
      <c r="Z2958" s="537"/>
      <c r="AA2958" s="249"/>
      <c r="AB2958" s="249"/>
      <c r="AC2958" s="249"/>
      <c r="AD2958" s="537"/>
      <c r="AE2958" s="3"/>
      <c r="AF2958" s="35"/>
      <c r="AG2958" s="35"/>
      <c r="AH2958" s="35"/>
      <c r="AI2958" s="35"/>
      <c r="AJ2958" s="35"/>
      <c r="AK2958" s="35"/>
      <c r="AL2958" s="35"/>
      <c r="AM2958" s="3"/>
      <c r="AN2958" s="3"/>
      <c r="AO2958" s="35"/>
      <c r="AP2958" s="35"/>
      <c r="AV2958" t="str">
        <f t="shared" si="12000"/>
        <v>Revegetação - Hidrossemeadura</v>
      </c>
      <c r="AW2958" s="4" t="str">
        <f t="shared" si="11993"/>
        <v xml:space="preserve">   Seg. 2.2-A06-Revestimento vegetal por hidrossemeadura</v>
      </c>
    </row>
    <row r="2959" spans="1:49" ht="15.6" customHeight="1" outlineLevel="2">
      <c r="A2959" s="209">
        <v>0</v>
      </c>
      <c r="B2959" s="150"/>
      <c r="C2959" s="150"/>
      <c r="D2959" s="117"/>
      <c r="E2959" s="535"/>
      <c r="F2959" s="541"/>
      <c r="G2959" s="537"/>
      <c r="H2959" s="537"/>
      <c r="I2959" s="249"/>
      <c r="J2959" s="537"/>
      <c r="K2959" s="537"/>
      <c r="L2959" s="537"/>
      <c r="M2959" s="249"/>
      <c r="N2959" s="537"/>
      <c r="O2959" s="537"/>
      <c r="P2959" s="539"/>
      <c r="Q2959" s="539"/>
      <c r="R2959" s="539"/>
      <c r="S2959" s="539"/>
      <c r="T2959" s="539"/>
      <c r="U2959" s="539"/>
      <c r="V2959" s="539"/>
      <c r="W2959" s="537"/>
      <c r="X2959" s="540"/>
      <c r="Y2959" s="537"/>
      <c r="Z2959" s="537"/>
      <c r="AA2959" s="249"/>
      <c r="AB2959" s="249"/>
      <c r="AC2959" s="249"/>
      <c r="AD2959" s="537"/>
      <c r="AE2959" s="3"/>
      <c r="AF2959" s="35"/>
      <c r="AG2959" s="35"/>
      <c r="AH2959" s="35"/>
      <c r="AI2959" s="35"/>
      <c r="AJ2959" s="35"/>
      <c r="AK2959" s="35"/>
      <c r="AL2959" s="35"/>
      <c r="AM2959" s="3"/>
      <c r="AN2959" s="3"/>
      <c r="AO2959" s="35"/>
      <c r="AP2959" s="35"/>
      <c r="AV2959" t="str">
        <f t="shared" si="12000"/>
        <v>Revegetação - Hidrossemeadura</v>
      </c>
      <c r="AW2959" s="4" t="str">
        <f t="shared" si="11993"/>
        <v xml:space="preserve">   Seg. 2.2-A06-Revestimento vegetal por hidrossemeadura</v>
      </c>
    </row>
    <row r="2960" spans="1:49" ht="15.6" customHeight="1" outlineLevel="2">
      <c r="A2960" s="209">
        <v>0</v>
      </c>
      <c r="B2960" s="150"/>
      <c r="C2960" s="150"/>
      <c r="D2960" s="122"/>
      <c r="E2960" s="913" t="s">
        <v>41</v>
      </c>
      <c r="F2960" s="894" t="s">
        <v>3210</v>
      </c>
      <c r="G2960" s="528"/>
      <c r="H2960" s="542" t="s">
        <v>37</v>
      </c>
      <c r="I2960" s="543">
        <f>SUMIF($L2962:$L3059,$L2960,I2962:I3059)</f>
        <v>26000</v>
      </c>
      <c r="J2960" s="860">
        <f>IFERROR((I2961/I2960),"-")</f>
        <v>0.22692307692307692</v>
      </c>
      <c r="K2960" s="528"/>
      <c r="L2960" s="542" t="s">
        <v>37</v>
      </c>
      <c r="M2960" s="543">
        <f>SUMIF($L2962:$L3059,$L2960,M2962:M3059)</f>
        <v>4550</v>
      </c>
      <c r="N2960" s="860">
        <f>IFERROR((M2961/M2960),"-")</f>
        <v>1.3406593406593406</v>
      </c>
      <c r="O2960" s="528"/>
      <c r="P2960" s="543">
        <f t="shared" ref="P2960:V2960" si="12007">SUMIF($L2962:$L3059,$L2960,P2962:P3059)</f>
        <v>4550</v>
      </c>
      <c r="Q2960" s="543">
        <f t="shared" si="12007"/>
        <v>4550</v>
      </c>
      <c r="R2960" s="543">
        <f t="shared" si="12007"/>
        <v>4550</v>
      </c>
      <c r="S2960" s="543">
        <f t="shared" si="12007"/>
        <v>4550</v>
      </c>
      <c r="T2960" s="543">
        <f t="shared" si="12007"/>
        <v>3900</v>
      </c>
      <c r="U2960" s="543">
        <f t="shared" si="12007"/>
        <v>3900</v>
      </c>
      <c r="V2960" s="543">
        <f t="shared" si="12007"/>
        <v>0</v>
      </c>
      <c r="W2960" s="528"/>
      <c r="X2960" s="543">
        <f t="shared" ref="X2960:X3023" si="12008">SUMIFS(P2960:V2960,$P$8:$V$8,"&gt;="&amp;$P$8,$P$8:$V$8,"&lt;="&amp;$N$8)</f>
        <v>9100</v>
      </c>
      <c r="Y2960" s="860">
        <f>IFERROR((X2961/X2960),"-")</f>
        <v>1.3406593406593406</v>
      </c>
      <c r="Z2960" s="528"/>
      <c r="AA2960" s="814">
        <f>SUM(AA2962:AA3059)</f>
        <v>109667.72</v>
      </c>
      <c r="AB2960" s="814">
        <f>SUM(AB2962:AB3059)</f>
        <v>80040.60000000002</v>
      </c>
      <c r="AC2960" s="814">
        <f>SUM(AC2962:AC3059)</f>
        <v>35400</v>
      </c>
      <c r="AD2960" s="911">
        <f>IFERROR((AC2960/AA2960),"-")</f>
        <v>0.32279325219855032</v>
      </c>
      <c r="AE2960" s="2"/>
      <c r="AF2960" s="888">
        <f>SUM(AF2962:AF3061)</f>
        <v>242121.03</v>
      </c>
      <c r="AG2960" s="888">
        <f t="shared" ref="AG2960:AL2960" si="12009">SUM(AG2962:AG3061)</f>
        <v>76327.31</v>
      </c>
      <c r="AH2960" s="888">
        <f t="shared" si="12009"/>
        <v>9100</v>
      </c>
      <c r="AI2960" s="888">
        <f t="shared" si="12009"/>
        <v>74872.3</v>
      </c>
      <c r="AJ2960" s="888">
        <f t="shared" si="12009"/>
        <v>4435.24</v>
      </c>
      <c r="AK2960" s="888">
        <f t="shared" si="12009"/>
        <v>442255.88</v>
      </c>
      <c r="AL2960" s="888">
        <f t="shared" si="12009"/>
        <v>399569.29</v>
      </c>
      <c r="AM2960" s="743">
        <f>IFERROR((AK2960/AL2960),"-")</f>
        <v>1.1068315084975626</v>
      </c>
      <c r="AN2960" s="2"/>
      <c r="AO2960" s="888">
        <f t="shared" ref="AO2960:AP2960" si="12010">SUM(AO2962:AO3061)</f>
        <v>609117.20000000019</v>
      </c>
      <c r="AP2960" s="888">
        <f t="shared" si="12010"/>
        <v>166861.32000000004</v>
      </c>
      <c r="AV2960" t="str">
        <f t="shared" si="12000"/>
        <v>Revegetação - Hidrossemeadura</v>
      </c>
      <c r="AW2960" s="4" t="str">
        <f t="shared" si="11993"/>
        <v>Pacote 04 - Segmento 2.3 - Km 116+517 a 131+241</v>
      </c>
    </row>
    <row r="2961" spans="1:49" ht="15.6" customHeight="1" outlineLevel="2">
      <c r="A2961" s="209">
        <v>0</v>
      </c>
      <c r="B2961" s="150"/>
      <c r="C2961" s="150"/>
      <c r="D2961" s="123"/>
      <c r="E2961" s="913"/>
      <c r="F2961" s="895"/>
      <c r="G2961" s="528"/>
      <c r="H2961" s="544" t="s">
        <v>38</v>
      </c>
      <c r="I2961" s="543">
        <f>SUMIF($L2962:$L3059,$L2961,I2962:I3059)</f>
        <v>5900</v>
      </c>
      <c r="J2961" s="861"/>
      <c r="K2961" s="528"/>
      <c r="L2961" s="544" t="s">
        <v>38</v>
      </c>
      <c r="M2961" s="543">
        <f>SUMIF($L2962:$L3059,$L2961,M2962:M3059)</f>
        <v>6100</v>
      </c>
      <c r="N2961" s="861"/>
      <c r="O2961" s="528"/>
      <c r="P2961" s="543">
        <f t="shared" ref="P2961:V2961" si="12011">SUMIF($L2962:$L3059,$L2961,P2962:P3059)</f>
        <v>6100</v>
      </c>
      <c r="Q2961" s="543">
        <f t="shared" si="12011"/>
        <v>6100</v>
      </c>
      <c r="R2961" s="543">
        <f t="shared" si="12011"/>
        <v>0</v>
      </c>
      <c r="S2961" s="543">
        <f t="shared" si="12011"/>
        <v>0</v>
      </c>
      <c r="T2961" s="543">
        <f t="shared" si="12011"/>
        <v>0</v>
      </c>
      <c r="U2961" s="543">
        <f t="shared" si="12011"/>
        <v>0</v>
      </c>
      <c r="V2961" s="543">
        <f t="shared" si="12011"/>
        <v>0</v>
      </c>
      <c r="W2961" s="528"/>
      <c r="X2961" s="543">
        <f t="shared" si="12008"/>
        <v>12200</v>
      </c>
      <c r="Y2961" s="861"/>
      <c r="Z2961" s="528"/>
      <c r="AA2961" s="815"/>
      <c r="AB2961" s="815"/>
      <c r="AC2961" s="815"/>
      <c r="AD2961" s="912"/>
      <c r="AE2961" s="2"/>
      <c r="AF2961" s="889"/>
      <c r="AG2961" s="889"/>
      <c r="AH2961" s="889"/>
      <c r="AI2961" s="889"/>
      <c r="AJ2961" s="889"/>
      <c r="AK2961" s="889"/>
      <c r="AL2961" s="889"/>
      <c r="AM2961" s="744"/>
      <c r="AN2961" s="2"/>
      <c r="AO2961" s="889"/>
      <c r="AP2961" s="889"/>
      <c r="AV2961" t="str">
        <f t="shared" si="12000"/>
        <v>Revegetação - Hidrossemeadura</v>
      </c>
      <c r="AW2961" s="4" t="str">
        <f t="shared" si="11993"/>
        <v>Pacote 04 - Segmento 2.3 - Km 116+517 a 131+241</v>
      </c>
    </row>
    <row r="2962" spans="1:49" ht="15.6" customHeight="1" outlineLevel="2">
      <c r="A2962" s="8" t="str">
        <f t="shared" ref="A2962" si="12012">IF(SUM(P2962:V2963)&gt;0,"S","N")</f>
        <v>N</v>
      </c>
      <c r="B2962" s="150">
        <v>1066509</v>
      </c>
      <c r="C2962" s="150" t="s">
        <v>3355</v>
      </c>
      <c r="D2962" s="120" t="s">
        <v>3356</v>
      </c>
      <c r="E2962" s="892" t="s">
        <v>3357</v>
      </c>
      <c r="F2962" s="894" t="s">
        <v>3210</v>
      </c>
      <c r="G2962" s="528"/>
      <c r="H2962" s="546" t="s">
        <v>37</v>
      </c>
      <c r="I2962" s="711">
        <v>0</v>
      </c>
      <c r="J2962" s="896" t="str">
        <f t="shared" ref="J2962" si="12013">IFERROR((I2963/I2962),"-")</f>
        <v>-</v>
      </c>
      <c r="K2962" s="528"/>
      <c r="L2962" s="546" t="s">
        <v>37</v>
      </c>
      <c r="M2962" s="711">
        <f t="shared" ref="M2962:M3025" si="12014">_xlfn.XLOOKUP($N$8,$P$8:$V$8,$P2962:$V2962)</f>
        <v>0</v>
      </c>
      <c r="N2962" s="896" t="str">
        <f t="shared" ref="N2962" si="12015">IFERROR((M2963/M2962),"-")</f>
        <v>-</v>
      </c>
      <c r="O2962" s="528"/>
      <c r="P2962" s="547">
        <v>0</v>
      </c>
      <c r="Q2962" s="547">
        <v>0</v>
      </c>
      <c r="R2962" s="547">
        <v>0</v>
      </c>
      <c r="S2962" s="547">
        <v>0</v>
      </c>
      <c r="T2962" s="547">
        <v>0</v>
      </c>
      <c r="U2962" s="547">
        <v>0</v>
      </c>
      <c r="V2962" s="548">
        <v>0</v>
      </c>
      <c r="W2962" s="528"/>
      <c r="X2962" s="711">
        <f t="shared" si="12008"/>
        <v>0</v>
      </c>
      <c r="Y2962" s="896" t="str">
        <f t="shared" ref="Y2962" si="12016">IFERROR((X2963/X2962),"-")</f>
        <v>-</v>
      </c>
      <c r="Z2962" s="528"/>
      <c r="AA2962" s="898">
        <v>0</v>
      </c>
      <c r="AB2962" s="898">
        <v>0</v>
      </c>
      <c r="AC2962" s="898">
        <v>0</v>
      </c>
      <c r="AD2962" s="896" t="str">
        <f>IFERROR((AC2962/AA2962),"-")</f>
        <v>-</v>
      </c>
      <c r="AE2962" s="2"/>
      <c r="AF2962" s="884">
        <v>11937.15</v>
      </c>
      <c r="AG2962" s="884">
        <v>0</v>
      </c>
      <c r="AH2962" s="884">
        <v>0</v>
      </c>
      <c r="AI2962" s="884"/>
      <c r="AJ2962" s="884"/>
      <c r="AK2962" s="884">
        <f t="shared" ref="AK2962" si="12017">AF2962+AG2962+AH2962+AI2962+AJ2962+AC2962</f>
        <v>11937.15</v>
      </c>
      <c r="AL2962" s="884">
        <v>1071.99</v>
      </c>
      <c r="AM2962" s="878">
        <f t="shared" ref="AM2962" si="12018">IFERROR((AK2962/AL2962),"-")</f>
        <v>11.135504995382419</v>
      </c>
      <c r="AN2962" s="2"/>
      <c r="AO2962" s="884">
        <v>1071.99</v>
      </c>
      <c r="AP2962" s="884">
        <f t="shared" ref="AP2962" si="12019">AO2962-AK2962</f>
        <v>-10865.16</v>
      </c>
      <c r="AV2962" t="str">
        <f t="shared" si="12000"/>
        <v>Revegetação - Hidrossemeadura</v>
      </c>
      <c r="AW2962" s="4" t="str">
        <f t="shared" si="11993"/>
        <v xml:space="preserve">   Seg. 2.3-C01-Revestimento vegetal por hidrossemeadura</v>
      </c>
    </row>
    <row r="2963" spans="1:49" ht="15.6" customHeight="1" outlineLevel="2">
      <c r="A2963" s="8" t="str">
        <f t="shared" ref="A2963" si="12020">A2962</f>
        <v>N</v>
      </c>
      <c r="B2963" s="150">
        <v>1066509</v>
      </c>
      <c r="C2963" s="150" t="s">
        <v>3355</v>
      </c>
      <c r="D2963" s="120" t="s">
        <v>3356</v>
      </c>
      <c r="E2963" s="893"/>
      <c r="F2963" s="895"/>
      <c r="G2963" s="528"/>
      <c r="H2963" s="549" t="s">
        <v>38</v>
      </c>
      <c r="I2963" s="711">
        <v>0</v>
      </c>
      <c r="J2963" s="897"/>
      <c r="K2963" s="528"/>
      <c r="L2963" s="549" t="s">
        <v>38</v>
      </c>
      <c r="M2963" s="711">
        <f t="shared" si="12014"/>
        <v>0</v>
      </c>
      <c r="N2963" s="897"/>
      <c r="O2963" s="528"/>
      <c r="P2963" s="548">
        <v>0</v>
      </c>
      <c r="Q2963" s="548">
        <v>0</v>
      </c>
      <c r="R2963" s="548">
        <v>0</v>
      </c>
      <c r="S2963" s="548">
        <v>0</v>
      </c>
      <c r="T2963" s="548">
        <v>0</v>
      </c>
      <c r="U2963" s="548">
        <v>0</v>
      </c>
      <c r="V2963" s="548"/>
      <c r="W2963" s="528"/>
      <c r="X2963" s="711">
        <f t="shared" si="12008"/>
        <v>0</v>
      </c>
      <c r="Y2963" s="897"/>
      <c r="Z2963" s="528"/>
      <c r="AA2963" s="899"/>
      <c r="AB2963" s="899"/>
      <c r="AC2963" s="899"/>
      <c r="AD2963" s="897"/>
      <c r="AE2963" s="2"/>
      <c r="AF2963" s="885"/>
      <c r="AG2963" s="885"/>
      <c r="AH2963" s="885"/>
      <c r="AI2963" s="885"/>
      <c r="AJ2963" s="885"/>
      <c r="AK2963" s="885"/>
      <c r="AL2963" s="885"/>
      <c r="AM2963" s="879"/>
      <c r="AN2963" s="2"/>
      <c r="AO2963" s="886"/>
      <c r="AP2963" s="886"/>
      <c r="AV2963" t="str">
        <f t="shared" si="12000"/>
        <v>Revegetação - Hidrossemeadura</v>
      </c>
      <c r="AW2963" s="4" t="str">
        <f t="shared" si="11993"/>
        <v xml:space="preserve">   Seg. 2.3-C01-Revestimento vegetal por hidrossemeadura</v>
      </c>
    </row>
    <row r="2964" spans="1:49" ht="15.6" customHeight="1" outlineLevel="2">
      <c r="A2964" s="8" t="str">
        <f t="shared" ref="A2964" si="12021">IF(SUM(P2964:V2965)&gt;0,"S","N")</f>
        <v>N</v>
      </c>
      <c r="B2964" s="150">
        <v>1066510</v>
      </c>
      <c r="C2964" s="150" t="s">
        <v>3358</v>
      </c>
      <c r="D2964" s="120" t="s">
        <v>3359</v>
      </c>
      <c r="E2964" s="892" t="s">
        <v>3360</v>
      </c>
      <c r="F2964" s="894" t="s">
        <v>3210</v>
      </c>
      <c r="G2964" s="528"/>
      <c r="H2964" s="546" t="s">
        <v>37</v>
      </c>
      <c r="I2964" s="711">
        <v>0</v>
      </c>
      <c r="J2964" s="896" t="str">
        <f t="shared" ref="J2964" si="12022">IFERROR((I2965/I2964),"-")</f>
        <v>-</v>
      </c>
      <c r="K2964" s="528"/>
      <c r="L2964" s="546" t="s">
        <v>37</v>
      </c>
      <c r="M2964" s="711">
        <f t="shared" si="12014"/>
        <v>0</v>
      </c>
      <c r="N2964" s="896" t="str">
        <f t="shared" ref="N2964" si="12023">IFERROR((M2965/M2964),"-")</f>
        <v>-</v>
      </c>
      <c r="O2964" s="528"/>
      <c r="P2964" s="547">
        <v>0</v>
      </c>
      <c r="Q2964" s="547">
        <v>0</v>
      </c>
      <c r="R2964" s="547">
        <v>0</v>
      </c>
      <c r="S2964" s="547">
        <v>0</v>
      </c>
      <c r="T2964" s="547">
        <v>0</v>
      </c>
      <c r="U2964" s="547">
        <v>0</v>
      </c>
      <c r="V2964" s="548">
        <v>0</v>
      </c>
      <c r="W2964" s="528"/>
      <c r="X2964" s="711">
        <f t="shared" si="12008"/>
        <v>0</v>
      </c>
      <c r="Y2964" s="896" t="str">
        <f t="shared" ref="Y2964" si="12024">IFERROR((X2965/X2964),"-")</f>
        <v>-</v>
      </c>
      <c r="Z2964" s="528"/>
      <c r="AA2964" s="898">
        <v>0</v>
      </c>
      <c r="AB2964" s="898">
        <v>0</v>
      </c>
      <c r="AC2964" s="898">
        <v>0</v>
      </c>
      <c r="AD2964" s="896" t="str">
        <f t="shared" ref="AD2964" si="12025">IFERROR((AC2964/AA2964),"-")</f>
        <v>-</v>
      </c>
      <c r="AE2964" s="2"/>
      <c r="AF2964" s="884">
        <v>897.05</v>
      </c>
      <c r="AG2964" s="884">
        <v>0</v>
      </c>
      <c r="AH2964" s="884">
        <v>0</v>
      </c>
      <c r="AI2964" s="884"/>
      <c r="AJ2964" s="884"/>
      <c r="AK2964" s="884">
        <f t="shared" ref="AK2964" si="12026">AF2964+AG2964+AH2964+AI2964+AJ2964+AC2964</f>
        <v>897.05</v>
      </c>
      <c r="AL2964" s="884">
        <v>845.11</v>
      </c>
      <c r="AM2964" s="878">
        <f t="shared" ref="AM2964" si="12027">IFERROR((AK2964/AL2964),"-")</f>
        <v>1.0614594549821916</v>
      </c>
      <c r="AN2964" s="2"/>
      <c r="AO2964" s="884">
        <v>845.11</v>
      </c>
      <c r="AP2964" s="884">
        <f t="shared" ref="AP2964" si="12028">AO2964-AK2964</f>
        <v>-51.939999999999941</v>
      </c>
      <c r="AV2964" t="str">
        <f t="shared" si="12000"/>
        <v>Revegetação - Hidrossemeadura</v>
      </c>
      <c r="AW2964" s="4" t="str">
        <f t="shared" si="11993"/>
        <v xml:space="preserve">   Seg. 2.3-C02-Revestimento vegetal por hidrossemeadura</v>
      </c>
    </row>
    <row r="2965" spans="1:49" ht="15.6" customHeight="1" outlineLevel="2">
      <c r="A2965" s="8" t="str">
        <f t="shared" ref="A2965" si="12029">A2964</f>
        <v>N</v>
      </c>
      <c r="B2965" s="150">
        <v>1066510</v>
      </c>
      <c r="C2965" s="150" t="s">
        <v>3358</v>
      </c>
      <c r="D2965" s="120" t="s">
        <v>3359</v>
      </c>
      <c r="E2965" s="893"/>
      <c r="F2965" s="895"/>
      <c r="G2965" s="528"/>
      <c r="H2965" s="549" t="s">
        <v>38</v>
      </c>
      <c r="I2965" s="711">
        <v>0</v>
      </c>
      <c r="J2965" s="897"/>
      <c r="K2965" s="528"/>
      <c r="L2965" s="549" t="s">
        <v>38</v>
      </c>
      <c r="M2965" s="711">
        <f t="shared" si="12014"/>
        <v>0</v>
      </c>
      <c r="N2965" s="897"/>
      <c r="O2965" s="528"/>
      <c r="P2965" s="548">
        <v>0</v>
      </c>
      <c r="Q2965" s="548">
        <v>0</v>
      </c>
      <c r="R2965" s="548">
        <v>0</v>
      </c>
      <c r="S2965" s="548">
        <v>0</v>
      </c>
      <c r="T2965" s="548">
        <v>0</v>
      </c>
      <c r="U2965" s="548">
        <v>0</v>
      </c>
      <c r="V2965" s="548"/>
      <c r="W2965" s="528"/>
      <c r="X2965" s="711">
        <f t="shared" si="12008"/>
        <v>0</v>
      </c>
      <c r="Y2965" s="897"/>
      <c r="Z2965" s="528"/>
      <c r="AA2965" s="899"/>
      <c r="AB2965" s="899"/>
      <c r="AC2965" s="899"/>
      <c r="AD2965" s="897"/>
      <c r="AE2965" s="2"/>
      <c r="AF2965" s="885"/>
      <c r="AG2965" s="885"/>
      <c r="AH2965" s="885"/>
      <c r="AI2965" s="885"/>
      <c r="AJ2965" s="885"/>
      <c r="AK2965" s="885"/>
      <c r="AL2965" s="885"/>
      <c r="AM2965" s="879"/>
      <c r="AN2965" s="2"/>
      <c r="AO2965" s="886"/>
      <c r="AP2965" s="886"/>
      <c r="AV2965" t="str">
        <f t="shared" si="12000"/>
        <v>Revegetação - Hidrossemeadura</v>
      </c>
      <c r="AW2965" s="4" t="str">
        <f t="shared" si="11993"/>
        <v xml:space="preserve">   Seg. 2.3-C02-Revestimento vegetal por hidrossemeadura</v>
      </c>
    </row>
    <row r="2966" spans="1:49" ht="15.6" customHeight="1" outlineLevel="2">
      <c r="A2966" s="8" t="str">
        <f t="shared" ref="A2966" si="12030">IF(SUM(P2966:V2967)&gt;0,"S","N")</f>
        <v>N</v>
      </c>
      <c r="B2966" s="150">
        <v>1066511</v>
      </c>
      <c r="C2966" s="150" t="s">
        <v>3361</v>
      </c>
      <c r="D2966" s="120" t="s">
        <v>3362</v>
      </c>
      <c r="E2966" s="892" t="s">
        <v>3363</v>
      </c>
      <c r="F2966" s="894" t="s">
        <v>3210</v>
      </c>
      <c r="G2966" s="528"/>
      <c r="H2966" s="546" t="s">
        <v>37</v>
      </c>
      <c r="I2966" s="711">
        <v>0</v>
      </c>
      <c r="J2966" s="896" t="str">
        <f t="shared" ref="J2966" si="12031">IFERROR((I2967/I2966),"-")</f>
        <v>-</v>
      </c>
      <c r="K2966" s="528"/>
      <c r="L2966" s="546" t="s">
        <v>37</v>
      </c>
      <c r="M2966" s="711">
        <f t="shared" si="12014"/>
        <v>0</v>
      </c>
      <c r="N2966" s="896" t="str">
        <f t="shared" ref="N2966" si="12032">IFERROR((M2967/M2966),"-")</f>
        <v>-</v>
      </c>
      <c r="O2966" s="528"/>
      <c r="P2966" s="547">
        <v>0</v>
      </c>
      <c r="Q2966" s="547">
        <v>0</v>
      </c>
      <c r="R2966" s="547">
        <v>0</v>
      </c>
      <c r="S2966" s="547">
        <v>0</v>
      </c>
      <c r="T2966" s="547">
        <v>0</v>
      </c>
      <c r="U2966" s="547">
        <v>0</v>
      </c>
      <c r="V2966" s="548">
        <v>0</v>
      </c>
      <c r="W2966" s="528"/>
      <c r="X2966" s="711">
        <f t="shared" si="12008"/>
        <v>0</v>
      </c>
      <c r="Y2966" s="896" t="str">
        <f t="shared" ref="Y2966" si="12033">IFERROR((X2967/X2966),"-")</f>
        <v>-</v>
      </c>
      <c r="Z2966" s="528"/>
      <c r="AA2966" s="898">
        <v>0</v>
      </c>
      <c r="AB2966" s="898">
        <v>0</v>
      </c>
      <c r="AC2966" s="898">
        <v>0</v>
      </c>
      <c r="AD2966" s="896" t="str">
        <f t="shared" ref="AD2966" si="12034">IFERROR((AC2966/AA2966),"-")</f>
        <v>-</v>
      </c>
      <c r="AE2966" s="2"/>
      <c r="AF2966" s="884">
        <v>2125.67</v>
      </c>
      <c r="AG2966" s="884">
        <v>0</v>
      </c>
      <c r="AH2966" s="884">
        <v>0</v>
      </c>
      <c r="AI2966" s="884"/>
      <c r="AJ2966" s="884"/>
      <c r="AK2966" s="884">
        <f t="shared" ref="AK2966" si="12035">AF2966+AG2966+AH2966+AI2966+AJ2966+AC2966</f>
        <v>2125.67</v>
      </c>
      <c r="AL2966" s="884">
        <v>1863.5</v>
      </c>
      <c r="AM2966" s="878">
        <f t="shared" ref="AM2966" si="12036">IFERROR((AK2966/AL2966),"-")</f>
        <v>1.1406868795277703</v>
      </c>
      <c r="AN2966" s="2"/>
      <c r="AO2966" s="884">
        <v>1863.5</v>
      </c>
      <c r="AP2966" s="884">
        <f t="shared" ref="AP2966" si="12037">AO2966-AK2966</f>
        <v>-262.17000000000007</v>
      </c>
      <c r="AV2966" t="str">
        <f t="shared" si="12000"/>
        <v>Revegetação - Hidrossemeadura</v>
      </c>
      <c r="AW2966" s="4" t="str">
        <f t="shared" si="11993"/>
        <v xml:space="preserve">   Seg. 2.3-C03-Revestimento vegetal por hidrossemeadura</v>
      </c>
    </row>
    <row r="2967" spans="1:49" ht="15.6" customHeight="1" outlineLevel="2">
      <c r="A2967" s="8" t="str">
        <f t="shared" ref="A2967" si="12038">A2966</f>
        <v>N</v>
      </c>
      <c r="B2967" s="150">
        <v>1066511</v>
      </c>
      <c r="C2967" s="150" t="s">
        <v>3361</v>
      </c>
      <c r="D2967" s="120" t="s">
        <v>3362</v>
      </c>
      <c r="E2967" s="893"/>
      <c r="F2967" s="895"/>
      <c r="G2967" s="528"/>
      <c r="H2967" s="549" t="s">
        <v>38</v>
      </c>
      <c r="I2967" s="711">
        <v>0</v>
      </c>
      <c r="J2967" s="897"/>
      <c r="K2967" s="528"/>
      <c r="L2967" s="549" t="s">
        <v>38</v>
      </c>
      <c r="M2967" s="711">
        <f t="shared" si="12014"/>
        <v>0</v>
      </c>
      <c r="N2967" s="897"/>
      <c r="O2967" s="528"/>
      <c r="P2967" s="548">
        <v>0</v>
      </c>
      <c r="Q2967" s="548">
        <v>0</v>
      </c>
      <c r="R2967" s="548">
        <v>0</v>
      </c>
      <c r="S2967" s="548">
        <v>0</v>
      </c>
      <c r="T2967" s="548">
        <v>0</v>
      </c>
      <c r="U2967" s="548">
        <v>0</v>
      </c>
      <c r="V2967" s="548"/>
      <c r="W2967" s="528"/>
      <c r="X2967" s="711">
        <f t="shared" si="12008"/>
        <v>0</v>
      </c>
      <c r="Y2967" s="897"/>
      <c r="Z2967" s="528"/>
      <c r="AA2967" s="899"/>
      <c r="AB2967" s="899"/>
      <c r="AC2967" s="899"/>
      <c r="AD2967" s="897"/>
      <c r="AE2967" s="2"/>
      <c r="AF2967" s="885"/>
      <c r="AG2967" s="885"/>
      <c r="AH2967" s="885"/>
      <c r="AI2967" s="885"/>
      <c r="AJ2967" s="885"/>
      <c r="AK2967" s="885"/>
      <c r="AL2967" s="885"/>
      <c r="AM2967" s="879"/>
      <c r="AN2967" s="2"/>
      <c r="AO2967" s="886"/>
      <c r="AP2967" s="886"/>
      <c r="AV2967" t="str">
        <f t="shared" si="12000"/>
        <v>Revegetação - Hidrossemeadura</v>
      </c>
      <c r="AW2967" s="4" t="str">
        <f t="shared" si="11993"/>
        <v xml:space="preserve">   Seg. 2.3-C03-Revestimento vegetal por hidrossemeadura</v>
      </c>
    </row>
    <row r="2968" spans="1:49" ht="14.45" customHeight="1" outlineLevel="2">
      <c r="A2968" s="8" t="str">
        <f t="shared" ref="A2968" si="12039">IF(SUM(P2968:V2969)&gt;0,"S","N")</f>
        <v>N</v>
      </c>
      <c r="B2968" s="150">
        <v>1066512</v>
      </c>
      <c r="C2968" s="150" t="s">
        <v>3364</v>
      </c>
      <c r="D2968" s="120" t="s">
        <v>3365</v>
      </c>
      <c r="E2968" s="892" t="s">
        <v>3366</v>
      </c>
      <c r="F2968" s="894" t="s">
        <v>3210</v>
      </c>
      <c r="G2968" s="528"/>
      <c r="H2968" s="546" t="s">
        <v>37</v>
      </c>
      <c r="I2968" s="711">
        <v>0</v>
      </c>
      <c r="J2968" s="896" t="str">
        <f t="shared" ref="J2968" si="12040">IFERROR((I2969/I2968),"-")</f>
        <v>-</v>
      </c>
      <c r="K2968" s="528"/>
      <c r="L2968" s="546" t="s">
        <v>37</v>
      </c>
      <c r="M2968" s="711">
        <f t="shared" si="12014"/>
        <v>0</v>
      </c>
      <c r="N2968" s="896" t="str">
        <f t="shared" ref="N2968" si="12041">IFERROR((M2969/M2968),"-")</f>
        <v>-</v>
      </c>
      <c r="O2968" s="528"/>
      <c r="P2968" s="547">
        <v>0</v>
      </c>
      <c r="Q2968" s="547">
        <v>0</v>
      </c>
      <c r="R2968" s="547">
        <v>0</v>
      </c>
      <c r="S2968" s="547">
        <v>0</v>
      </c>
      <c r="T2968" s="547">
        <v>0</v>
      </c>
      <c r="U2968" s="547">
        <v>0</v>
      </c>
      <c r="V2968" s="548">
        <v>0</v>
      </c>
      <c r="W2968" s="528"/>
      <c r="X2968" s="711">
        <f t="shared" si="12008"/>
        <v>0</v>
      </c>
      <c r="Y2968" s="896" t="str">
        <f t="shared" ref="Y2968" si="12042">IFERROR((X2969/X2968),"-")</f>
        <v>-</v>
      </c>
      <c r="Z2968" s="528"/>
      <c r="AA2968" s="898">
        <v>13093</v>
      </c>
      <c r="AB2968" s="898">
        <v>5819.1600000000008</v>
      </c>
      <c r="AC2968" s="898">
        <v>0</v>
      </c>
      <c r="AD2968" s="896">
        <f t="shared" ref="AD2968" si="12043">IFERROR((AC2968/AA2968),"-")</f>
        <v>0</v>
      </c>
      <c r="AE2968" s="2"/>
      <c r="AF2968" s="884">
        <v>0</v>
      </c>
      <c r="AG2968" s="884">
        <v>9764.0400000000009</v>
      </c>
      <c r="AH2968" s="884">
        <v>0</v>
      </c>
      <c r="AI2968" s="884">
        <v>2325.89</v>
      </c>
      <c r="AJ2968" s="884"/>
      <c r="AK2968" s="884">
        <f t="shared" ref="AK2968" si="12044">AF2968+AG2968+AH2968+AI2968+AJ2968+AC2968</f>
        <v>12089.93</v>
      </c>
      <c r="AL2968" s="884">
        <v>17909.160000000025</v>
      </c>
      <c r="AM2968" s="878">
        <f t="shared" ref="AM2968" si="12045">IFERROR((AK2968/AL2968),"-")</f>
        <v>0.67506962917300328</v>
      </c>
      <c r="AN2968" s="2"/>
      <c r="AO2968" s="884">
        <v>25183.040000000001</v>
      </c>
      <c r="AP2968" s="884">
        <f t="shared" ref="AP2968" si="12046">AO2968-AK2968</f>
        <v>13093.11</v>
      </c>
      <c r="AV2968" t="str">
        <f t="shared" si="12000"/>
        <v>Revegetação - Hidrossemeadura</v>
      </c>
      <c r="AW2968" s="4" t="str">
        <f t="shared" si="11993"/>
        <v xml:space="preserve">   Seg. 2.3-C04-Revestimento vegetal por hidrossemeadura</v>
      </c>
    </row>
    <row r="2969" spans="1:49" ht="14.45" customHeight="1" outlineLevel="2">
      <c r="A2969" s="8" t="str">
        <f t="shared" ref="A2969" si="12047">A2968</f>
        <v>N</v>
      </c>
      <c r="B2969" s="150">
        <v>1066512</v>
      </c>
      <c r="C2969" s="150" t="s">
        <v>3364</v>
      </c>
      <c r="D2969" s="120" t="s">
        <v>3365</v>
      </c>
      <c r="E2969" s="893"/>
      <c r="F2969" s="895"/>
      <c r="G2969" s="528"/>
      <c r="H2969" s="549" t="s">
        <v>38</v>
      </c>
      <c r="I2969" s="711">
        <v>0</v>
      </c>
      <c r="J2969" s="897"/>
      <c r="K2969" s="528"/>
      <c r="L2969" s="549" t="s">
        <v>38</v>
      </c>
      <c r="M2969" s="711">
        <f t="shared" si="12014"/>
        <v>0</v>
      </c>
      <c r="N2969" s="897"/>
      <c r="O2969" s="528"/>
      <c r="P2969" s="548">
        <v>0</v>
      </c>
      <c r="Q2969" s="548">
        <v>0</v>
      </c>
      <c r="R2969" s="548">
        <v>0</v>
      </c>
      <c r="S2969" s="548">
        <v>0</v>
      </c>
      <c r="T2969" s="548">
        <v>0</v>
      </c>
      <c r="U2969" s="548">
        <v>0</v>
      </c>
      <c r="V2969" s="548"/>
      <c r="W2969" s="528"/>
      <c r="X2969" s="711">
        <f t="shared" si="12008"/>
        <v>0</v>
      </c>
      <c r="Y2969" s="897"/>
      <c r="Z2969" s="528"/>
      <c r="AA2969" s="899"/>
      <c r="AB2969" s="899"/>
      <c r="AC2969" s="899"/>
      <c r="AD2969" s="897"/>
      <c r="AE2969" s="2"/>
      <c r="AF2969" s="885"/>
      <c r="AG2969" s="885"/>
      <c r="AH2969" s="885"/>
      <c r="AI2969" s="885"/>
      <c r="AJ2969" s="885"/>
      <c r="AK2969" s="885"/>
      <c r="AL2969" s="885"/>
      <c r="AM2969" s="879"/>
      <c r="AN2969" s="2"/>
      <c r="AO2969" s="886"/>
      <c r="AP2969" s="886"/>
      <c r="AV2969" t="str">
        <f t="shared" si="12000"/>
        <v>Revegetação - Hidrossemeadura</v>
      </c>
      <c r="AW2969" s="4" t="str">
        <f t="shared" si="11993"/>
        <v xml:space="preserve">   Seg. 2.3-C04-Revestimento vegetal por hidrossemeadura</v>
      </c>
    </row>
    <row r="2970" spans="1:49" ht="14.45" customHeight="1" outlineLevel="2">
      <c r="A2970" s="8" t="str">
        <f t="shared" ref="A2970" si="12048">IF(SUM(P2970:V2971)&gt;0,"S","N")</f>
        <v>S</v>
      </c>
      <c r="B2970" s="150">
        <v>1066513</v>
      </c>
      <c r="C2970" s="150" t="s">
        <v>3367</v>
      </c>
      <c r="D2970" s="120" t="s">
        <v>3368</v>
      </c>
      <c r="E2970" s="892" t="s">
        <v>3369</v>
      </c>
      <c r="F2970" s="894" t="s">
        <v>3210</v>
      </c>
      <c r="G2970" s="528"/>
      <c r="H2970" s="546" t="s">
        <v>37</v>
      </c>
      <c r="I2970" s="711">
        <v>0</v>
      </c>
      <c r="J2970" s="896" t="str">
        <f t="shared" ref="J2970" si="12049">IFERROR((I2971/I2970),"-")</f>
        <v>-</v>
      </c>
      <c r="K2970" s="528"/>
      <c r="L2970" s="546" t="s">
        <v>37</v>
      </c>
      <c r="M2970" s="711">
        <f t="shared" si="12014"/>
        <v>0</v>
      </c>
      <c r="N2970" s="896" t="str">
        <f t="shared" ref="N2970" si="12050">IFERROR((M2971/M2970),"-")</f>
        <v>-</v>
      </c>
      <c r="O2970" s="528"/>
      <c r="P2970" s="547">
        <v>0</v>
      </c>
      <c r="Q2970" s="547">
        <v>0</v>
      </c>
      <c r="R2970" s="547">
        <v>0</v>
      </c>
      <c r="S2970" s="547">
        <v>0</v>
      </c>
      <c r="T2970" s="547">
        <v>0</v>
      </c>
      <c r="U2970" s="547">
        <v>0</v>
      </c>
      <c r="V2970" s="548">
        <v>0</v>
      </c>
      <c r="W2970" s="528"/>
      <c r="X2970" s="711">
        <f t="shared" si="12008"/>
        <v>0</v>
      </c>
      <c r="Y2970" s="896" t="str">
        <f t="shared" ref="Y2970" si="12051">IFERROR((X2971/X2970),"-")</f>
        <v>-</v>
      </c>
      <c r="Z2970" s="528"/>
      <c r="AA2970" s="898">
        <v>13627.06</v>
      </c>
      <c r="AB2970" s="898">
        <v>13627.060000000001</v>
      </c>
      <c r="AC2970" s="898">
        <v>12200</v>
      </c>
      <c r="AD2970" s="896">
        <f t="shared" ref="AD2970" si="12052">IFERROR((AC2970/AA2970),"-")</f>
        <v>0.89527748465186185</v>
      </c>
      <c r="AE2970" s="2"/>
      <c r="AF2970" s="884">
        <v>0</v>
      </c>
      <c r="AG2970" s="884">
        <v>0</v>
      </c>
      <c r="AH2970" s="884">
        <v>0</v>
      </c>
      <c r="AI2970" s="884"/>
      <c r="AJ2970" s="884"/>
      <c r="AK2970" s="884">
        <f t="shared" ref="AK2970" si="12053">AF2970+AG2970+AH2970+AI2970+AJ2970+AC2970</f>
        <v>12200</v>
      </c>
      <c r="AL2970" s="884">
        <v>13627.060000000001</v>
      </c>
      <c r="AM2970" s="878">
        <f t="shared" ref="AM2970" si="12054">IFERROR((AK2970/AL2970),"-")</f>
        <v>0.89527748465186174</v>
      </c>
      <c r="AN2970" s="2"/>
      <c r="AO2970" s="884">
        <v>13627.06</v>
      </c>
      <c r="AP2970" s="884">
        <f t="shared" ref="AP2970" si="12055">AO2970-AK2970</f>
        <v>1427.0599999999995</v>
      </c>
      <c r="AV2970" t="str">
        <f t="shared" si="12000"/>
        <v>Revegetação - Hidrossemeadura</v>
      </c>
      <c r="AW2970" s="4" t="str">
        <f t="shared" si="11993"/>
        <v xml:space="preserve">   Seg. 2.3-C05-Revestimento vegetal por hidrossemeadura</v>
      </c>
    </row>
    <row r="2971" spans="1:49" ht="15.6" customHeight="1" outlineLevel="2">
      <c r="A2971" s="8" t="str">
        <f t="shared" ref="A2971" si="12056">A2970</f>
        <v>S</v>
      </c>
      <c r="B2971" s="150">
        <v>1066513</v>
      </c>
      <c r="C2971" s="150" t="s">
        <v>3367</v>
      </c>
      <c r="D2971" s="120" t="s">
        <v>3368</v>
      </c>
      <c r="E2971" s="893"/>
      <c r="F2971" s="895"/>
      <c r="G2971" s="528"/>
      <c r="H2971" s="549" t="s">
        <v>38</v>
      </c>
      <c r="I2971" s="711">
        <v>0</v>
      </c>
      <c r="J2971" s="897"/>
      <c r="K2971" s="528"/>
      <c r="L2971" s="549" t="s">
        <v>38</v>
      </c>
      <c r="M2971" s="711">
        <f t="shared" si="12014"/>
        <v>6100</v>
      </c>
      <c r="N2971" s="897"/>
      <c r="O2971" s="528"/>
      <c r="P2971" s="548">
        <v>6100</v>
      </c>
      <c r="Q2971" s="548">
        <v>6100</v>
      </c>
      <c r="R2971" s="548">
        <v>0</v>
      </c>
      <c r="S2971" s="548">
        <v>0</v>
      </c>
      <c r="T2971" s="548">
        <v>0</v>
      </c>
      <c r="U2971" s="548">
        <v>0</v>
      </c>
      <c r="V2971" s="548"/>
      <c r="W2971" s="528"/>
      <c r="X2971" s="711">
        <f t="shared" si="12008"/>
        <v>12200</v>
      </c>
      <c r="Y2971" s="897"/>
      <c r="Z2971" s="528"/>
      <c r="AA2971" s="899"/>
      <c r="AB2971" s="899"/>
      <c r="AC2971" s="899"/>
      <c r="AD2971" s="897"/>
      <c r="AE2971" s="2"/>
      <c r="AF2971" s="885"/>
      <c r="AG2971" s="885"/>
      <c r="AH2971" s="885"/>
      <c r="AI2971" s="885"/>
      <c r="AJ2971" s="885"/>
      <c r="AK2971" s="885"/>
      <c r="AL2971" s="885"/>
      <c r="AM2971" s="879"/>
      <c r="AN2971" s="2"/>
      <c r="AO2971" s="886"/>
      <c r="AP2971" s="886"/>
      <c r="AV2971" t="str">
        <f t="shared" si="12000"/>
        <v>Revegetação - Hidrossemeadura</v>
      </c>
      <c r="AW2971" s="4" t="str">
        <f t="shared" si="11993"/>
        <v xml:space="preserve">   Seg. 2.3-C05-Revestimento vegetal por hidrossemeadura</v>
      </c>
    </row>
    <row r="2972" spans="1:49" ht="15.6" customHeight="1" outlineLevel="2">
      <c r="A2972" s="8" t="str">
        <f t="shared" ref="A2972" si="12057">IF(SUM(P2972:V2973)&gt;0,"S","N")</f>
        <v>N</v>
      </c>
      <c r="B2972" s="150">
        <v>1066514</v>
      </c>
      <c r="C2972" s="150" t="s">
        <v>3370</v>
      </c>
      <c r="D2972" s="120" t="s">
        <v>3371</v>
      </c>
      <c r="E2972" s="892" t="s">
        <v>3372</v>
      </c>
      <c r="F2972" s="894" t="s">
        <v>3210</v>
      </c>
      <c r="G2972" s="528"/>
      <c r="H2972" s="546" t="s">
        <v>37</v>
      </c>
      <c r="I2972" s="711">
        <v>0</v>
      </c>
      <c r="J2972" s="896" t="str">
        <f t="shared" ref="J2972" si="12058">IFERROR((I2973/I2972),"-")</f>
        <v>-</v>
      </c>
      <c r="K2972" s="528"/>
      <c r="L2972" s="546" t="s">
        <v>37</v>
      </c>
      <c r="M2972" s="711">
        <f t="shared" si="12014"/>
        <v>0</v>
      </c>
      <c r="N2972" s="896" t="str">
        <f t="shared" ref="N2972" si="12059">IFERROR((M2973/M2972),"-")</f>
        <v>-</v>
      </c>
      <c r="O2972" s="528"/>
      <c r="P2972" s="547">
        <v>0</v>
      </c>
      <c r="Q2972" s="547">
        <v>0</v>
      </c>
      <c r="R2972" s="547">
        <v>0</v>
      </c>
      <c r="S2972" s="547">
        <v>0</v>
      </c>
      <c r="T2972" s="547">
        <v>0</v>
      </c>
      <c r="U2972" s="547">
        <v>0</v>
      </c>
      <c r="V2972" s="548">
        <v>0</v>
      </c>
      <c r="W2972" s="528"/>
      <c r="X2972" s="711">
        <f t="shared" si="12008"/>
        <v>0</v>
      </c>
      <c r="Y2972" s="896" t="str">
        <f t="shared" ref="Y2972" si="12060">IFERROR((X2973/X2972),"-")</f>
        <v>-</v>
      </c>
      <c r="Z2972" s="528"/>
      <c r="AA2972" s="898">
        <v>0</v>
      </c>
      <c r="AB2972" s="898">
        <v>0</v>
      </c>
      <c r="AC2972" s="898">
        <v>0</v>
      </c>
      <c r="AD2972" s="896" t="str">
        <f t="shared" ref="AD2972" si="12061">IFERROR((AC2972/AA2972),"-")</f>
        <v>-</v>
      </c>
      <c r="AE2972" s="2"/>
      <c r="AF2972" s="884">
        <v>1538.74</v>
      </c>
      <c r="AG2972" s="884">
        <v>0</v>
      </c>
      <c r="AH2972" s="884">
        <v>0</v>
      </c>
      <c r="AI2972" s="884"/>
      <c r="AJ2972" s="884"/>
      <c r="AK2972" s="884">
        <f t="shared" ref="AK2972" si="12062">AF2972+AG2972+AH2972+AI2972+AJ2972+AC2972</f>
        <v>1538.74</v>
      </c>
      <c r="AL2972" s="884">
        <v>786.93</v>
      </c>
      <c r="AM2972" s="878">
        <f t="shared" ref="AM2972" si="12063">IFERROR((AK2972/AL2972),"-")</f>
        <v>1.9553708716150104</v>
      </c>
      <c r="AN2972" s="2"/>
      <c r="AO2972" s="884">
        <v>786.93</v>
      </c>
      <c r="AP2972" s="884">
        <f t="shared" ref="AP2972" si="12064">AO2972-AK2972</f>
        <v>-751.81000000000006</v>
      </c>
      <c r="AV2972" t="str">
        <f t="shared" si="12000"/>
        <v>Revegetação - Hidrossemeadura</v>
      </c>
      <c r="AW2972" s="4" t="str">
        <f t="shared" si="11993"/>
        <v xml:space="preserve">   Seg. 2.3-C06-Revestimento vegetal por hidrossemeadura</v>
      </c>
    </row>
    <row r="2973" spans="1:49" ht="15.6" customHeight="1" outlineLevel="2">
      <c r="A2973" s="8" t="str">
        <f t="shared" ref="A2973" si="12065">A2972</f>
        <v>N</v>
      </c>
      <c r="B2973" s="150">
        <v>1066514</v>
      </c>
      <c r="C2973" s="150" t="s">
        <v>3370</v>
      </c>
      <c r="D2973" s="120" t="s">
        <v>3371</v>
      </c>
      <c r="E2973" s="893"/>
      <c r="F2973" s="895"/>
      <c r="G2973" s="528"/>
      <c r="H2973" s="549" t="s">
        <v>38</v>
      </c>
      <c r="I2973" s="711">
        <v>0</v>
      </c>
      <c r="J2973" s="897"/>
      <c r="K2973" s="528"/>
      <c r="L2973" s="549" t="s">
        <v>38</v>
      </c>
      <c r="M2973" s="711">
        <f t="shared" si="12014"/>
        <v>0</v>
      </c>
      <c r="N2973" s="897"/>
      <c r="O2973" s="528"/>
      <c r="P2973" s="548">
        <v>0</v>
      </c>
      <c r="Q2973" s="548">
        <v>0</v>
      </c>
      <c r="R2973" s="548">
        <v>0</v>
      </c>
      <c r="S2973" s="548">
        <v>0</v>
      </c>
      <c r="T2973" s="548">
        <v>0</v>
      </c>
      <c r="U2973" s="548">
        <v>0</v>
      </c>
      <c r="V2973" s="548"/>
      <c r="W2973" s="528"/>
      <c r="X2973" s="711">
        <f t="shared" si="12008"/>
        <v>0</v>
      </c>
      <c r="Y2973" s="897"/>
      <c r="Z2973" s="528"/>
      <c r="AA2973" s="899"/>
      <c r="AB2973" s="899"/>
      <c r="AC2973" s="899"/>
      <c r="AD2973" s="897"/>
      <c r="AE2973" s="2"/>
      <c r="AF2973" s="885"/>
      <c r="AG2973" s="885"/>
      <c r="AH2973" s="885"/>
      <c r="AI2973" s="885"/>
      <c r="AJ2973" s="885"/>
      <c r="AK2973" s="885"/>
      <c r="AL2973" s="885"/>
      <c r="AM2973" s="879"/>
      <c r="AN2973" s="2"/>
      <c r="AO2973" s="886"/>
      <c r="AP2973" s="886"/>
      <c r="AV2973" t="str">
        <f t="shared" si="12000"/>
        <v>Revegetação - Hidrossemeadura</v>
      </c>
      <c r="AW2973" s="4" t="str">
        <f t="shared" si="11993"/>
        <v xml:space="preserve">   Seg. 2.3-C06-Revestimento vegetal por hidrossemeadura</v>
      </c>
    </row>
    <row r="2974" spans="1:49" ht="15.6" customHeight="1" outlineLevel="2">
      <c r="A2974" s="8" t="str">
        <f t="shared" ref="A2974" si="12066">IF(SUM(P2974:V2975)&gt;0,"S","N")</f>
        <v>N</v>
      </c>
      <c r="B2974" s="150">
        <v>1066515</v>
      </c>
      <c r="C2974" s="150" t="s">
        <v>3373</v>
      </c>
      <c r="D2974" s="120" t="s">
        <v>3374</v>
      </c>
      <c r="E2974" s="892" t="s">
        <v>3375</v>
      </c>
      <c r="F2974" s="894" t="s">
        <v>3210</v>
      </c>
      <c r="G2974" s="528"/>
      <c r="H2974" s="546" t="s">
        <v>37</v>
      </c>
      <c r="I2974" s="711">
        <v>0</v>
      </c>
      <c r="J2974" s="896" t="str">
        <f t="shared" ref="J2974" si="12067">IFERROR((I2975/I2974),"-")</f>
        <v>-</v>
      </c>
      <c r="K2974" s="528"/>
      <c r="L2974" s="546" t="s">
        <v>37</v>
      </c>
      <c r="M2974" s="711">
        <f t="shared" si="12014"/>
        <v>0</v>
      </c>
      <c r="N2974" s="896" t="str">
        <f t="shared" ref="N2974" si="12068">IFERROR((M2975/M2974),"-")</f>
        <v>-</v>
      </c>
      <c r="O2974" s="528"/>
      <c r="P2974" s="547">
        <v>0</v>
      </c>
      <c r="Q2974" s="547">
        <v>0</v>
      </c>
      <c r="R2974" s="547">
        <v>0</v>
      </c>
      <c r="S2974" s="547">
        <v>0</v>
      </c>
      <c r="T2974" s="547">
        <v>0</v>
      </c>
      <c r="U2974" s="547">
        <v>0</v>
      </c>
      <c r="V2974" s="548">
        <v>0</v>
      </c>
      <c r="W2974" s="528"/>
      <c r="X2974" s="711">
        <f t="shared" si="12008"/>
        <v>0</v>
      </c>
      <c r="Y2974" s="896" t="str">
        <f t="shared" ref="Y2974" si="12069">IFERROR((X2975/X2974),"-")</f>
        <v>-</v>
      </c>
      <c r="Z2974" s="528"/>
      <c r="AA2974" s="898">
        <v>0</v>
      </c>
      <c r="AB2974" s="898">
        <v>0</v>
      </c>
      <c r="AC2974" s="898">
        <v>0</v>
      </c>
      <c r="AD2974" s="896" t="str">
        <f t="shared" ref="AD2974" si="12070">IFERROR((AC2974/AA2974),"-")</f>
        <v>-</v>
      </c>
      <c r="AE2974" s="2"/>
      <c r="AF2974" s="884">
        <v>16814.38</v>
      </c>
      <c r="AG2974" s="884">
        <v>0</v>
      </c>
      <c r="AH2974" s="884">
        <v>0</v>
      </c>
      <c r="AI2974" s="884"/>
      <c r="AJ2974" s="884"/>
      <c r="AK2974" s="884">
        <f t="shared" ref="AK2974" si="12071">AF2974+AG2974+AH2974+AI2974+AJ2974+AC2974</f>
        <v>16814.38</v>
      </c>
      <c r="AL2974" s="884">
        <v>8290.1699999999983</v>
      </c>
      <c r="AM2974" s="878">
        <f t="shared" ref="AM2974" si="12072">IFERROR((AK2974/AL2974),"-")</f>
        <v>2.0282310254192621</v>
      </c>
      <c r="AN2974" s="2"/>
      <c r="AO2974" s="884">
        <v>8290.2000000000007</v>
      </c>
      <c r="AP2974" s="884">
        <f t="shared" ref="AP2974" si="12073">AO2974-AK2974</f>
        <v>-8524.18</v>
      </c>
      <c r="AV2974" t="str">
        <f t="shared" si="12000"/>
        <v>Revegetação - Hidrossemeadura</v>
      </c>
      <c r="AW2974" s="4" t="str">
        <f t="shared" si="11993"/>
        <v xml:space="preserve">   Seg. 2.3-C07-Revestimento vegetal por hidrossemeadura</v>
      </c>
    </row>
    <row r="2975" spans="1:49" ht="15.6" customHeight="1" outlineLevel="2">
      <c r="A2975" s="8" t="str">
        <f t="shared" ref="A2975" si="12074">A2974</f>
        <v>N</v>
      </c>
      <c r="B2975" s="150">
        <v>1066515</v>
      </c>
      <c r="C2975" s="150" t="s">
        <v>3373</v>
      </c>
      <c r="D2975" s="120" t="s">
        <v>3374</v>
      </c>
      <c r="E2975" s="893"/>
      <c r="F2975" s="895"/>
      <c r="G2975" s="528"/>
      <c r="H2975" s="549" t="s">
        <v>38</v>
      </c>
      <c r="I2975" s="711">
        <v>0</v>
      </c>
      <c r="J2975" s="897"/>
      <c r="K2975" s="528"/>
      <c r="L2975" s="549" t="s">
        <v>38</v>
      </c>
      <c r="M2975" s="711">
        <f t="shared" si="12014"/>
        <v>0</v>
      </c>
      <c r="N2975" s="897"/>
      <c r="O2975" s="528"/>
      <c r="P2975" s="548">
        <v>0</v>
      </c>
      <c r="Q2975" s="548">
        <v>0</v>
      </c>
      <c r="R2975" s="548">
        <v>0</v>
      </c>
      <c r="S2975" s="548">
        <v>0</v>
      </c>
      <c r="T2975" s="548">
        <v>0</v>
      </c>
      <c r="U2975" s="548">
        <v>0</v>
      </c>
      <c r="V2975" s="548"/>
      <c r="W2975" s="528"/>
      <c r="X2975" s="711">
        <f t="shared" si="12008"/>
        <v>0</v>
      </c>
      <c r="Y2975" s="897"/>
      <c r="Z2975" s="528"/>
      <c r="AA2975" s="899"/>
      <c r="AB2975" s="899"/>
      <c r="AC2975" s="899"/>
      <c r="AD2975" s="897"/>
      <c r="AE2975" s="2"/>
      <c r="AF2975" s="885"/>
      <c r="AG2975" s="885"/>
      <c r="AH2975" s="885"/>
      <c r="AI2975" s="885"/>
      <c r="AJ2975" s="885"/>
      <c r="AK2975" s="885"/>
      <c r="AL2975" s="885"/>
      <c r="AM2975" s="879"/>
      <c r="AN2975" s="2"/>
      <c r="AO2975" s="886"/>
      <c r="AP2975" s="886"/>
      <c r="AV2975" t="str">
        <f t="shared" si="12000"/>
        <v>Revegetação - Hidrossemeadura</v>
      </c>
      <c r="AW2975" s="4" t="str">
        <f t="shared" si="11993"/>
        <v xml:space="preserve">   Seg. 2.3-C07-Revestimento vegetal por hidrossemeadura</v>
      </c>
    </row>
    <row r="2976" spans="1:49" ht="15.6" customHeight="1" outlineLevel="2">
      <c r="A2976" s="209" t="str">
        <f t="shared" ref="A2976" si="12075">IF(SUM(P2976:V2977)&gt;0,"S","N")</f>
        <v>N</v>
      </c>
      <c r="B2976" s="150">
        <v>1066516</v>
      </c>
      <c r="C2976" s="150" t="s">
        <v>3376</v>
      </c>
      <c r="D2976" s="120"/>
      <c r="E2976" s="892" t="s">
        <v>3377</v>
      </c>
      <c r="F2976" s="894" t="s">
        <v>3210</v>
      </c>
      <c r="G2976" s="528"/>
      <c r="H2976" s="546" t="s">
        <v>37</v>
      </c>
      <c r="I2976" s="711">
        <v>0</v>
      </c>
      <c r="J2976" s="896" t="str">
        <f t="shared" ref="J2976" si="12076">IFERROR((I2977/I2976),"-")</f>
        <v>-</v>
      </c>
      <c r="K2976" s="528"/>
      <c r="L2976" s="546" t="s">
        <v>37</v>
      </c>
      <c r="M2976" s="711">
        <f t="shared" si="12014"/>
        <v>0</v>
      </c>
      <c r="N2976" s="896" t="str">
        <f t="shared" ref="N2976" si="12077">IFERROR((M2977/M2976),"-")</f>
        <v>-</v>
      </c>
      <c r="O2976" s="528"/>
      <c r="P2976" s="547">
        <v>0</v>
      </c>
      <c r="Q2976" s="547">
        <v>0</v>
      </c>
      <c r="R2976" s="547">
        <v>0</v>
      </c>
      <c r="S2976" s="547">
        <v>0</v>
      </c>
      <c r="T2976" s="547">
        <v>0</v>
      </c>
      <c r="U2976" s="547">
        <v>0</v>
      </c>
      <c r="V2976" s="548">
        <v>0</v>
      </c>
      <c r="W2976" s="528"/>
      <c r="X2976" s="711">
        <f t="shared" si="12008"/>
        <v>0</v>
      </c>
      <c r="Y2976" s="896" t="str">
        <f t="shared" ref="Y2976" si="12078">IFERROR((X2977/X2976),"-")</f>
        <v>-</v>
      </c>
      <c r="Z2976" s="528"/>
      <c r="AA2976" s="898">
        <v>45634.34</v>
      </c>
      <c r="AB2976" s="898">
        <v>45634.350000000006</v>
      </c>
      <c r="AC2976" s="898">
        <v>0</v>
      </c>
      <c r="AD2976" s="896">
        <f t="shared" ref="AD2976" si="12079">IFERROR((AC2976/AA2976),"-")</f>
        <v>0</v>
      </c>
      <c r="AE2976" s="2"/>
      <c r="AF2976" s="884">
        <v>46419.22</v>
      </c>
      <c r="AG2976" s="884">
        <v>0</v>
      </c>
      <c r="AH2976" s="884">
        <v>0</v>
      </c>
      <c r="AI2976" s="884"/>
      <c r="AJ2976" s="884"/>
      <c r="AK2976" s="884">
        <f t="shared" ref="AK2976" si="12080">AF2976+AG2976+AH2976+AI2976+AJ2976+AC2976</f>
        <v>46419.22</v>
      </c>
      <c r="AL2976" s="884">
        <v>64440.12999999999</v>
      </c>
      <c r="AM2976" s="878">
        <f t="shared" ref="AM2976" si="12081">IFERROR((AK2976/AL2976),"-")</f>
        <v>0.72034646733332175</v>
      </c>
      <c r="AN2976" s="2"/>
      <c r="AO2976" s="884">
        <v>64440.19</v>
      </c>
      <c r="AP2976" s="884">
        <f t="shared" ref="AP2976" si="12082">AO2976-AK2976</f>
        <v>18020.97</v>
      </c>
      <c r="AV2976" t="str">
        <f t="shared" si="12000"/>
        <v>Revegetação - Hidrossemeadura</v>
      </c>
      <c r="AW2976" s="4" t="str">
        <f t="shared" si="11993"/>
        <v xml:space="preserve">   Seg. 2.3-C08-Revestimento vegetal por hidrossemeadura</v>
      </c>
    </row>
    <row r="2977" spans="1:49" ht="15.6" customHeight="1" outlineLevel="2">
      <c r="A2977" s="209" t="str">
        <f t="shared" ref="A2977" si="12083">A2976</f>
        <v>N</v>
      </c>
      <c r="B2977" s="150">
        <v>1066516</v>
      </c>
      <c r="C2977" s="150" t="s">
        <v>3376</v>
      </c>
      <c r="D2977" s="120"/>
      <c r="E2977" s="893"/>
      <c r="F2977" s="895"/>
      <c r="G2977" s="528"/>
      <c r="H2977" s="549" t="s">
        <v>38</v>
      </c>
      <c r="I2977" s="711">
        <v>0</v>
      </c>
      <c r="J2977" s="897"/>
      <c r="K2977" s="528"/>
      <c r="L2977" s="549" t="s">
        <v>38</v>
      </c>
      <c r="M2977" s="711">
        <f t="shared" si="12014"/>
        <v>0</v>
      </c>
      <c r="N2977" s="897"/>
      <c r="O2977" s="528"/>
      <c r="P2977" s="548">
        <v>0</v>
      </c>
      <c r="Q2977" s="548">
        <v>0</v>
      </c>
      <c r="R2977" s="548">
        <v>0</v>
      </c>
      <c r="S2977" s="548">
        <v>0</v>
      </c>
      <c r="T2977" s="548">
        <v>0</v>
      </c>
      <c r="U2977" s="548">
        <v>0</v>
      </c>
      <c r="V2977" s="548"/>
      <c r="W2977" s="528"/>
      <c r="X2977" s="711">
        <f t="shared" si="12008"/>
        <v>0</v>
      </c>
      <c r="Y2977" s="897"/>
      <c r="Z2977" s="528"/>
      <c r="AA2977" s="899"/>
      <c r="AB2977" s="899"/>
      <c r="AC2977" s="899"/>
      <c r="AD2977" s="897"/>
      <c r="AE2977" s="2"/>
      <c r="AF2977" s="885"/>
      <c r="AG2977" s="885"/>
      <c r="AH2977" s="885"/>
      <c r="AI2977" s="885"/>
      <c r="AJ2977" s="885"/>
      <c r="AK2977" s="885"/>
      <c r="AL2977" s="885"/>
      <c r="AM2977" s="879"/>
      <c r="AN2977" s="2"/>
      <c r="AO2977" s="886"/>
      <c r="AP2977" s="886"/>
      <c r="AV2977" t="str">
        <f t="shared" si="12000"/>
        <v>Revegetação - Hidrossemeadura</v>
      </c>
      <c r="AW2977" s="4" t="str">
        <f t="shared" si="11993"/>
        <v xml:space="preserve">   Seg. 2.3-C08-Revestimento vegetal por hidrossemeadura</v>
      </c>
    </row>
    <row r="2978" spans="1:49" ht="15.6" customHeight="1" outlineLevel="2">
      <c r="A2978" s="8" t="str">
        <f t="shared" ref="A2978" si="12084">IF(SUM(P2978:V2979)&gt;0,"S","N")</f>
        <v>N</v>
      </c>
      <c r="B2978" s="150">
        <v>1066517</v>
      </c>
      <c r="C2978" s="150" t="s">
        <v>3378</v>
      </c>
      <c r="D2978" s="120" t="s">
        <v>3379</v>
      </c>
      <c r="E2978" s="892" t="s">
        <v>3380</v>
      </c>
      <c r="F2978" s="894" t="s">
        <v>3210</v>
      </c>
      <c r="G2978" s="528"/>
      <c r="H2978" s="546" t="s">
        <v>37</v>
      </c>
      <c r="I2978" s="711">
        <v>0</v>
      </c>
      <c r="J2978" s="896" t="str">
        <f t="shared" ref="J2978" si="12085">IFERROR((I2979/I2978),"-")</f>
        <v>-</v>
      </c>
      <c r="K2978" s="528"/>
      <c r="L2978" s="546" t="s">
        <v>37</v>
      </c>
      <c r="M2978" s="711">
        <f t="shared" si="12014"/>
        <v>0</v>
      </c>
      <c r="N2978" s="896" t="str">
        <f t="shared" ref="N2978" si="12086">IFERROR((M2979/M2978),"-")</f>
        <v>-</v>
      </c>
      <c r="O2978" s="528"/>
      <c r="P2978" s="547">
        <v>0</v>
      </c>
      <c r="Q2978" s="547">
        <v>0</v>
      </c>
      <c r="R2978" s="547">
        <v>0</v>
      </c>
      <c r="S2978" s="547">
        <v>0</v>
      </c>
      <c r="T2978" s="547">
        <v>0</v>
      </c>
      <c r="U2978" s="547">
        <v>0</v>
      </c>
      <c r="V2978" s="548">
        <v>0</v>
      </c>
      <c r="W2978" s="528"/>
      <c r="X2978" s="711">
        <f t="shared" si="12008"/>
        <v>0</v>
      </c>
      <c r="Y2978" s="896" t="str">
        <f t="shared" ref="Y2978" si="12087">IFERROR((X2979/X2978),"-")</f>
        <v>-</v>
      </c>
      <c r="Z2978" s="528"/>
      <c r="AA2978" s="898">
        <v>574.21</v>
      </c>
      <c r="AB2978" s="898">
        <v>574.21</v>
      </c>
      <c r="AC2978" s="898">
        <v>0</v>
      </c>
      <c r="AD2978" s="896">
        <f t="shared" ref="AD2978" si="12088">IFERROR((AC2978/AA2978),"-")</f>
        <v>0</v>
      </c>
      <c r="AE2978" s="2"/>
      <c r="AF2978" s="884">
        <v>0</v>
      </c>
      <c r="AG2978" s="884">
        <v>0</v>
      </c>
      <c r="AH2978" s="884">
        <v>0</v>
      </c>
      <c r="AI2978" s="884"/>
      <c r="AJ2978" s="884"/>
      <c r="AK2978" s="884">
        <f t="shared" ref="AK2978" si="12089">AF2978+AG2978+AH2978+AI2978+AJ2978+AC2978</f>
        <v>0</v>
      </c>
      <c r="AL2978" s="884">
        <v>574.21</v>
      </c>
      <c r="AM2978" s="878">
        <f t="shared" ref="AM2978" si="12090">IFERROR((AK2978/AL2978),"-")</f>
        <v>0</v>
      </c>
      <c r="AN2978" s="2"/>
      <c r="AO2978" s="884">
        <v>574.21</v>
      </c>
      <c r="AP2978" s="884">
        <f t="shared" ref="AP2978" si="12091">AO2978-AK2978</f>
        <v>574.21</v>
      </c>
      <c r="AV2978" t="str">
        <f t="shared" si="12000"/>
        <v>Revegetação - Hidrossemeadura</v>
      </c>
      <c r="AW2978" s="4" t="str">
        <f t="shared" si="11993"/>
        <v xml:space="preserve">   Seg. 2.3-C09-Revestimento vegetal por hidrossemeadura</v>
      </c>
    </row>
    <row r="2979" spans="1:49" ht="15.6" customHeight="1" outlineLevel="2">
      <c r="A2979" s="8" t="str">
        <f t="shared" ref="A2979" si="12092">A2978</f>
        <v>N</v>
      </c>
      <c r="B2979" s="150">
        <v>1066517</v>
      </c>
      <c r="C2979" s="150" t="s">
        <v>3378</v>
      </c>
      <c r="D2979" s="120" t="s">
        <v>3379</v>
      </c>
      <c r="E2979" s="893"/>
      <c r="F2979" s="895"/>
      <c r="G2979" s="528"/>
      <c r="H2979" s="549" t="s">
        <v>38</v>
      </c>
      <c r="I2979" s="711">
        <v>0</v>
      </c>
      <c r="J2979" s="897"/>
      <c r="K2979" s="528"/>
      <c r="L2979" s="549" t="s">
        <v>38</v>
      </c>
      <c r="M2979" s="711">
        <f t="shared" si="12014"/>
        <v>0</v>
      </c>
      <c r="N2979" s="897"/>
      <c r="O2979" s="528"/>
      <c r="P2979" s="548">
        <v>0</v>
      </c>
      <c r="Q2979" s="548">
        <v>0</v>
      </c>
      <c r="R2979" s="548">
        <v>0</v>
      </c>
      <c r="S2979" s="548">
        <v>0</v>
      </c>
      <c r="T2979" s="548">
        <v>0</v>
      </c>
      <c r="U2979" s="548">
        <v>0</v>
      </c>
      <c r="V2979" s="548"/>
      <c r="W2979" s="528"/>
      <c r="X2979" s="711">
        <f t="shared" si="12008"/>
        <v>0</v>
      </c>
      <c r="Y2979" s="897"/>
      <c r="Z2979" s="528"/>
      <c r="AA2979" s="899"/>
      <c r="AB2979" s="899"/>
      <c r="AC2979" s="899"/>
      <c r="AD2979" s="897"/>
      <c r="AE2979" s="2"/>
      <c r="AF2979" s="885"/>
      <c r="AG2979" s="885"/>
      <c r="AH2979" s="885"/>
      <c r="AI2979" s="885"/>
      <c r="AJ2979" s="885"/>
      <c r="AK2979" s="885"/>
      <c r="AL2979" s="885"/>
      <c r="AM2979" s="879"/>
      <c r="AN2979" s="2"/>
      <c r="AO2979" s="886"/>
      <c r="AP2979" s="886"/>
      <c r="AV2979" t="str">
        <f t="shared" si="12000"/>
        <v>Revegetação - Hidrossemeadura</v>
      </c>
      <c r="AW2979" s="4" t="str">
        <f t="shared" si="11993"/>
        <v xml:space="preserve">   Seg. 2.3-C09-Revestimento vegetal por hidrossemeadura</v>
      </c>
    </row>
    <row r="2980" spans="1:49" ht="15.6" customHeight="1" outlineLevel="2">
      <c r="A2980" s="8" t="str">
        <f t="shared" ref="A2980" si="12093">IF(SUM(P2980:V2981)&gt;0,"S","N")</f>
        <v>N</v>
      </c>
      <c r="B2980" s="150">
        <v>1066518</v>
      </c>
      <c r="C2980" s="150" t="s">
        <v>3381</v>
      </c>
      <c r="D2980" s="120" t="s">
        <v>3382</v>
      </c>
      <c r="E2980" s="892" t="s">
        <v>3383</v>
      </c>
      <c r="F2980" s="894" t="s">
        <v>3210</v>
      </c>
      <c r="G2980" s="528"/>
      <c r="H2980" s="546" t="s">
        <v>37</v>
      </c>
      <c r="I2980" s="711">
        <v>0</v>
      </c>
      <c r="J2980" s="896" t="str">
        <f t="shared" ref="J2980" si="12094">IFERROR((I2981/I2980),"-")</f>
        <v>-</v>
      </c>
      <c r="K2980" s="528"/>
      <c r="L2980" s="546" t="s">
        <v>37</v>
      </c>
      <c r="M2980" s="711">
        <f t="shared" si="12014"/>
        <v>0</v>
      </c>
      <c r="N2980" s="896" t="str">
        <f t="shared" ref="N2980" si="12095">IFERROR((M2981/M2980),"-")</f>
        <v>-</v>
      </c>
      <c r="O2980" s="528"/>
      <c r="P2980" s="547">
        <v>0</v>
      </c>
      <c r="Q2980" s="547">
        <v>0</v>
      </c>
      <c r="R2980" s="547">
        <v>0</v>
      </c>
      <c r="S2980" s="547">
        <v>0</v>
      </c>
      <c r="T2980" s="547">
        <v>0</v>
      </c>
      <c r="U2980" s="547">
        <v>0</v>
      </c>
      <c r="V2980" s="548">
        <v>0</v>
      </c>
      <c r="W2980" s="528"/>
      <c r="X2980" s="711">
        <f t="shared" si="12008"/>
        <v>0</v>
      </c>
      <c r="Y2980" s="896" t="str">
        <f t="shared" ref="Y2980" si="12096">IFERROR((X2981/X2980),"-")</f>
        <v>-</v>
      </c>
      <c r="Z2980" s="528"/>
      <c r="AA2980" s="898">
        <v>0</v>
      </c>
      <c r="AB2980" s="898">
        <v>0</v>
      </c>
      <c r="AC2980" s="898">
        <v>0</v>
      </c>
      <c r="AD2980" s="896" t="str">
        <f t="shared" ref="AD2980" si="12097">IFERROR((AC2980/AA2980),"-")</f>
        <v>-</v>
      </c>
      <c r="AE2980" s="2"/>
      <c r="AF2980" s="884">
        <v>35481.06</v>
      </c>
      <c r="AG2980" s="884">
        <v>0</v>
      </c>
      <c r="AH2980" s="884">
        <v>0</v>
      </c>
      <c r="AI2980" s="884"/>
      <c r="AJ2980" s="884"/>
      <c r="AK2980" s="884">
        <f t="shared" ref="AK2980" si="12098">AF2980+AG2980+AH2980+AI2980+AJ2980+AC2980</f>
        <v>35481.06</v>
      </c>
      <c r="AL2980" s="884">
        <v>13119.84</v>
      </c>
      <c r="AM2980" s="878">
        <f t="shared" ref="AM2980" si="12099">IFERROR((AK2980/AL2980),"-")</f>
        <v>2.7043820656349467</v>
      </c>
      <c r="AN2980" s="2"/>
      <c r="AO2980" s="884">
        <v>13119.83</v>
      </c>
      <c r="AP2980" s="884">
        <f t="shared" ref="AP2980" si="12100">AO2980-AK2980</f>
        <v>-22361.229999999996</v>
      </c>
      <c r="AV2980" t="str">
        <f t="shared" si="12000"/>
        <v>Revegetação - Hidrossemeadura</v>
      </c>
      <c r="AW2980" s="4" t="str">
        <f t="shared" si="11993"/>
        <v xml:space="preserve">   Seg. 2.3-C10-Revestimento vegetal por hidrossemeadura</v>
      </c>
    </row>
    <row r="2981" spans="1:49" ht="15.6" customHeight="1" outlineLevel="2">
      <c r="A2981" s="8" t="str">
        <f t="shared" ref="A2981" si="12101">A2980</f>
        <v>N</v>
      </c>
      <c r="B2981" s="150">
        <v>1066518</v>
      </c>
      <c r="C2981" s="150" t="s">
        <v>3381</v>
      </c>
      <c r="D2981" s="120" t="s">
        <v>3382</v>
      </c>
      <c r="E2981" s="893"/>
      <c r="F2981" s="895"/>
      <c r="G2981" s="528"/>
      <c r="H2981" s="549" t="s">
        <v>38</v>
      </c>
      <c r="I2981" s="711">
        <v>0</v>
      </c>
      <c r="J2981" s="897"/>
      <c r="K2981" s="528"/>
      <c r="L2981" s="549" t="s">
        <v>38</v>
      </c>
      <c r="M2981" s="711">
        <f t="shared" si="12014"/>
        <v>0</v>
      </c>
      <c r="N2981" s="897"/>
      <c r="O2981" s="528"/>
      <c r="P2981" s="548">
        <v>0</v>
      </c>
      <c r="Q2981" s="548">
        <v>0</v>
      </c>
      <c r="R2981" s="548">
        <v>0</v>
      </c>
      <c r="S2981" s="548">
        <v>0</v>
      </c>
      <c r="T2981" s="548">
        <v>0</v>
      </c>
      <c r="U2981" s="548">
        <v>0</v>
      </c>
      <c r="V2981" s="548"/>
      <c r="W2981" s="528"/>
      <c r="X2981" s="711">
        <f t="shared" si="12008"/>
        <v>0</v>
      </c>
      <c r="Y2981" s="897"/>
      <c r="Z2981" s="528"/>
      <c r="AA2981" s="899"/>
      <c r="AB2981" s="899"/>
      <c r="AC2981" s="899"/>
      <c r="AD2981" s="897"/>
      <c r="AE2981" s="2"/>
      <c r="AF2981" s="885"/>
      <c r="AG2981" s="885"/>
      <c r="AH2981" s="885"/>
      <c r="AI2981" s="885"/>
      <c r="AJ2981" s="885"/>
      <c r="AK2981" s="885"/>
      <c r="AL2981" s="885"/>
      <c r="AM2981" s="879"/>
      <c r="AN2981" s="2"/>
      <c r="AO2981" s="886"/>
      <c r="AP2981" s="886"/>
      <c r="AV2981" t="str">
        <f t="shared" si="12000"/>
        <v>Revegetação - Hidrossemeadura</v>
      </c>
      <c r="AW2981" s="4" t="str">
        <f t="shared" si="11993"/>
        <v xml:space="preserve">   Seg. 2.3-C10-Revestimento vegetal por hidrossemeadura</v>
      </c>
    </row>
    <row r="2982" spans="1:49" ht="15.6" customHeight="1" outlineLevel="2" collapsed="1">
      <c r="A2982" s="8" t="str">
        <f t="shared" ref="A2982" si="12102">IF(SUM(P2982:V2983)&gt;0,"S","N")</f>
        <v>N</v>
      </c>
      <c r="B2982" s="150">
        <v>1066519</v>
      </c>
      <c r="C2982" s="150" t="s">
        <v>3384</v>
      </c>
      <c r="D2982" s="120" t="s">
        <v>3385</v>
      </c>
      <c r="E2982" s="892" t="s">
        <v>3386</v>
      </c>
      <c r="F2982" s="894" t="s">
        <v>3210</v>
      </c>
      <c r="G2982" s="528"/>
      <c r="H2982" s="546" t="s">
        <v>37</v>
      </c>
      <c r="I2982" s="711">
        <v>0</v>
      </c>
      <c r="J2982" s="896" t="str">
        <f t="shared" ref="J2982" si="12103">IFERROR((I2983/I2982),"-")</f>
        <v>-</v>
      </c>
      <c r="K2982" s="528"/>
      <c r="L2982" s="546" t="s">
        <v>37</v>
      </c>
      <c r="M2982" s="711">
        <f t="shared" si="12014"/>
        <v>0</v>
      </c>
      <c r="N2982" s="896" t="str">
        <f t="shared" ref="N2982" si="12104">IFERROR((M2983/M2982),"-")</f>
        <v>-</v>
      </c>
      <c r="O2982" s="528"/>
      <c r="P2982" s="547">
        <v>0</v>
      </c>
      <c r="Q2982" s="547">
        <v>0</v>
      </c>
      <c r="R2982" s="547">
        <v>0</v>
      </c>
      <c r="S2982" s="547">
        <v>0</v>
      </c>
      <c r="T2982" s="547">
        <v>0</v>
      </c>
      <c r="U2982" s="547">
        <v>0</v>
      </c>
      <c r="V2982" s="548">
        <v>0</v>
      </c>
      <c r="W2982" s="528"/>
      <c r="X2982" s="711">
        <f t="shared" si="12008"/>
        <v>0</v>
      </c>
      <c r="Y2982" s="896" t="str">
        <f t="shared" ref="Y2982" si="12105">IFERROR((X2983/X2982),"-")</f>
        <v>-</v>
      </c>
      <c r="Z2982" s="528"/>
      <c r="AA2982" s="898">
        <v>9629.9500000000007</v>
      </c>
      <c r="AB2982" s="898">
        <v>4279.9199999999992</v>
      </c>
      <c r="AC2982" s="898">
        <v>0</v>
      </c>
      <c r="AD2982" s="896">
        <f t="shared" ref="AD2982" si="12106">IFERROR((AC2982/AA2982),"-")</f>
        <v>0</v>
      </c>
      <c r="AE2982" s="2"/>
      <c r="AF2982" s="884">
        <v>54774.36</v>
      </c>
      <c r="AG2982" s="884">
        <v>725.93</v>
      </c>
      <c r="AH2982" s="884">
        <v>0</v>
      </c>
      <c r="AI2982" s="884"/>
      <c r="AJ2982" s="884"/>
      <c r="AK2982" s="884">
        <f t="shared" ref="AK2982" si="12107">AF2982+AG2982+AH2982+AI2982+AJ2982+AC2982</f>
        <v>55500.29</v>
      </c>
      <c r="AL2982" s="884">
        <v>25520.1</v>
      </c>
      <c r="AM2982" s="878">
        <f t="shared" ref="AM2982" si="12108">IFERROR((AK2982/AL2982),"-")</f>
        <v>2.1747677321013632</v>
      </c>
      <c r="AN2982" s="2"/>
      <c r="AO2982" s="884">
        <v>30870.13</v>
      </c>
      <c r="AP2982" s="884">
        <f t="shared" ref="AP2982" si="12109">AO2982-AK2982</f>
        <v>-24630.16</v>
      </c>
      <c r="AV2982" t="str">
        <f t="shared" si="12000"/>
        <v>Revegetação - Hidrossemeadura</v>
      </c>
      <c r="AW2982" s="4" t="str">
        <f t="shared" si="11993"/>
        <v xml:space="preserve">   Seg. 2.3-C11-Revestimento vegetal por hidrossemeadura</v>
      </c>
    </row>
    <row r="2983" spans="1:49" ht="15.6" customHeight="1" outlineLevel="2">
      <c r="A2983" s="8" t="str">
        <f t="shared" ref="A2983" si="12110">A2982</f>
        <v>N</v>
      </c>
      <c r="B2983" s="150">
        <v>1066519</v>
      </c>
      <c r="C2983" s="150" t="s">
        <v>3384</v>
      </c>
      <c r="D2983" s="120" t="s">
        <v>3385</v>
      </c>
      <c r="E2983" s="893"/>
      <c r="F2983" s="895"/>
      <c r="G2983" s="528"/>
      <c r="H2983" s="549" t="s">
        <v>38</v>
      </c>
      <c r="I2983" s="711">
        <v>0</v>
      </c>
      <c r="J2983" s="897"/>
      <c r="K2983" s="528"/>
      <c r="L2983" s="549" t="s">
        <v>38</v>
      </c>
      <c r="M2983" s="711">
        <f t="shared" si="12014"/>
        <v>0</v>
      </c>
      <c r="N2983" s="897"/>
      <c r="O2983" s="528"/>
      <c r="P2983" s="548">
        <v>0</v>
      </c>
      <c r="Q2983" s="548">
        <v>0</v>
      </c>
      <c r="R2983" s="548">
        <v>0</v>
      </c>
      <c r="S2983" s="548">
        <v>0</v>
      </c>
      <c r="T2983" s="548">
        <v>0</v>
      </c>
      <c r="U2983" s="548">
        <v>0</v>
      </c>
      <c r="V2983" s="548"/>
      <c r="W2983" s="528"/>
      <c r="X2983" s="711">
        <f t="shared" si="12008"/>
        <v>0</v>
      </c>
      <c r="Y2983" s="897"/>
      <c r="Z2983" s="528"/>
      <c r="AA2983" s="899"/>
      <c r="AB2983" s="899"/>
      <c r="AC2983" s="899"/>
      <c r="AD2983" s="897"/>
      <c r="AE2983" s="2"/>
      <c r="AF2983" s="885"/>
      <c r="AG2983" s="885"/>
      <c r="AH2983" s="885"/>
      <c r="AI2983" s="885"/>
      <c r="AJ2983" s="885"/>
      <c r="AK2983" s="885"/>
      <c r="AL2983" s="885"/>
      <c r="AM2983" s="879"/>
      <c r="AN2983" s="2"/>
      <c r="AO2983" s="886"/>
      <c r="AP2983" s="886"/>
      <c r="AV2983" t="str">
        <f t="shared" si="12000"/>
        <v>Revegetação - Hidrossemeadura</v>
      </c>
      <c r="AW2983" s="4" t="str">
        <f t="shared" si="11993"/>
        <v xml:space="preserve">   Seg. 2.3-C11-Revestimento vegetal por hidrossemeadura</v>
      </c>
    </row>
    <row r="2984" spans="1:49" ht="15.6" customHeight="1" outlineLevel="2">
      <c r="A2984" s="8" t="str">
        <f t="shared" ref="A2984" si="12111">IF(SUM(P2984:V2985)&gt;0,"S","N")</f>
        <v>N</v>
      </c>
      <c r="B2984" s="150">
        <v>1066520</v>
      </c>
      <c r="C2984" s="150" t="s">
        <v>3387</v>
      </c>
      <c r="D2984" s="120" t="s">
        <v>3388</v>
      </c>
      <c r="E2984" s="892" t="s">
        <v>3389</v>
      </c>
      <c r="F2984" s="894" t="s">
        <v>3210</v>
      </c>
      <c r="G2984" s="528"/>
      <c r="H2984" s="546" t="s">
        <v>37</v>
      </c>
      <c r="I2984" s="711">
        <v>0</v>
      </c>
      <c r="J2984" s="896" t="str">
        <f t="shared" ref="J2984" si="12112">IFERROR((I2985/I2984),"-")</f>
        <v>-</v>
      </c>
      <c r="K2984" s="528"/>
      <c r="L2984" s="546" t="s">
        <v>37</v>
      </c>
      <c r="M2984" s="711">
        <f t="shared" si="12014"/>
        <v>0</v>
      </c>
      <c r="N2984" s="896" t="str">
        <f t="shared" ref="N2984" si="12113">IFERROR((M2985/M2984),"-")</f>
        <v>-</v>
      </c>
      <c r="O2984" s="528"/>
      <c r="P2984" s="547">
        <v>0</v>
      </c>
      <c r="Q2984" s="547">
        <v>0</v>
      </c>
      <c r="R2984" s="547">
        <v>0</v>
      </c>
      <c r="S2984" s="547">
        <v>0</v>
      </c>
      <c r="T2984" s="547">
        <v>0</v>
      </c>
      <c r="U2984" s="547">
        <v>0</v>
      </c>
      <c r="V2984" s="548">
        <v>0</v>
      </c>
      <c r="W2984" s="528"/>
      <c r="X2984" s="711">
        <f t="shared" si="12008"/>
        <v>0</v>
      </c>
      <c r="Y2984" s="896" t="str">
        <f t="shared" ref="Y2984" si="12114">IFERROR((X2985/X2984),"-")</f>
        <v>-</v>
      </c>
      <c r="Z2984" s="528"/>
      <c r="AA2984" s="898">
        <v>0</v>
      </c>
      <c r="AB2984" s="898">
        <v>0</v>
      </c>
      <c r="AC2984" s="898">
        <v>0</v>
      </c>
      <c r="AD2984" s="896" t="str">
        <f t="shared" ref="AD2984" si="12115">IFERROR((AC2984/AA2984),"-")</f>
        <v>-</v>
      </c>
      <c r="AE2984" s="2"/>
      <c r="AF2984" s="884">
        <v>0</v>
      </c>
      <c r="AG2984" s="884">
        <v>0</v>
      </c>
      <c r="AH2984" s="884">
        <v>0</v>
      </c>
      <c r="AI2984" s="884"/>
      <c r="AJ2984" s="884"/>
      <c r="AK2984" s="884">
        <f t="shared" ref="AK2984" si="12116">AF2984+AG2984+AH2984+AI2984+AJ2984+AC2984</f>
        <v>0</v>
      </c>
      <c r="AL2984" s="884">
        <v>0</v>
      </c>
      <c r="AM2984" s="878" t="str">
        <f t="shared" ref="AM2984" si="12117">IFERROR((AK2984/AL2984),"-")</f>
        <v>-</v>
      </c>
      <c r="AN2984" s="2"/>
      <c r="AO2984" s="884">
        <v>800.29</v>
      </c>
      <c r="AP2984" s="884">
        <f t="shared" ref="AP2984" si="12118">AO2984-AK2984</f>
        <v>800.29</v>
      </c>
      <c r="AV2984" t="str">
        <f t="shared" si="12000"/>
        <v>Revegetação - Hidrossemeadura</v>
      </c>
      <c r="AW2984" s="4" t="str">
        <f t="shared" si="11993"/>
        <v xml:space="preserve">   Seg. 2.3-C12-Revestimento vegetal por hidrossemeadura</v>
      </c>
    </row>
    <row r="2985" spans="1:49" ht="15.6" customHeight="1" outlineLevel="2">
      <c r="A2985" s="8" t="str">
        <f t="shared" ref="A2985" si="12119">A2984</f>
        <v>N</v>
      </c>
      <c r="B2985" s="150">
        <v>1066520</v>
      </c>
      <c r="C2985" s="150" t="s">
        <v>3387</v>
      </c>
      <c r="D2985" s="120" t="s">
        <v>3388</v>
      </c>
      <c r="E2985" s="893"/>
      <c r="F2985" s="895"/>
      <c r="G2985" s="528"/>
      <c r="H2985" s="549" t="s">
        <v>38</v>
      </c>
      <c r="I2985" s="711">
        <v>0</v>
      </c>
      <c r="J2985" s="897"/>
      <c r="K2985" s="528"/>
      <c r="L2985" s="549" t="s">
        <v>38</v>
      </c>
      <c r="M2985" s="711">
        <f t="shared" si="12014"/>
        <v>0</v>
      </c>
      <c r="N2985" s="897"/>
      <c r="O2985" s="528"/>
      <c r="P2985" s="548">
        <v>0</v>
      </c>
      <c r="Q2985" s="548">
        <v>0</v>
      </c>
      <c r="R2985" s="548">
        <v>0</v>
      </c>
      <c r="S2985" s="548">
        <v>0</v>
      </c>
      <c r="T2985" s="548">
        <v>0</v>
      </c>
      <c r="U2985" s="548">
        <v>0</v>
      </c>
      <c r="V2985" s="548"/>
      <c r="W2985" s="528"/>
      <c r="X2985" s="711">
        <f t="shared" si="12008"/>
        <v>0</v>
      </c>
      <c r="Y2985" s="897"/>
      <c r="Z2985" s="528"/>
      <c r="AA2985" s="899"/>
      <c r="AB2985" s="899"/>
      <c r="AC2985" s="899"/>
      <c r="AD2985" s="897"/>
      <c r="AE2985" s="2"/>
      <c r="AF2985" s="885"/>
      <c r="AG2985" s="885"/>
      <c r="AH2985" s="885"/>
      <c r="AI2985" s="885"/>
      <c r="AJ2985" s="885"/>
      <c r="AK2985" s="885"/>
      <c r="AL2985" s="885"/>
      <c r="AM2985" s="879"/>
      <c r="AN2985" s="2"/>
      <c r="AO2985" s="886"/>
      <c r="AP2985" s="886"/>
      <c r="AV2985" t="str">
        <f t="shared" si="12000"/>
        <v>Revegetação - Hidrossemeadura</v>
      </c>
      <c r="AW2985" s="4" t="str">
        <f t="shared" si="11993"/>
        <v xml:space="preserve">   Seg. 2.3-C12-Revestimento vegetal por hidrossemeadura</v>
      </c>
    </row>
    <row r="2986" spans="1:49" ht="15.6" customHeight="1" outlineLevel="2">
      <c r="A2986" s="8" t="str">
        <f t="shared" ref="A2986" si="12120">IF(SUM(P2986:V2987)&gt;0,"S","N")</f>
        <v>N</v>
      </c>
      <c r="B2986" s="150">
        <v>1066521</v>
      </c>
      <c r="C2986" s="150" t="s">
        <v>3390</v>
      </c>
      <c r="D2986" s="120" t="s">
        <v>3391</v>
      </c>
      <c r="E2986" s="892" t="s">
        <v>3392</v>
      </c>
      <c r="F2986" s="894" t="s">
        <v>3210</v>
      </c>
      <c r="G2986" s="528"/>
      <c r="H2986" s="546" t="s">
        <v>37</v>
      </c>
      <c r="I2986" s="711">
        <v>0</v>
      </c>
      <c r="J2986" s="896" t="str">
        <f t="shared" ref="J2986" si="12121">IFERROR((I2987/I2986),"-")</f>
        <v>-</v>
      </c>
      <c r="K2986" s="528"/>
      <c r="L2986" s="546" t="s">
        <v>37</v>
      </c>
      <c r="M2986" s="711">
        <f t="shared" si="12014"/>
        <v>0</v>
      </c>
      <c r="N2986" s="896" t="str">
        <f t="shared" ref="N2986" si="12122">IFERROR((M2987/M2986),"-")</f>
        <v>-</v>
      </c>
      <c r="O2986" s="528"/>
      <c r="P2986" s="547">
        <v>0</v>
      </c>
      <c r="Q2986" s="547">
        <v>0</v>
      </c>
      <c r="R2986" s="547">
        <v>0</v>
      </c>
      <c r="S2986" s="547">
        <v>0</v>
      </c>
      <c r="T2986" s="547">
        <v>0</v>
      </c>
      <c r="U2986" s="547">
        <v>0</v>
      </c>
      <c r="V2986" s="548">
        <v>0</v>
      </c>
      <c r="W2986" s="528"/>
      <c r="X2986" s="711">
        <f t="shared" si="12008"/>
        <v>0</v>
      </c>
      <c r="Y2986" s="896" t="str">
        <f t="shared" ref="Y2986" si="12123">IFERROR((X2987/X2986),"-")</f>
        <v>-</v>
      </c>
      <c r="Z2986" s="528"/>
      <c r="AA2986" s="898">
        <v>0</v>
      </c>
      <c r="AB2986" s="898">
        <v>0</v>
      </c>
      <c r="AC2986" s="898">
        <v>0</v>
      </c>
      <c r="AD2986" s="896" t="str">
        <f t="shared" ref="AD2986" si="12124">IFERROR((AC2986/AA2986),"-")</f>
        <v>-</v>
      </c>
      <c r="AE2986" s="2"/>
      <c r="AF2986" s="884">
        <v>0</v>
      </c>
      <c r="AG2986" s="884">
        <v>0</v>
      </c>
      <c r="AH2986" s="884">
        <v>0</v>
      </c>
      <c r="AI2986" s="884"/>
      <c r="AJ2986" s="884"/>
      <c r="AK2986" s="884">
        <f t="shared" ref="AK2986" si="12125">AF2986+AG2986+AH2986+AI2986+AJ2986+AC2986</f>
        <v>0</v>
      </c>
      <c r="AL2986" s="884">
        <v>0</v>
      </c>
      <c r="AM2986" s="878" t="str">
        <f t="shared" ref="AM2986" si="12126">IFERROR((AK2986/AL2986),"-")</f>
        <v>-</v>
      </c>
      <c r="AN2986" s="2"/>
      <c r="AO2986" s="884">
        <v>672.23</v>
      </c>
      <c r="AP2986" s="884">
        <f t="shared" ref="AP2986" si="12127">AO2986-AK2986</f>
        <v>672.23</v>
      </c>
      <c r="AV2986" t="str">
        <f t="shared" si="12000"/>
        <v>Revegetação - Hidrossemeadura</v>
      </c>
      <c r="AW2986" s="4" t="str">
        <f t="shared" si="11993"/>
        <v xml:space="preserve">   Seg. 2.3-C13-Revestimento vegetal por hidrossemeadura</v>
      </c>
    </row>
    <row r="2987" spans="1:49" ht="15.6" customHeight="1" outlineLevel="2">
      <c r="A2987" s="8" t="str">
        <f t="shared" ref="A2987" si="12128">A2986</f>
        <v>N</v>
      </c>
      <c r="B2987" s="150">
        <v>1066521</v>
      </c>
      <c r="C2987" s="150" t="s">
        <v>3390</v>
      </c>
      <c r="D2987" s="120" t="s">
        <v>3391</v>
      </c>
      <c r="E2987" s="893"/>
      <c r="F2987" s="895"/>
      <c r="G2987" s="528"/>
      <c r="H2987" s="549" t="s">
        <v>38</v>
      </c>
      <c r="I2987" s="711">
        <v>0</v>
      </c>
      <c r="J2987" s="897"/>
      <c r="K2987" s="528"/>
      <c r="L2987" s="549" t="s">
        <v>38</v>
      </c>
      <c r="M2987" s="711">
        <f t="shared" si="12014"/>
        <v>0</v>
      </c>
      <c r="N2987" s="897"/>
      <c r="O2987" s="528"/>
      <c r="P2987" s="548">
        <v>0</v>
      </c>
      <c r="Q2987" s="548">
        <v>0</v>
      </c>
      <c r="R2987" s="548">
        <v>0</v>
      </c>
      <c r="S2987" s="548">
        <v>0</v>
      </c>
      <c r="T2987" s="548">
        <v>0</v>
      </c>
      <c r="U2987" s="548">
        <v>0</v>
      </c>
      <c r="V2987" s="548"/>
      <c r="W2987" s="528"/>
      <c r="X2987" s="711">
        <f t="shared" si="12008"/>
        <v>0</v>
      </c>
      <c r="Y2987" s="897"/>
      <c r="Z2987" s="528"/>
      <c r="AA2987" s="899"/>
      <c r="AB2987" s="899"/>
      <c r="AC2987" s="899"/>
      <c r="AD2987" s="897"/>
      <c r="AE2987" s="2"/>
      <c r="AF2987" s="885"/>
      <c r="AG2987" s="885"/>
      <c r="AH2987" s="885"/>
      <c r="AI2987" s="885"/>
      <c r="AJ2987" s="885"/>
      <c r="AK2987" s="885"/>
      <c r="AL2987" s="885"/>
      <c r="AM2987" s="879"/>
      <c r="AN2987" s="2"/>
      <c r="AO2987" s="886"/>
      <c r="AP2987" s="886"/>
      <c r="AV2987" t="str">
        <f t="shared" si="12000"/>
        <v>Revegetação - Hidrossemeadura</v>
      </c>
      <c r="AW2987" s="4" t="str">
        <f t="shared" si="11993"/>
        <v xml:space="preserve">   Seg. 2.3-C13-Revestimento vegetal por hidrossemeadura</v>
      </c>
    </row>
    <row r="2988" spans="1:49" ht="15.6" customHeight="1" outlineLevel="2">
      <c r="A2988" s="8" t="str">
        <f t="shared" ref="A2988" si="12129">IF(SUM(P2988:V2989)&gt;0,"S","N")</f>
        <v>N</v>
      </c>
      <c r="B2988" s="150">
        <v>1066522</v>
      </c>
      <c r="C2988" s="150" t="s">
        <v>3393</v>
      </c>
      <c r="D2988" s="120" t="s">
        <v>3394</v>
      </c>
      <c r="E2988" s="892" t="s">
        <v>3395</v>
      </c>
      <c r="F2988" s="894" t="s">
        <v>3210</v>
      </c>
      <c r="G2988" s="528"/>
      <c r="H2988" s="546" t="s">
        <v>37</v>
      </c>
      <c r="I2988" s="711">
        <v>0</v>
      </c>
      <c r="J2988" s="896" t="str">
        <f t="shared" ref="J2988" si="12130">IFERROR((I2989/I2988),"-")</f>
        <v>-</v>
      </c>
      <c r="K2988" s="528"/>
      <c r="L2988" s="546" t="s">
        <v>37</v>
      </c>
      <c r="M2988" s="711">
        <f t="shared" si="12014"/>
        <v>0</v>
      </c>
      <c r="N2988" s="896" t="str">
        <f t="shared" ref="N2988" si="12131">IFERROR((M2989/M2988),"-")</f>
        <v>-</v>
      </c>
      <c r="O2988" s="528"/>
      <c r="P2988" s="547">
        <v>0</v>
      </c>
      <c r="Q2988" s="547">
        <v>0</v>
      </c>
      <c r="R2988" s="547">
        <v>0</v>
      </c>
      <c r="S2988" s="547">
        <v>0</v>
      </c>
      <c r="T2988" s="547">
        <v>0</v>
      </c>
      <c r="U2988" s="547">
        <v>0</v>
      </c>
      <c r="V2988" s="548">
        <v>0</v>
      </c>
      <c r="W2988" s="528"/>
      <c r="X2988" s="711">
        <f t="shared" si="12008"/>
        <v>0</v>
      </c>
      <c r="Y2988" s="896" t="str">
        <f t="shared" ref="Y2988" si="12132">IFERROR((X2989/X2988),"-")</f>
        <v>-</v>
      </c>
      <c r="Z2988" s="528"/>
      <c r="AA2988" s="898">
        <v>0</v>
      </c>
      <c r="AB2988" s="898">
        <v>0</v>
      </c>
      <c r="AC2988" s="898">
        <v>0</v>
      </c>
      <c r="AD2988" s="896" t="str">
        <f t="shared" ref="AD2988" si="12133">IFERROR((AC2988/AA2988),"-")</f>
        <v>-</v>
      </c>
      <c r="AE2988" s="2"/>
      <c r="AF2988" s="884">
        <v>42082.13</v>
      </c>
      <c r="AG2988" s="884">
        <v>52831.13</v>
      </c>
      <c r="AH2988" s="884">
        <v>0</v>
      </c>
      <c r="AI2988" s="884"/>
      <c r="AJ2988" s="884"/>
      <c r="AK2988" s="884">
        <f t="shared" ref="AK2988" si="12134">AF2988+AG2988+AH2988+AI2988+AJ2988+AC2988</f>
        <v>94913.26</v>
      </c>
      <c r="AL2988" s="884">
        <v>724.83</v>
      </c>
      <c r="AM2988" s="878">
        <f t="shared" ref="AM2988" si="12135">IFERROR((AK2988/AL2988),"-")</f>
        <v>130.94554585213083</v>
      </c>
      <c r="AN2988" s="2"/>
      <c r="AO2988" s="884">
        <v>7051.22</v>
      </c>
      <c r="AP2988" s="884">
        <f t="shared" ref="AP2988" si="12136">AO2988-AK2988</f>
        <v>-87862.04</v>
      </c>
      <c r="AV2988" t="str">
        <f t="shared" si="12000"/>
        <v>Revegetação - Hidrossemeadura</v>
      </c>
      <c r="AW2988" s="4" t="str">
        <f t="shared" si="11993"/>
        <v xml:space="preserve">   Seg. 2.3-C14-Revestimento vegetal por hidrossemeadura</v>
      </c>
    </row>
    <row r="2989" spans="1:49" ht="15.6" customHeight="1" outlineLevel="2">
      <c r="A2989" s="8" t="str">
        <f t="shared" ref="A2989" si="12137">A2988</f>
        <v>N</v>
      </c>
      <c r="B2989" s="150">
        <v>1066522</v>
      </c>
      <c r="C2989" s="150" t="s">
        <v>3393</v>
      </c>
      <c r="D2989" s="120" t="s">
        <v>3394</v>
      </c>
      <c r="E2989" s="893"/>
      <c r="F2989" s="895"/>
      <c r="G2989" s="528"/>
      <c r="H2989" s="549" t="s">
        <v>38</v>
      </c>
      <c r="I2989" s="711">
        <v>0</v>
      </c>
      <c r="J2989" s="897"/>
      <c r="K2989" s="528"/>
      <c r="L2989" s="549" t="s">
        <v>38</v>
      </c>
      <c r="M2989" s="711">
        <f t="shared" si="12014"/>
        <v>0</v>
      </c>
      <c r="N2989" s="897"/>
      <c r="O2989" s="528"/>
      <c r="P2989" s="548">
        <v>0</v>
      </c>
      <c r="Q2989" s="548">
        <v>0</v>
      </c>
      <c r="R2989" s="548">
        <v>0</v>
      </c>
      <c r="S2989" s="548">
        <v>0</v>
      </c>
      <c r="T2989" s="548">
        <v>0</v>
      </c>
      <c r="U2989" s="548">
        <v>0</v>
      </c>
      <c r="V2989" s="548"/>
      <c r="W2989" s="528"/>
      <c r="X2989" s="711">
        <f t="shared" si="12008"/>
        <v>0</v>
      </c>
      <c r="Y2989" s="897"/>
      <c r="Z2989" s="528"/>
      <c r="AA2989" s="899"/>
      <c r="AB2989" s="899"/>
      <c r="AC2989" s="899"/>
      <c r="AD2989" s="897"/>
      <c r="AE2989" s="2"/>
      <c r="AF2989" s="885"/>
      <c r="AG2989" s="885"/>
      <c r="AH2989" s="885"/>
      <c r="AI2989" s="885"/>
      <c r="AJ2989" s="885"/>
      <c r="AK2989" s="885"/>
      <c r="AL2989" s="885"/>
      <c r="AM2989" s="879"/>
      <c r="AN2989" s="2"/>
      <c r="AO2989" s="886"/>
      <c r="AP2989" s="886"/>
      <c r="AV2989" t="str">
        <f t="shared" si="12000"/>
        <v>Revegetação - Hidrossemeadura</v>
      </c>
      <c r="AW2989" s="4" t="str">
        <f t="shared" si="11993"/>
        <v xml:space="preserve">   Seg. 2.3-C14-Revestimento vegetal por hidrossemeadura</v>
      </c>
    </row>
    <row r="2990" spans="1:49" ht="15.6" customHeight="1" outlineLevel="2">
      <c r="A2990" s="8" t="str">
        <f t="shared" ref="A2990" si="12138">IF(SUM(P2990:V2991)&gt;0,"S","N")</f>
        <v>N</v>
      </c>
      <c r="B2990" s="150">
        <v>1066523</v>
      </c>
      <c r="C2990" s="150" t="s">
        <v>3396</v>
      </c>
      <c r="D2990" s="120" t="s">
        <v>3397</v>
      </c>
      <c r="E2990" s="892" t="s">
        <v>3398</v>
      </c>
      <c r="F2990" s="894" t="s">
        <v>3210</v>
      </c>
      <c r="G2990" s="528"/>
      <c r="H2990" s="546" t="s">
        <v>37</v>
      </c>
      <c r="I2990" s="711">
        <v>0</v>
      </c>
      <c r="J2990" s="896" t="str">
        <f t="shared" ref="J2990" si="12139">IFERROR((I2991/I2990),"-")</f>
        <v>-</v>
      </c>
      <c r="K2990" s="528"/>
      <c r="L2990" s="546" t="s">
        <v>37</v>
      </c>
      <c r="M2990" s="711">
        <f t="shared" si="12014"/>
        <v>0</v>
      </c>
      <c r="N2990" s="896" t="str">
        <f t="shared" ref="N2990" si="12140">IFERROR((M2991/M2990),"-")</f>
        <v>-</v>
      </c>
      <c r="O2990" s="528"/>
      <c r="P2990" s="547">
        <v>0</v>
      </c>
      <c r="Q2990" s="547">
        <v>0</v>
      </c>
      <c r="R2990" s="547">
        <v>0</v>
      </c>
      <c r="S2990" s="547">
        <v>0</v>
      </c>
      <c r="T2990" s="547">
        <v>0</v>
      </c>
      <c r="U2990" s="547">
        <v>0</v>
      </c>
      <c r="V2990" s="548">
        <v>0</v>
      </c>
      <c r="W2990" s="528"/>
      <c r="X2990" s="711">
        <f t="shared" si="12008"/>
        <v>0</v>
      </c>
      <c r="Y2990" s="896" t="str">
        <f t="shared" ref="Y2990" si="12141">IFERROR((X2991/X2990),"-")</f>
        <v>-</v>
      </c>
      <c r="Z2990" s="528"/>
      <c r="AA2990" s="898">
        <v>3800.05</v>
      </c>
      <c r="AB2990" s="898">
        <v>3800.05</v>
      </c>
      <c r="AC2990" s="898">
        <v>0</v>
      </c>
      <c r="AD2990" s="896">
        <f t="shared" ref="AD2990" si="12142">IFERROR((AC2990/AA2990),"-")</f>
        <v>0</v>
      </c>
      <c r="AE2990" s="2"/>
      <c r="AF2990" s="884">
        <v>0</v>
      </c>
      <c r="AG2990" s="884">
        <v>0</v>
      </c>
      <c r="AH2990" s="884">
        <v>0</v>
      </c>
      <c r="AI2990" s="884"/>
      <c r="AJ2990" s="884"/>
      <c r="AK2990" s="884">
        <f t="shared" ref="AK2990" si="12143">AF2990+AG2990+AH2990+AI2990+AJ2990+AC2990</f>
        <v>0</v>
      </c>
      <c r="AL2990" s="884">
        <v>3800.05</v>
      </c>
      <c r="AM2990" s="878">
        <f t="shared" ref="AM2990" si="12144">IFERROR((AK2990/AL2990),"-")</f>
        <v>0</v>
      </c>
      <c r="AN2990" s="2"/>
      <c r="AO2990" s="884">
        <v>3800.05</v>
      </c>
      <c r="AP2990" s="884">
        <f t="shared" ref="AP2990" si="12145">AO2990-AK2990</f>
        <v>3800.05</v>
      </c>
      <c r="AV2990" t="str">
        <f t="shared" si="12000"/>
        <v>Revegetação - Hidrossemeadura</v>
      </c>
      <c r="AW2990" s="4" t="str">
        <f t="shared" si="11993"/>
        <v xml:space="preserve">   Seg. 2.3-A01-Revestimento vegetal por hidrossemeadura</v>
      </c>
    </row>
    <row r="2991" spans="1:49" ht="15.6" customHeight="1" outlineLevel="2">
      <c r="A2991" s="8" t="str">
        <f t="shared" ref="A2991" si="12146">A2990</f>
        <v>N</v>
      </c>
      <c r="B2991" s="150">
        <v>1066523</v>
      </c>
      <c r="C2991" s="150" t="s">
        <v>3396</v>
      </c>
      <c r="D2991" s="120" t="s">
        <v>3397</v>
      </c>
      <c r="E2991" s="893"/>
      <c r="F2991" s="895"/>
      <c r="G2991" s="528"/>
      <c r="H2991" s="549" t="s">
        <v>38</v>
      </c>
      <c r="I2991" s="711">
        <v>0</v>
      </c>
      <c r="J2991" s="897"/>
      <c r="K2991" s="528"/>
      <c r="L2991" s="549" t="s">
        <v>38</v>
      </c>
      <c r="M2991" s="711">
        <f t="shared" si="12014"/>
        <v>0</v>
      </c>
      <c r="N2991" s="897"/>
      <c r="O2991" s="528"/>
      <c r="P2991" s="548">
        <v>0</v>
      </c>
      <c r="Q2991" s="548">
        <v>0</v>
      </c>
      <c r="R2991" s="548">
        <v>0</v>
      </c>
      <c r="S2991" s="548">
        <v>0</v>
      </c>
      <c r="T2991" s="548">
        <v>0</v>
      </c>
      <c r="U2991" s="548">
        <v>0</v>
      </c>
      <c r="V2991" s="548"/>
      <c r="W2991" s="528"/>
      <c r="X2991" s="711">
        <f t="shared" si="12008"/>
        <v>0</v>
      </c>
      <c r="Y2991" s="897"/>
      <c r="Z2991" s="528"/>
      <c r="AA2991" s="899"/>
      <c r="AB2991" s="899"/>
      <c r="AC2991" s="899"/>
      <c r="AD2991" s="897"/>
      <c r="AE2991" s="2"/>
      <c r="AF2991" s="885"/>
      <c r="AG2991" s="885"/>
      <c r="AH2991" s="885"/>
      <c r="AI2991" s="885"/>
      <c r="AJ2991" s="885"/>
      <c r="AK2991" s="885"/>
      <c r="AL2991" s="885"/>
      <c r="AM2991" s="879"/>
      <c r="AN2991" s="2"/>
      <c r="AO2991" s="886"/>
      <c r="AP2991" s="886"/>
      <c r="AV2991" t="str">
        <f t="shared" si="12000"/>
        <v>Revegetação - Hidrossemeadura</v>
      </c>
      <c r="AW2991" s="4" t="str">
        <f t="shared" si="11993"/>
        <v xml:space="preserve">   Seg. 2.3-A01-Revestimento vegetal por hidrossemeadura</v>
      </c>
    </row>
    <row r="2992" spans="1:49" ht="15.6" customHeight="1" outlineLevel="2">
      <c r="A2992" s="8" t="str">
        <f t="shared" ref="A2992" si="12147">IF(SUM(P2992:V2993)&gt;0,"S","N")</f>
        <v>N</v>
      </c>
      <c r="B2992" s="150">
        <v>1066524</v>
      </c>
      <c r="C2992" s="150" t="s">
        <v>3399</v>
      </c>
      <c r="D2992" s="120" t="s">
        <v>3400</v>
      </c>
      <c r="E2992" s="892" t="s">
        <v>3401</v>
      </c>
      <c r="F2992" s="894" t="s">
        <v>3210</v>
      </c>
      <c r="G2992" s="528"/>
      <c r="H2992" s="546" t="s">
        <v>37</v>
      </c>
      <c r="I2992" s="711">
        <v>0</v>
      </c>
      <c r="J2992" s="896" t="str">
        <f t="shared" ref="J2992" si="12148">IFERROR((I2993/I2992),"-")</f>
        <v>-</v>
      </c>
      <c r="K2992" s="528"/>
      <c r="L2992" s="546" t="s">
        <v>37</v>
      </c>
      <c r="M2992" s="711">
        <f t="shared" si="12014"/>
        <v>0</v>
      </c>
      <c r="N2992" s="896" t="str">
        <f t="shared" ref="N2992" si="12149">IFERROR((M2993/M2992),"-")</f>
        <v>-</v>
      </c>
      <c r="O2992" s="528"/>
      <c r="P2992" s="547">
        <v>0</v>
      </c>
      <c r="Q2992" s="547">
        <v>0</v>
      </c>
      <c r="R2992" s="547">
        <v>0</v>
      </c>
      <c r="S2992" s="547">
        <v>0</v>
      </c>
      <c r="T2992" s="547">
        <v>0</v>
      </c>
      <c r="U2992" s="547">
        <v>0</v>
      </c>
      <c r="V2992" s="548">
        <v>0</v>
      </c>
      <c r="W2992" s="528"/>
      <c r="X2992" s="711">
        <f t="shared" si="12008"/>
        <v>0</v>
      </c>
      <c r="Y2992" s="896" t="str">
        <f t="shared" ref="Y2992" si="12150">IFERROR((X2993/X2992),"-")</f>
        <v>-</v>
      </c>
      <c r="Z2992" s="528"/>
      <c r="AA2992" s="898">
        <v>0</v>
      </c>
      <c r="AB2992" s="898">
        <v>0</v>
      </c>
      <c r="AC2992" s="898">
        <v>0</v>
      </c>
      <c r="AD2992" s="896" t="str">
        <f t="shared" ref="AD2992" si="12151">IFERROR((AC2992/AA2992),"-")</f>
        <v>-</v>
      </c>
      <c r="AE2992" s="2"/>
      <c r="AF2992" s="884">
        <v>34555.5</v>
      </c>
      <c r="AG2992" s="884">
        <v>0</v>
      </c>
      <c r="AH2992" s="884">
        <v>0</v>
      </c>
      <c r="AI2992" s="884"/>
      <c r="AJ2992" s="884"/>
      <c r="AK2992" s="884">
        <f t="shared" ref="AK2992" si="12152">AF2992+AG2992+AH2992+AI2992+AJ2992+AC2992</f>
        <v>34555.5</v>
      </c>
      <c r="AL2992" s="884">
        <v>11334.36</v>
      </c>
      <c r="AM2992" s="878">
        <f t="shared" ref="AM2992" si="12153">IFERROR((AK2992/AL2992),"-")</f>
        <v>3.0487385260394055</v>
      </c>
      <c r="AN2992" s="2"/>
      <c r="AO2992" s="884">
        <v>11334.36</v>
      </c>
      <c r="AP2992" s="884">
        <f t="shared" ref="AP2992" si="12154">AO2992-AK2992</f>
        <v>-23221.14</v>
      </c>
      <c r="AV2992" t="str">
        <f t="shared" si="12000"/>
        <v>Revegetação - Hidrossemeadura</v>
      </c>
      <c r="AW2992" s="4" t="str">
        <f t="shared" si="11993"/>
        <v xml:space="preserve">   Seg. 2.3-A02-Revestimento vegetal por hidrossemeadura</v>
      </c>
    </row>
    <row r="2993" spans="1:49" ht="15.6" customHeight="1" outlineLevel="2">
      <c r="A2993" s="8" t="str">
        <f t="shared" ref="A2993" si="12155">A2992</f>
        <v>N</v>
      </c>
      <c r="B2993" s="150">
        <v>1066524</v>
      </c>
      <c r="C2993" s="150" t="s">
        <v>3399</v>
      </c>
      <c r="D2993" s="120" t="s">
        <v>3400</v>
      </c>
      <c r="E2993" s="893"/>
      <c r="F2993" s="895"/>
      <c r="G2993" s="528"/>
      <c r="H2993" s="549" t="s">
        <v>38</v>
      </c>
      <c r="I2993" s="711">
        <v>0</v>
      </c>
      <c r="J2993" s="897"/>
      <c r="K2993" s="528"/>
      <c r="L2993" s="549" t="s">
        <v>38</v>
      </c>
      <c r="M2993" s="711">
        <f t="shared" si="12014"/>
        <v>0</v>
      </c>
      <c r="N2993" s="897"/>
      <c r="O2993" s="528"/>
      <c r="P2993" s="548">
        <v>0</v>
      </c>
      <c r="Q2993" s="548">
        <v>0</v>
      </c>
      <c r="R2993" s="548">
        <v>0</v>
      </c>
      <c r="S2993" s="548">
        <v>0</v>
      </c>
      <c r="T2993" s="548">
        <v>0</v>
      </c>
      <c r="U2993" s="548">
        <v>0</v>
      </c>
      <c r="V2993" s="548"/>
      <c r="W2993" s="528"/>
      <c r="X2993" s="711">
        <f t="shared" si="12008"/>
        <v>0</v>
      </c>
      <c r="Y2993" s="897"/>
      <c r="Z2993" s="528"/>
      <c r="AA2993" s="899"/>
      <c r="AB2993" s="899"/>
      <c r="AC2993" s="899"/>
      <c r="AD2993" s="897"/>
      <c r="AE2993" s="2"/>
      <c r="AF2993" s="885"/>
      <c r="AG2993" s="885"/>
      <c r="AH2993" s="885"/>
      <c r="AI2993" s="885"/>
      <c r="AJ2993" s="885"/>
      <c r="AK2993" s="885"/>
      <c r="AL2993" s="885"/>
      <c r="AM2993" s="879"/>
      <c r="AN2993" s="2"/>
      <c r="AO2993" s="886"/>
      <c r="AP2993" s="886"/>
      <c r="AV2993" t="str">
        <f t="shared" si="12000"/>
        <v>Revegetação - Hidrossemeadura</v>
      </c>
      <c r="AW2993" s="4" t="str">
        <f t="shared" si="11993"/>
        <v xml:space="preserve">   Seg. 2.3-A02-Revestimento vegetal por hidrossemeadura</v>
      </c>
    </row>
    <row r="2994" spans="1:49" ht="15.6" customHeight="1" outlineLevel="2">
      <c r="A2994" s="8" t="str">
        <f t="shared" ref="A2994" si="12156">IF(SUM(P2994:V2995)&gt;0,"S","N")</f>
        <v>N</v>
      </c>
      <c r="B2994" s="150">
        <v>1066525</v>
      </c>
      <c r="C2994" s="150" t="s">
        <v>3402</v>
      </c>
      <c r="D2994" s="120" t="s">
        <v>3403</v>
      </c>
      <c r="E2994" s="892" t="s">
        <v>3404</v>
      </c>
      <c r="F2994" s="894" t="s">
        <v>3210</v>
      </c>
      <c r="G2994" s="528"/>
      <c r="H2994" s="546" t="s">
        <v>37</v>
      </c>
      <c r="I2994" s="711">
        <v>0</v>
      </c>
      <c r="J2994" s="896" t="str">
        <f t="shared" ref="J2994" si="12157">IFERROR((I2995/I2994),"-")</f>
        <v>-</v>
      </c>
      <c r="K2994" s="528"/>
      <c r="L2994" s="546" t="s">
        <v>37</v>
      </c>
      <c r="M2994" s="711">
        <f t="shared" si="12014"/>
        <v>0</v>
      </c>
      <c r="N2994" s="896" t="str">
        <f t="shared" ref="N2994" si="12158">IFERROR((M2995/M2994),"-")</f>
        <v>-</v>
      </c>
      <c r="O2994" s="528"/>
      <c r="P2994" s="547">
        <v>0</v>
      </c>
      <c r="Q2994" s="547">
        <v>0</v>
      </c>
      <c r="R2994" s="547">
        <v>0</v>
      </c>
      <c r="S2994" s="547">
        <v>0</v>
      </c>
      <c r="T2994" s="547">
        <v>0</v>
      </c>
      <c r="U2994" s="547">
        <v>0</v>
      </c>
      <c r="V2994" s="548">
        <v>0</v>
      </c>
      <c r="W2994" s="528"/>
      <c r="X2994" s="711">
        <f t="shared" si="12008"/>
        <v>0</v>
      </c>
      <c r="Y2994" s="896" t="str">
        <f t="shared" ref="Y2994" si="12159">IFERROR((X2995/X2994),"-")</f>
        <v>-</v>
      </c>
      <c r="Z2994" s="528"/>
      <c r="AA2994" s="898">
        <v>959.75</v>
      </c>
      <c r="AB2994" s="898">
        <v>959.75</v>
      </c>
      <c r="AC2994" s="898">
        <v>0</v>
      </c>
      <c r="AD2994" s="896">
        <f t="shared" ref="AD2994" si="12160">IFERROR((AC2994/AA2994),"-")</f>
        <v>0</v>
      </c>
      <c r="AE2994" s="2"/>
      <c r="AF2994" s="884">
        <v>0</v>
      </c>
      <c r="AG2994" s="884">
        <v>0</v>
      </c>
      <c r="AH2994" s="884">
        <v>0</v>
      </c>
      <c r="AI2994" s="884"/>
      <c r="AJ2994" s="884"/>
      <c r="AK2994" s="884">
        <f t="shared" ref="AK2994" si="12161">AF2994+AG2994+AH2994+AI2994+AJ2994+AC2994</f>
        <v>0</v>
      </c>
      <c r="AL2994" s="884">
        <v>959.75</v>
      </c>
      <c r="AM2994" s="878">
        <f t="shared" ref="AM2994" si="12162">IFERROR((AK2994/AL2994),"-")</f>
        <v>0</v>
      </c>
      <c r="AN2994" s="2"/>
      <c r="AO2994" s="884">
        <v>959.75</v>
      </c>
      <c r="AP2994" s="884">
        <f t="shared" ref="AP2994" si="12163">AO2994-AK2994</f>
        <v>959.75</v>
      </c>
      <c r="AV2994" t="str">
        <f t="shared" si="12000"/>
        <v>Revegetação - Hidrossemeadura</v>
      </c>
      <c r="AW2994" s="4" t="str">
        <f t="shared" si="11993"/>
        <v xml:space="preserve">   Seg. 2.3-A03-Revestimento vegetal por hidrossemeadura</v>
      </c>
    </row>
    <row r="2995" spans="1:49" ht="15.6" customHeight="1" outlineLevel="2">
      <c r="A2995" s="8" t="str">
        <f t="shared" ref="A2995" si="12164">A2994</f>
        <v>N</v>
      </c>
      <c r="B2995" s="150">
        <v>1066525</v>
      </c>
      <c r="C2995" s="150" t="s">
        <v>3402</v>
      </c>
      <c r="D2995" s="120" t="s">
        <v>3403</v>
      </c>
      <c r="E2995" s="893"/>
      <c r="F2995" s="895"/>
      <c r="G2995" s="528"/>
      <c r="H2995" s="549" t="s">
        <v>38</v>
      </c>
      <c r="I2995" s="711">
        <v>0</v>
      </c>
      <c r="J2995" s="897"/>
      <c r="K2995" s="528"/>
      <c r="L2995" s="549" t="s">
        <v>38</v>
      </c>
      <c r="M2995" s="711">
        <f t="shared" si="12014"/>
        <v>0</v>
      </c>
      <c r="N2995" s="897"/>
      <c r="O2995" s="528"/>
      <c r="P2995" s="548">
        <v>0</v>
      </c>
      <c r="Q2995" s="548">
        <v>0</v>
      </c>
      <c r="R2995" s="548">
        <v>0</v>
      </c>
      <c r="S2995" s="548">
        <v>0</v>
      </c>
      <c r="T2995" s="548">
        <v>0</v>
      </c>
      <c r="U2995" s="548">
        <v>0</v>
      </c>
      <c r="V2995" s="548"/>
      <c r="W2995" s="528"/>
      <c r="X2995" s="711">
        <f t="shared" si="12008"/>
        <v>0</v>
      </c>
      <c r="Y2995" s="897"/>
      <c r="Z2995" s="528"/>
      <c r="AA2995" s="899"/>
      <c r="AB2995" s="899"/>
      <c r="AC2995" s="899"/>
      <c r="AD2995" s="897"/>
      <c r="AE2995" s="2"/>
      <c r="AF2995" s="885"/>
      <c r="AG2995" s="885"/>
      <c r="AH2995" s="885"/>
      <c r="AI2995" s="885"/>
      <c r="AJ2995" s="885"/>
      <c r="AK2995" s="885"/>
      <c r="AL2995" s="885"/>
      <c r="AM2995" s="879"/>
      <c r="AN2995" s="2"/>
      <c r="AO2995" s="886"/>
      <c r="AP2995" s="886"/>
      <c r="AV2995" t="str">
        <f t="shared" si="12000"/>
        <v>Revegetação - Hidrossemeadura</v>
      </c>
      <c r="AW2995" s="4" t="str">
        <f t="shared" si="11993"/>
        <v xml:space="preserve">   Seg. 2.3-A03-Revestimento vegetal por hidrossemeadura</v>
      </c>
    </row>
    <row r="2996" spans="1:49" ht="15.6" customHeight="1" outlineLevel="2">
      <c r="A2996" s="8" t="str">
        <f t="shared" ref="A2996" si="12165">IF(SUM(P2996:V2997)&gt;0,"S","N")</f>
        <v>N</v>
      </c>
      <c r="B2996" s="150">
        <v>1066526</v>
      </c>
      <c r="C2996" s="150" t="s">
        <v>3405</v>
      </c>
      <c r="D2996" s="120" t="s">
        <v>3406</v>
      </c>
      <c r="E2996" s="892" t="s">
        <v>3407</v>
      </c>
      <c r="F2996" s="894" t="s">
        <v>3210</v>
      </c>
      <c r="G2996" s="528"/>
      <c r="H2996" s="546" t="s">
        <v>37</v>
      </c>
      <c r="I2996" s="711">
        <v>0</v>
      </c>
      <c r="J2996" s="896" t="str">
        <f t="shared" ref="J2996" si="12166">IFERROR((I2997/I2996),"-")</f>
        <v>-</v>
      </c>
      <c r="K2996" s="528"/>
      <c r="L2996" s="546" t="s">
        <v>37</v>
      </c>
      <c r="M2996" s="711">
        <f t="shared" si="12014"/>
        <v>0</v>
      </c>
      <c r="N2996" s="896" t="str">
        <f t="shared" ref="N2996" si="12167">IFERROR((M2997/M2996),"-")</f>
        <v>-</v>
      </c>
      <c r="O2996" s="528"/>
      <c r="P2996" s="547">
        <v>0</v>
      </c>
      <c r="Q2996" s="547">
        <v>0</v>
      </c>
      <c r="R2996" s="547">
        <v>0</v>
      </c>
      <c r="S2996" s="547">
        <v>0</v>
      </c>
      <c r="T2996" s="547">
        <v>0</v>
      </c>
      <c r="U2996" s="547">
        <v>0</v>
      </c>
      <c r="V2996" s="548">
        <v>0</v>
      </c>
      <c r="W2996" s="528"/>
      <c r="X2996" s="711">
        <f t="shared" si="12008"/>
        <v>0</v>
      </c>
      <c r="Y2996" s="896" t="str">
        <f t="shared" ref="Y2996" si="12168">IFERROR((X2997/X2996),"-")</f>
        <v>-</v>
      </c>
      <c r="Z2996" s="528"/>
      <c r="AA2996" s="898">
        <v>713.02</v>
      </c>
      <c r="AB2996" s="898">
        <v>713.02</v>
      </c>
      <c r="AC2996" s="898">
        <v>0</v>
      </c>
      <c r="AD2996" s="896">
        <f t="shared" ref="AD2996" si="12169">IFERROR((AC2996/AA2996),"-")</f>
        <v>0</v>
      </c>
      <c r="AE2996" s="2"/>
      <c r="AF2996" s="884">
        <v>0</v>
      </c>
      <c r="AG2996" s="884">
        <v>0</v>
      </c>
      <c r="AH2996" s="884">
        <v>0</v>
      </c>
      <c r="AI2996" s="884"/>
      <c r="AJ2996" s="884"/>
      <c r="AK2996" s="884">
        <f t="shared" ref="AK2996" si="12170">AF2996+AG2996+AH2996+AI2996+AJ2996+AC2996</f>
        <v>0</v>
      </c>
      <c r="AL2996" s="884">
        <v>713.02</v>
      </c>
      <c r="AM2996" s="878">
        <f t="shared" ref="AM2996" si="12171">IFERROR((AK2996/AL2996),"-")</f>
        <v>0</v>
      </c>
      <c r="AN2996" s="2"/>
      <c r="AO2996" s="884">
        <v>713.02</v>
      </c>
      <c r="AP2996" s="884">
        <f t="shared" ref="AP2996" si="12172">AO2996-AK2996</f>
        <v>713.02</v>
      </c>
      <c r="AV2996" t="str">
        <f t="shared" si="12000"/>
        <v>Revegetação - Hidrossemeadura</v>
      </c>
      <c r="AW2996" s="4" t="str">
        <f t="shared" si="11993"/>
        <v xml:space="preserve">   Seg. 2.3-A04-Revestimento vegetal por hidrossemeadura</v>
      </c>
    </row>
    <row r="2997" spans="1:49" ht="15.6" customHeight="1" outlineLevel="2">
      <c r="A2997" s="8" t="str">
        <f t="shared" ref="A2997" si="12173">A2996</f>
        <v>N</v>
      </c>
      <c r="B2997" s="150">
        <v>1066526</v>
      </c>
      <c r="C2997" s="150" t="s">
        <v>3405</v>
      </c>
      <c r="D2997" s="120" t="s">
        <v>3406</v>
      </c>
      <c r="E2997" s="893"/>
      <c r="F2997" s="895"/>
      <c r="G2997" s="528"/>
      <c r="H2997" s="549" t="s">
        <v>38</v>
      </c>
      <c r="I2997" s="711">
        <v>0</v>
      </c>
      <c r="J2997" s="897"/>
      <c r="K2997" s="528"/>
      <c r="L2997" s="549" t="s">
        <v>38</v>
      </c>
      <c r="M2997" s="711">
        <f t="shared" si="12014"/>
        <v>0</v>
      </c>
      <c r="N2997" s="897"/>
      <c r="O2997" s="528"/>
      <c r="P2997" s="548">
        <v>0</v>
      </c>
      <c r="Q2997" s="548">
        <v>0</v>
      </c>
      <c r="R2997" s="548">
        <v>0</v>
      </c>
      <c r="S2997" s="548">
        <v>0</v>
      </c>
      <c r="T2997" s="548">
        <v>0</v>
      </c>
      <c r="U2997" s="548">
        <v>0</v>
      </c>
      <c r="V2997" s="548"/>
      <c r="W2997" s="528"/>
      <c r="X2997" s="711">
        <f t="shared" si="12008"/>
        <v>0</v>
      </c>
      <c r="Y2997" s="897"/>
      <c r="Z2997" s="528"/>
      <c r="AA2997" s="899"/>
      <c r="AB2997" s="899"/>
      <c r="AC2997" s="899"/>
      <c r="AD2997" s="897"/>
      <c r="AE2997" s="2"/>
      <c r="AF2997" s="885"/>
      <c r="AG2997" s="885"/>
      <c r="AH2997" s="885"/>
      <c r="AI2997" s="885"/>
      <c r="AJ2997" s="885"/>
      <c r="AK2997" s="885"/>
      <c r="AL2997" s="885"/>
      <c r="AM2997" s="879"/>
      <c r="AN2997" s="2"/>
      <c r="AO2997" s="886"/>
      <c r="AP2997" s="886"/>
      <c r="AV2997" t="str">
        <f t="shared" si="12000"/>
        <v>Revegetação - Hidrossemeadura</v>
      </c>
      <c r="AW2997" s="4" t="str">
        <f t="shared" si="11993"/>
        <v xml:space="preserve">   Seg. 2.3-A04-Revestimento vegetal por hidrossemeadura</v>
      </c>
    </row>
    <row r="2998" spans="1:49" ht="15.6" customHeight="1" outlineLevel="2">
      <c r="A2998" s="8" t="str">
        <f t="shared" ref="A2998" si="12174">IF(SUM(P2998:V2999)&gt;0,"S","N")</f>
        <v>N</v>
      </c>
      <c r="B2998" s="150">
        <v>1066527</v>
      </c>
      <c r="C2998" s="150" t="s">
        <v>3408</v>
      </c>
      <c r="D2998" s="120" t="s">
        <v>3409</v>
      </c>
      <c r="E2998" s="892" t="s">
        <v>3410</v>
      </c>
      <c r="F2998" s="894" t="s">
        <v>3210</v>
      </c>
      <c r="G2998" s="528"/>
      <c r="H2998" s="546" t="s">
        <v>37</v>
      </c>
      <c r="I2998" s="711">
        <v>0</v>
      </c>
      <c r="J2998" s="896" t="str">
        <f t="shared" ref="J2998" si="12175">IFERROR((I2999/I2998),"-")</f>
        <v>-</v>
      </c>
      <c r="K2998" s="528"/>
      <c r="L2998" s="546" t="s">
        <v>37</v>
      </c>
      <c r="M2998" s="711">
        <f t="shared" si="12014"/>
        <v>0</v>
      </c>
      <c r="N2998" s="896" t="str">
        <f t="shared" ref="N2998" si="12176">IFERROR((M2999/M2998),"-")</f>
        <v>-</v>
      </c>
      <c r="O2998" s="528"/>
      <c r="P2998" s="547">
        <v>0</v>
      </c>
      <c r="Q2998" s="547">
        <v>0</v>
      </c>
      <c r="R2998" s="547">
        <v>0</v>
      </c>
      <c r="S2998" s="547">
        <v>0</v>
      </c>
      <c r="T2998" s="547">
        <v>0</v>
      </c>
      <c r="U2998" s="547">
        <v>0</v>
      </c>
      <c r="V2998" s="548">
        <v>0</v>
      </c>
      <c r="W2998" s="528"/>
      <c r="X2998" s="711">
        <f t="shared" si="12008"/>
        <v>0</v>
      </c>
      <c r="Y2998" s="896" t="str">
        <f t="shared" ref="Y2998" si="12177">IFERROR((X2999/X2998),"-")</f>
        <v>-</v>
      </c>
      <c r="Z2998" s="528"/>
      <c r="AA2998" s="898">
        <v>3560.42</v>
      </c>
      <c r="AB2998" s="898">
        <v>3449.88</v>
      </c>
      <c r="AC2998" s="898">
        <v>0</v>
      </c>
      <c r="AD2998" s="896">
        <f t="shared" ref="AD2998" si="12178">IFERROR((AC2998/AA2998),"-")</f>
        <v>0</v>
      </c>
      <c r="AE2998" s="2"/>
      <c r="AF2998" s="884">
        <v>0</v>
      </c>
      <c r="AG2998" s="884">
        <v>0</v>
      </c>
      <c r="AH2998" s="884">
        <v>0</v>
      </c>
      <c r="AI2998" s="884"/>
      <c r="AJ2998" s="884"/>
      <c r="AK2998" s="884">
        <f t="shared" ref="AK2998" si="12179">AF2998+AG2998+AH2998+AI2998+AJ2998+AC2998</f>
        <v>0</v>
      </c>
      <c r="AL2998" s="884">
        <v>3449.88</v>
      </c>
      <c r="AM2998" s="878">
        <f t="shared" ref="AM2998" si="12180">IFERROR((AK2998/AL2998),"-")</f>
        <v>0</v>
      </c>
      <c r="AN2998" s="2"/>
      <c r="AO2998" s="884">
        <v>3560.42</v>
      </c>
      <c r="AP2998" s="884">
        <f t="shared" ref="AP2998" si="12181">AO2998-AK2998</f>
        <v>3560.42</v>
      </c>
      <c r="AV2998" t="str">
        <f t="shared" si="12000"/>
        <v>Revegetação - Hidrossemeadura</v>
      </c>
      <c r="AW2998" s="4" t="str">
        <f t="shared" si="11993"/>
        <v xml:space="preserve">   Seg. 2.3-A05-Revestimento vegetal por hidrossemeadura</v>
      </c>
    </row>
    <row r="2999" spans="1:49" ht="15.6" customHeight="1" outlineLevel="2">
      <c r="A2999" s="8" t="str">
        <f t="shared" ref="A2999" si="12182">A2998</f>
        <v>N</v>
      </c>
      <c r="B2999" s="150">
        <v>1066527</v>
      </c>
      <c r="C2999" s="150" t="s">
        <v>3408</v>
      </c>
      <c r="D2999" s="120" t="s">
        <v>3409</v>
      </c>
      <c r="E2999" s="893"/>
      <c r="F2999" s="895"/>
      <c r="G2999" s="528"/>
      <c r="H2999" s="549" t="s">
        <v>38</v>
      </c>
      <c r="I2999" s="711">
        <v>0</v>
      </c>
      <c r="J2999" s="897"/>
      <c r="K2999" s="528"/>
      <c r="L2999" s="549" t="s">
        <v>38</v>
      </c>
      <c r="M2999" s="711">
        <f t="shared" si="12014"/>
        <v>0</v>
      </c>
      <c r="N2999" s="897"/>
      <c r="O2999" s="528"/>
      <c r="P2999" s="548">
        <v>0</v>
      </c>
      <c r="Q2999" s="548">
        <v>0</v>
      </c>
      <c r="R2999" s="548">
        <v>0</v>
      </c>
      <c r="S2999" s="548">
        <v>0</v>
      </c>
      <c r="T2999" s="548">
        <v>0</v>
      </c>
      <c r="U2999" s="548">
        <v>0</v>
      </c>
      <c r="V2999" s="548"/>
      <c r="W2999" s="528"/>
      <c r="X2999" s="711">
        <f t="shared" si="12008"/>
        <v>0</v>
      </c>
      <c r="Y2999" s="897"/>
      <c r="Z2999" s="528"/>
      <c r="AA2999" s="899"/>
      <c r="AB2999" s="899"/>
      <c r="AC2999" s="899"/>
      <c r="AD2999" s="897"/>
      <c r="AE2999" s="2"/>
      <c r="AF2999" s="885"/>
      <c r="AG2999" s="885"/>
      <c r="AH2999" s="885"/>
      <c r="AI2999" s="885"/>
      <c r="AJ2999" s="885"/>
      <c r="AK2999" s="885"/>
      <c r="AL2999" s="885"/>
      <c r="AM2999" s="879"/>
      <c r="AN2999" s="2"/>
      <c r="AO2999" s="886"/>
      <c r="AP2999" s="886"/>
      <c r="AV2999" t="str">
        <f t="shared" si="12000"/>
        <v>Revegetação - Hidrossemeadura</v>
      </c>
      <c r="AW2999" s="4" t="str">
        <f t="shared" si="11993"/>
        <v xml:space="preserve">   Seg. 2.3-A05-Revestimento vegetal por hidrossemeadura</v>
      </c>
    </row>
    <row r="3000" spans="1:49" ht="15.6" customHeight="1" outlineLevel="2">
      <c r="A3000" s="8" t="str">
        <f t="shared" ref="A3000" si="12183">IF(SUM(P3000:V3001)&gt;0,"S","N")</f>
        <v>N</v>
      </c>
      <c r="B3000" s="150">
        <v>1066528</v>
      </c>
      <c r="C3000" s="150" t="s">
        <v>3411</v>
      </c>
      <c r="D3000" s="120" t="s">
        <v>3412</v>
      </c>
      <c r="E3000" s="892" t="s">
        <v>3413</v>
      </c>
      <c r="F3000" s="894" t="s">
        <v>3210</v>
      </c>
      <c r="G3000" s="528"/>
      <c r="H3000" s="546" t="s">
        <v>37</v>
      </c>
      <c r="I3000" s="711">
        <v>0</v>
      </c>
      <c r="J3000" s="896" t="str">
        <f t="shared" ref="J3000" si="12184">IFERROR((I3001/I3000),"-")</f>
        <v>-</v>
      </c>
      <c r="K3000" s="528"/>
      <c r="L3000" s="546" t="s">
        <v>37</v>
      </c>
      <c r="M3000" s="711">
        <f t="shared" si="12014"/>
        <v>0</v>
      </c>
      <c r="N3000" s="896" t="str">
        <f t="shared" ref="N3000" si="12185">IFERROR((M3001/M3000),"-")</f>
        <v>-</v>
      </c>
      <c r="O3000" s="528"/>
      <c r="P3000" s="547">
        <v>0</v>
      </c>
      <c r="Q3000" s="547">
        <v>0</v>
      </c>
      <c r="R3000" s="547">
        <v>0</v>
      </c>
      <c r="S3000" s="547">
        <v>0</v>
      </c>
      <c r="T3000" s="547">
        <v>0</v>
      </c>
      <c r="U3000" s="547">
        <v>0</v>
      </c>
      <c r="V3000" s="548">
        <v>0</v>
      </c>
      <c r="W3000" s="528"/>
      <c r="X3000" s="711">
        <f t="shared" si="12008"/>
        <v>0</v>
      </c>
      <c r="Y3000" s="896" t="str">
        <f t="shared" ref="Y3000" si="12186">IFERROR((X3001/X3000),"-")</f>
        <v>-</v>
      </c>
      <c r="Z3000" s="528"/>
      <c r="AA3000" s="898">
        <v>15524.76</v>
      </c>
      <c r="AB3000" s="898">
        <v>0</v>
      </c>
      <c r="AC3000" s="898">
        <v>0</v>
      </c>
      <c r="AD3000" s="896">
        <f t="shared" ref="AD3000" si="12187">IFERROR((AC3000/AA3000),"-")</f>
        <v>0</v>
      </c>
      <c r="AE3000" s="2"/>
      <c r="AF3000" s="884">
        <v>0</v>
      </c>
      <c r="AG3000" s="884">
        <v>0</v>
      </c>
      <c r="AH3000" s="884">
        <v>0</v>
      </c>
      <c r="AI3000" s="884"/>
      <c r="AJ3000" s="884"/>
      <c r="AK3000" s="884">
        <f t="shared" ref="AK3000" si="12188">AF3000+AG3000+AH3000+AI3000+AJ3000+AC3000</f>
        <v>0</v>
      </c>
      <c r="AL3000" s="884">
        <v>0</v>
      </c>
      <c r="AM3000" s="878" t="str">
        <f t="shared" ref="AM3000" si="12189">IFERROR((AK3000/AL3000),"-")</f>
        <v>-</v>
      </c>
      <c r="AN3000" s="2"/>
      <c r="AO3000" s="884">
        <v>15524.76</v>
      </c>
      <c r="AP3000" s="884">
        <f t="shared" ref="AP3000" si="12190">AO3000-AK3000</f>
        <v>15524.76</v>
      </c>
      <c r="AV3000" t="str">
        <f t="shared" si="12000"/>
        <v>Revegetação - Hidrossemeadura</v>
      </c>
      <c r="AW3000" s="4" t="str">
        <f t="shared" si="11993"/>
        <v xml:space="preserve">   Seg. 2.3-A06-Revestimento vegetal por hidrossemeadura</v>
      </c>
    </row>
    <row r="3001" spans="1:49" ht="15.6" customHeight="1" outlineLevel="2">
      <c r="A3001" s="8" t="str">
        <f t="shared" ref="A3001" si="12191">A3000</f>
        <v>N</v>
      </c>
      <c r="B3001" s="150">
        <v>1066528</v>
      </c>
      <c r="C3001" s="150" t="s">
        <v>3411</v>
      </c>
      <c r="D3001" s="120" t="s">
        <v>3412</v>
      </c>
      <c r="E3001" s="893"/>
      <c r="F3001" s="895"/>
      <c r="G3001" s="528"/>
      <c r="H3001" s="549" t="s">
        <v>38</v>
      </c>
      <c r="I3001" s="711">
        <v>0</v>
      </c>
      <c r="J3001" s="897"/>
      <c r="K3001" s="528"/>
      <c r="L3001" s="549" t="s">
        <v>38</v>
      </c>
      <c r="M3001" s="711">
        <f t="shared" si="12014"/>
        <v>0</v>
      </c>
      <c r="N3001" s="897"/>
      <c r="O3001" s="528"/>
      <c r="P3001" s="548">
        <v>0</v>
      </c>
      <c r="Q3001" s="548">
        <v>0</v>
      </c>
      <c r="R3001" s="548">
        <v>0</v>
      </c>
      <c r="S3001" s="548">
        <v>0</v>
      </c>
      <c r="T3001" s="548">
        <v>0</v>
      </c>
      <c r="U3001" s="548">
        <v>0</v>
      </c>
      <c r="V3001" s="548"/>
      <c r="W3001" s="528"/>
      <c r="X3001" s="711">
        <f t="shared" si="12008"/>
        <v>0</v>
      </c>
      <c r="Y3001" s="897"/>
      <c r="Z3001" s="528"/>
      <c r="AA3001" s="899"/>
      <c r="AB3001" s="899"/>
      <c r="AC3001" s="899"/>
      <c r="AD3001" s="897"/>
      <c r="AE3001" s="2"/>
      <c r="AF3001" s="885"/>
      <c r="AG3001" s="885"/>
      <c r="AH3001" s="885"/>
      <c r="AI3001" s="885"/>
      <c r="AJ3001" s="885"/>
      <c r="AK3001" s="885"/>
      <c r="AL3001" s="885"/>
      <c r="AM3001" s="879"/>
      <c r="AN3001" s="2"/>
      <c r="AO3001" s="886"/>
      <c r="AP3001" s="886"/>
      <c r="AV3001" t="str">
        <f t="shared" si="12000"/>
        <v>Revegetação - Hidrossemeadura</v>
      </c>
      <c r="AW3001" s="4" t="str">
        <f t="shared" si="11993"/>
        <v xml:space="preserve">   Seg. 2.3-A06-Revestimento vegetal por hidrossemeadura</v>
      </c>
    </row>
    <row r="3002" spans="1:49" ht="15.6" customHeight="1" outlineLevel="2">
      <c r="A3002" s="8" t="str">
        <f t="shared" ref="A3002" si="12192">IF(SUM(P3002:V3003)&gt;0,"S","N")</f>
        <v>N</v>
      </c>
      <c r="B3002" s="150">
        <v>1066529</v>
      </c>
      <c r="C3002" s="150" t="s">
        <v>3414</v>
      </c>
      <c r="D3002" s="120" t="s">
        <v>3415</v>
      </c>
      <c r="E3002" s="892" t="s">
        <v>3416</v>
      </c>
      <c r="F3002" s="894" t="s">
        <v>3210</v>
      </c>
      <c r="G3002" s="528"/>
      <c r="H3002" s="546" t="s">
        <v>37</v>
      </c>
      <c r="I3002" s="711">
        <v>0</v>
      </c>
      <c r="J3002" s="896" t="str">
        <f t="shared" ref="J3002" si="12193">IFERROR((I3003/I3002),"-")</f>
        <v>-</v>
      </c>
      <c r="K3002" s="528"/>
      <c r="L3002" s="546" t="s">
        <v>37</v>
      </c>
      <c r="M3002" s="711">
        <f t="shared" si="12014"/>
        <v>0</v>
      </c>
      <c r="N3002" s="896" t="str">
        <f t="shared" ref="N3002" si="12194">IFERROR((M3003/M3002),"-")</f>
        <v>-</v>
      </c>
      <c r="O3002" s="528"/>
      <c r="P3002" s="547">
        <v>0</v>
      </c>
      <c r="Q3002" s="547">
        <v>0</v>
      </c>
      <c r="R3002" s="547">
        <v>0</v>
      </c>
      <c r="S3002" s="547">
        <v>0</v>
      </c>
      <c r="T3002" s="547">
        <v>0</v>
      </c>
      <c r="U3002" s="547">
        <v>0</v>
      </c>
      <c r="V3002" s="548">
        <v>0</v>
      </c>
      <c r="W3002" s="528"/>
      <c r="X3002" s="711">
        <f t="shared" si="12008"/>
        <v>0</v>
      </c>
      <c r="Y3002" s="896" t="str">
        <f t="shared" ref="Y3002" si="12195">IFERROR((X3003/X3002),"-")</f>
        <v>-</v>
      </c>
      <c r="Z3002" s="528"/>
      <c r="AA3002" s="898">
        <v>184.69</v>
      </c>
      <c r="AB3002" s="898">
        <v>0</v>
      </c>
      <c r="AC3002" s="898">
        <v>0</v>
      </c>
      <c r="AD3002" s="896">
        <f t="shared" ref="AD3002" si="12196">IFERROR((AC3002/AA3002),"-")</f>
        <v>0</v>
      </c>
      <c r="AE3002" s="2"/>
      <c r="AF3002" s="884">
        <v>0</v>
      </c>
      <c r="AG3002" s="884">
        <v>0</v>
      </c>
      <c r="AH3002" s="884">
        <v>0</v>
      </c>
      <c r="AI3002" s="884"/>
      <c r="AJ3002" s="884"/>
      <c r="AK3002" s="884">
        <f t="shared" ref="AK3002" si="12197">AF3002+AG3002+AH3002+AI3002+AJ3002+AC3002</f>
        <v>0</v>
      </c>
      <c r="AL3002" s="884">
        <v>0</v>
      </c>
      <c r="AM3002" s="878" t="str">
        <f t="shared" ref="AM3002" si="12198">IFERROR((AK3002/AL3002),"-")</f>
        <v>-</v>
      </c>
      <c r="AN3002" s="2"/>
      <c r="AO3002" s="884">
        <v>184.69</v>
      </c>
      <c r="AP3002" s="884">
        <f t="shared" ref="AP3002" si="12199">AO3002-AK3002</f>
        <v>184.69</v>
      </c>
      <c r="AV3002" t="str">
        <f t="shared" si="12000"/>
        <v>Revegetação - Hidrossemeadura</v>
      </c>
      <c r="AW3002" s="4" t="str">
        <f t="shared" si="11993"/>
        <v xml:space="preserve">   Seg. 2.3-A07-Revestimento vegetal por hidrossemeadura</v>
      </c>
    </row>
    <row r="3003" spans="1:49" ht="15.6" customHeight="1" outlineLevel="2">
      <c r="A3003" s="8" t="str">
        <f t="shared" ref="A3003" si="12200">A3002</f>
        <v>N</v>
      </c>
      <c r="B3003" s="150">
        <v>1066529</v>
      </c>
      <c r="C3003" s="150" t="s">
        <v>3414</v>
      </c>
      <c r="D3003" s="120" t="s">
        <v>3415</v>
      </c>
      <c r="E3003" s="893"/>
      <c r="F3003" s="895"/>
      <c r="G3003" s="528"/>
      <c r="H3003" s="549" t="s">
        <v>38</v>
      </c>
      <c r="I3003" s="711">
        <v>0</v>
      </c>
      <c r="J3003" s="897"/>
      <c r="K3003" s="528"/>
      <c r="L3003" s="549" t="s">
        <v>38</v>
      </c>
      <c r="M3003" s="711">
        <f t="shared" si="12014"/>
        <v>0</v>
      </c>
      <c r="N3003" s="897"/>
      <c r="O3003" s="528"/>
      <c r="P3003" s="548">
        <v>0</v>
      </c>
      <c r="Q3003" s="548">
        <v>0</v>
      </c>
      <c r="R3003" s="548">
        <v>0</v>
      </c>
      <c r="S3003" s="548">
        <v>0</v>
      </c>
      <c r="T3003" s="548">
        <v>0</v>
      </c>
      <c r="U3003" s="548">
        <v>0</v>
      </c>
      <c r="V3003" s="548"/>
      <c r="W3003" s="528"/>
      <c r="X3003" s="711">
        <f t="shared" si="12008"/>
        <v>0</v>
      </c>
      <c r="Y3003" s="897"/>
      <c r="Z3003" s="528"/>
      <c r="AA3003" s="899"/>
      <c r="AB3003" s="899"/>
      <c r="AC3003" s="899"/>
      <c r="AD3003" s="897"/>
      <c r="AE3003" s="2"/>
      <c r="AF3003" s="885"/>
      <c r="AG3003" s="885"/>
      <c r="AH3003" s="885"/>
      <c r="AI3003" s="885"/>
      <c r="AJ3003" s="885"/>
      <c r="AK3003" s="885"/>
      <c r="AL3003" s="885"/>
      <c r="AM3003" s="879"/>
      <c r="AN3003" s="2"/>
      <c r="AO3003" s="886"/>
      <c r="AP3003" s="886"/>
      <c r="AV3003" t="str">
        <f t="shared" si="12000"/>
        <v>Revegetação - Hidrossemeadura</v>
      </c>
      <c r="AW3003" s="4" t="str">
        <f t="shared" si="11993"/>
        <v xml:space="preserve">   Seg. 2.3-A07-Revestimento vegetal por hidrossemeadura</v>
      </c>
    </row>
    <row r="3004" spans="1:49" ht="15.6" customHeight="1" outlineLevel="2">
      <c r="A3004" s="8" t="str">
        <f t="shared" ref="A3004" si="12201">IF(SUM(P3004:V3005)&gt;0,"S","N")</f>
        <v>N</v>
      </c>
      <c r="B3004" s="150">
        <v>1066535</v>
      </c>
      <c r="C3004" s="150" t="s">
        <v>3417</v>
      </c>
      <c r="D3004" s="120" t="s">
        <v>3418</v>
      </c>
      <c r="E3004" s="892" t="s">
        <v>3419</v>
      </c>
      <c r="F3004" s="894" t="s">
        <v>3210</v>
      </c>
      <c r="G3004" s="528"/>
      <c r="H3004" s="546" t="s">
        <v>37</v>
      </c>
      <c r="I3004" s="711">
        <v>0</v>
      </c>
      <c r="J3004" s="896" t="str">
        <f t="shared" ref="J3004" si="12202">IFERROR((I3005/I3004),"-")</f>
        <v>-</v>
      </c>
      <c r="K3004" s="528"/>
      <c r="L3004" s="546" t="s">
        <v>37</v>
      </c>
      <c r="M3004" s="711">
        <f t="shared" si="12014"/>
        <v>0</v>
      </c>
      <c r="N3004" s="896" t="str">
        <f t="shared" ref="N3004" si="12203">IFERROR((M3005/M3004),"-")</f>
        <v>-</v>
      </c>
      <c r="O3004" s="528"/>
      <c r="P3004" s="547">
        <v>0</v>
      </c>
      <c r="Q3004" s="547">
        <v>0</v>
      </c>
      <c r="R3004" s="547">
        <v>0</v>
      </c>
      <c r="S3004" s="547">
        <v>0</v>
      </c>
      <c r="T3004" s="547">
        <v>0</v>
      </c>
      <c r="U3004" s="547">
        <v>0</v>
      </c>
      <c r="V3004" s="548">
        <v>0</v>
      </c>
      <c r="W3004" s="528"/>
      <c r="X3004" s="711">
        <f t="shared" si="12008"/>
        <v>0</v>
      </c>
      <c r="Y3004" s="896" t="str">
        <f t="shared" ref="Y3004" si="12204">IFERROR((X3005/X3004),"-")</f>
        <v>-</v>
      </c>
      <c r="Z3004" s="528"/>
      <c r="AA3004" s="898">
        <v>0</v>
      </c>
      <c r="AB3004" s="898">
        <v>0</v>
      </c>
      <c r="AC3004" s="898">
        <v>0</v>
      </c>
      <c r="AD3004" s="896" t="str">
        <f t="shared" ref="AD3004" si="12205">IFERROR((AC3004/AA3004),"-")</f>
        <v>-</v>
      </c>
      <c r="AE3004" s="2"/>
      <c r="AF3004" s="884">
        <v>0</v>
      </c>
      <c r="AG3004" s="884">
        <v>0</v>
      </c>
      <c r="AH3004" s="884">
        <v>0</v>
      </c>
      <c r="AI3004" s="884"/>
      <c r="AJ3004" s="884"/>
      <c r="AK3004" s="884">
        <f t="shared" ref="AK3004" si="12206">AF3004+AG3004+AH3004+AI3004+AJ3004+AC3004</f>
        <v>0</v>
      </c>
      <c r="AL3004" s="884">
        <v>0</v>
      </c>
      <c r="AM3004" s="878" t="str">
        <f t="shared" ref="AM3004" si="12207">IFERROR((AK3004/AL3004),"-")</f>
        <v>-</v>
      </c>
      <c r="AN3004" s="2"/>
      <c r="AO3004" s="884">
        <v>10847.52</v>
      </c>
      <c r="AP3004" s="884">
        <f t="shared" ref="AP3004" si="12208">AO3004-AK3004</f>
        <v>10847.52</v>
      </c>
      <c r="AV3004" t="str">
        <f t="shared" si="12000"/>
        <v>Revegetação - Hidrossemeadura</v>
      </c>
      <c r="AW3004" s="4" t="str">
        <f t="shared" si="11993"/>
        <v xml:space="preserve">   Seg. 2.3-A13-Revestimento vegetal por hidrossemeadura</v>
      </c>
    </row>
    <row r="3005" spans="1:49" ht="14.45" customHeight="1" outlineLevel="2">
      <c r="A3005" s="8" t="str">
        <f t="shared" ref="A3005" si="12209">A3004</f>
        <v>N</v>
      </c>
      <c r="B3005" s="150">
        <v>1066535</v>
      </c>
      <c r="C3005" s="150" t="s">
        <v>3417</v>
      </c>
      <c r="D3005" s="120" t="s">
        <v>3418</v>
      </c>
      <c r="E3005" s="893"/>
      <c r="F3005" s="895"/>
      <c r="G3005" s="528"/>
      <c r="H3005" s="549" t="s">
        <v>38</v>
      </c>
      <c r="I3005" s="711">
        <v>0</v>
      </c>
      <c r="J3005" s="897"/>
      <c r="K3005" s="528"/>
      <c r="L3005" s="549" t="s">
        <v>38</v>
      </c>
      <c r="M3005" s="711">
        <f t="shared" si="12014"/>
        <v>0</v>
      </c>
      <c r="N3005" s="897"/>
      <c r="O3005" s="528"/>
      <c r="P3005" s="548">
        <v>0</v>
      </c>
      <c r="Q3005" s="548">
        <v>0</v>
      </c>
      <c r="R3005" s="548">
        <v>0</v>
      </c>
      <c r="S3005" s="548">
        <v>0</v>
      </c>
      <c r="T3005" s="548">
        <v>0</v>
      </c>
      <c r="U3005" s="548">
        <v>0</v>
      </c>
      <c r="V3005" s="548"/>
      <c r="W3005" s="528"/>
      <c r="X3005" s="711">
        <f t="shared" si="12008"/>
        <v>0</v>
      </c>
      <c r="Y3005" s="897"/>
      <c r="Z3005" s="528"/>
      <c r="AA3005" s="899"/>
      <c r="AB3005" s="899"/>
      <c r="AC3005" s="899"/>
      <c r="AD3005" s="897"/>
      <c r="AE3005" s="2"/>
      <c r="AF3005" s="885"/>
      <c r="AG3005" s="885"/>
      <c r="AH3005" s="885"/>
      <c r="AI3005" s="885"/>
      <c r="AJ3005" s="885"/>
      <c r="AK3005" s="885"/>
      <c r="AL3005" s="885"/>
      <c r="AM3005" s="879"/>
      <c r="AN3005" s="2"/>
      <c r="AO3005" s="886"/>
      <c r="AP3005" s="886"/>
      <c r="AV3005" t="str">
        <f t="shared" si="12000"/>
        <v>Revegetação - Hidrossemeadura</v>
      </c>
      <c r="AW3005" s="4" t="str">
        <f t="shared" si="11993"/>
        <v xml:space="preserve">   Seg. 2.3-A13-Revestimento vegetal por hidrossemeadura</v>
      </c>
    </row>
    <row r="3006" spans="1:49" ht="5.0999999999999996" customHeight="1" outlineLevel="2">
      <c r="A3006" s="8" t="str">
        <f t="shared" ref="A3006" si="12210">IF(SUM(P3006:V3007)&gt;0,"S","N")</f>
        <v>N</v>
      </c>
      <c r="B3006" s="150">
        <v>1066536</v>
      </c>
      <c r="C3006" s="150" t="s">
        <v>3420</v>
      </c>
      <c r="D3006" s="120" t="s">
        <v>3421</v>
      </c>
      <c r="E3006" s="892" t="s">
        <v>3422</v>
      </c>
      <c r="F3006" s="894" t="s">
        <v>3210</v>
      </c>
      <c r="G3006" s="528"/>
      <c r="H3006" s="546" t="s">
        <v>37</v>
      </c>
      <c r="I3006" s="711">
        <v>0</v>
      </c>
      <c r="J3006" s="896" t="str">
        <f t="shared" ref="J3006" si="12211">IFERROR((I3007/I3006),"-")</f>
        <v>-</v>
      </c>
      <c r="K3006" s="528"/>
      <c r="L3006" s="546" t="s">
        <v>37</v>
      </c>
      <c r="M3006" s="711">
        <f t="shared" si="12014"/>
        <v>0</v>
      </c>
      <c r="N3006" s="896" t="str">
        <f t="shared" ref="N3006" si="12212">IFERROR((M3007/M3006),"-")</f>
        <v>-</v>
      </c>
      <c r="O3006" s="528"/>
      <c r="P3006" s="547">
        <v>0</v>
      </c>
      <c r="Q3006" s="547">
        <v>0</v>
      </c>
      <c r="R3006" s="547">
        <v>0</v>
      </c>
      <c r="S3006" s="547">
        <v>0</v>
      </c>
      <c r="T3006" s="547">
        <v>0</v>
      </c>
      <c r="U3006" s="547">
        <v>0</v>
      </c>
      <c r="V3006" s="548">
        <v>0</v>
      </c>
      <c r="W3006" s="528"/>
      <c r="X3006" s="711">
        <f t="shared" si="12008"/>
        <v>0</v>
      </c>
      <c r="Y3006" s="896" t="str">
        <f t="shared" ref="Y3006" si="12213">IFERROR((X3007/X3006),"-")</f>
        <v>-</v>
      </c>
      <c r="Z3006" s="528"/>
      <c r="AA3006" s="898">
        <v>0</v>
      </c>
      <c r="AB3006" s="898">
        <v>0</v>
      </c>
      <c r="AC3006" s="898">
        <v>0</v>
      </c>
      <c r="AD3006" s="896" t="str">
        <f t="shared" ref="AD3006" si="12214">IFERROR((AC3006/AA3006),"-")</f>
        <v>-</v>
      </c>
      <c r="AE3006" s="2"/>
      <c r="AF3006" s="884">
        <v>0</v>
      </c>
      <c r="AG3006" s="884">
        <v>0</v>
      </c>
      <c r="AH3006" s="884">
        <v>0</v>
      </c>
      <c r="AI3006" s="884"/>
      <c r="AJ3006" s="884"/>
      <c r="AK3006" s="884">
        <f t="shared" ref="AK3006" si="12215">AF3006+AG3006+AH3006+AI3006+AJ3006+AC3006</f>
        <v>0</v>
      </c>
      <c r="AL3006" s="884">
        <v>0</v>
      </c>
      <c r="AM3006" s="878" t="str">
        <f t="shared" ref="AM3006" si="12216">IFERROR((AK3006/AL3006),"-")</f>
        <v>-</v>
      </c>
      <c r="AN3006" s="2"/>
      <c r="AO3006" s="884">
        <v>2092.29</v>
      </c>
      <c r="AP3006" s="884">
        <f t="shared" ref="AP3006" si="12217">AO3006-AK3006</f>
        <v>2092.29</v>
      </c>
      <c r="AV3006" t="str">
        <f t="shared" si="12000"/>
        <v>Revegetação - Hidrossemeadura</v>
      </c>
      <c r="AW3006" s="4" t="str">
        <f t="shared" si="11993"/>
        <v xml:space="preserve">   Seg. 2.3-A14-Revestimento vegetal por hidrossemeadura</v>
      </c>
    </row>
    <row r="3007" spans="1:49" ht="14.45" customHeight="1" outlineLevel="2">
      <c r="A3007" s="8" t="str">
        <f t="shared" ref="A3007" si="12218">A3006</f>
        <v>N</v>
      </c>
      <c r="B3007" s="150">
        <v>1066536</v>
      </c>
      <c r="C3007" s="150" t="s">
        <v>3420</v>
      </c>
      <c r="D3007" s="120" t="s">
        <v>3421</v>
      </c>
      <c r="E3007" s="893"/>
      <c r="F3007" s="895"/>
      <c r="G3007" s="528"/>
      <c r="H3007" s="549" t="s">
        <v>38</v>
      </c>
      <c r="I3007" s="711">
        <v>0</v>
      </c>
      <c r="J3007" s="897"/>
      <c r="K3007" s="528"/>
      <c r="L3007" s="549" t="s">
        <v>38</v>
      </c>
      <c r="M3007" s="711">
        <f t="shared" si="12014"/>
        <v>0</v>
      </c>
      <c r="N3007" s="897"/>
      <c r="O3007" s="528"/>
      <c r="P3007" s="548">
        <v>0</v>
      </c>
      <c r="Q3007" s="548">
        <v>0</v>
      </c>
      <c r="R3007" s="548">
        <v>0</v>
      </c>
      <c r="S3007" s="548">
        <v>0</v>
      </c>
      <c r="T3007" s="548">
        <v>0</v>
      </c>
      <c r="U3007" s="548">
        <v>0</v>
      </c>
      <c r="V3007" s="548"/>
      <c r="W3007" s="528"/>
      <c r="X3007" s="711">
        <f t="shared" si="12008"/>
        <v>0</v>
      </c>
      <c r="Y3007" s="897"/>
      <c r="Z3007" s="528"/>
      <c r="AA3007" s="899"/>
      <c r="AB3007" s="899"/>
      <c r="AC3007" s="899"/>
      <c r="AD3007" s="897"/>
      <c r="AE3007" s="2"/>
      <c r="AF3007" s="885"/>
      <c r="AG3007" s="885"/>
      <c r="AH3007" s="885"/>
      <c r="AI3007" s="885"/>
      <c r="AJ3007" s="885"/>
      <c r="AK3007" s="885"/>
      <c r="AL3007" s="885"/>
      <c r="AM3007" s="879"/>
      <c r="AN3007" s="2"/>
      <c r="AO3007" s="886"/>
      <c r="AP3007" s="886"/>
      <c r="AV3007" t="str">
        <f t="shared" si="12000"/>
        <v>Revegetação - Hidrossemeadura</v>
      </c>
      <c r="AW3007" s="4" t="str">
        <f t="shared" si="11993"/>
        <v xml:space="preserve">   Seg. 2.3-A14-Revestimento vegetal por hidrossemeadura</v>
      </c>
    </row>
    <row r="3008" spans="1:49" ht="14.45" customHeight="1" outlineLevel="2">
      <c r="A3008" s="8" t="str">
        <f t="shared" ref="A3008" si="12219">IF(SUM(P3008:V3009)&gt;0,"S","N")</f>
        <v>N</v>
      </c>
      <c r="B3008" s="150">
        <v>1066537</v>
      </c>
      <c r="C3008" s="150" t="s">
        <v>3423</v>
      </c>
      <c r="D3008" s="120" t="s">
        <v>3424</v>
      </c>
      <c r="E3008" s="892" t="s">
        <v>3425</v>
      </c>
      <c r="F3008" s="894" t="s">
        <v>3210</v>
      </c>
      <c r="G3008" s="528"/>
      <c r="H3008" s="546" t="s">
        <v>37</v>
      </c>
      <c r="I3008" s="711">
        <v>0</v>
      </c>
      <c r="J3008" s="896" t="str">
        <f t="shared" ref="J3008" si="12220">IFERROR((I3009/I3008),"-")</f>
        <v>-</v>
      </c>
      <c r="K3008" s="528"/>
      <c r="L3008" s="546" t="s">
        <v>37</v>
      </c>
      <c r="M3008" s="711">
        <f t="shared" si="12014"/>
        <v>0</v>
      </c>
      <c r="N3008" s="896" t="str">
        <f t="shared" ref="N3008" si="12221">IFERROR((M3009/M3008),"-")</f>
        <v>-</v>
      </c>
      <c r="O3008" s="528"/>
      <c r="P3008" s="547">
        <v>0</v>
      </c>
      <c r="Q3008" s="547">
        <v>0</v>
      </c>
      <c r="R3008" s="547">
        <v>0</v>
      </c>
      <c r="S3008" s="547">
        <v>0</v>
      </c>
      <c r="T3008" s="547">
        <v>0</v>
      </c>
      <c r="U3008" s="547">
        <v>0</v>
      </c>
      <c r="V3008" s="548">
        <v>0</v>
      </c>
      <c r="W3008" s="528"/>
      <c r="X3008" s="711">
        <f t="shared" si="12008"/>
        <v>0</v>
      </c>
      <c r="Y3008" s="896" t="str">
        <f t="shared" ref="Y3008" si="12222">IFERROR((X3009/X3008),"-")</f>
        <v>-</v>
      </c>
      <c r="Z3008" s="528"/>
      <c r="AA3008" s="898">
        <v>0</v>
      </c>
      <c r="AB3008" s="898">
        <v>0</v>
      </c>
      <c r="AC3008" s="898">
        <v>0</v>
      </c>
      <c r="AD3008" s="896" t="str">
        <f t="shared" ref="AD3008" si="12223">IFERROR((AC3008/AA3008),"-")</f>
        <v>-</v>
      </c>
      <c r="AE3008" s="2"/>
      <c r="AF3008" s="884">
        <v>0</v>
      </c>
      <c r="AG3008" s="884">
        <v>0</v>
      </c>
      <c r="AH3008" s="884">
        <v>0</v>
      </c>
      <c r="AI3008" s="884"/>
      <c r="AJ3008" s="884"/>
      <c r="AK3008" s="884">
        <f t="shared" ref="AK3008" si="12224">AF3008+AG3008+AH3008+AI3008+AJ3008+AC3008</f>
        <v>0</v>
      </c>
      <c r="AL3008" s="884">
        <v>0</v>
      </c>
      <c r="AM3008" s="878" t="str">
        <f t="shared" ref="AM3008" si="12225">IFERROR((AK3008/AL3008),"-")</f>
        <v>-</v>
      </c>
      <c r="AN3008" s="2"/>
      <c r="AO3008" s="884">
        <v>20502.419999999998</v>
      </c>
      <c r="AP3008" s="884">
        <f t="shared" ref="AP3008" si="12226">AO3008-AK3008</f>
        <v>20502.419999999998</v>
      </c>
      <c r="AV3008" t="str">
        <f t="shared" si="12000"/>
        <v>Revegetação - Hidrossemeadura</v>
      </c>
      <c r="AW3008" s="4" t="str">
        <f t="shared" si="11993"/>
        <v xml:space="preserve">   Seg. 2.3-A15-Revestimento vegetal por hidrossemeadura</v>
      </c>
    </row>
    <row r="3009" spans="1:49" ht="15.6" customHeight="1" outlineLevel="2">
      <c r="A3009" s="8" t="str">
        <f t="shared" ref="A3009" si="12227">A3008</f>
        <v>N</v>
      </c>
      <c r="B3009" s="150">
        <v>1066537</v>
      </c>
      <c r="C3009" s="150" t="s">
        <v>3423</v>
      </c>
      <c r="D3009" s="120" t="s">
        <v>3424</v>
      </c>
      <c r="E3009" s="893"/>
      <c r="F3009" s="895"/>
      <c r="G3009" s="528"/>
      <c r="H3009" s="549" t="s">
        <v>38</v>
      </c>
      <c r="I3009" s="711">
        <v>0</v>
      </c>
      <c r="J3009" s="897"/>
      <c r="K3009" s="528"/>
      <c r="L3009" s="549" t="s">
        <v>38</v>
      </c>
      <c r="M3009" s="711">
        <f t="shared" si="12014"/>
        <v>0</v>
      </c>
      <c r="N3009" s="897"/>
      <c r="O3009" s="528"/>
      <c r="P3009" s="548">
        <v>0</v>
      </c>
      <c r="Q3009" s="548">
        <v>0</v>
      </c>
      <c r="R3009" s="548">
        <v>0</v>
      </c>
      <c r="S3009" s="548">
        <v>0</v>
      </c>
      <c r="T3009" s="548">
        <v>0</v>
      </c>
      <c r="U3009" s="548">
        <v>0</v>
      </c>
      <c r="V3009" s="548"/>
      <c r="W3009" s="528"/>
      <c r="X3009" s="711">
        <f t="shared" si="12008"/>
        <v>0</v>
      </c>
      <c r="Y3009" s="897"/>
      <c r="Z3009" s="528"/>
      <c r="AA3009" s="899"/>
      <c r="AB3009" s="899"/>
      <c r="AC3009" s="899"/>
      <c r="AD3009" s="897"/>
      <c r="AE3009" s="2"/>
      <c r="AF3009" s="885"/>
      <c r="AG3009" s="885"/>
      <c r="AH3009" s="885"/>
      <c r="AI3009" s="885"/>
      <c r="AJ3009" s="885"/>
      <c r="AK3009" s="885"/>
      <c r="AL3009" s="885"/>
      <c r="AM3009" s="879"/>
      <c r="AN3009" s="2"/>
      <c r="AO3009" s="886"/>
      <c r="AP3009" s="886"/>
      <c r="AV3009" t="str">
        <f t="shared" si="12000"/>
        <v>Revegetação - Hidrossemeadura</v>
      </c>
      <c r="AW3009" s="4" t="str">
        <f t="shared" si="11993"/>
        <v xml:space="preserve">   Seg. 2.3-A15-Revestimento vegetal por hidrossemeadura</v>
      </c>
    </row>
    <row r="3010" spans="1:49" ht="16.350000000000001" customHeight="1" outlineLevel="2">
      <c r="A3010" s="8" t="str">
        <f t="shared" ref="A3010" si="12228">IF(SUM(P3010:V3011)&gt;0,"S","N")</f>
        <v>N</v>
      </c>
      <c r="B3010" s="150">
        <v>1066538</v>
      </c>
      <c r="C3010" s="150" t="s">
        <v>3426</v>
      </c>
      <c r="D3010" s="120" t="s">
        <v>3427</v>
      </c>
      <c r="E3010" s="892" t="s">
        <v>3428</v>
      </c>
      <c r="F3010" s="894" t="s">
        <v>3210</v>
      </c>
      <c r="G3010" s="528"/>
      <c r="H3010" s="546" t="s">
        <v>37</v>
      </c>
      <c r="I3010" s="711">
        <v>0</v>
      </c>
      <c r="J3010" s="896" t="str">
        <f t="shared" ref="J3010" si="12229">IFERROR((I3011/I3010),"-")</f>
        <v>-</v>
      </c>
      <c r="K3010" s="528"/>
      <c r="L3010" s="546" t="s">
        <v>37</v>
      </c>
      <c r="M3010" s="711">
        <f t="shared" si="12014"/>
        <v>0</v>
      </c>
      <c r="N3010" s="896" t="str">
        <f t="shared" ref="N3010" si="12230">IFERROR((M3011/M3010),"-")</f>
        <v>-</v>
      </c>
      <c r="O3010" s="528"/>
      <c r="P3010" s="547">
        <v>0</v>
      </c>
      <c r="Q3010" s="547">
        <v>0</v>
      </c>
      <c r="R3010" s="547">
        <v>0</v>
      </c>
      <c r="S3010" s="547">
        <v>0</v>
      </c>
      <c r="T3010" s="547">
        <v>0</v>
      </c>
      <c r="U3010" s="547">
        <v>0</v>
      </c>
      <c r="V3010" s="548">
        <v>0</v>
      </c>
      <c r="W3010" s="528"/>
      <c r="X3010" s="711">
        <f t="shared" si="12008"/>
        <v>0</v>
      </c>
      <c r="Y3010" s="896" t="str">
        <f t="shared" ref="Y3010" si="12231">IFERROR((X3011/X3010),"-")</f>
        <v>-</v>
      </c>
      <c r="Z3010" s="528"/>
      <c r="AA3010" s="898">
        <v>0</v>
      </c>
      <c r="AB3010" s="898">
        <v>0</v>
      </c>
      <c r="AC3010" s="898">
        <v>0</v>
      </c>
      <c r="AD3010" s="896" t="str">
        <f t="shared" ref="AD3010" si="12232">IFERROR((AC3010/AA3010),"-")</f>
        <v>-</v>
      </c>
      <c r="AE3010" s="2"/>
      <c r="AF3010" s="884">
        <v>6291.17</v>
      </c>
      <c r="AG3010" s="884">
        <v>0</v>
      </c>
      <c r="AH3010" s="884">
        <v>0</v>
      </c>
      <c r="AI3010" s="884"/>
      <c r="AJ3010" s="884"/>
      <c r="AK3010" s="884">
        <f t="shared" ref="AK3010" si="12233">AF3010+AG3010+AH3010+AI3010+AJ3010+AC3010</f>
        <v>6291.17</v>
      </c>
      <c r="AL3010" s="884">
        <v>3758.71</v>
      </c>
      <c r="AM3010" s="878">
        <f t="shared" ref="AM3010" si="12234">IFERROR((AK3010/AL3010),"-")</f>
        <v>1.6737577519947002</v>
      </c>
      <c r="AN3010" s="2"/>
      <c r="AO3010" s="884">
        <v>10446.030000000001</v>
      </c>
      <c r="AP3010" s="884">
        <f t="shared" ref="AP3010" si="12235">AO3010-AK3010</f>
        <v>4154.8600000000006</v>
      </c>
      <c r="AV3010" t="str">
        <f t="shared" si="12000"/>
        <v>Revegetação - Hidrossemeadura</v>
      </c>
      <c r="AW3010" s="4" t="str">
        <f t="shared" si="11993"/>
        <v xml:space="preserve">   Seg. 2.3-A16-Revestimento vegetal por hidrossemeadura</v>
      </c>
    </row>
    <row r="3011" spans="1:49" ht="15.6" customHeight="1" outlineLevel="2">
      <c r="A3011" s="8" t="str">
        <f t="shared" ref="A3011" si="12236">A3010</f>
        <v>N</v>
      </c>
      <c r="B3011" s="150">
        <v>1066538</v>
      </c>
      <c r="C3011" s="150" t="s">
        <v>3426</v>
      </c>
      <c r="D3011" s="120" t="s">
        <v>3427</v>
      </c>
      <c r="E3011" s="893"/>
      <c r="F3011" s="895"/>
      <c r="G3011" s="528"/>
      <c r="H3011" s="549" t="s">
        <v>38</v>
      </c>
      <c r="I3011" s="711">
        <v>0</v>
      </c>
      <c r="J3011" s="897"/>
      <c r="K3011" s="528"/>
      <c r="L3011" s="549" t="s">
        <v>38</v>
      </c>
      <c r="M3011" s="711">
        <f t="shared" si="12014"/>
        <v>0</v>
      </c>
      <c r="N3011" s="897"/>
      <c r="O3011" s="528"/>
      <c r="P3011" s="548">
        <v>0</v>
      </c>
      <c r="Q3011" s="548">
        <v>0</v>
      </c>
      <c r="R3011" s="548">
        <v>0</v>
      </c>
      <c r="S3011" s="548">
        <v>0</v>
      </c>
      <c r="T3011" s="548">
        <v>0</v>
      </c>
      <c r="U3011" s="548">
        <v>0</v>
      </c>
      <c r="V3011" s="548"/>
      <c r="W3011" s="528"/>
      <c r="X3011" s="711">
        <f t="shared" si="12008"/>
        <v>0</v>
      </c>
      <c r="Y3011" s="897"/>
      <c r="Z3011" s="528"/>
      <c r="AA3011" s="899"/>
      <c r="AB3011" s="899"/>
      <c r="AC3011" s="899"/>
      <c r="AD3011" s="897"/>
      <c r="AE3011" s="2"/>
      <c r="AF3011" s="885"/>
      <c r="AG3011" s="885"/>
      <c r="AH3011" s="885"/>
      <c r="AI3011" s="885"/>
      <c r="AJ3011" s="885"/>
      <c r="AK3011" s="885"/>
      <c r="AL3011" s="885"/>
      <c r="AM3011" s="879"/>
      <c r="AN3011" s="2"/>
      <c r="AO3011" s="886"/>
      <c r="AP3011" s="886"/>
      <c r="AV3011" t="str">
        <f t="shared" si="12000"/>
        <v>Revegetação - Hidrossemeadura</v>
      </c>
      <c r="AW3011" s="4" t="str">
        <f t="shared" si="11993"/>
        <v xml:space="preserve">   Seg. 2.3-A16-Revestimento vegetal por hidrossemeadura</v>
      </c>
    </row>
    <row r="3012" spans="1:49" ht="15.6" customHeight="1" outlineLevel="2">
      <c r="A3012" s="8" t="str">
        <f t="shared" ref="A3012" si="12237">IF(SUM(P3012:V3013)&gt;0,"S","N")</f>
        <v>N</v>
      </c>
      <c r="B3012" s="150">
        <v>1066539</v>
      </c>
      <c r="C3012" s="150" t="s">
        <v>3429</v>
      </c>
      <c r="D3012" s="120" t="s">
        <v>3430</v>
      </c>
      <c r="E3012" s="892" t="s">
        <v>3431</v>
      </c>
      <c r="F3012" s="894" t="s">
        <v>3210</v>
      </c>
      <c r="G3012" s="528"/>
      <c r="H3012" s="546" t="s">
        <v>37</v>
      </c>
      <c r="I3012" s="711">
        <v>0</v>
      </c>
      <c r="J3012" s="896" t="str">
        <f t="shared" ref="J3012" si="12238">IFERROR((I3013/I3012),"-")</f>
        <v>-</v>
      </c>
      <c r="K3012" s="528"/>
      <c r="L3012" s="546" t="s">
        <v>37</v>
      </c>
      <c r="M3012" s="711">
        <f t="shared" si="12014"/>
        <v>0</v>
      </c>
      <c r="N3012" s="896" t="str">
        <f t="shared" ref="N3012" si="12239">IFERROR((M3013/M3012),"-")</f>
        <v>-</v>
      </c>
      <c r="O3012" s="528"/>
      <c r="P3012" s="547">
        <v>0</v>
      </c>
      <c r="Q3012" s="547">
        <v>0</v>
      </c>
      <c r="R3012" s="547">
        <v>0</v>
      </c>
      <c r="S3012" s="547">
        <v>0</v>
      </c>
      <c r="T3012" s="547">
        <v>0</v>
      </c>
      <c r="U3012" s="547">
        <v>0</v>
      </c>
      <c r="V3012" s="548">
        <v>0</v>
      </c>
      <c r="W3012" s="528"/>
      <c r="X3012" s="711">
        <f t="shared" si="12008"/>
        <v>0</v>
      </c>
      <c r="Y3012" s="896" t="str">
        <f t="shared" ref="Y3012" si="12240">IFERROR((X3013/X3012),"-")</f>
        <v>-</v>
      </c>
      <c r="Z3012" s="528"/>
      <c r="AA3012" s="898">
        <v>0</v>
      </c>
      <c r="AB3012" s="898">
        <v>0</v>
      </c>
      <c r="AC3012" s="952">
        <v>0</v>
      </c>
      <c r="AD3012" s="896" t="str">
        <f t="shared" ref="AD3012" si="12241">IFERROR((AC3012/AA3012),"-")</f>
        <v>-</v>
      </c>
      <c r="AE3012" s="2"/>
      <c r="AF3012" s="884">
        <v>136059.57</v>
      </c>
      <c r="AG3012" s="884">
        <v>13006.21</v>
      </c>
      <c r="AH3012" s="884">
        <v>0</v>
      </c>
      <c r="AI3012" s="884">
        <v>72546.41</v>
      </c>
      <c r="AJ3012" s="884"/>
      <c r="AK3012" s="884">
        <f t="shared" ref="AK3012" si="12242">AF3012+AG3012+AH3012+AI3012+AJ3012+AC3012</f>
        <v>221612.19</v>
      </c>
      <c r="AL3012" s="884">
        <v>91159.5</v>
      </c>
      <c r="AM3012" s="878">
        <f t="shared" ref="AM3012" si="12243">IFERROR((AK3012/AL3012),"-")</f>
        <v>2.4310377963898442</v>
      </c>
      <c r="AN3012" s="2"/>
      <c r="AO3012" s="884">
        <v>113916.61</v>
      </c>
      <c r="AP3012" s="884">
        <f t="shared" ref="AP3012" si="12244">AO3012-AK3012</f>
        <v>-107695.58</v>
      </c>
      <c r="AV3012" t="str">
        <f t="shared" si="12000"/>
        <v>Revegetação - Hidrossemeadura</v>
      </c>
      <c r="AW3012" s="4" t="str">
        <f t="shared" si="11993"/>
        <v xml:space="preserve">   Seg. 2.3-A17-Revestimento vegetal por hidrossemeadura</v>
      </c>
    </row>
    <row r="3013" spans="1:49" ht="15.6" customHeight="1" outlineLevel="2">
      <c r="A3013" s="8" t="str">
        <f t="shared" ref="A3013" si="12245">A3012</f>
        <v>N</v>
      </c>
      <c r="B3013" s="150">
        <v>1066539</v>
      </c>
      <c r="C3013" s="150" t="s">
        <v>3429</v>
      </c>
      <c r="D3013" s="120" t="s">
        <v>3430</v>
      </c>
      <c r="E3013" s="893"/>
      <c r="F3013" s="895"/>
      <c r="G3013" s="528"/>
      <c r="H3013" s="549" t="s">
        <v>38</v>
      </c>
      <c r="I3013" s="711">
        <v>0</v>
      </c>
      <c r="J3013" s="897"/>
      <c r="K3013" s="528"/>
      <c r="L3013" s="549" t="s">
        <v>38</v>
      </c>
      <c r="M3013" s="711">
        <f t="shared" si="12014"/>
        <v>0</v>
      </c>
      <c r="N3013" s="897"/>
      <c r="O3013" s="528"/>
      <c r="P3013" s="548">
        <v>0</v>
      </c>
      <c r="Q3013" s="548">
        <v>0</v>
      </c>
      <c r="R3013" s="548">
        <v>0</v>
      </c>
      <c r="S3013" s="548">
        <v>0</v>
      </c>
      <c r="T3013" s="548">
        <v>0</v>
      </c>
      <c r="U3013" s="548">
        <v>0</v>
      </c>
      <c r="V3013" s="548"/>
      <c r="W3013" s="528"/>
      <c r="X3013" s="711">
        <f t="shared" si="12008"/>
        <v>0</v>
      </c>
      <c r="Y3013" s="897"/>
      <c r="Z3013" s="528"/>
      <c r="AA3013" s="899"/>
      <c r="AB3013" s="899"/>
      <c r="AC3013" s="953"/>
      <c r="AD3013" s="897"/>
      <c r="AE3013" s="2"/>
      <c r="AF3013" s="885"/>
      <c r="AG3013" s="885"/>
      <c r="AH3013" s="885"/>
      <c r="AI3013" s="885"/>
      <c r="AJ3013" s="885"/>
      <c r="AK3013" s="885"/>
      <c r="AL3013" s="885"/>
      <c r="AM3013" s="879"/>
      <c r="AN3013" s="2"/>
      <c r="AO3013" s="886"/>
      <c r="AP3013" s="886"/>
      <c r="AV3013" t="str">
        <f t="shared" si="12000"/>
        <v>Revegetação - Hidrossemeadura</v>
      </c>
      <c r="AW3013" s="4" t="str">
        <f t="shared" si="11993"/>
        <v xml:space="preserve">   Seg. 2.3-A17-Revestimento vegetal por hidrossemeadura</v>
      </c>
    </row>
    <row r="3014" spans="1:49" ht="15.6" customHeight="1" outlineLevel="2">
      <c r="A3014" s="8" t="str">
        <f t="shared" ref="A3014" si="12246">IF(SUM(P3014:V3015)&gt;0,"S","N")</f>
        <v>N</v>
      </c>
      <c r="B3014" s="150">
        <v>1066552</v>
      </c>
      <c r="C3014" s="150" t="s">
        <v>3432</v>
      </c>
      <c r="D3014" s="120" t="s">
        <v>3433</v>
      </c>
      <c r="E3014" s="892" t="s">
        <v>3434</v>
      </c>
      <c r="F3014" s="894" t="s">
        <v>3210</v>
      </c>
      <c r="G3014" s="528"/>
      <c r="H3014" s="546" t="s">
        <v>37</v>
      </c>
      <c r="I3014" s="711">
        <v>0</v>
      </c>
      <c r="J3014" s="896" t="str">
        <f t="shared" ref="J3014" si="12247">IFERROR((I3015/I3014),"-")</f>
        <v>-</v>
      </c>
      <c r="K3014" s="528"/>
      <c r="L3014" s="546" t="s">
        <v>37</v>
      </c>
      <c r="M3014" s="711">
        <f t="shared" si="12014"/>
        <v>0</v>
      </c>
      <c r="N3014" s="896" t="str">
        <f t="shared" ref="N3014" si="12248">IFERROR((M3015/M3014),"-")</f>
        <v>-</v>
      </c>
      <c r="O3014" s="528"/>
      <c r="P3014" s="547">
        <v>0</v>
      </c>
      <c r="Q3014" s="547">
        <v>0</v>
      </c>
      <c r="R3014" s="547">
        <v>0</v>
      </c>
      <c r="S3014" s="547">
        <v>0</v>
      </c>
      <c r="T3014" s="547">
        <v>0</v>
      </c>
      <c r="U3014" s="547">
        <v>0</v>
      </c>
      <c r="V3014" s="548">
        <v>0</v>
      </c>
      <c r="W3014" s="528"/>
      <c r="X3014" s="711">
        <f t="shared" si="12008"/>
        <v>0</v>
      </c>
      <c r="Y3014" s="896" t="str">
        <f t="shared" ref="Y3014" si="12249">IFERROR((X3015/X3014),"-")</f>
        <v>-</v>
      </c>
      <c r="Z3014" s="528"/>
      <c r="AA3014" s="898">
        <v>0</v>
      </c>
      <c r="AB3014" s="898">
        <v>0</v>
      </c>
      <c r="AC3014" s="898">
        <v>0</v>
      </c>
      <c r="AD3014" s="896" t="str">
        <f t="shared" ref="AD3014" si="12250">IFERROR((AC3014/AA3014),"-")</f>
        <v>-</v>
      </c>
      <c r="AE3014" s="2"/>
      <c r="AF3014" s="884">
        <v>0</v>
      </c>
      <c r="AG3014" s="884">
        <v>0</v>
      </c>
      <c r="AH3014" s="884">
        <v>0</v>
      </c>
      <c r="AI3014" s="884"/>
      <c r="AJ3014" s="884"/>
      <c r="AK3014" s="884">
        <f t="shared" ref="AK3014" si="12251">AF3014+AG3014+AH3014+AI3014+AJ3014+AC3014</f>
        <v>0</v>
      </c>
      <c r="AL3014" s="884">
        <v>0</v>
      </c>
      <c r="AM3014" s="878" t="str">
        <f t="shared" ref="AM3014" si="12252">IFERROR((AK3014/AL3014),"-")</f>
        <v>-</v>
      </c>
      <c r="AN3014" s="2"/>
      <c r="AO3014" s="884">
        <v>1099.6500000000001</v>
      </c>
      <c r="AP3014" s="884">
        <f t="shared" ref="AP3014" si="12253">AO3014-AK3014</f>
        <v>1099.6500000000001</v>
      </c>
      <c r="AV3014" t="str">
        <f t="shared" si="12000"/>
        <v>Revegetação - Hidrossemeadura</v>
      </c>
      <c r="AW3014" s="4" t="str">
        <f t="shared" si="11993"/>
        <v xml:space="preserve">   Seg. 2.3-C02-Acesso - Revestimento vegetal por hidrossemeadura</v>
      </c>
    </row>
    <row r="3015" spans="1:49" ht="15.6" customHeight="1" outlineLevel="2">
      <c r="A3015" s="8" t="str">
        <f t="shared" ref="A3015" si="12254">A3014</f>
        <v>N</v>
      </c>
      <c r="B3015" s="150">
        <v>1066552</v>
      </c>
      <c r="C3015" s="150" t="s">
        <v>3432</v>
      </c>
      <c r="D3015" s="120" t="s">
        <v>3433</v>
      </c>
      <c r="E3015" s="893"/>
      <c r="F3015" s="895"/>
      <c r="G3015" s="528"/>
      <c r="H3015" s="549" t="s">
        <v>38</v>
      </c>
      <c r="I3015" s="711">
        <v>0</v>
      </c>
      <c r="J3015" s="897"/>
      <c r="K3015" s="528"/>
      <c r="L3015" s="549" t="s">
        <v>38</v>
      </c>
      <c r="M3015" s="711">
        <f t="shared" si="12014"/>
        <v>0</v>
      </c>
      <c r="N3015" s="897"/>
      <c r="O3015" s="528"/>
      <c r="P3015" s="548">
        <v>0</v>
      </c>
      <c r="Q3015" s="548">
        <v>0</v>
      </c>
      <c r="R3015" s="548">
        <v>0</v>
      </c>
      <c r="S3015" s="548">
        <v>0</v>
      </c>
      <c r="T3015" s="548">
        <v>0</v>
      </c>
      <c r="U3015" s="548">
        <v>0</v>
      </c>
      <c r="V3015" s="548"/>
      <c r="W3015" s="528"/>
      <c r="X3015" s="711">
        <f t="shared" si="12008"/>
        <v>0</v>
      </c>
      <c r="Y3015" s="897"/>
      <c r="Z3015" s="528"/>
      <c r="AA3015" s="899"/>
      <c r="AB3015" s="899"/>
      <c r="AC3015" s="899"/>
      <c r="AD3015" s="897"/>
      <c r="AE3015" s="2"/>
      <c r="AF3015" s="885"/>
      <c r="AG3015" s="885"/>
      <c r="AH3015" s="885"/>
      <c r="AI3015" s="885"/>
      <c r="AJ3015" s="885"/>
      <c r="AK3015" s="885"/>
      <c r="AL3015" s="885"/>
      <c r="AM3015" s="879"/>
      <c r="AN3015" s="2"/>
      <c r="AO3015" s="886"/>
      <c r="AP3015" s="886"/>
      <c r="AV3015" t="str">
        <f t="shared" si="12000"/>
        <v>Revegetação - Hidrossemeadura</v>
      </c>
      <c r="AW3015" s="4" t="str">
        <f t="shared" si="11993"/>
        <v xml:space="preserve">   Seg. 2.3-C02-Acesso - Revestimento vegetal por hidrossemeadura</v>
      </c>
    </row>
    <row r="3016" spans="1:49" ht="15.6" customHeight="1" outlineLevel="2">
      <c r="A3016" s="8" t="str">
        <f t="shared" ref="A3016" si="12255">IF(SUM(P3016:V3017)&gt;0,"S","N")</f>
        <v>N</v>
      </c>
      <c r="B3016" s="150">
        <v>1066553</v>
      </c>
      <c r="C3016" s="150" t="s">
        <v>3435</v>
      </c>
      <c r="D3016" s="120" t="s">
        <v>3436</v>
      </c>
      <c r="E3016" s="892" t="s">
        <v>3437</v>
      </c>
      <c r="F3016" s="894" t="s">
        <v>3210</v>
      </c>
      <c r="G3016" s="528"/>
      <c r="H3016" s="546" t="s">
        <v>37</v>
      </c>
      <c r="I3016" s="711">
        <v>0</v>
      </c>
      <c r="J3016" s="896" t="str">
        <f t="shared" ref="J3016" si="12256">IFERROR((I3017/I3016),"-")</f>
        <v>-</v>
      </c>
      <c r="K3016" s="528"/>
      <c r="L3016" s="546" t="s">
        <v>37</v>
      </c>
      <c r="M3016" s="711">
        <f t="shared" si="12014"/>
        <v>0</v>
      </c>
      <c r="N3016" s="896" t="str">
        <f t="shared" ref="N3016" si="12257">IFERROR((M3017/M3016),"-")</f>
        <v>-</v>
      </c>
      <c r="O3016" s="528"/>
      <c r="P3016" s="547">
        <v>0</v>
      </c>
      <c r="Q3016" s="547">
        <v>0</v>
      </c>
      <c r="R3016" s="547">
        <v>0</v>
      </c>
      <c r="S3016" s="547">
        <v>0</v>
      </c>
      <c r="T3016" s="547">
        <v>0</v>
      </c>
      <c r="U3016" s="547">
        <v>0</v>
      </c>
      <c r="V3016" s="548">
        <v>0</v>
      </c>
      <c r="W3016" s="528"/>
      <c r="X3016" s="711">
        <f t="shared" si="12008"/>
        <v>0</v>
      </c>
      <c r="Y3016" s="896" t="str">
        <f t="shared" ref="Y3016" si="12258">IFERROR((X3017/X3016),"-")</f>
        <v>-</v>
      </c>
      <c r="Z3016" s="528"/>
      <c r="AA3016" s="898">
        <v>0</v>
      </c>
      <c r="AB3016" s="898">
        <v>0</v>
      </c>
      <c r="AC3016" s="898">
        <v>0</v>
      </c>
      <c r="AD3016" s="896" t="str">
        <f t="shared" ref="AD3016" si="12259">IFERROR((AC3016/AA3016),"-")</f>
        <v>-</v>
      </c>
      <c r="AE3016" s="2"/>
      <c r="AF3016" s="884">
        <v>0</v>
      </c>
      <c r="AG3016" s="884">
        <v>0</v>
      </c>
      <c r="AH3016" s="884">
        <v>0</v>
      </c>
      <c r="AI3016" s="884"/>
      <c r="AJ3016" s="884"/>
      <c r="AK3016" s="884">
        <f t="shared" ref="AK3016" si="12260">AF3016+AG3016+AH3016+AI3016+AJ3016+AC3016</f>
        <v>0</v>
      </c>
      <c r="AL3016" s="884">
        <v>0</v>
      </c>
      <c r="AM3016" s="878" t="str">
        <f t="shared" ref="AM3016" si="12261">IFERROR((AK3016/AL3016),"-")</f>
        <v>-</v>
      </c>
      <c r="AN3016" s="2"/>
      <c r="AO3016" s="884">
        <v>1030.03</v>
      </c>
      <c r="AP3016" s="884">
        <f t="shared" ref="AP3016" si="12262">AO3016-AK3016</f>
        <v>1030.03</v>
      </c>
      <c r="AV3016" t="str">
        <f t="shared" si="12000"/>
        <v>Revegetação - Hidrossemeadura</v>
      </c>
      <c r="AW3016" s="4" t="str">
        <f t="shared" si="11993"/>
        <v xml:space="preserve">   Seg. 2.3-C04-Acesso - Revestimento vegetal por hidrossemeadura</v>
      </c>
    </row>
    <row r="3017" spans="1:49" ht="15.6" customHeight="1" outlineLevel="2">
      <c r="A3017" s="8" t="str">
        <f t="shared" ref="A3017" si="12263">A3016</f>
        <v>N</v>
      </c>
      <c r="B3017" s="150">
        <v>1066553</v>
      </c>
      <c r="C3017" s="150" t="s">
        <v>3435</v>
      </c>
      <c r="D3017" s="120" t="s">
        <v>3436</v>
      </c>
      <c r="E3017" s="893"/>
      <c r="F3017" s="895"/>
      <c r="G3017" s="528"/>
      <c r="H3017" s="549" t="s">
        <v>38</v>
      </c>
      <c r="I3017" s="711">
        <v>0</v>
      </c>
      <c r="J3017" s="897"/>
      <c r="K3017" s="528"/>
      <c r="L3017" s="549" t="s">
        <v>38</v>
      </c>
      <c r="M3017" s="711">
        <f t="shared" si="12014"/>
        <v>0</v>
      </c>
      <c r="N3017" s="897"/>
      <c r="O3017" s="528"/>
      <c r="P3017" s="548">
        <v>0</v>
      </c>
      <c r="Q3017" s="548">
        <v>0</v>
      </c>
      <c r="R3017" s="548">
        <v>0</v>
      </c>
      <c r="S3017" s="548">
        <v>0</v>
      </c>
      <c r="T3017" s="548">
        <v>0</v>
      </c>
      <c r="U3017" s="548">
        <v>0</v>
      </c>
      <c r="V3017" s="548"/>
      <c r="W3017" s="528"/>
      <c r="X3017" s="711">
        <f t="shared" si="12008"/>
        <v>0</v>
      </c>
      <c r="Y3017" s="897"/>
      <c r="Z3017" s="528"/>
      <c r="AA3017" s="899"/>
      <c r="AB3017" s="899"/>
      <c r="AC3017" s="899"/>
      <c r="AD3017" s="897"/>
      <c r="AE3017" s="2"/>
      <c r="AF3017" s="885"/>
      <c r="AG3017" s="885"/>
      <c r="AH3017" s="885"/>
      <c r="AI3017" s="885"/>
      <c r="AJ3017" s="885"/>
      <c r="AK3017" s="885"/>
      <c r="AL3017" s="885"/>
      <c r="AM3017" s="879"/>
      <c r="AN3017" s="2"/>
      <c r="AO3017" s="886"/>
      <c r="AP3017" s="886"/>
      <c r="AV3017" t="str">
        <f t="shared" si="12000"/>
        <v>Revegetação - Hidrossemeadura</v>
      </c>
      <c r="AW3017" s="4" t="str">
        <f t="shared" ref="AW3017:AW3080" si="12264">IF(E3017&lt;&gt;"",E3017,AW3016)</f>
        <v xml:space="preserve">   Seg. 2.3-C04-Acesso - Revestimento vegetal por hidrossemeadura</v>
      </c>
    </row>
    <row r="3018" spans="1:49" ht="15.6" customHeight="1" outlineLevel="2">
      <c r="A3018" s="8" t="str">
        <f t="shared" ref="A3018" si="12265">IF(SUM(P3018:V3019)&gt;0,"S","N")</f>
        <v>N</v>
      </c>
      <c r="B3018" s="150">
        <v>1066554</v>
      </c>
      <c r="C3018" s="150" t="s">
        <v>3438</v>
      </c>
      <c r="D3018" s="120" t="s">
        <v>3439</v>
      </c>
      <c r="E3018" s="892" t="s">
        <v>3440</v>
      </c>
      <c r="F3018" s="894" t="s">
        <v>3210</v>
      </c>
      <c r="G3018" s="528"/>
      <c r="H3018" s="546" t="s">
        <v>37</v>
      </c>
      <c r="I3018" s="711">
        <v>0</v>
      </c>
      <c r="J3018" s="896" t="str">
        <f t="shared" ref="J3018" si="12266">IFERROR((I3019/I3018),"-")</f>
        <v>-</v>
      </c>
      <c r="K3018" s="528"/>
      <c r="L3018" s="546" t="s">
        <v>37</v>
      </c>
      <c r="M3018" s="711">
        <f t="shared" si="12014"/>
        <v>0</v>
      </c>
      <c r="N3018" s="896" t="str">
        <f t="shared" ref="N3018" si="12267">IFERROR((M3019/M3018),"-")</f>
        <v>-</v>
      </c>
      <c r="O3018" s="528"/>
      <c r="P3018" s="547">
        <v>0</v>
      </c>
      <c r="Q3018" s="547">
        <v>0</v>
      </c>
      <c r="R3018" s="547">
        <v>0</v>
      </c>
      <c r="S3018" s="547">
        <v>0</v>
      </c>
      <c r="T3018" s="547">
        <v>0</v>
      </c>
      <c r="U3018" s="547">
        <v>0</v>
      </c>
      <c r="V3018" s="548">
        <v>0</v>
      </c>
      <c r="W3018" s="528"/>
      <c r="X3018" s="711">
        <f t="shared" si="12008"/>
        <v>0</v>
      </c>
      <c r="Y3018" s="896" t="str">
        <f t="shared" ref="Y3018" si="12268">IFERROR((X3019/X3018),"-")</f>
        <v>-</v>
      </c>
      <c r="Z3018" s="528"/>
      <c r="AA3018" s="898">
        <v>0</v>
      </c>
      <c r="AB3018" s="898">
        <v>0</v>
      </c>
      <c r="AC3018" s="898">
        <v>0</v>
      </c>
      <c r="AD3018" s="896" t="str">
        <f t="shared" ref="AD3018" si="12269">IFERROR((AC3018/AA3018),"-")</f>
        <v>-</v>
      </c>
      <c r="AE3018" s="2"/>
      <c r="AF3018" s="884">
        <v>0</v>
      </c>
      <c r="AG3018" s="884">
        <v>0</v>
      </c>
      <c r="AH3018" s="884">
        <v>0</v>
      </c>
      <c r="AI3018" s="884"/>
      <c r="AJ3018" s="884"/>
      <c r="AK3018" s="884">
        <f t="shared" ref="AK3018" si="12270">AF3018+AG3018+AH3018+AI3018+AJ3018+AC3018</f>
        <v>0</v>
      </c>
      <c r="AL3018" s="884">
        <v>0</v>
      </c>
      <c r="AM3018" s="878" t="str">
        <f t="shared" ref="AM3018" si="12271">IFERROR((AK3018/AL3018),"-")</f>
        <v>-</v>
      </c>
      <c r="AN3018" s="2"/>
      <c r="AO3018" s="884">
        <v>619.70000000000005</v>
      </c>
      <c r="AP3018" s="884">
        <f t="shared" ref="AP3018" si="12272">AO3018-AK3018</f>
        <v>619.70000000000005</v>
      </c>
      <c r="AV3018" t="str">
        <f t="shared" ref="AV3018:AV3081" si="12273">IF(AX3018="Y",LEFT(E3018,20),IF(AX3018="x",E3018,AV3017))</f>
        <v>Revegetação - Hidrossemeadura</v>
      </c>
      <c r="AW3018" s="4" t="str">
        <f t="shared" si="12264"/>
        <v xml:space="preserve">   Seg. 2.3-C08-Acesso - Revestimento vegetal por hidrossemeadura</v>
      </c>
    </row>
    <row r="3019" spans="1:49" ht="15.6" customHeight="1" outlineLevel="2" collapsed="1">
      <c r="A3019" s="8" t="str">
        <f t="shared" ref="A3019" si="12274">A3018</f>
        <v>N</v>
      </c>
      <c r="B3019" s="150">
        <v>1066554</v>
      </c>
      <c r="C3019" s="150" t="s">
        <v>3438</v>
      </c>
      <c r="D3019" s="120" t="s">
        <v>3439</v>
      </c>
      <c r="E3019" s="893"/>
      <c r="F3019" s="895"/>
      <c r="G3019" s="528"/>
      <c r="H3019" s="549" t="s">
        <v>38</v>
      </c>
      <c r="I3019" s="711">
        <v>0</v>
      </c>
      <c r="J3019" s="897"/>
      <c r="K3019" s="528"/>
      <c r="L3019" s="549" t="s">
        <v>38</v>
      </c>
      <c r="M3019" s="711">
        <f t="shared" si="12014"/>
        <v>0</v>
      </c>
      <c r="N3019" s="897"/>
      <c r="O3019" s="528"/>
      <c r="P3019" s="548">
        <v>0</v>
      </c>
      <c r="Q3019" s="548">
        <v>0</v>
      </c>
      <c r="R3019" s="548">
        <v>0</v>
      </c>
      <c r="S3019" s="548">
        <v>0</v>
      </c>
      <c r="T3019" s="548">
        <v>0</v>
      </c>
      <c r="U3019" s="548">
        <v>0</v>
      </c>
      <c r="V3019" s="548"/>
      <c r="W3019" s="528"/>
      <c r="X3019" s="711">
        <f t="shared" si="12008"/>
        <v>0</v>
      </c>
      <c r="Y3019" s="897"/>
      <c r="Z3019" s="528"/>
      <c r="AA3019" s="899"/>
      <c r="AB3019" s="899"/>
      <c r="AC3019" s="899"/>
      <c r="AD3019" s="897"/>
      <c r="AE3019" s="2"/>
      <c r="AF3019" s="885"/>
      <c r="AG3019" s="885"/>
      <c r="AH3019" s="885"/>
      <c r="AI3019" s="885"/>
      <c r="AJ3019" s="885"/>
      <c r="AK3019" s="885"/>
      <c r="AL3019" s="885"/>
      <c r="AM3019" s="879"/>
      <c r="AN3019" s="2"/>
      <c r="AO3019" s="886"/>
      <c r="AP3019" s="886"/>
      <c r="AV3019" t="str">
        <f t="shared" si="12273"/>
        <v>Revegetação - Hidrossemeadura</v>
      </c>
      <c r="AW3019" s="4" t="str">
        <f t="shared" si="12264"/>
        <v xml:space="preserve">   Seg. 2.3-C08-Acesso - Revestimento vegetal por hidrossemeadura</v>
      </c>
    </row>
    <row r="3020" spans="1:49" ht="15.6" customHeight="1" outlineLevel="2">
      <c r="A3020" s="8" t="str">
        <f t="shared" ref="A3020" si="12275">IF(SUM(P3020:V3021)&gt;0,"S","N")</f>
        <v>N</v>
      </c>
      <c r="B3020" s="150">
        <v>1066556</v>
      </c>
      <c r="C3020" s="150" t="s">
        <v>3441</v>
      </c>
      <c r="D3020" s="120" t="s">
        <v>3442</v>
      </c>
      <c r="E3020" s="892" t="s">
        <v>3443</v>
      </c>
      <c r="F3020" s="894" t="s">
        <v>3210</v>
      </c>
      <c r="G3020" s="528"/>
      <c r="H3020" s="546" t="s">
        <v>37</v>
      </c>
      <c r="I3020" s="711">
        <v>0</v>
      </c>
      <c r="J3020" s="896" t="str">
        <f t="shared" ref="J3020" si="12276">IFERROR((I3021/I3020),"-")</f>
        <v>-</v>
      </c>
      <c r="K3020" s="528"/>
      <c r="L3020" s="546" t="s">
        <v>37</v>
      </c>
      <c r="M3020" s="711">
        <f t="shared" si="12014"/>
        <v>0</v>
      </c>
      <c r="N3020" s="896" t="str">
        <f t="shared" ref="N3020" si="12277">IFERROR((M3021/M3020),"-")</f>
        <v>-</v>
      </c>
      <c r="O3020" s="528"/>
      <c r="P3020" s="547">
        <v>0</v>
      </c>
      <c r="Q3020" s="547">
        <v>0</v>
      </c>
      <c r="R3020" s="547">
        <v>0</v>
      </c>
      <c r="S3020" s="547">
        <v>0</v>
      </c>
      <c r="T3020" s="547">
        <v>0</v>
      </c>
      <c r="U3020" s="547">
        <v>0</v>
      </c>
      <c r="V3020" s="548">
        <v>0</v>
      </c>
      <c r="W3020" s="528"/>
      <c r="X3020" s="711">
        <f t="shared" si="12008"/>
        <v>0</v>
      </c>
      <c r="Y3020" s="896" t="str">
        <f t="shared" ref="Y3020" si="12278">IFERROR((X3021/X3020),"-")</f>
        <v>-</v>
      </c>
      <c r="Z3020" s="528"/>
      <c r="AA3020" s="898">
        <v>0</v>
      </c>
      <c r="AB3020" s="898">
        <v>0</v>
      </c>
      <c r="AC3020" s="898">
        <v>0</v>
      </c>
      <c r="AD3020" s="896" t="str">
        <f t="shared" ref="AD3020" si="12279">IFERROR((AC3020/AA3020),"-")</f>
        <v>-</v>
      </c>
      <c r="AE3020" s="2"/>
      <c r="AF3020" s="884">
        <v>0</v>
      </c>
      <c r="AG3020" s="884">
        <v>0</v>
      </c>
      <c r="AH3020" s="884">
        <v>0</v>
      </c>
      <c r="AI3020" s="884"/>
      <c r="AJ3020" s="884"/>
      <c r="AK3020" s="884">
        <f t="shared" ref="AK3020" si="12280">AF3020+AG3020+AH3020+AI3020+AJ3020+AC3020</f>
        <v>0</v>
      </c>
      <c r="AL3020" s="884">
        <v>3557.67</v>
      </c>
      <c r="AM3020" s="878">
        <f t="shared" ref="AM3020" si="12281">IFERROR((AK3020/AL3020),"-")</f>
        <v>0</v>
      </c>
      <c r="AN3020" s="2"/>
      <c r="AO3020" s="884">
        <v>5649.9</v>
      </c>
      <c r="AP3020" s="884">
        <f t="shared" ref="AP3020" si="12282">AO3020-AK3020</f>
        <v>5649.9</v>
      </c>
      <c r="AV3020" t="str">
        <f t="shared" si="12273"/>
        <v>Revegetação - Hidrossemeadura</v>
      </c>
      <c r="AW3020" s="4" t="str">
        <f t="shared" si="12264"/>
        <v xml:space="preserve">   Seg. 2.3-C12-Acesso - Revestimento vegetal por hidrossemeadura</v>
      </c>
    </row>
    <row r="3021" spans="1:49" ht="15.6" customHeight="1" outlineLevel="2">
      <c r="A3021" s="8" t="str">
        <f t="shared" ref="A3021" si="12283">A3020</f>
        <v>N</v>
      </c>
      <c r="B3021" s="150">
        <v>1066556</v>
      </c>
      <c r="C3021" s="150" t="s">
        <v>3441</v>
      </c>
      <c r="D3021" s="120" t="s">
        <v>3442</v>
      </c>
      <c r="E3021" s="893"/>
      <c r="F3021" s="895"/>
      <c r="G3021" s="528"/>
      <c r="H3021" s="549" t="s">
        <v>38</v>
      </c>
      <c r="I3021" s="711">
        <v>0</v>
      </c>
      <c r="J3021" s="897"/>
      <c r="K3021" s="528"/>
      <c r="L3021" s="549" t="s">
        <v>38</v>
      </c>
      <c r="M3021" s="711">
        <f t="shared" si="12014"/>
        <v>0</v>
      </c>
      <c r="N3021" s="897"/>
      <c r="O3021" s="528"/>
      <c r="P3021" s="548">
        <v>0</v>
      </c>
      <c r="Q3021" s="548">
        <v>0</v>
      </c>
      <c r="R3021" s="548">
        <v>0</v>
      </c>
      <c r="S3021" s="548">
        <v>0</v>
      </c>
      <c r="T3021" s="548">
        <v>0</v>
      </c>
      <c r="U3021" s="548">
        <v>0</v>
      </c>
      <c r="V3021" s="548"/>
      <c r="W3021" s="528"/>
      <c r="X3021" s="711">
        <f t="shared" si="12008"/>
        <v>0</v>
      </c>
      <c r="Y3021" s="897"/>
      <c r="Z3021" s="528"/>
      <c r="AA3021" s="899"/>
      <c r="AB3021" s="899"/>
      <c r="AC3021" s="899"/>
      <c r="AD3021" s="897"/>
      <c r="AE3021" s="2"/>
      <c r="AF3021" s="885"/>
      <c r="AG3021" s="885"/>
      <c r="AH3021" s="885"/>
      <c r="AI3021" s="885"/>
      <c r="AJ3021" s="885"/>
      <c r="AK3021" s="885"/>
      <c r="AL3021" s="885"/>
      <c r="AM3021" s="879"/>
      <c r="AN3021" s="2"/>
      <c r="AO3021" s="886"/>
      <c r="AP3021" s="886"/>
      <c r="AV3021" t="str">
        <f t="shared" si="12273"/>
        <v>Revegetação - Hidrossemeadura</v>
      </c>
      <c r="AW3021" s="4" t="str">
        <f t="shared" si="12264"/>
        <v xml:space="preserve">   Seg. 2.3-C12-Acesso - Revestimento vegetal por hidrossemeadura</v>
      </c>
    </row>
    <row r="3022" spans="1:49" ht="15.6" customHeight="1" outlineLevel="2">
      <c r="A3022" s="8" t="str">
        <f t="shared" ref="A3022" si="12284">IF(SUM(P3022:V3023)&gt;0,"S","N")</f>
        <v>N</v>
      </c>
      <c r="B3022" s="150">
        <v>1066557</v>
      </c>
      <c r="C3022" s="150" t="s">
        <v>3444</v>
      </c>
      <c r="D3022" s="120" t="s">
        <v>3445</v>
      </c>
      <c r="E3022" s="892" t="s">
        <v>3446</v>
      </c>
      <c r="F3022" s="894" t="s">
        <v>3210</v>
      </c>
      <c r="G3022" s="528"/>
      <c r="H3022" s="546" t="s">
        <v>37</v>
      </c>
      <c r="I3022" s="711">
        <v>0</v>
      </c>
      <c r="J3022" s="896" t="str">
        <f t="shared" ref="J3022" si="12285">IFERROR((I3023/I3022),"-")</f>
        <v>-</v>
      </c>
      <c r="K3022" s="528"/>
      <c r="L3022" s="546" t="s">
        <v>37</v>
      </c>
      <c r="M3022" s="711">
        <f t="shared" si="12014"/>
        <v>0</v>
      </c>
      <c r="N3022" s="896" t="str">
        <f t="shared" ref="N3022" si="12286">IFERROR((M3023/M3022),"-")</f>
        <v>-</v>
      </c>
      <c r="O3022" s="528"/>
      <c r="P3022" s="547">
        <v>0</v>
      </c>
      <c r="Q3022" s="547">
        <v>0</v>
      </c>
      <c r="R3022" s="547">
        <v>0</v>
      </c>
      <c r="S3022" s="547">
        <v>0</v>
      </c>
      <c r="T3022" s="547">
        <v>0</v>
      </c>
      <c r="U3022" s="547">
        <v>0</v>
      </c>
      <c r="V3022" s="548">
        <v>0</v>
      </c>
      <c r="W3022" s="528"/>
      <c r="X3022" s="711">
        <f t="shared" si="12008"/>
        <v>0</v>
      </c>
      <c r="Y3022" s="896" t="str">
        <f t="shared" ref="Y3022" si="12287">IFERROR((X3023/X3022),"-")</f>
        <v>-</v>
      </c>
      <c r="Z3022" s="528"/>
      <c r="AA3022" s="898">
        <v>0</v>
      </c>
      <c r="AB3022" s="898">
        <v>0</v>
      </c>
      <c r="AC3022" s="898">
        <v>0</v>
      </c>
      <c r="AD3022" s="896" t="str">
        <f t="shared" ref="AD3022" si="12288">IFERROR((AC3022/AA3022),"-")</f>
        <v>-</v>
      </c>
      <c r="AE3022" s="2"/>
      <c r="AF3022" s="884">
        <v>0</v>
      </c>
      <c r="AG3022" s="884">
        <v>0</v>
      </c>
      <c r="AH3022" s="884">
        <v>0</v>
      </c>
      <c r="AI3022" s="884"/>
      <c r="AJ3022" s="884"/>
      <c r="AK3022" s="884">
        <f t="shared" ref="AK3022" si="12289">AF3022+AG3022+AH3022+AI3022+AJ3022+AC3022</f>
        <v>0</v>
      </c>
      <c r="AL3022" s="884">
        <v>0</v>
      </c>
      <c r="AM3022" s="878" t="str">
        <f t="shared" ref="AM3022" si="12290">IFERROR((AK3022/AL3022),"-")</f>
        <v>-</v>
      </c>
      <c r="AN3022" s="2"/>
      <c r="AO3022" s="884">
        <v>6119.98</v>
      </c>
      <c r="AP3022" s="884">
        <f t="shared" ref="AP3022" si="12291">AO3022-AK3022</f>
        <v>6119.98</v>
      </c>
      <c r="AV3022" t="str">
        <f t="shared" si="12273"/>
        <v>Revegetação - Hidrossemeadura</v>
      </c>
      <c r="AW3022" s="4" t="str">
        <f t="shared" si="12264"/>
        <v xml:space="preserve">   Seg. 2.3-A17-Acesso - Revestimento vegetal por hidrossemeadura</v>
      </c>
    </row>
    <row r="3023" spans="1:49" ht="15.6" customHeight="1" outlineLevel="2">
      <c r="A3023" s="8" t="str">
        <f t="shared" ref="A3023" si="12292">A3022</f>
        <v>N</v>
      </c>
      <c r="B3023" s="150">
        <v>1066557</v>
      </c>
      <c r="C3023" s="150" t="s">
        <v>3444</v>
      </c>
      <c r="D3023" s="120" t="s">
        <v>3445</v>
      </c>
      <c r="E3023" s="893"/>
      <c r="F3023" s="895"/>
      <c r="G3023" s="528"/>
      <c r="H3023" s="549" t="s">
        <v>38</v>
      </c>
      <c r="I3023" s="711">
        <v>0</v>
      </c>
      <c r="J3023" s="897"/>
      <c r="K3023" s="528"/>
      <c r="L3023" s="549" t="s">
        <v>38</v>
      </c>
      <c r="M3023" s="711">
        <f t="shared" si="12014"/>
        <v>0</v>
      </c>
      <c r="N3023" s="897"/>
      <c r="O3023" s="528"/>
      <c r="P3023" s="548">
        <v>0</v>
      </c>
      <c r="Q3023" s="548">
        <v>0</v>
      </c>
      <c r="R3023" s="548">
        <v>0</v>
      </c>
      <c r="S3023" s="548">
        <v>0</v>
      </c>
      <c r="T3023" s="548">
        <v>0</v>
      </c>
      <c r="U3023" s="548">
        <v>0</v>
      </c>
      <c r="V3023" s="548"/>
      <c r="W3023" s="528"/>
      <c r="X3023" s="711">
        <f t="shared" si="12008"/>
        <v>0</v>
      </c>
      <c r="Y3023" s="897"/>
      <c r="Z3023" s="528"/>
      <c r="AA3023" s="899"/>
      <c r="AB3023" s="899"/>
      <c r="AC3023" s="899"/>
      <c r="AD3023" s="897"/>
      <c r="AE3023" s="2"/>
      <c r="AF3023" s="885"/>
      <c r="AG3023" s="885"/>
      <c r="AH3023" s="885"/>
      <c r="AI3023" s="885"/>
      <c r="AJ3023" s="885"/>
      <c r="AK3023" s="885"/>
      <c r="AL3023" s="885"/>
      <c r="AM3023" s="879"/>
      <c r="AN3023" s="2"/>
      <c r="AO3023" s="886"/>
      <c r="AP3023" s="886"/>
      <c r="AV3023" t="str">
        <f t="shared" si="12273"/>
        <v>Revegetação - Hidrossemeadura</v>
      </c>
      <c r="AW3023" s="4" t="str">
        <f t="shared" si="12264"/>
        <v xml:space="preserve">   Seg. 2.3-A17-Acesso - Revestimento vegetal por hidrossemeadura</v>
      </c>
    </row>
    <row r="3024" spans="1:49" ht="15.6" customHeight="1" outlineLevel="2">
      <c r="A3024" s="8" t="str">
        <f t="shared" ref="A3024" si="12293">IF(SUM(P3024:V3025)&gt;0,"S","N")</f>
        <v>N</v>
      </c>
      <c r="B3024" s="150">
        <v>1066558</v>
      </c>
      <c r="C3024" s="150" t="s">
        <v>3447</v>
      </c>
      <c r="D3024" s="120" t="s">
        <v>3448</v>
      </c>
      <c r="E3024" s="892" t="s">
        <v>3446</v>
      </c>
      <c r="F3024" s="894" t="s">
        <v>3210</v>
      </c>
      <c r="G3024" s="528"/>
      <c r="H3024" s="546" t="s">
        <v>37</v>
      </c>
      <c r="I3024" s="711">
        <v>0</v>
      </c>
      <c r="J3024" s="896" t="str">
        <f t="shared" ref="J3024" si="12294">IFERROR((I3025/I3024),"-")</f>
        <v>-</v>
      </c>
      <c r="K3024" s="528"/>
      <c r="L3024" s="546" t="s">
        <v>37</v>
      </c>
      <c r="M3024" s="711">
        <f t="shared" si="12014"/>
        <v>0</v>
      </c>
      <c r="N3024" s="896" t="str">
        <f t="shared" ref="N3024" si="12295">IFERROR((M3025/M3024),"-")</f>
        <v>-</v>
      </c>
      <c r="O3024" s="528"/>
      <c r="P3024" s="547">
        <v>0</v>
      </c>
      <c r="Q3024" s="547">
        <v>0</v>
      </c>
      <c r="R3024" s="547">
        <v>0</v>
      </c>
      <c r="S3024" s="547">
        <v>0</v>
      </c>
      <c r="T3024" s="547">
        <v>0</v>
      </c>
      <c r="U3024" s="547">
        <v>0</v>
      </c>
      <c r="V3024" s="548">
        <v>0</v>
      </c>
      <c r="W3024" s="528"/>
      <c r="X3024" s="711">
        <f t="shared" ref="X3024:X3061" si="12296">SUMIFS(P3024:V3024,$P$8:$V$8,"&gt;="&amp;$P$8,$P$8:$V$8,"&lt;="&amp;$N$8)</f>
        <v>0</v>
      </c>
      <c r="Y3024" s="896" t="str">
        <f t="shared" ref="Y3024" si="12297">IFERROR((X3025/X3024),"-")</f>
        <v>-</v>
      </c>
      <c r="Z3024" s="528"/>
      <c r="AA3024" s="898">
        <v>0</v>
      </c>
      <c r="AB3024" s="898">
        <v>0</v>
      </c>
      <c r="AC3024" s="898">
        <v>0</v>
      </c>
      <c r="AD3024" s="896" t="str">
        <f t="shared" ref="AD3024" si="12298">IFERROR((AC3024/AA3024),"-")</f>
        <v>-</v>
      </c>
      <c r="AE3024" s="2"/>
      <c r="AF3024" s="884">
        <v>0</v>
      </c>
      <c r="AG3024" s="884">
        <v>0</v>
      </c>
      <c r="AH3024" s="884">
        <v>0</v>
      </c>
      <c r="AI3024" s="884"/>
      <c r="AJ3024" s="884"/>
      <c r="AK3024" s="884">
        <f t="shared" ref="AK3024" si="12299">AF3024+AG3024+AH3024+AI3024+AJ3024+AC3024</f>
        <v>0</v>
      </c>
      <c r="AL3024" s="884">
        <v>0</v>
      </c>
      <c r="AM3024" s="878" t="str">
        <f t="shared" ref="AM3024" si="12300">IFERROR((AK3024/AL3024),"-")</f>
        <v>-</v>
      </c>
      <c r="AN3024" s="2"/>
      <c r="AO3024" s="884">
        <v>703.59</v>
      </c>
      <c r="AP3024" s="884">
        <f t="shared" ref="AP3024" si="12301">AO3024-AK3024</f>
        <v>703.59</v>
      </c>
      <c r="AV3024" t="str">
        <f t="shared" si="12273"/>
        <v>Revegetação - Hidrossemeadura</v>
      </c>
      <c r="AW3024" s="4" t="str">
        <f t="shared" si="12264"/>
        <v xml:space="preserve">   Seg. 2.3-A17-Acesso - Revestimento vegetal por hidrossemeadura</v>
      </c>
    </row>
    <row r="3025" spans="1:49" ht="15.6" customHeight="1" outlineLevel="2">
      <c r="A3025" s="8" t="str">
        <f t="shared" ref="A3025" si="12302">A3024</f>
        <v>N</v>
      </c>
      <c r="B3025" s="150">
        <v>1066558</v>
      </c>
      <c r="C3025" s="150" t="s">
        <v>3447</v>
      </c>
      <c r="D3025" s="120" t="s">
        <v>3448</v>
      </c>
      <c r="E3025" s="893"/>
      <c r="F3025" s="895"/>
      <c r="G3025" s="528"/>
      <c r="H3025" s="549" t="s">
        <v>38</v>
      </c>
      <c r="I3025" s="711">
        <v>0</v>
      </c>
      <c r="J3025" s="897"/>
      <c r="K3025" s="528"/>
      <c r="L3025" s="549" t="s">
        <v>38</v>
      </c>
      <c r="M3025" s="711">
        <f t="shared" si="12014"/>
        <v>0</v>
      </c>
      <c r="N3025" s="897"/>
      <c r="O3025" s="528"/>
      <c r="P3025" s="548">
        <v>0</v>
      </c>
      <c r="Q3025" s="548">
        <v>0</v>
      </c>
      <c r="R3025" s="548">
        <v>0</v>
      </c>
      <c r="S3025" s="548">
        <v>0</v>
      </c>
      <c r="T3025" s="548">
        <v>0</v>
      </c>
      <c r="U3025" s="548">
        <v>0</v>
      </c>
      <c r="V3025" s="548"/>
      <c r="W3025" s="528"/>
      <c r="X3025" s="711">
        <f t="shared" si="12296"/>
        <v>0</v>
      </c>
      <c r="Y3025" s="897"/>
      <c r="Z3025" s="528"/>
      <c r="AA3025" s="899"/>
      <c r="AB3025" s="899"/>
      <c r="AC3025" s="899"/>
      <c r="AD3025" s="897"/>
      <c r="AE3025" s="2"/>
      <c r="AF3025" s="885"/>
      <c r="AG3025" s="885"/>
      <c r="AH3025" s="885"/>
      <c r="AI3025" s="885"/>
      <c r="AJ3025" s="885"/>
      <c r="AK3025" s="885"/>
      <c r="AL3025" s="885"/>
      <c r="AM3025" s="879"/>
      <c r="AN3025" s="2"/>
      <c r="AO3025" s="886"/>
      <c r="AP3025" s="886"/>
      <c r="AV3025" t="str">
        <f t="shared" si="12273"/>
        <v>Revegetação - Hidrossemeadura</v>
      </c>
      <c r="AW3025" s="4" t="str">
        <f t="shared" si="12264"/>
        <v xml:space="preserve">   Seg. 2.3-A17-Acesso - Revestimento vegetal por hidrossemeadura</v>
      </c>
    </row>
    <row r="3026" spans="1:49" ht="15.6" customHeight="1" outlineLevel="2">
      <c r="A3026" s="8" t="str">
        <f t="shared" ref="A3026" si="12303">IF(SUM(P3026:V3027)&gt;0,"S","N")</f>
        <v>N</v>
      </c>
      <c r="B3026" s="150">
        <v>1066560</v>
      </c>
      <c r="C3026" s="150" t="s">
        <v>3449</v>
      </c>
      <c r="D3026" s="120" t="s">
        <v>3450</v>
      </c>
      <c r="E3026" s="892" t="s">
        <v>3451</v>
      </c>
      <c r="F3026" s="894" t="s">
        <v>3210</v>
      </c>
      <c r="G3026" s="528"/>
      <c r="H3026" s="546" t="s">
        <v>37</v>
      </c>
      <c r="I3026" s="711">
        <v>0</v>
      </c>
      <c r="J3026" s="896" t="str">
        <f t="shared" ref="J3026" si="12304">IFERROR((I3027/I3026),"-")</f>
        <v>-</v>
      </c>
      <c r="K3026" s="528"/>
      <c r="L3026" s="546" t="s">
        <v>37</v>
      </c>
      <c r="M3026" s="711">
        <f t="shared" ref="M3026:M3061" si="12305">_xlfn.XLOOKUP($N$8,$P$8:$V$8,$P3026:$V3026)</f>
        <v>0</v>
      </c>
      <c r="N3026" s="896" t="str">
        <f t="shared" ref="N3026" si="12306">IFERROR((M3027/M3026),"-")</f>
        <v>-</v>
      </c>
      <c r="O3026" s="528"/>
      <c r="P3026" s="547">
        <v>0</v>
      </c>
      <c r="Q3026" s="547">
        <v>0</v>
      </c>
      <c r="R3026" s="547">
        <v>0</v>
      </c>
      <c r="S3026" s="547">
        <v>0</v>
      </c>
      <c r="T3026" s="547">
        <v>0</v>
      </c>
      <c r="U3026" s="547">
        <v>0</v>
      </c>
      <c r="V3026" s="548">
        <v>0</v>
      </c>
      <c r="W3026" s="528"/>
      <c r="X3026" s="711">
        <f t="shared" si="12296"/>
        <v>0</v>
      </c>
      <c r="Y3026" s="896" t="str">
        <f t="shared" ref="Y3026" si="12307">IFERROR((X3027/X3026),"-")</f>
        <v>-</v>
      </c>
      <c r="Z3026" s="528"/>
      <c r="AA3026" s="898">
        <v>0</v>
      </c>
      <c r="AB3026" s="898">
        <v>0</v>
      </c>
      <c r="AC3026" s="898">
        <v>0</v>
      </c>
      <c r="AD3026" s="896" t="str">
        <f t="shared" ref="AD3026" si="12308">IFERROR((AC3026/AA3026),"-")</f>
        <v>-</v>
      </c>
      <c r="AE3026" s="2"/>
      <c r="AF3026" s="884">
        <v>0</v>
      </c>
      <c r="AG3026" s="884">
        <v>0</v>
      </c>
      <c r="AH3026" s="884">
        <v>0</v>
      </c>
      <c r="AI3026" s="884"/>
      <c r="AJ3026" s="884"/>
      <c r="AK3026" s="884">
        <f t="shared" ref="AK3026" si="12309">AF3026+AG3026+AH3026+AI3026+AJ3026+AC3026</f>
        <v>0</v>
      </c>
      <c r="AL3026" s="884">
        <v>95524.45</v>
      </c>
      <c r="AM3026" s="878">
        <f t="shared" ref="AM3026" si="12310">IFERROR((AK3026/AL3026),"-")</f>
        <v>0</v>
      </c>
      <c r="AN3026" s="2"/>
      <c r="AO3026" s="884">
        <v>189648</v>
      </c>
      <c r="AP3026" s="884">
        <f t="shared" ref="AP3026" si="12311">AO3026-AK3026</f>
        <v>189648</v>
      </c>
      <c r="AV3026" t="str">
        <f t="shared" si="12273"/>
        <v>Revegetação - Hidrossemeadura</v>
      </c>
      <c r="AW3026" s="4" t="str">
        <f t="shared" si="12264"/>
        <v xml:space="preserve">   Seg. 2.3-ADME -11A/11B - Revestimento vegetal por hidrossemeadura</v>
      </c>
    </row>
    <row r="3027" spans="1:49" ht="15.6" customHeight="1" outlineLevel="2">
      <c r="A3027" s="8" t="str">
        <f t="shared" ref="A3027" si="12312">A3026</f>
        <v>N</v>
      </c>
      <c r="B3027" s="150">
        <v>1066560</v>
      </c>
      <c r="C3027" s="150" t="s">
        <v>3449</v>
      </c>
      <c r="D3027" s="120" t="s">
        <v>3450</v>
      </c>
      <c r="E3027" s="893"/>
      <c r="F3027" s="895"/>
      <c r="G3027" s="528"/>
      <c r="H3027" s="549" t="s">
        <v>38</v>
      </c>
      <c r="I3027" s="711">
        <v>0</v>
      </c>
      <c r="J3027" s="897"/>
      <c r="K3027" s="528"/>
      <c r="L3027" s="549" t="s">
        <v>38</v>
      </c>
      <c r="M3027" s="711">
        <f t="shared" si="12305"/>
        <v>0</v>
      </c>
      <c r="N3027" s="897"/>
      <c r="O3027" s="528"/>
      <c r="P3027" s="548">
        <v>0</v>
      </c>
      <c r="Q3027" s="548">
        <v>0</v>
      </c>
      <c r="R3027" s="548">
        <v>0</v>
      </c>
      <c r="S3027" s="548">
        <v>0</v>
      </c>
      <c r="T3027" s="548">
        <v>0</v>
      </c>
      <c r="U3027" s="548">
        <v>0</v>
      </c>
      <c r="V3027" s="548"/>
      <c r="W3027" s="528"/>
      <c r="X3027" s="711">
        <f t="shared" si="12296"/>
        <v>0</v>
      </c>
      <c r="Y3027" s="897"/>
      <c r="Z3027" s="528"/>
      <c r="AA3027" s="899"/>
      <c r="AB3027" s="899"/>
      <c r="AC3027" s="899"/>
      <c r="AD3027" s="897"/>
      <c r="AE3027" s="2"/>
      <c r="AF3027" s="885"/>
      <c r="AG3027" s="885"/>
      <c r="AH3027" s="885"/>
      <c r="AI3027" s="885"/>
      <c r="AJ3027" s="885"/>
      <c r="AK3027" s="885"/>
      <c r="AL3027" s="885"/>
      <c r="AM3027" s="879"/>
      <c r="AN3027" s="2"/>
      <c r="AO3027" s="886"/>
      <c r="AP3027" s="886"/>
      <c r="AV3027" t="str">
        <f t="shared" si="12273"/>
        <v>Revegetação - Hidrossemeadura</v>
      </c>
      <c r="AW3027" s="4" t="str">
        <f t="shared" si="12264"/>
        <v xml:space="preserve">   Seg. 2.3-ADME -11A/11B - Revestimento vegetal por hidrossemeadura</v>
      </c>
    </row>
    <row r="3028" spans="1:49" ht="15.6" customHeight="1" outlineLevel="2">
      <c r="A3028" s="8" t="str">
        <f t="shared" ref="A3028" si="12313">IF(SUM(P3028:V3029)&gt;0,"S","N")</f>
        <v>N</v>
      </c>
      <c r="B3028" s="150">
        <v>1066561</v>
      </c>
      <c r="C3028" s="150" t="s">
        <v>3452</v>
      </c>
      <c r="D3028" s="120" t="s">
        <v>3453</v>
      </c>
      <c r="E3028" s="892" t="s">
        <v>3454</v>
      </c>
      <c r="F3028" s="894" t="s">
        <v>3210</v>
      </c>
      <c r="G3028" s="528"/>
      <c r="H3028" s="546" t="s">
        <v>37</v>
      </c>
      <c r="I3028" s="711">
        <v>0</v>
      </c>
      <c r="J3028" s="896" t="str">
        <f t="shared" ref="J3028" si="12314">IFERROR((I3029/I3028),"-")</f>
        <v>-</v>
      </c>
      <c r="K3028" s="528"/>
      <c r="L3028" s="546" t="s">
        <v>37</v>
      </c>
      <c r="M3028" s="711">
        <f t="shared" si="12305"/>
        <v>0</v>
      </c>
      <c r="N3028" s="896" t="str">
        <f t="shared" ref="N3028" si="12315">IFERROR((M3029/M3028),"-")</f>
        <v>-</v>
      </c>
      <c r="O3028" s="528"/>
      <c r="P3028" s="547">
        <v>0</v>
      </c>
      <c r="Q3028" s="547">
        <v>0</v>
      </c>
      <c r="R3028" s="547">
        <v>0</v>
      </c>
      <c r="S3028" s="547">
        <v>0</v>
      </c>
      <c r="T3028" s="547">
        <v>0</v>
      </c>
      <c r="U3028" s="547">
        <v>0</v>
      </c>
      <c r="V3028" s="548">
        <v>0</v>
      </c>
      <c r="W3028" s="528"/>
      <c r="X3028" s="711">
        <f t="shared" si="12296"/>
        <v>0</v>
      </c>
      <c r="Y3028" s="896" t="str">
        <f t="shared" ref="Y3028" si="12316">IFERROR((X3029/X3028),"-")</f>
        <v>-</v>
      </c>
      <c r="Z3028" s="528"/>
      <c r="AA3028" s="898">
        <v>0</v>
      </c>
      <c r="AB3028" s="898">
        <v>0</v>
      </c>
      <c r="AC3028" s="898">
        <v>0</v>
      </c>
      <c r="AD3028" s="896" t="str">
        <f t="shared" ref="AD3028" si="12317">IFERROR((AC3028/AA3028),"-")</f>
        <v>-</v>
      </c>
      <c r="AE3028" s="2"/>
      <c r="AF3028" s="884">
        <v>0</v>
      </c>
      <c r="AG3028" s="884">
        <v>0</v>
      </c>
      <c r="AH3028" s="884">
        <v>0</v>
      </c>
      <c r="AI3028" s="884"/>
      <c r="AJ3028" s="884"/>
      <c r="AK3028" s="884">
        <f t="shared" ref="AK3028" si="12318">AF3028+AG3028+AH3028+AI3028+AJ3028+AC3028</f>
        <v>0</v>
      </c>
      <c r="AL3028" s="884">
        <v>0</v>
      </c>
      <c r="AM3028" s="878" t="str">
        <f t="shared" ref="AM3028" si="12319">IFERROR((AK3028/AL3028),"-")</f>
        <v>-</v>
      </c>
      <c r="AN3028" s="2"/>
      <c r="AO3028" s="884">
        <v>0</v>
      </c>
      <c r="AP3028" s="884">
        <f t="shared" ref="AP3028" si="12320">AO3028-AK3028</f>
        <v>0</v>
      </c>
      <c r="AV3028" t="str">
        <f t="shared" si="12273"/>
        <v>Revegetação - Hidrossemeadura</v>
      </c>
      <c r="AW3028" s="4" t="str">
        <f t="shared" si="12264"/>
        <v xml:space="preserve">   Seg. 2.3-ADME-10 - Revestimento vegetal por hidrossemeadura</v>
      </c>
    </row>
    <row r="3029" spans="1:49" ht="15.6" customHeight="1" outlineLevel="2">
      <c r="A3029" s="8" t="str">
        <f t="shared" ref="A3029" si="12321">A3028</f>
        <v>N</v>
      </c>
      <c r="B3029" s="150">
        <v>1066561</v>
      </c>
      <c r="C3029" s="150" t="s">
        <v>3452</v>
      </c>
      <c r="D3029" s="120" t="s">
        <v>3453</v>
      </c>
      <c r="E3029" s="893"/>
      <c r="F3029" s="895"/>
      <c r="G3029" s="528"/>
      <c r="H3029" s="549" t="s">
        <v>38</v>
      </c>
      <c r="I3029" s="711">
        <v>0</v>
      </c>
      <c r="J3029" s="897"/>
      <c r="K3029" s="528"/>
      <c r="L3029" s="549" t="s">
        <v>38</v>
      </c>
      <c r="M3029" s="711">
        <f t="shared" si="12305"/>
        <v>0</v>
      </c>
      <c r="N3029" s="897"/>
      <c r="O3029" s="528"/>
      <c r="P3029" s="548">
        <v>0</v>
      </c>
      <c r="Q3029" s="548">
        <v>0</v>
      </c>
      <c r="R3029" s="548">
        <v>0</v>
      </c>
      <c r="S3029" s="548">
        <v>0</v>
      </c>
      <c r="T3029" s="548">
        <v>0</v>
      </c>
      <c r="U3029" s="548">
        <v>0</v>
      </c>
      <c r="V3029" s="548"/>
      <c r="W3029" s="528"/>
      <c r="X3029" s="711">
        <f t="shared" si="12296"/>
        <v>0</v>
      </c>
      <c r="Y3029" s="897"/>
      <c r="Z3029" s="528"/>
      <c r="AA3029" s="899"/>
      <c r="AB3029" s="899"/>
      <c r="AC3029" s="899"/>
      <c r="AD3029" s="897"/>
      <c r="AE3029" s="2"/>
      <c r="AF3029" s="885"/>
      <c r="AG3029" s="885"/>
      <c r="AH3029" s="885"/>
      <c r="AI3029" s="885"/>
      <c r="AJ3029" s="885"/>
      <c r="AK3029" s="885"/>
      <c r="AL3029" s="885"/>
      <c r="AM3029" s="879"/>
      <c r="AN3029" s="2"/>
      <c r="AO3029" s="886"/>
      <c r="AP3029" s="886"/>
      <c r="AV3029" t="str">
        <f t="shared" si="12273"/>
        <v>Revegetação - Hidrossemeadura</v>
      </c>
      <c r="AW3029" s="4" t="str">
        <f t="shared" si="12264"/>
        <v xml:space="preserve">   Seg. 2.3-ADME-10 - Revestimento vegetal por hidrossemeadura</v>
      </c>
    </row>
    <row r="3030" spans="1:49" ht="15.6" customHeight="1" outlineLevel="2">
      <c r="A3030" s="8" t="str">
        <f t="shared" ref="A3030" si="12322">IF(SUM(P3030:V3031)&gt;0,"S","N")</f>
        <v>N</v>
      </c>
      <c r="B3030" s="150">
        <v>1066562</v>
      </c>
      <c r="C3030" s="150" t="s">
        <v>3455</v>
      </c>
      <c r="D3030" s="120" t="s">
        <v>3456</v>
      </c>
      <c r="E3030" s="892" t="s">
        <v>3457</v>
      </c>
      <c r="F3030" s="894" t="s">
        <v>3210</v>
      </c>
      <c r="G3030" s="528"/>
      <c r="H3030" s="546" t="s">
        <v>37</v>
      </c>
      <c r="I3030" s="711">
        <v>0</v>
      </c>
      <c r="J3030" s="896" t="str">
        <f t="shared" ref="J3030" si="12323">IFERROR((I3031/I3030),"-")</f>
        <v>-</v>
      </c>
      <c r="K3030" s="528"/>
      <c r="L3030" s="546" t="s">
        <v>37</v>
      </c>
      <c r="M3030" s="711">
        <f t="shared" si="12305"/>
        <v>0</v>
      </c>
      <c r="N3030" s="896" t="str">
        <f t="shared" ref="N3030" si="12324">IFERROR((M3031/M3030),"-")</f>
        <v>-</v>
      </c>
      <c r="O3030" s="528"/>
      <c r="P3030" s="547">
        <v>0</v>
      </c>
      <c r="Q3030" s="547">
        <v>0</v>
      </c>
      <c r="R3030" s="547">
        <v>0</v>
      </c>
      <c r="S3030" s="547">
        <v>0</v>
      </c>
      <c r="T3030" s="547">
        <v>0</v>
      </c>
      <c r="U3030" s="547">
        <v>0</v>
      </c>
      <c r="V3030" s="548">
        <v>0</v>
      </c>
      <c r="W3030" s="528"/>
      <c r="X3030" s="711">
        <f t="shared" si="12296"/>
        <v>0</v>
      </c>
      <c r="Y3030" s="896" t="str">
        <f t="shared" ref="Y3030" si="12325">IFERROR((X3031/X3030),"-")</f>
        <v>-</v>
      </c>
      <c r="Z3030" s="528"/>
      <c r="AA3030" s="898">
        <v>0</v>
      </c>
      <c r="AB3030" s="898">
        <v>0</v>
      </c>
      <c r="AC3030" s="898">
        <v>0</v>
      </c>
      <c r="AD3030" s="896" t="str">
        <f t="shared" ref="AD3030" si="12326">IFERROR((AC3030/AA3030),"-")</f>
        <v>-</v>
      </c>
      <c r="AE3030" s="2"/>
      <c r="AF3030" s="884">
        <v>0</v>
      </c>
      <c r="AG3030" s="884">
        <v>0</v>
      </c>
      <c r="AH3030" s="884">
        <v>0</v>
      </c>
      <c r="AI3030" s="884"/>
      <c r="AJ3030" s="884"/>
      <c r="AK3030" s="884">
        <f t="shared" ref="AK3030" si="12327">AF3030+AG3030+AH3030+AI3030+AJ3030+AC3030</f>
        <v>0</v>
      </c>
      <c r="AL3030" s="884">
        <v>0</v>
      </c>
      <c r="AM3030" s="878" t="str">
        <f t="shared" ref="AM3030" si="12328">IFERROR((AK3030/AL3030),"-")</f>
        <v>-</v>
      </c>
      <c r="AN3030" s="2"/>
      <c r="AO3030" s="884">
        <v>0</v>
      </c>
      <c r="AP3030" s="884">
        <f t="shared" ref="AP3030" si="12329">AO3030-AK3030</f>
        <v>0</v>
      </c>
      <c r="AV3030" t="str">
        <f t="shared" si="12273"/>
        <v>Revegetação - Hidrossemeadura</v>
      </c>
      <c r="AW3030" s="4" t="str">
        <f t="shared" si="12264"/>
        <v xml:space="preserve">   Seg. 2.3-ADME-04 - Revestimento vegetal por hidrossemeadura</v>
      </c>
    </row>
    <row r="3031" spans="1:49" ht="15.6" customHeight="1" outlineLevel="2">
      <c r="A3031" s="8" t="str">
        <f t="shared" ref="A3031" si="12330">A3030</f>
        <v>N</v>
      </c>
      <c r="B3031" s="150">
        <v>1066562</v>
      </c>
      <c r="C3031" s="150" t="s">
        <v>3455</v>
      </c>
      <c r="D3031" s="120" t="s">
        <v>3456</v>
      </c>
      <c r="E3031" s="893"/>
      <c r="F3031" s="895"/>
      <c r="G3031" s="528"/>
      <c r="H3031" s="549" t="s">
        <v>38</v>
      </c>
      <c r="I3031" s="711">
        <v>0</v>
      </c>
      <c r="J3031" s="897"/>
      <c r="K3031" s="528"/>
      <c r="L3031" s="549" t="s">
        <v>38</v>
      </c>
      <c r="M3031" s="711">
        <f t="shared" si="12305"/>
        <v>0</v>
      </c>
      <c r="N3031" s="897"/>
      <c r="O3031" s="528"/>
      <c r="P3031" s="548">
        <v>0</v>
      </c>
      <c r="Q3031" s="548">
        <v>0</v>
      </c>
      <c r="R3031" s="548">
        <v>0</v>
      </c>
      <c r="S3031" s="548">
        <v>0</v>
      </c>
      <c r="T3031" s="548">
        <v>0</v>
      </c>
      <c r="U3031" s="548">
        <v>0</v>
      </c>
      <c r="V3031" s="548"/>
      <c r="W3031" s="528"/>
      <c r="X3031" s="711">
        <f t="shared" si="12296"/>
        <v>0</v>
      </c>
      <c r="Y3031" s="897"/>
      <c r="Z3031" s="528"/>
      <c r="AA3031" s="899"/>
      <c r="AB3031" s="899"/>
      <c r="AC3031" s="899"/>
      <c r="AD3031" s="897"/>
      <c r="AE3031" s="2"/>
      <c r="AF3031" s="885"/>
      <c r="AG3031" s="885"/>
      <c r="AH3031" s="885"/>
      <c r="AI3031" s="885"/>
      <c r="AJ3031" s="885"/>
      <c r="AK3031" s="885"/>
      <c r="AL3031" s="885"/>
      <c r="AM3031" s="879"/>
      <c r="AN3031" s="2"/>
      <c r="AO3031" s="886"/>
      <c r="AP3031" s="886"/>
      <c r="AV3031" t="str">
        <f t="shared" si="12273"/>
        <v>Revegetação - Hidrossemeadura</v>
      </c>
      <c r="AW3031" s="4" t="str">
        <f t="shared" si="12264"/>
        <v xml:space="preserve">   Seg. 2.3-ADME-04 - Revestimento vegetal por hidrossemeadura</v>
      </c>
    </row>
    <row r="3032" spans="1:49" ht="15.6" customHeight="1" outlineLevel="2">
      <c r="A3032" s="8" t="str">
        <f t="shared" ref="A3032" si="12331">IF(SUM(P3032:V3033)&gt;0,"S","N")</f>
        <v>N</v>
      </c>
      <c r="B3032" s="150">
        <v>1066563</v>
      </c>
      <c r="C3032" s="150" t="s">
        <v>3458</v>
      </c>
      <c r="D3032" s="120" t="s">
        <v>3459</v>
      </c>
      <c r="E3032" s="892" t="s">
        <v>3460</v>
      </c>
      <c r="F3032" s="894" t="s">
        <v>3210</v>
      </c>
      <c r="G3032" s="528"/>
      <c r="H3032" s="546" t="s">
        <v>37</v>
      </c>
      <c r="I3032" s="711">
        <v>0</v>
      </c>
      <c r="J3032" s="896" t="str">
        <f t="shared" ref="J3032" si="12332">IFERROR((I3033/I3032),"-")</f>
        <v>-</v>
      </c>
      <c r="K3032" s="528"/>
      <c r="L3032" s="546" t="s">
        <v>37</v>
      </c>
      <c r="M3032" s="711">
        <f t="shared" si="12305"/>
        <v>0</v>
      </c>
      <c r="N3032" s="896" t="str">
        <f t="shared" ref="N3032" si="12333">IFERROR((M3033/M3032),"-")</f>
        <v>-</v>
      </c>
      <c r="O3032" s="528"/>
      <c r="P3032" s="547">
        <v>0</v>
      </c>
      <c r="Q3032" s="547">
        <v>0</v>
      </c>
      <c r="R3032" s="547">
        <v>0</v>
      </c>
      <c r="S3032" s="547">
        <v>0</v>
      </c>
      <c r="T3032" s="547">
        <v>0</v>
      </c>
      <c r="U3032" s="547">
        <v>0</v>
      </c>
      <c r="V3032" s="548">
        <v>0</v>
      </c>
      <c r="W3032" s="528"/>
      <c r="X3032" s="711">
        <f t="shared" si="12296"/>
        <v>0</v>
      </c>
      <c r="Y3032" s="896" t="str">
        <f t="shared" ref="Y3032" si="12334">IFERROR((X3033/X3032),"-")</f>
        <v>-</v>
      </c>
      <c r="Z3032" s="528"/>
      <c r="AA3032" s="898">
        <v>0</v>
      </c>
      <c r="AB3032" s="898">
        <v>0</v>
      </c>
      <c r="AC3032" s="898">
        <v>0</v>
      </c>
      <c r="AD3032" s="896" t="str">
        <f t="shared" ref="AD3032" si="12335">IFERROR((AC3032/AA3032),"-")</f>
        <v>-</v>
      </c>
      <c r="AE3032" s="2"/>
      <c r="AF3032" s="884">
        <v>0</v>
      </c>
      <c r="AG3032" s="884">
        <v>0</v>
      </c>
      <c r="AH3032" s="884">
        <v>0</v>
      </c>
      <c r="AI3032" s="884"/>
      <c r="AJ3032" s="884"/>
      <c r="AK3032" s="884">
        <f t="shared" ref="AK3032" si="12336">AF3032+AG3032+AH3032+AI3032+AJ3032+AC3032</f>
        <v>0</v>
      </c>
      <c r="AL3032" s="884">
        <v>0</v>
      </c>
      <c r="AM3032" s="878" t="str">
        <f t="shared" ref="AM3032" si="12337">IFERROR((AK3032/AL3032),"-")</f>
        <v>-</v>
      </c>
      <c r="AN3032" s="2"/>
      <c r="AO3032" s="884">
        <v>0</v>
      </c>
      <c r="AP3032" s="884">
        <f t="shared" ref="AP3032" si="12338">AO3032-AK3032</f>
        <v>0</v>
      </c>
      <c r="AV3032" t="str">
        <f t="shared" si="12273"/>
        <v>Revegetação - Hidrossemeadura</v>
      </c>
      <c r="AW3032" s="4" t="str">
        <f t="shared" si="12264"/>
        <v xml:space="preserve">   Seg. 2.3-ADME -8A - Revestimento vegetal por hidrossemeadura</v>
      </c>
    </row>
    <row r="3033" spans="1:49" ht="15.6" customHeight="1" outlineLevel="2">
      <c r="A3033" s="8" t="str">
        <f t="shared" ref="A3033" si="12339">A3032</f>
        <v>N</v>
      </c>
      <c r="B3033" s="150">
        <v>1066563</v>
      </c>
      <c r="C3033" s="150" t="s">
        <v>3458</v>
      </c>
      <c r="D3033" s="120" t="s">
        <v>3459</v>
      </c>
      <c r="E3033" s="893"/>
      <c r="F3033" s="895"/>
      <c r="G3033" s="528"/>
      <c r="H3033" s="549" t="s">
        <v>38</v>
      </c>
      <c r="I3033" s="711">
        <v>0</v>
      </c>
      <c r="J3033" s="897"/>
      <c r="K3033" s="528"/>
      <c r="L3033" s="549" t="s">
        <v>38</v>
      </c>
      <c r="M3033" s="711">
        <f t="shared" si="12305"/>
        <v>0</v>
      </c>
      <c r="N3033" s="897"/>
      <c r="O3033" s="528"/>
      <c r="P3033" s="548">
        <v>0</v>
      </c>
      <c r="Q3033" s="548">
        <v>0</v>
      </c>
      <c r="R3033" s="548">
        <v>0</v>
      </c>
      <c r="S3033" s="548">
        <v>0</v>
      </c>
      <c r="T3033" s="548">
        <v>0</v>
      </c>
      <c r="U3033" s="548">
        <v>0</v>
      </c>
      <c r="V3033" s="548"/>
      <c r="W3033" s="528"/>
      <c r="X3033" s="711">
        <f t="shared" si="12296"/>
        <v>0</v>
      </c>
      <c r="Y3033" s="897"/>
      <c r="Z3033" s="528"/>
      <c r="AA3033" s="899"/>
      <c r="AB3033" s="899"/>
      <c r="AC3033" s="899"/>
      <c r="AD3033" s="897"/>
      <c r="AE3033" s="2"/>
      <c r="AF3033" s="885"/>
      <c r="AG3033" s="885"/>
      <c r="AH3033" s="885"/>
      <c r="AI3033" s="885"/>
      <c r="AJ3033" s="885"/>
      <c r="AK3033" s="885"/>
      <c r="AL3033" s="885"/>
      <c r="AM3033" s="879"/>
      <c r="AN3033" s="2"/>
      <c r="AO3033" s="886"/>
      <c r="AP3033" s="886"/>
      <c r="AV3033" t="str">
        <f t="shared" si="12273"/>
        <v>Revegetação - Hidrossemeadura</v>
      </c>
      <c r="AW3033" s="4" t="str">
        <f t="shared" si="12264"/>
        <v xml:space="preserve">   Seg. 2.3-ADME -8A - Revestimento vegetal por hidrossemeadura</v>
      </c>
    </row>
    <row r="3034" spans="1:49" ht="15.6" customHeight="1" outlineLevel="2">
      <c r="A3034" s="8" t="str">
        <f t="shared" ref="A3034" si="12340">IF(SUM(P3034:V3035)&gt;0,"S","N")</f>
        <v>N</v>
      </c>
      <c r="B3034" s="150">
        <v>1066564</v>
      </c>
      <c r="C3034" s="150" t="s">
        <v>3461</v>
      </c>
      <c r="D3034" s="120" t="s">
        <v>3462</v>
      </c>
      <c r="E3034" s="892" t="s">
        <v>3463</v>
      </c>
      <c r="F3034" s="894" t="s">
        <v>3210</v>
      </c>
      <c r="G3034" s="528"/>
      <c r="H3034" s="546" t="s">
        <v>37</v>
      </c>
      <c r="I3034" s="711">
        <v>0</v>
      </c>
      <c r="J3034" s="896" t="str">
        <f t="shared" ref="J3034" si="12341">IFERROR((I3035/I3034),"-")</f>
        <v>-</v>
      </c>
      <c r="K3034" s="528"/>
      <c r="L3034" s="546" t="s">
        <v>37</v>
      </c>
      <c r="M3034" s="711">
        <f t="shared" si="12305"/>
        <v>0</v>
      </c>
      <c r="N3034" s="896" t="str">
        <f t="shared" ref="N3034" si="12342">IFERROR((M3035/M3034),"-")</f>
        <v>-</v>
      </c>
      <c r="O3034" s="528"/>
      <c r="P3034" s="547">
        <v>0</v>
      </c>
      <c r="Q3034" s="547">
        <v>0</v>
      </c>
      <c r="R3034" s="547">
        <v>0</v>
      </c>
      <c r="S3034" s="547">
        <v>0</v>
      </c>
      <c r="T3034" s="547">
        <v>0</v>
      </c>
      <c r="U3034" s="547">
        <v>0</v>
      </c>
      <c r="V3034" s="548">
        <v>0</v>
      </c>
      <c r="W3034" s="528"/>
      <c r="X3034" s="711">
        <f t="shared" si="12296"/>
        <v>0</v>
      </c>
      <c r="Y3034" s="896" t="str">
        <f t="shared" ref="Y3034" si="12343">IFERROR((X3035/X3034),"-")</f>
        <v>-</v>
      </c>
      <c r="Z3034" s="528"/>
      <c r="AA3034" s="898">
        <v>0</v>
      </c>
      <c r="AB3034" s="898">
        <v>0</v>
      </c>
      <c r="AC3034" s="898">
        <v>0</v>
      </c>
      <c r="AD3034" s="896" t="str">
        <f t="shared" ref="AD3034" si="12344">IFERROR((AC3034/AA3034),"-")</f>
        <v>-</v>
      </c>
      <c r="AE3034" s="2"/>
      <c r="AF3034" s="884">
        <v>0</v>
      </c>
      <c r="AG3034" s="884">
        <v>0</v>
      </c>
      <c r="AH3034" s="884">
        <v>0</v>
      </c>
      <c r="AI3034" s="884"/>
      <c r="AJ3034" s="884"/>
      <c r="AK3034" s="884">
        <f t="shared" ref="AK3034" si="12345">AF3034+AG3034+AH3034+AI3034+AJ3034+AC3034</f>
        <v>0</v>
      </c>
      <c r="AL3034" s="884">
        <v>0</v>
      </c>
      <c r="AM3034" s="878" t="str">
        <f t="shared" ref="AM3034" si="12346">IFERROR((AK3034/AL3034),"-")</f>
        <v>-</v>
      </c>
      <c r="AN3034" s="2"/>
      <c r="AO3034" s="884">
        <v>0</v>
      </c>
      <c r="AP3034" s="884">
        <f t="shared" ref="AP3034" si="12347">AO3034-AK3034</f>
        <v>0</v>
      </c>
      <c r="AV3034" t="str">
        <f t="shared" si="12273"/>
        <v>Revegetação - Hidrossemeadura</v>
      </c>
      <c r="AW3034" s="4" t="str">
        <f t="shared" si="12264"/>
        <v xml:space="preserve">   Seg. 2.3-ADME-8B - Revestimento vegetal por hidrossemeadura</v>
      </c>
    </row>
    <row r="3035" spans="1:49" ht="15.6" customHeight="1" outlineLevel="2">
      <c r="A3035" s="8" t="str">
        <f t="shared" ref="A3035" si="12348">A3034</f>
        <v>N</v>
      </c>
      <c r="B3035" s="150">
        <v>1066564</v>
      </c>
      <c r="C3035" s="150" t="s">
        <v>3461</v>
      </c>
      <c r="D3035" s="120" t="s">
        <v>3462</v>
      </c>
      <c r="E3035" s="893"/>
      <c r="F3035" s="895"/>
      <c r="G3035" s="528"/>
      <c r="H3035" s="549" t="s">
        <v>38</v>
      </c>
      <c r="I3035" s="711">
        <v>0</v>
      </c>
      <c r="J3035" s="897"/>
      <c r="K3035" s="528"/>
      <c r="L3035" s="549" t="s">
        <v>38</v>
      </c>
      <c r="M3035" s="711">
        <f t="shared" si="12305"/>
        <v>0</v>
      </c>
      <c r="N3035" s="897"/>
      <c r="O3035" s="528"/>
      <c r="P3035" s="548">
        <v>0</v>
      </c>
      <c r="Q3035" s="548">
        <v>0</v>
      </c>
      <c r="R3035" s="548">
        <v>0</v>
      </c>
      <c r="S3035" s="548">
        <v>0</v>
      </c>
      <c r="T3035" s="548">
        <v>0</v>
      </c>
      <c r="U3035" s="548">
        <v>0</v>
      </c>
      <c r="V3035" s="548"/>
      <c r="W3035" s="528"/>
      <c r="X3035" s="711">
        <f t="shared" si="12296"/>
        <v>0</v>
      </c>
      <c r="Y3035" s="897"/>
      <c r="Z3035" s="528"/>
      <c r="AA3035" s="899"/>
      <c r="AB3035" s="899"/>
      <c r="AC3035" s="899"/>
      <c r="AD3035" s="897"/>
      <c r="AE3035" s="2"/>
      <c r="AF3035" s="885"/>
      <c r="AG3035" s="885"/>
      <c r="AH3035" s="885"/>
      <c r="AI3035" s="885"/>
      <c r="AJ3035" s="885"/>
      <c r="AK3035" s="885"/>
      <c r="AL3035" s="885"/>
      <c r="AM3035" s="879"/>
      <c r="AN3035" s="2"/>
      <c r="AO3035" s="886"/>
      <c r="AP3035" s="886"/>
      <c r="AV3035" t="str">
        <f t="shared" si="12273"/>
        <v>Revegetação - Hidrossemeadura</v>
      </c>
      <c r="AW3035" s="4" t="str">
        <f t="shared" si="12264"/>
        <v xml:space="preserve">   Seg. 2.3-ADME-8B - Revestimento vegetal por hidrossemeadura</v>
      </c>
    </row>
    <row r="3036" spans="1:49" ht="15.6" customHeight="1" outlineLevel="2">
      <c r="A3036" s="8" t="str">
        <f t="shared" ref="A3036" si="12349">IF(SUM(P3036:V3037)&gt;0,"S","N")</f>
        <v>N</v>
      </c>
      <c r="B3036" s="150">
        <v>1066565</v>
      </c>
      <c r="C3036" s="150" t="s">
        <v>3464</v>
      </c>
      <c r="D3036" s="120" t="s">
        <v>3465</v>
      </c>
      <c r="E3036" s="892" t="s">
        <v>3466</v>
      </c>
      <c r="F3036" s="894" t="s">
        <v>3210</v>
      </c>
      <c r="G3036" s="528"/>
      <c r="H3036" s="546" t="s">
        <v>37</v>
      </c>
      <c r="I3036" s="711">
        <v>0</v>
      </c>
      <c r="J3036" s="896" t="str">
        <f t="shared" ref="J3036" si="12350">IFERROR((I3037/I3036),"-")</f>
        <v>-</v>
      </c>
      <c r="K3036" s="528"/>
      <c r="L3036" s="546" t="s">
        <v>37</v>
      </c>
      <c r="M3036" s="711">
        <f t="shared" si="12305"/>
        <v>0</v>
      </c>
      <c r="N3036" s="896" t="str">
        <f t="shared" ref="N3036" si="12351">IFERROR((M3037/M3036),"-")</f>
        <v>-</v>
      </c>
      <c r="O3036" s="528"/>
      <c r="P3036" s="547">
        <v>0</v>
      </c>
      <c r="Q3036" s="547">
        <v>0</v>
      </c>
      <c r="R3036" s="547">
        <v>0</v>
      </c>
      <c r="S3036" s="547">
        <v>0</v>
      </c>
      <c r="T3036" s="547">
        <v>0</v>
      </c>
      <c r="U3036" s="547">
        <v>0</v>
      </c>
      <c r="V3036" s="548">
        <v>0</v>
      </c>
      <c r="W3036" s="528"/>
      <c r="X3036" s="711">
        <f t="shared" si="12296"/>
        <v>0</v>
      </c>
      <c r="Y3036" s="896" t="str">
        <f t="shared" ref="Y3036" si="12352">IFERROR((X3037/X3036),"-")</f>
        <v>-</v>
      </c>
      <c r="Z3036" s="528"/>
      <c r="AA3036" s="898">
        <v>0</v>
      </c>
      <c r="AB3036" s="898">
        <v>0</v>
      </c>
      <c r="AC3036" s="898">
        <v>0</v>
      </c>
      <c r="AD3036" s="896" t="str">
        <f t="shared" ref="AD3036" si="12353">IFERROR((AC3036/AA3036),"-")</f>
        <v>-</v>
      </c>
      <c r="AE3036" s="2"/>
      <c r="AF3036" s="884">
        <v>0</v>
      </c>
      <c r="AG3036" s="884">
        <v>0</v>
      </c>
      <c r="AH3036" s="884">
        <v>0</v>
      </c>
      <c r="AI3036" s="884"/>
      <c r="AJ3036" s="884"/>
      <c r="AK3036" s="884">
        <f t="shared" ref="AK3036" si="12354">AF3036+AG3036+AH3036+AI3036+AJ3036+AC3036</f>
        <v>0</v>
      </c>
      <c r="AL3036" s="884">
        <v>0</v>
      </c>
      <c r="AM3036" s="878" t="str">
        <f t="shared" ref="AM3036" si="12355">IFERROR((AK3036/AL3036),"-")</f>
        <v>-</v>
      </c>
      <c r="AN3036" s="2"/>
      <c r="AO3036" s="884">
        <v>0</v>
      </c>
      <c r="AP3036" s="884">
        <f t="shared" ref="AP3036" si="12356">AO3036-AK3036</f>
        <v>0</v>
      </c>
      <c r="AV3036" t="str">
        <f t="shared" si="12273"/>
        <v>Revegetação - Hidrossemeadura</v>
      </c>
      <c r="AW3036" s="4" t="str">
        <f t="shared" si="12264"/>
        <v xml:space="preserve">   Seg. 2.3-ADME-09A - Revestimento vegetal por hidrossemeadura</v>
      </c>
    </row>
    <row r="3037" spans="1:49" ht="15.6" customHeight="1" outlineLevel="2">
      <c r="A3037" s="8" t="str">
        <f t="shared" ref="A3037" si="12357">A3036</f>
        <v>N</v>
      </c>
      <c r="B3037" s="150">
        <v>1066565</v>
      </c>
      <c r="C3037" s="150" t="s">
        <v>3464</v>
      </c>
      <c r="D3037" s="120" t="s">
        <v>3465</v>
      </c>
      <c r="E3037" s="893"/>
      <c r="F3037" s="895"/>
      <c r="G3037" s="528"/>
      <c r="H3037" s="549" t="s">
        <v>38</v>
      </c>
      <c r="I3037" s="711">
        <v>0</v>
      </c>
      <c r="J3037" s="897"/>
      <c r="K3037" s="528"/>
      <c r="L3037" s="549" t="s">
        <v>38</v>
      </c>
      <c r="M3037" s="711">
        <f t="shared" si="12305"/>
        <v>0</v>
      </c>
      <c r="N3037" s="897"/>
      <c r="O3037" s="528"/>
      <c r="P3037" s="548">
        <v>0</v>
      </c>
      <c r="Q3037" s="548">
        <v>0</v>
      </c>
      <c r="R3037" s="548">
        <v>0</v>
      </c>
      <c r="S3037" s="548">
        <v>0</v>
      </c>
      <c r="T3037" s="548">
        <v>0</v>
      </c>
      <c r="U3037" s="548">
        <v>0</v>
      </c>
      <c r="V3037" s="548"/>
      <c r="W3037" s="528"/>
      <c r="X3037" s="711">
        <f t="shared" si="12296"/>
        <v>0</v>
      </c>
      <c r="Y3037" s="897"/>
      <c r="Z3037" s="528"/>
      <c r="AA3037" s="899"/>
      <c r="AB3037" s="899"/>
      <c r="AC3037" s="899"/>
      <c r="AD3037" s="897"/>
      <c r="AE3037" s="2"/>
      <c r="AF3037" s="885"/>
      <c r="AG3037" s="885"/>
      <c r="AH3037" s="885"/>
      <c r="AI3037" s="885"/>
      <c r="AJ3037" s="885"/>
      <c r="AK3037" s="885"/>
      <c r="AL3037" s="885"/>
      <c r="AM3037" s="879"/>
      <c r="AN3037" s="2"/>
      <c r="AO3037" s="886"/>
      <c r="AP3037" s="886"/>
      <c r="AV3037" t="str">
        <f t="shared" si="12273"/>
        <v>Revegetação - Hidrossemeadura</v>
      </c>
      <c r="AW3037" s="4" t="str">
        <f t="shared" si="12264"/>
        <v xml:space="preserve">   Seg. 2.3-ADME-09A - Revestimento vegetal por hidrossemeadura</v>
      </c>
    </row>
    <row r="3038" spans="1:49" ht="15.6" customHeight="1" outlineLevel="2">
      <c r="A3038" s="209" t="str">
        <f t="shared" ref="A3038" si="12358">IF(SUM(P3038:V3039)&gt;0,"S","N")</f>
        <v>S</v>
      </c>
      <c r="B3038" s="150">
        <v>1066567</v>
      </c>
      <c r="C3038" s="150" t="s">
        <v>3467</v>
      </c>
      <c r="D3038" s="120" t="s">
        <v>3468</v>
      </c>
      <c r="E3038" s="892" t="s">
        <v>3302</v>
      </c>
      <c r="F3038" s="894" t="s">
        <v>3210</v>
      </c>
      <c r="G3038" s="528"/>
      <c r="H3038" s="546" t="s">
        <v>37</v>
      </c>
      <c r="I3038" s="711">
        <v>26000</v>
      </c>
      <c r="J3038" s="896">
        <f t="shared" ref="J3038" si="12359">IFERROR((I3039/I3038),"-")</f>
        <v>0.22692307692307692</v>
      </c>
      <c r="K3038" s="528"/>
      <c r="L3038" s="546" t="s">
        <v>37</v>
      </c>
      <c r="M3038" s="711">
        <f t="shared" si="12305"/>
        <v>4550</v>
      </c>
      <c r="N3038" s="896">
        <f t="shared" ref="N3038" si="12360">IFERROR((M3039/M3038),"-")</f>
        <v>0</v>
      </c>
      <c r="O3038" s="528"/>
      <c r="P3038" s="547">
        <v>4550</v>
      </c>
      <c r="Q3038" s="547">
        <v>4550</v>
      </c>
      <c r="R3038" s="547">
        <v>4550</v>
      </c>
      <c r="S3038" s="547">
        <v>4550</v>
      </c>
      <c r="T3038" s="547">
        <v>3900</v>
      </c>
      <c r="U3038" s="547">
        <v>3900</v>
      </c>
      <c r="V3038" s="548">
        <v>0</v>
      </c>
      <c r="W3038" s="528"/>
      <c r="X3038" s="711">
        <f t="shared" si="12296"/>
        <v>9100</v>
      </c>
      <c r="Y3038" s="896">
        <f t="shared" ref="Y3038" si="12361">IFERROR((X3039/X3038),"-")</f>
        <v>0</v>
      </c>
      <c r="Z3038" s="528"/>
      <c r="AA3038" s="898">
        <v>0</v>
      </c>
      <c r="AB3038" s="898">
        <v>0</v>
      </c>
      <c r="AC3038" s="898">
        <v>23200</v>
      </c>
      <c r="AD3038" s="896" t="str">
        <f t="shared" ref="AD3038" si="12362">IFERROR((AC3038/AA3038),"-")</f>
        <v>-</v>
      </c>
      <c r="AE3038" s="2"/>
      <c r="AF3038" s="884">
        <v>0</v>
      </c>
      <c r="AG3038" s="884">
        <v>0</v>
      </c>
      <c r="AH3038" s="884">
        <v>9100</v>
      </c>
      <c r="AI3038" s="884"/>
      <c r="AJ3038" s="884">
        <v>4435.24</v>
      </c>
      <c r="AK3038" s="884">
        <f t="shared" ref="AK3038" si="12363">AF3038+AG3038+AH3038+AI3038+AJ3038+AC3038</f>
        <v>36735.24</v>
      </c>
      <c r="AL3038" s="884">
        <v>19449.430000000018</v>
      </c>
      <c r="AM3038" s="878">
        <f t="shared" ref="AM3038" si="12364">IFERROR((AK3038/AL3038),"-")</f>
        <v>1.8887566370839641</v>
      </c>
      <c r="AN3038" s="2"/>
      <c r="AO3038" s="884">
        <v>22895.85</v>
      </c>
      <c r="AP3038" s="884">
        <f t="shared" ref="AP3038" si="12365">AO3038-AK3038</f>
        <v>-13839.39</v>
      </c>
      <c r="AV3038" t="str">
        <f t="shared" si="12273"/>
        <v>Revegetação - Hidrossemeadura</v>
      </c>
      <c r="AW3038" s="4" t="str">
        <f t="shared" si="12264"/>
        <v xml:space="preserve">   Revestimento vegetal por hidrossemeadura</v>
      </c>
    </row>
    <row r="3039" spans="1:49" ht="15.6" customHeight="1" outlineLevel="2">
      <c r="A3039" s="209" t="str">
        <f t="shared" ref="A3039" si="12366">A3038</f>
        <v>S</v>
      </c>
      <c r="B3039" s="150">
        <v>1066567</v>
      </c>
      <c r="C3039" s="150" t="s">
        <v>3467</v>
      </c>
      <c r="D3039" s="120" t="s">
        <v>3468</v>
      </c>
      <c r="E3039" s="893"/>
      <c r="F3039" s="895"/>
      <c r="G3039" s="528"/>
      <c r="H3039" s="549" t="s">
        <v>38</v>
      </c>
      <c r="I3039" s="711">
        <v>5900</v>
      </c>
      <c r="J3039" s="897"/>
      <c r="K3039" s="528"/>
      <c r="L3039" s="549" t="s">
        <v>38</v>
      </c>
      <c r="M3039" s="711">
        <f t="shared" si="12305"/>
        <v>0</v>
      </c>
      <c r="N3039" s="897"/>
      <c r="O3039" s="528"/>
      <c r="P3039" s="548">
        <v>0</v>
      </c>
      <c r="Q3039" s="548">
        <v>0</v>
      </c>
      <c r="R3039" s="548">
        <v>0</v>
      </c>
      <c r="S3039" s="548">
        <v>0</v>
      </c>
      <c r="T3039" s="548">
        <v>0</v>
      </c>
      <c r="U3039" s="548">
        <v>0</v>
      </c>
      <c r="V3039" s="548"/>
      <c r="W3039" s="528"/>
      <c r="X3039" s="711">
        <f t="shared" si="12296"/>
        <v>0</v>
      </c>
      <c r="Y3039" s="897"/>
      <c r="Z3039" s="528"/>
      <c r="AA3039" s="899"/>
      <c r="AB3039" s="899"/>
      <c r="AC3039" s="899"/>
      <c r="AD3039" s="897"/>
      <c r="AE3039" s="2"/>
      <c r="AF3039" s="885"/>
      <c r="AG3039" s="885"/>
      <c r="AH3039" s="885"/>
      <c r="AI3039" s="885"/>
      <c r="AJ3039" s="885"/>
      <c r="AK3039" s="885"/>
      <c r="AL3039" s="885"/>
      <c r="AM3039" s="879"/>
      <c r="AN3039" s="2"/>
      <c r="AO3039" s="886"/>
      <c r="AP3039" s="886"/>
      <c r="AV3039" t="str">
        <f t="shared" si="12273"/>
        <v>Revegetação - Hidrossemeadura</v>
      </c>
      <c r="AW3039" s="4" t="str">
        <f t="shared" si="12264"/>
        <v xml:space="preserve">   Revestimento vegetal por hidrossemeadura</v>
      </c>
    </row>
    <row r="3040" spans="1:49" ht="15.6" customHeight="1" outlineLevel="2">
      <c r="A3040" s="8" t="str">
        <f t="shared" ref="A3040" si="12367">IF(SUM(P3040:V3041)&gt;0,"S","N")</f>
        <v>N</v>
      </c>
      <c r="B3040" s="150">
        <v>1069320</v>
      </c>
      <c r="C3040" s="150" t="s">
        <v>3469</v>
      </c>
      <c r="D3040" s="120" t="s">
        <v>3470</v>
      </c>
      <c r="E3040" s="892" t="s">
        <v>3471</v>
      </c>
      <c r="F3040" s="894" t="s">
        <v>3210</v>
      </c>
      <c r="G3040" s="528"/>
      <c r="H3040" s="546" t="s">
        <v>37</v>
      </c>
      <c r="I3040" s="711">
        <v>0</v>
      </c>
      <c r="J3040" s="896" t="str">
        <f t="shared" ref="J3040" si="12368">IFERROR((I3041/I3040),"-")</f>
        <v>-</v>
      </c>
      <c r="K3040" s="528"/>
      <c r="L3040" s="546" t="s">
        <v>37</v>
      </c>
      <c r="M3040" s="711">
        <f t="shared" si="12305"/>
        <v>0</v>
      </c>
      <c r="N3040" s="896" t="str">
        <f t="shared" ref="N3040" si="12369">IFERROR((M3041/M3040),"-")</f>
        <v>-</v>
      </c>
      <c r="O3040" s="528"/>
      <c r="P3040" s="547">
        <v>0</v>
      </c>
      <c r="Q3040" s="547">
        <v>0</v>
      </c>
      <c r="R3040" s="547">
        <v>0</v>
      </c>
      <c r="S3040" s="547">
        <v>0</v>
      </c>
      <c r="T3040" s="547">
        <v>0</v>
      </c>
      <c r="U3040" s="547">
        <v>0</v>
      </c>
      <c r="V3040" s="548">
        <v>0</v>
      </c>
      <c r="W3040" s="528"/>
      <c r="X3040" s="711">
        <f t="shared" si="12296"/>
        <v>0</v>
      </c>
      <c r="Y3040" s="896" t="str">
        <f t="shared" ref="Y3040" si="12370">IFERROR((X3041/X3040),"-")</f>
        <v>-</v>
      </c>
      <c r="Z3040" s="528"/>
      <c r="AA3040" s="898">
        <v>0</v>
      </c>
      <c r="AB3040" s="898">
        <v>0</v>
      </c>
      <c r="AC3040" s="898">
        <v>0</v>
      </c>
      <c r="AD3040" s="896" t="str">
        <f t="shared" ref="AD3040" si="12371">IFERROR((AC3040/AA3040),"-")</f>
        <v>-</v>
      </c>
      <c r="AE3040" s="2"/>
      <c r="AF3040" s="884">
        <v>0</v>
      </c>
      <c r="AG3040" s="884">
        <v>0</v>
      </c>
      <c r="AH3040" s="884">
        <v>0</v>
      </c>
      <c r="AI3040" s="884"/>
      <c r="AJ3040" s="884"/>
      <c r="AK3040" s="884">
        <f t="shared" ref="AK3040" si="12372">AF3040+AG3040+AH3040+AI3040+AJ3040+AC3040</f>
        <v>0</v>
      </c>
      <c r="AL3040" s="884">
        <v>0</v>
      </c>
      <c r="AM3040" s="878" t="str">
        <f t="shared" ref="AM3040" si="12373">IFERROR((AK3040/AL3040),"-")</f>
        <v>-</v>
      </c>
      <c r="AN3040" s="2"/>
      <c r="AO3040" s="884">
        <v>0</v>
      </c>
      <c r="AP3040" s="884">
        <f t="shared" ref="AP3040" si="12374">AO3040-AK3040</f>
        <v>0</v>
      </c>
      <c r="AV3040" t="str">
        <f t="shared" si="12273"/>
        <v>Revegetação - Hidrossemeadura</v>
      </c>
      <c r="AW3040" s="4" t="str">
        <f t="shared" si="12264"/>
        <v xml:space="preserve">   Seg. 2.3-ADME-09B - Revestimento vegetal por hidrossemeadura</v>
      </c>
    </row>
    <row r="3041" spans="1:49" ht="15.6" customHeight="1" outlineLevel="2">
      <c r="A3041" s="8" t="str">
        <f t="shared" ref="A3041" si="12375">A3040</f>
        <v>N</v>
      </c>
      <c r="B3041" s="150">
        <v>1069320</v>
      </c>
      <c r="C3041" s="150" t="s">
        <v>3469</v>
      </c>
      <c r="D3041" s="120" t="s">
        <v>3470</v>
      </c>
      <c r="E3041" s="893"/>
      <c r="F3041" s="895"/>
      <c r="G3041" s="528"/>
      <c r="H3041" s="549" t="s">
        <v>38</v>
      </c>
      <c r="I3041" s="711">
        <v>0</v>
      </c>
      <c r="J3041" s="897"/>
      <c r="K3041" s="528"/>
      <c r="L3041" s="549" t="s">
        <v>38</v>
      </c>
      <c r="M3041" s="711">
        <f t="shared" si="12305"/>
        <v>0</v>
      </c>
      <c r="N3041" s="897"/>
      <c r="O3041" s="528"/>
      <c r="P3041" s="548">
        <v>0</v>
      </c>
      <c r="Q3041" s="548">
        <v>0</v>
      </c>
      <c r="R3041" s="548">
        <v>0</v>
      </c>
      <c r="S3041" s="548">
        <v>0</v>
      </c>
      <c r="T3041" s="548">
        <v>0</v>
      </c>
      <c r="U3041" s="548">
        <v>0</v>
      </c>
      <c r="V3041" s="548"/>
      <c r="W3041" s="528"/>
      <c r="X3041" s="711">
        <f t="shared" si="12296"/>
        <v>0</v>
      </c>
      <c r="Y3041" s="897"/>
      <c r="Z3041" s="528"/>
      <c r="AA3041" s="899"/>
      <c r="AB3041" s="899"/>
      <c r="AC3041" s="899"/>
      <c r="AD3041" s="897"/>
      <c r="AE3041" s="2"/>
      <c r="AF3041" s="885"/>
      <c r="AG3041" s="885"/>
      <c r="AH3041" s="885"/>
      <c r="AI3041" s="885"/>
      <c r="AJ3041" s="885"/>
      <c r="AK3041" s="885"/>
      <c r="AL3041" s="885"/>
      <c r="AM3041" s="879"/>
      <c r="AN3041" s="2"/>
      <c r="AO3041" s="886"/>
      <c r="AP3041" s="886"/>
      <c r="AV3041" t="str">
        <f t="shared" si="12273"/>
        <v>Revegetação - Hidrossemeadura</v>
      </c>
      <c r="AW3041" s="4" t="str">
        <f t="shared" si="12264"/>
        <v xml:space="preserve">   Seg. 2.3-ADME-09B - Revestimento vegetal por hidrossemeadura</v>
      </c>
    </row>
    <row r="3042" spans="1:49" ht="15.6" customHeight="1" outlineLevel="2">
      <c r="A3042" s="8" t="str">
        <f t="shared" ref="A3042" si="12376">IF(SUM(P3042:V3043)&gt;0,"S","N")</f>
        <v>N</v>
      </c>
      <c r="B3042" s="150">
        <v>1069321</v>
      </c>
      <c r="C3042" s="150" t="s">
        <v>3472</v>
      </c>
      <c r="D3042" s="120" t="s">
        <v>3473</v>
      </c>
      <c r="E3042" s="892" t="s">
        <v>3474</v>
      </c>
      <c r="F3042" s="894" t="s">
        <v>3210</v>
      </c>
      <c r="G3042" s="528"/>
      <c r="H3042" s="546" t="s">
        <v>37</v>
      </c>
      <c r="I3042" s="711">
        <v>0</v>
      </c>
      <c r="J3042" s="896" t="str">
        <f t="shared" ref="J3042" si="12377">IFERROR((I3043/I3042),"-")</f>
        <v>-</v>
      </c>
      <c r="K3042" s="528"/>
      <c r="L3042" s="546" t="s">
        <v>37</v>
      </c>
      <c r="M3042" s="711">
        <f t="shared" si="12305"/>
        <v>0</v>
      </c>
      <c r="N3042" s="896" t="str">
        <f t="shared" ref="N3042" si="12378">IFERROR((M3043/M3042),"-")</f>
        <v>-</v>
      </c>
      <c r="O3042" s="528"/>
      <c r="P3042" s="547">
        <v>0</v>
      </c>
      <c r="Q3042" s="547">
        <v>0</v>
      </c>
      <c r="R3042" s="547">
        <v>0</v>
      </c>
      <c r="S3042" s="547">
        <v>0</v>
      </c>
      <c r="T3042" s="547">
        <v>0</v>
      </c>
      <c r="U3042" s="547">
        <v>0</v>
      </c>
      <c r="V3042" s="548">
        <v>0</v>
      </c>
      <c r="W3042" s="528"/>
      <c r="X3042" s="711">
        <f t="shared" si="12296"/>
        <v>0</v>
      </c>
      <c r="Y3042" s="896" t="str">
        <f t="shared" ref="Y3042" si="12379">IFERROR((X3043/X3042),"-")</f>
        <v>-</v>
      </c>
      <c r="Z3042" s="528"/>
      <c r="AA3042" s="898">
        <v>0</v>
      </c>
      <c r="AB3042" s="898">
        <v>0</v>
      </c>
      <c r="AC3042" s="898">
        <v>0</v>
      </c>
      <c r="AD3042" s="896" t="str">
        <f t="shared" ref="AD3042" si="12380">IFERROR((AC3042/AA3042),"-")</f>
        <v>-</v>
      </c>
      <c r="AE3042" s="2"/>
      <c r="AF3042" s="884">
        <v>0</v>
      </c>
      <c r="AG3042" s="884">
        <v>0</v>
      </c>
      <c r="AH3042" s="884">
        <v>0</v>
      </c>
      <c r="AI3042" s="884"/>
      <c r="AJ3042" s="884"/>
      <c r="AK3042" s="884">
        <f t="shared" ref="AK3042" si="12381">AF3042+AG3042+AH3042+AI3042+AJ3042+AC3042</f>
        <v>0</v>
      </c>
      <c r="AL3042" s="884">
        <v>0</v>
      </c>
      <c r="AM3042" s="878" t="str">
        <f t="shared" ref="AM3042" si="12382">IFERROR((AK3042/AL3042),"-")</f>
        <v>-</v>
      </c>
      <c r="AN3042" s="2"/>
      <c r="AO3042" s="884">
        <v>0</v>
      </c>
      <c r="AP3042" s="884">
        <f t="shared" ref="AP3042" si="12383">AO3042-AK3042</f>
        <v>0</v>
      </c>
      <c r="AV3042" t="str">
        <f t="shared" si="12273"/>
        <v>Revegetação - Hidrossemeadura</v>
      </c>
      <c r="AW3042" s="4" t="str">
        <f t="shared" si="12264"/>
        <v xml:space="preserve">   Seg. 2.3-ADME-09D - Revestimento vegetal por hidrossemeadura</v>
      </c>
    </row>
    <row r="3043" spans="1:49" ht="15.6" customHeight="1" outlineLevel="2">
      <c r="A3043" s="8" t="str">
        <f t="shared" ref="A3043" si="12384">A3042</f>
        <v>N</v>
      </c>
      <c r="B3043" s="150">
        <v>1069321</v>
      </c>
      <c r="C3043" s="150" t="s">
        <v>3472</v>
      </c>
      <c r="D3043" s="120" t="s">
        <v>3473</v>
      </c>
      <c r="E3043" s="893"/>
      <c r="F3043" s="895"/>
      <c r="G3043" s="528"/>
      <c r="H3043" s="549" t="s">
        <v>38</v>
      </c>
      <c r="I3043" s="711">
        <v>0</v>
      </c>
      <c r="J3043" s="897"/>
      <c r="K3043" s="528"/>
      <c r="L3043" s="549" t="s">
        <v>38</v>
      </c>
      <c r="M3043" s="711">
        <f t="shared" si="12305"/>
        <v>0</v>
      </c>
      <c r="N3043" s="897"/>
      <c r="O3043" s="528"/>
      <c r="P3043" s="548">
        <v>0</v>
      </c>
      <c r="Q3043" s="548">
        <v>0</v>
      </c>
      <c r="R3043" s="548">
        <v>0</v>
      </c>
      <c r="S3043" s="548">
        <v>0</v>
      </c>
      <c r="T3043" s="548">
        <v>0</v>
      </c>
      <c r="U3043" s="548">
        <v>0</v>
      </c>
      <c r="V3043" s="548"/>
      <c r="W3043" s="528"/>
      <c r="X3043" s="711">
        <f t="shared" si="12296"/>
        <v>0</v>
      </c>
      <c r="Y3043" s="897"/>
      <c r="Z3043" s="528"/>
      <c r="AA3043" s="899"/>
      <c r="AB3043" s="899"/>
      <c r="AC3043" s="899"/>
      <c r="AD3043" s="897"/>
      <c r="AE3043" s="2"/>
      <c r="AF3043" s="885"/>
      <c r="AG3043" s="885"/>
      <c r="AH3043" s="885"/>
      <c r="AI3043" s="885"/>
      <c r="AJ3043" s="885"/>
      <c r="AK3043" s="885"/>
      <c r="AL3043" s="885"/>
      <c r="AM3043" s="879"/>
      <c r="AN3043" s="2"/>
      <c r="AO3043" s="886"/>
      <c r="AP3043" s="886"/>
      <c r="AV3043" t="str">
        <f t="shared" si="12273"/>
        <v>Revegetação - Hidrossemeadura</v>
      </c>
      <c r="AW3043" s="4" t="str">
        <f t="shared" si="12264"/>
        <v xml:space="preserve">   Seg. 2.3-ADME-09D - Revestimento vegetal por hidrossemeadura</v>
      </c>
    </row>
    <row r="3044" spans="1:49" ht="15.6" customHeight="1" outlineLevel="2">
      <c r="A3044" s="8" t="str">
        <f t="shared" ref="A3044" si="12385">IF(SUM(P3044:V3045)&gt;0,"S","N")</f>
        <v>N</v>
      </c>
      <c r="B3044" s="150">
        <v>1069322</v>
      </c>
      <c r="C3044" s="150" t="s">
        <v>3475</v>
      </c>
      <c r="D3044" s="120" t="s">
        <v>3476</v>
      </c>
      <c r="E3044" s="892" t="s">
        <v>3477</v>
      </c>
      <c r="F3044" s="894" t="s">
        <v>3210</v>
      </c>
      <c r="G3044" s="528"/>
      <c r="H3044" s="546" t="s">
        <v>37</v>
      </c>
      <c r="I3044" s="711">
        <v>0</v>
      </c>
      <c r="J3044" s="896" t="str">
        <f t="shared" ref="J3044" si="12386">IFERROR((I3045/I3044),"-")</f>
        <v>-</v>
      </c>
      <c r="K3044" s="528"/>
      <c r="L3044" s="546" t="s">
        <v>37</v>
      </c>
      <c r="M3044" s="711">
        <f t="shared" si="12305"/>
        <v>0</v>
      </c>
      <c r="N3044" s="896" t="str">
        <f t="shared" ref="N3044" si="12387">IFERROR((M3045/M3044),"-")</f>
        <v>-</v>
      </c>
      <c r="O3044" s="528"/>
      <c r="P3044" s="547">
        <v>0</v>
      </c>
      <c r="Q3044" s="547">
        <v>0</v>
      </c>
      <c r="R3044" s="547">
        <v>0</v>
      </c>
      <c r="S3044" s="547">
        <v>0</v>
      </c>
      <c r="T3044" s="547">
        <v>0</v>
      </c>
      <c r="U3044" s="547">
        <v>0</v>
      </c>
      <c r="V3044" s="548">
        <v>0</v>
      </c>
      <c r="W3044" s="528"/>
      <c r="X3044" s="711">
        <f t="shared" si="12296"/>
        <v>0</v>
      </c>
      <c r="Y3044" s="896" t="str">
        <f t="shared" ref="Y3044" si="12388">IFERROR((X3045/X3044),"-")</f>
        <v>-</v>
      </c>
      <c r="Z3044" s="528"/>
      <c r="AA3044" s="898">
        <v>0</v>
      </c>
      <c r="AB3044" s="898">
        <v>0</v>
      </c>
      <c r="AC3044" s="898">
        <v>0</v>
      </c>
      <c r="AD3044" s="896" t="str">
        <f t="shared" ref="AD3044" si="12389">IFERROR((AC3044/AA3044),"-")</f>
        <v>-</v>
      </c>
      <c r="AE3044" s="2"/>
      <c r="AF3044" s="884">
        <v>0</v>
      </c>
      <c r="AG3044" s="884">
        <v>0</v>
      </c>
      <c r="AH3044" s="884">
        <v>0</v>
      </c>
      <c r="AI3044" s="884"/>
      <c r="AJ3044" s="884"/>
      <c r="AK3044" s="884">
        <f t="shared" ref="AK3044" si="12390">AF3044+AG3044+AH3044+AI3044+AJ3044+AC3044</f>
        <v>0</v>
      </c>
      <c r="AL3044" s="884">
        <v>0</v>
      </c>
      <c r="AM3044" s="878" t="str">
        <f t="shared" ref="AM3044" si="12391">IFERROR((AK3044/AL3044),"-")</f>
        <v>-</v>
      </c>
      <c r="AN3044" s="2"/>
      <c r="AO3044" s="884">
        <v>0</v>
      </c>
      <c r="AP3044" s="884">
        <f t="shared" ref="AP3044" si="12392">AO3044-AK3044</f>
        <v>0</v>
      </c>
      <c r="AV3044" t="str">
        <f t="shared" si="12273"/>
        <v>Revegetação - Hidrossemeadura</v>
      </c>
      <c r="AW3044" s="4" t="str">
        <f t="shared" si="12264"/>
        <v xml:space="preserve">   Seg. 2.3-AE01 - Revestimento vegetal por hidrossemeadura</v>
      </c>
    </row>
    <row r="3045" spans="1:49" ht="15.6" customHeight="1" outlineLevel="2">
      <c r="A3045" s="8" t="str">
        <f t="shared" ref="A3045" si="12393">A3044</f>
        <v>N</v>
      </c>
      <c r="B3045" s="150">
        <v>1069322</v>
      </c>
      <c r="C3045" s="150" t="s">
        <v>3475</v>
      </c>
      <c r="D3045" s="120" t="s">
        <v>3476</v>
      </c>
      <c r="E3045" s="893"/>
      <c r="F3045" s="895"/>
      <c r="G3045" s="528"/>
      <c r="H3045" s="549" t="s">
        <v>38</v>
      </c>
      <c r="I3045" s="711">
        <v>0</v>
      </c>
      <c r="J3045" s="897"/>
      <c r="K3045" s="528"/>
      <c r="L3045" s="549" t="s">
        <v>38</v>
      </c>
      <c r="M3045" s="711">
        <f t="shared" si="12305"/>
        <v>0</v>
      </c>
      <c r="N3045" s="897"/>
      <c r="O3045" s="528"/>
      <c r="P3045" s="548">
        <v>0</v>
      </c>
      <c r="Q3045" s="548">
        <v>0</v>
      </c>
      <c r="R3045" s="548">
        <v>0</v>
      </c>
      <c r="S3045" s="548">
        <v>0</v>
      </c>
      <c r="T3045" s="548">
        <v>0</v>
      </c>
      <c r="U3045" s="548">
        <v>0</v>
      </c>
      <c r="V3045" s="548"/>
      <c r="W3045" s="528"/>
      <c r="X3045" s="711">
        <f t="shared" si="12296"/>
        <v>0</v>
      </c>
      <c r="Y3045" s="897"/>
      <c r="Z3045" s="528"/>
      <c r="AA3045" s="899"/>
      <c r="AB3045" s="899"/>
      <c r="AC3045" s="899"/>
      <c r="AD3045" s="897"/>
      <c r="AE3045" s="2"/>
      <c r="AF3045" s="885"/>
      <c r="AG3045" s="885"/>
      <c r="AH3045" s="885"/>
      <c r="AI3045" s="885"/>
      <c r="AJ3045" s="885"/>
      <c r="AK3045" s="885"/>
      <c r="AL3045" s="885"/>
      <c r="AM3045" s="879"/>
      <c r="AN3045" s="2"/>
      <c r="AO3045" s="886"/>
      <c r="AP3045" s="886"/>
      <c r="AV3045" t="str">
        <f t="shared" si="12273"/>
        <v>Revegetação - Hidrossemeadura</v>
      </c>
      <c r="AW3045" s="4" t="str">
        <f t="shared" si="12264"/>
        <v xml:space="preserve">   Seg. 2.3-AE01 - Revestimento vegetal por hidrossemeadura</v>
      </c>
    </row>
    <row r="3046" spans="1:49" ht="15.6" customHeight="1" outlineLevel="2">
      <c r="A3046" s="8" t="str">
        <f t="shared" ref="A3046" si="12394">IF(SUM(P3046:V3047)&gt;0,"S","N")</f>
        <v>N</v>
      </c>
      <c r="B3046" s="150">
        <v>1069323</v>
      </c>
      <c r="C3046" s="150" t="s">
        <v>3478</v>
      </c>
      <c r="D3046" s="120" t="s">
        <v>3479</v>
      </c>
      <c r="E3046" s="892" t="s">
        <v>3480</v>
      </c>
      <c r="F3046" s="894" t="s">
        <v>3210</v>
      </c>
      <c r="G3046" s="528"/>
      <c r="H3046" s="546" t="s">
        <v>37</v>
      </c>
      <c r="I3046" s="711">
        <v>0</v>
      </c>
      <c r="J3046" s="896" t="str">
        <f t="shared" ref="J3046" si="12395">IFERROR((I3047/I3046),"-")</f>
        <v>-</v>
      </c>
      <c r="K3046" s="528"/>
      <c r="L3046" s="546" t="s">
        <v>37</v>
      </c>
      <c r="M3046" s="711">
        <f t="shared" si="12305"/>
        <v>0</v>
      </c>
      <c r="N3046" s="896" t="str">
        <f t="shared" ref="N3046" si="12396">IFERROR((M3047/M3046),"-")</f>
        <v>-</v>
      </c>
      <c r="O3046" s="528"/>
      <c r="P3046" s="547">
        <v>0</v>
      </c>
      <c r="Q3046" s="547">
        <v>0</v>
      </c>
      <c r="R3046" s="547">
        <v>0</v>
      </c>
      <c r="S3046" s="547">
        <v>0</v>
      </c>
      <c r="T3046" s="547">
        <v>0</v>
      </c>
      <c r="U3046" s="547">
        <v>0</v>
      </c>
      <c r="V3046" s="548">
        <v>0</v>
      </c>
      <c r="W3046" s="528"/>
      <c r="X3046" s="711">
        <f t="shared" si="12296"/>
        <v>0</v>
      </c>
      <c r="Y3046" s="896" t="str">
        <f t="shared" ref="Y3046" si="12397">IFERROR((X3047/X3046),"-")</f>
        <v>-</v>
      </c>
      <c r="Z3046" s="528"/>
      <c r="AA3046" s="898">
        <v>0</v>
      </c>
      <c r="AB3046" s="898">
        <v>0</v>
      </c>
      <c r="AC3046" s="898">
        <v>0</v>
      </c>
      <c r="AD3046" s="896" t="str">
        <f t="shared" ref="AD3046" si="12398">IFERROR((AC3046/AA3046),"-")</f>
        <v>-</v>
      </c>
      <c r="AE3046" s="2"/>
      <c r="AF3046" s="884">
        <v>0</v>
      </c>
      <c r="AG3046" s="884">
        <v>0</v>
      </c>
      <c r="AH3046" s="884">
        <v>0</v>
      </c>
      <c r="AI3046" s="884"/>
      <c r="AJ3046" s="884"/>
      <c r="AK3046" s="884">
        <f t="shared" ref="AK3046" si="12399">AF3046+AG3046+AH3046+AI3046+AJ3046+AC3046</f>
        <v>0</v>
      </c>
      <c r="AL3046" s="884">
        <v>0</v>
      </c>
      <c r="AM3046" s="878" t="str">
        <f t="shared" ref="AM3046" si="12400">IFERROR((AK3046/AL3046),"-")</f>
        <v>-</v>
      </c>
      <c r="AN3046" s="2"/>
      <c r="AO3046" s="884">
        <v>0</v>
      </c>
      <c r="AP3046" s="884">
        <f t="shared" ref="AP3046" si="12401">AO3046-AK3046</f>
        <v>0</v>
      </c>
      <c r="AV3046" t="str">
        <f t="shared" si="12273"/>
        <v>Revegetação - Hidrossemeadura</v>
      </c>
      <c r="AW3046" s="4" t="str">
        <f t="shared" si="12264"/>
        <v xml:space="preserve">   Seg. 2.3-AE02 - Revestimento vegetal por hidrossemeadura</v>
      </c>
    </row>
    <row r="3047" spans="1:49" ht="15.6" customHeight="1" outlineLevel="2">
      <c r="A3047" s="8" t="str">
        <f t="shared" ref="A3047" si="12402">A3046</f>
        <v>N</v>
      </c>
      <c r="B3047" s="150">
        <v>1069323</v>
      </c>
      <c r="C3047" s="150" t="s">
        <v>3478</v>
      </c>
      <c r="D3047" s="120" t="s">
        <v>3479</v>
      </c>
      <c r="E3047" s="893"/>
      <c r="F3047" s="895"/>
      <c r="G3047" s="528"/>
      <c r="H3047" s="549" t="s">
        <v>38</v>
      </c>
      <c r="I3047" s="711">
        <v>0</v>
      </c>
      <c r="J3047" s="897"/>
      <c r="K3047" s="528"/>
      <c r="L3047" s="549" t="s">
        <v>38</v>
      </c>
      <c r="M3047" s="711">
        <f t="shared" si="12305"/>
        <v>0</v>
      </c>
      <c r="N3047" s="897"/>
      <c r="O3047" s="528"/>
      <c r="P3047" s="548">
        <v>0</v>
      </c>
      <c r="Q3047" s="548">
        <v>0</v>
      </c>
      <c r="R3047" s="548">
        <v>0</v>
      </c>
      <c r="S3047" s="548">
        <v>0</v>
      </c>
      <c r="T3047" s="548">
        <v>0</v>
      </c>
      <c r="U3047" s="548">
        <v>0</v>
      </c>
      <c r="V3047" s="548"/>
      <c r="W3047" s="528"/>
      <c r="X3047" s="711">
        <f t="shared" si="12296"/>
        <v>0</v>
      </c>
      <c r="Y3047" s="897"/>
      <c r="Z3047" s="528"/>
      <c r="AA3047" s="899"/>
      <c r="AB3047" s="899"/>
      <c r="AC3047" s="899"/>
      <c r="AD3047" s="897"/>
      <c r="AE3047" s="2"/>
      <c r="AF3047" s="885"/>
      <c r="AG3047" s="885"/>
      <c r="AH3047" s="885"/>
      <c r="AI3047" s="885"/>
      <c r="AJ3047" s="885"/>
      <c r="AK3047" s="885"/>
      <c r="AL3047" s="885"/>
      <c r="AM3047" s="879"/>
      <c r="AN3047" s="2"/>
      <c r="AO3047" s="886"/>
      <c r="AP3047" s="886"/>
      <c r="AV3047" t="str">
        <f t="shared" si="12273"/>
        <v>Revegetação - Hidrossemeadura</v>
      </c>
      <c r="AW3047" s="4" t="str">
        <f t="shared" si="12264"/>
        <v xml:space="preserve">   Seg. 2.3-AE02 - Revestimento vegetal por hidrossemeadura</v>
      </c>
    </row>
    <row r="3048" spans="1:49" ht="15.6" customHeight="1" outlineLevel="2">
      <c r="A3048" s="8" t="str">
        <f t="shared" ref="A3048" si="12403">IF(SUM(P3048:V3049)&gt;0,"S","N")</f>
        <v>N</v>
      </c>
      <c r="B3048" s="150">
        <v>1069324</v>
      </c>
      <c r="C3048" s="150" t="s">
        <v>3481</v>
      </c>
      <c r="D3048" s="120" t="s">
        <v>3482</v>
      </c>
      <c r="E3048" s="892" t="s">
        <v>3483</v>
      </c>
      <c r="F3048" s="894" t="s">
        <v>3210</v>
      </c>
      <c r="G3048" s="528"/>
      <c r="H3048" s="546" t="s">
        <v>37</v>
      </c>
      <c r="I3048" s="711">
        <v>0</v>
      </c>
      <c r="J3048" s="896" t="str">
        <f t="shared" ref="J3048" si="12404">IFERROR((I3049/I3048),"-")</f>
        <v>-</v>
      </c>
      <c r="K3048" s="528"/>
      <c r="L3048" s="546" t="s">
        <v>37</v>
      </c>
      <c r="M3048" s="711">
        <f t="shared" si="12305"/>
        <v>0</v>
      </c>
      <c r="N3048" s="896" t="str">
        <f t="shared" ref="N3048" si="12405">IFERROR((M3049/M3048),"-")</f>
        <v>-</v>
      </c>
      <c r="O3048" s="528"/>
      <c r="P3048" s="547">
        <v>0</v>
      </c>
      <c r="Q3048" s="547">
        <v>0</v>
      </c>
      <c r="R3048" s="547">
        <v>0</v>
      </c>
      <c r="S3048" s="547">
        <v>0</v>
      </c>
      <c r="T3048" s="547">
        <v>0</v>
      </c>
      <c r="U3048" s="547">
        <v>0</v>
      </c>
      <c r="V3048" s="548">
        <v>0</v>
      </c>
      <c r="W3048" s="528"/>
      <c r="X3048" s="711">
        <f t="shared" si="12296"/>
        <v>0</v>
      </c>
      <c r="Y3048" s="896" t="str">
        <f t="shared" ref="Y3048" si="12406">IFERROR((X3049/X3048),"-")</f>
        <v>-</v>
      </c>
      <c r="Z3048" s="528"/>
      <c r="AA3048" s="898">
        <v>0</v>
      </c>
      <c r="AB3048" s="898">
        <v>0</v>
      </c>
      <c r="AC3048" s="898">
        <v>0</v>
      </c>
      <c r="AD3048" s="896" t="str">
        <f t="shared" ref="AD3048" si="12407">IFERROR((AC3048/AA3048),"-")</f>
        <v>-</v>
      </c>
      <c r="AE3048" s="2"/>
      <c r="AF3048" s="884">
        <v>0</v>
      </c>
      <c r="AG3048" s="884">
        <v>0</v>
      </c>
      <c r="AH3048" s="884">
        <v>0</v>
      </c>
      <c r="AI3048" s="884"/>
      <c r="AJ3048" s="884"/>
      <c r="AK3048" s="884">
        <f t="shared" ref="AK3048" si="12408">AF3048+AG3048+AH3048+AI3048+AJ3048+AC3048</f>
        <v>0</v>
      </c>
      <c r="AL3048" s="884">
        <v>0</v>
      </c>
      <c r="AM3048" s="878" t="str">
        <f t="shared" ref="AM3048" si="12409">IFERROR((AK3048/AL3048),"-")</f>
        <v>-</v>
      </c>
      <c r="AN3048" s="2"/>
      <c r="AO3048" s="884">
        <v>0</v>
      </c>
      <c r="AP3048" s="884">
        <f t="shared" ref="AP3048" si="12410">AO3048-AK3048</f>
        <v>0</v>
      </c>
      <c r="AV3048" t="str">
        <f t="shared" si="12273"/>
        <v>Revegetação - Hidrossemeadura</v>
      </c>
      <c r="AW3048" s="4" t="str">
        <f t="shared" si="12264"/>
        <v xml:space="preserve">   Seg. 2.3-AE03 - Revestimento vegetal por hidrossemeadura</v>
      </c>
    </row>
    <row r="3049" spans="1:49" ht="15.6" customHeight="1" outlineLevel="2">
      <c r="A3049" s="8" t="str">
        <f t="shared" ref="A3049" si="12411">A3048</f>
        <v>N</v>
      </c>
      <c r="B3049" s="150">
        <v>1069324</v>
      </c>
      <c r="C3049" s="150" t="s">
        <v>3481</v>
      </c>
      <c r="D3049" s="120" t="s">
        <v>3482</v>
      </c>
      <c r="E3049" s="893"/>
      <c r="F3049" s="895"/>
      <c r="G3049" s="528"/>
      <c r="H3049" s="549" t="s">
        <v>38</v>
      </c>
      <c r="I3049" s="711">
        <v>0</v>
      </c>
      <c r="J3049" s="897"/>
      <c r="K3049" s="528"/>
      <c r="L3049" s="549" t="s">
        <v>38</v>
      </c>
      <c r="M3049" s="711">
        <f t="shared" si="12305"/>
        <v>0</v>
      </c>
      <c r="N3049" s="897"/>
      <c r="O3049" s="528"/>
      <c r="P3049" s="548">
        <v>0</v>
      </c>
      <c r="Q3049" s="548">
        <v>0</v>
      </c>
      <c r="R3049" s="548">
        <v>0</v>
      </c>
      <c r="S3049" s="548">
        <v>0</v>
      </c>
      <c r="T3049" s="548">
        <v>0</v>
      </c>
      <c r="U3049" s="548">
        <v>0</v>
      </c>
      <c r="V3049" s="548"/>
      <c r="W3049" s="528"/>
      <c r="X3049" s="711">
        <f t="shared" si="12296"/>
        <v>0</v>
      </c>
      <c r="Y3049" s="897"/>
      <c r="Z3049" s="528"/>
      <c r="AA3049" s="899"/>
      <c r="AB3049" s="899"/>
      <c r="AC3049" s="899"/>
      <c r="AD3049" s="897"/>
      <c r="AE3049" s="2"/>
      <c r="AF3049" s="885"/>
      <c r="AG3049" s="885"/>
      <c r="AH3049" s="885"/>
      <c r="AI3049" s="885"/>
      <c r="AJ3049" s="885"/>
      <c r="AK3049" s="885"/>
      <c r="AL3049" s="885"/>
      <c r="AM3049" s="879"/>
      <c r="AN3049" s="2"/>
      <c r="AO3049" s="886"/>
      <c r="AP3049" s="886"/>
      <c r="AV3049" t="str">
        <f t="shared" si="12273"/>
        <v>Revegetação - Hidrossemeadura</v>
      </c>
      <c r="AW3049" s="4" t="str">
        <f t="shared" si="12264"/>
        <v xml:space="preserve">   Seg. 2.3-AE03 - Revestimento vegetal por hidrossemeadura</v>
      </c>
    </row>
    <row r="3050" spans="1:49" ht="15.6" customHeight="1" outlineLevel="2">
      <c r="A3050" s="8" t="str">
        <f t="shared" ref="A3050" si="12412">IF(SUM(P3050:V3051)&gt;0,"S","N")</f>
        <v>N</v>
      </c>
      <c r="B3050" s="150">
        <v>1069325</v>
      </c>
      <c r="C3050" s="150" t="s">
        <v>3484</v>
      </c>
      <c r="D3050" s="120" t="s">
        <v>3485</v>
      </c>
      <c r="E3050" s="892" t="s">
        <v>3486</v>
      </c>
      <c r="F3050" s="894" t="s">
        <v>3210</v>
      </c>
      <c r="G3050" s="528"/>
      <c r="H3050" s="546" t="s">
        <v>37</v>
      </c>
      <c r="I3050" s="711">
        <v>0</v>
      </c>
      <c r="J3050" s="896" t="str">
        <f t="shared" ref="J3050" si="12413">IFERROR((I3051/I3050),"-")</f>
        <v>-</v>
      </c>
      <c r="K3050" s="528"/>
      <c r="L3050" s="546" t="s">
        <v>37</v>
      </c>
      <c r="M3050" s="711">
        <f t="shared" si="12305"/>
        <v>0</v>
      </c>
      <c r="N3050" s="896" t="str">
        <f t="shared" ref="N3050" si="12414">IFERROR((M3051/M3050),"-")</f>
        <v>-</v>
      </c>
      <c r="O3050" s="528"/>
      <c r="P3050" s="547">
        <v>0</v>
      </c>
      <c r="Q3050" s="547">
        <v>0</v>
      </c>
      <c r="R3050" s="547">
        <v>0</v>
      </c>
      <c r="S3050" s="547">
        <v>0</v>
      </c>
      <c r="T3050" s="547">
        <v>0</v>
      </c>
      <c r="U3050" s="547">
        <v>0</v>
      </c>
      <c r="V3050" s="548">
        <v>0</v>
      </c>
      <c r="W3050" s="528"/>
      <c r="X3050" s="711">
        <f t="shared" si="12296"/>
        <v>0</v>
      </c>
      <c r="Y3050" s="896" t="str">
        <f t="shared" ref="Y3050" si="12415">IFERROR((X3051/X3050),"-")</f>
        <v>-</v>
      </c>
      <c r="Z3050" s="528"/>
      <c r="AA3050" s="898">
        <v>0</v>
      </c>
      <c r="AB3050" s="898">
        <v>0</v>
      </c>
      <c r="AC3050" s="898">
        <v>0</v>
      </c>
      <c r="AD3050" s="896" t="str">
        <f t="shared" ref="AD3050" si="12416">IFERROR((AC3050/AA3050),"-")</f>
        <v>-</v>
      </c>
      <c r="AE3050" s="2"/>
      <c r="AF3050" s="884">
        <v>0</v>
      </c>
      <c r="AG3050" s="884">
        <v>0</v>
      </c>
      <c r="AH3050" s="884">
        <v>0</v>
      </c>
      <c r="AI3050" s="884"/>
      <c r="AJ3050" s="884"/>
      <c r="AK3050" s="884">
        <f t="shared" ref="AK3050" si="12417">AF3050+AG3050+AH3050+AI3050+AJ3050+AC3050</f>
        <v>0</v>
      </c>
      <c r="AL3050" s="884">
        <v>0</v>
      </c>
      <c r="AM3050" s="878" t="str">
        <f t="shared" ref="AM3050" si="12418">IFERROR((AK3050/AL3050),"-")</f>
        <v>-</v>
      </c>
      <c r="AN3050" s="2"/>
      <c r="AO3050" s="884">
        <v>0</v>
      </c>
      <c r="AP3050" s="884">
        <f t="shared" ref="AP3050" si="12419">AO3050-AK3050</f>
        <v>0</v>
      </c>
      <c r="AV3050" t="str">
        <f t="shared" si="12273"/>
        <v>Revegetação - Hidrossemeadura</v>
      </c>
      <c r="AW3050" s="4" t="str">
        <f t="shared" si="12264"/>
        <v xml:space="preserve">   Seg. 2.3-AE04 - Revestimento vegetal por hidrossemeadura</v>
      </c>
    </row>
    <row r="3051" spans="1:49" ht="15.6" customHeight="1" outlineLevel="2">
      <c r="A3051" s="8" t="str">
        <f t="shared" ref="A3051" si="12420">A3050</f>
        <v>N</v>
      </c>
      <c r="B3051" s="150">
        <v>1069325</v>
      </c>
      <c r="C3051" s="150" t="s">
        <v>3484</v>
      </c>
      <c r="D3051" s="120" t="s">
        <v>3485</v>
      </c>
      <c r="E3051" s="893"/>
      <c r="F3051" s="895"/>
      <c r="G3051" s="528"/>
      <c r="H3051" s="549" t="s">
        <v>38</v>
      </c>
      <c r="I3051" s="711">
        <v>0</v>
      </c>
      <c r="J3051" s="897"/>
      <c r="K3051" s="528"/>
      <c r="L3051" s="549" t="s">
        <v>38</v>
      </c>
      <c r="M3051" s="711">
        <f t="shared" si="12305"/>
        <v>0</v>
      </c>
      <c r="N3051" s="897"/>
      <c r="O3051" s="528"/>
      <c r="P3051" s="548">
        <v>0</v>
      </c>
      <c r="Q3051" s="548">
        <v>0</v>
      </c>
      <c r="R3051" s="548">
        <v>0</v>
      </c>
      <c r="S3051" s="548">
        <v>0</v>
      </c>
      <c r="T3051" s="548">
        <v>0</v>
      </c>
      <c r="U3051" s="548">
        <v>0</v>
      </c>
      <c r="V3051" s="548"/>
      <c r="W3051" s="528"/>
      <c r="X3051" s="711">
        <f t="shared" si="12296"/>
        <v>0</v>
      </c>
      <c r="Y3051" s="897"/>
      <c r="Z3051" s="528"/>
      <c r="AA3051" s="899"/>
      <c r="AB3051" s="899"/>
      <c r="AC3051" s="899"/>
      <c r="AD3051" s="897"/>
      <c r="AE3051" s="2"/>
      <c r="AF3051" s="885"/>
      <c r="AG3051" s="885"/>
      <c r="AH3051" s="885"/>
      <c r="AI3051" s="885"/>
      <c r="AJ3051" s="885"/>
      <c r="AK3051" s="885"/>
      <c r="AL3051" s="885"/>
      <c r="AM3051" s="879"/>
      <c r="AN3051" s="2"/>
      <c r="AO3051" s="886"/>
      <c r="AP3051" s="886"/>
      <c r="AV3051" t="str">
        <f t="shared" si="12273"/>
        <v>Revegetação - Hidrossemeadura</v>
      </c>
      <c r="AW3051" s="4" t="str">
        <f t="shared" si="12264"/>
        <v xml:space="preserve">   Seg. 2.3-AE04 - Revestimento vegetal por hidrossemeadura</v>
      </c>
    </row>
    <row r="3052" spans="1:49" ht="15.6" customHeight="1" outlineLevel="2">
      <c r="A3052" s="8" t="str">
        <f t="shared" ref="A3052" si="12421">IF(SUM(P3052:V3053)&gt;0,"S","N")</f>
        <v>N</v>
      </c>
      <c r="B3052" s="150">
        <v>1069326</v>
      </c>
      <c r="C3052" s="150" t="s">
        <v>3487</v>
      </c>
      <c r="D3052" s="120" t="s">
        <v>3488</v>
      </c>
      <c r="E3052" s="892" t="s">
        <v>3489</v>
      </c>
      <c r="F3052" s="894" t="s">
        <v>3210</v>
      </c>
      <c r="G3052" s="528"/>
      <c r="H3052" s="546" t="s">
        <v>37</v>
      </c>
      <c r="I3052" s="711">
        <v>0</v>
      </c>
      <c r="J3052" s="896" t="str">
        <f t="shared" ref="J3052" si="12422">IFERROR((I3053/I3052),"-")</f>
        <v>-</v>
      </c>
      <c r="K3052" s="528"/>
      <c r="L3052" s="546" t="s">
        <v>37</v>
      </c>
      <c r="M3052" s="711">
        <f t="shared" si="12305"/>
        <v>0</v>
      </c>
      <c r="N3052" s="896" t="str">
        <f t="shared" ref="N3052" si="12423">IFERROR((M3053/M3052),"-")</f>
        <v>-</v>
      </c>
      <c r="O3052" s="528"/>
      <c r="P3052" s="547">
        <v>0</v>
      </c>
      <c r="Q3052" s="547">
        <v>0</v>
      </c>
      <c r="R3052" s="547">
        <v>0</v>
      </c>
      <c r="S3052" s="547">
        <v>0</v>
      </c>
      <c r="T3052" s="547">
        <v>0</v>
      </c>
      <c r="U3052" s="547">
        <v>0</v>
      </c>
      <c r="V3052" s="548">
        <v>0</v>
      </c>
      <c r="W3052" s="528"/>
      <c r="X3052" s="711">
        <f t="shared" si="12296"/>
        <v>0</v>
      </c>
      <c r="Y3052" s="896" t="str">
        <f t="shared" ref="Y3052" si="12424">IFERROR((X3053/X3052),"-")</f>
        <v>-</v>
      </c>
      <c r="Z3052" s="528"/>
      <c r="AA3052" s="898">
        <v>0</v>
      </c>
      <c r="AB3052" s="898">
        <v>0</v>
      </c>
      <c r="AC3052" s="898">
        <v>0</v>
      </c>
      <c r="AD3052" s="896" t="str">
        <f t="shared" ref="AD3052" si="12425">IFERROR((AC3052/AA3052),"-")</f>
        <v>-</v>
      </c>
      <c r="AE3052" s="2"/>
      <c r="AF3052" s="884">
        <v>0</v>
      </c>
      <c r="AG3052" s="884">
        <v>0</v>
      </c>
      <c r="AH3052" s="884">
        <v>0</v>
      </c>
      <c r="AI3052" s="884"/>
      <c r="AJ3052" s="884"/>
      <c r="AK3052" s="884">
        <f t="shared" ref="AK3052" si="12426">AF3052+AG3052+AH3052+AI3052+AJ3052+AC3052</f>
        <v>0</v>
      </c>
      <c r="AL3052" s="884">
        <v>0</v>
      </c>
      <c r="AM3052" s="878" t="str">
        <f t="shared" ref="AM3052" si="12427">IFERROR((AK3052/AL3052),"-")</f>
        <v>-</v>
      </c>
      <c r="AN3052" s="2"/>
      <c r="AO3052" s="884">
        <v>0</v>
      </c>
      <c r="AP3052" s="884">
        <f t="shared" ref="AP3052" si="12428">AO3052-AK3052</f>
        <v>0</v>
      </c>
      <c r="AV3052" t="str">
        <f t="shared" si="12273"/>
        <v>Revegetação - Hidrossemeadura</v>
      </c>
      <c r="AW3052" s="4" t="str">
        <f t="shared" si="12264"/>
        <v xml:space="preserve">   Seg. 2.3-AE05 - Revestimento vegetal por hidrossemeadura</v>
      </c>
    </row>
    <row r="3053" spans="1:49" ht="15.6" customHeight="1" outlineLevel="2">
      <c r="A3053" s="8" t="str">
        <f t="shared" ref="A3053" si="12429">A3052</f>
        <v>N</v>
      </c>
      <c r="B3053" s="150">
        <v>1069326</v>
      </c>
      <c r="C3053" s="150" t="s">
        <v>3487</v>
      </c>
      <c r="D3053" s="120" t="s">
        <v>3488</v>
      </c>
      <c r="E3053" s="893"/>
      <c r="F3053" s="895"/>
      <c r="G3053" s="528"/>
      <c r="H3053" s="549" t="s">
        <v>38</v>
      </c>
      <c r="I3053" s="711">
        <v>0</v>
      </c>
      <c r="J3053" s="897"/>
      <c r="K3053" s="528"/>
      <c r="L3053" s="549" t="s">
        <v>38</v>
      </c>
      <c r="M3053" s="711">
        <f t="shared" si="12305"/>
        <v>0</v>
      </c>
      <c r="N3053" s="897"/>
      <c r="O3053" s="528"/>
      <c r="P3053" s="548">
        <v>0</v>
      </c>
      <c r="Q3053" s="548">
        <v>0</v>
      </c>
      <c r="R3053" s="548">
        <v>0</v>
      </c>
      <c r="S3053" s="548">
        <v>0</v>
      </c>
      <c r="T3053" s="548">
        <v>0</v>
      </c>
      <c r="U3053" s="548">
        <v>0</v>
      </c>
      <c r="V3053" s="548"/>
      <c r="W3053" s="528"/>
      <c r="X3053" s="711">
        <f t="shared" si="12296"/>
        <v>0</v>
      </c>
      <c r="Y3053" s="897"/>
      <c r="Z3053" s="528"/>
      <c r="AA3053" s="899"/>
      <c r="AB3053" s="899"/>
      <c r="AC3053" s="899"/>
      <c r="AD3053" s="897"/>
      <c r="AE3053" s="2"/>
      <c r="AF3053" s="885"/>
      <c r="AG3053" s="885"/>
      <c r="AH3053" s="885"/>
      <c r="AI3053" s="885"/>
      <c r="AJ3053" s="885"/>
      <c r="AK3053" s="885"/>
      <c r="AL3053" s="885"/>
      <c r="AM3053" s="879"/>
      <c r="AN3053" s="2"/>
      <c r="AO3053" s="886"/>
      <c r="AP3053" s="886"/>
      <c r="AV3053" t="str">
        <f t="shared" si="12273"/>
        <v>Revegetação - Hidrossemeadura</v>
      </c>
      <c r="AW3053" s="4" t="str">
        <f t="shared" si="12264"/>
        <v xml:space="preserve">   Seg. 2.3-AE05 - Revestimento vegetal por hidrossemeadura</v>
      </c>
    </row>
    <row r="3054" spans="1:49" ht="15.6" customHeight="1" outlineLevel="2">
      <c r="A3054" s="8" t="str">
        <f t="shared" ref="A3054" si="12430">IF(SUM(P3054:V3055)&gt;0,"S","N")</f>
        <v>N</v>
      </c>
      <c r="B3054" s="150">
        <v>1070072</v>
      </c>
      <c r="C3054" s="150" t="s">
        <v>3490</v>
      </c>
      <c r="D3054" s="120" t="s">
        <v>3491</v>
      </c>
      <c r="E3054" s="892" t="s">
        <v>3492</v>
      </c>
      <c r="F3054" s="894" t="s">
        <v>3210</v>
      </c>
      <c r="G3054" s="528"/>
      <c r="H3054" s="546" t="s">
        <v>37</v>
      </c>
      <c r="I3054" s="711">
        <v>0</v>
      </c>
      <c r="J3054" s="896" t="str">
        <f t="shared" ref="J3054" si="12431">IFERROR((I3055/I3054),"-")</f>
        <v>-</v>
      </c>
      <c r="K3054" s="528"/>
      <c r="L3054" s="546" t="s">
        <v>37</v>
      </c>
      <c r="M3054" s="711">
        <f t="shared" si="12305"/>
        <v>0</v>
      </c>
      <c r="N3054" s="896" t="str">
        <f t="shared" ref="N3054" si="12432">IFERROR((M3055/M3054),"-")</f>
        <v>-</v>
      </c>
      <c r="O3054" s="528"/>
      <c r="P3054" s="547">
        <v>0</v>
      </c>
      <c r="Q3054" s="547">
        <v>0</v>
      </c>
      <c r="R3054" s="547">
        <v>0</v>
      </c>
      <c r="S3054" s="547">
        <v>0</v>
      </c>
      <c r="T3054" s="547">
        <v>0</v>
      </c>
      <c r="U3054" s="547">
        <v>0</v>
      </c>
      <c r="V3054" s="548">
        <v>0</v>
      </c>
      <c r="W3054" s="528"/>
      <c r="X3054" s="711">
        <f t="shared" si="12296"/>
        <v>0</v>
      </c>
      <c r="Y3054" s="896" t="str">
        <f t="shared" ref="Y3054" si="12433">IFERROR((X3055/X3054),"-")</f>
        <v>-</v>
      </c>
      <c r="Z3054" s="528"/>
      <c r="AA3054" s="898">
        <v>0</v>
      </c>
      <c r="AB3054" s="898">
        <v>0</v>
      </c>
      <c r="AC3054" s="898">
        <v>0</v>
      </c>
      <c r="AD3054" s="896" t="str">
        <f t="shared" ref="AD3054" si="12434">IFERROR((AC3054/AA3054),"-")</f>
        <v>-</v>
      </c>
      <c r="AE3054" s="2"/>
      <c r="AF3054" s="884">
        <v>0</v>
      </c>
      <c r="AG3054" s="884">
        <v>0</v>
      </c>
      <c r="AH3054" s="884">
        <v>0</v>
      </c>
      <c r="AI3054" s="884"/>
      <c r="AJ3054" s="884"/>
      <c r="AK3054" s="884">
        <f t="shared" ref="AK3054" si="12435">AF3054+AG3054+AH3054+AI3054+AJ3054+AC3054</f>
        <v>0</v>
      </c>
      <c r="AL3054" s="884">
        <v>0</v>
      </c>
      <c r="AM3054" s="878" t="str">
        <f t="shared" ref="AM3054" si="12436">IFERROR((AK3054/AL3054),"-")</f>
        <v>-</v>
      </c>
      <c r="AN3054" s="2"/>
      <c r="AO3054" s="884">
        <v>0</v>
      </c>
      <c r="AP3054" s="884">
        <f t="shared" ref="AP3054" si="12437">AO3054-AK3054</f>
        <v>0</v>
      </c>
      <c r="AV3054" t="str">
        <f t="shared" si="12273"/>
        <v>Revegetação - Hidrossemeadura</v>
      </c>
      <c r="AW3054" s="4" t="str">
        <f t="shared" si="12264"/>
        <v xml:space="preserve">   ADME 123+900 - Revestimento vegetal por hidrossemeadura</v>
      </c>
    </row>
    <row r="3055" spans="1:49" ht="14.45" customHeight="1" outlineLevel="2">
      <c r="A3055" s="8" t="str">
        <f t="shared" ref="A3055" si="12438">A3054</f>
        <v>N</v>
      </c>
      <c r="B3055" s="150">
        <v>1070072</v>
      </c>
      <c r="C3055" s="150" t="s">
        <v>3490</v>
      </c>
      <c r="D3055" s="120" t="s">
        <v>3491</v>
      </c>
      <c r="E3055" s="893"/>
      <c r="F3055" s="895"/>
      <c r="G3055" s="528"/>
      <c r="H3055" s="549" t="s">
        <v>38</v>
      </c>
      <c r="I3055" s="711">
        <v>0</v>
      </c>
      <c r="J3055" s="897"/>
      <c r="K3055" s="528"/>
      <c r="L3055" s="549" t="s">
        <v>38</v>
      </c>
      <c r="M3055" s="711">
        <f t="shared" si="12305"/>
        <v>0</v>
      </c>
      <c r="N3055" s="897"/>
      <c r="O3055" s="528"/>
      <c r="P3055" s="548">
        <v>0</v>
      </c>
      <c r="Q3055" s="548">
        <v>0</v>
      </c>
      <c r="R3055" s="548">
        <v>0</v>
      </c>
      <c r="S3055" s="548">
        <v>0</v>
      </c>
      <c r="T3055" s="548">
        <v>0</v>
      </c>
      <c r="U3055" s="548">
        <v>0</v>
      </c>
      <c r="V3055" s="548"/>
      <c r="W3055" s="528"/>
      <c r="X3055" s="711">
        <f t="shared" si="12296"/>
        <v>0</v>
      </c>
      <c r="Y3055" s="897"/>
      <c r="Z3055" s="528"/>
      <c r="AA3055" s="899"/>
      <c r="AB3055" s="899"/>
      <c r="AC3055" s="899"/>
      <c r="AD3055" s="897"/>
      <c r="AE3055" s="2"/>
      <c r="AF3055" s="885"/>
      <c r="AG3055" s="885"/>
      <c r="AH3055" s="885"/>
      <c r="AI3055" s="885"/>
      <c r="AJ3055" s="885"/>
      <c r="AK3055" s="885"/>
      <c r="AL3055" s="885"/>
      <c r="AM3055" s="879"/>
      <c r="AN3055" s="2"/>
      <c r="AO3055" s="886"/>
      <c r="AP3055" s="886"/>
      <c r="AV3055" t="str">
        <f t="shared" si="12273"/>
        <v>Revegetação - Hidrossemeadura</v>
      </c>
      <c r="AW3055" s="4" t="str">
        <f t="shared" si="12264"/>
        <v xml:space="preserve">   ADME 123+900 - Revestimento vegetal por hidrossemeadura</v>
      </c>
    </row>
    <row r="3056" spans="1:49" ht="5.0999999999999996" customHeight="1" outlineLevel="2">
      <c r="A3056" s="8" t="str">
        <f t="shared" ref="A3056" si="12439">IF(SUM(P3056:V3057)&gt;0,"S","N")</f>
        <v>N</v>
      </c>
      <c r="B3056" s="150">
        <v>1070073</v>
      </c>
      <c r="C3056" s="150" t="s">
        <v>3493</v>
      </c>
      <c r="D3056" s="120" t="s">
        <v>3494</v>
      </c>
      <c r="E3056" s="892" t="s">
        <v>3495</v>
      </c>
      <c r="F3056" s="894" t="s">
        <v>3210</v>
      </c>
      <c r="G3056" s="528"/>
      <c r="H3056" s="546" t="s">
        <v>37</v>
      </c>
      <c r="I3056" s="711">
        <v>0</v>
      </c>
      <c r="J3056" s="896" t="str">
        <f t="shared" ref="J3056" si="12440">IFERROR((I3057/I3056),"-")</f>
        <v>-</v>
      </c>
      <c r="K3056" s="528"/>
      <c r="L3056" s="546" t="s">
        <v>37</v>
      </c>
      <c r="M3056" s="711">
        <f t="shared" si="12305"/>
        <v>0</v>
      </c>
      <c r="N3056" s="896" t="str">
        <f t="shared" ref="N3056" si="12441">IFERROR((M3057/M3056),"-")</f>
        <v>-</v>
      </c>
      <c r="O3056" s="528"/>
      <c r="P3056" s="547">
        <v>0</v>
      </c>
      <c r="Q3056" s="547">
        <v>0</v>
      </c>
      <c r="R3056" s="547">
        <v>0</v>
      </c>
      <c r="S3056" s="547">
        <v>0</v>
      </c>
      <c r="T3056" s="547">
        <v>0</v>
      </c>
      <c r="U3056" s="547">
        <v>0</v>
      </c>
      <c r="V3056" s="548">
        <v>0</v>
      </c>
      <c r="W3056" s="528"/>
      <c r="X3056" s="711">
        <f t="shared" si="12296"/>
        <v>0</v>
      </c>
      <c r="Y3056" s="896" t="str">
        <f t="shared" ref="Y3056" si="12442">IFERROR((X3057/X3056),"-")</f>
        <v>-</v>
      </c>
      <c r="Z3056" s="528"/>
      <c r="AA3056" s="898">
        <v>2366.4699999999998</v>
      </c>
      <c r="AB3056" s="898">
        <v>1183.2</v>
      </c>
      <c r="AC3056" s="898">
        <v>0</v>
      </c>
      <c r="AD3056" s="896">
        <f t="shared" ref="AD3056" si="12443">IFERROR((AC3056/AA3056),"-")</f>
        <v>0</v>
      </c>
      <c r="AE3056" s="2"/>
      <c r="AF3056" s="884">
        <v>0</v>
      </c>
      <c r="AG3056" s="884">
        <v>0</v>
      </c>
      <c r="AH3056" s="884">
        <v>0</v>
      </c>
      <c r="AI3056" s="884"/>
      <c r="AJ3056" s="884"/>
      <c r="AK3056" s="884">
        <f t="shared" ref="AK3056" si="12444">AF3056+AG3056+AH3056+AI3056+AJ3056+AC3056</f>
        <v>0</v>
      </c>
      <c r="AL3056" s="884">
        <v>1183.2</v>
      </c>
      <c r="AM3056" s="878">
        <f t="shared" ref="AM3056" si="12445">IFERROR((AK3056/AL3056),"-")</f>
        <v>0</v>
      </c>
      <c r="AN3056" s="2"/>
      <c r="AO3056" s="884">
        <v>2366.4699999999998</v>
      </c>
      <c r="AP3056" s="884">
        <f t="shared" ref="AP3056" si="12446">AO3056-AK3056</f>
        <v>2366.4699999999998</v>
      </c>
      <c r="AV3056" t="str">
        <f t="shared" si="12273"/>
        <v>Revegetação - Hidrossemeadura</v>
      </c>
      <c r="AW3056" s="4" t="str">
        <f t="shared" si="12264"/>
        <v xml:space="preserve">   Seg. 2.3 - Canais km 123/km 124/km 125 - Revestimento vegetal por hidrossemeadura</v>
      </c>
    </row>
    <row r="3057" spans="1:49" ht="14.45" customHeight="1" outlineLevel="2">
      <c r="A3057" s="8" t="str">
        <f t="shared" ref="A3057" si="12447">A3056</f>
        <v>N</v>
      </c>
      <c r="B3057" s="150">
        <v>1070073</v>
      </c>
      <c r="C3057" s="150" t="s">
        <v>3493</v>
      </c>
      <c r="D3057" s="120" t="s">
        <v>3494</v>
      </c>
      <c r="E3057" s="893"/>
      <c r="F3057" s="895"/>
      <c r="G3057" s="528"/>
      <c r="H3057" s="549" t="s">
        <v>38</v>
      </c>
      <c r="I3057" s="711">
        <v>0</v>
      </c>
      <c r="J3057" s="897"/>
      <c r="K3057" s="528"/>
      <c r="L3057" s="549" t="s">
        <v>38</v>
      </c>
      <c r="M3057" s="711">
        <f t="shared" si="12305"/>
        <v>0</v>
      </c>
      <c r="N3057" s="897"/>
      <c r="O3057" s="528"/>
      <c r="P3057" s="548">
        <v>0</v>
      </c>
      <c r="Q3057" s="548">
        <v>0</v>
      </c>
      <c r="R3057" s="548">
        <v>0</v>
      </c>
      <c r="S3057" s="548">
        <v>0</v>
      </c>
      <c r="T3057" s="548">
        <v>0</v>
      </c>
      <c r="U3057" s="548">
        <v>0</v>
      </c>
      <c r="V3057" s="548"/>
      <c r="W3057" s="528"/>
      <c r="X3057" s="711">
        <f t="shared" si="12296"/>
        <v>0</v>
      </c>
      <c r="Y3057" s="897"/>
      <c r="Z3057" s="528"/>
      <c r="AA3057" s="899"/>
      <c r="AB3057" s="899"/>
      <c r="AC3057" s="899"/>
      <c r="AD3057" s="897"/>
      <c r="AE3057" s="2"/>
      <c r="AF3057" s="885"/>
      <c r="AG3057" s="885"/>
      <c r="AH3057" s="885"/>
      <c r="AI3057" s="885"/>
      <c r="AJ3057" s="885"/>
      <c r="AK3057" s="885"/>
      <c r="AL3057" s="885"/>
      <c r="AM3057" s="879"/>
      <c r="AN3057" s="2"/>
      <c r="AO3057" s="886"/>
      <c r="AP3057" s="886"/>
      <c r="AV3057" t="str">
        <f t="shared" si="12273"/>
        <v>Revegetação - Hidrossemeadura</v>
      </c>
      <c r="AW3057" s="4" t="str">
        <f t="shared" si="12264"/>
        <v xml:space="preserve">   Seg. 2.3 - Canais km 123/km 124/km 125 - Revestimento vegetal por hidrossemeadura</v>
      </c>
    </row>
    <row r="3058" spans="1:49" ht="14.45" customHeight="1" outlineLevel="2">
      <c r="A3058" s="8" t="str">
        <f t="shared" ref="A3058" si="12448">IF(SUM(P3058:V3059)&gt;0,"S","N")</f>
        <v>N</v>
      </c>
      <c r="B3058" s="150">
        <v>1070087</v>
      </c>
      <c r="C3058" s="150" t="s">
        <v>3496</v>
      </c>
      <c r="D3058" s="120" t="s">
        <v>3497</v>
      </c>
      <c r="E3058" s="892" t="s">
        <v>3498</v>
      </c>
      <c r="F3058" s="894" t="s">
        <v>3210</v>
      </c>
      <c r="G3058" s="528"/>
      <c r="H3058" s="546" t="s">
        <v>37</v>
      </c>
      <c r="I3058" s="711">
        <v>0</v>
      </c>
      <c r="J3058" s="896" t="str">
        <f t="shared" ref="J3058" si="12449">IFERROR((I3059/I3058),"-")</f>
        <v>-</v>
      </c>
      <c r="K3058" s="528"/>
      <c r="L3058" s="546" t="s">
        <v>37</v>
      </c>
      <c r="M3058" s="711">
        <f t="shared" si="12305"/>
        <v>0</v>
      </c>
      <c r="N3058" s="896" t="str">
        <f t="shared" ref="N3058" si="12450">IFERROR((M3059/M3058),"-")</f>
        <v>-</v>
      </c>
      <c r="O3058" s="528"/>
      <c r="P3058" s="547">
        <v>0</v>
      </c>
      <c r="Q3058" s="547">
        <v>0</v>
      </c>
      <c r="R3058" s="547">
        <v>0</v>
      </c>
      <c r="S3058" s="547">
        <v>0</v>
      </c>
      <c r="T3058" s="547">
        <v>0</v>
      </c>
      <c r="U3058" s="547">
        <v>0</v>
      </c>
      <c r="V3058" s="548">
        <v>0</v>
      </c>
      <c r="W3058" s="528"/>
      <c r="X3058" s="711">
        <f t="shared" si="12296"/>
        <v>0</v>
      </c>
      <c r="Y3058" s="896" t="str">
        <f t="shared" ref="Y3058" si="12451">IFERROR((X3059/X3058),"-")</f>
        <v>-</v>
      </c>
      <c r="Z3058" s="528"/>
      <c r="AA3058" s="898">
        <v>0</v>
      </c>
      <c r="AB3058" s="898">
        <v>0</v>
      </c>
      <c r="AC3058" s="898">
        <v>0</v>
      </c>
      <c r="AD3058" s="896" t="str">
        <f t="shared" ref="AD3058" si="12452">IFERROR((AC3058/AA3058),"-")</f>
        <v>-</v>
      </c>
      <c r="AE3058" s="2"/>
      <c r="AF3058" s="884">
        <v>34772.26</v>
      </c>
      <c r="AG3058" s="884">
        <v>0</v>
      </c>
      <c r="AH3058" s="884">
        <v>0</v>
      </c>
      <c r="AI3058" s="884">
        <v>0</v>
      </c>
      <c r="AJ3058" s="884"/>
      <c r="AK3058" s="884">
        <f t="shared" ref="AK3058:AK3060" si="12453">AF3058+AG3058+AH3058+AI3058+AJ3058+AC3058</f>
        <v>34772.26</v>
      </c>
      <c r="AL3058" s="884">
        <v>15906.24</v>
      </c>
      <c r="AM3058" s="878">
        <f t="shared" ref="AM3058" si="12454">IFERROR((AK3058/AL3058),"-")</f>
        <v>2.1860766592230472</v>
      </c>
      <c r="AN3058" s="2"/>
      <c r="AO3058" s="884">
        <v>15906.18</v>
      </c>
      <c r="AP3058" s="884">
        <f t="shared" ref="AP3058:AP3060" si="12455">AO3058-AK3058</f>
        <v>-18866.080000000002</v>
      </c>
      <c r="AV3058" t="str">
        <f t="shared" si="12273"/>
        <v>Revegetação - Hidrossemeadura</v>
      </c>
      <c r="AW3058" s="4" t="str">
        <f t="shared" si="12264"/>
        <v xml:space="preserve">   Seg. 2.3-A12-Revestimento vegetal por hidrossemeadura</v>
      </c>
    </row>
    <row r="3059" spans="1:49" ht="15.6" customHeight="1" outlineLevel="2">
      <c r="A3059" s="8" t="str">
        <f t="shared" ref="A3059:A3061" si="12456">A3058</f>
        <v>N</v>
      </c>
      <c r="B3059" s="150">
        <v>1070087</v>
      </c>
      <c r="C3059" s="150" t="s">
        <v>3496</v>
      </c>
      <c r="D3059" s="120" t="s">
        <v>3497</v>
      </c>
      <c r="E3059" s="893"/>
      <c r="F3059" s="895"/>
      <c r="G3059" s="528"/>
      <c r="H3059" s="549" t="s">
        <v>38</v>
      </c>
      <c r="I3059" s="711">
        <v>0</v>
      </c>
      <c r="J3059" s="897"/>
      <c r="K3059" s="528"/>
      <c r="L3059" s="549" t="s">
        <v>38</v>
      </c>
      <c r="M3059" s="711">
        <f t="shared" si="12305"/>
        <v>0</v>
      </c>
      <c r="N3059" s="897"/>
      <c r="O3059" s="528"/>
      <c r="P3059" s="548">
        <v>0</v>
      </c>
      <c r="Q3059" s="548">
        <v>0</v>
      </c>
      <c r="R3059" s="548">
        <v>0</v>
      </c>
      <c r="S3059" s="548">
        <v>0</v>
      </c>
      <c r="T3059" s="548">
        <v>0</v>
      </c>
      <c r="U3059" s="548">
        <v>0</v>
      </c>
      <c r="V3059" s="548"/>
      <c r="W3059" s="528"/>
      <c r="X3059" s="711">
        <f t="shared" si="12296"/>
        <v>0</v>
      </c>
      <c r="Y3059" s="897"/>
      <c r="Z3059" s="528"/>
      <c r="AA3059" s="899"/>
      <c r="AB3059" s="899"/>
      <c r="AC3059" s="899"/>
      <c r="AD3059" s="897"/>
      <c r="AE3059" s="2"/>
      <c r="AF3059" s="885"/>
      <c r="AG3059" s="885"/>
      <c r="AH3059" s="885"/>
      <c r="AI3059" s="885"/>
      <c r="AJ3059" s="885"/>
      <c r="AK3059" s="885"/>
      <c r="AL3059" s="885"/>
      <c r="AM3059" s="879"/>
      <c r="AN3059" s="2"/>
      <c r="AO3059" s="886"/>
      <c r="AP3059" s="886"/>
      <c r="AV3059" t="str">
        <f t="shared" si="12273"/>
        <v>Revegetação - Hidrossemeadura</v>
      </c>
      <c r="AW3059" s="4" t="str">
        <f t="shared" si="12264"/>
        <v xml:space="preserve">   Seg. 2.3-A12-Revestimento vegetal por hidrossemeadura</v>
      </c>
    </row>
    <row r="3060" spans="1:49" ht="15.6" customHeight="1" outlineLevel="2">
      <c r="A3060" s="8" t="str">
        <f t="shared" ref="A3060" si="12457">IF(SUM(P3060:V3061)&gt;0,"S","N")</f>
        <v>N</v>
      </c>
      <c r="B3060" s="150"/>
      <c r="C3060" s="150"/>
      <c r="D3060" s="120"/>
      <c r="E3060" s="892" t="s">
        <v>3499</v>
      </c>
      <c r="F3060" s="894" t="s">
        <v>3210</v>
      </c>
      <c r="G3060" s="528"/>
      <c r="H3060" s="546" t="s">
        <v>37</v>
      </c>
      <c r="I3060" s="711">
        <v>0</v>
      </c>
      <c r="J3060" s="896" t="str">
        <f t="shared" ref="J3060" si="12458">IFERROR((I3061/I3060),"-")</f>
        <v>-</v>
      </c>
      <c r="K3060" s="528"/>
      <c r="L3060" s="546" t="s">
        <v>37</v>
      </c>
      <c r="M3060" s="711">
        <f t="shared" si="12305"/>
        <v>0</v>
      </c>
      <c r="N3060" s="896" t="str">
        <f t="shared" ref="N3060" si="12459">IFERROR((M3061/M3060),"-")</f>
        <v>-</v>
      </c>
      <c r="O3060" s="528"/>
      <c r="P3060" s="547"/>
      <c r="Q3060" s="547"/>
      <c r="R3060" s="547"/>
      <c r="S3060" s="547"/>
      <c r="T3060" s="547"/>
      <c r="U3060" s="547"/>
      <c r="V3060" s="548"/>
      <c r="W3060" s="528"/>
      <c r="X3060" s="711">
        <f t="shared" si="12296"/>
        <v>0</v>
      </c>
      <c r="Y3060" s="896" t="str">
        <f t="shared" ref="Y3060" si="12460">IFERROR((X3061/X3060),"-")</f>
        <v>-</v>
      </c>
      <c r="Z3060" s="528"/>
      <c r="AA3060" s="898">
        <v>0</v>
      </c>
      <c r="AB3060" s="898">
        <v>0</v>
      </c>
      <c r="AC3060" s="898">
        <v>0</v>
      </c>
      <c r="AD3060" s="896" t="str">
        <f t="shared" ref="AD3060" si="12461">IFERROR((AC3060/AA3060),"-")</f>
        <v>-</v>
      </c>
      <c r="AE3060" s="2"/>
      <c r="AF3060" s="886">
        <v>-181627.23</v>
      </c>
      <c r="AG3060" s="886">
        <v>0</v>
      </c>
      <c r="AH3060" s="886">
        <v>0</v>
      </c>
      <c r="AI3060" s="886">
        <v>0</v>
      </c>
      <c r="AJ3060" s="886"/>
      <c r="AK3060" s="884">
        <f t="shared" si="12453"/>
        <v>-181627.23</v>
      </c>
      <c r="AL3060" s="886">
        <v>0</v>
      </c>
      <c r="AM3060" s="957" t="str">
        <f t="shared" ref="AM3060" si="12462">IFERROR((AK3060/AL3060),"-")</f>
        <v>-</v>
      </c>
      <c r="AN3060" s="2"/>
      <c r="AO3060" s="884">
        <v>0</v>
      </c>
      <c r="AP3060" s="884">
        <f t="shared" si="12455"/>
        <v>181627.23</v>
      </c>
      <c r="AV3060" t="str">
        <f t="shared" si="12273"/>
        <v>Revegetação - Hidrossemeadura</v>
      </c>
      <c r="AW3060" s="4" t="str">
        <f t="shared" si="12264"/>
        <v>Ajuste para medição em item de Hidrossemeadura sem coveamento</v>
      </c>
    </row>
    <row r="3061" spans="1:49" ht="15.6" customHeight="1" outlineLevel="2">
      <c r="A3061" s="8" t="str">
        <f t="shared" si="12456"/>
        <v>N</v>
      </c>
      <c r="B3061" s="150"/>
      <c r="C3061" s="150"/>
      <c r="D3061" s="120"/>
      <c r="E3061" s="893"/>
      <c r="F3061" s="895"/>
      <c r="G3061" s="528"/>
      <c r="H3061" s="549" t="s">
        <v>38</v>
      </c>
      <c r="I3061" s="711">
        <v>0</v>
      </c>
      <c r="J3061" s="897"/>
      <c r="K3061" s="528"/>
      <c r="L3061" s="549" t="s">
        <v>38</v>
      </c>
      <c r="M3061" s="711">
        <f t="shared" si="12305"/>
        <v>0</v>
      </c>
      <c r="N3061" s="897"/>
      <c r="O3061" s="528"/>
      <c r="P3061" s="548">
        <v>0</v>
      </c>
      <c r="Q3061" s="548">
        <v>0</v>
      </c>
      <c r="R3061" s="548">
        <v>0</v>
      </c>
      <c r="S3061" s="548">
        <v>0</v>
      </c>
      <c r="T3061" s="548">
        <v>0</v>
      </c>
      <c r="U3061" s="548">
        <v>0</v>
      </c>
      <c r="V3061" s="548"/>
      <c r="W3061" s="528"/>
      <c r="X3061" s="711">
        <f t="shared" si="12296"/>
        <v>0</v>
      </c>
      <c r="Y3061" s="897"/>
      <c r="Z3061" s="528"/>
      <c r="AA3061" s="899"/>
      <c r="AB3061" s="899"/>
      <c r="AC3061" s="899"/>
      <c r="AD3061" s="897"/>
      <c r="AE3061" s="2"/>
      <c r="AF3061" s="926"/>
      <c r="AG3061" s="926"/>
      <c r="AH3061" s="926"/>
      <c r="AI3061" s="926"/>
      <c r="AJ3061" s="926"/>
      <c r="AK3061" s="885"/>
      <c r="AL3061" s="926"/>
      <c r="AM3061" s="958"/>
      <c r="AN3061" s="2"/>
      <c r="AO3061" s="886"/>
      <c r="AP3061" s="886"/>
      <c r="AV3061" t="str">
        <f t="shared" si="12273"/>
        <v>Revegetação - Hidrossemeadura</v>
      </c>
      <c r="AW3061" s="4" t="str">
        <f t="shared" si="12264"/>
        <v>Ajuste para medição em item de Hidrossemeadura sem coveamento</v>
      </c>
    </row>
    <row r="3062" spans="1:49" ht="15.6" customHeight="1" outlineLevel="2">
      <c r="A3062" s="209">
        <v>0</v>
      </c>
      <c r="B3062" s="150"/>
      <c r="C3062" s="150"/>
      <c r="D3062" s="117"/>
      <c r="E3062" s="535"/>
      <c r="F3062" s="536"/>
      <c r="G3062" s="537"/>
      <c r="H3062" s="714"/>
      <c r="I3062" s="538"/>
      <c r="J3062" s="714"/>
      <c r="K3062" s="537"/>
      <c r="L3062" s="714"/>
      <c r="M3062" s="538"/>
      <c r="N3062" s="714"/>
      <c r="O3062" s="537"/>
      <c r="P3062" s="539"/>
      <c r="Q3062" s="539"/>
      <c r="R3062" s="539"/>
      <c r="S3062" s="539"/>
      <c r="T3062" s="539"/>
      <c r="U3062" s="539"/>
      <c r="V3062" s="539"/>
      <c r="W3062" s="537"/>
      <c r="X3062" s="540"/>
      <c r="Y3062" s="537"/>
      <c r="Z3062" s="537"/>
      <c r="AA3062" s="250"/>
      <c r="AB3062" s="250"/>
      <c r="AC3062" s="249"/>
      <c r="AD3062" s="537"/>
      <c r="AE3062" s="3"/>
      <c r="AF3062" s="36"/>
      <c r="AG3062" s="36"/>
      <c r="AH3062" s="36"/>
      <c r="AI3062" s="36"/>
      <c r="AJ3062" s="36"/>
      <c r="AK3062" s="36"/>
      <c r="AL3062" s="36"/>
      <c r="AM3062" s="3"/>
      <c r="AN3062" s="3"/>
      <c r="AO3062" s="36"/>
      <c r="AP3062" s="36"/>
      <c r="AV3062" t="str">
        <f t="shared" si="12273"/>
        <v>Revegetação - Hidrossemeadura</v>
      </c>
      <c r="AW3062" s="4" t="str">
        <f t="shared" si="12264"/>
        <v>Ajuste para medição em item de Hidrossemeadura sem coveamento</v>
      </c>
    </row>
    <row r="3063" spans="1:49" ht="15.6" customHeight="1" outlineLevel="2">
      <c r="A3063" s="209">
        <v>0</v>
      </c>
      <c r="B3063" s="150"/>
      <c r="C3063" s="150"/>
      <c r="D3063" s="122"/>
      <c r="E3063" s="913" t="s">
        <v>42</v>
      </c>
      <c r="F3063" s="894" t="s">
        <v>3210</v>
      </c>
      <c r="G3063" s="528"/>
      <c r="H3063" s="542" t="s">
        <v>37</v>
      </c>
      <c r="I3063" s="543">
        <f>SUMIF($L3065:$L3098,$L3063,I3065:I3098)</f>
        <v>0</v>
      </c>
      <c r="J3063" s="860" t="str">
        <f>IFERROR((I3064/I3063),"-")</f>
        <v>-</v>
      </c>
      <c r="K3063" s="528"/>
      <c r="L3063" s="542" t="s">
        <v>37</v>
      </c>
      <c r="M3063" s="543">
        <f>SUMIF($L3065:$L3098,$L3063,M3065:M3098)</f>
        <v>0</v>
      </c>
      <c r="N3063" s="860" t="str">
        <f>IFERROR((M3064/M3063),"-")</f>
        <v>-</v>
      </c>
      <c r="O3063" s="528"/>
      <c r="P3063" s="543">
        <f t="shared" ref="P3063:V3063" si="12463">SUMIF($L3065:$L3098,$L3063,P3065:P3098)</f>
        <v>0</v>
      </c>
      <c r="Q3063" s="543">
        <f t="shared" si="12463"/>
        <v>0</v>
      </c>
      <c r="R3063" s="543">
        <f t="shared" si="12463"/>
        <v>0</v>
      </c>
      <c r="S3063" s="543">
        <f t="shared" si="12463"/>
        <v>0</v>
      </c>
      <c r="T3063" s="543">
        <f t="shared" si="12463"/>
        <v>0</v>
      </c>
      <c r="U3063" s="543">
        <f t="shared" si="12463"/>
        <v>0</v>
      </c>
      <c r="V3063" s="543">
        <f t="shared" si="12463"/>
        <v>0</v>
      </c>
      <c r="W3063" s="528"/>
      <c r="X3063" s="543">
        <f t="shared" ref="X3063:X3098" si="12464">SUMIFS(P3063:V3063,$P$8:$V$8,"&gt;="&amp;$P$8,$P$8:$V$8,"&lt;="&amp;$N$8)</f>
        <v>0</v>
      </c>
      <c r="Y3063" s="860" t="str">
        <f>IFERROR((X3064/X3063),"-")</f>
        <v>-</v>
      </c>
      <c r="Z3063" s="528"/>
      <c r="AA3063" s="814">
        <f t="shared" ref="AA3063:AC3063" si="12465">SUM(AA3065:AA3098)</f>
        <v>0</v>
      </c>
      <c r="AB3063" s="814">
        <f t="shared" si="12465"/>
        <v>0</v>
      </c>
      <c r="AC3063" s="814">
        <f t="shared" si="12465"/>
        <v>0</v>
      </c>
      <c r="AD3063" s="911" t="str">
        <f>IFERROR((AC3063/AA3063),"-")</f>
        <v>-</v>
      </c>
      <c r="AE3063" s="2"/>
      <c r="AF3063" s="888">
        <f t="shared" ref="AF3063:AL3063" si="12466">SUM(AF3065:AF3098)</f>
        <v>0</v>
      </c>
      <c r="AG3063" s="888">
        <f t="shared" si="12466"/>
        <v>0</v>
      </c>
      <c r="AH3063" s="888">
        <f t="shared" si="12466"/>
        <v>0</v>
      </c>
      <c r="AI3063" s="888">
        <f t="shared" si="12466"/>
        <v>0</v>
      </c>
      <c r="AJ3063" s="888">
        <f t="shared" ref="AJ3063" si="12467">SUM(AJ3065:AJ3098)</f>
        <v>0</v>
      </c>
      <c r="AK3063" s="888">
        <f t="shared" si="12466"/>
        <v>0</v>
      </c>
      <c r="AL3063" s="888">
        <f t="shared" si="12466"/>
        <v>0</v>
      </c>
      <c r="AM3063" s="743" t="str">
        <f>IFERROR((AK3063/AL3063),"-")</f>
        <v>-</v>
      </c>
      <c r="AN3063" s="2"/>
      <c r="AO3063" s="888">
        <f>SUM(AO3065:AO3098)</f>
        <v>237698.09000000003</v>
      </c>
      <c r="AP3063" s="888">
        <f>SUM(AP3065:AP3098)</f>
        <v>237698.09000000003</v>
      </c>
      <c r="AV3063" t="str">
        <f t="shared" si="12273"/>
        <v>Revegetação - Hidrossemeadura</v>
      </c>
      <c r="AW3063" s="4" t="str">
        <f t="shared" si="12264"/>
        <v>Pacote 05 - Segmento 2.4 - Km 131+260 a  Km 138+000</v>
      </c>
    </row>
    <row r="3064" spans="1:49" ht="15.6" customHeight="1" outlineLevel="2">
      <c r="A3064" s="209">
        <v>0</v>
      </c>
      <c r="B3064" s="150"/>
      <c r="C3064" s="150"/>
      <c r="D3064" s="123"/>
      <c r="E3064" s="913"/>
      <c r="F3064" s="895"/>
      <c r="G3064" s="528"/>
      <c r="H3064" s="544" t="s">
        <v>38</v>
      </c>
      <c r="I3064" s="543">
        <f>SUMIF($L3065:$L3098,$L3064,I3065:I3098)</f>
        <v>0</v>
      </c>
      <c r="J3064" s="861"/>
      <c r="K3064" s="528"/>
      <c r="L3064" s="544" t="s">
        <v>38</v>
      </c>
      <c r="M3064" s="543">
        <f>SUMIF($L3065:$L3098,$L3064,M3065:M3098)</f>
        <v>0</v>
      </c>
      <c r="N3064" s="861"/>
      <c r="O3064" s="528"/>
      <c r="P3064" s="543">
        <f t="shared" ref="P3064:V3064" si="12468">SUMIF($L3065:$L3098,$L3064,P3065:P3098)</f>
        <v>0</v>
      </c>
      <c r="Q3064" s="543">
        <f t="shared" si="12468"/>
        <v>0</v>
      </c>
      <c r="R3064" s="543">
        <f t="shared" si="12468"/>
        <v>0</v>
      </c>
      <c r="S3064" s="543">
        <f t="shared" si="12468"/>
        <v>0</v>
      </c>
      <c r="T3064" s="543">
        <f t="shared" si="12468"/>
        <v>0</v>
      </c>
      <c r="U3064" s="543">
        <f t="shared" si="12468"/>
        <v>0</v>
      </c>
      <c r="V3064" s="543">
        <f t="shared" si="12468"/>
        <v>0</v>
      </c>
      <c r="W3064" s="528"/>
      <c r="X3064" s="543">
        <f t="shared" si="12464"/>
        <v>0</v>
      </c>
      <c r="Y3064" s="861"/>
      <c r="Z3064" s="528"/>
      <c r="AA3064" s="814"/>
      <c r="AB3064" s="814"/>
      <c r="AC3064" s="814"/>
      <c r="AD3064" s="912"/>
      <c r="AE3064" s="2"/>
      <c r="AF3064" s="889"/>
      <c r="AG3064" s="889"/>
      <c r="AH3064" s="889"/>
      <c r="AI3064" s="889"/>
      <c r="AJ3064" s="889"/>
      <c r="AK3064" s="889"/>
      <c r="AL3064" s="889"/>
      <c r="AM3064" s="744"/>
      <c r="AN3064" s="2"/>
      <c r="AO3064" s="888"/>
      <c r="AP3064" s="888"/>
      <c r="AV3064" t="str">
        <f t="shared" si="12273"/>
        <v>Revegetação - Hidrossemeadura</v>
      </c>
      <c r="AW3064" s="4" t="str">
        <f t="shared" si="12264"/>
        <v>Pacote 05 - Segmento 2.4 - Km 131+260 a  Km 138+000</v>
      </c>
    </row>
    <row r="3065" spans="1:49" ht="15.6" customHeight="1" outlineLevel="2">
      <c r="A3065" s="8" t="str">
        <f t="shared" ref="A3065" si="12469">IF(SUM(P3065:V3066)&gt;0,"S","N")</f>
        <v>N</v>
      </c>
      <c r="B3065" s="150">
        <v>1068820</v>
      </c>
      <c r="C3065" s="150" t="s">
        <v>3500</v>
      </c>
      <c r="D3065" s="120" t="s">
        <v>3501</v>
      </c>
      <c r="E3065" s="892" t="s">
        <v>3302</v>
      </c>
      <c r="F3065" s="894" t="s">
        <v>3210</v>
      </c>
      <c r="G3065" s="528"/>
      <c r="H3065" s="546" t="s">
        <v>37</v>
      </c>
      <c r="I3065" s="711">
        <v>0</v>
      </c>
      <c r="J3065" s="896" t="str">
        <f t="shared" ref="J3065" si="12470">IFERROR((I3066/I3065),"-")</f>
        <v>-</v>
      </c>
      <c r="K3065" s="528"/>
      <c r="L3065" s="546" t="s">
        <v>37</v>
      </c>
      <c r="M3065" s="711">
        <f t="shared" ref="M3065:M3098" si="12471">_xlfn.XLOOKUP($N$8,$P$8:$V$8,$P3065:$V3065)</f>
        <v>0</v>
      </c>
      <c r="N3065" s="896" t="str">
        <f t="shared" ref="N3065" si="12472">IFERROR((M3066/M3065),"-")</f>
        <v>-</v>
      </c>
      <c r="O3065" s="528"/>
      <c r="P3065" s="547">
        <v>0</v>
      </c>
      <c r="Q3065" s="547">
        <v>0</v>
      </c>
      <c r="R3065" s="547">
        <v>0</v>
      </c>
      <c r="S3065" s="547">
        <v>0</v>
      </c>
      <c r="T3065" s="547">
        <v>0</v>
      </c>
      <c r="U3065" s="547">
        <v>0</v>
      </c>
      <c r="V3065" s="548">
        <v>0</v>
      </c>
      <c r="W3065" s="528"/>
      <c r="X3065" s="711">
        <f t="shared" si="12464"/>
        <v>0</v>
      </c>
      <c r="Y3065" s="896" t="str">
        <f t="shared" ref="Y3065" si="12473">IFERROR((X3066/X3065),"-")</f>
        <v>-</v>
      </c>
      <c r="Z3065" s="528"/>
      <c r="AA3065" s="898">
        <v>0</v>
      </c>
      <c r="AB3065" s="898">
        <v>0</v>
      </c>
      <c r="AC3065" s="898">
        <v>0</v>
      </c>
      <c r="AD3065" s="896" t="str">
        <f t="shared" ref="AD3065" si="12474">IFERROR((AC3065/AA3065),"-")</f>
        <v>-</v>
      </c>
      <c r="AE3065" s="2"/>
      <c r="AF3065" s="884">
        <v>0</v>
      </c>
      <c r="AG3065" s="884"/>
      <c r="AH3065" s="884">
        <v>0</v>
      </c>
      <c r="AI3065" s="884"/>
      <c r="AJ3065" s="884"/>
      <c r="AK3065" s="884">
        <f t="shared" ref="AK3065" si="12475">AF3065+AG3065+AH3065+AI3065+AJ3065+AC3065</f>
        <v>0</v>
      </c>
      <c r="AL3065" s="884">
        <v>0</v>
      </c>
      <c r="AM3065" s="878" t="str">
        <f t="shared" ref="AM3065" si="12476">IFERROR((AK3065/AL3065),"-")</f>
        <v>-</v>
      </c>
      <c r="AN3065" s="2"/>
      <c r="AO3065" s="884">
        <v>12296.89</v>
      </c>
      <c r="AP3065" s="884">
        <f t="shared" ref="AP3065" si="12477">AO3065-AK3065</f>
        <v>12296.89</v>
      </c>
      <c r="AV3065" t="str">
        <f t="shared" si="12273"/>
        <v>Revegetação - Hidrossemeadura</v>
      </c>
      <c r="AW3065" s="4" t="str">
        <f t="shared" si="12264"/>
        <v xml:space="preserve">   Revestimento vegetal por hidrossemeadura</v>
      </c>
    </row>
    <row r="3066" spans="1:49" ht="15.6" customHeight="1" outlineLevel="2">
      <c r="A3066" s="8" t="str">
        <f t="shared" ref="A3066" si="12478">A3065</f>
        <v>N</v>
      </c>
      <c r="B3066" s="150"/>
      <c r="C3066" s="150" t="s">
        <v>3500</v>
      </c>
      <c r="D3066" s="120" t="s">
        <v>3501</v>
      </c>
      <c r="E3066" s="893"/>
      <c r="F3066" s="895"/>
      <c r="G3066" s="528"/>
      <c r="H3066" s="549" t="s">
        <v>38</v>
      </c>
      <c r="I3066" s="711">
        <v>0</v>
      </c>
      <c r="J3066" s="897"/>
      <c r="K3066" s="528"/>
      <c r="L3066" s="549" t="s">
        <v>38</v>
      </c>
      <c r="M3066" s="711">
        <f t="shared" si="12471"/>
        <v>0</v>
      </c>
      <c r="N3066" s="897"/>
      <c r="O3066" s="528"/>
      <c r="P3066" s="548">
        <v>0</v>
      </c>
      <c r="Q3066" s="548">
        <v>0</v>
      </c>
      <c r="R3066" s="548">
        <v>0</v>
      </c>
      <c r="S3066" s="548">
        <v>0</v>
      </c>
      <c r="T3066" s="548">
        <v>0</v>
      </c>
      <c r="U3066" s="548">
        <v>0</v>
      </c>
      <c r="V3066" s="548"/>
      <c r="W3066" s="528"/>
      <c r="X3066" s="711">
        <f t="shared" si="12464"/>
        <v>0</v>
      </c>
      <c r="Y3066" s="897"/>
      <c r="Z3066" s="528"/>
      <c r="AA3066" s="899"/>
      <c r="AB3066" s="899"/>
      <c r="AC3066" s="899"/>
      <c r="AD3066" s="897"/>
      <c r="AE3066" s="2"/>
      <c r="AF3066" s="885"/>
      <c r="AG3066" s="885"/>
      <c r="AH3066" s="885"/>
      <c r="AI3066" s="885"/>
      <c r="AJ3066" s="885"/>
      <c r="AK3066" s="885"/>
      <c r="AL3066" s="885"/>
      <c r="AM3066" s="879"/>
      <c r="AN3066" s="2"/>
      <c r="AO3066" s="886"/>
      <c r="AP3066" s="886"/>
      <c r="AV3066" t="str">
        <f t="shared" si="12273"/>
        <v>Revegetação - Hidrossemeadura</v>
      </c>
      <c r="AW3066" s="4" t="str">
        <f t="shared" si="12264"/>
        <v xml:space="preserve">   Revestimento vegetal por hidrossemeadura</v>
      </c>
    </row>
    <row r="3067" spans="1:49" ht="15.6" customHeight="1" outlineLevel="2">
      <c r="A3067" s="8" t="str">
        <f t="shared" ref="A3067" si="12479">IF(SUM(P3067:V3068)&gt;0,"S","N")</f>
        <v>N</v>
      </c>
      <c r="B3067" s="150">
        <v>1068821</v>
      </c>
      <c r="C3067" s="150" t="s">
        <v>3502</v>
      </c>
      <c r="D3067" s="120" t="s">
        <v>3503</v>
      </c>
      <c r="E3067" s="892" t="s">
        <v>3302</v>
      </c>
      <c r="F3067" s="894" t="s">
        <v>3210</v>
      </c>
      <c r="G3067" s="528"/>
      <c r="H3067" s="546" t="s">
        <v>37</v>
      </c>
      <c r="I3067" s="711">
        <v>0</v>
      </c>
      <c r="J3067" s="896" t="str">
        <f t="shared" ref="J3067" si="12480">IFERROR((I3068/I3067),"-")</f>
        <v>-</v>
      </c>
      <c r="K3067" s="528"/>
      <c r="L3067" s="546" t="s">
        <v>37</v>
      </c>
      <c r="M3067" s="711">
        <f t="shared" si="12471"/>
        <v>0</v>
      </c>
      <c r="N3067" s="896" t="str">
        <f t="shared" ref="N3067" si="12481">IFERROR((M3068/M3067),"-")</f>
        <v>-</v>
      </c>
      <c r="O3067" s="528"/>
      <c r="P3067" s="547">
        <v>0</v>
      </c>
      <c r="Q3067" s="547">
        <v>0</v>
      </c>
      <c r="R3067" s="547">
        <v>0</v>
      </c>
      <c r="S3067" s="547">
        <v>0</v>
      </c>
      <c r="T3067" s="547">
        <v>0</v>
      </c>
      <c r="U3067" s="547">
        <v>0</v>
      </c>
      <c r="V3067" s="548">
        <v>0</v>
      </c>
      <c r="W3067" s="528"/>
      <c r="X3067" s="711">
        <f t="shared" si="12464"/>
        <v>0</v>
      </c>
      <c r="Y3067" s="896" t="str">
        <f t="shared" ref="Y3067" si="12482">IFERROR((X3068/X3067),"-")</f>
        <v>-</v>
      </c>
      <c r="Z3067" s="528"/>
      <c r="AA3067" s="898">
        <v>0</v>
      </c>
      <c r="AB3067" s="898">
        <v>0</v>
      </c>
      <c r="AC3067" s="898">
        <v>0</v>
      </c>
      <c r="AD3067" s="896" t="str">
        <f t="shared" ref="AD3067" si="12483">IFERROR((AC3067/AA3067),"-")</f>
        <v>-</v>
      </c>
      <c r="AE3067" s="2"/>
      <c r="AF3067" s="884">
        <v>0</v>
      </c>
      <c r="AG3067" s="884"/>
      <c r="AH3067" s="884">
        <v>0</v>
      </c>
      <c r="AI3067" s="884"/>
      <c r="AJ3067" s="884"/>
      <c r="AK3067" s="884">
        <f t="shared" ref="AK3067" si="12484">AF3067+AG3067+AH3067+AI3067+AJ3067+AC3067</f>
        <v>0</v>
      </c>
      <c r="AL3067" s="884">
        <v>0</v>
      </c>
      <c r="AM3067" s="878" t="str">
        <f t="shared" ref="AM3067" si="12485">IFERROR((AK3067/AL3067),"-")</f>
        <v>-</v>
      </c>
      <c r="AN3067" s="2"/>
      <c r="AO3067" s="884">
        <v>18802.37</v>
      </c>
      <c r="AP3067" s="884">
        <f t="shared" ref="AP3067" si="12486">AO3067-AK3067</f>
        <v>18802.37</v>
      </c>
      <c r="AV3067" t="str">
        <f t="shared" si="12273"/>
        <v>Revegetação - Hidrossemeadura</v>
      </c>
      <c r="AW3067" s="4" t="str">
        <f t="shared" si="12264"/>
        <v xml:space="preserve">   Revestimento vegetal por hidrossemeadura</v>
      </c>
    </row>
    <row r="3068" spans="1:49" ht="15.6" customHeight="1" outlineLevel="2">
      <c r="A3068" s="8" t="str">
        <f t="shared" ref="A3068" si="12487">A3067</f>
        <v>N</v>
      </c>
      <c r="B3068" s="150"/>
      <c r="C3068" s="150" t="s">
        <v>3502</v>
      </c>
      <c r="D3068" s="120" t="s">
        <v>3503</v>
      </c>
      <c r="E3068" s="893"/>
      <c r="F3068" s="895"/>
      <c r="G3068" s="528"/>
      <c r="H3068" s="549" t="s">
        <v>38</v>
      </c>
      <c r="I3068" s="711">
        <v>0</v>
      </c>
      <c r="J3068" s="897"/>
      <c r="K3068" s="528"/>
      <c r="L3068" s="549" t="s">
        <v>38</v>
      </c>
      <c r="M3068" s="711">
        <f t="shared" si="12471"/>
        <v>0</v>
      </c>
      <c r="N3068" s="897"/>
      <c r="O3068" s="528"/>
      <c r="P3068" s="548">
        <v>0</v>
      </c>
      <c r="Q3068" s="548">
        <v>0</v>
      </c>
      <c r="R3068" s="548">
        <v>0</v>
      </c>
      <c r="S3068" s="548">
        <v>0</v>
      </c>
      <c r="T3068" s="548">
        <v>0</v>
      </c>
      <c r="U3068" s="548">
        <v>0</v>
      </c>
      <c r="V3068" s="548"/>
      <c r="W3068" s="528"/>
      <c r="X3068" s="711">
        <f t="shared" si="12464"/>
        <v>0</v>
      </c>
      <c r="Y3068" s="897"/>
      <c r="Z3068" s="528"/>
      <c r="AA3068" s="899"/>
      <c r="AB3068" s="899"/>
      <c r="AC3068" s="899"/>
      <c r="AD3068" s="897"/>
      <c r="AE3068" s="2"/>
      <c r="AF3068" s="885"/>
      <c r="AG3068" s="885"/>
      <c r="AH3068" s="885"/>
      <c r="AI3068" s="885"/>
      <c r="AJ3068" s="885"/>
      <c r="AK3068" s="885"/>
      <c r="AL3068" s="885"/>
      <c r="AM3068" s="879"/>
      <c r="AN3068" s="2"/>
      <c r="AO3068" s="886"/>
      <c r="AP3068" s="886"/>
      <c r="AV3068" t="str">
        <f t="shared" si="12273"/>
        <v>Revegetação - Hidrossemeadura</v>
      </c>
      <c r="AW3068" s="4" t="str">
        <f t="shared" si="12264"/>
        <v xml:space="preserve">   Revestimento vegetal por hidrossemeadura</v>
      </c>
    </row>
    <row r="3069" spans="1:49" ht="15.6" customHeight="1" outlineLevel="2" collapsed="1">
      <c r="A3069" s="8" t="str">
        <f t="shared" ref="A3069" si="12488">IF(SUM(P3069:V3070)&gt;0,"S","N")</f>
        <v>N</v>
      </c>
      <c r="B3069" s="150">
        <v>1068822</v>
      </c>
      <c r="C3069" s="150" t="s">
        <v>3504</v>
      </c>
      <c r="D3069" s="120" t="s">
        <v>3505</v>
      </c>
      <c r="E3069" s="892" t="s">
        <v>3302</v>
      </c>
      <c r="F3069" s="894" t="s">
        <v>3210</v>
      </c>
      <c r="G3069" s="528"/>
      <c r="H3069" s="546" t="s">
        <v>37</v>
      </c>
      <c r="I3069" s="711">
        <v>0</v>
      </c>
      <c r="J3069" s="896" t="str">
        <f t="shared" ref="J3069" si="12489">IFERROR((I3070/I3069),"-")</f>
        <v>-</v>
      </c>
      <c r="K3069" s="528"/>
      <c r="L3069" s="546" t="s">
        <v>37</v>
      </c>
      <c r="M3069" s="711">
        <f t="shared" si="12471"/>
        <v>0</v>
      </c>
      <c r="N3069" s="896" t="str">
        <f t="shared" ref="N3069" si="12490">IFERROR((M3070/M3069),"-")</f>
        <v>-</v>
      </c>
      <c r="O3069" s="528"/>
      <c r="P3069" s="547">
        <v>0</v>
      </c>
      <c r="Q3069" s="547">
        <v>0</v>
      </c>
      <c r="R3069" s="547">
        <v>0</v>
      </c>
      <c r="S3069" s="547">
        <v>0</v>
      </c>
      <c r="T3069" s="547">
        <v>0</v>
      </c>
      <c r="U3069" s="547">
        <v>0</v>
      </c>
      <c r="V3069" s="548">
        <v>0</v>
      </c>
      <c r="W3069" s="528"/>
      <c r="X3069" s="711">
        <f t="shared" si="12464"/>
        <v>0</v>
      </c>
      <c r="Y3069" s="896" t="str">
        <f t="shared" ref="Y3069" si="12491">IFERROR((X3070/X3069),"-")</f>
        <v>-</v>
      </c>
      <c r="Z3069" s="528"/>
      <c r="AA3069" s="898">
        <v>0</v>
      </c>
      <c r="AB3069" s="898">
        <v>0</v>
      </c>
      <c r="AC3069" s="898">
        <v>0</v>
      </c>
      <c r="AD3069" s="896" t="str">
        <f t="shared" ref="AD3069" si="12492">IFERROR((AC3069/AA3069),"-")</f>
        <v>-</v>
      </c>
      <c r="AE3069" s="2"/>
      <c r="AF3069" s="884">
        <v>0</v>
      </c>
      <c r="AG3069" s="884"/>
      <c r="AH3069" s="884">
        <v>0</v>
      </c>
      <c r="AI3069" s="884"/>
      <c r="AJ3069" s="884"/>
      <c r="AK3069" s="884">
        <f t="shared" ref="AK3069" si="12493">AF3069+AG3069+AH3069+AI3069+AJ3069+AC3069</f>
        <v>0</v>
      </c>
      <c r="AL3069" s="884">
        <v>0</v>
      </c>
      <c r="AM3069" s="878" t="str">
        <f t="shared" ref="AM3069" si="12494">IFERROR((AK3069/AL3069),"-")</f>
        <v>-</v>
      </c>
      <c r="AN3069" s="2"/>
      <c r="AO3069" s="884">
        <v>5941.22</v>
      </c>
      <c r="AP3069" s="884">
        <f t="shared" ref="AP3069" si="12495">AO3069-AK3069</f>
        <v>5941.22</v>
      </c>
      <c r="AV3069" t="str">
        <f t="shared" si="12273"/>
        <v>Revegetação - Hidrossemeadura</v>
      </c>
      <c r="AW3069" s="4" t="str">
        <f t="shared" si="12264"/>
        <v xml:space="preserve">   Revestimento vegetal por hidrossemeadura</v>
      </c>
    </row>
    <row r="3070" spans="1:49" ht="15.6" customHeight="1" outlineLevel="2">
      <c r="A3070" s="8" t="str">
        <f t="shared" ref="A3070" si="12496">A3069</f>
        <v>N</v>
      </c>
      <c r="B3070" s="150"/>
      <c r="C3070" s="150" t="s">
        <v>3504</v>
      </c>
      <c r="D3070" s="120" t="s">
        <v>3505</v>
      </c>
      <c r="E3070" s="893"/>
      <c r="F3070" s="895"/>
      <c r="G3070" s="528"/>
      <c r="H3070" s="549" t="s">
        <v>38</v>
      </c>
      <c r="I3070" s="711">
        <v>0</v>
      </c>
      <c r="J3070" s="897"/>
      <c r="K3070" s="528"/>
      <c r="L3070" s="549" t="s">
        <v>38</v>
      </c>
      <c r="M3070" s="711">
        <f t="shared" si="12471"/>
        <v>0</v>
      </c>
      <c r="N3070" s="897"/>
      <c r="O3070" s="528"/>
      <c r="P3070" s="548">
        <v>0</v>
      </c>
      <c r="Q3070" s="548">
        <v>0</v>
      </c>
      <c r="R3070" s="548">
        <v>0</v>
      </c>
      <c r="S3070" s="548">
        <v>0</v>
      </c>
      <c r="T3070" s="548">
        <v>0</v>
      </c>
      <c r="U3070" s="548">
        <v>0</v>
      </c>
      <c r="V3070" s="548"/>
      <c r="W3070" s="528"/>
      <c r="X3070" s="711">
        <f t="shared" si="12464"/>
        <v>0</v>
      </c>
      <c r="Y3070" s="897"/>
      <c r="Z3070" s="528"/>
      <c r="AA3070" s="899"/>
      <c r="AB3070" s="899"/>
      <c r="AC3070" s="899"/>
      <c r="AD3070" s="897"/>
      <c r="AE3070" s="2"/>
      <c r="AF3070" s="885"/>
      <c r="AG3070" s="885"/>
      <c r="AH3070" s="885"/>
      <c r="AI3070" s="885"/>
      <c r="AJ3070" s="885"/>
      <c r="AK3070" s="885"/>
      <c r="AL3070" s="885"/>
      <c r="AM3070" s="879"/>
      <c r="AN3070" s="2"/>
      <c r="AO3070" s="886"/>
      <c r="AP3070" s="886"/>
      <c r="AV3070" t="str">
        <f t="shared" si="12273"/>
        <v>Revegetação - Hidrossemeadura</v>
      </c>
      <c r="AW3070" s="4" t="str">
        <f t="shared" si="12264"/>
        <v xml:space="preserve">   Revestimento vegetal por hidrossemeadura</v>
      </c>
    </row>
    <row r="3071" spans="1:49" ht="15.6" customHeight="1" outlineLevel="2">
      <c r="A3071" s="8" t="str">
        <f t="shared" ref="A3071" si="12497">IF(SUM(P3071:V3072)&gt;0,"S","N")</f>
        <v>N</v>
      </c>
      <c r="B3071" s="150">
        <v>1068823</v>
      </c>
      <c r="C3071" s="150" t="s">
        <v>3506</v>
      </c>
      <c r="D3071" s="120" t="s">
        <v>3507</v>
      </c>
      <c r="E3071" s="892" t="s">
        <v>3302</v>
      </c>
      <c r="F3071" s="894" t="s">
        <v>3210</v>
      </c>
      <c r="G3071" s="528"/>
      <c r="H3071" s="546" t="s">
        <v>37</v>
      </c>
      <c r="I3071" s="711">
        <v>0</v>
      </c>
      <c r="J3071" s="896" t="str">
        <f t="shared" ref="J3071" si="12498">IFERROR((I3072/I3071),"-")</f>
        <v>-</v>
      </c>
      <c r="K3071" s="528"/>
      <c r="L3071" s="546" t="s">
        <v>37</v>
      </c>
      <c r="M3071" s="711">
        <f t="shared" si="12471"/>
        <v>0</v>
      </c>
      <c r="N3071" s="896" t="str">
        <f t="shared" ref="N3071" si="12499">IFERROR((M3072/M3071),"-")</f>
        <v>-</v>
      </c>
      <c r="O3071" s="528"/>
      <c r="P3071" s="547">
        <v>0</v>
      </c>
      <c r="Q3071" s="547">
        <v>0</v>
      </c>
      <c r="R3071" s="547">
        <v>0</v>
      </c>
      <c r="S3071" s="547">
        <v>0</v>
      </c>
      <c r="T3071" s="547">
        <v>0</v>
      </c>
      <c r="U3071" s="547">
        <v>0</v>
      </c>
      <c r="V3071" s="548">
        <v>0</v>
      </c>
      <c r="W3071" s="528"/>
      <c r="X3071" s="711">
        <f t="shared" si="12464"/>
        <v>0</v>
      </c>
      <c r="Y3071" s="896" t="str">
        <f t="shared" ref="Y3071" si="12500">IFERROR((X3072/X3071),"-")</f>
        <v>-</v>
      </c>
      <c r="Z3071" s="528"/>
      <c r="AA3071" s="898">
        <v>0</v>
      </c>
      <c r="AB3071" s="898">
        <v>0</v>
      </c>
      <c r="AC3071" s="898">
        <v>0</v>
      </c>
      <c r="AD3071" s="896" t="str">
        <f t="shared" ref="AD3071" si="12501">IFERROR((AC3071/AA3071),"-")</f>
        <v>-</v>
      </c>
      <c r="AE3071" s="2"/>
      <c r="AF3071" s="884">
        <v>0</v>
      </c>
      <c r="AG3071" s="884"/>
      <c r="AH3071" s="884">
        <v>0</v>
      </c>
      <c r="AI3071" s="884"/>
      <c r="AJ3071" s="884"/>
      <c r="AK3071" s="884">
        <f t="shared" ref="AK3071" si="12502">AF3071+AG3071+AH3071+AI3071+AJ3071+AC3071</f>
        <v>0</v>
      </c>
      <c r="AL3071" s="884">
        <v>0</v>
      </c>
      <c r="AM3071" s="878" t="str">
        <f t="shared" ref="AM3071" si="12503">IFERROR((AK3071/AL3071),"-")</f>
        <v>-</v>
      </c>
      <c r="AN3071" s="2"/>
      <c r="AO3071" s="884">
        <v>1638.97</v>
      </c>
      <c r="AP3071" s="884">
        <f t="shared" ref="AP3071" si="12504">AO3071-AK3071</f>
        <v>1638.97</v>
      </c>
      <c r="AV3071" t="str">
        <f t="shared" si="12273"/>
        <v>Revegetação - Hidrossemeadura</v>
      </c>
      <c r="AW3071" s="4" t="str">
        <f t="shared" si="12264"/>
        <v xml:space="preserve">   Revestimento vegetal por hidrossemeadura</v>
      </c>
    </row>
    <row r="3072" spans="1:49" ht="15.6" customHeight="1" outlineLevel="2">
      <c r="A3072" s="8" t="str">
        <f t="shared" ref="A3072" si="12505">A3071</f>
        <v>N</v>
      </c>
      <c r="B3072" s="150"/>
      <c r="C3072" s="150" t="s">
        <v>3506</v>
      </c>
      <c r="D3072" s="120" t="s">
        <v>3507</v>
      </c>
      <c r="E3072" s="893"/>
      <c r="F3072" s="895"/>
      <c r="G3072" s="528"/>
      <c r="H3072" s="549" t="s">
        <v>38</v>
      </c>
      <c r="I3072" s="711">
        <v>0</v>
      </c>
      <c r="J3072" s="897"/>
      <c r="K3072" s="528"/>
      <c r="L3072" s="549" t="s">
        <v>38</v>
      </c>
      <c r="M3072" s="711">
        <f t="shared" si="12471"/>
        <v>0</v>
      </c>
      <c r="N3072" s="897"/>
      <c r="O3072" s="528"/>
      <c r="P3072" s="548">
        <v>0</v>
      </c>
      <c r="Q3072" s="548">
        <v>0</v>
      </c>
      <c r="R3072" s="548">
        <v>0</v>
      </c>
      <c r="S3072" s="548">
        <v>0</v>
      </c>
      <c r="T3072" s="548">
        <v>0</v>
      </c>
      <c r="U3072" s="548">
        <v>0</v>
      </c>
      <c r="V3072" s="548"/>
      <c r="W3072" s="528"/>
      <c r="X3072" s="711">
        <f t="shared" si="12464"/>
        <v>0</v>
      </c>
      <c r="Y3072" s="897"/>
      <c r="Z3072" s="528"/>
      <c r="AA3072" s="899"/>
      <c r="AB3072" s="899"/>
      <c r="AC3072" s="899"/>
      <c r="AD3072" s="897"/>
      <c r="AE3072" s="2"/>
      <c r="AF3072" s="885"/>
      <c r="AG3072" s="885"/>
      <c r="AH3072" s="885"/>
      <c r="AI3072" s="885"/>
      <c r="AJ3072" s="885"/>
      <c r="AK3072" s="885"/>
      <c r="AL3072" s="885"/>
      <c r="AM3072" s="879"/>
      <c r="AN3072" s="2"/>
      <c r="AO3072" s="886"/>
      <c r="AP3072" s="886"/>
      <c r="AV3072" t="str">
        <f t="shared" si="12273"/>
        <v>Revegetação - Hidrossemeadura</v>
      </c>
      <c r="AW3072" s="4" t="str">
        <f t="shared" si="12264"/>
        <v xml:space="preserve">   Revestimento vegetal por hidrossemeadura</v>
      </c>
    </row>
    <row r="3073" spans="1:49" ht="15.6" customHeight="1" outlineLevel="2">
      <c r="A3073" s="8" t="str">
        <f t="shared" ref="A3073" si="12506">IF(SUM(P3073:V3074)&gt;0,"S","N")</f>
        <v>N</v>
      </c>
      <c r="B3073" s="150">
        <v>1068824</v>
      </c>
      <c r="C3073" s="150" t="s">
        <v>3508</v>
      </c>
      <c r="D3073" s="120" t="s">
        <v>3509</v>
      </c>
      <c r="E3073" s="892" t="s">
        <v>3302</v>
      </c>
      <c r="F3073" s="894" t="s">
        <v>3210</v>
      </c>
      <c r="G3073" s="528"/>
      <c r="H3073" s="546" t="s">
        <v>37</v>
      </c>
      <c r="I3073" s="711">
        <v>0</v>
      </c>
      <c r="J3073" s="896" t="str">
        <f t="shared" ref="J3073" si="12507">IFERROR((I3074/I3073),"-")</f>
        <v>-</v>
      </c>
      <c r="K3073" s="528"/>
      <c r="L3073" s="546" t="s">
        <v>37</v>
      </c>
      <c r="M3073" s="711">
        <f t="shared" si="12471"/>
        <v>0</v>
      </c>
      <c r="N3073" s="896" t="str">
        <f t="shared" ref="N3073" si="12508">IFERROR((M3074/M3073),"-")</f>
        <v>-</v>
      </c>
      <c r="O3073" s="528"/>
      <c r="P3073" s="547">
        <v>0</v>
      </c>
      <c r="Q3073" s="547">
        <v>0</v>
      </c>
      <c r="R3073" s="547">
        <v>0</v>
      </c>
      <c r="S3073" s="547">
        <v>0</v>
      </c>
      <c r="T3073" s="547">
        <v>0</v>
      </c>
      <c r="U3073" s="547">
        <v>0</v>
      </c>
      <c r="V3073" s="548">
        <v>0</v>
      </c>
      <c r="W3073" s="528"/>
      <c r="X3073" s="711">
        <f t="shared" si="12464"/>
        <v>0</v>
      </c>
      <c r="Y3073" s="896" t="str">
        <f t="shared" ref="Y3073" si="12509">IFERROR((X3074/X3073),"-")</f>
        <v>-</v>
      </c>
      <c r="Z3073" s="528"/>
      <c r="AA3073" s="898">
        <v>0</v>
      </c>
      <c r="AB3073" s="898">
        <v>0</v>
      </c>
      <c r="AC3073" s="898">
        <v>0</v>
      </c>
      <c r="AD3073" s="896" t="str">
        <f t="shared" ref="AD3073" si="12510">IFERROR((AC3073/AA3073),"-")</f>
        <v>-</v>
      </c>
      <c r="AE3073" s="2"/>
      <c r="AF3073" s="884">
        <v>0</v>
      </c>
      <c r="AG3073" s="884"/>
      <c r="AH3073" s="884">
        <v>0</v>
      </c>
      <c r="AI3073" s="884"/>
      <c r="AJ3073" s="884"/>
      <c r="AK3073" s="884">
        <f t="shared" ref="AK3073" si="12511">AF3073+AG3073+AH3073+AI3073+AJ3073+AC3073</f>
        <v>0</v>
      </c>
      <c r="AL3073" s="884">
        <v>0</v>
      </c>
      <c r="AM3073" s="878" t="str">
        <f t="shared" ref="AM3073" si="12512">IFERROR((AK3073/AL3073),"-")</f>
        <v>-</v>
      </c>
      <c r="AN3073" s="2"/>
      <c r="AO3073" s="884">
        <v>9936.56</v>
      </c>
      <c r="AP3073" s="884">
        <f t="shared" ref="AP3073" si="12513">AO3073-AK3073</f>
        <v>9936.56</v>
      </c>
      <c r="AV3073" t="str">
        <f t="shared" si="12273"/>
        <v>Revegetação - Hidrossemeadura</v>
      </c>
      <c r="AW3073" s="4" t="str">
        <f t="shared" si="12264"/>
        <v xml:space="preserve">   Revestimento vegetal por hidrossemeadura</v>
      </c>
    </row>
    <row r="3074" spans="1:49" ht="15.6" customHeight="1" outlineLevel="2">
      <c r="A3074" s="8" t="str">
        <f t="shared" ref="A3074" si="12514">A3073</f>
        <v>N</v>
      </c>
      <c r="B3074" s="150"/>
      <c r="C3074" s="150" t="s">
        <v>3508</v>
      </c>
      <c r="D3074" s="120" t="s">
        <v>3509</v>
      </c>
      <c r="E3074" s="893"/>
      <c r="F3074" s="895"/>
      <c r="G3074" s="528"/>
      <c r="H3074" s="549" t="s">
        <v>38</v>
      </c>
      <c r="I3074" s="711">
        <v>0</v>
      </c>
      <c r="J3074" s="897"/>
      <c r="K3074" s="528"/>
      <c r="L3074" s="549" t="s">
        <v>38</v>
      </c>
      <c r="M3074" s="711">
        <f t="shared" si="12471"/>
        <v>0</v>
      </c>
      <c r="N3074" s="897"/>
      <c r="O3074" s="528"/>
      <c r="P3074" s="548">
        <v>0</v>
      </c>
      <c r="Q3074" s="548">
        <v>0</v>
      </c>
      <c r="R3074" s="548">
        <v>0</v>
      </c>
      <c r="S3074" s="548">
        <v>0</v>
      </c>
      <c r="T3074" s="548">
        <v>0</v>
      </c>
      <c r="U3074" s="548">
        <v>0</v>
      </c>
      <c r="V3074" s="548"/>
      <c r="W3074" s="528"/>
      <c r="X3074" s="711">
        <f t="shared" si="12464"/>
        <v>0</v>
      </c>
      <c r="Y3074" s="897"/>
      <c r="Z3074" s="528"/>
      <c r="AA3074" s="899"/>
      <c r="AB3074" s="899"/>
      <c r="AC3074" s="899"/>
      <c r="AD3074" s="897"/>
      <c r="AE3074" s="2"/>
      <c r="AF3074" s="885"/>
      <c r="AG3074" s="885"/>
      <c r="AH3074" s="885"/>
      <c r="AI3074" s="885"/>
      <c r="AJ3074" s="885"/>
      <c r="AK3074" s="885"/>
      <c r="AL3074" s="885"/>
      <c r="AM3074" s="879"/>
      <c r="AN3074" s="2"/>
      <c r="AO3074" s="886"/>
      <c r="AP3074" s="886"/>
      <c r="AV3074" t="str">
        <f t="shared" si="12273"/>
        <v>Revegetação - Hidrossemeadura</v>
      </c>
      <c r="AW3074" s="4" t="str">
        <f t="shared" si="12264"/>
        <v xml:space="preserve">   Revestimento vegetal por hidrossemeadura</v>
      </c>
    </row>
    <row r="3075" spans="1:49" ht="15.6" customHeight="1" outlineLevel="2">
      <c r="A3075" s="8" t="str">
        <f t="shared" ref="A3075" si="12515">IF(SUM(P3075:V3076)&gt;0,"S","N")</f>
        <v>N</v>
      </c>
      <c r="B3075" s="150">
        <v>1068825</v>
      </c>
      <c r="C3075" s="150" t="s">
        <v>3510</v>
      </c>
      <c r="D3075" s="120" t="s">
        <v>3511</v>
      </c>
      <c r="E3075" s="892" t="s">
        <v>3302</v>
      </c>
      <c r="F3075" s="894" t="s">
        <v>3210</v>
      </c>
      <c r="G3075" s="528"/>
      <c r="H3075" s="546" t="s">
        <v>37</v>
      </c>
      <c r="I3075" s="711">
        <v>0</v>
      </c>
      <c r="J3075" s="896" t="str">
        <f t="shared" ref="J3075" si="12516">IFERROR((I3076/I3075),"-")</f>
        <v>-</v>
      </c>
      <c r="K3075" s="528"/>
      <c r="L3075" s="546" t="s">
        <v>37</v>
      </c>
      <c r="M3075" s="711">
        <f t="shared" si="12471"/>
        <v>0</v>
      </c>
      <c r="N3075" s="896" t="str">
        <f t="shared" ref="N3075" si="12517">IFERROR((M3076/M3075),"-")</f>
        <v>-</v>
      </c>
      <c r="O3075" s="528"/>
      <c r="P3075" s="547">
        <v>0</v>
      </c>
      <c r="Q3075" s="547">
        <v>0</v>
      </c>
      <c r="R3075" s="547">
        <v>0</v>
      </c>
      <c r="S3075" s="547">
        <v>0</v>
      </c>
      <c r="T3075" s="547">
        <v>0</v>
      </c>
      <c r="U3075" s="547">
        <v>0</v>
      </c>
      <c r="V3075" s="548">
        <v>0</v>
      </c>
      <c r="W3075" s="528"/>
      <c r="X3075" s="711">
        <f t="shared" si="12464"/>
        <v>0</v>
      </c>
      <c r="Y3075" s="896" t="str">
        <f t="shared" ref="Y3075" si="12518">IFERROR((X3076/X3075),"-")</f>
        <v>-</v>
      </c>
      <c r="Z3075" s="528"/>
      <c r="AA3075" s="898">
        <v>0</v>
      </c>
      <c r="AB3075" s="898">
        <v>0</v>
      </c>
      <c r="AC3075" s="898">
        <v>0</v>
      </c>
      <c r="AD3075" s="896" t="str">
        <f t="shared" ref="AD3075" si="12519">IFERROR((AC3075/AA3075),"-")</f>
        <v>-</v>
      </c>
      <c r="AE3075" s="2"/>
      <c r="AF3075" s="884">
        <v>0</v>
      </c>
      <c r="AG3075" s="884"/>
      <c r="AH3075" s="884">
        <v>0</v>
      </c>
      <c r="AI3075" s="884"/>
      <c r="AJ3075" s="884"/>
      <c r="AK3075" s="884">
        <f t="shared" ref="AK3075" si="12520">AF3075+AG3075+AH3075+AI3075+AJ3075+AC3075</f>
        <v>0</v>
      </c>
      <c r="AL3075" s="884">
        <v>0</v>
      </c>
      <c r="AM3075" s="878" t="str">
        <f t="shared" ref="AM3075" si="12521">IFERROR((AK3075/AL3075),"-")</f>
        <v>-</v>
      </c>
      <c r="AN3075" s="2"/>
      <c r="AO3075" s="884">
        <v>144421.25</v>
      </c>
      <c r="AP3075" s="884">
        <f t="shared" ref="AP3075" si="12522">AO3075-AK3075</f>
        <v>144421.25</v>
      </c>
      <c r="AV3075" t="str">
        <f t="shared" si="12273"/>
        <v>Revegetação - Hidrossemeadura</v>
      </c>
      <c r="AW3075" s="4" t="str">
        <f t="shared" si="12264"/>
        <v xml:space="preserve">   Revestimento vegetal por hidrossemeadura</v>
      </c>
    </row>
    <row r="3076" spans="1:49" ht="15.6" customHeight="1" outlineLevel="2">
      <c r="A3076" s="8" t="str">
        <f t="shared" ref="A3076" si="12523">A3075</f>
        <v>N</v>
      </c>
      <c r="B3076" s="150"/>
      <c r="C3076" s="150" t="s">
        <v>3510</v>
      </c>
      <c r="D3076" s="120" t="s">
        <v>3511</v>
      </c>
      <c r="E3076" s="893"/>
      <c r="F3076" s="895"/>
      <c r="G3076" s="528"/>
      <c r="H3076" s="549" t="s">
        <v>38</v>
      </c>
      <c r="I3076" s="711">
        <v>0</v>
      </c>
      <c r="J3076" s="897"/>
      <c r="K3076" s="528"/>
      <c r="L3076" s="549" t="s">
        <v>38</v>
      </c>
      <c r="M3076" s="711">
        <f t="shared" si="12471"/>
        <v>0</v>
      </c>
      <c r="N3076" s="897"/>
      <c r="O3076" s="528"/>
      <c r="P3076" s="548">
        <v>0</v>
      </c>
      <c r="Q3076" s="548">
        <v>0</v>
      </c>
      <c r="R3076" s="548">
        <v>0</v>
      </c>
      <c r="S3076" s="548">
        <v>0</v>
      </c>
      <c r="T3076" s="548">
        <v>0</v>
      </c>
      <c r="U3076" s="548">
        <v>0</v>
      </c>
      <c r="V3076" s="548"/>
      <c r="W3076" s="528"/>
      <c r="X3076" s="711">
        <f t="shared" si="12464"/>
        <v>0</v>
      </c>
      <c r="Y3076" s="897"/>
      <c r="Z3076" s="528"/>
      <c r="AA3076" s="899"/>
      <c r="AB3076" s="899"/>
      <c r="AC3076" s="899"/>
      <c r="AD3076" s="897"/>
      <c r="AE3076" s="2"/>
      <c r="AF3076" s="885"/>
      <c r="AG3076" s="885"/>
      <c r="AH3076" s="885"/>
      <c r="AI3076" s="885"/>
      <c r="AJ3076" s="885"/>
      <c r="AK3076" s="885"/>
      <c r="AL3076" s="885"/>
      <c r="AM3076" s="879"/>
      <c r="AN3076" s="2"/>
      <c r="AO3076" s="886"/>
      <c r="AP3076" s="886"/>
      <c r="AV3076" t="str">
        <f t="shared" si="12273"/>
        <v>Revegetação - Hidrossemeadura</v>
      </c>
      <c r="AW3076" s="4" t="str">
        <f t="shared" si="12264"/>
        <v xml:space="preserve">   Revestimento vegetal por hidrossemeadura</v>
      </c>
    </row>
    <row r="3077" spans="1:49" ht="15.6" customHeight="1" outlineLevel="2">
      <c r="A3077" s="8" t="str">
        <f t="shared" ref="A3077" si="12524">IF(SUM(P3077:V3078)&gt;0,"S","N")</f>
        <v>N</v>
      </c>
      <c r="B3077" s="150">
        <v>1068826</v>
      </c>
      <c r="C3077" s="150" t="s">
        <v>3512</v>
      </c>
      <c r="D3077" s="120" t="s">
        <v>3513</v>
      </c>
      <c r="E3077" s="892" t="s">
        <v>3302</v>
      </c>
      <c r="F3077" s="894" t="s">
        <v>3210</v>
      </c>
      <c r="G3077" s="528"/>
      <c r="H3077" s="546" t="s">
        <v>37</v>
      </c>
      <c r="I3077" s="711">
        <v>0</v>
      </c>
      <c r="J3077" s="896" t="str">
        <f t="shared" ref="J3077" si="12525">IFERROR((I3078/I3077),"-")</f>
        <v>-</v>
      </c>
      <c r="K3077" s="528"/>
      <c r="L3077" s="546" t="s">
        <v>37</v>
      </c>
      <c r="M3077" s="711">
        <f t="shared" si="12471"/>
        <v>0</v>
      </c>
      <c r="N3077" s="896" t="str">
        <f t="shared" ref="N3077" si="12526">IFERROR((M3078/M3077),"-")</f>
        <v>-</v>
      </c>
      <c r="O3077" s="528"/>
      <c r="P3077" s="547">
        <v>0</v>
      </c>
      <c r="Q3077" s="547">
        <v>0</v>
      </c>
      <c r="R3077" s="547">
        <v>0</v>
      </c>
      <c r="S3077" s="547">
        <v>0</v>
      </c>
      <c r="T3077" s="547">
        <v>0</v>
      </c>
      <c r="U3077" s="547">
        <v>0</v>
      </c>
      <c r="V3077" s="548">
        <v>0</v>
      </c>
      <c r="W3077" s="528"/>
      <c r="X3077" s="711">
        <f t="shared" si="12464"/>
        <v>0</v>
      </c>
      <c r="Y3077" s="896" t="str">
        <f t="shared" ref="Y3077" si="12527">IFERROR((X3078/X3077),"-")</f>
        <v>-</v>
      </c>
      <c r="Z3077" s="528"/>
      <c r="AA3077" s="898">
        <v>0</v>
      </c>
      <c r="AB3077" s="898">
        <v>0</v>
      </c>
      <c r="AC3077" s="898">
        <v>0</v>
      </c>
      <c r="AD3077" s="896" t="str">
        <f t="shared" ref="AD3077" si="12528">IFERROR((AC3077/AA3077),"-")</f>
        <v>-</v>
      </c>
      <c r="AE3077" s="2"/>
      <c r="AF3077" s="884">
        <v>0</v>
      </c>
      <c r="AG3077" s="884"/>
      <c r="AH3077" s="884">
        <v>0</v>
      </c>
      <c r="AI3077" s="884"/>
      <c r="AJ3077" s="884"/>
      <c r="AK3077" s="884">
        <f t="shared" ref="AK3077" si="12529">AF3077+AG3077+AH3077+AI3077+AJ3077+AC3077</f>
        <v>0</v>
      </c>
      <c r="AL3077" s="884">
        <v>0</v>
      </c>
      <c r="AM3077" s="878" t="str">
        <f t="shared" ref="AM3077" si="12530">IFERROR((AK3077/AL3077),"-")</f>
        <v>-</v>
      </c>
      <c r="AN3077" s="2"/>
      <c r="AO3077" s="884">
        <v>326.87</v>
      </c>
      <c r="AP3077" s="884">
        <f t="shared" ref="AP3077" si="12531">AO3077-AK3077</f>
        <v>326.87</v>
      </c>
      <c r="AV3077" t="str">
        <f t="shared" si="12273"/>
        <v>Revegetação - Hidrossemeadura</v>
      </c>
      <c r="AW3077" s="4" t="str">
        <f t="shared" si="12264"/>
        <v xml:space="preserve">   Revestimento vegetal por hidrossemeadura</v>
      </c>
    </row>
    <row r="3078" spans="1:49" ht="15.6" customHeight="1" outlineLevel="2">
      <c r="A3078" s="8" t="str">
        <f t="shared" ref="A3078" si="12532">A3077</f>
        <v>N</v>
      </c>
      <c r="B3078" s="150"/>
      <c r="C3078" s="150" t="s">
        <v>3512</v>
      </c>
      <c r="D3078" s="120" t="s">
        <v>3513</v>
      </c>
      <c r="E3078" s="893"/>
      <c r="F3078" s="895"/>
      <c r="G3078" s="528"/>
      <c r="H3078" s="549" t="s">
        <v>38</v>
      </c>
      <c r="I3078" s="711">
        <v>0</v>
      </c>
      <c r="J3078" s="897"/>
      <c r="K3078" s="528"/>
      <c r="L3078" s="549" t="s">
        <v>38</v>
      </c>
      <c r="M3078" s="711">
        <f t="shared" si="12471"/>
        <v>0</v>
      </c>
      <c r="N3078" s="897"/>
      <c r="O3078" s="528"/>
      <c r="P3078" s="548">
        <v>0</v>
      </c>
      <c r="Q3078" s="548">
        <v>0</v>
      </c>
      <c r="R3078" s="548">
        <v>0</v>
      </c>
      <c r="S3078" s="548">
        <v>0</v>
      </c>
      <c r="T3078" s="548">
        <v>0</v>
      </c>
      <c r="U3078" s="548">
        <v>0</v>
      </c>
      <c r="V3078" s="548"/>
      <c r="W3078" s="528"/>
      <c r="X3078" s="711">
        <f t="shared" si="12464"/>
        <v>0</v>
      </c>
      <c r="Y3078" s="897"/>
      <c r="Z3078" s="528"/>
      <c r="AA3078" s="899"/>
      <c r="AB3078" s="899"/>
      <c r="AC3078" s="899"/>
      <c r="AD3078" s="897"/>
      <c r="AE3078" s="2"/>
      <c r="AF3078" s="885"/>
      <c r="AG3078" s="885"/>
      <c r="AH3078" s="885"/>
      <c r="AI3078" s="885"/>
      <c r="AJ3078" s="885"/>
      <c r="AK3078" s="885"/>
      <c r="AL3078" s="885"/>
      <c r="AM3078" s="879"/>
      <c r="AN3078" s="2"/>
      <c r="AO3078" s="886"/>
      <c r="AP3078" s="886"/>
      <c r="AV3078" t="str">
        <f t="shared" si="12273"/>
        <v>Revegetação - Hidrossemeadura</v>
      </c>
      <c r="AW3078" s="4" t="str">
        <f t="shared" si="12264"/>
        <v xml:space="preserve">   Revestimento vegetal por hidrossemeadura</v>
      </c>
    </row>
    <row r="3079" spans="1:49" ht="15.6" customHeight="1" outlineLevel="2">
      <c r="A3079" s="8" t="str">
        <f t="shared" ref="A3079" si="12533">IF(SUM(P3079:V3080)&gt;0,"S","N")</f>
        <v>N</v>
      </c>
      <c r="B3079" s="150">
        <v>1068827</v>
      </c>
      <c r="C3079" s="150" t="s">
        <v>3514</v>
      </c>
      <c r="D3079" s="120" t="s">
        <v>3515</v>
      </c>
      <c r="E3079" s="892" t="s">
        <v>3302</v>
      </c>
      <c r="F3079" s="894" t="s">
        <v>3210</v>
      </c>
      <c r="G3079" s="528"/>
      <c r="H3079" s="546" t="s">
        <v>37</v>
      </c>
      <c r="I3079" s="711">
        <v>0</v>
      </c>
      <c r="J3079" s="896" t="str">
        <f t="shared" ref="J3079" si="12534">IFERROR((I3080/I3079),"-")</f>
        <v>-</v>
      </c>
      <c r="K3079" s="528"/>
      <c r="L3079" s="546" t="s">
        <v>37</v>
      </c>
      <c r="M3079" s="711">
        <f t="shared" si="12471"/>
        <v>0</v>
      </c>
      <c r="N3079" s="896" t="str">
        <f t="shared" ref="N3079" si="12535">IFERROR((M3080/M3079),"-")</f>
        <v>-</v>
      </c>
      <c r="O3079" s="528"/>
      <c r="P3079" s="547">
        <v>0</v>
      </c>
      <c r="Q3079" s="547">
        <v>0</v>
      </c>
      <c r="R3079" s="547">
        <v>0</v>
      </c>
      <c r="S3079" s="547">
        <v>0</v>
      </c>
      <c r="T3079" s="547">
        <v>0</v>
      </c>
      <c r="U3079" s="547">
        <v>0</v>
      </c>
      <c r="V3079" s="548">
        <v>0</v>
      </c>
      <c r="W3079" s="528"/>
      <c r="X3079" s="711">
        <f t="shared" si="12464"/>
        <v>0</v>
      </c>
      <c r="Y3079" s="896" t="str">
        <f t="shared" ref="Y3079" si="12536">IFERROR((X3080/X3079),"-")</f>
        <v>-</v>
      </c>
      <c r="Z3079" s="528"/>
      <c r="AA3079" s="898">
        <v>0</v>
      </c>
      <c r="AB3079" s="898">
        <v>0</v>
      </c>
      <c r="AC3079" s="898">
        <v>0</v>
      </c>
      <c r="AD3079" s="896" t="str">
        <f t="shared" ref="AD3079" si="12537">IFERROR((AC3079/AA3079),"-")</f>
        <v>-</v>
      </c>
      <c r="AE3079" s="2"/>
      <c r="AF3079" s="884">
        <v>0</v>
      </c>
      <c r="AG3079" s="884"/>
      <c r="AH3079" s="884">
        <v>0</v>
      </c>
      <c r="AI3079" s="884"/>
      <c r="AJ3079" s="884"/>
      <c r="AK3079" s="884">
        <f t="shared" ref="AK3079" si="12538">AF3079+AG3079+AH3079+AI3079+AJ3079+AC3079</f>
        <v>0</v>
      </c>
      <c r="AL3079" s="884">
        <v>0</v>
      </c>
      <c r="AM3079" s="878" t="str">
        <f t="shared" ref="AM3079" si="12539">IFERROR((AK3079/AL3079),"-")</f>
        <v>-</v>
      </c>
      <c r="AN3079" s="2"/>
      <c r="AO3079" s="884">
        <v>593.80999999999995</v>
      </c>
      <c r="AP3079" s="884">
        <f t="shared" ref="AP3079" si="12540">AO3079-AK3079</f>
        <v>593.80999999999995</v>
      </c>
      <c r="AV3079" t="str">
        <f t="shared" si="12273"/>
        <v>Revegetação - Hidrossemeadura</v>
      </c>
      <c r="AW3079" s="4" t="str">
        <f t="shared" si="12264"/>
        <v xml:space="preserve">   Revestimento vegetal por hidrossemeadura</v>
      </c>
    </row>
    <row r="3080" spans="1:49" ht="15.6" customHeight="1" outlineLevel="2">
      <c r="A3080" s="8" t="str">
        <f t="shared" ref="A3080" si="12541">A3079</f>
        <v>N</v>
      </c>
      <c r="B3080" s="150"/>
      <c r="C3080" s="150" t="s">
        <v>3514</v>
      </c>
      <c r="D3080" s="120" t="s">
        <v>3515</v>
      </c>
      <c r="E3080" s="893"/>
      <c r="F3080" s="895"/>
      <c r="G3080" s="528"/>
      <c r="H3080" s="549" t="s">
        <v>38</v>
      </c>
      <c r="I3080" s="711">
        <v>0</v>
      </c>
      <c r="J3080" s="897"/>
      <c r="K3080" s="528"/>
      <c r="L3080" s="549" t="s">
        <v>38</v>
      </c>
      <c r="M3080" s="711">
        <f t="shared" si="12471"/>
        <v>0</v>
      </c>
      <c r="N3080" s="897"/>
      <c r="O3080" s="528"/>
      <c r="P3080" s="548">
        <v>0</v>
      </c>
      <c r="Q3080" s="548">
        <v>0</v>
      </c>
      <c r="R3080" s="548">
        <v>0</v>
      </c>
      <c r="S3080" s="548">
        <v>0</v>
      </c>
      <c r="T3080" s="548">
        <v>0</v>
      </c>
      <c r="U3080" s="548">
        <v>0</v>
      </c>
      <c r="V3080" s="548"/>
      <c r="W3080" s="528"/>
      <c r="X3080" s="711">
        <f t="shared" si="12464"/>
        <v>0</v>
      </c>
      <c r="Y3080" s="897"/>
      <c r="Z3080" s="528"/>
      <c r="AA3080" s="899"/>
      <c r="AB3080" s="899"/>
      <c r="AC3080" s="899"/>
      <c r="AD3080" s="897"/>
      <c r="AE3080" s="2"/>
      <c r="AF3080" s="885"/>
      <c r="AG3080" s="885"/>
      <c r="AH3080" s="885"/>
      <c r="AI3080" s="885"/>
      <c r="AJ3080" s="885"/>
      <c r="AK3080" s="885"/>
      <c r="AL3080" s="885"/>
      <c r="AM3080" s="879"/>
      <c r="AN3080" s="2"/>
      <c r="AO3080" s="886"/>
      <c r="AP3080" s="886"/>
      <c r="AV3080" t="str">
        <f t="shared" si="12273"/>
        <v>Revegetação - Hidrossemeadura</v>
      </c>
      <c r="AW3080" s="4" t="str">
        <f t="shared" si="12264"/>
        <v xml:space="preserve">   Revestimento vegetal por hidrossemeadura</v>
      </c>
    </row>
    <row r="3081" spans="1:49" ht="15.6" customHeight="1" outlineLevel="2">
      <c r="A3081" s="8" t="str">
        <f t="shared" ref="A3081" si="12542">IF(SUM(P3081:V3082)&gt;0,"S","N")</f>
        <v>N</v>
      </c>
      <c r="B3081" s="150">
        <v>1068828</v>
      </c>
      <c r="C3081" s="150" t="s">
        <v>3516</v>
      </c>
      <c r="D3081" s="120" t="s">
        <v>3517</v>
      </c>
      <c r="E3081" s="892" t="s">
        <v>3302</v>
      </c>
      <c r="F3081" s="894" t="s">
        <v>3210</v>
      </c>
      <c r="G3081" s="528"/>
      <c r="H3081" s="546" t="s">
        <v>37</v>
      </c>
      <c r="I3081" s="711">
        <v>0</v>
      </c>
      <c r="J3081" s="896" t="str">
        <f t="shared" ref="J3081" si="12543">IFERROR((I3082/I3081),"-")</f>
        <v>-</v>
      </c>
      <c r="K3081" s="528"/>
      <c r="L3081" s="546" t="s">
        <v>37</v>
      </c>
      <c r="M3081" s="711">
        <f t="shared" si="12471"/>
        <v>0</v>
      </c>
      <c r="N3081" s="896" t="str">
        <f t="shared" ref="N3081" si="12544">IFERROR((M3082/M3081),"-")</f>
        <v>-</v>
      </c>
      <c r="O3081" s="528"/>
      <c r="P3081" s="547">
        <v>0</v>
      </c>
      <c r="Q3081" s="547">
        <v>0</v>
      </c>
      <c r="R3081" s="547">
        <v>0</v>
      </c>
      <c r="S3081" s="547">
        <v>0</v>
      </c>
      <c r="T3081" s="547">
        <v>0</v>
      </c>
      <c r="U3081" s="547">
        <v>0</v>
      </c>
      <c r="V3081" s="548">
        <v>0</v>
      </c>
      <c r="W3081" s="528"/>
      <c r="X3081" s="711">
        <f t="shared" si="12464"/>
        <v>0</v>
      </c>
      <c r="Y3081" s="896" t="str">
        <f t="shared" ref="Y3081" si="12545">IFERROR((X3082/X3081),"-")</f>
        <v>-</v>
      </c>
      <c r="Z3081" s="528"/>
      <c r="AA3081" s="898">
        <v>0</v>
      </c>
      <c r="AB3081" s="898">
        <v>0</v>
      </c>
      <c r="AC3081" s="898">
        <v>0</v>
      </c>
      <c r="AD3081" s="896" t="str">
        <f t="shared" ref="AD3081" si="12546">IFERROR((AC3081/AA3081),"-")</f>
        <v>-</v>
      </c>
      <c r="AE3081" s="2"/>
      <c r="AF3081" s="884">
        <v>0</v>
      </c>
      <c r="AG3081" s="884"/>
      <c r="AH3081" s="884">
        <v>0</v>
      </c>
      <c r="AI3081" s="884"/>
      <c r="AJ3081" s="884"/>
      <c r="AK3081" s="884">
        <f t="shared" ref="AK3081" si="12547">AF3081+AG3081+AH3081+AI3081+AJ3081+AC3081</f>
        <v>0</v>
      </c>
      <c r="AL3081" s="884">
        <v>0</v>
      </c>
      <c r="AM3081" s="878" t="str">
        <f t="shared" ref="AM3081" si="12548">IFERROR((AK3081/AL3081),"-")</f>
        <v>-</v>
      </c>
      <c r="AN3081" s="2"/>
      <c r="AO3081" s="884">
        <v>534.76</v>
      </c>
      <c r="AP3081" s="884">
        <f t="shared" ref="AP3081" si="12549">AO3081-AK3081</f>
        <v>534.76</v>
      </c>
      <c r="AV3081" t="str">
        <f t="shared" si="12273"/>
        <v>Revegetação - Hidrossemeadura</v>
      </c>
      <c r="AW3081" s="4" t="str">
        <f t="shared" ref="AW3081:AW3144" si="12550">IF(E3081&lt;&gt;"",E3081,AW3080)</f>
        <v xml:space="preserve">   Revestimento vegetal por hidrossemeadura</v>
      </c>
    </row>
    <row r="3082" spans="1:49" ht="15.6" customHeight="1" outlineLevel="2">
      <c r="A3082" s="8" t="str">
        <f t="shared" ref="A3082" si="12551">A3081</f>
        <v>N</v>
      </c>
      <c r="B3082" s="150"/>
      <c r="C3082" s="150" t="s">
        <v>3516</v>
      </c>
      <c r="D3082" s="120" t="s">
        <v>3517</v>
      </c>
      <c r="E3082" s="893"/>
      <c r="F3082" s="895"/>
      <c r="G3082" s="528"/>
      <c r="H3082" s="549" t="s">
        <v>38</v>
      </c>
      <c r="I3082" s="711">
        <v>0</v>
      </c>
      <c r="J3082" s="897"/>
      <c r="K3082" s="528"/>
      <c r="L3082" s="549" t="s">
        <v>38</v>
      </c>
      <c r="M3082" s="711">
        <f t="shared" si="12471"/>
        <v>0</v>
      </c>
      <c r="N3082" s="897"/>
      <c r="O3082" s="528"/>
      <c r="P3082" s="548">
        <v>0</v>
      </c>
      <c r="Q3082" s="548">
        <v>0</v>
      </c>
      <c r="R3082" s="548">
        <v>0</v>
      </c>
      <c r="S3082" s="548">
        <v>0</v>
      </c>
      <c r="T3082" s="548">
        <v>0</v>
      </c>
      <c r="U3082" s="548">
        <v>0</v>
      </c>
      <c r="V3082" s="548"/>
      <c r="W3082" s="528"/>
      <c r="X3082" s="711">
        <f t="shared" si="12464"/>
        <v>0</v>
      </c>
      <c r="Y3082" s="897"/>
      <c r="Z3082" s="528"/>
      <c r="AA3082" s="899"/>
      <c r="AB3082" s="899"/>
      <c r="AC3082" s="899"/>
      <c r="AD3082" s="897"/>
      <c r="AE3082" s="2"/>
      <c r="AF3082" s="885"/>
      <c r="AG3082" s="885"/>
      <c r="AH3082" s="885"/>
      <c r="AI3082" s="885"/>
      <c r="AJ3082" s="885"/>
      <c r="AK3082" s="885"/>
      <c r="AL3082" s="885"/>
      <c r="AM3082" s="879"/>
      <c r="AN3082" s="2"/>
      <c r="AO3082" s="886"/>
      <c r="AP3082" s="886"/>
      <c r="AV3082" t="str">
        <f t="shared" ref="AV3082:AV3145" si="12552">IF(AX3082="Y",LEFT(E3082,20),IF(AX3082="x",E3082,AV3081))</f>
        <v>Revegetação - Hidrossemeadura</v>
      </c>
      <c r="AW3082" s="4" t="str">
        <f t="shared" si="12550"/>
        <v xml:space="preserve">   Revestimento vegetal por hidrossemeadura</v>
      </c>
    </row>
    <row r="3083" spans="1:49" ht="15.6" customHeight="1" outlineLevel="2">
      <c r="A3083" s="8" t="str">
        <f t="shared" ref="A3083" si="12553">IF(SUM(P3083:V3084)&gt;0,"S","N")</f>
        <v>N</v>
      </c>
      <c r="B3083" s="150">
        <v>1068829</v>
      </c>
      <c r="C3083" s="150" t="s">
        <v>3518</v>
      </c>
      <c r="D3083" s="120" t="s">
        <v>3519</v>
      </c>
      <c r="E3083" s="892" t="s">
        <v>3302</v>
      </c>
      <c r="F3083" s="894" t="s">
        <v>3210</v>
      </c>
      <c r="G3083" s="528"/>
      <c r="H3083" s="546" t="s">
        <v>37</v>
      </c>
      <c r="I3083" s="711">
        <v>0</v>
      </c>
      <c r="J3083" s="896" t="str">
        <f t="shared" ref="J3083" si="12554">IFERROR((I3084/I3083),"-")</f>
        <v>-</v>
      </c>
      <c r="K3083" s="528"/>
      <c r="L3083" s="546" t="s">
        <v>37</v>
      </c>
      <c r="M3083" s="711">
        <f t="shared" si="12471"/>
        <v>0</v>
      </c>
      <c r="N3083" s="896" t="str">
        <f t="shared" ref="N3083" si="12555">IFERROR((M3084/M3083),"-")</f>
        <v>-</v>
      </c>
      <c r="O3083" s="528"/>
      <c r="P3083" s="547">
        <v>0</v>
      </c>
      <c r="Q3083" s="547">
        <v>0</v>
      </c>
      <c r="R3083" s="547">
        <v>0</v>
      </c>
      <c r="S3083" s="547">
        <v>0</v>
      </c>
      <c r="T3083" s="547">
        <v>0</v>
      </c>
      <c r="U3083" s="547">
        <v>0</v>
      </c>
      <c r="V3083" s="548">
        <v>0</v>
      </c>
      <c r="W3083" s="528"/>
      <c r="X3083" s="711">
        <f t="shared" si="12464"/>
        <v>0</v>
      </c>
      <c r="Y3083" s="896" t="str">
        <f t="shared" ref="Y3083" si="12556">IFERROR((X3084/X3083),"-")</f>
        <v>-</v>
      </c>
      <c r="Z3083" s="528"/>
      <c r="AA3083" s="898">
        <v>0</v>
      </c>
      <c r="AB3083" s="898">
        <v>0</v>
      </c>
      <c r="AC3083" s="898">
        <v>0</v>
      </c>
      <c r="AD3083" s="896" t="str">
        <f t="shared" ref="AD3083" si="12557">IFERROR((AC3083/AA3083),"-")</f>
        <v>-</v>
      </c>
      <c r="AE3083" s="2"/>
      <c r="AF3083" s="884">
        <v>0</v>
      </c>
      <c r="AG3083" s="884"/>
      <c r="AH3083" s="884">
        <v>0</v>
      </c>
      <c r="AI3083" s="884"/>
      <c r="AJ3083" s="884"/>
      <c r="AK3083" s="884">
        <f t="shared" ref="AK3083" si="12558">AF3083+AG3083+AH3083+AI3083+AJ3083+AC3083</f>
        <v>0</v>
      </c>
      <c r="AL3083" s="884">
        <v>0</v>
      </c>
      <c r="AM3083" s="878" t="str">
        <f t="shared" ref="AM3083" si="12559">IFERROR((AK3083/AL3083),"-")</f>
        <v>-</v>
      </c>
      <c r="AN3083" s="2"/>
      <c r="AO3083" s="884">
        <v>419.2</v>
      </c>
      <c r="AP3083" s="884">
        <f t="shared" ref="AP3083" si="12560">AO3083-AK3083</f>
        <v>419.2</v>
      </c>
      <c r="AV3083" t="str">
        <f t="shared" si="12552"/>
        <v>Revegetação - Hidrossemeadura</v>
      </c>
      <c r="AW3083" s="4" t="str">
        <f t="shared" si="12550"/>
        <v xml:space="preserve">   Revestimento vegetal por hidrossemeadura</v>
      </c>
    </row>
    <row r="3084" spans="1:49" ht="15.6" customHeight="1" outlineLevel="2">
      <c r="A3084" s="8" t="str">
        <f t="shared" ref="A3084" si="12561">A3083</f>
        <v>N</v>
      </c>
      <c r="B3084" s="150"/>
      <c r="C3084" s="150" t="s">
        <v>3518</v>
      </c>
      <c r="D3084" s="120" t="s">
        <v>3519</v>
      </c>
      <c r="E3084" s="893"/>
      <c r="F3084" s="895"/>
      <c r="G3084" s="528"/>
      <c r="H3084" s="549" t="s">
        <v>38</v>
      </c>
      <c r="I3084" s="711">
        <v>0</v>
      </c>
      <c r="J3084" s="897"/>
      <c r="K3084" s="528"/>
      <c r="L3084" s="549" t="s">
        <v>38</v>
      </c>
      <c r="M3084" s="711">
        <f t="shared" si="12471"/>
        <v>0</v>
      </c>
      <c r="N3084" s="897"/>
      <c r="O3084" s="528"/>
      <c r="P3084" s="548">
        <v>0</v>
      </c>
      <c r="Q3084" s="548">
        <v>0</v>
      </c>
      <c r="R3084" s="548">
        <v>0</v>
      </c>
      <c r="S3084" s="548">
        <v>0</v>
      </c>
      <c r="T3084" s="548">
        <v>0</v>
      </c>
      <c r="U3084" s="548">
        <v>0</v>
      </c>
      <c r="V3084" s="548"/>
      <c r="W3084" s="528"/>
      <c r="X3084" s="711">
        <f t="shared" si="12464"/>
        <v>0</v>
      </c>
      <c r="Y3084" s="897"/>
      <c r="Z3084" s="528"/>
      <c r="AA3084" s="899"/>
      <c r="AB3084" s="899"/>
      <c r="AC3084" s="899"/>
      <c r="AD3084" s="897"/>
      <c r="AE3084" s="2"/>
      <c r="AF3084" s="885"/>
      <c r="AG3084" s="885"/>
      <c r="AH3084" s="885"/>
      <c r="AI3084" s="885"/>
      <c r="AJ3084" s="885"/>
      <c r="AK3084" s="885"/>
      <c r="AL3084" s="885"/>
      <c r="AM3084" s="879"/>
      <c r="AN3084" s="2"/>
      <c r="AO3084" s="886"/>
      <c r="AP3084" s="886"/>
      <c r="AV3084" t="str">
        <f t="shared" si="12552"/>
        <v>Revegetação - Hidrossemeadura</v>
      </c>
      <c r="AW3084" s="4" t="str">
        <f t="shared" si="12550"/>
        <v xml:space="preserve">   Revestimento vegetal por hidrossemeadura</v>
      </c>
    </row>
    <row r="3085" spans="1:49" ht="15.6" customHeight="1" outlineLevel="2">
      <c r="A3085" s="8" t="str">
        <f t="shared" ref="A3085" si="12562">IF(SUM(P3085:V3086)&gt;0,"S","N")</f>
        <v>N</v>
      </c>
      <c r="B3085" s="150">
        <v>1068830</v>
      </c>
      <c r="C3085" s="150" t="s">
        <v>3520</v>
      </c>
      <c r="D3085" s="120" t="s">
        <v>3521</v>
      </c>
      <c r="E3085" s="892" t="s">
        <v>3302</v>
      </c>
      <c r="F3085" s="894" t="s">
        <v>3210</v>
      </c>
      <c r="G3085" s="528"/>
      <c r="H3085" s="546" t="s">
        <v>37</v>
      </c>
      <c r="I3085" s="711">
        <v>0</v>
      </c>
      <c r="J3085" s="896" t="str">
        <f t="shared" ref="J3085" si="12563">IFERROR((I3086/I3085),"-")</f>
        <v>-</v>
      </c>
      <c r="K3085" s="528"/>
      <c r="L3085" s="546" t="s">
        <v>37</v>
      </c>
      <c r="M3085" s="711">
        <f t="shared" si="12471"/>
        <v>0</v>
      </c>
      <c r="N3085" s="896" t="str">
        <f t="shared" ref="N3085" si="12564">IFERROR((M3086/M3085),"-")</f>
        <v>-</v>
      </c>
      <c r="O3085" s="528"/>
      <c r="P3085" s="547">
        <v>0</v>
      </c>
      <c r="Q3085" s="547">
        <v>0</v>
      </c>
      <c r="R3085" s="547">
        <v>0</v>
      </c>
      <c r="S3085" s="547">
        <v>0</v>
      </c>
      <c r="T3085" s="547">
        <v>0</v>
      </c>
      <c r="U3085" s="547">
        <v>0</v>
      </c>
      <c r="V3085" s="548">
        <v>0</v>
      </c>
      <c r="W3085" s="528"/>
      <c r="X3085" s="711">
        <f t="shared" si="12464"/>
        <v>0</v>
      </c>
      <c r="Y3085" s="896" t="str">
        <f t="shared" ref="Y3085" si="12565">IFERROR((X3086/X3085),"-")</f>
        <v>-</v>
      </c>
      <c r="Z3085" s="528"/>
      <c r="AA3085" s="898">
        <v>0</v>
      </c>
      <c r="AB3085" s="898">
        <v>0</v>
      </c>
      <c r="AC3085" s="898">
        <v>0</v>
      </c>
      <c r="AD3085" s="896" t="str">
        <f t="shared" ref="AD3085" si="12566">IFERROR((AC3085/AA3085),"-")</f>
        <v>-</v>
      </c>
      <c r="AE3085" s="2"/>
      <c r="AF3085" s="884">
        <v>0</v>
      </c>
      <c r="AG3085" s="884"/>
      <c r="AH3085" s="884">
        <v>0</v>
      </c>
      <c r="AI3085" s="884"/>
      <c r="AJ3085" s="884"/>
      <c r="AK3085" s="884">
        <f t="shared" ref="AK3085" si="12567">AF3085+AG3085+AH3085+AI3085+AJ3085+AC3085</f>
        <v>0</v>
      </c>
      <c r="AL3085" s="884">
        <v>0</v>
      </c>
      <c r="AM3085" s="878" t="str">
        <f t="shared" ref="AM3085" si="12568">IFERROR((AK3085/AL3085),"-")</f>
        <v>-</v>
      </c>
      <c r="AN3085" s="2"/>
      <c r="AO3085" s="884">
        <v>18940.2</v>
      </c>
      <c r="AP3085" s="884">
        <f t="shared" ref="AP3085" si="12569">AO3085-AK3085</f>
        <v>18940.2</v>
      </c>
      <c r="AV3085" t="str">
        <f t="shared" si="12552"/>
        <v>Revegetação - Hidrossemeadura</v>
      </c>
      <c r="AW3085" s="4" t="str">
        <f t="shared" si="12550"/>
        <v xml:space="preserve">   Revestimento vegetal por hidrossemeadura</v>
      </c>
    </row>
    <row r="3086" spans="1:49" ht="15.6" customHeight="1" outlineLevel="2">
      <c r="A3086" s="8" t="str">
        <f t="shared" ref="A3086" si="12570">A3085</f>
        <v>N</v>
      </c>
      <c r="B3086" s="150"/>
      <c r="C3086" s="150" t="s">
        <v>3520</v>
      </c>
      <c r="D3086" s="120" t="s">
        <v>3521</v>
      </c>
      <c r="E3086" s="893"/>
      <c r="F3086" s="895"/>
      <c r="G3086" s="528"/>
      <c r="H3086" s="549" t="s">
        <v>38</v>
      </c>
      <c r="I3086" s="711">
        <v>0</v>
      </c>
      <c r="J3086" s="897"/>
      <c r="K3086" s="528"/>
      <c r="L3086" s="549" t="s">
        <v>38</v>
      </c>
      <c r="M3086" s="711">
        <f t="shared" si="12471"/>
        <v>0</v>
      </c>
      <c r="N3086" s="897"/>
      <c r="O3086" s="528"/>
      <c r="P3086" s="548">
        <v>0</v>
      </c>
      <c r="Q3086" s="548">
        <v>0</v>
      </c>
      <c r="R3086" s="548">
        <v>0</v>
      </c>
      <c r="S3086" s="548">
        <v>0</v>
      </c>
      <c r="T3086" s="548">
        <v>0</v>
      </c>
      <c r="U3086" s="548">
        <v>0</v>
      </c>
      <c r="V3086" s="548"/>
      <c r="W3086" s="528"/>
      <c r="X3086" s="711">
        <f t="shared" si="12464"/>
        <v>0</v>
      </c>
      <c r="Y3086" s="897"/>
      <c r="Z3086" s="528"/>
      <c r="AA3086" s="899"/>
      <c r="AB3086" s="899"/>
      <c r="AC3086" s="899"/>
      <c r="AD3086" s="897"/>
      <c r="AE3086" s="2"/>
      <c r="AF3086" s="885"/>
      <c r="AG3086" s="885"/>
      <c r="AH3086" s="885"/>
      <c r="AI3086" s="885"/>
      <c r="AJ3086" s="885"/>
      <c r="AK3086" s="885"/>
      <c r="AL3086" s="885"/>
      <c r="AM3086" s="879"/>
      <c r="AN3086" s="2"/>
      <c r="AO3086" s="886"/>
      <c r="AP3086" s="886"/>
      <c r="AV3086" t="str">
        <f t="shared" si="12552"/>
        <v>Revegetação - Hidrossemeadura</v>
      </c>
      <c r="AW3086" s="4" t="str">
        <f t="shared" si="12550"/>
        <v xml:space="preserve">   Revestimento vegetal por hidrossemeadura</v>
      </c>
    </row>
    <row r="3087" spans="1:49" ht="15.6" customHeight="1" outlineLevel="2">
      <c r="A3087" s="8" t="str">
        <f t="shared" ref="A3087" si="12571">IF(SUM(P3087:V3088)&gt;0,"S","N")</f>
        <v>N</v>
      </c>
      <c r="B3087" s="150">
        <v>1068872</v>
      </c>
      <c r="C3087" s="150" t="s">
        <v>3522</v>
      </c>
      <c r="D3087" s="120" t="s">
        <v>3523</v>
      </c>
      <c r="E3087" s="892" t="s">
        <v>3302</v>
      </c>
      <c r="F3087" s="894" t="s">
        <v>3210</v>
      </c>
      <c r="G3087" s="528"/>
      <c r="H3087" s="546" t="s">
        <v>37</v>
      </c>
      <c r="I3087" s="711">
        <v>0</v>
      </c>
      <c r="J3087" s="896" t="str">
        <f t="shared" ref="J3087" si="12572">IFERROR((I3088/I3087),"-")</f>
        <v>-</v>
      </c>
      <c r="K3087" s="528"/>
      <c r="L3087" s="546" t="s">
        <v>37</v>
      </c>
      <c r="M3087" s="711">
        <f t="shared" si="12471"/>
        <v>0</v>
      </c>
      <c r="N3087" s="896" t="str">
        <f t="shared" ref="N3087" si="12573">IFERROR((M3088/M3087),"-")</f>
        <v>-</v>
      </c>
      <c r="O3087" s="528"/>
      <c r="P3087" s="547">
        <v>0</v>
      </c>
      <c r="Q3087" s="547">
        <v>0</v>
      </c>
      <c r="R3087" s="547">
        <v>0</v>
      </c>
      <c r="S3087" s="547">
        <v>0</v>
      </c>
      <c r="T3087" s="547">
        <v>0</v>
      </c>
      <c r="U3087" s="547">
        <v>0</v>
      </c>
      <c r="V3087" s="548">
        <v>0</v>
      </c>
      <c r="W3087" s="528"/>
      <c r="X3087" s="711">
        <f t="shared" si="12464"/>
        <v>0</v>
      </c>
      <c r="Y3087" s="896" t="str">
        <f t="shared" ref="Y3087" si="12574">IFERROR((X3088/X3087),"-")</f>
        <v>-</v>
      </c>
      <c r="Z3087" s="528"/>
      <c r="AA3087" s="898">
        <v>0</v>
      </c>
      <c r="AB3087" s="898">
        <v>0</v>
      </c>
      <c r="AC3087" s="898">
        <v>0</v>
      </c>
      <c r="AD3087" s="896" t="str">
        <f t="shared" ref="AD3087" si="12575">IFERROR((AC3087/AA3087),"-")</f>
        <v>-</v>
      </c>
      <c r="AE3087" s="2"/>
      <c r="AF3087" s="884">
        <v>0</v>
      </c>
      <c r="AG3087" s="884"/>
      <c r="AH3087" s="884">
        <v>0</v>
      </c>
      <c r="AI3087" s="884"/>
      <c r="AJ3087" s="884"/>
      <c r="AK3087" s="884">
        <f t="shared" ref="AK3087" si="12576">AF3087+AG3087+AH3087+AI3087+AJ3087+AC3087</f>
        <v>0</v>
      </c>
      <c r="AL3087" s="884">
        <v>0</v>
      </c>
      <c r="AM3087" s="878" t="str">
        <f t="shared" ref="AM3087" si="12577">IFERROR((AK3087/AL3087),"-")</f>
        <v>-</v>
      </c>
      <c r="AN3087" s="2"/>
      <c r="AO3087" s="884">
        <v>12767.11</v>
      </c>
      <c r="AP3087" s="884">
        <f t="shared" ref="AP3087" si="12578">AO3087-AK3087</f>
        <v>12767.11</v>
      </c>
      <c r="AV3087" t="str">
        <f t="shared" si="12552"/>
        <v>Revegetação - Hidrossemeadura</v>
      </c>
      <c r="AW3087" s="4" t="str">
        <f t="shared" si="12550"/>
        <v xml:space="preserve">   Revestimento vegetal por hidrossemeadura</v>
      </c>
    </row>
    <row r="3088" spans="1:49" ht="15.6" customHeight="1" outlineLevel="2">
      <c r="A3088" s="8" t="str">
        <f t="shared" ref="A3088" si="12579">A3087</f>
        <v>N</v>
      </c>
      <c r="B3088" s="150"/>
      <c r="C3088" s="150" t="s">
        <v>3522</v>
      </c>
      <c r="D3088" s="120" t="s">
        <v>3523</v>
      </c>
      <c r="E3088" s="893"/>
      <c r="F3088" s="895"/>
      <c r="G3088" s="528"/>
      <c r="H3088" s="549" t="s">
        <v>38</v>
      </c>
      <c r="I3088" s="711">
        <v>0</v>
      </c>
      <c r="J3088" s="897"/>
      <c r="K3088" s="528"/>
      <c r="L3088" s="549" t="s">
        <v>38</v>
      </c>
      <c r="M3088" s="711">
        <f t="shared" si="12471"/>
        <v>0</v>
      </c>
      <c r="N3088" s="897"/>
      <c r="O3088" s="528"/>
      <c r="P3088" s="548">
        <v>0</v>
      </c>
      <c r="Q3088" s="548">
        <v>0</v>
      </c>
      <c r="R3088" s="548">
        <v>0</v>
      </c>
      <c r="S3088" s="548">
        <v>0</v>
      </c>
      <c r="T3088" s="548">
        <v>0</v>
      </c>
      <c r="U3088" s="548">
        <v>0</v>
      </c>
      <c r="V3088" s="548"/>
      <c r="W3088" s="528"/>
      <c r="X3088" s="711">
        <f t="shared" si="12464"/>
        <v>0</v>
      </c>
      <c r="Y3088" s="897"/>
      <c r="Z3088" s="528"/>
      <c r="AA3088" s="899"/>
      <c r="AB3088" s="899"/>
      <c r="AC3088" s="899"/>
      <c r="AD3088" s="897"/>
      <c r="AE3088" s="2"/>
      <c r="AF3088" s="885"/>
      <c r="AG3088" s="885"/>
      <c r="AH3088" s="885"/>
      <c r="AI3088" s="885"/>
      <c r="AJ3088" s="885"/>
      <c r="AK3088" s="885"/>
      <c r="AL3088" s="885"/>
      <c r="AM3088" s="879"/>
      <c r="AN3088" s="2"/>
      <c r="AO3088" s="886"/>
      <c r="AP3088" s="886"/>
      <c r="AV3088" t="str">
        <f t="shared" si="12552"/>
        <v>Revegetação - Hidrossemeadura</v>
      </c>
      <c r="AW3088" s="4" t="str">
        <f t="shared" si="12550"/>
        <v xml:space="preserve">   Revestimento vegetal por hidrossemeadura</v>
      </c>
    </row>
    <row r="3089" spans="1:49" ht="15.6" customHeight="1" outlineLevel="2">
      <c r="A3089" s="8" t="str">
        <f t="shared" ref="A3089" si="12580">IF(SUM(P3089:V3090)&gt;0,"S","N")</f>
        <v>N</v>
      </c>
      <c r="B3089" s="150">
        <v>1069435</v>
      </c>
      <c r="C3089" s="150" t="s">
        <v>3524</v>
      </c>
      <c r="D3089" s="120" t="s">
        <v>3525</v>
      </c>
      <c r="E3089" s="892" t="s">
        <v>3302</v>
      </c>
      <c r="F3089" s="894" t="s">
        <v>3210</v>
      </c>
      <c r="G3089" s="528"/>
      <c r="H3089" s="546" t="s">
        <v>37</v>
      </c>
      <c r="I3089" s="711">
        <v>0</v>
      </c>
      <c r="J3089" s="896" t="str">
        <f t="shared" ref="J3089" si="12581">IFERROR((I3090/I3089),"-")</f>
        <v>-</v>
      </c>
      <c r="K3089" s="528"/>
      <c r="L3089" s="546" t="s">
        <v>37</v>
      </c>
      <c r="M3089" s="711">
        <f t="shared" si="12471"/>
        <v>0</v>
      </c>
      <c r="N3089" s="896" t="str">
        <f t="shared" ref="N3089" si="12582">IFERROR((M3090/M3089),"-")</f>
        <v>-</v>
      </c>
      <c r="O3089" s="528"/>
      <c r="P3089" s="547">
        <v>0</v>
      </c>
      <c r="Q3089" s="547">
        <v>0</v>
      </c>
      <c r="R3089" s="547">
        <v>0</v>
      </c>
      <c r="S3089" s="547">
        <v>0</v>
      </c>
      <c r="T3089" s="547">
        <v>0</v>
      </c>
      <c r="U3089" s="547">
        <v>0</v>
      </c>
      <c r="V3089" s="548">
        <v>0</v>
      </c>
      <c r="W3089" s="528"/>
      <c r="X3089" s="711">
        <f t="shared" si="12464"/>
        <v>0</v>
      </c>
      <c r="Y3089" s="896" t="str">
        <f t="shared" ref="Y3089" si="12583">IFERROR((X3090/X3089),"-")</f>
        <v>-</v>
      </c>
      <c r="Z3089" s="528"/>
      <c r="AA3089" s="898">
        <v>0</v>
      </c>
      <c r="AB3089" s="898">
        <v>0</v>
      </c>
      <c r="AC3089" s="898">
        <v>0</v>
      </c>
      <c r="AD3089" s="896" t="str">
        <f t="shared" ref="AD3089" si="12584">IFERROR((AC3089/AA3089),"-")</f>
        <v>-</v>
      </c>
      <c r="AE3089" s="2"/>
      <c r="AF3089" s="884">
        <v>0</v>
      </c>
      <c r="AG3089" s="884"/>
      <c r="AH3089" s="884">
        <v>0</v>
      </c>
      <c r="AI3089" s="884"/>
      <c r="AJ3089" s="884"/>
      <c r="AK3089" s="884">
        <f t="shared" ref="AK3089" si="12585">AF3089+AG3089+AH3089+AI3089+AJ3089+AC3089</f>
        <v>0</v>
      </c>
      <c r="AL3089" s="884">
        <v>0</v>
      </c>
      <c r="AM3089" s="878" t="str">
        <f t="shared" ref="AM3089" si="12586">IFERROR((AK3089/AL3089),"-")</f>
        <v>-</v>
      </c>
      <c r="AN3089" s="2"/>
      <c r="AO3089" s="884">
        <v>2592.8000000000002</v>
      </c>
      <c r="AP3089" s="884">
        <f t="shared" ref="AP3089" si="12587">AO3089-AK3089</f>
        <v>2592.8000000000002</v>
      </c>
      <c r="AV3089" t="str">
        <f t="shared" si="12552"/>
        <v>Revegetação - Hidrossemeadura</v>
      </c>
      <c r="AW3089" s="4" t="str">
        <f t="shared" si="12550"/>
        <v xml:space="preserve">   Revestimento vegetal por hidrossemeadura</v>
      </c>
    </row>
    <row r="3090" spans="1:49" ht="15.6" customHeight="1" outlineLevel="2">
      <c r="A3090" s="8" t="str">
        <f t="shared" ref="A3090" si="12588">A3089</f>
        <v>N</v>
      </c>
      <c r="B3090" s="150"/>
      <c r="C3090" s="150" t="s">
        <v>3524</v>
      </c>
      <c r="D3090" s="120" t="s">
        <v>3525</v>
      </c>
      <c r="E3090" s="893"/>
      <c r="F3090" s="895"/>
      <c r="G3090" s="528"/>
      <c r="H3090" s="549" t="s">
        <v>38</v>
      </c>
      <c r="I3090" s="711">
        <v>0</v>
      </c>
      <c r="J3090" s="897"/>
      <c r="K3090" s="528"/>
      <c r="L3090" s="549" t="s">
        <v>38</v>
      </c>
      <c r="M3090" s="711">
        <f t="shared" si="12471"/>
        <v>0</v>
      </c>
      <c r="N3090" s="897"/>
      <c r="O3090" s="528"/>
      <c r="P3090" s="548">
        <v>0</v>
      </c>
      <c r="Q3090" s="548">
        <v>0</v>
      </c>
      <c r="R3090" s="548">
        <v>0</v>
      </c>
      <c r="S3090" s="548">
        <v>0</v>
      </c>
      <c r="T3090" s="548">
        <v>0</v>
      </c>
      <c r="U3090" s="548">
        <v>0</v>
      </c>
      <c r="V3090" s="548"/>
      <c r="W3090" s="528"/>
      <c r="X3090" s="711">
        <f t="shared" si="12464"/>
        <v>0</v>
      </c>
      <c r="Y3090" s="897"/>
      <c r="Z3090" s="528"/>
      <c r="AA3090" s="899"/>
      <c r="AB3090" s="899"/>
      <c r="AC3090" s="899"/>
      <c r="AD3090" s="897"/>
      <c r="AE3090" s="2"/>
      <c r="AF3090" s="885"/>
      <c r="AG3090" s="885"/>
      <c r="AH3090" s="885"/>
      <c r="AI3090" s="885"/>
      <c r="AJ3090" s="885"/>
      <c r="AK3090" s="885"/>
      <c r="AL3090" s="885"/>
      <c r="AM3090" s="879"/>
      <c r="AN3090" s="2"/>
      <c r="AO3090" s="886"/>
      <c r="AP3090" s="886"/>
      <c r="AV3090" t="str">
        <f t="shared" si="12552"/>
        <v>Revegetação - Hidrossemeadura</v>
      </c>
      <c r="AW3090" s="4" t="str">
        <f t="shared" si="12550"/>
        <v xml:space="preserve">   Revestimento vegetal por hidrossemeadura</v>
      </c>
    </row>
    <row r="3091" spans="1:49" ht="15.6" customHeight="1" outlineLevel="2">
      <c r="A3091" s="8" t="str">
        <f t="shared" ref="A3091" si="12589">IF(SUM(P3091:V3092)&gt;0,"S","N")</f>
        <v>N</v>
      </c>
      <c r="B3091" s="150">
        <v>1068873</v>
      </c>
      <c r="C3091" s="150"/>
      <c r="D3091" s="120" t="s">
        <v>3526</v>
      </c>
      <c r="E3091" s="892" t="s">
        <v>3302</v>
      </c>
      <c r="F3091" s="894" t="s">
        <v>3210</v>
      </c>
      <c r="G3091" s="528"/>
      <c r="H3091" s="546" t="s">
        <v>37</v>
      </c>
      <c r="I3091" s="711">
        <v>0</v>
      </c>
      <c r="J3091" s="896" t="str">
        <f t="shared" ref="J3091" si="12590">IFERROR((I3092/I3091),"-")</f>
        <v>-</v>
      </c>
      <c r="K3091" s="528"/>
      <c r="L3091" s="546" t="s">
        <v>37</v>
      </c>
      <c r="M3091" s="711">
        <f t="shared" si="12471"/>
        <v>0</v>
      </c>
      <c r="N3091" s="896" t="str">
        <f t="shared" ref="N3091" si="12591">IFERROR((M3092/M3091),"-")</f>
        <v>-</v>
      </c>
      <c r="O3091" s="528"/>
      <c r="P3091" s="547">
        <v>0</v>
      </c>
      <c r="Q3091" s="547">
        <v>0</v>
      </c>
      <c r="R3091" s="547">
        <v>0</v>
      </c>
      <c r="S3091" s="547">
        <v>0</v>
      </c>
      <c r="T3091" s="547">
        <v>0</v>
      </c>
      <c r="U3091" s="547">
        <v>0</v>
      </c>
      <c r="V3091" s="548">
        <v>0</v>
      </c>
      <c r="W3091" s="528"/>
      <c r="X3091" s="711">
        <f t="shared" si="12464"/>
        <v>0</v>
      </c>
      <c r="Y3091" s="896" t="str">
        <f t="shared" ref="Y3091" si="12592">IFERROR((X3092/X3091),"-")</f>
        <v>-</v>
      </c>
      <c r="Z3091" s="528"/>
      <c r="AA3091" s="898">
        <v>0</v>
      </c>
      <c r="AB3091" s="898">
        <v>0</v>
      </c>
      <c r="AC3091" s="898">
        <v>0</v>
      </c>
      <c r="AD3091" s="896" t="str">
        <f t="shared" ref="AD3091" si="12593">IFERROR((AC3091/AA3091),"-")</f>
        <v>-</v>
      </c>
      <c r="AE3091" s="2"/>
      <c r="AF3091" s="884">
        <v>0</v>
      </c>
      <c r="AG3091" s="884"/>
      <c r="AH3091" s="884">
        <v>0</v>
      </c>
      <c r="AI3091" s="884"/>
      <c r="AJ3091" s="884"/>
      <c r="AK3091" s="884">
        <f t="shared" ref="AK3091" si="12594">AF3091+AG3091+AH3091+AI3091+AJ3091+AC3091</f>
        <v>0</v>
      </c>
      <c r="AL3091" s="884">
        <v>0</v>
      </c>
      <c r="AM3091" s="878" t="str">
        <f t="shared" ref="AM3091" si="12595">IFERROR((AK3091/AL3091),"-")</f>
        <v>-</v>
      </c>
      <c r="AN3091" s="2"/>
      <c r="AO3091" s="884">
        <v>1071.1300000000001</v>
      </c>
      <c r="AP3091" s="884">
        <f t="shared" ref="AP3091" si="12596">AO3091-AK3091</f>
        <v>1071.1300000000001</v>
      </c>
      <c r="AV3091" t="str">
        <f t="shared" si="12552"/>
        <v>Revegetação - Hidrossemeadura</v>
      </c>
      <c r="AW3091" s="4" t="str">
        <f t="shared" si="12550"/>
        <v xml:space="preserve">   Revestimento vegetal por hidrossemeadura</v>
      </c>
    </row>
    <row r="3092" spans="1:49" ht="15.6" customHeight="1" outlineLevel="2">
      <c r="A3092" s="8" t="str">
        <f t="shared" ref="A3092" si="12597">A3091</f>
        <v>N</v>
      </c>
      <c r="B3092" s="150"/>
      <c r="C3092" s="150"/>
      <c r="D3092" s="120"/>
      <c r="E3092" s="893"/>
      <c r="F3092" s="895"/>
      <c r="G3092" s="528"/>
      <c r="H3092" s="549" t="s">
        <v>38</v>
      </c>
      <c r="I3092" s="711">
        <v>0</v>
      </c>
      <c r="J3092" s="897"/>
      <c r="K3092" s="528"/>
      <c r="L3092" s="549" t="s">
        <v>38</v>
      </c>
      <c r="M3092" s="711">
        <f t="shared" si="12471"/>
        <v>0</v>
      </c>
      <c r="N3092" s="897"/>
      <c r="O3092" s="528"/>
      <c r="P3092" s="548">
        <v>0</v>
      </c>
      <c r="Q3092" s="548">
        <v>0</v>
      </c>
      <c r="R3092" s="548">
        <v>0</v>
      </c>
      <c r="S3092" s="548">
        <v>0</v>
      </c>
      <c r="T3092" s="548">
        <v>0</v>
      </c>
      <c r="U3092" s="548">
        <v>0</v>
      </c>
      <c r="V3092" s="548"/>
      <c r="W3092" s="528"/>
      <c r="X3092" s="711">
        <f t="shared" si="12464"/>
        <v>0</v>
      </c>
      <c r="Y3092" s="897"/>
      <c r="Z3092" s="528"/>
      <c r="AA3092" s="899"/>
      <c r="AB3092" s="899"/>
      <c r="AC3092" s="899"/>
      <c r="AD3092" s="897"/>
      <c r="AE3092" s="2"/>
      <c r="AF3092" s="885"/>
      <c r="AG3092" s="885"/>
      <c r="AH3092" s="885"/>
      <c r="AI3092" s="885"/>
      <c r="AJ3092" s="885"/>
      <c r="AK3092" s="885"/>
      <c r="AL3092" s="885"/>
      <c r="AM3092" s="879"/>
      <c r="AN3092" s="2"/>
      <c r="AO3092" s="886"/>
      <c r="AP3092" s="886"/>
      <c r="AV3092" t="str">
        <f t="shared" si="12552"/>
        <v>Revegetação - Hidrossemeadura</v>
      </c>
      <c r="AW3092" s="4" t="str">
        <f t="shared" si="12550"/>
        <v xml:space="preserve">   Revestimento vegetal por hidrossemeadura</v>
      </c>
    </row>
    <row r="3093" spans="1:49" ht="15.6" customHeight="1" outlineLevel="2">
      <c r="A3093" s="8" t="str">
        <f t="shared" ref="A3093" si="12598">IF(SUM(P3093:V3094)&gt;0,"S","N")</f>
        <v>N</v>
      </c>
      <c r="B3093" s="150">
        <v>1069438</v>
      </c>
      <c r="C3093" s="150"/>
      <c r="D3093" s="120" t="s">
        <v>3527</v>
      </c>
      <c r="E3093" s="892" t="s">
        <v>3302</v>
      </c>
      <c r="F3093" s="894" t="s">
        <v>3210</v>
      </c>
      <c r="G3093" s="528"/>
      <c r="H3093" s="546" t="s">
        <v>37</v>
      </c>
      <c r="I3093" s="711">
        <v>0</v>
      </c>
      <c r="J3093" s="896" t="str">
        <f t="shared" ref="J3093" si="12599">IFERROR((I3094/I3093),"-")</f>
        <v>-</v>
      </c>
      <c r="K3093" s="528"/>
      <c r="L3093" s="546" t="s">
        <v>37</v>
      </c>
      <c r="M3093" s="711">
        <f t="shared" si="12471"/>
        <v>0</v>
      </c>
      <c r="N3093" s="896" t="str">
        <f t="shared" ref="N3093" si="12600">IFERROR((M3094/M3093),"-")</f>
        <v>-</v>
      </c>
      <c r="O3093" s="528"/>
      <c r="P3093" s="547">
        <v>0</v>
      </c>
      <c r="Q3093" s="547">
        <v>0</v>
      </c>
      <c r="R3093" s="547">
        <v>0</v>
      </c>
      <c r="S3093" s="547">
        <v>0</v>
      </c>
      <c r="T3093" s="547">
        <v>0</v>
      </c>
      <c r="U3093" s="547">
        <v>0</v>
      </c>
      <c r="V3093" s="548">
        <v>0</v>
      </c>
      <c r="W3093" s="528"/>
      <c r="X3093" s="711">
        <f t="shared" si="12464"/>
        <v>0</v>
      </c>
      <c r="Y3093" s="896" t="str">
        <f t="shared" ref="Y3093" si="12601">IFERROR((X3094/X3093),"-")</f>
        <v>-</v>
      </c>
      <c r="Z3093" s="528"/>
      <c r="AA3093" s="898">
        <v>0</v>
      </c>
      <c r="AB3093" s="898">
        <v>0</v>
      </c>
      <c r="AC3093" s="898">
        <v>0</v>
      </c>
      <c r="AD3093" s="896" t="str">
        <f t="shared" ref="AD3093" si="12602">IFERROR((AC3093/AA3093),"-")</f>
        <v>-</v>
      </c>
      <c r="AE3093" s="2"/>
      <c r="AF3093" s="884">
        <v>0</v>
      </c>
      <c r="AG3093" s="884"/>
      <c r="AH3093" s="884">
        <v>0</v>
      </c>
      <c r="AI3093" s="884"/>
      <c r="AJ3093" s="884"/>
      <c r="AK3093" s="884">
        <f t="shared" ref="AK3093" si="12603">AF3093+AG3093+AH3093+AI3093+AJ3093+AC3093</f>
        <v>0</v>
      </c>
      <c r="AL3093" s="884">
        <v>0</v>
      </c>
      <c r="AM3093" s="878" t="str">
        <f t="shared" ref="AM3093" si="12604">IFERROR((AK3093/AL3093),"-")</f>
        <v>-</v>
      </c>
      <c r="AN3093" s="2"/>
      <c r="AO3093" s="884">
        <v>865.41</v>
      </c>
      <c r="AP3093" s="884">
        <f t="shared" ref="AP3093" si="12605">AO3093-AK3093</f>
        <v>865.41</v>
      </c>
      <c r="AV3093" t="str">
        <f t="shared" si="12552"/>
        <v>Revegetação - Hidrossemeadura</v>
      </c>
      <c r="AW3093" s="4" t="str">
        <f t="shared" si="12550"/>
        <v xml:space="preserve">   Revestimento vegetal por hidrossemeadura</v>
      </c>
    </row>
    <row r="3094" spans="1:49" ht="15.6" customHeight="1" outlineLevel="2">
      <c r="A3094" s="8" t="str">
        <f t="shared" ref="A3094" si="12606">A3093</f>
        <v>N</v>
      </c>
      <c r="B3094" s="150"/>
      <c r="C3094" s="150"/>
      <c r="D3094" s="120"/>
      <c r="E3094" s="893"/>
      <c r="F3094" s="895"/>
      <c r="G3094" s="528"/>
      <c r="H3094" s="549" t="s">
        <v>38</v>
      </c>
      <c r="I3094" s="711">
        <v>0</v>
      </c>
      <c r="J3094" s="897"/>
      <c r="K3094" s="528"/>
      <c r="L3094" s="549" t="s">
        <v>38</v>
      </c>
      <c r="M3094" s="711">
        <f t="shared" si="12471"/>
        <v>0</v>
      </c>
      <c r="N3094" s="897"/>
      <c r="O3094" s="528"/>
      <c r="P3094" s="548">
        <v>0</v>
      </c>
      <c r="Q3094" s="548">
        <v>0</v>
      </c>
      <c r="R3094" s="548">
        <v>0</v>
      </c>
      <c r="S3094" s="548">
        <v>0</v>
      </c>
      <c r="T3094" s="548">
        <v>0</v>
      </c>
      <c r="U3094" s="548">
        <v>0</v>
      </c>
      <c r="V3094" s="548"/>
      <c r="W3094" s="528"/>
      <c r="X3094" s="711">
        <f t="shared" si="12464"/>
        <v>0</v>
      </c>
      <c r="Y3094" s="897"/>
      <c r="Z3094" s="528"/>
      <c r="AA3094" s="899"/>
      <c r="AB3094" s="899"/>
      <c r="AC3094" s="899"/>
      <c r="AD3094" s="897"/>
      <c r="AE3094" s="2"/>
      <c r="AF3094" s="885"/>
      <c r="AG3094" s="885"/>
      <c r="AH3094" s="885"/>
      <c r="AI3094" s="885"/>
      <c r="AJ3094" s="885"/>
      <c r="AK3094" s="885"/>
      <c r="AL3094" s="885"/>
      <c r="AM3094" s="879"/>
      <c r="AN3094" s="2"/>
      <c r="AO3094" s="886"/>
      <c r="AP3094" s="886"/>
      <c r="AV3094" t="str">
        <f t="shared" si="12552"/>
        <v>Revegetação - Hidrossemeadura</v>
      </c>
      <c r="AW3094" s="4" t="str">
        <f t="shared" si="12550"/>
        <v xml:space="preserve">   Revestimento vegetal por hidrossemeadura</v>
      </c>
    </row>
    <row r="3095" spans="1:49" ht="15.6" customHeight="1" outlineLevel="2">
      <c r="A3095" s="8" t="str">
        <f t="shared" ref="A3095" si="12607">IF(SUM(P3095:V3096)&gt;0,"S","N")</f>
        <v>N</v>
      </c>
      <c r="B3095" s="150">
        <v>1069439</v>
      </c>
      <c r="C3095" s="150"/>
      <c r="D3095" s="120" t="s">
        <v>3528</v>
      </c>
      <c r="E3095" s="892" t="s">
        <v>3302</v>
      </c>
      <c r="F3095" s="894" t="s">
        <v>3210</v>
      </c>
      <c r="G3095" s="528"/>
      <c r="H3095" s="546" t="s">
        <v>37</v>
      </c>
      <c r="I3095" s="711">
        <v>0</v>
      </c>
      <c r="J3095" s="896" t="str">
        <f t="shared" ref="J3095" si="12608">IFERROR((I3096/I3095),"-")</f>
        <v>-</v>
      </c>
      <c r="K3095" s="528"/>
      <c r="L3095" s="546" t="s">
        <v>37</v>
      </c>
      <c r="M3095" s="711">
        <f t="shared" si="12471"/>
        <v>0</v>
      </c>
      <c r="N3095" s="896" t="str">
        <f t="shared" ref="N3095" si="12609">IFERROR((M3096/M3095),"-")</f>
        <v>-</v>
      </c>
      <c r="O3095" s="528"/>
      <c r="P3095" s="547">
        <v>0</v>
      </c>
      <c r="Q3095" s="547">
        <v>0</v>
      </c>
      <c r="R3095" s="547">
        <v>0</v>
      </c>
      <c r="S3095" s="547">
        <v>0</v>
      </c>
      <c r="T3095" s="547">
        <v>0</v>
      </c>
      <c r="U3095" s="547">
        <v>0</v>
      </c>
      <c r="V3095" s="548">
        <v>0</v>
      </c>
      <c r="W3095" s="528"/>
      <c r="X3095" s="711">
        <f t="shared" si="12464"/>
        <v>0</v>
      </c>
      <c r="Y3095" s="896" t="str">
        <f t="shared" ref="Y3095" si="12610">IFERROR((X3096/X3095),"-")</f>
        <v>-</v>
      </c>
      <c r="Z3095" s="528"/>
      <c r="AA3095" s="898">
        <v>0</v>
      </c>
      <c r="AB3095" s="898">
        <v>0</v>
      </c>
      <c r="AC3095" s="898">
        <v>0</v>
      </c>
      <c r="AD3095" s="896" t="str">
        <f t="shared" ref="AD3095" si="12611">IFERROR((AC3095/AA3095),"-")</f>
        <v>-</v>
      </c>
      <c r="AE3095" s="2"/>
      <c r="AF3095" s="884">
        <v>0</v>
      </c>
      <c r="AG3095" s="884"/>
      <c r="AH3095" s="884">
        <v>0</v>
      </c>
      <c r="AI3095" s="884"/>
      <c r="AJ3095" s="884"/>
      <c r="AK3095" s="884">
        <f t="shared" ref="AK3095" si="12612">AF3095+AG3095+AH3095+AI3095+AJ3095+AC3095</f>
        <v>0</v>
      </c>
      <c r="AL3095" s="884">
        <v>0</v>
      </c>
      <c r="AM3095" s="878" t="str">
        <f t="shared" ref="AM3095" si="12613">IFERROR((AK3095/AL3095),"-")</f>
        <v>-</v>
      </c>
      <c r="AN3095" s="2"/>
      <c r="AO3095" s="884">
        <v>5232.25</v>
      </c>
      <c r="AP3095" s="884">
        <f t="shared" ref="AP3095" si="12614">AO3095-AK3095</f>
        <v>5232.25</v>
      </c>
      <c r="AV3095" t="str">
        <f t="shared" si="12552"/>
        <v>Revegetação - Hidrossemeadura</v>
      </c>
      <c r="AW3095" s="4" t="str">
        <f t="shared" si="12550"/>
        <v xml:space="preserve">   Revestimento vegetal por hidrossemeadura</v>
      </c>
    </row>
    <row r="3096" spans="1:49" ht="15.6" customHeight="1" outlineLevel="2">
      <c r="A3096" s="8" t="str">
        <f t="shared" ref="A3096" si="12615">A3095</f>
        <v>N</v>
      </c>
      <c r="B3096" s="150"/>
      <c r="C3096" s="150"/>
      <c r="D3096" s="120"/>
      <c r="E3096" s="893"/>
      <c r="F3096" s="895"/>
      <c r="G3096" s="528"/>
      <c r="H3096" s="549" t="s">
        <v>38</v>
      </c>
      <c r="I3096" s="711">
        <v>0</v>
      </c>
      <c r="J3096" s="897"/>
      <c r="K3096" s="528"/>
      <c r="L3096" s="549" t="s">
        <v>38</v>
      </c>
      <c r="M3096" s="711">
        <f t="shared" si="12471"/>
        <v>0</v>
      </c>
      <c r="N3096" s="897"/>
      <c r="O3096" s="528"/>
      <c r="P3096" s="548">
        <v>0</v>
      </c>
      <c r="Q3096" s="548">
        <v>0</v>
      </c>
      <c r="R3096" s="548">
        <v>0</v>
      </c>
      <c r="S3096" s="548">
        <v>0</v>
      </c>
      <c r="T3096" s="548">
        <v>0</v>
      </c>
      <c r="U3096" s="548">
        <v>0</v>
      </c>
      <c r="V3096" s="548"/>
      <c r="W3096" s="528"/>
      <c r="X3096" s="711">
        <f t="shared" si="12464"/>
        <v>0</v>
      </c>
      <c r="Y3096" s="897"/>
      <c r="Z3096" s="528"/>
      <c r="AA3096" s="899"/>
      <c r="AB3096" s="899"/>
      <c r="AC3096" s="899"/>
      <c r="AD3096" s="897"/>
      <c r="AE3096" s="2"/>
      <c r="AF3096" s="885"/>
      <c r="AG3096" s="885"/>
      <c r="AH3096" s="885"/>
      <c r="AI3096" s="885"/>
      <c r="AJ3096" s="885"/>
      <c r="AK3096" s="885"/>
      <c r="AL3096" s="885"/>
      <c r="AM3096" s="879"/>
      <c r="AN3096" s="2"/>
      <c r="AO3096" s="886"/>
      <c r="AP3096" s="886"/>
      <c r="AV3096" t="str">
        <f t="shared" si="12552"/>
        <v>Revegetação - Hidrossemeadura</v>
      </c>
      <c r="AW3096" s="4" t="str">
        <f t="shared" si="12550"/>
        <v xml:space="preserve">   Revestimento vegetal por hidrossemeadura</v>
      </c>
    </row>
    <row r="3097" spans="1:49" ht="15.6" customHeight="1" outlineLevel="2">
      <c r="A3097" s="8" t="str">
        <f t="shared" ref="A3097" si="12616">IF(SUM(P3097:V3098)&gt;0,"S","N")</f>
        <v>N</v>
      </c>
      <c r="B3097" s="150">
        <v>1069440</v>
      </c>
      <c r="C3097" s="150"/>
      <c r="D3097" s="120" t="s">
        <v>3529</v>
      </c>
      <c r="E3097" s="892" t="s">
        <v>3302</v>
      </c>
      <c r="F3097" s="894" t="s">
        <v>3210</v>
      </c>
      <c r="G3097" s="528"/>
      <c r="H3097" s="546" t="s">
        <v>37</v>
      </c>
      <c r="I3097" s="711">
        <v>0</v>
      </c>
      <c r="J3097" s="896" t="str">
        <f t="shared" ref="J3097" si="12617">IFERROR((I3098/I3097),"-")</f>
        <v>-</v>
      </c>
      <c r="K3097" s="528"/>
      <c r="L3097" s="546" t="s">
        <v>37</v>
      </c>
      <c r="M3097" s="711">
        <f t="shared" si="12471"/>
        <v>0</v>
      </c>
      <c r="N3097" s="896" t="str">
        <f t="shared" ref="N3097" si="12618">IFERROR((M3098/M3097),"-")</f>
        <v>-</v>
      </c>
      <c r="O3097" s="528"/>
      <c r="P3097" s="547">
        <v>0</v>
      </c>
      <c r="Q3097" s="547">
        <v>0</v>
      </c>
      <c r="R3097" s="547">
        <v>0</v>
      </c>
      <c r="S3097" s="547">
        <v>0</v>
      </c>
      <c r="T3097" s="547">
        <v>0</v>
      </c>
      <c r="U3097" s="547">
        <v>0</v>
      </c>
      <c r="V3097" s="548">
        <v>0</v>
      </c>
      <c r="W3097" s="528"/>
      <c r="X3097" s="711">
        <f t="shared" si="12464"/>
        <v>0</v>
      </c>
      <c r="Y3097" s="896" t="str">
        <f t="shared" ref="Y3097" si="12619">IFERROR((X3098/X3097),"-")</f>
        <v>-</v>
      </c>
      <c r="Z3097" s="528"/>
      <c r="AA3097" s="898">
        <v>0</v>
      </c>
      <c r="AB3097" s="898">
        <v>0</v>
      </c>
      <c r="AC3097" s="898">
        <v>0</v>
      </c>
      <c r="AD3097" s="896" t="str">
        <f t="shared" ref="AD3097" si="12620">IFERROR((AC3097/AA3097),"-")</f>
        <v>-</v>
      </c>
      <c r="AE3097" s="2"/>
      <c r="AF3097" s="884">
        <v>0</v>
      </c>
      <c r="AG3097" s="884"/>
      <c r="AH3097" s="884">
        <v>0</v>
      </c>
      <c r="AI3097" s="884"/>
      <c r="AJ3097" s="884"/>
      <c r="AK3097" s="884">
        <f t="shared" ref="AK3097" si="12621">AF3097+AG3097+AH3097+AI3097+AJ3097+AC3097</f>
        <v>0</v>
      </c>
      <c r="AL3097" s="884">
        <v>0</v>
      </c>
      <c r="AM3097" s="878" t="str">
        <f t="shared" ref="AM3097" si="12622">IFERROR((AK3097/AL3097),"-")</f>
        <v>-</v>
      </c>
      <c r="AN3097" s="2"/>
      <c r="AO3097" s="884">
        <v>1317.29</v>
      </c>
      <c r="AP3097" s="884">
        <f t="shared" ref="AP3097" si="12623">AO3097-AK3097</f>
        <v>1317.29</v>
      </c>
      <c r="AV3097" t="str">
        <f t="shared" si="12552"/>
        <v>Revegetação - Hidrossemeadura</v>
      </c>
      <c r="AW3097" s="4" t="str">
        <f t="shared" si="12550"/>
        <v xml:space="preserve">   Revestimento vegetal por hidrossemeadura</v>
      </c>
    </row>
    <row r="3098" spans="1:49" ht="15.6" customHeight="1" outlineLevel="2">
      <c r="A3098" s="8" t="str">
        <f t="shared" ref="A3098" si="12624">A3097</f>
        <v>N</v>
      </c>
      <c r="B3098" s="150"/>
      <c r="C3098" s="150"/>
      <c r="D3098" s="120"/>
      <c r="E3098" s="893"/>
      <c r="F3098" s="895"/>
      <c r="G3098" s="528"/>
      <c r="H3098" s="549" t="s">
        <v>38</v>
      </c>
      <c r="I3098" s="711">
        <v>0</v>
      </c>
      <c r="J3098" s="897"/>
      <c r="K3098" s="528"/>
      <c r="L3098" s="549" t="s">
        <v>38</v>
      </c>
      <c r="M3098" s="711">
        <f t="shared" si="12471"/>
        <v>0</v>
      </c>
      <c r="N3098" s="897"/>
      <c r="O3098" s="528"/>
      <c r="P3098" s="548">
        <v>0</v>
      </c>
      <c r="Q3098" s="548">
        <v>0</v>
      </c>
      <c r="R3098" s="548">
        <v>0</v>
      </c>
      <c r="S3098" s="548">
        <v>0</v>
      </c>
      <c r="T3098" s="548">
        <v>0</v>
      </c>
      <c r="U3098" s="548">
        <v>0</v>
      </c>
      <c r="V3098" s="548"/>
      <c r="W3098" s="528"/>
      <c r="X3098" s="711">
        <f t="shared" si="12464"/>
        <v>0</v>
      </c>
      <c r="Y3098" s="897"/>
      <c r="Z3098" s="528"/>
      <c r="AA3098" s="899"/>
      <c r="AB3098" s="899"/>
      <c r="AC3098" s="899"/>
      <c r="AD3098" s="897"/>
      <c r="AE3098" s="2"/>
      <c r="AF3098" s="885"/>
      <c r="AG3098" s="885"/>
      <c r="AH3098" s="885"/>
      <c r="AI3098" s="885"/>
      <c r="AJ3098" s="885"/>
      <c r="AK3098" s="885"/>
      <c r="AL3098" s="885"/>
      <c r="AM3098" s="879"/>
      <c r="AN3098" s="2"/>
      <c r="AO3098" s="886"/>
      <c r="AP3098" s="886"/>
      <c r="AV3098" t="str">
        <f t="shared" si="12552"/>
        <v>Revegetação - Hidrossemeadura</v>
      </c>
      <c r="AW3098" s="4" t="str">
        <f t="shared" si="12550"/>
        <v xml:space="preserve">   Revestimento vegetal por hidrossemeadura</v>
      </c>
    </row>
    <row r="3099" spans="1:49" ht="15.6" customHeight="1" outlineLevel="2">
      <c r="A3099" s="209">
        <v>0</v>
      </c>
      <c r="B3099" s="150"/>
      <c r="C3099" s="150"/>
      <c r="D3099" s="117"/>
      <c r="E3099" s="535"/>
      <c r="F3099" s="536"/>
      <c r="G3099" s="537"/>
      <c r="H3099" s="714"/>
      <c r="I3099" s="555"/>
      <c r="J3099" s="714"/>
      <c r="K3099" s="537"/>
      <c r="L3099" s="714"/>
      <c r="M3099" s="555"/>
      <c r="N3099" s="714"/>
      <c r="O3099" s="537"/>
      <c r="P3099" s="539"/>
      <c r="Q3099" s="539"/>
      <c r="R3099" s="539"/>
      <c r="S3099" s="539"/>
      <c r="T3099" s="539"/>
      <c r="U3099" s="539"/>
      <c r="V3099" s="539"/>
      <c r="W3099" s="537"/>
      <c r="X3099" s="540"/>
      <c r="Y3099" s="537"/>
      <c r="Z3099" s="537"/>
      <c r="AA3099" s="249"/>
      <c r="AB3099" s="249"/>
      <c r="AC3099" s="249"/>
      <c r="AD3099" s="537"/>
      <c r="AE3099" s="3"/>
      <c r="AF3099" s="35"/>
      <c r="AG3099" s="35"/>
      <c r="AH3099" s="35"/>
      <c r="AI3099" s="35"/>
      <c r="AJ3099" s="35"/>
      <c r="AK3099" s="35"/>
      <c r="AL3099" s="35"/>
      <c r="AM3099" s="3"/>
      <c r="AN3099" s="3"/>
      <c r="AO3099" s="35"/>
      <c r="AP3099" s="35"/>
      <c r="AV3099" t="str">
        <f t="shared" si="12552"/>
        <v>Revegetação - Hidrossemeadura</v>
      </c>
      <c r="AW3099" s="4" t="str">
        <f t="shared" si="12550"/>
        <v xml:space="preserve">   Revestimento vegetal por hidrossemeadura</v>
      </c>
    </row>
    <row r="3100" spans="1:49" ht="15.6" customHeight="1" outlineLevel="2">
      <c r="A3100" s="209">
        <v>0</v>
      </c>
      <c r="B3100" s="150"/>
      <c r="C3100" s="150"/>
      <c r="D3100" s="117"/>
      <c r="E3100" s="535"/>
      <c r="F3100" s="541"/>
      <c r="G3100" s="537"/>
      <c r="H3100" s="537"/>
      <c r="I3100" s="249"/>
      <c r="J3100" s="537"/>
      <c r="K3100" s="537"/>
      <c r="L3100" s="537"/>
      <c r="M3100" s="249"/>
      <c r="N3100" s="537"/>
      <c r="O3100" s="537"/>
      <c r="P3100" s="539"/>
      <c r="Q3100" s="539"/>
      <c r="R3100" s="539"/>
      <c r="S3100" s="539"/>
      <c r="T3100" s="539"/>
      <c r="U3100" s="539"/>
      <c r="V3100" s="539"/>
      <c r="W3100" s="537"/>
      <c r="X3100" s="540"/>
      <c r="Y3100" s="537"/>
      <c r="Z3100" s="537"/>
      <c r="AA3100" s="249"/>
      <c r="AB3100" s="249"/>
      <c r="AC3100" s="249"/>
      <c r="AD3100" s="537"/>
      <c r="AE3100" s="3"/>
      <c r="AF3100" s="35"/>
      <c r="AG3100" s="35"/>
      <c r="AH3100" s="35"/>
      <c r="AI3100" s="35"/>
      <c r="AJ3100" s="35"/>
      <c r="AK3100" s="35"/>
      <c r="AL3100" s="35"/>
      <c r="AM3100" s="3"/>
      <c r="AN3100" s="3"/>
      <c r="AO3100" s="35"/>
      <c r="AP3100" s="35"/>
      <c r="AV3100" t="str">
        <f t="shared" si="12552"/>
        <v>Revegetação - Hidrossemeadura</v>
      </c>
      <c r="AW3100" s="4" t="str">
        <f t="shared" si="12550"/>
        <v xml:space="preserve">   Revestimento vegetal por hidrossemeadura</v>
      </c>
    </row>
    <row r="3101" spans="1:49" ht="15.6" customHeight="1" outlineLevel="2">
      <c r="A3101" s="209">
        <v>0</v>
      </c>
      <c r="B3101" s="150"/>
      <c r="C3101" s="150"/>
      <c r="D3101" s="122"/>
      <c r="E3101" s="913" t="s">
        <v>44</v>
      </c>
      <c r="F3101" s="894" t="s">
        <v>3210</v>
      </c>
      <c r="G3101" s="528"/>
      <c r="H3101" s="542" t="s">
        <v>37</v>
      </c>
      <c r="I3101" s="543">
        <f>SUMIF($L3103:$L3148,$L3101,I3103:I3148)</f>
        <v>0</v>
      </c>
      <c r="J3101" s="860" t="str">
        <f>IFERROR((I3102/I3101),"-")</f>
        <v>-</v>
      </c>
      <c r="K3101" s="528"/>
      <c r="L3101" s="542" t="s">
        <v>37</v>
      </c>
      <c r="M3101" s="543">
        <f>SUMIF($L3103:$L3148,$L3101,M3103:M3148)</f>
        <v>0</v>
      </c>
      <c r="N3101" s="860" t="str">
        <f>IFERROR((M3102/M3101),"-")</f>
        <v>-</v>
      </c>
      <c r="O3101" s="528"/>
      <c r="P3101" s="543">
        <f t="shared" ref="P3101:U3101" si="12625">SUMIF($L3103:$L3148,$L3101,P3103:P3148)</f>
        <v>0</v>
      </c>
      <c r="Q3101" s="543">
        <f t="shared" si="12625"/>
        <v>0</v>
      </c>
      <c r="R3101" s="543">
        <f t="shared" si="12625"/>
        <v>0</v>
      </c>
      <c r="S3101" s="543">
        <f t="shared" si="12625"/>
        <v>0</v>
      </c>
      <c r="T3101" s="543">
        <f t="shared" si="12625"/>
        <v>0</v>
      </c>
      <c r="U3101" s="543">
        <f t="shared" si="12625"/>
        <v>0</v>
      </c>
      <c r="V3101" s="566"/>
      <c r="W3101" s="528"/>
      <c r="X3101" s="543">
        <f t="shared" ref="X3101:X3148" si="12626">SUMIFS(P3101:V3101,$P$8:$V$8,"&gt;="&amp;$P$8,$P$8:$V$8,"&lt;="&amp;$N$8)</f>
        <v>0</v>
      </c>
      <c r="Y3101" s="860" t="str">
        <f>IFERROR((X3102/X3101),"-")</f>
        <v>-</v>
      </c>
      <c r="Z3101" s="528"/>
      <c r="AA3101" s="814">
        <f>SUM(AA3103:AA3148)</f>
        <v>0</v>
      </c>
      <c r="AB3101" s="814">
        <f>SUM(AB3103:AB3148)</f>
        <v>0</v>
      </c>
      <c r="AC3101" s="814">
        <f>SUM(AC3103:AC3148)</f>
        <v>0</v>
      </c>
      <c r="AD3101" s="911" t="str">
        <f>IFERROR((AC3101/AA3101),"-")</f>
        <v>-</v>
      </c>
      <c r="AE3101" s="2"/>
      <c r="AF3101" s="888">
        <f t="shared" ref="AF3101:AL3101" si="12627">SUM(AF3103:AF3148)</f>
        <v>0</v>
      </c>
      <c r="AG3101" s="888">
        <f t="shared" si="12627"/>
        <v>0</v>
      </c>
      <c r="AH3101" s="888">
        <f t="shared" si="12627"/>
        <v>0</v>
      </c>
      <c r="AI3101" s="888">
        <f t="shared" si="12627"/>
        <v>0</v>
      </c>
      <c r="AJ3101" s="888">
        <f t="shared" ref="AJ3101" si="12628">SUM(AJ3103:AJ3148)</f>
        <v>0</v>
      </c>
      <c r="AK3101" s="888">
        <f t="shared" si="12627"/>
        <v>0</v>
      </c>
      <c r="AL3101" s="888">
        <f t="shared" si="12627"/>
        <v>0</v>
      </c>
      <c r="AM3101" s="743" t="str">
        <f>IFERROR((AK3101/AL3101),"-")</f>
        <v>-</v>
      </c>
      <c r="AN3101" s="2"/>
      <c r="AO3101" s="888">
        <f>SUM(AO3103:AO3148)</f>
        <v>360797.93999999994</v>
      </c>
      <c r="AP3101" s="888">
        <f>SUM(AP3103:AP3148)</f>
        <v>360797.93999999994</v>
      </c>
      <c r="AV3101" t="str">
        <f t="shared" si="12552"/>
        <v>Revegetação - Hidrossemeadura</v>
      </c>
      <c r="AW3101" s="4" t="str">
        <f t="shared" si="12550"/>
        <v>Pacote 05 - Segmento 2.5 - 138+160 a 153+420</v>
      </c>
    </row>
    <row r="3102" spans="1:49" ht="15.6" customHeight="1" outlineLevel="2">
      <c r="A3102" s="209">
        <v>0</v>
      </c>
      <c r="B3102" s="150"/>
      <c r="C3102" s="150"/>
      <c r="D3102" s="123"/>
      <c r="E3102" s="913"/>
      <c r="F3102" s="895"/>
      <c r="G3102" s="528"/>
      <c r="H3102" s="544" t="s">
        <v>38</v>
      </c>
      <c r="I3102" s="543">
        <f>SUMIF($L3103:$L3148,$L3102,I3103:I3148)</f>
        <v>0</v>
      </c>
      <c r="J3102" s="861"/>
      <c r="K3102" s="528"/>
      <c r="L3102" s="544" t="s">
        <v>38</v>
      </c>
      <c r="M3102" s="543">
        <f>SUMIF($L3103:$L3148,$L3102,M3103:M3148)</f>
        <v>0</v>
      </c>
      <c r="N3102" s="861"/>
      <c r="O3102" s="528"/>
      <c r="P3102" s="543">
        <f t="shared" ref="P3102:U3102" si="12629">SUMIF($L3103:$L3148,$L3102,P3103:P3148)</f>
        <v>0</v>
      </c>
      <c r="Q3102" s="543">
        <f t="shared" si="12629"/>
        <v>0</v>
      </c>
      <c r="R3102" s="543">
        <f t="shared" si="12629"/>
        <v>0</v>
      </c>
      <c r="S3102" s="543">
        <f t="shared" si="12629"/>
        <v>0</v>
      </c>
      <c r="T3102" s="543">
        <f t="shared" si="12629"/>
        <v>0</v>
      </c>
      <c r="U3102" s="543">
        <f t="shared" si="12629"/>
        <v>0</v>
      </c>
      <c r="V3102" s="566"/>
      <c r="W3102" s="528"/>
      <c r="X3102" s="543">
        <f t="shared" si="12626"/>
        <v>0</v>
      </c>
      <c r="Y3102" s="861"/>
      <c r="Z3102" s="528"/>
      <c r="AA3102" s="815"/>
      <c r="AB3102" s="815"/>
      <c r="AC3102" s="815"/>
      <c r="AD3102" s="912"/>
      <c r="AE3102" s="2"/>
      <c r="AF3102" s="889"/>
      <c r="AG3102" s="889"/>
      <c r="AH3102" s="889"/>
      <c r="AI3102" s="889"/>
      <c r="AJ3102" s="889"/>
      <c r="AK3102" s="889"/>
      <c r="AL3102" s="889"/>
      <c r="AM3102" s="744"/>
      <c r="AN3102" s="2"/>
      <c r="AO3102" s="888"/>
      <c r="AP3102" s="888"/>
      <c r="AV3102" t="str">
        <f t="shared" si="12552"/>
        <v>Revegetação - Hidrossemeadura</v>
      </c>
      <c r="AW3102" s="4" t="str">
        <f t="shared" si="12550"/>
        <v>Pacote 05 - Segmento 2.5 - 138+160 a 153+420</v>
      </c>
    </row>
    <row r="3103" spans="1:49" ht="15.6" customHeight="1" outlineLevel="2">
      <c r="A3103" s="8" t="str">
        <f t="shared" ref="A3103" si="12630">IF(SUM(P3103:V3104)&gt;0,"S","N")</f>
        <v>N</v>
      </c>
      <c r="B3103" s="150">
        <v>1068831</v>
      </c>
      <c r="C3103" s="150" t="s">
        <v>3530</v>
      </c>
      <c r="D3103" s="120" t="s">
        <v>3531</v>
      </c>
      <c r="E3103" s="892" t="s">
        <v>3302</v>
      </c>
      <c r="F3103" s="894" t="s">
        <v>3210</v>
      </c>
      <c r="G3103" s="528"/>
      <c r="H3103" s="546" t="s">
        <v>37</v>
      </c>
      <c r="I3103" s="711">
        <v>0</v>
      </c>
      <c r="J3103" s="896" t="str">
        <f t="shared" ref="J3103" si="12631">IFERROR((I3104/I3103),"-")</f>
        <v>-</v>
      </c>
      <c r="K3103" s="528"/>
      <c r="L3103" s="546" t="s">
        <v>37</v>
      </c>
      <c r="M3103" s="711">
        <f t="shared" ref="M3103:M3148" si="12632">_xlfn.XLOOKUP($N$8,$P$8:$V$8,$P3103:$V3103)</f>
        <v>0</v>
      </c>
      <c r="N3103" s="896" t="str">
        <f t="shared" ref="N3103" si="12633">IFERROR((M3104/M3103),"-")</f>
        <v>-</v>
      </c>
      <c r="O3103" s="528"/>
      <c r="P3103" s="547">
        <v>0</v>
      </c>
      <c r="Q3103" s="547">
        <v>0</v>
      </c>
      <c r="R3103" s="547">
        <v>0</v>
      </c>
      <c r="S3103" s="547">
        <v>0</v>
      </c>
      <c r="T3103" s="547">
        <v>0</v>
      </c>
      <c r="U3103" s="547">
        <v>0</v>
      </c>
      <c r="V3103" s="548">
        <v>0</v>
      </c>
      <c r="W3103" s="528"/>
      <c r="X3103" s="711">
        <f t="shared" si="12626"/>
        <v>0</v>
      </c>
      <c r="Y3103" s="896" t="str">
        <f t="shared" ref="Y3103" si="12634">IFERROR((X3104/X3103),"-")</f>
        <v>-</v>
      </c>
      <c r="Z3103" s="528"/>
      <c r="AA3103" s="898">
        <v>0</v>
      </c>
      <c r="AB3103" s="898">
        <v>0</v>
      </c>
      <c r="AC3103" s="898">
        <v>0</v>
      </c>
      <c r="AD3103" s="896" t="str">
        <f t="shared" ref="AD3103" si="12635">IFERROR((AC3103/AA3103),"-")</f>
        <v>-</v>
      </c>
      <c r="AE3103" s="2"/>
      <c r="AF3103" s="884">
        <v>0</v>
      </c>
      <c r="AG3103" s="884"/>
      <c r="AH3103" s="884">
        <v>0</v>
      </c>
      <c r="AI3103" s="884"/>
      <c r="AJ3103" s="884"/>
      <c r="AK3103" s="884">
        <f t="shared" ref="AK3103" si="12636">AF3103+AG3103+AH3103+AI3103+AJ3103+AC3103</f>
        <v>0</v>
      </c>
      <c r="AL3103" s="884">
        <v>0</v>
      </c>
      <c r="AM3103" s="878" t="str">
        <f t="shared" ref="AM3103" si="12637">IFERROR((AK3103/AL3103),"-")</f>
        <v>-</v>
      </c>
      <c r="AN3103" s="2"/>
      <c r="AO3103" s="884">
        <v>9668.07</v>
      </c>
      <c r="AP3103" s="884">
        <f t="shared" ref="AP3103" si="12638">AO3103-AK3103</f>
        <v>9668.07</v>
      </c>
      <c r="AV3103" t="str">
        <f t="shared" si="12552"/>
        <v>Revegetação - Hidrossemeadura</v>
      </c>
      <c r="AW3103" s="4" t="str">
        <f t="shared" si="12550"/>
        <v xml:space="preserve">   Revestimento vegetal por hidrossemeadura</v>
      </c>
    </row>
    <row r="3104" spans="1:49" ht="15.6" customHeight="1" outlineLevel="2">
      <c r="A3104" s="8" t="str">
        <f t="shared" ref="A3104" si="12639">A3103</f>
        <v>N</v>
      </c>
      <c r="B3104" s="150"/>
      <c r="C3104" s="150" t="s">
        <v>3530</v>
      </c>
      <c r="D3104" s="120" t="s">
        <v>3531</v>
      </c>
      <c r="E3104" s="893"/>
      <c r="F3104" s="895"/>
      <c r="G3104" s="528"/>
      <c r="H3104" s="549" t="s">
        <v>38</v>
      </c>
      <c r="I3104" s="711">
        <v>0</v>
      </c>
      <c r="J3104" s="897"/>
      <c r="K3104" s="528"/>
      <c r="L3104" s="549" t="s">
        <v>38</v>
      </c>
      <c r="M3104" s="711">
        <f t="shared" si="12632"/>
        <v>0</v>
      </c>
      <c r="N3104" s="897"/>
      <c r="O3104" s="528"/>
      <c r="P3104" s="548">
        <v>0</v>
      </c>
      <c r="Q3104" s="548">
        <v>0</v>
      </c>
      <c r="R3104" s="548">
        <v>0</v>
      </c>
      <c r="S3104" s="548">
        <v>0</v>
      </c>
      <c r="T3104" s="548">
        <v>0</v>
      </c>
      <c r="U3104" s="548">
        <v>0</v>
      </c>
      <c r="V3104" s="548"/>
      <c r="W3104" s="528"/>
      <c r="X3104" s="711">
        <f t="shared" si="12626"/>
        <v>0</v>
      </c>
      <c r="Y3104" s="897"/>
      <c r="Z3104" s="528"/>
      <c r="AA3104" s="899"/>
      <c r="AB3104" s="899"/>
      <c r="AC3104" s="899"/>
      <c r="AD3104" s="897"/>
      <c r="AE3104" s="2"/>
      <c r="AF3104" s="885"/>
      <c r="AG3104" s="885"/>
      <c r="AH3104" s="885"/>
      <c r="AI3104" s="885"/>
      <c r="AJ3104" s="885"/>
      <c r="AK3104" s="885"/>
      <c r="AL3104" s="885"/>
      <c r="AM3104" s="879"/>
      <c r="AN3104" s="2"/>
      <c r="AO3104" s="886"/>
      <c r="AP3104" s="886"/>
      <c r="AV3104" t="str">
        <f t="shared" si="12552"/>
        <v>Revegetação - Hidrossemeadura</v>
      </c>
      <c r="AW3104" s="4" t="str">
        <f t="shared" si="12550"/>
        <v xml:space="preserve">   Revestimento vegetal por hidrossemeadura</v>
      </c>
    </row>
    <row r="3105" spans="1:49" ht="15.6" customHeight="1" outlineLevel="2">
      <c r="A3105" s="8" t="str">
        <f t="shared" ref="A3105" si="12640">IF(SUM(P3105:V3106)&gt;0,"S","N")</f>
        <v>N</v>
      </c>
      <c r="B3105" s="150">
        <v>1068832</v>
      </c>
      <c r="C3105" s="150" t="s">
        <v>3532</v>
      </c>
      <c r="D3105" s="120" t="s">
        <v>3533</v>
      </c>
      <c r="E3105" s="892" t="s">
        <v>3302</v>
      </c>
      <c r="F3105" s="894" t="s">
        <v>3210</v>
      </c>
      <c r="G3105" s="528"/>
      <c r="H3105" s="546" t="s">
        <v>37</v>
      </c>
      <c r="I3105" s="711">
        <v>0</v>
      </c>
      <c r="J3105" s="896" t="str">
        <f t="shared" ref="J3105" si="12641">IFERROR((I3106/I3105),"-")</f>
        <v>-</v>
      </c>
      <c r="K3105" s="528"/>
      <c r="L3105" s="546" t="s">
        <v>37</v>
      </c>
      <c r="M3105" s="711">
        <f t="shared" si="12632"/>
        <v>0</v>
      </c>
      <c r="N3105" s="896" t="str">
        <f t="shared" ref="N3105" si="12642">IFERROR((M3106/M3105),"-")</f>
        <v>-</v>
      </c>
      <c r="O3105" s="528"/>
      <c r="P3105" s="547">
        <v>0</v>
      </c>
      <c r="Q3105" s="547">
        <v>0</v>
      </c>
      <c r="R3105" s="547">
        <v>0</v>
      </c>
      <c r="S3105" s="547">
        <v>0</v>
      </c>
      <c r="T3105" s="547">
        <v>0</v>
      </c>
      <c r="U3105" s="547">
        <v>0</v>
      </c>
      <c r="V3105" s="548">
        <v>0</v>
      </c>
      <c r="W3105" s="528"/>
      <c r="X3105" s="711">
        <f t="shared" si="12626"/>
        <v>0</v>
      </c>
      <c r="Y3105" s="896" t="str">
        <f t="shared" ref="Y3105" si="12643">IFERROR((X3106/X3105),"-")</f>
        <v>-</v>
      </c>
      <c r="Z3105" s="528"/>
      <c r="AA3105" s="898">
        <v>0</v>
      </c>
      <c r="AB3105" s="898">
        <v>0</v>
      </c>
      <c r="AC3105" s="898">
        <v>0</v>
      </c>
      <c r="AD3105" s="896" t="str">
        <f t="shared" ref="AD3105" si="12644">IFERROR((AC3105/AA3105),"-")</f>
        <v>-</v>
      </c>
      <c r="AE3105" s="2"/>
      <c r="AF3105" s="884">
        <v>0</v>
      </c>
      <c r="AG3105" s="884"/>
      <c r="AH3105" s="884">
        <v>0</v>
      </c>
      <c r="AI3105" s="884"/>
      <c r="AJ3105" s="884"/>
      <c r="AK3105" s="884">
        <f t="shared" ref="AK3105" si="12645">AF3105+AG3105+AH3105+AI3105+AJ3105+AC3105</f>
        <v>0</v>
      </c>
      <c r="AL3105" s="884">
        <v>0</v>
      </c>
      <c r="AM3105" s="878" t="str">
        <f t="shared" ref="AM3105" si="12646">IFERROR((AK3105/AL3105),"-")</f>
        <v>-</v>
      </c>
      <c r="AN3105" s="2"/>
      <c r="AO3105" s="884">
        <v>7317.73</v>
      </c>
      <c r="AP3105" s="884">
        <f t="shared" ref="AP3105" si="12647">AO3105-AK3105</f>
        <v>7317.73</v>
      </c>
      <c r="AV3105" t="str">
        <f t="shared" si="12552"/>
        <v>Revegetação - Hidrossemeadura</v>
      </c>
      <c r="AW3105" s="4" t="str">
        <f t="shared" si="12550"/>
        <v xml:space="preserve">   Revestimento vegetal por hidrossemeadura</v>
      </c>
    </row>
    <row r="3106" spans="1:49" ht="15.6" customHeight="1" outlineLevel="2">
      <c r="A3106" s="8" t="str">
        <f t="shared" ref="A3106" si="12648">A3105</f>
        <v>N</v>
      </c>
      <c r="B3106" s="150"/>
      <c r="C3106" s="150" t="s">
        <v>3532</v>
      </c>
      <c r="D3106" s="120" t="s">
        <v>3533</v>
      </c>
      <c r="E3106" s="893"/>
      <c r="F3106" s="895"/>
      <c r="G3106" s="528"/>
      <c r="H3106" s="549" t="s">
        <v>38</v>
      </c>
      <c r="I3106" s="711">
        <v>0</v>
      </c>
      <c r="J3106" s="897"/>
      <c r="K3106" s="528"/>
      <c r="L3106" s="549" t="s">
        <v>38</v>
      </c>
      <c r="M3106" s="711">
        <f t="shared" si="12632"/>
        <v>0</v>
      </c>
      <c r="N3106" s="897"/>
      <c r="O3106" s="528"/>
      <c r="P3106" s="548">
        <v>0</v>
      </c>
      <c r="Q3106" s="548">
        <v>0</v>
      </c>
      <c r="R3106" s="548">
        <v>0</v>
      </c>
      <c r="S3106" s="548">
        <v>0</v>
      </c>
      <c r="T3106" s="548">
        <v>0</v>
      </c>
      <c r="U3106" s="548">
        <v>0</v>
      </c>
      <c r="V3106" s="548"/>
      <c r="W3106" s="528"/>
      <c r="X3106" s="711">
        <f t="shared" si="12626"/>
        <v>0</v>
      </c>
      <c r="Y3106" s="897"/>
      <c r="Z3106" s="528"/>
      <c r="AA3106" s="899"/>
      <c r="AB3106" s="899"/>
      <c r="AC3106" s="899"/>
      <c r="AD3106" s="897"/>
      <c r="AE3106" s="2"/>
      <c r="AF3106" s="885"/>
      <c r="AG3106" s="885"/>
      <c r="AH3106" s="885"/>
      <c r="AI3106" s="885"/>
      <c r="AJ3106" s="885"/>
      <c r="AK3106" s="885"/>
      <c r="AL3106" s="885"/>
      <c r="AM3106" s="879"/>
      <c r="AN3106" s="2"/>
      <c r="AO3106" s="886"/>
      <c r="AP3106" s="886"/>
      <c r="AV3106" t="str">
        <f t="shared" si="12552"/>
        <v>Revegetação - Hidrossemeadura</v>
      </c>
      <c r="AW3106" s="4" t="str">
        <f t="shared" si="12550"/>
        <v xml:space="preserve">   Revestimento vegetal por hidrossemeadura</v>
      </c>
    </row>
    <row r="3107" spans="1:49" ht="15.6" customHeight="1" outlineLevel="2">
      <c r="A3107" s="8" t="str">
        <f t="shared" ref="A3107" si="12649">IF(SUM(P3107:V3108)&gt;0,"S","N")</f>
        <v>N</v>
      </c>
      <c r="B3107" s="150">
        <v>1068833</v>
      </c>
      <c r="C3107" s="150" t="s">
        <v>3534</v>
      </c>
      <c r="D3107" s="120" t="s">
        <v>3535</v>
      </c>
      <c r="E3107" s="892" t="s">
        <v>3302</v>
      </c>
      <c r="F3107" s="894" t="s">
        <v>3210</v>
      </c>
      <c r="G3107" s="528"/>
      <c r="H3107" s="546" t="s">
        <v>37</v>
      </c>
      <c r="I3107" s="711">
        <v>0</v>
      </c>
      <c r="J3107" s="896" t="str">
        <f t="shared" ref="J3107" si="12650">IFERROR((I3108/I3107),"-")</f>
        <v>-</v>
      </c>
      <c r="K3107" s="528"/>
      <c r="L3107" s="546" t="s">
        <v>37</v>
      </c>
      <c r="M3107" s="711">
        <f t="shared" si="12632"/>
        <v>0</v>
      </c>
      <c r="N3107" s="896" t="str">
        <f t="shared" ref="N3107" si="12651">IFERROR((M3108/M3107),"-")</f>
        <v>-</v>
      </c>
      <c r="O3107" s="528"/>
      <c r="P3107" s="547">
        <v>0</v>
      </c>
      <c r="Q3107" s="547">
        <v>0</v>
      </c>
      <c r="R3107" s="547">
        <v>0</v>
      </c>
      <c r="S3107" s="547">
        <v>0</v>
      </c>
      <c r="T3107" s="547">
        <v>0</v>
      </c>
      <c r="U3107" s="547">
        <v>0</v>
      </c>
      <c r="V3107" s="548">
        <v>0</v>
      </c>
      <c r="W3107" s="528"/>
      <c r="X3107" s="711">
        <f t="shared" si="12626"/>
        <v>0</v>
      </c>
      <c r="Y3107" s="896" t="str">
        <f t="shared" ref="Y3107" si="12652">IFERROR((X3108/X3107),"-")</f>
        <v>-</v>
      </c>
      <c r="Z3107" s="528"/>
      <c r="AA3107" s="898">
        <v>0</v>
      </c>
      <c r="AB3107" s="898">
        <v>0</v>
      </c>
      <c r="AC3107" s="898">
        <v>0</v>
      </c>
      <c r="AD3107" s="896" t="str">
        <f t="shared" ref="AD3107" si="12653">IFERROR((AC3107/AA3107),"-")</f>
        <v>-</v>
      </c>
      <c r="AE3107" s="2"/>
      <c r="AF3107" s="884">
        <v>0</v>
      </c>
      <c r="AG3107" s="884"/>
      <c r="AH3107" s="884">
        <v>0</v>
      </c>
      <c r="AI3107" s="884"/>
      <c r="AJ3107" s="884"/>
      <c r="AK3107" s="884">
        <f t="shared" ref="AK3107" si="12654">AF3107+AG3107+AH3107+AI3107+AJ3107+AC3107</f>
        <v>0</v>
      </c>
      <c r="AL3107" s="884">
        <v>0</v>
      </c>
      <c r="AM3107" s="878" t="str">
        <f t="shared" ref="AM3107" si="12655">IFERROR((AK3107/AL3107),"-")</f>
        <v>-</v>
      </c>
      <c r="AN3107" s="2"/>
      <c r="AO3107" s="884">
        <v>2012.3</v>
      </c>
      <c r="AP3107" s="884">
        <f t="shared" ref="AP3107" si="12656">AO3107-AK3107</f>
        <v>2012.3</v>
      </c>
      <c r="AV3107" t="str">
        <f t="shared" si="12552"/>
        <v>Revegetação - Hidrossemeadura</v>
      </c>
      <c r="AW3107" s="4" t="str">
        <f t="shared" si="12550"/>
        <v xml:space="preserve">   Revestimento vegetal por hidrossemeadura</v>
      </c>
    </row>
    <row r="3108" spans="1:49" ht="15.6" customHeight="1" outlineLevel="2">
      <c r="A3108" s="8" t="str">
        <f t="shared" ref="A3108" si="12657">A3107</f>
        <v>N</v>
      </c>
      <c r="B3108" s="150"/>
      <c r="C3108" s="150" t="s">
        <v>3534</v>
      </c>
      <c r="D3108" s="120" t="s">
        <v>3535</v>
      </c>
      <c r="E3108" s="893"/>
      <c r="F3108" s="895"/>
      <c r="G3108" s="528"/>
      <c r="H3108" s="549" t="s">
        <v>38</v>
      </c>
      <c r="I3108" s="711">
        <v>0</v>
      </c>
      <c r="J3108" s="897"/>
      <c r="K3108" s="528"/>
      <c r="L3108" s="549" t="s">
        <v>38</v>
      </c>
      <c r="M3108" s="711">
        <f t="shared" si="12632"/>
        <v>0</v>
      </c>
      <c r="N3108" s="897"/>
      <c r="O3108" s="528"/>
      <c r="P3108" s="548">
        <v>0</v>
      </c>
      <c r="Q3108" s="548">
        <v>0</v>
      </c>
      <c r="R3108" s="548">
        <v>0</v>
      </c>
      <c r="S3108" s="548">
        <v>0</v>
      </c>
      <c r="T3108" s="548">
        <v>0</v>
      </c>
      <c r="U3108" s="548">
        <v>0</v>
      </c>
      <c r="V3108" s="548"/>
      <c r="W3108" s="528"/>
      <c r="X3108" s="711">
        <f t="shared" si="12626"/>
        <v>0</v>
      </c>
      <c r="Y3108" s="897"/>
      <c r="Z3108" s="528"/>
      <c r="AA3108" s="899"/>
      <c r="AB3108" s="899"/>
      <c r="AC3108" s="899"/>
      <c r="AD3108" s="897"/>
      <c r="AE3108" s="2"/>
      <c r="AF3108" s="885"/>
      <c r="AG3108" s="885"/>
      <c r="AH3108" s="885"/>
      <c r="AI3108" s="885"/>
      <c r="AJ3108" s="885"/>
      <c r="AK3108" s="885"/>
      <c r="AL3108" s="885"/>
      <c r="AM3108" s="879"/>
      <c r="AN3108" s="2"/>
      <c r="AO3108" s="886"/>
      <c r="AP3108" s="886"/>
      <c r="AV3108" t="str">
        <f t="shared" si="12552"/>
        <v>Revegetação - Hidrossemeadura</v>
      </c>
      <c r="AW3108" s="4" t="str">
        <f t="shared" si="12550"/>
        <v xml:space="preserve">   Revestimento vegetal por hidrossemeadura</v>
      </c>
    </row>
    <row r="3109" spans="1:49" ht="15.6" customHeight="1" outlineLevel="2">
      <c r="A3109" s="8" t="str">
        <f t="shared" ref="A3109" si="12658">IF(SUM(P3109:V3110)&gt;0,"S","N")</f>
        <v>N</v>
      </c>
      <c r="B3109" s="150">
        <v>1068834</v>
      </c>
      <c r="C3109" s="150" t="s">
        <v>3536</v>
      </c>
      <c r="D3109" s="120" t="s">
        <v>3537</v>
      </c>
      <c r="E3109" s="892" t="s">
        <v>3302</v>
      </c>
      <c r="F3109" s="894" t="s">
        <v>3210</v>
      </c>
      <c r="G3109" s="528"/>
      <c r="H3109" s="546" t="s">
        <v>37</v>
      </c>
      <c r="I3109" s="711">
        <v>0</v>
      </c>
      <c r="J3109" s="896" t="str">
        <f t="shared" ref="J3109" si="12659">IFERROR((I3110/I3109),"-")</f>
        <v>-</v>
      </c>
      <c r="K3109" s="528"/>
      <c r="L3109" s="546" t="s">
        <v>37</v>
      </c>
      <c r="M3109" s="711">
        <f t="shared" si="12632"/>
        <v>0</v>
      </c>
      <c r="N3109" s="896" t="str">
        <f t="shared" ref="N3109" si="12660">IFERROR((M3110/M3109),"-")</f>
        <v>-</v>
      </c>
      <c r="O3109" s="528"/>
      <c r="P3109" s="547">
        <v>0</v>
      </c>
      <c r="Q3109" s="547">
        <v>0</v>
      </c>
      <c r="R3109" s="547">
        <v>0</v>
      </c>
      <c r="S3109" s="547">
        <v>0</v>
      </c>
      <c r="T3109" s="547">
        <v>0</v>
      </c>
      <c r="U3109" s="547">
        <v>0</v>
      </c>
      <c r="V3109" s="548">
        <v>0</v>
      </c>
      <c r="W3109" s="528"/>
      <c r="X3109" s="711">
        <f t="shared" si="12626"/>
        <v>0</v>
      </c>
      <c r="Y3109" s="896" t="str">
        <f t="shared" ref="Y3109" si="12661">IFERROR((X3110/X3109),"-")</f>
        <v>-</v>
      </c>
      <c r="Z3109" s="528"/>
      <c r="AA3109" s="898">
        <v>0</v>
      </c>
      <c r="AB3109" s="898">
        <v>0</v>
      </c>
      <c r="AC3109" s="898">
        <v>0</v>
      </c>
      <c r="AD3109" s="896" t="str">
        <f t="shared" ref="AD3109" si="12662">IFERROR((AC3109/AA3109),"-")</f>
        <v>-</v>
      </c>
      <c r="AE3109" s="2"/>
      <c r="AF3109" s="884">
        <v>0</v>
      </c>
      <c r="AG3109" s="884"/>
      <c r="AH3109" s="884">
        <v>0</v>
      </c>
      <c r="AI3109" s="884"/>
      <c r="AJ3109" s="884"/>
      <c r="AK3109" s="884">
        <f t="shared" ref="AK3109" si="12663">AF3109+AG3109+AH3109+AI3109+AJ3109+AC3109</f>
        <v>0</v>
      </c>
      <c r="AL3109" s="884">
        <v>0</v>
      </c>
      <c r="AM3109" s="878" t="str">
        <f t="shared" ref="AM3109" si="12664">IFERROR((AK3109/AL3109),"-")</f>
        <v>-</v>
      </c>
      <c r="AN3109" s="2"/>
      <c r="AO3109" s="884">
        <v>9852.7099999999991</v>
      </c>
      <c r="AP3109" s="884">
        <f t="shared" ref="AP3109" si="12665">AO3109-AK3109</f>
        <v>9852.7099999999991</v>
      </c>
      <c r="AV3109" t="str">
        <f t="shared" si="12552"/>
        <v>Revegetação - Hidrossemeadura</v>
      </c>
      <c r="AW3109" s="4" t="str">
        <f t="shared" si="12550"/>
        <v xml:space="preserve">   Revestimento vegetal por hidrossemeadura</v>
      </c>
    </row>
    <row r="3110" spans="1:49" ht="15.6" customHeight="1" outlineLevel="2">
      <c r="A3110" s="8" t="str">
        <f t="shared" ref="A3110" si="12666">A3109</f>
        <v>N</v>
      </c>
      <c r="B3110" s="150"/>
      <c r="C3110" s="150" t="s">
        <v>3536</v>
      </c>
      <c r="D3110" s="120" t="s">
        <v>3537</v>
      </c>
      <c r="E3110" s="893"/>
      <c r="F3110" s="895"/>
      <c r="G3110" s="528"/>
      <c r="H3110" s="549" t="s">
        <v>38</v>
      </c>
      <c r="I3110" s="711">
        <v>0</v>
      </c>
      <c r="J3110" s="897"/>
      <c r="K3110" s="528"/>
      <c r="L3110" s="549" t="s">
        <v>38</v>
      </c>
      <c r="M3110" s="711">
        <f t="shared" si="12632"/>
        <v>0</v>
      </c>
      <c r="N3110" s="897"/>
      <c r="O3110" s="528"/>
      <c r="P3110" s="548">
        <v>0</v>
      </c>
      <c r="Q3110" s="548">
        <v>0</v>
      </c>
      <c r="R3110" s="548">
        <v>0</v>
      </c>
      <c r="S3110" s="548">
        <v>0</v>
      </c>
      <c r="T3110" s="548">
        <v>0</v>
      </c>
      <c r="U3110" s="548">
        <v>0</v>
      </c>
      <c r="V3110" s="548"/>
      <c r="W3110" s="528"/>
      <c r="X3110" s="711">
        <f t="shared" si="12626"/>
        <v>0</v>
      </c>
      <c r="Y3110" s="897"/>
      <c r="Z3110" s="528"/>
      <c r="AA3110" s="899"/>
      <c r="AB3110" s="899"/>
      <c r="AC3110" s="899"/>
      <c r="AD3110" s="897"/>
      <c r="AE3110" s="2"/>
      <c r="AF3110" s="885"/>
      <c r="AG3110" s="885"/>
      <c r="AH3110" s="885"/>
      <c r="AI3110" s="885"/>
      <c r="AJ3110" s="885"/>
      <c r="AK3110" s="885"/>
      <c r="AL3110" s="885"/>
      <c r="AM3110" s="879"/>
      <c r="AN3110" s="2"/>
      <c r="AO3110" s="886"/>
      <c r="AP3110" s="886"/>
      <c r="AV3110" t="str">
        <f t="shared" si="12552"/>
        <v>Revegetação - Hidrossemeadura</v>
      </c>
      <c r="AW3110" s="4" t="str">
        <f t="shared" si="12550"/>
        <v xml:space="preserve">   Revestimento vegetal por hidrossemeadura</v>
      </c>
    </row>
    <row r="3111" spans="1:49" ht="15.6" customHeight="1" outlineLevel="2">
      <c r="A3111" s="8" t="str">
        <f t="shared" ref="A3111" si="12667">IF(SUM(P3111:V3112)&gt;0,"S","N")</f>
        <v>N</v>
      </c>
      <c r="B3111" s="150">
        <v>1068835</v>
      </c>
      <c r="C3111" s="150" t="s">
        <v>3538</v>
      </c>
      <c r="D3111" s="120" t="s">
        <v>3539</v>
      </c>
      <c r="E3111" s="892" t="s">
        <v>3302</v>
      </c>
      <c r="F3111" s="894" t="s">
        <v>3210</v>
      </c>
      <c r="G3111" s="528"/>
      <c r="H3111" s="546" t="s">
        <v>37</v>
      </c>
      <c r="I3111" s="711">
        <v>0</v>
      </c>
      <c r="J3111" s="896" t="str">
        <f t="shared" ref="J3111" si="12668">IFERROR((I3112/I3111),"-")</f>
        <v>-</v>
      </c>
      <c r="K3111" s="528"/>
      <c r="L3111" s="546" t="s">
        <v>37</v>
      </c>
      <c r="M3111" s="711">
        <f t="shared" si="12632"/>
        <v>0</v>
      </c>
      <c r="N3111" s="896" t="str">
        <f t="shared" ref="N3111" si="12669">IFERROR((M3112/M3111),"-")</f>
        <v>-</v>
      </c>
      <c r="O3111" s="528"/>
      <c r="P3111" s="547">
        <v>0</v>
      </c>
      <c r="Q3111" s="547">
        <v>0</v>
      </c>
      <c r="R3111" s="547">
        <v>0</v>
      </c>
      <c r="S3111" s="547">
        <v>0</v>
      </c>
      <c r="T3111" s="547">
        <v>0</v>
      </c>
      <c r="U3111" s="547">
        <v>0</v>
      </c>
      <c r="V3111" s="548">
        <v>0</v>
      </c>
      <c r="W3111" s="528"/>
      <c r="X3111" s="711">
        <f t="shared" si="12626"/>
        <v>0</v>
      </c>
      <c r="Y3111" s="896" t="str">
        <f t="shared" ref="Y3111" si="12670">IFERROR((X3112/X3111),"-")</f>
        <v>-</v>
      </c>
      <c r="Z3111" s="528"/>
      <c r="AA3111" s="898">
        <v>0</v>
      </c>
      <c r="AB3111" s="898">
        <v>0</v>
      </c>
      <c r="AC3111" s="898">
        <v>0</v>
      </c>
      <c r="AD3111" s="896" t="str">
        <f t="shared" ref="AD3111" si="12671">IFERROR((AC3111/AA3111),"-")</f>
        <v>-</v>
      </c>
      <c r="AE3111" s="2"/>
      <c r="AF3111" s="884">
        <v>0</v>
      </c>
      <c r="AG3111" s="884"/>
      <c r="AH3111" s="884">
        <v>0</v>
      </c>
      <c r="AI3111" s="884"/>
      <c r="AJ3111" s="884"/>
      <c r="AK3111" s="884">
        <f t="shared" ref="AK3111" si="12672">AF3111+AG3111+AH3111+AI3111+AJ3111+AC3111</f>
        <v>0</v>
      </c>
      <c r="AL3111" s="884">
        <v>0</v>
      </c>
      <c r="AM3111" s="878" t="str">
        <f t="shared" ref="AM3111" si="12673">IFERROR((AK3111/AL3111),"-")</f>
        <v>-</v>
      </c>
      <c r="AN3111" s="2"/>
      <c r="AO3111" s="884">
        <v>3354.06</v>
      </c>
      <c r="AP3111" s="884">
        <f t="shared" ref="AP3111" si="12674">AO3111-AK3111</f>
        <v>3354.06</v>
      </c>
      <c r="AV3111" t="str">
        <f t="shared" si="12552"/>
        <v>Revegetação - Hidrossemeadura</v>
      </c>
      <c r="AW3111" s="4" t="str">
        <f t="shared" si="12550"/>
        <v xml:space="preserve">   Revestimento vegetal por hidrossemeadura</v>
      </c>
    </row>
    <row r="3112" spans="1:49" ht="15.6" customHeight="1" outlineLevel="2">
      <c r="A3112" s="8" t="str">
        <f t="shared" ref="A3112" si="12675">A3111</f>
        <v>N</v>
      </c>
      <c r="B3112" s="150"/>
      <c r="C3112" s="150" t="s">
        <v>3538</v>
      </c>
      <c r="D3112" s="120" t="s">
        <v>3539</v>
      </c>
      <c r="E3112" s="893"/>
      <c r="F3112" s="895"/>
      <c r="G3112" s="528"/>
      <c r="H3112" s="549" t="s">
        <v>38</v>
      </c>
      <c r="I3112" s="711">
        <v>0</v>
      </c>
      <c r="J3112" s="897"/>
      <c r="K3112" s="528"/>
      <c r="L3112" s="549" t="s">
        <v>38</v>
      </c>
      <c r="M3112" s="711">
        <f t="shared" si="12632"/>
        <v>0</v>
      </c>
      <c r="N3112" s="897"/>
      <c r="O3112" s="528"/>
      <c r="P3112" s="548">
        <v>0</v>
      </c>
      <c r="Q3112" s="548">
        <v>0</v>
      </c>
      <c r="R3112" s="548">
        <v>0</v>
      </c>
      <c r="S3112" s="548">
        <v>0</v>
      </c>
      <c r="T3112" s="548">
        <v>0</v>
      </c>
      <c r="U3112" s="548">
        <v>0</v>
      </c>
      <c r="V3112" s="548"/>
      <c r="W3112" s="528"/>
      <c r="X3112" s="711">
        <f t="shared" si="12626"/>
        <v>0</v>
      </c>
      <c r="Y3112" s="897"/>
      <c r="Z3112" s="528"/>
      <c r="AA3112" s="899"/>
      <c r="AB3112" s="899"/>
      <c r="AC3112" s="899"/>
      <c r="AD3112" s="897"/>
      <c r="AE3112" s="2"/>
      <c r="AF3112" s="885"/>
      <c r="AG3112" s="885"/>
      <c r="AH3112" s="885"/>
      <c r="AI3112" s="885"/>
      <c r="AJ3112" s="885"/>
      <c r="AK3112" s="885"/>
      <c r="AL3112" s="885"/>
      <c r="AM3112" s="879"/>
      <c r="AN3112" s="2"/>
      <c r="AO3112" s="886"/>
      <c r="AP3112" s="886"/>
      <c r="AV3112" t="str">
        <f t="shared" si="12552"/>
        <v>Revegetação - Hidrossemeadura</v>
      </c>
      <c r="AW3112" s="4" t="str">
        <f t="shared" si="12550"/>
        <v xml:space="preserve">   Revestimento vegetal por hidrossemeadura</v>
      </c>
    </row>
    <row r="3113" spans="1:49" ht="15.6" customHeight="1" outlineLevel="2">
      <c r="A3113" s="8" t="str">
        <f t="shared" ref="A3113" si="12676">IF(SUM(P3113:V3114)&gt;0,"S","N")</f>
        <v>N</v>
      </c>
      <c r="B3113" s="150">
        <v>1068836</v>
      </c>
      <c r="C3113" s="150" t="s">
        <v>3540</v>
      </c>
      <c r="D3113" s="120" t="s">
        <v>3541</v>
      </c>
      <c r="E3113" s="892" t="s">
        <v>3302</v>
      </c>
      <c r="F3113" s="894" t="s">
        <v>3210</v>
      </c>
      <c r="G3113" s="528"/>
      <c r="H3113" s="546" t="s">
        <v>37</v>
      </c>
      <c r="I3113" s="711">
        <v>0</v>
      </c>
      <c r="J3113" s="896" t="str">
        <f t="shared" ref="J3113" si="12677">IFERROR((I3114/I3113),"-")</f>
        <v>-</v>
      </c>
      <c r="K3113" s="528"/>
      <c r="L3113" s="546" t="s">
        <v>37</v>
      </c>
      <c r="M3113" s="711">
        <f t="shared" si="12632"/>
        <v>0</v>
      </c>
      <c r="N3113" s="896" t="str">
        <f t="shared" ref="N3113" si="12678">IFERROR((M3114/M3113),"-")</f>
        <v>-</v>
      </c>
      <c r="O3113" s="528"/>
      <c r="P3113" s="547">
        <v>0</v>
      </c>
      <c r="Q3113" s="547">
        <v>0</v>
      </c>
      <c r="R3113" s="547">
        <v>0</v>
      </c>
      <c r="S3113" s="547">
        <v>0</v>
      </c>
      <c r="T3113" s="547">
        <v>0</v>
      </c>
      <c r="U3113" s="547">
        <v>0</v>
      </c>
      <c r="V3113" s="548">
        <v>0</v>
      </c>
      <c r="W3113" s="528"/>
      <c r="X3113" s="711">
        <f t="shared" si="12626"/>
        <v>0</v>
      </c>
      <c r="Y3113" s="896" t="str">
        <f t="shared" ref="Y3113" si="12679">IFERROR((X3114/X3113),"-")</f>
        <v>-</v>
      </c>
      <c r="Z3113" s="528"/>
      <c r="AA3113" s="898">
        <v>0</v>
      </c>
      <c r="AB3113" s="898">
        <v>0</v>
      </c>
      <c r="AC3113" s="898">
        <v>0</v>
      </c>
      <c r="AD3113" s="896" t="str">
        <f t="shared" ref="AD3113" si="12680">IFERROR((AC3113/AA3113),"-")</f>
        <v>-</v>
      </c>
      <c r="AE3113" s="2"/>
      <c r="AF3113" s="884">
        <v>0</v>
      </c>
      <c r="AG3113" s="884"/>
      <c r="AH3113" s="884">
        <v>0</v>
      </c>
      <c r="AI3113" s="884"/>
      <c r="AJ3113" s="884"/>
      <c r="AK3113" s="884">
        <f t="shared" ref="AK3113" si="12681">AF3113+AG3113+AH3113+AI3113+AJ3113+AC3113</f>
        <v>0</v>
      </c>
      <c r="AL3113" s="884">
        <v>0</v>
      </c>
      <c r="AM3113" s="878" t="str">
        <f t="shared" ref="AM3113" si="12682">IFERROR((AK3113/AL3113),"-")</f>
        <v>-</v>
      </c>
      <c r="AN3113" s="2"/>
      <c r="AO3113" s="884">
        <v>2028.32</v>
      </c>
      <c r="AP3113" s="884">
        <f t="shared" ref="AP3113" si="12683">AO3113-AK3113</f>
        <v>2028.32</v>
      </c>
      <c r="AV3113" t="str">
        <f t="shared" si="12552"/>
        <v>Revegetação - Hidrossemeadura</v>
      </c>
      <c r="AW3113" s="4" t="str">
        <f t="shared" si="12550"/>
        <v xml:space="preserve">   Revestimento vegetal por hidrossemeadura</v>
      </c>
    </row>
    <row r="3114" spans="1:49" ht="15.6" customHeight="1" outlineLevel="2">
      <c r="A3114" s="8" t="str">
        <f t="shared" ref="A3114" si="12684">A3113</f>
        <v>N</v>
      </c>
      <c r="B3114" s="150"/>
      <c r="C3114" s="150" t="s">
        <v>3540</v>
      </c>
      <c r="D3114" s="120" t="s">
        <v>3541</v>
      </c>
      <c r="E3114" s="893"/>
      <c r="F3114" s="895"/>
      <c r="G3114" s="528"/>
      <c r="H3114" s="549" t="s">
        <v>38</v>
      </c>
      <c r="I3114" s="711">
        <v>0</v>
      </c>
      <c r="J3114" s="897"/>
      <c r="K3114" s="528"/>
      <c r="L3114" s="549" t="s">
        <v>38</v>
      </c>
      <c r="M3114" s="711">
        <f t="shared" si="12632"/>
        <v>0</v>
      </c>
      <c r="N3114" s="897"/>
      <c r="O3114" s="528"/>
      <c r="P3114" s="548">
        <v>0</v>
      </c>
      <c r="Q3114" s="548">
        <v>0</v>
      </c>
      <c r="R3114" s="548">
        <v>0</v>
      </c>
      <c r="S3114" s="548">
        <v>0</v>
      </c>
      <c r="T3114" s="548">
        <v>0</v>
      </c>
      <c r="U3114" s="548">
        <v>0</v>
      </c>
      <c r="V3114" s="548"/>
      <c r="W3114" s="528"/>
      <c r="X3114" s="711">
        <f t="shared" si="12626"/>
        <v>0</v>
      </c>
      <c r="Y3114" s="897"/>
      <c r="Z3114" s="528"/>
      <c r="AA3114" s="899"/>
      <c r="AB3114" s="899"/>
      <c r="AC3114" s="899"/>
      <c r="AD3114" s="897"/>
      <c r="AE3114" s="2"/>
      <c r="AF3114" s="885"/>
      <c r="AG3114" s="885"/>
      <c r="AH3114" s="885"/>
      <c r="AI3114" s="885"/>
      <c r="AJ3114" s="885"/>
      <c r="AK3114" s="885"/>
      <c r="AL3114" s="885"/>
      <c r="AM3114" s="879"/>
      <c r="AN3114" s="2"/>
      <c r="AO3114" s="886"/>
      <c r="AP3114" s="886"/>
      <c r="AV3114" t="str">
        <f t="shared" si="12552"/>
        <v>Revegetação - Hidrossemeadura</v>
      </c>
      <c r="AW3114" s="4" t="str">
        <f t="shared" si="12550"/>
        <v xml:space="preserve">   Revestimento vegetal por hidrossemeadura</v>
      </c>
    </row>
    <row r="3115" spans="1:49" ht="15.6" customHeight="1" outlineLevel="2">
      <c r="A3115" s="8" t="str">
        <f t="shared" ref="A3115" si="12685">IF(SUM(P3115:V3116)&gt;0,"S","N")</f>
        <v>N</v>
      </c>
      <c r="B3115" s="150">
        <v>1068837</v>
      </c>
      <c r="C3115" s="150" t="s">
        <v>3542</v>
      </c>
      <c r="D3115" s="120" t="s">
        <v>3543</v>
      </c>
      <c r="E3115" s="892" t="s">
        <v>3302</v>
      </c>
      <c r="F3115" s="894" t="s">
        <v>3210</v>
      </c>
      <c r="G3115" s="528"/>
      <c r="H3115" s="546" t="s">
        <v>37</v>
      </c>
      <c r="I3115" s="711">
        <v>0</v>
      </c>
      <c r="J3115" s="896" t="str">
        <f t="shared" ref="J3115" si="12686">IFERROR((I3116/I3115),"-")</f>
        <v>-</v>
      </c>
      <c r="K3115" s="528"/>
      <c r="L3115" s="546" t="s">
        <v>37</v>
      </c>
      <c r="M3115" s="711">
        <f t="shared" si="12632"/>
        <v>0</v>
      </c>
      <c r="N3115" s="896" t="str">
        <f t="shared" ref="N3115" si="12687">IFERROR((M3116/M3115),"-")</f>
        <v>-</v>
      </c>
      <c r="O3115" s="528"/>
      <c r="P3115" s="547">
        <v>0</v>
      </c>
      <c r="Q3115" s="547">
        <v>0</v>
      </c>
      <c r="R3115" s="547">
        <v>0</v>
      </c>
      <c r="S3115" s="547">
        <v>0</v>
      </c>
      <c r="T3115" s="547">
        <v>0</v>
      </c>
      <c r="U3115" s="547">
        <v>0</v>
      </c>
      <c r="V3115" s="548">
        <v>0</v>
      </c>
      <c r="W3115" s="528"/>
      <c r="X3115" s="711">
        <f t="shared" si="12626"/>
        <v>0</v>
      </c>
      <c r="Y3115" s="896" t="str">
        <f t="shared" ref="Y3115" si="12688">IFERROR((X3116/X3115),"-")</f>
        <v>-</v>
      </c>
      <c r="Z3115" s="528"/>
      <c r="AA3115" s="898">
        <v>0</v>
      </c>
      <c r="AB3115" s="898">
        <v>0</v>
      </c>
      <c r="AC3115" s="898">
        <v>0</v>
      </c>
      <c r="AD3115" s="896" t="str">
        <f t="shared" ref="AD3115" si="12689">IFERROR((AC3115/AA3115),"-")</f>
        <v>-</v>
      </c>
      <c r="AE3115" s="2"/>
      <c r="AF3115" s="884">
        <v>0</v>
      </c>
      <c r="AG3115" s="884"/>
      <c r="AH3115" s="884">
        <v>0</v>
      </c>
      <c r="AI3115" s="884"/>
      <c r="AJ3115" s="884"/>
      <c r="AK3115" s="884">
        <f t="shared" ref="AK3115" si="12690">AF3115+AG3115+AH3115+AI3115+AJ3115+AC3115</f>
        <v>0</v>
      </c>
      <c r="AL3115" s="884">
        <v>0</v>
      </c>
      <c r="AM3115" s="878" t="str">
        <f t="shared" ref="AM3115" si="12691">IFERROR((AK3115/AL3115),"-")</f>
        <v>-</v>
      </c>
      <c r="AN3115" s="2"/>
      <c r="AO3115" s="884">
        <v>9573.33</v>
      </c>
      <c r="AP3115" s="884">
        <f t="shared" ref="AP3115" si="12692">AO3115-AK3115</f>
        <v>9573.33</v>
      </c>
      <c r="AV3115" t="str">
        <f t="shared" si="12552"/>
        <v>Revegetação - Hidrossemeadura</v>
      </c>
      <c r="AW3115" s="4" t="str">
        <f t="shared" si="12550"/>
        <v xml:space="preserve">   Revestimento vegetal por hidrossemeadura</v>
      </c>
    </row>
    <row r="3116" spans="1:49" ht="15.6" customHeight="1" outlineLevel="2">
      <c r="A3116" s="8" t="str">
        <f t="shared" ref="A3116" si="12693">A3115</f>
        <v>N</v>
      </c>
      <c r="B3116" s="150"/>
      <c r="C3116" s="150" t="s">
        <v>3542</v>
      </c>
      <c r="D3116" s="120" t="s">
        <v>3543</v>
      </c>
      <c r="E3116" s="893"/>
      <c r="F3116" s="895"/>
      <c r="G3116" s="528"/>
      <c r="H3116" s="549" t="s">
        <v>38</v>
      </c>
      <c r="I3116" s="711">
        <v>0</v>
      </c>
      <c r="J3116" s="897"/>
      <c r="K3116" s="528"/>
      <c r="L3116" s="549" t="s">
        <v>38</v>
      </c>
      <c r="M3116" s="711">
        <f t="shared" si="12632"/>
        <v>0</v>
      </c>
      <c r="N3116" s="897"/>
      <c r="O3116" s="528"/>
      <c r="P3116" s="548">
        <v>0</v>
      </c>
      <c r="Q3116" s="548">
        <v>0</v>
      </c>
      <c r="R3116" s="548">
        <v>0</v>
      </c>
      <c r="S3116" s="548">
        <v>0</v>
      </c>
      <c r="T3116" s="548">
        <v>0</v>
      </c>
      <c r="U3116" s="548">
        <v>0</v>
      </c>
      <c r="V3116" s="548"/>
      <c r="W3116" s="528"/>
      <c r="X3116" s="711">
        <f t="shared" si="12626"/>
        <v>0</v>
      </c>
      <c r="Y3116" s="897"/>
      <c r="Z3116" s="528"/>
      <c r="AA3116" s="899"/>
      <c r="AB3116" s="899"/>
      <c r="AC3116" s="899"/>
      <c r="AD3116" s="897"/>
      <c r="AE3116" s="2"/>
      <c r="AF3116" s="885"/>
      <c r="AG3116" s="885"/>
      <c r="AH3116" s="885"/>
      <c r="AI3116" s="885"/>
      <c r="AJ3116" s="885"/>
      <c r="AK3116" s="885"/>
      <c r="AL3116" s="885"/>
      <c r="AM3116" s="879"/>
      <c r="AN3116" s="2"/>
      <c r="AO3116" s="886"/>
      <c r="AP3116" s="886"/>
      <c r="AV3116" t="str">
        <f t="shared" si="12552"/>
        <v>Revegetação - Hidrossemeadura</v>
      </c>
      <c r="AW3116" s="4" t="str">
        <f t="shared" si="12550"/>
        <v xml:space="preserve">   Revestimento vegetal por hidrossemeadura</v>
      </c>
    </row>
    <row r="3117" spans="1:49" ht="15.6" customHeight="1" outlineLevel="2">
      <c r="A3117" s="8" t="str">
        <f t="shared" ref="A3117" si="12694">IF(SUM(P3117:V3118)&gt;0,"S","N")</f>
        <v>N</v>
      </c>
      <c r="B3117" s="150">
        <v>1068838</v>
      </c>
      <c r="C3117" s="150" t="s">
        <v>3544</v>
      </c>
      <c r="D3117" s="120" t="s">
        <v>3545</v>
      </c>
      <c r="E3117" s="892" t="s">
        <v>3302</v>
      </c>
      <c r="F3117" s="894" t="s">
        <v>3210</v>
      </c>
      <c r="G3117" s="528"/>
      <c r="H3117" s="546" t="s">
        <v>37</v>
      </c>
      <c r="I3117" s="711">
        <v>0</v>
      </c>
      <c r="J3117" s="896" t="str">
        <f t="shared" ref="J3117" si="12695">IFERROR((I3118/I3117),"-")</f>
        <v>-</v>
      </c>
      <c r="K3117" s="528"/>
      <c r="L3117" s="546" t="s">
        <v>37</v>
      </c>
      <c r="M3117" s="711">
        <f t="shared" si="12632"/>
        <v>0</v>
      </c>
      <c r="N3117" s="896" t="str">
        <f t="shared" ref="N3117" si="12696">IFERROR((M3118/M3117),"-")</f>
        <v>-</v>
      </c>
      <c r="O3117" s="528"/>
      <c r="P3117" s="547">
        <v>0</v>
      </c>
      <c r="Q3117" s="547">
        <v>0</v>
      </c>
      <c r="R3117" s="547">
        <v>0</v>
      </c>
      <c r="S3117" s="547">
        <v>0</v>
      </c>
      <c r="T3117" s="547">
        <v>0</v>
      </c>
      <c r="U3117" s="547">
        <v>0</v>
      </c>
      <c r="V3117" s="548">
        <v>0</v>
      </c>
      <c r="W3117" s="528"/>
      <c r="X3117" s="711">
        <f t="shared" si="12626"/>
        <v>0</v>
      </c>
      <c r="Y3117" s="896" t="str">
        <f t="shared" ref="Y3117" si="12697">IFERROR((X3118/X3117),"-")</f>
        <v>-</v>
      </c>
      <c r="Z3117" s="528"/>
      <c r="AA3117" s="898">
        <v>0</v>
      </c>
      <c r="AB3117" s="898">
        <v>0</v>
      </c>
      <c r="AC3117" s="898">
        <v>0</v>
      </c>
      <c r="AD3117" s="896" t="str">
        <f t="shared" ref="AD3117" si="12698">IFERROR((AC3117/AA3117),"-")</f>
        <v>-</v>
      </c>
      <c r="AE3117" s="2"/>
      <c r="AF3117" s="884">
        <v>0</v>
      </c>
      <c r="AG3117" s="884"/>
      <c r="AH3117" s="884">
        <v>0</v>
      </c>
      <c r="AI3117" s="884"/>
      <c r="AJ3117" s="884"/>
      <c r="AK3117" s="884">
        <f t="shared" ref="AK3117" si="12699">AF3117+AG3117+AH3117+AI3117+AJ3117+AC3117</f>
        <v>0</v>
      </c>
      <c r="AL3117" s="884">
        <v>0</v>
      </c>
      <c r="AM3117" s="878" t="str">
        <f t="shared" ref="AM3117" si="12700">IFERROR((AK3117/AL3117),"-")</f>
        <v>-</v>
      </c>
      <c r="AN3117" s="2"/>
      <c r="AO3117" s="884">
        <v>110288.6</v>
      </c>
      <c r="AP3117" s="884">
        <f t="shared" ref="AP3117" si="12701">AO3117-AK3117</f>
        <v>110288.6</v>
      </c>
      <c r="AV3117" t="str">
        <f t="shared" si="12552"/>
        <v>Revegetação - Hidrossemeadura</v>
      </c>
      <c r="AW3117" s="4" t="str">
        <f t="shared" si="12550"/>
        <v xml:space="preserve">   Revestimento vegetal por hidrossemeadura</v>
      </c>
    </row>
    <row r="3118" spans="1:49" ht="15.6" customHeight="1" outlineLevel="2">
      <c r="A3118" s="8" t="str">
        <f t="shared" ref="A3118" si="12702">A3117</f>
        <v>N</v>
      </c>
      <c r="B3118" s="150"/>
      <c r="C3118" s="150" t="s">
        <v>3544</v>
      </c>
      <c r="D3118" s="120" t="s">
        <v>3545</v>
      </c>
      <c r="E3118" s="893"/>
      <c r="F3118" s="895"/>
      <c r="G3118" s="528"/>
      <c r="H3118" s="549" t="s">
        <v>38</v>
      </c>
      <c r="I3118" s="711">
        <v>0</v>
      </c>
      <c r="J3118" s="897"/>
      <c r="K3118" s="528"/>
      <c r="L3118" s="549" t="s">
        <v>38</v>
      </c>
      <c r="M3118" s="711">
        <f t="shared" si="12632"/>
        <v>0</v>
      </c>
      <c r="N3118" s="897"/>
      <c r="O3118" s="528"/>
      <c r="P3118" s="548">
        <v>0</v>
      </c>
      <c r="Q3118" s="548">
        <v>0</v>
      </c>
      <c r="R3118" s="548">
        <v>0</v>
      </c>
      <c r="S3118" s="548">
        <v>0</v>
      </c>
      <c r="T3118" s="548">
        <v>0</v>
      </c>
      <c r="U3118" s="548">
        <v>0</v>
      </c>
      <c r="V3118" s="548"/>
      <c r="W3118" s="528"/>
      <c r="X3118" s="711">
        <f t="shared" si="12626"/>
        <v>0</v>
      </c>
      <c r="Y3118" s="897"/>
      <c r="Z3118" s="528"/>
      <c r="AA3118" s="899"/>
      <c r="AB3118" s="899"/>
      <c r="AC3118" s="899"/>
      <c r="AD3118" s="897"/>
      <c r="AE3118" s="2"/>
      <c r="AF3118" s="885"/>
      <c r="AG3118" s="885"/>
      <c r="AH3118" s="885"/>
      <c r="AI3118" s="885"/>
      <c r="AJ3118" s="885"/>
      <c r="AK3118" s="885"/>
      <c r="AL3118" s="885"/>
      <c r="AM3118" s="879"/>
      <c r="AN3118" s="2"/>
      <c r="AO3118" s="886"/>
      <c r="AP3118" s="886"/>
      <c r="AV3118" t="str">
        <f t="shared" si="12552"/>
        <v>Revegetação - Hidrossemeadura</v>
      </c>
      <c r="AW3118" s="4" t="str">
        <f t="shared" si="12550"/>
        <v xml:space="preserve">   Revestimento vegetal por hidrossemeadura</v>
      </c>
    </row>
    <row r="3119" spans="1:49" ht="15.6" customHeight="1" outlineLevel="2">
      <c r="A3119" s="8" t="str">
        <f t="shared" ref="A3119" si="12703">IF(SUM(P3119:V3120)&gt;0,"S","N")</f>
        <v>N</v>
      </c>
      <c r="B3119" s="150">
        <v>1068839</v>
      </c>
      <c r="C3119" s="150" t="s">
        <v>3546</v>
      </c>
      <c r="D3119" s="120" t="s">
        <v>3547</v>
      </c>
      <c r="E3119" s="892" t="s">
        <v>3302</v>
      </c>
      <c r="F3119" s="894" t="s">
        <v>3210</v>
      </c>
      <c r="G3119" s="528"/>
      <c r="H3119" s="546" t="s">
        <v>37</v>
      </c>
      <c r="I3119" s="711">
        <v>0</v>
      </c>
      <c r="J3119" s="896" t="str">
        <f t="shared" ref="J3119" si="12704">IFERROR((I3120/I3119),"-")</f>
        <v>-</v>
      </c>
      <c r="K3119" s="528"/>
      <c r="L3119" s="546" t="s">
        <v>37</v>
      </c>
      <c r="M3119" s="711">
        <f t="shared" si="12632"/>
        <v>0</v>
      </c>
      <c r="N3119" s="896" t="str">
        <f t="shared" ref="N3119" si="12705">IFERROR((M3120/M3119),"-")</f>
        <v>-</v>
      </c>
      <c r="O3119" s="528"/>
      <c r="P3119" s="547">
        <v>0</v>
      </c>
      <c r="Q3119" s="547">
        <v>0</v>
      </c>
      <c r="R3119" s="547">
        <v>0</v>
      </c>
      <c r="S3119" s="547">
        <v>0</v>
      </c>
      <c r="T3119" s="547">
        <v>0</v>
      </c>
      <c r="U3119" s="547">
        <v>0</v>
      </c>
      <c r="V3119" s="548">
        <v>0</v>
      </c>
      <c r="W3119" s="528"/>
      <c r="X3119" s="711">
        <f t="shared" si="12626"/>
        <v>0</v>
      </c>
      <c r="Y3119" s="896" t="str">
        <f t="shared" ref="Y3119" si="12706">IFERROR((X3120/X3119),"-")</f>
        <v>-</v>
      </c>
      <c r="Z3119" s="528"/>
      <c r="AA3119" s="898">
        <v>0</v>
      </c>
      <c r="AB3119" s="898">
        <v>0</v>
      </c>
      <c r="AC3119" s="898">
        <v>0</v>
      </c>
      <c r="AD3119" s="896" t="str">
        <f t="shared" ref="AD3119" si="12707">IFERROR((AC3119/AA3119),"-")</f>
        <v>-</v>
      </c>
      <c r="AE3119" s="2"/>
      <c r="AF3119" s="884">
        <v>0</v>
      </c>
      <c r="AG3119" s="884"/>
      <c r="AH3119" s="884">
        <v>0</v>
      </c>
      <c r="AI3119" s="884"/>
      <c r="AJ3119" s="884"/>
      <c r="AK3119" s="884">
        <f t="shared" ref="AK3119" si="12708">AF3119+AG3119+AH3119+AI3119+AJ3119+AC3119</f>
        <v>0</v>
      </c>
      <c r="AL3119" s="884">
        <v>0</v>
      </c>
      <c r="AM3119" s="878" t="str">
        <f t="shared" ref="AM3119" si="12709">IFERROR((AK3119/AL3119),"-")</f>
        <v>-</v>
      </c>
      <c r="AN3119" s="2"/>
      <c r="AO3119" s="884">
        <v>3686.8</v>
      </c>
      <c r="AP3119" s="884">
        <f t="shared" ref="AP3119" si="12710">AO3119-AK3119</f>
        <v>3686.8</v>
      </c>
      <c r="AV3119" t="str">
        <f t="shared" si="12552"/>
        <v>Revegetação - Hidrossemeadura</v>
      </c>
      <c r="AW3119" s="4" t="str">
        <f t="shared" si="12550"/>
        <v xml:space="preserve">   Revestimento vegetal por hidrossemeadura</v>
      </c>
    </row>
    <row r="3120" spans="1:49" ht="15.6" customHeight="1" outlineLevel="2">
      <c r="A3120" s="8" t="str">
        <f t="shared" ref="A3120" si="12711">A3119</f>
        <v>N</v>
      </c>
      <c r="B3120" s="150"/>
      <c r="C3120" s="150" t="s">
        <v>3546</v>
      </c>
      <c r="D3120" s="120" t="s">
        <v>3547</v>
      </c>
      <c r="E3120" s="893"/>
      <c r="F3120" s="895"/>
      <c r="G3120" s="528"/>
      <c r="H3120" s="549" t="s">
        <v>38</v>
      </c>
      <c r="I3120" s="711">
        <v>0</v>
      </c>
      <c r="J3120" s="897"/>
      <c r="K3120" s="528"/>
      <c r="L3120" s="549" t="s">
        <v>38</v>
      </c>
      <c r="M3120" s="711">
        <f t="shared" si="12632"/>
        <v>0</v>
      </c>
      <c r="N3120" s="897"/>
      <c r="O3120" s="528"/>
      <c r="P3120" s="548">
        <v>0</v>
      </c>
      <c r="Q3120" s="548">
        <v>0</v>
      </c>
      <c r="R3120" s="548">
        <v>0</v>
      </c>
      <c r="S3120" s="548">
        <v>0</v>
      </c>
      <c r="T3120" s="548">
        <v>0</v>
      </c>
      <c r="U3120" s="548">
        <v>0</v>
      </c>
      <c r="V3120" s="548"/>
      <c r="W3120" s="528"/>
      <c r="X3120" s="711">
        <f t="shared" si="12626"/>
        <v>0</v>
      </c>
      <c r="Y3120" s="897"/>
      <c r="Z3120" s="528"/>
      <c r="AA3120" s="899"/>
      <c r="AB3120" s="899"/>
      <c r="AC3120" s="899"/>
      <c r="AD3120" s="897"/>
      <c r="AE3120" s="2"/>
      <c r="AF3120" s="885"/>
      <c r="AG3120" s="885"/>
      <c r="AH3120" s="885"/>
      <c r="AI3120" s="885"/>
      <c r="AJ3120" s="885"/>
      <c r="AK3120" s="885"/>
      <c r="AL3120" s="885"/>
      <c r="AM3120" s="879"/>
      <c r="AN3120" s="2"/>
      <c r="AO3120" s="886"/>
      <c r="AP3120" s="886"/>
      <c r="AV3120" t="str">
        <f t="shared" si="12552"/>
        <v>Revegetação - Hidrossemeadura</v>
      </c>
      <c r="AW3120" s="4" t="str">
        <f t="shared" si="12550"/>
        <v xml:space="preserve">   Revestimento vegetal por hidrossemeadura</v>
      </c>
    </row>
    <row r="3121" spans="1:49" ht="15.6" customHeight="1" outlineLevel="2">
      <c r="A3121" s="8" t="str">
        <f t="shared" ref="A3121" si="12712">IF(SUM(P3121:V3122)&gt;0,"S","N")</f>
        <v>N</v>
      </c>
      <c r="B3121" s="150">
        <v>1068840</v>
      </c>
      <c r="C3121" s="150" t="s">
        <v>3548</v>
      </c>
      <c r="D3121" s="120" t="s">
        <v>3549</v>
      </c>
      <c r="E3121" s="892" t="s">
        <v>3302</v>
      </c>
      <c r="F3121" s="894" t="s">
        <v>3210</v>
      </c>
      <c r="G3121" s="528"/>
      <c r="H3121" s="546" t="s">
        <v>37</v>
      </c>
      <c r="I3121" s="711">
        <v>0</v>
      </c>
      <c r="J3121" s="896" t="str">
        <f t="shared" ref="J3121" si="12713">IFERROR((I3122/I3121),"-")</f>
        <v>-</v>
      </c>
      <c r="K3121" s="528"/>
      <c r="L3121" s="546" t="s">
        <v>37</v>
      </c>
      <c r="M3121" s="711">
        <f t="shared" si="12632"/>
        <v>0</v>
      </c>
      <c r="N3121" s="896" t="str">
        <f t="shared" ref="N3121" si="12714">IFERROR((M3122/M3121),"-")</f>
        <v>-</v>
      </c>
      <c r="O3121" s="528"/>
      <c r="P3121" s="547">
        <v>0</v>
      </c>
      <c r="Q3121" s="547">
        <v>0</v>
      </c>
      <c r="R3121" s="547">
        <v>0</v>
      </c>
      <c r="S3121" s="547">
        <v>0</v>
      </c>
      <c r="T3121" s="547">
        <v>0</v>
      </c>
      <c r="U3121" s="547">
        <v>0</v>
      </c>
      <c r="V3121" s="548">
        <v>0</v>
      </c>
      <c r="W3121" s="528"/>
      <c r="X3121" s="711">
        <f t="shared" si="12626"/>
        <v>0</v>
      </c>
      <c r="Y3121" s="896" t="str">
        <f t="shared" ref="Y3121" si="12715">IFERROR((X3122/X3121),"-")</f>
        <v>-</v>
      </c>
      <c r="Z3121" s="528"/>
      <c r="AA3121" s="898">
        <v>0</v>
      </c>
      <c r="AB3121" s="898">
        <v>0</v>
      </c>
      <c r="AC3121" s="898">
        <v>0</v>
      </c>
      <c r="AD3121" s="896" t="str">
        <f t="shared" ref="AD3121" si="12716">IFERROR((AC3121/AA3121),"-")</f>
        <v>-</v>
      </c>
      <c r="AE3121" s="2"/>
      <c r="AF3121" s="884">
        <v>0</v>
      </c>
      <c r="AG3121" s="884"/>
      <c r="AH3121" s="884">
        <v>0</v>
      </c>
      <c r="AI3121" s="884"/>
      <c r="AJ3121" s="884"/>
      <c r="AK3121" s="884">
        <f t="shared" ref="AK3121" si="12717">AF3121+AG3121+AH3121+AI3121+AJ3121+AC3121</f>
        <v>0</v>
      </c>
      <c r="AL3121" s="884">
        <v>0</v>
      </c>
      <c r="AM3121" s="878" t="str">
        <f t="shared" ref="AM3121" si="12718">IFERROR((AK3121/AL3121),"-")</f>
        <v>-</v>
      </c>
      <c r="AN3121" s="2"/>
      <c r="AO3121" s="884">
        <v>1335.66</v>
      </c>
      <c r="AP3121" s="884">
        <f t="shared" ref="AP3121" si="12719">AO3121-AK3121</f>
        <v>1335.66</v>
      </c>
      <c r="AV3121" t="str">
        <f t="shared" si="12552"/>
        <v>Revegetação - Hidrossemeadura</v>
      </c>
      <c r="AW3121" s="4" t="str">
        <f t="shared" si="12550"/>
        <v xml:space="preserve">   Revestimento vegetal por hidrossemeadura</v>
      </c>
    </row>
    <row r="3122" spans="1:49" ht="15.6" customHeight="1" outlineLevel="2">
      <c r="A3122" s="8" t="str">
        <f t="shared" ref="A3122" si="12720">A3121</f>
        <v>N</v>
      </c>
      <c r="B3122" s="150"/>
      <c r="C3122" s="150" t="s">
        <v>3548</v>
      </c>
      <c r="D3122" s="120" t="s">
        <v>3549</v>
      </c>
      <c r="E3122" s="893"/>
      <c r="F3122" s="895"/>
      <c r="G3122" s="528"/>
      <c r="H3122" s="549" t="s">
        <v>38</v>
      </c>
      <c r="I3122" s="711">
        <v>0</v>
      </c>
      <c r="J3122" s="897"/>
      <c r="K3122" s="528"/>
      <c r="L3122" s="549" t="s">
        <v>38</v>
      </c>
      <c r="M3122" s="711">
        <f t="shared" si="12632"/>
        <v>0</v>
      </c>
      <c r="N3122" s="897"/>
      <c r="O3122" s="528"/>
      <c r="P3122" s="548">
        <v>0</v>
      </c>
      <c r="Q3122" s="548">
        <v>0</v>
      </c>
      <c r="R3122" s="548">
        <v>0</v>
      </c>
      <c r="S3122" s="548">
        <v>0</v>
      </c>
      <c r="T3122" s="548">
        <v>0</v>
      </c>
      <c r="U3122" s="548">
        <v>0</v>
      </c>
      <c r="V3122" s="548"/>
      <c r="W3122" s="528"/>
      <c r="X3122" s="711">
        <f t="shared" si="12626"/>
        <v>0</v>
      </c>
      <c r="Y3122" s="897"/>
      <c r="Z3122" s="528"/>
      <c r="AA3122" s="899"/>
      <c r="AB3122" s="899"/>
      <c r="AC3122" s="899"/>
      <c r="AD3122" s="897"/>
      <c r="AE3122" s="2"/>
      <c r="AF3122" s="885"/>
      <c r="AG3122" s="885"/>
      <c r="AH3122" s="885"/>
      <c r="AI3122" s="885"/>
      <c r="AJ3122" s="885"/>
      <c r="AK3122" s="885"/>
      <c r="AL3122" s="885"/>
      <c r="AM3122" s="879"/>
      <c r="AN3122" s="2"/>
      <c r="AO3122" s="886"/>
      <c r="AP3122" s="886"/>
      <c r="AV3122" t="str">
        <f t="shared" si="12552"/>
        <v>Revegetação - Hidrossemeadura</v>
      </c>
      <c r="AW3122" s="4" t="str">
        <f t="shared" si="12550"/>
        <v xml:space="preserve">   Revestimento vegetal por hidrossemeadura</v>
      </c>
    </row>
    <row r="3123" spans="1:49" ht="15.6" customHeight="1" outlineLevel="2">
      <c r="A3123" s="8" t="str">
        <f t="shared" ref="A3123" si="12721">IF(SUM(P3123:V3124)&gt;0,"S","N")</f>
        <v>N</v>
      </c>
      <c r="B3123" s="150">
        <v>1068842</v>
      </c>
      <c r="C3123" s="150" t="s">
        <v>3550</v>
      </c>
      <c r="D3123" s="120" t="s">
        <v>3551</v>
      </c>
      <c r="E3123" s="892" t="s">
        <v>3302</v>
      </c>
      <c r="F3123" s="894" t="s">
        <v>3210</v>
      </c>
      <c r="G3123" s="528"/>
      <c r="H3123" s="546" t="s">
        <v>37</v>
      </c>
      <c r="I3123" s="711">
        <v>0</v>
      </c>
      <c r="J3123" s="896" t="str">
        <f t="shared" ref="J3123" si="12722">IFERROR((I3124/I3123),"-")</f>
        <v>-</v>
      </c>
      <c r="K3123" s="528"/>
      <c r="L3123" s="546" t="s">
        <v>37</v>
      </c>
      <c r="M3123" s="711">
        <f t="shared" si="12632"/>
        <v>0</v>
      </c>
      <c r="N3123" s="896" t="str">
        <f t="shared" ref="N3123" si="12723">IFERROR((M3124/M3123),"-")</f>
        <v>-</v>
      </c>
      <c r="O3123" s="528"/>
      <c r="P3123" s="547">
        <v>0</v>
      </c>
      <c r="Q3123" s="547">
        <v>0</v>
      </c>
      <c r="R3123" s="547">
        <v>0</v>
      </c>
      <c r="S3123" s="547">
        <v>0</v>
      </c>
      <c r="T3123" s="547">
        <v>0</v>
      </c>
      <c r="U3123" s="547">
        <v>0</v>
      </c>
      <c r="V3123" s="548">
        <v>0</v>
      </c>
      <c r="W3123" s="528"/>
      <c r="X3123" s="711">
        <f t="shared" si="12626"/>
        <v>0</v>
      </c>
      <c r="Y3123" s="896" t="str">
        <f t="shared" ref="Y3123" si="12724">IFERROR((X3124/X3123),"-")</f>
        <v>-</v>
      </c>
      <c r="Z3123" s="528"/>
      <c r="AA3123" s="898">
        <v>0</v>
      </c>
      <c r="AB3123" s="898">
        <v>0</v>
      </c>
      <c r="AC3123" s="898">
        <v>0</v>
      </c>
      <c r="AD3123" s="896" t="str">
        <f t="shared" ref="AD3123" si="12725">IFERROR((AC3123/AA3123),"-")</f>
        <v>-</v>
      </c>
      <c r="AE3123" s="2"/>
      <c r="AF3123" s="884">
        <v>0</v>
      </c>
      <c r="AG3123" s="884"/>
      <c r="AH3123" s="884">
        <v>0</v>
      </c>
      <c r="AI3123" s="884"/>
      <c r="AJ3123" s="884"/>
      <c r="AK3123" s="884">
        <f t="shared" ref="AK3123" si="12726">AF3123+AG3123+AH3123+AI3123+AJ3123+AC3123</f>
        <v>0</v>
      </c>
      <c r="AL3123" s="884">
        <v>0</v>
      </c>
      <c r="AM3123" s="878" t="str">
        <f t="shared" ref="AM3123" si="12727">IFERROR((AK3123/AL3123),"-")</f>
        <v>-</v>
      </c>
      <c r="AN3123" s="2"/>
      <c r="AO3123" s="884">
        <v>12334.6</v>
      </c>
      <c r="AP3123" s="884">
        <f t="shared" ref="AP3123" si="12728">AO3123-AK3123</f>
        <v>12334.6</v>
      </c>
      <c r="AV3123" t="str">
        <f t="shared" si="12552"/>
        <v>Revegetação - Hidrossemeadura</v>
      </c>
      <c r="AW3123" s="4" t="str">
        <f t="shared" si="12550"/>
        <v xml:space="preserve">   Revestimento vegetal por hidrossemeadura</v>
      </c>
    </row>
    <row r="3124" spans="1:49" ht="15.6" customHeight="1" outlineLevel="2">
      <c r="A3124" s="8" t="str">
        <f t="shared" ref="A3124" si="12729">A3123</f>
        <v>N</v>
      </c>
      <c r="B3124" s="150"/>
      <c r="C3124" s="150" t="s">
        <v>3550</v>
      </c>
      <c r="D3124" s="120" t="s">
        <v>3551</v>
      </c>
      <c r="E3124" s="893"/>
      <c r="F3124" s="895"/>
      <c r="G3124" s="528"/>
      <c r="H3124" s="549" t="s">
        <v>38</v>
      </c>
      <c r="I3124" s="711">
        <v>0</v>
      </c>
      <c r="J3124" s="897"/>
      <c r="K3124" s="528"/>
      <c r="L3124" s="549" t="s">
        <v>38</v>
      </c>
      <c r="M3124" s="711">
        <f t="shared" si="12632"/>
        <v>0</v>
      </c>
      <c r="N3124" s="897"/>
      <c r="O3124" s="528"/>
      <c r="P3124" s="548">
        <v>0</v>
      </c>
      <c r="Q3124" s="548">
        <v>0</v>
      </c>
      <c r="R3124" s="548">
        <v>0</v>
      </c>
      <c r="S3124" s="548">
        <v>0</v>
      </c>
      <c r="T3124" s="548">
        <v>0</v>
      </c>
      <c r="U3124" s="548">
        <v>0</v>
      </c>
      <c r="V3124" s="548"/>
      <c r="W3124" s="528"/>
      <c r="X3124" s="711">
        <f t="shared" si="12626"/>
        <v>0</v>
      </c>
      <c r="Y3124" s="897"/>
      <c r="Z3124" s="528"/>
      <c r="AA3124" s="899"/>
      <c r="AB3124" s="899"/>
      <c r="AC3124" s="899"/>
      <c r="AD3124" s="897"/>
      <c r="AE3124" s="2"/>
      <c r="AF3124" s="885"/>
      <c r="AG3124" s="885"/>
      <c r="AH3124" s="885"/>
      <c r="AI3124" s="885"/>
      <c r="AJ3124" s="885"/>
      <c r="AK3124" s="885"/>
      <c r="AL3124" s="885"/>
      <c r="AM3124" s="879"/>
      <c r="AN3124" s="2"/>
      <c r="AO3124" s="886"/>
      <c r="AP3124" s="886"/>
      <c r="AV3124" t="str">
        <f t="shared" si="12552"/>
        <v>Revegetação - Hidrossemeadura</v>
      </c>
      <c r="AW3124" s="4" t="str">
        <f t="shared" si="12550"/>
        <v xml:space="preserve">   Revestimento vegetal por hidrossemeadura</v>
      </c>
    </row>
    <row r="3125" spans="1:49" ht="15.6" customHeight="1" outlineLevel="2">
      <c r="A3125" s="8" t="str">
        <f t="shared" ref="A3125" si="12730">IF(SUM(P3125:V3126)&gt;0,"S","N")</f>
        <v>N</v>
      </c>
      <c r="B3125" s="150">
        <v>1068844</v>
      </c>
      <c r="C3125" s="150" t="s">
        <v>3552</v>
      </c>
      <c r="D3125" s="120" t="s">
        <v>3553</v>
      </c>
      <c r="E3125" s="892" t="s">
        <v>3302</v>
      </c>
      <c r="F3125" s="894" t="s">
        <v>3210</v>
      </c>
      <c r="G3125" s="528"/>
      <c r="H3125" s="546" t="s">
        <v>37</v>
      </c>
      <c r="I3125" s="711">
        <v>0</v>
      </c>
      <c r="J3125" s="896" t="str">
        <f t="shared" ref="J3125" si="12731">IFERROR((I3126/I3125),"-")</f>
        <v>-</v>
      </c>
      <c r="K3125" s="528"/>
      <c r="L3125" s="546" t="s">
        <v>37</v>
      </c>
      <c r="M3125" s="711">
        <f t="shared" si="12632"/>
        <v>0</v>
      </c>
      <c r="N3125" s="896" t="str">
        <f t="shared" ref="N3125" si="12732">IFERROR((M3126/M3125),"-")</f>
        <v>-</v>
      </c>
      <c r="O3125" s="528"/>
      <c r="P3125" s="547">
        <v>0</v>
      </c>
      <c r="Q3125" s="547">
        <v>0</v>
      </c>
      <c r="R3125" s="547">
        <v>0</v>
      </c>
      <c r="S3125" s="547">
        <v>0</v>
      </c>
      <c r="T3125" s="547">
        <v>0</v>
      </c>
      <c r="U3125" s="547">
        <v>0</v>
      </c>
      <c r="V3125" s="548">
        <v>0</v>
      </c>
      <c r="W3125" s="528"/>
      <c r="X3125" s="711">
        <f t="shared" si="12626"/>
        <v>0</v>
      </c>
      <c r="Y3125" s="896" t="str">
        <f t="shared" ref="Y3125" si="12733">IFERROR((X3126/X3125),"-")</f>
        <v>-</v>
      </c>
      <c r="Z3125" s="528"/>
      <c r="AA3125" s="898">
        <v>0</v>
      </c>
      <c r="AB3125" s="898">
        <v>0</v>
      </c>
      <c r="AC3125" s="898">
        <v>0</v>
      </c>
      <c r="AD3125" s="896" t="str">
        <f t="shared" ref="AD3125" si="12734">IFERROR((AC3125/AA3125),"-")</f>
        <v>-</v>
      </c>
      <c r="AE3125" s="2"/>
      <c r="AF3125" s="884">
        <v>0</v>
      </c>
      <c r="AG3125" s="884"/>
      <c r="AH3125" s="884">
        <v>0</v>
      </c>
      <c r="AI3125" s="884"/>
      <c r="AJ3125" s="884"/>
      <c r="AK3125" s="884">
        <f t="shared" ref="AK3125" si="12735">AF3125+AG3125+AH3125+AI3125+AJ3125+AC3125</f>
        <v>0</v>
      </c>
      <c r="AL3125" s="884">
        <v>0</v>
      </c>
      <c r="AM3125" s="878" t="str">
        <f t="shared" ref="AM3125" si="12736">IFERROR((AK3125/AL3125),"-")</f>
        <v>-</v>
      </c>
      <c r="AN3125" s="2"/>
      <c r="AO3125" s="884">
        <v>6721.9</v>
      </c>
      <c r="AP3125" s="884">
        <f t="shared" ref="AP3125" si="12737">AO3125-AK3125</f>
        <v>6721.9</v>
      </c>
      <c r="AV3125" t="str">
        <f t="shared" si="12552"/>
        <v>Revegetação - Hidrossemeadura</v>
      </c>
      <c r="AW3125" s="4" t="str">
        <f t="shared" si="12550"/>
        <v xml:space="preserve">   Revestimento vegetal por hidrossemeadura</v>
      </c>
    </row>
    <row r="3126" spans="1:49" ht="15.6" customHeight="1" outlineLevel="2">
      <c r="A3126" s="8" t="str">
        <f t="shared" ref="A3126" si="12738">A3125</f>
        <v>N</v>
      </c>
      <c r="B3126" s="150"/>
      <c r="C3126" s="150" t="s">
        <v>3552</v>
      </c>
      <c r="D3126" s="120" t="s">
        <v>3553</v>
      </c>
      <c r="E3126" s="893"/>
      <c r="F3126" s="895"/>
      <c r="G3126" s="528"/>
      <c r="H3126" s="549" t="s">
        <v>38</v>
      </c>
      <c r="I3126" s="711">
        <v>0</v>
      </c>
      <c r="J3126" s="897"/>
      <c r="K3126" s="528"/>
      <c r="L3126" s="549" t="s">
        <v>38</v>
      </c>
      <c r="M3126" s="711">
        <f t="shared" si="12632"/>
        <v>0</v>
      </c>
      <c r="N3126" s="897"/>
      <c r="O3126" s="528"/>
      <c r="P3126" s="548">
        <v>0</v>
      </c>
      <c r="Q3126" s="548">
        <v>0</v>
      </c>
      <c r="R3126" s="548">
        <v>0</v>
      </c>
      <c r="S3126" s="548">
        <v>0</v>
      </c>
      <c r="T3126" s="548">
        <v>0</v>
      </c>
      <c r="U3126" s="548">
        <v>0</v>
      </c>
      <c r="V3126" s="548"/>
      <c r="W3126" s="528"/>
      <c r="X3126" s="711">
        <f t="shared" si="12626"/>
        <v>0</v>
      </c>
      <c r="Y3126" s="897"/>
      <c r="Z3126" s="528"/>
      <c r="AA3126" s="899"/>
      <c r="AB3126" s="899"/>
      <c r="AC3126" s="899"/>
      <c r="AD3126" s="897"/>
      <c r="AE3126" s="2"/>
      <c r="AF3126" s="885"/>
      <c r="AG3126" s="885"/>
      <c r="AH3126" s="885"/>
      <c r="AI3126" s="885"/>
      <c r="AJ3126" s="885"/>
      <c r="AK3126" s="885"/>
      <c r="AL3126" s="885"/>
      <c r="AM3126" s="879"/>
      <c r="AN3126" s="2"/>
      <c r="AO3126" s="886"/>
      <c r="AP3126" s="886"/>
      <c r="AV3126" t="str">
        <f t="shared" si="12552"/>
        <v>Revegetação - Hidrossemeadura</v>
      </c>
      <c r="AW3126" s="4" t="str">
        <f t="shared" si="12550"/>
        <v xml:space="preserve">   Revestimento vegetal por hidrossemeadura</v>
      </c>
    </row>
    <row r="3127" spans="1:49" ht="15.6" customHeight="1" outlineLevel="2">
      <c r="A3127" s="8" t="str">
        <f t="shared" ref="A3127" si="12739">IF(SUM(P3127:V3128)&gt;0,"S","N")</f>
        <v>N</v>
      </c>
      <c r="B3127" s="150">
        <v>1068845</v>
      </c>
      <c r="C3127" s="150" t="s">
        <v>3554</v>
      </c>
      <c r="D3127" s="120" t="s">
        <v>3555</v>
      </c>
      <c r="E3127" s="892" t="s">
        <v>3302</v>
      </c>
      <c r="F3127" s="894" t="s">
        <v>3210</v>
      </c>
      <c r="G3127" s="528"/>
      <c r="H3127" s="546" t="s">
        <v>37</v>
      </c>
      <c r="I3127" s="711">
        <v>0</v>
      </c>
      <c r="J3127" s="896" t="str">
        <f t="shared" ref="J3127" si="12740">IFERROR((I3128/I3127),"-")</f>
        <v>-</v>
      </c>
      <c r="K3127" s="528"/>
      <c r="L3127" s="546" t="s">
        <v>37</v>
      </c>
      <c r="M3127" s="711">
        <f t="shared" si="12632"/>
        <v>0</v>
      </c>
      <c r="N3127" s="896" t="str">
        <f t="shared" ref="N3127" si="12741">IFERROR((M3128/M3127),"-")</f>
        <v>-</v>
      </c>
      <c r="O3127" s="528"/>
      <c r="P3127" s="547">
        <v>0</v>
      </c>
      <c r="Q3127" s="547">
        <v>0</v>
      </c>
      <c r="R3127" s="547">
        <v>0</v>
      </c>
      <c r="S3127" s="547">
        <v>0</v>
      </c>
      <c r="T3127" s="547">
        <v>0</v>
      </c>
      <c r="U3127" s="547">
        <v>0</v>
      </c>
      <c r="V3127" s="548">
        <v>0</v>
      </c>
      <c r="W3127" s="528"/>
      <c r="X3127" s="711">
        <f t="shared" si="12626"/>
        <v>0</v>
      </c>
      <c r="Y3127" s="896" t="str">
        <f t="shared" ref="Y3127" si="12742">IFERROR((X3128/X3127),"-")</f>
        <v>-</v>
      </c>
      <c r="Z3127" s="528"/>
      <c r="AA3127" s="898">
        <v>0</v>
      </c>
      <c r="AB3127" s="898">
        <v>0</v>
      </c>
      <c r="AC3127" s="898">
        <v>0</v>
      </c>
      <c r="AD3127" s="896" t="str">
        <f t="shared" ref="AD3127" si="12743">IFERROR((AC3127/AA3127),"-")</f>
        <v>-</v>
      </c>
      <c r="AE3127" s="2"/>
      <c r="AF3127" s="884">
        <v>0</v>
      </c>
      <c r="AG3127" s="884"/>
      <c r="AH3127" s="884">
        <v>0</v>
      </c>
      <c r="AI3127" s="884"/>
      <c r="AJ3127" s="884"/>
      <c r="AK3127" s="884">
        <f t="shared" ref="AK3127" si="12744">AF3127+AG3127+AH3127+AI3127+AJ3127+AC3127</f>
        <v>0</v>
      </c>
      <c r="AL3127" s="884">
        <v>0</v>
      </c>
      <c r="AM3127" s="878" t="str">
        <f t="shared" ref="AM3127" si="12745">IFERROR((AK3127/AL3127),"-")</f>
        <v>-</v>
      </c>
      <c r="AN3127" s="2"/>
      <c r="AO3127" s="884">
        <v>14951.28</v>
      </c>
      <c r="AP3127" s="884">
        <f t="shared" ref="AP3127" si="12746">AO3127-AK3127</f>
        <v>14951.28</v>
      </c>
      <c r="AV3127" t="str">
        <f t="shared" si="12552"/>
        <v>Revegetação - Hidrossemeadura</v>
      </c>
      <c r="AW3127" s="4" t="str">
        <f t="shared" si="12550"/>
        <v xml:space="preserve">   Revestimento vegetal por hidrossemeadura</v>
      </c>
    </row>
    <row r="3128" spans="1:49" ht="15.6" customHeight="1" outlineLevel="2">
      <c r="A3128" s="8" t="str">
        <f t="shared" ref="A3128" si="12747">A3127</f>
        <v>N</v>
      </c>
      <c r="B3128" s="150"/>
      <c r="C3128" s="150" t="s">
        <v>3554</v>
      </c>
      <c r="D3128" s="120" t="s">
        <v>3555</v>
      </c>
      <c r="E3128" s="893"/>
      <c r="F3128" s="895"/>
      <c r="G3128" s="528"/>
      <c r="H3128" s="549" t="s">
        <v>38</v>
      </c>
      <c r="I3128" s="711">
        <v>0</v>
      </c>
      <c r="J3128" s="897"/>
      <c r="K3128" s="528"/>
      <c r="L3128" s="549" t="s">
        <v>38</v>
      </c>
      <c r="M3128" s="711">
        <f t="shared" si="12632"/>
        <v>0</v>
      </c>
      <c r="N3128" s="897"/>
      <c r="O3128" s="528"/>
      <c r="P3128" s="548">
        <v>0</v>
      </c>
      <c r="Q3128" s="548">
        <v>0</v>
      </c>
      <c r="R3128" s="548">
        <v>0</v>
      </c>
      <c r="S3128" s="548">
        <v>0</v>
      </c>
      <c r="T3128" s="548">
        <v>0</v>
      </c>
      <c r="U3128" s="548">
        <v>0</v>
      </c>
      <c r="V3128" s="548"/>
      <c r="W3128" s="528"/>
      <c r="X3128" s="711">
        <f t="shared" si="12626"/>
        <v>0</v>
      </c>
      <c r="Y3128" s="897"/>
      <c r="Z3128" s="528"/>
      <c r="AA3128" s="899"/>
      <c r="AB3128" s="899"/>
      <c r="AC3128" s="899"/>
      <c r="AD3128" s="897"/>
      <c r="AE3128" s="2"/>
      <c r="AF3128" s="885"/>
      <c r="AG3128" s="885"/>
      <c r="AH3128" s="885"/>
      <c r="AI3128" s="885"/>
      <c r="AJ3128" s="885"/>
      <c r="AK3128" s="885"/>
      <c r="AL3128" s="885"/>
      <c r="AM3128" s="879"/>
      <c r="AN3128" s="2"/>
      <c r="AO3128" s="886"/>
      <c r="AP3128" s="886"/>
      <c r="AV3128" t="str">
        <f t="shared" si="12552"/>
        <v>Revegetação - Hidrossemeadura</v>
      </c>
      <c r="AW3128" s="4" t="str">
        <f t="shared" si="12550"/>
        <v xml:space="preserve">   Revestimento vegetal por hidrossemeadura</v>
      </c>
    </row>
    <row r="3129" spans="1:49" ht="14.45" customHeight="1" outlineLevel="2">
      <c r="A3129" s="8" t="str">
        <f t="shared" ref="A3129" si="12748">IF(SUM(P3129:V3130)&gt;0,"S","N")</f>
        <v>N</v>
      </c>
      <c r="B3129" s="150">
        <v>1068846</v>
      </c>
      <c r="C3129" s="150" t="s">
        <v>3556</v>
      </c>
      <c r="D3129" s="120" t="s">
        <v>3557</v>
      </c>
      <c r="E3129" s="892" t="s">
        <v>3302</v>
      </c>
      <c r="F3129" s="894" t="s">
        <v>3210</v>
      </c>
      <c r="G3129" s="528"/>
      <c r="H3129" s="546" t="s">
        <v>37</v>
      </c>
      <c r="I3129" s="711">
        <v>0</v>
      </c>
      <c r="J3129" s="896" t="str">
        <f t="shared" ref="J3129" si="12749">IFERROR((I3130/I3129),"-")</f>
        <v>-</v>
      </c>
      <c r="K3129" s="528"/>
      <c r="L3129" s="546" t="s">
        <v>37</v>
      </c>
      <c r="M3129" s="711">
        <f t="shared" si="12632"/>
        <v>0</v>
      </c>
      <c r="N3129" s="896" t="str">
        <f t="shared" ref="N3129" si="12750">IFERROR((M3130/M3129),"-")</f>
        <v>-</v>
      </c>
      <c r="O3129" s="528"/>
      <c r="P3129" s="547">
        <v>0</v>
      </c>
      <c r="Q3129" s="547">
        <v>0</v>
      </c>
      <c r="R3129" s="547">
        <v>0</v>
      </c>
      <c r="S3129" s="547">
        <v>0</v>
      </c>
      <c r="T3129" s="547">
        <v>0</v>
      </c>
      <c r="U3129" s="547">
        <v>0</v>
      </c>
      <c r="V3129" s="548">
        <v>0</v>
      </c>
      <c r="W3129" s="528"/>
      <c r="X3129" s="711">
        <f t="shared" si="12626"/>
        <v>0</v>
      </c>
      <c r="Y3129" s="896" t="str">
        <f t="shared" ref="Y3129" si="12751">IFERROR((X3130/X3129),"-")</f>
        <v>-</v>
      </c>
      <c r="Z3129" s="528"/>
      <c r="AA3129" s="898">
        <v>0</v>
      </c>
      <c r="AB3129" s="898">
        <v>0</v>
      </c>
      <c r="AC3129" s="898">
        <v>0</v>
      </c>
      <c r="AD3129" s="896" t="str">
        <f t="shared" ref="AD3129" si="12752">IFERROR((AC3129/AA3129),"-")</f>
        <v>-</v>
      </c>
      <c r="AE3129" s="2"/>
      <c r="AF3129" s="884">
        <v>0</v>
      </c>
      <c r="AG3129" s="884"/>
      <c r="AH3129" s="884">
        <v>0</v>
      </c>
      <c r="AI3129" s="884"/>
      <c r="AJ3129" s="884"/>
      <c r="AK3129" s="884">
        <f t="shared" ref="AK3129" si="12753">AF3129+AG3129+AH3129+AI3129+AJ3129+AC3129</f>
        <v>0</v>
      </c>
      <c r="AL3129" s="884">
        <v>0</v>
      </c>
      <c r="AM3129" s="878" t="str">
        <f t="shared" ref="AM3129" si="12754">IFERROR((AK3129/AL3129),"-")</f>
        <v>-</v>
      </c>
      <c r="AN3129" s="2"/>
      <c r="AO3129" s="884">
        <v>402.73</v>
      </c>
      <c r="AP3129" s="884">
        <f t="shared" ref="AP3129" si="12755">AO3129-AK3129</f>
        <v>402.73</v>
      </c>
      <c r="AV3129" t="str">
        <f t="shared" si="12552"/>
        <v>Revegetação - Hidrossemeadura</v>
      </c>
      <c r="AW3129" s="4" t="str">
        <f t="shared" si="12550"/>
        <v xml:space="preserve">   Revestimento vegetal por hidrossemeadura</v>
      </c>
    </row>
    <row r="3130" spans="1:49" ht="20.25" customHeight="1" outlineLevel="2">
      <c r="A3130" s="8" t="str">
        <f t="shared" ref="A3130" si="12756">A3129</f>
        <v>N</v>
      </c>
      <c r="B3130" s="150"/>
      <c r="C3130" s="150" t="s">
        <v>3556</v>
      </c>
      <c r="D3130" s="120" t="s">
        <v>3557</v>
      </c>
      <c r="E3130" s="893"/>
      <c r="F3130" s="895"/>
      <c r="G3130" s="528"/>
      <c r="H3130" s="549" t="s">
        <v>38</v>
      </c>
      <c r="I3130" s="711">
        <v>0</v>
      </c>
      <c r="J3130" s="897"/>
      <c r="K3130" s="528"/>
      <c r="L3130" s="549" t="s">
        <v>38</v>
      </c>
      <c r="M3130" s="711">
        <f t="shared" si="12632"/>
        <v>0</v>
      </c>
      <c r="N3130" s="897"/>
      <c r="O3130" s="528"/>
      <c r="P3130" s="548">
        <v>0</v>
      </c>
      <c r="Q3130" s="548">
        <v>0</v>
      </c>
      <c r="R3130" s="548">
        <v>0</v>
      </c>
      <c r="S3130" s="548">
        <v>0</v>
      </c>
      <c r="T3130" s="548">
        <v>0</v>
      </c>
      <c r="U3130" s="548">
        <v>0</v>
      </c>
      <c r="V3130" s="548"/>
      <c r="W3130" s="528"/>
      <c r="X3130" s="711">
        <f t="shared" si="12626"/>
        <v>0</v>
      </c>
      <c r="Y3130" s="897"/>
      <c r="Z3130" s="528"/>
      <c r="AA3130" s="899"/>
      <c r="AB3130" s="899"/>
      <c r="AC3130" s="899"/>
      <c r="AD3130" s="897"/>
      <c r="AE3130" s="2"/>
      <c r="AF3130" s="885"/>
      <c r="AG3130" s="885"/>
      <c r="AH3130" s="885"/>
      <c r="AI3130" s="885"/>
      <c r="AJ3130" s="885"/>
      <c r="AK3130" s="885"/>
      <c r="AL3130" s="885"/>
      <c r="AM3130" s="879"/>
      <c r="AN3130" s="2"/>
      <c r="AO3130" s="886"/>
      <c r="AP3130" s="886"/>
      <c r="AV3130" t="str">
        <f t="shared" si="12552"/>
        <v>Revegetação - Hidrossemeadura</v>
      </c>
      <c r="AW3130" s="4" t="str">
        <f t="shared" si="12550"/>
        <v xml:space="preserve">   Revestimento vegetal por hidrossemeadura</v>
      </c>
    </row>
    <row r="3131" spans="1:49" ht="17.100000000000001" customHeight="1" outlineLevel="2">
      <c r="A3131" s="8" t="str">
        <f t="shared" ref="A3131" si="12757">IF(SUM(P3131:V3132)&gt;0,"S","N")</f>
        <v>N</v>
      </c>
      <c r="B3131" s="150">
        <v>1068847</v>
      </c>
      <c r="C3131" s="150" t="s">
        <v>3558</v>
      </c>
      <c r="D3131" s="120" t="s">
        <v>3559</v>
      </c>
      <c r="E3131" s="892" t="s">
        <v>3302</v>
      </c>
      <c r="F3131" s="894" t="s">
        <v>3210</v>
      </c>
      <c r="G3131" s="528"/>
      <c r="H3131" s="546" t="s">
        <v>37</v>
      </c>
      <c r="I3131" s="711">
        <v>0</v>
      </c>
      <c r="J3131" s="896" t="str">
        <f t="shared" ref="J3131" si="12758">IFERROR((I3132/I3131),"-")</f>
        <v>-</v>
      </c>
      <c r="K3131" s="528"/>
      <c r="L3131" s="546" t="s">
        <v>37</v>
      </c>
      <c r="M3131" s="711">
        <f t="shared" si="12632"/>
        <v>0</v>
      </c>
      <c r="N3131" s="896" t="str">
        <f t="shared" ref="N3131" si="12759">IFERROR((M3132/M3131),"-")</f>
        <v>-</v>
      </c>
      <c r="O3131" s="528"/>
      <c r="P3131" s="547">
        <v>0</v>
      </c>
      <c r="Q3131" s="547">
        <v>0</v>
      </c>
      <c r="R3131" s="547">
        <v>0</v>
      </c>
      <c r="S3131" s="547">
        <v>0</v>
      </c>
      <c r="T3131" s="547">
        <v>0</v>
      </c>
      <c r="U3131" s="547">
        <v>0</v>
      </c>
      <c r="V3131" s="548">
        <v>0</v>
      </c>
      <c r="W3131" s="528"/>
      <c r="X3131" s="711">
        <f t="shared" si="12626"/>
        <v>0</v>
      </c>
      <c r="Y3131" s="896" t="str">
        <f t="shared" ref="Y3131" si="12760">IFERROR((X3132/X3131),"-")</f>
        <v>-</v>
      </c>
      <c r="Z3131" s="528"/>
      <c r="AA3131" s="898">
        <v>0</v>
      </c>
      <c r="AB3131" s="898">
        <v>0</v>
      </c>
      <c r="AC3131" s="898">
        <v>0</v>
      </c>
      <c r="AD3131" s="896" t="str">
        <f t="shared" ref="AD3131" si="12761">IFERROR((AC3131/AA3131),"-")</f>
        <v>-</v>
      </c>
      <c r="AE3131" s="2"/>
      <c r="AF3131" s="884">
        <v>0</v>
      </c>
      <c r="AG3131" s="884"/>
      <c r="AH3131" s="884">
        <v>0</v>
      </c>
      <c r="AI3131" s="884"/>
      <c r="AJ3131" s="884"/>
      <c r="AK3131" s="884">
        <f t="shared" ref="AK3131" si="12762">AF3131+AG3131+AH3131+AI3131+AJ3131+AC3131</f>
        <v>0</v>
      </c>
      <c r="AL3131" s="884">
        <v>0</v>
      </c>
      <c r="AM3131" s="878" t="str">
        <f t="shared" ref="AM3131" si="12763">IFERROR((AK3131/AL3131),"-")</f>
        <v>-</v>
      </c>
      <c r="AN3131" s="2"/>
      <c r="AO3131" s="884">
        <v>16927.68</v>
      </c>
      <c r="AP3131" s="884">
        <f t="shared" ref="AP3131" si="12764">AO3131-AK3131</f>
        <v>16927.68</v>
      </c>
      <c r="AV3131" t="str">
        <f t="shared" si="12552"/>
        <v>Revegetação - Hidrossemeadura</v>
      </c>
      <c r="AW3131" s="4" t="str">
        <f t="shared" si="12550"/>
        <v xml:space="preserve">   Revestimento vegetal por hidrossemeadura</v>
      </c>
    </row>
    <row r="3132" spans="1:49" ht="17.100000000000001" customHeight="1" outlineLevel="2">
      <c r="A3132" s="8" t="str">
        <f t="shared" ref="A3132" si="12765">A3131</f>
        <v>N</v>
      </c>
      <c r="B3132" s="150"/>
      <c r="C3132" s="150" t="s">
        <v>3558</v>
      </c>
      <c r="D3132" s="120" t="s">
        <v>3559</v>
      </c>
      <c r="E3132" s="893"/>
      <c r="F3132" s="895"/>
      <c r="G3132" s="528"/>
      <c r="H3132" s="549" t="s">
        <v>38</v>
      </c>
      <c r="I3132" s="711">
        <v>0</v>
      </c>
      <c r="J3132" s="897"/>
      <c r="K3132" s="528"/>
      <c r="L3132" s="549" t="s">
        <v>38</v>
      </c>
      <c r="M3132" s="711">
        <f t="shared" si="12632"/>
        <v>0</v>
      </c>
      <c r="N3132" s="897"/>
      <c r="O3132" s="528"/>
      <c r="P3132" s="548">
        <v>0</v>
      </c>
      <c r="Q3132" s="548">
        <v>0</v>
      </c>
      <c r="R3132" s="548">
        <v>0</v>
      </c>
      <c r="S3132" s="548">
        <v>0</v>
      </c>
      <c r="T3132" s="548">
        <v>0</v>
      </c>
      <c r="U3132" s="548">
        <v>0</v>
      </c>
      <c r="V3132" s="548"/>
      <c r="W3132" s="528"/>
      <c r="X3132" s="711">
        <f t="shared" si="12626"/>
        <v>0</v>
      </c>
      <c r="Y3132" s="897"/>
      <c r="Z3132" s="528"/>
      <c r="AA3132" s="899"/>
      <c r="AB3132" s="899"/>
      <c r="AC3132" s="899"/>
      <c r="AD3132" s="897"/>
      <c r="AE3132" s="2"/>
      <c r="AF3132" s="885"/>
      <c r="AG3132" s="885"/>
      <c r="AH3132" s="885"/>
      <c r="AI3132" s="885"/>
      <c r="AJ3132" s="885"/>
      <c r="AK3132" s="885"/>
      <c r="AL3132" s="885"/>
      <c r="AM3132" s="879"/>
      <c r="AN3132" s="2"/>
      <c r="AO3132" s="886"/>
      <c r="AP3132" s="886"/>
      <c r="AV3132" t="str">
        <f t="shared" si="12552"/>
        <v>Revegetação - Hidrossemeadura</v>
      </c>
      <c r="AW3132" s="4" t="str">
        <f t="shared" si="12550"/>
        <v xml:space="preserve">   Revestimento vegetal por hidrossemeadura</v>
      </c>
    </row>
    <row r="3133" spans="1:49" ht="16.7" customHeight="1" outlineLevel="2">
      <c r="A3133" s="8" t="str">
        <f t="shared" ref="A3133" si="12766">IF(SUM(P3133:V3134)&gt;0,"S","N")</f>
        <v>N</v>
      </c>
      <c r="B3133" s="150">
        <v>1068848</v>
      </c>
      <c r="C3133" s="150" t="s">
        <v>3560</v>
      </c>
      <c r="D3133" s="120" t="s">
        <v>3561</v>
      </c>
      <c r="E3133" s="892" t="s">
        <v>3302</v>
      </c>
      <c r="F3133" s="894" t="s">
        <v>3210</v>
      </c>
      <c r="G3133" s="528"/>
      <c r="H3133" s="546" t="s">
        <v>37</v>
      </c>
      <c r="I3133" s="711">
        <v>0</v>
      </c>
      <c r="J3133" s="896" t="str">
        <f t="shared" ref="J3133" si="12767">IFERROR((I3134/I3133),"-")</f>
        <v>-</v>
      </c>
      <c r="K3133" s="528"/>
      <c r="L3133" s="546" t="s">
        <v>37</v>
      </c>
      <c r="M3133" s="711">
        <f t="shared" si="12632"/>
        <v>0</v>
      </c>
      <c r="N3133" s="896" t="str">
        <f t="shared" ref="N3133" si="12768">IFERROR((M3134/M3133),"-")</f>
        <v>-</v>
      </c>
      <c r="O3133" s="528"/>
      <c r="P3133" s="547">
        <v>0</v>
      </c>
      <c r="Q3133" s="547">
        <v>0</v>
      </c>
      <c r="R3133" s="547">
        <v>0</v>
      </c>
      <c r="S3133" s="547">
        <v>0</v>
      </c>
      <c r="T3133" s="547">
        <v>0</v>
      </c>
      <c r="U3133" s="547">
        <v>0</v>
      </c>
      <c r="V3133" s="548">
        <v>0</v>
      </c>
      <c r="W3133" s="528"/>
      <c r="X3133" s="711">
        <f t="shared" si="12626"/>
        <v>0</v>
      </c>
      <c r="Y3133" s="896" t="str">
        <f t="shared" ref="Y3133" si="12769">IFERROR((X3134/X3133),"-")</f>
        <v>-</v>
      </c>
      <c r="Z3133" s="528"/>
      <c r="AA3133" s="898">
        <v>0</v>
      </c>
      <c r="AB3133" s="898">
        <v>0</v>
      </c>
      <c r="AC3133" s="898">
        <v>0</v>
      </c>
      <c r="AD3133" s="896" t="str">
        <f t="shared" ref="AD3133" si="12770">IFERROR((AC3133/AA3133),"-")</f>
        <v>-</v>
      </c>
      <c r="AE3133" s="2"/>
      <c r="AF3133" s="884">
        <v>0</v>
      </c>
      <c r="AG3133" s="884"/>
      <c r="AH3133" s="884">
        <v>0</v>
      </c>
      <c r="AI3133" s="884"/>
      <c r="AJ3133" s="884"/>
      <c r="AK3133" s="884">
        <f t="shared" ref="AK3133" si="12771">AF3133+AG3133+AH3133+AI3133+AJ3133+AC3133</f>
        <v>0</v>
      </c>
      <c r="AL3133" s="884">
        <v>0</v>
      </c>
      <c r="AM3133" s="878" t="str">
        <f t="shared" ref="AM3133" si="12772">IFERROR((AK3133/AL3133),"-")</f>
        <v>-</v>
      </c>
      <c r="AN3133" s="2"/>
      <c r="AO3133" s="884">
        <v>48573.68</v>
      </c>
      <c r="AP3133" s="884">
        <f t="shared" ref="AP3133" si="12773">AO3133-AK3133</f>
        <v>48573.68</v>
      </c>
      <c r="AV3133" t="str">
        <f t="shared" si="12552"/>
        <v>Revegetação - Hidrossemeadura</v>
      </c>
      <c r="AW3133" s="4" t="str">
        <f t="shared" si="12550"/>
        <v xml:space="preserve">   Revestimento vegetal por hidrossemeadura</v>
      </c>
    </row>
    <row r="3134" spans="1:49" ht="17.100000000000001" customHeight="1" outlineLevel="2">
      <c r="A3134" s="8" t="str">
        <f t="shared" ref="A3134" si="12774">A3133</f>
        <v>N</v>
      </c>
      <c r="B3134" s="150"/>
      <c r="C3134" s="150" t="s">
        <v>3560</v>
      </c>
      <c r="D3134" s="120" t="s">
        <v>3561</v>
      </c>
      <c r="E3134" s="893"/>
      <c r="F3134" s="895"/>
      <c r="G3134" s="528"/>
      <c r="H3134" s="549" t="s">
        <v>38</v>
      </c>
      <c r="I3134" s="711">
        <v>0</v>
      </c>
      <c r="J3134" s="897"/>
      <c r="K3134" s="528"/>
      <c r="L3134" s="549" t="s">
        <v>38</v>
      </c>
      <c r="M3134" s="711">
        <f t="shared" si="12632"/>
        <v>0</v>
      </c>
      <c r="N3134" s="897"/>
      <c r="O3134" s="528"/>
      <c r="P3134" s="548">
        <v>0</v>
      </c>
      <c r="Q3134" s="548">
        <v>0</v>
      </c>
      <c r="R3134" s="548">
        <v>0</v>
      </c>
      <c r="S3134" s="548">
        <v>0</v>
      </c>
      <c r="T3134" s="548">
        <v>0</v>
      </c>
      <c r="U3134" s="548">
        <v>0</v>
      </c>
      <c r="V3134" s="548"/>
      <c r="W3134" s="528"/>
      <c r="X3134" s="711">
        <f t="shared" si="12626"/>
        <v>0</v>
      </c>
      <c r="Y3134" s="897"/>
      <c r="Z3134" s="528"/>
      <c r="AA3134" s="899"/>
      <c r="AB3134" s="899"/>
      <c r="AC3134" s="899"/>
      <c r="AD3134" s="897"/>
      <c r="AE3134" s="2"/>
      <c r="AF3134" s="885"/>
      <c r="AG3134" s="885"/>
      <c r="AH3134" s="885"/>
      <c r="AI3134" s="885"/>
      <c r="AJ3134" s="885"/>
      <c r="AK3134" s="885"/>
      <c r="AL3134" s="885"/>
      <c r="AM3134" s="879"/>
      <c r="AN3134" s="2"/>
      <c r="AO3134" s="886"/>
      <c r="AP3134" s="886"/>
      <c r="AV3134" t="str">
        <f t="shared" si="12552"/>
        <v>Revegetação - Hidrossemeadura</v>
      </c>
      <c r="AW3134" s="4" t="str">
        <f t="shared" si="12550"/>
        <v xml:space="preserve">   Revestimento vegetal por hidrossemeadura</v>
      </c>
    </row>
    <row r="3135" spans="1:49" ht="14.45" customHeight="1" outlineLevel="2">
      <c r="A3135" s="8" t="str">
        <f t="shared" ref="A3135" si="12775">IF(SUM(P3135:V3136)&gt;0,"S","N")</f>
        <v>N</v>
      </c>
      <c r="B3135" s="150">
        <v>1068849</v>
      </c>
      <c r="C3135" s="150" t="s">
        <v>3562</v>
      </c>
      <c r="D3135" s="120" t="s">
        <v>3563</v>
      </c>
      <c r="E3135" s="892" t="s">
        <v>3302</v>
      </c>
      <c r="F3135" s="894" t="s">
        <v>3210</v>
      </c>
      <c r="G3135" s="528"/>
      <c r="H3135" s="546" t="s">
        <v>37</v>
      </c>
      <c r="I3135" s="711">
        <v>0</v>
      </c>
      <c r="J3135" s="896" t="str">
        <f t="shared" ref="J3135" si="12776">IFERROR((I3136/I3135),"-")</f>
        <v>-</v>
      </c>
      <c r="K3135" s="528"/>
      <c r="L3135" s="546" t="s">
        <v>37</v>
      </c>
      <c r="M3135" s="711">
        <f t="shared" si="12632"/>
        <v>0</v>
      </c>
      <c r="N3135" s="896" t="str">
        <f t="shared" ref="N3135" si="12777">IFERROR((M3136/M3135),"-")</f>
        <v>-</v>
      </c>
      <c r="O3135" s="528"/>
      <c r="P3135" s="547">
        <v>0</v>
      </c>
      <c r="Q3135" s="547">
        <v>0</v>
      </c>
      <c r="R3135" s="547">
        <v>0</v>
      </c>
      <c r="S3135" s="547">
        <v>0</v>
      </c>
      <c r="T3135" s="547">
        <v>0</v>
      </c>
      <c r="U3135" s="547">
        <v>0</v>
      </c>
      <c r="V3135" s="548">
        <v>0</v>
      </c>
      <c r="W3135" s="528"/>
      <c r="X3135" s="711">
        <f t="shared" si="12626"/>
        <v>0</v>
      </c>
      <c r="Y3135" s="896" t="str">
        <f t="shared" ref="Y3135" si="12778">IFERROR((X3136/X3135),"-")</f>
        <v>-</v>
      </c>
      <c r="Z3135" s="528"/>
      <c r="AA3135" s="898">
        <v>0</v>
      </c>
      <c r="AB3135" s="898">
        <v>0</v>
      </c>
      <c r="AC3135" s="898">
        <v>0</v>
      </c>
      <c r="AD3135" s="896" t="str">
        <f t="shared" ref="AD3135" si="12779">IFERROR((AC3135/AA3135),"-")</f>
        <v>-</v>
      </c>
      <c r="AE3135" s="2"/>
      <c r="AF3135" s="884">
        <v>0</v>
      </c>
      <c r="AG3135" s="884"/>
      <c r="AH3135" s="884">
        <v>0</v>
      </c>
      <c r="AI3135" s="884"/>
      <c r="AJ3135" s="884"/>
      <c r="AK3135" s="884">
        <f t="shared" ref="AK3135" si="12780">AF3135+AG3135+AH3135+AI3135+AJ3135+AC3135</f>
        <v>0</v>
      </c>
      <c r="AL3135" s="884">
        <v>0</v>
      </c>
      <c r="AM3135" s="878" t="str">
        <f t="shared" ref="AM3135" si="12781">IFERROR((AK3135/AL3135),"-")</f>
        <v>-</v>
      </c>
      <c r="AN3135" s="2"/>
      <c r="AO3135" s="884">
        <v>900.23</v>
      </c>
      <c r="AP3135" s="884">
        <f t="shared" ref="AP3135" si="12782">AO3135-AK3135</f>
        <v>900.23</v>
      </c>
      <c r="AV3135" t="str">
        <f t="shared" si="12552"/>
        <v>Revegetação - Hidrossemeadura</v>
      </c>
      <c r="AW3135" s="4" t="str">
        <f t="shared" si="12550"/>
        <v xml:space="preserve">   Revestimento vegetal por hidrossemeadura</v>
      </c>
    </row>
    <row r="3136" spans="1:49" ht="15.6" customHeight="1" outlineLevel="2">
      <c r="A3136" s="8" t="str">
        <f t="shared" ref="A3136" si="12783">A3135</f>
        <v>N</v>
      </c>
      <c r="B3136" s="150"/>
      <c r="C3136" s="150" t="s">
        <v>3562</v>
      </c>
      <c r="D3136" s="120" t="s">
        <v>3563</v>
      </c>
      <c r="E3136" s="893"/>
      <c r="F3136" s="895"/>
      <c r="G3136" s="528"/>
      <c r="H3136" s="549" t="s">
        <v>38</v>
      </c>
      <c r="I3136" s="711">
        <v>0</v>
      </c>
      <c r="J3136" s="897"/>
      <c r="K3136" s="528"/>
      <c r="L3136" s="549" t="s">
        <v>38</v>
      </c>
      <c r="M3136" s="711">
        <f t="shared" si="12632"/>
        <v>0</v>
      </c>
      <c r="N3136" s="897"/>
      <c r="O3136" s="528"/>
      <c r="P3136" s="548">
        <v>0</v>
      </c>
      <c r="Q3136" s="548">
        <v>0</v>
      </c>
      <c r="R3136" s="548">
        <v>0</v>
      </c>
      <c r="S3136" s="548">
        <v>0</v>
      </c>
      <c r="T3136" s="548">
        <v>0</v>
      </c>
      <c r="U3136" s="548">
        <v>0</v>
      </c>
      <c r="V3136" s="548"/>
      <c r="W3136" s="528"/>
      <c r="X3136" s="711">
        <f t="shared" si="12626"/>
        <v>0</v>
      </c>
      <c r="Y3136" s="897"/>
      <c r="Z3136" s="528"/>
      <c r="AA3136" s="899"/>
      <c r="AB3136" s="899"/>
      <c r="AC3136" s="899"/>
      <c r="AD3136" s="897"/>
      <c r="AE3136" s="2"/>
      <c r="AF3136" s="885"/>
      <c r="AG3136" s="885"/>
      <c r="AH3136" s="885"/>
      <c r="AI3136" s="885"/>
      <c r="AJ3136" s="885"/>
      <c r="AK3136" s="885"/>
      <c r="AL3136" s="885"/>
      <c r="AM3136" s="879"/>
      <c r="AN3136" s="2"/>
      <c r="AO3136" s="886"/>
      <c r="AP3136" s="886"/>
      <c r="AV3136" t="str">
        <f t="shared" si="12552"/>
        <v>Revegetação - Hidrossemeadura</v>
      </c>
      <c r="AW3136" s="4" t="str">
        <f t="shared" si="12550"/>
        <v xml:space="preserve">   Revestimento vegetal por hidrossemeadura</v>
      </c>
    </row>
    <row r="3137" spans="1:49" ht="15.6" customHeight="1" outlineLevel="2">
      <c r="A3137" s="8" t="str">
        <f t="shared" ref="A3137" si="12784">IF(SUM(P3137:V3138)&gt;0,"S","N")</f>
        <v>N</v>
      </c>
      <c r="B3137" s="150">
        <v>1068850</v>
      </c>
      <c r="C3137" s="150" t="s">
        <v>3564</v>
      </c>
      <c r="D3137" s="120" t="s">
        <v>3565</v>
      </c>
      <c r="E3137" s="892" t="s">
        <v>3302</v>
      </c>
      <c r="F3137" s="894" t="s">
        <v>3210</v>
      </c>
      <c r="G3137" s="528"/>
      <c r="H3137" s="546" t="s">
        <v>37</v>
      </c>
      <c r="I3137" s="711">
        <v>0</v>
      </c>
      <c r="J3137" s="896" t="str">
        <f t="shared" ref="J3137" si="12785">IFERROR((I3138/I3137),"-")</f>
        <v>-</v>
      </c>
      <c r="K3137" s="528"/>
      <c r="L3137" s="546" t="s">
        <v>37</v>
      </c>
      <c r="M3137" s="711">
        <f t="shared" si="12632"/>
        <v>0</v>
      </c>
      <c r="N3137" s="896" t="str">
        <f t="shared" ref="N3137" si="12786">IFERROR((M3138/M3137),"-")</f>
        <v>-</v>
      </c>
      <c r="O3137" s="528"/>
      <c r="P3137" s="547">
        <v>0</v>
      </c>
      <c r="Q3137" s="547">
        <v>0</v>
      </c>
      <c r="R3137" s="547">
        <v>0</v>
      </c>
      <c r="S3137" s="547">
        <v>0</v>
      </c>
      <c r="T3137" s="547">
        <v>0</v>
      </c>
      <c r="U3137" s="547">
        <v>0</v>
      </c>
      <c r="V3137" s="548">
        <v>0</v>
      </c>
      <c r="W3137" s="528"/>
      <c r="X3137" s="711">
        <f t="shared" si="12626"/>
        <v>0</v>
      </c>
      <c r="Y3137" s="896" t="str">
        <f t="shared" ref="Y3137" si="12787">IFERROR((X3138/X3137),"-")</f>
        <v>-</v>
      </c>
      <c r="Z3137" s="528"/>
      <c r="AA3137" s="898">
        <v>0</v>
      </c>
      <c r="AB3137" s="898">
        <v>0</v>
      </c>
      <c r="AC3137" s="898">
        <v>0</v>
      </c>
      <c r="AD3137" s="896" t="str">
        <f t="shared" ref="AD3137" si="12788">IFERROR((AC3137/AA3137),"-")</f>
        <v>-</v>
      </c>
      <c r="AE3137" s="2"/>
      <c r="AF3137" s="884">
        <v>0</v>
      </c>
      <c r="AG3137" s="884"/>
      <c r="AH3137" s="884">
        <v>0</v>
      </c>
      <c r="AI3137" s="884"/>
      <c r="AJ3137" s="884"/>
      <c r="AK3137" s="884">
        <f t="shared" ref="AK3137" si="12789">AF3137+AG3137+AH3137+AI3137+AJ3137+AC3137</f>
        <v>0</v>
      </c>
      <c r="AL3137" s="884">
        <v>0</v>
      </c>
      <c r="AM3137" s="878" t="str">
        <f t="shared" ref="AM3137" si="12790">IFERROR((AK3137/AL3137),"-")</f>
        <v>-</v>
      </c>
      <c r="AN3137" s="2"/>
      <c r="AO3137" s="884">
        <v>17911.55</v>
      </c>
      <c r="AP3137" s="884">
        <f t="shared" ref="AP3137" si="12791">AO3137-AK3137</f>
        <v>17911.55</v>
      </c>
      <c r="AV3137" t="str">
        <f t="shared" si="12552"/>
        <v>Revegetação - Hidrossemeadura</v>
      </c>
      <c r="AW3137" s="4" t="str">
        <f t="shared" si="12550"/>
        <v xml:space="preserve">   Revestimento vegetal por hidrossemeadura</v>
      </c>
    </row>
    <row r="3138" spans="1:49" ht="15.6" customHeight="1" outlineLevel="2">
      <c r="A3138" s="8" t="str">
        <f t="shared" ref="A3138" si="12792">A3137</f>
        <v>N</v>
      </c>
      <c r="B3138" s="150"/>
      <c r="C3138" s="150" t="s">
        <v>3564</v>
      </c>
      <c r="D3138" s="120" t="s">
        <v>3565</v>
      </c>
      <c r="E3138" s="893"/>
      <c r="F3138" s="895"/>
      <c r="G3138" s="528"/>
      <c r="H3138" s="549" t="s">
        <v>38</v>
      </c>
      <c r="I3138" s="711">
        <v>0</v>
      </c>
      <c r="J3138" s="897"/>
      <c r="K3138" s="528"/>
      <c r="L3138" s="549" t="s">
        <v>38</v>
      </c>
      <c r="M3138" s="711">
        <f t="shared" si="12632"/>
        <v>0</v>
      </c>
      <c r="N3138" s="897"/>
      <c r="O3138" s="528"/>
      <c r="P3138" s="548">
        <v>0</v>
      </c>
      <c r="Q3138" s="548">
        <v>0</v>
      </c>
      <c r="R3138" s="548">
        <v>0</v>
      </c>
      <c r="S3138" s="548">
        <v>0</v>
      </c>
      <c r="T3138" s="548">
        <v>0</v>
      </c>
      <c r="U3138" s="548">
        <v>0</v>
      </c>
      <c r="V3138" s="548"/>
      <c r="W3138" s="528"/>
      <c r="X3138" s="711">
        <f t="shared" si="12626"/>
        <v>0</v>
      </c>
      <c r="Y3138" s="897"/>
      <c r="Z3138" s="528"/>
      <c r="AA3138" s="899"/>
      <c r="AB3138" s="899"/>
      <c r="AC3138" s="899"/>
      <c r="AD3138" s="897"/>
      <c r="AE3138" s="2"/>
      <c r="AF3138" s="885"/>
      <c r="AG3138" s="885"/>
      <c r="AH3138" s="885"/>
      <c r="AI3138" s="885"/>
      <c r="AJ3138" s="885"/>
      <c r="AK3138" s="885"/>
      <c r="AL3138" s="885"/>
      <c r="AM3138" s="879"/>
      <c r="AN3138" s="2"/>
      <c r="AO3138" s="886"/>
      <c r="AP3138" s="886"/>
      <c r="AV3138" t="str">
        <f t="shared" si="12552"/>
        <v>Revegetação - Hidrossemeadura</v>
      </c>
      <c r="AW3138" s="4" t="str">
        <f t="shared" si="12550"/>
        <v xml:space="preserve">   Revestimento vegetal por hidrossemeadura</v>
      </c>
    </row>
    <row r="3139" spans="1:49" ht="15.6" customHeight="1" outlineLevel="2">
      <c r="A3139" s="8" t="str">
        <f t="shared" ref="A3139" si="12793">IF(SUM(P3139:V3140)&gt;0,"S","N")</f>
        <v>N</v>
      </c>
      <c r="B3139" s="150">
        <v>1068851</v>
      </c>
      <c r="C3139" s="150" t="s">
        <v>3566</v>
      </c>
      <c r="D3139" s="120" t="s">
        <v>3567</v>
      </c>
      <c r="E3139" s="892" t="s">
        <v>3302</v>
      </c>
      <c r="F3139" s="894" t="s">
        <v>3210</v>
      </c>
      <c r="G3139" s="528"/>
      <c r="H3139" s="546" t="s">
        <v>37</v>
      </c>
      <c r="I3139" s="711">
        <v>0</v>
      </c>
      <c r="J3139" s="896" t="str">
        <f t="shared" ref="J3139" si="12794">IFERROR((I3140/I3139),"-")</f>
        <v>-</v>
      </c>
      <c r="K3139" s="528"/>
      <c r="L3139" s="546" t="s">
        <v>37</v>
      </c>
      <c r="M3139" s="711">
        <f t="shared" si="12632"/>
        <v>0</v>
      </c>
      <c r="N3139" s="896" t="str">
        <f t="shared" ref="N3139" si="12795">IFERROR((M3140/M3139),"-")</f>
        <v>-</v>
      </c>
      <c r="O3139" s="528"/>
      <c r="P3139" s="547">
        <v>0</v>
      </c>
      <c r="Q3139" s="547">
        <v>0</v>
      </c>
      <c r="R3139" s="547">
        <v>0</v>
      </c>
      <c r="S3139" s="547">
        <v>0</v>
      </c>
      <c r="T3139" s="547">
        <v>0</v>
      </c>
      <c r="U3139" s="547">
        <v>0</v>
      </c>
      <c r="V3139" s="548">
        <v>0</v>
      </c>
      <c r="W3139" s="528"/>
      <c r="X3139" s="711">
        <f t="shared" si="12626"/>
        <v>0</v>
      </c>
      <c r="Y3139" s="896" t="str">
        <f t="shared" ref="Y3139" si="12796">IFERROR((X3140/X3139),"-")</f>
        <v>-</v>
      </c>
      <c r="Z3139" s="528"/>
      <c r="AA3139" s="898">
        <v>0</v>
      </c>
      <c r="AB3139" s="898">
        <v>0</v>
      </c>
      <c r="AC3139" s="898">
        <v>0</v>
      </c>
      <c r="AD3139" s="896" t="str">
        <f t="shared" ref="AD3139" si="12797">IFERROR((AC3139/AA3139),"-")</f>
        <v>-</v>
      </c>
      <c r="AE3139" s="2"/>
      <c r="AF3139" s="884">
        <v>0</v>
      </c>
      <c r="AG3139" s="884"/>
      <c r="AH3139" s="884">
        <v>0</v>
      </c>
      <c r="AI3139" s="884"/>
      <c r="AJ3139" s="884"/>
      <c r="AK3139" s="884">
        <f t="shared" ref="AK3139" si="12798">AF3139+AG3139+AH3139+AI3139+AJ3139+AC3139</f>
        <v>0</v>
      </c>
      <c r="AL3139" s="884">
        <v>0</v>
      </c>
      <c r="AM3139" s="878" t="str">
        <f t="shared" ref="AM3139" si="12799">IFERROR((AK3139/AL3139),"-")</f>
        <v>-</v>
      </c>
      <c r="AN3139" s="2"/>
      <c r="AO3139" s="884">
        <v>6411.06</v>
      </c>
      <c r="AP3139" s="884">
        <f t="shared" ref="AP3139" si="12800">AO3139-AK3139</f>
        <v>6411.06</v>
      </c>
      <c r="AV3139" t="str">
        <f t="shared" si="12552"/>
        <v>Revegetação - Hidrossemeadura</v>
      </c>
      <c r="AW3139" s="4" t="str">
        <f t="shared" si="12550"/>
        <v xml:space="preserve">   Revestimento vegetal por hidrossemeadura</v>
      </c>
    </row>
    <row r="3140" spans="1:49" ht="15.6" customHeight="1" outlineLevel="2">
      <c r="A3140" s="8" t="str">
        <f t="shared" ref="A3140" si="12801">A3139</f>
        <v>N</v>
      </c>
      <c r="B3140" s="150"/>
      <c r="C3140" s="150" t="s">
        <v>3566</v>
      </c>
      <c r="D3140" s="120" t="s">
        <v>3567</v>
      </c>
      <c r="E3140" s="893"/>
      <c r="F3140" s="895"/>
      <c r="G3140" s="528"/>
      <c r="H3140" s="549" t="s">
        <v>38</v>
      </c>
      <c r="I3140" s="711">
        <v>0</v>
      </c>
      <c r="J3140" s="897"/>
      <c r="K3140" s="528"/>
      <c r="L3140" s="549" t="s">
        <v>38</v>
      </c>
      <c r="M3140" s="711">
        <f t="shared" si="12632"/>
        <v>0</v>
      </c>
      <c r="N3140" s="897"/>
      <c r="O3140" s="528"/>
      <c r="P3140" s="548">
        <v>0</v>
      </c>
      <c r="Q3140" s="548">
        <v>0</v>
      </c>
      <c r="R3140" s="548">
        <v>0</v>
      </c>
      <c r="S3140" s="548">
        <v>0</v>
      </c>
      <c r="T3140" s="548">
        <v>0</v>
      </c>
      <c r="U3140" s="548">
        <v>0</v>
      </c>
      <c r="V3140" s="548"/>
      <c r="W3140" s="528"/>
      <c r="X3140" s="711">
        <f t="shared" si="12626"/>
        <v>0</v>
      </c>
      <c r="Y3140" s="897"/>
      <c r="Z3140" s="528"/>
      <c r="AA3140" s="899"/>
      <c r="AB3140" s="899"/>
      <c r="AC3140" s="899"/>
      <c r="AD3140" s="897"/>
      <c r="AE3140" s="2"/>
      <c r="AF3140" s="885"/>
      <c r="AG3140" s="885"/>
      <c r="AH3140" s="885"/>
      <c r="AI3140" s="885"/>
      <c r="AJ3140" s="885"/>
      <c r="AK3140" s="885"/>
      <c r="AL3140" s="885"/>
      <c r="AM3140" s="879"/>
      <c r="AN3140" s="2"/>
      <c r="AO3140" s="886"/>
      <c r="AP3140" s="886"/>
      <c r="AV3140" t="str">
        <f t="shared" si="12552"/>
        <v>Revegetação - Hidrossemeadura</v>
      </c>
      <c r="AW3140" s="4" t="str">
        <f t="shared" si="12550"/>
        <v xml:space="preserve">   Revestimento vegetal por hidrossemeadura</v>
      </c>
    </row>
    <row r="3141" spans="1:49" ht="15.6" customHeight="1" outlineLevel="2">
      <c r="A3141" s="8" t="str">
        <f t="shared" ref="A3141" si="12802">IF(SUM(P3141:V3142)&gt;0,"S","N")</f>
        <v>N</v>
      </c>
      <c r="B3141" s="150">
        <v>1068852</v>
      </c>
      <c r="C3141" s="150" t="s">
        <v>3568</v>
      </c>
      <c r="D3141" s="120" t="s">
        <v>3569</v>
      </c>
      <c r="E3141" s="892" t="s">
        <v>3302</v>
      </c>
      <c r="F3141" s="894" t="s">
        <v>3210</v>
      </c>
      <c r="G3141" s="528"/>
      <c r="H3141" s="546" t="s">
        <v>37</v>
      </c>
      <c r="I3141" s="711">
        <v>0</v>
      </c>
      <c r="J3141" s="896" t="str">
        <f t="shared" ref="J3141" si="12803">IFERROR((I3142/I3141),"-")</f>
        <v>-</v>
      </c>
      <c r="K3141" s="528"/>
      <c r="L3141" s="546" t="s">
        <v>37</v>
      </c>
      <c r="M3141" s="711">
        <f t="shared" si="12632"/>
        <v>0</v>
      </c>
      <c r="N3141" s="896" t="str">
        <f t="shared" ref="N3141" si="12804">IFERROR((M3142/M3141),"-")</f>
        <v>-</v>
      </c>
      <c r="O3141" s="528"/>
      <c r="P3141" s="547">
        <v>0</v>
      </c>
      <c r="Q3141" s="547">
        <v>0</v>
      </c>
      <c r="R3141" s="547">
        <v>0</v>
      </c>
      <c r="S3141" s="547">
        <v>0</v>
      </c>
      <c r="T3141" s="547">
        <v>0</v>
      </c>
      <c r="U3141" s="547">
        <v>0</v>
      </c>
      <c r="V3141" s="548">
        <v>0</v>
      </c>
      <c r="W3141" s="528"/>
      <c r="X3141" s="711">
        <f t="shared" si="12626"/>
        <v>0</v>
      </c>
      <c r="Y3141" s="896" t="str">
        <f t="shared" ref="Y3141" si="12805">IFERROR((X3142/X3141),"-")</f>
        <v>-</v>
      </c>
      <c r="Z3141" s="528"/>
      <c r="AA3141" s="898">
        <v>0</v>
      </c>
      <c r="AB3141" s="898">
        <v>0</v>
      </c>
      <c r="AC3141" s="898">
        <v>0</v>
      </c>
      <c r="AD3141" s="896" t="str">
        <f t="shared" ref="AD3141" si="12806">IFERROR((AC3141/AA3141),"-")</f>
        <v>-</v>
      </c>
      <c r="AE3141" s="2"/>
      <c r="AF3141" s="884">
        <v>0</v>
      </c>
      <c r="AG3141" s="884"/>
      <c r="AH3141" s="884">
        <v>0</v>
      </c>
      <c r="AI3141" s="884"/>
      <c r="AJ3141" s="884"/>
      <c r="AK3141" s="884">
        <f t="shared" ref="AK3141" si="12807">AF3141+AG3141+AH3141+AI3141+AJ3141+AC3141</f>
        <v>0</v>
      </c>
      <c r="AL3141" s="884">
        <v>0</v>
      </c>
      <c r="AM3141" s="878" t="str">
        <f t="shared" ref="AM3141" si="12808">IFERROR((AK3141/AL3141),"-")</f>
        <v>-</v>
      </c>
      <c r="AN3141" s="2"/>
      <c r="AO3141" s="884">
        <v>12908.05</v>
      </c>
      <c r="AP3141" s="884">
        <f t="shared" ref="AP3141" si="12809">AO3141-AK3141</f>
        <v>12908.05</v>
      </c>
      <c r="AV3141" t="str">
        <f t="shared" si="12552"/>
        <v>Revegetação - Hidrossemeadura</v>
      </c>
      <c r="AW3141" s="4" t="str">
        <f t="shared" si="12550"/>
        <v xml:space="preserve">   Revestimento vegetal por hidrossemeadura</v>
      </c>
    </row>
    <row r="3142" spans="1:49" ht="15.6" customHeight="1" outlineLevel="2">
      <c r="A3142" s="8" t="str">
        <f t="shared" ref="A3142" si="12810">A3141</f>
        <v>N</v>
      </c>
      <c r="B3142" s="150"/>
      <c r="C3142" s="150" t="s">
        <v>3568</v>
      </c>
      <c r="D3142" s="120" t="s">
        <v>3569</v>
      </c>
      <c r="E3142" s="893"/>
      <c r="F3142" s="895"/>
      <c r="G3142" s="528"/>
      <c r="H3142" s="549" t="s">
        <v>38</v>
      </c>
      <c r="I3142" s="711">
        <v>0</v>
      </c>
      <c r="J3142" s="897"/>
      <c r="K3142" s="528"/>
      <c r="L3142" s="549" t="s">
        <v>38</v>
      </c>
      <c r="M3142" s="711">
        <f t="shared" si="12632"/>
        <v>0</v>
      </c>
      <c r="N3142" s="897"/>
      <c r="O3142" s="528"/>
      <c r="P3142" s="548">
        <v>0</v>
      </c>
      <c r="Q3142" s="548">
        <v>0</v>
      </c>
      <c r="R3142" s="548">
        <v>0</v>
      </c>
      <c r="S3142" s="548">
        <v>0</v>
      </c>
      <c r="T3142" s="548">
        <v>0</v>
      </c>
      <c r="U3142" s="548">
        <v>0</v>
      </c>
      <c r="V3142" s="548"/>
      <c r="W3142" s="528"/>
      <c r="X3142" s="711">
        <f t="shared" si="12626"/>
        <v>0</v>
      </c>
      <c r="Y3142" s="897"/>
      <c r="Z3142" s="528"/>
      <c r="AA3142" s="899"/>
      <c r="AB3142" s="899"/>
      <c r="AC3142" s="899"/>
      <c r="AD3142" s="897"/>
      <c r="AE3142" s="2"/>
      <c r="AF3142" s="885"/>
      <c r="AG3142" s="885"/>
      <c r="AH3142" s="885"/>
      <c r="AI3142" s="885"/>
      <c r="AJ3142" s="885"/>
      <c r="AK3142" s="885"/>
      <c r="AL3142" s="885"/>
      <c r="AM3142" s="879"/>
      <c r="AN3142" s="2"/>
      <c r="AO3142" s="886"/>
      <c r="AP3142" s="886"/>
      <c r="AV3142" t="str">
        <f t="shared" si="12552"/>
        <v>Revegetação - Hidrossemeadura</v>
      </c>
      <c r="AW3142" s="4" t="str">
        <f t="shared" si="12550"/>
        <v xml:space="preserve">   Revestimento vegetal por hidrossemeadura</v>
      </c>
    </row>
    <row r="3143" spans="1:49" ht="15.6" customHeight="1" outlineLevel="1">
      <c r="A3143" s="8" t="str">
        <f t="shared" ref="A3143" si="12811">IF(SUM(P3143:V3144)&gt;0,"S","N")</f>
        <v>N</v>
      </c>
      <c r="B3143" s="150">
        <v>1068853</v>
      </c>
      <c r="C3143" s="150" t="s">
        <v>3570</v>
      </c>
      <c r="D3143" s="120" t="s">
        <v>3571</v>
      </c>
      <c r="E3143" s="892" t="s">
        <v>3302</v>
      </c>
      <c r="F3143" s="894" t="s">
        <v>3210</v>
      </c>
      <c r="G3143" s="528"/>
      <c r="H3143" s="546" t="s">
        <v>37</v>
      </c>
      <c r="I3143" s="711">
        <v>0</v>
      </c>
      <c r="J3143" s="896" t="str">
        <f t="shared" ref="J3143" si="12812">IFERROR((I3144/I3143),"-")</f>
        <v>-</v>
      </c>
      <c r="K3143" s="528"/>
      <c r="L3143" s="546" t="s">
        <v>37</v>
      </c>
      <c r="M3143" s="711">
        <f t="shared" si="12632"/>
        <v>0</v>
      </c>
      <c r="N3143" s="896" t="str">
        <f t="shared" ref="N3143" si="12813">IFERROR((M3144/M3143),"-")</f>
        <v>-</v>
      </c>
      <c r="O3143" s="528"/>
      <c r="P3143" s="547">
        <v>0</v>
      </c>
      <c r="Q3143" s="547">
        <v>0</v>
      </c>
      <c r="R3143" s="547">
        <v>0</v>
      </c>
      <c r="S3143" s="547">
        <v>0</v>
      </c>
      <c r="T3143" s="547">
        <v>0</v>
      </c>
      <c r="U3143" s="547">
        <v>0</v>
      </c>
      <c r="V3143" s="548">
        <v>0</v>
      </c>
      <c r="W3143" s="528"/>
      <c r="X3143" s="711">
        <f t="shared" si="12626"/>
        <v>0</v>
      </c>
      <c r="Y3143" s="896" t="str">
        <f t="shared" ref="Y3143" si="12814">IFERROR((X3144/X3143),"-")</f>
        <v>-</v>
      </c>
      <c r="Z3143" s="528"/>
      <c r="AA3143" s="898">
        <v>0</v>
      </c>
      <c r="AB3143" s="898">
        <v>0</v>
      </c>
      <c r="AC3143" s="898">
        <v>0</v>
      </c>
      <c r="AD3143" s="896" t="str">
        <f t="shared" ref="AD3143" si="12815">IFERROR((AC3143/AA3143),"-")</f>
        <v>-</v>
      </c>
      <c r="AE3143" s="2"/>
      <c r="AF3143" s="884">
        <v>0</v>
      </c>
      <c r="AG3143" s="884"/>
      <c r="AH3143" s="884">
        <v>0</v>
      </c>
      <c r="AI3143" s="884"/>
      <c r="AJ3143" s="884"/>
      <c r="AK3143" s="884">
        <f t="shared" ref="AK3143" si="12816">AF3143+AG3143+AH3143+AI3143+AJ3143+AC3143</f>
        <v>0</v>
      </c>
      <c r="AL3143" s="884">
        <v>0</v>
      </c>
      <c r="AM3143" s="878" t="str">
        <f t="shared" ref="AM3143" si="12817">IFERROR((AK3143/AL3143),"-")</f>
        <v>-</v>
      </c>
      <c r="AN3143" s="2"/>
      <c r="AO3143" s="884">
        <v>83.92</v>
      </c>
      <c r="AP3143" s="884">
        <f t="shared" ref="AP3143" si="12818">AO3143-AK3143</f>
        <v>83.92</v>
      </c>
      <c r="AV3143" t="str">
        <f t="shared" si="12552"/>
        <v>Revegetação - Hidrossemeadura</v>
      </c>
      <c r="AW3143" s="4" t="str">
        <f t="shared" si="12550"/>
        <v xml:space="preserve">   Revestimento vegetal por hidrossemeadura</v>
      </c>
    </row>
    <row r="3144" spans="1:49" ht="15.6" customHeight="1" outlineLevel="1">
      <c r="A3144" s="8" t="str">
        <f t="shared" ref="A3144" si="12819">A3143</f>
        <v>N</v>
      </c>
      <c r="B3144" s="150"/>
      <c r="C3144" s="150" t="s">
        <v>3570</v>
      </c>
      <c r="D3144" s="120" t="s">
        <v>3571</v>
      </c>
      <c r="E3144" s="893"/>
      <c r="F3144" s="895"/>
      <c r="G3144" s="528"/>
      <c r="H3144" s="549" t="s">
        <v>38</v>
      </c>
      <c r="I3144" s="711">
        <v>0</v>
      </c>
      <c r="J3144" s="897"/>
      <c r="K3144" s="528"/>
      <c r="L3144" s="549" t="s">
        <v>38</v>
      </c>
      <c r="M3144" s="711">
        <f t="shared" si="12632"/>
        <v>0</v>
      </c>
      <c r="N3144" s="897"/>
      <c r="O3144" s="528"/>
      <c r="P3144" s="548">
        <v>0</v>
      </c>
      <c r="Q3144" s="548">
        <v>0</v>
      </c>
      <c r="R3144" s="548">
        <v>0</v>
      </c>
      <c r="S3144" s="548">
        <v>0</v>
      </c>
      <c r="T3144" s="548">
        <v>0</v>
      </c>
      <c r="U3144" s="548">
        <v>0</v>
      </c>
      <c r="V3144" s="548"/>
      <c r="W3144" s="528"/>
      <c r="X3144" s="711">
        <f t="shared" si="12626"/>
        <v>0</v>
      </c>
      <c r="Y3144" s="897"/>
      <c r="Z3144" s="528"/>
      <c r="AA3144" s="899"/>
      <c r="AB3144" s="899"/>
      <c r="AC3144" s="899"/>
      <c r="AD3144" s="897"/>
      <c r="AE3144" s="2"/>
      <c r="AF3144" s="885"/>
      <c r="AG3144" s="885"/>
      <c r="AH3144" s="885"/>
      <c r="AI3144" s="885"/>
      <c r="AJ3144" s="885"/>
      <c r="AK3144" s="885"/>
      <c r="AL3144" s="885"/>
      <c r="AM3144" s="879"/>
      <c r="AN3144" s="2"/>
      <c r="AO3144" s="886"/>
      <c r="AP3144" s="886"/>
      <c r="AV3144" t="str">
        <f t="shared" si="12552"/>
        <v>Revegetação - Hidrossemeadura</v>
      </c>
      <c r="AW3144" s="4" t="str">
        <f t="shared" si="12550"/>
        <v xml:space="preserve">   Revestimento vegetal por hidrossemeadura</v>
      </c>
    </row>
    <row r="3145" spans="1:49" ht="15.6" customHeight="1" outlineLevel="1">
      <c r="A3145" s="8" t="str">
        <f t="shared" ref="A3145" si="12820">IF(SUM(P3145:V3146)&gt;0,"S","N")</f>
        <v>N</v>
      </c>
      <c r="B3145" s="150">
        <v>1068854</v>
      </c>
      <c r="C3145" s="150" t="s">
        <v>3572</v>
      </c>
      <c r="D3145" s="120" t="s">
        <v>3573</v>
      </c>
      <c r="E3145" s="892" t="s">
        <v>3302</v>
      </c>
      <c r="F3145" s="894" t="s">
        <v>3210</v>
      </c>
      <c r="G3145" s="528"/>
      <c r="H3145" s="546" t="s">
        <v>37</v>
      </c>
      <c r="I3145" s="711">
        <v>0</v>
      </c>
      <c r="J3145" s="896" t="str">
        <f t="shared" ref="J3145" si="12821">IFERROR((I3146/I3145),"-")</f>
        <v>-</v>
      </c>
      <c r="K3145" s="528"/>
      <c r="L3145" s="546" t="s">
        <v>37</v>
      </c>
      <c r="M3145" s="711">
        <f t="shared" si="12632"/>
        <v>0</v>
      </c>
      <c r="N3145" s="896" t="str">
        <f t="shared" ref="N3145" si="12822">IFERROR((M3146/M3145),"-")</f>
        <v>-</v>
      </c>
      <c r="O3145" s="528"/>
      <c r="P3145" s="547">
        <v>0</v>
      </c>
      <c r="Q3145" s="547">
        <v>0</v>
      </c>
      <c r="R3145" s="547">
        <v>0</v>
      </c>
      <c r="S3145" s="547">
        <v>0</v>
      </c>
      <c r="T3145" s="547">
        <v>0</v>
      </c>
      <c r="U3145" s="547">
        <v>0</v>
      </c>
      <c r="V3145" s="548">
        <v>0</v>
      </c>
      <c r="W3145" s="528"/>
      <c r="X3145" s="711">
        <f t="shared" si="12626"/>
        <v>0</v>
      </c>
      <c r="Y3145" s="896" t="str">
        <f t="shared" ref="Y3145" si="12823">IFERROR((X3146/X3145),"-")</f>
        <v>-</v>
      </c>
      <c r="Z3145" s="528"/>
      <c r="AA3145" s="898">
        <v>0</v>
      </c>
      <c r="AB3145" s="898">
        <v>0</v>
      </c>
      <c r="AC3145" s="898">
        <v>0</v>
      </c>
      <c r="AD3145" s="896" t="str">
        <f t="shared" ref="AD3145" si="12824">IFERROR((AC3145/AA3145),"-")</f>
        <v>-</v>
      </c>
      <c r="AE3145" s="2"/>
      <c r="AF3145" s="884">
        <v>0</v>
      </c>
      <c r="AG3145" s="884"/>
      <c r="AH3145" s="884">
        <v>0</v>
      </c>
      <c r="AI3145" s="884"/>
      <c r="AJ3145" s="884"/>
      <c r="AK3145" s="884">
        <f t="shared" ref="AK3145" si="12825">AF3145+AG3145+AH3145+AI3145+AJ3145+AC3145</f>
        <v>0</v>
      </c>
      <c r="AL3145" s="884">
        <v>0</v>
      </c>
      <c r="AM3145" s="878" t="str">
        <f t="shared" ref="AM3145" si="12826">IFERROR((AK3145/AL3145),"-")</f>
        <v>-</v>
      </c>
      <c r="AN3145" s="2"/>
      <c r="AO3145" s="884">
        <v>63193.21</v>
      </c>
      <c r="AP3145" s="884">
        <f t="shared" ref="AP3145" si="12827">AO3145-AK3145</f>
        <v>63193.21</v>
      </c>
      <c r="AV3145" t="str">
        <f t="shared" si="12552"/>
        <v>Revegetação - Hidrossemeadura</v>
      </c>
      <c r="AW3145" s="4" t="str">
        <f t="shared" ref="AW3145:AW3146" si="12828">IF(E3145&lt;&gt;"",E3145,AW3144)</f>
        <v xml:space="preserve">   Revestimento vegetal por hidrossemeadura</v>
      </c>
    </row>
    <row r="3146" spans="1:49" ht="15.6" customHeight="1" outlineLevel="1">
      <c r="A3146" s="8" t="str">
        <f t="shared" ref="A3146" si="12829">A3145</f>
        <v>N</v>
      </c>
      <c r="B3146" s="150"/>
      <c r="C3146" s="150" t="s">
        <v>3572</v>
      </c>
      <c r="D3146" s="120" t="s">
        <v>3573</v>
      </c>
      <c r="E3146" s="893"/>
      <c r="F3146" s="895"/>
      <c r="G3146" s="528"/>
      <c r="H3146" s="549" t="s">
        <v>38</v>
      </c>
      <c r="I3146" s="711">
        <v>0</v>
      </c>
      <c r="J3146" s="897"/>
      <c r="K3146" s="528"/>
      <c r="L3146" s="549" t="s">
        <v>38</v>
      </c>
      <c r="M3146" s="711">
        <f t="shared" si="12632"/>
        <v>0</v>
      </c>
      <c r="N3146" s="897"/>
      <c r="O3146" s="528"/>
      <c r="P3146" s="548">
        <v>0</v>
      </c>
      <c r="Q3146" s="548">
        <v>0</v>
      </c>
      <c r="R3146" s="548">
        <v>0</v>
      </c>
      <c r="S3146" s="548">
        <v>0</v>
      </c>
      <c r="T3146" s="548">
        <v>0</v>
      </c>
      <c r="U3146" s="548">
        <v>0</v>
      </c>
      <c r="V3146" s="548"/>
      <c r="W3146" s="528"/>
      <c r="X3146" s="711">
        <f t="shared" si="12626"/>
        <v>0</v>
      </c>
      <c r="Y3146" s="897"/>
      <c r="Z3146" s="528"/>
      <c r="AA3146" s="899"/>
      <c r="AB3146" s="899"/>
      <c r="AC3146" s="899"/>
      <c r="AD3146" s="897"/>
      <c r="AE3146" s="2"/>
      <c r="AF3146" s="885"/>
      <c r="AG3146" s="885"/>
      <c r="AH3146" s="885"/>
      <c r="AI3146" s="885"/>
      <c r="AJ3146" s="885"/>
      <c r="AK3146" s="885"/>
      <c r="AL3146" s="885"/>
      <c r="AM3146" s="879"/>
      <c r="AN3146" s="2"/>
      <c r="AO3146" s="886"/>
      <c r="AP3146" s="886"/>
      <c r="AV3146" t="str">
        <f t="shared" ref="AV3146" si="12830">IF(AX3146="Y",LEFT(E3146,20),IF(AX3146="x",E3146,AV3145))</f>
        <v>Revegetação - Hidrossemeadura</v>
      </c>
      <c r="AW3146" s="4" t="str">
        <f t="shared" si="12828"/>
        <v xml:space="preserve">   Revestimento vegetal por hidrossemeadura</v>
      </c>
    </row>
    <row r="3147" spans="1:49" ht="15.6" customHeight="1">
      <c r="A3147" s="8" t="str">
        <f t="shared" ref="A3147" si="12831">IF(SUM(P3147:V3148)&gt;0,"S","N")</f>
        <v>N</v>
      </c>
      <c r="B3147" s="150">
        <v>1070277</v>
      </c>
      <c r="C3147" s="150" t="s">
        <v>3574</v>
      </c>
      <c r="D3147" s="120" t="s">
        <v>3575</v>
      </c>
      <c r="E3147" s="892" t="s">
        <v>3302</v>
      </c>
      <c r="F3147" s="894" t="s">
        <v>3210</v>
      </c>
      <c r="G3147" s="528"/>
      <c r="H3147" s="546" t="s">
        <v>37</v>
      </c>
      <c r="I3147" s="711">
        <v>0</v>
      </c>
      <c r="J3147" s="896" t="str">
        <f t="shared" ref="J3147" si="12832">IFERROR((I3148/I3147),"-")</f>
        <v>-</v>
      </c>
      <c r="K3147" s="528"/>
      <c r="L3147" s="546" t="s">
        <v>37</v>
      </c>
      <c r="M3147" s="711">
        <f t="shared" si="12632"/>
        <v>0</v>
      </c>
      <c r="N3147" s="896" t="str">
        <f t="shared" ref="N3147" si="12833">IFERROR((M3148/M3147),"-")</f>
        <v>-</v>
      </c>
      <c r="O3147" s="528"/>
      <c r="P3147" s="547">
        <v>0</v>
      </c>
      <c r="Q3147" s="547">
        <v>0</v>
      </c>
      <c r="R3147" s="547">
        <v>0</v>
      </c>
      <c r="S3147" s="547">
        <v>0</v>
      </c>
      <c r="T3147" s="547">
        <v>0</v>
      </c>
      <c r="U3147" s="547">
        <v>0</v>
      </c>
      <c r="V3147" s="548">
        <v>0</v>
      </c>
      <c r="W3147" s="528"/>
      <c r="X3147" s="711">
        <f t="shared" si="12626"/>
        <v>0</v>
      </c>
      <c r="Y3147" s="896" t="str">
        <f t="shared" ref="Y3147" si="12834">IFERROR((X3148/X3147),"-")</f>
        <v>-</v>
      </c>
      <c r="Z3147" s="528"/>
      <c r="AA3147" s="898">
        <v>0</v>
      </c>
      <c r="AB3147" s="898">
        <v>0</v>
      </c>
      <c r="AC3147" s="898">
        <v>0</v>
      </c>
      <c r="AD3147" s="896" t="str">
        <f t="shared" ref="AD3147" si="12835">IFERROR((AC3147/AA3147),"-")</f>
        <v>-</v>
      </c>
      <c r="AE3147" s="2"/>
      <c r="AF3147" s="884">
        <v>0</v>
      </c>
      <c r="AG3147" s="884"/>
      <c r="AH3147" s="884">
        <v>0</v>
      </c>
      <c r="AI3147" s="884"/>
      <c r="AJ3147" s="884"/>
      <c r="AK3147" s="884">
        <f t="shared" ref="AK3147" si="12836">AF3147+AG3147+AH3147+AI3147+AJ3147+AC3147</f>
        <v>0</v>
      </c>
      <c r="AL3147" s="884">
        <v>0</v>
      </c>
      <c r="AM3147" s="878" t="str">
        <f t="shared" ref="AM3147" si="12837">IFERROR((AK3147/AL3147),"-")</f>
        <v>-</v>
      </c>
      <c r="AN3147" s="2"/>
      <c r="AO3147" s="884">
        <v>360.47</v>
      </c>
      <c r="AP3147" s="884">
        <f t="shared" ref="AP3147" si="12838">AO3147-AK3147</f>
        <v>360.47</v>
      </c>
      <c r="AV3147" t="str">
        <f t="shared" ref="AV3147:AV3202" si="12839">IF(AX3147="Y",LEFT(E3147,20),IF(AX3147="x",E3147,AV3146))</f>
        <v>Revegetação - Hidrossemeadura</v>
      </c>
      <c r="AW3147" s="4" t="str">
        <f t="shared" ref="AW3147:AW3202" si="12840">IF(E3147&lt;&gt;"",E3147,AW3146)</f>
        <v xml:space="preserve">   Revestimento vegetal por hidrossemeadura</v>
      </c>
    </row>
    <row r="3148" spans="1:49" ht="15.6" customHeight="1">
      <c r="A3148" s="8" t="str">
        <f t="shared" ref="A3148" si="12841">A3147</f>
        <v>N</v>
      </c>
      <c r="B3148" s="150"/>
      <c r="C3148" s="150" t="s">
        <v>3574</v>
      </c>
      <c r="D3148" s="120" t="s">
        <v>3575</v>
      </c>
      <c r="E3148" s="893"/>
      <c r="F3148" s="895"/>
      <c r="G3148" s="528"/>
      <c r="H3148" s="549" t="s">
        <v>38</v>
      </c>
      <c r="I3148" s="711">
        <v>0</v>
      </c>
      <c r="J3148" s="897"/>
      <c r="K3148" s="528"/>
      <c r="L3148" s="549" t="s">
        <v>38</v>
      </c>
      <c r="M3148" s="711">
        <f t="shared" si="12632"/>
        <v>0</v>
      </c>
      <c r="N3148" s="897"/>
      <c r="O3148" s="528"/>
      <c r="P3148" s="548">
        <v>0</v>
      </c>
      <c r="Q3148" s="548">
        <v>0</v>
      </c>
      <c r="R3148" s="548">
        <v>0</v>
      </c>
      <c r="S3148" s="548">
        <v>0</v>
      </c>
      <c r="T3148" s="548">
        <v>0</v>
      </c>
      <c r="U3148" s="548">
        <v>0</v>
      </c>
      <c r="V3148" s="548"/>
      <c r="W3148" s="528"/>
      <c r="X3148" s="711">
        <f t="shared" si="12626"/>
        <v>0</v>
      </c>
      <c r="Y3148" s="897"/>
      <c r="Z3148" s="528"/>
      <c r="AA3148" s="899"/>
      <c r="AB3148" s="899"/>
      <c r="AC3148" s="899"/>
      <c r="AD3148" s="897"/>
      <c r="AE3148" s="2"/>
      <c r="AF3148" s="908"/>
      <c r="AG3148" s="885"/>
      <c r="AH3148" s="885"/>
      <c r="AI3148" s="885"/>
      <c r="AJ3148" s="885"/>
      <c r="AK3148" s="885"/>
      <c r="AL3148" s="885"/>
      <c r="AM3148" s="879"/>
      <c r="AN3148" s="2"/>
      <c r="AO3148" s="886"/>
      <c r="AP3148" s="886"/>
      <c r="AV3148" t="str">
        <f t="shared" si="12839"/>
        <v>Revegetação - Hidrossemeadura</v>
      </c>
      <c r="AW3148" s="4" t="str">
        <f t="shared" si="12840"/>
        <v xml:space="preserve">   Revestimento vegetal por hidrossemeadura</v>
      </c>
    </row>
    <row r="3149" spans="1:49" ht="15.6" customHeight="1">
      <c r="A3149" s="209">
        <v>0</v>
      </c>
      <c r="B3149" s="150"/>
      <c r="C3149" s="150"/>
      <c r="D3149" s="117"/>
      <c r="E3149" s="535"/>
      <c r="F3149" s="536"/>
      <c r="G3149" s="537"/>
      <c r="H3149" s="714"/>
      <c r="I3149" s="538"/>
      <c r="J3149" s="714"/>
      <c r="K3149" s="537"/>
      <c r="L3149" s="714"/>
      <c r="M3149" s="538"/>
      <c r="N3149" s="714"/>
      <c r="O3149" s="537"/>
      <c r="P3149" s="539"/>
      <c r="Q3149" s="539"/>
      <c r="R3149" s="539"/>
      <c r="S3149" s="539"/>
      <c r="T3149" s="539"/>
      <c r="U3149" s="539"/>
      <c r="V3149" s="539"/>
      <c r="W3149" s="537"/>
      <c r="X3149" s="540"/>
      <c r="Y3149" s="537"/>
      <c r="Z3149" s="537"/>
      <c r="AA3149" s="250"/>
      <c r="AB3149" s="250"/>
      <c r="AC3149" s="249"/>
      <c r="AD3149" s="537"/>
      <c r="AE3149" s="3"/>
      <c r="AF3149" s="36"/>
      <c r="AG3149" s="36"/>
      <c r="AH3149" s="36"/>
      <c r="AI3149" s="36"/>
      <c r="AJ3149" s="36"/>
      <c r="AK3149" s="36"/>
      <c r="AL3149" s="36"/>
      <c r="AM3149" s="3"/>
      <c r="AN3149" s="3"/>
      <c r="AO3149" s="36"/>
      <c r="AP3149" s="36"/>
      <c r="AV3149" t="str">
        <f t="shared" si="12839"/>
        <v>Revegetação - Hidrossemeadura</v>
      </c>
      <c r="AW3149" s="4" t="str">
        <f t="shared" si="12840"/>
        <v xml:space="preserve">   Revestimento vegetal por hidrossemeadura</v>
      </c>
    </row>
    <row r="3150" spans="1:49" ht="15.6" customHeight="1">
      <c r="A3150" s="209">
        <v>0</v>
      </c>
      <c r="B3150" s="150"/>
      <c r="C3150" s="150">
        <v>0</v>
      </c>
      <c r="D3150" s="117"/>
      <c r="E3150" s="535"/>
      <c r="F3150" s="541"/>
      <c r="G3150" s="537"/>
      <c r="H3150" s="537"/>
      <c r="I3150" s="249"/>
      <c r="J3150" s="537"/>
      <c r="K3150" s="537"/>
      <c r="L3150" s="537"/>
      <c r="M3150" s="249"/>
      <c r="N3150" s="537"/>
      <c r="O3150" s="537"/>
      <c r="P3150" s="539"/>
      <c r="Q3150" s="539"/>
      <c r="R3150" s="539"/>
      <c r="S3150" s="539"/>
      <c r="T3150" s="539"/>
      <c r="U3150" s="539"/>
      <c r="V3150" s="539"/>
      <c r="W3150" s="537"/>
      <c r="X3150" s="540"/>
      <c r="Y3150" s="537"/>
      <c r="Z3150" s="537"/>
      <c r="AA3150" s="249"/>
      <c r="AB3150" s="249"/>
      <c r="AC3150" s="249"/>
      <c r="AD3150" s="537"/>
      <c r="AE3150" s="3"/>
      <c r="AF3150" s="35"/>
      <c r="AG3150" s="35"/>
      <c r="AH3150" s="35"/>
      <c r="AI3150" s="35"/>
      <c r="AJ3150" s="35"/>
      <c r="AK3150" s="35"/>
      <c r="AL3150" s="35"/>
      <c r="AM3150" s="3"/>
      <c r="AN3150" s="3"/>
      <c r="AO3150" s="35"/>
      <c r="AP3150" s="35"/>
      <c r="AV3150" t="str">
        <f t="shared" si="12839"/>
        <v>Revegetação - Hidrossemeadura</v>
      </c>
      <c r="AW3150" s="4" t="str">
        <f t="shared" si="12840"/>
        <v xml:space="preserve">   Revestimento vegetal por hidrossemeadura</v>
      </c>
    </row>
    <row r="3151" spans="1:49" ht="15.6" customHeight="1">
      <c r="A3151" s="209">
        <v>0</v>
      </c>
      <c r="B3151" s="150"/>
      <c r="C3151" s="150"/>
      <c r="D3151" s="122"/>
      <c r="E3151" s="913" t="s">
        <v>45</v>
      </c>
      <c r="F3151" s="894" t="s">
        <v>3210</v>
      </c>
      <c r="G3151" s="528"/>
      <c r="H3151" s="542" t="s">
        <v>37</v>
      </c>
      <c r="I3151" s="543">
        <f t="shared" ref="I3151" si="12842">SUMIF($L3153:$L3222,$L3151,I3153:I3222)</f>
        <v>0</v>
      </c>
      <c r="J3151" s="860" t="str">
        <f>IFERROR((I3152/I3151),"-")</f>
        <v>-</v>
      </c>
      <c r="K3151" s="528"/>
      <c r="L3151" s="542" t="s">
        <v>37</v>
      </c>
      <c r="M3151" s="543">
        <f>SUMIF($L3153:$L3222,$L3151,M3153:M3222)</f>
        <v>0</v>
      </c>
      <c r="N3151" s="860" t="str">
        <f>IFERROR((M3152/M3151),"-")</f>
        <v>-</v>
      </c>
      <c r="O3151" s="528"/>
      <c r="P3151" s="543">
        <f t="shared" ref="P3151:U3151" si="12843">SUMIF($L3153:$L3222,$L3151,P3153:P3222)</f>
        <v>0</v>
      </c>
      <c r="Q3151" s="543">
        <f t="shared" si="12843"/>
        <v>0</v>
      </c>
      <c r="R3151" s="543">
        <f t="shared" si="12843"/>
        <v>0</v>
      </c>
      <c r="S3151" s="543">
        <f t="shared" si="12843"/>
        <v>0</v>
      </c>
      <c r="T3151" s="543">
        <f t="shared" si="12843"/>
        <v>0</v>
      </c>
      <c r="U3151" s="543">
        <f t="shared" si="12843"/>
        <v>0</v>
      </c>
      <c r="V3151" s="566"/>
      <c r="W3151" s="528"/>
      <c r="X3151" s="543">
        <f t="shared" ref="X3151:X3214" si="12844">SUMIFS(P3151:V3151,$P$8:$V$8,"&gt;="&amp;$P$8,$P$8:$V$8,"&lt;="&amp;$N$8)</f>
        <v>0</v>
      </c>
      <c r="Y3151" s="860" t="str">
        <f>IFERROR((X3152/X3151),"-")</f>
        <v>-</v>
      </c>
      <c r="Z3151" s="528"/>
      <c r="AA3151" s="814">
        <f>SUM(AA3153:AA3222)</f>
        <v>0</v>
      </c>
      <c r="AB3151" s="814">
        <f>SUM(AB3153:AB3222)</f>
        <v>0</v>
      </c>
      <c r="AC3151" s="814">
        <f>SUM(AC3153:AC3222)</f>
        <v>0</v>
      </c>
      <c r="AD3151" s="911" t="str">
        <f>IFERROR((AC3151/AA3151),"-")</f>
        <v>-</v>
      </c>
      <c r="AE3151" s="2"/>
      <c r="AF3151" s="888">
        <f t="shared" ref="AF3151" si="12845">SUM(AF3153:AF3222)</f>
        <v>0</v>
      </c>
      <c r="AG3151" s="888">
        <f t="shared" ref="AG3151:AL3151" si="12846">SUM(AG3153:AG3222)</f>
        <v>0</v>
      </c>
      <c r="AH3151" s="888">
        <f t="shared" si="12846"/>
        <v>0</v>
      </c>
      <c r="AI3151" s="888">
        <f t="shared" si="12846"/>
        <v>0</v>
      </c>
      <c r="AJ3151" s="888">
        <f t="shared" si="12846"/>
        <v>0</v>
      </c>
      <c r="AK3151" s="888">
        <f t="shared" si="12846"/>
        <v>0</v>
      </c>
      <c r="AL3151" s="888">
        <f t="shared" si="12846"/>
        <v>0</v>
      </c>
      <c r="AM3151" s="743" t="str">
        <f>IFERROR((AK3151/AL3151),"-")</f>
        <v>-</v>
      </c>
      <c r="AN3151" s="2"/>
      <c r="AO3151" s="888">
        <f>SUM(AO3153:AO3222)</f>
        <v>260442.71000000002</v>
      </c>
      <c r="AP3151" s="888">
        <f>SUM(AP3153:AP3222)</f>
        <v>260442.71000000002</v>
      </c>
      <c r="AV3151" t="str">
        <f t="shared" si="12839"/>
        <v>Revegetação - Hidrossemeadura</v>
      </c>
      <c r="AW3151" s="4" t="str">
        <f t="shared" si="12840"/>
        <v>Pacote 05 - Segmento 3.1 - 153+000 a 167+400</v>
      </c>
    </row>
    <row r="3152" spans="1:49" ht="15.6" customHeight="1">
      <c r="A3152" s="209">
        <v>0</v>
      </c>
      <c r="B3152" s="150"/>
      <c r="C3152" s="150">
        <v>0</v>
      </c>
      <c r="D3152" s="123"/>
      <c r="E3152" s="913"/>
      <c r="F3152" s="895"/>
      <c r="G3152" s="528"/>
      <c r="H3152" s="544" t="s">
        <v>38</v>
      </c>
      <c r="I3152" s="543">
        <f t="shared" ref="I3152" si="12847">SUMIF($L3153:$L3222,$L3152,I3153:I3222)</f>
        <v>0</v>
      </c>
      <c r="J3152" s="861"/>
      <c r="K3152" s="528"/>
      <c r="L3152" s="544" t="s">
        <v>38</v>
      </c>
      <c r="M3152" s="543">
        <f>SUMIF($L3153:$L3222,$L3152,M3153:M3222)</f>
        <v>0</v>
      </c>
      <c r="N3152" s="861"/>
      <c r="O3152" s="528"/>
      <c r="P3152" s="543">
        <f t="shared" ref="P3152:U3152" si="12848">SUMIF($L3153:$L3222,$L3152,P3153:P3222)</f>
        <v>0</v>
      </c>
      <c r="Q3152" s="543">
        <f t="shared" si="12848"/>
        <v>0</v>
      </c>
      <c r="R3152" s="543">
        <f t="shared" si="12848"/>
        <v>0</v>
      </c>
      <c r="S3152" s="543">
        <f t="shared" si="12848"/>
        <v>0</v>
      </c>
      <c r="T3152" s="543">
        <f t="shared" si="12848"/>
        <v>0</v>
      </c>
      <c r="U3152" s="543">
        <f t="shared" si="12848"/>
        <v>0</v>
      </c>
      <c r="V3152" s="566"/>
      <c r="W3152" s="528"/>
      <c r="X3152" s="543">
        <f t="shared" si="12844"/>
        <v>0</v>
      </c>
      <c r="Y3152" s="861"/>
      <c r="Z3152" s="528"/>
      <c r="AA3152" s="815"/>
      <c r="AB3152" s="815"/>
      <c r="AC3152" s="815"/>
      <c r="AD3152" s="912"/>
      <c r="AE3152" s="2"/>
      <c r="AF3152" s="889"/>
      <c r="AG3152" s="889"/>
      <c r="AH3152" s="889"/>
      <c r="AI3152" s="889"/>
      <c r="AJ3152" s="889"/>
      <c r="AK3152" s="889"/>
      <c r="AL3152" s="889"/>
      <c r="AM3152" s="744"/>
      <c r="AN3152" s="2"/>
      <c r="AO3152" s="888"/>
      <c r="AP3152" s="888"/>
      <c r="AV3152" t="str">
        <f t="shared" si="12839"/>
        <v>Revegetação - Hidrossemeadura</v>
      </c>
      <c r="AW3152" s="4" t="str">
        <f t="shared" si="12840"/>
        <v>Pacote 05 - Segmento 3.1 - 153+000 a 167+400</v>
      </c>
    </row>
    <row r="3153" spans="1:50" ht="15.6" customHeight="1">
      <c r="A3153" s="8" t="str">
        <f t="shared" ref="A3153" si="12849">IF(SUM(P3153:V3154)&gt;0,"S","N")</f>
        <v>N</v>
      </c>
      <c r="B3153" s="150">
        <v>1068818</v>
      </c>
      <c r="C3153" s="150" t="s">
        <v>3576</v>
      </c>
      <c r="D3153" s="120" t="s">
        <v>3577</v>
      </c>
      <c r="E3153" s="892" t="s">
        <v>3302</v>
      </c>
      <c r="F3153" s="894" t="s">
        <v>3210</v>
      </c>
      <c r="G3153" s="528"/>
      <c r="H3153" s="546" t="s">
        <v>37</v>
      </c>
      <c r="I3153" s="711">
        <v>0</v>
      </c>
      <c r="J3153" s="896" t="str">
        <f t="shared" ref="J3153" si="12850">IFERROR((I3154/I3153),"-")</f>
        <v>-</v>
      </c>
      <c r="K3153" s="528"/>
      <c r="L3153" s="546" t="s">
        <v>37</v>
      </c>
      <c r="M3153" s="711">
        <f t="shared" ref="M3153:M3216" si="12851">_xlfn.XLOOKUP($N$8,$P$8:$V$8,$P3153:$V3153)</f>
        <v>0</v>
      </c>
      <c r="N3153" s="896" t="str">
        <f t="shared" ref="N3153" si="12852">IFERROR((M3154/M3153),"-")</f>
        <v>-</v>
      </c>
      <c r="O3153" s="528"/>
      <c r="P3153" s="547">
        <v>0</v>
      </c>
      <c r="Q3153" s="547">
        <v>0</v>
      </c>
      <c r="R3153" s="547">
        <v>0</v>
      </c>
      <c r="S3153" s="547">
        <v>0</v>
      </c>
      <c r="T3153" s="547">
        <v>0</v>
      </c>
      <c r="U3153" s="547">
        <v>0</v>
      </c>
      <c r="V3153" s="548">
        <v>0</v>
      </c>
      <c r="W3153" s="528"/>
      <c r="X3153" s="711">
        <f t="shared" si="12844"/>
        <v>0</v>
      </c>
      <c r="Y3153" s="896" t="str">
        <f t="shared" ref="Y3153" si="12853">IFERROR((X3154/X3153),"-")</f>
        <v>-</v>
      </c>
      <c r="Z3153" s="528"/>
      <c r="AA3153" s="898">
        <v>0</v>
      </c>
      <c r="AB3153" s="898">
        <v>0</v>
      </c>
      <c r="AC3153" s="898">
        <v>0</v>
      </c>
      <c r="AD3153" s="896" t="str">
        <f t="shared" ref="AD3153" si="12854">IFERROR((AC3153/AA3153),"-")</f>
        <v>-</v>
      </c>
      <c r="AE3153" s="2"/>
      <c r="AF3153" s="884">
        <v>0</v>
      </c>
      <c r="AG3153" s="884"/>
      <c r="AH3153" s="884">
        <v>0</v>
      </c>
      <c r="AI3153" s="884"/>
      <c r="AJ3153" s="884"/>
      <c r="AK3153" s="884">
        <f t="shared" ref="AK3153" si="12855">AF3153+AG3153+AH3153+AI3153+AJ3153+AC3153</f>
        <v>0</v>
      </c>
      <c r="AL3153" s="884">
        <v>0</v>
      </c>
      <c r="AM3153" s="878" t="str">
        <f t="shared" ref="AM3153" si="12856">IFERROR((AK3153/AL3153),"-")</f>
        <v>-</v>
      </c>
      <c r="AN3153" s="2"/>
      <c r="AO3153" s="884">
        <v>9507.94</v>
      </c>
      <c r="AP3153" s="884">
        <f t="shared" ref="AP3153" si="12857">AO3153-AK3153</f>
        <v>9507.94</v>
      </c>
      <c r="AV3153" t="str">
        <f t="shared" si="12839"/>
        <v>Revegetação - Hidrossemeadura</v>
      </c>
      <c r="AW3153" s="4" t="str">
        <f t="shared" si="12840"/>
        <v xml:space="preserve">   Revestimento vegetal por hidrossemeadura</v>
      </c>
    </row>
    <row r="3154" spans="1:50" ht="15.6" customHeight="1">
      <c r="A3154" s="8" t="str">
        <f t="shared" ref="A3154" si="12858">A3153</f>
        <v>N</v>
      </c>
      <c r="B3154" s="150">
        <v>1068818</v>
      </c>
      <c r="C3154" s="150" t="s">
        <v>3576</v>
      </c>
      <c r="D3154" s="120" t="s">
        <v>3577</v>
      </c>
      <c r="E3154" s="893"/>
      <c r="F3154" s="895"/>
      <c r="G3154" s="528"/>
      <c r="H3154" s="549" t="s">
        <v>38</v>
      </c>
      <c r="I3154" s="711">
        <v>0</v>
      </c>
      <c r="J3154" s="897"/>
      <c r="K3154" s="528"/>
      <c r="L3154" s="549" t="s">
        <v>38</v>
      </c>
      <c r="M3154" s="711">
        <f t="shared" si="12851"/>
        <v>0</v>
      </c>
      <c r="N3154" s="897"/>
      <c r="O3154" s="528"/>
      <c r="P3154" s="548">
        <v>0</v>
      </c>
      <c r="Q3154" s="548">
        <v>0</v>
      </c>
      <c r="R3154" s="548">
        <v>0</v>
      </c>
      <c r="S3154" s="548">
        <v>0</v>
      </c>
      <c r="T3154" s="548">
        <v>0</v>
      </c>
      <c r="U3154" s="548">
        <v>0</v>
      </c>
      <c r="V3154" s="548"/>
      <c r="W3154" s="528"/>
      <c r="X3154" s="711">
        <f t="shared" si="12844"/>
        <v>0</v>
      </c>
      <c r="Y3154" s="897"/>
      <c r="Z3154" s="528"/>
      <c r="AA3154" s="899"/>
      <c r="AB3154" s="899"/>
      <c r="AC3154" s="899"/>
      <c r="AD3154" s="897"/>
      <c r="AE3154" s="2"/>
      <c r="AF3154" s="885"/>
      <c r="AG3154" s="885"/>
      <c r="AH3154" s="885"/>
      <c r="AI3154" s="885"/>
      <c r="AJ3154" s="885"/>
      <c r="AK3154" s="885"/>
      <c r="AL3154" s="885"/>
      <c r="AM3154" s="879"/>
      <c r="AN3154" s="2"/>
      <c r="AO3154" s="886"/>
      <c r="AP3154" s="886"/>
      <c r="AV3154" t="str">
        <f t="shared" si="12839"/>
        <v>Revegetação - Hidrossemeadura</v>
      </c>
      <c r="AW3154" s="4" t="str">
        <f t="shared" si="12840"/>
        <v xml:space="preserve">   Revestimento vegetal por hidrossemeadura</v>
      </c>
    </row>
    <row r="3155" spans="1:50" ht="15.6" customHeight="1">
      <c r="A3155" s="8" t="str">
        <f t="shared" ref="A3155" si="12859">IF(SUM(P3155:V3156)&gt;0,"S","N")</f>
        <v>N</v>
      </c>
      <c r="B3155" s="150">
        <v>1068855</v>
      </c>
      <c r="C3155" s="150" t="s">
        <v>3578</v>
      </c>
      <c r="D3155" s="120" t="s">
        <v>3579</v>
      </c>
      <c r="E3155" s="892" t="s">
        <v>3302</v>
      </c>
      <c r="F3155" s="894" t="s">
        <v>3210</v>
      </c>
      <c r="G3155" s="528"/>
      <c r="H3155" s="546" t="s">
        <v>37</v>
      </c>
      <c r="I3155" s="711">
        <v>0</v>
      </c>
      <c r="J3155" s="896" t="str">
        <f t="shared" ref="J3155" si="12860">IFERROR((I3156/I3155),"-")</f>
        <v>-</v>
      </c>
      <c r="K3155" s="528"/>
      <c r="L3155" s="546" t="s">
        <v>37</v>
      </c>
      <c r="M3155" s="711">
        <f t="shared" si="12851"/>
        <v>0</v>
      </c>
      <c r="N3155" s="896" t="str">
        <f t="shared" ref="N3155" si="12861">IFERROR((M3156/M3155),"-")</f>
        <v>-</v>
      </c>
      <c r="O3155" s="528"/>
      <c r="P3155" s="547">
        <v>0</v>
      </c>
      <c r="Q3155" s="547">
        <v>0</v>
      </c>
      <c r="R3155" s="547">
        <v>0</v>
      </c>
      <c r="S3155" s="547">
        <v>0</v>
      </c>
      <c r="T3155" s="547">
        <v>0</v>
      </c>
      <c r="U3155" s="547">
        <v>0</v>
      </c>
      <c r="V3155" s="548">
        <v>0</v>
      </c>
      <c r="W3155" s="528"/>
      <c r="X3155" s="711">
        <f t="shared" si="12844"/>
        <v>0</v>
      </c>
      <c r="Y3155" s="896" t="str">
        <f t="shared" ref="Y3155" si="12862">IFERROR((X3156/X3155),"-")</f>
        <v>-</v>
      </c>
      <c r="Z3155" s="528"/>
      <c r="AA3155" s="898">
        <v>0</v>
      </c>
      <c r="AB3155" s="898">
        <v>0</v>
      </c>
      <c r="AC3155" s="898">
        <v>0</v>
      </c>
      <c r="AD3155" s="896" t="str">
        <f t="shared" ref="AD3155" si="12863">IFERROR((AC3155/AA3155),"-")</f>
        <v>-</v>
      </c>
      <c r="AE3155" s="2"/>
      <c r="AF3155" s="884">
        <v>0</v>
      </c>
      <c r="AG3155" s="884"/>
      <c r="AH3155" s="884">
        <v>0</v>
      </c>
      <c r="AI3155" s="884"/>
      <c r="AJ3155" s="884"/>
      <c r="AK3155" s="884">
        <f t="shared" ref="AK3155" si="12864">AF3155+AG3155+AH3155+AI3155+AJ3155+AC3155</f>
        <v>0</v>
      </c>
      <c r="AL3155" s="884">
        <v>0</v>
      </c>
      <c r="AM3155" s="878" t="str">
        <f t="shared" ref="AM3155" si="12865">IFERROR((AK3155/AL3155),"-")</f>
        <v>-</v>
      </c>
      <c r="AN3155" s="2"/>
      <c r="AO3155" s="884">
        <v>7333.08</v>
      </c>
      <c r="AP3155" s="884">
        <f t="shared" ref="AP3155" si="12866">AO3155-AK3155</f>
        <v>7333.08</v>
      </c>
      <c r="AV3155" t="str">
        <f t="shared" si="12839"/>
        <v>Revegetação - Hidrossemeadura</v>
      </c>
      <c r="AW3155" s="4" t="str">
        <f t="shared" si="12840"/>
        <v xml:space="preserve">   Revestimento vegetal por hidrossemeadura</v>
      </c>
    </row>
    <row r="3156" spans="1:50" ht="15.6" customHeight="1">
      <c r="A3156" s="8" t="str">
        <f t="shared" ref="A3156" si="12867">A3155</f>
        <v>N</v>
      </c>
      <c r="B3156" s="150">
        <v>1068855</v>
      </c>
      <c r="C3156" s="150" t="s">
        <v>3578</v>
      </c>
      <c r="D3156" s="120" t="s">
        <v>3579</v>
      </c>
      <c r="E3156" s="893"/>
      <c r="F3156" s="895"/>
      <c r="G3156" s="528"/>
      <c r="H3156" s="549" t="s">
        <v>38</v>
      </c>
      <c r="I3156" s="711">
        <v>0</v>
      </c>
      <c r="J3156" s="897"/>
      <c r="K3156" s="528"/>
      <c r="L3156" s="549" t="s">
        <v>38</v>
      </c>
      <c r="M3156" s="711">
        <f t="shared" si="12851"/>
        <v>0</v>
      </c>
      <c r="N3156" s="897"/>
      <c r="O3156" s="528"/>
      <c r="P3156" s="548">
        <v>0</v>
      </c>
      <c r="Q3156" s="548">
        <v>0</v>
      </c>
      <c r="R3156" s="548">
        <v>0</v>
      </c>
      <c r="S3156" s="548">
        <v>0</v>
      </c>
      <c r="T3156" s="548">
        <v>0</v>
      </c>
      <c r="U3156" s="548">
        <v>0</v>
      </c>
      <c r="V3156" s="548"/>
      <c r="W3156" s="528"/>
      <c r="X3156" s="711">
        <f t="shared" si="12844"/>
        <v>0</v>
      </c>
      <c r="Y3156" s="897"/>
      <c r="Z3156" s="528"/>
      <c r="AA3156" s="899"/>
      <c r="AB3156" s="899"/>
      <c r="AC3156" s="899"/>
      <c r="AD3156" s="897"/>
      <c r="AE3156" s="2"/>
      <c r="AF3156" s="885"/>
      <c r="AG3156" s="885"/>
      <c r="AH3156" s="885"/>
      <c r="AI3156" s="885"/>
      <c r="AJ3156" s="885"/>
      <c r="AK3156" s="885"/>
      <c r="AL3156" s="885"/>
      <c r="AM3156" s="879"/>
      <c r="AN3156" s="2"/>
      <c r="AO3156" s="886"/>
      <c r="AP3156" s="886"/>
      <c r="AV3156" t="str">
        <f t="shared" si="12839"/>
        <v>Revegetação - Hidrossemeadura</v>
      </c>
      <c r="AW3156" s="4" t="str">
        <f t="shared" si="12840"/>
        <v xml:space="preserve">   Revestimento vegetal por hidrossemeadura</v>
      </c>
    </row>
    <row r="3157" spans="1:50" ht="15.6" customHeight="1">
      <c r="A3157" s="8" t="str">
        <f t="shared" ref="A3157" si="12868">IF(SUM(P3157:V3158)&gt;0,"S","N")</f>
        <v>N</v>
      </c>
      <c r="B3157" s="150">
        <v>1068856</v>
      </c>
      <c r="C3157" s="150" t="s">
        <v>3580</v>
      </c>
      <c r="D3157" s="120" t="s">
        <v>3581</v>
      </c>
      <c r="E3157" s="892" t="s">
        <v>3302</v>
      </c>
      <c r="F3157" s="894" t="s">
        <v>3210</v>
      </c>
      <c r="G3157" s="528"/>
      <c r="H3157" s="546" t="s">
        <v>37</v>
      </c>
      <c r="I3157" s="711">
        <v>0</v>
      </c>
      <c r="J3157" s="896" t="str">
        <f t="shared" ref="J3157" si="12869">IFERROR((I3158/I3157),"-")</f>
        <v>-</v>
      </c>
      <c r="K3157" s="528"/>
      <c r="L3157" s="546" t="s">
        <v>37</v>
      </c>
      <c r="M3157" s="711">
        <f t="shared" si="12851"/>
        <v>0</v>
      </c>
      <c r="N3157" s="896" t="str">
        <f t="shared" ref="N3157" si="12870">IFERROR((M3158/M3157),"-")</f>
        <v>-</v>
      </c>
      <c r="O3157" s="528"/>
      <c r="P3157" s="547">
        <v>0</v>
      </c>
      <c r="Q3157" s="547">
        <v>0</v>
      </c>
      <c r="R3157" s="547">
        <v>0</v>
      </c>
      <c r="S3157" s="547">
        <v>0</v>
      </c>
      <c r="T3157" s="547">
        <v>0</v>
      </c>
      <c r="U3157" s="547">
        <v>0</v>
      </c>
      <c r="V3157" s="548">
        <v>0</v>
      </c>
      <c r="W3157" s="528"/>
      <c r="X3157" s="711">
        <f t="shared" si="12844"/>
        <v>0</v>
      </c>
      <c r="Y3157" s="896" t="str">
        <f t="shared" ref="Y3157" si="12871">IFERROR((X3158/X3157),"-")</f>
        <v>-</v>
      </c>
      <c r="Z3157" s="528"/>
      <c r="AA3157" s="898">
        <v>0</v>
      </c>
      <c r="AB3157" s="898">
        <v>0</v>
      </c>
      <c r="AC3157" s="898">
        <v>0</v>
      </c>
      <c r="AD3157" s="896" t="str">
        <f t="shared" ref="AD3157" si="12872">IFERROR((AC3157/AA3157),"-")</f>
        <v>-</v>
      </c>
      <c r="AE3157" s="2"/>
      <c r="AF3157" s="884">
        <v>0</v>
      </c>
      <c r="AG3157" s="884"/>
      <c r="AH3157" s="884">
        <v>0</v>
      </c>
      <c r="AI3157" s="884"/>
      <c r="AJ3157" s="884"/>
      <c r="AK3157" s="884">
        <f t="shared" ref="AK3157" si="12873">AF3157+AG3157+AH3157+AI3157+AJ3157+AC3157</f>
        <v>0</v>
      </c>
      <c r="AL3157" s="884">
        <v>0</v>
      </c>
      <c r="AM3157" s="878" t="str">
        <f t="shared" ref="AM3157" si="12874">IFERROR((AK3157/AL3157),"-")</f>
        <v>-</v>
      </c>
      <c r="AN3157" s="2"/>
      <c r="AO3157" s="884">
        <v>57469.14</v>
      </c>
      <c r="AP3157" s="884">
        <f t="shared" ref="AP3157" si="12875">AO3157-AK3157</f>
        <v>57469.14</v>
      </c>
      <c r="AV3157" t="str">
        <f t="shared" si="12839"/>
        <v>Revegetação - Hidrossemeadura</v>
      </c>
      <c r="AW3157" s="4" t="str">
        <f t="shared" si="12840"/>
        <v xml:space="preserve">   Revestimento vegetal por hidrossemeadura</v>
      </c>
    </row>
    <row r="3158" spans="1:50" ht="15.6" customHeight="1">
      <c r="A3158" s="8" t="str">
        <f t="shared" ref="A3158" si="12876">A3157</f>
        <v>N</v>
      </c>
      <c r="B3158" s="150">
        <v>1068856</v>
      </c>
      <c r="C3158" s="150" t="s">
        <v>3580</v>
      </c>
      <c r="D3158" s="120" t="s">
        <v>3581</v>
      </c>
      <c r="E3158" s="893"/>
      <c r="F3158" s="895"/>
      <c r="G3158" s="528"/>
      <c r="H3158" s="549" t="s">
        <v>38</v>
      </c>
      <c r="I3158" s="711">
        <v>0</v>
      </c>
      <c r="J3158" s="897"/>
      <c r="K3158" s="528"/>
      <c r="L3158" s="549" t="s">
        <v>38</v>
      </c>
      <c r="M3158" s="711">
        <f t="shared" si="12851"/>
        <v>0</v>
      </c>
      <c r="N3158" s="897"/>
      <c r="O3158" s="528"/>
      <c r="P3158" s="548">
        <v>0</v>
      </c>
      <c r="Q3158" s="548">
        <v>0</v>
      </c>
      <c r="R3158" s="548">
        <v>0</v>
      </c>
      <c r="S3158" s="548">
        <v>0</v>
      </c>
      <c r="T3158" s="548">
        <v>0</v>
      </c>
      <c r="U3158" s="548">
        <v>0</v>
      </c>
      <c r="V3158" s="548"/>
      <c r="W3158" s="528"/>
      <c r="X3158" s="711">
        <f t="shared" si="12844"/>
        <v>0</v>
      </c>
      <c r="Y3158" s="897"/>
      <c r="Z3158" s="528"/>
      <c r="AA3158" s="899"/>
      <c r="AB3158" s="899"/>
      <c r="AC3158" s="899"/>
      <c r="AD3158" s="897"/>
      <c r="AE3158" s="2"/>
      <c r="AF3158" s="885"/>
      <c r="AG3158" s="885"/>
      <c r="AH3158" s="885"/>
      <c r="AI3158" s="885"/>
      <c r="AJ3158" s="885"/>
      <c r="AK3158" s="885"/>
      <c r="AL3158" s="885"/>
      <c r="AM3158" s="879"/>
      <c r="AN3158" s="2"/>
      <c r="AO3158" s="886"/>
      <c r="AP3158" s="886"/>
      <c r="AV3158" t="str">
        <f t="shared" si="12839"/>
        <v>Revegetação - Hidrossemeadura</v>
      </c>
      <c r="AW3158" s="4" t="str">
        <f t="shared" si="12840"/>
        <v xml:space="preserve">   Revestimento vegetal por hidrossemeadura</v>
      </c>
    </row>
    <row r="3159" spans="1:50" ht="30.6" customHeight="1">
      <c r="A3159" s="8" t="str">
        <f t="shared" ref="A3159" si="12877">IF(SUM(P3159:V3160)&gt;0,"S","N")</f>
        <v>N</v>
      </c>
      <c r="B3159" s="150">
        <v>1068857</v>
      </c>
      <c r="C3159" s="150" t="s">
        <v>3582</v>
      </c>
      <c r="D3159" s="120" t="s">
        <v>3583</v>
      </c>
      <c r="E3159" s="892" t="s">
        <v>3302</v>
      </c>
      <c r="F3159" s="894" t="s">
        <v>3210</v>
      </c>
      <c r="G3159" s="528"/>
      <c r="H3159" s="546" t="s">
        <v>37</v>
      </c>
      <c r="I3159" s="711">
        <v>0</v>
      </c>
      <c r="J3159" s="896" t="str">
        <f t="shared" ref="J3159" si="12878">IFERROR((I3160/I3159),"-")</f>
        <v>-</v>
      </c>
      <c r="K3159" s="528"/>
      <c r="L3159" s="546" t="s">
        <v>37</v>
      </c>
      <c r="M3159" s="711">
        <f t="shared" si="12851"/>
        <v>0</v>
      </c>
      <c r="N3159" s="896" t="str">
        <f t="shared" ref="N3159" si="12879">IFERROR((M3160/M3159),"-")</f>
        <v>-</v>
      </c>
      <c r="O3159" s="528"/>
      <c r="P3159" s="547">
        <v>0</v>
      </c>
      <c r="Q3159" s="547">
        <v>0</v>
      </c>
      <c r="R3159" s="547">
        <v>0</v>
      </c>
      <c r="S3159" s="547">
        <v>0</v>
      </c>
      <c r="T3159" s="547">
        <v>0</v>
      </c>
      <c r="U3159" s="547">
        <v>0</v>
      </c>
      <c r="V3159" s="548">
        <v>0</v>
      </c>
      <c r="W3159" s="528"/>
      <c r="X3159" s="711">
        <f t="shared" si="12844"/>
        <v>0</v>
      </c>
      <c r="Y3159" s="896" t="str">
        <f t="shared" ref="Y3159" si="12880">IFERROR((X3160/X3159),"-")</f>
        <v>-</v>
      </c>
      <c r="Z3159" s="528"/>
      <c r="AA3159" s="898">
        <v>0</v>
      </c>
      <c r="AB3159" s="898">
        <v>0</v>
      </c>
      <c r="AC3159" s="898">
        <v>0</v>
      </c>
      <c r="AD3159" s="896" t="str">
        <f t="shared" ref="AD3159" si="12881">IFERROR((AC3159/AA3159),"-")</f>
        <v>-</v>
      </c>
      <c r="AE3159" s="2"/>
      <c r="AF3159" s="884">
        <v>0</v>
      </c>
      <c r="AG3159" s="884"/>
      <c r="AH3159" s="884">
        <v>0</v>
      </c>
      <c r="AI3159" s="884"/>
      <c r="AJ3159" s="884"/>
      <c r="AK3159" s="884">
        <f t="shared" ref="AK3159" si="12882">AF3159+AG3159+AH3159+AI3159+AJ3159+AC3159</f>
        <v>0</v>
      </c>
      <c r="AL3159" s="884">
        <v>0</v>
      </c>
      <c r="AM3159" s="878" t="str">
        <f t="shared" ref="AM3159" si="12883">IFERROR((AK3159/AL3159),"-")</f>
        <v>-</v>
      </c>
      <c r="AN3159" s="2"/>
      <c r="AO3159" s="884">
        <v>8032.74</v>
      </c>
      <c r="AP3159" s="884">
        <f t="shared" ref="AP3159" si="12884">AO3159-AK3159</f>
        <v>8032.74</v>
      </c>
      <c r="AV3159" t="str">
        <f t="shared" si="12839"/>
        <v>Revegetação - Hidrossemeadura</v>
      </c>
      <c r="AW3159" s="4" t="str">
        <f t="shared" si="12840"/>
        <v xml:space="preserve">   Revestimento vegetal por hidrossemeadura</v>
      </c>
    </row>
    <row r="3160" spans="1:50" ht="30.6" customHeight="1">
      <c r="A3160" s="8" t="str">
        <f t="shared" ref="A3160" si="12885">A3159</f>
        <v>N</v>
      </c>
      <c r="B3160" s="150">
        <v>1068857</v>
      </c>
      <c r="C3160" s="150" t="s">
        <v>3582</v>
      </c>
      <c r="D3160" s="120" t="s">
        <v>3583</v>
      </c>
      <c r="E3160" s="893"/>
      <c r="F3160" s="895"/>
      <c r="G3160" s="528"/>
      <c r="H3160" s="549" t="s">
        <v>38</v>
      </c>
      <c r="I3160" s="711">
        <v>0</v>
      </c>
      <c r="J3160" s="897"/>
      <c r="K3160" s="528"/>
      <c r="L3160" s="549" t="s">
        <v>38</v>
      </c>
      <c r="M3160" s="711">
        <f t="shared" si="12851"/>
        <v>0</v>
      </c>
      <c r="N3160" s="897"/>
      <c r="O3160" s="528"/>
      <c r="P3160" s="548">
        <v>0</v>
      </c>
      <c r="Q3160" s="548">
        <v>0</v>
      </c>
      <c r="R3160" s="548">
        <v>0</v>
      </c>
      <c r="S3160" s="548">
        <v>0</v>
      </c>
      <c r="T3160" s="548">
        <v>0</v>
      </c>
      <c r="U3160" s="548">
        <v>0</v>
      </c>
      <c r="V3160" s="548"/>
      <c r="W3160" s="528"/>
      <c r="X3160" s="711">
        <f t="shared" si="12844"/>
        <v>0</v>
      </c>
      <c r="Y3160" s="897"/>
      <c r="Z3160" s="528"/>
      <c r="AA3160" s="899"/>
      <c r="AB3160" s="899"/>
      <c r="AC3160" s="899"/>
      <c r="AD3160" s="897"/>
      <c r="AE3160" s="2"/>
      <c r="AF3160" s="885"/>
      <c r="AG3160" s="885"/>
      <c r="AH3160" s="885"/>
      <c r="AI3160" s="885"/>
      <c r="AJ3160" s="885"/>
      <c r="AK3160" s="885"/>
      <c r="AL3160" s="885"/>
      <c r="AM3160" s="879"/>
      <c r="AN3160" s="2"/>
      <c r="AO3160" s="886"/>
      <c r="AP3160" s="886"/>
      <c r="AV3160" t="str">
        <f t="shared" si="12839"/>
        <v>Revegetação - Hidrossemeadura</v>
      </c>
      <c r="AW3160" s="4" t="str">
        <f t="shared" si="12840"/>
        <v xml:space="preserve">   Revestimento vegetal por hidrossemeadura</v>
      </c>
      <c r="AX3160" s="4"/>
    </row>
    <row r="3161" spans="1:50" ht="30.6" customHeight="1">
      <c r="A3161" s="8" t="str">
        <f t="shared" ref="A3161" si="12886">IF(SUM(P3161:V3162)&gt;0,"S","N")</f>
        <v>N</v>
      </c>
      <c r="B3161" s="150">
        <v>1068858</v>
      </c>
      <c r="C3161" s="150" t="s">
        <v>3584</v>
      </c>
      <c r="D3161" s="120" t="s">
        <v>3585</v>
      </c>
      <c r="E3161" s="892" t="s">
        <v>3302</v>
      </c>
      <c r="F3161" s="894" t="s">
        <v>3210</v>
      </c>
      <c r="G3161" s="528"/>
      <c r="H3161" s="546" t="s">
        <v>37</v>
      </c>
      <c r="I3161" s="711">
        <v>0</v>
      </c>
      <c r="J3161" s="896" t="str">
        <f t="shared" ref="J3161" si="12887">IFERROR((I3162/I3161),"-")</f>
        <v>-</v>
      </c>
      <c r="K3161" s="528"/>
      <c r="L3161" s="546" t="s">
        <v>37</v>
      </c>
      <c r="M3161" s="711">
        <f t="shared" si="12851"/>
        <v>0</v>
      </c>
      <c r="N3161" s="896" t="str">
        <f t="shared" ref="N3161" si="12888">IFERROR((M3162/M3161),"-")</f>
        <v>-</v>
      </c>
      <c r="O3161" s="528"/>
      <c r="P3161" s="547">
        <v>0</v>
      </c>
      <c r="Q3161" s="547">
        <v>0</v>
      </c>
      <c r="R3161" s="547">
        <v>0</v>
      </c>
      <c r="S3161" s="547">
        <v>0</v>
      </c>
      <c r="T3161" s="547">
        <v>0</v>
      </c>
      <c r="U3161" s="547">
        <v>0</v>
      </c>
      <c r="V3161" s="548">
        <v>0</v>
      </c>
      <c r="W3161" s="528"/>
      <c r="X3161" s="711">
        <f t="shared" si="12844"/>
        <v>0</v>
      </c>
      <c r="Y3161" s="896" t="str">
        <f t="shared" ref="Y3161" si="12889">IFERROR((X3162/X3161),"-")</f>
        <v>-</v>
      </c>
      <c r="Z3161" s="528"/>
      <c r="AA3161" s="898">
        <v>0</v>
      </c>
      <c r="AB3161" s="898">
        <v>0</v>
      </c>
      <c r="AC3161" s="898">
        <v>0</v>
      </c>
      <c r="AD3161" s="896" t="str">
        <f t="shared" ref="AD3161" si="12890">IFERROR((AC3161/AA3161),"-")</f>
        <v>-</v>
      </c>
      <c r="AE3161" s="2"/>
      <c r="AF3161" s="884">
        <v>0</v>
      </c>
      <c r="AG3161" s="884"/>
      <c r="AH3161" s="884">
        <v>0</v>
      </c>
      <c r="AI3161" s="884"/>
      <c r="AJ3161" s="884"/>
      <c r="AK3161" s="884">
        <f t="shared" ref="AK3161" si="12891">AF3161+AG3161+AH3161+AI3161+AJ3161+AC3161</f>
        <v>0</v>
      </c>
      <c r="AL3161" s="884">
        <v>0</v>
      </c>
      <c r="AM3161" s="878" t="str">
        <f t="shared" ref="AM3161" si="12892">IFERROR((AK3161/AL3161),"-")</f>
        <v>-</v>
      </c>
      <c r="AN3161" s="2"/>
      <c r="AO3161" s="884">
        <v>37072.300000000003</v>
      </c>
      <c r="AP3161" s="884">
        <f t="shared" ref="AP3161" si="12893">AO3161-AK3161</f>
        <v>37072.300000000003</v>
      </c>
      <c r="AV3161" t="str">
        <f t="shared" si="12839"/>
        <v>Revegetação - Hidrossemeadura</v>
      </c>
      <c r="AW3161" s="4" t="str">
        <f t="shared" si="12840"/>
        <v xml:space="preserve">   Revestimento vegetal por hidrossemeadura</v>
      </c>
      <c r="AX3161" s="4"/>
    </row>
    <row r="3162" spans="1:50" ht="30.6" customHeight="1">
      <c r="A3162" s="8" t="str">
        <f t="shared" ref="A3162" si="12894">A3161</f>
        <v>N</v>
      </c>
      <c r="B3162" s="150">
        <v>1068858</v>
      </c>
      <c r="C3162" s="150" t="s">
        <v>3584</v>
      </c>
      <c r="D3162" s="120" t="s">
        <v>3585</v>
      </c>
      <c r="E3162" s="893"/>
      <c r="F3162" s="895"/>
      <c r="G3162" s="528"/>
      <c r="H3162" s="549" t="s">
        <v>38</v>
      </c>
      <c r="I3162" s="711">
        <v>0</v>
      </c>
      <c r="J3162" s="897"/>
      <c r="K3162" s="528"/>
      <c r="L3162" s="549" t="s">
        <v>38</v>
      </c>
      <c r="M3162" s="711">
        <f t="shared" si="12851"/>
        <v>0</v>
      </c>
      <c r="N3162" s="897"/>
      <c r="O3162" s="528"/>
      <c r="P3162" s="548">
        <v>0</v>
      </c>
      <c r="Q3162" s="548">
        <v>0</v>
      </c>
      <c r="R3162" s="548">
        <v>0</v>
      </c>
      <c r="S3162" s="548">
        <v>0</v>
      </c>
      <c r="T3162" s="548">
        <v>0</v>
      </c>
      <c r="U3162" s="548">
        <v>0</v>
      </c>
      <c r="V3162" s="548"/>
      <c r="W3162" s="528"/>
      <c r="X3162" s="711">
        <f t="shared" si="12844"/>
        <v>0</v>
      </c>
      <c r="Y3162" s="897"/>
      <c r="Z3162" s="528"/>
      <c r="AA3162" s="899"/>
      <c r="AB3162" s="899"/>
      <c r="AC3162" s="899"/>
      <c r="AD3162" s="897"/>
      <c r="AE3162" s="2"/>
      <c r="AF3162" s="885"/>
      <c r="AG3162" s="885"/>
      <c r="AH3162" s="885"/>
      <c r="AI3162" s="885"/>
      <c r="AJ3162" s="885"/>
      <c r="AK3162" s="885"/>
      <c r="AL3162" s="885"/>
      <c r="AM3162" s="879"/>
      <c r="AN3162" s="2"/>
      <c r="AO3162" s="886"/>
      <c r="AP3162" s="886"/>
      <c r="AV3162" t="str">
        <f t="shared" si="12839"/>
        <v>Revegetação - Hidrossemeadura</v>
      </c>
      <c r="AW3162" s="4" t="str">
        <f t="shared" si="12840"/>
        <v xml:space="preserve">   Revestimento vegetal por hidrossemeadura</v>
      </c>
    </row>
    <row r="3163" spans="1:50" ht="30.6" customHeight="1">
      <c r="A3163" s="8" t="str">
        <f t="shared" ref="A3163" si="12895">IF(SUM(P3163:V3164)&gt;0,"S","N")</f>
        <v>N</v>
      </c>
      <c r="B3163" s="150">
        <v>1068859</v>
      </c>
      <c r="C3163" s="150" t="s">
        <v>3586</v>
      </c>
      <c r="D3163" s="120" t="s">
        <v>3587</v>
      </c>
      <c r="E3163" s="892" t="s">
        <v>3302</v>
      </c>
      <c r="F3163" s="894" t="s">
        <v>3210</v>
      </c>
      <c r="G3163" s="528"/>
      <c r="H3163" s="546" t="s">
        <v>37</v>
      </c>
      <c r="I3163" s="711">
        <v>0</v>
      </c>
      <c r="J3163" s="896" t="str">
        <f t="shared" ref="J3163" si="12896">IFERROR((I3164/I3163),"-")</f>
        <v>-</v>
      </c>
      <c r="K3163" s="528"/>
      <c r="L3163" s="546" t="s">
        <v>37</v>
      </c>
      <c r="M3163" s="711">
        <f t="shared" si="12851"/>
        <v>0</v>
      </c>
      <c r="N3163" s="896" t="str">
        <f t="shared" ref="N3163" si="12897">IFERROR((M3164/M3163),"-")</f>
        <v>-</v>
      </c>
      <c r="O3163" s="528"/>
      <c r="P3163" s="547">
        <v>0</v>
      </c>
      <c r="Q3163" s="547">
        <v>0</v>
      </c>
      <c r="R3163" s="547">
        <v>0</v>
      </c>
      <c r="S3163" s="547">
        <v>0</v>
      </c>
      <c r="T3163" s="547">
        <v>0</v>
      </c>
      <c r="U3163" s="547">
        <v>0</v>
      </c>
      <c r="V3163" s="548">
        <v>0</v>
      </c>
      <c r="W3163" s="528"/>
      <c r="X3163" s="711">
        <f t="shared" si="12844"/>
        <v>0</v>
      </c>
      <c r="Y3163" s="896" t="str">
        <f t="shared" ref="Y3163" si="12898">IFERROR((X3164/X3163),"-")</f>
        <v>-</v>
      </c>
      <c r="Z3163" s="528"/>
      <c r="AA3163" s="898">
        <v>0</v>
      </c>
      <c r="AB3163" s="898">
        <v>0</v>
      </c>
      <c r="AC3163" s="898">
        <v>0</v>
      </c>
      <c r="AD3163" s="896" t="str">
        <f t="shared" ref="AD3163" si="12899">IFERROR((AC3163/AA3163),"-")</f>
        <v>-</v>
      </c>
      <c r="AE3163" s="2"/>
      <c r="AF3163" s="884">
        <v>0</v>
      </c>
      <c r="AG3163" s="884"/>
      <c r="AH3163" s="884">
        <v>0</v>
      </c>
      <c r="AI3163" s="884"/>
      <c r="AJ3163" s="884"/>
      <c r="AK3163" s="884">
        <f t="shared" ref="AK3163" si="12900">AF3163+AG3163+AH3163+AI3163+AJ3163+AC3163</f>
        <v>0</v>
      </c>
      <c r="AL3163" s="884">
        <v>0</v>
      </c>
      <c r="AM3163" s="878" t="str">
        <f t="shared" ref="AM3163" si="12901">IFERROR((AK3163/AL3163),"-")</f>
        <v>-</v>
      </c>
      <c r="AN3163" s="2"/>
      <c r="AO3163" s="884">
        <v>29938.82</v>
      </c>
      <c r="AP3163" s="884">
        <f t="shared" ref="AP3163" si="12902">AO3163-AK3163</f>
        <v>29938.82</v>
      </c>
      <c r="AV3163" t="str">
        <f t="shared" si="12839"/>
        <v>Revegetação - Hidrossemeadura</v>
      </c>
      <c r="AW3163" s="4" t="str">
        <f t="shared" si="12840"/>
        <v xml:space="preserve">   Revestimento vegetal por hidrossemeadura</v>
      </c>
    </row>
    <row r="3164" spans="1:50" ht="30.6" customHeight="1">
      <c r="A3164" s="8" t="str">
        <f t="shared" ref="A3164" si="12903">A3163</f>
        <v>N</v>
      </c>
      <c r="B3164" s="150">
        <v>1068859</v>
      </c>
      <c r="C3164" s="150" t="s">
        <v>3586</v>
      </c>
      <c r="D3164" s="120" t="s">
        <v>3587</v>
      </c>
      <c r="E3164" s="893"/>
      <c r="F3164" s="895"/>
      <c r="G3164" s="528"/>
      <c r="H3164" s="549" t="s">
        <v>38</v>
      </c>
      <c r="I3164" s="711">
        <v>0</v>
      </c>
      <c r="J3164" s="897"/>
      <c r="K3164" s="528"/>
      <c r="L3164" s="549" t="s">
        <v>38</v>
      </c>
      <c r="M3164" s="711">
        <f t="shared" si="12851"/>
        <v>0</v>
      </c>
      <c r="N3164" s="897"/>
      <c r="O3164" s="528"/>
      <c r="P3164" s="548">
        <v>0</v>
      </c>
      <c r="Q3164" s="548">
        <v>0</v>
      </c>
      <c r="R3164" s="548">
        <v>0</v>
      </c>
      <c r="S3164" s="548">
        <v>0</v>
      </c>
      <c r="T3164" s="548">
        <v>0</v>
      </c>
      <c r="U3164" s="548">
        <v>0</v>
      </c>
      <c r="V3164" s="548"/>
      <c r="W3164" s="528"/>
      <c r="X3164" s="711">
        <f t="shared" si="12844"/>
        <v>0</v>
      </c>
      <c r="Y3164" s="897"/>
      <c r="Z3164" s="528"/>
      <c r="AA3164" s="899"/>
      <c r="AB3164" s="899"/>
      <c r="AC3164" s="899"/>
      <c r="AD3164" s="897"/>
      <c r="AE3164" s="2"/>
      <c r="AF3164" s="885"/>
      <c r="AG3164" s="885"/>
      <c r="AH3164" s="885"/>
      <c r="AI3164" s="885"/>
      <c r="AJ3164" s="885"/>
      <c r="AK3164" s="885"/>
      <c r="AL3164" s="885"/>
      <c r="AM3164" s="879"/>
      <c r="AN3164" s="2"/>
      <c r="AO3164" s="886"/>
      <c r="AP3164" s="886"/>
      <c r="AV3164" t="str">
        <f t="shared" si="12839"/>
        <v>Revegetação - Hidrossemeadura</v>
      </c>
      <c r="AW3164" s="4" t="str">
        <f t="shared" si="12840"/>
        <v xml:space="preserve">   Revestimento vegetal por hidrossemeadura</v>
      </c>
    </row>
    <row r="3165" spans="1:50" ht="30.6" customHeight="1" collapsed="1">
      <c r="A3165" s="8" t="str">
        <f t="shared" ref="A3165" si="12904">IF(SUM(P3165:V3166)&gt;0,"S","N")</f>
        <v>N</v>
      </c>
      <c r="B3165" s="150">
        <v>1068861</v>
      </c>
      <c r="C3165" s="150" t="s">
        <v>3588</v>
      </c>
      <c r="D3165" s="120" t="s">
        <v>3589</v>
      </c>
      <c r="E3165" s="892" t="s">
        <v>3302</v>
      </c>
      <c r="F3165" s="894" t="s">
        <v>3210</v>
      </c>
      <c r="G3165" s="528"/>
      <c r="H3165" s="546" t="s">
        <v>37</v>
      </c>
      <c r="I3165" s="711">
        <v>0</v>
      </c>
      <c r="J3165" s="896" t="str">
        <f t="shared" ref="J3165" si="12905">IFERROR((I3166/I3165),"-")</f>
        <v>-</v>
      </c>
      <c r="K3165" s="528"/>
      <c r="L3165" s="546" t="s">
        <v>37</v>
      </c>
      <c r="M3165" s="711">
        <f t="shared" si="12851"/>
        <v>0</v>
      </c>
      <c r="N3165" s="896" t="str">
        <f t="shared" ref="N3165" si="12906">IFERROR((M3166/M3165),"-")</f>
        <v>-</v>
      </c>
      <c r="O3165" s="528"/>
      <c r="P3165" s="547">
        <v>0</v>
      </c>
      <c r="Q3165" s="547">
        <v>0</v>
      </c>
      <c r="R3165" s="547">
        <v>0</v>
      </c>
      <c r="S3165" s="547">
        <v>0</v>
      </c>
      <c r="T3165" s="547">
        <v>0</v>
      </c>
      <c r="U3165" s="547">
        <v>0</v>
      </c>
      <c r="V3165" s="548">
        <v>0</v>
      </c>
      <c r="W3165" s="528"/>
      <c r="X3165" s="711">
        <f t="shared" si="12844"/>
        <v>0</v>
      </c>
      <c r="Y3165" s="896" t="str">
        <f t="shared" ref="Y3165" si="12907">IFERROR((X3166/X3165),"-")</f>
        <v>-</v>
      </c>
      <c r="Z3165" s="528"/>
      <c r="AA3165" s="898">
        <v>0</v>
      </c>
      <c r="AB3165" s="898">
        <v>0</v>
      </c>
      <c r="AC3165" s="898">
        <v>0</v>
      </c>
      <c r="AD3165" s="896" t="str">
        <f t="shared" ref="AD3165" si="12908">IFERROR((AC3165/AA3165),"-")</f>
        <v>-</v>
      </c>
      <c r="AE3165" s="2"/>
      <c r="AF3165" s="884">
        <v>0</v>
      </c>
      <c r="AG3165" s="884"/>
      <c r="AH3165" s="884">
        <v>0</v>
      </c>
      <c r="AI3165" s="884"/>
      <c r="AJ3165" s="884"/>
      <c r="AK3165" s="884">
        <f t="shared" ref="AK3165" si="12909">AF3165+AG3165+AH3165+AI3165+AJ3165+AC3165</f>
        <v>0</v>
      </c>
      <c r="AL3165" s="884">
        <v>0</v>
      </c>
      <c r="AM3165" s="878" t="str">
        <f t="shared" ref="AM3165" si="12910">IFERROR((AK3165/AL3165),"-")</f>
        <v>-</v>
      </c>
      <c r="AN3165" s="2"/>
      <c r="AO3165" s="884">
        <v>40547.5</v>
      </c>
      <c r="AP3165" s="884">
        <f t="shared" ref="AP3165" si="12911">AO3165-AK3165</f>
        <v>40547.5</v>
      </c>
      <c r="AV3165" t="str">
        <f t="shared" si="12839"/>
        <v>Revegetação - Hidrossemeadura</v>
      </c>
      <c r="AW3165" s="4" t="str">
        <f t="shared" si="12840"/>
        <v xml:space="preserve">   Revestimento vegetal por hidrossemeadura</v>
      </c>
    </row>
    <row r="3166" spans="1:50" ht="30.6" customHeight="1">
      <c r="A3166" s="8" t="str">
        <f t="shared" ref="A3166" si="12912">A3165</f>
        <v>N</v>
      </c>
      <c r="B3166" s="150">
        <v>1068861</v>
      </c>
      <c r="C3166" s="150" t="s">
        <v>3588</v>
      </c>
      <c r="D3166" s="120" t="s">
        <v>3589</v>
      </c>
      <c r="E3166" s="893"/>
      <c r="F3166" s="895"/>
      <c r="G3166" s="528"/>
      <c r="H3166" s="549" t="s">
        <v>38</v>
      </c>
      <c r="I3166" s="711">
        <v>0</v>
      </c>
      <c r="J3166" s="897"/>
      <c r="K3166" s="528"/>
      <c r="L3166" s="549" t="s">
        <v>38</v>
      </c>
      <c r="M3166" s="711">
        <f t="shared" si="12851"/>
        <v>0</v>
      </c>
      <c r="N3166" s="897"/>
      <c r="O3166" s="528"/>
      <c r="P3166" s="548">
        <v>0</v>
      </c>
      <c r="Q3166" s="548">
        <v>0</v>
      </c>
      <c r="R3166" s="548">
        <v>0</v>
      </c>
      <c r="S3166" s="548">
        <v>0</v>
      </c>
      <c r="T3166" s="548">
        <v>0</v>
      </c>
      <c r="U3166" s="548">
        <v>0</v>
      </c>
      <c r="V3166" s="548"/>
      <c r="W3166" s="528"/>
      <c r="X3166" s="711">
        <f t="shared" si="12844"/>
        <v>0</v>
      </c>
      <c r="Y3166" s="897"/>
      <c r="Z3166" s="528"/>
      <c r="AA3166" s="899"/>
      <c r="AB3166" s="899"/>
      <c r="AC3166" s="899"/>
      <c r="AD3166" s="897"/>
      <c r="AE3166" s="2"/>
      <c r="AF3166" s="885"/>
      <c r="AG3166" s="885"/>
      <c r="AH3166" s="885"/>
      <c r="AI3166" s="885"/>
      <c r="AJ3166" s="885"/>
      <c r="AK3166" s="885"/>
      <c r="AL3166" s="885"/>
      <c r="AM3166" s="879"/>
      <c r="AN3166" s="2"/>
      <c r="AO3166" s="886"/>
      <c r="AP3166" s="886"/>
      <c r="AV3166" s="4" t="str">
        <f t="shared" si="12839"/>
        <v>Revegetação - Hidrossemeadura</v>
      </c>
      <c r="AW3166" s="4" t="str">
        <f t="shared" si="12840"/>
        <v xml:space="preserve">   Revestimento vegetal por hidrossemeadura</v>
      </c>
      <c r="AX3166" s="4"/>
    </row>
    <row r="3167" spans="1:50" ht="30.6" customHeight="1">
      <c r="A3167" s="8" t="str">
        <f t="shared" ref="A3167" si="12913">IF(SUM(P3167:V3168)&gt;0,"S","N")</f>
        <v>N</v>
      </c>
      <c r="B3167" s="150">
        <v>1068862</v>
      </c>
      <c r="C3167" s="150" t="s">
        <v>3590</v>
      </c>
      <c r="D3167" s="120" t="s">
        <v>3591</v>
      </c>
      <c r="E3167" s="892" t="s">
        <v>3302</v>
      </c>
      <c r="F3167" s="894" t="s">
        <v>3210</v>
      </c>
      <c r="G3167" s="528"/>
      <c r="H3167" s="546" t="s">
        <v>37</v>
      </c>
      <c r="I3167" s="711">
        <v>0</v>
      </c>
      <c r="J3167" s="896" t="str">
        <f t="shared" ref="J3167" si="12914">IFERROR((I3168/I3167),"-")</f>
        <v>-</v>
      </c>
      <c r="K3167" s="528"/>
      <c r="L3167" s="546" t="s">
        <v>37</v>
      </c>
      <c r="M3167" s="711">
        <f t="shared" si="12851"/>
        <v>0</v>
      </c>
      <c r="N3167" s="896" t="str">
        <f t="shared" ref="N3167" si="12915">IFERROR((M3168/M3167),"-")</f>
        <v>-</v>
      </c>
      <c r="O3167" s="528"/>
      <c r="P3167" s="547">
        <v>0</v>
      </c>
      <c r="Q3167" s="547">
        <v>0</v>
      </c>
      <c r="R3167" s="547">
        <v>0</v>
      </c>
      <c r="S3167" s="547">
        <v>0</v>
      </c>
      <c r="T3167" s="547">
        <v>0</v>
      </c>
      <c r="U3167" s="547">
        <v>0</v>
      </c>
      <c r="V3167" s="548">
        <v>0</v>
      </c>
      <c r="W3167" s="528"/>
      <c r="X3167" s="711">
        <f t="shared" si="12844"/>
        <v>0</v>
      </c>
      <c r="Y3167" s="896" t="str">
        <f t="shared" ref="Y3167" si="12916">IFERROR((X3168/X3167),"-")</f>
        <v>-</v>
      </c>
      <c r="Z3167" s="528"/>
      <c r="AA3167" s="898">
        <v>0</v>
      </c>
      <c r="AB3167" s="898">
        <v>0</v>
      </c>
      <c r="AC3167" s="898">
        <v>0</v>
      </c>
      <c r="AD3167" s="896" t="str">
        <f t="shared" ref="AD3167" si="12917">IFERROR((AC3167/AA3167),"-")</f>
        <v>-</v>
      </c>
      <c r="AE3167" s="2"/>
      <c r="AF3167" s="884">
        <v>0</v>
      </c>
      <c r="AG3167" s="884"/>
      <c r="AH3167" s="884">
        <v>0</v>
      </c>
      <c r="AI3167" s="884"/>
      <c r="AJ3167" s="884"/>
      <c r="AK3167" s="884">
        <f t="shared" ref="AK3167" si="12918">AF3167+AG3167+AH3167+AI3167+AJ3167+AC3167</f>
        <v>0</v>
      </c>
      <c r="AL3167" s="884">
        <v>0</v>
      </c>
      <c r="AM3167" s="878" t="str">
        <f t="shared" ref="AM3167" si="12919">IFERROR((AK3167/AL3167),"-")</f>
        <v>-</v>
      </c>
      <c r="AN3167" s="2"/>
      <c r="AO3167" s="884">
        <v>792.82</v>
      </c>
      <c r="AP3167" s="884">
        <f t="shared" ref="AP3167" si="12920">AO3167-AK3167</f>
        <v>792.82</v>
      </c>
      <c r="AV3167" t="str">
        <f t="shared" si="12839"/>
        <v>Revegetação - Hidrossemeadura</v>
      </c>
      <c r="AW3167" s="4" t="str">
        <f t="shared" si="12840"/>
        <v xml:space="preserve">   Revestimento vegetal por hidrossemeadura</v>
      </c>
    </row>
    <row r="3168" spans="1:50" ht="30.6" customHeight="1">
      <c r="A3168" s="8" t="str">
        <f t="shared" ref="A3168" si="12921">A3167</f>
        <v>N</v>
      </c>
      <c r="B3168" s="150">
        <v>1068862</v>
      </c>
      <c r="C3168" s="150" t="s">
        <v>3590</v>
      </c>
      <c r="D3168" s="120" t="s">
        <v>3591</v>
      </c>
      <c r="E3168" s="893"/>
      <c r="F3168" s="895"/>
      <c r="G3168" s="528"/>
      <c r="H3168" s="549" t="s">
        <v>38</v>
      </c>
      <c r="I3168" s="711">
        <v>0</v>
      </c>
      <c r="J3168" s="897"/>
      <c r="K3168" s="528"/>
      <c r="L3168" s="549" t="s">
        <v>38</v>
      </c>
      <c r="M3168" s="711">
        <f t="shared" si="12851"/>
        <v>0</v>
      </c>
      <c r="N3168" s="897"/>
      <c r="O3168" s="528"/>
      <c r="P3168" s="548">
        <v>0</v>
      </c>
      <c r="Q3168" s="548">
        <v>0</v>
      </c>
      <c r="R3168" s="548">
        <v>0</v>
      </c>
      <c r="S3168" s="548">
        <v>0</v>
      </c>
      <c r="T3168" s="548">
        <v>0</v>
      </c>
      <c r="U3168" s="548">
        <v>0</v>
      </c>
      <c r="V3168" s="548"/>
      <c r="W3168" s="528"/>
      <c r="X3168" s="711">
        <f t="shared" si="12844"/>
        <v>0</v>
      </c>
      <c r="Y3168" s="897"/>
      <c r="Z3168" s="528"/>
      <c r="AA3168" s="899"/>
      <c r="AB3168" s="899"/>
      <c r="AC3168" s="899"/>
      <c r="AD3168" s="897"/>
      <c r="AE3168" s="2"/>
      <c r="AF3168" s="885"/>
      <c r="AG3168" s="885"/>
      <c r="AH3168" s="885"/>
      <c r="AI3168" s="885"/>
      <c r="AJ3168" s="885"/>
      <c r="AK3168" s="885"/>
      <c r="AL3168" s="885"/>
      <c r="AM3168" s="879"/>
      <c r="AN3168" s="2"/>
      <c r="AO3168" s="886"/>
      <c r="AP3168" s="886"/>
      <c r="AV3168" t="str">
        <f t="shared" si="12839"/>
        <v>Revegetação - Hidrossemeadura</v>
      </c>
      <c r="AW3168" s="4" t="str">
        <f t="shared" si="12840"/>
        <v xml:space="preserve">   Revestimento vegetal por hidrossemeadura</v>
      </c>
    </row>
    <row r="3169" spans="1:50" ht="30.6" customHeight="1">
      <c r="A3169" s="8" t="str">
        <f t="shared" ref="A3169" si="12922">IF(SUM(P3169:V3170)&gt;0,"S","N")</f>
        <v>N</v>
      </c>
      <c r="B3169" s="150">
        <v>1068863</v>
      </c>
      <c r="C3169" s="150" t="s">
        <v>3592</v>
      </c>
      <c r="D3169" s="120" t="s">
        <v>3593</v>
      </c>
      <c r="E3169" s="892" t="s">
        <v>3302</v>
      </c>
      <c r="F3169" s="894" t="s">
        <v>3210</v>
      </c>
      <c r="G3169" s="528"/>
      <c r="H3169" s="546" t="s">
        <v>37</v>
      </c>
      <c r="I3169" s="711">
        <v>0</v>
      </c>
      <c r="J3169" s="896" t="str">
        <f t="shared" ref="J3169" si="12923">IFERROR((I3170/I3169),"-")</f>
        <v>-</v>
      </c>
      <c r="K3169" s="528"/>
      <c r="L3169" s="546" t="s">
        <v>37</v>
      </c>
      <c r="M3169" s="711">
        <f t="shared" si="12851"/>
        <v>0</v>
      </c>
      <c r="N3169" s="896" t="str">
        <f t="shared" ref="N3169" si="12924">IFERROR((M3170/M3169),"-")</f>
        <v>-</v>
      </c>
      <c r="O3169" s="528"/>
      <c r="P3169" s="547">
        <v>0</v>
      </c>
      <c r="Q3169" s="547">
        <v>0</v>
      </c>
      <c r="R3169" s="547">
        <v>0</v>
      </c>
      <c r="S3169" s="547">
        <v>0</v>
      </c>
      <c r="T3169" s="547">
        <v>0</v>
      </c>
      <c r="U3169" s="547">
        <v>0</v>
      </c>
      <c r="V3169" s="548">
        <v>0</v>
      </c>
      <c r="W3169" s="528"/>
      <c r="X3169" s="711">
        <f t="shared" si="12844"/>
        <v>0</v>
      </c>
      <c r="Y3169" s="896" t="str">
        <f t="shared" ref="Y3169" si="12925">IFERROR((X3170/X3169),"-")</f>
        <v>-</v>
      </c>
      <c r="Z3169" s="528"/>
      <c r="AA3169" s="898">
        <v>0</v>
      </c>
      <c r="AB3169" s="898">
        <v>0</v>
      </c>
      <c r="AC3169" s="898">
        <v>0</v>
      </c>
      <c r="AD3169" s="896" t="str">
        <f t="shared" ref="AD3169" si="12926">IFERROR((AC3169/AA3169),"-")</f>
        <v>-</v>
      </c>
      <c r="AE3169" s="2"/>
      <c r="AF3169" s="884">
        <v>0</v>
      </c>
      <c r="AG3169" s="884"/>
      <c r="AH3169" s="884">
        <v>0</v>
      </c>
      <c r="AI3169" s="884"/>
      <c r="AJ3169" s="884"/>
      <c r="AK3169" s="884">
        <f t="shared" ref="AK3169" si="12927">AF3169+AG3169+AH3169+AI3169+AJ3169+AC3169</f>
        <v>0</v>
      </c>
      <c r="AL3169" s="884">
        <v>0</v>
      </c>
      <c r="AM3169" s="878" t="str">
        <f t="shared" ref="AM3169" si="12928">IFERROR((AK3169/AL3169),"-")</f>
        <v>-</v>
      </c>
      <c r="AN3169" s="2"/>
      <c r="AO3169" s="884">
        <v>21256.5</v>
      </c>
      <c r="AP3169" s="884">
        <f t="shared" ref="AP3169" si="12929">AO3169-AK3169</f>
        <v>21256.5</v>
      </c>
      <c r="AV3169" t="str">
        <f t="shared" si="12839"/>
        <v>Revegetação - Hidrossemeadura</v>
      </c>
      <c r="AW3169" s="4" t="str">
        <f t="shared" si="12840"/>
        <v xml:space="preserve">   Revestimento vegetal por hidrossemeadura</v>
      </c>
    </row>
    <row r="3170" spans="1:50" ht="30.6" customHeight="1" collapsed="1">
      <c r="A3170" s="8" t="str">
        <f t="shared" ref="A3170" si="12930">A3169</f>
        <v>N</v>
      </c>
      <c r="B3170" s="150">
        <v>1068863</v>
      </c>
      <c r="C3170" s="150" t="s">
        <v>3592</v>
      </c>
      <c r="D3170" s="120" t="s">
        <v>3593</v>
      </c>
      <c r="E3170" s="893"/>
      <c r="F3170" s="895"/>
      <c r="G3170" s="528"/>
      <c r="H3170" s="549" t="s">
        <v>38</v>
      </c>
      <c r="I3170" s="711">
        <v>0</v>
      </c>
      <c r="J3170" s="897"/>
      <c r="K3170" s="528"/>
      <c r="L3170" s="549" t="s">
        <v>38</v>
      </c>
      <c r="M3170" s="711">
        <f t="shared" si="12851"/>
        <v>0</v>
      </c>
      <c r="N3170" s="897"/>
      <c r="O3170" s="528"/>
      <c r="P3170" s="548">
        <v>0</v>
      </c>
      <c r="Q3170" s="548">
        <v>0</v>
      </c>
      <c r="R3170" s="548">
        <v>0</v>
      </c>
      <c r="S3170" s="548">
        <v>0</v>
      </c>
      <c r="T3170" s="548">
        <v>0</v>
      </c>
      <c r="U3170" s="548">
        <v>0</v>
      </c>
      <c r="V3170" s="548"/>
      <c r="W3170" s="528"/>
      <c r="X3170" s="711">
        <f t="shared" si="12844"/>
        <v>0</v>
      </c>
      <c r="Y3170" s="897"/>
      <c r="Z3170" s="528"/>
      <c r="AA3170" s="899"/>
      <c r="AB3170" s="899"/>
      <c r="AC3170" s="899"/>
      <c r="AD3170" s="897"/>
      <c r="AE3170" s="2"/>
      <c r="AF3170" s="885"/>
      <c r="AG3170" s="885"/>
      <c r="AH3170" s="885"/>
      <c r="AI3170" s="885"/>
      <c r="AJ3170" s="885"/>
      <c r="AK3170" s="885"/>
      <c r="AL3170" s="885"/>
      <c r="AM3170" s="879"/>
      <c r="AN3170" s="2"/>
      <c r="AO3170" s="886"/>
      <c r="AP3170" s="886"/>
      <c r="AV3170" t="str">
        <f t="shared" si="12839"/>
        <v>Revegetação - Hidrossemeadura</v>
      </c>
      <c r="AW3170" s="4" t="str">
        <f t="shared" si="12840"/>
        <v xml:space="preserve">   Revestimento vegetal por hidrossemeadura</v>
      </c>
      <c r="AX3170" s="4"/>
    </row>
    <row r="3171" spans="1:50" ht="15.6" customHeight="1">
      <c r="A3171" s="8" t="str">
        <f t="shared" ref="A3171" si="12931">IF(SUM(P3171:V3172)&gt;0,"S","N")</f>
        <v>N</v>
      </c>
      <c r="B3171" s="150">
        <v>1068865</v>
      </c>
      <c r="C3171" s="150" t="s">
        <v>3594</v>
      </c>
      <c r="D3171" s="120" t="s">
        <v>3595</v>
      </c>
      <c r="E3171" s="892" t="s">
        <v>3302</v>
      </c>
      <c r="F3171" s="894" t="s">
        <v>3210</v>
      </c>
      <c r="G3171" s="528"/>
      <c r="H3171" s="546" t="s">
        <v>37</v>
      </c>
      <c r="I3171" s="711">
        <v>0</v>
      </c>
      <c r="J3171" s="896" t="str">
        <f t="shared" ref="J3171" si="12932">IFERROR((I3172/I3171),"-")</f>
        <v>-</v>
      </c>
      <c r="K3171" s="528"/>
      <c r="L3171" s="546" t="s">
        <v>37</v>
      </c>
      <c r="M3171" s="711">
        <f t="shared" si="12851"/>
        <v>0</v>
      </c>
      <c r="N3171" s="896" t="str">
        <f t="shared" ref="N3171" si="12933">IFERROR((M3172/M3171),"-")</f>
        <v>-</v>
      </c>
      <c r="O3171" s="528"/>
      <c r="P3171" s="547">
        <v>0</v>
      </c>
      <c r="Q3171" s="547">
        <v>0</v>
      </c>
      <c r="R3171" s="547">
        <v>0</v>
      </c>
      <c r="S3171" s="547">
        <v>0</v>
      </c>
      <c r="T3171" s="547">
        <v>0</v>
      </c>
      <c r="U3171" s="547">
        <v>0</v>
      </c>
      <c r="V3171" s="548">
        <v>0</v>
      </c>
      <c r="W3171" s="528"/>
      <c r="X3171" s="711">
        <f t="shared" si="12844"/>
        <v>0</v>
      </c>
      <c r="Y3171" s="896" t="str">
        <f t="shared" ref="Y3171" si="12934">IFERROR((X3172/X3171),"-")</f>
        <v>-</v>
      </c>
      <c r="Z3171" s="528"/>
      <c r="AA3171" s="898">
        <v>0</v>
      </c>
      <c r="AB3171" s="898">
        <v>0</v>
      </c>
      <c r="AC3171" s="898">
        <v>0</v>
      </c>
      <c r="AD3171" s="896" t="str">
        <f t="shared" ref="AD3171" si="12935">IFERROR((AC3171/AA3171),"-")</f>
        <v>-</v>
      </c>
      <c r="AE3171" s="2"/>
      <c r="AF3171" s="884">
        <v>0</v>
      </c>
      <c r="AG3171" s="884"/>
      <c r="AH3171" s="884">
        <v>0</v>
      </c>
      <c r="AI3171" s="884"/>
      <c r="AJ3171" s="884"/>
      <c r="AK3171" s="884">
        <f t="shared" ref="AK3171" si="12936">AF3171+AG3171+AH3171+AI3171+AJ3171+AC3171</f>
        <v>0</v>
      </c>
      <c r="AL3171" s="884">
        <v>0</v>
      </c>
      <c r="AM3171" s="878" t="str">
        <f t="shared" ref="AM3171" si="12937">IFERROR((AK3171/AL3171),"-")</f>
        <v>-</v>
      </c>
      <c r="AN3171" s="2"/>
      <c r="AO3171" s="884">
        <v>8389.57</v>
      </c>
      <c r="AP3171" s="884">
        <f t="shared" ref="AP3171" si="12938">AO3171-AK3171</f>
        <v>8389.57</v>
      </c>
      <c r="AV3171" t="str">
        <f t="shared" si="12839"/>
        <v>Revegetação - Hidrossemeadura</v>
      </c>
      <c r="AW3171" s="4" t="str">
        <f t="shared" si="12840"/>
        <v xml:space="preserve">   Revestimento vegetal por hidrossemeadura</v>
      </c>
      <c r="AX3171" s="4"/>
    </row>
    <row r="3172" spans="1:50" ht="15.6" customHeight="1">
      <c r="A3172" s="8" t="str">
        <f t="shared" ref="A3172" si="12939">A3171</f>
        <v>N</v>
      </c>
      <c r="B3172" s="150">
        <v>1068865</v>
      </c>
      <c r="C3172" s="150" t="s">
        <v>3594</v>
      </c>
      <c r="D3172" s="120" t="s">
        <v>3595</v>
      </c>
      <c r="E3172" s="893"/>
      <c r="F3172" s="895"/>
      <c r="G3172" s="528"/>
      <c r="H3172" s="549" t="s">
        <v>38</v>
      </c>
      <c r="I3172" s="711">
        <v>0</v>
      </c>
      <c r="J3172" s="897"/>
      <c r="K3172" s="528"/>
      <c r="L3172" s="549" t="s">
        <v>38</v>
      </c>
      <c r="M3172" s="711">
        <f t="shared" si="12851"/>
        <v>0</v>
      </c>
      <c r="N3172" s="897"/>
      <c r="O3172" s="528"/>
      <c r="P3172" s="548">
        <v>0</v>
      </c>
      <c r="Q3172" s="548">
        <v>0</v>
      </c>
      <c r="R3172" s="548">
        <v>0</v>
      </c>
      <c r="S3172" s="548">
        <v>0</v>
      </c>
      <c r="T3172" s="548">
        <v>0</v>
      </c>
      <c r="U3172" s="548">
        <v>0</v>
      </c>
      <c r="V3172" s="548"/>
      <c r="W3172" s="528"/>
      <c r="X3172" s="711">
        <f t="shared" si="12844"/>
        <v>0</v>
      </c>
      <c r="Y3172" s="897"/>
      <c r="Z3172" s="528"/>
      <c r="AA3172" s="899"/>
      <c r="AB3172" s="899"/>
      <c r="AC3172" s="899"/>
      <c r="AD3172" s="897"/>
      <c r="AE3172" s="2"/>
      <c r="AF3172" s="885"/>
      <c r="AG3172" s="885"/>
      <c r="AH3172" s="885"/>
      <c r="AI3172" s="885"/>
      <c r="AJ3172" s="885"/>
      <c r="AK3172" s="885"/>
      <c r="AL3172" s="885"/>
      <c r="AM3172" s="879"/>
      <c r="AN3172" s="2"/>
      <c r="AO3172" s="886"/>
      <c r="AP3172" s="886"/>
      <c r="AV3172" t="str">
        <f t="shared" si="12839"/>
        <v>Revegetação - Hidrossemeadura</v>
      </c>
      <c r="AW3172" s="4" t="str">
        <f t="shared" si="12840"/>
        <v xml:space="preserve">   Revestimento vegetal por hidrossemeadura</v>
      </c>
      <c r="AX3172" s="4"/>
    </row>
    <row r="3173" spans="1:50" ht="15.6" customHeight="1">
      <c r="A3173" s="8" t="str">
        <f t="shared" ref="A3173" si="12940">IF(SUM(P3173:V3174)&gt;0,"S","N")</f>
        <v>N</v>
      </c>
      <c r="B3173" s="150">
        <v>1068866</v>
      </c>
      <c r="C3173" s="150" t="s">
        <v>3596</v>
      </c>
      <c r="D3173" s="120" t="s">
        <v>3597</v>
      </c>
      <c r="E3173" s="892" t="s">
        <v>3302</v>
      </c>
      <c r="F3173" s="894" t="s">
        <v>3210</v>
      </c>
      <c r="G3173" s="528"/>
      <c r="H3173" s="546" t="s">
        <v>37</v>
      </c>
      <c r="I3173" s="711">
        <v>0</v>
      </c>
      <c r="J3173" s="896" t="str">
        <f t="shared" ref="J3173" si="12941">IFERROR((I3174/I3173),"-")</f>
        <v>-</v>
      </c>
      <c r="K3173" s="528"/>
      <c r="L3173" s="546" t="s">
        <v>37</v>
      </c>
      <c r="M3173" s="711">
        <f t="shared" si="12851"/>
        <v>0</v>
      </c>
      <c r="N3173" s="896" t="str">
        <f t="shared" ref="N3173" si="12942">IFERROR((M3174/M3173),"-")</f>
        <v>-</v>
      </c>
      <c r="O3173" s="528"/>
      <c r="P3173" s="547">
        <v>0</v>
      </c>
      <c r="Q3173" s="547">
        <v>0</v>
      </c>
      <c r="R3173" s="547">
        <v>0</v>
      </c>
      <c r="S3173" s="547">
        <v>0</v>
      </c>
      <c r="T3173" s="547">
        <v>0</v>
      </c>
      <c r="U3173" s="547">
        <v>0</v>
      </c>
      <c r="V3173" s="548">
        <v>0</v>
      </c>
      <c r="W3173" s="528"/>
      <c r="X3173" s="711">
        <f t="shared" si="12844"/>
        <v>0</v>
      </c>
      <c r="Y3173" s="896" t="str">
        <f t="shared" ref="Y3173" si="12943">IFERROR((X3174/X3173),"-")</f>
        <v>-</v>
      </c>
      <c r="Z3173" s="528"/>
      <c r="AA3173" s="898">
        <v>0</v>
      </c>
      <c r="AB3173" s="898">
        <v>0</v>
      </c>
      <c r="AC3173" s="898">
        <v>0</v>
      </c>
      <c r="AD3173" s="896" t="str">
        <f t="shared" ref="AD3173" si="12944">IFERROR((AC3173/AA3173),"-")</f>
        <v>-</v>
      </c>
      <c r="AE3173" s="2"/>
      <c r="AF3173" s="884">
        <v>0</v>
      </c>
      <c r="AG3173" s="884"/>
      <c r="AH3173" s="884">
        <v>0</v>
      </c>
      <c r="AI3173" s="884"/>
      <c r="AJ3173" s="884"/>
      <c r="AK3173" s="884">
        <f t="shared" ref="AK3173" si="12945">AF3173+AG3173+AH3173+AI3173+AJ3173+AC3173</f>
        <v>0</v>
      </c>
      <c r="AL3173" s="884">
        <v>0</v>
      </c>
      <c r="AM3173" s="878" t="str">
        <f t="shared" ref="AM3173" si="12946">IFERROR((AK3173/AL3173),"-")</f>
        <v>-</v>
      </c>
      <c r="AN3173" s="2"/>
      <c r="AO3173" s="884">
        <v>2780.51</v>
      </c>
      <c r="AP3173" s="884">
        <f t="shared" ref="AP3173" si="12947">AO3173-AK3173</f>
        <v>2780.51</v>
      </c>
      <c r="AV3173" t="str">
        <f t="shared" si="12839"/>
        <v>Revegetação - Hidrossemeadura</v>
      </c>
      <c r="AW3173" s="4" t="str">
        <f t="shared" si="12840"/>
        <v xml:space="preserve">   Revestimento vegetal por hidrossemeadura</v>
      </c>
      <c r="AX3173" s="4"/>
    </row>
    <row r="3174" spans="1:50" ht="15.6" customHeight="1">
      <c r="A3174" s="8" t="str">
        <f t="shared" ref="A3174" si="12948">A3173</f>
        <v>N</v>
      </c>
      <c r="B3174" s="150">
        <v>1068866</v>
      </c>
      <c r="C3174" s="150" t="s">
        <v>3596</v>
      </c>
      <c r="D3174" s="120" t="s">
        <v>3597</v>
      </c>
      <c r="E3174" s="893"/>
      <c r="F3174" s="895"/>
      <c r="G3174" s="528"/>
      <c r="H3174" s="549" t="s">
        <v>38</v>
      </c>
      <c r="I3174" s="711">
        <v>0</v>
      </c>
      <c r="J3174" s="897"/>
      <c r="K3174" s="528"/>
      <c r="L3174" s="549" t="s">
        <v>38</v>
      </c>
      <c r="M3174" s="711">
        <f t="shared" si="12851"/>
        <v>0</v>
      </c>
      <c r="N3174" s="897"/>
      <c r="O3174" s="528"/>
      <c r="P3174" s="548">
        <v>0</v>
      </c>
      <c r="Q3174" s="548">
        <v>0</v>
      </c>
      <c r="R3174" s="548">
        <v>0</v>
      </c>
      <c r="S3174" s="548">
        <v>0</v>
      </c>
      <c r="T3174" s="548">
        <v>0</v>
      </c>
      <c r="U3174" s="548">
        <v>0</v>
      </c>
      <c r="V3174" s="548"/>
      <c r="W3174" s="528"/>
      <c r="X3174" s="711">
        <f t="shared" si="12844"/>
        <v>0</v>
      </c>
      <c r="Y3174" s="897"/>
      <c r="Z3174" s="528"/>
      <c r="AA3174" s="899"/>
      <c r="AB3174" s="899"/>
      <c r="AC3174" s="899"/>
      <c r="AD3174" s="897"/>
      <c r="AE3174" s="2"/>
      <c r="AF3174" s="885"/>
      <c r="AG3174" s="885"/>
      <c r="AH3174" s="885"/>
      <c r="AI3174" s="885"/>
      <c r="AJ3174" s="885"/>
      <c r="AK3174" s="885"/>
      <c r="AL3174" s="885"/>
      <c r="AM3174" s="879"/>
      <c r="AN3174" s="2"/>
      <c r="AO3174" s="886"/>
      <c r="AP3174" s="886"/>
      <c r="AV3174" t="str">
        <f t="shared" si="12839"/>
        <v>Revegetação - Hidrossemeadura</v>
      </c>
      <c r="AW3174" s="4" t="str">
        <f t="shared" si="12840"/>
        <v xml:space="preserve">   Revestimento vegetal por hidrossemeadura</v>
      </c>
      <c r="AX3174" s="4"/>
    </row>
    <row r="3175" spans="1:50" ht="15.6" customHeight="1">
      <c r="A3175" s="8" t="str">
        <f t="shared" ref="A3175" si="12949">IF(SUM(P3175:V3176)&gt;0,"S","N")</f>
        <v>N</v>
      </c>
      <c r="B3175" s="150">
        <v>1068867</v>
      </c>
      <c r="C3175" s="150" t="s">
        <v>3598</v>
      </c>
      <c r="D3175" s="120" t="s">
        <v>3599</v>
      </c>
      <c r="E3175" s="892" t="s">
        <v>3302</v>
      </c>
      <c r="F3175" s="894" t="s">
        <v>3210</v>
      </c>
      <c r="G3175" s="528"/>
      <c r="H3175" s="546" t="s">
        <v>37</v>
      </c>
      <c r="I3175" s="711">
        <v>0</v>
      </c>
      <c r="J3175" s="896" t="str">
        <f t="shared" ref="J3175" si="12950">IFERROR((I3176/I3175),"-")</f>
        <v>-</v>
      </c>
      <c r="K3175" s="528"/>
      <c r="L3175" s="546" t="s">
        <v>37</v>
      </c>
      <c r="M3175" s="711">
        <f t="shared" si="12851"/>
        <v>0</v>
      </c>
      <c r="N3175" s="896" t="str">
        <f t="shared" ref="N3175" si="12951">IFERROR((M3176/M3175),"-")</f>
        <v>-</v>
      </c>
      <c r="O3175" s="528"/>
      <c r="P3175" s="547">
        <v>0</v>
      </c>
      <c r="Q3175" s="547">
        <v>0</v>
      </c>
      <c r="R3175" s="547">
        <v>0</v>
      </c>
      <c r="S3175" s="547">
        <v>0</v>
      </c>
      <c r="T3175" s="547">
        <v>0</v>
      </c>
      <c r="U3175" s="547">
        <v>0</v>
      </c>
      <c r="V3175" s="548">
        <v>0</v>
      </c>
      <c r="W3175" s="528"/>
      <c r="X3175" s="711">
        <f t="shared" si="12844"/>
        <v>0</v>
      </c>
      <c r="Y3175" s="896" t="str">
        <f t="shared" ref="Y3175" si="12952">IFERROR((X3176/X3175),"-")</f>
        <v>-</v>
      </c>
      <c r="Z3175" s="528"/>
      <c r="AA3175" s="898">
        <v>0</v>
      </c>
      <c r="AB3175" s="898">
        <v>0</v>
      </c>
      <c r="AC3175" s="898">
        <v>0</v>
      </c>
      <c r="AD3175" s="896" t="str">
        <f t="shared" ref="AD3175" si="12953">IFERROR((AC3175/AA3175),"-")</f>
        <v>-</v>
      </c>
      <c r="AE3175" s="2"/>
      <c r="AF3175" s="884">
        <v>0</v>
      </c>
      <c r="AG3175" s="884"/>
      <c r="AH3175" s="884">
        <v>0</v>
      </c>
      <c r="AI3175" s="884"/>
      <c r="AJ3175" s="884"/>
      <c r="AK3175" s="884">
        <f t="shared" ref="AK3175" si="12954">AF3175+AG3175+AH3175+AI3175+AJ3175+AC3175</f>
        <v>0</v>
      </c>
      <c r="AL3175" s="884">
        <v>0</v>
      </c>
      <c r="AM3175" s="878" t="str">
        <f t="shared" ref="AM3175" si="12955">IFERROR((AK3175/AL3175),"-")</f>
        <v>-</v>
      </c>
      <c r="AN3175" s="2"/>
      <c r="AO3175" s="884">
        <v>4605.05</v>
      </c>
      <c r="AP3175" s="884">
        <f t="shared" ref="AP3175" si="12956">AO3175-AK3175</f>
        <v>4605.05</v>
      </c>
      <c r="AV3175" t="str">
        <f t="shared" si="12839"/>
        <v>Revegetação - Hidrossemeadura</v>
      </c>
      <c r="AW3175" s="4" t="str">
        <f t="shared" si="12840"/>
        <v xml:space="preserve">   Revestimento vegetal por hidrossemeadura</v>
      </c>
    </row>
    <row r="3176" spans="1:50" ht="15.6" customHeight="1">
      <c r="A3176" s="8" t="str">
        <f t="shared" ref="A3176" si="12957">A3175</f>
        <v>N</v>
      </c>
      <c r="B3176" s="150">
        <v>1068867</v>
      </c>
      <c r="C3176" s="150" t="s">
        <v>3598</v>
      </c>
      <c r="D3176" s="120" t="s">
        <v>3599</v>
      </c>
      <c r="E3176" s="893"/>
      <c r="F3176" s="895"/>
      <c r="G3176" s="528"/>
      <c r="H3176" s="549" t="s">
        <v>38</v>
      </c>
      <c r="I3176" s="711">
        <v>0</v>
      </c>
      <c r="J3176" s="897"/>
      <c r="K3176" s="528"/>
      <c r="L3176" s="549" t="s">
        <v>38</v>
      </c>
      <c r="M3176" s="711">
        <f t="shared" si="12851"/>
        <v>0</v>
      </c>
      <c r="N3176" s="897"/>
      <c r="O3176" s="528"/>
      <c r="P3176" s="548">
        <v>0</v>
      </c>
      <c r="Q3176" s="548">
        <v>0</v>
      </c>
      <c r="R3176" s="548">
        <v>0</v>
      </c>
      <c r="S3176" s="548">
        <v>0</v>
      </c>
      <c r="T3176" s="548">
        <v>0</v>
      </c>
      <c r="U3176" s="548">
        <v>0</v>
      </c>
      <c r="V3176" s="548"/>
      <c r="W3176" s="528"/>
      <c r="X3176" s="711">
        <f t="shared" si="12844"/>
        <v>0</v>
      </c>
      <c r="Y3176" s="897"/>
      <c r="Z3176" s="528"/>
      <c r="AA3176" s="899"/>
      <c r="AB3176" s="899"/>
      <c r="AC3176" s="899"/>
      <c r="AD3176" s="897"/>
      <c r="AE3176" s="2"/>
      <c r="AF3176" s="885"/>
      <c r="AG3176" s="885"/>
      <c r="AH3176" s="885"/>
      <c r="AI3176" s="885"/>
      <c r="AJ3176" s="885"/>
      <c r="AK3176" s="885"/>
      <c r="AL3176" s="885"/>
      <c r="AM3176" s="879"/>
      <c r="AN3176" s="2"/>
      <c r="AO3176" s="886"/>
      <c r="AP3176" s="886"/>
      <c r="AV3176" t="str">
        <f t="shared" si="12839"/>
        <v>Revegetação - Hidrossemeadura</v>
      </c>
      <c r="AW3176" s="4" t="str">
        <f t="shared" si="12840"/>
        <v xml:space="preserve">   Revestimento vegetal por hidrossemeadura</v>
      </c>
    </row>
    <row r="3177" spans="1:50" ht="15.6" customHeight="1">
      <c r="A3177" s="8" t="str">
        <f t="shared" ref="A3177" si="12958">IF(SUM(P3177:V3178)&gt;0,"S","N")</f>
        <v>N</v>
      </c>
      <c r="B3177" s="150">
        <v>1068868</v>
      </c>
      <c r="C3177" s="150" t="s">
        <v>3600</v>
      </c>
      <c r="D3177" s="120" t="s">
        <v>3601</v>
      </c>
      <c r="E3177" s="892" t="s">
        <v>3302</v>
      </c>
      <c r="F3177" s="894" t="s">
        <v>3210</v>
      </c>
      <c r="G3177" s="528"/>
      <c r="H3177" s="546" t="s">
        <v>37</v>
      </c>
      <c r="I3177" s="711">
        <v>0</v>
      </c>
      <c r="J3177" s="896" t="str">
        <f t="shared" ref="J3177" si="12959">IFERROR((I3178/I3177),"-")</f>
        <v>-</v>
      </c>
      <c r="K3177" s="528"/>
      <c r="L3177" s="546" t="s">
        <v>37</v>
      </c>
      <c r="M3177" s="711">
        <f t="shared" si="12851"/>
        <v>0</v>
      </c>
      <c r="N3177" s="896" t="str">
        <f t="shared" ref="N3177" si="12960">IFERROR((M3178/M3177),"-")</f>
        <v>-</v>
      </c>
      <c r="O3177" s="528"/>
      <c r="P3177" s="547">
        <v>0</v>
      </c>
      <c r="Q3177" s="547">
        <v>0</v>
      </c>
      <c r="R3177" s="547">
        <v>0</v>
      </c>
      <c r="S3177" s="547">
        <v>0</v>
      </c>
      <c r="T3177" s="547">
        <v>0</v>
      </c>
      <c r="U3177" s="547">
        <v>0</v>
      </c>
      <c r="V3177" s="548">
        <v>0</v>
      </c>
      <c r="W3177" s="528"/>
      <c r="X3177" s="711">
        <f t="shared" si="12844"/>
        <v>0</v>
      </c>
      <c r="Y3177" s="896" t="str">
        <f t="shared" ref="Y3177" si="12961">IFERROR((X3178/X3177),"-")</f>
        <v>-</v>
      </c>
      <c r="Z3177" s="528"/>
      <c r="AA3177" s="898">
        <v>0</v>
      </c>
      <c r="AB3177" s="898">
        <v>0</v>
      </c>
      <c r="AC3177" s="898">
        <v>0</v>
      </c>
      <c r="AD3177" s="896" t="str">
        <f t="shared" ref="AD3177" si="12962">IFERROR((AC3177/AA3177),"-")</f>
        <v>-</v>
      </c>
      <c r="AE3177" s="2"/>
      <c r="AF3177" s="884">
        <v>0</v>
      </c>
      <c r="AG3177" s="884"/>
      <c r="AH3177" s="884">
        <v>0</v>
      </c>
      <c r="AI3177" s="884"/>
      <c r="AJ3177" s="884"/>
      <c r="AK3177" s="884">
        <f t="shared" ref="AK3177" si="12963">AF3177+AG3177+AH3177+AI3177+AJ3177+AC3177</f>
        <v>0</v>
      </c>
      <c r="AL3177" s="884">
        <v>0</v>
      </c>
      <c r="AM3177" s="878" t="str">
        <f t="shared" ref="AM3177" si="12964">IFERROR((AK3177/AL3177),"-")</f>
        <v>-</v>
      </c>
      <c r="AN3177" s="2"/>
      <c r="AO3177" s="884">
        <v>9506.74</v>
      </c>
      <c r="AP3177" s="884">
        <f t="shared" ref="AP3177" si="12965">AO3177-AK3177</f>
        <v>9506.74</v>
      </c>
      <c r="AV3177" t="str">
        <f t="shared" si="12839"/>
        <v>Revegetação - Hidrossemeadura</v>
      </c>
      <c r="AW3177" s="4" t="str">
        <f t="shared" si="12840"/>
        <v xml:space="preserve">   Revestimento vegetal por hidrossemeadura</v>
      </c>
    </row>
    <row r="3178" spans="1:50" ht="15.6" customHeight="1">
      <c r="A3178" s="8" t="str">
        <f t="shared" ref="A3178" si="12966">A3177</f>
        <v>N</v>
      </c>
      <c r="B3178" s="150">
        <v>1068868</v>
      </c>
      <c r="C3178" s="150" t="s">
        <v>3600</v>
      </c>
      <c r="D3178" s="120" t="s">
        <v>3601</v>
      </c>
      <c r="E3178" s="893"/>
      <c r="F3178" s="895"/>
      <c r="G3178" s="528"/>
      <c r="H3178" s="549" t="s">
        <v>38</v>
      </c>
      <c r="I3178" s="711">
        <v>0</v>
      </c>
      <c r="J3178" s="897"/>
      <c r="K3178" s="528"/>
      <c r="L3178" s="549" t="s">
        <v>38</v>
      </c>
      <c r="M3178" s="711">
        <f t="shared" si="12851"/>
        <v>0</v>
      </c>
      <c r="N3178" s="897"/>
      <c r="O3178" s="528"/>
      <c r="P3178" s="548">
        <v>0</v>
      </c>
      <c r="Q3178" s="548">
        <v>0</v>
      </c>
      <c r="R3178" s="548">
        <v>0</v>
      </c>
      <c r="S3178" s="548">
        <v>0</v>
      </c>
      <c r="T3178" s="548">
        <v>0</v>
      </c>
      <c r="U3178" s="548">
        <v>0</v>
      </c>
      <c r="V3178" s="548"/>
      <c r="W3178" s="528"/>
      <c r="X3178" s="711">
        <f t="shared" si="12844"/>
        <v>0</v>
      </c>
      <c r="Y3178" s="897"/>
      <c r="Z3178" s="528"/>
      <c r="AA3178" s="899"/>
      <c r="AB3178" s="899"/>
      <c r="AC3178" s="899"/>
      <c r="AD3178" s="897"/>
      <c r="AE3178" s="2"/>
      <c r="AF3178" s="885"/>
      <c r="AG3178" s="885"/>
      <c r="AH3178" s="885"/>
      <c r="AI3178" s="885"/>
      <c r="AJ3178" s="885"/>
      <c r="AK3178" s="885"/>
      <c r="AL3178" s="885"/>
      <c r="AM3178" s="879"/>
      <c r="AN3178" s="2"/>
      <c r="AO3178" s="886"/>
      <c r="AP3178" s="886"/>
      <c r="AV3178" t="str">
        <f t="shared" si="12839"/>
        <v>Revegetação - Hidrossemeadura</v>
      </c>
      <c r="AW3178" s="4" t="str">
        <f t="shared" si="12840"/>
        <v xml:space="preserve">   Revestimento vegetal por hidrossemeadura</v>
      </c>
    </row>
    <row r="3179" spans="1:50" ht="15.6" customHeight="1">
      <c r="A3179" s="8" t="str">
        <f t="shared" ref="A3179" si="12967">IF(SUM(P3179:V3180)&gt;0,"S","N")</f>
        <v>N</v>
      </c>
      <c r="B3179" s="150">
        <v>1068869</v>
      </c>
      <c r="C3179" s="150" t="s">
        <v>3602</v>
      </c>
      <c r="D3179" s="120" t="s">
        <v>3603</v>
      </c>
      <c r="E3179" s="892" t="s">
        <v>3302</v>
      </c>
      <c r="F3179" s="894" t="s">
        <v>3210</v>
      </c>
      <c r="G3179" s="528"/>
      <c r="H3179" s="546" t="s">
        <v>37</v>
      </c>
      <c r="I3179" s="711">
        <v>0</v>
      </c>
      <c r="J3179" s="896" t="str">
        <f t="shared" ref="J3179" si="12968">IFERROR((I3180/I3179),"-")</f>
        <v>-</v>
      </c>
      <c r="K3179" s="528"/>
      <c r="L3179" s="546" t="s">
        <v>37</v>
      </c>
      <c r="M3179" s="711">
        <f t="shared" si="12851"/>
        <v>0</v>
      </c>
      <c r="N3179" s="896" t="str">
        <f t="shared" ref="N3179" si="12969">IFERROR((M3180/M3179),"-")</f>
        <v>-</v>
      </c>
      <c r="O3179" s="528"/>
      <c r="P3179" s="547">
        <v>0</v>
      </c>
      <c r="Q3179" s="547">
        <v>0</v>
      </c>
      <c r="R3179" s="547">
        <v>0</v>
      </c>
      <c r="S3179" s="547">
        <v>0</v>
      </c>
      <c r="T3179" s="547">
        <v>0</v>
      </c>
      <c r="U3179" s="547">
        <v>0</v>
      </c>
      <c r="V3179" s="548">
        <v>0</v>
      </c>
      <c r="W3179" s="528"/>
      <c r="X3179" s="711">
        <f t="shared" si="12844"/>
        <v>0</v>
      </c>
      <c r="Y3179" s="896" t="str">
        <f t="shared" ref="Y3179" si="12970">IFERROR((X3180/X3179),"-")</f>
        <v>-</v>
      </c>
      <c r="Z3179" s="528"/>
      <c r="AA3179" s="898">
        <v>0</v>
      </c>
      <c r="AB3179" s="898">
        <v>0</v>
      </c>
      <c r="AC3179" s="898">
        <v>0</v>
      </c>
      <c r="AD3179" s="896" t="str">
        <f t="shared" ref="AD3179" si="12971">IFERROR((AC3179/AA3179),"-")</f>
        <v>-</v>
      </c>
      <c r="AE3179" s="2"/>
      <c r="AF3179" s="884">
        <v>0</v>
      </c>
      <c r="AG3179" s="884"/>
      <c r="AH3179" s="884">
        <v>0</v>
      </c>
      <c r="AI3179" s="884"/>
      <c r="AJ3179" s="884"/>
      <c r="AK3179" s="884">
        <f t="shared" ref="AK3179" si="12972">AF3179+AG3179+AH3179+AI3179+AJ3179+AC3179</f>
        <v>0</v>
      </c>
      <c r="AL3179" s="884">
        <v>0</v>
      </c>
      <c r="AM3179" s="878" t="str">
        <f t="shared" ref="AM3179" si="12973">IFERROR((AK3179/AL3179),"-")</f>
        <v>-</v>
      </c>
      <c r="AN3179" s="2"/>
      <c r="AO3179" s="884">
        <v>256.27</v>
      </c>
      <c r="AP3179" s="884">
        <f t="shared" ref="AP3179" si="12974">AO3179-AK3179</f>
        <v>256.27</v>
      </c>
      <c r="AV3179" t="str">
        <f t="shared" si="12839"/>
        <v>Revegetação - Hidrossemeadura</v>
      </c>
      <c r="AW3179" s="4" t="str">
        <f t="shared" si="12840"/>
        <v xml:space="preserve">   Revestimento vegetal por hidrossemeadura</v>
      </c>
    </row>
    <row r="3180" spans="1:50" ht="15.6" customHeight="1">
      <c r="A3180" s="8" t="str">
        <f t="shared" ref="A3180" si="12975">A3179</f>
        <v>N</v>
      </c>
      <c r="B3180" s="150">
        <v>1068869</v>
      </c>
      <c r="C3180" s="150" t="s">
        <v>3602</v>
      </c>
      <c r="D3180" s="120" t="s">
        <v>3603</v>
      </c>
      <c r="E3180" s="893"/>
      <c r="F3180" s="895"/>
      <c r="G3180" s="528"/>
      <c r="H3180" s="549" t="s">
        <v>38</v>
      </c>
      <c r="I3180" s="711">
        <v>0</v>
      </c>
      <c r="J3180" s="897"/>
      <c r="K3180" s="528"/>
      <c r="L3180" s="549" t="s">
        <v>38</v>
      </c>
      <c r="M3180" s="711">
        <f t="shared" si="12851"/>
        <v>0</v>
      </c>
      <c r="N3180" s="897"/>
      <c r="O3180" s="528"/>
      <c r="P3180" s="548">
        <v>0</v>
      </c>
      <c r="Q3180" s="548">
        <v>0</v>
      </c>
      <c r="R3180" s="548">
        <v>0</v>
      </c>
      <c r="S3180" s="548">
        <v>0</v>
      </c>
      <c r="T3180" s="548">
        <v>0</v>
      </c>
      <c r="U3180" s="548">
        <v>0</v>
      </c>
      <c r="V3180" s="548"/>
      <c r="W3180" s="528"/>
      <c r="X3180" s="711">
        <f t="shared" si="12844"/>
        <v>0</v>
      </c>
      <c r="Y3180" s="897"/>
      <c r="Z3180" s="528"/>
      <c r="AA3180" s="899"/>
      <c r="AB3180" s="899"/>
      <c r="AC3180" s="899"/>
      <c r="AD3180" s="897"/>
      <c r="AE3180" s="2"/>
      <c r="AF3180" s="885"/>
      <c r="AG3180" s="885"/>
      <c r="AH3180" s="885"/>
      <c r="AI3180" s="885"/>
      <c r="AJ3180" s="885"/>
      <c r="AK3180" s="885"/>
      <c r="AL3180" s="885"/>
      <c r="AM3180" s="879"/>
      <c r="AN3180" s="2"/>
      <c r="AO3180" s="886"/>
      <c r="AP3180" s="886"/>
      <c r="AV3180" t="str">
        <f t="shared" si="12839"/>
        <v>Revegetação - Hidrossemeadura</v>
      </c>
      <c r="AW3180" s="4" t="str">
        <f t="shared" si="12840"/>
        <v xml:space="preserve">   Revestimento vegetal por hidrossemeadura</v>
      </c>
    </row>
    <row r="3181" spans="1:50" ht="15.6" customHeight="1">
      <c r="A3181" s="8" t="str">
        <f t="shared" ref="A3181" si="12976">IF(SUM(P3181:V3182)&gt;0,"S","N")</f>
        <v>N</v>
      </c>
      <c r="B3181" s="150">
        <v>1068870</v>
      </c>
      <c r="C3181" s="150" t="s">
        <v>3604</v>
      </c>
      <c r="D3181" s="120" t="s">
        <v>3605</v>
      </c>
      <c r="E3181" s="892" t="s">
        <v>3302</v>
      </c>
      <c r="F3181" s="894" t="s">
        <v>3210</v>
      </c>
      <c r="G3181" s="528"/>
      <c r="H3181" s="546" t="s">
        <v>37</v>
      </c>
      <c r="I3181" s="711">
        <v>0</v>
      </c>
      <c r="J3181" s="896" t="str">
        <f t="shared" ref="J3181" si="12977">IFERROR((I3182/I3181),"-")</f>
        <v>-</v>
      </c>
      <c r="K3181" s="528"/>
      <c r="L3181" s="546" t="s">
        <v>37</v>
      </c>
      <c r="M3181" s="711">
        <f t="shared" si="12851"/>
        <v>0</v>
      </c>
      <c r="N3181" s="896" t="str">
        <f t="shared" ref="N3181" si="12978">IFERROR((M3182/M3181),"-")</f>
        <v>-</v>
      </c>
      <c r="O3181" s="528"/>
      <c r="P3181" s="547">
        <v>0</v>
      </c>
      <c r="Q3181" s="547">
        <v>0</v>
      </c>
      <c r="R3181" s="547">
        <v>0</v>
      </c>
      <c r="S3181" s="547">
        <v>0</v>
      </c>
      <c r="T3181" s="547">
        <v>0</v>
      </c>
      <c r="U3181" s="547">
        <v>0</v>
      </c>
      <c r="V3181" s="548">
        <v>0</v>
      </c>
      <c r="W3181" s="528"/>
      <c r="X3181" s="711">
        <f t="shared" si="12844"/>
        <v>0</v>
      </c>
      <c r="Y3181" s="896" t="str">
        <f t="shared" ref="Y3181" si="12979">IFERROR((X3182/X3181),"-")</f>
        <v>-</v>
      </c>
      <c r="Z3181" s="528"/>
      <c r="AA3181" s="898">
        <v>0</v>
      </c>
      <c r="AB3181" s="898">
        <v>0</v>
      </c>
      <c r="AC3181" s="898">
        <v>0</v>
      </c>
      <c r="AD3181" s="896" t="str">
        <f t="shared" ref="AD3181" si="12980">IFERROR((AC3181/AA3181),"-")</f>
        <v>-</v>
      </c>
      <c r="AE3181" s="2"/>
      <c r="AF3181" s="884">
        <v>0</v>
      </c>
      <c r="AG3181" s="884"/>
      <c r="AH3181" s="884">
        <v>0</v>
      </c>
      <c r="AI3181" s="884"/>
      <c r="AJ3181" s="884"/>
      <c r="AK3181" s="884">
        <f t="shared" ref="AK3181" si="12981">AF3181+AG3181+AH3181+AI3181+AJ3181+AC3181</f>
        <v>0</v>
      </c>
      <c r="AL3181" s="884">
        <v>0</v>
      </c>
      <c r="AM3181" s="878" t="str">
        <f t="shared" ref="AM3181" si="12982">IFERROR((AK3181/AL3181),"-")</f>
        <v>-</v>
      </c>
      <c r="AN3181" s="2"/>
      <c r="AO3181" s="884">
        <v>35.909999999999997</v>
      </c>
      <c r="AP3181" s="884">
        <f t="shared" ref="AP3181" si="12983">AO3181-AK3181</f>
        <v>35.909999999999997</v>
      </c>
      <c r="AV3181" t="str">
        <f t="shared" si="12839"/>
        <v>Revegetação - Hidrossemeadura</v>
      </c>
      <c r="AW3181" s="4" t="str">
        <f t="shared" si="12840"/>
        <v xml:space="preserve">   Revestimento vegetal por hidrossemeadura</v>
      </c>
    </row>
    <row r="3182" spans="1:50" ht="14.45" customHeight="1">
      <c r="A3182" s="8" t="str">
        <f t="shared" ref="A3182" si="12984">A3181</f>
        <v>N</v>
      </c>
      <c r="B3182" s="150">
        <v>1068870</v>
      </c>
      <c r="C3182" s="150" t="s">
        <v>3604</v>
      </c>
      <c r="D3182" s="120" t="s">
        <v>3605</v>
      </c>
      <c r="E3182" s="893"/>
      <c r="F3182" s="895"/>
      <c r="G3182" s="528"/>
      <c r="H3182" s="549" t="s">
        <v>38</v>
      </c>
      <c r="I3182" s="711">
        <v>0</v>
      </c>
      <c r="J3182" s="897"/>
      <c r="K3182" s="528"/>
      <c r="L3182" s="549" t="s">
        <v>38</v>
      </c>
      <c r="M3182" s="711">
        <f t="shared" si="12851"/>
        <v>0</v>
      </c>
      <c r="N3182" s="897"/>
      <c r="O3182" s="528"/>
      <c r="P3182" s="548">
        <v>0</v>
      </c>
      <c r="Q3182" s="548">
        <v>0</v>
      </c>
      <c r="R3182" s="548">
        <v>0</v>
      </c>
      <c r="S3182" s="548">
        <v>0</v>
      </c>
      <c r="T3182" s="548">
        <v>0</v>
      </c>
      <c r="U3182" s="548">
        <v>0</v>
      </c>
      <c r="V3182" s="548"/>
      <c r="W3182" s="528"/>
      <c r="X3182" s="711">
        <f t="shared" si="12844"/>
        <v>0</v>
      </c>
      <c r="Y3182" s="897"/>
      <c r="Z3182" s="528"/>
      <c r="AA3182" s="899"/>
      <c r="AB3182" s="899"/>
      <c r="AC3182" s="899"/>
      <c r="AD3182" s="897"/>
      <c r="AE3182" s="2"/>
      <c r="AF3182" s="885"/>
      <c r="AG3182" s="885"/>
      <c r="AH3182" s="885"/>
      <c r="AI3182" s="885"/>
      <c r="AJ3182" s="885"/>
      <c r="AK3182" s="885"/>
      <c r="AL3182" s="885"/>
      <c r="AM3182" s="879"/>
      <c r="AN3182" s="2"/>
      <c r="AO3182" s="886"/>
      <c r="AP3182" s="886"/>
      <c r="AV3182" t="str">
        <f t="shared" si="12839"/>
        <v>Revegetação - Hidrossemeadura</v>
      </c>
      <c r="AW3182" s="4" t="str">
        <f t="shared" si="12840"/>
        <v xml:space="preserve">   Revestimento vegetal por hidrossemeadura</v>
      </c>
    </row>
    <row r="3183" spans="1:50" ht="14.45" customHeight="1">
      <c r="A3183" s="8" t="str">
        <f t="shared" ref="A3183" si="12985">IF(SUM(P3183:V3184)&gt;0,"S","N")</f>
        <v>N</v>
      </c>
      <c r="B3183" s="150">
        <v>1068871</v>
      </c>
      <c r="C3183" s="150" t="s">
        <v>3606</v>
      </c>
      <c r="D3183" s="120" t="s">
        <v>3607</v>
      </c>
      <c r="E3183" s="892" t="s">
        <v>3302</v>
      </c>
      <c r="F3183" s="894" t="s">
        <v>3210</v>
      </c>
      <c r="G3183" s="528"/>
      <c r="H3183" s="546" t="s">
        <v>37</v>
      </c>
      <c r="I3183" s="711">
        <v>0</v>
      </c>
      <c r="J3183" s="896" t="str">
        <f t="shared" ref="J3183" si="12986">IFERROR((I3184/I3183),"-")</f>
        <v>-</v>
      </c>
      <c r="K3183" s="528"/>
      <c r="L3183" s="546" t="s">
        <v>37</v>
      </c>
      <c r="M3183" s="711">
        <f t="shared" si="12851"/>
        <v>0</v>
      </c>
      <c r="N3183" s="896" t="str">
        <f t="shared" ref="N3183" si="12987">IFERROR((M3184/M3183),"-")</f>
        <v>-</v>
      </c>
      <c r="O3183" s="528"/>
      <c r="P3183" s="547">
        <v>0</v>
      </c>
      <c r="Q3183" s="547">
        <v>0</v>
      </c>
      <c r="R3183" s="547">
        <v>0</v>
      </c>
      <c r="S3183" s="547">
        <v>0</v>
      </c>
      <c r="T3183" s="547">
        <v>0</v>
      </c>
      <c r="U3183" s="547">
        <v>0</v>
      </c>
      <c r="V3183" s="548">
        <v>0</v>
      </c>
      <c r="W3183" s="528"/>
      <c r="X3183" s="711">
        <f t="shared" si="12844"/>
        <v>0</v>
      </c>
      <c r="Y3183" s="896" t="str">
        <f t="shared" ref="Y3183" si="12988">IFERROR((X3184/X3183),"-")</f>
        <v>-</v>
      </c>
      <c r="Z3183" s="528"/>
      <c r="AA3183" s="898">
        <v>0</v>
      </c>
      <c r="AB3183" s="898">
        <v>0</v>
      </c>
      <c r="AC3183" s="898">
        <v>0</v>
      </c>
      <c r="AD3183" s="896" t="str">
        <f t="shared" ref="AD3183" si="12989">IFERROR((AC3183/AA3183),"-")</f>
        <v>-</v>
      </c>
      <c r="AE3183" s="2"/>
      <c r="AF3183" s="884">
        <v>0</v>
      </c>
      <c r="AG3183" s="884"/>
      <c r="AH3183" s="884">
        <v>0</v>
      </c>
      <c r="AI3183" s="884"/>
      <c r="AJ3183" s="884"/>
      <c r="AK3183" s="884">
        <f t="shared" ref="AK3183" si="12990">AF3183+AG3183+AH3183+AI3183+AJ3183+AC3183</f>
        <v>0</v>
      </c>
      <c r="AL3183" s="884">
        <v>0</v>
      </c>
      <c r="AM3183" s="878" t="str">
        <f t="shared" ref="AM3183" si="12991">IFERROR((AK3183/AL3183),"-")</f>
        <v>-</v>
      </c>
      <c r="AN3183" s="2"/>
      <c r="AO3183" s="884">
        <v>2720.5</v>
      </c>
      <c r="AP3183" s="884">
        <f t="shared" ref="AP3183" si="12992">AO3183-AK3183</f>
        <v>2720.5</v>
      </c>
      <c r="AV3183" t="str">
        <f t="shared" si="12839"/>
        <v>Revegetação - Hidrossemeadura</v>
      </c>
      <c r="AW3183" s="4" t="str">
        <f t="shared" si="12840"/>
        <v xml:space="preserve">   Revestimento vegetal por hidrossemeadura</v>
      </c>
    </row>
    <row r="3184" spans="1:50" ht="14.45" customHeight="1">
      <c r="A3184" s="8" t="str">
        <f t="shared" ref="A3184" si="12993">A3183</f>
        <v>N</v>
      </c>
      <c r="B3184" s="150">
        <v>1068871</v>
      </c>
      <c r="C3184" s="150" t="s">
        <v>3606</v>
      </c>
      <c r="D3184" s="120" t="s">
        <v>3607</v>
      </c>
      <c r="E3184" s="893"/>
      <c r="F3184" s="895"/>
      <c r="G3184" s="528"/>
      <c r="H3184" s="549" t="s">
        <v>38</v>
      </c>
      <c r="I3184" s="711">
        <v>0</v>
      </c>
      <c r="J3184" s="897"/>
      <c r="K3184" s="528"/>
      <c r="L3184" s="549" t="s">
        <v>38</v>
      </c>
      <c r="M3184" s="711">
        <f t="shared" si="12851"/>
        <v>0</v>
      </c>
      <c r="N3184" s="897"/>
      <c r="O3184" s="528"/>
      <c r="P3184" s="548">
        <v>0</v>
      </c>
      <c r="Q3184" s="548">
        <v>0</v>
      </c>
      <c r="R3184" s="548">
        <v>0</v>
      </c>
      <c r="S3184" s="548">
        <v>0</v>
      </c>
      <c r="T3184" s="548">
        <v>0</v>
      </c>
      <c r="U3184" s="548">
        <v>0</v>
      </c>
      <c r="V3184" s="548"/>
      <c r="W3184" s="528"/>
      <c r="X3184" s="711">
        <f t="shared" si="12844"/>
        <v>0</v>
      </c>
      <c r="Y3184" s="897"/>
      <c r="Z3184" s="528"/>
      <c r="AA3184" s="899"/>
      <c r="AB3184" s="899"/>
      <c r="AC3184" s="899"/>
      <c r="AD3184" s="897"/>
      <c r="AE3184" s="2"/>
      <c r="AF3184" s="885"/>
      <c r="AG3184" s="885"/>
      <c r="AH3184" s="885"/>
      <c r="AI3184" s="885"/>
      <c r="AJ3184" s="885"/>
      <c r="AK3184" s="885"/>
      <c r="AL3184" s="885"/>
      <c r="AM3184" s="879"/>
      <c r="AN3184" s="2"/>
      <c r="AO3184" s="886"/>
      <c r="AP3184" s="886"/>
      <c r="AV3184" t="str">
        <f t="shared" si="12839"/>
        <v>Revegetação - Hidrossemeadura</v>
      </c>
      <c r="AW3184" s="4" t="str">
        <f t="shared" si="12840"/>
        <v xml:space="preserve">   Revestimento vegetal por hidrossemeadura</v>
      </c>
    </row>
    <row r="3185" spans="1:50" ht="15.6" customHeight="1">
      <c r="A3185" s="8" t="str">
        <f t="shared" ref="A3185" si="12994">IF(SUM(P3185:V3186)&gt;0,"S","N")</f>
        <v>N</v>
      </c>
      <c r="B3185" s="150">
        <v>1068878</v>
      </c>
      <c r="C3185" s="150" t="s">
        <v>3608</v>
      </c>
      <c r="D3185" s="120" t="s">
        <v>3609</v>
      </c>
      <c r="E3185" s="892" t="s">
        <v>3302</v>
      </c>
      <c r="F3185" s="894" t="s">
        <v>3210</v>
      </c>
      <c r="G3185" s="528"/>
      <c r="H3185" s="546" t="s">
        <v>37</v>
      </c>
      <c r="I3185" s="711">
        <v>0</v>
      </c>
      <c r="J3185" s="896" t="str">
        <f t="shared" ref="J3185" si="12995">IFERROR((I3186/I3185),"-")</f>
        <v>-</v>
      </c>
      <c r="K3185" s="528"/>
      <c r="L3185" s="546" t="s">
        <v>37</v>
      </c>
      <c r="M3185" s="711">
        <f t="shared" si="12851"/>
        <v>0</v>
      </c>
      <c r="N3185" s="896" t="str">
        <f t="shared" ref="N3185" si="12996">IFERROR((M3186/M3185),"-")</f>
        <v>-</v>
      </c>
      <c r="O3185" s="528"/>
      <c r="P3185" s="547">
        <v>0</v>
      </c>
      <c r="Q3185" s="547">
        <v>0</v>
      </c>
      <c r="R3185" s="547">
        <v>0</v>
      </c>
      <c r="S3185" s="547">
        <v>0</v>
      </c>
      <c r="T3185" s="547">
        <v>0</v>
      </c>
      <c r="U3185" s="547">
        <v>0</v>
      </c>
      <c r="V3185" s="548">
        <v>0</v>
      </c>
      <c r="W3185" s="528"/>
      <c r="X3185" s="711">
        <f t="shared" si="12844"/>
        <v>0</v>
      </c>
      <c r="Y3185" s="896" t="str">
        <f t="shared" ref="Y3185" si="12997">IFERROR((X3186/X3185),"-")</f>
        <v>-</v>
      </c>
      <c r="Z3185" s="528"/>
      <c r="AA3185" s="898">
        <v>0</v>
      </c>
      <c r="AB3185" s="898">
        <v>0</v>
      </c>
      <c r="AC3185" s="898">
        <v>0</v>
      </c>
      <c r="AD3185" s="896" t="str">
        <f t="shared" ref="AD3185" si="12998">IFERROR((AC3185/AA3185),"-")</f>
        <v>-</v>
      </c>
      <c r="AE3185" s="2"/>
      <c r="AF3185" s="884">
        <v>0</v>
      </c>
      <c r="AG3185" s="884"/>
      <c r="AH3185" s="884">
        <v>0</v>
      </c>
      <c r="AI3185" s="884"/>
      <c r="AJ3185" s="884"/>
      <c r="AK3185" s="884">
        <f t="shared" ref="AK3185" si="12999">AF3185+AG3185+AH3185+AI3185+AJ3185+AC3185</f>
        <v>0</v>
      </c>
      <c r="AL3185" s="884">
        <v>0</v>
      </c>
      <c r="AM3185" s="878" t="str">
        <f t="shared" ref="AM3185" si="13000">IFERROR((AK3185/AL3185),"-")</f>
        <v>-</v>
      </c>
      <c r="AN3185" s="2"/>
      <c r="AO3185" s="884">
        <v>7341.16</v>
      </c>
      <c r="AP3185" s="884">
        <f t="shared" ref="AP3185" si="13001">AO3185-AK3185</f>
        <v>7341.16</v>
      </c>
      <c r="AV3185" t="str">
        <f t="shared" si="12839"/>
        <v>Revegetação - Hidrossemeadura</v>
      </c>
      <c r="AW3185" s="4" t="str">
        <f t="shared" si="12840"/>
        <v xml:space="preserve">   Revestimento vegetal por hidrossemeadura</v>
      </c>
    </row>
    <row r="3186" spans="1:50" ht="15.6" customHeight="1">
      <c r="A3186" s="8" t="str">
        <f t="shared" ref="A3186" si="13002">A3185</f>
        <v>N</v>
      </c>
      <c r="B3186" s="150">
        <v>1068878</v>
      </c>
      <c r="C3186" s="150" t="s">
        <v>3608</v>
      </c>
      <c r="D3186" s="120" t="s">
        <v>3609</v>
      </c>
      <c r="E3186" s="893"/>
      <c r="F3186" s="895"/>
      <c r="G3186" s="528"/>
      <c r="H3186" s="549" t="s">
        <v>38</v>
      </c>
      <c r="I3186" s="711">
        <v>0</v>
      </c>
      <c r="J3186" s="897"/>
      <c r="K3186" s="528"/>
      <c r="L3186" s="549" t="s">
        <v>38</v>
      </c>
      <c r="M3186" s="711">
        <f t="shared" si="12851"/>
        <v>0</v>
      </c>
      <c r="N3186" s="897"/>
      <c r="O3186" s="528"/>
      <c r="P3186" s="548">
        <v>0</v>
      </c>
      <c r="Q3186" s="548">
        <v>0</v>
      </c>
      <c r="R3186" s="548">
        <v>0</v>
      </c>
      <c r="S3186" s="548">
        <v>0</v>
      </c>
      <c r="T3186" s="548">
        <v>0</v>
      </c>
      <c r="U3186" s="548">
        <v>0</v>
      </c>
      <c r="V3186" s="548"/>
      <c r="W3186" s="528"/>
      <c r="X3186" s="711">
        <f t="shared" si="12844"/>
        <v>0</v>
      </c>
      <c r="Y3186" s="897"/>
      <c r="Z3186" s="528"/>
      <c r="AA3186" s="899"/>
      <c r="AB3186" s="899"/>
      <c r="AC3186" s="899"/>
      <c r="AD3186" s="897"/>
      <c r="AE3186" s="2"/>
      <c r="AF3186" s="885"/>
      <c r="AG3186" s="885"/>
      <c r="AH3186" s="885"/>
      <c r="AI3186" s="885"/>
      <c r="AJ3186" s="885"/>
      <c r="AK3186" s="885"/>
      <c r="AL3186" s="885"/>
      <c r="AM3186" s="879"/>
      <c r="AN3186" s="2"/>
      <c r="AO3186" s="886"/>
      <c r="AP3186" s="886"/>
      <c r="AV3186" t="str">
        <f t="shared" si="12839"/>
        <v>Revegetação - Hidrossemeadura</v>
      </c>
      <c r="AW3186" s="4" t="str">
        <f t="shared" si="12840"/>
        <v xml:space="preserve">   Revestimento vegetal por hidrossemeadura</v>
      </c>
    </row>
    <row r="3187" spans="1:50" ht="15.6" customHeight="1">
      <c r="A3187" s="8" t="str">
        <f t="shared" ref="A3187" si="13003">IF(SUM(P3187:V3188)&gt;0,"S","N")</f>
        <v>N</v>
      </c>
      <c r="B3187" s="150">
        <v>1068879</v>
      </c>
      <c r="C3187" s="150" t="s">
        <v>3610</v>
      </c>
      <c r="D3187" s="120" t="s">
        <v>3611</v>
      </c>
      <c r="E3187" s="892" t="s">
        <v>3302</v>
      </c>
      <c r="F3187" s="894" t="s">
        <v>3210</v>
      </c>
      <c r="G3187" s="528"/>
      <c r="H3187" s="546" t="s">
        <v>37</v>
      </c>
      <c r="I3187" s="711">
        <v>0</v>
      </c>
      <c r="J3187" s="896" t="str">
        <f t="shared" ref="J3187" si="13004">IFERROR((I3188/I3187),"-")</f>
        <v>-</v>
      </c>
      <c r="K3187" s="528"/>
      <c r="L3187" s="546" t="s">
        <v>37</v>
      </c>
      <c r="M3187" s="711">
        <f t="shared" si="12851"/>
        <v>0</v>
      </c>
      <c r="N3187" s="896" t="str">
        <f t="shared" ref="N3187" si="13005">IFERROR((M3188/M3187),"-")</f>
        <v>-</v>
      </c>
      <c r="O3187" s="528"/>
      <c r="P3187" s="547">
        <v>0</v>
      </c>
      <c r="Q3187" s="547">
        <v>0</v>
      </c>
      <c r="R3187" s="547">
        <v>0</v>
      </c>
      <c r="S3187" s="547">
        <v>0</v>
      </c>
      <c r="T3187" s="547">
        <v>0</v>
      </c>
      <c r="U3187" s="547">
        <v>0</v>
      </c>
      <c r="V3187" s="548">
        <v>0</v>
      </c>
      <c r="W3187" s="528"/>
      <c r="X3187" s="711">
        <f t="shared" si="12844"/>
        <v>0</v>
      </c>
      <c r="Y3187" s="896" t="str">
        <f t="shared" ref="Y3187" si="13006">IFERROR((X3188/X3187),"-")</f>
        <v>-</v>
      </c>
      <c r="Z3187" s="528"/>
      <c r="AA3187" s="898">
        <v>0</v>
      </c>
      <c r="AB3187" s="898">
        <v>0</v>
      </c>
      <c r="AC3187" s="898">
        <v>0</v>
      </c>
      <c r="AD3187" s="896" t="str">
        <f t="shared" ref="AD3187" si="13007">IFERROR((AC3187/AA3187),"-")</f>
        <v>-</v>
      </c>
      <c r="AE3187" s="2"/>
      <c r="AF3187" s="884">
        <v>0</v>
      </c>
      <c r="AG3187" s="884"/>
      <c r="AH3187" s="884">
        <v>0</v>
      </c>
      <c r="AI3187" s="884"/>
      <c r="AJ3187" s="884"/>
      <c r="AK3187" s="884">
        <f t="shared" ref="AK3187" si="13008">AF3187+AG3187+AH3187+AI3187+AJ3187+AC3187</f>
        <v>0</v>
      </c>
      <c r="AL3187" s="884">
        <v>0</v>
      </c>
      <c r="AM3187" s="878" t="str">
        <f t="shared" ref="AM3187" si="13009">IFERROR((AK3187/AL3187),"-")</f>
        <v>-</v>
      </c>
      <c r="AN3187" s="2"/>
      <c r="AO3187" s="884">
        <v>1387.03</v>
      </c>
      <c r="AP3187" s="884">
        <f t="shared" ref="AP3187" si="13010">AO3187-AK3187</f>
        <v>1387.03</v>
      </c>
      <c r="AV3187" t="str">
        <f t="shared" si="12839"/>
        <v>Revegetação - Hidrossemeadura</v>
      </c>
      <c r="AW3187" s="4" t="str">
        <f t="shared" si="12840"/>
        <v xml:space="preserve">   Revestimento vegetal por hidrossemeadura</v>
      </c>
    </row>
    <row r="3188" spans="1:50" ht="15.6" customHeight="1">
      <c r="A3188" s="8" t="str">
        <f t="shared" ref="A3188" si="13011">A3187</f>
        <v>N</v>
      </c>
      <c r="B3188" s="150">
        <v>1068879</v>
      </c>
      <c r="C3188" s="150" t="s">
        <v>3610</v>
      </c>
      <c r="D3188" s="120" t="s">
        <v>3611</v>
      </c>
      <c r="E3188" s="893"/>
      <c r="F3188" s="895"/>
      <c r="G3188" s="528"/>
      <c r="H3188" s="549" t="s">
        <v>38</v>
      </c>
      <c r="I3188" s="711">
        <v>0</v>
      </c>
      <c r="J3188" s="897"/>
      <c r="K3188" s="528"/>
      <c r="L3188" s="549" t="s">
        <v>38</v>
      </c>
      <c r="M3188" s="711">
        <f t="shared" si="12851"/>
        <v>0</v>
      </c>
      <c r="N3188" s="897"/>
      <c r="O3188" s="528"/>
      <c r="P3188" s="548">
        <v>0</v>
      </c>
      <c r="Q3188" s="548">
        <v>0</v>
      </c>
      <c r="R3188" s="548">
        <v>0</v>
      </c>
      <c r="S3188" s="548">
        <v>0</v>
      </c>
      <c r="T3188" s="548">
        <v>0</v>
      </c>
      <c r="U3188" s="548">
        <v>0</v>
      </c>
      <c r="V3188" s="548"/>
      <c r="W3188" s="528"/>
      <c r="X3188" s="711">
        <f t="shared" si="12844"/>
        <v>0</v>
      </c>
      <c r="Y3188" s="897"/>
      <c r="Z3188" s="528"/>
      <c r="AA3188" s="899"/>
      <c r="AB3188" s="899"/>
      <c r="AC3188" s="899"/>
      <c r="AD3188" s="897"/>
      <c r="AE3188" s="2"/>
      <c r="AF3188" s="885"/>
      <c r="AG3188" s="885"/>
      <c r="AH3188" s="885"/>
      <c r="AI3188" s="885"/>
      <c r="AJ3188" s="885"/>
      <c r="AK3188" s="885"/>
      <c r="AL3188" s="885"/>
      <c r="AM3188" s="879"/>
      <c r="AN3188" s="2"/>
      <c r="AO3188" s="886"/>
      <c r="AP3188" s="886"/>
      <c r="AV3188" t="str">
        <f t="shared" si="12839"/>
        <v>Revegetação - Hidrossemeadura</v>
      </c>
      <c r="AW3188" s="4" t="str">
        <f t="shared" si="12840"/>
        <v xml:space="preserve">   Revestimento vegetal por hidrossemeadura</v>
      </c>
    </row>
    <row r="3189" spans="1:50" ht="15.6" customHeight="1">
      <c r="A3189" s="8" t="str">
        <f t="shared" ref="A3189" si="13012">IF(SUM(P3189:V3190)&gt;0,"S","N")</f>
        <v>N</v>
      </c>
      <c r="B3189" s="150">
        <v>1068880</v>
      </c>
      <c r="C3189" s="150" t="s">
        <v>3612</v>
      </c>
      <c r="D3189" s="120" t="s">
        <v>3613</v>
      </c>
      <c r="E3189" s="892" t="s">
        <v>3302</v>
      </c>
      <c r="F3189" s="894" t="s">
        <v>3210</v>
      </c>
      <c r="G3189" s="528"/>
      <c r="H3189" s="546" t="s">
        <v>37</v>
      </c>
      <c r="I3189" s="711">
        <v>0</v>
      </c>
      <c r="J3189" s="896" t="str">
        <f t="shared" ref="J3189" si="13013">IFERROR((I3190/I3189),"-")</f>
        <v>-</v>
      </c>
      <c r="K3189" s="528"/>
      <c r="L3189" s="546" t="s">
        <v>37</v>
      </c>
      <c r="M3189" s="711">
        <f t="shared" si="12851"/>
        <v>0</v>
      </c>
      <c r="N3189" s="896" t="str">
        <f t="shared" ref="N3189" si="13014">IFERROR((M3190/M3189),"-")</f>
        <v>-</v>
      </c>
      <c r="O3189" s="528"/>
      <c r="P3189" s="547">
        <v>0</v>
      </c>
      <c r="Q3189" s="547">
        <v>0</v>
      </c>
      <c r="R3189" s="547">
        <v>0</v>
      </c>
      <c r="S3189" s="547">
        <v>0</v>
      </c>
      <c r="T3189" s="547">
        <v>0</v>
      </c>
      <c r="U3189" s="547">
        <v>0</v>
      </c>
      <c r="V3189" s="548">
        <v>0</v>
      </c>
      <c r="W3189" s="528"/>
      <c r="X3189" s="711">
        <f t="shared" si="12844"/>
        <v>0</v>
      </c>
      <c r="Y3189" s="896" t="str">
        <f t="shared" ref="Y3189" si="13015">IFERROR((X3190/X3189),"-")</f>
        <v>-</v>
      </c>
      <c r="Z3189" s="528"/>
      <c r="AA3189" s="898">
        <v>0</v>
      </c>
      <c r="AB3189" s="898">
        <v>0</v>
      </c>
      <c r="AC3189" s="898">
        <v>0</v>
      </c>
      <c r="AD3189" s="896" t="str">
        <f t="shared" ref="AD3189" si="13016">IFERROR((AC3189/AA3189),"-")</f>
        <v>-</v>
      </c>
      <c r="AE3189" s="2"/>
      <c r="AF3189" s="884">
        <v>0</v>
      </c>
      <c r="AG3189" s="884"/>
      <c r="AH3189" s="884">
        <v>0</v>
      </c>
      <c r="AI3189" s="884"/>
      <c r="AJ3189" s="884"/>
      <c r="AK3189" s="884">
        <f t="shared" ref="AK3189" si="13017">AF3189+AG3189+AH3189+AI3189+AJ3189+AC3189</f>
        <v>0</v>
      </c>
      <c r="AL3189" s="884">
        <v>0</v>
      </c>
      <c r="AM3189" s="878" t="str">
        <f t="shared" ref="AM3189" si="13018">IFERROR((AK3189/AL3189),"-")</f>
        <v>-</v>
      </c>
      <c r="AN3189" s="2"/>
      <c r="AO3189" s="884">
        <v>3478.14</v>
      </c>
      <c r="AP3189" s="884">
        <f t="shared" ref="AP3189" si="13019">AO3189-AK3189</f>
        <v>3478.14</v>
      </c>
      <c r="AV3189" t="str">
        <f t="shared" si="12839"/>
        <v>Revegetação - Hidrossemeadura</v>
      </c>
      <c r="AW3189" s="4" t="str">
        <f t="shared" si="12840"/>
        <v xml:space="preserve">   Revestimento vegetal por hidrossemeadura</v>
      </c>
    </row>
    <row r="3190" spans="1:50" ht="15.6" customHeight="1">
      <c r="A3190" s="8" t="str">
        <f t="shared" ref="A3190" si="13020">A3189</f>
        <v>N</v>
      </c>
      <c r="B3190" s="150">
        <v>1068880</v>
      </c>
      <c r="C3190" s="150" t="s">
        <v>3612</v>
      </c>
      <c r="D3190" s="120" t="s">
        <v>3613</v>
      </c>
      <c r="E3190" s="893"/>
      <c r="F3190" s="895"/>
      <c r="G3190" s="528"/>
      <c r="H3190" s="549" t="s">
        <v>38</v>
      </c>
      <c r="I3190" s="711">
        <v>0</v>
      </c>
      <c r="J3190" s="897"/>
      <c r="K3190" s="528"/>
      <c r="L3190" s="549" t="s">
        <v>38</v>
      </c>
      <c r="M3190" s="711">
        <f t="shared" si="12851"/>
        <v>0</v>
      </c>
      <c r="N3190" s="897"/>
      <c r="O3190" s="528"/>
      <c r="P3190" s="548">
        <v>0</v>
      </c>
      <c r="Q3190" s="548">
        <v>0</v>
      </c>
      <c r="R3190" s="548">
        <v>0</v>
      </c>
      <c r="S3190" s="548">
        <v>0</v>
      </c>
      <c r="T3190" s="548">
        <v>0</v>
      </c>
      <c r="U3190" s="548">
        <v>0</v>
      </c>
      <c r="V3190" s="548"/>
      <c r="W3190" s="528"/>
      <c r="X3190" s="711">
        <f t="shared" si="12844"/>
        <v>0</v>
      </c>
      <c r="Y3190" s="897"/>
      <c r="Z3190" s="528"/>
      <c r="AA3190" s="899"/>
      <c r="AB3190" s="899"/>
      <c r="AC3190" s="899"/>
      <c r="AD3190" s="897"/>
      <c r="AE3190" s="2"/>
      <c r="AF3190" s="885"/>
      <c r="AG3190" s="885"/>
      <c r="AH3190" s="885"/>
      <c r="AI3190" s="885"/>
      <c r="AJ3190" s="885"/>
      <c r="AK3190" s="885"/>
      <c r="AL3190" s="885"/>
      <c r="AM3190" s="879"/>
      <c r="AN3190" s="2"/>
      <c r="AO3190" s="886"/>
      <c r="AP3190" s="886"/>
      <c r="AV3190" t="str">
        <f t="shared" si="12839"/>
        <v>Revegetação - Hidrossemeadura</v>
      </c>
      <c r="AW3190" s="4" t="str">
        <f t="shared" si="12840"/>
        <v xml:space="preserve">   Revestimento vegetal por hidrossemeadura</v>
      </c>
    </row>
    <row r="3191" spans="1:50" ht="15.6" customHeight="1">
      <c r="A3191" s="8" t="str">
        <f t="shared" ref="A3191" si="13021">IF(SUM(P3191:V3192)&gt;0,"S","N")</f>
        <v>N</v>
      </c>
      <c r="B3191" s="150">
        <v>1068881</v>
      </c>
      <c r="C3191" s="150" t="s">
        <v>3614</v>
      </c>
      <c r="D3191" s="120" t="s">
        <v>3615</v>
      </c>
      <c r="E3191" s="892" t="s">
        <v>3302</v>
      </c>
      <c r="F3191" s="894" t="s">
        <v>3210</v>
      </c>
      <c r="G3191" s="528"/>
      <c r="H3191" s="546" t="s">
        <v>37</v>
      </c>
      <c r="I3191" s="711">
        <v>0</v>
      </c>
      <c r="J3191" s="896" t="str">
        <f t="shared" ref="J3191" si="13022">IFERROR((I3192/I3191),"-")</f>
        <v>-</v>
      </c>
      <c r="K3191" s="528"/>
      <c r="L3191" s="546" t="s">
        <v>37</v>
      </c>
      <c r="M3191" s="711">
        <f t="shared" si="12851"/>
        <v>0</v>
      </c>
      <c r="N3191" s="896" t="str">
        <f t="shared" ref="N3191" si="13023">IFERROR((M3192/M3191),"-")</f>
        <v>-</v>
      </c>
      <c r="O3191" s="528"/>
      <c r="P3191" s="547">
        <v>0</v>
      </c>
      <c r="Q3191" s="547">
        <v>0</v>
      </c>
      <c r="R3191" s="547">
        <v>0</v>
      </c>
      <c r="S3191" s="547">
        <v>0</v>
      </c>
      <c r="T3191" s="547">
        <v>0</v>
      </c>
      <c r="U3191" s="547">
        <v>0</v>
      </c>
      <c r="V3191" s="548">
        <v>0</v>
      </c>
      <c r="W3191" s="528"/>
      <c r="X3191" s="711">
        <f t="shared" si="12844"/>
        <v>0</v>
      </c>
      <c r="Y3191" s="896" t="str">
        <f t="shared" ref="Y3191" si="13024">IFERROR((X3192/X3191),"-")</f>
        <v>-</v>
      </c>
      <c r="Z3191" s="528"/>
      <c r="AA3191" s="898">
        <v>0</v>
      </c>
      <c r="AB3191" s="898">
        <v>0</v>
      </c>
      <c r="AC3191" s="898">
        <v>0</v>
      </c>
      <c r="AD3191" s="896" t="str">
        <f t="shared" ref="AD3191" si="13025">IFERROR((AC3191/AA3191),"-")</f>
        <v>-</v>
      </c>
      <c r="AE3191" s="2"/>
      <c r="AF3191" s="884">
        <v>0</v>
      </c>
      <c r="AG3191" s="884"/>
      <c r="AH3191" s="884">
        <v>0</v>
      </c>
      <c r="AI3191" s="884"/>
      <c r="AJ3191" s="884"/>
      <c r="AK3191" s="884">
        <f t="shared" ref="AK3191" si="13026">AF3191+AG3191+AH3191+AI3191+AJ3191+AC3191</f>
        <v>0</v>
      </c>
      <c r="AL3191" s="884">
        <v>0</v>
      </c>
      <c r="AM3191" s="878" t="str">
        <f t="shared" ref="AM3191" si="13027">IFERROR((AK3191/AL3191),"-")</f>
        <v>-</v>
      </c>
      <c r="AN3191" s="2"/>
      <c r="AO3191" s="884">
        <v>0</v>
      </c>
      <c r="AP3191" s="884">
        <f t="shared" ref="AP3191" si="13028">AO3191-AK3191</f>
        <v>0</v>
      </c>
      <c r="AV3191" t="str">
        <f t="shared" si="12839"/>
        <v>Revegetação - Hidrossemeadura</v>
      </c>
      <c r="AW3191" s="4" t="str">
        <f t="shared" si="12840"/>
        <v xml:space="preserve">   Revestimento vegetal por hidrossemeadura</v>
      </c>
    </row>
    <row r="3192" spans="1:50" ht="15.6" customHeight="1">
      <c r="A3192" s="8" t="str">
        <f t="shared" ref="A3192" si="13029">A3191</f>
        <v>N</v>
      </c>
      <c r="B3192" s="150">
        <v>1068881</v>
      </c>
      <c r="C3192" s="150" t="s">
        <v>3614</v>
      </c>
      <c r="D3192" s="120" t="s">
        <v>3615</v>
      </c>
      <c r="E3192" s="893"/>
      <c r="F3192" s="895"/>
      <c r="G3192" s="528"/>
      <c r="H3192" s="549" t="s">
        <v>38</v>
      </c>
      <c r="I3192" s="711">
        <v>0</v>
      </c>
      <c r="J3192" s="897"/>
      <c r="K3192" s="528"/>
      <c r="L3192" s="549" t="s">
        <v>38</v>
      </c>
      <c r="M3192" s="711">
        <f t="shared" si="12851"/>
        <v>0</v>
      </c>
      <c r="N3192" s="897"/>
      <c r="O3192" s="528"/>
      <c r="P3192" s="548">
        <v>0</v>
      </c>
      <c r="Q3192" s="548">
        <v>0</v>
      </c>
      <c r="R3192" s="548">
        <v>0</v>
      </c>
      <c r="S3192" s="548">
        <v>0</v>
      </c>
      <c r="T3192" s="548">
        <v>0</v>
      </c>
      <c r="U3192" s="548">
        <v>0</v>
      </c>
      <c r="V3192" s="548"/>
      <c r="W3192" s="528"/>
      <c r="X3192" s="711">
        <f t="shared" si="12844"/>
        <v>0</v>
      </c>
      <c r="Y3192" s="897"/>
      <c r="Z3192" s="528"/>
      <c r="AA3192" s="899"/>
      <c r="AB3192" s="899"/>
      <c r="AC3192" s="899"/>
      <c r="AD3192" s="897"/>
      <c r="AE3192" s="2"/>
      <c r="AF3192" s="885"/>
      <c r="AG3192" s="885"/>
      <c r="AH3192" s="885"/>
      <c r="AI3192" s="885"/>
      <c r="AJ3192" s="885"/>
      <c r="AK3192" s="885"/>
      <c r="AL3192" s="885"/>
      <c r="AM3192" s="879"/>
      <c r="AN3192" s="2"/>
      <c r="AO3192" s="886"/>
      <c r="AP3192" s="886"/>
      <c r="AV3192" t="str">
        <f t="shared" si="12839"/>
        <v>Revegetação - Hidrossemeadura</v>
      </c>
      <c r="AW3192" s="4" t="str">
        <f t="shared" si="12840"/>
        <v xml:space="preserve">   Revestimento vegetal por hidrossemeadura</v>
      </c>
    </row>
    <row r="3193" spans="1:50" ht="14.45" customHeight="1">
      <c r="A3193" s="8" t="str">
        <f t="shared" ref="A3193" si="13030">IF(SUM(P3193:V3194)&gt;0,"S","N")</f>
        <v>N</v>
      </c>
      <c r="B3193" s="150">
        <v>1068882</v>
      </c>
      <c r="C3193" s="150" t="s">
        <v>3616</v>
      </c>
      <c r="D3193" s="120" t="s">
        <v>3617</v>
      </c>
      <c r="E3193" s="892" t="s">
        <v>3302</v>
      </c>
      <c r="F3193" s="894" t="s">
        <v>3210</v>
      </c>
      <c r="G3193" s="528"/>
      <c r="H3193" s="546" t="s">
        <v>37</v>
      </c>
      <c r="I3193" s="711">
        <v>0</v>
      </c>
      <c r="J3193" s="896" t="str">
        <f t="shared" ref="J3193" si="13031">IFERROR((I3194/I3193),"-")</f>
        <v>-</v>
      </c>
      <c r="K3193" s="528"/>
      <c r="L3193" s="546" t="s">
        <v>37</v>
      </c>
      <c r="M3193" s="711">
        <f t="shared" si="12851"/>
        <v>0</v>
      </c>
      <c r="N3193" s="896" t="str">
        <f t="shared" ref="N3193" si="13032">IFERROR((M3194/M3193),"-")</f>
        <v>-</v>
      </c>
      <c r="O3193" s="528"/>
      <c r="P3193" s="547">
        <v>0</v>
      </c>
      <c r="Q3193" s="547">
        <v>0</v>
      </c>
      <c r="R3193" s="547">
        <v>0</v>
      </c>
      <c r="S3193" s="547">
        <v>0</v>
      </c>
      <c r="T3193" s="547">
        <v>0</v>
      </c>
      <c r="U3193" s="547">
        <v>0</v>
      </c>
      <c r="V3193" s="548">
        <v>0</v>
      </c>
      <c r="W3193" s="528"/>
      <c r="X3193" s="711">
        <f t="shared" si="12844"/>
        <v>0</v>
      </c>
      <c r="Y3193" s="896" t="str">
        <f t="shared" ref="Y3193" si="13033">IFERROR((X3194/X3193),"-")</f>
        <v>-</v>
      </c>
      <c r="Z3193" s="528"/>
      <c r="AA3193" s="898">
        <v>0</v>
      </c>
      <c r="AB3193" s="898">
        <v>0</v>
      </c>
      <c r="AC3193" s="898">
        <v>0</v>
      </c>
      <c r="AD3193" s="896" t="str">
        <f t="shared" ref="AD3193" si="13034">IFERROR((AC3193/AA3193),"-")</f>
        <v>-</v>
      </c>
      <c r="AE3193" s="2"/>
      <c r="AF3193" s="884">
        <v>0</v>
      </c>
      <c r="AG3193" s="884"/>
      <c r="AH3193" s="884">
        <v>0</v>
      </c>
      <c r="AI3193" s="884"/>
      <c r="AJ3193" s="884"/>
      <c r="AK3193" s="884">
        <f t="shared" ref="AK3193" si="13035">AF3193+AG3193+AH3193+AI3193+AJ3193+AC3193</f>
        <v>0</v>
      </c>
      <c r="AL3193" s="884">
        <v>0</v>
      </c>
      <c r="AM3193" s="878" t="str">
        <f t="shared" ref="AM3193" si="13036">IFERROR((AK3193/AL3193),"-")</f>
        <v>-</v>
      </c>
      <c r="AN3193" s="2"/>
      <c r="AO3193" s="884">
        <v>0</v>
      </c>
      <c r="AP3193" s="884">
        <f t="shared" ref="AP3193" si="13037">AO3193-AK3193</f>
        <v>0</v>
      </c>
      <c r="AV3193" t="str">
        <f t="shared" si="12839"/>
        <v>Revegetação - Hidrossemeadura</v>
      </c>
      <c r="AW3193" s="4" t="str">
        <f t="shared" si="12840"/>
        <v xml:space="preserve">   Revestimento vegetal por hidrossemeadura</v>
      </c>
    </row>
    <row r="3194" spans="1:50" ht="5.0999999999999996" customHeight="1">
      <c r="A3194" s="8" t="str">
        <f t="shared" ref="A3194" si="13038">A3193</f>
        <v>N</v>
      </c>
      <c r="B3194" s="150">
        <v>1068882</v>
      </c>
      <c r="C3194" s="150" t="s">
        <v>3616</v>
      </c>
      <c r="D3194" s="120" t="s">
        <v>3617</v>
      </c>
      <c r="E3194" s="893"/>
      <c r="F3194" s="895"/>
      <c r="G3194" s="528"/>
      <c r="H3194" s="549" t="s">
        <v>38</v>
      </c>
      <c r="I3194" s="711">
        <v>0</v>
      </c>
      <c r="J3194" s="897"/>
      <c r="K3194" s="528"/>
      <c r="L3194" s="549" t="s">
        <v>38</v>
      </c>
      <c r="M3194" s="711">
        <f t="shared" si="12851"/>
        <v>0</v>
      </c>
      <c r="N3194" s="897"/>
      <c r="O3194" s="528"/>
      <c r="P3194" s="548">
        <v>0</v>
      </c>
      <c r="Q3194" s="548">
        <v>0</v>
      </c>
      <c r="R3194" s="548">
        <v>0</v>
      </c>
      <c r="S3194" s="548">
        <v>0</v>
      </c>
      <c r="T3194" s="548">
        <v>0</v>
      </c>
      <c r="U3194" s="548">
        <v>0</v>
      </c>
      <c r="V3194" s="548"/>
      <c r="W3194" s="528"/>
      <c r="X3194" s="711">
        <f t="shared" si="12844"/>
        <v>0</v>
      </c>
      <c r="Y3194" s="897"/>
      <c r="Z3194" s="528"/>
      <c r="AA3194" s="899"/>
      <c r="AB3194" s="899"/>
      <c r="AC3194" s="899"/>
      <c r="AD3194" s="897"/>
      <c r="AE3194" s="2"/>
      <c r="AF3194" s="885"/>
      <c r="AG3194" s="885"/>
      <c r="AH3194" s="885"/>
      <c r="AI3194" s="885"/>
      <c r="AJ3194" s="885"/>
      <c r="AK3194" s="885"/>
      <c r="AL3194" s="885"/>
      <c r="AM3194" s="879"/>
      <c r="AN3194" s="2"/>
      <c r="AO3194" s="886"/>
      <c r="AP3194" s="886"/>
      <c r="AV3194" t="str">
        <f t="shared" si="12839"/>
        <v>Revegetação - Hidrossemeadura</v>
      </c>
      <c r="AW3194" s="4" t="str">
        <f t="shared" si="12840"/>
        <v xml:space="preserve">   Revestimento vegetal por hidrossemeadura</v>
      </c>
    </row>
    <row r="3195" spans="1:50" ht="14.45" customHeight="1">
      <c r="A3195" s="8" t="str">
        <f t="shared" ref="A3195" si="13039">IF(SUM(P3195:V3196)&gt;0,"S","N")</f>
        <v>N</v>
      </c>
      <c r="B3195" s="150">
        <v>1068883</v>
      </c>
      <c r="C3195" s="150" t="s">
        <v>3618</v>
      </c>
      <c r="D3195" s="120" t="s">
        <v>3619</v>
      </c>
      <c r="E3195" s="892" t="s">
        <v>3302</v>
      </c>
      <c r="F3195" s="894" t="s">
        <v>3210</v>
      </c>
      <c r="G3195" s="528"/>
      <c r="H3195" s="546" t="s">
        <v>37</v>
      </c>
      <c r="I3195" s="711">
        <v>0</v>
      </c>
      <c r="J3195" s="896" t="str">
        <f t="shared" ref="J3195" si="13040">IFERROR((I3196/I3195),"-")</f>
        <v>-</v>
      </c>
      <c r="K3195" s="528"/>
      <c r="L3195" s="546" t="s">
        <v>37</v>
      </c>
      <c r="M3195" s="711">
        <f t="shared" si="12851"/>
        <v>0</v>
      </c>
      <c r="N3195" s="896" t="str">
        <f t="shared" ref="N3195" si="13041">IFERROR((M3196/M3195),"-")</f>
        <v>-</v>
      </c>
      <c r="O3195" s="528"/>
      <c r="P3195" s="547">
        <v>0</v>
      </c>
      <c r="Q3195" s="547">
        <v>0</v>
      </c>
      <c r="R3195" s="547">
        <v>0</v>
      </c>
      <c r="S3195" s="547">
        <v>0</v>
      </c>
      <c r="T3195" s="547">
        <v>0</v>
      </c>
      <c r="U3195" s="547">
        <v>0</v>
      </c>
      <c r="V3195" s="548">
        <v>0</v>
      </c>
      <c r="W3195" s="528"/>
      <c r="X3195" s="711">
        <f t="shared" si="12844"/>
        <v>0</v>
      </c>
      <c r="Y3195" s="896" t="str">
        <f t="shared" ref="Y3195" si="13042">IFERROR((X3196/X3195),"-")</f>
        <v>-</v>
      </c>
      <c r="Z3195" s="528"/>
      <c r="AA3195" s="898">
        <v>0</v>
      </c>
      <c r="AB3195" s="898">
        <v>0</v>
      </c>
      <c r="AC3195" s="898">
        <v>0</v>
      </c>
      <c r="AD3195" s="896" t="str">
        <f t="shared" ref="AD3195" si="13043">IFERROR((AC3195/AA3195),"-")</f>
        <v>-</v>
      </c>
      <c r="AE3195" s="2"/>
      <c r="AF3195" s="884">
        <v>0</v>
      </c>
      <c r="AG3195" s="884"/>
      <c r="AH3195" s="884">
        <v>0</v>
      </c>
      <c r="AI3195" s="884"/>
      <c r="AJ3195" s="884"/>
      <c r="AK3195" s="884">
        <f t="shared" ref="AK3195" si="13044">AF3195+AG3195+AH3195+AI3195+AJ3195+AC3195</f>
        <v>0</v>
      </c>
      <c r="AL3195" s="884">
        <v>0</v>
      </c>
      <c r="AM3195" s="878" t="str">
        <f t="shared" ref="AM3195" si="13045">IFERROR((AK3195/AL3195),"-")</f>
        <v>-</v>
      </c>
      <c r="AN3195" s="2"/>
      <c r="AO3195" s="884">
        <v>0</v>
      </c>
      <c r="AP3195" s="884">
        <f t="shared" ref="AP3195" si="13046">AO3195-AK3195</f>
        <v>0</v>
      </c>
      <c r="AV3195" t="str">
        <f t="shared" si="12839"/>
        <v>Revegetação - Hidrossemeadura</v>
      </c>
      <c r="AW3195" s="4" t="str">
        <f t="shared" si="12840"/>
        <v xml:space="preserve">   Revestimento vegetal por hidrossemeadura</v>
      </c>
    </row>
    <row r="3196" spans="1:50" ht="14.45" customHeight="1" collapsed="1">
      <c r="A3196" s="8" t="str">
        <f t="shared" ref="A3196" si="13047">A3195</f>
        <v>N</v>
      </c>
      <c r="B3196" s="150">
        <v>1068883</v>
      </c>
      <c r="C3196" s="150" t="s">
        <v>3618</v>
      </c>
      <c r="D3196" s="120" t="s">
        <v>3619</v>
      </c>
      <c r="E3196" s="893"/>
      <c r="F3196" s="895"/>
      <c r="G3196" s="528"/>
      <c r="H3196" s="549" t="s">
        <v>38</v>
      </c>
      <c r="I3196" s="711">
        <v>0</v>
      </c>
      <c r="J3196" s="897"/>
      <c r="K3196" s="528"/>
      <c r="L3196" s="549" t="s">
        <v>38</v>
      </c>
      <c r="M3196" s="711">
        <f t="shared" si="12851"/>
        <v>0</v>
      </c>
      <c r="N3196" s="897"/>
      <c r="O3196" s="528"/>
      <c r="P3196" s="548">
        <v>0</v>
      </c>
      <c r="Q3196" s="548">
        <v>0</v>
      </c>
      <c r="R3196" s="548">
        <v>0</v>
      </c>
      <c r="S3196" s="548">
        <v>0</v>
      </c>
      <c r="T3196" s="548">
        <v>0</v>
      </c>
      <c r="U3196" s="548">
        <v>0</v>
      </c>
      <c r="V3196" s="548"/>
      <c r="W3196" s="528"/>
      <c r="X3196" s="711">
        <f t="shared" si="12844"/>
        <v>0</v>
      </c>
      <c r="Y3196" s="897"/>
      <c r="Z3196" s="528"/>
      <c r="AA3196" s="899"/>
      <c r="AB3196" s="899"/>
      <c r="AC3196" s="899"/>
      <c r="AD3196" s="897"/>
      <c r="AE3196" s="2"/>
      <c r="AF3196" s="885"/>
      <c r="AG3196" s="885"/>
      <c r="AH3196" s="885"/>
      <c r="AI3196" s="885"/>
      <c r="AJ3196" s="885"/>
      <c r="AK3196" s="885"/>
      <c r="AL3196" s="885"/>
      <c r="AM3196" s="879"/>
      <c r="AN3196" s="2"/>
      <c r="AO3196" s="886"/>
      <c r="AP3196" s="886"/>
      <c r="AV3196" t="str">
        <f t="shared" si="12839"/>
        <v>Revegetação - Hidrossemeadura</v>
      </c>
      <c r="AW3196" s="4" t="str">
        <f t="shared" si="12840"/>
        <v xml:space="preserve">   Revestimento vegetal por hidrossemeadura</v>
      </c>
    </row>
    <row r="3197" spans="1:50" ht="15.6" customHeight="1">
      <c r="A3197" s="8" t="str">
        <f t="shared" ref="A3197" si="13048">IF(SUM(P3197:V3198)&gt;0,"S","N")</f>
        <v>N</v>
      </c>
      <c r="B3197" s="150">
        <v>1068884</v>
      </c>
      <c r="C3197" s="150" t="s">
        <v>3620</v>
      </c>
      <c r="D3197" s="120" t="s">
        <v>3621</v>
      </c>
      <c r="E3197" s="892" t="s">
        <v>3302</v>
      </c>
      <c r="F3197" s="894" t="s">
        <v>3210</v>
      </c>
      <c r="G3197" s="528"/>
      <c r="H3197" s="546" t="s">
        <v>37</v>
      </c>
      <c r="I3197" s="711">
        <v>0</v>
      </c>
      <c r="J3197" s="896" t="str">
        <f t="shared" ref="J3197" si="13049">IFERROR((I3198/I3197),"-")</f>
        <v>-</v>
      </c>
      <c r="K3197" s="528"/>
      <c r="L3197" s="546" t="s">
        <v>37</v>
      </c>
      <c r="M3197" s="711">
        <f t="shared" si="12851"/>
        <v>0</v>
      </c>
      <c r="N3197" s="896" t="str">
        <f t="shared" ref="N3197" si="13050">IFERROR((M3198/M3197),"-")</f>
        <v>-</v>
      </c>
      <c r="O3197" s="528"/>
      <c r="P3197" s="547">
        <v>0</v>
      </c>
      <c r="Q3197" s="547">
        <v>0</v>
      </c>
      <c r="R3197" s="547">
        <v>0</v>
      </c>
      <c r="S3197" s="547">
        <v>0</v>
      </c>
      <c r="T3197" s="547">
        <v>0</v>
      </c>
      <c r="U3197" s="547">
        <v>0</v>
      </c>
      <c r="V3197" s="548">
        <v>0</v>
      </c>
      <c r="W3197" s="528"/>
      <c r="X3197" s="711">
        <f t="shared" si="12844"/>
        <v>0</v>
      </c>
      <c r="Y3197" s="896" t="str">
        <f t="shared" ref="Y3197" si="13051">IFERROR((X3198/X3197),"-")</f>
        <v>-</v>
      </c>
      <c r="Z3197" s="528"/>
      <c r="AA3197" s="898">
        <v>0</v>
      </c>
      <c r="AB3197" s="898">
        <v>0</v>
      </c>
      <c r="AC3197" s="898">
        <v>0</v>
      </c>
      <c r="AD3197" s="896" t="str">
        <f t="shared" ref="AD3197" si="13052">IFERROR((AC3197/AA3197),"-")</f>
        <v>-</v>
      </c>
      <c r="AE3197" s="2"/>
      <c r="AF3197" s="884">
        <v>0</v>
      </c>
      <c r="AG3197" s="884"/>
      <c r="AH3197" s="884">
        <v>0</v>
      </c>
      <c r="AI3197" s="884"/>
      <c r="AJ3197" s="884"/>
      <c r="AK3197" s="884">
        <f t="shared" ref="AK3197" si="13053">AF3197+AG3197+AH3197+AI3197+AJ3197+AC3197</f>
        <v>0</v>
      </c>
      <c r="AL3197" s="884">
        <v>0</v>
      </c>
      <c r="AM3197" s="878" t="str">
        <f t="shared" ref="AM3197" si="13054">IFERROR((AK3197/AL3197),"-")</f>
        <v>-</v>
      </c>
      <c r="AN3197" s="2"/>
      <c r="AO3197" s="884">
        <v>0</v>
      </c>
      <c r="AP3197" s="884">
        <f t="shared" ref="AP3197" si="13055">AO3197-AK3197</f>
        <v>0</v>
      </c>
      <c r="AV3197" s="4" t="str">
        <f t="shared" si="12839"/>
        <v>Revegetação - Hidrossemeadura</v>
      </c>
      <c r="AW3197" s="4" t="str">
        <f t="shared" si="12840"/>
        <v xml:space="preserve">   Revestimento vegetal por hidrossemeadura</v>
      </c>
      <c r="AX3197" s="4"/>
    </row>
    <row r="3198" spans="1:50" ht="12.95" customHeight="1">
      <c r="A3198" s="8" t="str">
        <f t="shared" ref="A3198" si="13056">A3197</f>
        <v>N</v>
      </c>
      <c r="B3198" s="150">
        <v>1068884</v>
      </c>
      <c r="C3198" s="150" t="s">
        <v>3620</v>
      </c>
      <c r="D3198" s="120" t="s">
        <v>3621</v>
      </c>
      <c r="E3198" s="893"/>
      <c r="F3198" s="895"/>
      <c r="G3198" s="528"/>
      <c r="H3198" s="549" t="s">
        <v>38</v>
      </c>
      <c r="I3198" s="711">
        <v>0</v>
      </c>
      <c r="J3198" s="897"/>
      <c r="K3198" s="528"/>
      <c r="L3198" s="549" t="s">
        <v>38</v>
      </c>
      <c r="M3198" s="711">
        <f t="shared" si="12851"/>
        <v>0</v>
      </c>
      <c r="N3198" s="897"/>
      <c r="O3198" s="528"/>
      <c r="P3198" s="548">
        <v>0</v>
      </c>
      <c r="Q3198" s="548">
        <v>0</v>
      </c>
      <c r="R3198" s="548">
        <v>0</v>
      </c>
      <c r="S3198" s="548">
        <v>0</v>
      </c>
      <c r="T3198" s="548">
        <v>0</v>
      </c>
      <c r="U3198" s="548">
        <v>0</v>
      </c>
      <c r="V3198" s="548"/>
      <c r="W3198" s="528"/>
      <c r="X3198" s="711">
        <f t="shared" si="12844"/>
        <v>0</v>
      </c>
      <c r="Y3198" s="897"/>
      <c r="Z3198" s="528"/>
      <c r="AA3198" s="899"/>
      <c r="AB3198" s="899"/>
      <c r="AC3198" s="899"/>
      <c r="AD3198" s="897"/>
      <c r="AE3198" s="2"/>
      <c r="AF3198" s="885"/>
      <c r="AG3198" s="885"/>
      <c r="AH3198" s="885"/>
      <c r="AI3198" s="885"/>
      <c r="AJ3198" s="885"/>
      <c r="AK3198" s="885"/>
      <c r="AL3198" s="885"/>
      <c r="AM3198" s="879"/>
      <c r="AN3198" s="2"/>
      <c r="AO3198" s="886"/>
      <c r="AP3198" s="886"/>
      <c r="AV3198" s="4" t="str">
        <f t="shared" si="12839"/>
        <v>Revegetação - Hidrossemeadura</v>
      </c>
      <c r="AW3198" s="4" t="str">
        <f t="shared" si="12840"/>
        <v xml:space="preserve">   Revestimento vegetal por hidrossemeadura</v>
      </c>
      <c r="AX3198" s="4"/>
    </row>
    <row r="3199" spans="1:50" ht="12.95" customHeight="1">
      <c r="A3199" s="8" t="str">
        <f t="shared" ref="A3199" si="13057">IF(SUM(P3199:V3200)&gt;0,"S","N")</f>
        <v>N</v>
      </c>
      <c r="B3199" s="150">
        <v>1069965</v>
      </c>
      <c r="C3199" s="150" t="s">
        <v>3622</v>
      </c>
      <c r="D3199" s="120" t="s">
        <v>3623</v>
      </c>
      <c r="E3199" s="892" t="s">
        <v>3302</v>
      </c>
      <c r="F3199" s="894" t="s">
        <v>3210</v>
      </c>
      <c r="G3199" s="528"/>
      <c r="H3199" s="546" t="s">
        <v>37</v>
      </c>
      <c r="I3199" s="711">
        <v>0</v>
      </c>
      <c r="J3199" s="896" t="str">
        <f t="shared" ref="J3199" si="13058">IFERROR((I3200/I3199),"-")</f>
        <v>-</v>
      </c>
      <c r="K3199" s="528"/>
      <c r="L3199" s="546" t="s">
        <v>37</v>
      </c>
      <c r="M3199" s="711">
        <f t="shared" si="12851"/>
        <v>0</v>
      </c>
      <c r="N3199" s="896" t="str">
        <f t="shared" ref="N3199" si="13059">IFERROR((M3200/M3199),"-")</f>
        <v>-</v>
      </c>
      <c r="O3199" s="528"/>
      <c r="P3199" s="547">
        <v>0</v>
      </c>
      <c r="Q3199" s="547">
        <v>0</v>
      </c>
      <c r="R3199" s="547">
        <v>0</v>
      </c>
      <c r="S3199" s="547">
        <v>0</v>
      </c>
      <c r="T3199" s="547">
        <v>0</v>
      </c>
      <c r="U3199" s="547">
        <v>0</v>
      </c>
      <c r="V3199" s="548">
        <v>0</v>
      </c>
      <c r="W3199" s="528"/>
      <c r="X3199" s="711">
        <f t="shared" si="12844"/>
        <v>0</v>
      </c>
      <c r="Y3199" s="896" t="str">
        <f t="shared" ref="Y3199" si="13060">IFERROR((X3200/X3199),"-")</f>
        <v>-</v>
      </c>
      <c r="Z3199" s="528"/>
      <c r="AA3199" s="898">
        <v>0</v>
      </c>
      <c r="AB3199" s="898">
        <v>0</v>
      </c>
      <c r="AC3199" s="898">
        <v>0</v>
      </c>
      <c r="AD3199" s="896" t="str">
        <f t="shared" ref="AD3199" si="13061">IFERROR((AC3199/AA3199),"-")</f>
        <v>-</v>
      </c>
      <c r="AE3199" s="2"/>
      <c r="AF3199" s="884">
        <v>0</v>
      </c>
      <c r="AG3199" s="884"/>
      <c r="AH3199" s="884">
        <v>0</v>
      </c>
      <c r="AI3199" s="884"/>
      <c r="AJ3199" s="884"/>
      <c r="AK3199" s="884">
        <f t="shared" ref="AK3199" si="13062">AF3199+AG3199+AH3199+AI3199+AJ3199+AC3199</f>
        <v>0</v>
      </c>
      <c r="AL3199" s="884">
        <v>0</v>
      </c>
      <c r="AM3199" s="878" t="str">
        <f t="shared" ref="AM3199" si="13063">IFERROR((AK3199/AL3199),"-")</f>
        <v>-</v>
      </c>
      <c r="AN3199" s="2"/>
      <c r="AO3199" s="884">
        <v>5791.94</v>
      </c>
      <c r="AP3199" s="884">
        <f t="shared" ref="AP3199" si="13064">AO3199-AK3199</f>
        <v>5791.94</v>
      </c>
      <c r="AV3199" s="4" t="str">
        <f t="shared" si="12839"/>
        <v>Revegetação - Hidrossemeadura</v>
      </c>
      <c r="AW3199" s="4" t="str">
        <f t="shared" si="12840"/>
        <v xml:space="preserve">   Revestimento vegetal por hidrossemeadura</v>
      </c>
      <c r="AX3199" s="4"/>
    </row>
    <row r="3200" spans="1:50" ht="12.95" customHeight="1">
      <c r="A3200" s="8" t="str">
        <f t="shared" ref="A3200" si="13065">A3199</f>
        <v>N</v>
      </c>
      <c r="B3200" s="150">
        <v>1069965</v>
      </c>
      <c r="C3200" s="150" t="s">
        <v>3622</v>
      </c>
      <c r="D3200" s="120" t="s">
        <v>3623</v>
      </c>
      <c r="E3200" s="893"/>
      <c r="F3200" s="895"/>
      <c r="G3200" s="528"/>
      <c r="H3200" s="549" t="s">
        <v>38</v>
      </c>
      <c r="I3200" s="711">
        <v>0</v>
      </c>
      <c r="J3200" s="897"/>
      <c r="K3200" s="528"/>
      <c r="L3200" s="549" t="s">
        <v>38</v>
      </c>
      <c r="M3200" s="711">
        <f t="shared" si="12851"/>
        <v>0</v>
      </c>
      <c r="N3200" s="897"/>
      <c r="O3200" s="528"/>
      <c r="P3200" s="548">
        <v>0</v>
      </c>
      <c r="Q3200" s="548">
        <v>0</v>
      </c>
      <c r="R3200" s="548">
        <v>0</v>
      </c>
      <c r="S3200" s="548">
        <v>0</v>
      </c>
      <c r="T3200" s="548">
        <v>0</v>
      </c>
      <c r="U3200" s="548">
        <v>0</v>
      </c>
      <c r="V3200" s="548"/>
      <c r="W3200" s="528"/>
      <c r="X3200" s="711">
        <f t="shared" si="12844"/>
        <v>0</v>
      </c>
      <c r="Y3200" s="897"/>
      <c r="Z3200" s="528"/>
      <c r="AA3200" s="899"/>
      <c r="AB3200" s="899"/>
      <c r="AC3200" s="899"/>
      <c r="AD3200" s="897"/>
      <c r="AE3200" s="2"/>
      <c r="AF3200" s="885"/>
      <c r="AG3200" s="885"/>
      <c r="AH3200" s="885"/>
      <c r="AI3200" s="885"/>
      <c r="AJ3200" s="885"/>
      <c r="AK3200" s="885"/>
      <c r="AL3200" s="885"/>
      <c r="AM3200" s="879"/>
      <c r="AN3200" s="2"/>
      <c r="AO3200" s="886"/>
      <c r="AP3200" s="886"/>
      <c r="AV3200" t="str">
        <f t="shared" si="12839"/>
        <v>Revegetação - Hidrossemeadura</v>
      </c>
      <c r="AW3200" s="4" t="str">
        <f t="shared" si="12840"/>
        <v xml:space="preserve">   Revestimento vegetal por hidrossemeadura</v>
      </c>
    </row>
    <row r="3201" spans="1:50" ht="12.95" customHeight="1">
      <c r="A3201" s="8" t="str">
        <f t="shared" ref="A3201" si="13066">IF(SUM(P3201:V3202)&gt;0,"S","N")</f>
        <v>N</v>
      </c>
      <c r="B3201" s="150">
        <v>1070278</v>
      </c>
      <c r="C3201" s="150" t="s">
        <v>3624</v>
      </c>
      <c r="D3201" s="120" t="s">
        <v>3625</v>
      </c>
      <c r="E3201" s="892" t="s">
        <v>3302</v>
      </c>
      <c r="F3201" s="894" t="s">
        <v>3210</v>
      </c>
      <c r="G3201" s="528"/>
      <c r="H3201" s="546" t="s">
        <v>37</v>
      </c>
      <c r="I3201" s="711">
        <v>0</v>
      </c>
      <c r="J3201" s="896" t="str">
        <f t="shared" ref="J3201" si="13067">IFERROR((I3202/I3201),"-")</f>
        <v>-</v>
      </c>
      <c r="K3201" s="528"/>
      <c r="L3201" s="546" t="s">
        <v>37</v>
      </c>
      <c r="M3201" s="711">
        <f t="shared" si="12851"/>
        <v>0</v>
      </c>
      <c r="N3201" s="896" t="str">
        <f t="shared" ref="N3201" si="13068">IFERROR((M3202/M3201),"-")</f>
        <v>-</v>
      </c>
      <c r="O3201" s="528"/>
      <c r="P3201" s="547">
        <v>0</v>
      </c>
      <c r="Q3201" s="547">
        <v>0</v>
      </c>
      <c r="R3201" s="547">
        <v>0</v>
      </c>
      <c r="S3201" s="547">
        <v>0</v>
      </c>
      <c r="T3201" s="547">
        <v>0</v>
      </c>
      <c r="U3201" s="547">
        <v>0</v>
      </c>
      <c r="V3201" s="548">
        <v>0</v>
      </c>
      <c r="W3201" s="528"/>
      <c r="X3201" s="711">
        <f t="shared" si="12844"/>
        <v>0</v>
      </c>
      <c r="Y3201" s="896" t="str">
        <f t="shared" ref="Y3201" si="13069">IFERROR((X3202/X3201),"-")</f>
        <v>-</v>
      </c>
      <c r="Z3201" s="528"/>
      <c r="AA3201" s="898">
        <v>0</v>
      </c>
      <c r="AB3201" s="898">
        <v>0</v>
      </c>
      <c r="AC3201" s="898">
        <v>0</v>
      </c>
      <c r="AD3201" s="896" t="str">
        <f t="shared" ref="AD3201" si="13070">IFERROR((AC3201/AA3201),"-")</f>
        <v>-</v>
      </c>
      <c r="AE3201" s="2"/>
      <c r="AF3201" s="884">
        <v>0</v>
      </c>
      <c r="AG3201" s="884"/>
      <c r="AH3201" s="884">
        <v>0</v>
      </c>
      <c r="AI3201" s="884"/>
      <c r="AJ3201" s="884"/>
      <c r="AK3201" s="884">
        <f t="shared" ref="AK3201" si="13071">AF3201+AG3201+AH3201+AI3201+AJ3201+AC3201</f>
        <v>0</v>
      </c>
      <c r="AL3201" s="884">
        <v>0</v>
      </c>
      <c r="AM3201" s="878" t="str">
        <f t="shared" ref="AM3201" si="13072">IFERROR((AK3201/AL3201),"-")</f>
        <v>-</v>
      </c>
      <c r="AN3201" s="2"/>
      <c r="AO3201" s="884">
        <v>1170.05</v>
      </c>
      <c r="AP3201" s="884">
        <f t="shared" ref="AP3201" si="13073">AO3201-AK3201</f>
        <v>1170.05</v>
      </c>
      <c r="AV3201" t="str">
        <f t="shared" si="12839"/>
        <v>Revegetação - Hidrossemeadura</v>
      </c>
      <c r="AW3201" s="4" t="str">
        <f t="shared" si="12840"/>
        <v xml:space="preserve">   Revestimento vegetal por hidrossemeadura</v>
      </c>
    </row>
    <row r="3202" spans="1:50" ht="12.95" customHeight="1">
      <c r="A3202" s="8" t="str">
        <f t="shared" ref="A3202" si="13074">A3201</f>
        <v>N</v>
      </c>
      <c r="B3202" s="150">
        <v>1070278</v>
      </c>
      <c r="C3202" s="150" t="s">
        <v>3624</v>
      </c>
      <c r="D3202" s="120" t="s">
        <v>3625</v>
      </c>
      <c r="E3202" s="893"/>
      <c r="F3202" s="895"/>
      <c r="G3202" s="528"/>
      <c r="H3202" s="549" t="s">
        <v>38</v>
      </c>
      <c r="I3202" s="711">
        <v>0</v>
      </c>
      <c r="J3202" s="897"/>
      <c r="K3202" s="528"/>
      <c r="L3202" s="549" t="s">
        <v>38</v>
      </c>
      <c r="M3202" s="711">
        <f t="shared" si="12851"/>
        <v>0</v>
      </c>
      <c r="N3202" s="897"/>
      <c r="O3202" s="528"/>
      <c r="P3202" s="548">
        <v>0</v>
      </c>
      <c r="Q3202" s="548">
        <v>0</v>
      </c>
      <c r="R3202" s="548">
        <v>0</v>
      </c>
      <c r="S3202" s="548">
        <v>0</v>
      </c>
      <c r="T3202" s="548">
        <v>0</v>
      </c>
      <c r="U3202" s="548">
        <v>0</v>
      </c>
      <c r="V3202" s="548"/>
      <c r="W3202" s="528"/>
      <c r="X3202" s="711">
        <f t="shared" si="12844"/>
        <v>0</v>
      </c>
      <c r="Y3202" s="897"/>
      <c r="Z3202" s="528"/>
      <c r="AA3202" s="899"/>
      <c r="AB3202" s="899"/>
      <c r="AC3202" s="899"/>
      <c r="AD3202" s="897"/>
      <c r="AE3202" s="2"/>
      <c r="AF3202" s="885"/>
      <c r="AG3202" s="885"/>
      <c r="AH3202" s="885"/>
      <c r="AI3202" s="885"/>
      <c r="AJ3202" s="885"/>
      <c r="AK3202" s="885"/>
      <c r="AL3202" s="885"/>
      <c r="AM3202" s="879"/>
      <c r="AN3202" s="2"/>
      <c r="AO3202" s="886"/>
      <c r="AP3202" s="886"/>
      <c r="AV3202" t="str">
        <f t="shared" si="12839"/>
        <v>Revegetação - Hidrossemeadura</v>
      </c>
      <c r="AW3202" s="4" t="str">
        <f t="shared" si="12840"/>
        <v xml:space="preserve">   Revestimento vegetal por hidrossemeadura</v>
      </c>
    </row>
    <row r="3203" spans="1:50" ht="12.95" customHeight="1">
      <c r="A3203" s="8" t="str">
        <f t="shared" ref="A3203" si="13075">IF(SUM(P3203:V3204)&gt;0,"S","N")</f>
        <v>N</v>
      </c>
      <c r="B3203" s="150">
        <v>1070279</v>
      </c>
      <c r="C3203" s="150" t="s">
        <v>3626</v>
      </c>
      <c r="D3203" s="120" t="s">
        <v>3627</v>
      </c>
      <c r="E3203" s="892" t="s">
        <v>3302</v>
      </c>
      <c r="F3203" s="894" t="s">
        <v>3210</v>
      </c>
      <c r="G3203" s="528"/>
      <c r="H3203" s="546" t="s">
        <v>37</v>
      </c>
      <c r="I3203" s="711">
        <v>0</v>
      </c>
      <c r="J3203" s="896" t="str">
        <f t="shared" ref="J3203" si="13076">IFERROR((I3204/I3203),"-")</f>
        <v>-</v>
      </c>
      <c r="K3203" s="528"/>
      <c r="L3203" s="546" t="s">
        <v>37</v>
      </c>
      <c r="M3203" s="711">
        <f t="shared" si="12851"/>
        <v>0</v>
      </c>
      <c r="N3203" s="896" t="str">
        <f t="shared" ref="N3203" si="13077">IFERROR((M3204/M3203),"-")</f>
        <v>-</v>
      </c>
      <c r="O3203" s="528"/>
      <c r="P3203" s="547">
        <v>0</v>
      </c>
      <c r="Q3203" s="547">
        <v>0</v>
      </c>
      <c r="R3203" s="547">
        <v>0</v>
      </c>
      <c r="S3203" s="547">
        <v>0</v>
      </c>
      <c r="T3203" s="547">
        <v>0</v>
      </c>
      <c r="U3203" s="547">
        <v>0</v>
      </c>
      <c r="V3203" s="548">
        <v>0</v>
      </c>
      <c r="W3203" s="528"/>
      <c r="X3203" s="711">
        <f t="shared" si="12844"/>
        <v>0</v>
      </c>
      <c r="Y3203" s="896" t="str">
        <f t="shared" ref="Y3203" si="13078">IFERROR((X3204/X3203),"-")</f>
        <v>-</v>
      </c>
      <c r="Z3203" s="528"/>
      <c r="AA3203" s="898">
        <v>0</v>
      </c>
      <c r="AB3203" s="898">
        <v>0</v>
      </c>
      <c r="AC3203" s="898">
        <v>0</v>
      </c>
      <c r="AD3203" s="896" t="str">
        <f t="shared" ref="AD3203" si="13079">IFERROR((AC3203/AA3203),"-")</f>
        <v>-</v>
      </c>
      <c r="AE3203" s="2"/>
      <c r="AF3203" s="884">
        <v>0</v>
      </c>
      <c r="AG3203" s="884"/>
      <c r="AH3203" s="884">
        <v>0</v>
      </c>
      <c r="AI3203" s="884"/>
      <c r="AJ3203" s="884"/>
      <c r="AK3203" s="884">
        <f t="shared" ref="AK3203" si="13080">AF3203+AG3203+AH3203+AI3203+AJ3203+AC3203</f>
        <v>0</v>
      </c>
      <c r="AL3203" s="884">
        <v>0</v>
      </c>
      <c r="AM3203" s="878" t="str">
        <f t="shared" ref="AM3203" si="13081">IFERROR((AK3203/AL3203),"-")</f>
        <v>-</v>
      </c>
      <c r="AN3203" s="2"/>
      <c r="AO3203" s="884">
        <v>88.85</v>
      </c>
      <c r="AP3203" s="884">
        <f t="shared" ref="AP3203" si="13082">AO3203-AK3203</f>
        <v>88.85</v>
      </c>
      <c r="AV3203" t="str">
        <f t="shared" ref="AV3203:AV3211" si="13083">IF(AX3203="Y",LEFT(E3203,20),IF(AX3203="x",E3203,AV3202))</f>
        <v>Revegetação - Hidrossemeadura</v>
      </c>
      <c r="AW3203" s="4" t="str">
        <f t="shared" ref="AW3203:AW3211" si="13084">IF(E3203&lt;&gt;"",E3203,AW3202)</f>
        <v xml:space="preserve">   Revestimento vegetal por hidrossemeadura</v>
      </c>
    </row>
    <row r="3204" spans="1:50" ht="20.65" customHeight="1">
      <c r="A3204" s="8" t="str">
        <f t="shared" ref="A3204" si="13085">A3203</f>
        <v>N</v>
      </c>
      <c r="B3204" s="150">
        <v>1070279</v>
      </c>
      <c r="C3204" s="150" t="s">
        <v>3626</v>
      </c>
      <c r="D3204" s="120" t="s">
        <v>3627</v>
      </c>
      <c r="E3204" s="893"/>
      <c r="F3204" s="895"/>
      <c r="G3204" s="528"/>
      <c r="H3204" s="549" t="s">
        <v>38</v>
      </c>
      <c r="I3204" s="711">
        <v>0</v>
      </c>
      <c r="J3204" s="897"/>
      <c r="K3204" s="528"/>
      <c r="L3204" s="549" t="s">
        <v>38</v>
      </c>
      <c r="M3204" s="711">
        <f t="shared" si="12851"/>
        <v>0</v>
      </c>
      <c r="N3204" s="897"/>
      <c r="O3204" s="528"/>
      <c r="P3204" s="548">
        <v>0</v>
      </c>
      <c r="Q3204" s="548">
        <v>0</v>
      </c>
      <c r="R3204" s="548">
        <v>0</v>
      </c>
      <c r="S3204" s="548">
        <v>0</v>
      </c>
      <c r="T3204" s="548">
        <v>0</v>
      </c>
      <c r="U3204" s="548">
        <v>0</v>
      </c>
      <c r="V3204" s="548"/>
      <c r="W3204" s="528"/>
      <c r="X3204" s="711">
        <f t="shared" si="12844"/>
        <v>0</v>
      </c>
      <c r="Y3204" s="897"/>
      <c r="Z3204" s="528"/>
      <c r="AA3204" s="899"/>
      <c r="AB3204" s="899"/>
      <c r="AC3204" s="899"/>
      <c r="AD3204" s="897"/>
      <c r="AE3204" s="2"/>
      <c r="AF3204" s="885"/>
      <c r="AG3204" s="885"/>
      <c r="AH3204" s="885"/>
      <c r="AI3204" s="885"/>
      <c r="AJ3204" s="885"/>
      <c r="AK3204" s="885"/>
      <c r="AL3204" s="885"/>
      <c r="AM3204" s="879"/>
      <c r="AN3204" s="2"/>
      <c r="AO3204" s="886"/>
      <c r="AP3204" s="886"/>
      <c r="AV3204" t="str">
        <f t="shared" si="13083"/>
        <v>Revegetação - Hidrossemeadura</v>
      </c>
      <c r="AW3204" s="4" t="str">
        <f t="shared" si="13084"/>
        <v xml:space="preserve">   Revestimento vegetal por hidrossemeadura</v>
      </c>
    </row>
    <row r="3205" spans="1:50" ht="20.65" customHeight="1">
      <c r="A3205" s="8" t="str">
        <f t="shared" ref="A3205" si="13086">IF(SUM(P3205:V3206)&gt;0,"S","N")</f>
        <v>N</v>
      </c>
      <c r="B3205" s="150">
        <v>1070280</v>
      </c>
      <c r="C3205" s="150" t="s">
        <v>3628</v>
      </c>
      <c r="D3205" s="120" t="s">
        <v>3629</v>
      </c>
      <c r="E3205" s="892" t="s">
        <v>3302</v>
      </c>
      <c r="F3205" s="894" t="s">
        <v>3210</v>
      </c>
      <c r="G3205" s="528"/>
      <c r="H3205" s="546" t="s">
        <v>37</v>
      </c>
      <c r="I3205" s="711">
        <v>0</v>
      </c>
      <c r="J3205" s="896" t="str">
        <f t="shared" ref="J3205" si="13087">IFERROR((I3206/I3205),"-")</f>
        <v>-</v>
      </c>
      <c r="K3205" s="528"/>
      <c r="L3205" s="546" t="s">
        <v>37</v>
      </c>
      <c r="M3205" s="711">
        <f t="shared" si="12851"/>
        <v>0</v>
      </c>
      <c r="N3205" s="896" t="str">
        <f t="shared" ref="N3205" si="13088">IFERROR((M3206/M3205),"-")</f>
        <v>-</v>
      </c>
      <c r="O3205" s="528"/>
      <c r="P3205" s="547">
        <v>0</v>
      </c>
      <c r="Q3205" s="547">
        <v>0</v>
      </c>
      <c r="R3205" s="547">
        <v>0</v>
      </c>
      <c r="S3205" s="547">
        <v>0</v>
      </c>
      <c r="T3205" s="547">
        <v>0</v>
      </c>
      <c r="U3205" s="547">
        <v>0</v>
      </c>
      <c r="V3205" s="548">
        <v>0</v>
      </c>
      <c r="W3205" s="528"/>
      <c r="X3205" s="711">
        <f t="shared" si="12844"/>
        <v>0</v>
      </c>
      <c r="Y3205" s="896" t="str">
        <f t="shared" ref="Y3205" si="13089">IFERROR((X3206/X3205),"-")</f>
        <v>-</v>
      </c>
      <c r="Z3205" s="528"/>
      <c r="AA3205" s="898">
        <v>0</v>
      </c>
      <c r="AB3205" s="898">
        <v>0</v>
      </c>
      <c r="AC3205" s="898">
        <v>0</v>
      </c>
      <c r="AD3205" s="896" t="str">
        <f t="shared" ref="AD3205" si="13090">IFERROR((AC3205/AA3205),"-")</f>
        <v>-</v>
      </c>
      <c r="AE3205" s="2"/>
      <c r="AF3205" s="884">
        <v>0</v>
      </c>
      <c r="AG3205" s="884"/>
      <c r="AH3205" s="884">
        <v>0</v>
      </c>
      <c r="AI3205" s="884"/>
      <c r="AJ3205" s="884"/>
      <c r="AK3205" s="884">
        <f t="shared" ref="AK3205" si="13091">AF3205+AG3205+AH3205+AI3205+AJ3205+AC3205</f>
        <v>0</v>
      </c>
      <c r="AL3205" s="884">
        <v>0</v>
      </c>
      <c r="AM3205" s="878" t="str">
        <f t="shared" ref="AM3205" si="13092">IFERROR((AK3205/AL3205),"-")</f>
        <v>-</v>
      </c>
      <c r="AN3205" s="2"/>
      <c r="AO3205" s="884">
        <v>940.15</v>
      </c>
      <c r="AP3205" s="884">
        <f t="shared" ref="AP3205" si="13093">AO3205-AK3205</f>
        <v>940.15</v>
      </c>
      <c r="AV3205" t="str">
        <f t="shared" si="13083"/>
        <v>Revegetação - Hidrossemeadura</v>
      </c>
      <c r="AW3205" s="4" t="str">
        <f t="shared" si="13084"/>
        <v xml:space="preserve">   Revestimento vegetal por hidrossemeadura</v>
      </c>
    </row>
    <row r="3206" spans="1:50" ht="12.95" customHeight="1">
      <c r="A3206" s="8" t="str">
        <f t="shared" ref="A3206" si="13094">A3205</f>
        <v>N</v>
      </c>
      <c r="B3206" s="150">
        <v>1070280</v>
      </c>
      <c r="C3206" s="150" t="s">
        <v>3628</v>
      </c>
      <c r="D3206" s="120" t="s">
        <v>3629</v>
      </c>
      <c r="E3206" s="893"/>
      <c r="F3206" s="895"/>
      <c r="G3206" s="528"/>
      <c r="H3206" s="549" t="s">
        <v>38</v>
      </c>
      <c r="I3206" s="711">
        <v>0</v>
      </c>
      <c r="J3206" s="897"/>
      <c r="K3206" s="528"/>
      <c r="L3206" s="549" t="s">
        <v>38</v>
      </c>
      <c r="M3206" s="711">
        <f t="shared" si="12851"/>
        <v>0</v>
      </c>
      <c r="N3206" s="897"/>
      <c r="O3206" s="528"/>
      <c r="P3206" s="548">
        <v>0</v>
      </c>
      <c r="Q3206" s="548">
        <v>0</v>
      </c>
      <c r="R3206" s="548">
        <v>0</v>
      </c>
      <c r="S3206" s="548">
        <v>0</v>
      </c>
      <c r="T3206" s="548">
        <v>0</v>
      </c>
      <c r="U3206" s="548">
        <v>0</v>
      </c>
      <c r="V3206" s="548"/>
      <c r="W3206" s="528"/>
      <c r="X3206" s="711">
        <f t="shared" si="12844"/>
        <v>0</v>
      </c>
      <c r="Y3206" s="897"/>
      <c r="Z3206" s="528"/>
      <c r="AA3206" s="899"/>
      <c r="AB3206" s="899"/>
      <c r="AC3206" s="899"/>
      <c r="AD3206" s="897"/>
      <c r="AE3206" s="2"/>
      <c r="AF3206" s="885"/>
      <c r="AG3206" s="885"/>
      <c r="AH3206" s="885"/>
      <c r="AI3206" s="885"/>
      <c r="AJ3206" s="885"/>
      <c r="AK3206" s="885"/>
      <c r="AL3206" s="885"/>
      <c r="AM3206" s="879"/>
      <c r="AN3206" s="2"/>
      <c r="AO3206" s="886"/>
      <c r="AP3206" s="886"/>
      <c r="AV3206" t="str">
        <f t="shared" si="13083"/>
        <v>Revegetação - Hidrossemeadura</v>
      </c>
      <c r="AW3206" s="4" t="str">
        <f t="shared" si="13084"/>
        <v xml:space="preserve">   Revestimento vegetal por hidrossemeadura</v>
      </c>
    </row>
    <row r="3207" spans="1:50" ht="12.95" customHeight="1" collapsed="1">
      <c r="A3207" s="8" t="str">
        <f t="shared" ref="A3207" si="13095">IF(SUM(P3207:V3208)&gt;0,"S","N")</f>
        <v>N</v>
      </c>
      <c r="B3207" s="150">
        <v>1070281</v>
      </c>
      <c r="C3207" s="150" t="s">
        <v>3630</v>
      </c>
      <c r="D3207" s="120" t="s">
        <v>3631</v>
      </c>
      <c r="E3207" s="892" t="s">
        <v>3302</v>
      </c>
      <c r="F3207" s="894" t="s">
        <v>3210</v>
      </c>
      <c r="G3207" s="528"/>
      <c r="H3207" s="546" t="s">
        <v>37</v>
      </c>
      <c r="I3207" s="711">
        <v>0</v>
      </c>
      <c r="J3207" s="896" t="str">
        <f t="shared" ref="J3207" si="13096">IFERROR((I3208/I3207),"-")</f>
        <v>-</v>
      </c>
      <c r="K3207" s="528"/>
      <c r="L3207" s="546" t="s">
        <v>37</v>
      </c>
      <c r="M3207" s="711">
        <f t="shared" si="12851"/>
        <v>0</v>
      </c>
      <c r="N3207" s="896" t="str">
        <f t="shared" ref="N3207" si="13097">IFERROR((M3208/M3207),"-")</f>
        <v>-</v>
      </c>
      <c r="O3207" s="528"/>
      <c r="P3207" s="547">
        <v>0</v>
      </c>
      <c r="Q3207" s="547">
        <v>0</v>
      </c>
      <c r="R3207" s="547">
        <v>0</v>
      </c>
      <c r="S3207" s="547">
        <v>0</v>
      </c>
      <c r="T3207" s="547">
        <v>0</v>
      </c>
      <c r="U3207" s="547">
        <v>0</v>
      </c>
      <c r="V3207" s="548">
        <v>0</v>
      </c>
      <c r="W3207" s="528"/>
      <c r="X3207" s="711">
        <f t="shared" si="12844"/>
        <v>0</v>
      </c>
      <c r="Y3207" s="896" t="str">
        <f t="shared" ref="Y3207" si="13098">IFERROR((X3208/X3207),"-")</f>
        <v>-</v>
      </c>
      <c r="Z3207" s="528"/>
      <c r="AA3207" s="898">
        <v>0</v>
      </c>
      <c r="AB3207" s="898">
        <v>0</v>
      </c>
      <c r="AC3207" s="898">
        <v>0</v>
      </c>
      <c r="AD3207" s="896" t="str">
        <f t="shared" ref="AD3207" si="13099">IFERROR((AC3207/AA3207),"-")</f>
        <v>-</v>
      </c>
      <c r="AE3207" s="2"/>
      <c r="AF3207" s="884">
        <v>0</v>
      </c>
      <c r="AG3207" s="884"/>
      <c r="AH3207" s="884">
        <v>0</v>
      </c>
      <c r="AI3207" s="884"/>
      <c r="AJ3207" s="884"/>
      <c r="AK3207" s="884">
        <f t="shared" ref="AK3207" si="13100">AF3207+AG3207+AH3207+AI3207+AJ3207+AC3207</f>
        <v>0</v>
      </c>
      <c r="AL3207" s="884">
        <v>0</v>
      </c>
      <c r="AM3207" s="878" t="str">
        <f t="shared" ref="AM3207" si="13101">IFERROR((AK3207/AL3207),"-")</f>
        <v>-</v>
      </c>
      <c r="AN3207" s="2"/>
      <c r="AO3207" s="884">
        <v>0</v>
      </c>
      <c r="AP3207" s="884">
        <f t="shared" ref="AP3207" si="13102">AO3207-AK3207</f>
        <v>0</v>
      </c>
      <c r="AV3207" t="str">
        <f t="shared" si="13083"/>
        <v>Revegetação - Hidrossemeadura</v>
      </c>
      <c r="AW3207" s="4" t="str">
        <f t="shared" si="13084"/>
        <v xml:space="preserve">   Revestimento vegetal por hidrossemeadura</v>
      </c>
    </row>
    <row r="3208" spans="1:50" ht="12.95" customHeight="1">
      <c r="A3208" s="8" t="str">
        <f t="shared" ref="A3208" si="13103">A3207</f>
        <v>N</v>
      </c>
      <c r="B3208" s="150">
        <v>1070281</v>
      </c>
      <c r="C3208" s="150" t="s">
        <v>3630</v>
      </c>
      <c r="D3208" s="120" t="s">
        <v>3631</v>
      </c>
      <c r="E3208" s="893"/>
      <c r="F3208" s="895"/>
      <c r="G3208" s="528"/>
      <c r="H3208" s="549" t="s">
        <v>38</v>
      </c>
      <c r="I3208" s="711">
        <v>0</v>
      </c>
      <c r="J3208" s="897"/>
      <c r="K3208" s="528"/>
      <c r="L3208" s="549" t="s">
        <v>38</v>
      </c>
      <c r="M3208" s="711">
        <f t="shared" si="12851"/>
        <v>0</v>
      </c>
      <c r="N3208" s="897"/>
      <c r="O3208" s="528"/>
      <c r="P3208" s="548">
        <v>0</v>
      </c>
      <c r="Q3208" s="548">
        <v>0</v>
      </c>
      <c r="R3208" s="548">
        <v>0</v>
      </c>
      <c r="S3208" s="548">
        <v>0</v>
      </c>
      <c r="T3208" s="548">
        <v>0</v>
      </c>
      <c r="U3208" s="548">
        <v>0</v>
      </c>
      <c r="V3208" s="548"/>
      <c r="W3208" s="528"/>
      <c r="X3208" s="711">
        <f t="shared" si="12844"/>
        <v>0</v>
      </c>
      <c r="Y3208" s="897"/>
      <c r="Z3208" s="528"/>
      <c r="AA3208" s="899"/>
      <c r="AB3208" s="899"/>
      <c r="AC3208" s="899"/>
      <c r="AD3208" s="897"/>
      <c r="AE3208" s="2"/>
      <c r="AF3208" s="885"/>
      <c r="AG3208" s="885"/>
      <c r="AH3208" s="885"/>
      <c r="AI3208" s="885"/>
      <c r="AJ3208" s="885"/>
      <c r="AK3208" s="885"/>
      <c r="AL3208" s="885"/>
      <c r="AM3208" s="879"/>
      <c r="AN3208" s="2"/>
      <c r="AO3208" s="886"/>
      <c r="AP3208" s="886"/>
      <c r="AV3208" t="str">
        <f t="shared" si="13083"/>
        <v>Revegetação - Hidrossemeadura</v>
      </c>
      <c r="AW3208" s="4" t="str">
        <f t="shared" si="13084"/>
        <v xml:space="preserve">   Revestimento vegetal por hidrossemeadura</v>
      </c>
    </row>
    <row r="3209" spans="1:50" ht="12.95" customHeight="1">
      <c r="A3209" s="8" t="str">
        <f t="shared" ref="A3209" si="13104">IF(SUM(P3209:V3210)&gt;0,"S","N")</f>
        <v>N</v>
      </c>
      <c r="B3209" s="150">
        <v>1070282</v>
      </c>
      <c r="C3209" s="150" t="s">
        <v>3632</v>
      </c>
      <c r="D3209" s="120" t="s">
        <v>3633</v>
      </c>
      <c r="E3209" s="892" t="s">
        <v>3302</v>
      </c>
      <c r="F3209" s="894" t="s">
        <v>3210</v>
      </c>
      <c r="G3209" s="528"/>
      <c r="H3209" s="546" t="s">
        <v>37</v>
      </c>
      <c r="I3209" s="711">
        <v>0</v>
      </c>
      <c r="J3209" s="896" t="str">
        <f t="shared" ref="J3209" si="13105">IFERROR((I3210/I3209),"-")</f>
        <v>-</v>
      </c>
      <c r="K3209" s="528"/>
      <c r="L3209" s="546" t="s">
        <v>37</v>
      </c>
      <c r="M3209" s="711">
        <f t="shared" si="12851"/>
        <v>0</v>
      </c>
      <c r="N3209" s="896" t="str">
        <f t="shared" ref="N3209" si="13106">IFERROR((M3210/M3209),"-")</f>
        <v>-</v>
      </c>
      <c r="O3209" s="528"/>
      <c r="P3209" s="547">
        <v>0</v>
      </c>
      <c r="Q3209" s="547">
        <v>0</v>
      </c>
      <c r="R3209" s="547">
        <v>0</v>
      </c>
      <c r="S3209" s="547">
        <v>0</v>
      </c>
      <c r="T3209" s="547">
        <v>0</v>
      </c>
      <c r="U3209" s="547">
        <v>0</v>
      </c>
      <c r="V3209" s="548">
        <v>0</v>
      </c>
      <c r="W3209" s="528"/>
      <c r="X3209" s="711">
        <f t="shared" si="12844"/>
        <v>0</v>
      </c>
      <c r="Y3209" s="896" t="str">
        <f t="shared" ref="Y3209" si="13107">IFERROR((X3210/X3209),"-")</f>
        <v>-</v>
      </c>
      <c r="Z3209" s="528"/>
      <c r="AA3209" s="898">
        <v>0</v>
      </c>
      <c r="AB3209" s="898">
        <v>0</v>
      </c>
      <c r="AC3209" s="898">
        <v>0</v>
      </c>
      <c r="AD3209" s="896" t="str">
        <f t="shared" ref="AD3209" si="13108">IFERROR((AC3209/AA3209),"-")</f>
        <v>-</v>
      </c>
      <c r="AE3209" s="2"/>
      <c r="AF3209" s="884">
        <v>0</v>
      </c>
      <c r="AG3209" s="884"/>
      <c r="AH3209" s="884">
        <v>0</v>
      </c>
      <c r="AI3209" s="884"/>
      <c r="AJ3209" s="884"/>
      <c r="AK3209" s="884">
        <f t="shared" ref="AK3209" si="13109">AF3209+AG3209+AH3209+AI3209+AJ3209+AC3209</f>
        <v>0</v>
      </c>
      <c r="AL3209" s="884">
        <v>0</v>
      </c>
      <c r="AM3209" s="878" t="str">
        <f t="shared" ref="AM3209" si="13110">IFERROR((AK3209/AL3209),"-")</f>
        <v>-</v>
      </c>
      <c r="AN3209" s="2"/>
      <c r="AO3209" s="884">
        <v>0</v>
      </c>
      <c r="AP3209" s="884">
        <f t="shared" ref="AP3209" si="13111">AO3209-AK3209</f>
        <v>0</v>
      </c>
      <c r="AV3209" t="str">
        <f t="shared" si="13083"/>
        <v>Revegetação - Hidrossemeadura</v>
      </c>
      <c r="AW3209" s="4" t="str">
        <f t="shared" si="13084"/>
        <v xml:space="preserve">   Revestimento vegetal por hidrossemeadura</v>
      </c>
    </row>
    <row r="3210" spans="1:50" ht="30" customHeight="1">
      <c r="A3210" s="8" t="str">
        <f t="shared" ref="A3210" si="13112">A3209</f>
        <v>N</v>
      </c>
      <c r="B3210" s="150">
        <v>1070282</v>
      </c>
      <c r="C3210" s="150" t="s">
        <v>3632</v>
      </c>
      <c r="D3210" s="120" t="s">
        <v>3633</v>
      </c>
      <c r="E3210" s="893"/>
      <c r="F3210" s="895"/>
      <c r="G3210" s="528"/>
      <c r="H3210" s="549" t="s">
        <v>38</v>
      </c>
      <c r="I3210" s="711">
        <v>0</v>
      </c>
      <c r="J3210" s="897"/>
      <c r="K3210" s="528"/>
      <c r="L3210" s="549" t="s">
        <v>38</v>
      </c>
      <c r="M3210" s="711">
        <f t="shared" si="12851"/>
        <v>0</v>
      </c>
      <c r="N3210" s="897"/>
      <c r="O3210" s="528"/>
      <c r="P3210" s="548">
        <v>0</v>
      </c>
      <c r="Q3210" s="548">
        <v>0</v>
      </c>
      <c r="R3210" s="548">
        <v>0</v>
      </c>
      <c r="S3210" s="548">
        <v>0</v>
      </c>
      <c r="T3210" s="548">
        <v>0</v>
      </c>
      <c r="U3210" s="548">
        <v>0</v>
      </c>
      <c r="V3210" s="548"/>
      <c r="W3210" s="528"/>
      <c r="X3210" s="711">
        <f t="shared" si="12844"/>
        <v>0</v>
      </c>
      <c r="Y3210" s="897"/>
      <c r="Z3210" s="528"/>
      <c r="AA3210" s="899"/>
      <c r="AB3210" s="899"/>
      <c r="AC3210" s="899"/>
      <c r="AD3210" s="897"/>
      <c r="AE3210" s="2"/>
      <c r="AF3210" s="885"/>
      <c r="AG3210" s="885"/>
      <c r="AH3210" s="885"/>
      <c r="AI3210" s="885"/>
      <c r="AJ3210" s="885"/>
      <c r="AK3210" s="885"/>
      <c r="AL3210" s="885"/>
      <c r="AM3210" s="879"/>
      <c r="AN3210" s="2"/>
      <c r="AO3210" s="886"/>
      <c r="AP3210" s="886"/>
      <c r="AV3210" t="str">
        <f t="shared" si="13083"/>
        <v>Revegetação - Hidrossemeadura</v>
      </c>
      <c r="AW3210" s="4" t="str">
        <f t="shared" si="13084"/>
        <v xml:space="preserve">   Revestimento vegetal por hidrossemeadura</v>
      </c>
    </row>
    <row r="3211" spans="1:50" ht="30" customHeight="1">
      <c r="A3211" s="8" t="str">
        <f t="shared" ref="A3211" si="13113">IF(SUM(P3211:V3212)&gt;0,"S","N")</f>
        <v>N</v>
      </c>
      <c r="B3211" s="150">
        <v>1070283</v>
      </c>
      <c r="C3211" s="150" t="s">
        <v>3634</v>
      </c>
      <c r="D3211" s="120" t="s">
        <v>3635</v>
      </c>
      <c r="E3211" s="892" t="s">
        <v>3302</v>
      </c>
      <c r="F3211" s="894" t="s">
        <v>3210</v>
      </c>
      <c r="G3211" s="528"/>
      <c r="H3211" s="546" t="s">
        <v>37</v>
      </c>
      <c r="I3211" s="711">
        <v>0</v>
      </c>
      <c r="J3211" s="896" t="str">
        <f t="shared" ref="J3211" si="13114">IFERROR((I3212/I3211),"-")</f>
        <v>-</v>
      </c>
      <c r="K3211" s="528"/>
      <c r="L3211" s="546" t="s">
        <v>37</v>
      </c>
      <c r="M3211" s="711">
        <f t="shared" si="12851"/>
        <v>0</v>
      </c>
      <c r="N3211" s="896" t="str">
        <f t="shared" ref="N3211" si="13115">IFERROR((M3212/M3211),"-")</f>
        <v>-</v>
      </c>
      <c r="O3211" s="528"/>
      <c r="P3211" s="547">
        <v>0</v>
      </c>
      <c r="Q3211" s="547">
        <v>0</v>
      </c>
      <c r="R3211" s="547">
        <v>0</v>
      </c>
      <c r="S3211" s="547">
        <v>0</v>
      </c>
      <c r="T3211" s="547">
        <v>0</v>
      </c>
      <c r="U3211" s="547">
        <v>0</v>
      </c>
      <c r="V3211" s="548">
        <v>0</v>
      </c>
      <c r="W3211" s="528"/>
      <c r="X3211" s="711">
        <f t="shared" si="12844"/>
        <v>0</v>
      </c>
      <c r="Y3211" s="896" t="str">
        <f t="shared" ref="Y3211" si="13116">IFERROR((X3212/X3211),"-")</f>
        <v>-</v>
      </c>
      <c r="Z3211" s="528"/>
      <c r="AA3211" s="898">
        <v>0</v>
      </c>
      <c r="AB3211" s="898">
        <v>0</v>
      </c>
      <c r="AC3211" s="898">
        <v>0</v>
      </c>
      <c r="AD3211" s="896" t="str">
        <f t="shared" ref="AD3211" si="13117">IFERROR((AC3211/AA3211),"-")</f>
        <v>-</v>
      </c>
      <c r="AE3211" s="2"/>
      <c r="AF3211" s="884">
        <v>0</v>
      </c>
      <c r="AG3211" s="884"/>
      <c r="AH3211" s="884">
        <v>0</v>
      </c>
      <c r="AI3211" s="884"/>
      <c r="AJ3211" s="884"/>
      <c r="AK3211" s="884">
        <f t="shared" ref="AK3211" si="13118">AF3211+AG3211+AH3211+AI3211+AJ3211+AC3211</f>
        <v>0</v>
      </c>
      <c r="AL3211" s="884">
        <v>0</v>
      </c>
      <c r="AM3211" s="878" t="str">
        <f t="shared" ref="AM3211" si="13119">IFERROR((AK3211/AL3211),"-")</f>
        <v>-</v>
      </c>
      <c r="AN3211" s="2"/>
      <c r="AO3211" s="884">
        <v>0</v>
      </c>
      <c r="AP3211" s="884">
        <f t="shared" ref="AP3211" si="13120">AO3211-AK3211</f>
        <v>0</v>
      </c>
      <c r="AV3211" t="str">
        <f t="shared" si="13083"/>
        <v>Revegetação - Hidrossemeadura</v>
      </c>
      <c r="AW3211" s="4" t="str">
        <f t="shared" si="13084"/>
        <v xml:space="preserve">   Revestimento vegetal por hidrossemeadura</v>
      </c>
    </row>
    <row r="3212" spans="1:50" ht="12.95" customHeight="1">
      <c r="A3212" s="8" t="str">
        <f t="shared" ref="A3212" si="13121">A3211</f>
        <v>N</v>
      </c>
      <c r="B3212" s="150">
        <v>1070283</v>
      </c>
      <c r="C3212" s="150" t="s">
        <v>3634</v>
      </c>
      <c r="D3212" s="120" t="s">
        <v>3635</v>
      </c>
      <c r="E3212" s="893"/>
      <c r="F3212" s="895"/>
      <c r="G3212" s="528"/>
      <c r="H3212" s="549" t="s">
        <v>38</v>
      </c>
      <c r="I3212" s="711">
        <v>0</v>
      </c>
      <c r="J3212" s="897"/>
      <c r="K3212" s="528"/>
      <c r="L3212" s="549" t="s">
        <v>38</v>
      </c>
      <c r="M3212" s="711">
        <f t="shared" si="12851"/>
        <v>0</v>
      </c>
      <c r="N3212" s="897"/>
      <c r="O3212" s="528"/>
      <c r="P3212" s="548">
        <v>0</v>
      </c>
      <c r="Q3212" s="548">
        <v>0</v>
      </c>
      <c r="R3212" s="548">
        <v>0</v>
      </c>
      <c r="S3212" s="548">
        <v>0</v>
      </c>
      <c r="T3212" s="548">
        <v>0</v>
      </c>
      <c r="U3212" s="548">
        <v>0</v>
      </c>
      <c r="V3212" s="548"/>
      <c r="W3212" s="528"/>
      <c r="X3212" s="711">
        <f t="shared" si="12844"/>
        <v>0</v>
      </c>
      <c r="Y3212" s="897"/>
      <c r="Z3212" s="528"/>
      <c r="AA3212" s="899"/>
      <c r="AB3212" s="899"/>
      <c r="AC3212" s="899"/>
      <c r="AD3212" s="897"/>
      <c r="AE3212" s="2"/>
      <c r="AF3212" s="885"/>
      <c r="AG3212" s="885"/>
      <c r="AH3212" s="885"/>
      <c r="AI3212" s="885"/>
      <c r="AJ3212" s="885"/>
      <c r="AK3212" s="885"/>
      <c r="AL3212" s="885"/>
      <c r="AM3212" s="879"/>
      <c r="AN3212" s="2"/>
      <c r="AO3212" s="886"/>
      <c r="AP3212" s="886"/>
      <c r="AV3212" t="str">
        <f t="shared" ref="AV3212:AV3214" si="13122">IF(AX3212="Y",LEFT(E3212,20),IF(AX3212="x",E3212,AV3211))</f>
        <v>Revegetação - Hidrossemeadura</v>
      </c>
      <c r="AW3212" s="4" t="str">
        <f t="shared" ref="AW3212:AW3214" si="13123">IF(E3212&lt;&gt;"",E3212,AW3211)</f>
        <v xml:space="preserve">   Revestimento vegetal por hidrossemeadura</v>
      </c>
    </row>
    <row r="3213" spans="1:50" ht="12.95" customHeight="1">
      <c r="A3213" s="8" t="str">
        <f t="shared" ref="A3213" si="13124">IF(SUM(P3213:V3214)&gt;0,"S","N")</f>
        <v>N</v>
      </c>
      <c r="B3213" s="150">
        <v>1070284</v>
      </c>
      <c r="C3213" s="150" t="s">
        <v>3636</v>
      </c>
      <c r="D3213" s="120" t="s">
        <v>3637</v>
      </c>
      <c r="E3213" s="892" t="s">
        <v>3302</v>
      </c>
      <c r="F3213" s="894" t="s">
        <v>3210</v>
      </c>
      <c r="G3213" s="528"/>
      <c r="H3213" s="546" t="s">
        <v>37</v>
      </c>
      <c r="I3213" s="711">
        <v>0</v>
      </c>
      <c r="J3213" s="896" t="str">
        <f t="shared" ref="J3213" si="13125">IFERROR((I3214/I3213),"-")</f>
        <v>-</v>
      </c>
      <c r="K3213" s="528"/>
      <c r="L3213" s="546" t="s">
        <v>37</v>
      </c>
      <c r="M3213" s="711">
        <f t="shared" si="12851"/>
        <v>0</v>
      </c>
      <c r="N3213" s="896" t="str">
        <f t="shared" ref="N3213" si="13126">IFERROR((M3214/M3213),"-")</f>
        <v>-</v>
      </c>
      <c r="O3213" s="528"/>
      <c r="P3213" s="547">
        <v>0</v>
      </c>
      <c r="Q3213" s="547">
        <v>0</v>
      </c>
      <c r="R3213" s="547">
        <v>0</v>
      </c>
      <c r="S3213" s="547">
        <v>0</v>
      </c>
      <c r="T3213" s="547">
        <v>0</v>
      </c>
      <c r="U3213" s="547">
        <v>0</v>
      </c>
      <c r="V3213" s="548">
        <v>0</v>
      </c>
      <c r="W3213" s="528"/>
      <c r="X3213" s="711">
        <f t="shared" si="12844"/>
        <v>0</v>
      </c>
      <c r="Y3213" s="896" t="str">
        <f t="shared" ref="Y3213" si="13127">IFERROR((X3214/X3213),"-")</f>
        <v>-</v>
      </c>
      <c r="Z3213" s="528"/>
      <c r="AA3213" s="898">
        <v>0</v>
      </c>
      <c r="AB3213" s="898">
        <v>0</v>
      </c>
      <c r="AC3213" s="898">
        <v>0</v>
      </c>
      <c r="AD3213" s="896" t="str">
        <f t="shared" ref="AD3213" si="13128">IFERROR((AC3213/AA3213),"-")</f>
        <v>-</v>
      </c>
      <c r="AE3213" s="2"/>
      <c r="AF3213" s="884">
        <v>0</v>
      </c>
      <c r="AG3213" s="884"/>
      <c r="AH3213" s="884">
        <v>0</v>
      </c>
      <c r="AI3213" s="884"/>
      <c r="AJ3213" s="884"/>
      <c r="AK3213" s="884">
        <f t="shared" ref="AK3213" si="13129">AF3213+AG3213+AH3213+AI3213+AJ3213+AC3213</f>
        <v>0</v>
      </c>
      <c r="AL3213" s="884">
        <v>0</v>
      </c>
      <c r="AM3213" s="878" t="str">
        <f t="shared" ref="AM3213" si="13130">IFERROR((AK3213/AL3213),"-")</f>
        <v>-</v>
      </c>
      <c r="AN3213" s="2"/>
      <c r="AO3213" s="884">
        <v>0</v>
      </c>
      <c r="AP3213" s="884">
        <f t="shared" ref="AP3213" si="13131">AO3213-AK3213</f>
        <v>0</v>
      </c>
      <c r="AV3213" t="str">
        <f t="shared" si="13122"/>
        <v>Revegetação - Hidrossemeadura</v>
      </c>
      <c r="AW3213" s="4" t="str">
        <f t="shared" si="13123"/>
        <v xml:space="preserve">   Revestimento vegetal por hidrossemeadura</v>
      </c>
    </row>
    <row r="3214" spans="1:50" ht="12.95" customHeight="1">
      <c r="A3214" s="8" t="str">
        <f t="shared" ref="A3214" si="13132">A3213</f>
        <v>N</v>
      </c>
      <c r="B3214" s="150">
        <v>1070284</v>
      </c>
      <c r="C3214" s="150" t="s">
        <v>3636</v>
      </c>
      <c r="D3214" s="120" t="s">
        <v>3637</v>
      </c>
      <c r="E3214" s="893"/>
      <c r="F3214" s="895"/>
      <c r="G3214" s="528"/>
      <c r="H3214" s="549" t="s">
        <v>38</v>
      </c>
      <c r="I3214" s="711">
        <v>0</v>
      </c>
      <c r="J3214" s="897"/>
      <c r="K3214" s="528"/>
      <c r="L3214" s="549" t="s">
        <v>38</v>
      </c>
      <c r="M3214" s="711">
        <f t="shared" si="12851"/>
        <v>0</v>
      </c>
      <c r="N3214" s="897"/>
      <c r="O3214" s="528"/>
      <c r="P3214" s="548">
        <v>0</v>
      </c>
      <c r="Q3214" s="548">
        <v>0</v>
      </c>
      <c r="R3214" s="548">
        <v>0</v>
      </c>
      <c r="S3214" s="548">
        <v>0</v>
      </c>
      <c r="T3214" s="548">
        <v>0</v>
      </c>
      <c r="U3214" s="548">
        <v>0</v>
      </c>
      <c r="V3214" s="548"/>
      <c r="W3214" s="528"/>
      <c r="X3214" s="711">
        <f t="shared" si="12844"/>
        <v>0</v>
      </c>
      <c r="Y3214" s="897"/>
      <c r="Z3214" s="528"/>
      <c r="AA3214" s="899"/>
      <c r="AB3214" s="899"/>
      <c r="AC3214" s="899"/>
      <c r="AD3214" s="897"/>
      <c r="AE3214" s="2"/>
      <c r="AF3214" s="885"/>
      <c r="AG3214" s="885"/>
      <c r="AH3214" s="885"/>
      <c r="AI3214" s="885"/>
      <c r="AJ3214" s="885"/>
      <c r="AK3214" s="885"/>
      <c r="AL3214" s="885"/>
      <c r="AM3214" s="879"/>
      <c r="AN3214" s="2"/>
      <c r="AO3214" s="886"/>
      <c r="AP3214" s="886"/>
      <c r="AV3214" t="str">
        <f t="shared" si="13122"/>
        <v>Revegetação - Hidrossemeadura</v>
      </c>
      <c r="AW3214" s="4" t="str">
        <f t="shared" si="13123"/>
        <v xml:space="preserve">   Revestimento vegetal por hidrossemeadura</v>
      </c>
    </row>
    <row r="3215" spans="1:50" ht="12.95" customHeight="1">
      <c r="A3215" s="8" t="str">
        <f t="shared" ref="A3215" si="13133">IF(SUM(P3215:V3216)&gt;0,"S","N")</f>
        <v>N</v>
      </c>
      <c r="B3215" s="150">
        <v>1070285</v>
      </c>
      <c r="C3215" s="150" t="s">
        <v>3638</v>
      </c>
      <c r="D3215" s="120" t="s">
        <v>3639</v>
      </c>
      <c r="E3215" s="892" t="s">
        <v>3302</v>
      </c>
      <c r="F3215" s="894" t="s">
        <v>3210</v>
      </c>
      <c r="G3215" s="528"/>
      <c r="H3215" s="546" t="s">
        <v>37</v>
      </c>
      <c r="I3215" s="711">
        <v>0</v>
      </c>
      <c r="J3215" s="896" t="str">
        <f t="shared" ref="J3215" si="13134">IFERROR((I3216/I3215),"-")</f>
        <v>-</v>
      </c>
      <c r="K3215" s="528"/>
      <c r="L3215" s="546" t="s">
        <v>37</v>
      </c>
      <c r="M3215" s="711">
        <f t="shared" si="12851"/>
        <v>0</v>
      </c>
      <c r="N3215" s="896" t="str">
        <f t="shared" ref="N3215" si="13135">IFERROR((M3216/M3215),"-")</f>
        <v>-</v>
      </c>
      <c r="O3215" s="528"/>
      <c r="P3215" s="547">
        <v>0</v>
      </c>
      <c r="Q3215" s="547">
        <v>0</v>
      </c>
      <c r="R3215" s="547">
        <v>0</v>
      </c>
      <c r="S3215" s="547">
        <v>0</v>
      </c>
      <c r="T3215" s="547">
        <v>0</v>
      </c>
      <c r="U3215" s="547">
        <v>0</v>
      </c>
      <c r="V3215" s="548">
        <v>0</v>
      </c>
      <c r="W3215" s="528"/>
      <c r="X3215" s="711">
        <f t="shared" ref="X3215:X3222" si="13136">SUMIFS(P3215:V3215,$P$8:$V$8,"&gt;="&amp;$P$8,$P$8:$V$8,"&lt;="&amp;$N$8)</f>
        <v>0</v>
      </c>
      <c r="Y3215" s="896" t="str">
        <f t="shared" ref="Y3215" si="13137">IFERROR((X3216/X3215),"-")</f>
        <v>-</v>
      </c>
      <c r="Z3215" s="528"/>
      <c r="AA3215" s="898">
        <v>0</v>
      </c>
      <c r="AB3215" s="898">
        <v>0</v>
      </c>
      <c r="AC3215" s="898">
        <v>0</v>
      </c>
      <c r="AD3215" s="896" t="str">
        <f t="shared" ref="AD3215" si="13138">IFERROR((AC3215/AA3215),"-")</f>
        <v>-</v>
      </c>
      <c r="AE3215" s="2"/>
      <c r="AF3215" s="884">
        <v>0</v>
      </c>
      <c r="AG3215" s="884"/>
      <c r="AH3215" s="884">
        <v>0</v>
      </c>
      <c r="AI3215" s="884"/>
      <c r="AJ3215" s="884"/>
      <c r="AK3215" s="884">
        <f t="shared" ref="AK3215" si="13139">AF3215+AG3215+AH3215+AI3215+AJ3215+AC3215</f>
        <v>0</v>
      </c>
      <c r="AL3215" s="884">
        <v>0</v>
      </c>
      <c r="AM3215" s="878" t="str">
        <f t="shared" ref="AM3215" si="13140">IFERROR((AK3215/AL3215),"-")</f>
        <v>-</v>
      </c>
      <c r="AN3215" s="2"/>
      <c r="AO3215" s="884">
        <v>0</v>
      </c>
      <c r="AP3215" s="884">
        <f t="shared" ref="AP3215" si="13141">AO3215-AK3215</f>
        <v>0</v>
      </c>
      <c r="AV3215" t="str">
        <f t="shared" ref="AV3215:AV3273" si="13142">IF(AX3215="Y",LEFT(E3215,20),IF(AX3215="x",E3215,AV3214))</f>
        <v>Revegetação - Hidrossemeadura</v>
      </c>
      <c r="AW3215" s="4" t="str">
        <f t="shared" ref="AW3215:AW3272" si="13143">IF(E3215&lt;&gt;"",E3215,AW3214)</f>
        <v xml:space="preserve">   Revestimento vegetal por hidrossemeadura</v>
      </c>
    </row>
    <row r="3216" spans="1:50" ht="22.9" customHeight="1">
      <c r="A3216" s="8" t="str">
        <f t="shared" ref="A3216" si="13144">A3215</f>
        <v>N</v>
      </c>
      <c r="B3216" s="150">
        <v>1070285</v>
      </c>
      <c r="C3216" s="150" t="s">
        <v>3638</v>
      </c>
      <c r="D3216" s="120" t="s">
        <v>3639</v>
      </c>
      <c r="E3216" s="893"/>
      <c r="F3216" s="895"/>
      <c r="G3216" s="528"/>
      <c r="H3216" s="549" t="s">
        <v>38</v>
      </c>
      <c r="I3216" s="711">
        <v>0</v>
      </c>
      <c r="J3216" s="897"/>
      <c r="K3216" s="528"/>
      <c r="L3216" s="549" t="s">
        <v>38</v>
      </c>
      <c r="M3216" s="711">
        <f t="shared" si="12851"/>
        <v>0</v>
      </c>
      <c r="N3216" s="897"/>
      <c r="O3216" s="528"/>
      <c r="P3216" s="548">
        <v>0</v>
      </c>
      <c r="Q3216" s="548">
        <v>0</v>
      </c>
      <c r="R3216" s="548">
        <v>0</v>
      </c>
      <c r="S3216" s="548">
        <v>0</v>
      </c>
      <c r="T3216" s="548">
        <v>0</v>
      </c>
      <c r="U3216" s="548">
        <v>0</v>
      </c>
      <c r="V3216" s="548"/>
      <c r="W3216" s="528"/>
      <c r="X3216" s="711">
        <f t="shared" si="13136"/>
        <v>0</v>
      </c>
      <c r="Y3216" s="897"/>
      <c r="Z3216" s="528"/>
      <c r="AA3216" s="899"/>
      <c r="AB3216" s="899"/>
      <c r="AC3216" s="899"/>
      <c r="AD3216" s="897"/>
      <c r="AE3216" s="2"/>
      <c r="AF3216" s="885"/>
      <c r="AG3216" s="885"/>
      <c r="AH3216" s="885"/>
      <c r="AI3216" s="885"/>
      <c r="AJ3216" s="885"/>
      <c r="AK3216" s="885"/>
      <c r="AL3216" s="885"/>
      <c r="AM3216" s="879"/>
      <c r="AN3216" s="2"/>
      <c r="AO3216" s="886"/>
      <c r="AP3216" s="886"/>
      <c r="AV3216" s="4" t="str">
        <f t="shared" si="13142"/>
        <v>Revegetação - Hidrossemeadura</v>
      </c>
      <c r="AW3216" s="4" t="str">
        <f t="shared" si="13143"/>
        <v xml:space="preserve">   Revestimento vegetal por hidrossemeadura</v>
      </c>
      <c r="AX3216" s="4"/>
    </row>
    <row r="3217" spans="1:50" ht="22.9" customHeight="1">
      <c r="A3217" s="8" t="str">
        <f t="shared" ref="A3217" si="13145">IF(SUM(P3217:V3218)&gt;0,"S","N")</f>
        <v>N</v>
      </c>
      <c r="B3217" s="150">
        <v>1070286</v>
      </c>
      <c r="C3217" s="150" t="s">
        <v>3640</v>
      </c>
      <c r="D3217" s="120" t="s">
        <v>3641</v>
      </c>
      <c r="E3217" s="892" t="s">
        <v>3302</v>
      </c>
      <c r="F3217" s="894" t="s">
        <v>3210</v>
      </c>
      <c r="G3217" s="528"/>
      <c r="H3217" s="546" t="s">
        <v>37</v>
      </c>
      <c r="I3217" s="711">
        <v>0</v>
      </c>
      <c r="J3217" s="896" t="str">
        <f t="shared" ref="J3217" si="13146">IFERROR((I3218/I3217),"-")</f>
        <v>-</v>
      </c>
      <c r="K3217" s="528"/>
      <c r="L3217" s="546" t="s">
        <v>37</v>
      </c>
      <c r="M3217" s="711">
        <f t="shared" ref="M3217:M3222" si="13147">_xlfn.XLOOKUP($N$8,$P$8:$V$8,$P3217:$V3217)</f>
        <v>0</v>
      </c>
      <c r="N3217" s="896" t="str">
        <f t="shared" ref="N3217" si="13148">IFERROR((M3218/M3217),"-")</f>
        <v>-</v>
      </c>
      <c r="O3217" s="528"/>
      <c r="P3217" s="547">
        <v>0</v>
      </c>
      <c r="Q3217" s="547">
        <v>0</v>
      </c>
      <c r="R3217" s="547">
        <v>0</v>
      </c>
      <c r="S3217" s="547">
        <v>0</v>
      </c>
      <c r="T3217" s="547">
        <v>0</v>
      </c>
      <c r="U3217" s="547">
        <v>0</v>
      </c>
      <c r="V3217" s="548">
        <v>0</v>
      </c>
      <c r="W3217" s="528"/>
      <c r="X3217" s="711">
        <f t="shared" si="13136"/>
        <v>0</v>
      </c>
      <c r="Y3217" s="896" t="str">
        <f t="shared" ref="Y3217" si="13149">IFERROR((X3218/X3217),"-")</f>
        <v>-</v>
      </c>
      <c r="Z3217" s="528"/>
      <c r="AA3217" s="898">
        <v>0</v>
      </c>
      <c r="AB3217" s="898">
        <v>0</v>
      </c>
      <c r="AC3217" s="898">
        <v>0</v>
      </c>
      <c r="AD3217" s="896" t="str">
        <f t="shared" ref="AD3217" si="13150">IFERROR((AC3217/AA3217),"-")</f>
        <v>-</v>
      </c>
      <c r="AE3217" s="2"/>
      <c r="AF3217" s="884">
        <v>0</v>
      </c>
      <c r="AG3217" s="884"/>
      <c r="AH3217" s="884">
        <v>0</v>
      </c>
      <c r="AI3217" s="884"/>
      <c r="AJ3217" s="884"/>
      <c r="AK3217" s="884">
        <f t="shared" ref="AK3217" si="13151">AF3217+AG3217+AH3217+AI3217+AJ3217+AC3217</f>
        <v>0</v>
      </c>
      <c r="AL3217" s="884">
        <v>0</v>
      </c>
      <c r="AM3217" s="878" t="str">
        <f t="shared" ref="AM3217" si="13152">IFERROR((AK3217/AL3217),"-")</f>
        <v>-</v>
      </c>
      <c r="AN3217" s="2"/>
      <c r="AO3217" s="884">
        <v>0</v>
      </c>
      <c r="AP3217" s="884">
        <f t="shared" ref="AP3217" si="13153">AO3217-AK3217</f>
        <v>0</v>
      </c>
      <c r="AV3217" s="4" t="str">
        <f t="shared" si="13142"/>
        <v>Revegetação - Hidrossemeadura</v>
      </c>
      <c r="AW3217" s="4" t="str">
        <f t="shared" si="13143"/>
        <v xml:space="preserve">   Revestimento vegetal por hidrossemeadura</v>
      </c>
      <c r="AX3217" s="4"/>
    </row>
    <row r="3218" spans="1:50" ht="25.9" customHeight="1">
      <c r="A3218" s="8" t="str">
        <f t="shared" ref="A3218" si="13154">A3217</f>
        <v>N</v>
      </c>
      <c r="B3218" s="150">
        <v>1070286</v>
      </c>
      <c r="C3218" s="150" t="s">
        <v>3640</v>
      </c>
      <c r="D3218" s="120" t="s">
        <v>3641</v>
      </c>
      <c r="E3218" s="893"/>
      <c r="F3218" s="895"/>
      <c r="G3218" s="528"/>
      <c r="H3218" s="549" t="s">
        <v>38</v>
      </c>
      <c r="I3218" s="711">
        <v>0</v>
      </c>
      <c r="J3218" s="897"/>
      <c r="K3218" s="528"/>
      <c r="L3218" s="549" t="s">
        <v>38</v>
      </c>
      <c r="M3218" s="711">
        <f t="shared" si="13147"/>
        <v>0</v>
      </c>
      <c r="N3218" s="897"/>
      <c r="O3218" s="528"/>
      <c r="P3218" s="548">
        <v>0</v>
      </c>
      <c r="Q3218" s="548">
        <v>0</v>
      </c>
      <c r="R3218" s="548">
        <v>0</v>
      </c>
      <c r="S3218" s="548">
        <v>0</v>
      </c>
      <c r="T3218" s="548">
        <v>0</v>
      </c>
      <c r="U3218" s="548">
        <v>0</v>
      </c>
      <c r="V3218" s="548"/>
      <c r="W3218" s="528"/>
      <c r="X3218" s="711">
        <f t="shared" si="13136"/>
        <v>0</v>
      </c>
      <c r="Y3218" s="897"/>
      <c r="Z3218" s="528"/>
      <c r="AA3218" s="899"/>
      <c r="AB3218" s="899"/>
      <c r="AC3218" s="899"/>
      <c r="AD3218" s="897"/>
      <c r="AE3218" s="2"/>
      <c r="AF3218" s="885"/>
      <c r="AG3218" s="885"/>
      <c r="AH3218" s="885"/>
      <c r="AI3218" s="885"/>
      <c r="AJ3218" s="885"/>
      <c r="AK3218" s="885"/>
      <c r="AL3218" s="885"/>
      <c r="AM3218" s="879"/>
      <c r="AN3218" s="2"/>
      <c r="AO3218" s="886"/>
      <c r="AP3218" s="886"/>
      <c r="AV3218" s="4" t="str">
        <f t="shared" si="13142"/>
        <v>Revegetação - Hidrossemeadura</v>
      </c>
      <c r="AW3218" s="4" t="str">
        <f t="shared" si="13143"/>
        <v xml:space="preserve">   Revestimento vegetal por hidrossemeadura</v>
      </c>
      <c r="AX3218" s="4"/>
    </row>
    <row r="3219" spans="1:50" ht="25.9" customHeight="1">
      <c r="A3219" s="8" t="str">
        <f t="shared" ref="A3219" si="13155">IF(SUM(P3219:V3220)&gt;0,"S","N")</f>
        <v>N</v>
      </c>
      <c r="B3219" s="150">
        <v>1070287</v>
      </c>
      <c r="C3219" s="150" t="s">
        <v>3642</v>
      </c>
      <c r="D3219" s="120" t="s">
        <v>3643</v>
      </c>
      <c r="E3219" s="892" t="s">
        <v>3302</v>
      </c>
      <c r="F3219" s="894" t="s">
        <v>3210</v>
      </c>
      <c r="G3219" s="528"/>
      <c r="H3219" s="546" t="s">
        <v>37</v>
      </c>
      <c r="I3219" s="711">
        <v>0</v>
      </c>
      <c r="J3219" s="896" t="str">
        <f t="shared" ref="J3219" si="13156">IFERROR((I3220/I3219),"-")</f>
        <v>-</v>
      </c>
      <c r="K3219" s="528"/>
      <c r="L3219" s="546" t="s">
        <v>37</v>
      </c>
      <c r="M3219" s="711">
        <f t="shared" si="13147"/>
        <v>0</v>
      </c>
      <c r="N3219" s="896" t="str">
        <f t="shared" ref="N3219" si="13157">IFERROR((M3220/M3219),"-")</f>
        <v>-</v>
      </c>
      <c r="O3219" s="528"/>
      <c r="P3219" s="547">
        <v>0</v>
      </c>
      <c r="Q3219" s="547">
        <v>0</v>
      </c>
      <c r="R3219" s="547">
        <v>0</v>
      </c>
      <c r="S3219" s="547">
        <v>0</v>
      </c>
      <c r="T3219" s="547">
        <v>0</v>
      </c>
      <c r="U3219" s="547">
        <v>0</v>
      </c>
      <c r="V3219" s="548">
        <v>0</v>
      </c>
      <c r="W3219" s="528"/>
      <c r="X3219" s="711">
        <f t="shared" si="13136"/>
        <v>0</v>
      </c>
      <c r="Y3219" s="896" t="str">
        <f t="shared" ref="Y3219" si="13158">IFERROR((X3220/X3219),"-")</f>
        <v>-</v>
      </c>
      <c r="Z3219" s="528"/>
      <c r="AA3219" s="898">
        <v>0</v>
      </c>
      <c r="AB3219" s="898">
        <v>0</v>
      </c>
      <c r="AC3219" s="898">
        <v>0</v>
      </c>
      <c r="AD3219" s="896" t="str">
        <f t="shared" ref="AD3219" si="13159">IFERROR((AC3219/AA3219),"-")</f>
        <v>-</v>
      </c>
      <c r="AE3219" s="2"/>
      <c r="AF3219" s="884">
        <v>0</v>
      </c>
      <c r="AG3219" s="884"/>
      <c r="AH3219" s="884">
        <v>0</v>
      </c>
      <c r="AI3219" s="884"/>
      <c r="AJ3219" s="884"/>
      <c r="AK3219" s="884">
        <f t="shared" ref="AK3219" si="13160">AF3219+AG3219+AH3219+AI3219+AJ3219+AC3219</f>
        <v>0</v>
      </c>
      <c r="AL3219" s="884">
        <v>0</v>
      </c>
      <c r="AM3219" s="878" t="str">
        <f t="shared" ref="AM3219" si="13161">IFERROR((AK3219/AL3219),"-")</f>
        <v>-</v>
      </c>
      <c r="AN3219" s="2"/>
      <c r="AO3219" s="884">
        <v>0</v>
      </c>
      <c r="AP3219" s="884">
        <f t="shared" ref="AP3219" si="13162">AO3219-AK3219</f>
        <v>0</v>
      </c>
      <c r="AV3219" s="4" t="str">
        <f t="shared" si="13142"/>
        <v>Revegetação - Hidrossemeadura</v>
      </c>
      <c r="AW3219" s="4" t="str">
        <f t="shared" si="13143"/>
        <v xml:space="preserve">   Revestimento vegetal por hidrossemeadura</v>
      </c>
      <c r="AX3219" s="4"/>
    </row>
    <row r="3220" spans="1:50" ht="12.95" customHeight="1">
      <c r="A3220" s="8" t="str">
        <f t="shared" ref="A3220" si="13163">A3219</f>
        <v>N</v>
      </c>
      <c r="B3220" s="150">
        <v>1070287</v>
      </c>
      <c r="C3220" s="150" t="s">
        <v>3642</v>
      </c>
      <c r="D3220" s="120" t="s">
        <v>3643</v>
      </c>
      <c r="E3220" s="893"/>
      <c r="F3220" s="895"/>
      <c r="G3220" s="528"/>
      <c r="H3220" s="549" t="s">
        <v>38</v>
      </c>
      <c r="I3220" s="711">
        <v>0</v>
      </c>
      <c r="J3220" s="897"/>
      <c r="K3220" s="528"/>
      <c r="L3220" s="549" t="s">
        <v>38</v>
      </c>
      <c r="M3220" s="711">
        <f t="shared" si="13147"/>
        <v>0</v>
      </c>
      <c r="N3220" s="897"/>
      <c r="O3220" s="528"/>
      <c r="P3220" s="548">
        <v>0</v>
      </c>
      <c r="Q3220" s="548">
        <v>0</v>
      </c>
      <c r="R3220" s="548">
        <v>0</v>
      </c>
      <c r="S3220" s="548">
        <v>0</v>
      </c>
      <c r="T3220" s="548">
        <v>0</v>
      </c>
      <c r="U3220" s="548">
        <v>0</v>
      </c>
      <c r="V3220" s="548"/>
      <c r="W3220" s="528"/>
      <c r="X3220" s="711">
        <f t="shared" si="13136"/>
        <v>0</v>
      </c>
      <c r="Y3220" s="897"/>
      <c r="Z3220" s="528"/>
      <c r="AA3220" s="899"/>
      <c r="AB3220" s="899"/>
      <c r="AC3220" s="899"/>
      <c r="AD3220" s="897"/>
      <c r="AE3220" s="2"/>
      <c r="AF3220" s="885"/>
      <c r="AG3220" s="885"/>
      <c r="AH3220" s="885"/>
      <c r="AI3220" s="885"/>
      <c r="AJ3220" s="885"/>
      <c r="AK3220" s="885"/>
      <c r="AL3220" s="885"/>
      <c r="AM3220" s="879"/>
      <c r="AN3220" s="2"/>
      <c r="AO3220" s="886"/>
      <c r="AP3220" s="886"/>
      <c r="AV3220" t="str">
        <f t="shared" si="13142"/>
        <v>Revegetação - Hidrossemeadura</v>
      </c>
      <c r="AW3220" s="4" t="str">
        <f t="shared" si="13143"/>
        <v xml:space="preserve">   Revestimento vegetal por hidrossemeadura</v>
      </c>
    </row>
    <row r="3221" spans="1:50" ht="12.95" customHeight="1" outlineLevel="1">
      <c r="A3221" s="8" t="str">
        <f t="shared" ref="A3221" si="13164">IF(SUM(P3221:V3222)&gt;0,"S","N")</f>
        <v>N</v>
      </c>
      <c r="B3221" s="150">
        <v>1070288</v>
      </c>
      <c r="C3221" s="150" t="s">
        <v>3644</v>
      </c>
      <c r="D3221" s="120" t="s">
        <v>3645</v>
      </c>
      <c r="E3221" s="892" t="s">
        <v>3302</v>
      </c>
      <c r="F3221" s="894" t="s">
        <v>3210</v>
      </c>
      <c r="G3221" s="528"/>
      <c r="H3221" s="546" t="s">
        <v>37</v>
      </c>
      <c r="I3221" s="711">
        <v>0</v>
      </c>
      <c r="J3221" s="896" t="str">
        <f t="shared" ref="J3221" si="13165">IFERROR((I3222/I3221),"-")</f>
        <v>-</v>
      </c>
      <c r="K3221" s="528"/>
      <c r="L3221" s="546" t="s">
        <v>37</v>
      </c>
      <c r="M3221" s="711">
        <f t="shared" si="13147"/>
        <v>0</v>
      </c>
      <c r="N3221" s="896" t="str">
        <f t="shared" ref="N3221" si="13166">IFERROR((M3222/M3221),"-")</f>
        <v>-</v>
      </c>
      <c r="O3221" s="528"/>
      <c r="P3221" s="547">
        <v>0</v>
      </c>
      <c r="Q3221" s="547">
        <v>0</v>
      </c>
      <c r="R3221" s="547">
        <v>0</v>
      </c>
      <c r="S3221" s="547">
        <v>0</v>
      </c>
      <c r="T3221" s="547">
        <v>0</v>
      </c>
      <c r="U3221" s="547">
        <v>0</v>
      </c>
      <c r="V3221" s="548">
        <v>0</v>
      </c>
      <c r="W3221" s="528"/>
      <c r="X3221" s="711">
        <f t="shared" si="13136"/>
        <v>0</v>
      </c>
      <c r="Y3221" s="896" t="str">
        <f t="shared" ref="Y3221" si="13167">IFERROR((X3222/X3221),"-")</f>
        <v>-</v>
      </c>
      <c r="Z3221" s="528"/>
      <c r="AA3221" s="898">
        <v>0</v>
      </c>
      <c r="AB3221" s="898">
        <v>0</v>
      </c>
      <c r="AC3221" s="898">
        <v>0</v>
      </c>
      <c r="AD3221" s="896" t="str">
        <f t="shared" ref="AD3221" si="13168">IFERROR((AC3221/AA3221),"-")</f>
        <v>-</v>
      </c>
      <c r="AE3221" s="2"/>
      <c r="AF3221" s="884">
        <v>0</v>
      </c>
      <c r="AG3221" s="884"/>
      <c r="AH3221" s="884">
        <v>0</v>
      </c>
      <c r="AI3221" s="884"/>
      <c r="AJ3221" s="884"/>
      <c r="AK3221" s="884">
        <f t="shared" ref="AK3221" si="13169">AF3221+AG3221+AH3221+AI3221+AJ3221+AC3221</f>
        <v>0</v>
      </c>
      <c r="AL3221" s="884">
        <v>0</v>
      </c>
      <c r="AM3221" s="878" t="str">
        <f t="shared" ref="AM3221" si="13170">IFERROR((AK3221/AL3221),"-")</f>
        <v>-</v>
      </c>
      <c r="AN3221" s="2"/>
      <c r="AO3221" s="884">
        <v>0</v>
      </c>
      <c r="AP3221" s="884">
        <f t="shared" ref="AP3221" si="13171">AO3221-AK3221</f>
        <v>0</v>
      </c>
      <c r="AV3221" t="str">
        <f t="shared" si="13142"/>
        <v>Revegetação - Hidrossemeadura</v>
      </c>
      <c r="AW3221" s="4" t="str">
        <f t="shared" si="13143"/>
        <v xml:space="preserve">   Revestimento vegetal por hidrossemeadura</v>
      </c>
    </row>
    <row r="3222" spans="1:50" ht="12.95" customHeight="1" outlineLevel="1">
      <c r="A3222" s="8" t="str">
        <f t="shared" ref="A3222" si="13172">A3221</f>
        <v>N</v>
      </c>
      <c r="B3222" s="150">
        <v>1070288</v>
      </c>
      <c r="C3222" s="150" t="s">
        <v>3644</v>
      </c>
      <c r="D3222" s="120" t="s">
        <v>3645</v>
      </c>
      <c r="E3222" s="893"/>
      <c r="F3222" s="895"/>
      <c r="G3222" s="528"/>
      <c r="H3222" s="549" t="s">
        <v>38</v>
      </c>
      <c r="I3222" s="711">
        <v>0</v>
      </c>
      <c r="J3222" s="897"/>
      <c r="K3222" s="528"/>
      <c r="L3222" s="549" t="s">
        <v>38</v>
      </c>
      <c r="M3222" s="711">
        <f t="shared" si="13147"/>
        <v>0</v>
      </c>
      <c r="N3222" s="897"/>
      <c r="O3222" s="528"/>
      <c r="P3222" s="548">
        <v>0</v>
      </c>
      <c r="Q3222" s="548">
        <v>0</v>
      </c>
      <c r="R3222" s="548">
        <v>0</v>
      </c>
      <c r="S3222" s="548">
        <v>0</v>
      </c>
      <c r="T3222" s="548">
        <v>0</v>
      </c>
      <c r="U3222" s="548">
        <v>0</v>
      </c>
      <c r="V3222" s="548"/>
      <c r="W3222" s="528"/>
      <c r="X3222" s="711">
        <f t="shared" si="13136"/>
        <v>0</v>
      </c>
      <c r="Y3222" s="897"/>
      <c r="Z3222" s="528"/>
      <c r="AA3222" s="899"/>
      <c r="AB3222" s="899"/>
      <c r="AC3222" s="899"/>
      <c r="AD3222" s="897"/>
      <c r="AE3222" s="2"/>
      <c r="AF3222" s="908"/>
      <c r="AG3222" s="885"/>
      <c r="AH3222" s="885"/>
      <c r="AI3222" s="885"/>
      <c r="AJ3222" s="885"/>
      <c r="AK3222" s="885"/>
      <c r="AL3222" s="885"/>
      <c r="AM3222" s="879"/>
      <c r="AN3222" s="2"/>
      <c r="AO3222" s="886"/>
      <c r="AP3222" s="886"/>
      <c r="AV3222" t="str">
        <f t="shared" si="13142"/>
        <v>Revegetação - Hidrossemeadura</v>
      </c>
      <c r="AW3222" s="4" t="str">
        <f t="shared" si="13143"/>
        <v xml:space="preserve">   Revestimento vegetal por hidrossemeadura</v>
      </c>
    </row>
    <row r="3223" spans="1:50" ht="12.95" customHeight="1" outlineLevel="1">
      <c r="A3223" s="209">
        <v>0</v>
      </c>
      <c r="B3223" s="150"/>
      <c r="C3223" s="150"/>
      <c r="D3223" s="117"/>
      <c r="E3223" s="535"/>
      <c r="F3223" s="536"/>
      <c r="G3223" s="537"/>
      <c r="H3223" s="714"/>
      <c r="I3223" s="538"/>
      <c r="J3223" s="714"/>
      <c r="K3223" s="537"/>
      <c r="L3223" s="714"/>
      <c r="M3223" s="538"/>
      <c r="N3223" s="714"/>
      <c r="O3223" s="537"/>
      <c r="P3223" s="539"/>
      <c r="Q3223" s="539"/>
      <c r="R3223" s="539"/>
      <c r="S3223" s="539"/>
      <c r="T3223" s="539"/>
      <c r="U3223" s="539"/>
      <c r="V3223" s="539"/>
      <c r="W3223" s="537"/>
      <c r="X3223" s="540"/>
      <c r="Y3223" s="537"/>
      <c r="Z3223" s="537"/>
      <c r="AA3223" s="250"/>
      <c r="AB3223" s="250"/>
      <c r="AC3223" s="249"/>
      <c r="AD3223" s="537"/>
      <c r="AE3223" s="3"/>
      <c r="AF3223" s="36"/>
      <c r="AG3223" s="36"/>
      <c r="AH3223" s="36"/>
      <c r="AI3223" s="36"/>
      <c r="AJ3223" s="36"/>
      <c r="AK3223" s="36"/>
      <c r="AL3223" s="36"/>
      <c r="AM3223" s="3"/>
      <c r="AN3223" s="3"/>
      <c r="AO3223" s="36"/>
      <c r="AP3223" s="36"/>
      <c r="AV3223" t="str">
        <f t="shared" si="13142"/>
        <v>Revegetação - Hidrossemeadura</v>
      </c>
      <c r="AW3223" s="4" t="str">
        <f t="shared" si="13143"/>
        <v xml:space="preserve">   Revestimento vegetal por hidrossemeadura</v>
      </c>
    </row>
    <row r="3224" spans="1:50" ht="24" customHeight="1" outlineLevel="2">
      <c r="A3224" s="525">
        <v>0</v>
      </c>
      <c r="B3224" s="526"/>
      <c r="C3224" s="526">
        <v>0</v>
      </c>
      <c r="D3224" s="609"/>
      <c r="E3224" s="870" t="s">
        <v>3646</v>
      </c>
      <c r="F3224" s="894" t="s">
        <v>3210</v>
      </c>
      <c r="G3224" s="590"/>
      <c r="H3224" s="529" t="s">
        <v>37</v>
      </c>
      <c r="I3224" s="707">
        <f>I3228+I3252+I3277+I3289+I3309</f>
        <v>10000</v>
      </c>
      <c r="J3224" s="900">
        <f t="shared" ref="J3224" si="13173">IFERROR((I3225/I3224),"-")</f>
        <v>1.1100000000000001</v>
      </c>
      <c r="K3224" s="590"/>
      <c r="L3224" s="529" t="s">
        <v>37</v>
      </c>
      <c r="M3224" s="707">
        <f>M3228+M3252+M3277+M3289+M3309</f>
        <v>1750</v>
      </c>
      <c r="N3224" s="900">
        <f t="shared" ref="N3224" si="13174">IFERROR((M3225/M3224),"-")</f>
        <v>0.68571428571428572</v>
      </c>
      <c r="O3224" s="590"/>
      <c r="P3224" s="707">
        <f t="shared" ref="P3224:V3225" si="13175">P3228+P3252+P3277+P3289+P3309</f>
        <v>1750</v>
      </c>
      <c r="Q3224" s="707">
        <f t="shared" si="13175"/>
        <v>1750</v>
      </c>
      <c r="R3224" s="707">
        <f t="shared" si="13175"/>
        <v>1750</v>
      </c>
      <c r="S3224" s="707">
        <f t="shared" si="13175"/>
        <v>1750</v>
      </c>
      <c r="T3224" s="707">
        <f t="shared" si="13175"/>
        <v>1500</v>
      </c>
      <c r="U3224" s="707">
        <f t="shared" si="13175"/>
        <v>1500</v>
      </c>
      <c r="V3224" s="708">
        <f t="shared" si="13175"/>
        <v>0</v>
      </c>
      <c r="W3224" s="590"/>
      <c r="X3224" s="707">
        <f>SUMIFS(P3224:V3224,$P$8:$V$8,"&gt;="&amp;$P$8,$P$8:$V$8,"&lt;="&amp;$N$8)</f>
        <v>3500</v>
      </c>
      <c r="Y3224" s="900">
        <f t="shared" ref="Y3224" si="13176">IFERROR((X3225/X3224),"-")</f>
        <v>0.5714285714285714</v>
      </c>
      <c r="Z3224" s="590"/>
      <c r="AA3224" s="755">
        <f>AA3228+AA3252+AA3277+AA3289+AA3309</f>
        <v>27650.539999999997</v>
      </c>
      <c r="AB3224" s="755">
        <f>AB3228+AB3252+AB3277+AB3289+AB3309</f>
        <v>13236.289999999999</v>
      </c>
      <c r="AC3224" s="755">
        <f>AC3228+AC3252+AC3277+AC3289+AC3309</f>
        <v>17900</v>
      </c>
      <c r="AD3224" s="900">
        <f>IFERROR((AC3224/AA3224),"-")</f>
        <v>0.64736529557831424</v>
      </c>
      <c r="AE3224" s="590"/>
      <c r="AF3224" s="755">
        <f t="shared" ref="AF3224:AL3224" si="13177">AF3228+AF3252+AF3277+AF3289+AF3309</f>
        <v>85051.16</v>
      </c>
      <c r="AG3224" s="755">
        <f t="shared" si="13177"/>
        <v>12825.099999999999</v>
      </c>
      <c r="AH3224" s="755">
        <f t="shared" si="13177"/>
        <v>7900</v>
      </c>
      <c r="AI3224" s="755">
        <f t="shared" si="13177"/>
        <v>7141.61</v>
      </c>
      <c r="AJ3224" s="755">
        <f t="shared" si="13177"/>
        <v>0</v>
      </c>
      <c r="AK3224" s="755">
        <f t="shared" si="13177"/>
        <v>130817.87</v>
      </c>
      <c r="AL3224" s="755">
        <f t="shared" si="13177"/>
        <v>403376.92000000004</v>
      </c>
      <c r="AM3224" s="900">
        <f>IFERROR((AK3224/AL3224),"-")</f>
        <v>0.32430677987228418</v>
      </c>
      <c r="AN3224" s="590"/>
      <c r="AO3224" s="755">
        <f>AO3228+AO3252+AO3277+AO3289+AO3309</f>
        <v>598356.94000000006</v>
      </c>
      <c r="AP3224" s="755">
        <f>AP3228+AP3252+AP3277+AP3289+AP3309</f>
        <v>467539.07000000007</v>
      </c>
      <c r="AV3224" s="275" t="str">
        <f t="shared" si="13142"/>
        <v>Revegetação - Biomanta</v>
      </c>
      <c r="AW3224" s="275" t="str">
        <f t="shared" si="13143"/>
        <v>Revegetação - Biomanta</v>
      </c>
      <c r="AX3224" s="275" t="s">
        <v>176</v>
      </c>
    </row>
    <row r="3225" spans="1:50" ht="24" customHeight="1" outlineLevel="2">
      <c r="A3225" s="525">
        <v>0</v>
      </c>
      <c r="B3225" s="526"/>
      <c r="C3225" s="526"/>
      <c r="D3225" s="609"/>
      <c r="E3225" s="871"/>
      <c r="F3225" s="895"/>
      <c r="G3225" s="590"/>
      <c r="H3225" s="531" t="s">
        <v>38</v>
      </c>
      <c r="I3225" s="707">
        <f>I3229+I3253+I3278+I3290+I3310</f>
        <v>11100</v>
      </c>
      <c r="J3225" s="901"/>
      <c r="K3225" s="590"/>
      <c r="L3225" s="531" t="s">
        <v>38</v>
      </c>
      <c r="M3225" s="707">
        <f>M3229+M3253+M3278+M3290+M3310</f>
        <v>1200</v>
      </c>
      <c r="N3225" s="901"/>
      <c r="O3225" s="590"/>
      <c r="P3225" s="707">
        <f t="shared" si="13175"/>
        <v>800</v>
      </c>
      <c r="Q3225" s="707">
        <f t="shared" si="13175"/>
        <v>1200</v>
      </c>
      <c r="R3225" s="707">
        <f t="shared" si="13175"/>
        <v>0</v>
      </c>
      <c r="S3225" s="707">
        <f t="shared" si="13175"/>
        <v>0</v>
      </c>
      <c r="T3225" s="707">
        <f t="shared" si="13175"/>
        <v>0</v>
      </c>
      <c r="U3225" s="707">
        <f t="shared" si="13175"/>
        <v>0</v>
      </c>
      <c r="V3225" s="707">
        <f t="shared" si="13175"/>
        <v>0</v>
      </c>
      <c r="W3225" s="590"/>
      <c r="X3225" s="707">
        <f t="shared" ref="X3225" si="13178">SUMIFS(P3225:V3225,$P$8:$V$8,"&gt;="&amp;$P$8,$P$8:$V$8,"&lt;="&amp;$N$8)</f>
        <v>2000</v>
      </c>
      <c r="Y3225" s="901"/>
      <c r="Z3225" s="590"/>
      <c r="AA3225" s="756"/>
      <c r="AB3225" s="756"/>
      <c r="AC3225" s="756"/>
      <c r="AD3225" s="901"/>
      <c r="AE3225" s="590"/>
      <c r="AF3225" s="756"/>
      <c r="AG3225" s="756"/>
      <c r="AH3225" s="756"/>
      <c r="AI3225" s="756"/>
      <c r="AJ3225" s="756"/>
      <c r="AK3225" s="756"/>
      <c r="AL3225" s="756"/>
      <c r="AM3225" s="901"/>
      <c r="AN3225" s="590"/>
      <c r="AO3225" s="756"/>
      <c r="AP3225" s="756"/>
      <c r="AV3225" t="str">
        <f t="shared" si="13142"/>
        <v>Revegetação - Biomanta</v>
      </c>
      <c r="AW3225" s="4" t="str">
        <f t="shared" si="13143"/>
        <v>Revegetação - Biomanta</v>
      </c>
    </row>
    <row r="3226" spans="1:50" ht="12.95" customHeight="1" outlineLevel="2">
      <c r="A3226" s="209">
        <v>0</v>
      </c>
      <c r="B3226" s="150"/>
      <c r="C3226" s="150"/>
      <c r="D3226" s="117"/>
      <c r="E3226" s="3"/>
      <c r="F3226" s="59"/>
      <c r="G3226" s="3"/>
      <c r="I3226" s="57"/>
      <c r="K3226" s="3"/>
      <c r="M3226" s="57"/>
      <c r="O3226" s="3"/>
      <c r="P3226" s="119"/>
      <c r="Q3226" s="119"/>
      <c r="R3226" s="119"/>
      <c r="S3226" s="119"/>
      <c r="T3226" s="119"/>
      <c r="U3226" s="119"/>
      <c r="V3226" s="119"/>
      <c r="W3226" s="3"/>
      <c r="X3226" s="37"/>
      <c r="Y3226" s="3"/>
      <c r="Z3226" s="3"/>
      <c r="AA3226" s="36"/>
      <c r="AB3226" s="36"/>
      <c r="AC3226" s="35"/>
      <c r="AD3226" s="3"/>
      <c r="AE3226" s="3"/>
      <c r="AF3226" s="36"/>
      <c r="AG3226" s="36"/>
      <c r="AH3226" s="36"/>
      <c r="AI3226" s="36"/>
      <c r="AJ3226" s="36"/>
      <c r="AK3226" s="36"/>
      <c r="AL3226" s="36"/>
      <c r="AM3226" s="3"/>
      <c r="AN3226" s="3"/>
      <c r="AO3226" s="36"/>
      <c r="AP3226" s="36"/>
      <c r="AV3226" t="str">
        <f t="shared" si="13142"/>
        <v>Revegetação - Biomanta</v>
      </c>
      <c r="AW3226" s="4" t="str">
        <f t="shared" si="13143"/>
        <v>Revegetação - Biomanta</v>
      </c>
    </row>
    <row r="3227" spans="1:50" ht="12.95" customHeight="1" outlineLevel="2" collapsed="1">
      <c r="A3227" s="209">
        <v>0</v>
      </c>
      <c r="B3227" s="150"/>
      <c r="C3227" s="150"/>
      <c r="D3227" s="117"/>
      <c r="E3227" s="3"/>
      <c r="F3227" s="92"/>
      <c r="G3227" s="3"/>
      <c r="H3227" s="3"/>
      <c r="I3227" s="36"/>
      <c r="J3227" s="3"/>
      <c r="K3227" s="3"/>
      <c r="L3227" s="3"/>
      <c r="M3227" s="36"/>
      <c r="N3227" s="3"/>
      <c r="O3227" s="3"/>
      <c r="P3227" s="119"/>
      <c r="Q3227" s="119"/>
      <c r="R3227" s="119"/>
      <c r="S3227" s="119"/>
      <c r="T3227" s="119"/>
      <c r="U3227" s="119"/>
      <c r="V3227" s="119"/>
      <c r="W3227" s="3"/>
      <c r="X3227" s="37"/>
      <c r="Y3227" s="3"/>
      <c r="Z3227" s="3"/>
      <c r="AA3227" s="36"/>
      <c r="AB3227" s="36"/>
      <c r="AC3227" s="35"/>
      <c r="AD3227" s="3"/>
      <c r="AE3227" s="3"/>
      <c r="AF3227" s="36"/>
      <c r="AG3227" s="36"/>
      <c r="AH3227" s="36"/>
      <c r="AI3227" s="36"/>
      <c r="AJ3227" s="36"/>
      <c r="AK3227" s="36"/>
      <c r="AL3227" s="36"/>
      <c r="AM3227" s="3"/>
      <c r="AN3227" s="3"/>
      <c r="AO3227" s="36"/>
      <c r="AP3227" s="36"/>
      <c r="AV3227" t="str">
        <f t="shared" si="13142"/>
        <v>Revegetação - Biomanta</v>
      </c>
      <c r="AW3227" s="4" t="str">
        <f t="shared" si="13143"/>
        <v>Revegetação - Biomanta</v>
      </c>
    </row>
    <row r="3228" spans="1:50" ht="12.95" customHeight="1" outlineLevel="2">
      <c r="A3228" s="209">
        <v>0</v>
      </c>
      <c r="B3228" s="150"/>
      <c r="C3228" s="150">
        <v>0</v>
      </c>
      <c r="D3228" s="122"/>
      <c r="E3228" s="739" t="s">
        <v>39</v>
      </c>
      <c r="F3228" s="876" t="s">
        <v>3210</v>
      </c>
      <c r="G3228" s="2"/>
      <c r="H3228" s="53" t="s">
        <v>37</v>
      </c>
      <c r="I3228" s="52">
        <f>SUMIF($L3230:$L3249,$L3228,I3230:I3249)</f>
        <v>10000</v>
      </c>
      <c r="J3228" s="743">
        <f>IFERROR((I3229/I3228),"-")</f>
        <v>0</v>
      </c>
      <c r="K3228" s="2"/>
      <c r="L3228" s="53" t="s">
        <v>37</v>
      </c>
      <c r="M3228" s="52">
        <f>SUMIF($L3230:$L3249,$L3228,M3230:M3249)</f>
        <v>1750</v>
      </c>
      <c r="N3228" s="743">
        <f>IFERROR((M3229/M3228),"-")</f>
        <v>0.68571428571428572</v>
      </c>
      <c r="O3228" s="2"/>
      <c r="P3228" s="52">
        <f t="shared" ref="P3228:V3228" si="13179">SUMIF($L3230:$L3249,$L3228,P3230:P3249)</f>
        <v>1750</v>
      </c>
      <c r="Q3228" s="52">
        <f t="shared" si="13179"/>
        <v>1750</v>
      </c>
      <c r="R3228" s="52">
        <f t="shared" si="13179"/>
        <v>1750</v>
      </c>
      <c r="S3228" s="52">
        <f t="shared" si="13179"/>
        <v>1750</v>
      </c>
      <c r="T3228" s="52">
        <f t="shared" si="13179"/>
        <v>1500</v>
      </c>
      <c r="U3228" s="52">
        <f t="shared" si="13179"/>
        <v>1500</v>
      </c>
      <c r="V3228" s="52">
        <f t="shared" si="13179"/>
        <v>0</v>
      </c>
      <c r="W3228" s="2"/>
      <c r="X3228" s="52">
        <f t="shared" ref="X3228:X3249" si="13180">SUMIFS(P3228:V3228,$P$8:$V$8,"&gt;="&amp;$P$8,$P$8:$V$8,"&lt;="&amp;$N$8)</f>
        <v>3500</v>
      </c>
      <c r="Y3228" s="743">
        <f>IFERROR((X3229/X3228),"-")</f>
        <v>0.34285714285714286</v>
      </c>
      <c r="Z3228" s="2"/>
      <c r="AA3228" s="888">
        <f>SUM(AA3230:AA3249)</f>
        <v>23153.35</v>
      </c>
      <c r="AB3228" s="888">
        <f t="shared" ref="AB3228:AC3228" si="13181">SUM(AB3230:AB3249)</f>
        <v>11237.57</v>
      </c>
      <c r="AC3228" s="888">
        <f t="shared" si="13181"/>
        <v>1200</v>
      </c>
      <c r="AD3228" s="890">
        <f>IFERROR((AC3228/AA3228),"-")</f>
        <v>5.1828353132484073E-2</v>
      </c>
      <c r="AE3228" s="2"/>
      <c r="AF3228" s="888">
        <f t="shared" ref="AF3228:AI3228" si="13182">SUM(AF3230:AF3249)</f>
        <v>46333.52</v>
      </c>
      <c r="AG3228" s="888">
        <f t="shared" si="13182"/>
        <v>7747.66</v>
      </c>
      <c r="AH3228" s="888">
        <f t="shared" si="13182"/>
        <v>800</v>
      </c>
      <c r="AI3228" s="888">
        <f t="shared" si="13182"/>
        <v>0</v>
      </c>
      <c r="AJ3228" s="888">
        <f t="shared" ref="AJ3228:AL3228" si="13183">SUM(AJ3230:AJ3249)</f>
        <v>0</v>
      </c>
      <c r="AK3228" s="888">
        <f t="shared" si="13183"/>
        <v>56081.18</v>
      </c>
      <c r="AL3228" s="888">
        <f t="shared" si="13183"/>
        <v>76270.900000000009</v>
      </c>
      <c r="AM3228" s="743">
        <f>IFERROR((AK3228/AL3228),"-")</f>
        <v>0.73528934364220155</v>
      </c>
      <c r="AN3228" s="2"/>
      <c r="AO3228" s="888">
        <f t="shared" ref="AO3228:AP3228" si="13184">SUM(AO3230:AO3249)</f>
        <v>161919.45000000001</v>
      </c>
      <c r="AP3228" s="888">
        <f t="shared" si="13184"/>
        <v>105838.27</v>
      </c>
      <c r="AV3228" t="str">
        <f t="shared" si="13142"/>
        <v>Revegetação - Biomanta</v>
      </c>
      <c r="AW3228" s="4" t="str">
        <f t="shared" si="13143"/>
        <v>Pacote 04 - Segmento 2.2B- Km 104+500 a Km 116+400</v>
      </c>
    </row>
    <row r="3229" spans="1:50" ht="12.95" customHeight="1" outlineLevel="2">
      <c r="A3229" s="209">
        <v>0</v>
      </c>
      <c r="B3229" s="150"/>
      <c r="C3229" s="150"/>
      <c r="D3229" s="123"/>
      <c r="E3229" s="739"/>
      <c r="F3229" s="877"/>
      <c r="G3229" s="2"/>
      <c r="H3229" s="54" t="s">
        <v>38</v>
      </c>
      <c r="I3229" s="52">
        <f>SUMIF($L3230:$L3249,$L3229,I3230:I3249)</f>
        <v>0</v>
      </c>
      <c r="J3229" s="744"/>
      <c r="K3229" s="2"/>
      <c r="L3229" s="54" t="s">
        <v>38</v>
      </c>
      <c r="M3229" s="52">
        <f>SUMIF($L3230:$L3249,$L3229,M3230:M3249)</f>
        <v>1200</v>
      </c>
      <c r="N3229" s="744"/>
      <c r="O3229" s="2"/>
      <c r="P3229" s="52">
        <f t="shared" ref="P3229:V3229" si="13185">SUMIF($L3230:$L3249,$L3229,P3230:P3249)</f>
        <v>0</v>
      </c>
      <c r="Q3229" s="52">
        <f t="shared" si="13185"/>
        <v>1200</v>
      </c>
      <c r="R3229" s="52">
        <f t="shared" si="13185"/>
        <v>0</v>
      </c>
      <c r="S3229" s="52">
        <f t="shared" si="13185"/>
        <v>0</v>
      </c>
      <c r="T3229" s="52">
        <f t="shared" si="13185"/>
        <v>0</v>
      </c>
      <c r="U3229" s="52">
        <f t="shared" si="13185"/>
        <v>0</v>
      </c>
      <c r="V3229" s="52">
        <f t="shared" si="13185"/>
        <v>0</v>
      </c>
      <c r="W3229" s="2"/>
      <c r="X3229" s="52">
        <f t="shared" si="13180"/>
        <v>1200</v>
      </c>
      <c r="Y3229" s="744"/>
      <c r="Z3229" s="2"/>
      <c r="AA3229" s="889"/>
      <c r="AB3229" s="889"/>
      <c r="AC3229" s="889"/>
      <c r="AD3229" s="891"/>
      <c r="AE3229" s="2"/>
      <c r="AF3229" s="889"/>
      <c r="AG3229" s="889"/>
      <c r="AH3229" s="889"/>
      <c r="AI3229" s="889"/>
      <c r="AJ3229" s="889"/>
      <c r="AK3229" s="889"/>
      <c r="AL3229" s="889"/>
      <c r="AM3229" s="744"/>
      <c r="AN3229" s="2"/>
      <c r="AO3229" s="889"/>
      <c r="AP3229" s="889"/>
      <c r="AV3229" t="str">
        <f t="shared" si="13142"/>
        <v>Revegetação - Biomanta</v>
      </c>
      <c r="AW3229" s="4" t="str">
        <f t="shared" si="13143"/>
        <v>Pacote 04 - Segmento 2.2B- Km 104+500 a Km 116+400</v>
      </c>
    </row>
    <row r="3230" spans="1:50" ht="12.95" customHeight="1" outlineLevel="2">
      <c r="A3230" s="8" t="str">
        <f t="shared" ref="A3230" si="13186">IF(SUM(P3230:V3231)&gt;0,"S","N")</f>
        <v>N</v>
      </c>
      <c r="B3230" s="150">
        <v>1069329</v>
      </c>
      <c r="C3230" s="150" t="s">
        <v>3647</v>
      </c>
      <c r="D3230" s="347" t="s">
        <v>3648</v>
      </c>
      <c r="E3230" s="874" t="s">
        <v>3649</v>
      </c>
      <c r="F3230" s="876" t="s">
        <v>3210</v>
      </c>
      <c r="G3230" s="2"/>
      <c r="H3230" s="49" t="s">
        <v>37</v>
      </c>
      <c r="I3230" s="705">
        <v>0</v>
      </c>
      <c r="J3230" s="878" t="str">
        <f t="shared" ref="J3230" si="13187">IFERROR((I3231/I3230),"-")</f>
        <v>-</v>
      </c>
      <c r="K3230" s="2"/>
      <c r="L3230" s="49" t="s">
        <v>37</v>
      </c>
      <c r="M3230" s="705">
        <f t="shared" ref="M3230:M3249" si="13188">_xlfn.XLOOKUP($N$8,$P$8:$V$8,$P3230:$V3230)</f>
        <v>0</v>
      </c>
      <c r="N3230" s="878" t="str">
        <f t="shared" ref="N3230" si="13189">IFERROR((M3231/M3230),"-")</f>
        <v>-</v>
      </c>
      <c r="O3230" s="2"/>
      <c r="P3230" s="121">
        <v>0</v>
      </c>
      <c r="Q3230" s="121">
        <v>0</v>
      </c>
      <c r="R3230" s="121">
        <v>0</v>
      </c>
      <c r="S3230" s="121">
        <v>0</v>
      </c>
      <c r="T3230" s="121">
        <v>0</v>
      </c>
      <c r="U3230" s="121">
        <v>0</v>
      </c>
      <c r="V3230" s="126">
        <v>0</v>
      </c>
      <c r="W3230" s="2"/>
      <c r="X3230" s="705">
        <f t="shared" si="13180"/>
        <v>0</v>
      </c>
      <c r="Y3230" s="878" t="str">
        <f t="shared" ref="Y3230" si="13190">IFERROR((X3231/X3230),"-")</f>
        <v>-</v>
      </c>
      <c r="Z3230" s="2"/>
      <c r="AA3230" s="884">
        <v>0</v>
      </c>
      <c r="AB3230" s="884">
        <v>0</v>
      </c>
      <c r="AC3230" s="884">
        <v>0</v>
      </c>
      <c r="AD3230" s="878" t="str">
        <f t="shared" ref="AD3230" si="13191">IFERROR((AC3230/AA3230),"-")</f>
        <v>-</v>
      </c>
      <c r="AE3230" s="2"/>
      <c r="AF3230" s="884"/>
      <c r="AG3230" s="884">
        <v>0</v>
      </c>
      <c r="AH3230" s="884">
        <v>0</v>
      </c>
      <c r="AI3230" s="884"/>
      <c r="AJ3230" s="884"/>
      <c r="AK3230" s="884">
        <f t="shared" ref="AK3230" si="13192">AF3230+AG3230+AH3230+AI3230+AJ3230+AC3230</f>
        <v>0</v>
      </c>
      <c r="AL3230" s="884">
        <v>5097.62</v>
      </c>
      <c r="AM3230" s="878">
        <f t="shared" ref="AM3230" si="13193">IFERROR((AK3230/AL3230),"-")</f>
        <v>0</v>
      </c>
      <c r="AN3230" s="2"/>
      <c r="AO3230" s="884">
        <v>5097.63</v>
      </c>
      <c r="AP3230" s="884">
        <f t="shared" ref="AP3230" si="13194">AO3230-AK3230</f>
        <v>5097.63</v>
      </c>
      <c r="AV3230" t="str">
        <f t="shared" si="13142"/>
        <v>Revegetação - Biomanta</v>
      </c>
      <c r="AW3230" s="4" t="str">
        <f t="shared" si="13143"/>
        <v xml:space="preserve">   Aplicação de biomanta</v>
      </c>
    </row>
    <row r="3231" spans="1:50" ht="12.95" customHeight="1" outlineLevel="2">
      <c r="A3231" s="8" t="str">
        <f t="shared" ref="A3231" si="13195">A3230</f>
        <v>N</v>
      </c>
      <c r="B3231" s="150">
        <v>1069329</v>
      </c>
      <c r="C3231" s="150" t="s">
        <v>3647</v>
      </c>
      <c r="D3231" s="347" t="s">
        <v>3648</v>
      </c>
      <c r="E3231" s="875"/>
      <c r="F3231" s="877"/>
      <c r="G3231" s="2"/>
      <c r="H3231" s="50" t="s">
        <v>38</v>
      </c>
      <c r="I3231" s="705">
        <v>0</v>
      </c>
      <c r="J3231" s="879"/>
      <c r="K3231" s="2"/>
      <c r="L3231" s="50" t="s">
        <v>38</v>
      </c>
      <c r="M3231" s="705">
        <f t="shared" si="13188"/>
        <v>0</v>
      </c>
      <c r="N3231" s="879"/>
      <c r="O3231" s="2"/>
      <c r="P3231" s="126">
        <v>0</v>
      </c>
      <c r="Q3231" s="126">
        <v>0</v>
      </c>
      <c r="R3231" s="126">
        <v>0</v>
      </c>
      <c r="S3231" s="126">
        <v>0</v>
      </c>
      <c r="T3231" s="126">
        <v>0</v>
      </c>
      <c r="U3231" s="126">
        <v>0</v>
      </c>
      <c r="V3231" s="126"/>
      <c r="W3231" s="2"/>
      <c r="X3231" s="705">
        <f t="shared" si="13180"/>
        <v>0</v>
      </c>
      <c r="Y3231" s="879"/>
      <c r="Z3231" s="2"/>
      <c r="AA3231" s="885"/>
      <c r="AB3231" s="885"/>
      <c r="AC3231" s="885"/>
      <c r="AD3231" s="879"/>
      <c r="AE3231" s="2"/>
      <c r="AF3231" s="885"/>
      <c r="AG3231" s="885"/>
      <c r="AH3231" s="885"/>
      <c r="AI3231" s="885"/>
      <c r="AJ3231" s="885"/>
      <c r="AK3231" s="885"/>
      <c r="AL3231" s="885"/>
      <c r="AM3231" s="879"/>
      <c r="AN3231" s="2"/>
      <c r="AO3231" s="886"/>
      <c r="AP3231" s="886"/>
      <c r="AV3231" t="str">
        <f t="shared" si="13142"/>
        <v>Revegetação - Biomanta</v>
      </c>
      <c r="AW3231" s="4" t="str">
        <f t="shared" si="13143"/>
        <v xml:space="preserve">   Aplicação de biomanta</v>
      </c>
    </row>
    <row r="3232" spans="1:50" ht="12.95" customHeight="1" outlineLevel="2">
      <c r="A3232" s="8" t="str">
        <f t="shared" ref="A3232" si="13196">IF(SUM(P3232:V3233)&gt;0,"S","N")</f>
        <v>N</v>
      </c>
      <c r="B3232" s="150">
        <v>1067120</v>
      </c>
      <c r="C3232" s="150" t="s">
        <v>3650</v>
      </c>
      <c r="D3232" s="120" t="s">
        <v>3651</v>
      </c>
      <c r="E3232" s="874" t="s">
        <v>3652</v>
      </c>
      <c r="F3232" s="876" t="s">
        <v>3210</v>
      </c>
      <c r="G3232" s="2"/>
      <c r="H3232" s="49" t="s">
        <v>37</v>
      </c>
      <c r="I3232" s="705">
        <v>0</v>
      </c>
      <c r="J3232" s="878" t="str">
        <f t="shared" ref="J3232" si="13197">IFERROR((I3233/I3232),"-")</f>
        <v>-</v>
      </c>
      <c r="K3232" s="2"/>
      <c r="L3232" s="49" t="s">
        <v>37</v>
      </c>
      <c r="M3232" s="705">
        <f t="shared" si="13188"/>
        <v>0</v>
      </c>
      <c r="N3232" s="878" t="str">
        <f t="shared" ref="N3232" si="13198">IFERROR((M3233/M3232),"-")</f>
        <v>-</v>
      </c>
      <c r="O3232" s="2"/>
      <c r="P3232" s="121">
        <v>0</v>
      </c>
      <c r="Q3232" s="121">
        <v>0</v>
      </c>
      <c r="R3232" s="121">
        <v>0</v>
      </c>
      <c r="S3232" s="121">
        <v>0</v>
      </c>
      <c r="T3232" s="121">
        <v>0</v>
      </c>
      <c r="U3232" s="121">
        <v>0</v>
      </c>
      <c r="V3232" s="126">
        <v>0</v>
      </c>
      <c r="W3232" s="2"/>
      <c r="X3232" s="705">
        <f t="shared" si="13180"/>
        <v>0</v>
      </c>
      <c r="Y3232" s="878" t="str">
        <f t="shared" ref="Y3232" si="13199">IFERROR((X3233/X3232),"-")</f>
        <v>-</v>
      </c>
      <c r="Z3232" s="2"/>
      <c r="AA3232" s="884">
        <v>0</v>
      </c>
      <c r="AB3232" s="884">
        <v>0</v>
      </c>
      <c r="AC3232" s="884">
        <v>0</v>
      </c>
      <c r="AD3232" s="878" t="str">
        <f>IFERROR((AC3232/AA3232),"-")</f>
        <v>-</v>
      </c>
      <c r="AE3232" s="2"/>
      <c r="AF3232" s="884"/>
      <c r="AG3232" s="884">
        <v>2954.44</v>
      </c>
      <c r="AH3232" s="884">
        <v>0</v>
      </c>
      <c r="AI3232" s="884"/>
      <c r="AJ3232" s="884"/>
      <c r="AK3232" s="884">
        <f t="shared" ref="AK3232" si="13200">AF3232+AG3232+AH3232+AI3232+AJ3232+AC3232</f>
        <v>2954.44</v>
      </c>
      <c r="AL3232" s="884">
        <v>24462.900000000005</v>
      </c>
      <c r="AM3232" s="878">
        <f t="shared" ref="AM3232" si="13201">IFERROR((AK3232/AL3232),"-")</f>
        <v>0.12077227148048675</v>
      </c>
      <c r="AN3232" s="2"/>
      <c r="AO3232" s="884">
        <v>24710.07</v>
      </c>
      <c r="AP3232" s="884">
        <f t="shared" ref="AP3232" si="13202">AO3232-AK3232</f>
        <v>21755.63</v>
      </c>
      <c r="AV3232" t="str">
        <f t="shared" si="13142"/>
        <v>Revegetação - Biomanta</v>
      </c>
      <c r="AW3232" s="4" t="str">
        <f t="shared" si="13143"/>
        <v xml:space="preserve">   Seg. 2.2-C07 - Aplicação de biomanta + hidrossemeadura</v>
      </c>
    </row>
    <row r="3233" spans="1:49" ht="12.95" customHeight="1" outlineLevel="2">
      <c r="A3233" s="8" t="str">
        <f t="shared" ref="A3233" si="13203">A3232</f>
        <v>N</v>
      </c>
      <c r="B3233" s="150"/>
      <c r="C3233" s="150" t="s">
        <v>3650</v>
      </c>
      <c r="D3233" s="120" t="s">
        <v>3651</v>
      </c>
      <c r="E3233" s="875"/>
      <c r="F3233" s="877"/>
      <c r="G3233" s="2"/>
      <c r="H3233" s="50" t="s">
        <v>38</v>
      </c>
      <c r="I3233" s="705">
        <v>0</v>
      </c>
      <c r="J3233" s="879"/>
      <c r="K3233" s="2"/>
      <c r="L3233" s="50" t="s">
        <v>38</v>
      </c>
      <c r="M3233" s="705">
        <f t="shared" si="13188"/>
        <v>0</v>
      </c>
      <c r="N3233" s="879"/>
      <c r="O3233" s="2"/>
      <c r="P3233" s="126">
        <v>0</v>
      </c>
      <c r="Q3233" s="126">
        <v>0</v>
      </c>
      <c r="R3233" s="126">
        <v>0</v>
      </c>
      <c r="S3233" s="126">
        <v>0</v>
      </c>
      <c r="T3233" s="126">
        <v>0</v>
      </c>
      <c r="U3233" s="126">
        <v>0</v>
      </c>
      <c r="V3233" s="126"/>
      <c r="W3233" s="2"/>
      <c r="X3233" s="705">
        <f t="shared" si="13180"/>
        <v>0</v>
      </c>
      <c r="Y3233" s="879"/>
      <c r="Z3233" s="2"/>
      <c r="AA3233" s="885"/>
      <c r="AB3233" s="885"/>
      <c r="AC3233" s="885"/>
      <c r="AD3233" s="879"/>
      <c r="AE3233" s="2"/>
      <c r="AF3233" s="885"/>
      <c r="AG3233" s="885"/>
      <c r="AH3233" s="885"/>
      <c r="AI3233" s="885"/>
      <c r="AJ3233" s="885"/>
      <c r="AK3233" s="885"/>
      <c r="AL3233" s="885"/>
      <c r="AM3233" s="879"/>
      <c r="AN3233" s="2"/>
      <c r="AO3233" s="886"/>
      <c r="AP3233" s="886"/>
      <c r="AV3233" t="str">
        <f t="shared" si="13142"/>
        <v>Revegetação - Biomanta</v>
      </c>
      <c r="AW3233" s="4" t="str">
        <f t="shared" si="13143"/>
        <v xml:space="preserve">   Seg. 2.2-C07 - Aplicação de biomanta + hidrossemeadura</v>
      </c>
    </row>
    <row r="3234" spans="1:49" ht="12.95" customHeight="1" outlineLevel="2">
      <c r="A3234" s="8" t="str">
        <f t="shared" ref="A3234" si="13204">IF(SUM(P3234:V3235)&gt;0,"S","N")</f>
        <v>N</v>
      </c>
      <c r="B3234" s="150">
        <v>1067124</v>
      </c>
      <c r="C3234" s="150" t="s">
        <v>3653</v>
      </c>
      <c r="D3234" s="120" t="s">
        <v>3654</v>
      </c>
      <c r="E3234" s="874" t="s">
        <v>3655</v>
      </c>
      <c r="F3234" s="876" t="s">
        <v>3210</v>
      </c>
      <c r="G3234" s="2"/>
      <c r="H3234" s="49" t="s">
        <v>37</v>
      </c>
      <c r="I3234" s="705">
        <v>0</v>
      </c>
      <c r="J3234" s="878" t="str">
        <f t="shared" ref="J3234" si="13205">IFERROR((I3235/I3234),"-")</f>
        <v>-</v>
      </c>
      <c r="K3234" s="2"/>
      <c r="L3234" s="49" t="s">
        <v>37</v>
      </c>
      <c r="M3234" s="705">
        <f t="shared" si="13188"/>
        <v>0</v>
      </c>
      <c r="N3234" s="878" t="str">
        <f t="shared" ref="N3234" si="13206">IFERROR((M3235/M3234),"-")</f>
        <v>-</v>
      </c>
      <c r="O3234" s="2"/>
      <c r="P3234" s="121">
        <v>0</v>
      </c>
      <c r="Q3234" s="121">
        <v>0</v>
      </c>
      <c r="R3234" s="121">
        <v>0</v>
      </c>
      <c r="S3234" s="121">
        <v>0</v>
      </c>
      <c r="T3234" s="121">
        <v>0</v>
      </c>
      <c r="U3234" s="121">
        <v>0</v>
      </c>
      <c r="V3234" s="126">
        <v>0</v>
      </c>
      <c r="W3234" s="2"/>
      <c r="X3234" s="705">
        <f t="shared" si="13180"/>
        <v>0</v>
      </c>
      <c r="Y3234" s="878" t="str">
        <f t="shared" ref="Y3234" si="13207">IFERROR((X3235/X3234),"-")</f>
        <v>-</v>
      </c>
      <c r="Z3234" s="2"/>
      <c r="AA3234" s="884">
        <v>0</v>
      </c>
      <c r="AB3234" s="884">
        <v>0</v>
      </c>
      <c r="AC3234" s="884">
        <v>0</v>
      </c>
      <c r="AD3234" s="878" t="str">
        <f t="shared" ref="AD3234" si="13208">IFERROR((AC3234/AA3234),"-")</f>
        <v>-</v>
      </c>
      <c r="AE3234" s="2"/>
      <c r="AF3234" s="884">
        <v>7659.91</v>
      </c>
      <c r="AG3234" s="884">
        <v>0</v>
      </c>
      <c r="AH3234" s="884">
        <v>0</v>
      </c>
      <c r="AI3234" s="884"/>
      <c r="AJ3234" s="884"/>
      <c r="AK3234" s="884">
        <f t="shared" ref="AK3234" si="13209">AF3234+AG3234+AH3234+AI3234+AJ3234+AC3234</f>
        <v>7659.91</v>
      </c>
      <c r="AL3234" s="884">
        <v>7480.9999999999991</v>
      </c>
      <c r="AM3234" s="878">
        <f t="shared" ref="AM3234" si="13210">IFERROR((AK3234/AL3234),"-")</f>
        <v>1.0239152519716617</v>
      </c>
      <c r="AN3234" s="2"/>
      <c r="AO3234" s="884">
        <v>7481.03</v>
      </c>
      <c r="AP3234" s="884">
        <f t="shared" ref="AP3234" si="13211">AO3234-AK3234</f>
        <v>-178.88000000000011</v>
      </c>
      <c r="AV3234" t="str">
        <f t="shared" si="13142"/>
        <v>Revegetação - Biomanta</v>
      </c>
      <c r="AW3234" s="4" t="str">
        <f t="shared" si="13143"/>
        <v xml:space="preserve">   Seg. 2.2-C11-Aplicação de biomanta + hidrossemeadura</v>
      </c>
    </row>
    <row r="3235" spans="1:49" ht="12.95" customHeight="1" outlineLevel="2">
      <c r="A3235" s="8" t="str">
        <f t="shared" ref="A3235" si="13212">A3234</f>
        <v>N</v>
      </c>
      <c r="B3235" s="150"/>
      <c r="C3235" s="150" t="s">
        <v>3653</v>
      </c>
      <c r="D3235" s="120" t="s">
        <v>3654</v>
      </c>
      <c r="E3235" s="875"/>
      <c r="F3235" s="877"/>
      <c r="G3235" s="2"/>
      <c r="H3235" s="50" t="s">
        <v>38</v>
      </c>
      <c r="I3235" s="705">
        <v>0</v>
      </c>
      <c r="J3235" s="879"/>
      <c r="K3235" s="2"/>
      <c r="L3235" s="50" t="s">
        <v>38</v>
      </c>
      <c r="M3235" s="705">
        <f t="shared" si="13188"/>
        <v>0</v>
      </c>
      <c r="N3235" s="879"/>
      <c r="O3235" s="2"/>
      <c r="P3235" s="126">
        <v>0</v>
      </c>
      <c r="Q3235" s="126">
        <v>0</v>
      </c>
      <c r="R3235" s="126">
        <v>0</v>
      </c>
      <c r="S3235" s="126">
        <v>0</v>
      </c>
      <c r="T3235" s="126">
        <v>0</v>
      </c>
      <c r="U3235" s="126">
        <v>0</v>
      </c>
      <c r="V3235" s="126"/>
      <c r="W3235" s="2"/>
      <c r="X3235" s="705">
        <f t="shared" si="13180"/>
        <v>0</v>
      </c>
      <c r="Y3235" s="879"/>
      <c r="Z3235" s="2"/>
      <c r="AA3235" s="885"/>
      <c r="AB3235" s="885"/>
      <c r="AC3235" s="885"/>
      <c r="AD3235" s="879"/>
      <c r="AE3235" s="2"/>
      <c r="AF3235" s="885"/>
      <c r="AG3235" s="885"/>
      <c r="AH3235" s="885"/>
      <c r="AI3235" s="885"/>
      <c r="AJ3235" s="885"/>
      <c r="AK3235" s="885"/>
      <c r="AL3235" s="885"/>
      <c r="AM3235" s="879"/>
      <c r="AN3235" s="2"/>
      <c r="AO3235" s="886"/>
      <c r="AP3235" s="886"/>
      <c r="AV3235" t="str">
        <f t="shared" si="13142"/>
        <v>Revegetação - Biomanta</v>
      </c>
      <c r="AW3235" s="4" t="str">
        <f t="shared" si="13143"/>
        <v xml:space="preserve">   Seg. 2.2-C11-Aplicação de biomanta + hidrossemeadura</v>
      </c>
    </row>
    <row r="3236" spans="1:49" ht="12.95" customHeight="1" outlineLevel="2">
      <c r="A3236" s="8" t="str">
        <f t="shared" ref="A3236" si="13213">IF(SUM(P3236:V3237)&gt;0,"S","N")</f>
        <v>N</v>
      </c>
      <c r="B3236" s="150">
        <v>1067125</v>
      </c>
      <c r="C3236" s="150" t="s">
        <v>3656</v>
      </c>
      <c r="D3236" s="120" t="s">
        <v>3657</v>
      </c>
      <c r="E3236" s="874" t="s">
        <v>3658</v>
      </c>
      <c r="F3236" s="876" t="s">
        <v>3210</v>
      </c>
      <c r="G3236" s="2"/>
      <c r="H3236" s="49" t="s">
        <v>37</v>
      </c>
      <c r="I3236" s="705">
        <v>0</v>
      </c>
      <c r="J3236" s="878" t="str">
        <f t="shared" ref="J3236" si="13214">IFERROR((I3237/I3236),"-")</f>
        <v>-</v>
      </c>
      <c r="K3236" s="2"/>
      <c r="L3236" s="49" t="s">
        <v>37</v>
      </c>
      <c r="M3236" s="705">
        <f t="shared" si="13188"/>
        <v>0</v>
      </c>
      <c r="N3236" s="878" t="str">
        <f t="shared" ref="N3236" si="13215">IFERROR((M3237/M3236),"-")</f>
        <v>-</v>
      </c>
      <c r="O3236" s="2"/>
      <c r="P3236" s="121">
        <v>0</v>
      </c>
      <c r="Q3236" s="121">
        <v>0</v>
      </c>
      <c r="R3236" s="121">
        <v>0</v>
      </c>
      <c r="S3236" s="121">
        <v>0</v>
      </c>
      <c r="T3236" s="121">
        <v>0</v>
      </c>
      <c r="U3236" s="121">
        <v>0</v>
      </c>
      <c r="V3236" s="126">
        <v>0</v>
      </c>
      <c r="W3236" s="2"/>
      <c r="X3236" s="705">
        <f t="shared" si="13180"/>
        <v>0</v>
      </c>
      <c r="Y3236" s="878" t="str">
        <f t="shared" ref="Y3236" si="13216">IFERROR((X3237/X3236),"-")</f>
        <v>-</v>
      </c>
      <c r="Z3236" s="2"/>
      <c r="AA3236" s="884">
        <v>11237.57</v>
      </c>
      <c r="AB3236" s="884">
        <v>11237.57</v>
      </c>
      <c r="AC3236" s="884">
        <v>0</v>
      </c>
      <c r="AD3236" s="878">
        <f t="shared" ref="AD3236" si="13217">IFERROR((AC3236/AA3236),"-")</f>
        <v>0</v>
      </c>
      <c r="AE3236" s="2"/>
      <c r="AF3236" s="884">
        <v>14716.92</v>
      </c>
      <c r="AG3236" s="884">
        <v>0</v>
      </c>
      <c r="AH3236" s="884">
        <v>0</v>
      </c>
      <c r="AI3236" s="884"/>
      <c r="AJ3236" s="884"/>
      <c r="AK3236" s="884">
        <f t="shared" ref="AK3236" si="13218">AF3236+AG3236+AH3236+AI3236+AJ3236+AC3236</f>
        <v>14716.92</v>
      </c>
      <c r="AL3236" s="884">
        <v>21448.93</v>
      </c>
      <c r="AM3236" s="878">
        <f t="shared" ref="AM3236" si="13219">IFERROR((AK3236/AL3236),"-")</f>
        <v>0.68613772342023582</v>
      </c>
      <c r="AN3236" s="2"/>
      <c r="AO3236" s="884">
        <v>21448.93</v>
      </c>
      <c r="AP3236" s="884">
        <f t="shared" ref="AP3236" si="13220">AO3236-AK3236</f>
        <v>6732.01</v>
      </c>
      <c r="AV3236" t="str">
        <f t="shared" si="13142"/>
        <v>Revegetação - Biomanta</v>
      </c>
      <c r="AW3236" s="4" t="str">
        <f t="shared" si="13143"/>
        <v xml:space="preserve">   Seg. 2.2-C12-Aplicação de biomanta + hidrossemeadura</v>
      </c>
    </row>
    <row r="3237" spans="1:49" ht="12.95" customHeight="1" outlineLevel="2">
      <c r="A3237" s="8" t="str">
        <f t="shared" ref="A3237" si="13221">A3236</f>
        <v>N</v>
      </c>
      <c r="B3237" s="150"/>
      <c r="C3237" s="150" t="s">
        <v>3656</v>
      </c>
      <c r="D3237" s="120" t="s">
        <v>3657</v>
      </c>
      <c r="E3237" s="875"/>
      <c r="F3237" s="877"/>
      <c r="G3237" s="2"/>
      <c r="H3237" s="50" t="s">
        <v>38</v>
      </c>
      <c r="I3237" s="705">
        <v>0</v>
      </c>
      <c r="J3237" s="879"/>
      <c r="K3237" s="2"/>
      <c r="L3237" s="50" t="s">
        <v>38</v>
      </c>
      <c r="M3237" s="705">
        <f t="shared" si="13188"/>
        <v>0</v>
      </c>
      <c r="N3237" s="879"/>
      <c r="O3237" s="2"/>
      <c r="P3237" s="126">
        <v>0</v>
      </c>
      <c r="Q3237" s="126">
        <v>0</v>
      </c>
      <c r="R3237" s="126">
        <v>0</v>
      </c>
      <c r="S3237" s="126">
        <v>0</v>
      </c>
      <c r="T3237" s="126">
        <v>0</v>
      </c>
      <c r="U3237" s="126">
        <v>0</v>
      </c>
      <c r="V3237" s="126"/>
      <c r="W3237" s="2"/>
      <c r="X3237" s="705">
        <f t="shared" si="13180"/>
        <v>0</v>
      </c>
      <c r="Y3237" s="879"/>
      <c r="Z3237" s="2"/>
      <c r="AA3237" s="885"/>
      <c r="AB3237" s="885"/>
      <c r="AC3237" s="885"/>
      <c r="AD3237" s="879"/>
      <c r="AE3237" s="2"/>
      <c r="AF3237" s="885"/>
      <c r="AG3237" s="885"/>
      <c r="AH3237" s="885"/>
      <c r="AI3237" s="885"/>
      <c r="AJ3237" s="885"/>
      <c r="AK3237" s="885"/>
      <c r="AL3237" s="885"/>
      <c r="AM3237" s="879"/>
      <c r="AN3237" s="2"/>
      <c r="AO3237" s="886"/>
      <c r="AP3237" s="886"/>
      <c r="AV3237" t="str">
        <f t="shared" si="13142"/>
        <v>Revegetação - Biomanta</v>
      </c>
      <c r="AW3237" s="4" t="str">
        <f t="shared" si="13143"/>
        <v xml:space="preserve">   Seg. 2.2-C12-Aplicação de biomanta + hidrossemeadura</v>
      </c>
    </row>
    <row r="3238" spans="1:49" ht="12.95" customHeight="1" outlineLevel="2">
      <c r="A3238" s="8" t="str">
        <f t="shared" ref="A3238" si="13222">IF(SUM(P3238:V3239)&gt;0,"S","N")</f>
        <v>S</v>
      </c>
      <c r="B3238" s="150">
        <v>1067126</v>
      </c>
      <c r="C3238" s="150" t="s">
        <v>3659</v>
      </c>
      <c r="D3238" s="120" t="s">
        <v>3660</v>
      </c>
      <c r="E3238" s="874" t="s">
        <v>3661</v>
      </c>
      <c r="F3238" s="876" t="s">
        <v>3210</v>
      </c>
      <c r="G3238" s="2"/>
      <c r="H3238" s="49" t="s">
        <v>37</v>
      </c>
      <c r="I3238" s="705">
        <v>0</v>
      </c>
      <c r="J3238" s="878" t="str">
        <f t="shared" ref="J3238" si="13223">IFERROR((I3239/I3238),"-")</f>
        <v>-</v>
      </c>
      <c r="K3238" s="2"/>
      <c r="L3238" s="49" t="s">
        <v>37</v>
      </c>
      <c r="M3238" s="705">
        <f t="shared" si="13188"/>
        <v>0</v>
      </c>
      <c r="N3238" s="878" t="str">
        <f t="shared" ref="N3238" si="13224">IFERROR((M3239/M3238),"-")</f>
        <v>-</v>
      </c>
      <c r="O3238" s="2"/>
      <c r="P3238" s="121">
        <v>0</v>
      </c>
      <c r="Q3238" s="121">
        <v>0</v>
      </c>
      <c r="R3238" s="121">
        <v>0</v>
      </c>
      <c r="S3238" s="121">
        <v>0</v>
      </c>
      <c r="T3238" s="121">
        <v>0</v>
      </c>
      <c r="U3238" s="121">
        <v>0</v>
      </c>
      <c r="V3238" s="126">
        <v>0</v>
      </c>
      <c r="W3238" s="2"/>
      <c r="X3238" s="705">
        <f t="shared" si="13180"/>
        <v>0</v>
      </c>
      <c r="Y3238" s="878" t="str">
        <f t="shared" ref="Y3238" si="13225">IFERROR((X3239/X3238),"-")</f>
        <v>-</v>
      </c>
      <c r="Z3238" s="2"/>
      <c r="AA3238" s="884">
        <v>11915.78</v>
      </c>
      <c r="AB3238" s="884">
        <v>0</v>
      </c>
      <c r="AC3238" s="884">
        <v>1200</v>
      </c>
      <c r="AD3238" s="878">
        <f t="shared" ref="AD3238" si="13226">IFERROR((AC3238/AA3238),"-")</f>
        <v>0.10070679384815764</v>
      </c>
      <c r="AE3238" s="2"/>
      <c r="AF3238" s="884">
        <v>4289.67</v>
      </c>
      <c r="AG3238" s="884">
        <v>4793.22</v>
      </c>
      <c r="AH3238" s="884">
        <v>800</v>
      </c>
      <c r="AI3238" s="884"/>
      <c r="AJ3238" s="884"/>
      <c r="AK3238" s="884">
        <f t="shared" ref="AK3238" si="13227">AF3238+AG3238+AH3238+AI3238+AJ3238+AC3238</f>
        <v>11082.89</v>
      </c>
      <c r="AL3238" s="884">
        <v>9883.010000000002</v>
      </c>
      <c r="AM3238" s="878">
        <f t="shared" ref="AM3238" si="13228">IFERROR((AK3238/AL3238),"-")</f>
        <v>1.1214083563610679</v>
      </c>
      <c r="AN3238" s="2"/>
      <c r="AO3238" s="884">
        <v>21799.64</v>
      </c>
      <c r="AP3238" s="884">
        <f t="shared" ref="AP3238" si="13229">AO3238-AK3238</f>
        <v>10716.75</v>
      </c>
      <c r="AV3238" t="str">
        <f t="shared" si="13142"/>
        <v>Revegetação - Biomanta</v>
      </c>
      <c r="AW3238" s="4" t="str">
        <f t="shared" si="13143"/>
        <v xml:space="preserve">   Seg. 2.2-C13-Aplicação de biomanta + hidrossemeadura</v>
      </c>
    </row>
    <row r="3239" spans="1:49" ht="12.95" customHeight="1" outlineLevel="2">
      <c r="A3239" s="8" t="str">
        <f t="shared" ref="A3239" si="13230">A3238</f>
        <v>S</v>
      </c>
      <c r="B3239" s="150"/>
      <c r="C3239" s="150" t="s">
        <v>3659</v>
      </c>
      <c r="D3239" s="120" t="s">
        <v>3660</v>
      </c>
      <c r="E3239" s="875"/>
      <c r="F3239" s="877"/>
      <c r="G3239" s="2"/>
      <c r="H3239" s="50" t="s">
        <v>38</v>
      </c>
      <c r="I3239" s="705">
        <v>0</v>
      </c>
      <c r="J3239" s="879"/>
      <c r="K3239" s="2"/>
      <c r="L3239" s="50" t="s">
        <v>38</v>
      </c>
      <c r="M3239" s="705">
        <f t="shared" si="13188"/>
        <v>1200</v>
      </c>
      <c r="N3239" s="879"/>
      <c r="O3239" s="2"/>
      <c r="P3239" s="126">
        <v>0</v>
      </c>
      <c r="Q3239" s="126">
        <v>1200</v>
      </c>
      <c r="R3239" s="126">
        <v>0</v>
      </c>
      <c r="S3239" s="126">
        <v>0</v>
      </c>
      <c r="T3239" s="126">
        <v>0</v>
      </c>
      <c r="U3239" s="126">
        <v>0</v>
      </c>
      <c r="V3239" s="126"/>
      <c r="W3239" s="2"/>
      <c r="X3239" s="705">
        <f t="shared" si="13180"/>
        <v>1200</v>
      </c>
      <c r="Y3239" s="879"/>
      <c r="Z3239" s="2"/>
      <c r="AA3239" s="885"/>
      <c r="AB3239" s="885"/>
      <c r="AC3239" s="885"/>
      <c r="AD3239" s="879"/>
      <c r="AE3239" s="2"/>
      <c r="AF3239" s="885"/>
      <c r="AG3239" s="885"/>
      <c r="AH3239" s="885"/>
      <c r="AI3239" s="885"/>
      <c r="AJ3239" s="885"/>
      <c r="AK3239" s="885"/>
      <c r="AL3239" s="885"/>
      <c r="AM3239" s="879"/>
      <c r="AN3239" s="2"/>
      <c r="AO3239" s="886"/>
      <c r="AP3239" s="886"/>
      <c r="AV3239" t="str">
        <f t="shared" si="13142"/>
        <v>Revegetação - Biomanta</v>
      </c>
      <c r="AW3239" s="4" t="str">
        <f t="shared" si="13143"/>
        <v xml:space="preserve">   Seg. 2.2-C13-Aplicação de biomanta + hidrossemeadura</v>
      </c>
    </row>
    <row r="3240" spans="1:49" ht="12.95" customHeight="1" outlineLevel="2">
      <c r="A3240" s="8" t="str">
        <f t="shared" ref="A3240" si="13231">IF(SUM(P3240:V3241)&gt;0,"S","N")</f>
        <v>N</v>
      </c>
      <c r="B3240" s="150">
        <v>1070077</v>
      </c>
      <c r="C3240" s="150" t="s">
        <v>3662</v>
      </c>
      <c r="D3240" s="120" t="s">
        <v>3663</v>
      </c>
      <c r="E3240" s="874" t="s">
        <v>3664</v>
      </c>
      <c r="F3240" s="876" t="s">
        <v>3210</v>
      </c>
      <c r="G3240" s="2"/>
      <c r="H3240" s="49" t="s">
        <v>37</v>
      </c>
      <c r="I3240" s="705">
        <v>0</v>
      </c>
      <c r="J3240" s="878" t="str">
        <f t="shared" ref="J3240" si="13232">IFERROR((I3241/I3240),"-")</f>
        <v>-</v>
      </c>
      <c r="K3240" s="2"/>
      <c r="L3240" s="49" t="s">
        <v>37</v>
      </c>
      <c r="M3240" s="705">
        <f t="shared" si="13188"/>
        <v>0</v>
      </c>
      <c r="N3240" s="878" t="str">
        <f t="shared" ref="N3240" si="13233">IFERROR((M3241/M3240),"-")</f>
        <v>-</v>
      </c>
      <c r="O3240" s="2"/>
      <c r="P3240" s="121">
        <v>0</v>
      </c>
      <c r="Q3240" s="121">
        <v>0</v>
      </c>
      <c r="R3240" s="121">
        <v>0</v>
      </c>
      <c r="S3240" s="121">
        <v>0</v>
      </c>
      <c r="T3240" s="121">
        <v>0</v>
      </c>
      <c r="U3240" s="121">
        <v>0</v>
      </c>
      <c r="V3240" s="126">
        <v>0</v>
      </c>
      <c r="W3240" s="2"/>
      <c r="X3240" s="705">
        <f t="shared" si="13180"/>
        <v>0</v>
      </c>
      <c r="Y3240" s="878" t="str">
        <f t="shared" ref="Y3240" si="13234">IFERROR((X3241/X3240),"-")</f>
        <v>-</v>
      </c>
      <c r="Z3240" s="2"/>
      <c r="AA3240" s="884">
        <v>0</v>
      </c>
      <c r="AB3240" s="884">
        <v>0</v>
      </c>
      <c r="AC3240" s="884">
        <v>0</v>
      </c>
      <c r="AD3240" s="878" t="str">
        <f t="shared" ref="AD3240" si="13235">IFERROR((AC3240/AA3240),"-")</f>
        <v>-</v>
      </c>
      <c r="AE3240" s="2"/>
      <c r="AF3240" s="884"/>
      <c r="AG3240" s="884">
        <v>0</v>
      </c>
      <c r="AH3240" s="884">
        <v>0</v>
      </c>
      <c r="AI3240" s="884"/>
      <c r="AJ3240" s="884"/>
      <c r="AK3240" s="884">
        <f t="shared" ref="AK3240" si="13236">AF3240+AG3240+AH3240+AI3240+AJ3240+AC3240</f>
        <v>0</v>
      </c>
      <c r="AL3240" s="884">
        <v>0</v>
      </c>
      <c r="AM3240" s="878" t="str">
        <f t="shared" ref="AM3240" si="13237">IFERROR((AK3240/AL3240),"-")</f>
        <v>-</v>
      </c>
      <c r="AN3240" s="2"/>
      <c r="AO3240" s="884">
        <v>4208.0200000000004</v>
      </c>
      <c r="AP3240" s="884">
        <f t="shared" ref="AP3240" si="13238">AO3240-AK3240</f>
        <v>4208.0200000000004</v>
      </c>
      <c r="AV3240" t="str">
        <f t="shared" si="13142"/>
        <v>Revegetação - Biomanta</v>
      </c>
      <c r="AW3240" s="4" t="str">
        <f t="shared" si="13143"/>
        <v xml:space="preserve">   Seg. 2.2-C02-Aplicação de biomanta + hidrossemeadura</v>
      </c>
    </row>
    <row r="3241" spans="1:49" ht="12.95" customHeight="1" outlineLevel="2">
      <c r="A3241" s="8" t="str">
        <f t="shared" ref="A3241" si="13239">A3240</f>
        <v>N</v>
      </c>
      <c r="B3241" s="150"/>
      <c r="C3241" s="150" t="s">
        <v>3662</v>
      </c>
      <c r="D3241" s="120" t="s">
        <v>3663</v>
      </c>
      <c r="E3241" s="875"/>
      <c r="F3241" s="877"/>
      <c r="G3241" s="2"/>
      <c r="H3241" s="50" t="s">
        <v>38</v>
      </c>
      <c r="I3241" s="705">
        <v>0</v>
      </c>
      <c r="J3241" s="879"/>
      <c r="K3241" s="2"/>
      <c r="L3241" s="50" t="s">
        <v>38</v>
      </c>
      <c r="M3241" s="705">
        <f t="shared" si="13188"/>
        <v>0</v>
      </c>
      <c r="N3241" s="879"/>
      <c r="O3241" s="2"/>
      <c r="P3241" s="126">
        <v>0</v>
      </c>
      <c r="Q3241" s="126">
        <v>0</v>
      </c>
      <c r="R3241" s="126">
        <v>0</v>
      </c>
      <c r="S3241" s="126">
        <v>0</v>
      </c>
      <c r="T3241" s="126">
        <v>0</v>
      </c>
      <c r="U3241" s="126">
        <v>0</v>
      </c>
      <c r="V3241" s="126"/>
      <c r="W3241" s="2"/>
      <c r="X3241" s="705">
        <f t="shared" si="13180"/>
        <v>0</v>
      </c>
      <c r="Y3241" s="879"/>
      <c r="Z3241" s="2"/>
      <c r="AA3241" s="885"/>
      <c r="AB3241" s="885"/>
      <c r="AC3241" s="885"/>
      <c r="AD3241" s="879"/>
      <c r="AE3241" s="2"/>
      <c r="AF3241" s="885"/>
      <c r="AG3241" s="885"/>
      <c r="AH3241" s="885"/>
      <c r="AI3241" s="885"/>
      <c r="AJ3241" s="885"/>
      <c r="AK3241" s="885"/>
      <c r="AL3241" s="885"/>
      <c r="AM3241" s="879"/>
      <c r="AN3241" s="2"/>
      <c r="AO3241" s="886"/>
      <c r="AP3241" s="886"/>
      <c r="AV3241" t="str">
        <f t="shared" si="13142"/>
        <v>Revegetação - Biomanta</v>
      </c>
      <c r="AW3241" s="4" t="str">
        <f t="shared" si="13143"/>
        <v xml:space="preserve">   Seg. 2.2-C02-Aplicação de biomanta + hidrossemeadura</v>
      </c>
    </row>
    <row r="3242" spans="1:49" ht="12.95" customHeight="1" outlineLevel="2">
      <c r="A3242" s="8" t="str">
        <f t="shared" ref="A3242" si="13240">IF(SUM(P3242:V3243)&gt;0,"S","N")</f>
        <v>S</v>
      </c>
      <c r="B3242" s="150">
        <v>1070080</v>
      </c>
      <c r="C3242" s="150" t="s">
        <v>3665</v>
      </c>
      <c r="D3242" s="120"/>
      <c r="E3242" s="874" t="s">
        <v>3666</v>
      </c>
      <c r="F3242" s="876" t="s">
        <v>3210</v>
      </c>
      <c r="G3242" s="2"/>
      <c r="H3242" s="49" t="s">
        <v>37</v>
      </c>
      <c r="I3242" s="705">
        <v>10000</v>
      </c>
      <c r="J3242" s="878">
        <f t="shared" ref="J3242" si="13241">IFERROR((I3243/I3242),"-")</f>
        <v>0</v>
      </c>
      <c r="K3242" s="2"/>
      <c r="L3242" s="49" t="s">
        <v>37</v>
      </c>
      <c r="M3242" s="705">
        <f t="shared" si="13188"/>
        <v>1750</v>
      </c>
      <c r="N3242" s="878">
        <f t="shared" ref="N3242" si="13242">IFERROR((M3243/M3242),"-")</f>
        <v>0</v>
      </c>
      <c r="O3242" s="2"/>
      <c r="P3242" s="121">
        <v>1750</v>
      </c>
      <c r="Q3242" s="121">
        <v>1750</v>
      </c>
      <c r="R3242" s="121">
        <v>1750</v>
      </c>
      <c r="S3242" s="121">
        <v>1750</v>
      </c>
      <c r="T3242" s="121">
        <v>1500</v>
      </c>
      <c r="U3242" s="121">
        <v>1500</v>
      </c>
      <c r="V3242" s="126">
        <v>0</v>
      </c>
      <c r="W3242" s="2"/>
      <c r="X3242" s="705">
        <f t="shared" si="13180"/>
        <v>3500</v>
      </c>
      <c r="Y3242" s="878">
        <f t="shared" ref="Y3242" si="13243">IFERROR((X3243/X3242),"-")</f>
        <v>0</v>
      </c>
      <c r="Z3242" s="2"/>
      <c r="AA3242" s="884">
        <v>0</v>
      </c>
      <c r="AB3242" s="884">
        <v>0</v>
      </c>
      <c r="AC3242" s="884">
        <v>0</v>
      </c>
      <c r="AD3242" s="878" t="str">
        <f t="shared" ref="AD3242" si="13244">IFERROR((AC3242/AA3242),"-")</f>
        <v>-</v>
      </c>
      <c r="AE3242" s="2"/>
      <c r="AF3242" s="884"/>
      <c r="AG3242" s="884">
        <v>0</v>
      </c>
      <c r="AH3242" s="884">
        <v>0</v>
      </c>
      <c r="AI3242" s="884"/>
      <c r="AJ3242" s="884"/>
      <c r="AK3242" s="884">
        <f t="shared" ref="AK3242" si="13245">AF3242+AG3242+AH3242+AI3242+AJ3242+AC3242</f>
        <v>0</v>
      </c>
      <c r="AL3242" s="884">
        <v>6500</v>
      </c>
      <c r="AM3242" s="878">
        <f t="shared" ref="AM3242" si="13246">IFERROR((AK3242/AL3242),"-")</f>
        <v>0</v>
      </c>
      <c r="AN3242" s="2"/>
      <c r="AO3242" s="884">
        <v>44013.91</v>
      </c>
      <c r="AP3242" s="884">
        <f t="shared" ref="AP3242" si="13247">AO3242-AK3242</f>
        <v>44013.91</v>
      </c>
      <c r="AV3242" t="str">
        <f t="shared" si="13142"/>
        <v>Revegetação - Biomanta</v>
      </c>
      <c r="AW3242" s="4" t="str">
        <f t="shared" si="13143"/>
        <v xml:space="preserve">   Seg. 2.2-C04-Aplicação de biomanta + hidrossemeadura</v>
      </c>
    </row>
    <row r="3243" spans="1:49" ht="12.95" customHeight="1" outlineLevel="2" collapsed="1">
      <c r="A3243" s="8" t="str">
        <f t="shared" ref="A3243" si="13248">A3242</f>
        <v>S</v>
      </c>
      <c r="B3243" s="150"/>
      <c r="C3243" s="150" t="s">
        <v>3665</v>
      </c>
      <c r="D3243" s="120"/>
      <c r="E3243" s="875"/>
      <c r="F3243" s="877"/>
      <c r="G3243" s="2"/>
      <c r="H3243" s="50" t="s">
        <v>38</v>
      </c>
      <c r="I3243" s="705">
        <v>0</v>
      </c>
      <c r="J3243" s="879"/>
      <c r="K3243" s="2"/>
      <c r="L3243" s="50" t="s">
        <v>38</v>
      </c>
      <c r="M3243" s="705">
        <f t="shared" si="13188"/>
        <v>0</v>
      </c>
      <c r="N3243" s="879"/>
      <c r="O3243" s="2"/>
      <c r="P3243" s="126">
        <v>0</v>
      </c>
      <c r="Q3243" s="126">
        <v>0</v>
      </c>
      <c r="R3243" s="126">
        <v>0</v>
      </c>
      <c r="S3243" s="126">
        <v>0</v>
      </c>
      <c r="T3243" s="126">
        <v>0</v>
      </c>
      <c r="U3243" s="126">
        <v>0</v>
      </c>
      <c r="V3243" s="126"/>
      <c r="W3243" s="2"/>
      <c r="X3243" s="705">
        <f t="shared" si="13180"/>
        <v>0</v>
      </c>
      <c r="Y3243" s="879"/>
      <c r="Z3243" s="2"/>
      <c r="AA3243" s="885"/>
      <c r="AB3243" s="885"/>
      <c r="AC3243" s="885"/>
      <c r="AD3243" s="879"/>
      <c r="AE3243" s="2"/>
      <c r="AF3243" s="885"/>
      <c r="AG3243" s="885"/>
      <c r="AH3243" s="885"/>
      <c r="AI3243" s="885"/>
      <c r="AJ3243" s="885"/>
      <c r="AK3243" s="885"/>
      <c r="AL3243" s="885"/>
      <c r="AM3243" s="879"/>
      <c r="AN3243" s="2"/>
      <c r="AO3243" s="886"/>
      <c r="AP3243" s="886"/>
      <c r="AV3243" t="str">
        <f t="shared" si="13142"/>
        <v>Revegetação - Biomanta</v>
      </c>
      <c r="AW3243" s="4" t="str">
        <f t="shared" si="13143"/>
        <v xml:space="preserve">   Seg. 2.2-C04-Aplicação de biomanta + hidrossemeadura</v>
      </c>
    </row>
    <row r="3244" spans="1:49" ht="12.95" customHeight="1" outlineLevel="1">
      <c r="A3244" s="8" t="str">
        <f t="shared" ref="A3244" si="13249">IF(SUM(P3244:V3245)&gt;0,"S","N")</f>
        <v>N</v>
      </c>
      <c r="B3244" s="150">
        <v>1070082</v>
      </c>
      <c r="C3244" s="150" t="s">
        <v>3667</v>
      </c>
      <c r="D3244" s="120" t="s">
        <v>3668</v>
      </c>
      <c r="E3244" s="874" t="s">
        <v>3669</v>
      </c>
      <c r="F3244" s="876" t="s">
        <v>3210</v>
      </c>
      <c r="G3244" s="2"/>
      <c r="H3244" s="49" t="s">
        <v>37</v>
      </c>
      <c r="I3244" s="705">
        <v>0</v>
      </c>
      <c r="J3244" s="878" t="str">
        <f t="shared" ref="J3244" si="13250">IFERROR((I3245/I3244),"-")</f>
        <v>-</v>
      </c>
      <c r="K3244" s="2"/>
      <c r="L3244" s="49" t="s">
        <v>37</v>
      </c>
      <c r="M3244" s="705">
        <f t="shared" si="13188"/>
        <v>0</v>
      </c>
      <c r="N3244" s="878" t="str">
        <f t="shared" ref="N3244" si="13251">IFERROR((M3245/M3244),"-")</f>
        <v>-</v>
      </c>
      <c r="O3244" s="2"/>
      <c r="P3244" s="121">
        <v>0</v>
      </c>
      <c r="Q3244" s="121">
        <v>0</v>
      </c>
      <c r="R3244" s="121">
        <v>0</v>
      </c>
      <c r="S3244" s="121">
        <v>0</v>
      </c>
      <c r="T3244" s="121">
        <v>0</v>
      </c>
      <c r="U3244" s="121">
        <v>0</v>
      </c>
      <c r="V3244" s="126">
        <v>0</v>
      </c>
      <c r="W3244" s="2"/>
      <c r="X3244" s="705">
        <f t="shared" si="13180"/>
        <v>0</v>
      </c>
      <c r="Y3244" s="878" t="str">
        <f t="shared" ref="Y3244" si="13252">IFERROR((X3245/X3244),"-")</f>
        <v>-</v>
      </c>
      <c r="Z3244" s="2"/>
      <c r="AA3244" s="884">
        <v>0</v>
      </c>
      <c r="AB3244" s="884">
        <v>0</v>
      </c>
      <c r="AC3244" s="884">
        <v>0</v>
      </c>
      <c r="AD3244" s="878" t="str">
        <f t="shared" ref="AD3244" si="13253">IFERROR((AC3244/AA3244),"-")</f>
        <v>-</v>
      </c>
      <c r="AE3244" s="2"/>
      <c r="AF3244" s="884">
        <v>10526.53</v>
      </c>
      <c r="AG3244" s="884">
        <v>0</v>
      </c>
      <c r="AH3244" s="884">
        <v>0</v>
      </c>
      <c r="AI3244" s="884"/>
      <c r="AJ3244" s="884"/>
      <c r="AK3244" s="884">
        <f t="shared" ref="AK3244" si="13254">AF3244+AG3244+AH3244+AI3244+AJ3244+AC3244</f>
        <v>10526.53</v>
      </c>
      <c r="AL3244" s="884">
        <v>1397.44</v>
      </c>
      <c r="AM3244" s="878">
        <f t="shared" ref="AM3244" si="13255">IFERROR((AK3244/AL3244),"-")</f>
        <v>7.5327241241126632</v>
      </c>
      <c r="AN3244" s="2"/>
      <c r="AO3244" s="884">
        <v>9992.57</v>
      </c>
      <c r="AP3244" s="884">
        <f t="shared" ref="AP3244" si="13256">AO3244-AK3244</f>
        <v>-533.96000000000095</v>
      </c>
      <c r="AV3244" t="str">
        <f t="shared" si="13142"/>
        <v>Revegetação - Biomanta</v>
      </c>
      <c r="AW3244" s="4" t="str">
        <f t="shared" si="13143"/>
        <v xml:space="preserve">   Seg. 2.2-C05-Aplicação de biomanta + hidrossemeadura</v>
      </c>
    </row>
    <row r="3245" spans="1:49" ht="12.95" customHeight="1" outlineLevel="1">
      <c r="A3245" s="8" t="str">
        <f t="shared" ref="A3245" si="13257">A3244</f>
        <v>N</v>
      </c>
      <c r="B3245" s="150"/>
      <c r="C3245" s="150" t="s">
        <v>3667</v>
      </c>
      <c r="D3245" s="120" t="s">
        <v>3668</v>
      </c>
      <c r="E3245" s="875"/>
      <c r="F3245" s="877"/>
      <c r="G3245" s="2"/>
      <c r="H3245" s="50" t="s">
        <v>38</v>
      </c>
      <c r="I3245" s="705">
        <v>0</v>
      </c>
      <c r="J3245" s="879"/>
      <c r="K3245" s="2"/>
      <c r="L3245" s="50" t="s">
        <v>38</v>
      </c>
      <c r="M3245" s="705">
        <f t="shared" si="13188"/>
        <v>0</v>
      </c>
      <c r="N3245" s="879"/>
      <c r="O3245" s="2"/>
      <c r="P3245" s="126">
        <v>0</v>
      </c>
      <c r="Q3245" s="126">
        <v>0</v>
      </c>
      <c r="R3245" s="126">
        <v>0</v>
      </c>
      <c r="S3245" s="126">
        <v>0</v>
      </c>
      <c r="T3245" s="126">
        <v>0</v>
      </c>
      <c r="U3245" s="126">
        <v>0</v>
      </c>
      <c r="V3245" s="126"/>
      <c r="W3245" s="2"/>
      <c r="X3245" s="705">
        <f t="shared" si="13180"/>
        <v>0</v>
      </c>
      <c r="Y3245" s="879"/>
      <c r="Z3245" s="2"/>
      <c r="AA3245" s="885"/>
      <c r="AB3245" s="885"/>
      <c r="AC3245" s="885"/>
      <c r="AD3245" s="879"/>
      <c r="AE3245" s="2"/>
      <c r="AF3245" s="885"/>
      <c r="AG3245" s="885"/>
      <c r="AH3245" s="885"/>
      <c r="AI3245" s="885"/>
      <c r="AJ3245" s="885"/>
      <c r="AK3245" s="885"/>
      <c r="AL3245" s="885"/>
      <c r="AM3245" s="879"/>
      <c r="AN3245" s="2"/>
      <c r="AO3245" s="886"/>
      <c r="AP3245" s="886"/>
      <c r="AV3245" t="str">
        <f t="shared" si="13142"/>
        <v>Revegetação - Biomanta</v>
      </c>
      <c r="AW3245" s="4" t="str">
        <f t="shared" si="13143"/>
        <v xml:space="preserve">   Seg. 2.2-C05-Aplicação de biomanta + hidrossemeadura</v>
      </c>
    </row>
    <row r="3246" spans="1:49" ht="12.95" customHeight="1" outlineLevel="1">
      <c r="A3246" s="8" t="str">
        <f t="shared" ref="A3246" si="13258">IF(SUM(P3246:V3247)&gt;0,"S","N")</f>
        <v>N</v>
      </c>
      <c r="B3246" s="150">
        <v>1070083</v>
      </c>
      <c r="C3246" s="150" t="s">
        <v>3670</v>
      </c>
      <c r="D3246" s="120" t="s">
        <v>3671</v>
      </c>
      <c r="E3246" s="874" t="s">
        <v>3672</v>
      </c>
      <c r="F3246" s="876" t="s">
        <v>3210</v>
      </c>
      <c r="G3246" s="2"/>
      <c r="H3246" s="49" t="s">
        <v>37</v>
      </c>
      <c r="I3246" s="705">
        <v>0</v>
      </c>
      <c r="J3246" s="878" t="str">
        <f t="shared" ref="J3246" si="13259">IFERROR((I3247/I3246),"-")</f>
        <v>-</v>
      </c>
      <c r="K3246" s="2"/>
      <c r="L3246" s="49" t="s">
        <v>37</v>
      </c>
      <c r="M3246" s="705">
        <f t="shared" si="13188"/>
        <v>0</v>
      </c>
      <c r="N3246" s="878" t="str">
        <f t="shared" ref="N3246" si="13260">IFERROR((M3247/M3246),"-")</f>
        <v>-</v>
      </c>
      <c r="O3246" s="2"/>
      <c r="P3246" s="121">
        <v>0</v>
      </c>
      <c r="Q3246" s="121">
        <v>0</v>
      </c>
      <c r="R3246" s="121">
        <v>0</v>
      </c>
      <c r="S3246" s="121">
        <v>0</v>
      </c>
      <c r="T3246" s="121">
        <v>0</v>
      </c>
      <c r="U3246" s="121">
        <v>0</v>
      </c>
      <c r="V3246" s="126">
        <v>0</v>
      </c>
      <c r="W3246" s="2"/>
      <c r="X3246" s="705">
        <f t="shared" si="13180"/>
        <v>0</v>
      </c>
      <c r="Y3246" s="878" t="str">
        <f t="shared" ref="Y3246" si="13261">IFERROR((X3247/X3246),"-")</f>
        <v>-</v>
      </c>
      <c r="Z3246" s="2"/>
      <c r="AA3246" s="884">
        <v>0</v>
      </c>
      <c r="AB3246" s="884">
        <v>0</v>
      </c>
      <c r="AC3246" s="884">
        <v>0</v>
      </c>
      <c r="AD3246" s="878" t="str">
        <f t="shared" ref="AD3246" si="13262">IFERROR((AC3246/AA3246),"-")</f>
        <v>-</v>
      </c>
      <c r="AE3246" s="2"/>
      <c r="AF3246" s="884">
        <v>9140.49</v>
      </c>
      <c r="AG3246" s="884">
        <v>0</v>
      </c>
      <c r="AH3246" s="884">
        <v>0</v>
      </c>
      <c r="AI3246" s="884"/>
      <c r="AJ3246" s="884"/>
      <c r="AK3246" s="884">
        <f t="shared" ref="AK3246" si="13263">AF3246+AG3246+AH3246+AI3246+AJ3246+AC3246</f>
        <v>9140.49</v>
      </c>
      <c r="AL3246" s="884">
        <v>0</v>
      </c>
      <c r="AM3246" s="878" t="str">
        <f>IFERROR((AK3246/AL3246),"-")</f>
        <v>-</v>
      </c>
      <c r="AN3246" s="2"/>
      <c r="AO3246" s="884">
        <v>19374.900000000001</v>
      </c>
      <c r="AP3246" s="884">
        <f t="shared" ref="AP3246" si="13264">AO3246-AK3246</f>
        <v>10234.410000000002</v>
      </c>
      <c r="AV3246" t="str">
        <f t="shared" si="13142"/>
        <v>Revegetação - Biomanta</v>
      </c>
      <c r="AW3246" s="4" t="str">
        <f t="shared" si="13143"/>
        <v xml:space="preserve">   Seg. 2.2-C09-Aplicação de biomanta + hidrossemeadura</v>
      </c>
    </row>
    <row r="3247" spans="1:49" ht="12.95" customHeight="1" outlineLevel="1">
      <c r="A3247" s="8" t="str">
        <f t="shared" ref="A3247" si="13265">A3246</f>
        <v>N</v>
      </c>
      <c r="B3247" s="150"/>
      <c r="C3247" s="150" t="s">
        <v>3670</v>
      </c>
      <c r="D3247" s="120" t="s">
        <v>3671</v>
      </c>
      <c r="E3247" s="875"/>
      <c r="F3247" s="877"/>
      <c r="G3247" s="2"/>
      <c r="H3247" s="50" t="s">
        <v>38</v>
      </c>
      <c r="I3247" s="705">
        <v>0</v>
      </c>
      <c r="J3247" s="879"/>
      <c r="K3247" s="2"/>
      <c r="L3247" s="50" t="s">
        <v>38</v>
      </c>
      <c r="M3247" s="705">
        <f t="shared" si="13188"/>
        <v>0</v>
      </c>
      <c r="N3247" s="879"/>
      <c r="O3247" s="2"/>
      <c r="P3247" s="126">
        <v>0</v>
      </c>
      <c r="Q3247" s="126">
        <v>0</v>
      </c>
      <c r="R3247" s="126">
        <v>0</v>
      </c>
      <c r="S3247" s="126">
        <v>0</v>
      </c>
      <c r="T3247" s="126">
        <v>0</v>
      </c>
      <c r="U3247" s="126">
        <v>0</v>
      </c>
      <c r="V3247" s="126"/>
      <c r="W3247" s="2"/>
      <c r="X3247" s="705">
        <f t="shared" si="13180"/>
        <v>0</v>
      </c>
      <c r="Y3247" s="879"/>
      <c r="Z3247" s="2"/>
      <c r="AA3247" s="885"/>
      <c r="AB3247" s="885"/>
      <c r="AC3247" s="885"/>
      <c r="AD3247" s="879"/>
      <c r="AE3247" s="2"/>
      <c r="AF3247" s="885"/>
      <c r="AG3247" s="885"/>
      <c r="AH3247" s="885"/>
      <c r="AI3247" s="885"/>
      <c r="AJ3247" s="885"/>
      <c r="AK3247" s="885"/>
      <c r="AL3247" s="885"/>
      <c r="AM3247" s="879"/>
      <c r="AN3247" s="2"/>
      <c r="AO3247" s="886"/>
      <c r="AP3247" s="886"/>
      <c r="AV3247" t="str">
        <f t="shared" si="13142"/>
        <v>Revegetação - Biomanta</v>
      </c>
      <c r="AW3247" s="4" t="str">
        <f t="shared" si="13143"/>
        <v xml:space="preserve">   Seg. 2.2-C09-Aplicação de biomanta + hidrossemeadura</v>
      </c>
    </row>
    <row r="3248" spans="1:49" ht="14.45" customHeight="1" outlineLevel="2">
      <c r="A3248" s="8" t="str">
        <f t="shared" ref="A3248" si="13266">IF(SUM(P3248:V3249)&gt;0,"S","N")</f>
        <v>N</v>
      </c>
      <c r="B3248" s="150">
        <v>1070085</v>
      </c>
      <c r="C3248" s="150" t="s">
        <v>3673</v>
      </c>
      <c r="D3248" s="120" t="s">
        <v>3674</v>
      </c>
      <c r="E3248" s="874" t="s">
        <v>3675</v>
      </c>
      <c r="F3248" s="876" t="s">
        <v>3210</v>
      </c>
      <c r="G3248" s="2"/>
      <c r="H3248" s="49" t="s">
        <v>37</v>
      </c>
      <c r="I3248" s="705">
        <v>0</v>
      </c>
      <c r="J3248" s="878" t="str">
        <f t="shared" ref="J3248" si="13267">IFERROR((I3249/I3248),"-")</f>
        <v>-</v>
      </c>
      <c r="K3248" s="2"/>
      <c r="L3248" s="49" t="s">
        <v>37</v>
      </c>
      <c r="M3248" s="705">
        <f t="shared" si="13188"/>
        <v>0</v>
      </c>
      <c r="N3248" s="878" t="str">
        <f t="shared" ref="N3248" si="13268">IFERROR((M3249/M3248),"-")</f>
        <v>-</v>
      </c>
      <c r="O3248" s="2"/>
      <c r="P3248" s="121">
        <v>0</v>
      </c>
      <c r="Q3248" s="121">
        <v>0</v>
      </c>
      <c r="R3248" s="121">
        <v>0</v>
      </c>
      <c r="S3248" s="121">
        <v>0</v>
      </c>
      <c r="T3248" s="121">
        <v>0</v>
      </c>
      <c r="U3248" s="121">
        <v>0</v>
      </c>
      <c r="V3248" s="126">
        <v>0</v>
      </c>
      <c r="W3248" s="2"/>
      <c r="X3248" s="705">
        <f t="shared" si="13180"/>
        <v>0</v>
      </c>
      <c r="Y3248" s="878" t="str">
        <f t="shared" ref="Y3248" si="13269">IFERROR((X3249/X3248),"-")</f>
        <v>-</v>
      </c>
      <c r="Z3248" s="2"/>
      <c r="AA3248" s="884">
        <v>0</v>
      </c>
      <c r="AB3248" s="884">
        <v>0</v>
      </c>
      <c r="AC3248" s="884">
        <v>0</v>
      </c>
      <c r="AD3248" s="878" t="str">
        <f t="shared" ref="AD3248" si="13270">IFERROR((AC3248/AA3248),"-")</f>
        <v>-</v>
      </c>
      <c r="AE3248" s="2"/>
      <c r="AF3248" s="884"/>
      <c r="AG3248" s="884">
        <v>0</v>
      </c>
      <c r="AH3248" s="884">
        <v>0</v>
      </c>
      <c r="AI3248" s="884"/>
      <c r="AJ3248" s="884"/>
      <c r="AK3248" s="884">
        <f t="shared" ref="AK3248" si="13271">AF3248+AG3248+AH3248+AI3248+AJ3248+AC3248</f>
        <v>0</v>
      </c>
      <c r="AL3248" s="884">
        <v>0</v>
      </c>
      <c r="AM3248" s="878" t="str">
        <f t="shared" ref="AM3248" si="13272">IFERROR((AK3248/AL3248),"-")</f>
        <v>-</v>
      </c>
      <c r="AN3248" s="2"/>
      <c r="AO3248" s="884">
        <v>3792.75</v>
      </c>
      <c r="AP3248" s="884">
        <f t="shared" ref="AP3248" si="13273">AO3248-AK3248</f>
        <v>3792.75</v>
      </c>
      <c r="AV3248" t="str">
        <f t="shared" si="13142"/>
        <v>Revegetação - Biomanta</v>
      </c>
      <c r="AW3248" s="4" t="str">
        <f t="shared" si="13143"/>
        <v xml:space="preserve">   Seg. 2.2-C10-Aplicação de biomanta + hidrossemeadura</v>
      </c>
    </row>
    <row r="3249" spans="1:49" ht="14.45" customHeight="1" outlineLevel="2">
      <c r="A3249" s="8" t="str">
        <f t="shared" ref="A3249" si="13274">A3248</f>
        <v>N</v>
      </c>
      <c r="B3249" s="150"/>
      <c r="C3249" s="150" t="s">
        <v>3673</v>
      </c>
      <c r="D3249" s="120" t="s">
        <v>3674</v>
      </c>
      <c r="E3249" s="875"/>
      <c r="F3249" s="877"/>
      <c r="G3249" s="2"/>
      <c r="H3249" s="50" t="s">
        <v>38</v>
      </c>
      <c r="I3249" s="705">
        <v>0</v>
      </c>
      <c r="J3249" s="879"/>
      <c r="K3249" s="2"/>
      <c r="L3249" s="50" t="s">
        <v>38</v>
      </c>
      <c r="M3249" s="705">
        <f t="shared" si="13188"/>
        <v>0</v>
      </c>
      <c r="N3249" s="879"/>
      <c r="O3249" s="2"/>
      <c r="P3249" s="126">
        <v>0</v>
      </c>
      <c r="Q3249" s="126">
        <v>0</v>
      </c>
      <c r="R3249" s="126">
        <v>0</v>
      </c>
      <c r="S3249" s="126">
        <v>0</v>
      </c>
      <c r="T3249" s="126">
        <v>0</v>
      </c>
      <c r="U3249" s="126">
        <v>0</v>
      </c>
      <c r="V3249" s="126"/>
      <c r="W3249" s="2"/>
      <c r="X3249" s="705">
        <f t="shared" si="13180"/>
        <v>0</v>
      </c>
      <c r="Y3249" s="879"/>
      <c r="Z3249" s="2"/>
      <c r="AA3249" s="885"/>
      <c r="AB3249" s="885"/>
      <c r="AC3249" s="885"/>
      <c r="AD3249" s="879"/>
      <c r="AE3249" s="2"/>
      <c r="AF3249" s="885"/>
      <c r="AG3249" s="885"/>
      <c r="AH3249" s="885"/>
      <c r="AI3249" s="885"/>
      <c r="AJ3249" s="885"/>
      <c r="AK3249" s="885"/>
      <c r="AL3249" s="885"/>
      <c r="AM3249" s="879"/>
      <c r="AN3249" s="2"/>
      <c r="AO3249" s="886"/>
      <c r="AP3249" s="886"/>
      <c r="AV3249" t="str">
        <f t="shared" si="13142"/>
        <v>Revegetação - Biomanta</v>
      </c>
      <c r="AW3249" s="4" t="str">
        <f t="shared" si="13143"/>
        <v xml:space="preserve">   Seg. 2.2-C10-Aplicação de biomanta + hidrossemeadura</v>
      </c>
    </row>
    <row r="3250" spans="1:49" ht="14.45" customHeight="1" outlineLevel="2">
      <c r="A3250" s="209">
        <v>0</v>
      </c>
      <c r="B3250" s="150"/>
      <c r="C3250" s="150"/>
      <c r="D3250" s="117"/>
      <c r="E3250" s="3"/>
      <c r="F3250" s="59"/>
      <c r="G3250" s="3"/>
      <c r="I3250" s="58"/>
      <c r="K3250" s="3"/>
      <c r="M3250" s="58"/>
      <c r="O3250" s="3"/>
      <c r="P3250" s="119"/>
      <c r="Q3250" s="119"/>
      <c r="R3250" s="119"/>
      <c r="S3250" s="119"/>
      <c r="T3250" s="119"/>
      <c r="U3250" s="119"/>
      <c r="V3250" s="119"/>
      <c r="W3250" s="3"/>
      <c r="X3250" s="37"/>
      <c r="Y3250" s="3"/>
      <c r="Z3250" s="3"/>
      <c r="AA3250" s="35"/>
      <c r="AB3250" s="35"/>
      <c r="AC3250" s="35"/>
      <c r="AD3250" s="3"/>
      <c r="AE3250" s="3"/>
      <c r="AF3250" s="35"/>
      <c r="AG3250" s="35"/>
      <c r="AH3250" s="35"/>
      <c r="AI3250" s="35"/>
      <c r="AJ3250" s="35"/>
      <c r="AK3250" s="35"/>
      <c r="AL3250" s="35"/>
      <c r="AM3250" s="3"/>
      <c r="AN3250" s="3"/>
      <c r="AO3250" s="35"/>
      <c r="AP3250" s="35"/>
      <c r="AV3250" t="str">
        <f t="shared" si="13142"/>
        <v>Revegetação - Biomanta</v>
      </c>
      <c r="AW3250" s="4" t="str">
        <f t="shared" si="13143"/>
        <v xml:space="preserve">   Seg. 2.2-C10-Aplicação de biomanta + hidrossemeadura</v>
      </c>
    </row>
    <row r="3251" spans="1:49" ht="15" customHeight="1" outlineLevel="2">
      <c r="A3251" s="209">
        <v>0</v>
      </c>
      <c r="B3251" s="150"/>
      <c r="C3251" s="150"/>
      <c r="D3251" s="117"/>
      <c r="E3251" s="3"/>
      <c r="F3251" s="92"/>
      <c r="G3251" s="3"/>
      <c r="H3251" s="3"/>
      <c r="I3251" s="35"/>
      <c r="J3251" s="3"/>
      <c r="K3251" s="3"/>
      <c r="L3251" s="3"/>
      <c r="M3251" s="35"/>
      <c r="N3251" s="3"/>
      <c r="O3251" s="3"/>
      <c r="P3251" s="119"/>
      <c r="Q3251" s="119"/>
      <c r="R3251" s="119"/>
      <c r="S3251" s="119"/>
      <c r="T3251" s="119"/>
      <c r="U3251" s="119"/>
      <c r="V3251" s="119"/>
      <c r="W3251" s="3"/>
      <c r="X3251" s="37"/>
      <c r="Y3251" s="3"/>
      <c r="Z3251" s="3"/>
      <c r="AA3251" s="35"/>
      <c r="AB3251" s="35"/>
      <c r="AC3251" s="35"/>
      <c r="AD3251" s="3"/>
      <c r="AE3251" s="3"/>
      <c r="AF3251" s="35"/>
      <c r="AG3251" s="35"/>
      <c r="AH3251" s="35"/>
      <c r="AI3251" s="35"/>
      <c r="AJ3251" s="35"/>
      <c r="AK3251" s="35"/>
      <c r="AL3251" s="35"/>
      <c r="AM3251" s="3"/>
      <c r="AN3251" s="3"/>
      <c r="AO3251" s="35"/>
      <c r="AP3251" s="35"/>
      <c r="AV3251" t="str">
        <f t="shared" si="13142"/>
        <v>Revegetação - Biomanta</v>
      </c>
      <c r="AW3251" s="4" t="str">
        <f t="shared" si="13143"/>
        <v xml:space="preserve">   Seg. 2.2-C10-Aplicação de biomanta + hidrossemeadura</v>
      </c>
    </row>
    <row r="3252" spans="1:49" ht="15" customHeight="1" outlineLevel="2">
      <c r="A3252" s="209">
        <v>0</v>
      </c>
      <c r="B3252" s="150"/>
      <c r="C3252" s="150"/>
      <c r="D3252" s="122"/>
      <c r="E3252" s="739" t="s">
        <v>41</v>
      </c>
      <c r="F3252" s="887" t="s">
        <v>52</v>
      </c>
      <c r="G3252" s="2"/>
      <c r="H3252" s="53" t="s">
        <v>37</v>
      </c>
      <c r="I3252" s="52">
        <f>SUMIF($L3254:$L3275,$L3252,I3254:I3275)</f>
        <v>0</v>
      </c>
      <c r="J3252" s="743" t="str">
        <f>IFERROR((I3253/I3252),"-")</f>
        <v>-</v>
      </c>
      <c r="K3252" s="2"/>
      <c r="L3252" s="53" t="s">
        <v>37</v>
      </c>
      <c r="M3252" s="52">
        <f>SUMIF($L3254:$L3275,$L3252,M3254:M3275)</f>
        <v>0</v>
      </c>
      <c r="N3252" s="743" t="str">
        <f>IFERROR((M3253/M3252),"-")</f>
        <v>-</v>
      </c>
      <c r="O3252" s="2"/>
      <c r="P3252" s="52">
        <f t="shared" ref="P3252:V3252" si="13275">SUMIF($L3254:$L3275,$L3252,P3254:P3275)</f>
        <v>0</v>
      </c>
      <c r="Q3252" s="52">
        <f t="shared" si="13275"/>
        <v>0</v>
      </c>
      <c r="R3252" s="52">
        <f t="shared" si="13275"/>
        <v>0</v>
      </c>
      <c r="S3252" s="52">
        <f t="shared" si="13275"/>
        <v>0</v>
      </c>
      <c r="T3252" s="52">
        <f t="shared" si="13275"/>
        <v>0</v>
      </c>
      <c r="U3252" s="52">
        <f t="shared" si="13275"/>
        <v>0</v>
      </c>
      <c r="V3252" s="52">
        <f t="shared" si="13275"/>
        <v>0</v>
      </c>
      <c r="W3252" s="2"/>
      <c r="X3252" s="52">
        <f t="shared" ref="X3252:X3253" si="13276">SUMIFS(P3252:V3252,$P$8:$V$8,"&gt;="&amp;$P$8,$P$8:$V$8,"&lt;="&amp;$N$8)</f>
        <v>0</v>
      </c>
      <c r="Y3252" s="743" t="str">
        <f>IFERROR((X3253/X3252),"-")</f>
        <v>-</v>
      </c>
      <c r="Z3252" s="2"/>
      <c r="AA3252" s="888">
        <f>SUM(AA3254:AA3275)</f>
        <v>4497.1899999999996</v>
      </c>
      <c r="AB3252" s="888">
        <f t="shared" ref="AB3252:AC3252" si="13277">SUM(AB3254:AB3275)</f>
        <v>1998.7199999999996</v>
      </c>
      <c r="AC3252" s="888">
        <f t="shared" si="13277"/>
        <v>16700</v>
      </c>
      <c r="AD3252" s="890">
        <f>IFERROR((AC3252/AA3252),"-")</f>
        <v>3.7134299418081071</v>
      </c>
      <c r="AE3252" s="2"/>
      <c r="AF3252" s="888">
        <f t="shared" ref="AF3252:AL3252" si="13278">SUM(AF3254:AF3275)</f>
        <v>38717.64</v>
      </c>
      <c r="AG3252" s="888">
        <f t="shared" si="13278"/>
        <v>5077.4399999999996</v>
      </c>
      <c r="AH3252" s="888">
        <f t="shared" si="13278"/>
        <v>7100</v>
      </c>
      <c r="AI3252" s="888">
        <f t="shared" si="13278"/>
        <v>7141.61</v>
      </c>
      <c r="AJ3252" s="888">
        <f t="shared" ref="AJ3252" si="13279">SUM(AJ3254:AJ3275)</f>
        <v>0</v>
      </c>
      <c r="AK3252" s="888">
        <f t="shared" si="13278"/>
        <v>74736.69</v>
      </c>
      <c r="AL3252" s="888">
        <f t="shared" si="13278"/>
        <v>63089.990000000005</v>
      </c>
      <c r="AM3252" s="743">
        <f>IFERROR((AK3252/AL3252),"-")</f>
        <v>1.1846045624670412</v>
      </c>
      <c r="AN3252" s="2"/>
      <c r="AO3252" s="888">
        <f t="shared" ref="AO3252:AP3252" si="13280">SUM(AO3254:AO3275)</f>
        <v>172421.44999999998</v>
      </c>
      <c r="AP3252" s="888">
        <f t="shared" si="13280"/>
        <v>97684.760000000024</v>
      </c>
      <c r="AV3252" t="str">
        <f t="shared" si="13142"/>
        <v>Revegetação - Biomanta</v>
      </c>
      <c r="AW3252" s="4" t="str">
        <f t="shared" si="13143"/>
        <v>Pacote 04 - Segmento 2.3 - Km 116+517 a 131+241</v>
      </c>
    </row>
    <row r="3253" spans="1:49" ht="14.85" customHeight="1" outlineLevel="2">
      <c r="A3253" s="209">
        <v>0</v>
      </c>
      <c r="B3253" s="150"/>
      <c r="C3253" s="150"/>
      <c r="D3253" s="123"/>
      <c r="E3253" s="739"/>
      <c r="F3253" s="887"/>
      <c r="G3253" s="2"/>
      <c r="H3253" s="54" t="s">
        <v>38</v>
      </c>
      <c r="I3253" s="52">
        <f>SUMIF($L3254:$L3275,$L3253,I3254:I3275)</f>
        <v>11100</v>
      </c>
      <c r="J3253" s="744"/>
      <c r="K3253" s="2"/>
      <c r="L3253" s="54" t="s">
        <v>38</v>
      </c>
      <c r="M3253" s="52">
        <f>SUMIF($L3254:$L3275,$L3253,M3254:M3275)</f>
        <v>0</v>
      </c>
      <c r="N3253" s="744"/>
      <c r="O3253" s="2"/>
      <c r="P3253" s="52">
        <f t="shared" ref="P3253:V3253" si="13281">SUMIF($L3254:$L3275,$L3253,P3254:P3275)</f>
        <v>800</v>
      </c>
      <c r="Q3253" s="52">
        <f t="shared" si="13281"/>
        <v>0</v>
      </c>
      <c r="R3253" s="52">
        <f t="shared" si="13281"/>
        <v>0</v>
      </c>
      <c r="S3253" s="52">
        <f t="shared" si="13281"/>
        <v>0</v>
      </c>
      <c r="T3253" s="52">
        <f t="shared" si="13281"/>
        <v>0</v>
      </c>
      <c r="U3253" s="52">
        <f t="shared" si="13281"/>
        <v>0</v>
      </c>
      <c r="V3253" s="52">
        <f t="shared" si="13281"/>
        <v>0</v>
      </c>
      <c r="W3253" s="2"/>
      <c r="X3253" s="52">
        <f t="shared" si="13276"/>
        <v>800</v>
      </c>
      <c r="Y3253" s="744"/>
      <c r="Z3253" s="2"/>
      <c r="AA3253" s="889"/>
      <c r="AB3253" s="889"/>
      <c r="AC3253" s="889"/>
      <c r="AD3253" s="891"/>
      <c r="AE3253" s="2"/>
      <c r="AF3253" s="889"/>
      <c r="AG3253" s="889"/>
      <c r="AH3253" s="889"/>
      <c r="AI3253" s="889"/>
      <c r="AJ3253" s="889"/>
      <c r="AK3253" s="889"/>
      <c r="AL3253" s="889"/>
      <c r="AM3253" s="744"/>
      <c r="AN3253" s="2"/>
      <c r="AO3253" s="889"/>
      <c r="AP3253" s="889"/>
      <c r="AV3253" t="str">
        <f t="shared" si="13142"/>
        <v>Revegetação - Biomanta</v>
      </c>
      <c r="AW3253" s="4" t="str">
        <f t="shared" si="13143"/>
        <v>Pacote 04 - Segmento 2.3 - Km 116+517 a 131+241</v>
      </c>
    </row>
    <row r="3254" spans="1:49" ht="14.45" customHeight="1" outlineLevel="2">
      <c r="A3254" s="8" t="str">
        <f t="shared" ref="A3254" si="13282">IF(SUM(P3254:V3255)&gt;0,"S","N")</f>
        <v>S</v>
      </c>
      <c r="B3254" s="150">
        <v>1066566</v>
      </c>
      <c r="C3254" s="150" t="s">
        <v>3676</v>
      </c>
      <c r="D3254" s="120" t="s">
        <v>3677</v>
      </c>
      <c r="E3254" s="874" t="s">
        <v>3678</v>
      </c>
      <c r="F3254" s="876" t="s">
        <v>3210</v>
      </c>
      <c r="G3254" s="2"/>
      <c r="H3254" s="49" t="s">
        <v>37</v>
      </c>
      <c r="I3254" s="705">
        <v>0</v>
      </c>
      <c r="J3254" s="878" t="str">
        <f t="shared" ref="J3254" si="13283">IFERROR((I3255/I3254),"-")</f>
        <v>-</v>
      </c>
      <c r="K3254" s="2"/>
      <c r="L3254" s="49" t="s">
        <v>37</v>
      </c>
      <c r="M3254" s="705">
        <f t="shared" ref="M3254:M3275" si="13284">_xlfn.XLOOKUP($N$8,$P$8:$V$8,$P3254:$V3254)</f>
        <v>0</v>
      </c>
      <c r="N3254" s="878" t="str">
        <f t="shared" ref="N3254" si="13285">IFERROR((M3255/M3254),"-")</f>
        <v>-</v>
      </c>
      <c r="O3254" s="2"/>
      <c r="P3254" s="121">
        <v>0</v>
      </c>
      <c r="Q3254" s="121">
        <v>0</v>
      </c>
      <c r="R3254" s="121">
        <v>0</v>
      </c>
      <c r="S3254" s="121">
        <v>0</v>
      </c>
      <c r="T3254" s="121">
        <v>0</v>
      </c>
      <c r="U3254" s="121">
        <v>0</v>
      </c>
      <c r="V3254" s="126">
        <v>0</v>
      </c>
      <c r="W3254" s="2"/>
      <c r="X3254" s="705">
        <f>SUMIFS(P3254:V3254,$P$8:$V$8,"&gt;="&amp;$N$8,$P$8:$V$8,"&lt;="&amp;$N$8)</f>
        <v>0</v>
      </c>
      <c r="Y3254" s="878" t="str">
        <f t="shared" ref="Y3254" si="13286">IFERROR((X3255/X3254),"-")</f>
        <v>-</v>
      </c>
      <c r="Z3254" s="2"/>
      <c r="AA3254" s="884">
        <v>4497.1899999999996</v>
      </c>
      <c r="AB3254" s="884">
        <v>1998.7199999999996</v>
      </c>
      <c r="AC3254" s="884">
        <v>16700</v>
      </c>
      <c r="AD3254" s="878">
        <f>IFERROR((AC3254/AA3254),"-")</f>
        <v>3.7134299418081071</v>
      </c>
      <c r="AE3254" s="2"/>
      <c r="AF3254" s="884"/>
      <c r="AG3254" s="884">
        <v>0</v>
      </c>
      <c r="AH3254" s="884">
        <v>7100</v>
      </c>
      <c r="AI3254" s="884"/>
      <c r="AJ3254" s="884"/>
      <c r="AK3254" s="884">
        <f t="shared" ref="AK3254" si="13287">AF3254+AG3254+AH3254+AI3254+AJ3254+AC3254</f>
        <v>23800</v>
      </c>
      <c r="AL3254" s="884">
        <v>16670.16</v>
      </c>
      <c r="AM3254" s="878">
        <f t="shared" ref="AM3254" si="13288">IFERROR((AK3254/AL3254),"-")</f>
        <v>1.4277007539219779</v>
      </c>
      <c r="AN3254" s="2"/>
      <c r="AO3254" s="884">
        <v>19168.62</v>
      </c>
      <c r="AP3254" s="884">
        <f t="shared" ref="AP3254" si="13289">AO3254-AK3254</f>
        <v>-4631.380000000001</v>
      </c>
      <c r="AV3254" t="str">
        <f t="shared" si="13142"/>
        <v>Revegetação - Biomanta</v>
      </c>
      <c r="AW3254" s="4" t="str">
        <f t="shared" si="13143"/>
        <v xml:space="preserve">   Aplicação de biomanta - GO-336</v>
      </c>
    </row>
    <row r="3255" spans="1:49" ht="14.45" customHeight="1" outlineLevel="2">
      <c r="A3255" s="8" t="str">
        <f t="shared" ref="A3255" si="13290">A3254</f>
        <v>S</v>
      </c>
      <c r="B3255" s="150">
        <v>1066566</v>
      </c>
      <c r="C3255" s="150" t="s">
        <v>3676</v>
      </c>
      <c r="D3255" s="120" t="s">
        <v>3677</v>
      </c>
      <c r="E3255" s="875"/>
      <c r="F3255" s="877"/>
      <c r="G3255" s="2"/>
      <c r="H3255" s="50" t="s">
        <v>38</v>
      </c>
      <c r="I3255" s="705">
        <v>11100</v>
      </c>
      <c r="J3255" s="879"/>
      <c r="K3255" s="2"/>
      <c r="L3255" s="50" t="s">
        <v>38</v>
      </c>
      <c r="M3255" s="705">
        <f t="shared" si="13284"/>
        <v>0</v>
      </c>
      <c r="N3255" s="879"/>
      <c r="O3255" s="2"/>
      <c r="P3255" s="126">
        <v>800</v>
      </c>
      <c r="Q3255" s="126">
        <v>0</v>
      </c>
      <c r="R3255" s="126">
        <v>0</v>
      </c>
      <c r="S3255" s="126">
        <v>0</v>
      </c>
      <c r="T3255" s="126">
        <v>0</v>
      </c>
      <c r="U3255" s="126">
        <v>0</v>
      </c>
      <c r="V3255" s="126"/>
      <c r="W3255" s="2"/>
      <c r="X3255" s="705">
        <f t="shared" ref="X3255:X3275" si="13291">SUMIFS(P3255:V3255,$P$8:$V$8,"&gt;="&amp;$P$8,$P$8:$V$8,"&lt;="&amp;$N$8)</f>
        <v>800</v>
      </c>
      <c r="Y3255" s="879"/>
      <c r="Z3255" s="2"/>
      <c r="AA3255" s="885"/>
      <c r="AB3255" s="885"/>
      <c r="AC3255" s="885"/>
      <c r="AD3255" s="879"/>
      <c r="AE3255" s="2"/>
      <c r="AF3255" s="885"/>
      <c r="AG3255" s="885"/>
      <c r="AH3255" s="885"/>
      <c r="AI3255" s="885"/>
      <c r="AJ3255" s="885"/>
      <c r="AK3255" s="885"/>
      <c r="AL3255" s="885"/>
      <c r="AM3255" s="879"/>
      <c r="AN3255" s="2"/>
      <c r="AO3255" s="886"/>
      <c r="AP3255" s="886"/>
      <c r="AV3255" t="str">
        <f t="shared" si="13142"/>
        <v>Revegetação - Biomanta</v>
      </c>
      <c r="AW3255" s="4" t="str">
        <f t="shared" si="13143"/>
        <v xml:space="preserve">   Aplicação de biomanta - GO-336</v>
      </c>
    </row>
    <row r="3256" spans="1:49" ht="14.45" customHeight="1" outlineLevel="2">
      <c r="A3256" s="8" t="str">
        <f t="shared" ref="A3256" si="13292">IF(SUM(P3256:V3257)&gt;0,"S","N")</f>
        <v>N</v>
      </c>
      <c r="B3256" s="150">
        <v>1067146</v>
      </c>
      <c r="C3256" s="150" t="s">
        <v>3679</v>
      </c>
      <c r="D3256" s="120" t="s">
        <v>3680</v>
      </c>
      <c r="E3256" s="874" t="s">
        <v>3681</v>
      </c>
      <c r="F3256" s="876" t="s">
        <v>3210</v>
      </c>
      <c r="G3256" s="2"/>
      <c r="H3256" s="49" t="s">
        <v>37</v>
      </c>
      <c r="I3256" s="705">
        <v>0</v>
      </c>
      <c r="J3256" s="878" t="str">
        <f t="shared" ref="J3256" si="13293">IFERROR((I3257/I3256),"-")</f>
        <v>-</v>
      </c>
      <c r="K3256" s="2"/>
      <c r="L3256" s="49" t="s">
        <v>37</v>
      </c>
      <c r="M3256" s="705">
        <f t="shared" si="13284"/>
        <v>0</v>
      </c>
      <c r="N3256" s="878" t="str">
        <f t="shared" ref="N3256" si="13294">IFERROR((M3257/M3256),"-")</f>
        <v>-</v>
      </c>
      <c r="O3256" s="2"/>
      <c r="P3256" s="121">
        <v>0</v>
      </c>
      <c r="Q3256" s="121">
        <v>0</v>
      </c>
      <c r="R3256" s="121">
        <v>0</v>
      </c>
      <c r="S3256" s="121">
        <v>0</v>
      </c>
      <c r="T3256" s="121">
        <v>0</v>
      </c>
      <c r="U3256" s="121">
        <v>0</v>
      </c>
      <c r="V3256" s="126">
        <v>0</v>
      </c>
      <c r="W3256" s="2"/>
      <c r="X3256" s="705">
        <f t="shared" si="13291"/>
        <v>0</v>
      </c>
      <c r="Y3256" s="878" t="str">
        <f t="shared" ref="Y3256" si="13295">IFERROR((X3257/X3256),"-")</f>
        <v>-</v>
      </c>
      <c r="Z3256" s="2"/>
      <c r="AA3256" s="884">
        <v>0</v>
      </c>
      <c r="AB3256" s="884">
        <v>0</v>
      </c>
      <c r="AC3256" s="884">
        <v>0</v>
      </c>
      <c r="AD3256" s="878" t="str">
        <f t="shared" ref="AD3256" si="13296">IFERROR((AC3256/AA3256),"-")</f>
        <v>-</v>
      </c>
      <c r="AE3256" s="2"/>
      <c r="AF3256" s="884">
        <v>784.72</v>
      </c>
      <c r="AG3256" s="884">
        <v>0</v>
      </c>
      <c r="AH3256" s="884">
        <v>0</v>
      </c>
      <c r="AI3256" s="884"/>
      <c r="AJ3256" s="884"/>
      <c r="AK3256" s="884">
        <f t="shared" ref="AK3256" si="13297">AF3256+AG3256+AH3256+AI3256+AJ3256+AC3256</f>
        <v>784.72</v>
      </c>
      <c r="AL3256" s="884">
        <v>766.37</v>
      </c>
      <c r="AM3256" s="878">
        <f t="shared" ref="AM3256" si="13298">IFERROR((AK3256/AL3256),"-")</f>
        <v>1.023944047914193</v>
      </c>
      <c r="AN3256" s="2"/>
      <c r="AO3256" s="884">
        <v>766.37</v>
      </c>
      <c r="AP3256" s="884">
        <f t="shared" ref="AP3256" si="13299">AO3256-AK3256</f>
        <v>-18.350000000000023</v>
      </c>
      <c r="AV3256" t="str">
        <f t="shared" si="13142"/>
        <v>Revegetação - Biomanta</v>
      </c>
      <c r="AW3256" s="4" t="str">
        <f t="shared" si="13143"/>
        <v xml:space="preserve">   Seg. 2.3-C03-Aplicação de biomanta + hidrossemeadura</v>
      </c>
    </row>
    <row r="3257" spans="1:49" ht="14.45" customHeight="1" outlineLevel="2">
      <c r="A3257" s="8" t="str">
        <f t="shared" ref="A3257" si="13300">A3256</f>
        <v>N</v>
      </c>
      <c r="B3257" s="150">
        <v>1067146</v>
      </c>
      <c r="C3257" s="150" t="s">
        <v>3679</v>
      </c>
      <c r="D3257" s="120" t="s">
        <v>3680</v>
      </c>
      <c r="E3257" s="875"/>
      <c r="F3257" s="877"/>
      <c r="G3257" s="2"/>
      <c r="H3257" s="50" t="s">
        <v>38</v>
      </c>
      <c r="I3257" s="705">
        <v>0</v>
      </c>
      <c r="J3257" s="879"/>
      <c r="K3257" s="2"/>
      <c r="L3257" s="50" t="s">
        <v>38</v>
      </c>
      <c r="M3257" s="705">
        <f t="shared" si="13284"/>
        <v>0</v>
      </c>
      <c r="N3257" s="879"/>
      <c r="O3257" s="2"/>
      <c r="P3257" s="126">
        <v>0</v>
      </c>
      <c r="Q3257" s="126">
        <v>0</v>
      </c>
      <c r="R3257" s="126">
        <v>0</v>
      </c>
      <c r="S3257" s="126">
        <v>0</v>
      </c>
      <c r="T3257" s="126">
        <v>0</v>
      </c>
      <c r="U3257" s="126">
        <v>0</v>
      </c>
      <c r="V3257" s="126"/>
      <c r="W3257" s="2"/>
      <c r="X3257" s="705">
        <f t="shared" si="13291"/>
        <v>0</v>
      </c>
      <c r="Y3257" s="879"/>
      <c r="Z3257" s="2"/>
      <c r="AA3257" s="885"/>
      <c r="AB3257" s="885"/>
      <c r="AC3257" s="885"/>
      <c r="AD3257" s="879"/>
      <c r="AE3257" s="2"/>
      <c r="AF3257" s="885"/>
      <c r="AG3257" s="885"/>
      <c r="AH3257" s="885"/>
      <c r="AI3257" s="885"/>
      <c r="AJ3257" s="885"/>
      <c r="AK3257" s="885"/>
      <c r="AL3257" s="885"/>
      <c r="AM3257" s="879"/>
      <c r="AN3257" s="2"/>
      <c r="AO3257" s="886"/>
      <c r="AP3257" s="886"/>
      <c r="AV3257" t="str">
        <f t="shared" si="13142"/>
        <v>Revegetação - Biomanta</v>
      </c>
      <c r="AW3257" s="4" t="str">
        <f t="shared" si="13143"/>
        <v xml:space="preserve">   Seg. 2.3-C03-Aplicação de biomanta + hidrossemeadura</v>
      </c>
    </row>
    <row r="3258" spans="1:49" ht="14.45" customHeight="1" outlineLevel="2">
      <c r="A3258" s="8" t="str">
        <f t="shared" ref="A3258" si="13301">IF(SUM(P3258:V3259)&gt;0,"S","N")</f>
        <v>N</v>
      </c>
      <c r="B3258" s="150">
        <v>1067147</v>
      </c>
      <c r="C3258" s="150" t="s">
        <v>3682</v>
      </c>
      <c r="D3258" s="120" t="s">
        <v>3683</v>
      </c>
      <c r="E3258" s="874" t="s">
        <v>3684</v>
      </c>
      <c r="F3258" s="876" t="s">
        <v>3210</v>
      </c>
      <c r="G3258" s="2"/>
      <c r="H3258" s="49" t="s">
        <v>37</v>
      </c>
      <c r="I3258" s="705">
        <v>0</v>
      </c>
      <c r="J3258" s="878" t="str">
        <f t="shared" ref="J3258" si="13302">IFERROR((I3259/I3258),"-")</f>
        <v>-</v>
      </c>
      <c r="K3258" s="2"/>
      <c r="L3258" s="49" t="s">
        <v>37</v>
      </c>
      <c r="M3258" s="705">
        <f t="shared" si="13284"/>
        <v>0</v>
      </c>
      <c r="N3258" s="878" t="str">
        <f t="shared" ref="N3258" si="13303">IFERROR((M3259/M3258),"-")</f>
        <v>-</v>
      </c>
      <c r="O3258" s="2"/>
      <c r="P3258" s="121">
        <v>0</v>
      </c>
      <c r="Q3258" s="121">
        <v>0</v>
      </c>
      <c r="R3258" s="121">
        <v>0</v>
      </c>
      <c r="S3258" s="121">
        <v>0</v>
      </c>
      <c r="T3258" s="121">
        <v>0</v>
      </c>
      <c r="U3258" s="121">
        <v>0</v>
      </c>
      <c r="V3258" s="126">
        <v>0</v>
      </c>
      <c r="W3258" s="2"/>
      <c r="X3258" s="705">
        <f t="shared" si="13291"/>
        <v>0</v>
      </c>
      <c r="Y3258" s="878" t="str">
        <f t="shared" ref="Y3258" si="13304">IFERROR((X3259/X3258),"-")</f>
        <v>-</v>
      </c>
      <c r="Z3258" s="2"/>
      <c r="AA3258" s="884">
        <v>0</v>
      </c>
      <c r="AB3258" s="884">
        <v>0</v>
      </c>
      <c r="AC3258" s="884">
        <v>0</v>
      </c>
      <c r="AD3258" s="878" t="str">
        <f t="shared" ref="AD3258" si="13305">IFERROR((AC3258/AA3258),"-")</f>
        <v>-</v>
      </c>
      <c r="AE3258" s="2"/>
      <c r="AF3258" s="884"/>
      <c r="AG3258" s="884">
        <v>5077.4399999999996</v>
      </c>
      <c r="AH3258" s="884">
        <v>0</v>
      </c>
      <c r="AI3258" s="884">
        <v>7141.61</v>
      </c>
      <c r="AJ3258" s="884"/>
      <c r="AK3258" s="884">
        <f t="shared" ref="AK3258" si="13306">AF3258+AG3258+AH3258+AI3258+AJ3258+AC3258</f>
        <v>12219.05</v>
      </c>
      <c r="AL3258" s="884">
        <v>12219.000000000005</v>
      </c>
      <c r="AM3258" s="878">
        <f t="shared" ref="AM3258" si="13307">IFERROR((AK3258/AL3258),"-")</f>
        <v>1.0000040919878872</v>
      </c>
      <c r="AN3258" s="2"/>
      <c r="AO3258" s="884">
        <v>24755.73</v>
      </c>
      <c r="AP3258" s="884">
        <f t="shared" ref="AP3258" si="13308">AO3258-AK3258</f>
        <v>12536.68</v>
      </c>
      <c r="AV3258" t="str">
        <f t="shared" si="13142"/>
        <v>Revegetação - Biomanta</v>
      </c>
      <c r="AW3258" s="4" t="str">
        <f t="shared" si="13143"/>
        <v xml:space="preserve">   Seg. 2.3-C04-Aplicação de biomanta + hidrossemeadura</v>
      </c>
    </row>
    <row r="3259" spans="1:49" ht="14.45" customHeight="1" outlineLevel="2">
      <c r="A3259" s="8" t="str">
        <f t="shared" ref="A3259" si="13309">A3258</f>
        <v>N</v>
      </c>
      <c r="B3259" s="150">
        <v>1067147</v>
      </c>
      <c r="C3259" s="150" t="s">
        <v>3682</v>
      </c>
      <c r="D3259" s="120" t="s">
        <v>3683</v>
      </c>
      <c r="E3259" s="875"/>
      <c r="F3259" s="877"/>
      <c r="G3259" s="2"/>
      <c r="H3259" s="50" t="s">
        <v>38</v>
      </c>
      <c r="I3259" s="705">
        <v>0</v>
      </c>
      <c r="J3259" s="879"/>
      <c r="K3259" s="2"/>
      <c r="L3259" s="50" t="s">
        <v>38</v>
      </c>
      <c r="M3259" s="705">
        <f t="shared" si="13284"/>
        <v>0</v>
      </c>
      <c r="N3259" s="879"/>
      <c r="O3259" s="2"/>
      <c r="P3259" s="126">
        <v>0</v>
      </c>
      <c r="Q3259" s="126">
        <v>0</v>
      </c>
      <c r="R3259" s="126">
        <v>0</v>
      </c>
      <c r="S3259" s="126">
        <v>0</v>
      </c>
      <c r="T3259" s="126">
        <v>0</v>
      </c>
      <c r="U3259" s="126">
        <v>0</v>
      </c>
      <c r="V3259" s="126"/>
      <c r="W3259" s="2"/>
      <c r="X3259" s="705">
        <f t="shared" si="13291"/>
        <v>0</v>
      </c>
      <c r="Y3259" s="879"/>
      <c r="Z3259" s="2"/>
      <c r="AA3259" s="885"/>
      <c r="AB3259" s="885"/>
      <c r="AC3259" s="885"/>
      <c r="AD3259" s="879"/>
      <c r="AE3259" s="2"/>
      <c r="AF3259" s="885"/>
      <c r="AG3259" s="885"/>
      <c r="AH3259" s="885"/>
      <c r="AI3259" s="885"/>
      <c r="AJ3259" s="885"/>
      <c r="AK3259" s="885"/>
      <c r="AL3259" s="885"/>
      <c r="AM3259" s="879"/>
      <c r="AN3259" s="2"/>
      <c r="AO3259" s="886"/>
      <c r="AP3259" s="886"/>
      <c r="AV3259" t="str">
        <f t="shared" si="13142"/>
        <v>Revegetação - Biomanta</v>
      </c>
      <c r="AW3259" s="4" t="str">
        <f t="shared" si="13143"/>
        <v xml:space="preserve">   Seg. 2.3-C04-Aplicação de biomanta + hidrossemeadura</v>
      </c>
    </row>
    <row r="3260" spans="1:49" ht="14.45" customHeight="1" outlineLevel="2">
      <c r="A3260" s="8" t="str">
        <f t="shared" ref="A3260" si="13310">IF(SUM(P3260:V3261)&gt;0,"S","N")</f>
        <v>N</v>
      </c>
      <c r="B3260" s="150">
        <v>1067148</v>
      </c>
      <c r="C3260" s="150" t="s">
        <v>3685</v>
      </c>
      <c r="D3260" s="120" t="s">
        <v>3686</v>
      </c>
      <c r="E3260" s="874" t="s">
        <v>3687</v>
      </c>
      <c r="F3260" s="876" t="s">
        <v>3210</v>
      </c>
      <c r="G3260" s="2"/>
      <c r="H3260" s="49" t="s">
        <v>37</v>
      </c>
      <c r="I3260" s="705">
        <v>0</v>
      </c>
      <c r="J3260" s="878" t="str">
        <f t="shared" ref="J3260" si="13311">IFERROR((I3261/I3260),"-")</f>
        <v>-</v>
      </c>
      <c r="K3260" s="2"/>
      <c r="L3260" s="49" t="s">
        <v>37</v>
      </c>
      <c r="M3260" s="705">
        <f t="shared" si="13284"/>
        <v>0</v>
      </c>
      <c r="N3260" s="878" t="str">
        <f t="shared" ref="N3260" si="13312">IFERROR((M3261/M3260),"-")</f>
        <v>-</v>
      </c>
      <c r="O3260" s="2"/>
      <c r="P3260" s="121">
        <v>0</v>
      </c>
      <c r="Q3260" s="121">
        <v>0</v>
      </c>
      <c r="R3260" s="121">
        <v>0</v>
      </c>
      <c r="S3260" s="121">
        <v>0</v>
      </c>
      <c r="T3260" s="121">
        <v>0</v>
      </c>
      <c r="U3260" s="121">
        <v>0</v>
      </c>
      <c r="V3260" s="126">
        <v>0</v>
      </c>
      <c r="W3260" s="2"/>
      <c r="X3260" s="705">
        <f t="shared" si="13291"/>
        <v>0</v>
      </c>
      <c r="Y3260" s="878" t="str">
        <f t="shared" ref="Y3260" si="13313">IFERROR((X3261/X3260),"-")</f>
        <v>-</v>
      </c>
      <c r="Z3260" s="2"/>
      <c r="AA3260" s="884">
        <v>0</v>
      </c>
      <c r="AB3260" s="884">
        <v>0</v>
      </c>
      <c r="AC3260" s="884">
        <v>0</v>
      </c>
      <c r="AD3260" s="878" t="str">
        <f t="shared" ref="AD3260" si="13314">IFERROR((AC3260/AA3260),"-")</f>
        <v>-</v>
      </c>
      <c r="AE3260" s="2"/>
      <c r="AF3260" s="884"/>
      <c r="AG3260" s="884">
        <v>0</v>
      </c>
      <c r="AH3260" s="884">
        <v>0</v>
      </c>
      <c r="AI3260" s="884"/>
      <c r="AJ3260" s="884"/>
      <c r="AK3260" s="884">
        <f t="shared" ref="AK3260" si="13315">AF3260+AG3260+AH3260+AI3260+AJ3260+AC3260</f>
        <v>0</v>
      </c>
      <c r="AL3260" s="884">
        <v>0</v>
      </c>
      <c r="AM3260" s="878" t="str">
        <f t="shared" ref="AM3260" si="13316">IFERROR((AK3260/AL3260),"-")</f>
        <v>-</v>
      </c>
      <c r="AN3260" s="2"/>
      <c r="AO3260" s="884">
        <v>11791.08</v>
      </c>
      <c r="AP3260" s="884">
        <f t="shared" ref="AP3260" si="13317">AO3260-AK3260</f>
        <v>11791.08</v>
      </c>
      <c r="AV3260" t="str">
        <f t="shared" si="13142"/>
        <v>Revegetação - Biomanta</v>
      </c>
      <c r="AW3260" s="4" t="str">
        <f t="shared" si="13143"/>
        <v xml:space="preserve">   Seg. 2.3-C05-Aplicação de biomanta + hidrossemeadura</v>
      </c>
    </row>
    <row r="3261" spans="1:49" ht="14.45" customHeight="1" outlineLevel="2">
      <c r="A3261" s="8" t="str">
        <f t="shared" ref="A3261" si="13318">A3260</f>
        <v>N</v>
      </c>
      <c r="B3261" s="150">
        <v>1067148</v>
      </c>
      <c r="C3261" s="150" t="s">
        <v>3685</v>
      </c>
      <c r="D3261" s="120" t="s">
        <v>3686</v>
      </c>
      <c r="E3261" s="875"/>
      <c r="F3261" s="877"/>
      <c r="G3261" s="2"/>
      <c r="H3261" s="50" t="s">
        <v>38</v>
      </c>
      <c r="I3261" s="705">
        <v>0</v>
      </c>
      <c r="J3261" s="879"/>
      <c r="K3261" s="2"/>
      <c r="L3261" s="50" t="s">
        <v>38</v>
      </c>
      <c r="M3261" s="705">
        <f t="shared" si="13284"/>
        <v>0</v>
      </c>
      <c r="N3261" s="879"/>
      <c r="O3261" s="2"/>
      <c r="P3261" s="126">
        <v>0</v>
      </c>
      <c r="Q3261" s="126">
        <v>0</v>
      </c>
      <c r="R3261" s="126">
        <v>0</v>
      </c>
      <c r="S3261" s="126">
        <v>0</v>
      </c>
      <c r="T3261" s="126">
        <v>0</v>
      </c>
      <c r="U3261" s="126">
        <v>0</v>
      </c>
      <c r="V3261" s="126"/>
      <c r="W3261" s="2"/>
      <c r="X3261" s="705">
        <f t="shared" si="13291"/>
        <v>0</v>
      </c>
      <c r="Y3261" s="879"/>
      <c r="Z3261" s="2"/>
      <c r="AA3261" s="885"/>
      <c r="AB3261" s="885"/>
      <c r="AC3261" s="885"/>
      <c r="AD3261" s="879"/>
      <c r="AE3261" s="2"/>
      <c r="AF3261" s="885"/>
      <c r="AG3261" s="885"/>
      <c r="AH3261" s="885"/>
      <c r="AI3261" s="885"/>
      <c r="AJ3261" s="885"/>
      <c r="AK3261" s="885"/>
      <c r="AL3261" s="885"/>
      <c r="AM3261" s="879"/>
      <c r="AN3261" s="2"/>
      <c r="AO3261" s="886"/>
      <c r="AP3261" s="886"/>
      <c r="AV3261" t="str">
        <f t="shared" si="13142"/>
        <v>Revegetação - Biomanta</v>
      </c>
      <c r="AW3261" s="4" t="str">
        <f t="shared" si="13143"/>
        <v xml:space="preserve">   Seg. 2.3-C05-Aplicação de biomanta + hidrossemeadura</v>
      </c>
    </row>
    <row r="3262" spans="1:49" ht="14.45" customHeight="1" outlineLevel="2">
      <c r="A3262" s="8" t="str">
        <f t="shared" ref="A3262" si="13319">IF(SUM(P3262:V3263)&gt;0,"S","N")</f>
        <v>N</v>
      </c>
      <c r="B3262" s="150">
        <v>1067149</v>
      </c>
      <c r="C3262" s="150" t="s">
        <v>3688</v>
      </c>
      <c r="D3262" s="120" t="s">
        <v>3689</v>
      </c>
      <c r="E3262" s="874" t="s">
        <v>3690</v>
      </c>
      <c r="F3262" s="876" t="s">
        <v>3210</v>
      </c>
      <c r="G3262" s="2"/>
      <c r="H3262" s="49" t="s">
        <v>37</v>
      </c>
      <c r="I3262" s="705">
        <v>0</v>
      </c>
      <c r="J3262" s="878" t="str">
        <f t="shared" ref="J3262" si="13320">IFERROR((I3263/I3262),"-")</f>
        <v>-</v>
      </c>
      <c r="K3262" s="2"/>
      <c r="L3262" s="49" t="s">
        <v>37</v>
      </c>
      <c r="M3262" s="705">
        <f t="shared" si="13284"/>
        <v>0</v>
      </c>
      <c r="N3262" s="878" t="str">
        <f t="shared" ref="N3262" si="13321">IFERROR((M3263/M3262),"-")</f>
        <v>-</v>
      </c>
      <c r="O3262" s="2"/>
      <c r="P3262" s="121">
        <v>0</v>
      </c>
      <c r="Q3262" s="121">
        <v>0</v>
      </c>
      <c r="R3262" s="121">
        <v>0</v>
      </c>
      <c r="S3262" s="121">
        <v>0</v>
      </c>
      <c r="T3262" s="121">
        <v>0</v>
      </c>
      <c r="U3262" s="121">
        <v>0</v>
      </c>
      <c r="V3262" s="126">
        <v>0</v>
      </c>
      <c r="W3262" s="2"/>
      <c r="X3262" s="705">
        <f t="shared" si="13291"/>
        <v>0</v>
      </c>
      <c r="Y3262" s="878" t="str">
        <f t="shared" ref="Y3262" si="13322">IFERROR((X3263/X3262),"-")</f>
        <v>-</v>
      </c>
      <c r="Z3262" s="2"/>
      <c r="AA3262" s="884">
        <v>0</v>
      </c>
      <c r="AB3262" s="884">
        <v>0</v>
      </c>
      <c r="AC3262" s="884">
        <v>0</v>
      </c>
      <c r="AD3262" s="878" t="str">
        <f t="shared" ref="AD3262" si="13323">IFERROR((AC3262/AA3262),"-")</f>
        <v>-</v>
      </c>
      <c r="AE3262" s="2"/>
      <c r="AF3262" s="884"/>
      <c r="AG3262" s="884">
        <v>0</v>
      </c>
      <c r="AH3262" s="884">
        <v>0</v>
      </c>
      <c r="AI3262" s="884"/>
      <c r="AJ3262" s="884"/>
      <c r="AK3262" s="884">
        <f t="shared" ref="AK3262" si="13324">AF3262+AG3262+AH3262+AI3262+AJ3262+AC3262</f>
        <v>0</v>
      </c>
      <c r="AL3262" s="884">
        <v>0</v>
      </c>
      <c r="AM3262" s="878" t="str">
        <f t="shared" ref="AM3262" si="13325">IFERROR((AK3262/AL3262),"-")</f>
        <v>-</v>
      </c>
      <c r="AN3262" s="2"/>
      <c r="AO3262" s="884">
        <v>320.05</v>
      </c>
      <c r="AP3262" s="884">
        <f t="shared" ref="AP3262" si="13326">AO3262-AK3262</f>
        <v>320.05</v>
      </c>
      <c r="AV3262" t="str">
        <f t="shared" si="13142"/>
        <v>Revegetação - Biomanta</v>
      </c>
      <c r="AW3262" s="4" t="str">
        <f t="shared" si="13143"/>
        <v xml:space="preserve">   Seg. 2.3-C06-Aplicação de biomanta + hidrossemeadura</v>
      </c>
    </row>
    <row r="3263" spans="1:49" ht="14.45" customHeight="1" outlineLevel="2">
      <c r="A3263" s="8" t="str">
        <f t="shared" ref="A3263" si="13327">A3262</f>
        <v>N</v>
      </c>
      <c r="B3263" s="150">
        <v>1067149</v>
      </c>
      <c r="C3263" s="150" t="s">
        <v>3688</v>
      </c>
      <c r="D3263" s="120" t="s">
        <v>3689</v>
      </c>
      <c r="E3263" s="875"/>
      <c r="F3263" s="877"/>
      <c r="G3263" s="2"/>
      <c r="H3263" s="50" t="s">
        <v>38</v>
      </c>
      <c r="I3263" s="705">
        <v>0</v>
      </c>
      <c r="J3263" s="879"/>
      <c r="K3263" s="2"/>
      <c r="L3263" s="50" t="s">
        <v>38</v>
      </c>
      <c r="M3263" s="705">
        <f t="shared" si="13284"/>
        <v>0</v>
      </c>
      <c r="N3263" s="879"/>
      <c r="O3263" s="2"/>
      <c r="P3263" s="126">
        <v>0</v>
      </c>
      <c r="Q3263" s="126">
        <v>0</v>
      </c>
      <c r="R3263" s="126">
        <v>0</v>
      </c>
      <c r="S3263" s="126">
        <v>0</v>
      </c>
      <c r="T3263" s="126">
        <v>0</v>
      </c>
      <c r="U3263" s="126">
        <v>0</v>
      </c>
      <c r="V3263" s="126"/>
      <c r="W3263" s="2"/>
      <c r="X3263" s="705">
        <f t="shared" si="13291"/>
        <v>0</v>
      </c>
      <c r="Y3263" s="879"/>
      <c r="Z3263" s="2"/>
      <c r="AA3263" s="885"/>
      <c r="AB3263" s="885"/>
      <c r="AC3263" s="885"/>
      <c r="AD3263" s="879"/>
      <c r="AE3263" s="2"/>
      <c r="AF3263" s="885"/>
      <c r="AG3263" s="885"/>
      <c r="AH3263" s="885"/>
      <c r="AI3263" s="885"/>
      <c r="AJ3263" s="885"/>
      <c r="AK3263" s="885"/>
      <c r="AL3263" s="885"/>
      <c r="AM3263" s="879"/>
      <c r="AN3263" s="2"/>
      <c r="AO3263" s="886"/>
      <c r="AP3263" s="886"/>
      <c r="AV3263" t="str">
        <f t="shared" si="13142"/>
        <v>Revegetação - Biomanta</v>
      </c>
      <c r="AW3263" s="4" t="str">
        <f t="shared" si="13143"/>
        <v xml:space="preserve">   Seg. 2.3-C06-Aplicação de biomanta + hidrossemeadura</v>
      </c>
    </row>
    <row r="3264" spans="1:49" ht="14.45" customHeight="1" outlineLevel="2">
      <c r="A3264" s="8" t="str">
        <f t="shared" ref="A3264" si="13328">IF(SUM(P3264:V3265)&gt;0,"S","N")</f>
        <v>N</v>
      </c>
      <c r="B3264" s="150">
        <v>1067150</v>
      </c>
      <c r="C3264" s="150" t="s">
        <v>3691</v>
      </c>
      <c r="D3264" s="120" t="s">
        <v>3374</v>
      </c>
      <c r="E3264" s="874" t="s">
        <v>3692</v>
      </c>
      <c r="F3264" s="876" t="s">
        <v>3210</v>
      </c>
      <c r="G3264" s="2"/>
      <c r="H3264" s="49" t="s">
        <v>37</v>
      </c>
      <c r="I3264" s="705">
        <v>0</v>
      </c>
      <c r="J3264" s="878" t="str">
        <f t="shared" ref="J3264" si="13329">IFERROR((I3265/I3264),"-")</f>
        <v>-</v>
      </c>
      <c r="K3264" s="2"/>
      <c r="L3264" s="49" t="s">
        <v>37</v>
      </c>
      <c r="M3264" s="705">
        <f t="shared" si="13284"/>
        <v>0</v>
      </c>
      <c r="N3264" s="878" t="str">
        <f t="shared" ref="N3264" si="13330">IFERROR((M3265/M3264),"-")</f>
        <v>-</v>
      </c>
      <c r="O3264" s="2"/>
      <c r="P3264" s="121">
        <v>0</v>
      </c>
      <c r="Q3264" s="121">
        <v>0</v>
      </c>
      <c r="R3264" s="121">
        <v>0</v>
      </c>
      <c r="S3264" s="121">
        <v>0</v>
      </c>
      <c r="T3264" s="121">
        <v>0</v>
      </c>
      <c r="U3264" s="121">
        <v>0</v>
      </c>
      <c r="V3264" s="126">
        <v>0</v>
      </c>
      <c r="W3264" s="2"/>
      <c r="X3264" s="705">
        <f t="shared" si="13291"/>
        <v>0</v>
      </c>
      <c r="Y3264" s="878" t="str">
        <f t="shared" ref="Y3264" si="13331">IFERROR((X3265/X3264),"-")</f>
        <v>-</v>
      </c>
      <c r="Z3264" s="2"/>
      <c r="AA3264" s="884">
        <v>0</v>
      </c>
      <c r="AB3264" s="884">
        <v>0</v>
      </c>
      <c r="AC3264" s="884">
        <v>0</v>
      </c>
      <c r="AD3264" s="878" t="str">
        <f t="shared" ref="AD3264" si="13332">IFERROR((AC3264/AA3264),"-")</f>
        <v>-</v>
      </c>
      <c r="AE3264" s="2"/>
      <c r="AF3264" s="884">
        <v>7699.49</v>
      </c>
      <c r="AG3264" s="884">
        <v>0</v>
      </c>
      <c r="AH3264" s="884">
        <v>0</v>
      </c>
      <c r="AI3264" s="884"/>
      <c r="AJ3264" s="884"/>
      <c r="AK3264" s="884">
        <f t="shared" ref="AK3264" si="13333">AF3264+AG3264+AH3264+AI3264+AJ3264+AC3264</f>
        <v>7699.49</v>
      </c>
      <c r="AL3264" s="884">
        <v>7758.8099999999995</v>
      </c>
      <c r="AM3264" s="878">
        <f t="shared" ref="AM3264" si="13334">IFERROR((AK3264/AL3264),"-")</f>
        <v>0.99235449766136818</v>
      </c>
      <c r="AN3264" s="2"/>
      <c r="AO3264" s="884">
        <v>7758.81</v>
      </c>
      <c r="AP3264" s="884">
        <f t="shared" ref="AP3264" si="13335">AO3264-AK3264</f>
        <v>59.320000000000618</v>
      </c>
      <c r="AV3264" t="str">
        <f t="shared" si="13142"/>
        <v>Revegetação - Biomanta</v>
      </c>
      <c r="AW3264" s="4" t="str">
        <f t="shared" si="13143"/>
        <v xml:space="preserve">   Seg. 2.3-C07-Aplicação de biomanta + hidrossemeadura</v>
      </c>
    </row>
    <row r="3265" spans="1:50" ht="14.45" customHeight="1" outlineLevel="2">
      <c r="A3265" s="8" t="str">
        <f t="shared" ref="A3265" si="13336">A3264</f>
        <v>N</v>
      </c>
      <c r="B3265" s="150">
        <v>1067150</v>
      </c>
      <c r="C3265" s="150" t="s">
        <v>3691</v>
      </c>
      <c r="D3265" s="120" t="s">
        <v>3374</v>
      </c>
      <c r="E3265" s="875"/>
      <c r="F3265" s="877"/>
      <c r="G3265" s="2"/>
      <c r="H3265" s="50" t="s">
        <v>38</v>
      </c>
      <c r="I3265" s="705">
        <v>0</v>
      </c>
      <c r="J3265" s="879"/>
      <c r="K3265" s="2"/>
      <c r="L3265" s="50" t="s">
        <v>38</v>
      </c>
      <c r="M3265" s="705">
        <f t="shared" si="13284"/>
        <v>0</v>
      </c>
      <c r="N3265" s="879"/>
      <c r="O3265" s="2"/>
      <c r="P3265" s="126">
        <v>0</v>
      </c>
      <c r="Q3265" s="126">
        <v>0</v>
      </c>
      <c r="R3265" s="126">
        <v>0</v>
      </c>
      <c r="S3265" s="126">
        <v>0</v>
      </c>
      <c r="T3265" s="126">
        <v>0</v>
      </c>
      <c r="U3265" s="126">
        <v>0</v>
      </c>
      <c r="V3265" s="126"/>
      <c r="W3265" s="2"/>
      <c r="X3265" s="705">
        <f t="shared" si="13291"/>
        <v>0</v>
      </c>
      <c r="Y3265" s="879"/>
      <c r="Z3265" s="2"/>
      <c r="AA3265" s="885"/>
      <c r="AB3265" s="885"/>
      <c r="AC3265" s="885"/>
      <c r="AD3265" s="879"/>
      <c r="AE3265" s="2"/>
      <c r="AF3265" s="885"/>
      <c r="AG3265" s="885"/>
      <c r="AH3265" s="885"/>
      <c r="AI3265" s="885"/>
      <c r="AJ3265" s="885"/>
      <c r="AK3265" s="885"/>
      <c r="AL3265" s="885"/>
      <c r="AM3265" s="879"/>
      <c r="AN3265" s="2"/>
      <c r="AO3265" s="886"/>
      <c r="AP3265" s="886"/>
      <c r="AV3265" t="str">
        <f t="shared" si="13142"/>
        <v>Revegetação - Biomanta</v>
      </c>
      <c r="AW3265" s="4" t="str">
        <f t="shared" si="13143"/>
        <v xml:space="preserve">   Seg. 2.3-C07-Aplicação de biomanta + hidrossemeadura</v>
      </c>
    </row>
    <row r="3266" spans="1:50" ht="14.25" customHeight="1" outlineLevel="2" collapsed="1">
      <c r="A3266" s="209" t="str">
        <f t="shared" ref="A3266" si="13337">IF(SUM(P3266:V3267)&gt;0,"S","N")</f>
        <v>N</v>
      </c>
      <c r="B3266" s="150">
        <v>1067151</v>
      </c>
      <c r="C3266" s="150" t="s">
        <v>3693</v>
      </c>
      <c r="D3266" s="120"/>
      <c r="E3266" s="874" t="s">
        <v>3694</v>
      </c>
      <c r="F3266" s="876" t="s">
        <v>3210</v>
      </c>
      <c r="G3266" s="2"/>
      <c r="H3266" s="49" t="s">
        <v>37</v>
      </c>
      <c r="I3266" s="705">
        <v>0</v>
      </c>
      <c r="J3266" s="878" t="str">
        <f t="shared" ref="J3266" si="13338">IFERROR((I3267/I3266),"-")</f>
        <v>-</v>
      </c>
      <c r="K3266" s="2"/>
      <c r="L3266" s="49" t="s">
        <v>37</v>
      </c>
      <c r="M3266" s="705">
        <f t="shared" si="13284"/>
        <v>0</v>
      </c>
      <c r="N3266" s="878" t="str">
        <f t="shared" ref="N3266" si="13339">IFERROR((M3267/M3266),"-")</f>
        <v>-</v>
      </c>
      <c r="O3266" s="2"/>
      <c r="P3266" s="121">
        <v>0</v>
      </c>
      <c r="Q3266" s="121">
        <v>0</v>
      </c>
      <c r="R3266" s="121">
        <v>0</v>
      </c>
      <c r="S3266" s="121">
        <v>0</v>
      </c>
      <c r="T3266" s="121">
        <v>0</v>
      </c>
      <c r="U3266" s="121">
        <v>0</v>
      </c>
      <c r="V3266" s="126">
        <v>0</v>
      </c>
      <c r="W3266" s="2"/>
      <c r="X3266" s="705">
        <f t="shared" si="13291"/>
        <v>0</v>
      </c>
      <c r="Y3266" s="878" t="str">
        <f t="shared" ref="Y3266" si="13340">IFERROR((X3267/X3266),"-")</f>
        <v>-</v>
      </c>
      <c r="Z3266" s="2"/>
      <c r="AA3266" s="884">
        <v>0</v>
      </c>
      <c r="AB3266" s="884">
        <v>0</v>
      </c>
      <c r="AC3266" s="884">
        <v>0</v>
      </c>
      <c r="AD3266" s="878" t="str">
        <f t="shared" ref="AD3266" si="13341">IFERROR((AC3266/AA3266),"-")</f>
        <v>-</v>
      </c>
      <c r="AE3266" s="2"/>
      <c r="AF3266" s="884">
        <v>3189.82</v>
      </c>
      <c r="AG3266" s="884">
        <v>0</v>
      </c>
      <c r="AH3266" s="884">
        <v>0</v>
      </c>
      <c r="AI3266" s="884"/>
      <c r="AJ3266" s="884"/>
      <c r="AK3266" s="884">
        <f t="shared" ref="AK3266" si="13342">AF3266+AG3266+AH3266+AI3266+AJ3266+AC3266</f>
        <v>3189.82</v>
      </c>
      <c r="AL3266" s="884">
        <v>589.41</v>
      </c>
      <c r="AM3266" s="878">
        <f t="shared" ref="AM3266" si="13343">IFERROR((AK3266/AL3266),"-")</f>
        <v>5.4118864627339205</v>
      </c>
      <c r="AN3266" s="2"/>
      <c r="AO3266" s="884">
        <v>59849.55</v>
      </c>
      <c r="AP3266" s="884">
        <f t="shared" ref="AP3266" si="13344">AO3266-AK3266</f>
        <v>56659.73</v>
      </c>
      <c r="AV3266" t="str">
        <f t="shared" si="13142"/>
        <v>Revegetação - Biomanta</v>
      </c>
      <c r="AW3266" s="4" t="str">
        <f t="shared" si="13143"/>
        <v xml:space="preserve">   Seg. 2.3-C08-Aplicação de biomanta + hidrossemeadura</v>
      </c>
    </row>
    <row r="3267" spans="1:50" ht="14.25" customHeight="1" outlineLevel="2">
      <c r="A3267" s="209" t="str">
        <f t="shared" ref="A3267" si="13345">A3266</f>
        <v>N</v>
      </c>
      <c r="B3267" s="150">
        <v>1067151</v>
      </c>
      <c r="C3267" s="150" t="s">
        <v>3693</v>
      </c>
      <c r="D3267" s="120"/>
      <c r="E3267" s="875"/>
      <c r="F3267" s="877"/>
      <c r="G3267" s="2"/>
      <c r="H3267" s="50" t="s">
        <v>38</v>
      </c>
      <c r="I3267" s="705">
        <v>0</v>
      </c>
      <c r="J3267" s="879"/>
      <c r="K3267" s="2"/>
      <c r="L3267" s="50" t="s">
        <v>38</v>
      </c>
      <c r="M3267" s="705">
        <f t="shared" si="13284"/>
        <v>0</v>
      </c>
      <c r="N3267" s="879"/>
      <c r="O3267" s="2"/>
      <c r="P3267" s="126">
        <v>0</v>
      </c>
      <c r="Q3267" s="126">
        <v>0</v>
      </c>
      <c r="R3267" s="126">
        <v>0</v>
      </c>
      <c r="S3267" s="126">
        <v>0</v>
      </c>
      <c r="T3267" s="126">
        <v>0</v>
      </c>
      <c r="U3267" s="126">
        <v>0</v>
      </c>
      <c r="V3267" s="126"/>
      <c r="W3267" s="2"/>
      <c r="X3267" s="705">
        <f t="shared" si="13291"/>
        <v>0</v>
      </c>
      <c r="Y3267" s="879"/>
      <c r="Z3267" s="2"/>
      <c r="AA3267" s="885"/>
      <c r="AB3267" s="885"/>
      <c r="AC3267" s="885"/>
      <c r="AD3267" s="879"/>
      <c r="AE3267" s="2"/>
      <c r="AF3267" s="885"/>
      <c r="AG3267" s="885"/>
      <c r="AH3267" s="885"/>
      <c r="AI3267" s="885"/>
      <c r="AJ3267" s="885"/>
      <c r="AK3267" s="885"/>
      <c r="AL3267" s="885"/>
      <c r="AM3267" s="879"/>
      <c r="AN3267" s="2"/>
      <c r="AO3267" s="886"/>
      <c r="AP3267" s="886"/>
      <c r="AV3267" s="4" t="str">
        <f t="shared" si="13142"/>
        <v>Revegetação - Biomanta</v>
      </c>
      <c r="AW3267" s="4" t="str">
        <f t="shared" si="13143"/>
        <v xml:space="preserve">   Seg. 2.3-C08-Aplicação de biomanta + hidrossemeadura</v>
      </c>
      <c r="AX3267" s="4"/>
    </row>
    <row r="3268" spans="1:50" ht="14.25" customHeight="1" outlineLevel="2">
      <c r="A3268" s="8" t="str">
        <f t="shared" ref="A3268" si="13346">IF(SUM(P3268:V3269)&gt;0,"S","N")</f>
        <v>N</v>
      </c>
      <c r="B3268" s="150">
        <v>1067152</v>
      </c>
      <c r="C3268" s="150" t="s">
        <v>3695</v>
      </c>
      <c r="D3268" s="120" t="s">
        <v>3696</v>
      </c>
      <c r="E3268" s="874" t="s">
        <v>3697</v>
      </c>
      <c r="F3268" s="876" t="s">
        <v>3210</v>
      </c>
      <c r="G3268" s="2"/>
      <c r="H3268" s="49" t="s">
        <v>37</v>
      </c>
      <c r="I3268" s="705">
        <v>0</v>
      </c>
      <c r="J3268" s="878" t="str">
        <f t="shared" ref="J3268" si="13347">IFERROR((I3269/I3268),"-")</f>
        <v>-</v>
      </c>
      <c r="K3268" s="2"/>
      <c r="L3268" s="49" t="s">
        <v>37</v>
      </c>
      <c r="M3268" s="705">
        <f t="shared" si="13284"/>
        <v>0</v>
      </c>
      <c r="N3268" s="878" t="str">
        <f t="shared" ref="N3268" si="13348">IFERROR((M3269/M3268),"-")</f>
        <v>-</v>
      </c>
      <c r="O3268" s="2"/>
      <c r="P3268" s="121">
        <v>0</v>
      </c>
      <c r="Q3268" s="121">
        <v>0</v>
      </c>
      <c r="R3268" s="121">
        <v>0</v>
      </c>
      <c r="S3268" s="121">
        <v>0</v>
      </c>
      <c r="T3268" s="121">
        <v>0</v>
      </c>
      <c r="U3268" s="121">
        <v>0</v>
      </c>
      <c r="V3268" s="126">
        <v>0</v>
      </c>
      <c r="W3268" s="2"/>
      <c r="X3268" s="705">
        <f t="shared" si="13291"/>
        <v>0</v>
      </c>
      <c r="Y3268" s="878" t="str">
        <f t="shared" ref="Y3268" si="13349">IFERROR((X3269/X3268),"-")</f>
        <v>-</v>
      </c>
      <c r="Z3268" s="2"/>
      <c r="AA3268" s="884">
        <v>0</v>
      </c>
      <c r="AB3268" s="884">
        <v>0</v>
      </c>
      <c r="AC3268" s="884">
        <v>0</v>
      </c>
      <c r="AD3268" s="878" t="str">
        <f t="shared" ref="AD3268" si="13350">IFERROR((AC3268/AA3268),"-")</f>
        <v>-</v>
      </c>
      <c r="AE3268" s="2"/>
      <c r="AF3268" s="884"/>
      <c r="AG3268" s="884">
        <v>0</v>
      </c>
      <c r="AH3268" s="884">
        <v>0</v>
      </c>
      <c r="AI3268" s="884"/>
      <c r="AJ3268" s="884"/>
      <c r="AK3268" s="884">
        <f t="shared" ref="AK3268" si="13351">AF3268+AG3268+AH3268+AI3268+AJ3268+AC3268</f>
        <v>0</v>
      </c>
      <c r="AL3268" s="884">
        <v>0</v>
      </c>
      <c r="AM3268" s="878" t="str">
        <f t="shared" ref="AM3268" si="13352">IFERROR((AK3268/AL3268),"-")</f>
        <v>-</v>
      </c>
      <c r="AN3268" s="2"/>
      <c r="AO3268" s="884">
        <v>216.27</v>
      </c>
      <c r="AP3268" s="884">
        <f t="shared" ref="AP3268" si="13353">AO3268-AK3268</f>
        <v>216.27</v>
      </c>
      <c r="AV3268" t="str">
        <f t="shared" si="13142"/>
        <v>Revegetação - Biomanta</v>
      </c>
      <c r="AW3268" s="4" t="str">
        <f t="shared" si="13143"/>
        <v xml:space="preserve">   Seg. 2.3-C09-Aplicação de biomanta + hidrossemeadura</v>
      </c>
      <c r="AX3268" s="4"/>
    </row>
    <row r="3269" spans="1:50" ht="14.25" customHeight="1" outlineLevel="2" collapsed="1">
      <c r="A3269" s="8" t="str">
        <f t="shared" ref="A3269" si="13354">A3268</f>
        <v>N</v>
      </c>
      <c r="B3269" s="150">
        <v>1067152</v>
      </c>
      <c r="C3269" s="150" t="s">
        <v>3695</v>
      </c>
      <c r="D3269" s="120" t="s">
        <v>3696</v>
      </c>
      <c r="E3269" s="875"/>
      <c r="F3269" s="877"/>
      <c r="G3269" s="2"/>
      <c r="H3269" s="50" t="s">
        <v>38</v>
      </c>
      <c r="I3269" s="705">
        <v>0</v>
      </c>
      <c r="J3269" s="879"/>
      <c r="K3269" s="2"/>
      <c r="L3269" s="50" t="s">
        <v>38</v>
      </c>
      <c r="M3269" s="705">
        <f t="shared" si="13284"/>
        <v>0</v>
      </c>
      <c r="N3269" s="879"/>
      <c r="O3269" s="2"/>
      <c r="P3269" s="126">
        <v>0</v>
      </c>
      <c r="Q3269" s="126">
        <v>0</v>
      </c>
      <c r="R3269" s="126">
        <v>0</v>
      </c>
      <c r="S3269" s="126">
        <v>0</v>
      </c>
      <c r="T3269" s="126">
        <v>0</v>
      </c>
      <c r="U3269" s="126">
        <v>0</v>
      </c>
      <c r="V3269" s="126"/>
      <c r="W3269" s="2"/>
      <c r="X3269" s="705">
        <f t="shared" si="13291"/>
        <v>0</v>
      </c>
      <c r="Y3269" s="879"/>
      <c r="Z3269" s="2"/>
      <c r="AA3269" s="885"/>
      <c r="AB3269" s="885"/>
      <c r="AC3269" s="885"/>
      <c r="AD3269" s="879"/>
      <c r="AE3269" s="2"/>
      <c r="AF3269" s="885"/>
      <c r="AG3269" s="885"/>
      <c r="AH3269" s="885"/>
      <c r="AI3269" s="885"/>
      <c r="AJ3269" s="885"/>
      <c r="AK3269" s="885"/>
      <c r="AL3269" s="885"/>
      <c r="AM3269" s="879"/>
      <c r="AN3269" s="2"/>
      <c r="AO3269" s="886"/>
      <c r="AP3269" s="886"/>
      <c r="AV3269" t="str">
        <f t="shared" si="13142"/>
        <v>Revegetação - Biomanta</v>
      </c>
      <c r="AW3269" s="4" t="str">
        <f t="shared" si="13143"/>
        <v xml:space="preserve">   Seg. 2.3-C09-Aplicação de biomanta + hidrossemeadura</v>
      </c>
      <c r="AX3269" s="4"/>
    </row>
    <row r="3270" spans="1:50" ht="15" customHeight="1" outlineLevel="1">
      <c r="A3270" s="8" t="str">
        <f t="shared" ref="A3270" si="13355">IF(SUM(P3270:V3271)&gt;0,"S","N")</f>
        <v>N</v>
      </c>
      <c r="B3270" s="150">
        <v>1067153</v>
      </c>
      <c r="C3270" s="150" t="s">
        <v>3698</v>
      </c>
      <c r="D3270" s="120" t="s">
        <v>3699</v>
      </c>
      <c r="E3270" s="874" t="s">
        <v>3700</v>
      </c>
      <c r="F3270" s="876" t="s">
        <v>3210</v>
      </c>
      <c r="G3270" s="2"/>
      <c r="H3270" s="49" t="s">
        <v>37</v>
      </c>
      <c r="I3270" s="705">
        <v>0</v>
      </c>
      <c r="J3270" s="878" t="str">
        <f t="shared" ref="J3270" si="13356">IFERROR((I3271/I3270),"-")</f>
        <v>-</v>
      </c>
      <c r="K3270" s="2"/>
      <c r="L3270" s="49" t="s">
        <v>37</v>
      </c>
      <c r="M3270" s="705">
        <f t="shared" si="13284"/>
        <v>0</v>
      </c>
      <c r="N3270" s="878" t="str">
        <f t="shared" ref="N3270" si="13357">IFERROR((M3271/M3270),"-")</f>
        <v>-</v>
      </c>
      <c r="O3270" s="2"/>
      <c r="P3270" s="121">
        <v>0</v>
      </c>
      <c r="Q3270" s="121">
        <v>0</v>
      </c>
      <c r="R3270" s="121">
        <v>0</v>
      </c>
      <c r="S3270" s="121">
        <v>0</v>
      </c>
      <c r="T3270" s="121">
        <v>0</v>
      </c>
      <c r="U3270" s="121">
        <v>0</v>
      </c>
      <c r="V3270" s="126">
        <v>0</v>
      </c>
      <c r="W3270" s="2"/>
      <c r="X3270" s="705">
        <f t="shared" si="13291"/>
        <v>0</v>
      </c>
      <c r="Y3270" s="878" t="str">
        <f t="shared" ref="Y3270" si="13358">IFERROR((X3271/X3270),"-")</f>
        <v>-</v>
      </c>
      <c r="Z3270" s="2"/>
      <c r="AA3270" s="884">
        <v>0</v>
      </c>
      <c r="AB3270" s="884">
        <v>0</v>
      </c>
      <c r="AC3270" s="884">
        <v>0</v>
      </c>
      <c r="AD3270" s="878" t="str">
        <f t="shared" ref="AD3270" si="13359">IFERROR((AC3270/AA3270),"-")</f>
        <v>-</v>
      </c>
      <c r="AE3270" s="2"/>
      <c r="AF3270" s="884">
        <v>13774.56</v>
      </c>
      <c r="AG3270" s="884">
        <v>0</v>
      </c>
      <c r="AH3270" s="884">
        <v>0</v>
      </c>
      <c r="AI3270" s="884"/>
      <c r="AJ3270" s="884"/>
      <c r="AK3270" s="884">
        <f t="shared" ref="AK3270" si="13360">AF3270+AG3270+AH3270+AI3270+AJ3270+AC3270</f>
        <v>13774.56</v>
      </c>
      <c r="AL3270" s="884">
        <v>0</v>
      </c>
      <c r="AM3270" s="878" t="str">
        <f t="shared" ref="AM3270" si="13361">IFERROR((AK3270/AL3270),"-")</f>
        <v>-</v>
      </c>
      <c r="AN3270" s="2"/>
      <c r="AO3270" s="884">
        <v>12834.55</v>
      </c>
      <c r="AP3270" s="884">
        <f t="shared" ref="AP3270" si="13362">AO3270-AK3270</f>
        <v>-940.01000000000022</v>
      </c>
      <c r="AV3270" t="str">
        <f t="shared" si="13142"/>
        <v>Revegetação - Biomanta</v>
      </c>
      <c r="AW3270" s="4" t="str">
        <f t="shared" si="13143"/>
        <v xml:space="preserve">   Seg. 2.3-C10-Aplicação de biomanta + hidrossemeadura</v>
      </c>
      <c r="AX3270" s="4"/>
    </row>
    <row r="3271" spans="1:50" ht="15" customHeight="1" outlineLevel="1">
      <c r="A3271" s="8" t="str">
        <f t="shared" ref="A3271" si="13363">A3270</f>
        <v>N</v>
      </c>
      <c r="B3271" s="150">
        <v>1067153</v>
      </c>
      <c r="C3271" s="150" t="s">
        <v>3698</v>
      </c>
      <c r="D3271" s="120" t="s">
        <v>3699</v>
      </c>
      <c r="E3271" s="875"/>
      <c r="F3271" s="877"/>
      <c r="G3271" s="2"/>
      <c r="H3271" s="50" t="s">
        <v>38</v>
      </c>
      <c r="I3271" s="705">
        <v>0</v>
      </c>
      <c r="J3271" s="879"/>
      <c r="K3271" s="2"/>
      <c r="L3271" s="50" t="s">
        <v>38</v>
      </c>
      <c r="M3271" s="705">
        <f t="shared" si="13284"/>
        <v>0</v>
      </c>
      <c r="N3271" s="879"/>
      <c r="O3271" s="2"/>
      <c r="P3271" s="126">
        <v>0</v>
      </c>
      <c r="Q3271" s="126">
        <v>0</v>
      </c>
      <c r="R3271" s="126">
        <v>0</v>
      </c>
      <c r="S3271" s="126">
        <v>0</v>
      </c>
      <c r="T3271" s="126">
        <v>0</v>
      </c>
      <c r="U3271" s="126">
        <v>0</v>
      </c>
      <c r="V3271" s="126"/>
      <c r="W3271" s="2"/>
      <c r="X3271" s="705">
        <f t="shared" si="13291"/>
        <v>0</v>
      </c>
      <c r="Y3271" s="879"/>
      <c r="Z3271" s="2"/>
      <c r="AA3271" s="885"/>
      <c r="AB3271" s="885"/>
      <c r="AC3271" s="885"/>
      <c r="AD3271" s="879"/>
      <c r="AE3271" s="2"/>
      <c r="AF3271" s="885"/>
      <c r="AG3271" s="885"/>
      <c r="AH3271" s="885"/>
      <c r="AI3271" s="885"/>
      <c r="AJ3271" s="885"/>
      <c r="AK3271" s="885"/>
      <c r="AL3271" s="885"/>
      <c r="AM3271" s="879"/>
      <c r="AN3271" s="2"/>
      <c r="AO3271" s="886"/>
      <c r="AP3271" s="886"/>
      <c r="AV3271" t="str">
        <f t="shared" si="13142"/>
        <v>Revegetação - Biomanta</v>
      </c>
      <c r="AW3271" s="4" t="str">
        <f t="shared" si="13143"/>
        <v xml:space="preserve">   Seg. 2.3-C10-Aplicação de biomanta + hidrossemeadura</v>
      </c>
      <c r="AX3271" s="4"/>
    </row>
    <row r="3272" spans="1:50" ht="15" customHeight="1" outlineLevel="1">
      <c r="A3272" s="8" t="str">
        <f t="shared" ref="A3272" si="13364">IF(SUM(P3272:V3273)&gt;0,"S","N")</f>
        <v>N</v>
      </c>
      <c r="B3272" s="150">
        <v>1067154</v>
      </c>
      <c r="C3272" s="150" t="s">
        <v>3701</v>
      </c>
      <c r="D3272" s="120" t="s">
        <v>3702</v>
      </c>
      <c r="E3272" s="874" t="s">
        <v>3703</v>
      </c>
      <c r="F3272" s="876" t="s">
        <v>3210</v>
      </c>
      <c r="G3272" s="2"/>
      <c r="H3272" s="49" t="s">
        <v>37</v>
      </c>
      <c r="I3272" s="705">
        <v>0</v>
      </c>
      <c r="J3272" s="878" t="str">
        <f t="shared" ref="J3272" si="13365">IFERROR((I3273/I3272),"-")</f>
        <v>-</v>
      </c>
      <c r="K3272" s="2"/>
      <c r="L3272" s="49" t="s">
        <v>37</v>
      </c>
      <c r="M3272" s="705">
        <f t="shared" si="13284"/>
        <v>0</v>
      </c>
      <c r="N3272" s="878" t="str">
        <f t="shared" ref="N3272" si="13366">IFERROR((M3273/M3272),"-")</f>
        <v>-</v>
      </c>
      <c r="O3272" s="2"/>
      <c r="P3272" s="121">
        <v>0</v>
      </c>
      <c r="Q3272" s="121">
        <v>0</v>
      </c>
      <c r="R3272" s="121">
        <v>0</v>
      </c>
      <c r="S3272" s="121">
        <v>0</v>
      </c>
      <c r="T3272" s="121">
        <v>0</v>
      </c>
      <c r="U3272" s="121">
        <v>0</v>
      </c>
      <c r="V3272" s="126">
        <v>0</v>
      </c>
      <c r="W3272" s="2"/>
      <c r="X3272" s="705">
        <f t="shared" si="13291"/>
        <v>0</v>
      </c>
      <c r="Y3272" s="878" t="str">
        <f t="shared" ref="Y3272" si="13367">IFERROR((X3273/X3272),"-")</f>
        <v>-</v>
      </c>
      <c r="Z3272" s="2"/>
      <c r="AA3272" s="884">
        <v>0</v>
      </c>
      <c r="AB3272" s="884">
        <v>0</v>
      </c>
      <c r="AC3272" s="884">
        <v>0</v>
      </c>
      <c r="AD3272" s="878" t="str">
        <f t="shared" ref="AD3272" si="13368">IFERROR((AC3272/AA3272),"-")</f>
        <v>-</v>
      </c>
      <c r="AE3272" s="2"/>
      <c r="AF3272" s="884">
        <v>13269.05</v>
      </c>
      <c r="AG3272" s="884">
        <v>0</v>
      </c>
      <c r="AH3272" s="884">
        <v>0</v>
      </c>
      <c r="AI3272" s="884"/>
      <c r="AJ3272" s="884"/>
      <c r="AK3272" s="884">
        <f t="shared" ref="AK3272" si="13369">AF3272+AG3272+AH3272+AI3272+AJ3272+AC3272</f>
        <v>13269.05</v>
      </c>
      <c r="AL3272" s="884">
        <v>25086.239999999998</v>
      </c>
      <c r="AM3272" s="878">
        <f t="shared" ref="AM3272" si="13370">IFERROR((AK3272/AL3272),"-")</f>
        <v>0.52893737762215465</v>
      </c>
      <c r="AN3272" s="2"/>
      <c r="AO3272" s="884">
        <v>28984.84</v>
      </c>
      <c r="AP3272" s="884">
        <f t="shared" ref="AP3272" si="13371">AO3272-AK3272</f>
        <v>15715.79</v>
      </c>
      <c r="AV3272" t="str">
        <f t="shared" si="13142"/>
        <v>Revegetação - Biomanta</v>
      </c>
      <c r="AW3272" s="4" t="str">
        <f t="shared" si="13143"/>
        <v xml:space="preserve">   Seg. 2.3-C11-Aplicação de biomanta + hidrossemeadura</v>
      </c>
      <c r="AX3272" s="4"/>
    </row>
    <row r="3273" spans="1:50" ht="15" customHeight="1" outlineLevel="2">
      <c r="A3273" s="8" t="str">
        <f t="shared" ref="A3273" si="13372">A3272</f>
        <v>N</v>
      </c>
      <c r="B3273" s="150">
        <v>1067154</v>
      </c>
      <c r="C3273" s="150" t="s">
        <v>3701</v>
      </c>
      <c r="D3273" s="120" t="s">
        <v>3702</v>
      </c>
      <c r="E3273" s="875"/>
      <c r="F3273" s="877"/>
      <c r="G3273" s="2"/>
      <c r="H3273" s="50" t="s">
        <v>38</v>
      </c>
      <c r="I3273" s="705">
        <v>0</v>
      </c>
      <c r="J3273" s="879"/>
      <c r="K3273" s="2"/>
      <c r="L3273" s="50" t="s">
        <v>38</v>
      </c>
      <c r="M3273" s="705">
        <f t="shared" si="13284"/>
        <v>0</v>
      </c>
      <c r="N3273" s="879"/>
      <c r="O3273" s="2"/>
      <c r="P3273" s="126">
        <v>0</v>
      </c>
      <c r="Q3273" s="126">
        <v>0</v>
      </c>
      <c r="R3273" s="126">
        <v>0</v>
      </c>
      <c r="S3273" s="126">
        <v>0</v>
      </c>
      <c r="T3273" s="126">
        <v>0</v>
      </c>
      <c r="U3273" s="126">
        <v>0</v>
      </c>
      <c r="V3273" s="126"/>
      <c r="W3273" s="2"/>
      <c r="X3273" s="705">
        <f t="shared" si="13291"/>
        <v>0</v>
      </c>
      <c r="Y3273" s="879"/>
      <c r="Z3273" s="2"/>
      <c r="AA3273" s="885"/>
      <c r="AB3273" s="885"/>
      <c r="AC3273" s="885"/>
      <c r="AD3273" s="879"/>
      <c r="AE3273" s="2"/>
      <c r="AF3273" s="885"/>
      <c r="AG3273" s="885"/>
      <c r="AH3273" s="885"/>
      <c r="AI3273" s="885"/>
      <c r="AJ3273" s="885"/>
      <c r="AK3273" s="885"/>
      <c r="AL3273" s="885"/>
      <c r="AM3273" s="879"/>
      <c r="AN3273" s="2"/>
      <c r="AO3273" s="886"/>
      <c r="AP3273" s="886"/>
      <c r="AV3273" t="str">
        <f t="shared" si="13142"/>
        <v>Revegetação - Biomanta</v>
      </c>
      <c r="AW3273" s="4" t="str">
        <f t="shared" ref="AW3273:AW3336" si="13373">IF(E3273&lt;&gt;"",E3273,AW3272)</f>
        <v xml:space="preserve">   Seg. 2.3-C11-Aplicação de biomanta + hidrossemeadura</v>
      </c>
      <c r="AX3273" s="4"/>
    </row>
    <row r="3274" spans="1:50" ht="15" customHeight="1" outlineLevel="2">
      <c r="A3274" s="8" t="str">
        <f t="shared" ref="A3274" si="13374">IF(SUM(P3274:V3275)&gt;0,"S","N")</f>
        <v>N</v>
      </c>
      <c r="B3274" s="150">
        <v>1067157</v>
      </c>
      <c r="C3274" s="150" t="s">
        <v>3704</v>
      </c>
      <c r="D3274" s="120" t="s">
        <v>3705</v>
      </c>
      <c r="E3274" s="874" t="s">
        <v>3706</v>
      </c>
      <c r="F3274" s="876" t="s">
        <v>3210</v>
      </c>
      <c r="G3274" s="2"/>
      <c r="H3274" s="49" t="s">
        <v>37</v>
      </c>
      <c r="I3274" s="705">
        <v>0</v>
      </c>
      <c r="J3274" s="878" t="str">
        <f t="shared" ref="J3274" si="13375">IFERROR((I3275/I3274),"-")</f>
        <v>-</v>
      </c>
      <c r="K3274" s="2"/>
      <c r="L3274" s="49" t="s">
        <v>37</v>
      </c>
      <c r="M3274" s="705">
        <f t="shared" si="13284"/>
        <v>0</v>
      </c>
      <c r="N3274" s="878" t="str">
        <f t="shared" ref="N3274" si="13376">IFERROR((M3275/M3274),"-")</f>
        <v>-</v>
      </c>
      <c r="O3274" s="2"/>
      <c r="P3274" s="121">
        <v>0</v>
      </c>
      <c r="Q3274" s="121">
        <v>0</v>
      </c>
      <c r="R3274" s="121">
        <v>0</v>
      </c>
      <c r="S3274" s="121">
        <v>0</v>
      </c>
      <c r="T3274" s="121">
        <v>0</v>
      </c>
      <c r="U3274" s="121">
        <v>0</v>
      </c>
      <c r="V3274" s="126">
        <v>0</v>
      </c>
      <c r="W3274" s="2"/>
      <c r="X3274" s="705">
        <f t="shared" si="13291"/>
        <v>0</v>
      </c>
      <c r="Y3274" s="878" t="str">
        <f t="shared" ref="Y3274" si="13377">IFERROR((X3275/X3274),"-")</f>
        <v>-</v>
      </c>
      <c r="Z3274" s="2"/>
      <c r="AA3274" s="884">
        <v>0</v>
      </c>
      <c r="AB3274" s="884">
        <v>0</v>
      </c>
      <c r="AC3274" s="884">
        <v>0</v>
      </c>
      <c r="AD3274" s="878" t="str">
        <f t="shared" ref="AD3274" si="13378">IFERROR((AC3274/AA3274),"-")</f>
        <v>-</v>
      </c>
      <c r="AE3274" s="2"/>
      <c r="AF3274" s="884"/>
      <c r="AG3274" s="884">
        <v>0</v>
      </c>
      <c r="AH3274" s="884">
        <v>0</v>
      </c>
      <c r="AI3274" s="884"/>
      <c r="AJ3274" s="884"/>
      <c r="AK3274" s="884">
        <f t="shared" ref="AK3274" si="13379">AF3274+AG3274+AH3274+AI3274+AJ3274+AC3274</f>
        <v>0</v>
      </c>
      <c r="AL3274" s="884">
        <v>0</v>
      </c>
      <c r="AM3274" s="878" t="str">
        <f t="shared" ref="AM3274" si="13380">IFERROR((AK3274/AL3274),"-")</f>
        <v>-</v>
      </c>
      <c r="AN3274" s="2"/>
      <c r="AO3274" s="884">
        <v>5975.58</v>
      </c>
      <c r="AP3274" s="884">
        <f t="shared" ref="AP3274" si="13381">AO3274-AK3274</f>
        <v>5975.58</v>
      </c>
      <c r="AV3274" t="str">
        <f t="shared" ref="AV3274:AV3337" si="13382">IF(AX3274="Y",LEFT(E3274,20),IF(AX3274="x",E3274,AV3273))</f>
        <v>Revegetação - Biomanta</v>
      </c>
      <c r="AW3274" s="4" t="str">
        <f t="shared" si="13373"/>
        <v xml:space="preserve">   Seg. 2.3-C14-Aplicação de biomanta + hidrossemeadura</v>
      </c>
      <c r="AX3274" s="4"/>
    </row>
    <row r="3275" spans="1:50" ht="15" customHeight="1" outlineLevel="2">
      <c r="A3275" s="8" t="str">
        <f t="shared" ref="A3275" si="13383">A3274</f>
        <v>N</v>
      </c>
      <c r="B3275" s="150">
        <v>1067157</v>
      </c>
      <c r="C3275" s="150" t="s">
        <v>3704</v>
      </c>
      <c r="D3275" s="120" t="s">
        <v>3705</v>
      </c>
      <c r="E3275" s="875"/>
      <c r="F3275" s="877"/>
      <c r="G3275" s="2"/>
      <c r="H3275" s="50" t="s">
        <v>38</v>
      </c>
      <c r="I3275" s="705">
        <v>0</v>
      </c>
      <c r="J3275" s="879"/>
      <c r="K3275" s="2"/>
      <c r="L3275" s="50" t="s">
        <v>38</v>
      </c>
      <c r="M3275" s="705">
        <f t="shared" si="13284"/>
        <v>0</v>
      </c>
      <c r="N3275" s="879"/>
      <c r="O3275" s="2"/>
      <c r="P3275" s="126">
        <v>0</v>
      </c>
      <c r="Q3275" s="126">
        <v>0</v>
      </c>
      <c r="R3275" s="126">
        <v>0</v>
      </c>
      <c r="S3275" s="126">
        <v>0</v>
      </c>
      <c r="T3275" s="126">
        <v>0</v>
      </c>
      <c r="U3275" s="126">
        <v>0</v>
      </c>
      <c r="V3275" s="126"/>
      <c r="W3275" s="2"/>
      <c r="X3275" s="705">
        <f t="shared" si="13291"/>
        <v>0</v>
      </c>
      <c r="Y3275" s="879"/>
      <c r="Z3275" s="2"/>
      <c r="AA3275" s="885"/>
      <c r="AB3275" s="885"/>
      <c r="AC3275" s="885"/>
      <c r="AD3275" s="879"/>
      <c r="AE3275" s="2"/>
      <c r="AF3275" s="885"/>
      <c r="AG3275" s="885"/>
      <c r="AH3275" s="885"/>
      <c r="AI3275" s="885"/>
      <c r="AJ3275" s="885"/>
      <c r="AK3275" s="885"/>
      <c r="AL3275" s="885"/>
      <c r="AM3275" s="879"/>
      <c r="AN3275" s="2"/>
      <c r="AO3275" s="886"/>
      <c r="AP3275" s="886"/>
      <c r="AV3275" t="str">
        <f t="shared" si="13382"/>
        <v>Revegetação - Biomanta</v>
      </c>
      <c r="AW3275" s="4" t="str">
        <f t="shared" si="13373"/>
        <v xml:space="preserve">   Seg. 2.3-C14-Aplicação de biomanta + hidrossemeadura</v>
      </c>
      <c r="AX3275" s="4"/>
    </row>
    <row r="3276" spans="1:50" ht="17.850000000000001" customHeight="1" outlineLevel="2">
      <c r="A3276" s="209">
        <v>0</v>
      </c>
      <c r="B3276" s="150"/>
      <c r="C3276" s="150">
        <v>0</v>
      </c>
      <c r="D3276" s="117"/>
      <c r="E3276" s="3"/>
      <c r="F3276" s="59"/>
      <c r="G3276" s="3"/>
      <c r="I3276" s="57"/>
      <c r="K3276" s="3"/>
      <c r="M3276" s="57"/>
      <c r="O3276" s="3"/>
      <c r="P3276" s="119"/>
      <c r="Q3276" s="119"/>
      <c r="R3276" s="119"/>
      <c r="S3276" s="119"/>
      <c r="T3276" s="119"/>
      <c r="U3276" s="119"/>
      <c r="V3276" s="119"/>
      <c r="W3276" s="3"/>
      <c r="X3276" s="37"/>
      <c r="Y3276" s="3"/>
      <c r="Z3276" s="3"/>
      <c r="AA3276" s="36"/>
      <c r="AB3276" s="36"/>
      <c r="AC3276" s="35"/>
      <c r="AD3276" s="3"/>
      <c r="AE3276" s="3"/>
      <c r="AF3276" s="36"/>
      <c r="AG3276" s="36"/>
      <c r="AH3276" s="36"/>
      <c r="AI3276" s="36"/>
      <c r="AJ3276" s="36"/>
      <c r="AK3276" s="36"/>
      <c r="AL3276" s="36"/>
      <c r="AM3276" s="3"/>
      <c r="AN3276" s="3"/>
      <c r="AO3276" s="36"/>
      <c r="AP3276" s="36"/>
      <c r="AV3276" t="str">
        <f t="shared" si="13382"/>
        <v>Revegetação - Biomanta</v>
      </c>
      <c r="AW3276" s="4" t="str">
        <f t="shared" si="13373"/>
        <v xml:space="preserve">   Seg. 2.3-C14-Aplicação de biomanta + hidrossemeadura</v>
      </c>
      <c r="AX3276" s="4"/>
    </row>
    <row r="3277" spans="1:50" ht="20.25" customHeight="1" outlineLevel="2">
      <c r="A3277" s="209">
        <v>0</v>
      </c>
      <c r="B3277" s="150"/>
      <c r="C3277" s="150"/>
      <c r="D3277" s="122"/>
      <c r="E3277" s="739" t="s">
        <v>42</v>
      </c>
      <c r="F3277" s="887" t="s">
        <v>52</v>
      </c>
      <c r="G3277" s="2"/>
      <c r="H3277" s="53" t="s">
        <v>37</v>
      </c>
      <c r="I3277" s="52">
        <f>SUMIF($L3279:$L3286,$L3277,I3279:I3286)</f>
        <v>0</v>
      </c>
      <c r="J3277" s="743" t="str">
        <f>IFERROR((I3278/I3277),"-")</f>
        <v>-</v>
      </c>
      <c r="K3277" s="2"/>
      <c r="L3277" s="53" t="s">
        <v>37</v>
      </c>
      <c r="M3277" s="52">
        <f>SUMIF($L3279:$L3286,$L3277,M3279:M3286)</f>
        <v>0</v>
      </c>
      <c r="N3277" s="743" t="str">
        <f>IFERROR((M3278/M3277),"-")</f>
        <v>-</v>
      </c>
      <c r="O3277" s="2"/>
      <c r="P3277" s="52">
        <f t="shared" ref="P3277:U3277" si="13384">SUMIF($L3279:$L3286,$L3277,P3279:P3286)</f>
        <v>0</v>
      </c>
      <c r="Q3277" s="52">
        <f t="shared" si="13384"/>
        <v>0</v>
      </c>
      <c r="R3277" s="52">
        <f t="shared" si="13384"/>
        <v>0</v>
      </c>
      <c r="S3277" s="52">
        <f t="shared" si="13384"/>
        <v>0</v>
      </c>
      <c r="T3277" s="52">
        <f t="shared" si="13384"/>
        <v>0</v>
      </c>
      <c r="U3277" s="52">
        <f t="shared" si="13384"/>
        <v>0</v>
      </c>
      <c r="V3277" s="127"/>
      <c r="W3277" s="2"/>
      <c r="X3277" s="52">
        <f t="shared" ref="X3277:X3286" si="13385">SUMIFS(P3277:V3277,$P$8:$V$8,"&gt;="&amp;$P$8,$P$8:$V$8,"&lt;="&amp;$N$8)</f>
        <v>0</v>
      </c>
      <c r="Y3277" s="743" t="str">
        <f>IFERROR((X3278/X3277),"-")</f>
        <v>-</v>
      </c>
      <c r="Z3277" s="2"/>
      <c r="AA3277" s="888">
        <f>SUM(AA3279:AA3286)</f>
        <v>0</v>
      </c>
      <c r="AB3277" s="888">
        <f>SUM(AB3279:AB3286)</f>
        <v>0</v>
      </c>
      <c r="AC3277" s="888">
        <f>SUM(AC3279:AC3286)</f>
        <v>0</v>
      </c>
      <c r="AD3277" s="890" t="str">
        <f>IFERROR((AC3277/AA3277),"-")</f>
        <v>-</v>
      </c>
      <c r="AE3277" s="2"/>
      <c r="AF3277" s="888">
        <f t="shared" ref="AF3277" si="13386">SUM(AF3279:AF3286)</f>
        <v>0</v>
      </c>
      <c r="AG3277" s="888">
        <f t="shared" ref="AG3277:AL3277" si="13387">SUM(AG3279:AG3286)</f>
        <v>0</v>
      </c>
      <c r="AH3277" s="888">
        <f t="shared" si="13387"/>
        <v>0</v>
      </c>
      <c r="AI3277" s="888">
        <f t="shared" si="13387"/>
        <v>0</v>
      </c>
      <c r="AJ3277" s="888">
        <f t="shared" si="13387"/>
        <v>0</v>
      </c>
      <c r="AK3277" s="888">
        <f t="shared" si="13387"/>
        <v>0</v>
      </c>
      <c r="AL3277" s="888">
        <f t="shared" si="13387"/>
        <v>33192.21</v>
      </c>
      <c r="AM3277" s="743">
        <f>IFERROR((AK3277/AL3277),"-")</f>
        <v>0</v>
      </c>
      <c r="AN3277" s="2"/>
      <c r="AO3277" s="888">
        <f>SUM(AO3279:AO3286)</f>
        <v>33192.21</v>
      </c>
      <c r="AP3277" s="888">
        <f>SUM(AP3279:AP3286)</f>
        <v>33192.21</v>
      </c>
      <c r="AV3277" t="str">
        <f t="shared" si="13382"/>
        <v>Revegetação - Biomanta</v>
      </c>
      <c r="AW3277" s="4" t="str">
        <f t="shared" si="13373"/>
        <v>Pacote 05 - Segmento 2.4 - Km 131+260 a  Km 138+000</v>
      </c>
      <c r="AX3277" s="4"/>
    </row>
    <row r="3278" spans="1:50" ht="20.25" customHeight="1" outlineLevel="2">
      <c r="A3278" s="209">
        <v>0</v>
      </c>
      <c r="B3278" s="150"/>
      <c r="C3278" s="150"/>
      <c r="D3278" s="123"/>
      <c r="E3278" s="739"/>
      <c r="F3278" s="887"/>
      <c r="G3278" s="2"/>
      <c r="H3278" s="54" t="s">
        <v>38</v>
      </c>
      <c r="I3278" s="52">
        <f>SUMIF($L3279:$L3286,$L3278,I3279:I3286)</f>
        <v>0</v>
      </c>
      <c r="J3278" s="744"/>
      <c r="K3278" s="2"/>
      <c r="L3278" s="54" t="s">
        <v>38</v>
      </c>
      <c r="M3278" s="52">
        <f>SUMIF($L3279:$L3286,$L3278,M3279:M3286)</f>
        <v>0</v>
      </c>
      <c r="N3278" s="744"/>
      <c r="O3278" s="2"/>
      <c r="P3278" s="52">
        <f t="shared" ref="P3278:U3278" si="13388">SUMIF($L3279:$L3286,$L3278,P3279:P3286)</f>
        <v>0</v>
      </c>
      <c r="Q3278" s="52">
        <f t="shared" si="13388"/>
        <v>0</v>
      </c>
      <c r="R3278" s="52">
        <f t="shared" si="13388"/>
        <v>0</v>
      </c>
      <c r="S3278" s="52">
        <f t="shared" si="13388"/>
        <v>0</v>
      </c>
      <c r="T3278" s="52">
        <f t="shared" si="13388"/>
        <v>0</v>
      </c>
      <c r="U3278" s="52">
        <f t="shared" si="13388"/>
        <v>0</v>
      </c>
      <c r="V3278" s="127"/>
      <c r="W3278" s="2"/>
      <c r="X3278" s="52">
        <f t="shared" si="13385"/>
        <v>0</v>
      </c>
      <c r="Y3278" s="744"/>
      <c r="Z3278" s="2"/>
      <c r="AA3278" s="889"/>
      <c r="AB3278" s="889"/>
      <c r="AC3278" s="889"/>
      <c r="AD3278" s="891"/>
      <c r="AE3278" s="2"/>
      <c r="AF3278" s="889"/>
      <c r="AG3278" s="889"/>
      <c r="AH3278" s="889"/>
      <c r="AI3278" s="889"/>
      <c r="AJ3278" s="889"/>
      <c r="AK3278" s="889"/>
      <c r="AL3278" s="889"/>
      <c r="AM3278" s="744"/>
      <c r="AN3278" s="2"/>
      <c r="AO3278" s="888"/>
      <c r="AP3278" s="888"/>
      <c r="AV3278" t="str">
        <f t="shared" si="13382"/>
        <v>Revegetação - Biomanta</v>
      </c>
      <c r="AW3278" s="4" t="str">
        <f t="shared" si="13373"/>
        <v>Pacote 05 - Segmento 2.4 - Km 131+260 a  Km 138+000</v>
      </c>
    </row>
    <row r="3279" spans="1:50" ht="18" customHeight="1" outlineLevel="2">
      <c r="A3279" s="8" t="str">
        <f t="shared" ref="A3279" si="13389">IF(SUM(P3279:V3280)&gt;0,"S","N")</f>
        <v>N</v>
      </c>
      <c r="B3279" s="150">
        <v>1069359</v>
      </c>
      <c r="C3279" s="150" t="s">
        <v>3707</v>
      </c>
      <c r="D3279" s="120" t="s">
        <v>3708</v>
      </c>
      <c r="E3279" s="874" t="s">
        <v>3649</v>
      </c>
      <c r="F3279" s="876" t="s">
        <v>3210</v>
      </c>
      <c r="G3279" s="2"/>
      <c r="H3279" s="49" t="s">
        <v>37</v>
      </c>
      <c r="I3279" s="705">
        <v>0</v>
      </c>
      <c r="J3279" s="878" t="str">
        <f t="shared" ref="J3279" si="13390">IFERROR((I3280/I3279),"-")</f>
        <v>-</v>
      </c>
      <c r="K3279" s="2"/>
      <c r="L3279" s="49" t="s">
        <v>37</v>
      </c>
      <c r="M3279" s="705">
        <f t="shared" ref="M3279:M3286" si="13391">_xlfn.XLOOKUP($N$8,$P$8:$V$8,$P3279:$V3279)</f>
        <v>0</v>
      </c>
      <c r="N3279" s="878" t="str">
        <f t="shared" ref="N3279" si="13392">IFERROR((M3280/M3279),"-")</f>
        <v>-</v>
      </c>
      <c r="O3279" s="2"/>
      <c r="P3279" s="121">
        <v>0</v>
      </c>
      <c r="Q3279" s="121">
        <v>0</v>
      </c>
      <c r="R3279" s="121">
        <v>0</v>
      </c>
      <c r="S3279" s="121">
        <v>0</v>
      </c>
      <c r="T3279" s="121">
        <v>0</v>
      </c>
      <c r="U3279" s="121">
        <v>0</v>
      </c>
      <c r="V3279" s="126">
        <v>0</v>
      </c>
      <c r="W3279" s="2"/>
      <c r="X3279" s="705">
        <f t="shared" si="13385"/>
        <v>0</v>
      </c>
      <c r="Y3279" s="878" t="str">
        <f t="shared" ref="Y3279" si="13393">IFERROR((X3280/X3279),"-")</f>
        <v>-</v>
      </c>
      <c r="Z3279" s="2"/>
      <c r="AA3279" s="884">
        <v>0</v>
      </c>
      <c r="AB3279" s="884">
        <v>0</v>
      </c>
      <c r="AC3279" s="884">
        <v>0</v>
      </c>
      <c r="AD3279" s="878" t="str">
        <f>IFERROR((AC3279/AA3279),"-")</f>
        <v>-</v>
      </c>
      <c r="AE3279" s="2"/>
      <c r="AF3279" s="884">
        <v>0</v>
      </c>
      <c r="AG3279" s="884"/>
      <c r="AH3279" s="884">
        <v>0</v>
      </c>
      <c r="AI3279" s="884"/>
      <c r="AJ3279" s="884"/>
      <c r="AK3279" s="884">
        <f t="shared" ref="AK3279" si="13394">AF3279+AG3279+AH3279+AI3279+AJ3279+AC3279</f>
        <v>0</v>
      </c>
      <c r="AL3279" s="884">
        <v>8501.7800000000007</v>
      </c>
      <c r="AM3279" s="878">
        <f t="shared" ref="AM3279" si="13395">IFERROR((AK3279/AL3279),"-")</f>
        <v>0</v>
      </c>
      <c r="AN3279" s="2"/>
      <c r="AO3279" s="884">
        <v>8501.7800000000007</v>
      </c>
      <c r="AP3279" s="884">
        <f t="shared" ref="AP3279" si="13396">AO3279-AK3279</f>
        <v>8501.7800000000007</v>
      </c>
      <c r="AV3279" t="str">
        <f t="shared" si="13382"/>
        <v>Revegetação - Biomanta</v>
      </c>
      <c r="AW3279" s="4" t="str">
        <f t="shared" si="13373"/>
        <v xml:space="preserve">   Aplicação de biomanta</v>
      </c>
    </row>
    <row r="3280" spans="1:50" ht="18" customHeight="1" outlineLevel="2" collapsed="1">
      <c r="A3280" s="8" t="str">
        <f t="shared" ref="A3280" si="13397">A3279</f>
        <v>N</v>
      </c>
      <c r="B3280" s="150">
        <v>1069359</v>
      </c>
      <c r="C3280" s="150" t="s">
        <v>3707</v>
      </c>
      <c r="D3280" s="120" t="s">
        <v>3708</v>
      </c>
      <c r="E3280" s="875"/>
      <c r="F3280" s="877"/>
      <c r="G3280" s="2"/>
      <c r="H3280" s="50" t="s">
        <v>38</v>
      </c>
      <c r="I3280" s="705">
        <v>0</v>
      </c>
      <c r="J3280" s="879"/>
      <c r="K3280" s="2"/>
      <c r="L3280" s="50" t="s">
        <v>38</v>
      </c>
      <c r="M3280" s="705">
        <f t="shared" si="13391"/>
        <v>0</v>
      </c>
      <c r="N3280" s="879"/>
      <c r="O3280" s="2"/>
      <c r="P3280" s="126">
        <v>0</v>
      </c>
      <c r="Q3280" s="126">
        <v>0</v>
      </c>
      <c r="R3280" s="126">
        <v>0</v>
      </c>
      <c r="S3280" s="126">
        <v>0</v>
      </c>
      <c r="T3280" s="126">
        <v>0</v>
      </c>
      <c r="U3280" s="126">
        <v>0</v>
      </c>
      <c r="V3280" s="126"/>
      <c r="W3280" s="2"/>
      <c r="X3280" s="705">
        <f t="shared" si="13385"/>
        <v>0</v>
      </c>
      <c r="Y3280" s="879"/>
      <c r="Z3280" s="2"/>
      <c r="AA3280" s="885"/>
      <c r="AB3280" s="885"/>
      <c r="AC3280" s="885"/>
      <c r="AD3280" s="879"/>
      <c r="AE3280" s="2"/>
      <c r="AF3280" s="885"/>
      <c r="AG3280" s="885"/>
      <c r="AH3280" s="885"/>
      <c r="AI3280" s="885"/>
      <c r="AJ3280" s="885"/>
      <c r="AK3280" s="885"/>
      <c r="AL3280" s="885"/>
      <c r="AM3280" s="879"/>
      <c r="AN3280" s="2"/>
      <c r="AO3280" s="886"/>
      <c r="AP3280" s="886"/>
      <c r="AV3280" t="str">
        <f t="shared" si="13382"/>
        <v>Revegetação - Biomanta</v>
      </c>
      <c r="AW3280" s="4" t="str">
        <f t="shared" si="13373"/>
        <v xml:space="preserve">   Aplicação de biomanta</v>
      </c>
    </row>
    <row r="3281" spans="1:50" ht="14.85" customHeight="1" outlineLevel="1">
      <c r="A3281" s="8" t="str">
        <f t="shared" ref="A3281" si="13398">IF(SUM(P3281:V3282)&gt;0,"S","N")</f>
        <v>N</v>
      </c>
      <c r="B3281" s="150">
        <v>1069360</v>
      </c>
      <c r="C3281" s="150" t="s">
        <v>3709</v>
      </c>
      <c r="D3281" s="120" t="s">
        <v>3710</v>
      </c>
      <c r="E3281" s="874" t="s">
        <v>3649</v>
      </c>
      <c r="F3281" s="876" t="s">
        <v>3210</v>
      </c>
      <c r="G3281" s="2"/>
      <c r="H3281" s="49" t="s">
        <v>37</v>
      </c>
      <c r="I3281" s="705">
        <v>0</v>
      </c>
      <c r="J3281" s="878" t="str">
        <f t="shared" ref="J3281" si="13399">IFERROR((I3282/I3281),"-")</f>
        <v>-</v>
      </c>
      <c r="K3281" s="2"/>
      <c r="L3281" s="49" t="s">
        <v>37</v>
      </c>
      <c r="M3281" s="705">
        <f t="shared" si="13391"/>
        <v>0</v>
      </c>
      <c r="N3281" s="878" t="str">
        <f t="shared" ref="N3281" si="13400">IFERROR((M3282/M3281),"-")</f>
        <v>-</v>
      </c>
      <c r="O3281" s="2"/>
      <c r="P3281" s="121">
        <v>0</v>
      </c>
      <c r="Q3281" s="121">
        <v>0</v>
      </c>
      <c r="R3281" s="121">
        <v>0</v>
      </c>
      <c r="S3281" s="121">
        <v>0</v>
      </c>
      <c r="T3281" s="121">
        <v>0</v>
      </c>
      <c r="U3281" s="121">
        <v>0</v>
      </c>
      <c r="V3281" s="126">
        <v>0</v>
      </c>
      <c r="W3281" s="2"/>
      <c r="X3281" s="705">
        <f t="shared" si="13385"/>
        <v>0</v>
      </c>
      <c r="Y3281" s="878" t="str">
        <f t="shared" ref="Y3281" si="13401">IFERROR((X3282/X3281),"-")</f>
        <v>-</v>
      </c>
      <c r="Z3281" s="2"/>
      <c r="AA3281" s="884">
        <v>0</v>
      </c>
      <c r="AB3281" s="884">
        <v>0</v>
      </c>
      <c r="AC3281" s="884">
        <v>0</v>
      </c>
      <c r="AD3281" s="878" t="str">
        <f t="shared" ref="AD3281" si="13402">IFERROR((AC3281/AA3281),"-")</f>
        <v>-</v>
      </c>
      <c r="AE3281" s="2"/>
      <c r="AF3281" s="884">
        <v>0</v>
      </c>
      <c r="AG3281" s="884"/>
      <c r="AH3281" s="884">
        <v>0</v>
      </c>
      <c r="AI3281" s="884"/>
      <c r="AJ3281" s="884"/>
      <c r="AK3281" s="884">
        <f t="shared" ref="AK3281" si="13403">AF3281+AG3281+AH3281+AI3281+AJ3281+AC3281</f>
        <v>0</v>
      </c>
      <c r="AL3281" s="884">
        <v>15293.46</v>
      </c>
      <c r="AM3281" s="878">
        <f t="shared" ref="AM3281" si="13404">IFERROR((AK3281/AL3281),"-")</f>
        <v>0</v>
      </c>
      <c r="AN3281" s="2"/>
      <c r="AO3281" s="884">
        <v>15293.46</v>
      </c>
      <c r="AP3281" s="884">
        <f t="shared" ref="AP3281" si="13405">AO3281-AK3281</f>
        <v>15293.46</v>
      </c>
      <c r="AV3281" t="str">
        <f t="shared" si="13382"/>
        <v>Revegetação - Biomanta</v>
      </c>
      <c r="AW3281" s="4" t="str">
        <f t="shared" si="13373"/>
        <v xml:space="preserve">   Aplicação de biomanta</v>
      </c>
    </row>
    <row r="3282" spans="1:50" ht="14.85" customHeight="1" outlineLevel="1">
      <c r="A3282" s="8" t="str">
        <f t="shared" ref="A3282" si="13406">A3281</f>
        <v>N</v>
      </c>
      <c r="B3282" s="150">
        <v>1069360</v>
      </c>
      <c r="C3282" s="150" t="s">
        <v>3709</v>
      </c>
      <c r="D3282" s="120" t="s">
        <v>3710</v>
      </c>
      <c r="E3282" s="875"/>
      <c r="F3282" s="877"/>
      <c r="G3282" s="2"/>
      <c r="H3282" s="50" t="s">
        <v>38</v>
      </c>
      <c r="I3282" s="705">
        <v>0</v>
      </c>
      <c r="J3282" s="879"/>
      <c r="K3282" s="2"/>
      <c r="L3282" s="50" t="s">
        <v>38</v>
      </c>
      <c r="M3282" s="705">
        <f t="shared" si="13391"/>
        <v>0</v>
      </c>
      <c r="N3282" s="879"/>
      <c r="O3282" s="2"/>
      <c r="P3282" s="126">
        <v>0</v>
      </c>
      <c r="Q3282" s="126">
        <v>0</v>
      </c>
      <c r="R3282" s="126">
        <v>0</v>
      </c>
      <c r="S3282" s="126">
        <v>0</v>
      </c>
      <c r="T3282" s="126">
        <v>0</v>
      </c>
      <c r="U3282" s="126">
        <v>0</v>
      </c>
      <c r="V3282" s="126"/>
      <c r="W3282" s="2"/>
      <c r="X3282" s="705">
        <f t="shared" si="13385"/>
        <v>0</v>
      </c>
      <c r="Y3282" s="879"/>
      <c r="Z3282" s="2"/>
      <c r="AA3282" s="885"/>
      <c r="AB3282" s="885"/>
      <c r="AC3282" s="885"/>
      <c r="AD3282" s="879"/>
      <c r="AE3282" s="2"/>
      <c r="AF3282" s="885"/>
      <c r="AG3282" s="885"/>
      <c r="AH3282" s="885"/>
      <c r="AI3282" s="885"/>
      <c r="AJ3282" s="885"/>
      <c r="AK3282" s="885"/>
      <c r="AL3282" s="885"/>
      <c r="AM3282" s="879"/>
      <c r="AN3282" s="2"/>
      <c r="AO3282" s="886"/>
      <c r="AP3282" s="886"/>
      <c r="AV3282" t="str">
        <f t="shared" si="13382"/>
        <v>Revegetação - Biomanta</v>
      </c>
      <c r="AW3282" s="4" t="str">
        <f t="shared" si="13373"/>
        <v xml:space="preserve">   Aplicação de biomanta</v>
      </c>
    </row>
    <row r="3283" spans="1:50" ht="14.45" customHeight="1" outlineLevel="1">
      <c r="A3283" s="8" t="str">
        <f t="shared" ref="A3283" si="13407">IF(SUM(P3283:V3284)&gt;0,"S","N")</f>
        <v>N</v>
      </c>
      <c r="B3283" s="150">
        <v>1069361</v>
      </c>
      <c r="C3283" s="150" t="s">
        <v>3711</v>
      </c>
      <c r="D3283" s="120" t="s">
        <v>3712</v>
      </c>
      <c r="E3283" s="874" t="s">
        <v>3649</v>
      </c>
      <c r="F3283" s="876" t="s">
        <v>3210</v>
      </c>
      <c r="G3283" s="2"/>
      <c r="H3283" s="49" t="s">
        <v>37</v>
      </c>
      <c r="I3283" s="705">
        <v>0</v>
      </c>
      <c r="J3283" s="878" t="str">
        <f t="shared" ref="J3283" si="13408">IFERROR((I3284/I3283),"-")</f>
        <v>-</v>
      </c>
      <c r="K3283" s="2"/>
      <c r="L3283" s="49" t="s">
        <v>37</v>
      </c>
      <c r="M3283" s="705">
        <f t="shared" si="13391"/>
        <v>0</v>
      </c>
      <c r="N3283" s="878" t="str">
        <f t="shared" ref="N3283" si="13409">IFERROR((M3284/M3283),"-")</f>
        <v>-</v>
      </c>
      <c r="O3283" s="2"/>
      <c r="P3283" s="121">
        <v>0</v>
      </c>
      <c r="Q3283" s="121">
        <v>0</v>
      </c>
      <c r="R3283" s="121">
        <v>0</v>
      </c>
      <c r="S3283" s="121">
        <v>0</v>
      </c>
      <c r="T3283" s="121">
        <v>0</v>
      </c>
      <c r="U3283" s="121">
        <v>0</v>
      </c>
      <c r="V3283" s="126">
        <v>0</v>
      </c>
      <c r="W3283" s="2"/>
      <c r="X3283" s="705">
        <f t="shared" si="13385"/>
        <v>0</v>
      </c>
      <c r="Y3283" s="878" t="str">
        <f t="shared" ref="Y3283" si="13410">IFERROR((X3284/X3283),"-")</f>
        <v>-</v>
      </c>
      <c r="Z3283" s="2"/>
      <c r="AA3283" s="884">
        <v>0</v>
      </c>
      <c r="AB3283" s="884">
        <v>0</v>
      </c>
      <c r="AC3283" s="884">
        <v>0</v>
      </c>
      <c r="AD3283" s="878" t="str">
        <f t="shared" ref="AD3283" si="13411">IFERROR((AC3283/AA3283),"-")</f>
        <v>-</v>
      </c>
      <c r="AE3283" s="2"/>
      <c r="AF3283" s="884">
        <v>0</v>
      </c>
      <c r="AG3283" s="884"/>
      <c r="AH3283" s="884">
        <v>0</v>
      </c>
      <c r="AI3283" s="884"/>
      <c r="AJ3283" s="884"/>
      <c r="AK3283" s="884">
        <f t="shared" ref="AK3283" si="13412">AF3283+AG3283+AH3283+AI3283+AJ3283+AC3283</f>
        <v>0</v>
      </c>
      <c r="AL3283" s="884">
        <v>3444.15</v>
      </c>
      <c r="AM3283" s="878">
        <f t="shared" ref="AM3283" si="13413">IFERROR((AK3283/AL3283),"-")</f>
        <v>0</v>
      </c>
      <c r="AN3283" s="2"/>
      <c r="AO3283" s="884">
        <v>3444.15</v>
      </c>
      <c r="AP3283" s="884">
        <f t="shared" ref="AP3283" si="13414">AO3283-AK3283</f>
        <v>3444.15</v>
      </c>
      <c r="AV3283" t="str">
        <f t="shared" si="13382"/>
        <v>Revegetação - Biomanta</v>
      </c>
      <c r="AW3283" s="4" t="str">
        <f t="shared" si="13373"/>
        <v xml:space="preserve">   Aplicação de biomanta</v>
      </c>
    </row>
    <row r="3284" spans="1:50" ht="14.45" customHeight="1" outlineLevel="1">
      <c r="A3284" s="8" t="str">
        <f t="shared" ref="A3284" si="13415">A3283</f>
        <v>N</v>
      </c>
      <c r="B3284" s="150">
        <v>1069361</v>
      </c>
      <c r="C3284" s="150" t="s">
        <v>3711</v>
      </c>
      <c r="D3284" s="120" t="s">
        <v>3712</v>
      </c>
      <c r="E3284" s="875"/>
      <c r="F3284" s="877"/>
      <c r="G3284" s="2"/>
      <c r="H3284" s="50" t="s">
        <v>38</v>
      </c>
      <c r="I3284" s="705">
        <v>0</v>
      </c>
      <c r="J3284" s="879"/>
      <c r="K3284" s="2"/>
      <c r="L3284" s="50" t="s">
        <v>38</v>
      </c>
      <c r="M3284" s="705">
        <f t="shared" si="13391"/>
        <v>0</v>
      </c>
      <c r="N3284" s="879"/>
      <c r="O3284" s="2"/>
      <c r="P3284" s="126">
        <v>0</v>
      </c>
      <c r="Q3284" s="126">
        <v>0</v>
      </c>
      <c r="R3284" s="126">
        <v>0</v>
      </c>
      <c r="S3284" s="126">
        <v>0</v>
      </c>
      <c r="T3284" s="126">
        <v>0</v>
      </c>
      <c r="U3284" s="126">
        <v>0</v>
      </c>
      <c r="V3284" s="126"/>
      <c r="W3284" s="2"/>
      <c r="X3284" s="705">
        <f t="shared" si="13385"/>
        <v>0</v>
      </c>
      <c r="Y3284" s="879"/>
      <c r="Z3284" s="2"/>
      <c r="AA3284" s="885"/>
      <c r="AB3284" s="885"/>
      <c r="AC3284" s="885"/>
      <c r="AD3284" s="879"/>
      <c r="AE3284" s="2"/>
      <c r="AF3284" s="885"/>
      <c r="AG3284" s="885"/>
      <c r="AH3284" s="885"/>
      <c r="AI3284" s="885"/>
      <c r="AJ3284" s="885"/>
      <c r="AK3284" s="885"/>
      <c r="AL3284" s="885"/>
      <c r="AM3284" s="879"/>
      <c r="AN3284" s="2"/>
      <c r="AO3284" s="886"/>
      <c r="AP3284" s="886"/>
      <c r="AV3284" t="str">
        <f t="shared" si="13382"/>
        <v>Revegetação - Biomanta</v>
      </c>
      <c r="AW3284" s="4" t="str">
        <f t="shared" si="13373"/>
        <v xml:space="preserve">   Aplicação de biomanta</v>
      </c>
    </row>
    <row r="3285" spans="1:50" ht="25.9" customHeight="1" outlineLevel="2">
      <c r="A3285" s="8" t="str">
        <f t="shared" ref="A3285" si="13416">IF(SUM(P3285:V3286)&gt;0,"S","N")</f>
        <v>N</v>
      </c>
      <c r="B3285" s="150">
        <v>1069363</v>
      </c>
      <c r="C3285" s="150" t="s">
        <v>3713</v>
      </c>
      <c r="D3285" s="120" t="s">
        <v>3714</v>
      </c>
      <c r="E3285" s="874" t="s">
        <v>3649</v>
      </c>
      <c r="F3285" s="876" t="s">
        <v>3210</v>
      </c>
      <c r="G3285" s="2"/>
      <c r="H3285" s="49" t="s">
        <v>37</v>
      </c>
      <c r="I3285" s="705">
        <v>0</v>
      </c>
      <c r="J3285" s="878" t="str">
        <f t="shared" ref="J3285" si="13417">IFERROR((I3286/I3285),"-")</f>
        <v>-</v>
      </c>
      <c r="K3285" s="2"/>
      <c r="L3285" s="49" t="s">
        <v>37</v>
      </c>
      <c r="M3285" s="705">
        <f t="shared" si="13391"/>
        <v>0</v>
      </c>
      <c r="N3285" s="878" t="str">
        <f t="shared" ref="N3285" si="13418">IFERROR((M3286/M3285),"-")</f>
        <v>-</v>
      </c>
      <c r="O3285" s="2"/>
      <c r="P3285" s="121">
        <v>0</v>
      </c>
      <c r="Q3285" s="121">
        <v>0</v>
      </c>
      <c r="R3285" s="121">
        <v>0</v>
      </c>
      <c r="S3285" s="121">
        <v>0</v>
      </c>
      <c r="T3285" s="121">
        <v>0</v>
      </c>
      <c r="U3285" s="121">
        <v>0</v>
      </c>
      <c r="V3285" s="126">
        <v>0</v>
      </c>
      <c r="W3285" s="2"/>
      <c r="X3285" s="705">
        <f t="shared" si="13385"/>
        <v>0</v>
      </c>
      <c r="Y3285" s="878" t="str">
        <f t="shared" ref="Y3285" si="13419">IFERROR((X3286/X3285),"-")</f>
        <v>-</v>
      </c>
      <c r="Z3285" s="2"/>
      <c r="AA3285" s="884">
        <v>0</v>
      </c>
      <c r="AB3285" s="884">
        <v>0</v>
      </c>
      <c r="AC3285" s="884">
        <v>0</v>
      </c>
      <c r="AD3285" s="878" t="str">
        <f t="shared" ref="AD3285" si="13420">IFERROR((AC3285/AA3285),"-")</f>
        <v>-</v>
      </c>
      <c r="AE3285" s="2"/>
      <c r="AF3285" s="884">
        <v>0</v>
      </c>
      <c r="AG3285" s="884"/>
      <c r="AH3285" s="884">
        <v>0</v>
      </c>
      <c r="AI3285" s="884"/>
      <c r="AJ3285" s="884"/>
      <c r="AK3285" s="884">
        <f t="shared" ref="AK3285" si="13421">AF3285+AG3285+AH3285+AI3285+AJ3285+AC3285</f>
        <v>0</v>
      </c>
      <c r="AL3285" s="884">
        <v>5952.82</v>
      </c>
      <c r="AM3285" s="878">
        <f t="shared" ref="AM3285" si="13422">IFERROR((AK3285/AL3285),"-")</f>
        <v>0</v>
      </c>
      <c r="AN3285" s="2"/>
      <c r="AO3285" s="884">
        <v>5952.82</v>
      </c>
      <c r="AP3285" s="884">
        <f t="shared" ref="AP3285" si="13423">AO3285-AK3285</f>
        <v>5952.82</v>
      </c>
      <c r="AV3285" t="str">
        <f t="shared" si="13382"/>
        <v>Revegetação - Biomanta</v>
      </c>
      <c r="AW3285" s="4" t="str">
        <f t="shared" si="13373"/>
        <v xml:space="preserve">   Aplicação de biomanta</v>
      </c>
    </row>
    <row r="3286" spans="1:50" ht="25.9" customHeight="1" outlineLevel="2">
      <c r="A3286" s="8" t="str">
        <f t="shared" ref="A3286" si="13424">A3285</f>
        <v>N</v>
      </c>
      <c r="B3286" s="150">
        <v>1069363</v>
      </c>
      <c r="C3286" s="150" t="s">
        <v>3713</v>
      </c>
      <c r="D3286" s="120" t="s">
        <v>3714</v>
      </c>
      <c r="E3286" s="875"/>
      <c r="F3286" s="877"/>
      <c r="G3286" s="2"/>
      <c r="H3286" s="50" t="s">
        <v>38</v>
      </c>
      <c r="I3286" s="705">
        <v>0</v>
      </c>
      <c r="J3286" s="879"/>
      <c r="K3286" s="2"/>
      <c r="L3286" s="50" t="s">
        <v>38</v>
      </c>
      <c r="M3286" s="705">
        <f t="shared" si="13391"/>
        <v>0</v>
      </c>
      <c r="N3286" s="879"/>
      <c r="O3286" s="2"/>
      <c r="P3286" s="126">
        <v>0</v>
      </c>
      <c r="Q3286" s="126">
        <v>0</v>
      </c>
      <c r="R3286" s="126">
        <v>0</v>
      </c>
      <c r="S3286" s="126">
        <v>0</v>
      </c>
      <c r="T3286" s="126">
        <v>0</v>
      </c>
      <c r="U3286" s="126">
        <v>0</v>
      </c>
      <c r="V3286" s="126"/>
      <c r="W3286" s="2"/>
      <c r="X3286" s="705">
        <f t="shared" si="13385"/>
        <v>0</v>
      </c>
      <c r="Y3286" s="879"/>
      <c r="Z3286" s="2"/>
      <c r="AA3286" s="885"/>
      <c r="AB3286" s="885"/>
      <c r="AC3286" s="885"/>
      <c r="AD3286" s="879"/>
      <c r="AE3286" s="2"/>
      <c r="AF3286" s="885"/>
      <c r="AG3286" s="885"/>
      <c r="AH3286" s="885"/>
      <c r="AI3286" s="885"/>
      <c r="AJ3286" s="885"/>
      <c r="AK3286" s="885"/>
      <c r="AL3286" s="885"/>
      <c r="AM3286" s="879"/>
      <c r="AN3286" s="2"/>
      <c r="AO3286" s="886"/>
      <c r="AP3286" s="886"/>
      <c r="AV3286" t="str">
        <f t="shared" si="13382"/>
        <v>Revegetação - Biomanta</v>
      </c>
      <c r="AW3286" s="4" t="str">
        <f t="shared" si="13373"/>
        <v xml:space="preserve">   Aplicação de biomanta</v>
      </c>
    </row>
    <row r="3287" spans="1:50" ht="25.9" customHeight="1" outlineLevel="2">
      <c r="A3287" s="209">
        <v>0</v>
      </c>
      <c r="B3287" s="150"/>
      <c r="C3287" s="150"/>
      <c r="D3287" s="117"/>
      <c r="E3287" s="3"/>
      <c r="F3287" s="59"/>
      <c r="G3287" s="3"/>
      <c r="I3287" s="58"/>
      <c r="K3287" s="3"/>
      <c r="M3287" s="58"/>
      <c r="O3287" s="3"/>
      <c r="P3287" s="119"/>
      <c r="Q3287" s="119"/>
      <c r="R3287" s="119"/>
      <c r="S3287" s="119"/>
      <c r="T3287" s="119"/>
      <c r="U3287" s="119"/>
      <c r="V3287" s="119"/>
      <c r="W3287" s="3"/>
      <c r="X3287" s="37"/>
      <c r="Y3287" s="3"/>
      <c r="Z3287" s="3"/>
      <c r="AA3287" s="35"/>
      <c r="AB3287" s="35"/>
      <c r="AC3287" s="35"/>
      <c r="AD3287" s="3"/>
      <c r="AE3287" s="3"/>
      <c r="AF3287" s="35"/>
      <c r="AG3287" s="35"/>
      <c r="AH3287" s="35"/>
      <c r="AI3287" s="35"/>
      <c r="AJ3287" s="35"/>
      <c r="AK3287" s="35"/>
      <c r="AL3287" s="35"/>
      <c r="AM3287" s="3"/>
      <c r="AN3287" s="3"/>
      <c r="AO3287" s="35"/>
      <c r="AP3287" s="35"/>
      <c r="AV3287" t="str">
        <f t="shared" si="13382"/>
        <v>Revegetação - Biomanta</v>
      </c>
      <c r="AW3287" s="4" t="str">
        <f t="shared" si="13373"/>
        <v xml:space="preserve">   Aplicação de biomanta</v>
      </c>
    </row>
    <row r="3288" spans="1:50" ht="25.9" customHeight="1" outlineLevel="2">
      <c r="A3288" s="209">
        <v>0</v>
      </c>
      <c r="B3288" s="150"/>
      <c r="C3288" s="150">
        <v>0</v>
      </c>
      <c r="D3288" s="117"/>
      <c r="E3288" s="3"/>
      <c r="F3288" s="92"/>
      <c r="G3288" s="3"/>
      <c r="H3288" s="3"/>
      <c r="I3288" s="35"/>
      <c r="J3288" s="3"/>
      <c r="K3288" s="3"/>
      <c r="L3288" s="3"/>
      <c r="M3288" s="35"/>
      <c r="N3288" s="3"/>
      <c r="O3288" s="3"/>
      <c r="P3288" s="119"/>
      <c r="Q3288" s="119"/>
      <c r="R3288" s="119"/>
      <c r="S3288" s="119"/>
      <c r="T3288" s="119"/>
      <c r="U3288" s="119"/>
      <c r="V3288" s="119"/>
      <c r="W3288" s="3"/>
      <c r="X3288" s="37"/>
      <c r="Y3288" s="3"/>
      <c r="Z3288" s="3"/>
      <c r="AA3288" s="35"/>
      <c r="AB3288" s="35"/>
      <c r="AC3288" s="35"/>
      <c r="AD3288" s="3"/>
      <c r="AE3288" s="3"/>
      <c r="AF3288" s="35"/>
      <c r="AG3288" s="35"/>
      <c r="AH3288" s="35"/>
      <c r="AI3288" s="35"/>
      <c r="AJ3288" s="35"/>
      <c r="AK3288" s="35"/>
      <c r="AL3288" s="35"/>
      <c r="AM3288" s="3"/>
      <c r="AN3288" s="3"/>
      <c r="AO3288" s="35"/>
      <c r="AP3288" s="35"/>
      <c r="AV3288" t="str">
        <f t="shared" si="13382"/>
        <v>Revegetação - Biomanta</v>
      </c>
      <c r="AW3288" s="4" t="str">
        <f t="shared" si="13373"/>
        <v xml:space="preserve">   Aplicação de biomanta</v>
      </c>
    </row>
    <row r="3289" spans="1:50" ht="25.9" customHeight="1" outlineLevel="2" collapsed="1">
      <c r="A3289" s="209">
        <v>0</v>
      </c>
      <c r="B3289" s="150"/>
      <c r="C3289" s="150"/>
      <c r="D3289" s="122"/>
      <c r="E3289" s="739" t="s">
        <v>44</v>
      </c>
      <c r="F3289" s="887" t="s">
        <v>52</v>
      </c>
      <c r="G3289" s="2"/>
      <c r="H3289" s="53" t="s">
        <v>37</v>
      </c>
      <c r="I3289" s="52">
        <f t="shared" ref="I3289" si="13425">SUMIF($L3291:$L3306,$L3289,I3291:I3306)</f>
        <v>0</v>
      </c>
      <c r="J3289" s="743" t="str">
        <f>IFERROR((I3290/I3289),"-")</f>
        <v>-</v>
      </c>
      <c r="K3289" s="2"/>
      <c r="L3289" s="53" t="s">
        <v>37</v>
      </c>
      <c r="M3289" s="52">
        <f t="shared" ref="M3289" si="13426">SUMIF($L3291:$L3306,$L3289,M3291:M3306)</f>
        <v>0</v>
      </c>
      <c r="N3289" s="743" t="str">
        <f>IFERROR((M3290/M3289),"-")</f>
        <v>-</v>
      </c>
      <c r="O3289" s="2"/>
      <c r="P3289" s="52">
        <f t="shared" ref="P3289:U3289" si="13427">SUMIF($L3291:$L3306,$L3289,P3291:P3306)</f>
        <v>0</v>
      </c>
      <c r="Q3289" s="52">
        <f t="shared" si="13427"/>
        <v>0</v>
      </c>
      <c r="R3289" s="52">
        <f t="shared" si="13427"/>
        <v>0</v>
      </c>
      <c r="S3289" s="52">
        <f t="shared" si="13427"/>
        <v>0</v>
      </c>
      <c r="T3289" s="52">
        <f t="shared" si="13427"/>
        <v>0</v>
      </c>
      <c r="U3289" s="52">
        <f t="shared" si="13427"/>
        <v>0</v>
      </c>
      <c r="V3289" s="127"/>
      <c r="W3289" s="2"/>
      <c r="X3289" s="52">
        <f t="shared" ref="X3289:X3306" si="13428">SUMIFS(P3289:V3289,$P$8:$V$8,"&gt;="&amp;$P$8,$P$8:$V$8,"&lt;="&amp;$N$8)</f>
        <v>0</v>
      </c>
      <c r="Y3289" s="743" t="str">
        <f>IFERROR((X3290/X3289),"-")</f>
        <v>-</v>
      </c>
      <c r="Z3289" s="2"/>
      <c r="AA3289" s="888">
        <f>SUM(AA3291:AA3306)</f>
        <v>0</v>
      </c>
      <c r="AB3289" s="888">
        <f>SUM(AB3291:AB3306)</f>
        <v>0</v>
      </c>
      <c r="AC3289" s="888">
        <f>SUM(AC3291:AC3306)</f>
        <v>0</v>
      </c>
      <c r="AD3289" s="890" t="str">
        <f>IFERROR((AC3289/AA3289),"-")</f>
        <v>-</v>
      </c>
      <c r="AE3289" s="2"/>
      <c r="AF3289" s="888">
        <f t="shared" ref="AF3289" si="13429">SUM(AF3291:AF3306)</f>
        <v>0</v>
      </c>
      <c r="AG3289" s="888">
        <f t="shared" ref="AG3289:AL3289" si="13430">SUM(AG3291:AG3306)</f>
        <v>0</v>
      </c>
      <c r="AH3289" s="888">
        <f t="shared" si="13430"/>
        <v>0</v>
      </c>
      <c r="AI3289" s="888">
        <f t="shared" si="13430"/>
        <v>0</v>
      </c>
      <c r="AJ3289" s="888"/>
      <c r="AK3289" s="888">
        <f t="shared" si="13430"/>
        <v>0</v>
      </c>
      <c r="AL3289" s="888">
        <f t="shared" si="13430"/>
        <v>107779.67000000001</v>
      </c>
      <c r="AM3289" s="743">
        <f>IFERROR((AK3289/AL3289),"-")</f>
        <v>0</v>
      </c>
      <c r="AN3289" s="2"/>
      <c r="AO3289" s="888">
        <f>SUM(AO3291:AO3306)</f>
        <v>107779.68000000001</v>
      </c>
      <c r="AP3289" s="888">
        <f>SUM(AP3291:AP3306)</f>
        <v>107779.68000000001</v>
      </c>
      <c r="AV3289" t="str">
        <f t="shared" si="13382"/>
        <v>Revegetação - Biomanta</v>
      </c>
      <c r="AW3289" s="4" t="str">
        <f t="shared" si="13373"/>
        <v>Pacote 05 - Segmento 2.5 - 138+160 a 153+420</v>
      </c>
    </row>
    <row r="3290" spans="1:50" ht="25.9" customHeight="1" outlineLevel="2">
      <c r="A3290" s="209">
        <v>0</v>
      </c>
      <c r="B3290" s="150"/>
      <c r="C3290" s="150">
        <v>0</v>
      </c>
      <c r="D3290" s="123"/>
      <c r="E3290" s="739"/>
      <c r="F3290" s="887"/>
      <c r="G3290" s="2"/>
      <c r="H3290" s="54" t="s">
        <v>38</v>
      </c>
      <c r="I3290" s="52">
        <f t="shared" ref="I3290" si="13431">SUMIF($L3291:$L3306,$L3290,I3291:I3306)</f>
        <v>0</v>
      </c>
      <c r="J3290" s="744"/>
      <c r="K3290" s="2"/>
      <c r="L3290" s="54" t="s">
        <v>38</v>
      </c>
      <c r="M3290" s="52">
        <f t="shared" ref="M3290" si="13432">SUMIF($L3291:$L3306,$L3290,M3291:M3306)</f>
        <v>0</v>
      </c>
      <c r="N3290" s="744"/>
      <c r="O3290" s="2"/>
      <c r="P3290" s="52">
        <f t="shared" ref="P3290:U3290" si="13433">SUMIF($L3291:$L3306,$L3290,P3291:P3306)</f>
        <v>0</v>
      </c>
      <c r="Q3290" s="52">
        <f t="shared" si="13433"/>
        <v>0</v>
      </c>
      <c r="R3290" s="52">
        <f t="shared" si="13433"/>
        <v>0</v>
      </c>
      <c r="S3290" s="52">
        <f t="shared" si="13433"/>
        <v>0</v>
      </c>
      <c r="T3290" s="52">
        <f t="shared" si="13433"/>
        <v>0</v>
      </c>
      <c r="U3290" s="52">
        <f t="shared" si="13433"/>
        <v>0</v>
      </c>
      <c r="V3290" s="127"/>
      <c r="W3290" s="2"/>
      <c r="X3290" s="52">
        <f t="shared" si="13428"/>
        <v>0</v>
      </c>
      <c r="Y3290" s="744"/>
      <c r="Z3290" s="2"/>
      <c r="AA3290" s="889"/>
      <c r="AB3290" s="889"/>
      <c r="AC3290" s="889"/>
      <c r="AD3290" s="891"/>
      <c r="AE3290" s="2"/>
      <c r="AF3290" s="889"/>
      <c r="AG3290" s="889"/>
      <c r="AH3290" s="889"/>
      <c r="AI3290" s="889"/>
      <c r="AJ3290" s="889"/>
      <c r="AK3290" s="889"/>
      <c r="AL3290" s="889"/>
      <c r="AM3290" s="744"/>
      <c r="AN3290" s="2"/>
      <c r="AO3290" s="888"/>
      <c r="AP3290" s="888"/>
      <c r="AV3290" t="str">
        <f t="shared" si="13382"/>
        <v>Revegetação - Biomanta</v>
      </c>
      <c r="AW3290" s="4" t="str">
        <f t="shared" si="13373"/>
        <v>Pacote 05 - Segmento 2.5 - 138+160 a 153+420</v>
      </c>
    </row>
    <row r="3291" spans="1:50" ht="25.9" customHeight="1" outlineLevel="2">
      <c r="A3291" s="8" t="str">
        <f t="shared" ref="A3291" si="13434">IF(SUM(P3291:V3292)&gt;0,"S","N")</f>
        <v>N</v>
      </c>
      <c r="B3291" s="150">
        <v>1069364</v>
      </c>
      <c r="C3291" s="150" t="s">
        <v>3715</v>
      </c>
      <c r="D3291" s="120" t="s">
        <v>3716</v>
      </c>
      <c r="E3291" s="874" t="s">
        <v>3649</v>
      </c>
      <c r="F3291" s="883" t="s">
        <v>52</v>
      </c>
      <c r="G3291" s="2"/>
      <c r="H3291" s="49" t="s">
        <v>37</v>
      </c>
      <c r="I3291" s="705">
        <v>0</v>
      </c>
      <c r="J3291" s="878" t="str">
        <f t="shared" ref="J3291" si="13435">IFERROR((I3292/I3291),"-")</f>
        <v>-</v>
      </c>
      <c r="K3291" s="2"/>
      <c r="L3291" s="49" t="s">
        <v>37</v>
      </c>
      <c r="M3291" s="705">
        <f t="shared" ref="M3291:M3306" si="13436">_xlfn.XLOOKUP($N$8,$P$8:$V$8,$P3291:$V3291)</f>
        <v>0</v>
      </c>
      <c r="N3291" s="878" t="str">
        <f t="shared" ref="N3291" si="13437">IFERROR((M3292/M3291),"-")</f>
        <v>-</v>
      </c>
      <c r="O3291" s="2"/>
      <c r="P3291" s="121">
        <v>0</v>
      </c>
      <c r="Q3291" s="121">
        <v>0</v>
      </c>
      <c r="R3291" s="121">
        <v>0</v>
      </c>
      <c r="S3291" s="121">
        <v>0</v>
      </c>
      <c r="T3291" s="121">
        <v>0</v>
      </c>
      <c r="U3291" s="121">
        <v>0</v>
      </c>
      <c r="V3291" s="126">
        <v>0</v>
      </c>
      <c r="W3291" s="2"/>
      <c r="X3291" s="705">
        <f t="shared" si="13428"/>
        <v>0</v>
      </c>
      <c r="Y3291" s="878" t="str">
        <f>IFERROR((X3292/X3291),"-")</f>
        <v>-</v>
      </c>
      <c r="Z3291" s="2"/>
      <c r="AA3291" s="884">
        <v>0</v>
      </c>
      <c r="AB3291" s="884">
        <v>0</v>
      </c>
      <c r="AC3291" s="884">
        <v>0</v>
      </c>
      <c r="AD3291" s="878" t="str">
        <f>IFERROR((AC3291/AA3291),"-")</f>
        <v>-</v>
      </c>
      <c r="AE3291" s="2"/>
      <c r="AF3291" s="884">
        <v>0</v>
      </c>
      <c r="AG3291" s="884"/>
      <c r="AH3291" s="884">
        <v>0</v>
      </c>
      <c r="AI3291" s="884"/>
      <c r="AJ3291" s="884"/>
      <c r="AK3291" s="884">
        <f t="shared" ref="AK3291" si="13438">AF3291+AG3291+AH3291+AI3291+AJ3291+AC3291</f>
        <v>0</v>
      </c>
      <c r="AL3291" s="884">
        <v>6548.35</v>
      </c>
      <c r="AM3291" s="878">
        <f t="shared" ref="AM3291" si="13439">IFERROR((AK3291/AL3291),"-")</f>
        <v>0</v>
      </c>
      <c r="AN3291" s="2"/>
      <c r="AO3291" s="884">
        <v>6548.35</v>
      </c>
      <c r="AP3291" s="884">
        <f t="shared" ref="AP3291" si="13440">AO3291-AK3291</f>
        <v>6548.35</v>
      </c>
      <c r="AV3291" t="str">
        <f t="shared" si="13382"/>
        <v>Revegetação - Biomanta</v>
      </c>
      <c r="AW3291" s="4" t="str">
        <f t="shared" si="13373"/>
        <v xml:space="preserve">   Aplicação de biomanta</v>
      </c>
      <c r="AX3291" s="4"/>
    </row>
    <row r="3292" spans="1:50" ht="25.9" customHeight="1" outlineLevel="2">
      <c r="A3292" s="8" t="str">
        <f t="shared" ref="A3292" si="13441">A3291</f>
        <v>N</v>
      </c>
      <c r="B3292" s="150">
        <v>1069364</v>
      </c>
      <c r="C3292" s="150" t="s">
        <v>3715</v>
      </c>
      <c r="D3292" s="120" t="s">
        <v>3716</v>
      </c>
      <c r="E3292" s="875"/>
      <c r="F3292" s="883"/>
      <c r="G3292" s="2"/>
      <c r="H3292" s="50" t="s">
        <v>38</v>
      </c>
      <c r="I3292" s="705">
        <v>0</v>
      </c>
      <c r="J3292" s="879"/>
      <c r="K3292" s="2"/>
      <c r="L3292" s="50" t="s">
        <v>38</v>
      </c>
      <c r="M3292" s="705">
        <f t="shared" si="13436"/>
        <v>0</v>
      </c>
      <c r="N3292" s="879"/>
      <c r="O3292" s="2"/>
      <c r="P3292" s="126">
        <v>0</v>
      </c>
      <c r="Q3292" s="126">
        <v>0</v>
      </c>
      <c r="R3292" s="126">
        <v>0</v>
      </c>
      <c r="S3292" s="126">
        <v>0</v>
      </c>
      <c r="T3292" s="126">
        <v>0</v>
      </c>
      <c r="U3292" s="126">
        <v>0</v>
      </c>
      <c r="V3292" s="126"/>
      <c r="W3292" s="2"/>
      <c r="X3292" s="705">
        <f t="shared" si="13428"/>
        <v>0</v>
      </c>
      <c r="Y3292" s="879"/>
      <c r="Z3292" s="2"/>
      <c r="AA3292" s="885"/>
      <c r="AB3292" s="885"/>
      <c r="AC3292" s="885"/>
      <c r="AD3292" s="879"/>
      <c r="AE3292" s="2"/>
      <c r="AF3292" s="885"/>
      <c r="AG3292" s="885"/>
      <c r="AH3292" s="885"/>
      <c r="AI3292" s="885"/>
      <c r="AJ3292" s="885"/>
      <c r="AK3292" s="885"/>
      <c r="AL3292" s="885"/>
      <c r="AM3292" s="879"/>
      <c r="AN3292" s="2"/>
      <c r="AO3292" s="886"/>
      <c r="AP3292" s="886"/>
      <c r="AV3292" t="str">
        <f t="shared" si="13382"/>
        <v>Revegetação - Biomanta</v>
      </c>
      <c r="AW3292" s="4" t="str">
        <f t="shared" si="13373"/>
        <v xml:space="preserve">   Aplicação de biomanta</v>
      </c>
      <c r="AX3292" s="4"/>
    </row>
    <row r="3293" spans="1:50" ht="25.9" customHeight="1" outlineLevel="2">
      <c r="A3293" s="8" t="str">
        <f t="shared" ref="A3293" si="13442">IF(SUM(P3293:V3294)&gt;0,"S","N")</f>
        <v>N</v>
      </c>
      <c r="B3293" s="150">
        <v>1069365</v>
      </c>
      <c r="C3293" s="150" t="s">
        <v>3717</v>
      </c>
      <c r="D3293" s="120" t="s">
        <v>3718</v>
      </c>
      <c r="E3293" s="874" t="s">
        <v>3649</v>
      </c>
      <c r="F3293" s="883" t="s">
        <v>52</v>
      </c>
      <c r="G3293" s="2"/>
      <c r="H3293" s="49" t="s">
        <v>37</v>
      </c>
      <c r="I3293" s="705">
        <v>0</v>
      </c>
      <c r="J3293" s="878" t="str">
        <f t="shared" ref="J3293" si="13443">IFERROR((I3294/I3293),"-")</f>
        <v>-</v>
      </c>
      <c r="K3293" s="2"/>
      <c r="L3293" s="49" t="s">
        <v>37</v>
      </c>
      <c r="M3293" s="705">
        <f t="shared" si="13436"/>
        <v>0</v>
      </c>
      <c r="N3293" s="878" t="str">
        <f t="shared" ref="N3293" si="13444">IFERROR((M3294/M3293),"-")</f>
        <v>-</v>
      </c>
      <c r="O3293" s="2"/>
      <c r="P3293" s="121">
        <v>0</v>
      </c>
      <c r="Q3293" s="121">
        <v>0</v>
      </c>
      <c r="R3293" s="121">
        <v>0</v>
      </c>
      <c r="S3293" s="121">
        <v>0</v>
      </c>
      <c r="T3293" s="121">
        <v>0</v>
      </c>
      <c r="U3293" s="121">
        <v>0</v>
      </c>
      <c r="V3293" s="126">
        <v>0</v>
      </c>
      <c r="W3293" s="2"/>
      <c r="X3293" s="705">
        <f t="shared" si="13428"/>
        <v>0</v>
      </c>
      <c r="Y3293" s="878" t="str">
        <f>IFERROR((X3294/X3293),"-")</f>
        <v>-</v>
      </c>
      <c r="Z3293" s="2"/>
      <c r="AA3293" s="884">
        <v>0</v>
      </c>
      <c r="AB3293" s="884">
        <v>0</v>
      </c>
      <c r="AC3293" s="884">
        <v>0</v>
      </c>
      <c r="AD3293" s="878" t="str">
        <f t="shared" ref="AD3293" si="13445">IFERROR((AC3293/AA3293),"-")</f>
        <v>-</v>
      </c>
      <c r="AE3293" s="2"/>
      <c r="AF3293" s="884">
        <v>0</v>
      </c>
      <c r="AG3293" s="884"/>
      <c r="AH3293" s="884">
        <v>0</v>
      </c>
      <c r="AI3293" s="884"/>
      <c r="AJ3293" s="884"/>
      <c r="AK3293" s="884">
        <f t="shared" ref="AK3293" si="13446">AF3293+AG3293+AH3293+AI3293+AJ3293+AC3293</f>
        <v>0</v>
      </c>
      <c r="AL3293" s="884">
        <v>1706.91</v>
      </c>
      <c r="AM3293" s="878">
        <f t="shared" ref="AM3293" si="13447">IFERROR((AK3293/AL3293),"-")</f>
        <v>0</v>
      </c>
      <c r="AN3293" s="2"/>
      <c r="AO3293" s="884">
        <v>1706.91</v>
      </c>
      <c r="AP3293" s="884">
        <f t="shared" ref="AP3293" si="13448">AO3293-AK3293</f>
        <v>1706.91</v>
      </c>
      <c r="AV3293" t="str">
        <f t="shared" si="13382"/>
        <v>Revegetação - Biomanta</v>
      </c>
      <c r="AW3293" s="4" t="str">
        <f t="shared" si="13373"/>
        <v xml:space="preserve">   Aplicação de biomanta</v>
      </c>
      <c r="AX3293" s="4"/>
    </row>
    <row r="3294" spans="1:50" ht="25.9" customHeight="1" outlineLevel="2">
      <c r="A3294" s="8" t="str">
        <f t="shared" ref="A3294" si="13449">A3293</f>
        <v>N</v>
      </c>
      <c r="B3294" s="150">
        <v>1069365</v>
      </c>
      <c r="C3294" s="150" t="s">
        <v>3717</v>
      </c>
      <c r="D3294" s="120" t="s">
        <v>3718</v>
      </c>
      <c r="E3294" s="875"/>
      <c r="F3294" s="883"/>
      <c r="G3294" s="2"/>
      <c r="H3294" s="50" t="s">
        <v>38</v>
      </c>
      <c r="I3294" s="705">
        <v>0</v>
      </c>
      <c r="J3294" s="879"/>
      <c r="K3294" s="2"/>
      <c r="L3294" s="50" t="s">
        <v>38</v>
      </c>
      <c r="M3294" s="705">
        <f t="shared" si="13436"/>
        <v>0</v>
      </c>
      <c r="N3294" s="879"/>
      <c r="O3294" s="2"/>
      <c r="P3294" s="126">
        <v>0</v>
      </c>
      <c r="Q3294" s="126">
        <v>0</v>
      </c>
      <c r="R3294" s="126">
        <v>0</v>
      </c>
      <c r="S3294" s="126">
        <v>0</v>
      </c>
      <c r="T3294" s="126">
        <v>0</v>
      </c>
      <c r="U3294" s="126">
        <v>0</v>
      </c>
      <c r="V3294" s="126"/>
      <c r="W3294" s="2"/>
      <c r="X3294" s="705">
        <f t="shared" si="13428"/>
        <v>0</v>
      </c>
      <c r="Y3294" s="879"/>
      <c r="Z3294" s="2"/>
      <c r="AA3294" s="885"/>
      <c r="AB3294" s="885"/>
      <c r="AC3294" s="885"/>
      <c r="AD3294" s="879"/>
      <c r="AE3294" s="2"/>
      <c r="AF3294" s="885"/>
      <c r="AG3294" s="885"/>
      <c r="AH3294" s="885"/>
      <c r="AI3294" s="885"/>
      <c r="AJ3294" s="885"/>
      <c r="AK3294" s="885"/>
      <c r="AL3294" s="885"/>
      <c r="AM3294" s="879"/>
      <c r="AN3294" s="2"/>
      <c r="AO3294" s="886"/>
      <c r="AP3294" s="886"/>
      <c r="AV3294" t="str">
        <f t="shared" si="13382"/>
        <v>Revegetação - Biomanta</v>
      </c>
      <c r="AW3294" s="4" t="str">
        <f t="shared" si="13373"/>
        <v xml:space="preserve">   Aplicação de biomanta</v>
      </c>
      <c r="AX3294" s="4"/>
    </row>
    <row r="3295" spans="1:50" ht="25.9" customHeight="1" outlineLevel="2">
      <c r="A3295" s="8" t="str">
        <f t="shared" ref="A3295" si="13450">IF(SUM(P3295:V3296)&gt;0,"S","N")</f>
        <v>N</v>
      </c>
      <c r="B3295" s="150">
        <v>1069366</v>
      </c>
      <c r="C3295" s="150" t="s">
        <v>3719</v>
      </c>
      <c r="D3295" s="120" t="s">
        <v>3720</v>
      </c>
      <c r="E3295" s="874" t="s">
        <v>3649</v>
      </c>
      <c r="F3295" s="883" t="s">
        <v>52</v>
      </c>
      <c r="G3295" s="2"/>
      <c r="H3295" s="49" t="s">
        <v>37</v>
      </c>
      <c r="I3295" s="705">
        <v>0</v>
      </c>
      <c r="J3295" s="878" t="str">
        <f t="shared" ref="J3295" si="13451">IFERROR((I3296/I3295),"-")</f>
        <v>-</v>
      </c>
      <c r="K3295" s="2"/>
      <c r="L3295" s="49" t="s">
        <v>37</v>
      </c>
      <c r="M3295" s="705">
        <f t="shared" si="13436"/>
        <v>0</v>
      </c>
      <c r="N3295" s="878" t="str">
        <f t="shared" ref="N3295" si="13452">IFERROR((M3296/M3295),"-")</f>
        <v>-</v>
      </c>
      <c r="O3295" s="2"/>
      <c r="P3295" s="121">
        <v>0</v>
      </c>
      <c r="Q3295" s="121">
        <v>0</v>
      </c>
      <c r="R3295" s="121">
        <v>0</v>
      </c>
      <c r="S3295" s="121">
        <v>0</v>
      </c>
      <c r="T3295" s="121">
        <v>0</v>
      </c>
      <c r="U3295" s="121">
        <v>0</v>
      </c>
      <c r="V3295" s="126">
        <v>0</v>
      </c>
      <c r="W3295" s="2"/>
      <c r="X3295" s="705">
        <f t="shared" si="13428"/>
        <v>0</v>
      </c>
      <c r="Y3295" s="878" t="str">
        <f>IFERROR((X3296/X3295),"-")</f>
        <v>-</v>
      </c>
      <c r="Z3295" s="2"/>
      <c r="AA3295" s="884">
        <v>0</v>
      </c>
      <c r="AB3295" s="884">
        <v>0</v>
      </c>
      <c r="AC3295" s="884">
        <v>0</v>
      </c>
      <c r="AD3295" s="878" t="str">
        <f t="shared" ref="AD3295" si="13453">IFERROR((AC3295/AA3295),"-")</f>
        <v>-</v>
      </c>
      <c r="AE3295" s="2"/>
      <c r="AF3295" s="884">
        <v>0</v>
      </c>
      <c r="AG3295" s="884"/>
      <c r="AH3295" s="884">
        <v>0</v>
      </c>
      <c r="AI3295" s="884"/>
      <c r="AJ3295" s="884"/>
      <c r="AK3295" s="884">
        <f t="shared" ref="AK3295" si="13454">AF3295+AG3295+AH3295+AI3295+AJ3295+AC3295</f>
        <v>0</v>
      </c>
      <c r="AL3295" s="884">
        <v>202.45</v>
      </c>
      <c r="AM3295" s="878">
        <f t="shared" ref="AM3295" si="13455">IFERROR((AK3295/AL3295),"-")</f>
        <v>0</v>
      </c>
      <c r="AN3295" s="2"/>
      <c r="AO3295" s="884">
        <v>202.45</v>
      </c>
      <c r="AP3295" s="884">
        <f t="shared" ref="AP3295" si="13456">AO3295-AK3295</f>
        <v>202.45</v>
      </c>
      <c r="AV3295" t="str">
        <f t="shared" si="13382"/>
        <v>Revegetação - Biomanta</v>
      </c>
      <c r="AW3295" s="4" t="str">
        <f t="shared" si="13373"/>
        <v xml:space="preserve">   Aplicação de biomanta</v>
      </c>
      <c r="AX3295" s="4"/>
    </row>
    <row r="3296" spans="1:50" ht="25.9" customHeight="1" outlineLevel="2">
      <c r="A3296" s="8" t="str">
        <f t="shared" ref="A3296" si="13457">A3295</f>
        <v>N</v>
      </c>
      <c r="B3296" s="150">
        <v>1069366</v>
      </c>
      <c r="C3296" s="150" t="s">
        <v>3719</v>
      </c>
      <c r="D3296" s="120" t="s">
        <v>3720</v>
      </c>
      <c r="E3296" s="875"/>
      <c r="F3296" s="883"/>
      <c r="G3296" s="2"/>
      <c r="H3296" s="50" t="s">
        <v>38</v>
      </c>
      <c r="I3296" s="705">
        <v>0</v>
      </c>
      <c r="J3296" s="879"/>
      <c r="K3296" s="2"/>
      <c r="L3296" s="50" t="s">
        <v>38</v>
      </c>
      <c r="M3296" s="705">
        <f t="shared" si="13436"/>
        <v>0</v>
      </c>
      <c r="N3296" s="879"/>
      <c r="O3296" s="2"/>
      <c r="P3296" s="126">
        <v>0</v>
      </c>
      <c r="Q3296" s="126">
        <v>0</v>
      </c>
      <c r="R3296" s="126">
        <v>0</v>
      </c>
      <c r="S3296" s="126">
        <v>0</v>
      </c>
      <c r="T3296" s="126">
        <v>0</v>
      </c>
      <c r="U3296" s="126">
        <v>0</v>
      </c>
      <c r="V3296" s="126"/>
      <c r="W3296" s="2"/>
      <c r="X3296" s="705">
        <f t="shared" si="13428"/>
        <v>0</v>
      </c>
      <c r="Y3296" s="879"/>
      <c r="Z3296" s="2"/>
      <c r="AA3296" s="885"/>
      <c r="AB3296" s="885"/>
      <c r="AC3296" s="885"/>
      <c r="AD3296" s="879"/>
      <c r="AE3296" s="2"/>
      <c r="AF3296" s="885"/>
      <c r="AG3296" s="885"/>
      <c r="AH3296" s="885"/>
      <c r="AI3296" s="885"/>
      <c r="AJ3296" s="885"/>
      <c r="AK3296" s="885"/>
      <c r="AL3296" s="885"/>
      <c r="AM3296" s="879"/>
      <c r="AN3296" s="2"/>
      <c r="AO3296" s="886"/>
      <c r="AP3296" s="886"/>
      <c r="AV3296" t="str">
        <f t="shared" si="13382"/>
        <v>Revegetação - Biomanta</v>
      </c>
      <c r="AW3296" s="4" t="str">
        <f t="shared" si="13373"/>
        <v xml:space="preserve">   Aplicação de biomanta</v>
      </c>
      <c r="AX3296" s="4"/>
    </row>
    <row r="3297" spans="1:50" ht="25.9" customHeight="1" outlineLevel="2" collapsed="1">
      <c r="A3297" s="8" t="str">
        <f t="shared" ref="A3297" si="13458">IF(SUM(P3297:V3298)&gt;0,"S","N")</f>
        <v>N</v>
      </c>
      <c r="B3297" s="150">
        <v>1069367</v>
      </c>
      <c r="C3297" s="150" t="s">
        <v>3721</v>
      </c>
      <c r="D3297" s="120" t="s">
        <v>3722</v>
      </c>
      <c r="E3297" s="874" t="s">
        <v>3649</v>
      </c>
      <c r="F3297" s="876" t="s">
        <v>3210</v>
      </c>
      <c r="G3297" s="2"/>
      <c r="H3297" s="49" t="s">
        <v>37</v>
      </c>
      <c r="I3297" s="705">
        <v>0</v>
      </c>
      <c r="J3297" s="878" t="str">
        <f t="shared" ref="J3297" si="13459">IFERROR((I3298/I3297),"-")</f>
        <v>-</v>
      </c>
      <c r="K3297" s="2"/>
      <c r="L3297" s="49" t="s">
        <v>37</v>
      </c>
      <c r="M3297" s="705">
        <f t="shared" si="13436"/>
        <v>0</v>
      </c>
      <c r="N3297" s="878" t="str">
        <f t="shared" ref="N3297" si="13460">IFERROR((M3298/M3297),"-")</f>
        <v>-</v>
      </c>
      <c r="O3297" s="2"/>
      <c r="P3297" s="121">
        <v>0</v>
      </c>
      <c r="Q3297" s="121">
        <v>0</v>
      </c>
      <c r="R3297" s="121">
        <v>0</v>
      </c>
      <c r="S3297" s="121">
        <v>0</v>
      </c>
      <c r="T3297" s="121">
        <v>0</v>
      </c>
      <c r="U3297" s="121">
        <v>0</v>
      </c>
      <c r="V3297" s="126">
        <v>0</v>
      </c>
      <c r="W3297" s="2"/>
      <c r="X3297" s="705">
        <f t="shared" si="13428"/>
        <v>0</v>
      </c>
      <c r="Y3297" s="878" t="str">
        <f t="shared" ref="Y3297" si="13461">IFERROR((X3298/X3297),"-")</f>
        <v>-</v>
      </c>
      <c r="Z3297" s="2"/>
      <c r="AA3297" s="884">
        <v>0</v>
      </c>
      <c r="AB3297" s="884">
        <v>0</v>
      </c>
      <c r="AC3297" s="884">
        <v>0</v>
      </c>
      <c r="AD3297" s="878" t="str">
        <f t="shared" ref="AD3297" si="13462">IFERROR((AC3297/AA3297),"-")</f>
        <v>-</v>
      </c>
      <c r="AE3297" s="2"/>
      <c r="AF3297" s="884">
        <v>0</v>
      </c>
      <c r="AG3297" s="884"/>
      <c r="AH3297" s="884">
        <v>0</v>
      </c>
      <c r="AI3297" s="884"/>
      <c r="AJ3297" s="884"/>
      <c r="AK3297" s="884">
        <f t="shared" ref="AK3297" si="13463">AF3297+AG3297+AH3297+AI3297+AJ3297+AC3297</f>
        <v>0</v>
      </c>
      <c r="AL3297" s="884">
        <v>6869.63</v>
      </c>
      <c r="AM3297" s="878">
        <f t="shared" ref="AM3297" si="13464">IFERROR((AK3297/AL3297),"-")</f>
        <v>0</v>
      </c>
      <c r="AN3297" s="2"/>
      <c r="AO3297" s="884">
        <v>6869.63</v>
      </c>
      <c r="AP3297" s="884">
        <f t="shared" ref="AP3297" si="13465">AO3297-AK3297</f>
        <v>6869.63</v>
      </c>
      <c r="AV3297" t="str">
        <f t="shared" si="13382"/>
        <v>Revegetação - Biomanta</v>
      </c>
      <c r="AW3297" s="4" t="str">
        <f t="shared" si="13373"/>
        <v xml:space="preserve">   Aplicação de biomanta</v>
      </c>
    </row>
    <row r="3298" spans="1:50" ht="25.9" customHeight="1" outlineLevel="2">
      <c r="A3298" s="8" t="str">
        <f t="shared" ref="A3298" si="13466">A3297</f>
        <v>N</v>
      </c>
      <c r="B3298" s="150">
        <v>1069367</v>
      </c>
      <c r="C3298" s="150" t="s">
        <v>3721</v>
      </c>
      <c r="D3298" s="120" t="s">
        <v>3722</v>
      </c>
      <c r="E3298" s="875"/>
      <c r="F3298" s="877"/>
      <c r="G3298" s="2"/>
      <c r="H3298" s="50" t="s">
        <v>38</v>
      </c>
      <c r="I3298" s="705">
        <v>0</v>
      </c>
      <c r="J3298" s="879"/>
      <c r="K3298" s="2"/>
      <c r="L3298" s="50" t="s">
        <v>38</v>
      </c>
      <c r="M3298" s="705">
        <f t="shared" si="13436"/>
        <v>0</v>
      </c>
      <c r="N3298" s="879"/>
      <c r="O3298" s="2"/>
      <c r="P3298" s="126">
        <v>0</v>
      </c>
      <c r="Q3298" s="126">
        <v>0</v>
      </c>
      <c r="R3298" s="126">
        <v>0</v>
      </c>
      <c r="S3298" s="126">
        <v>0</v>
      </c>
      <c r="T3298" s="126">
        <v>0</v>
      </c>
      <c r="U3298" s="126">
        <v>0</v>
      </c>
      <c r="V3298" s="126"/>
      <c r="W3298" s="2"/>
      <c r="X3298" s="705">
        <f t="shared" si="13428"/>
        <v>0</v>
      </c>
      <c r="Y3298" s="879"/>
      <c r="Z3298" s="2"/>
      <c r="AA3298" s="885"/>
      <c r="AB3298" s="885"/>
      <c r="AC3298" s="885"/>
      <c r="AD3298" s="879"/>
      <c r="AE3298" s="2"/>
      <c r="AF3298" s="885"/>
      <c r="AG3298" s="885"/>
      <c r="AH3298" s="885"/>
      <c r="AI3298" s="885"/>
      <c r="AJ3298" s="885"/>
      <c r="AK3298" s="885"/>
      <c r="AL3298" s="885"/>
      <c r="AM3298" s="879"/>
      <c r="AN3298" s="2"/>
      <c r="AO3298" s="886"/>
      <c r="AP3298" s="886"/>
      <c r="AV3298" t="str">
        <f t="shared" si="13382"/>
        <v>Revegetação - Biomanta</v>
      </c>
      <c r="AW3298" s="4" t="str">
        <f t="shared" si="13373"/>
        <v xml:space="preserve">   Aplicação de biomanta</v>
      </c>
      <c r="AX3298" s="4"/>
    </row>
    <row r="3299" spans="1:50" ht="25.9" customHeight="1" outlineLevel="2" collapsed="1">
      <c r="A3299" s="8" t="str">
        <f t="shared" ref="A3299" si="13467">IF(SUM(P3299:V3300)&gt;0,"S","N")</f>
        <v>N</v>
      </c>
      <c r="B3299" s="150">
        <v>1069368</v>
      </c>
      <c r="C3299" s="150" t="s">
        <v>3723</v>
      </c>
      <c r="D3299" s="120" t="s">
        <v>3724</v>
      </c>
      <c r="E3299" s="874" t="s">
        <v>3649</v>
      </c>
      <c r="F3299" s="876" t="s">
        <v>3210</v>
      </c>
      <c r="G3299" s="2"/>
      <c r="H3299" s="49" t="s">
        <v>37</v>
      </c>
      <c r="I3299" s="705">
        <v>0</v>
      </c>
      <c r="J3299" s="878" t="str">
        <f t="shared" ref="J3299" si="13468">IFERROR((I3300/I3299),"-")</f>
        <v>-</v>
      </c>
      <c r="K3299" s="2"/>
      <c r="L3299" s="49" t="s">
        <v>37</v>
      </c>
      <c r="M3299" s="705">
        <f t="shared" si="13436"/>
        <v>0</v>
      </c>
      <c r="N3299" s="878" t="str">
        <f t="shared" ref="N3299" si="13469">IFERROR((M3300/M3299),"-")</f>
        <v>-</v>
      </c>
      <c r="O3299" s="2"/>
      <c r="P3299" s="121">
        <v>0</v>
      </c>
      <c r="Q3299" s="121">
        <v>0</v>
      </c>
      <c r="R3299" s="121">
        <v>0</v>
      </c>
      <c r="S3299" s="121">
        <v>0</v>
      </c>
      <c r="T3299" s="121">
        <v>0</v>
      </c>
      <c r="U3299" s="121">
        <v>0</v>
      </c>
      <c r="V3299" s="126">
        <v>0</v>
      </c>
      <c r="W3299" s="2"/>
      <c r="X3299" s="705">
        <f t="shared" si="13428"/>
        <v>0</v>
      </c>
      <c r="Y3299" s="878" t="str">
        <f t="shared" ref="Y3299" si="13470">IFERROR((X3300/X3299),"-")</f>
        <v>-</v>
      </c>
      <c r="Z3299" s="2"/>
      <c r="AA3299" s="884">
        <v>0</v>
      </c>
      <c r="AB3299" s="884">
        <v>0</v>
      </c>
      <c r="AC3299" s="884">
        <v>0</v>
      </c>
      <c r="AD3299" s="878" t="str">
        <f t="shared" ref="AD3299" si="13471">IFERROR((AC3299/AA3299),"-")</f>
        <v>-</v>
      </c>
      <c r="AE3299" s="2"/>
      <c r="AF3299" s="884">
        <v>0</v>
      </c>
      <c r="AG3299" s="884"/>
      <c r="AH3299" s="884">
        <v>0</v>
      </c>
      <c r="AI3299" s="884"/>
      <c r="AJ3299" s="884"/>
      <c r="AK3299" s="884">
        <f t="shared" ref="AK3299" si="13472">AF3299+AG3299+AH3299+AI3299+AJ3299+AC3299</f>
        <v>0</v>
      </c>
      <c r="AL3299" s="884">
        <v>870.85</v>
      </c>
      <c r="AM3299" s="878">
        <f t="shared" ref="AM3299" si="13473">IFERROR((AK3299/AL3299),"-")</f>
        <v>0</v>
      </c>
      <c r="AN3299" s="2"/>
      <c r="AO3299" s="884">
        <v>870.85</v>
      </c>
      <c r="AP3299" s="884">
        <f t="shared" ref="AP3299" si="13474">AO3299-AK3299</f>
        <v>870.85</v>
      </c>
      <c r="AV3299" s="4" t="str">
        <f t="shared" si="13382"/>
        <v>Revegetação - Biomanta</v>
      </c>
      <c r="AW3299" s="4" t="str">
        <f t="shared" si="13373"/>
        <v xml:space="preserve">   Aplicação de biomanta</v>
      </c>
      <c r="AX3299" s="4"/>
    </row>
    <row r="3300" spans="1:50" ht="25.9" customHeight="1" outlineLevel="2">
      <c r="A3300" s="8" t="str">
        <f t="shared" ref="A3300" si="13475">A3299</f>
        <v>N</v>
      </c>
      <c r="B3300" s="150">
        <v>1069368</v>
      </c>
      <c r="C3300" s="150" t="s">
        <v>3723</v>
      </c>
      <c r="D3300" s="120" t="s">
        <v>3724</v>
      </c>
      <c r="E3300" s="875"/>
      <c r="F3300" s="877"/>
      <c r="G3300" s="2"/>
      <c r="H3300" s="50" t="s">
        <v>38</v>
      </c>
      <c r="I3300" s="705">
        <v>0</v>
      </c>
      <c r="J3300" s="879"/>
      <c r="K3300" s="2"/>
      <c r="L3300" s="50" t="s">
        <v>38</v>
      </c>
      <c r="M3300" s="705">
        <f t="shared" si="13436"/>
        <v>0</v>
      </c>
      <c r="N3300" s="879"/>
      <c r="O3300" s="2"/>
      <c r="P3300" s="126">
        <v>0</v>
      </c>
      <c r="Q3300" s="126">
        <v>0</v>
      </c>
      <c r="R3300" s="126">
        <v>0</v>
      </c>
      <c r="S3300" s="126">
        <v>0</v>
      </c>
      <c r="T3300" s="126">
        <v>0</v>
      </c>
      <c r="U3300" s="126">
        <v>0</v>
      </c>
      <c r="V3300" s="126"/>
      <c r="W3300" s="2"/>
      <c r="X3300" s="705">
        <f t="shared" si="13428"/>
        <v>0</v>
      </c>
      <c r="Y3300" s="879"/>
      <c r="Z3300" s="2"/>
      <c r="AA3300" s="885"/>
      <c r="AB3300" s="885"/>
      <c r="AC3300" s="885"/>
      <c r="AD3300" s="879"/>
      <c r="AE3300" s="2"/>
      <c r="AF3300" s="885"/>
      <c r="AG3300" s="885"/>
      <c r="AH3300" s="885"/>
      <c r="AI3300" s="885"/>
      <c r="AJ3300" s="885"/>
      <c r="AK3300" s="885"/>
      <c r="AL3300" s="885"/>
      <c r="AM3300" s="879"/>
      <c r="AN3300" s="2"/>
      <c r="AO3300" s="886"/>
      <c r="AP3300" s="886"/>
      <c r="AV3300" t="str">
        <f t="shared" si="13382"/>
        <v>Revegetação - Biomanta</v>
      </c>
      <c r="AW3300" s="4" t="str">
        <f t="shared" si="13373"/>
        <v xml:space="preserve">   Aplicação de biomanta</v>
      </c>
      <c r="AX3300" s="4"/>
    </row>
    <row r="3301" spans="1:50" ht="15" customHeight="1" outlineLevel="1">
      <c r="A3301" s="8" t="str">
        <f t="shared" ref="A3301" si="13476">IF(SUM(P3301:V3302)&gt;0,"S","N")</f>
        <v>N</v>
      </c>
      <c r="B3301" s="150">
        <v>1069369</v>
      </c>
      <c r="C3301" s="150" t="s">
        <v>3725</v>
      </c>
      <c r="D3301" s="120" t="s">
        <v>3726</v>
      </c>
      <c r="E3301" s="874" t="s">
        <v>3649</v>
      </c>
      <c r="F3301" s="876" t="s">
        <v>3210</v>
      </c>
      <c r="G3301" s="2"/>
      <c r="H3301" s="49" t="s">
        <v>37</v>
      </c>
      <c r="I3301" s="705">
        <v>0</v>
      </c>
      <c r="J3301" s="878" t="str">
        <f t="shared" ref="J3301" si="13477">IFERROR((I3302/I3301),"-")</f>
        <v>-</v>
      </c>
      <c r="K3301" s="2"/>
      <c r="L3301" s="49" t="s">
        <v>37</v>
      </c>
      <c r="M3301" s="705">
        <f t="shared" si="13436"/>
        <v>0</v>
      </c>
      <c r="N3301" s="878" t="str">
        <f t="shared" ref="N3301" si="13478">IFERROR((M3302/M3301),"-")</f>
        <v>-</v>
      </c>
      <c r="O3301" s="2"/>
      <c r="P3301" s="121">
        <v>0</v>
      </c>
      <c r="Q3301" s="121">
        <v>0</v>
      </c>
      <c r="R3301" s="121">
        <v>0</v>
      </c>
      <c r="S3301" s="121">
        <v>0</v>
      </c>
      <c r="T3301" s="121">
        <v>0</v>
      </c>
      <c r="U3301" s="121">
        <v>0</v>
      </c>
      <c r="V3301" s="126">
        <v>0</v>
      </c>
      <c r="W3301" s="2"/>
      <c r="X3301" s="705">
        <f t="shared" si="13428"/>
        <v>0</v>
      </c>
      <c r="Y3301" s="878" t="str">
        <f t="shared" ref="Y3301" si="13479">IFERROR((X3302/X3301),"-")</f>
        <v>-</v>
      </c>
      <c r="Z3301" s="2"/>
      <c r="AA3301" s="884">
        <v>0</v>
      </c>
      <c r="AB3301" s="884">
        <v>0</v>
      </c>
      <c r="AC3301" s="884">
        <v>0</v>
      </c>
      <c r="AD3301" s="878" t="str">
        <f t="shared" ref="AD3301" si="13480">IFERROR((AC3301/AA3301),"-")</f>
        <v>-</v>
      </c>
      <c r="AE3301" s="2"/>
      <c r="AF3301" s="884">
        <v>0</v>
      </c>
      <c r="AG3301" s="884"/>
      <c r="AH3301" s="884">
        <v>0</v>
      </c>
      <c r="AI3301" s="884"/>
      <c r="AJ3301" s="884"/>
      <c r="AK3301" s="884">
        <f t="shared" ref="AK3301" si="13481">AF3301+AG3301+AH3301+AI3301+AJ3301+AC3301</f>
        <v>0</v>
      </c>
      <c r="AL3301" s="884">
        <v>7503.51</v>
      </c>
      <c r="AM3301" s="878">
        <f t="shared" ref="AM3301" si="13482">IFERROR((AK3301/AL3301),"-")</f>
        <v>0</v>
      </c>
      <c r="AN3301" s="2"/>
      <c r="AO3301" s="884">
        <v>7503.51</v>
      </c>
      <c r="AP3301" s="884">
        <f t="shared" ref="AP3301" si="13483">AO3301-AK3301</f>
        <v>7503.51</v>
      </c>
      <c r="AV3301" t="str">
        <f t="shared" si="13382"/>
        <v>Revegetação - Biomanta</v>
      </c>
      <c r="AW3301" s="4" t="str">
        <f t="shared" si="13373"/>
        <v xml:space="preserve">   Aplicação de biomanta</v>
      </c>
      <c r="AX3301" s="4"/>
    </row>
    <row r="3302" spans="1:50" ht="14.45" customHeight="1" outlineLevel="1">
      <c r="A3302" s="8" t="str">
        <f t="shared" ref="A3302" si="13484">A3301</f>
        <v>N</v>
      </c>
      <c r="B3302" s="150">
        <v>1069369</v>
      </c>
      <c r="C3302" s="150" t="s">
        <v>3725</v>
      </c>
      <c r="D3302" s="120" t="s">
        <v>3726</v>
      </c>
      <c r="E3302" s="875"/>
      <c r="F3302" s="877"/>
      <c r="G3302" s="2"/>
      <c r="H3302" s="50" t="s">
        <v>38</v>
      </c>
      <c r="I3302" s="705">
        <v>0</v>
      </c>
      <c r="J3302" s="879"/>
      <c r="K3302" s="2"/>
      <c r="L3302" s="50" t="s">
        <v>38</v>
      </c>
      <c r="M3302" s="705">
        <f t="shared" si="13436"/>
        <v>0</v>
      </c>
      <c r="N3302" s="879"/>
      <c r="O3302" s="2"/>
      <c r="P3302" s="126">
        <v>0</v>
      </c>
      <c r="Q3302" s="126">
        <v>0</v>
      </c>
      <c r="R3302" s="126">
        <v>0</v>
      </c>
      <c r="S3302" s="126">
        <v>0</v>
      </c>
      <c r="T3302" s="126">
        <v>0</v>
      </c>
      <c r="U3302" s="126">
        <v>0</v>
      </c>
      <c r="V3302" s="126"/>
      <c r="W3302" s="2"/>
      <c r="X3302" s="705">
        <f t="shared" si="13428"/>
        <v>0</v>
      </c>
      <c r="Y3302" s="879"/>
      <c r="Z3302" s="2"/>
      <c r="AA3302" s="885"/>
      <c r="AB3302" s="885"/>
      <c r="AC3302" s="885"/>
      <c r="AD3302" s="879"/>
      <c r="AE3302" s="2"/>
      <c r="AF3302" s="885"/>
      <c r="AG3302" s="885"/>
      <c r="AH3302" s="885"/>
      <c r="AI3302" s="885"/>
      <c r="AJ3302" s="885"/>
      <c r="AK3302" s="885"/>
      <c r="AL3302" s="885"/>
      <c r="AM3302" s="879"/>
      <c r="AN3302" s="2"/>
      <c r="AO3302" s="886"/>
      <c r="AP3302" s="886"/>
      <c r="AV3302" t="str">
        <f t="shared" si="13382"/>
        <v>Revegetação - Biomanta</v>
      </c>
      <c r="AW3302" s="4" t="str">
        <f t="shared" si="13373"/>
        <v xml:space="preserve">   Aplicação de biomanta</v>
      </c>
      <c r="AX3302" s="4"/>
    </row>
    <row r="3303" spans="1:50" ht="15" customHeight="1" outlineLevel="1">
      <c r="A3303" s="8" t="str">
        <f t="shared" ref="A3303" si="13485">IF(SUM(P3303:V3304)&gt;0,"S","N")</f>
        <v>N</v>
      </c>
      <c r="B3303" s="150">
        <v>1069370</v>
      </c>
      <c r="C3303" s="150" t="s">
        <v>3727</v>
      </c>
      <c r="D3303" s="120" t="s">
        <v>3728</v>
      </c>
      <c r="E3303" s="874" t="s">
        <v>3649</v>
      </c>
      <c r="F3303" s="876" t="s">
        <v>3210</v>
      </c>
      <c r="G3303" s="2"/>
      <c r="H3303" s="49" t="s">
        <v>37</v>
      </c>
      <c r="I3303" s="705">
        <v>0</v>
      </c>
      <c r="J3303" s="878" t="str">
        <f t="shared" ref="J3303" si="13486">IFERROR((I3304/I3303),"-")</f>
        <v>-</v>
      </c>
      <c r="K3303" s="2"/>
      <c r="L3303" s="49" t="s">
        <v>37</v>
      </c>
      <c r="M3303" s="705">
        <f t="shared" si="13436"/>
        <v>0</v>
      </c>
      <c r="N3303" s="878" t="str">
        <f t="shared" ref="N3303" si="13487">IFERROR((M3304/M3303),"-")</f>
        <v>-</v>
      </c>
      <c r="O3303" s="2"/>
      <c r="P3303" s="121">
        <v>0</v>
      </c>
      <c r="Q3303" s="121">
        <v>0</v>
      </c>
      <c r="R3303" s="121">
        <v>0</v>
      </c>
      <c r="S3303" s="121">
        <v>0</v>
      </c>
      <c r="T3303" s="121">
        <v>0</v>
      </c>
      <c r="U3303" s="121">
        <v>0</v>
      </c>
      <c r="V3303" s="126">
        <v>0</v>
      </c>
      <c r="W3303" s="2"/>
      <c r="X3303" s="705">
        <f t="shared" si="13428"/>
        <v>0</v>
      </c>
      <c r="Y3303" s="878" t="str">
        <f t="shared" ref="Y3303" si="13488">IFERROR((X3304/X3303),"-")</f>
        <v>-</v>
      </c>
      <c r="Z3303" s="2"/>
      <c r="AA3303" s="884">
        <v>0</v>
      </c>
      <c r="AB3303" s="884">
        <v>0</v>
      </c>
      <c r="AC3303" s="884">
        <v>0</v>
      </c>
      <c r="AD3303" s="878" t="str">
        <f t="shared" ref="AD3303" si="13489">IFERROR((AC3303/AA3303),"-")</f>
        <v>-</v>
      </c>
      <c r="AE3303" s="2"/>
      <c r="AF3303" s="884">
        <v>0</v>
      </c>
      <c r="AG3303" s="884"/>
      <c r="AH3303" s="884">
        <v>0</v>
      </c>
      <c r="AI3303" s="884"/>
      <c r="AJ3303" s="884"/>
      <c r="AK3303" s="884">
        <f t="shared" ref="AK3303" si="13490">AF3303+AG3303+AH3303+AI3303+AJ3303+AC3303</f>
        <v>0</v>
      </c>
      <c r="AL3303" s="884">
        <v>79683.090000000011</v>
      </c>
      <c r="AM3303" s="878">
        <f t="shared" ref="AM3303" si="13491">IFERROR((AK3303/AL3303),"-")</f>
        <v>0</v>
      </c>
      <c r="AN3303" s="2"/>
      <c r="AO3303" s="884">
        <v>79683.100000000006</v>
      </c>
      <c r="AP3303" s="884">
        <f t="shared" ref="AP3303" si="13492">AO3303-AK3303</f>
        <v>79683.100000000006</v>
      </c>
      <c r="AV3303" t="str">
        <f t="shared" si="13382"/>
        <v>Revegetação - Biomanta</v>
      </c>
      <c r="AW3303" s="4" t="str">
        <f t="shared" si="13373"/>
        <v xml:space="preserve">   Aplicação de biomanta</v>
      </c>
    </row>
    <row r="3304" spans="1:50" ht="14.45" customHeight="1" outlineLevel="1">
      <c r="A3304" s="8" t="str">
        <f t="shared" ref="A3304" si="13493">A3303</f>
        <v>N</v>
      </c>
      <c r="B3304" s="150">
        <v>1069370</v>
      </c>
      <c r="C3304" s="150" t="s">
        <v>3727</v>
      </c>
      <c r="D3304" s="120" t="s">
        <v>3728</v>
      </c>
      <c r="E3304" s="875"/>
      <c r="F3304" s="877"/>
      <c r="G3304" s="2"/>
      <c r="H3304" s="50" t="s">
        <v>38</v>
      </c>
      <c r="I3304" s="705">
        <v>0</v>
      </c>
      <c r="J3304" s="879"/>
      <c r="K3304" s="2"/>
      <c r="L3304" s="50" t="s">
        <v>38</v>
      </c>
      <c r="M3304" s="705">
        <f t="shared" si="13436"/>
        <v>0</v>
      </c>
      <c r="N3304" s="879"/>
      <c r="O3304" s="2"/>
      <c r="P3304" s="126">
        <v>0</v>
      </c>
      <c r="Q3304" s="126">
        <v>0</v>
      </c>
      <c r="R3304" s="126">
        <v>0</v>
      </c>
      <c r="S3304" s="126">
        <v>0</v>
      </c>
      <c r="T3304" s="126">
        <v>0</v>
      </c>
      <c r="U3304" s="126">
        <v>0</v>
      </c>
      <c r="V3304" s="126"/>
      <c r="W3304" s="2"/>
      <c r="X3304" s="705">
        <f t="shared" si="13428"/>
        <v>0</v>
      </c>
      <c r="Y3304" s="879"/>
      <c r="Z3304" s="2"/>
      <c r="AA3304" s="885"/>
      <c r="AB3304" s="885"/>
      <c r="AC3304" s="885"/>
      <c r="AD3304" s="879"/>
      <c r="AE3304" s="2"/>
      <c r="AF3304" s="885"/>
      <c r="AG3304" s="885"/>
      <c r="AH3304" s="885"/>
      <c r="AI3304" s="885"/>
      <c r="AJ3304" s="885"/>
      <c r="AK3304" s="885"/>
      <c r="AL3304" s="885"/>
      <c r="AM3304" s="879"/>
      <c r="AN3304" s="2"/>
      <c r="AO3304" s="886"/>
      <c r="AP3304" s="886"/>
      <c r="AV3304" t="str">
        <f t="shared" si="13382"/>
        <v>Revegetação - Biomanta</v>
      </c>
      <c r="AW3304" s="4" t="str">
        <f t="shared" si="13373"/>
        <v xml:space="preserve">   Aplicação de biomanta</v>
      </c>
    </row>
    <row r="3305" spans="1:50" ht="19.350000000000001" customHeight="1" outlineLevel="1" collapsed="1">
      <c r="A3305" s="8" t="str">
        <f t="shared" ref="A3305" si="13494">IF(SUM(P3305:V3306)&gt;0,"S","N")</f>
        <v>N</v>
      </c>
      <c r="B3305" s="150">
        <v>1069371</v>
      </c>
      <c r="C3305" s="150" t="s">
        <v>3729</v>
      </c>
      <c r="D3305" s="120" t="s">
        <v>3730</v>
      </c>
      <c r="E3305" s="874" t="s">
        <v>3649</v>
      </c>
      <c r="F3305" s="876" t="s">
        <v>3210</v>
      </c>
      <c r="G3305" s="2"/>
      <c r="H3305" s="49" t="s">
        <v>37</v>
      </c>
      <c r="I3305" s="705">
        <v>0</v>
      </c>
      <c r="J3305" s="878" t="str">
        <f t="shared" ref="J3305" si="13495">IFERROR((I3306/I3305),"-")</f>
        <v>-</v>
      </c>
      <c r="K3305" s="2"/>
      <c r="L3305" s="49" t="s">
        <v>37</v>
      </c>
      <c r="M3305" s="705">
        <f t="shared" si="13436"/>
        <v>0</v>
      </c>
      <c r="N3305" s="878" t="str">
        <f t="shared" ref="N3305" si="13496">IFERROR((M3306/M3305),"-")</f>
        <v>-</v>
      </c>
      <c r="O3305" s="2"/>
      <c r="P3305" s="121">
        <v>0</v>
      </c>
      <c r="Q3305" s="121">
        <v>0</v>
      </c>
      <c r="R3305" s="121">
        <v>0</v>
      </c>
      <c r="S3305" s="121">
        <v>0</v>
      </c>
      <c r="T3305" s="121">
        <v>0</v>
      </c>
      <c r="U3305" s="121">
        <v>0</v>
      </c>
      <c r="V3305" s="126">
        <v>0</v>
      </c>
      <c r="W3305" s="2"/>
      <c r="X3305" s="705">
        <f t="shared" si="13428"/>
        <v>0</v>
      </c>
      <c r="Y3305" s="878" t="str">
        <f t="shared" ref="Y3305" si="13497">IFERROR((X3306/X3305),"-")</f>
        <v>-</v>
      </c>
      <c r="Z3305" s="2"/>
      <c r="AA3305" s="884">
        <v>0</v>
      </c>
      <c r="AB3305" s="884">
        <v>0</v>
      </c>
      <c r="AC3305" s="884">
        <v>0</v>
      </c>
      <c r="AD3305" s="878" t="str">
        <f t="shared" ref="AD3305" si="13498">IFERROR((AC3305/AA3305),"-")</f>
        <v>-</v>
      </c>
      <c r="AE3305" s="2"/>
      <c r="AF3305" s="884">
        <v>0</v>
      </c>
      <c r="AG3305" s="884"/>
      <c r="AH3305" s="884">
        <v>0</v>
      </c>
      <c r="AI3305" s="884"/>
      <c r="AJ3305" s="884"/>
      <c r="AK3305" s="884">
        <f t="shared" ref="AK3305" si="13499">AF3305+AG3305+AH3305+AI3305+AJ3305+AC3305</f>
        <v>0</v>
      </c>
      <c r="AL3305" s="884">
        <v>4394.88</v>
      </c>
      <c r="AM3305" s="878">
        <f t="shared" ref="AM3305" si="13500">IFERROR((AK3305/AL3305),"-")</f>
        <v>0</v>
      </c>
      <c r="AN3305" s="2"/>
      <c r="AO3305" s="884">
        <v>4394.88</v>
      </c>
      <c r="AP3305" s="884">
        <f t="shared" ref="AP3305" si="13501">AO3305-AK3305</f>
        <v>4394.88</v>
      </c>
      <c r="AU3305" s="4"/>
      <c r="AV3305" s="4" t="str">
        <f t="shared" si="13382"/>
        <v>Revegetação - Biomanta</v>
      </c>
      <c r="AW3305" s="4" t="str">
        <f t="shared" si="13373"/>
        <v xml:space="preserve">   Aplicação de biomanta</v>
      </c>
      <c r="AX3305" s="4"/>
    </row>
    <row r="3306" spans="1:50" ht="19.350000000000001" customHeight="1" outlineLevel="1">
      <c r="A3306" s="8" t="str">
        <f t="shared" ref="A3306" si="13502">A3305</f>
        <v>N</v>
      </c>
      <c r="B3306" s="150">
        <v>1069371</v>
      </c>
      <c r="C3306" s="150" t="s">
        <v>3729</v>
      </c>
      <c r="D3306" s="120" t="s">
        <v>3730</v>
      </c>
      <c r="E3306" s="875"/>
      <c r="F3306" s="877"/>
      <c r="G3306" s="2"/>
      <c r="H3306" s="50" t="s">
        <v>38</v>
      </c>
      <c r="I3306" s="705">
        <v>0</v>
      </c>
      <c r="J3306" s="879"/>
      <c r="K3306" s="2"/>
      <c r="L3306" s="50" t="s">
        <v>38</v>
      </c>
      <c r="M3306" s="705">
        <f t="shared" si="13436"/>
        <v>0</v>
      </c>
      <c r="N3306" s="879"/>
      <c r="O3306" s="2"/>
      <c r="P3306" s="126">
        <v>0</v>
      </c>
      <c r="Q3306" s="126">
        <v>0</v>
      </c>
      <c r="R3306" s="126">
        <v>0</v>
      </c>
      <c r="S3306" s="126">
        <v>0</v>
      </c>
      <c r="T3306" s="126">
        <v>0</v>
      </c>
      <c r="U3306" s="126">
        <v>0</v>
      </c>
      <c r="V3306" s="126"/>
      <c r="W3306" s="2"/>
      <c r="X3306" s="705">
        <f t="shared" si="13428"/>
        <v>0</v>
      </c>
      <c r="Y3306" s="879"/>
      <c r="Z3306" s="2"/>
      <c r="AA3306" s="885"/>
      <c r="AB3306" s="885"/>
      <c r="AC3306" s="885"/>
      <c r="AD3306" s="879"/>
      <c r="AE3306" s="2"/>
      <c r="AF3306" s="885"/>
      <c r="AG3306" s="885"/>
      <c r="AH3306" s="885"/>
      <c r="AI3306" s="885"/>
      <c r="AJ3306" s="885"/>
      <c r="AK3306" s="885"/>
      <c r="AL3306" s="885"/>
      <c r="AM3306" s="879"/>
      <c r="AN3306" s="2"/>
      <c r="AO3306" s="886"/>
      <c r="AP3306" s="886"/>
      <c r="AV3306" t="str">
        <f t="shared" si="13382"/>
        <v>Revegetação - Biomanta</v>
      </c>
      <c r="AW3306" s="4" t="str">
        <f t="shared" si="13373"/>
        <v xml:space="preserve">   Aplicação de biomanta</v>
      </c>
      <c r="AX3306" s="4"/>
    </row>
    <row r="3307" spans="1:50" ht="15" customHeight="1" outlineLevel="1" collapsed="1">
      <c r="A3307" s="209">
        <v>0</v>
      </c>
      <c r="B3307" s="150"/>
      <c r="C3307" s="150"/>
      <c r="D3307" s="117"/>
      <c r="E3307" s="3"/>
      <c r="F3307" s="59"/>
      <c r="G3307" s="3"/>
      <c r="I3307" s="57"/>
      <c r="K3307" s="3"/>
      <c r="M3307" s="57"/>
      <c r="O3307" s="3"/>
      <c r="P3307" s="119"/>
      <c r="Q3307" s="119"/>
      <c r="R3307" s="119"/>
      <c r="S3307" s="119"/>
      <c r="T3307" s="119"/>
      <c r="U3307" s="119"/>
      <c r="V3307" s="119"/>
      <c r="W3307" s="3"/>
      <c r="X3307" s="37"/>
      <c r="Y3307" s="3"/>
      <c r="Z3307" s="3"/>
      <c r="AA3307" s="36"/>
      <c r="AB3307" s="36"/>
      <c r="AC3307" s="35"/>
      <c r="AD3307" s="3"/>
      <c r="AE3307" s="3"/>
      <c r="AF3307" s="36"/>
      <c r="AG3307" s="36"/>
      <c r="AH3307" s="36"/>
      <c r="AI3307" s="36"/>
      <c r="AJ3307" s="36"/>
      <c r="AK3307" s="36"/>
      <c r="AL3307" s="36"/>
      <c r="AM3307" s="3"/>
      <c r="AN3307" s="3"/>
      <c r="AO3307" s="36"/>
      <c r="AP3307" s="36"/>
      <c r="AV3307" t="str">
        <f t="shared" si="13382"/>
        <v>Revegetação - Biomanta</v>
      </c>
      <c r="AW3307" s="4" t="str">
        <f t="shared" si="13373"/>
        <v xml:space="preserve">   Aplicação de biomanta</v>
      </c>
      <c r="AX3307" s="4"/>
    </row>
    <row r="3308" spans="1:50" ht="14.45" customHeight="1" outlineLevel="1">
      <c r="A3308" s="209">
        <v>0</v>
      </c>
      <c r="B3308" s="150"/>
      <c r="C3308" s="150"/>
      <c r="D3308" s="117"/>
      <c r="E3308" s="3"/>
      <c r="F3308" s="92"/>
      <c r="G3308" s="3"/>
      <c r="H3308" s="3"/>
      <c r="I3308" s="35"/>
      <c r="J3308" s="3"/>
      <c r="K3308" s="3"/>
      <c r="L3308" s="3"/>
      <c r="M3308" s="35"/>
      <c r="N3308" s="3"/>
      <c r="O3308" s="3"/>
      <c r="P3308" s="119"/>
      <c r="Q3308" s="119"/>
      <c r="R3308" s="119"/>
      <c r="S3308" s="119"/>
      <c r="T3308" s="119"/>
      <c r="U3308" s="119"/>
      <c r="V3308" s="119"/>
      <c r="W3308" s="3"/>
      <c r="X3308" s="37"/>
      <c r="Y3308" s="3"/>
      <c r="Z3308" s="3"/>
      <c r="AA3308" s="35"/>
      <c r="AB3308" s="35"/>
      <c r="AC3308" s="35"/>
      <c r="AD3308" s="3"/>
      <c r="AE3308" s="3"/>
      <c r="AF3308" s="35"/>
      <c r="AG3308" s="35"/>
      <c r="AH3308" s="35"/>
      <c r="AI3308" s="35"/>
      <c r="AJ3308" s="35"/>
      <c r="AK3308" s="35"/>
      <c r="AL3308" s="35"/>
      <c r="AM3308" s="3"/>
      <c r="AN3308" s="3"/>
      <c r="AO3308" s="35"/>
      <c r="AP3308" s="35"/>
      <c r="AV3308" t="str">
        <f t="shared" si="13382"/>
        <v>Revegetação - Biomanta</v>
      </c>
      <c r="AW3308" s="4" t="str">
        <f t="shared" si="13373"/>
        <v xml:space="preserve">   Aplicação de biomanta</v>
      </c>
      <c r="AX3308" s="4"/>
    </row>
    <row r="3309" spans="1:50" ht="15" customHeight="1" outlineLevel="1" collapsed="1">
      <c r="A3309" s="209">
        <v>0</v>
      </c>
      <c r="B3309" s="150"/>
      <c r="C3309" s="150"/>
      <c r="D3309" s="122"/>
      <c r="E3309" s="739" t="s">
        <v>45</v>
      </c>
      <c r="F3309" s="887" t="s">
        <v>52</v>
      </c>
      <c r="G3309" s="2"/>
      <c r="H3309" s="53" t="s">
        <v>37</v>
      </c>
      <c r="I3309" s="52">
        <f>SUMIF($L3311:$L3322,$L3309,I3311:I3322)</f>
        <v>0</v>
      </c>
      <c r="J3309" s="743" t="str">
        <f>IFERROR((I3310/I3309),"-")</f>
        <v>-</v>
      </c>
      <c r="K3309" s="2"/>
      <c r="L3309" s="53" t="s">
        <v>37</v>
      </c>
      <c r="M3309" s="52">
        <f>SUMIF($L3311:$L3322,$L3309,M3311:M3322)</f>
        <v>0</v>
      </c>
      <c r="N3309" s="743" t="str">
        <f>IFERROR((M3310/M3309),"-")</f>
        <v>-</v>
      </c>
      <c r="O3309" s="2"/>
      <c r="P3309" s="52">
        <f t="shared" ref="P3309:U3309" si="13503">SUMIF($L3311:$L3322,$L3309,P3311:P3322)</f>
        <v>0</v>
      </c>
      <c r="Q3309" s="52">
        <f t="shared" si="13503"/>
        <v>0</v>
      </c>
      <c r="R3309" s="52">
        <f t="shared" si="13503"/>
        <v>0</v>
      </c>
      <c r="S3309" s="52">
        <f t="shared" si="13503"/>
        <v>0</v>
      </c>
      <c r="T3309" s="52">
        <f t="shared" si="13503"/>
        <v>0</v>
      </c>
      <c r="U3309" s="52">
        <f t="shared" si="13503"/>
        <v>0</v>
      </c>
      <c r="V3309" s="127"/>
      <c r="W3309" s="2"/>
      <c r="X3309" s="52">
        <f t="shared" ref="X3309:X3322" si="13504">SUMIFS(P3309:V3309,$P$8:$V$8,"&gt;="&amp;$P$8,$P$8:$V$8,"&lt;="&amp;$N$8)</f>
        <v>0</v>
      </c>
      <c r="Y3309" s="743" t="str">
        <f>IFERROR((X3310/X3309),"-")</f>
        <v>-</v>
      </c>
      <c r="Z3309" s="2"/>
      <c r="AA3309" s="888">
        <f>SUM(AA3311:AA3322)</f>
        <v>0</v>
      </c>
      <c r="AB3309" s="888">
        <f>SUM(AB3311:AB3322)</f>
        <v>0</v>
      </c>
      <c r="AC3309" s="888">
        <f>SUM(AC3311:AC3322)</f>
        <v>0</v>
      </c>
      <c r="AD3309" s="890" t="str">
        <f>IFERROR((AC3309/AA3309),"-")</f>
        <v>-</v>
      </c>
      <c r="AE3309" s="2"/>
      <c r="AF3309" s="888">
        <f t="shared" ref="AF3309" si="13505">SUM(AF3311:AF3322)</f>
        <v>0</v>
      </c>
      <c r="AG3309" s="888">
        <f t="shared" ref="AG3309:AL3309" si="13506">SUM(AG3311:AG3322)</f>
        <v>0</v>
      </c>
      <c r="AH3309" s="888">
        <f t="shared" si="13506"/>
        <v>0</v>
      </c>
      <c r="AI3309" s="888">
        <f t="shared" si="13506"/>
        <v>0</v>
      </c>
      <c r="AJ3309" s="888"/>
      <c r="AK3309" s="888">
        <f t="shared" si="13506"/>
        <v>0</v>
      </c>
      <c r="AL3309" s="888">
        <f t="shared" si="13506"/>
        <v>123044.15</v>
      </c>
      <c r="AM3309" s="743">
        <f>IFERROR((AK3309/AL3309),"-")</f>
        <v>0</v>
      </c>
      <c r="AN3309" s="2"/>
      <c r="AO3309" s="888">
        <f>SUM(AO3311:AO3322)</f>
        <v>123044.15</v>
      </c>
      <c r="AP3309" s="888">
        <f>SUM(AP3311:AP3322)</f>
        <v>123044.15</v>
      </c>
      <c r="AV3309" t="str">
        <f t="shared" si="13382"/>
        <v>Revegetação - Biomanta</v>
      </c>
      <c r="AW3309" s="4" t="str">
        <f t="shared" si="13373"/>
        <v>Pacote 05 - Segmento 3.1 - 153+000 a 167+400</v>
      </c>
    </row>
    <row r="3310" spans="1:50" ht="14.45" customHeight="1" outlineLevel="1">
      <c r="A3310" s="209">
        <v>0</v>
      </c>
      <c r="B3310" s="150"/>
      <c r="C3310" s="150"/>
      <c r="D3310" s="123"/>
      <c r="E3310" s="739"/>
      <c r="F3310" s="887"/>
      <c r="G3310" s="2"/>
      <c r="H3310" s="54" t="s">
        <v>38</v>
      </c>
      <c r="I3310" s="52">
        <f>SUMIF($L3311:$L3322,$L3310,I3311:I3322)</f>
        <v>0</v>
      </c>
      <c r="J3310" s="744"/>
      <c r="K3310" s="2"/>
      <c r="L3310" s="54" t="s">
        <v>38</v>
      </c>
      <c r="M3310" s="52">
        <f>SUMIF($L3311:$L3322,$L3310,M3311:M3322)</f>
        <v>0</v>
      </c>
      <c r="N3310" s="744"/>
      <c r="O3310" s="2"/>
      <c r="P3310" s="52">
        <f t="shared" ref="P3310:U3310" si="13507">SUMIF($L3311:$L3322,$L3310,P3311:P3322)</f>
        <v>0</v>
      </c>
      <c r="Q3310" s="52">
        <f t="shared" si="13507"/>
        <v>0</v>
      </c>
      <c r="R3310" s="52">
        <f t="shared" si="13507"/>
        <v>0</v>
      </c>
      <c r="S3310" s="52">
        <f t="shared" si="13507"/>
        <v>0</v>
      </c>
      <c r="T3310" s="52">
        <f t="shared" si="13507"/>
        <v>0</v>
      </c>
      <c r="U3310" s="52">
        <f t="shared" si="13507"/>
        <v>0</v>
      </c>
      <c r="V3310" s="127"/>
      <c r="W3310" s="2"/>
      <c r="X3310" s="52">
        <f t="shared" si="13504"/>
        <v>0</v>
      </c>
      <c r="Y3310" s="744"/>
      <c r="Z3310" s="2"/>
      <c r="AA3310" s="889"/>
      <c r="AB3310" s="889"/>
      <c r="AC3310" s="889"/>
      <c r="AD3310" s="891"/>
      <c r="AE3310" s="2"/>
      <c r="AF3310" s="889"/>
      <c r="AG3310" s="889"/>
      <c r="AH3310" s="889"/>
      <c r="AI3310" s="889"/>
      <c r="AJ3310" s="889"/>
      <c r="AK3310" s="889"/>
      <c r="AL3310" s="889"/>
      <c r="AM3310" s="744"/>
      <c r="AN3310" s="2"/>
      <c r="AO3310" s="888"/>
      <c r="AP3310" s="888"/>
      <c r="AV3310" t="str">
        <f t="shared" si="13382"/>
        <v>Revegetação - Biomanta</v>
      </c>
      <c r="AW3310" s="4" t="str">
        <f t="shared" si="13373"/>
        <v>Pacote 05 - Segmento 3.1 - 153+000 a 167+400</v>
      </c>
    </row>
    <row r="3311" spans="1:50" ht="32.25" customHeight="1" outlineLevel="1" collapsed="1">
      <c r="A3311" s="8" t="str">
        <f t="shared" ref="A3311" si="13508">IF(SUM(P3311:V3312)&gt;0,"S","N")</f>
        <v>N</v>
      </c>
      <c r="B3311" s="150">
        <v>1069372</v>
      </c>
      <c r="C3311" s="150" t="s">
        <v>3731</v>
      </c>
      <c r="D3311" s="120" t="s">
        <v>3732</v>
      </c>
      <c r="E3311" s="874" t="s">
        <v>3649</v>
      </c>
      <c r="F3311" s="876" t="s">
        <v>3210</v>
      </c>
      <c r="G3311" s="2"/>
      <c r="H3311" s="49" t="s">
        <v>37</v>
      </c>
      <c r="I3311" s="705">
        <v>0</v>
      </c>
      <c r="J3311" s="878" t="str">
        <f t="shared" ref="J3311" si="13509">IFERROR((I3312/I3311),"-")</f>
        <v>-</v>
      </c>
      <c r="K3311" s="2"/>
      <c r="L3311" s="49" t="s">
        <v>37</v>
      </c>
      <c r="M3311" s="705">
        <f t="shared" ref="M3311:M3322" si="13510">_xlfn.XLOOKUP($N$8,$P$8:$V$8,$P3311:$V3311)</f>
        <v>0</v>
      </c>
      <c r="N3311" s="878" t="str">
        <f t="shared" ref="N3311" si="13511">IFERROR((M3312/M3311),"-")</f>
        <v>-</v>
      </c>
      <c r="O3311" s="2"/>
      <c r="P3311" s="126">
        <v>0</v>
      </c>
      <c r="Q3311" s="126">
        <v>0</v>
      </c>
      <c r="R3311" s="126">
        <v>0</v>
      </c>
      <c r="S3311" s="126">
        <v>0</v>
      </c>
      <c r="T3311" s="126">
        <v>0</v>
      </c>
      <c r="U3311" s="126">
        <v>0</v>
      </c>
      <c r="V3311" s="126">
        <v>0</v>
      </c>
      <c r="W3311" s="2"/>
      <c r="X3311" s="705">
        <f t="shared" si="13504"/>
        <v>0</v>
      </c>
      <c r="Y3311" s="878" t="str">
        <f t="shared" ref="Y3311" si="13512">IFERROR((X3312/X3311),"-")</f>
        <v>-</v>
      </c>
      <c r="Z3311" s="2"/>
      <c r="AA3311" s="884">
        <v>0</v>
      </c>
      <c r="AB3311" s="884">
        <v>0</v>
      </c>
      <c r="AC3311" s="884">
        <v>0</v>
      </c>
      <c r="AD3311" s="878" t="str">
        <f>IFERROR((AC3311/AA3311),"-")</f>
        <v>-</v>
      </c>
      <c r="AE3311" s="2"/>
      <c r="AF3311" s="884">
        <v>0</v>
      </c>
      <c r="AG3311" s="884"/>
      <c r="AH3311" s="884">
        <v>0</v>
      </c>
      <c r="AI3311" s="884"/>
      <c r="AJ3311" s="884"/>
      <c r="AK3311" s="884">
        <f t="shared" ref="AK3311" si="13513">AF3311+AG3311+AH3311+AI3311+AJ3311+AC3311</f>
        <v>0</v>
      </c>
      <c r="AL3311" s="884">
        <v>756.2</v>
      </c>
      <c r="AM3311" s="878">
        <f t="shared" ref="AM3311" si="13514">IFERROR((AK3311/AL3311),"-")</f>
        <v>0</v>
      </c>
      <c r="AN3311" s="2"/>
      <c r="AO3311" s="884">
        <v>756.2</v>
      </c>
      <c r="AP3311" s="884">
        <f t="shared" ref="AP3311" si="13515">AO3311-AK3311</f>
        <v>756.2</v>
      </c>
      <c r="AV3311" s="4" t="str">
        <f t="shared" si="13382"/>
        <v>Revegetação - Biomanta</v>
      </c>
      <c r="AW3311" s="4" t="str">
        <f t="shared" si="13373"/>
        <v xml:space="preserve">   Aplicação de biomanta</v>
      </c>
      <c r="AX3311" s="4"/>
    </row>
    <row r="3312" spans="1:50" ht="32.25" customHeight="1" outlineLevel="1">
      <c r="A3312" s="8" t="str">
        <f t="shared" ref="A3312" si="13516">A3311</f>
        <v>N</v>
      </c>
      <c r="B3312" s="150">
        <v>1069372</v>
      </c>
      <c r="C3312" s="150"/>
      <c r="D3312" s="120" t="s">
        <v>3732</v>
      </c>
      <c r="E3312" s="875"/>
      <c r="F3312" s="877"/>
      <c r="G3312" s="2"/>
      <c r="H3312" s="50" t="s">
        <v>38</v>
      </c>
      <c r="I3312" s="705">
        <v>0</v>
      </c>
      <c r="J3312" s="879"/>
      <c r="K3312" s="2"/>
      <c r="L3312" s="50" t="s">
        <v>38</v>
      </c>
      <c r="M3312" s="705">
        <f t="shared" si="13510"/>
        <v>0</v>
      </c>
      <c r="N3312" s="879"/>
      <c r="O3312" s="2"/>
      <c r="P3312" s="121">
        <v>0</v>
      </c>
      <c r="Q3312" s="121">
        <v>0</v>
      </c>
      <c r="R3312" s="121">
        <v>0</v>
      </c>
      <c r="S3312" s="121">
        <v>0</v>
      </c>
      <c r="T3312" s="121"/>
      <c r="U3312" s="121">
        <v>0</v>
      </c>
      <c r="V3312" s="126"/>
      <c r="W3312" s="2"/>
      <c r="X3312" s="705">
        <f t="shared" si="13504"/>
        <v>0</v>
      </c>
      <c r="Y3312" s="879"/>
      <c r="Z3312" s="2"/>
      <c r="AA3312" s="885"/>
      <c r="AB3312" s="885"/>
      <c r="AC3312" s="885"/>
      <c r="AD3312" s="879"/>
      <c r="AE3312" s="2"/>
      <c r="AF3312" s="885"/>
      <c r="AG3312" s="885"/>
      <c r="AH3312" s="885"/>
      <c r="AI3312" s="885"/>
      <c r="AJ3312" s="885"/>
      <c r="AK3312" s="885"/>
      <c r="AL3312" s="885"/>
      <c r="AM3312" s="879"/>
      <c r="AN3312" s="2"/>
      <c r="AO3312" s="886"/>
      <c r="AP3312" s="886"/>
      <c r="AV3312" t="str">
        <f t="shared" si="13382"/>
        <v>Revegetação - Biomanta</v>
      </c>
      <c r="AW3312" s="4" t="str">
        <f t="shared" si="13373"/>
        <v xml:space="preserve">   Aplicação de biomanta</v>
      </c>
    </row>
    <row r="3313" spans="1:52" ht="15" customHeight="1" outlineLevel="1" collapsed="1">
      <c r="A3313" s="8" t="str">
        <f t="shared" ref="A3313" si="13517">IF(SUM(P3313:V3314)&gt;0,"S","N")</f>
        <v>N</v>
      </c>
      <c r="B3313" s="150">
        <v>1069373</v>
      </c>
      <c r="C3313" s="150" t="s">
        <v>3733</v>
      </c>
      <c r="D3313" s="120" t="s">
        <v>3734</v>
      </c>
      <c r="E3313" s="874" t="s">
        <v>3649</v>
      </c>
      <c r="F3313" s="876" t="s">
        <v>3210</v>
      </c>
      <c r="G3313" s="2"/>
      <c r="H3313" s="49" t="s">
        <v>37</v>
      </c>
      <c r="I3313" s="705">
        <v>0</v>
      </c>
      <c r="J3313" s="878" t="str">
        <f t="shared" ref="J3313" si="13518">IFERROR((I3314/I3313),"-")</f>
        <v>-</v>
      </c>
      <c r="K3313" s="2"/>
      <c r="L3313" s="49" t="s">
        <v>37</v>
      </c>
      <c r="M3313" s="705">
        <f t="shared" si="13510"/>
        <v>0</v>
      </c>
      <c r="N3313" s="878" t="str">
        <f t="shared" ref="N3313" si="13519">IFERROR((M3314/M3313),"-")</f>
        <v>-</v>
      </c>
      <c r="O3313" s="2"/>
      <c r="P3313" s="126">
        <v>0</v>
      </c>
      <c r="Q3313" s="126">
        <v>0</v>
      </c>
      <c r="R3313" s="126">
        <v>0</v>
      </c>
      <c r="S3313" s="126">
        <v>0</v>
      </c>
      <c r="T3313" s="126">
        <v>0</v>
      </c>
      <c r="U3313" s="126">
        <v>0</v>
      </c>
      <c r="V3313" s="126">
        <v>0</v>
      </c>
      <c r="W3313" s="2"/>
      <c r="X3313" s="705">
        <f t="shared" si="13504"/>
        <v>0</v>
      </c>
      <c r="Y3313" s="878" t="str">
        <f t="shared" ref="Y3313" si="13520">IFERROR((X3314/X3313),"-")</f>
        <v>-</v>
      </c>
      <c r="Z3313" s="2"/>
      <c r="AA3313" s="884">
        <v>0</v>
      </c>
      <c r="AB3313" s="884">
        <v>0</v>
      </c>
      <c r="AC3313" s="884">
        <v>0</v>
      </c>
      <c r="AD3313" s="878" t="str">
        <f t="shared" ref="AD3313" si="13521">IFERROR((AC3313/AA3313),"-")</f>
        <v>-</v>
      </c>
      <c r="AE3313" s="2"/>
      <c r="AF3313" s="884">
        <v>0</v>
      </c>
      <c r="AG3313" s="884"/>
      <c r="AH3313" s="884">
        <v>0</v>
      </c>
      <c r="AI3313" s="884"/>
      <c r="AJ3313" s="884"/>
      <c r="AK3313" s="884">
        <f t="shared" ref="AK3313" si="13522">AF3313+AG3313+AH3313+AI3313+AJ3313+AC3313</f>
        <v>0</v>
      </c>
      <c r="AL3313" s="884">
        <v>43202.76</v>
      </c>
      <c r="AM3313" s="878">
        <f t="shared" ref="AM3313" si="13523">IFERROR((AK3313/AL3313),"-")</f>
        <v>0</v>
      </c>
      <c r="AN3313" s="2"/>
      <c r="AO3313" s="884">
        <v>43202.76</v>
      </c>
      <c r="AP3313" s="884">
        <f t="shared" ref="AP3313" si="13524">AO3313-AK3313</f>
        <v>43202.76</v>
      </c>
      <c r="AV3313" t="str">
        <f t="shared" si="13382"/>
        <v>Revegetação - Biomanta</v>
      </c>
      <c r="AW3313" s="4" t="str">
        <f t="shared" si="13373"/>
        <v xml:space="preserve">   Aplicação de biomanta</v>
      </c>
    </row>
    <row r="3314" spans="1:52" ht="14.45" customHeight="1" outlineLevel="1">
      <c r="A3314" s="8" t="str">
        <f t="shared" ref="A3314" si="13525">A3313</f>
        <v>N</v>
      </c>
      <c r="B3314" s="150">
        <v>1069373</v>
      </c>
      <c r="C3314" s="150"/>
      <c r="D3314" s="120" t="s">
        <v>3734</v>
      </c>
      <c r="E3314" s="875"/>
      <c r="F3314" s="877"/>
      <c r="G3314" s="2"/>
      <c r="H3314" s="50" t="s">
        <v>38</v>
      </c>
      <c r="I3314" s="705">
        <v>0</v>
      </c>
      <c r="J3314" s="879"/>
      <c r="K3314" s="2"/>
      <c r="L3314" s="50" t="s">
        <v>38</v>
      </c>
      <c r="M3314" s="705">
        <f t="shared" si="13510"/>
        <v>0</v>
      </c>
      <c r="N3314" s="879"/>
      <c r="O3314" s="2"/>
      <c r="P3314" s="126">
        <v>0</v>
      </c>
      <c r="Q3314" s="126">
        <v>0</v>
      </c>
      <c r="R3314" s="126">
        <v>0</v>
      </c>
      <c r="S3314" s="126">
        <v>0</v>
      </c>
      <c r="T3314" s="126">
        <v>0</v>
      </c>
      <c r="U3314" s="126">
        <v>0</v>
      </c>
      <c r="V3314" s="126"/>
      <c r="W3314" s="2"/>
      <c r="X3314" s="705">
        <f t="shared" si="13504"/>
        <v>0</v>
      </c>
      <c r="Y3314" s="879"/>
      <c r="Z3314" s="2"/>
      <c r="AA3314" s="885"/>
      <c r="AB3314" s="885"/>
      <c r="AC3314" s="885"/>
      <c r="AD3314" s="879"/>
      <c r="AE3314" s="2"/>
      <c r="AF3314" s="885"/>
      <c r="AG3314" s="885"/>
      <c r="AH3314" s="885"/>
      <c r="AI3314" s="885"/>
      <c r="AJ3314" s="885"/>
      <c r="AK3314" s="885"/>
      <c r="AL3314" s="885"/>
      <c r="AM3314" s="879"/>
      <c r="AN3314" s="2"/>
      <c r="AO3314" s="886"/>
      <c r="AP3314" s="886"/>
      <c r="AV3314" t="str">
        <f t="shared" si="13382"/>
        <v>Revegetação - Biomanta</v>
      </c>
      <c r="AW3314" s="4" t="str">
        <f t="shared" si="13373"/>
        <v xml:space="preserve">   Aplicação de biomanta</v>
      </c>
    </row>
    <row r="3315" spans="1:52" ht="15" customHeight="1" outlineLevel="1" collapsed="1">
      <c r="A3315" s="8" t="str">
        <f t="shared" ref="A3315" si="13526">IF(SUM(P3315:V3316)&gt;0,"S","N")</f>
        <v>N</v>
      </c>
      <c r="B3315" s="150">
        <v>1069374</v>
      </c>
      <c r="C3315" s="150" t="s">
        <v>3735</v>
      </c>
      <c r="D3315" s="120" t="s">
        <v>3736</v>
      </c>
      <c r="E3315" s="874" t="s">
        <v>3649</v>
      </c>
      <c r="F3315" s="876" t="s">
        <v>3210</v>
      </c>
      <c r="G3315" s="2"/>
      <c r="H3315" s="49" t="s">
        <v>37</v>
      </c>
      <c r="I3315" s="705">
        <v>0</v>
      </c>
      <c r="J3315" s="878" t="str">
        <f t="shared" ref="J3315" si="13527">IFERROR((I3316/I3315),"-")</f>
        <v>-</v>
      </c>
      <c r="K3315" s="2"/>
      <c r="L3315" s="49" t="s">
        <v>37</v>
      </c>
      <c r="M3315" s="705">
        <f t="shared" si="13510"/>
        <v>0</v>
      </c>
      <c r="N3315" s="878" t="str">
        <f t="shared" ref="N3315" si="13528">IFERROR((M3316/M3315),"-")</f>
        <v>-</v>
      </c>
      <c r="O3315" s="2"/>
      <c r="P3315" s="121">
        <v>0</v>
      </c>
      <c r="Q3315" s="121">
        <v>0</v>
      </c>
      <c r="R3315" s="121">
        <v>0</v>
      </c>
      <c r="S3315" s="121">
        <v>0</v>
      </c>
      <c r="T3315" s="121">
        <v>0</v>
      </c>
      <c r="U3315" s="121">
        <v>0</v>
      </c>
      <c r="V3315" s="126">
        <v>0</v>
      </c>
      <c r="W3315" s="2"/>
      <c r="X3315" s="705">
        <f t="shared" si="13504"/>
        <v>0</v>
      </c>
      <c r="Y3315" s="878" t="str">
        <f t="shared" ref="Y3315" si="13529">IFERROR((X3316/X3315),"-")</f>
        <v>-</v>
      </c>
      <c r="Z3315" s="2"/>
      <c r="AA3315" s="884">
        <v>0</v>
      </c>
      <c r="AB3315" s="884">
        <v>0</v>
      </c>
      <c r="AC3315" s="884">
        <v>0</v>
      </c>
      <c r="AD3315" s="878" t="str">
        <f t="shared" ref="AD3315" si="13530">IFERROR((AC3315/AA3315),"-")</f>
        <v>-</v>
      </c>
      <c r="AE3315" s="2"/>
      <c r="AF3315" s="884">
        <v>0</v>
      </c>
      <c r="AG3315" s="884"/>
      <c r="AH3315" s="884">
        <v>0</v>
      </c>
      <c r="AI3315" s="884"/>
      <c r="AJ3315" s="884"/>
      <c r="AK3315" s="884">
        <f t="shared" ref="AK3315" si="13531">AF3315+AG3315+AH3315+AI3315+AJ3315+AC3315</f>
        <v>0</v>
      </c>
      <c r="AL3315" s="884">
        <v>6941.69</v>
      </c>
      <c r="AM3315" s="878">
        <f t="shared" ref="AM3315" si="13532">IFERROR((AK3315/AL3315),"-")</f>
        <v>0</v>
      </c>
      <c r="AN3315" s="2"/>
      <c r="AO3315" s="884">
        <v>6941.69</v>
      </c>
      <c r="AP3315" s="884">
        <f t="shared" ref="AP3315" si="13533">AO3315-AK3315</f>
        <v>6941.69</v>
      </c>
      <c r="AV3315" s="4" t="str">
        <f t="shared" si="13382"/>
        <v>Revegetação - Biomanta</v>
      </c>
      <c r="AW3315" s="4" t="str">
        <f t="shared" si="13373"/>
        <v xml:space="preserve">   Aplicação de biomanta</v>
      </c>
      <c r="AX3315" s="4"/>
    </row>
    <row r="3316" spans="1:52" ht="14.45" customHeight="1" outlineLevel="1">
      <c r="A3316" s="8" t="str">
        <f t="shared" ref="A3316" si="13534">A3315</f>
        <v>N</v>
      </c>
      <c r="B3316" s="150">
        <v>1069374</v>
      </c>
      <c r="C3316" s="150"/>
      <c r="D3316" s="120" t="s">
        <v>3736</v>
      </c>
      <c r="E3316" s="875"/>
      <c r="F3316" s="877"/>
      <c r="G3316" s="2"/>
      <c r="H3316" s="50" t="s">
        <v>38</v>
      </c>
      <c r="I3316" s="705">
        <v>0</v>
      </c>
      <c r="J3316" s="879"/>
      <c r="K3316" s="2"/>
      <c r="L3316" s="50" t="s">
        <v>38</v>
      </c>
      <c r="M3316" s="705">
        <f t="shared" si="13510"/>
        <v>0</v>
      </c>
      <c r="N3316" s="879"/>
      <c r="O3316" s="2"/>
      <c r="P3316" s="126">
        <v>0</v>
      </c>
      <c r="Q3316" s="126">
        <v>0</v>
      </c>
      <c r="R3316" s="126">
        <v>0</v>
      </c>
      <c r="S3316" s="126">
        <v>0</v>
      </c>
      <c r="T3316" s="126">
        <v>0</v>
      </c>
      <c r="U3316" s="126">
        <v>0</v>
      </c>
      <c r="V3316" s="126"/>
      <c r="W3316" s="2"/>
      <c r="X3316" s="705">
        <f t="shared" si="13504"/>
        <v>0</v>
      </c>
      <c r="Y3316" s="879"/>
      <c r="Z3316" s="2"/>
      <c r="AA3316" s="885"/>
      <c r="AB3316" s="885"/>
      <c r="AC3316" s="885"/>
      <c r="AD3316" s="879"/>
      <c r="AE3316" s="2"/>
      <c r="AF3316" s="885"/>
      <c r="AG3316" s="885"/>
      <c r="AH3316" s="885"/>
      <c r="AI3316" s="885"/>
      <c r="AJ3316" s="885"/>
      <c r="AK3316" s="885"/>
      <c r="AL3316" s="885"/>
      <c r="AM3316" s="879"/>
      <c r="AN3316" s="2"/>
      <c r="AO3316" s="886"/>
      <c r="AP3316" s="886"/>
      <c r="AV3316" s="4" t="str">
        <f t="shared" si="13382"/>
        <v>Revegetação - Biomanta</v>
      </c>
      <c r="AW3316" s="4" t="str">
        <f t="shared" si="13373"/>
        <v xml:space="preserve">   Aplicação de biomanta</v>
      </c>
      <c r="AX3316" s="4"/>
    </row>
    <row r="3317" spans="1:52" ht="32.25" customHeight="1" outlineLevel="1">
      <c r="A3317" s="8" t="str">
        <f t="shared" ref="A3317" si="13535">IF(SUM(P3317:V3318)&gt;0,"S","N")</f>
        <v>N</v>
      </c>
      <c r="B3317" s="150">
        <v>1069375</v>
      </c>
      <c r="C3317" s="150" t="s">
        <v>3737</v>
      </c>
      <c r="D3317" s="120" t="s">
        <v>3738</v>
      </c>
      <c r="E3317" s="874" t="s">
        <v>3649</v>
      </c>
      <c r="F3317" s="876" t="s">
        <v>3210</v>
      </c>
      <c r="G3317" s="2"/>
      <c r="H3317" s="49" t="s">
        <v>37</v>
      </c>
      <c r="I3317" s="705">
        <v>0</v>
      </c>
      <c r="J3317" s="878" t="str">
        <f t="shared" ref="J3317" si="13536">IFERROR((I3318/I3317),"-")</f>
        <v>-</v>
      </c>
      <c r="K3317" s="2"/>
      <c r="L3317" s="49" t="s">
        <v>37</v>
      </c>
      <c r="M3317" s="705">
        <f t="shared" si="13510"/>
        <v>0</v>
      </c>
      <c r="N3317" s="878" t="str">
        <f t="shared" ref="N3317" si="13537">IFERROR((M3318/M3317),"-")</f>
        <v>-</v>
      </c>
      <c r="O3317" s="2"/>
      <c r="P3317" s="126">
        <v>0</v>
      </c>
      <c r="Q3317" s="126">
        <v>0</v>
      </c>
      <c r="R3317" s="126">
        <v>0</v>
      </c>
      <c r="S3317" s="126">
        <v>0</v>
      </c>
      <c r="T3317" s="126">
        <v>0</v>
      </c>
      <c r="U3317" s="126">
        <v>0</v>
      </c>
      <c r="V3317" s="126">
        <v>0</v>
      </c>
      <c r="W3317" s="2"/>
      <c r="X3317" s="705">
        <f t="shared" si="13504"/>
        <v>0</v>
      </c>
      <c r="Y3317" s="878" t="str">
        <f t="shared" ref="Y3317" si="13538">IFERROR((X3318/X3317),"-")</f>
        <v>-</v>
      </c>
      <c r="Z3317" s="2"/>
      <c r="AA3317" s="884">
        <v>0</v>
      </c>
      <c r="AB3317" s="884">
        <v>0</v>
      </c>
      <c r="AC3317" s="884">
        <v>0</v>
      </c>
      <c r="AD3317" s="878" t="str">
        <f t="shared" ref="AD3317" si="13539">IFERROR((AC3317/AA3317),"-")</f>
        <v>-</v>
      </c>
      <c r="AE3317" s="2"/>
      <c r="AF3317" s="884">
        <v>0</v>
      </c>
      <c r="AG3317" s="884"/>
      <c r="AH3317" s="884">
        <v>0</v>
      </c>
      <c r="AI3317" s="884"/>
      <c r="AJ3317" s="884"/>
      <c r="AK3317" s="884">
        <f t="shared" ref="AK3317" si="13540">AF3317+AG3317+AH3317+AI3317+AJ3317+AC3317</f>
        <v>0</v>
      </c>
      <c r="AL3317" s="884">
        <v>29006.37</v>
      </c>
      <c r="AM3317" s="878">
        <f t="shared" ref="AM3317" si="13541">IFERROR((AK3317/AL3317),"-")</f>
        <v>0</v>
      </c>
      <c r="AN3317" s="2"/>
      <c r="AO3317" s="884">
        <v>29006.38</v>
      </c>
      <c r="AP3317" s="884">
        <f t="shared" ref="AP3317" si="13542">AO3317-AK3317</f>
        <v>29006.38</v>
      </c>
      <c r="AV3317" s="4" t="str">
        <f t="shared" si="13382"/>
        <v>Revegetação - Biomanta</v>
      </c>
      <c r="AW3317" s="4" t="str">
        <f t="shared" si="13373"/>
        <v xml:space="preserve">   Aplicação de biomanta</v>
      </c>
      <c r="AX3317" s="4"/>
    </row>
    <row r="3318" spans="1:52" ht="32.25" customHeight="1">
      <c r="A3318" s="8" t="str">
        <f t="shared" ref="A3318" si="13543">A3317</f>
        <v>N</v>
      </c>
      <c r="B3318" s="150">
        <v>1069375</v>
      </c>
      <c r="C3318" s="150"/>
      <c r="D3318" s="120" t="s">
        <v>3738</v>
      </c>
      <c r="E3318" s="875"/>
      <c r="F3318" s="877"/>
      <c r="G3318" s="2"/>
      <c r="H3318" s="50" t="s">
        <v>38</v>
      </c>
      <c r="I3318" s="705">
        <v>0</v>
      </c>
      <c r="J3318" s="879"/>
      <c r="K3318" s="2"/>
      <c r="L3318" s="50" t="s">
        <v>38</v>
      </c>
      <c r="M3318" s="705">
        <f t="shared" si="13510"/>
        <v>0</v>
      </c>
      <c r="N3318" s="879"/>
      <c r="O3318" s="2"/>
      <c r="P3318" s="121">
        <v>0</v>
      </c>
      <c r="Q3318" s="121">
        <v>0</v>
      </c>
      <c r="R3318" s="121">
        <v>0</v>
      </c>
      <c r="S3318" s="121">
        <v>0</v>
      </c>
      <c r="T3318" s="121">
        <v>0</v>
      </c>
      <c r="U3318" s="121">
        <v>0</v>
      </c>
      <c r="V3318" s="126"/>
      <c r="W3318" s="2"/>
      <c r="X3318" s="705">
        <f t="shared" si="13504"/>
        <v>0</v>
      </c>
      <c r="Y3318" s="879"/>
      <c r="Z3318" s="2"/>
      <c r="AA3318" s="885"/>
      <c r="AB3318" s="885"/>
      <c r="AC3318" s="885"/>
      <c r="AD3318" s="879"/>
      <c r="AE3318" s="2"/>
      <c r="AF3318" s="885"/>
      <c r="AG3318" s="885"/>
      <c r="AH3318" s="885"/>
      <c r="AI3318" s="885"/>
      <c r="AJ3318" s="885"/>
      <c r="AK3318" s="885"/>
      <c r="AL3318" s="885"/>
      <c r="AM3318" s="879"/>
      <c r="AN3318" s="2"/>
      <c r="AO3318" s="886"/>
      <c r="AP3318" s="886"/>
      <c r="AV3318" s="4" t="str">
        <f t="shared" si="13382"/>
        <v>Revegetação - Biomanta</v>
      </c>
      <c r="AW3318" s="4" t="str">
        <f t="shared" si="13373"/>
        <v xml:space="preserve">   Aplicação de biomanta</v>
      </c>
      <c r="AX3318" s="4"/>
    </row>
    <row r="3319" spans="1:52" ht="42.95" customHeight="1">
      <c r="A3319" s="8" t="str">
        <f t="shared" ref="A3319" si="13544">IF(SUM(P3319:V3320)&gt;0,"S","N")</f>
        <v>N</v>
      </c>
      <c r="B3319" s="150">
        <v>1069376</v>
      </c>
      <c r="C3319" s="150" t="s">
        <v>3739</v>
      </c>
      <c r="D3319" s="120" t="s">
        <v>3740</v>
      </c>
      <c r="E3319" s="874" t="s">
        <v>3649</v>
      </c>
      <c r="F3319" s="876" t="s">
        <v>3210</v>
      </c>
      <c r="G3319" s="2"/>
      <c r="H3319" s="49" t="s">
        <v>37</v>
      </c>
      <c r="I3319" s="705">
        <v>0</v>
      </c>
      <c r="J3319" s="878" t="str">
        <f t="shared" ref="J3319" si="13545">IFERROR((I3320/I3319),"-")</f>
        <v>-</v>
      </c>
      <c r="K3319" s="2"/>
      <c r="L3319" s="49" t="s">
        <v>37</v>
      </c>
      <c r="M3319" s="705">
        <f t="shared" si="13510"/>
        <v>0</v>
      </c>
      <c r="N3319" s="878" t="str">
        <f t="shared" ref="N3319" si="13546">IFERROR((M3320/M3319),"-")</f>
        <v>-</v>
      </c>
      <c r="O3319" s="2"/>
      <c r="P3319" s="126">
        <v>0</v>
      </c>
      <c r="Q3319" s="126">
        <v>0</v>
      </c>
      <c r="R3319" s="126">
        <v>0</v>
      </c>
      <c r="S3319" s="126">
        <v>0</v>
      </c>
      <c r="T3319" s="126">
        <v>0</v>
      </c>
      <c r="U3319" s="126">
        <v>0</v>
      </c>
      <c r="V3319" s="126">
        <v>0</v>
      </c>
      <c r="W3319" s="2"/>
      <c r="X3319" s="705">
        <f t="shared" si="13504"/>
        <v>0</v>
      </c>
      <c r="Y3319" s="878" t="str">
        <f t="shared" ref="Y3319" si="13547">IFERROR((X3320/X3319),"-")</f>
        <v>-</v>
      </c>
      <c r="Z3319" s="2"/>
      <c r="AA3319" s="884">
        <v>0</v>
      </c>
      <c r="AB3319" s="884">
        <v>0</v>
      </c>
      <c r="AC3319" s="884">
        <v>0</v>
      </c>
      <c r="AD3319" s="878" t="str">
        <f t="shared" ref="AD3319" si="13548">IFERROR((AC3319/AA3319),"-")</f>
        <v>-</v>
      </c>
      <c r="AE3319" s="2"/>
      <c r="AF3319" s="884">
        <v>0</v>
      </c>
      <c r="AG3319" s="884"/>
      <c r="AH3319" s="884">
        <v>0</v>
      </c>
      <c r="AI3319" s="884"/>
      <c r="AJ3319" s="884"/>
      <c r="AK3319" s="884">
        <f t="shared" ref="AK3319" si="13549">AF3319+AG3319+AH3319+AI3319+AJ3319+AC3319</f>
        <v>0</v>
      </c>
      <c r="AL3319" s="884">
        <v>21230.899999999998</v>
      </c>
      <c r="AM3319" s="878">
        <f t="shared" ref="AM3319" si="13550">IFERROR((AK3319/AL3319),"-")</f>
        <v>0</v>
      </c>
      <c r="AN3319" s="2"/>
      <c r="AO3319" s="884">
        <v>21230.89</v>
      </c>
      <c r="AP3319" s="884">
        <f t="shared" ref="AP3319" si="13551">AO3319-AK3319</f>
        <v>21230.89</v>
      </c>
      <c r="AV3319" s="4" t="str">
        <f t="shared" si="13382"/>
        <v>Revegetação - Biomanta</v>
      </c>
      <c r="AW3319" s="4" t="str">
        <f t="shared" si="13373"/>
        <v xml:space="preserve">   Aplicação de biomanta</v>
      </c>
      <c r="AX3319" s="4"/>
      <c r="AY3319" s="4"/>
      <c r="AZ3319" s="4"/>
    </row>
    <row r="3320" spans="1:52" ht="15.6" customHeight="1">
      <c r="A3320" s="8" t="str">
        <f t="shared" ref="A3320" si="13552">A3319</f>
        <v>N</v>
      </c>
      <c r="B3320" s="150">
        <v>1069376</v>
      </c>
      <c r="C3320" s="150"/>
      <c r="D3320" s="120" t="s">
        <v>3740</v>
      </c>
      <c r="E3320" s="875"/>
      <c r="F3320" s="877"/>
      <c r="G3320" s="2"/>
      <c r="H3320" s="50" t="s">
        <v>38</v>
      </c>
      <c r="I3320" s="705">
        <v>0</v>
      </c>
      <c r="J3320" s="879"/>
      <c r="K3320" s="2"/>
      <c r="L3320" s="50" t="s">
        <v>38</v>
      </c>
      <c r="M3320" s="705">
        <f t="shared" si="13510"/>
        <v>0</v>
      </c>
      <c r="N3320" s="879"/>
      <c r="O3320" s="2"/>
      <c r="P3320" s="126">
        <v>0</v>
      </c>
      <c r="Q3320" s="126">
        <v>0</v>
      </c>
      <c r="R3320" s="126">
        <v>0</v>
      </c>
      <c r="S3320" s="126">
        <v>0</v>
      </c>
      <c r="T3320" s="126">
        <v>0</v>
      </c>
      <c r="U3320" s="126">
        <v>0</v>
      </c>
      <c r="V3320" s="126"/>
      <c r="W3320" s="2"/>
      <c r="X3320" s="705">
        <f t="shared" si="13504"/>
        <v>0</v>
      </c>
      <c r="Y3320" s="879"/>
      <c r="Z3320" s="2"/>
      <c r="AA3320" s="885"/>
      <c r="AB3320" s="885"/>
      <c r="AC3320" s="885"/>
      <c r="AD3320" s="879"/>
      <c r="AE3320" s="2"/>
      <c r="AF3320" s="885"/>
      <c r="AG3320" s="885"/>
      <c r="AH3320" s="885"/>
      <c r="AI3320" s="885"/>
      <c r="AJ3320" s="885"/>
      <c r="AK3320" s="885"/>
      <c r="AL3320" s="885"/>
      <c r="AM3320" s="879"/>
      <c r="AN3320" s="2"/>
      <c r="AO3320" s="886"/>
      <c r="AP3320" s="886"/>
      <c r="AV3320" t="str">
        <f t="shared" si="13382"/>
        <v>Revegetação - Biomanta</v>
      </c>
      <c r="AW3320" s="4" t="str">
        <f t="shared" si="13373"/>
        <v xml:space="preserve">   Aplicação de biomanta</v>
      </c>
    </row>
    <row r="3321" spans="1:52" ht="15.6" customHeight="1" collapsed="1">
      <c r="A3321" s="8" t="str">
        <f t="shared" ref="A3321" si="13553">IF(SUM(P3321:V3322)&gt;0,"S","N")</f>
        <v>N</v>
      </c>
      <c r="B3321" s="150">
        <v>1069377</v>
      </c>
      <c r="C3321" s="150" t="s">
        <v>3741</v>
      </c>
      <c r="D3321" s="120" t="s">
        <v>3742</v>
      </c>
      <c r="E3321" s="874" t="s">
        <v>3649</v>
      </c>
      <c r="F3321" s="876" t="s">
        <v>3210</v>
      </c>
      <c r="G3321" s="2"/>
      <c r="H3321" s="49" t="s">
        <v>37</v>
      </c>
      <c r="I3321" s="705">
        <v>0</v>
      </c>
      <c r="J3321" s="878" t="str">
        <f t="shared" ref="J3321" si="13554">IFERROR((I3322/I3321),"-")</f>
        <v>-</v>
      </c>
      <c r="K3321" s="2"/>
      <c r="L3321" s="49" t="s">
        <v>37</v>
      </c>
      <c r="M3321" s="705">
        <f t="shared" si="13510"/>
        <v>0</v>
      </c>
      <c r="N3321" s="878" t="str">
        <f t="shared" ref="N3321" si="13555">IFERROR((M3322/M3321),"-")</f>
        <v>-</v>
      </c>
      <c r="O3321" s="2"/>
      <c r="P3321" s="121">
        <v>0</v>
      </c>
      <c r="Q3321" s="121">
        <v>0</v>
      </c>
      <c r="R3321" s="121">
        <v>0</v>
      </c>
      <c r="S3321" s="121">
        <v>0</v>
      </c>
      <c r="T3321" s="121">
        <v>0</v>
      </c>
      <c r="U3321" s="121">
        <v>0</v>
      </c>
      <c r="V3321" s="126">
        <v>0</v>
      </c>
      <c r="W3321" s="2"/>
      <c r="X3321" s="705">
        <f t="shared" si="13504"/>
        <v>0</v>
      </c>
      <c r="Y3321" s="878" t="str">
        <f t="shared" ref="Y3321" si="13556">IFERROR((X3322/X3321),"-")</f>
        <v>-</v>
      </c>
      <c r="Z3321" s="2"/>
      <c r="AA3321" s="884">
        <v>0</v>
      </c>
      <c r="AB3321" s="884">
        <v>0</v>
      </c>
      <c r="AC3321" s="884">
        <v>0</v>
      </c>
      <c r="AD3321" s="878" t="str">
        <f t="shared" ref="AD3321" si="13557">IFERROR((AC3321/AA3321),"-")</f>
        <v>-</v>
      </c>
      <c r="AE3321" s="2"/>
      <c r="AF3321" s="884">
        <v>0</v>
      </c>
      <c r="AG3321" s="884"/>
      <c r="AH3321" s="884">
        <v>0</v>
      </c>
      <c r="AI3321" s="884"/>
      <c r="AJ3321" s="884"/>
      <c r="AK3321" s="884">
        <f t="shared" ref="AK3321" si="13558">AF3321+AG3321+AH3321+AI3321+AJ3321+AC3321</f>
        <v>0</v>
      </c>
      <c r="AL3321" s="884">
        <v>21906.23</v>
      </c>
      <c r="AM3321" s="878">
        <f t="shared" ref="AM3321" si="13559">IFERROR((AK3321/AL3321),"-")</f>
        <v>0</v>
      </c>
      <c r="AN3321" s="2"/>
      <c r="AO3321" s="884">
        <v>21906.23</v>
      </c>
      <c r="AP3321" s="884">
        <f t="shared" ref="AP3321" si="13560">AO3321-AK3321</f>
        <v>21906.23</v>
      </c>
      <c r="AV3321" t="str">
        <f t="shared" si="13382"/>
        <v>Revegetação - Biomanta</v>
      </c>
      <c r="AW3321" s="4" t="str">
        <f t="shared" si="13373"/>
        <v xml:space="preserve">   Aplicação de biomanta</v>
      </c>
    </row>
    <row r="3322" spans="1:52" ht="17.100000000000001" customHeight="1">
      <c r="A3322" s="8" t="str">
        <f t="shared" ref="A3322" si="13561">A3321</f>
        <v>N</v>
      </c>
      <c r="B3322" s="150"/>
      <c r="C3322" s="150"/>
      <c r="D3322" s="120" t="s">
        <v>3742</v>
      </c>
      <c r="E3322" s="875"/>
      <c r="F3322" s="877"/>
      <c r="G3322" s="2"/>
      <c r="H3322" s="50" t="s">
        <v>38</v>
      </c>
      <c r="I3322" s="705">
        <v>0</v>
      </c>
      <c r="J3322" s="879"/>
      <c r="K3322" s="2"/>
      <c r="L3322" s="50" t="s">
        <v>38</v>
      </c>
      <c r="M3322" s="705">
        <f t="shared" si="13510"/>
        <v>0</v>
      </c>
      <c r="N3322" s="879"/>
      <c r="O3322" s="2"/>
      <c r="P3322" s="126">
        <v>0</v>
      </c>
      <c r="Q3322" s="126">
        <v>0</v>
      </c>
      <c r="R3322" s="126">
        <v>0</v>
      </c>
      <c r="S3322" s="126">
        <v>0</v>
      </c>
      <c r="T3322" s="126">
        <v>0</v>
      </c>
      <c r="U3322" s="126">
        <v>0</v>
      </c>
      <c r="V3322" s="126"/>
      <c r="W3322" s="2"/>
      <c r="X3322" s="705">
        <f t="shared" si="13504"/>
        <v>0</v>
      </c>
      <c r="Y3322" s="879"/>
      <c r="Z3322" s="2"/>
      <c r="AA3322" s="885"/>
      <c r="AB3322" s="885"/>
      <c r="AC3322" s="885"/>
      <c r="AD3322" s="879"/>
      <c r="AE3322" s="2"/>
      <c r="AF3322" s="908"/>
      <c r="AG3322" s="885"/>
      <c r="AH3322" s="885"/>
      <c r="AI3322" s="885"/>
      <c r="AJ3322" s="885"/>
      <c r="AK3322" s="885"/>
      <c r="AL3322" s="885"/>
      <c r="AM3322" s="879"/>
      <c r="AN3322" s="2"/>
      <c r="AO3322" s="886"/>
      <c r="AP3322" s="886"/>
      <c r="AV3322" t="str">
        <f t="shared" si="13382"/>
        <v>Revegetação - Biomanta</v>
      </c>
      <c r="AW3322" s="4" t="str">
        <f t="shared" si="13373"/>
        <v xml:space="preserve">   Aplicação de biomanta</v>
      </c>
    </row>
    <row r="3323" spans="1:52" ht="17.100000000000001" customHeight="1">
      <c r="A3323" s="209">
        <v>0</v>
      </c>
      <c r="B3323" s="150"/>
      <c r="C3323" s="150"/>
      <c r="D3323" s="117"/>
      <c r="E3323" s="3"/>
      <c r="F3323" s="59"/>
      <c r="G3323" s="3"/>
      <c r="I3323" s="57"/>
      <c r="K3323" s="3"/>
      <c r="M3323" s="57"/>
      <c r="O3323" s="3"/>
      <c r="P3323" s="119"/>
      <c r="Q3323" s="119"/>
      <c r="R3323" s="119"/>
      <c r="S3323" s="119"/>
      <c r="T3323" s="119"/>
      <c r="U3323" s="119"/>
      <c r="V3323" s="119"/>
      <c r="W3323" s="3"/>
      <c r="X3323" s="37"/>
      <c r="Y3323" s="3"/>
      <c r="Z3323" s="3"/>
      <c r="AA3323" s="36"/>
      <c r="AB3323" s="36"/>
      <c r="AC3323" s="35"/>
      <c r="AD3323" s="3"/>
      <c r="AE3323" s="3"/>
      <c r="AF3323" s="36"/>
      <c r="AG3323" s="36"/>
      <c r="AH3323" s="36"/>
      <c r="AI3323" s="36"/>
      <c r="AJ3323" s="36"/>
      <c r="AK3323" s="36"/>
      <c r="AL3323" s="36"/>
      <c r="AM3323" s="3"/>
      <c r="AN3323" s="3"/>
      <c r="AO3323" s="36"/>
      <c r="AP3323" s="36"/>
      <c r="AV3323" t="str">
        <f t="shared" si="13382"/>
        <v>Revegetação - Biomanta</v>
      </c>
      <c r="AW3323" s="4" t="str">
        <f t="shared" si="13373"/>
        <v xml:space="preserve">   Aplicação de biomanta</v>
      </c>
    </row>
    <row r="3324" spans="1:52" ht="15" customHeight="1">
      <c r="A3324" s="209">
        <v>0</v>
      </c>
      <c r="B3324" s="150"/>
      <c r="C3324" s="150">
        <v>0</v>
      </c>
      <c r="D3324" s="117"/>
      <c r="E3324" s="3"/>
      <c r="F3324" s="92"/>
      <c r="G3324" s="3"/>
      <c r="H3324" s="3"/>
      <c r="I3324" s="36"/>
      <c r="J3324" s="3"/>
      <c r="K3324" s="3"/>
      <c r="L3324" s="3"/>
      <c r="M3324" s="36"/>
      <c r="N3324" s="3"/>
      <c r="O3324" s="3"/>
      <c r="P3324" s="119"/>
      <c r="Q3324" s="119"/>
      <c r="R3324" s="119"/>
      <c r="S3324" s="119"/>
      <c r="T3324" s="119"/>
      <c r="U3324" s="119"/>
      <c r="V3324" s="119"/>
      <c r="W3324" s="3"/>
      <c r="X3324" s="37"/>
      <c r="Y3324" s="3"/>
      <c r="Z3324" s="3"/>
      <c r="AA3324" s="36"/>
      <c r="AB3324" s="36"/>
      <c r="AC3324" s="35"/>
      <c r="AD3324" s="3"/>
      <c r="AE3324" s="3"/>
      <c r="AF3324" s="36"/>
      <c r="AG3324" s="36"/>
      <c r="AH3324" s="36"/>
      <c r="AI3324" s="36"/>
      <c r="AJ3324" s="36"/>
      <c r="AK3324" s="36"/>
      <c r="AL3324" s="36"/>
      <c r="AM3324" s="3"/>
      <c r="AN3324" s="3"/>
      <c r="AO3324" s="36"/>
      <c r="AP3324" s="36"/>
      <c r="AV3324" t="str">
        <f t="shared" si="13382"/>
        <v>Revegetação - Biomanta</v>
      </c>
      <c r="AW3324" s="4" t="str">
        <f t="shared" si="13373"/>
        <v xml:space="preserve">   Aplicação de biomanta</v>
      </c>
    </row>
    <row r="3325" spans="1:52" ht="27.6" customHeight="1">
      <c r="A3325" s="610">
        <v>0</v>
      </c>
      <c r="B3325" s="611"/>
      <c r="C3325" s="611"/>
      <c r="D3325" s="612"/>
      <c r="E3325" s="870" t="s">
        <v>3743</v>
      </c>
      <c r="F3325" s="872"/>
      <c r="G3325" s="511"/>
      <c r="H3325" s="595"/>
      <c r="I3325" s="710"/>
      <c r="J3325" s="942"/>
      <c r="K3325" s="511"/>
      <c r="L3325" s="595"/>
      <c r="M3325" s="710"/>
      <c r="N3325" s="942"/>
      <c r="O3325" s="511"/>
      <c r="P3325" s="596"/>
      <c r="Q3325" s="596"/>
      <c r="R3325" s="596"/>
      <c r="S3325" s="596"/>
      <c r="T3325" s="596"/>
      <c r="U3325" s="596"/>
      <c r="V3325" s="596"/>
      <c r="W3325" s="511"/>
      <c r="X3325" s="710"/>
      <c r="Y3325" s="937"/>
      <c r="Z3325" s="511"/>
      <c r="AA3325" s="935"/>
      <c r="AB3325" s="935"/>
      <c r="AC3325" s="935"/>
      <c r="AD3325" s="937"/>
      <c r="AE3325" s="511"/>
      <c r="AF3325" s="935"/>
      <c r="AG3325" s="935"/>
      <c r="AH3325" s="935"/>
      <c r="AI3325" s="935"/>
      <c r="AJ3325" s="935"/>
      <c r="AK3325" s="935"/>
      <c r="AL3325" s="935"/>
      <c r="AM3325" s="937"/>
      <c r="AN3325" s="511"/>
      <c r="AO3325" s="935"/>
      <c r="AP3325" s="935"/>
      <c r="AV3325" s="275" t="str">
        <f t="shared" si="13382"/>
        <v>PI - Passagem Inferior</v>
      </c>
      <c r="AW3325" s="275" t="str">
        <f t="shared" si="13373"/>
        <v>PI - Passagem Inferior</v>
      </c>
      <c r="AX3325" s="275" t="s">
        <v>176</v>
      </c>
    </row>
    <row r="3326" spans="1:52" ht="27.6" customHeight="1">
      <c r="A3326" s="610">
        <v>0</v>
      </c>
      <c r="B3326" s="611"/>
      <c r="C3326" s="611">
        <v>0</v>
      </c>
      <c r="D3326" s="612"/>
      <c r="E3326" s="871"/>
      <c r="F3326" s="873"/>
      <c r="G3326" s="511"/>
      <c r="H3326" s="597"/>
      <c r="I3326" s="710"/>
      <c r="J3326" s="943"/>
      <c r="K3326" s="511"/>
      <c r="L3326" s="597"/>
      <c r="M3326" s="710"/>
      <c r="N3326" s="943"/>
      <c r="O3326" s="511"/>
      <c r="P3326" s="596"/>
      <c r="Q3326" s="596"/>
      <c r="R3326" s="596"/>
      <c r="S3326" s="596"/>
      <c r="T3326" s="596"/>
      <c r="U3326" s="596"/>
      <c r="V3326" s="596"/>
      <c r="W3326" s="511"/>
      <c r="X3326" s="710"/>
      <c r="Y3326" s="938"/>
      <c r="Z3326" s="511"/>
      <c r="AA3326" s="936"/>
      <c r="AB3326" s="936"/>
      <c r="AC3326" s="936"/>
      <c r="AD3326" s="938"/>
      <c r="AE3326" s="511"/>
      <c r="AF3326" s="936"/>
      <c r="AG3326" s="936"/>
      <c r="AH3326" s="936"/>
      <c r="AI3326" s="936"/>
      <c r="AJ3326" s="936"/>
      <c r="AK3326" s="936"/>
      <c r="AL3326" s="936"/>
      <c r="AM3326" s="938"/>
      <c r="AN3326" s="511"/>
      <c r="AO3326" s="936"/>
      <c r="AP3326" s="936"/>
      <c r="AV3326" t="str">
        <f t="shared" si="13382"/>
        <v>PI - Passagem Inferior</v>
      </c>
      <c r="AW3326" s="4" t="str">
        <f t="shared" si="13373"/>
        <v>PI - Passagem Inferior</v>
      </c>
    </row>
    <row r="3327" spans="1:52" ht="17.100000000000001" customHeight="1" outlineLevel="1">
      <c r="A3327" s="209">
        <v>0</v>
      </c>
      <c r="B3327" s="150"/>
      <c r="C3327" s="150"/>
      <c r="D3327" s="117"/>
      <c r="E3327" s="3"/>
      <c r="F3327" s="59"/>
      <c r="G3327" s="3"/>
      <c r="I3327" s="57"/>
      <c r="K3327" s="3"/>
      <c r="M3327" s="57"/>
      <c r="O3327" s="3"/>
      <c r="P3327" s="119"/>
      <c r="Q3327" s="119"/>
      <c r="R3327" s="119"/>
      <c r="S3327" s="119"/>
      <c r="T3327" s="119"/>
      <c r="U3327" s="119"/>
      <c r="V3327" s="119"/>
      <c r="W3327" s="3"/>
      <c r="X3327" s="37"/>
      <c r="Y3327" s="3"/>
      <c r="Z3327" s="3"/>
      <c r="AA3327" s="36"/>
      <c r="AB3327" s="36"/>
      <c r="AC3327" s="35"/>
      <c r="AD3327" s="3"/>
      <c r="AE3327" s="3"/>
      <c r="AF3327" s="36"/>
      <c r="AG3327" s="36"/>
      <c r="AH3327" s="36"/>
      <c r="AI3327" s="36"/>
      <c r="AJ3327" s="36"/>
      <c r="AK3327" s="36"/>
      <c r="AL3327" s="36"/>
      <c r="AM3327" s="3"/>
      <c r="AN3327" s="3"/>
      <c r="AO3327" s="36"/>
      <c r="AP3327" s="36"/>
      <c r="AV3327" t="str">
        <f t="shared" si="13382"/>
        <v>PI - Passagem Inferior</v>
      </c>
      <c r="AW3327" s="4" t="str">
        <f t="shared" si="13373"/>
        <v>PI - Passagem Inferior</v>
      </c>
    </row>
    <row r="3328" spans="1:52" ht="17.100000000000001" customHeight="1" outlineLevel="1">
      <c r="A3328" s="209">
        <v>0</v>
      </c>
      <c r="B3328" s="150"/>
      <c r="C3328" s="150">
        <v>0</v>
      </c>
      <c r="D3328" s="117"/>
      <c r="E3328" s="3"/>
      <c r="F3328" s="92"/>
      <c r="G3328" s="3"/>
      <c r="H3328" s="3"/>
      <c r="I3328" s="36"/>
      <c r="J3328" s="3"/>
      <c r="K3328" s="3"/>
      <c r="L3328" s="3"/>
      <c r="M3328" s="36"/>
      <c r="N3328" s="3"/>
      <c r="O3328" s="3"/>
      <c r="P3328" s="119"/>
      <c r="Q3328" s="119"/>
      <c r="R3328" s="119"/>
      <c r="S3328" s="119"/>
      <c r="T3328" s="119"/>
      <c r="U3328" s="119"/>
      <c r="V3328" s="119"/>
      <c r="W3328" s="3"/>
      <c r="X3328" s="37"/>
      <c r="Y3328" s="3"/>
      <c r="Z3328" s="3"/>
      <c r="AA3328" s="36"/>
      <c r="AB3328" s="36"/>
      <c r="AC3328" s="35"/>
      <c r="AD3328" s="3"/>
      <c r="AE3328" s="3"/>
      <c r="AF3328" s="36"/>
      <c r="AG3328" s="36"/>
      <c r="AH3328" s="36"/>
      <c r="AI3328" s="36"/>
      <c r="AJ3328" s="36"/>
      <c r="AK3328" s="36"/>
      <c r="AL3328" s="36"/>
      <c r="AM3328" s="3"/>
      <c r="AN3328" s="3"/>
      <c r="AO3328" s="36"/>
      <c r="AP3328" s="36"/>
      <c r="AV3328" t="str">
        <f t="shared" si="13382"/>
        <v>PI - Passagem Inferior</v>
      </c>
      <c r="AW3328" s="4" t="str">
        <f t="shared" si="13373"/>
        <v>PI - Passagem Inferior</v>
      </c>
    </row>
    <row r="3329" spans="1:49" ht="17.100000000000001" customHeight="1" outlineLevel="1">
      <c r="A3329" s="525">
        <v>0</v>
      </c>
      <c r="B3329" s="526"/>
      <c r="C3329" s="526"/>
      <c r="D3329" s="557"/>
      <c r="E3329" s="866" t="s">
        <v>3744</v>
      </c>
      <c r="F3329" s="868"/>
      <c r="G3329" s="528"/>
      <c r="H3329" s="542"/>
      <c r="I3329" s="543"/>
      <c r="J3329" s="860"/>
      <c r="K3329" s="528"/>
      <c r="L3329" s="542"/>
      <c r="M3329" s="543"/>
      <c r="N3329" s="860"/>
      <c r="O3329" s="528"/>
      <c r="P3329" s="566"/>
      <c r="Q3329" s="566"/>
      <c r="R3329" s="566"/>
      <c r="S3329" s="566"/>
      <c r="T3329" s="566"/>
      <c r="U3329" s="566"/>
      <c r="V3329" s="566"/>
      <c r="W3329" s="528"/>
      <c r="X3329" s="543">
        <f t="shared" ref="X3329:X3348" si="13562">SUMIFS(P3329:V3329,$P$8:$V$8,"&gt;="&amp;$P$8,$P$8:$V$8,"&lt;="&amp;$N$8)</f>
        <v>0</v>
      </c>
      <c r="Y3329" s="860"/>
      <c r="Z3329" s="528"/>
      <c r="AA3329" s="814"/>
      <c r="AB3329" s="814"/>
      <c r="AC3329" s="814"/>
      <c r="AD3329" s="860"/>
      <c r="AE3329" s="528"/>
      <c r="AF3329" s="814"/>
      <c r="AG3329" s="814"/>
      <c r="AH3329" s="814"/>
      <c r="AI3329" s="814"/>
      <c r="AJ3329" s="814"/>
      <c r="AK3329" s="814"/>
      <c r="AL3329" s="814"/>
      <c r="AM3329" s="860"/>
      <c r="AN3329" s="528"/>
      <c r="AO3329" s="814"/>
      <c r="AP3329" s="814"/>
      <c r="AV3329" t="str">
        <f t="shared" si="13382"/>
        <v>PI - Passagem Inferior</v>
      </c>
      <c r="AW3329" s="4" t="str">
        <f t="shared" si="13373"/>
        <v>PI GO-156 - Km 000+410 a Km 000+428</v>
      </c>
    </row>
    <row r="3330" spans="1:49" ht="17.100000000000001" customHeight="1" outlineLevel="1">
      <c r="A3330" s="525">
        <v>0</v>
      </c>
      <c r="B3330" s="526"/>
      <c r="C3330" s="526">
        <v>0</v>
      </c>
      <c r="D3330" s="558"/>
      <c r="E3330" s="867"/>
      <c r="F3330" s="869"/>
      <c r="G3330" s="528"/>
      <c r="H3330" s="544"/>
      <c r="I3330" s="543"/>
      <c r="J3330" s="861"/>
      <c r="K3330" s="528"/>
      <c r="L3330" s="544"/>
      <c r="M3330" s="543"/>
      <c r="N3330" s="861"/>
      <c r="O3330" s="528"/>
      <c r="P3330" s="566"/>
      <c r="Q3330" s="566"/>
      <c r="R3330" s="566"/>
      <c r="S3330" s="566"/>
      <c r="T3330" s="566"/>
      <c r="U3330" s="566"/>
      <c r="V3330" s="566"/>
      <c r="W3330" s="528"/>
      <c r="X3330" s="543">
        <f t="shared" si="13562"/>
        <v>0</v>
      </c>
      <c r="Y3330" s="861"/>
      <c r="Z3330" s="528"/>
      <c r="AA3330" s="815"/>
      <c r="AB3330" s="815"/>
      <c r="AC3330" s="815"/>
      <c r="AD3330" s="861"/>
      <c r="AE3330" s="528"/>
      <c r="AF3330" s="815"/>
      <c r="AG3330" s="815"/>
      <c r="AH3330" s="815"/>
      <c r="AI3330" s="815"/>
      <c r="AJ3330" s="815"/>
      <c r="AK3330" s="815"/>
      <c r="AL3330" s="815"/>
      <c r="AM3330" s="861"/>
      <c r="AN3330" s="528"/>
      <c r="AO3330" s="815"/>
      <c r="AP3330" s="815"/>
      <c r="AV3330" t="str">
        <f t="shared" si="13382"/>
        <v>PI - Passagem Inferior</v>
      </c>
      <c r="AW3330" s="4" t="str">
        <f t="shared" si="13373"/>
        <v>PI GO-156 - Km 000+410 a Km 000+428</v>
      </c>
    </row>
    <row r="3331" spans="1:49" ht="17.100000000000001" customHeight="1" outlineLevel="2">
      <c r="A3331" s="604" t="str">
        <f t="shared" ref="A3331" si="13563">IF(SUM(P3331:V3332)&gt;0,"S","N")</f>
        <v>N</v>
      </c>
      <c r="B3331" s="599"/>
      <c r="C3331" s="599"/>
      <c r="D3331" s="124"/>
      <c r="E3331" s="864" t="s">
        <v>3745</v>
      </c>
      <c r="F3331" s="848" t="s">
        <v>1437</v>
      </c>
      <c r="G3331" s="40"/>
      <c r="H3331" s="600" t="s">
        <v>37</v>
      </c>
      <c r="I3331" s="504"/>
      <c r="J3331" s="849" t="str">
        <f t="shared" ref="J3331" si="13564">IFERROR((I3332/I3331),"-")</f>
        <v>-</v>
      </c>
      <c r="K3331" s="40"/>
      <c r="L3331" s="600" t="s">
        <v>37</v>
      </c>
      <c r="M3331" s="504">
        <f t="shared" ref="M3331:M3348" si="13565">_xlfn.XLOOKUP($N$8,$P$8:$V$8,$P3331:$V3331)</f>
        <v>0</v>
      </c>
      <c r="N3331" s="849" t="str">
        <f t="shared" ref="N3331" si="13566">IFERROR((M3332/M3331),"-")</f>
        <v>-</v>
      </c>
      <c r="O3331" s="40"/>
      <c r="P3331" s="602"/>
      <c r="Q3331" s="602"/>
      <c r="R3331" s="602"/>
      <c r="S3331" s="602"/>
      <c r="T3331" s="602"/>
      <c r="U3331" s="602"/>
      <c r="V3331" s="602"/>
      <c r="W3331" s="40"/>
      <c r="X3331" s="504">
        <f t="shared" si="13562"/>
        <v>0</v>
      </c>
      <c r="Y3331" s="849" t="str">
        <f>IFERROR((X3332/X3331),"-")</f>
        <v>-</v>
      </c>
      <c r="Z3331" s="40"/>
      <c r="AA3331" s="858"/>
      <c r="AB3331" s="858"/>
      <c r="AC3331" s="858"/>
      <c r="AD3331" s="762" t="str">
        <f>IFERROR((AC3331/AA3331),"-")</f>
        <v>-</v>
      </c>
      <c r="AE3331" s="40"/>
      <c r="AF3331" s="855"/>
      <c r="AG3331" s="855"/>
      <c r="AH3331" s="855"/>
      <c r="AI3331" s="855"/>
      <c r="AJ3331" s="855"/>
      <c r="AK3331" s="855"/>
      <c r="AL3331" s="855"/>
      <c r="AM3331" s="849"/>
      <c r="AN3331" s="40"/>
      <c r="AO3331" s="855"/>
      <c r="AP3331" s="855"/>
      <c r="AV3331" t="str">
        <f t="shared" si="13382"/>
        <v>PI - Passagem Inferior</v>
      </c>
      <c r="AW3331" s="4" t="str">
        <f t="shared" si="13373"/>
        <v>Reaterro Superior</v>
      </c>
    </row>
    <row r="3332" spans="1:49" ht="17.100000000000001" customHeight="1" outlineLevel="2">
      <c r="A3332" s="604" t="str">
        <f t="shared" ref="A3332:A3348" si="13567">A3331</f>
        <v>N</v>
      </c>
      <c r="B3332" s="599"/>
      <c r="C3332" s="599"/>
      <c r="D3332" s="124"/>
      <c r="E3332" s="865"/>
      <c r="F3332" s="848"/>
      <c r="G3332" s="40"/>
      <c r="H3332" s="603" t="s">
        <v>38</v>
      </c>
      <c r="I3332" s="504"/>
      <c r="J3332" s="850"/>
      <c r="K3332" s="40"/>
      <c r="L3332" s="603" t="s">
        <v>38</v>
      </c>
      <c r="M3332" s="504">
        <f t="shared" si="13565"/>
        <v>0</v>
      </c>
      <c r="N3332" s="850"/>
      <c r="O3332" s="40"/>
      <c r="P3332" s="602"/>
      <c r="Q3332" s="602"/>
      <c r="R3332" s="602"/>
      <c r="S3332" s="602"/>
      <c r="T3332" s="602"/>
      <c r="U3332" s="602"/>
      <c r="V3332" s="602"/>
      <c r="W3332" s="40"/>
      <c r="X3332" s="504">
        <f t="shared" si="13562"/>
        <v>0</v>
      </c>
      <c r="Y3332" s="850"/>
      <c r="Z3332" s="40"/>
      <c r="AA3332" s="857"/>
      <c r="AB3332" s="857"/>
      <c r="AC3332" s="857"/>
      <c r="AD3332" s="763"/>
      <c r="AE3332" s="40"/>
      <c r="AF3332" s="880"/>
      <c r="AG3332" s="880"/>
      <c r="AH3332" s="880"/>
      <c r="AI3332" s="880"/>
      <c r="AJ3332" s="880"/>
      <c r="AK3332" s="880"/>
      <c r="AL3332" s="880"/>
      <c r="AM3332" s="881"/>
      <c r="AN3332" s="40"/>
      <c r="AO3332" s="882"/>
      <c r="AP3332" s="857"/>
      <c r="AV3332" t="str">
        <f t="shared" si="13382"/>
        <v>PI - Passagem Inferior</v>
      </c>
      <c r="AW3332" s="4" t="str">
        <f t="shared" si="13373"/>
        <v>Reaterro Superior</v>
      </c>
    </row>
    <row r="3333" spans="1:49" ht="17.100000000000001" customHeight="1" outlineLevel="2">
      <c r="A3333" s="604" t="str">
        <f t="shared" ref="A3333" si="13568">IF(SUM(P3333:V3334)&gt;0,"S","N")</f>
        <v>N</v>
      </c>
      <c r="B3333" s="599"/>
      <c r="C3333" s="599"/>
      <c r="D3333" s="124"/>
      <c r="E3333" s="846" t="s">
        <v>3746</v>
      </c>
      <c r="F3333" s="848" t="s">
        <v>1437</v>
      </c>
      <c r="G3333" s="40"/>
      <c r="H3333" s="600" t="s">
        <v>37</v>
      </c>
      <c r="I3333" s="601"/>
      <c r="J3333" s="849" t="str">
        <f t="shared" ref="J3333" si="13569">IFERROR((I3334/I3333),"-")</f>
        <v>-</v>
      </c>
      <c r="K3333" s="40"/>
      <c r="L3333" s="600" t="s">
        <v>37</v>
      </c>
      <c r="M3333" s="504">
        <f t="shared" si="13565"/>
        <v>0</v>
      </c>
      <c r="N3333" s="849" t="str">
        <f t="shared" ref="N3333" si="13570">IFERROR((M3334/M3333),"-")</f>
        <v>-</v>
      </c>
      <c r="O3333" s="40"/>
      <c r="P3333" s="602"/>
      <c r="Q3333" s="602"/>
      <c r="R3333" s="602"/>
      <c r="S3333" s="602"/>
      <c r="T3333" s="602"/>
      <c r="U3333" s="602"/>
      <c r="V3333" s="602"/>
      <c r="W3333" s="40"/>
      <c r="X3333" s="504">
        <f t="shared" si="13562"/>
        <v>0</v>
      </c>
      <c r="Y3333" s="849" t="str">
        <f>IFERROR((X3334/X3333),"-")</f>
        <v>-</v>
      </c>
      <c r="Z3333" s="40"/>
      <c r="AA3333" s="858"/>
      <c r="AB3333" s="858"/>
      <c r="AC3333" s="858"/>
      <c r="AD3333" s="762" t="str">
        <f>IFERROR((AC3333/AA3333),"-")</f>
        <v>-</v>
      </c>
      <c r="AE3333" s="40"/>
      <c r="AF3333" s="855"/>
      <c r="AG3333" s="855"/>
      <c r="AH3333" s="855"/>
      <c r="AI3333" s="855"/>
      <c r="AJ3333" s="855"/>
      <c r="AK3333" s="855"/>
      <c r="AL3333" s="855"/>
      <c r="AM3333" s="849"/>
      <c r="AN3333" s="40"/>
      <c r="AO3333" s="855"/>
      <c r="AP3333" s="855"/>
      <c r="AV3333" t="str">
        <f t="shared" si="13382"/>
        <v>PI - Passagem Inferior</v>
      </c>
      <c r="AW3333" s="4" t="str">
        <f t="shared" si="13373"/>
        <v>Regularização do subleito</v>
      </c>
    </row>
    <row r="3334" spans="1:49" ht="18" customHeight="1" outlineLevel="2">
      <c r="A3334" s="604" t="str">
        <f t="shared" si="13567"/>
        <v>N</v>
      </c>
      <c r="B3334" s="599"/>
      <c r="C3334" s="599">
        <v>0</v>
      </c>
      <c r="D3334" s="124"/>
      <c r="E3334" s="847"/>
      <c r="F3334" s="848"/>
      <c r="G3334" s="40"/>
      <c r="H3334" s="603" t="s">
        <v>38</v>
      </c>
      <c r="I3334" s="504"/>
      <c r="J3334" s="850"/>
      <c r="K3334" s="40"/>
      <c r="L3334" s="603" t="s">
        <v>38</v>
      </c>
      <c r="M3334" s="504">
        <f t="shared" si="13565"/>
        <v>0</v>
      </c>
      <c r="N3334" s="850"/>
      <c r="O3334" s="40"/>
      <c r="P3334" s="602"/>
      <c r="Q3334" s="602"/>
      <c r="R3334" s="602"/>
      <c r="S3334" s="602"/>
      <c r="T3334" s="602"/>
      <c r="U3334" s="602"/>
      <c r="V3334" s="602"/>
      <c r="W3334" s="40"/>
      <c r="X3334" s="504">
        <f t="shared" si="13562"/>
        <v>0</v>
      </c>
      <c r="Y3334" s="850"/>
      <c r="Z3334" s="40"/>
      <c r="AA3334" s="857"/>
      <c r="AB3334" s="857"/>
      <c r="AC3334" s="857"/>
      <c r="AD3334" s="763"/>
      <c r="AE3334" s="40"/>
      <c r="AF3334" s="880"/>
      <c r="AG3334" s="880"/>
      <c r="AH3334" s="880"/>
      <c r="AI3334" s="880"/>
      <c r="AJ3334" s="880"/>
      <c r="AK3334" s="880"/>
      <c r="AL3334" s="880"/>
      <c r="AM3334" s="881"/>
      <c r="AN3334" s="40"/>
      <c r="AO3334" s="882"/>
      <c r="AP3334" s="857"/>
      <c r="AV3334" t="str">
        <f t="shared" si="13382"/>
        <v>PI - Passagem Inferior</v>
      </c>
      <c r="AW3334" s="4" t="str">
        <f t="shared" si="13373"/>
        <v>Regularização do subleito</v>
      </c>
    </row>
    <row r="3335" spans="1:49" ht="18" customHeight="1" outlineLevel="2">
      <c r="A3335" s="604" t="str">
        <f t="shared" ref="A3335" si="13571">IF(SUM(P3335:V3336)&gt;0,"S","N")</f>
        <v>S</v>
      </c>
      <c r="B3335" s="599"/>
      <c r="C3335" s="599"/>
      <c r="D3335" s="124"/>
      <c r="E3335" s="846" t="s">
        <v>3747</v>
      </c>
      <c r="F3335" s="848" t="s">
        <v>1437</v>
      </c>
      <c r="G3335" s="40"/>
      <c r="H3335" s="600" t="s">
        <v>37</v>
      </c>
      <c r="I3335" s="601"/>
      <c r="J3335" s="849" t="str">
        <f t="shared" ref="J3335" si="13572">IFERROR((I3336/I3335),"-")</f>
        <v>-</v>
      </c>
      <c r="K3335" s="40"/>
      <c r="L3335" s="600" t="s">
        <v>37</v>
      </c>
      <c r="M3335" s="504">
        <f t="shared" si="13565"/>
        <v>0</v>
      </c>
      <c r="N3335" s="849" t="str">
        <f t="shared" ref="N3335" si="13573">IFERROR((M3336/M3335),"-")</f>
        <v>-</v>
      </c>
      <c r="O3335" s="40"/>
      <c r="P3335" s="602">
        <v>1</v>
      </c>
      <c r="Q3335" s="602"/>
      <c r="R3335" s="602"/>
      <c r="S3335" s="602"/>
      <c r="T3335" s="602"/>
      <c r="U3335" s="602"/>
      <c r="V3335" s="602"/>
      <c r="W3335" s="40"/>
      <c r="X3335" s="504">
        <f t="shared" si="13562"/>
        <v>1</v>
      </c>
      <c r="Y3335" s="849">
        <f>IFERROR((X3336/X3335),"-")</f>
        <v>1</v>
      </c>
      <c r="Z3335" s="40"/>
      <c r="AA3335" s="858"/>
      <c r="AB3335" s="858"/>
      <c r="AC3335" s="858"/>
      <c r="AD3335" s="762" t="str">
        <f>IFERROR((AC3335/AA3335),"-")</f>
        <v>-</v>
      </c>
      <c r="AE3335" s="40"/>
      <c r="AF3335" s="855"/>
      <c r="AG3335" s="855"/>
      <c r="AH3335" s="855"/>
      <c r="AI3335" s="855"/>
      <c r="AJ3335" s="855"/>
      <c r="AK3335" s="855"/>
      <c r="AL3335" s="855"/>
      <c r="AM3335" s="849"/>
      <c r="AN3335" s="40"/>
      <c r="AO3335" s="855"/>
      <c r="AP3335" s="855"/>
      <c r="AV3335" t="str">
        <f t="shared" si="13382"/>
        <v>PI - Passagem Inferior</v>
      </c>
      <c r="AW3335" s="4" t="str">
        <f t="shared" si="13373"/>
        <v>Sub-base de solo estabilizado</v>
      </c>
    </row>
    <row r="3336" spans="1:49" ht="18" customHeight="1" outlineLevel="2">
      <c r="A3336" s="604" t="str">
        <f t="shared" si="13567"/>
        <v>S</v>
      </c>
      <c r="B3336" s="599"/>
      <c r="C3336" s="599">
        <v>0</v>
      </c>
      <c r="D3336" s="124"/>
      <c r="E3336" s="847"/>
      <c r="F3336" s="848"/>
      <c r="G3336" s="40"/>
      <c r="H3336" s="603" t="s">
        <v>38</v>
      </c>
      <c r="I3336" s="504"/>
      <c r="J3336" s="850"/>
      <c r="K3336" s="40"/>
      <c r="L3336" s="603" t="s">
        <v>38</v>
      </c>
      <c r="M3336" s="504">
        <f>_xlfn.XLOOKUP($N$8,$P$8:$V$8,$P3336:$V3336)</f>
        <v>0</v>
      </c>
      <c r="N3336" s="850"/>
      <c r="O3336" s="40"/>
      <c r="P3336" s="606">
        <v>1</v>
      </c>
      <c r="Q3336" s="602"/>
      <c r="R3336" s="602"/>
      <c r="S3336" s="602"/>
      <c r="T3336" s="602"/>
      <c r="U3336" s="602"/>
      <c r="V3336" s="602"/>
      <c r="W3336" s="40"/>
      <c r="X3336" s="504">
        <f>SUMIFS(P3336:V3336,$P$8:$V$8,"&gt;="&amp;$P$8,$P$8:$V$8,"&lt;="&amp;$N$8)</f>
        <v>1</v>
      </c>
      <c r="Y3336" s="850"/>
      <c r="Z3336" s="40"/>
      <c r="AA3336" s="857"/>
      <c r="AB3336" s="857"/>
      <c r="AC3336" s="857"/>
      <c r="AD3336" s="763"/>
      <c r="AE3336" s="40"/>
      <c r="AF3336" s="880"/>
      <c r="AG3336" s="880"/>
      <c r="AH3336" s="880"/>
      <c r="AI3336" s="880"/>
      <c r="AJ3336" s="880"/>
      <c r="AK3336" s="880"/>
      <c r="AL3336" s="880"/>
      <c r="AM3336" s="881"/>
      <c r="AN3336" s="40"/>
      <c r="AO3336" s="882"/>
      <c r="AP3336" s="857"/>
      <c r="AV3336" t="str">
        <f t="shared" si="13382"/>
        <v>PI - Passagem Inferior</v>
      </c>
      <c r="AW3336" s="4" t="str">
        <f t="shared" si="13373"/>
        <v>Sub-base de solo estabilizado</v>
      </c>
    </row>
    <row r="3337" spans="1:49" ht="18" customHeight="1" outlineLevel="2">
      <c r="A3337" s="604" t="str">
        <f t="shared" ref="A3337" si="13574">IF(SUM(P3337:V3338)&gt;0,"S","N")</f>
        <v>N</v>
      </c>
      <c r="B3337" s="599"/>
      <c r="C3337" s="599"/>
      <c r="D3337" s="124"/>
      <c r="E3337" s="846" t="s">
        <v>3748</v>
      </c>
      <c r="F3337" s="848" t="s">
        <v>1437</v>
      </c>
      <c r="G3337" s="40"/>
      <c r="H3337" s="600" t="s">
        <v>37</v>
      </c>
      <c r="I3337" s="601"/>
      <c r="J3337" s="849" t="str">
        <f t="shared" ref="J3337" si="13575">IFERROR((I3338/I3337),"-")</f>
        <v>-</v>
      </c>
      <c r="K3337" s="40"/>
      <c r="L3337" s="600" t="s">
        <v>37</v>
      </c>
      <c r="M3337" s="504" t="str">
        <f t="shared" si="13565"/>
        <v>x</v>
      </c>
      <c r="N3337" s="849" t="str">
        <f t="shared" ref="N3337" si="13576">IFERROR((M3338/M3337),"-")</f>
        <v>-</v>
      </c>
      <c r="O3337" s="40"/>
      <c r="P3337" s="602"/>
      <c r="Q3337" s="602" t="s">
        <v>176</v>
      </c>
      <c r="R3337" s="602" t="s">
        <v>176</v>
      </c>
      <c r="S3337" s="602"/>
      <c r="T3337" s="602"/>
      <c r="U3337" s="602"/>
      <c r="V3337" s="602"/>
      <c r="W3337" s="40"/>
      <c r="X3337" s="504">
        <f t="shared" ref="X3337:X3346" si="13577">SUMIFS(P3337:V3337,$P$8:$V$8,"&gt;="&amp;$P$8,$P$8:$V$8,"&lt;="&amp;$N$8)</f>
        <v>0</v>
      </c>
      <c r="Y3337" s="849" t="str">
        <f>IFERROR((X3338/X3337),"-")</f>
        <v>-</v>
      </c>
      <c r="Z3337" s="40"/>
      <c r="AA3337" s="858"/>
      <c r="AB3337" s="858"/>
      <c r="AC3337" s="858"/>
      <c r="AD3337" s="762" t="str">
        <f>IFERROR((AC3337/AA3337),"-")</f>
        <v>-</v>
      </c>
      <c r="AE3337" s="40"/>
      <c r="AF3337" s="855"/>
      <c r="AG3337" s="855"/>
      <c r="AH3337" s="855"/>
      <c r="AI3337" s="855"/>
      <c r="AJ3337" s="855"/>
      <c r="AK3337" s="855"/>
      <c r="AL3337" s="855"/>
      <c r="AM3337" s="849"/>
      <c r="AN3337" s="40"/>
      <c r="AO3337" s="855"/>
      <c r="AP3337" s="855"/>
      <c r="AV3337" t="str">
        <f t="shared" si="13382"/>
        <v>PI - Passagem Inferior</v>
      </c>
      <c r="AW3337" s="4" t="str">
        <f t="shared" ref="AW3337:AW3400" si="13578">IF(E3337&lt;&gt;"",E3337,AW3336)</f>
        <v>Base de Brita Graduada</v>
      </c>
    </row>
    <row r="3338" spans="1:49" ht="18" customHeight="1" outlineLevel="2">
      <c r="A3338" s="604" t="str">
        <f t="shared" si="13567"/>
        <v>N</v>
      </c>
      <c r="B3338" s="599"/>
      <c r="C3338" s="599">
        <v>0</v>
      </c>
      <c r="D3338" s="124"/>
      <c r="E3338" s="847"/>
      <c r="F3338" s="848"/>
      <c r="G3338" s="40"/>
      <c r="H3338" s="603" t="s">
        <v>38</v>
      </c>
      <c r="I3338" s="504"/>
      <c r="J3338" s="850"/>
      <c r="K3338" s="40"/>
      <c r="L3338" s="603" t="s">
        <v>38</v>
      </c>
      <c r="M3338" s="504" t="str">
        <f t="shared" si="13565"/>
        <v>x</v>
      </c>
      <c r="N3338" s="850"/>
      <c r="O3338" s="40"/>
      <c r="P3338" s="602"/>
      <c r="Q3338" s="606" t="s">
        <v>176</v>
      </c>
      <c r="R3338" s="602"/>
      <c r="S3338" s="602"/>
      <c r="T3338" s="602"/>
      <c r="U3338" s="602"/>
      <c r="V3338" s="602"/>
      <c r="W3338" s="40"/>
      <c r="X3338" s="504">
        <f t="shared" si="13577"/>
        <v>0</v>
      </c>
      <c r="Y3338" s="850"/>
      <c r="Z3338" s="40"/>
      <c r="AA3338" s="857"/>
      <c r="AB3338" s="857"/>
      <c r="AC3338" s="857"/>
      <c r="AD3338" s="763"/>
      <c r="AE3338" s="40"/>
      <c r="AF3338" s="880"/>
      <c r="AG3338" s="880"/>
      <c r="AH3338" s="880"/>
      <c r="AI3338" s="880"/>
      <c r="AJ3338" s="880"/>
      <c r="AK3338" s="880"/>
      <c r="AL3338" s="880"/>
      <c r="AM3338" s="881"/>
      <c r="AN3338" s="40"/>
      <c r="AO3338" s="882"/>
      <c r="AP3338" s="857"/>
      <c r="AV3338" t="str">
        <f t="shared" ref="AV3338:AV3401" si="13579">IF(AX3338="Y",LEFT(E3338,20),IF(AX3338="x",E3338,AV3337))</f>
        <v>PI - Passagem Inferior</v>
      </c>
      <c r="AW3338" s="4" t="str">
        <f t="shared" si="13578"/>
        <v>Base de Brita Graduada</v>
      </c>
    </row>
    <row r="3339" spans="1:49" ht="18" customHeight="1" outlineLevel="2">
      <c r="A3339" s="604" t="str">
        <f t="shared" ref="A3339" si="13580">IF(SUM(P3339:V3340)&gt;0,"S","N")</f>
        <v>N</v>
      </c>
      <c r="B3339" s="599"/>
      <c r="C3339" s="599"/>
      <c r="D3339" s="124"/>
      <c r="E3339" s="846" t="s">
        <v>3749</v>
      </c>
      <c r="F3339" s="848" t="s">
        <v>1437</v>
      </c>
      <c r="G3339" s="40"/>
      <c r="H3339" s="600" t="s">
        <v>37</v>
      </c>
      <c r="I3339" s="601"/>
      <c r="J3339" s="849" t="str">
        <f t="shared" ref="J3339" si="13581">IFERROR((I3340/I3339),"-")</f>
        <v>-</v>
      </c>
      <c r="K3339" s="40"/>
      <c r="L3339" s="600" t="s">
        <v>37</v>
      </c>
      <c r="M3339" s="504">
        <f t="shared" si="13565"/>
        <v>0</v>
      </c>
      <c r="N3339" s="849" t="str">
        <f t="shared" ref="N3339" si="13582">IFERROR((M3340/M3339),"-")</f>
        <v>-</v>
      </c>
      <c r="O3339" s="40"/>
      <c r="P3339" s="602"/>
      <c r="Q3339" s="602"/>
      <c r="R3339" s="602" t="s">
        <v>176</v>
      </c>
      <c r="S3339" s="602"/>
      <c r="T3339" s="602"/>
      <c r="U3339" s="602"/>
      <c r="V3339" s="602"/>
      <c r="W3339" s="40"/>
      <c r="X3339" s="504">
        <f t="shared" si="13577"/>
        <v>0</v>
      </c>
      <c r="Y3339" s="849" t="str">
        <f>IFERROR((X3340/X3339),"-")</f>
        <v>-</v>
      </c>
      <c r="Z3339" s="40"/>
      <c r="AA3339" s="858"/>
      <c r="AB3339" s="858"/>
      <c r="AC3339" s="858"/>
      <c r="AD3339" s="762" t="str">
        <f>IFERROR((AC3339/AA3339),"-")</f>
        <v>-</v>
      </c>
      <c r="AE3339" s="40"/>
      <c r="AF3339" s="855"/>
      <c r="AG3339" s="855"/>
      <c r="AH3339" s="855"/>
      <c r="AI3339" s="855"/>
      <c r="AJ3339" s="855"/>
      <c r="AK3339" s="855"/>
      <c r="AL3339" s="855"/>
      <c r="AM3339" s="849"/>
      <c r="AN3339" s="40"/>
      <c r="AO3339" s="855"/>
      <c r="AP3339" s="855"/>
      <c r="AV3339" t="str">
        <f t="shared" si="13579"/>
        <v>PI - Passagem Inferior</v>
      </c>
      <c r="AW3339" s="4" t="str">
        <f t="shared" si="13578"/>
        <v>Imprimação</v>
      </c>
    </row>
    <row r="3340" spans="1:49" ht="18" customHeight="1" outlineLevel="2">
      <c r="A3340" s="604" t="str">
        <f t="shared" si="13567"/>
        <v>N</v>
      </c>
      <c r="B3340" s="599"/>
      <c r="C3340" s="599">
        <v>0</v>
      </c>
      <c r="D3340" s="124"/>
      <c r="E3340" s="847"/>
      <c r="F3340" s="848"/>
      <c r="G3340" s="40"/>
      <c r="H3340" s="603" t="s">
        <v>38</v>
      </c>
      <c r="I3340" s="504"/>
      <c r="J3340" s="850"/>
      <c r="K3340" s="40"/>
      <c r="L3340" s="603" t="s">
        <v>38</v>
      </c>
      <c r="M3340" s="504">
        <f t="shared" si="13565"/>
        <v>0</v>
      </c>
      <c r="N3340" s="850"/>
      <c r="O3340" s="40"/>
      <c r="P3340" s="602"/>
      <c r="Q3340" s="602"/>
      <c r="R3340" s="602"/>
      <c r="S3340" s="602"/>
      <c r="T3340" s="602"/>
      <c r="U3340" s="602"/>
      <c r="V3340" s="602"/>
      <c r="W3340" s="40"/>
      <c r="X3340" s="504">
        <f t="shared" si="13577"/>
        <v>0</v>
      </c>
      <c r="Y3340" s="850"/>
      <c r="Z3340" s="40"/>
      <c r="AA3340" s="857"/>
      <c r="AB3340" s="857"/>
      <c r="AC3340" s="857"/>
      <c r="AD3340" s="763"/>
      <c r="AE3340" s="40"/>
      <c r="AF3340" s="880"/>
      <c r="AG3340" s="880"/>
      <c r="AH3340" s="880"/>
      <c r="AI3340" s="880"/>
      <c r="AJ3340" s="880"/>
      <c r="AK3340" s="880"/>
      <c r="AL3340" s="880"/>
      <c r="AM3340" s="881"/>
      <c r="AN3340" s="40"/>
      <c r="AO3340" s="882"/>
      <c r="AP3340" s="857"/>
      <c r="AV3340" t="str">
        <f t="shared" si="13579"/>
        <v>PI - Passagem Inferior</v>
      </c>
      <c r="AW3340" s="4" t="str">
        <f t="shared" si="13578"/>
        <v>Imprimação</v>
      </c>
    </row>
    <row r="3341" spans="1:49" ht="18" customHeight="1" outlineLevel="2">
      <c r="A3341" s="604" t="str">
        <f t="shared" ref="A3341" si="13583">IF(SUM(P3341:V3342)&gt;0,"S","N")</f>
        <v>S</v>
      </c>
      <c r="B3341" s="599"/>
      <c r="C3341" s="599"/>
      <c r="D3341" s="124"/>
      <c r="E3341" s="846" t="s">
        <v>3750</v>
      </c>
      <c r="F3341" s="848" t="s">
        <v>1437</v>
      </c>
      <c r="G3341" s="40"/>
      <c r="H3341" s="600" t="s">
        <v>37</v>
      </c>
      <c r="I3341" s="601"/>
      <c r="J3341" s="849" t="str">
        <f t="shared" ref="J3341" si="13584">IFERROR((I3342/I3341),"-")</f>
        <v>-</v>
      </c>
      <c r="K3341" s="40"/>
      <c r="L3341" s="600" t="s">
        <v>37</v>
      </c>
      <c r="M3341" s="504">
        <f t="shared" si="13565"/>
        <v>0</v>
      </c>
      <c r="N3341" s="849" t="str">
        <f t="shared" ref="N3341" si="13585">IFERROR((M3342/M3341),"-")</f>
        <v>-</v>
      </c>
      <c r="O3341" s="40"/>
      <c r="P3341" s="602"/>
      <c r="Q3341" s="602"/>
      <c r="R3341" s="602" t="s">
        <v>176</v>
      </c>
      <c r="S3341" s="602">
        <v>1</v>
      </c>
      <c r="T3341" s="602"/>
      <c r="U3341" s="602"/>
      <c r="V3341" s="602"/>
      <c r="W3341" s="40"/>
      <c r="X3341" s="504">
        <f t="shared" si="13577"/>
        <v>0</v>
      </c>
      <c r="Y3341" s="849" t="str">
        <f>IFERROR((X3342/X3341),"-")</f>
        <v>-</v>
      </c>
      <c r="Z3341" s="40"/>
      <c r="AA3341" s="858"/>
      <c r="AB3341" s="858"/>
      <c r="AC3341" s="858"/>
      <c r="AD3341" s="762" t="str">
        <f>IFERROR((AC3341/AA3341),"-")</f>
        <v>-</v>
      </c>
      <c r="AE3341" s="40"/>
      <c r="AF3341" s="855"/>
      <c r="AG3341" s="855"/>
      <c r="AH3341" s="855"/>
      <c r="AI3341" s="855"/>
      <c r="AJ3341" s="855"/>
      <c r="AK3341" s="855"/>
      <c r="AL3341" s="855"/>
      <c r="AM3341" s="849"/>
      <c r="AN3341" s="40"/>
      <c r="AO3341" s="855"/>
      <c r="AP3341" s="855"/>
      <c r="AV3341" t="str">
        <f t="shared" si="13579"/>
        <v>PI - Passagem Inferior</v>
      </c>
      <c r="AW3341" s="4" t="str">
        <f t="shared" si="13578"/>
        <v>Aplicação de CBUQ</v>
      </c>
    </row>
    <row r="3342" spans="1:49" ht="18" customHeight="1" outlineLevel="2">
      <c r="A3342" s="604" t="str">
        <f t="shared" si="13567"/>
        <v>S</v>
      </c>
      <c r="B3342" s="599"/>
      <c r="C3342" s="599">
        <v>0</v>
      </c>
      <c r="D3342" s="124"/>
      <c r="E3342" s="847"/>
      <c r="F3342" s="848"/>
      <c r="G3342" s="40"/>
      <c r="H3342" s="603" t="s">
        <v>38</v>
      </c>
      <c r="I3342" s="504"/>
      <c r="J3342" s="850"/>
      <c r="K3342" s="40"/>
      <c r="L3342" s="603" t="s">
        <v>38</v>
      </c>
      <c r="M3342" s="504">
        <f t="shared" si="13565"/>
        <v>0</v>
      </c>
      <c r="N3342" s="850"/>
      <c r="O3342" s="40"/>
      <c r="P3342" s="602"/>
      <c r="Q3342" s="602"/>
      <c r="R3342" s="602"/>
      <c r="S3342" s="602"/>
      <c r="T3342" s="602"/>
      <c r="U3342" s="602"/>
      <c r="V3342" s="602"/>
      <c r="W3342" s="40"/>
      <c r="X3342" s="504">
        <f t="shared" si="13577"/>
        <v>0</v>
      </c>
      <c r="Y3342" s="850"/>
      <c r="Z3342" s="40"/>
      <c r="AA3342" s="857"/>
      <c r="AB3342" s="857"/>
      <c r="AC3342" s="857"/>
      <c r="AD3342" s="763"/>
      <c r="AE3342" s="40"/>
      <c r="AF3342" s="880"/>
      <c r="AG3342" s="880"/>
      <c r="AH3342" s="880"/>
      <c r="AI3342" s="880"/>
      <c r="AJ3342" s="880"/>
      <c r="AK3342" s="880"/>
      <c r="AL3342" s="880"/>
      <c r="AM3342" s="881"/>
      <c r="AN3342" s="40"/>
      <c r="AO3342" s="882"/>
      <c r="AP3342" s="857"/>
      <c r="AV3342" t="str">
        <f t="shared" si="13579"/>
        <v>PI - Passagem Inferior</v>
      </c>
      <c r="AW3342" s="4" t="str">
        <f t="shared" si="13578"/>
        <v>Aplicação de CBUQ</v>
      </c>
    </row>
    <row r="3343" spans="1:49" ht="18" customHeight="1" outlineLevel="1">
      <c r="A3343" s="604" t="str">
        <f t="shared" ref="A3343" si="13586">IF(SUM(P3343:V3344)&gt;0,"S","N")</f>
        <v>S</v>
      </c>
      <c r="B3343" s="599"/>
      <c r="C3343" s="599"/>
      <c r="D3343" s="124"/>
      <c r="E3343" s="846" t="s">
        <v>3751</v>
      </c>
      <c r="F3343" s="848" t="s">
        <v>1437</v>
      </c>
      <c r="G3343" s="40"/>
      <c r="H3343" s="600" t="s">
        <v>37</v>
      </c>
      <c r="I3343" s="601"/>
      <c r="J3343" s="849" t="str">
        <f t="shared" ref="J3343" si="13587">IFERROR((I3344/I3343),"-")</f>
        <v>-</v>
      </c>
      <c r="K3343" s="40"/>
      <c r="L3343" s="600" t="s">
        <v>37</v>
      </c>
      <c r="M3343" s="504">
        <f t="shared" si="13565"/>
        <v>0</v>
      </c>
      <c r="N3343" s="849" t="str">
        <f t="shared" ref="N3343" si="13588">IFERROR((M3344/M3343),"-")</f>
        <v>-</v>
      </c>
      <c r="O3343" s="40"/>
      <c r="P3343" s="602"/>
      <c r="Q3343" s="602"/>
      <c r="R3343" s="602"/>
      <c r="S3343" s="602"/>
      <c r="T3343" s="602" t="s">
        <v>1434</v>
      </c>
      <c r="U3343" s="602">
        <v>1</v>
      </c>
      <c r="V3343" s="602"/>
      <c r="W3343" s="40"/>
      <c r="X3343" s="504">
        <f t="shared" si="13577"/>
        <v>0</v>
      </c>
      <c r="Y3343" s="849" t="str">
        <f>IFERROR((X3344/X3343),"-")</f>
        <v>-</v>
      </c>
      <c r="Z3343" s="40"/>
      <c r="AA3343" s="858"/>
      <c r="AB3343" s="858"/>
      <c r="AC3343" s="858"/>
      <c r="AD3343" s="762" t="str">
        <f>IFERROR((AC3343/AA3343),"-")</f>
        <v>-</v>
      </c>
      <c r="AE3343" s="40"/>
      <c r="AF3343" s="855"/>
      <c r="AG3343" s="855"/>
      <c r="AH3343" s="855"/>
      <c r="AI3343" s="855"/>
      <c r="AJ3343" s="855"/>
      <c r="AK3343" s="855"/>
      <c r="AL3343" s="855"/>
      <c r="AM3343" s="849"/>
      <c r="AN3343" s="40"/>
      <c r="AO3343" s="855"/>
      <c r="AP3343" s="855"/>
      <c r="AV3343" t="str">
        <f t="shared" si="13579"/>
        <v>PI - Passagem Inferior</v>
      </c>
      <c r="AW3343" s="4" t="str">
        <f t="shared" si="13578"/>
        <v>Instalação de placas de sinalização</v>
      </c>
    </row>
    <row r="3344" spans="1:49" ht="18" customHeight="1" outlineLevel="1">
      <c r="A3344" s="604" t="str">
        <f t="shared" si="13567"/>
        <v>S</v>
      </c>
      <c r="B3344" s="599"/>
      <c r="C3344" s="599">
        <v>0</v>
      </c>
      <c r="D3344" s="124"/>
      <c r="E3344" s="847"/>
      <c r="F3344" s="848"/>
      <c r="G3344" s="40"/>
      <c r="H3344" s="603" t="s">
        <v>38</v>
      </c>
      <c r="I3344" s="504"/>
      <c r="J3344" s="850"/>
      <c r="K3344" s="40"/>
      <c r="L3344" s="603" t="s">
        <v>38</v>
      </c>
      <c r="M3344" s="504">
        <f t="shared" si="13565"/>
        <v>0</v>
      </c>
      <c r="N3344" s="850"/>
      <c r="O3344" s="40"/>
      <c r="P3344" s="602"/>
      <c r="Q3344" s="602"/>
      <c r="R3344" s="602"/>
      <c r="S3344" s="602"/>
      <c r="T3344" s="602"/>
      <c r="U3344" s="602"/>
      <c r="V3344" s="602"/>
      <c r="W3344" s="40"/>
      <c r="X3344" s="504">
        <f t="shared" si="13577"/>
        <v>0</v>
      </c>
      <c r="Y3344" s="850"/>
      <c r="Z3344" s="40"/>
      <c r="AA3344" s="857"/>
      <c r="AB3344" s="857"/>
      <c r="AC3344" s="857"/>
      <c r="AD3344" s="763"/>
      <c r="AE3344" s="40"/>
      <c r="AF3344" s="880"/>
      <c r="AG3344" s="880"/>
      <c r="AH3344" s="880"/>
      <c r="AI3344" s="880"/>
      <c r="AJ3344" s="880"/>
      <c r="AK3344" s="880"/>
      <c r="AL3344" s="880"/>
      <c r="AM3344" s="881"/>
      <c r="AN3344" s="40"/>
      <c r="AO3344" s="882"/>
      <c r="AP3344" s="857"/>
      <c r="AV3344" t="str">
        <f t="shared" si="13579"/>
        <v>PI - Passagem Inferior</v>
      </c>
      <c r="AW3344" s="4" t="str">
        <f t="shared" si="13578"/>
        <v>Instalação de placas de sinalização</v>
      </c>
    </row>
    <row r="3345" spans="1:50" ht="18" customHeight="1" outlineLevel="1">
      <c r="A3345" s="604" t="str">
        <f t="shared" ref="A3345" si="13589">IF(SUM(P3345:V3346)&gt;0,"S","N")</f>
        <v>S</v>
      </c>
      <c r="B3345" s="599"/>
      <c r="C3345" s="599"/>
      <c r="D3345" s="124"/>
      <c r="E3345" s="846" t="s">
        <v>3752</v>
      </c>
      <c r="F3345" s="848" t="s">
        <v>1437</v>
      </c>
      <c r="G3345" s="40"/>
      <c r="H3345" s="600" t="s">
        <v>37</v>
      </c>
      <c r="I3345" s="601"/>
      <c r="J3345" s="849" t="str">
        <f t="shared" ref="J3345" si="13590">IFERROR((I3346/I3345),"-")</f>
        <v>-</v>
      </c>
      <c r="K3345" s="40"/>
      <c r="L3345" s="600" t="s">
        <v>37</v>
      </c>
      <c r="M3345" s="504">
        <f t="shared" si="13565"/>
        <v>0</v>
      </c>
      <c r="N3345" s="849" t="str">
        <f t="shared" ref="N3345" si="13591">IFERROR((M3346/M3345),"-")</f>
        <v>-</v>
      </c>
      <c r="O3345" s="40"/>
      <c r="P3345" s="602"/>
      <c r="Q3345" s="602"/>
      <c r="R3345" s="602"/>
      <c r="S3345" s="602"/>
      <c r="T3345" s="602" t="s">
        <v>1434</v>
      </c>
      <c r="U3345" s="602">
        <v>1</v>
      </c>
      <c r="V3345" s="602"/>
      <c r="W3345" s="40"/>
      <c r="X3345" s="504">
        <f t="shared" si="13577"/>
        <v>0</v>
      </c>
      <c r="Y3345" s="849" t="str">
        <f>IFERROR((X3346/X3345),"-")</f>
        <v>-</v>
      </c>
      <c r="Z3345" s="40"/>
      <c r="AA3345" s="858"/>
      <c r="AB3345" s="858"/>
      <c r="AC3345" s="858"/>
      <c r="AD3345" s="762" t="str">
        <f>IFERROR((AC3345/AA3345),"-")</f>
        <v>-</v>
      </c>
      <c r="AE3345" s="40"/>
      <c r="AF3345" s="855"/>
      <c r="AG3345" s="855"/>
      <c r="AH3345" s="855"/>
      <c r="AI3345" s="855"/>
      <c r="AJ3345" s="855"/>
      <c r="AK3345" s="855"/>
      <c r="AL3345" s="855"/>
      <c r="AM3345" s="849"/>
      <c r="AN3345" s="40"/>
      <c r="AO3345" s="855"/>
      <c r="AP3345" s="855"/>
      <c r="AV3345" t="str">
        <f t="shared" si="13579"/>
        <v>PI - Passagem Inferior</v>
      </c>
      <c r="AW3345" s="4" t="str">
        <f t="shared" si="13578"/>
        <v>Execução de Pintura de faixa</v>
      </c>
    </row>
    <row r="3346" spans="1:50" ht="18" customHeight="1" outlineLevel="2">
      <c r="A3346" s="604" t="str">
        <f t="shared" si="13567"/>
        <v>S</v>
      </c>
      <c r="B3346" s="599"/>
      <c r="C3346" s="599">
        <v>0</v>
      </c>
      <c r="D3346" s="124"/>
      <c r="E3346" s="847"/>
      <c r="F3346" s="848"/>
      <c r="G3346" s="40"/>
      <c r="H3346" s="603" t="s">
        <v>38</v>
      </c>
      <c r="I3346" s="504"/>
      <c r="J3346" s="850"/>
      <c r="K3346" s="40"/>
      <c r="L3346" s="603" t="s">
        <v>38</v>
      </c>
      <c r="M3346" s="504">
        <f t="shared" si="13565"/>
        <v>0</v>
      </c>
      <c r="N3346" s="850"/>
      <c r="O3346" s="40"/>
      <c r="P3346" s="602"/>
      <c r="Q3346" s="602"/>
      <c r="R3346" s="602"/>
      <c r="S3346" s="602"/>
      <c r="T3346" s="602"/>
      <c r="U3346" s="602"/>
      <c r="V3346" s="602"/>
      <c r="W3346" s="40"/>
      <c r="X3346" s="504">
        <f t="shared" si="13577"/>
        <v>0</v>
      </c>
      <c r="Y3346" s="850"/>
      <c r="Z3346" s="40"/>
      <c r="AA3346" s="857"/>
      <c r="AB3346" s="857"/>
      <c r="AC3346" s="857"/>
      <c r="AD3346" s="763"/>
      <c r="AE3346" s="40"/>
      <c r="AF3346" s="880"/>
      <c r="AG3346" s="880"/>
      <c r="AH3346" s="880"/>
      <c r="AI3346" s="880"/>
      <c r="AJ3346" s="880"/>
      <c r="AK3346" s="880"/>
      <c r="AL3346" s="880"/>
      <c r="AM3346" s="881"/>
      <c r="AN3346" s="40"/>
      <c r="AO3346" s="882"/>
      <c r="AP3346" s="857"/>
      <c r="AV3346" s="4" t="str">
        <f t="shared" si="13579"/>
        <v>PI - Passagem Inferior</v>
      </c>
      <c r="AW3346" s="4" t="str">
        <f t="shared" si="13578"/>
        <v>Execução de Pintura de faixa</v>
      </c>
      <c r="AX3346" s="4"/>
    </row>
    <row r="3347" spans="1:50" ht="18" customHeight="1" outlineLevel="2">
      <c r="A3347" s="604" t="str">
        <f t="shared" ref="A3347" si="13592">IF(SUM(P3347:V3348)&gt;0,"S","N")</f>
        <v>S</v>
      </c>
      <c r="B3347" s="599"/>
      <c r="C3347" s="599"/>
      <c r="D3347" s="124"/>
      <c r="E3347" s="846" t="s">
        <v>3753</v>
      </c>
      <c r="F3347" s="848" t="s">
        <v>1437</v>
      </c>
      <c r="G3347" s="40"/>
      <c r="H3347" s="600" t="s">
        <v>37</v>
      </c>
      <c r="I3347" s="601"/>
      <c r="J3347" s="849" t="str">
        <f t="shared" ref="J3347" si="13593">IFERROR((I3348/I3347),"-")</f>
        <v>-</v>
      </c>
      <c r="K3347" s="40"/>
      <c r="L3347" s="600" t="s">
        <v>37</v>
      </c>
      <c r="M3347" s="504">
        <f t="shared" si="13565"/>
        <v>0</v>
      </c>
      <c r="N3347" s="849" t="str">
        <f t="shared" ref="N3347" si="13594">IFERROR((M3348/M3347),"-")</f>
        <v>-</v>
      </c>
      <c r="O3347" s="40"/>
      <c r="P3347" s="602"/>
      <c r="Q3347" s="602"/>
      <c r="R3347" s="602"/>
      <c r="S3347" s="602"/>
      <c r="T3347" s="602" t="s">
        <v>1434</v>
      </c>
      <c r="U3347" s="602">
        <v>1</v>
      </c>
      <c r="V3347" s="602"/>
      <c r="W3347" s="40"/>
      <c r="X3347" s="504">
        <f t="shared" si="13562"/>
        <v>0</v>
      </c>
      <c r="Y3347" s="849" t="str">
        <f>IFERROR((X3348/X3347),"-")</f>
        <v>-</v>
      </c>
      <c r="Z3347" s="40"/>
      <c r="AA3347" s="858"/>
      <c r="AB3347" s="858"/>
      <c r="AC3347" s="858"/>
      <c r="AD3347" s="762" t="str">
        <f>IFERROR((AC3347/AA3347),"-")</f>
        <v>-</v>
      </c>
      <c r="AE3347" s="40"/>
      <c r="AF3347" s="855"/>
      <c r="AG3347" s="855"/>
      <c r="AH3347" s="855"/>
      <c r="AI3347" s="855"/>
      <c r="AJ3347" s="855"/>
      <c r="AK3347" s="855"/>
      <c r="AL3347" s="855"/>
      <c r="AM3347" s="849"/>
      <c r="AN3347" s="40"/>
      <c r="AO3347" s="855"/>
      <c r="AP3347" s="855"/>
      <c r="AV3347" s="4" t="str">
        <f t="shared" si="13579"/>
        <v>PI - Passagem Inferior</v>
      </c>
      <c r="AW3347" s="4" t="str">
        <f t="shared" si="13578"/>
        <v>Instalação de defensa metálica e ancoragem</v>
      </c>
      <c r="AX3347" s="4"/>
    </row>
    <row r="3348" spans="1:50" ht="18" customHeight="1" outlineLevel="2">
      <c r="A3348" s="604" t="str">
        <f t="shared" si="13567"/>
        <v>S</v>
      </c>
      <c r="B3348" s="599"/>
      <c r="C3348" s="599">
        <v>0</v>
      </c>
      <c r="D3348" s="124"/>
      <c r="E3348" s="847"/>
      <c r="F3348" s="848"/>
      <c r="G3348" s="40"/>
      <c r="H3348" s="603" t="s">
        <v>38</v>
      </c>
      <c r="I3348" s="504"/>
      <c r="J3348" s="850"/>
      <c r="K3348" s="40"/>
      <c r="L3348" s="603" t="s">
        <v>38</v>
      </c>
      <c r="M3348" s="504">
        <f t="shared" si="13565"/>
        <v>0</v>
      </c>
      <c r="N3348" s="850"/>
      <c r="O3348" s="40"/>
      <c r="P3348" s="602"/>
      <c r="Q3348" s="602"/>
      <c r="R3348" s="602"/>
      <c r="S3348" s="602"/>
      <c r="T3348" s="602"/>
      <c r="U3348" s="602"/>
      <c r="V3348" s="602"/>
      <c r="W3348" s="40"/>
      <c r="X3348" s="504">
        <f t="shared" si="13562"/>
        <v>0</v>
      </c>
      <c r="Y3348" s="850"/>
      <c r="Z3348" s="40"/>
      <c r="AA3348" s="857"/>
      <c r="AB3348" s="857"/>
      <c r="AC3348" s="857"/>
      <c r="AD3348" s="763"/>
      <c r="AE3348" s="40"/>
      <c r="AF3348" s="880"/>
      <c r="AG3348" s="880"/>
      <c r="AH3348" s="880"/>
      <c r="AI3348" s="880"/>
      <c r="AJ3348" s="880"/>
      <c r="AK3348" s="880"/>
      <c r="AL3348" s="880"/>
      <c r="AM3348" s="881"/>
      <c r="AN3348" s="40"/>
      <c r="AO3348" s="882"/>
      <c r="AP3348" s="857"/>
      <c r="AV3348" s="4" t="str">
        <f t="shared" si="13579"/>
        <v>PI - Passagem Inferior</v>
      </c>
      <c r="AW3348" s="4" t="str">
        <f t="shared" si="13578"/>
        <v>Instalação de defensa metálica e ancoragem</v>
      </c>
      <c r="AX3348" s="4"/>
    </row>
    <row r="3349" spans="1:50" ht="18" customHeight="1" outlineLevel="2">
      <c r="A3349" s="604">
        <v>0</v>
      </c>
      <c r="B3349" s="599"/>
      <c r="C3349" s="599"/>
      <c r="D3349" s="613"/>
      <c r="E3349" s="221"/>
      <c r="F3349" s="614"/>
      <c r="G3349" s="221"/>
      <c r="H3349" s="221"/>
      <c r="I3349" s="615"/>
      <c r="J3349" s="221"/>
      <c r="K3349" s="221"/>
      <c r="L3349" s="221"/>
      <c r="M3349" s="615"/>
      <c r="N3349" s="221"/>
      <c r="O3349" s="221"/>
      <c r="P3349" s="221"/>
      <c r="Q3349" s="221"/>
      <c r="R3349" s="221"/>
      <c r="S3349" s="221"/>
      <c r="T3349" s="221"/>
      <c r="U3349" s="221"/>
      <c r="V3349" s="221"/>
      <c r="W3349" s="221"/>
      <c r="X3349" s="617"/>
      <c r="Y3349" s="221"/>
      <c r="Z3349" s="221"/>
      <c r="AA3349" s="615"/>
      <c r="AB3349" s="615"/>
      <c r="AC3349" s="222"/>
      <c r="AD3349" s="221"/>
      <c r="AE3349" s="221"/>
      <c r="AF3349" s="615"/>
      <c r="AG3349" s="615"/>
      <c r="AH3349" s="615"/>
      <c r="AI3349" s="615"/>
      <c r="AJ3349" s="615"/>
      <c r="AK3349" s="615"/>
      <c r="AL3349" s="615"/>
      <c r="AM3349" s="221"/>
      <c r="AN3349" s="221"/>
      <c r="AO3349" s="615"/>
      <c r="AP3349" s="615"/>
      <c r="AV3349" s="4" t="str">
        <f t="shared" si="13579"/>
        <v>PI - Passagem Inferior</v>
      </c>
      <c r="AW3349" s="4" t="str">
        <f t="shared" si="13578"/>
        <v>Instalação de defensa metálica e ancoragem</v>
      </c>
      <c r="AX3349" s="4"/>
    </row>
    <row r="3350" spans="1:50" ht="14.1" customHeight="1" outlineLevel="2">
      <c r="A3350" s="525">
        <v>0</v>
      </c>
      <c r="B3350" s="526"/>
      <c r="C3350" s="526">
        <v>0</v>
      </c>
      <c r="D3350" s="557"/>
      <c r="E3350" s="866" t="s">
        <v>3754</v>
      </c>
      <c r="F3350" s="868"/>
      <c r="G3350" s="528"/>
      <c r="H3350" s="542"/>
      <c r="I3350" s="543"/>
      <c r="J3350" s="860"/>
      <c r="K3350" s="528"/>
      <c r="L3350" s="542"/>
      <c r="M3350" s="543"/>
      <c r="N3350" s="860"/>
      <c r="O3350" s="528"/>
      <c r="P3350" s="566"/>
      <c r="Q3350" s="566"/>
      <c r="R3350" s="566"/>
      <c r="S3350" s="566"/>
      <c r="T3350" s="566"/>
      <c r="U3350" s="566"/>
      <c r="V3350" s="566"/>
      <c r="W3350" s="528"/>
      <c r="X3350" s="543"/>
      <c r="Y3350" s="860"/>
      <c r="Z3350" s="528"/>
      <c r="AA3350" s="814"/>
      <c r="AB3350" s="814"/>
      <c r="AC3350" s="814"/>
      <c r="AD3350" s="860"/>
      <c r="AE3350" s="528"/>
      <c r="AF3350" s="814"/>
      <c r="AG3350" s="814"/>
      <c r="AH3350" s="814"/>
      <c r="AI3350" s="814"/>
      <c r="AJ3350" s="814"/>
      <c r="AK3350" s="814"/>
      <c r="AL3350" s="814"/>
      <c r="AM3350" s="860"/>
      <c r="AN3350" s="528"/>
      <c r="AO3350" s="814"/>
      <c r="AP3350" s="814"/>
      <c r="AV3350" s="4" t="str">
        <f t="shared" si="13579"/>
        <v>PI - Passagem Inferior</v>
      </c>
      <c r="AW3350" s="4" t="str">
        <f t="shared" si="13578"/>
        <v>PI GO-336 - Km 1000+709 a Km 1000+726</v>
      </c>
      <c r="AX3350" s="4"/>
    </row>
    <row r="3351" spans="1:50" ht="24.95" customHeight="1" outlineLevel="2">
      <c r="A3351" s="525">
        <v>0</v>
      </c>
      <c r="B3351" s="526"/>
      <c r="C3351" s="526"/>
      <c r="D3351" s="558"/>
      <c r="E3351" s="867"/>
      <c r="F3351" s="869"/>
      <c r="G3351" s="528"/>
      <c r="H3351" s="544"/>
      <c r="I3351" s="543"/>
      <c r="J3351" s="861"/>
      <c r="K3351" s="528"/>
      <c r="L3351" s="544"/>
      <c r="M3351" s="543"/>
      <c r="N3351" s="861"/>
      <c r="O3351" s="528"/>
      <c r="P3351" s="566"/>
      <c r="Q3351" s="566"/>
      <c r="R3351" s="566"/>
      <c r="S3351" s="566"/>
      <c r="T3351" s="566"/>
      <c r="U3351" s="566"/>
      <c r="V3351" s="566"/>
      <c r="W3351" s="528"/>
      <c r="X3351" s="543"/>
      <c r="Y3351" s="861"/>
      <c r="Z3351" s="528"/>
      <c r="AA3351" s="815"/>
      <c r="AB3351" s="815"/>
      <c r="AC3351" s="815"/>
      <c r="AD3351" s="861"/>
      <c r="AE3351" s="528"/>
      <c r="AF3351" s="815"/>
      <c r="AG3351" s="815"/>
      <c r="AH3351" s="815"/>
      <c r="AI3351" s="815"/>
      <c r="AJ3351" s="815"/>
      <c r="AK3351" s="815"/>
      <c r="AL3351" s="815"/>
      <c r="AM3351" s="861"/>
      <c r="AN3351" s="528"/>
      <c r="AO3351" s="815"/>
      <c r="AP3351" s="815"/>
      <c r="AT3351" s="4"/>
      <c r="AU3351" s="4"/>
      <c r="AV3351" s="4" t="str">
        <f t="shared" si="13579"/>
        <v>PI - Passagem Inferior</v>
      </c>
      <c r="AW3351" s="4" t="str">
        <f t="shared" si="13578"/>
        <v>PI GO-336 - Km 1000+709 a Km 1000+726</v>
      </c>
      <c r="AX3351" s="4"/>
    </row>
    <row r="3352" spans="1:50" ht="24.95" customHeight="1" outlineLevel="2">
      <c r="A3352" s="598" t="str">
        <f t="shared" ref="A3352" si="13595">IF(SUM(P3352:V3353)&gt;0,"S","N")</f>
        <v>N</v>
      </c>
      <c r="B3352" s="599"/>
      <c r="C3352" s="599">
        <v>0</v>
      </c>
      <c r="D3352" s="124"/>
      <c r="E3352" s="864" t="s">
        <v>3755</v>
      </c>
      <c r="F3352" s="848" t="s">
        <v>1437</v>
      </c>
      <c r="G3352" s="40"/>
      <c r="H3352" s="600" t="s">
        <v>37</v>
      </c>
      <c r="I3352" s="602">
        <v>1</v>
      </c>
      <c r="J3352" s="849">
        <f t="shared" ref="J3352" si="13596">IFERROR((I3353/I3352),"-")</f>
        <v>1</v>
      </c>
      <c r="K3352" s="40"/>
      <c r="L3352" s="600" t="s">
        <v>37</v>
      </c>
      <c r="M3352" s="504">
        <f t="shared" ref="M3352:M3363" si="13597">_xlfn.XLOOKUP($N$8,$P$8:$V$8,$P3352:$V3352)</f>
        <v>0</v>
      </c>
      <c r="N3352" s="849" t="str">
        <f t="shared" ref="N3352" si="13598">IFERROR((M3353/M3352),"-")</f>
        <v>-</v>
      </c>
      <c r="O3352" s="40"/>
      <c r="P3352" s="602"/>
      <c r="Q3352" s="698"/>
      <c r="R3352" s="699"/>
      <c r="S3352" s="698"/>
      <c r="T3352" s="699"/>
      <c r="U3352" s="698"/>
      <c r="V3352" s="602"/>
      <c r="W3352" s="40"/>
      <c r="X3352" s="504">
        <f t="shared" ref="X3352:X3363" si="13599">SUMIFS(P3352:V3352,$P$8:$V$8,"&gt;="&amp;$P$8,$P$8:$V$8,"&lt;="&amp;$N$8)</f>
        <v>0</v>
      </c>
      <c r="Y3352" s="849" t="str">
        <f>IFERROR((X3353/X3352),"-")</f>
        <v>-</v>
      </c>
      <c r="Z3352" s="40"/>
      <c r="AA3352" s="862"/>
      <c r="AB3352" s="862"/>
      <c r="AC3352" s="855"/>
      <c r="AD3352" s="762" t="str">
        <f t="shared" ref="AD3352" si="13600">IFERROR((AC3352/AA3352),"-")</f>
        <v>-</v>
      </c>
      <c r="AE3352" s="40"/>
      <c r="AF3352" s="855"/>
      <c r="AG3352" s="855"/>
      <c r="AH3352" s="855"/>
      <c r="AI3352" s="855"/>
      <c r="AJ3352" s="855"/>
      <c r="AK3352" s="855"/>
      <c r="AL3352" s="855"/>
      <c r="AM3352" s="849"/>
      <c r="AN3352" s="40"/>
      <c r="AO3352" s="855"/>
      <c r="AP3352" s="855"/>
      <c r="AV3352" s="4" t="str">
        <f t="shared" si="13579"/>
        <v>PI - Passagem Inferior</v>
      </c>
      <c r="AW3352" s="4" t="str">
        <f t="shared" si="13578"/>
        <v>Laje Superior - Execução de cimbramento</v>
      </c>
      <c r="AX3352" s="4"/>
    </row>
    <row r="3353" spans="1:50" ht="17.45" customHeight="1" outlineLevel="2">
      <c r="A3353" s="598" t="str">
        <f t="shared" ref="A3353:A3363" si="13601">A3352</f>
        <v>N</v>
      </c>
      <c r="B3353" s="599"/>
      <c r="C3353" s="599"/>
      <c r="D3353" s="124"/>
      <c r="E3353" s="865"/>
      <c r="F3353" s="848"/>
      <c r="G3353" s="40"/>
      <c r="H3353" s="603" t="s">
        <v>38</v>
      </c>
      <c r="I3353" s="602">
        <v>1</v>
      </c>
      <c r="J3353" s="850"/>
      <c r="K3353" s="40"/>
      <c r="L3353" s="603" t="s">
        <v>38</v>
      </c>
      <c r="M3353" s="504">
        <f t="shared" si="13597"/>
        <v>0</v>
      </c>
      <c r="N3353" s="850"/>
      <c r="O3353" s="40"/>
      <c r="P3353" s="602"/>
      <c r="Q3353" s="698"/>
      <c r="R3353" s="699"/>
      <c r="S3353" s="698"/>
      <c r="T3353" s="698"/>
      <c r="U3353" s="698"/>
      <c r="V3353" s="602"/>
      <c r="W3353" s="40"/>
      <c r="X3353" s="504">
        <f t="shared" si="13599"/>
        <v>0</v>
      </c>
      <c r="Y3353" s="850"/>
      <c r="Z3353" s="40"/>
      <c r="AA3353" s="863"/>
      <c r="AB3353" s="863"/>
      <c r="AC3353" s="856"/>
      <c r="AD3353" s="763"/>
      <c r="AE3353" s="40"/>
      <c r="AF3353" s="856"/>
      <c r="AG3353" s="856"/>
      <c r="AH3353" s="856"/>
      <c r="AI3353" s="856"/>
      <c r="AJ3353" s="856"/>
      <c r="AK3353" s="856"/>
      <c r="AL3353" s="856"/>
      <c r="AM3353" s="850"/>
      <c r="AN3353" s="40"/>
      <c r="AO3353" s="856"/>
      <c r="AP3353" s="857"/>
      <c r="AV3353" s="4" t="str">
        <f t="shared" si="13579"/>
        <v>PI - Passagem Inferior</v>
      </c>
      <c r="AW3353" s="4" t="str">
        <f t="shared" si="13578"/>
        <v>Laje Superior - Execução de cimbramento</v>
      </c>
      <c r="AX3353" s="4"/>
    </row>
    <row r="3354" spans="1:50" ht="17.45" customHeight="1" outlineLevel="2">
      <c r="A3354" s="598" t="str">
        <f t="shared" ref="A3354" si="13602">IF(SUM(P3354:V3355)&gt;0,"S","N")</f>
        <v>N</v>
      </c>
      <c r="B3354" s="599"/>
      <c r="C3354" s="599">
        <v>0</v>
      </c>
      <c r="D3354" s="124"/>
      <c r="E3354" s="864" t="s">
        <v>3756</v>
      </c>
      <c r="F3354" s="848" t="s">
        <v>1437</v>
      </c>
      <c r="G3354" s="40"/>
      <c r="H3354" s="600" t="s">
        <v>37</v>
      </c>
      <c r="I3354" s="618">
        <v>1</v>
      </c>
      <c r="J3354" s="849" t="str">
        <f t="shared" ref="J3354" si="13603">IFERROR((I3355/I3354),"-")</f>
        <v>-</v>
      </c>
      <c r="K3354" s="40"/>
      <c r="L3354" s="600" t="s">
        <v>37</v>
      </c>
      <c r="M3354" s="504">
        <f t="shared" si="13597"/>
        <v>0</v>
      </c>
      <c r="N3354" s="849" t="str">
        <f t="shared" ref="N3354" si="13604">IFERROR((M3355/M3354),"-")</f>
        <v>-</v>
      </c>
      <c r="O3354" s="40"/>
      <c r="P3354" s="602"/>
      <c r="Q3354" s="698"/>
      <c r="R3354" s="699"/>
      <c r="S3354" s="698"/>
      <c r="T3354" s="699"/>
      <c r="U3354" s="698"/>
      <c r="V3354" s="602"/>
      <c r="W3354" s="40"/>
      <c r="X3354" s="504">
        <f t="shared" si="13599"/>
        <v>0</v>
      </c>
      <c r="Y3354" s="849" t="str">
        <f>IFERROR((X3355/X3354),"-")</f>
        <v>-</v>
      </c>
      <c r="Z3354" s="40"/>
      <c r="AA3354" s="862"/>
      <c r="AB3354" s="862"/>
      <c r="AC3354" s="855"/>
      <c r="AD3354" s="762" t="str">
        <f t="shared" ref="AD3354" si="13605">IFERROR((AC3354/AA3354),"-")</f>
        <v>-</v>
      </c>
      <c r="AE3354" s="40"/>
      <c r="AF3354" s="855"/>
      <c r="AG3354" s="855"/>
      <c r="AH3354" s="855"/>
      <c r="AI3354" s="855"/>
      <c r="AJ3354" s="855"/>
      <c r="AK3354" s="855"/>
      <c r="AL3354" s="855"/>
      <c r="AM3354" s="849"/>
      <c r="AN3354" s="40"/>
      <c r="AO3354" s="855"/>
      <c r="AP3354" s="855"/>
      <c r="AV3354" s="4" t="str">
        <f t="shared" si="13579"/>
        <v>PI - Passagem Inferior</v>
      </c>
      <c r="AW3354" s="4" t="str">
        <f t="shared" si="13578"/>
        <v>Desmontagem de andaime externo</v>
      </c>
      <c r="AX3354" s="4"/>
    </row>
    <row r="3355" spans="1:50" ht="17.45" customHeight="1" outlineLevel="2">
      <c r="A3355" s="598" t="str">
        <f t="shared" si="13601"/>
        <v>N</v>
      </c>
      <c r="B3355" s="599"/>
      <c r="C3355" s="599"/>
      <c r="D3355" s="124"/>
      <c r="E3355" s="865"/>
      <c r="F3355" s="848"/>
      <c r="G3355" s="40"/>
      <c r="H3355" s="603" t="s">
        <v>38</v>
      </c>
      <c r="I3355" s="618" t="s">
        <v>1434</v>
      </c>
      <c r="J3355" s="850"/>
      <c r="K3355" s="40"/>
      <c r="L3355" s="603" t="s">
        <v>38</v>
      </c>
      <c r="M3355" s="504">
        <f t="shared" si="13597"/>
        <v>0</v>
      </c>
      <c r="N3355" s="850"/>
      <c r="O3355" s="40"/>
      <c r="P3355" s="602"/>
      <c r="Q3355" s="698"/>
      <c r="R3355" s="698"/>
      <c r="S3355" s="698"/>
      <c r="T3355" s="698"/>
      <c r="U3355" s="698"/>
      <c r="V3355" s="602"/>
      <c r="W3355" s="40"/>
      <c r="X3355" s="504">
        <f t="shared" si="13599"/>
        <v>0</v>
      </c>
      <c r="Y3355" s="850"/>
      <c r="Z3355" s="40"/>
      <c r="AA3355" s="863"/>
      <c r="AB3355" s="863"/>
      <c r="AC3355" s="856"/>
      <c r="AD3355" s="763"/>
      <c r="AE3355" s="40"/>
      <c r="AF3355" s="856"/>
      <c r="AG3355" s="856"/>
      <c r="AH3355" s="856"/>
      <c r="AI3355" s="856"/>
      <c r="AJ3355" s="856"/>
      <c r="AK3355" s="856"/>
      <c r="AL3355" s="856"/>
      <c r="AM3355" s="850"/>
      <c r="AN3355" s="40"/>
      <c r="AO3355" s="856"/>
      <c r="AP3355" s="857"/>
      <c r="AV3355" s="4" t="str">
        <f t="shared" si="13579"/>
        <v>PI - Passagem Inferior</v>
      </c>
      <c r="AW3355" s="4" t="str">
        <f t="shared" si="13578"/>
        <v>Desmontagem de andaime externo</v>
      </c>
      <c r="AX3355" s="4"/>
    </row>
    <row r="3356" spans="1:50" ht="17.45" customHeight="1" outlineLevel="2">
      <c r="A3356" s="598" t="str">
        <f t="shared" ref="A3356" si="13606">IF(SUM(P3356:V3357)&gt;0,"S","N")</f>
        <v>S</v>
      </c>
      <c r="B3356" s="599"/>
      <c r="C3356" s="599">
        <v>0</v>
      </c>
      <c r="D3356" s="124"/>
      <c r="E3356" s="864" t="s">
        <v>3757</v>
      </c>
      <c r="F3356" s="848" t="s">
        <v>1437</v>
      </c>
      <c r="G3356" s="40"/>
      <c r="H3356" s="600" t="s">
        <v>37</v>
      </c>
      <c r="I3356" s="618">
        <v>1</v>
      </c>
      <c r="J3356" s="849" t="str">
        <f t="shared" ref="J3356" si="13607">IFERROR((I3357/I3356),"-")</f>
        <v>-</v>
      </c>
      <c r="K3356" s="40"/>
      <c r="L3356" s="600" t="s">
        <v>37</v>
      </c>
      <c r="M3356" s="504">
        <f t="shared" si="13597"/>
        <v>1</v>
      </c>
      <c r="N3356" s="849">
        <f t="shared" ref="N3356" si="13608">IFERROR((M3357/M3356),"-")</f>
        <v>0</v>
      </c>
      <c r="O3356" s="40"/>
      <c r="P3356" s="602" t="s">
        <v>176</v>
      </c>
      <c r="Q3356" s="698">
        <v>1</v>
      </c>
      <c r="R3356" s="699"/>
      <c r="S3356" s="698"/>
      <c r="T3356" s="699"/>
      <c r="U3356" s="698"/>
      <c r="V3356" s="602"/>
      <c r="W3356" s="40"/>
      <c r="X3356" s="504">
        <f t="shared" si="13599"/>
        <v>1</v>
      </c>
      <c r="Y3356" s="849">
        <f>IFERROR((X3357/X3356),"-")</f>
        <v>0</v>
      </c>
      <c r="Z3356" s="40"/>
      <c r="AA3356" s="862"/>
      <c r="AB3356" s="862"/>
      <c r="AC3356" s="855"/>
      <c r="AD3356" s="762" t="str">
        <f t="shared" ref="AD3356" si="13609">IFERROR((AC3356/AA3356),"-")</f>
        <v>-</v>
      </c>
      <c r="AE3356" s="40"/>
      <c r="AF3356" s="855"/>
      <c r="AG3356" s="855"/>
      <c r="AH3356" s="855"/>
      <c r="AI3356" s="855"/>
      <c r="AJ3356" s="855"/>
      <c r="AK3356" s="855"/>
      <c r="AL3356" s="855"/>
      <c r="AM3356" s="849"/>
      <c r="AN3356" s="40"/>
      <c r="AO3356" s="855"/>
      <c r="AP3356" s="855"/>
      <c r="AV3356" s="4" t="str">
        <f t="shared" si="13579"/>
        <v>PI - Passagem Inferior</v>
      </c>
      <c r="AW3356" s="4" t="str">
        <f t="shared" si="13578"/>
        <v>Dreno Lateral</v>
      </c>
      <c r="AX3356" s="4"/>
    </row>
    <row r="3357" spans="1:50" ht="25.9" customHeight="1" outlineLevel="2">
      <c r="A3357" s="598" t="str">
        <f t="shared" si="13601"/>
        <v>S</v>
      </c>
      <c r="B3357" s="599"/>
      <c r="C3357" s="599"/>
      <c r="D3357" s="124"/>
      <c r="E3357" s="865"/>
      <c r="F3357" s="848"/>
      <c r="G3357" s="40"/>
      <c r="H3357" s="603" t="s">
        <v>38</v>
      </c>
      <c r="I3357" s="618" t="s">
        <v>1434</v>
      </c>
      <c r="J3357" s="850"/>
      <c r="K3357" s="40"/>
      <c r="L3357" s="603" t="s">
        <v>38</v>
      </c>
      <c r="M3357" s="504">
        <f t="shared" si="13597"/>
        <v>0</v>
      </c>
      <c r="N3357" s="850"/>
      <c r="O3357" s="40"/>
      <c r="P3357" s="602"/>
      <c r="Q3357" s="698"/>
      <c r="R3357" s="698"/>
      <c r="S3357" s="698"/>
      <c r="T3357" s="698"/>
      <c r="U3357" s="698"/>
      <c r="V3357" s="602"/>
      <c r="W3357" s="40"/>
      <c r="X3357" s="504">
        <f t="shared" si="13599"/>
        <v>0</v>
      </c>
      <c r="Y3357" s="850"/>
      <c r="Z3357" s="40"/>
      <c r="AA3357" s="863"/>
      <c r="AB3357" s="863"/>
      <c r="AC3357" s="856"/>
      <c r="AD3357" s="763"/>
      <c r="AE3357" s="40"/>
      <c r="AF3357" s="856"/>
      <c r="AG3357" s="856"/>
      <c r="AH3357" s="856"/>
      <c r="AI3357" s="856"/>
      <c r="AJ3357" s="856"/>
      <c r="AK3357" s="856"/>
      <c r="AL3357" s="856"/>
      <c r="AM3357" s="850"/>
      <c r="AN3357" s="40"/>
      <c r="AO3357" s="856"/>
      <c r="AP3357" s="857"/>
      <c r="AV3357" s="4" t="str">
        <f t="shared" si="13579"/>
        <v>PI - Passagem Inferior</v>
      </c>
      <c r="AW3357" s="4" t="str">
        <f t="shared" si="13578"/>
        <v>Dreno Lateral</v>
      </c>
      <c r="AX3357" s="4"/>
    </row>
    <row r="3358" spans="1:50" ht="25.9" customHeight="1" outlineLevel="1">
      <c r="A3358" s="598" t="str">
        <f t="shared" ref="A3358" si="13610">IF(SUM(P3358:V3359)&gt;0,"S","N")</f>
        <v>S</v>
      </c>
      <c r="B3358" s="599"/>
      <c r="C3358" s="599">
        <v>0</v>
      </c>
      <c r="D3358" s="124"/>
      <c r="E3358" s="864" t="s">
        <v>3758</v>
      </c>
      <c r="F3358" s="848" t="s">
        <v>1437</v>
      </c>
      <c r="G3358" s="40"/>
      <c r="H3358" s="600" t="s">
        <v>37</v>
      </c>
      <c r="I3358" s="618">
        <v>1</v>
      </c>
      <c r="J3358" s="849" t="str">
        <f t="shared" ref="J3358" si="13611">IFERROR((I3359/I3358),"-")</f>
        <v>-</v>
      </c>
      <c r="K3358" s="40"/>
      <c r="L3358" s="600" t="s">
        <v>37</v>
      </c>
      <c r="M3358" s="504" t="str">
        <f t="shared" si="13597"/>
        <v>X</v>
      </c>
      <c r="N3358" s="849" t="str">
        <f t="shared" ref="N3358" si="13612">IFERROR((M3359/M3358),"-")</f>
        <v>-</v>
      </c>
      <c r="O3358" s="40"/>
      <c r="P3358" s="602"/>
      <c r="Q3358" s="698" t="s">
        <v>1434</v>
      </c>
      <c r="R3358" s="699" t="s">
        <v>1434</v>
      </c>
      <c r="S3358" s="698" t="s">
        <v>1434</v>
      </c>
      <c r="T3358" s="699" t="s">
        <v>1434</v>
      </c>
      <c r="U3358" s="698">
        <v>1</v>
      </c>
      <c r="V3358" s="602"/>
      <c r="W3358" s="40"/>
      <c r="X3358" s="504">
        <f t="shared" si="13599"/>
        <v>0</v>
      </c>
      <c r="Y3358" s="849" t="str">
        <f>IFERROR((X3359/X3358),"-")</f>
        <v>-</v>
      </c>
      <c r="Z3358" s="40"/>
      <c r="AA3358" s="862"/>
      <c r="AB3358" s="862"/>
      <c r="AC3358" s="855"/>
      <c r="AD3358" s="762" t="str">
        <f t="shared" ref="AD3358" si="13613">IFERROR((AC3358/AA3358),"-")</f>
        <v>-</v>
      </c>
      <c r="AE3358" s="40"/>
      <c r="AF3358" s="855"/>
      <c r="AG3358" s="855"/>
      <c r="AH3358" s="855"/>
      <c r="AI3358" s="855"/>
      <c r="AJ3358" s="855"/>
      <c r="AK3358" s="855"/>
      <c r="AL3358" s="855"/>
      <c r="AM3358" s="849"/>
      <c r="AN3358" s="40"/>
      <c r="AO3358" s="855"/>
      <c r="AP3358" s="855"/>
      <c r="AV3358" t="str">
        <f t="shared" si="13579"/>
        <v>PI - Passagem Inferior</v>
      </c>
      <c r="AW3358" s="4" t="str">
        <f t="shared" si="13578"/>
        <v>Reaterro lateral</v>
      </c>
    </row>
    <row r="3359" spans="1:50" ht="14.45" customHeight="1" outlineLevel="1">
      <c r="A3359" s="598" t="str">
        <f t="shared" si="13601"/>
        <v>S</v>
      </c>
      <c r="B3359" s="599"/>
      <c r="C3359" s="599"/>
      <c r="D3359" s="124"/>
      <c r="E3359" s="865"/>
      <c r="F3359" s="848"/>
      <c r="G3359" s="40"/>
      <c r="H3359" s="603" t="s">
        <v>38</v>
      </c>
      <c r="I3359" s="618" t="s">
        <v>1434</v>
      </c>
      <c r="J3359" s="850"/>
      <c r="K3359" s="40"/>
      <c r="L3359" s="603" t="s">
        <v>38</v>
      </c>
      <c r="M3359" s="504" t="str">
        <f t="shared" si="13597"/>
        <v>x</v>
      </c>
      <c r="N3359" s="850"/>
      <c r="O3359" s="40"/>
      <c r="P3359" s="606" t="s">
        <v>176</v>
      </c>
      <c r="Q3359" s="726" t="s">
        <v>176</v>
      </c>
      <c r="R3359" s="698"/>
      <c r="S3359" s="698"/>
      <c r="T3359" s="698"/>
      <c r="U3359" s="698"/>
      <c r="V3359" s="602"/>
      <c r="W3359" s="40"/>
      <c r="X3359" s="504">
        <f t="shared" si="13599"/>
        <v>0</v>
      </c>
      <c r="Y3359" s="850"/>
      <c r="Z3359" s="40"/>
      <c r="AA3359" s="863"/>
      <c r="AB3359" s="863"/>
      <c r="AC3359" s="856"/>
      <c r="AD3359" s="763"/>
      <c r="AE3359" s="40"/>
      <c r="AF3359" s="856"/>
      <c r="AG3359" s="856"/>
      <c r="AH3359" s="856"/>
      <c r="AI3359" s="856"/>
      <c r="AJ3359" s="856"/>
      <c r="AK3359" s="856"/>
      <c r="AL3359" s="856"/>
      <c r="AM3359" s="850"/>
      <c r="AN3359" s="40"/>
      <c r="AO3359" s="856"/>
      <c r="AP3359" s="857"/>
      <c r="AV3359" t="str">
        <f t="shared" si="13579"/>
        <v>PI - Passagem Inferior</v>
      </c>
      <c r="AW3359" s="4" t="str">
        <f t="shared" si="13578"/>
        <v>Reaterro lateral</v>
      </c>
    </row>
    <row r="3360" spans="1:50" ht="15" customHeight="1" outlineLevel="1">
      <c r="A3360" s="598" t="str">
        <f t="shared" ref="A3360" si="13614">IF(SUM(P3360:V3361)&gt;0,"S","N")</f>
        <v>N</v>
      </c>
      <c r="B3360" s="599"/>
      <c r="C3360" s="599">
        <v>0</v>
      </c>
      <c r="D3360" s="124"/>
      <c r="E3360" s="864" t="s">
        <v>3759</v>
      </c>
      <c r="F3360" s="848" t="s">
        <v>1437</v>
      </c>
      <c r="G3360" s="40"/>
      <c r="H3360" s="600" t="s">
        <v>37</v>
      </c>
      <c r="I3360" s="618">
        <v>1</v>
      </c>
      <c r="J3360" s="849" t="str">
        <f t="shared" ref="J3360" si="13615">IFERROR((I3361/I3360),"-")</f>
        <v>-</v>
      </c>
      <c r="K3360" s="40"/>
      <c r="L3360" s="600" t="s">
        <v>37</v>
      </c>
      <c r="M3360" s="504">
        <f t="shared" si="13597"/>
        <v>0</v>
      </c>
      <c r="N3360" s="849" t="str">
        <f t="shared" ref="N3360" si="13616">IFERROR((M3361/M3360),"-")</f>
        <v>-</v>
      </c>
      <c r="O3360" s="40"/>
      <c r="P3360" s="602"/>
      <c r="Q3360" s="698"/>
      <c r="R3360" s="699"/>
      <c r="S3360" s="698"/>
      <c r="T3360" s="699"/>
      <c r="U3360" s="698"/>
      <c r="V3360" s="602"/>
      <c r="W3360" s="40"/>
      <c r="X3360" s="504">
        <f t="shared" si="13599"/>
        <v>0</v>
      </c>
      <c r="Y3360" s="849" t="str">
        <f>IFERROR((X3361/X3360),"-")</f>
        <v>-</v>
      </c>
      <c r="Z3360" s="40"/>
      <c r="AA3360" s="862"/>
      <c r="AB3360" s="862"/>
      <c r="AC3360" s="855"/>
      <c r="AD3360" s="762" t="str">
        <f t="shared" ref="AD3360" si="13617">IFERROR((AC3360/AA3360),"-")</f>
        <v>-</v>
      </c>
      <c r="AE3360" s="40"/>
      <c r="AF3360" s="855"/>
      <c r="AG3360" s="855"/>
      <c r="AH3360" s="855"/>
      <c r="AI3360" s="855"/>
      <c r="AJ3360" s="855"/>
      <c r="AK3360" s="855"/>
      <c r="AL3360" s="855"/>
      <c r="AM3360" s="849"/>
      <c r="AN3360" s="40"/>
      <c r="AO3360" s="855"/>
      <c r="AP3360" s="855"/>
      <c r="AV3360" t="str">
        <f t="shared" si="13579"/>
        <v>PI - Passagem Inferior</v>
      </c>
      <c r="AW3360" s="4" t="str">
        <f t="shared" si="13578"/>
        <v>Execução de armação e fôrma - Platibanda/Mureta</v>
      </c>
    </row>
    <row r="3361" spans="1:51" ht="17.45" customHeight="1" outlineLevel="2" collapsed="1">
      <c r="A3361" s="598" t="str">
        <f t="shared" si="13601"/>
        <v>N</v>
      </c>
      <c r="B3361" s="599"/>
      <c r="C3361" s="599"/>
      <c r="D3361" s="124"/>
      <c r="E3361" s="865"/>
      <c r="F3361" s="848"/>
      <c r="G3361" s="40"/>
      <c r="H3361" s="603" t="s">
        <v>38</v>
      </c>
      <c r="I3361" s="618" t="s">
        <v>1434</v>
      </c>
      <c r="J3361" s="850"/>
      <c r="K3361" s="40"/>
      <c r="L3361" s="603" t="s">
        <v>38</v>
      </c>
      <c r="M3361" s="504">
        <f t="shared" si="13597"/>
        <v>0</v>
      </c>
      <c r="N3361" s="850"/>
      <c r="O3361" s="40"/>
      <c r="P3361" s="602"/>
      <c r="Q3361" s="698"/>
      <c r="R3361" s="698"/>
      <c r="S3361" s="698"/>
      <c r="T3361" s="698"/>
      <c r="U3361" s="698"/>
      <c r="V3361" s="602"/>
      <c r="W3361" s="40"/>
      <c r="X3361" s="504">
        <f t="shared" si="13599"/>
        <v>0</v>
      </c>
      <c r="Y3361" s="850"/>
      <c r="Z3361" s="40"/>
      <c r="AA3361" s="863"/>
      <c r="AB3361" s="863"/>
      <c r="AC3361" s="856"/>
      <c r="AD3361" s="763"/>
      <c r="AE3361" s="40"/>
      <c r="AF3361" s="856"/>
      <c r="AG3361" s="856"/>
      <c r="AH3361" s="856"/>
      <c r="AI3361" s="856"/>
      <c r="AJ3361" s="856"/>
      <c r="AK3361" s="856"/>
      <c r="AL3361" s="856"/>
      <c r="AM3361" s="850"/>
      <c r="AN3361" s="40"/>
      <c r="AO3361" s="856"/>
      <c r="AP3361" s="857"/>
      <c r="AV3361" t="str">
        <f t="shared" si="13579"/>
        <v>PI - Passagem Inferior</v>
      </c>
      <c r="AW3361" s="4" t="str">
        <f t="shared" si="13578"/>
        <v>Execução de armação e fôrma - Platibanda/Mureta</v>
      </c>
    </row>
    <row r="3362" spans="1:51" ht="17.45" customHeight="1" outlineLevel="2">
      <c r="A3362" s="598" t="str">
        <f t="shared" ref="A3362" si="13618">IF(SUM(P3362:V3363)&gt;0,"S","N")</f>
        <v>N</v>
      </c>
      <c r="B3362" s="599"/>
      <c r="C3362" s="599">
        <v>0</v>
      </c>
      <c r="D3362" s="124"/>
      <c r="E3362" s="846" t="s">
        <v>3760</v>
      </c>
      <c r="F3362" s="853" t="s">
        <v>1437</v>
      </c>
      <c r="G3362" s="40"/>
      <c r="H3362" s="600" t="s">
        <v>37</v>
      </c>
      <c r="I3362" s="602">
        <v>1</v>
      </c>
      <c r="J3362" s="849">
        <f t="shared" ref="J3362" si="13619">IFERROR((I3363/I3362),"-")</f>
        <v>1</v>
      </c>
      <c r="K3362" s="40"/>
      <c r="L3362" s="600" t="s">
        <v>37</v>
      </c>
      <c r="M3362" s="504">
        <f t="shared" si="13597"/>
        <v>0</v>
      </c>
      <c r="N3362" s="849" t="str">
        <f t="shared" ref="N3362" si="13620">IFERROR((M3363/M3362),"-")</f>
        <v>-</v>
      </c>
      <c r="O3362" s="40"/>
      <c r="P3362" s="602"/>
      <c r="Q3362" s="602"/>
      <c r="R3362" s="602"/>
      <c r="S3362" s="602"/>
      <c r="T3362" s="602"/>
      <c r="U3362" s="602"/>
      <c r="V3362" s="602"/>
      <c r="W3362" s="40"/>
      <c r="X3362" s="504">
        <f t="shared" si="13599"/>
        <v>0</v>
      </c>
      <c r="Y3362" s="849" t="str">
        <f>IFERROR((X3363/X3362),"-")</f>
        <v>-</v>
      </c>
      <c r="Z3362" s="40"/>
      <c r="AA3362" s="862"/>
      <c r="AB3362" s="862"/>
      <c r="AC3362" s="855"/>
      <c r="AD3362" s="762" t="str">
        <f t="shared" ref="AD3362" si="13621">IFERROR((AC3362/AA3362),"-")</f>
        <v>-</v>
      </c>
      <c r="AE3362" s="40"/>
      <c r="AF3362" s="855"/>
      <c r="AG3362" s="855"/>
      <c r="AH3362" s="855"/>
      <c r="AI3362" s="855"/>
      <c r="AJ3362" s="855"/>
      <c r="AK3362" s="855"/>
      <c r="AL3362" s="855"/>
      <c r="AM3362" s="849"/>
      <c r="AN3362" s="40"/>
      <c r="AO3362" s="855"/>
      <c r="AP3362" s="855"/>
      <c r="AV3362" t="str">
        <f t="shared" si="13579"/>
        <v>PI - Passagem Inferior</v>
      </c>
      <c r="AW3362" s="4" t="str">
        <f t="shared" si="13578"/>
        <v>Pavimentação da Recomposição - Regularização de subleito</v>
      </c>
    </row>
    <row r="3363" spans="1:51" ht="17.649999999999999" customHeight="1" outlineLevel="2">
      <c r="A3363" s="598" t="str">
        <f t="shared" si="13601"/>
        <v>N</v>
      </c>
      <c r="B3363" s="599"/>
      <c r="C3363" s="599"/>
      <c r="D3363" s="124"/>
      <c r="E3363" s="847"/>
      <c r="F3363" s="854"/>
      <c r="G3363" s="40"/>
      <c r="H3363" s="603" t="s">
        <v>38</v>
      </c>
      <c r="I3363" s="602">
        <v>1</v>
      </c>
      <c r="J3363" s="850"/>
      <c r="K3363" s="40"/>
      <c r="L3363" s="603" t="s">
        <v>38</v>
      </c>
      <c r="M3363" s="504">
        <f t="shared" si="13597"/>
        <v>0</v>
      </c>
      <c r="N3363" s="850"/>
      <c r="O3363" s="40"/>
      <c r="P3363" s="602"/>
      <c r="Q3363" s="602"/>
      <c r="R3363" s="602"/>
      <c r="S3363" s="602"/>
      <c r="T3363" s="602"/>
      <c r="U3363" s="602"/>
      <c r="V3363" s="602"/>
      <c r="W3363" s="40"/>
      <c r="X3363" s="504">
        <f t="shared" si="13599"/>
        <v>0</v>
      </c>
      <c r="Y3363" s="850"/>
      <c r="Z3363" s="40"/>
      <c r="AA3363" s="863"/>
      <c r="AB3363" s="863"/>
      <c r="AC3363" s="856"/>
      <c r="AD3363" s="763"/>
      <c r="AE3363" s="40"/>
      <c r="AF3363" s="856"/>
      <c r="AG3363" s="856"/>
      <c r="AH3363" s="856"/>
      <c r="AI3363" s="856"/>
      <c r="AJ3363" s="856"/>
      <c r="AK3363" s="880"/>
      <c r="AL3363" s="856"/>
      <c r="AM3363" s="850"/>
      <c r="AN3363" s="40"/>
      <c r="AO3363" s="856"/>
      <c r="AP3363" s="856"/>
      <c r="AV3363" s="4" t="str">
        <f t="shared" si="13579"/>
        <v>PI - Passagem Inferior</v>
      </c>
      <c r="AW3363" s="4" t="str">
        <f t="shared" si="13578"/>
        <v>Pavimentação da Recomposição - Regularização de subleito</v>
      </c>
      <c r="AX3363" s="4"/>
      <c r="AY3363" s="4"/>
    </row>
    <row r="3364" spans="1:51" ht="17.649999999999999" customHeight="1" outlineLevel="2">
      <c r="A3364" s="604">
        <v>0</v>
      </c>
      <c r="B3364" s="599"/>
      <c r="C3364" s="599">
        <v>0</v>
      </c>
      <c r="D3364" s="613"/>
      <c r="E3364" s="221"/>
      <c r="F3364" s="619"/>
      <c r="G3364" s="221"/>
      <c r="H3364" s="715"/>
      <c r="I3364" s="620"/>
      <c r="J3364" s="715"/>
      <c r="K3364" s="221"/>
      <c r="L3364" s="715"/>
      <c r="M3364" s="620"/>
      <c r="N3364" s="715"/>
      <c r="O3364" s="40"/>
      <c r="P3364" s="616"/>
      <c r="Q3364" s="616"/>
      <c r="R3364" s="616"/>
      <c r="S3364" s="616"/>
      <c r="T3364" s="616"/>
      <c r="U3364" s="616"/>
      <c r="V3364" s="616"/>
      <c r="W3364" s="221"/>
      <c r="X3364" s="617"/>
      <c r="Y3364" s="221"/>
      <c r="Z3364" s="221"/>
      <c r="AA3364" s="615"/>
      <c r="AB3364" s="615"/>
      <c r="AC3364" s="222"/>
      <c r="AD3364" s="221"/>
      <c r="AE3364" s="221"/>
      <c r="AF3364" s="615"/>
      <c r="AG3364" s="615"/>
      <c r="AH3364" s="615"/>
      <c r="AI3364" s="615"/>
      <c r="AJ3364" s="615"/>
      <c r="AK3364" s="615"/>
      <c r="AL3364" s="615"/>
      <c r="AM3364" s="221"/>
      <c r="AN3364" s="221"/>
      <c r="AO3364" s="615"/>
      <c r="AP3364" s="615"/>
      <c r="AV3364" t="str">
        <f t="shared" si="13579"/>
        <v>PI - Passagem Inferior</v>
      </c>
      <c r="AW3364" s="4" t="str">
        <f t="shared" si="13578"/>
        <v>Pavimentação da Recomposição - Regularização de subleito</v>
      </c>
      <c r="AX3364" s="4"/>
    </row>
    <row r="3365" spans="1:51" ht="24.95" customHeight="1" outlineLevel="2">
      <c r="A3365" s="525">
        <v>0</v>
      </c>
      <c r="B3365" s="526"/>
      <c r="C3365" s="526"/>
      <c r="D3365" s="557"/>
      <c r="E3365" s="866" t="s">
        <v>3761</v>
      </c>
      <c r="F3365" s="868"/>
      <c r="G3365" s="528"/>
      <c r="H3365" s="542"/>
      <c r="I3365" s="543"/>
      <c r="J3365" s="860"/>
      <c r="K3365" s="528"/>
      <c r="L3365" s="542"/>
      <c r="M3365" s="543"/>
      <c r="N3365" s="860"/>
      <c r="O3365" s="528"/>
      <c r="P3365" s="566"/>
      <c r="Q3365" s="566"/>
      <c r="R3365" s="566"/>
      <c r="S3365" s="566"/>
      <c r="T3365" s="566"/>
      <c r="U3365" s="566"/>
      <c r="V3365" s="566"/>
      <c r="W3365" s="528"/>
      <c r="X3365" s="543"/>
      <c r="Y3365" s="860"/>
      <c r="Z3365" s="528"/>
      <c r="AA3365" s="814"/>
      <c r="AB3365" s="814"/>
      <c r="AC3365" s="814"/>
      <c r="AD3365" s="860"/>
      <c r="AE3365" s="528"/>
      <c r="AF3365" s="814"/>
      <c r="AG3365" s="814"/>
      <c r="AH3365" s="814"/>
      <c r="AI3365" s="814"/>
      <c r="AJ3365" s="814"/>
      <c r="AK3365" s="814"/>
      <c r="AL3365" s="814"/>
      <c r="AM3365" s="860"/>
      <c r="AN3365" s="528"/>
      <c r="AO3365" s="814"/>
      <c r="AP3365" s="814"/>
      <c r="AV3365" t="str">
        <f t="shared" si="13579"/>
        <v>PI - Passagem Inferior</v>
      </c>
      <c r="AW3365" s="4" t="str">
        <f t="shared" si="13578"/>
        <v>PI GO-164 - Km 167+240 a Km 167+280</v>
      </c>
      <c r="AX3365" s="4"/>
    </row>
    <row r="3366" spans="1:51" ht="17.100000000000001" customHeight="1" outlineLevel="2" collapsed="1">
      <c r="A3366" s="525">
        <v>0</v>
      </c>
      <c r="B3366" s="526"/>
      <c r="C3366" s="526">
        <v>0</v>
      </c>
      <c r="D3366" s="558"/>
      <c r="E3366" s="867"/>
      <c r="F3366" s="869"/>
      <c r="G3366" s="528"/>
      <c r="H3366" s="544"/>
      <c r="I3366" s="543"/>
      <c r="J3366" s="861"/>
      <c r="K3366" s="528"/>
      <c r="L3366" s="544"/>
      <c r="M3366" s="543"/>
      <c r="N3366" s="861"/>
      <c r="O3366" s="528"/>
      <c r="P3366" s="566"/>
      <c r="Q3366" s="566"/>
      <c r="R3366" s="566"/>
      <c r="S3366" s="566"/>
      <c r="T3366" s="566"/>
      <c r="U3366" s="566"/>
      <c r="V3366" s="566"/>
      <c r="W3366" s="528"/>
      <c r="X3366" s="543"/>
      <c r="Y3366" s="861"/>
      <c r="Z3366" s="528"/>
      <c r="AA3366" s="815"/>
      <c r="AB3366" s="815"/>
      <c r="AC3366" s="815"/>
      <c r="AD3366" s="861"/>
      <c r="AE3366" s="528"/>
      <c r="AF3366" s="815"/>
      <c r="AG3366" s="815"/>
      <c r="AH3366" s="815"/>
      <c r="AI3366" s="815"/>
      <c r="AJ3366" s="815"/>
      <c r="AK3366" s="815"/>
      <c r="AL3366" s="815"/>
      <c r="AM3366" s="861"/>
      <c r="AN3366" s="528"/>
      <c r="AO3366" s="815"/>
      <c r="AP3366" s="815"/>
      <c r="AV3366" t="str">
        <f t="shared" si="13579"/>
        <v>PI - Passagem Inferior</v>
      </c>
      <c r="AW3366" s="4" t="str">
        <f t="shared" si="13578"/>
        <v>PI GO-164 - Km 167+240 a Km 167+280</v>
      </c>
      <c r="AX3366" s="4"/>
    </row>
    <row r="3367" spans="1:51" ht="17.45" customHeight="1" outlineLevel="2">
      <c r="A3367" s="604" t="str">
        <f t="shared" ref="A3367" si="13622">IF(SUM(P3367:V3368)&gt;0,"S","N")</f>
        <v>S</v>
      </c>
      <c r="B3367" s="599"/>
      <c r="C3367" s="599"/>
      <c r="D3367" s="124"/>
      <c r="E3367" s="864" t="s">
        <v>3762</v>
      </c>
      <c r="F3367" s="941" t="s">
        <v>3763</v>
      </c>
      <c r="G3367" s="40"/>
      <c r="H3367" s="600" t="s">
        <v>37</v>
      </c>
      <c r="I3367" s="504">
        <v>1</v>
      </c>
      <c r="J3367" s="849">
        <f>IFERROR((I3368/I3367),"-")</f>
        <v>0</v>
      </c>
      <c r="K3367" s="40"/>
      <c r="L3367" s="600" t="s">
        <v>37</v>
      </c>
      <c r="M3367" s="504">
        <f t="shared" ref="M3367:M3374" si="13623">_xlfn.XLOOKUP($N$8,$P$8:$V$8,$P3367:$V3367)</f>
        <v>0</v>
      </c>
      <c r="N3367" s="849" t="str">
        <f>IFERROR((M3368/M3367),"-")</f>
        <v>-</v>
      </c>
      <c r="O3367" s="40"/>
      <c r="P3367" s="602">
        <v>1</v>
      </c>
      <c r="Q3367" s="601"/>
      <c r="R3367" s="601"/>
      <c r="S3367" s="601"/>
      <c r="T3367" s="601"/>
      <c r="U3367" s="601"/>
      <c r="V3367" s="602"/>
      <c r="W3367" s="40"/>
      <c r="X3367" s="504">
        <f t="shared" ref="X3367:X3374" si="13624">SUMIFS(P3367:V3367,$P$8:$V$8,"&gt;="&amp;$P$8,$P$8:$V$8,"&lt;="&amp;$N$8)</f>
        <v>1</v>
      </c>
      <c r="Y3367" s="849">
        <f>IFERROR((X3368/X3367),"-")</f>
        <v>1</v>
      </c>
      <c r="Z3367" s="40"/>
      <c r="AA3367" s="855">
        <v>1</v>
      </c>
      <c r="AB3367" s="855"/>
      <c r="AC3367" s="855">
        <f>X3368</f>
        <v>1</v>
      </c>
      <c r="AD3367" s="762">
        <f t="shared" ref="AD3367" si="13625">IFERROR((AC3367/AA3367),"-")</f>
        <v>1</v>
      </c>
      <c r="AE3367" s="40"/>
      <c r="AF3367" s="855"/>
      <c r="AG3367" s="855"/>
      <c r="AH3367" s="855"/>
      <c r="AI3367" s="855"/>
      <c r="AJ3367" s="855"/>
      <c r="AK3367" s="855"/>
      <c r="AL3367" s="855"/>
      <c r="AM3367" s="849"/>
      <c r="AN3367" s="40"/>
      <c r="AO3367" s="858"/>
      <c r="AP3367" s="855"/>
      <c r="AV3367" t="str">
        <f t="shared" si="13579"/>
        <v>PI - Passagem Inferior</v>
      </c>
      <c r="AW3367" s="4" t="str">
        <f t="shared" si="13578"/>
        <v>Laje Inferior - Fundação - Regularização de fundo</v>
      </c>
      <c r="AX3367" s="4"/>
    </row>
    <row r="3368" spans="1:51" ht="17.45" customHeight="1" outlineLevel="2">
      <c r="A3368" s="604" t="str">
        <f t="shared" ref="A3368:A3374" si="13626">A3367</f>
        <v>S</v>
      </c>
      <c r="B3368" s="599"/>
      <c r="C3368" s="599">
        <v>0</v>
      </c>
      <c r="D3368" s="124"/>
      <c r="E3368" s="865"/>
      <c r="F3368" s="848"/>
      <c r="G3368" s="40"/>
      <c r="H3368" s="603" t="s">
        <v>38</v>
      </c>
      <c r="I3368" s="504"/>
      <c r="J3368" s="850"/>
      <c r="K3368" s="40"/>
      <c r="L3368" s="603" t="s">
        <v>38</v>
      </c>
      <c r="M3368" s="504">
        <f t="shared" si="13623"/>
        <v>1</v>
      </c>
      <c r="N3368" s="850"/>
      <c r="O3368" s="40"/>
      <c r="P3368" s="606" t="s">
        <v>1434</v>
      </c>
      <c r="Q3368" s="606">
        <v>1</v>
      </c>
      <c r="R3368" s="601"/>
      <c r="S3368" s="601"/>
      <c r="T3368" s="601"/>
      <c r="U3368" s="601"/>
      <c r="V3368" s="602"/>
      <c r="W3368" s="40"/>
      <c r="X3368" s="504">
        <f t="shared" si="13624"/>
        <v>1</v>
      </c>
      <c r="Y3368" s="850"/>
      <c r="Z3368" s="40"/>
      <c r="AA3368" s="856"/>
      <c r="AB3368" s="856"/>
      <c r="AC3368" s="856"/>
      <c r="AD3368" s="763"/>
      <c r="AE3368" s="40"/>
      <c r="AF3368" s="856"/>
      <c r="AG3368" s="856"/>
      <c r="AH3368" s="856"/>
      <c r="AI3368" s="856"/>
      <c r="AJ3368" s="856"/>
      <c r="AK3368" s="880"/>
      <c r="AL3368" s="856"/>
      <c r="AM3368" s="850"/>
      <c r="AN3368" s="40"/>
      <c r="AO3368" s="857"/>
      <c r="AP3368" s="857"/>
      <c r="AV3368" t="str">
        <f t="shared" si="13579"/>
        <v>PI - Passagem Inferior</v>
      </c>
      <c r="AW3368" s="4" t="str">
        <f t="shared" si="13578"/>
        <v>Laje Inferior - Fundação - Regularização de fundo</v>
      </c>
      <c r="AX3368" s="4"/>
    </row>
    <row r="3369" spans="1:51" ht="17.45" customHeight="1" outlineLevel="1">
      <c r="A3369" s="604" t="str">
        <f t="shared" ref="A3369" si="13627">IF(SUM(P3369:V3370)&gt;0,"S","N")</f>
        <v>S</v>
      </c>
      <c r="B3369" s="599"/>
      <c r="C3369" s="599"/>
      <c r="D3369" s="124"/>
      <c r="E3369" s="864" t="s">
        <v>3764</v>
      </c>
      <c r="F3369" s="941" t="s">
        <v>3763</v>
      </c>
      <c r="G3369" s="40"/>
      <c r="H3369" s="600" t="s">
        <v>37</v>
      </c>
      <c r="I3369" s="504">
        <v>1</v>
      </c>
      <c r="J3369" s="849">
        <f>IFERROR((I3370/I3369),"-")</f>
        <v>0</v>
      </c>
      <c r="K3369" s="40"/>
      <c r="L3369" s="600" t="s">
        <v>37</v>
      </c>
      <c r="M3369" s="504">
        <f t="shared" si="13623"/>
        <v>1</v>
      </c>
      <c r="N3369" s="849">
        <f>IFERROR((M3370/M3369),"-")</f>
        <v>0</v>
      </c>
      <c r="O3369" s="40"/>
      <c r="P3369" s="602"/>
      <c r="Q3369" s="601">
        <v>1</v>
      </c>
      <c r="R3369" s="601"/>
      <c r="S3369" s="601"/>
      <c r="T3369" s="601"/>
      <c r="U3369" s="601"/>
      <c r="V3369" s="602"/>
      <c r="W3369" s="40"/>
      <c r="X3369" s="504">
        <f t="shared" si="13624"/>
        <v>1</v>
      </c>
      <c r="Y3369" s="849">
        <f>IFERROR((X3370/X3369),"-")</f>
        <v>0</v>
      </c>
      <c r="Z3369" s="40"/>
      <c r="AA3369" s="855">
        <v>1</v>
      </c>
      <c r="AB3369" s="855"/>
      <c r="AC3369" s="855">
        <f>X3370</f>
        <v>0</v>
      </c>
      <c r="AD3369" s="762">
        <f t="shared" ref="AD3369" si="13628">IFERROR((AC3369/AA3369),"-")</f>
        <v>0</v>
      </c>
      <c r="AE3369" s="40"/>
      <c r="AF3369" s="855"/>
      <c r="AG3369" s="855"/>
      <c r="AH3369" s="855"/>
      <c r="AI3369" s="855"/>
      <c r="AJ3369" s="855"/>
      <c r="AK3369" s="855"/>
      <c r="AL3369" s="855"/>
      <c r="AM3369" s="849"/>
      <c r="AN3369" s="40"/>
      <c r="AO3369" s="858"/>
      <c r="AP3369" s="855"/>
      <c r="AV3369" t="str">
        <f t="shared" si="13579"/>
        <v>PI - Passagem Inferior</v>
      </c>
      <c r="AW3369" s="4" t="str">
        <f t="shared" si="13578"/>
        <v>Laje Inferior - Montagem de formas</v>
      </c>
      <c r="AX3369" s="4"/>
    </row>
    <row r="3370" spans="1:51" ht="17.45" customHeight="1">
      <c r="A3370" s="604" t="str">
        <f t="shared" si="13626"/>
        <v>S</v>
      </c>
      <c r="B3370" s="599"/>
      <c r="C3370" s="599">
        <v>0</v>
      </c>
      <c r="D3370" s="124"/>
      <c r="E3370" s="865"/>
      <c r="F3370" s="848"/>
      <c r="G3370" s="40"/>
      <c r="H3370" s="603" t="s">
        <v>38</v>
      </c>
      <c r="I3370" s="504"/>
      <c r="J3370" s="850"/>
      <c r="K3370" s="40"/>
      <c r="L3370" s="603" t="s">
        <v>38</v>
      </c>
      <c r="M3370" s="504">
        <f t="shared" si="13623"/>
        <v>0</v>
      </c>
      <c r="N3370" s="850"/>
      <c r="O3370" s="40"/>
      <c r="P3370" s="602"/>
      <c r="Q3370" s="601"/>
      <c r="R3370" s="601"/>
      <c r="S3370" s="601"/>
      <c r="T3370" s="601"/>
      <c r="U3370" s="601"/>
      <c r="V3370" s="602"/>
      <c r="W3370" s="40"/>
      <c r="X3370" s="504">
        <f t="shared" si="13624"/>
        <v>0</v>
      </c>
      <c r="Y3370" s="850"/>
      <c r="Z3370" s="40"/>
      <c r="AA3370" s="856"/>
      <c r="AB3370" s="856"/>
      <c r="AC3370" s="856"/>
      <c r="AD3370" s="763"/>
      <c r="AE3370" s="40"/>
      <c r="AF3370" s="856"/>
      <c r="AG3370" s="856"/>
      <c r="AH3370" s="856"/>
      <c r="AI3370" s="856"/>
      <c r="AJ3370" s="856"/>
      <c r="AK3370" s="880"/>
      <c r="AL3370" s="856"/>
      <c r="AM3370" s="850"/>
      <c r="AN3370" s="40"/>
      <c r="AO3370" s="857"/>
      <c r="AP3370" s="857"/>
      <c r="AV3370" s="4" t="str">
        <f t="shared" si="13579"/>
        <v>PI - Passagem Inferior</v>
      </c>
      <c r="AW3370" s="4" t="str">
        <f t="shared" si="13578"/>
        <v>Laje Inferior - Montagem de formas</v>
      </c>
      <c r="AX3370" s="4"/>
    </row>
    <row r="3371" spans="1:51" ht="27.6" customHeight="1">
      <c r="A3371" s="604" t="str">
        <f t="shared" ref="A3371" si="13629">IF(SUM(P3371:V3372)&gt;0,"S","N")</f>
        <v>N</v>
      </c>
      <c r="B3371" s="599"/>
      <c r="C3371" s="599"/>
      <c r="D3371" s="124"/>
      <c r="E3371" s="864" t="s">
        <v>3765</v>
      </c>
      <c r="F3371" s="941" t="s">
        <v>3763</v>
      </c>
      <c r="G3371" s="40"/>
      <c r="H3371" s="600" t="s">
        <v>37</v>
      </c>
      <c r="I3371" s="504">
        <v>1</v>
      </c>
      <c r="J3371" s="849">
        <f>IFERROR((I3372/I3371),"-")</f>
        <v>0</v>
      </c>
      <c r="K3371" s="40"/>
      <c r="L3371" s="600" t="s">
        <v>37</v>
      </c>
      <c r="M3371" s="504">
        <f t="shared" si="13623"/>
        <v>0</v>
      </c>
      <c r="N3371" s="849" t="str">
        <f>IFERROR((M3372/M3371),"-")</f>
        <v>-</v>
      </c>
      <c r="O3371" s="40"/>
      <c r="P3371" s="602"/>
      <c r="Q3371" s="601"/>
      <c r="R3371" s="601" t="s">
        <v>1434</v>
      </c>
      <c r="S3371" s="601" t="s">
        <v>1434</v>
      </c>
      <c r="T3371" s="601" t="s">
        <v>1434</v>
      </c>
      <c r="U3371" s="601" t="s">
        <v>1434</v>
      </c>
      <c r="V3371" s="602"/>
      <c r="W3371" s="40"/>
      <c r="X3371" s="504">
        <f t="shared" si="13624"/>
        <v>0</v>
      </c>
      <c r="Y3371" s="849" t="str">
        <f>IFERROR((X3372/X3371),"-")</f>
        <v>-</v>
      </c>
      <c r="Z3371" s="40"/>
      <c r="AA3371" s="855">
        <v>1</v>
      </c>
      <c r="AB3371" s="855"/>
      <c r="AC3371" s="855">
        <f>X3372</f>
        <v>0</v>
      </c>
      <c r="AD3371" s="762">
        <f t="shared" ref="AD3371" si="13630">IFERROR((AC3371/AA3371),"-")</f>
        <v>0</v>
      </c>
      <c r="AE3371" s="40"/>
      <c r="AF3371" s="855"/>
      <c r="AG3371" s="855"/>
      <c r="AH3371" s="855"/>
      <c r="AI3371" s="855"/>
      <c r="AJ3371" s="855"/>
      <c r="AK3371" s="855"/>
      <c r="AL3371" s="855"/>
      <c r="AM3371" s="849"/>
      <c r="AN3371" s="40"/>
      <c r="AO3371" s="858"/>
      <c r="AP3371" s="855"/>
      <c r="AV3371" s="4" t="str">
        <f t="shared" si="13579"/>
        <v>PI - Passagem Inferior</v>
      </c>
      <c r="AW3371" s="4" t="str">
        <f t="shared" si="13578"/>
        <v>Laje Inferior - Montagem de armação</v>
      </c>
      <c r="AX3371" s="4"/>
    </row>
    <row r="3372" spans="1:51" ht="27.6" customHeight="1">
      <c r="A3372" s="604" t="str">
        <f t="shared" si="13626"/>
        <v>N</v>
      </c>
      <c r="B3372" s="599"/>
      <c r="C3372" s="599">
        <v>0</v>
      </c>
      <c r="D3372" s="124"/>
      <c r="E3372" s="865"/>
      <c r="F3372" s="848"/>
      <c r="G3372" s="40"/>
      <c r="H3372" s="603" t="s">
        <v>38</v>
      </c>
      <c r="I3372" s="504"/>
      <c r="J3372" s="850"/>
      <c r="K3372" s="40"/>
      <c r="L3372" s="603" t="s">
        <v>38</v>
      </c>
      <c r="M3372" s="504">
        <f t="shared" si="13623"/>
        <v>0</v>
      </c>
      <c r="N3372" s="850"/>
      <c r="O3372" s="40"/>
      <c r="P3372" s="602"/>
      <c r="Q3372" s="601"/>
      <c r="R3372" s="601"/>
      <c r="S3372" s="601"/>
      <c r="T3372" s="601"/>
      <c r="U3372" s="601"/>
      <c r="V3372" s="602"/>
      <c r="W3372" s="40"/>
      <c r="X3372" s="504">
        <f t="shared" si="13624"/>
        <v>0</v>
      </c>
      <c r="Y3372" s="850"/>
      <c r="Z3372" s="40"/>
      <c r="AA3372" s="856"/>
      <c r="AB3372" s="856"/>
      <c r="AC3372" s="856"/>
      <c r="AD3372" s="763"/>
      <c r="AE3372" s="40"/>
      <c r="AF3372" s="856"/>
      <c r="AG3372" s="856"/>
      <c r="AH3372" s="856"/>
      <c r="AI3372" s="856"/>
      <c r="AJ3372" s="856"/>
      <c r="AK3372" s="880"/>
      <c r="AL3372" s="856"/>
      <c r="AM3372" s="850"/>
      <c r="AN3372" s="40"/>
      <c r="AO3372" s="857"/>
      <c r="AP3372" s="857"/>
      <c r="AV3372" t="str">
        <f t="shared" si="13579"/>
        <v>PI - Passagem Inferior</v>
      </c>
      <c r="AW3372" s="4" t="str">
        <f t="shared" si="13578"/>
        <v>Laje Inferior - Montagem de armação</v>
      </c>
      <c r="AX3372" s="4"/>
    </row>
    <row r="3373" spans="1:51" ht="17.45" customHeight="1">
      <c r="A3373" s="604" t="str">
        <f t="shared" ref="A3373" si="13631">IF(SUM(P3373:V3374)&gt;0,"S","N")</f>
        <v>S</v>
      </c>
      <c r="B3373" s="599"/>
      <c r="C3373" s="599"/>
      <c r="D3373" s="124"/>
      <c r="E3373" s="864" t="s">
        <v>3766</v>
      </c>
      <c r="F3373" s="941" t="s">
        <v>3763</v>
      </c>
      <c r="G3373" s="40"/>
      <c r="H3373" s="600" t="s">
        <v>37</v>
      </c>
      <c r="I3373" s="504">
        <v>1</v>
      </c>
      <c r="J3373" s="849">
        <f>IFERROR((I3374/I3373),"-")</f>
        <v>0</v>
      </c>
      <c r="K3373" s="40"/>
      <c r="L3373" s="600" t="s">
        <v>37</v>
      </c>
      <c r="M3373" s="504">
        <f t="shared" si="13623"/>
        <v>0</v>
      </c>
      <c r="N3373" s="849" t="str">
        <f>IFERROR((M3374/M3373),"-")</f>
        <v>-</v>
      </c>
      <c r="O3373" s="40"/>
      <c r="P3373" s="602"/>
      <c r="Q3373" s="601"/>
      <c r="R3373" s="601">
        <v>1</v>
      </c>
      <c r="S3373" s="601"/>
      <c r="T3373" s="601"/>
      <c r="U3373" s="601"/>
      <c r="V3373" s="602"/>
      <c r="W3373" s="40"/>
      <c r="X3373" s="504">
        <f t="shared" si="13624"/>
        <v>0</v>
      </c>
      <c r="Y3373" s="849" t="str">
        <f>IFERROR((X3374/X3373),"-")</f>
        <v>-</v>
      </c>
      <c r="Z3373" s="40"/>
      <c r="AA3373" s="855">
        <v>1</v>
      </c>
      <c r="AB3373" s="855"/>
      <c r="AC3373" s="855">
        <f>X3374</f>
        <v>0</v>
      </c>
      <c r="AD3373" s="762">
        <f t="shared" ref="AD3373" si="13632">IFERROR((AC3373/AA3373),"-")</f>
        <v>0</v>
      </c>
      <c r="AE3373" s="40"/>
      <c r="AF3373" s="855"/>
      <c r="AG3373" s="855"/>
      <c r="AH3373" s="855"/>
      <c r="AI3373" s="855"/>
      <c r="AJ3373" s="855"/>
      <c r="AK3373" s="855"/>
      <c r="AL3373" s="855"/>
      <c r="AM3373" s="849"/>
      <c r="AN3373" s="40"/>
      <c r="AO3373" s="858"/>
      <c r="AP3373" s="855"/>
      <c r="AV3373" t="str">
        <f t="shared" si="13579"/>
        <v>PI - Passagem Inferior</v>
      </c>
      <c r="AW3373" s="4" t="str">
        <f t="shared" si="13578"/>
        <v>Laje Inferior - Aplicação de concreto de regularização</v>
      </c>
      <c r="AX3373" s="4"/>
    </row>
    <row r="3374" spans="1:51" ht="14.1" customHeight="1" outlineLevel="1">
      <c r="A3374" s="604" t="str">
        <f t="shared" si="13626"/>
        <v>S</v>
      </c>
      <c r="B3374" s="599"/>
      <c r="C3374" s="599">
        <v>0</v>
      </c>
      <c r="D3374" s="124"/>
      <c r="E3374" s="865"/>
      <c r="F3374" s="848"/>
      <c r="G3374" s="40"/>
      <c r="H3374" s="603" t="s">
        <v>38</v>
      </c>
      <c r="I3374" s="504"/>
      <c r="J3374" s="850"/>
      <c r="K3374" s="40"/>
      <c r="L3374" s="603" t="s">
        <v>38</v>
      </c>
      <c r="M3374" s="504">
        <f t="shared" si="13623"/>
        <v>0</v>
      </c>
      <c r="N3374" s="850"/>
      <c r="O3374" s="40"/>
      <c r="P3374" s="602"/>
      <c r="Q3374" s="601"/>
      <c r="R3374" s="601"/>
      <c r="S3374" s="601"/>
      <c r="T3374" s="601"/>
      <c r="U3374" s="601"/>
      <c r="V3374" s="602"/>
      <c r="W3374" s="40"/>
      <c r="X3374" s="504">
        <f t="shared" si="13624"/>
        <v>0</v>
      </c>
      <c r="Y3374" s="850"/>
      <c r="Z3374" s="40"/>
      <c r="AA3374" s="856"/>
      <c r="AB3374" s="856"/>
      <c r="AC3374" s="856"/>
      <c r="AD3374" s="763"/>
      <c r="AE3374" s="40"/>
      <c r="AF3374" s="856"/>
      <c r="AG3374" s="856"/>
      <c r="AH3374" s="856"/>
      <c r="AI3374" s="856"/>
      <c r="AJ3374" s="856"/>
      <c r="AK3374" s="880"/>
      <c r="AL3374" s="856"/>
      <c r="AM3374" s="850"/>
      <c r="AN3374" s="40"/>
      <c r="AO3374" s="857"/>
      <c r="AP3374" s="857"/>
      <c r="AV3374" t="str">
        <f t="shared" si="13579"/>
        <v>PI - Passagem Inferior</v>
      </c>
      <c r="AW3374" s="4" t="str">
        <f t="shared" si="13578"/>
        <v>Laje Inferior - Aplicação de concreto de regularização</v>
      </c>
      <c r="AX3374" s="4"/>
    </row>
    <row r="3375" spans="1:51" ht="14.45" customHeight="1" outlineLevel="1" collapsed="1">
      <c r="A3375" s="604">
        <v>0</v>
      </c>
      <c r="B3375" s="599"/>
      <c r="C3375" s="599"/>
      <c r="D3375" s="613"/>
      <c r="E3375" s="221"/>
      <c r="F3375" s="619"/>
      <c r="G3375" s="221"/>
      <c r="H3375" s="715"/>
      <c r="I3375" s="715"/>
      <c r="J3375" s="1321"/>
      <c r="K3375" s="221"/>
      <c r="L3375" s="715"/>
      <c r="M3375" s="620"/>
      <c r="N3375" s="715"/>
      <c r="O3375" s="221"/>
      <c r="P3375" s="616"/>
      <c r="Q3375" s="616"/>
      <c r="R3375" s="616"/>
      <c r="S3375" s="616"/>
      <c r="T3375" s="616"/>
      <c r="U3375" s="616"/>
      <c r="V3375" s="616"/>
      <c r="W3375" s="221"/>
      <c r="X3375" s="617"/>
      <c r="Y3375" s="221"/>
      <c r="Z3375" s="221"/>
      <c r="AA3375" s="615"/>
      <c r="AB3375" s="615"/>
      <c r="AC3375" s="222"/>
      <c r="AD3375" s="221"/>
      <c r="AE3375" s="221"/>
      <c r="AF3375" s="615"/>
      <c r="AG3375" s="615"/>
      <c r="AH3375" s="615"/>
      <c r="AI3375" s="615"/>
      <c r="AJ3375" s="615"/>
      <c r="AK3375" s="615"/>
      <c r="AL3375" s="615"/>
      <c r="AM3375" s="221"/>
      <c r="AN3375" s="221"/>
      <c r="AO3375" s="615"/>
      <c r="AP3375" s="615"/>
      <c r="AV3375" t="str">
        <f t="shared" si="13579"/>
        <v>PI - Passagem Inferior</v>
      </c>
      <c r="AW3375" s="4" t="str">
        <f t="shared" si="13578"/>
        <v>Laje Inferior - Aplicação de concreto de regularização</v>
      </c>
      <c r="AX3375" s="4"/>
    </row>
    <row r="3376" spans="1:51" ht="15" customHeight="1" outlineLevel="1" collapsed="1">
      <c r="A3376" s="604">
        <v>0</v>
      </c>
      <c r="B3376" s="599"/>
      <c r="C3376" s="599">
        <v>0</v>
      </c>
      <c r="D3376" s="613"/>
      <c r="E3376" s="221"/>
      <c r="F3376" s="614"/>
      <c r="G3376" s="221"/>
      <c r="H3376" s="221"/>
      <c r="I3376" s="615"/>
      <c r="J3376" s="1322"/>
      <c r="K3376" s="221"/>
      <c r="L3376" s="221"/>
      <c r="M3376" s="615"/>
      <c r="N3376" s="221"/>
      <c r="O3376" s="221"/>
      <c r="P3376" s="616"/>
      <c r="Q3376" s="616"/>
      <c r="R3376" s="616"/>
      <c r="S3376" s="616"/>
      <c r="T3376" s="616"/>
      <c r="U3376" s="616"/>
      <c r="V3376" s="616"/>
      <c r="W3376" s="221"/>
      <c r="X3376" s="617"/>
      <c r="Y3376" s="221"/>
      <c r="Z3376" s="221"/>
      <c r="AA3376" s="615"/>
      <c r="AB3376" s="615"/>
      <c r="AC3376" s="222"/>
      <c r="AD3376" s="221"/>
      <c r="AE3376" s="221"/>
      <c r="AF3376" s="615"/>
      <c r="AG3376" s="615"/>
      <c r="AH3376" s="615"/>
      <c r="AI3376" s="615"/>
      <c r="AJ3376" s="615"/>
      <c r="AK3376" s="615"/>
      <c r="AL3376" s="615"/>
      <c r="AM3376" s="221"/>
      <c r="AN3376" s="221"/>
      <c r="AO3376" s="615"/>
      <c r="AP3376" s="615"/>
      <c r="AV3376" t="str">
        <f t="shared" si="13579"/>
        <v>PI - Passagem Inferior</v>
      </c>
      <c r="AW3376" s="4" t="str">
        <f t="shared" si="13578"/>
        <v>Laje Inferior - Aplicação de concreto de regularização</v>
      </c>
      <c r="AX3376" s="4"/>
    </row>
    <row r="3377" spans="1:50" ht="20.65" customHeight="1" outlineLevel="2">
      <c r="A3377" s="610">
        <v>0</v>
      </c>
      <c r="B3377" s="611"/>
      <c r="C3377" s="611"/>
      <c r="D3377" s="612"/>
      <c r="E3377" s="759" t="s">
        <v>3767</v>
      </c>
      <c r="F3377" s="950"/>
      <c r="G3377" s="511"/>
      <c r="H3377" s="595"/>
      <c r="I3377" s="710"/>
      <c r="J3377" s="942" t="str">
        <f>IFERROR((I3378/I3377),"-")</f>
        <v>-</v>
      </c>
      <c r="K3377" s="511"/>
      <c r="L3377" s="595"/>
      <c r="M3377" s="710"/>
      <c r="N3377" s="942" t="str">
        <f t="shared" ref="N3377" si="13633">IFERROR((M3378/M3377),"-")</f>
        <v>-</v>
      </c>
      <c r="O3377" s="511"/>
      <c r="P3377" s="596"/>
      <c r="Q3377" s="596"/>
      <c r="R3377" s="596"/>
      <c r="S3377" s="596"/>
      <c r="T3377" s="596"/>
      <c r="U3377" s="596"/>
      <c r="V3377" s="596"/>
      <c r="W3377" s="511"/>
      <c r="X3377" s="710">
        <f>SUMIFS(P3377:V3377,$P$8:$V$8,"&gt;="&amp;$P$8,$P$8:$V$8,"&lt;="&amp;$N$8)</f>
        <v>0</v>
      </c>
      <c r="Y3377" s="937"/>
      <c r="Z3377" s="511"/>
      <c r="AA3377" s="935"/>
      <c r="AB3377" s="935"/>
      <c r="AC3377" s="939"/>
      <c r="AD3377" s="937"/>
      <c r="AE3377" s="511"/>
      <c r="AF3377" s="935"/>
      <c r="AG3377" s="935"/>
      <c r="AH3377" s="935"/>
      <c r="AI3377" s="935"/>
      <c r="AJ3377" s="935"/>
      <c r="AK3377" s="935"/>
      <c r="AL3377" s="935"/>
      <c r="AM3377" s="937"/>
      <c r="AN3377" s="511"/>
      <c r="AO3377" s="939"/>
      <c r="AP3377" s="939"/>
      <c r="AV3377" s="275" t="str">
        <f t="shared" si="13579"/>
        <v>OAE - Obra de Arte Especial</v>
      </c>
      <c r="AW3377" s="275" t="str">
        <f t="shared" si="13578"/>
        <v>OAE - Obra de Arte Especial</v>
      </c>
      <c r="AX3377" s="275" t="s">
        <v>176</v>
      </c>
    </row>
    <row r="3378" spans="1:50" ht="20.65" customHeight="1" outlineLevel="2" collapsed="1">
      <c r="A3378" s="610">
        <v>0</v>
      </c>
      <c r="B3378" s="611"/>
      <c r="C3378" s="611">
        <v>0</v>
      </c>
      <c r="D3378" s="612"/>
      <c r="E3378" s="760"/>
      <c r="F3378" s="950"/>
      <c r="G3378" s="511"/>
      <c r="H3378" s="597"/>
      <c r="I3378" s="710"/>
      <c r="J3378" s="943"/>
      <c r="K3378" s="511"/>
      <c r="L3378" s="597"/>
      <c r="M3378" s="710"/>
      <c r="N3378" s="943"/>
      <c r="O3378" s="511"/>
      <c r="P3378" s="596"/>
      <c r="Q3378" s="596"/>
      <c r="R3378" s="596"/>
      <c r="S3378" s="596"/>
      <c r="T3378" s="596"/>
      <c r="U3378" s="596"/>
      <c r="V3378" s="596"/>
      <c r="W3378" s="511"/>
      <c r="X3378" s="710">
        <f t="shared" ref="X3378" si="13634">SUMIFS(P3378:V3378,$P$8:$V$8,"&gt;="&amp;$P$8,$P$8:$V$8,"&lt;="&amp;$N$8)</f>
        <v>0</v>
      </c>
      <c r="Y3378" s="938"/>
      <c r="Z3378" s="511"/>
      <c r="AA3378" s="936"/>
      <c r="AB3378" s="936"/>
      <c r="AC3378" s="940"/>
      <c r="AD3378" s="951"/>
      <c r="AE3378" s="511"/>
      <c r="AF3378" s="936"/>
      <c r="AG3378" s="936"/>
      <c r="AH3378" s="936"/>
      <c r="AI3378" s="936"/>
      <c r="AJ3378" s="936"/>
      <c r="AK3378" s="936"/>
      <c r="AL3378" s="936"/>
      <c r="AM3378" s="938"/>
      <c r="AN3378" s="511"/>
      <c r="AO3378" s="940"/>
      <c r="AP3378" s="940"/>
      <c r="AV3378" t="str">
        <f t="shared" si="13579"/>
        <v>OAE - Obra de Arte Especial</v>
      </c>
      <c r="AW3378" s="4" t="str">
        <f t="shared" si="13578"/>
        <v>OAE - Obra de Arte Especial</v>
      </c>
      <c r="AX3378" s="4"/>
    </row>
    <row r="3379" spans="1:50" ht="14.85" customHeight="1" outlineLevel="2">
      <c r="A3379" s="604">
        <v>0</v>
      </c>
      <c r="B3379" s="599"/>
      <c r="C3379" s="599"/>
      <c r="D3379" s="613"/>
      <c r="E3379" s="221"/>
      <c r="F3379" s="619"/>
      <c r="G3379" s="221"/>
      <c r="H3379" s="715"/>
      <c r="I3379" s="620"/>
      <c r="J3379" s="715"/>
      <c r="K3379" s="221"/>
      <c r="L3379" s="715"/>
      <c r="M3379" s="620"/>
      <c r="N3379" s="715"/>
      <c r="O3379" s="221"/>
      <c r="P3379" s="616"/>
      <c r="Q3379" s="616"/>
      <c r="R3379" s="616"/>
      <c r="S3379" s="616"/>
      <c r="T3379" s="616"/>
      <c r="U3379" s="616"/>
      <c r="V3379" s="616"/>
      <c r="W3379" s="221"/>
      <c r="X3379" s="617"/>
      <c r="Y3379" s="221"/>
      <c r="Z3379" s="221"/>
      <c r="AA3379" s="615"/>
      <c r="AB3379" s="615"/>
      <c r="AC3379" s="222"/>
      <c r="AD3379" s="221"/>
      <c r="AE3379" s="221"/>
      <c r="AF3379" s="615"/>
      <c r="AG3379" s="615"/>
      <c r="AH3379" s="615"/>
      <c r="AI3379" s="615"/>
      <c r="AJ3379" s="615"/>
      <c r="AK3379" s="615"/>
      <c r="AL3379" s="615"/>
      <c r="AM3379" s="221"/>
      <c r="AN3379" s="221"/>
      <c r="AO3379" s="615"/>
      <c r="AP3379" s="615"/>
      <c r="AV3379" t="str">
        <f t="shared" si="13579"/>
        <v>OAE - Obra de Arte Especial</v>
      </c>
      <c r="AW3379" s="4" t="str">
        <f t="shared" si="13578"/>
        <v>OAE - Obra de Arte Especial</v>
      </c>
      <c r="AX3379" s="4"/>
    </row>
    <row r="3380" spans="1:50" ht="14.85" customHeight="1" outlineLevel="2">
      <c r="A3380" s="604">
        <v>0</v>
      </c>
      <c r="B3380" s="599"/>
      <c r="C3380" s="599">
        <v>0</v>
      </c>
      <c r="D3380" s="613"/>
      <c r="E3380" s="221"/>
      <c r="F3380" s="614"/>
      <c r="G3380" s="221"/>
      <c r="H3380" s="221"/>
      <c r="I3380" s="615"/>
      <c r="J3380" s="221"/>
      <c r="K3380" s="221"/>
      <c r="L3380" s="221"/>
      <c r="M3380" s="615"/>
      <c r="N3380" s="221"/>
      <c r="O3380" s="221"/>
      <c r="P3380" s="616"/>
      <c r="Q3380" s="616"/>
      <c r="R3380" s="616"/>
      <c r="S3380" s="616"/>
      <c r="T3380" s="616"/>
      <c r="U3380" s="616"/>
      <c r="V3380" s="616"/>
      <c r="W3380" s="221"/>
      <c r="X3380" s="617"/>
      <c r="Y3380" s="221"/>
      <c r="Z3380" s="221"/>
      <c r="AA3380" s="615"/>
      <c r="AB3380" s="615"/>
      <c r="AC3380" s="222"/>
      <c r="AD3380" s="221"/>
      <c r="AE3380" s="221"/>
      <c r="AF3380" s="615"/>
      <c r="AG3380" s="615"/>
      <c r="AH3380" s="615"/>
      <c r="AI3380" s="615"/>
      <c r="AJ3380" s="615"/>
      <c r="AK3380" s="615"/>
      <c r="AL3380" s="615"/>
      <c r="AM3380" s="221"/>
      <c r="AN3380" s="221"/>
      <c r="AO3380" s="615"/>
      <c r="AP3380" s="615"/>
      <c r="AV3380" t="str">
        <f t="shared" si="13579"/>
        <v>OAE - Obra de Arte Especial</v>
      </c>
      <c r="AW3380" s="4" t="str">
        <f t="shared" si="13578"/>
        <v>OAE - Obra de Arte Especial</v>
      </c>
      <c r="AX3380" s="4"/>
    </row>
    <row r="3381" spans="1:50" ht="14.85" customHeight="1" outlineLevel="2">
      <c r="A3381" s="525">
        <v>0</v>
      </c>
      <c r="B3381" s="526"/>
      <c r="C3381" s="526"/>
      <c r="D3381" s="557"/>
      <c r="E3381" s="923" t="s">
        <v>3768</v>
      </c>
      <c r="F3381" s="859"/>
      <c r="G3381" s="528"/>
      <c r="H3381" s="542"/>
      <c r="I3381" s="543"/>
      <c r="J3381" s="860" t="str">
        <f>IFERROR((I3382/I3381),"-")</f>
        <v>-</v>
      </c>
      <c r="K3381" s="528"/>
      <c r="L3381" s="542"/>
      <c r="M3381" s="543"/>
      <c r="N3381" s="860" t="str">
        <f>IFERROR((M3382/M3381),"-")</f>
        <v>-</v>
      </c>
      <c r="O3381" s="528"/>
      <c r="P3381" s="566"/>
      <c r="Q3381" s="566"/>
      <c r="R3381" s="566"/>
      <c r="S3381" s="566"/>
      <c r="T3381" s="566"/>
      <c r="U3381" s="566"/>
      <c r="V3381" s="566"/>
      <c r="W3381" s="528"/>
      <c r="X3381" s="543"/>
      <c r="Y3381" s="860"/>
      <c r="Z3381" s="528"/>
      <c r="AA3381" s="814"/>
      <c r="AB3381" s="814"/>
      <c r="AC3381" s="814"/>
      <c r="AD3381" s="860"/>
      <c r="AE3381" s="528"/>
      <c r="AF3381" s="814"/>
      <c r="AG3381" s="814"/>
      <c r="AH3381" s="814"/>
      <c r="AI3381" s="814"/>
      <c r="AJ3381" s="814"/>
      <c r="AK3381" s="814"/>
      <c r="AL3381" s="814"/>
      <c r="AM3381" s="860"/>
      <c r="AN3381" s="528"/>
      <c r="AO3381" s="814"/>
      <c r="AP3381" s="814"/>
      <c r="AV3381" t="str">
        <f t="shared" si="13579"/>
        <v>OAE - Obra de Arte Especial</v>
      </c>
      <c r="AW3381" s="4" t="str">
        <f t="shared" si="13578"/>
        <v>Ponte Rio Santa Maria - Km 131+181 a Km 131+387</v>
      </c>
      <c r="AX3381" s="4"/>
    </row>
    <row r="3382" spans="1:50" ht="14.85" customHeight="1" outlineLevel="2">
      <c r="A3382" s="525">
        <v>0</v>
      </c>
      <c r="B3382" s="526"/>
      <c r="C3382" s="526">
        <v>0</v>
      </c>
      <c r="D3382" s="558"/>
      <c r="E3382" s="923"/>
      <c r="F3382" s="859"/>
      <c r="G3382" s="528"/>
      <c r="H3382" s="544"/>
      <c r="I3382" s="543"/>
      <c r="J3382" s="861"/>
      <c r="K3382" s="528"/>
      <c r="L3382" s="544"/>
      <c r="M3382" s="543"/>
      <c r="N3382" s="861"/>
      <c r="O3382" s="528"/>
      <c r="P3382" s="566"/>
      <c r="Q3382" s="566"/>
      <c r="R3382" s="566"/>
      <c r="S3382" s="566"/>
      <c r="T3382" s="566"/>
      <c r="U3382" s="566"/>
      <c r="V3382" s="566"/>
      <c r="W3382" s="528"/>
      <c r="X3382" s="543"/>
      <c r="Y3382" s="861"/>
      <c r="Z3382" s="528"/>
      <c r="AA3382" s="815"/>
      <c r="AB3382" s="815"/>
      <c r="AC3382" s="814"/>
      <c r="AD3382" s="861"/>
      <c r="AE3382" s="528"/>
      <c r="AF3382" s="815"/>
      <c r="AG3382" s="815"/>
      <c r="AH3382" s="815"/>
      <c r="AI3382" s="815"/>
      <c r="AJ3382" s="815"/>
      <c r="AK3382" s="815"/>
      <c r="AL3382" s="815"/>
      <c r="AM3382" s="861"/>
      <c r="AN3382" s="528"/>
      <c r="AO3382" s="814"/>
      <c r="AP3382" s="814"/>
      <c r="AV3382" t="str">
        <f t="shared" si="13579"/>
        <v>OAE - Obra de Arte Especial</v>
      </c>
      <c r="AW3382" s="4" t="str">
        <f t="shared" si="13578"/>
        <v>Ponte Rio Santa Maria - Km 131+181 a Km 131+387</v>
      </c>
      <c r="AX3382" s="4"/>
    </row>
    <row r="3383" spans="1:50" ht="14.85" customHeight="1" outlineLevel="2">
      <c r="A3383" s="598" t="str">
        <f t="shared" ref="A3383:A3389" si="13635">IF(SUM(P3383:V3384)&gt;0,"S","N")</f>
        <v>N</v>
      </c>
      <c r="B3383" s="599"/>
      <c r="C3383" s="599"/>
      <c r="D3383" s="124"/>
      <c r="E3383" s="846" t="s">
        <v>3769</v>
      </c>
      <c r="F3383" s="848" t="s">
        <v>1437</v>
      </c>
      <c r="G3383" s="40"/>
      <c r="H3383" s="600" t="s">
        <v>37</v>
      </c>
      <c r="I3383" s="504"/>
      <c r="J3383" s="849" t="str">
        <f t="shared" ref="J3383:J3385" si="13636">IFERROR((I3384/I3383),"-")</f>
        <v>-</v>
      </c>
      <c r="K3383" s="40"/>
      <c r="L3383" s="600" t="s">
        <v>37</v>
      </c>
      <c r="M3383" s="504">
        <f t="shared" ref="M3383:M3414" si="13637">_xlfn.XLOOKUP($N$8,$P$8:$V$8,$P3383:$V3383)</f>
        <v>0</v>
      </c>
      <c r="N3383" s="849" t="str">
        <f t="shared" ref="N3383:N3385" si="13638">IFERROR((M3384/M3383),"-")</f>
        <v>-</v>
      </c>
      <c r="O3383" s="40"/>
      <c r="P3383" s="381"/>
      <c r="Q3383" s="148"/>
      <c r="R3383" s="240"/>
      <c r="S3383" s="148"/>
      <c r="T3383" s="148"/>
      <c r="U3383" s="148"/>
      <c r="V3383" s="382"/>
      <c r="W3383" s="40"/>
      <c r="X3383" s="504">
        <f t="shared" ref="X3383:X3414" si="13639">SUMIFS(P3383:V3383,$P$8:$V$8,"&gt;="&amp;$P$8,$P$8:$V$8,"&lt;="&amp;$N$8)</f>
        <v>0</v>
      </c>
      <c r="Y3383" s="849" t="str">
        <f t="shared" ref="Y3383" si="13640">IFERROR((X3384/X3383),"-")</f>
        <v>-</v>
      </c>
      <c r="Z3383" s="40"/>
      <c r="AA3383" s="855"/>
      <c r="AB3383" s="855"/>
      <c r="AC3383" s="855"/>
      <c r="AD3383" s="762" t="str">
        <f t="shared" ref="AD3383:AD3389" si="13641">IFERROR((AC3383/AA3383),"-")</f>
        <v>-</v>
      </c>
      <c r="AE3383" s="40"/>
      <c r="AF3383" s="855"/>
      <c r="AG3383" s="855"/>
      <c r="AH3383" s="855"/>
      <c r="AI3383" s="855"/>
      <c r="AJ3383" s="855"/>
      <c r="AK3383" s="855"/>
      <c r="AL3383" s="855"/>
      <c r="AM3383" s="849"/>
      <c r="AN3383" s="40"/>
      <c r="AO3383" s="858"/>
      <c r="AP3383" s="855"/>
      <c r="AV3383" t="str">
        <f t="shared" si="13579"/>
        <v>OAE - Obra de Arte Especial</v>
      </c>
      <c r="AW3383" s="4" t="str">
        <f t="shared" si="13578"/>
        <v>Vão 01 (entre E01 e P1) - Instalação de Canaletas Pré-moldadas</v>
      </c>
      <c r="AX3383" s="4"/>
    </row>
    <row r="3384" spans="1:50" ht="14.85" customHeight="1" outlineLevel="2">
      <c r="A3384" s="598" t="str">
        <f t="shared" ref="A3384:A3414" si="13642">A3383</f>
        <v>N</v>
      </c>
      <c r="B3384" s="599"/>
      <c r="C3384" s="599">
        <v>0</v>
      </c>
      <c r="D3384" s="124"/>
      <c r="E3384" s="847"/>
      <c r="F3384" s="848"/>
      <c r="G3384" s="40"/>
      <c r="H3384" s="603" t="s">
        <v>38</v>
      </c>
      <c r="I3384" s="504"/>
      <c r="J3384" s="850"/>
      <c r="K3384" s="40"/>
      <c r="L3384" s="603" t="s">
        <v>38</v>
      </c>
      <c r="M3384" s="504" t="str">
        <f t="shared" si="13637"/>
        <v>x</v>
      </c>
      <c r="N3384" s="850"/>
      <c r="O3384" s="40"/>
      <c r="P3384" s="727" t="s">
        <v>176</v>
      </c>
      <c r="Q3384" s="726" t="s">
        <v>176</v>
      </c>
      <c r="R3384" s="240"/>
      <c r="S3384" s="148"/>
      <c r="T3384" s="148"/>
      <c r="U3384" s="148"/>
      <c r="V3384" s="382"/>
      <c r="W3384" s="40"/>
      <c r="X3384" s="504">
        <f t="shared" si="13639"/>
        <v>0</v>
      </c>
      <c r="Y3384" s="850"/>
      <c r="Z3384" s="40"/>
      <c r="AA3384" s="856"/>
      <c r="AB3384" s="856"/>
      <c r="AC3384" s="856"/>
      <c r="AD3384" s="763"/>
      <c r="AE3384" s="40"/>
      <c r="AF3384" s="856"/>
      <c r="AG3384" s="856"/>
      <c r="AH3384" s="856"/>
      <c r="AI3384" s="856"/>
      <c r="AJ3384" s="856"/>
      <c r="AK3384" s="856"/>
      <c r="AL3384" s="856"/>
      <c r="AM3384" s="850"/>
      <c r="AN3384" s="40"/>
      <c r="AO3384" s="857"/>
      <c r="AP3384" s="857"/>
      <c r="AV3384" t="str">
        <f t="shared" si="13579"/>
        <v>OAE - Obra de Arte Especial</v>
      </c>
      <c r="AW3384" s="4" t="str">
        <f t="shared" si="13578"/>
        <v>Vão 01 (entre E01 e P1) - Instalação de Canaletas Pré-moldadas</v>
      </c>
      <c r="AX3384" s="4"/>
    </row>
    <row r="3385" spans="1:50" ht="14.85" customHeight="1" outlineLevel="2">
      <c r="A3385" s="598" t="str">
        <f t="shared" si="13635"/>
        <v>N</v>
      </c>
      <c r="B3385" s="599"/>
      <c r="C3385" s="599"/>
      <c r="D3385" s="124"/>
      <c r="E3385" s="846" t="s">
        <v>3770</v>
      </c>
      <c r="F3385" s="848" t="s">
        <v>1437</v>
      </c>
      <c r="G3385" s="40"/>
      <c r="H3385" s="600" t="s">
        <v>37</v>
      </c>
      <c r="I3385" s="504"/>
      <c r="J3385" s="849" t="str">
        <f t="shared" si="13636"/>
        <v>-</v>
      </c>
      <c r="K3385" s="40"/>
      <c r="L3385" s="600" t="s">
        <v>37</v>
      </c>
      <c r="M3385" s="504">
        <f t="shared" si="13637"/>
        <v>0</v>
      </c>
      <c r="N3385" s="849" t="str">
        <f t="shared" si="13638"/>
        <v>-</v>
      </c>
      <c r="O3385" s="40"/>
      <c r="P3385" s="240"/>
      <c r="Q3385" s="148"/>
      <c r="R3385" s="240"/>
      <c r="S3385" s="148"/>
      <c r="T3385" s="148"/>
      <c r="U3385" s="148"/>
      <c r="V3385" s="382"/>
      <c r="W3385" s="40"/>
      <c r="X3385" s="504">
        <f t="shared" si="13639"/>
        <v>0</v>
      </c>
      <c r="Y3385" s="849" t="str">
        <f t="shared" ref="Y3385" si="13643">IFERROR((X3386/X3385),"-")</f>
        <v>-</v>
      </c>
      <c r="Z3385" s="40"/>
      <c r="AA3385" s="855"/>
      <c r="AB3385" s="855"/>
      <c r="AC3385" s="855"/>
      <c r="AD3385" s="762" t="str">
        <f t="shared" si="13641"/>
        <v>-</v>
      </c>
      <c r="AE3385" s="40"/>
      <c r="AF3385" s="855"/>
      <c r="AG3385" s="855"/>
      <c r="AH3385" s="855"/>
      <c r="AI3385" s="855"/>
      <c r="AJ3385" s="855"/>
      <c r="AK3385" s="855"/>
      <c r="AL3385" s="855"/>
      <c r="AM3385" s="849"/>
      <c r="AN3385" s="40"/>
      <c r="AO3385" s="858"/>
      <c r="AP3385" s="855"/>
      <c r="AV3385" t="str">
        <f t="shared" si="13579"/>
        <v>OAE - Obra de Arte Especial</v>
      </c>
      <c r="AW3385" s="4" t="str">
        <f t="shared" si="13578"/>
        <v>Vão 02 (entre P1 e P2) - Instalação de Canaletas Pré-moldadas</v>
      </c>
      <c r="AX3385" s="4"/>
    </row>
    <row r="3386" spans="1:50" ht="14.85" customHeight="1" outlineLevel="2">
      <c r="A3386" s="598" t="str">
        <f t="shared" si="13642"/>
        <v>N</v>
      </c>
      <c r="B3386" s="599"/>
      <c r="C3386" s="599">
        <v>0</v>
      </c>
      <c r="D3386" s="124"/>
      <c r="E3386" s="847"/>
      <c r="F3386" s="848"/>
      <c r="G3386" s="40"/>
      <c r="H3386" s="603" t="s">
        <v>38</v>
      </c>
      <c r="I3386" s="504"/>
      <c r="J3386" s="850"/>
      <c r="K3386" s="40"/>
      <c r="L3386" s="603" t="s">
        <v>38</v>
      </c>
      <c r="M3386" s="504">
        <f t="shared" si="13637"/>
        <v>0</v>
      </c>
      <c r="N3386" s="850"/>
      <c r="O3386" s="40"/>
      <c r="P3386" s="381"/>
      <c r="Q3386" s="148"/>
      <c r="R3386" s="240"/>
      <c r="S3386" s="148"/>
      <c r="T3386" s="148"/>
      <c r="U3386" s="148"/>
      <c r="V3386" s="382"/>
      <c r="W3386" s="40"/>
      <c r="X3386" s="504">
        <f t="shared" si="13639"/>
        <v>0</v>
      </c>
      <c r="Y3386" s="850"/>
      <c r="Z3386" s="40"/>
      <c r="AA3386" s="856"/>
      <c r="AB3386" s="856"/>
      <c r="AC3386" s="856"/>
      <c r="AD3386" s="763"/>
      <c r="AE3386" s="40"/>
      <c r="AF3386" s="856"/>
      <c r="AG3386" s="856"/>
      <c r="AH3386" s="856"/>
      <c r="AI3386" s="856"/>
      <c r="AJ3386" s="856"/>
      <c r="AK3386" s="856"/>
      <c r="AL3386" s="856"/>
      <c r="AM3386" s="850"/>
      <c r="AN3386" s="40"/>
      <c r="AO3386" s="857"/>
      <c r="AP3386" s="857"/>
      <c r="AV3386" t="str">
        <f t="shared" si="13579"/>
        <v>OAE - Obra de Arte Especial</v>
      </c>
      <c r="AW3386" s="4" t="str">
        <f t="shared" si="13578"/>
        <v>Vão 02 (entre P1 e P2) - Instalação de Canaletas Pré-moldadas</v>
      </c>
      <c r="AX3386" s="4"/>
    </row>
    <row r="3387" spans="1:50" ht="14.85" customHeight="1" outlineLevel="2">
      <c r="A3387" s="598" t="str">
        <f t="shared" si="13635"/>
        <v>N</v>
      </c>
      <c r="B3387" s="599"/>
      <c r="C3387" s="599"/>
      <c r="D3387" s="124"/>
      <c r="E3387" s="846" t="s">
        <v>3771</v>
      </c>
      <c r="F3387" s="848" t="s">
        <v>1437</v>
      </c>
      <c r="G3387" s="40"/>
      <c r="H3387" s="600" t="s">
        <v>37</v>
      </c>
      <c r="I3387" s="504"/>
      <c r="J3387" s="849" t="str">
        <f t="shared" ref="J3387" si="13644">IFERROR((I3388/I3387),"-")</f>
        <v>-</v>
      </c>
      <c r="K3387" s="40"/>
      <c r="L3387" s="600" t="s">
        <v>37</v>
      </c>
      <c r="M3387" s="504">
        <f t="shared" si="13637"/>
        <v>0</v>
      </c>
      <c r="N3387" s="849" t="str">
        <f t="shared" ref="N3387" si="13645">IFERROR((M3388/M3387),"-")</f>
        <v>-</v>
      </c>
      <c r="O3387" s="40"/>
      <c r="P3387" s="381"/>
      <c r="Q3387" s="148"/>
      <c r="R3387" s="240"/>
      <c r="S3387" s="148"/>
      <c r="T3387" s="148"/>
      <c r="U3387" s="148"/>
      <c r="V3387" s="382"/>
      <c r="W3387" s="40"/>
      <c r="X3387" s="504">
        <f t="shared" si="13639"/>
        <v>0</v>
      </c>
      <c r="Y3387" s="849" t="str">
        <f t="shared" ref="Y3387" si="13646">IFERROR((X3388/X3387),"-")</f>
        <v>-</v>
      </c>
      <c r="Z3387" s="40"/>
      <c r="AA3387" s="855"/>
      <c r="AB3387" s="855"/>
      <c r="AC3387" s="855"/>
      <c r="AD3387" s="762" t="str">
        <f t="shared" si="13641"/>
        <v>-</v>
      </c>
      <c r="AE3387" s="40"/>
      <c r="AF3387" s="855"/>
      <c r="AG3387" s="855"/>
      <c r="AH3387" s="855"/>
      <c r="AI3387" s="855"/>
      <c r="AJ3387" s="855"/>
      <c r="AK3387" s="855"/>
      <c r="AL3387" s="855"/>
      <c r="AM3387" s="849"/>
      <c r="AN3387" s="40"/>
      <c r="AO3387" s="858"/>
      <c r="AP3387" s="855"/>
      <c r="AV3387" t="str">
        <f t="shared" si="13579"/>
        <v>OAE - Obra de Arte Especial</v>
      </c>
      <c r="AW3387" s="4" t="str">
        <f t="shared" si="13578"/>
        <v>Vão 03 (entre P2 e P3) - Instalação de Canaletas Pré-moldadas</v>
      </c>
    </row>
    <row r="3388" spans="1:50" ht="14.85" customHeight="1" outlineLevel="2">
      <c r="A3388" s="598" t="str">
        <f t="shared" si="13642"/>
        <v>N</v>
      </c>
      <c r="B3388" s="599"/>
      <c r="C3388" s="599">
        <v>0</v>
      </c>
      <c r="D3388" s="124"/>
      <c r="E3388" s="847"/>
      <c r="F3388" s="848"/>
      <c r="G3388" s="40"/>
      <c r="H3388" s="603" t="s">
        <v>38</v>
      </c>
      <c r="I3388" s="504"/>
      <c r="J3388" s="850"/>
      <c r="K3388" s="40"/>
      <c r="L3388" s="603" t="s">
        <v>38</v>
      </c>
      <c r="M3388" s="504">
        <f t="shared" si="13637"/>
        <v>0</v>
      </c>
      <c r="N3388" s="850"/>
      <c r="O3388" s="40"/>
      <c r="P3388" s="381"/>
      <c r="Q3388" s="148"/>
      <c r="R3388" s="240"/>
      <c r="S3388" s="148"/>
      <c r="T3388" s="148"/>
      <c r="U3388" s="148"/>
      <c r="V3388" s="382"/>
      <c r="W3388" s="40"/>
      <c r="X3388" s="504">
        <f t="shared" si="13639"/>
        <v>0</v>
      </c>
      <c r="Y3388" s="850"/>
      <c r="Z3388" s="40"/>
      <c r="AA3388" s="856"/>
      <c r="AB3388" s="856"/>
      <c r="AC3388" s="856"/>
      <c r="AD3388" s="763"/>
      <c r="AE3388" s="40"/>
      <c r="AF3388" s="856"/>
      <c r="AG3388" s="856"/>
      <c r="AH3388" s="856"/>
      <c r="AI3388" s="856"/>
      <c r="AJ3388" s="856"/>
      <c r="AK3388" s="856"/>
      <c r="AL3388" s="856"/>
      <c r="AM3388" s="850"/>
      <c r="AN3388" s="40"/>
      <c r="AO3388" s="857"/>
      <c r="AP3388" s="857"/>
      <c r="AV3388" t="str">
        <f t="shared" si="13579"/>
        <v>OAE - Obra de Arte Especial</v>
      </c>
      <c r="AW3388" s="4" t="str">
        <f t="shared" si="13578"/>
        <v>Vão 03 (entre P2 e P3) - Instalação de Canaletas Pré-moldadas</v>
      </c>
    </row>
    <row r="3389" spans="1:50" ht="14.85" customHeight="1" outlineLevel="2">
      <c r="A3389" s="604" t="str">
        <f t="shared" si="13635"/>
        <v>N</v>
      </c>
      <c r="B3389" s="599"/>
      <c r="C3389" s="599"/>
      <c r="D3389" s="124"/>
      <c r="E3389" s="846" t="s">
        <v>3772</v>
      </c>
      <c r="F3389" s="848" t="s">
        <v>1437</v>
      </c>
      <c r="G3389" s="40"/>
      <c r="H3389" s="600" t="s">
        <v>37</v>
      </c>
      <c r="I3389" s="504"/>
      <c r="J3389" s="849" t="str">
        <f t="shared" ref="J3389" si="13647">IFERROR((I3390/I3389),"-")</f>
        <v>-</v>
      </c>
      <c r="K3389" s="40"/>
      <c r="L3389" s="600" t="s">
        <v>37</v>
      </c>
      <c r="M3389" s="504">
        <f t="shared" si="13637"/>
        <v>0</v>
      </c>
      <c r="N3389" s="849" t="str">
        <f t="shared" ref="N3389" si="13648">IFERROR((M3390/M3389),"-")</f>
        <v>-</v>
      </c>
      <c r="O3389" s="40"/>
      <c r="P3389" s="381"/>
      <c r="Q3389" s="148"/>
      <c r="R3389" s="240"/>
      <c r="S3389" s="148"/>
      <c r="T3389" s="148"/>
      <c r="U3389" s="148"/>
      <c r="V3389" s="382"/>
      <c r="W3389" s="40"/>
      <c r="X3389" s="504">
        <f t="shared" si="13639"/>
        <v>0</v>
      </c>
      <c r="Y3389" s="849" t="str">
        <f t="shared" ref="Y3389" si="13649">IFERROR((X3390/X3389),"-")</f>
        <v>-</v>
      </c>
      <c r="Z3389" s="40"/>
      <c r="AA3389" s="855"/>
      <c r="AB3389" s="855"/>
      <c r="AC3389" s="855"/>
      <c r="AD3389" s="762" t="str">
        <f t="shared" si="13641"/>
        <v>-</v>
      </c>
      <c r="AE3389" s="40"/>
      <c r="AF3389" s="855"/>
      <c r="AG3389" s="855"/>
      <c r="AH3389" s="855"/>
      <c r="AI3389" s="855"/>
      <c r="AJ3389" s="855"/>
      <c r="AK3389" s="855"/>
      <c r="AL3389" s="855"/>
      <c r="AM3389" s="849"/>
      <c r="AN3389" s="40"/>
      <c r="AO3389" s="858"/>
      <c r="AP3389" s="855"/>
      <c r="AV3389" t="str">
        <f t="shared" si="13579"/>
        <v>OAE - Obra de Arte Especial</v>
      </c>
      <c r="AW3389" s="4" t="str">
        <f t="shared" si="13578"/>
        <v>Vão 04 (entre P3 e P4) - Instalação de Canaletas Pré-moldadas</v>
      </c>
      <c r="AX3389" s="4"/>
    </row>
    <row r="3390" spans="1:50" ht="14.85" customHeight="1" outlineLevel="2" collapsed="1">
      <c r="A3390" s="604" t="str">
        <f t="shared" si="13642"/>
        <v>N</v>
      </c>
      <c r="B3390" s="599"/>
      <c r="C3390" s="599">
        <v>0</v>
      </c>
      <c r="D3390" s="124"/>
      <c r="E3390" s="847"/>
      <c r="F3390" s="848"/>
      <c r="G3390" s="40"/>
      <c r="H3390" s="603" t="s">
        <v>38</v>
      </c>
      <c r="I3390" s="504"/>
      <c r="J3390" s="850"/>
      <c r="K3390" s="40"/>
      <c r="L3390" s="603" t="s">
        <v>38</v>
      </c>
      <c r="M3390" s="504">
        <f t="shared" si="13637"/>
        <v>0</v>
      </c>
      <c r="N3390" s="850"/>
      <c r="O3390" s="40"/>
      <c r="P3390" s="381"/>
      <c r="Q3390" s="148"/>
      <c r="R3390" s="240"/>
      <c r="S3390" s="148"/>
      <c r="T3390" s="148"/>
      <c r="U3390" s="148"/>
      <c r="V3390" s="382"/>
      <c r="W3390" s="40"/>
      <c r="X3390" s="504">
        <f t="shared" si="13639"/>
        <v>0</v>
      </c>
      <c r="Y3390" s="850"/>
      <c r="Z3390" s="40"/>
      <c r="AA3390" s="856"/>
      <c r="AB3390" s="856"/>
      <c r="AC3390" s="856"/>
      <c r="AD3390" s="763"/>
      <c r="AE3390" s="40"/>
      <c r="AF3390" s="856"/>
      <c r="AG3390" s="856"/>
      <c r="AH3390" s="856"/>
      <c r="AI3390" s="856"/>
      <c r="AJ3390" s="856"/>
      <c r="AK3390" s="856"/>
      <c r="AL3390" s="856"/>
      <c r="AM3390" s="850"/>
      <c r="AN3390" s="40"/>
      <c r="AO3390" s="857"/>
      <c r="AP3390" s="857"/>
      <c r="AV3390" t="str">
        <f t="shared" si="13579"/>
        <v>OAE - Obra de Arte Especial</v>
      </c>
      <c r="AW3390" s="4" t="str">
        <f t="shared" si="13578"/>
        <v>Vão 04 (entre P3 e P4) - Instalação de Canaletas Pré-moldadas</v>
      </c>
      <c r="AX3390" s="4"/>
    </row>
    <row r="3391" spans="1:50" ht="14.85" customHeight="1" outlineLevel="2">
      <c r="A3391" s="598" t="str">
        <f t="shared" ref="A3391" si="13650">IF(SUM(P3391:V3392)&gt;0,"S","N")</f>
        <v>N</v>
      </c>
      <c r="B3391" s="599"/>
      <c r="C3391" s="599"/>
      <c r="D3391" s="124"/>
      <c r="E3391" s="846" t="s">
        <v>3773</v>
      </c>
      <c r="F3391" s="848" t="s">
        <v>1437</v>
      </c>
      <c r="G3391" s="40"/>
      <c r="H3391" s="600" t="s">
        <v>37</v>
      </c>
      <c r="I3391" s="504"/>
      <c r="J3391" s="849" t="str">
        <f t="shared" ref="J3391" si="13651">IFERROR((I3392/I3391),"-")</f>
        <v>-</v>
      </c>
      <c r="K3391" s="40"/>
      <c r="L3391" s="600" t="s">
        <v>37</v>
      </c>
      <c r="M3391" s="504">
        <f t="shared" si="13637"/>
        <v>0</v>
      </c>
      <c r="N3391" s="849" t="str">
        <f t="shared" ref="N3391" si="13652">IFERROR((M3392/M3391),"-")</f>
        <v>-</v>
      </c>
      <c r="O3391" s="40"/>
      <c r="P3391" s="381"/>
      <c r="Q3391" s="148"/>
      <c r="R3391" s="240"/>
      <c r="S3391" s="148"/>
      <c r="T3391" s="148"/>
      <c r="U3391" s="148"/>
      <c r="V3391" s="382"/>
      <c r="W3391" s="40"/>
      <c r="X3391" s="504">
        <f t="shared" si="13639"/>
        <v>0</v>
      </c>
      <c r="Y3391" s="849" t="str">
        <f t="shared" ref="Y3391" si="13653">IFERROR((X3392/X3391),"-")</f>
        <v>-</v>
      </c>
      <c r="Z3391" s="40"/>
      <c r="AA3391" s="855"/>
      <c r="AB3391" s="855"/>
      <c r="AC3391" s="855"/>
      <c r="AD3391" s="762" t="str">
        <f t="shared" ref="AD3391" si="13654">IFERROR((AC3391/AA3391),"-")</f>
        <v>-</v>
      </c>
      <c r="AE3391" s="40"/>
      <c r="AF3391" s="855"/>
      <c r="AG3391" s="855"/>
      <c r="AH3391" s="855"/>
      <c r="AI3391" s="855"/>
      <c r="AJ3391" s="855"/>
      <c r="AK3391" s="855"/>
      <c r="AL3391" s="855"/>
      <c r="AM3391" s="849"/>
      <c r="AN3391" s="40"/>
      <c r="AO3391" s="858"/>
      <c r="AP3391" s="855"/>
      <c r="AV3391" t="str">
        <f t="shared" si="13579"/>
        <v>OAE - Obra de Arte Especial</v>
      </c>
      <c r="AW3391" s="4" t="str">
        <f t="shared" si="13578"/>
        <v>Vão 02 (entre P1 e P2) - Instalação das tampas</v>
      </c>
      <c r="AX3391" s="4"/>
    </row>
    <row r="3392" spans="1:50" ht="14.85" customHeight="1" outlineLevel="2">
      <c r="A3392" s="598" t="str">
        <f t="shared" si="13642"/>
        <v>N</v>
      </c>
      <c r="B3392" s="599"/>
      <c r="C3392" s="599">
        <v>0</v>
      </c>
      <c r="D3392" s="124"/>
      <c r="E3392" s="847"/>
      <c r="F3392" s="848"/>
      <c r="G3392" s="40"/>
      <c r="H3392" s="603" t="s">
        <v>38</v>
      </c>
      <c r="I3392" s="504"/>
      <c r="J3392" s="850"/>
      <c r="K3392" s="40"/>
      <c r="L3392" s="603" t="s">
        <v>38</v>
      </c>
      <c r="M3392" s="504">
        <f t="shared" si="13637"/>
        <v>0</v>
      </c>
      <c r="N3392" s="850"/>
      <c r="O3392" s="40"/>
      <c r="P3392" s="381"/>
      <c r="Q3392" s="148"/>
      <c r="R3392" s="240"/>
      <c r="S3392" s="148"/>
      <c r="T3392" s="148"/>
      <c r="U3392" s="148"/>
      <c r="V3392" s="382"/>
      <c r="W3392" s="40"/>
      <c r="X3392" s="504">
        <f t="shared" si="13639"/>
        <v>0</v>
      </c>
      <c r="Y3392" s="850"/>
      <c r="Z3392" s="40"/>
      <c r="AA3392" s="856"/>
      <c r="AB3392" s="856"/>
      <c r="AC3392" s="856"/>
      <c r="AD3392" s="763"/>
      <c r="AE3392" s="40"/>
      <c r="AF3392" s="856"/>
      <c r="AG3392" s="856"/>
      <c r="AH3392" s="856"/>
      <c r="AI3392" s="856"/>
      <c r="AJ3392" s="856"/>
      <c r="AK3392" s="856"/>
      <c r="AL3392" s="856"/>
      <c r="AM3392" s="850"/>
      <c r="AN3392" s="40"/>
      <c r="AO3392" s="857"/>
      <c r="AP3392" s="857"/>
      <c r="AV3392" t="str">
        <f t="shared" si="13579"/>
        <v>OAE - Obra de Arte Especial</v>
      </c>
      <c r="AW3392" s="4" t="str">
        <f t="shared" si="13578"/>
        <v>Vão 02 (entre P1 e P2) - Instalação das tampas</v>
      </c>
      <c r="AX3392" s="4"/>
    </row>
    <row r="3393" spans="1:50" ht="14.85" customHeight="1" outlineLevel="2">
      <c r="A3393" s="598" t="str">
        <f t="shared" ref="A3393" si="13655">IF(SUM(P3393:V3394)&gt;0,"S","N")</f>
        <v>N</v>
      </c>
      <c r="B3393" s="599"/>
      <c r="C3393" s="599"/>
      <c r="D3393" s="124"/>
      <c r="E3393" s="846" t="s">
        <v>3774</v>
      </c>
      <c r="F3393" s="848" t="s">
        <v>1437</v>
      </c>
      <c r="G3393" s="40"/>
      <c r="H3393" s="600" t="s">
        <v>37</v>
      </c>
      <c r="I3393" s="504"/>
      <c r="J3393" s="849" t="str">
        <f t="shared" ref="J3393" si="13656">IFERROR((I3394/I3393),"-")</f>
        <v>-</v>
      </c>
      <c r="K3393" s="40"/>
      <c r="L3393" s="600" t="s">
        <v>37</v>
      </c>
      <c r="M3393" s="504">
        <f t="shared" si="13637"/>
        <v>0</v>
      </c>
      <c r="N3393" s="849" t="str">
        <f t="shared" ref="N3393" si="13657">IFERROR((M3394/M3393),"-")</f>
        <v>-</v>
      </c>
      <c r="O3393" s="40"/>
      <c r="P3393" s="381"/>
      <c r="Q3393" s="148"/>
      <c r="R3393" s="240"/>
      <c r="S3393" s="148"/>
      <c r="T3393" s="148"/>
      <c r="U3393" s="148"/>
      <c r="V3393" s="382"/>
      <c r="W3393" s="40"/>
      <c r="X3393" s="504">
        <f t="shared" si="13639"/>
        <v>0</v>
      </c>
      <c r="Y3393" s="849" t="str">
        <f t="shared" ref="Y3393" si="13658">IFERROR((X3394/X3393),"-")</f>
        <v>-</v>
      </c>
      <c r="Z3393" s="40"/>
      <c r="AA3393" s="855"/>
      <c r="AB3393" s="855"/>
      <c r="AC3393" s="855"/>
      <c r="AD3393" s="762" t="str">
        <f t="shared" ref="AD3393" si="13659">IFERROR((AC3393/AA3393),"-")</f>
        <v>-</v>
      </c>
      <c r="AE3393" s="40"/>
      <c r="AF3393" s="855"/>
      <c r="AG3393" s="855"/>
      <c r="AH3393" s="855"/>
      <c r="AI3393" s="855"/>
      <c r="AJ3393" s="855"/>
      <c r="AK3393" s="855"/>
      <c r="AL3393" s="855"/>
      <c r="AM3393" s="849"/>
      <c r="AN3393" s="40"/>
      <c r="AO3393" s="858"/>
      <c r="AP3393" s="855"/>
      <c r="AV3393" t="str">
        <f t="shared" si="13579"/>
        <v>OAE - Obra de Arte Especial</v>
      </c>
      <c r="AW3393" s="4" t="str">
        <f t="shared" si="13578"/>
        <v>Vão 03 (entre P2 e P3) - Instalação das tampas</v>
      </c>
      <c r="AX3393" s="4"/>
    </row>
    <row r="3394" spans="1:50" ht="14.85" customHeight="1" outlineLevel="2">
      <c r="A3394" s="598" t="str">
        <f t="shared" si="13642"/>
        <v>N</v>
      </c>
      <c r="B3394" s="599"/>
      <c r="C3394" s="599">
        <v>0</v>
      </c>
      <c r="D3394" s="124"/>
      <c r="E3394" s="847"/>
      <c r="F3394" s="848"/>
      <c r="G3394" s="40"/>
      <c r="H3394" s="603" t="s">
        <v>38</v>
      </c>
      <c r="I3394" s="504"/>
      <c r="J3394" s="850"/>
      <c r="K3394" s="40"/>
      <c r="L3394" s="603" t="s">
        <v>38</v>
      </c>
      <c r="M3394" s="504">
        <f t="shared" si="13637"/>
        <v>0</v>
      </c>
      <c r="N3394" s="850"/>
      <c r="O3394" s="40"/>
      <c r="P3394" s="381"/>
      <c r="Q3394" s="148"/>
      <c r="R3394" s="240"/>
      <c r="S3394" s="148"/>
      <c r="T3394" s="148"/>
      <c r="U3394" s="148"/>
      <c r="V3394" s="382"/>
      <c r="W3394" s="40"/>
      <c r="X3394" s="504">
        <f t="shared" si="13639"/>
        <v>0</v>
      </c>
      <c r="Y3394" s="850"/>
      <c r="Z3394" s="40"/>
      <c r="AA3394" s="856"/>
      <c r="AB3394" s="856"/>
      <c r="AC3394" s="856"/>
      <c r="AD3394" s="763"/>
      <c r="AE3394" s="40"/>
      <c r="AF3394" s="856"/>
      <c r="AG3394" s="856"/>
      <c r="AH3394" s="856"/>
      <c r="AI3394" s="856"/>
      <c r="AJ3394" s="856"/>
      <c r="AK3394" s="856"/>
      <c r="AL3394" s="856"/>
      <c r="AM3394" s="850"/>
      <c r="AN3394" s="40"/>
      <c r="AO3394" s="857"/>
      <c r="AP3394" s="857"/>
      <c r="AV3394" t="str">
        <f t="shared" si="13579"/>
        <v>OAE - Obra de Arte Especial</v>
      </c>
      <c r="AW3394" s="4" t="str">
        <f t="shared" si="13578"/>
        <v>Vão 03 (entre P2 e P3) - Instalação das tampas</v>
      </c>
      <c r="AX3394" s="4"/>
    </row>
    <row r="3395" spans="1:50" ht="14.85" customHeight="1" outlineLevel="2" collapsed="1">
      <c r="A3395" s="604" t="str">
        <f t="shared" ref="A3395" si="13660">IF(SUM(P3395:V3396)&gt;0,"S","N")</f>
        <v>N</v>
      </c>
      <c r="B3395" s="599"/>
      <c r="C3395" s="599"/>
      <c r="D3395" s="124"/>
      <c r="E3395" s="846" t="s">
        <v>3775</v>
      </c>
      <c r="F3395" s="848" t="s">
        <v>1437</v>
      </c>
      <c r="G3395" s="40"/>
      <c r="H3395" s="600" t="s">
        <v>37</v>
      </c>
      <c r="I3395" s="504"/>
      <c r="J3395" s="849" t="str">
        <f t="shared" ref="J3395" si="13661">IFERROR((I3396/I3395),"-")</f>
        <v>-</v>
      </c>
      <c r="K3395" s="40"/>
      <c r="L3395" s="600" t="s">
        <v>37</v>
      </c>
      <c r="M3395" s="504">
        <f t="shared" si="13637"/>
        <v>0</v>
      </c>
      <c r="N3395" s="849" t="str">
        <f t="shared" ref="N3395" si="13662">IFERROR((M3396/M3395),"-")</f>
        <v>-</v>
      </c>
      <c r="O3395" s="40"/>
      <c r="P3395" s="602"/>
      <c r="Q3395" s="602"/>
      <c r="R3395" s="602"/>
      <c r="S3395" s="602"/>
      <c r="T3395" s="240"/>
      <c r="U3395" s="148"/>
      <c r="V3395" s="602"/>
      <c r="W3395" s="40"/>
      <c r="X3395" s="504">
        <f t="shared" si="13639"/>
        <v>0</v>
      </c>
      <c r="Y3395" s="849" t="str">
        <f t="shared" ref="Y3395" si="13663">IFERROR((X3396/X3395),"-")</f>
        <v>-</v>
      </c>
      <c r="Z3395" s="40"/>
      <c r="AA3395" s="855"/>
      <c r="AB3395" s="855"/>
      <c r="AC3395" s="855"/>
      <c r="AD3395" s="762" t="str">
        <f t="shared" ref="AD3395" si="13664">IFERROR((AC3395/AA3395),"-")</f>
        <v>-</v>
      </c>
      <c r="AE3395" s="40"/>
      <c r="AF3395" s="855"/>
      <c r="AG3395" s="855"/>
      <c r="AH3395" s="855"/>
      <c r="AI3395" s="855"/>
      <c r="AJ3395" s="855"/>
      <c r="AK3395" s="855"/>
      <c r="AL3395" s="855"/>
      <c r="AM3395" s="849"/>
      <c r="AN3395" s="40"/>
      <c r="AO3395" s="858"/>
      <c r="AP3395" s="855"/>
      <c r="AV3395" t="str">
        <f t="shared" si="13579"/>
        <v>OAE - Obra de Arte Especial</v>
      </c>
      <c r="AW3395" s="4" t="str">
        <f t="shared" si="13578"/>
        <v>Vão 04 (entre P3 e P4) - Instalação das tampas</v>
      </c>
      <c r="AX3395" s="4"/>
    </row>
    <row r="3396" spans="1:50" ht="14.65" customHeight="1" outlineLevel="2">
      <c r="A3396" s="604" t="str">
        <f t="shared" si="13642"/>
        <v>N</v>
      </c>
      <c r="B3396" s="599"/>
      <c r="C3396" s="599">
        <v>0</v>
      </c>
      <c r="D3396" s="124"/>
      <c r="E3396" s="847"/>
      <c r="F3396" s="848"/>
      <c r="G3396" s="40"/>
      <c r="H3396" s="603" t="s">
        <v>38</v>
      </c>
      <c r="I3396" s="504"/>
      <c r="J3396" s="850"/>
      <c r="K3396" s="40"/>
      <c r="L3396" s="603" t="s">
        <v>38</v>
      </c>
      <c r="M3396" s="504">
        <f t="shared" si="13637"/>
        <v>0</v>
      </c>
      <c r="N3396" s="850"/>
      <c r="O3396" s="40"/>
      <c r="P3396" s="602"/>
      <c r="Q3396" s="602"/>
      <c r="R3396" s="602"/>
      <c r="S3396" s="602"/>
      <c r="T3396" s="602"/>
      <c r="U3396" s="602"/>
      <c r="V3396" s="602"/>
      <c r="W3396" s="40"/>
      <c r="X3396" s="504">
        <f t="shared" si="13639"/>
        <v>0</v>
      </c>
      <c r="Y3396" s="850"/>
      <c r="Z3396" s="40"/>
      <c r="AA3396" s="856"/>
      <c r="AB3396" s="856"/>
      <c r="AC3396" s="856"/>
      <c r="AD3396" s="763"/>
      <c r="AE3396" s="40"/>
      <c r="AF3396" s="856"/>
      <c r="AG3396" s="856"/>
      <c r="AH3396" s="856"/>
      <c r="AI3396" s="856"/>
      <c r="AJ3396" s="856"/>
      <c r="AK3396" s="856"/>
      <c r="AL3396" s="856"/>
      <c r="AM3396" s="850"/>
      <c r="AN3396" s="40"/>
      <c r="AO3396" s="857"/>
      <c r="AP3396" s="857"/>
      <c r="AV3396" t="str">
        <f t="shared" si="13579"/>
        <v>OAE - Obra de Arte Especial</v>
      </c>
      <c r="AW3396" s="4" t="str">
        <f t="shared" si="13578"/>
        <v>Vão 04 (entre P3 e P4) - Instalação das tampas</v>
      </c>
      <c r="AX3396" s="4"/>
    </row>
    <row r="3397" spans="1:50" ht="14.65" customHeight="1" outlineLevel="2">
      <c r="A3397" s="604" t="str">
        <f t="shared" ref="A3397" si="13665">IF(SUM(P3397:V3398)&gt;0,"S","N")</f>
        <v>N</v>
      </c>
      <c r="B3397" s="599"/>
      <c r="C3397" s="599"/>
      <c r="D3397" s="124"/>
      <c r="E3397" s="846" t="s">
        <v>3776</v>
      </c>
      <c r="F3397" s="848" t="s">
        <v>1437</v>
      </c>
      <c r="G3397" s="40"/>
      <c r="H3397" s="600" t="s">
        <v>37</v>
      </c>
      <c r="I3397" s="504"/>
      <c r="J3397" s="849" t="str">
        <f t="shared" ref="J3397" si="13666">IFERROR((I3398/I3397),"-")</f>
        <v>-</v>
      </c>
      <c r="K3397" s="40"/>
      <c r="L3397" s="600" t="s">
        <v>37</v>
      </c>
      <c r="M3397" s="504">
        <f t="shared" si="13637"/>
        <v>0</v>
      </c>
      <c r="N3397" s="849" t="str">
        <f t="shared" ref="N3397" si="13667">IFERROR((M3398/M3397),"-")</f>
        <v>-</v>
      </c>
      <c r="O3397" s="40"/>
      <c r="P3397" s="602"/>
      <c r="Q3397" s="602"/>
      <c r="R3397" s="602"/>
      <c r="S3397" s="602"/>
      <c r="T3397" s="240"/>
      <c r="U3397" s="148"/>
      <c r="V3397" s="602"/>
      <c r="W3397" s="40"/>
      <c r="X3397" s="504">
        <f t="shared" si="13639"/>
        <v>0</v>
      </c>
      <c r="Y3397" s="849" t="str">
        <f t="shared" ref="Y3397" si="13668">IFERROR((X3398/X3397),"-")</f>
        <v>-</v>
      </c>
      <c r="Z3397" s="40"/>
      <c r="AA3397" s="855"/>
      <c r="AB3397" s="855"/>
      <c r="AC3397" s="855"/>
      <c r="AD3397" s="762" t="str">
        <f t="shared" ref="AD3397" si="13669">IFERROR((AC3397/AA3397),"-")</f>
        <v>-</v>
      </c>
      <c r="AE3397" s="40"/>
      <c r="AF3397" s="855"/>
      <c r="AG3397" s="855"/>
      <c r="AH3397" s="855"/>
      <c r="AI3397" s="855"/>
      <c r="AJ3397" s="855"/>
      <c r="AK3397" s="855"/>
      <c r="AL3397" s="855"/>
      <c r="AM3397" s="849"/>
      <c r="AN3397" s="40"/>
      <c r="AO3397" s="858"/>
      <c r="AP3397" s="855"/>
      <c r="AV3397" s="4" t="str">
        <f t="shared" si="13579"/>
        <v>OAE - Obra de Arte Especial</v>
      </c>
      <c r="AW3397" s="4" t="str">
        <f t="shared" si="13578"/>
        <v>Vão 05 (entre P4 e P5) - Instalação das tampas</v>
      </c>
      <c r="AX3397" s="4"/>
    </row>
    <row r="3398" spans="1:50" ht="14.65" customHeight="1" outlineLevel="2">
      <c r="A3398" s="604" t="str">
        <f t="shared" si="13642"/>
        <v>N</v>
      </c>
      <c r="B3398" s="599"/>
      <c r="C3398" s="599">
        <v>0</v>
      </c>
      <c r="D3398" s="124"/>
      <c r="E3398" s="847"/>
      <c r="F3398" s="848"/>
      <c r="G3398" s="40"/>
      <c r="H3398" s="603" t="s">
        <v>38</v>
      </c>
      <c r="I3398" s="504"/>
      <c r="J3398" s="850"/>
      <c r="K3398" s="40"/>
      <c r="L3398" s="603" t="s">
        <v>38</v>
      </c>
      <c r="M3398" s="504">
        <f t="shared" si="13637"/>
        <v>0</v>
      </c>
      <c r="N3398" s="850"/>
      <c r="O3398" s="40"/>
      <c r="P3398" s="602"/>
      <c r="Q3398" s="602"/>
      <c r="R3398" s="602"/>
      <c r="S3398" s="602"/>
      <c r="T3398" s="602"/>
      <c r="U3398" s="602"/>
      <c r="V3398" s="602"/>
      <c r="W3398" s="40"/>
      <c r="X3398" s="504">
        <f t="shared" si="13639"/>
        <v>0</v>
      </c>
      <c r="Y3398" s="850"/>
      <c r="Z3398" s="40"/>
      <c r="AA3398" s="856"/>
      <c r="AB3398" s="856"/>
      <c r="AC3398" s="856"/>
      <c r="AD3398" s="763"/>
      <c r="AE3398" s="40"/>
      <c r="AF3398" s="856"/>
      <c r="AG3398" s="856"/>
      <c r="AH3398" s="856"/>
      <c r="AI3398" s="856"/>
      <c r="AJ3398" s="856"/>
      <c r="AK3398" s="856"/>
      <c r="AL3398" s="856"/>
      <c r="AM3398" s="850"/>
      <c r="AN3398" s="40"/>
      <c r="AO3398" s="857"/>
      <c r="AP3398" s="857"/>
      <c r="AV3398" t="str">
        <f t="shared" si="13579"/>
        <v>OAE - Obra de Arte Especial</v>
      </c>
      <c r="AW3398" s="4" t="str">
        <f t="shared" si="13578"/>
        <v>Vão 05 (entre P4 e P5) - Instalação das tampas</v>
      </c>
      <c r="AX3398" s="4"/>
    </row>
    <row r="3399" spans="1:50" ht="14.65" customHeight="1" outlineLevel="2">
      <c r="A3399" s="604" t="str">
        <f t="shared" ref="A3399" si="13670">IF(SUM(P3399:V3400)&gt;0,"S","N")</f>
        <v>N</v>
      </c>
      <c r="B3399" s="599"/>
      <c r="C3399" s="599"/>
      <c r="D3399" s="124"/>
      <c r="E3399" s="846" t="s">
        <v>3777</v>
      </c>
      <c r="F3399" s="848" t="s">
        <v>52</v>
      </c>
      <c r="G3399" s="40"/>
      <c r="H3399" s="600" t="s">
        <v>37</v>
      </c>
      <c r="I3399" s="504"/>
      <c r="J3399" s="849" t="str">
        <f t="shared" ref="J3399" si="13671">IFERROR((I3400/I3399),"-")</f>
        <v>-</v>
      </c>
      <c r="K3399" s="40"/>
      <c r="L3399" s="600" t="s">
        <v>37</v>
      </c>
      <c r="M3399" s="504">
        <f t="shared" si="13637"/>
        <v>0</v>
      </c>
      <c r="N3399" s="849" t="str">
        <f t="shared" ref="N3399" si="13672">IFERROR((M3400/M3399),"-")</f>
        <v>-</v>
      </c>
      <c r="O3399" s="40"/>
      <c r="P3399" s="602"/>
      <c r="Q3399" s="602"/>
      <c r="R3399" s="602"/>
      <c r="S3399" s="602"/>
      <c r="T3399" s="602"/>
      <c r="U3399" s="602"/>
      <c r="V3399" s="602"/>
      <c r="W3399" s="40"/>
      <c r="X3399" s="504">
        <f t="shared" si="13639"/>
        <v>0</v>
      </c>
      <c r="Y3399" s="849" t="str">
        <f t="shared" ref="Y3399" si="13673">IFERROR((X3400/X3399),"-")</f>
        <v>-</v>
      </c>
      <c r="Z3399" s="40"/>
      <c r="AA3399" s="855"/>
      <c r="AB3399" s="855"/>
      <c r="AC3399" s="855"/>
      <c r="AD3399" s="762" t="str">
        <f t="shared" ref="AD3399" si="13674">IFERROR((AC3399/AA3399),"-")</f>
        <v>-</v>
      </c>
      <c r="AE3399" s="40"/>
      <c r="AF3399" s="855"/>
      <c r="AG3399" s="855"/>
      <c r="AH3399" s="855"/>
      <c r="AI3399" s="855"/>
      <c r="AJ3399" s="855"/>
      <c r="AK3399" s="855"/>
      <c r="AL3399" s="855"/>
      <c r="AM3399" s="849"/>
      <c r="AN3399" s="40"/>
      <c r="AO3399" s="855"/>
      <c r="AP3399" s="855"/>
      <c r="AV3399" t="str">
        <f t="shared" si="13579"/>
        <v>OAE - Obra de Arte Especial</v>
      </c>
      <c r="AW3399" s="4" t="str">
        <f t="shared" si="13578"/>
        <v>Vão 02 (entre P1 e P2) - Instalação de guarda corpo</v>
      </c>
      <c r="AX3399" s="4"/>
    </row>
    <row r="3400" spans="1:50" ht="14.65" customHeight="1" outlineLevel="2">
      <c r="A3400" s="604" t="str">
        <f t="shared" si="13642"/>
        <v>N</v>
      </c>
      <c r="B3400" s="599"/>
      <c r="C3400" s="599">
        <v>0</v>
      </c>
      <c r="D3400" s="124"/>
      <c r="E3400" s="847"/>
      <c r="F3400" s="848"/>
      <c r="G3400" s="40"/>
      <c r="H3400" s="603" t="s">
        <v>38</v>
      </c>
      <c r="I3400" s="602"/>
      <c r="J3400" s="850"/>
      <c r="K3400" s="40"/>
      <c r="L3400" s="603" t="s">
        <v>38</v>
      </c>
      <c r="M3400" s="504">
        <f t="shared" si="13637"/>
        <v>0</v>
      </c>
      <c r="N3400" s="850"/>
      <c r="O3400" s="40"/>
      <c r="P3400" s="602"/>
      <c r="Q3400" s="602"/>
      <c r="R3400" s="602"/>
      <c r="S3400" s="602"/>
      <c r="T3400" s="602"/>
      <c r="U3400" s="602"/>
      <c r="V3400" s="602"/>
      <c r="W3400" s="40"/>
      <c r="X3400" s="504">
        <f t="shared" si="13639"/>
        <v>0</v>
      </c>
      <c r="Y3400" s="850"/>
      <c r="Z3400" s="40"/>
      <c r="AA3400" s="856"/>
      <c r="AB3400" s="856"/>
      <c r="AC3400" s="856"/>
      <c r="AD3400" s="763"/>
      <c r="AE3400" s="40"/>
      <c r="AF3400" s="856"/>
      <c r="AG3400" s="856"/>
      <c r="AH3400" s="856"/>
      <c r="AI3400" s="856"/>
      <c r="AJ3400" s="856"/>
      <c r="AK3400" s="856"/>
      <c r="AL3400" s="856"/>
      <c r="AM3400" s="850"/>
      <c r="AN3400" s="40"/>
      <c r="AO3400" s="857"/>
      <c r="AP3400" s="857"/>
      <c r="AV3400" t="str">
        <f t="shared" si="13579"/>
        <v>OAE - Obra de Arte Especial</v>
      </c>
      <c r="AW3400" s="4" t="str">
        <f t="shared" si="13578"/>
        <v>Vão 02 (entre P1 e P2) - Instalação de guarda corpo</v>
      </c>
      <c r="AX3400" s="4"/>
    </row>
    <row r="3401" spans="1:50" ht="14.65" customHeight="1" outlineLevel="2">
      <c r="A3401" s="604" t="str">
        <f t="shared" ref="A3401" si="13675">IF(SUM(P3401:V3402)&gt;0,"S","N")</f>
        <v>N</v>
      </c>
      <c r="B3401" s="599"/>
      <c r="C3401" s="599"/>
      <c r="D3401" s="124"/>
      <c r="E3401" s="846" t="s">
        <v>3778</v>
      </c>
      <c r="F3401" s="848" t="s">
        <v>52</v>
      </c>
      <c r="G3401" s="40"/>
      <c r="H3401" s="600" t="s">
        <v>37</v>
      </c>
      <c r="I3401" s="504"/>
      <c r="J3401" s="849" t="str">
        <f t="shared" ref="J3401" si="13676">IFERROR((I3402/I3401),"-")</f>
        <v>-</v>
      </c>
      <c r="K3401" s="40"/>
      <c r="L3401" s="600" t="s">
        <v>37</v>
      </c>
      <c r="M3401" s="504">
        <f t="shared" si="13637"/>
        <v>0</v>
      </c>
      <c r="N3401" s="849" t="str">
        <f t="shared" ref="N3401" si="13677">IFERROR((M3402/M3401),"-")</f>
        <v>-</v>
      </c>
      <c r="O3401" s="40"/>
      <c r="P3401" s="602"/>
      <c r="Q3401" s="602"/>
      <c r="R3401" s="602"/>
      <c r="S3401" s="602"/>
      <c r="T3401" s="602"/>
      <c r="U3401" s="602"/>
      <c r="V3401" s="602"/>
      <c r="W3401" s="40"/>
      <c r="X3401" s="504">
        <f t="shared" si="13639"/>
        <v>0</v>
      </c>
      <c r="Y3401" s="849" t="str">
        <f t="shared" ref="Y3401" si="13678">IFERROR((X3402/X3401),"-")</f>
        <v>-</v>
      </c>
      <c r="Z3401" s="40"/>
      <c r="AA3401" s="855"/>
      <c r="AB3401" s="855"/>
      <c r="AC3401" s="855"/>
      <c r="AD3401" s="762" t="str">
        <f t="shared" ref="AD3401" si="13679">IFERROR((AC3401/AA3401),"-")</f>
        <v>-</v>
      </c>
      <c r="AE3401" s="40"/>
      <c r="AF3401" s="855"/>
      <c r="AG3401" s="855"/>
      <c r="AH3401" s="855"/>
      <c r="AI3401" s="855"/>
      <c r="AJ3401" s="855"/>
      <c r="AK3401" s="855"/>
      <c r="AL3401" s="855"/>
      <c r="AM3401" s="849"/>
      <c r="AN3401" s="40"/>
      <c r="AO3401" s="855"/>
      <c r="AP3401" s="855"/>
      <c r="AV3401" t="str">
        <f t="shared" si="13579"/>
        <v>OAE - Obra de Arte Especial</v>
      </c>
      <c r="AW3401" s="4" t="str">
        <f t="shared" ref="AW3401:AW3464" si="13680">IF(E3401&lt;&gt;"",E3401,AW3400)</f>
        <v>Vão 04 (entre P3 e P4) - Instalação de guarda corpo</v>
      </c>
      <c r="AX3401" s="4"/>
    </row>
    <row r="3402" spans="1:50" ht="14.65" customHeight="1" outlineLevel="2">
      <c r="A3402" s="604" t="str">
        <f t="shared" si="13642"/>
        <v>N</v>
      </c>
      <c r="B3402" s="599"/>
      <c r="C3402" s="599">
        <v>0</v>
      </c>
      <c r="D3402" s="124"/>
      <c r="E3402" s="847"/>
      <c r="F3402" s="848"/>
      <c r="G3402" s="40"/>
      <c r="H3402" s="603" t="s">
        <v>38</v>
      </c>
      <c r="I3402" s="602"/>
      <c r="J3402" s="850"/>
      <c r="K3402" s="40"/>
      <c r="L3402" s="603" t="s">
        <v>38</v>
      </c>
      <c r="M3402" s="504">
        <f t="shared" si="13637"/>
        <v>0</v>
      </c>
      <c r="N3402" s="850"/>
      <c r="O3402" s="40"/>
      <c r="P3402" s="602"/>
      <c r="Q3402" s="602"/>
      <c r="R3402" s="602"/>
      <c r="S3402" s="602"/>
      <c r="T3402" s="602"/>
      <c r="U3402" s="602"/>
      <c r="V3402" s="602"/>
      <c r="W3402" s="40"/>
      <c r="X3402" s="504">
        <f t="shared" si="13639"/>
        <v>0</v>
      </c>
      <c r="Y3402" s="850"/>
      <c r="Z3402" s="40"/>
      <c r="AA3402" s="856"/>
      <c r="AB3402" s="856"/>
      <c r="AC3402" s="856"/>
      <c r="AD3402" s="763"/>
      <c r="AE3402" s="40"/>
      <c r="AF3402" s="856"/>
      <c r="AG3402" s="856"/>
      <c r="AH3402" s="856"/>
      <c r="AI3402" s="856"/>
      <c r="AJ3402" s="856"/>
      <c r="AK3402" s="856"/>
      <c r="AL3402" s="856"/>
      <c r="AM3402" s="850"/>
      <c r="AN3402" s="40"/>
      <c r="AO3402" s="857"/>
      <c r="AP3402" s="857"/>
      <c r="AV3402" t="str">
        <f t="shared" ref="AV3402:AV3412" si="13681">IF(AX3402="Y",LEFT(E3402,20),IF(AX3402="x",E3402,AV3401))</f>
        <v>OAE - Obra de Arte Especial</v>
      </c>
      <c r="AW3402" s="4" t="str">
        <f t="shared" si="13680"/>
        <v>Vão 04 (entre P3 e P4) - Instalação de guarda corpo</v>
      </c>
    </row>
    <row r="3403" spans="1:50" ht="14.65" customHeight="1" outlineLevel="2">
      <c r="A3403" s="604" t="str">
        <f t="shared" ref="A3403" si="13682">IF(SUM(P3403:V3404)&gt;0,"S","N")</f>
        <v>N</v>
      </c>
      <c r="B3403" s="599"/>
      <c r="C3403" s="599"/>
      <c r="D3403" s="124"/>
      <c r="E3403" s="846" t="s">
        <v>3779</v>
      </c>
      <c r="F3403" s="848" t="s">
        <v>52</v>
      </c>
      <c r="G3403" s="40"/>
      <c r="H3403" s="600" t="s">
        <v>37</v>
      </c>
      <c r="I3403" s="504"/>
      <c r="J3403" s="849" t="str">
        <f t="shared" ref="J3403" si="13683">IFERROR((I3404/I3403),"-")</f>
        <v>-</v>
      </c>
      <c r="K3403" s="40"/>
      <c r="L3403" s="600" t="s">
        <v>37</v>
      </c>
      <c r="M3403" s="504">
        <f t="shared" si="13637"/>
        <v>0</v>
      </c>
      <c r="N3403" s="849" t="str">
        <f t="shared" ref="N3403" si="13684">IFERROR((M3404/M3403),"-")</f>
        <v>-</v>
      </c>
      <c r="O3403" s="40"/>
      <c r="P3403" s="602"/>
      <c r="Q3403" s="602"/>
      <c r="R3403" s="602"/>
      <c r="S3403" s="602"/>
      <c r="T3403" s="602"/>
      <c r="U3403" s="602"/>
      <c r="V3403" s="602"/>
      <c r="W3403" s="40"/>
      <c r="X3403" s="504">
        <f t="shared" si="13639"/>
        <v>0</v>
      </c>
      <c r="Y3403" s="849" t="str">
        <f t="shared" ref="Y3403" si="13685">IFERROR((X3404/X3403),"-")</f>
        <v>-</v>
      </c>
      <c r="Z3403" s="40"/>
      <c r="AA3403" s="855"/>
      <c r="AB3403" s="855"/>
      <c r="AC3403" s="855"/>
      <c r="AD3403" s="762" t="str">
        <f t="shared" ref="AD3403" si="13686">IFERROR((AC3403/AA3403),"-")</f>
        <v>-</v>
      </c>
      <c r="AE3403" s="40"/>
      <c r="AF3403" s="855"/>
      <c r="AG3403" s="855"/>
      <c r="AH3403" s="855"/>
      <c r="AI3403" s="855"/>
      <c r="AJ3403" s="855"/>
      <c r="AK3403" s="855"/>
      <c r="AL3403" s="855"/>
      <c r="AM3403" s="849"/>
      <c r="AN3403" s="40"/>
      <c r="AO3403" s="855"/>
      <c r="AP3403" s="855"/>
      <c r="AV3403" t="str">
        <f t="shared" si="13681"/>
        <v>OAE - Obra de Arte Especial</v>
      </c>
      <c r="AW3403" s="4" t="str">
        <f t="shared" si="13680"/>
        <v>Vão 05 (entre E01 e P1) - Instalação de guarda corpo</v>
      </c>
    </row>
    <row r="3404" spans="1:50" ht="14.65" customHeight="1" outlineLevel="2">
      <c r="A3404" s="604" t="str">
        <f t="shared" si="13642"/>
        <v>N</v>
      </c>
      <c r="B3404" s="599"/>
      <c r="C3404" s="599">
        <v>0</v>
      </c>
      <c r="D3404" s="124"/>
      <c r="E3404" s="847"/>
      <c r="F3404" s="848"/>
      <c r="G3404" s="40"/>
      <c r="H3404" s="603" t="s">
        <v>38</v>
      </c>
      <c r="I3404" s="602"/>
      <c r="J3404" s="850"/>
      <c r="K3404" s="40"/>
      <c r="L3404" s="603" t="s">
        <v>38</v>
      </c>
      <c r="M3404" s="504">
        <f t="shared" si="13637"/>
        <v>0</v>
      </c>
      <c r="N3404" s="850"/>
      <c r="O3404" s="40"/>
      <c r="P3404" s="602"/>
      <c r="Q3404" s="602"/>
      <c r="R3404" s="602"/>
      <c r="S3404" s="602"/>
      <c r="T3404" s="602"/>
      <c r="U3404" s="602"/>
      <c r="V3404" s="602"/>
      <c r="W3404" s="40"/>
      <c r="X3404" s="504">
        <f t="shared" si="13639"/>
        <v>0</v>
      </c>
      <c r="Y3404" s="850"/>
      <c r="Z3404" s="40"/>
      <c r="AA3404" s="856"/>
      <c r="AB3404" s="856"/>
      <c r="AC3404" s="856"/>
      <c r="AD3404" s="763"/>
      <c r="AE3404" s="40"/>
      <c r="AF3404" s="856"/>
      <c r="AG3404" s="856"/>
      <c r="AH3404" s="856"/>
      <c r="AI3404" s="856"/>
      <c r="AJ3404" s="856"/>
      <c r="AK3404" s="856"/>
      <c r="AL3404" s="856"/>
      <c r="AM3404" s="850"/>
      <c r="AN3404" s="40"/>
      <c r="AO3404" s="857"/>
      <c r="AP3404" s="857"/>
      <c r="AV3404" t="str">
        <f t="shared" si="13681"/>
        <v>OAE - Obra de Arte Especial</v>
      </c>
      <c r="AW3404" s="4" t="str">
        <f t="shared" si="13680"/>
        <v>Vão 05 (entre E01 e P1) - Instalação de guarda corpo</v>
      </c>
      <c r="AX3404" s="4"/>
    </row>
    <row r="3405" spans="1:50" ht="14.65" customHeight="1" outlineLevel="2">
      <c r="A3405" s="604" t="str">
        <f t="shared" ref="A3405" si="13687">IF(SUM(P3405:V3406)&gt;0,"S","N")</f>
        <v>N</v>
      </c>
      <c r="B3405" s="599"/>
      <c r="C3405" s="599"/>
      <c r="D3405" s="124"/>
      <c r="E3405" s="846" t="s">
        <v>3780</v>
      </c>
      <c r="F3405" s="848" t="s">
        <v>52</v>
      </c>
      <c r="G3405" s="40"/>
      <c r="H3405" s="600" t="s">
        <v>37</v>
      </c>
      <c r="I3405" s="504"/>
      <c r="J3405" s="849" t="str">
        <f t="shared" ref="J3405" si="13688">IFERROR((I3406/I3405),"-")</f>
        <v>-</v>
      </c>
      <c r="K3405" s="40"/>
      <c r="L3405" s="600" t="s">
        <v>37</v>
      </c>
      <c r="M3405" s="504">
        <f t="shared" si="13637"/>
        <v>0</v>
      </c>
      <c r="N3405" s="849" t="str">
        <f t="shared" ref="N3405" si="13689">IFERROR((M3406/M3405),"-")</f>
        <v>-</v>
      </c>
      <c r="O3405" s="40"/>
      <c r="P3405" s="602"/>
      <c r="Q3405" s="602"/>
      <c r="R3405" s="602"/>
      <c r="S3405" s="602"/>
      <c r="T3405" s="602"/>
      <c r="U3405" s="602"/>
      <c r="V3405" s="602"/>
      <c r="W3405" s="40"/>
      <c r="X3405" s="504">
        <f t="shared" si="13639"/>
        <v>0</v>
      </c>
      <c r="Y3405" s="849" t="str">
        <f t="shared" ref="Y3405" si="13690">IFERROR((X3406/X3405),"-")</f>
        <v>-</v>
      </c>
      <c r="Z3405" s="40"/>
      <c r="AA3405" s="855"/>
      <c r="AB3405" s="855"/>
      <c r="AC3405" s="855"/>
      <c r="AD3405" s="762" t="str">
        <f t="shared" ref="AD3405" si="13691">IFERROR((AC3405/AA3405),"-")</f>
        <v>-</v>
      </c>
      <c r="AE3405" s="40"/>
      <c r="AF3405" s="855"/>
      <c r="AG3405" s="855"/>
      <c r="AH3405" s="855"/>
      <c r="AI3405" s="855"/>
      <c r="AJ3405" s="855"/>
      <c r="AK3405" s="855"/>
      <c r="AL3405" s="855"/>
      <c r="AM3405" s="849"/>
      <c r="AN3405" s="40"/>
      <c r="AO3405" s="855"/>
      <c r="AP3405" s="855"/>
      <c r="AV3405" t="str">
        <f t="shared" si="13681"/>
        <v>OAE - Obra de Arte Especial</v>
      </c>
      <c r="AW3405" s="4" t="str">
        <f t="shared" si="13680"/>
        <v>Bloco - Execução de armação (Encontro E02)</v>
      </c>
      <c r="AX3405" s="4"/>
    </row>
    <row r="3406" spans="1:50" ht="14.65" customHeight="1" outlineLevel="2">
      <c r="A3406" s="604" t="str">
        <f t="shared" si="13642"/>
        <v>N</v>
      </c>
      <c r="B3406" s="599"/>
      <c r="C3406" s="599">
        <v>0</v>
      </c>
      <c r="D3406" s="124"/>
      <c r="E3406" s="847"/>
      <c r="F3406" s="848"/>
      <c r="G3406" s="40"/>
      <c r="H3406" s="603" t="s">
        <v>38</v>
      </c>
      <c r="I3406" s="602"/>
      <c r="J3406" s="850"/>
      <c r="K3406" s="40"/>
      <c r="L3406" s="603" t="s">
        <v>38</v>
      </c>
      <c r="M3406" s="504">
        <f t="shared" si="13637"/>
        <v>0</v>
      </c>
      <c r="N3406" s="850"/>
      <c r="O3406" s="40"/>
      <c r="P3406" s="602"/>
      <c r="Q3406" s="602"/>
      <c r="R3406" s="602"/>
      <c r="S3406" s="602"/>
      <c r="T3406" s="602"/>
      <c r="U3406" s="602"/>
      <c r="V3406" s="602"/>
      <c r="W3406" s="40"/>
      <c r="X3406" s="504">
        <f t="shared" si="13639"/>
        <v>0</v>
      </c>
      <c r="Y3406" s="850"/>
      <c r="Z3406" s="40"/>
      <c r="AA3406" s="856"/>
      <c r="AB3406" s="856"/>
      <c r="AC3406" s="856"/>
      <c r="AD3406" s="763"/>
      <c r="AE3406" s="40"/>
      <c r="AF3406" s="856"/>
      <c r="AG3406" s="856"/>
      <c r="AH3406" s="856"/>
      <c r="AI3406" s="856"/>
      <c r="AJ3406" s="856"/>
      <c r="AK3406" s="856"/>
      <c r="AL3406" s="856"/>
      <c r="AM3406" s="850"/>
      <c r="AN3406" s="40"/>
      <c r="AO3406" s="857"/>
      <c r="AP3406" s="857"/>
      <c r="AV3406" t="str">
        <f t="shared" si="13681"/>
        <v>OAE - Obra de Arte Especial</v>
      </c>
      <c r="AW3406" s="4" t="str">
        <f t="shared" si="13680"/>
        <v>Bloco - Execução de armação (Encontro E02)</v>
      </c>
      <c r="AX3406" s="4"/>
    </row>
    <row r="3407" spans="1:50" ht="14.65" customHeight="1" outlineLevel="2">
      <c r="A3407" s="604" t="str">
        <f t="shared" ref="A3407" si="13692">IF(SUM(P3407:V3408)&gt;0,"S","N")</f>
        <v>N</v>
      </c>
      <c r="B3407" s="599"/>
      <c r="C3407" s="599"/>
      <c r="D3407" s="124"/>
      <c r="E3407" s="846" t="s">
        <v>3781</v>
      </c>
      <c r="F3407" s="848" t="s">
        <v>52</v>
      </c>
      <c r="G3407" s="40"/>
      <c r="H3407" s="600" t="s">
        <v>37</v>
      </c>
      <c r="I3407" s="504"/>
      <c r="J3407" s="849" t="str">
        <f t="shared" ref="J3407" si="13693">IFERROR((I3408/I3407),"-")</f>
        <v>-</v>
      </c>
      <c r="K3407" s="40"/>
      <c r="L3407" s="600" t="s">
        <v>37</v>
      </c>
      <c r="M3407" s="504">
        <f t="shared" si="13637"/>
        <v>0</v>
      </c>
      <c r="N3407" s="849" t="str">
        <f t="shared" ref="N3407" si="13694">IFERROR((M3408/M3407),"-")</f>
        <v>-</v>
      </c>
      <c r="O3407" s="40"/>
      <c r="P3407" s="602"/>
      <c r="Q3407" s="602"/>
      <c r="R3407" s="602"/>
      <c r="S3407" s="602"/>
      <c r="T3407" s="602"/>
      <c r="U3407" s="602"/>
      <c r="V3407" s="602"/>
      <c r="W3407" s="40"/>
      <c r="X3407" s="504">
        <f t="shared" si="13639"/>
        <v>0</v>
      </c>
      <c r="Y3407" s="849" t="str">
        <f t="shared" ref="Y3407" si="13695">IFERROR((X3408/X3407),"-")</f>
        <v>-</v>
      </c>
      <c r="Z3407" s="40"/>
      <c r="AA3407" s="855"/>
      <c r="AB3407" s="855"/>
      <c r="AC3407" s="855"/>
      <c r="AD3407" s="762" t="str">
        <f t="shared" ref="AD3407" si="13696">IFERROR((AC3407/AA3407),"-")</f>
        <v>-</v>
      </c>
      <c r="AE3407" s="40"/>
      <c r="AF3407" s="855"/>
      <c r="AG3407" s="855"/>
      <c r="AH3407" s="855"/>
      <c r="AI3407" s="855"/>
      <c r="AJ3407" s="855"/>
      <c r="AK3407" s="855"/>
      <c r="AL3407" s="855"/>
      <c r="AM3407" s="849"/>
      <c r="AN3407" s="40"/>
      <c r="AO3407" s="855"/>
      <c r="AP3407" s="855"/>
      <c r="AV3407" t="str">
        <f t="shared" si="13681"/>
        <v>OAE - Obra de Arte Especial</v>
      </c>
      <c r="AW3407" s="4" t="str">
        <f t="shared" si="13680"/>
        <v>Bloco - Montagem de Formas e Escoramento (Encontro E02)</v>
      </c>
      <c r="AX3407" s="4"/>
    </row>
    <row r="3408" spans="1:50" ht="14.65" customHeight="1" outlineLevel="2">
      <c r="A3408" s="604" t="str">
        <f t="shared" si="13642"/>
        <v>N</v>
      </c>
      <c r="B3408" s="599"/>
      <c r="C3408" s="599">
        <v>0</v>
      </c>
      <c r="D3408" s="124"/>
      <c r="E3408" s="847"/>
      <c r="F3408" s="848"/>
      <c r="G3408" s="40"/>
      <c r="H3408" s="603" t="s">
        <v>38</v>
      </c>
      <c r="I3408" s="602"/>
      <c r="J3408" s="850"/>
      <c r="K3408" s="40"/>
      <c r="L3408" s="603" t="s">
        <v>38</v>
      </c>
      <c r="M3408" s="504">
        <f t="shared" si="13637"/>
        <v>0</v>
      </c>
      <c r="N3408" s="850"/>
      <c r="O3408" s="40"/>
      <c r="P3408" s="602"/>
      <c r="Q3408" s="602"/>
      <c r="R3408" s="602"/>
      <c r="S3408" s="602"/>
      <c r="T3408" s="602"/>
      <c r="U3408" s="602"/>
      <c r="V3408" s="602"/>
      <c r="W3408" s="40"/>
      <c r="X3408" s="504">
        <f t="shared" si="13639"/>
        <v>0</v>
      </c>
      <c r="Y3408" s="850"/>
      <c r="Z3408" s="40"/>
      <c r="AA3408" s="856"/>
      <c r="AB3408" s="856"/>
      <c r="AC3408" s="856"/>
      <c r="AD3408" s="763"/>
      <c r="AE3408" s="40"/>
      <c r="AF3408" s="856"/>
      <c r="AG3408" s="856"/>
      <c r="AH3408" s="856"/>
      <c r="AI3408" s="856"/>
      <c r="AJ3408" s="856"/>
      <c r="AK3408" s="856"/>
      <c r="AL3408" s="856"/>
      <c r="AM3408" s="850"/>
      <c r="AN3408" s="40"/>
      <c r="AO3408" s="857"/>
      <c r="AP3408" s="857"/>
      <c r="AV3408" t="str">
        <f t="shared" si="13681"/>
        <v>OAE - Obra de Arte Especial</v>
      </c>
      <c r="AW3408" s="4" t="str">
        <f t="shared" si="13680"/>
        <v>Bloco - Montagem de Formas e Escoramento (Encontro E02)</v>
      </c>
      <c r="AX3408" s="4"/>
    </row>
    <row r="3409" spans="1:50" ht="14.65" customHeight="1" outlineLevel="1">
      <c r="A3409" s="604" t="str">
        <f t="shared" ref="A3409" si="13697">IF(SUM(P3409:V3410)&gt;0,"S","N")</f>
        <v>N</v>
      </c>
      <c r="B3409" s="599"/>
      <c r="C3409" s="599"/>
      <c r="D3409" s="124"/>
      <c r="E3409" s="846" t="s">
        <v>3782</v>
      </c>
      <c r="F3409" s="848" t="s">
        <v>52</v>
      </c>
      <c r="G3409" s="40"/>
      <c r="H3409" s="600" t="s">
        <v>37</v>
      </c>
      <c r="I3409" s="504"/>
      <c r="J3409" s="849" t="str">
        <f t="shared" ref="J3409" si="13698">IFERROR((I3410/I3409),"-")</f>
        <v>-</v>
      </c>
      <c r="K3409" s="40"/>
      <c r="L3409" s="600" t="s">
        <v>37</v>
      </c>
      <c r="M3409" s="504">
        <f t="shared" si="13637"/>
        <v>0</v>
      </c>
      <c r="N3409" s="849" t="str">
        <f t="shared" ref="N3409" si="13699">IFERROR((M3410/M3409),"-")</f>
        <v>-</v>
      </c>
      <c r="O3409" s="40"/>
      <c r="P3409" s="602"/>
      <c r="Q3409" s="602"/>
      <c r="R3409" s="602"/>
      <c r="S3409" s="602"/>
      <c r="T3409" s="602"/>
      <c r="U3409" s="602"/>
      <c r="V3409" s="602"/>
      <c r="W3409" s="40"/>
      <c r="X3409" s="504">
        <f t="shared" si="13639"/>
        <v>0</v>
      </c>
      <c r="Y3409" s="849" t="str">
        <f t="shared" ref="Y3409" si="13700">IFERROR((X3410/X3409),"-")</f>
        <v>-</v>
      </c>
      <c r="Z3409" s="40"/>
      <c r="AA3409" s="855"/>
      <c r="AB3409" s="855"/>
      <c r="AC3409" s="855"/>
      <c r="AD3409" s="762" t="str">
        <f t="shared" ref="AD3409" si="13701">IFERROR((AC3409/AA3409),"-")</f>
        <v>-</v>
      </c>
      <c r="AE3409" s="40"/>
      <c r="AF3409" s="855"/>
      <c r="AG3409" s="855"/>
      <c r="AH3409" s="855"/>
      <c r="AI3409" s="855"/>
      <c r="AJ3409" s="855"/>
      <c r="AK3409" s="855"/>
      <c r="AL3409" s="855"/>
      <c r="AM3409" s="849"/>
      <c r="AN3409" s="40"/>
      <c r="AO3409" s="855"/>
      <c r="AP3409" s="855"/>
      <c r="AV3409" t="str">
        <f t="shared" si="13681"/>
        <v>OAE - Obra de Arte Especial</v>
      </c>
      <c r="AW3409" s="4" t="str">
        <f t="shared" si="13680"/>
        <v>Bloco - Aplicação de concreto estrutural (Encontro E02)</v>
      </c>
      <c r="AX3409" s="4"/>
    </row>
    <row r="3410" spans="1:50" ht="14.65" customHeight="1" outlineLevel="1">
      <c r="A3410" s="604" t="str">
        <f t="shared" si="13642"/>
        <v>N</v>
      </c>
      <c r="B3410" s="599"/>
      <c r="C3410" s="599">
        <v>0</v>
      </c>
      <c r="D3410" s="124"/>
      <c r="E3410" s="847"/>
      <c r="F3410" s="848"/>
      <c r="G3410" s="40"/>
      <c r="H3410" s="603" t="s">
        <v>38</v>
      </c>
      <c r="I3410" s="602"/>
      <c r="J3410" s="850"/>
      <c r="K3410" s="40"/>
      <c r="L3410" s="603" t="s">
        <v>38</v>
      </c>
      <c r="M3410" s="504">
        <f t="shared" si="13637"/>
        <v>0</v>
      </c>
      <c r="N3410" s="850"/>
      <c r="O3410" s="40"/>
      <c r="P3410" s="602"/>
      <c r="Q3410" s="602"/>
      <c r="R3410" s="602"/>
      <c r="S3410" s="602"/>
      <c r="T3410" s="602"/>
      <c r="U3410" s="602"/>
      <c r="V3410" s="602"/>
      <c r="W3410" s="40"/>
      <c r="X3410" s="504">
        <f t="shared" si="13639"/>
        <v>0</v>
      </c>
      <c r="Y3410" s="850"/>
      <c r="Z3410" s="40"/>
      <c r="AA3410" s="856"/>
      <c r="AB3410" s="856"/>
      <c r="AC3410" s="856"/>
      <c r="AD3410" s="763"/>
      <c r="AE3410" s="40"/>
      <c r="AF3410" s="856"/>
      <c r="AG3410" s="856"/>
      <c r="AH3410" s="856"/>
      <c r="AI3410" s="856"/>
      <c r="AJ3410" s="856"/>
      <c r="AK3410" s="856"/>
      <c r="AL3410" s="856"/>
      <c r="AM3410" s="850"/>
      <c r="AN3410" s="40"/>
      <c r="AO3410" s="857"/>
      <c r="AP3410" s="857"/>
      <c r="AV3410" t="str">
        <f t="shared" si="13681"/>
        <v>OAE - Obra de Arte Especial</v>
      </c>
      <c r="AW3410" s="4" t="str">
        <f t="shared" si="13680"/>
        <v>Bloco - Aplicação de concreto estrutural (Encontro E02)</v>
      </c>
      <c r="AX3410" s="4"/>
    </row>
    <row r="3411" spans="1:50" ht="14.65" customHeight="1" outlineLevel="1">
      <c r="A3411" s="604" t="str">
        <f t="shared" ref="A3411" si="13702">IF(SUM(P3411:V3412)&gt;0,"S","N")</f>
        <v>S</v>
      </c>
      <c r="B3411" s="599"/>
      <c r="C3411" s="599"/>
      <c r="D3411" s="124"/>
      <c r="E3411" s="846" t="s">
        <v>3783</v>
      </c>
      <c r="F3411" s="848" t="s">
        <v>52</v>
      </c>
      <c r="G3411" s="40"/>
      <c r="H3411" s="600" t="s">
        <v>37</v>
      </c>
      <c r="I3411" s="504"/>
      <c r="J3411" s="849" t="str">
        <f t="shared" ref="J3411" si="13703">IFERROR((I3412/I3411),"-")</f>
        <v>-</v>
      </c>
      <c r="K3411" s="40"/>
      <c r="L3411" s="600" t="s">
        <v>37</v>
      </c>
      <c r="M3411" s="504" t="str">
        <f t="shared" si="13637"/>
        <v>X</v>
      </c>
      <c r="N3411" s="849" t="str">
        <f t="shared" ref="N3411" si="13704">IFERROR((M3412/M3411),"-")</f>
        <v>-</v>
      </c>
      <c r="O3411" s="40"/>
      <c r="P3411" s="602"/>
      <c r="Q3411" s="602" t="s">
        <v>1434</v>
      </c>
      <c r="R3411" s="602" t="s">
        <v>1434</v>
      </c>
      <c r="S3411" s="602">
        <v>1</v>
      </c>
      <c r="T3411" s="602"/>
      <c r="U3411" s="602"/>
      <c r="V3411" s="602"/>
      <c r="W3411" s="40"/>
      <c r="X3411" s="504">
        <f t="shared" si="13639"/>
        <v>0</v>
      </c>
      <c r="Y3411" s="849" t="str">
        <f t="shared" ref="Y3411" si="13705">IFERROR((X3412/X3411),"-")</f>
        <v>-</v>
      </c>
      <c r="Z3411" s="40"/>
      <c r="AA3411" s="855"/>
      <c r="AB3411" s="855"/>
      <c r="AC3411" s="855"/>
      <c r="AD3411" s="762" t="str">
        <f t="shared" ref="AD3411" si="13706">IFERROR((AC3411/AA3411),"-")</f>
        <v>-</v>
      </c>
      <c r="AE3411" s="40"/>
      <c r="AF3411" s="855"/>
      <c r="AG3411" s="855"/>
      <c r="AH3411" s="855"/>
      <c r="AI3411" s="855"/>
      <c r="AJ3411" s="855"/>
      <c r="AK3411" s="855"/>
      <c r="AL3411" s="855"/>
      <c r="AM3411" s="849"/>
      <c r="AN3411" s="40"/>
      <c r="AO3411" s="855"/>
      <c r="AP3411" s="855"/>
      <c r="AV3411" t="str">
        <f t="shared" si="13681"/>
        <v>OAE - Obra de Arte Especial</v>
      </c>
      <c r="AW3411" s="4" t="str">
        <f t="shared" si="13680"/>
        <v>Bloco - Aplicação de grout (Encontro E02 MÍSULA)</v>
      </c>
    </row>
    <row r="3412" spans="1:50" ht="14.65" customHeight="1" outlineLevel="2">
      <c r="A3412" s="604" t="str">
        <f t="shared" si="13642"/>
        <v>S</v>
      </c>
      <c r="B3412" s="599"/>
      <c r="C3412" s="599">
        <v>0</v>
      </c>
      <c r="D3412" s="124"/>
      <c r="E3412" s="847"/>
      <c r="F3412" s="848"/>
      <c r="G3412" s="40"/>
      <c r="H3412" s="603" t="s">
        <v>38</v>
      </c>
      <c r="I3412" s="602"/>
      <c r="J3412" s="850"/>
      <c r="K3412" s="40"/>
      <c r="L3412" s="603" t="s">
        <v>38</v>
      </c>
      <c r="M3412" s="504">
        <f t="shared" si="13637"/>
        <v>0</v>
      </c>
      <c r="N3412" s="850"/>
      <c r="O3412" s="40"/>
      <c r="P3412" s="602"/>
      <c r="Q3412" s="602"/>
      <c r="R3412" s="602"/>
      <c r="S3412" s="602"/>
      <c r="T3412" s="602"/>
      <c r="U3412" s="602"/>
      <c r="V3412" s="602"/>
      <c r="W3412" s="40"/>
      <c r="X3412" s="504">
        <f t="shared" si="13639"/>
        <v>0</v>
      </c>
      <c r="Y3412" s="850"/>
      <c r="Z3412" s="40"/>
      <c r="AA3412" s="856"/>
      <c r="AB3412" s="856"/>
      <c r="AC3412" s="856"/>
      <c r="AD3412" s="763"/>
      <c r="AE3412" s="40"/>
      <c r="AF3412" s="856"/>
      <c r="AG3412" s="856"/>
      <c r="AH3412" s="856"/>
      <c r="AI3412" s="856"/>
      <c r="AJ3412" s="856"/>
      <c r="AK3412" s="856"/>
      <c r="AL3412" s="856"/>
      <c r="AM3412" s="850"/>
      <c r="AN3412" s="40"/>
      <c r="AO3412" s="857"/>
      <c r="AP3412" s="857"/>
      <c r="AV3412" t="str">
        <f t="shared" si="13681"/>
        <v>OAE - Obra de Arte Especial</v>
      </c>
      <c r="AW3412" s="4" t="str">
        <f t="shared" si="13680"/>
        <v>Bloco - Aplicação de grout (Encontro E02 MÍSULA)</v>
      </c>
    </row>
    <row r="3413" spans="1:50" ht="14.65" customHeight="1" outlineLevel="2">
      <c r="A3413" s="604" t="str">
        <f t="shared" ref="A3413" si="13707">IF(SUM(P3413:V3414)&gt;0,"S","N")</f>
        <v>S</v>
      </c>
      <c r="B3413" s="599"/>
      <c r="C3413" s="599"/>
      <c r="D3413" s="124"/>
      <c r="E3413" s="846" t="s">
        <v>3784</v>
      </c>
      <c r="F3413" s="848" t="s">
        <v>52</v>
      </c>
      <c r="G3413" s="40"/>
      <c r="H3413" s="600" t="s">
        <v>37</v>
      </c>
      <c r="I3413" s="504"/>
      <c r="J3413" s="849" t="str">
        <f t="shared" ref="J3413" si="13708">IFERROR((I3414/I3413),"-")</f>
        <v>-</v>
      </c>
      <c r="K3413" s="40"/>
      <c r="L3413" s="600" t="s">
        <v>37</v>
      </c>
      <c r="M3413" s="504">
        <f t="shared" si="13637"/>
        <v>0</v>
      </c>
      <c r="N3413" s="849" t="str">
        <f t="shared" ref="N3413" si="13709">IFERROR((M3414/M3413),"-")</f>
        <v>-</v>
      </c>
      <c r="O3413" s="40"/>
      <c r="P3413" s="602"/>
      <c r="Q3413" s="602"/>
      <c r="R3413" s="602"/>
      <c r="S3413" s="602"/>
      <c r="T3413" s="602" t="s">
        <v>1434</v>
      </c>
      <c r="U3413" s="602">
        <v>1</v>
      </c>
      <c r="V3413" s="602"/>
      <c r="W3413" s="40"/>
      <c r="X3413" s="504">
        <f t="shared" si="13639"/>
        <v>0</v>
      </c>
      <c r="Y3413" s="849" t="str">
        <f t="shared" ref="Y3413" si="13710">IFERROR((X3414/X3413),"-")</f>
        <v>-</v>
      </c>
      <c r="Z3413" s="40"/>
      <c r="AA3413" s="855"/>
      <c r="AB3413" s="855"/>
      <c r="AC3413" s="855"/>
      <c r="AD3413" s="762" t="str">
        <f t="shared" ref="AD3413" si="13711">IFERROR((AC3413/AA3413),"-")</f>
        <v>-</v>
      </c>
      <c r="AE3413" s="40"/>
      <c r="AF3413" s="855"/>
      <c r="AG3413" s="855"/>
      <c r="AH3413" s="855"/>
      <c r="AI3413" s="855"/>
      <c r="AJ3413" s="855"/>
      <c r="AK3413" s="855"/>
      <c r="AL3413" s="855"/>
      <c r="AM3413" s="849"/>
      <c r="AN3413" s="40"/>
      <c r="AO3413" s="855"/>
      <c r="AP3413" s="855"/>
      <c r="AV3413" t="str">
        <f t="shared" ref="AV3413:AV3470" si="13712">IF(AX3413="Y",LEFT(E3413,20),IF(AX3413="x",E3413,AV3412))</f>
        <v>OAE - Obra de Arte Especial</v>
      </c>
      <c r="AW3413" s="4" t="str">
        <f t="shared" si="13680"/>
        <v>Bloco - Instalação de aparelhos de apoio (Encontro E02 MÍSULA)</v>
      </c>
    </row>
    <row r="3414" spans="1:50" ht="14.65" customHeight="1" outlineLevel="2">
      <c r="A3414" s="604" t="str">
        <f t="shared" si="13642"/>
        <v>S</v>
      </c>
      <c r="B3414" s="599"/>
      <c r="C3414" s="599">
        <v>0</v>
      </c>
      <c r="D3414" s="124"/>
      <c r="E3414" s="847"/>
      <c r="F3414" s="848"/>
      <c r="G3414" s="40"/>
      <c r="H3414" s="603" t="s">
        <v>38</v>
      </c>
      <c r="I3414" s="602"/>
      <c r="J3414" s="850"/>
      <c r="K3414" s="40"/>
      <c r="L3414" s="603" t="s">
        <v>38</v>
      </c>
      <c r="M3414" s="504">
        <f t="shared" si="13637"/>
        <v>0</v>
      </c>
      <c r="N3414" s="850"/>
      <c r="O3414" s="40"/>
      <c r="P3414" s="602"/>
      <c r="Q3414" s="602"/>
      <c r="R3414" s="602"/>
      <c r="S3414" s="602"/>
      <c r="T3414" s="602"/>
      <c r="U3414" s="602"/>
      <c r="V3414" s="602"/>
      <c r="W3414" s="40"/>
      <c r="X3414" s="504">
        <f t="shared" si="13639"/>
        <v>0</v>
      </c>
      <c r="Y3414" s="850"/>
      <c r="Z3414" s="40"/>
      <c r="AA3414" s="856"/>
      <c r="AB3414" s="856"/>
      <c r="AC3414" s="856"/>
      <c r="AD3414" s="763"/>
      <c r="AE3414" s="40"/>
      <c r="AF3414" s="856"/>
      <c r="AG3414" s="856"/>
      <c r="AH3414" s="856"/>
      <c r="AI3414" s="856"/>
      <c r="AJ3414" s="856"/>
      <c r="AK3414" s="856"/>
      <c r="AL3414" s="856"/>
      <c r="AM3414" s="850"/>
      <c r="AN3414" s="40"/>
      <c r="AO3414" s="857"/>
      <c r="AP3414" s="857"/>
      <c r="AV3414" t="str">
        <f t="shared" si="13712"/>
        <v>OAE - Obra de Arte Especial</v>
      </c>
      <c r="AW3414" s="4" t="str">
        <f t="shared" si="13680"/>
        <v>Bloco - Instalação de aparelhos de apoio (Encontro E02 MÍSULA)</v>
      </c>
    </row>
    <row r="3415" spans="1:50" ht="14.65" customHeight="1" outlineLevel="2">
      <c r="A3415" s="604">
        <v>0</v>
      </c>
      <c r="B3415" s="599"/>
      <c r="C3415" s="599"/>
      <c r="D3415" s="613"/>
      <c r="E3415" s="221"/>
      <c r="F3415" s="619"/>
      <c r="G3415" s="221"/>
      <c r="H3415" s="715"/>
      <c r="I3415" s="620"/>
      <c r="J3415" s="1321"/>
      <c r="K3415" s="221"/>
      <c r="L3415" s="715"/>
      <c r="M3415" s="620"/>
      <c r="N3415" s="715"/>
      <c r="O3415" s="221"/>
      <c r="P3415" s="616"/>
      <c r="Q3415" s="616"/>
      <c r="R3415" s="616"/>
      <c r="S3415" s="616"/>
      <c r="T3415" s="616"/>
      <c r="U3415" s="616"/>
      <c r="V3415" s="616"/>
      <c r="W3415" s="221"/>
      <c r="X3415" s="617"/>
      <c r="Y3415" s="221"/>
      <c r="Z3415" s="221"/>
      <c r="AA3415" s="615"/>
      <c r="AB3415" s="615"/>
      <c r="AC3415" s="222"/>
      <c r="AD3415" s="221"/>
      <c r="AE3415" s="221"/>
      <c r="AF3415" s="615"/>
      <c r="AG3415" s="615"/>
      <c r="AH3415" s="615"/>
      <c r="AI3415" s="615"/>
      <c r="AJ3415" s="615"/>
      <c r="AK3415" s="615"/>
      <c r="AL3415" s="615"/>
      <c r="AM3415" s="221"/>
      <c r="AN3415" s="221"/>
      <c r="AO3415" s="615"/>
      <c r="AP3415" s="615"/>
      <c r="AV3415" t="str">
        <f t="shared" si="13712"/>
        <v>OAE - Obra de Arte Especial</v>
      </c>
      <c r="AW3415" s="4" t="str">
        <f t="shared" si="13680"/>
        <v>Bloco - Instalação de aparelhos de apoio (Encontro E02 MÍSULA)</v>
      </c>
    </row>
    <row r="3416" spans="1:50" ht="18.75" outlineLevel="2">
      <c r="A3416" s="525">
        <v>0</v>
      </c>
      <c r="B3416" s="526"/>
      <c r="C3416" s="526">
        <v>0</v>
      </c>
      <c r="D3416" s="557"/>
      <c r="E3416" s="923" t="s">
        <v>3785</v>
      </c>
      <c r="F3416" s="859"/>
      <c r="G3416" s="528"/>
      <c r="H3416" s="542"/>
      <c r="I3416" s="543"/>
      <c r="J3416" s="998" t="str">
        <f>IFERROR((I3417/I3416),"-")</f>
        <v>-</v>
      </c>
      <c r="K3416" s="528"/>
      <c r="L3416" s="542"/>
      <c r="M3416" s="543"/>
      <c r="N3416" s="860" t="str">
        <f>IFERROR((M3417/M3416),"-")</f>
        <v>-</v>
      </c>
      <c r="O3416" s="528"/>
      <c r="P3416" s="566"/>
      <c r="Q3416" s="566"/>
      <c r="R3416" s="566"/>
      <c r="S3416" s="566"/>
      <c r="T3416" s="566"/>
      <c r="U3416" s="566"/>
      <c r="V3416" s="566"/>
      <c r="W3416" s="528"/>
      <c r="X3416" s="543"/>
      <c r="Y3416" s="860"/>
      <c r="Z3416" s="528"/>
      <c r="AA3416" s="814"/>
      <c r="AB3416" s="814"/>
      <c r="AC3416" s="814"/>
      <c r="AD3416" s="860"/>
      <c r="AE3416" s="528"/>
      <c r="AF3416" s="814"/>
      <c r="AG3416" s="814"/>
      <c r="AH3416" s="814"/>
      <c r="AI3416" s="814"/>
      <c r="AJ3416" s="814"/>
      <c r="AK3416" s="814"/>
      <c r="AL3416" s="814"/>
      <c r="AM3416" s="860"/>
      <c r="AN3416" s="528"/>
      <c r="AO3416" s="814"/>
      <c r="AP3416" s="814"/>
      <c r="AV3416" t="str">
        <f t="shared" si="13712"/>
        <v>OAE - Obra de Arte Especial</v>
      </c>
      <c r="AW3416" s="4" t="str">
        <f t="shared" si="13680"/>
        <v>Ponte Córrego Barreiro - Km 137+977 a Km 138+215</v>
      </c>
    </row>
    <row r="3417" spans="1:50" ht="14.65" customHeight="1" outlineLevel="2">
      <c r="A3417" s="525">
        <v>0</v>
      </c>
      <c r="B3417" s="526"/>
      <c r="C3417" s="526"/>
      <c r="D3417" s="558"/>
      <c r="E3417" s="923"/>
      <c r="F3417" s="859"/>
      <c r="G3417" s="528"/>
      <c r="H3417" s="544"/>
      <c r="I3417" s="543"/>
      <c r="J3417" s="709"/>
      <c r="K3417" s="528"/>
      <c r="L3417" s="544"/>
      <c r="M3417" s="543"/>
      <c r="N3417" s="861"/>
      <c r="O3417" s="528"/>
      <c r="P3417" s="566"/>
      <c r="Q3417" s="566"/>
      <c r="R3417" s="566"/>
      <c r="S3417" s="566"/>
      <c r="T3417" s="566"/>
      <c r="U3417" s="566"/>
      <c r="V3417" s="566"/>
      <c r="W3417" s="528"/>
      <c r="X3417" s="543"/>
      <c r="Y3417" s="861"/>
      <c r="Z3417" s="528"/>
      <c r="AA3417" s="815"/>
      <c r="AB3417" s="815"/>
      <c r="AC3417" s="814"/>
      <c r="AD3417" s="861"/>
      <c r="AE3417" s="528"/>
      <c r="AF3417" s="815"/>
      <c r="AG3417" s="815"/>
      <c r="AH3417" s="815"/>
      <c r="AI3417" s="815"/>
      <c r="AJ3417" s="815"/>
      <c r="AK3417" s="815"/>
      <c r="AL3417" s="815"/>
      <c r="AM3417" s="861"/>
      <c r="AN3417" s="528"/>
      <c r="AO3417" s="814"/>
      <c r="AP3417" s="814"/>
      <c r="AV3417" t="str">
        <f t="shared" si="13712"/>
        <v>OAE - Obra de Arte Especial</v>
      </c>
      <c r="AW3417" s="4" t="str">
        <f t="shared" si="13680"/>
        <v>Ponte Córrego Barreiro - Km 137+977 a Km 138+215</v>
      </c>
    </row>
    <row r="3418" spans="1:50" ht="15.75" outlineLevel="2">
      <c r="A3418" s="604" t="str">
        <f>IF(SUM(P3418:V3419)&gt;0,"S","N")</f>
        <v>N</v>
      </c>
      <c r="B3418" s="599"/>
      <c r="C3418" s="599">
        <v>0</v>
      </c>
      <c r="D3418" s="124"/>
      <c r="E3418" s="846" t="s">
        <v>3786</v>
      </c>
      <c r="F3418" s="853" t="s">
        <v>3763</v>
      </c>
      <c r="G3418" s="40"/>
      <c r="H3418" s="600" t="s">
        <v>37</v>
      </c>
      <c r="I3418" s="504"/>
      <c r="J3418" s="849" t="str">
        <f t="shared" ref="J3418" si="13713">IFERROR((I3419/I3418),"-")</f>
        <v>-</v>
      </c>
      <c r="K3418" s="40"/>
      <c r="L3418" s="600" t="s">
        <v>37</v>
      </c>
      <c r="M3418" s="504">
        <f t="shared" ref="M3418:M3487" si="13714">_xlfn.XLOOKUP($N$8,$P$8:$V$8,$P3418:$V3418)</f>
        <v>0</v>
      </c>
      <c r="N3418" s="849" t="str">
        <f t="shared" ref="N3418" si="13715">IFERROR((M3419/M3418),"-")</f>
        <v>-</v>
      </c>
      <c r="O3418" s="40"/>
      <c r="P3418" s="602"/>
      <c r="Q3418" s="602"/>
      <c r="R3418" s="602"/>
      <c r="S3418" s="602"/>
      <c r="T3418" s="602"/>
      <c r="U3418" s="602"/>
      <c r="V3418" s="602"/>
      <c r="W3418" s="40"/>
      <c r="X3418" s="504">
        <f t="shared" ref="X3418:X3487" si="13716">SUMIFS(P3418:V3418,$P$8:$V$8,"&gt;="&amp;$P$8,$P$8:$V$8,"&lt;="&amp;$N$8)</f>
        <v>0</v>
      </c>
      <c r="Y3418" s="849" t="str">
        <f>IFERROR((X3419/X3418),"-")</f>
        <v>-</v>
      </c>
      <c r="Z3418" s="40"/>
      <c r="AA3418" s="855"/>
      <c r="AB3418" s="855"/>
      <c r="AC3418" s="855"/>
      <c r="AD3418" s="762" t="str">
        <f>IFERROR((AC3418/AA3418),"-")</f>
        <v>-</v>
      </c>
      <c r="AE3418" s="40"/>
      <c r="AF3418" s="855"/>
      <c r="AG3418" s="855"/>
      <c r="AH3418" s="855"/>
      <c r="AI3418" s="855"/>
      <c r="AJ3418" s="855"/>
      <c r="AK3418" s="855"/>
      <c r="AL3418" s="855"/>
      <c r="AM3418" s="849"/>
      <c r="AN3418" s="40"/>
      <c r="AO3418" s="855"/>
      <c r="AP3418" s="855"/>
      <c r="AV3418" t="str">
        <f t="shared" si="13712"/>
        <v>OAE - Obra de Arte Especial</v>
      </c>
      <c r="AW3418" s="4" t="str">
        <f t="shared" si="13680"/>
        <v>Pilar 1 - Arrasamento de cabeça de estacas</v>
      </c>
    </row>
    <row r="3419" spans="1:50" ht="14.65" customHeight="1" outlineLevel="2">
      <c r="A3419" s="604" t="str">
        <f>A3418</f>
        <v>N</v>
      </c>
      <c r="B3419" s="599"/>
      <c r="C3419" s="599"/>
      <c r="D3419" s="124"/>
      <c r="E3419" s="847"/>
      <c r="F3419" s="854"/>
      <c r="G3419" s="40"/>
      <c r="H3419" s="603" t="s">
        <v>38</v>
      </c>
      <c r="I3419" s="504"/>
      <c r="J3419" s="850"/>
      <c r="K3419" s="40"/>
      <c r="L3419" s="603" t="s">
        <v>38</v>
      </c>
      <c r="M3419" s="504">
        <f t="shared" si="13714"/>
        <v>0</v>
      </c>
      <c r="N3419" s="850"/>
      <c r="O3419" s="40"/>
      <c r="P3419" s="602"/>
      <c r="Q3419" s="602"/>
      <c r="R3419" s="602"/>
      <c r="S3419" s="602"/>
      <c r="T3419" s="602"/>
      <c r="U3419" s="602"/>
      <c r="V3419" s="602"/>
      <c r="W3419" s="40"/>
      <c r="X3419" s="504">
        <f t="shared" si="13716"/>
        <v>0</v>
      </c>
      <c r="Y3419" s="850"/>
      <c r="Z3419" s="40"/>
      <c r="AA3419" s="856"/>
      <c r="AB3419" s="856"/>
      <c r="AC3419" s="856"/>
      <c r="AD3419" s="763"/>
      <c r="AE3419" s="40"/>
      <c r="AF3419" s="856"/>
      <c r="AG3419" s="856"/>
      <c r="AH3419" s="856"/>
      <c r="AI3419" s="856"/>
      <c r="AJ3419" s="856"/>
      <c r="AK3419" s="880"/>
      <c r="AL3419" s="856"/>
      <c r="AM3419" s="850"/>
      <c r="AN3419" s="40"/>
      <c r="AO3419" s="856"/>
      <c r="AP3419" s="857"/>
      <c r="AV3419" t="str">
        <f t="shared" si="13712"/>
        <v>OAE - Obra de Arte Especial</v>
      </c>
      <c r="AW3419" s="4" t="str">
        <f t="shared" si="13680"/>
        <v>Pilar 1 - Arrasamento de cabeça de estacas</v>
      </c>
    </row>
    <row r="3420" spans="1:50" ht="15.75" outlineLevel="2">
      <c r="A3420" s="604" t="str">
        <f t="shared" ref="A3420" si="13717">IF(SUM(P3420:V3421)&gt;0,"S","N")</f>
        <v>N</v>
      </c>
      <c r="B3420" s="599"/>
      <c r="C3420" s="599">
        <v>0</v>
      </c>
      <c r="D3420" s="124"/>
      <c r="E3420" s="846" t="s">
        <v>3787</v>
      </c>
      <c r="F3420" s="853" t="s">
        <v>3763</v>
      </c>
      <c r="G3420" s="40"/>
      <c r="H3420" s="600" t="s">
        <v>37</v>
      </c>
      <c r="I3420" s="504"/>
      <c r="J3420" s="849" t="str">
        <f t="shared" ref="J3420" si="13718">IFERROR((I3421/I3420),"-")</f>
        <v>-</v>
      </c>
      <c r="K3420" s="40"/>
      <c r="L3420" s="600" t="s">
        <v>37</v>
      </c>
      <c r="M3420" s="504">
        <f t="shared" si="13714"/>
        <v>0</v>
      </c>
      <c r="N3420" s="849" t="str">
        <f t="shared" ref="N3420" si="13719">IFERROR((M3421/M3420),"-")</f>
        <v>-</v>
      </c>
      <c r="O3420" s="40"/>
      <c r="P3420" s="602"/>
      <c r="Q3420" s="602"/>
      <c r="R3420" s="602"/>
      <c r="S3420" s="602"/>
      <c r="T3420" s="602"/>
      <c r="U3420" s="602"/>
      <c r="V3420" s="602"/>
      <c r="W3420" s="40"/>
      <c r="X3420" s="504">
        <f t="shared" si="13716"/>
        <v>0</v>
      </c>
      <c r="Y3420" s="849" t="str">
        <f>IFERROR((X3421/X3420),"-")</f>
        <v>-</v>
      </c>
      <c r="Z3420" s="40"/>
      <c r="AA3420" s="855"/>
      <c r="AB3420" s="855"/>
      <c r="AC3420" s="855"/>
      <c r="AD3420" s="762" t="str">
        <f t="shared" ref="AD3420" si="13720">IFERROR((AC3420/AA3420),"-")</f>
        <v>-</v>
      </c>
      <c r="AE3420" s="40"/>
      <c r="AF3420" s="855"/>
      <c r="AG3420" s="855"/>
      <c r="AH3420" s="855"/>
      <c r="AI3420" s="855"/>
      <c r="AJ3420" s="855"/>
      <c r="AK3420" s="855"/>
      <c r="AL3420" s="855"/>
      <c r="AM3420" s="849"/>
      <c r="AN3420" s="40"/>
      <c r="AO3420" s="855"/>
      <c r="AP3420" s="855"/>
      <c r="AV3420" t="str">
        <f t="shared" si="13712"/>
        <v>OAE - Obra de Arte Especial</v>
      </c>
      <c r="AW3420" s="4" t="str">
        <f t="shared" si="13680"/>
        <v>Pilar 1 - Execução de ensaio PIT/PDA</v>
      </c>
    </row>
    <row r="3421" spans="1:50" ht="14.65" customHeight="1" outlineLevel="2">
      <c r="A3421" s="604" t="str">
        <f t="shared" ref="A3421:A3431" si="13721">A3420</f>
        <v>N</v>
      </c>
      <c r="B3421" s="599"/>
      <c r="C3421" s="599"/>
      <c r="D3421" s="124"/>
      <c r="E3421" s="847"/>
      <c r="F3421" s="854"/>
      <c r="G3421" s="40"/>
      <c r="H3421" s="603" t="s">
        <v>38</v>
      </c>
      <c r="I3421" s="504"/>
      <c r="J3421" s="850"/>
      <c r="K3421" s="40"/>
      <c r="L3421" s="603" t="s">
        <v>38</v>
      </c>
      <c r="M3421" s="504">
        <f t="shared" si="13714"/>
        <v>0</v>
      </c>
      <c r="N3421" s="850"/>
      <c r="O3421" s="40"/>
      <c r="P3421" s="602"/>
      <c r="Q3421" s="602"/>
      <c r="R3421" s="602"/>
      <c r="S3421" s="602"/>
      <c r="T3421" s="602"/>
      <c r="U3421" s="602"/>
      <c r="V3421" s="602"/>
      <c r="W3421" s="40"/>
      <c r="X3421" s="504">
        <f t="shared" si="13716"/>
        <v>0</v>
      </c>
      <c r="Y3421" s="850"/>
      <c r="Z3421" s="40"/>
      <c r="AA3421" s="856"/>
      <c r="AB3421" s="856"/>
      <c r="AC3421" s="856"/>
      <c r="AD3421" s="763"/>
      <c r="AE3421" s="40"/>
      <c r="AF3421" s="856"/>
      <c r="AG3421" s="856"/>
      <c r="AH3421" s="856"/>
      <c r="AI3421" s="856"/>
      <c r="AJ3421" s="856"/>
      <c r="AK3421" s="880"/>
      <c r="AL3421" s="856"/>
      <c r="AM3421" s="850"/>
      <c r="AN3421" s="40"/>
      <c r="AO3421" s="856"/>
      <c r="AP3421" s="857"/>
      <c r="AV3421" t="str">
        <f t="shared" si="13712"/>
        <v>OAE - Obra de Arte Especial</v>
      </c>
      <c r="AW3421" s="4" t="str">
        <f t="shared" si="13680"/>
        <v>Pilar 1 - Execução de ensaio PIT/PDA</v>
      </c>
    </row>
    <row r="3422" spans="1:50" ht="14.65" customHeight="1" outlineLevel="2">
      <c r="A3422" s="604" t="str">
        <f>IF(SUM(P3422:V3423)&gt;0,"S","N")</f>
        <v>N</v>
      </c>
      <c r="B3422" s="599"/>
      <c r="C3422" s="599">
        <v>0</v>
      </c>
      <c r="D3422" s="124"/>
      <c r="E3422" s="846" t="s">
        <v>3788</v>
      </c>
      <c r="F3422" s="853" t="s">
        <v>3763</v>
      </c>
      <c r="G3422" s="40"/>
      <c r="H3422" s="600" t="s">
        <v>37</v>
      </c>
      <c r="I3422" s="504"/>
      <c r="J3422" s="849" t="str">
        <f t="shared" ref="J3422" si="13722">IFERROR((I3423/I3422),"-")</f>
        <v>-</v>
      </c>
      <c r="K3422" s="40"/>
      <c r="L3422" s="600" t="s">
        <v>37</v>
      </c>
      <c r="M3422" s="504">
        <f t="shared" si="13714"/>
        <v>0</v>
      </c>
      <c r="N3422" s="849" t="str">
        <f t="shared" ref="N3422" si="13723">IFERROR((M3423/M3422),"-")</f>
        <v>-</v>
      </c>
      <c r="O3422" s="40"/>
      <c r="P3422" s="602"/>
      <c r="Q3422" s="602"/>
      <c r="R3422" s="602"/>
      <c r="S3422" s="602"/>
      <c r="T3422" s="602"/>
      <c r="U3422" s="602"/>
      <c r="V3422" s="602"/>
      <c r="W3422" s="40"/>
      <c r="X3422" s="504">
        <f t="shared" si="13716"/>
        <v>0</v>
      </c>
      <c r="Y3422" s="849" t="str">
        <f>IFERROR((X3423/X3422),"-")</f>
        <v>-</v>
      </c>
      <c r="Z3422" s="40"/>
      <c r="AA3422" s="855"/>
      <c r="AB3422" s="855"/>
      <c r="AC3422" s="855"/>
      <c r="AD3422" s="762" t="str">
        <f>IFERROR((AC3422/AA3422),"-")</f>
        <v>-</v>
      </c>
      <c r="AE3422" s="40"/>
      <c r="AF3422" s="855"/>
      <c r="AG3422" s="855"/>
      <c r="AH3422" s="855"/>
      <c r="AI3422" s="855"/>
      <c r="AJ3422" s="855"/>
      <c r="AK3422" s="855"/>
      <c r="AL3422" s="855"/>
      <c r="AM3422" s="849"/>
      <c r="AN3422" s="40"/>
      <c r="AO3422" s="855"/>
      <c r="AP3422" s="855"/>
      <c r="AV3422" t="str">
        <f t="shared" si="13712"/>
        <v>OAE - Obra de Arte Especial</v>
      </c>
      <c r="AW3422" s="4" t="str">
        <f t="shared" si="13680"/>
        <v>Pilar 2 - Arrasamento de cabeça de estacas</v>
      </c>
    </row>
    <row r="3423" spans="1:50" ht="14.65" customHeight="1" outlineLevel="2">
      <c r="A3423" s="604" t="str">
        <f>A3422</f>
        <v>N</v>
      </c>
      <c r="B3423" s="599"/>
      <c r="C3423" s="599"/>
      <c r="D3423" s="124"/>
      <c r="E3423" s="847"/>
      <c r="F3423" s="854"/>
      <c r="G3423" s="40"/>
      <c r="H3423" s="603" t="s">
        <v>38</v>
      </c>
      <c r="I3423" s="504"/>
      <c r="J3423" s="850"/>
      <c r="K3423" s="40"/>
      <c r="L3423" s="603" t="s">
        <v>38</v>
      </c>
      <c r="M3423" s="504">
        <f t="shared" si="13714"/>
        <v>0</v>
      </c>
      <c r="N3423" s="850"/>
      <c r="O3423" s="40"/>
      <c r="P3423" s="602"/>
      <c r="Q3423" s="602"/>
      <c r="R3423" s="602"/>
      <c r="S3423" s="602"/>
      <c r="T3423" s="602"/>
      <c r="U3423" s="602"/>
      <c r="V3423" s="602"/>
      <c r="W3423" s="40"/>
      <c r="X3423" s="504">
        <f t="shared" si="13716"/>
        <v>0</v>
      </c>
      <c r="Y3423" s="850"/>
      <c r="Z3423" s="40"/>
      <c r="AA3423" s="856"/>
      <c r="AB3423" s="856"/>
      <c r="AC3423" s="856"/>
      <c r="AD3423" s="763"/>
      <c r="AE3423" s="40"/>
      <c r="AF3423" s="856"/>
      <c r="AG3423" s="856"/>
      <c r="AH3423" s="856"/>
      <c r="AI3423" s="856"/>
      <c r="AJ3423" s="856"/>
      <c r="AK3423" s="880"/>
      <c r="AL3423" s="856"/>
      <c r="AM3423" s="850"/>
      <c r="AN3423" s="40"/>
      <c r="AO3423" s="856"/>
      <c r="AP3423" s="857"/>
      <c r="AV3423" t="str">
        <f t="shared" si="13712"/>
        <v>OAE - Obra de Arte Especial</v>
      </c>
      <c r="AW3423" s="4" t="str">
        <f t="shared" si="13680"/>
        <v>Pilar 2 - Arrasamento de cabeça de estacas</v>
      </c>
    </row>
    <row r="3424" spans="1:50" ht="14.65" customHeight="1" outlineLevel="2">
      <c r="A3424" s="604" t="str">
        <f t="shared" ref="A3424" si="13724">IF(SUM(P3424:V3425)&gt;0,"S","N")</f>
        <v>N</v>
      </c>
      <c r="B3424" s="599"/>
      <c r="C3424" s="599">
        <v>0</v>
      </c>
      <c r="D3424" s="124"/>
      <c r="E3424" s="846" t="s">
        <v>3789</v>
      </c>
      <c r="F3424" s="853" t="s">
        <v>3763</v>
      </c>
      <c r="G3424" s="40"/>
      <c r="H3424" s="600" t="s">
        <v>37</v>
      </c>
      <c r="I3424" s="504"/>
      <c r="J3424" s="849" t="str">
        <f t="shared" ref="J3424" si="13725">IFERROR((I3425/I3424),"-")</f>
        <v>-</v>
      </c>
      <c r="K3424" s="40"/>
      <c r="L3424" s="600" t="s">
        <v>37</v>
      </c>
      <c r="M3424" s="504">
        <f t="shared" si="13714"/>
        <v>0</v>
      </c>
      <c r="N3424" s="849" t="str">
        <f t="shared" ref="N3424" si="13726">IFERROR((M3425/M3424),"-")</f>
        <v>-</v>
      </c>
      <c r="O3424" s="40"/>
      <c r="P3424" s="602"/>
      <c r="Q3424" s="602"/>
      <c r="R3424" s="602"/>
      <c r="S3424" s="602"/>
      <c r="T3424" s="602"/>
      <c r="U3424" s="602"/>
      <c r="V3424" s="602"/>
      <c r="W3424" s="40"/>
      <c r="X3424" s="504">
        <f t="shared" si="13716"/>
        <v>0</v>
      </c>
      <c r="Y3424" s="849" t="str">
        <f>IFERROR((X3425/X3424),"-")</f>
        <v>-</v>
      </c>
      <c r="Z3424" s="40"/>
      <c r="AA3424" s="855"/>
      <c r="AB3424" s="855"/>
      <c r="AC3424" s="855"/>
      <c r="AD3424" s="762" t="str">
        <f t="shared" ref="AD3424" si="13727">IFERROR((AC3424/AA3424),"-")</f>
        <v>-</v>
      </c>
      <c r="AE3424" s="40"/>
      <c r="AF3424" s="855"/>
      <c r="AG3424" s="855"/>
      <c r="AH3424" s="855"/>
      <c r="AI3424" s="855"/>
      <c r="AJ3424" s="855"/>
      <c r="AK3424" s="855"/>
      <c r="AL3424" s="855"/>
      <c r="AM3424" s="849"/>
      <c r="AN3424" s="40"/>
      <c r="AO3424" s="855"/>
      <c r="AP3424" s="855"/>
      <c r="AV3424" t="str">
        <f t="shared" si="13712"/>
        <v>OAE - Obra de Arte Especial</v>
      </c>
      <c r="AW3424" s="4" t="str">
        <f t="shared" si="13680"/>
        <v>Pilar 2 - Execução de armação</v>
      </c>
    </row>
    <row r="3425" spans="1:49" ht="14.65" customHeight="1" outlineLevel="2">
      <c r="A3425" s="604" t="str">
        <f t="shared" si="13721"/>
        <v>N</v>
      </c>
      <c r="B3425" s="599"/>
      <c r="C3425" s="599"/>
      <c r="D3425" s="124"/>
      <c r="E3425" s="847"/>
      <c r="F3425" s="854"/>
      <c r="G3425" s="40"/>
      <c r="H3425" s="603" t="s">
        <v>38</v>
      </c>
      <c r="I3425" s="504"/>
      <c r="J3425" s="850"/>
      <c r="K3425" s="40"/>
      <c r="L3425" s="603" t="s">
        <v>38</v>
      </c>
      <c r="M3425" s="504">
        <f t="shared" si="13714"/>
        <v>0</v>
      </c>
      <c r="N3425" s="850"/>
      <c r="O3425" s="40"/>
      <c r="P3425" s="602"/>
      <c r="Q3425" s="602"/>
      <c r="R3425" s="602"/>
      <c r="S3425" s="602"/>
      <c r="T3425" s="602"/>
      <c r="U3425" s="602"/>
      <c r="V3425" s="602"/>
      <c r="W3425" s="40"/>
      <c r="X3425" s="504">
        <f t="shared" si="13716"/>
        <v>0</v>
      </c>
      <c r="Y3425" s="850"/>
      <c r="Z3425" s="40"/>
      <c r="AA3425" s="856"/>
      <c r="AB3425" s="856"/>
      <c r="AC3425" s="856"/>
      <c r="AD3425" s="763"/>
      <c r="AE3425" s="40"/>
      <c r="AF3425" s="856"/>
      <c r="AG3425" s="856"/>
      <c r="AH3425" s="856"/>
      <c r="AI3425" s="856"/>
      <c r="AJ3425" s="856"/>
      <c r="AK3425" s="880"/>
      <c r="AL3425" s="856"/>
      <c r="AM3425" s="850"/>
      <c r="AN3425" s="40"/>
      <c r="AO3425" s="856"/>
      <c r="AP3425" s="857"/>
      <c r="AV3425" t="str">
        <f t="shared" si="13712"/>
        <v>OAE - Obra de Arte Especial</v>
      </c>
      <c r="AW3425" s="4" t="str">
        <f t="shared" si="13680"/>
        <v>Pilar 2 - Execução de armação</v>
      </c>
    </row>
    <row r="3426" spans="1:49" ht="14.65" customHeight="1" outlineLevel="2">
      <c r="A3426" s="604" t="str">
        <f t="shared" ref="A3426" si="13728">IF(SUM(P3426:V3427)&gt;0,"S","N")</f>
        <v>N</v>
      </c>
      <c r="B3426" s="599"/>
      <c r="C3426" s="599">
        <v>0</v>
      </c>
      <c r="D3426" s="124"/>
      <c r="E3426" s="846" t="s">
        <v>3790</v>
      </c>
      <c r="F3426" s="853" t="s">
        <v>3763</v>
      </c>
      <c r="G3426" s="40"/>
      <c r="H3426" s="600" t="s">
        <v>37</v>
      </c>
      <c r="I3426" s="504"/>
      <c r="J3426" s="849" t="str">
        <f t="shared" ref="J3426" si="13729">IFERROR((I3427/I3426),"-")</f>
        <v>-</v>
      </c>
      <c r="K3426" s="40"/>
      <c r="L3426" s="600" t="s">
        <v>37</v>
      </c>
      <c r="M3426" s="504">
        <f t="shared" si="13714"/>
        <v>0</v>
      </c>
      <c r="N3426" s="849" t="str">
        <f t="shared" ref="N3426" si="13730">IFERROR((M3427/M3426),"-")</f>
        <v>-</v>
      </c>
      <c r="O3426" s="40"/>
      <c r="P3426" s="602"/>
      <c r="Q3426" s="602"/>
      <c r="R3426" s="602"/>
      <c r="S3426" s="602"/>
      <c r="T3426" s="602"/>
      <c r="U3426" s="602"/>
      <c r="V3426" s="602"/>
      <c r="W3426" s="40"/>
      <c r="X3426" s="504">
        <f t="shared" si="13716"/>
        <v>0</v>
      </c>
      <c r="Y3426" s="849" t="str">
        <f>IFERROR((X3427/X3426),"-")</f>
        <v>-</v>
      </c>
      <c r="Z3426" s="40"/>
      <c r="AA3426" s="855"/>
      <c r="AB3426" s="855"/>
      <c r="AC3426" s="855"/>
      <c r="AD3426" s="762" t="str">
        <f t="shared" ref="AD3426" si="13731">IFERROR((AC3426/AA3426),"-")</f>
        <v>-</v>
      </c>
      <c r="AE3426" s="40"/>
      <c r="AF3426" s="855"/>
      <c r="AG3426" s="855"/>
      <c r="AH3426" s="855"/>
      <c r="AI3426" s="855"/>
      <c r="AJ3426" s="855"/>
      <c r="AK3426" s="855"/>
      <c r="AL3426" s="855"/>
      <c r="AM3426" s="849"/>
      <c r="AN3426" s="40"/>
      <c r="AO3426" s="855"/>
      <c r="AP3426" s="855"/>
      <c r="AV3426" t="str">
        <f t="shared" si="13712"/>
        <v>OAE - Obra de Arte Especial</v>
      </c>
      <c r="AW3426" s="4" t="str">
        <f t="shared" si="13680"/>
        <v>Pilar 2 - Execução de ensaio PIT/PDA</v>
      </c>
    </row>
    <row r="3427" spans="1:49" ht="14.65" customHeight="1" outlineLevel="2">
      <c r="A3427" s="604" t="str">
        <f t="shared" si="13721"/>
        <v>N</v>
      </c>
      <c r="B3427" s="599"/>
      <c r="C3427" s="599"/>
      <c r="D3427" s="124"/>
      <c r="E3427" s="847"/>
      <c r="F3427" s="854"/>
      <c r="G3427" s="40"/>
      <c r="H3427" s="603" t="s">
        <v>38</v>
      </c>
      <c r="I3427" s="504"/>
      <c r="J3427" s="850"/>
      <c r="K3427" s="40"/>
      <c r="L3427" s="603" t="s">
        <v>38</v>
      </c>
      <c r="M3427" s="504">
        <f t="shared" si="13714"/>
        <v>0</v>
      </c>
      <c r="N3427" s="850"/>
      <c r="O3427" s="40"/>
      <c r="P3427" s="602"/>
      <c r="Q3427" s="602"/>
      <c r="R3427" s="602"/>
      <c r="S3427" s="602"/>
      <c r="T3427" s="602"/>
      <c r="U3427" s="602"/>
      <c r="V3427" s="602"/>
      <c r="W3427" s="40"/>
      <c r="X3427" s="504">
        <f t="shared" si="13716"/>
        <v>0</v>
      </c>
      <c r="Y3427" s="850"/>
      <c r="Z3427" s="40"/>
      <c r="AA3427" s="856"/>
      <c r="AB3427" s="856"/>
      <c r="AC3427" s="856"/>
      <c r="AD3427" s="763"/>
      <c r="AE3427" s="40"/>
      <c r="AF3427" s="856"/>
      <c r="AG3427" s="856"/>
      <c r="AH3427" s="856"/>
      <c r="AI3427" s="856"/>
      <c r="AJ3427" s="856"/>
      <c r="AK3427" s="880"/>
      <c r="AL3427" s="856"/>
      <c r="AM3427" s="850"/>
      <c r="AN3427" s="40"/>
      <c r="AO3427" s="856"/>
      <c r="AP3427" s="857"/>
      <c r="AV3427" t="str">
        <f t="shared" si="13712"/>
        <v>OAE - Obra de Arte Especial</v>
      </c>
      <c r="AW3427" s="4" t="str">
        <f t="shared" si="13680"/>
        <v>Pilar 2 - Execução de ensaio PIT/PDA</v>
      </c>
    </row>
    <row r="3428" spans="1:49" ht="14.65" customHeight="1" outlineLevel="2">
      <c r="A3428" s="604" t="str">
        <f t="shared" ref="A3428" si="13732">IF(SUM(P3428:V3429)&gt;0,"S","N")</f>
        <v>S</v>
      </c>
      <c r="B3428" s="599"/>
      <c r="C3428" s="599">
        <v>0</v>
      </c>
      <c r="D3428" s="124"/>
      <c r="E3428" s="846" t="s">
        <v>3791</v>
      </c>
      <c r="F3428" s="853" t="s">
        <v>3763</v>
      </c>
      <c r="G3428" s="40"/>
      <c r="H3428" s="600" t="s">
        <v>37</v>
      </c>
      <c r="I3428" s="504">
        <v>1</v>
      </c>
      <c r="J3428" s="849">
        <f t="shared" ref="J3428" si="13733">IFERROR((I3429/I3428),"-")</f>
        <v>1</v>
      </c>
      <c r="K3428" s="40"/>
      <c r="L3428" s="600" t="s">
        <v>37</v>
      </c>
      <c r="M3428" s="504" t="str">
        <f t="shared" si="13714"/>
        <v>x</v>
      </c>
      <c r="N3428" s="849" t="str">
        <f t="shared" ref="N3428" si="13734">IFERROR((M3429/M3428),"-")</f>
        <v>-</v>
      </c>
      <c r="O3428" s="40"/>
      <c r="P3428" s="602" t="s">
        <v>176</v>
      </c>
      <c r="Q3428" s="602" t="s">
        <v>176</v>
      </c>
      <c r="R3428" s="602">
        <v>1</v>
      </c>
      <c r="S3428" s="602"/>
      <c r="T3428" s="602"/>
      <c r="U3428" s="602"/>
      <c r="V3428" s="602"/>
      <c r="W3428" s="40"/>
      <c r="X3428" s="504">
        <f t="shared" si="13716"/>
        <v>0</v>
      </c>
      <c r="Y3428" s="849" t="str">
        <f>IFERROR((X3429/X3428),"-")</f>
        <v>-</v>
      </c>
      <c r="Z3428" s="40"/>
      <c r="AA3428" s="855"/>
      <c r="AB3428" s="855"/>
      <c r="AC3428" s="855"/>
      <c r="AD3428" s="762" t="str">
        <f t="shared" ref="AD3428" si="13735">IFERROR((AC3428/AA3428),"-")</f>
        <v>-</v>
      </c>
      <c r="AE3428" s="40"/>
      <c r="AF3428" s="855"/>
      <c r="AG3428" s="855"/>
      <c r="AH3428" s="855"/>
      <c r="AI3428" s="855"/>
      <c r="AJ3428" s="855"/>
      <c r="AK3428" s="855"/>
      <c r="AL3428" s="855"/>
      <c r="AM3428" s="849"/>
      <c r="AN3428" s="40"/>
      <c r="AO3428" s="855"/>
      <c r="AP3428" s="855"/>
      <c r="AV3428" t="str">
        <f t="shared" si="13712"/>
        <v>OAE - Obra de Arte Especial</v>
      </c>
      <c r="AW3428" s="4" t="str">
        <f t="shared" si="13680"/>
        <v>Pilar 6 - Arrasamento de cabeça de estacas</v>
      </c>
    </row>
    <row r="3429" spans="1:49" ht="14.65" customHeight="1" outlineLevel="2">
      <c r="A3429" s="604" t="str">
        <f t="shared" si="13721"/>
        <v>S</v>
      </c>
      <c r="B3429" s="599"/>
      <c r="C3429" s="599"/>
      <c r="D3429" s="124"/>
      <c r="E3429" s="847"/>
      <c r="F3429" s="854"/>
      <c r="G3429" s="40"/>
      <c r="H3429" s="603" t="s">
        <v>38</v>
      </c>
      <c r="I3429" s="504">
        <v>1</v>
      </c>
      <c r="J3429" s="850"/>
      <c r="K3429" s="40"/>
      <c r="L3429" s="603" t="s">
        <v>38</v>
      </c>
      <c r="M3429" s="504">
        <f t="shared" si="13714"/>
        <v>0</v>
      </c>
      <c r="N3429" s="850"/>
      <c r="O3429" s="40"/>
      <c r="P3429" s="602"/>
      <c r="Q3429" s="602"/>
      <c r="R3429" s="602"/>
      <c r="S3429" s="602"/>
      <c r="T3429" s="602"/>
      <c r="U3429" s="602"/>
      <c r="V3429" s="602"/>
      <c r="W3429" s="40"/>
      <c r="X3429" s="504">
        <f t="shared" si="13716"/>
        <v>0</v>
      </c>
      <c r="Y3429" s="850"/>
      <c r="Z3429" s="40"/>
      <c r="AA3429" s="856"/>
      <c r="AB3429" s="856"/>
      <c r="AC3429" s="856"/>
      <c r="AD3429" s="763"/>
      <c r="AE3429" s="40"/>
      <c r="AF3429" s="856"/>
      <c r="AG3429" s="856"/>
      <c r="AH3429" s="856"/>
      <c r="AI3429" s="856"/>
      <c r="AJ3429" s="856"/>
      <c r="AK3429" s="880"/>
      <c r="AL3429" s="856"/>
      <c r="AM3429" s="850"/>
      <c r="AN3429" s="40"/>
      <c r="AO3429" s="856"/>
      <c r="AP3429" s="857"/>
      <c r="AV3429" t="str">
        <f t="shared" si="13712"/>
        <v>OAE - Obra de Arte Especial</v>
      </c>
      <c r="AW3429" s="4" t="str">
        <f t="shared" si="13680"/>
        <v>Pilar 6 - Arrasamento de cabeça de estacas</v>
      </c>
    </row>
    <row r="3430" spans="1:49" ht="15.75" outlineLevel="2">
      <c r="A3430" s="604" t="str">
        <f t="shared" ref="A3430" si="13736">IF(SUM(P3430:V3431)&gt;0,"S","N")</f>
        <v>S</v>
      </c>
      <c r="B3430" s="599"/>
      <c r="C3430" s="599">
        <v>0</v>
      </c>
      <c r="D3430" s="124"/>
      <c r="E3430" s="846" t="s">
        <v>3792</v>
      </c>
      <c r="F3430" s="853" t="s">
        <v>3763</v>
      </c>
      <c r="G3430" s="40"/>
      <c r="H3430" s="600" t="s">
        <v>37</v>
      </c>
      <c r="I3430" s="504">
        <v>1</v>
      </c>
      <c r="J3430" s="849">
        <f t="shared" ref="J3430" si="13737">IFERROR((I3431/I3430),"-")</f>
        <v>1</v>
      </c>
      <c r="K3430" s="40"/>
      <c r="L3430" s="600" t="s">
        <v>37</v>
      </c>
      <c r="M3430" s="504">
        <f t="shared" si="13714"/>
        <v>0</v>
      </c>
      <c r="N3430" s="849" t="str">
        <f t="shared" ref="N3430" si="13738">IFERROR((M3431/M3430),"-")</f>
        <v>-</v>
      </c>
      <c r="O3430" s="40"/>
      <c r="P3430" s="602"/>
      <c r="Q3430" s="602"/>
      <c r="R3430" s="602" t="s">
        <v>176</v>
      </c>
      <c r="S3430" s="602" t="s">
        <v>176</v>
      </c>
      <c r="T3430" s="602" t="s">
        <v>176</v>
      </c>
      <c r="U3430" s="602">
        <v>1</v>
      </c>
      <c r="V3430" s="602"/>
      <c r="W3430" s="40"/>
      <c r="X3430" s="504">
        <f t="shared" si="13716"/>
        <v>0</v>
      </c>
      <c r="Y3430" s="849" t="str">
        <f>IFERROR((X3431/X3430),"-")</f>
        <v>-</v>
      </c>
      <c r="Z3430" s="40"/>
      <c r="AA3430" s="855"/>
      <c r="AB3430" s="855"/>
      <c r="AC3430" s="855"/>
      <c r="AD3430" s="762" t="str">
        <f t="shared" ref="AD3430" si="13739">IFERROR((AC3430/AA3430),"-")</f>
        <v>-</v>
      </c>
      <c r="AE3430" s="40"/>
      <c r="AF3430" s="855"/>
      <c r="AG3430" s="855"/>
      <c r="AH3430" s="855"/>
      <c r="AI3430" s="855"/>
      <c r="AJ3430" s="855"/>
      <c r="AK3430" s="855"/>
      <c r="AL3430" s="855"/>
      <c r="AM3430" s="849"/>
      <c r="AN3430" s="40"/>
      <c r="AO3430" s="855"/>
      <c r="AP3430" s="855"/>
      <c r="AV3430" t="str">
        <f t="shared" si="13712"/>
        <v>OAE - Obra de Arte Especial</v>
      </c>
      <c r="AW3430" s="4" t="str">
        <f t="shared" si="13680"/>
        <v>Pilar 6 - PIT / PDA</v>
      </c>
    </row>
    <row r="3431" spans="1:49" ht="14.65" customHeight="1" outlineLevel="2">
      <c r="A3431" s="604" t="str">
        <f t="shared" si="13721"/>
        <v>S</v>
      </c>
      <c r="B3431" s="599"/>
      <c r="C3431" s="599"/>
      <c r="D3431" s="124"/>
      <c r="E3431" s="847"/>
      <c r="F3431" s="854"/>
      <c r="G3431" s="40"/>
      <c r="H3431" s="603" t="s">
        <v>38</v>
      </c>
      <c r="I3431" s="504">
        <v>1</v>
      </c>
      <c r="J3431" s="850"/>
      <c r="K3431" s="40"/>
      <c r="L3431" s="603" t="s">
        <v>38</v>
      </c>
      <c r="M3431" s="504">
        <f t="shared" si="13714"/>
        <v>0</v>
      </c>
      <c r="N3431" s="850"/>
      <c r="O3431" s="40"/>
      <c r="P3431" s="602"/>
      <c r="Q3431" s="602"/>
      <c r="R3431" s="602"/>
      <c r="S3431" s="602"/>
      <c r="T3431" s="602"/>
      <c r="U3431" s="602"/>
      <c r="V3431" s="602"/>
      <c r="W3431" s="40"/>
      <c r="X3431" s="504">
        <f t="shared" si="13716"/>
        <v>0</v>
      </c>
      <c r="Y3431" s="850"/>
      <c r="Z3431" s="40"/>
      <c r="AA3431" s="856"/>
      <c r="AB3431" s="856"/>
      <c r="AC3431" s="856"/>
      <c r="AD3431" s="763"/>
      <c r="AE3431" s="40"/>
      <c r="AF3431" s="856"/>
      <c r="AG3431" s="856"/>
      <c r="AH3431" s="856"/>
      <c r="AI3431" s="856"/>
      <c r="AJ3431" s="856"/>
      <c r="AK3431" s="880"/>
      <c r="AL3431" s="856"/>
      <c r="AM3431" s="850"/>
      <c r="AN3431" s="40"/>
      <c r="AO3431" s="856"/>
      <c r="AP3431" s="857"/>
      <c r="AV3431" t="str">
        <f t="shared" si="13712"/>
        <v>OAE - Obra de Arte Especial</v>
      </c>
      <c r="AW3431" s="4" t="str">
        <f t="shared" si="13680"/>
        <v>Pilar 6 - PIT / PDA</v>
      </c>
    </row>
    <row r="3432" spans="1:49" ht="15.75" outlineLevel="2">
      <c r="A3432" s="604" t="str">
        <f>IF(SUM(P3432:V3433)&gt;0,"S","N")</f>
        <v>N</v>
      </c>
      <c r="B3432" s="599"/>
      <c r="C3432" s="599">
        <v>0</v>
      </c>
      <c r="D3432" s="124"/>
      <c r="E3432" s="846" t="s">
        <v>3793</v>
      </c>
      <c r="F3432" s="853" t="s">
        <v>3763</v>
      </c>
      <c r="G3432" s="40"/>
      <c r="H3432" s="600" t="s">
        <v>37</v>
      </c>
      <c r="I3432" s="504"/>
      <c r="J3432" s="849" t="str">
        <f t="shared" ref="J3432" si="13740">IFERROR((I3433/I3432),"-")</f>
        <v>-</v>
      </c>
      <c r="K3432" s="40"/>
      <c r="L3432" s="600" t="s">
        <v>37</v>
      </c>
      <c r="M3432" s="504">
        <f t="shared" si="13714"/>
        <v>0</v>
      </c>
      <c r="N3432" s="849" t="str">
        <f t="shared" ref="N3432" si="13741">IFERROR((M3433/M3432),"-")</f>
        <v>-</v>
      </c>
      <c r="O3432" s="40"/>
      <c r="P3432" s="602"/>
      <c r="Q3432" s="602"/>
      <c r="R3432" s="602"/>
      <c r="S3432" s="602"/>
      <c r="T3432" s="602"/>
      <c r="U3432" s="602"/>
      <c r="V3432" s="602"/>
      <c r="W3432" s="40"/>
      <c r="X3432" s="504">
        <f t="shared" si="13716"/>
        <v>0</v>
      </c>
      <c r="Y3432" s="849" t="str">
        <f>IFERROR((X3433/X3432),"-")</f>
        <v>-</v>
      </c>
      <c r="Z3432" s="40"/>
      <c r="AA3432" s="855"/>
      <c r="AB3432" s="855"/>
      <c r="AC3432" s="855"/>
      <c r="AD3432" s="762" t="str">
        <f>IFERROR((AC3432/AA3432),"-")</f>
        <v>-</v>
      </c>
      <c r="AE3432" s="40"/>
      <c r="AF3432" s="855"/>
      <c r="AG3432" s="855"/>
      <c r="AH3432" s="855"/>
      <c r="AI3432" s="855"/>
      <c r="AJ3432" s="855"/>
      <c r="AK3432" s="855"/>
      <c r="AL3432" s="855"/>
      <c r="AM3432" s="849"/>
      <c r="AN3432" s="40"/>
      <c r="AO3432" s="855"/>
      <c r="AP3432" s="855"/>
      <c r="AV3432" t="str">
        <f t="shared" si="13712"/>
        <v>OAE - Obra de Arte Especial</v>
      </c>
      <c r="AW3432" s="4" t="str">
        <f t="shared" si="13680"/>
        <v>Encontro E01 - Arrasamento de cabeça de estacas</v>
      </c>
    </row>
    <row r="3433" spans="1:49" ht="14.65" customHeight="1" outlineLevel="2">
      <c r="A3433" s="604" t="str">
        <f>A3432</f>
        <v>N</v>
      </c>
      <c r="B3433" s="599"/>
      <c r="C3433" s="599"/>
      <c r="D3433" s="124"/>
      <c r="E3433" s="847"/>
      <c r="F3433" s="854"/>
      <c r="G3433" s="40"/>
      <c r="H3433" s="603" t="s">
        <v>38</v>
      </c>
      <c r="I3433" s="504"/>
      <c r="J3433" s="850"/>
      <c r="K3433" s="40"/>
      <c r="L3433" s="603" t="s">
        <v>38</v>
      </c>
      <c r="M3433" s="504">
        <f t="shared" si="13714"/>
        <v>0</v>
      </c>
      <c r="N3433" s="850"/>
      <c r="O3433" s="40"/>
      <c r="P3433" s="602"/>
      <c r="Q3433" s="602"/>
      <c r="R3433" s="602"/>
      <c r="S3433" s="602"/>
      <c r="T3433" s="602"/>
      <c r="U3433" s="602"/>
      <c r="V3433" s="602"/>
      <c r="W3433" s="40"/>
      <c r="X3433" s="504">
        <f t="shared" si="13716"/>
        <v>0</v>
      </c>
      <c r="Y3433" s="850"/>
      <c r="Z3433" s="40"/>
      <c r="AA3433" s="856"/>
      <c r="AB3433" s="856"/>
      <c r="AC3433" s="856"/>
      <c r="AD3433" s="763"/>
      <c r="AE3433" s="40"/>
      <c r="AF3433" s="856"/>
      <c r="AG3433" s="856"/>
      <c r="AH3433" s="856"/>
      <c r="AI3433" s="856"/>
      <c r="AJ3433" s="856"/>
      <c r="AK3433" s="880"/>
      <c r="AL3433" s="856"/>
      <c r="AM3433" s="850"/>
      <c r="AN3433" s="40"/>
      <c r="AO3433" s="856"/>
      <c r="AP3433" s="857"/>
      <c r="AV3433" t="str">
        <f t="shared" si="13712"/>
        <v>OAE - Obra de Arte Especial</v>
      </c>
      <c r="AW3433" s="4" t="str">
        <f t="shared" si="13680"/>
        <v>Encontro E01 - Arrasamento de cabeça de estacas</v>
      </c>
    </row>
    <row r="3434" spans="1:49" ht="15.75" outlineLevel="2">
      <c r="A3434" s="604" t="str">
        <f>IF(SUM(P3434:V3435)&gt;0,"S","N")</f>
        <v>N</v>
      </c>
      <c r="B3434" s="599"/>
      <c r="C3434" s="599">
        <v>0</v>
      </c>
      <c r="D3434" s="124"/>
      <c r="E3434" s="846" t="s">
        <v>3794</v>
      </c>
      <c r="F3434" s="853" t="s">
        <v>3763</v>
      </c>
      <c r="G3434" s="40"/>
      <c r="H3434" s="600" t="s">
        <v>37</v>
      </c>
      <c r="I3434" s="504"/>
      <c r="J3434" s="849" t="str">
        <f t="shared" ref="J3434" si="13742">IFERROR((I3435/I3434),"-")</f>
        <v>-</v>
      </c>
      <c r="K3434" s="40"/>
      <c r="L3434" s="600" t="s">
        <v>37</v>
      </c>
      <c r="M3434" s="504">
        <f t="shared" si="13714"/>
        <v>0</v>
      </c>
      <c r="N3434" s="849" t="str">
        <f t="shared" ref="N3434" si="13743">IFERROR((M3435/M3434),"-")</f>
        <v>-</v>
      </c>
      <c r="O3434" s="40"/>
      <c r="P3434" s="602"/>
      <c r="Q3434" s="602"/>
      <c r="R3434" s="602"/>
      <c r="S3434" s="602"/>
      <c r="T3434" s="602"/>
      <c r="U3434" s="602"/>
      <c r="V3434" s="602"/>
      <c r="W3434" s="40"/>
      <c r="X3434" s="504">
        <f t="shared" si="13716"/>
        <v>0</v>
      </c>
      <c r="Y3434" s="849" t="str">
        <f>IFERROR((X3435/X3434),"-")</f>
        <v>-</v>
      </c>
      <c r="Z3434" s="40"/>
      <c r="AA3434" s="855"/>
      <c r="AB3434" s="855"/>
      <c r="AC3434" s="855"/>
      <c r="AD3434" s="762" t="str">
        <f>IFERROR((AC3434/AA3434),"-")</f>
        <v>-</v>
      </c>
      <c r="AE3434" s="40"/>
      <c r="AF3434" s="855"/>
      <c r="AG3434" s="855"/>
      <c r="AH3434" s="855"/>
      <c r="AI3434" s="855"/>
      <c r="AJ3434" s="855"/>
      <c r="AK3434" s="855"/>
      <c r="AL3434" s="855"/>
      <c r="AM3434" s="849"/>
      <c r="AN3434" s="40"/>
      <c r="AO3434" s="855"/>
      <c r="AP3434" s="855"/>
      <c r="AV3434" t="str">
        <f t="shared" si="13712"/>
        <v>OAE - Obra de Arte Especial</v>
      </c>
      <c r="AW3434" s="4" t="str">
        <f t="shared" si="13680"/>
        <v>Encontro E1 - PIT / PDA</v>
      </c>
    </row>
    <row r="3435" spans="1:49" ht="14.65" customHeight="1" outlineLevel="2">
      <c r="A3435" s="604" t="str">
        <f>A3434</f>
        <v>N</v>
      </c>
      <c r="B3435" s="599"/>
      <c r="C3435" s="599"/>
      <c r="D3435" s="124"/>
      <c r="E3435" s="847"/>
      <c r="F3435" s="854"/>
      <c r="G3435" s="40"/>
      <c r="H3435" s="603" t="s">
        <v>38</v>
      </c>
      <c r="I3435" s="504"/>
      <c r="J3435" s="850"/>
      <c r="K3435" s="40"/>
      <c r="L3435" s="603" t="s">
        <v>38</v>
      </c>
      <c r="M3435" s="504">
        <f t="shared" si="13714"/>
        <v>0</v>
      </c>
      <c r="N3435" s="850"/>
      <c r="O3435" s="40"/>
      <c r="P3435" s="602"/>
      <c r="Q3435" s="602"/>
      <c r="R3435" s="602"/>
      <c r="S3435" s="602"/>
      <c r="T3435" s="602"/>
      <c r="U3435" s="602"/>
      <c r="V3435" s="602"/>
      <c r="W3435" s="40"/>
      <c r="X3435" s="504">
        <f t="shared" si="13716"/>
        <v>0</v>
      </c>
      <c r="Y3435" s="850"/>
      <c r="Z3435" s="40"/>
      <c r="AA3435" s="856"/>
      <c r="AB3435" s="856"/>
      <c r="AC3435" s="856"/>
      <c r="AD3435" s="763"/>
      <c r="AE3435" s="40"/>
      <c r="AF3435" s="856"/>
      <c r="AG3435" s="856"/>
      <c r="AH3435" s="856"/>
      <c r="AI3435" s="856"/>
      <c r="AJ3435" s="856"/>
      <c r="AK3435" s="880"/>
      <c r="AL3435" s="856"/>
      <c r="AM3435" s="850"/>
      <c r="AN3435" s="40"/>
      <c r="AO3435" s="856"/>
      <c r="AP3435" s="857"/>
      <c r="AV3435" t="str">
        <f t="shared" si="13712"/>
        <v>OAE - Obra de Arte Especial</v>
      </c>
      <c r="AW3435" s="4" t="str">
        <f t="shared" si="13680"/>
        <v>Encontro E1 - PIT / PDA</v>
      </c>
    </row>
    <row r="3436" spans="1:49" ht="15.75" outlineLevel="2">
      <c r="A3436" s="598" t="str">
        <f t="shared" ref="A3436" si="13744">IF(SUM(P3436:V3437)&gt;0,"S","N")</f>
        <v>S</v>
      </c>
      <c r="B3436" s="599"/>
      <c r="C3436" s="599">
        <v>0</v>
      </c>
      <c r="D3436" s="124"/>
      <c r="E3436" s="846" t="s">
        <v>3795</v>
      </c>
      <c r="F3436" s="853" t="s">
        <v>52</v>
      </c>
      <c r="G3436" s="40"/>
      <c r="H3436" s="600" t="s">
        <v>37</v>
      </c>
      <c r="I3436" s="504"/>
      <c r="J3436" s="849" t="str">
        <f t="shared" ref="J3436" si="13745">IFERROR((I3437/I3436),"-")</f>
        <v>-</v>
      </c>
      <c r="K3436" s="40"/>
      <c r="L3436" s="600" t="s">
        <v>37</v>
      </c>
      <c r="M3436" s="504" t="str">
        <f t="shared" si="13714"/>
        <v>x</v>
      </c>
      <c r="N3436" s="849" t="str">
        <f t="shared" ref="N3436" si="13746">IFERROR((M3437/M3436),"-")</f>
        <v>-</v>
      </c>
      <c r="O3436" s="40"/>
      <c r="P3436" s="698" t="s">
        <v>176</v>
      </c>
      <c r="Q3436" s="698" t="s">
        <v>176</v>
      </c>
      <c r="R3436" s="698">
        <v>1</v>
      </c>
      <c r="S3436" s="698"/>
      <c r="T3436" s="698"/>
      <c r="U3436" s="698"/>
      <c r="V3436" s="382"/>
      <c r="W3436" s="40"/>
      <c r="X3436" s="504">
        <f t="shared" si="13716"/>
        <v>0</v>
      </c>
      <c r="Y3436" s="849" t="str">
        <f>IFERROR((X3437/X3436),"-")</f>
        <v>-</v>
      </c>
      <c r="Z3436" s="40"/>
      <c r="AA3436" s="855"/>
      <c r="AB3436" s="855"/>
      <c r="AC3436" s="855"/>
      <c r="AD3436" s="762" t="str">
        <f t="shared" ref="AD3436" si="13747">IFERROR((AC3436/AA3436),"-")</f>
        <v>-</v>
      </c>
      <c r="AE3436" s="40"/>
      <c r="AF3436" s="855"/>
      <c r="AG3436" s="855"/>
      <c r="AH3436" s="855"/>
      <c r="AI3436" s="855"/>
      <c r="AJ3436" s="855"/>
      <c r="AK3436" s="855"/>
      <c r="AL3436" s="855"/>
      <c r="AM3436" s="849"/>
      <c r="AN3436" s="40"/>
      <c r="AO3436" s="855"/>
      <c r="AP3436" s="855"/>
      <c r="AV3436" t="str">
        <f t="shared" si="13712"/>
        <v>OAE - Obra de Arte Especial</v>
      </c>
      <c r="AW3436" s="4" t="str">
        <f t="shared" si="13680"/>
        <v>Encontro E2 - Arrasamento de cabeça de estacas</v>
      </c>
    </row>
    <row r="3437" spans="1:49" ht="14.65" customHeight="1" outlineLevel="2">
      <c r="A3437" s="598" t="str">
        <f>A3436</f>
        <v>S</v>
      </c>
      <c r="B3437" s="599"/>
      <c r="C3437" s="599"/>
      <c r="D3437" s="124"/>
      <c r="E3437" s="847"/>
      <c r="F3437" s="854"/>
      <c r="G3437" s="40"/>
      <c r="H3437" s="603" t="s">
        <v>38</v>
      </c>
      <c r="I3437" s="504"/>
      <c r="J3437" s="850"/>
      <c r="K3437" s="40"/>
      <c r="L3437" s="603" t="s">
        <v>38</v>
      </c>
      <c r="M3437" s="504">
        <f t="shared" si="13714"/>
        <v>0</v>
      </c>
      <c r="N3437" s="850"/>
      <c r="O3437" s="40"/>
      <c r="P3437" s="602"/>
      <c r="Q3437" s="602"/>
      <c r="R3437" s="602"/>
      <c r="S3437" s="602"/>
      <c r="T3437" s="602"/>
      <c r="U3437" s="602"/>
      <c r="V3437" s="602"/>
      <c r="W3437" s="40"/>
      <c r="X3437" s="504">
        <f t="shared" si="13716"/>
        <v>0</v>
      </c>
      <c r="Y3437" s="850"/>
      <c r="Z3437" s="40"/>
      <c r="AA3437" s="856"/>
      <c r="AB3437" s="856"/>
      <c r="AC3437" s="856"/>
      <c r="AD3437" s="763"/>
      <c r="AE3437" s="40"/>
      <c r="AF3437" s="856"/>
      <c r="AG3437" s="856"/>
      <c r="AH3437" s="856"/>
      <c r="AI3437" s="856"/>
      <c r="AJ3437" s="856"/>
      <c r="AK3437" s="856"/>
      <c r="AL3437" s="856"/>
      <c r="AM3437" s="850"/>
      <c r="AN3437" s="40"/>
      <c r="AO3437" s="856"/>
      <c r="AP3437" s="857"/>
      <c r="AV3437" t="str">
        <f t="shared" si="13712"/>
        <v>OAE - Obra de Arte Especial</v>
      </c>
      <c r="AW3437" s="4" t="str">
        <f t="shared" si="13680"/>
        <v>Encontro E2 - Arrasamento de cabeça de estacas</v>
      </c>
    </row>
    <row r="3438" spans="1:49" ht="15.75" outlineLevel="2">
      <c r="A3438" s="598" t="str">
        <f t="shared" ref="A3438" si="13748">IF(SUM(P3438:V3439)&gt;0,"S","N")</f>
        <v>S</v>
      </c>
      <c r="B3438" s="599"/>
      <c r="C3438" s="599">
        <v>0</v>
      </c>
      <c r="D3438" s="124"/>
      <c r="E3438" s="846" t="s">
        <v>3796</v>
      </c>
      <c r="F3438" s="853" t="s">
        <v>52</v>
      </c>
      <c r="G3438" s="40"/>
      <c r="H3438" s="600" t="s">
        <v>37</v>
      </c>
      <c r="I3438" s="504"/>
      <c r="J3438" s="849" t="str">
        <f t="shared" ref="J3438" si="13749">IFERROR((I3439/I3438),"-")</f>
        <v>-</v>
      </c>
      <c r="K3438" s="40"/>
      <c r="L3438" s="600" t="s">
        <v>37</v>
      </c>
      <c r="M3438" s="504">
        <f t="shared" si="13714"/>
        <v>0</v>
      </c>
      <c r="N3438" s="849" t="str">
        <f t="shared" ref="N3438" si="13750">IFERROR((M3439/M3438),"-")</f>
        <v>-</v>
      </c>
      <c r="O3438" s="40"/>
      <c r="P3438" s="698"/>
      <c r="Q3438" s="698"/>
      <c r="R3438" s="698" t="s">
        <v>176</v>
      </c>
      <c r="S3438" s="698" t="s">
        <v>176</v>
      </c>
      <c r="T3438" s="698" t="s">
        <v>176</v>
      </c>
      <c r="U3438" s="698">
        <v>1</v>
      </c>
      <c r="V3438" s="382"/>
      <c r="W3438" s="40"/>
      <c r="X3438" s="504">
        <f t="shared" si="13716"/>
        <v>0</v>
      </c>
      <c r="Y3438" s="849" t="str">
        <f>IFERROR((X3439/X3438),"-")</f>
        <v>-</v>
      </c>
      <c r="Z3438" s="40"/>
      <c r="AA3438" s="855"/>
      <c r="AB3438" s="855"/>
      <c r="AC3438" s="855"/>
      <c r="AD3438" s="762" t="str">
        <f t="shared" ref="AD3438" si="13751">IFERROR((AC3438/AA3438),"-")</f>
        <v>-</v>
      </c>
      <c r="AE3438" s="40"/>
      <c r="AF3438" s="855"/>
      <c r="AG3438" s="855"/>
      <c r="AH3438" s="855"/>
      <c r="AI3438" s="855"/>
      <c r="AJ3438" s="855"/>
      <c r="AK3438" s="855"/>
      <c r="AL3438" s="855"/>
      <c r="AM3438" s="849"/>
      <c r="AN3438" s="40"/>
      <c r="AO3438" s="855"/>
      <c r="AP3438" s="855"/>
      <c r="AV3438" t="str">
        <f t="shared" si="13712"/>
        <v>OAE - Obra de Arte Especial</v>
      </c>
      <c r="AW3438" s="4" t="str">
        <f t="shared" si="13680"/>
        <v>Encontro E2  - PIT / PDA</v>
      </c>
    </row>
    <row r="3439" spans="1:49" ht="14.65" customHeight="1" outlineLevel="2">
      <c r="A3439" s="598" t="str">
        <f>A3438</f>
        <v>S</v>
      </c>
      <c r="B3439" s="599"/>
      <c r="C3439" s="599"/>
      <c r="D3439" s="124"/>
      <c r="E3439" s="847"/>
      <c r="F3439" s="854"/>
      <c r="G3439" s="40"/>
      <c r="H3439" s="603" t="s">
        <v>38</v>
      </c>
      <c r="I3439" s="504"/>
      <c r="J3439" s="850"/>
      <c r="K3439" s="40"/>
      <c r="L3439" s="603" t="s">
        <v>38</v>
      </c>
      <c r="M3439" s="504">
        <f t="shared" si="13714"/>
        <v>0</v>
      </c>
      <c r="N3439" s="850"/>
      <c r="O3439" s="40"/>
      <c r="P3439" s="602"/>
      <c r="Q3439" s="602"/>
      <c r="R3439" s="602"/>
      <c r="S3439" s="602"/>
      <c r="T3439" s="602"/>
      <c r="U3439" s="602"/>
      <c r="V3439" s="602"/>
      <c r="W3439" s="40"/>
      <c r="X3439" s="504">
        <f t="shared" si="13716"/>
        <v>0</v>
      </c>
      <c r="Y3439" s="850"/>
      <c r="Z3439" s="40"/>
      <c r="AA3439" s="856"/>
      <c r="AB3439" s="856"/>
      <c r="AC3439" s="856"/>
      <c r="AD3439" s="763"/>
      <c r="AE3439" s="40"/>
      <c r="AF3439" s="856"/>
      <c r="AG3439" s="856"/>
      <c r="AH3439" s="856"/>
      <c r="AI3439" s="856"/>
      <c r="AJ3439" s="856"/>
      <c r="AK3439" s="856"/>
      <c r="AL3439" s="856"/>
      <c r="AM3439" s="850"/>
      <c r="AN3439" s="40"/>
      <c r="AO3439" s="856"/>
      <c r="AP3439" s="857"/>
      <c r="AV3439" t="str">
        <f t="shared" si="13712"/>
        <v>OAE - Obra de Arte Especial</v>
      </c>
      <c r="AW3439" s="4" t="str">
        <f t="shared" si="13680"/>
        <v>Encontro E2  - PIT / PDA</v>
      </c>
    </row>
    <row r="3440" spans="1:49" ht="15.75" outlineLevel="2">
      <c r="A3440" s="604" t="str">
        <f>IF(SUM(P3440:V3441)&gt;0,"S","N")</f>
        <v>S</v>
      </c>
      <c r="B3440" s="599"/>
      <c r="C3440" s="599">
        <v>0</v>
      </c>
      <c r="D3440" s="124"/>
      <c r="E3440" s="846" t="s">
        <v>3797</v>
      </c>
      <c r="F3440" s="853" t="s">
        <v>3763</v>
      </c>
      <c r="G3440" s="40"/>
      <c r="H3440" s="600" t="s">
        <v>37</v>
      </c>
      <c r="I3440" s="504"/>
      <c r="J3440" s="849" t="str">
        <f t="shared" ref="J3440" si="13752">IFERROR((I3441/I3440),"-")</f>
        <v>-</v>
      </c>
      <c r="K3440" s="40"/>
      <c r="L3440" s="600" t="s">
        <v>37</v>
      </c>
      <c r="M3440" s="504" t="str">
        <f t="shared" si="13714"/>
        <v>x</v>
      </c>
      <c r="N3440" s="849" t="str">
        <f t="shared" ref="N3440" si="13753">IFERROR((M3441/M3440),"-")</f>
        <v>-</v>
      </c>
      <c r="O3440" s="40"/>
      <c r="P3440" s="698" t="s">
        <v>176</v>
      </c>
      <c r="Q3440" s="602" t="s">
        <v>176</v>
      </c>
      <c r="R3440" s="602">
        <v>1</v>
      </c>
      <c r="S3440" s="602"/>
      <c r="T3440" s="602"/>
      <c r="U3440" s="698"/>
      <c r="V3440" s="602"/>
      <c r="W3440" s="40"/>
      <c r="X3440" s="504">
        <f t="shared" si="13716"/>
        <v>0</v>
      </c>
      <c r="Y3440" s="849" t="str">
        <f>IFERROR((X3441/X3440),"-")</f>
        <v>-</v>
      </c>
      <c r="Z3440" s="40"/>
      <c r="AA3440" s="855"/>
      <c r="AB3440" s="855"/>
      <c r="AC3440" s="855"/>
      <c r="AD3440" s="762" t="str">
        <f t="shared" ref="AD3440" si="13754">IFERROR((AC3440/AA3440),"-")</f>
        <v>-</v>
      </c>
      <c r="AE3440" s="40"/>
      <c r="AF3440" s="855"/>
      <c r="AG3440" s="855"/>
      <c r="AH3440" s="855"/>
      <c r="AI3440" s="855"/>
      <c r="AJ3440" s="855"/>
      <c r="AK3440" s="855"/>
      <c r="AL3440" s="855"/>
      <c r="AM3440" s="849"/>
      <c r="AN3440" s="40"/>
      <c r="AO3440" s="858"/>
      <c r="AP3440" s="855"/>
      <c r="AV3440" t="str">
        <f t="shared" si="13712"/>
        <v>OAE - Obra de Arte Especial</v>
      </c>
      <c r="AW3440" s="4" t="str">
        <f t="shared" si="13680"/>
        <v>Bloco de Apoio P2 - Execução de armação - 1ª etapa</v>
      </c>
    </row>
    <row r="3441" spans="1:49" ht="14.65" customHeight="1" outlineLevel="2">
      <c r="A3441" s="604" t="str">
        <f>A3440</f>
        <v>S</v>
      </c>
      <c r="B3441" s="599"/>
      <c r="C3441" s="599"/>
      <c r="D3441" s="124"/>
      <c r="E3441" s="847"/>
      <c r="F3441" s="854"/>
      <c r="G3441" s="40"/>
      <c r="H3441" s="603" t="s">
        <v>38</v>
      </c>
      <c r="I3441" s="504"/>
      <c r="J3441" s="850"/>
      <c r="K3441" s="40"/>
      <c r="L3441" s="603" t="s">
        <v>38</v>
      </c>
      <c r="M3441" s="504">
        <f t="shared" si="13714"/>
        <v>0</v>
      </c>
      <c r="N3441" s="850"/>
      <c r="O3441" s="40"/>
      <c r="P3441" s="602"/>
      <c r="Q3441" s="602"/>
      <c r="R3441" s="602"/>
      <c r="S3441" s="602"/>
      <c r="T3441" s="602"/>
      <c r="U3441" s="602"/>
      <c r="V3441" s="602"/>
      <c r="W3441" s="40"/>
      <c r="X3441" s="504">
        <f t="shared" si="13716"/>
        <v>0</v>
      </c>
      <c r="Y3441" s="850"/>
      <c r="Z3441" s="40"/>
      <c r="AA3441" s="856"/>
      <c r="AB3441" s="856"/>
      <c r="AC3441" s="856"/>
      <c r="AD3441" s="763"/>
      <c r="AE3441" s="40"/>
      <c r="AF3441" s="856"/>
      <c r="AG3441" s="856"/>
      <c r="AH3441" s="856"/>
      <c r="AI3441" s="856"/>
      <c r="AJ3441" s="856"/>
      <c r="AK3441" s="856"/>
      <c r="AL3441" s="856"/>
      <c r="AM3441" s="850"/>
      <c r="AN3441" s="40"/>
      <c r="AO3441" s="857"/>
      <c r="AP3441" s="857"/>
      <c r="AV3441" t="str">
        <f t="shared" si="13712"/>
        <v>OAE - Obra de Arte Especial</v>
      </c>
      <c r="AW3441" s="4" t="str">
        <f t="shared" si="13680"/>
        <v>Bloco de Apoio P2 - Execução de armação - 1ª etapa</v>
      </c>
    </row>
    <row r="3442" spans="1:49" ht="15.75" outlineLevel="2">
      <c r="A3442" s="604" t="str">
        <f>IF(SUM(P3442:V3443)&gt;0,"S","N")</f>
        <v>S</v>
      </c>
      <c r="B3442" s="599"/>
      <c r="C3442" s="599">
        <v>0</v>
      </c>
      <c r="D3442" s="124"/>
      <c r="E3442" s="846" t="s">
        <v>3798</v>
      </c>
      <c r="F3442" s="853" t="s">
        <v>3763</v>
      </c>
      <c r="G3442" s="40"/>
      <c r="H3442" s="600" t="s">
        <v>37</v>
      </c>
      <c r="I3442" s="504"/>
      <c r="J3442" s="849" t="str">
        <f t="shared" ref="J3442" si="13755">IFERROR((I3443/I3442),"-")</f>
        <v>-</v>
      </c>
      <c r="K3442" s="40"/>
      <c r="L3442" s="600" t="s">
        <v>37</v>
      </c>
      <c r="M3442" s="504">
        <f t="shared" si="13714"/>
        <v>0</v>
      </c>
      <c r="N3442" s="849" t="str">
        <f t="shared" ref="N3442" si="13756">IFERROR((M3443/M3442),"-")</f>
        <v>-</v>
      </c>
      <c r="O3442" s="40"/>
      <c r="P3442" s="698"/>
      <c r="Q3442" s="602"/>
      <c r="R3442" s="602" t="s">
        <v>176</v>
      </c>
      <c r="S3442" s="602" t="s">
        <v>176</v>
      </c>
      <c r="T3442" s="602">
        <v>1</v>
      </c>
      <c r="U3442" s="698"/>
      <c r="V3442" s="602"/>
      <c r="W3442" s="40"/>
      <c r="X3442" s="504">
        <f t="shared" si="13716"/>
        <v>0</v>
      </c>
      <c r="Y3442" s="849" t="str">
        <f>IFERROR((X3443/X3442),"-")</f>
        <v>-</v>
      </c>
      <c r="Z3442" s="40"/>
      <c r="AA3442" s="855"/>
      <c r="AB3442" s="855"/>
      <c r="AC3442" s="855"/>
      <c r="AD3442" s="762" t="str">
        <f t="shared" ref="AD3442" si="13757">IFERROR((AC3442/AA3442),"-")</f>
        <v>-</v>
      </c>
      <c r="AE3442" s="40"/>
      <c r="AF3442" s="855"/>
      <c r="AG3442" s="855"/>
      <c r="AH3442" s="855"/>
      <c r="AI3442" s="855"/>
      <c r="AJ3442" s="855"/>
      <c r="AK3442" s="855"/>
      <c r="AL3442" s="855"/>
      <c r="AM3442" s="849"/>
      <c r="AN3442" s="40"/>
      <c r="AO3442" s="858"/>
      <c r="AP3442" s="855"/>
      <c r="AV3442" t="str">
        <f t="shared" si="13712"/>
        <v>OAE - Obra de Arte Especial</v>
      </c>
      <c r="AW3442" s="4" t="str">
        <f t="shared" si="13680"/>
        <v>Bloco de Apoio P2 - Montagem de Andaime</v>
      </c>
    </row>
    <row r="3443" spans="1:49" ht="14.65" customHeight="1" outlineLevel="2">
      <c r="A3443" s="604" t="str">
        <f>A3442</f>
        <v>S</v>
      </c>
      <c r="B3443" s="599"/>
      <c r="C3443" s="599"/>
      <c r="D3443" s="124"/>
      <c r="E3443" s="847"/>
      <c r="F3443" s="854"/>
      <c r="G3443" s="40"/>
      <c r="H3443" s="603" t="s">
        <v>38</v>
      </c>
      <c r="I3443" s="504"/>
      <c r="J3443" s="850"/>
      <c r="K3443" s="40"/>
      <c r="L3443" s="603" t="s">
        <v>38</v>
      </c>
      <c r="M3443" s="504">
        <f t="shared" si="13714"/>
        <v>0</v>
      </c>
      <c r="N3443" s="850"/>
      <c r="O3443" s="40"/>
      <c r="P3443" s="602"/>
      <c r="Q3443" s="602"/>
      <c r="R3443" s="602"/>
      <c r="S3443" s="602"/>
      <c r="T3443" s="602"/>
      <c r="U3443" s="602"/>
      <c r="V3443" s="602"/>
      <c r="W3443" s="40"/>
      <c r="X3443" s="504">
        <f t="shared" si="13716"/>
        <v>0</v>
      </c>
      <c r="Y3443" s="850"/>
      <c r="Z3443" s="40"/>
      <c r="AA3443" s="856"/>
      <c r="AB3443" s="856"/>
      <c r="AC3443" s="856"/>
      <c r="AD3443" s="763"/>
      <c r="AE3443" s="40"/>
      <c r="AF3443" s="856"/>
      <c r="AG3443" s="856"/>
      <c r="AH3443" s="856"/>
      <c r="AI3443" s="856"/>
      <c r="AJ3443" s="856"/>
      <c r="AK3443" s="856"/>
      <c r="AL3443" s="856"/>
      <c r="AM3443" s="850"/>
      <c r="AN3443" s="40"/>
      <c r="AO3443" s="857"/>
      <c r="AP3443" s="857"/>
      <c r="AV3443" t="str">
        <f t="shared" si="13712"/>
        <v>OAE - Obra de Arte Especial</v>
      </c>
      <c r="AW3443" s="4" t="str">
        <f t="shared" si="13680"/>
        <v>Bloco de Apoio P2 - Montagem de Andaime</v>
      </c>
    </row>
    <row r="3444" spans="1:49" ht="14.65" customHeight="1" outlineLevel="2">
      <c r="A3444" s="604" t="str">
        <f>IF(SUM(P3444:V3445)&gt;0,"S","N")</f>
        <v>S</v>
      </c>
      <c r="B3444" s="599"/>
      <c r="C3444" s="599">
        <v>0</v>
      </c>
      <c r="D3444" s="124"/>
      <c r="E3444" s="846" t="s">
        <v>3799</v>
      </c>
      <c r="F3444" s="853" t="s">
        <v>3763</v>
      </c>
      <c r="G3444" s="40"/>
      <c r="H3444" s="600" t="s">
        <v>37</v>
      </c>
      <c r="I3444" s="504"/>
      <c r="J3444" s="849" t="str">
        <f t="shared" ref="J3444" si="13758">IFERROR((I3445/I3444),"-")</f>
        <v>-</v>
      </c>
      <c r="K3444" s="40"/>
      <c r="L3444" s="600" t="s">
        <v>37</v>
      </c>
      <c r="M3444" s="504">
        <f t="shared" si="13714"/>
        <v>0</v>
      </c>
      <c r="N3444" s="849" t="str">
        <f t="shared" ref="N3444" si="13759">IFERROR((M3445/M3444),"-")</f>
        <v>-</v>
      </c>
      <c r="O3444" s="40"/>
      <c r="P3444" s="698"/>
      <c r="Q3444" s="602"/>
      <c r="R3444" s="602"/>
      <c r="S3444" s="148" t="s">
        <v>176</v>
      </c>
      <c r="T3444" s="148" t="s">
        <v>176</v>
      </c>
      <c r="U3444" s="148">
        <v>1</v>
      </c>
      <c r="V3444" s="602"/>
      <c r="W3444" s="40"/>
      <c r="X3444" s="504">
        <f t="shared" si="13716"/>
        <v>0</v>
      </c>
      <c r="Y3444" s="849" t="str">
        <f>IFERROR((X3445/X3444),"-")</f>
        <v>-</v>
      </c>
      <c r="Z3444" s="40"/>
      <c r="AA3444" s="855"/>
      <c r="AB3444" s="855"/>
      <c r="AC3444" s="855"/>
      <c r="AD3444" s="762" t="str">
        <f t="shared" ref="AD3444" si="13760">IFERROR((AC3444/AA3444),"-")</f>
        <v>-</v>
      </c>
      <c r="AE3444" s="40"/>
      <c r="AF3444" s="855"/>
      <c r="AG3444" s="855"/>
      <c r="AH3444" s="855"/>
      <c r="AI3444" s="855"/>
      <c r="AJ3444" s="855"/>
      <c r="AK3444" s="855"/>
      <c r="AL3444" s="855"/>
      <c r="AM3444" s="849"/>
      <c r="AN3444" s="40"/>
      <c r="AO3444" s="858"/>
      <c r="AP3444" s="855"/>
      <c r="AV3444" t="str">
        <f t="shared" si="13712"/>
        <v>OAE - Obra de Arte Especial</v>
      </c>
      <c r="AW3444" s="4" t="str">
        <f t="shared" si="13680"/>
        <v>Bloco de Apoio P2 -Montagem de formas e escoramento - 1ª etapa</v>
      </c>
    </row>
    <row r="3445" spans="1:49" ht="14.65" customHeight="1" outlineLevel="2">
      <c r="A3445" s="604" t="str">
        <f>A3444</f>
        <v>S</v>
      </c>
      <c r="B3445" s="599"/>
      <c r="C3445" s="599"/>
      <c r="D3445" s="124"/>
      <c r="E3445" s="847"/>
      <c r="F3445" s="854"/>
      <c r="G3445" s="40"/>
      <c r="H3445" s="603" t="s">
        <v>38</v>
      </c>
      <c r="I3445" s="504"/>
      <c r="J3445" s="850"/>
      <c r="K3445" s="40"/>
      <c r="L3445" s="603" t="s">
        <v>38</v>
      </c>
      <c r="M3445" s="504">
        <f t="shared" si="13714"/>
        <v>0</v>
      </c>
      <c r="N3445" s="850"/>
      <c r="O3445" s="40"/>
      <c r="P3445" s="602"/>
      <c r="Q3445" s="602"/>
      <c r="R3445" s="602"/>
      <c r="S3445" s="602"/>
      <c r="T3445" s="602"/>
      <c r="U3445" s="602"/>
      <c r="V3445" s="602"/>
      <c r="W3445" s="40"/>
      <c r="X3445" s="504">
        <f t="shared" si="13716"/>
        <v>0</v>
      </c>
      <c r="Y3445" s="850"/>
      <c r="Z3445" s="40"/>
      <c r="AA3445" s="856"/>
      <c r="AB3445" s="856"/>
      <c r="AC3445" s="856"/>
      <c r="AD3445" s="763"/>
      <c r="AE3445" s="40"/>
      <c r="AF3445" s="856"/>
      <c r="AG3445" s="856"/>
      <c r="AH3445" s="856"/>
      <c r="AI3445" s="856"/>
      <c r="AJ3445" s="856"/>
      <c r="AK3445" s="856"/>
      <c r="AL3445" s="856"/>
      <c r="AM3445" s="850"/>
      <c r="AN3445" s="40"/>
      <c r="AO3445" s="857"/>
      <c r="AP3445" s="857"/>
      <c r="AV3445" t="str">
        <f t="shared" si="13712"/>
        <v>OAE - Obra de Arte Especial</v>
      </c>
      <c r="AW3445" s="4" t="str">
        <f t="shared" si="13680"/>
        <v>Bloco de Apoio P2 -Montagem de formas e escoramento - 1ª etapa</v>
      </c>
    </row>
    <row r="3446" spans="1:49" ht="14.65" customHeight="1" outlineLevel="2" collapsed="1">
      <c r="A3446" s="604" t="str">
        <f>IF(SUM(P3446:V3447)&gt;0,"S","N")</f>
        <v>S</v>
      </c>
      <c r="B3446" s="599"/>
      <c r="C3446" s="599">
        <v>0</v>
      </c>
      <c r="D3446" s="124"/>
      <c r="E3446" s="846" t="s">
        <v>3800</v>
      </c>
      <c r="F3446" s="853" t="s">
        <v>3763</v>
      </c>
      <c r="G3446" s="40"/>
      <c r="H3446" s="600" t="s">
        <v>37</v>
      </c>
      <c r="I3446" s="504"/>
      <c r="J3446" s="849" t="str">
        <f t="shared" ref="J3446" si="13761">IFERROR((I3447/I3446),"-")</f>
        <v>-</v>
      </c>
      <c r="K3446" s="40"/>
      <c r="L3446" s="600" t="s">
        <v>37</v>
      </c>
      <c r="M3446" s="504">
        <f t="shared" si="13714"/>
        <v>0</v>
      </c>
      <c r="N3446" s="849" t="str">
        <f t="shared" ref="N3446" si="13762">IFERROR((M3447/M3446),"-")</f>
        <v>-</v>
      </c>
      <c r="O3446" s="40"/>
      <c r="P3446" s="698"/>
      <c r="Q3446" s="602"/>
      <c r="R3446" s="602"/>
      <c r="S3446" s="602"/>
      <c r="T3446" s="602"/>
      <c r="U3446" s="698">
        <v>1</v>
      </c>
      <c r="V3446" s="602"/>
      <c r="W3446" s="40"/>
      <c r="X3446" s="504">
        <f t="shared" si="13716"/>
        <v>0</v>
      </c>
      <c r="Y3446" s="849" t="str">
        <f>IFERROR((X3447/X3446),"-")</f>
        <v>-</v>
      </c>
      <c r="Z3446" s="40"/>
      <c r="AA3446" s="855"/>
      <c r="AB3446" s="855"/>
      <c r="AC3446" s="855"/>
      <c r="AD3446" s="762" t="str">
        <f t="shared" ref="AD3446" si="13763">IFERROR((AC3446/AA3446),"-")</f>
        <v>-</v>
      </c>
      <c r="AE3446" s="40"/>
      <c r="AF3446" s="855"/>
      <c r="AG3446" s="855"/>
      <c r="AH3446" s="855"/>
      <c r="AI3446" s="855"/>
      <c r="AJ3446" s="855"/>
      <c r="AK3446" s="855"/>
      <c r="AL3446" s="855"/>
      <c r="AM3446" s="849"/>
      <c r="AN3446" s="40"/>
      <c r="AO3446" s="858"/>
      <c r="AP3446" s="855"/>
      <c r="AV3446" t="str">
        <f t="shared" si="13712"/>
        <v>OAE - Obra de Arte Especial</v>
      </c>
      <c r="AW3446" s="4" t="str">
        <f t="shared" si="13680"/>
        <v>Bloco de Apoio P2 -Aplicação de concreto estrutural</v>
      </c>
    </row>
    <row r="3447" spans="1:49" ht="14.65" customHeight="1" outlineLevel="2">
      <c r="A3447" s="604" t="str">
        <f>A3446</f>
        <v>S</v>
      </c>
      <c r="B3447" s="599"/>
      <c r="C3447" s="599"/>
      <c r="D3447" s="124"/>
      <c r="E3447" s="847"/>
      <c r="F3447" s="854"/>
      <c r="G3447" s="40"/>
      <c r="H3447" s="603" t="s">
        <v>38</v>
      </c>
      <c r="I3447" s="504"/>
      <c r="J3447" s="850"/>
      <c r="K3447" s="40"/>
      <c r="L3447" s="603" t="s">
        <v>38</v>
      </c>
      <c r="M3447" s="504">
        <f t="shared" si="13714"/>
        <v>0</v>
      </c>
      <c r="N3447" s="850"/>
      <c r="O3447" s="40"/>
      <c r="P3447" s="602"/>
      <c r="Q3447" s="602"/>
      <c r="R3447" s="602"/>
      <c r="S3447" s="602"/>
      <c r="T3447" s="602"/>
      <c r="U3447" s="602"/>
      <c r="V3447" s="602"/>
      <c r="W3447" s="40"/>
      <c r="X3447" s="504">
        <f t="shared" si="13716"/>
        <v>0</v>
      </c>
      <c r="Y3447" s="850"/>
      <c r="Z3447" s="40"/>
      <c r="AA3447" s="856"/>
      <c r="AB3447" s="856"/>
      <c r="AC3447" s="856"/>
      <c r="AD3447" s="763"/>
      <c r="AE3447" s="40"/>
      <c r="AF3447" s="856"/>
      <c r="AG3447" s="856"/>
      <c r="AH3447" s="856"/>
      <c r="AI3447" s="856"/>
      <c r="AJ3447" s="856"/>
      <c r="AK3447" s="856"/>
      <c r="AL3447" s="856"/>
      <c r="AM3447" s="850"/>
      <c r="AN3447" s="40"/>
      <c r="AO3447" s="857"/>
      <c r="AP3447" s="857"/>
      <c r="AV3447" t="str">
        <f t="shared" si="13712"/>
        <v>OAE - Obra de Arte Especial</v>
      </c>
      <c r="AW3447" s="4" t="str">
        <f t="shared" si="13680"/>
        <v>Bloco de Apoio P2 -Aplicação de concreto estrutural</v>
      </c>
    </row>
    <row r="3448" spans="1:49" ht="14.65" customHeight="1" outlineLevel="2">
      <c r="A3448" s="604" t="str">
        <f>IF(SUM(P3448:V3449)&gt;0,"S","N")</f>
        <v>N</v>
      </c>
      <c r="B3448" s="599"/>
      <c r="C3448" s="599">
        <v>0</v>
      </c>
      <c r="D3448" s="124"/>
      <c r="E3448" s="846" t="s">
        <v>3801</v>
      </c>
      <c r="F3448" s="853" t="s">
        <v>3763</v>
      </c>
      <c r="G3448" s="40"/>
      <c r="H3448" s="600" t="s">
        <v>37</v>
      </c>
      <c r="I3448" s="504"/>
      <c r="J3448" s="849" t="str">
        <f t="shared" ref="J3448" si="13764">IFERROR((I3449/I3448),"-")</f>
        <v>-</v>
      </c>
      <c r="K3448" s="40"/>
      <c r="L3448" s="600" t="s">
        <v>37</v>
      </c>
      <c r="M3448" s="504">
        <f t="shared" si="13714"/>
        <v>0</v>
      </c>
      <c r="N3448" s="849" t="str">
        <f t="shared" ref="N3448" si="13765">IFERROR((M3449/M3448),"-")</f>
        <v>-</v>
      </c>
      <c r="O3448" s="40"/>
      <c r="P3448" s="698"/>
      <c r="Q3448" s="602"/>
      <c r="R3448" s="602"/>
      <c r="S3448" s="602"/>
      <c r="T3448" s="602"/>
      <c r="U3448" s="698"/>
      <c r="V3448" s="602"/>
      <c r="W3448" s="40"/>
      <c r="X3448" s="504">
        <f t="shared" si="13716"/>
        <v>0</v>
      </c>
      <c r="Y3448" s="849" t="str">
        <f>IFERROR((X3449/X3448),"-")</f>
        <v>-</v>
      </c>
      <c r="Z3448" s="40"/>
      <c r="AA3448" s="855"/>
      <c r="AB3448" s="855"/>
      <c r="AC3448" s="855"/>
      <c r="AD3448" s="762" t="str">
        <f t="shared" ref="AD3448" si="13766">IFERROR((AC3448/AA3448),"-")</f>
        <v>-</v>
      </c>
      <c r="AE3448" s="40"/>
      <c r="AF3448" s="855"/>
      <c r="AG3448" s="855"/>
      <c r="AH3448" s="855"/>
      <c r="AI3448" s="855"/>
      <c r="AJ3448" s="855"/>
      <c r="AK3448" s="855"/>
      <c r="AL3448" s="855"/>
      <c r="AM3448" s="849"/>
      <c r="AN3448" s="40"/>
      <c r="AO3448" s="858"/>
      <c r="AP3448" s="855"/>
      <c r="AV3448" t="str">
        <f t="shared" si="13712"/>
        <v>OAE - Obra de Arte Especial</v>
      </c>
      <c r="AW3448" s="4" t="str">
        <f t="shared" si="13680"/>
        <v>Bloco de Apoio P5 - Montagem de formas e escoramento</v>
      </c>
    </row>
    <row r="3449" spans="1:49" ht="14.65" customHeight="1" outlineLevel="2">
      <c r="A3449" s="604" t="str">
        <f>A3448</f>
        <v>N</v>
      </c>
      <c r="B3449" s="599"/>
      <c r="C3449" s="599"/>
      <c r="D3449" s="124"/>
      <c r="E3449" s="847"/>
      <c r="F3449" s="854"/>
      <c r="G3449" s="40"/>
      <c r="H3449" s="603" t="s">
        <v>38</v>
      </c>
      <c r="I3449" s="504"/>
      <c r="J3449" s="850"/>
      <c r="K3449" s="40"/>
      <c r="L3449" s="603" t="s">
        <v>38</v>
      </c>
      <c r="M3449" s="504">
        <f t="shared" si="13714"/>
        <v>0</v>
      </c>
      <c r="N3449" s="850"/>
      <c r="O3449" s="40"/>
      <c r="P3449" s="602"/>
      <c r="Q3449" s="602"/>
      <c r="R3449" s="602"/>
      <c r="S3449" s="602"/>
      <c r="T3449" s="602"/>
      <c r="U3449" s="602"/>
      <c r="V3449" s="602"/>
      <c r="W3449" s="40"/>
      <c r="X3449" s="504">
        <f t="shared" si="13716"/>
        <v>0</v>
      </c>
      <c r="Y3449" s="850"/>
      <c r="Z3449" s="40"/>
      <c r="AA3449" s="856"/>
      <c r="AB3449" s="856"/>
      <c r="AC3449" s="856"/>
      <c r="AD3449" s="763"/>
      <c r="AE3449" s="40"/>
      <c r="AF3449" s="856"/>
      <c r="AG3449" s="856"/>
      <c r="AH3449" s="856"/>
      <c r="AI3449" s="856"/>
      <c r="AJ3449" s="856"/>
      <c r="AK3449" s="856"/>
      <c r="AL3449" s="856"/>
      <c r="AM3449" s="850"/>
      <c r="AN3449" s="40"/>
      <c r="AO3449" s="857"/>
      <c r="AP3449" s="857"/>
      <c r="AV3449" t="str">
        <f t="shared" si="13712"/>
        <v>OAE - Obra de Arte Especial</v>
      </c>
      <c r="AW3449" s="4" t="str">
        <f t="shared" si="13680"/>
        <v>Bloco de Apoio P5 - Montagem de formas e escoramento</v>
      </c>
    </row>
    <row r="3450" spans="1:49" ht="14.65" customHeight="1" outlineLevel="2">
      <c r="A3450" s="604" t="str">
        <f>IF(SUM(P3450:V3451)&gt;0,"S","N")</f>
        <v>S</v>
      </c>
      <c r="B3450" s="599"/>
      <c r="C3450" s="599">
        <v>0</v>
      </c>
      <c r="D3450" s="124"/>
      <c r="E3450" s="846" t="s">
        <v>3802</v>
      </c>
      <c r="F3450" s="853" t="s">
        <v>3763</v>
      </c>
      <c r="G3450" s="40"/>
      <c r="H3450" s="600" t="s">
        <v>37</v>
      </c>
      <c r="I3450" s="504"/>
      <c r="J3450" s="849" t="str">
        <f t="shared" ref="J3450" si="13767">IFERROR((I3451/I3450),"-")</f>
        <v>-</v>
      </c>
      <c r="K3450" s="40"/>
      <c r="L3450" s="600" t="s">
        <v>37</v>
      </c>
      <c r="M3450" s="504">
        <f t="shared" si="13714"/>
        <v>0</v>
      </c>
      <c r="N3450" s="849" t="str">
        <f t="shared" ref="N3450" si="13768">IFERROR((M3451/M3450),"-")</f>
        <v>-</v>
      </c>
      <c r="O3450" s="40"/>
      <c r="P3450" s="602">
        <v>1</v>
      </c>
      <c r="Q3450" s="602"/>
      <c r="R3450" s="602"/>
      <c r="S3450" s="602"/>
      <c r="T3450" s="602"/>
      <c r="U3450" s="698"/>
      <c r="V3450" s="602"/>
      <c r="W3450" s="40"/>
      <c r="X3450" s="504">
        <f t="shared" si="13716"/>
        <v>1</v>
      </c>
      <c r="Y3450" s="849">
        <f>IFERROR((X3451/X3450),"-")</f>
        <v>1</v>
      </c>
      <c r="Z3450" s="40"/>
      <c r="AA3450" s="855"/>
      <c r="AB3450" s="855"/>
      <c r="AC3450" s="855"/>
      <c r="AD3450" s="762" t="str">
        <f t="shared" ref="AD3450" si="13769">IFERROR((AC3450/AA3450),"-")</f>
        <v>-</v>
      </c>
      <c r="AE3450" s="40"/>
      <c r="AF3450" s="855"/>
      <c r="AG3450" s="855"/>
      <c r="AH3450" s="855"/>
      <c r="AI3450" s="855"/>
      <c r="AJ3450" s="855"/>
      <c r="AK3450" s="855"/>
      <c r="AL3450" s="855"/>
      <c r="AM3450" s="849"/>
      <c r="AN3450" s="40"/>
      <c r="AO3450" s="858"/>
      <c r="AP3450" s="855"/>
      <c r="AV3450" t="str">
        <f t="shared" si="13712"/>
        <v>OAE - Obra de Arte Especial</v>
      </c>
      <c r="AW3450" s="4" t="str">
        <f t="shared" si="13680"/>
        <v>Bloco de Apoio P5 - Aplicação de concreto estrutural</v>
      </c>
    </row>
    <row r="3451" spans="1:49" ht="14.65" customHeight="1" outlineLevel="2">
      <c r="A3451" s="604" t="str">
        <f>A3450</f>
        <v>S</v>
      </c>
      <c r="B3451" s="599"/>
      <c r="C3451" s="599"/>
      <c r="D3451" s="124"/>
      <c r="E3451" s="847"/>
      <c r="F3451" s="854"/>
      <c r="G3451" s="40"/>
      <c r="H3451" s="603" t="s">
        <v>38</v>
      </c>
      <c r="I3451" s="504"/>
      <c r="J3451" s="850"/>
      <c r="K3451" s="40"/>
      <c r="L3451" s="603" t="s">
        <v>38</v>
      </c>
      <c r="M3451" s="504">
        <f t="shared" si="13714"/>
        <v>0</v>
      </c>
      <c r="N3451" s="850"/>
      <c r="O3451" s="40"/>
      <c r="P3451" s="606">
        <v>1</v>
      </c>
      <c r="Q3451" s="602"/>
      <c r="R3451" s="602"/>
      <c r="S3451" s="602"/>
      <c r="T3451" s="602"/>
      <c r="U3451" s="602"/>
      <c r="V3451" s="602"/>
      <c r="W3451" s="40"/>
      <c r="X3451" s="504">
        <f t="shared" si="13716"/>
        <v>1</v>
      </c>
      <c r="Y3451" s="850"/>
      <c r="Z3451" s="40"/>
      <c r="AA3451" s="856"/>
      <c r="AB3451" s="856"/>
      <c r="AC3451" s="856"/>
      <c r="AD3451" s="763"/>
      <c r="AE3451" s="40"/>
      <c r="AF3451" s="856"/>
      <c r="AG3451" s="856"/>
      <c r="AH3451" s="856"/>
      <c r="AI3451" s="856"/>
      <c r="AJ3451" s="856"/>
      <c r="AK3451" s="856"/>
      <c r="AL3451" s="856"/>
      <c r="AM3451" s="850"/>
      <c r="AN3451" s="40"/>
      <c r="AO3451" s="857"/>
      <c r="AP3451" s="857"/>
      <c r="AV3451" t="str">
        <f t="shared" si="13712"/>
        <v>OAE - Obra de Arte Especial</v>
      </c>
      <c r="AW3451" s="4" t="str">
        <f t="shared" si="13680"/>
        <v>Bloco de Apoio P5 - Aplicação de concreto estrutural</v>
      </c>
    </row>
    <row r="3452" spans="1:49" ht="14.65" customHeight="1" outlineLevel="2">
      <c r="A3452" s="598" t="str">
        <f t="shared" ref="A3452" si="13770">IF(SUM(P3452:V3453)&gt;0,"S","N")</f>
        <v>S</v>
      </c>
      <c r="B3452" s="599"/>
      <c r="C3452" s="599">
        <v>0</v>
      </c>
      <c r="D3452" s="124"/>
      <c r="E3452" s="851" t="s">
        <v>3803</v>
      </c>
      <c r="F3452" s="853" t="s">
        <v>3763</v>
      </c>
      <c r="G3452" s="40"/>
      <c r="H3452" s="600" t="s">
        <v>37</v>
      </c>
      <c r="I3452" s="504"/>
      <c r="J3452" s="849" t="str">
        <f t="shared" ref="J3452" si="13771">IFERROR((I3453/I3452),"-")</f>
        <v>-</v>
      </c>
      <c r="K3452" s="40"/>
      <c r="L3452" s="600" t="s">
        <v>37</v>
      </c>
      <c r="M3452" s="504" t="str">
        <f t="shared" si="13714"/>
        <v>x</v>
      </c>
      <c r="N3452" s="849" t="str">
        <f t="shared" ref="N3452" si="13772">IFERROR((M3453/M3452),"-")</f>
        <v>-</v>
      </c>
      <c r="O3452" s="40"/>
      <c r="P3452" s="602" t="s">
        <v>176</v>
      </c>
      <c r="Q3452" s="698" t="s">
        <v>176</v>
      </c>
      <c r="R3452" s="699">
        <v>1</v>
      </c>
      <c r="S3452" s="602"/>
      <c r="T3452" s="602"/>
      <c r="U3452" s="602"/>
      <c r="V3452" s="602"/>
      <c r="W3452" s="40"/>
      <c r="X3452" s="504">
        <f t="shared" si="13716"/>
        <v>0</v>
      </c>
      <c r="Y3452" s="849" t="str">
        <f>IFERROR((X3453/X3452),"-")</f>
        <v>-</v>
      </c>
      <c r="Z3452" s="40"/>
      <c r="AA3452" s="855"/>
      <c r="AB3452" s="855"/>
      <c r="AC3452" s="855"/>
      <c r="AD3452" s="762" t="str">
        <f t="shared" ref="AD3452" si="13773">IFERROR((AC3452/AA3452),"-")</f>
        <v>-</v>
      </c>
      <c r="AE3452" s="40"/>
      <c r="AF3452" s="855"/>
      <c r="AG3452" s="855"/>
      <c r="AH3452" s="855"/>
      <c r="AI3452" s="855"/>
      <c r="AJ3452" s="855"/>
      <c r="AK3452" s="855"/>
      <c r="AL3452" s="855"/>
      <c r="AM3452" s="849"/>
      <c r="AN3452" s="40"/>
      <c r="AO3452" s="855"/>
      <c r="AP3452" s="855"/>
      <c r="AV3452" t="str">
        <f t="shared" si="13712"/>
        <v>OAE - Obra de Arte Especial</v>
      </c>
      <c r="AW3452" s="4" t="str">
        <f t="shared" si="13680"/>
        <v>Pilar P05 - Execução de armação - Base</v>
      </c>
    </row>
    <row r="3453" spans="1:49" ht="14.65" customHeight="1" outlineLevel="2">
      <c r="A3453" s="598" t="str">
        <f>A3452</f>
        <v>S</v>
      </c>
      <c r="B3453" s="599"/>
      <c r="C3453" s="599"/>
      <c r="D3453" s="124"/>
      <c r="E3453" s="852"/>
      <c r="F3453" s="854"/>
      <c r="G3453" s="40"/>
      <c r="H3453" s="603" t="s">
        <v>38</v>
      </c>
      <c r="I3453" s="504"/>
      <c r="J3453" s="850"/>
      <c r="K3453" s="40"/>
      <c r="L3453" s="603" t="s">
        <v>38</v>
      </c>
      <c r="M3453" s="504">
        <f t="shared" si="13714"/>
        <v>0</v>
      </c>
      <c r="N3453" s="850"/>
      <c r="O3453" s="40"/>
      <c r="P3453" s="606" t="s">
        <v>176</v>
      </c>
      <c r="Q3453" s="602"/>
      <c r="R3453" s="602"/>
      <c r="S3453" s="602"/>
      <c r="T3453" s="602"/>
      <c r="U3453" s="602"/>
      <c r="V3453" s="602"/>
      <c r="W3453" s="40"/>
      <c r="X3453" s="504">
        <f t="shared" si="13716"/>
        <v>0</v>
      </c>
      <c r="Y3453" s="850"/>
      <c r="Z3453" s="40"/>
      <c r="AA3453" s="856"/>
      <c r="AB3453" s="856"/>
      <c r="AC3453" s="856"/>
      <c r="AD3453" s="763"/>
      <c r="AE3453" s="40"/>
      <c r="AF3453" s="856"/>
      <c r="AG3453" s="856"/>
      <c r="AH3453" s="856"/>
      <c r="AI3453" s="856"/>
      <c r="AJ3453" s="856"/>
      <c r="AK3453" s="856"/>
      <c r="AL3453" s="856"/>
      <c r="AM3453" s="850"/>
      <c r="AN3453" s="40"/>
      <c r="AO3453" s="856"/>
      <c r="AP3453" s="857"/>
      <c r="AV3453" t="str">
        <f t="shared" si="13712"/>
        <v>OAE - Obra de Arte Especial</v>
      </c>
      <c r="AW3453" s="4" t="str">
        <f t="shared" si="13680"/>
        <v>Pilar P05 - Execução de armação - Base</v>
      </c>
    </row>
    <row r="3454" spans="1:49" ht="14.65" customHeight="1" outlineLevel="2">
      <c r="A3454" s="598" t="str">
        <f t="shared" ref="A3454" si="13774">IF(SUM(P3454:V3455)&gt;0,"S","N")</f>
        <v>S</v>
      </c>
      <c r="B3454" s="599"/>
      <c r="C3454" s="599">
        <v>0</v>
      </c>
      <c r="D3454" s="124"/>
      <c r="E3454" s="851" t="s">
        <v>3804</v>
      </c>
      <c r="F3454" s="853" t="s">
        <v>3763</v>
      </c>
      <c r="G3454" s="40"/>
      <c r="H3454" s="600" t="s">
        <v>37</v>
      </c>
      <c r="I3454" s="504"/>
      <c r="J3454" s="849" t="str">
        <f t="shared" ref="J3454" si="13775">IFERROR((I3455/I3454),"-")</f>
        <v>-</v>
      </c>
      <c r="K3454" s="40"/>
      <c r="L3454" s="600" t="s">
        <v>37</v>
      </c>
      <c r="M3454" s="504" t="str">
        <f t="shared" si="13714"/>
        <v>x</v>
      </c>
      <c r="N3454" s="849" t="str">
        <f t="shared" ref="N3454" si="13776">IFERROR((M3455/M3454),"-")</f>
        <v>-</v>
      </c>
      <c r="O3454" s="40"/>
      <c r="P3454" s="602"/>
      <c r="Q3454" s="699" t="s">
        <v>176</v>
      </c>
      <c r="R3454" s="602">
        <v>1</v>
      </c>
      <c r="S3454" s="602"/>
      <c r="T3454" s="602"/>
      <c r="U3454" s="602"/>
      <c r="V3454" s="602"/>
      <c r="W3454" s="40"/>
      <c r="X3454" s="504">
        <f t="shared" si="13716"/>
        <v>0</v>
      </c>
      <c r="Y3454" s="849" t="str">
        <f>IFERROR((X3455/X3454),"-")</f>
        <v>-</v>
      </c>
      <c r="Z3454" s="40"/>
      <c r="AA3454" s="855"/>
      <c r="AB3454" s="855"/>
      <c r="AC3454" s="855"/>
      <c r="AD3454" s="762" t="str">
        <f t="shared" ref="AD3454" si="13777">IFERROR((AC3454/AA3454),"-")</f>
        <v>-</v>
      </c>
      <c r="AE3454" s="40"/>
      <c r="AF3454" s="855"/>
      <c r="AG3454" s="855"/>
      <c r="AH3454" s="855"/>
      <c r="AI3454" s="855"/>
      <c r="AJ3454" s="855"/>
      <c r="AK3454" s="855"/>
      <c r="AL3454" s="855"/>
      <c r="AM3454" s="849"/>
      <c r="AN3454" s="40"/>
      <c r="AO3454" s="855"/>
      <c r="AP3454" s="855"/>
      <c r="AV3454" t="str">
        <f t="shared" si="13712"/>
        <v>OAE - Obra de Arte Especial</v>
      </c>
      <c r="AW3454" s="4" t="str">
        <f t="shared" si="13680"/>
        <v>Pilar P05 -Montagem de formas e escoramento - Base</v>
      </c>
    </row>
    <row r="3455" spans="1:49" ht="14.65" customHeight="1" outlineLevel="2">
      <c r="A3455" s="598" t="str">
        <f>A3454</f>
        <v>S</v>
      </c>
      <c r="B3455" s="599"/>
      <c r="C3455" s="599"/>
      <c r="D3455" s="124"/>
      <c r="E3455" s="852"/>
      <c r="F3455" s="854"/>
      <c r="G3455" s="40"/>
      <c r="H3455" s="603" t="s">
        <v>38</v>
      </c>
      <c r="I3455" s="504"/>
      <c r="J3455" s="850"/>
      <c r="K3455" s="40"/>
      <c r="L3455" s="603" t="s">
        <v>38</v>
      </c>
      <c r="M3455" s="504">
        <f t="shared" si="13714"/>
        <v>0</v>
      </c>
      <c r="N3455" s="850"/>
      <c r="O3455" s="40"/>
      <c r="P3455" s="606" t="s">
        <v>176</v>
      </c>
      <c r="Q3455" s="602"/>
      <c r="R3455" s="602"/>
      <c r="S3455" s="602"/>
      <c r="T3455" s="602"/>
      <c r="U3455" s="602"/>
      <c r="V3455" s="602"/>
      <c r="W3455" s="40"/>
      <c r="X3455" s="504">
        <f t="shared" si="13716"/>
        <v>0</v>
      </c>
      <c r="Y3455" s="850"/>
      <c r="Z3455" s="40"/>
      <c r="AA3455" s="856"/>
      <c r="AB3455" s="856"/>
      <c r="AC3455" s="856"/>
      <c r="AD3455" s="763"/>
      <c r="AE3455" s="40"/>
      <c r="AF3455" s="856"/>
      <c r="AG3455" s="856"/>
      <c r="AH3455" s="856"/>
      <c r="AI3455" s="856"/>
      <c r="AJ3455" s="856"/>
      <c r="AK3455" s="856"/>
      <c r="AL3455" s="856"/>
      <c r="AM3455" s="850"/>
      <c r="AN3455" s="40"/>
      <c r="AO3455" s="856"/>
      <c r="AP3455" s="857"/>
      <c r="AV3455" t="str">
        <f t="shared" si="13712"/>
        <v>OAE - Obra de Arte Especial</v>
      </c>
      <c r="AW3455" s="4" t="str">
        <f t="shared" si="13680"/>
        <v>Pilar P05 -Montagem de formas e escoramento - Base</v>
      </c>
    </row>
    <row r="3456" spans="1:49" ht="14.65" customHeight="1" outlineLevel="2">
      <c r="A3456" s="598" t="str">
        <f t="shared" ref="A3456" si="13778">IF(SUM(P3456:V3457)&gt;0,"S","N")</f>
        <v>S</v>
      </c>
      <c r="B3456" s="599"/>
      <c r="C3456" s="599">
        <v>0</v>
      </c>
      <c r="D3456" s="124"/>
      <c r="E3456" s="851" t="s">
        <v>3805</v>
      </c>
      <c r="F3456" s="853" t="s">
        <v>3763</v>
      </c>
      <c r="G3456" s="40"/>
      <c r="H3456" s="600" t="s">
        <v>37</v>
      </c>
      <c r="I3456" s="504"/>
      <c r="J3456" s="849" t="str">
        <f t="shared" ref="J3456" si="13779">IFERROR((I3457/I3456),"-")</f>
        <v>-</v>
      </c>
      <c r="K3456" s="40"/>
      <c r="L3456" s="600" t="s">
        <v>37</v>
      </c>
      <c r="M3456" s="504">
        <f t="shared" si="13714"/>
        <v>0</v>
      </c>
      <c r="N3456" s="849" t="str">
        <f t="shared" ref="N3456" si="13780">IFERROR((M3457/M3456),"-")</f>
        <v>-</v>
      </c>
      <c r="O3456" s="40"/>
      <c r="P3456" s="602"/>
      <c r="Q3456" s="698"/>
      <c r="R3456" s="699"/>
      <c r="S3456" s="602">
        <v>1</v>
      </c>
      <c r="T3456" s="602"/>
      <c r="U3456" s="602"/>
      <c r="V3456" s="602"/>
      <c r="W3456" s="40"/>
      <c r="X3456" s="504">
        <f t="shared" si="13716"/>
        <v>0</v>
      </c>
      <c r="Y3456" s="849" t="str">
        <f>IFERROR((X3457/X3456),"-")</f>
        <v>-</v>
      </c>
      <c r="Z3456" s="40"/>
      <c r="AA3456" s="855"/>
      <c r="AB3456" s="855"/>
      <c r="AC3456" s="855"/>
      <c r="AD3456" s="762" t="str">
        <f t="shared" ref="AD3456" si="13781">IFERROR((AC3456/AA3456),"-")</f>
        <v>-</v>
      </c>
      <c r="AE3456" s="40"/>
      <c r="AF3456" s="855"/>
      <c r="AG3456" s="855"/>
      <c r="AH3456" s="855"/>
      <c r="AI3456" s="855"/>
      <c r="AJ3456" s="855"/>
      <c r="AK3456" s="855"/>
      <c r="AL3456" s="855"/>
      <c r="AM3456" s="849"/>
      <c r="AN3456" s="40"/>
      <c r="AO3456" s="855"/>
      <c r="AP3456" s="855"/>
      <c r="AV3456" t="str">
        <f t="shared" si="13712"/>
        <v>OAE - Obra de Arte Especial</v>
      </c>
      <c r="AW3456" s="4" t="str">
        <f t="shared" si="13680"/>
        <v>Pilar P05 - Aplicação de concreto estrutural - Base</v>
      </c>
    </row>
    <row r="3457" spans="1:50" ht="14.65" customHeight="1" outlineLevel="2">
      <c r="A3457" s="598" t="str">
        <f>A3456</f>
        <v>S</v>
      </c>
      <c r="B3457" s="599"/>
      <c r="C3457" s="599"/>
      <c r="D3457" s="124"/>
      <c r="E3457" s="852"/>
      <c r="F3457" s="854"/>
      <c r="G3457" s="40"/>
      <c r="H3457" s="603" t="s">
        <v>38</v>
      </c>
      <c r="I3457" s="504"/>
      <c r="J3457" s="850"/>
      <c r="K3457" s="40"/>
      <c r="L3457" s="603" t="s">
        <v>38</v>
      </c>
      <c r="M3457" s="504">
        <f t="shared" si="13714"/>
        <v>0</v>
      </c>
      <c r="N3457" s="850"/>
      <c r="O3457" s="40"/>
      <c r="P3457" s="602"/>
      <c r="Q3457" s="602"/>
      <c r="R3457" s="602"/>
      <c r="S3457" s="602"/>
      <c r="T3457" s="602"/>
      <c r="U3457" s="602"/>
      <c r="V3457" s="602"/>
      <c r="W3457" s="40"/>
      <c r="X3457" s="504">
        <f t="shared" si="13716"/>
        <v>0</v>
      </c>
      <c r="Y3457" s="850"/>
      <c r="Z3457" s="40"/>
      <c r="AA3457" s="856"/>
      <c r="AB3457" s="856"/>
      <c r="AC3457" s="856"/>
      <c r="AD3457" s="763"/>
      <c r="AE3457" s="40"/>
      <c r="AF3457" s="856"/>
      <c r="AG3457" s="856"/>
      <c r="AH3457" s="856"/>
      <c r="AI3457" s="856"/>
      <c r="AJ3457" s="856"/>
      <c r="AK3457" s="856"/>
      <c r="AL3457" s="856"/>
      <c r="AM3457" s="850"/>
      <c r="AN3457" s="40"/>
      <c r="AO3457" s="856"/>
      <c r="AP3457" s="857"/>
      <c r="AV3457" t="str">
        <f t="shared" si="13712"/>
        <v>OAE - Obra de Arte Especial</v>
      </c>
      <c r="AW3457" s="4" t="str">
        <f t="shared" si="13680"/>
        <v>Pilar P05 - Aplicação de concreto estrutural - Base</v>
      </c>
    </row>
    <row r="3458" spans="1:50" ht="14.65" customHeight="1" outlineLevel="2">
      <c r="A3458" s="598" t="str">
        <f t="shared" ref="A3458" si="13782">IF(SUM(P3458:V3459)&gt;0,"S","N")</f>
        <v>S</v>
      </c>
      <c r="B3458" s="599"/>
      <c r="C3458" s="599">
        <v>0</v>
      </c>
      <c r="D3458" s="124"/>
      <c r="E3458" s="851" t="s">
        <v>3806</v>
      </c>
      <c r="F3458" s="853" t="s">
        <v>3763</v>
      </c>
      <c r="G3458" s="40"/>
      <c r="H3458" s="600" t="s">
        <v>37</v>
      </c>
      <c r="I3458" s="504"/>
      <c r="J3458" s="849" t="str">
        <f t="shared" ref="J3458" si="13783">IFERROR((I3459/I3458),"-")</f>
        <v>-</v>
      </c>
      <c r="K3458" s="40"/>
      <c r="L3458" s="600" t="s">
        <v>37</v>
      </c>
      <c r="M3458" s="504" t="str">
        <f t="shared" si="13714"/>
        <v>x</v>
      </c>
      <c r="N3458" s="849" t="str">
        <f t="shared" ref="N3458" si="13784">IFERROR((M3459/M3458),"-")</f>
        <v>-</v>
      </c>
      <c r="O3458" s="40"/>
      <c r="P3458" s="602" t="s">
        <v>176</v>
      </c>
      <c r="Q3458" s="602" t="s">
        <v>176</v>
      </c>
      <c r="R3458" s="602">
        <v>1</v>
      </c>
      <c r="S3458" s="699"/>
      <c r="T3458" s="698"/>
      <c r="U3458" s="698"/>
      <c r="V3458" s="602"/>
      <c r="W3458" s="40"/>
      <c r="X3458" s="504">
        <f t="shared" si="13716"/>
        <v>0</v>
      </c>
      <c r="Y3458" s="849" t="str">
        <f>IFERROR((X3459/X3458),"-")</f>
        <v>-</v>
      </c>
      <c r="Z3458" s="40"/>
      <c r="AA3458" s="855"/>
      <c r="AB3458" s="855"/>
      <c r="AC3458" s="855"/>
      <c r="AD3458" s="762" t="str">
        <f t="shared" ref="AD3458" si="13785">IFERROR((AC3458/AA3458),"-")</f>
        <v>-</v>
      </c>
      <c r="AE3458" s="40"/>
      <c r="AF3458" s="855"/>
      <c r="AG3458" s="855"/>
      <c r="AH3458" s="855"/>
      <c r="AI3458" s="855"/>
      <c r="AJ3458" s="855"/>
      <c r="AK3458" s="855"/>
      <c r="AL3458" s="855"/>
      <c r="AM3458" s="849"/>
      <c r="AN3458" s="40"/>
      <c r="AO3458" s="855"/>
      <c r="AP3458" s="855"/>
      <c r="AV3458" t="str">
        <f t="shared" si="13712"/>
        <v>OAE - Obra de Arte Especial</v>
      </c>
      <c r="AW3458" s="4" t="str">
        <f t="shared" si="13680"/>
        <v>Pilar P05 - Execução de armação - 1ª etapa</v>
      </c>
    </row>
    <row r="3459" spans="1:50" ht="15.75" outlineLevel="2">
      <c r="A3459" s="598" t="str">
        <f>A3458</f>
        <v>S</v>
      </c>
      <c r="B3459" s="599"/>
      <c r="C3459" s="599"/>
      <c r="D3459" s="124"/>
      <c r="E3459" s="852"/>
      <c r="F3459" s="854"/>
      <c r="G3459" s="40"/>
      <c r="H3459" s="603" t="s">
        <v>38</v>
      </c>
      <c r="I3459" s="504"/>
      <c r="J3459" s="850"/>
      <c r="K3459" s="40"/>
      <c r="L3459" s="603" t="s">
        <v>38</v>
      </c>
      <c r="M3459" s="504">
        <f t="shared" si="13714"/>
        <v>0</v>
      </c>
      <c r="N3459" s="850"/>
      <c r="O3459" s="40"/>
      <c r="P3459" s="602"/>
      <c r="Q3459" s="602"/>
      <c r="R3459" s="602"/>
      <c r="S3459" s="602"/>
      <c r="T3459" s="602"/>
      <c r="U3459" s="602"/>
      <c r="V3459" s="602"/>
      <c r="W3459" s="40"/>
      <c r="X3459" s="504">
        <f t="shared" si="13716"/>
        <v>0</v>
      </c>
      <c r="Y3459" s="850"/>
      <c r="Z3459" s="40"/>
      <c r="AA3459" s="856"/>
      <c r="AB3459" s="856"/>
      <c r="AC3459" s="856"/>
      <c r="AD3459" s="763"/>
      <c r="AE3459" s="40"/>
      <c r="AF3459" s="856"/>
      <c r="AG3459" s="856"/>
      <c r="AH3459" s="856"/>
      <c r="AI3459" s="856"/>
      <c r="AJ3459" s="856"/>
      <c r="AK3459" s="856"/>
      <c r="AL3459" s="856"/>
      <c r="AM3459" s="850"/>
      <c r="AN3459" s="40"/>
      <c r="AO3459" s="856"/>
      <c r="AP3459" s="857"/>
      <c r="AV3459" t="str">
        <f t="shared" si="13712"/>
        <v>OAE - Obra de Arte Especial</v>
      </c>
      <c r="AW3459" s="4" t="str">
        <f t="shared" si="13680"/>
        <v>Pilar P05 - Execução de armação - 1ª etapa</v>
      </c>
    </row>
    <row r="3460" spans="1:50" ht="15.75" outlineLevel="2">
      <c r="A3460" s="598" t="str">
        <f t="shared" ref="A3460" si="13786">IF(SUM(P3460:V3461)&gt;0,"S","N")</f>
        <v>S</v>
      </c>
      <c r="B3460" s="599"/>
      <c r="C3460" s="599">
        <v>0</v>
      </c>
      <c r="D3460" s="124"/>
      <c r="E3460" s="851" t="s">
        <v>3807</v>
      </c>
      <c r="F3460" s="853" t="s">
        <v>3763</v>
      </c>
      <c r="G3460" s="40"/>
      <c r="H3460" s="600" t="s">
        <v>37</v>
      </c>
      <c r="I3460" s="504"/>
      <c r="J3460" s="849" t="str">
        <f t="shared" ref="J3460" si="13787">IFERROR((I3461/I3460),"-")</f>
        <v>-</v>
      </c>
      <c r="K3460" s="40"/>
      <c r="L3460" s="600" t="s">
        <v>37</v>
      </c>
      <c r="M3460" s="504">
        <f t="shared" si="13714"/>
        <v>0</v>
      </c>
      <c r="N3460" s="849" t="str">
        <f t="shared" ref="N3460" si="13788">IFERROR((M3461/M3460),"-")</f>
        <v>-</v>
      </c>
      <c r="O3460" s="40"/>
      <c r="P3460" s="602"/>
      <c r="Q3460" s="602"/>
      <c r="R3460" s="602" t="s">
        <v>176</v>
      </c>
      <c r="S3460" s="699">
        <v>1</v>
      </c>
      <c r="T3460" s="698"/>
      <c r="U3460" s="698"/>
      <c r="V3460" s="602"/>
      <c r="W3460" s="40"/>
      <c r="X3460" s="504">
        <f t="shared" si="13716"/>
        <v>0</v>
      </c>
      <c r="Y3460" s="849" t="str">
        <f>IFERROR((X3461/X3460),"-")</f>
        <v>-</v>
      </c>
      <c r="Z3460" s="40"/>
      <c r="AA3460" s="855"/>
      <c r="AB3460" s="855"/>
      <c r="AC3460" s="855"/>
      <c r="AD3460" s="762" t="str">
        <f t="shared" ref="AD3460" si="13789">IFERROR((AC3460/AA3460),"-")</f>
        <v>-</v>
      </c>
      <c r="AE3460" s="40"/>
      <c r="AF3460" s="855"/>
      <c r="AG3460" s="855"/>
      <c r="AH3460" s="855"/>
      <c r="AI3460" s="855"/>
      <c r="AJ3460" s="855"/>
      <c r="AK3460" s="855"/>
      <c r="AL3460" s="855"/>
      <c r="AM3460" s="849"/>
      <c r="AN3460" s="40"/>
      <c r="AO3460" s="855"/>
      <c r="AP3460" s="855"/>
      <c r="AV3460" t="str">
        <f t="shared" si="13712"/>
        <v>OAE - Obra de Arte Especial</v>
      </c>
      <c r="AW3460" s="4" t="str">
        <f t="shared" si="13680"/>
        <v>Pilar P05 -Montagem de formas e escoramento - 1ª etapa</v>
      </c>
    </row>
    <row r="3461" spans="1:50" ht="15.75" outlineLevel="2">
      <c r="A3461" s="598" t="str">
        <f>A3460</f>
        <v>S</v>
      </c>
      <c r="B3461" s="599"/>
      <c r="C3461" s="599"/>
      <c r="D3461" s="124"/>
      <c r="E3461" s="852"/>
      <c r="F3461" s="854"/>
      <c r="G3461" s="40"/>
      <c r="H3461" s="603" t="s">
        <v>38</v>
      </c>
      <c r="I3461" s="504"/>
      <c r="J3461" s="850"/>
      <c r="K3461" s="40"/>
      <c r="L3461" s="603" t="s">
        <v>38</v>
      </c>
      <c r="M3461" s="504">
        <f t="shared" si="13714"/>
        <v>0</v>
      </c>
      <c r="N3461" s="850"/>
      <c r="O3461" s="40"/>
      <c r="P3461" s="602"/>
      <c r="Q3461" s="602"/>
      <c r="R3461" s="602"/>
      <c r="S3461" s="602"/>
      <c r="T3461" s="602"/>
      <c r="U3461" s="602"/>
      <c r="V3461" s="602"/>
      <c r="W3461" s="40"/>
      <c r="X3461" s="504">
        <f t="shared" si="13716"/>
        <v>0</v>
      </c>
      <c r="Y3461" s="850"/>
      <c r="Z3461" s="40"/>
      <c r="AA3461" s="856"/>
      <c r="AB3461" s="856"/>
      <c r="AC3461" s="856"/>
      <c r="AD3461" s="763"/>
      <c r="AE3461" s="40"/>
      <c r="AF3461" s="856"/>
      <c r="AG3461" s="856"/>
      <c r="AH3461" s="856"/>
      <c r="AI3461" s="856"/>
      <c r="AJ3461" s="856"/>
      <c r="AK3461" s="856"/>
      <c r="AL3461" s="856"/>
      <c r="AM3461" s="850"/>
      <c r="AN3461" s="40"/>
      <c r="AO3461" s="856"/>
      <c r="AP3461" s="857"/>
      <c r="AV3461" s="4" t="str">
        <f t="shared" si="13712"/>
        <v>OAE - Obra de Arte Especial</v>
      </c>
      <c r="AW3461" s="4" t="str">
        <f t="shared" si="13680"/>
        <v>Pilar P05 -Montagem de formas e escoramento - 1ª etapa</v>
      </c>
      <c r="AX3461" s="4"/>
    </row>
    <row r="3462" spans="1:50" ht="15.75" outlineLevel="2">
      <c r="A3462" s="604" t="str">
        <f>IF(SUM(P3462:V3463)&gt;0,"S","N")</f>
        <v>S</v>
      </c>
      <c r="B3462" s="599"/>
      <c r="C3462" s="599">
        <v>0</v>
      </c>
      <c r="D3462" s="124"/>
      <c r="E3462" s="851" t="s">
        <v>3808</v>
      </c>
      <c r="F3462" s="853" t="s">
        <v>3763</v>
      </c>
      <c r="G3462" s="40"/>
      <c r="H3462" s="600" t="s">
        <v>37</v>
      </c>
      <c r="I3462" s="504"/>
      <c r="J3462" s="849" t="str">
        <f t="shared" ref="J3462" si="13790">IFERROR((I3463/I3462),"-")</f>
        <v>-</v>
      </c>
      <c r="K3462" s="40"/>
      <c r="L3462" s="600" t="s">
        <v>37</v>
      </c>
      <c r="M3462" s="504">
        <f t="shared" si="13714"/>
        <v>0</v>
      </c>
      <c r="N3462" s="849" t="str">
        <f t="shared" ref="N3462" si="13791">IFERROR((M3463/M3462),"-")</f>
        <v>-</v>
      </c>
      <c r="O3462" s="40"/>
      <c r="P3462" s="602"/>
      <c r="Q3462" s="602"/>
      <c r="R3462" s="602"/>
      <c r="S3462" s="602"/>
      <c r="T3462" s="602">
        <v>1</v>
      </c>
      <c r="U3462" s="698"/>
      <c r="V3462" s="602"/>
      <c r="W3462" s="40"/>
      <c r="X3462" s="504">
        <f t="shared" si="13716"/>
        <v>0</v>
      </c>
      <c r="Y3462" s="849" t="str">
        <f>IFERROR((X3463/X3462),"-")</f>
        <v>-</v>
      </c>
      <c r="Z3462" s="40"/>
      <c r="AA3462" s="855"/>
      <c r="AB3462" s="855"/>
      <c r="AC3462" s="855"/>
      <c r="AD3462" s="762" t="str">
        <f t="shared" ref="AD3462" si="13792">IFERROR((AC3462/AA3462),"-")</f>
        <v>-</v>
      </c>
      <c r="AE3462" s="40"/>
      <c r="AF3462" s="855"/>
      <c r="AG3462" s="855"/>
      <c r="AH3462" s="855"/>
      <c r="AI3462" s="855"/>
      <c r="AJ3462" s="855"/>
      <c r="AK3462" s="855"/>
      <c r="AL3462" s="855"/>
      <c r="AM3462" s="849"/>
      <c r="AN3462" s="40"/>
      <c r="AO3462" s="858"/>
      <c r="AP3462" s="855"/>
      <c r="AV3462" t="str">
        <f t="shared" si="13712"/>
        <v>OAE - Obra de Arte Especial</v>
      </c>
      <c r="AW3462" s="4" t="str">
        <f t="shared" si="13680"/>
        <v>Pilar P05 - Aplicação de concreto estrutural - 1ª etapa</v>
      </c>
    </row>
    <row r="3463" spans="1:50" ht="15.75" outlineLevel="2">
      <c r="A3463" s="604" t="str">
        <f>A3462</f>
        <v>S</v>
      </c>
      <c r="B3463" s="599"/>
      <c r="C3463" s="599"/>
      <c r="D3463" s="124"/>
      <c r="E3463" s="852"/>
      <c r="F3463" s="854"/>
      <c r="G3463" s="40"/>
      <c r="H3463" s="603" t="s">
        <v>38</v>
      </c>
      <c r="I3463" s="504"/>
      <c r="J3463" s="850"/>
      <c r="K3463" s="40"/>
      <c r="L3463" s="603" t="s">
        <v>38</v>
      </c>
      <c r="M3463" s="504">
        <f t="shared" si="13714"/>
        <v>0</v>
      </c>
      <c r="N3463" s="850"/>
      <c r="O3463" s="40"/>
      <c r="P3463" s="602"/>
      <c r="Q3463" s="602"/>
      <c r="R3463" s="602"/>
      <c r="S3463" s="602"/>
      <c r="T3463" s="602"/>
      <c r="U3463" s="602"/>
      <c r="V3463" s="602"/>
      <c r="W3463" s="40"/>
      <c r="X3463" s="504">
        <f t="shared" si="13716"/>
        <v>0</v>
      </c>
      <c r="Y3463" s="850"/>
      <c r="Z3463" s="40"/>
      <c r="AA3463" s="856"/>
      <c r="AB3463" s="856"/>
      <c r="AC3463" s="856"/>
      <c r="AD3463" s="763"/>
      <c r="AE3463" s="40"/>
      <c r="AF3463" s="856"/>
      <c r="AG3463" s="856"/>
      <c r="AH3463" s="856"/>
      <c r="AI3463" s="856"/>
      <c r="AJ3463" s="856"/>
      <c r="AK3463" s="856"/>
      <c r="AL3463" s="856"/>
      <c r="AM3463" s="850"/>
      <c r="AN3463" s="40"/>
      <c r="AO3463" s="857"/>
      <c r="AP3463" s="857"/>
      <c r="AV3463" t="str">
        <f t="shared" si="13712"/>
        <v>OAE - Obra de Arte Especial</v>
      </c>
      <c r="AW3463" s="4" t="str">
        <f t="shared" si="13680"/>
        <v>Pilar P05 - Aplicação de concreto estrutural - 1ª etapa</v>
      </c>
    </row>
    <row r="3464" spans="1:50" ht="14.65" customHeight="1" outlineLevel="2">
      <c r="A3464" s="598" t="str">
        <f t="shared" ref="A3464" si="13793">IF(SUM(P3464:V3465)&gt;0,"S","N")</f>
        <v>S</v>
      </c>
      <c r="B3464" s="599"/>
      <c r="C3464" s="599">
        <v>0</v>
      </c>
      <c r="D3464" s="124"/>
      <c r="E3464" s="846" t="s">
        <v>3809</v>
      </c>
      <c r="F3464" s="853" t="s">
        <v>3763</v>
      </c>
      <c r="G3464" s="40"/>
      <c r="H3464" s="600" t="s">
        <v>37</v>
      </c>
      <c r="I3464" s="504"/>
      <c r="J3464" s="849" t="str">
        <f t="shared" ref="J3464" si="13794">IFERROR((I3465/I3464),"-")</f>
        <v>-</v>
      </c>
      <c r="K3464" s="40"/>
      <c r="L3464" s="600" t="s">
        <v>37</v>
      </c>
      <c r="M3464" s="504">
        <f t="shared" si="13714"/>
        <v>0</v>
      </c>
      <c r="N3464" s="849" t="str">
        <f t="shared" ref="N3464" si="13795">IFERROR((M3465/M3464),"-")</f>
        <v>-</v>
      </c>
      <c r="O3464" s="40"/>
      <c r="P3464" s="602"/>
      <c r="Q3464" s="698"/>
      <c r="R3464" s="699"/>
      <c r="S3464" s="602"/>
      <c r="T3464" s="602"/>
      <c r="U3464" s="602">
        <v>1</v>
      </c>
      <c r="V3464" s="602"/>
      <c r="W3464" s="40"/>
      <c r="X3464" s="504">
        <f t="shared" si="13716"/>
        <v>0</v>
      </c>
      <c r="Y3464" s="849" t="str">
        <f>IFERROR((X3465/X3464),"-")</f>
        <v>-</v>
      </c>
      <c r="Z3464" s="40"/>
      <c r="AA3464" s="855"/>
      <c r="AB3464" s="855"/>
      <c r="AC3464" s="855"/>
      <c r="AD3464" s="762" t="str">
        <f t="shared" ref="AD3464" si="13796">IFERROR((AC3464/AA3464),"-")</f>
        <v>-</v>
      </c>
      <c r="AE3464" s="40"/>
      <c r="AF3464" s="855"/>
      <c r="AG3464" s="855"/>
      <c r="AH3464" s="855"/>
      <c r="AI3464" s="855"/>
      <c r="AJ3464" s="855"/>
      <c r="AK3464" s="855"/>
      <c r="AL3464" s="855"/>
      <c r="AM3464" s="849"/>
      <c r="AN3464" s="40"/>
      <c r="AO3464" s="855"/>
      <c r="AP3464" s="855"/>
      <c r="AV3464" t="str">
        <f t="shared" si="13712"/>
        <v>OAE - Obra de Arte Especial</v>
      </c>
      <c r="AW3464" s="4" t="str">
        <f t="shared" si="13680"/>
        <v>Pilar P04 - Execução de armação - Base</v>
      </c>
    </row>
    <row r="3465" spans="1:50" ht="25.9" customHeight="1" outlineLevel="2">
      <c r="A3465" s="598" t="str">
        <f>A3464</f>
        <v>S</v>
      </c>
      <c r="B3465" s="599"/>
      <c r="C3465" s="599"/>
      <c r="D3465" s="124"/>
      <c r="E3465" s="847"/>
      <c r="F3465" s="854"/>
      <c r="G3465" s="40"/>
      <c r="H3465" s="603" t="s">
        <v>38</v>
      </c>
      <c r="I3465" s="504"/>
      <c r="J3465" s="850"/>
      <c r="K3465" s="40"/>
      <c r="L3465" s="603" t="s">
        <v>38</v>
      </c>
      <c r="M3465" s="504">
        <f t="shared" si="13714"/>
        <v>0</v>
      </c>
      <c r="N3465" s="850"/>
      <c r="O3465" s="40"/>
      <c r="P3465" s="602"/>
      <c r="Q3465" s="602"/>
      <c r="R3465" s="602"/>
      <c r="S3465" s="602"/>
      <c r="T3465" s="602"/>
      <c r="U3465" s="602"/>
      <c r="V3465" s="602"/>
      <c r="W3465" s="40"/>
      <c r="X3465" s="504">
        <f t="shared" si="13716"/>
        <v>0</v>
      </c>
      <c r="Y3465" s="850"/>
      <c r="Z3465" s="40"/>
      <c r="AA3465" s="856"/>
      <c r="AB3465" s="856"/>
      <c r="AC3465" s="856"/>
      <c r="AD3465" s="763"/>
      <c r="AE3465" s="40"/>
      <c r="AF3465" s="856"/>
      <c r="AG3465" s="856"/>
      <c r="AH3465" s="856"/>
      <c r="AI3465" s="856"/>
      <c r="AJ3465" s="856"/>
      <c r="AK3465" s="856"/>
      <c r="AL3465" s="856"/>
      <c r="AM3465" s="850"/>
      <c r="AN3465" s="40"/>
      <c r="AO3465" s="856"/>
      <c r="AP3465" s="857"/>
      <c r="AV3465" s="4" t="str">
        <f t="shared" si="13712"/>
        <v>OAE - Obra de Arte Especial</v>
      </c>
      <c r="AW3465" s="4" t="str">
        <f t="shared" ref="AW3465:AW3473" si="13797">IF(E3465&lt;&gt;"",E3465,AW3464)</f>
        <v>Pilar P04 - Execução de armação - Base</v>
      </c>
      <c r="AX3465" s="4"/>
    </row>
    <row r="3466" spans="1:50" ht="25.9" customHeight="1" outlineLevel="2">
      <c r="A3466" s="598" t="str">
        <f t="shared" ref="A3466" si="13798">IF(SUM(P3466:V3467)&gt;0,"S","N")</f>
        <v>S</v>
      </c>
      <c r="B3466" s="599"/>
      <c r="C3466" s="599">
        <v>0</v>
      </c>
      <c r="D3466" s="124"/>
      <c r="E3466" s="846" t="s">
        <v>3810</v>
      </c>
      <c r="F3466" s="853" t="s">
        <v>3763</v>
      </c>
      <c r="G3466" s="40"/>
      <c r="H3466" s="600" t="s">
        <v>37</v>
      </c>
      <c r="I3466" s="504"/>
      <c r="J3466" s="849" t="str">
        <f t="shared" ref="J3466" si="13799">IFERROR((I3467/I3466),"-")</f>
        <v>-</v>
      </c>
      <c r="K3466" s="40"/>
      <c r="L3466" s="600" t="s">
        <v>37</v>
      </c>
      <c r="M3466" s="504" t="str">
        <f t="shared" si="13714"/>
        <v>x</v>
      </c>
      <c r="N3466" s="849" t="str">
        <f t="shared" ref="N3466" si="13800">IFERROR((M3467/M3466),"-")</f>
        <v>-</v>
      </c>
      <c r="O3466" s="40"/>
      <c r="P3466" s="602" t="s">
        <v>176</v>
      </c>
      <c r="Q3466" s="698" t="s">
        <v>176</v>
      </c>
      <c r="R3466" s="699">
        <v>1</v>
      </c>
      <c r="S3466" s="602"/>
      <c r="T3466" s="602"/>
      <c r="U3466" s="602"/>
      <c r="V3466" s="602"/>
      <c r="W3466" s="40"/>
      <c r="X3466" s="504">
        <f t="shared" si="13716"/>
        <v>0</v>
      </c>
      <c r="Y3466" s="849" t="str">
        <f>IFERROR((X3467/X3466),"-")</f>
        <v>-</v>
      </c>
      <c r="Z3466" s="40"/>
      <c r="AA3466" s="855"/>
      <c r="AB3466" s="855"/>
      <c r="AC3466" s="855"/>
      <c r="AD3466" s="762" t="str">
        <f t="shared" ref="AD3466" si="13801">IFERROR((AC3466/AA3466),"-")</f>
        <v>-</v>
      </c>
      <c r="AE3466" s="40"/>
      <c r="AF3466" s="855"/>
      <c r="AG3466" s="855"/>
      <c r="AH3466" s="855"/>
      <c r="AI3466" s="855"/>
      <c r="AJ3466" s="855"/>
      <c r="AK3466" s="855"/>
      <c r="AL3466" s="855"/>
      <c r="AM3466" s="849"/>
      <c r="AN3466" s="40"/>
      <c r="AO3466" s="855"/>
      <c r="AP3466" s="855"/>
      <c r="AV3466" t="str">
        <f t="shared" si="13712"/>
        <v>OAE - Obra de Arte Especial</v>
      </c>
      <c r="AW3466" s="4" t="str">
        <f t="shared" si="13797"/>
        <v>Pilar P04 -Montagem de formas e escoramento - Base</v>
      </c>
    </row>
    <row r="3467" spans="1:50" ht="14.65" customHeight="1" outlineLevel="2" collapsed="1">
      <c r="A3467" s="598" t="str">
        <f>A3466</f>
        <v>S</v>
      </c>
      <c r="B3467" s="599"/>
      <c r="C3467" s="599"/>
      <c r="D3467" s="124"/>
      <c r="E3467" s="847"/>
      <c r="F3467" s="854"/>
      <c r="G3467" s="40"/>
      <c r="H3467" s="603" t="s">
        <v>38</v>
      </c>
      <c r="I3467" s="504"/>
      <c r="J3467" s="850"/>
      <c r="K3467" s="40"/>
      <c r="L3467" s="603" t="s">
        <v>38</v>
      </c>
      <c r="M3467" s="504">
        <f t="shared" si="13714"/>
        <v>0</v>
      </c>
      <c r="N3467" s="850"/>
      <c r="O3467" s="40"/>
      <c r="P3467" s="602"/>
      <c r="Q3467" s="602"/>
      <c r="R3467" s="602"/>
      <c r="S3467" s="602"/>
      <c r="T3467" s="602"/>
      <c r="U3467" s="602"/>
      <c r="V3467" s="602"/>
      <c r="W3467" s="40"/>
      <c r="X3467" s="504">
        <f t="shared" si="13716"/>
        <v>0</v>
      </c>
      <c r="Y3467" s="850"/>
      <c r="Z3467" s="40"/>
      <c r="AA3467" s="856"/>
      <c r="AB3467" s="856"/>
      <c r="AC3467" s="856"/>
      <c r="AD3467" s="763"/>
      <c r="AE3467" s="40"/>
      <c r="AF3467" s="856"/>
      <c r="AG3467" s="856"/>
      <c r="AH3467" s="856"/>
      <c r="AI3467" s="856"/>
      <c r="AJ3467" s="856"/>
      <c r="AK3467" s="856"/>
      <c r="AL3467" s="856"/>
      <c r="AM3467" s="850"/>
      <c r="AN3467" s="40"/>
      <c r="AO3467" s="856"/>
      <c r="AP3467" s="857"/>
      <c r="AV3467" t="str">
        <f t="shared" si="13712"/>
        <v>OAE - Obra de Arte Especial</v>
      </c>
      <c r="AW3467" s="4" t="str">
        <f t="shared" si="13797"/>
        <v>Pilar P04 -Montagem de formas e escoramento - Base</v>
      </c>
    </row>
    <row r="3468" spans="1:50" ht="14.65" customHeight="1" outlineLevel="2">
      <c r="A3468" s="598" t="str">
        <f t="shared" ref="A3468" si="13802">IF(SUM(P3468:V3469)&gt;0,"S","N")</f>
        <v>S</v>
      </c>
      <c r="B3468" s="599"/>
      <c r="C3468" s="599">
        <v>0</v>
      </c>
      <c r="D3468" s="124"/>
      <c r="E3468" s="846" t="s">
        <v>3811</v>
      </c>
      <c r="F3468" s="853" t="s">
        <v>3763</v>
      </c>
      <c r="G3468" s="40"/>
      <c r="H3468" s="600" t="s">
        <v>37</v>
      </c>
      <c r="I3468" s="504"/>
      <c r="J3468" s="849" t="str">
        <f t="shared" ref="J3468" si="13803">IFERROR((I3469/I3468),"-")</f>
        <v>-</v>
      </c>
      <c r="K3468" s="40"/>
      <c r="L3468" s="600" t="s">
        <v>37</v>
      </c>
      <c r="M3468" s="504">
        <f t="shared" si="13714"/>
        <v>0</v>
      </c>
      <c r="N3468" s="849" t="str">
        <f t="shared" ref="N3468" si="13804">IFERROR((M3469/M3468),"-")</f>
        <v>-</v>
      </c>
      <c r="O3468" s="40"/>
      <c r="P3468" s="602"/>
      <c r="Q3468" s="602"/>
      <c r="R3468" s="602"/>
      <c r="S3468" s="699">
        <v>1</v>
      </c>
      <c r="T3468" s="698"/>
      <c r="U3468" s="698"/>
      <c r="V3468" s="602"/>
      <c r="W3468" s="40"/>
      <c r="X3468" s="504">
        <f t="shared" si="13716"/>
        <v>0</v>
      </c>
      <c r="Y3468" s="849" t="str">
        <f>IFERROR((X3469/X3468),"-")</f>
        <v>-</v>
      </c>
      <c r="Z3468" s="40"/>
      <c r="AA3468" s="855"/>
      <c r="AB3468" s="855"/>
      <c r="AC3468" s="855"/>
      <c r="AD3468" s="762" t="str">
        <f t="shared" ref="AD3468" si="13805">IFERROR((AC3468/AA3468),"-")</f>
        <v>-</v>
      </c>
      <c r="AE3468" s="40"/>
      <c r="AF3468" s="855"/>
      <c r="AG3468" s="855"/>
      <c r="AH3468" s="855"/>
      <c r="AI3468" s="855"/>
      <c r="AJ3468" s="855"/>
      <c r="AK3468" s="855"/>
      <c r="AL3468" s="855"/>
      <c r="AM3468" s="849"/>
      <c r="AN3468" s="40"/>
      <c r="AO3468" s="855"/>
      <c r="AP3468" s="855"/>
      <c r="AV3468" t="str">
        <f t="shared" si="13712"/>
        <v>OAE - Obra de Arte Especial</v>
      </c>
      <c r="AW3468" s="4" t="str">
        <f t="shared" si="13797"/>
        <v>Pilar P04 - Execução de armação - 1ª etapa</v>
      </c>
    </row>
    <row r="3469" spans="1:50" ht="14.65" customHeight="1" outlineLevel="2">
      <c r="A3469" s="598" t="str">
        <f>A3468</f>
        <v>S</v>
      </c>
      <c r="B3469" s="599"/>
      <c r="C3469" s="599"/>
      <c r="D3469" s="124"/>
      <c r="E3469" s="847"/>
      <c r="F3469" s="854"/>
      <c r="G3469" s="40"/>
      <c r="H3469" s="603" t="s">
        <v>38</v>
      </c>
      <c r="I3469" s="504"/>
      <c r="J3469" s="850"/>
      <c r="K3469" s="40"/>
      <c r="L3469" s="603" t="s">
        <v>38</v>
      </c>
      <c r="M3469" s="504">
        <f t="shared" si="13714"/>
        <v>0</v>
      </c>
      <c r="N3469" s="850"/>
      <c r="O3469" s="40"/>
      <c r="P3469" s="606" t="s">
        <v>176</v>
      </c>
      <c r="Q3469" s="602"/>
      <c r="R3469" s="602"/>
      <c r="S3469" s="602"/>
      <c r="T3469" s="602"/>
      <c r="U3469" s="602"/>
      <c r="V3469" s="602"/>
      <c r="W3469" s="40"/>
      <c r="X3469" s="504">
        <f t="shared" si="13716"/>
        <v>0</v>
      </c>
      <c r="Y3469" s="850"/>
      <c r="Z3469" s="40"/>
      <c r="AA3469" s="856"/>
      <c r="AB3469" s="856"/>
      <c r="AC3469" s="856"/>
      <c r="AD3469" s="763"/>
      <c r="AE3469" s="40"/>
      <c r="AF3469" s="856"/>
      <c r="AG3469" s="856"/>
      <c r="AH3469" s="856"/>
      <c r="AI3469" s="856"/>
      <c r="AJ3469" s="856"/>
      <c r="AK3469" s="856"/>
      <c r="AL3469" s="856"/>
      <c r="AM3469" s="850"/>
      <c r="AN3469" s="40"/>
      <c r="AO3469" s="856"/>
      <c r="AP3469" s="857"/>
      <c r="AV3469" t="str">
        <f t="shared" si="13712"/>
        <v>OAE - Obra de Arte Especial</v>
      </c>
      <c r="AW3469" s="4" t="str">
        <f t="shared" si="13797"/>
        <v>Pilar P04 - Execução de armação - 1ª etapa</v>
      </c>
    </row>
    <row r="3470" spans="1:50" ht="14.65" customHeight="1" outlineLevel="2">
      <c r="A3470" s="598" t="str">
        <f t="shared" ref="A3470" si="13806">IF(SUM(P3470:V3471)&gt;0,"S","N")</f>
        <v>S</v>
      </c>
      <c r="B3470" s="599"/>
      <c r="C3470" s="599">
        <v>0</v>
      </c>
      <c r="D3470" s="124"/>
      <c r="E3470" s="846" t="s">
        <v>3812</v>
      </c>
      <c r="F3470" s="853" t="s">
        <v>3763</v>
      </c>
      <c r="G3470" s="40"/>
      <c r="H3470" s="600" t="s">
        <v>37</v>
      </c>
      <c r="I3470" s="504"/>
      <c r="J3470" s="849" t="str">
        <f t="shared" ref="J3470" si="13807">IFERROR((I3471/I3470),"-")</f>
        <v>-</v>
      </c>
      <c r="K3470" s="40"/>
      <c r="L3470" s="600" t="s">
        <v>37</v>
      </c>
      <c r="M3470" s="504">
        <f t="shared" si="13714"/>
        <v>0</v>
      </c>
      <c r="N3470" s="849" t="str">
        <f t="shared" ref="N3470" si="13808">IFERROR((M3471/M3470),"-")</f>
        <v>-</v>
      </c>
      <c r="O3470" s="40"/>
      <c r="P3470" s="602"/>
      <c r="Q3470" s="602"/>
      <c r="R3470" s="602"/>
      <c r="S3470" s="699"/>
      <c r="T3470" s="698">
        <v>1</v>
      </c>
      <c r="U3470" s="698"/>
      <c r="V3470" s="602"/>
      <c r="W3470" s="40"/>
      <c r="X3470" s="504">
        <f t="shared" si="13716"/>
        <v>0</v>
      </c>
      <c r="Y3470" s="849" t="str">
        <f>IFERROR((X3471/X3470),"-")</f>
        <v>-</v>
      </c>
      <c r="Z3470" s="40"/>
      <c r="AA3470" s="855"/>
      <c r="AB3470" s="855"/>
      <c r="AC3470" s="855"/>
      <c r="AD3470" s="762" t="str">
        <f t="shared" ref="AD3470" si="13809">IFERROR((AC3470/AA3470),"-")</f>
        <v>-</v>
      </c>
      <c r="AE3470" s="40"/>
      <c r="AF3470" s="855"/>
      <c r="AG3470" s="855"/>
      <c r="AH3470" s="855"/>
      <c r="AI3470" s="855"/>
      <c r="AJ3470" s="855"/>
      <c r="AK3470" s="855"/>
      <c r="AL3470" s="855"/>
      <c r="AM3470" s="849"/>
      <c r="AN3470" s="40"/>
      <c r="AO3470" s="855"/>
      <c r="AP3470" s="855"/>
      <c r="AV3470" t="str">
        <f t="shared" si="13712"/>
        <v>OAE - Obra de Arte Especial</v>
      </c>
      <c r="AW3470" s="4" t="str">
        <f t="shared" si="13797"/>
        <v>Pilar P04 -Montagem de formas e escoramento - 1ª etapa</v>
      </c>
    </row>
    <row r="3471" spans="1:50" ht="14.65" customHeight="1" outlineLevel="2">
      <c r="A3471" s="598" t="str">
        <f>A3470</f>
        <v>S</v>
      </c>
      <c r="B3471" s="599"/>
      <c r="C3471" s="599"/>
      <c r="D3471" s="124"/>
      <c r="E3471" s="847"/>
      <c r="F3471" s="854"/>
      <c r="G3471" s="40"/>
      <c r="H3471" s="603" t="s">
        <v>38</v>
      </c>
      <c r="I3471" s="504"/>
      <c r="J3471" s="850"/>
      <c r="K3471" s="40"/>
      <c r="L3471" s="603" t="s">
        <v>38</v>
      </c>
      <c r="M3471" s="504">
        <f t="shared" si="13714"/>
        <v>0</v>
      </c>
      <c r="N3471" s="850"/>
      <c r="O3471" s="40"/>
      <c r="P3471" s="602"/>
      <c r="Q3471" s="602"/>
      <c r="R3471" s="602"/>
      <c r="S3471" s="602"/>
      <c r="T3471" s="602"/>
      <c r="U3471" s="602"/>
      <c r="V3471" s="602"/>
      <c r="W3471" s="40"/>
      <c r="X3471" s="504">
        <f t="shared" si="13716"/>
        <v>0</v>
      </c>
      <c r="Y3471" s="850"/>
      <c r="Z3471" s="40"/>
      <c r="AA3471" s="856"/>
      <c r="AB3471" s="856"/>
      <c r="AC3471" s="856"/>
      <c r="AD3471" s="763"/>
      <c r="AE3471" s="40"/>
      <c r="AF3471" s="856"/>
      <c r="AG3471" s="856"/>
      <c r="AH3471" s="856"/>
      <c r="AI3471" s="856"/>
      <c r="AJ3471" s="856"/>
      <c r="AK3471" s="856"/>
      <c r="AL3471" s="856"/>
      <c r="AM3471" s="850"/>
      <c r="AN3471" s="40"/>
      <c r="AO3471" s="856"/>
      <c r="AP3471" s="857"/>
      <c r="AV3471" t="str">
        <f t="shared" ref="AV3471:AV3473" si="13810">IF(AX3471="Y",LEFT(E3471,20),IF(AX3471="x",E3471,AV3470))</f>
        <v>OAE - Obra de Arte Especial</v>
      </c>
      <c r="AW3471" s="4" t="str">
        <f t="shared" si="13797"/>
        <v>Pilar P04 -Montagem de formas e escoramento - 1ª etapa</v>
      </c>
    </row>
    <row r="3472" spans="1:50" ht="14.65" customHeight="1" outlineLevel="2">
      <c r="A3472" s="604" t="str">
        <f>IF(SUM(P3472:V3473)&gt;0,"S","N")</f>
        <v>S</v>
      </c>
      <c r="B3472" s="599"/>
      <c r="C3472" s="599">
        <v>0</v>
      </c>
      <c r="D3472" s="124"/>
      <c r="E3472" s="846" t="s">
        <v>3813</v>
      </c>
      <c r="F3472" s="853" t="s">
        <v>3763</v>
      </c>
      <c r="G3472" s="40"/>
      <c r="H3472" s="600" t="s">
        <v>37</v>
      </c>
      <c r="I3472" s="504"/>
      <c r="J3472" s="849" t="str">
        <f t="shared" ref="J3472" si="13811">IFERROR((I3473/I3472),"-")</f>
        <v>-</v>
      </c>
      <c r="K3472" s="40"/>
      <c r="L3472" s="600" t="s">
        <v>37</v>
      </c>
      <c r="M3472" s="504" t="str">
        <f t="shared" si="13714"/>
        <v>x</v>
      </c>
      <c r="N3472" s="849" t="str">
        <f t="shared" ref="N3472" si="13812">IFERROR((M3473/M3472),"-")</f>
        <v>-</v>
      </c>
      <c r="O3472" s="40"/>
      <c r="P3472" s="602"/>
      <c r="Q3472" s="602" t="s">
        <v>176</v>
      </c>
      <c r="R3472" s="602">
        <v>1</v>
      </c>
      <c r="S3472" s="602"/>
      <c r="T3472" s="602"/>
      <c r="U3472" s="698"/>
      <c r="V3472" s="602"/>
      <c r="W3472" s="40"/>
      <c r="X3472" s="504">
        <f t="shared" si="13716"/>
        <v>0</v>
      </c>
      <c r="Y3472" s="849" t="str">
        <f>IFERROR((X3473/X3472),"-")</f>
        <v>-</v>
      </c>
      <c r="Z3472" s="40"/>
      <c r="AA3472" s="855"/>
      <c r="AB3472" s="855"/>
      <c r="AC3472" s="855"/>
      <c r="AD3472" s="762" t="str">
        <f t="shared" ref="AD3472" si="13813">IFERROR((AC3472/AA3472),"-")</f>
        <v>-</v>
      </c>
      <c r="AE3472" s="40"/>
      <c r="AF3472" s="855"/>
      <c r="AG3472" s="855"/>
      <c r="AH3472" s="855"/>
      <c r="AI3472" s="855"/>
      <c r="AJ3472" s="855"/>
      <c r="AK3472" s="855"/>
      <c r="AL3472" s="855"/>
      <c r="AM3472" s="849"/>
      <c r="AN3472" s="40"/>
      <c r="AO3472" s="858"/>
      <c r="AP3472" s="855"/>
      <c r="AV3472" t="str">
        <f t="shared" si="13810"/>
        <v>OAE - Obra de Arte Especial</v>
      </c>
      <c r="AW3472" s="4" t="str">
        <f t="shared" si="13797"/>
        <v>Pilar P04 - Aplicação de concreto estrutural - base</v>
      </c>
    </row>
    <row r="3473" spans="1:50" ht="27.95" customHeight="1" outlineLevel="2">
      <c r="A3473" s="604" t="str">
        <f>A3472</f>
        <v>S</v>
      </c>
      <c r="B3473" s="599"/>
      <c r="C3473" s="599"/>
      <c r="D3473" s="124"/>
      <c r="E3473" s="847"/>
      <c r="F3473" s="854"/>
      <c r="G3473" s="40"/>
      <c r="H3473" s="603" t="s">
        <v>38</v>
      </c>
      <c r="I3473" s="504"/>
      <c r="J3473" s="850"/>
      <c r="K3473" s="40"/>
      <c r="L3473" s="603" t="s">
        <v>38</v>
      </c>
      <c r="M3473" s="504">
        <f t="shared" si="13714"/>
        <v>0</v>
      </c>
      <c r="N3473" s="850"/>
      <c r="O3473" s="40"/>
      <c r="P3473" s="602"/>
      <c r="Q3473" s="602"/>
      <c r="R3473" s="602"/>
      <c r="S3473" s="602"/>
      <c r="T3473" s="602"/>
      <c r="U3473" s="602"/>
      <c r="V3473" s="602"/>
      <c r="W3473" s="40"/>
      <c r="X3473" s="504">
        <f t="shared" si="13716"/>
        <v>0</v>
      </c>
      <c r="Y3473" s="850"/>
      <c r="Z3473" s="40"/>
      <c r="AA3473" s="856"/>
      <c r="AB3473" s="856"/>
      <c r="AC3473" s="856"/>
      <c r="AD3473" s="763"/>
      <c r="AE3473" s="40"/>
      <c r="AF3473" s="856"/>
      <c r="AG3473" s="856"/>
      <c r="AH3473" s="856"/>
      <c r="AI3473" s="856"/>
      <c r="AJ3473" s="856"/>
      <c r="AK3473" s="856"/>
      <c r="AL3473" s="856"/>
      <c r="AM3473" s="850"/>
      <c r="AN3473" s="40"/>
      <c r="AO3473" s="857"/>
      <c r="AP3473" s="857"/>
      <c r="AT3473" s="4"/>
      <c r="AU3473" s="4"/>
      <c r="AV3473" s="4" t="str">
        <f t="shared" si="13810"/>
        <v>OAE - Obra de Arte Especial</v>
      </c>
      <c r="AW3473" s="4" t="str">
        <f t="shared" si="13797"/>
        <v>Pilar P04 - Aplicação de concreto estrutural - base</v>
      </c>
      <c r="AX3473" s="4"/>
    </row>
    <row r="3474" spans="1:50" ht="27.95" customHeight="1" outlineLevel="2">
      <c r="A3474" s="604" t="str">
        <f>IF(SUM(P3474:V3475)&gt;0,"S","N")</f>
        <v>S</v>
      </c>
      <c r="B3474" s="599"/>
      <c r="C3474" s="599">
        <v>0</v>
      </c>
      <c r="D3474" s="124"/>
      <c r="E3474" s="846" t="s">
        <v>3814</v>
      </c>
      <c r="F3474" s="853" t="s">
        <v>3763</v>
      </c>
      <c r="G3474" s="40"/>
      <c r="H3474" s="600" t="s">
        <v>37</v>
      </c>
      <c r="I3474" s="504"/>
      <c r="J3474" s="849" t="str">
        <f t="shared" ref="J3474" si="13814">IFERROR((I3475/I3474),"-")</f>
        <v>-</v>
      </c>
      <c r="K3474" s="40"/>
      <c r="L3474" s="600" t="s">
        <v>37</v>
      </c>
      <c r="M3474" s="504">
        <f t="shared" si="13714"/>
        <v>0</v>
      </c>
      <c r="N3474" s="849" t="str">
        <f t="shared" ref="N3474" si="13815">IFERROR((M3475/M3474),"-")</f>
        <v>-</v>
      </c>
      <c r="O3474" s="40"/>
      <c r="P3474" s="602"/>
      <c r="Q3474" s="602"/>
      <c r="R3474" s="602"/>
      <c r="S3474" s="602"/>
      <c r="T3474" s="602"/>
      <c r="U3474" s="698">
        <v>1</v>
      </c>
      <c r="V3474" s="602"/>
      <c r="W3474" s="40"/>
      <c r="X3474" s="504">
        <f t="shared" si="13716"/>
        <v>0</v>
      </c>
      <c r="Y3474" s="849" t="str">
        <f>IFERROR((X3475/X3474),"-")</f>
        <v>-</v>
      </c>
      <c r="Z3474" s="40"/>
      <c r="AA3474" s="855"/>
      <c r="AB3474" s="855"/>
      <c r="AC3474" s="855"/>
      <c r="AD3474" s="762" t="str">
        <f t="shared" ref="AD3474" si="13816">IFERROR((AC3474/AA3474),"-")</f>
        <v>-</v>
      </c>
      <c r="AE3474" s="40"/>
      <c r="AF3474" s="855"/>
      <c r="AG3474" s="855"/>
      <c r="AH3474" s="855"/>
      <c r="AI3474" s="855"/>
      <c r="AJ3474" s="855"/>
      <c r="AK3474" s="855"/>
      <c r="AL3474" s="855"/>
      <c r="AM3474" s="849"/>
      <c r="AN3474" s="40"/>
      <c r="AO3474" s="858"/>
      <c r="AP3474" s="855"/>
      <c r="AV3474" t="str">
        <f t="shared" ref="AV3474:AV3477" si="13817">IF(AX3474="Y",LEFT(E3474,20),IF(AX3474="x",E3474,AV3473))</f>
        <v>OAE - Obra de Arte Especial</v>
      </c>
      <c r="AW3474" s="4" t="str">
        <f t="shared" ref="AW3474:AW3477" si="13818">IF(E3474&lt;&gt;"",E3474,AW3473)</f>
        <v>Pilar P04 - Aplicação de concreto estrutural - 1ª etapa</v>
      </c>
    </row>
    <row r="3475" spans="1:50" ht="15.75" outlineLevel="2">
      <c r="A3475" s="604" t="str">
        <f>A3474</f>
        <v>S</v>
      </c>
      <c r="B3475" s="599"/>
      <c r="C3475" s="599"/>
      <c r="D3475" s="124"/>
      <c r="E3475" s="847"/>
      <c r="F3475" s="854"/>
      <c r="G3475" s="40"/>
      <c r="H3475" s="603" t="s">
        <v>38</v>
      </c>
      <c r="I3475" s="504"/>
      <c r="J3475" s="850"/>
      <c r="K3475" s="40"/>
      <c r="L3475" s="603" t="s">
        <v>38</v>
      </c>
      <c r="M3475" s="504">
        <f t="shared" si="13714"/>
        <v>0</v>
      </c>
      <c r="N3475" s="850"/>
      <c r="O3475" s="40"/>
      <c r="P3475" s="602"/>
      <c r="Q3475" s="602"/>
      <c r="R3475" s="602"/>
      <c r="S3475" s="602"/>
      <c r="T3475" s="602"/>
      <c r="U3475" s="602"/>
      <c r="V3475" s="602"/>
      <c r="W3475" s="40"/>
      <c r="X3475" s="504">
        <f t="shared" si="13716"/>
        <v>0</v>
      </c>
      <c r="Y3475" s="850"/>
      <c r="Z3475" s="40"/>
      <c r="AA3475" s="856"/>
      <c r="AB3475" s="856"/>
      <c r="AC3475" s="856"/>
      <c r="AD3475" s="763"/>
      <c r="AE3475" s="40"/>
      <c r="AF3475" s="856"/>
      <c r="AG3475" s="856"/>
      <c r="AH3475" s="856"/>
      <c r="AI3475" s="856"/>
      <c r="AJ3475" s="856"/>
      <c r="AK3475" s="856"/>
      <c r="AL3475" s="856"/>
      <c r="AM3475" s="850"/>
      <c r="AN3475" s="40"/>
      <c r="AO3475" s="857"/>
      <c r="AP3475" s="857"/>
      <c r="AV3475" t="str">
        <f t="shared" si="13817"/>
        <v>OAE - Obra de Arte Especial</v>
      </c>
      <c r="AW3475" s="4" t="str">
        <f t="shared" si="13818"/>
        <v>Pilar P04 - Aplicação de concreto estrutural - 1ª etapa</v>
      </c>
    </row>
    <row r="3476" spans="1:50" ht="15.75" outlineLevel="2">
      <c r="A3476" s="598" t="str">
        <f t="shared" ref="A3476" si="13819">IF(SUM(P3476:V3477)&gt;0,"S","N")</f>
        <v>N</v>
      </c>
      <c r="B3476" s="599"/>
      <c r="C3476" s="599">
        <v>0</v>
      </c>
      <c r="D3476" s="124"/>
      <c r="E3476" s="846" t="s">
        <v>3815</v>
      </c>
      <c r="F3476" s="853" t="s">
        <v>3763</v>
      </c>
      <c r="G3476" s="40"/>
      <c r="H3476" s="600" t="s">
        <v>37</v>
      </c>
      <c r="I3476" s="504"/>
      <c r="J3476" s="849" t="str">
        <f t="shared" ref="J3476" si="13820">IFERROR((I3477/I3476),"-")</f>
        <v>-</v>
      </c>
      <c r="K3476" s="40"/>
      <c r="L3476" s="600" t="s">
        <v>37</v>
      </c>
      <c r="M3476" s="504">
        <f t="shared" si="13714"/>
        <v>0</v>
      </c>
      <c r="N3476" s="849" t="str">
        <f t="shared" ref="N3476" si="13821">IFERROR((M3477/M3476),"-")</f>
        <v>-</v>
      </c>
      <c r="O3476" s="40"/>
      <c r="P3476" s="602"/>
      <c r="Q3476" s="698"/>
      <c r="R3476" s="699"/>
      <c r="S3476" s="602"/>
      <c r="T3476" s="602"/>
      <c r="U3476" s="602"/>
      <c r="V3476" s="602"/>
      <c r="W3476" s="40"/>
      <c r="X3476" s="504">
        <f t="shared" si="13716"/>
        <v>0</v>
      </c>
      <c r="Y3476" s="849" t="str">
        <f>IFERROR((X3477/X3476),"-")</f>
        <v>-</v>
      </c>
      <c r="Z3476" s="40"/>
      <c r="AA3476" s="855"/>
      <c r="AB3476" s="855"/>
      <c r="AC3476" s="855"/>
      <c r="AD3476" s="762" t="str">
        <f t="shared" ref="AD3476" si="13822">IFERROR((AC3476/AA3476),"-")</f>
        <v>-</v>
      </c>
      <c r="AE3476" s="40"/>
      <c r="AF3476" s="855"/>
      <c r="AG3476" s="855"/>
      <c r="AH3476" s="855"/>
      <c r="AI3476" s="855"/>
      <c r="AJ3476" s="855"/>
      <c r="AK3476" s="855"/>
      <c r="AL3476" s="855"/>
      <c r="AM3476" s="849"/>
      <c r="AN3476" s="40"/>
      <c r="AO3476" s="855"/>
      <c r="AP3476" s="855"/>
      <c r="AV3476" t="str">
        <f t="shared" si="13817"/>
        <v>OAE - Obra de Arte Especial</v>
      </c>
      <c r="AW3476" s="4" t="str">
        <f t="shared" si="13818"/>
        <v>Bloco de Apoio P3 - Aplicação de concreto de regularização</v>
      </c>
    </row>
    <row r="3477" spans="1:50" ht="15.75" outlineLevel="2">
      <c r="A3477" s="598" t="str">
        <f>A3476</f>
        <v>N</v>
      </c>
      <c r="B3477" s="599"/>
      <c r="C3477" s="599"/>
      <c r="D3477" s="124"/>
      <c r="E3477" s="847"/>
      <c r="F3477" s="854"/>
      <c r="G3477" s="40"/>
      <c r="H3477" s="603" t="s">
        <v>38</v>
      </c>
      <c r="I3477" s="504"/>
      <c r="J3477" s="850"/>
      <c r="K3477" s="40"/>
      <c r="L3477" s="603" t="s">
        <v>38</v>
      </c>
      <c r="M3477" s="504">
        <f t="shared" si="13714"/>
        <v>0</v>
      </c>
      <c r="N3477" s="850"/>
      <c r="O3477" s="40"/>
      <c r="P3477" s="602"/>
      <c r="Q3477" s="602"/>
      <c r="R3477" s="602"/>
      <c r="S3477" s="602"/>
      <c r="T3477" s="602"/>
      <c r="U3477" s="602"/>
      <c r="V3477" s="602"/>
      <c r="W3477" s="40"/>
      <c r="X3477" s="504">
        <f t="shared" si="13716"/>
        <v>0</v>
      </c>
      <c r="Y3477" s="850"/>
      <c r="Z3477" s="40"/>
      <c r="AA3477" s="856"/>
      <c r="AB3477" s="856"/>
      <c r="AC3477" s="856"/>
      <c r="AD3477" s="763"/>
      <c r="AE3477" s="40"/>
      <c r="AF3477" s="856"/>
      <c r="AG3477" s="856"/>
      <c r="AH3477" s="856"/>
      <c r="AI3477" s="856"/>
      <c r="AJ3477" s="856"/>
      <c r="AK3477" s="856"/>
      <c r="AL3477" s="856"/>
      <c r="AM3477" s="850"/>
      <c r="AN3477" s="40"/>
      <c r="AO3477" s="856"/>
      <c r="AP3477" s="857"/>
      <c r="AV3477" t="str">
        <f t="shared" si="13817"/>
        <v>OAE - Obra de Arte Especial</v>
      </c>
      <c r="AW3477" s="4" t="str">
        <f t="shared" si="13818"/>
        <v>Bloco de Apoio P3 - Aplicação de concreto de regularização</v>
      </c>
    </row>
    <row r="3478" spans="1:50" ht="15.75" outlineLevel="2">
      <c r="A3478" s="598" t="str">
        <f t="shared" ref="A3478" si="13823">IF(SUM(P3478:V3479)&gt;0,"S","N")</f>
        <v>S</v>
      </c>
      <c r="B3478" s="599"/>
      <c r="C3478" s="599">
        <v>0</v>
      </c>
      <c r="D3478" s="124"/>
      <c r="E3478" s="846" t="s">
        <v>3816</v>
      </c>
      <c r="F3478" s="853" t="s">
        <v>3763</v>
      </c>
      <c r="G3478" s="40"/>
      <c r="H3478" s="600" t="s">
        <v>37</v>
      </c>
      <c r="I3478" s="504"/>
      <c r="J3478" s="849" t="str">
        <f t="shared" ref="J3478" si="13824">IFERROR((I3479/I3478),"-")</f>
        <v>-</v>
      </c>
      <c r="K3478" s="40"/>
      <c r="L3478" s="600" t="s">
        <v>37</v>
      </c>
      <c r="M3478" s="504" t="str">
        <f t="shared" si="13714"/>
        <v>x</v>
      </c>
      <c r="N3478" s="849" t="str">
        <f t="shared" ref="N3478" si="13825">IFERROR((M3479/M3478),"-")</f>
        <v>-</v>
      </c>
      <c r="O3478" s="40"/>
      <c r="P3478" s="602" t="s">
        <v>176</v>
      </c>
      <c r="Q3478" s="698" t="s">
        <v>176</v>
      </c>
      <c r="R3478" s="699">
        <v>1</v>
      </c>
      <c r="S3478" s="602"/>
      <c r="T3478" s="602"/>
      <c r="U3478" s="602"/>
      <c r="V3478" s="602"/>
      <c r="W3478" s="40"/>
      <c r="X3478" s="504">
        <f t="shared" si="13716"/>
        <v>0</v>
      </c>
      <c r="Y3478" s="849" t="str">
        <f>IFERROR((X3479/X3478),"-")</f>
        <v>-</v>
      </c>
      <c r="Z3478" s="40"/>
      <c r="AA3478" s="855"/>
      <c r="AB3478" s="855"/>
      <c r="AC3478" s="855"/>
      <c r="AD3478" s="762" t="str">
        <f t="shared" ref="AD3478" si="13826">IFERROR((AC3478/AA3478),"-")</f>
        <v>-</v>
      </c>
      <c r="AE3478" s="40"/>
      <c r="AF3478" s="855"/>
      <c r="AG3478" s="855"/>
      <c r="AH3478" s="855"/>
      <c r="AI3478" s="855"/>
      <c r="AJ3478" s="855"/>
      <c r="AK3478" s="855"/>
      <c r="AL3478" s="855"/>
      <c r="AM3478" s="849"/>
      <c r="AN3478" s="40"/>
      <c r="AO3478" s="855"/>
      <c r="AP3478" s="855"/>
      <c r="AV3478" t="str">
        <f t="shared" ref="AV3478:AV3485" si="13827">IF(AX3478="Y",LEFT(E3478,20),IF(AX3478="x",E3478,AV3477))</f>
        <v>OAE - Obra de Arte Especial</v>
      </c>
      <c r="AW3478" s="4" t="str">
        <f t="shared" ref="AW3478:AW3485" si="13828">IF(E3478&lt;&gt;"",E3478,AW3477)</f>
        <v>Bloco de Apoio P3 - Execução de armação</v>
      </c>
    </row>
    <row r="3479" spans="1:50" ht="15.75" outlineLevel="2">
      <c r="A3479" s="598" t="str">
        <f>A3478</f>
        <v>S</v>
      </c>
      <c r="B3479" s="599"/>
      <c r="C3479" s="599"/>
      <c r="D3479" s="124"/>
      <c r="E3479" s="847"/>
      <c r="F3479" s="854"/>
      <c r="G3479" s="40"/>
      <c r="H3479" s="603" t="s">
        <v>38</v>
      </c>
      <c r="I3479" s="504"/>
      <c r="J3479" s="850"/>
      <c r="K3479" s="40"/>
      <c r="L3479" s="603" t="s">
        <v>38</v>
      </c>
      <c r="M3479" s="504">
        <f t="shared" si="13714"/>
        <v>0</v>
      </c>
      <c r="N3479" s="850"/>
      <c r="O3479" s="40"/>
      <c r="P3479" s="602"/>
      <c r="Q3479" s="602"/>
      <c r="R3479" s="602"/>
      <c r="S3479" s="602"/>
      <c r="T3479" s="602"/>
      <c r="U3479" s="602"/>
      <c r="V3479" s="602"/>
      <c r="W3479" s="40"/>
      <c r="X3479" s="504">
        <f t="shared" si="13716"/>
        <v>0</v>
      </c>
      <c r="Y3479" s="850"/>
      <c r="Z3479" s="40"/>
      <c r="AA3479" s="856"/>
      <c r="AB3479" s="856"/>
      <c r="AC3479" s="856"/>
      <c r="AD3479" s="763"/>
      <c r="AE3479" s="40"/>
      <c r="AF3479" s="856"/>
      <c r="AG3479" s="856"/>
      <c r="AH3479" s="856"/>
      <c r="AI3479" s="856"/>
      <c r="AJ3479" s="856"/>
      <c r="AK3479" s="856"/>
      <c r="AL3479" s="856"/>
      <c r="AM3479" s="850"/>
      <c r="AN3479" s="40"/>
      <c r="AO3479" s="856"/>
      <c r="AP3479" s="857"/>
      <c r="AV3479" t="str">
        <f t="shared" si="13827"/>
        <v>OAE - Obra de Arte Especial</v>
      </c>
      <c r="AW3479" s="4" t="str">
        <f t="shared" si="13828"/>
        <v>Bloco de Apoio P3 - Execução de armação</v>
      </c>
    </row>
    <row r="3480" spans="1:50" ht="15.75" outlineLevel="2">
      <c r="A3480" s="598" t="str">
        <f t="shared" ref="A3480" si="13829">IF(SUM(P3480:V3481)&gt;0,"S","N")</f>
        <v>S</v>
      </c>
      <c r="B3480" s="599"/>
      <c r="C3480" s="599">
        <v>0</v>
      </c>
      <c r="D3480" s="124"/>
      <c r="E3480" s="846" t="s">
        <v>3817</v>
      </c>
      <c r="F3480" s="853" t="s">
        <v>3763</v>
      </c>
      <c r="G3480" s="40"/>
      <c r="H3480" s="600" t="s">
        <v>37</v>
      </c>
      <c r="I3480" s="504"/>
      <c r="J3480" s="849" t="str">
        <f t="shared" ref="J3480" si="13830">IFERROR((I3481/I3480),"-")</f>
        <v>-</v>
      </c>
      <c r="K3480" s="40"/>
      <c r="L3480" s="600" t="s">
        <v>37</v>
      </c>
      <c r="M3480" s="504" t="str">
        <f t="shared" si="13714"/>
        <v>x</v>
      </c>
      <c r="N3480" s="849" t="str">
        <f t="shared" ref="N3480" si="13831">IFERROR((M3481/M3480),"-")</f>
        <v>-</v>
      </c>
      <c r="O3480" s="40"/>
      <c r="P3480" s="602" t="s">
        <v>176</v>
      </c>
      <c r="Q3480" s="148" t="s">
        <v>176</v>
      </c>
      <c r="R3480" s="240">
        <v>1</v>
      </c>
      <c r="S3480" s="699"/>
      <c r="T3480" s="698"/>
      <c r="U3480" s="698"/>
      <c r="V3480" s="602"/>
      <c r="W3480" s="40"/>
      <c r="X3480" s="504">
        <f t="shared" si="13716"/>
        <v>0</v>
      </c>
      <c r="Y3480" s="849" t="str">
        <f>IFERROR((X3481/X3480),"-")</f>
        <v>-</v>
      </c>
      <c r="Z3480" s="40"/>
      <c r="AA3480" s="855"/>
      <c r="AB3480" s="855"/>
      <c r="AC3480" s="855"/>
      <c r="AD3480" s="762" t="str">
        <f t="shared" ref="AD3480" si="13832">IFERROR((AC3480/AA3480),"-")</f>
        <v>-</v>
      </c>
      <c r="AE3480" s="40"/>
      <c r="AF3480" s="855"/>
      <c r="AG3480" s="855"/>
      <c r="AH3480" s="855"/>
      <c r="AI3480" s="855"/>
      <c r="AJ3480" s="855"/>
      <c r="AK3480" s="855"/>
      <c r="AL3480" s="855"/>
      <c r="AM3480" s="849"/>
      <c r="AN3480" s="40"/>
      <c r="AO3480" s="855"/>
      <c r="AP3480" s="855"/>
      <c r="AV3480" s="4" t="str">
        <f t="shared" si="13827"/>
        <v>OAE - Obra de Arte Especial</v>
      </c>
      <c r="AW3480" s="4" t="str">
        <f t="shared" si="13828"/>
        <v>Bloco de Apoio P3 -Montagem de Andaime</v>
      </c>
      <c r="AX3480" s="4"/>
    </row>
    <row r="3481" spans="1:50" ht="15.75" outlineLevel="2">
      <c r="A3481" s="598" t="str">
        <f>A3480</f>
        <v>S</v>
      </c>
      <c r="B3481" s="599"/>
      <c r="C3481" s="599"/>
      <c r="D3481" s="124"/>
      <c r="E3481" s="847"/>
      <c r="F3481" s="854"/>
      <c r="G3481" s="40"/>
      <c r="H3481" s="603" t="s">
        <v>38</v>
      </c>
      <c r="I3481" s="504"/>
      <c r="J3481" s="850"/>
      <c r="K3481" s="40"/>
      <c r="L3481" s="603" t="s">
        <v>38</v>
      </c>
      <c r="M3481" s="504">
        <f t="shared" si="13714"/>
        <v>0</v>
      </c>
      <c r="N3481" s="850"/>
      <c r="O3481" s="40"/>
      <c r="P3481" s="602"/>
      <c r="Q3481" s="602"/>
      <c r="R3481" s="602"/>
      <c r="S3481" s="602"/>
      <c r="T3481" s="602"/>
      <c r="U3481" s="602"/>
      <c r="V3481" s="602"/>
      <c r="W3481" s="40"/>
      <c r="X3481" s="504">
        <f t="shared" si="13716"/>
        <v>0</v>
      </c>
      <c r="Y3481" s="850"/>
      <c r="Z3481" s="40"/>
      <c r="AA3481" s="856"/>
      <c r="AB3481" s="856"/>
      <c r="AC3481" s="856"/>
      <c r="AD3481" s="763"/>
      <c r="AE3481" s="40"/>
      <c r="AF3481" s="856"/>
      <c r="AG3481" s="856"/>
      <c r="AH3481" s="856"/>
      <c r="AI3481" s="856"/>
      <c r="AJ3481" s="856"/>
      <c r="AK3481" s="856"/>
      <c r="AL3481" s="856"/>
      <c r="AM3481" s="850"/>
      <c r="AN3481" s="40"/>
      <c r="AO3481" s="856"/>
      <c r="AP3481" s="857"/>
      <c r="AV3481" s="4" t="str">
        <f t="shared" si="13827"/>
        <v>OAE - Obra de Arte Especial</v>
      </c>
      <c r="AW3481" s="4" t="str">
        <f t="shared" si="13828"/>
        <v>Bloco de Apoio P3 -Montagem de Andaime</v>
      </c>
      <c r="AX3481" s="4"/>
    </row>
    <row r="3482" spans="1:50" ht="15.75" outlineLevel="1">
      <c r="A3482" s="598" t="str">
        <f t="shared" ref="A3482" si="13833">IF(SUM(P3482:V3483)&gt;0,"S","N")</f>
        <v>S</v>
      </c>
      <c r="B3482" s="599"/>
      <c r="C3482" s="599">
        <v>0</v>
      </c>
      <c r="D3482" s="124"/>
      <c r="E3482" s="846" t="s">
        <v>3818</v>
      </c>
      <c r="F3482" s="853" t="s">
        <v>3763</v>
      </c>
      <c r="G3482" s="40"/>
      <c r="H3482" s="600" t="s">
        <v>37</v>
      </c>
      <c r="I3482" s="504"/>
      <c r="J3482" s="849" t="str">
        <f t="shared" ref="J3482" si="13834">IFERROR((I3483/I3482),"-")</f>
        <v>-</v>
      </c>
      <c r="K3482" s="40"/>
      <c r="L3482" s="600" t="s">
        <v>37</v>
      </c>
      <c r="M3482" s="504">
        <f t="shared" si="13714"/>
        <v>0</v>
      </c>
      <c r="N3482" s="849" t="str">
        <f t="shared" ref="N3482" si="13835">IFERROR((M3483/M3482),"-")</f>
        <v>-</v>
      </c>
      <c r="O3482" s="40"/>
      <c r="P3482" s="602"/>
      <c r="Q3482" s="602"/>
      <c r="R3482" s="602" t="s">
        <v>176</v>
      </c>
      <c r="S3482" s="699" t="s">
        <v>176</v>
      </c>
      <c r="T3482" s="698">
        <v>1</v>
      </c>
      <c r="U3482" s="698"/>
      <c r="V3482" s="602"/>
      <c r="W3482" s="40"/>
      <c r="X3482" s="504">
        <f t="shared" si="13716"/>
        <v>0</v>
      </c>
      <c r="Y3482" s="849" t="str">
        <f>IFERROR((X3483/X3482),"-")</f>
        <v>-</v>
      </c>
      <c r="Z3482" s="40"/>
      <c r="AA3482" s="855"/>
      <c r="AB3482" s="855"/>
      <c r="AC3482" s="855"/>
      <c r="AD3482" s="762" t="str">
        <f t="shared" ref="AD3482" si="13836">IFERROR((AC3482/AA3482),"-")</f>
        <v>-</v>
      </c>
      <c r="AE3482" s="40"/>
      <c r="AF3482" s="855"/>
      <c r="AG3482" s="855"/>
      <c r="AH3482" s="855"/>
      <c r="AI3482" s="855"/>
      <c r="AJ3482" s="855"/>
      <c r="AK3482" s="855"/>
      <c r="AL3482" s="855"/>
      <c r="AM3482" s="849"/>
      <c r="AN3482" s="40"/>
      <c r="AO3482" s="855"/>
      <c r="AP3482" s="855"/>
      <c r="AV3482" s="4" t="str">
        <f t="shared" si="13827"/>
        <v>OAE - Obra de Arte Especial</v>
      </c>
      <c r="AW3482" s="4" t="str">
        <f t="shared" si="13828"/>
        <v>Bloco de Apoio P3 -Montagem de formas e escoramento 1° etapa</v>
      </c>
      <c r="AX3482" s="4"/>
    </row>
    <row r="3483" spans="1:50" ht="15.75" outlineLevel="1">
      <c r="A3483" s="598" t="str">
        <f>A3482</f>
        <v>S</v>
      </c>
      <c r="B3483" s="599"/>
      <c r="C3483" s="599"/>
      <c r="D3483" s="124"/>
      <c r="E3483" s="847"/>
      <c r="F3483" s="854"/>
      <c r="G3483" s="40"/>
      <c r="H3483" s="603" t="s">
        <v>38</v>
      </c>
      <c r="I3483" s="504"/>
      <c r="J3483" s="850"/>
      <c r="K3483" s="40"/>
      <c r="L3483" s="603" t="s">
        <v>38</v>
      </c>
      <c r="M3483" s="504">
        <f t="shared" si="13714"/>
        <v>0</v>
      </c>
      <c r="N3483" s="850"/>
      <c r="O3483" s="40"/>
      <c r="P3483" s="602"/>
      <c r="Q3483" s="602"/>
      <c r="R3483" s="602"/>
      <c r="S3483" s="602"/>
      <c r="T3483" s="602"/>
      <c r="U3483" s="602"/>
      <c r="V3483" s="602"/>
      <c r="W3483" s="40"/>
      <c r="X3483" s="504">
        <f t="shared" si="13716"/>
        <v>0</v>
      </c>
      <c r="Y3483" s="850"/>
      <c r="Z3483" s="40"/>
      <c r="AA3483" s="856"/>
      <c r="AB3483" s="856"/>
      <c r="AC3483" s="856"/>
      <c r="AD3483" s="763"/>
      <c r="AE3483" s="40"/>
      <c r="AF3483" s="856"/>
      <c r="AG3483" s="856"/>
      <c r="AH3483" s="856"/>
      <c r="AI3483" s="856"/>
      <c r="AJ3483" s="856"/>
      <c r="AK3483" s="856"/>
      <c r="AL3483" s="856"/>
      <c r="AM3483" s="850"/>
      <c r="AN3483" s="40"/>
      <c r="AO3483" s="856"/>
      <c r="AP3483" s="857"/>
      <c r="AV3483" t="str">
        <f t="shared" si="13827"/>
        <v>OAE - Obra de Arte Especial</v>
      </c>
      <c r="AW3483" s="4" t="str">
        <f t="shared" si="13828"/>
        <v>Bloco de Apoio P3 -Montagem de formas e escoramento 1° etapa</v>
      </c>
    </row>
    <row r="3484" spans="1:50" ht="15.75" outlineLevel="1">
      <c r="A3484" s="604" t="str">
        <f>IF(SUM(P3484:V3485)&gt;0,"S","N")</f>
        <v>S</v>
      </c>
      <c r="B3484" s="599"/>
      <c r="C3484" s="599">
        <v>0</v>
      </c>
      <c r="D3484" s="124"/>
      <c r="E3484" s="846" t="s">
        <v>3819</v>
      </c>
      <c r="F3484" s="853" t="s">
        <v>3763</v>
      </c>
      <c r="G3484" s="40"/>
      <c r="H3484" s="600" t="s">
        <v>37</v>
      </c>
      <c r="I3484" s="504"/>
      <c r="J3484" s="849" t="str">
        <f t="shared" ref="J3484" si="13837">IFERROR((I3485/I3484),"-")</f>
        <v>-</v>
      </c>
      <c r="K3484" s="40"/>
      <c r="L3484" s="600" t="s">
        <v>37</v>
      </c>
      <c r="M3484" s="504">
        <f t="shared" si="13714"/>
        <v>0</v>
      </c>
      <c r="N3484" s="849" t="str">
        <f t="shared" ref="N3484" si="13838">IFERROR((M3485/M3484),"-")</f>
        <v>-</v>
      </c>
      <c r="O3484" s="40"/>
      <c r="P3484" s="602"/>
      <c r="Q3484" s="602"/>
      <c r="R3484" s="602"/>
      <c r="S3484" s="602"/>
      <c r="T3484" s="602"/>
      <c r="U3484" s="698">
        <v>1</v>
      </c>
      <c r="V3484" s="602"/>
      <c r="W3484" s="40"/>
      <c r="X3484" s="504">
        <f t="shared" si="13716"/>
        <v>0</v>
      </c>
      <c r="Y3484" s="849" t="str">
        <f>IFERROR((X3485/X3484),"-")</f>
        <v>-</v>
      </c>
      <c r="Z3484" s="40"/>
      <c r="AA3484" s="855"/>
      <c r="AB3484" s="855"/>
      <c r="AC3484" s="855"/>
      <c r="AD3484" s="762" t="str">
        <f t="shared" ref="AD3484" si="13839">IFERROR((AC3484/AA3484),"-")</f>
        <v>-</v>
      </c>
      <c r="AE3484" s="40"/>
      <c r="AF3484" s="855"/>
      <c r="AG3484" s="855"/>
      <c r="AH3484" s="855"/>
      <c r="AI3484" s="855"/>
      <c r="AJ3484" s="855"/>
      <c r="AK3484" s="855"/>
      <c r="AL3484" s="855"/>
      <c r="AM3484" s="849"/>
      <c r="AN3484" s="40"/>
      <c r="AO3484" s="858"/>
      <c r="AP3484" s="855"/>
      <c r="AV3484" t="str">
        <f t="shared" si="13827"/>
        <v>OAE - Obra de Arte Especial</v>
      </c>
      <c r="AW3484" s="4" t="str">
        <f t="shared" si="13828"/>
        <v>Bloco de Apoio P3 - Aplicação de concreto estrutural</v>
      </c>
    </row>
    <row r="3485" spans="1:50" ht="15.75" outlineLevel="2">
      <c r="A3485" s="604" t="str">
        <f>A3484</f>
        <v>S</v>
      </c>
      <c r="B3485" s="599"/>
      <c r="C3485" s="599"/>
      <c r="D3485" s="124"/>
      <c r="E3485" s="847"/>
      <c r="F3485" s="854"/>
      <c r="G3485" s="40"/>
      <c r="H3485" s="603" t="s">
        <v>38</v>
      </c>
      <c r="I3485" s="504"/>
      <c r="J3485" s="850"/>
      <c r="K3485" s="40"/>
      <c r="L3485" s="603" t="s">
        <v>38</v>
      </c>
      <c r="M3485" s="504">
        <f t="shared" si="13714"/>
        <v>0</v>
      </c>
      <c r="N3485" s="850"/>
      <c r="O3485" s="40"/>
      <c r="P3485" s="602"/>
      <c r="Q3485" s="602"/>
      <c r="R3485" s="602"/>
      <c r="S3485" s="602"/>
      <c r="T3485" s="602"/>
      <c r="U3485" s="602"/>
      <c r="V3485" s="602"/>
      <c r="W3485" s="40"/>
      <c r="X3485" s="504">
        <f t="shared" si="13716"/>
        <v>0</v>
      </c>
      <c r="Y3485" s="850"/>
      <c r="Z3485" s="40"/>
      <c r="AA3485" s="856"/>
      <c r="AB3485" s="856"/>
      <c r="AC3485" s="856"/>
      <c r="AD3485" s="763"/>
      <c r="AE3485" s="40"/>
      <c r="AF3485" s="856"/>
      <c r="AG3485" s="856"/>
      <c r="AH3485" s="856"/>
      <c r="AI3485" s="856"/>
      <c r="AJ3485" s="856"/>
      <c r="AK3485" s="856"/>
      <c r="AL3485" s="856"/>
      <c r="AM3485" s="850"/>
      <c r="AN3485" s="40"/>
      <c r="AO3485" s="857"/>
      <c r="AP3485" s="857"/>
      <c r="AV3485" t="str">
        <f t="shared" si="13827"/>
        <v>OAE - Obra de Arte Especial</v>
      </c>
      <c r="AW3485" s="4" t="str">
        <f t="shared" si="13828"/>
        <v>Bloco de Apoio P3 - Aplicação de concreto estrutural</v>
      </c>
    </row>
    <row r="3486" spans="1:50" ht="15.75" outlineLevel="2">
      <c r="A3486" s="604" t="str">
        <f>IF(SUM(P3486:V3487)&gt;0,"S","N")</f>
        <v>S</v>
      </c>
      <c r="B3486" s="599"/>
      <c r="C3486" s="599">
        <v>0</v>
      </c>
      <c r="D3486" s="124"/>
      <c r="E3486" s="846" t="s">
        <v>3820</v>
      </c>
      <c r="F3486" s="853" t="s">
        <v>3763</v>
      </c>
      <c r="G3486" s="40"/>
      <c r="H3486" s="600" t="s">
        <v>37</v>
      </c>
      <c r="I3486" s="504"/>
      <c r="J3486" s="849" t="str">
        <f t="shared" ref="J3486" si="13840">IFERROR((I3487/I3486),"-")</f>
        <v>-</v>
      </c>
      <c r="K3486" s="40"/>
      <c r="L3486" s="600" t="s">
        <v>37</v>
      </c>
      <c r="M3486" s="504" t="str">
        <f t="shared" si="13714"/>
        <v>x</v>
      </c>
      <c r="N3486" s="849" t="str">
        <f t="shared" ref="N3486" si="13841">IFERROR((M3487/M3486),"-")</f>
        <v>-</v>
      </c>
      <c r="O3486" s="40"/>
      <c r="P3486" s="602" t="s">
        <v>176</v>
      </c>
      <c r="Q3486" s="602" t="s">
        <v>176</v>
      </c>
      <c r="R3486" s="602" t="s">
        <v>176</v>
      </c>
      <c r="S3486" s="602" t="s">
        <v>176</v>
      </c>
      <c r="T3486" s="602" t="s">
        <v>176</v>
      </c>
      <c r="U3486" s="698">
        <v>1</v>
      </c>
      <c r="V3486" s="602"/>
      <c r="W3486" s="40"/>
      <c r="X3486" s="504">
        <f t="shared" si="13716"/>
        <v>0</v>
      </c>
      <c r="Y3486" s="849" t="str">
        <f>IFERROR((X3487/X3486),"-")</f>
        <v>-</v>
      </c>
      <c r="Z3486" s="40"/>
      <c r="AA3486" s="855"/>
      <c r="AB3486" s="855"/>
      <c r="AC3486" s="855"/>
      <c r="AD3486" s="762" t="str">
        <f t="shared" ref="AD3486" si="13842">IFERROR((AC3486/AA3486),"-")</f>
        <v>-</v>
      </c>
      <c r="AE3486" s="40"/>
      <c r="AF3486" s="855"/>
      <c r="AG3486" s="855"/>
      <c r="AH3486" s="855"/>
      <c r="AI3486" s="855"/>
      <c r="AJ3486" s="855"/>
      <c r="AK3486" s="855"/>
      <c r="AL3486" s="855"/>
      <c r="AM3486" s="849"/>
      <c r="AN3486" s="40"/>
      <c r="AO3486" s="858"/>
      <c r="AP3486" s="855"/>
      <c r="AV3486" t="str">
        <f t="shared" ref="AV3486:AV3506" si="13843">IF(AX3486="Y",LEFT(E3486,20),IF(AX3486="x",E3486,AV3485))</f>
        <v>OAE - Obra de Arte Especial</v>
      </c>
      <c r="AW3486" s="4" t="str">
        <f t="shared" ref="AW3486:AW3506" si="13844">IF(E3486&lt;&gt;"",E3486,AW3485)</f>
        <v>Bloco de Apoio P1/P2/E01 - Emissão de Relatório PIT/PDA e liberação ATO</v>
      </c>
    </row>
    <row r="3487" spans="1:50" ht="15.75" outlineLevel="2">
      <c r="A3487" s="604" t="str">
        <f>A3486</f>
        <v>S</v>
      </c>
      <c r="B3487" s="599"/>
      <c r="C3487" s="599"/>
      <c r="D3487" s="124"/>
      <c r="E3487" s="847"/>
      <c r="F3487" s="854"/>
      <c r="G3487" s="40"/>
      <c r="H3487" s="603" t="s">
        <v>38</v>
      </c>
      <c r="I3487" s="504"/>
      <c r="J3487" s="850"/>
      <c r="K3487" s="40"/>
      <c r="L3487" s="603" t="s">
        <v>38</v>
      </c>
      <c r="M3487" s="504">
        <f t="shared" si="13714"/>
        <v>0</v>
      </c>
      <c r="N3487" s="850"/>
      <c r="O3487" s="40"/>
      <c r="P3487" s="602"/>
      <c r="Q3487" s="602"/>
      <c r="R3487" s="602"/>
      <c r="S3487" s="602"/>
      <c r="T3487" s="602"/>
      <c r="U3487" s="602"/>
      <c r="V3487" s="602"/>
      <c r="W3487" s="40"/>
      <c r="X3487" s="504">
        <f t="shared" si="13716"/>
        <v>0</v>
      </c>
      <c r="Y3487" s="850"/>
      <c r="Z3487" s="40"/>
      <c r="AA3487" s="856"/>
      <c r="AB3487" s="856"/>
      <c r="AC3487" s="856"/>
      <c r="AD3487" s="763"/>
      <c r="AE3487" s="40"/>
      <c r="AF3487" s="856"/>
      <c r="AG3487" s="856"/>
      <c r="AH3487" s="856"/>
      <c r="AI3487" s="856"/>
      <c r="AJ3487" s="856"/>
      <c r="AK3487" s="856"/>
      <c r="AL3487" s="856"/>
      <c r="AM3487" s="850"/>
      <c r="AN3487" s="40"/>
      <c r="AO3487" s="857"/>
      <c r="AP3487" s="857"/>
      <c r="AV3487" t="str">
        <f t="shared" si="13843"/>
        <v>OAE - Obra de Arte Especial</v>
      </c>
      <c r="AW3487" s="4" t="str">
        <f t="shared" si="13844"/>
        <v>Bloco de Apoio P1/P2/E01 - Emissão de Relatório PIT/PDA e liberação ATO</v>
      </c>
    </row>
    <row r="3488" spans="1:50" ht="15.75" outlineLevel="2">
      <c r="A3488" s="604">
        <v>0</v>
      </c>
      <c r="B3488" s="621"/>
      <c r="C3488" s="621"/>
      <c r="D3488" s="613"/>
      <c r="E3488" s="221"/>
      <c r="F3488" s="614"/>
      <c r="G3488" s="221"/>
      <c r="H3488" s="221"/>
      <c r="I3488" s="615"/>
      <c r="J3488" s="221"/>
      <c r="K3488" s="221"/>
      <c r="L3488" s="221"/>
      <c r="M3488" s="615"/>
      <c r="N3488" s="221"/>
      <c r="O3488" s="221"/>
      <c r="P3488" s="616"/>
      <c r="Q3488" s="616"/>
      <c r="R3488" s="616"/>
      <c r="S3488" s="616"/>
      <c r="T3488" s="616"/>
      <c r="U3488" s="616"/>
      <c r="V3488" s="616"/>
      <c r="W3488" s="221"/>
      <c r="X3488" s="617"/>
      <c r="Y3488" s="221"/>
      <c r="Z3488" s="221"/>
      <c r="AA3488" s="615"/>
      <c r="AB3488" s="615"/>
      <c r="AC3488" s="222"/>
      <c r="AD3488" s="221"/>
      <c r="AE3488" s="221"/>
      <c r="AF3488" s="615"/>
      <c r="AG3488" s="615"/>
      <c r="AH3488" s="615"/>
      <c r="AI3488" s="615"/>
      <c r="AJ3488" s="615"/>
      <c r="AK3488" s="615"/>
      <c r="AL3488" s="615"/>
      <c r="AM3488" s="221"/>
      <c r="AN3488" s="221"/>
      <c r="AO3488" s="615"/>
      <c r="AP3488" s="615"/>
      <c r="AV3488" t="str">
        <f t="shared" si="13843"/>
        <v>OAE - Obra de Arte Especial</v>
      </c>
      <c r="AW3488" s="4" t="str">
        <f t="shared" si="13844"/>
        <v>Bloco de Apoio P1/P2/E01 - Emissão de Relatório PIT/PDA e liberação ATO</v>
      </c>
    </row>
    <row r="3489" spans="1:50" ht="18.75" outlineLevel="2">
      <c r="A3489" s="525">
        <v>0</v>
      </c>
      <c r="B3489" s="556"/>
      <c r="C3489" s="556"/>
      <c r="D3489" s="557"/>
      <c r="E3489" s="923" t="s">
        <v>3821</v>
      </c>
      <c r="F3489" s="859"/>
      <c r="G3489" s="528"/>
      <c r="H3489" s="542"/>
      <c r="I3489" s="543"/>
      <c r="J3489" s="860" t="str">
        <f>IFERROR((I3490/I3489),"-")</f>
        <v>-</v>
      </c>
      <c r="K3489" s="528"/>
      <c r="L3489" s="542"/>
      <c r="M3489" s="543"/>
      <c r="N3489" s="860" t="str">
        <f>IFERROR((M3490/M3489),"-")</f>
        <v>-</v>
      </c>
      <c r="O3489" s="528"/>
      <c r="P3489" s="566"/>
      <c r="Q3489" s="566"/>
      <c r="R3489" s="566"/>
      <c r="S3489" s="566"/>
      <c r="T3489" s="566"/>
      <c r="U3489" s="566"/>
      <c r="V3489" s="566"/>
      <c r="W3489" s="528"/>
      <c r="X3489" s="543"/>
      <c r="Y3489" s="860"/>
      <c r="Z3489" s="528"/>
      <c r="AA3489" s="814"/>
      <c r="AB3489" s="814"/>
      <c r="AC3489" s="814"/>
      <c r="AD3489" s="860"/>
      <c r="AE3489" s="528"/>
      <c r="AF3489" s="814"/>
      <c r="AG3489" s="814"/>
      <c r="AH3489" s="814"/>
      <c r="AI3489" s="814"/>
      <c r="AJ3489" s="814"/>
      <c r="AK3489" s="814"/>
      <c r="AL3489" s="814"/>
      <c r="AM3489" s="860"/>
      <c r="AN3489" s="528"/>
      <c r="AO3489" s="814"/>
      <c r="AP3489" s="814"/>
      <c r="AV3489" t="str">
        <f t="shared" si="13843"/>
        <v>OAE - Obra de Arte Especial</v>
      </c>
      <c r="AW3489" s="4" t="str">
        <f t="shared" si="13844"/>
        <v>Ponte Rio Crixás Mirim - Km 154+671 a Km 154+813</v>
      </c>
    </row>
    <row r="3490" spans="1:50" ht="18.75" outlineLevel="2">
      <c r="A3490" s="525">
        <v>0</v>
      </c>
      <c r="B3490" s="556"/>
      <c r="C3490" s="556"/>
      <c r="D3490" s="558"/>
      <c r="E3490" s="923"/>
      <c r="F3490" s="859"/>
      <c r="G3490" s="528"/>
      <c r="H3490" s="544"/>
      <c r="I3490" s="543"/>
      <c r="J3490" s="861"/>
      <c r="K3490" s="528"/>
      <c r="L3490" s="544"/>
      <c r="M3490" s="543"/>
      <c r="N3490" s="861"/>
      <c r="O3490" s="528"/>
      <c r="P3490" s="566"/>
      <c r="Q3490" s="566"/>
      <c r="R3490" s="566"/>
      <c r="S3490" s="566"/>
      <c r="T3490" s="566"/>
      <c r="U3490" s="566"/>
      <c r="V3490" s="566"/>
      <c r="W3490" s="528"/>
      <c r="X3490" s="543"/>
      <c r="Y3490" s="861"/>
      <c r="Z3490" s="528"/>
      <c r="AA3490" s="815"/>
      <c r="AB3490" s="815"/>
      <c r="AC3490" s="814"/>
      <c r="AD3490" s="861"/>
      <c r="AE3490" s="528"/>
      <c r="AF3490" s="815"/>
      <c r="AG3490" s="815"/>
      <c r="AH3490" s="815"/>
      <c r="AI3490" s="815"/>
      <c r="AJ3490" s="815"/>
      <c r="AK3490" s="815"/>
      <c r="AL3490" s="815"/>
      <c r="AM3490" s="861"/>
      <c r="AN3490" s="528"/>
      <c r="AO3490" s="814"/>
      <c r="AP3490" s="814"/>
      <c r="AV3490" t="str">
        <f t="shared" si="13843"/>
        <v>OAE - Obra de Arte Especial</v>
      </c>
      <c r="AW3490" s="4" t="str">
        <f t="shared" si="13844"/>
        <v>Ponte Rio Crixás Mirim - Km 154+671 a Km 154+813</v>
      </c>
    </row>
    <row r="3491" spans="1:50" ht="15.75" outlineLevel="2">
      <c r="A3491" s="598" t="str">
        <f t="shared" ref="A3491" si="13845">IF(SUM(P3491:V3492)&gt;0,"S","N")</f>
        <v>N</v>
      </c>
      <c r="B3491" s="152"/>
      <c r="C3491" s="152"/>
      <c r="D3491" s="124"/>
      <c r="E3491" s="846" t="s">
        <v>3822</v>
      </c>
      <c r="F3491" s="853" t="s">
        <v>3763</v>
      </c>
      <c r="G3491" s="40"/>
      <c r="H3491" s="600" t="s">
        <v>37</v>
      </c>
      <c r="I3491" s="504">
        <v>66</v>
      </c>
      <c r="J3491" s="849"/>
      <c r="K3491" s="40"/>
      <c r="L3491" s="600" t="s">
        <v>37</v>
      </c>
      <c r="M3491" s="504">
        <f t="shared" ref="M3491:M3500" si="13846">_xlfn.XLOOKUP($N$8,$P$8:$V$8,$P3491:$V3491)</f>
        <v>0</v>
      </c>
      <c r="N3491" s="849"/>
      <c r="O3491" s="40"/>
      <c r="P3491" s="602"/>
      <c r="Q3491" s="602"/>
      <c r="R3491" s="602"/>
      <c r="S3491" s="602"/>
      <c r="T3491" s="602"/>
      <c r="U3491" s="602"/>
      <c r="V3491" s="602"/>
      <c r="W3491" s="40"/>
      <c r="X3491" s="504">
        <f t="shared" ref="X3491:X3500" si="13847">SUMIFS(P3491:V3491,$P$8:$V$8,"&gt;="&amp;$P$8,$P$8:$V$8,"&lt;="&amp;$N$8)</f>
        <v>0</v>
      </c>
      <c r="Y3491" s="849" t="str">
        <f>IFERROR((X3492/X3491),"-")</f>
        <v>-</v>
      </c>
      <c r="Z3491" s="40"/>
      <c r="AA3491" s="855"/>
      <c r="AB3491" s="855"/>
      <c r="AC3491" s="855"/>
      <c r="AD3491" s="762" t="str">
        <f>IFERROR((AC3491/AA3491),"-")</f>
        <v>-</v>
      </c>
      <c r="AE3491" s="40"/>
      <c r="AF3491" s="855"/>
      <c r="AG3491" s="855"/>
      <c r="AH3491" s="855"/>
      <c r="AI3491" s="855"/>
      <c r="AJ3491" s="855"/>
      <c r="AK3491" s="855"/>
      <c r="AL3491" s="855"/>
      <c r="AM3491" s="849"/>
      <c r="AN3491" s="40"/>
      <c r="AO3491" s="858"/>
      <c r="AP3491" s="855"/>
      <c r="AV3491" t="str">
        <f t="shared" si="13843"/>
        <v>OAE - Obra de Arte Especial</v>
      </c>
      <c r="AW3491" s="4" t="str">
        <f t="shared" si="13844"/>
        <v>Arrasamento de cabeça de estacas (E02)</v>
      </c>
    </row>
    <row r="3492" spans="1:50" ht="15.75" outlineLevel="2">
      <c r="A3492" s="598" t="str">
        <f t="shared" ref="A3492:A3494" si="13848">A3491</f>
        <v>N</v>
      </c>
      <c r="B3492" s="152"/>
      <c r="C3492" s="152"/>
      <c r="D3492" s="124"/>
      <c r="E3492" s="847"/>
      <c r="F3492" s="854"/>
      <c r="G3492" s="40"/>
      <c r="H3492" s="603" t="s">
        <v>38</v>
      </c>
      <c r="I3492" s="504">
        <v>28</v>
      </c>
      <c r="J3492" s="850"/>
      <c r="K3492" s="40"/>
      <c r="L3492" s="603" t="s">
        <v>38</v>
      </c>
      <c r="M3492" s="504">
        <f t="shared" si="13846"/>
        <v>0</v>
      </c>
      <c r="N3492" s="850"/>
      <c r="O3492" s="40"/>
      <c r="P3492" s="602"/>
      <c r="Q3492" s="602"/>
      <c r="R3492" s="602"/>
      <c r="S3492" s="602"/>
      <c r="T3492" s="602"/>
      <c r="U3492" s="602"/>
      <c r="V3492" s="602"/>
      <c r="W3492" s="40"/>
      <c r="X3492" s="504">
        <f t="shared" si="13847"/>
        <v>0</v>
      </c>
      <c r="Y3492" s="850"/>
      <c r="Z3492" s="40"/>
      <c r="AA3492" s="856"/>
      <c r="AB3492" s="856"/>
      <c r="AC3492" s="856"/>
      <c r="AD3492" s="763"/>
      <c r="AE3492" s="40"/>
      <c r="AF3492" s="856"/>
      <c r="AG3492" s="856"/>
      <c r="AH3492" s="856"/>
      <c r="AI3492" s="856"/>
      <c r="AJ3492" s="856"/>
      <c r="AK3492" s="856"/>
      <c r="AL3492" s="856"/>
      <c r="AM3492" s="850"/>
      <c r="AN3492" s="40"/>
      <c r="AO3492" s="857"/>
      <c r="AP3492" s="857"/>
      <c r="AV3492" t="str">
        <f t="shared" si="13843"/>
        <v>OAE - Obra de Arte Especial</v>
      </c>
      <c r="AW3492" s="4" t="str">
        <f t="shared" si="13844"/>
        <v>Arrasamento de cabeça de estacas (E02)</v>
      </c>
    </row>
    <row r="3493" spans="1:50" ht="15.75" outlineLevel="2">
      <c r="A3493" s="598" t="str">
        <f t="shared" ref="A3493" si="13849">IF(SUM(P3493:V3494)&gt;0,"S","N")</f>
        <v>N</v>
      </c>
      <c r="B3493" s="152"/>
      <c r="C3493" s="152"/>
      <c r="D3493" s="124"/>
      <c r="E3493" s="846" t="s">
        <v>3823</v>
      </c>
      <c r="F3493" s="853" t="s">
        <v>3763</v>
      </c>
      <c r="G3493" s="40"/>
      <c r="H3493" s="600" t="s">
        <v>37</v>
      </c>
      <c r="I3493" s="504">
        <v>66</v>
      </c>
      <c r="J3493" s="849"/>
      <c r="K3493" s="40"/>
      <c r="L3493" s="600" t="s">
        <v>37</v>
      </c>
      <c r="M3493" s="504">
        <f t="shared" si="13846"/>
        <v>0</v>
      </c>
      <c r="N3493" s="849"/>
      <c r="O3493" s="40"/>
      <c r="P3493" s="602"/>
      <c r="Q3493" s="602"/>
      <c r="R3493" s="602"/>
      <c r="S3493" s="602"/>
      <c r="T3493" s="602"/>
      <c r="U3493" s="602"/>
      <c r="V3493" s="602"/>
      <c r="W3493" s="40"/>
      <c r="X3493" s="504">
        <f t="shared" si="13847"/>
        <v>0</v>
      </c>
      <c r="Y3493" s="849" t="str">
        <f>IFERROR((X3494/X3493),"-")</f>
        <v>-</v>
      </c>
      <c r="Z3493" s="40"/>
      <c r="AA3493" s="855"/>
      <c r="AB3493" s="855"/>
      <c r="AC3493" s="855"/>
      <c r="AD3493" s="762" t="str">
        <f>IFERROR((AC3493/AA3493),"-")</f>
        <v>-</v>
      </c>
      <c r="AE3493" s="40"/>
      <c r="AF3493" s="855"/>
      <c r="AG3493" s="855"/>
      <c r="AH3493" s="855"/>
      <c r="AI3493" s="855"/>
      <c r="AJ3493" s="855"/>
      <c r="AK3493" s="855"/>
      <c r="AL3493" s="855"/>
      <c r="AM3493" s="849"/>
      <c r="AN3493" s="40"/>
      <c r="AO3493" s="858"/>
      <c r="AP3493" s="855"/>
      <c r="AV3493" t="str">
        <f t="shared" si="13843"/>
        <v>OAE - Obra de Arte Especial</v>
      </c>
      <c r="AW3493" s="4" t="str">
        <f t="shared" si="13844"/>
        <v>Execução de PIT/PDA  (E01)</v>
      </c>
    </row>
    <row r="3494" spans="1:50" ht="15.75" outlineLevel="2">
      <c r="A3494" s="598" t="str">
        <f t="shared" si="13848"/>
        <v>N</v>
      </c>
      <c r="B3494" s="152"/>
      <c r="C3494" s="152"/>
      <c r="D3494" s="124"/>
      <c r="E3494" s="847"/>
      <c r="F3494" s="854"/>
      <c r="G3494" s="40"/>
      <c r="H3494" s="603" t="s">
        <v>38</v>
      </c>
      <c r="I3494" s="504">
        <v>28</v>
      </c>
      <c r="J3494" s="850"/>
      <c r="K3494" s="40"/>
      <c r="L3494" s="603" t="s">
        <v>38</v>
      </c>
      <c r="M3494" s="504">
        <f t="shared" si="13846"/>
        <v>0</v>
      </c>
      <c r="N3494" s="850"/>
      <c r="O3494" s="40"/>
      <c r="P3494" s="602"/>
      <c r="Q3494" s="602"/>
      <c r="R3494" s="602"/>
      <c r="S3494" s="602"/>
      <c r="T3494" s="602"/>
      <c r="U3494" s="602"/>
      <c r="V3494" s="602"/>
      <c r="W3494" s="40"/>
      <c r="X3494" s="504">
        <f t="shared" si="13847"/>
        <v>0</v>
      </c>
      <c r="Y3494" s="850"/>
      <c r="Z3494" s="40"/>
      <c r="AA3494" s="856"/>
      <c r="AB3494" s="856"/>
      <c r="AC3494" s="856"/>
      <c r="AD3494" s="763"/>
      <c r="AE3494" s="40"/>
      <c r="AF3494" s="856"/>
      <c r="AG3494" s="856"/>
      <c r="AH3494" s="856"/>
      <c r="AI3494" s="856"/>
      <c r="AJ3494" s="856"/>
      <c r="AK3494" s="856"/>
      <c r="AL3494" s="856"/>
      <c r="AM3494" s="850"/>
      <c r="AN3494" s="40"/>
      <c r="AO3494" s="857"/>
      <c r="AP3494" s="857"/>
      <c r="AV3494" t="str">
        <f t="shared" si="13843"/>
        <v>OAE - Obra de Arte Especial</v>
      </c>
      <c r="AW3494" s="4" t="str">
        <f t="shared" si="13844"/>
        <v>Execução de PIT/PDA  (E01)</v>
      </c>
    </row>
    <row r="3495" spans="1:50" ht="15.75" outlineLevel="1">
      <c r="A3495" s="604" t="str">
        <f t="shared" ref="A3495" si="13850">IF(SUM(P3495:V3496)&gt;0,"S","N")</f>
        <v>S</v>
      </c>
      <c r="B3495" s="152"/>
      <c r="C3495" s="152"/>
      <c r="D3495" s="124"/>
      <c r="E3495" s="846" t="s">
        <v>3824</v>
      </c>
      <c r="F3495" s="853" t="s">
        <v>3763</v>
      </c>
      <c r="G3495" s="40"/>
      <c r="H3495" s="600" t="s">
        <v>37</v>
      </c>
      <c r="I3495" s="504"/>
      <c r="J3495" s="849"/>
      <c r="K3495" s="40"/>
      <c r="L3495" s="600" t="s">
        <v>37</v>
      </c>
      <c r="M3495" s="504" t="str">
        <f t="shared" si="13846"/>
        <v>x</v>
      </c>
      <c r="N3495" s="849"/>
      <c r="O3495" s="40"/>
      <c r="P3495" s="602" t="s">
        <v>176</v>
      </c>
      <c r="Q3495" s="602" t="s">
        <v>176</v>
      </c>
      <c r="R3495" s="602" t="s">
        <v>176</v>
      </c>
      <c r="S3495" s="602" t="s">
        <v>176</v>
      </c>
      <c r="T3495" s="602">
        <v>1</v>
      </c>
      <c r="U3495" s="602"/>
      <c r="V3495" s="602"/>
      <c r="W3495" s="40"/>
      <c r="X3495" s="504">
        <f t="shared" si="13847"/>
        <v>0</v>
      </c>
      <c r="Y3495" s="849" t="str">
        <f>IFERROR((X3496/X3495),"-")</f>
        <v>-</v>
      </c>
      <c r="Z3495" s="40"/>
      <c r="AA3495" s="855"/>
      <c r="AB3495" s="855"/>
      <c r="AC3495" s="855"/>
      <c r="AD3495" s="762" t="str">
        <f>IFERROR((AC3495/AA3495),"-")</f>
        <v>-</v>
      </c>
      <c r="AE3495" s="40"/>
      <c r="AF3495" s="855"/>
      <c r="AG3495" s="855"/>
      <c r="AH3495" s="855"/>
      <c r="AI3495" s="855"/>
      <c r="AJ3495" s="855"/>
      <c r="AK3495" s="855"/>
      <c r="AL3495" s="855"/>
      <c r="AM3495" s="849"/>
      <c r="AN3495" s="40"/>
      <c r="AO3495" s="858"/>
      <c r="AP3495" s="855"/>
      <c r="AV3495" t="str">
        <f t="shared" si="13843"/>
        <v>OAE - Obra de Arte Especial</v>
      </c>
      <c r="AW3495" s="4" t="str">
        <f t="shared" si="13844"/>
        <v>Bloco E01- Execução de armação</v>
      </c>
    </row>
    <row r="3496" spans="1:50" ht="15.75">
      <c r="A3496" s="604" t="str">
        <f>A3495</f>
        <v>S</v>
      </c>
      <c r="B3496" s="152"/>
      <c r="C3496" s="152"/>
      <c r="D3496" s="124"/>
      <c r="E3496" s="847"/>
      <c r="F3496" s="854"/>
      <c r="G3496" s="40"/>
      <c r="H3496" s="603" t="s">
        <v>38</v>
      </c>
      <c r="I3496" s="504"/>
      <c r="J3496" s="850"/>
      <c r="K3496" s="40"/>
      <c r="L3496" s="603" t="s">
        <v>38</v>
      </c>
      <c r="M3496" s="504">
        <f t="shared" si="13846"/>
        <v>0</v>
      </c>
      <c r="N3496" s="850"/>
      <c r="O3496" s="40"/>
      <c r="P3496" s="606" t="s">
        <v>176</v>
      </c>
      <c r="Q3496" s="602"/>
      <c r="R3496" s="602"/>
      <c r="S3496" s="602"/>
      <c r="T3496" s="602"/>
      <c r="U3496" s="602"/>
      <c r="V3496" s="602"/>
      <c r="W3496" s="40"/>
      <c r="X3496" s="504">
        <f t="shared" si="13847"/>
        <v>0</v>
      </c>
      <c r="Y3496" s="850"/>
      <c r="Z3496" s="40"/>
      <c r="AA3496" s="856"/>
      <c r="AB3496" s="856"/>
      <c r="AC3496" s="856"/>
      <c r="AD3496" s="763"/>
      <c r="AE3496" s="40"/>
      <c r="AF3496" s="856"/>
      <c r="AG3496" s="856"/>
      <c r="AH3496" s="856"/>
      <c r="AI3496" s="856"/>
      <c r="AJ3496" s="856"/>
      <c r="AK3496" s="856"/>
      <c r="AL3496" s="856"/>
      <c r="AM3496" s="850"/>
      <c r="AN3496" s="40"/>
      <c r="AO3496" s="857"/>
      <c r="AP3496" s="857"/>
      <c r="AV3496" t="str">
        <f t="shared" si="13843"/>
        <v>OAE - Obra de Arte Especial</v>
      </c>
      <c r="AW3496" s="4" t="str">
        <f t="shared" si="13844"/>
        <v>Bloco E01- Execução de armação</v>
      </c>
    </row>
    <row r="3497" spans="1:50" ht="29.65" customHeight="1">
      <c r="A3497" s="604" t="str">
        <f t="shared" ref="A3497" si="13851">IF(SUM(P3497:V3498)&gt;0,"S","N")</f>
        <v>S</v>
      </c>
      <c r="B3497" s="152"/>
      <c r="C3497" s="152"/>
      <c r="D3497" s="124"/>
      <c r="E3497" s="846" t="s">
        <v>3825</v>
      </c>
      <c r="F3497" s="853" t="s">
        <v>3763</v>
      </c>
      <c r="G3497" s="40"/>
      <c r="H3497" s="600" t="s">
        <v>37</v>
      </c>
      <c r="I3497" s="504"/>
      <c r="J3497" s="849"/>
      <c r="K3497" s="40"/>
      <c r="L3497" s="600" t="s">
        <v>37</v>
      </c>
      <c r="M3497" s="504">
        <f t="shared" si="13846"/>
        <v>0</v>
      </c>
      <c r="N3497" s="849"/>
      <c r="O3497" s="40"/>
      <c r="P3497" s="602"/>
      <c r="Q3497" s="602"/>
      <c r="R3497" s="602"/>
      <c r="S3497" s="602" t="s">
        <v>176</v>
      </c>
      <c r="T3497" s="602" t="s">
        <v>176</v>
      </c>
      <c r="U3497" s="602">
        <v>1</v>
      </c>
      <c r="V3497" s="602"/>
      <c r="W3497" s="40"/>
      <c r="X3497" s="504">
        <f t="shared" si="13847"/>
        <v>0</v>
      </c>
      <c r="Y3497" s="849" t="str">
        <f>IFERROR((X3498/X3497),"-")</f>
        <v>-</v>
      </c>
      <c r="Z3497" s="40"/>
      <c r="AA3497" s="855"/>
      <c r="AB3497" s="855"/>
      <c r="AC3497" s="855"/>
      <c r="AD3497" s="762" t="str">
        <f>IFERROR((AC3497/AA3497),"-")</f>
        <v>-</v>
      </c>
      <c r="AE3497" s="40"/>
      <c r="AF3497" s="855"/>
      <c r="AG3497" s="855"/>
      <c r="AH3497" s="855"/>
      <c r="AI3497" s="855"/>
      <c r="AJ3497" s="855"/>
      <c r="AK3497" s="855"/>
      <c r="AL3497" s="855"/>
      <c r="AM3497" s="849"/>
      <c r="AN3497" s="40"/>
      <c r="AO3497" s="858"/>
      <c r="AP3497" s="855"/>
      <c r="AV3497" s="4" t="str">
        <f t="shared" si="13843"/>
        <v>OAE - Obra de Arte Especial</v>
      </c>
      <c r="AW3497" s="4" t="str">
        <f t="shared" si="13844"/>
        <v>Bloco E01- Montagem de formas e escoramento</v>
      </c>
      <c r="AX3497" s="4"/>
    </row>
    <row r="3498" spans="1:50" ht="29.65" customHeight="1">
      <c r="A3498" s="604" t="str">
        <f>A3497</f>
        <v>S</v>
      </c>
      <c r="B3498" s="152"/>
      <c r="C3498" s="152"/>
      <c r="D3498" s="124"/>
      <c r="E3498" s="847"/>
      <c r="F3498" s="854"/>
      <c r="G3498" s="40"/>
      <c r="H3498" s="603" t="s">
        <v>38</v>
      </c>
      <c r="I3498" s="504"/>
      <c r="J3498" s="850"/>
      <c r="K3498" s="40"/>
      <c r="L3498" s="603" t="s">
        <v>38</v>
      </c>
      <c r="M3498" s="504">
        <f t="shared" si="13846"/>
        <v>0</v>
      </c>
      <c r="N3498" s="850"/>
      <c r="O3498" s="40"/>
      <c r="P3498" s="602"/>
      <c r="Q3498" s="602"/>
      <c r="R3498" s="602"/>
      <c r="S3498" s="602"/>
      <c r="T3498" s="602"/>
      <c r="U3498" s="602"/>
      <c r="V3498" s="602"/>
      <c r="W3498" s="40"/>
      <c r="X3498" s="504">
        <f t="shared" si="13847"/>
        <v>0</v>
      </c>
      <c r="Y3498" s="850"/>
      <c r="Z3498" s="40"/>
      <c r="AA3498" s="856"/>
      <c r="AB3498" s="856"/>
      <c r="AC3498" s="856"/>
      <c r="AD3498" s="763"/>
      <c r="AE3498" s="40"/>
      <c r="AF3498" s="856"/>
      <c r="AG3498" s="856"/>
      <c r="AH3498" s="856"/>
      <c r="AI3498" s="856"/>
      <c r="AJ3498" s="856"/>
      <c r="AK3498" s="856"/>
      <c r="AL3498" s="856"/>
      <c r="AM3498" s="850"/>
      <c r="AN3498" s="40"/>
      <c r="AO3498" s="857"/>
      <c r="AP3498" s="857"/>
      <c r="AV3498" t="str">
        <f t="shared" si="13843"/>
        <v>OAE - Obra de Arte Especial</v>
      </c>
      <c r="AW3498" s="4" t="str">
        <f t="shared" si="13844"/>
        <v>Bloco E01- Montagem de formas e escoramento</v>
      </c>
    </row>
    <row r="3499" spans="1:50" ht="15.75">
      <c r="A3499" s="604" t="str">
        <f t="shared" ref="A3499" si="13852">IF(SUM(P3499:V3500)&gt;0,"S","N")</f>
        <v>S</v>
      </c>
      <c r="B3499" s="152"/>
      <c r="C3499" s="152"/>
      <c r="D3499" s="124"/>
      <c r="E3499" s="846" t="s">
        <v>3826</v>
      </c>
      <c r="F3499" s="853" t="s">
        <v>3763</v>
      </c>
      <c r="G3499" s="40"/>
      <c r="H3499" s="600" t="s">
        <v>37</v>
      </c>
      <c r="I3499" s="504"/>
      <c r="J3499" s="849"/>
      <c r="K3499" s="40"/>
      <c r="L3499" s="600" t="s">
        <v>37</v>
      </c>
      <c r="M3499" s="504">
        <f t="shared" si="13846"/>
        <v>0</v>
      </c>
      <c r="N3499" s="849"/>
      <c r="O3499" s="40"/>
      <c r="P3499" s="602"/>
      <c r="Q3499" s="602"/>
      <c r="R3499" s="602"/>
      <c r="S3499" s="602"/>
      <c r="T3499" s="602"/>
      <c r="U3499" s="602">
        <v>1</v>
      </c>
      <c r="V3499" s="602"/>
      <c r="W3499" s="40"/>
      <c r="X3499" s="504">
        <f t="shared" si="13847"/>
        <v>0</v>
      </c>
      <c r="Y3499" s="849" t="str">
        <f>IFERROR((X3500/X3499),"-")</f>
        <v>-</v>
      </c>
      <c r="Z3499" s="40"/>
      <c r="AA3499" s="855"/>
      <c r="AB3499" s="855"/>
      <c r="AC3499" s="855"/>
      <c r="AD3499" s="762" t="str">
        <f>IFERROR((AC3499/AA3499),"-")</f>
        <v>-</v>
      </c>
      <c r="AE3499" s="40"/>
      <c r="AF3499" s="855"/>
      <c r="AG3499" s="855"/>
      <c r="AH3499" s="855"/>
      <c r="AI3499" s="855"/>
      <c r="AJ3499" s="855"/>
      <c r="AK3499" s="855"/>
      <c r="AL3499" s="855"/>
      <c r="AM3499" s="849"/>
      <c r="AN3499" s="40"/>
      <c r="AO3499" s="858"/>
      <c r="AP3499" s="855"/>
      <c r="AV3499" t="str">
        <f t="shared" si="13843"/>
        <v>OAE - Obra de Arte Especial</v>
      </c>
      <c r="AW3499" s="4" t="str">
        <f t="shared" si="13844"/>
        <v>Bloco E01 - Aplicação de concreto estrutural</v>
      </c>
    </row>
    <row r="3500" spans="1:50" ht="15.75" outlineLevel="1">
      <c r="A3500" s="604" t="str">
        <f>A3499</f>
        <v>S</v>
      </c>
      <c r="B3500" s="152"/>
      <c r="C3500" s="152"/>
      <c r="D3500" s="124"/>
      <c r="E3500" s="847"/>
      <c r="F3500" s="854"/>
      <c r="G3500" s="40"/>
      <c r="H3500" s="603" t="s">
        <v>38</v>
      </c>
      <c r="I3500" s="504"/>
      <c r="J3500" s="850"/>
      <c r="K3500" s="40"/>
      <c r="L3500" s="603" t="s">
        <v>38</v>
      </c>
      <c r="M3500" s="504">
        <f t="shared" si="13846"/>
        <v>0</v>
      </c>
      <c r="N3500" s="850"/>
      <c r="O3500" s="40"/>
      <c r="P3500" s="602"/>
      <c r="Q3500" s="602"/>
      <c r="R3500" s="602"/>
      <c r="S3500" s="602"/>
      <c r="T3500" s="602"/>
      <c r="U3500" s="602"/>
      <c r="V3500" s="602"/>
      <c r="W3500" s="40"/>
      <c r="X3500" s="504">
        <f t="shared" si="13847"/>
        <v>0</v>
      </c>
      <c r="Y3500" s="850"/>
      <c r="Z3500" s="40"/>
      <c r="AA3500" s="856"/>
      <c r="AB3500" s="856"/>
      <c r="AC3500" s="856"/>
      <c r="AD3500" s="763"/>
      <c r="AE3500" s="40"/>
      <c r="AF3500" s="856"/>
      <c r="AG3500" s="856"/>
      <c r="AH3500" s="856"/>
      <c r="AI3500" s="856"/>
      <c r="AJ3500" s="856"/>
      <c r="AK3500" s="856"/>
      <c r="AL3500" s="856"/>
      <c r="AM3500" s="850"/>
      <c r="AN3500" s="40"/>
      <c r="AO3500" s="857"/>
      <c r="AP3500" s="857"/>
      <c r="AV3500" t="str">
        <f t="shared" si="13843"/>
        <v>OAE - Obra de Arte Especial</v>
      </c>
      <c r="AW3500" s="4" t="str">
        <f t="shared" si="13844"/>
        <v>Bloco E01 - Aplicação de concreto estrutural</v>
      </c>
    </row>
    <row r="3501" spans="1:50" outlineLevel="1">
      <c r="A3501" s="209">
        <v>0</v>
      </c>
      <c r="B3501" s="150"/>
      <c r="C3501" s="150">
        <v>0</v>
      </c>
      <c r="D3501" s="117"/>
      <c r="E3501" s="3"/>
      <c r="F3501" s="92"/>
      <c r="G3501" s="3"/>
      <c r="H3501" s="3"/>
      <c r="I3501" s="36"/>
      <c r="J3501" s="3"/>
      <c r="K3501" s="3"/>
      <c r="L3501" s="3"/>
      <c r="M3501" s="36"/>
      <c r="N3501" s="3"/>
      <c r="O3501" s="3"/>
      <c r="P3501" s="119"/>
      <c r="Q3501" s="119"/>
      <c r="R3501" s="119"/>
      <c r="S3501" s="119"/>
      <c r="T3501" s="119"/>
      <c r="U3501" s="119"/>
      <c r="V3501" s="119"/>
      <c r="W3501" s="3"/>
      <c r="X3501" s="37"/>
      <c r="Y3501" s="3"/>
      <c r="Z3501" s="3"/>
      <c r="AA3501" s="36"/>
      <c r="AB3501" s="36"/>
      <c r="AC3501" s="35"/>
      <c r="AD3501" s="3"/>
      <c r="AE3501" s="3"/>
      <c r="AF3501" s="36"/>
      <c r="AG3501" s="36"/>
      <c r="AH3501" s="36"/>
      <c r="AI3501" s="36"/>
      <c r="AJ3501" s="36"/>
      <c r="AK3501" s="36"/>
      <c r="AL3501" s="36"/>
      <c r="AM3501" s="3"/>
      <c r="AN3501" s="3"/>
      <c r="AO3501" s="36"/>
      <c r="AP3501" s="36"/>
      <c r="AV3501" t="str">
        <f t="shared" si="13843"/>
        <v>OAE - Obra de Arte Especial</v>
      </c>
      <c r="AW3501" s="4" t="str">
        <f t="shared" si="13844"/>
        <v>Bloco E01 - Aplicação de concreto estrutural</v>
      </c>
    </row>
    <row r="3502" spans="1:50" outlineLevel="1">
      <c r="A3502" s="209">
        <v>0</v>
      </c>
      <c r="B3502" s="110"/>
      <c r="C3502" s="110"/>
      <c r="D3502" s="110"/>
      <c r="E3502" s="16"/>
      <c r="F3502" s="59"/>
      <c r="G3502" s="3"/>
      <c r="I3502" s="58"/>
      <c r="M3502" s="58"/>
      <c r="O3502" s="4"/>
      <c r="P3502" s="129"/>
      <c r="Q3502" s="129"/>
      <c r="R3502" s="129"/>
      <c r="S3502" s="129"/>
      <c r="T3502" s="129"/>
      <c r="U3502" s="129"/>
      <c r="V3502" s="129"/>
      <c r="W3502" s="6"/>
      <c r="X3502" s="48"/>
      <c r="Z3502" s="4"/>
      <c r="AA3502" s="58"/>
      <c r="AB3502" s="58"/>
      <c r="AC3502" s="58"/>
      <c r="AE3502" s="4"/>
      <c r="AN3502" s="4"/>
      <c r="AV3502" t="str">
        <f t="shared" si="13843"/>
        <v>OAE - Obra de Arte Especial</v>
      </c>
      <c r="AW3502" s="4" t="str">
        <f t="shared" si="13844"/>
        <v>Bloco E01 - Aplicação de concreto estrutural</v>
      </c>
    </row>
    <row r="3503" spans="1:50" ht="18.75" outlineLevel="1">
      <c r="A3503" s="525">
        <v>0</v>
      </c>
      <c r="B3503" s="556"/>
      <c r="C3503" s="556"/>
      <c r="D3503" s="558"/>
      <c r="E3503" s="759" t="s">
        <v>3827</v>
      </c>
      <c r="F3503" s="902"/>
      <c r="G3503" s="528"/>
      <c r="H3503" s="529"/>
      <c r="I3503" s="707"/>
      <c r="J3503" s="896" t="str">
        <f>IFERROR((I3504/I3503),"-")</f>
        <v>-</v>
      </c>
      <c r="K3503" s="528"/>
      <c r="L3503" s="529"/>
      <c r="M3503" s="707"/>
      <c r="N3503" s="896" t="str">
        <f t="shared" ref="N3503" si="13853">IFERROR((M3504/M3503),"-")</f>
        <v>-</v>
      </c>
      <c r="O3503" s="528"/>
      <c r="P3503" s="532"/>
      <c r="Q3503" s="532"/>
      <c r="R3503" s="532"/>
      <c r="S3503" s="532"/>
      <c r="T3503" s="532"/>
      <c r="U3503" s="532"/>
      <c r="V3503" s="532"/>
      <c r="W3503" s="528"/>
      <c r="X3503" s="707">
        <f>SUMIFS(P3503:V3503,$P$8:$V$8,"&gt;="&amp;$P$8,$P$8:$V$8,"&lt;="&amp;$N$8)</f>
        <v>0</v>
      </c>
      <c r="Y3503" s="900"/>
      <c r="Z3503" s="528"/>
      <c r="AA3503" s="755"/>
      <c r="AB3503" s="755"/>
      <c r="AC3503" s="906"/>
      <c r="AD3503" s="900"/>
      <c r="AE3503" s="528"/>
      <c r="AF3503" s="755"/>
      <c r="AG3503" s="755"/>
      <c r="AH3503" s="755"/>
      <c r="AI3503" s="755"/>
      <c r="AJ3503" s="755"/>
      <c r="AK3503" s="755"/>
      <c r="AL3503" s="755"/>
      <c r="AM3503" s="900"/>
      <c r="AN3503" s="528"/>
      <c r="AO3503" s="906"/>
      <c r="AP3503" s="906"/>
      <c r="AV3503" s="275" t="str">
        <f t="shared" si="13843"/>
        <v>Obras Complementares</v>
      </c>
      <c r="AW3503" s="275" t="str">
        <f t="shared" si="13844"/>
        <v>Obras Complementares</v>
      </c>
      <c r="AX3503" s="275" t="s">
        <v>176</v>
      </c>
    </row>
    <row r="3504" spans="1:50" ht="18.75" outlineLevel="1">
      <c r="A3504" s="525">
        <v>0</v>
      </c>
      <c r="B3504" s="556"/>
      <c r="C3504" s="556"/>
      <c r="D3504" s="558"/>
      <c r="E3504" s="760"/>
      <c r="F3504" s="902"/>
      <c r="G3504" s="528"/>
      <c r="H3504" s="531"/>
      <c r="I3504" s="707"/>
      <c r="J3504" s="897"/>
      <c r="K3504" s="528"/>
      <c r="L3504" s="531"/>
      <c r="M3504" s="707"/>
      <c r="N3504" s="897"/>
      <c r="O3504" s="528"/>
      <c r="P3504" s="532"/>
      <c r="Q3504" s="532"/>
      <c r="R3504" s="532"/>
      <c r="S3504" s="532"/>
      <c r="T3504" s="532"/>
      <c r="U3504" s="532"/>
      <c r="V3504" s="532"/>
      <c r="W3504" s="528"/>
      <c r="X3504" s="707">
        <f t="shared" ref="X3504" si="13854">SUMIFS(P3504:V3504,$P$8:$V$8,"&gt;="&amp;$P$8,$P$8:$V$8,"&lt;="&amp;$N$8)</f>
        <v>0</v>
      </c>
      <c r="Y3504" s="901"/>
      <c r="Z3504" s="528"/>
      <c r="AA3504" s="756"/>
      <c r="AB3504" s="756"/>
      <c r="AC3504" s="907"/>
      <c r="AD3504" s="1002"/>
      <c r="AE3504" s="528"/>
      <c r="AF3504" s="756"/>
      <c r="AG3504" s="756"/>
      <c r="AH3504" s="756"/>
      <c r="AI3504" s="756"/>
      <c r="AJ3504" s="756"/>
      <c r="AK3504" s="756"/>
      <c r="AL3504" s="756"/>
      <c r="AM3504" s="901"/>
      <c r="AN3504" s="528"/>
      <c r="AO3504" s="907"/>
      <c r="AP3504" s="907"/>
      <c r="AV3504" t="str">
        <f t="shared" si="13843"/>
        <v>Obras Complementares</v>
      </c>
      <c r="AW3504" s="4" t="str">
        <f t="shared" si="13844"/>
        <v>Obras Complementares</v>
      </c>
    </row>
    <row r="3505" spans="1:49" outlineLevel="1">
      <c r="A3505" s="209">
        <v>0</v>
      </c>
      <c r="B3505" s="110"/>
      <c r="C3505" s="110"/>
      <c r="D3505" s="117"/>
      <c r="E3505" s="3"/>
      <c r="F3505" s="92"/>
      <c r="G3505" s="3"/>
      <c r="H3505" s="3"/>
      <c r="I3505" s="36"/>
      <c r="J3505" s="3"/>
      <c r="K3505" s="3"/>
      <c r="L3505" s="3"/>
      <c r="M3505" s="36"/>
      <c r="N3505" s="3"/>
      <c r="O3505" s="3"/>
      <c r="P3505" s="119"/>
      <c r="Q3505" s="119"/>
      <c r="R3505" s="119"/>
      <c r="S3505" s="119"/>
      <c r="T3505" s="119"/>
      <c r="U3505" s="119"/>
      <c r="V3505" s="119"/>
      <c r="W3505" s="3"/>
      <c r="X3505" s="37"/>
      <c r="Y3505" s="3"/>
      <c r="Z3505" s="3"/>
      <c r="AA3505" s="36"/>
      <c r="AB3505" s="36"/>
      <c r="AC3505" s="35"/>
      <c r="AD3505" s="3"/>
      <c r="AE3505" s="3"/>
      <c r="AF3505" s="36"/>
      <c r="AG3505" s="36"/>
      <c r="AH3505" s="36"/>
      <c r="AI3505" s="36"/>
      <c r="AJ3505" s="36"/>
      <c r="AK3505" s="36"/>
      <c r="AL3505" s="36"/>
      <c r="AM3505" s="3"/>
      <c r="AN3505" s="3"/>
      <c r="AO3505" s="36"/>
      <c r="AP3505" s="36"/>
      <c r="AV3505" t="str">
        <f t="shared" si="13843"/>
        <v>Obras Complementares</v>
      </c>
      <c r="AW3505" s="4" t="str">
        <f t="shared" si="13844"/>
        <v>Obras Complementares</v>
      </c>
    </row>
    <row r="3506" spans="1:49" ht="15.75" outlineLevel="1">
      <c r="A3506" s="604">
        <v>0</v>
      </c>
      <c r="B3506" s="152"/>
      <c r="C3506" s="152"/>
      <c r="D3506" s="622"/>
      <c r="E3506" s="774" t="s">
        <v>3828</v>
      </c>
      <c r="F3506" s="1003"/>
      <c r="G3506" s="40"/>
      <c r="H3506" s="623"/>
      <c r="I3506" s="724"/>
      <c r="J3506" s="998" t="str">
        <f>IFERROR((I3507/I3506),"-")</f>
        <v>-</v>
      </c>
      <c r="K3506" s="40"/>
      <c r="L3506" s="623"/>
      <c r="M3506" s="724"/>
      <c r="N3506" s="998" t="str">
        <f>IFERROR((M3507/M3506),"-")</f>
        <v>-</v>
      </c>
      <c r="O3506" s="40"/>
      <c r="P3506" s="624"/>
      <c r="Q3506" s="624"/>
      <c r="R3506" s="624"/>
      <c r="S3506" s="624"/>
      <c r="T3506" s="624"/>
      <c r="U3506" s="624"/>
      <c r="V3506" s="624"/>
      <c r="W3506" s="40"/>
      <c r="X3506" s="724"/>
      <c r="Y3506" s="998"/>
      <c r="Z3506" s="40"/>
      <c r="AA3506" s="1000"/>
      <c r="AB3506" s="1000"/>
      <c r="AC3506" s="1000"/>
      <c r="AD3506" s="998"/>
      <c r="AE3506" s="40"/>
      <c r="AF3506" s="1000"/>
      <c r="AG3506" s="1000"/>
      <c r="AH3506" s="1000"/>
      <c r="AI3506" s="1000"/>
      <c r="AJ3506" s="1000"/>
      <c r="AK3506" s="1000"/>
      <c r="AL3506" s="1000"/>
      <c r="AM3506" s="998"/>
      <c r="AN3506" s="40"/>
      <c r="AO3506" s="1000"/>
      <c r="AP3506" s="1000"/>
      <c r="AV3506" t="str">
        <f t="shared" si="13843"/>
        <v>Obras Complementares</v>
      </c>
      <c r="AW3506" s="4" t="str">
        <f t="shared" si="13844"/>
        <v>Interseção de Acesso ao Pátio GO-164 - Km 167+300 ao Km 202+700</v>
      </c>
    </row>
    <row r="3507" spans="1:49" ht="15.75" outlineLevel="1">
      <c r="A3507" s="604">
        <v>0</v>
      </c>
      <c r="B3507" s="152"/>
      <c r="C3507" s="152"/>
      <c r="D3507" s="124"/>
      <c r="E3507" s="774"/>
      <c r="F3507" s="1003"/>
      <c r="G3507" s="40"/>
      <c r="H3507" s="625"/>
      <c r="I3507" s="724"/>
      <c r="J3507" s="999"/>
      <c r="K3507" s="40"/>
      <c r="L3507" s="625"/>
      <c r="M3507" s="724"/>
      <c r="N3507" s="999"/>
      <c r="O3507" s="40"/>
      <c r="P3507" s="624"/>
      <c r="Q3507" s="624"/>
      <c r="R3507" s="624"/>
      <c r="S3507" s="624"/>
      <c r="T3507" s="624"/>
      <c r="U3507" s="624"/>
      <c r="V3507" s="624"/>
      <c r="W3507" s="40"/>
      <c r="X3507" s="724"/>
      <c r="Y3507" s="999"/>
      <c r="Z3507" s="40"/>
      <c r="AA3507" s="1001"/>
      <c r="AB3507" s="1001"/>
      <c r="AC3507" s="1000"/>
      <c r="AD3507" s="999"/>
      <c r="AE3507" s="40"/>
      <c r="AF3507" s="1001"/>
      <c r="AG3507" s="1001"/>
      <c r="AH3507" s="1001"/>
      <c r="AI3507" s="1001"/>
      <c r="AJ3507" s="1001"/>
      <c r="AK3507" s="1001"/>
      <c r="AL3507" s="1001"/>
      <c r="AM3507" s="999"/>
      <c r="AN3507" s="40"/>
      <c r="AO3507" s="1000"/>
      <c r="AP3507" s="1000"/>
      <c r="AV3507" t="str">
        <f t="shared" ref="AV3507:AV3515" si="13855">IF(AX3507="Y",LEFT(E3507,20),IF(AX3507="x",E3507,AV3506))</f>
        <v>Obras Complementares</v>
      </c>
      <c r="AW3507" s="4" t="str">
        <f t="shared" ref="AW3507:AW3515" si="13856">IF(E3507&lt;&gt;"",E3507,AW3506)</f>
        <v>Interseção de Acesso ao Pátio GO-164 - Km 167+300 ao Km 202+700</v>
      </c>
    </row>
    <row r="3508" spans="1:49" ht="15.75" outlineLevel="1">
      <c r="A3508" s="8" t="str">
        <f t="shared" ref="A3508" si="13857">IF(SUM(P3508:V3509)&gt;0,"S","N")</f>
        <v>N</v>
      </c>
      <c r="B3508" s="151"/>
      <c r="C3508" s="151"/>
      <c r="D3508" s="123"/>
      <c r="E3508" s="846" t="s">
        <v>3829</v>
      </c>
      <c r="F3508" s="853" t="s">
        <v>3763</v>
      </c>
      <c r="G3508" s="40"/>
      <c r="H3508" s="600" t="s">
        <v>37</v>
      </c>
      <c r="I3508" s="504"/>
      <c r="J3508" s="849"/>
      <c r="K3508" s="40"/>
      <c r="L3508" s="600" t="s">
        <v>37</v>
      </c>
      <c r="M3508" s="504">
        <f t="shared" ref="M3508:M3515" si="13858">_xlfn.XLOOKUP($N$8,$P$8:$V$8,$P3508:$V3508)</f>
        <v>0</v>
      </c>
      <c r="N3508" s="849"/>
      <c r="O3508" s="40"/>
      <c r="P3508" s="602"/>
      <c r="Q3508" s="602"/>
      <c r="R3508" s="602"/>
      <c r="S3508" s="602"/>
      <c r="T3508" s="602"/>
      <c r="U3508" s="602"/>
      <c r="V3508" s="602"/>
      <c r="W3508" s="40"/>
      <c r="X3508" s="504">
        <f t="shared" ref="X3508:X3515" si="13859">SUMIFS(P3508:V3508,$P$8:$V$8,"&gt;="&amp;$P$8,$P$8:$V$8,"&lt;="&amp;$N$8)</f>
        <v>0</v>
      </c>
      <c r="Y3508" s="849" t="str">
        <f>IFERROR((X3509/X3508),"-")</f>
        <v>-</v>
      </c>
      <c r="Z3508" s="2"/>
      <c r="AA3508" s="884"/>
      <c r="AB3508" s="884"/>
      <c r="AC3508" s="884"/>
      <c r="AD3508" s="762" t="str">
        <f>IFERROR((AC3508/AA3508),"-")</f>
        <v>-</v>
      </c>
      <c r="AE3508" s="2"/>
      <c r="AF3508" s="884"/>
      <c r="AG3508" s="884"/>
      <c r="AH3508" s="884"/>
      <c r="AI3508" s="884"/>
      <c r="AJ3508" s="884"/>
      <c r="AK3508" s="884"/>
      <c r="AL3508" s="884"/>
      <c r="AM3508" s="878"/>
      <c r="AN3508" s="2"/>
      <c r="AO3508" s="884"/>
      <c r="AP3508" s="884"/>
      <c r="AV3508" t="str">
        <f t="shared" si="13855"/>
        <v>Obras Complementares</v>
      </c>
      <c r="AW3508" s="4" t="str">
        <f t="shared" si="13856"/>
        <v>Concreto Asfáltico Usinado a Quente (CBUQ)</v>
      </c>
    </row>
    <row r="3509" spans="1:49" ht="15.75" outlineLevel="1">
      <c r="A3509" s="8" t="str">
        <f t="shared" ref="A3509:A3515" si="13860">A3508</f>
        <v>N</v>
      </c>
      <c r="B3509" s="151"/>
      <c r="C3509" s="151"/>
      <c r="D3509" s="123"/>
      <c r="E3509" s="847"/>
      <c r="F3509" s="854"/>
      <c r="G3509" s="40"/>
      <c r="H3509" s="603" t="s">
        <v>38</v>
      </c>
      <c r="I3509" s="504"/>
      <c r="J3509" s="850"/>
      <c r="K3509" s="40"/>
      <c r="L3509" s="603" t="s">
        <v>38</v>
      </c>
      <c r="M3509" s="504">
        <f t="shared" si="13858"/>
        <v>0</v>
      </c>
      <c r="N3509" s="850"/>
      <c r="O3509" s="40"/>
      <c r="P3509" s="602"/>
      <c r="Q3509" s="602"/>
      <c r="R3509" s="602"/>
      <c r="S3509" s="602"/>
      <c r="T3509" s="602"/>
      <c r="U3509" s="602"/>
      <c r="V3509" s="602"/>
      <c r="W3509" s="40"/>
      <c r="X3509" s="504">
        <f t="shared" si="13859"/>
        <v>0</v>
      </c>
      <c r="Y3509" s="850"/>
      <c r="Z3509" s="2"/>
      <c r="AA3509" s="885"/>
      <c r="AB3509" s="885"/>
      <c r="AC3509" s="885"/>
      <c r="AD3509" s="763"/>
      <c r="AE3509" s="2"/>
      <c r="AF3509" s="885"/>
      <c r="AG3509" s="885"/>
      <c r="AH3509" s="885"/>
      <c r="AI3509" s="885"/>
      <c r="AJ3509" s="885"/>
      <c r="AK3509" s="885"/>
      <c r="AL3509" s="885"/>
      <c r="AM3509" s="879"/>
      <c r="AN3509" s="2"/>
      <c r="AO3509" s="885"/>
      <c r="AP3509" s="885"/>
      <c r="AV3509" t="str">
        <f t="shared" si="13855"/>
        <v>Obras Complementares</v>
      </c>
      <c r="AW3509" s="4" t="str">
        <f t="shared" si="13856"/>
        <v>Concreto Asfáltico Usinado a Quente (CBUQ)</v>
      </c>
    </row>
    <row r="3510" spans="1:49" ht="15.75" outlineLevel="1">
      <c r="A3510" s="209" t="str">
        <f t="shared" ref="A3510" si="13861">IF(SUM(P3510:V3511)&gt;0,"S","N")</f>
        <v>N</v>
      </c>
      <c r="B3510" s="151"/>
      <c r="C3510" s="151"/>
      <c r="D3510" s="123"/>
      <c r="E3510" s="846" t="s">
        <v>3751</v>
      </c>
      <c r="F3510" s="853" t="s">
        <v>3763</v>
      </c>
      <c r="G3510" s="40"/>
      <c r="H3510" s="600" t="s">
        <v>37</v>
      </c>
      <c r="I3510" s="504"/>
      <c r="J3510" s="849"/>
      <c r="K3510" s="40"/>
      <c r="L3510" s="600" t="s">
        <v>37</v>
      </c>
      <c r="M3510" s="504">
        <f t="shared" si="13858"/>
        <v>0</v>
      </c>
      <c r="N3510" s="849"/>
      <c r="O3510" s="40"/>
      <c r="P3510" s="602"/>
      <c r="Q3510" s="602"/>
      <c r="R3510" s="602"/>
      <c r="S3510" s="602"/>
      <c r="T3510" s="602"/>
      <c r="U3510" s="602"/>
      <c r="V3510" s="602"/>
      <c r="W3510" s="40"/>
      <c r="X3510" s="504">
        <f t="shared" si="13859"/>
        <v>0</v>
      </c>
      <c r="Y3510" s="849" t="str">
        <f>IFERROR((X3511/X3510),"-")</f>
        <v>-</v>
      </c>
      <c r="Z3510" s="2"/>
      <c r="AA3510" s="884"/>
      <c r="AB3510" s="884"/>
      <c r="AC3510" s="884"/>
      <c r="AD3510" s="762" t="str">
        <f>IFERROR((AC3510/AA3510),"-")</f>
        <v>-</v>
      </c>
      <c r="AE3510" s="2"/>
      <c r="AF3510" s="884"/>
      <c r="AG3510" s="884"/>
      <c r="AH3510" s="884"/>
      <c r="AI3510" s="884"/>
      <c r="AJ3510" s="884"/>
      <c r="AK3510" s="884"/>
      <c r="AL3510" s="884"/>
      <c r="AM3510" s="878"/>
      <c r="AN3510" s="2"/>
      <c r="AO3510" s="884"/>
      <c r="AP3510" s="884"/>
      <c r="AV3510" t="str">
        <f t="shared" si="13855"/>
        <v>Obras Complementares</v>
      </c>
      <c r="AW3510" s="4" t="str">
        <f t="shared" si="13856"/>
        <v>Instalação de placas de sinalização</v>
      </c>
    </row>
    <row r="3511" spans="1:49" ht="15.75">
      <c r="A3511" s="209" t="str">
        <f t="shared" si="13860"/>
        <v>N</v>
      </c>
      <c r="B3511" s="151"/>
      <c r="C3511" s="151"/>
      <c r="D3511" s="123"/>
      <c r="E3511" s="847"/>
      <c r="F3511" s="854"/>
      <c r="G3511" s="40"/>
      <c r="H3511" s="603" t="s">
        <v>38</v>
      </c>
      <c r="I3511" s="504"/>
      <c r="J3511" s="850"/>
      <c r="K3511" s="40"/>
      <c r="L3511" s="603" t="s">
        <v>38</v>
      </c>
      <c r="M3511" s="504">
        <f t="shared" si="13858"/>
        <v>0</v>
      </c>
      <c r="N3511" s="850"/>
      <c r="O3511" s="40"/>
      <c r="P3511" s="602"/>
      <c r="Q3511" s="602"/>
      <c r="R3511" s="602"/>
      <c r="S3511" s="602"/>
      <c r="T3511" s="602"/>
      <c r="U3511" s="602"/>
      <c r="V3511" s="602"/>
      <c r="W3511" s="40"/>
      <c r="X3511" s="504">
        <f t="shared" si="13859"/>
        <v>0</v>
      </c>
      <c r="Y3511" s="850"/>
      <c r="Z3511" s="2"/>
      <c r="AA3511" s="885"/>
      <c r="AB3511" s="885"/>
      <c r="AC3511" s="885"/>
      <c r="AD3511" s="763"/>
      <c r="AE3511" s="2"/>
      <c r="AF3511" s="885"/>
      <c r="AG3511" s="885"/>
      <c r="AH3511" s="885"/>
      <c r="AI3511" s="885"/>
      <c r="AJ3511" s="885"/>
      <c r="AK3511" s="885"/>
      <c r="AL3511" s="885"/>
      <c r="AM3511" s="879"/>
      <c r="AN3511" s="2"/>
      <c r="AO3511" s="885"/>
      <c r="AP3511" s="885"/>
      <c r="AV3511" t="str">
        <f t="shared" si="13855"/>
        <v>Obras Complementares</v>
      </c>
      <c r="AW3511" s="4" t="str">
        <f t="shared" si="13856"/>
        <v>Instalação de placas de sinalização</v>
      </c>
    </row>
    <row r="3512" spans="1:49" ht="15.75">
      <c r="A3512" s="8" t="str">
        <f t="shared" ref="A3512" si="13862">IF(SUM(P3512:V3513)&gt;0,"S","N")</f>
        <v>N</v>
      </c>
      <c r="B3512" s="151"/>
      <c r="C3512" s="151"/>
      <c r="D3512" s="123"/>
      <c r="E3512" s="846" t="s">
        <v>3752</v>
      </c>
      <c r="F3512" s="853" t="s">
        <v>3763</v>
      </c>
      <c r="G3512" s="40"/>
      <c r="H3512" s="600" t="s">
        <v>37</v>
      </c>
      <c r="I3512" s="504"/>
      <c r="J3512" s="849"/>
      <c r="K3512" s="40"/>
      <c r="L3512" s="600" t="s">
        <v>37</v>
      </c>
      <c r="M3512" s="504">
        <f t="shared" si="13858"/>
        <v>0</v>
      </c>
      <c r="N3512" s="849"/>
      <c r="O3512" s="40"/>
      <c r="P3512" s="602"/>
      <c r="Q3512" s="602"/>
      <c r="R3512" s="602"/>
      <c r="S3512" s="602"/>
      <c r="T3512" s="602"/>
      <c r="U3512" s="602"/>
      <c r="V3512" s="602"/>
      <c r="W3512" s="40"/>
      <c r="X3512" s="504">
        <f t="shared" si="13859"/>
        <v>0</v>
      </c>
      <c r="Y3512" s="849" t="str">
        <f>IFERROR((X3513/X3512),"-")</f>
        <v>-</v>
      </c>
      <c r="Z3512" s="2"/>
      <c r="AA3512" s="884"/>
      <c r="AB3512" s="884"/>
      <c r="AC3512" s="884"/>
      <c r="AD3512" s="762" t="str">
        <f>IFERROR((AC3512/AA3512),"-")</f>
        <v>-</v>
      </c>
      <c r="AE3512" s="2"/>
      <c r="AF3512" s="884"/>
      <c r="AG3512" s="884"/>
      <c r="AH3512" s="884"/>
      <c r="AI3512" s="884"/>
      <c r="AJ3512" s="884"/>
      <c r="AK3512" s="884"/>
      <c r="AL3512" s="884"/>
      <c r="AM3512" s="878"/>
      <c r="AN3512" s="2"/>
      <c r="AO3512" s="921"/>
      <c r="AP3512" s="884"/>
      <c r="AV3512" t="str">
        <f t="shared" si="13855"/>
        <v>Obras Complementares</v>
      </c>
      <c r="AW3512" s="4" t="str">
        <f t="shared" si="13856"/>
        <v>Execução de Pintura de faixa</v>
      </c>
    </row>
    <row r="3513" spans="1:49" ht="15.75">
      <c r="A3513" s="8" t="str">
        <f t="shared" si="13860"/>
        <v>N</v>
      </c>
      <c r="B3513" s="151"/>
      <c r="C3513" s="151"/>
      <c r="D3513" s="123"/>
      <c r="E3513" s="847"/>
      <c r="F3513" s="854"/>
      <c r="G3513" s="40"/>
      <c r="H3513" s="603" t="s">
        <v>38</v>
      </c>
      <c r="I3513" s="504"/>
      <c r="J3513" s="850"/>
      <c r="K3513" s="40"/>
      <c r="L3513" s="603" t="s">
        <v>38</v>
      </c>
      <c r="M3513" s="504">
        <f t="shared" si="13858"/>
        <v>0</v>
      </c>
      <c r="N3513" s="850"/>
      <c r="O3513" s="40"/>
      <c r="P3513" s="602"/>
      <c r="Q3513" s="602"/>
      <c r="R3513" s="602"/>
      <c r="S3513" s="602"/>
      <c r="T3513" s="602"/>
      <c r="U3513" s="602"/>
      <c r="V3513" s="602"/>
      <c r="W3513" s="40"/>
      <c r="X3513" s="504">
        <f t="shared" si="13859"/>
        <v>0</v>
      </c>
      <c r="Y3513" s="850"/>
      <c r="Z3513" s="2"/>
      <c r="AA3513" s="885"/>
      <c r="AB3513" s="885"/>
      <c r="AC3513" s="885"/>
      <c r="AD3513" s="763"/>
      <c r="AE3513" s="2"/>
      <c r="AF3513" s="885"/>
      <c r="AG3513" s="885"/>
      <c r="AH3513" s="885"/>
      <c r="AI3513" s="885"/>
      <c r="AJ3513" s="885"/>
      <c r="AK3513" s="885"/>
      <c r="AL3513" s="885"/>
      <c r="AM3513" s="879"/>
      <c r="AN3513" s="2"/>
      <c r="AO3513" s="922"/>
      <c r="AP3513" s="922"/>
      <c r="AV3513" t="str">
        <f t="shared" si="13855"/>
        <v>Obras Complementares</v>
      </c>
      <c r="AW3513" s="4" t="str">
        <f t="shared" si="13856"/>
        <v>Execução de Pintura de faixa</v>
      </c>
    </row>
    <row r="3514" spans="1:49" ht="15.75">
      <c r="A3514" s="8" t="str">
        <f t="shared" ref="A3514" si="13863">IF(SUM(P3514:V3515)&gt;0,"S","N")</f>
        <v>N</v>
      </c>
      <c r="B3514" s="151"/>
      <c r="C3514" s="151"/>
      <c r="D3514" s="123"/>
      <c r="E3514" s="846" t="s">
        <v>3830</v>
      </c>
      <c r="F3514" s="853" t="s">
        <v>3763</v>
      </c>
      <c r="G3514" s="40"/>
      <c r="H3514" s="600" t="s">
        <v>37</v>
      </c>
      <c r="I3514" s="504"/>
      <c r="J3514" s="849"/>
      <c r="K3514" s="40"/>
      <c r="L3514" s="600" t="s">
        <v>37</v>
      </c>
      <c r="M3514" s="504">
        <f t="shared" si="13858"/>
        <v>0</v>
      </c>
      <c r="N3514" s="849"/>
      <c r="O3514" s="40"/>
      <c r="P3514" s="602"/>
      <c r="Q3514" s="602"/>
      <c r="R3514" s="602"/>
      <c r="S3514" s="602"/>
      <c r="T3514" s="602"/>
      <c r="U3514" s="602"/>
      <c r="V3514" s="602"/>
      <c r="W3514" s="40"/>
      <c r="X3514" s="504">
        <f t="shared" si="13859"/>
        <v>0</v>
      </c>
      <c r="Y3514" s="849" t="str">
        <f>IFERROR((X3515/X3514),"-")</f>
        <v>-</v>
      </c>
      <c r="Z3514" s="2"/>
      <c r="AA3514" s="884"/>
      <c r="AB3514" s="884"/>
      <c r="AC3514" s="884"/>
      <c r="AD3514" s="762" t="str">
        <f>IFERROR((AC3514/AA3514),"-")</f>
        <v>-</v>
      </c>
      <c r="AE3514" s="2"/>
      <c r="AF3514" s="884"/>
      <c r="AG3514" s="884"/>
      <c r="AH3514" s="884"/>
      <c r="AI3514" s="884"/>
      <c r="AJ3514" s="884"/>
      <c r="AK3514" s="884"/>
      <c r="AL3514" s="884"/>
      <c r="AM3514" s="878"/>
      <c r="AN3514" s="2"/>
      <c r="AO3514" s="884"/>
      <c r="AP3514" s="884"/>
      <c r="AV3514" t="str">
        <f t="shared" si="13855"/>
        <v>Obras Complementares</v>
      </c>
      <c r="AW3514" s="4" t="str">
        <f t="shared" si="13856"/>
        <v>Instalação de tacha refletiva tipo SH-TRP</v>
      </c>
    </row>
    <row r="3515" spans="1:49" ht="15.75">
      <c r="A3515" s="8" t="str">
        <f t="shared" si="13860"/>
        <v>N</v>
      </c>
      <c r="B3515" s="151"/>
      <c r="C3515" s="151"/>
      <c r="D3515" s="123"/>
      <c r="E3515" s="847"/>
      <c r="F3515" s="854"/>
      <c r="G3515" s="40"/>
      <c r="H3515" s="603" t="s">
        <v>38</v>
      </c>
      <c r="I3515" s="504"/>
      <c r="J3515" s="850"/>
      <c r="K3515" s="40"/>
      <c r="L3515" s="603" t="s">
        <v>38</v>
      </c>
      <c r="M3515" s="504">
        <f t="shared" si="13858"/>
        <v>0</v>
      </c>
      <c r="N3515" s="850"/>
      <c r="O3515" s="40"/>
      <c r="P3515" s="602"/>
      <c r="Q3515" s="602"/>
      <c r="R3515" s="602"/>
      <c r="S3515" s="602"/>
      <c r="T3515" s="602"/>
      <c r="U3515" s="602"/>
      <c r="V3515" s="602"/>
      <c r="W3515" s="40"/>
      <c r="X3515" s="504">
        <f t="shared" si="13859"/>
        <v>0</v>
      </c>
      <c r="Y3515" s="850"/>
      <c r="Z3515" s="2"/>
      <c r="AA3515" s="885"/>
      <c r="AB3515" s="885"/>
      <c r="AC3515" s="885"/>
      <c r="AD3515" s="763"/>
      <c r="AE3515" s="2"/>
      <c r="AF3515" s="885"/>
      <c r="AG3515" s="885"/>
      <c r="AH3515" s="885"/>
      <c r="AI3515" s="885"/>
      <c r="AJ3515" s="885"/>
      <c r="AK3515" s="885"/>
      <c r="AL3515" s="885"/>
      <c r="AM3515" s="879"/>
      <c r="AN3515" s="2"/>
      <c r="AO3515" s="885"/>
      <c r="AP3515" s="885"/>
      <c r="AV3515" t="str">
        <f t="shared" si="13855"/>
        <v>Obras Complementares</v>
      </c>
      <c r="AW3515" s="4" t="str">
        <f t="shared" si="13856"/>
        <v>Instalação de tacha refletiva tipo SH-TRP</v>
      </c>
    </row>
    <row r="3516" spans="1:49">
      <c r="A3516" s="209">
        <v>0</v>
      </c>
      <c r="B3516" s="110"/>
      <c r="C3516" s="110"/>
      <c r="D3516" s="110"/>
      <c r="E3516" s="16"/>
      <c r="F3516" s="59"/>
      <c r="G3516" s="3"/>
      <c r="I3516" s="58"/>
      <c r="M3516" s="58"/>
      <c r="O3516" s="4"/>
      <c r="P3516" s="7"/>
      <c r="Q3516" s="7"/>
      <c r="R3516" s="7"/>
      <c r="S3516" s="7"/>
      <c r="T3516" s="7"/>
      <c r="U3516" s="7"/>
      <c r="V3516" s="7"/>
      <c r="W3516" s="6"/>
      <c r="X3516" s="48"/>
      <c r="Z3516" s="4"/>
      <c r="AE3516" s="4"/>
      <c r="AN3516" s="4"/>
    </row>
    <row r="3517" spans="1:49">
      <c r="A3517" s="209">
        <v>0</v>
      </c>
    </row>
    <row r="3527" spans="16:16">
      <c r="P3527" s="58"/>
    </row>
    <row r="3528" spans="16:16">
      <c r="P3528" s="58"/>
    </row>
  </sheetData>
  <autoFilter ref="A8:D3517" xr:uid="{7D94AB3D-06E0-4637-9F3F-BA418333F8DF}"/>
  <dataConsolidate/>
  <mergeCells count="31953">
    <mergeCell ref="E3514:E3515"/>
    <mergeCell ref="F3514:F3515"/>
    <mergeCell ref="J3514:J3515"/>
    <mergeCell ref="N3514:N3515"/>
    <mergeCell ref="Y3514:Y3515"/>
    <mergeCell ref="AA3514:AA3515"/>
    <mergeCell ref="AB3514:AB3515"/>
    <mergeCell ref="AC3514:AC3515"/>
    <mergeCell ref="AD3514:AD3515"/>
    <mergeCell ref="AF3514:AF3515"/>
    <mergeCell ref="AG3514:AG3515"/>
    <mergeCell ref="AH3514:AH3515"/>
    <mergeCell ref="AI3514:AI3515"/>
    <mergeCell ref="AJ3514:AJ3515"/>
    <mergeCell ref="AK3514:AK3515"/>
    <mergeCell ref="AL3514:AL3515"/>
    <mergeCell ref="AM3514:AM3515"/>
    <mergeCell ref="AO3514:AO3515"/>
    <mergeCell ref="AP3514:AP3515"/>
    <mergeCell ref="AF3503:AF3504"/>
    <mergeCell ref="AG3503:AG3504"/>
    <mergeCell ref="AH3503:AH3504"/>
    <mergeCell ref="AI3503:AI3504"/>
    <mergeCell ref="AJ3503:AJ3504"/>
    <mergeCell ref="AK3503:AK3504"/>
    <mergeCell ref="AL3503:AL3504"/>
    <mergeCell ref="AM3503:AM3504"/>
    <mergeCell ref="AO3503:AO3504"/>
    <mergeCell ref="AP3503:AP3504"/>
    <mergeCell ref="E3510:E3511"/>
    <mergeCell ref="F3510:F3511"/>
    <mergeCell ref="J3510:J3511"/>
    <mergeCell ref="N3510:N3511"/>
    <mergeCell ref="Y3510:Y3511"/>
    <mergeCell ref="AA3510:AA3511"/>
    <mergeCell ref="AB3510:AB3511"/>
    <mergeCell ref="AC3510:AC3511"/>
    <mergeCell ref="AD3510:AD3511"/>
    <mergeCell ref="AF3510:AF3511"/>
    <mergeCell ref="AG3510:AG3511"/>
    <mergeCell ref="AH3510:AH3511"/>
    <mergeCell ref="AI3510:AI3511"/>
    <mergeCell ref="AJ3510:AJ3511"/>
    <mergeCell ref="AK3510:AK3511"/>
    <mergeCell ref="AL3510:AL3511"/>
    <mergeCell ref="AM3510:AM3511"/>
    <mergeCell ref="AO3510:AO3511"/>
    <mergeCell ref="AP3510:AP3511"/>
    <mergeCell ref="E3512:E3513"/>
    <mergeCell ref="F3512:F3513"/>
    <mergeCell ref="J3512:J3513"/>
    <mergeCell ref="N3512:N3513"/>
    <mergeCell ref="Y3512:Y3513"/>
    <mergeCell ref="AA3512:AA3513"/>
    <mergeCell ref="AB3512:AB3513"/>
    <mergeCell ref="AC3512:AC3513"/>
    <mergeCell ref="AD3512:AD3513"/>
    <mergeCell ref="AF3512:AF3513"/>
    <mergeCell ref="AG3512:AG3513"/>
    <mergeCell ref="AH3512:AH3513"/>
    <mergeCell ref="AI3512:AI3513"/>
    <mergeCell ref="AJ3512:AJ3513"/>
    <mergeCell ref="AK3512:AK3513"/>
    <mergeCell ref="AL3512:AL3513"/>
    <mergeCell ref="AM3512:AM3513"/>
    <mergeCell ref="AO3512:AO3513"/>
    <mergeCell ref="AP3512:AP3513"/>
    <mergeCell ref="J3415:J3416"/>
    <mergeCell ref="E3482:E3483"/>
    <mergeCell ref="F3482:F3483"/>
    <mergeCell ref="J3482:J3483"/>
    <mergeCell ref="N3482:N3483"/>
    <mergeCell ref="Y3482:Y3483"/>
    <mergeCell ref="AA3482:AA3483"/>
    <mergeCell ref="AB3482:AB3483"/>
    <mergeCell ref="AC3482:AC3483"/>
    <mergeCell ref="AD3482:AD3483"/>
    <mergeCell ref="AF3482:AF3483"/>
    <mergeCell ref="AG3482:AG3483"/>
    <mergeCell ref="AH3482:AH3483"/>
    <mergeCell ref="AI3482:AI3483"/>
    <mergeCell ref="AJ3482:AJ3483"/>
    <mergeCell ref="AK3482:AK3483"/>
    <mergeCell ref="AL3482:AL3483"/>
    <mergeCell ref="AM3482:AM3483"/>
    <mergeCell ref="AO3482:AO3483"/>
    <mergeCell ref="AP3482:AP3483"/>
    <mergeCell ref="E3484:E3485"/>
    <mergeCell ref="F3484:F3485"/>
    <mergeCell ref="J3484:J3485"/>
    <mergeCell ref="N3484:N3485"/>
    <mergeCell ref="Y3484:Y3485"/>
    <mergeCell ref="AA3484:AA3485"/>
    <mergeCell ref="AB3484:AB3485"/>
    <mergeCell ref="AC3484:AC3485"/>
    <mergeCell ref="AD3484:AD3485"/>
    <mergeCell ref="AF3484:AF3485"/>
    <mergeCell ref="AG3484:AG3485"/>
    <mergeCell ref="AH3484:AH3485"/>
    <mergeCell ref="AI3484:AI3485"/>
    <mergeCell ref="AJ3484:AJ3485"/>
    <mergeCell ref="AK3484:AK3485"/>
    <mergeCell ref="AL3484:AL3485"/>
    <mergeCell ref="AM3484:AM3485"/>
    <mergeCell ref="AO3484:AO3485"/>
    <mergeCell ref="AP3484:AP3485"/>
    <mergeCell ref="E3508:E3509"/>
    <mergeCell ref="F3508:F3509"/>
    <mergeCell ref="J3508:J3509"/>
    <mergeCell ref="N3508:N3509"/>
    <mergeCell ref="Y3508:Y3509"/>
    <mergeCell ref="AA3508:AA3509"/>
    <mergeCell ref="AB3508:AB3509"/>
    <mergeCell ref="AC3508:AC3509"/>
    <mergeCell ref="AD3508:AD3509"/>
    <mergeCell ref="AF3508:AF3509"/>
    <mergeCell ref="AG3508:AG3509"/>
    <mergeCell ref="AH3508:AH3509"/>
    <mergeCell ref="AI3508:AI3509"/>
    <mergeCell ref="AJ3508:AJ3509"/>
    <mergeCell ref="AK3508:AK3509"/>
    <mergeCell ref="AL3508:AL3509"/>
    <mergeCell ref="AM3508:AM3509"/>
    <mergeCell ref="AO3508:AO3509"/>
    <mergeCell ref="AP3508:AP3509"/>
    <mergeCell ref="E3506:E3507"/>
    <mergeCell ref="F3506:F3507"/>
    <mergeCell ref="J3506:J3507"/>
    <mergeCell ref="E3411:E3412"/>
    <mergeCell ref="F3411:F3412"/>
    <mergeCell ref="J3411:J3412"/>
    <mergeCell ref="N3411:N3412"/>
    <mergeCell ref="Y3411:Y3412"/>
    <mergeCell ref="AA3411:AA3412"/>
    <mergeCell ref="AB3411:AB3412"/>
    <mergeCell ref="AC3411:AC3412"/>
    <mergeCell ref="AD3411:AD3412"/>
    <mergeCell ref="AF3411:AF3412"/>
    <mergeCell ref="AG3411:AG3412"/>
    <mergeCell ref="AH3411:AH3412"/>
    <mergeCell ref="AI3411:AI3412"/>
    <mergeCell ref="AJ3411:AJ3412"/>
    <mergeCell ref="AK3411:AK3412"/>
    <mergeCell ref="AL3411:AL3412"/>
    <mergeCell ref="AM3411:AM3412"/>
    <mergeCell ref="AO3411:AO3412"/>
    <mergeCell ref="AP3411:AP3412"/>
    <mergeCell ref="E3413:E3414"/>
    <mergeCell ref="F3413:F3414"/>
    <mergeCell ref="J3413:J3414"/>
    <mergeCell ref="N3413:N3414"/>
    <mergeCell ref="Y3413:Y3414"/>
    <mergeCell ref="AA3413:AA3414"/>
    <mergeCell ref="AB3413:AB3414"/>
    <mergeCell ref="AC3413:AC3414"/>
    <mergeCell ref="AD3413:AD3414"/>
    <mergeCell ref="AF3413:AF3414"/>
    <mergeCell ref="AG3413:AG3414"/>
    <mergeCell ref="AH3413:AH3414"/>
    <mergeCell ref="AI3413:AI3414"/>
    <mergeCell ref="AJ3413:AJ3414"/>
    <mergeCell ref="AK3413:AK3414"/>
    <mergeCell ref="AL3413:AL3414"/>
    <mergeCell ref="AM3413:AM3414"/>
    <mergeCell ref="AO3413:AO3414"/>
    <mergeCell ref="AP3413:AP3414"/>
    <mergeCell ref="J3373:J3374"/>
    <mergeCell ref="N3373:N3374"/>
    <mergeCell ref="Y3373:Y3374"/>
    <mergeCell ref="AA3373:AA3374"/>
    <mergeCell ref="AB3373:AB3374"/>
    <mergeCell ref="AC3373:AC3374"/>
    <mergeCell ref="AD3373:AD3374"/>
    <mergeCell ref="AF3373:AF3374"/>
    <mergeCell ref="AG3373:AG3374"/>
    <mergeCell ref="AH3373:AH3374"/>
    <mergeCell ref="AI3373:AI3374"/>
    <mergeCell ref="AJ3373:AJ3374"/>
    <mergeCell ref="AK3373:AK3374"/>
    <mergeCell ref="AL3373:AL3374"/>
    <mergeCell ref="AM3373:AM3374"/>
    <mergeCell ref="AO3373:AO3374"/>
    <mergeCell ref="AP3373:AP3374"/>
    <mergeCell ref="E3409:E3410"/>
    <mergeCell ref="F3409:F3410"/>
    <mergeCell ref="N3409:N3410"/>
    <mergeCell ref="Y3409:Y3410"/>
    <mergeCell ref="AA3409:AA3410"/>
    <mergeCell ref="AB3409:AB3410"/>
    <mergeCell ref="AC3409:AC3410"/>
    <mergeCell ref="AD3409:AD3410"/>
    <mergeCell ref="AF3409:AF3410"/>
    <mergeCell ref="AG3409:AG3410"/>
    <mergeCell ref="AH3409:AH3410"/>
    <mergeCell ref="AI3409:AI3410"/>
    <mergeCell ref="AJ3409:AJ3410"/>
    <mergeCell ref="AK3409:AK3410"/>
    <mergeCell ref="AL3409:AL3410"/>
    <mergeCell ref="AM3409:AM3410"/>
    <mergeCell ref="AO3409:AO3410"/>
    <mergeCell ref="AP3409:AP3410"/>
    <mergeCell ref="E3405:E3406"/>
    <mergeCell ref="F3405:F3406"/>
    <mergeCell ref="J3405:J3406"/>
    <mergeCell ref="N3405:N3406"/>
    <mergeCell ref="Y3405:Y3406"/>
    <mergeCell ref="AA3405:AA3406"/>
    <mergeCell ref="AB3405:AB3406"/>
    <mergeCell ref="AC3405:AC3406"/>
    <mergeCell ref="AD3405:AD3406"/>
    <mergeCell ref="AF3405:AF3406"/>
    <mergeCell ref="AG3405:AG3406"/>
    <mergeCell ref="AH3405:AH3406"/>
    <mergeCell ref="AI3405:AI3406"/>
    <mergeCell ref="AJ3405:AJ3406"/>
    <mergeCell ref="AK3405:AK3406"/>
    <mergeCell ref="AL3405:AL3406"/>
    <mergeCell ref="AM3405:AM3406"/>
    <mergeCell ref="AO3405:AO3406"/>
    <mergeCell ref="AP3405:AP3406"/>
    <mergeCell ref="E3407:E3408"/>
    <mergeCell ref="F3407:F3408"/>
    <mergeCell ref="J3407:J3408"/>
    <mergeCell ref="AB3347:AB3348"/>
    <mergeCell ref="AC3347:AC3348"/>
    <mergeCell ref="AD3347:AD3348"/>
    <mergeCell ref="AF3347:AF3348"/>
    <mergeCell ref="AG3347:AG3348"/>
    <mergeCell ref="AH3347:AH3348"/>
    <mergeCell ref="AI3347:AI3348"/>
    <mergeCell ref="AJ3347:AJ3348"/>
    <mergeCell ref="AK3347:AK3348"/>
    <mergeCell ref="AL3347:AL3348"/>
    <mergeCell ref="AM3347:AM3348"/>
    <mergeCell ref="AO3347:AO3348"/>
    <mergeCell ref="AP3347:AP3348"/>
    <mergeCell ref="E3358:E3359"/>
    <mergeCell ref="F3358:F3359"/>
    <mergeCell ref="J3358:J3359"/>
    <mergeCell ref="N3358:N3359"/>
    <mergeCell ref="Y3358:Y3359"/>
    <mergeCell ref="AA3358:AA3359"/>
    <mergeCell ref="AB3358:AB3359"/>
    <mergeCell ref="AC3358:AC3359"/>
    <mergeCell ref="AD3358:AD3359"/>
    <mergeCell ref="AF3358:AF3359"/>
    <mergeCell ref="AG3358:AG3359"/>
    <mergeCell ref="AH3358:AH3359"/>
    <mergeCell ref="AI3358:AI3359"/>
    <mergeCell ref="AJ3358:AJ3359"/>
    <mergeCell ref="AK3358:AK3359"/>
    <mergeCell ref="AL3358:AL3359"/>
    <mergeCell ref="AM3358:AM3359"/>
    <mergeCell ref="AO3358:AO3359"/>
    <mergeCell ref="AP3358:AP3359"/>
    <mergeCell ref="E3360:E3361"/>
    <mergeCell ref="F3360:F3361"/>
    <mergeCell ref="J3360:J3361"/>
    <mergeCell ref="N3360:N3361"/>
    <mergeCell ref="Y3360:Y3361"/>
    <mergeCell ref="AA3360:AA3361"/>
    <mergeCell ref="AB3360:AB3361"/>
    <mergeCell ref="AC3360:AC3361"/>
    <mergeCell ref="AD3360:AD3361"/>
    <mergeCell ref="AF3360:AF3361"/>
    <mergeCell ref="AG3360:AG3361"/>
    <mergeCell ref="AH3360:AH3361"/>
    <mergeCell ref="AI3360:AI3361"/>
    <mergeCell ref="AJ3360:AJ3361"/>
    <mergeCell ref="AK3360:AK3361"/>
    <mergeCell ref="AL3360:AL3361"/>
    <mergeCell ref="AM3360:AM3361"/>
    <mergeCell ref="AO3360:AO3361"/>
    <mergeCell ref="AP3360:AP3361"/>
    <mergeCell ref="F3350:F3351"/>
    <mergeCell ref="J3350:J3351"/>
    <mergeCell ref="N3350:N3351"/>
    <mergeCell ref="Y3350:Y3351"/>
    <mergeCell ref="AA3350:AA3351"/>
    <mergeCell ref="AB3350:AB3351"/>
    <mergeCell ref="AC3350:AC3351"/>
    <mergeCell ref="AD3350:AD3351"/>
    <mergeCell ref="AF3350:AF3351"/>
    <mergeCell ref="AG3350:AG3351"/>
    <mergeCell ref="AH3350:AH3351"/>
    <mergeCell ref="AI3350:AI3351"/>
    <mergeCell ref="AJ3350:AJ3351"/>
    <mergeCell ref="E3343:E3344"/>
    <mergeCell ref="F3343:F3344"/>
    <mergeCell ref="J3343:J3344"/>
    <mergeCell ref="N3343:N3344"/>
    <mergeCell ref="Y3343:Y3344"/>
    <mergeCell ref="AA3343:AA3344"/>
    <mergeCell ref="AB3343:AB3344"/>
    <mergeCell ref="AC3343:AC3344"/>
    <mergeCell ref="AD3343:AD3344"/>
    <mergeCell ref="AF3343:AF3344"/>
    <mergeCell ref="AG3343:AG3344"/>
    <mergeCell ref="AH3343:AH3344"/>
    <mergeCell ref="AI3343:AI3344"/>
    <mergeCell ref="AJ3343:AJ3344"/>
    <mergeCell ref="AK3343:AK3344"/>
    <mergeCell ref="AL3343:AL3344"/>
    <mergeCell ref="AM3343:AM3344"/>
    <mergeCell ref="AO3343:AO3344"/>
    <mergeCell ref="AP3343:AP3344"/>
    <mergeCell ref="AF3333:AF3334"/>
    <mergeCell ref="AG3333:AG3334"/>
    <mergeCell ref="AH3333:AH3334"/>
    <mergeCell ref="AI3333:AI3334"/>
    <mergeCell ref="AJ3333:AJ3334"/>
    <mergeCell ref="AK3333:AK3334"/>
    <mergeCell ref="AL3333:AL3334"/>
    <mergeCell ref="AM3333:AM3334"/>
    <mergeCell ref="AO3333:AO3334"/>
    <mergeCell ref="AP3333:AP3334"/>
    <mergeCell ref="AB3325:AB3326"/>
    <mergeCell ref="AC3325:AC3326"/>
    <mergeCell ref="AD3325:AD3326"/>
    <mergeCell ref="AF3325:AF3326"/>
    <mergeCell ref="AG3325:AG3326"/>
    <mergeCell ref="AH3325:AH3326"/>
    <mergeCell ref="AI3325:AI3326"/>
    <mergeCell ref="AJ3325:AJ3326"/>
    <mergeCell ref="AK3325:AK3326"/>
    <mergeCell ref="AL3325:AL3326"/>
    <mergeCell ref="AM3325:AM3326"/>
    <mergeCell ref="AO3325:AO3326"/>
    <mergeCell ref="AP3325:AP3326"/>
    <mergeCell ref="E3331:E3332"/>
    <mergeCell ref="F3331:F3332"/>
    <mergeCell ref="J3331:J3332"/>
    <mergeCell ref="AF3281:AF3282"/>
    <mergeCell ref="AG3281:AG3282"/>
    <mergeCell ref="AH3281:AH3282"/>
    <mergeCell ref="AI3281:AI3282"/>
    <mergeCell ref="AJ3281:AJ3282"/>
    <mergeCell ref="AK3281:AK3282"/>
    <mergeCell ref="AL3281:AL3282"/>
    <mergeCell ref="AM3281:AM3282"/>
    <mergeCell ref="AO3281:AO3282"/>
    <mergeCell ref="AP3281:AP3282"/>
    <mergeCell ref="E3301:E3302"/>
    <mergeCell ref="F3301:F3302"/>
    <mergeCell ref="J3301:J3302"/>
    <mergeCell ref="N3301:N3302"/>
    <mergeCell ref="Y3301:Y3302"/>
    <mergeCell ref="AA3301:AA3302"/>
    <mergeCell ref="AB3301:AB3302"/>
    <mergeCell ref="AC3301:AC3302"/>
    <mergeCell ref="AD3301:AD3302"/>
    <mergeCell ref="AF3301:AF3302"/>
    <mergeCell ref="AG3301:AG3302"/>
    <mergeCell ref="AH3301:AH3302"/>
    <mergeCell ref="AI3301:AI3302"/>
    <mergeCell ref="AJ3301:AJ3302"/>
    <mergeCell ref="AK3301:AK3302"/>
    <mergeCell ref="AL3301:AL3302"/>
    <mergeCell ref="AM3301:AM3302"/>
    <mergeCell ref="AO3301:AO3302"/>
    <mergeCell ref="AP3301:AP3302"/>
    <mergeCell ref="E3317:E3318"/>
    <mergeCell ref="F3317:F3318"/>
    <mergeCell ref="J3317:J3318"/>
    <mergeCell ref="N3317:N3318"/>
    <mergeCell ref="Y3317:Y3318"/>
    <mergeCell ref="AA3317:AA3318"/>
    <mergeCell ref="AB3317:AB3318"/>
    <mergeCell ref="AC3317:AC3318"/>
    <mergeCell ref="AD3317:AD3318"/>
    <mergeCell ref="AF3317:AF3318"/>
    <mergeCell ref="AG3317:AG3318"/>
    <mergeCell ref="AH3317:AH3318"/>
    <mergeCell ref="AI3317:AI3318"/>
    <mergeCell ref="AJ3317:AJ3318"/>
    <mergeCell ref="AK3317:AK3318"/>
    <mergeCell ref="AL3317:AL3318"/>
    <mergeCell ref="AM3317:AM3318"/>
    <mergeCell ref="AO3317:AO3318"/>
    <mergeCell ref="AP3317:AP3318"/>
    <mergeCell ref="AA3299:AA3300"/>
    <mergeCell ref="AB3299:AB3300"/>
    <mergeCell ref="AC3299:AC3300"/>
    <mergeCell ref="AD3299:AD3300"/>
    <mergeCell ref="AF3299:AF3300"/>
    <mergeCell ref="AG3299:AG3300"/>
    <mergeCell ref="AH3299:AH3300"/>
    <mergeCell ref="AI3299:AI3300"/>
    <mergeCell ref="AJ3299:AJ3300"/>
    <mergeCell ref="AK3299:AK3300"/>
    <mergeCell ref="AL3299:AL3300"/>
    <mergeCell ref="AM3299:AM3300"/>
    <mergeCell ref="AO3299:AO3300"/>
    <mergeCell ref="AP3299:AP3300"/>
    <mergeCell ref="E3315:E3316"/>
    <mergeCell ref="F3315:F3316"/>
    <mergeCell ref="AD3221:AD3222"/>
    <mergeCell ref="AF3221:AF3222"/>
    <mergeCell ref="AG3221:AG3222"/>
    <mergeCell ref="AH3221:AH3222"/>
    <mergeCell ref="AI3221:AI3222"/>
    <mergeCell ref="AJ3221:AJ3222"/>
    <mergeCell ref="AK3221:AK3222"/>
    <mergeCell ref="AL3221:AL3222"/>
    <mergeCell ref="AM3221:AM3222"/>
    <mergeCell ref="AO3221:AO3222"/>
    <mergeCell ref="AP3221:AP3222"/>
    <mergeCell ref="E3219:E3220"/>
    <mergeCell ref="AG3270:AG3271"/>
    <mergeCell ref="AH3270:AH3271"/>
    <mergeCell ref="AI3270:AI3271"/>
    <mergeCell ref="AJ3270:AJ3271"/>
    <mergeCell ref="AK3270:AK3271"/>
    <mergeCell ref="AL3270:AL3271"/>
    <mergeCell ref="AM3270:AM3271"/>
    <mergeCell ref="AO3270:AO3271"/>
    <mergeCell ref="AP3270:AP3271"/>
    <mergeCell ref="E3272:E3273"/>
    <mergeCell ref="F3272:F3273"/>
    <mergeCell ref="J3272:J3273"/>
    <mergeCell ref="N3272:N3273"/>
    <mergeCell ref="Y3272:Y3273"/>
    <mergeCell ref="AA3272:AA3273"/>
    <mergeCell ref="AB3272:AB3273"/>
    <mergeCell ref="AC3272:AC3273"/>
    <mergeCell ref="AD3272:AD3273"/>
    <mergeCell ref="AF3272:AF3273"/>
    <mergeCell ref="AG3272:AG3273"/>
    <mergeCell ref="AH3272:AH3273"/>
    <mergeCell ref="AI3272:AI3273"/>
    <mergeCell ref="AJ3272:AJ3273"/>
    <mergeCell ref="AK3272:AK3273"/>
    <mergeCell ref="AL3272:AL3273"/>
    <mergeCell ref="AM3272:AM3273"/>
    <mergeCell ref="AO3272:AO3273"/>
    <mergeCell ref="AP3272:AP3273"/>
    <mergeCell ref="AI3143:AI3144"/>
    <mergeCell ref="AJ3143:AJ3144"/>
    <mergeCell ref="AK3143:AK3144"/>
    <mergeCell ref="AL3143:AL3144"/>
    <mergeCell ref="AM3143:AM3144"/>
    <mergeCell ref="AO3143:AO3144"/>
    <mergeCell ref="AP3143:AP3144"/>
    <mergeCell ref="E3217:E3218"/>
    <mergeCell ref="F3217:F3218"/>
    <mergeCell ref="J3217:J3218"/>
    <mergeCell ref="N3217:N3218"/>
    <mergeCell ref="Y3217:Y3218"/>
    <mergeCell ref="AA3217:AA3218"/>
    <mergeCell ref="AB3217:AB3218"/>
    <mergeCell ref="AC3217:AC3218"/>
    <mergeCell ref="AD3217:AD3218"/>
    <mergeCell ref="AF3217:AF3218"/>
    <mergeCell ref="AG3217:AG3218"/>
    <mergeCell ref="AH3217:AH3218"/>
    <mergeCell ref="AI3217:AI3218"/>
    <mergeCell ref="AJ3217:AJ3218"/>
    <mergeCell ref="AK3217:AK3218"/>
    <mergeCell ref="AL3217:AL3218"/>
    <mergeCell ref="AM3217:AM3218"/>
    <mergeCell ref="AO3217:AO3218"/>
    <mergeCell ref="AP3217:AP3218"/>
    <mergeCell ref="AD3167:AD3168"/>
    <mergeCell ref="AF3167:AF3168"/>
    <mergeCell ref="AG3167:AG3168"/>
    <mergeCell ref="AH3167:AH3168"/>
    <mergeCell ref="AI3167:AI3168"/>
    <mergeCell ref="AJ3167:AJ3168"/>
    <mergeCell ref="AK3167:AK3168"/>
    <mergeCell ref="AL3167:AL3168"/>
    <mergeCell ref="AM3167:AM3168"/>
    <mergeCell ref="AO3167:AO3168"/>
    <mergeCell ref="AO3175:AO3176"/>
    <mergeCell ref="AC3171:AC3172"/>
    <mergeCell ref="AD3171:AD3172"/>
    <mergeCell ref="AF3171:AF3172"/>
    <mergeCell ref="AG3171:AG3172"/>
    <mergeCell ref="AH3171:AH3172"/>
    <mergeCell ref="AI3171:AI3172"/>
    <mergeCell ref="AJ3171:AJ3172"/>
    <mergeCell ref="AK3171:AK3172"/>
    <mergeCell ref="AP3175:AP3176"/>
    <mergeCell ref="AP3167:AP3168"/>
    <mergeCell ref="E3169:E3170"/>
    <mergeCell ref="F3169:F3170"/>
    <mergeCell ref="J3169:J3170"/>
    <mergeCell ref="N3169:N3170"/>
    <mergeCell ref="Y3169:Y3170"/>
    <mergeCell ref="E3060:E3061"/>
    <mergeCell ref="F3060:F3061"/>
    <mergeCell ref="J3060:J3061"/>
    <mergeCell ref="N3060:N3061"/>
    <mergeCell ref="Y3060:Y3061"/>
    <mergeCell ref="AA3060:AA3061"/>
    <mergeCell ref="AB3060:AB3061"/>
    <mergeCell ref="AC3060:AC3061"/>
    <mergeCell ref="AD3060:AD3061"/>
    <mergeCell ref="AF3060:AF3061"/>
    <mergeCell ref="AG3060:AG3061"/>
    <mergeCell ref="AH3060:AH3061"/>
    <mergeCell ref="AI3060:AI3061"/>
    <mergeCell ref="AJ3060:AJ3061"/>
    <mergeCell ref="AK3060:AK3061"/>
    <mergeCell ref="AL3060:AL3061"/>
    <mergeCell ref="AM3060:AM3061"/>
    <mergeCell ref="AO3060:AO3061"/>
    <mergeCell ref="AP3060:AP3061"/>
    <mergeCell ref="E3093:E3094"/>
    <mergeCell ref="F3093:F3094"/>
    <mergeCell ref="J3093:J3094"/>
    <mergeCell ref="N3093:N3094"/>
    <mergeCell ref="Y3093:Y3094"/>
    <mergeCell ref="AA3093:AA3094"/>
    <mergeCell ref="AB3093:AB3094"/>
    <mergeCell ref="AC3093:AC3094"/>
    <mergeCell ref="AD3093:AD3094"/>
    <mergeCell ref="AF3093:AF3094"/>
    <mergeCell ref="AG3093:AG3094"/>
    <mergeCell ref="AH3093:AH3094"/>
    <mergeCell ref="AI3093:AI3094"/>
    <mergeCell ref="AJ3093:AJ3094"/>
    <mergeCell ref="AK3093:AK3094"/>
    <mergeCell ref="AL3093:AL3094"/>
    <mergeCell ref="AM3093:AM3094"/>
    <mergeCell ref="AO3093:AO3094"/>
    <mergeCell ref="AP3093:AP3094"/>
    <mergeCell ref="AC3081:AC3082"/>
    <mergeCell ref="Y3081:Y3082"/>
    <mergeCell ref="AA3081:AA3082"/>
    <mergeCell ref="AB3081:AB3082"/>
    <mergeCell ref="E3087:E3088"/>
    <mergeCell ref="F3087:F3088"/>
    <mergeCell ref="E3081:E3082"/>
    <mergeCell ref="F3081:F3082"/>
    <mergeCell ref="E3069:E3070"/>
    <mergeCell ref="AL3089:AL3090"/>
    <mergeCell ref="E3056:E3057"/>
    <mergeCell ref="F3056:F3057"/>
    <mergeCell ref="J3056:J3057"/>
    <mergeCell ref="N3056:N3057"/>
    <mergeCell ref="Y3056:Y3057"/>
    <mergeCell ref="AA3056:AA3057"/>
    <mergeCell ref="AB3056:AB3057"/>
    <mergeCell ref="AC3056:AC3057"/>
    <mergeCell ref="AD3056:AD3057"/>
    <mergeCell ref="AF3056:AF3057"/>
    <mergeCell ref="AG3056:AG3057"/>
    <mergeCell ref="AH3056:AH3057"/>
    <mergeCell ref="AI3056:AI3057"/>
    <mergeCell ref="AJ3056:AJ3057"/>
    <mergeCell ref="AK3056:AK3057"/>
    <mergeCell ref="AL3056:AL3057"/>
    <mergeCell ref="AM3056:AM3057"/>
    <mergeCell ref="AO3056:AO3057"/>
    <mergeCell ref="AP3056:AP3057"/>
    <mergeCell ref="E3058:E3059"/>
    <mergeCell ref="F3058:F3059"/>
    <mergeCell ref="J3058:J3059"/>
    <mergeCell ref="N3058:N3059"/>
    <mergeCell ref="Y3058:Y3059"/>
    <mergeCell ref="AA3058:AA3059"/>
    <mergeCell ref="AB3058:AB3059"/>
    <mergeCell ref="AC3058:AC3059"/>
    <mergeCell ref="AD3058:AD3059"/>
    <mergeCell ref="AF3058:AF3059"/>
    <mergeCell ref="AG3058:AG3059"/>
    <mergeCell ref="AH3058:AH3059"/>
    <mergeCell ref="AI3058:AI3059"/>
    <mergeCell ref="AJ3058:AJ3059"/>
    <mergeCell ref="AK3058:AK3059"/>
    <mergeCell ref="AL3058:AL3059"/>
    <mergeCell ref="AM3058:AM3059"/>
    <mergeCell ref="AO3058:AO3059"/>
    <mergeCell ref="AP3058:AP3059"/>
    <mergeCell ref="AP2848:AP2849"/>
    <mergeCell ref="E2952:E2953"/>
    <mergeCell ref="F2952:F2953"/>
    <mergeCell ref="J2952:J2953"/>
    <mergeCell ref="N2952:N2953"/>
    <mergeCell ref="Y2952:Y2953"/>
    <mergeCell ref="AA2952:AA2953"/>
    <mergeCell ref="AB2952:AB2953"/>
    <mergeCell ref="AC2952:AC2953"/>
    <mergeCell ref="AD2952:AD2953"/>
    <mergeCell ref="AF2952:AF2953"/>
    <mergeCell ref="AG2952:AG2953"/>
    <mergeCell ref="AH2952:AH2953"/>
    <mergeCell ref="AI2952:AI2953"/>
    <mergeCell ref="AJ2952:AJ2953"/>
    <mergeCell ref="AK2952:AK2953"/>
    <mergeCell ref="AL2952:AL2953"/>
    <mergeCell ref="AM2952:AM2953"/>
    <mergeCell ref="AO2952:AO2953"/>
    <mergeCell ref="AP2952:AP2953"/>
    <mergeCell ref="AG2950:AG2951"/>
    <mergeCell ref="AH2950:AH2951"/>
    <mergeCell ref="AI2950:AI2951"/>
    <mergeCell ref="AJ2950:AJ2951"/>
    <mergeCell ref="AK2950:AK2951"/>
    <mergeCell ref="AL2950:AL2951"/>
    <mergeCell ref="AM2950:AM2951"/>
    <mergeCell ref="AO2950:AO2951"/>
    <mergeCell ref="AP2950:AP2951"/>
    <mergeCell ref="AK2894:AK2895"/>
    <mergeCell ref="AL2894:AL2895"/>
    <mergeCell ref="AJ2896:AJ2897"/>
    <mergeCell ref="J2896:J2897"/>
    <mergeCell ref="AG2896:AG2897"/>
    <mergeCell ref="AH2896:AH2897"/>
    <mergeCell ref="J2866:J2867"/>
    <mergeCell ref="N2866:N2867"/>
    <mergeCell ref="AI2910:AI2911"/>
    <mergeCell ref="AM2946:AM2947"/>
    <mergeCell ref="AP2946:AP2947"/>
    <mergeCell ref="E2730:E2731"/>
    <mergeCell ref="F2730:F2731"/>
    <mergeCell ref="J2730:J2731"/>
    <mergeCell ref="N2730:N2731"/>
    <mergeCell ref="Y2730:Y2731"/>
    <mergeCell ref="AA2730:AA2731"/>
    <mergeCell ref="AB2730:AB2731"/>
    <mergeCell ref="AC2730:AC2731"/>
    <mergeCell ref="AD2730:AD2731"/>
    <mergeCell ref="AF2730:AF2731"/>
    <mergeCell ref="AG2730:AG2731"/>
    <mergeCell ref="AH2730:AH2731"/>
    <mergeCell ref="AI2730:AI2731"/>
    <mergeCell ref="AJ2730:AJ2731"/>
    <mergeCell ref="AK2730:AK2731"/>
    <mergeCell ref="AL2730:AL2731"/>
    <mergeCell ref="AM2730:AM2731"/>
    <mergeCell ref="AO2730:AO2731"/>
    <mergeCell ref="AP2730:AP2731"/>
    <mergeCell ref="E2756:E2757"/>
    <mergeCell ref="F2756:F2757"/>
    <mergeCell ref="J2756:J2757"/>
    <mergeCell ref="N2756:N2757"/>
    <mergeCell ref="Y2756:Y2757"/>
    <mergeCell ref="AA2756:AA2757"/>
    <mergeCell ref="AB2756:AB2757"/>
    <mergeCell ref="AC2756:AC2757"/>
    <mergeCell ref="AD2756:AD2757"/>
    <mergeCell ref="AF2756:AF2757"/>
    <mergeCell ref="AG2756:AG2757"/>
    <mergeCell ref="AH2756:AH2757"/>
    <mergeCell ref="AI2756:AI2757"/>
    <mergeCell ref="AJ2756:AJ2757"/>
    <mergeCell ref="AK2756:AK2757"/>
    <mergeCell ref="AL2756:AL2757"/>
    <mergeCell ref="AM2756:AM2757"/>
    <mergeCell ref="AO2756:AO2757"/>
    <mergeCell ref="AP2756:AP2757"/>
    <mergeCell ref="AP2734:AP2735"/>
    <mergeCell ref="F2742:F2743"/>
    <mergeCell ref="AP2750:AP2751"/>
    <mergeCell ref="AM2752:AM2753"/>
    <mergeCell ref="AP2752:AP2753"/>
    <mergeCell ref="F2746:F2747"/>
    <mergeCell ref="E2740:E2741"/>
    <mergeCell ref="F2740:F2741"/>
    <mergeCell ref="E2744:E2745"/>
    <mergeCell ref="F2744:F2745"/>
    <mergeCell ref="AJ2738:AJ2739"/>
    <mergeCell ref="E2752:E2753"/>
    <mergeCell ref="F2752:F2753"/>
    <mergeCell ref="AO2734:AO2735"/>
    <mergeCell ref="AM2732:AM2733"/>
    <mergeCell ref="AO2732:AO2733"/>
    <mergeCell ref="AP2732:AP2733"/>
    <mergeCell ref="AA2667:AA2668"/>
    <mergeCell ref="AB2667:AB2668"/>
    <mergeCell ref="AC2667:AC2668"/>
    <mergeCell ref="AD2667:AD2668"/>
    <mergeCell ref="AF2667:AF2668"/>
    <mergeCell ref="AG2667:AG2668"/>
    <mergeCell ref="AH2667:AH2668"/>
    <mergeCell ref="AI2667:AI2668"/>
    <mergeCell ref="AJ2667:AJ2668"/>
    <mergeCell ref="AK2667:AK2668"/>
    <mergeCell ref="AL2667:AL2668"/>
    <mergeCell ref="AM2667:AM2668"/>
    <mergeCell ref="AO2667:AO2668"/>
    <mergeCell ref="AP2667:AP2668"/>
    <mergeCell ref="E2669:E2670"/>
    <mergeCell ref="F2669:F2670"/>
    <mergeCell ref="J2669:J2670"/>
    <mergeCell ref="N2669:N2670"/>
    <mergeCell ref="Y2669:Y2670"/>
    <mergeCell ref="AA2669:AA2670"/>
    <mergeCell ref="AB2669:AB2670"/>
    <mergeCell ref="AC2669:AC2670"/>
    <mergeCell ref="AD2669:AD2670"/>
    <mergeCell ref="AF2669:AF2670"/>
    <mergeCell ref="AG2669:AG2670"/>
    <mergeCell ref="AH2669:AH2670"/>
    <mergeCell ref="AI2669:AI2670"/>
    <mergeCell ref="AJ2669:AJ2670"/>
    <mergeCell ref="AK2669:AK2670"/>
    <mergeCell ref="AL2669:AL2670"/>
    <mergeCell ref="AM2669:AM2670"/>
    <mergeCell ref="AO2669:AO2670"/>
    <mergeCell ref="AP2669:AP2670"/>
    <mergeCell ref="E2601:E2602"/>
    <mergeCell ref="F2601:F2602"/>
    <mergeCell ref="J2601:J2602"/>
    <mergeCell ref="N2601:N2602"/>
    <mergeCell ref="Y2601:Y2602"/>
    <mergeCell ref="AA2601:AA2602"/>
    <mergeCell ref="AB2601:AB2602"/>
    <mergeCell ref="AC2601:AC2602"/>
    <mergeCell ref="AD2601:AD2602"/>
    <mergeCell ref="AF2601:AF2602"/>
    <mergeCell ref="AG2601:AG2602"/>
    <mergeCell ref="AH2601:AH2602"/>
    <mergeCell ref="AI2601:AI2602"/>
    <mergeCell ref="AJ2601:AJ2602"/>
    <mergeCell ref="AK2601:AK2602"/>
    <mergeCell ref="AL2601:AL2602"/>
    <mergeCell ref="AM2601:AM2602"/>
    <mergeCell ref="AO2601:AO2602"/>
    <mergeCell ref="AP2601:AP2602"/>
    <mergeCell ref="E2665:E2666"/>
    <mergeCell ref="F2665:F2666"/>
    <mergeCell ref="J2665:J2666"/>
    <mergeCell ref="N2665:N2666"/>
    <mergeCell ref="Y2665:Y2666"/>
    <mergeCell ref="AA2665:AA2666"/>
    <mergeCell ref="AB2665:AB2666"/>
    <mergeCell ref="AC2665:AC2666"/>
    <mergeCell ref="AD2665:AD2666"/>
    <mergeCell ref="AF2665:AF2666"/>
    <mergeCell ref="AG2665:AG2666"/>
    <mergeCell ref="AH2665:AH2666"/>
    <mergeCell ref="AI2665:AI2666"/>
    <mergeCell ref="AJ2665:AJ2666"/>
    <mergeCell ref="AK2665:AK2666"/>
    <mergeCell ref="AL2665:AL2666"/>
    <mergeCell ref="AM2665:AM2666"/>
    <mergeCell ref="AO2665:AO2666"/>
    <mergeCell ref="AP2665:AP2666"/>
    <mergeCell ref="AF2623:AF2624"/>
    <mergeCell ref="E2605:E2606"/>
    <mergeCell ref="F2605:F2606"/>
    <mergeCell ref="J2605:J2606"/>
    <mergeCell ref="N2605:N2606"/>
    <mergeCell ref="Y2605:Y2606"/>
    <mergeCell ref="AD2623:AD2624"/>
    <mergeCell ref="E2625:E2626"/>
    <mergeCell ref="F2625:F2626"/>
    <mergeCell ref="J2625:J2626"/>
    <mergeCell ref="J2621:J2622"/>
    <mergeCell ref="E2613:E2614"/>
    <mergeCell ref="E2623:E2624"/>
    <mergeCell ref="F2623:F2624"/>
    <mergeCell ref="J2623:J2624"/>
    <mergeCell ref="N2623:N2624"/>
    <mergeCell ref="Y2623:Y2624"/>
    <mergeCell ref="Y2635:Y2636"/>
    <mergeCell ref="F2613:F2614"/>
    <mergeCell ref="J2613:J2614"/>
    <mergeCell ref="E2617:E2618"/>
    <mergeCell ref="Y2401:Y2402"/>
    <mergeCell ref="AA2401:AA2402"/>
    <mergeCell ref="AM2405:AM2406"/>
    <mergeCell ref="AL2401:AL2402"/>
    <mergeCell ref="AO2423:AO2424"/>
    <mergeCell ref="AK2417:AK2418"/>
    <mergeCell ref="AJ2417:AJ2418"/>
    <mergeCell ref="AP2411:AP2412"/>
    <mergeCell ref="AP2413:AP2414"/>
    <mergeCell ref="AO2519:AO2520"/>
    <mergeCell ref="AP2519:AP2520"/>
    <mergeCell ref="E2529:E2530"/>
    <mergeCell ref="F2529:F2530"/>
    <mergeCell ref="J2529:J2530"/>
    <mergeCell ref="N2529:N2530"/>
    <mergeCell ref="Y2529:Y2530"/>
    <mergeCell ref="AA2529:AA2530"/>
    <mergeCell ref="AB2529:AB2530"/>
    <mergeCell ref="AC2529:AC2530"/>
    <mergeCell ref="AD2529:AD2530"/>
    <mergeCell ref="AF2529:AF2530"/>
    <mergeCell ref="AG2529:AG2530"/>
    <mergeCell ref="AH2529:AH2530"/>
    <mergeCell ref="AI2529:AI2530"/>
    <mergeCell ref="AJ2529:AJ2530"/>
    <mergeCell ref="AK2529:AK2530"/>
    <mergeCell ref="AL2529:AL2530"/>
    <mergeCell ref="AM2529:AM2530"/>
    <mergeCell ref="AO2529:AO2530"/>
    <mergeCell ref="AP2529:AP2530"/>
    <mergeCell ref="E2555:E2556"/>
    <mergeCell ref="F2555:F2556"/>
    <mergeCell ref="J2555:J2556"/>
    <mergeCell ref="N2555:N2556"/>
    <mergeCell ref="Y2555:Y2556"/>
    <mergeCell ref="AA2555:AA2556"/>
    <mergeCell ref="AB2555:AB2556"/>
    <mergeCell ref="AC2555:AC2556"/>
    <mergeCell ref="AD2555:AD2556"/>
    <mergeCell ref="AF2555:AF2556"/>
    <mergeCell ref="AG2555:AG2556"/>
    <mergeCell ref="AH2555:AH2556"/>
    <mergeCell ref="AI2555:AI2556"/>
    <mergeCell ref="AJ2555:AJ2556"/>
    <mergeCell ref="AK2555:AK2556"/>
    <mergeCell ref="AL2555:AL2556"/>
    <mergeCell ref="AM2555:AM2556"/>
    <mergeCell ref="AO2555:AO2556"/>
    <mergeCell ref="AP2555:AP2556"/>
    <mergeCell ref="AI2553:AI2554"/>
    <mergeCell ref="AJ2553:AJ2554"/>
    <mergeCell ref="AK2553:AK2554"/>
    <mergeCell ref="AL2553:AL2554"/>
    <mergeCell ref="AM2553:AM2554"/>
    <mergeCell ref="AO2553:AO2554"/>
    <mergeCell ref="AP2553:AP2554"/>
    <mergeCell ref="AD2551:AD2552"/>
    <mergeCell ref="AF2551:AF2552"/>
    <mergeCell ref="AG2551:AG2552"/>
    <mergeCell ref="AH2551:AH2552"/>
    <mergeCell ref="AI2551:AI2552"/>
    <mergeCell ref="AM2551:AM2552"/>
    <mergeCell ref="N2545:N2546"/>
    <mergeCell ref="AO2545:AO2546"/>
    <mergeCell ref="E2449:E2450"/>
    <mergeCell ref="F2449:F2450"/>
    <mergeCell ref="J2449:J2450"/>
    <mergeCell ref="N2449:N2450"/>
    <mergeCell ref="Y2449:Y2450"/>
    <mergeCell ref="AA2449:AA2450"/>
    <mergeCell ref="AB2449:AB2450"/>
    <mergeCell ref="AC2449:AC2450"/>
    <mergeCell ref="AD2449:AD2450"/>
    <mergeCell ref="AF2449:AF2450"/>
    <mergeCell ref="AG2449:AG2450"/>
    <mergeCell ref="AH2449:AH2450"/>
    <mergeCell ref="AI2449:AI2450"/>
    <mergeCell ref="AJ2449:AJ2450"/>
    <mergeCell ref="AK2449:AK2450"/>
    <mergeCell ref="AL2449:AL2450"/>
    <mergeCell ref="AM2449:AM2450"/>
    <mergeCell ref="AO2449:AO2450"/>
    <mergeCell ref="AP2449:AP2450"/>
    <mergeCell ref="AP2447:AP2448"/>
    <mergeCell ref="E2415:E2416"/>
    <mergeCell ref="AG2405:AG2406"/>
    <mergeCell ref="AH2405:AH2406"/>
    <mergeCell ref="AI2405:AI2406"/>
    <mergeCell ref="AM2417:AM2418"/>
    <mergeCell ref="AL2417:AL2418"/>
    <mergeCell ref="AC2417:AC2418"/>
    <mergeCell ref="N2419:N2420"/>
    <mergeCell ref="Y2419:Y2420"/>
    <mergeCell ref="AA2419:AA2420"/>
    <mergeCell ref="AB2419:AB2420"/>
    <mergeCell ref="AC2419:AC2420"/>
    <mergeCell ref="E2419:E2420"/>
    <mergeCell ref="E2417:E2418"/>
    <mergeCell ref="AM2409:AM2410"/>
    <mergeCell ref="AI2407:AI2408"/>
    <mergeCell ref="E2393:E2394"/>
    <mergeCell ref="F2393:F2394"/>
    <mergeCell ref="J2393:J2394"/>
    <mergeCell ref="N2393:N2394"/>
    <mergeCell ref="Y2393:Y2394"/>
    <mergeCell ref="AA2393:AA2394"/>
    <mergeCell ref="AB2393:AB2394"/>
    <mergeCell ref="AC2393:AC2394"/>
    <mergeCell ref="AD2393:AD2394"/>
    <mergeCell ref="AF2393:AF2394"/>
    <mergeCell ref="AG2393:AG2394"/>
    <mergeCell ref="AH2393:AH2394"/>
    <mergeCell ref="AI2393:AI2394"/>
    <mergeCell ref="AJ2393:AJ2394"/>
    <mergeCell ref="AK2393:AK2394"/>
    <mergeCell ref="AL2393:AL2394"/>
    <mergeCell ref="AM2393:AM2394"/>
    <mergeCell ref="AO2393:AO2394"/>
    <mergeCell ref="AP2393:AP2394"/>
    <mergeCell ref="AC2387:AC2388"/>
    <mergeCell ref="AD2387:AD2388"/>
    <mergeCell ref="AF2387:AF2388"/>
    <mergeCell ref="E2389:E2390"/>
    <mergeCell ref="AI2389:AI2390"/>
    <mergeCell ref="AJ2389:AJ2390"/>
    <mergeCell ref="AK2389:AK2390"/>
    <mergeCell ref="AL2389:AL2390"/>
    <mergeCell ref="AM2389:AM2390"/>
    <mergeCell ref="AO2389:AO2390"/>
    <mergeCell ref="AP2389:AP2390"/>
    <mergeCell ref="AL2387:AL2388"/>
    <mergeCell ref="E2397:E2398"/>
    <mergeCell ref="F2397:F2398"/>
    <mergeCell ref="J2397:J2398"/>
    <mergeCell ref="N2397:N2398"/>
    <mergeCell ref="Y2397:Y2398"/>
    <mergeCell ref="AA2397:AA2398"/>
    <mergeCell ref="AB2397:AB2398"/>
    <mergeCell ref="AC2397:AC2398"/>
    <mergeCell ref="AD2397:AD2398"/>
    <mergeCell ref="AF2397:AF2398"/>
    <mergeCell ref="AG2397:AG2398"/>
    <mergeCell ref="AH2397:AH2398"/>
    <mergeCell ref="AI2397:AI2398"/>
    <mergeCell ref="AJ2397:AJ2398"/>
    <mergeCell ref="AK2397:AK2398"/>
    <mergeCell ref="AL2397:AL2398"/>
    <mergeCell ref="AM2397:AM2398"/>
    <mergeCell ref="AO2397:AO2398"/>
    <mergeCell ref="AP2397:AP2398"/>
    <mergeCell ref="AO2337:AO2338"/>
    <mergeCell ref="AP2337:AP2338"/>
    <mergeCell ref="J2367:J2368"/>
    <mergeCell ref="N2367:N2368"/>
    <mergeCell ref="Y2367:Y2368"/>
    <mergeCell ref="AA2367:AA2368"/>
    <mergeCell ref="AB2367:AB2368"/>
    <mergeCell ref="AC2367:AC2368"/>
    <mergeCell ref="AD2367:AD2368"/>
    <mergeCell ref="AF2367:AF2368"/>
    <mergeCell ref="AG2367:AG2368"/>
    <mergeCell ref="AH2367:AH2368"/>
    <mergeCell ref="AI2367:AI2368"/>
    <mergeCell ref="AJ2367:AJ2368"/>
    <mergeCell ref="AK2367:AK2368"/>
    <mergeCell ref="AL2367:AL2368"/>
    <mergeCell ref="AM2367:AM2368"/>
    <mergeCell ref="AO2367:AO2368"/>
    <mergeCell ref="AP2367:AP2368"/>
    <mergeCell ref="E2371:E2372"/>
    <mergeCell ref="F2371:F2372"/>
    <mergeCell ref="J2371:J2372"/>
    <mergeCell ref="N2371:N2372"/>
    <mergeCell ref="Y2371:Y2372"/>
    <mergeCell ref="AA2371:AA2372"/>
    <mergeCell ref="AB2371:AB2372"/>
    <mergeCell ref="AC2371:AC2372"/>
    <mergeCell ref="AD2371:AD2372"/>
    <mergeCell ref="AF2371:AF2372"/>
    <mergeCell ref="AG2371:AG2372"/>
    <mergeCell ref="AH2371:AH2372"/>
    <mergeCell ref="AI2371:AI2372"/>
    <mergeCell ref="AJ2371:AJ2372"/>
    <mergeCell ref="AK2371:AK2372"/>
    <mergeCell ref="AL2371:AL2372"/>
    <mergeCell ref="AM2371:AM2372"/>
    <mergeCell ref="AO2371:AO2372"/>
    <mergeCell ref="AP2371:AP2372"/>
    <mergeCell ref="E2326:E2327"/>
    <mergeCell ref="F2326:F2327"/>
    <mergeCell ref="J2326:J2327"/>
    <mergeCell ref="N2326:N2327"/>
    <mergeCell ref="Y2326:Y2327"/>
    <mergeCell ref="AA2326:AA2327"/>
    <mergeCell ref="AB2326:AB2327"/>
    <mergeCell ref="AC2326:AC2327"/>
    <mergeCell ref="AD2326:AD2327"/>
    <mergeCell ref="AF2326:AF2327"/>
    <mergeCell ref="AG2326:AG2327"/>
    <mergeCell ref="AH2326:AH2327"/>
    <mergeCell ref="AI2326:AI2327"/>
    <mergeCell ref="AJ2326:AJ2327"/>
    <mergeCell ref="AK2326:AK2327"/>
    <mergeCell ref="AL2326:AL2327"/>
    <mergeCell ref="AM2326:AM2327"/>
    <mergeCell ref="AO2326:AO2327"/>
    <mergeCell ref="AP2326:AP2327"/>
    <mergeCell ref="AI2322:AI2323"/>
    <mergeCell ref="AJ2322:AJ2323"/>
    <mergeCell ref="AK2322:AK2323"/>
    <mergeCell ref="AL2322:AL2323"/>
    <mergeCell ref="AM2322:AM2323"/>
    <mergeCell ref="AO2322:AO2323"/>
    <mergeCell ref="AP2322:AP2323"/>
    <mergeCell ref="AA2330:AA2331"/>
    <mergeCell ref="AB2330:AB2331"/>
    <mergeCell ref="AC2330:AC2331"/>
    <mergeCell ref="AD2330:AD2331"/>
    <mergeCell ref="AF2330:AF2331"/>
    <mergeCell ref="AG2330:AG2331"/>
    <mergeCell ref="AH2330:AH2331"/>
    <mergeCell ref="AI2330:AI2331"/>
    <mergeCell ref="AJ2330:AJ2331"/>
    <mergeCell ref="AK2330:AK2331"/>
    <mergeCell ref="AL2330:AL2331"/>
    <mergeCell ref="AM2330:AM2331"/>
    <mergeCell ref="AO2330:AO2331"/>
    <mergeCell ref="AP2330:AP2331"/>
    <mergeCell ref="J2283:J2284"/>
    <mergeCell ref="N2283:N2284"/>
    <mergeCell ref="Y2283:Y2284"/>
    <mergeCell ref="AA2283:AA2284"/>
    <mergeCell ref="AB2283:AB2284"/>
    <mergeCell ref="AC2283:AC2284"/>
    <mergeCell ref="AD2283:AD2284"/>
    <mergeCell ref="AF2283:AF2284"/>
    <mergeCell ref="AG2283:AG2284"/>
    <mergeCell ref="AH2283:AH2284"/>
    <mergeCell ref="AI2283:AI2284"/>
    <mergeCell ref="AJ2283:AJ2284"/>
    <mergeCell ref="AK2283:AK2284"/>
    <mergeCell ref="AL2283:AL2284"/>
    <mergeCell ref="AM2283:AM2284"/>
    <mergeCell ref="AO2283:AO2284"/>
    <mergeCell ref="AP2283:AP2284"/>
    <mergeCell ref="E2287:E2288"/>
    <mergeCell ref="F2287:F2288"/>
    <mergeCell ref="J2287:J2288"/>
    <mergeCell ref="N2287:N2288"/>
    <mergeCell ref="Y2287:Y2288"/>
    <mergeCell ref="AA2287:AA2288"/>
    <mergeCell ref="AB2287:AB2288"/>
    <mergeCell ref="AC2287:AC2288"/>
    <mergeCell ref="AD2287:AD2288"/>
    <mergeCell ref="AF2287:AF2288"/>
    <mergeCell ref="AG2287:AG2288"/>
    <mergeCell ref="AH2287:AH2288"/>
    <mergeCell ref="AI2287:AI2288"/>
    <mergeCell ref="AJ2287:AJ2288"/>
    <mergeCell ref="AK2287:AK2288"/>
    <mergeCell ref="AL2287:AL2288"/>
    <mergeCell ref="AM2287:AM2288"/>
    <mergeCell ref="AO2287:AO2288"/>
    <mergeCell ref="AP2287:AP2288"/>
    <mergeCell ref="AP2124:AP2125"/>
    <mergeCell ref="E2205:E2206"/>
    <mergeCell ref="F2205:F2206"/>
    <mergeCell ref="J2205:J2206"/>
    <mergeCell ref="N2205:N2206"/>
    <mergeCell ref="Y2205:Y2206"/>
    <mergeCell ref="AA2205:AA2206"/>
    <mergeCell ref="AB2205:AB2206"/>
    <mergeCell ref="AC2205:AC2206"/>
    <mergeCell ref="AD2205:AD2206"/>
    <mergeCell ref="AF2205:AF2206"/>
    <mergeCell ref="AG2205:AG2206"/>
    <mergeCell ref="AH2205:AH2206"/>
    <mergeCell ref="AI2205:AI2206"/>
    <mergeCell ref="AJ2205:AJ2206"/>
    <mergeCell ref="AK2205:AK2206"/>
    <mergeCell ref="AL2205:AL2206"/>
    <mergeCell ref="AM2205:AM2206"/>
    <mergeCell ref="AO2205:AO2206"/>
    <mergeCell ref="AP2205:AP2206"/>
    <mergeCell ref="AC2179:AC2180"/>
    <mergeCell ref="AD2179:AD2180"/>
    <mergeCell ref="AF2179:AF2180"/>
    <mergeCell ref="AG2179:AG2180"/>
    <mergeCell ref="AH2179:AH2180"/>
    <mergeCell ref="AI2179:AI2180"/>
    <mergeCell ref="AJ2179:AJ2180"/>
    <mergeCell ref="AA2139:AA2140"/>
    <mergeCell ref="AC2143:AC2144"/>
    <mergeCell ref="AD2143:AD2144"/>
    <mergeCell ref="AF2143:AF2144"/>
    <mergeCell ref="AG2143:AG2144"/>
    <mergeCell ref="Y2159:Y2160"/>
    <mergeCell ref="AC2167:AC2168"/>
    <mergeCell ref="AD2167:AD2168"/>
    <mergeCell ref="AL2159:AL2160"/>
    <mergeCell ref="AL2183:AL2184"/>
    <mergeCell ref="AK2181:AK2182"/>
    <mergeCell ref="AL2181:AL2182"/>
    <mergeCell ref="AM2175:AM2176"/>
    <mergeCell ref="AM2177:AM2178"/>
    <mergeCell ref="AM2181:AM2182"/>
    <mergeCell ref="AM2183:AM2184"/>
    <mergeCell ref="AB2161:AB2162"/>
    <mergeCell ref="AC2161:AC2162"/>
    <mergeCell ref="AD2161:AD2162"/>
    <mergeCell ref="F1998:F1999"/>
    <mergeCell ref="E2012:E2013"/>
    <mergeCell ref="F2012:F2013"/>
    <mergeCell ref="Y2012:Y2013"/>
    <mergeCell ref="E2120:E2121"/>
    <mergeCell ref="F2120:F2121"/>
    <mergeCell ref="J2120:J2121"/>
    <mergeCell ref="N2120:N2121"/>
    <mergeCell ref="Y2120:Y2121"/>
    <mergeCell ref="AA2120:AA2121"/>
    <mergeCell ref="AB2120:AB2121"/>
    <mergeCell ref="AC2120:AC2121"/>
    <mergeCell ref="AD2120:AD2121"/>
    <mergeCell ref="AF2120:AF2121"/>
    <mergeCell ref="AG2120:AG2121"/>
    <mergeCell ref="AH2120:AH2121"/>
    <mergeCell ref="AI2120:AI2121"/>
    <mergeCell ref="AJ2120:AJ2121"/>
    <mergeCell ref="AK2120:AK2121"/>
    <mergeCell ref="AL2120:AL2121"/>
    <mergeCell ref="AM2120:AM2121"/>
    <mergeCell ref="AO2120:AO2121"/>
    <mergeCell ref="AP2120:AP2121"/>
    <mergeCell ref="E2122:E2123"/>
    <mergeCell ref="F2122:F2123"/>
    <mergeCell ref="J2122:J2123"/>
    <mergeCell ref="N2122:N2123"/>
    <mergeCell ref="Y2122:Y2123"/>
    <mergeCell ref="AA2122:AA2123"/>
    <mergeCell ref="AB2122:AB2123"/>
    <mergeCell ref="AC2122:AC2123"/>
    <mergeCell ref="AD2122:AD2123"/>
    <mergeCell ref="AF2122:AF2123"/>
    <mergeCell ref="AG2122:AG2123"/>
    <mergeCell ref="AH2122:AH2123"/>
    <mergeCell ref="AI2122:AI2123"/>
    <mergeCell ref="AJ2122:AJ2123"/>
    <mergeCell ref="AK2122:AK2123"/>
    <mergeCell ref="AL2122:AL2123"/>
    <mergeCell ref="AM2122:AM2123"/>
    <mergeCell ref="AO2122:AO2123"/>
    <mergeCell ref="AP2122:AP2123"/>
    <mergeCell ref="AP1975:AP1976"/>
    <mergeCell ref="AL1977:AL1978"/>
    <mergeCell ref="AM1977:AM1978"/>
    <mergeCell ref="AO1977:AO1978"/>
    <mergeCell ref="AP1993:AP1994"/>
    <mergeCell ref="E1995:E1996"/>
    <mergeCell ref="F1995:F1996"/>
    <mergeCell ref="J1995:J1996"/>
    <mergeCell ref="N1995:N1996"/>
    <mergeCell ref="Y1995:Y1996"/>
    <mergeCell ref="AA1995:AA1996"/>
    <mergeCell ref="AB1995:AB1996"/>
    <mergeCell ref="AC1995:AC1996"/>
    <mergeCell ref="AD1995:AD1996"/>
    <mergeCell ref="AF1995:AF1996"/>
    <mergeCell ref="AG1995:AG1996"/>
    <mergeCell ref="AH1995:AH1996"/>
    <mergeCell ref="AI1995:AI1996"/>
    <mergeCell ref="AJ1995:AJ1996"/>
    <mergeCell ref="AK1995:AK1996"/>
    <mergeCell ref="AL1995:AL1996"/>
    <mergeCell ref="AM1995:AM1996"/>
    <mergeCell ref="AO1995:AO1996"/>
    <mergeCell ref="AP1995:AP1996"/>
    <mergeCell ref="AN2010:AN2011"/>
    <mergeCell ref="E2076:E2077"/>
    <mergeCell ref="F2076:F2077"/>
    <mergeCell ref="J2076:J2077"/>
    <mergeCell ref="N2076:N2077"/>
    <mergeCell ref="Y2076:Y2077"/>
    <mergeCell ref="AA2076:AA2077"/>
    <mergeCell ref="AB2076:AB2077"/>
    <mergeCell ref="AC2076:AC2077"/>
    <mergeCell ref="AD2076:AD2077"/>
    <mergeCell ref="AF2076:AF2077"/>
    <mergeCell ref="AG2076:AG2077"/>
    <mergeCell ref="AH2076:AH2077"/>
    <mergeCell ref="AI2076:AI2077"/>
    <mergeCell ref="AJ2076:AJ2077"/>
    <mergeCell ref="AK2076:AK2077"/>
    <mergeCell ref="AL2076:AL2077"/>
    <mergeCell ref="AM2076:AM2077"/>
    <mergeCell ref="AO2076:AO2077"/>
    <mergeCell ref="AP2076:AP2077"/>
    <mergeCell ref="E2072:E2073"/>
    <mergeCell ref="F2072:F2073"/>
    <mergeCell ref="J2072:J2073"/>
    <mergeCell ref="N2072:N2073"/>
    <mergeCell ref="Y2072:Y2073"/>
    <mergeCell ref="AA2072:AA2073"/>
    <mergeCell ref="AB2072:AB2073"/>
    <mergeCell ref="AC2072:AC2073"/>
    <mergeCell ref="AD2072:AD2073"/>
    <mergeCell ref="AF2072:AF2073"/>
    <mergeCell ref="AG2072:AG2073"/>
    <mergeCell ref="AH2072:AH2073"/>
    <mergeCell ref="AI2072:AI2073"/>
    <mergeCell ref="AJ2072:AJ2073"/>
    <mergeCell ref="AK2072:AK2073"/>
    <mergeCell ref="AL2072:AL2073"/>
    <mergeCell ref="AM2072:AM2073"/>
    <mergeCell ref="AO2072:AO2073"/>
    <mergeCell ref="AP2072:AP2073"/>
    <mergeCell ref="E1998:E1999"/>
    <mergeCell ref="E1991:E1992"/>
    <mergeCell ref="F1991:F1992"/>
    <mergeCell ref="J1991:J1992"/>
    <mergeCell ref="N1991:N1992"/>
    <mergeCell ref="Y1991:Y1992"/>
    <mergeCell ref="AA1991:AA1992"/>
    <mergeCell ref="AB1991:AB1992"/>
    <mergeCell ref="AC1991:AC1992"/>
    <mergeCell ref="AD1991:AD1992"/>
    <mergeCell ref="AF1991:AF1992"/>
    <mergeCell ref="AG1991:AG1992"/>
    <mergeCell ref="AH1991:AH1992"/>
    <mergeCell ref="AI1991:AI1992"/>
    <mergeCell ref="AJ1991:AJ1992"/>
    <mergeCell ref="AK1991:AK1992"/>
    <mergeCell ref="AL1991:AL1992"/>
    <mergeCell ref="AM1991:AM1992"/>
    <mergeCell ref="AO1991:AO1992"/>
    <mergeCell ref="AP1991:AP1992"/>
    <mergeCell ref="AP1987:AP1988"/>
    <mergeCell ref="E1989:E1990"/>
    <mergeCell ref="F1989:F1990"/>
    <mergeCell ref="J1989:J1990"/>
    <mergeCell ref="N1989:N1990"/>
    <mergeCell ref="Y1989:Y1990"/>
    <mergeCell ref="AA1989:AA1990"/>
    <mergeCell ref="AB1989:AB1990"/>
    <mergeCell ref="AC1989:AC1990"/>
    <mergeCell ref="AD1989:AD1990"/>
    <mergeCell ref="AF1989:AF1990"/>
    <mergeCell ref="AG1989:AG1990"/>
    <mergeCell ref="AH1989:AH1990"/>
    <mergeCell ref="AI1989:AI1990"/>
    <mergeCell ref="AJ1989:AJ1990"/>
    <mergeCell ref="AK1989:AK1990"/>
    <mergeCell ref="AL1989:AL1990"/>
    <mergeCell ref="AM1989:AM1990"/>
    <mergeCell ref="AO1989:AO1990"/>
    <mergeCell ref="AP1989:AP1990"/>
    <mergeCell ref="AG1987:AG1988"/>
    <mergeCell ref="AH1987:AH1988"/>
    <mergeCell ref="AF1894:AF1895"/>
    <mergeCell ref="AG1894:AG1895"/>
    <mergeCell ref="AH1894:AH1895"/>
    <mergeCell ref="AI1894:AI1895"/>
    <mergeCell ref="AJ1894:AJ1895"/>
    <mergeCell ref="AK1894:AK1895"/>
    <mergeCell ref="AL1894:AL1895"/>
    <mergeCell ref="AM1894:AM1895"/>
    <mergeCell ref="AO1894:AO1895"/>
    <mergeCell ref="AP1894:AP1895"/>
    <mergeCell ref="E1896:E1897"/>
    <mergeCell ref="F1896:F1897"/>
    <mergeCell ref="J1896:J1897"/>
    <mergeCell ref="N1896:N1897"/>
    <mergeCell ref="Y1896:Y1897"/>
    <mergeCell ref="AA1896:AA1897"/>
    <mergeCell ref="AB1896:AB1897"/>
    <mergeCell ref="AC1896:AC1897"/>
    <mergeCell ref="AD1896:AD1897"/>
    <mergeCell ref="AF1896:AF1897"/>
    <mergeCell ref="AG1896:AG1897"/>
    <mergeCell ref="AH1896:AH1897"/>
    <mergeCell ref="AI1896:AI1897"/>
    <mergeCell ref="AJ1896:AJ1897"/>
    <mergeCell ref="AK1896:AK1897"/>
    <mergeCell ref="AL1896:AL1897"/>
    <mergeCell ref="AM1896:AM1897"/>
    <mergeCell ref="AO1896:AO1897"/>
    <mergeCell ref="AP1896:AP1897"/>
    <mergeCell ref="E1898:E1899"/>
    <mergeCell ref="F1898:F1899"/>
    <mergeCell ref="J1898:J1899"/>
    <mergeCell ref="N1898:N1899"/>
    <mergeCell ref="Y1898:Y1899"/>
    <mergeCell ref="AA1898:AA1899"/>
    <mergeCell ref="AB1898:AB1899"/>
    <mergeCell ref="AC1898:AC1899"/>
    <mergeCell ref="AD1898:AD1899"/>
    <mergeCell ref="AF1898:AF1899"/>
    <mergeCell ref="AG1898:AG1899"/>
    <mergeCell ref="AH1898:AH1899"/>
    <mergeCell ref="AI1898:AI1899"/>
    <mergeCell ref="AJ1898:AJ1899"/>
    <mergeCell ref="AK1898:AK1899"/>
    <mergeCell ref="AL1898:AL1899"/>
    <mergeCell ref="AM1898:AM1899"/>
    <mergeCell ref="AO1898:AO1899"/>
    <mergeCell ref="AP1898:AP1899"/>
    <mergeCell ref="AK1855:AK1856"/>
    <mergeCell ref="AL1855:AL1856"/>
    <mergeCell ref="AM1855:AM1856"/>
    <mergeCell ref="AO1855:AO1856"/>
    <mergeCell ref="AP1855:AP1856"/>
    <mergeCell ref="E1857:E1858"/>
    <mergeCell ref="F1857:F1858"/>
    <mergeCell ref="J1857:J1858"/>
    <mergeCell ref="N1857:N1858"/>
    <mergeCell ref="Y1857:Y1858"/>
    <mergeCell ref="AA1857:AA1858"/>
    <mergeCell ref="AB1857:AB1858"/>
    <mergeCell ref="AC1857:AC1858"/>
    <mergeCell ref="AD1857:AD1858"/>
    <mergeCell ref="AF1857:AF1858"/>
    <mergeCell ref="AG1857:AG1858"/>
    <mergeCell ref="AH1857:AH1858"/>
    <mergeCell ref="AI1857:AI1858"/>
    <mergeCell ref="AJ1857:AJ1858"/>
    <mergeCell ref="AK1857:AK1858"/>
    <mergeCell ref="AL1857:AL1858"/>
    <mergeCell ref="AM1857:AM1858"/>
    <mergeCell ref="AO1857:AO1858"/>
    <mergeCell ref="AP1857:AP1858"/>
    <mergeCell ref="E1874:E1875"/>
    <mergeCell ref="F1874:F1875"/>
    <mergeCell ref="J1874:J1875"/>
    <mergeCell ref="N1874:N1875"/>
    <mergeCell ref="Y1874:Y1875"/>
    <mergeCell ref="AA1874:AA1875"/>
    <mergeCell ref="AB1874:AB1875"/>
    <mergeCell ref="AC1874:AC1875"/>
    <mergeCell ref="AD1874:AD1875"/>
    <mergeCell ref="AF1874:AF1875"/>
    <mergeCell ref="AG1874:AG1875"/>
    <mergeCell ref="AH1874:AH1875"/>
    <mergeCell ref="AI1874:AI1875"/>
    <mergeCell ref="AJ1874:AJ1875"/>
    <mergeCell ref="AK1874:AK1875"/>
    <mergeCell ref="AL1874:AL1875"/>
    <mergeCell ref="AM1874:AM1875"/>
    <mergeCell ref="AO1874:AO1875"/>
    <mergeCell ref="AP1874:AP1875"/>
    <mergeCell ref="AM1870:AM1871"/>
    <mergeCell ref="AO1870:AO1871"/>
    <mergeCell ref="AP1870:AP1871"/>
    <mergeCell ref="E1866:E1867"/>
    <mergeCell ref="F1866:F1867"/>
    <mergeCell ref="J1866:J1867"/>
    <mergeCell ref="N1866:N1867"/>
    <mergeCell ref="Y1866:Y1867"/>
    <mergeCell ref="AA1866:AA1867"/>
    <mergeCell ref="E1855:E1856"/>
    <mergeCell ref="F1855:F1856"/>
    <mergeCell ref="J1855:J1856"/>
    <mergeCell ref="N1855:N1856"/>
    <mergeCell ref="Y1855:Y1856"/>
    <mergeCell ref="AA1855:AA1856"/>
    <mergeCell ref="AB1855:AB1856"/>
    <mergeCell ref="AC1855:AC1856"/>
    <mergeCell ref="AP1844:AP1845"/>
    <mergeCell ref="E1853:E1854"/>
    <mergeCell ref="F1853:F1854"/>
    <mergeCell ref="J1853:J1854"/>
    <mergeCell ref="N1853:N1854"/>
    <mergeCell ref="Y1853:Y1854"/>
    <mergeCell ref="AA1853:AA1854"/>
    <mergeCell ref="AB1853:AB1854"/>
    <mergeCell ref="AC1853:AC1854"/>
    <mergeCell ref="AD1853:AD1854"/>
    <mergeCell ref="AF1853:AF1854"/>
    <mergeCell ref="AG1853:AG1854"/>
    <mergeCell ref="AH1853:AH1854"/>
    <mergeCell ref="AI1853:AI1854"/>
    <mergeCell ref="AJ1853:AJ1854"/>
    <mergeCell ref="AK1853:AK1854"/>
    <mergeCell ref="AL1853:AL1854"/>
    <mergeCell ref="AM1853:AM1854"/>
    <mergeCell ref="AO1853:AO1854"/>
    <mergeCell ref="AP1853:AP1854"/>
    <mergeCell ref="E1851:E1852"/>
    <mergeCell ref="F1851:F1852"/>
    <mergeCell ref="J1851:J1852"/>
    <mergeCell ref="N1851:N1852"/>
    <mergeCell ref="Y1851:Y1852"/>
    <mergeCell ref="AA1851:AA1852"/>
    <mergeCell ref="AB1851:AB1852"/>
    <mergeCell ref="AC1851:AC1852"/>
    <mergeCell ref="AD1851:AD1852"/>
    <mergeCell ref="AF1851:AF1852"/>
    <mergeCell ref="AG1851:AG1852"/>
    <mergeCell ref="AH1851:AH1852"/>
    <mergeCell ref="AI1851:AI1852"/>
    <mergeCell ref="AJ1851:AJ1852"/>
    <mergeCell ref="AK1851:AK1852"/>
    <mergeCell ref="AL1851:AL1852"/>
    <mergeCell ref="AM1851:AM1852"/>
    <mergeCell ref="AO1851:AO1852"/>
    <mergeCell ref="AP1851:AP1852"/>
    <mergeCell ref="E1844:E1845"/>
    <mergeCell ref="AF1795:AF1796"/>
    <mergeCell ref="AG1795:AG1796"/>
    <mergeCell ref="AH1795:AH1796"/>
    <mergeCell ref="AI1795:AI1796"/>
    <mergeCell ref="AJ1795:AJ1796"/>
    <mergeCell ref="AH1803:AH1804"/>
    <mergeCell ref="AI1803:AI1804"/>
    <mergeCell ref="AJ1803:AJ1804"/>
    <mergeCell ref="AK1803:AK1804"/>
    <mergeCell ref="AL1803:AL1804"/>
    <mergeCell ref="AM1803:AM1804"/>
    <mergeCell ref="AO1803:AO1804"/>
    <mergeCell ref="AP1803:AP1804"/>
    <mergeCell ref="E1840:E1841"/>
    <mergeCell ref="F1840:F1841"/>
    <mergeCell ref="J1840:J1841"/>
    <mergeCell ref="N1840:N1841"/>
    <mergeCell ref="Y1840:Y1841"/>
    <mergeCell ref="AA1840:AA1841"/>
    <mergeCell ref="AB1840:AB1841"/>
    <mergeCell ref="AC1840:AC1841"/>
    <mergeCell ref="AD1840:AD1841"/>
    <mergeCell ref="AF1840:AF1841"/>
    <mergeCell ref="AG1840:AG1841"/>
    <mergeCell ref="AH1840:AH1841"/>
    <mergeCell ref="AI1840:AI1841"/>
    <mergeCell ref="AJ1840:AJ1841"/>
    <mergeCell ref="AK1840:AK1841"/>
    <mergeCell ref="AL1840:AL1841"/>
    <mergeCell ref="AM1840:AM1841"/>
    <mergeCell ref="AO1840:AO1841"/>
    <mergeCell ref="AP1840:AP1841"/>
    <mergeCell ref="E1842:E1843"/>
    <mergeCell ref="F1842:F1843"/>
    <mergeCell ref="J1842:J1843"/>
    <mergeCell ref="N1842:N1843"/>
    <mergeCell ref="Y1842:Y1843"/>
    <mergeCell ref="AA1842:AA1843"/>
    <mergeCell ref="AB1842:AB1843"/>
    <mergeCell ref="AC1842:AC1843"/>
    <mergeCell ref="AD1842:AD1843"/>
    <mergeCell ref="AF1842:AF1843"/>
    <mergeCell ref="AG1842:AG1843"/>
    <mergeCell ref="AH1842:AH1843"/>
    <mergeCell ref="AI1842:AI1843"/>
    <mergeCell ref="AJ1842:AJ1843"/>
    <mergeCell ref="AK1842:AK1843"/>
    <mergeCell ref="AL1842:AL1843"/>
    <mergeCell ref="AM1842:AM1843"/>
    <mergeCell ref="AO1842:AO1843"/>
    <mergeCell ref="AP1842:AP1843"/>
    <mergeCell ref="AC1836:AC1837"/>
    <mergeCell ref="AD1836:AD1837"/>
    <mergeCell ref="AF1836:AF1837"/>
    <mergeCell ref="AG1836:AG1837"/>
    <mergeCell ref="AH1836:AH1837"/>
    <mergeCell ref="AI1836:AI1837"/>
    <mergeCell ref="AJ1836:AJ1837"/>
    <mergeCell ref="AK1836:AK1837"/>
    <mergeCell ref="AL1836:AL1837"/>
    <mergeCell ref="AM1836:AM1837"/>
    <mergeCell ref="AO1836:AO1837"/>
    <mergeCell ref="AP1836:AP1837"/>
    <mergeCell ref="E1828:E1829"/>
    <mergeCell ref="E1799:E1800"/>
    <mergeCell ref="F1799:F1800"/>
    <mergeCell ref="J1799:J1800"/>
    <mergeCell ref="N1799:N1800"/>
    <mergeCell ref="Y1799:Y1800"/>
    <mergeCell ref="AA1799:AA1800"/>
    <mergeCell ref="AB1799:AB1800"/>
    <mergeCell ref="AC1799:AC1800"/>
    <mergeCell ref="AD1799:AD1800"/>
    <mergeCell ref="AF1799:AF1800"/>
    <mergeCell ref="AG1799:AG1800"/>
    <mergeCell ref="AH1799:AH1800"/>
    <mergeCell ref="AI1799:AI1800"/>
    <mergeCell ref="AJ1799:AJ1800"/>
    <mergeCell ref="AK1799:AK1800"/>
    <mergeCell ref="AL1799:AL1800"/>
    <mergeCell ref="AM1799:AM1800"/>
    <mergeCell ref="AO1799:AO1800"/>
    <mergeCell ref="AP1799:AP1800"/>
    <mergeCell ref="E1801:E1802"/>
    <mergeCell ref="F1801:F1802"/>
    <mergeCell ref="J1801:J1802"/>
    <mergeCell ref="N1801:N1802"/>
    <mergeCell ref="Y1801:Y1802"/>
    <mergeCell ref="AA1801:AA1802"/>
    <mergeCell ref="AB1801:AB1802"/>
    <mergeCell ref="AC1801:AC1802"/>
    <mergeCell ref="AD1801:AD1802"/>
    <mergeCell ref="AF1801:AF1802"/>
    <mergeCell ref="AG1801:AG1802"/>
    <mergeCell ref="AH1801:AH1802"/>
    <mergeCell ref="AI1801:AI1802"/>
    <mergeCell ref="AJ1801:AJ1802"/>
    <mergeCell ref="AK1801:AK1802"/>
    <mergeCell ref="AL1801:AL1802"/>
    <mergeCell ref="AM1801:AM1802"/>
    <mergeCell ref="AO1801:AO1802"/>
    <mergeCell ref="AP1801:AP1802"/>
    <mergeCell ref="E1762:E1763"/>
    <mergeCell ref="F1762:F1763"/>
    <mergeCell ref="J1762:J1763"/>
    <mergeCell ref="N1762:N1763"/>
    <mergeCell ref="Y1762:Y1763"/>
    <mergeCell ref="AA1762:AA1763"/>
    <mergeCell ref="AB1762:AB1763"/>
    <mergeCell ref="AC1762:AC1763"/>
    <mergeCell ref="AD1762:AD1763"/>
    <mergeCell ref="AF1762:AF1763"/>
    <mergeCell ref="AG1762:AG1763"/>
    <mergeCell ref="AH1762:AH1763"/>
    <mergeCell ref="AI1762:AI1763"/>
    <mergeCell ref="AJ1762:AJ1763"/>
    <mergeCell ref="AK1762:AK1763"/>
    <mergeCell ref="AL1762:AL1763"/>
    <mergeCell ref="AM1762:AM1763"/>
    <mergeCell ref="AO1762:AO1763"/>
    <mergeCell ref="AP1762:AP1763"/>
    <mergeCell ref="E1766:E1767"/>
    <mergeCell ref="F1766:F1767"/>
    <mergeCell ref="J1766:J1767"/>
    <mergeCell ref="N1766:N1767"/>
    <mergeCell ref="Y1766:Y1767"/>
    <mergeCell ref="AA1766:AA1767"/>
    <mergeCell ref="AB1766:AB1767"/>
    <mergeCell ref="AC1766:AC1767"/>
    <mergeCell ref="AD1766:AD1767"/>
    <mergeCell ref="AF1766:AF1767"/>
    <mergeCell ref="AG1766:AG1767"/>
    <mergeCell ref="AH1766:AH1767"/>
    <mergeCell ref="AI1766:AI1767"/>
    <mergeCell ref="AJ1766:AJ1767"/>
    <mergeCell ref="AK1766:AK1767"/>
    <mergeCell ref="AL1766:AL1767"/>
    <mergeCell ref="AM1766:AM1767"/>
    <mergeCell ref="AO1766:AO1767"/>
    <mergeCell ref="AP1766:AP1767"/>
    <mergeCell ref="AC1764:AC1765"/>
    <mergeCell ref="AD1764:AD1765"/>
    <mergeCell ref="AF1764:AF1765"/>
    <mergeCell ref="AG1764:AG1765"/>
    <mergeCell ref="AH1764:AH1765"/>
    <mergeCell ref="AI1764:AI1765"/>
    <mergeCell ref="AJ1764:AJ1765"/>
    <mergeCell ref="AK1764:AK1765"/>
    <mergeCell ref="AL1764:AL1765"/>
    <mergeCell ref="AM1764:AM1765"/>
    <mergeCell ref="AO1764:AO1765"/>
    <mergeCell ref="AP1764:AP1765"/>
    <mergeCell ref="E1764:E1765"/>
    <mergeCell ref="F1764:F1765"/>
    <mergeCell ref="J1764:J1765"/>
    <mergeCell ref="N1764:N1765"/>
    <mergeCell ref="Y1764:Y1765"/>
    <mergeCell ref="AA1764:AA1765"/>
    <mergeCell ref="AB1764:AB1765"/>
    <mergeCell ref="E1627:E1628"/>
    <mergeCell ref="F1627:F1628"/>
    <mergeCell ref="J1627:J1628"/>
    <mergeCell ref="N1627:N1628"/>
    <mergeCell ref="Y1627:Y1628"/>
    <mergeCell ref="AA1627:AA1628"/>
    <mergeCell ref="AB1627:AB1628"/>
    <mergeCell ref="AC1627:AC1628"/>
    <mergeCell ref="AD1627:AD1628"/>
    <mergeCell ref="AF1627:AF1628"/>
    <mergeCell ref="AG1627:AG1628"/>
    <mergeCell ref="AH1627:AH1628"/>
    <mergeCell ref="AI1627:AI1628"/>
    <mergeCell ref="AJ1627:AJ1628"/>
    <mergeCell ref="AK1627:AK1628"/>
    <mergeCell ref="AL1627:AL1628"/>
    <mergeCell ref="AM1627:AM1628"/>
    <mergeCell ref="AO1627:AO1628"/>
    <mergeCell ref="AP1627:AP1628"/>
    <mergeCell ref="E1690:E1691"/>
    <mergeCell ref="F1690:F1691"/>
    <mergeCell ref="J1690:J1691"/>
    <mergeCell ref="N1690:N1691"/>
    <mergeCell ref="Y1690:Y1691"/>
    <mergeCell ref="AA1690:AA1691"/>
    <mergeCell ref="AB1690:AB1691"/>
    <mergeCell ref="AC1690:AC1691"/>
    <mergeCell ref="AD1690:AD1691"/>
    <mergeCell ref="AF1690:AF1691"/>
    <mergeCell ref="AG1690:AG1691"/>
    <mergeCell ref="AH1690:AH1691"/>
    <mergeCell ref="AI1690:AI1691"/>
    <mergeCell ref="AJ1690:AJ1691"/>
    <mergeCell ref="AK1690:AK1691"/>
    <mergeCell ref="AL1690:AL1691"/>
    <mergeCell ref="AM1690:AM1691"/>
    <mergeCell ref="AO1690:AO1691"/>
    <mergeCell ref="AP1690:AP1691"/>
    <mergeCell ref="E1686:E1687"/>
    <mergeCell ref="F1686:F1687"/>
    <mergeCell ref="J1686:J1687"/>
    <mergeCell ref="N1686:N1687"/>
    <mergeCell ref="Y1686:Y1687"/>
    <mergeCell ref="AA1686:AA1687"/>
    <mergeCell ref="AB1686:AB1687"/>
    <mergeCell ref="AC1686:AC1687"/>
    <mergeCell ref="AD1686:AD1687"/>
    <mergeCell ref="AF1686:AF1687"/>
    <mergeCell ref="AG1686:AG1687"/>
    <mergeCell ref="AH1686:AH1687"/>
    <mergeCell ref="AI1686:AI1687"/>
    <mergeCell ref="AJ1686:AJ1687"/>
    <mergeCell ref="AK1686:AK1687"/>
    <mergeCell ref="AL1686:AL1687"/>
    <mergeCell ref="AM1686:AM1687"/>
    <mergeCell ref="AO1686:AO1687"/>
    <mergeCell ref="AP1686:AP1687"/>
    <mergeCell ref="E1630:E1631"/>
    <mergeCell ref="F1630:F1631"/>
    <mergeCell ref="J1630:J1631"/>
    <mergeCell ref="AH1630:AH1631"/>
    <mergeCell ref="AI1630:AI1631"/>
    <mergeCell ref="E1638:E1639"/>
    <mergeCell ref="AI1646:AI1647"/>
    <mergeCell ref="AG1526:AG1527"/>
    <mergeCell ref="AH1526:AH1527"/>
    <mergeCell ref="AI1526:AI1527"/>
    <mergeCell ref="AJ1526:AJ1527"/>
    <mergeCell ref="AK1526:AK1527"/>
    <mergeCell ref="AL1526:AL1527"/>
    <mergeCell ref="AM1526:AM1527"/>
    <mergeCell ref="AO1526:AO1527"/>
    <mergeCell ref="AP1526:AP1527"/>
    <mergeCell ref="E1528:E1529"/>
    <mergeCell ref="F1528:F1529"/>
    <mergeCell ref="J1528:J1529"/>
    <mergeCell ref="N1528:N1529"/>
    <mergeCell ref="Y1528:Y1529"/>
    <mergeCell ref="AA1528:AA1529"/>
    <mergeCell ref="AB1528:AB1529"/>
    <mergeCell ref="AC1528:AC1529"/>
    <mergeCell ref="AD1528:AD1529"/>
    <mergeCell ref="AF1528:AF1529"/>
    <mergeCell ref="AG1528:AG1529"/>
    <mergeCell ref="AH1528:AH1529"/>
    <mergeCell ref="AI1528:AI1529"/>
    <mergeCell ref="AJ1528:AJ1529"/>
    <mergeCell ref="AK1528:AK1529"/>
    <mergeCell ref="AL1528:AL1529"/>
    <mergeCell ref="AM1528:AM1529"/>
    <mergeCell ref="AO1528:AO1529"/>
    <mergeCell ref="AP1528:AP1529"/>
    <mergeCell ref="E1609:E1610"/>
    <mergeCell ref="F1609:F1610"/>
    <mergeCell ref="J1609:J1610"/>
    <mergeCell ref="N1609:N1610"/>
    <mergeCell ref="Y1609:Y1610"/>
    <mergeCell ref="AA1609:AA1610"/>
    <mergeCell ref="AB1609:AB1610"/>
    <mergeCell ref="AC1609:AC1610"/>
    <mergeCell ref="AD1609:AD1610"/>
    <mergeCell ref="AF1609:AF1610"/>
    <mergeCell ref="AG1609:AG1610"/>
    <mergeCell ref="AH1609:AH1610"/>
    <mergeCell ref="AI1609:AI1610"/>
    <mergeCell ref="AJ1609:AJ1610"/>
    <mergeCell ref="AK1609:AK1610"/>
    <mergeCell ref="AL1609:AL1610"/>
    <mergeCell ref="AM1609:AM1610"/>
    <mergeCell ref="AO1609:AO1610"/>
    <mergeCell ref="AP1609:AP1610"/>
    <mergeCell ref="AM1567:AM1568"/>
    <mergeCell ref="AO1567:AO1568"/>
    <mergeCell ref="AP1567:AP1568"/>
    <mergeCell ref="AP1565:AP1566"/>
    <mergeCell ref="E1569:E1570"/>
    <mergeCell ref="F1569:F1570"/>
    <mergeCell ref="J1569:J1570"/>
    <mergeCell ref="N1569:N1570"/>
    <mergeCell ref="Y1569:Y1570"/>
    <mergeCell ref="AA1569:AA1570"/>
    <mergeCell ref="AB1569:AB1570"/>
    <mergeCell ref="AC1569:AC1570"/>
    <mergeCell ref="AD1569:AD1570"/>
    <mergeCell ref="AF1569:AF1570"/>
    <mergeCell ref="AG1569:AG1570"/>
    <mergeCell ref="AH1569:AH1570"/>
    <mergeCell ref="AI1569:AI1570"/>
    <mergeCell ref="E1445:E1446"/>
    <mergeCell ref="F1445:F1446"/>
    <mergeCell ref="J1445:J1446"/>
    <mergeCell ref="N1445:N1446"/>
    <mergeCell ref="Y1445:Y1446"/>
    <mergeCell ref="AA1445:AA1446"/>
    <mergeCell ref="AB1445:AB1446"/>
    <mergeCell ref="AC1445:AC1446"/>
    <mergeCell ref="AD1445:AD1446"/>
    <mergeCell ref="AF1445:AF1446"/>
    <mergeCell ref="AG1445:AG1446"/>
    <mergeCell ref="AH1445:AH1446"/>
    <mergeCell ref="AI1445:AI1446"/>
    <mergeCell ref="AJ1445:AJ1446"/>
    <mergeCell ref="AK1445:AK1446"/>
    <mergeCell ref="AL1445:AL1446"/>
    <mergeCell ref="AM1445:AM1446"/>
    <mergeCell ref="AO1445:AO1446"/>
    <mergeCell ref="AP1445:AP1446"/>
    <mergeCell ref="W1450:W1451"/>
    <mergeCell ref="E1524:E1525"/>
    <mergeCell ref="F1524:F1525"/>
    <mergeCell ref="J1524:J1525"/>
    <mergeCell ref="N1524:N1525"/>
    <mergeCell ref="Y1524:Y1525"/>
    <mergeCell ref="AA1524:AA1525"/>
    <mergeCell ref="AB1524:AB1525"/>
    <mergeCell ref="AC1524:AC1525"/>
    <mergeCell ref="AD1524:AD1525"/>
    <mergeCell ref="AF1524:AF1525"/>
    <mergeCell ref="AG1524:AG1525"/>
    <mergeCell ref="AH1524:AH1525"/>
    <mergeCell ref="AI1524:AI1525"/>
    <mergeCell ref="AJ1524:AJ1525"/>
    <mergeCell ref="AK1524:AK1525"/>
    <mergeCell ref="AL1524:AL1525"/>
    <mergeCell ref="AM1524:AM1525"/>
    <mergeCell ref="AO1524:AO1525"/>
    <mergeCell ref="AP1524:AP1525"/>
    <mergeCell ref="E1464:E1465"/>
    <mergeCell ref="E1454:E1455"/>
    <mergeCell ref="F1454:F1455"/>
    <mergeCell ref="J1454:J1455"/>
    <mergeCell ref="N1454:N1455"/>
    <mergeCell ref="AD1466:AD1467"/>
    <mergeCell ref="J1466:J1467"/>
    <mergeCell ref="N1466:N1467"/>
    <mergeCell ref="Y1466:Y1467"/>
    <mergeCell ref="AA1466:AA1467"/>
    <mergeCell ref="F1482:F1483"/>
    <mergeCell ref="J1482:J1483"/>
    <mergeCell ref="N1482:N1483"/>
    <mergeCell ref="N1470:N1471"/>
    <mergeCell ref="F1478:F1479"/>
    <mergeCell ref="J1478:J1479"/>
    <mergeCell ref="N1478:N1479"/>
    <mergeCell ref="Y1478:Y1479"/>
    <mergeCell ref="AA1478:AA1479"/>
    <mergeCell ref="AB1478:AB1479"/>
    <mergeCell ref="AC1474:AC1475"/>
    <mergeCell ref="AD1474:AD1475"/>
    <mergeCell ref="AF1474:AF1475"/>
    <mergeCell ref="AG1474:AG1475"/>
    <mergeCell ref="AH1474:AH1475"/>
    <mergeCell ref="AL1359:AL1360"/>
    <mergeCell ref="AM1359:AM1360"/>
    <mergeCell ref="AO1359:AO1360"/>
    <mergeCell ref="AP1359:AP1360"/>
    <mergeCell ref="E1432:E1433"/>
    <mergeCell ref="F1432:F1433"/>
    <mergeCell ref="J1432:J1433"/>
    <mergeCell ref="N1432:N1433"/>
    <mergeCell ref="Y1432:Y1433"/>
    <mergeCell ref="AA1432:AA1433"/>
    <mergeCell ref="AB1432:AB1433"/>
    <mergeCell ref="AC1432:AC1433"/>
    <mergeCell ref="AD1432:AD1433"/>
    <mergeCell ref="AF1432:AF1433"/>
    <mergeCell ref="AG1432:AG1433"/>
    <mergeCell ref="AH1432:AH1433"/>
    <mergeCell ref="AI1432:AI1433"/>
    <mergeCell ref="AJ1432:AJ1433"/>
    <mergeCell ref="AK1432:AK1433"/>
    <mergeCell ref="AL1432:AL1433"/>
    <mergeCell ref="AM1432:AM1433"/>
    <mergeCell ref="AO1432:AO1433"/>
    <mergeCell ref="AP1432:AP1433"/>
    <mergeCell ref="E1434:E1435"/>
    <mergeCell ref="F1434:F1435"/>
    <mergeCell ref="J1434:J1435"/>
    <mergeCell ref="N1434:N1435"/>
    <mergeCell ref="Y1434:Y1435"/>
    <mergeCell ref="AA1434:AA1435"/>
    <mergeCell ref="AB1434:AB1435"/>
    <mergeCell ref="AC1434:AC1435"/>
    <mergeCell ref="AD1434:AD1435"/>
    <mergeCell ref="AF1434:AF1435"/>
    <mergeCell ref="AG1434:AG1435"/>
    <mergeCell ref="AH1434:AH1435"/>
    <mergeCell ref="AI1434:AI1435"/>
    <mergeCell ref="AJ1434:AJ1435"/>
    <mergeCell ref="AK1434:AK1435"/>
    <mergeCell ref="AL1434:AL1435"/>
    <mergeCell ref="AM1434:AM1435"/>
    <mergeCell ref="AO1434:AO1435"/>
    <mergeCell ref="AP1434:AP1435"/>
    <mergeCell ref="AP1418:AP1419"/>
    <mergeCell ref="AD1404:AD1405"/>
    <mergeCell ref="AF1404:AF1405"/>
    <mergeCell ref="Y1368:Y1369"/>
    <mergeCell ref="J1412:J1413"/>
    <mergeCell ref="N1412:N1413"/>
    <mergeCell ref="Y1412:Y1413"/>
    <mergeCell ref="AA1412:AA1413"/>
    <mergeCell ref="AB1412:AB1413"/>
    <mergeCell ref="AG1416:AG1417"/>
    <mergeCell ref="AH1416:AH1417"/>
    <mergeCell ref="F1364:F1365"/>
    <mergeCell ref="J1364:J1365"/>
    <mergeCell ref="AI1376:AI1377"/>
    <mergeCell ref="E1368:E1369"/>
    <mergeCell ref="F1368:F1369"/>
    <mergeCell ref="J1368:J1369"/>
    <mergeCell ref="AH1368:AH1369"/>
    <mergeCell ref="AI1368:AI1369"/>
    <mergeCell ref="Y1386:Y1387"/>
    <mergeCell ref="AA1386:AA1387"/>
    <mergeCell ref="E1196:E1197"/>
    <mergeCell ref="F1196:F1197"/>
    <mergeCell ref="J1196:J1197"/>
    <mergeCell ref="N1196:N1197"/>
    <mergeCell ref="Y1196:Y1197"/>
    <mergeCell ref="AA1196:AA1197"/>
    <mergeCell ref="AB1196:AB1197"/>
    <mergeCell ref="AC1196:AC1197"/>
    <mergeCell ref="AD1196:AD1197"/>
    <mergeCell ref="AF1196:AF1197"/>
    <mergeCell ref="AG1196:AG1197"/>
    <mergeCell ref="AH1196:AH1197"/>
    <mergeCell ref="AI1196:AI1197"/>
    <mergeCell ref="AJ1196:AJ1197"/>
    <mergeCell ref="AK1196:AK1197"/>
    <mergeCell ref="AL1196:AL1197"/>
    <mergeCell ref="AM1196:AM1197"/>
    <mergeCell ref="AO1196:AO1197"/>
    <mergeCell ref="AP1196:AP1197"/>
    <mergeCell ref="E1355:E1356"/>
    <mergeCell ref="F1355:F1356"/>
    <mergeCell ref="J1355:J1356"/>
    <mergeCell ref="N1355:N1356"/>
    <mergeCell ref="Y1355:Y1356"/>
    <mergeCell ref="AA1355:AA1356"/>
    <mergeCell ref="AB1355:AB1356"/>
    <mergeCell ref="AC1355:AC1356"/>
    <mergeCell ref="AD1355:AD1356"/>
    <mergeCell ref="AF1355:AF1356"/>
    <mergeCell ref="AG1355:AG1356"/>
    <mergeCell ref="AH1355:AH1356"/>
    <mergeCell ref="AI1355:AI1356"/>
    <mergeCell ref="AJ1355:AJ1356"/>
    <mergeCell ref="AK1355:AK1356"/>
    <mergeCell ref="AL1355:AL1356"/>
    <mergeCell ref="AM1355:AM1356"/>
    <mergeCell ref="AO1355:AO1356"/>
    <mergeCell ref="AP1355:AP1356"/>
    <mergeCell ref="J1327:J1328"/>
    <mergeCell ref="AF1339:AF1340"/>
    <mergeCell ref="AG1339:AG1340"/>
    <mergeCell ref="AH1339:AH1340"/>
    <mergeCell ref="AI1339:AI1340"/>
    <mergeCell ref="F1311:F1312"/>
    <mergeCell ref="J1311:J1312"/>
    <mergeCell ref="N1311:N1312"/>
    <mergeCell ref="Y1311:Y1312"/>
    <mergeCell ref="AA1311:AA1312"/>
    <mergeCell ref="N1339:N1340"/>
    <mergeCell ref="Y1339:Y1340"/>
    <mergeCell ref="E1297:E1298"/>
    <mergeCell ref="N1307:N1308"/>
    <mergeCell ref="Y1307:Y1308"/>
    <mergeCell ref="E1305:E1306"/>
    <mergeCell ref="E1293:E1294"/>
    <mergeCell ref="E1303:E1304"/>
    <mergeCell ref="E1295:E1296"/>
    <mergeCell ref="E1267:E1268"/>
    <mergeCell ref="AI1267:AI1268"/>
    <mergeCell ref="J1315:J1316"/>
    <mergeCell ref="Y1297:Y1298"/>
    <mergeCell ref="AA1297:AA1298"/>
    <mergeCell ref="AM1305:AM1306"/>
    <mergeCell ref="E1309:E1310"/>
    <mergeCell ref="Y1192:Y1193"/>
    <mergeCell ref="AA1192:AA1193"/>
    <mergeCell ref="AB1192:AB1193"/>
    <mergeCell ref="AC1192:AC1193"/>
    <mergeCell ref="AD1192:AD1193"/>
    <mergeCell ref="AF1192:AF1193"/>
    <mergeCell ref="AG1192:AG1193"/>
    <mergeCell ref="AH1192:AH1193"/>
    <mergeCell ref="AI1192:AI1193"/>
    <mergeCell ref="AJ1192:AJ1193"/>
    <mergeCell ref="AK1192:AK1193"/>
    <mergeCell ref="AL1192:AL1193"/>
    <mergeCell ref="AM1192:AM1193"/>
    <mergeCell ref="AO1192:AO1193"/>
    <mergeCell ref="AP1192:AP1193"/>
    <mergeCell ref="E1194:E1195"/>
    <mergeCell ref="F1194:F1195"/>
    <mergeCell ref="J1194:J1195"/>
    <mergeCell ref="N1194:N1195"/>
    <mergeCell ref="Y1194:Y1195"/>
    <mergeCell ref="AA1194:AA1195"/>
    <mergeCell ref="AB1194:AB1195"/>
    <mergeCell ref="AC1194:AC1195"/>
    <mergeCell ref="AD1194:AD1195"/>
    <mergeCell ref="AF1194:AF1195"/>
    <mergeCell ref="AG1194:AG1195"/>
    <mergeCell ref="AH1194:AH1195"/>
    <mergeCell ref="AI1194:AI1195"/>
    <mergeCell ref="AJ1194:AJ1195"/>
    <mergeCell ref="AK1194:AK1195"/>
    <mergeCell ref="AL1194:AL1195"/>
    <mergeCell ref="AM1194:AM1195"/>
    <mergeCell ref="AO1194:AO1195"/>
    <mergeCell ref="AP1194:AP1195"/>
    <mergeCell ref="F1105:F1106"/>
    <mergeCell ref="J1105:J1106"/>
    <mergeCell ref="N1105:N1106"/>
    <mergeCell ref="Y1105:Y1106"/>
    <mergeCell ref="AA1105:AA1106"/>
    <mergeCell ref="AB1105:AB1106"/>
    <mergeCell ref="E1121:E1122"/>
    <mergeCell ref="F1121:F1122"/>
    <mergeCell ref="J1121:J1122"/>
    <mergeCell ref="N1121:N1122"/>
    <mergeCell ref="Y1121:Y1122"/>
    <mergeCell ref="AA1121:AA1122"/>
    <mergeCell ref="AB1121:AB1122"/>
    <mergeCell ref="AC1121:AC1122"/>
    <mergeCell ref="AD1121:AD1122"/>
    <mergeCell ref="AF1121:AF1122"/>
    <mergeCell ref="AG1121:AG1122"/>
    <mergeCell ref="AH1121:AH1122"/>
    <mergeCell ref="AI1121:AI1122"/>
    <mergeCell ref="AJ1121:AJ1122"/>
    <mergeCell ref="AK1121:AK1122"/>
    <mergeCell ref="AL1121:AL1122"/>
    <mergeCell ref="AM1121:AM1122"/>
    <mergeCell ref="AO1121:AO1122"/>
    <mergeCell ref="AP1121:AP1122"/>
    <mergeCell ref="E1125:E1126"/>
    <mergeCell ref="F1125:F1126"/>
    <mergeCell ref="J1125:J1126"/>
    <mergeCell ref="N1125:N1126"/>
    <mergeCell ref="Y1125:Y1126"/>
    <mergeCell ref="AA1125:AA1126"/>
    <mergeCell ref="AB1125:AB1126"/>
    <mergeCell ref="AC1125:AC1126"/>
    <mergeCell ref="AD1125:AD1126"/>
    <mergeCell ref="AF1125:AF1126"/>
    <mergeCell ref="AG1125:AG1126"/>
    <mergeCell ref="AH1125:AH1126"/>
    <mergeCell ref="AI1125:AI1126"/>
    <mergeCell ref="AJ1125:AJ1126"/>
    <mergeCell ref="AK1125:AK1126"/>
    <mergeCell ref="AL1125:AL1126"/>
    <mergeCell ref="AM1125:AM1126"/>
    <mergeCell ref="AO1125:AO1126"/>
    <mergeCell ref="AP1125:AP1126"/>
    <mergeCell ref="E1117:E1118"/>
    <mergeCell ref="F1117:F1118"/>
    <mergeCell ref="J1117:J1118"/>
    <mergeCell ref="N1117:N1118"/>
    <mergeCell ref="Y1117:Y1118"/>
    <mergeCell ref="AA1117:AA1118"/>
    <mergeCell ref="AB1117:AB1118"/>
    <mergeCell ref="AC1117:AC1118"/>
    <mergeCell ref="AD1117:AD1118"/>
    <mergeCell ref="AF1117:AF1118"/>
    <mergeCell ref="AG1117:AG1118"/>
    <mergeCell ref="AH1117:AH1118"/>
    <mergeCell ref="AI1117:AI1118"/>
    <mergeCell ref="AJ1117:AJ1118"/>
    <mergeCell ref="AK1117:AK1118"/>
    <mergeCell ref="AL1117:AL1118"/>
    <mergeCell ref="AM1117:AM1118"/>
    <mergeCell ref="AO1117:AO1118"/>
    <mergeCell ref="AP1117:AP1118"/>
    <mergeCell ref="Y1115:Y1116"/>
    <mergeCell ref="AA1115:AA1116"/>
    <mergeCell ref="AB1115:AB1116"/>
    <mergeCell ref="AC1115:AC1116"/>
    <mergeCell ref="AD1115:AD1116"/>
    <mergeCell ref="AF1115:AF1116"/>
    <mergeCell ref="AG1115:AG1116"/>
    <mergeCell ref="AH1115:AH1116"/>
    <mergeCell ref="AI1115:AI1116"/>
    <mergeCell ref="AJ1115:AJ1116"/>
    <mergeCell ref="AK1115:AK1116"/>
    <mergeCell ref="AL1115:AL1116"/>
    <mergeCell ref="AM1115:AM1116"/>
    <mergeCell ref="AO1115:AO1116"/>
    <mergeCell ref="AP1115:AP1116"/>
    <mergeCell ref="N1115:N1116"/>
    <mergeCell ref="AO1078:AO1079"/>
    <mergeCell ref="AP1078:AP1079"/>
    <mergeCell ref="AF1024:AF1025"/>
    <mergeCell ref="AG1024:AG1025"/>
    <mergeCell ref="AH1024:AH1025"/>
    <mergeCell ref="AM1028:AM1029"/>
    <mergeCell ref="E1030:E1031"/>
    <mergeCell ref="F1030:F1031"/>
    <mergeCell ref="J1030:J1031"/>
    <mergeCell ref="N1030:N1031"/>
    <mergeCell ref="AP1066:AP1067"/>
    <mergeCell ref="AP1034:AP1035"/>
    <mergeCell ref="AO1028:AO1029"/>
    <mergeCell ref="E1020:E1021"/>
    <mergeCell ref="E1022:E1023"/>
    <mergeCell ref="E1024:E1025"/>
    <mergeCell ref="E1026:E1027"/>
    <mergeCell ref="E1036:E1037"/>
    <mergeCell ref="F1036:F1037"/>
    <mergeCell ref="AM1080:AM1081"/>
    <mergeCell ref="AO1080:AO1081"/>
    <mergeCell ref="AP1080:AP1081"/>
    <mergeCell ref="E1082:E1083"/>
    <mergeCell ref="F1082:F1083"/>
    <mergeCell ref="J1082:J1083"/>
    <mergeCell ref="N1082:N1083"/>
    <mergeCell ref="Y1082:Y1083"/>
    <mergeCell ref="AA1082:AA1083"/>
    <mergeCell ref="AB1082:AB1083"/>
    <mergeCell ref="AC1082:AC1083"/>
    <mergeCell ref="AD1082:AD1083"/>
    <mergeCell ref="AF1082:AF1083"/>
    <mergeCell ref="AG1082:AG1083"/>
    <mergeCell ref="AH1082:AH1083"/>
    <mergeCell ref="AI1082:AI1083"/>
    <mergeCell ref="AJ1082:AJ1083"/>
    <mergeCell ref="AK1082:AK1083"/>
    <mergeCell ref="AL1082:AL1083"/>
    <mergeCell ref="AM1082:AM1083"/>
    <mergeCell ref="AO1082:AO1083"/>
    <mergeCell ref="AP1082:AP1083"/>
    <mergeCell ref="F994:F995"/>
    <mergeCell ref="J994:J995"/>
    <mergeCell ref="N994:N995"/>
    <mergeCell ref="Y994:Y995"/>
    <mergeCell ref="AA994:AA995"/>
    <mergeCell ref="AB994:AB995"/>
    <mergeCell ref="AC994:AC995"/>
    <mergeCell ref="AD994:AD995"/>
    <mergeCell ref="AF994:AF995"/>
    <mergeCell ref="AG994:AG995"/>
    <mergeCell ref="AH994:AH995"/>
    <mergeCell ref="AI994:AI995"/>
    <mergeCell ref="AJ994:AJ995"/>
    <mergeCell ref="AK994:AK995"/>
    <mergeCell ref="AL994:AL995"/>
    <mergeCell ref="AM994:AM995"/>
    <mergeCell ref="AO994:AO995"/>
    <mergeCell ref="AP994:AP995"/>
    <mergeCell ref="AG1015:AG1016"/>
    <mergeCell ref="AH1015:AH1016"/>
    <mergeCell ref="AI1015:AI1016"/>
    <mergeCell ref="AJ1015:AJ1016"/>
    <mergeCell ref="AK1015:AK1016"/>
    <mergeCell ref="AL1015:AL1016"/>
    <mergeCell ref="AM1015:AM1016"/>
    <mergeCell ref="AO1015:AO1016"/>
    <mergeCell ref="AP1015:AP1016"/>
    <mergeCell ref="E1017:E1018"/>
    <mergeCell ref="F1017:F1018"/>
    <mergeCell ref="J1017:J1018"/>
    <mergeCell ref="N1017:N1018"/>
    <mergeCell ref="Y1017:Y1018"/>
    <mergeCell ref="AA1017:AA1018"/>
    <mergeCell ref="AB1017:AB1018"/>
    <mergeCell ref="AC1017:AC1018"/>
    <mergeCell ref="AD1017:AD1018"/>
    <mergeCell ref="AF1017:AF1018"/>
    <mergeCell ref="AG1017:AG1018"/>
    <mergeCell ref="AH1017:AH1018"/>
    <mergeCell ref="AI1017:AI1018"/>
    <mergeCell ref="AJ1017:AJ1018"/>
    <mergeCell ref="AK1017:AK1018"/>
    <mergeCell ref="AL1017:AL1018"/>
    <mergeCell ref="AM1017:AM1018"/>
    <mergeCell ref="AO1017:AO1018"/>
    <mergeCell ref="AP1017:AP1018"/>
    <mergeCell ref="AP938:AP939"/>
    <mergeCell ref="E965:E966"/>
    <mergeCell ref="F965:F966"/>
    <mergeCell ref="J965:J966"/>
    <mergeCell ref="N965:N966"/>
    <mergeCell ref="Y965:Y966"/>
    <mergeCell ref="AA965:AA966"/>
    <mergeCell ref="AB965:AB966"/>
    <mergeCell ref="AC965:AC966"/>
    <mergeCell ref="AD965:AD966"/>
    <mergeCell ref="AF965:AF966"/>
    <mergeCell ref="AG965:AG966"/>
    <mergeCell ref="AH965:AH966"/>
    <mergeCell ref="AI965:AI966"/>
    <mergeCell ref="AJ965:AJ966"/>
    <mergeCell ref="AK965:AK966"/>
    <mergeCell ref="AL965:AL966"/>
    <mergeCell ref="AM965:AM966"/>
    <mergeCell ref="AO965:AO966"/>
    <mergeCell ref="AP965:AP966"/>
    <mergeCell ref="E989:E990"/>
    <mergeCell ref="F989:F990"/>
    <mergeCell ref="J989:J990"/>
    <mergeCell ref="N989:N990"/>
    <mergeCell ref="Y989:Y990"/>
    <mergeCell ref="AA989:AA990"/>
    <mergeCell ref="AB989:AB990"/>
    <mergeCell ref="AC989:AC990"/>
    <mergeCell ref="AD989:AD990"/>
    <mergeCell ref="AF989:AF990"/>
    <mergeCell ref="AG989:AG990"/>
    <mergeCell ref="AH989:AH990"/>
    <mergeCell ref="AI989:AI990"/>
    <mergeCell ref="AJ989:AJ990"/>
    <mergeCell ref="AK989:AK990"/>
    <mergeCell ref="AL989:AL990"/>
    <mergeCell ref="AM989:AM990"/>
    <mergeCell ref="AO989:AO990"/>
    <mergeCell ref="AP989:AP990"/>
    <mergeCell ref="AF987:AF988"/>
    <mergeCell ref="AG987:AG988"/>
    <mergeCell ref="AH987:AH988"/>
    <mergeCell ref="AI987:AI988"/>
    <mergeCell ref="AJ987:AJ988"/>
    <mergeCell ref="AK987:AK988"/>
    <mergeCell ref="AL987:AL988"/>
    <mergeCell ref="AM987:AM988"/>
    <mergeCell ref="AO987:AO988"/>
    <mergeCell ref="AP987:AP988"/>
    <mergeCell ref="AP985:AP986"/>
    <mergeCell ref="AP961:AP962"/>
    <mergeCell ref="AP963:AP964"/>
    <mergeCell ref="AP951:AP952"/>
    <mergeCell ref="J961:J962"/>
    <mergeCell ref="N961:N962"/>
    <mergeCell ref="Y961:Y962"/>
    <mergeCell ref="AA961:AA962"/>
    <mergeCell ref="AB961:AB962"/>
    <mergeCell ref="AC961:AC962"/>
    <mergeCell ref="AB918:AB919"/>
    <mergeCell ref="AC918:AC919"/>
    <mergeCell ref="AD918:AD919"/>
    <mergeCell ref="AK918:AK919"/>
    <mergeCell ref="AL918:AL919"/>
    <mergeCell ref="AM918:AM919"/>
    <mergeCell ref="AO918:AO919"/>
    <mergeCell ref="AP918:AP919"/>
    <mergeCell ref="E936:E937"/>
    <mergeCell ref="F936:F937"/>
    <mergeCell ref="J936:J937"/>
    <mergeCell ref="N936:N937"/>
    <mergeCell ref="Y936:Y937"/>
    <mergeCell ref="AA936:AA937"/>
    <mergeCell ref="AB936:AB937"/>
    <mergeCell ref="AC936:AC937"/>
    <mergeCell ref="AD936:AD937"/>
    <mergeCell ref="AF936:AF937"/>
    <mergeCell ref="AG936:AG937"/>
    <mergeCell ref="AH936:AH937"/>
    <mergeCell ref="AI936:AI937"/>
    <mergeCell ref="AJ936:AJ937"/>
    <mergeCell ref="AK936:AK937"/>
    <mergeCell ref="AL936:AL937"/>
    <mergeCell ref="AM936:AM937"/>
    <mergeCell ref="AO936:AO937"/>
    <mergeCell ref="AP936:AP937"/>
    <mergeCell ref="AI934:AI935"/>
    <mergeCell ref="AJ934:AJ935"/>
    <mergeCell ref="AK934:AK935"/>
    <mergeCell ref="AL934:AL935"/>
    <mergeCell ref="AM934:AM935"/>
    <mergeCell ref="AO934:AO935"/>
    <mergeCell ref="AP934:AP935"/>
    <mergeCell ref="AK928:AK929"/>
    <mergeCell ref="AL928:AL929"/>
    <mergeCell ref="AM928:AM929"/>
    <mergeCell ref="AO928:AO929"/>
    <mergeCell ref="AP928:AP929"/>
    <mergeCell ref="E930:E931"/>
    <mergeCell ref="E848:E849"/>
    <mergeCell ref="F848:F849"/>
    <mergeCell ref="J848:J849"/>
    <mergeCell ref="N848:N849"/>
    <mergeCell ref="Y848:Y849"/>
    <mergeCell ref="AA848:AA849"/>
    <mergeCell ref="AB848:AB849"/>
    <mergeCell ref="AC848:AC849"/>
    <mergeCell ref="AD848:AD849"/>
    <mergeCell ref="AF848:AF849"/>
    <mergeCell ref="AG848:AG849"/>
    <mergeCell ref="AH848:AH849"/>
    <mergeCell ref="AI848:AI849"/>
    <mergeCell ref="AJ848:AJ849"/>
    <mergeCell ref="AK848:AK849"/>
    <mergeCell ref="AL848:AL849"/>
    <mergeCell ref="AM848:AM849"/>
    <mergeCell ref="AO848:AO849"/>
    <mergeCell ref="AP848:AP849"/>
    <mergeCell ref="E881:E882"/>
    <mergeCell ref="F881:F882"/>
    <mergeCell ref="J881:J882"/>
    <mergeCell ref="N881:N882"/>
    <mergeCell ref="Y881:Y882"/>
    <mergeCell ref="AA881:AA882"/>
    <mergeCell ref="AB881:AB882"/>
    <mergeCell ref="AC881:AC882"/>
    <mergeCell ref="AD881:AD882"/>
    <mergeCell ref="AF881:AF882"/>
    <mergeCell ref="AG881:AG882"/>
    <mergeCell ref="AH881:AH882"/>
    <mergeCell ref="AI881:AI882"/>
    <mergeCell ref="AJ881:AJ882"/>
    <mergeCell ref="AK881:AK882"/>
    <mergeCell ref="AL881:AL882"/>
    <mergeCell ref="AM881:AM882"/>
    <mergeCell ref="AO881:AO882"/>
    <mergeCell ref="AP881:AP882"/>
    <mergeCell ref="E879:E880"/>
    <mergeCell ref="F879:F880"/>
    <mergeCell ref="J879:J880"/>
    <mergeCell ref="N879:N880"/>
    <mergeCell ref="Y879:Y880"/>
    <mergeCell ref="AA879:AA880"/>
    <mergeCell ref="AB879:AB880"/>
    <mergeCell ref="AC879:AC880"/>
    <mergeCell ref="AD879:AD880"/>
    <mergeCell ref="AF879:AF880"/>
    <mergeCell ref="AG879:AG880"/>
    <mergeCell ref="AH879:AH880"/>
    <mergeCell ref="AI879:AI880"/>
    <mergeCell ref="AJ879:AJ880"/>
    <mergeCell ref="AK879:AK880"/>
    <mergeCell ref="AL879:AL880"/>
    <mergeCell ref="AM879:AM880"/>
    <mergeCell ref="AO879:AO880"/>
    <mergeCell ref="AP879:AP880"/>
    <mergeCell ref="AJ869:AJ870"/>
    <mergeCell ref="AK869:AK870"/>
    <mergeCell ref="AL869:AL870"/>
    <mergeCell ref="AM869:AM870"/>
    <mergeCell ref="AO869:AO870"/>
    <mergeCell ref="AP869:AP870"/>
    <mergeCell ref="AF857:AF858"/>
    <mergeCell ref="Y843:Y844"/>
    <mergeCell ref="AA843:AA844"/>
    <mergeCell ref="AB843:AB844"/>
    <mergeCell ref="AC843:AC844"/>
    <mergeCell ref="AD843:AD844"/>
    <mergeCell ref="AF843:AF844"/>
    <mergeCell ref="AG843:AG844"/>
    <mergeCell ref="AH843:AH844"/>
    <mergeCell ref="AI843:AI844"/>
    <mergeCell ref="AJ843:AJ844"/>
    <mergeCell ref="AK843:AK844"/>
    <mergeCell ref="AL843:AL844"/>
    <mergeCell ref="AM843:AM844"/>
    <mergeCell ref="AO843:AO844"/>
    <mergeCell ref="AP843:AP844"/>
    <mergeCell ref="E845:E846"/>
    <mergeCell ref="F845:F846"/>
    <mergeCell ref="J845:J846"/>
    <mergeCell ref="N845:N846"/>
    <mergeCell ref="Y845:Y846"/>
    <mergeCell ref="AA845:AA846"/>
    <mergeCell ref="AB845:AB846"/>
    <mergeCell ref="AC845:AC846"/>
    <mergeCell ref="AD845:AD846"/>
    <mergeCell ref="AF845:AF846"/>
    <mergeCell ref="AG845:AG846"/>
    <mergeCell ref="AH845:AH846"/>
    <mergeCell ref="AI845:AI846"/>
    <mergeCell ref="AJ845:AJ846"/>
    <mergeCell ref="AK845:AK846"/>
    <mergeCell ref="AL845:AL846"/>
    <mergeCell ref="AM845:AM846"/>
    <mergeCell ref="AO845:AO846"/>
    <mergeCell ref="AP845:AP846"/>
    <mergeCell ref="E700:E701"/>
    <mergeCell ref="F700:F701"/>
    <mergeCell ref="J700:J701"/>
    <mergeCell ref="N700:N701"/>
    <mergeCell ref="Y700:Y701"/>
    <mergeCell ref="AA700:AA701"/>
    <mergeCell ref="AB700:AB701"/>
    <mergeCell ref="AC700:AC701"/>
    <mergeCell ref="AD700:AD701"/>
    <mergeCell ref="AF700:AF701"/>
    <mergeCell ref="AG700:AG701"/>
    <mergeCell ref="AH700:AH701"/>
    <mergeCell ref="AI700:AI701"/>
    <mergeCell ref="AJ700:AJ701"/>
    <mergeCell ref="AK700:AK701"/>
    <mergeCell ref="AL700:AL701"/>
    <mergeCell ref="AM700:AM701"/>
    <mergeCell ref="AO700:AO701"/>
    <mergeCell ref="AP700:AP701"/>
    <mergeCell ref="E775:E776"/>
    <mergeCell ref="F775:F776"/>
    <mergeCell ref="J775:J776"/>
    <mergeCell ref="N775:N776"/>
    <mergeCell ref="Y775:Y776"/>
    <mergeCell ref="AA775:AA776"/>
    <mergeCell ref="AB775:AB776"/>
    <mergeCell ref="AC775:AC776"/>
    <mergeCell ref="AD775:AD776"/>
    <mergeCell ref="AF775:AF776"/>
    <mergeCell ref="AG775:AG776"/>
    <mergeCell ref="AH775:AH776"/>
    <mergeCell ref="AI775:AI776"/>
    <mergeCell ref="AJ775:AJ776"/>
    <mergeCell ref="AK775:AK776"/>
    <mergeCell ref="AL775:AL776"/>
    <mergeCell ref="AM775:AM776"/>
    <mergeCell ref="AO775:AO776"/>
    <mergeCell ref="AP775:AP776"/>
    <mergeCell ref="AP721:AP722"/>
    <mergeCell ref="AA721:AA722"/>
    <mergeCell ref="AA723:AA724"/>
    <mergeCell ref="AC707:AC708"/>
    <mergeCell ref="AK721:AK722"/>
    <mergeCell ref="AB715:AB716"/>
    <mergeCell ref="AC715:AC716"/>
    <mergeCell ref="AD715:AD716"/>
    <mergeCell ref="AF715:AF716"/>
    <mergeCell ref="AH735:AH736"/>
    <mergeCell ref="AI735:AI736"/>
    <mergeCell ref="AB741:AB742"/>
    <mergeCell ref="AC741:AC742"/>
    <mergeCell ref="AC737:AC738"/>
    <mergeCell ref="AL705:AL706"/>
    <mergeCell ref="AK723:AK724"/>
    <mergeCell ref="AL725:AL726"/>
    <mergeCell ref="AF719:AF720"/>
    <mergeCell ref="AG719:AG720"/>
    <mergeCell ref="AK767:AK768"/>
    <mergeCell ref="AL763:AL764"/>
    <mergeCell ref="AO763:AO764"/>
    <mergeCell ref="AL743:AL744"/>
    <mergeCell ref="AB739:AB740"/>
    <mergeCell ref="AC739:AC740"/>
    <mergeCell ref="AK733:AK734"/>
    <mergeCell ref="AM406:AM407"/>
    <mergeCell ref="AO406:AO407"/>
    <mergeCell ref="AP406:AP407"/>
    <mergeCell ref="E409:E410"/>
    <mergeCell ref="F409:F410"/>
    <mergeCell ref="J409:J410"/>
    <mergeCell ref="N409:N410"/>
    <mergeCell ref="Y409:Y410"/>
    <mergeCell ref="AA409:AA410"/>
    <mergeCell ref="AB409:AB410"/>
    <mergeCell ref="AC409:AC410"/>
    <mergeCell ref="AD409:AD410"/>
    <mergeCell ref="AF409:AF410"/>
    <mergeCell ref="AG409:AG410"/>
    <mergeCell ref="AH409:AH410"/>
    <mergeCell ref="AI409:AI410"/>
    <mergeCell ref="AJ409:AJ410"/>
    <mergeCell ref="AK409:AK410"/>
    <mergeCell ref="AL409:AL410"/>
    <mergeCell ref="AM409:AM410"/>
    <mergeCell ref="AO409:AO410"/>
    <mergeCell ref="AP409:AP410"/>
    <mergeCell ref="E530:E531"/>
    <mergeCell ref="F530:F531"/>
    <mergeCell ref="J530:J531"/>
    <mergeCell ref="N530:N531"/>
    <mergeCell ref="Y530:Y531"/>
    <mergeCell ref="AA530:AA531"/>
    <mergeCell ref="AB530:AB531"/>
    <mergeCell ref="AC530:AC531"/>
    <mergeCell ref="AD530:AD531"/>
    <mergeCell ref="AF530:AF531"/>
    <mergeCell ref="AG530:AG531"/>
    <mergeCell ref="AH530:AH531"/>
    <mergeCell ref="AI530:AI531"/>
    <mergeCell ref="AJ530:AJ531"/>
    <mergeCell ref="AK530:AK531"/>
    <mergeCell ref="AL530:AL531"/>
    <mergeCell ref="AM530:AM531"/>
    <mergeCell ref="AO530:AO531"/>
    <mergeCell ref="AP530:AP531"/>
    <mergeCell ref="E442:E443"/>
    <mergeCell ref="E448:E449"/>
    <mergeCell ref="F448:F449"/>
    <mergeCell ref="E454:E455"/>
    <mergeCell ref="F482:F483"/>
    <mergeCell ref="E470:E471"/>
    <mergeCell ref="E492:E493"/>
    <mergeCell ref="E482:E483"/>
    <mergeCell ref="AI474:AI475"/>
    <mergeCell ref="AI462:AI463"/>
    <mergeCell ref="AA500:AA501"/>
    <mergeCell ref="E480:E481"/>
    <mergeCell ref="F480:F481"/>
    <mergeCell ref="J480:J481"/>
    <mergeCell ref="E494:E495"/>
    <mergeCell ref="AG482:AG483"/>
    <mergeCell ref="AD514:AD515"/>
    <mergeCell ref="AF514:AF515"/>
    <mergeCell ref="AG514:AG515"/>
    <mergeCell ref="AH514:AH515"/>
    <mergeCell ref="AI514:AI515"/>
    <mergeCell ref="AJ514:AJ515"/>
    <mergeCell ref="AB516:AB517"/>
    <mergeCell ref="AL365:AL366"/>
    <mergeCell ref="AM365:AM366"/>
    <mergeCell ref="AO365:AO366"/>
    <mergeCell ref="AP365:AP366"/>
    <mergeCell ref="E377:E378"/>
    <mergeCell ref="F377:F378"/>
    <mergeCell ref="J377:J378"/>
    <mergeCell ref="N377:N378"/>
    <mergeCell ref="Y377:Y378"/>
    <mergeCell ref="AA377:AA378"/>
    <mergeCell ref="AB377:AB378"/>
    <mergeCell ref="AC377:AC378"/>
    <mergeCell ref="AD377:AD378"/>
    <mergeCell ref="AF377:AF378"/>
    <mergeCell ref="AG377:AG378"/>
    <mergeCell ref="AH377:AH378"/>
    <mergeCell ref="AI377:AI378"/>
    <mergeCell ref="AJ377:AJ378"/>
    <mergeCell ref="AK377:AK378"/>
    <mergeCell ref="AL377:AL378"/>
    <mergeCell ref="AM377:AM378"/>
    <mergeCell ref="AO377:AO378"/>
    <mergeCell ref="AP377:AP378"/>
    <mergeCell ref="E392:E393"/>
    <mergeCell ref="F392:F393"/>
    <mergeCell ref="J392:J393"/>
    <mergeCell ref="N392:N393"/>
    <mergeCell ref="Y392:Y393"/>
    <mergeCell ref="AA392:AA393"/>
    <mergeCell ref="AB392:AB393"/>
    <mergeCell ref="AC392:AC393"/>
    <mergeCell ref="AD392:AD393"/>
    <mergeCell ref="AF392:AF393"/>
    <mergeCell ref="AG392:AG393"/>
    <mergeCell ref="AH392:AH393"/>
    <mergeCell ref="AI392:AI393"/>
    <mergeCell ref="AJ392:AJ393"/>
    <mergeCell ref="AK392:AK393"/>
    <mergeCell ref="AL392:AL393"/>
    <mergeCell ref="AM392:AM393"/>
    <mergeCell ref="AO392:AO393"/>
    <mergeCell ref="AP392:AP393"/>
    <mergeCell ref="E386:E387"/>
    <mergeCell ref="F386:F387"/>
    <mergeCell ref="J386:J387"/>
    <mergeCell ref="N386:N387"/>
    <mergeCell ref="Y386:Y387"/>
    <mergeCell ref="AA386:AA387"/>
    <mergeCell ref="AB386:AB387"/>
    <mergeCell ref="AC386:AC387"/>
    <mergeCell ref="AD386:AD387"/>
    <mergeCell ref="AF386:AF387"/>
    <mergeCell ref="AG386:AG387"/>
    <mergeCell ref="AH386:AH387"/>
    <mergeCell ref="AI386:AI387"/>
    <mergeCell ref="AJ386:AJ387"/>
    <mergeCell ref="AK386:AK387"/>
    <mergeCell ref="AL386:AL387"/>
    <mergeCell ref="AM386:AM387"/>
    <mergeCell ref="AO386:AO387"/>
    <mergeCell ref="AP386:AP387"/>
    <mergeCell ref="AP306:AP307"/>
    <mergeCell ref="E362:E363"/>
    <mergeCell ref="F362:F363"/>
    <mergeCell ref="J362:J363"/>
    <mergeCell ref="N362:N363"/>
    <mergeCell ref="Y362:Y363"/>
    <mergeCell ref="AA362:AA363"/>
    <mergeCell ref="AB362:AB363"/>
    <mergeCell ref="AC362:AC363"/>
    <mergeCell ref="AD362:AD363"/>
    <mergeCell ref="AF362:AF363"/>
    <mergeCell ref="AG362:AG363"/>
    <mergeCell ref="AH362:AH363"/>
    <mergeCell ref="AI362:AI363"/>
    <mergeCell ref="AJ362:AJ363"/>
    <mergeCell ref="AK362:AK363"/>
    <mergeCell ref="AL362:AL363"/>
    <mergeCell ref="AM362:AM363"/>
    <mergeCell ref="AO362:AO363"/>
    <mergeCell ref="AP362:AP363"/>
    <mergeCell ref="AJ318:AJ319"/>
    <mergeCell ref="AC344:AC345"/>
    <mergeCell ref="AH350:AH351"/>
    <mergeCell ref="AP354:AP355"/>
    <mergeCell ref="AM356:AM357"/>
    <mergeCell ref="AO356:AO357"/>
    <mergeCell ref="AM360:AM361"/>
    <mergeCell ref="AO360:AO361"/>
    <mergeCell ref="AO336:AO337"/>
    <mergeCell ref="AM310:AM311"/>
    <mergeCell ref="AP310:AP311"/>
    <mergeCell ref="AM312:AM313"/>
    <mergeCell ref="AP312:AP313"/>
    <mergeCell ref="AM314:AM315"/>
    <mergeCell ref="AP314:AP315"/>
    <mergeCell ref="AO310:AO311"/>
    <mergeCell ref="AP324:AP325"/>
    <mergeCell ref="E326:E327"/>
    <mergeCell ref="F326:F327"/>
    <mergeCell ref="AO320:AO321"/>
    <mergeCell ref="E322:E323"/>
    <mergeCell ref="AP316:AP317"/>
    <mergeCell ref="AM318:AM319"/>
    <mergeCell ref="AP318:AP319"/>
    <mergeCell ref="N318:N319"/>
    <mergeCell ref="AL336:AL337"/>
    <mergeCell ref="N350:N351"/>
    <mergeCell ref="Y350:Y351"/>
    <mergeCell ref="AA350:AA351"/>
    <mergeCell ref="AB350:AB351"/>
    <mergeCell ref="N3506:N3507"/>
    <mergeCell ref="Y3506:Y3507"/>
    <mergeCell ref="AA3506:AA3507"/>
    <mergeCell ref="AB3506:AB3507"/>
    <mergeCell ref="AC3506:AC3507"/>
    <mergeCell ref="AD3506:AD3507"/>
    <mergeCell ref="AF3506:AF3507"/>
    <mergeCell ref="AG3506:AG3507"/>
    <mergeCell ref="AH3506:AH3507"/>
    <mergeCell ref="AI3506:AI3507"/>
    <mergeCell ref="AJ3506:AJ3507"/>
    <mergeCell ref="AK3506:AK3507"/>
    <mergeCell ref="AL3506:AL3507"/>
    <mergeCell ref="AM3506:AM3507"/>
    <mergeCell ref="AO3506:AO3507"/>
    <mergeCell ref="AP3506:AP3507"/>
    <mergeCell ref="E3499:E3500"/>
    <mergeCell ref="F3499:F3500"/>
    <mergeCell ref="J3499:J3500"/>
    <mergeCell ref="N3499:N3500"/>
    <mergeCell ref="Y3499:Y3500"/>
    <mergeCell ref="AA3499:AA3500"/>
    <mergeCell ref="AB3499:AB3500"/>
    <mergeCell ref="AC3499:AC3500"/>
    <mergeCell ref="AD3499:AD3500"/>
    <mergeCell ref="AF3499:AF3500"/>
    <mergeCell ref="AG3499:AG3500"/>
    <mergeCell ref="AH3499:AH3500"/>
    <mergeCell ref="AI3499:AI3500"/>
    <mergeCell ref="AJ3499:AJ3500"/>
    <mergeCell ref="AK3499:AK3500"/>
    <mergeCell ref="AL3499:AL3500"/>
    <mergeCell ref="AM3499:AM3500"/>
    <mergeCell ref="AO3499:AO3500"/>
    <mergeCell ref="AP3499:AP3500"/>
    <mergeCell ref="E3503:E3504"/>
    <mergeCell ref="F3503:F3504"/>
    <mergeCell ref="J3503:J3504"/>
    <mergeCell ref="N3503:N3504"/>
    <mergeCell ref="Y3503:Y3504"/>
    <mergeCell ref="AA3503:AA3504"/>
    <mergeCell ref="AB3503:AB3504"/>
    <mergeCell ref="AC3503:AC3504"/>
    <mergeCell ref="AD3503:AD3504"/>
    <mergeCell ref="E3493:E3494"/>
    <mergeCell ref="F3493:F3494"/>
    <mergeCell ref="J3493:J3494"/>
    <mergeCell ref="N3493:N3494"/>
    <mergeCell ref="Y3493:Y3494"/>
    <mergeCell ref="AA3493:AA3494"/>
    <mergeCell ref="AB3493:AB3494"/>
    <mergeCell ref="AC3493:AC3494"/>
    <mergeCell ref="AD3493:AD3494"/>
    <mergeCell ref="AF3493:AF3494"/>
    <mergeCell ref="AG3493:AG3494"/>
    <mergeCell ref="AH3493:AH3494"/>
    <mergeCell ref="AI3493:AI3494"/>
    <mergeCell ref="AJ3493:AJ3494"/>
    <mergeCell ref="AK3493:AK3494"/>
    <mergeCell ref="AL3493:AL3494"/>
    <mergeCell ref="AM3493:AM3494"/>
    <mergeCell ref="AO3493:AO3494"/>
    <mergeCell ref="AP3493:AP3494"/>
    <mergeCell ref="E3497:E3498"/>
    <mergeCell ref="F3497:F3498"/>
    <mergeCell ref="J3497:J3498"/>
    <mergeCell ref="N3497:N3498"/>
    <mergeCell ref="Y3497:Y3498"/>
    <mergeCell ref="AA3497:AA3498"/>
    <mergeCell ref="AB3497:AB3498"/>
    <mergeCell ref="AC3497:AC3498"/>
    <mergeCell ref="AD3497:AD3498"/>
    <mergeCell ref="AF3497:AF3498"/>
    <mergeCell ref="AG3497:AG3498"/>
    <mergeCell ref="AH3497:AH3498"/>
    <mergeCell ref="AI3497:AI3498"/>
    <mergeCell ref="AJ3497:AJ3498"/>
    <mergeCell ref="AK3497:AK3498"/>
    <mergeCell ref="AL3497:AL3498"/>
    <mergeCell ref="AM3497:AM3498"/>
    <mergeCell ref="AO3497:AO3498"/>
    <mergeCell ref="AP3497:AP3498"/>
    <mergeCell ref="E3495:E3496"/>
    <mergeCell ref="F3495:F3496"/>
    <mergeCell ref="J3495:J3496"/>
    <mergeCell ref="N3495:N3496"/>
    <mergeCell ref="Y3495:Y3496"/>
    <mergeCell ref="AA3495:AA3496"/>
    <mergeCell ref="AB3495:AB3496"/>
    <mergeCell ref="AC3495:AC3496"/>
    <mergeCell ref="AD3495:AD3496"/>
    <mergeCell ref="AF3495:AF3496"/>
    <mergeCell ref="AG3495:AG3496"/>
    <mergeCell ref="AH3495:AH3496"/>
    <mergeCell ref="AI3495:AI3496"/>
    <mergeCell ref="AJ3495:AJ3496"/>
    <mergeCell ref="AK3495:AK3496"/>
    <mergeCell ref="AL3495:AL3496"/>
    <mergeCell ref="AM3495:AM3496"/>
    <mergeCell ref="AO3495:AO3496"/>
    <mergeCell ref="AP3495:AP3496"/>
    <mergeCell ref="E3489:E3490"/>
    <mergeCell ref="F3489:F3490"/>
    <mergeCell ref="J3489:J3490"/>
    <mergeCell ref="N3489:N3490"/>
    <mergeCell ref="Y3489:Y3490"/>
    <mergeCell ref="AA3489:AA3490"/>
    <mergeCell ref="AB3489:AB3490"/>
    <mergeCell ref="AC3489:AC3490"/>
    <mergeCell ref="AD3489:AD3490"/>
    <mergeCell ref="AF3489:AF3490"/>
    <mergeCell ref="AG3489:AG3490"/>
    <mergeCell ref="AH3489:AH3490"/>
    <mergeCell ref="AI3489:AI3490"/>
    <mergeCell ref="AJ3489:AJ3490"/>
    <mergeCell ref="AK3489:AK3490"/>
    <mergeCell ref="AL3489:AL3490"/>
    <mergeCell ref="AM3489:AM3490"/>
    <mergeCell ref="AO3489:AO3490"/>
    <mergeCell ref="AP3489:AP3490"/>
    <mergeCell ref="E3491:E3492"/>
    <mergeCell ref="F3491:F3492"/>
    <mergeCell ref="J3491:J3492"/>
    <mergeCell ref="N3491:N3492"/>
    <mergeCell ref="Y3491:Y3492"/>
    <mergeCell ref="AA3491:AA3492"/>
    <mergeCell ref="AB3491:AB3492"/>
    <mergeCell ref="AC3491:AC3492"/>
    <mergeCell ref="AD3491:AD3492"/>
    <mergeCell ref="AF3491:AF3492"/>
    <mergeCell ref="AG3491:AG3492"/>
    <mergeCell ref="AH3491:AH3492"/>
    <mergeCell ref="AI3491:AI3492"/>
    <mergeCell ref="AJ3491:AJ3492"/>
    <mergeCell ref="AK3491:AK3492"/>
    <mergeCell ref="AL3491:AL3492"/>
    <mergeCell ref="AM3491:AM3492"/>
    <mergeCell ref="AO3491:AO3492"/>
    <mergeCell ref="AP3491:AP3492"/>
    <mergeCell ref="E3486:E3487"/>
    <mergeCell ref="F3486:F3487"/>
    <mergeCell ref="J3486:J3487"/>
    <mergeCell ref="N3486:N3487"/>
    <mergeCell ref="Y3486:Y3487"/>
    <mergeCell ref="AA3486:AA3487"/>
    <mergeCell ref="AB3486:AB3487"/>
    <mergeCell ref="AC3486:AC3487"/>
    <mergeCell ref="AD3486:AD3487"/>
    <mergeCell ref="AF3486:AF3487"/>
    <mergeCell ref="AG3486:AG3487"/>
    <mergeCell ref="AH3486:AH3487"/>
    <mergeCell ref="AI3486:AI3487"/>
    <mergeCell ref="AJ3486:AJ3487"/>
    <mergeCell ref="AK3486:AK3487"/>
    <mergeCell ref="AL3486:AL3487"/>
    <mergeCell ref="AM3486:AM3487"/>
    <mergeCell ref="AO3486:AO3487"/>
    <mergeCell ref="AP3486:AP3487"/>
    <mergeCell ref="E3478:E3479"/>
    <mergeCell ref="F3478:F3479"/>
    <mergeCell ref="J3478:J3479"/>
    <mergeCell ref="N3478:N3479"/>
    <mergeCell ref="Y3478:Y3479"/>
    <mergeCell ref="AA3478:AA3479"/>
    <mergeCell ref="AB3478:AB3479"/>
    <mergeCell ref="AC3478:AC3479"/>
    <mergeCell ref="AD3478:AD3479"/>
    <mergeCell ref="AF3478:AF3479"/>
    <mergeCell ref="AG3478:AG3479"/>
    <mergeCell ref="AH3478:AH3479"/>
    <mergeCell ref="AI3478:AI3479"/>
    <mergeCell ref="AJ3478:AJ3479"/>
    <mergeCell ref="AK3478:AK3479"/>
    <mergeCell ref="AL3478:AL3479"/>
    <mergeCell ref="AM3478:AM3479"/>
    <mergeCell ref="AO3478:AO3479"/>
    <mergeCell ref="AP3478:AP3479"/>
    <mergeCell ref="E3480:E3481"/>
    <mergeCell ref="F3480:F3481"/>
    <mergeCell ref="J3480:J3481"/>
    <mergeCell ref="N3480:N3481"/>
    <mergeCell ref="Y3480:Y3481"/>
    <mergeCell ref="AA3480:AA3481"/>
    <mergeCell ref="AB3480:AB3481"/>
    <mergeCell ref="AC3480:AC3481"/>
    <mergeCell ref="AD3480:AD3481"/>
    <mergeCell ref="AF3480:AF3481"/>
    <mergeCell ref="AG3480:AG3481"/>
    <mergeCell ref="AH3480:AH3481"/>
    <mergeCell ref="AI3480:AI3481"/>
    <mergeCell ref="AJ3480:AJ3481"/>
    <mergeCell ref="AK3480:AK3481"/>
    <mergeCell ref="AL3480:AL3481"/>
    <mergeCell ref="AM3480:AM3481"/>
    <mergeCell ref="AO3480:AO3481"/>
    <mergeCell ref="AP3480:AP3481"/>
    <mergeCell ref="E3474:E3475"/>
    <mergeCell ref="F3474:F3475"/>
    <mergeCell ref="J3474:J3475"/>
    <mergeCell ref="N3474:N3475"/>
    <mergeCell ref="Y3474:Y3475"/>
    <mergeCell ref="AA3474:AA3475"/>
    <mergeCell ref="AB3474:AB3475"/>
    <mergeCell ref="AC3474:AC3475"/>
    <mergeCell ref="AD3474:AD3475"/>
    <mergeCell ref="AF3474:AF3475"/>
    <mergeCell ref="AG3474:AG3475"/>
    <mergeCell ref="AH3474:AH3475"/>
    <mergeCell ref="AI3474:AI3475"/>
    <mergeCell ref="AJ3474:AJ3475"/>
    <mergeCell ref="AK3474:AK3475"/>
    <mergeCell ref="AL3474:AL3475"/>
    <mergeCell ref="AM3474:AM3475"/>
    <mergeCell ref="AO3474:AO3475"/>
    <mergeCell ref="AP3474:AP3475"/>
    <mergeCell ref="E3476:E3477"/>
    <mergeCell ref="F3476:F3477"/>
    <mergeCell ref="J3476:J3477"/>
    <mergeCell ref="N3476:N3477"/>
    <mergeCell ref="Y3476:Y3477"/>
    <mergeCell ref="AA3476:AA3477"/>
    <mergeCell ref="AB3476:AB3477"/>
    <mergeCell ref="AC3476:AC3477"/>
    <mergeCell ref="AD3476:AD3477"/>
    <mergeCell ref="AF3476:AF3477"/>
    <mergeCell ref="AG3476:AG3477"/>
    <mergeCell ref="AH3476:AH3477"/>
    <mergeCell ref="AI3476:AI3477"/>
    <mergeCell ref="AJ3476:AJ3477"/>
    <mergeCell ref="AK3476:AK3477"/>
    <mergeCell ref="AL3476:AL3477"/>
    <mergeCell ref="AM3476:AM3477"/>
    <mergeCell ref="AO3476:AO3477"/>
    <mergeCell ref="AP3476:AP3477"/>
    <mergeCell ref="E3468:E3469"/>
    <mergeCell ref="F3468:F3469"/>
    <mergeCell ref="J3468:J3469"/>
    <mergeCell ref="N3468:N3469"/>
    <mergeCell ref="Y3468:Y3469"/>
    <mergeCell ref="AA3468:AA3469"/>
    <mergeCell ref="AB3468:AB3469"/>
    <mergeCell ref="AC3468:AC3469"/>
    <mergeCell ref="AD3468:AD3469"/>
    <mergeCell ref="AF3468:AF3469"/>
    <mergeCell ref="AG3468:AG3469"/>
    <mergeCell ref="AH3468:AH3469"/>
    <mergeCell ref="AI3468:AI3469"/>
    <mergeCell ref="AJ3468:AJ3469"/>
    <mergeCell ref="AK3468:AK3469"/>
    <mergeCell ref="AL3468:AL3469"/>
    <mergeCell ref="AM3468:AM3469"/>
    <mergeCell ref="AO3468:AO3469"/>
    <mergeCell ref="AP3468:AP3469"/>
    <mergeCell ref="E3470:E3471"/>
    <mergeCell ref="F3470:F3471"/>
    <mergeCell ref="J3470:J3471"/>
    <mergeCell ref="N3470:N3471"/>
    <mergeCell ref="Y3470:Y3471"/>
    <mergeCell ref="AA3470:AA3471"/>
    <mergeCell ref="AB3470:AB3471"/>
    <mergeCell ref="AC3470:AC3471"/>
    <mergeCell ref="AD3470:AD3471"/>
    <mergeCell ref="AF3470:AF3471"/>
    <mergeCell ref="AG3470:AG3471"/>
    <mergeCell ref="AH3470:AH3471"/>
    <mergeCell ref="AI3470:AI3471"/>
    <mergeCell ref="AJ3470:AJ3471"/>
    <mergeCell ref="AK3470:AK3471"/>
    <mergeCell ref="AL3470:AL3471"/>
    <mergeCell ref="AM3470:AM3471"/>
    <mergeCell ref="AO3470:AO3471"/>
    <mergeCell ref="AP3470:AP3471"/>
    <mergeCell ref="AK3462:AK3463"/>
    <mergeCell ref="AL3462:AL3463"/>
    <mergeCell ref="AM3462:AM3463"/>
    <mergeCell ref="AO3462:AO3463"/>
    <mergeCell ref="AP3462:AP3463"/>
    <mergeCell ref="E3464:E3465"/>
    <mergeCell ref="F3464:F3465"/>
    <mergeCell ref="J3464:J3465"/>
    <mergeCell ref="N3464:N3465"/>
    <mergeCell ref="Y3464:Y3465"/>
    <mergeCell ref="AA3464:AA3465"/>
    <mergeCell ref="AB3464:AB3465"/>
    <mergeCell ref="AC3464:AC3465"/>
    <mergeCell ref="AD3464:AD3465"/>
    <mergeCell ref="AF3464:AF3465"/>
    <mergeCell ref="AG3464:AG3465"/>
    <mergeCell ref="AH3464:AH3465"/>
    <mergeCell ref="AI3464:AI3465"/>
    <mergeCell ref="AJ3464:AJ3465"/>
    <mergeCell ref="AK3464:AK3465"/>
    <mergeCell ref="AL3464:AL3465"/>
    <mergeCell ref="AM3464:AM3465"/>
    <mergeCell ref="AO3464:AO3465"/>
    <mergeCell ref="AP3464:AP3465"/>
    <mergeCell ref="E3466:E3467"/>
    <mergeCell ref="F3466:F3467"/>
    <mergeCell ref="J3466:J3467"/>
    <mergeCell ref="N3466:N3467"/>
    <mergeCell ref="Y3466:Y3467"/>
    <mergeCell ref="AA3466:AA3467"/>
    <mergeCell ref="AB3466:AB3467"/>
    <mergeCell ref="AC3466:AC3467"/>
    <mergeCell ref="AD3466:AD3467"/>
    <mergeCell ref="AF3466:AF3467"/>
    <mergeCell ref="AG3466:AG3467"/>
    <mergeCell ref="AH3466:AH3467"/>
    <mergeCell ref="AI3466:AI3467"/>
    <mergeCell ref="AJ3466:AJ3467"/>
    <mergeCell ref="AK3466:AK3467"/>
    <mergeCell ref="AL3466:AL3467"/>
    <mergeCell ref="AM3466:AM3467"/>
    <mergeCell ref="AO3466:AO3467"/>
    <mergeCell ref="AP3466:AP3467"/>
    <mergeCell ref="E3462:E3463"/>
    <mergeCell ref="F3462:F3463"/>
    <mergeCell ref="J3462:J3463"/>
    <mergeCell ref="N3462:N3463"/>
    <mergeCell ref="Y3462:Y3463"/>
    <mergeCell ref="AA3462:AA3463"/>
    <mergeCell ref="AB3462:AB3463"/>
    <mergeCell ref="AC3462:AC3463"/>
    <mergeCell ref="AD3462:AD3463"/>
    <mergeCell ref="AF3462:AF3463"/>
    <mergeCell ref="AG3462:AG3463"/>
    <mergeCell ref="AH3462:AH3463"/>
    <mergeCell ref="AI3462:AI3463"/>
    <mergeCell ref="AJ3462:AJ3463"/>
    <mergeCell ref="N3407:N3408"/>
    <mergeCell ref="Y3407:Y3408"/>
    <mergeCell ref="AA3407:AA3408"/>
    <mergeCell ref="AB3407:AB3408"/>
    <mergeCell ref="AC3407:AC3408"/>
    <mergeCell ref="AD3407:AD3408"/>
    <mergeCell ref="AF3407:AF3408"/>
    <mergeCell ref="AG3407:AG3408"/>
    <mergeCell ref="AH3407:AH3408"/>
    <mergeCell ref="AI3407:AI3408"/>
    <mergeCell ref="AJ3407:AJ3408"/>
    <mergeCell ref="AK3407:AK3408"/>
    <mergeCell ref="AL3407:AL3408"/>
    <mergeCell ref="AM3407:AM3408"/>
    <mergeCell ref="AO3407:AO3408"/>
    <mergeCell ref="AP3407:AP3408"/>
    <mergeCell ref="AK3365:AK3366"/>
    <mergeCell ref="AL3365:AL3366"/>
    <mergeCell ref="AM3365:AM3366"/>
    <mergeCell ref="AO3365:AO3366"/>
    <mergeCell ref="AP3365:AP3366"/>
    <mergeCell ref="E3401:E3402"/>
    <mergeCell ref="F3401:F3402"/>
    <mergeCell ref="J3401:J3402"/>
    <mergeCell ref="N3401:N3402"/>
    <mergeCell ref="Y3401:Y3402"/>
    <mergeCell ref="AA3401:AA3402"/>
    <mergeCell ref="AB3401:AB3402"/>
    <mergeCell ref="AC3401:AC3402"/>
    <mergeCell ref="AD3401:AD3402"/>
    <mergeCell ref="AF3401:AF3402"/>
    <mergeCell ref="AG3401:AG3402"/>
    <mergeCell ref="AH3401:AH3402"/>
    <mergeCell ref="AI3401:AI3402"/>
    <mergeCell ref="AJ3401:AJ3402"/>
    <mergeCell ref="AK3401:AK3402"/>
    <mergeCell ref="AL3401:AL3402"/>
    <mergeCell ref="AM3401:AM3402"/>
    <mergeCell ref="AO3401:AO3402"/>
    <mergeCell ref="AP3401:AP3402"/>
    <mergeCell ref="F3393:F3394"/>
    <mergeCell ref="J3393:J3394"/>
    <mergeCell ref="AJ3387:AJ3388"/>
    <mergeCell ref="AK3387:AK3388"/>
    <mergeCell ref="AL3387:AL3388"/>
    <mergeCell ref="AM3387:AM3388"/>
    <mergeCell ref="AG3383:AG3384"/>
    <mergeCell ref="AH3383:AH3384"/>
    <mergeCell ref="AI3383:AI3384"/>
    <mergeCell ref="AJ3383:AJ3384"/>
    <mergeCell ref="AK3383:AK3384"/>
    <mergeCell ref="AL3383:AL3384"/>
    <mergeCell ref="AM3383:AM3384"/>
    <mergeCell ref="AO3383:AO3384"/>
    <mergeCell ref="AP3383:AP3384"/>
    <mergeCell ref="E3399:E3400"/>
    <mergeCell ref="F3399:F3400"/>
    <mergeCell ref="J3399:J3400"/>
    <mergeCell ref="N3399:N3400"/>
    <mergeCell ref="Y3399:Y3400"/>
    <mergeCell ref="AA3399:AA3400"/>
    <mergeCell ref="AK3371:AK3372"/>
    <mergeCell ref="AL3371:AL3372"/>
    <mergeCell ref="AM3371:AM3372"/>
    <mergeCell ref="AP3354:AP3355"/>
    <mergeCell ref="E3356:E3357"/>
    <mergeCell ref="F3356:F3357"/>
    <mergeCell ref="J3356:J3357"/>
    <mergeCell ref="N3356:N3357"/>
    <mergeCell ref="Y3356:Y3357"/>
    <mergeCell ref="AA3356:AA3357"/>
    <mergeCell ref="AB3356:AB3357"/>
    <mergeCell ref="AC3356:AC3357"/>
    <mergeCell ref="AD3356:AD3357"/>
    <mergeCell ref="AF3356:AF3357"/>
    <mergeCell ref="AG3356:AG3357"/>
    <mergeCell ref="AH3356:AH3357"/>
    <mergeCell ref="AI3356:AI3357"/>
    <mergeCell ref="AJ3356:AJ3357"/>
    <mergeCell ref="AK3356:AK3357"/>
    <mergeCell ref="AL3356:AL3357"/>
    <mergeCell ref="AM3356:AM3357"/>
    <mergeCell ref="AO3356:AO3357"/>
    <mergeCell ref="AP3356:AP3357"/>
    <mergeCell ref="E3362:E3363"/>
    <mergeCell ref="F3362:F3363"/>
    <mergeCell ref="J3362:J3363"/>
    <mergeCell ref="N3362:N3363"/>
    <mergeCell ref="Y3362:Y3363"/>
    <mergeCell ref="AA3362:AA3363"/>
    <mergeCell ref="AB3362:AB3363"/>
    <mergeCell ref="AC3362:AC3363"/>
    <mergeCell ref="AD3362:AD3363"/>
    <mergeCell ref="AF3362:AF3363"/>
    <mergeCell ref="AG3362:AG3363"/>
    <mergeCell ref="AH3362:AH3363"/>
    <mergeCell ref="AI3362:AI3363"/>
    <mergeCell ref="AJ3362:AJ3363"/>
    <mergeCell ref="AK3362:AK3363"/>
    <mergeCell ref="AL3362:AL3363"/>
    <mergeCell ref="AM3362:AM3363"/>
    <mergeCell ref="AO3362:AO3363"/>
    <mergeCell ref="AP3362:AP3363"/>
    <mergeCell ref="Y3319:Y3320"/>
    <mergeCell ref="AA3319:AA3320"/>
    <mergeCell ref="AB3319:AB3320"/>
    <mergeCell ref="AC3319:AC3320"/>
    <mergeCell ref="AD3319:AD3320"/>
    <mergeCell ref="AF3319:AF3320"/>
    <mergeCell ref="AG3319:AG3320"/>
    <mergeCell ref="AH3319:AH3320"/>
    <mergeCell ref="AI3319:AI3320"/>
    <mergeCell ref="AJ3319:AJ3320"/>
    <mergeCell ref="AK3319:AK3320"/>
    <mergeCell ref="AL3319:AL3320"/>
    <mergeCell ref="AM3319:AM3320"/>
    <mergeCell ref="AO3319:AO3320"/>
    <mergeCell ref="AP3319:AP3320"/>
    <mergeCell ref="E3335:E3336"/>
    <mergeCell ref="F3335:F3336"/>
    <mergeCell ref="J3335:J3336"/>
    <mergeCell ref="N3335:N3336"/>
    <mergeCell ref="Y3335:Y3336"/>
    <mergeCell ref="AA3335:AA3336"/>
    <mergeCell ref="AB3335:AB3336"/>
    <mergeCell ref="AC3335:AC3336"/>
    <mergeCell ref="AD3335:AD3336"/>
    <mergeCell ref="AF3335:AF3336"/>
    <mergeCell ref="AG3335:AG3336"/>
    <mergeCell ref="AH3335:AH3336"/>
    <mergeCell ref="AI3335:AI3336"/>
    <mergeCell ref="AJ3335:AJ3336"/>
    <mergeCell ref="AK3335:AK3336"/>
    <mergeCell ref="AL3335:AL3336"/>
    <mergeCell ref="AM3335:AM3336"/>
    <mergeCell ref="AO3335:AO3336"/>
    <mergeCell ref="AP3335:AP3336"/>
    <mergeCell ref="AB3333:AB3334"/>
    <mergeCell ref="AC3333:AC3334"/>
    <mergeCell ref="AD3333:AD3334"/>
    <mergeCell ref="Y3321:Y3322"/>
    <mergeCell ref="AA3321:AA3322"/>
    <mergeCell ref="AB3321:AB3322"/>
    <mergeCell ref="AC3321:AC3322"/>
    <mergeCell ref="AD3321:AD3322"/>
    <mergeCell ref="AF3321:AF3322"/>
    <mergeCell ref="AG3321:AG3322"/>
    <mergeCell ref="AH3321:AH3322"/>
    <mergeCell ref="AI3321:AI3322"/>
    <mergeCell ref="AJ3321:AJ3322"/>
    <mergeCell ref="AK3321:AK3322"/>
    <mergeCell ref="AL3321:AL3322"/>
    <mergeCell ref="AM3321:AM3322"/>
    <mergeCell ref="AO3321:AO3322"/>
    <mergeCell ref="AP3321:AP3322"/>
    <mergeCell ref="E3321:E3322"/>
    <mergeCell ref="F3321:F3322"/>
    <mergeCell ref="J3321:J3322"/>
    <mergeCell ref="N3321:N3322"/>
    <mergeCell ref="AK3315:AK3316"/>
    <mergeCell ref="AL3315:AL3316"/>
    <mergeCell ref="AM3315:AM3316"/>
    <mergeCell ref="AO3315:AO3316"/>
    <mergeCell ref="AP3315:AP3316"/>
    <mergeCell ref="J3305:J3306"/>
    <mergeCell ref="E3303:E3304"/>
    <mergeCell ref="F3303:F3304"/>
    <mergeCell ref="J3303:J3304"/>
    <mergeCell ref="N3303:N3304"/>
    <mergeCell ref="Y3303:Y3304"/>
    <mergeCell ref="AA3303:AA3304"/>
    <mergeCell ref="AB3303:AB3304"/>
    <mergeCell ref="AC3303:AC3304"/>
    <mergeCell ref="AD3303:AD3304"/>
    <mergeCell ref="AF3303:AF3304"/>
    <mergeCell ref="AG3303:AG3304"/>
    <mergeCell ref="AH3303:AH3304"/>
    <mergeCell ref="AI3303:AI3304"/>
    <mergeCell ref="AJ3303:AJ3304"/>
    <mergeCell ref="AK3303:AK3304"/>
    <mergeCell ref="AL3303:AL3304"/>
    <mergeCell ref="AM3303:AM3304"/>
    <mergeCell ref="AO3303:AO3304"/>
    <mergeCell ref="AP3303:AP3304"/>
    <mergeCell ref="AK3309:AK3310"/>
    <mergeCell ref="AL3309:AL3310"/>
    <mergeCell ref="AM3309:AM3310"/>
    <mergeCell ref="AO3309:AO3310"/>
    <mergeCell ref="AP3309:AP3310"/>
    <mergeCell ref="E3305:E3306"/>
    <mergeCell ref="F3305:F3306"/>
    <mergeCell ref="AC3309:AC3310"/>
    <mergeCell ref="AD3309:AD3310"/>
    <mergeCell ref="AF3309:AF3310"/>
    <mergeCell ref="AG3309:AG3310"/>
    <mergeCell ref="AH3309:AH3310"/>
    <mergeCell ref="AI3309:AI3310"/>
    <mergeCell ref="AJ3309:AJ3310"/>
    <mergeCell ref="E3313:E3314"/>
    <mergeCell ref="F3313:F3314"/>
    <mergeCell ref="J3313:J3314"/>
    <mergeCell ref="N3313:N3314"/>
    <mergeCell ref="Y3313:Y3314"/>
    <mergeCell ref="AA3313:AA3314"/>
    <mergeCell ref="AJ3268:AJ3269"/>
    <mergeCell ref="AK3268:AK3269"/>
    <mergeCell ref="AL3268:AL3269"/>
    <mergeCell ref="AM3268:AM3269"/>
    <mergeCell ref="AO3268:AO3269"/>
    <mergeCell ref="AP3268:AP3269"/>
    <mergeCell ref="E3279:E3280"/>
    <mergeCell ref="F3279:F3280"/>
    <mergeCell ref="J3279:J3280"/>
    <mergeCell ref="N3279:N3280"/>
    <mergeCell ref="Y3279:Y3280"/>
    <mergeCell ref="AA3279:AA3280"/>
    <mergeCell ref="AB3279:AB3280"/>
    <mergeCell ref="AC3279:AC3280"/>
    <mergeCell ref="AD3279:AD3280"/>
    <mergeCell ref="AF3279:AF3280"/>
    <mergeCell ref="AG3279:AG3280"/>
    <mergeCell ref="AH3279:AH3280"/>
    <mergeCell ref="AI3279:AI3280"/>
    <mergeCell ref="AJ3279:AJ3280"/>
    <mergeCell ref="AK3279:AK3280"/>
    <mergeCell ref="AL3279:AL3280"/>
    <mergeCell ref="AM3279:AM3280"/>
    <mergeCell ref="AO3279:AO3280"/>
    <mergeCell ref="AP3279:AP3280"/>
    <mergeCell ref="E3277:E3278"/>
    <mergeCell ref="F3277:F3278"/>
    <mergeCell ref="J3277:J3278"/>
    <mergeCell ref="N3277:N3278"/>
    <mergeCell ref="Y3277:Y3278"/>
    <mergeCell ref="AA3277:AA3278"/>
    <mergeCell ref="AB3277:AB3278"/>
    <mergeCell ref="AP3277:AP3278"/>
    <mergeCell ref="E3270:E3271"/>
    <mergeCell ref="F3270:F3271"/>
    <mergeCell ref="J3270:J3271"/>
    <mergeCell ref="N3270:N3271"/>
    <mergeCell ref="Y3270:Y3271"/>
    <mergeCell ref="AA3270:AA3271"/>
    <mergeCell ref="AB3270:AB3271"/>
    <mergeCell ref="AC3270:AC3271"/>
    <mergeCell ref="AD3270:AD3271"/>
    <mergeCell ref="AF3270:AF3271"/>
    <mergeCell ref="E3274:E3275"/>
    <mergeCell ref="F3274:F3275"/>
    <mergeCell ref="J3274:J3275"/>
    <mergeCell ref="N3274:N3275"/>
    <mergeCell ref="Y3274:Y3275"/>
    <mergeCell ref="AA3274:AA3275"/>
    <mergeCell ref="AB3274:AB3275"/>
    <mergeCell ref="AC3274:AC3275"/>
    <mergeCell ref="AD3274:AD3275"/>
    <mergeCell ref="AF3274:AF3275"/>
    <mergeCell ref="AG3274:AG3275"/>
    <mergeCell ref="AH3274:AH3275"/>
    <mergeCell ref="AI3274:AI3275"/>
    <mergeCell ref="AJ3274:AJ3275"/>
    <mergeCell ref="AK3274:AK3275"/>
    <mergeCell ref="AL3274:AL3275"/>
    <mergeCell ref="AM3274:AM3275"/>
    <mergeCell ref="AO3274:AO3275"/>
    <mergeCell ref="AP3274:AP3275"/>
    <mergeCell ref="AG3131:AG3132"/>
    <mergeCell ref="AH3131:AH3132"/>
    <mergeCell ref="AI3131:AI3132"/>
    <mergeCell ref="F3131:F3132"/>
    <mergeCell ref="J3131:J3132"/>
    <mergeCell ref="N3131:N3132"/>
    <mergeCell ref="Y3131:Y3132"/>
    <mergeCell ref="E3097:E3098"/>
    <mergeCell ref="F3097:F3098"/>
    <mergeCell ref="J3097:J3098"/>
    <mergeCell ref="AG3097:AG3098"/>
    <mergeCell ref="E3242:E3243"/>
    <mergeCell ref="F3242:F3243"/>
    <mergeCell ref="J3242:J3243"/>
    <mergeCell ref="N3242:N3243"/>
    <mergeCell ref="Y3242:Y3243"/>
    <mergeCell ref="AA3242:AA3243"/>
    <mergeCell ref="AB3242:AB3243"/>
    <mergeCell ref="AC3242:AC3243"/>
    <mergeCell ref="AD3242:AD3243"/>
    <mergeCell ref="AF3242:AF3243"/>
    <mergeCell ref="AG3242:AG3243"/>
    <mergeCell ref="AH3242:AH3243"/>
    <mergeCell ref="AI3242:AI3243"/>
    <mergeCell ref="AJ3242:AJ3243"/>
    <mergeCell ref="AK3242:AK3243"/>
    <mergeCell ref="AL3242:AL3243"/>
    <mergeCell ref="AM3242:AM3243"/>
    <mergeCell ref="AO3242:AO3243"/>
    <mergeCell ref="AP3242:AP3243"/>
    <mergeCell ref="AD3238:AD3239"/>
    <mergeCell ref="AF3238:AF3239"/>
    <mergeCell ref="AG3238:AG3239"/>
    <mergeCell ref="AH3238:AH3239"/>
    <mergeCell ref="AI3238:AI3239"/>
    <mergeCell ref="AJ3238:AJ3239"/>
    <mergeCell ref="AK3238:AK3239"/>
    <mergeCell ref="AL3238:AL3239"/>
    <mergeCell ref="AM3238:AM3239"/>
    <mergeCell ref="AO3238:AO3239"/>
    <mergeCell ref="AP3238:AP3239"/>
    <mergeCell ref="E3236:E3237"/>
    <mergeCell ref="F3236:F3237"/>
    <mergeCell ref="E3240:E3241"/>
    <mergeCell ref="F3240:F3241"/>
    <mergeCell ref="J3240:J3241"/>
    <mergeCell ref="N3240:N3241"/>
    <mergeCell ref="Y3240:Y3241"/>
    <mergeCell ref="AA3240:AA3241"/>
    <mergeCell ref="AB3240:AB3241"/>
    <mergeCell ref="AC3240:AC3241"/>
    <mergeCell ref="AD3240:AD3241"/>
    <mergeCell ref="AF3240:AF3241"/>
    <mergeCell ref="AG3240:AG3241"/>
    <mergeCell ref="E3143:E3144"/>
    <mergeCell ref="F3143:F3144"/>
    <mergeCell ref="J3143:J3144"/>
    <mergeCell ref="N3143:N3144"/>
    <mergeCell ref="Y3143:Y3144"/>
    <mergeCell ref="AA3143:AA3144"/>
    <mergeCell ref="AB3143:AB3144"/>
    <mergeCell ref="AC3143:AC3144"/>
    <mergeCell ref="AD3143:AD3144"/>
    <mergeCell ref="AF3143:AF3144"/>
    <mergeCell ref="E3119:E3120"/>
    <mergeCell ref="F3119:F3120"/>
    <mergeCell ref="F3125:F3126"/>
    <mergeCell ref="AI3125:AI3126"/>
    <mergeCell ref="AA3125:AA3126"/>
    <mergeCell ref="AA3127:AA3128"/>
    <mergeCell ref="J3119:J3120"/>
    <mergeCell ref="AH3127:AH3128"/>
    <mergeCell ref="AB3103:AB3104"/>
    <mergeCell ref="AC3103:AC3104"/>
    <mergeCell ref="N3095:N3096"/>
    <mergeCell ref="AG3095:AG3096"/>
    <mergeCell ref="AD3095:AD3096"/>
    <mergeCell ref="AF3095:AF3096"/>
    <mergeCell ref="AA3097:AA3098"/>
    <mergeCell ref="AB3097:AB3098"/>
    <mergeCell ref="AC3097:AC3098"/>
    <mergeCell ref="AD3097:AD3098"/>
    <mergeCell ref="AF3097:AF3098"/>
    <mergeCell ref="AM3123:AM3124"/>
    <mergeCell ref="AO3123:AO3124"/>
    <mergeCell ref="AP3123:AP3124"/>
    <mergeCell ref="AP3113:AP3114"/>
    <mergeCell ref="AD3107:AD3108"/>
    <mergeCell ref="AL3101:AL3102"/>
    <mergeCell ref="AB3117:AB3118"/>
    <mergeCell ref="AC3105:AC3106"/>
    <mergeCell ref="E3095:E3096"/>
    <mergeCell ref="F3095:F3096"/>
    <mergeCell ref="AP3111:AP3112"/>
    <mergeCell ref="AM3113:AM3114"/>
    <mergeCell ref="E3127:E3128"/>
    <mergeCell ref="F3127:F3128"/>
    <mergeCell ref="J3127:J3128"/>
    <mergeCell ref="AI3113:AI3114"/>
    <mergeCell ref="E3054:E3055"/>
    <mergeCell ref="F3054:F3055"/>
    <mergeCell ref="J3054:J3055"/>
    <mergeCell ref="N3054:N3055"/>
    <mergeCell ref="Y3054:Y3055"/>
    <mergeCell ref="AA3054:AA3055"/>
    <mergeCell ref="AB3054:AB3055"/>
    <mergeCell ref="AC3054:AC3055"/>
    <mergeCell ref="AD3054:AD3055"/>
    <mergeCell ref="AF3054:AF3055"/>
    <mergeCell ref="AG3054:AG3055"/>
    <mergeCell ref="AH3054:AH3055"/>
    <mergeCell ref="AI3054:AI3055"/>
    <mergeCell ref="AJ3054:AJ3055"/>
    <mergeCell ref="AK3054:AK3055"/>
    <mergeCell ref="AL3054:AL3055"/>
    <mergeCell ref="AM3054:AM3055"/>
    <mergeCell ref="AO3054:AO3055"/>
    <mergeCell ref="AP3054:AP3055"/>
    <mergeCell ref="AP3036:AP3037"/>
    <mergeCell ref="AJ3016:AJ3017"/>
    <mergeCell ref="AK3016:AK3017"/>
    <mergeCell ref="AL3016:AL3017"/>
    <mergeCell ref="AM3016:AM3017"/>
    <mergeCell ref="AO3016:AO3017"/>
    <mergeCell ref="AP3016:AP3017"/>
    <mergeCell ref="E3018:E3019"/>
    <mergeCell ref="F3018:F3019"/>
    <mergeCell ref="J3018:J3019"/>
    <mergeCell ref="N3018:N3019"/>
    <mergeCell ref="Y3018:Y3019"/>
    <mergeCell ref="AA3018:AA3019"/>
    <mergeCell ref="AB3018:AB3019"/>
    <mergeCell ref="AC3018:AC3019"/>
    <mergeCell ref="AD3018:AD3019"/>
    <mergeCell ref="E3036:E3037"/>
    <mergeCell ref="F3036:F3037"/>
    <mergeCell ref="AM3018:AM3019"/>
    <mergeCell ref="AO3018:AO3019"/>
    <mergeCell ref="AP3024:AP3025"/>
    <mergeCell ref="N3026:N3027"/>
    <mergeCell ref="Y3026:Y3027"/>
    <mergeCell ref="AA3026:AA3027"/>
    <mergeCell ref="AB3026:AB3027"/>
    <mergeCell ref="AA3046:AA3047"/>
    <mergeCell ref="AB3046:AB3047"/>
    <mergeCell ref="AC3046:AC3047"/>
    <mergeCell ref="AD3046:AD3047"/>
    <mergeCell ref="AF3046:AF3047"/>
    <mergeCell ref="AG3046:AG3047"/>
    <mergeCell ref="AH3046:AH3047"/>
    <mergeCell ref="AI3046:AI3047"/>
    <mergeCell ref="AJ3046:AJ3047"/>
    <mergeCell ref="AK3046:AK3047"/>
    <mergeCell ref="AL3046:AL3047"/>
    <mergeCell ref="AM3046:AM3047"/>
    <mergeCell ref="AO3046:AO3047"/>
    <mergeCell ref="AP3046:AP3047"/>
    <mergeCell ref="E3044:E3045"/>
    <mergeCell ref="F3044:F3045"/>
    <mergeCell ref="J3034:J3035"/>
    <mergeCell ref="N3034:N3035"/>
    <mergeCell ref="Y3034:Y3035"/>
    <mergeCell ref="AA3034:AA3035"/>
    <mergeCell ref="AM3038:AM3039"/>
    <mergeCell ref="AO3038:AO3039"/>
    <mergeCell ref="AP3038:AP3039"/>
    <mergeCell ref="E3040:E3041"/>
    <mergeCell ref="F3040:F3041"/>
    <mergeCell ref="J3040:J3041"/>
    <mergeCell ref="AM2754:AM2755"/>
    <mergeCell ref="AO2754:AO2755"/>
    <mergeCell ref="AP2754:AP2755"/>
    <mergeCell ref="E2804:E2805"/>
    <mergeCell ref="F2804:F2805"/>
    <mergeCell ref="J2804:J2805"/>
    <mergeCell ref="N2804:N2805"/>
    <mergeCell ref="Y2804:Y2805"/>
    <mergeCell ref="AA2804:AA2805"/>
    <mergeCell ref="AB2804:AB2805"/>
    <mergeCell ref="AC2804:AC2805"/>
    <mergeCell ref="AD2804:AD2805"/>
    <mergeCell ref="AF2804:AF2805"/>
    <mergeCell ref="AG2804:AG2805"/>
    <mergeCell ref="AH2804:AH2805"/>
    <mergeCell ref="AI2804:AI2805"/>
    <mergeCell ref="AJ2804:AJ2805"/>
    <mergeCell ref="AK2804:AK2805"/>
    <mergeCell ref="AL2804:AL2805"/>
    <mergeCell ref="AM2804:AM2805"/>
    <mergeCell ref="AO2804:AO2805"/>
    <mergeCell ref="AP2804:AP2805"/>
    <mergeCell ref="E2780:E2781"/>
    <mergeCell ref="F2780:F2781"/>
    <mergeCell ref="J2780:J2781"/>
    <mergeCell ref="N2780:N2781"/>
    <mergeCell ref="AO2780:AO2781"/>
    <mergeCell ref="AP2780:AP2781"/>
    <mergeCell ref="AJ2782:AJ2783"/>
    <mergeCell ref="J2776:J2777"/>
    <mergeCell ref="AL2766:AL2767"/>
    <mergeCell ref="AP2786:AP2787"/>
    <mergeCell ref="F2778:F2779"/>
    <mergeCell ref="J2778:J2779"/>
    <mergeCell ref="N2778:N2779"/>
    <mergeCell ref="Y2778:Y2779"/>
    <mergeCell ref="AA2778:AA2779"/>
    <mergeCell ref="AB2778:AB2779"/>
    <mergeCell ref="AC2778:AC2779"/>
    <mergeCell ref="AD2778:AD2779"/>
    <mergeCell ref="AF2778:AF2779"/>
    <mergeCell ref="AB2772:AB2773"/>
    <mergeCell ref="AC2772:AC2773"/>
    <mergeCell ref="AD2772:AD2773"/>
    <mergeCell ref="AF2772:AF2773"/>
    <mergeCell ref="AG2772:AG2773"/>
    <mergeCell ref="AH2772:AH2773"/>
    <mergeCell ref="E2782:E2783"/>
    <mergeCell ref="F2796:F2797"/>
    <mergeCell ref="J2796:J2797"/>
    <mergeCell ref="N2796:N2797"/>
    <mergeCell ref="Y2796:Y2797"/>
    <mergeCell ref="AA2796:AA2797"/>
    <mergeCell ref="AB2796:AB2797"/>
    <mergeCell ref="AJ2844:AJ2845"/>
    <mergeCell ref="AK2844:AK2845"/>
    <mergeCell ref="AL2844:AL2845"/>
    <mergeCell ref="AM2844:AM2845"/>
    <mergeCell ref="AO2772:AO2773"/>
    <mergeCell ref="AM2772:AM2773"/>
    <mergeCell ref="Y2768:Y2769"/>
    <mergeCell ref="AA2768:AA2769"/>
    <mergeCell ref="AB2768:AB2769"/>
    <mergeCell ref="E2663:E2664"/>
    <mergeCell ref="F2663:F2664"/>
    <mergeCell ref="J2663:J2664"/>
    <mergeCell ref="N2663:N2664"/>
    <mergeCell ref="Y2663:Y2664"/>
    <mergeCell ref="AA2663:AA2664"/>
    <mergeCell ref="AB2663:AB2664"/>
    <mergeCell ref="AC2663:AC2664"/>
    <mergeCell ref="AD2663:AD2664"/>
    <mergeCell ref="AF2663:AF2664"/>
    <mergeCell ref="AG2663:AG2664"/>
    <mergeCell ref="AH2663:AH2664"/>
    <mergeCell ref="AI2663:AI2664"/>
    <mergeCell ref="AJ2663:AJ2664"/>
    <mergeCell ref="AK2663:AK2664"/>
    <mergeCell ref="AL2663:AL2664"/>
    <mergeCell ref="AM2663:AM2664"/>
    <mergeCell ref="AO2663:AO2664"/>
    <mergeCell ref="AP2663:AP2664"/>
    <mergeCell ref="F2629:F2630"/>
    <mergeCell ref="J2629:J2630"/>
    <mergeCell ref="N2629:N2630"/>
    <mergeCell ref="Y2629:Y2630"/>
    <mergeCell ref="AA2629:AA2630"/>
    <mergeCell ref="E2631:E2632"/>
    <mergeCell ref="F2631:F2632"/>
    <mergeCell ref="AF2629:AF2630"/>
    <mergeCell ref="AG2629:AG2630"/>
    <mergeCell ref="AH2629:AH2630"/>
    <mergeCell ref="AG2639:AG2640"/>
    <mergeCell ref="E2647:E2648"/>
    <mergeCell ref="AA2716:AA2717"/>
    <mergeCell ref="AB2716:AB2717"/>
    <mergeCell ref="AC2716:AC2717"/>
    <mergeCell ref="AD2716:AD2717"/>
    <mergeCell ref="AF2716:AF2717"/>
    <mergeCell ref="AH2678:AH2679"/>
    <mergeCell ref="AJ2704:AJ2705"/>
    <mergeCell ref="AK2704:AK2705"/>
    <mergeCell ref="AK2718:AK2719"/>
    <mergeCell ref="AA2714:AA2715"/>
    <mergeCell ref="AD2700:AD2701"/>
    <mergeCell ref="AF2700:AF2701"/>
    <mergeCell ref="J2688:J2689"/>
    <mergeCell ref="AI2678:AI2679"/>
    <mergeCell ref="AJ2678:AJ2679"/>
    <mergeCell ref="AK2678:AK2679"/>
    <mergeCell ref="J2696:J2697"/>
    <mergeCell ref="AK2676:AK2677"/>
    <mergeCell ref="E2702:E2703"/>
    <mergeCell ref="F2702:F2703"/>
    <mergeCell ref="J2702:J2703"/>
    <mergeCell ref="N2702:N2703"/>
    <mergeCell ref="AG2688:AG2689"/>
    <mergeCell ref="E2667:E2668"/>
    <mergeCell ref="F2667:F2668"/>
    <mergeCell ref="J2667:J2668"/>
    <mergeCell ref="N2667:N2668"/>
    <mergeCell ref="Y2667:Y2668"/>
    <mergeCell ref="E2599:E2600"/>
    <mergeCell ref="F2599:F2600"/>
    <mergeCell ref="J2599:J2600"/>
    <mergeCell ref="N2599:N2600"/>
    <mergeCell ref="Y2599:Y2600"/>
    <mergeCell ref="AA2599:AA2600"/>
    <mergeCell ref="AB2599:AB2600"/>
    <mergeCell ref="AC2599:AC2600"/>
    <mergeCell ref="AD2599:AD2600"/>
    <mergeCell ref="AF2599:AF2600"/>
    <mergeCell ref="AG2599:AG2600"/>
    <mergeCell ref="AH2599:AH2600"/>
    <mergeCell ref="AI2599:AI2600"/>
    <mergeCell ref="AJ2599:AJ2600"/>
    <mergeCell ref="AK2599:AK2600"/>
    <mergeCell ref="AL2599:AL2600"/>
    <mergeCell ref="AM2599:AM2600"/>
    <mergeCell ref="AO2599:AO2600"/>
    <mergeCell ref="AP2599:AP2600"/>
    <mergeCell ref="E2597:E2598"/>
    <mergeCell ref="F2597:F2598"/>
    <mergeCell ref="J2597:J2598"/>
    <mergeCell ref="N2597:N2598"/>
    <mergeCell ref="Y2597:Y2598"/>
    <mergeCell ref="AA2597:AA2598"/>
    <mergeCell ref="AB2597:AB2598"/>
    <mergeCell ref="AC2597:AC2598"/>
    <mergeCell ref="AD2597:AD2598"/>
    <mergeCell ref="AF2597:AF2598"/>
    <mergeCell ref="AG2597:AG2598"/>
    <mergeCell ref="AH2597:AH2598"/>
    <mergeCell ref="AI2597:AI2598"/>
    <mergeCell ref="AJ2597:AJ2598"/>
    <mergeCell ref="AK2597:AK2598"/>
    <mergeCell ref="AL2597:AL2598"/>
    <mergeCell ref="AM2597:AM2598"/>
    <mergeCell ref="AO2597:AO2598"/>
    <mergeCell ref="AP2597:AP2598"/>
    <mergeCell ref="E2595:E2596"/>
    <mergeCell ref="F2595:F2596"/>
    <mergeCell ref="J2595:J2596"/>
    <mergeCell ref="AH2595:AH2596"/>
    <mergeCell ref="E2591:E2592"/>
    <mergeCell ref="AL2567:AL2568"/>
    <mergeCell ref="AO2559:AO2560"/>
    <mergeCell ref="AM2557:AM2558"/>
    <mergeCell ref="AP2557:AP2558"/>
    <mergeCell ref="AP2559:AP2560"/>
    <mergeCell ref="AM2563:AM2564"/>
    <mergeCell ref="AP2563:AP2564"/>
    <mergeCell ref="AM2565:AM2566"/>
    <mergeCell ref="AP2565:AP2566"/>
    <mergeCell ref="J2585:J2586"/>
    <mergeCell ref="E2583:E2584"/>
    <mergeCell ref="F2583:F2584"/>
    <mergeCell ref="J2583:J2584"/>
    <mergeCell ref="AD2565:AD2566"/>
    <mergeCell ref="AH2579:AH2580"/>
    <mergeCell ref="Y2565:Y2566"/>
    <mergeCell ref="E2565:E2566"/>
    <mergeCell ref="E2571:E2572"/>
    <mergeCell ref="E2573:E2574"/>
    <mergeCell ref="F2573:F2574"/>
    <mergeCell ref="J2573:J2574"/>
    <mergeCell ref="N2573:N2574"/>
    <mergeCell ref="E2569:E2570"/>
    <mergeCell ref="AM2571:AM2572"/>
    <mergeCell ref="AP2571:AP2572"/>
    <mergeCell ref="AO2567:AO2568"/>
    <mergeCell ref="AO2565:AO2566"/>
    <mergeCell ref="AI2587:AI2588"/>
    <mergeCell ref="F2591:F2592"/>
    <mergeCell ref="AK2565:AK2566"/>
    <mergeCell ref="AJ2585:AJ2586"/>
    <mergeCell ref="E2581:E2582"/>
    <mergeCell ref="F2581:F2582"/>
    <mergeCell ref="J2581:J2582"/>
    <mergeCell ref="E2557:E2558"/>
    <mergeCell ref="F2557:F2558"/>
    <mergeCell ref="E2577:E2578"/>
    <mergeCell ref="F2577:F2578"/>
    <mergeCell ref="J2577:J2578"/>
    <mergeCell ref="AC2577:AC2578"/>
    <mergeCell ref="AD2577:AD2578"/>
    <mergeCell ref="N2591:N2592"/>
    <mergeCell ref="Y2591:Y2592"/>
    <mergeCell ref="AA2591:AA2592"/>
    <mergeCell ref="AB2591:AB2592"/>
    <mergeCell ref="AC2591:AC2592"/>
    <mergeCell ref="AD2591:AD2592"/>
    <mergeCell ref="AF2591:AF2592"/>
    <mergeCell ref="AG2591:AG2592"/>
    <mergeCell ref="AH2591:AH2592"/>
    <mergeCell ref="AI2591:AI2592"/>
    <mergeCell ref="E2559:E2560"/>
    <mergeCell ref="AP2575:AP2576"/>
    <mergeCell ref="AP2569:AP2570"/>
    <mergeCell ref="AD2559:AD2560"/>
    <mergeCell ref="AF2559:AF2560"/>
    <mergeCell ref="AF2565:AF2566"/>
    <mergeCell ref="AI2545:AI2546"/>
    <mergeCell ref="AJ2545:AJ2546"/>
    <mergeCell ref="AA2537:AA2538"/>
    <mergeCell ref="AB2537:AB2538"/>
    <mergeCell ref="E2543:E2544"/>
    <mergeCell ref="AF2531:AF2532"/>
    <mergeCell ref="AH2531:AH2532"/>
    <mergeCell ref="F2531:F2532"/>
    <mergeCell ref="AM2539:AM2540"/>
    <mergeCell ref="F2571:F2572"/>
    <mergeCell ref="E2587:E2588"/>
    <mergeCell ref="F2587:F2588"/>
    <mergeCell ref="J2587:J2588"/>
    <mergeCell ref="N2587:N2588"/>
    <mergeCell ref="Y2587:Y2588"/>
    <mergeCell ref="J2591:J2592"/>
    <mergeCell ref="J2579:J2580"/>
    <mergeCell ref="E2553:E2554"/>
    <mergeCell ref="F2553:F2554"/>
    <mergeCell ref="J2553:J2554"/>
    <mergeCell ref="N2553:N2554"/>
    <mergeCell ref="Y2553:Y2554"/>
    <mergeCell ref="AP2545:AP2546"/>
    <mergeCell ref="AM2531:AM2532"/>
    <mergeCell ref="AO2531:AO2532"/>
    <mergeCell ref="AB2531:AB2532"/>
    <mergeCell ref="AI2531:AI2532"/>
    <mergeCell ref="E2383:E2384"/>
    <mergeCell ref="F2383:F2384"/>
    <mergeCell ref="J2383:J2384"/>
    <mergeCell ref="N2383:N2384"/>
    <mergeCell ref="Y2383:Y2384"/>
    <mergeCell ref="AA2383:AA2384"/>
    <mergeCell ref="AB2383:AB2384"/>
    <mergeCell ref="AC2383:AC2384"/>
    <mergeCell ref="AD2383:AD2384"/>
    <mergeCell ref="AF2383:AF2384"/>
    <mergeCell ref="AG2383:AG2384"/>
    <mergeCell ref="AH2383:AH2384"/>
    <mergeCell ref="AI2383:AI2384"/>
    <mergeCell ref="AJ2383:AJ2384"/>
    <mergeCell ref="AK2383:AK2384"/>
    <mergeCell ref="AL2383:AL2384"/>
    <mergeCell ref="AM2383:AM2384"/>
    <mergeCell ref="AO2383:AO2384"/>
    <mergeCell ref="AP2383:AP2384"/>
    <mergeCell ref="E2351:E2352"/>
    <mergeCell ref="F2351:F2352"/>
    <mergeCell ref="J2351:J2352"/>
    <mergeCell ref="N2351:N2352"/>
    <mergeCell ref="Y2351:Y2352"/>
    <mergeCell ref="AA2351:AA2352"/>
    <mergeCell ref="AO2517:AO2518"/>
    <mergeCell ref="AP2517:AP2518"/>
    <mergeCell ref="E2527:E2528"/>
    <mergeCell ref="F2527:F2528"/>
    <mergeCell ref="J2527:J2528"/>
    <mergeCell ref="N2527:N2528"/>
    <mergeCell ref="Y2527:Y2528"/>
    <mergeCell ref="AA2527:AA2528"/>
    <mergeCell ref="AB2527:AB2528"/>
    <mergeCell ref="AC2527:AC2528"/>
    <mergeCell ref="AD2527:AD2528"/>
    <mergeCell ref="AF2527:AF2528"/>
    <mergeCell ref="AG2527:AG2528"/>
    <mergeCell ref="AH2527:AH2528"/>
    <mergeCell ref="AI2527:AI2528"/>
    <mergeCell ref="AJ2527:AJ2528"/>
    <mergeCell ref="AK2527:AK2528"/>
    <mergeCell ref="AL2527:AL2528"/>
    <mergeCell ref="AM2527:AM2528"/>
    <mergeCell ref="AO2527:AO2528"/>
    <mergeCell ref="AP2527:AP2528"/>
    <mergeCell ref="E2519:E2520"/>
    <mergeCell ref="F2519:F2520"/>
    <mergeCell ref="J2519:J2520"/>
    <mergeCell ref="N2519:N2520"/>
    <mergeCell ref="Y2519:Y2520"/>
    <mergeCell ref="AA2519:AA2520"/>
    <mergeCell ref="AB2519:AB2520"/>
    <mergeCell ref="AC2519:AC2520"/>
    <mergeCell ref="AD2519:AD2520"/>
    <mergeCell ref="AF2519:AF2520"/>
    <mergeCell ref="AG2519:AG2520"/>
    <mergeCell ref="AH2519:AH2520"/>
    <mergeCell ref="AI2519:AI2520"/>
    <mergeCell ref="AJ2519:AJ2520"/>
    <mergeCell ref="AK2519:AK2520"/>
    <mergeCell ref="AL2519:AL2520"/>
    <mergeCell ref="E2385:E2386"/>
    <mergeCell ref="F2385:F2386"/>
    <mergeCell ref="AB2395:AB2396"/>
    <mergeCell ref="AC2395:AC2396"/>
    <mergeCell ref="AD2395:AD2396"/>
    <mergeCell ref="AF2395:AF2396"/>
    <mergeCell ref="AG2395:AG2396"/>
    <mergeCell ref="AH2395:AH2396"/>
    <mergeCell ref="AI2395:AI2396"/>
    <mergeCell ref="AJ2395:AJ2396"/>
    <mergeCell ref="AK2395:AK2396"/>
    <mergeCell ref="AL2395:AL2396"/>
    <mergeCell ref="AM2395:AM2396"/>
    <mergeCell ref="AO2395:AO2396"/>
    <mergeCell ref="AP2395:AP2396"/>
    <mergeCell ref="AG2349:AG2350"/>
    <mergeCell ref="AH2349:AH2350"/>
    <mergeCell ref="AI2349:AI2350"/>
    <mergeCell ref="AJ2349:AJ2350"/>
    <mergeCell ref="AK2349:AK2350"/>
    <mergeCell ref="AL2349:AL2350"/>
    <mergeCell ref="AM2349:AM2350"/>
    <mergeCell ref="AO2349:AO2350"/>
    <mergeCell ref="AP2349:AP2350"/>
    <mergeCell ref="AP2339:AP2340"/>
    <mergeCell ref="F2339:F2340"/>
    <mergeCell ref="J2339:J2340"/>
    <mergeCell ref="N2339:N2340"/>
    <mergeCell ref="Y2339:Y2340"/>
    <mergeCell ref="AA2339:AA2340"/>
    <mergeCell ref="AB2339:AB2340"/>
    <mergeCell ref="AC2339:AC2340"/>
    <mergeCell ref="AD2345:AD2346"/>
    <mergeCell ref="AF2345:AF2346"/>
    <mergeCell ref="AG2345:AG2346"/>
    <mergeCell ref="J2385:J2386"/>
    <mergeCell ref="N2385:N2386"/>
    <mergeCell ref="Y2385:Y2386"/>
    <mergeCell ref="AA2385:AA2386"/>
    <mergeCell ref="AB2385:AB2386"/>
    <mergeCell ref="AC2385:AC2386"/>
    <mergeCell ref="AD2385:AD2386"/>
    <mergeCell ref="AF2385:AF2386"/>
    <mergeCell ref="AG2385:AG2386"/>
    <mergeCell ref="AH2385:AH2386"/>
    <mergeCell ref="AI2385:AI2386"/>
    <mergeCell ref="AJ2385:AJ2386"/>
    <mergeCell ref="AK2385:AK2386"/>
    <mergeCell ref="AL2385:AL2386"/>
    <mergeCell ref="AM2385:AM2386"/>
    <mergeCell ref="AO2385:AO2386"/>
    <mergeCell ref="AP2385:AP2386"/>
    <mergeCell ref="AK2301:AK2302"/>
    <mergeCell ref="E2309:E2310"/>
    <mergeCell ref="AP2285:AP2286"/>
    <mergeCell ref="AI2297:AI2298"/>
    <mergeCell ref="AL2303:AL2304"/>
    <mergeCell ref="AM2303:AM2304"/>
    <mergeCell ref="AO2303:AO2304"/>
    <mergeCell ref="AP2303:AP2304"/>
    <mergeCell ref="E2299:E2300"/>
    <mergeCell ref="J2335:J2336"/>
    <mergeCell ref="N2335:N2336"/>
    <mergeCell ref="Y2335:Y2336"/>
    <mergeCell ref="AA2335:AA2336"/>
    <mergeCell ref="AB2335:AB2336"/>
    <mergeCell ref="AC2335:AC2336"/>
    <mergeCell ref="AD2335:AD2336"/>
    <mergeCell ref="AF2335:AF2336"/>
    <mergeCell ref="AG2335:AG2336"/>
    <mergeCell ref="AH2335:AH2336"/>
    <mergeCell ref="AI2335:AI2336"/>
    <mergeCell ref="AJ2335:AJ2336"/>
    <mergeCell ref="AK2335:AK2336"/>
    <mergeCell ref="AL2335:AL2336"/>
    <mergeCell ref="AM2335:AM2336"/>
    <mergeCell ref="AO2335:AO2336"/>
    <mergeCell ref="AP2335:AP2336"/>
    <mergeCell ref="E2313:E2314"/>
    <mergeCell ref="F2313:F2314"/>
    <mergeCell ref="J2313:J2314"/>
    <mergeCell ref="N2313:N2314"/>
    <mergeCell ref="Y2313:Y2314"/>
    <mergeCell ref="AA2313:AA2314"/>
    <mergeCell ref="AB2313:AB2314"/>
    <mergeCell ref="AC2313:AC2314"/>
    <mergeCell ref="AD2313:AD2314"/>
    <mergeCell ref="AF2313:AF2314"/>
    <mergeCell ref="AG2313:AG2314"/>
    <mergeCell ref="AH2313:AH2314"/>
    <mergeCell ref="AI2313:AI2314"/>
    <mergeCell ref="AJ2313:AJ2314"/>
    <mergeCell ref="AK2313:AK2314"/>
    <mergeCell ref="AL2315:AL2316"/>
    <mergeCell ref="AM2315:AM2316"/>
    <mergeCell ref="AO2315:AO2316"/>
    <mergeCell ref="AP2315:AP2316"/>
    <mergeCell ref="E2317:E2318"/>
    <mergeCell ref="F2317:F2318"/>
    <mergeCell ref="J2317:J2318"/>
    <mergeCell ref="N2317:N2318"/>
    <mergeCell ref="Y2317:Y2318"/>
    <mergeCell ref="AA2317:AA2318"/>
    <mergeCell ref="AB2317:AB2318"/>
    <mergeCell ref="AC2317:AC2318"/>
    <mergeCell ref="AD2317:AD2318"/>
    <mergeCell ref="AF2317:AF2318"/>
    <mergeCell ref="AG2317:AG2318"/>
    <mergeCell ref="AH2317:AH2318"/>
    <mergeCell ref="AI2317:AI2318"/>
    <mergeCell ref="AJ2317:AJ2318"/>
    <mergeCell ref="AK2317:AK2318"/>
    <mergeCell ref="AL2317:AL2318"/>
    <mergeCell ref="AM2317:AM2318"/>
    <mergeCell ref="AO2317:AO2318"/>
    <mergeCell ref="AP2317:AP2318"/>
    <mergeCell ref="AP2116:AP2117"/>
    <mergeCell ref="E2118:E2119"/>
    <mergeCell ref="F2118:F2119"/>
    <mergeCell ref="J2118:J2119"/>
    <mergeCell ref="N2118:N2119"/>
    <mergeCell ref="Y2118:Y2119"/>
    <mergeCell ref="AA2118:AA2119"/>
    <mergeCell ref="AB2118:AB2119"/>
    <mergeCell ref="AC2118:AC2119"/>
    <mergeCell ref="AD2118:AD2119"/>
    <mergeCell ref="AF2118:AF2119"/>
    <mergeCell ref="AG2118:AG2119"/>
    <mergeCell ref="AH2118:AH2119"/>
    <mergeCell ref="AI2118:AI2119"/>
    <mergeCell ref="AJ2118:AJ2119"/>
    <mergeCell ref="AK2118:AK2119"/>
    <mergeCell ref="AL2118:AL2119"/>
    <mergeCell ref="AM2118:AM2119"/>
    <mergeCell ref="AO2118:AO2119"/>
    <mergeCell ref="AP2118:AP2119"/>
    <mergeCell ref="E2201:E2202"/>
    <mergeCell ref="F2201:F2202"/>
    <mergeCell ref="J2201:J2202"/>
    <mergeCell ref="N2201:N2202"/>
    <mergeCell ref="Y2201:Y2202"/>
    <mergeCell ref="AA2201:AA2202"/>
    <mergeCell ref="AB2201:AB2202"/>
    <mergeCell ref="AC2201:AC2202"/>
    <mergeCell ref="AD2201:AD2202"/>
    <mergeCell ref="AF2201:AF2202"/>
    <mergeCell ref="AG2201:AG2202"/>
    <mergeCell ref="AH2201:AH2202"/>
    <mergeCell ref="AI2201:AI2202"/>
    <mergeCell ref="AJ2201:AJ2202"/>
    <mergeCell ref="AK2201:AK2202"/>
    <mergeCell ref="AL2201:AL2202"/>
    <mergeCell ref="AM2201:AM2202"/>
    <mergeCell ref="AO2201:AO2202"/>
    <mergeCell ref="AP2201:AP2202"/>
    <mergeCell ref="F2155:F2156"/>
    <mergeCell ref="E2179:E2180"/>
    <mergeCell ref="F2179:F2180"/>
    <mergeCell ref="J2179:J2180"/>
    <mergeCell ref="N2179:N2180"/>
    <mergeCell ref="Y2179:Y2180"/>
    <mergeCell ref="AA2179:AA2180"/>
    <mergeCell ref="AB2179:AB2180"/>
    <mergeCell ref="E2124:E2125"/>
    <mergeCell ref="F2124:F2125"/>
    <mergeCell ref="J2124:J2125"/>
    <mergeCell ref="N2124:N2125"/>
    <mergeCell ref="Y2124:Y2125"/>
    <mergeCell ref="AA2124:AA2125"/>
    <mergeCell ref="AB2124:AB2125"/>
    <mergeCell ref="AC2124:AC2125"/>
    <mergeCell ref="AD2124:AD2125"/>
    <mergeCell ref="AF2124:AF2125"/>
    <mergeCell ref="AG2124:AG2125"/>
    <mergeCell ref="AH2124:AH2125"/>
    <mergeCell ref="AI2124:AI2125"/>
    <mergeCell ref="AJ2124:AJ2125"/>
    <mergeCell ref="AK2124:AK2125"/>
    <mergeCell ref="AL2124:AL2125"/>
    <mergeCell ref="AM2124:AM2125"/>
    <mergeCell ref="E1993:E1994"/>
    <mergeCell ref="F1993:F1994"/>
    <mergeCell ref="J1993:J1994"/>
    <mergeCell ref="N1993:N1994"/>
    <mergeCell ref="Y1993:Y1994"/>
    <mergeCell ref="AA1993:AA1994"/>
    <mergeCell ref="AB1993:AB1994"/>
    <mergeCell ref="AC1993:AC1994"/>
    <mergeCell ref="E1870:E1871"/>
    <mergeCell ref="F1870:F1871"/>
    <mergeCell ref="J1870:J1871"/>
    <mergeCell ref="N1870:N1871"/>
    <mergeCell ref="Y1870:Y1871"/>
    <mergeCell ref="AA1870:AA1871"/>
    <mergeCell ref="AB1870:AB1871"/>
    <mergeCell ref="AC1870:AC1871"/>
    <mergeCell ref="AD1870:AD1871"/>
    <mergeCell ref="AF1870:AF1871"/>
    <mergeCell ref="AG1870:AG1871"/>
    <mergeCell ref="AH1870:AH1871"/>
    <mergeCell ref="AI1870:AI1871"/>
    <mergeCell ref="AJ1870:AJ1871"/>
    <mergeCell ref="AK1870:AK1871"/>
    <mergeCell ref="AL1870:AL1871"/>
    <mergeCell ref="E1890:E1891"/>
    <mergeCell ref="F1890:F1891"/>
    <mergeCell ref="J1890:J1891"/>
    <mergeCell ref="N1890:N1891"/>
    <mergeCell ref="Y1890:Y1891"/>
    <mergeCell ref="AA1890:AA1891"/>
    <mergeCell ref="AB1890:AB1891"/>
    <mergeCell ref="AC1890:AC1891"/>
    <mergeCell ref="AD1890:AD1891"/>
    <mergeCell ref="AF1890:AF1891"/>
    <mergeCell ref="AG1890:AG1891"/>
    <mergeCell ref="AH1890:AH1891"/>
    <mergeCell ref="AI1890:AI1891"/>
    <mergeCell ref="AJ1890:AJ1891"/>
    <mergeCell ref="AK1890:AK1891"/>
    <mergeCell ref="AL1890:AL1891"/>
    <mergeCell ref="E1977:E1978"/>
    <mergeCell ref="F1977:F1978"/>
    <mergeCell ref="J1977:J1978"/>
    <mergeCell ref="N1977:N1978"/>
    <mergeCell ref="Y1977:Y1978"/>
    <mergeCell ref="AA1977:AA1978"/>
    <mergeCell ref="AB1977:AB1978"/>
    <mergeCell ref="AC1977:AC1978"/>
    <mergeCell ref="AD1977:AD1978"/>
    <mergeCell ref="AF1977:AF1978"/>
    <mergeCell ref="AG1977:AG1978"/>
    <mergeCell ref="AH1977:AH1978"/>
    <mergeCell ref="AI1977:AI1978"/>
    <mergeCell ref="AJ1977:AJ1978"/>
    <mergeCell ref="AK1977:AK1978"/>
    <mergeCell ref="E1894:E1895"/>
    <mergeCell ref="F1894:F1895"/>
    <mergeCell ref="J1894:J1895"/>
    <mergeCell ref="N1894:N1895"/>
    <mergeCell ref="Y1894:Y1895"/>
    <mergeCell ref="AA1894:AA1895"/>
    <mergeCell ref="AB1894:AB1895"/>
    <mergeCell ref="AC1894:AC1895"/>
    <mergeCell ref="AD1894:AD1895"/>
    <mergeCell ref="AP1890:AP1891"/>
    <mergeCell ref="AF1878:AF1879"/>
    <mergeCell ref="AG1878:AG1879"/>
    <mergeCell ref="AH1878:AH1879"/>
    <mergeCell ref="AI1878:AI1879"/>
    <mergeCell ref="AJ1878:AJ1879"/>
    <mergeCell ref="AK1878:AK1879"/>
    <mergeCell ref="AL1878:AL1879"/>
    <mergeCell ref="AM1878:AM1879"/>
    <mergeCell ref="AO1878:AO1879"/>
    <mergeCell ref="AP1878:AP1879"/>
    <mergeCell ref="AK1808:AK1809"/>
    <mergeCell ref="AL1808:AL1809"/>
    <mergeCell ref="AM1808:AM1809"/>
    <mergeCell ref="AO1808:AO1809"/>
    <mergeCell ref="AP1808:AP1809"/>
    <mergeCell ref="AJ1818:AJ1819"/>
    <mergeCell ref="E1838:E1839"/>
    <mergeCell ref="F1838:F1839"/>
    <mergeCell ref="J1838:J1839"/>
    <mergeCell ref="N1838:N1839"/>
    <mergeCell ref="Y1838:Y1839"/>
    <mergeCell ref="AA1838:AA1839"/>
    <mergeCell ref="AB1838:AB1839"/>
    <mergeCell ref="AC1838:AC1839"/>
    <mergeCell ref="AD1838:AD1839"/>
    <mergeCell ref="AF1838:AF1839"/>
    <mergeCell ref="AG1838:AG1839"/>
    <mergeCell ref="AH1838:AH1839"/>
    <mergeCell ref="AI1838:AI1839"/>
    <mergeCell ref="AJ1838:AJ1839"/>
    <mergeCell ref="AK1838:AK1839"/>
    <mergeCell ref="AL1838:AL1839"/>
    <mergeCell ref="AM1838:AM1839"/>
    <mergeCell ref="AO1838:AO1839"/>
    <mergeCell ref="AP1838:AP1839"/>
    <mergeCell ref="E1849:E1850"/>
    <mergeCell ref="F1849:F1850"/>
    <mergeCell ref="J1849:J1850"/>
    <mergeCell ref="N1849:N1850"/>
    <mergeCell ref="Y1849:Y1850"/>
    <mergeCell ref="AA1849:AA1850"/>
    <mergeCell ref="AB1849:AB1850"/>
    <mergeCell ref="AC1849:AC1850"/>
    <mergeCell ref="AD1849:AD1850"/>
    <mergeCell ref="AF1849:AF1850"/>
    <mergeCell ref="AG1849:AG1850"/>
    <mergeCell ref="AH1849:AH1850"/>
    <mergeCell ref="AI1849:AI1850"/>
    <mergeCell ref="AJ1849:AJ1850"/>
    <mergeCell ref="AK1849:AK1850"/>
    <mergeCell ref="AL1849:AL1850"/>
    <mergeCell ref="AM1849:AM1850"/>
    <mergeCell ref="AO1849:AO1850"/>
    <mergeCell ref="AP1849:AP1850"/>
    <mergeCell ref="E1836:E1837"/>
    <mergeCell ref="F1836:F1837"/>
    <mergeCell ref="J1836:J1837"/>
    <mergeCell ref="N1836:N1837"/>
    <mergeCell ref="Y1836:Y1837"/>
    <mergeCell ref="AA1836:AA1837"/>
    <mergeCell ref="AB1836:AB1837"/>
    <mergeCell ref="E1832:E1833"/>
    <mergeCell ref="AI1832:AI1833"/>
    <mergeCell ref="AP1832:AP1833"/>
    <mergeCell ref="E1830:E1831"/>
    <mergeCell ref="AG1816:AG1817"/>
    <mergeCell ref="AH1816:AH1817"/>
    <mergeCell ref="N1834:N1835"/>
    <mergeCell ref="Y1834:Y1835"/>
    <mergeCell ref="AA1834:AA1835"/>
    <mergeCell ref="AK1830:AK1831"/>
    <mergeCell ref="AL1830:AL1831"/>
    <mergeCell ref="AM1830:AM1831"/>
    <mergeCell ref="AO1830:AO1831"/>
    <mergeCell ref="AP1820:AP1821"/>
    <mergeCell ref="AO1816:AO1817"/>
    <mergeCell ref="AK1818:AK1819"/>
    <mergeCell ref="AL1818:AL1819"/>
    <mergeCell ref="AM1818:AM1819"/>
    <mergeCell ref="AO1818:AO1819"/>
    <mergeCell ref="AP1818:AP1819"/>
    <mergeCell ref="E1834:E1835"/>
    <mergeCell ref="F1834:F1835"/>
    <mergeCell ref="J1834:J1835"/>
    <mergeCell ref="AB1834:AB1835"/>
    <mergeCell ref="AC1834:AC1835"/>
    <mergeCell ref="AD1834:AD1835"/>
    <mergeCell ref="AF1834:AF1835"/>
    <mergeCell ref="AG1834:AG1835"/>
    <mergeCell ref="AH1834:AH1835"/>
    <mergeCell ref="AI1834:AI1835"/>
    <mergeCell ref="AJ1834:AJ1835"/>
    <mergeCell ref="AK1834:AK1835"/>
    <mergeCell ref="AL1834:AL1835"/>
    <mergeCell ref="AM1834:AM1835"/>
    <mergeCell ref="AO1834:AO1835"/>
    <mergeCell ref="AP1834:AP1835"/>
    <mergeCell ref="E1822:E1823"/>
    <mergeCell ref="F1822:F1823"/>
    <mergeCell ref="J1822:J1823"/>
    <mergeCell ref="N1822:N1823"/>
    <mergeCell ref="Y1822:Y1823"/>
    <mergeCell ref="AA1822:AA1823"/>
    <mergeCell ref="AB1822:AB1823"/>
    <mergeCell ref="AC1822:AC1823"/>
    <mergeCell ref="AD1822:AD1823"/>
    <mergeCell ref="AF1822:AF1823"/>
    <mergeCell ref="AG1822:AG1823"/>
    <mergeCell ref="AH1822:AH1823"/>
    <mergeCell ref="AI1822:AI1823"/>
    <mergeCell ref="AJ1822:AJ1823"/>
    <mergeCell ref="AK1822:AK1823"/>
    <mergeCell ref="AL1822:AL1823"/>
    <mergeCell ref="AM1822:AM1823"/>
    <mergeCell ref="AO1822:AO1823"/>
    <mergeCell ref="AP1822:AP1823"/>
    <mergeCell ref="AJ1832:AJ1833"/>
    <mergeCell ref="AK1832:AK1833"/>
    <mergeCell ref="AL1832:AL1833"/>
    <mergeCell ref="AK1795:AK1796"/>
    <mergeCell ref="AL1795:AL1796"/>
    <mergeCell ref="AM1795:AM1796"/>
    <mergeCell ref="AO1795:AO1796"/>
    <mergeCell ref="AP1795:AP1796"/>
    <mergeCell ref="E1781:E1782"/>
    <mergeCell ref="F1781:F1782"/>
    <mergeCell ref="J1781:J1782"/>
    <mergeCell ref="N1781:N1782"/>
    <mergeCell ref="Y1781:Y1782"/>
    <mergeCell ref="AA1781:AA1782"/>
    <mergeCell ref="AB1781:AB1782"/>
    <mergeCell ref="AC1781:AC1782"/>
    <mergeCell ref="AD1781:AD1782"/>
    <mergeCell ref="AF1781:AF1782"/>
    <mergeCell ref="AG1781:AG1782"/>
    <mergeCell ref="AH1781:AH1782"/>
    <mergeCell ref="AI1781:AI1782"/>
    <mergeCell ref="AJ1781:AJ1782"/>
    <mergeCell ref="AK1781:AK1782"/>
    <mergeCell ref="AL1781:AL1782"/>
    <mergeCell ref="AM1781:AM1782"/>
    <mergeCell ref="AO1781:AO1782"/>
    <mergeCell ref="AP1781:AP1782"/>
    <mergeCell ref="N1775:N1776"/>
    <mergeCell ref="Y1775:Y1776"/>
    <mergeCell ref="AA1775:AA1776"/>
    <mergeCell ref="AB1775:AB1776"/>
    <mergeCell ref="AC1775:AC1776"/>
    <mergeCell ref="AD1775:AD1776"/>
    <mergeCell ref="AF1775:AF1776"/>
    <mergeCell ref="E1770:E1771"/>
    <mergeCell ref="F1770:F1771"/>
    <mergeCell ref="J1770:J1771"/>
    <mergeCell ref="N1770:N1771"/>
    <mergeCell ref="Y1770:Y1771"/>
    <mergeCell ref="AA1770:AA1771"/>
    <mergeCell ref="AB1770:AB1771"/>
    <mergeCell ref="AO1785:AO1786"/>
    <mergeCell ref="AP1785:AP1786"/>
    <mergeCell ref="E1783:E1784"/>
    <mergeCell ref="F1783:F1784"/>
    <mergeCell ref="J1783:J1784"/>
    <mergeCell ref="AC1770:AC1771"/>
    <mergeCell ref="AD1770:AD1771"/>
    <mergeCell ref="AF1770:AF1771"/>
    <mergeCell ref="AG1770:AG1771"/>
    <mergeCell ref="AH1770:AH1771"/>
    <mergeCell ref="AI1770:AI1771"/>
    <mergeCell ref="AJ1770:AJ1771"/>
    <mergeCell ref="AK1770:AK1771"/>
    <mergeCell ref="AL1770:AL1771"/>
    <mergeCell ref="AM1770:AM1771"/>
    <mergeCell ref="AO1770:AO1771"/>
    <mergeCell ref="AP1770:AP1771"/>
    <mergeCell ref="E1795:E1796"/>
    <mergeCell ref="F1795:F1796"/>
    <mergeCell ref="J1795:J1796"/>
    <mergeCell ref="N1795:N1796"/>
    <mergeCell ref="Y1795:Y1796"/>
    <mergeCell ref="AA1795:AA1796"/>
    <mergeCell ref="AB1795:AB1796"/>
    <mergeCell ref="AC1795:AC1796"/>
    <mergeCell ref="AD1795:AD1796"/>
    <mergeCell ref="J1758:J1759"/>
    <mergeCell ref="N1758:N1759"/>
    <mergeCell ref="Y1758:Y1759"/>
    <mergeCell ref="AA1758:AA1759"/>
    <mergeCell ref="AB1758:AB1759"/>
    <mergeCell ref="AC1758:AC1759"/>
    <mergeCell ref="AD1758:AD1759"/>
    <mergeCell ref="AF1758:AF1759"/>
    <mergeCell ref="AG1758:AG1759"/>
    <mergeCell ref="AH1758:AH1759"/>
    <mergeCell ref="AI1758:AI1759"/>
    <mergeCell ref="AJ1758:AJ1759"/>
    <mergeCell ref="AK1758:AK1759"/>
    <mergeCell ref="AL1758:AL1759"/>
    <mergeCell ref="AM1758:AM1759"/>
    <mergeCell ref="AO1758:AO1759"/>
    <mergeCell ref="AP1758:AP1759"/>
    <mergeCell ref="E1752:E1753"/>
    <mergeCell ref="F1752:F1753"/>
    <mergeCell ref="J1752:J1753"/>
    <mergeCell ref="N1752:N1753"/>
    <mergeCell ref="Y1752:Y1753"/>
    <mergeCell ref="AA1752:AA1753"/>
    <mergeCell ref="AB1752:AB1753"/>
    <mergeCell ref="AC1752:AC1753"/>
    <mergeCell ref="AD1752:AD1753"/>
    <mergeCell ref="AF1752:AF1753"/>
    <mergeCell ref="AG1752:AG1753"/>
    <mergeCell ref="AH1752:AH1753"/>
    <mergeCell ref="AI1752:AI1753"/>
    <mergeCell ref="AJ1752:AJ1753"/>
    <mergeCell ref="AK1752:AK1753"/>
    <mergeCell ref="AL1752:AL1753"/>
    <mergeCell ref="AM1752:AM1753"/>
    <mergeCell ref="AO1752:AO1753"/>
    <mergeCell ref="AP1752:AP1753"/>
    <mergeCell ref="AJ1700:AJ1701"/>
    <mergeCell ref="AJ1692:AJ1693"/>
    <mergeCell ref="AP1607:AP1608"/>
    <mergeCell ref="E1619:E1620"/>
    <mergeCell ref="F1619:F1620"/>
    <mergeCell ref="J1619:J1620"/>
    <mergeCell ref="N1619:N1620"/>
    <mergeCell ref="Y1619:Y1620"/>
    <mergeCell ref="AA1619:AA1620"/>
    <mergeCell ref="AB1619:AB1620"/>
    <mergeCell ref="AC1619:AC1620"/>
    <mergeCell ref="AD1619:AD1620"/>
    <mergeCell ref="AF1619:AF1620"/>
    <mergeCell ref="AG1619:AG1620"/>
    <mergeCell ref="AH1619:AH1620"/>
    <mergeCell ref="AI1619:AI1620"/>
    <mergeCell ref="AJ1619:AJ1620"/>
    <mergeCell ref="AK1619:AK1620"/>
    <mergeCell ref="AL1619:AL1620"/>
    <mergeCell ref="AM1619:AM1620"/>
    <mergeCell ref="AO1619:AO1620"/>
    <mergeCell ref="AP1619:AP1620"/>
    <mergeCell ref="E1621:E1622"/>
    <mergeCell ref="F1621:F1622"/>
    <mergeCell ref="J1621:J1622"/>
    <mergeCell ref="N1621:N1622"/>
    <mergeCell ref="Y1621:Y1622"/>
    <mergeCell ref="AA1621:AA1622"/>
    <mergeCell ref="AB1621:AB1622"/>
    <mergeCell ref="AC1621:AC1622"/>
    <mergeCell ref="AD1621:AD1622"/>
    <mergeCell ref="AF1621:AF1622"/>
    <mergeCell ref="AG1621:AG1622"/>
    <mergeCell ref="AH1621:AH1622"/>
    <mergeCell ref="AI1621:AI1622"/>
    <mergeCell ref="AJ1621:AJ1622"/>
    <mergeCell ref="AK1621:AK1622"/>
    <mergeCell ref="AL1621:AL1622"/>
    <mergeCell ref="AM1621:AM1622"/>
    <mergeCell ref="AO1621:AO1622"/>
    <mergeCell ref="AP1621:AP1622"/>
    <mergeCell ref="AM1611:AM1612"/>
    <mergeCell ref="AO1611:AO1612"/>
    <mergeCell ref="AP1611:AP1612"/>
    <mergeCell ref="E1607:E1608"/>
    <mergeCell ref="F1607:F1608"/>
    <mergeCell ref="J1607:J1608"/>
    <mergeCell ref="N1607:N1608"/>
    <mergeCell ref="Y1607:Y1608"/>
    <mergeCell ref="AA1607:AA1608"/>
    <mergeCell ref="AB1607:AB1608"/>
    <mergeCell ref="AC1607:AC1608"/>
    <mergeCell ref="AD1607:AD1608"/>
    <mergeCell ref="AF1607:AF1608"/>
    <mergeCell ref="AG1607:AG1608"/>
    <mergeCell ref="AH1607:AH1608"/>
    <mergeCell ref="AI1607:AI1608"/>
    <mergeCell ref="AJ1607:AJ1608"/>
    <mergeCell ref="AJ1672:AJ1673"/>
    <mergeCell ref="AK1672:AK1673"/>
    <mergeCell ref="AL1672:AL1673"/>
    <mergeCell ref="AM1672:AM1673"/>
    <mergeCell ref="AO1672:AO1673"/>
    <mergeCell ref="AP1672:AP1673"/>
    <mergeCell ref="AO1436:AO1437"/>
    <mergeCell ref="AP1436:AP1437"/>
    <mergeCell ref="E1522:E1523"/>
    <mergeCell ref="F1522:F1523"/>
    <mergeCell ref="J1522:J1523"/>
    <mergeCell ref="N1522:N1523"/>
    <mergeCell ref="Y1522:Y1523"/>
    <mergeCell ref="AA1522:AA1523"/>
    <mergeCell ref="AB1522:AB1523"/>
    <mergeCell ref="AC1522:AC1523"/>
    <mergeCell ref="AD1522:AD1523"/>
    <mergeCell ref="AF1522:AF1523"/>
    <mergeCell ref="AG1522:AG1523"/>
    <mergeCell ref="AH1522:AH1523"/>
    <mergeCell ref="AI1522:AI1523"/>
    <mergeCell ref="AJ1522:AJ1523"/>
    <mergeCell ref="AK1522:AK1523"/>
    <mergeCell ref="AL1522:AL1523"/>
    <mergeCell ref="AM1522:AM1523"/>
    <mergeCell ref="AO1522:AO1523"/>
    <mergeCell ref="AP1522:AP1523"/>
    <mergeCell ref="E1478:E1479"/>
    <mergeCell ref="AK1472:AK1473"/>
    <mergeCell ref="AL1472:AL1473"/>
    <mergeCell ref="AK1478:AK1479"/>
    <mergeCell ref="AL1478:AL1479"/>
    <mergeCell ref="AM1478:AM1479"/>
    <mergeCell ref="F1450:F1451"/>
    <mergeCell ref="J1450:J1451"/>
    <mergeCell ref="N1450:N1451"/>
    <mergeCell ref="Y1450:Y1451"/>
    <mergeCell ref="AA1450:AA1451"/>
    <mergeCell ref="AB1450:AB1451"/>
    <mergeCell ref="AC1450:AC1451"/>
    <mergeCell ref="AD1450:AD1451"/>
    <mergeCell ref="F1458:F1459"/>
    <mergeCell ref="Y1470:Y1471"/>
    <mergeCell ref="AA1470:AA1471"/>
    <mergeCell ref="AB1470:AB1471"/>
    <mergeCell ref="AC1470:AC1471"/>
    <mergeCell ref="AD1470:AD1471"/>
    <mergeCell ref="AI1470:AI1471"/>
    <mergeCell ref="E1460:E1461"/>
    <mergeCell ref="AI1460:AI1461"/>
    <mergeCell ref="AB1458:AB1459"/>
    <mergeCell ref="F1462:F1463"/>
    <mergeCell ref="AF1508:AF1509"/>
    <mergeCell ref="AG1508:AG1509"/>
    <mergeCell ref="AH1508:AH1509"/>
    <mergeCell ref="AI1508:AI1509"/>
    <mergeCell ref="AJ1508:AJ1509"/>
    <mergeCell ref="AK1508:AK1509"/>
    <mergeCell ref="AL1508:AL1509"/>
    <mergeCell ref="AM1508:AM1509"/>
    <mergeCell ref="AO1508:AO1509"/>
    <mergeCell ref="AP1508:AP1509"/>
    <mergeCell ref="AF1466:AF1467"/>
    <mergeCell ref="AD1456:AD1457"/>
    <mergeCell ref="AA1456:AA1457"/>
    <mergeCell ref="F1466:F1467"/>
    <mergeCell ref="E1458:E1459"/>
    <mergeCell ref="E1480:E1481"/>
    <mergeCell ref="F1480:F1481"/>
    <mergeCell ref="J1480:J1481"/>
    <mergeCell ref="AB1190:AB1191"/>
    <mergeCell ref="AC1190:AC1191"/>
    <mergeCell ref="AD1190:AD1191"/>
    <mergeCell ref="AF1190:AF1191"/>
    <mergeCell ref="AG1190:AG1191"/>
    <mergeCell ref="AH1190:AH1191"/>
    <mergeCell ref="AI1190:AI1191"/>
    <mergeCell ref="AJ1190:AJ1191"/>
    <mergeCell ref="AK1190:AK1191"/>
    <mergeCell ref="AL1190:AL1191"/>
    <mergeCell ref="AM1190:AM1191"/>
    <mergeCell ref="AO1190:AO1191"/>
    <mergeCell ref="AP1190:AP1191"/>
    <mergeCell ref="E1353:E1354"/>
    <mergeCell ref="F1353:F1354"/>
    <mergeCell ref="J1353:J1354"/>
    <mergeCell ref="N1353:N1354"/>
    <mergeCell ref="Y1353:Y1354"/>
    <mergeCell ref="AA1353:AA1354"/>
    <mergeCell ref="AB1353:AB1354"/>
    <mergeCell ref="AC1353:AC1354"/>
    <mergeCell ref="AD1353:AD1354"/>
    <mergeCell ref="AF1353:AF1354"/>
    <mergeCell ref="AG1353:AG1354"/>
    <mergeCell ref="AH1353:AH1354"/>
    <mergeCell ref="AI1353:AI1354"/>
    <mergeCell ref="AJ1353:AJ1354"/>
    <mergeCell ref="AK1353:AK1354"/>
    <mergeCell ref="AL1353:AL1354"/>
    <mergeCell ref="AM1353:AM1354"/>
    <mergeCell ref="AO1353:AO1354"/>
    <mergeCell ref="AP1353:AP1354"/>
    <mergeCell ref="AP1341:AP1342"/>
    <mergeCell ref="E1343:E1344"/>
    <mergeCell ref="F1343:F1344"/>
    <mergeCell ref="J1343:J1344"/>
    <mergeCell ref="N1343:N1344"/>
    <mergeCell ref="Y1343:Y1344"/>
    <mergeCell ref="AA1343:AA1344"/>
    <mergeCell ref="AB1343:AB1344"/>
    <mergeCell ref="AC1343:AC1344"/>
    <mergeCell ref="AD1343:AD1344"/>
    <mergeCell ref="AF1343:AF1344"/>
    <mergeCell ref="AG1343:AG1344"/>
    <mergeCell ref="AH1343:AH1344"/>
    <mergeCell ref="AI1343:AI1344"/>
    <mergeCell ref="AJ1343:AJ1344"/>
    <mergeCell ref="AK1343:AK1344"/>
    <mergeCell ref="AL1343:AL1344"/>
    <mergeCell ref="AM1343:AM1344"/>
    <mergeCell ref="AO1343:AO1344"/>
    <mergeCell ref="AP1343:AP1344"/>
    <mergeCell ref="AM1309:AM1310"/>
    <mergeCell ref="AA1341:AA1342"/>
    <mergeCell ref="AB1341:AB1342"/>
    <mergeCell ref="AC1341:AC1342"/>
    <mergeCell ref="AD1341:AD1342"/>
    <mergeCell ref="AF1341:AF1342"/>
    <mergeCell ref="AG1341:AG1342"/>
    <mergeCell ref="AH1341:AH1342"/>
    <mergeCell ref="E1192:E1193"/>
    <mergeCell ref="F1192:F1193"/>
    <mergeCell ref="J1192:J1193"/>
    <mergeCell ref="N1192:N1193"/>
    <mergeCell ref="E1119:E1120"/>
    <mergeCell ref="F1119:F1120"/>
    <mergeCell ref="J1119:J1120"/>
    <mergeCell ref="N1119:N1120"/>
    <mergeCell ref="Y1119:Y1120"/>
    <mergeCell ref="AA1119:AA1120"/>
    <mergeCell ref="AB1119:AB1120"/>
    <mergeCell ref="AC1119:AC1120"/>
    <mergeCell ref="AD1119:AD1120"/>
    <mergeCell ref="AF1119:AF1120"/>
    <mergeCell ref="AG1119:AG1120"/>
    <mergeCell ref="AH1119:AH1120"/>
    <mergeCell ref="AI1119:AI1120"/>
    <mergeCell ref="AJ1119:AJ1120"/>
    <mergeCell ref="AK1119:AK1120"/>
    <mergeCell ref="AL1119:AL1120"/>
    <mergeCell ref="AM1119:AM1120"/>
    <mergeCell ref="AO1119:AO1120"/>
    <mergeCell ref="AP1119:AP1120"/>
    <mergeCell ref="E1013:E1014"/>
    <mergeCell ref="F1013:F1014"/>
    <mergeCell ref="J1013:J1014"/>
    <mergeCell ref="N1013:N1014"/>
    <mergeCell ref="Y1013:Y1014"/>
    <mergeCell ref="AA1013:AA1014"/>
    <mergeCell ref="AB1013:AB1014"/>
    <mergeCell ref="AC1013:AC1014"/>
    <mergeCell ref="AD1013:AD1014"/>
    <mergeCell ref="AF1013:AF1014"/>
    <mergeCell ref="AG1013:AG1014"/>
    <mergeCell ref="AH1013:AH1014"/>
    <mergeCell ref="AI1013:AI1014"/>
    <mergeCell ref="AJ1013:AJ1014"/>
    <mergeCell ref="AK1013:AK1014"/>
    <mergeCell ref="AL1013:AL1014"/>
    <mergeCell ref="AM1013:AM1014"/>
    <mergeCell ref="AO1013:AO1014"/>
    <mergeCell ref="AP1013:AP1014"/>
    <mergeCell ref="E1076:E1077"/>
    <mergeCell ref="F1076:F1077"/>
    <mergeCell ref="J1076:J1077"/>
    <mergeCell ref="N1076:N1077"/>
    <mergeCell ref="Y1076:Y1077"/>
    <mergeCell ref="AA1076:AA1077"/>
    <mergeCell ref="AB1076:AB1077"/>
    <mergeCell ref="AC1076:AC1077"/>
    <mergeCell ref="AD1076:AD1077"/>
    <mergeCell ref="AF1076:AF1077"/>
    <mergeCell ref="AG1076:AG1077"/>
    <mergeCell ref="AH1076:AH1077"/>
    <mergeCell ref="AI1076:AI1077"/>
    <mergeCell ref="AJ1076:AJ1077"/>
    <mergeCell ref="AK1076:AK1077"/>
    <mergeCell ref="AL1076:AL1077"/>
    <mergeCell ref="AM1076:AM1077"/>
    <mergeCell ref="AO1076:AO1077"/>
    <mergeCell ref="AP1076:AP1077"/>
    <mergeCell ref="AK1020:AK1021"/>
    <mergeCell ref="AI1024:AI1025"/>
    <mergeCell ref="AK1024:AK1025"/>
    <mergeCell ref="AC1024:AC1025"/>
    <mergeCell ref="AJ1022:AJ1023"/>
    <mergeCell ref="AJ1024:AJ1025"/>
    <mergeCell ref="AD1024:AD1025"/>
    <mergeCell ref="AP1011:AP1012"/>
    <mergeCell ref="E1003:E1004"/>
    <mergeCell ref="F1003:F1004"/>
    <mergeCell ref="J1003:J1004"/>
    <mergeCell ref="N1003:N1004"/>
    <mergeCell ref="Y1003:Y1004"/>
    <mergeCell ref="AA1003:AA1004"/>
    <mergeCell ref="AB1003:AB1004"/>
    <mergeCell ref="AC1003:AC1004"/>
    <mergeCell ref="AD1003:AD1004"/>
    <mergeCell ref="AF1003:AF1004"/>
    <mergeCell ref="AG1003:AG1004"/>
    <mergeCell ref="AH1003:AH1004"/>
    <mergeCell ref="AI1003:AI1004"/>
    <mergeCell ref="AJ1003:AJ1004"/>
    <mergeCell ref="AK1003:AK1004"/>
    <mergeCell ref="AL1003:AL1004"/>
    <mergeCell ref="F1009:F1010"/>
    <mergeCell ref="J1009:J1010"/>
    <mergeCell ref="N1009:N1010"/>
    <mergeCell ref="Y1009:Y1010"/>
    <mergeCell ref="AA1009:AA1010"/>
    <mergeCell ref="AB1009:AB1010"/>
    <mergeCell ref="AC1009:AC1010"/>
    <mergeCell ref="AD1009:AD1010"/>
    <mergeCell ref="AF1009:AF1010"/>
    <mergeCell ref="AG1009:AG1010"/>
    <mergeCell ref="AH1009:AH1010"/>
    <mergeCell ref="AI1009:AI1010"/>
    <mergeCell ref="AJ1009:AJ1010"/>
    <mergeCell ref="AK1009:AK1010"/>
    <mergeCell ref="AL1009:AL1010"/>
    <mergeCell ref="AM1009:AM1010"/>
    <mergeCell ref="AO1009:AO1010"/>
    <mergeCell ref="AP1009:AP1010"/>
    <mergeCell ref="E1005:E1006"/>
    <mergeCell ref="F1005:F1006"/>
    <mergeCell ref="J1005:J1006"/>
    <mergeCell ref="N1005:N1006"/>
    <mergeCell ref="Y1005:Y1006"/>
    <mergeCell ref="AA1005:AA1006"/>
    <mergeCell ref="AB1005:AB1006"/>
    <mergeCell ref="AC1005:AC1006"/>
    <mergeCell ref="AD1005:AD1006"/>
    <mergeCell ref="AF1005:AF1006"/>
    <mergeCell ref="AG1005:AG1006"/>
    <mergeCell ref="N938:N939"/>
    <mergeCell ref="Y938:Y939"/>
    <mergeCell ref="AA938:AA939"/>
    <mergeCell ref="AB938:AB939"/>
    <mergeCell ref="AC938:AC939"/>
    <mergeCell ref="AD938:AD939"/>
    <mergeCell ref="AF938:AF939"/>
    <mergeCell ref="AG938:AG939"/>
    <mergeCell ref="AH938:AH939"/>
    <mergeCell ref="AI938:AI939"/>
    <mergeCell ref="AL961:AL962"/>
    <mergeCell ref="AM961:AM962"/>
    <mergeCell ref="AO961:AO962"/>
    <mergeCell ref="AO953:AO954"/>
    <mergeCell ref="AC951:AC952"/>
    <mergeCell ref="AD951:AD952"/>
    <mergeCell ref="AF951:AF952"/>
    <mergeCell ref="AG951:AG952"/>
    <mergeCell ref="AC953:AC954"/>
    <mergeCell ref="AD953:AD954"/>
    <mergeCell ref="AF953:AF954"/>
    <mergeCell ref="AG953:AG954"/>
    <mergeCell ref="AH953:AH954"/>
    <mergeCell ref="AM963:AM964"/>
    <mergeCell ref="F961:F962"/>
    <mergeCell ref="E1011:E1012"/>
    <mergeCell ref="F1011:F1012"/>
    <mergeCell ref="J1011:J1012"/>
    <mergeCell ref="N1011:N1012"/>
    <mergeCell ref="Y1011:Y1012"/>
    <mergeCell ref="AA1011:AA1012"/>
    <mergeCell ref="AB1011:AB1012"/>
    <mergeCell ref="AC1011:AC1012"/>
    <mergeCell ref="AD1011:AD1012"/>
    <mergeCell ref="AF1011:AF1012"/>
    <mergeCell ref="AG1011:AG1012"/>
    <mergeCell ref="AH1011:AH1012"/>
    <mergeCell ref="AI1011:AI1012"/>
    <mergeCell ref="AJ1011:AJ1012"/>
    <mergeCell ref="AK1011:AK1012"/>
    <mergeCell ref="AL1011:AL1012"/>
    <mergeCell ref="AM1011:AM1012"/>
    <mergeCell ref="AO1011:AO1012"/>
    <mergeCell ref="AJ938:AJ939"/>
    <mergeCell ref="AK938:AK939"/>
    <mergeCell ref="AL938:AL939"/>
    <mergeCell ref="AM938:AM939"/>
    <mergeCell ref="AO938:AO939"/>
    <mergeCell ref="E991:E992"/>
    <mergeCell ref="F991:F992"/>
    <mergeCell ref="J991:J992"/>
    <mergeCell ref="N991:N992"/>
    <mergeCell ref="Y991:Y992"/>
    <mergeCell ref="AA991:AA992"/>
    <mergeCell ref="AB991:AB992"/>
    <mergeCell ref="AC991:AC992"/>
    <mergeCell ref="AD991:AD992"/>
    <mergeCell ref="AF991:AF992"/>
    <mergeCell ref="AG991:AG992"/>
    <mergeCell ref="AH991:AH992"/>
    <mergeCell ref="AI991:AI992"/>
    <mergeCell ref="AJ991:AJ992"/>
    <mergeCell ref="AK991:AK992"/>
    <mergeCell ref="AL991:AL992"/>
    <mergeCell ref="AP867:AP868"/>
    <mergeCell ref="E869:E870"/>
    <mergeCell ref="F869:F870"/>
    <mergeCell ref="J869:J870"/>
    <mergeCell ref="N869:N870"/>
    <mergeCell ref="Y869:Y870"/>
    <mergeCell ref="AA869:AA870"/>
    <mergeCell ref="AB869:AB870"/>
    <mergeCell ref="AC869:AC870"/>
    <mergeCell ref="AD869:AD870"/>
    <mergeCell ref="AF869:AF870"/>
    <mergeCell ref="AG869:AG870"/>
    <mergeCell ref="AH869:AH870"/>
    <mergeCell ref="AI869:AI870"/>
    <mergeCell ref="AM855:AM856"/>
    <mergeCell ref="AO855:AO856"/>
    <mergeCell ref="AP855:AP856"/>
    <mergeCell ref="F873:F874"/>
    <mergeCell ref="AD859:AD860"/>
    <mergeCell ref="AC859:AC860"/>
    <mergeCell ref="AP857:AP858"/>
    <mergeCell ref="AB859:AB860"/>
    <mergeCell ref="F930:F931"/>
    <mergeCell ref="J930:J931"/>
    <mergeCell ref="N930:N931"/>
    <mergeCell ref="Y930:Y931"/>
    <mergeCell ref="AA930:AA931"/>
    <mergeCell ref="AB930:AB931"/>
    <mergeCell ref="AC930:AC931"/>
    <mergeCell ref="AD926:AD927"/>
    <mergeCell ref="AF926:AF927"/>
    <mergeCell ref="AF930:AF931"/>
    <mergeCell ref="AG930:AG931"/>
    <mergeCell ref="AH930:AH931"/>
    <mergeCell ref="AI930:AI931"/>
    <mergeCell ref="AJ930:AJ931"/>
    <mergeCell ref="AK930:AK931"/>
    <mergeCell ref="AL930:AL931"/>
    <mergeCell ref="AM930:AM931"/>
    <mergeCell ref="AO930:AO931"/>
    <mergeCell ref="E883:E884"/>
    <mergeCell ref="F883:F884"/>
    <mergeCell ref="J883:J884"/>
    <mergeCell ref="N883:N884"/>
    <mergeCell ref="Y883:Y884"/>
    <mergeCell ref="AA883:AA884"/>
    <mergeCell ref="AB883:AB884"/>
    <mergeCell ref="AC883:AC884"/>
    <mergeCell ref="AD883:AD884"/>
    <mergeCell ref="AF883:AF884"/>
    <mergeCell ref="AG883:AG884"/>
    <mergeCell ref="AH883:AH884"/>
    <mergeCell ref="AI883:AI884"/>
    <mergeCell ref="AJ883:AJ884"/>
    <mergeCell ref="AK883:AK884"/>
    <mergeCell ref="AL883:AL884"/>
    <mergeCell ref="AM883:AM884"/>
    <mergeCell ref="AO883:AO884"/>
    <mergeCell ref="AP883:AP884"/>
    <mergeCell ref="E918:E919"/>
    <mergeCell ref="F918:F919"/>
    <mergeCell ref="N918:N919"/>
    <mergeCell ref="Y918:Y919"/>
    <mergeCell ref="AA918:AA919"/>
    <mergeCell ref="AL841:AL842"/>
    <mergeCell ref="AM841:AM842"/>
    <mergeCell ref="AO841:AO842"/>
    <mergeCell ref="AP841:AP842"/>
    <mergeCell ref="E877:E878"/>
    <mergeCell ref="F877:F878"/>
    <mergeCell ref="J877:J878"/>
    <mergeCell ref="N877:N878"/>
    <mergeCell ref="Y877:Y878"/>
    <mergeCell ref="AA877:AA878"/>
    <mergeCell ref="AB877:AB878"/>
    <mergeCell ref="AC877:AC878"/>
    <mergeCell ref="AD877:AD878"/>
    <mergeCell ref="AF877:AF878"/>
    <mergeCell ref="AG877:AG878"/>
    <mergeCell ref="AH877:AH878"/>
    <mergeCell ref="AI877:AI878"/>
    <mergeCell ref="AJ877:AJ878"/>
    <mergeCell ref="AK877:AK878"/>
    <mergeCell ref="AL877:AL878"/>
    <mergeCell ref="AM877:AM878"/>
    <mergeCell ref="AO877:AO878"/>
    <mergeCell ref="AP877:AP878"/>
    <mergeCell ref="E867:E868"/>
    <mergeCell ref="F867:F868"/>
    <mergeCell ref="J867:J868"/>
    <mergeCell ref="N867:N868"/>
    <mergeCell ref="Y867:Y868"/>
    <mergeCell ref="AA867:AA868"/>
    <mergeCell ref="AB867:AB868"/>
    <mergeCell ref="AC867:AC868"/>
    <mergeCell ref="AD867:AD868"/>
    <mergeCell ref="AF867:AF868"/>
    <mergeCell ref="AG867:AG868"/>
    <mergeCell ref="AH867:AH868"/>
    <mergeCell ref="AI867:AI868"/>
    <mergeCell ref="AJ867:AJ868"/>
    <mergeCell ref="AK867:AK868"/>
    <mergeCell ref="AL867:AL868"/>
    <mergeCell ref="AM867:AM868"/>
    <mergeCell ref="E843:E844"/>
    <mergeCell ref="F843:F844"/>
    <mergeCell ref="J843:J844"/>
    <mergeCell ref="N843:N844"/>
    <mergeCell ref="AA857:AA858"/>
    <mergeCell ref="AB857:AB858"/>
    <mergeCell ref="AP861:AP862"/>
    <mergeCell ref="AP871:AP872"/>
    <mergeCell ref="AD875:AD876"/>
    <mergeCell ref="AG857:AG858"/>
    <mergeCell ref="AH857:AH858"/>
    <mergeCell ref="AI857:AI858"/>
    <mergeCell ref="AA855:AA856"/>
    <mergeCell ref="AB855:AB856"/>
    <mergeCell ref="AC855:AC856"/>
    <mergeCell ref="AD855:AD856"/>
    <mergeCell ref="AF855:AF856"/>
    <mergeCell ref="AG855:AG856"/>
    <mergeCell ref="AH855:AH856"/>
    <mergeCell ref="AI855:AI856"/>
    <mergeCell ref="AJ855:AJ856"/>
    <mergeCell ref="AK855:AK856"/>
    <mergeCell ref="AL855:AL856"/>
    <mergeCell ref="AO867:AO868"/>
    <mergeCell ref="E698:E699"/>
    <mergeCell ref="F698:F699"/>
    <mergeCell ref="J698:J699"/>
    <mergeCell ref="N698:N699"/>
    <mergeCell ref="Y698:Y699"/>
    <mergeCell ref="AA698:AA699"/>
    <mergeCell ref="AB698:AB699"/>
    <mergeCell ref="AC698:AC699"/>
    <mergeCell ref="AD698:AD699"/>
    <mergeCell ref="AF698:AF699"/>
    <mergeCell ref="AG698:AG699"/>
    <mergeCell ref="AH698:AH699"/>
    <mergeCell ref="AI698:AI699"/>
    <mergeCell ref="AJ698:AJ699"/>
    <mergeCell ref="AK698:AK699"/>
    <mergeCell ref="AL698:AL699"/>
    <mergeCell ref="AM698:AM699"/>
    <mergeCell ref="AO698:AO699"/>
    <mergeCell ref="AP698:AP699"/>
    <mergeCell ref="E771:E772"/>
    <mergeCell ref="F771:F772"/>
    <mergeCell ref="J771:J772"/>
    <mergeCell ref="N771:N772"/>
    <mergeCell ref="Y771:Y772"/>
    <mergeCell ref="AA771:AA772"/>
    <mergeCell ref="AB771:AB772"/>
    <mergeCell ref="AC771:AC772"/>
    <mergeCell ref="AD771:AD772"/>
    <mergeCell ref="AF771:AF772"/>
    <mergeCell ref="AG771:AG772"/>
    <mergeCell ref="AH771:AH772"/>
    <mergeCell ref="AI771:AI772"/>
    <mergeCell ref="AJ771:AJ772"/>
    <mergeCell ref="AK771:AK772"/>
    <mergeCell ref="AL771:AL772"/>
    <mergeCell ref="AM771:AM772"/>
    <mergeCell ref="AO771:AO772"/>
    <mergeCell ref="AP771:AP772"/>
    <mergeCell ref="E731:E732"/>
    <mergeCell ref="F731:F732"/>
    <mergeCell ref="AD739:AD740"/>
    <mergeCell ref="AF739:AF740"/>
    <mergeCell ref="J747:J748"/>
    <mergeCell ref="N747:N748"/>
    <mergeCell ref="AJ715:AJ716"/>
    <mergeCell ref="AJ717:AJ718"/>
    <mergeCell ref="AO741:AO742"/>
    <mergeCell ref="AM725:AM726"/>
    <mergeCell ref="AO725:AO726"/>
    <mergeCell ref="AO727:AO728"/>
    <mergeCell ref="AD733:AD734"/>
    <mergeCell ref="N727:N728"/>
    <mergeCell ref="J725:J726"/>
    <mergeCell ref="J739:J740"/>
    <mergeCell ref="N739:N740"/>
    <mergeCell ref="Y739:Y740"/>
    <mergeCell ref="AA739:AA740"/>
    <mergeCell ref="AI733:AI734"/>
    <mergeCell ref="AJ725:AJ726"/>
    <mergeCell ref="AJ727:AJ728"/>
    <mergeCell ref="E761:E762"/>
    <mergeCell ref="F761:F762"/>
    <mergeCell ref="J761:J762"/>
    <mergeCell ref="N761:N762"/>
    <mergeCell ref="N660:N661"/>
    <mergeCell ref="AP654:AP655"/>
    <mergeCell ref="AM721:AM722"/>
    <mergeCell ref="AJ707:AJ708"/>
    <mergeCell ref="AJ709:AJ710"/>
    <mergeCell ref="AK707:AK708"/>
    <mergeCell ref="AL707:AL708"/>
    <mergeCell ref="AJ703:AJ704"/>
    <mergeCell ref="AJ705:AJ706"/>
    <mergeCell ref="AI709:AI710"/>
    <mergeCell ref="AI705:AI706"/>
    <mergeCell ref="AC660:AC661"/>
    <mergeCell ref="AD660:AD661"/>
    <mergeCell ref="AF660:AF661"/>
    <mergeCell ref="AG660:AG661"/>
    <mergeCell ref="AH660:AH661"/>
    <mergeCell ref="AP731:AP732"/>
    <mergeCell ref="AM731:AM732"/>
    <mergeCell ref="AL729:AL730"/>
    <mergeCell ref="AM729:AM730"/>
    <mergeCell ref="AO735:AO736"/>
    <mergeCell ref="AP735:AP736"/>
    <mergeCell ref="AM672:AM673"/>
    <mergeCell ref="F3458:F3459"/>
    <mergeCell ref="J3458:J3459"/>
    <mergeCell ref="N3458:N3459"/>
    <mergeCell ref="Y3458:Y3459"/>
    <mergeCell ref="AA3458:AA3459"/>
    <mergeCell ref="AB3458:AB3459"/>
    <mergeCell ref="AC3458:AC3459"/>
    <mergeCell ref="AD3458:AD3459"/>
    <mergeCell ref="AF3458:AF3459"/>
    <mergeCell ref="AG3458:AG3459"/>
    <mergeCell ref="AH3458:AH3459"/>
    <mergeCell ref="AI3458:AI3459"/>
    <mergeCell ref="N3256:N3257"/>
    <mergeCell ref="Y3256:Y3257"/>
    <mergeCell ref="AL3224:AL3225"/>
    <mergeCell ref="AM3224:AM3225"/>
    <mergeCell ref="AO3224:AO3225"/>
    <mergeCell ref="AP3224:AP3225"/>
    <mergeCell ref="AA2722:AA2723"/>
    <mergeCell ref="F2647:F2648"/>
    <mergeCell ref="J2647:J2648"/>
    <mergeCell ref="AM2932:AM2933"/>
    <mergeCell ref="AO2932:AO2933"/>
    <mergeCell ref="AP2932:AP2933"/>
    <mergeCell ref="AI2922:AI2923"/>
    <mergeCell ref="AF2900:AF2901"/>
    <mergeCell ref="AG2856:AG2857"/>
    <mergeCell ref="AH2856:AH2857"/>
    <mergeCell ref="AL2918:AL2919"/>
    <mergeCell ref="AA2918:AA2919"/>
    <mergeCell ref="AG2898:AG2899"/>
    <mergeCell ref="AH2898:AH2899"/>
    <mergeCell ref="AF2866:AF2867"/>
    <mergeCell ref="AG2866:AG2867"/>
    <mergeCell ref="AG2910:AG2911"/>
    <mergeCell ref="AH2910:AH2911"/>
    <mergeCell ref="AF2852:AF2853"/>
    <mergeCell ref="AG2852:AG2853"/>
    <mergeCell ref="AH2852:AH2853"/>
    <mergeCell ref="AI2852:AI2853"/>
    <mergeCell ref="AJ2894:AJ2895"/>
    <mergeCell ref="J3442:J3443"/>
    <mergeCell ref="N3442:N3443"/>
    <mergeCell ref="Y3442:Y3443"/>
    <mergeCell ref="AA3442:AA3443"/>
    <mergeCell ref="AB3442:AB3443"/>
    <mergeCell ref="AC3442:AC3443"/>
    <mergeCell ref="AD3442:AD3443"/>
    <mergeCell ref="AF3442:AF3443"/>
    <mergeCell ref="AG3442:AG3443"/>
    <mergeCell ref="AH3442:AH3443"/>
    <mergeCell ref="E3420:E3421"/>
    <mergeCell ref="F3420:F3421"/>
    <mergeCell ref="E3383:E3384"/>
    <mergeCell ref="F3383:F3384"/>
    <mergeCell ref="J3383:J3384"/>
    <mergeCell ref="N3383:N3384"/>
    <mergeCell ref="Y3383:Y3384"/>
    <mergeCell ref="AA3383:AA3384"/>
    <mergeCell ref="AB3383:AB3384"/>
    <mergeCell ref="E3350:E3351"/>
    <mergeCell ref="AP3228:AP3229"/>
    <mergeCell ref="AL3213:AL3214"/>
    <mergeCell ref="AM3213:AM3214"/>
    <mergeCell ref="AO3213:AO3214"/>
    <mergeCell ref="AP3213:AP3214"/>
    <mergeCell ref="AC3169:AC3170"/>
    <mergeCell ref="AD3169:AD3170"/>
    <mergeCell ref="AF3169:AF3170"/>
    <mergeCell ref="AG3169:AG3170"/>
    <mergeCell ref="AH3169:AH3170"/>
    <mergeCell ref="AI3169:AI3170"/>
    <mergeCell ref="AJ3169:AJ3170"/>
    <mergeCell ref="AK3169:AK3170"/>
    <mergeCell ref="AL3169:AL3170"/>
    <mergeCell ref="AO3177:AO3178"/>
    <mergeCell ref="AP3177:AP3178"/>
    <mergeCell ref="AP3179:AP3180"/>
    <mergeCell ref="N3201:N3202"/>
    <mergeCell ref="Y3201:Y3202"/>
    <mergeCell ref="AA3201:AA3202"/>
    <mergeCell ref="AB3201:AB3202"/>
    <mergeCell ref="E3352:E3353"/>
    <mergeCell ref="F3352:F3353"/>
    <mergeCell ref="J3352:J3353"/>
    <mergeCell ref="AP3254:AP3255"/>
    <mergeCell ref="E3252:E3253"/>
    <mergeCell ref="F3252:F3253"/>
    <mergeCell ref="J3252:J3253"/>
    <mergeCell ref="N3252:N3253"/>
    <mergeCell ref="Y3252:Y3253"/>
    <mergeCell ref="AA3252:AA3253"/>
    <mergeCell ref="AB3252:AB3253"/>
    <mergeCell ref="AA3256:AA3257"/>
    <mergeCell ref="AB3256:AB3257"/>
    <mergeCell ref="AC3256:AC3257"/>
    <mergeCell ref="AD3256:AD3257"/>
    <mergeCell ref="AF3256:AF3257"/>
    <mergeCell ref="AG3256:AG3257"/>
    <mergeCell ref="AH3256:AH3257"/>
    <mergeCell ref="E3256:E3257"/>
    <mergeCell ref="F3256:F3257"/>
    <mergeCell ref="J3256:J3257"/>
    <mergeCell ref="AH3268:AH3269"/>
    <mergeCell ref="AI3268:AI3269"/>
    <mergeCell ref="AK3283:AK3284"/>
    <mergeCell ref="AP3283:AP3284"/>
    <mergeCell ref="E3311:E3312"/>
    <mergeCell ref="F3311:F3312"/>
    <mergeCell ref="J3311:J3312"/>
    <mergeCell ref="N3311:N3312"/>
    <mergeCell ref="Y3311:Y3312"/>
    <mergeCell ref="AA3311:AA3312"/>
    <mergeCell ref="AB3311:AB3312"/>
    <mergeCell ref="AC3311:AC3312"/>
    <mergeCell ref="AD3311:AD3312"/>
    <mergeCell ref="AF3311:AF3312"/>
    <mergeCell ref="AG3311:AG3312"/>
    <mergeCell ref="AH3311:AH3312"/>
    <mergeCell ref="E3254:E3255"/>
    <mergeCell ref="AL2754:AL2755"/>
    <mergeCell ref="AJ3040:AJ3041"/>
    <mergeCell ref="AK3040:AK3041"/>
    <mergeCell ref="AL3040:AL3041"/>
    <mergeCell ref="AM3040:AM3041"/>
    <mergeCell ref="AO3040:AO3041"/>
    <mergeCell ref="AP3040:AP3041"/>
    <mergeCell ref="AK3008:AK3009"/>
    <mergeCell ref="AL3008:AL3009"/>
    <mergeCell ref="AM3008:AM3009"/>
    <mergeCell ref="AO3008:AO3009"/>
    <mergeCell ref="AP3008:AP3009"/>
    <mergeCell ref="AJ3010:AJ3011"/>
    <mergeCell ref="AG3026:AG3027"/>
    <mergeCell ref="AH3026:AH3027"/>
    <mergeCell ref="AI3026:AI3027"/>
    <mergeCell ref="AJ3026:AJ3027"/>
    <mergeCell ref="AK3026:AK3027"/>
    <mergeCell ref="AL3026:AL3027"/>
    <mergeCell ref="E3038:E3039"/>
    <mergeCell ref="F3038:F3039"/>
    <mergeCell ref="J3038:J3039"/>
    <mergeCell ref="N3038:N3039"/>
    <mergeCell ref="E3024:E3025"/>
    <mergeCell ref="F3024:F3025"/>
    <mergeCell ref="J3024:J3025"/>
    <mergeCell ref="N3024:N3025"/>
    <mergeCell ref="AH3014:AH3015"/>
    <mergeCell ref="AI3014:AI3015"/>
    <mergeCell ref="AJ3012:AJ3013"/>
    <mergeCell ref="AP3012:AP3013"/>
    <mergeCell ref="F3254:F3255"/>
    <mergeCell ref="J3254:J3255"/>
    <mergeCell ref="N3254:N3255"/>
    <mergeCell ref="E3063:E3064"/>
    <mergeCell ref="AO3067:AO3068"/>
    <mergeCell ref="AI3063:AI3064"/>
    <mergeCell ref="AL3067:AL3068"/>
    <mergeCell ref="AJ3044:AJ3045"/>
    <mergeCell ref="AK3044:AK3045"/>
    <mergeCell ref="AH3224:AH3225"/>
    <mergeCell ref="AI3224:AI3225"/>
    <mergeCell ref="AJ3224:AJ3225"/>
    <mergeCell ref="AK3224:AK3225"/>
    <mergeCell ref="AC2796:AC2797"/>
    <mergeCell ref="AD2796:AD2797"/>
    <mergeCell ref="AI2796:AI2797"/>
    <mergeCell ref="AJ2796:AJ2797"/>
    <mergeCell ref="AK2796:AK2797"/>
    <mergeCell ref="AD2499:AD2500"/>
    <mergeCell ref="AG2816:AG2817"/>
    <mergeCell ref="AK2816:AK2817"/>
    <mergeCell ref="AJ2810:AJ2811"/>
    <mergeCell ref="AL2884:AL2885"/>
    <mergeCell ref="AL2896:AL2897"/>
    <mergeCell ref="AI2896:AI2897"/>
    <mergeCell ref="AK2896:AK2897"/>
    <mergeCell ref="AG2890:AG2891"/>
    <mergeCell ref="AF2830:AF2831"/>
    <mergeCell ref="AG2830:AG2831"/>
    <mergeCell ref="E2824:E2825"/>
    <mergeCell ref="AH2890:AH2891"/>
    <mergeCell ref="E2860:E2861"/>
    <mergeCell ref="F2860:F2861"/>
    <mergeCell ref="AP2728:AP2729"/>
    <mergeCell ref="E2754:E2755"/>
    <mergeCell ref="F2754:F2755"/>
    <mergeCell ref="J2754:J2755"/>
    <mergeCell ref="N2754:N2755"/>
    <mergeCell ref="Y2754:Y2755"/>
    <mergeCell ref="AA2754:AA2755"/>
    <mergeCell ref="AB2754:AB2755"/>
    <mergeCell ref="AC2754:AC2755"/>
    <mergeCell ref="AD2754:AD2755"/>
    <mergeCell ref="AF2754:AF2755"/>
    <mergeCell ref="AG2754:AG2755"/>
    <mergeCell ref="AH2754:AH2755"/>
    <mergeCell ref="AI2754:AI2755"/>
    <mergeCell ref="AJ2754:AJ2755"/>
    <mergeCell ref="AK2754:AK2755"/>
    <mergeCell ref="AL2619:AL2620"/>
    <mergeCell ref="E2678:E2679"/>
    <mergeCell ref="F2678:F2679"/>
    <mergeCell ref="J2678:J2679"/>
    <mergeCell ref="N2678:N2679"/>
    <mergeCell ref="AH2686:AH2687"/>
    <mergeCell ref="E2696:E2697"/>
    <mergeCell ref="AA2678:AA2679"/>
    <mergeCell ref="AB2678:AB2679"/>
    <mergeCell ref="AC2678:AC2679"/>
    <mergeCell ref="AD2678:AD2679"/>
    <mergeCell ref="AF2678:AF2679"/>
    <mergeCell ref="AG2678:AG2679"/>
    <mergeCell ref="E2672:E2673"/>
    <mergeCell ref="F2672:F2673"/>
    <mergeCell ref="J2672:J2673"/>
    <mergeCell ref="F2694:F2695"/>
    <mergeCell ref="E2674:E2675"/>
    <mergeCell ref="F2674:F2675"/>
    <mergeCell ref="E2684:E2685"/>
    <mergeCell ref="J2682:J2683"/>
    <mergeCell ref="AK2672:AK2673"/>
    <mergeCell ref="AC2676:AC2677"/>
    <mergeCell ref="AC2726:AC2727"/>
    <mergeCell ref="AA2698:AA2699"/>
    <mergeCell ref="AB2698:AB2699"/>
    <mergeCell ref="N2672:N2673"/>
    <mergeCell ref="N2676:N2677"/>
    <mergeCell ref="J2674:J2675"/>
    <mergeCell ref="E2716:E2717"/>
    <mergeCell ref="F2716:F2717"/>
    <mergeCell ref="J2716:J2717"/>
    <mergeCell ref="N2716:N2717"/>
    <mergeCell ref="AP2647:AP2648"/>
    <mergeCell ref="AI2605:AI2606"/>
    <mergeCell ref="AG2623:AG2624"/>
    <mergeCell ref="AH2623:AH2624"/>
    <mergeCell ref="Y2645:Y2646"/>
    <mergeCell ref="AA2645:AA2646"/>
    <mergeCell ref="AB2645:AB2646"/>
    <mergeCell ref="AC2645:AC2646"/>
    <mergeCell ref="AA2605:AA2606"/>
    <mergeCell ref="AB2605:AB2606"/>
    <mergeCell ref="N2621:N2622"/>
    <mergeCell ref="Y2621:Y2622"/>
    <mergeCell ref="AA2621:AA2622"/>
    <mergeCell ref="AB2621:AB2622"/>
    <mergeCell ref="AC2621:AC2622"/>
    <mergeCell ref="AD2621:AD2622"/>
    <mergeCell ref="AF2621:AF2622"/>
    <mergeCell ref="AG2621:AG2622"/>
    <mergeCell ref="AH2621:AH2622"/>
    <mergeCell ref="AJ2551:AJ2552"/>
    <mergeCell ref="AB2615:AB2616"/>
    <mergeCell ref="AC2615:AC2616"/>
    <mergeCell ref="AD2615:AD2616"/>
    <mergeCell ref="AF2615:AF2616"/>
    <mergeCell ref="AG2615:AG2616"/>
    <mergeCell ref="AH2615:AH2616"/>
    <mergeCell ref="N2577:N2578"/>
    <mergeCell ref="Y2577:Y2578"/>
    <mergeCell ref="AA2577:AA2578"/>
    <mergeCell ref="AB2577:AB2578"/>
    <mergeCell ref="N2595:N2596"/>
    <mergeCell ref="Y2595:Y2596"/>
    <mergeCell ref="N2583:N2584"/>
    <mergeCell ref="Y2583:Y2584"/>
    <mergeCell ref="AH2619:AH2620"/>
    <mergeCell ref="AI2645:AI2646"/>
    <mergeCell ref="AJ2645:AJ2646"/>
    <mergeCell ref="AK2645:AK2646"/>
    <mergeCell ref="AL2645:AL2646"/>
    <mergeCell ref="AM2645:AM2646"/>
    <mergeCell ref="AO2645:AO2646"/>
    <mergeCell ref="AP2645:AP2646"/>
    <mergeCell ref="AI2621:AI2622"/>
    <mergeCell ref="AJ2621:AJ2622"/>
    <mergeCell ref="AK2621:AK2622"/>
    <mergeCell ref="AL2621:AL2622"/>
    <mergeCell ref="AM2621:AM2622"/>
    <mergeCell ref="AO2621:AO2622"/>
    <mergeCell ref="AP2621:AP2622"/>
    <mergeCell ref="AJ2619:AJ2620"/>
    <mergeCell ref="AK2619:AK2620"/>
    <mergeCell ref="AI2595:AI2596"/>
    <mergeCell ref="AJ2595:AJ2596"/>
    <mergeCell ref="AK2595:AK2596"/>
    <mergeCell ref="AL2595:AL2596"/>
    <mergeCell ref="AM2595:AM2596"/>
    <mergeCell ref="AO2595:AO2596"/>
    <mergeCell ref="AP2595:AP2596"/>
    <mergeCell ref="AG2503:AG2504"/>
    <mergeCell ref="AH2503:AH2504"/>
    <mergeCell ref="AI2503:AI2504"/>
    <mergeCell ref="E2324:E2325"/>
    <mergeCell ref="F2324:F2325"/>
    <mergeCell ref="J2324:J2325"/>
    <mergeCell ref="N2324:N2325"/>
    <mergeCell ref="Y2324:Y2325"/>
    <mergeCell ref="AA2324:AA2325"/>
    <mergeCell ref="AB2324:AB2325"/>
    <mergeCell ref="AC2324:AC2325"/>
    <mergeCell ref="AD2324:AD2325"/>
    <mergeCell ref="AF2324:AF2325"/>
    <mergeCell ref="AG2324:AG2325"/>
    <mergeCell ref="AH2324:AH2325"/>
    <mergeCell ref="AI2324:AI2325"/>
    <mergeCell ref="AJ2324:AJ2325"/>
    <mergeCell ref="AK2324:AK2325"/>
    <mergeCell ref="AL2324:AL2325"/>
    <mergeCell ref="AM2324:AM2325"/>
    <mergeCell ref="AO2324:AO2325"/>
    <mergeCell ref="AP2324:AP2325"/>
    <mergeCell ref="E2375:E2376"/>
    <mergeCell ref="F2375:F2376"/>
    <mergeCell ref="J2375:J2376"/>
    <mergeCell ref="N2375:N2376"/>
    <mergeCell ref="E2379:E2380"/>
    <mergeCell ref="F2379:F2380"/>
    <mergeCell ref="J2379:J2380"/>
    <mergeCell ref="N2379:N2380"/>
    <mergeCell ref="Y2379:Y2380"/>
    <mergeCell ref="AA2379:AA2380"/>
    <mergeCell ref="AB2379:AB2380"/>
    <mergeCell ref="AC2379:AC2380"/>
    <mergeCell ref="N2387:N2388"/>
    <mergeCell ref="E2335:E2336"/>
    <mergeCell ref="F2335:F2336"/>
    <mergeCell ref="AO2415:AO2416"/>
    <mergeCell ref="N2415:N2416"/>
    <mergeCell ref="AO2413:AO2414"/>
    <mergeCell ref="AO2405:AO2406"/>
    <mergeCell ref="AO2401:AO2402"/>
    <mergeCell ref="AL2433:AL2434"/>
    <mergeCell ref="N2407:N2408"/>
    <mergeCell ref="AB2431:AB2432"/>
    <mergeCell ref="AC2431:AC2432"/>
    <mergeCell ref="AO2433:AO2434"/>
    <mergeCell ref="AK2459:AK2460"/>
    <mergeCell ref="AL2459:AL2460"/>
    <mergeCell ref="AM2459:AM2460"/>
    <mergeCell ref="AO2459:AO2460"/>
    <mergeCell ref="E2361:E2362"/>
    <mergeCell ref="F2361:F2362"/>
    <mergeCell ref="E2345:E2346"/>
    <mergeCell ref="F2345:F2346"/>
    <mergeCell ref="J2345:J2346"/>
    <mergeCell ref="N2345:N2346"/>
    <mergeCell ref="Y2345:Y2346"/>
    <mergeCell ref="AA2345:AA2346"/>
    <mergeCell ref="AB2345:AB2346"/>
    <mergeCell ref="AC2345:AC2346"/>
    <mergeCell ref="AP2459:AP2460"/>
    <mergeCell ref="AB2499:AB2500"/>
    <mergeCell ref="AC2499:AC2500"/>
    <mergeCell ref="AO2137:AO2138"/>
    <mergeCell ref="E2137:E2138"/>
    <mergeCell ref="E2161:E2162"/>
    <mergeCell ref="F2161:F2162"/>
    <mergeCell ref="E2149:E2150"/>
    <mergeCell ref="E2116:E2117"/>
    <mergeCell ref="F2116:F2117"/>
    <mergeCell ref="AM2102:AM2103"/>
    <mergeCell ref="AO2102:AO2103"/>
    <mergeCell ref="AP2102:AP2103"/>
    <mergeCell ref="E2104:E2105"/>
    <mergeCell ref="AK2341:AK2342"/>
    <mergeCell ref="AL2341:AL2342"/>
    <mergeCell ref="AM2341:AM2342"/>
    <mergeCell ref="AO2341:AO2342"/>
    <mergeCell ref="AP2341:AP2342"/>
    <mergeCell ref="E2341:E2342"/>
    <mergeCell ref="F2341:F2342"/>
    <mergeCell ref="J2341:J2342"/>
    <mergeCell ref="N2341:N2342"/>
    <mergeCell ref="Y2341:Y2342"/>
    <mergeCell ref="AA2341:AA2342"/>
    <mergeCell ref="AB2341:AB2342"/>
    <mergeCell ref="AC2341:AC2342"/>
    <mergeCell ref="AD2341:AD2342"/>
    <mergeCell ref="AF2341:AF2342"/>
    <mergeCell ref="AG2341:AG2342"/>
    <mergeCell ref="AH2341:AH2342"/>
    <mergeCell ref="AI2341:AI2342"/>
    <mergeCell ref="AJ2341:AJ2342"/>
    <mergeCell ref="AI2355:AI2356"/>
    <mergeCell ref="AA2353:AA2354"/>
    <mergeCell ref="AB2353:AB2354"/>
    <mergeCell ref="AC2353:AC2354"/>
    <mergeCell ref="AD2353:AD2354"/>
    <mergeCell ref="AF2353:AF2354"/>
    <mergeCell ref="AG2353:AG2354"/>
    <mergeCell ref="AH2353:AH2354"/>
    <mergeCell ref="AI2353:AI2354"/>
    <mergeCell ref="AJ2353:AJ2354"/>
    <mergeCell ref="E2349:E2350"/>
    <mergeCell ref="F2349:F2350"/>
    <mergeCell ref="J2349:J2350"/>
    <mergeCell ref="N2349:N2350"/>
    <mergeCell ref="Y2349:Y2350"/>
    <mergeCell ref="AA2349:AA2350"/>
    <mergeCell ref="E2347:E2348"/>
    <mergeCell ref="E2355:E2356"/>
    <mergeCell ref="F2355:F2356"/>
    <mergeCell ref="AH2355:AH2356"/>
    <mergeCell ref="AL2313:AL2314"/>
    <mergeCell ref="AM2313:AM2314"/>
    <mergeCell ref="AO2313:AO2314"/>
    <mergeCell ref="AP2313:AP2314"/>
    <mergeCell ref="E2315:E2316"/>
    <mergeCell ref="F2315:F2316"/>
    <mergeCell ref="J2315:J2316"/>
    <mergeCell ref="N2315:N2316"/>
    <mergeCell ref="Y2315:Y2316"/>
    <mergeCell ref="AA2315:AA2316"/>
    <mergeCell ref="AB2315:AB2316"/>
    <mergeCell ref="AC2315:AC2316"/>
    <mergeCell ref="AD2315:AD2316"/>
    <mergeCell ref="AF2315:AF2316"/>
    <mergeCell ref="AP2096:AP2097"/>
    <mergeCell ref="AK2098:AK2099"/>
    <mergeCell ref="AL2098:AL2099"/>
    <mergeCell ref="AM2098:AM2099"/>
    <mergeCell ref="AP2078:AP2079"/>
    <mergeCell ref="AF2102:AF2103"/>
    <mergeCell ref="AH2068:AH2069"/>
    <mergeCell ref="AI2068:AI2069"/>
    <mergeCell ref="AK2068:AK2069"/>
    <mergeCell ref="AL2068:AL2069"/>
    <mergeCell ref="N2068:N2069"/>
    <mergeCell ref="AM2106:AM2107"/>
    <mergeCell ref="AO2106:AO2107"/>
    <mergeCell ref="AP2106:AP2107"/>
    <mergeCell ref="N2102:N2103"/>
    <mergeCell ref="AH2187:AH2188"/>
    <mergeCell ref="AI2187:AI2188"/>
    <mergeCell ref="AJ2187:AJ2188"/>
    <mergeCell ref="AK2187:AK2188"/>
    <mergeCell ref="AL2187:AL2188"/>
    <mergeCell ref="AM2187:AM2188"/>
    <mergeCell ref="AO2187:AO2188"/>
    <mergeCell ref="AP2187:AP2188"/>
    <mergeCell ref="Y2169:Y2170"/>
    <mergeCell ref="E2169:E2170"/>
    <mergeCell ref="AM2157:AM2158"/>
    <mergeCell ref="AA2167:AA2168"/>
    <mergeCell ref="AF2181:AF2182"/>
    <mergeCell ref="AG2181:AG2182"/>
    <mergeCell ref="AH2181:AH2182"/>
    <mergeCell ref="AI2181:AI2182"/>
    <mergeCell ref="N2183:N2184"/>
    <mergeCell ref="AB2183:AB2184"/>
    <mergeCell ref="E2157:E2158"/>
    <mergeCell ref="F2157:F2158"/>
    <mergeCell ref="J2157:J2158"/>
    <mergeCell ref="N2157:N2158"/>
    <mergeCell ref="Y2157:Y2158"/>
    <mergeCell ref="AA2157:AA2158"/>
    <mergeCell ref="AB2157:AB2158"/>
    <mergeCell ref="AC2157:AC2158"/>
    <mergeCell ref="AD2157:AD2158"/>
    <mergeCell ref="AF2157:AF2158"/>
    <mergeCell ref="AG2157:AG2158"/>
    <mergeCell ref="AH2157:AH2158"/>
    <mergeCell ref="AI2157:AI2158"/>
    <mergeCell ref="N2143:N2144"/>
    <mergeCell ref="E2127:E2128"/>
    <mergeCell ref="N2177:N2178"/>
    <mergeCell ref="J2143:J2144"/>
    <mergeCell ref="N2147:N2148"/>
    <mergeCell ref="J2149:J2150"/>
    <mergeCell ref="E2155:E2156"/>
    <mergeCell ref="J2145:J2146"/>
    <mergeCell ref="Y2145:Y2146"/>
    <mergeCell ref="E2175:E2176"/>
    <mergeCell ref="F2141:F2142"/>
    <mergeCell ref="J2141:J2142"/>
    <mergeCell ref="AP2173:AP2174"/>
    <mergeCell ref="AP2175:AP2176"/>
    <mergeCell ref="AP2177:AP2178"/>
    <mergeCell ref="AP2181:AP2182"/>
    <mergeCell ref="AP2183:AP2184"/>
    <mergeCell ref="AM2137:AM2138"/>
    <mergeCell ref="N1959:N1960"/>
    <mergeCell ref="AH1965:AH1966"/>
    <mergeCell ref="AM1987:AM1988"/>
    <mergeCell ref="AO1987:AO1988"/>
    <mergeCell ref="E1973:E1974"/>
    <mergeCell ref="F1973:F1974"/>
    <mergeCell ref="J1973:J1974"/>
    <mergeCell ref="N1973:N1974"/>
    <mergeCell ref="Y1973:Y1974"/>
    <mergeCell ref="AA1973:AA1974"/>
    <mergeCell ref="AB1973:AB1974"/>
    <mergeCell ref="AC1973:AC1974"/>
    <mergeCell ref="AD1973:AD1974"/>
    <mergeCell ref="AF1973:AF1974"/>
    <mergeCell ref="AG1973:AG1974"/>
    <mergeCell ref="AH1973:AH1974"/>
    <mergeCell ref="AI1973:AI1974"/>
    <mergeCell ref="AJ1973:AJ1974"/>
    <mergeCell ref="AK1973:AK1974"/>
    <mergeCell ref="AL1973:AL1974"/>
    <mergeCell ref="AM1973:AM1974"/>
    <mergeCell ref="AO1973:AO1974"/>
    <mergeCell ref="AP1973:AP1974"/>
    <mergeCell ref="F2104:F2105"/>
    <mergeCell ref="J2104:J2105"/>
    <mergeCell ref="N2104:N2105"/>
    <mergeCell ref="Y2104:Y2105"/>
    <mergeCell ref="AA2104:AA2105"/>
    <mergeCell ref="AB2104:AB2105"/>
    <mergeCell ref="AC2104:AC2105"/>
    <mergeCell ref="AD2104:AD2105"/>
    <mergeCell ref="AF2104:AF2105"/>
    <mergeCell ref="AG2104:AG2105"/>
    <mergeCell ref="AH2104:AH2105"/>
    <mergeCell ref="AI2104:AI2105"/>
    <mergeCell ref="AJ2104:AJ2105"/>
    <mergeCell ref="AK2104:AK2105"/>
    <mergeCell ref="AL2104:AL2105"/>
    <mergeCell ref="AM2104:AM2105"/>
    <mergeCell ref="AO2104:AO2105"/>
    <mergeCell ref="AP2104:AP2105"/>
    <mergeCell ref="E2058:E2059"/>
    <mergeCell ref="F2058:F2059"/>
    <mergeCell ref="J2058:J2059"/>
    <mergeCell ref="N2058:N2059"/>
    <mergeCell ref="Y2058:Y2059"/>
    <mergeCell ref="AA2058:AA2059"/>
    <mergeCell ref="AB2058:AB2059"/>
    <mergeCell ref="AC2058:AC2059"/>
    <mergeCell ref="AD2058:AD2059"/>
    <mergeCell ref="AF2058:AF2059"/>
    <mergeCell ref="AG2058:AG2059"/>
    <mergeCell ref="AH2058:AH2059"/>
    <mergeCell ref="AI2058:AI2059"/>
    <mergeCell ref="AJ2058:AJ2059"/>
    <mergeCell ref="AK2058:AK2059"/>
    <mergeCell ref="AL2058:AL2059"/>
    <mergeCell ref="AM2058:AM2059"/>
    <mergeCell ref="AO2058:AO2059"/>
    <mergeCell ref="AP2058:AP2059"/>
    <mergeCell ref="AC2080:AC2081"/>
    <mergeCell ref="AD2080:AD2081"/>
    <mergeCell ref="AF2080:AF2081"/>
    <mergeCell ref="AG2080:AG2081"/>
    <mergeCell ref="J1965:J1966"/>
    <mergeCell ref="AI1919:AI1920"/>
    <mergeCell ref="AI1907:AI1908"/>
    <mergeCell ref="AI1927:AI1928"/>
    <mergeCell ref="Y1939:Y1940"/>
    <mergeCell ref="J1927:J1928"/>
    <mergeCell ref="N1927:N1928"/>
    <mergeCell ref="Y1927:Y1928"/>
    <mergeCell ref="AA1927:AA1928"/>
    <mergeCell ref="AB1927:AB1928"/>
    <mergeCell ref="AH1921:AH1922"/>
    <mergeCell ref="AG1927:AG1928"/>
    <mergeCell ref="AH1927:AH1928"/>
    <mergeCell ref="AF1921:AF1922"/>
    <mergeCell ref="AG1921:AG1922"/>
    <mergeCell ref="F1919:F1920"/>
    <mergeCell ref="AJ1939:AJ1940"/>
    <mergeCell ref="N1921:N1922"/>
    <mergeCell ref="E1907:E1908"/>
    <mergeCell ref="F1907:F1908"/>
    <mergeCell ref="Y1921:Y1922"/>
    <mergeCell ref="AA1921:AA1922"/>
    <mergeCell ref="E1911:E1912"/>
    <mergeCell ref="AP1977:AP1978"/>
    <mergeCell ref="E2040:E2041"/>
    <mergeCell ref="E2036:E2037"/>
    <mergeCell ref="F1971:F1972"/>
    <mergeCell ref="J1971:J1972"/>
    <mergeCell ref="E1945:E1946"/>
    <mergeCell ref="F1945:F1946"/>
    <mergeCell ref="J1945:J1946"/>
    <mergeCell ref="N1945:N1946"/>
    <mergeCell ref="AC1945:AC1946"/>
    <mergeCell ref="AD1945:AD1946"/>
    <mergeCell ref="AF1945:AF1946"/>
    <mergeCell ref="AG1945:AG1946"/>
    <mergeCell ref="AH1945:AH1946"/>
    <mergeCell ref="E1949:E1950"/>
    <mergeCell ref="AB1949:AB1950"/>
    <mergeCell ref="AC1949:AC1950"/>
    <mergeCell ref="AD1949:AD1950"/>
    <mergeCell ref="AF1949:AF1950"/>
    <mergeCell ref="AG1949:AG1950"/>
    <mergeCell ref="AH1949:AH1950"/>
    <mergeCell ref="AC1959:AC1960"/>
    <mergeCell ref="AP2024:AP2025"/>
    <mergeCell ref="AC2008:AC2009"/>
    <mergeCell ref="AM2040:AM2041"/>
    <mergeCell ref="E2038:E2039"/>
    <mergeCell ref="F2038:F2039"/>
    <mergeCell ref="AP2014:AP2015"/>
    <mergeCell ref="AA2040:AA2041"/>
    <mergeCell ref="E1987:E1988"/>
    <mergeCell ref="AB1987:AB1988"/>
    <mergeCell ref="AC1987:AC1988"/>
    <mergeCell ref="AD1987:AD1988"/>
    <mergeCell ref="AF1987:AF1988"/>
    <mergeCell ref="AD2004:AD2005"/>
    <mergeCell ref="F2004:F2005"/>
    <mergeCell ref="E2004:E2005"/>
    <mergeCell ref="AA2002:AA2003"/>
    <mergeCell ref="E2002:E2003"/>
    <mergeCell ref="F2002:F2003"/>
    <mergeCell ref="J1959:J1960"/>
    <mergeCell ref="J1832:J1833"/>
    <mergeCell ref="N1832:N1833"/>
    <mergeCell ref="Y1832:Y1833"/>
    <mergeCell ref="AA1832:AA1833"/>
    <mergeCell ref="AB1832:AB1833"/>
    <mergeCell ref="AC1832:AC1833"/>
    <mergeCell ref="AD1832:AD1833"/>
    <mergeCell ref="AF1832:AF1833"/>
    <mergeCell ref="AG1832:AG1833"/>
    <mergeCell ref="AH1832:AH1833"/>
    <mergeCell ref="F1844:F1845"/>
    <mergeCell ref="J1844:J1845"/>
    <mergeCell ref="E1943:E1944"/>
    <mergeCell ref="F1943:F1944"/>
    <mergeCell ref="J1943:J1944"/>
    <mergeCell ref="N1943:N1944"/>
    <mergeCell ref="Y1943:Y1944"/>
    <mergeCell ref="AA1943:AA1944"/>
    <mergeCell ref="AB1943:AB1944"/>
    <mergeCell ref="AC1943:AC1944"/>
    <mergeCell ref="AO1939:AO1940"/>
    <mergeCell ref="AG1907:AG1908"/>
    <mergeCell ref="N1903:N1904"/>
    <mergeCell ref="AG1915:AG1916"/>
    <mergeCell ref="AH1915:AH1916"/>
    <mergeCell ref="AI1915:AI1916"/>
    <mergeCell ref="AO1915:AO1916"/>
    <mergeCell ref="F1927:F1928"/>
    <mergeCell ref="F1915:F1916"/>
    <mergeCell ref="N1911:N1912"/>
    <mergeCell ref="Y1911:Y1912"/>
    <mergeCell ref="F1957:F1958"/>
    <mergeCell ref="AK1943:AK1944"/>
    <mergeCell ref="AL1943:AL1944"/>
    <mergeCell ref="Y1953:Y1954"/>
    <mergeCell ref="AA1953:AA1954"/>
    <mergeCell ref="AB1953:AB1954"/>
    <mergeCell ref="AC1953:AC1954"/>
    <mergeCell ref="Y1949:Y1950"/>
    <mergeCell ref="AA1949:AA1950"/>
    <mergeCell ref="AC1919:AC1920"/>
    <mergeCell ref="AM1832:AM1833"/>
    <mergeCell ref="AO1832:AO1833"/>
    <mergeCell ref="AM1890:AM1891"/>
    <mergeCell ref="AO1890:AO1891"/>
    <mergeCell ref="N1844:N1845"/>
    <mergeCell ref="Y1844:Y1845"/>
    <mergeCell ref="AA1844:AA1845"/>
    <mergeCell ref="AB1844:AB1845"/>
    <mergeCell ref="AC1844:AC1845"/>
    <mergeCell ref="AD1844:AD1845"/>
    <mergeCell ref="AF1844:AF1845"/>
    <mergeCell ref="AG1844:AG1845"/>
    <mergeCell ref="AH1844:AH1845"/>
    <mergeCell ref="AI1844:AI1845"/>
    <mergeCell ref="AJ1844:AJ1845"/>
    <mergeCell ref="AK1844:AK1845"/>
    <mergeCell ref="AL1844:AL1845"/>
    <mergeCell ref="AM1844:AM1845"/>
    <mergeCell ref="AO1844:AO1845"/>
    <mergeCell ref="AG1855:AG1856"/>
    <mergeCell ref="AH1855:AH1856"/>
    <mergeCell ref="AI1855:AI1856"/>
    <mergeCell ref="AJ1855:AJ1856"/>
    <mergeCell ref="AI1816:AI1817"/>
    <mergeCell ref="AJ1816:AJ1817"/>
    <mergeCell ref="AK1816:AK1817"/>
    <mergeCell ref="AL1816:AL1817"/>
    <mergeCell ref="AM1816:AM1817"/>
    <mergeCell ref="AL1783:AL1784"/>
    <mergeCell ref="AM1783:AM1784"/>
    <mergeCell ref="AO1783:AO1784"/>
    <mergeCell ref="AP1783:AP1784"/>
    <mergeCell ref="E1785:E1786"/>
    <mergeCell ref="F1785:F1786"/>
    <mergeCell ref="Y1779:Y1780"/>
    <mergeCell ref="AA1779:AA1780"/>
    <mergeCell ref="AB1779:AB1780"/>
    <mergeCell ref="AP1789:AP1790"/>
    <mergeCell ref="Y1814:Y1815"/>
    <mergeCell ref="AA1814:AA1815"/>
    <mergeCell ref="AB1814:AB1815"/>
    <mergeCell ref="AC1814:AC1815"/>
    <mergeCell ref="AD1855:AD1856"/>
    <mergeCell ref="AF1855:AF1856"/>
    <mergeCell ref="Y1830:Y1831"/>
    <mergeCell ref="AA1830:AA1831"/>
    <mergeCell ref="AB1830:AB1831"/>
    <mergeCell ref="AC1830:AC1831"/>
    <mergeCell ref="AJ1830:AJ1831"/>
    <mergeCell ref="F1824:F1825"/>
    <mergeCell ref="J1824:J1825"/>
    <mergeCell ref="N1824:N1825"/>
    <mergeCell ref="Y1824:Y1825"/>
    <mergeCell ref="AA1824:AA1825"/>
    <mergeCell ref="AB1824:AB1825"/>
    <mergeCell ref="AC1824:AC1825"/>
    <mergeCell ref="AD1824:AD1825"/>
    <mergeCell ref="AF1824:AF1825"/>
    <mergeCell ref="AG1824:AG1825"/>
    <mergeCell ref="AH1824:AH1825"/>
    <mergeCell ref="AI1824:AI1825"/>
    <mergeCell ref="AJ1824:AJ1825"/>
    <mergeCell ref="AK1824:AK1825"/>
    <mergeCell ref="AL1824:AL1825"/>
    <mergeCell ref="AM1824:AM1825"/>
    <mergeCell ref="AO1824:AO1825"/>
    <mergeCell ref="AP1824:AP1825"/>
    <mergeCell ref="F1828:F1829"/>
    <mergeCell ref="J1828:J1829"/>
    <mergeCell ref="N1828:N1829"/>
    <mergeCell ref="Y1828:Y1829"/>
    <mergeCell ref="AA1828:AA1829"/>
    <mergeCell ref="AB1828:AB1829"/>
    <mergeCell ref="AC1828:AC1829"/>
    <mergeCell ref="AD1828:AD1829"/>
    <mergeCell ref="AF1828:AF1829"/>
    <mergeCell ref="AG1828:AG1829"/>
    <mergeCell ref="AH1828:AH1829"/>
    <mergeCell ref="AI1828:AI1829"/>
    <mergeCell ref="AJ1828:AJ1829"/>
    <mergeCell ref="AK1828:AK1829"/>
    <mergeCell ref="AL1828:AL1829"/>
    <mergeCell ref="AM1828:AM1829"/>
    <mergeCell ref="AO1828:AO1829"/>
    <mergeCell ref="AP1828:AP1829"/>
    <mergeCell ref="AP1830:AP1831"/>
    <mergeCell ref="F1832:F1833"/>
    <mergeCell ref="AP1746:AP1747"/>
    <mergeCell ref="E1746:E1747"/>
    <mergeCell ref="F1746:F1747"/>
    <mergeCell ref="J1746:J1747"/>
    <mergeCell ref="N1746:N1747"/>
    <mergeCell ref="Y1746:Y1747"/>
    <mergeCell ref="AA1746:AA1747"/>
    <mergeCell ref="AB1746:AB1747"/>
    <mergeCell ref="AC1746:AC1747"/>
    <mergeCell ref="AD1746:AD1747"/>
    <mergeCell ref="AF1746:AF1747"/>
    <mergeCell ref="AG1746:AG1747"/>
    <mergeCell ref="AH1746:AH1747"/>
    <mergeCell ref="AI1746:AI1747"/>
    <mergeCell ref="AJ1746:AJ1747"/>
    <mergeCell ref="AK1746:AK1747"/>
    <mergeCell ref="E1744:E1745"/>
    <mergeCell ref="F1744:F1745"/>
    <mergeCell ref="J1744:J1745"/>
    <mergeCell ref="N1744:N1745"/>
    <mergeCell ref="Y1744:Y1745"/>
    <mergeCell ref="AA1744:AA1745"/>
    <mergeCell ref="AB1744:AB1745"/>
    <mergeCell ref="AC1744:AC1745"/>
    <mergeCell ref="AD1744:AD1745"/>
    <mergeCell ref="AF1744:AF1745"/>
    <mergeCell ref="N1812:N1813"/>
    <mergeCell ref="Y1812:Y1813"/>
    <mergeCell ref="AA1812:AA1813"/>
    <mergeCell ref="AB1806:AB1807"/>
    <mergeCell ref="AC1806:AC1807"/>
    <mergeCell ref="AD1806:AD1807"/>
    <mergeCell ref="AF1806:AF1807"/>
    <mergeCell ref="AG1806:AG1807"/>
    <mergeCell ref="AH1806:AH1807"/>
    <mergeCell ref="AI1806:AI1807"/>
    <mergeCell ref="AJ1806:AJ1807"/>
    <mergeCell ref="AK1806:AK1807"/>
    <mergeCell ref="AL1806:AL1807"/>
    <mergeCell ref="AM1806:AM1807"/>
    <mergeCell ref="F1806:F1807"/>
    <mergeCell ref="J1806:J1807"/>
    <mergeCell ref="N1806:N1807"/>
    <mergeCell ref="Y1806:Y1807"/>
    <mergeCell ref="AP1812:AP1813"/>
    <mergeCell ref="AK1812:AK1813"/>
    <mergeCell ref="AL1812:AL1813"/>
    <mergeCell ref="AO1812:AO1813"/>
    <mergeCell ref="AO1810:AO1811"/>
    <mergeCell ref="E1797:E1798"/>
    <mergeCell ref="AH1773:AH1774"/>
    <mergeCell ref="AI1773:AI1774"/>
    <mergeCell ref="AJ1773:AJ1774"/>
    <mergeCell ref="AK1773:AK1774"/>
    <mergeCell ref="AL1773:AL1774"/>
    <mergeCell ref="AM1773:AM1774"/>
    <mergeCell ref="AO1773:AO1774"/>
    <mergeCell ref="AP1777:AP1778"/>
    <mergeCell ref="AM1810:AM1811"/>
    <mergeCell ref="AO1806:AO1807"/>
    <mergeCell ref="AP1806:AP1807"/>
    <mergeCell ref="AP1810:AP1811"/>
    <mergeCell ref="E1758:E1759"/>
    <mergeCell ref="F1758:F1759"/>
    <mergeCell ref="N1630:N1631"/>
    <mergeCell ref="Y1630:Y1631"/>
    <mergeCell ref="AA1630:AA1631"/>
    <mergeCell ref="AB1630:AB1631"/>
    <mergeCell ref="AC1630:AC1631"/>
    <mergeCell ref="AD1630:AD1631"/>
    <mergeCell ref="AF1630:AF1631"/>
    <mergeCell ref="E1654:E1655"/>
    <mergeCell ref="F1638:F1639"/>
    <mergeCell ref="J1638:J1639"/>
    <mergeCell ref="N1638:N1639"/>
    <mergeCell ref="Y1638:Y1639"/>
    <mergeCell ref="AA1638:AA1639"/>
    <mergeCell ref="AB1638:AB1639"/>
    <mergeCell ref="AC1638:AC1639"/>
    <mergeCell ref="AI1640:AI1641"/>
    <mergeCell ref="AG1656:AG1657"/>
    <mergeCell ref="E1660:E1661"/>
    <mergeCell ref="E1666:E1667"/>
    <mergeCell ref="E1652:E1653"/>
    <mergeCell ref="AI1636:AI1637"/>
    <mergeCell ref="AK1636:AK1637"/>
    <mergeCell ref="AL1636:AL1637"/>
    <mergeCell ref="AG1644:AG1645"/>
    <mergeCell ref="AH1644:AH1645"/>
    <mergeCell ref="AI1644:AI1645"/>
    <mergeCell ref="AK1644:AK1645"/>
    <mergeCell ref="AL1644:AL1645"/>
    <mergeCell ref="E1636:E1637"/>
    <mergeCell ref="N1636:N1637"/>
    <mergeCell ref="Y1636:Y1637"/>
    <mergeCell ref="AA1636:AA1637"/>
    <mergeCell ref="AJ1650:AJ1651"/>
    <mergeCell ref="AC1652:AC1653"/>
    <mergeCell ref="AD1652:AD1653"/>
    <mergeCell ref="AF1652:AF1653"/>
    <mergeCell ref="AG1652:AG1653"/>
    <mergeCell ref="AH1652:AH1653"/>
    <mergeCell ref="AI1652:AI1653"/>
    <mergeCell ref="AK1652:AK1653"/>
    <mergeCell ref="AL1652:AL1653"/>
    <mergeCell ref="E1646:E1647"/>
    <mergeCell ref="F1646:F1647"/>
    <mergeCell ref="J1646:J1647"/>
    <mergeCell ref="J1634:J1635"/>
    <mergeCell ref="AB1644:AB1645"/>
    <mergeCell ref="AC1644:AC1645"/>
    <mergeCell ref="AD1644:AD1645"/>
    <mergeCell ref="N1644:N1645"/>
    <mergeCell ref="Y1644:Y1645"/>
    <mergeCell ref="AA1640:AA1641"/>
    <mergeCell ref="AB1640:AB1641"/>
    <mergeCell ref="AC1640:AC1641"/>
    <mergeCell ref="AD1640:AD1641"/>
    <mergeCell ref="AF1640:AF1641"/>
    <mergeCell ref="AG1640:AG1641"/>
    <mergeCell ref="AH1640:AH1641"/>
    <mergeCell ref="AA1642:AA1643"/>
    <mergeCell ref="AB1642:AB1643"/>
    <mergeCell ref="N1634:N1635"/>
    <mergeCell ref="Y1634:Y1635"/>
    <mergeCell ref="E1623:E1624"/>
    <mergeCell ref="F1623:F1624"/>
    <mergeCell ref="J1623:J1624"/>
    <mergeCell ref="N1623:N1624"/>
    <mergeCell ref="Y1623:Y1624"/>
    <mergeCell ref="AA1623:AA1624"/>
    <mergeCell ref="AM1579:AM1580"/>
    <mergeCell ref="AC1597:AC1598"/>
    <mergeCell ref="AD1597:AD1598"/>
    <mergeCell ref="AF1597:AF1598"/>
    <mergeCell ref="AG1597:AG1598"/>
    <mergeCell ref="AH1597:AH1598"/>
    <mergeCell ref="AI1597:AI1598"/>
    <mergeCell ref="AJ1597:AJ1598"/>
    <mergeCell ref="AK1597:AK1598"/>
    <mergeCell ref="AL1597:AL1598"/>
    <mergeCell ref="AM1597:AM1598"/>
    <mergeCell ref="AO1597:AO1598"/>
    <mergeCell ref="AP1597:AP1598"/>
    <mergeCell ref="F1581:F1582"/>
    <mergeCell ref="AL1593:AL1594"/>
    <mergeCell ref="AM1593:AM1594"/>
    <mergeCell ref="AO1593:AO1594"/>
    <mergeCell ref="AP1593:AP1594"/>
    <mergeCell ref="AP1577:AP1578"/>
    <mergeCell ref="AP1587:AP1588"/>
    <mergeCell ref="AP1581:AP1582"/>
    <mergeCell ref="AP1583:AP1584"/>
    <mergeCell ref="AG1579:AG1580"/>
    <mergeCell ref="AH1579:AH1580"/>
    <mergeCell ref="AI1579:AI1580"/>
    <mergeCell ref="AJ1579:AJ1580"/>
    <mergeCell ref="Y1577:Y1578"/>
    <mergeCell ref="AA1577:AA1578"/>
    <mergeCell ref="AB1577:AB1578"/>
    <mergeCell ref="AC1577:AC1578"/>
    <mergeCell ref="AD1577:AD1578"/>
    <mergeCell ref="AF1577:AF1578"/>
    <mergeCell ref="AG1577:AG1578"/>
    <mergeCell ref="AM1577:AM1578"/>
    <mergeCell ref="AO1577:AO1578"/>
    <mergeCell ref="AI1583:AI1584"/>
    <mergeCell ref="AJ1583:AJ1584"/>
    <mergeCell ref="AK1583:AK1584"/>
    <mergeCell ref="AL1583:AL1584"/>
    <mergeCell ref="AM1583:AM1584"/>
    <mergeCell ref="AO1583:AO1584"/>
    <mergeCell ref="AF1579:AF1580"/>
    <mergeCell ref="AL1577:AL1578"/>
    <mergeCell ref="N1593:N1594"/>
    <mergeCell ref="Y1593:Y1594"/>
    <mergeCell ref="AA1593:AA1594"/>
    <mergeCell ref="AO1581:AO1582"/>
    <mergeCell ref="AG1581:AG1582"/>
    <mergeCell ref="AH1581:AH1582"/>
    <mergeCell ref="AI1581:AI1582"/>
    <mergeCell ref="AJ1581:AJ1582"/>
    <mergeCell ref="E1593:E1594"/>
    <mergeCell ref="F1593:F1594"/>
    <mergeCell ref="J1593:J1594"/>
    <mergeCell ref="AI1593:AI1594"/>
    <mergeCell ref="AJ1593:AJ1594"/>
    <mergeCell ref="AK1593:AK1594"/>
    <mergeCell ref="AK1607:AK1608"/>
    <mergeCell ref="Y1563:Y1564"/>
    <mergeCell ref="AM1575:AM1576"/>
    <mergeCell ref="AO1575:AO1576"/>
    <mergeCell ref="AP1575:AP1576"/>
    <mergeCell ref="E1563:E1564"/>
    <mergeCell ref="F1563:F1564"/>
    <mergeCell ref="J1563:J1564"/>
    <mergeCell ref="N1563:N1564"/>
    <mergeCell ref="AG1565:AG1566"/>
    <mergeCell ref="AH1565:AH1566"/>
    <mergeCell ref="AI1565:AI1566"/>
    <mergeCell ref="AK1565:AK1566"/>
    <mergeCell ref="E1571:E1572"/>
    <mergeCell ref="F1571:F1572"/>
    <mergeCell ref="AA1571:AA1572"/>
    <mergeCell ref="J1571:J1572"/>
    <mergeCell ref="N1571:N1572"/>
    <mergeCell ref="AM1563:AM1564"/>
    <mergeCell ref="AO1563:AO1564"/>
    <mergeCell ref="AL1571:AL1572"/>
    <mergeCell ref="AG1571:AG1572"/>
    <mergeCell ref="AH1571:AH1572"/>
    <mergeCell ref="AI1571:AI1572"/>
    <mergeCell ref="AK1571:AK1572"/>
    <mergeCell ref="E1575:E1576"/>
    <mergeCell ref="F1575:F1576"/>
    <mergeCell ref="J1575:J1576"/>
    <mergeCell ref="AB1575:AB1576"/>
    <mergeCell ref="AC1575:AC1576"/>
    <mergeCell ref="AD1575:AD1576"/>
    <mergeCell ref="AF1575:AF1576"/>
    <mergeCell ref="AG1575:AG1576"/>
    <mergeCell ref="Y1575:Y1576"/>
    <mergeCell ref="AJ1575:AJ1576"/>
    <mergeCell ref="AK1575:AK1576"/>
    <mergeCell ref="N1567:N1568"/>
    <mergeCell ref="Y1567:Y1568"/>
    <mergeCell ref="AA1567:AA1568"/>
    <mergeCell ref="AL1565:AL1566"/>
    <mergeCell ref="AC1565:AC1566"/>
    <mergeCell ref="AI1553:AI1554"/>
    <mergeCell ref="AC1535:AC1536"/>
    <mergeCell ref="AD1535:AD1536"/>
    <mergeCell ref="AA1539:AA1540"/>
    <mergeCell ref="AB1539:AB1540"/>
    <mergeCell ref="AC1539:AC1540"/>
    <mergeCell ref="AD1539:AD1540"/>
    <mergeCell ref="AF1539:AF1540"/>
    <mergeCell ref="Y1541:Y1542"/>
    <mergeCell ref="N1474:N1475"/>
    <mergeCell ref="AC1478:AC1479"/>
    <mergeCell ref="AD1478:AD1479"/>
    <mergeCell ref="AF1478:AF1479"/>
    <mergeCell ref="AG1478:AG1479"/>
    <mergeCell ref="AH1478:AH1479"/>
    <mergeCell ref="AI1478:AI1479"/>
    <mergeCell ref="AJ1478:AJ1479"/>
    <mergeCell ref="F1472:F1473"/>
    <mergeCell ref="F1468:F1469"/>
    <mergeCell ref="J1468:J1469"/>
    <mergeCell ref="AC1549:AC1550"/>
    <mergeCell ref="AJ1553:AJ1554"/>
    <mergeCell ref="AG1553:AG1554"/>
    <mergeCell ref="AH1553:AH1554"/>
    <mergeCell ref="E1553:E1554"/>
    <mergeCell ref="F1553:F1554"/>
    <mergeCell ref="J1553:J1554"/>
    <mergeCell ref="AG1460:AG1461"/>
    <mergeCell ref="AH1460:AH1461"/>
    <mergeCell ref="AF1476:AF1477"/>
    <mergeCell ref="AG1516:AG1517"/>
    <mergeCell ref="AI1500:AI1501"/>
    <mergeCell ref="AJ1500:AJ1501"/>
    <mergeCell ref="AD1492:AD1493"/>
    <mergeCell ref="E1516:E1517"/>
    <mergeCell ref="F1516:F1517"/>
    <mergeCell ref="J1516:J1517"/>
    <mergeCell ref="AH1516:AH1517"/>
    <mergeCell ref="AI1516:AI1517"/>
    <mergeCell ref="AJ1516:AJ1517"/>
    <mergeCell ref="AH1476:AH1477"/>
    <mergeCell ref="AI1476:AI1477"/>
    <mergeCell ref="AJ1476:AJ1477"/>
    <mergeCell ref="AJ1488:AJ1489"/>
    <mergeCell ref="AC1472:AC1473"/>
    <mergeCell ref="E1526:E1527"/>
    <mergeCell ref="F1526:F1527"/>
    <mergeCell ref="J1526:J1527"/>
    <mergeCell ref="N1526:N1527"/>
    <mergeCell ref="Y1526:Y1527"/>
    <mergeCell ref="AA1526:AA1527"/>
    <mergeCell ref="AB1526:AB1527"/>
    <mergeCell ref="AC1526:AC1527"/>
    <mergeCell ref="AD1526:AD1527"/>
    <mergeCell ref="AF1526:AF1527"/>
    <mergeCell ref="E1508:E1509"/>
    <mergeCell ref="F1508:F1509"/>
    <mergeCell ref="J1508:J1509"/>
    <mergeCell ref="N1508:N1509"/>
    <mergeCell ref="Y1508:Y1509"/>
    <mergeCell ref="AA1508:AA1509"/>
    <mergeCell ref="AB1508:AB1509"/>
    <mergeCell ref="AC1508:AC1509"/>
    <mergeCell ref="AD1508:AD1509"/>
    <mergeCell ref="AI1474:AI1475"/>
    <mergeCell ref="AO1107:AO1108"/>
    <mergeCell ref="AP1107:AP1108"/>
    <mergeCell ref="AI1107:AI1108"/>
    <mergeCell ref="AJ1107:AJ1108"/>
    <mergeCell ref="AK1107:AK1108"/>
    <mergeCell ref="AL1176:AL1177"/>
    <mergeCell ref="AM1176:AM1177"/>
    <mergeCell ref="AO1176:AO1177"/>
    <mergeCell ref="AP1176:AP1177"/>
    <mergeCell ref="E1178:E1179"/>
    <mergeCell ref="F1178:F1179"/>
    <mergeCell ref="J1178:J1179"/>
    <mergeCell ref="N1178:N1179"/>
    <mergeCell ref="Y1178:Y1179"/>
    <mergeCell ref="AA1178:AA1179"/>
    <mergeCell ref="AB1178:AB1179"/>
    <mergeCell ref="AC1178:AC1179"/>
    <mergeCell ref="AD1178:AD1179"/>
    <mergeCell ref="AF1178:AF1179"/>
    <mergeCell ref="AG1178:AG1179"/>
    <mergeCell ref="AH1178:AH1179"/>
    <mergeCell ref="AI1178:AI1179"/>
    <mergeCell ref="AJ1178:AJ1179"/>
    <mergeCell ref="AK1178:AK1179"/>
    <mergeCell ref="AL1178:AL1179"/>
    <mergeCell ref="AM1178:AM1179"/>
    <mergeCell ref="AO1178:AO1179"/>
    <mergeCell ref="AP1178:AP1179"/>
    <mergeCell ref="E1180:E1181"/>
    <mergeCell ref="F1180:F1181"/>
    <mergeCell ref="J1180:J1181"/>
    <mergeCell ref="N1180:N1181"/>
    <mergeCell ref="Y1180:Y1181"/>
    <mergeCell ref="AA1180:AA1181"/>
    <mergeCell ref="AB1180:AB1181"/>
    <mergeCell ref="AC1180:AC1181"/>
    <mergeCell ref="AD1180:AD1181"/>
    <mergeCell ref="AF1180:AF1181"/>
    <mergeCell ref="AG1180:AG1181"/>
    <mergeCell ref="AH1180:AH1181"/>
    <mergeCell ref="AI1180:AI1181"/>
    <mergeCell ref="AJ1180:AJ1181"/>
    <mergeCell ref="AK1180:AK1181"/>
    <mergeCell ref="AL1180:AL1181"/>
    <mergeCell ref="AM1180:AM1181"/>
    <mergeCell ref="AO1180:AO1181"/>
    <mergeCell ref="AP1180:AP1181"/>
    <mergeCell ref="AG1176:AG1177"/>
    <mergeCell ref="AH1176:AH1177"/>
    <mergeCell ref="AI1176:AI1177"/>
    <mergeCell ref="E1176:E1177"/>
    <mergeCell ref="F1176:F1177"/>
    <mergeCell ref="J1176:J1177"/>
    <mergeCell ref="N1176:N1177"/>
    <mergeCell ref="Y1176:Y1177"/>
    <mergeCell ref="AA1176:AA1177"/>
    <mergeCell ref="AB1176:AB1177"/>
    <mergeCell ref="AC1176:AC1177"/>
    <mergeCell ref="AD1176:AD1177"/>
    <mergeCell ref="AF1176:AF1177"/>
    <mergeCell ref="E1115:E1116"/>
    <mergeCell ref="F1115:F1116"/>
    <mergeCell ref="J1115:J1116"/>
    <mergeCell ref="AC1105:AC1106"/>
    <mergeCell ref="AD1105:AD1106"/>
    <mergeCell ref="AF1105:AF1106"/>
    <mergeCell ref="AG1105:AG1106"/>
    <mergeCell ref="AH1105:AH1106"/>
    <mergeCell ref="AI1105:AI1106"/>
    <mergeCell ref="AJ1105:AJ1106"/>
    <mergeCell ref="AK1105:AK1106"/>
    <mergeCell ref="AL1105:AL1106"/>
    <mergeCell ref="AM1105:AM1106"/>
    <mergeCell ref="AO1105:AO1106"/>
    <mergeCell ref="AP1105:AP1106"/>
    <mergeCell ref="AI1087:AI1088"/>
    <mergeCell ref="AJ1087:AJ1088"/>
    <mergeCell ref="AK1087:AK1088"/>
    <mergeCell ref="AL1087:AL1088"/>
    <mergeCell ref="AM1087:AM1088"/>
    <mergeCell ref="AO1087:AO1088"/>
    <mergeCell ref="AP1087:AP1088"/>
    <mergeCell ref="AM1091:AM1092"/>
    <mergeCell ref="AL1099:AL1100"/>
    <mergeCell ref="AM1099:AM1100"/>
    <mergeCell ref="AO1099:AO1100"/>
    <mergeCell ref="AP1099:AP1100"/>
    <mergeCell ref="E1109:E1110"/>
    <mergeCell ref="F1109:F1110"/>
    <mergeCell ref="J1109:J1110"/>
    <mergeCell ref="N1109:N1110"/>
    <mergeCell ref="Y1109:Y1110"/>
    <mergeCell ref="AA1109:AA1110"/>
    <mergeCell ref="AB1109:AB1110"/>
    <mergeCell ref="AC1109:AC1110"/>
    <mergeCell ref="AD1109:AD1110"/>
    <mergeCell ref="AF1109:AF1110"/>
    <mergeCell ref="AG1109:AG1110"/>
    <mergeCell ref="AH1109:AH1110"/>
    <mergeCell ref="AI1109:AI1110"/>
    <mergeCell ref="AJ1109:AJ1110"/>
    <mergeCell ref="AK1109:AK1110"/>
    <mergeCell ref="AL1109:AL1110"/>
    <mergeCell ref="AM1109:AM1110"/>
    <mergeCell ref="AO1109:AO1110"/>
    <mergeCell ref="AP1109:AP1110"/>
    <mergeCell ref="E1107:E1108"/>
    <mergeCell ref="F1107:F1108"/>
    <mergeCell ref="J1107:J1108"/>
    <mergeCell ref="N1107:N1108"/>
    <mergeCell ref="Y1107:Y1108"/>
    <mergeCell ref="AA1107:AA1108"/>
    <mergeCell ref="AB1107:AB1108"/>
    <mergeCell ref="AC1107:AC1108"/>
    <mergeCell ref="AD1107:AD1108"/>
    <mergeCell ref="AF1107:AF1108"/>
    <mergeCell ref="AG1107:AG1108"/>
    <mergeCell ref="AH1107:AH1108"/>
    <mergeCell ref="AL1107:AL1108"/>
    <mergeCell ref="AM1107:AM1108"/>
    <mergeCell ref="AL1089:AL1090"/>
    <mergeCell ref="AM1089:AM1090"/>
    <mergeCell ref="AO1089:AO1090"/>
    <mergeCell ref="AP1089:AP1090"/>
    <mergeCell ref="AL1095:AL1096"/>
    <mergeCell ref="AM1095:AM1096"/>
    <mergeCell ref="E1105:E1106"/>
    <mergeCell ref="E1001:E1002"/>
    <mergeCell ref="F1001:F1002"/>
    <mergeCell ref="J1001:J1002"/>
    <mergeCell ref="N1001:N1002"/>
    <mergeCell ref="Y1001:Y1002"/>
    <mergeCell ref="AA1001:AA1002"/>
    <mergeCell ref="AB1001:AB1002"/>
    <mergeCell ref="AC1001:AC1002"/>
    <mergeCell ref="AD1001:AD1002"/>
    <mergeCell ref="AF1001:AF1002"/>
    <mergeCell ref="AG1001:AG1002"/>
    <mergeCell ref="AH1001:AH1002"/>
    <mergeCell ref="AI1001:AI1002"/>
    <mergeCell ref="AJ1001:AJ1002"/>
    <mergeCell ref="AK1001:AK1002"/>
    <mergeCell ref="AL1001:AL1002"/>
    <mergeCell ref="AM1001:AM1002"/>
    <mergeCell ref="AO1001:AO1002"/>
    <mergeCell ref="AP1001:AP1002"/>
    <mergeCell ref="AB1091:AB1092"/>
    <mergeCell ref="AA1085:AA1086"/>
    <mergeCell ref="AB1085:AB1086"/>
    <mergeCell ref="E1089:E1090"/>
    <mergeCell ref="F1089:F1090"/>
    <mergeCell ref="J1089:J1090"/>
    <mergeCell ref="N1089:N1090"/>
    <mergeCell ref="Y1089:Y1090"/>
    <mergeCell ref="AA1089:AA1090"/>
    <mergeCell ref="AB1089:AB1090"/>
    <mergeCell ref="AC1089:AC1090"/>
    <mergeCell ref="AD1089:AD1090"/>
    <mergeCell ref="AF1089:AF1090"/>
    <mergeCell ref="E1091:E1092"/>
    <mergeCell ref="F1091:F1092"/>
    <mergeCell ref="AK1091:AK1092"/>
    <mergeCell ref="AL1091:AL1092"/>
    <mergeCell ref="AM1003:AM1004"/>
    <mergeCell ref="AO1003:AO1004"/>
    <mergeCell ref="AP1003:AP1004"/>
    <mergeCell ref="Y1030:Y1031"/>
    <mergeCell ref="AA1030:AA1031"/>
    <mergeCell ref="AB1030:AB1031"/>
    <mergeCell ref="AC1030:AC1031"/>
    <mergeCell ref="AD1030:AD1031"/>
    <mergeCell ref="E1015:E1016"/>
    <mergeCell ref="F1015:F1016"/>
    <mergeCell ref="J1015:J1016"/>
    <mergeCell ref="N1015:N1016"/>
    <mergeCell ref="Y1015:Y1016"/>
    <mergeCell ref="AA1015:AA1016"/>
    <mergeCell ref="AB1015:AB1016"/>
    <mergeCell ref="AC1015:AC1016"/>
    <mergeCell ref="AD1015:AD1016"/>
    <mergeCell ref="AF1015:AF1016"/>
    <mergeCell ref="E1066:E1067"/>
    <mergeCell ref="F1066:F1067"/>
    <mergeCell ref="J1066:J1067"/>
    <mergeCell ref="N1066:N1067"/>
    <mergeCell ref="Y1066:Y1067"/>
    <mergeCell ref="AA1066:AA1067"/>
    <mergeCell ref="AB1066:AB1067"/>
    <mergeCell ref="AH1028:AH1029"/>
    <mergeCell ref="AH1020:AH1021"/>
    <mergeCell ref="AK1026:AK1027"/>
    <mergeCell ref="AO809:AO810"/>
    <mergeCell ref="AL817:AL818"/>
    <mergeCell ref="AP821:AP822"/>
    <mergeCell ref="AJ787:AJ788"/>
    <mergeCell ref="AJ789:AJ790"/>
    <mergeCell ref="AJ791:AJ792"/>
    <mergeCell ref="AP791:AP792"/>
    <mergeCell ref="AO791:AO792"/>
    <mergeCell ref="AO793:AO794"/>
    <mergeCell ref="AP793:AP794"/>
    <mergeCell ref="AM817:AM818"/>
    <mergeCell ref="AM815:AM816"/>
    <mergeCell ref="AO815:AO816"/>
    <mergeCell ref="AK831:AK832"/>
    <mergeCell ref="E999:E1000"/>
    <mergeCell ref="F999:F1000"/>
    <mergeCell ref="J999:J1000"/>
    <mergeCell ref="N999:N1000"/>
    <mergeCell ref="Y999:Y1000"/>
    <mergeCell ref="AA999:AA1000"/>
    <mergeCell ref="AB999:AB1000"/>
    <mergeCell ref="AC999:AC1000"/>
    <mergeCell ref="AD999:AD1000"/>
    <mergeCell ref="AF999:AF1000"/>
    <mergeCell ref="AG999:AG1000"/>
    <mergeCell ref="AH999:AH1000"/>
    <mergeCell ref="AI999:AI1000"/>
    <mergeCell ref="AJ999:AJ1000"/>
    <mergeCell ref="AL999:AL1000"/>
    <mergeCell ref="AM999:AM1000"/>
    <mergeCell ref="AO999:AO1000"/>
    <mergeCell ref="AP999:AP1000"/>
    <mergeCell ref="AP833:AP834"/>
    <mergeCell ref="AO835:AO836"/>
    <mergeCell ref="AP835:AP836"/>
    <mergeCell ref="AP787:AP788"/>
    <mergeCell ref="AJ825:AJ826"/>
    <mergeCell ref="AK825:AK826"/>
    <mergeCell ref="AF973:AF974"/>
    <mergeCell ref="AG973:AG974"/>
    <mergeCell ref="AH973:AH974"/>
    <mergeCell ref="AI973:AI974"/>
    <mergeCell ref="AJ973:AJ974"/>
    <mergeCell ref="AK973:AK974"/>
    <mergeCell ref="AL973:AL974"/>
    <mergeCell ref="AM973:AM974"/>
    <mergeCell ref="AO973:AO974"/>
    <mergeCell ref="AP973:AP974"/>
    <mergeCell ref="AO977:AO978"/>
    <mergeCell ref="AP977:AP978"/>
    <mergeCell ref="AO983:AO984"/>
    <mergeCell ref="AP983:AP984"/>
    <mergeCell ref="AO975:AO976"/>
    <mergeCell ref="AP975:AP976"/>
    <mergeCell ref="F983:F984"/>
    <mergeCell ref="J983:J984"/>
    <mergeCell ref="E841:E842"/>
    <mergeCell ref="F841:F842"/>
    <mergeCell ref="J841:J842"/>
    <mergeCell ref="N841:N842"/>
    <mergeCell ref="Y841:Y842"/>
    <mergeCell ref="AA841:AA842"/>
    <mergeCell ref="AB841:AB842"/>
    <mergeCell ref="AC841:AC842"/>
    <mergeCell ref="AG668:AG669"/>
    <mergeCell ref="AH668:AH669"/>
    <mergeCell ref="AM916:AM917"/>
    <mergeCell ref="AO924:AO925"/>
    <mergeCell ref="AP924:AP925"/>
    <mergeCell ref="F949:F950"/>
    <mergeCell ref="J949:J950"/>
    <mergeCell ref="N949:N950"/>
    <mergeCell ref="Y949:Y950"/>
    <mergeCell ref="AL839:AL840"/>
    <mergeCell ref="AM839:AM840"/>
    <mergeCell ref="AO839:AO840"/>
    <mergeCell ref="AP839:AP840"/>
    <mergeCell ref="AP914:AP915"/>
    <mergeCell ref="F932:F933"/>
    <mergeCell ref="J932:J933"/>
    <mergeCell ref="N932:N933"/>
    <mergeCell ref="Y932:Y933"/>
    <mergeCell ref="AA932:AA933"/>
    <mergeCell ref="AB932:AB933"/>
    <mergeCell ref="AC932:AC933"/>
    <mergeCell ref="AD932:AD933"/>
    <mergeCell ref="AF932:AF933"/>
    <mergeCell ref="AG932:AG933"/>
    <mergeCell ref="AH932:AH933"/>
    <mergeCell ref="AI932:AI933"/>
    <mergeCell ref="AJ932:AJ933"/>
    <mergeCell ref="AK932:AK933"/>
    <mergeCell ref="AL932:AL933"/>
    <mergeCell ref="AM932:AM933"/>
    <mergeCell ref="AO932:AO933"/>
    <mergeCell ref="AP932:AP933"/>
    <mergeCell ref="F934:F935"/>
    <mergeCell ref="J934:J935"/>
    <mergeCell ref="N934:N935"/>
    <mergeCell ref="Y934:Y935"/>
    <mergeCell ref="AC851:AC852"/>
    <mergeCell ref="AD851:AD852"/>
    <mergeCell ref="AH851:AH852"/>
    <mergeCell ref="J871:J872"/>
    <mergeCell ref="N871:N872"/>
    <mergeCell ref="Y871:Y872"/>
    <mergeCell ref="AA871:AA872"/>
    <mergeCell ref="AB871:AB872"/>
    <mergeCell ref="AC871:AC872"/>
    <mergeCell ref="AD871:AD872"/>
    <mergeCell ref="AF871:AF872"/>
    <mergeCell ref="AG871:AG872"/>
    <mergeCell ref="AH871:AH872"/>
    <mergeCell ref="AI871:AI872"/>
    <mergeCell ref="AJ871:AJ872"/>
    <mergeCell ref="AK871:AK872"/>
    <mergeCell ref="AL871:AL872"/>
    <mergeCell ref="AM871:AM872"/>
    <mergeCell ref="AO871:AO872"/>
    <mergeCell ref="J873:J874"/>
    <mergeCell ref="AM861:AM862"/>
    <mergeCell ref="AO861:AO862"/>
    <mergeCell ref="AO863:AO864"/>
    <mergeCell ref="AM859:AM860"/>
    <mergeCell ref="AO859:AO860"/>
    <mergeCell ref="AM853:AM854"/>
    <mergeCell ref="AO853:AO854"/>
    <mergeCell ref="AP853:AP854"/>
    <mergeCell ref="AC688:AC689"/>
    <mergeCell ref="AA668:AA669"/>
    <mergeCell ref="AB668:AB669"/>
    <mergeCell ref="AC668:AC669"/>
    <mergeCell ref="AP676:AP677"/>
    <mergeCell ref="AI676:AI677"/>
    <mergeCell ref="AJ676:AJ677"/>
    <mergeCell ref="AK676:AK677"/>
    <mergeCell ref="AD654:AD655"/>
    <mergeCell ref="AB652:AB653"/>
    <mergeCell ref="AP660:AP661"/>
    <mergeCell ref="E721:E722"/>
    <mergeCell ref="AH829:AH830"/>
    <mergeCell ref="AI829:AI830"/>
    <mergeCell ref="AJ829:AJ830"/>
    <mergeCell ref="AK829:AK830"/>
    <mergeCell ref="AL829:AL830"/>
    <mergeCell ref="AM829:AM830"/>
    <mergeCell ref="AO829:AO830"/>
    <mergeCell ref="AP829:AP830"/>
    <mergeCell ref="AP831:AP832"/>
    <mergeCell ref="AI831:AI832"/>
    <mergeCell ref="J865:J866"/>
    <mergeCell ref="N865:N866"/>
    <mergeCell ref="Y865:Y866"/>
    <mergeCell ref="AA865:AA866"/>
    <mergeCell ref="AB865:AB866"/>
    <mergeCell ref="AC865:AC866"/>
    <mergeCell ref="AD865:AD866"/>
    <mergeCell ref="AF865:AF866"/>
    <mergeCell ref="AG865:AG866"/>
    <mergeCell ref="AH865:AH866"/>
    <mergeCell ref="AI865:AI866"/>
    <mergeCell ref="AJ865:AJ866"/>
    <mergeCell ref="AK865:AK866"/>
    <mergeCell ref="AL865:AL866"/>
    <mergeCell ref="AM865:AM866"/>
    <mergeCell ref="AO865:AO866"/>
    <mergeCell ref="AP865:AP866"/>
    <mergeCell ref="E851:E852"/>
    <mergeCell ref="F851:F852"/>
    <mergeCell ref="J851:J852"/>
    <mergeCell ref="N851:N852"/>
    <mergeCell ref="AI851:AI852"/>
    <mergeCell ref="AJ851:AJ852"/>
    <mergeCell ref="AK851:AK852"/>
    <mergeCell ref="AL851:AL852"/>
    <mergeCell ref="AM851:AM852"/>
    <mergeCell ref="AO851:AO852"/>
    <mergeCell ref="E857:E858"/>
    <mergeCell ref="F857:F858"/>
    <mergeCell ref="J857:J858"/>
    <mergeCell ref="N857:N858"/>
    <mergeCell ref="AC857:AC858"/>
    <mergeCell ref="AD857:AD858"/>
    <mergeCell ref="N831:N832"/>
    <mergeCell ref="Y831:Y832"/>
    <mergeCell ref="AA831:AA832"/>
    <mergeCell ref="E839:E840"/>
    <mergeCell ref="F839:F840"/>
    <mergeCell ref="J839:J840"/>
    <mergeCell ref="N839:N840"/>
    <mergeCell ref="Y839:Y840"/>
    <mergeCell ref="AA839:AA840"/>
    <mergeCell ref="AI656:AI657"/>
    <mergeCell ref="AB664:AB665"/>
    <mergeCell ref="AC664:AC665"/>
    <mergeCell ref="AM654:AM655"/>
    <mergeCell ref="AI668:AI669"/>
    <mergeCell ref="AJ668:AJ669"/>
    <mergeCell ref="N690:N691"/>
    <mergeCell ref="Y690:Y691"/>
    <mergeCell ref="AA690:AA691"/>
    <mergeCell ref="AB690:AB691"/>
    <mergeCell ref="AC690:AC691"/>
    <mergeCell ref="AD690:AD691"/>
    <mergeCell ref="AP652:AP653"/>
    <mergeCell ref="AD652:AD653"/>
    <mergeCell ref="AF652:AF653"/>
    <mergeCell ref="AG652:AG653"/>
    <mergeCell ref="AH652:AH653"/>
    <mergeCell ref="AI652:AI653"/>
    <mergeCell ref="AK652:AK653"/>
    <mergeCell ref="AL652:AL653"/>
    <mergeCell ref="AB658:AB659"/>
    <mergeCell ref="AP656:AP657"/>
    <mergeCell ref="AF654:AF655"/>
    <mergeCell ref="AG654:AG655"/>
    <mergeCell ref="AH654:AH655"/>
    <mergeCell ref="AI654:AI655"/>
    <mergeCell ref="AK654:AK655"/>
    <mergeCell ref="AL654:AL655"/>
    <mergeCell ref="AC658:AC659"/>
    <mergeCell ref="AP662:AP663"/>
    <mergeCell ref="E660:E661"/>
    <mergeCell ref="E664:E665"/>
    <mergeCell ref="F664:F665"/>
    <mergeCell ref="J664:J665"/>
    <mergeCell ref="N664:N665"/>
    <mergeCell ref="AP658:AP659"/>
    <mergeCell ref="AM652:AM653"/>
    <mergeCell ref="F656:F657"/>
    <mergeCell ref="AP680:AP681"/>
    <mergeCell ref="E654:E655"/>
    <mergeCell ref="E668:E669"/>
    <mergeCell ref="N668:N669"/>
    <mergeCell ref="Y668:Y669"/>
    <mergeCell ref="E688:E689"/>
    <mergeCell ref="AK688:AK689"/>
    <mergeCell ref="AL688:AL689"/>
    <mergeCell ref="AM688:AM689"/>
    <mergeCell ref="AO688:AO689"/>
    <mergeCell ref="AP688:AP689"/>
    <mergeCell ref="E690:E691"/>
    <mergeCell ref="F690:F691"/>
    <mergeCell ref="J690:J691"/>
    <mergeCell ref="AF690:AF691"/>
    <mergeCell ref="AG690:AG691"/>
    <mergeCell ref="AH690:AH691"/>
    <mergeCell ref="AI690:AI691"/>
    <mergeCell ref="AJ690:AJ691"/>
    <mergeCell ref="AK690:AK691"/>
    <mergeCell ref="AL690:AL691"/>
    <mergeCell ref="AM690:AM691"/>
    <mergeCell ref="AO690:AO691"/>
    <mergeCell ref="AP690:AP691"/>
    <mergeCell ref="AA688:AA689"/>
    <mergeCell ref="AB688:AB689"/>
    <mergeCell ref="AP496:AP497"/>
    <mergeCell ref="AA512:AA513"/>
    <mergeCell ref="AB512:AB513"/>
    <mergeCell ref="AC512:AC513"/>
    <mergeCell ref="AD512:AD513"/>
    <mergeCell ref="AF512:AF513"/>
    <mergeCell ref="AP480:AP481"/>
    <mergeCell ref="AA514:AA515"/>
    <mergeCell ref="AB641:AB642"/>
    <mergeCell ref="AO652:AO653"/>
    <mergeCell ref="AP639:AP640"/>
    <mergeCell ref="E613:E614"/>
    <mergeCell ref="F613:F614"/>
    <mergeCell ref="F603:F604"/>
    <mergeCell ref="AB609:AB610"/>
    <mergeCell ref="E617:E618"/>
    <mergeCell ref="F617:F618"/>
    <mergeCell ref="J617:J618"/>
    <mergeCell ref="N617:N618"/>
    <mergeCell ref="Y617:Y618"/>
    <mergeCell ref="AA617:AA618"/>
    <mergeCell ref="AB617:AB618"/>
    <mergeCell ref="AC617:AC618"/>
    <mergeCell ref="AD617:AD618"/>
    <mergeCell ref="E587:E588"/>
    <mergeCell ref="AG607:AG608"/>
    <mergeCell ref="F595:F596"/>
    <mergeCell ref="J595:J596"/>
    <mergeCell ref="N595:N596"/>
    <mergeCell ref="Y595:Y596"/>
    <mergeCell ref="AA595:AA596"/>
    <mergeCell ref="E593:E594"/>
    <mergeCell ref="AH619:AH620"/>
    <mergeCell ref="AJ613:AJ614"/>
    <mergeCell ref="AK619:AK620"/>
    <mergeCell ref="AP597:AP598"/>
    <mergeCell ref="Y599:Y600"/>
    <mergeCell ref="AA599:AA600"/>
    <mergeCell ref="AB599:AB600"/>
    <mergeCell ref="AC599:AC600"/>
    <mergeCell ref="AD599:AD600"/>
    <mergeCell ref="AF599:AF600"/>
    <mergeCell ref="E486:E487"/>
    <mergeCell ref="F486:F487"/>
    <mergeCell ref="E649:E650"/>
    <mergeCell ref="F649:F650"/>
    <mergeCell ref="J649:J650"/>
    <mergeCell ref="N649:N650"/>
    <mergeCell ref="Y649:Y650"/>
    <mergeCell ref="AA649:AA650"/>
    <mergeCell ref="AB649:AB650"/>
    <mergeCell ref="AC649:AC650"/>
    <mergeCell ref="AD649:AD650"/>
    <mergeCell ref="AF649:AF650"/>
    <mergeCell ref="AG649:AG650"/>
    <mergeCell ref="AH649:AH650"/>
    <mergeCell ref="AI649:AI650"/>
    <mergeCell ref="AJ649:AJ650"/>
    <mergeCell ref="AK649:AK650"/>
    <mergeCell ref="AL649:AL650"/>
    <mergeCell ref="AM649:AM650"/>
    <mergeCell ref="AO649:AO650"/>
    <mergeCell ref="AP649:AP650"/>
    <mergeCell ref="E490:E491"/>
    <mergeCell ref="F490:F491"/>
    <mergeCell ref="E488:E489"/>
    <mergeCell ref="F500:F501"/>
    <mergeCell ref="J500:J501"/>
    <mergeCell ref="N500:N501"/>
    <mergeCell ref="Y500:Y501"/>
    <mergeCell ref="J599:J600"/>
    <mergeCell ref="N599:N600"/>
    <mergeCell ref="AD607:AD608"/>
    <mergeCell ref="AF607:AF608"/>
    <mergeCell ref="E601:E602"/>
    <mergeCell ref="F601:F602"/>
    <mergeCell ref="E581:E582"/>
    <mergeCell ref="AG571:AG572"/>
    <mergeCell ref="AI581:AI582"/>
    <mergeCell ref="AC595:AC596"/>
    <mergeCell ref="AC607:AC608"/>
    <mergeCell ref="AM344:AM345"/>
    <mergeCell ref="J342:J343"/>
    <mergeCell ref="AL342:AL343"/>
    <mergeCell ref="AM342:AM343"/>
    <mergeCell ref="AO342:AO343"/>
    <mergeCell ref="AP342:AP343"/>
    <mergeCell ref="AM328:AM329"/>
    <mergeCell ref="AO328:AO329"/>
    <mergeCell ref="AP328:AP329"/>
    <mergeCell ref="AL346:AL347"/>
    <mergeCell ref="AM346:AM347"/>
    <mergeCell ref="AP356:AP357"/>
    <mergeCell ref="AP350:AP351"/>
    <mergeCell ref="AM382:AM383"/>
    <mergeCell ref="AO382:AO383"/>
    <mergeCell ref="AP382:AP383"/>
    <mergeCell ref="AH360:AH361"/>
    <mergeCell ref="AI360:AI361"/>
    <mergeCell ref="AJ360:AJ361"/>
    <mergeCell ref="AK360:AK361"/>
    <mergeCell ref="AL360:AL361"/>
    <mergeCell ref="AB332:AB333"/>
    <mergeCell ref="AC332:AC333"/>
    <mergeCell ref="AD332:AD333"/>
    <mergeCell ref="AF332:AF333"/>
    <mergeCell ref="AG332:AG333"/>
    <mergeCell ref="AL358:AL359"/>
    <mergeCell ref="AM358:AM359"/>
    <mergeCell ref="AO358:AO359"/>
    <mergeCell ref="AP358:AP359"/>
    <mergeCell ref="AF375:AF376"/>
    <mergeCell ref="AG375:AG376"/>
    <mergeCell ref="AH375:AH376"/>
    <mergeCell ref="AI375:AI376"/>
    <mergeCell ref="AJ375:AJ376"/>
    <mergeCell ref="AK375:AK376"/>
    <mergeCell ref="AL375:AL376"/>
    <mergeCell ref="AM375:AM376"/>
    <mergeCell ref="AO375:AO376"/>
    <mergeCell ref="AP375:AP376"/>
    <mergeCell ref="AO369:AO370"/>
    <mergeCell ref="AP369:AP370"/>
    <mergeCell ref="AA344:AA345"/>
    <mergeCell ref="AB344:AB345"/>
    <mergeCell ref="AC516:AC517"/>
    <mergeCell ref="AM454:AM455"/>
    <mergeCell ref="AO3201:AO3202"/>
    <mergeCell ref="AP3201:AP3202"/>
    <mergeCell ref="E3224:E3225"/>
    <mergeCell ref="F3224:F3225"/>
    <mergeCell ref="J3224:J3225"/>
    <mergeCell ref="N3224:N3225"/>
    <mergeCell ref="Y3224:Y3225"/>
    <mergeCell ref="AA3224:AA3225"/>
    <mergeCell ref="AB3224:AB3225"/>
    <mergeCell ref="AC3224:AC3225"/>
    <mergeCell ref="AD3224:AD3225"/>
    <mergeCell ref="AF3224:AF3225"/>
    <mergeCell ref="AG3224:AG3225"/>
    <mergeCell ref="AO3171:AO3172"/>
    <mergeCell ref="AP3171:AP3172"/>
    <mergeCell ref="E3173:E3174"/>
    <mergeCell ref="F3173:F3174"/>
    <mergeCell ref="J3173:J3174"/>
    <mergeCell ref="N3173:N3174"/>
    <mergeCell ref="Y3173:Y3174"/>
    <mergeCell ref="AA3173:AA3174"/>
    <mergeCell ref="AB3173:AB3174"/>
    <mergeCell ref="AC3173:AC3174"/>
    <mergeCell ref="AD3173:AD3174"/>
    <mergeCell ref="AF3173:AF3174"/>
    <mergeCell ref="AG3173:AG3174"/>
    <mergeCell ref="AH3173:AH3174"/>
    <mergeCell ref="AI3173:AI3174"/>
    <mergeCell ref="AJ3173:AJ3174"/>
    <mergeCell ref="AK3173:AK3174"/>
    <mergeCell ref="AL3173:AL3174"/>
    <mergeCell ref="AM3173:AM3174"/>
    <mergeCell ref="AO3173:AO3174"/>
    <mergeCell ref="AP3173:AP3174"/>
    <mergeCell ref="E3175:E3176"/>
    <mergeCell ref="F3175:F3176"/>
    <mergeCell ref="J3175:J3176"/>
    <mergeCell ref="N3175:N3176"/>
    <mergeCell ref="F3219:F3220"/>
    <mergeCell ref="J3219:J3220"/>
    <mergeCell ref="N3219:N3220"/>
    <mergeCell ref="Y3219:Y3220"/>
    <mergeCell ref="AA3219:AA3220"/>
    <mergeCell ref="AB3219:AB3220"/>
    <mergeCell ref="AC3219:AC3220"/>
    <mergeCell ref="AD3219:AD3220"/>
    <mergeCell ref="AF3219:AF3220"/>
    <mergeCell ref="AG3219:AG3220"/>
    <mergeCell ref="AH3219:AH3220"/>
    <mergeCell ref="AI3219:AI3220"/>
    <mergeCell ref="AJ3219:AJ3220"/>
    <mergeCell ref="AK3219:AK3220"/>
    <mergeCell ref="AL3219:AL3220"/>
    <mergeCell ref="AM3219:AM3220"/>
    <mergeCell ref="AO3219:AO3220"/>
    <mergeCell ref="AP3219:AP3220"/>
    <mergeCell ref="E3221:E3222"/>
    <mergeCell ref="F3221:F3222"/>
    <mergeCell ref="J3221:J3222"/>
    <mergeCell ref="N3221:N3222"/>
    <mergeCell ref="Y3221:Y3222"/>
    <mergeCell ref="AA3221:AA3222"/>
    <mergeCell ref="AB3221:AB3222"/>
    <mergeCell ref="AC3221:AC3222"/>
    <mergeCell ref="AD3228:AD3229"/>
    <mergeCell ref="AF3228:AF3229"/>
    <mergeCell ref="AG3228:AG3229"/>
    <mergeCell ref="AH3228:AH3229"/>
    <mergeCell ref="AI3228:AI3229"/>
    <mergeCell ref="AJ3228:AJ3229"/>
    <mergeCell ref="AK3228:AK3229"/>
    <mergeCell ref="AL3228:AL3229"/>
    <mergeCell ref="AM3228:AM3229"/>
    <mergeCell ref="AC3197:AC3198"/>
    <mergeCell ref="AD3197:AD3198"/>
    <mergeCell ref="AI3193:AI3194"/>
    <mergeCell ref="AJ3193:AJ3194"/>
    <mergeCell ref="AK3193:AK3194"/>
    <mergeCell ref="AL3193:AL3194"/>
    <mergeCell ref="AC350:AC351"/>
    <mergeCell ref="AD350:AD351"/>
    <mergeCell ref="AA348:AA349"/>
    <mergeCell ref="AB348:AB349"/>
    <mergeCell ref="AC348:AC349"/>
    <mergeCell ref="AD348:AD349"/>
    <mergeCell ref="AF348:AF349"/>
    <mergeCell ref="AD322:AD323"/>
    <mergeCell ref="AG328:AG329"/>
    <mergeCell ref="AH328:AH329"/>
    <mergeCell ref="J326:J327"/>
    <mergeCell ref="AL320:AL321"/>
    <mergeCell ref="AL318:AL319"/>
    <mergeCell ref="J322:J323"/>
    <mergeCell ref="AL334:AL335"/>
    <mergeCell ref="J330:J331"/>
    <mergeCell ref="N330:N331"/>
    <mergeCell ref="Y330:Y331"/>
    <mergeCell ref="AA330:AA331"/>
    <mergeCell ref="AL344:AL345"/>
    <mergeCell ref="AL3201:AL3202"/>
    <mergeCell ref="AM3201:AM3202"/>
    <mergeCell ref="AB3167:AB3168"/>
    <mergeCell ref="AC3167:AC3168"/>
    <mergeCell ref="AA492:AA493"/>
    <mergeCell ref="AB492:AB493"/>
    <mergeCell ref="AD569:AD570"/>
    <mergeCell ref="AA597:AA598"/>
    <mergeCell ref="AF589:AF590"/>
    <mergeCell ref="AG589:AG590"/>
    <mergeCell ref="AI587:AI588"/>
    <mergeCell ref="Y563:Y564"/>
    <mergeCell ref="AH575:AH576"/>
    <mergeCell ref="Y575:Y576"/>
    <mergeCell ref="N575:N576"/>
    <mergeCell ref="AA561:AA562"/>
    <mergeCell ref="N569:N570"/>
    <mergeCell ref="AA575:AA576"/>
    <mergeCell ref="AB575:AB576"/>
    <mergeCell ref="N577:N578"/>
    <mergeCell ref="AJ658:AJ659"/>
    <mergeCell ref="AH656:AH657"/>
    <mergeCell ref="AG664:AG665"/>
    <mergeCell ref="AH664:AH665"/>
    <mergeCell ref="AI664:AI665"/>
    <mergeCell ref="AJ664:AJ665"/>
    <mergeCell ref="AK664:AK665"/>
    <mergeCell ref="AI660:AI661"/>
    <mergeCell ref="AJ660:AJ661"/>
    <mergeCell ref="E3181:E3182"/>
    <mergeCell ref="F3181:F3182"/>
    <mergeCell ref="J3181:J3182"/>
    <mergeCell ref="N3181:N3182"/>
    <mergeCell ref="Y3181:Y3182"/>
    <mergeCell ref="AA3181:AA3182"/>
    <mergeCell ref="AB3181:AB3182"/>
    <mergeCell ref="AC3181:AC3182"/>
    <mergeCell ref="AD3181:AD3182"/>
    <mergeCell ref="AF3181:AF3182"/>
    <mergeCell ref="AG3187:AG3188"/>
    <mergeCell ref="AH3187:AH3188"/>
    <mergeCell ref="AI3187:AI3188"/>
    <mergeCell ref="AJ3187:AJ3188"/>
    <mergeCell ref="AK3187:AK3188"/>
    <mergeCell ref="AL3187:AL3188"/>
    <mergeCell ref="AM3187:AM3188"/>
    <mergeCell ref="AO3187:AO3188"/>
    <mergeCell ref="AP3187:AP3188"/>
    <mergeCell ref="AC3193:AC3194"/>
    <mergeCell ref="AD3193:AD3194"/>
    <mergeCell ref="AF3193:AF3194"/>
    <mergeCell ref="AG3193:AG3194"/>
    <mergeCell ref="AH3193:AH3194"/>
    <mergeCell ref="Y3199:Y3200"/>
    <mergeCell ref="E3197:E3198"/>
    <mergeCell ref="F3197:F3198"/>
    <mergeCell ref="J3197:J3198"/>
    <mergeCell ref="N3197:N3198"/>
    <mergeCell ref="Y3197:Y3198"/>
    <mergeCell ref="AJ3195:AJ3196"/>
    <mergeCell ref="AA3199:AA3200"/>
    <mergeCell ref="AB3199:AB3200"/>
    <mergeCell ref="AC3199:AC3200"/>
    <mergeCell ref="AG3181:AG3182"/>
    <mergeCell ref="AH3181:AH3182"/>
    <mergeCell ref="AA3169:AA3170"/>
    <mergeCell ref="AB3169:AB3170"/>
    <mergeCell ref="E3171:E3172"/>
    <mergeCell ref="F3171:F3172"/>
    <mergeCell ref="J3171:J3172"/>
    <mergeCell ref="N3171:N3172"/>
    <mergeCell ref="Y3171:Y3172"/>
    <mergeCell ref="AA3171:AA3172"/>
    <mergeCell ref="AB3171:AB3172"/>
    <mergeCell ref="Y3175:Y3176"/>
    <mergeCell ref="AO3000:AO3001"/>
    <mergeCell ref="J2996:J2997"/>
    <mergeCell ref="N2996:N2997"/>
    <mergeCell ref="E3016:E3017"/>
    <mergeCell ref="AB3016:AB3017"/>
    <mergeCell ref="AM3169:AM3170"/>
    <mergeCell ref="AO3169:AO3170"/>
    <mergeCell ref="AP3169:AP3170"/>
    <mergeCell ref="E3165:E3166"/>
    <mergeCell ref="F3165:F3166"/>
    <mergeCell ref="J3165:J3166"/>
    <mergeCell ref="N3165:N3166"/>
    <mergeCell ref="Y3165:Y3166"/>
    <mergeCell ref="AP3075:AP3076"/>
    <mergeCell ref="AP3157:AP3158"/>
    <mergeCell ref="AF3119:AF3120"/>
    <mergeCell ref="AG3119:AG3120"/>
    <mergeCell ref="AH3119:AH3120"/>
    <mergeCell ref="AI3119:AI3120"/>
    <mergeCell ref="AF3133:AF3134"/>
    <mergeCell ref="AO3109:AO3110"/>
    <mergeCell ref="AP3165:AP3166"/>
    <mergeCell ref="AO3155:AO3156"/>
    <mergeCell ref="AP3155:AP3156"/>
    <mergeCell ref="AL3131:AL3132"/>
    <mergeCell ref="AO3131:AO3132"/>
    <mergeCell ref="Y3151:Y3152"/>
    <mergeCell ref="E3123:E3124"/>
    <mergeCell ref="F3123:F3124"/>
    <mergeCell ref="J3123:J3124"/>
    <mergeCell ref="N3123:N3124"/>
    <mergeCell ref="Y3123:Y3124"/>
    <mergeCell ref="AA3123:AA3124"/>
    <mergeCell ref="AB3123:AB3124"/>
    <mergeCell ref="AC3123:AC3124"/>
    <mergeCell ref="AD3123:AD3124"/>
    <mergeCell ref="AF3123:AF3124"/>
    <mergeCell ref="AG3123:AG3124"/>
    <mergeCell ref="AH3123:AH3124"/>
    <mergeCell ref="AI3123:AI3124"/>
    <mergeCell ref="AJ3123:AJ3124"/>
    <mergeCell ref="E3167:E3168"/>
    <mergeCell ref="F3167:F3168"/>
    <mergeCell ref="J3167:J3168"/>
    <mergeCell ref="N3167:N3168"/>
    <mergeCell ref="Y3167:Y3168"/>
    <mergeCell ref="AA3167:AA3168"/>
    <mergeCell ref="AA3165:AA3166"/>
    <mergeCell ref="AB3165:AB3166"/>
    <mergeCell ref="AC3165:AC3166"/>
    <mergeCell ref="AO3151:AO3152"/>
    <mergeCell ref="AI3153:AI3154"/>
    <mergeCell ref="Y3145:Y3146"/>
    <mergeCell ref="AA3145:AA3146"/>
    <mergeCell ref="AO2960:AO2961"/>
    <mergeCell ref="N2974:N2975"/>
    <mergeCell ref="Y2974:Y2975"/>
    <mergeCell ref="AA2974:AA2975"/>
    <mergeCell ref="AF2974:AF2975"/>
    <mergeCell ref="AG2974:AG2975"/>
    <mergeCell ref="AH2974:AH2975"/>
    <mergeCell ref="AI2974:AI2975"/>
    <mergeCell ref="AF2970:AF2971"/>
    <mergeCell ref="AK2984:AK2985"/>
    <mergeCell ref="AK2994:AK2995"/>
    <mergeCell ref="AD2972:AD2973"/>
    <mergeCell ref="AJ2996:AJ2997"/>
    <mergeCell ref="AJ2998:AJ2999"/>
    <mergeCell ref="AK2998:AK2999"/>
    <mergeCell ref="AL2998:AL2999"/>
    <mergeCell ref="AM2994:AM2995"/>
    <mergeCell ref="AO2994:AO2995"/>
    <mergeCell ref="J2970:J2971"/>
    <mergeCell ref="AC2978:AC2979"/>
    <mergeCell ref="AG2970:AG2971"/>
    <mergeCell ref="AH2970:AH2971"/>
    <mergeCell ref="AB2988:AB2989"/>
    <mergeCell ref="Y2996:Y2997"/>
    <mergeCell ref="AO2996:AO2997"/>
    <mergeCell ref="AM2982:AM2983"/>
    <mergeCell ref="AO2982:AO2983"/>
    <mergeCell ref="AM2990:AM2991"/>
    <mergeCell ref="AO2990:AO2991"/>
    <mergeCell ref="AJ2990:AJ2991"/>
    <mergeCell ref="AJ2992:AJ2993"/>
    <mergeCell ref="AJ2994:AJ2995"/>
    <mergeCell ref="AK2990:AK2991"/>
    <mergeCell ref="AL2990:AL2991"/>
    <mergeCell ref="AL2982:AL2983"/>
    <mergeCell ref="AL2988:AL2989"/>
    <mergeCell ref="AM2988:AM2989"/>
    <mergeCell ref="AO2988:AO2989"/>
    <mergeCell ref="AI2966:AI2967"/>
    <mergeCell ref="AM2996:AM2997"/>
    <mergeCell ref="AO2970:AO2971"/>
    <mergeCell ref="AO2976:AO2977"/>
    <mergeCell ref="AH2946:AH2947"/>
    <mergeCell ref="AD2954:AD2955"/>
    <mergeCell ref="AF2954:AF2955"/>
    <mergeCell ref="AI2946:AI2947"/>
    <mergeCell ref="AK2946:AK2947"/>
    <mergeCell ref="Y2936:Y2937"/>
    <mergeCell ref="E2992:E2993"/>
    <mergeCell ref="F2992:F2993"/>
    <mergeCell ref="J2992:J2993"/>
    <mergeCell ref="N2992:N2993"/>
    <mergeCell ref="Y2992:Y2993"/>
    <mergeCell ref="AA2992:AA2993"/>
    <mergeCell ref="AB2992:AB2993"/>
    <mergeCell ref="AC2992:AC2993"/>
    <mergeCell ref="AL2980:AL2981"/>
    <mergeCell ref="Y2980:Y2981"/>
    <mergeCell ref="AK2978:AK2979"/>
    <mergeCell ref="AP2992:AP2993"/>
    <mergeCell ref="AI2936:AI2937"/>
    <mergeCell ref="AK2940:AK2941"/>
    <mergeCell ref="AB3006:AB3007"/>
    <mergeCell ref="AC3006:AC3007"/>
    <mergeCell ref="AD3006:AD3007"/>
    <mergeCell ref="AD2936:AD2937"/>
    <mergeCell ref="AF2936:AF2937"/>
    <mergeCell ref="AI2964:AI2965"/>
    <mergeCell ref="AA2988:AA2989"/>
    <mergeCell ref="N2954:N2955"/>
    <mergeCell ref="Y2954:Y2955"/>
    <mergeCell ref="AA2954:AA2955"/>
    <mergeCell ref="AB2954:AB2955"/>
    <mergeCell ref="AC2954:AC2955"/>
    <mergeCell ref="AL2964:AL2965"/>
    <mergeCell ref="AO2962:AO2963"/>
    <mergeCell ref="AP2994:AP2995"/>
    <mergeCell ref="E2968:E2969"/>
    <mergeCell ref="F2968:F2969"/>
    <mergeCell ref="F2948:F2949"/>
    <mergeCell ref="F2940:F2941"/>
    <mergeCell ref="AH2936:AH2937"/>
    <mergeCell ref="AL2940:AL2941"/>
    <mergeCell ref="AB2976:AB2977"/>
    <mergeCell ref="AC2976:AC2977"/>
    <mergeCell ref="AD2976:AD2977"/>
    <mergeCell ref="AF2976:AF2977"/>
    <mergeCell ref="AI2962:AI2963"/>
    <mergeCell ref="AK2962:AK2963"/>
    <mergeCell ref="AK2992:AK2993"/>
    <mergeCell ref="AL2992:AL2993"/>
    <mergeCell ref="E2990:E2991"/>
    <mergeCell ref="E3000:E3001"/>
    <mergeCell ref="F3000:F3001"/>
    <mergeCell ref="J3000:J3001"/>
    <mergeCell ref="N3000:N3001"/>
    <mergeCell ref="AK2956:AK2957"/>
    <mergeCell ref="AL2968:AL2969"/>
    <mergeCell ref="AO2936:AO2937"/>
    <mergeCell ref="AL2956:AL2957"/>
    <mergeCell ref="AA2972:AA2973"/>
    <mergeCell ref="AB2972:AB2973"/>
    <mergeCell ref="AC2972:AC2973"/>
    <mergeCell ref="E2980:E2981"/>
    <mergeCell ref="Y2890:Y2891"/>
    <mergeCell ref="AA2890:AA2891"/>
    <mergeCell ref="AH2830:AH2831"/>
    <mergeCell ref="AI2830:AI2831"/>
    <mergeCell ref="AA2832:AA2833"/>
    <mergeCell ref="AB2832:AB2833"/>
    <mergeCell ref="AC2832:AC2833"/>
    <mergeCell ref="AD2832:AD2833"/>
    <mergeCell ref="AF2832:AF2833"/>
    <mergeCell ref="AG2832:AG2833"/>
    <mergeCell ref="AH2832:AH2833"/>
    <mergeCell ref="AI2832:AI2833"/>
    <mergeCell ref="E2836:E2837"/>
    <mergeCell ref="F2836:F2837"/>
    <mergeCell ref="J2836:J2837"/>
    <mergeCell ref="N2836:N2837"/>
    <mergeCell ref="Y2836:Y2837"/>
    <mergeCell ref="AA2836:AA2837"/>
    <mergeCell ref="AD2836:AD2837"/>
    <mergeCell ref="AF2836:AF2837"/>
    <mergeCell ref="AG2836:AG2837"/>
    <mergeCell ref="AH2836:AH2837"/>
    <mergeCell ref="AI2836:AI2837"/>
    <mergeCell ref="E2844:E2845"/>
    <mergeCell ref="F2844:F2845"/>
    <mergeCell ref="J2844:J2845"/>
    <mergeCell ref="N2844:N2845"/>
    <mergeCell ref="Y2844:Y2845"/>
    <mergeCell ref="AA2844:AA2845"/>
    <mergeCell ref="AB2844:AB2845"/>
    <mergeCell ref="AC2844:AC2845"/>
    <mergeCell ref="AD2844:AD2845"/>
    <mergeCell ref="AF2844:AF2845"/>
    <mergeCell ref="AG2844:AG2845"/>
    <mergeCell ref="AH2844:AH2845"/>
    <mergeCell ref="AI2844:AI2845"/>
    <mergeCell ref="E2890:E2891"/>
    <mergeCell ref="E2848:E2849"/>
    <mergeCell ref="F2848:F2849"/>
    <mergeCell ref="J2848:J2849"/>
    <mergeCell ref="N2848:N2849"/>
    <mergeCell ref="Y2848:Y2849"/>
    <mergeCell ref="AA2848:AA2849"/>
    <mergeCell ref="AB2848:AB2849"/>
    <mergeCell ref="AC2848:AC2849"/>
    <mergeCell ref="AD2848:AD2849"/>
    <mergeCell ref="AF2848:AF2849"/>
    <mergeCell ref="AG2848:AG2849"/>
    <mergeCell ref="AH2848:AH2849"/>
    <mergeCell ref="AI2848:AI2849"/>
    <mergeCell ref="AL2868:AL2869"/>
    <mergeCell ref="AL2886:AL2887"/>
    <mergeCell ref="AO2776:AO2777"/>
    <mergeCell ref="N2860:N2861"/>
    <mergeCell ref="E2862:E2863"/>
    <mergeCell ref="E2882:E2883"/>
    <mergeCell ref="F2882:F2883"/>
    <mergeCell ref="J2884:J2885"/>
    <mergeCell ref="N2884:N2885"/>
    <mergeCell ref="E2842:E2843"/>
    <mergeCell ref="F2842:F2843"/>
    <mergeCell ref="J2842:J2843"/>
    <mergeCell ref="N2842:N2843"/>
    <mergeCell ref="Y2842:Y2843"/>
    <mergeCell ref="AA2842:AA2843"/>
    <mergeCell ref="AB2842:AB2843"/>
    <mergeCell ref="AC2842:AC2843"/>
    <mergeCell ref="F2782:F2783"/>
    <mergeCell ref="AI2766:AI2767"/>
    <mergeCell ref="AK2766:AK2767"/>
    <mergeCell ref="E2786:E2787"/>
    <mergeCell ref="F2786:F2787"/>
    <mergeCell ref="J2786:J2787"/>
    <mergeCell ref="N2786:N2787"/>
    <mergeCell ref="Y2786:Y2787"/>
    <mergeCell ref="AA2786:AA2787"/>
    <mergeCell ref="AB2786:AB2787"/>
    <mergeCell ref="AC2786:AC2787"/>
    <mergeCell ref="AD2786:AD2787"/>
    <mergeCell ref="AF2786:AF2787"/>
    <mergeCell ref="AG2786:AG2787"/>
    <mergeCell ref="AH2786:AH2787"/>
    <mergeCell ref="AI2786:AI2787"/>
    <mergeCell ref="AJ2786:AJ2787"/>
    <mergeCell ref="AK2786:AK2787"/>
    <mergeCell ref="AL2786:AL2787"/>
    <mergeCell ref="AM2786:AM2787"/>
    <mergeCell ref="AO2786:AO2787"/>
    <mergeCell ref="E2766:E2767"/>
    <mergeCell ref="AC2788:AC2789"/>
    <mergeCell ref="AD2788:AD2789"/>
    <mergeCell ref="AO2768:AO2769"/>
    <mergeCell ref="E2772:E2773"/>
    <mergeCell ref="F2772:F2773"/>
    <mergeCell ref="J2772:J2773"/>
    <mergeCell ref="N2772:N2773"/>
    <mergeCell ref="Y2772:Y2773"/>
    <mergeCell ref="Y2780:Y2781"/>
    <mergeCell ref="AM2862:AM2863"/>
    <mergeCell ref="J2766:J2767"/>
    <mergeCell ref="F2824:F2825"/>
    <mergeCell ref="J2824:J2825"/>
    <mergeCell ref="E2870:E2871"/>
    <mergeCell ref="F2884:F2885"/>
    <mergeCell ref="F2830:F2831"/>
    <mergeCell ref="J2830:J2831"/>
    <mergeCell ref="Y2830:Y2831"/>
    <mergeCell ref="AA2830:AA2831"/>
    <mergeCell ref="AB2830:AB2831"/>
    <mergeCell ref="AC2830:AC2831"/>
    <mergeCell ref="AD2830:AD2831"/>
    <mergeCell ref="AG2884:AG2885"/>
    <mergeCell ref="AG2874:AG2875"/>
    <mergeCell ref="AH2874:AH2875"/>
    <mergeCell ref="AO2782:AO2783"/>
    <mergeCell ref="AD2774:AD2775"/>
    <mergeCell ref="AB2776:AB2777"/>
    <mergeCell ref="AC2776:AC2777"/>
    <mergeCell ref="AA2774:AA2775"/>
    <mergeCell ref="E2778:E2779"/>
    <mergeCell ref="AL2772:AL2773"/>
    <mergeCell ref="E2768:E2769"/>
    <mergeCell ref="F2768:F2769"/>
    <mergeCell ref="E2796:E2797"/>
    <mergeCell ref="E2429:E2430"/>
    <mergeCell ref="F2429:F2430"/>
    <mergeCell ref="J2429:J2430"/>
    <mergeCell ref="N2429:N2430"/>
    <mergeCell ref="Y2429:Y2430"/>
    <mergeCell ref="AA2429:AA2430"/>
    <mergeCell ref="AB2429:AB2430"/>
    <mergeCell ref="AC2429:AC2430"/>
    <mergeCell ref="AD2429:AD2430"/>
    <mergeCell ref="AF2429:AF2430"/>
    <mergeCell ref="AG2429:AG2430"/>
    <mergeCell ref="AH2429:AH2430"/>
    <mergeCell ref="F2467:F2468"/>
    <mergeCell ref="J2467:J2468"/>
    <mergeCell ref="N2467:N2468"/>
    <mergeCell ref="Y2467:Y2468"/>
    <mergeCell ref="J2459:J2460"/>
    <mergeCell ref="Y2463:Y2464"/>
    <mergeCell ref="Y2465:Y2466"/>
    <mergeCell ref="F2407:F2408"/>
    <mergeCell ref="J2413:J2414"/>
    <mergeCell ref="AC2457:AC2458"/>
    <mergeCell ref="AD2437:AD2438"/>
    <mergeCell ref="Y2407:Y2408"/>
    <mergeCell ref="AA2467:AA2468"/>
    <mergeCell ref="AB2467:AB2468"/>
    <mergeCell ref="AC2467:AC2468"/>
    <mergeCell ref="AD2467:AD2468"/>
    <mergeCell ref="Y2459:Y2460"/>
    <mergeCell ref="AA2459:AA2460"/>
    <mergeCell ref="AB2459:AB2460"/>
    <mergeCell ref="AC2459:AC2460"/>
    <mergeCell ref="AA2457:AA2458"/>
    <mergeCell ref="AB2457:AB2458"/>
    <mergeCell ref="AA2431:AA2432"/>
    <mergeCell ref="E2407:E2408"/>
    <mergeCell ref="AH2433:AH2434"/>
    <mergeCell ref="AI2433:AI2434"/>
    <mergeCell ref="AC2437:AC2438"/>
    <mergeCell ref="AG2431:AG2432"/>
    <mergeCell ref="AH2431:AH2432"/>
    <mergeCell ref="AC2427:AC2428"/>
    <mergeCell ref="AH2413:AH2414"/>
    <mergeCell ref="E2447:E2448"/>
    <mergeCell ref="F2447:F2448"/>
    <mergeCell ref="J2447:J2448"/>
    <mergeCell ref="N2447:N2448"/>
    <mergeCell ref="Y2447:Y2448"/>
    <mergeCell ref="AA2447:AA2448"/>
    <mergeCell ref="AB2447:AB2448"/>
    <mergeCell ref="AL2565:AL2566"/>
    <mergeCell ref="AB2690:AB2691"/>
    <mergeCell ref="AF2499:AF2500"/>
    <mergeCell ref="E2507:E2508"/>
    <mergeCell ref="AP2265:AP2266"/>
    <mergeCell ref="N2269:N2270"/>
    <mergeCell ref="Y2269:Y2270"/>
    <mergeCell ref="AA2269:AA2270"/>
    <mergeCell ref="E2271:E2272"/>
    <mergeCell ref="AO2257:AO2258"/>
    <mergeCell ref="AL2269:AL2270"/>
    <mergeCell ref="AM2269:AM2270"/>
    <mergeCell ref="AO2269:AO2270"/>
    <mergeCell ref="J2271:J2272"/>
    <mergeCell ref="N2271:N2272"/>
    <mergeCell ref="AC2269:AC2270"/>
    <mergeCell ref="AD2269:AD2270"/>
    <mergeCell ref="AF2269:AF2270"/>
    <mergeCell ref="AG2269:AG2270"/>
    <mergeCell ref="AH2269:AH2270"/>
    <mergeCell ref="AI2269:AI2270"/>
    <mergeCell ref="AJ2269:AJ2270"/>
    <mergeCell ref="AB2375:AB2376"/>
    <mergeCell ref="AC2375:AC2376"/>
    <mergeCell ref="AD2375:AD2376"/>
    <mergeCell ref="AF2375:AF2376"/>
    <mergeCell ref="AG2375:AG2376"/>
    <mergeCell ref="AH2375:AH2376"/>
    <mergeCell ref="AI2375:AI2376"/>
    <mergeCell ref="AJ2375:AJ2376"/>
    <mergeCell ref="E2363:E2364"/>
    <mergeCell ref="F2363:F2364"/>
    <mergeCell ref="J2363:J2364"/>
    <mergeCell ref="N2363:N2364"/>
    <mergeCell ref="Y2363:Y2364"/>
    <mergeCell ref="E2365:E2366"/>
    <mergeCell ref="F2365:F2366"/>
    <mergeCell ref="J2365:J2366"/>
    <mergeCell ref="N2365:N2366"/>
    <mergeCell ref="Y2365:Y2366"/>
    <mergeCell ref="AA2365:AA2366"/>
    <mergeCell ref="AB2365:AB2366"/>
    <mergeCell ref="AC2365:AC2366"/>
    <mergeCell ref="AD2365:AD2366"/>
    <mergeCell ref="AF2365:AF2366"/>
    <mergeCell ref="AG2365:AG2366"/>
    <mergeCell ref="AH2339:AH2340"/>
    <mergeCell ref="AI2339:AI2340"/>
    <mergeCell ref="AJ2339:AJ2340"/>
    <mergeCell ref="AK2339:AK2340"/>
    <mergeCell ref="AL2339:AL2340"/>
    <mergeCell ref="AM2339:AM2340"/>
    <mergeCell ref="AO2339:AO2340"/>
    <mergeCell ref="AG2361:AG2362"/>
    <mergeCell ref="AH2361:AH2362"/>
    <mergeCell ref="E2333:E2334"/>
    <mergeCell ref="AG2263:AG2264"/>
    <mergeCell ref="AH2263:AH2264"/>
    <mergeCell ref="AI2263:AI2264"/>
    <mergeCell ref="AJ2263:AJ2264"/>
    <mergeCell ref="AK2263:AK2264"/>
    <mergeCell ref="AL2263:AL2264"/>
    <mergeCell ref="AM2263:AM2264"/>
    <mergeCell ref="AO2263:AO2264"/>
    <mergeCell ref="AF2257:AF2258"/>
    <mergeCell ref="AG2257:AG2258"/>
    <mergeCell ref="AH2257:AH2258"/>
    <mergeCell ref="AI2257:AI2258"/>
    <mergeCell ref="AG1710:AG1711"/>
    <mergeCell ref="AH1710:AH1711"/>
    <mergeCell ref="AP2469:AP2470"/>
    <mergeCell ref="E2463:E2464"/>
    <mergeCell ref="AD2175:AD2176"/>
    <mergeCell ref="AD2139:AD2140"/>
    <mergeCell ref="N2159:N2160"/>
    <mergeCell ref="F2139:F2140"/>
    <mergeCell ref="F2165:F2166"/>
    <mergeCell ref="AG2171:AG2172"/>
    <mergeCell ref="AB2173:AB2174"/>
    <mergeCell ref="AF2153:AF2154"/>
    <mergeCell ref="AG2153:AG2154"/>
    <mergeCell ref="E2165:E2166"/>
    <mergeCell ref="E2247:E2248"/>
    <mergeCell ref="E2249:E2250"/>
    <mergeCell ref="E2243:E2244"/>
    <mergeCell ref="AJ2297:AJ2298"/>
    <mergeCell ref="AK2297:AK2298"/>
    <mergeCell ref="AL2297:AL2298"/>
    <mergeCell ref="AM2297:AM2298"/>
    <mergeCell ref="AO2297:AO2298"/>
    <mergeCell ref="AP2297:AP2298"/>
    <mergeCell ref="E2291:E2292"/>
    <mergeCell ref="F2291:F2292"/>
    <mergeCell ref="J2291:J2292"/>
    <mergeCell ref="N2291:N2292"/>
    <mergeCell ref="Y2291:Y2292"/>
    <mergeCell ref="AA2291:AA2292"/>
    <mergeCell ref="AA2295:AA2296"/>
    <mergeCell ref="AB2295:AB2296"/>
    <mergeCell ref="AC2295:AC2296"/>
    <mergeCell ref="AD2295:AD2296"/>
    <mergeCell ref="AF2295:AF2296"/>
    <mergeCell ref="AG2295:AG2296"/>
    <mergeCell ref="AH2295:AH2296"/>
    <mergeCell ref="AI2295:AI2296"/>
    <mergeCell ref="AJ2295:AJ2296"/>
    <mergeCell ref="AK2295:AK2296"/>
    <mergeCell ref="AL2295:AL2296"/>
    <mergeCell ref="AM2295:AM2296"/>
    <mergeCell ref="AO2295:AO2296"/>
    <mergeCell ref="AP2295:AP2296"/>
    <mergeCell ref="J2295:J2296"/>
    <mergeCell ref="N2295:N2296"/>
    <mergeCell ref="AL2271:AL2272"/>
    <mergeCell ref="AM2271:AM2272"/>
    <mergeCell ref="AO2271:AO2272"/>
    <mergeCell ref="AP2271:AP2272"/>
    <mergeCell ref="F2279:F2280"/>
    <mergeCell ref="J2279:J2280"/>
    <mergeCell ref="N2279:N2280"/>
    <mergeCell ref="Y2279:Y2280"/>
    <mergeCell ref="AA2279:AA2280"/>
    <mergeCell ref="AB2279:AB2280"/>
    <mergeCell ref="AC2279:AC2280"/>
    <mergeCell ref="AD2279:AD2280"/>
    <mergeCell ref="AO2157:AO2158"/>
    <mergeCell ref="J2263:J2264"/>
    <mergeCell ref="N2263:N2264"/>
    <mergeCell ref="Y2263:Y2264"/>
    <mergeCell ref="AA2263:AA2264"/>
    <mergeCell ref="AB2263:AB2264"/>
    <mergeCell ref="AC2263:AC2264"/>
    <mergeCell ref="AA1535:AA1536"/>
    <mergeCell ref="AB1535:AB1536"/>
    <mergeCell ref="AP1559:AP1560"/>
    <mergeCell ref="AB1555:AB1556"/>
    <mergeCell ref="AC1555:AC1556"/>
    <mergeCell ref="AD1555:AD1556"/>
    <mergeCell ref="AF1555:AF1556"/>
    <mergeCell ref="AP2022:AP2023"/>
    <mergeCell ref="AP2030:AP2031"/>
    <mergeCell ref="AM2034:AM2035"/>
    <mergeCell ref="AP2034:AP2035"/>
    <mergeCell ref="AP2036:AP2037"/>
    <mergeCell ref="AP2038:AP2039"/>
    <mergeCell ref="AB1939:AB1940"/>
    <mergeCell ref="AC1939:AC1940"/>
    <mergeCell ref="AG1969:AG1970"/>
    <mergeCell ref="Y1945:Y1946"/>
    <mergeCell ref="AA1945:AA1946"/>
    <mergeCell ref="AB1945:AB1946"/>
    <mergeCell ref="AJ2153:AJ2154"/>
    <mergeCell ref="AK2153:AK2154"/>
    <mergeCell ref="AL2153:AL2154"/>
    <mergeCell ref="AP1710:AP1711"/>
    <mergeCell ref="AB2139:AB2140"/>
    <mergeCell ref="AC2139:AC2140"/>
    <mergeCell ref="AI2131:AI2132"/>
    <mergeCell ref="AG2060:AG2061"/>
    <mergeCell ref="AH2060:AH2061"/>
    <mergeCell ref="AI2060:AI2061"/>
    <mergeCell ref="AB2131:AB2132"/>
    <mergeCell ref="AC2131:AC2132"/>
    <mergeCell ref="AP1706:AP1707"/>
    <mergeCell ref="AB1710:AB1711"/>
    <mergeCell ref="AC1710:AC1711"/>
    <mergeCell ref="AL1694:AL1695"/>
    <mergeCell ref="AJ1694:AJ1695"/>
    <mergeCell ref="AJ1698:AJ1699"/>
    <mergeCell ref="AJ1720:AJ1721"/>
    <mergeCell ref="AJ1744:AJ1745"/>
    <mergeCell ref="AM1658:AM1659"/>
    <mergeCell ref="Y1670:Y1671"/>
    <mergeCell ref="AA1670:AA1671"/>
    <mergeCell ref="AB1670:AB1671"/>
    <mergeCell ref="AK1668:AK1669"/>
    <mergeCell ref="AK1680:AK1681"/>
    <mergeCell ref="AL1668:AL1669"/>
    <mergeCell ref="AK1708:AK1709"/>
    <mergeCell ref="AK1712:AK1713"/>
    <mergeCell ref="AK1692:AK1693"/>
    <mergeCell ref="AL1718:AL1719"/>
    <mergeCell ref="AD1688:AD1689"/>
    <mergeCell ref="AF1688:AF1689"/>
    <mergeCell ref="AA1720:AA1721"/>
    <mergeCell ref="AB1720:AB1721"/>
    <mergeCell ref="AC1720:AC1721"/>
    <mergeCell ref="AD1720:AD1721"/>
    <mergeCell ref="AF1720:AF1721"/>
    <mergeCell ref="AB1708:AB1709"/>
    <mergeCell ref="AC1708:AC1709"/>
    <mergeCell ref="AD1708:AD1709"/>
    <mergeCell ref="AG1720:AG1721"/>
    <mergeCell ref="AH1720:AH1721"/>
    <mergeCell ref="AD1710:AD1711"/>
    <mergeCell ref="AF1710:AF1711"/>
    <mergeCell ref="E1327:E1328"/>
    <mergeCell ref="F1327:F1328"/>
    <mergeCell ref="AP1551:AP1552"/>
    <mergeCell ref="AP1555:AP1556"/>
    <mergeCell ref="AP1557:AP1558"/>
    <mergeCell ref="AO1486:AO1487"/>
    <mergeCell ref="AJ1498:AJ1499"/>
    <mergeCell ref="AK1498:AK1499"/>
    <mergeCell ref="AL1498:AL1499"/>
    <mergeCell ref="AM1498:AM1499"/>
    <mergeCell ref="AO1498:AO1499"/>
    <mergeCell ref="F1488:F1489"/>
    <mergeCell ref="J1488:J1489"/>
    <mergeCell ref="N1488:N1489"/>
    <mergeCell ref="Y1488:Y1489"/>
    <mergeCell ref="AP1490:AP1491"/>
    <mergeCell ref="AM1539:AM1540"/>
    <mergeCell ref="AP1539:AP1540"/>
    <mergeCell ref="AM1541:AM1542"/>
    <mergeCell ref="J1555:J1556"/>
    <mergeCell ref="AK1543:AK1544"/>
    <mergeCell ref="AJ1537:AJ1538"/>
    <mergeCell ref="AL1537:AL1538"/>
    <mergeCell ref="AI1504:AI1505"/>
    <mergeCell ref="AJ1504:AJ1505"/>
    <mergeCell ref="AA1490:AA1491"/>
    <mergeCell ref="AB1490:AB1491"/>
    <mergeCell ref="AC1490:AC1491"/>
    <mergeCell ref="AD1490:AD1491"/>
    <mergeCell ref="AF1490:AF1491"/>
    <mergeCell ref="AG1490:AG1491"/>
    <mergeCell ref="AH1490:AH1491"/>
    <mergeCell ref="AI1490:AI1491"/>
    <mergeCell ref="AP1541:AP1542"/>
    <mergeCell ref="AM1543:AM1544"/>
    <mergeCell ref="AP1543:AP1544"/>
    <mergeCell ref="AM1549:AM1550"/>
    <mergeCell ref="AM1553:AM1554"/>
    <mergeCell ref="AK1555:AK1556"/>
    <mergeCell ref="Y1549:Y1550"/>
    <mergeCell ref="AA1549:AA1550"/>
    <mergeCell ref="F1510:F1511"/>
    <mergeCell ref="J1510:J1511"/>
    <mergeCell ref="N1510:N1511"/>
    <mergeCell ref="Y1510:Y1511"/>
    <mergeCell ref="AA1510:AA1511"/>
    <mergeCell ref="AO1492:AO1493"/>
    <mergeCell ref="AC1498:AC1499"/>
    <mergeCell ref="AD1498:AD1499"/>
    <mergeCell ref="AF1498:AF1499"/>
    <mergeCell ref="AG1498:AG1499"/>
    <mergeCell ref="AH1498:AH1499"/>
    <mergeCell ref="AI1498:AI1499"/>
    <mergeCell ref="Y1496:Y1497"/>
    <mergeCell ref="AA1496:AA1497"/>
    <mergeCell ref="AF1504:AF1505"/>
    <mergeCell ref="AG1504:AG1505"/>
    <mergeCell ref="AH1504:AH1505"/>
    <mergeCell ref="AB1549:AB1550"/>
    <mergeCell ref="AD1533:AD1534"/>
    <mergeCell ref="AD1541:AD1542"/>
    <mergeCell ref="J1537:J1538"/>
    <mergeCell ref="N1537:N1538"/>
    <mergeCell ref="Y1535:Y1536"/>
    <mergeCell ref="E1380:E1381"/>
    <mergeCell ref="E1376:E1377"/>
    <mergeCell ref="E1370:E1371"/>
    <mergeCell ref="AA1374:AA1375"/>
    <mergeCell ref="J1378:J1379"/>
    <mergeCell ref="E1190:E1191"/>
    <mergeCell ref="F1190:F1191"/>
    <mergeCell ref="AF1450:AF1451"/>
    <mergeCell ref="AB1456:AB1457"/>
    <mergeCell ref="AC1456:AC1457"/>
    <mergeCell ref="AA1426:AA1427"/>
    <mergeCell ref="AA1404:AA1405"/>
    <mergeCell ref="AB1404:AB1405"/>
    <mergeCell ref="AC1404:AC1405"/>
    <mergeCell ref="AI1468:AI1469"/>
    <mergeCell ref="AO1470:AO1471"/>
    <mergeCell ref="AD1454:AD1455"/>
    <mergeCell ref="Y1454:Y1455"/>
    <mergeCell ref="E1392:E1393"/>
    <mergeCell ref="F1392:F1393"/>
    <mergeCell ref="J1392:J1393"/>
    <mergeCell ref="N1392:N1393"/>
    <mergeCell ref="N1472:N1473"/>
    <mergeCell ref="E1456:E1457"/>
    <mergeCell ref="F1456:F1457"/>
    <mergeCell ref="J1456:J1457"/>
    <mergeCell ref="AI1452:AI1453"/>
    <mergeCell ref="AA1468:AA1469"/>
    <mergeCell ref="AB1468:AB1469"/>
    <mergeCell ref="AC1468:AC1469"/>
    <mergeCell ref="AD1468:AD1469"/>
    <mergeCell ref="AF1468:AF1469"/>
    <mergeCell ref="AI1416:AI1417"/>
    <mergeCell ref="E1418:E1419"/>
    <mergeCell ref="F1418:F1419"/>
    <mergeCell ref="J1418:J1419"/>
    <mergeCell ref="N1418:N1419"/>
    <mergeCell ref="Y1418:Y1419"/>
    <mergeCell ref="AA1418:AA1419"/>
    <mergeCell ref="AB1418:AB1419"/>
    <mergeCell ref="AC1418:AC1419"/>
    <mergeCell ref="AD1418:AD1419"/>
    <mergeCell ref="N1426:N1427"/>
    <mergeCell ref="Y1452:Y1453"/>
    <mergeCell ref="AB1392:AB1393"/>
    <mergeCell ref="J1404:J1405"/>
    <mergeCell ref="AJ1418:AJ1419"/>
    <mergeCell ref="AK1418:AK1419"/>
    <mergeCell ref="AL1418:AL1419"/>
    <mergeCell ref="AM1418:AM1419"/>
    <mergeCell ref="AO1418:AO1419"/>
    <mergeCell ref="AL1456:AL1457"/>
    <mergeCell ref="AJ1456:AJ1457"/>
    <mergeCell ref="E1472:E1473"/>
    <mergeCell ref="AD1458:AD1459"/>
    <mergeCell ref="AF1458:AF1459"/>
    <mergeCell ref="AG1458:AG1459"/>
    <mergeCell ref="E1468:E1469"/>
    <mergeCell ref="J1458:J1459"/>
    <mergeCell ref="AD1462:AD1463"/>
    <mergeCell ref="Y1392:Y1393"/>
    <mergeCell ref="F1464:F1465"/>
    <mergeCell ref="J1464:J1465"/>
    <mergeCell ref="AK1402:AK1403"/>
    <mergeCell ref="Y1376:Y1377"/>
    <mergeCell ref="AB1368:AB1369"/>
    <mergeCell ref="F1372:F1373"/>
    <mergeCell ref="AB1370:AB1371"/>
    <mergeCell ref="AC1370:AC1371"/>
    <mergeCell ref="AD1370:AD1371"/>
    <mergeCell ref="AF1370:AF1371"/>
    <mergeCell ref="E1351:E1352"/>
    <mergeCell ref="F1351:F1352"/>
    <mergeCell ref="J1351:J1352"/>
    <mergeCell ref="N1351:N1352"/>
    <mergeCell ref="Y1351:Y1352"/>
    <mergeCell ref="AA1351:AA1352"/>
    <mergeCell ref="E1357:E1358"/>
    <mergeCell ref="F1357:F1358"/>
    <mergeCell ref="J1357:J1358"/>
    <mergeCell ref="N1357:N1358"/>
    <mergeCell ref="Y1357:Y1358"/>
    <mergeCell ref="AA1357:AA1358"/>
    <mergeCell ref="AB1357:AB1358"/>
    <mergeCell ref="AC1357:AC1358"/>
    <mergeCell ref="AD1357:AD1358"/>
    <mergeCell ref="AF1357:AF1358"/>
    <mergeCell ref="AG1357:AG1358"/>
    <mergeCell ref="AH1357:AH1358"/>
    <mergeCell ref="AI1357:AI1358"/>
    <mergeCell ref="E1359:E1360"/>
    <mergeCell ref="F1359:F1360"/>
    <mergeCell ref="J1359:J1360"/>
    <mergeCell ref="N1359:N1360"/>
    <mergeCell ref="Y1359:Y1360"/>
    <mergeCell ref="AA1359:AA1360"/>
    <mergeCell ref="AB1359:AB1360"/>
    <mergeCell ref="AC1359:AC1360"/>
    <mergeCell ref="AD1359:AD1360"/>
    <mergeCell ref="AF1359:AF1360"/>
    <mergeCell ref="N1368:N1369"/>
    <mergeCell ref="AP1146:AP1147"/>
    <mergeCell ref="E1148:E1149"/>
    <mergeCell ref="F1148:F1149"/>
    <mergeCell ref="J1148:J1149"/>
    <mergeCell ref="N1148:N1149"/>
    <mergeCell ref="Y1148:Y1149"/>
    <mergeCell ref="AA1148:AA1149"/>
    <mergeCell ref="AB1148:AB1149"/>
    <mergeCell ref="AC1148:AC1149"/>
    <mergeCell ref="AD1148:AD1149"/>
    <mergeCell ref="AF1148:AF1149"/>
    <mergeCell ref="AG1148:AG1149"/>
    <mergeCell ref="AH1148:AH1149"/>
    <mergeCell ref="AI1148:AI1149"/>
    <mergeCell ref="AJ1148:AJ1149"/>
    <mergeCell ref="AK1148:AK1149"/>
    <mergeCell ref="AL1148:AL1149"/>
    <mergeCell ref="AM1148:AM1149"/>
    <mergeCell ref="AO1148:AO1149"/>
    <mergeCell ref="AP1148:AP1149"/>
    <mergeCell ref="N1138:N1139"/>
    <mergeCell ref="Y1138:Y1139"/>
    <mergeCell ref="AA1138:AA1139"/>
    <mergeCell ref="AB1138:AB1139"/>
    <mergeCell ref="AC1138:AC1139"/>
    <mergeCell ref="AD1138:AD1139"/>
    <mergeCell ref="AF1138:AF1139"/>
    <mergeCell ref="AG1138:AG1139"/>
    <mergeCell ref="AH1138:AH1139"/>
    <mergeCell ref="AI1138:AI1139"/>
    <mergeCell ref="E1140:E1141"/>
    <mergeCell ref="F1140:F1141"/>
    <mergeCell ref="J1140:J1141"/>
    <mergeCell ref="AK1138:AK1139"/>
    <mergeCell ref="AL1138:AL1139"/>
    <mergeCell ref="AM1138:AM1139"/>
    <mergeCell ref="AH1140:AH1141"/>
    <mergeCell ref="AK1144:AK1145"/>
    <mergeCell ref="AL1144:AL1145"/>
    <mergeCell ref="AC1142:AC1143"/>
    <mergeCell ref="AD1142:AD1143"/>
    <mergeCell ref="AF1142:AF1143"/>
    <mergeCell ref="AG1142:AG1143"/>
    <mergeCell ref="AH1142:AH1143"/>
    <mergeCell ref="AI1142:AI1143"/>
    <mergeCell ref="E1144:E1145"/>
    <mergeCell ref="F1144:F1145"/>
    <mergeCell ref="J1144:J1145"/>
    <mergeCell ref="N1144:N1145"/>
    <mergeCell ref="N1142:N1143"/>
    <mergeCell ref="E1142:E1143"/>
    <mergeCell ref="F1138:F1139"/>
    <mergeCell ref="J1138:J1139"/>
    <mergeCell ref="AD1140:AD1141"/>
    <mergeCell ref="E1138:E1139"/>
    <mergeCell ref="AG1146:AG1147"/>
    <mergeCell ref="AH1146:AH1147"/>
    <mergeCell ref="AI1146:AI1147"/>
    <mergeCell ref="J1146:J1147"/>
    <mergeCell ref="N1146:N1147"/>
    <mergeCell ref="Y1146:Y1147"/>
    <mergeCell ref="AA1146:AA1147"/>
    <mergeCell ref="AB1146:AB1147"/>
    <mergeCell ref="AC1146:AC1147"/>
    <mergeCell ref="AO949:AO950"/>
    <mergeCell ref="AP949:AP950"/>
    <mergeCell ref="AO945:AO946"/>
    <mergeCell ref="AP945:AP946"/>
    <mergeCell ref="E961:E962"/>
    <mergeCell ref="E949:E950"/>
    <mergeCell ref="E987:E988"/>
    <mergeCell ref="F987:F988"/>
    <mergeCell ref="J987:J988"/>
    <mergeCell ref="N987:N988"/>
    <mergeCell ref="Y987:Y988"/>
    <mergeCell ref="AA987:AA988"/>
    <mergeCell ref="AB987:AB988"/>
    <mergeCell ref="AC987:AC988"/>
    <mergeCell ref="AD987:AD988"/>
    <mergeCell ref="AM831:AM832"/>
    <mergeCell ref="AO831:AO832"/>
    <mergeCell ref="AM823:AM824"/>
    <mergeCell ref="F963:F964"/>
    <mergeCell ref="J963:J964"/>
    <mergeCell ref="N963:N964"/>
    <mergeCell ref="AK857:AK858"/>
    <mergeCell ref="AL857:AL858"/>
    <mergeCell ref="AM857:AM858"/>
    <mergeCell ref="AA863:AA864"/>
    <mergeCell ref="E859:E860"/>
    <mergeCell ref="F859:F860"/>
    <mergeCell ref="J859:J860"/>
    <mergeCell ref="N859:N860"/>
    <mergeCell ref="Y859:Y860"/>
    <mergeCell ref="AA859:AA860"/>
    <mergeCell ref="AJ888:AJ889"/>
    <mergeCell ref="AK888:AK889"/>
    <mergeCell ref="AK963:AK964"/>
    <mergeCell ref="AL963:AL964"/>
    <mergeCell ref="AD896:AD897"/>
    <mergeCell ref="AF896:AF897"/>
    <mergeCell ref="J831:J832"/>
    <mergeCell ref="Y888:Y889"/>
    <mergeCell ref="J890:J891"/>
    <mergeCell ref="N890:N891"/>
    <mergeCell ref="Y890:Y891"/>
    <mergeCell ref="J892:J893"/>
    <mergeCell ref="N892:N893"/>
    <mergeCell ref="Y892:Y893"/>
    <mergeCell ref="AK945:AK946"/>
    <mergeCell ref="AL945:AL946"/>
    <mergeCell ref="AJ957:AJ958"/>
    <mergeCell ref="AJ959:AJ960"/>
    <mergeCell ref="AB839:AB840"/>
    <mergeCell ref="AC839:AC840"/>
    <mergeCell ref="AM863:AM864"/>
    <mergeCell ref="AP863:AP864"/>
    <mergeCell ref="AL825:AL826"/>
    <mergeCell ref="AM825:AM826"/>
    <mergeCell ref="AO825:AO826"/>
    <mergeCell ref="AP825:AP826"/>
    <mergeCell ref="AD841:AD842"/>
    <mergeCell ref="AF841:AF842"/>
    <mergeCell ref="AG841:AG842"/>
    <mergeCell ref="AH841:AH842"/>
    <mergeCell ref="AI841:AI842"/>
    <mergeCell ref="AJ841:AJ842"/>
    <mergeCell ref="AK841:AK842"/>
    <mergeCell ref="AO805:AO806"/>
    <mergeCell ref="AO823:AO824"/>
    <mergeCell ref="AJ831:AJ832"/>
    <mergeCell ref="AP823:AP824"/>
    <mergeCell ref="AP795:AP796"/>
    <mergeCell ref="AP803:AP804"/>
    <mergeCell ref="AP805:AP806"/>
    <mergeCell ref="AP807:AP808"/>
    <mergeCell ref="AP809:AP810"/>
    <mergeCell ref="AH813:AH814"/>
    <mergeCell ref="AM959:AM960"/>
    <mergeCell ref="AL910:AL911"/>
    <mergeCell ref="AM910:AM911"/>
    <mergeCell ref="AH890:AH891"/>
    <mergeCell ref="AH920:AH921"/>
    <mergeCell ref="AI920:AI921"/>
    <mergeCell ref="AJ920:AJ921"/>
    <mergeCell ref="AK920:AK921"/>
    <mergeCell ref="AL920:AL921"/>
    <mergeCell ref="AM920:AM921"/>
    <mergeCell ref="AH839:AH840"/>
    <mergeCell ref="AI839:AI840"/>
    <mergeCell ref="AJ839:AJ840"/>
    <mergeCell ref="AK839:AK840"/>
    <mergeCell ref="E797:E798"/>
    <mergeCell ref="AD817:AD818"/>
    <mergeCell ref="AF817:AF818"/>
    <mergeCell ref="N797:N798"/>
    <mergeCell ref="Y797:Y798"/>
    <mergeCell ref="AA797:AA798"/>
    <mergeCell ref="AB797:AB798"/>
    <mergeCell ref="E807:E808"/>
    <mergeCell ref="F807:F808"/>
    <mergeCell ref="J807:J808"/>
    <mergeCell ref="AA813:AA814"/>
    <mergeCell ref="AP827:AP828"/>
    <mergeCell ref="AG829:AG830"/>
    <mergeCell ref="AP797:AP798"/>
    <mergeCell ref="AP890:AP891"/>
    <mergeCell ref="E902:E903"/>
    <mergeCell ref="F902:F903"/>
    <mergeCell ref="N902:N903"/>
    <mergeCell ref="J908:J909"/>
    <mergeCell ref="AF908:AF909"/>
    <mergeCell ref="AG908:AG909"/>
    <mergeCell ref="J951:J952"/>
    <mergeCell ref="N951:N952"/>
    <mergeCell ref="Y951:Y952"/>
    <mergeCell ref="AA951:AA952"/>
    <mergeCell ref="AP886:AP887"/>
    <mergeCell ref="AL888:AL889"/>
    <mergeCell ref="AM888:AM889"/>
    <mergeCell ref="AO888:AO889"/>
    <mergeCell ref="AD839:AD840"/>
    <mergeCell ref="AK886:AK887"/>
    <mergeCell ref="AL886:AL887"/>
    <mergeCell ref="AM886:AM887"/>
    <mergeCell ref="AO886:AO887"/>
    <mergeCell ref="AH805:AH806"/>
    <mergeCell ref="AL831:AL832"/>
    <mergeCell ref="AF839:AF840"/>
    <mergeCell ref="AG839:AG840"/>
    <mergeCell ref="F823:F824"/>
    <mergeCell ref="AJ857:AJ858"/>
    <mergeCell ref="N823:N824"/>
    <mergeCell ref="AA823:AA824"/>
    <mergeCell ref="AB823:AB824"/>
    <mergeCell ref="AC823:AC824"/>
    <mergeCell ref="AC827:AC828"/>
    <mergeCell ref="AD827:AD828"/>
    <mergeCell ref="AF827:AF828"/>
    <mergeCell ref="AG827:AG828"/>
    <mergeCell ref="AH827:AH828"/>
    <mergeCell ref="AI827:AI828"/>
    <mergeCell ref="AJ827:AJ828"/>
    <mergeCell ref="AK827:AK828"/>
    <mergeCell ref="AL827:AL828"/>
    <mergeCell ref="AJ821:AJ822"/>
    <mergeCell ref="AK821:AK822"/>
    <mergeCell ref="AL821:AL822"/>
    <mergeCell ref="J815:J816"/>
    <mergeCell ref="N815:N816"/>
    <mergeCell ref="Y815:Y816"/>
    <mergeCell ref="AG823:AG824"/>
    <mergeCell ref="AH823:AH824"/>
    <mergeCell ref="E827:E828"/>
    <mergeCell ref="F827:F828"/>
    <mergeCell ref="J827:J828"/>
    <mergeCell ref="E821:E822"/>
    <mergeCell ref="F821:F822"/>
    <mergeCell ref="J821:J822"/>
    <mergeCell ref="N827:N828"/>
    <mergeCell ref="AI793:AI794"/>
    <mergeCell ref="AH815:AH816"/>
    <mergeCell ref="AI815:AI816"/>
    <mergeCell ref="AK815:AK816"/>
    <mergeCell ref="AL815:AL816"/>
    <mergeCell ref="AL823:AL824"/>
    <mergeCell ref="AG817:AG818"/>
    <mergeCell ref="AH817:AH818"/>
    <mergeCell ref="AJ823:AJ824"/>
    <mergeCell ref="AI823:AI824"/>
    <mergeCell ref="AL813:AL814"/>
    <mergeCell ref="AK823:AK824"/>
    <mergeCell ref="AI805:AI806"/>
    <mergeCell ref="AJ793:AJ794"/>
    <mergeCell ref="AK807:AK808"/>
    <mergeCell ref="AK813:AK814"/>
    <mergeCell ref="Y805:Y806"/>
    <mergeCell ref="J797:J798"/>
    <mergeCell ref="J803:J804"/>
    <mergeCell ref="AH793:AH794"/>
    <mergeCell ref="AA801:AA802"/>
    <mergeCell ref="AD811:AD812"/>
    <mergeCell ref="AF811:AF812"/>
    <mergeCell ref="AF809:AF810"/>
    <mergeCell ref="AG809:AG810"/>
    <mergeCell ref="AH809:AH810"/>
    <mergeCell ref="F819:F820"/>
    <mergeCell ref="AH797:AH798"/>
    <mergeCell ref="AI797:AI798"/>
    <mergeCell ref="AJ797:AJ798"/>
    <mergeCell ref="AK797:AK798"/>
    <mergeCell ref="AP785:AP786"/>
    <mergeCell ref="AC787:AC788"/>
    <mergeCell ref="AD787:AD788"/>
    <mergeCell ref="AF787:AF788"/>
    <mergeCell ref="AG787:AG788"/>
    <mergeCell ref="AH787:AH788"/>
    <mergeCell ref="AK787:AK788"/>
    <mergeCell ref="AM787:AM788"/>
    <mergeCell ref="AO787:AO788"/>
    <mergeCell ref="AB783:AB784"/>
    <mergeCell ref="AC783:AC784"/>
    <mergeCell ref="AI787:AI788"/>
    <mergeCell ref="AC797:AC798"/>
    <mergeCell ref="AD797:AD798"/>
    <mergeCell ref="AF797:AF798"/>
    <mergeCell ref="AG797:AG798"/>
    <mergeCell ref="AP799:AP800"/>
    <mergeCell ref="AO745:AO746"/>
    <mergeCell ref="AG773:AG774"/>
    <mergeCell ref="AH773:AH774"/>
    <mergeCell ref="AI773:AI774"/>
    <mergeCell ref="AK773:AK774"/>
    <mergeCell ref="AA773:AA774"/>
    <mergeCell ref="AB773:AB774"/>
    <mergeCell ref="AC773:AC774"/>
    <mergeCell ref="AO743:AO744"/>
    <mergeCell ref="Y761:Y762"/>
    <mergeCell ref="AA761:AA762"/>
    <mergeCell ref="AB761:AB762"/>
    <mergeCell ref="AC761:AC762"/>
    <mergeCell ref="AD761:AD762"/>
    <mergeCell ref="AF761:AF762"/>
    <mergeCell ref="AG761:AG762"/>
    <mergeCell ref="AH761:AH762"/>
    <mergeCell ref="AI761:AI762"/>
    <mergeCell ref="AJ761:AJ762"/>
    <mergeCell ref="AK761:AK762"/>
    <mergeCell ref="AL761:AL762"/>
    <mergeCell ref="AM761:AM762"/>
    <mergeCell ref="AO761:AO762"/>
    <mergeCell ref="AP761:AP762"/>
    <mergeCell ref="AP747:AP748"/>
    <mergeCell ref="AM749:AM750"/>
    <mergeCell ref="AJ753:AJ754"/>
    <mergeCell ref="AF763:AF764"/>
    <mergeCell ref="AG763:AG764"/>
    <mergeCell ref="AH763:AH764"/>
    <mergeCell ref="AB781:AB782"/>
    <mergeCell ref="AP749:AP750"/>
    <mergeCell ref="AM747:AM748"/>
    <mergeCell ref="AK753:AK754"/>
    <mergeCell ref="AL773:AL774"/>
    <mergeCell ref="AK757:AK758"/>
    <mergeCell ref="AP757:AP758"/>
    <mergeCell ref="AJ757:AJ758"/>
    <mergeCell ref="AC763:AC764"/>
    <mergeCell ref="AC751:AC752"/>
    <mergeCell ref="AD751:AD752"/>
    <mergeCell ref="AF751:AF752"/>
    <mergeCell ref="Y743:Y744"/>
    <mergeCell ref="AI745:AI746"/>
    <mergeCell ref="AO753:AO754"/>
    <mergeCell ref="AM769:AM770"/>
    <mergeCell ref="Y793:Y794"/>
    <mergeCell ref="E522:E523"/>
    <mergeCell ref="F522:F523"/>
    <mergeCell ref="J522:J523"/>
    <mergeCell ref="N522:N523"/>
    <mergeCell ref="Y522:Y523"/>
    <mergeCell ref="AA522:AA523"/>
    <mergeCell ref="AB522:AB523"/>
    <mergeCell ref="AC522:AC523"/>
    <mergeCell ref="AD522:AD523"/>
    <mergeCell ref="AF522:AF523"/>
    <mergeCell ref="AG522:AG523"/>
    <mergeCell ref="AH522:AH523"/>
    <mergeCell ref="AI522:AI523"/>
    <mergeCell ref="AJ522:AJ523"/>
    <mergeCell ref="AK522:AK523"/>
    <mergeCell ref="E585:E586"/>
    <mergeCell ref="F537:F538"/>
    <mergeCell ref="J537:J538"/>
    <mergeCell ref="N537:N538"/>
    <mergeCell ref="Y537:Y538"/>
    <mergeCell ref="AA537:AA538"/>
    <mergeCell ref="E579:E580"/>
    <mergeCell ref="Y597:Y598"/>
    <mergeCell ref="Y601:Y602"/>
    <mergeCell ref="AA601:AA602"/>
    <mergeCell ref="AC561:AC562"/>
    <mergeCell ref="AC563:AC564"/>
    <mergeCell ref="AF571:AF572"/>
    <mergeCell ref="AG605:AG606"/>
    <mergeCell ref="F545:F546"/>
    <mergeCell ref="AB543:AB544"/>
    <mergeCell ref="AC543:AC544"/>
    <mergeCell ref="AD543:AD544"/>
    <mergeCell ref="AF543:AF544"/>
    <mergeCell ref="F551:F552"/>
    <mergeCell ref="AB555:AB556"/>
    <mergeCell ref="AC555:AC556"/>
    <mergeCell ref="AD555:AD556"/>
    <mergeCell ref="E541:E542"/>
    <mergeCell ref="AC589:AC590"/>
    <mergeCell ref="AB595:AB596"/>
    <mergeCell ref="AB601:AB602"/>
    <mergeCell ref="AK557:AK558"/>
    <mergeCell ref="AA567:AA568"/>
    <mergeCell ref="AI567:AI568"/>
    <mergeCell ref="AK565:AK566"/>
    <mergeCell ref="AK563:AK564"/>
    <mergeCell ref="AA557:AA558"/>
    <mergeCell ref="AB557:AB558"/>
    <mergeCell ref="AD557:AD558"/>
    <mergeCell ref="AF557:AF558"/>
    <mergeCell ref="AG557:AG558"/>
    <mergeCell ref="E563:E564"/>
    <mergeCell ref="E599:E600"/>
    <mergeCell ref="E300:E301"/>
    <mergeCell ref="F300:F301"/>
    <mergeCell ref="J300:J301"/>
    <mergeCell ref="N300:N301"/>
    <mergeCell ref="Y300:Y301"/>
    <mergeCell ref="AA300:AA301"/>
    <mergeCell ref="AB300:AB301"/>
    <mergeCell ref="AC300:AC301"/>
    <mergeCell ref="AD300:AD301"/>
    <mergeCell ref="AF300:AF301"/>
    <mergeCell ref="AG300:AG301"/>
    <mergeCell ref="N158:N159"/>
    <mergeCell ref="E218:E219"/>
    <mergeCell ref="F218:F219"/>
    <mergeCell ref="J218:J219"/>
    <mergeCell ref="Y218:Y219"/>
    <mergeCell ref="N218:N219"/>
    <mergeCell ref="J268:J269"/>
    <mergeCell ref="Y158:Y159"/>
    <mergeCell ref="AA158:AA159"/>
    <mergeCell ref="N258:N259"/>
    <mergeCell ref="F256:F257"/>
    <mergeCell ref="J256:J257"/>
    <mergeCell ref="N256:N257"/>
    <mergeCell ref="AF276:AF277"/>
    <mergeCell ref="AH300:AH301"/>
    <mergeCell ref="AI300:AI301"/>
    <mergeCell ref="E254:E255"/>
    <mergeCell ref="E242:E243"/>
    <mergeCell ref="Y252:Y253"/>
    <mergeCell ref="N268:N269"/>
    <mergeCell ref="AD224:AD225"/>
    <mergeCell ref="AF224:AF225"/>
    <mergeCell ref="AF264:AF265"/>
    <mergeCell ref="AC270:AC271"/>
    <mergeCell ref="AA294:AA295"/>
    <mergeCell ref="N296:N297"/>
    <mergeCell ref="Y296:Y297"/>
    <mergeCell ref="AC216:AC217"/>
    <mergeCell ref="AD216:AD217"/>
    <mergeCell ref="J228:J229"/>
    <mergeCell ref="AB156:AB157"/>
    <mergeCell ref="AF150:AF151"/>
    <mergeCell ref="AL150:AL151"/>
    <mergeCell ref="AG154:AG155"/>
    <mergeCell ref="AH154:AH155"/>
    <mergeCell ref="AI154:AI155"/>
    <mergeCell ref="AP136:AP137"/>
    <mergeCell ref="J206:J207"/>
    <mergeCell ref="N206:N207"/>
    <mergeCell ref="J202:J203"/>
    <mergeCell ref="AD202:AD203"/>
    <mergeCell ref="AF202:AF203"/>
    <mergeCell ref="AC200:AC201"/>
    <mergeCell ref="AP138:AP139"/>
    <mergeCell ref="AM140:AM141"/>
    <mergeCell ref="AP140:AP141"/>
    <mergeCell ref="AM142:AM143"/>
    <mergeCell ref="AP142:AP143"/>
    <mergeCell ref="AD144:AD145"/>
    <mergeCell ref="AF144:AF145"/>
    <mergeCell ref="AA126:AA127"/>
    <mergeCell ref="AB126:AB127"/>
    <mergeCell ref="AC126:AC127"/>
    <mergeCell ref="AC152:AC153"/>
    <mergeCell ref="AF132:AF133"/>
    <mergeCell ref="AD198:AD199"/>
    <mergeCell ref="AF198:AF199"/>
    <mergeCell ref="AG198:AG199"/>
    <mergeCell ref="AH198:AH199"/>
    <mergeCell ref="AO202:AO203"/>
    <mergeCell ref="AK132:AK133"/>
    <mergeCell ref="AF192:AF193"/>
    <mergeCell ref="AO178:AO179"/>
    <mergeCell ref="AG196:AG197"/>
    <mergeCell ref="AH196:AH197"/>
    <mergeCell ref="AI196:AI197"/>
    <mergeCell ref="AL196:AL197"/>
    <mergeCell ref="AJ188:AJ189"/>
    <mergeCell ref="AJ190:AJ191"/>
    <mergeCell ref="AJ192:AJ193"/>
    <mergeCell ref="Y196:Y197"/>
    <mergeCell ref="Y150:Y151"/>
    <mergeCell ref="AA150:AA151"/>
    <mergeCell ref="AH3175:AH3176"/>
    <mergeCell ref="AI3175:AI3176"/>
    <mergeCell ref="AJ3175:AJ3176"/>
    <mergeCell ref="AK3175:AK3176"/>
    <mergeCell ref="AL3175:AL3176"/>
    <mergeCell ref="AM3175:AM3176"/>
    <mergeCell ref="E3177:E3178"/>
    <mergeCell ref="F3177:F3178"/>
    <mergeCell ref="J3177:J3178"/>
    <mergeCell ref="N3177:N3178"/>
    <mergeCell ref="Y3177:Y3178"/>
    <mergeCell ref="AA3177:AA3178"/>
    <mergeCell ref="AB3177:AB3178"/>
    <mergeCell ref="AC3177:AC3178"/>
    <mergeCell ref="AD3177:AD3178"/>
    <mergeCell ref="AF3177:AF3178"/>
    <mergeCell ref="AG3177:AG3178"/>
    <mergeCell ref="AH3177:AH3178"/>
    <mergeCell ref="AL3171:AL3172"/>
    <mergeCell ref="AM3171:AM3172"/>
    <mergeCell ref="AI3177:AI3178"/>
    <mergeCell ref="AJ3177:AJ3178"/>
    <mergeCell ref="AK3177:AK3178"/>
    <mergeCell ref="AL3177:AL3178"/>
    <mergeCell ref="AM3177:AM3178"/>
    <mergeCell ref="AA3175:AA3176"/>
    <mergeCell ref="AB3175:AB3176"/>
    <mergeCell ref="AC3175:AC3176"/>
    <mergeCell ref="AD3175:AD3176"/>
    <mergeCell ref="AF3175:AF3176"/>
    <mergeCell ref="AG3175:AG3176"/>
    <mergeCell ref="AM3145:AM3146"/>
    <mergeCell ref="AF2896:AF2897"/>
    <mergeCell ref="AM2992:AM2993"/>
    <mergeCell ref="AL3000:AL3001"/>
    <mergeCell ref="AM3000:AM3001"/>
    <mergeCell ref="E2950:E2951"/>
    <mergeCell ref="J2968:J2969"/>
    <mergeCell ref="E2966:E2967"/>
    <mergeCell ref="AG2956:AG2957"/>
    <mergeCell ref="E2946:E2947"/>
    <mergeCell ref="F2950:F2951"/>
    <mergeCell ref="J2950:J2951"/>
    <mergeCell ref="J2934:J2935"/>
    <mergeCell ref="E2912:E2913"/>
    <mergeCell ref="J2920:J2921"/>
    <mergeCell ref="F2976:F2977"/>
    <mergeCell ref="J2976:J2977"/>
    <mergeCell ref="N2976:N2977"/>
    <mergeCell ref="Y2976:Y2977"/>
    <mergeCell ref="AM2966:AM2967"/>
    <mergeCell ref="E2972:E2973"/>
    <mergeCell ref="F2972:F2973"/>
    <mergeCell ref="AB3145:AB3146"/>
    <mergeCell ref="AC3125:AC3126"/>
    <mergeCell ref="AL3163:AL3164"/>
    <mergeCell ref="AM3163:AM3164"/>
    <mergeCell ref="AJ3161:AJ3162"/>
    <mergeCell ref="AK3161:AK3162"/>
    <mergeCell ref="AL3161:AL3162"/>
    <mergeCell ref="AC3151:AC3152"/>
    <mergeCell ref="E3141:E3142"/>
    <mergeCell ref="F3141:F3142"/>
    <mergeCell ref="F2980:F2981"/>
    <mergeCell ref="AG3109:AG3110"/>
    <mergeCell ref="AH3109:AH3110"/>
    <mergeCell ref="AG3107:AG3108"/>
    <mergeCell ref="AH3107:AH3108"/>
    <mergeCell ref="AI3107:AI3108"/>
    <mergeCell ref="AK3107:AK3108"/>
    <mergeCell ref="AH3113:AH3114"/>
    <mergeCell ref="E3107:E3108"/>
    <mergeCell ref="E3109:E3110"/>
    <mergeCell ref="Y3155:Y3156"/>
    <mergeCell ref="AA3155:AA3156"/>
    <mergeCell ref="AB3155:AB3156"/>
    <mergeCell ref="F2868:F2869"/>
    <mergeCell ref="J2868:J2869"/>
    <mergeCell ref="AC3157:AC3158"/>
    <mergeCell ref="AD3157:AD3158"/>
    <mergeCell ref="AA3151:AA3152"/>
    <mergeCell ref="AB3151:AB3152"/>
    <mergeCell ref="AJ3151:AJ3152"/>
    <mergeCell ref="AF3151:AF3152"/>
    <mergeCell ref="AG3151:AG3152"/>
    <mergeCell ref="AH3151:AH3152"/>
    <mergeCell ref="AH3155:AH3156"/>
    <mergeCell ref="AC3155:AC3156"/>
    <mergeCell ref="AB3137:AB3138"/>
    <mergeCell ref="F2720:F2721"/>
    <mergeCell ref="J2720:J2721"/>
    <mergeCell ref="AO276:AO277"/>
    <mergeCell ref="AO270:AO271"/>
    <mergeCell ref="N196:N197"/>
    <mergeCell ref="E3125:E3126"/>
    <mergeCell ref="AI3127:AI3128"/>
    <mergeCell ref="AG3127:AG3128"/>
    <mergeCell ref="N2872:N2873"/>
    <mergeCell ref="Y2872:Y2873"/>
    <mergeCell ref="AG2920:AG2921"/>
    <mergeCell ref="AH2920:AH2921"/>
    <mergeCell ref="N2928:N2929"/>
    <mergeCell ref="J2900:J2901"/>
    <mergeCell ref="N2900:N2901"/>
    <mergeCell ref="Y2900:Y2901"/>
    <mergeCell ref="AB3095:AB3096"/>
    <mergeCell ref="AC3095:AC3096"/>
    <mergeCell ref="AH3101:AH3102"/>
    <mergeCell ref="AC2894:AC2895"/>
    <mergeCell ref="AD2894:AD2895"/>
    <mergeCell ref="AF2894:AF2895"/>
    <mergeCell ref="AG2894:AG2895"/>
    <mergeCell ref="AH2894:AH2895"/>
    <mergeCell ref="AI2894:AI2895"/>
    <mergeCell ref="E2872:E2873"/>
    <mergeCell ref="F2872:F2873"/>
    <mergeCell ref="J2872:J2873"/>
    <mergeCell ref="AF2872:AF2873"/>
    <mergeCell ref="AK250:AK251"/>
    <mergeCell ref="AL250:AL251"/>
    <mergeCell ref="AF218:AF219"/>
    <mergeCell ref="AG218:AG219"/>
    <mergeCell ref="AH218:AH219"/>
    <mergeCell ref="AI218:AI219"/>
    <mergeCell ref="E248:E249"/>
    <mergeCell ref="F248:F249"/>
    <mergeCell ref="J248:J249"/>
    <mergeCell ref="N248:N249"/>
    <mergeCell ref="AL2513:AL2514"/>
    <mergeCell ref="AF2545:AF2546"/>
    <mergeCell ref="AG2545:AG2546"/>
    <mergeCell ref="AH2545:AH2546"/>
    <mergeCell ref="AK2537:AK2538"/>
    <mergeCell ref="AL2537:AL2538"/>
    <mergeCell ref="AM2537:AM2538"/>
    <mergeCell ref="J2545:J2546"/>
    <mergeCell ref="AF2523:AF2524"/>
    <mergeCell ref="AG2523:AG2524"/>
    <mergeCell ref="E2537:E2538"/>
    <mergeCell ref="E2539:E2540"/>
    <mergeCell ref="F2539:F2540"/>
    <mergeCell ref="J2517:J2518"/>
    <mergeCell ref="N2517:N2518"/>
    <mergeCell ref="Y2517:Y2518"/>
    <mergeCell ref="AA2517:AA2518"/>
    <mergeCell ref="AB2517:AB2518"/>
    <mergeCell ref="AC2517:AC2518"/>
    <mergeCell ref="AD2517:AD2518"/>
    <mergeCell ref="AF2517:AF2518"/>
    <mergeCell ref="AG2517:AG2518"/>
    <mergeCell ref="AH2517:AH2518"/>
    <mergeCell ref="AI2517:AI2518"/>
    <mergeCell ref="AJ2517:AJ2518"/>
    <mergeCell ref="AK2517:AK2518"/>
    <mergeCell ref="AL2517:AL2518"/>
    <mergeCell ref="AM2517:AM2518"/>
    <mergeCell ref="AI2523:AI2524"/>
    <mergeCell ref="AI2513:AI2514"/>
    <mergeCell ref="AM2545:AM2546"/>
    <mergeCell ref="AC2531:AC2532"/>
    <mergeCell ref="AD2531:AD2532"/>
    <mergeCell ref="AD2515:AD2516"/>
    <mergeCell ref="AB2513:AB2514"/>
    <mergeCell ref="AL2545:AL2546"/>
    <mergeCell ref="AM2519:AM2520"/>
    <mergeCell ref="E2515:E2516"/>
    <mergeCell ref="F2515:F2516"/>
    <mergeCell ref="J2515:J2516"/>
    <mergeCell ref="N2515:N2516"/>
    <mergeCell ref="Y2515:Y2516"/>
    <mergeCell ref="E2517:E2518"/>
    <mergeCell ref="F2517:F2518"/>
    <mergeCell ref="AK2539:AK2540"/>
    <mergeCell ref="AL2539:AL2540"/>
    <mergeCell ref="E2533:E2534"/>
    <mergeCell ref="AC2513:AC2514"/>
    <mergeCell ref="E2531:E2532"/>
    <mergeCell ref="E2523:E2524"/>
    <mergeCell ref="F2523:F2524"/>
    <mergeCell ref="J2523:J2524"/>
    <mergeCell ref="AJ2523:AJ2524"/>
    <mergeCell ref="AA2475:AA2476"/>
    <mergeCell ref="E2499:E2500"/>
    <mergeCell ref="F2499:F2500"/>
    <mergeCell ref="J2499:J2500"/>
    <mergeCell ref="N2499:N2500"/>
    <mergeCell ref="Y2499:Y2500"/>
    <mergeCell ref="AA2499:AA2500"/>
    <mergeCell ref="F2479:F2480"/>
    <mergeCell ref="E2491:E2492"/>
    <mergeCell ref="F2491:F2492"/>
    <mergeCell ref="J2491:J2492"/>
    <mergeCell ref="N2491:N2492"/>
    <mergeCell ref="AJ2491:AJ2492"/>
    <mergeCell ref="AK2491:AK2492"/>
    <mergeCell ref="E2649:E2650"/>
    <mergeCell ref="F2649:F2650"/>
    <mergeCell ref="E2629:E2630"/>
    <mergeCell ref="E2619:E2620"/>
    <mergeCell ref="F2619:F2620"/>
    <mergeCell ref="F2635:F2636"/>
    <mergeCell ref="E2643:E2644"/>
    <mergeCell ref="F2643:F2644"/>
    <mergeCell ref="N2643:N2644"/>
    <mergeCell ref="Y2643:Y2644"/>
    <mergeCell ref="AA2643:AA2644"/>
    <mergeCell ref="AB2643:AB2644"/>
    <mergeCell ref="AC2643:AC2644"/>
    <mergeCell ref="E2609:E2610"/>
    <mergeCell ref="F2609:F2610"/>
    <mergeCell ref="J2609:J2610"/>
    <mergeCell ref="AI2615:AI2616"/>
    <mergeCell ref="AD2645:AD2646"/>
    <mergeCell ref="AF2645:AF2646"/>
    <mergeCell ref="AG2645:AG2646"/>
    <mergeCell ref="AH2645:AH2646"/>
    <mergeCell ref="AF2609:AF2610"/>
    <mergeCell ref="AG2609:AG2610"/>
    <mergeCell ref="AH2609:AH2610"/>
    <mergeCell ref="E2621:E2622"/>
    <mergeCell ref="F2621:F2622"/>
    <mergeCell ref="N2649:N2650"/>
    <mergeCell ref="Y2649:Y2650"/>
    <mergeCell ref="AA2649:AA2650"/>
    <mergeCell ref="AB2649:AB2650"/>
    <mergeCell ref="AC2649:AC2650"/>
    <mergeCell ref="AD2649:AD2650"/>
    <mergeCell ref="AF2649:AF2650"/>
    <mergeCell ref="E2645:E2646"/>
    <mergeCell ref="F2645:F2646"/>
    <mergeCell ref="N2489:N2490"/>
    <mergeCell ref="AB2475:AB2476"/>
    <mergeCell ref="AC2475:AC2476"/>
    <mergeCell ref="J2539:J2540"/>
    <mergeCell ref="E2549:E2550"/>
    <mergeCell ref="F2549:F2550"/>
    <mergeCell ref="E2513:E2514"/>
    <mergeCell ref="F2513:F2514"/>
    <mergeCell ref="J2513:J2514"/>
    <mergeCell ref="N2513:N2514"/>
    <mergeCell ref="Y2513:Y2514"/>
    <mergeCell ref="J2549:J2550"/>
    <mergeCell ref="AI2549:AI2550"/>
    <mergeCell ref="AJ2549:AJ2550"/>
    <mergeCell ref="AF2503:AF2504"/>
    <mergeCell ref="AI1710:AI1711"/>
    <mergeCell ref="AK1710:AK1711"/>
    <mergeCell ref="AL1710:AL1711"/>
    <mergeCell ref="AF1708:AF1709"/>
    <mergeCell ref="AM1812:AM1813"/>
    <mergeCell ref="AG1810:AG1811"/>
    <mergeCell ref="AH1810:AH1811"/>
    <mergeCell ref="AI1810:AI1811"/>
    <mergeCell ref="AK1810:AK1811"/>
    <mergeCell ref="AL1810:AL1811"/>
    <mergeCell ref="AM1714:AM1715"/>
    <mergeCell ref="N2155:N2156"/>
    <mergeCell ref="AG2102:AG2103"/>
    <mergeCell ref="AH2102:AH2103"/>
    <mergeCell ref="AI2102:AI2103"/>
    <mergeCell ref="AJ2102:AJ2103"/>
    <mergeCell ref="AK2102:AK2103"/>
    <mergeCell ref="AL2102:AL2103"/>
    <mergeCell ref="N2106:N2107"/>
    <mergeCell ref="Y2106:Y2107"/>
    <mergeCell ref="AA2106:AA2107"/>
    <mergeCell ref="AB2106:AB2107"/>
    <mergeCell ref="AC2106:AC2107"/>
    <mergeCell ref="AD2106:AD2107"/>
    <mergeCell ref="AF2106:AF2107"/>
    <mergeCell ref="AG2106:AG2107"/>
    <mergeCell ref="AH2106:AH2107"/>
    <mergeCell ref="AI2106:AI2107"/>
    <mergeCell ref="AJ2106:AJ2107"/>
    <mergeCell ref="AK2106:AK2107"/>
    <mergeCell ref="AL2106:AL2107"/>
    <mergeCell ref="N2116:N2117"/>
    <mergeCell ref="Y2116:Y2117"/>
    <mergeCell ref="AJ2116:AJ2117"/>
    <mergeCell ref="AK2116:AK2117"/>
    <mergeCell ref="AL2116:AL2117"/>
    <mergeCell ref="N2137:N2138"/>
    <mergeCell ref="Y2137:Y2138"/>
    <mergeCell ref="AA2137:AA2138"/>
    <mergeCell ref="AB2137:AB2138"/>
    <mergeCell ref="AG1775:AG1776"/>
    <mergeCell ref="AH1775:AH1776"/>
    <mergeCell ref="AI1775:AI1776"/>
    <mergeCell ref="AD1975:AD1976"/>
    <mergeCell ref="AF1975:AF1976"/>
    <mergeCell ref="AG1975:AG1976"/>
    <mergeCell ref="AA1708:AA1709"/>
    <mergeCell ref="AK2155:AK2156"/>
    <mergeCell ref="AL2155:AL2156"/>
    <mergeCell ref="AG2038:AG2039"/>
    <mergeCell ref="AG2052:AG2053"/>
    <mergeCell ref="AH2052:AH2053"/>
    <mergeCell ref="N1965:N1966"/>
    <mergeCell ref="N1907:N1908"/>
    <mergeCell ref="AK2022:AK2023"/>
    <mergeCell ref="AI2052:AI2053"/>
    <mergeCell ref="AG2002:AG2003"/>
    <mergeCell ref="AH2002:AH2003"/>
    <mergeCell ref="AK2000:AK2001"/>
    <mergeCell ref="AK2018:AK2019"/>
    <mergeCell ref="AL2018:AL2019"/>
    <mergeCell ref="AI2020:AI2021"/>
    <mergeCell ref="AL2062:AL2063"/>
    <mergeCell ref="AG1993:AG1994"/>
    <mergeCell ref="AJ1682:AJ1683"/>
    <mergeCell ref="AA1702:AA1703"/>
    <mergeCell ref="AB1702:AB1703"/>
    <mergeCell ref="AC1702:AC1703"/>
    <mergeCell ref="AD1702:AD1703"/>
    <mergeCell ref="AF1702:AF1703"/>
    <mergeCell ref="AF1704:AF1705"/>
    <mergeCell ref="AG1704:AG1705"/>
    <mergeCell ref="AH1704:AH1705"/>
    <mergeCell ref="AI1704:AI1705"/>
    <mergeCell ref="AK1704:AK1705"/>
    <mergeCell ref="AL1704:AL1705"/>
    <mergeCell ref="AM1704:AM1705"/>
    <mergeCell ref="AA1672:AA1673"/>
    <mergeCell ref="AB1672:AB1673"/>
    <mergeCell ref="AC1672:AC1673"/>
    <mergeCell ref="AD1672:AD1673"/>
    <mergeCell ref="AF1672:AF1673"/>
    <mergeCell ref="AG1672:AG1673"/>
    <mergeCell ref="AH1672:AH1673"/>
    <mergeCell ref="AP1309:AP1310"/>
    <mergeCell ref="AO1555:AO1556"/>
    <mergeCell ref="AL1462:AL1463"/>
    <mergeCell ref="AM1565:AM1566"/>
    <mergeCell ref="AO1565:AO1566"/>
    <mergeCell ref="AD1565:AD1566"/>
    <mergeCell ref="AF1565:AF1566"/>
    <mergeCell ref="AB1567:AB1568"/>
    <mergeCell ref="AC1567:AC1568"/>
    <mergeCell ref="AD1567:AD1568"/>
    <mergeCell ref="AF1567:AF1568"/>
    <mergeCell ref="AG1567:AG1568"/>
    <mergeCell ref="AH1567:AH1568"/>
    <mergeCell ref="AI1567:AI1568"/>
    <mergeCell ref="AA1575:AA1576"/>
    <mergeCell ref="AJ1567:AJ1568"/>
    <mergeCell ref="AK1567:AK1568"/>
    <mergeCell ref="AJ1442:AJ1443"/>
    <mergeCell ref="AB1466:AB1467"/>
    <mergeCell ref="AC1466:AC1467"/>
    <mergeCell ref="AH1412:AH1413"/>
    <mergeCell ref="AI1412:AI1413"/>
    <mergeCell ref="AG1448:AG1449"/>
    <mergeCell ref="AL1450:AL1451"/>
    <mergeCell ref="AA1392:AA1393"/>
    <mergeCell ref="AA1382:AA1383"/>
    <mergeCell ref="AB1382:AB1383"/>
    <mergeCell ref="AC1382:AC1383"/>
    <mergeCell ref="AD1382:AD1383"/>
    <mergeCell ref="AK1470:AK1471"/>
    <mergeCell ref="AL1470:AL1471"/>
    <mergeCell ref="AK1460:AK1461"/>
    <mergeCell ref="AL1460:AL1461"/>
    <mergeCell ref="AL1448:AL1449"/>
    <mergeCell ref="AM1470:AM1471"/>
    <mergeCell ref="AC1448:AC1449"/>
    <mergeCell ref="AD1448:AD1449"/>
    <mergeCell ref="AF1448:AF1449"/>
    <mergeCell ref="AC1458:AC1459"/>
    <mergeCell ref="AK1456:AK1457"/>
    <mergeCell ref="AF1480:AF1481"/>
    <mergeCell ref="AF1551:AF1552"/>
    <mergeCell ref="AG1551:AG1552"/>
    <mergeCell ref="AH1551:AH1552"/>
    <mergeCell ref="AP1388:AP1389"/>
    <mergeCell ref="AP892:AP893"/>
    <mergeCell ref="E888:E889"/>
    <mergeCell ref="AJ947:AJ948"/>
    <mergeCell ref="AK947:AK948"/>
    <mergeCell ref="AL947:AL948"/>
    <mergeCell ref="AM947:AM948"/>
    <mergeCell ref="AO947:AO948"/>
    <mergeCell ref="AO957:AO958"/>
    <mergeCell ref="AP957:AP958"/>
    <mergeCell ref="E957:E958"/>
    <mergeCell ref="F957:F958"/>
    <mergeCell ref="J957:J958"/>
    <mergeCell ref="AD959:AD960"/>
    <mergeCell ref="AF959:AF960"/>
    <mergeCell ref="AG959:AG960"/>
    <mergeCell ref="AH959:AH960"/>
    <mergeCell ref="AI959:AI960"/>
    <mergeCell ref="AK959:AK960"/>
    <mergeCell ref="AO920:AO921"/>
    <mergeCell ref="AP920:AP921"/>
    <mergeCell ref="J922:J923"/>
    <mergeCell ref="E1450:E1451"/>
    <mergeCell ref="AH1448:AH1449"/>
    <mergeCell ref="AA1454:AA1455"/>
    <mergeCell ref="AB1454:AB1455"/>
    <mergeCell ref="AC1454:AC1455"/>
    <mergeCell ref="AH1400:AH1401"/>
    <mergeCell ref="AI1400:AI1401"/>
    <mergeCell ref="AH1402:AH1403"/>
    <mergeCell ref="AA1442:AA1443"/>
    <mergeCell ref="N1456:N1457"/>
    <mergeCell ref="Y1456:Y1457"/>
    <mergeCell ref="AB892:AB893"/>
    <mergeCell ref="J926:J927"/>
    <mergeCell ref="N926:N927"/>
    <mergeCell ref="Y926:Y927"/>
    <mergeCell ref="AA926:AA927"/>
    <mergeCell ref="AB926:AB927"/>
    <mergeCell ref="AC926:AC927"/>
    <mergeCell ref="E932:E933"/>
    <mergeCell ref="E934:E935"/>
    <mergeCell ref="AA934:AA935"/>
    <mergeCell ref="AB934:AB935"/>
    <mergeCell ref="AK892:AK893"/>
    <mergeCell ref="AM892:AM893"/>
    <mergeCell ref="AO892:AO893"/>
    <mergeCell ref="AC934:AC935"/>
    <mergeCell ref="AD934:AD935"/>
    <mergeCell ref="AF934:AF935"/>
    <mergeCell ref="AG934:AG935"/>
    <mergeCell ref="F1201:F1202"/>
    <mergeCell ref="E1247:E1248"/>
    <mergeCell ref="E1251:E1252"/>
    <mergeCell ref="E1255:E1256"/>
    <mergeCell ref="E1261:E1262"/>
    <mergeCell ref="E1146:E1147"/>
    <mergeCell ref="E1259:E1260"/>
    <mergeCell ref="E1388:E1389"/>
    <mergeCell ref="E1366:E1367"/>
    <mergeCell ref="N1309:N1310"/>
    <mergeCell ref="E1339:E1340"/>
    <mergeCell ref="F1339:F1340"/>
    <mergeCell ref="J1339:J1340"/>
    <mergeCell ref="AO963:AO964"/>
    <mergeCell ref="F1028:F1029"/>
    <mergeCell ref="J1028:J1029"/>
    <mergeCell ref="N1028:N1029"/>
    <mergeCell ref="Y1028:Y1029"/>
    <mergeCell ref="AA1028:AA1029"/>
    <mergeCell ref="AB1028:AB1029"/>
    <mergeCell ref="AC1028:AC1029"/>
    <mergeCell ref="AD1028:AD1029"/>
    <mergeCell ref="AF1028:AF1029"/>
    <mergeCell ref="AG1028:AG1029"/>
    <mergeCell ref="AM896:AM897"/>
    <mergeCell ref="AJ900:AJ901"/>
    <mergeCell ref="E900:E901"/>
    <mergeCell ref="F900:F901"/>
    <mergeCell ref="N900:N901"/>
    <mergeCell ref="Y900:Y901"/>
    <mergeCell ref="AA900:AA901"/>
    <mergeCell ref="AB900:AB901"/>
    <mergeCell ref="AH914:AH915"/>
    <mergeCell ref="AI914:AI915"/>
    <mergeCell ref="AJ914:AJ915"/>
    <mergeCell ref="AG926:AG927"/>
    <mergeCell ref="AH926:AH927"/>
    <mergeCell ref="AI926:AI927"/>
    <mergeCell ref="AJ926:AJ927"/>
    <mergeCell ref="AK926:AK927"/>
    <mergeCell ref="AL926:AL927"/>
    <mergeCell ref="AM926:AM927"/>
    <mergeCell ref="AH951:AH952"/>
    <mergeCell ref="AI951:AI952"/>
    <mergeCell ref="AK951:AK952"/>
    <mergeCell ref="AL951:AL952"/>
    <mergeCell ref="AM951:AM952"/>
    <mergeCell ref="E920:E921"/>
    <mergeCell ref="F920:F921"/>
    <mergeCell ref="J920:J921"/>
    <mergeCell ref="N920:N921"/>
    <mergeCell ref="Y920:Y921"/>
    <mergeCell ref="AA920:AA921"/>
    <mergeCell ref="AB920:AB921"/>
    <mergeCell ref="AC920:AC921"/>
    <mergeCell ref="AD920:AD921"/>
    <mergeCell ref="AF920:AF921"/>
    <mergeCell ref="F906:F907"/>
    <mergeCell ref="E914:E915"/>
    <mergeCell ref="AL914:AL915"/>
    <mergeCell ref="AL908:AL909"/>
    <mergeCell ref="AM908:AM909"/>
    <mergeCell ref="AO908:AO909"/>
    <mergeCell ref="AL906:AL907"/>
    <mergeCell ref="AM906:AM907"/>
    <mergeCell ref="E916:E917"/>
    <mergeCell ref="E926:E927"/>
    <mergeCell ref="F926:F927"/>
    <mergeCell ref="AD961:AD962"/>
    <mergeCell ref="AF961:AF962"/>
    <mergeCell ref="AG961:AG962"/>
    <mergeCell ref="AA949:AA950"/>
    <mergeCell ref="AB949:AB950"/>
    <mergeCell ref="AC949:AC950"/>
    <mergeCell ref="AD949:AD950"/>
    <mergeCell ref="AF949:AF950"/>
    <mergeCell ref="AG949:AG950"/>
    <mergeCell ref="AO789:AO790"/>
    <mergeCell ref="AO857:AO858"/>
    <mergeCell ref="AG886:AG887"/>
    <mergeCell ref="AH886:AH887"/>
    <mergeCell ref="AI886:AI887"/>
    <mergeCell ref="AB951:AB952"/>
    <mergeCell ref="J959:J960"/>
    <mergeCell ref="N959:N960"/>
    <mergeCell ref="AO951:AO952"/>
    <mergeCell ref="AH947:AH948"/>
    <mergeCell ref="AI947:AI948"/>
    <mergeCell ref="AC892:AC893"/>
    <mergeCell ref="AD892:AD893"/>
    <mergeCell ref="AF892:AF893"/>
    <mergeCell ref="AG892:AG893"/>
    <mergeCell ref="N910:N911"/>
    <mergeCell ref="Y910:Y911"/>
    <mergeCell ref="AA910:AA911"/>
    <mergeCell ref="AB910:AB911"/>
    <mergeCell ref="AJ890:AJ891"/>
    <mergeCell ref="AK890:AK891"/>
    <mergeCell ref="AL890:AL891"/>
    <mergeCell ref="AI904:AI905"/>
    <mergeCell ref="AM890:AM891"/>
    <mergeCell ref="AO890:AO891"/>
    <mergeCell ref="AI813:AI814"/>
    <mergeCell ref="AI817:AI818"/>
    <mergeCell ref="AM827:AM828"/>
    <mergeCell ref="AO827:AO828"/>
    <mergeCell ref="J953:J954"/>
    <mergeCell ref="N953:N954"/>
    <mergeCell ref="Y953:Y954"/>
    <mergeCell ref="AO672:AO673"/>
    <mergeCell ref="AM773:AM774"/>
    <mergeCell ref="AO783:AO784"/>
    <mergeCell ref="AO785:AO786"/>
    <mergeCell ref="AH777:AH778"/>
    <mergeCell ref="AL749:AL750"/>
    <mergeCell ref="AG749:AG750"/>
    <mergeCell ref="AH749:AH750"/>
    <mergeCell ref="AO757:AO758"/>
    <mergeCell ref="AO751:AO752"/>
    <mergeCell ref="AO797:AO798"/>
    <mergeCell ref="AM821:AM822"/>
    <mergeCell ref="AG835:AG836"/>
    <mergeCell ref="AH835:AH836"/>
    <mergeCell ref="AI835:AI836"/>
    <mergeCell ref="AJ835:AJ836"/>
    <mergeCell ref="AK835:AK836"/>
    <mergeCell ref="AO821:AO822"/>
    <mergeCell ref="Y827:Y828"/>
    <mergeCell ref="AC821:AC822"/>
    <mergeCell ref="J819:J820"/>
    <mergeCell ref="N819:N820"/>
    <mergeCell ref="Y819:Y820"/>
    <mergeCell ref="AK737:AK738"/>
    <mergeCell ref="AL737:AL738"/>
    <mergeCell ref="AH743:AH744"/>
    <mergeCell ref="AF733:AF734"/>
    <mergeCell ref="AO711:AO712"/>
    <mergeCell ref="AH908:AH909"/>
    <mergeCell ref="AI908:AI909"/>
    <mergeCell ref="AJ908:AJ909"/>
    <mergeCell ref="AJ892:AJ893"/>
    <mergeCell ref="AL422:AL423"/>
    <mergeCell ref="AI424:AI425"/>
    <mergeCell ref="AK424:AK425"/>
    <mergeCell ref="AB448:AB449"/>
    <mergeCell ref="AL480:AL481"/>
    <mergeCell ref="AL492:AL493"/>
    <mergeCell ref="J474:J475"/>
    <mergeCell ref="J458:J459"/>
    <mergeCell ref="F422:F423"/>
    <mergeCell ref="F438:F439"/>
    <mergeCell ref="AI438:AI439"/>
    <mergeCell ref="AI430:AI431"/>
    <mergeCell ref="AK430:AK431"/>
    <mergeCell ref="AL430:AL431"/>
    <mergeCell ref="N424:N425"/>
    <mergeCell ref="AL448:AL449"/>
    <mergeCell ref="AD494:AD495"/>
    <mergeCell ref="AF494:AF495"/>
    <mergeCell ref="AG494:AG495"/>
    <mergeCell ref="AK434:AK435"/>
    <mergeCell ref="AK450:AK451"/>
    <mergeCell ref="AK446:AK447"/>
    <mergeCell ref="AH456:AH457"/>
    <mergeCell ref="AI456:AI457"/>
    <mergeCell ref="N458:N459"/>
    <mergeCell ref="J446:J447"/>
    <mergeCell ref="Y438:Y439"/>
    <mergeCell ref="F450:F451"/>
    <mergeCell ref="F444:F445"/>
    <mergeCell ref="AA476:AA477"/>
    <mergeCell ref="AO472:AO473"/>
    <mergeCell ref="AL474:AL475"/>
    <mergeCell ref="F456:F457"/>
    <mergeCell ref="F458:F459"/>
    <mergeCell ref="F494:F495"/>
    <mergeCell ref="J494:J495"/>
    <mergeCell ref="N494:N495"/>
    <mergeCell ref="AH474:AH475"/>
    <mergeCell ref="AC462:AC463"/>
    <mergeCell ref="J486:J487"/>
    <mergeCell ref="N486:N487"/>
    <mergeCell ref="Y486:Y487"/>
    <mergeCell ref="AA490:AA491"/>
    <mergeCell ref="AD490:AD491"/>
    <mergeCell ref="AF490:AF491"/>
    <mergeCell ref="AG490:AG491"/>
    <mergeCell ref="AH490:AH491"/>
    <mergeCell ref="AB444:AB445"/>
    <mergeCell ref="AB456:AB457"/>
    <mergeCell ref="AI440:AI441"/>
    <mergeCell ref="AC482:AC483"/>
    <mergeCell ref="AD482:AD483"/>
    <mergeCell ref="AF482:AF483"/>
    <mergeCell ref="AC476:AC477"/>
    <mergeCell ref="AI450:AI451"/>
    <mergeCell ref="AB460:AB461"/>
    <mergeCell ref="AC460:AC461"/>
    <mergeCell ref="AD460:AD461"/>
    <mergeCell ref="AK438:AK439"/>
    <mergeCell ref="J440:J441"/>
    <mergeCell ref="AP216:AP217"/>
    <mergeCell ref="E224:E225"/>
    <mergeCell ref="F224:F225"/>
    <mergeCell ref="E238:E239"/>
    <mergeCell ref="F238:F239"/>
    <mergeCell ref="E234:E235"/>
    <mergeCell ref="F234:F235"/>
    <mergeCell ref="E228:E229"/>
    <mergeCell ref="F228:F229"/>
    <mergeCell ref="F244:F245"/>
    <mergeCell ref="J244:J245"/>
    <mergeCell ref="N244:N245"/>
    <mergeCell ref="Y244:Y245"/>
    <mergeCell ref="AA244:AA245"/>
    <mergeCell ref="AB244:AB245"/>
    <mergeCell ref="AC244:AC245"/>
    <mergeCell ref="AD244:AD245"/>
    <mergeCell ref="AF244:AF245"/>
    <mergeCell ref="AD246:AD247"/>
    <mergeCell ref="AF246:AF247"/>
    <mergeCell ref="AC246:AC247"/>
    <mergeCell ref="AG244:AG245"/>
    <mergeCell ref="AH244:AH245"/>
    <mergeCell ref="AI244:AI245"/>
    <mergeCell ref="AK244:AK245"/>
    <mergeCell ref="AO246:AO247"/>
    <mergeCell ref="E246:E247"/>
    <mergeCell ref="F246:F247"/>
    <mergeCell ref="J246:J247"/>
    <mergeCell ref="N246:N247"/>
    <mergeCell ref="AB228:AB229"/>
    <mergeCell ref="AC228:AC229"/>
    <mergeCell ref="AP218:AP219"/>
    <mergeCell ref="AL216:AL217"/>
    <mergeCell ref="F216:F217"/>
    <mergeCell ref="AP242:AP243"/>
    <mergeCell ref="AP244:AP245"/>
    <mergeCell ref="AP246:AP247"/>
    <mergeCell ref="E226:E227"/>
    <mergeCell ref="AF216:AF217"/>
    <mergeCell ref="AG216:AG217"/>
    <mergeCell ref="AH216:AH217"/>
    <mergeCell ref="AM216:AM217"/>
    <mergeCell ref="AO216:AO217"/>
    <mergeCell ref="Y222:Y223"/>
    <mergeCell ref="AA224:AA225"/>
    <mergeCell ref="AB224:AB225"/>
    <mergeCell ref="AC224:AC225"/>
    <mergeCell ref="AL224:AL225"/>
    <mergeCell ref="AC218:AC219"/>
    <mergeCell ref="AD218:AD219"/>
    <mergeCell ref="AO422:AO423"/>
    <mergeCell ref="AK422:AK423"/>
    <mergeCell ref="AO210:AO211"/>
    <mergeCell ref="AJ232:AJ233"/>
    <mergeCell ref="N252:N253"/>
    <mergeCell ref="AB248:AB249"/>
    <mergeCell ref="Y210:Y211"/>
    <mergeCell ref="AA210:AA211"/>
    <mergeCell ref="AB210:AB211"/>
    <mergeCell ref="AC220:AC221"/>
    <mergeCell ref="AD220:AD221"/>
    <mergeCell ref="AF220:AF221"/>
    <mergeCell ref="AG220:AG221"/>
    <mergeCell ref="AH220:AH221"/>
    <mergeCell ref="AI220:AI221"/>
    <mergeCell ref="AJ220:AJ221"/>
    <mergeCell ref="AK220:AK221"/>
    <mergeCell ref="AL220:AL221"/>
    <mergeCell ref="AM220:AM221"/>
    <mergeCell ref="AO220:AO221"/>
    <mergeCell ref="J242:J243"/>
    <mergeCell ref="N242:N243"/>
    <mergeCell ref="AD210:AD211"/>
    <mergeCell ref="AF210:AF211"/>
    <mergeCell ref="AG210:AG211"/>
    <mergeCell ref="AH210:AH211"/>
    <mergeCell ref="AI210:AI211"/>
    <mergeCell ref="AG246:AG247"/>
    <mergeCell ref="AH246:AH247"/>
    <mergeCell ref="AI246:AI247"/>
    <mergeCell ref="AK246:AK247"/>
    <mergeCell ref="AL246:AL247"/>
    <mergeCell ref="AA218:AA219"/>
    <mergeCell ref="AB218:AB219"/>
    <mergeCell ref="J224:J225"/>
    <mergeCell ref="N224:N225"/>
    <mergeCell ref="Y224:Y225"/>
    <mergeCell ref="AG224:AG225"/>
    <mergeCell ref="AJ228:AJ229"/>
    <mergeCell ref="AL236:AL237"/>
    <mergeCell ref="J238:J239"/>
    <mergeCell ref="N238:N239"/>
    <mergeCell ref="Y238:Y239"/>
    <mergeCell ref="J222:J223"/>
    <mergeCell ref="N222:N223"/>
    <mergeCell ref="AG222:AG223"/>
    <mergeCell ref="AH222:AH223"/>
    <mergeCell ref="AI222:AI223"/>
    <mergeCell ref="AK222:AK223"/>
    <mergeCell ref="AL222:AL223"/>
    <mergeCell ref="AO244:AO245"/>
    <mergeCell ref="AG242:AG243"/>
    <mergeCell ref="AL238:AL239"/>
    <mergeCell ref="Y216:Y217"/>
    <mergeCell ref="AA216:AA217"/>
    <mergeCell ref="AB216:AB217"/>
    <mergeCell ref="AO238:AO239"/>
    <mergeCell ref="AO228:AO229"/>
    <mergeCell ref="Y248:Y249"/>
    <mergeCell ref="AA248:AA249"/>
    <mergeCell ref="Y236:Y237"/>
    <mergeCell ref="AA236:AA237"/>
    <mergeCell ref="AB236:AB237"/>
    <mergeCell ref="AC236:AC237"/>
    <mergeCell ref="AD236:AD237"/>
    <mergeCell ref="AF236:AF237"/>
    <mergeCell ref="AL316:AL317"/>
    <mergeCell ref="AC314:AC315"/>
    <mergeCell ref="AD314:AD315"/>
    <mergeCell ref="AF314:AF315"/>
    <mergeCell ref="AO224:AO225"/>
    <mergeCell ref="AO242:AO243"/>
    <mergeCell ref="AJ216:AJ217"/>
    <mergeCell ref="AJ222:AJ223"/>
    <mergeCell ref="AJ224:AJ225"/>
    <mergeCell ref="AL214:AL215"/>
    <mergeCell ref="J316:J317"/>
    <mergeCell ref="J312:J313"/>
    <mergeCell ref="AA292:AA293"/>
    <mergeCell ref="AB292:AB293"/>
    <mergeCell ref="AG312:AG313"/>
    <mergeCell ref="AH312:AH313"/>
    <mergeCell ref="AO254:AO255"/>
    <mergeCell ref="Y258:Y259"/>
    <mergeCell ref="AA258:AA259"/>
    <mergeCell ref="AB258:AB259"/>
    <mergeCell ref="AA252:AA253"/>
    <mergeCell ref="Y256:Y257"/>
    <mergeCell ref="Y228:Y229"/>
    <mergeCell ref="AA228:AA229"/>
    <mergeCell ref="AO222:AO223"/>
    <mergeCell ref="AO236:AO237"/>
    <mergeCell ref="AL268:AL269"/>
    <mergeCell ref="AC296:AC297"/>
    <mergeCell ref="AJ214:AJ215"/>
    <mergeCell ref="AC288:AC289"/>
    <mergeCell ref="AD288:AD289"/>
    <mergeCell ref="AL276:AL277"/>
    <mergeCell ref="AB260:AB261"/>
    <mergeCell ref="AD270:AD271"/>
    <mergeCell ref="AO252:AO253"/>
    <mergeCell ref="Y254:Y255"/>
    <mergeCell ref="AA254:AA255"/>
    <mergeCell ref="AB254:AB255"/>
    <mergeCell ref="AC254:AC255"/>
    <mergeCell ref="AD254:AD255"/>
    <mergeCell ref="AF254:AF255"/>
    <mergeCell ref="AG254:AG255"/>
    <mergeCell ref="AH254:AH255"/>
    <mergeCell ref="AK268:AK269"/>
    <mergeCell ref="AA270:AA271"/>
    <mergeCell ref="AO316:AO317"/>
    <mergeCell ref="AJ218:AJ219"/>
    <mergeCell ref="AK218:AK219"/>
    <mergeCell ref="AL218:AL219"/>
    <mergeCell ref="AM218:AM219"/>
    <mergeCell ref="AO218:AO219"/>
    <mergeCell ref="N228:N229"/>
    <mergeCell ref="AG236:AG237"/>
    <mergeCell ref="AH236:AH237"/>
    <mergeCell ref="AI236:AI237"/>
    <mergeCell ref="AC222:AC223"/>
    <mergeCell ref="AD222:AD223"/>
    <mergeCell ref="AF222:AF223"/>
    <mergeCell ref="AG276:AG277"/>
    <mergeCell ref="AH224:AH225"/>
    <mergeCell ref="AM316:AM317"/>
    <mergeCell ref="AC312:AC313"/>
    <mergeCell ref="Y306:Y307"/>
    <mergeCell ref="AA306:AA307"/>
    <mergeCell ref="E210:E211"/>
    <mergeCell ref="F210:F211"/>
    <mergeCell ref="AF292:AF293"/>
    <mergeCell ref="AK210:AK211"/>
    <mergeCell ref="AL210:AL211"/>
    <mergeCell ref="AB270:AB271"/>
    <mergeCell ref="E258:E259"/>
    <mergeCell ref="F258:F259"/>
    <mergeCell ref="AF238:AF239"/>
    <mergeCell ref="Y268:Y269"/>
    <mergeCell ref="AA268:AA269"/>
    <mergeCell ref="AB268:AB269"/>
    <mergeCell ref="J270:J271"/>
    <mergeCell ref="J250:J251"/>
    <mergeCell ref="N250:N251"/>
    <mergeCell ref="Y250:Y251"/>
    <mergeCell ref="AA250:AA251"/>
    <mergeCell ref="AB250:AB251"/>
    <mergeCell ref="E250:E251"/>
    <mergeCell ref="F250:F251"/>
    <mergeCell ref="AI216:AI217"/>
    <mergeCell ref="AK216:AK217"/>
    <mergeCell ref="Y292:Y293"/>
    <mergeCell ref="AA240:AA241"/>
    <mergeCell ref="F290:F291"/>
    <mergeCell ref="AB212:AB213"/>
    <mergeCell ref="AC212:AC213"/>
    <mergeCell ref="AD212:AD213"/>
    <mergeCell ref="AF212:AF213"/>
    <mergeCell ref="AG212:AG213"/>
    <mergeCell ref="AH212:AH213"/>
    <mergeCell ref="AI212:AI213"/>
    <mergeCell ref="AA212:AA213"/>
    <mergeCell ref="AJ268:AJ269"/>
    <mergeCell ref="AJ270:AJ271"/>
    <mergeCell ref="AA222:AA223"/>
    <mergeCell ref="J234:J235"/>
    <mergeCell ref="N234:N235"/>
    <mergeCell ref="AB234:AB235"/>
    <mergeCell ref="AC234:AC235"/>
    <mergeCell ref="AD234:AD235"/>
    <mergeCell ref="AF234:AF235"/>
    <mergeCell ref="AG234:AG235"/>
    <mergeCell ref="AG238:AG239"/>
    <mergeCell ref="AH238:AH239"/>
    <mergeCell ref="AI238:AI239"/>
    <mergeCell ref="AC258:AC259"/>
    <mergeCell ref="AD258:AD259"/>
    <mergeCell ref="AF258:AF259"/>
    <mergeCell ref="AG258:AG259"/>
    <mergeCell ref="AH258:AH259"/>
    <mergeCell ref="AI258:AI259"/>
    <mergeCell ref="Y270:Y271"/>
    <mergeCell ref="F266:F267"/>
    <mergeCell ref="E270:E271"/>
    <mergeCell ref="AI254:AI255"/>
    <mergeCell ref="J216:J217"/>
    <mergeCell ref="N216:N217"/>
    <mergeCell ref="AK240:AK241"/>
    <mergeCell ref="E236:E237"/>
    <mergeCell ref="F236:F237"/>
    <mergeCell ref="E216:E217"/>
    <mergeCell ref="N280:N281"/>
    <mergeCell ref="AC250:AC251"/>
    <mergeCell ref="AD250:AD251"/>
    <mergeCell ref="AF250:AF251"/>
    <mergeCell ref="AG250:AG251"/>
    <mergeCell ref="AI228:AI229"/>
    <mergeCell ref="AJ236:AJ237"/>
    <mergeCell ref="AL244:AL245"/>
    <mergeCell ref="AJ238:AJ239"/>
    <mergeCell ref="AJ240:AJ241"/>
    <mergeCell ref="N236:N237"/>
    <mergeCell ref="AK236:AK237"/>
    <mergeCell ref="N232:N233"/>
    <mergeCell ref="Y232:Y233"/>
    <mergeCell ref="AA232:AA233"/>
    <mergeCell ref="AB232:AB233"/>
    <mergeCell ref="AC232:AC233"/>
    <mergeCell ref="AD232:AD233"/>
    <mergeCell ref="AF232:AF233"/>
    <mergeCell ref="AG232:AG233"/>
    <mergeCell ref="AH232:AH233"/>
    <mergeCell ref="AI232:AI233"/>
    <mergeCell ref="AK232:AK233"/>
    <mergeCell ref="Y240:Y241"/>
    <mergeCell ref="AA296:AA297"/>
    <mergeCell ref="AB296:AB297"/>
    <mergeCell ref="F226:F227"/>
    <mergeCell ref="Y206:Y207"/>
    <mergeCell ref="AA206:AA207"/>
    <mergeCell ref="AB206:AB207"/>
    <mergeCell ref="AC206:AC207"/>
    <mergeCell ref="AD206:AD207"/>
    <mergeCell ref="AF206:AF207"/>
    <mergeCell ref="AL206:AL207"/>
    <mergeCell ref="AH242:AH243"/>
    <mergeCell ref="AI242:AI243"/>
    <mergeCell ref="AK242:AK243"/>
    <mergeCell ref="AL242:AL243"/>
    <mergeCell ref="J210:J211"/>
    <mergeCell ref="N210:N211"/>
    <mergeCell ref="AC210:AC211"/>
    <mergeCell ref="AH250:AH251"/>
    <mergeCell ref="AI250:AI251"/>
    <mergeCell ref="F276:F277"/>
    <mergeCell ref="N212:N213"/>
    <mergeCell ref="Y212:Y213"/>
    <mergeCell ref="AI268:AI269"/>
    <mergeCell ref="Y234:Y235"/>
    <mergeCell ref="Y286:Y287"/>
    <mergeCell ref="E262:E263"/>
    <mergeCell ref="F262:F263"/>
    <mergeCell ref="J262:J263"/>
    <mergeCell ref="N262:N263"/>
    <mergeCell ref="Y262:Y263"/>
    <mergeCell ref="AL260:AL261"/>
    <mergeCell ref="E276:E277"/>
    <mergeCell ref="E272:E273"/>
    <mergeCell ref="F272:F273"/>
    <mergeCell ref="J272:J273"/>
    <mergeCell ref="N272:N273"/>
    <mergeCell ref="Y272:Y273"/>
    <mergeCell ref="J236:J237"/>
    <mergeCell ref="AD248:AD249"/>
    <mergeCell ref="AD3165:AD3166"/>
    <mergeCell ref="AF3165:AF3166"/>
    <mergeCell ref="AG3165:AG3166"/>
    <mergeCell ref="AH3165:AH3166"/>
    <mergeCell ref="AI3165:AI3166"/>
    <mergeCell ref="AJ3165:AJ3166"/>
    <mergeCell ref="AK3165:AK3166"/>
    <mergeCell ref="AL3165:AL3166"/>
    <mergeCell ref="AM3165:AM3166"/>
    <mergeCell ref="AO3165:AO3166"/>
    <mergeCell ref="AF3139:AF3140"/>
    <mergeCell ref="AG3139:AG3140"/>
    <mergeCell ref="AH3139:AH3140"/>
    <mergeCell ref="AK3157:AK3158"/>
    <mergeCell ref="AF3147:AF3148"/>
    <mergeCell ref="AG3147:AG3148"/>
    <mergeCell ref="AH3147:AH3148"/>
    <mergeCell ref="AI3147:AI3148"/>
    <mergeCell ref="AK3147:AK3148"/>
    <mergeCell ref="AL3147:AL3148"/>
    <mergeCell ref="AM3147:AM3148"/>
    <mergeCell ref="AO3147:AO3148"/>
    <mergeCell ref="AP3147:AP3148"/>
    <mergeCell ref="AB3161:AB3162"/>
    <mergeCell ref="AK3155:AK3156"/>
    <mergeCell ref="AL3155:AL3156"/>
    <mergeCell ref="AM3155:AM3156"/>
    <mergeCell ref="AP3161:AP3162"/>
    <mergeCell ref="AO3153:AO3154"/>
    <mergeCell ref="AO3163:AO3164"/>
    <mergeCell ref="AP3163:AP3164"/>
    <mergeCell ref="AJ3155:AJ3156"/>
    <mergeCell ref="AJ3157:AJ3158"/>
    <mergeCell ref="AL3157:AL3158"/>
    <mergeCell ref="AM3157:AM3158"/>
    <mergeCell ref="AO3157:AO3158"/>
    <mergeCell ref="AI3151:AI3152"/>
    <mergeCell ref="AK3151:AK3152"/>
    <mergeCell ref="AL3151:AL3152"/>
    <mergeCell ref="AJ3153:AJ3154"/>
    <mergeCell ref="AC3153:AC3154"/>
    <mergeCell ref="AD3153:AD3154"/>
    <mergeCell ref="AF3153:AF3154"/>
    <mergeCell ref="AG3153:AG3154"/>
    <mergeCell ref="AH3153:AH3154"/>
    <mergeCell ref="AC3161:AC3162"/>
    <mergeCell ref="AD3161:AD3162"/>
    <mergeCell ref="AF3161:AF3162"/>
    <mergeCell ref="AG3161:AG3162"/>
    <mergeCell ref="AH3161:AH3162"/>
    <mergeCell ref="AI3161:AI3162"/>
    <mergeCell ref="AD3155:AD3156"/>
    <mergeCell ref="AF3155:AF3156"/>
    <mergeCell ref="AF3157:AF3158"/>
    <mergeCell ref="AG3157:AG3158"/>
    <mergeCell ref="AH3157:AH3158"/>
    <mergeCell ref="AI3157:AI3158"/>
    <mergeCell ref="AB3147:AB3148"/>
    <mergeCell ref="AB3141:AB3142"/>
    <mergeCell ref="AC3141:AC3142"/>
    <mergeCell ref="AD3141:AD3142"/>
    <mergeCell ref="AF3141:AF3142"/>
    <mergeCell ref="AG3141:AG3142"/>
    <mergeCell ref="AH3141:AH3142"/>
    <mergeCell ref="AD2479:AD2480"/>
    <mergeCell ref="AF2479:AF2480"/>
    <mergeCell ref="AH2479:AH2480"/>
    <mergeCell ref="AI2479:AI2480"/>
    <mergeCell ref="AK2479:AK2480"/>
    <mergeCell ref="AL2479:AL2480"/>
    <mergeCell ref="AI2475:AI2476"/>
    <mergeCell ref="AJ2445:AJ2446"/>
    <mergeCell ref="AJ2451:AJ2452"/>
    <mergeCell ref="AJ2453:AJ2454"/>
    <mergeCell ref="AO2461:AO2462"/>
    <mergeCell ref="AM2471:AM2472"/>
    <mergeCell ref="AO2471:AO2472"/>
    <mergeCell ref="AM2483:AM2484"/>
    <mergeCell ref="AO2483:AO2484"/>
    <mergeCell ref="AO2481:AO2482"/>
    <mergeCell ref="AO2469:AO2470"/>
    <mergeCell ref="AI2459:AI2460"/>
    <mergeCell ref="AF2459:AF2460"/>
    <mergeCell ref="AG2459:AG2460"/>
    <mergeCell ref="AJ2461:AJ2462"/>
    <mergeCell ref="AG2485:AG2486"/>
    <mergeCell ref="AH2485:AH2486"/>
    <mergeCell ref="AH2459:AH2460"/>
    <mergeCell ref="AH2469:AH2470"/>
    <mergeCell ref="AL2471:AL2472"/>
    <mergeCell ref="AL2483:AL2484"/>
    <mergeCell ref="AF2481:AF2482"/>
    <mergeCell ref="AG2481:AG2482"/>
    <mergeCell ref="AH2481:AH2482"/>
    <mergeCell ref="AI2481:AI2482"/>
    <mergeCell ref="AK2481:AK2482"/>
    <mergeCell ref="AJ2487:AJ2488"/>
    <mergeCell ref="AD2475:AD2476"/>
    <mergeCell ref="AF2475:AF2476"/>
    <mergeCell ref="AK2475:AK2476"/>
    <mergeCell ref="AM2487:AM2488"/>
    <mergeCell ref="N1720:N1721"/>
    <mergeCell ref="E1682:E1683"/>
    <mergeCell ref="F1702:F1703"/>
    <mergeCell ref="E1702:E1703"/>
    <mergeCell ref="E1710:E1711"/>
    <mergeCell ref="F1710:F1711"/>
    <mergeCell ref="E1706:E1707"/>
    <mergeCell ref="F1706:F1707"/>
    <mergeCell ref="AB1706:AB1707"/>
    <mergeCell ref="AC1706:AC1707"/>
    <mergeCell ref="AD1706:AD1707"/>
    <mergeCell ref="E1704:E1705"/>
    <mergeCell ref="F1704:F1705"/>
    <mergeCell ref="AH1575:AH1576"/>
    <mergeCell ref="AI1575:AI1576"/>
    <mergeCell ref="E2014:E2015"/>
    <mergeCell ref="F2014:F2015"/>
    <mergeCell ref="E2046:E2047"/>
    <mergeCell ref="E2048:E2049"/>
    <mergeCell ref="E1961:E1962"/>
    <mergeCell ref="F1961:F1962"/>
    <mergeCell ref="J1961:J1962"/>
    <mergeCell ref="N1961:N1962"/>
    <mergeCell ref="AC1923:AC1924"/>
    <mergeCell ref="AD1923:AD1924"/>
    <mergeCell ref="AF1923:AF1924"/>
    <mergeCell ref="AG1923:AG1924"/>
    <mergeCell ref="AG1909:AG1910"/>
    <mergeCell ref="E1939:E1940"/>
    <mergeCell ref="F1939:F1940"/>
    <mergeCell ref="J1939:J1940"/>
    <mergeCell ref="N1939:N1940"/>
    <mergeCell ref="Y2042:Y2043"/>
    <mergeCell ref="AA2042:AA2043"/>
    <mergeCell ref="F1987:F1988"/>
    <mergeCell ref="J1987:J1988"/>
    <mergeCell ref="N1987:N1988"/>
    <mergeCell ref="Y1987:Y1988"/>
    <mergeCell ref="AA1987:AA1988"/>
    <mergeCell ref="E1603:E1604"/>
    <mergeCell ref="F1603:F1604"/>
    <mergeCell ref="J1603:J1604"/>
    <mergeCell ref="N1603:N1604"/>
    <mergeCell ref="Y1603:Y1604"/>
    <mergeCell ref="AA1603:AA1604"/>
    <mergeCell ref="AB1603:AB1604"/>
    <mergeCell ref="AC1603:AC1604"/>
    <mergeCell ref="AD1603:AD1604"/>
    <mergeCell ref="E1583:E1584"/>
    <mergeCell ref="AF1583:AF1584"/>
    <mergeCell ref="AG1583:AG1584"/>
    <mergeCell ref="AB1636:AB1637"/>
    <mergeCell ref="AC1636:AC1637"/>
    <mergeCell ref="AD1636:AD1637"/>
    <mergeCell ref="AF1636:AF1637"/>
    <mergeCell ref="N1650:N1651"/>
    <mergeCell ref="Y1650:Y1651"/>
    <mergeCell ref="AG1744:AG1745"/>
    <mergeCell ref="F1975:F1976"/>
    <mergeCell ref="J1975:J1976"/>
    <mergeCell ref="N1975:N1976"/>
    <mergeCell ref="J2014:J2015"/>
    <mergeCell ref="J2024:J2025"/>
    <mergeCell ref="AA1939:AA1940"/>
    <mergeCell ref="AM785:AM786"/>
    <mergeCell ref="AJ769:AJ770"/>
    <mergeCell ref="AJ773:AJ774"/>
    <mergeCell ref="AJ777:AJ778"/>
    <mergeCell ref="AJ781:AJ782"/>
    <mergeCell ref="AI777:AI778"/>
    <mergeCell ref="AO773:AO774"/>
    <mergeCell ref="AD769:AD770"/>
    <mergeCell ref="J1245:J1246"/>
    <mergeCell ref="N1245:N1246"/>
    <mergeCell ref="Y725:Y726"/>
    <mergeCell ref="AL753:AL754"/>
    <mergeCell ref="AM753:AM754"/>
    <mergeCell ref="AG1412:AG1413"/>
    <mergeCell ref="AD1394:AD1395"/>
    <mergeCell ref="AC1368:AC1369"/>
    <mergeCell ref="AD1368:AD1369"/>
    <mergeCell ref="F1146:F1147"/>
    <mergeCell ref="E1164:E1165"/>
    <mergeCell ref="F1164:F1165"/>
    <mergeCell ref="J1164:J1165"/>
    <mergeCell ref="N1164:N1165"/>
    <mergeCell ref="Y1164:Y1165"/>
    <mergeCell ref="Y1309:Y1310"/>
    <mergeCell ref="AA1309:AA1310"/>
    <mergeCell ref="AB1309:AB1310"/>
    <mergeCell ref="E1217:E1218"/>
    <mergeCell ref="AC1225:AC1226"/>
    <mergeCell ref="F1249:F1250"/>
    <mergeCell ref="F1247:F1248"/>
    <mergeCell ref="J1247:J1248"/>
    <mergeCell ref="N1247:N1248"/>
    <mergeCell ref="Y1247:Y1248"/>
    <mergeCell ref="AA1247:AA1248"/>
    <mergeCell ref="AI1215:AI1216"/>
    <mergeCell ref="Y1289:Y1290"/>
    <mergeCell ref="AA1289:AA1290"/>
    <mergeCell ref="AB1289:AB1290"/>
    <mergeCell ref="Y1281:Y1282"/>
    <mergeCell ref="AA1281:AA1282"/>
    <mergeCell ref="AB1281:AB1282"/>
    <mergeCell ref="AC1281:AC1282"/>
    <mergeCell ref="AD1281:AD1282"/>
    <mergeCell ref="AF1281:AF1282"/>
    <mergeCell ref="E1237:E1238"/>
    <mergeCell ref="AK727:AK728"/>
    <mergeCell ref="AA731:AA732"/>
    <mergeCell ref="AL733:AL734"/>
    <mergeCell ref="AH757:AH758"/>
    <mergeCell ref="AI757:AI758"/>
    <mergeCell ref="AB801:AB802"/>
    <mergeCell ref="AF922:AF923"/>
    <mergeCell ref="AG922:AG923"/>
    <mergeCell ref="AH922:AH923"/>
    <mergeCell ref="AI922:AI923"/>
    <mergeCell ref="AJ922:AJ923"/>
    <mergeCell ref="AA749:AA750"/>
    <mergeCell ref="AI888:AI889"/>
    <mergeCell ref="AL896:AL897"/>
    <mergeCell ref="AA727:AA728"/>
    <mergeCell ref="AK743:AK744"/>
    <mergeCell ref="J727:J728"/>
    <mergeCell ref="AG888:AG889"/>
    <mergeCell ref="AH888:AH889"/>
    <mergeCell ref="E1249:E1250"/>
    <mergeCell ref="F1321:F1322"/>
    <mergeCell ref="J1321:J1322"/>
    <mergeCell ref="N1321:N1322"/>
    <mergeCell ref="Y1321:Y1322"/>
    <mergeCell ref="F1362:F1363"/>
    <mergeCell ref="J1362:J1363"/>
    <mergeCell ref="E1229:E1230"/>
    <mergeCell ref="AF1215:AF1216"/>
    <mergeCell ref="AG1215:AG1216"/>
    <mergeCell ref="AF1382:AF1383"/>
    <mergeCell ref="AG1382:AG1383"/>
    <mergeCell ref="AF789:AF790"/>
    <mergeCell ref="AK789:AK790"/>
    <mergeCell ref="AL769:AL770"/>
    <mergeCell ref="AG957:AG958"/>
    <mergeCell ref="AL957:AL958"/>
    <mergeCell ref="AF957:AF958"/>
    <mergeCell ref="AH957:AH958"/>
    <mergeCell ref="AI957:AI958"/>
    <mergeCell ref="AK957:AK958"/>
    <mergeCell ref="AG837:AG838"/>
    <mergeCell ref="AK769:AK770"/>
    <mergeCell ref="AB815:AB816"/>
    <mergeCell ref="AC815:AC816"/>
    <mergeCell ref="AD815:AD816"/>
    <mergeCell ref="AF815:AF816"/>
    <mergeCell ref="AG815:AG816"/>
    <mergeCell ref="AA890:AA891"/>
    <mergeCell ref="AB890:AB891"/>
    <mergeCell ref="AC890:AC891"/>
    <mergeCell ref="AD890:AD891"/>
    <mergeCell ref="AA892:AA893"/>
    <mergeCell ref="AF890:AF891"/>
    <mergeCell ref="AG890:AG891"/>
    <mergeCell ref="AA805:AA806"/>
    <mergeCell ref="AC805:AC806"/>
    <mergeCell ref="AD805:AD806"/>
    <mergeCell ref="AF805:AF806"/>
    <mergeCell ref="AG805:AG806"/>
    <mergeCell ref="AA807:AA808"/>
    <mergeCell ref="AB807:AB808"/>
    <mergeCell ref="AC807:AC808"/>
    <mergeCell ref="AD807:AD808"/>
    <mergeCell ref="AJ795:AJ796"/>
    <mergeCell ref="AK795:AK796"/>
    <mergeCell ref="AL795:AL796"/>
    <mergeCell ref="AI785:AI786"/>
    <mergeCell ref="AK785:AK786"/>
    <mergeCell ref="AL785:AL786"/>
    <mergeCell ref="AG1281:AG1282"/>
    <mergeCell ref="AH1281:AH1282"/>
    <mergeCell ref="AI1281:AI1282"/>
    <mergeCell ref="J1277:J1278"/>
    <mergeCell ref="E1245:E1246"/>
    <mergeCell ref="Y787:Y788"/>
    <mergeCell ref="J793:J794"/>
    <mergeCell ref="N793:N794"/>
    <mergeCell ref="F817:F818"/>
    <mergeCell ref="J817:J818"/>
    <mergeCell ref="F805:F806"/>
    <mergeCell ref="E805:E806"/>
    <mergeCell ref="N805:N806"/>
    <mergeCell ref="J823:J824"/>
    <mergeCell ref="Y811:Y812"/>
    <mergeCell ref="J787:J788"/>
    <mergeCell ref="AD1146:AD1147"/>
    <mergeCell ref="AF1146:AF1147"/>
    <mergeCell ref="AB711:AB712"/>
    <mergeCell ref="AC711:AC712"/>
    <mergeCell ref="AK715:AK716"/>
    <mergeCell ref="AL715:AL716"/>
    <mergeCell ref="AG709:AG710"/>
    <mergeCell ref="AH709:AH710"/>
    <mergeCell ref="AD705:AD706"/>
    <mergeCell ref="AF705:AF706"/>
    <mergeCell ref="AA957:AA958"/>
    <mergeCell ref="AB957:AB958"/>
    <mergeCell ref="AC957:AC958"/>
    <mergeCell ref="AD957:AD958"/>
    <mergeCell ref="AC727:AC728"/>
    <mergeCell ref="AL1020:AL1021"/>
    <mergeCell ref="AJ963:AJ964"/>
    <mergeCell ref="J1087:J1088"/>
    <mergeCell ref="N1087:N1088"/>
    <mergeCell ref="Y1087:Y1088"/>
    <mergeCell ref="AA1087:AA1088"/>
    <mergeCell ref="AB1087:AB1088"/>
    <mergeCell ref="AI743:AI744"/>
    <mergeCell ref="AL739:AL740"/>
    <mergeCell ref="AG739:AG740"/>
    <mergeCell ref="AK751:AK752"/>
    <mergeCell ref="AF769:AF770"/>
    <mergeCell ref="AG769:AG770"/>
    <mergeCell ref="AH769:AH770"/>
    <mergeCell ref="AC791:AC792"/>
    <mergeCell ref="AD791:AD792"/>
    <mergeCell ref="J1022:J1023"/>
    <mergeCell ref="N1022:N1023"/>
    <mergeCell ref="AD1022:AD1023"/>
    <mergeCell ref="AF1022:AF1023"/>
    <mergeCell ref="AG1022:AG1023"/>
    <mergeCell ref="AH1022:AH1023"/>
    <mergeCell ref="AI1022:AI1023"/>
    <mergeCell ref="AK1022:AK1023"/>
    <mergeCell ref="J805:J806"/>
    <mergeCell ref="AI723:AI724"/>
    <mergeCell ref="AL717:AL718"/>
    <mergeCell ref="AC719:AC720"/>
    <mergeCell ref="AD719:AD720"/>
    <mergeCell ref="AJ719:AJ720"/>
    <mergeCell ref="AB727:AB728"/>
    <mergeCell ref="AK763:AK764"/>
    <mergeCell ref="AD745:AD746"/>
    <mergeCell ref="AF745:AF746"/>
    <mergeCell ref="AK745:AK746"/>
    <mergeCell ref="AL791:AL792"/>
    <mergeCell ref="AL745:AL746"/>
    <mergeCell ref="AG751:AG752"/>
    <mergeCell ref="AH751:AH752"/>
    <mergeCell ref="AC721:AC722"/>
    <mergeCell ref="AA783:AA784"/>
    <mergeCell ref="AL807:AL808"/>
    <mergeCell ref="AI1034:AI1035"/>
    <mergeCell ref="AJ1034:AJ1035"/>
    <mergeCell ref="AK1046:AK1047"/>
    <mergeCell ref="AL1046:AL1047"/>
    <mergeCell ref="AI719:AI720"/>
    <mergeCell ref="F1531:F1532"/>
    <mergeCell ref="F1537:F1538"/>
    <mergeCell ref="F1533:F1534"/>
    <mergeCell ref="F1209:F1210"/>
    <mergeCell ref="F1199:F1200"/>
    <mergeCell ref="J1199:J1200"/>
    <mergeCell ref="Y1261:Y1262"/>
    <mergeCell ref="F1309:F1310"/>
    <mergeCell ref="J1309:J1310"/>
    <mergeCell ref="AA1164:AA1165"/>
    <mergeCell ref="Y1245:Y1246"/>
    <mergeCell ref="AA1245:AA1246"/>
    <mergeCell ref="N1249:N1250"/>
    <mergeCell ref="Y1249:Y1250"/>
    <mergeCell ref="AA1249:AA1250"/>
    <mergeCell ref="J1182:J1183"/>
    <mergeCell ref="N1182:N1183"/>
    <mergeCell ref="Y1182:Y1183"/>
    <mergeCell ref="AA1182:AA1183"/>
    <mergeCell ref="AB1182:AB1183"/>
    <mergeCell ref="AC1182:AC1183"/>
    <mergeCell ref="AD1182:AD1183"/>
    <mergeCell ref="AD1233:AD1234"/>
    <mergeCell ref="Y1227:Y1228"/>
    <mergeCell ref="AH1261:AH1262"/>
    <mergeCell ref="AK1267:AK1268"/>
    <mergeCell ref="AL1267:AL1268"/>
    <mergeCell ref="AG1217:AG1218"/>
    <mergeCell ref="AB1211:AB1212"/>
    <mergeCell ref="AF1217:AF1218"/>
    <mergeCell ref="AB1215:AB1216"/>
    <mergeCell ref="AC1215:AC1216"/>
    <mergeCell ref="AC1392:AC1393"/>
    <mergeCell ref="AF1406:AF1407"/>
    <mergeCell ref="AJ1412:AJ1413"/>
    <mergeCell ref="F1203:F1204"/>
    <mergeCell ref="AA1372:AA1373"/>
    <mergeCell ref="AB1372:AB1373"/>
    <mergeCell ref="AC1372:AC1373"/>
    <mergeCell ref="AF1259:AF1260"/>
    <mergeCell ref="AG1259:AG1260"/>
    <mergeCell ref="F1215:F1216"/>
    <mergeCell ref="AC1229:AC1230"/>
    <mergeCell ref="AD1229:AD1230"/>
    <mergeCell ref="AA1221:AA1222"/>
    <mergeCell ref="AB1221:AB1222"/>
    <mergeCell ref="AC1221:AC1222"/>
    <mergeCell ref="AD1221:AD1222"/>
    <mergeCell ref="F1245:F1246"/>
    <mergeCell ref="AC1275:AC1276"/>
    <mergeCell ref="AK1275:AK1276"/>
    <mergeCell ref="J1275:J1276"/>
    <mergeCell ref="N1275:N1276"/>
    <mergeCell ref="F1289:F1290"/>
    <mergeCell ref="F1259:F1260"/>
    <mergeCell ref="J1259:J1260"/>
    <mergeCell ref="N1259:N1260"/>
    <mergeCell ref="Y1259:Y1260"/>
    <mergeCell ref="AA1394:AA1395"/>
    <mergeCell ref="F1388:F1389"/>
    <mergeCell ref="J1388:J1389"/>
    <mergeCell ref="N1388:N1389"/>
    <mergeCell ref="Y1388:Y1389"/>
    <mergeCell ref="F1366:F1367"/>
    <mergeCell ref="AB1551:AB1552"/>
    <mergeCell ref="AC1551:AC1552"/>
    <mergeCell ref="AD1551:AD1552"/>
    <mergeCell ref="N1553:N1554"/>
    <mergeCell ref="Y1553:Y1554"/>
    <mergeCell ref="AA1553:AA1554"/>
    <mergeCell ref="AB1553:AB1554"/>
    <mergeCell ref="AK1553:AK1554"/>
    <mergeCell ref="AL1553:AL1554"/>
    <mergeCell ref="AC1553:AC1554"/>
    <mergeCell ref="AD1553:AD1554"/>
    <mergeCell ref="AF1553:AF1554"/>
    <mergeCell ref="J2277:J2278"/>
    <mergeCell ref="N2277:N2278"/>
    <mergeCell ref="AG3081:AG3082"/>
    <mergeCell ref="J3087:J3088"/>
    <mergeCell ref="N3087:N3088"/>
    <mergeCell ref="Y3087:Y3088"/>
    <mergeCell ref="N3107:N3108"/>
    <mergeCell ref="AG3083:AG3084"/>
    <mergeCell ref="AH3083:AH3084"/>
    <mergeCell ref="AI3083:AI3084"/>
    <mergeCell ref="AK3083:AK3084"/>
    <mergeCell ref="AL3083:AL3084"/>
    <mergeCell ref="AD3067:AD3068"/>
    <mergeCell ref="AF3067:AF3068"/>
    <mergeCell ref="AG3067:AG3068"/>
    <mergeCell ref="E3117:E3118"/>
    <mergeCell ref="AD3063:AD3064"/>
    <mergeCell ref="N3119:N3120"/>
    <mergeCell ref="AG2928:AG2929"/>
    <mergeCell ref="AH2928:AH2929"/>
    <mergeCell ref="J2966:J2967"/>
    <mergeCell ref="AA2980:AA2981"/>
    <mergeCell ref="AB2980:AB2981"/>
    <mergeCell ref="AC2980:AC2981"/>
    <mergeCell ref="AD2980:AD2981"/>
    <mergeCell ref="Y2824:Y2825"/>
    <mergeCell ref="Y2880:Y2881"/>
    <mergeCell ref="AA2880:AA2881"/>
    <mergeCell ref="N2229:N2230"/>
    <mergeCell ref="Y2229:Y2230"/>
    <mergeCell ref="Y2259:Y2260"/>
    <mergeCell ref="N2934:N2935"/>
    <mergeCell ref="J2914:J2915"/>
    <mergeCell ref="E2838:E2839"/>
    <mergeCell ref="F2766:F2767"/>
    <mergeCell ref="E2776:E2777"/>
    <mergeCell ref="F2776:F2777"/>
    <mergeCell ref="J3006:J3007"/>
    <mergeCell ref="N3006:N3007"/>
    <mergeCell ref="Y3006:Y3007"/>
    <mergeCell ref="AA3006:AA3007"/>
    <mergeCell ref="AA2996:AA2997"/>
    <mergeCell ref="AB2996:AB2997"/>
    <mergeCell ref="AC2996:AC2997"/>
    <mergeCell ref="J2706:J2707"/>
    <mergeCell ref="E2704:E2705"/>
    <mergeCell ref="F2704:F2705"/>
    <mergeCell ref="E1965:E1966"/>
    <mergeCell ref="E1975:E1976"/>
    <mergeCell ref="E1720:E1721"/>
    <mergeCell ref="F1720:F1721"/>
    <mergeCell ref="J1720:J1721"/>
    <mergeCell ref="AP605:AP606"/>
    <mergeCell ref="Y579:Y580"/>
    <mergeCell ref="AA579:AA580"/>
    <mergeCell ref="AB579:AB580"/>
    <mergeCell ref="E583:E584"/>
    <mergeCell ref="AC579:AC580"/>
    <mergeCell ref="F583:F584"/>
    <mergeCell ref="J583:J584"/>
    <mergeCell ref="AG581:AG582"/>
    <mergeCell ref="AH581:AH582"/>
    <mergeCell ref="AK593:AK594"/>
    <mergeCell ref="AL593:AL594"/>
    <mergeCell ref="AO593:AO594"/>
    <mergeCell ref="AF591:AF592"/>
    <mergeCell ref="AG591:AG592"/>
    <mergeCell ref="AH591:AH592"/>
    <mergeCell ref="AI591:AI592"/>
    <mergeCell ref="AK591:AK592"/>
    <mergeCell ref="AL591:AL592"/>
    <mergeCell ref="J579:J580"/>
    <mergeCell ref="E589:E590"/>
    <mergeCell ref="AG595:AG596"/>
    <mergeCell ref="AH595:AH596"/>
    <mergeCell ref="AH607:AH608"/>
    <mergeCell ref="AI607:AI608"/>
    <mergeCell ref="E791:E792"/>
    <mergeCell ref="F791:F792"/>
    <mergeCell ref="AL723:AL724"/>
    <mergeCell ref="AD723:AD724"/>
    <mergeCell ref="Y727:Y728"/>
    <mergeCell ref="F719:F720"/>
    <mergeCell ref="J741:J742"/>
    <mergeCell ref="AC837:AC838"/>
    <mergeCell ref="AD837:AD838"/>
    <mergeCell ref="E823:E824"/>
    <mergeCell ref="AL757:AL758"/>
    <mergeCell ref="AB747:AB748"/>
    <mergeCell ref="AI751:AI752"/>
    <mergeCell ref="AJ763:AJ764"/>
    <mergeCell ref="AJ767:AJ768"/>
    <mergeCell ref="AI767:AI768"/>
    <mergeCell ref="Y747:Y748"/>
    <mergeCell ref="AM805:AM806"/>
    <mergeCell ref="AM807:AM808"/>
    <mergeCell ref="AG807:AG808"/>
    <mergeCell ref="AF837:AF838"/>
    <mergeCell ref="E829:E830"/>
    <mergeCell ref="F829:F830"/>
    <mergeCell ref="J829:J830"/>
    <mergeCell ref="N829:N830"/>
    <mergeCell ref="Y829:Y830"/>
    <mergeCell ref="AA829:AA830"/>
    <mergeCell ref="AB829:AB830"/>
    <mergeCell ref="AC829:AC830"/>
    <mergeCell ref="AD829:AD830"/>
    <mergeCell ref="AF829:AF830"/>
    <mergeCell ref="E837:E838"/>
    <mergeCell ref="F837:F838"/>
    <mergeCell ref="AC811:AC812"/>
    <mergeCell ref="AF821:AF822"/>
    <mergeCell ref="AG821:AG822"/>
    <mergeCell ref="AH821:AH822"/>
    <mergeCell ref="AI821:AI822"/>
    <mergeCell ref="AJ688:AJ689"/>
    <mergeCell ref="N2267:N2268"/>
    <mergeCell ref="Y2267:Y2268"/>
    <mergeCell ref="AA2267:AA2268"/>
    <mergeCell ref="AB2267:AB2268"/>
    <mergeCell ref="AC2267:AC2268"/>
    <mergeCell ref="J2225:J2226"/>
    <mergeCell ref="AF2155:AF2156"/>
    <mergeCell ref="Y2155:Y2156"/>
    <mergeCell ref="F2169:F2170"/>
    <mergeCell ref="AB2052:AB2053"/>
    <mergeCell ref="AC2052:AC2053"/>
    <mergeCell ref="AD2052:AD2053"/>
    <mergeCell ref="AF2052:AF2053"/>
    <mergeCell ref="AA2038:AA2039"/>
    <mergeCell ref="AB2038:AB2039"/>
    <mergeCell ref="AC2038:AC2039"/>
    <mergeCell ref="N2030:N2031"/>
    <mergeCell ref="AB2022:AB2023"/>
    <mergeCell ref="AC2022:AC2023"/>
    <mergeCell ref="Y2026:Y2027"/>
    <mergeCell ref="AA2026:AA2027"/>
    <mergeCell ref="AB2026:AB2027"/>
    <mergeCell ref="AC2026:AC2027"/>
    <mergeCell ref="AD2026:AD2027"/>
    <mergeCell ref="E2068:E2069"/>
    <mergeCell ref="F2068:F2069"/>
    <mergeCell ref="E2042:E2043"/>
    <mergeCell ref="J2006:J2007"/>
    <mergeCell ref="Y2000:Y2001"/>
    <mergeCell ref="E2024:E2025"/>
    <mergeCell ref="F2024:F2025"/>
    <mergeCell ref="AD1993:AD1994"/>
    <mergeCell ref="AF1993:AF1994"/>
    <mergeCell ref="E2000:E2001"/>
    <mergeCell ref="E2167:E2168"/>
    <mergeCell ref="E2235:E2236"/>
    <mergeCell ref="E2217:E2218"/>
    <mergeCell ref="F2217:F2218"/>
    <mergeCell ref="AA2217:AA2218"/>
    <mergeCell ref="AC2257:AC2258"/>
    <mergeCell ref="AD2257:AD2258"/>
    <mergeCell ref="J2267:J2268"/>
    <mergeCell ref="Y2163:Y2164"/>
    <mergeCell ref="AA2129:AA2130"/>
    <mergeCell ref="J2177:J2178"/>
    <mergeCell ref="Y2102:Y2103"/>
    <mergeCell ref="AA2102:AA2103"/>
    <mergeCell ref="AB2102:AB2103"/>
    <mergeCell ref="AC2102:AC2103"/>
    <mergeCell ref="AD2102:AD2103"/>
    <mergeCell ref="E2151:E2152"/>
    <mergeCell ref="AC2135:AC2136"/>
    <mergeCell ref="AA2135:AA2136"/>
    <mergeCell ref="AB2135:AB2136"/>
    <mergeCell ref="E2131:E2132"/>
    <mergeCell ref="F2131:F2132"/>
    <mergeCell ref="J2139:J2140"/>
    <mergeCell ref="E2102:E2103"/>
    <mergeCell ref="F2102:F2103"/>
    <mergeCell ref="J2102:J2103"/>
    <mergeCell ref="F2171:F2172"/>
    <mergeCell ref="E2173:E2174"/>
    <mergeCell ref="F2173:F2174"/>
    <mergeCell ref="Y2165:Y2166"/>
    <mergeCell ref="N2221:N2222"/>
    <mergeCell ref="Y2221:Y2222"/>
    <mergeCell ref="J2237:J2238"/>
    <mergeCell ref="N2237:N2238"/>
    <mergeCell ref="Y2237:Y2238"/>
    <mergeCell ref="AH2251:AH2252"/>
    <mergeCell ref="J2229:J2230"/>
    <mergeCell ref="AG2197:AG2198"/>
    <mergeCell ref="AH2197:AH2198"/>
    <mergeCell ref="AI2197:AI2198"/>
    <mergeCell ref="AC2191:AC2192"/>
    <mergeCell ref="AD2245:AD2246"/>
    <mergeCell ref="AG2195:AG2196"/>
    <mergeCell ref="AC2197:AC2198"/>
    <mergeCell ref="AD2197:AD2198"/>
    <mergeCell ref="AI2191:AI2192"/>
    <mergeCell ref="AI2167:AI2168"/>
    <mergeCell ref="AH2169:AH2170"/>
    <mergeCell ref="J2173:J2174"/>
    <mergeCell ref="AF2175:AF2176"/>
    <mergeCell ref="J2217:J2218"/>
    <mergeCell ref="N2217:N2218"/>
    <mergeCell ref="Y2217:Y2218"/>
    <mergeCell ref="E1971:E1972"/>
    <mergeCell ref="E1969:E1970"/>
    <mergeCell ref="F1969:F1970"/>
    <mergeCell ref="J1969:J1970"/>
    <mergeCell ref="AF2139:AF2140"/>
    <mergeCell ref="Y2149:Y2150"/>
    <mergeCell ref="AA2149:AA2150"/>
    <mergeCell ref="AB2149:AB2150"/>
    <mergeCell ref="J2129:J2130"/>
    <mergeCell ref="N2129:N2130"/>
    <mergeCell ref="Y2129:Y2130"/>
    <mergeCell ref="AD2024:AD2025"/>
    <mergeCell ref="E2145:E2146"/>
    <mergeCell ref="F2145:F2146"/>
    <mergeCell ref="E2143:E2144"/>
    <mergeCell ref="F2143:F2144"/>
    <mergeCell ref="E2052:E2053"/>
    <mergeCell ref="F2052:F2053"/>
    <mergeCell ref="AB2181:AB2182"/>
    <mergeCell ref="AC2181:AC2182"/>
    <mergeCell ref="AD2181:AD2182"/>
    <mergeCell ref="J2213:J2214"/>
    <mergeCell ref="AG2159:AG2160"/>
    <mergeCell ref="AI2155:AI2156"/>
    <mergeCell ref="AA2165:AA2166"/>
    <mergeCell ref="J2147:J2148"/>
    <mergeCell ref="E2106:E2107"/>
    <mergeCell ref="F2106:F2107"/>
    <mergeCell ref="J2106:J2107"/>
    <mergeCell ref="J2116:J2117"/>
    <mergeCell ref="AA2116:AA2117"/>
    <mergeCell ref="AB2116:AB2117"/>
    <mergeCell ref="AC2116:AC2117"/>
    <mergeCell ref="AD2116:AD2117"/>
    <mergeCell ref="AF2116:AF2117"/>
    <mergeCell ref="AG2116:AG2117"/>
    <mergeCell ref="AH2116:AH2117"/>
    <mergeCell ref="AI2116:AI2117"/>
    <mergeCell ref="AH2143:AH2144"/>
    <mergeCell ref="AH2147:AH2148"/>
    <mergeCell ref="N2139:N2140"/>
    <mergeCell ref="AK2908:AK2909"/>
    <mergeCell ref="AF2493:AF2494"/>
    <mergeCell ref="AD2690:AD2691"/>
    <mergeCell ref="AC2920:AC2921"/>
    <mergeCell ref="E2852:E2853"/>
    <mergeCell ref="AJ2213:AJ2214"/>
    <mergeCell ref="AJ2215:AJ2216"/>
    <mergeCell ref="E2818:E2819"/>
    <mergeCell ref="Y2832:Y2833"/>
    <mergeCell ref="N2908:N2909"/>
    <mergeCell ref="N2914:N2915"/>
    <mergeCell ref="Y2914:Y2915"/>
    <mergeCell ref="AA2914:AA2915"/>
    <mergeCell ref="AB2920:AB2921"/>
    <mergeCell ref="E2864:E2865"/>
    <mergeCell ref="E2876:E2877"/>
    <mergeCell ref="AF2918:AF2919"/>
    <mergeCell ref="J2910:J2911"/>
    <mergeCell ref="AA2902:AA2903"/>
    <mergeCell ref="AC2904:AC2905"/>
    <mergeCell ref="AD2904:AD2905"/>
    <mergeCell ref="AB2904:AB2905"/>
    <mergeCell ref="E2830:E2831"/>
    <mergeCell ref="AI2361:AI2362"/>
    <mergeCell ref="Y2381:Y2382"/>
    <mergeCell ref="AA2381:AA2382"/>
    <mergeCell ref="AC2245:AC2246"/>
    <mergeCell ref="N2165:N2166"/>
    <mergeCell ref="Y2131:Y2132"/>
    <mergeCell ref="AA2131:AA2132"/>
    <mergeCell ref="AF2197:AF2198"/>
    <mergeCell ref="AI2175:AI2176"/>
    <mergeCell ref="AB2165:AB2166"/>
    <mergeCell ref="J2155:J2156"/>
    <mergeCell ref="AC2159:AC2160"/>
    <mergeCell ref="AD2159:AD2160"/>
    <mergeCell ref="AF2159:AF2160"/>
    <mergeCell ref="AA2159:AA2160"/>
    <mergeCell ref="AB2159:AB2160"/>
    <mergeCell ref="Y2139:Y2140"/>
    <mergeCell ref="Y2361:Y2362"/>
    <mergeCell ref="J2181:J2182"/>
    <mergeCell ref="N2181:N2182"/>
    <mergeCell ref="Y2181:Y2182"/>
    <mergeCell ref="AA2181:AA2182"/>
    <mergeCell ref="AI2189:AI2190"/>
    <mergeCell ref="J2189:J2190"/>
    <mergeCell ref="N2189:N2190"/>
    <mergeCell ref="Y2185:Y2186"/>
    <mergeCell ref="AA2185:AA2186"/>
    <mergeCell ref="AB2185:AB2186"/>
    <mergeCell ref="AC2185:AC2186"/>
    <mergeCell ref="AD2185:AD2186"/>
    <mergeCell ref="AF2185:AF2186"/>
    <mergeCell ref="AG2209:AG2210"/>
    <mergeCell ref="AH2209:AH2210"/>
    <mergeCell ref="AI2209:AI2210"/>
    <mergeCell ref="AB2223:AB2224"/>
    <mergeCell ref="AC2137:AC2138"/>
    <mergeCell ref="AC2133:AC2134"/>
    <mergeCell ref="AH2133:AH2134"/>
    <mergeCell ref="J2355:J2356"/>
    <mergeCell ref="N2355:N2356"/>
    <mergeCell ref="J2223:J2224"/>
    <mergeCell ref="E2908:E2909"/>
    <mergeCell ref="F2946:F2947"/>
    <mergeCell ref="J2946:J2947"/>
    <mergeCell ref="E2948:E2949"/>
    <mergeCell ref="F2908:F2909"/>
    <mergeCell ref="J2908:J2909"/>
    <mergeCell ref="F2912:F2913"/>
    <mergeCell ref="E2880:E2881"/>
    <mergeCell ref="F2880:F2881"/>
    <mergeCell ref="J2880:J2881"/>
    <mergeCell ref="AD2900:AD2901"/>
    <mergeCell ref="AB2974:AB2975"/>
    <mergeCell ref="AC2974:AC2975"/>
    <mergeCell ref="AD2974:AD2975"/>
    <mergeCell ref="AA2964:AA2965"/>
    <mergeCell ref="AB2922:AB2923"/>
    <mergeCell ref="AC2922:AC2923"/>
    <mergeCell ref="AD2922:AD2923"/>
    <mergeCell ref="AA2920:AA2921"/>
    <mergeCell ref="AA2916:AA2917"/>
    <mergeCell ref="F2930:F2931"/>
    <mergeCell ref="J2930:J2931"/>
    <mergeCell ref="N2930:N2931"/>
    <mergeCell ref="N2918:N2919"/>
    <mergeCell ref="Y2908:Y2909"/>
    <mergeCell ref="N2912:N2913"/>
    <mergeCell ref="Y2912:Y2913"/>
    <mergeCell ref="E2884:E2885"/>
    <mergeCell ref="E2914:E2915"/>
    <mergeCell ref="E2928:E2929"/>
    <mergeCell ref="J2928:J2929"/>
    <mergeCell ref="E2920:E2921"/>
    <mergeCell ref="E2916:E2917"/>
    <mergeCell ref="E2898:E2899"/>
    <mergeCell ref="E2892:E2893"/>
    <mergeCell ref="AD2896:AD2897"/>
    <mergeCell ref="E2894:E2895"/>
    <mergeCell ref="F2894:F2895"/>
    <mergeCell ref="J2894:J2895"/>
    <mergeCell ref="N2894:N2895"/>
    <mergeCell ref="F2916:F2917"/>
    <mergeCell ref="J2916:J2917"/>
    <mergeCell ref="N2916:N2917"/>
    <mergeCell ref="Y2916:Y2917"/>
    <mergeCell ref="AA2900:AA2901"/>
    <mergeCell ref="F2942:F2943"/>
    <mergeCell ref="J2942:J2943"/>
    <mergeCell ref="N2920:N2921"/>
    <mergeCell ref="AD2918:AD2919"/>
    <mergeCell ref="AA2942:AA2943"/>
    <mergeCell ref="Y2894:Y2895"/>
    <mergeCell ref="Y2934:Y2935"/>
    <mergeCell ref="AA2934:AA2935"/>
    <mergeCell ref="AD2920:AD2921"/>
    <mergeCell ref="J2918:J2919"/>
    <mergeCell ref="F2928:F2929"/>
    <mergeCell ref="F2890:F2891"/>
    <mergeCell ref="J2890:J2891"/>
    <mergeCell ref="AB2890:AB2891"/>
    <mergeCell ref="AC2890:AC2891"/>
    <mergeCell ref="AD2890:AD2891"/>
    <mergeCell ref="J2912:J2913"/>
    <mergeCell ref="F2914:F2915"/>
    <mergeCell ref="AB2894:AB2895"/>
    <mergeCell ref="F2870:F2871"/>
    <mergeCell ref="AF2908:AF2909"/>
    <mergeCell ref="AF2930:AF2931"/>
    <mergeCell ref="AB2900:AB2901"/>
    <mergeCell ref="Y2930:Y2931"/>
    <mergeCell ref="AB2880:AB2881"/>
    <mergeCell ref="J2936:J2937"/>
    <mergeCell ref="J2852:J2853"/>
    <mergeCell ref="N2852:N2853"/>
    <mergeCell ref="Y2852:Y2853"/>
    <mergeCell ref="AA2852:AA2853"/>
    <mergeCell ref="AB2852:AB2853"/>
    <mergeCell ref="E2868:E2869"/>
    <mergeCell ref="E2866:E2867"/>
    <mergeCell ref="F2866:F2867"/>
    <mergeCell ref="AF2864:AF2865"/>
    <mergeCell ref="N2950:N2951"/>
    <mergeCell ref="Y2950:Y2951"/>
    <mergeCell ref="AA2950:AA2951"/>
    <mergeCell ref="AB2950:AB2951"/>
    <mergeCell ref="AC2950:AC2951"/>
    <mergeCell ref="AD2950:AD2951"/>
    <mergeCell ref="AF2950:AF2951"/>
    <mergeCell ref="AA2864:AA2865"/>
    <mergeCell ref="AB2864:AB2865"/>
    <mergeCell ref="E2900:E2901"/>
    <mergeCell ref="F2900:F2901"/>
    <mergeCell ref="AC2930:AC2931"/>
    <mergeCell ref="J2860:J2861"/>
    <mergeCell ref="Y2884:Y2885"/>
    <mergeCell ref="AA2884:AA2885"/>
    <mergeCell ref="AB2884:AB2885"/>
    <mergeCell ref="AC2884:AC2885"/>
    <mergeCell ref="AD2884:AD2885"/>
    <mergeCell ref="AF2884:AF2885"/>
    <mergeCell ref="AA2868:AA2869"/>
    <mergeCell ref="AB2868:AB2869"/>
    <mergeCell ref="AC2868:AC2869"/>
    <mergeCell ref="AF2874:AF2875"/>
    <mergeCell ref="AB2876:AB2877"/>
    <mergeCell ref="AC2876:AC2877"/>
    <mergeCell ref="AD2876:AD2877"/>
    <mergeCell ref="AF2876:AF2877"/>
    <mergeCell ref="E2856:E2857"/>
    <mergeCell ref="AD2864:AD2865"/>
    <mergeCell ref="E2874:E2875"/>
    <mergeCell ref="F2874:F2875"/>
    <mergeCell ref="J2874:J2875"/>
    <mergeCell ref="N2874:N2875"/>
    <mergeCell ref="Y2874:Y2875"/>
    <mergeCell ref="AA2874:AA2875"/>
    <mergeCell ref="AB2874:AB2875"/>
    <mergeCell ref="AC2874:AC2875"/>
    <mergeCell ref="AA2928:AA2929"/>
    <mergeCell ref="F2906:F2907"/>
    <mergeCell ref="J2906:J2907"/>
    <mergeCell ref="N2906:N2907"/>
    <mergeCell ref="Y2906:Y2907"/>
    <mergeCell ref="AF2906:AF2907"/>
    <mergeCell ref="E2932:E2933"/>
    <mergeCell ref="F2932:F2933"/>
    <mergeCell ref="AB2928:AB2929"/>
    <mergeCell ref="J2932:J2933"/>
    <mergeCell ref="N2932:N2933"/>
    <mergeCell ref="E2788:E2789"/>
    <mergeCell ref="F2788:F2789"/>
    <mergeCell ref="J2788:J2789"/>
    <mergeCell ref="N2788:N2789"/>
    <mergeCell ref="Y2788:Y2789"/>
    <mergeCell ref="AA2788:AA2789"/>
    <mergeCell ref="AB2788:AB2789"/>
    <mergeCell ref="N2880:N2881"/>
    <mergeCell ref="AC2928:AC2929"/>
    <mergeCell ref="E2814:E2815"/>
    <mergeCell ref="F2814:F2815"/>
    <mergeCell ref="AD2928:AD2929"/>
    <mergeCell ref="AD2940:AD2941"/>
    <mergeCell ref="AA2936:AA2937"/>
    <mergeCell ref="AB2936:AB2937"/>
    <mergeCell ref="AB2956:AB2957"/>
    <mergeCell ref="AC2936:AC2937"/>
    <mergeCell ref="AF2968:AF2969"/>
    <mergeCell ref="F2966:F2967"/>
    <mergeCell ref="AH2904:AH2905"/>
    <mergeCell ref="AD2852:AD2853"/>
    <mergeCell ref="E2936:E2937"/>
    <mergeCell ref="J2940:J2941"/>
    <mergeCell ref="AB2940:AB2941"/>
    <mergeCell ref="Y2966:Y2967"/>
    <mergeCell ref="AG2940:AG2941"/>
    <mergeCell ref="AH2940:AH2941"/>
    <mergeCell ref="AF2920:AF2921"/>
    <mergeCell ref="Y2920:Y2921"/>
    <mergeCell ref="AC2908:AC2909"/>
    <mergeCell ref="AD2908:AD2909"/>
    <mergeCell ref="AG2936:AG2937"/>
    <mergeCell ref="AF2934:AF2935"/>
    <mergeCell ref="AH2926:AH2927"/>
    <mergeCell ref="AF2956:AF2957"/>
    <mergeCell ref="Y2892:Y2893"/>
    <mergeCell ref="AA2892:AA2893"/>
    <mergeCell ref="E2934:E2935"/>
    <mergeCell ref="F2934:F2935"/>
    <mergeCell ref="AF2946:AF2947"/>
    <mergeCell ref="J2888:J2889"/>
    <mergeCell ref="N2862:N2863"/>
    <mergeCell ref="J2870:J2871"/>
    <mergeCell ref="N2870:N2871"/>
    <mergeCell ref="Y2870:Y2871"/>
    <mergeCell ref="AA2870:AA2871"/>
    <mergeCell ref="AH2870:AH2871"/>
    <mergeCell ref="N2868:N2869"/>
    <mergeCell ref="N2946:N2947"/>
    <mergeCell ref="Y2946:Y2947"/>
    <mergeCell ref="AA2946:AA2947"/>
    <mergeCell ref="AB2946:AB2947"/>
    <mergeCell ref="AC2946:AC2947"/>
    <mergeCell ref="AD2946:AD2947"/>
    <mergeCell ref="AB2948:AB2949"/>
    <mergeCell ref="AC2948:AC2949"/>
    <mergeCell ref="F2838:F2839"/>
    <mergeCell ref="AC2900:AC2901"/>
    <mergeCell ref="F2892:F2893"/>
    <mergeCell ref="J2892:J2893"/>
    <mergeCell ref="N2892:N2893"/>
    <mergeCell ref="AB2882:AB2883"/>
    <mergeCell ref="AB2932:AB2933"/>
    <mergeCell ref="J2838:J2839"/>
    <mergeCell ref="AF1674:AF1675"/>
    <mergeCell ref="J1662:J1663"/>
    <mergeCell ref="N1662:N1663"/>
    <mergeCell ref="Y1662:Y1663"/>
    <mergeCell ref="AA1662:AA1663"/>
    <mergeCell ref="Y1674:Y1675"/>
    <mergeCell ref="AH1660:AH1661"/>
    <mergeCell ref="AL1674:AL1675"/>
    <mergeCell ref="AL1676:AL1677"/>
    <mergeCell ref="AL1680:AL1681"/>
    <mergeCell ref="F1636:F1637"/>
    <mergeCell ref="J1636:J1637"/>
    <mergeCell ref="AA1666:AA1667"/>
    <mergeCell ref="AB1666:AB1667"/>
    <mergeCell ref="AF1670:AF1671"/>
    <mergeCell ref="AG1670:AG1671"/>
    <mergeCell ref="AH1670:AH1671"/>
    <mergeCell ref="AI1670:AI1671"/>
    <mergeCell ref="AJ1670:AJ1671"/>
    <mergeCell ref="F1680:F1681"/>
    <mergeCell ref="J1674:J1675"/>
    <mergeCell ref="N1674:N1675"/>
    <mergeCell ref="N1676:N1677"/>
    <mergeCell ref="AH1676:AH1677"/>
    <mergeCell ref="AI1676:AI1677"/>
    <mergeCell ref="AC1674:AC1675"/>
    <mergeCell ref="AD1676:AD1677"/>
    <mergeCell ref="N1670:N1671"/>
    <mergeCell ref="N1666:N1667"/>
    <mergeCell ref="AL1543:AL1544"/>
    <mergeCell ref="Y1656:Y1657"/>
    <mergeCell ref="AA1656:AA1657"/>
    <mergeCell ref="AB1656:AB1657"/>
    <mergeCell ref="AC1656:AC1657"/>
    <mergeCell ref="AD1656:AD1657"/>
    <mergeCell ref="AF1656:AF1657"/>
    <mergeCell ref="AL1656:AL1657"/>
    <mergeCell ref="AK1634:AK1635"/>
    <mergeCell ref="AF1648:AF1649"/>
    <mergeCell ref="AI1551:AI1552"/>
    <mergeCell ref="AK1551:AK1552"/>
    <mergeCell ref="AL1551:AL1552"/>
    <mergeCell ref="AI1660:AI1661"/>
    <mergeCell ref="N1680:N1681"/>
    <mergeCell ref="F1660:F1661"/>
    <mergeCell ref="J1660:J1661"/>
    <mergeCell ref="N1660:N1661"/>
    <mergeCell ref="F1666:F1667"/>
    <mergeCell ref="J1666:J1667"/>
    <mergeCell ref="AD1670:AD1671"/>
    <mergeCell ref="J1670:J1671"/>
    <mergeCell ref="Y1680:Y1681"/>
    <mergeCell ref="AA1680:AA1681"/>
    <mergeCell ref="Y1672:Y1673"/>
    <mergeCell ref="AI1672:AI1673"/>
    <mergeCell ref="AD1650:AD1651"/>
    <mergeCell ref="AF1650:AF1651"/>
    <mergeCell ref="AG1650:AG1651"/>
    <mergeCell ref="AH1650:AH1651"/>
    <mergeCell ref="AI1650:AI1651"/>
    <mergeCell ref="AJ1634:AJ1635"/>
    <mergeCell ref="AJ1636:AJ1637"/>
    <mergeCell ref="AL1563:AL1564"/>
    <mergeCell ref="AB1652:AB1653"/>
    <mergeCell ref="AG1688:AG1689"/>
    <mergeCell ref="AJ1688:AJ1689"/>
    <mergeCell ref="AL1682:AL1683"/>
    <mergeCell ref="AG1676:AG1677"/>
    <mergeCell ref="Y1676:Y1677"/>
    <mergeCell ref="AA1676:AA1677"/>
    <mergeCell ref="AB1676:AB1677"/>
    <mergeCell ref="AK1674:AK1675"/>
    <mergeCell ref="AA1674:AA1675"/>
    <mergeCell ref="AB1674:AB1675"/>
    <mergeCell ref="AF1658:AF1659"/>
    <mergeCell ref="AG1660:AG1661"/>
    <mergeCell ref="Y1666:Y1667"/>
    <mergeCell ref="AL1630:AL1631"/>
    <mergeCell ref="AK1682:AK1683"/>
    <mergeCell ref="AH1682:AH1683"/>
    <mergeCell ref="AI1682:AI1683"/>
    <mergeCell ref="E1442:E1443"/>
    <mergeCell ref="F1442:F1443"/>
    <mergeCell ref="J1442:J1443"/>
    <mergeCell ref="N1442:N1443"/>
    <mergeCell ref="F1416:F1417"/>
    <mergeCell ref="AF1368:AF1369"/>
    <mergeCell ref="AG1368:AG1369"/>
    <mergeCell ref="AA1368:AA1369"/>
    <mergeCell ref="Y1341:Y1342"/>
    <mergeCell ref="AH1388:AH1389"/>
    <mergeCell ref="AI1388:AI1389"/>
    <mergeCell ref="AC1402:AC1403"/>
    <mergeCell ref="N1452:N1453"/>
    <mergeCell ref="F1370:F1371"/>
    <mergeCell ref="J1370:J1371"/>
    <mergeCell ref="N1370:N1371"/>
    <mergeCell ref="J1372:J1373"/>
    <mergeCell ref="AF1372:AF1373"/>
    <mergeCell ref="AL1662:AL1663"/>
    <mergeCell ref="AI1654:AI1655"/>
    <mergeCell ref="AB1650:AB1651"/>
    <mergeCell ref="AC1650:AC1651"/>
    <mergeCell ref="AL1654:AL1655"/>
    <mergeCell ref="AJ1630:AJ1631"/>
    <mergeCell ref="AJ1632:AJ1633"/>
    <mergeCell ref="AB1547:AB1548"/>
    <mergeCell ref="AC1547:AC1548"/>
    <mergeCell ref="AD1547:AD1548"/>
    <mergeCell ref="AK1541:AK1542"/>
    <mergeCell ref="AG1450:AG1451"/>
    <mergeCell ref="AC1658:AC1659"/>
    <mergeCell ref="AD1658:AD1659"/>
    <mergeCell ref="AH1678:AH1679"/>
    <mergeCell ref="AI1678:AI1679"/>
    <mergeCell ref="AJ1678:AJ1679"/>
    <mergeCell ref="E1394:E1395"/>
    <mergeCell ref="F1394:F1395"/>
    <mergeCell ref="J1394:J1395"/>
    <mergeCell ref="N1394:N1395"/>
    <mergeCell ref="E1396:E1397"/>
    <mergeCell ref="F1396:F1397"/>
    <mergeCell ref="AA1366:AA1367"/>
    <mergeCell ref="J1366:J1367"/>
    <mergeCell ref="AD1674:AD1675"/>
    <mergeCell ref="AB1402:AB1403"/>
    <mergeCell ref="E1372:E1373"/>
    <mergeCell ref="AB1366:AB1367"/>
    <mergeCell ref="Y1706:Y1707"/>
    <mergeCell ref="AA1706:AA1707"/>
    <mergeCell ref="Y1720:Y1721"/>
    <mergeCell ref="Y1810:Y1811"/>
    <mergeCell ref="Y1826:Y1827"/>
    <mergeCell ref="AA1826:AA1827"/>
    <mergeCell ref="AH1826:AH1827"/>
    <mergeCell ref="AI1182:AI1183"/>
    <mergeCell ref="AG1207:AG1208"/>
    <mergeCell ref="AH1207:AH1208"/>
    <mergeCell ref="AH1215:AH1216"/>
    <mergeCell ref="F1305:F1306"/>
    <mergeCell ref="J1305:J1306"/>
    <mergeCell ref="F1303:F1304"/>
    <mergeCell ref="Y1215:Y1216"/>
    <mergeCell ref="AA1215:AA1216"/>
    <mergeCell ref="AL1426:AL1427"/>
    <mergeCell ref="AH1426:AH1427"/>
    <mergeCell ref="AG2726:AG2727"/>
    <mergeCell ref="AH2726:AH2727"/>
    <mergeCell ref="F1909:F1910"/>
    <mergeCell ref="AC1913:AC1914"/>
    <mergeCell ref="AD1913:AD1914"/>
    <mergeCell ref="AH1217:AH1218"/>
    <mergeCell ref="AD1372:AD1373"/>
    <mergeCell ref="AH609:AH610"/>
    <mergeCell ref="AJ1370:AJ1371"/>
    <mergeCell ref="AJ1372:AJ1373"/>
    <mergeCell ref="AJ1374:AJ1375"/>
    <mergeCell ref="F1374:F1375"/>
    <mergeCell ref="J1400:J1401"/>
    <mergeCell ref="F1400:F1401"/>
    <mergeCell ref="N1400:N1401"/>
    <mergeCell ref="Y1400:Y1401"/>
    <mergeCell ref="AA1400:AA1401"/>
    <mergeCell ref="AB1400:AB1401"/>
    <mergeCell ref="AC1400:AC1401"/>
    <mergeCell ref="F1378:F1379"/>
    <mergeCell ref="N1378:N1379"/>
    <mergeCell ref="Y1378:Y1379"/>
    <mergeCell ref="AA1378:AA1379"/>
    <mergeCell ref="AB1378:AB1379"/>
    <mergeCell ref="AC1378:AC1379"/>
    <mergeCell ref="AD1378:AD1379"/>
    <mergeCell ref="F1380:F1381"/>
    <mergeCell ref="J1380:J1381"/>
    <mergeCell ref="F1376:F1377"/>
    <mergeCell ref="J1376:J1377"/>
    <mergeCell ref="N1376:N1377"/>
    <mergeCell ref="N1372:N1373"/>
    <mergeCell ref="Y1372:Y1373"/>
    <mergeCell ref="AB755:AB756"/>
    <mergeCell ref="AC755:AC756"/>
    <mergeCell ref="AG1700:AG1701"/>
    <mergeCell ref="AH1700:AH1701"/>
    <mergeCell ref="AD1810:AD1811"/>
    <mergeCell ref="AF1810:AF1811"/>
    <mergeCell ref="AB1698:AB1699"/>
    <mergeCell ref="AB1826:AB1827"/>
    <mergeCell ref="AC1826:AC1827"/>
    <mergeCell ref="AD1826:AD1827"/>
    <mergeCell ref="AF1826:AF1827"/>
    <mergeCell ref="AG1826:AG1827"/>
    <mergeCell ref="AF1969:AF1970"/>
    <mergeCell ref="AK1702:AK1703"/>
    <mergeCell ref="AL1702:AL1703"/>
    <mergeCell ref="AK2062:AK2063"/>
    <mergeCell ref="AA2818:AA2819"/>
    <mergeCell ref="AB2818:AB2819"/>
    <mergeCell ref="AC2818:AC2819"/>
    <mergeCell ref="AJ2531:AJ2532"/>
    <mergeCell ref="AJ2537:AJ2538"/>
    <mergeCell ref="AG2563:AG2564"/>
    <mergeCell ref="AK2559:AK2560"/>
    <mergeCell ref="AL2559:AL2560"/>
    <mergeCell ref="AF2692:AF2693"/>
    <mergeCell ref="AA2549:AA2550"/>
    <mergeCell ref="AA2587:AA2588"/>
    <mergeCell ref="AB2587:AB2588"/>
    <mergeCell ref="AC2587:AC2588"/>
    <mergeCell ref="AD2587:AD2588"/>
    <mergeCell ref="AF2587:AF2588"/>
    <mergeCell ref="AG2587:AG2588"/>
    <mergeCell ref="AH2587:AH2588"/>
    <mergeCell ref="AD2611:AD2612"/>
    <mergeCell ref="AA2623:AA2624"/>
    <mergeCell ref="AB2623:AB2624"/>
    <mergeCell ref="AA2553:AA2554"/>
    <mergeCell ref="AB2553:AB2554"/>
    <mergeCell ref="AC2553:AC2554"/>
    <mergeCell ref="AD2553:AD2554"/>
    <mergeCell ref="AF2553:AF2554"/>
    <mergeCell ref="AG2553:AG2554"/>
    <mergeCell ref="AH2553:AH2554"/>
    <mergeCell ref="AF2605:AF2606"/>
    <mergeCell ref="AG2605:AG2606"/>
    <mergeCell ref="AH2605:AH2606"/>
    <mergeCell ref="AA2515:AA2516"/>
    <mergeCell ref="AB2515:AB2516"/>
    <mergeCell ref="AC2515:AC2516"/>
    <mergeCell ref="AA2595:AA2596"/>
    <mergeCell ref="AB2595:AB2596"/>
    <mergeCell ref="AC2595:AC2596"/>
    <mergeCell ref="AD2595:AD2596"/>
    <mergeCell ref="AF2595:AF2596"/>
    <mergeCell ref="AG2595:AG2596"/>
    <mergeCell ref="AF2401:AF2402"/>
    <mergeCell ref="AG2401:AG2402"/>
    <mergeCell ref="AK2197:AK2198"/>
    <mergeCell ref="AI2183:AI2184"/>
    <mergeCell ref="AJ2183:AJ2184"/>
    <mergeCell ref="AF2407:AF2408"/>
    <mergeCell ref="AA2387:AA2388"/>
    <mergeCell ref="AB2387:AB2388"/>
    <mergeCell ref="AK2465:AK2466"/>
    <mergeCell ref="AG2479:AG2480"/>
    <mergeCell ref="AA2451:AA2452"/>
    <mergeCell ref="AB2451:AB2452"/>
    <mergeCell ref="AC2451:AC2452"/>
    <mergeCell ref="AD2451:AD2452"/>
    <mergeCell ref="AC2405:AC2406"/>
    <mergeCell ref="AL2477:AL2478"/>
    <mergeCell ref="AG2062:AG2063"/>
    <mergeCell ref="AH2062:AH2063"/>
    <mergeCell ref="AI2062:AI2063"/>
    <mergeCell ref="AA1975:AA1976"/>
    <mergeCell ref="AB1975:AB1976"/>
    <mergeCell ref="AC1975:AC1976"/>
    <mergeCell ref="Y2531:Y2532"/>
    <mergeCell ref="AK2531:AK2532"/>
    <mergeCell ref="AL2531:AL2532"/>
    <mergeCell ref="Y3038:Y3039"/>
    <mergeCell ref="AA3038:AA3039"/>
    <mergeCell ref="AB3038:AB3039"/>
    <mergeCell ref="AC3038:AC3039"/>
    <mergeCell ref="AD3038:AD3039"/>
    <mergeCell ref="AF3038:AF3039"/>
    <mergeCell ref="AG3038:AG3039"/>
    <mergeCell ref="AH3038:AH3039"/>
    <mergeCell ref="AI3038:AI3039"/>
    <mergeCell ref="Y3000:Y3001"/>
    <mergeCell ref="AL2948:AL2949"/>
    <mergeCell ref="AF322:AF323"/>
    <mergeCell ref="AG322:AG323"/>
    <mergeCell ref="AB597:AB598"/>
    <mergeCell ref="AC597:AC598"/>
    <mergeCell ref="AD597:AD598"/>
    <mergeCell ref="AF597:AF598"/>
    <mergeCell ref="AG597:AG598"/>
    <mergeCell ref="AH597:AH598"/>
    <mergeCell ref="AB805:AB806"/>
    <mergeCell ref="AB817:AB818"/>
    <mergeCell ref="AC817:AC818"/>
    <mergeCell ref="AB330:AB331"/>
    <mergeCell ref="AC330:AC331"/>
    <mergeCell ref="AD474:AD475"/>
    <mergeCell ref="AL751:AL752"/>
    <mergeCell ref="AC747:AC748"/>
    <mergeCell ref="AK747:AK748"/>
    <mergeCell ref="AG745:AG746"/>
    <mergeCell ref="AH745:AH746"/>
    <mergeCell ref="AH837:AH838"/>
    <mergeCell ref="AI837:AI838"/>
    <mergeCell ref="AJ837:AJ838"/>
    <mergeCell ref="AK837:AK838"/>
    <mergeCell ref="AL837:AL838"/>
    <mergeCell ref="AL892:AL893"/>
    <mergeCell ref="AD773:AD774"/>
    <mergeCell ref="AF773:AF774"/>
    <mergeCell ref="AD767:AD768"/>
    <mergeCell ref="AB725:AB726"/>
    <mergeCell ref="AC725:AC726"/>
    <mergeCell ref="AK725:AK726"/>
    <mergeCell ref="AK2954:AK2955"/>
    <mergeCell ref="AL2954:AL2955"/>
    <mergeCell ref="AC2932:AC2933"/>
    <mergeCell ref="AD2932:AD2933"/>
    <mergeCell ref="AF2932:AF2933"/>
    <mergeCell ref="Y2932:Y2933"/>
    <mergeCell ref="AA2932:AA2933"/>
    <mergeCell ref="AH2768:AH2769"/>
    <mergeCell ref="AI2768:AI2769"/>
    <mergeCell ref="AL2688:AL2689"/>
    <mergeCell ref="AG2694:AG2695"/>
    <mergeCell ref="AI2688:AI2689"/>
    <mergeCell ref="AD1714:AD1715"/>
    <mergeCell ref="AF1714:AF1715"/>
    <mergeCell ref="AG1714:AG1715"/>
    <mergeCell ref="AH1714:AH1715"/>
    <mergeCell ref="AI1714:AI1715"/>
    <mergeCell ref="AL2892:AL2893"/>
    <mergeCell ref="AB2493:AB2494"/>
    <mergeCell ref="N2936:N2937"/>
    <mergeCell ref="AG2978:AG2979"/>
    <mergeCell ref="Y2972:Y2973"/>
    <mergeCell ref="N2940:N2941"/>
    <mergeCell ref="AG2962:AG2963"/>
    <mergeCell ref="N2968:N2969"/>
    <mergeCell ref="E3083:E3084"/>
    <mergeCell ref="F3083:F3084"/>
    <mergeCell ref="J3083:J3084"/>
    <mergeCell ref="N3083:N3084"/>
    <mergeCell ref="Y3083:Y3084"/>
    <mergeCell ref="AA3083:AA3084"/>
    <mergeCell ref="AB3083:AB3084"/>
    <mergeCell ref="AJ2966:AJ2967"/>
    <mergeCell ref="AK2964:AK2965"/>
    <mergeCell ref="E3075:E3076"/>
    <mergeCell ref="J3067:J3068"/>
    <mergeCell ref="N3067:N3068"/>
    <mergeCell ref="Y3067:Y3068"/>
    <mergeCell ref="F3063:F3064"/>
    <mergeCell ref="AL2946:AL2947"/>
    <mergeCell ref="AH2948:AH2949"/>
    <mergeCell ref="AI2948:AI2949"/>
    <mergeCell ref="AK2948:AK2949"/>
    <mergeCell ref="Y2948:Y2949"/>
    <mergeCell ref="AA2948:AA2949"/>
    <mergeCell ref="AK2974:AK2975"/>
    <mergeCell ref="AH3067:AH3068"/>
    <mergeCell ref="AL2942:AL2943"/>
    <mergeCell ref="AF2938:AF2939"/>
    <mergeCell ref="AG2938:AG2939"/>
    <mergeCell ref="AH2938:AH2939"/>
    <mergeCell ref="AI2938:AI2939"/>
    <mergeCell ref="AJ2938:AJ2939"/>
    <mergeCell ref="AK2938:AK2939"/>
    <mergeCell ref="AL2938:AL2939"/>
    <mergeCell ref="AA2976:AA2977"/>
    <mergeCell ref="F3075:F3076"/>
    <mergeCell ref="AG2954:AG2955"/>
    <mergeCell ref="AG2946:AG2947"/>
    <mergeCell ref="N2966:N2967"/>
    <mergeCell ref="AK2960:AK2961"/>
    <mergeCell ref="AL2960:AL2961"/>
    <mergeCell ref="AG2948:AG2949"/>
    <mergeCell ref="AC2940:AC2941"/>
    <mergeCell ref="AF3081:AF3082"/>
    <mergeCell ref="F3077:F3078"/>
    <mergeCell ref="AH3081:AH3082"/>
    <mergeCell ref="AI3081:AI3082"/>
    <mergeCell ref="AA3077:AA3078"/>
    <mergeCell ref="J3077:J3078"/>
    <mergeCell ref="AG2942:AG2943"/>
    <mergeCell ref="AH2942:AH2943"/>
    <mergeCell ref="N2956:N2957"/>
    <mergeCell ref="F2954:F2955"/>
    <mergeCell ref="J2954:J2955"/>
    <mergeCell ref="E2942:E2943"/>
    <mergeCell ref="E2940:E2941"/>
    <mergeCell ref="N2988:N2989"/>
    <mergeCell ref="E2954:E2955"/>
    <mergeCell ref="J2980:J2981"/>
    <mergeCell ref="N2980:N2981"/>
    <mergeCell ref="AH2966:AH2967"/>
    <mergeCell ref="AF2964:AF2965"/>
    <mergeCell ref="Y3024:Y3025"/>
    <mergeCell ref="AA3024:AA3025"/>
    <mergeCell ref="Y2956:Y2957"/>
    <mergeCell ref="AA2956:AA2957"/>
    <mergeCell ref="AK2942:AK2943"/>
    <mergeCell ref="N3097:N3098"/>
    <mergeCell ref="Y3097:Y3098"/>
    <mergeCell ref="AD2964:AD2965"/>
    <mergeCell ref="AI3067:AI3068"/>
    <mergeCell ref="AG2984:AG2985"/>
    <mergeCell ref="AH2984:AH2985"/>
    <mergeCell ref="AI2984:AI2985"/>
    <mergeCell ref="AC3004:AC3005"/>
    <mergeCell ref="AC2960:AC2961"/>
    <mergeCell ref="AD2960:AD2961"/>
    <mergeCell ref="AB3075:AB3076"/>
    <mergeCell ref="AC3075:AC3076"/>
    <mergeCell ref="AC3089:AC3090"/>
    <mergeCell ref="AK2966:AK2967"/>
    <mergeCell ref="AK2968:AK2969"/>
    <mergeCell ref="J3036:J3037"/>
    <mergeCell ref="AJ3008:AJ3009"/>
    <mergeCell ref="AG3044:AG3045"/>
    <mergeCell ref="AH3044:AH3045"/>
    <mergeCell ref="AI3044:AI3045"/>
    <mergeCell ref="AK3010:AK3011"/>
    <mergeCell ref="J3081:J3082"/>
    <mergeCell ref="N3075:N3076"/>
    <mergeCell ref="Y3075:Y3076"/>
    <mergeCell ref="AA3075:AA3076"/>
    <mergeCell ref="AH3075:AH3076"/>
    <mergeCell ref="AI3075:AI3076"/>
    <mergeCell ref="AF3069:AF3070"/>
    <mergeCell ref="AA3087:AA3088"/>
    <mergeCell ref="AB3087:AB3088"/>
    <mergeCell ref="AC3087:AC3088"/>
    <mergeCell ref="AA3089:AA3090"/>
    <mergeCell ref="AB3089:AB3090"/>
    <mergeCell ref="AK3067:AK3068"/>
    <mergeCell ref="AJ3067:AJ3068"/>
    <mergeCell ref="AH2972:AH2973"/>
    <mergeCell ref="AI2972:AI2973"/>
    <mergeCell ref="AK2972:AK2973"/>
    <mergeCell ref="AH3095:AH3096"/>
    <mergeCell ref="AI3095:AI3096"/>
    <mergeCell ref="AG2964:AG2965"/>
    <mergeCell ref="AH2964:AH2965"/>
    <mergeCell ref="AJ3038:AJ3039"/>
    <mergeCell ref="AK3038:AK3039"/>
    <mergeCell ref="AA3067:AA3068"/>
    <mergeCell ref="AB3067:AB3068"/>
    <mergeCell ref="AG2968:AG2969"/>
    <mergeCell ref="AH2968:AH2969"/>
    <mergeCell ref="AI2968:AI2969"/>
    <mergeCell ref="AD2966:AD2967"/>
    <mergeCell ref="AB2966:AB2967"/>
    <mergeCell ref="AC2966:AC2967"/>
    <mergeCell ref="AA2966:AA2967"/>
    <mergeCell ref="AG3075:AG3076"/>
    <mergeCell ref="AH2996:AH2997"/>
    <mergeCell ref="AC3067:AC3068"/>
    <mergeCell ref="AB2960:AB2961"/>
    <mergeCell ref="AD2968:AD2969"/>
    <mergeCell ref="N3040:N3041"/>
    <mergeCell ref="Y3040:Y3041"/>
    <mergeCell ref="AA3040:AA3041"/>
    <mergeCell ref="AB3040:AB3041"/>
    <mergeCell ref="AC3040:AC3041"/>
    <mergeCell ref="AD3040:AD3041"/>
    <mergeCell ref="AF3040:AF3041"/>
    <mergeCell ref="AG3040:AG3041"/>
    <mergeCell ref="AH3040:AH3041"/>
    <mergeCell ref="AI3040:AI3041"/>
    <mergeCell ref="N3091:N3092"/>
    <mergeCell ref="Y3091:Y3092"/>
    <mergeCell ref="AA3091:AA3092"/>
    <mergeCell ref="AB3091:AB3092"/>
    <mergeCell ref="AC3091:AC3092"/>
    <mergeCell ref="AD3091:AD3092"/>
    <mergeCell ref="AF3091:AF3092"/>
    <mergeCell ref="AG3091:AG3092"/>
    <mergeCell ref="AH3091:AH3092"/>
    <mergeCell ref="AI3091:AI3092"/>
    <mergeCell ref="AD3008:AD3009"/>
    <mergeCell ref="AF3008:AF3009"/>
    <mergeCell ref="AG3008:AG3009"/>
    <mergeCell ref="AH3008:AH3009"/>
    <mergeCell ref="AI3008:AI3009"/>
    <mergeCell ref="AD3081:AD3082"/>
    <mergeCell ref="N3081:N3082"/>
    <mergeCell ref="AF3075:AF3076"/>
    <mergeCell ref="AH2986:AH2987"/>
    <mergeCell ref="Y2964:Y2965"/>
    <mergeCell ref="N3016:N3017"/>
    <mergeCell ref="Y3016:Y3017"/>
    <mergeCell ref="AA3016:AA3017"/>
    <mergeCell ref="N3036:N3037"/>
    <mergeCell ref="Y3036:Y3037"/>
    <mergeCell ref="AA3036:AA3037"/>
    <mergeCell ref="AB3036:AB3037"/>
    <mergeCell ref="AC3036:AC3037"/>
    <mergeCell ref="AD3036:AD3037"/>
    <mergeCell ref="AF3036:AF3037"/>
    <mergeCell ref="AG3036:AG3037"/>
    <mergeCell ref="AH3036:AH3037"/>
    <mergeCell ref="AI3036:AI3037"/>
    <mergeCell ref="AC3044:AC3045"/>
    <mergeCell ref="AD3044:AD3045"/>
    <mergeCell ref="AF3044:AF3045"/>
    <mergeCell ref="AD3083:AD3084"/>
    <mergeCell ref="AF3083:AF3084"/>
    <mergeCell ref="N3077:N3078"/>
    <mergeCell ref="Y3077:Y3078"/>
    <mergeCell ref="E2738:E2739"/>
    <mergeCell ref="F2738:F2739"/>
    <mergeCell ref="J2738:J2739"/>
    <mergeCell ref="AH2696:AH2697"/>
    <mergeCell ref="AI2696:AI2697"/>
    <mergeCell ref="F2696:F2697"/>
    <mergeCell ref="J2700:J2701"/>
    <mergeCell ref="E2700:E2701"/>
    <mergeCell ref="F2700:F2701"/>
    <mergeCell ref="E2718:E2719"/>
    <mergeCell ref="F2718:F2719"/>
    <mergeCell ref="J2718:J2719"/>
    <mergeCell ref="N2718:N2719"/>
    <mergeCell ref="AL2716:AL2717"/>
    <mergeCell ref="AH2766:AH2767"/>
    <mergeCell ref="J2768:J2769"/>
    <mergeCell ref="AF2764:AF2765"/>
    <mergeCell ref="AJ2710:AJ2711"/>
    <mergeCell ref="AK2710:AK2711"/>
    <mergeCell ref="AL2710:AL2711"/>
    <mergeCell ref="N2712:N2713"/>
    <mergeCell ref="AD2740:AD2741"/>
    <mergeCell ref="AK2732:AK2733"/>
    <mergeCell ref="AL2732:AL2733"/>
    <mergeCell ref="N2740:N2741"/>
    <mergeCell ref="N2744:N2745"/>
    <mergeCell ref="J2704:J2705"/>
    <mergeCell ref="N2704:N2705"/>
    <mergeCell ref="Y2704:Y2705"/>
    <mergeCell ref="AA2704:AA2705"/>
    <mergeCell ref="AB2704:AB2705"/>
    <mergeCell ref="AC2704:AC2705"/>
    <mergeCell ref="AD2704:AD2705"/>
    <mergeCell ref="AF2704:AF2705"/>
    <mergeCell ref="AG2704:AG2705"/>
    <mergeCell ref="AG2746:AG2747"/>
    <mergeCell ref="AD2724:AD2725"/>
    <mergeCell ref="AG2712:AG2713"/>
    <mergeCell ref="AG2696:AG2697"/>
    <mergeCell ref="AG2710:AG2711"/>
    <mergeCell ref="AH2710:AH2711"/>
    <mergeCell ref="AI2710:AI2711"/>
    <mergeCell ref="AC2768:AC2769"/>
    <mergeCell ref="AL2704:AL2705"/>
    <mergeCell ref="AK2724:AK2725"/>
    <mergeCell ref="AL2724:AL2725"/>
    <mergeCell ref="AI2704:AI2705"/>
    <mergeCell ref="AK2752:AK2753"/>
    <mergeCell ref="AL2752:AL2753"/>
    <mergeCell ref="F2758:F2759"/>
    <mergeCell ref="AK2740:AK2741"/>
    <mergeCell ref="AI2718:AI2719"/>
    <mergeCell ref="AG2724:AG2725"/>
    <mergeCell ref="AH2724:AH2725"/>
    <mergeCell ref="N2720:N2721"/>
    <mergeCell ref="AJ2718:AJ2719"/>
    <mergeCell ref="AB2720:AB2721"/>
    <mergeCell ref="AG2764:AG2765"/>
    <mergeCell ref="AI2764:AI2765"/>
    <mergeCell ref="E2722:E2723"/>
    <mergeCell ref="F2722:F2723"/>
    <mergeCell ref="J2722:J2723"/>
    <mergeCell ref="N2722:N2723"/>
    <mergeCell ref="Y2722:Y2723"/>
    <mergeCell ref="E2764:E2765"/>
    <mergeCell ref="Y2758:Y2759"/>
    <mergeCell ref="E2728:E2729"/>
    <mergeCell ref="F2728:F2729"/>
    <mergeCell ref="J2728:J2729"/>
    <mergeCell ref="N2728:N2729"/>
    <mergeCell ref="Y2728:Y2729"/>
    <mergeCell ref="AA2728:AA2729"/>
    <mergeCell ref="AB2728:AB2729"/>
    <mergeCell ref="AC2728:AC2729"/>
    <mergeCell ref="AD2728:AD2729"/>
    <mergeCell ref="AF2728:AF2729"/>
    <mergeCell ref="AG2728:AG2729"/>
    <mergeCell ref="AH2728:AH2729"/>
    <mergeCell ref="AI2728:AI2729"/>
    <mergeCell ref="AJ2728:AJ2729"/>
    <mergeCell ref="AO2726:AO2727"/>
    <mergeCell ref="AK2768:AK2769"/>
    <mergeCell ref="AL2768:AL2769"/>
    <mergeCell ref="AK2892:AK2893"/>
    <mergeCell ref="Y2710:Y2711"/>
    <mergeCell ref="E2750:E2751"/>
    <mergeCell ref="F2750:F2751"/>
    <mergeCell ref="AH2690:AH2691"/>
    <mergeCell ref="AI2690:AI2691"/>
    <mergeCell ref="AA2712:AA2713"/>
    <mergeCell ref="AB2712:AB2713"/>
    <mergeCell ref="AC2712:AC2713"/>
    <mergeCell ref="AJ2720:AJ2721"/>
    <mergeCell ref="Y2692:Y2693"/>
    <mergeCell ref="AA2692:AA2693"/>
    <mergeCell ref="AB2692:AB2693"/>
    <mergeCell ref="AO2750:AO2751"/>
    <mergeCell ref="AG2758:AG2759"/>
    <mergeCell ref="AH2758:AH2759"/>
    <mergeCell ref="AI2758:AI2759"/>
    <mergeCell ref="AK2758:AK2759"/>
    <mergeCell ref="AL2758:AL2759"/>
    <mergeCell ref="AO2758:AO2759"/>
    <mergeCell ref="AF2750:AF2751"/>
    <mergeCell ref="AG2750:AG2751"/>
    <mergeCell ref="AH2750:AH2751"/>
    <mergeCell ref="AI2750:AI2751"/>
    <mergeCell ref="AK2750:AK2751"/>
    <mergeCell ref="AL2750:AL2751"/>
    <mergeCell ref="AB2750:AB2751"/>
    <mergeCell ref="AO2720:AO2721"/>
    <mergeCell ref="AJ2700:AJ2701"/>
    <mergeCell ref="AG2700:AG2701"/>
    <mergeCell ref="AG2690:AG2691"/>
    <mergeCell ref="AK2728:AK2729"/>
    <mergeCell ref="AL2728:AL2729"/>
    <mergeCell ref="AM2728:AM2729"/>
    <mergeCell ref="AO2728:AO2729"/>
    <mergeCell ref="AA2710:AA2711"/>
    <mergeCell ref="AB2710:AB2711"/>
    <mergeCell ref="AC2710:AC2711"/>
    <mergeCell ref="AD2710:AD2711"/>
    <mergeCell ref="AF2710:AF2711"/>
    <mergeCell ref="J2758:J2759"/>
    <mergeCell ref="N2758:N2759"/>
    <mergeCell ref="J2764:J2765"/>
    <mergeCell ref="AI2726:AI2727"/>
    <mergeCell ref="Y2714:Y2715"/>
    <mergeCell ref="AJ2818:AJ2819"/>
    <mergeCell ref="AJ2832:AJ2833"/>
    <mergeCell ref="Y2810:Y2811"/>
    <mergeCell ref="AM2704:AM2705"/>
    <mergeCell ref="AO2537:AO2538"/>
    <mergeCell ref="AA2513:AA2514"/>
    <mergeCell ref="AL2696:AL2697"/>
    <mergeCell ref="AM2720:AM2721"/>
    <mergeCell ref="AM2696:AM2697"/>
    <mergeCell ref="AG2714:AG2715"/>
    <mergeCell ref="AH2714:AH2715"/>
    <mergeCell ref="AH2680:AH2681"/>
    <mergeCell ref="AI2680:AI2681"/>
    <mergeCell ref="AK2680:AK2681"/>
    <mergeCell ref="AL2680:AL2681"/>
    <mergeCell ref="AA2694:AA2695"/>
    <mergeCell ref="AC2692:AC2693"/>
    <mergeCell ref="AD2692:AD2693"/>
    <mergeCell ref="Y2718:Y2719"/>
    <mergeCell ref="AA2718:AA2719"/>
    <mergeCell ref="AB2718:AB2719"/>
    <mergeCell ref="AO2696:AO2697"/>
    <mergeCell ref="AO2700:AO2701"/>
    <mergeCell ref="AG2513:AG2514"/>
    <mergeCell ref="AM2710:AM2711"/>
    <mergeCell ref="AO2710:AO2711"/>
    <mergeCell ref="J2619:J2620"/>
    <mergeCell ref="N2619:N2620"/>
    <mergeCell ref="Y2619:Y2620"/>
    <mergeCell ref="AA2619:AA2620"/>
    <mergeCell ref="AB2619:AB2620"/>
    <mergeCell ref="AC2619:AC2620"/>
    <mergeCell ref="AD2619:AD2620"/>
    <mergeCell ref="AF2619:AF2620"/>
    <mergeCell ref="AG2619:AG2620"/>
    <mergeCell ref="AB2631:AB2632"/>
    <mergeCell ref="AC2631:AC2632"/>
    <mergeCell ref="AD2631:AD2632"/>
    <mergeCell ref="J2635:J2636"/>
    <mergeCell ref="N2635:N2636"/>
    <mergeCell ref="J2643:J2644"/>
    <mergeCell ref="AD2605:AD2606"/>
    <mergeCell ref="AL2718:AL2719"/>
    <mergeCell ref="AC2714:AC2715"/>
    <mergeCell ref="AD2718:AD2719"/>
    <mergeCell ref="AC2609:AC2610"/>
    <mergeCell ref="AD2609:AD2610"/>
    <mergeCell ref="J2710:J2711"/>
    <mergeCell ref="N2710:N2711"/>
    <mergeCell ref="N2625:N2626"/>
    <mergeCell ref="Y2625:Y2626"/>
    <mergeCell ref="AA2625:AA2626"/>
    <mergeCell ref="AB2625:AB2626"/>
    <mergeCell ref="AC2625:AC2626"/>
    <mergeCell ref="AD2625:AD2626"/>
    <mergeCell ref="AF2625:AF2626"/>
    <mergeCell ref="AG2625:AG2626"/>
    <mergeCell ref="AH2625:AH2626"/>
    <mergeCell ref="AF2571:AF2572"/>
    <mergeCell ref="AA2559:AA2560"/>
    <mergeCell ref="AB2559:AB2560"/>
    <mergeCell ref="J2565:J2566"/>
    <mergeCell ref="AD2571:AD2572"/>
    <mergeCell ref="Y2563:Y2564"/>
    <mergeCell ref="N1640:N1641"/>
    <mergeCell ref="AB1593:AB1594"/>
    <mergeCell ref="AC1593:AC1594"/>
    <mergeCell ref="AD1593:AD1594"/>
    <mergeCell ref="AF1593:AF1594"/>
    <mergeCell ref="AG1593:AG1594"/>
    <mergeCell ref="AH1593:AH1594"/>
    <mergeCell ref="AO2724:AO2725"/>
    <mergeCell ref="AK2726:AK2727"/>
    <mergeCell ref="AK2922:AK2923"/>
    <mergeCell ref="AO2764:AO2765"/>
    <mergeCell ref="AA2772:AA2773"/>
    <mergeCell ref="AG2768:AG2769"/>
    <mergeCell ref="E1957:E1958"/>
    <mergeCell ref="AA1967:AA1968"/>
    <mergeCell ref="AB1967:AB1968"/>
    <mergeCell ref="AC1967:AC1968"/>
    <mergeCell ref="F1941:F1942"/>
    <mergeCell ref="E1941:E1942"/>
    <mergeCell ref="E1919:E1920"/>
    <mergeCell ref="E1927:E1928"/>
    <mergeCell ref="AH1957:AH1958"/>
    <mergeCell ref="E1903:E1904"/>
    <mergeCell ref="F1903:F1904"/>
    <mergeCell ref="E1935:E1936"/>
    <mergeCell ref="AB1931:AB1932"/>
    <mergeCell ref="AF1965:AF1966"/>
    <mergeCell ref="AG1965:AG1966"/>
    <mergeCell ref="F1949:F1950"/>
    <mergeCell ref="E1923:E1924"/>
    <mergeCell ref="E1929:E1930"/>
    <mergeCell ref="F1955:F1956"/>
    <mergeCell ref="J1955:J1956"/>
    <mergeCell ref="N1955:N1956"/>
    <mergeCell ref="Y1955:Y1956"/>
    <mergeCell ref="AA1955:AA1956"/>
    <mergeCell ref="AA1957:AA1958"/>
    <mergeCell ref="AA1909:AA1910"/>
    <mergeCell ref="J1919:J1920"/>
    <mergeCell ref="N1919:N1920"/>
    <mergeCell ref="Y1919:Y1920"/>
    <mergeCell ref="AA1919:AA1920"/>
    <mergeCell ref="J1909:J1910"/>
    <mergeCell ref="N1909:N1910"/>
    <mergeCell ref="Y1909:Y1910"/>
    <mergeCell ref="AB1955:AB1956"/>
    <mergeCell ref="Y1967:Y1968"/>
    <mergeCell ref="AB1961:AB1962"/>
    <mergeCell ref="F1913:F1914"/>
    <mergeCell ref="F1967:F1968"/>
    <mergeCell ref="E1915:E1916"/>
    <mergeCell ref="E1913:E1914"/>
    <mergeCell ref="E1921:E1922"/>
    <mergeCell ref="AD1959:AD1960"/>
    <mergeCell ref="AF1959:AF1960"/>
    <mergeCell ref="AG1959:AG1960"/>
    <mergeCell ref="AH1959:AH1960"/>
    <mergeCell ref="AB1957:AB1958"/>
    <mergeCell ref="AC1957:AC1958"/>
    <mergeCell ref="AD1957:AD1958"/>
    <mergeCell ref="AF1957:AF1958"/>
    <mergeCell ref="AG1957:AG1958"/>
    <mergeCell ref="AK2868:AK2869"/>
    <mergeCell ref="AB2886:AB2887"/>
    <mergeCell ref="AJ1644:AJ1645"/>
    <mergeCell ref="AJ1648:AJ1649"/>
    <mergeCell ref="AG1630:AG1631"/>
    <mergeCell ref="AL1555:AL1556"/>
    <mergeCell ref="AJ1638:AJ1639"/>
    <mergeCell ref="AJ1652:AJ1653"/>
    <mergeCell ref="AA1634:AA1635"/>
    <mergeCell ref="AB1634:AB1635"/>
    <mergeCell ref="AC1634:AC1635"/>
    <mergeCell ref="AG1636:AG1637"/>
    <mergeCell ref="AH1636:AH1637"/>
    <mergeCell ref="AL1559:AL1560"/>
    <mergeCell ref="AF1644:AF1645"/>
    <mergeCell ref="AJ1561:AJ1562"/>
    <mergeCell ref="AL1664:AL1665"/>
    <mergeCell ref="AJ1605:AJ1606"/>
    <mergeCell ref="AK1605:AK1606"/>
    <mergeCell ref="AL1605:AL1606"/>
    <mergeCell ref="AL1579:AL1580"/>
    <mergeCell ref="AL1575:AL1576"/>
    <mergeCell ref="AA1573:AA1574"/>
    <mergeCell ref="AB1573:AB1574"/>
    <mergeCell ref="AL1607:AL1608"/>
    <mergeCell ref="AB1623:AB1624"/>
    <mergeCell ref="AC1623:AC1624"/>
    <mergeCell ref="AD1623:AD1624"/>
    <mergeCell ref="AF1623:AF1624"/>
    <mergeCell ref="AG1623:AG1624"/>
    <mergeCell ref="AH1623:AH1624"/>
    <mergeCell ref="AI1623:AI1624"/>
    <mergeCell ref="AJ1623:AJ1624"/>
    <mergeCell ref="AK1623:AK1624"/>
    <mergeCell ref="AL1623:AL1624"/>
    <mergeCell ref="AD1638:AD1639"/>
    <mergeCell ref="AF1638:AF1639"/>
    <mergeCell ref="AG1638:AG1639"/>
    <mergeCell ref="AH1638:AH1639"/>
    <mergeCell ref="AH1557:AH1558"/>
    <mergeCell ref="AI1557:AI1558"/>
    <mergeCell ref="AK1557:AK1558"/>
    <mergeCell ref="AK1569:AK1570"/>
    <mergeCell ref="AL1569:AL1570"/>
    <mergeCell ref="AJ1646:AJ1647"/>
    <mergeCell ref="AK1646:AK1647"/>
    <mergeCell ref="AL1646:AL1647"/>
    <mergeCell ref="Y2940:Y2941"/>
    <mergeCell ref="E2956:E2957"/>
    <mergeCell ref="E2960:E2961"/>
    <mergeCell ref="F2960:F2961"/>
    <mergeCell ref="E2962:E2963"/>
    <mergeCell ref="F2962:F2963"/>
    <mergeCell ref="J2962:J2963"/>
    <mergeCell ref="N2948:N2949"/>
    <mergeCell ref="E2986:E2987"/>
    <mergeCell ref="F2986:F2987"/>
    <mergeCell ref="Y2986:Y2987"/>
    <mergeCell ref="Y2928:Y2929"/>
    <mergeCell ref="AJ1531:AJ1532"/>
    <mergeCell ref="N1654:N1655"/>
    <mergeCell ref="Y1654:Y1655"/>
    <mergeCell ref="AA1654:AA1655"/>
    <mergeCell ref="AB1654:AB1655"/>
    <mergeCell ref="AC1654:AC1655"/>
    <mergeCell ref="AD1654:AD1655"/>
    <mergeCell ref="AK1676:AK1677"/>
    <mergeCell ref="AF1676:AF1677"/>
    <mergeCell ref="N1575:N1576"/>
    <mergeCell ref="N1577:N1578"/>
    <mergeCell ref="AH1577:AH1578"/>
    <mergeCell ref="AI1577:AI1578"/>
    <mergeCell ref="AJ1577:AJ1578"/>
    <mergeCell ref="AK1577:AK1578"/>
    <mergeCell ref="AH1744:AH1745"/>
    <mergeCell ref="AI1744:AI1745"/>
    <mergeCell ref="N1785:N1786"/>
    <mergeCell ref="Y1785:Y1786"/>
    <mergeCell ref="AA1785:AA1786"/>
    <mergeCell ref="AB1785:AB1786"/>
    <mergeCell ref="AC1785:AC1786"/>
    <mergeCell ref="AD1785:AD1786"/>
    <mergeCell ref="AF1785:AF1786"/>
    <mergeCell ref="Y1688:Y1689"/>
    <mergeCell ref="AA1688:AA1689"/>
    <mergeCell ref="AB1688:AB1689"/>
    <mergeCell ref="AC1688:AC1689"/>
    <mergeCell ref="J1967:J1968"/>
    <mergeCell ref="Y1714:Y1715"/>
    <mergeCell ref="AI1720:AI1721"/>
    <mergeCell ref="AA1907:AA1908"/>
    <mergeCell ref="AA1810:AA1811"/>
    <mergeCell ref="AB1810:AB1811"/>
    <mergeCell ref="AC1810:AC1811"/>
    <mergeCell ref="AD1812:AD1813"/>
    <mergeCell ref="AF1812:AF1813"/>
    <mergeCell ref="AG1812:AG1813"/>
    <mergeCell ref="E2886:E2887"/>
    <mergeCell ref="F2858:F2859"/>
    <mergeCell ref="F2856:F2857"/>
    <mergeCell ref="J2856:J2857"/>
    <mergeCell ref="J2882:J2883"/>
    <mergeCell ref="N2882:N2883"/>
    <mergeCell ref="Y2882:Y2883"/>
    <mergeCell ref="AA2882:AA2883"/>
    <mergeCell ref="J2864:J2865"/>
    <mergeCell ref="N2864:N2865"/>
    <mergeCell ref="AH2860:AH2861"/>
    <mergeCell ref="AI2860:AI2861"/>
    <mergeCell ref="F2876:F2877"/>
    <mergeCell ref="J2876:J2877"/>
    <mergeCell ref="F2994:F2995"/>
    <mergeCell ref="J2994:J2995"/>
    <mergeCell ref="J2982:J2983"/>
    <mergeCell ref="N2982:N2983"/>
    <mergeCell ref="Y2982:Y2983"/>
    <mergeCell ref="N2994:N2995"/>
    <mergeCell ref="Y2994:Y2995"/>
    <mergeCell ref="AA2994:AA2995"/>
    <mergeCell ref="AB2994:AB2995"/>
    <mergeCell ref="F2982:F2983"/>
    <mergeCell ref="AA2982:AA2983"/>
    <mergeCell ref="AB2982:AB2983"/>
    <mergeCell ref="E2982:E2983"/>
    <mergeCell ref="AD2956:AD2957"/>
    <mergeCell ref="AC2988:AC2989"/>
    <mergeCell ref="AF2996:AF2997"/>
    <mergeCell ref="AG2996:AG2997"/>
    <mergeCell ref="E2970:E2971"/>
    <mergeCell ref="E2994:E2995"/>
    <mergeCell ref="F2970:F2971"/>
    <mergeCell ref="F2990:F2991"/>
    <mergeCell ref="J2990:J2991"/>
    <mergeCell ref="N2990:N2991"/>
    <mergeCell ref="Y2990:Y2991"/>
    <mergeCell ref="AA2990:AA2991"/>
    <mergeCell ref="AB2990:AB2991"/>
    <mergeCell ref="F2956:F2957"/>
    <mergeCell ref="Y2962:Y2963"/>
    <mergeCell ref="AA2962:AA2963"/>
    <mergeCell ref="F2964:F2965"/>
    <mergeCell ref="J2964:J2965"/>
    <mergeCell ref="N2964:N2965"/>
    <mergeCell ref="AA2970:AA2971"/>
    <mergeCell ref="E2984:E2985"/>
    <mergeCell ref="F2984:F2985"/>
    <mergeCell ref="J2984:J2985"/>
    <mergeCell ref="N2984:N2985"/>
    <mergeCell ref="Y2984:Y2985"/>
    <mergeCell ref="AA2984:AA2985"/>
    <mergeCell ref="AB2984:AB2985"/>
    <mergeCell ref="J2956:J2957"/>
    <mergeCell ref="AB2986:AB2987"/>
    <mergeCell ref="AG2986:AG2987"/>
    <mergeCell ref="N2972:N2973"/>
    <mergeCell ref="J2972:J2973"/>
    <mergeCell ref="F2996:F2997"/>
    <mergeCell ref="E2976:E2977"/>
    <mergeCell ref="AK3036:AK3037"/>
    <mergeCell ref="AL3036:AL3037"/>
    <mergeCell ref="AC2982:AC2983"/>
    <mergeCell ref="AD2982:AD2983"/>
    <mergeCell ref="AF2982:AF2983"/>
    <mergeCell ref="AG2982:AG2983"/>
    <mergeCell ref="AK2982:AK2983"/>
    <mergeCell ref="AJ2978:AJ2979"/>
    <mergeCell ref="AJ2980:AJ2981"/>
    <mergeCell ref="AJ2982:AJ2983"/>
    <mergeCell ref="AK3004:AK3005"/>
    <mergeCell ref="AL3004:AL3005"/>
    <mergeCell ref="AH3018:AH3019"/>
    <mergeCell ref="AI3018:AI3019"/>
    <mergeCell ref="AD2996:AD2997"/>
    <mergeCell ref="AL3044:AL3045"/>
    <mergeCell ref="AH2992:AH2993"/>
    <mergeCell ref="AI2992:AI2993"/>
    <mergeCell ref="AC2984:AC2985"/>
    <mergeCell ref="AD2984:AD2985"/>
    <mergeCell ref="AF2984:AF2985"/>
    <mergeCell ref="AC2990:AC2991"/>
    <mergeCell ref="AD2990:AD2991"/>
    <mergeCell ref="AF2990:AF2991"/>
    <mergeCell ref="AG2990:AG2991"/>
    <mergeCell ref="AH2990:AH2991"/>
    <mergeCell ref="AI2990:AI2991"/>
    <mergeCell ref="AF2980:AF2981"/>
    <mergeCell ref="AI3010:AI3011"/>
    <mergeCell ref="AI3042:AI3043"/>
    <mergeCell ref="AH2982:AH2983"/>
    <mergeCell ref="AI2982:AI2983"/>
    <mergeCell ref="AC3016:AC3017"/>
    <mergeCell ref="AD3016:AD3017"/>
    <mergeCell ref="AF3016:AF3017"/>
    <mergeCell ref="AG3016:AG3017"/>
    <mergeCell ref="AH3016:AH3017"/>
    <mergeCell ref="AI3016:AI3017"/>
    <mergeCell ref="AD3010:AD3011"/>
    <mergeCell ref="AD2988:AD2989"/>
    <mergeCell ref="AF2988:AF2989"/>
    <mergeCell ref="AC2986:AC2987"/>
    <mergeCell ref="AD2986:AD2987"/>
    <mergeCell ref="AF2986:AF2987"/>
    <mergeCell ref="AF3018:AF3019"/>
    <mergeCell ref="AG3018:AG3019"/>
    <mergeCell ref="AC3026:AC3027"/>
    <mergeCell ref="AD3026:AD3027"/>
    <mergeCell ref="AF3026:AF3027"/>
    <mergeCell ref="AC3000:AC3001"/>
    <mergeCell ref="AD3000:AD3001"/>
    <mergeCell ref="AF3000:AF3001"/>
    <mergeCell ref="AI3012:AI3013"/>
    <mergeCell ref="AF3010:AF3011"/>
    <mergeCell ref="AG3010:AG3011"/>
    <mergeCell ref="AH3010:AH3011"/>
    <mergeCell ref="AL3038:AL3039"/>
    <mergeCell ref="AK2856:AK2857"/>
    <mergeCell ref="AL2856:AL2857"/>
    <mergeCell ref="AC2856:AC2857"/>
    <mergeCell ref="AA2858:AA2859"/>
    <mergeCell ref="AB2858:AB2859"/>
    <mergeCell ref="AL2852:AL2853"/>
    <mergeCell ref="AA2856:AA2857"/>
    <mergeCell ref="AB2856:AB2857"/>
    <mergeCell ref="AK2858:AK2859"/>
    <mergeCell ref="AC2858:AC2859"/>
    <mergeCell ref="E2858:E2859"/>
    <mergeCell ref="AF2858:AF2859"/>
    <mergeCell ref="Y2856:Y2857"/>
    <mergeCell ref="Y2858:Y2859"/>
    <mergeCell ref="AI2858:AI2859"/>
    <mergeCell ref="F2852:F2853"/>
    <mergeCell ref="E2846:E2847"/>
    <mergeCell ref="F2846:F2847"/>
    <mergeCell ref="J2846:J2847"/>
    <mergeCell ref="N2846:N2847"/>
    <mergeCell ref="Y2846:Y2847"/>
    <mergeCell ref="AA2846:AA2847"/>
    <mergeCell ref="AB2846:AB2847"/>
    <mergeCell ref="AC2846:AC2847"/>
    <mergeCell ref="AD2846:AD2847"/>
    <mergeCell ref="AF2846:AF2847"/>
    <mergeCell ref="AG2846:AG2847"/>
    <mergeCell ref="AH2846:AH2847"/>
    <mergeCell ref="AI2846:AI2847"/>
    <mergeCell ref="AJ2846:AJ2847"/>
    <mergeCell ref="AK2846:AK2847"/>
    <mergeCell ref="AC2852:AC2853"/>
    <mergeCell ref="N2856:N2857"/>
    <mergeCell ref="AH2858:AH2859"/>
    <mergeCell ref="N2858:N2859"/>
    <mergeCell ref="AD2856:AD2857"/>
    <mergeCell ref="AF2856:AF2857"/>
    <mergeCell ref="AI2856:AI2857"/>
    <mergeCell ref="AG2858:AG2859"/>
    <mergeCell ref="J2858:J2859"/>
    <mergeCell ref="AJ2848:AJ2849"/>
    <mergeCell ref="AK2848:AK2849"/>
    <mergeCell ref="AL2848:AL2849"/>
    <mergeCell ref="F2808:F2809"/>
    <mergeCell ref="AC2808:AC2809"/>
    <mergeCell ref="AD2808:AD2809"/>
    <mergeCell ref="AF2808:AF2809"/>
    <mergeCell ref="AG2808:AG2809"/>
    <mergeCell ref="J2808:J2809"/>
    <mergeCell ref="E2800:E2801"/>
    <mergeCell ref="F2800:F2801"/>
    <mergeCell ref="AH2802:AH2803"/>
    <mergeCell ref="AI2802:AI2803"/>
    <mergeCell ref="AJ2802:AJ2803"/>
    <mergeCell ref="AK2802:AK2803"/>
    <mergeCell ref="AA2808:AA2809"/>
    <mergeCell ref="N2800:N2801"/>
    <mergeCell ref="AB2800:AB2801"/>
    <mergeCell ref="AC2800:AC2801"/>
    <mergeCell ref="AI2808:AI2809"/>
    <mergeCell ref="N2808:N2809"/>
    <mergeCell ref="Y2808:Y2809"/>
    <mergeCell ref="F2810:F2811"/>
    <mergeCell ref="J2810:J2811"/>
    <mergeCell ref="E2802:E2803"/>
    <mergeCell ref="F2802:F2803"/>
    <mergeCell ref="J2802:J2803"/>
    <mergeCell ref="N2802:N2803"/>
    <mergeCell ref="Y2802:Y2803"/>
    <mergeCell ref="AA2802:AA2803"/>
    <mergeCell ref="AB2802:AB2803"/>
    <mergeCell ref="AC2802:AC2803"/>
    <mergeCell ref="AD2802:AD2803"/>
    <mergeCell ref="AF2802:AF2803"/>
    <mergeCell ref="AJ2800:AJ2801"/>
    <mergeCell ref="AJ2808:AJ2809"/>
    <mergeCell ref="J2800:J2801"/>
    <mergeCell ref="Y2800:Y2801"/>
    <mergeCell ref="AA2800:AA2801"/>
    <mergeCell ref="E2810:E2811"/>
    <mergeCell ref="AK2810:AK2811"/>
    <mergeCell ref="E2808:E2809"/>
    <mergeCell ref="E2806:E2807"/>
    <mergeCell ref="F2806:F2807"/>
    <mergeCell ref="J2806:J2807"/>
    <mergeCell ref="N2806:N2807"/>
    <mergeCell ref="Y2806:Y2807"/>
    <mergeCell ref="AA2806:AA2807"/>
    <mergeCell ref="AB2806:AB2807"/>
    <mergeCell ref="AC2806:AC2807"/>
    <mergeCell ref="AD2806:AD2807"/>
    <mergeCell ref="AF2806:AF2807"/>
    <mergeCell ref="AG2806:AG2807"/>
    <mergeCell ref="AH2806:AH2807"/>
    <mergeCell ref="AI2806:AI2807"/>
    <mergeCell ref="AJ2806:AJ2807"/>
    <mergeCell ref="AK2806:AK2807"/>
    <mergeCell ref="AH2800:AH2801"/>
    <mergeCell ref="AI2800:AI2801"/>
    <mergeCell ref="F2617:F2618"/>
    <mergeCell ref="J2617:J2618"/>
    <mergeCell ref="Y2617:Y2618"/>
    <mergeCell ref="AA2617:AA2618"/>
    <mergeCell ref="AC2623:AC2624"/>
    <mergeCell ref="AH2718:AH2719"/>
    <mergeCell ref="N2714:N2715"/>
    <mergeCell ref="AG2706:AG2707"/>
    <mergeCell ref="AF2674:AF2675"/>
    <mergeCell ref="AB2629:AB2630"/>
    <mergeCell ref="AC2629:AC2630"/>
    <mergeCell ref="AD2629:AD2630"/>
    <mergeCell ref="AA2635:AA2636"/>
    <mergeCell ref="AB2635:AB2636"/>
    <mergeCell ref="AC2635:AC2636"/>
    <mergeCell ref="AD2635:AD2636"/>
    <mergeCell ref="AF2635:AF2636"/>
    <mergeCell ref="AG2635:AG2636"/>
    <mergeCell ref="AH2635:AH2636"/>
    <mergeCell ref="Y2627:Y2628"/>
    <mergeCell ref="AA2627:AA2628"/>
    <mergeCell ref="AC2627:AC2628"/>
    <mergeCell ref="AD2627:AD2628"/>
    <mergeCell ref="AF2627:AF2628"/>
    <mergeCell ref="AG2627:AG2628"/>
    <mergeCell ref="AH2627:AH2628"/>
    <mergeCell ref="E2635:E2636"/>
    <mergeCell ref="N2613:N2614"/>
    <mergeCell ref="Y2613:Y2614"/>
    <mergeCell ref="AA2613:AA2614"/>
    <mergeCell ref="AB2613:AB2614"/>
    <mergeCell ref="AC2613:AC2614"/>
    <mergeCell ref="AD2613:AD2614"/>
    <mergeCell ref="AF2613:AF2614"/>
    <mergeCell ref="AG2613:AG2614"/>
    <mergeCell ref="AH2613:AH2614"/>
    <mergeCell ref="N2617:N2618"/>
    <mergeCell ref="AB2694:AB2695"/>
    <mergeCell ref="AH2704:AH2705"/>
    <mergeCell ref="E2615:E2616"/>
    <mergeCell ref="F2615:F2616"/>
    <mergeCell ref="J2615:J2616"/>
    <mergeCell ref="N2615:N2616"/>
    <mergeCell ref="Y2615:Y2616"/>
    <mergeCell ref="AA2615:AA2616"/>
    <mergeCell ref="AH2639:AH2640"/>
    <mergeCell ref="Y2674:Y2675"/>
    <mergeCell ref="AA2674:AA2675"/>
    <mergeCell ref="AB2674:AB2675"/>
    <mergeCell ref="AC2674:AC2675"/>
    <mergeCell ref="AD2674:AD2675"/>
    <mergeCell ref="AF2680:AF2681"/>
    <mergeCell ref="AA2676:AA2677"/>
    <mergeCell ref="N2682:N2683"/>
    <mergeCell ref="AH2702:AH2703"/>
    <mergeCell ref="E2712:E2713"/>
    <mergeCell ref="E2714:E2715"/>
    <mergeCell ref="N2690:N2691"/>
    <mergeCell ref="AG2716:AG2717"/>
    <mergeCell ref="AH2716:AH2717"/>
    <mergeCell ref="E2710:E2711"/>
    <mergeCell ref="F2710:F2711"/>
    <mergeCell ref="E2706:E2707"/>
    <mergeCell ref="AC2690:AC2691"/>
    <mergeCell ref="E2473:E2474"/>
    <mergeCell ref="F2473:F2474"/>
    <mergeCell ref="J2473:J2474"/>
    <mergeCell ref="N2473:N2474"/>
    <mergeCell ref="E2489:E2490"/>
    <mergeCell ref="F2489:F2490"/>
    <mergeCell ref="J2489:J2490"/>
    <mergeCell ref="E2475:E2476"/>
    <mergeCell ref="F2475:F2476"/>
    <mergeCell ref="E2477:E2478"/>
    <mergeCell ref="F2477:F2478"/>
    <mergeCell ref="AG2499:AG2500"/>
    <mergeCell ref="AH2499:AH2500"/>
    <mergeCell ref="J2475:J2476"/>
    <mergeCell ref="J2477:J2478"/>
    <mergeCell ref="Y2485:Y2486"/>
    <mergeCell ref="N2477:N2478"/>
    <mergeCell ref="Y2477:Y2478"/>
    <mergeCell ref="AA2477:AA2478"/>
    <mergeCell ref="AD2485:AD2486"/>
    <mergeCell ref="AF2485:AF2486"/>
    <mergeCell ref="N2475:N2476"/>
    <mergeCell ref="Y2475:Y2476"/>
    <mergeCell ref="N2487:N2488"/>
    <mergeCell ref="AG2489:AG2490"/>
    <mergeCell ref="AH2489:AH2490"/>
    <mergeCell ref="AF2483:AF2484"/>
    <mergeCell ref="AG2483:AG2484"/>
    <mergeCell ref="AH2483:AH2484"/>
    <mergeCell ref="AA2511:AA2512"/>
    <mergeCell ref="AB2511:AB2512"/>
    <mergeCell ref="AC2511:AC2512"/>
    <mergeCell ref="AD2511:AD2512"/>
    <mergeCell ref="AF2511:AF2512"/>
    <mergeCell ref="AG2511:AG2512"/>
    <mergeCell ref="AH2511:AH2512"/>
    <mergeCell ref="F2485:F2486"/>
    <mergeCell ref="E2487:E2488"/>
    <mergeCell ref="F2487:F2488"/>
    <mergeCell ref="J2487:J2488"/>
    <mergeCell ref="E2503:E2504"/>
    <mergeCell ref="F2503:F2504"/>
    <mergeCell ref="J2503:J2504"/>
    <mergeCell ref="N2503:N2504"/>
    <mergeCell ref="Y2503:Y2504"/>
    <mergeCell ref="AA2503:AA2504"/>
    <mergeCell ref="AB2503:AB2504"/>
    <mergeCell ref="AC2503:AC2504"/>
    <mergeCell ref="AD2503:AD2504"/>
    <mergeCell ref="AC2489:AC2490"/>
    <mergeCell ref="AC2485:AC2486"/>
    <mergeCell ref="AB2477:AB2478"/>
    <mergeCell ref="AC2477:AC2478"/>
    <mergeCell ref="AD2477:AD2478"/>
    <mergeCell ref="AD2489:AD2490"/>
    <mergeCell ref="AF2489:AF2490"/>
    <mergeCell ref="AG2493:AG2494"/>
    <mergeCell ref="E2493:E2494"/>
    <mergeCell ref="F2493:F2494"/>
    <mergeCell ref="J2493:J2494"/>
    <mergeCell ref="N2485:N2486"/>
    <mergeCell ref="E2485:E2486"/>
    <mergeCell ref="J2485:J2486"/>
    <mergeCell ref="J2479:J2480"/>
    <mergeCell ref="AB2497:AB2498"/>
    <mergeCell ref="AH2537:AH2538"/>
    <mergeCell ref="E2459:E2460"/>
    <mergeCell ref="N2459:N2460"/>
    <mergeCell ref="E2585:E2586"/>
    <mergeCell ref="F2585:F2586"/>
    <mergeCell ref="E2467:E2468"/>
    <mergeCell ref="AC2487:AC2488"/>
    <mergeCell ref="AD2487:AD2488"/>
    <mergeCell ref="AF2487:AF2488"/>
    <mergeCell ref="AA2485:AA2486"/>
    <mergeCell ref="AB2485:AB2486"/>
    <mergeCell ref="AA2523:AA2524"/>
    <mergeCell ref="AB2523:AB2524"/>
    <mergeCell ref="AC2523:AC2524"/>
    <mergeCell ref="AD2523:AD2524"/>
    <mergeCell ref="Y2479:Y2480"/>
    <mergeCell ref="AA2479:AA2480"/>
    <mergeCell ref="AB2479:AB2480"/>
    <mergeCell ref="AC2479:AC2480"/>
    <mergeCell ref="AC2493:AC2494"/>
    <mergeCell ref="Y2507:Y2508"/>
    <mergeCell ref="AA2507:AA2508"/>
    <mergeCell ref="AB2507:AB2508"/>
    <mergeCell ref="AC2507:AC2508"/>
    <mergeCell ref="AD2507:AD2508"/>
    <mergeCell ref="AF2507:AF2508"/>
    <mergeCell ref="AG2507:AG2508"/>
    <mergeCell ref="AH2507:AH2508"/>
    <mergeCell ref="F2483:F2484"/>
    <mergeCell ref="J2483:J2484"/>
    <mergeCell ref="N2483:N2484"/>
    <mergeCell ref="Y2483:Y2484"/>
    <mergeCell ref="AA2483:AA2484"/>
    <mergeCell ref="AB2483:AB2484"/>
    <mergeCell ref="AC2483:AC2484"/>
    <mergeCell ref="AD2483:AD2484"/>
    <mergeCell ref="F2497:F2498"/>
    <mergeCell ref="J2497:J2498"/>
    <mergeCell ref="N2497:N2498"/>
    <mergeCell ref="Y2497:Y2498"/>
    <mergeCell ref="AG2559:AG2560"/>
    <mergeCell ref="AH2559:AH2560"/>
    <mergeCell ref="F2565:F2566"/>
    <mergeCell ref="AG2557:AG2558"/>
    <mergeCell ref="J2563:J2564"/>
    <mergeCell ref="N2563:N2564"/>
    <mergeCell ref="J2557:J2558"/>
    <mergeCell ref="N2557:N2558"/>
    <mergeCell ref="Y2557:Y2558"/>
    <mergeCell ref="AA2557:AA2558"/>
    <mergeCell ref="AB2557:AB2558"/>
    <mergeCell ref="AC2557:AC2558"/>
    <mergeCell ref="AB2585:AB2586"/>
    <mergeCell ref="AC2585:AC2586"/>
    <mergeCell ref="Y2573:Y2574"/>
    <mergeCell ref="AA2573:AA2574"/>
    <mergeCell ref="AB2573:AB2574"/>
    <mergeCell ref="AC2573:AC2574"/>
    <mergeCell ref="AD2573:AD2574"/>
    <mergeCell ref="AF2573:AF2574"/>
    <mergeCell ref="AG2573:AG2574"/>
    <mergeCell ref="AH2573:AH2574"/>
    <mergeCell ref="AC2569:AC2570"/>
    <mergeCell ref="N2213:N2214"/>
    <mergeCell ref="N2052:N2053"/>
    <mergeCell ref="Y2052:Y2053"/>
    <mergeCell ref="AA2052:AA2053"/>
    <mergeCell ref="J2052:J2053"/>
    <mergeCell ref="E2183:E2184"/>
    <mergeCell ref="E2181:E2182"/>
    <mergeCell ref="F2183:F2184"/>
    <mergeCell ref="E2078:E2079"/>
    <mergeCell ref="F2078:F2079"/>
    <mergeCell ref="J2078:J2079"/>
    <mergeCell ref="N2078:N2079"/>
    <mergeCell ref="Y2078:Y2079"/>
    <mergeCell ref="Y2018:Y2019"/>
    <mergeCell ref="AI2000:AI2001"/>
    <mergeCell ref="AL2012:AL2013"/>
    <mergeCell ref="J2012:J2013"/>
    <mergeCell ref="AI2042:AI2043"/>
    <mergeCell ref="Y2038:Y2039"/>
    <mergeCell ref="E2451:E2452"/>
    <mergeCell ref="F2451:F2452"/>
    <mergeCell ref="E2483:E2484"/>
    <mergeCell ref="AJ2483:AJ2484"/>
    <mergeCell ref="AK2483:AK2484"/>
    <mergeCell ref="AA2437:AA2438"/>
    <mergeCell ref="AB2437:AB2438"/>
    <mergeCell ref="AK2433:AK2434"/>
    <mergeCell ref="AJ2591:AJ2592"/>
    <mergeCell ref="N2493:N2494"/>
    <mergeCell ref="AA2489:AA2490"/>
    <mergeCell ref="AB2489:AB2490"/>
    <mergeCell ref="AI2507:AI2508"/>
    <mergeCell ref="AJ2507:AJ2508"/>
    <mergeCell ref="AK2507:AK2508"/>
    <mergeCell ref="AG2495:AG2496"/>
    <mergeCell ref="AH2495:AH2496"/>
    <mergeCell ref="AD2493:AD2494"/>
    <mergeCell ref="AH2487:AH2488"/>
    <mergeCell ref="AI2487:AI2488"/>
    <mergeCell ref="AA2493:AA2494"/>
    <mergeCell ref="N2495:N2496"/>
    <mergeCell ref="Y2495:Y2496"/>
    <mergeCell ref="AA2495:AA2496"/>
    <mergeCell ref="E2497:E2498"/>
    <mergeCell ref="J2531:J2532"/>
    <mergeCell ref="N2531:N2532"/>
    <mergeCell ref="E2545:E2546"/>
    <mergeCell ref="F2545:F2546"/>
    <mergeCell ref="Y2545:Y2546"/>
    <mergeCell ref="AB2495:AB2496"/>
    <mergeCell ref="AC2495:AC2496"/>
    <mergeCell ref="AD2495:AD2496"/>
    <mergeCell ref="AF2495:AF2496"/>
    <mergeCell ref="N2567:N2568"/>
    <mergeCell ref="E2481:E2482"/>
    <mergeCell ref="AK2485:AK2486"/>
    <mergeCell ref="AD2481:AD2482"/>
    <mergeCell ref="F2481:F2482"/>
    <mergeCell ref="J2481:J2482"/>
    <mergeCell ref="N2481:N2482"/>
    <mergeCell ref="Y2481:Y2482"/>
    <mergeCell ref="AI2495:AI2496"/>
    <mergeCell ref="AI2499:AI2500"/>
    <mergeCell ref="E2505:E2506"/>
    <mergeCell ref="E2020:E2021"/>
    <mergeCell ref="E2030:E2031"/>
    <mergeCell ref="F2066:F2067"/>
    <mergeCell ref="F2060:F2061"/>
    <mergeCell ref="AL2135:AL2136"/>
    <mergeCell ref="AO2135:AO2136"/>
    <mergeCell ref="F2084:F2085"/>
    <mergeCell ref="J2084:J2085"/>
    <mergeCell ref="N2084:N2085"/>
    <mergeCell ref="Y2084:Y2085"/>
    <mergeCell ref="AA2084:AA2085"/>
    <mergeCell ref="AB2084:AB2085"/>
    <mergeCell ref="AF2131:AF2132"/>
    <mergeCell ref="AG2131:AG2132"/>
    <mergeCell ref="AK2131:AK2132"/>
    <mergeCell ref="Y2010:Y2011"/>
    <mergeCell ref="AH2012:AH2013"/>
    <mergeCell ref="AI2012:AI2013"/>
    <mergeCell ref="AK2012:AK2013"/>
    <mergeCell ref="E2060:E2061"/>
    <mergeCell ref="AC2034:AC2035"/>
    <mergeCell ref="AD2034:AD2035"/>
    <mergeCell ref="AL2004:AL2005"/>
    <mergeCell ref="J2010:J2011"/>
    <mergeCell ref="J2004:J2005"/>
    <mergeCell ref="J2048:J2049"/>
    <mergeCell ref="J2131:J2132"/>
    <mergeCell ref="N2131:N2132"/>
    <mergeCell ref="Y2135:Y2136"/>
    <mergeCell ref="AF2036:AF2037"/>
    <mergeCell ref="AO2018:AO2019"/>
    <mergeCell ref="AM2018:AM2019"/>
    <mergeCell ref="AM2020:AM2021"/>
    <mergeCell ref="AJ2016:AJ2017"/>
    <mergeCell ref="AJ2018:AJ2019"/>
    <mergeCell ref="AH2036:AH2037"/>
    <mergeCell ref="AI2036:AI2037"/>
    <mergeCell ref="Y2133:Y2134"/>
    <mergeCell ref="AK2127:AK2128"/>
    <mergeCell ref="AH2080:AH2081"/>
    <mergeCell ref="AI2080:AI2081"/>
    <mergeCell ref="AK2066:AK2067"/>
    <mergeCell ref="AO2068:AO2069"/>
    <mergeCell ref="J2080:J2081"/>
    <mergeCell ref="N2080:N2081"/>
    <mergeCell ref="Y2080:Y2081"/>
    <mergeCell ref="AA2080:AA2081"/>
    <mergeCell ref="AA2078:AA2079"/>
    <mergeCell ref="AB2078:AB2079"/>
    <mergeCell ref="AM2094:AM2095"/>
    <mergeCell ref="AO2094:AO2095"/>
    <mergeCell ref="AA2012:AA2013"/>
    <mergeCell ref="E2006:E2007"/>
    <mergeCell ref="N2008:N2009"/>
    <mergeCell ref="Y2008:Y2009"/>
    <mergeCell ref="AA2008:AA2009"/>
    <mergeCell ref="F2006:F2007"/>
    <mergeCell ref="AB2008:AB2009"/>
    <mergeCell ref="AG2010:AG2011"/>
    <mergeCell ref="AH2010:AH2011"/>
    <mergeCell ref="AM2116:AM2117"/>
    <mergeCell ref="AO2116:AO2117"/>
    <mergeCell ref="AO2124:AO2125"/>
    <mergeCell ref="AO2040:AO2041"/>
    <mergeCell ref="AO2024:AO2025"/>
    <mergeCell ref="AM2024:AM2025"/>
    <mergeCell ref="AJ2042:AJ2043"/>
    <mergeCell ref="J2002:J2003"/>
    <mergeCell ref="AK1971:AK1972"/>
    <mergeCell ref="AF1967:AF1968"/>
    <mergeCell ref="AG1967:AG1968"/>
    <mergeCell ref="AA2048:AA2049"/>
    <mergeCell ref="AJ2068:AJ2069"/>
    <mergeCell ref="AK2042:AK2043"/>
    <mergeCell ref="AM1975:AM1976"/>
    <mergeCell ref="AO1975:AO1976"/>
    <mergeCell ref="AM1993:AM1994"/>
    <mergeCell ref="AO1993:AO1994"/>
    <mergeCell ref="AG2040:AG2041"/>
    <mergeCell ref="AH2040:AH2041"/>
    <mergeCell ref="J1998:J1999"/>
    <mergeCell ref="AG2006:AG2007"/>
    <mergeCell ref="AF2004:AF2005"/>
    <mergeCell ref="AC2000:AC2001"/>
    <mergeCell ref="AF2014:AF2015"/>
    <mergeCell ref="AB2002:AB2003"/>
    <mergeCell ref="AC2002:AC2003"/>
    <mergeCell ref="AD2002:AD2003"/>
    <mergeCell ref="AF2002:AF2003"/>
    <mergeCell ref="N2012:N2013"/>
    <mergeCell ref="N1969:N1970"/>
    <mergeCell ref="Y1969:Y1970"/>
    <mergeCell ref="AA1969:AA1970"/>
    <mergeCell ref="AB1969:AB1970"/>
    <mergeCell ref="AF2008:AF2009"/>
    <mergeCell ref="AG2008:AG2009"/>
    <mergeCell ref="AH1998:AH1999"/>
    <mergeCell ref="AI1998:AI1999"/>
    <mergeCell ref="AG2000:AG2001"/>
    <mergeCell ref="AJ1998:AJ1999"/>
    <mergeCell ref="AJ2000:AJ2001"/>
    <mergeCell ref="Y1998:Y1999"/>
    <mergeCell ref="Y2004:Y2005"/>
    <mergeCell ref="Y2014:Y2015"/>
    <mergeCell ref="Y1975:Y1976"/>
    <mergeCell ref="AA1820:AA1821"/>
    <mergeCell ref="AB1820:AB1821"/>
    <mergeCell ref="E1816:E1817"/>
    <mergeCell ref="F1816:F1817"/>
    <mergeCell ref="J1816:J1817"/>
    <mergeCell ref="N1816:N1817"/>
    <mergeCell ref="Y1816:Y1817"/>
    <mergeCell ref="AA1816:AA1817"/>
    <mergeCell ref="AB1816:AB1817"/>
    <mergeCell ref="AC1816:AC1817"/>
    <mergeCell ref="AD1816:AD1817"/>
    <mergeCell ref="AF1816:AF1817"/>
    <mergeCell ref="AH1975:AH1976"/>
    <mergeCell ref="AI1975:AI1976"/>
    <mergeCell ref="AJ1975:AJ1976"/>
    <mergeCell ref="AF1961:AF1962"/>
    <mergeCell ref="AA1913:AA1914"/>
    <mergeCell ref="AG1913:AG1914"/>
    <mergeCell ref="AH1913:AH1914"/>
    <mergeCell ref="E1779:E1780"/>
    <mergeCell ref="F1779:F1780"/>
    <mergeCell ref="J1779:J1780"/>
    <mergeCell ref="N1779:N1780"/>
    <mergeCell ref="E1810:E1811"/>
    <mergeCell ref="F1810:F1811"/>
    <mergeCell ref="J1810:J1811"/>
    <mergeCell ref="AA1783:AA1784"/>
    <mergeCell ref="AB1783:AB1784"/>
    <mergeCell ref="AC1783:AC1784"/>
    <mergeCell ref="AD1783:AD1784"/>
    <mergeCell ref="AF1783:AF1784"/>
    <mergeCell ref="AJ1903:AJ1904"/>
    <mergeCell ref="AC1927:AC1928"/>
    <mergeCell ref="AD1927:AD1928"/>
    <mergeCell ref="AF1927:AF1928"/>
    <mergeCell ref="AD1939:AD1940"/>
    <mergeCell ref="J1915:J1916"/>
    <mergeCell ref="N1915:N1916"/>
    <mergeCell ref="Y1915:Y1916"/>
    <mergeCell ref="F1921:F1922"/>
    <mergeCell ref="J1903:J1904"/>
    <mergeCell ref="AD1937:AD1938"/>
    <mergeCell ref="AF1937:AF1938"/>
    <mergeCell ref="AG1937:AG1938"/>
    <mergeCell ref="J1818:J1819"/>
    <mergeCell ref="N1818:N1819"/>
    <mergeCell ref="Y1818:Y1819"/>
    <mergeCell ref="E1967:E1968"/>
    <mergeCell ref="Y1961:Y1962"/>
    <mergeCell ref="E1951:E1952"/>
    <mergeCell ref="F1951:F1952"/>
    <mergeCell ref="E1953:E1954"/>
    <mergeCell ref="F1953:F1954"/>
    <mergeCell ref="E1959:E1960"/>
    <mergeCell ref="F1959:F1960"/>
    <mergeCell ref="F1830:F1831"/>
    <mergeCell ref="J1830:J1831"/>
    <mergeCell ref="N1830:N1831"/>
    <mergeCell ref="AA1818:AA1819"/>
    <mergeCell ref="AB1818:AB1819"/>
    <mergeCell ref="AC1818:AC1819"/>
    <mergeCell ref="AD1818:AD1819"/>
    <mergeCell ref="AF1818:AF1819"/>
    <mergeCell ref="AG1818:AG1819"/>
    <mergeCell ref="E1708:E1709"/>
    <mergeCell ref="F1708:F1709"/>
    <mergeCell ref="E1909:E1910"/>
    <mergeCell ref="AC1907:AC1908"/>
    <mergeCell ref="AD1907:AD1908"/>
    <mergeCell ref="AF1907:AF1908"/>
    <mergeCell ref="AD1718:AD1719"/>
    <mergeCell ref="AK1909:AK1910"/>
    <mergeCell ref="AC1909:AC1910"/>
    <mergeCell ref="AG1903:AG1904"/>
    <mergeCell ref="AH1903:AH1904"/>
    <mergeCell ref="AK1919:AK1920"/>
    <mergeCell ref="AF1903:AF1904"/>
    <mergeCell ref="AD1909:AD1910"/>
    <mergeCell ref="AF1909:AF1910"/>
    <mergeCell ref="J1951:J1952"/>
    <mergeCell ref="N1951:N1952"/>
    <mergeCell ref="Y1951:Y1952"/>
    <mergeCell ref="AA1951:AA1952"/>
    <mergeCell ref="AB1951:AB1952"/>
    <mergeCell ref="AC1951:AC1952"/>
    <mergeCell ref="AD1951:AD1952"/>
    <mergeCell ref="AF1951:AF1952"/>
    <mergeCell ref="AG1951:AG1952"/>
    <mergeCell ref="AH1951:AH1952"/>
    <mergeCell ref="AI1951:AI1952"/>
    <mergeCell ref="AJ1951:AJ1952"/>
    <mergeCell ref="AD1773:AD1774"/>
    <mergeCell ref="AF1773:AF1774"/>
    <mergeCell ref="AG1773:AG1774"/>
    <mergeCell ref="AK1939:AK1940"/>
    <mergeCell ref="AF1939:AF1940"/>
    <mergeCell ref="Y1929:Y1930"/>
    <mergeCell ref="AA1929:AA1930"/>
    <mergeCell ref="AB1929:AB1930"/>
    <mergeCell ref="AC1929:AC1930"/>
    <mergeCell ref="AD1929:AD1930"/>
    <mergeCell ref="AF1929:AF1930"/>
    <mergeCell ref="AG1929:AG1930"/>
    <mergeCell ref="AH1929:AH1930"/>
    <mergeCell ref="J1933:J1934"/>
    <mergeCell ref="N1933:N1934"/>
    <mergeCell ref="AI1945:AI1946"/>
    <mergeCell ref="AJ1945:AJ1946"/>
    <mergeCell ref="AK1945:AK1946"/>
    <mergeCell ref="AK1714:AK1715"/>
    <mergeCell ref="AJ1722:AJ1723"/>
    <mergeCell ref="AK1722:AK1723"/>
    <mergeCell ref="Y1878:Y1879"/>
    <mergeCell ref="AA1878:AA1879"/>
    <mergeCell ref="AB1878:AB1879"/>
    <mergeCell ref="AC1878:AC1879"/>
    <mergeCell ref="E1750:E1751"/>
    <mergeCell ref="AK1933:AK1934"/>
    <mergeCell ref="E1718:E1719"/>
    <mergeCell ref="F1718:F1719"/>
    <mergeCell ref="AB1903:AB1904"/>
    <mergeCell ref="AC1903:AC1904"/>
    <mergeCell ref="AI1903:AI1904"/>
    <mergeCell ref="AJ1730:AJ1731"/>
    <mergeCell ref="AK1730:AK1731"/>
    <mergeCell ref="E1824:E1825"/>
    <mergeCell ref="E1818:E1819"/>
    <mergeCell ref="F1818:F1819"/>
    <mergeCell ref="F1698:F1699"/>
    <mergeCell ref="E1812:E1813"/>
    <mergeCell ref="F1812:F1813"/>
    <mergeCell ref="AH1812:AH1813"/>
    <mergeCell ref="AI1812:AI1813"/>
    <mergeCell ref="AA1806:AA1807"/>
    <mergeCell ref="F1730:F1731"/>
    <mergeCell ref="J1730:J1731"/>
    <mergeCell ref="N1730:N1731"/>
    <mergeCell ref="Y1730:Y1731"/>
    <mergeCell ref="AA1730:AA1731"/>
    <mergeCell ref="AB1730:AB1731"/>
    <mergeCell ref="AC1730:AC1731"/>
    <mergeCell ref="AD1730:AD1731"/>
    <mergeCell ref="J1700:J1701"/>
    <mergeCell ref="N1700:N1701"/>
    <mergeCell ref="Y1700:Y1701"/>
    <mergeCell ref="AA1710:AA1711"/>
    <mergeCell ref="AI1708:AI1709"/>
    <mergeCell ref="AH1698:AH1699"/>
    <mergeCell ref="AI1698:AI1699"/>
    <mergeCell ref="AA1704:AA1705"/>
    <mergeCell ref="AB1704:AB1705"/>
    <mergeCell ref="AC1704:AC1705"/>
    <mergeCell ref="AD1704:AD1705"/>
    <mergeCell ref="Y1704:Y1705"/>
    <mergeCell ref="AD1700:AD1701"/>
    <mergeCell ref="AF1700:AF1701"/>
    <mergeCell ref="AA1698:AA1699"/>
    <mergeCell ref="AF1730:AF1731"/>
    <mergeCell ref="AC1698:AC1699"/>
    <mergeCell ref="AD1698:AD1699"/>
    <mergeCell ref="AF1698:AF1699"/>
    <mergeCell ref="AG1698:AG1699"/>
    <mergeCell ref="AG1708:AG1709"/>
    <mergeCell ref="AH1708:AH1709"/>
    <mergeCell ref="AA1722:AA1723"/>
    <mergeCell ref="AB1722:AB1723"/>
    <mergeCell ref="AC1722:AC1723"/>
    <mergeCell ref="AD1722:AD1723"/>
    <mergeCell ref="AF1722:AF1723"/>
    <mergeCell ref="AG1722:AG1723"/>
    <mergeCell ref="AH1722:AH1723"/>
    <mergeCell ref="AI1722:AI1723"/>
    <mergeCell ref="E1716:E1717"/>
    <mergeCell ref="F1716:F1717"/>
    <mergeCell ref="J1716:J1717"/>
    <mergeCell ref="N1716:N1717"/>
    <mergeCell ref="Y1716:Y1717"/>
    <mergeCell ref="AA1716:AA1717"/>
    <mergeCell ref="AB1716:AB1717"/>
    <mergeCell ref="AC1716:AC1717"/>
    <mergeCell ref="AD1716:AD1717"/>
    <mergeCell ref="AF1716:AF1717"/>
    <mergeCell ref="AG1716:AG1717"/>
    <mergeCell ref="AH1716:AH1717"/>
    <mergeCell ref="AC1728:AC1729"/>
    <mergeCell ref="AD1728:AD1729"/>
    <mergeCell ref="E1722:E1723"/>
    <mergeCell ref="F1722:F1723"/>
    <mergeCell ref="J1722:J1723"/>
    <mergeCell ref="E1730:E1731"/>
    <mergeCell ref="AH1730:AH1731"/>
    <mergeCell ref="AI1730:AI1731"/>
    <mergeCell ref="E1684:E1685"/>
    <mergeCell ref="F1684:F1685"/>
    <mergeCell ref="J1684:J1685"/>
    <mergeCell ref="N1684:N1685"/>
    <mergeCell ref="Y1684:Y1685"/>
    <mergeCell ref="AA1684:AA1685"/>
    <mergeCell ref="E1674:E1675"/>
    <mergeCell ref="F1674:F1675"/>
    <mergeCell ref="AJ1658:AJ1659"/>
    <mergeCell ref="AJ1660:AJ1661"/>
    <mergeCell ref="AJ1662:AJ1663"/>
    <mergeCell ref="AJ1666:AJ1667"/>
    <mergeCell ref="AJ1668:AJ1669"/>
    <mergeCell ref="E1680:E1681"/>
    <mergeCell ref="AB1658:AB1659"/>
    <mergeCell ref="E1678:E1679"/>
    <mergeCell ref="E1714:E1715"/>
    <mergeCell ref="F1714:F1715"/>
    <mergeCell ref="AD1692:AD1693"/>
    <mergeCell ref="AF1692:AF1693"/>
    <mergeCell ref="AG1692:AG1693"/>
    <mergeCell ref="AH1692:AH1693"/>
    <mergeCell ref="AI1692:AI1693"/>
    <mergeCell ref="E1694:E1695"/>
    <mergeCell ref="F1694:F1695"/>
    <mergeCell ref="AB1692:AB1693"/>
    <mergeCell ref="AC1692:AC1693"/>
    <mergeCell ref="AC1666:AC1667"/>
    <mergeCell ref="AD1666:AD1667"/>
    <mergeCell ref="AH1688:AH1689"/>
    <mergeCell ref="AI1688:AI1689"/>
    <mergeCell ref="N1694:N1695"/>
    <mergeCell ref="Y1694:Y1695"/>
    <mergeCell ref="AA1694:AA1695"/>
    <mergeCell ref="AB1694:AB1695"/>
    <mergeCell ref="AC1694:AC1695"/>
    <mergeCell ref="AD1694:AD1695"/>
    <mergeCell ref="AJ1714:AJ1715"/>
    <mergeCell ref="J1704:J1705"/>
    <mergeCell ref="N1704:N1705"/>
    <mergeCell ref="J1714:J1715"/>
    <mergeCell ref="N1714:N1715"/>
    <mergeCell ref="AJ1712:AJ1713"/>
    <mergeCell ref="AI1700:AI1701"/>
    <mergeCell ref="J1702:J1703"/>
    <mergeCell ref="N1702:N1703"/>
    <mergeCell ref="Y1702:Y1703"/>
    <mergeCell ref="J1710:J1711"/>
    <mergeCell ref="N1710:N1711"/>
    <mergeCell ref="Y1710:Y1711"/>
    <mergeCell ref="J1706:J1707"/>
    <mergeCell ref="E1672:E1673"/>
    <mergeCell ref="F1672:F1673"/>
    <mergeCell ref="J1672:J1673"/>
    <mergeCell ref="N1672:N1673"/>
    <mergeCell ref="AI1666:AI1667"/>
    <mergeCell ref="AC1676:AC1677"/>
    <mergeCell ref="E1668:E1669"/>
    <mergeCell ref="F1668:F1669"/>
    <mergeCell ref="J1668:J1669"/>
    <mergeCell ref="N1668:N1669"/>
    <mergeCell ref="Y1668:Y1669"/>
    <mergeCell ref="AA1668:AA1669"/>
    <mergeCell ref="AB1668:AB1669"/>
    <mergeCell ref="E1567:E1568"/>
    <mergeCell ref="F1567:F1568"/>
    <mergeCell ref="J1567:J1568"/>
    <mergeCell ref="E1579:E1580"/>
    <mergeCell ref="F1579:F1580"/>
    <mergeCell ref="J1579:J1580"/>
    <mergeCell ref="N1579:N1580"/>
    <mergeCell ref="Y1579:Y1580"/>
    <mergeCell ref="AA1579:AA1580"/>
    <mergeCell ref="AB1579:AB1580"/>
    <mergeCell ref="AC1579:AC1580"/>
    <mergeCell ref="AD1579:AD1580"/>
    <mergeCell ref="E1581:E1582"/>
    <mergeCell ref="E1597:E1598"/>
    <mergeCell ref="F1597:F1598"/>
    <mergeCell ref="E1676:E1677"/>
    <mergeCell ref="E1688:E1689"/>
    <mergeCell ref="F1688:F1689"/>
    <mergeCell ref="AK1688:AK1689"/>
    <mergeCell ref="J1680:J1681"/>
    <mergeCell ref="J1688:J1689"/>
    <mergeCell ref="N1688:N1689"/>
    <mergeCell ref="E1656:E1657"/>
    <mergeCell ref="F1656:F1657"/>
    <mergeCell ref="J1656:J1657"/>
    <mergeCell ref="N1656:N1657"/>
    <mergeCell ref="Y1652:Y1653"/>
    <mergeCell ref="AA1652:AA1653"/>
    <mergeCell ref="E1650:E1651"/>
    <mergeCell ref="F1650:F1651"/>
    <mergeCell ref="J1650:J1651"/>
    <mergeCell ref="J1644:J1645"/>
    <mergeCell ref="AB1680:AB1681"/>
    <mergeCell ref="AC1680:AC1681"/>
    <mergeCell ref="AD1680:AD1681"/>
    <mergeCell ref="AF1680:AF1681"/>
    <mergeCell ref="AG1680:AG1681"/>
    <mergeCell ref="AH1680:AH1681"/>
    <mergeCell ref="AI1680:AI1681"/>
    <mergeCell ref="AC1648:AC1649"/>
    <mergeCell ref="E1648:E1649"/>
    <mergeCell ref="F1648:F1649"/>
    <mergeCell ref="AA1648:AA1649"/>
    <mergeCell ref="AB1648:AB1649"/>
    <mergeCell ref="J1648:J1649"/>
    <mergeCell ref="N1648:N1649"/>
    <mergeCell ref="E1658:E1659"/>
    <mergeCell ref="F1658:F1659"/>
    <mergeCell ref="J1658:J1659"/>
    <mergeCell ref="N1658:N1659"/>
    <mergeCell ref="Y1658:Y1659"/>
    <mergeCell ref="AG1658:AG1659"/>
    <mergeCell ref="AH1658:AH1659"/>
    <mergeCell ref="AI1658:AI1659"/>
    <mergeCell ref="AF1654:AF1655"/>
    <mergeCell ref="AG1654:AG1655"/>
    <mergeCell ref="AH1654:AH1655"/>
    <mergeCell ref="AK1654:AK1655"/>
    <mergeCell ref="E1644:E1645"/>
    <mergeCell ref="F1644:F1645"/>
    <mergeCell ref="AG1648:AG1649"/>
    <mergeCell ref="AH1648:AH1649"/>
    <mergeCell ref="AI1648:AI1649"/>
    <mergeCell ref="E1662:E1663"/>
    <mergeCell ref="AK1474:AK1475"/>
    <mergeCell ref="AL1474:AL1475"/>
    <mergeCell ref="E1476:E1477"/>
    <mergeCell ref="F1476:F1477"/>
    <mergeCell ref="J1476:J1477"/>
    <mergeCell ref="N1476:N1477"/>
    <mergeCell ref="Y1476:Y1477"/>
    <mergeCell ref="AA1476:AA1477"/>
    <mergeCell ref="AB1476:AB1477"/>
    <mergeCell ref="AC1476:AC1477"/>
    <mergeCell ref="AD1476:AD1477"/>
    <mergeCell ref="AB1496:AB1497"/>
    <mergeCell ref="AC1496:AC1497"/>
    <mergeCell ref="AD1496:AD1497"/>
    <mergeCell ref="AF1496:AF1497"/>
    <mergeCell ref="AG1496:AG1497"/>
    <mergeCell ref="AH1496:AH1497"/>
    <mergeCell ref="AI1496:AI1497"/>
    <mergeCell ref="AJ1496:AJ1497"/>
    <mergeCell ref="AK1496:AK1497"/>
    <mergeCell ref="AL1496:AL1497"/>
    <mergeCell ref="AC1531:AC1532"/>
    <mergeCell ref="J1533:J1534"/>
    <mergeCell ref="N1533:N1534"/>
    <mergeCell ref="Y1482:Y1483"/>
    <mergeCell ref="AA1482:AA1483"/>
    <mergeCell ref="E1498:E1499"/>
    <mergeCell ref="F1498:F1499"/>
    <mergeCell ref="E1533:E1534"/>
    <mergeCell ref="E1535:E1536"/>
    <mergeCell ref="E1531:E1532"/>
    <mergeCell ref="AK1591:AK1592"/>
    <mergeCell ref="AL1591:AL1592"/>
    <mergeCell ref="E1555:E1556"/>
    <mergeCell ref="F1555:F1556"/>
    <mergeCell ref="AJ1555:AJ1556"/>
    <mergeCell ref="AJ1557:AJ1558"/>
    <mergeCell ref="AJ1559:AJ1560"/>
    <mergeCell ref="F1561:F1562"/>
    <mergeCell ref="J1561:J1562"/>
    <mergeCell ref="N1561:N1562"/>
    <mergeCell ref="Y1561:Y1562"/>
    <mergeCell ref="AA1561:AA1562"/>
    <mergeCell ref="AB1561:AB1562"/>
    <mergeCell ref="AC1561:AC1562"/>
    <mergeCell ref="Y1557:Y1558"/>
    <mergeCell ref="AA1557:AA1558"/>
    <mergeCell ref="AB1557:AB1558"/>
    <mergeCell ref="AC1557:AC1558"/>
    <mergeCell ref="AA1555:AA1556"/>
    <mergeCell ref="E1559:E1560"/>
    <mergeCell ref="F1559:F1560"/>
    <mergeCell ref="J1559:J1560"/>
    <mergeCell ref="N1559:N1560"/>
    <mergeCell ref="Y1559:Y1560"/>
    <mergeCell ref="AA1559:AA1560"/>
    <mergeCell ref="AB1559:AB1560"/>
    <mergeCell ref="AC1559:AC1560"/>
    <mergeCell ref="AD1559:AD1560"/>
    <mergeCell ref="AF1559:AF1560"/>
    <mergeCell ref="AG1559:AG1560"/>
    <mergeCell ref="AH1559:AH1560"/>
    <mergeCell ref="AI1559:AI1560"/>
    <mergeCell ref="AK1559:AK1560"/>
    <mergeCell ref="AO1305:AO1306"/>
    <mergeCell ref="AL1301:AL1302"/>
    <mergeCell ref="AO1309:AO1310"/>
    <mergeCell ref="E1374:E1375"/>
    <mergeCell ref="N1303:N1304"/>
    <mergeCell ref="Y1303:Y1304"/>
    <mergeCell ref="AB1305:AB1306"/>
    <mergeCell ref="AK1293:AK1294"/>
    <mergeCell ref="AK1305:AK1306"/>
    <mergeCell ref="AA1364:AA1365"/>
    <mergeCell ref="F1301:F1302"/>
    <mergeCell ref="J1301:J1302"/>
    <mergeCell ref="F1315:F1316"/>
    <mergeCell ref="AM1551:AM1552"/>
    <mergeCell ref="AO1551:AO1552"/>
    <mergeCell ref="AJ1549:AJ1550"/>
    <mergeCell ref="AJ1551:AJ1552"/>
    <mergeCell ref="E1545:E1546"/>
    <mergeCell ref="F1545:F1546"/>
    <mergeCell ref="J1545:J1546"/>
    <mergeCell ref="N1545:N1546"/>
    <mergeCell ref="Y1545:Y1546"/>
    <mergeCell ref="AA1545:AA1546"/>
    <mergeCell ref="AB1545:AB1546"/>
    <mergeCell ref="AC1545:AC1546"/>
    <mergeCell ref="AD1545:AD1546"/>
    <mergeCell ref="AF1545:AF1546"/>
    <mergeCell ref="AG1545:AG1546"/>
    <mergeCell ref="AH1545:AH1546"/>
    <mergeCell ref="AI1545:AI1546"/>
    <mergeCell ref="AK1545:AK1546"/>
    <mergeCell ref="AL1545:AL1546"/>
    <mergeCell ref="AM1545:AM1546"/>
    <mergeCell ref="AO1545:AO1546"/>
    <mergeCell ref="E1547:E1548"/>
    <mergeCell ref="F1547:F1548"/>
    <mergeCell ref="J1547:J1548"/>
    <mergeCell ref="N1547:N1548"/>
    <mergeCell ref="Y1547:Y1548"/>
    <mergeCell ref="AA1547:AA1548"/>
    <mergeCell ref="AO1543:AO1544"/>
    <mergeCell ref="AO1539:AO1540"/>
    <mergeCell ref="AL1541:AL1542"/>
    <mergeCell ref="AG1537:AG1538"/>
    <mergeCell ref="AH1537:AH1538"/>
    <mergeCell ref="AI1537:AI1538"/>
    <mergeCell ref="AK1537:AK1538"/>
    <mergeCell ref="AA1541:AA1542"/>
    <mergeCell ref="AB1541:AB1542"/>
    <mergeCell ref="AC1541:AC1542"/>
    <mergeCell ref="AO1549:AO1550"/>
    <mergeCell ref="AO1547:AO1548"/>
    <mergeCell ref="AL1549:AL1550"/>
    <mergeCell ref="E1549:E1550"/>
    <mergeCell ref="AD1549:AD1550"/>
    <mergeCell ref="AF1549:AF1550"/>
    <mergeCell ref="AG1549:AG1550"/>
    <mergeCell ref="AH1549:AH1550"/>
    <mergeCell ref="E1541:E1542"/>
    <mergeCell ref="E1510:E1511"/>
    <mergeCell ref="Y1472:Y1473"/>
    <mergeCell ref="AF1470:AF1471"/>
    <mergeCell ref="AG1470:AG1471"/>
    <mergeCell ref="AH1470:AH1471"/>
    <mergeCell ref="E1486:E1487"/>
    <mergeCell ref="F1486:F1487"/>
    <mergeCell ref="J1486:J1487"/>
    <mergeCell ref="N1486:N1487"/>
    <mergeCell ref="Y1486:Y1487"/>
    <mergeCell ref="AA1486:AA1487"/>
    <mergeCell ref="AB1486:AB1487"/>
    <mergeCell ref="AC1486:AC1487"/>
    <mergeCell ref="AD1486:AD1487"/>
    <mergeCell ref="AF1486:AF1487"/>
    <mergeCell ref="AG1486:AG1487"/>
    <mergeCell ref="AH1486:AH1487"/>
    <mergeCell ref="AI1486:AI1487"/>
    <mergeCell ref="AJ1462:AJ1463"/>
    <mergeCell ref="E1466:E1467"/>
    <mergeCell ref="N1480:N1481"/>
    <mergeCell ref="Y1480:Y1481"/>
    <mergeCell ref="AA1480:AA1481"/>
    <mergeCell ref="AB1480:AB1481"/>
    <mergeCell ref="AC1480:AC1481"/>
    <mergeCell ref="AD1480:AD1481"/>
    <mergeCell ref="E1462:E1463"/>
    <mergeCell ref="AD1472:AD1473"/>
    <mergeCell ref="AF1472:AF1473"/>
    <mergeCell ref="AG1472:AG1473"/>
    <mergeCell ref="AH1472:AH1473"/>
    <mergeCell ref="AI1472:AI1473"/>
    <mergeCell ref="AJ1466:AJ1467"/>
    <mergeCell ref="AG1468:AG1469"/>
    <mergeCell ref="AH1468:AH1469"/>
    <mergeCell ref="AG1271:AG1272"/>
    <mergeCell ref="AC1390:AC1391"/>
    <mergeCell ref="AD1390:AD1391"/>
    <mergeCell ref="E1281:E1282"/>
    <mergeCell ref="F1281:F1282"/>
    <mergeCell ref="J1281:J1282"/>
    <mergeCell ref="F1283:F1284"/>
    <mergeCell ref="J1273:J1274"/>
    <mergeCell ref="AD1271:AD1272"/>
    <mergeCell ref="AD1279:AD1280"/>
    <mergeCell ref="AF1279:AF1280"/>
    <mergeCell ref="AG1279:AG1280"/>
    <mergeCell ref="AA1277:AA1278"/>
    <mergeCell ref="AB1277:AB1278"/>
    <mergeCell ref="J1462:J1463"/>
    <mergeCell ref="N1462:N1463"/>
    <mergeCell ref="J1472:J1473"/>
    <mergeCell ref="N1380:N1381"/>
    <mergeCell ref="Y1380:Y1381"/>
    <mergeCell ref="E1402:E1403"/>
    <mergeCell ref="AG1404:AG1405"/>
    <mergeCell ref="F1402:F1403"/>
    <mergeCell ref="J1402:J1403"/>
    <mergeCell ref="N1402:N1403"/>
    <mergeCell ref="Y1402:Y1403"/>
    <mergeCell ref="AA1402:AA1403"/>
    <mergeCell ref="AB1275:AB1276"/>
    <mergeCell ref="AC1309:AC1310"/>
    <mergeCell ref="N1289:N1290"/>
    <mergeCell ref="N1464:N1465"/>
    <mergeCell ref="AB1394:AB1395"/>
    <mergeCell ref="AC1394:AC1395"/>
    <mergeCell ref="E1416:E1417"/>
    <mergeCell ref="AB1386:AB1387"/>
    <mergeCell ref="F1307:F1308"/>
    <mergeCell ref="J1307:J1308"/>
    <mergeCell ref="N1364:N1365"/>
    <mergeCell ref="Y1364:Y1365"/>
    <mergeCell ref="E1362:E1363"/>
    <mergeCell ref="AH1382:AH1383"/>
    <mergeCell ref="AI1382:AI1383"/>
    <mergeCell ref="AM1386:AM1387"/>
    <mergeCell ref="AO1386:AO1387"/>
    <mergeCell ref="Y1382:Y1383"/>
    <mergeCell ref="E1386:E1387"/>
    <mergeCell ref="F1386:F1387"/>
    <mergeCell ref="J1386:J1387"/>
    <mergeCell ref="N1386:N1387"/>
    <mergeCell ref="E1378:E1379"/>
    <mergeCell ref="AC1307:AC1308"/>
    <mergeCell ref="AA1315:AA1316"/>
    <mergeCell ref="F1333:F1334"/>
    <mergeCell ref="J1333:J1334"/>
    <mergeCell ref="N1333:N1334"/>
    <mergeCell ref="Y1333:Y1334"/>
    <mergeCell ref="E1364:E1365"/>
    <mergeCell ref="N1366:N1367"/>
    <mergeCell ref="Y1366:Y1367"/>
    <mergeCell ref="AA1362:AA1363"/>
    <mergeCell ref="Y1370:Y1371"/>
    <mergeCell ref="AA1370:AA1371"/>
    <mergeCell ref="AO1257:AO1258"/>
    <mergeCell ref="AB1269:AB1270"/>
    <mergeCell ref="AK1269:AK1270"/>
    <mergeCell ref="AL1269:AL1270"/>
    <mergeCell ref="AK1283:AK1284"/>
    <mergeCell ref="AL1283:AL1284"/>
    <mergeCell ref="J1271:J1272"/>
    <mergeCell ref="N1271:N1272"/>
    <mergeCell ref="Y1271:Y1272"/>
    <mergeCell ref="E1277:E1278"/>
    <mergeCell ref="AL1281:AL1282"/>
    <mergeCell ref="F1257:F1258"/>
    <mergeCell ref="J1257:J1258"/>
    <mergeCell ref="N1257:N1258"/>
    <mergeCell ref="Y1257:Y1258"/>
    <mergeCell ref="AA1257:AA1258"/>
    <mergeCell ref="AK1261:AK1262"/>
    <mergeCell ref="AH1263:AH1264"/>
    <mergeCell ref="E1273:E1274"/>
    <mergeCell ref="F1273:F1274"/>
    <mergeCell ref="E1269:E1270"/>
    <mergeCell ref="E1271:E1272"/>
    <mergeCell ref="N1273:N1274"/>
    <mergeCell ref="Y1273:Y1274"/>
    <mergeCell ref="AA1273:AA1274"/>
    <mergeCell ref="F1269:F1270"/>
    <mergeCell ref="AB1263:AB1264"/>
    <mergeCell ref="Y1277:Y1278"/>
    <mergeCell ref="AG1263:AG1264"/>
    <mergeCell ref="AA1263:AA1264"/>
    <mergeCell ref="AK1263:AK1264"/>
    <mergeCell ref="AA1267:AA1268"/>
    <mergeCell ref="N1281:N1282"/>
    <mergeCell ref="AK1281:AK1282"/>
    <mergeCell ref="AL1293:AL1294"/>
    <mergeCell ref="AL1305:AL1306"/>
    <mergeCell ref="AL1309:AL1310"/>
    <mergeCell ref="AO1283:AO1284"/>
    <mergeCell ref="AO1279:AO1280"/>
    <mergeCell ref="AD1259:AD1260"/>
    <mergeCell ref="AO1275:AO1276"/>
    <mergeCell ref="AC1273:AC1274"/>
    <mergeCell ref="AO1269:AO1270"/>
    <mergeCell ref="AH1259:AH1260"/>
    <mergeCell ref="AI1259:AI1260"/>
    <mergeCell ref="AM1275:AM1276"/>
    <mergeCell ref="AO1267:AO1268"/>
    <mergeCell ref="AO1273:AO1274"/>
    <mergeCell ref="E1275:E1276"/>
    <mergeCell ref="F1275:F1276"/>
    <mergeCell ref="AJ1277:AJ1278"/>
    <mergeCell ref="AJ1279:AJ1280"/>
    <mergeCell ref="AJ1281:AJ1282"/>
    <mergeCell ref="AJ1283:AJ1284"/>
    <mergeCell ref="AD1275:AD1276"/>
    <mergeCell ref="Y1275:Y1276"/>
    <mergeCell ref="Y1295:Y1296"/>
    <mergeCell ref="AJ1301:AJ1302"/>
    <mergeCell ref="AI1295:AI1296"/>
    <mergeCell ref="AA1299:AA1300"/>
    <mergeCell ref="J1285:J1286"/>
    <mergeCell ref="N1301:N1302"/>
    <mergeCell ref="N1362:N1363"/>
    <mergeCell ref="N1305:N1306"/>
    <mergeCell ref="E1307:E1308"/>
    <mergeCell ref="E1203:E1204"/>
    <mergeCell ref="AD1207:AD1208"/>
    <mergeCell ref="AF1207:AF1208"/>
    <mergeCell ref="AF1209:AF1210"/>
    <mergeCell ref="AG1209:AG1210"/>
    <mergeCell ref="E1243:E1244"/>
    <mergeCell ref="E1263:E1264"/>
    <mergeCell ref="F1263:F1264"/>
    <mergeCell ref="J1263:J1264"/>
    <mergeCell ref="F1267:F1268"/>
    <mergeCell ref="J1267:J1268"/>
    <mergeCell ref="AL1235:AL1236"/>
    <mergeCell ref="AA1271:AA1272"/>
    <mergeCell ref="AB1271:AB1272"/>
    <mergeCell ref="N1243:N1244"/>
    <mergeCell ref="Y1243:Y1244"/>
    <mergeCell ref="AF1267:AF1268"/>
    <mergeCell ref="AG1267:AG1268"/>
    <mergeCell ref="AL1249:AL1250"/>
    <mergeCell ref="AH1249:AH1250"/>
    <mergeCell ref="AI1249:AI1250"/>
    <mergeCell ref="AK1249:AK1250"/>
    <mergeCell ref="AD1267:AD1268"/>
    <mergeCell ref="AB1249:AB1250"/>
    <mergeCell ref="AC1249:AC1250"/>
    <mergeCell ref="AD1249:AD1250"/>
    <mergeCell ref="AF1249:AF1250"/>
    <mergeCell ref="AJ1235:AJ1236"/>
    <mergeCell ref="AB1229:AB1230"/>
    <mergeCell ref="AJ1237:AJ1238"/>
    <mergeCell ref="AJ1239:AJ1240"/>
    <mergeCell ref="AJ1241:AJ1242"/>
    <mergeCell ref="AJ1243:AJ1244"/>
    <mergeCell ref="AJ1245:AJ1246"/>
    <mergeCell ref="J1251:J1252"/>
    <mergeCell ref="J1227:J1228"/>
    <mergeCell ref="E1265:E1266"/>
    <mergeCell ref="AG1249:AG1250"/>
    <mergeCell ref="Y1231:Y1232"/>
    <mergeCell ref="AA1231:AA1232"/>
    <mergeCell ref="AA1251:AA1252"/>
    <mergeCell ref="AK1303:AK1304"/>
    <mergeCell ref="Y1305:Y1306"/>
    <mergeCell ref="AG1362:AG1363"/>
    <mergeCell ref="AH1362:AH1363"/>
    <mergeCell ref="AI1362:AI1363"/>
    <mergeCell ref="AJ1303:AJ1304"/>
    <mergeCell ref="AJ1305:AJ1306"/>
    <mergeCell ref="E1239:E1240"/>
    <mergeCell ref="E1235:E1236"/>
    <mergeCell ref="F1271:F1272"/>
    <mergeCell ref="Y1269:Y1270"/>
    <mergeCell ref="F1265:F1266"/>
    <mergeCell ref="J1265:J1266"/>
    <mergeCell ref="N1265:N1266"/>
    <mergeCell ref="Y1265:Y1266"/>
    <mergeCell ref="AA1265:AA1266"/>
    <mergeCell ref="AB1265:AB1266"/>
    <mergeCell ref="F1241:F1242"/>
    <mergeCell ref="E1241:E1242"/>
    <mergeCell ref="AG1203:AG1204"/>
    <mergeCell ref="AH1203:AH1204"/>
    <mergeCell ref="AI1203:AI1204"/>
    <mergeCell ref="AA1259:AA1260"/>
    <mergeCell ref="AB1259:AB1260"/>
    <mergeCell ref="AC1259:AC1260"/>
    <mergeCell ref="F1237:F1238"/>
    <mergeCell ref="E1207:E1208"/>
    <mergeCell ref="J1207:J1208"/>
    <mergeCell ref="F1207:F1208"/>
    <mergeCell ref="E1223:E1224"/>
    <mergeCell ref="F1223:F1224"/>
    <mergeCell ref="E1221:E1222"/>
    <mergeCell ref="F1221:F1222"/>
    <mergeCell ref="J1221:J1222"/>
    <mergeCell ref="N1221:N1222"/>
    <mergeCell ref="Y1221:Y1222"/>
    <mergeCell ref="N1207:N1208"/>
    <mergeCell ref="Y1207:Y1208"/>
    <mergeCell ref="AA1207:AA1208"/>
    <mergeCell ref="F1217:F1218"/>
    <mergeCell ref="E1209:E1210"/>
    <mergeCell ref="E1215:E1216"/>
    <mergeCell ref="E1219:E1220"/>
    <mergeCell ref="AK1225:AK1226"/>
    <mergeCell ref="AF1227:AF1228"/>
    <mergeCell ref="AG1227:AG1228"/>
    <mergeCell ref="AI1229:AI1230"/>
    <mergeCell ref="AB1231:AB1232"/>
    <mergeCell ref="Y1235:Y1236"/>
    <mergeCell ref="AA1235:AA1236"/>
    <mergeCell ref="AG1225:AG1226"/>
    <mergeCell ref="AB1247:AB1248"/>
    <mergeCell ref="AC1247:AC1248"/>
    <mergeCell ref="AD1247:AD1248"/>
    <mergeCell ref="AF1247:AF1248"/>
    <mergeCell ref="E1311:E1312"/>
    <mergeCell ref="AI1341:AI1342"/>
    <mergeCell ref="AI1327:AI1328"/>
    <mergeCell ref="E1333:E1334"/>
    <mergeCell ref="J1032:J1033"/>
    <mergeCell ref="N1032:N1033"/>
    <mergeCell ref="Y1032:Y1033"/>
    <mergeCell ref="E975:E976"/>
    <mergeCell ref="F975:F976"/>
    <mergeCell ref="J975:J976"/>
    <mergeCell ref="N975:N976"/>
    <mergeCell ref="Y975:Y976"/>
    <mergeCell ref="AA975:AA976"/>
    <mergeCell ref="AB975:AB976"/>
    <mergeCell ref="AC975:AC976"/>
    <mergeCell ref="AD975:AD976"/>
    <mergeCell ref="Y1036:Y1037"/>
    <mergeCell ref="AA1036:AA1037"/>
    <mergeCell ref="E1009:E1010"/>
    <mergeCell ref="AK1199:AK1200"/>
    <mergeCell ref="Y1201:Y1202"/>
    <mergeCell ref="AA1201:AA1202"/>
    <mergeCell ref="AB1201:AB1202"/>
    <mergeCell ref="N1140:N1141"/>
    <mergeCell ref="F1142:F1143"/>
    <mergeCell ref="J1142:J1143"/>
    <mergeCell ref="E1199:E1200"/>
    <mergeCell ref="E1201:E1202"/>
    <mergeCell ref="AC1087:AC1088"/>
    <mergeCell ref="AD1087:AD1088"/>
    <mergeCell ref="AF1087:AF1088"/>
    <mergeCell ref="AG1087:AG1088"/>
    <mergeCell ref="E1034:E1035"/>
    <mergeCell ref="F1034:F1035"/>
    <mergeCell ref="AF1030:AF1031"/>
    <mergeCell ref="AI1030:AI1031"/>
    <mergeCell ref="AJ1030:AJ1031"/>
    <mergeCell ref="E1028:E1029"/>
    <mergeCell ref="F1022:F1023"/>
    <mergeCell ref="AD1201:AD1202"/>
    <mergeCell ref="N1199:N1200"/>
    <mergeCell ref="Y1199:Y1200"/>
    <mergeCell ref="Y1034:Y1035"/>
    <mergeCell ref="AA1034:AA1035"/>
    <mergeCell ref="AA1032:AA1033"/>
    <mergeCell ref="J1020:J1021"/>
    <mergeCell ref="N1020:N1021"/>
    <mergeCell ref="Y1020:Y1021"/>
    <mergeCell ref="AA1020:AA1021"/>
    <mergeCell ref="F1024:F1025"/>
    <mergeCell ref="N1026:N1027"/>
    <mergeCell ref="Y1026:Y1027"/>
    <mergeCell ref="AA1026:AA1027"/>
    <mergeCell ref="AC1026:AC1027"/>
    <mergeCell ref="AI1020:AI1021"/>
    <mergeCell ref="AA1024:AA1025"/>
    <mergeCell ref="AB1024:AB1025"/>
    <mergeCell ref="AJ1099:AJ1100"/>
    <mergeCell ref="AK1099:AK1100"/>
    <mergeCell ref="AI1091:AI1092"/>
    <mergeCell ref="AJ1091:AJ1092"/>
    <mergeCell ref="AI1089:AI1090"/>
    <mergeCell ref="AJ1089:AJ1090"/>
    <mergeCell ref="AK1089:AK1090"/>
    <mergeCell ref="E983:E984"/>
    <mergeCell ref="AK1034:AK1035"/>
    <mergeCell ref="AF1182:AF1183"/>
    <mergeCell ref="AG1182:AG1183"/>
    <mergeCell ref="AJ739:AJ740"/>
    <mergeCell ref="AJ741:AJ742"/>
    <mergeCell ref="AJ743:AJ744"/>
    <mergeCell ref="AJ745:AJ746"/>
    <mergeCell ref="AI711:AI712"/>
    <mergeCell ref="N785:N786"/>
    <mergeCell ref="Y785:Y786"/>
    <mergeCell ref="AA785:AA786"/>
    <mergeCell ref="AB785:AB786"/>
    <mergeCell ref="AC785:AC786"/>
    <mergeCell ref="AD785:AD786"/>
    <mergeCell ref="AF785:AF786"/>
    <mergeCell ref="AG785:AG786"/>
    <mergeCell ref="AH785:AH786"/>
    <mergeCell ref="Y783:Y784"/>
    <mergeCell ref="AG777:AG778"/>
    <mergeCell ref="AF781:AF782"/>
    <mergeCell ref="AJ783:AJ784"/>
    <mergeCell ref="AJ785:AJ786"/>
    <mergeCell ref="AA747:AA748"/>
    <mergeCell ref="AH719:AH720"/>
    <mergeCell ref="AG707:AG708"/>
    <mergeCell ref="AD727:AD728"/>
    <mergeCell ref="AF727:AF728"/>
    <mergeCell ref="AD747:AD748"/>
    <mergeCell ref="AF747:AF748"/>
    <mergeCell ref="AI747:AI748"/>
    <mergeCell ref="AF767:AF768"/>
    <mergeCell ref="AG767:AG768"/>
    <mergeCell ref="AB723:AB724"/>
    <mergeCell ref="AC723:AC724"/>
    <mergeCell ref="N767:N768"/>
    <mergeCell ref="Y767:Y768"/>
    <mergeCell ref="AA767:AA768"/>
    <mergeCell ref="AF709:AF710"/>
    <mergeCell ref="AJ711:AJ712"/>
    <mergeCell ref="E561:E562"/>
    <mergeCell ref="E573:E574"/>
    <mergeCell ref="F571:F572"/>
    <mergeCell ref="AH561:AH562"/>
    <mergeCell ref="AI561:AI562"/>
    <mergeCell ref="AC573:AC574"/>
    <mergeCell ref="AD573:AD574"/>
    <mergeCell ref="AF573:AF574"/>
    <mergeCell ref="AG573:AG574"/>
    <mergeCell ref="AB573:AB574"/>
    <mergeCell ref="AI577:AI578"/>
    <mergeCell ref="AA569:AA570"/>
    <mergeCell ref="AD595:AD596"/>
    <mergeCell ref="AF595:AF596"/>
    <mergeCell ref="AD581:AD582"/>
    <mergeCell ref="N581:N582"/>
    <mergeCell ref="Y581:Y582"/>
    <mergeCell ref="AH573:AH574"/>
    <mergeCell ref="AI573:AI574"/>
    <mergeCell ref="AH577:AH578"/>
    <mergeCell ref="Y561:Y562"/>
    <mergeCell ref="AC575:AC576"/>
    <mergeCell ref="AD575:AD576"/>
    <mergeCell ref="E569:E570"/>
    <mergeCell ref="N563:N564"/>
    <mergeCell ref="N579:N580"/>
    <mergeCell ref="N611:N612"/>
    <mergeCell ref="E567:E568"/>
    <mergeCell ref="F567:F568"/>
    <mergeCell ref="J567:J568"/>
    <mergeCell ref="E609:E610"/>
    <mergeCell ref="F611:F612"/>
    <mergeCell ref="J611:J612"/>
    <mergeCell ref="J585:J586"/>
    <mergeCell ref="AF585:AF586"/>
    <mergeCell ref="AC611:AC612"/>
    <mergeCell ref="F589:F590"/>
    <mergeCell ref="J589:J590"/>
    <mergeCell ref="N589:N590"/>
    <mergeCell ref="Y589:Y590"/>
    <mergeCell ref="AA589:AA590"/>
    <mergeCell ref="AB589:AB590"/>
    <mergeCell ref="F569:F570"/>
    <mergeCell ref="J569:J570"/>
    <mergeCell ref="AC605:AC606"/>
    <mergeCell ref="AD605:AD606"/>
    <mergeCell ref="AF605:AF606"/>
    <mergeCell ref="J597:J598"/>
    <mergeCell ref="E605:E606"/>
    <mergeCell ref="F605:F606"/>
    <mergeCell ref="J605:J606"/>
    <mergeCell ref="N605:N606"/>
    <mergeCell ref="Y605:Y606"/>
    <mergeCell ref="AA605:AA606"/>
    <mergeCell ref="AB605:AB606"/>
    <mergeCell ref="Y585:Y586"/>
    <mergeCell ref="AA585:AA586"/>
    <mergeCell ref="AB585:AB586"/>
    <mergeCell ref="E597:E598"/>
    <mergeCell ref="F597:F598"/>
    <mergeCell ref="E356:E357"/>
    <mergeCell ref="F356:F357"/>
    <mergeCell ref="J356:J357"/>
    <mergeCell ref="N356:N357"/>
    <mergeCell ref="Y356:Y357"/>
    <mergeCell ref="AA356:AA357"/>
    <mergeCell ref="AB356:AB357"/>
    <mergeCell ref="AC356:AC357"/>
    <mergeCell ref="AD356:AD357"/>
    <mergeCell ref="AF356:AF357"/>
    <mergeCell ref="AG356:AG357"/>
    <mergeCell ref="AH356:AH357"/>
    <mergeCell ref="AG426:AG427"/>
    <mergeCell ref="AH426:AH427"/>
    <mergeCell ref="AB397:AB398"/>
    <mergeCell ref="AC397:AC398"/>
    <mergeCell ref="AD397:AD398"/>
    <mergeCell ref="AF397:AF398"/>
    <mergeCell ref="AG397:AG398"/>
    <mergeCell ref="AH397:AH398"/>
    <mergeCell ref="J414:J415"/>
    <mergeCell ref="N414:N415"/>
    <mergeCell ref="AB414:AB415"/>
    <mergeCell ref="E434:E435"/>
    <mergeCell ref="E440:E441"/>
    <mergeCell ref="F440:F441"/>
    <mergeCell ref="E436:E437"/>
    <mergeCell ref="AD414:AD415"/>
    <mergeCell ref="F416:F417"/>
    <mergeCell ref="F470:F471"/>
    <mergeCell ref="E474:E475"/>
    <mergeCell ref="E472:E473"/>
    <mergeCell ref="F472:F473"/>
    <mergeCell ref="AD390:AD391"/>
    <mergeCell ref="AF390:AF391"/>
    <mergeCell ref="AG390:AG391"/>
    <mergeCell ref="AH390:AH391"/>
    <mergeCell ref="AD450:AD451"/>
    <mergeCell ref="AF450:AF451"/>
    <mergeCell ref="AG450:AG451"/>
    <mergeCell ref="F446:F447"/>
    <mergeCell ref="AH454:AH455"/>
    <mergeCell ref="AB401:AB402"/>
    <mergeCell ref="AC401:AC402"/>
    <mergeCell ref="AD401:AD402"/>
    <mergeCell ref="AF401:AF402"/>
    <mergeCell ref="AG401:AG402"/>
    <mergeCell ref="AH401:AH402"/>
    <mergeCell ref="F406:F407"/>
    <mergeCell ref="J406:J407"/>
    <mergeCell ref="N406:N407"/>
    <mergeCell ref="Y406:Y407"/>
    <mergeCell ref="AA406:AA407"/>
    <mergeCell ref="E446:E447"/>
    <mergeCell ref="Y375:Y376"/>
    <mergeCell ref="E456:E457"/>
    <mergeCell ref="E399:E400"/>
    <mergeCell ref="Y472:Y473"/>
    <mergeCell ref="AA472:AA473"/>
    <mergeCell ref="E478:E479"/>
    <mergeCell ref="F478:F479"/>
    <mergeCell ref="E484:E485"/>
    <mergeCell ref="F484:F485"/>
    <mergeCell ref="J484:J485"/>
    <mergeCell ref="F488:F489"/>
    <mergeCell ref="E365:E366"/>
    <mergeCell ref="E426:E427"/>
    <mergeCell ref="E420:E421"/>
    <mergeCell ref="E424:E425"/>
    <mergeCell ref="N422:N423"/>
    <mergeCell ref="Y422:Y423"/>
    <mergeCell ref="AH436:AH437"/>
    <mergeCell ref="F414:F415"/>
    <mergeCell ref="AC420:AC421"/>
    <mergeCell ref="AD420:AD421"/>
    <mergeCell ref="AC422:AC423"/>
    <mergeCell ref="AF422:AF423"/>
    <mergeCell ref="AG422:AG423"/>
    <mergeCell ref="AH422:AH423"/>
    <mergeCell ref="AD424:AD425"/>
    <mergeCell ref="Y426:Y427"/>
    <mergeCell ref="AA426:AA427"/>
    <mergeCell ref="AB426:AB427"/>
    <mergeCell ref="E358:E359"/>
    <mergeCell ref="F358:F359"/>
    <mergeCell ref="J358:J359"/>
    <mergeCell ref="E360:E361"/>
    <mergeCell ref="F360:F361"/>
    <mergeCell ref="J360:J361"/>
    <mergeCell ref="AF382:AF383"/>
    <mergeCell ref="F434:F435"/>
    <mergeCell ref="J434:J435"/>
    <mergeCell ref="E432:E433"/>
    <mergeCell ref="E384:E385"/>
    <mergeCell ref="F384:F385"/>
    <mergeCell ref="J384:J385"/>
    <mergeCell ref="N384:N385"/>
    <mergeCell ref="Y384:Y385"/>
    <mergeCell ref="AA384:AA385"/>
    <mergeCell ref="AB384:AB385"/>
    <mergeCell ref="AC384:AC385"/>
    <mergeCell ref="AD384:AD385"/>
    <mergeCell ref="AF384:AF385"/>
    <mergeCell ref="AG384:AG385"/>
    <mergeCell ref="AH384:AH385"/>
    <mergeCell ref="F365:F366"/>
    <mergeCell ref="J365:J366"/>
    <mergeCell ref="N365:N366"/>
    <mergeCell ref="Y365:Y366"/>
    <mergeCell ref="AA365:AA366"/>
    <mergeCell ref="AB365:AB366"/>
    <mergeCell ref="AC365:AC366"/>
    <mergeCell ref="AD365:AD366"/>
    <mergeCell ref="AF365:AF366"/>
    <mergeCell ref="AG365:AG366"/>
    <mergeCell ref="AH365:AH366"/>
    <mergeCell ref="E401:E402"/>
    <mergeCell ref="F401:F402"/>
    <mergeCell ref="J401:J402"/>
    <mergeCell ref="N401:N402"/>
    <mergeCell ref="Y401:Y402"/>
    <mergeCell ref="AA401:AA402"/>
    <mergeCell ref="F428:F429"/>
    <mergeCell ref="AA486:AA487"/>
    <mergeCell ref="AB486:AB487"/>
    <mergeCell ref="AC486:AC487"/>
    <mergeCell ref="AD486:AD487"/>
    <mergeCell ref="AF486:AF487"/>
    <mergeCell ref="AG486:AG487"/>
    <mergeCell ref="N492:N493"/>
    <mergeCell ref="F520:F521"/>
    <mergeCell ref="J520:J521"/>
    <mergeCell ref="N520:N521"/>
    <mergeCell ref="Y520:Y521"/>
    <mergeCell ref="AA520:AA521"/>
    <mergeCell ref="AB520:AB521"/>
    <mergeCell ref="AC520:AC521"/>
    <mergeCell ref="AD520:AD521"/>
    <mergeCell ref="AF520:AF521"/>
    <mergeCell ref="AG520:AG521"/>
    <mergeCell ref="AC456:AC457"/>
    <mergeCell ref="AD456:AD457"/>
    <mergeCell ref="AF456:AF457"/>
    <mergeCell ref="AG456:AG457"/>
    <mergeCell ref="N420:N421"/>
    <mergeCell ref="Y420:Y421"/>
    <mergeCell ref="AA420:AA421"/>
    <mergeCell ref="AB420:AB421"/>
    <mergeCell ref="AC492:AC493"/>
    <mergeCell ref="AD492:AD493"/>
    <mergeCell ref="AB490:AB491"/>
    <mergeCell ref="AC490:AC491"/>
    <mergeCell ref="AB500:AB501"/>
    <mergeCell ref="AC500:AC501"/>
    <mergeCell ref="AB440:AB441"/>
    <mergeCell ref="AB438:AB439"/>
    <mergeCell ref="AC438:AC439"/>
    <mergeCell ref="F432:F433"/>
    <mergeCell ref="AC508:AC509"/>
    <mergeCell ref="F436:F437"/>
    <mergeCell ref="J430:J431"/>
    <mergeCell ref="N430:N431"/>
    <mergeCell ref="J422:J423"/>
    <mergeCell ref="F466:F467"/>
    <mergeCell ref="J466:J467"/>
    <mergeCell ref="N466:N467"/>
    <mergeCell ref="Y466:Y467"/>
    <mergeCell ref="AA466:AA467"/>
    <mergeCell ref="AB466:AB467"/>
    <mergeCell ref="AC466:AC467"/>
    <mergeCell ref="AA504:AA505"/>
    <mergeCell ref="J498:J499"/>
    <mergeCell ref="AA506:AA507"/>
    <mergeCell ref="AB506:AB507"/>
    <mergeCell ref="F476:F477"/>
    <mergeCell ref="Y512:Y513"/>
    <mergeCell ref="F316:F317"/>
    <mergeCell ref="AG549:AG550"/>
    <mergeCell ref="AH549:AH550"/>
    <mergeCell ref="N470:N471"/>
    <mergeCell ref="Y470:Y471"/>
    <mergeCell ref="AG420:AG421"/>
    <mergeCell ref="AC418:AC419"/>
    <mergeCell ref="AD418:AD419"/>
    <mergeCell ref="AF418:AF419"/>
    <mergeCell ref="AG418:AG419"/>
    <mergeCell ref="AB404:AB405"/>
    <mergeCell ref="AG404:AG405"/>
    <mergeCell ref="AH420:AH421"/>
    <mergeCell ref="F549:F550"/>
    <mergeCell ref="J549:J550"/>
    <mergeCell ref="N549:N550"/>
    <mergeCell ref="Y549:Y550"/>
    <mergeCell ref="AA549:AA550"/>
    <mergeCell ref="AD454:AD455"/>
    <mergeCell ref="Y440:Y441"/>
    <mergeCell ref="F420:F421"/>
    <mergeCell ref="J424:J425"/>
    <mergeCell ref="F424:F425"/>
    <mergeCell ref="F426:F427"/>
    <mergeCell ref="AA456:AA457"/>
    <mergeCell ref="AB454:AB455"/>
    <mergeCell ref="AC454:AC455"/>
    <mergeCell ref="AH462:AH463"/>
    <mergeCell ref="Y416:Y417"/>
    <mergeCell ref="AA416:AA417"/>
    <mergeCell ref="J344:J345"/>
    <mergeCell ref="N344:N345"/>
    <mergeCell ref="Y344:Y345"/>
    <mergeCell ref="AH404:AH405"/>
    <mergeCell ref="AB549:AB550"/>
    <mergeCell ref="F474:F475"/>
    <mergeCell ref="AG476:AG477"/>
    <mergeCell ref="AH476:AH477"/>
    <mergeCell ref="AA450:AA451"/>
    <mergeCell ref="AB450:AB451"/>
    <mergeCell ref="J420:J421"/>
    <mergeCell ref="N440:N441"/>
    <mergeCell ref="AF438:AF439"/>
    <mergeCell ref="F442:F443"/>
    <mergeCell ref="J442:J443"/>
    <mergeCell ref="AA440:AA441"/>
    <mergeCell ref="AD422:AD423"/>
    <mergeCell ref="AC426:AC427"/>
    <mergeCell ref="AC541:AC542"/>
    <mergeCell ref="AG466:AG467"/>
    <mergeCell ref="AC470:AC471"/>
    <mergeCell ref="AH468:AH469"/>
    <mergeCell ref="AB462:AB463"/>
    <mergeCell ref="AA412:AA413"/>
    <mergeCell ref="AB412:AB413"/>
    <mergeCell ref="AC412:AC413"/>
    <mergeCell ref="AD412:AD413"/>
    <mergeCell ref="AG412:AG413"/>
    <mergeCell ref="AF404:AF405"/>
    <mergeCell ref="AB416:AB417"/>
    <mergeCell ref="AC416:AC417"/>
    <mergeCell ref="AA414:AA415"/>
    <mergeCell ref="AC414:AC415"/>
    <mergeCell ref="AH412:AH413"/>
    <mergeCell ref="AI494:AI495"/>
    <mergeCell ref="F563:F564"/>
    <mergeCell ref="E500:E501"/>
    <mergeCell ref="J535:J536"/>
    <mergeCell ref="N535:N536"/>
    <mergeCell ref="Y535:Y536"/>
    <mergeCell ref="AG535:AG536"/>
    <mergeCell ref="AG567:AG568"/>
    <mergeCell ref="AA545:AA546"/>
    <mergeCell ref="AG553:AG554"/>
    <mergeCell ref="Y551:Y552"/>
    <mergeCell ref="AA543:AA544"/>
    <mergeCell ref="F557:F558"/>
    <mergeCell ref="Y565:Y566"/>
    <mergeCell ref="AA563:AA564"/>
    <mergeCell ref="E553:E554"/>
    <mergeCell ref="F553:F554"/>
    <mergeCell ref="J553:J554"/>
    <mergeCell ref="N553:N554"/>
    <mergeCell ref="Y553:Y554"/>
    <mergeCell ref="AA553:AA554"/>
    <mergeCell ref="AB553:AB554"/>
    <mergeCell ref="AI545:AI546"/>
    <mergeCell ref="AI555:AI556"/>
    <mergeCell ref="AH553:AH554"/>
    <mergeCell ref="AI553:AI554"/>
    <mergeCell ref="AI547:AI548"/>
    <mergeCell ref="AH555:AH556"/>
    <mergeCell ref="J547:J548"/>
    <mergeCell ref="N547:N548"/>
    <mergeCell ref="Y545:Y546"/>
    <mergeCell ref="AC545:AC546"/>
    <mergeCell ref="AC553:AC554"/>
    <mergeCell ref="AA559:AA560"/>
    <mergeCell ref="AB567:AB568"/>
    <mergeCell ref="AC567:AC568"/>
    <mergeCell ref="AD567:AD568"/>
    <mergeCell ref="E547:E548"/>
    <mergeCell ref="F547:F548"/>
    <mergeCell ref="AH563:AH564"/>
    <mergeCell ref="AI565:AI566"/>
    <mergeCell ref="AI563:AI564"/>
    <mergeCell ref="AB547:AB548"/>
    <mergeCell ref="AC547:AC548"/>
    <mergeCell ref="AD553:AD554"/>
    <mergeCell ref="J561:J562"/>
    <mergeCell ref="N561:N562"/>
    <mergeCell ref="J555:J556"/>
    <mergeCell ref="N555:N556"/>
    <mergeCell ref="AF553:AF554"/>
    <mergeCell ref="AH533:AH534"/>
    <mergeCell ref="AI533:AI534"/>
    <mergeCell ref="AF508:AF509"/>
    <mergeCell ref="AG508:AG509"/>
    <mergeCell ref="AH508:AH509"/>
    <mergeCell ref="AI508:AI509"/>
    <mergeCell ref="AB533:AB534"/>
    <mergeCell ref="AH543:AH544"/>
    <mergeCell ref="AH547:AH548"/>
    <mergeCell ref="AD500:AD501"/>
    <mergeCell ref="E520:E521"/>
    <mergeCell ref="AH520:AH521"/>
    <mergeCell ref="AI520:AI521"/>
    <mergeCell ref="Y567:Y568"/>
    <mergeCell ref="E476:E477"/>
    <mergeCell ref="E496:E497"/>
    <mergeCell ref="F496:F497"/>
    <mergeCell ref="J496:J497"/>
    <mergeCell ref="N496:N497"/>
    <mergeCell ref="Y496:Y497"/>
    <mergeCell ref="AA496:AA497"/>
    <mergeCell ref="AB496:AB497"/>
    <mergeCell ref="AF569:AF570"/>
    <mergeCell ref="E565:E566"/>
    <mergeCell ref="F565:F566"/>
    <mergeCell ref="J565:J566"/>
    <mergeCell ref="N567:N568"/>
    <mergeCell ref="AG561:AG562"/>
    <mergeCell ref="AF575:AF576"/>
    <mergeCell ref="AG575:AG576"/>
    <mergeCell ref="AC549:AC550"/>
    <mergeCell ref="AD549:AD550"/>
    <mergeCell ref="Y569:Y570"/>
    <mergeCell ref="AB561:AB562"/>
    <mergeCell ref="AF577:AF578"/>
    <mergeCell ref="N559:N560"/>
    <mergeCell ref="AG563:AG564"/>
    <mergeCell ref="E577:E578"/>
    <mergeCell ref="F577:F578"/>
    <mergeCell ref="E575:E576"/>
    <mergeCell ref="E571:E572"/>
    <mergeCell ref="AD561:AD562"/>
    <mergeCell ref="AF561:AF562"/>
    <mergeCell ref="AF567:AF568"/>
    <mergeCell ref="J563:J564"/>
    <mergeCell ref="AD563:AD564"/>
    <mergeCell ref="AF563:AF564"/>
    <mergeCell ref="F561:F562"/>
    <mergeCell ref="F573:F574"/>
    <mergeCell ref="Y573:Y574"/>
    <mergeCell ref="E559:E560"/>
    <mergeCell ref="J557:J558"/>
    <mergeCell ref="N557:N558"/>
    <mergeCell ref="Y557:Y558"/>
    <mergeCell ref="E557:E558"/>
    <mergeCell ref="E543:E544"/>
    <mergeCell ref="F543:F544"/>
    <mergeCell ref="J543:J544"/>
    <mergeCell ref="E539:E540"/>
    <mergeCell ref="E545:E546"/>
    <mergeCell ref="E533:E534"/>
    <mergeCell ref="E537:E538"/>
    <mergeCell ref="F541:F542"/>
    <mergeCell ref="F533:F534"/>
    <mergeCell ref="J545:J546"/>
    <mergeCell ref="N545:N546"/>
    <mergeCell ref="J541:J542"/>
    <mergeCell ref="N541:N542"/>
    <mergeCell ref="Y541:Y542"/>
    <mergeCell ref="AA541:AA542"/>
    <mergeCell ref="E535:E536"/>
    <mergeCell ref="F535:F536"/>
    <mergeCell ref="F539:F540"/>
    <mergeCell ref="E549:E550"/>
    <mergeCell ref="AF549:AF550"/>
    <mergeCell ref="F559:F560"/>
    <mergeCell ref="E551:E552"/>
    <mergeCell ref="N565:N566"/>
    <mergeCell ref="E607:E608"/>
    <mergeCell ref="F607:F608"/>
    <mergeCell ref="Y583:Y584"/>
    <mergeCell ref="AA583:AA584"/>
    <mergeCell ref="AF583:AF584"/>
    <mergeCell ref="E591:E592"/>
    <mergeCell ref="J551:J552"/>
    <mergeCell ref="N551:N552"/>
    <mergeCell ref="E555:E556"/>
    <mergeCell ref="F555:F556"/>
    <mergeCell ref="AB541:AB542"/>
    <mergeCell ref="AD547:AD548"/>
    <mergeCell ref="AF547:AF548"/>
    <mergeCell ref="J573:J574"/>
    <mergeCell ref="AC585:AC586"/>
    <mergeCell ref="Y577:Y578"/>
    <mergeCell ref="AA577:AA578"/>
    <mergeCell ref="N571:N572"/>
    <mergeCell ref="AB577:AB578"/>
    <mergeCell ref="AC577:AC578"/>
    <mergeCell ref="AD577:AD578"/>
    <mergeCell ref="E603:E604"/>
    <mergeCell ref="E595:E596"/>
    <mergeCell ref="F599:F600"/>
    <mergeCell ref="F587:F588"/>
    <mergeCell ref="J587:J588"/>
    <mergeCell ref="N587:N588"/>
    <mergeCell ref="N591:N592"/>
    <mergeCell ref="AH2712:AH2713"/>
    <mergeCell ref="AI2712:AI2713"/>
    <mergeCell ref="AH2694:AH2695"/>
    <mergeCell ref="N2674:N2675"/>
    <mergeCell ref="N2639:N2640"/>
    <mergeCell ref="Y2639:Y2640"/>
    <mergeCell ref="AA2639:AA2640"/>
    <mergeCell ref="AB2639:AB2640"/>
    <mergeCell ref="AC2639:AC2640"/>
    <mergeCell ref="E2690:E2691"/>
    <mergeCell ref="F2690:F2691"/>
    <mergeCell ref="AG2686:AG2687"/>
    <mergeCell ref="E611:E612"/>
    <mergeCell ref="AC813:AC814"/>
    <mergeCell ref="AD813:AD814"/>
    <mergeCell ref="AF813:AF814"/>
    <mergeCell ref="AG813:AG814"/>
    <mergeCell ref="AH807:AH808"/>
    <mergeCell ref="J1026:J1027"/>
    <mergeCell ref="AB709:AB710"/>
    <mergeCell ref="N709:N710"/>
    <mergeCell ref="Y709:Y710"/>
    <mergeCell ref="AA787:AA788"/>
    <mergeCell ref="AA705:AA706"/>
    <mergeCell ref="AB749:AB750"/>
    <mergeCell ref="AC749:AC750"/>
    <mergeCell ref="AD749:AD750"/>
    <mergeCell ref="AC705:AC706"/>
    <mergeCell ref="AA795:AA796"/>
    <mergeCell ref="AB795:AB796"/>
    <mergeCell ref="AC795:AC796"/>
    <mergeCell ref="AD795:AD796"/>
    <mergeCell ref="AF795:AF796"/>
    <mergeCell ref="AG795:AG796"/>
    <mergeCell ref="AH795:AH796"/>
    <mergeCell ref="AI795:AI796"/>
    <mergeCell ref="AJ597:AJ598"/>
    <mergeCell ref="AI571:AI572"/>
    <mergeCell ref="F783:F784"/>
    <mergeCell ref="J783:J784"/>
    <mergeCell ref="J811:J812"/>
    <mergeCell ref="AD783:AD784"/>
    <mergeCell ref="AF783:AF784"/>
    <mergeCell ref="AG783:AG784"/>
    <mergeCell ref="AH783:AH784"/>
    <mergeCell ref="N2609:N2610"/>
    <mergeCell ref="Y2609:Y2610"/>
    <mergeCell ref="AA2609:AA2610"/>
    <mergeCell ref="AB2609:AB2610"/>
    <mergeCell ref="AD2639:AD2640"/>
    <mergeCell ref="AF2639:AF2640"/>
    <mergeCell ref="Y615:Y616"/>
    <mergeCell ref="J577:J578"/>
    <mergeCell ref="J571:J572"/>
    <mergeCell ref="N703:N704"/>
    <mergeCell ref="AI769:AI770"/>
    <mergeCell ref="J731:J732"/>
    <mergeCell ref="AG731:AG732"/>
    <mergeCell ref="J581:J582"/>
    <mergeCell ref="F575:F576"/>
    <mergeCell ref="J575:J576"/>
    <mergeCell ref="F688:F689"/>
    <mergeCell ref="J688:J689"/>
    <mergeCell ref="N688:N689"/>
    <mergeCell ref="Y688:Y689"/>
    <mergeCell ref="AD688:AD689"/>
    <mergeCell ref="AF1034:AF1035"/>
    <mergeCell ref="AG1034:AG1035"/>
    <mergeCell ref="AH1034:AH1035"/>
    <mergeCell ref="AD707:AD708"/>
    <mergeCell ref="AF707:AF708"/>
    <mergeCell ref="AC809:AC810"/>
    <mergeCell ref="AH615:AH616"/>
    <mergeCell ref="AI615:AI616"/>
    <mergeCell ref="AC609:AC610"/>
    <mergeCell ref="AD609:AD610"/>
    <mergeCell ref="AF609:AF610"/>
    <mergeCell ref="AG609:AG610"/>
    <mergeCell ref="N609:N610"/>
    <mergeCell ref="Y609:Y610"/>
    <mergeCell ref="AC652:AC653"/>
    <mergeCell ref="AH611:AH612"/>
    <mergeCell ref="AI611:AI612"/>
    <mergeCell ref="N615:N616"/>
    <mergeCell ref="AF831:AF832"/>
    <mergeCell ref="AG831:AG832"/>
    <mergeCell ref="AH831:AH832"/>
    <mergeCell ref="Y703:Y704"/>
    <mergeCell ref="AA709:AA710"/>
    <mergeCell ref="N707:N708"/>
    <mergeCell ref="Y707:Y708"/>
    <mergeCell ref="AA707:AA708"/>
    <mergeCell ref="AB707:AB708"/>
    <mergeCell ref="AH731:AH732"/>
    <mergeCell ref="AC729:AC730"/>
    <mergeCell ref="AD729:AD730"/>
    <mergeCell ref="AF729:AF730"/>
    <mergeCell ref="AJ713:AJ714"/>
    <mergeCell ref="AB656:AB657"/>
    <mergeCell ref="AC656:AC657"/>
    <mergeCell ref="N2816:N2817"/>
    <mergeCell ref="AF2712:AF2713"/>
    <mergeCell ref="AD2712:AD2713"/>
    <mergeCell ref="Y2702:Y2703"/>
    <mergeCell ref="AA2702:AA2703"/>
    <mergeCell ref="AB2702:AB2703"/>
    <mergeCell ref="AC2702:AC2703"/>
    <mergeCell ref="AD2702:AD2703"/>
    <mergeCell ref="AF2702:AF2703"/>
    <mergeCell ref="AG2702:AG2703"/>
    <mergeCell ref="N2750:N2751"/>
    <mergeCell ref="N2694:N2695"/>
    <mergeCell ref="Y2694:Y2695"/>
    <mergeCell ref="AA2682:AA2683"/>
    <mergeCell ref="AF2672:AF2673"/>
    <mergeCell ref="AA2746:AA2747"/>
    <mergeCell ref="AH2764:AH2765"/>
    <mergeCell ref="AB2764:AB2765"/>
    <mergeCell ref="AI2744:AI2745"/>
    <mergeCell ref="AH2794:AH2795"/>
    <mergeCell ref="AI2794:AI2795"/>
    <mergeCell ref="J2814:J2815"/>
    <mergeCell ref="AG2814:AG2815"/>
    <mergeCell ref="AH2814:AH2815"/>
    <mergeCell ref="AD2746:AD2747"/>
    <mergeCell ref="AF2746:AF2747"/>
    <mergeCell ref="AI2686:AI2687"/>
    <mergeCell ref="J2537:J2538"/>
    <mergeCell ref="AD2537:AD2538"/>
    <mergeCell ref="AF2537:AF2538"/>
    <mergeCell ref="AG2537:AG2538"/>
    <mergeCell ref="AK2690:AK2691"/>
    <mergeCell ref="AH2688:AH2689"/>
    <mergeCell ref="AD2557:AD2558"/>
    <mergeCell ref="AF2557:AF2558"/>
    <mergeCell ref="N2559:N2560"/>
    <mergeCell ref="Y2559:Y2560"/>
    <mergeCell ref="AA2565:AA2566"/>
    <mergeCell ref="AB2565:AB2566"/>
    <mergeCell ref="AC2565:AC2566"/>
    <mergeCell ref="AH2706:AH2707"/>
    <mergeCell ref="N2537:N2538"/>
    <mergeCell ref="Y2537:Y2538"/>
    <mergeCell ref="AH2563:AH2564"/>
    <mergeCell ref="N2549:N2550"/>
    <mergeCell ref="Y2549:Y2550"/>
    <mergeCell ref="AJ2724:AJ2725"/>
    <mergeCell ref="AB2726:AB2727"/>
    <mergeCell ref="AD2726:AD2727"/>
    <mergeCell ref="AI2716:AI2717"/>
    <mergeCell ref="AJ2716:AJ2717"/>
    <mergeCell ref="AK2716:AK2717"/>
    <mergeCell ref="J2724:J2725"/>
    <mergeCell ref="AF2788:AF2789"/>
    <mergeCell ref="AG2788:AG2789"/>
    <mergeCell ref="AH2788:AH2789"/>
    <mergeCell ref="N2688:N2689"/>
    <mergeCell ref="AH2682:AH2683"/>
    <mergeCell ref="AI2682:AI2683"/>
    <mergeCell ref="AI2674:AI2675"/>
    <mergeCell ref="J2694:J2695"/>
    <mergeCell ref="AB2688:AB2689"/>
    <mergeCell ref="AC2688:AC2689"/>
    <mergeCell ref="AF2694:AF2695"/>
    <mergeCell ref="AI2814:AI2815"/>
    <mergeCell ref="AK2814:AK2815"/>
    <mergeCell ref="AB2814:AB2815"/>
    <mergeCell ref="AC2814:AC2815"/>
    <mergeCell ref="AA2810:AA2811"/>
    <mergeCell ref="AL2740:AL2741"/>
    <mergeCell ref="AC2870:AC2871"/>
    <mergeCell ref="AD2870:AD2871"/>
    <mergeCell ref="AH2746:AH2747"/>
    <mergeCell ref="AI2746:AI2747"/>
    <mergeCell ref="AJ2780:AJ2781"/>
    <mergeCell ref="AB2714:AB2715"/>
    <mergeCell ref="Y2862:Y2863"/>
    <mergeCell ref="AA2862:AA2863"/>
    <mergeCell ref="AB2862:AB2863"/>
    <mergeCell ref="AC2862:AC2863"/>
    <mergeCell ref="AA2860:AA2861"/>
    <mergeCell ref="AG2860:AG2861"/>
    <mergeCell ref="AC2864:AC2865"/>
    <mergeCell ref="AL2746:AL2747"/>
    <mergeCell ref="AK2714:AK2715"/>
    <mergeCell ref="AI2888:AI2889"/>
    <mergeCell ref="AK2876:AK2877"/>
    <mergeCell ref="AL2876:AL2877"/>
    <mergeCell ref="AL2870:AL2871"/>
    <mergeCell ref="AI2890:AI2891"/>
    <mergeCell ref="AD2768:AD2769"/>
    <mergeCell ref="AF2768:AF2769"/>
    <mergeCell ref="AF2890:AF2891"/>
    <mergeCell ref="AD2714:AD2715"/>
    <mergeCell ref="AH2734:AH2735"/>
    <mergeCell ref="AI2734:AI2735"/>
    <mergeCell ref="AL2726:AL2727"/>
    <mergeCell ref="Y2764:Y2765"/>
    <mergeCell ref="AF2724:AF2725"/>
    <mergeCell ref="AA2764:AA2765"/>
    <mergeCell ref="AC2720:AC2721"/>
    <mergeCell ref="AD2720:AD2721"/>
    <mergeCell ref="Y2816:Y2817"/>
    <mergeCell ref="AF2816:AF2817"/>
    <mergeCell ref="AJ2814:AJ2815"/>
    <mergeCell ref="AG2782:AG2783"/>
    <mergeCell ref="AH2782:AH2783"/>
    <mergeCell ref="AD2734:AD2735"/>
    <mergeCell ref="AF2734:AF2735"/>
    <mergeCell ref="AG2734:AG2735"/>
    <mergeCell ref="Y2750:Y2751"/>
    <mergeCell ref="AA2750:AA2751"/>
    <mergeCell ref="AC2750:AC2751"/>
    <mergeCell ref="AD2750:AD2751"/>
    <mergeCell ref="AF2718:AF2719"/>
    <mergeCell ref="AG2718:AG2719"/>
    <mergeCell ref="Y2860:Y2861"/>
    <mergeCell ref="AJ2858:AJ2859"/>
    <mergeCell ref="AJ2860:AJ2861"/>
    <mergeCell ref="AJ2862:AJ2863"/>
    <mergeCell ref="AJ2864:AJ2865"/>
    <mergeCell ref="AJ2866:AJ2867"/>
    <mergeCell ref="AJ2868:AJ2869"/>
    <mergeCell ref="AJ2870:AJ2871"/>
    <mergeCell ref="AJ2872:AJ2873"/>
    <mergeCell ref="AJ2874:AJ2875"/>
    <mergeCell ref="AJ2878:AJ2879"/>
    <mergeCell ref="AJ2880:AJ2881"/>
    <mergeCell ref="AF2790:AF2791"/>
    <mergeCell ref="AG2790:AG2791"/>
    <mergeCell ref="AK2800:AK2801"/>
    <mergeCell ref="AL2800:AL2801"/>
    <mergeCell ref="AC2810:AC2811"/>
    <mergeCell ref="AD2810:AD2811"/>
    <mergeCell ref="AD2790:AD2791"/>
    <mergeCell ref="AL2808:AL2809"/>
    <mergeCell ref="AF2740:AF2741"/>
    <mergeCell ref="AG2740:AG2741"/>
    <mergeCell ref="AB2734:AB2735"/>
    <mergeCell ref="AC2734:AC2735"/>
    <mergeCell ref="AJ2732:AJ2733"/>
    <mergeCell ref="N2706:N2707"/>
    <mergeCell ref="AC2706:AC2707"/>
    <mergeCell ref="N2742:N2743"/>
    <mergeCell ref="Y2742:Y2743"/>
    <mergeCell ref="AA2742:AA2743"/>
    <mergeCell ref="AB2742:AB2743"/>
    <mergeCell ref="AC2742:AC2743"/>
    <mergeCell ref="AD2742:AD2743"/>
    <mergeCell ref="AF2742:AF2743"/>
    <mergeCell ref="AG2742:AG2743"/>
    <mergeCell ref="AH2742:AH2743"/>
    <mergeCell ref="AI2742:AI2743"/>
    <mergeCell ref="AJ2742:AJ2743"/>
    <mergeCell ref="AK2742:AK2743"/>
    <mergeCell ref="AD2800:AD2801"/>
    <mergeCell ref="AF2800:AF2801"/>
    <mergeCell ref="AD2794:AD2795"/>
    <mergeCell ref="AF2794:AF2795"/>
    <mergeCell ref="AG2794:AG2795"/>
    <mergeCell ref="N2810:N2811"/>
    <mergeCell ref="AF2714:AF2715"/>
    <mergeCell ref="AA2758:AA2759"/>
    <mergeCell ref="AB2746:AB2747"/>
    <mergeCell ref="AC2746:AC2747"/>
    <mergeCell ref="Y2720:Y2721"/>
    <mergeCell ref="AA2720:AA2721"/>
    <mergeCell ref="AI2714:AI2715"/>
    <mergeCell ref="AL2790:AL2791"/>
    <mergeCell ref="AG2800:AG2801"/>
    <mergeCell ref="AL2714:AL2715"/>
    <mergeCell ref="AF2796:AF2797"/>
    <mergeCell ref="AG2796:AG2797"/>
    <mergeCell ref="AH2796:AH2797"/>
    <mergeCell ref="Y2716:Y2717"/>
    <mergeCell ref="AI2772:AI2773"/>
    <mergeCell ref="AK2772:AK2773"/>
    <mergeCell ref="Y2794:Y2795"/>
    <mergeCell ref="AA2794:AA2795"/>
    <mergeCell ref="AJ2734:AJ2735"/>
    <mergeCell ref="AI2706:AI2707"/>
    <mergeCell ref="N2764:N2765"/>
    <mergeCell ref="N2768:N2769"/>
    <mergeCell ref="AF2720:AF2721"/>
    <mergeCell ref="N2814:N2815"/>
    <mergeCell ref="Y2814:Y2815"/>
    <mergeCell ref="AA2814:AA2815"/>
    <mergeCell ref="AD2838:AD2839"/>
    <mergeCell ref="AK2852:AK2853"/>
    <mergeCell ref="F2706:F2707"/>
    <mergeCell ref="F2790:F2791"/>
    <mergeCell ref="J2790:J2791"/>
    <mergeCell ref="N2790:N2791"/>
    <mergeCell ref="Y2790:Y2791"/>
    <mergeCell ref="AC2764:AC2765"/>
    <mergeCell ref="AD2764:AD2765"/>
    <mergeCell ref="AF2758:AF2759"/>
    <mergeCell ref="AI2740:AI2741"/>
    <mergeCell ref="N2734:N2735"/>
    <mergeCell ref="Y2746:Y2747"/>
    <mergeCell ref="AH2752:AH2753"/>
    <mergeCell ref="AI2752:AI2753"/>
    <mergeCell ref="N2782:N2783"/>
    <mergeCell ref="E2688:E2689"/>
    <mergeCell ref="F2688:F2689"/>
    <mergeCell ref="AA2780:AA2781"/>
    <mergeCell ref="AB2780:AB2781"/>
    <mergeCell ref="AC2780:AC2781"/>
    <mergeCell ref="AD2780:AD2781"/>
    <mergeCell ref="AF2780:AF2781"/>
    <mergeCell ref="AG2780:AG2781"/>
    <mergeCell ref="AH2780:AH2781"/>
    <mergeCell ref="AI2780:AI2781"/>
    <mergeCell ref="AK2780:AK2781"/>
    <mergeCell ref="AK2688:AK2689"/>
    <mergeCell ref="AJ2830:AJ2831"/>
    <mergeCell ref="J2782:J2783"/>
    <mergeCell ref="AJ2726:AJ2727"/>
    <mergeCell ref="Y2734:Y2735"/>
    <mergeCell ref="AA2734:AA2735"/>
    <mergeCell ref="AJ2712:AJ2713"/>
    <mergeCell ref="AH2732:AH2733"/>
    <mergeCell ref="AB2758:AB2759"/>
    <mergeCell ref="AC2758:AC2759"/>
    <mergeCell ref="AB2706:AB2707"/>
    <mergeCell ref="AB2774:AB2775"/>
    <mergeCell ref="N2776:N2777"/>
    <mergeCell ref="Y2776:Y2777"/>
    <mergeCell ref="AA2776:AA2777"/>
    <mergeCell ref="N2760:N2761"/>
    <mergeCell ref="Y2760:Y2761"/>
    <mergeCell ref="AJ2776:AJ2777"/>
    <mergeCell ref="J2818:J2819"/>
    <mergeCell ref="J2742:J2743"/>
    <mergeCell ref="AK2774:AK2775"/>
    <mergeCell ref="E2746:E2747"/>
    <mergeCell ref="AK2794:AK2795"/>
    <mergeCell ref="N2794:N2795"/>
    <mergeCell ref="N2724:N2725"/>
    <mergeCell ref="N2581:N2582"/>
    <mergeCell ref="Y2581:Y2582"/>
    <mergeCell ref="AA2581:AA2582"/>
    <mergeCell ref="AC2581:AC2582"/>
    <mergeCell ref="AD2581:AD2582"/>
    <mergeCell ref="AF2581:AF2582"/>
    <mergeCell ref="AG2581:AG2582"/>
    <mergeCell ref="AH2581:AH2582"/>
    <mergeCell ref="AI2581:AI2582"/>
    <mergeCell ref="AJ2581:AJ2582"/>
    <mergeCell ref="AK2581:AK2582"/>
    <mergeCell ref="AL2581:AL2582"/>
    <mergeCell ref="Y2541:Y2542"/>
    <mergeCell ref="AA2541:AA2542"/>
    <mergeCell ref="AB2541:AB2542"/>
    <mergeCell ref="AC2541:AC2542"/>
    <mergeCell ref="AD2541:AD2542"/>
    <mergeCell ref="AF2541:AF2542"/>
    <mergeCell ref="AG2541:AG2542"/>
    <mergeCell ref="AH2541:AH2542"/>
    <mergeCell ref="AI2541:AI2542"/>
    <mergeCell ref="AJ2541:AJ2542"/>
    <mergeCell ref="AK2541:AK2542"/>
    <mergeCell ref="AL2541:AL2542"/>
    <mergeCell ref="AK2549:AK2550"/>
    <mergeCell ref="AL2549:AL2550"/>
    <mergeCell ref="AA2700:AA2701"/>
    <mergeCell ref="AB2700:AB2701"/>
    <mergeCell ref="AA2543:AA2544"/>
    <mergeCell ref="AB2543:AB2544"/>
    <mergeCell ref="AC2543:AC2544"/>
    <mergeCell ref="AD2543:AD2544"/>
    <mergeCell ref="AF2543:AF2544"/>
    <mergeCell ref="AG2543:AG2544"/>
    <mergeCell ref="AH2543:AH2544"/>
    <mergeCell ref="AI2543:AI2544"/>
    <mergeCell ref="AJ2543:AJ2544"/>
    <mergeCell ref="AK2543:AK2544"/>
    <mergeCell ref="AI2643:AI2644"/>
    <mergeCell ref="AJ2643:AJ2644"/>
    <mergeCell ref="AI2585:AI2586"/>
    <mergeCell ref="AD2585:AD2586"/>
    <mergeCell ref="AF2585:AF2586"/>
    <mergeCell ref="AG2585:AG2586"/>
    <mergeCell ref="AH2585:AH2586"/>
    <mergeCell ref="AA2545:AA2546"/>
    <mergeCell ref="N2579:N2580"/>
    <mergeCell ref="Y2579:Y2580"/>
    <mergeCell ref="N2585:N2586"/>
    <mergeCell ref="Y2585:Y2586"/>
    <mergeCell ref="AA2583:AA2584"/>
    <mergeCell ref="AB2583:AB2584"/>
    <mergeCell ref="AC2583:AC2584"/>
    <mergeCell ref="AD2583:AD2584"/>
    <mergeCell ref="AF2583:AF2584"/>
    <mergeCell ref="AG2583:AG2584"/>
    <mergeCell ref="AH2583:AH2584"/>
    <mergeCell ref="AA2569:AA2570"/>
    <mergeCell ref="AB2569:AB2570"/>
    <mergeCell ref="AC2680:AC2681"/>
    <mergeCell ref="AK2696:AK2697"/>
    <mergeCell ref="AD2696:AD2697"/>
    <mergeCell ref="N2696:N2697"/>
    <mergeCell ref="Y2696:Y2697"/>
    <mergeCell ref="F2501:F2502"/>
    <mergeCell ref="J2501:J2502"/>
    <mergeCell ref="N2501:N2502"/>
    <mergeCell ref="Y2501:Y2502"/>
    <mergeCell ref="AA2501:AA2502"/>
    <mergeCell ref="AB2501:AB2502"/>
    <mergeCell ref="AC2501:AC2502"/>
    <mergeCell ref="AF2501:AF2502"/>
    <mergeCell ref="AG2501:AG2502"/>
    <mergeCell ref="AH2501:AH2502"/>
    <mergeCell ref="AI2501:AI2502"/>
    <mergeCell ref="AJ2501:AJ2502"/>
    <mergeCell ref="AK2501:AK2502"/>
    <mergeCell ref="Y2473:Y2474"/>
    <mergeCell ref="AA2473:AA2474"/>
    <mergeCell ref="AB2473:AB2474"/>
    <mergeCell ref="F2543:F2544"/>
    <mergeCell ref="AH2473:AH2474"/>
    <mergeCell ref="AI2473:AI2474"/>
    <mergeCell ref="AF2477:AF2478"/>
    <mergeCell ref="AG2477:AG2478"/>
    <mergeCell ref="AH2477:AH2478"/>
    <mergeCell ref="AI2477:AI2478"/>
    <mergeCell ref="AJ2477:AJ2478"/>
    <mergeCell ref="AG2475:AG2476"/>
    <mergeCell ref="AH2475:AH2476"/>
    <mergeCell ref="AJ2479:AJ2480"/>
    <mergeCell ref="AJ2481:AJ2482"/>
    <mergeCell ref="AJ2475:AJ2476"/>
    <mergeCell ref="AI2497:AI2498"/>
    <mergeCell ref="AJ2497:AJ2498"/>
    <mergeCell ref="AK2497:AK2498"/>
    <mergeCell ref="AJ2485:AJ2486"/>
    <mergeCell ref="AC2497:AC2498"/>
    <mergeCell ref="AD2497:AD2498"/>
    <mergeCell ref="AF2497:AF2498"/>
    <mergeCell ref="AG2497:AG2498"/>
    <mergeCell ref="AH2497:AH2498"/>
    <mergeCell ref="Y2487:Y2488"/>
    <mergeCell ref="AA2487:AA2488"/>
    <mergeCell ref="AB2487:AB2488"/>
    <mergeCell ref="N2479:N2480"/>
    <mergeCell ref="Y2493:Y2494"/>
    <mergeCell ref="AG2487:AG2488"/>
    <mergeCell ref="Y2491:Y2492"/>
    <mergeCell ref="AA2491:AA2492"/>
    <mergeCell ref="AB2491:AB2492"/>
    <mergeCell ref="AC2491:AC2492"/>
    <mergeCell ref="AD2491:AD2492"/>
    <mergeCell ref="AF2491:AF2492"/>
    <mergeCell ref="AG2491:AG2492"/>
    <mergeCell ref="AH2491:AH2492"/>
    <mergeCell ref="AI2491:AI2492"/>
    <mergeCell ref="AB2481:AB2482"/>
    <mergeCell ref="Y2489:Y2490"/>
    <mergeCell ref="F2505:F2506"/>
    <mergeCell ref="J2505:J2506"/>
    <mergeCell ref="N2505:N2506"/>
    <mergeCell ref="Y2505:Y2506"/>
    <mergeCell ref="AA2505:AA2506"/>
    <mergeCell ref="AB2505:AB2506"/>
    <mergeCell ref="AC2505:AC2506"/>
    <mergeCell ref="AD2505:AD2506"/>
    <mergeCell ref="AF2505:AF2506"/>
    <mergeCell ref="J2469:J2470"/>
    <mergeCell ref="N2469:N2470"/>
    <mergeCell ref="Y2469:Y2470"/>
    <mergeCell ref="AA2469:AA2470"/>
    <mergeCell ref="AB2469:AB2470"/>
    <mergeCell ref="F2423:F2424"/>
    <mergeCell ref="E2409:E2410"/>
    <mergeCell ref="AF2469:AF2470"/>
    <mergeCell ref="AG2469:AG2470"/>
    <mergeCell ref="F2459:F2460"/>
    <mergeCell ref="AH2465:AH2466"/>
    <mergeCell ref="AI2465:AI2466"/>
    <mergeCell ref="AH2437:AH2438"/>
    <mergeCell ref="AI2437:AI2438"/>
    <mergeCell ref="N2401:N2402"/>
    <mergeCell ref="AA2465:AA2466"/>
    <mergeCell ref="AB2465:AB2466"/>
    <mergeCell ref="AC2465:AC2466"/>
    <mergeCell ref="AA2463:AA2464"/>
    <mergeCell ref="AG2407:AG2408"/>
    <mergeCell ref="AI2409:AI2410"/>
    <mergeCell ref="F2405:F2406"/>
    <mergeCell ref="J2407:J2408"/>
    <mergeCell ref="F2401:F2402"/>
    <mergeCell ref="AH2401:AH2402"/>
    <mergeCell ref="AI2401:AI2402"/>
    <mergeCell ref="AF2467:AF2468"/>
    <mergeCell ref="AG2467:AG2468"/>
    <mergeCell ref="AB2409:AB2410"/>
    <mergeCell ref="AC2409:AC2410"/>
    <mergeCell ref="AD2409:AD2410"/>
    <mergeCell ref="E2439:E2440"/>
    <mergeCell ref="F2439:F2440"/>
    <mergeCell ref="J2439:J2440"/>
    <mergeCell ref="N2439:N2440"/>
    <mergeCell ref="AD2417:AD2418"/>
    <mergeCell ref="AG2457:AG2458"/>
    <mergeCell ref="J2463:J2464"/>
    <mergeCell ref="J2453:J2454"/>
    <mergeCell ref="AD2453:AD2454"/>
    <mergeCell ref="AF2453:AF2454"/>
    <mergeCell ref="J2461:J2462"/>
    <mergeCell ref="N2461:N2462"/>
    <mergeCell ref="E2465:E2466"/>
    <mergeCell ref="F2465:F2466"/>
    <mergeCell ref="AH2461:AH2462"/>
    <mergeCell ref="AI2461:AI2462"/>
    <mergeCell ref="F2453:F2454"/>
    <mergeCell ref="E2405:E2406"/>
    <mergeCell ref="E2427:E2428"/>
    <mergeCell ref="F2427:F2428"/>
    <mergeCell ref="J2427:J2428"/>
    <mergeCell ref="N2427:N2428"/>
    <mergeCell ref="AI2411:AI2412"/>
    <mergeCell ref="AA2413:AA2414"/>
    <mergeCell ref="AG2453:AG2454"/>
    <mergeCell ref="AH2453:AH2454"/>
    <mergeCell ref="AC2439:AC2440"/>
    <mergeCell ref="AF2437:AF2438"/>
    <mergeCell ref="E2469:E2470"/>
    <mergeCell ref="F2469:F2470"/>
    <mergeCell ref="J2409:J2410"/>
    <mergeCell ref="Y2413:Y2414"/>
    <mergeCell ref="F2463:F2464"/>
    <mergeCell ref="N2471:N2472"/>
    <mergeCell ref="Y2471:Y2472"/>
    <mergeCell ref="AA2471:AA2472"/>
    <mergeCell ref="AB2471:AB2472"/>
    <mergeCell ref="AC2471:AC2472"/>
    <mergeCell ref="AD2471:AD2472"/>
    <mergeCell ref="AF2471:AF2472"/>
    <mergeCell ref="AJ2459:AJ2460"/>
    <mergeCell ref="AL2425:AL2426"/>
    <mergeCell ref="AK2431:AK2432"/>
    <mergeCell ref="E2423:E2424"/>
    <mergeCell ref="E2411:E2412"/>
    <mergeCell ref="AA2407:AA2408"/>
    <mergeCell ref="AH2407:AH2408"/>
    <mergeCell ref="F2421:F2422"/>
    <mergeCell ref="AD2427:AD2428"/>
    <mergeCell ref="AF2427:AF2428"/>
    <mergeCell ref="AG2427:AG2428"/>
    <mergeCell ref="AH2427:AH2428"/>
    <mergeCell ref="AI2427:AI2428"/>
    <mergeCell ref="AJ2427:AJ2428"/>
    <mergeCell ref="AK2427:AK2428"/>
    <mergeCell ref="N2423:N2424"/>
    <mergeCell ref="Y2423:Y2424"/>
    <mergeCell ref="AA2423:AA2424"/>
    <mergeCell ref="AB2423:AB2424"/>
    <mergeCell ref="AC2423:AC2424"/>
    <mergeCell ref="AD2423:AD2424"/>
    <mergeCell ref="AF2423:AF2424"/>
    <mergeCell ref="AD2435:AD2436"/>
    <mergeCell ref="AF2435:AF2436"/>
    <mergeCell ref="AG2435:AG2436"/>
    <mergeCell ref="AH2435:AH2436"/>
    <mergeCell ref="AI2435:AI2436"/>
    <mergeCell ref="AJ2435:AJ2436"/>
    <mergeCell ref="AK2435:AK2436"/>
    <mergeCell ref="AL2435:AL2436"/>
    <mergeCell ref="Y2453:Y2454"/>
    <mergeCell ref="AA2453:AA2454"/>
    <mergeCell ref="AB2453:AB2454"/>
    <mergeCell ref="AC2453:AC2454"/>
    <mergeCell ref="E2461:E2462"/>
    <mergeCell ref="AC2469:AC2470"/>
    <mergeCell ref="AD2469:AD2470"/>
    <mergeCell ref="AJ2469:AJ2470"/>
    <mergeCell ref="E2471:E2472"/>
    <mergeCell ref="F2471:F2472"/>
    <mergeCell ref="J2471:J2472"/>
    <mergeCell ref="AJ2471:AJ2472"/>
    <mergeCell ref="J2443:J2444"/>
    <mergeCell ref="N2443:N2444"/>
    <mergeCell ref="J2423:J2424"/>
    <mergeCell ref="AH2409:AH2410"/>
    <mergeCell ref="AJ2425:AJ2426"/>
    <mergeCell ref="AJ2431:AJ2432"/>
    <mergeCell ref="AJ2433:AJ2434"/>
    <mergeCell ref="F2431:F2432"/>
    <mergeCell ref="J2431:J2432"/>
    <mergeCell ref="N2431:N2432"/>
    <mergeCell ref="E2445:E2446"/>
    <mergeCell ref="AC2461:AC2462"/>
    <mergeCell ref="AD2461:AD2462"/>
    <mergeCell ref="AF2461:AF2462"/>
    <mergeCell ref="E2413:E2414"/>
    <mergeCell ref="E2163:E2164"/>
    <mergeCell ref="F2163:F2164"/>
    <mergeCell ref="J2163:J2164"/>
    <mergeCell ref="J2159:J2160"/>
    <mergeCell ref="AK1975:AK1976"/>
    <mergeCell ref="F1965:F1966"/>
    <mergeCell ref="Y1965:Y1966"/>
    <mergeCell ref="AA1965:AA1966"/>
    <mergeCell ref="AB1965:AB1966"/>
    <mergeCell ref="AC1965:AC1966"/>
    <mergeCell ref="AD1965:AD1966"/>
    <mergeCell ref="AC1969:AC1970"/>
    <mergeCell ref="AD1969:AD1970"/>
    <mergeCell ref="J1957:J1958"/>
    <mergeCell ref="N1957:N1958"/>
    <mergeCell ref="Y1957:Y1958"/>
    <mergeCell ref="AI1947:AI1948"/>
    <mergeCell ref="AD1943:AD1944"/>
    <mergeCell ref="AF1943:AF1944"/>
    <mergeCell ref="AG1943:AG1944"/>
    <mergeCell ref="AH1943:AH1944"/>
    <mergeCell ref="AI1943:AI1944"/>
    <mergeCell ref="Y1959:Y1960"/>
    <mergeCell ref="AA1959:AA1960"/>
    <mergeCell ref="AB1959:AB1960"/>
    <mergeCell ref="AJ1943:AJ1944"/>
    <mergeCell ref="N2151:N2152"/>
    <mergeCell ref="Y2151:Y2152"/>
    <mergeCell ref="AA2151:AA2152"/>
    <mergeCell ref="Y2153:Y2154"/>
    <mergeCell ref="AG1961:AG1962"/>
    <mergeCell ref="AH2004:AH2005"/>
    <mergeCell ref="AI1949:AI1950"/>
    <mergeCell ref="AJ1949:AJ1950"/>
    <mergeCell ref="AK1949:AK1950"/>
    <mergeCell ref="AD2008:AD2009"/>
    <mergeCell ref="AH2028:AH2029"/>
    <mergeCell ref="AI2028:AI2029"/>
    <mergeCell ref="J2030:J2031"/>
    <mergeCell ref="J2022:J2023"/>
    <mergeCell ref="AI1987:AI1988"/>
    <mergeCell ref="AJ1987:AJ1988"/>
    <mergeCell ref="AB2016:AB2017"/>
    <mergeCell ref="AH1993:AH1994"/>
    <mergeCell ref="AI1993:AI1994"/>
    <mergeCell ref="AJ1993:AJ1994"/>
    <mergeCell ref="AK1993:AK1994"/>
    <mergeCell ref="N2010:N2011"/>
    <mergeCell ref="AA1998:AA1999"/>
    <mergeCell ref="AB1998:AB1999"/>
    <mergeCell ref="AC1998:AC1999"/>
    <mergeCell ref="AD1998:AD1999"/>
    <mergeCell ref="AF1998:AF1999"/>
    <mergeCell ref="N2014:N2015"/>
    <mergeCell ref="AF2012:AF2013"/>
    <mergeCell ref="AG2012:AG2013"/>
    <mergeCell ref="AH2014:AH2015"/>
    <mergeCell ref="AI2014:AI2015"/>
    <mergeCell ref="F2026:F2027"/>
    <mergeCell ref="F2030:F2031"/>
    <mergeCell ref="F2022:F2023"/>
    <mergeCell ref="F2016:F2017"/>
    <mergeCell ref="J2016:J2017"/>
    <mergeCell ref="Y2016:Y2017"/>
    <mergeCell ref="AA1275:AA1276"/>
    <mergeCell ref="J1289:J1290"/>
    <mergeCell ref="AL1287:AL1288"/>
    <mergeCell ref="J2161:J2162"/>
    <mergeCell ref="N1963:N1964"/>
    <mergeCell ref="Y1963:Y1964"/>
    <mergeCell ref="AL2016:AL2017"/>
    <mergeCell ref="AC2048:AC2049"/>
    <mergeCell ref="AD2133:AD2134"/>
    <mergeCell ref="AB1223:AB1224"/>
    <mergeCell ref="AC1223:AC1224"/>
    <mergeCell ref="AL1241:AL1242"/>
    <mergeCell ref="AL1253:AL1254"/>
    <mergeCell ref="AF1251:AF1252"/>
    <mergeCell ref="AB1245:AB1246"/>
    <mergeCell ref="AF1271:AF1272"/>
    <mergeCell ref="AF1243:AF1244"/>
    <mergeCell ref="AD1241:AD1242"/>
    <mergeCell ref="AK1247:AK1248"/>
    <mergeCell ref="AL1247:AL1248"/>
    <mergeCell ref="AG1235:AG1236"/>
    <mergeCell ref="AC1245:AC1246"/>
    <mergeCell ref="AD1245:AD1246"/>
    <mergeCell ref="AF1245:AF1246"/>
    <mergeCell ref="AB1227:AB1228"/>
    <mergeCell ref="AC1227:AC1228"/>
    <mergeCell ref="Y1229:Y1230"/>
    <mergeCell ref="AA1229:AA1230"/>
    <mergeCell ref="J1235:J1236"/>
    <mergeCell ref="AI1265:AI1266"/>
    <mergeCell ref="AK1265:AK1266"/>
    <mergeCell ref="AH1251:AH1252"/>
    <mergeCell ref="AI1251:AI1252"/>
    <mergeCell ref="N1251:N1252"/>
    <mergeCell ref="AG1241:AG1242"/>
    <mergeCell ref="AF1239:AF1240"/>
    <mergeCell ref="AG1239:AG1240"/>
    <mergeCell ref="AK1237:AK1238"/>
    <mergeCell ref="AH1255:AH1256"/>
    <mergeCell ref="Y1301:Y1302"/>
    <mergeCell ref="AC1921:AC1922"/>
    <mergeCell ref="J2151:J2152"/>
    <mergeCell ref="AJ1965:AJ1966"/>
    <mergeCell ref="AK1965:AK1966"/>
    <mergeCell ref="AG1939:AG1940"/>
    <mergeCell ref="AF1223:AF1224"/>
    <mergeCell ref="AD1223:AD1224"/>
    <mergeCell ref="AG1223:AG1224"/>
    <mergeCell ref="AH1223:AH1224"/>
    <mergeCell ref="AL1223:AL1224"/>
    <mergeCell ref="AI1223:AI1224"/>
    <mergeCell ref="AK1223:AK1224"/>
    <mergeCell ref="N1227:N1228"/>
    <mergeCell ref="AI1231:AI1232"/>
    <mergeCell ref="J1249:J1250"/>
    <mergeCell ref="AI1263:AI1264"/>
    <mergeCell ref="AL1341:AL1342"/>
    <mergeCell ref="J1642:J1643"/>
    <mergeCell ref="N1642:N1643"/>
    <mergeCell ref="Y1642:Y1643"/>
    <mergeCell ref="AF1605:AF1606"/>
    <mergeCell ref="AG1605:AG1606"/>
    <mergeCell ref="AH1605:AH1606"/>
    <mergeCell ref="AI1605:AI1606"/>
    <mergeCell ref="AK432:AK433"/>
    <mergeCell ref="J438:J439"/>
    <mergeCell ref="AF420:AF421"/>
    <mergeCell ref="AH450:AH451"/>
    <mergeCell ref="AC450:AC451"/>
    <mergeCell ref="AD466:AD467"/>
    <mergeCell ref="AF466:AF467"/>
    <mergeCell ref="AB787:AB788"/>
    <mergeCell ref="AD755:AD756"/>
    <mergeCell ref="AF755:AF756"/>
    <mergeCell ref="E799:E800"/>
    <mergeCell ref="F799:F800"/>
    <mergeCell ref="J799:J800"/>
    <mergeCell ref="N799:N800"/>
    <mergeCell ref="Y799:Y800"/>
    <mergeCell ref="AA799:AA800"/>
    <mergeCell ref="AB799:AB800"/>
    <mergeCell ref="AC799:AC800"/>
    <mergeCell ref="AD799:AD800"/>
    <mergeCell ref="AF799:AF800"/>
    <mergeCell ref="AG799:AG800"/>
    <mergeCell ref="AH799:AH800"/>
    <mergeCell ref="AI799:AI800"/>
    <mergeCell ref="AJ799:AJ800"/>
    <mergeCell ref="AK799:AK800"/>
    <mergeCell ref="E787:E788"/>
    <mergeCell ref="F787:F788"/>
    <mergeCell ref="N787:N788"/>
    <mergeCell ref="E705:E706"/>
    <mergeCell ref="AB767:AB768"/>
    <mergeCell ref="F745:F746"/>
    <mergeCell ref="E749:E750"/>
    <mergeCell ref="Y791:Y792"/>
    <mergeCell ref="AA791:AA792"/>
    <mergeCell ref="AB791:AB792"/>
    <mergeCell ref="E785:E786"/>
    <mergeCell ref="F785:F786"/>
    <mergeCell ref="J785:J786"/>
    <mergeCell ref="F711:F712"/>
    <mergeCell ref="AD725:AD726"/>
    <mergeCell ref="AF725:AF726"/>
    <mergeCell ref="AG725:AG726"/>
    <mergeCell ref="J723:J724"/>
    <mergeCell ref="J709:J710"/>
    <mergeCell ref="N705:N706"/>
    <mergeCell ref="AH725:AH726"/>
    <mergeCell ref="E783:E784"/>
    <mergeCell ref="Y737:Y738"/>
    <mergeCell ref="AA737:AA738"/>
    <mergeCell ref="AB737:AB738"/>
    <mergeCell ref="AF711:AF712"/>
    <mergeCell ref="AG711:AG712"/>
    <mergeCell ref="AH711:AH712"/>
    <mergeCell ref="N749:N750"/>
    <mergeCell ref="E741:E742"/>
    <mergeCell ref="J791:J792"/>
    <mergeCell ref="AK777:AK778"/>
    <mergeCell ref="AC615:AC616"/>
    <mergeCell ref="AD615:AD616"/>
    <mergeCell ref="AF615:AF616"/>
    <mergeCell ref="AG615:AG616"/>
    <mergeCell ref="AG611:AG612"/>
    <mergeCell ref="J609:J610"/>
    <mergeCell ref="AA609:AA610"/>
    <mergeCell ref="AB510:AB511"/>
    <mergeCell ref="AC510:AC511"/>
    <mergeCell ref="AD510:AD511"/>
    <mergeCell ref="AF510:AF511"/>
    <mergeCell ref="J504:J505"/>
    <mergeCell ref="N504:N505"/>
    <mergeCell ref="Y504:Y505"/>
    <mergeCell ref="J703:J704"/>
    <mergeCell ref="N725:N726"/>
    <mergeCell ref="F789:F790"/>
    <mergeCell ref="F797:F798"/>
    <mergeCell ref="AH791:AH792"/>
    <mergeCell ref="AI791:AI792"/>
    <mergeCell ref="AK791:AK792"/>
    <mergeCell ref="Y412:Y413"/>
    <mergeCell ref="AF414:AF415"/>
    <mergeCell ref="Y414:Y415"/>
    <mergeCell ref="J488:J489"/>
    <mergeCell ref="AK414:AK415"/>
    <mergeCell ref="AI418:AI419"/>
    <mergeCell ref="AK418:AK419"/>
    <mergeCell ref="AI713:AI714"/>
    <mergeCell ref="AK713:AK714"/>
    <mergeCell ref="AL713:AL714"/>
    <mergeCell ref="AB769:AB770"/>
    <mergeCell ref="AC769:AC770"/>
    <mergeCell ref="E737:E738"/>
    <mergeCell ref="F737:F738"/>
    <mergeCell ref="J737:J738"/>
    <mergeCell ref="F703:F704"/>
    <mergeCell ref="E707:E708"/>
    <mergeCell ref="F707:F708"/>
    <mergeCell ref="E709:E710"/>
    <mergeCell ref="F709:F710"/>
    <mergeCell ref="J707:J708"/>
    <mergeCell ref="J733:J734"/>
    <mergeCell ref="N733:N734"/>
    <mergeCell ref="Y733:Y734"/>
    <mergeCell ref="AA733:AA734"/>
    <mergeCell ref="AB733:AB734"/>
    <mergeCell ref="AC733:AC734"/>
    <mergeCell ref="AK705:AK706"/>
    <mergeCell ref="AL585:AL586"/>
    <mergeCell ref="N585:N586"/>
    <mergeCell ref="AC587:AC588"/>
    <mergeCell ref="AD587:AD588"/>
    <mergeCell ref="AF587:AF588"/>
    <mergeCell ref="AD579:AD580"/>
    <mergeCell ref="AF579:AF580"/>
    <mergeCell ref="AG579:AG580"/>
    <mergeCell ref="N613:N614"/>
    <mergeCell ref="Y613:Y614"/>
    <mergeCell ref="AA613:AA614"/>
    <mergeCell ref="AA442:AA443"/>
    <mergeCell ref="AF474:AF475"/>
    <mergeCell ref="AG474:AG475"/>
    <mergeCell ref="AF470:AF471"/>
    <mergeCell ref="AG470:AG471"/>
    <mergeCell ref="AA755:AA756"/>
    <mergeCell ref="AK709:AK710"/>
    <mergeCell ref="AI725:AI726"/>
    <mergeCell ref="E619:E620"/>
    <mergeCell ref="AG500:AG501"/>
    <mergeCell ref="AH500:AH501"/>
    <mergeCell ref="AK436:AK437"/>
    <mergeCell ref="AL434:AL435"/>
    <mergeCell ref="AA508:AA509"/>
    <mergeCell ref="AB508:AB509"/>
    <mergeCell ref="J490:J491"/>
    <mergeCell ref="J436:J437"/>
    <mergeCell ref="AH452:AH453"/>
    <mergeCell ref="AI422:AI423"/>
    <mergeCell ref="J432:J433"/>
    <mergeCell ref="J426:J427"/>
    <mergeCell ref="J448:J449"/>
    <mergeCell ref="J444:J445"/>
    <mergeCell ref="AG541:AG542"/>
    <mergeCell ref="AH494:AH495"/>
    <mergeCell ref="AI426:AI427"/>
    <mergeCell ref="AJ430:AJ431"/>
    <mergeCell ref="AJ432:AJ433"/>
    <mergeCell ref="AH537:AH538"/>
    <mergeCell ref="AI537:AI538"/>
    <mergeCell ref="AI446:AI447"/>
    <mergeCell ref="AD535:AD536"/>
    <mergeCell ref="AF535:AF536"/>
    <mergeCell ref="AI434:AI435"/>
    <mergeCell ref="AD426:AD427"/>
    <mergeCell ref="AH488:AH489"/>
    <mergeCell ref="Y458:Y459"/>
    <mergeCell ref="AI470:AI471"/>
    <mergeCell ref="AI472:AI473"/>
    <mergeCell ref="AH464:AH465"/>
    <mergeCell ref="AI464:AI465"/>
    <mergeCell ref="AH486:AH487"/>
    <mergeCell ref="AJ478:AJ479"/>
    <mergeCell ref="AJ480:AJ481"/>
    <mergeCell ref="AJ482:AJ483"/>
    <mergeCell ref="AJ484:AJ485"/>
    <mergeCell ref="AJ486:AJ487"/>
    <mergeCell ref="AJ488:AJ489"/>
    <mergeCell ref="AH466:AH467"/>
    <mergeCell ref="AI480:AI481"/>
    <mergeCell ref="AC504:AC505"/>
    <mergeCell ref="AD504:AD505"/>
    <mergeCell ref="AF504:AF505"/>
    <mergeCell ref="AG504:AG505"/>
    <mergeCell ref="AH504:AH505"/>
    <mergeCell ref="AI504:AI505"/>
    <mergeCell ref="AJ504:AJ505"/>
    <mergeCell ref="J478:J479"/>
    <mergeCell ref="AA482:AA483"/>
    <mergeCell ref="AF432:AF433"/>
    <mergeCell ref="AG432:AG433"/>
    <mergeCell ref="AB424:AB425"/>
    <mergeCell ref="AC424:AC425"/>
    <mergeCell ref="N438:N439"/>
    <mergeCell ref="AA432:AA433"/>
    <mergeCell ref="AI500:AI501"/>
    <mergeCell ref="AJ500:AJ501"/>
    <mergeCell ref="J482:J483"/>
    <mergeCell ref="J476:J477"/>
    <mergeCell ref="N508:N509"/>
    <mergeCell ref="Y508:Y509"/>
    <mergeCell ref="J510:J511"/>
    <mergeCell ref="N510:N511"/>
    <mergeCell ref="Y510:Y511"/>
    <mergeCell ref="AA510:AA511"/>
    <mergeCell ref="AG496:AG497"/>
    <mergeCell ref="AH496:AH497"/>
    <mergeCell ref="AA494:AA495"/>
    <mergeCell ref="AC494:AC495"/>
    <mergeCell ref="AI496:AI497"/>
    <mergeCell ref="AA498:AA499"/>
    <mergeCell ref="AB498:AB499"/>
    <mergeCell ref="F609:F610"/>
    <mergeCell ref="AK577:AK578"/>
    <mergeCell ref="AK567:AK568"/>
    <mergeCell ref="J428:J429"/>
    <mergeCell ref="N428:N429"/>
    <mergeCell ref="AI490:AI491"/>
    <mergeCell ref="N442:N443"/>
    <mergeCell ref="Y442:Y443"/>
    <mergeCell ref="AB476:AB477"/>
    <mergeCell ref="AL440:AL441"/>
    <mergeCell ref="AB452:AB453"/>
    <mergeCell ref="AC452:AC453"/>
    <mergeCell ref="AD452:AD453"/>
    <mergeCell ref="N446:N447"/>
    <mergeCell ref="AJ452:AJ453"/>
    <mergeCell ref="N436:N437"/>
    <mergeCell ref="N432:N433"/>
    <mergeCell ref="Y432:Y433"/>
    <mergeCell ref="N434:N435"/>
    <mergeCell ref="Y434:Y435"/>
    <mergeCell ref="AL432:AL433"/>
    <mergeCell ref="AB518:AB519"/>
    <mergeCell ref="AC518:AC519"/>
    <mergeCell ref="AD518:AD519"/>
    <mergeCell ref="AF498:AF499"/>
    <mergeCell ref="AG454:AG455"/>
    <mergeCell ref="AB494:AB495"/>
    <mergeCell ref="AA458:AA459"/>
    <mergeCell ref="AB458:AB459"/>
    <mergeCell ref="AC458:AC459"/>
    <mergeCell ref="AD458:AD459"/>
    <mergeCell ref="AF458:AF459"/>
    <mergeCell ref="AG458:AG459"/>
    <mergeCell ref="AH458:AH459"/>
    <mergeCell ref="AA438:AA439"/>
    <mergeCell ref="AF434:AF435"/>
    <mergeCell ref="AG434:AG435"/>
    <mergeCell ref="AA428:AA429"/>
    <mergeCell ref="AG430:AG431"/>
    <mergeCell ref="AH430:AH431"/>
    <mergeCell ref="AL476:AL477"/>
    <mergeCell ref="AI454:AI455"/>
    <mergeCell ref="AD430:AD431"/>
    <mergeCell ref="AI436:AI437"/>
    <mergeCell ref="AD446:AD447"/>
    <mergeCell ref="AF446:AF447"/>
    <mergeCell ref="AG446:AG447"/>
    <mergeCell ref="AF500:AF501"/>
    <mergeCell ref="AL446:AL447"/>
    <mergeCell ref="AG438:AG439"/>
    <mergeCell ref="AH438:AH439"/>
    <mergeCell ref="AL454:AL455"/>
    <mergeCell ref="AF454:AF455"/>
    <mergeCell ref="AK474:AK475"/>
    <mergeCell ref="N476:N477"/>
    <mergeCell ref="AL438:AL439"/>
    <mergeCell ref="AJ438:AJ439"/>
    <mergeCell ref="AF430:AF431"/>
    <mergeCell ref="AF428:AF429"/>
    <mergeCell ref="AA430:AA431"/>
    <mergeCell ref="AA436:AA437"/>
    <mergeCell ref="AB436:AB437"/>
    <mergeCell ref="AK478:AK479"/>
    <mergeCell ref="AL478:AL479"/>
    <mergeCell ref="AK500:AK501"/>
    <mergeCell ref="AJ442:AJ443"/>
    <mergeCell ref="AJ444:AJ445"/>
    <mergeCell ref="AJ446:AJ447"/>
    <mergeCell ref="AI484:AI485"/>
    <mergeCell ref="AD508:AD509"/>
    <mergeCell ref="AG510:AG511"/>
    <mergeCell ref="AJ428:AJ429"/>
    <mergeCell ref="Y492:Y493"/>
    <mergeCell ref="AC468:AC469"/>
    <mergeCell ref="AB474:AB475"/>
    <mergeCell ref="AC474:AC475"/>
    <mergeCell ref="AB472:AB473"/>
    <mergeCell ref="AC472:AC473"/>
    <mergeCell ref="AD472:AD473"/>
    <mergeCell ref="AF472:AF473"/>
    <mergeCell ref="N478:N479"/>
    <mergeCell ref="AD484:AD485"/>
    <mergeCell ref="AF484:AF485"/>
    <mergeCell ref="AC498:AC499"/>
    <mergeCell ref="AD498:AD499"/>
    <mergeCell ref="AC448:AC449"/>
    <mergeCell ref="AD448:AD449"/>
    <mergeCell ref="AF448:AF449"/>
    <mergeCell ref="AG448:AG449"/>
    <mergeCell ref="AD438:AD439"/>
    <mergeCell ref="AC496:AC497"/>
    <mergeCell ref="N482:N483"/>
    <mergeCell ref="AA470:AA471"/>
    <mergeCell ref="AG462:AG463"/>
    <mergeCell ref="AJ498:AJ499"/>
    <mergeCell ref="N488:N489"/>
    <mergeCell ref="AJ454:AJ455"/>
    <mergeCell ref="AI452:AI453"/>
    <mergeCell ref="N490:N491"/>
    <mergeCell ref="Y490:Y491"/>
    <mergeCell ref="AI476:AI477"/>
    <mergeCell ref="AI448:AI449"/>
    <mergeCell ref="AD432:AD433"/>
    <mergeCell ref="AK476:AK477"/>
    <mergeCell ref="AK468:AK469"/>
    <mergeCell ref="AK470:AK471"/>
    <mergeCell ref="AJ456:AJ457"/>
    <mergeCell ref="AJ458:AJ459"/>
    <mergeCell ref="AJ460:AJ461"/>
    <mergeCell ref="AJ466:AJ467"/>
    <mergeCell ref="AK480:AK481"/>
    <mergeCell ref="N450:N451"/>
    <mergeCell ref="Y450:Y451"/>
    <mergeCell ref="N448:N449"/>
    <mergeCell ref="Y448:Y449"/>
    <mergeCell ref="AK440:AK441"/>
    <mergeCell ref="AG484:AG485"/>
    <mergeCell ref="N444:N445"/>
    <mergeCell ref="N474:N475"/>
    <mergeCell ref="AD496:AD497"/>
    <mergeCell ref="AF496:AF497"/>
    <mergeCell ref="AI478:AI479"/>
    <mergeCell ref="AH480:AH481"/>
    <mergeCell ref="AA480:AA481"/>
    <mergeCell ref="AG460:AG461"/>
    <mergeCell ref="AH460:AH461"/>
    <mergeCell ref="AH446:AH447"/>
    <mergeCell ref="AG440:AG441"/>
    <mergeCell ref="AH440:AH441"/>
    <mergeCell ref="AK426:AK427"/>
    <mergeCell ref="AK452:AK453"/>
    <mergeCell ref="AL442:AL443"/>
    <mergeCell ref="AK448:AK449"/>
    <mergeCell ref="AJ440:AJ441"/>
    <mergeCell ref="AJ424:AJ425"/>
    <mergeCell ref="AJ426:AJ427"/>
    <mergeCell ref="Y430:Y431"/>
    <mergeCell ref="AH482:AH483"/>
    <mergeCell ref="AI482:AI483"/>
    <mergeCell ref="Y428:Y429"/>
    <mergeCell ref="AD428:AD429"/>
    <mergeCell ref="AA454:AA455"/>
    <mergeCell ref="Y476:Y477"/>
    <mergeCell ref="AF424:AF425"/>
    <mergeCell ref="AG424:AG425"/>
    <mergeCell ref="AH424:AH425"/>
    <mergeCell ref="AI468:AI469"/>
    <mergeCell ref="Y480:Y481"/>
    <mergeCell ref="AK462:AK463"/>
    <mergeCell ref="AJ436:AJ437"/>
    <mergeCell ref="AK442:AK443"/>
    <mergeCell ref="AK454:AK455"/>
    <mergeCell ref="AA434:AA435"/>
    <mergeCell ref="AB434:AB435"/>
    <mergeCell ref="AC434:AC435"/>
    <mergeCell ref="AD434:AD435"/>
    <mergeCell ref="AF442:AF443"/>
    <mergeCell ref="Y446:Y447"/>
    <mergeCell ref="AD440:AD441"/>
    <mergeCell ref="AF440:AF441"/>
    <mergeCell ref="AB442:AB443"/>
    <mergeCell ref="AC442:AC443"/>
    <mergeCell ref="AB432:AB433"/>
    <mergeCell ref="AL426:AL427"/>
    <mergeCell ref="AA446:AA447"/>
    <mergeCell ref="AB446:AB447"/>
    <mergeCell ref="AC446:AC447"/>
    <mergeCell ref="AI442:AI443"/>
    <mergeCell ref="AA448:AA449"/>
    <mergeCell ref="AK456:AK457"/>
    <mergeCell ref="AG444:AG445"/>
    <mergeCell ref="AH444:AH445"/>
    <mergeCell ref="AI444:AI445"/>
    <mergeCell ref="AK444:AK445"/>
    <mergeCell ref="Y444:Y445"/>
    <mergeCell ref="AG442:AG443"/>
    <mergeCell ref="AH442:AH443"/>
    <mergeCell ref="AH448:AH449"/>
    <mergeCell ref="AH432:AH433"/>
    <mergeCell ref="AI432:AI433"/>
    <mergeCell ref="AD462:AD463"/>
    <mergeCell ref="AF462:AF463"/>
    <mergeCell ref="AH472:AH473"/>
    <mergeCell ref="Y474:Y475"/>
    <mergeCell ref="AA474:AA475"/>
    <mergeCell ref="AB196:AB197"/>
    <mergeCell ref="AK260:AK261"/>
    <mergeCell ref="AK252:AK253"/>
    <mergeCell ref="AJ286:AJ287"/>
    <mergeCell ref="AK286:AK287"/>
    <mergeCell ref="AA272:AA273"/>
    <mergeCell ref="AB272:AB273"/>
    <mergeCell ref="AC272:AC273"/>
    <mergeCell ref="AD272:AD273"/>
    <mergeCell ref="AK214:AK215"/>
    <mergeCell ref="AD276:AD277"/>
    <mergeCell ref="AG266:AG267"/>
    <mergeCell ref="AH266:AH267"/>
    <mergeCell ref="AH274:AH275"/>
    <mergeCell ref="AI274:AI275"/>
    <mergeCell ref="AI412:AI413"/>
    <mergeCell ref="Y418:Y419"/>
    <mergeCell ref="AD444:AD445"/>
    <mergeCell ref="AF444:AF445"/>
    <mergeCell ref="AC440:AC441"/>
    <mergeCell ref="AH418:AH419"/>
    <mergeCell ref="Y436:Y437"/>
    <mergeCell ref="Y494:Y495"/>
    <mergeCell ref="Y498:Y499"/>
    <mergeCell ref="Y488:Y489"/>
    <mergeCell ref="AC432:AC433"/>
    <mergeCell ref="AB430:AB431"/>
    <mergeCell ref="AC430:AC431"/>
    <mergeCell ref="AB428:AB429"/>
    <mergeCell ref="AG498:AG499"/>
    <mergeCell ref="AF460:AF461"/>
    <mergeCell ref="AC444:AC445"/>
    <mergeCell ref="AF452:AF453"/>
    <mergeCell ref="AG452:AG453"/>
    <mergeCell ref="AH434:AH435"/>
    <mergeCell ref="AD442:AD443"/>
    <mergeCell ref="AI458:AI459"/>
    <mergeCell ref="AA444:AA445"/>
    <mergeCell ref="AC428:AC429"/>
    <mergeCell ref="AI420:AI421"/>
    <mergeCell ref="AF426:AF427"/>
    <mergeCell ref="Y424:Y425"/>
    <mergeCell ref="AA424:AA425"/>
    <mergeCell ref="AA422:AA423"/>
    <mergeCell ref="AB422:AB423"/>
    <mergeCell ref="AB406:AB407"/>
    <mergeCell ref="AC406:AC407"/>
    <mergeCell ref="AD406:AD407"/>
    <mergeCell ref="AF406:AF407"/>
    <mergeCell ref="AG406:AG407"/>
    <mergeCell ref="AH406:AH407"/>
    <mergeCell ref="AI406:AI407"/>
    <mergeCell ref="AH470:AH471"/>
    <mergeCell ref="AB464:AB465"/>
    <mergeCell ref="AC464:AC465"/>
    <mergeCell ref="AD464:AD465"/>
    <mergeCell ref="Y478:Y479"/>
    <mergeCell ref="AA478:AA479"/>
    <mergeCell ref="AB478:AB479"/>
    <mergeCell ref="AC478:AC479"/>
    <mergeCell ref="AD478:AD479"/>
    <mergeCell ref="AF478:AF479"/>
    <mergeCell ref="AG478:AG479"/>
    <mergeCell ref="AH478:AH479"/>
    <mergeCell ref="AD330:AD331"/>
    <mergeCell ref="AF330:AF331"/>
    <mergeCell ref="AG330:AG331"/>
    <mergeCell ref="AA404:AA405"/>
    <mergeCell ref="AK332:AK333"/>
    <mergeCell ref="AD296:AD297"/>
    <mergeCell ref="AF296:AF297"/>
    <mergeCell ref="AG296:AG297"/>
    <mergeCell ref="AH296:AH297"/>
    <mergeCell ref="AK316:AK317"/>
    <mergeCell ref="AB304:AB305"/>
    <mergeCell ref="AK312:AK313"/>
    <mergeCell ref="AD304:AD305"/>
    <mergeCell ref="AA302:AA303"/>
    <mergeCell ref="AA310:AA311"/>
    <mergeCell ref="AC310:AC311"/>
    <mergeCell ref="AF316:AF317"/>
    <mergeCell ref="AG316:AG317"/>
    <mergeCell ref="AH316:AH317"/>
    <mergeCell ref="AI316:AI317"/>
    <mergeCell ref="AF286:AF287"/>
    <mergeCell ref="AI304:AI305"/>
    <mergeCell ref="AK304:AK305"/>
    <mergeCell ref="AF270:AF271"/>
    <mergeCell ref="AG270:AG271"/>
    <mergeCell ref="AH270:AH271"/>
    <mergeCell ref="AI270:AI271"/>
    <mergeCell ref="AC260:AC261"/>
    <mergeCell ref="AA234:AA235"/>
    <mergeCell ref="AA375:AA376"/>
    <mergeCell ref="AB375:AB376"/>
    <mergeCell ref="AC375:AC376"/>
    <mergeCell ref="AD228:AD229"/>
    <mergeCell ref="AF228:AF229"/>
    <mergeCell ref="AG228:AG229"/>
    <mergeCell ref="AA304:AA305"/>
    <mergeCell ref="AA286:AA287"/>
    <mergeCell ref="AB286:AB287"/>
    <mergeCell ref="AC286:AC287"/>
    <mergeCell ref="AA262:AA263"/>
    <mergeCell ref="AK254:AK255"/>
    <mergeCell ref="AK270:AK271"/>
    <mergeCell ref="AF248:AF249"/>
    <mergeCell ref="AG248:AG249"/>
    <mergeCell ref="AH248:AH249"/>
    <mergeCell ref="AI248:AI249"/>
    <mergeCell ref="AK248:AK249"/>
    <mergeCell ref="AD312:AD313"/>
    <mergeCell ref="AB310:AB311"/>
    <mergeCell ref="AG314:AG315"/>
    <mergeCell ref="AH314:AH315"/>
    <mergeCell ref="AI314:AI315"/>
    <mergeCell ref="AK314:AK315"/>
    <mergeCell ref="AA316:AA317"/>
    <mergeCell ref="AB316:AB317"/>
    <mergeCell ref="AC316:AC317"/>
    <mergeCell ref="AD316:AD317"/>
    <mergeCell ref="AB306:AB307"/>
    <mergeCell ref="AC306:AC307"/>
    <mergeCell ref="AD306:AD307"/>
    <mergeCell ref="AF306:AF307"/>
    <mergeCell ref="AG306:AG307"/>
    <mergeCell ref="AH306:AH307"/>
    <mergeCell ref="AI306:AI307"/>
    <mergeCell ref="AF154:AF155"/>
    <mergeCell ref="AJ210:AJ211"/>
    <mergeCell ref="F102:F103"/>
    <mergeCell ref="AJ212:AJ213"/>
    <mergeCell ref="AI70:AI71"/>
    <mergeCell ref="AK70:AK71"/>
    <mergeCell ref="AO66:AO67"/>
    <mergeCell ref="AA62:AA63"/>
    <mergeCell ref="AD78:AD79"/>
    <mergeCell ref="AK62:AK63"/>
    <mergeCell ref="AL62:AL63"/>
    <mergeCell ref="AF130:AF131"/>
    <mergeCell ref="J104:J105"/>
    <mergeCell ref="Y106:Y107"/>
    <mergeCell ref="AA106:AA107"/>
    <mergeCell ref="AB106:AB107"/>
    <mergeCell ref="E118:E119"/>
    <mergeCell ref="F118:F119"/>
    <mergeCell ref="J118:J119"/>
    <mergeCell ref="AB130:AB131"/>
    <mergeCell ref="AC130:AC131"/>
    <mergeCell ref="AH114:AH115"/>
    <mergeCell ref="E126:E127"/>
    <mergeCell ref="F126:F127"/>
    <mergeCell ref="J126:J127"/>
    <mergeCell ref="E130:E131"/>
    <mergeCell ref="E192:E193"/>
    <mergeCell ref="F192:F193"/>
    <mergeCell ref="AB186:AB187"/>
    <mergeCell ref="AC186:AC187"/>
    <mergeCell ref="AD186:AD187"/>
    <mergeCell ref="AF186:AF187"/>
    <mergeCell ref="J192:J193"/>
    <mergeCell ref="N192:N193"/>
    <mergeCell ref="Y192:Y193"/>
    <mergeCell ref="AA192:AA193"/>
    <mergeCell ref="AB192:AB193"/>
    <mergeCell ref="AC192:AC193"/>
    <mergeCell ref="AD192:AD193"/>
    <mergeCell ref="N126:N127"/>
    <mergeCell ref="Y126:Y127"/>
    <mergeCell ref="AI150:AI151"/>
    <mergeCell ref="AH152:AH153"/>
    <mergeCell ref="E76:E77"/>
    <mergeCell ref="F76:F77"/>
    <mergeCell ref="E92:E93"/>
    <mergeCell ref="E102:E103"/>
    <mergeCell ref="AD112:AD113"/>
    <mergeCell ref="AF112:AF113"/>
    <mergeCell ref="E146:E147"/>
    <mergeCell ref="E144:E145"/>
    <mergeCell ref="AA184:AA185"/>
    <mergeCell ref="AB184:AB185"/>
    <mergeCell ref="AC184:AC185"/>
    <mergeCell ref="AD184:AD185"/>
    <mergeCell ref="AF184:AF185"/>
    <mergeCell ref="AG184:AG185"/>
    <mergeCell ref="AH184:AH185"/>
    <mergeCell ref="AI184:AI185"/>
    <mergeCell ref="AA146:AA147"/>
    <mergeCell ref="AB146:AB147"/>
    <mergeCell ref="AC146:AC147"/>
    <mergeCell ref="AD166:AD167"/>
    <mergeCell ref="AF166:AF167"/>
    <mergeCell ref="AK68:AK69"/>
    <mergeCell ref="AL68:AL69"/>
    <mergeCell ref="AO68:AO69"/>
    <mergeCell ref="AD76:AD77"/>
    <mergeCell ref="AF76:AF77"/>
    <mergeCell ref="AG76:AG77"/>
    <mergeCell ref="AH76:AH77"/>
    <mergeCell ref="AI76:AI77"/>
    <mergeCell ref="AK76:AK77"/>
    <mergeCell ref="AL78:AL79"/>
    <mergeCell ref="AO78:AO79"/>
    <mergeCell ref="F80:F81"/>
    <mergeCell ref="J80:J81"/>
    <mergeCell ref="N80:N81"/>
    <mergeCell ref="F92:F93"/>
    <mergeCell ref="J92:J93"/>
    <mergeCell ref="N92:N93"/>
    <mergeCell ref="Y92:Y93"/>
    <mergeCell ref="AA92:AA93"/>
    <mergeCell ref="AB92:AB93"/>
    <mergeCell ref="AC92:AC93"/>
    <mergeCell ref="AF84:AF85"/>
    <mergeCell ref="AG84:AG85"/>
    <mergeCell ref="AH84:AH85"/>
    <mergeCell ref="AI132:AI133"/>
    <mergeCell ref="AD96:AD97"/>
    <mergeCell ref="AF96:AF97"/>
    <mergeCell ref="AG96:AG97"/>
    <mergeCell ref="AH96:AH97"/>
    <mergeCell ref="AI96:AI97"/>
    <mergeCell ref="F82:F83"/>
    <mergeCell ref="J82:J83"/>
    <mergeCell ref="N82:N83"/>
    <mergeCell ref="Y82:Y83"/>
    <mergeCell ref="AA82:AA83"/>
    <mergeCell ref="AB82:AB83"/>
    <mergeCell ref="AC82:AC83"/>
    <mergeCell ref="AD82:AD83"/>
    <mergeCell ref="AB114:AB115"/>
    <mergeCell ref="AA120:AA121"/>
    <mergeCell ref="AB120:AB121"/>
    <mergeCell ref="AC120:AC121"/>
    <mergeCell ref="AD120:AD121"/>
    <mergeCell ref="AH110:AH111"/>
    <mergeCell ref="J102:J103"/>
    <mergeCell ref="F104:F105"/>
    <mergeCell ref="F112:F113"/>
    <mergeCell ref="J112:J113"/>
    <mergeCell ref="N104:N105"/>
    <mergeCell ref="AB102:AB103"/>
    <mergeCell ref="AO102:AO103"/>
    <mergeCell ref="AL102:AL103"/>
    <mergeCell ref="AM102:AM103"/>
    <mergeCell ref="AL112:AL113"/>
    <mergeCell ref="AA96:AA97"/>
    <mergeCell ref="AB96:AB97"/>
    <mergeCell ref="AC96:AC97"/>
    <mergeCell ref="AD126:AD127"/>
    <mergeCell ref="AF126:AF127"/>
    <mergeCell ref="AG126:AG127"/>
    <mergeCell ref="AH126:AH127"/>
    <mergeCell ref="AI126:AI127"/>
    <mergeCell ref="AK126:AK127"/>
    <mergeCell ref="AG130:AG131"/>
    <mergeCell ref="AP10:AP11"/>
    <mergeCell ref="AI18:AI19"/>
    <mergeCell ref="AK18:AK19"/>
    <mergeCell ref="AL7:AL8"/>
    <mergeCell ref="AO7:AO8"/>
    <mergeCell ref="N10:N11"/>
    <mergeCell ref="AL10:AL11"/>
    <mergeCell ref="AO10:AO11"/>
    <mergeCell ref="E14:E15"/>
    <mergeCell ref="F14:F15"/>
    <mergeCell ref="J14:J15"/>
    <mergeCell ref="N14:N15"/>
    <mergeCell ref="E20:E21"/>
    <mergeCell ref="F20:F21"/>
    <mergeCell ref="J20:J21"/>
    <mergeCell ref="N20:N21"/>
    <mergeCell ref="Y20:Y21"/>
    <mergeCell ref="AA20:AA21"/>
    <mergeCell ref="AB20:AB21"/>
    <mergeCell ref="AC20:AC21"/>
    <mergeCell ref="AD20:AD21"/>
    <mergeCell ref="AF20:AF21"/>
    <mergeCell ref="AG20:AG21"/>
    <mergeCell ref="AH20:AH21"/>
    <mergeCell ref="AI20:AI21"/>
    <mergeCell ref="AK20:AK21"/>
    <mergeCell ref="AL20:AL21"/>
    <mergeCell ref="AO20:AO21"/>
    <mergeCell ref="Y10:Y11"/>
    <mergeCell ref="AK16:AK17"/>
    <mergeCell ref="AL16:AL17"/>
    <mergeCell ref="AO16:AO17"/>
    <mergeCell ref="E18:E19"/>
    <mergeCell ref="F18:F19"/>
    <mergeCell ref="J18:J19"/>
    <mergeCell ref="N18:N19"/>
    <mergeCell ref="Y18:Y19"/>
    <mergeCell ref="E10:E11"/>
    <mergeCell ref="F10:F11"/>
    <mergeCell ref="J10:J11"/>
    <mergeCell ref="Y14:Y15"/>
    <mergeCell ref="AD18:AD19"/>
    <mergeCell ref="AF18:AF19"/>
    <mergeCell ref="AG18:AG19"/>
    <mergeCell ref="AD14:AD15"/>
    <mergeCell ref="AF14:AF15"/>
    <mergeCell ref="AG14:AG15"/>
    <mergeCell ref="AH14:AH15"/>
    <mergeCell ref="AI14:AI15"/>
    <mergeCell ref="AK14:AK15"/>
    <mergeCell ref="AL14:AL15"/>
    <mergeCell ref="AO14:AO15"/>
    <mergeCell ref="E16:E17"/>
    <mergeCell ref="F16:F17"/>
    <mergeCell ref="J16:J17"/>
    <mergeCell ref="N16:N17"/>
    <mergeCell ref="Y16:Y17"/>
    <mergeCell ref="AA16:AA17"/>
    <mergeCell ref="AB16:AB17"/>
    <mergeCell ref="AC16:AC17"/>
    <mergeCell ref="AD16:AD17"/>
    <mergeCell ref="AF16:AF17"/>
    <mergeCell ref="AG16:AG17"/>
    <mergeCell ref="AH16:AH17"/>
    <mergeCell ref="F190:F191"/>
    <mergeCell ref="E108:E109"/>
    <mergeCell ref="F108:F109"/>
    <mergeCell ref="AA104:AA105"/>
    <mergeCell ref="AB104:AB105"/>
    <mergeCell ref="AC104:AC105"/>
    <mergeCell ref="AD104:AD105"/>
    <mergeCell ref="AF104:AF105"/>
    <mergeCell ref="AG104:AG105"/>
    <mergeCell ref="Y112:Y113"/>
    <mergeCell ref="AH112:AH113"/>
    <mergeCell ref="AA112:AA113"/>
    <mergeCell ref="AB112:AB113"/>
    <mergeCell ref="N112:N113"/>
    <mergeCell ref="Y120:Y121"/>
    <mergeCell ref="N106:N107"/>
    <mergeCell ref="AD106:AD107"/>
    <mergeCell ref="AF106:AF107"/>
    <mergeCell ref="AG106:AG107"/>
    <mergeCell ref="E96:E97"/>
    <mergeCell ref="F96:F97"/>
    <mergeCell ref="J96:J97"/>
    <mergeCell ref="N96:N97"/>
    <mergeCell ref="Y96:Y97"/>
    <mergeCell ref="AL66:AL67"/>
    <mergeCell ref="AG124:AG125"/>
    <mergeCell ref="AH124:AH125"/>
    <mergeCell ref="AH10:AH11"/>
    <mergeCell ref="AI10:AI11"/>
    <mergeCell ref="E24:E25"/>
    <mergeCell ref="F24:F25"/>
    <mergeCell ref="J24:J25"/>
    <mergeCell ref="N24:N25"/>
    <mergeCell ref="Y24:Y25"/>
    <mergeCell ref="AB24:AB25"/>
    <mergeCell ref="AC24:AC25"/>
    <mergeCell ref="AD24:AD25"/>
    <mergeCell ref="AA24:AA25"/>
    <mergeCell ref="AF24:AF25"/>
    <mergeCell ref="AG24:AG25"/>
    <mergeCell ref="AH24:AH25"/>
    <mergeCell ref="AB66:AB67"/>
    <mergeCell ref="AH104:AH105"/>
    <mergeCell ref="AK60:AK61"/>
    <mergeCell ref="AL60:AL61"/>
    <mergeCell ref="AD130:AD131"/>
    <mergeCell ref="AL76:AL77"/>
    <mergeCell ref="E82:E83"/>
    <mergeCell ref="E84:E85"/>
    <mergeCell ref="E104:E105"/>
    <mergeCell ref="E112:E113"/>
    <mergeCell ref="AF120:AF121"/>
    <mergeCell ref="AG120:AG121"/>
    <mergeCell ref="AL166:AL167"/>
    <mergeCell ref="AI108:AI109"/>
    <mergeCell ref="AK108:AK109"/>
    <mergeCell ref="AH120:AH121"/>
    <mergeCell ref="AI120:AI121"/>
    <mergeCell ref="AK120:AK121"/>
    <mergeCell ref="AC136:AC137"/>
    <mergeCell ref="AD136:AD137"/>
    <mergeCell ref="AF136:AF137"/>
    <mergeCell ref="AG136:AG137"/>
    <mergeCell ref="AH136:AH137"/>
    <mergeCell ref="E7:E8"/>
    <mergeCell ref="F7:F8"/>
    <mergeCell ref="H7:I8"/>
    <mergeCell ref="J7:J8"/>
    <mergeCell ref="L7:M8"/>
    <mergeCell ref="X7:X8"/>
    <mergeCell ref="Y7:Y8"/>
    <mergeCell ref="AA7:AA8"/>
    <mergeCell ref="AB7:AB8"/>
    <mergeCell ref="AC7:AC8"/>
    <mergeCell ref="AD7:AD8"/>
    <mergeCell ref="AF7:AF8"/>
    <mergeCell ref="AG7:AG8"/>
    <mergeCell ref="AH7:AH8"/>
    <mergeCell ref="AI7:AI8"/>
    <mergeCell ref="AJ7:AJ8"/>
    <mergeCell ref="AK7:AK8"/>
    <mergeCell ref="AL18:AL19"/>
    <mergeCell ref="AO18:AO19"/>
    <mergeCell ref="AA14:AA15"/>
    <mergeCell ref="AB14:AB15"/>
    <mergeCell ref="AC14:AC15"/>
    <mergeCell ref="AI16:AI17"/>
    <mergeCell ref="AA10:AA11"/>
    <mergeCell ref="AB10:AB11"/>
    <mergeCell ref="AC10:AC11"/>
    <mergeCell ref="AK10:AK11"/>
    <mergeCell ref="AD10:AD11"/>
    <mergeCell ref="AF10:AF11"/>
    <mergeCell ref="AG10:AG11"/>
    <mergeCell ref="AC204:AC205"/>
    <mergeCell ref="AD204:AD205"/>
    <mergeCell ref="AD178:AD179"/>
    <mergeCell ref="AF178:AF179"/>
    <mergeCell ref="Y134:Y135"/>
    <mergeCell ref="AA134:AA135"/>
    <mergeCell ref="E152:E153"/>
    <mergeCell ref="E120:E121"/>
    <mergeCell ref="F74:F75"/>
    <mergeCell ref="J74:J75"/>
    <mergeCell ref="AM28:AM29"/>
    <mergeCell ref="AC18:AC19"/>
    <mergeCell ref="AH68:AH69"/>
    <mergeCell ref="AI68:AI69"/>
    <mergeCell ref="AI182:AI183"/>
    <mergeCell ref="AK182:AK183"/>
    <mergeCell ref="AI192:AI193"/>
    <mergeCell ref="AK192:AK193"/>
    <mergeCell ref="AB182:AB183"/>
    <mergeCell ref="AC182:AC183"/>
    <mergeCell ref="AD182:AD183"/>
    <mergeCell ref="AF182:AF183"/>
    <mergeCell ref="AC178:AC179"/>
    <mergeCell ref="Y80:Y81"/>
    <mergeCell ref="N132:N133"/>
    <mergeCell ref="Y132:Y133"/>
    <mergeCell ref="AA132:AA133"/>
    <mergeCell ref="AC114:AC115"/>
    <mergeCell ref="AD114:AD115"/>
    <mergeCell ref="AF114:AF115"/>
    <mergeCell ref="AG114:AG115"/>
    <mergeCell ref="AI104:AI105"/>
    <mergeCell ref="AK104:AK105"/>
    <mergeCell ref="AF118:AF119"/>
    <mergeCell ref="AO24:AO25"/>
    <mergeCell ref="E26:E27"/>
    <mergeCell ref="AJ26:AJ27"/>
    <mergeCell ref="AM20:AM21"/>
    <mergeCell ref="AP20:AP21"/>
    <mergeCell ref="AM22:AM23"/>
    <mergeCell ref="AP22:AP23"/>
    <mergeCell ref="AM24:AM25"/>
    <mergeCell ref="AP24:AP25"/>
    <mergeCell ref="AM26:AM27"/>
    <mergeCell ref="AP26:AP27"/>
    <mergeCell ref="F26:F27"/>
    <mergeCell ref="J26:J27"/>
    <mergeCell ref="AA18:AA19"/>
    <mergeCell ref="AB18:AB19"/>
    <mergeCell ref="N26:N27"/>
    <mergeCell ref="Y26:Y27"/>
    <mergeCell ref="AJ22:AJ23"/>
    <mergeCell ref="AJ24:AJ25"/>
    <mergeCell ref="AA26:AA27"/>
    <mergeCell ref="AB26:AB27"/>
    <mergeCell ref="AC26:AC27"/>
    <mergeCell ref="AD26:AD27"/>
    <mergeCell ref="AF26:AF27"/>
    <mergeCell ref="AG26:AG27"/>
    <mergeCell ref="AH26:AH27"/>
    <mergeCell ref="AI26:AI27"/>
    <mergeCell ref="AK26:AK27"/>
    <mergeCell ref="AL26:AL27"/>
    <mergeCell ref="AO26:AO27"/>
    <mergeCell ref="AO5:AP5"/>
    <mergeCell ref="AM7:AM8"/>
    <mergeCell ref="AP7:AP8"/>
    <mergeCell ref="AM10:AM11"/>
    <mergeCell ref="AP14:AP15"/>
    <mergeCell ref="AM16:AM17"/>
    <mergeCell ref="AP16:AP17"/>
    <mergeCell ref="AM18:AM19"/>
    <mergeCell ref="AP18:AP19"/>
    <mergeCell ref="E22:E23"/>
    <mergeCell ref="F22:F23"/>
    <mergeCell ref="J22:J23"/>
    <mergeCell ref="N22:N23"/>
    <mergeCell ref="Y22:Y23"/>
    <mergeCell ref="AA22:AA23"/>
    <mergeCell ref="AB22:AB23"/>
    <mergeCell ref="AC22:AC23"/>
    <mergeCell ref="AD22:AD23"/>
    <mergeCell ref="AF22:AF23"/>
    <mergeCell ref="AG22:AG23"/>
    <mergeCell ref="AH22:AH23"/>
    <mergeCell ref="AI22:AI23"/>
    <mergeCell ref="AK22:AK23"/>
    <mergeCell ref="AL22:AL23"/>
    <mergeCell ref="AO22:AO23"/>
    <mergeCell ref="AH18:AH19"/>
    <mergeCell ref="AJ14:AJ15"/>
    <mergeCell ref="AJ16:AJ17"/>
    <mergeCell ref="AJ18:AJ19"/>
    <mergeCell ref="AJ20:AJ21"/>
    <mergeCell ref="AJ10:AJ11"/>
    <mergeCell ref="AM14:AM15"/>
    <mergeCell ref="E5:F5"/>
    <mergeCell ref="AA5:AD5"/>
    <mergeCell ref="E32:E33"/>
    <mergeCell ref="F32:F33"/>
    <mergeCell ref="J32:J33"/>
    <mergeCell ref="N32:N33"/>
    <mergeCell ref="Y32:Y33"/>
    <mergeCell ref="AA32:AA33"/>
    <mergeCell ref="AB32:AB33"/>
    <mergeCell ref="AK30:AK31"/>
    <mergeCell ref="AC32:AC33"/>
    <mergeCell ref="AD32:AD33"/>
    <mergeCell ref="AF32:AF33"/>
    <mergeCell ref="AG32:AG33"/>
    <mergeCell ref="AH32:AH33"/>
    <mergeCell ref="AI32:AI33"/>
    <mergeCell ref="E30:E31"/>
    <mergeCell ref="F30:F31"/>
    <mergeCell ref="J30:J31"/>
    <mergeCell ref="N30:N31"/>
    <mergeCell ref="Y30:Y31"/>
    <mergeCell ref="AA30:AA31"/>
    <mergeCell ref="AB30:AB31"/>
    <mergeCell ref="AC30:AC31"/>
    <mergeCell ref="AD30:AD31"/>
    <mergeCell ref="AF30:AF31"/>
    <mergeCell ref="AG30:AG31"/>
    <mergeCell ref="AH30:AH31"/>
    <mergeCell ref="AI30:AI31"/>
    <mergeCell ref="E28:E29"/>
    <mergeCell ref="AK32:AK33"/>
    <mergeCell ref="AL32:AL33"/>
    <mergeCell ref="AI24:AI25"/>
    <mergeCell ref="AK24:AK25"/>
    <mergeCell ref="AL24:AL25"/>
    <mergeCell ref="N40:N41"/>
    <mergeCell ref="Y40:Y41"/>
    <mergeCell ref="AA40:AA41"/>
    <mergeCell ref="AB40:AB41"/>
    <mergeCell ref="AC40:AC41"/>
    <mergeCell ref="AD40:AD41"/>
    <mergeCell ref="AF40:AF41"/>
    <mergeCell ref="AG40:AG41"/>
    <mergeCell ref="AH40:AH41"/>
    <mergeCell ref="AI40:AI41"/>
    <mergeCell ref="AK40:AK41"/>
    <mergeCell ref="AL40:AL41"/>
    <mergeCell ref="E38:E39"/>
    <mergeCell ref="F38:F39"/>
    <mergeCell ref="J38:J39"/>
    <mergeCell ref="N38:N39"/>
    <mergeCell ref="Y38:Y39"/>
    <mergeCell ref="AA38:AA39"/>
    <mergeCell ref="AB38:AB39"/>
    <mergeCell ref="AC38:AC39"/>
    <mergeCell ref="AD38:AD39"/>
    <mergeCell ref="AF38:AF39"/>
    <mergeCell ref="AG38:AG39"/>
    <mergeCell ref="AH38:AH39"/>
    <mergeCell ref="AI38:AI39"/>
    <mergeCell ref="AK38:AK39"/>
    <mergeCell ref="AL38:AL39"/>
    <mergeCell ref="AJ28:AJ29"/>
    <mergeCell ref="AJ30:AJ31"/>
    <mergeCell ref="AJ32:AJ33"/>
    <mergeCell ref="AJ34:AJ35"/>
    <mergeCell ref="AJ36:AJ37"/>
    <mergeCell ref="AJ38:AJ39"/>
    <mergeCell ref="AJ40:AJ41"/>
    <mergeCell ref="F28:F29"/>
    <mergeCell ref="J28:J29"/>
    <mergeCell ref="N28:N29"/>
    <mergeCell ref="Y28:Y29"/>
    <mergeCell ref="AA28:AA29"/>
    <mergeCell ref="AB28:AB29"/>
    <mergeCell ref="AC28:AC29"/>
    <mergeCell ref="AD28:AD29"/>
    <mergeCell ref="AF28:AF29"/>
    <mergeCell ref="AG28:AG29"/>
    <mergeCell ref="AH28:AH29"/>
    <mergeCell ref="AI28:AI29"/>
    <mergeCell ref="AK28:AK29"/>
    <mergeCell ref="E36:E37"/>
    <mergeCell ref="F36:F37"/>
    <mergeCell ref="J36:J37"/>
    <mergeCell ref="N36:N37"/>
    <mergeCell ref="Y36:Y37"/>
    <mergeCell ref="AA36:AA37"/>
    <mergeCell ref="AB36:AB37"/>
    <mergeCell ref="AC36:AC37"/>
    <mergeCell ref="AD36:AD37"/>
    <mergeCell ref="AF36:AF37"/>
    <mergeCell ref="AG36:AG37"/>
    <mergeCell ref="AH36:AH37"/>
    <mergeCell ref="AI36:AI37"/>
    <mergeCell ref="AK36:AK37"/>
    <mergeCell ref="AL36:AL37"/>
    <mergeCell ref="AL28:AL29"/>
    <mergeCell ref="AL30:AL31"/>
    <mergeCell ref="E34:E35"/>
    <mergeCell ref="F34:F35"/>
    <mergeCell ref="J34:J35"/>
    <mergeCell ref="N34:N35"/>
    <mergeCell ref="Y34:Y35"/>
    <mergeCell ref="AA34:AA35"/>
    <mergeCell ref="AB34:AB35"/>
    <mergeCell ref="AC34:AC35"/>
    <mergeCell ref="AD34:AD35"/>
    <mergeCell ref="AF34:AF35"/>
    <mergeCell ref="AG34:AG35"/>
    <mergeCell ref="AH34:AH35"/>
    <mergeCell ref="AI34:AI35"/>
    <mergeCell ref="AK34:AK35"/>
    <mergeCell ref="AL34:AL35"/>
    <mergeCell ref="E46:E47"/>
    <mergeCell ref="F46:F47"/>
    <mergeCell ref="J46:J47"/>
    <mergeCell ref="N46:N47"/>
    <mergeCell ref="Y46:Y47"/>
    <mergeCell ref="AA46:AA47"/>
    <mergeCell ref="AB46:AB47"/>
    <mergeCell ref="AC46:AC47"/>
    <mergeCell ref="AD46:AD47"/>
    <mergeCell ref="AF46:AF47"/>
    <mergeCell ref="AG46:AG47"/>
    <mergeCell ref="AH46:AH47"/>
    <mergeCell ref="AI46:AI47"/>
    <mergeCell ref="AK46:AK47"/>
    <mergeCell ref="AL46:AL47"/>
    <mergeCell ref="AM48:AM49"/>
    <mergeCell ref="E42:E43"/>
    <mergeCell ref="F42:F43"/>
    <mergeCell ref="J42:J43"/>
    <mergeCell ref="N42:N43"/>
    <mergeCell ref="Y42:Y43"/>
    <mergeCell ref="AA42:AA43"/>
    <mergeCell ref="AB42:AB43"/>
    <mergeCell ref="AC42:AC43"/>
    <mergeCell ref="AD42:AD43"/>
    <mergeCell ref="AF42:AF43"/>
    <mergeCell ref="AG42:AG43"/>
    <mergeCell ref="AH42:AH43"/>
    <mergeCell ref="AI42:AI43"/>
    <mergeCell ref="AK42:AK43"/>
    <mergeCell ref="AL42:AL43"/>
    <mergeCell ref="E44:E45"/>
    <mergeCell ref="F44:F45"/>
    <mergeCell ref="J44:J45"/>
    <mergeCell ref="N44:N45"/>
    <mergeCell ref="Y44:Y45"/>
    <mergeCell ref="AA44:AA45"/>
    <mergeCell ref="AB44:AB45"/>
    <mergeCell ref="AC44:AC45"/>
    <mergeCell ref="AD44:AD45"/>
    <mergeCell ref="AF44:AF45"/>
    <mergeCell ref="AG44:AG45"/>
    <mergeCell ref="AH44:AH45"/>
    <mergeCell ref="AI44:AI45"/>
    <mergeCell ref="AK44:AK45"/>
    <mergeCell ref="AL44:AL45"/>
    <mergeCell ref="E40:E41"/>
    <mergeCell ref="F40:F41"/>
    <mergeCell ref="J40:J41"/>
    <mergeCell ref="AL48:AL49"/>
    <mergeCell ref="AO48:AO49"/>
    <mergeCell ref="AI54:AI55"/>
    <mergeCell ref="AK54:AK55"/>
    <mergeCell ref="AL54:AL55"/>
    <mergeCell ref="AO54:AO55"/>
    <mergeCell ref="E56:E57"/>
    <mergeCell ref="F56:F57"/>
    <mergeCell ref="J56:J57"/>
    <mergeCell ref="N56:N57"/>
    <mergeCell ref="Y56:Y57"/>
    <mergeCell ref="AA56:AA57"/>
    <mergeCell ref="AB56:AB57"/>
    <mergeCell ref="AC56:AC57"/>
    <mergeCell ref="AD56:AD57"/>
    <mergeCell ref="AF56:AF57"/>
    <mergeCell ref="AG56:AG57"/>
    <mergeCell ref="AH56:AH57"/>
    <mergeCell ref="AI56:AI57"/>
    <mergeCell ref="E50:E51"/>
    <mergeCell ref="F50:F51"/>
    <mergeCell ref="J50:J51"/>
    <mergeCell ref="N50:N51"/>
    <mergeCell ref="Y50:Y51"/>
    <mergeCell ref="AA50:AA51"/>
    <mergeCell ref="AB50:AB51"/>
    <mergeCell ref="AC50:AC51"/>
    <mergeCell ref="AD50:AD51"/>
    <mergeCell ref="AF50:AF51"/>
    <mergeCell ref="AG50:AG51"/>
    <mergeCell ref="AH50:AH51"/>
    <mergeCell ref="AI50:AI51"/>
    <mergeCell ref="AK50:AK51"/>
    <mergeCell ref="AL50:AL51"/>
    <mergeCell ref="AO50:AO51"/>
    <mergeCell ref="AL52:AL53"/>
    <mergeCell ref="AO52:AO53"/>
    <mergeCell ref="F54:F55"/>
    <mergeCell ref="J54:J55"/>
    <mergeCell ref="N54:N55"/>
    <mergeCell ref="Y54:Y55"/>
    <mergeCell ref="AA54:AA55"/>
    <mergeCell ref="AB54:AB55"/>
    <mergeCell ref="AC54:AC55"/>
    <mergeCell ref="AD54:AD55"/>
    <mergeCell ref="AF54:AF55"/>
    <mergeCell ref="AG54:AG55"/>
    <mergeCell ref="AH54:AH55"/>
    <mergeCell ref="E52:E53"/>
    <mergeCell ref="F52:F53"/>
    <mergeCell ref="J52:J53"/>
    <mergeCell ref="N52:N53"/>
    <mergeCell ref="Y52:Y53"/>
    <mergeCell ref="AA52:AA53"/>
    <mergeCell ref="AB52:AB53"/>
    <mergeCell ref="AC52:AC53"/>
    <mergeCell ref="AD52:AD53"/>
    <mergeCell ref="AF52:AF53"/>
    <mergeCell ref="AG52:AG53"/>
    <mergeCell ref="AH52:AH53"/>
    <mergeCell ref="AI52:AI53"/>
    <mergeCell ref="AK52:AK53"/>
    <mergeCell ref="AL56:AL57"/>
    <mergeCell ref="AO56:AO57"/>
    <mergeCell ref="AG58:AG59"/>
    <mergeCell ref="AH58:AH59"/>
    <mergeCell ref="AI58:AI59"/>
    <mergeCell ref="AD58:AD59"/>
    <mergeCell ref="AF58:AF59"/>
    <mergeCell ref="E48:E49"/>
    <mergeCell ref="F48:F49"/>
    <mergeCell ref="J48:J49"/>
    <mergeCell ref="N48:N49"/>
    <mergeCell ref="Y48:Y49"/>
    <mergeCell ref="AA48:AA49"/>
    <mergeCell ref="AB48:AB49"/>
    <mergeCell ref="AC48:AC49"/>
    <mergeCell ref="AD48:AD49"/>
    <mergeCell ref="AF48:AF49"/>
    <mergeCell ref="AG48:AG49"/>
    <mergeCell ref="AH48:AH49"/>
    <mergeCell ref="AI48:AI49"/>
    <mergeCell ref="AK48:AK49"/>
    <mergeCell ref="F64:F65"/>
    <mergeCell ref="J64:J65"/>
    <mergeCell ref="N64:N65"/>
    <mergeCell ref="Y64:Y65"/>
    <mergeCell ref="AA64:AA65"/>
    <mergeCell ref="AB64:AB65"/>
    <mergeCell ref="AC64:AC65"/>
    <mergeCell ref="AD64:AD65"/>
    <mergeCell ref="AF64:AF65"/>
    <mergeCell ref="AG64:AG65"/>
    <mergeCell ref="AH64:AH65"/>
    <mergeCell ref="AI64:AI65"/>
    <mergeCell ref="AK64:AK65"/>
    <mergeCell ref="E68:E69"/>
    <mergeCell ref="F68:F69"/>
    <mergeCell ref="J68:J69"/>
    <mergeCell ref="N68:N69"/>
    <mergeCell ref="E54:E55"/>
    <mergeCell ref="AK58:AK59"/>
    <mergeCell ref="N66:N67"/>
    <mergeCell ref="Y60:Y61"/>
    <mergeCell ref="AB60:AB61"/>
    <mergeCell ref="AC60:AC61"/>
    <mergeCell ref="AD60:AD61"/>
    <mergeCell ref="AF60:AF61"/>
    <mergeCell ref="AG60:AG61"/>
    <mergeCell ref="AH60:AH61"/>
    <mergeCell ref="AI60:AI61"/>
    <mergeCell ref="E60:E61"/>
    <mergeCell ref="F60:F61"/>
    <mergeCell ref="J60:J61"/>
    <mergeCell ref="E66:E67"/>
    <mergeCell ref="F66:F67"/>
    <mergeCell ref="J66:J67"/>
    <mergeCell ref="N60:N61"/>
    <mergeCell ref="AC66:AC67"/>
    <mergeCell ref="AK56:AK57"/>
    <mergeCell ref="E58:E59"/>
    <mergeCell ref="F58:F59"/>
    <mergeCell ref="J58:J59"/>
    <mergeCell ref="E62:E63"/>
    <mergeCell ref="F62:F63"/>
    <mergeCell ref="J62:J63"/>
    <mergeCell ref="N62:N63"/>
    <mergeCell ref="Y62:Y63"/>
    <mergeCell ref="AL58:AL59"/>
    <mergeCell ref="AO58:AO59"/>
    <mergeCell ref="AM60:AM61"/>
    <mergeCell ref="AD66:AD67"/>
    <mergeCell ref="AF66:AF67"/>
    <mergeCell ref="AG66:AG67"/>
    <mergeCell ref="AH66:AH67"/>
    <mergeCell ref="AI66:AI67"/>
    <mergeCell ref="AK66:AK67"/>
    <mergeCell ref="AA60:AA61"/>
    <mergeCell ref="Y66:Y67"/>
    <mergeCell ref="AA66:AA67"/>
    <mergeCell ref="E64:E65"/>
    <mergeCell ref="AB70:AB71"/>
    <mergeCell ref="AC70:AC71"/>
    <mergeCell ref="AD70:AD71"/>
    <mergeCell ref="AF70:AF71"/>
    <mergeCell ref="AG70:AG71"/>
    <mergeCell ref="Y68:Y69"/>
    <mergeCell ref="AA68:AA69"/>
    <mergeCell ref="AB68:AB69"/>
    <mergeCell ref="AC68:AC69"/>
    <mergeCell ref="AD68:AD69"/>
    <mergeCell ref="AF68:AF69"/>
    <mergeCell ref="AG68:AG69"/>
    <mergeCell ref="N58:N59"/>
    <mergeCell ref="Y58:Y59"/>
    <mergeCell ref="AA58:AA59"/>
    <mergeCell ref="AB58:AB59"/>
    <mergeCell ref="AC58:AC59"/>
    <mergeCell ref="J76:J77"/>
    <mergeCell ref="N76:N77"/>
    <mergeCell ref="Y76:Y77"/>
    <mergeCell ref="AL70:AL71"/>
    <mergeCell ref="AO70:AO71"/>
    <mergeCell ref="E72:E73"/>
    <mergeCell ref="F72:F73"/>
    <mergeCell ref="J72:J73"/>
    <mergeCell ref="Y72:Y73"/>
    <mergeCell ref="AA76:AA77"/>
    <mergeCell ref="AA72:AA73"/>
    <mergeCell ref="AB72:AB73"/>
    <mergeCell ref="AC72:AC73"/>
    <mergeCell ref="AD72:AD73"/>
    <mergeCell ref="AF72:AF73"/>
    <mergeCell ref="AG72:AG73"/>
    <mergeCell ref="AO72:AO73"/>
    <mergeCell ref="E74:E75"/>
    <mergeCell ref="F70:F71"/>
    <mergeCell ref="J70:J71"/>
    <mergeCell ref="N70:N71"/>
    <mergeCell ref="Y70:Y71"/>
    <mergeCell ref="AA70:AA71"/>
    <mergeCell ref="E70:E71"/>
    <mergeCell ref="AH70:AH71"/>
    <mergeCell ref="N72:N73"/>
    <mergeCell ref="AM72:AM73"/>
    <mergeCell ref="AB62:AB63"/>
    <mergeCell ref="AC62:AC63"/>
    <mergeCell ref="AD62:AD63"/>
    <mergeCell ref="AF62:AF63"/>
    <mergeCell ref="AG62:AG63"/>
    <mergeCell ref="AH62:AH63"/>
    <mergeCell ref="AI62:AI63"/>
    <mergeCell ref="AL64:AL65"/>
    <mergeCell ref="AH72:AH73"/>
    <mergeCell ref="AI72:AI73"/>
    <mergeCell ref="AK72:AK73"/>
    <mergeCell ref="AL80:AL81"/>
    <mergeCell ref="AO80:AO81"/>
    <mergeCell ref="E80:E81"/>
    <mergeCell ref="E78:E79"/>
    <mergeCell ref="F78:F79"/>
    <mergeCell ref="J78:J79"/>
    <mergeCell ref="N78:N79"/>
    <mergeCell ref="Y78:Y79"/>
    <mergeCell ref="AA78:AA79"/>
    <mergeCell ref="E106:E107"/>
    <mergeCell ref="F106:F107"/>
    <mergeCell ref="J106:J107"/>
    <mergeCell ref="E114:E115"/>
    <mergeCell ref="F114:F115"/>
    <mergeCell ref="AM88:AM89"/>
    <mergeCell ref="AL96:AL97"/>
    <mergeCell ref="E88:E89"/>
    <mergeCell ref="AF78:AF79"/>
    <mergeCell ref="AG78:AG79"/>
    <mergeCell ref="AH78:AH79"/>
    <mergeCell ref="AI78:AI79"/>
    <mergeCell ref="AK78:AK79"/>
    <mergeCell ref="AL84:AL85"/>
    <mergeCell ref="AO86:AO87"/>
    <mergeCell ref="AC102:AC103"/>
    <mergeCell ref="AD102:AD103"/>
    <mergeCell ref="AF102:AF103"/>
    <mergeCell ref="AG102:AG103"/>
    <mergeCell ref="AC110:AC111"/>
    <mergeCell ref="AD110:AD111"/>
    <mergeCell ref="AF110:AF111"/>
    <mergeCell ref="AG110:AG111"/>
    <mergeCell ref="Y104:Y105"/>
    <mergeCell ref="AI80:AI81"/>
    <mergeCell ref="AK80:AK81"/>
    <mergeCell ref="E90:E91"/>
    <mergeCell ref="AO90:AO91"/>
    <mergeCell ref="AM92:AM93"/>
    <mergeCell ref="AO92:AO93"/>
    <mergeCell ref="AL110:AL111"/>
    <mergeCell ref="AO110:AO111"/>
    <mergeCell ref="E110:E111"/>
    <mergeCell ref="F110:F111"/>
    <mergeCell ref="J110:J111"/>
    <mergeCell ref="N110:N111"/>
    <mergeCell ref="Y110:Y111"/>
    <mergeCell ref="AA110:AA111"/>
    <mergeCell ref="AB110:AB111"/>
    <mergeCell ref="E86:E87"/>
    <mergeCell ref="F86:F87"/>
    <mergeCell ref="N102:N103"/>
    <mergeCell ref="AH102:AH103"/>
    <mergeCell ref="AI102:AI103"/>
    <mergeCell ref="AK102:AK103"/>
    <mergeCell ref="Y84:Y85"/>
    <mergeCell ref="AA84:AA85"/>
    <mergeCell ref="AB84:AB85"/>
    <mergeCell ref="Y102:Y103"/>
    <mergeCell ref="F84:F85"/>
    <mergeCell ref="J84:J85"/>
    <mergeCell ref="F176:F177"/>
    <mergeCell ref="E186:E187"/>
    <mergeCell ref="AM188:AM189"/>
    <mergeCell ref="J184:J185"/>
    <mergeCell ref="N184:N185"/>
    <mergeCell ref="Y184:Y185"/>
    <mergeCell ref="AM176:AM177"/>
    <mergeCell ref="F168:F169"/>
    <mergeCell ref="J168:J169"/>
    <mergeCell ref="N168:N169"/>
    <mergeCell ref="Y168:Y169"/>
    <mergeCell ref="AA168:AA169"/>
    <mergeCell ref="AB168:AB169"/>
    <mergeCell ref="AC168:AC169"/>
    <mergeCell ref="AD168:AD169"/>
    <mergeCell ref="AF168:AF169"/>
    <mergeCell ref="AG168:AG169"/>
    <mergeCell ref="AH168:AH169"/>
    <mergeCell ref="AI168:AI169"/>
    <mergeCell ref="E180:E181"/>
    <mergeCell ref="AL188:AL189"/>
    <mergeCell ref="AD140:AD141"/>
    <mergeCell ref="AF140:AF141"/>
    <mergeCell ref="AG140:AG141"/>
    <mergeCell ref="AG178:AG179"/>
    <mergeCell ref="AH178:AH179"/>
    <mergeCell ref="AI178:AI179"/>
    <mergeCell ref="AG146:AG147"/>
    <mergeCell ref="AH170:AH171"/>
    <mergeCell ref="AI170:AI171"/>
    <mergeCell ref="Y176:Y177"/>
    <mergeCell ref="AI180:AI181"/>
    <mergeCell ref="E184:E185"/>
    <mergeCell ref="F184:F185"/>
    <mergeCell ref="E182:E183"/>
    <mergeCell ref="F182:F183"/>
    <mergeCell ref="J182:J183"/>
    <mergeCell ref="AH140:AH141"/>
    <mergeCell ref="AI140:AI141"/>
    <mergeCell ref="AM148:AM149"/>
    <mergeCell ref="AM150:AM151"/>
    <mergeCell ref="AA176:AA177"/>
    <mergeCell ref="AB176:AB177"/>
    <mergeCell ref="AC176:AC177"/>
    <mergeCell ref="AD176:AD177"/>
    <mergeCell ref="AF176:AF177"/>
    <mergeCell ref="N186:N187"/>
    <mergeCell ref="Y186:Y187"/>
    <mergeCell ref="AA186:AA187"/>
    <mergeCell ref="AD148:AD149"/>
    <mergeCell ref="AF148:AF149"/>
    <mergeCell ref="AG148:AG149"/>
    <mergeCell ref="AH148:AH149"/>
    <mergeCell ref="E150:E151"/>
    <mergeCell ref="F150:F151"/>
    <mergeCell ref="J150:J151"/>
    <mergeCell ref="N150:N151"/>
    <mergeCell ref="AL146:AL147"/>
    <mergeCell ref="J158:J159"/>
    <mergeCell ref="AK184:AK185"/>
    <mergeCell ref="AD154:AD155"/>
    <mergeCell ref="AK186:AK187"/>
    <mergeCell ref="AL186:AL187"/>
    <mergeCell ref="AG176:AG177"/>
    <mergeCell ref="E194:E195"/>
    <mergeCell ref="F194:F195"/>
    <mergeCell ref="J194:J195"/>
    <mergeCell ref="Y194:Y195"/>
    <mergeCell ref="AA194:AA195"/>
    <mergeCell ref="AB194:AB195"/>
    <mergeCell ref="E190:E191"/>
    <mergeCell ref="AJ168:AJ169"/>
    <mergeCell ref="AK168:AK169"/>
    <mergeCell ref="AL168:AL169"/>
    <mergeCell ref="AM168:AM169"/>
    <mergeCell ref="AO168:AO169"/>
    <mergeCell ref="E170:E171"/>
    <mergeCell ref="F170:F171"/>
    <mergeCell ref="J170:J171"/>
    <mergeCell ref="N170:N171"/>
    <mergeCell ref="J162:J163"/>
    <mergeCell ref="AK170:AK171"/>
    <mergeCell ref="J176:J177"/>
    <mergeCell ref="AO186:AO187"/>
    <mergeCell ref="AO162:AO163"/>
    <mergeCell ref="AG186:AG187"/>
    <mergeCell ref="F186:F187"/>
    <mergeCell ref="J186:J187"/>
    <mergeCell ref="AJ164:AJ165"/>
    <mergeCell ref="AJ170:AJ171"/>
    <mergeCell ref="AJ176:AJ177"/>
    <mergeCell ref="AJ178:AJ179"/>
    <mergeCell ref="AJ180:AJ181"/>
    <mergeCell ref="AJ182:AJ183"/>
    <mergeCell ref="AJ184:AJ185"/>
    <mergeCell ref="AJ186:AJ187"/>
    <mergeCell ref="F164:F165"/>
    <mergeCell ref="J164:J165"/>
    <mergeCell ref="N164:N165"/>
    <mergeCell ref="Y164:Y165"/>
    <mergeCell ref="AA164:AA165"/>
    <mergeCell ref="AB164:AB165"/>
    <mergeCell ref="F178:F179"/>
    <mergeCell ref="E188:E189"/>
    <mergeCell ref="N188:N189"/>
    <mergeCell ref="Y188:Y189"/>
    <mergeCell ref="AA188:AA189"/>
    <mergeCell ref="AB178:AB179"/>
    <mergeCell ref="AC180:AC181"/>
    <mergeCell ref="Y178:Y179"/>
    <mergeCell ref="AA178:AA179"/>
    <mergeCell ref="AK188:AK189"/>
    <mergeCell ref="AH180:AH181"/>
    <mergeCell ref="AJ194:AJ195"/>
    <mergeCell ref="AM194:AM195"/>
    <mergeCell ref="E164:E165"/>
    <mergeCell ref="F188:F189"/>
    <mergeCell ref="J188:J189"/>
    <mergeCell ref="AG192:AG193"/>
    <mergeCell ref="AH192:AH193"/>
    <mergeCell ref="N194:N195"/>
    <mergeCell ref="AC194:AC195"/>
    <mergeCell ref="AD194:AD195"/>
    <mergeCell ref="AF194:AF195"/>
    <mergeCell ref="AG194:AG195"/>
    <mergeCell ref="AH194:AH195"/>
    <mergeCell ref="AI194:AI195"/>
    <mergeCell ref="E176:E177"/>
    <mergeCell ref="N180:N181"/>
    <mergeCell ref="AD180:AD181"/>
    <mergeCell ref="AF196:AF197"/>
    <mergeCell ref="Y198:Y199"/>
    <mergeCell ref="AA198:AA199"/>
    <mergeCell ref="AI204:AI205"/>
    <mergeCell ref="AC202:AC203"/>
    <mergeCell ref="N182:N183"/>
    <mergeCell ref="Y182:Y183"/>
    <mergeCell ref="Y180:Y181"/>
    <mergeCell ref="AA180:AA181"/>
    <mergeCell ref="AB180:AB181"/>
    <mergeCell ref="AK178:AK179"/>
    <mergeCell ref="AA182:AA183"/>
    <mergeCell ref="N162:N163"/>
    <mergeCell ref="Y162:Y163"/>
    <mergeCell ref="AB170:AB171"/>
    <mergeCell ref="AC170:AC171"/>
    <mergeCell ref="Y170:Y171"/>
    <mergeCell ref="AA170:AA171"/>
    <mergeCell ref="AL170:AL171"/>
    <mergeCell ref="AG182:AG183"/>
    <mergeCell ref="AH182:AH183"/>
    <mergeCell ref="AL204:AL205"/>
    <mergeCell ref="J190:J191"/>
    <mergeCell ref="N190:N191"/>
    <mergeCell ref="Y190:Y191"/>
    <mergeCell ref="AA190:AA191"/>
    <mergeCell ref="AB190:AB191"/>
    <mergeCell ref="AC190:AC191"/>
    <mergeCell ref="AD190:AD191"/>
    <mergeCell ref="AF190:AF191"/>
    <mergeCell ref="AG190:AG191"/>
    <mergeCell ref="AH190:AH191"/>
    <mergeCell ref="AI190:AI191"/>
    <mergeCell ref="J178:J179"/>
    <mergeCell ref="N178:N179"/>
    <mergeCell ref="AB188:AB189"/>
    <mergeCell ref="AC188:AC189"/>
    <mergeCell ref="AD188:AD189"/>
    <mergeCell ref="AF188:AF189"/>
    <mergeCell ref="AG188:AG189"/>
    <mergeCell ref="AA196:AA197"/>
    <mergeCell ref="AH176:AH177"/>
    <mergeCell ref="AK202:AK203"/>
    <mergeCell ref="N204:N205"/>
    <mergeCell ref="Y204:Y205"/>
    <mergeCell ref="AA204:AA205"/>
    <mergeCell ref="AB204:AB205"/>
    <mergeCell ref="AD170:AD171"/>
    <mergeCell ref="AF170:AF171"/>
    <mergeCell ref="AG170:AG171"/>
    <mergeCell ref="AC196:AC197"/>
    <mergeCell ref="AK196:AK197"/>
    <mergeCell ref="AK194:AK195"/>
    <mergeCell ref="N198:N199"/>
    <mergeCell ref="N176:N177"/>
    <mergeCell ref="AH200:AH201"/>
    <mergeCell ref="AI200:AI201"/>
    <mergeCell ref="AB202:AB203"/>
    <mergeCell ref="AD196:AD197"/>
    <mergeCell ref="AI198:AI199"/>
    <mergeCell ref="AA200:AA201"/>
    <mergeCell ref="AF180:AF181"/>
    <mergeCell ref="AO196:AO197"/>
    <mergeCell ref="E200:E201"/>
    <mergeCell ref="F222:F223"/>
    <mergeCell ref="E214:E215"/>
    <mergeCell ref="F214:F215"/>
    <mergeCell ref="J214:J215"/>
    <mergeCell ref="N214:N215"/>
    <mergeCell ref="Y214:Y215"/>
    <mergeCell ref="AA214:AA215"/>
    <mergeCell ref="AB214:AB215"/>
    <mergeCell ref="AC214:AC215"/>
    <mergeCell ref="AD214:AD215"/>
    <mergeCell ref="AF214:AF215"/>
    <mergeCell ref="AG214:AG215"/>
    <mergeCell ref="AH214:AH215"/>
    <mergeCell ref="AI214:AI215"/>
    <mergeCell ref="AJ196:AJ197"/>
    <mergeCell ref="AJ198:AJ199"/>
    <mergeCell ref="AJ200:AJ201"/>
    <mergeCell ref="AJ202:AJ203"/>
    <mergeCell ref="AJ204:AJ205"/>
    <mergeCell ref="AO214:AO215"/>
    <mergeCell ref="AB198:AB199"/>
    <mergeCell ref="AC198:AC199"/>
    <mergeCell ref="AG202:AG203"/>
    <mergeCell ref="AH202:AH203"/>
    <mergeCell ref="AI202:AI203"/>
    <mergeCell ref="AK198:AK199"/>
    <mergeCell ref="AL198:AL199"/>
    <mergeCell ref="AD200:AD201"/>
    <mergeCell ref="AF200:AF201"/>
    <mergeCell ref="AG200:AG201"/>
    <mergeCell ref="AF204:AF205"/>
    <mergeCell ref="AG204:AG205"/>
    <mergeCell ref="AL200:AL201"/>
    <mergeCell ref="AM212:AM213"/>
    <mergeCell ref="AK208:AK209"/>
    <mergeCell ref="AL208:AL209"/>
    <mergeCell ref="AO212:AO213"/>
    <mergeCell ref="AM222:AM223"/>
    <mergeCell ref="E220:E221"/>
    <mergeCell ref="F220:F221"/>
    <mergeCell ref="J220:J221"/>
    <mergeCell ref="N220:N221"/>
    <mergeCell ref="Y220:Y221"/>
    <mergeCell ref="AA220:AA221"/>
    <mergeCell ref="AB220:AB221"/>
    <mergeCell ref="F196:F197"/>
    <mergeCell ref="E204:E205"/>
    <mergeCell ref="E202:E203"/>
    <mergeCell ref="F202:F203"/>
    <mergeCell ref="Y202:Y203"/>
    <mergeCell ref="AA202:AA203"/>
    <mergeCell ref="N202:N203"/>
    <mergeCell ref="AO198:AO199"/>
    <mergeCell ref="AK204:AK205"/>
    <mergeCell ref="AH204:AH205"/>
    <mergeCell ref="J196:J197"/>
    <mergeCell ref="AG206:AG207"/>
    <mergeCell ref="AH206:AH207"/>
    <mergeCell ref="AI206:AI207"/>
    <mergeCell ref="AK206:AK207"/>
    <mergeCell ref="AJ206:AJ207"/>
    <mergeCell ref="AJ208:AJ209"/>
    <mergeCell ref="AA318:AA319"/>
    <mergeCell ref="AA256:AA257"/>
    <mergeCell ref="AH252:AH253"/>
    <mergeCell ref="AI252:AI253"/>
    <mergeCell ref="AH262:AH263"/>
    <mergeCell ref="AI262:AI263"/>
    <mergeCell ref="AK262:AK263"/>
    <mergeCell ref="AL262:AL263"/>
    <mergeCell ref="AL264:AL265"/>
    <mergeCell ref="E266:E267"/>
    <mergeCell ref="E264:E265"/>
    <mergeCell ref="E274:E275"/>
    <mergeCell ref="E240:E241"/>
    <mergeCell ref="F240:F241"/>
    <mergeCell ref="J240:J241"/>
    <mergeCell ref="N240:N241"/>
    <mergeCell ref="AB240:AB241"/>
    <mergeCell ref="AC240:AC241"/>
    <mergeCell ref="AD240:AD241"/>
    <mergeCell ref="AF240:AF241"/>
    <mergeCell ref="AG240:AG241"/>
    <mergeCell ref="AH240:AH241"/>
    <mergeCell ref="AI240:AI241"/>
    <mergeCell ref="AJ234:AJ235"/>
    <mergeCell ref="AK228:AK229"/>
    <mergeCell ref="AL228:AL229"/>
    <mergeCell ref="E244:E245"/>
    <mergeCell ref="N310:N311"/>
    <mergeCell ref="AK318:AK319"/>
    <mergeCell ref="AC238:AC239"/>
    <mergeCell ref="AD238:AD239"/>
    <mergeCell ref="AL270:AL271"/>
    <mergeCell ref="E232:E233"/>
    <mergeCell ref="F232:F233"/>
    <mergeCell ref="J232:J233"/>
    <mergeCell ref="AL286:AL287"/>
    <mergeCell ref="AK310:AK311"/>
    <mergeCell ref="AG304:AG305"/>
    <mergeCell ref="N288:N289"/>
    <mergeCell ref="Y288:Y289"/>
    <mergeCell ref="AA288:AA289"/>
    <mergeCell ref="AB288:AB289"/>
    <mergeCell ref="AD282:AD283"/>
    <mergeCell ref="AF282:AF283"/>
    <mergeCell ref="AG282:AG283"/>
    <mergeCell ref="AL272:AL273"/>
    <mergeCell ref="AK280:AK281"/>
    <mergeCell ref="AK272:AK273"/>
    <mergeCell ref="AD280:AD281"/>
    <mergeCell ref="AF280:AF281"/>
    <mergeCell ref="N304:N305"/>
    <mergeCell ref="Y304:Y305"/>
    <mergeCell ref="F304:F305"/>
    <mergeCell ref="AI310:AI311"/>
    <mergeCell ref="AC304:AC305"/>
    <mergeCell ref="AC292:AC293"/>
    <mergeCell ref="AD292:AD293"/>
    <mergeCell ref="J276:J277"/>
    <mergeCell ref="N276:N277"/>
    <mergeCell ref="Y276:Y277"/>
    <mergeCell ref="AA276:AA277"/>
    <mergeCell ref="AB276:AB277"/>
    <mergeCell ref="AC276:AC277"/>
    <mergeCell ref="AI312:AI313"/>
    <mergeCell ref="E222:E223"/>
    <mergeCell ref="AI224:AI225"/>
    <mergeCell ref="AK224:AK225"/>
    <mergeCell ref="AB222:AB223"/>
    <mergeCell ref="AH228:AH229"/>
    <mergeCell ref="AF262:AF263"/>
    <mergeCell ref="AG262:AG263"/>
    <mergeCell ref="J290:J291"/>
    <mergeCell ref="N290:N291"/>
    <mergeCell ref="Y290:Y291"/>
    <mergeCell ref="AA290:AA291"/>
    <mergeCell ref="AB290:AB291"/>
    <mergeCell ref="AC290:AC291"/>
    <mergeCell ref="AD290:AD291"/>
    <mergeCell ref="AF290:AF291"/>
    <mergeCell ref="AG290:AG291"/>
    <mergeCell ref="AH290:AH291"/>
    <mergeCell ref="AI290:AI291"/>
    <mergeCell ref="N284:N285"/>
    <mergeCell ref="Y284:Y285"/>
    <mergeCell ref="AG264:AG265"/>
    <mergeCell ref="AH264:AH265"/>
    <mergeCell ref="AC268:AC269"/>
    <mergeCell ref="AD268:AD269"/>
    <mergeCell ref="J304:J305"/>
    <mergeCell ref="AD286:AD287"/>
    <mergeCell ref="AA238:AA239"/>
    <mergeCell ref="AK258:AK259"/>
    <mergeCell ref="J286:J287"/>
    <mergeCell ref="AK238:AK239"/>
    <mergeCell ref="J254:J255"/>
    <mergeCell ref="N254:N255"/>
    <mergeCell ref="Y246:Y247"/>
    <mergeCell ref="AA246:AA247"/>
    <mergeCell ref="AB246:AB247"/>
    <mergeCell ref="AC248:AC249"/>
    <mergeCell ref="Y242:Y243"/>
    <mergeCell ref="AA242:AA243"/>
    <mergeCell ref="AB242:AB243"/>
    <mergeCell ref="AC242:AC243"/>
    <mergeCell ref="AD242:AD243"/>
    <mergeCell ref="AF242:AF243"/>
    <mergeCell ref="AG292:AG293"/>
    <mergeCell ref="AK294:AK295"/>
    <mergeCell ref="AK296:AK297"/>
    <mergeCell ref="AG268:AG269"/>
    <mergeCell ref="AH268:AH269"/>
    <mergeCell ref="AJ272:AJ273"/>
    <mergeCell ref="AJ274:AJ275"/>
    <mergeCell ref="AJ262:AJ263"/>
    <mergeCell ref="AJ264:AJ265"/>
    <mergeCell ref="AJ266:AJ267"/>
    <mergeCell ref="AH276:AH277"/>
    <mergeCell ref="AK264:AK265"/>
    <mergeCell ref="AI264:AI265"/>
    <mergeCell ref="N266:N267"/>
    <mergeCell ref="Y266:Y267"/>
    <mergeCell ref="AA266:AA267"/>
    <mergeCell ref="AB266:AB267"/>
    <mergeCell ref="AC266:AC267"/>
    <mergeCell ref="AD266:AD267"/>
    <mergeCell ref="AF266:AF267"/>
    <mergeCell ref="AH304:AH305"/>
    <mergeCell ref="E292:E293"/>
    <mergeCell ref="N270:N271"/>
    <mergeCell ref="E286:E287"/>
    <mergeCell ref="F286:F287"/>
    <mergeCell ref="AL304:AL305"/>
    <mergeCell ref="AI302:AI303"/>
    <mergeCell ref="AK266:AK267"/>
    <mergeCell ref="AL266:AL267"/>
    <mergeCell ref="E306:E307"/>
    <mergeCell ref="F306:F307"/>
    <mergeCell ref="J306:J307"/>
    <mergeCell ref="N306:N307"/>
    <mergeCell ref="AL414:AL415"/>
    <mergeCell ref="E418:E419"/>
    <mergeCell ref="F418:F419"/>
    <mergeCell ref="J418:J419"/>
    <mergeCell ref="N418:N419"/>
    <mergeCell ref="N426:N427"/>
    <mergeCell ref="AG428:AG429"/>
    <mergeCell ref="AH428:AH429"/>
    <mergeCell ref="AI428:AI429"/>
    <mergeCell ref="AK428:AK429"/>
    <mergeCell ref="AL428:AL429"/>
    <mergeCell ref="AJ418:AJ419"/>
    <mergeCell ref="AJ420:AJ421"/>
    <mergeCell ref="AJ422:AJ423"/>
    <mergeCell ref="E404:E405"/>
    <mergeCell ref="E416:E417"/>
    <mergeCell ref="AB262:AB263"/>
    <mergeCell ref="AI266:AI267"/>
    <mergeCell ref="F264:F265"/>
    <mergeCell ref="Y280:Y281"/>
    <mergeCell ref="AA280:AA281"/>
    <mergeCell ref="AB280:AB281"/>
    <mergeCell ref="AA326:AA327"/>
    <mergeCell ref="J266:J267"/>
    <mergeCell ref="AA264:AA265"/>
    <mergeCell ref="AB264:AB265"/>
    <mergeCell ref="AC264:AC265"/>
    <mergeCell ref="AD264:AD265"/>
    <mergeCell ref="AF272:AF273"/>
    <mergeCell ref="AG272:AG273"/>
    <mergeCell ref="AH272:AH273"/>
    <mergeCell ref="AI272:AI273"/>
    <mergeCell ref="AG274:AG275"/>
    <mergeCell ref="AB336:AB337"/>
    <mergeCell ref="AC336:AC337"/>
    <mergeCell ref="AD336:AD337"/>
    <mergeCell ref="AF336:AF337"/>
    <mergeCell ref="AG336:AG337"/>
    <mergeCell ref="AH336:AH337"/>
    <mergeCell ref="AI336:AI337"/>
    <mergeCell ref="AJ336:AJ337"/>
    <mergeCell ref="AK336:AK337"/>
    <mergeCell ref="E298:E299"/>
    <mergeCell ref="F328:F329"/>
    <mergeCell ref="J328:J329"/>
    <mergeCell ref="N328:N329"/>
    <mergeCell ref="AB328:AB329"/>
    <mergeCell ref="AC328:AC329"/>
    <mergeCell ref="J296:J297"/>
    <mergeCell ref="J264:J265"/>
    <mergeCell ref="E268:E269"/>
    <mergeCell ref="F292:F293"/>
    <mergeCell ref="J292:J293"/>
    <mergeCell ref="J274:J275"/>
    <mergeCell ref="N274:N275"/>
    <mergeCell ref="Y274:Y275"/>
    <mergeCell ref="AA274:AA275"/>
    <mergeCell ref="E304:E305"/>
    <mergeCell ref="E428:E429"/>
    <mergeCell ref="E422:E423"/>
    <mergeCell ref="E344:E345"/>
    <mergeCell ref="F344:F345"/>
    <mergeCell ref="E342:E343"/>
    <mergeCell ref="E438:E439"/>
    <mergeCell ref="E430:E431"/>
    <mergeCell ref="F430:F431"/>
    <mergeCell ref="E412:E413"/>
    <mergeCell ref="E414:E415"/>
    <mergeCell ref="F412:F413"/>
    <mergeCell ref="J412:J413"/>
    <mergeCell ref="N412:N413"/>
    <mergeCell ref="AK274:AK275"/>
    <mergeCell ref="E444:E445"/>
    <mergeCell ref="F322:F323"/>
    <mergeCell ref="AC322:AC323"/>
    <mergeCell ref="AG310:AG311"/>
    <mergeCell ref="AH310:AH311"/>
    <mergeCell ref="AL274:AL275"/>
    <mergeCell ref="AM448:AM449"/>
    <mergeCell ref="AA462:AA463"/>
    <mergeCell ref="AG472:AG473"/>
    <mergeCell ref="AI539:AI540"/>
    <mergeCell ref="N484:N485"/>
    <mergeCell ref="Y484:Y485"/>
    <mergeCell ref="AA484:AA485"/>
    <mergeCell ref="AB484:AB485"/>
    <mergeCell ref="AC484:AC485"/>
    <mergeCell ref="AG464:AG465"/>
    <mergeCell ref="AJ448:AJ449"/>
    <mergeCell ref="AC436:AC437"/>
    <mergeCell ref="AD436:AD437"/>
    <mergeCell ref="AF436:AF437"/>
    <mergeCell ref="AG436:AG437"/>
    <mergeCell ref="E340:E341"/>
    <mergeCell ref="Y336:Y337"/>
    <mergeCell ref="AA336:AA337"/>
    <mergeCell ref="AL332:AL333"/>
    <mergeCell ref="AJ326:AJ327"/>
    <mergeCell ref="AJ328:AJ329"/>
    <mergeCell ref="AJ330:AJ331"/>
    <mergeCell ref="AJ332:AJ333"/>
    <mergeCell ref="E334:E335"/>
    <mergeCell ref="F334:F335"/>
    <mergeCell ref="J334:J335"/>
    <mergeCell ref="N334:N335"/>
    <mergeCell ref="Y334:Y335"/>
    <mergeCell ref="AA334:AA335"/>
    <mergeCell ref="AB334:AB335"/>
    <mergeCell ref="AC334:AC335"/>
    <mergeCell ref="AD334:AD335"/>
    <mergeCell ref="AF334:AF335"/>
    <mergeCell ref="AG334:AG335"/>
    <mergeCell ref="AH334:AH335"/>
    <mergeCell ref="AI334:AI335"/>
    <mergeCell ref="AJ334:AJ335"/>
    <mergeCell ref="AK334:AK335"/>
    <mergeCell ref="Y318:Y319"/>
    <mergeCell ref="AL412:AL413"/>
    <mergeCell ref="AL436:AL437"/>
    <mergeCell ref="AD470:AD471"/>
    <mergeCell ref="AB482:AB483"/>
    <mergeCell ref="E450:E451"/>
    <mergeCell ref="J450:J451"/>
    <mergeCell ref="E498:E499"/>
    <mergeCell ref="F498:F499"/>
    <mergeCell ref="E508:E509"/>
    <mergeCell ref="AB504:AB505"/>
    <mergeCell ref="AL456:AL457"/>
    <mergeCell ref="F452:F453"/>
    <mergeCell ref="J452:J453"/>
    <mergeCell ref="N452:N453"/>
    <mergeCell ref="Y452:Y453"/>
    <mergeCell ref="AA452:AA453"/>
    <mergeCell ref="F454:F455"/>
    <mergeCell ref="J454:J455"/>
    <mergeCell ref="N454:N455"/>
    <mergeCell ref="Y454:Y455"/>
    <mergeCell ref="J456:J457"/>
    <mergeCell ref="N456:N457"/>
    <mergeCell ref="AJ450:AJ451"/>
    <mergeCell ref="AL472:AL473"/>
    <mergeCell ref="AL452:AL453"/>
    <mergeCell ref="E452:E453"/>
    <mergeCell ref="J470:J471"/>
    <mergeCell ref="Y482:Y483"/>
    <mergeCell ref="E502:E503"/>
    <mergeCell ref="AD516:AD517"/>
    <mergeCell ref="AF516:AF517"/>
    <mergeCell ref="AG516:AG517"/>
    <mergeCell ref="AH516:AH517"/>
    <mergeCell ref="E504:E505"/>
    <mergeCell ref="E506:E507"/>
    <mergeCell ref="E510:E511"/>
    <mergeCell ref="F510:F511"/>
    <mergeCell ref="F506:F507"/>
    <mergeCell ref="J506:J507"/>
    <mergeCell ref="N506:N507"/>
    <mergeCell ref="AI516:AI517"/>
    <mergeCell ref="AJ516:AJ517"/>
    <mergeCell ref="AK458:AK459"/>
    <mergeCell ref="N498:N499"/>
    <mergeCell ref="AF492:AF493"/>
    <mergeCell ref="AG492:AG493"/>
    <mergeCell ref="N480:N481"/>
    <mergeCell ref="AA488:AA489"/>
    <mergeCell ref="AB488:AB489"/>
    <mergeCell ref="AC488:AC489"/>
    <mergeCell ref="AD488:AD489"/>
    <mergeCell ref="AK488:AK489"/>
    <mergeCell ref="AL488:AL489"/>
    <mergeCell ref="Y506:Y507"/>
    <mergeCell ref="J508:J509"/>
    <mergeCell ref="AK490:AK491"/>
    <mergeCell ref="AG506:AG507"/>
    <mergeCell ref="AK498:AK499"/>
    <mergeCell ref="AH498:AH499"/>
    <mergeCell ref="AC506:AC507"/>
    <mergeCell ref="AD506:AD507"/>
    <mergeCell ref="AF506:AF507"/>
    <mergeCell ref="AJ508:AJ509"/>
    <mergeCell ref="AI498:AI499"/>
    <mergeCell ref="AO478:AO479"/>
    <mergeCell ref="AF488:AF489"/>
    <mergeCell ref="AG488:AG489"/>
    <mergeCell ref="AB545:AB546"/>
    <mergeCell ref="AC537:AC538"/>
    <mergeCell ref="AD537:AD538"/>
    <mergeCell ref="AF537:AF538"/>
    <mergeCell ref="AI549:AI550"/>
    <mergeCell ref="AI559:AI560"/>
    <mergeCell ref="AH585:AH586"/>
    <mergeCell ref="AI585:AI586"/>
    <mergeCell ref="AO575:AO576"/>
    <mergeCell ref="AI575:AI576"/>
    <mergeCell ref="AK575:AK576"/>
    <mergeCell ref="AO583:AO584"/>
    <mergeCell ref="AJ641:AJ642"/>
    <mergeCell ref="AK641:AK642"/>
    <mergeCell ref="AL641:AL642"/>
    <mergeCell ref="AM641:AM642"/>
    <mergeCell ref="AO641:AO642"/>
    <mergeCell ref="AH623:AH624"/>
    <mergeCell ref="AO629:AO630"/>
    <mergeCell ref="AM629:AM630"/>
    <mergeCell ref="AM613:AM614"/>
    <mergeCell ref="Y539:Y540"/>
    <mergeCell ref="AA539:AA540"/>
    <mergeCell ref="AB539:AB540"/>
    <mergeCell ref="AC539:AC540"/>
    <mergeCell ref="AD539:AD540"/>
    <mergeCell ref="AF539:AF540"/>
    <mergeCell ref="AG539:AG540"/>
    <mergeCell ref="AC533:AC534"/>
    <mergeCell ref="Y533:Y534"/>
    <mergeCell ref="AD533:AD534"/>
    <mergeCell ref="AF533:AF534"/>
    <mergeCell ref="AJ520:AJ521"/>
    <mergeCell ref="AB537:AB538"/>
    <mergeCell ref="AH539:AH540"/>
    <mergeCell ref="AG585:AG586"/>
    <mergeCell ref="AG577:AG578"/>
    <mergeCell ref="AG551:AG552"/>
    <mergeCell ref="AG547:AG548"/>
    <mergeCell ref="AD585:AD586"/>
    <mergeCell ref="AH551:AH552"/>
    <mergeCell ref="AI551:AI552"/>
    <mergeCell ref="AM498:AM499"/>
    <mergeCell ref="AO498:AO499"/>
    <mergeCell ref="AH512:AH513"/>
    <mergeCell ref="AI512:AI513"/>
    <mergeCell ref="AJ512:AJ513"/>
    <mergeCell ref="AD635:AD636"/>
    <mergeCell ref="AF635:AF636"/>
    <mergeCell ref="AG635:AG636"/>
    <mergeCell ref="AH635:AH636"/>
    <mergeCell ref="AI635:AI636"/>
    <mergeCell ref="AL587:AL588"/>
    <mergeCell ref="Y591:Y592"/>
    <mergeCell ref="AD593:AD594"/>
    <mergeCell ref="AF593:AF594"/>
    <mergeCell ref="AG593:AG594"/>
    <mergeCell ref="AH593:AH594"/>
    <mergeCell ref="AC619:AC620"/>
    <mergeCell ref="AD619:AD620"/>
    <mergeCell ref="AF619:AF620"/>
    <mergeCell ref="N741:N742"/>
    <mergeCell ref="Y741:Y742"/>
    <mergeCell ref="AJ637:AJ638"/>
    <mergeCell ref="AK637:AK638"/>
    <mergeCell ref="AB593:AB594"/>
    <mergeCell ref="AC593:AC594"/>
    <mergeCell ref="AH599:AH600"/>
    <mergeCell ref="AH601:AH602"/>
    <mergeCell ref="AH676:AH677"/>
    <mergeCell ref="AK674:AK675"/>
    <mergeCell ref="AG733:AG734"/>
    <mergeCell ref="AH733:AH734"/>
    <mergeCell ref="N684:N685"/>
    <mergeCell ref="Y684:Y685"/>
    <mergeCell ref="AA684:AA685"/>
    <mergeCell ref="AB684:AB685"/>
    <mergeCell ref="AC684:AC685"/>
    <mergeCell ref="AD684:AD685"/>
    <mergeCell ref="AF684:AF685"/>
    <mergeCell ref="AG684:AG685"/>
    <mergeCell ref="AG619:AG620"/>
    <mergeCell ref="AF662:AF663"/>
    <mergeCell ref="AG662:AG663"/>
    <mergeCell ref="AA656:AA657"/>
    <mergeCell ref="AB569:AB570"/>
    <mergeCell ref="AC569:AC570"/>
    <mergeCell ref="AI731:AI732"/>
    <mergeCell ref="AJ731:AJ732"/>
    <mergeCell ref="AK731:AK732"/>
    <mergeCell ref="AL731:AL732"/>
    <mergeCell ref="AA725:AA726"/>
    <mergeCell ref="N583:N584"/>
    <mergeCell ref="AH739:AH740"/>
    <mergeCell ref="AI739:AI740"/>
    <mergeCell ref="AD721:AD722"/>
    <mergeCell ref="AF721:AF722"/>
    <mergeCell ref="AG721:AG722"/>
    <mergeCell ref="AH721:AH722"/>
    <mergeCell ref="AL727:AL728"/>
    <mergeCell ref="AL583:AL584"/>
    <mergeCell ref="AL676:AL677"/>
    <mergeCell ref="AK666:AK667"/>
    <mergeCell ref="AL666:AL667"/>
    <mergeCell ref="AK658:AK659"/>
    <mergeCell ref="AL658:AL659"/>
    <mergeCell ref="N639:N640"/>
    <mergeCell ref="Y639:Y640"/>
    <mergeCell ref="AA639:AA640"/>
    <mergeCell ref="AB639:AB640"/>
    <mergeCell ref="AC639:AC640"/>
    <mergeCell ref="AD639:AD640"/>
    <mergeCell ref="AF639:AF640"/>
    <mergeCell ref="AJ569:AJ570"/>
    <mergeCell ref="AJ571:AJ572"/>
    <mergeCell ref="Y705:Y706"/>
    <mergeCell ref="AI707:AI708"/>
    <mergeCell ref="AG713:AG714"/>
    <mergeCell ref="AH713:AH714"/>
    <mergeCell ref="N723:N724"/>
    <mergeCell ref="Y723:Y724"/>
    <mergeCell ref="AL711:AL712"/>
    <mergeCell ref="AJ721:AJ722"/>
    <mergeCell ref="AJ723:AJ724"/>
    <mergeCell ref="AB717:AB718"/>
    <mergeCell ref="AL1130:AL1131"/>
    <mergeCell ref="AK1245:AK1246"/>
    <mergeCell ref="AK1205:AK1206"/>
    <mergeCell ref="AJ1176:AJ1177"/>
    <mergeCell ref="AK1176:AK1177"/>
    <mergeCell ref="AI892:AI893"/>
    <mergeCell ref="AI890:AI891"/>
    <mergeCell ref="AL959:AL960"/>
    <mergeCell ref="AL975:AL976"/>
    <mergeCell ref="AH945:AH946"/>
    <mergeCell ref="AI945:AI946"/>
    <mergeCell ref="AJ945:AJ946"/>
    <mergeCell ref="AK561:AK562"/>
    <mergeCell ref="AI593:AI594"/>
    <mergeCell ref="AH571:AH572"/>
    <mergeCell ref="AK583:AK584"/>
    <mergeCell ref="AJ573:AJ574"/>
    <mergeCell ref="AB583:AB584"/>
    <mergeCell ref="Y611:Y612"/>
    <mergeCell ref="AA611:AA612"/>
    <mergeCell ref="AB607:AB608"/>
    <mergeCell ref="AI605:AI606"/>
    <mergeCell ref="AK607:AK608"/>
    <mergeCell ref="AG565:AG566"/>
    <mergeCell ref="AB571:AB572"/>
    <mergeCell ref="AC571:AC572"/>
    <mergeCell ref="AD571:AD572"/>
    <mergeCell ref="Y587:Y588"/>
    <mergeCell ref="AA587:AA588"/>
    <mergeCell ref="AB587:AB588"/>
    <mergeCell ref="AK595:AK596"/>
    <mergeCell ref="AI597:AI598"/>
    <mergeCell ref="AJ615:AJ616"/>
    <mergeCell ref="AI613:AI614"/>
    <mergeCell ref="AK613:AK614"/>
    <mergeCell ref="AH605:AH606"/>
    <mergeCell ref="AA591:AA592"/>
    <mergeCell ref="AB591:AB592"/>
    <mergeCell ref="AC591:AC592"/>
    <mergeCell ref="AD591:AD592"/>
    <mergeCell ref="AG599:AG600"/>
    <mergeCell ref="AK587:AK588"/>
    <mergeCell ref="AG587:AG588"/>
    <mergeCell ref="AJ595:AJ596"/>
    <mergeCell ref="AD613:AD614"/>
    <mergeCell ref="Y664:Y665"/>
    <mergeCell ref="AA664:AA665"/>
    <mergeCell ref="AB581:AB582"/>
    <mergeCell ref="AC581:AC582"/>
    <mergeCell ref="AA573:AA574"/>
    <mergeCell ref="AK601:AK602"/>
    <mergeCell ref="AK585:AK586"/>
    <mergeCell ref="AK581:AK582"/>
    <mergeCell ref="AI583:AI584"/>
    <mergeCell ref="Y1213:Y1214"/>
    <mergeCell ref="AA1213:AA1214"/>
    <mergeCell ref="AB1213:AB1214"/>
    <mergeCell ref="AC1213:AC1214"/>
    <mergeCell ref="AD1213:AD1214"/>
    <mergeCell ref="AD1215:AD1216"/>
    <mergeCell ref="AF688:AF689"/>
    <mergeCell ref="AG688:AG689"/>
    <mergeCell ref="AH688:AH689"/>
    <mergeCell ref="AI688:AI689"/>
    <mergeCell ref="AA827:AA828"/>
    <mergeCell ref="AB827:AB828"/>
    <mergeCell ref="AK1213:AK1214"/>
    <mergeCell ref="AL1217:AL1218"/>
    <mergeCell ref="AG1170:AG1171"/>
    <mergeCell ref="AF1211:AF1212"/>
    <mergeCell ref="AL1303:AL1304"/>
    <mergeCell ref="AK1285:AK1286"/>
    <mergeCell ref="AL1273:AL1274"/>
    <mergeCell ref="AB1273:AB1274"/>
    <mergeCell ref="AC1255:AC1256"/>
    <mergeCell ref="AH1271:AH1272"/>
    <mergeCell ref="AI1235:AI1236"/>
    <mergeCell ref="AK1235:AK1236"/>
    <mergeCell ref="AK1128:AK1129"/>
    <mergeCell ref="J1241:J1242"/>
    <mergeCell ref="AD823:AD824"/>
    <mergeCell ref="AF823:AF824"/>
    <mergeCell ref="AB821:AB822"/>
    <mergeCell ref="AA741:AA742"/>
    <mergeCell ref="N731:N732"/>
    <mergeCell ref="Y731:Y732"/>
    <mergeCell ref="AC1207:AC1208"/>
    <mergeCell ref="AL1259:AL1260"/>
    <mergeCell ref="AF1253:AF1254"/>
    <mergeCell ref="AG1253:AG1254"/>
    <mergeCell ref="AH1253:AH1254"/>
    <mergeCell ref="AI1253:AI1254"/>
    <mergeCell ref="AF1255:AF1256"/>
    <mergeCell ref="AG1255:AG1256"/>
    <mergeCell ref="J1203:J1204"/>
    <mergeCell ref="AB1034:AB1035"/>
    <mergeCell ref="Y959:Y960"/>
    <mergeCell ref="AA959:AA960"/>
    <mergeCell ref="AG1201:AG1202"/>
    <mergeCell ref="AB1205:AB1206"/>
    <mergeCell ref="N1203:N1204"/>
    <mergeCell ref="Y1203:Y1204"/>
    <mergeCell ref="AA1203:AA1204"/>
    <mergeCell ref="AB1203:AB1204"/>
    <mergeCell ref="AC1203:AC1204"/>
    <mergeCell ref="AA1134:AA1135"/>
    <mergeCell ref="AD1203:AD1204"/>
    <mergeCell ref="AF1203:AF1204"/>
    <mergeCell ref="AD898:AD899"/>
    <mergeCell ref="AF898:AF899"/>
    <mergeCell ref="AG898:AG899"/>
    <mergeCell ref="AH898:AH899"/>
    <mergeCell ref="N1128:N1129"/>
    <mergeCell ref="Y1128:Y1129"/>
    <mergeCell ref="AA1128:AA1129"/>
    <mergeCell ref="AB1128:AB1129"/>
    <mergeCell ref="AC1128:AC1129"/>
    <mergeCell ref="AD1128:AD1129"/>
    <mergeCell ref="AF1128:AF1129"/>
    <mergeCell ref="AG1128:AG1129"/>
    <mergeCell ref="AH1128:AH1129"/>
    <mergeCell ref="AH1091:AH1092"/>
    <mergeCell ref="AG1089:AG1090"/>
    <mergeCell ref="AH1089:AH1090"/>
    <mergeCell ref="AC1091:AC1092"/>
    <mergeCell ref="AD1091:AD1092"/>
    <mergeCell ref="AF1091:AF1092"/>
    <mergeCell ref="AC1085:AC1086"/>
    <mergeCell ref="AJ1275:AJ1276"/>
    <mergeCell ref="N1261:N1262"/>
    <mergeCell ref="AL1265:AL1266"/>
    <mergeCell ref="F1255:F1256"/>
    <mergeCell ref="AG1301:AG1302"/>
    <mergeCell ref="J1231:J1232"/>
    <mergeCell ref="AB1233:AB1234"/>
    <mergeCell ref="J1295:J1296"/>
    <mergeCell ref="N1295:N1296"/>
    <mergeCell ref="AJ1253:AJ1254"/>
    <mergeCell ref="E1233:E1234"/>
    <mergeCell ref="F1239:F1240"/>
    <mergeCell ref="J1239:J1240"/>
    <mergeCell ref="N1239:N1240"/>
    <mergeCell ref="Y1239:Y1240"/>
    <mergeCell ref="AA1239:AA1240"/>
    <mergeCell ref="AD1243:AD1244"/>
    <mergeCell ref="AJ1233:AJ1234"/>
    <mergeCell ref="N1241:N1242"/>
    <mergeCell ref="AD1273:AD1274"/>
    <mergeCell ref="AF1273:AF1274"/>
    <mergeCell ref="AG1273:AG1274"/>
    <mergeCell ref="AH1273:AH1274"/>
    <mergeCell ref="AI1273:AI1274"/>
    <mergeCell ref="AK1273:AK1274"/>
    <mergeCell ref="AL1275:AL1276"/>
    <mergeCell ref="AI1241:AI1242"/>
    <mergeCell ref="AB1364:AB1365"/>
    <mergeCell ref="AC1364:AC1365"/>
    <mergeCell ref="AL1366:AL1367"/>
    <mergeCell ref="AJ1366:AJ1367"/>
    <mergeCell ref="AF1362:AF1363"/>
    <mergeCell ref="AH705:AH706"/>
    <mergeCell ref="AA1199:AA1200"/>
    <mergeCell ref="AB1199:AB1200"/>
    <mergeCell ref="AC1199:AC1200"/>
    <mergeCell ref="AC1205:AC1206"/>
    <mergeCell ref="AD1205:AD1206"/>
    <mergeCell ref="AF1205:AF1206"/>
    <mergeCell ref="AG1205:AG1206"/>
    <mergeCell ref="AD809:AD810"/>
    <mergeCell ref="AL1251:AL1252"/>
    <mergeCell ref="AK1255:AK1256"/>
    <mergeCell ref="AL1255:AL1256"/>
    <mergeCell ref="AK1257:AK1258"/>
    <mergeCell ref="AL1257:AL1258"/>
    <mergeCell ref="AB1253:AB1254"/>
    <mergeCell ref="AC1253:AC1254"/>
    <mergeCell ref="AG1269:AG1270"/>
    <mergeCell ref="AH1269:AH1270"/>
    <mergeCell ref="AL1263:AL1264"/>
    <mergeCell ref="AA1255:AA1256"/>
    <mergeCell ref="AB1255:AB1256"/>
    <mergeCell ref="AI1255:AI1256"/>
    <mergeCell ref="AG1251:AG1252"/>
    <mergeCell ref="AK1217:AK1218"/>
    <mergeCell ref="AJ1199:AJ1200"/>
    <mergeCell ref="AJ1201:AJ1202"/>
    <mergeCell ref="AI1217:AI1218"/>
    <mergeCell ref="AH1205:AH1206"/>
    <mergeCell ref="AI1205:AI1206"/>
    <mergeCell ref="AF1201:AF1202"/>
    <mergeCell ref="AA1237:AA1238"/>
    <mergeCell ref="AB1237:AB1238"/>
    <mergeCell ref="AB1406:AB1407"/>
    <mergeCell ref="AC1406:AC1407"/>
    <mergeCell ref="AB1426:AB1427"/>
    <mergeCell ref="AC1426:AC1427"/>
    <mergeCell ref="AK1297:AK1298"/>
    <mergeCell ref="AG1287:AG1288"/>
    <mergeCell ref="AA1321:AA1322"/>
    <mergeCell ref="AA1339:AA1340"/>
    <mergeCell ref="AA1307:AA1308"/>
    <mergeCell ref="AB1307:AB1308"/>
    <mergeCell ref="AK1319:AK1320"/>
    <mergeCell ref="AB1410:AB1411"/>
    <mergeCell ref="AC1410:AC1411"/>
    <mergeCell ref="AD1410:AD1411"/>
    <mergeCell ref="AI1364:AI1365"/>
    <mergeCell ref="AJ1388:AJ1389"/>
    <mergeCell ref="AK1388:AK1389"/>
    <mergeCell ref="AA1295:AA1296"/>
    <mergeCell ref="AB1295:AB1296"/>
    <mergeCell ref="AC1295:AC1296"/>
    <mergeCell ref="AD1295:AD1296"/>
    <mergeCell ref="AF1295:AF1296"/>
    <mergeCell ref="AG1295:AG1296"/>
    <mergeCell ref="AC1315:AC1316"/>
    <mergeCell ref="AD1315:AD1316"/>
    <mergeCell ref="AF1315:AF1316"/>
    <mergeCell ref="AG1315:AG1316"/>
    <mergeCell ref="AK1321:AK1322"/>
    <mergeCell ref="AG1384:AG1385"/>
    <mergeCell ref="AH1384:AH1385"/>
    <mergeCell ref="AJ1317:AJ1318"/>
    <mergeCell ref="AK1317:AK1318"/>
    <mergeCell ref="AI1370:AI1371"/>
    <mergeCell ref="AK1364:AK1365"/>
    <mergeCell ref="AD1364:AD1365"/>
    <mergeCell ref="AJ1341:AJ1342"/>
    <mergeCell ref="AK1341:AK1342"/>
    <mergeCell ref="AG1370:AG1371"/>
    <mergeCell ref="AA1380:AA1381"/>
    <mergeCell ref="AH1301:AH1302"/>
    <mergeCell ref="AI1301:AI1302"/>
    <mergeCell ref="AK1301:AK1302"/>
    <mergeCell ref="AC1386:AC1387"/>
    <mergeCell ref="AD1386:AD1387"/>
    <mergeCell ref="AF1386:AF1387"/>
    <mergeCell ref="AG1386:AG1387"/>
    <mergeCell ref="AH1386:AH1387"/>
    <mergeCell ref="AG1420:AG1421"/>
    <mergeCell ref="AH1420:AH1421"/>
    <mergeCell ref="AI1420:AI1421"/>
    <mergeCell ref="AK1359:AK1360"/>
    <mergeCell ref="AK1400:AK1401"/>
    <mergeCell ref="AF1287:AF1288"/>
    <mergeCell ref="AJ1287:AJ1288"/>
    <mergeCell ref="Y2036:Y2037"/>
    <mergeCell ref="AA2036:AA2037"/>
    <mergeCell ref="F2175:F2176"/>
    <mergeCell ref="N2169:N2170"/>
    <mergeCell ref="AB2163:AB2164"/>
    <mergeCell ref="J2171:J2172"/>
    <mergeCell ref="N2171:N2172"/>
    <mergeCell ref="AB2175:AB2176"/>
    <mergeCell ref="AC2175:AC2176"/>
    <mergeCell ref="AK2169:AK2170"/>
    <mergeCell ref="AF2163:AF2164"/>
    <mergeCell ref="Y2044:Y2045"/>
    <mergeCell ref="AA2044:AA2045"/>
    <mergeCell ref="AB2044:AB2045"/>
    <mergeCell ref="AC2044:AC2045"/>
    <mergeCell ref="AD2044:AD2045"/>
    <mergeCell ref="J1921:J1922"/>
    <mergeCell ref="Y2006:Y2007"/>
    <mergeCell ref="AK2006:AK2007"/>
    <mergeCell ref="AJ1913:AJ1914"/>
    <mergeCell ref="AJ1915:AJ1916"/>
    <mergeCell ref="AJ1917:AJ1918"/>
    <mergeCell ref="J1963:J1964"/>
    <mergeCell ref="J1929:J1930"/>
    <mergeCell ref="N1929:N1930"/>
    <mergeCell ref="N2002:N2003"/>
    <mergeCell ref="Y1903:Y1904"/>
    <mergeCell ref="AA1903:AA1904"/>
    <mergeCell ref="N1913:N1914"/>
    <mergeCell ref="AA1933:AA1934"/>
    <mergeCell ref="AB2000:AB2001"/>
    <mergeCell ref="AH2038:AH2039"/>
    <mergeCell ref="AI2038:AI2039"/>
    <mergeCell ref="AD2038:AD2039"/>
    <mergeCell ref="AK2044:AK2045"/>
    <mergeCell ref="J2020:J2021"/>
    <mergeCell ref="AC2054:AC2055"/>
    <mergeCell ref="AD2054:AD2055"/>
    <mergeCell ref="AF2054:AF2055"/>
    <mergeCell ref="AG2054:AG2055"/>
    <mergeCell ref="AJ2080:AJ2081"/>
    <mergeCell ref="AK2080:AK2081"/>
    <mergeCell ref="AF2149:AF2150"/>
    <mergeCell ref="AD1919:AD1920"/>
    <mergeCell ref="AF1919:AF1920"/>
    <mergeCell ref="AG1919:AG1920"/>
    <mergeCell ref="AJ1941:AJ1942"/>
    <mergeCell ref="AA2014:AA2015"/>
    <mergeCell ref="AB2014:AB2015"/>
    <mergeCell ref="AC2014:AC2015"/>
    <mergeCell ref="AD2006:AD2007"/>
    <mergeCell ref="AJ2006:AJ2007"/>
    <mergeCell ref="AJ2008:AJ2009"/>
    <mergeCell ref="AJ2010:AJ2011"/>
    <mergeCell ref="AJ2012:AJ2013"/>
    <mergeCell ref="AH1983:AH1984"/>
    <mergeCell ref="AI1983:AI1984"/>
    <mergeCell ref="AJ1983:AJ1984"/>
    <mergeCell ref="AD1400:AD1401"/>
    <mergeCell ref="AA1390:AA1391"/>
    <mergeCell ref="AB1390:AB1391"/>
    <mergeCell ref="Y2060:Y2061"/>
    <mergeCell ref="AA2060:AA2061"/>
    <mergeCell ref="AB2060:AB2061"/>
    <mergeCell ref="AC2060:AC2061"/>
    <mergeCell ref="AH2048:AH2049"/>
    <mergeCell ref="J2046:J2047"/>
    <mergeCell ref="N2046:N2047"/>
    <mergeCell ref="J2060:J2061"/>
    <mergeCell ref="N2060:N2061"/>
    <mergeCell ref="AK2046:AK2047"/>
    <mergeCell ref="AF2062:AF2063"/>
    <mergeCell ref="J2245:J2246"/>
    <mergeCell ref="AC2068:AC2069"/>
    <mergeCell ref="AD2068:AD2069"/>
    <mergeCell ref="AF2068:AF2069"/>
    <mergeCell ref="J2183:J2184"/>
    <mergeCell ref="J2197:J2198"/>
    <mergeCell ref="J2203:J2204"/>
    <mergeCell ref="Y2219:Y2220"/>
    <mergeCell ref="J2251:J2252"/>
    <mergeCell ref="AG2068:AG2069"/>
    <mergeCell ref="AK2173:AK2174"/>
    <mergeCell ref="AC2177:AC2178"/>
    <mergeCell ref="AJ2177:AJ2178"/>
    <mergeCell ref="F2267:F2268"/>
    <mergeCell ref="F2281:F2282"/>
    <mergeCell ref="F2277:F2278"/>
    <mergeCell ref="AJ2443:AJ2444"/>
    <mergeCell ref="N2411:N2412"/>
    <mergeCell ref="F1460:F1461"/>
    <mergeCell ref="AL2046:AL2047"/>
    <mergeCell ref="AL2127:AL2128"/>
    <mergeCell ref="AL2086:AL2087"/>
    <mergeCell ref="AL1975:AL1976"/>
    <mergeCell ref="AL2002:AL2003"/>
    <mergeCell ref="AL2014:AL2015"/>
    <mergeCell ref="J2169:J2170"/>
    <mergeCell ref="AI2159:AI2160"/>
    <mergeCell ref="AB2145:AB2146"/>
    <mergeCell ref="AC2145:AC2146"/>
    <mergeCell ref="AD2145:AD2146"/>
    <mergeCell ref="AF2145:AF2146"/>
    <mergeCell ref="AG2145:AG2146"/>
    <mergeCell ref="AD2147:AD2148"/>
    <mergeCell ref="AF2147:AF2148"/>
    <mergeCell ref="AD2163:AD2164"/>
    <mergeCell ref="AA2169:AA2170"/>
    <mergeCell ref="AB2169:AB2170"/>
    <mergeCell ref="AB2217:AB2218"/>
    <mergeCell ref="AC2217:AC2218"/>
    <mergeCell ref="AD2217:AD2218"/>
    <mergeCell ref="AF2171:AF2172"/>
    <mergeCell ref="AJ2173:AJ2174"/>
    <mergeCell ref="AA2171:AA2172"/>
    <mergeCell ref="AB2171:AB2172"/>
    <mergeCell ref="AC2171:AC2172"/>
    <mergeCell ref="AD2171:AD2172"/>
    <mergeCell ref="AA2219:AA2220"/>
    <mergeCell ref="AJ2191:AJ2192"/>
    <mergeCell ref="AJ2195:AJ2196"/>
    <mergeCell ref="AJ2197:AJ2198"/>
    <mergeCell ref="AG2207:AG2208"/>
    <mergeCell ref="AH2207:AH2208"/>
    <mergeCell ref="AI2207:AI2208"/>
    <mergeCell ref="J2066:J2067"/>
    <mergeCell ref="N2066:N2067"/>
    <mergeCell ref="AL2207:AL2208"/>
    <mergeCell ref="AJ2233:AJ2234"/>
    <mergeCell ref="AI2024:AI2025"/>
    <mergeCell ref="AK2024:AK2025"/>
    <mergeCell ref="AL2024:AL2025"/>
    <mergeCell ref="N2207:N2208"/>
    <mergeCell ref="Y2207:Y2208"/>
    <mergeCell ref="AA2207:AA2208"/>
    <mergeCell ref="AJ2181:AJ2182"/>
    <mergeCell ref="J2207:J2208"/>
    <mergeCell ref="AD2048:AD2049"/>
    <mergeCell ref="AA2153:AA2154"/>
    <mergeCell ref="AI2040:AI2041"/>
    <mergeCell ref="AJ2044:AJ2045"/>
    <mergeCell ref="J2042:J2043"/>
    <mergeCell ref="N2042:N2043"/>
    <mergeCell ref="AK2159:AK2160"/>
    <mergeCell ref="AI1448:AI1449"/>
    <mergeCell ref="Y2411:Y2412"/>
    <mergeCell ref="AD2141:AD2142"/>
    <mergeCell ref="AJ2401:AJ2402"/>
    <mergeCell ref="AJ2405:AJ2406"/>
    <mergeCell ref="AJ2407:AJ2408"/>
    <mergeCell ref="AJ2409:AJ2410"/>
    <mergeCell ref="AJ2411:AJ2412"/>
    <mergeCell ref="AJ2413:AJ2414"/>
    <mergeCell ref="AH2443:AH2444"/>
    <mergeCell ref="AI2443:AI2444"/>
    <mergeCell ref="AB2036:AB2037"/>
    <mergeCell ref="AH2018:AH2019"/>
    <mergeCell ref="AM1370:AM1371"/>
    <mergeCell ref="AB1384:AB1385"/>
    <mergeCell ref="AC1384:AC1385"/>
    <mergeCell ref="AD1384:AD1385"/>
    <mergeCell ref="AF1384:AF1385"/>
    <mergeCell ref="AC1428:AC1429"/>
    <mergeCell ref="AD1428:AD1429"/>
    <mergeCell ref="AD1452:AD1453"/>
    <mergeCell ref="AF1452:AF1453"/>
    <mergeCell ref="AB1452:AB1453"/>
    <mergeCell ref="AB1448:AB1449"/>
    <mergeCell ref="AC2223:AC2224"/>
    <mergeCell ref="AD2223:AD2224"/>
    <mergeCell ref="AF2223:AF2224"/>
    <mergeCell ref="AI2141:AI2142"/>
    <mergeCell ref="AK2141:AK2142"/>
    <mergeCell ref="J2333:J2334"/>
    <mergeCell ref="N2333:N2334"/>
    <mergeCell ref="Y2333:Y2334"/>
    <mergeCell ref="Y2439:Y2440"/>
    <mergeCell ref="AA2439:AA2440"/>
    <mergeCell ref="AK2437:AK2438"/>
    <mergeCell ref="AB2425:AB2426"/>
    <mergeCell ref="J2437:J2438"/>
    <mergeCell ref="AH2411:AH2412"/>
    <mergeCell ref="AI2431:AI2432"/>
    <mergeCell ref="AG2425:AG2426"/>
    <mergeCell ref="AI2439:AI2440"/>
    <mergeCell ref="J2405:J2406"/>
    <mergeCell ref="AJ2054:AJ2055"/>
    <mergeCell ref="AJ2060:AJ2061"/>
    <mergeCell ref="AJ2062:AJ2063"/>
    <mergeCell ref="AG2129:AG2130"/>
    <mergeCell ref="AH2129:AH2130"/>
    <mergeCell ref="AL2169:AL2170"/>
    <mergeCell ref="AL2381:AL2382"/>
    <mergeCell ref="AL2257:AL2258"/>
    <mergeCell ref="AA2333:AA2334"/>
    <mergeCell ref="AB2333:AB2334"/>
    <mergeCell ref="AC2333:AC2334"/>
    <mergeCell ref="AD2333:AD2334"/>
    <mergeCell ref="AF2333:AF2334"/>
    <mergeCell ref="AG2333:AG2334"/>
    <mergeCell ref="AH2333:AH2334"/>
    <mergeCell ref="AI2333:AI2334"/>
    <mergeCell ref="AJ2333:AJ2334"/>
    <mergeCell ref="AK2333:AK2334"/>
    <mergeCell ref="AL2333:AL2334"/>
    <mergeCell ref="AK2281:AK2282"/>
    <mergeCell ref="AB2253:AB2254"/>
    <mergeCell ref="AC2253:AC2254"/>
    <mergeCell ref="AD2253:AD2254"/>
    <mergeCell ref="AF2253:AF2254"/>
    <mergeCell ref="AH2243:AH2244"/>
    <mergeCell ref="AI2243:AI2244"/>
    <mergeCell ref="AD2251:AD2252"/>
    <mergeCell ref="AF2251:AF2252"/>
    <mergeCell ref="AD2249:AD2250"/>
    <mergeCell ref="AI2129:AI2130"/>
    <mergeCell ref="AK2129:AK2130"/>
    <mergeCell ref="AL2129:AL2130"/>
    <mergeCell ref="AI2195:AI2196"/>
    <mergeCell ref="AK2195:AK2196"/>
    <mergeCell ref="AG2141:AG2142"/>
    <mergeCell ref="AH2141:AH2142"/>
    <mergeCell ref="AB2151:AB2152"/>
    <mergeCell ref="AC2151:AC2152"/>
    <mergeCell ref="AD2151:AD2152"/>
    <mergeCell ref="AA2175:AA2176"/>
    <mergeCell ref="AF2173:AF2174"/>
    <mergeCell ref="AI2281:AI2282"/>
    <mergeCell ref="AL2243:AL2244"/>
    <mergeCell ref="AA2197:AA2198"/>
    <mergeCell ref="AK2175:AK2176"/>
    <mergeCell ref="AH2175:AH2176"/>
    <mergeCell ref="AL2189:AL2190"/>
    <mergeCell ref="AL2175:AL2176"/>
    <mergeCell ref="AF2195:AF2196"/>
    <mergeCell ref="AH2195:AH2196"/>
    <mergeCell ref="AK2219:AK2220"/>
    <mergeCell ref="AF2133:AF2134"/>
    <mergeCell ref="AG2133:AG2134"/>
    <mergeCell ref="AI2217:AI2218"/>
    <mergeCell ref="AK2209:AK2210"/>
    <mergeCell ref="AK2189:AK2190"/>
    <mergeCell ref="AK2177:AK2178"/>
    <mergeCell ref="AL2177:AL2178"/>
    <mergeCell ref="AB2209:AB2210"/>
    <mergeCell ref="AC2209:AC2210"/>
    <mergeCell ref="AD2209:AD2210"/>
    <mergeCell ref="AF2209:AF2210"/>
    <mergeCell ref="AA2155:AA2156"/>
    <mergeCell ref="AJ2217:AJ2218"/>
    <mergeCell ref="AD2267:AD2268"/>
    <mergeCell ref="AD2263:AD2264"/>
    <mergeCell ref="AF2263:AF2264"/>
    <mergeCell ref="AD2137:AD2138"/>
    <mergeCell ref="AC2036:AC2037"/>
    <mergeCell ref="AI1378:AI1379"/>
    <mergeCell ref="N2197:N2198"/>
    <mergeCell ref="AO1301:AO1302"/>
    <mergeCell ref="F1213:F1214"/>
    <mergeCell ref="N1223:N1224"/>
    <mergeCell ref="AI1285:AI1286"/>
    <mergeCell ref="F1261:F1262"/>
    <mergeCell ref="AH1279:AH1280"/>
    <mergeCell ref="AI1279:AI1280"/>
    <mergeCell ref="AJ1249:AJ1250"/>
    <mergeCell ref="J1269:J1270"/>
    <mergeCell ref="AK1241:AK1242"/>
    <mergeCell ref="F1253:F1254"/>
    <mergeCell ref="F1251:F1252"/>
    <mergeCell ref="AL1261:AL1262"/>
    <mergeCell ref="AL1239:AL1240"/>
    <mergeCell ref="AL1229:AL1230"/>
    <mergeCell ref="AH1225:AH1226"/>
    <mergeCell ref="AG1247:AG1248"/>
    <mergeCell ref="AH1247:AH1248"/>
    <mergeCell ref="AB1301:AB1302"/>
    <mergeCell ref="AB1257:AB1258"/>
    <mergeCell ref="AC1257:AC1258"/>
    <mergeCell ref="AD1257:AD1258"/>
    <mergeCell ref="AC2425:AC2426"/>
    <mergeCell ref="AD2874:AD2875"/>
    <mergeCell ref="AB2782:AB2783"/>
    <mergeCell ref="AC2782:AC2783"/>
    <mergeCell ref="AH2838:AH2839"/>
    <mergeCell ref="AI2838:AI2839"/>
    <mergeCell ref="AH2808:AH2809"/>
    <mergeCell ref="AG2818:AG2819"/>
    <mergeCell ref="AH2818:AH2819"/>
    <mergeCell ref="AI2818:AI2819"/>
    <mergeCell ref="AG2870:AG2871"/>
    <mergeCell ref="AK2864:AK2865"/>
    <mergeCell ref="AL2866:AL2867"/>
    <mergeCell ref="AD1442:AD1443"/>
    <mergeCell ref="AF1392:AF1393"/>
    <mergeCell ref="AG1392:AG1393"/>
    <mergeCell ref="AH1392:AH1393"/>
    <mergeCell ref="AI1392:AI1393"/>
    <mergeCell ref="AI1386:AI1387"/>
    <mergeCell ref="AJ1386:AJ1387"/>
    <mergeCell ref="AL1362:AL1363"/>
    <mergeCell ref="AM1339:AM1340"/>
    <mergeCell ref="AO1339:AO1340"/>
    <mergeCell ref="AC1289:AC1290"/>
    <mergeCell ref="AD1261:AD1262"/>
    <mergeCell ref="AI1436:AI1437"/>
    <mergeCell ref="AJ1436:AJ1437"/>
    <mergeCell ref="AK1436:AK1437"/>
    <mergeCell ref="AL1436:AL1437"/>
    <mergeCell ref="AM1436:AM1437"/>
    <mergeCell ref="AL1317:AL1318"/>
    <mergeCell ref="AG1402:AG1403"/>
    <mergeCell ref="AL1245:AL1246"/>
    <mergeCell ref="AO1424:AO1425"/>
    <mergeCell ref="AB2129:AB2130"/>
    <mergeCell ref="AC2129:AC2130"/>
    <mergeCell ref="AD2129:AD2130"/>
    <mergeCell ref="AF2129:AF2130"/>
    <mergeCell ref="AB1339:AB1340"/>
    <mergeCell ref="AC1339:AC1340"/>
    <mergeCell ref="AD1339:AD1340"/>
    <mergeCell ref="AJ1339:AJ1340"/>
    <mergeCell ref="AK1339:AK1340"/>
    <mergeCell ref="AL1339:AL1340"/>
    <mergeCell ref="AB1311:AB1312"/>
    <mergeCell ref="AC1311:AC1312"/>
    <mergeCell ref="AD1311:AD1312"/>
    <mergeCell ref="AF1311:AF1312"/>
    <mergeCell ref="AA1261:AA1262"/>
    <mergeCell ref="AD1255:AD1256"/>
    <mergeCell ref="AJ1251:AJ1252"/>
    <mergeCell ref="AK1251:AK1252"/>
    <mergeCell ref="AK1259:AK1260"/>
    <mergeCell ref="AJ1255:AJ1256"/>
    <mergeCell ref="AO1331:AO1332"/>
    <mergeCell ref="AM1301:AM1302"/>
    <mergeCell ref="E1289:E1290"/>
    <mergeCell ref="AF1261:AF1262"/>
    <mergeCell ref="AG1261:AG1262"/>
    <mergeCell ref="E1253:E1254"/>
    <mergeCell ref="N1285:N1286"/>
    <mergeCell ref="N1327:N1328"/>
    <mergeCell ref="E1301:E1302"/>
    <mergeCell ref="AJ1257:AJ1258"/>
    <mergeCell ref="AO1281:AO1282"/>
    <mergeCell ref="AH1277:AH1278"/>
    <mergeCell ref="AI1277:AI1278"/>
    <mergeCell ref="AL1297:AL1298"/>
    <mergeCell ref="AJ1285:AJ1286"/>
    <mergeCell ref="AL1285:AL1286"/>
    <mergeCell ref="AL1307:AL1308"/>
    <mergeCell ref="AL1321:AL1322"/>
    <mergeCell ref="AM1331:AM1332"/>
    <mergeCell ref="AD1309:AD1310"/>
    <mergeCell ref="AF1309:AF1310"/>
    <mergeCell ref="AG1309:AG1310"/>
    <mergeCell ref="AH1309:AH1310"/>
    <mergeCell ref="AI1309:AI1310"/>
    <mergeCell ref="AJ1309:AJ1310"/>
    <mergeCell ref="AK1309:AK1310"/>
    <mergeCell ref="AC1321:AC1322"/>
    <mergeCell ref="AD1321:AD1322"/>
    <mergeCell ref="AF1321:AF1322"/>
    <mergeCell ref="AG1321:AG1322"/>
    <mergeCell ref="AH1321:AH1322"/>
    <mergeCell ref="AI1321:AI1322"/>
    <mergeCell ref="AA1305:AA1306"/>
    <mergeCell ref="AG1307:AG1308"/>
    <mergeCell ref="AH1307:AH1308"/>
    <mergeCell ref="AB1287:AB1288"/>
    <mergeCell ref="AL1271:AL1272"/>
    <mergeCell ref="AI1269:AI1270"/>
    <mergeCell ref="AD1265:AD1266"/>
    <mergeCell ref="AF1265:AF1266"/>
    <mergeCell ref="AG1265:AG1266"/>
    <mergeCell ref="AH1265:AH1266"/>
    <mergeCell ref="AC1265:AC1266"/>
    <mergeCell ref="N1269:N1270"/>
    <mergeCell ref="J1255:J1256"/>
    <mergeCell ref="J1253:J1254"/>
    <mergeCell ref="AD1283:AD1284"/>
    <mergeCell ref="AF1283:AF1284"/>
    <mergeCell ref="N1024:N1025"/>
    <mergeCell ref="Y1022:Y1023"/>
    <mergeCell ref="AA1022:AA1023"/>
    <mergeCell ref="Y1024:Y1025"/>
    <mergeCell ref="N1034:N1035"/>
    <mergeCell ref="E1315:E1316"/>
    <mergeCell ref="AM1315:AM1316"/>
    <mergeCell ref="AO1315:AO1316"/>
    <mergeCell ref="E1321:E1322"/>
    <mergeCell ref="AJ1321:AJ1322"/>
    <mergeCell ref="E1323:E1324"/>
    <mergeCell ref="F1323:F1324"/>
    <mergeCell ref="J1323:J1324"/>
    <mergeCell ref="N1323:N1324"/>
    <mergeCell ref="AL1323:AL1324"/>
    <mergeCell ref="AM1323:AM1324"/>
    <mergeCell ref="AO1323:AO1324"/>
    <mergeCell ref="E1319:E1320"/>
    <mergeCell ref="F1319:F1320"/>
    <mergeCell ref="J1319:J1320"/>
    <mergeCell ref="AM1333:AM1334"/>
    <mergeCell ref="AO1333:AO1334"/>
    <mergeCell ref="E1337:E1338"/>
    <mergeCell ref="F1337:F1338"/>
    <mergeCell ref="J1337:J1338"/>
    <mergeCell ref="AH1337:AH1338"/>
    <mergeCell ref="AI1337:AI1338"/>
    <mergeCell ref="AJ1247:AJ1248"/>
    <mergeCell ref="AG1303:AG1304"/>
    <mergeCell ref="AH1303:AH1304"/>
    <mergeCell ref="AI1303:AI1304"/>
    <mergeCell ref="AC1305:AC1306"/>
    <mergeCell ref="AD1305:AD1306"/>
    <mergeCell ref="AF1305:AF1306"/>
    <mergeCell ref="AD1307:AD1308"/>
    <mergeCell ref="E1225:E1226"/>
    <mergeCell ref="F1225:F1226"/>
    <mergeCell ref="AD1225:AD1226"/>
    <mergeCell ref="AH1243:AH1244"/>
    <mergeCell ref="AI1243:AI1244"/>
    <mergeCell ref="AG1283:AG1284"/>
    <mergeCell ref="AK1279:AK1280"/>
    <mergeCell ref="AL1279:AL1280"/>
    <mergeCell ref="AC1269:AC1270"/>
    <mergeCell ref="AD1269:AD1270"/>
    <mergeCell ref="AF1269:AF1270"/>
    <mergeCell ref="AC1271:AC1272"/>
    <mergeCell ref="N1267:N1268"/>
    <mergeCell ref="Y1267:Y1268"/>
    <mergeCell ref="N1279:N1280"/>
    <mergeCell ref="Y1279:Y1280"/>
    <mergeCell ref="AA1279:AA1280"/>
    <mergeCell ref="E1257:E1258"/>
    <mergeCell ref="Y1241:Y1242"/>
    <mergeCell ref="AA1241:AA1242"/>
    <mergeCell ref="AB1241:AB1242"/>
    <mergeCell ref="J1261:J1262"/>
    <mergeCell ref="AC1251:AC1252"/>
    <mergeCell ref="AD1251:AD1252"/>
    <mergeCell ref="N1253:N1254"/>
    <mergeCell ref="Y1253:Y1254"/>
    <mergeCell ref="AA1253:AA1254"/>
    <mergeCell ref="AC1283:AC1284"/>
    <mergeCell ref="AB1267:AB1268"/>
    <mergeCell ref="AG757:AG758"/>
    <mergeCell ref="E963:E964"/>
    <mergeCell ref="J1036:J1037"/>
    <mergeCell ref="N1036:N1037"/>
    <mergeCell ref="J1024:J1025"/>
    <mergeCell ref="F1026:F1027"/>
    <mergeCell ref="F1020:F1021"/>
    <mergeCell ref="E727:E728"/>
    <mergeCell ref="F727:F728"/>
    <mergeCell ref="AI641:AI642"/>
    <mergeCell ref="E615:E616"/>
    <mergeCell ref="F615:F616"/>
    <mergeCell ref="J615:J616"/>
    <mergeCell ref="E1211:E1212"/>
    <mergeCell ref="AC1241:AC1242"/>
    <mergeCell ref="N1235:N1236"/>
    <mergeCell ref="J1223:J1224"/>
    <mergeCell ref="J1213:J1214"/>
    <mergeCell ref="F1233:F1234"/>
    <mergeCell ref="J1233:J1234"/>
    <mergeCell ref="F1229:F1230"/>
    <mergeCell ref="F1219:F1220"/>
    <mergeCell ref="J1219:J1220"/>
    <mergeCell ref="F1211:F1212"/>
    <mergeCell ref="N1283:N1284"/>
    <mergeCell ref="Y1283:Y1284"/>
    <mergeCell ref="AG1231:AG1232"/>
    <mergeCell ref="AA1227:AA1228"/>
    <mergeCell ref="AG1219:AG1220"/>
    <mergeCell ref="AF1130:AF1131"/>
    <mergeCell ref="AG1130:AG1131"/>
    <mergeCell ref="AF1229:AF1230"/>
    <mergeCell ref="AG1229:AG1230"/>
    <mergeCell ref="N1233:N1234"/>
    <mergeCell ref="AD1199:AD1200"/>
    <mergeCell ref="Y1251:Y1252"/>
    <mergeCell ref="AF1257:AF1258"/>
    <mergeCell ref="AG1257:AG1258"/>
    <mergeCell ref="N1255:N1256"/>
    <mergeCell ref="Y1255:Y1256"/>
    <mergeCell ref="Y1134:Y1135"/>
    <mergeCell ref="F668:F669"/>
    <mergeCell ref="J668:J669"/>
    <mergeCell ref="AC623:AC624"/>
    <mergeCell ref="E959:E960"/>
    <mergeCell ref="E886:E887"/>
    <mergeCell ref="E951:E952"/>
    <mergeCell ref="J979:J980"/>
    <mergeCell ref="AA979:AA980"/>
    <mergeCell ref="AB979:AB980"/>
    <mergeCell ref="AC979:AC980"/>
    <mergeCell ref="AD979:AD980"/>
    <mergeCell ref="AF979:AF980"/>
    <mergeCell ref="AG979:AG980"/>
    <mergeCell ref="E945:E946"/>
    <mergeCell ref="F945:F946"/>
    <mergeCell ref="J945:J946"/>
    <mergeCell ref="N945:N946"/>
    <mergeCell ref="Y945:Y946"/>
    <mergeCell ref="AA945:AA946"/>
    <mergeCell ref="AB945:AB946"/>
    <mergeCell ref="AC945:AC946"/>
    <mergeCell ref="AD945:AD946"/>
    <mergeCell ref="AF945:AF946"/>
    <mergeCell ref="N543:N544"/>
    <mergeCell ref="Y543:Y544"/>
    <mergeCell ref="AA551:AA552"/>
    <mergeCell ref="AB551:AB552"/>
    <mergeCell ref="AC551:AC552"/>
    <mergeCell ref="AG543:AG544"/>
    <mergeCell ref="AF555:AF556"/>
    <mergeCell ref="AC601:AC602"/>
    <mergeCell ref="AD601:AD602"/>
    <mergeCell ref="AF601:AF602"/>
    <mergeCell ref="AG601:AG602"/>
    <mergeCell ref="AL1370:AL1371"/>
    <mergeCell ref="AI1384:AI1385"/>
    <mergeCell ref="AK1374:AK1375"/>
    <mergeCell ref="AL1374:AL1375"/>
    <mergeCell ref="AK1380:AK1381"/>
    <mergeCell ref="AL1380:AL1381"/>
    <mergeCell ref="AM1380:AM1381"/>
    <mergeCell ref="AH1370:AH1371"/>
    <mergeCell ref="E1130:E1131"/>
    <mergeCell ref="F1130:F1131"/>
    <mergeCell ref="J1130:J1131"/>
    <mergeCell ref="N1130:N1131"/>
    <mergeCell ref="Y1130:Y1131"/>
    <mergeCell ref="AA1130:AA1131"/>
    <mergeCell ref="AB1130:AB1131"/>
    <mergeCell ref="AC1130:AC1131"/>
    <mergeCell ref="AD1130:AD1131"/>
    <mergeCell ref="F660:F661"/>
    <mergeCell ref="J662:J663"/>
    <mergeCell ref="N662:N663"/>
    <mergeCell ref="Y662:Y663"/>
    <mergeCell ref="AA662:AA663"/>
    <mergeCell ref="AB662:AB663"/>
    <mergeCell ref="AC662:AC663"/>
    <mergeCell ref="AD662:AD663"/>
    <mergeCell ref="J755:J756"/>
    <mergeCell ref="AC613:AC614"/>
    <mergeCell ref="Y1233:Y1234"/>
    <mergeCell ref="AA1233:AA1234"/>
    <mergeCell ref="AD1237:AD1238"/>
    <mergeCell ref="AF1237:AF1238"/>
    <mergeCell ref="AG1237:AG1238"/>
    <mergeCell ref="AC1239:AC1240"/>
    <mergeCell ref="F773:F774"/>
    <mergeCell ref="F767:F768"/>
    <mergeCell ref="J837:J838"/>
    <mergeCell ref="N837:N838"/>
    <mergeCell ref="Y837:Y838"/>
    <mergeCell ref="AA837:AA838"/>
    <mergeCell ref="AB837:AB838"/>
    <mergeCell ref="AA793:AA794"/>
    <mergeCell ref="AB793:AB794"/>
    <mergeCell ref="E723:E724"/>
    <mergeCell ref="E717:E718"/>
    <mergeCell ref="AD623:AD624"/>
    <mergeCell ref="AF623:AF624"/>
    <mergeCell ref="AG623:AG624"/>
    <mergeCell ref="F769:F770"/>
    <mergeCell ref="N1211:N1212"/>
    <mergeCell ref="Y1211:Y1212"/>
    <mergeCell ref="Y1144:Y1145"/>
    <mergeCell ref="AA803:AA804"/>
    <mergeCell ref="AF1154:AF1155"/>
    <mergeCell ref="Y1327:Y1328"/>
    <mergeCell ref="AG1164:AG1165"/>
    <mergeCell ref="AH1164:AH1165"/>
    <mergeCell ref="AI1164:AI1165"/>
    <mergeCell ref="F723:F724"/>
    <mergeCell ref="F717:F718"/>
    <mergeCell ref="F705:F706"/>
    <mergeCell ref="J705:J706"/>
    <mergeCell ref="N641:N642"/>
    <mergeCell ref="Y641:Y642"/>
    <mergeCell ref="Y656:Y657"/>
    <mergeCell ref="J603:J604"/>
    <mergeCell ref="N603:N604"/>
    <mergeCell ref="AH559:AH560"/>
    <mergeCell ref="Y571:Y572"/>
    <mergeCell ref="AA571:AA572"/>
    <mergeCell ref="Y593:Y594"/>
    <mergeCell ref="AA593:AA594"/>
    <mergeCell ref="F654:F655"/>
    <mergeCell ref="AB627:AB628"/>
    <mergeCell ref="AC627:AC628"/>
    <mergeCell ref="AD1239:AD1240"/>
    <mergeCell ref="Y1217:Y1218"/>
    <mergeCell ref="AA1217:AA1218"/>
    <mergeCell ref="AB1217:AB1218"/>
    <mergeCell ref="AC1217:AC1218"/>
    <mergeCell ref="AD1217:AD1218"/>
    <mergeCell ref="AB1235:AB1236"/>
    <mergeCell ref="AC1231:AC1232"/>
    <mergeCell ref="AD1231:AD1232"/>
    <mergeCell ref="F1134:F1135"/>
    <mergeCell ref="J1134:J1135"/>
    <mergeCell ref="N1134:N1135"/>
    <mergeCell ref="AC1261:AC1262"/>
    <mergeCell ref="AB1299:AB1300"/>
    <mergeCell ref="AC1299:AC1300"/>
    <mergeCell ref="AD1299:AD1300"/>
    <mergeCell ref="AF1299:AF1300"/>
    <mergeCell ref="AB1315:AB1316"/>
    <mergeCell ref="AH1130:AH1131"/>
    <mergeCell ref="AH1229:AH1230"/>
    <mergeCell ref="AI1201:AI1202"/>
    <mergeCell ref="AF1303:AF1304"/>
    <mergeCell ref="N1263:N1264"/>
    <mergeCell ref="Y1263:Y1264"/>
    <mergeCell ref="AB1285:AB1286"/>
    <mergeCell ref="AC1285:AC1286"/>
    <mergeCell ref="AD1285:AD1286"/>
    <mergeCell ref="AF1285:AF1286"/>
    <mergeCell ref="AG1285:AG1286"/>
    <mergeCell ref="AH1245:AH1246"/>
    <mergeCell ref="AI1128:AI1129"/>
    <mergeCell ref="AG1168:AG1169"/>
    <mergeCell ref="AB1239:AB1240"/>
    <mergeCell ref="AC1211:AC1212"/>
    <mergeCell ref="AD1211:AD1212"/>
    <mergeCell ref="F658:F659"/>
    <mergeCell ref="F959:F960"/>
    <mergeCell ref="N957:N958"/>
    <mergeCell ref="F886:F887"/>
    <mergeCell ref="J886:J887"/>
    <mergeCell ref="Y957:Y958"/>
    <mergeCell ref="F951:F952"/>
    <mergeCell ref="AH892:AH893"/>
    <mergeCell ref="J1460:J1461"/>
    <mergeCell ref="N1460:N1461"/>
    <mergeCell ref="Y1460:Y1461"/>
    <mergeCell ref="J1303:J1304"/>
    <mergeCell ref="AH1221:AH1222"/>
    <mergeCell ref="AI1221:AI1222"/>
    <mergeCell ref="AB1142:AB1143"/>
    <mergeCell ref="Y1140:Y1141"/>
    <mergeCell ref="AA1140:AA1141"/>
    <mergeCell ref="Y1132:Y1133"/>
    <mergeCell ref="AA1132:AA1133"/>
    <mergeCell ref="AG1211:AG1212"/>
    <mergeCell ref="AH1211:AH1212"/>
    <mergeCell ref="AM1303:AM1304"/>
    <mergeCell ref="AO1303:AO1304"/>
    <mergeCell ref="AK1362:AK1363"/>
    <mergeCell ref="AK1370:AK1371"/>
    <mergeCell ref="AD1374:AD1375"/>
    <mergeCell ref="AI1372:AI1373"/>
    <mergeCell ref="AF1364:AF1365"/>
    <mergeCell ref="AG1364:AG1365"/>
    <mergeCell ref="AH1364:AH1365"/>
    <mergeCell ref="AF1378:AF1379"/>
    <mergeCell ref="AG1378:AG1379"/>
    <mergeCell ref="AH1378:AH1379"/>
    <mergeCell ref="AM1412:AM1413"/>
    <mergeCell ref="AJ1420:AJ1421"/>
    <mergeCell ref="AH1424:AH1425"/>
    <mergeCell ref="AI1424:AI1425"/>
    <mergeCell ref="AJ1424:AJ1425"/>
    <mergeCell ref="AK1424:AK1425"/>
    <mergeCell ref="AL1424:AL1425"/>
    <mergeCell ref="AM1424:AM1425"/>
    <mergeCell ref="AC1277:AC1278"/>
    <mergeCell ref="AF1277:AF1278"/>
    <mergeCell ref="AG1277:AG1278"/>
    <mergeCell ref="AK1404:AK1405"/>
    <mergeCell ref="AL1404:AL1405"/>
    <mergeCell ref="AF1412:AF1413"/>
    <mergeCell ref="AK1412:AK1413"/>
    <mergeCell ref="AL1412:AL1413"/>
    <mergeCell ref="AH1404:AH1405"/>
    <mergeCell ref="AC1376:AC1377"/>
    <mergeCell ref="AD1376:AD1377"/>
    <mergeCell ref="AF1376:AF1377"/>
    <mergeCell ref="AG1376:AG1377"/>
    <mergeCell ref="AH1376:AH1377"/>
    <mergeCell ref="AD1436:AD1437"/>
    <mergeCell ref="AF1436:AF1437"/>
    <mergeCell ref="AG1436:AG1437"/>
    <mergeCell ref="AH1436:AH1437"/>
    <mergeCell ref="AC1235:AC1236"/>
    <mergeCell ref="AD1235:AD1236"/>
    <mergeCell ref="AF1235:AF1236"/>
    <mergeCell ref="AK1221:AK1222"/>
    <mergeCell ref="AF1231:AF1232"/>
    <mergeCell ref="AK1233:AK1234"/>
    <mergeCell ref="AF1233:AF1234"/>
    <mergeCell ref="AG1233:AG1234"/>
    <mergeCell ref="AF1221:AF1222"/>
    <mergeCell ref="AH1267:AH1268"/>
    <mergeCell ref="AJ1259:AJ1260"/>
    <mergeCell ref="AJ1261:AJ1262"/>
    <mergeCell ref="AG1245:AG1246"/>
    <mergeCell ref="AO2131:AO2132"/>
    <mergeCell ref="AM2163:AM2164"/>
    <mergeCell ref="AH1295:AH1296"/>
    <mergeCell ref="AH1239:AH1240"/>
    <mergeCell ref="AI1239:AI1240"/>
    <mergeCell ref="AA2020:AA2021"/>
    <mergeCell ref="AG2004:AG2005"/>
    <mergeCell ref="AL2151:AL2152"/>
    <mergeCell ref="AC2127:AC2128"/>
    <mergeCell ref="AD2127:AD2128"/>
    <mergeCell ref="AI2149:AI2150"/>
    <mergeCell ref="AK2149:AK2150"/>
    <mergeCell ref="AL2149:AL2150"/>
    <mergeCell ref="AJ2157:AJ2158"/>
    <mergeCell ref="AK2157:AK2158"/>
    <mergeCell ref="AL2157:AL2158"/>
    <mergeCell ref="AH2131:AH2132"/>
    <mergeCell ref="AK2034:AK2035"/>
    <mergeCell ref="AH2135:AH2136"/>
    <mergeCell ref="AB2006:AB2007"/>
    <mergeCell ref="AC2006:AC2007"/>
    <mergeCell ref="AA2028:AA2029"/>
    <mergeCell ref="AB2028:AB2029"/>
    <mergeCell ref="AM2139:AM2140"/>
    <mergeCell ref="AO2165:AO2166"/>
    <mergeCell ref="AO2167:AO2168"/>
    <mergeCell ref="AA1301:AA1302"/>
    <mergeCell ref="AG1426:AG1427"/>
    <mergeCell ref="AL1347:AL1348"/>
    <mergeCell ref="AB1909:AB1910"/>
    <mergeCell ref="AD1903:AD1904"/>
    <mergeCell ref="AB1921:AB1922"/>
    <mergeCell ref="AD1482:AD1483"/>
    <mergeCell ref="AF1482:AF1483"/>
    <mergeCell ref="AG1482:AG1483"/>
    <mergeCell ref="AH1482:AH1483"/>
    <mergeCell ref="AF1456:AF1457"/>
    <mergeCell ref="AF1307:AF1308"/>
    <mergeCell ref="AB1303:AB1304"/>
    <mergeCell ref="AO1903:AO1904"/>
    <mergeCell ref="AO1935:AO1936"/>
    <mergeCell ref="AG1941:AG1942"/>
    <mergeCell ref="AH1941:AH1942"/>
    <mergeCell ref="AL1311:AL1312"/>
    <mergeCell ref="AJ1267:AJ1268"/>
    <mergeCell ref="AJ1269:AJ1270"/>
    <mergeCell ref="AJ1271:AJ1272"/>
    <mergeCell ref="AJ1273:AJ1274"/>
    <mergeCell ref="AB1283:AB1284"/>
    <mergeCell ref="AK1277:AK1278"/>
    <mergeCell ref="AB1321:AB1322"/>
    <mergeCell ref="AK1307:AK1308"/>
    <mergeCell ref="AH1327:AH1328"/>
    <mergeCell ref="AJ1311:AJ1312"/>
    <mergeCell ref="AK1311:AK1312"/>
    <mergeCell ref="AC1287:AC1288"/>
    <mergeCell ref="AG1305:AG1306"/>
    <mergeCell ref="AH1305:AH1306"/>
    <mergeCell ref="AI1305:AI1306"/>
    <mergeCell ref="AI1271:AI1272"/>
    <mergeCell ref="AI1261:AI1262"/>
    <mergeCell ref="AC1303:AC1304"/>
    <mergeCell ref="AD1303:AD1304"/>
    <mergeCell ref="AC1301:AC1302"/>
    <mergeCell ref="AH1374:AH1375"/>
    <mergeCell ref="AI1374:AI1375"/>
    <mergeCell ref="AD1392:AD1393"/>
    <mergeCell ref="AI1402:AI1403"/>
    <mergeCell ref="AD1402:AD1403"/>
    <mergeCell ref="AF1402:AF1403"/>
    <mergeCell ref="AL1388:AL1389"/>
    <mergeCell ref="AK1376:AK1377"/>
    <mergeCell ref="AL1376:AL1377"/>
    <mergeCell ref="AG1372:AG1373"/>
    <mergeCell ref="AB1482:AB1483"/>
    <mergeCell ref="AC1482:AC1483"/>
    <mergeCell ref="AB1376:AB1377"/>
    <mergeCell ref="AH1454:AH1455"/>
    <mergeCell ref="AI1426:AI1427"/>
    <mergeCell ref="AK1426:AK1427"/>
    <mergeCell ref="AG1466:AG1467"/>
    <mergeCell ref="AH1466:AH1467"/>
    <mergeCell ref="AI1466:AI1467"/>
    <mergeCell ref="AF1462:AF1463"/>
    <mergeCell ref="AG1462:AG1463"/>
    <mergeCell ref="AH1462:AH1463"/>
    <mergeCell ref="AI1462:AI1463"/>
    <mergeCell ref="AB1430:AB1431"/>
    <mergeCell ref="AC1430:AC1431"/>
    <mergeCell ref="AD1430:AD1431"/>
    <mergeCell ref="AF1430:AF1431"/>
    <mergeCell ref="AG1430:AG1431"/>
    <mergeCell ref="AK2860:AK2861"/>
    <mergeCell ref="AL2810:AL2811"/>
    <mergeCell ref="AF2810:AF2811"/>
    <mergeCell ref="AH2810:AH2811"/>
    <mergeCell ref="AD2814:AD2815"/>
    <mergeCell ref="AF2814:AF2815"/>
    <mergeCell ref="AG2810:AG2811"/>
    <mergeCell ref="AB2860:AB2861"/>
    <mergeCell ref="AC2860:AC2861"/>
    <mergeCell ref="AD2860:AD2861"/>
    <mergeCell ref="AF2860:AF2861"/>
    <mergeCell ref="AD2782:AD2783"/>
    <mergeCell ref="AF2782:AF2783"/>
    <mergeCell ref="AG2820:AG2821"/>
    <mergeCell ref="AI2788:AI2789"/>
    <mergeCell ref="AK2788:AK2789"/>
    <mergeCell ref="AL2788:AL2789"/>
    <mergeCell ref="AD2842:AD2843"/>
    <mergeCell ref="AF2842:AF2843"/>
    <mergeCell ref="AG2842:AG2843"/>
    <mergeCell ref="AH2842:AH2843"/>
    <mergeCell ref="AI2842:AI2843"/>
    <mergeCell ref="AJ2842:AJ2843"/>
    <mergeCell ref="AK2842:AK2843"/>
    <mergeCell ref="AL2842:AL2843"/>
    <mergeCell ref="AL2846:AL2847"/>
    <mergeCell ref="AL2796:AL2797"/>
    <mergeCell ref="AL2802:AL2803"/>
    <mergeCell ref="AD2818:AD2819"/>
    <mergeCell ref="AF2818:AF2819"/>
    <mergeCell ref="AL2838:AL2839"/>
    <mergeCell ref="AB2794:AB2795"/>
    <mergeCell ref="AC2794:AC2795"/>
    <mergeCell ref="AK2838:AK2839"/>
    <mergeCell ref="AG2802:AG2803"/>
    <mergeCell ref="AK2820:AK2821"/>
    <mergeCell ref="AH1430:AH1431"/>
    <mergeCell ref="AI1430:AI1431"/>
    <mergeCell ref="AJ1430:AJ1431"/>
    <mergeCell ref="AK1430:AK1431"/>
    <mergeCell ref="AB1436:AB1437"/>
    <mergeCell ref="AC1436:AC1437"/>
    <mergeCell ref="AL1132:AL1133"/>
    <mergeCell ref="AH1311:AH1312"/>
    <mergeCell ref="AI1311:AI1312"/>
    <mergeCell ref="AC1152:AC1153"/>
    <mergeCell ref="AD1152:AD1153"/>
    <mergeCell ref="AF1152:AF1153"/>
    <mergeCell ref="AG1152:AG1153"/>
    <mergeCell ref="AH1152:AH1153"/>
    <mergeCell ref="AI1152:AI1153"/>
    <mergeCell ref="AJ1152:AJ1153"/>
    <mergeCell ref="AK1152:AK1153"/>
    <mergeCell ref="AL1152:AL1153"/>
    <mergeCell ref="AF1297:AF1298"/>
    <mergeCell ref="AG1297:AG1298"/>
    <mergeCell ref="AG1140:AG1141"/>
    <mergeCell ref="AL1128:AL1129"/>
    <mergeCell ref="AL1164:AL1165"/>
    <mergeCell ref="AF1168:AF1169"/>
    <mergeCell ref="AF1331:AF1332"/>
    <mergeCell ref="AG1331:AG1332"/>
    <mergeCell ref="AH1331:AH1332"/>
    <mergeCell ref="AI1331:AI1332"/>
    <mergeCell ref="AJ1331:AJ1332"/>
    <mergeCell ref="AK1331:AK1332"/>
    <mergeCell ref="AL1331:AL1332"/>
    <mergeCell ref="AK1140:AK1141"/>
    <mergeCell ref="AL1140:AL1141"/>
    <mergeCell ref="AH1283:AH1284"/>
    <mergeCell ref="AI1283:AI1284"/>
    <mergeCell ref="AH1398:AH1399"/>
    <mergeCell ref="AI1398:AI1399"/>
    <mergeCell ref="AJ1398:AJ1399"/>
    <mergeCell ref="AJ1205:AJ1206"/>
    <mergeCell ref="AG1380:AG1381"/>
    <mergeCell ref="AH1380:AH1381"/>
    <mergeCell ref="AI1380:AI1381"/>
    <mergeCell ref="AB1380:AB1381"/>
    <mergeCell ref="AC1380:AC1381"/>
    <mergeCell ref="AB1374:AB1375"/>
    <mergeCell ref="AC1374:AC1375"/>
    <mergeCell ref="AB1327:AB1328"/>
    <mergeCell ref="AC1327:AC1328"/>
    <mergeCell ref="AD1327:AD1328"/>
    <mergeCell ref="AF1327:AF1328"/>
    <mergeCell ref="AG1327:AG1328"/>
    <mergeCell ref="AI1245:AI1246"/>
    <mergeCell ref="AB1261:AB1262"/>
    <mergeCell ref="AI1317:AI1318"/>
    <mergeCell ref="AL1430:AL1431"/>
    <mergeCell ref="AF1428:AF1429"/>
    <mergeCell ref="AG1428:AG1429"/>
    <mergeCell ref="AH1428:AH1429"/>
    <mergeCell ref="AI1428:AI1429"/>
    <mergeCell ref="AJ1404:AJ1405"/>
    <mergeCell ref="AK1372:AK1373"/>
    <mergeCell ref="AL1372:AL1373"/>
    <mergeCell ref="AJ1394:AJ1395"/>
    <mergeCell ref="AK1394:AK1395"/>
    <mergeCell ref="AB1333:AB1334"/>
    <mergeCell ref="AC1333:AC1334"/>
    <mergeCell ref="AD1333:AD1334"/>
    <mergeCell ref="AF1333:AF1334"/>
    <mergeCell ref="AJ1327:AJ1328"/>
    <mergeCell ref="AH1168:AH1169"/>
    <mergeCell ref="AI1168:AI1169"/>
    <mergeCell ref="AJ1168:AJ1169"/>
    <mergeCell ref="AK1168:AK1169"/>
    <mergeCell ref="AB1186:AB1187"/>
    <mergeCell ref="AC1186:AC1187"/>
    <mergeCell ref="AD1186:AD1187"/>
    <mergeCell ref="AF1186:AF1187"/>
    <mergeCell ref="AG1186:AG1187"/>
    <mergeCell ref="AH1186:AH1187"/>
    <mergeCell ref="AI1186:AI1187"/>
    <mergeCell ref="AJ1186:AJ1187"/>
    <mergeCell ref="AK1186:AK1187"/>
    <mergeCell ref="AJ1207:AJ1208"/>
    <mergeCell ref="AJ1209:AJ1210"/>
    <mergeCell ref="AI1297:AI1298"/>
    <mergeCell ref="AC1233:AC1234"/>
    <mergeCell ref="AK1227:AK1228"/>
    <mergeCell ref="AI1293:AI1294"/>
    <mergeCell ref="AD1289:AD1290"/>
    <mergeCell ref="AF1289:AF1290"/>
    <mergeCell ref="AG1289:AG1290"/>
    <mergeCell ref="AH1289:AH1290"/>
    <mergeCell ref="AI1289:AI1290"/>
    <mergeCell ref="AD1287:AD1288"/>
    <mergeCell ref="AG1291:AG1292"/>
    <mergeCell ref="AL1233:AL1234"/>
    <mergeCell ref="AJ1140:AJ1141"/>
    <mergeCell ref="AJ1142:AJ1143"/>
    <mergeCell ref="AD1144:AD1145"/>
    <mergeCell ref="AF1144:AF1145"/>
    <mergeCell ref="AB1140:AB1141"/>
    <mergeCell ref="AC1140:AC1141"/>
    <mergeCell ref="AH1201:AH1202"/>
    <mergeCell ref="AB1164:AB1165"/>
    <mergeCell ref="AC1164:AC1165"/>
    <mergeCell ref="AD1164:AD1165"/>
    <mergeCell ref="AF1164:AF1165"/>
    <mergeCell ref="AG1221:AG1222"/>
    <mergeCell ref="AJ1182:AJ1183"/>
    <mergeCell ref="AK1182:AK1183"/>
    <mergeCell ref="AL1182:AL1183"/>
    <mergeCell ref="AL1199:AL1200"/>
    <mergeCell ref="AK1203:AK1204"/>
    <mergeCell ref="AL1203:AL1204"/>
    <mergeCell ref="AH1154:AH1155"/>
    <mergeCell ref="AI1154:AI1155"/>
    <mergeCell ref="AJ1154:AJ1155"/>
    <mergeCell ref="AK1154:AK1155"/>
    <mergeCell ref="AD1160:AD1161"/>
    <mergeCell ref="AB1207:AB1208"/>
    <mergeCell ref="AH1275:AH1276"/>
    <mergeCell ref="AI1275:AI1276"/>
    <mergeCell ref="AI1291:AI1292"/>
    <mergeCell ref="AK1291:AK1292"/>
    <mergeCell ref="AL1291:AL1292"/>
    <mergeCell ref="AH1285:AH1286"/>
    <mergeCell ref="AG1154:AG1155"/>
    <mergeCell ref="AC1267:AC1268"/>
    <mergeCell ref="E1587:E1588"/>
    <mergeCell ref="F1587:F1588"/>
    <mergeCell ref="J1587:J1588"/>
    <mergeCell ref="AG1674:AG1675"/>
    <mergeCell ref="AH1674:AH1675"/>
    <mergeCell ref="AI1674:AI1675"/>
    <mergeCell ref="E1585:E1586"/>
    <mergeCell ref="AJ1585:AJ1586"/>
    <mergeCell ref="AK1585:AK1586"/>
    <mergeCell ref="AL1585:AL1586"/>
    <mergeCell ref="AM1585:AM1586"/>
    <mergeCell ref="AO1585:AO1586"/>
    <mergeCell ref="F1676:F1677"/>
    <mergeCell ref="J1676:J1677"/>
    <mergeCell ref="E1589:E1590"/>
    <mergeCell ref="E1573:E1574"/>
    <mergeCell ref="J1652:J1653"/>
    <mergeCell ref="F1589:F1590"/>
    <mergeCell ref="J1589:J1590"/>
    <mergeCell ref="E1595:E1596"/>
    <mergeCell ref="F1595:F1596"/>
    <mergeCell ref="J1595:J1596"/>
    <mergeCell ref="J1617:J1618"/>
    <mergeCell ref="AO1617:AO1618"/>
    <mergeCell ref="N1664:N1665"/>
    <mergeCell ref="Y1664:Y1665"/>
    <mergeCell ref="AB1591:AB1592"/>
    <mergeCell ref="AC1591:AC1592"/>
    <mergeCell ref="AD1591:AD1592"/>
    <mergeCell ref="AF1591:AF1592"/>
    <mergeCell ref="AG1591:AG1592"/>
    <mergeCell ref="AH1591:AH1592"/>
    <mergeCell ref="AI1591:AI1592"/>
    <mergeCell ref="AJ1591:AJ1592"/>
    <mergeCell ref="E1642:E1643"/>
    <mergeCell ref="F1642:F1643"/>
    <mergeCell ref="E1625:E1626"/>
    <mergeCell ref="F1625:F1626"/>
    <mergeCell ref="J1625:J1626"/>
    <mergeCell ref="N1625:N1626"/>
    <mergeCell ref="Y1625:Y1626"/>
    <mergeCell ref="AA1625:AA1626"/>
    <mergeCell ref="AB1625:AB1626"/>
    <mergeCell ref="AC1625:AC1626"/>
    <mergeCell ref="AD1625:AD1626"/>
    <mergeCell ref="AF1625:AF1626"/>
    <mergeCell ref="AG1625:AG1626"/>
    <mergeCell ref="AH1625:AH1626"/>
    <mergeCell ref="AI1625:AI1626"/>
    <mergeCell ref="AJ1625:AJ1626"/>
    <mergeCell ref="AK1625:AK1626"/>
    <mergeCell ref="AI1599:AI1600"/>
    <mergeCell ref="AK1579:AK1580"/>
    <mergeCell ref="AF1581:AF1582"/>
    <mergeCell ref="N1587:N1588"/>
    <mergeCell ref="Y1587:Y1588"/>
    <mergeCell ref="AA1587:AA1588"/>
    <mergeCell ref="E1577:E1578"/>
    <mergeCell ref="F1577:F1578"/>
    <mergeCell ref="J1577:J1578"/>
    <mergeCell ref="F1662:F1663"/>
    <mergeCell ref="AK1670:AK1671"/>
    <mergeCell ref="AC1668:AC1669"/>
    <mergeCell ref="AD1668:AD1669"/>
    <mergeCell ref="N2000:N2001"/>
    <mergeCell ref="AG1998:AG1999"/>
    <mergeCell ref="AM1935:AM1936"/>
    <mergeCell ref="AO1907:AO1908"/>
    <mergeCell ref="AC1931:AC1932"/>
    <mergeCell ref="AD1931:AD1932"/>
    <mergeCell ref="AF1931:AF1932"/>
    <mergeCell ref="AM1933:AM1934"/>
    <mergeCell ref="AO1933:AO1934"/>
    <mergeCell ref="AO1959:AO1960"/>
    <mergeCell ref="AO1917:AO1918"/>
    <mergeCell ref="AO1923:AO1924"/>
    <mergeCell ref="AM1967:AM1968"/>
    <mergeCell ref="AO1967:AO1968"/>
    <mergeCell ref="AM1937:AM1938"/>
    <mergeCell ref="AO1937:AO1938"/>
    <mergeCell ref="AL2000:AL2001"/>
    <mergeCell ref="AD1953:AD1954"/>
    <mergeCell ref="AF1953:AF1954"/>
    <mergeCell ref="AG1953:AG1954"/>
    <mergeCell ref="F1541:F1542"/>
    <mergeCell ref="F1535:F1536"/>
    <mergeCell ref="AI1541:AI1542"/>
    <mergeCell ref="AA1533:AA1534"/>
    <mergeCell ref="AB1533:AB1534"/>
    <mergeCell ref="AC1533:AC1534"/>
    <mergeCell ref="Y1533:Y1534"/>
    <mergeCell ref="N1539:N1540"/>
    <mergeCell ref="Y1539:Y1540"/>
    <mergeCell ref="AO1537:AO1538"/>
    <mergeCell ref="AJ1535:AJ1536"/>
    <mergeCell ref="AK1650:AK1651"/>
    <mergeCell ref="AK1694:AK1695"/>
    <mergeCell ref="Y1595:Y1596"/>
    <mergeCell ref="AA1595:AA1596"/>
    <mergeCell ref="AB1595:AB1596"/>
    <mergeCell ref="AC1595:AC1596"/>
    <mergeCell ref="AD1595:AD1596"/>
    <mergeCell ref="AF1595:AF1596"/>
    <mergeCell ref="AG1595:AG1596"/>
    <mergeCell ref="AO1678:AO1679"/>
    <mergeCell ref="F1585:F1586"/>
    <mergeCell ref="AA1585:AA1586"/>
    <mergeCell ref="AB1585:AB1586"/>
    <mergeCell ref="AC1585:AC1586"/>
    <mergeCell ref="AD1585:AD1586"/>
    <mergeCell ref="AF1585:AF1586"/>
    <mergeCell ref="AG1585:AG1586"/>
    <mergeCell ref="AH1585:AH1586"/>
    <mergeCell ref="AI1585:AI1586"/>
    <mergeCell ref="J1654:J1655"/>
    <mergeCell ref="AJ1674:AJ1675"/>
    <mergeCell ref="AJ1676:AJ1677"/>
    <mergeCell ref="AJ1680:AJ1681"/>
    <mergeCell ref="AF1666:AF1667"/>
    <mergeCell ref="AG1666:AG1667"/>
    <mergeCell ref="AH1666:AH1667"/>
    <mergeCell ref="AG1678:AG1679"/>
    <mergeCell ref="AA1664:AA1665"/>
    <mergeCell ref="AB1664:AB1665"/>
    <mergeCell ref="AC1664:AC1665"/>
    <mergeCell ref="AD1664:AD1665"/>
    <mergeCell ref="AF1664:AF1665"/>
    <mergeCell ref="AG1664:AG1665"/>
    <mergeCell ref="AM1516:AM1517"/>
    <mergeCell ref="J1543:J1544"/>
    <mergeCell ref="N1543:N1544"/>
    <mergeCell ref="Y1543:Y1544"/>
    <mergeCell ref="AA1543:AA1544"/>
    <mergeCell ref="AB1543:AB1544"/>
    <mergeCell ref="AC1543:AC1544"/>
    <mergeCell ref="AD1543:AD1544"/>
    <mergeCell ref="J1541:J1542"/>
    <mergeCell ref="N1541:N1542"/>
    <mergeCell ref="AI1533:AI1534"/>
    <mergeCell ref="AH1535:AH1536"/>
    <mergeCell ref="AI1535:AI1536"/>
    <mergeCell ref="AK1535:AK1536"/>
    <mergeCell ref="J1535:J1536"/>
    <mergeCell ref="N1535:N1536"/>
    <mergeCell ref="AH1543:AH1544"/>
    <mergeCell ref="AI1543:AI1544"/>
    <mergeCell ref="AF1541:AF1542"/>
    <mergeCell ref="AG1541:AG1542"/>
    <mergeCell ref="AH1541:AH1542"/>
    <mergeCell ref="AO1531:AO1532"/>
    <mergeCell ref="AK1531:AK1532"/>
    <mergeCell ref="AL1531:AL1532"/>
    <mergeCell ref="F1549:F1550"/>
    <mergeCell ref="J1549:J1550"/>
    <mergeCell ref="N1549:N1550"/>
    <mergeCell ref="AM1547:AM1548"/>
    <mergeCell ref="AJ1640:AJ1641"/>
    <mergeCell ref="N1581:N1582"/>
    <mergeCell ref="Y1581:Y1582"/>
    <mergeCell ref="AA1581:AA1582"/>
    <mergeCell ref="AB1581:AB1582"/>
    <mergeCell ref="AA1563:AA1564"/>
    <mergeCell ref="AB1563:AB1564"/>
    <mergeCell ref="AD1581:AD1582"/>
    <mergeCell ref="AK1581:AK1582"/>
    <mergeCell ref="AL1581:AL1582"/>
    <mergeCell ref="AM1581:AM1582"/>
    <mergeCell ref="AH1583:AH1584"/>
    <mergeCell ref="AG1557:AG1558"/>
    <mergeCell ref="AK1632:AK1633"/>
    <mergeCell ref="AL1632:AL1633"/>
    <mergeCell ref="AM1638:AM1639"/>
    <mergeCell ref="AO1553:AO1554"/>
    <mergeCell ref="AD1557:AD1558"/>
    <mergeCell ref="AF1557:AF1558"/>
    <mergeCell ref="Y1571:Y1572"/>
    <mergeCell ref="AF1563:AF1564"/>
    <mergeCell ref="AG1563:AG1564"/>
    <mergeCell ref="AH1563:AH1564"/>
    <mergeCell ref="AI1563:AI1564"/>
    <mergeCell ref="AJ1563:AJ1564"/>
    <mergeCell ref="AK1563:AK1564"/>
    <mergeCell ref="AG1561:AG1562"/>
    <mergeCell ref="AH1561:AH1562"/>
    <mergeCell ref="AI1561:AI1562"/>
    <mergeCell ref="N1555:N1556"/>
    <mergeCell ref="Y1555:Y1556"/>
    <mergeCell ref="AJ1569:AJ1570"/>
    <mergeCell ref="AJ1571:AJ1572"/>
    <mergeCell ref="AH1595:AH1596"/>
    <mergeCell ref="AI1595:AI1596"/>
    <mergeCell ref="AJ1595:AJ1596"/>
    <mergeCell ref="Y2022:Y2023"/>
    <mergeCell ref="AH1937:AH1938"/>
    <mergeCell ref="AI1937:AI1938"/>
    <mergeCell ref="AA1937:AA1938"/>
    <mergeCell ref="AK1987:AK1988"/>
    <mergeCell ref="AL1987:AL1988"/>
    <mergeCell ref="AL2006:AL2007"/>
    <mergeCell ref="AC1925:AC1926"/>
    <mergeCell ref="AA2006:AA2007"/>
    <mergeCell ref="AL2022:AL2023"/>
    <mergeCell ref="AH2026:AH2027"/>
    <mergeCell ref="AI2026:AI2027"/>
    <mergeCell ref="AJ2026:AJ2027"/>
    <mergeCell ref="AK2016:AK2017"/>
    <mergeCell ref="AA2022:AA2023"/>
    <mergeCell ref="AJ2014:AJ2015"/>
    <mergeCell ref="AK2026:AK2027"/>
    <mergeCell ref="Y1935:Y1936"/>
    <mergeCell ref="AA1935:AA1936"/>
    <mergeCell ref="AB1935:AB1936"/>
    <mergeCell ref="AC1935:AC1936"/>
    <mergeCell ref="AO1404:AO1405"/>
    <mergeCell ref="AO1400:AO1401"/>
    <mergeCell ref="AO1402:AO1403"/>
    <mergeCell ref="AM1394:AM1395"/>
    <mergeCell ref="AO1394:AO1395"/>
    <mergeCell ref="AM1400:AM1401"/>
    <mergeCell ref="AA1452:AA1453"/>
    <mergeCell ref="N1448:N1449"/>
    <mergeCell ref="AJ1400:AJ1401"/>
    <mergeCell ref="AJ1402:AJ1403"/>
    <mergeCell ref="AL1945:AL1946"/>
    <mergeCell ref="J1949:J1950"/>
    <mergeCell ref="N1949:N1950"/>
    <mergeCell ref="AH1907:AH1908"/>
    <mergeCell ref="AK1935:AK1936"/>
    <mergeCell ref="AL1935:AL1936"/>
    <mergeCell ref="AA1911:AA1912"/>
    <mergeCell ref="AB1911:AB1912"/>
    <mergeCell ref="AC1911:AC1912"/>
    <mergeCell ref="AD1911:AD1912"/>
    <mergeCell ref="AF1911:AF1912"/>
    <mergeCell ref="AG1911:AG1912"/>
    <mergeCell ref="AB1933:AB1934"/>
    <mergeCell ref="AC1933:AC1934"/>
    <mergeCell ref="AD1933:AD1934"/>
    <mergeCell ref="AF1933:AF1934"/>
    <mergeCell ref="AG1933:AG1934"/>
    <mergeCell ref="AH1933:AH1934"/>
    <mergeCell ref="AI1933:AI1934"/>
    <mergeCell ref="AJ1907:AJ1908"/>
    <mergeCell ref="AL1903:AL1904"/>
    <mergeCell ref="J1925:J1926"/>
    <mergeCell ref="N1925:N1926"/>
    <mergeCell ref="Y1925:Y1926"/>
    <mergeCell ref="AA1925:AA1926"/>
    <mergeCell ref="AB1925:AB1926"/>
    <mergeCell ref="AL1919:AL1920"/>
    <mergeCell ref="AD1915:AD1916"/>
    <mergeCell ref="AO1412:AO1413"/>
    <mergeCell ref="N1502:N1503"/>
    <mergeCell ref="J1498:J1499"/>
    <mergeCell ref="AK1516:AK1517"/>
    <mergeCell ref="AL1516:AL1517"/>
    <mergeCell ref="AI2008:AI2009"/>
    <mergeCell ref="AK2008:AK2009"/>
    <mergeCell ref="AH2008:AH2009"/>
    <mergeCell ref="AG2016:AG2017"/>
    <mergeCell ref="AH2016:AH2017"/>
    <mergeCell ref="AI2016:AI2017"/>
    <mergeCell ref="AJ1947:AJ1948"/>
    <mergeCell ref="AK1947:AK1948"/>
    <mergeCell ref="AB1985:AB1986"/>
    <mergeCell ref="AC1985:AC1986"/>
    <mergeCell ref="AD1985:AD1986"/>
    <mergeCell ref="AF1985:AF1986"/>
    <mergeCell ref="AG1985:AG1986"/>
    <mergeCell ref="AH1967:AH1968"/>
    <mergeCell ref="AI1967:AI1968"/>
    <mergeCell ref="AJ1967:AJ1968"/>
    <mergeCell ref="AK1967:AK1968"/>
    <mergeCell ref="AL1967:AL1968"/>
    <mergeCell ref="AG1925:AG1926"/>
    <mergeCell ref="AI2002:AI2003"/>
    <mergeCell ref="AK2002:AK2003"/>
    <mergeCell ref="AD2010:AD2011"/>
    <mergeCell ref="AF2010:AF2011"/>
    <mergeCell ref="AA2010:AA2011"/>
    <mergeCell ref="Y2002:Y2003"/>
    <mergeCell ref="AG1935:AG1936"/>
    <mergeCell ref="AH1935:AH1936"/>
    <mergeCell ref="AI1935:AI1936"/>
    <mergeCell ref="AK1941:AK1942"/>
    <mergeCell ref="AL1941:AL1942"/>
    <mergeCell ref="AG1971:AG1972"/>
    <mergeCell ref="AH1971:AH1972"/>
    <mergeCell ref="AI1971:AI1972"/>
    <mergeCell ref="AJ1971:AJ1972"/>
    <mergeCell ref="AK1961:AK1962"/>
    <mergeCell ref="AL1961:AL1962"/>
    <mergeCell ref="AH1953:AH1954"/>
    <mergeCell ref="AI1941:AI1942"/>
    <mergeCell ref="AL1939:AL1940"/>
    <mergeCell ref="AL1949:AL1950"/>
    <mergeCell ref="AB1947:AB1948"/>
    <mergeCell ref="AC1947:AC1948"/>
    <mergeCell ref="AD1947:AD1948"/>
    <mergeCell ref="AF1947:AF1948"/>
    <mergeCell ref="AK1937:AK1938"/>
    <mergeCell ref="AL1993:AL1994"/>
    <mergeCell ref="AK1959:AK1960"/>
    <mergeCell ref="AL1959:AL1960"/>
    <mergeCell ref="AC1961:AC1962"/>
    <mergeCell ref="AD1961:AD1962"/>
    <mergeCell ref="AL1965:AL1966"/>
    <mergeCell ref="AG1963:AG1964"/>
    <mergeCell ref="AH1963:AH1964"/>
    <mergeCell ref="AI1963:AI1964"/>
    <mergeCell ref="AJ1963:AJ1964"/>
    <mergeCell ref="AK1963:AK1964"/>
    <mergeCell ref="AL1963:AL1964"/>
    <mergeCell ref="AI1965:AI1966"/>
    <mergeCell ref="AC2277:AC2278"/>
    <mergeCell ref="AL2405:AL2406"/>
    <mergeCell ref="Y2443:Y2444"/>
    <mergeCell ref="AA2443:AA2444"/>
    <mergeCell ref="AH2227:AH2228"/>
    <mergeCell ref="AF2213:AF2214"/>
    <mergeCell ref="AB2415:AB2416"/>
    <mergeCell ref="Y2417:Y2418"/>
    <mergeCell ref="AI2425:AI2426"/>
    <mergeCell ref="AL2419:AL2420"/>
    <mergeCell ref="AK2409:AK2410"/>
    <mergeCell ref="AL2409:AL2410"/>
    <mergeCell ref="AA2425:AA2426"/>
    <mergeCell ref="Y2682:Y2683"/>
    <mergeCell ref="AC2537:AC2538"/>
    <mergeCell ref="AC2255:AC2256"/>
    <mergeCell ref="AD2255:AD2256"/>
    <mergeCell ref="AF2255:AF2256"/>
    <mergeCell ref="AG2255:AG2256"/>
    <mergeCell ref="AH2255:AH2256"/>
    <mergeCell ref="AK2361:AK2362"/>
    <mergeCell ref="AL2609:AL2610"/>
    <mergeCell ref="AD2445:AD2446"/>
    <mergeCell ref="AH2557:AH2558"/>
    <mergeCell ref="AI2557:AI2558"/>
    <mergeCell ref="AB2567:AB2568"/>
    <mergeCell ref="AC2567:AC2568"/>
    <mergeCell ref="AD2567:AD2568"/>
    <mergeCell ref="AF2567:AF2568"/>
    <mergeCell ref="AG2567:AG2568"/>
    <mergeCell ref="AL2557:AL2558"/>
    <mergeCell ref="AK2591:AK2592"/>
    <mergeCell ref="AL2591:AL2592"/>
    <mergeCell ref="AG2680:AG2681"/>
    <mergeCell ref="AB2682:AB2683"/>
    <mergeCell ref="AJ2421:AJ2422"/>
    <mergeCell ref="AK2421:AK2422"/>
    <mergeCell ref="AL2421:AL2422"/>
    <mergeCell ref="Y2427:Y2428"/>
    <mergeCell ref="AA2427:AA2428"/>
    <mergeCell ref="AB2427:AB2428"/>
    <mergeCell ref="Y2425:Y2426"/>
    <mergeCell ref="AI2417:AI2418"/>
    <mergeCell ref="AC2281:AC2282"/>
    <mergeCell ref="AD2281:AD2282"/>
    <mergeCell ref="AG2461:AG2462"/>
    <mergeCell ref="AI2483:AI2484"/>
    <mergeCell ref="AD2457:AD2458"/>
    <mergeCell ref="AK2495:AK2496"/>
    <mergeCell ref="AC2473:AC2474"/>
    <mergeCell ref="AD2473:AD2474"/>
    <mergeCell ref="AI2573:AI2574"/>
    <mergeCell ref="AJ2573:AJ2574"/>
    <mergeCell ref="AK2573:AK2574"/>
    <mergeCell ref="AL2573:AL2574"/>
    <mergeCell ref="AK2567:AK2568"/>
    <mergeCell ref="AD2680:AD2681"/>
    <mergeCell ref="AL2678:AL2679"/>
    <mergeCell ref="AG2505:AG2506"/>
    <mergeCell ref="AH2505:AH2506"/>
    <mergeCell ref="AI2505:AI2506"/>
    <mergeCell ref="AA2481:AA2482"/>
    <mergeCell ref="AH2523:AH2524"/>
    <mergeCell ref="AA2497:AA2498"/>
    <mergeCell ref="J2421:J2422"/>
    <mergeCell ref="J2543:J2544"/>
    <mergeCell ref="N2543:N2544"/>
    <mergeCell ref="AK2241:AK2242"/>
    <mergeCell ref="AL2241:AL2242"/>
    <mergeCell ref="AB2213:AB2214"/>
    <mergeCell ref="AB2269:AB2270"/>
    <mergeCell ref="AI2255:AI2256"/>
    <mergeCell ref="AJ2255:AJ2256"/>
    <mergeCell ref="AJ2257:AJ2258"/>
    <mergeCell ref="AK2257:AK2258"/>
    <mergeCell ref="AK2682:AK2683"/>
    <mergeCell ref="Y2700:Y2701"/>
    <mergeCell ref="AK2874:AK2875"/>
    <mergeCell ref="AA2782:AA2783"/>
    <mergeCell ref="Y2223:Y2224"/>
    <mergeCell ref="AK2882:AK2883"/>
    <mergeCell ref="AL2882:AL2883"/>
    <mergeCell ref="AA2838:AA2839"/>
    <mergeCell ref="AB2888:AB2889"/>
    <mergeCell ref="AC2888:AC2889"/>
    <mergeCell ref="AD2888:AD2889"/>
    <mergeCell ref="AF2888:AF2889"/>
    <mergeCell ref="AG2888:AG2889"/>
    <mergeCell ref="AH2888:AH2889"/>
    <mergeCell ref="AK2824:AK2825"/>
    <mergeCell ref="AG2868:AG2869"/>
    <mergeCell ref="AH2790:AH2791"/>
    <mergeCell ref="AI2790:AI2791"/>
    <mergeCell ref="AB2810:AB2811"/>
    <mergeCell ref="AA2816:AA2817"/>
    <mergeCell ref="AB2816:AB2817"/>
    <mergeCell ref="AC2816:AC2817"/>
    <mergeCell ref="AD2816:AD2817"/>
    <mergeCell ref="Y2431:Y2432"/>
    <mergeCell ref="AF2417:AF2418"/>
    <mergeCell ref="AG2417:AG2418"/>
    <mergeCell ref="AB2627:AB2628"/>
    <mergeCell ref="AJ2437:AJ2438"/>
    <mergeCell ref="AL2676:AL2677"/>
    <mergeCell ref="AG2676:AG2677"/>
    <mergeCell ref="AH2676:AH2677"/>
    <mergeCell ref="Y2676:Y2677"/>
    <mergeCell ref="AL2674:AL2675"/>
    <mergeCell ref="AC2407:AC2408"/>
    <mergeCell ref="AD2407:AD2408"/>
    <mergeCell ref="Y2543:Y2544"/>
    <mergeCell ref="AI2826:AI2827"/>
    <mergeCell ref="AD2858:AD2859"/>
    <mergeCell ref="AL2858:AL2859"/>
    <mergeCell ref="AI2471:AI2472"/>
    <mergeCell ref="AL2647:AL2648"/>
    <mergeCell ref="AI2609:AI2610"/>
    <mergeCell ref="AJ2609:AJ2610"/>
    <mergeCell ref="AK2609:AK2610"/>
    <mergeCell ref="AK2686:AK2687"/>
    <mergeCell ref="AD2213:AD2214"/>
    <mergeCell ref="AF2217:AF2218"/>
    <mergeCell ref="AG2217:AG2218"/>
    <mergeCell ref="AG2413:AG2414"/>
    <mergeCell ref="AH2425:AH2426"/>
    <mergeCell ref="AF2249:AF2250"/>
    <mergeCell ref="Y2239:Y2240"/>
    <mergeCell ref="AA2239:AA2240"/>
    <mergeCell ref="E2760:E2761"/>
    <mergeCell ref="F2760:F2761"/>
    <mergeCell ref="J2760:J2761"/>
    <mergeCell ref="AA2760:AA2761"/>
    <mergeCell ref="AB2760:AB2761"/>
    <mergeCell ref="AC2760:AC2761"/>
    <mergeCell ref="AD2760:AD2761"/>
    <mergeCell ref="AF2760:AF2761"/>
    <mergeCell ref="AG2760:AG2761"/>
    <mergeCell ref="AH2760:AH2761"/>
    <mergeCell ref="AI2760:AI2761"/>
    <mergeCell ref="AJ2760:AJ2761"/>
    <mergeCell ref="AK2760:AK2761"/>
    <mergeCell ref="AL2760:AL2761"/>
    <mergeCell ref="AK3123:AK3124"/>
    <mergeCell ref="AL3123:AL3124"/>
    <mergeCell ref="Y3119:Y3120"/>
    <mergeCell ref="J3117:J3118"/>
    <mergeCell ref="N3117:N3118"/>
    <mergeCell ref="AB3127:AB3128"/>
    <mergeCell ref="AI3069:AI3070"/>
    <mergeCell ref="AK3069:AK3070"/>
    <mergeCell ref="AL3069:AL3070"/>
    <mergeCell ref="J2794:J2795"/>
    <mergeCell ref="AK2910:AK2911"/>
    <mergeCell ref="AF2774:AF2775"/>
    <mergeCell ref="AG2774:AG2775"/>
    <mergeCell ref="AJ2772:AJ2773"/>
    <mergeCell ref="AJ2774:AJ2775"/>
    <mergeCell ref="AL2872:AL2873"/>
    <mergeCell ref="AJ2892:AJ2893"/>
    <mergeCell ref="AG2902:AG2903"/>
    <mergeCell ref="AH2902:AH2903"/>
    <mergeCell ref="AI2902:AI2903"/>
    <mergeCell ref="AA2894:AA2895"/>
    <mergeCell ref="AB2892:AB2893"/>
    <mergeCell ref="AJ2788:AJ2789"/>
    <mergeCell ref="AK2808:AK2809"/>
    <mergeCell ref="AH2864:AH2865"/>
    <mergeCell ref="AL2814:AL2815"/>
    <mergeCell ref="AK2818:AK2819"/>
    <mergeCell ref="AL2818:AL2819"/>
    <mergeCell ref="AI2782:AI2783"/>
    <mergeCell ref="AK2782:AK2783"/>
    <mergeCell ref="AC2824:AC2825"/>
    <mergeCell ref="AD2824:AD2825"/>
    <mergeCell ref="AF2824:AF2825"/>
    <mergeCell ref="AG2824:AG2825"/>
    <mergeCell ref="AH2824:AH2825"/>
    <mergeCell ref="AL2782:AL2783"/>
    <mergeCell ref="AJ2838:AJ2839"/>
    <mergeCell ref="AJ2852:AJ2853"/>
    <mergeCell ref="AJ2856:AJ2857"/>
    <mergeCell ref="AB2838:AB2839"/>
    <mergeCell ref="AC2838:AC2839"/>
    <mergeCell ref="AH2820:AH2821"/>
    <mergeCell ref="AB2836:AB2837"/>
    <mergeCell ref="AC2836:AC2837"/>
    <mergeCell ref="AF2838:AF2839"/>
    <mergeCell ref="AG2838:AG2839"/>
    <mergeCell ref="AG2864:AG2865"/>
    <mergeCell ref="AL2806:AL2807"/>
    <mergeCell ref="AG2862:AG2863"/>
    <mergeCell ref="AH2862:AH2863"/>
    <mergeCell ref="N2962:N2963"/>
    <mergeCell ref="F2978:F2979"/>
    <mergeCell ref="J2978:J2979"/>
    <mergeCell ref="AL2912:AL2913"/>
    <mergeCell ref="AL2910:AL2911"/>
    <mergeCell ref="AF2706:AF2707"/>
    <mergeCell ref="AG2766:AG2767"/>
    <mergeCell ref="Y2744:Y2745"/>
    <mergeCell ref="AA2744:AA2745"/>
    <mergeCell ref="AI2724:AI2725"/>
    <mergeCell ref="AG2880:AG2881"/>
    <mergeCell ref="AH2880:AH2881"/>
    <mergeCell ref="AI2880:AI2881"/>
    <mergeCell ref="AK2880:AK2881"/>
    <mergeCell ref="AL2888:AL2889"/>
    <mergeCell ref="AC2882:AC2883"/>
    <mergeCell ref="AD2882:AD2883"/>
    <mergeCell ref="AF2882:AF2883"/>
    <mergeCell ref="AA2790:AA2791"/>
    <mergeCell ref="AB2790:AB2791"/>
    <mergeCell ref="AC2790:AC2791"/>
    <mergeCell ref="AJ2714:AJ2715"/>
    <mergeCell ref="AF2682:AF2683"/>
    <mergeCell ref="AG2682:AG2683"/>
    <mergeCell ref="Y2782:Y2783"/>
    <mergeCell ref="AB2962:AB2963"/>
    <mergeCell ref="AD2706:AD2707"/>
    <mergeCell ref="AB2752:AB2753"/>
    <mergeCell ref="AC2752:AC2753"/>
    <mergeCell ref="AK2744:AK2745"/>
    <mergeCell ref="AH2740:AH2741"/>
    <mergeCell ref="AL2774:AL2775"/>
    <mergeCell ref="AL2682:AL2683"/>
    <mergeCell ref="AG2692:AG2693"/>
    <mergeCell ref="AH2692:AH2693"/>
    <mergeCell ref="AI2692:AI2693"/>
    <mergeCell ref="Y2706:Y2707"/>
    <mergeCell ref="AA2706:AA2707"/>
    <mergeCell ref="AF2696:AF2697"/>
    <mergeCell ref="AI2862:AI2863"/>
    <mergeCell ref="AL2816:AL2817"/>
    <mergeCell ref="AF2834:AF2835"/>
    <mergeCell ref="AG2834:AG2835"/>
    <mergeCell ref="AH2834:AH2835"/>
    <mergeCell ref="AI2834:AI2835"/>
    <mergeCell ref="AJ2834:AJ2835"/>
    <mergeCell ref="AK2834:AK2835"/>
    <mergeCell ref="AL2834:AL2835"/>
    <mergeCell ref="AJ2898:AJ2899"/>
    <mergeCell ref="AJ2902:AJ2903"/>
    <mergeCell ref="AG2882:AG2883"/>
    <mergeCell ref="AH2882:AH2883"/>
    <mergeCell ref="AI2874:AI2875"/>
    <mergeCell ref="AH2774:AH2775"/>
    <mergeCell ref="AI2774:AI2775"/>
    <mergeCell ref="AL2780:AL2781"/>
    <mergeCell ref="AK2870:AK2871"/>
    <mergeCell ref="AL2860:AL2861"/>
    <mergeCell ref="AL2824:AL2825"/>
    <mergeCell ref="AL2794:AL2795"/>
    <mergeCell ref="AL2832:AL2833"/>
    <mergeCell ref="AC2826:AC2827"/>
    <mergeCell ref="AD2826:AD2827"/>
    <mergeCell ref="AF2826:AF2827"/>
    <mergeCell ref="AC156:AC157"/>
    <mergeCell ref="AK148:AK149"/>
    <mergeCell ref="AA156:AA157"/>
    <mergeCell ref="AJ414:AJ415"/>
    <mergeCell ref="AJ416:AJ417"/>
    <mergeCell ref="AC404:AC405"/>
    <mergeCell ref="AD404:AD405"/>
    <mergeCell ref="N416:N417"/>
    <mergeCell ref="AI404:AI405"/>
    <mergeCell ref="AK404:AK405"/>
    <mergeCell ref="AD416:AD417"/>
    <mergeCell ref="AF416:AF417"/>
    <mergeCell ref="AG416:AG417"/>
    <mergeCell ref="AH416:AH417"/>
    <mergeCell ref="AI416:AI417"/>
    <mergeCell ref="AK412:AK413"/>
    <mergeCell ref="AK416:AK417"/>
    <mergeCell ref="AF412:AF413"/>
    <mergeCell ref="AI414:AI415"/>
    <mergeCell ref="AG414:AG415"/>
    <mergeCell ref="AH414:AH415"/>
    <mergeCell ref="N354:N355"/>
    <mergeCell ref="Y354:Y355"/>
    <mergeCell ref="AA354:AA355"/>
    <mergeCell ref="AB354:AB355"/>
    <mergeCell ref="AD476:AD477"/>
    <mergeCell ref="AF476:AF477"/>
    <mergeCell ref="AL450:AL451"/>
    <mergeCell ref="AC557:AC558"/>
    <mergeCell ref="AD551:AD552"/>
    <mergeCell ref="AL589:AL590"/>
    <mergeCell ref="J658:J659"/>
    <mergeCell ref="AJ654:AJ655"/>
    <mergeCell ref="AD559:AD560"/>
    <mergeCell ref="AF559:AF560"/>
    <mergeCell ref="AG559:AG560"/>
    <mergeCell ref="J539:J540"/>
    <mergeCell ref="Y555:Y556"/>
    <mergeCell ref="AF551:AF552"/>
    <mergeCell ref="AA533:AA534"/>
    <mergeCell ref="Y603:Y604"/>
    <mergeCell ref="AC603:AC604"/>
    <mergeCell ref="AD603:AD604"/>
    <mergeCell ref="AF603:AF604"/>
    <mergeCell ref="AG569:AG570"/>
    <mergeCell ref="Y547:Y548"/>
    <mergeCell ref="AA547:AA548"/>
    <mergeCell ref="AG533:AG534"/>
    <mergeCell ref="AF545:AF546"/>
    <mergeCell ref="AG545:AG546"/>
    <mergeCell ref="AF613:AF614"/>
    <mergeCell ref="AG613:AG614"/>
    <mergeCell ref="AA555:AA556"/>
    <mergeCell ref="AD565:AD566"/>
    <mergeCell ref="AF565:AF566"/>
    <mergeCell ref="N539:N540"/>
    <mergeCell ref="J533:J534"/>
    <mergeCell ref="N533:N534"/>
    <mergeCell ref="AB535:AB536"/>
    <mergeCell ref="J591:J592"/>
    <mergeCell ref="AF581:AF582"/>
    <mergeCell ref="N597:N598"/>
    <mergeCell ref="J601:J602"/>
    <mergeCell ref="N601:N602"/>
    <mergeCell ref="AL2976:AL2977"/>
    <mergeCell ref="E2978:E2979"/>
    <mergeCell ref="AJ2968:AJ2969"/>
    <mergeCell ref="AJ2970:AJ2971"/>
    <mergeCell ref="AJ2972:AJ2973"/>
    <mergeCell ref="J2948:J2949"/>
    <mergeCell ref="AG2972:AG2973"/>
    <mergeCell ref="AD86:AD87"/>
    <mergeCell ref="AF86:AF87"/>
    <mergeCell ref="AG86:AG87"/>
    <mergeCell ref="AP102:AP103"/>
    <mergeCell ref="AM104:AM105"/>
    <mergeCell ref="AP104:AP105"/>
    <mergeCell ref="AM106:AM107"/>
    <mergeCell ref="AP106:AP107"/>
    <mergeCell ref="AM108:AM109"/>
    <mergeCell ref="AP108:AP109"/>
    <mergeCell ref="AM110:AM111"/>
    <mergeCell ref="AP110:AP111"/>
    <mergeCell ref="AM112:AM113"/>
    <mergeCell ref="AP112:AP113"/>
    <mergeCell ref="AM114:AM115"/>
    <mergeCell ref="AP114:AP115"/>
    <mergeCell ref="AM116:AM117"/>
    <mergeCell ref="N2700:N2701"/>
    <mergeCell ref="AL2690:AL2691"/>
    <mergeCell ref="AL2686:AL2687"/>
    <mergeCell ref="AP116:AP117"/>
    <mergeCell ref="AM118:AM119"/>
    <mergeCell ref="AP118:AP119"/>
    <mergeCell ref="AM120:AM121"/>
    <mergeCell ref="AP120:AP121"/>
    <mergeCell ref="AM122:AM123"/>
    <mergeCell ref="AO2712:AO2713"/>
    <mergeCell ref="AG2674:AG2675"/>
    <mergeCell ref="AO2151:AO2152"/>
    <mergeCell ref="AO2217:AO2218"/>
    <mergeCell ref="AK2692:AK2693"/>
    <mergeCell ref="AC2682:AC2683"/>
    <mergeCell ref="AD2682:AD2683"/>
    <mergeCell ref="AC148:AC149"/>
    <mergeCell ref="AF142:AF143"/>
    <mergeCell ref="AG142:AG143"/>
    <mergeCell ref="AH142:AH143"/>
    <mergeCell ref="AI142:AI143"/>
    <mergeCell ref="AI124:AI125"/>
    <mergeCell ref="AB88:AB89"/>
    <mergeCell ref="AC88:AC89"/>
    <mergeCell ref="AB2417:AB2418"/>
    <mergeCell ref="AG2471:AG2472"/>
    <mergeCell ref="AH2471:AH2472"/>
    <mergeCell ref="AB150:AB151"/>
    <mergeCell ref="AI144:AI145"/>
    <mergeCell ref="J156:J157"/>
    <mergeCell ref="N156:N157"/>
    <mergeCell ref="AD146:AD147"/>
    <mergeCell ref="AF146:AF147"/>
    <mergeCell ref="AL322:AL323"/>
    <mergeCell ref="AJ404:AJ405"/>
    <mergeCell ref="AL416:AL417"/>
    <mergeCell ref="J416:J417"/>
    <mergeCell ref="J641:J642"/>
    <mergeCell ref="AD627:AD628"/>
    <mergeCell ref="AF627:AF628"/>
    <mergeCell ref="AI130:AI131"/>
    <mergeCell ref="AK130:AK131"/>
    <mergeCell ref="AF134:AF135"/>
    <mergeCell ref="AG134:AG135"/>
    <mergeCell ref="AI134:AI135"/>
    <mergeCell ref="AK134:AK135"/>
    <mergeCell ref="AH106:AH107"/>
    <mergeCell ref="AI106:AI107"/>
    <mergeCell ref="Y140:Y141"/>
    <mergeCell ref="AA140:AA141"/>
    <mergeCell ref="AB140:AB141"/>
    <mergeCell ref="AC140:AC141"/>
    <mergeCell ref="F146:F147"/>
    <mergeCell ref="J146:J147"/>
    <mergeCell ref="AH146:AH147"/>
    <mergeCell ref="AL124:AL125"/>
    <mergeCell ref="AK110:AK111"/>
    <mergeCell ref="F144:F145"/>
    <mergeCell ref="J144:J145"/>
    <mergeCell ref="N144:N145"/>
    <mergeCell ref="Y144:Y145"/>
    <mergeCell ref="AA144:AA145"/>
    <mergeCell ref="AB144:AB145"/>
    <mergeCell ref="AC144:AC145"/>
    <mergeCell ref="AG112:AG113"/>
    <mergeCell ref="AJ110:AJ111"/>
    <mergeCell ref="AP72:AP73"/>
    <mergeCell ref="AM74:AM75"/>
    <mergeCell ref="AP74:AP75"/>
    <mergeCell ref="AM76:AM77"/>
    <mergeCell ref="AP76:AP77"/>
    <mergeCell ref="AM78:AM79"/>
    <mergeCell ref="AP78:AP79"/>
    <mergeCell ref="AM80:AM81"/>
    <mergeCell ref="AP80:AP81"/>
    <mergeCell ref="AM82:AM83"/>
    <mergeCell ref="AP82:AP83"/>
    <mergeCell ref="AM84:AM85"/>
    <mergeCell ref="AP84:AP85"/>
    <mergeCell ref="AM138:AM139"/>
    <mergeCell ref="AL104:AL105"/>
    <mergeCell ref="AB134:AB135"/>
    <mergeCell ref="AC134:AC135"/>
    <mergeCell ref="AD134:AD135"/>
    <mergeCell ref="AK138:AK139"/>
    <mergeCell ref="AK124:AK125"/>
    <mergeCell ref="AL106:AL107"/>
    <mergeCell ref="AL114:AL115"/>
    <mergeCell ref="AO132:AO133"/>
    <mergeCell ref="AO138:AO139"/>
    <mergeCell ref="AK144:AK145"/>
    <mergeCell ref="AP130:AP131"/>
    <mergeCell ref="AM132:AM133"/>
    <mergeCell ref="AP132:AP133"/>
    <mergeCell ref="AP134:AP135"/>
    <mergeCell ref="AG132:AG133"/>
    <mergeCell ref="AH132:AH133"/>
    <mergeCell ref="AC112:AC113"/>
    <mergeCell ref="AI112:AI113"/>
    <mergeCell ref="AP28:AP29"/>
    <mergeCell ref="AM30:AM31"/>
    <mergeCell ref="AP30:AP31"/>
    <mergeCell ref="AM32:AM33"/>
    <mergeCell ref="AP32:AP33"/>
    <mergeCell ref="AM34:AM35"/>
    <mergeCell ref="AP34:AP35"/>
    <mergeCell ref="AM36:AM37"/>
    <mergeCell ref="AP36:AP37"/>
    <mergeCell ref="AM38:AM39"/>
    <mergeCell ref="AP38:AP39"/>
    <mergeCell ref="AM40:AM41"/>
    <mergeCell ref="AP40:AP41"/>
    <mergeCell ref="AM42:AM43"/>
    <mergeCell ref="AP42:AP43"/>
    <mergeCell ref="AM44:AM45"/>
    <mergeCell ref="AP44:AP45"/>
    <mergeCell ref="AM46:AM47"/>
    <mergeCell ref="AP46:AP47"/>
    <mergeCell ref="AO46:AO47"/>
    <mergeCell ref="AO40:AO41"/>
    <mergeCell ref="AP48:AP49"/>
    <mergeCell ref="AM50:AM51"/>
    <mergeCell ref="AP50:AP51"/>
    <mergeCell ref="AP62:AP63"/>
    <mergeCell ref="AM64:AM65"/>
    <mergeCell ref="AP64:AP65"/>
    <mergeCell ref="AM66:AM67"/>
    <mergeCell ref="AP66:AP67"/>
    <mergeCell ref="AM68:AM69"/>
    <mergeCell ref="AP68:AP69"/>
    <mergeCell ref="AM70:AM71"/>
    <mergeCell ref="AP70:AP71"/>
    <mergeCell ref="AP52:AP53"/>
    <mergeCell ref="AM54:AM55"/>
    <mergeCell ref="AP54:AP55"/>
    <mergeCell ref="AM56:AM57"/>
    <mergeCell ref="AP56:AP57"/>
    <mergeCell ref="AM58:AM59"/>
    <mergeCell ref="AP58:AP59"/>
    <mergeCell ref="AO38:AO39"/>
    <mergeCell ref="AO42:AO43"/>
    <mergeCell ref="AO44:AO45"/>
    <mergeCell ref="AO34:AO35"/>
    <mergeCell ref="AO36:AO37"/>
    <mergeCell ref="AO28:AO29"/>
    <mergeCell ref="AO30:AO31"/>
    <mergeCell ref="AO60:AO61"/>
    <mergeCell ref="AO62:AO63"/>
    <mergeCell ref="AP60:AP61"/>
    <mergeCell ref="AM62:AM63"/>
    <mergeCell ref="AO64:AO65"/>
    <mergeCell ref="AM98:AM99"/>
    <mergeCell ref="AO98:AO99"/>
    <mergeCell ref="AP122:AP123"/>
    <mergeCell ref="AM52:AM53"/>
    <mergeCell ref="AO32:AO33"/>
    <mergeCell ref="AO88:AO89"/>
    <mergeCell ref="AC106:AC107"/>
    <mergeCell ref="AO84:AO85"/>
    <mergeCell ref="AB78:AB79"/>
    <mergeCell ref="AC78:AC79"/>
    <mergeCell ref="AF82:AF83"/>
    <mergeCell ref="AG82:AG83"/>
    <mergeCell ref="AH82:AH83"/>
    <mergeCell ref="AI82:AI83"/>
    <mergeCell ref="AK82:AK83"/>
    <mergeCell ref="AI84:AI85"/>
    <mergeCell ref="AK84:AK85"/>
    <mergeCell ref="AM86:AM87"/>
    <mergeCell ref="J86:J87"/>
    <mergeCell ref="N86:N87"/>
    <mergeCell ref="Y86:Y87"/>
    <mergeCell ref="AL72:AL73"/>
    <mergeCell ref="AL82:AL83"/>
    <mergeCell ref="AO82:AO83"/>
    <mergeCell ref="AA86:AA87"/>
    <mergeCell ref="AK86:AK87"/>
    <mergeCell ref="AL86:AL87"/>
    <mergeCell ref="AG80:AG81"/>
    <mergeCell ref="AH80:AH81"/>
    <mergeCell ref="J88:J89"/>
    <mergeCell ref="AM90:AM91"/>
    <mergeCell ref="AH86:AH87"/>
    <mergeCell ref="AI86:AI87"/>
    <mergeCell ref="AB76:AB77"/>
    <mergeCell ref="AC76:AC77"/>
    <mergeCell ref="AO76:AO77"/>
    <mergeCell ref="AK96:AK97"/>
    <mergeCell ref="AP86:AP87"/>
    <mergeCell ref="AP88:AP89"/>
    <mergeCell ref="AM96:AM97"/>
    <mergeCell ref="AP96:AP97"/>
    <mergeCell ref="Y88:Y89"/>
    <mergeCell ref="AA88:AA89"/>
    <mergeCell ref="N88:N89"/>
    <mergeCell ref="N74:N75"/>
    <mergeCell ref="Y74:Y75"/>
    <mergeCell ref="AA74:AA75"/>
    <mergeCell ref="AB74:AB75"/>
    <mergeCell ref="AC74:AC75"/>
    <mergeCell ref="AD74:AD75"/>
    <mergeCell ref="AF74:AF75"/>
    <mergeCell ref="AG74:AG75"/>
    <mergeCell ref="AH74:AH75"/>
    <mergeCell ref="AI74:AI75"/>
    <mergeCell ref="Y90:Y91"/>
    <mergeCell ref="AA90:AA91"/>
    <mergeCell ref="AB90:AB91"/>
    <mergeCell ref="AC90:AC91"/>
    <mergeCell ref="AD90:AD91"/>
    <mergeCell ref="AF90:AF91"/>
    <mergeCell ref="AG90:AG91"/>
    <mergeCell ref="AH90:AH91"/>
    <mergeCell ref="AI90:AI91"/>
    <mergeCell ref="AK90:AK91"/>
    <mergeCell ref="AF80:AF81"/>
    <mergeCell ref="AJ86:AJ87"/>
    <mergeCell ref="AG88:AG89"/>
    <mergeCell ref="AH88:AH89"/>
    <mergeCell ref="AI88:AI89"/>
    <mergeCell ref="AK88:AK89"/>
    <mergeCell ref="AL88:AL89"/>
    <mergeCell ref="AL90:AL91"/>
    <mergeCell ref="AC84:AC85"/>
    <mergeCell ref="AD84:AD85"/>
    <mergeCell ref="AD92:AD93"/>
    <mergeCell ref="AF92:AF93"/>
    <mergeCell ref="AG92:AG93"/>
    <mergeCell ref="AH92:AH93"/>
    <mergeCell ref="AI92:AI93"/>
    <mergeCell ref="AJ92:AJ93"/>
    <mergeCell ref="AK92:AK93"/>
    <mergeCell ref="AL92:AL93"/>
    <mergeCell ref="AG108:AG109"/>
    <mergeCell ref="AH108:AH109"/>
    <mergeCell ref="E98:E99"/>
    <mergeCell ref="F98:F99"/>
    <mergeCell ref="J98:J99"/>
    <mergeCell ref="N98:N99"/>
    <mergeCell ref="Y98:Y99"/>
    <mergeCell ref="AA98:AA99"/>
    <mergeCell ref="AB98:AB99"/>
    <mergeCell ref="AC98:AC99"/>
    <mergeCell ref="AD98:AD99"/>
    <mergeCell ref="AF98:AF99"/>
    <mergeCell ref="AG98:AG99"/>
    <mergeCell ref="AH98:AH99"/>
    <mergeCell ref="AI98:AI99"/>
    <mergeCell ref="AK98:AK99"/>
    <mergeCell ref="AL98:AL99"/>
    <mergeCell ref="AD88:AD89"/>
    <mergeCell ref="AF88:AF89"/>
    <mergeCell ref="AJ88:AJ89"/>
    <mergeCell ref="AJ90:AJ91"/>
    <mergeCell ref="N84:N85"/>
    <mergeCell ref="AK106:AK107"/>
    <mergeCell ref="AB86:AB87"/>
    <mergeCell ref="AC86:AC87"/>
    <mergeCell ref="F88:F89"/>
    <mergeCell ref="AF108:AF109"/>
    <mergeCell ref="AJ108:AJ109"/>
    <mergeCell ref="AA102:AA103"/>
    <mergeCell ref="J108:J109"/>
    <mergeCell ref="N108:N109"/>
    <mergeCell ref="Y108:Y109"/>
    <mergeCell ref="AA108:AA109"/>
    <mergeCell ref="AB108:AB109"/>
    <mergeCell ref="AC108:AC109"/>
    <mergeCell ref="AD108:AD109"/>
    <mergeCell ref="AK74:AK75"/>
    <mergeCell ref="AL74:AL75"/>
    <mergeCell ref="AO74:AO75"/>
    <mergeCell ref="AP90:AP91"/>
    <mergeCell ref="AO96:AO97"/>
    <mergeCell ref="AA80:AA81"/>
    <mergeCell ref="F90:F91"/>
    <mergeCell ref="J90:J91"/>
    <mergeCell ref="N90:N91"/>
    <mergeCell ref="AP92:AP93"/>
    <mergeCell ref="AM126:AM127"/>
    <mergeCell ref="AP126:AP127"/>
    <mergeCell ref="AM128:AM129"/>
    <mergeCell ref="AP128:AP129"/>
    <mergeCell ref="E94:E95"/>
    <mergeCell ref="F94:F95"/>
    <mergeCell ref="J94:J95"/>
    <mergeCell ref="N94:N95"/>
    <mergeCell ref="Y94:Y95"/>
    <mergeCell ref="AA94:AA95"/>
    <mergeCell ref="AB94:AB95"/>
    <mergeCell ref="AC94:AC95"/>
    <mergeCell ref="AD94:AD95"/>
    <mergeCell ref="AF94:AF95"/>
    <mergeCell ref="AG94:AG95"/>
    <mergeCell ref="AH94:AH95"/>
    <mergeCell ref="AI94:AI95"/>
    <mergeCell ref="AK94:AK95"/>
    <mergeCell ref="AL94:AL95"/>
    <mergeCell ref="AM94:AM95"/>
    <mergeCell ref="AO94:AO95"/>
    <mergeCell ref="AP94:AP95"/>
    <mergeCell ref="AO128:AO129"/>
    <mergeCell ref="AM124:AM125"/>
    <mergeCell ref="AP124:AP125"/>
    <mergeCell ref="AO114:AO115"/>
    <mergeCell ref="E116:E117"/>
    <mergeCell ref="F116:F117"/>
    <mergeCell ref="J116:J117"/>
    <mergeCell ref="N116:N117"/>
    <mergeCell ref="AI110:AI111"/>
    <mergeCell ref="AK112:AK113"/>
    <mergeCell ref="AO124:AO125"/>
    <mergeCell ref="AO118:AO119"/>
    <mergeCell ref="AO112:AO113"/>
    <mergeCell ref="AO106:AO107"/>
    <mergeCell ref="AO104:AO105"/>
    <mergeCell ref="AO122:AO123"/>
    <mergeCell ref="AO126:AO127"/>
    <mergeCell ref="AO120:AO121"/>
    <mergeCell ref="E122:E123"/>
    <mergeCell ref="F122:F123"/>
    <mergeCell ref="J122:J123"/>
    <mergeCell ref="N122:N123"/>
    <mergeCell ref="Y122:Y123"/>
    <mergeCell ref="AA122:AA123"/>
    <mergeCell ref="AB122:AB123"/>
    <mergeCell ref="AC122:AC123"/>
    <mergeCell ref="AD122:AD123"/>
    <mergeCell ref="AF122:AF123"/>
    <mergeCell ref="AG122:AG123"/>
    <mergeCell ref="AB80:AB81"/>
    <mergeCell ref="AC80:AC81"/>
    <mergeCell ref="AD80:AD81"/>
    <mergeCell ref="F160:F161"/>
    <mergeCell ref="J160:J161"/>
    <mergeCell ref="N160:N161"/>
    <mergeCell ref="Y160:Y161"/>
    <mergeCell ref="AL144:AL145"/>
    <mergeCell ref="AO144:AO145"/>
    <mergeCell ref="E132:E133"/>
    <mergeCell ref="AF116:AF117"/>
    <mergeCell ref="AG116:AG117"/>
    <mergeCell ref="AH116:AH117"/>
    <mergeCell ref="AI116:AI117"/>
    <mergeCell ref="AK116:AK117"/>
    <mergeCell ref="AL116:AL117"/>
    <mergeCell ref="AO116:AO117"/>
    <mergeCell ref="E124:E125"/>
    <mergeCell ref="F124:F125"/>
    <mergeCell ref="J124:J125"/>
    <mergeCell ref="N124:N125"/>
    <mergeCell ref="Y124:Y125"/>
    <mergeCell ref="AA124:AA125"/>
    <mergeCell ref="AB124:AB125"/>
    <mergeCell ref="AC124:AC125"/>
    <mergeCell ref="AO140:AO141"/>
    <mergeCell ref="AB136:AB137"/>
    <mergeCell ref="F128:F129"/>
    <mergeCell ref="J128:J129"/>
    <mergeCell ref="N128:N129"/>
    <mergeCell ref="Y128:Y129"/>
    <mergeCell ref="AA128:AA129"/>
    <mergeCell ref="AB128:AB129"/>
    <mergeCell ref="AC128:AC129"/>
    <mergeCell ref="AD128:AD129"/>
    <mergeCell ref="AF128:AF129"/>
    <mergeCell ref="AG128:AG129"/>
    <mergeCell ref="E138:E139"/>
    <mergeCell ref="F138:F139"/>
    <mergeCell ref="J138:J139"/>
    <mergeCell ref="N138:N139"/>
    <mergeCell ref="Y138:Y139"/>
    <mergeCell ref="AA138:AA139"/>
    <mergeCell ref="AB138:AB139"/>
    <mergeCell ref="AC138:AC139"/>
    <mergeCell ref="AD138:AD139"/>
    <mergeCell ref="AM130:AM131"/>
    <mergeCell ref="AJ118:AJ119"/>
    <mergeCell ref="AJ120:AJ121"/>
    <mergeCell ref="AD118:AD119"/>
    <mergeCell ref="AL120:AL121"/>
    <mergeCell ref="AL126:AL127"/>
    <mergeCell ref="AO134:AO135"/>
    <mergeCell ref="AO130:AO131"/>
    <mergeCell ref="J134:J135"/>
    <mergeCell ref="N134:N135"/>
    <mergeCell ref="N120:N121"/>
    <mergeCell ref="AF138:AF139"/>
    <mergeCell ref="AG138:AG139"/>
    <mergeCell ref="Y116:Y117"/>
    <mergeCell ref="AA116:AA117"/>
    <mergeCell ref="F130:F131"/>
    <mergeCell ref="J130:J131"/>
    <mergeCell ref="N130:N131"/>
    <mergeCell ref="Y130:Y131"/>
    <mergeCell ref="AA130:AA131"/>
    <mergeCell ref="AI148:AI149"/>
    <mergeCell ref="E142:E143"/>
    <mergeCell ref="E128:E129"/>
    <mergeCell ref="E136:E137"/>
    <mergeCell ref="E134:E135"/>
    <mergeCell ref="AL132:AL133"/>
    <mergeCell ref="AL136:AL137"/>
    <mergeCell ref="AL142:AL143"/>
    <mergeCell ref="E140:E141"/>
    <mergeCell ref="F120:F121"/>
    <mergeCell ref="J120:J121"/>
    <mergeCell ref="AH138:AH139"/>
    <mergeCell ref="AI138:AI139"/>
    <mergeCell ref="F132:F133"/>
    <mergeCell ref="J132:J133"/>
    <mergeCell ref="F142:F143"/>
    <mergeCell ref="AD124:AD125"/>
    <mergeCell ref="AF124:AF125"/>
    <mergeCell ref="AI114:AI115"/>
    <mergeCell ref="AK114:AK115"/>
    <mergeCell ref="AL118:AL119"/>
    <mergeCell ref="N118:N119"/>
    <mergeCell ref="N154:N155"/>
    <mergeCell ref="Y154:Y155"/>
    <mergeCell ref="AA154:AA155"/>
    <mergeCell ref="AB154:AB155"/>
    <mergeCell ref="AC154:AC155"/>
    <mergeCell ref="AL148:AL149"/>
    <mergeCell ref="AL152:AL153"/>
    <mergeCell ref="J152:J153"/>
    <mergeCell ref="J148:J149"/>
    <mergeCell ref="AH122:AH123"/>
    <mergeCell ref="AI122:AI123"/>
    <mergeCell ref="AK122:AK123"/>
    <mergeCell ref="AL122:AL123"/>
    <mergeCell ref="AG118:AG119"/>
    <mergeCell ref="AH118:AH119"/>
    <mergeCell ref="AI118:AI119"/>
    <mergeCell ref="AK118:AK119"/>
    <mergeCell ref="F136:F137"/>
    <mergeCell ref="J136:J137"/>
    <mergeCell ref="N136:N137"/>
    <mergeCell ref="N114:N115"/>
    <mergeCell ref="Y114:Y115"/>
    <mergeCell ref="J114:J115"/>
    <mergeCell ref="Y136:Y137"/>
    <mergeCell ref="AA136:AA137"/>
    <mergeCell ref="AB116:AB117"/>
    <mergeCell ref="AC116:AC117"/>
    <mergeCell ref="AD116:AD117"/>
    <mergeCell ref="AH128:AH129"/>
    <mergeCell ref="AI128:AI129"/>
    <mergeCell ref="AK128:AK129"/>
    <mergeCell ref="AL128:AL129"/>
    <mergeCell ref="AK142:AK143"/>
    <mergeCell ref="AH134:AH135"/>
    <mergeCell ref="AC132:AC133"/>
    <mergeCell ref="AD132:AD133"/>
    <mergeCell ref="AL130:AL131"/>
    <mergeCell ref="AL134:AL135"/>
    <mergeCell ref="AL138:AL139"/>
    <mergeCell ref="AI136:AI137"/>
    <mergeCell ref="AK136:AK137"/>
    <mergeCell ref="AA114:AA115"/>
    <mergeCell ref="AH130:AH131"/>
    <mergeCell ref="F180:F181"/>
    <mergeCell ref="AL178:AL179"/>
    <mergeCell ref="AF162:AF163"/>
    <mergeCell ref="AG162:AG163"/>
    <mergeCell ref="AH162:AH163"/>
    <mergeCell ref="AK180:AK181"/>
    <mergeCell ref="AL180:AL181"/>
    <mergeCell ref="AO180:AO181"/>
    <mergeCell ref="AB158:AB159"/>
    <mergeCell ref="AC158:AC159"/>
    <mergeCell ref="AD158:AD159"/>
    <mergeCell ref="AF158:AF159"/>
    <mergeCell ref="AG158:AG159"/>
    <mergeCell ref="E168:E169"/>
    <mergeCell ref="AL182:AL183"/>
    <mergeCell ref="AO182:AO183"/>
    <mergeCell ref="J180:J181"/>
    <mergeCell ref="AO184:AO185"/>
    <mergeCell ref="AM144:AM145"/>
    <mergeCell ref="AP144:AP145"/>
    <mergeCell ref="AM146:AM147"/>
    <mergeCell ref="AP146:AP147"/>
    <mergeCell ref="AP148:AP149"/>
    <mergeCell ref="AP150:AP151"/>
    <mergeCell ref="E178:E179"/>
    <mergeCell ref="E162:E163"/>
    <mergeCell ref="AL162:AL163"/>
    <mergeCell ref="F162:F163"/>
    <mergeCell ref="AA162:AA163"/>
    <mergeCell ref="AB162:AB163"/>
    <mergeCell ref="AC162:AC163"/>
    <mergeCell ref="AD162:AD163"/>
    <mergeCell ref="AC164:AC165"/>
    <mergeCell ref="AD164:AD165"/>
    <mergeCell ref="AF164:AF165"/>
    <mergeCell ref="AG164:AG165"/>
    <mergeCell ref="AD156:AD157"/>
    <mergeCell ref="AF156:AF157"/>
    <mergeCell ref="AG156:AG157"/>
    <mergeCell ref="AL158:AL159"/>
    <mergeCell ref="Y156:Y157"/>
    <mergeCell ref="E166:E167"/>
    <mergeCell ref="F166:F167"/>
    <mergeCell ref="J166:J167"/>
    <mergeCell ref="N166:N167"/>
    <mergeCell ref="Y166:Y167"/>
    <mergeCell ref="AA166:AA167"/>
    <mergeCell ref="AB166:AB167"/>
    <mergeCell ref="AC166:AC167"/>
    <mergeCell ref="AC150:AC151"/>
    <mergeCell ref="AD150:AD151"/>
    <mergeCell ref="AG144:AG145"/>
    <mergeCell ref="AH144:AH145"/>
    <mergeCell ref="AI146:AI147"/>
    <mergeCell ref="AK150:AK151"/>
    <mergeCell ref="AH156:AH157"/>
    <mergeCell ref="AI156:AI157"/>
    <mergeCell ref="AK156:AK157"/>
    <mergeCell ref="AL156:AL157"/>
    <mergeCell ref="AO156:AO157"/>
    <mergeCell ref="N146:N147"/>
    <mergeCell ref="Y146:Y147"/>
    <mergeCell ref="AO150:AO151"/>
    <mergeCell ref="AO148:AO149"/>
    <mergeCell ref="AO188:AO189"/>
    <mergeCell ref="AH186:AH187"/>
    <mergeCell ref="AI186:AI187"/>
    <mergeCell ref="AI176:AI177"/>
    <mergeCell ref="AK176:AK177"/>
    <mergeCell ref="AL176:AL177"/>
    <mergeCell ref="AH164:AH165"/>
    <mergeCell ref="AI164:AI165"/>
    <mergeCell ref="AK164:AK165"/>
    <mergeCell ref="AL164:AL165"/>
    <mergeCell ref="AM164:AM165"/>
    <mergeCell ref="AK190:AK191"/>
    <mergeCell ref="AL190:AL191"/>
    <mergeCell ref="AO190:AO191"/>
    <mergeCell ref="AO158:AO159"/>
    <mergeCell ref="AJ150:AJ151"/>
    <mergeCell ref="AJ152:AJ153"/>
    <mergeCell ref="AJ154:AJ155"/>
    <mergeCell ref="AJ156:AJ157"/>
    <mergeCell ref="AJ158:AJ159"/>
    <mergeCell ref="AJ160:AJ161"/>
    <mergeCell ref="AJ162:AJ163"/>
    <mergeCell ref="AG152:AG153"/>
    <mergeCell ref="AI162:AI163"/>
    <mergeCell ref="AK162:AK163"/>
    <mergeCell ref="AM162:AM163"/>
    <mergeCell ref="AP162:AP163"/>
    <mergeCell ref="AM170:AM171"/>
    <mergeCell ref="AP170:AP171"/>
    <mergeCell ref="AP176:AP177"/>
    <mergeCell ref="AM178:AM179"/>
    <mergeCell ref="AP178:AP179"/>
    <mergeCell ref="AM180:AM181"/>
    <mergeCell ref="AP180:AP181"/>
    <mergeCell ref="AM182:AM183"/>
    <mergeCell ref="AP182:AP183"/>
    <mergeCell ref="AM184:AM185"/>
    <mergeCell ref="AP190:AP191"/>
    <mergeCell ref="AH188:AH189"/>
    <mergeCell ref="AI188:AI189"/>
    <mergeCell ref="AO176:AO177"/>
    <mergeCell ref="AM166:AM167"/>
    <mergeCell ref="AO166:AO167"/>
    <mergeCell ref="AP166:AP167"/>
    <mergeCell ref="AL154:AL155"/>
    <mergeCell ref="AL184:AL185"/>
    <mergeCell ref="AO164:AO165"/>
    <mergeCell ref="AI158:AI159"/>
    <mergeCell ref="AK154:AK155"/>
    <mergeCell ref="AG180:AG181"/>
    <mergeCell ref="AK158:AK159"/>
    <mergeCell ref="AI152:AI153"/>
    <mergeCell ref="AO154:AO155"/>
    <mergeCell ref="AO152:AO153"/>
    <mergeCell ref="AH158:AH159"/>
    <mergeCell ref="AG166:AG167"/>
    <mergeCell ref="AH166:AH167"/>
    <mergeCell ref="AI166:AI167"/>
    <mergeCell ref="AJ166:AJ167"/>
    <mergeCell ref="AK166:AK167"/>
    <mergeCell ref="AK152:AK153"/>
    <mergeCell ref="AP194:AP195"/>
    <mergeCell ref="AM196:AM197"/>
    <mergeCell ref="AH150:AH151"/>
    <mergeCell ref="AP184:AP185"/>
    <mergeCell ref="AM186:AM187"/>
    <mergeCell ref="AP186:AP187"/>
    <mergeCell ref="AM152:AM153"/>
    <mergeCell ref="AP152:AP153"/>
    <mergeCell ref="AM154:AM155"/>
    <mergeCell ref="AO258:AO259"/>
    <mergeCell ref="AO274:AO275"/>
    <mergeCell ref="AO262:AO263"/>
    <mergeCell ref="AO264:AO265"/>
    <mergeCell ref="AO256:AO257"/>
    <mergeCell ref="AP222:AP223"/>
    <mergeCell ref="AM224:AM225"/>
    <mergeCell ref="AP224:AP225"/>
    <mergeCell ref="AM228:AM229"/>
    <mergeCell ref="AP228:AP229"/>
    <mergeCell ref="AM232:AM233"/>
    <mergeCell ref="AP232:AP233"/>
    <mergeCell ref="AM234:AM235"/>
    <mergeCell ref="AP234:AP235"/>
    <mergeCell ref="AM236:AM237"/>
    <mergeCell ref="AP236:AP237"/>
    <mergeCell ref="AM238:AM239"/>
    <mergeCell ref="AP238:AP239"/>
    <mergeCell ref="AM240:AM241"/>
    <mergeCell ref="AP240:AP241"/>
    <mergeCell ref="AM214:AM215"/>
    <mergeCell ref="AL240:AL241"/>
    <mergeCell ref="AO240:AO241"/>
    <mergeCell ref="AL232:AL233"/>
    <mergeCell ref="AO232:AO233"/>
    <mergeCell ref="AH234:AH235"/>
    <mergeCell ref="AI234:AI235"/>
    <mergeCell ref="AK234:AK235"/>
    <mergeCell ref="AL234:AL235"/>
    <mergeCell ref="AO234:AO235"/>
    <mergeCell ref="AP268:AP269"/>
    <mergeCell ref="AM270:AM271"/>
    <mergeCell ref="AP270:AP271"/>
    <mergeCell ref="AM272:AM273"/>
    <mergeCell ref="AP272:AP273"/>
    <mergeCell ref="AM274:AM275"/>
    <mergeCell ref="AP274:AP275"/>
    <mergeCell ref="AO260:AO261"/>
    <mergeCell ref="AO266:AO267"/>
    <mergeCell ref="AM242:AM243"/>
    <mergeCell ref="AO268:AO269"/>
    <mergeCell ref="AO272:AO273"/>
    <mergeCell ref="AP196:AP197"/>
    <mergeCell ref="AO192:AO193"/>
    <mergeCell ref="AM198:AM199"/>
    <mergeCell ref="AP198:AP199"/>
    <mergeCell ref="AM200:AM201"/>
    <mergeCell ref="AP200:AP201"/>
    <mergeCell ref="AM202:AM203"/>
    <mergeCell ref="AP202:AP203"/>
    <mergeCell ref="AM204:AM205"/>
    <mergeCell ref="AP204:AP205"/>
    <mergeCell ref="AM206:AM207"/>
    <mergeCell ref="AP188:AP189"/>
    <mergeCell ref="AM190:AM191"/>
    <mergeCell ref="AP248:AP249"/>
    <mergeCell ref="AM250:AM251"/>
    <mergeCell ref="AP250:AP251"/>
    <mergeCell ref="AP252:AP253"/>
    <mergeCell ref="AM254:AM255"/>
    <mergeCell ref="AP254:AP255"/>
    <mergeCell ref="AM256:AM257"/>
    <mergeCell ref="AP256:AP257"/>
    <mergeCell ref="AM258:AM259"/>
    <mergeCell ref="AP258:AP259"/>
    <mergeCell ref="AM260:AM261"/>
    <mergeCell ref="AP260:AP261"/>
    <mergeCell ref="AM262:AM263"/>
    <mergeCell ref="AP262:AP263"/>
    <mergeCell ref="AM264:AM265"/>
    <mergeCell ref="AP264:AP265"/>
    <mergeCell ref="AM266:AM267"/>
    <mergeCell ref="AP266:AP267"/>
    <mergeCell ref="AM268:AM269"/>
    <mergeCell ref="F270:F271"/>
    <mergeCell ref="AJ242:AJ243"/>
    <mergeCell ref="AJ244:AJ245"/>
    <mergeCell ref="AJ246:AJ247"/>
    <mergeCell ref="AJ248:AJ249"/>
    <mergeCell ref="AJ250:AJ251"/>
    <mergeCell ref="AJ252:AJ253"/>
    <mergeCell ref="AJ254:AJ255"/>
    <mergeCell ref="AJ256:AJ257"/>
    <mergeCell ref="AJ258:AJ259"/>
    <mergeCell ref="AJ260:AJ261"/>
    <mergeCell ref="AB252:AB253"/>
    <mergeCell ref="AC252:AC253"/>
    <mergeCell ref="AD252:AD253"/>
    <mergeCell ref="AF252:AF253"/>
    <mergeCell ref="AG252:AG253"/>
    <mergeCell ref="AD260:AD261"/>
    <mergeCell ref="AF260:AF261"/>
    <mergeCell ref="AG260:AG261"/>
    <mergeCell ref="AH260:AH261"/>
    <mergeCell ref="AI260:AI261"/>
    <mergeCell ref="J258:J259"/>
    <mergeCell ref="Y264:Y265"/>
    <mergeCell ref="AB256:AB257"/>
    <mergeCell ref="AC256:AC257"/>
    <mergeCell ref="AD256:AD257"/>
    <mergeCell ref="AF256:AF257"/>
    <mergeCell ref="N264:N265"/>
    <mergeCell ref="AG256:AG257"/>
    <mergeCell ref="AH256:AH257"/>
    <mergeCell ref="AI256:AI257"/>
    <mergeCell ref="AK256:AK257"/>
    <mergeCell ref="AL256:AL257"/>
    <mergeCell ref="Y260:Y261"/>
    <mergeCell ref="AA260:AA261"/>
    <mergeCell ref="F252:F253"/>
    <mergeCell ref="J252:J253"/>
    <mergeCell ref="J260:J261"/>
    <mergeCell ref="N260:N261"/>
    <mergeCell ref="AL254:AL255"/>
    <mergeCell ref="AL258:AL259"/>
    <mergeCell ref="AM252:AM253"/>
    <mergeCell ref="AL252:AL253"/>
    <mergeCell ref="F254:F255"/>
    <mergeCell ref="F242:F243"/>
    <mergeCell ref="AP296:AP297"/>
    <mergeCell ref="AP304:AP305"/>
    <mergeCell ref="AO282:AO283"/>
    <mergeCell ref="AO286:AO287"/>
    <mergeCell ref="AP286:AP287"/>
    <mergeCell ref="AO290:AO291"/>
    <mergeCell ref="AP290:AP291"/>
    <mergeCell ref="AO298:AO299"/>
    <mergeCell ref="AP298:AP299"/>
    <mergeCell ref="AJ312:AJ313"/>
    <mergeCell ref="AJ314:AJ315"/>
    <mergeCell ref="AJ316:AJ317"/>
    <mergeCell ref="AJ320:AJ321"/>
    <mergeCell ref="AJ322:AJ323"/>
    <mergeCell ref="AJ324:AJ325"/>
    <mergeCell ref="AO292:AO293"/>
    <mergeCell ref="AO312:AO313"/>
    <mergeCell ref="AO280:AO281"/>
    <mergeCell ref="AP282:AP283"/>
    <mergeCell ref="E280:E281"/>
    <mergeCell ref="F280:F281"/>
    <mergeCell ref="J280:J281"/>
    <mergeCell ref="N302:N303"/>
    <mergeCell ref="Y302:Y303"/>
    <mergeCell ref="AP292:AP293"/>
    <mergeCell ref="AM294:AM295"/>
    <mergeCell ref="AP294:AP295"/>
    <mergeCell ref="AM296:AM297"/>
    <mergeCell ref="AH282:AH283"/>
    <mergeCell ref="AI296:AI297"/>
    <mergeCell ref="AH292:AH293"/>
    <mergeCell ref="AD310:AD311"/>
    <mergeCell ref="Y310:Y311"/>
    <mergeCell ref="AF310:AF311"/>
    <mergeCell ref="E320:E321"/>
    <mergeCell ref="AL310:AL311"/>
    <mergeCell ref="AJ300:AJ301"/>
    <mergeCell ref="AF288:AF289"/>
    <mergeCell ref="AG288:AG289"/>
    <mergeCell ref="AG294:AG295"/>
    <mergeCell ref="AH280:AH281"/>
    <mergeCell ref="AK300:AK301"/>
    <mergeCell ref="AL300:AL301"/>
    <mergeCell ref="AL312:AL313"/>
    <mergeCell ref="N312:N313"/>
    <mergeCell ref="Y312:Y313"/>
    <mergeCell ref="AA312:AA313"/>
    <mergeCell ref="AK322:AK323"/>
    <mergeCell ref="AO304:AO305"/>
    <mergeCell ref="Y316:Y317"/>
    <mergeCell ref="AL314:AL315"/>
    <mergeCell ref="AO314:AO315"/>
    <mergeCell ref="E314:E315"/>
    <mergeCell ref="F314:F315"/>
    <mergeCell ref="J314:J315"/>
    <mergeCell ref="N314:N315"/>
    <mergeCell ref="Y314:Y315"/>
    <mergeCell ref="AA314:AA315"/>
    <mergeCell ref="AB314:AB315"/>
    <mergeCell ref="AB312:AB313"/>
    <mergeCell ref="J302:J303"/>
    <mergeCell ref="AG302:AG303"/>
    <mergeCell ref="AH302:AH303"/>
    <mergeCell ref="J320:J321"/>
    <mergeCell ref="AM348:AM349"/>
    <mergeCell ref="AO348:AO349"/>
    <mergeCell ref="AP348:AP349"/>
    <mergeCell ref="AA371:AA372"/>
    <mergeCell ref="E371:E372"/>
    <mergeCell ref="F371:F372"/>
    <mergeCell ref="J371:J372"/>
    <mergeCell ref="E354:E355"/>
    <mergeCell ref="F354:F355"/>
    <mergeCell ref="J354:J355"/>
    <mergeCell ref="AM320:AM321"/>
    <mergeCell ref="AP320:AP321"/>
    <mergeCell ref="AM322:AM323"/>
    <mergeCell ref="AP322:AP323"/>
    <mergeCell ref="E324:E325"/>
    <mergeCell ref="AA322:AA323"/>
    <mergeCell ref="AB322:AB323"/>
    <mergeCell ref="AH322:AH323"/>
    <mergeCell ref="F320:F321"/>
    <mergeCell ref="AB320:AB321"/>
    <mergeCell ref="AC320:AC321"/>
    <mergeCell ref="AD320:AD321"/>
    <mergeCell ref="AF320:AF321"/>
    <mergeCell ref="AG320:AG321"/>
    <mergeCell ref="AH320:AH321"/>
    <mergeCell ref="AM336:AM337"/>
    <mergeCell ref="J404:J405"/>
    <mergeCell ref="N404:N405"/>
    <mergeCell ref="Y404:Y405"/>
    <mergeCell ref="AJ356:AJ357"/>
    <mergeCell ref="AK344:AK345"/>
    <mergeCell ref="AH330:AH331"/>
    <mergeCell ref="N342:N343"/>
    <mergeCell ref="Y342:Y343"/>
    <mergeCell ref="AA342:AA343"/>
    <mergeCell ref="AB342:AB343"/>
    <mergeCell ref="AC342:AC343"/>
    <mergeCell ref="AD342:AD343"/>
    <mergeCell ref="AF342:AF343"/>
    <mergeCell ref="AG342:AG343"/>
    <mergeCell ref="AH342:AH343"/>
    <mergeCell ref="AI342:AI343"/>
    <mergeCell ref="AJ342:AJ343"/>
    <mergeCell ref="AK342:AK343"/>
    <mergeCell ref="AB346:AB347"/>
    <mergeCell ref="AC346:AC347"/>
    <mergeCell ref="F324:F325"/>
    <mergeCell ref="J324:J325"/>
    <mergeCell ref="N324:N325"/>
    <mergeCell ref="AO326:AO327"/>
    <mergeCell ref="E328:E329"/>
    <mergeCell ref="Y328:Y329"/>
    <mergeCell ref="AA328:AA329"/>
    <mergeCell ref="N326:N327"/>
    <mergeCell ref="Y326:Y327"/>
    <mergeCell ref="AI320:AI321"/>
    <mergeCell ref="AK320:AK321"/>
    <mergeCell ref="AC354:AC355"/>
    <mergeCell ref="AD354:AD355"/>
    <mergeCell ref="AF354:AF355"/>
    <mergeCell ref="AG354:AG355"/>
    <mergeCell ref="AH354:AH355"/>
    <mergeCell ref="AI354:AI355"/>
    <mergeCell ref="AJ354:AJ355"/>
    <mergeCell ref="F342:F343"/>
    <mergeCell ref="F404:F405"/>
    <mergeCell ref="AD344:AD345"/>
    <mergeCell ref="AF344:AF345"/>
    <mergeCell ref="AG344:AG345"/>
    <mergeCell ref="AH344:AH345"/>
    <mergeCell ref="AI344:AI345"/>
    <mergeCell ref="AJ344:AJ345"/>
    <mergeCell ref="AG348:AG349"/>
    <mergeCell ref="AH348:AH349"/>
    <mergeCell ref="AI348:AI349"/>
    <mergeCell ref="AJ348:AJ349"/>
    <mergeCell ref="AK348:AK349"/>
    <mergeCell ref="N358:N359"/>
    <mergeCell ref="Y358:Y359"/>
    <mergeCell ref="AA358:AA359"/>
    <mergeCell ref="AB358:AB359"/>
    <mergeCell ref="AC358:AC359"/>
    <mergeCell ref="AD358:AD359"/>
    <mergeCell ref="AF358:AF359"/>
    <mergeCell ref="AG358:AG359"/>
    <mergeCell ref="AH358:AH359"/>
    <mergeCell ref="AI358:AI359"/>
    <mergeCell ref="AJ358:AJ359"/>
    <mergeCell ref="AK358:AK359"/>
    <mergeCell ref="N360:N361"/>
    <mergeCell ref="Y360:Y361"/>
    <mergeCell ref="AA360:AA361"/>
    <mergeCell ref="AB360:AB361"/>
    <mergeCell ref="AC360:AC361"/>
    <mergeCell ref="AD360:AD361"/>
    <mergeCell ref="AF360:AF361"/>
    <mergeCell ref="AG360:AG361"/>
    <mergeCell ref="N371:N372"/>
    <mergeCell ref="Y371:Y372"/>
    <mergeCell ref="AK356:AK357"/>
    <mergeCell ref="F399:F400"/>
    <mergeCell ref="J399:J400"/>
    <mergeCell ref="N399:N400"/>
    <mergeCell ref="Y399:Y400"/>
    <mergeCell ref="AA399:AA400"/>
    <mergeCell ref="AB399:AB400"/>
    <mergeCell ref="AC399:AC400"/>
    <mergeCell ref="AD399:AD400"/>
    <mergeCell ref="AF399:AF400"/>
    <mergeCell ref="AG399:AG400"/>
    <mergeCell ref="AH399:AH400"/>
    <mergeCell ref="AI399:AI400"/>
    <mergeCell ref="AJ399:AJ400"/>
    <mergeCell ref="AK399:AK400"/>
    <mergeCell ref="AK380:AK381"/>
    <mergeCell ref="AK397:AK398"/>
    <mergeCell ref="AI365:AI366"/>
    <mergeCell ref="AJ365:AJ366"/>
    <mergeCell ref="AK365:AK366"/>
    <mergeCell ref="AM412:AM413"/>
    <mergeCell ref="AP412:AP413"/>
    <mergeCell ref="AM414:AM415"/>
    <mergeCell ref="AP414:AP415"/>
    <mergeCell ref="AM416:AM417"/>
    <mergeCell ref="AP416:AP417"/>
    <mergeCell ref="AM418:AM419"/>
    <mergeCell ref="AP418:AP419"/>
    <mergeCell ref="AO416:AO417"/>
    <mergeCell ref="AO428:AO429"/>
    <mergeCell ref="AO444:AO445"/>
    <mergeCell ref="AO446:AO447"/>
    <mergeCell ref="AO404:AO405"/>
    <mergeCell ref="AO418:AO419"/>
    <mergeCell ref="AO412:AO413"/>
    <mergeCell ref="AO414:AO415"/>
    <mergeCell ref="AP422:AP423"/>
    <mergeCell ref="AM424:AM425"/>
    <mergeCell ref="AP424:AP425"/>
    <mergeCell ref="AK420:AK421"/>
    <mergeCell ref="AL420:AL421"/>
    <mergeCell ref="AL404:AL405"/>
    <mergeCell ref="AL418:AL419"/>
    <mergeCell ref="AP336:AP337"/>
    <mergeCell ref="E338:E339"/>
    <mergeCell ref="F338:F339"/>
    <mergeCell ref="J338:J339"/>
    <mergeCell ref="N338:N339"/>
    <mergeCell ref="Y338:Y339"/>
    <mergeCell ref="AA338:AA339"/>
    <mergeCell ref="AB338:AB339"/>
    <mergeCell ref="AC338:AC339"/>
    <mergeCell ref="AD338:AD339"/>
    <mergeCell ref="AF338:AF339"/>
    <mergeCell ref="AG338:AG339"/>
    <mergeCell ref="AH338:AH339"/>
    <mergeCell ref="AI338:AI339"/>
    <mergeCell ref="AJ338:AJ339"/>
    <mergeCell ref="AK338:AK339"/>
    <mergeCell ref="AL338:AL339"/>
    <mergeCell ref="AM338:AM339"/>
    <mergeCell ref="AO338:AO339"/>
    <mergeCell ref="AP338:AP339"/>
    <mergeCell ref="AA418:AA419"/>
    <mergeCell ref="AB418:AB419"/>
    <mergeCell ref="AO344:AO345"/>
    <mergeCell ref="AP344:AP345"/>
    <mergeCell ref="Y346:Y347"/>
    <mergeCell ref="AA346:AA347"/>
    <mergeCell ref="AD346:AD347"/>
    <mergeCell ref="AF346:AF347"/>
    <mergeCell ref="AG346:AG347"/>
    <mergeCell ref="AH346:AH347"/>
    <mergeCell ref="AI346:AI347"/>
    <mergeCell ref="AJ346:AJ347"/>
    <mergeCell ref="AK346:AK347"/>
    <mergeCell ref="AJ412:AJ413"/>
    <mergeCell ref="AL424:AL425"/>
    <mergeCell ref="AL444:AL445"/>
    <mergeCell ref="AJ350:AJ351"/>
    <mergeCell ref="AK350:AK351"/>
    <mergeCell ref="AL350:AL351"/>
    <mergeCell ref="AM350:AM351"/>
    <mergeCell ref="AO350:AO351"/>
    <mergeCell ref="AO470:AO471"/>
    <mergeCell ref="AI460:AI461"/>
    <mergeCell ref="AK460:AK461"/>
    <mergeCell ref="F460:F461"/>
    <mergeCell ref="J460:J461"/>
    <mergeCell ref="N460:N461"/>
    <mergeCell ref="Y460:Y461"/>
    <mergeCell ref="AA460:AA461"/>
    <mergeCell ref="AI466:AI467"/>
    <mergeCell ref="AK466:AK467"/>
    <mergeCell ref="N468:N469"/>
    <mergeCell ref="Y468:Y469"/>
    <mergeCell ref="AA468:AA469"/>
    <mergeCell ref="AB468:AB469"/>
    <mergeCell ref="AB470:AB471"/>
    <mergeCell ref="Y456:Y457"/>
    <mergeCell ref="AL466:AL467"/>
    <mergeCell ref="AO466:AO467"/>
    <mergeCell ref="E464:E465"/>
    <mergeCell ref="F464:F465"/>
    <mergeCell ref="J464:J465"/>
    <mergeCell ref="N464:N465"/>
    <mergeCell ref="Y464:Y465"/>
    <mergeCell ref="AA464:AA465"/>
    <mergeCell ref="E468:E469"/>
    <mergeCell ref="F468:F469"/>
    <mergeCell ref="J468:J469"/>
    <mergeCell ref="F462:F463"/>
    <mergeCell ref="AD468:AD469"/>
    <mergeCell ref="AF468:AF469"/>
    <mergeCell ref="AG468:AG469"/>
    <mergeCell ref="E458:E459"/>
    <mergeCell ref="E466:E467"/>
    <mergeCell ref="E462:E463"/>
    <mergeCell ref="J462:J463"/>
    <mergeCell ref="N462:N463"/>
    <mergeCell ref="Y462:Y463"/>
    <mergeCell ref="AL458:AL459"/>
    <mergeCell ref="AO476:AO477"/>
    <mergeCell ref="AO456:AO457"/>
    <mergeCell ref="AF464:AF465"/>
    <mergeCell ref="AL460:AL461"/>
    <mergeCell ref="AH510:AH511"/>
    <mergeCell ref="AI510:AI511"/>
    <mergeCell ref="AJ510:AJ511"/>
    <mergeCell ref="AK510:AK511"/>
    <mergeCell ref="AL510:AL511"/>
    <mergeCell ref="AM510:AM511"/>
    <mergeCell ref="AO510:AO511"/>
    <mergeCell ref="AL524:AL525"/>
    <mergeCell ref="AM524:AM525"/>
    <mergeCell ref="AO524:AO525"/>
    <mergeCell ref="AK520:AK521"/>
    <mergeCell ref="AL520:AL521"/>
    <mergeCell ref="AM520:AM521"/>
    <mergeCell ref="AO520:AO521"/>
    <mergeCell ref="AP520:AP521"/>
    <mergeCell ref="AP450:AP451"/>
    <mergeCell ref="AM452:AM453"/>
    <mergeCell ref="AP452:AP453"/>
    <mergeCell ref="AO426:AO427"/>
    <mergeCell ref="AO434:AO435"/>
    <mergeCell ref="AO436:AO437"/>
    <mergeCell ref="AO438:AO439"/>
    <mergeCell ref="AO440:AO441"/>
    <mergeCell ref="AO432:AO433"/>
    <mergeCell ref="AO430:AO431"/>
    <mergeCell ref="AO424:AO425"/>
    <mergeCell ref="AO420:AO421"/>
    <mergeCell ref="AM420:AM421"/>
    <mergeCell ref="AO450:AO451"/>
    <mergeCell ref="AO442:AO443"/>
    <mergeCell ref="AO448:AO449"/>
    <mergeCell ref="AO452:AO453"/>
    <mergeCell ref="AJ462:AJ463"/>
    <mergeCell ref="AJ464:AJ465"/>
    <mergeCell ref="AO454:AO455"/>
    <mergeCell ref="AP420:AP421"/>
    <mergeCell ref="AM422:AM423"/>
    <mergeCell ref="AM426:AM427"/>
    <mergeCell ref="AP426:AP427"/>
    <mergeCell ref="AM428:AM429"/>
    <mergeCell ref="AP428:AP429"/>
    <mergeCell ref="AM430:AM431"/>
    <mergeCell ref="AP430:AP431"/>
    <mergeCell ref="AM432:AM433"/>
    <mergeCell ref="AP432:AP433"/>
    <mergeCell ref="AM434:AM435"/>
    <mergeCell ref="AP434:AP435"/>
    <mergeCell ref="AM436:AM437"/>
    <mergeCell ref="AP436:AP437"/>
    <mergeCell ref="AM438:AM439"/>
    <mergeCell ref="AP438:AP439"/>
    <mergeCell ref="AM440:AM441"/>
    <mergeCell ref="AP440:AP441"/>
    <mergeCell ref="AM442:AM443"/>
    <mergeCell ref="AP442:AP443"/>
    <mergeCell ref="AM444:AM445"/>
    <mergeCell ref="AP444:AP445"/>
    <mergeCell ref="AM446:AM447"/>
    <mergeCell ref="AP446:AP447"/>
    <mergeCell ref="AJ434:AJ435"/>
    <mergeCell ref="AP468:AP469"/>
    <mergeCell ref="AI488:AI489"/>
    <mergeCell ref="AM486:AM487"/>
    <mergeCell ref="AO486:AO487"/>
    <mergeCell ref="AH484:AH485"/>
    <mergeCell ref="AO458:AO459"/>
    <mergeCell ref="AM484:AM485"/>
    <mergeCell ref="AJ468:AJ469"/>
    <mergeCell ref="AJ470:AJ471"/>
    <mergeCell ref="AK464:AK465"/>
    <mergeCell ref="AL464:AL465"/>
    <mergeCell ref="AO464:AO465"/>
    <mergeCell ref="AJ472:AJ473"/>
    <mergeCell ref="AJ474:AJ475"/>
    <mergeCell ref="AJ476:AJ477"/>
    <mergeCell ref="AO480:AO481"/>
    <mergeCell ref="AO460:AO461"/>
    <mergeCell ref="AP545:AP546"/>
    <mergeCell ref="AO474:AO475"/>
    <mergeCell ref="AL462:AL463"/>
    <mergeCell ref="AP577:AP578"/>
    <mergeCell ref="AO553:AO554"/>
    <mergeCell ref="AO561:AO562"/>
    <mergeCell ref="AO557:AO558"/>
    <mergeCell ref="AO539:AO540"/>
    <mergeCell ref="AO549:AO550"/>
    <mergeCell ref="AM537:AM538"/>
    <mergeCell ref="AP537:AP538"/>
    <mergeCell ref="AM539:AM540"/>
    <mergeCell ref="AP539:AP540"/>
    <mergeCell ref="AM541:AM542"/>
    <mergeCell ref="AH545:AH546"/>
    <mergeCell ref="AJ575:AJ576"/>
    <mergeCell ref="AJ577:AJ578"/>
    <mergeCell ref="AP547:AP548"/>
    <mergeCell ref="AJ533:AJ534"/>
    <mergeCell ref="AJ535:AJ536"/>
    <mergeCell ref="AJ537:AJ538"/>
    <mergeCell ref="AJ539:AJ540"/>
    <mergeCell ref="AJ541:AJ542"/>
    <mergeCell ref="AJ543:AJ544"/>
    <mergeCell ref="AJ545:AJ546"/>
    <mergeCell ref="AJ547:AJ548"/>
    <mergeCell ref="AL543:AL544"/>
    <mergeCell ref="AI543:AI544"/>
    <mergeCell ref="AL533:AL534"/>
    <mergeCell ref="AI541:AI542"/>
    <mergeCell ref="AL537:AL538"/>
    <mergeCell ref="AL539:AL540"/>
    <mergeCell ref="AO537:AO538"/>
    <mergeCell ref="AM545:AM546"/>
    <mergeCell ref="AO543:AO544"/>
    <mergeCell ref="AM500:AM501"/>
    <mergeCell ref="AO500:AO501"/>
    <mergeCell ref="AL547:AL548"/>
    <mergeCell ref="AM543:AM544"/>
    <mergeCell ref="AH506:AH507"/>
    <mergeCell ref="AI506:AI507"/>
    <mergeCell ref="AJ506:AJ507"/>
    <mergeCell ref="AL506:AL507"/>
    <mergeCell ref="AM506:AM507"/>
    <mergeCell ref="AO506:AO507"/>
    <mergeCell ref="AP506:AP507"/>
    <mergeCell ref="AP541:AP542"/>
    <mergeCell ref="AM533:AM534"/>
    <mergeCell ref="AP533:AP534"/>
    <mergeCell ref="AM535:AM536"/>
    <mergeCell ref="AP535:AP536"/>
    <mergeCell ref="AM557:AM558"/>
    <mergeCell ref="AO573:AO574"/>
    <mergeCell ref="AO559:AO560"/>
    <mergeCell ref="AM561:AM562"/>
    <mergeCell ref="AM553:AM554"/>
    <mergeCell ref="AM549:AM550"/>
    <mergeCell ref="AP549:AP550"/>
    <mergeCell ref="AP543:AP544"/>
    <mergeCell ref="AP553:AP554"/>
    <mergeCell ref="AO541:AO542"/>
    <mergeCell ref="AK508:AK509"/>
    <mergeCell ref="AL508:AL509"/>
    <mergeCell ref="AM508:AM509"/>
    <mergeCell ref="AO508:AO509"/>
    <mergeCell ref="AP508:AP509"/>
    <mergeCell ref="AL541:AL542"/>
    <mergeCell ref="AK539:AK540"/>
    <mergeCell ref="AK541:AK542"/>
    <mergeCell ref="AK537:AK538"/>
    <mergeCell ref="AK535:AK536"/>
    <mergeCell ref="AL535:AL536"/>
    <mergeCell ref="AP510:AP511"/>
    <mergeCell ref="AK512:AK513"/>
    <mergeCell ref="AL512:AL513"/>
    <mergeCell ref="AM512:AM513"/>
    <mergeCell ref="AO512:AO513"/>
    <mergeCell ref="AK516:AK517"/>
    <mergeCell ref="AL516:AL517"/>
    <mergeCell ref="AM516:AM517"/>
    <mergeCell ref="AO516:AO517"/>
    <mergeCell ref="AP516:AP517"/>
    <mergeCell ref="AP512:AP513"/>
    <mergeCell ref="AL522:AL523"/>
    <mergeCell ref="AM522:AM523"/>
    <mergeCell ref="AO522:AO523"/>
    <mergeCell ref="AP522:AP523"/>
    <mergeCell ref="AK514:AK515"/>
    <mergeCell ref="AL514:AL515"/>
    <mergeCell ref="AM514:AM515"/>
    <mergeCell ref="AO514:AO515"/>
    <mergeCell ref="AP524:AP525"/>
    <mergeCell ref="AP514:AP515"/>
    <mergeCell ref="AK524:AK525"/>
    <mergeCell ref="AK549:AK550"/>
    <mergeCell ref="AK551:AK552"/>
    <mergeCell ref="AK553:AK554"/>
    <mergeCell ref="AK555:AK556"/>
    <mergeCell ref="AK569:AK570"/>
    <mergeCell ref="AP555:AP556"/>
    <mergeCell ref="AP557:AP558"/>
    <mergeCell ref="AO533:AO534"/>
    <mergeCell ref="AP583:AP584"/>
    <mergeCell ref="AO579:AO580"/>
    <mergeCell ref="AO587:AO588"/>
    <mergeCell ref="AO567:AO568"/>
    <mergeCell ref="AL555:AL556"/>
    <mergeCell ref="AL569:AL570"/>
    <mergeCell ref="AK571:AK572"/>
    <mergeCell ref="AK579:AK580"/>
    <mergeCell ref="AL577:AL578"/>
    <mergeCell ref="AJ581:AJ582"/>
    <mergeCell ref="AO555:AO556"/>
    <mergeCell ref="AL571:AL572"/>
    <mergeCell ref="AI557:AI558"/>
    <mergeCell ref="AG555:AG556"/>
    <mergeCell ref="AK573:AK574"/>
    <mergeCell ref="AL573:AL574"/>
    <mergeCell ref="AK559:AK560"/>
    <mergeCell ref="AL559:AL560"/>
    <mergeCell ref="AB565:AB566"/>
    <mergeCell ref="AC565:AC566"/>
    <mergeCell ref="AB563:AB564"/>
    <mergeCell ref="AL553:AL554"/>
    <mergeCell ref="AK543:AK544"/>
    <mergeCell ref="AK545:AK546"/>
    <mergeCell ref="AK547:AK548"/>
    <mergeCell ref="AO571:AO572"/>
    <mergeCell ref="AM581:AM582"/>
    <mergeCell ref="AM579:AM580"/>
    <mergeCell ref="AL563:AL564"/>
    <mergeCell ref="AA535:AA536"/>
    <mergeCell ref="AC535:AC536"/>
    <mergeCell ref="AL579:AL580"/>
    <mergeCell ref="AO535:AO536"/>
    <mergeCell ref="AG537:AG538"/>
    <mergeCell ref="AD541:AD542"/>
    <mergeCell ref="AF541:AF542"/>
    <mergeCell ref="AL557:AL558"/>
    <mergeCell ref="AM555:AM556"/>
    <mergeCell ref="AO545:AO546"/>
    <mergeCell ref="AM559:AM560"/>
    <mergeCell ref="AM563:AM564"/>
    <mergeCell ref="AM565:AM566"/>
    <mergeCell ref="AM567:AM568"/>
    <mergeCell ref="AM577:AM578"/>
    <mergeCell ref="AM547:AM548"/>
    <mergeCell ref="AH569:AH570"/>
    <mergeCell ref="AJ549:AJ550"/>
    <mergeCell ref="AJ555:AJ556"/>
    <mergeCell ref="AJ557:AJ558"/>
    <mergeCell ref="AJ559:AJ560"/>
    <mergeCell ref="AJ561:AJ562"/>
    <mergeCell ref="AJ563:AJ564"/>
    <mergeCell ref="AL575:AL576"/>
    <mergeCell ref="AJ565:AJ566"/>
    <mergeCell ref="AJ567:AJ568"/>
    <mergeCell ref="AH567:AH568"/>
    <mergeCell ref="AH565:AH566"/>
    <mergeCell ref="AO563:AO564"/>
    <mergeCell ref="AO547:AO548"/>
    <mergeCell ref="AI569:AI570"/>
    <mergeCell ref="AH579:AH580"/>
    <mergeCell ref="AI579:AI580"/>
    <mergeCell ref="AO739:AO740"/>
    <mergeCell ref="AP666:AP667"/>
    <mergeCell ref="N593:N594"/>
    <mergeCell ref="AL595:AL596"/>
    <mergeCell ref="F508:F509"/>
    <mergeCell ref="F504:F505"/>
    <mergeCell ref="AK605:AK606"/>
    <mergeCell ref="AL605:AL606"/>
    <mergeCell ref="AH535:AH536"/>
    <mergeCell ref="AI535:AI536"/>
    <mergeCell ref="AL561:AL562"/>
    <mergeCell ref="AL545:AL546"/>
    <mergeCell ref="AB559:AB560"/>
    <mergeCell ref="J607:J608"/>
    <mergeCell ref="N607:N608"/>
    <mergeCell ref="Y607:Y608"/>
    <mergeCell ref="AA607:AA608"/>
    <mergeCell ref="AP601:AP602"/>
    <mergeCell ref="AP603:AP604"/>
    <mergeCell ref="AO601:AO602"/>
    <mergeCell ref="AO603:AO604"/>
    <mergeCell ref="AA603:AA604"/>
    <mergeCell ref="AB603:AB604"/>
    <mergeCell ref="AG603:AG604"/>
    <mergeCell ref="AH603:AH604"/>
    <mergeCell ref="AI603:AI604"/>
    <mergeCell ref="AK603:AK604"/>
    <mergeCell ref="AC559:AC560"/>
    <mergeCell ref="AL549:AL550"/>
    <mergeCell ref="AK533:AK534"/>
    <mergeCell ref="AM585:AM586"/>
    <mergeCell ref="AP585:AP586"/>
    <mergeCell ref="AM587:AM588"/>
    <mergeCell ref="AP587:AP588"/>
    <mergeCell ref="AM589:AM590"/>
    <mergeCell ref="AP589:AP590"/>
    <mergeCell ref="AO585:AO586"/>
    <mergeCell ref="AO569:AO570"/>
    <mergeCell ref="AM551:AM552"/>
    <mergeCell ref="AP551:AP552"/>
    <mergeCell ref="AL551:AL552"/>
    <mergeCell ref="N573:N574"/>
    <mergeCell ref="F581:F582"/>
    <mergeCell ref="F585:F586"/>
    <mergeCell ref="F579:F580"/>
    <mergeCell ref="F593:F594"/>
    <mergeCell ref="J593:J594"/>
    <mergeCell ref="AH541:AH542"/>
    <mergeCell ref="AA565:AA566"/>
    <mergeCell ref="AA581:AA582"/>
    <mergeCell ref="AO577:AO578"/>
    <mergeCell ref="AH557:AH558"/>
    <mergeCell ref="AD545:AD546"/>
    <mergeCell ref="AG512:AG513"/>
    <mergeCell ref="AJ551:AJ552"/>
    <mergeCell ref="AO581:AO582"/>
    <mergeCell ref="AP579:AP580"/>
    <mergeCell ref="AJ583:AJ584"/>
    <mergeCell ref="AG641:AG642"/>
    <mergeCell ref="AJ579:AJ580"/>
    <mergeCell ref="AD583:AD584"/>
    <mergeCell ref="AO595:AO596"/>
    <mergeCell ref="AM591:AM592"/>
    <mergeCell ref="AM583:AM584"/>
    <mergeCell ref="AP641:AP642"/>
    <mergeCell ref="AP703:AP704"/>
    <mergeCell ref="AP705:AP706"/>
    <mergeCell ref="AP707:AP708"/>
    <mergeCell ref="AP709:AP710"/>
    <mergeCell ref="AP711:AP712"/>
    <mergeCell ref="AI721:AI722"/>
    <mergeCell ref="AO709:AO710"/>
    <mergeCell ref="AP668:AP669"/>
    <mergeCell ref="AM670:AM671"/>
    <mergeCell ref="AO670:AO671"/>
    <mergeCell ref="AP670:AP671"/>
    <mergeCell ref="AM719:AM720"/>
    <mergeCell ref="AO719:AO720"/>
    <mergeCell ref="AA631:AA632"/>
    <mergeCell ref="AB631:AB632"/>
    <mergeCell ref="AC631:AC632"/>
    <mergeCell ref="AD631:AD632"/>
    <mergeCell ref="AF631:AF632"/>
    <mergeCell ref="AG631:AG632"/>
    <mergeCell ref="AH631:AH632"/>
    <mergeCell ref="AI631:AI632"/>
    <mergeCell ref="AJ631:AJ632"/>
    <mergeCell ref="AK631:AK632"/>
    <mergeCell ref="AL631:AL632"/>
    <mergeCell ref="AM631:AM632"/>
    <mergeCell ref="AO631:AO632"/>
    <mergeCell ref="AP631:AP632"/>
    <mergeCell ref="AD666:AD667"/>
    <mergeCell ref="AF666:AF667"/>
    <mergeCell ref="AG666:AG667"/>
    <mergeCell ref="AH666:AH667"/>
    <mergeCell ref="AI666:AI667"/>
    <mergeCell ref="AJ666:AJ667"/>
    <mergeCell ref="AA641:AA642"/>
    <mergeCell ref="AC641:AC642"/>
    <mergeCell ref="AD641:AD642"/>
    <mergeCell ref="AF641:AF642"/>
    <mergeCell ref="AD656:AD657"/>
    <mergeCell ref="AF656:AF657"/>
    <mergeCell ref="AG656:AG657"/>
    <mergeCell ref="AD668:AD669"/>
    <mergeCell ref="AF668:AF669"/>
    <mergeCell ref="AK719:AK720"/>
    <mergeCell ref="AL719:AL720"/>
    <mergeCell ref="AH662:AH663"/>
    <mergeCell ref="AI662:AI663"/>
    <mergeCell ref="AJ662:AJ663"/>
    <mergeCell ref="AO703:AO704"/>
    <mergeCell ref="AO654:AO655"/>
    <mergeCell ref="AD664:AD665"/>
    <mergeCell ref="AF664:AF665"/>
    <mergeCell ref="AM658:AM659"/>
    <mergeCell ref="AO658:AO659"/>
    <mergeCell ref="AK656:AK657"/>
    <mergeCell ref="AL656:AL657"/>
    <mergeCell ref="AL662:AL663"/>
    <mergeCell ref="AA660:AA661"/>
    <mergeCell ref="AB660:AB661"/>
    <mergeCell ref="AM662:AM663"/>
    <mergeCell ref="AO662:AO663"/>
    <mergeCell ref="AG658:AG659"/>
    <mergeCell ref="AH658:AH659"/>
    <mergeCell ref="AI658:AI659"/>
    <mergeCell ref="N896:N897"/>
    <mergeCell ref="Y896:Y897"/>
    <mergeCell ref="AA896:AA897"/>
    <mergeCell ref="AB896:AB897"/>
    <mergeCell ref="AC896:AC897"/>
    <mergeCell ref="AG963:AG964"/>
    <mergeCell ref="AH963:AH964"/>
    <mergeCell ref="AI963:AI964"/>
    <mergeCell ref="AH934:AH935"/>
    <mergeCell ref="F973:F974"/>
    <mergeCell ref="J973:J974"/>
    <mergeCell ref="N973:N974"/>
    <mergeCell ref="Y973:Y974"/>
    <mergeCell ref="AA973:AA974"/>
    <mergeCell ref="AB973:AB974"/>
    <mergeCell ref="AC973:AC974"/>
    <mergeCell ref="AD973:AD974"/>
    <mergeCell ref="E981:E982"/>
    <mergeCell ref="F981:F982"/>
    <mergeCell ref="J981:J982"/>
    <mergeCell ref="F953:F954"/>
    <mergeCell ref="AO755:AO756"/>
    <mergeCell ref="AM783:AM784"/>
    <mergeCell ref="AO769:AO770"/>
    <mergeCell ref="J769:J770"/>
    <mergeCell ref="AA769:AA770"/>
    <mergeCell ref="N769:N770"/>
    <mergeCell ref="Y769:Y770"/>
    <mergeCell ref="J773:J774"/>
    <mergeCell ref="N773:N774"/>
    <mergeCell ref="Y773:Y774"/>
    <mergeCell ref="J757:J758"/>
    <mergeCell ref="E813:E814"/>
    <mergeCell ref="F813:F814"/>
    <mergeCell ref="J813:J814"/>
    <mergeCell ref="E781:E782"/>
    <mergeCell ref="F781:F782"/>
    <mergeCell ref="E801:E802"/>
    <mergeCell ref="F801:F802"/>
    <mergeCell ref="J801:J802"/>
    <mergeCell ref="N801:N802"/>
    <mergeCell ref="Y801:Y802"/>
    <mergeCell ref="AO795:AO796"/>
    <mergeCell ref="AL797:AL798"/>
    <mergeCell ref="AM797:AM798"/>
    <mergeCell ref="AM795:AM796"/>
    <mergeCell ref="AH803:AH804"/>
    <mergeCell ref="AB813:AB814"/>
    <mergeCell ref="AG811:AG812"/>
    <mergeCell ref="AI783:AI784"/>
    <mergeCell ref="AK783:AK784"/>
    <mergeCell ref="AL783:AL784"/>
    <mergeCell ref="E769:E770"/>
    <mergeCell ref="E773:E774"/>
    <mergeCell ref="E767:E768"/>
    <mergeCell ref="AC793:AC794"/>
    <mergeCell ref="AO767:AO768"/>
    <mergeCell ref="AC767:AC768"/>
    <mergeCell ref="AA763:AA764"/>
    <mergeCell ref="AB763:AB764"/>
    <mergeCell ref="AI763:AI764"/>
    <mergeCell ref="J767:J768"/>
    <mergeCell ref="AL767:AL768"/>
    <mergeCell ref="AH767:AH768"/>
    <mergeCell ref="AP753:AP754"/>
    <mergeCell ref="AP767:AP768"/>
    <mergeCell ref="AP769:AP770"/>
    <mergeCell ref="AP773:AP774"/>
    <mergeCell ref="AP783:AP784"/>
    <mergeCell ref="AP755:AP756"/>
    <mergeCell ref="AB831:AB832"/>
    <mergeCell ref="AC831:AC832"/>
    <mergeCell ref="AD831:AD832"/>
    <mergeCell ref="AO781:AO782"/>
    <mergeCell ref="N783:N784"/>
    <mergeCell ref="AP763:AP764"/>
    <mergeCell ref="AM767:AM768"/>
    <mergeCell ref="J777:J778"/>
    <mergeCell ref="N777:N778"/>
    <mergeCell ref="Y777:Y778"/>
    <mergeCell ref="AA777:AA778"/>
    <mergeCell ref="AB777:AB778"/>
    <mergeCell ref="AC777:AC778"/>
    <mergeCell ref="AD777:AD778"/>
    <mergeCell ref="AF777:AF778"/>
    <mergeCell ref="AO777:AO778"/>
    <mergeCell ref="AP777:AP778"/>
    <mergeCell ref="AB757:AB758"/>
    <mergeCell ref="AC757:AC758"/>
    <mergeCell ref="AD757:AD758"/>
    <mergeCell ref="AF757:AF758"/>
    <mergeCell ref="J795:J796"/>
    <mergeCell ref="N795:N796"/>
    <mergeCell ref="Y795:Y796"/>
    <mergeCell ref="E803:E804"/>
    <mergeCell ref="F803:F804"/>
    <mergeCell ref="J918:J919"/>
    <mergeCell ref="F910:F911"/>
    <mergeCell ref="AC753:AC754"/>
    <mergeCell ref="AD753:AD754"/>
    <mergeCell ref="AF753:AF754"/>
    <mergeCell ref="E789:E790"/>
    <mergeCell ref="AG781:AG782"/>
    <mergeCell ref="AA781:AA782"/>
    <mergeCell ref="J781:J782"/>
    <mergeCell ref="N781:N782"/>
    <mergeCell ref="Y781:Y782"/>
    <mergeCell ref="AC781:AC782"/>
    <mergeCell ref="AD781:AD782"/>
    <mergeCell ref="E757:E758"/>
    <mergeCell ref="F757:F758"/>
    <mergeCell ref="E755:E756"/>
    <mergeCell ref="F755:F756"/>
    <mergeCell ref="AP888:AP889"/>
    <mergeCell ref="J894:J895"/>
    <mergeCell ref="AF894:AF895"/>
    <mergeCell ref="AG894:AG895"/>
    <mergeCell ref="AO807:AO808"/>
    <mergeCell ref="E809:E810"/>
    <mergeCell ref="F809:F810"/>
    <mergeCell ref="J809:J810"/>
    <mergeCell ref="N809:N810"/>
    <mergeCell ref="Y809:Y810"/>
    <mergeCell ref="AA809:AA810"/>
    <mergeCell ref="AK809:AK810"/>
    <mergeCell ref="AL789:AL790"/>
    <mergeCell ref="E811:E812"/>
    <mergeCell ref="F811:F812"/>
    <mergeCell ref="AL1024:AL1025"/>
    <mergeCell ref="AB1036:AB1037"/>
    <mergeCell ref="AC1036:AC1037"/>
    <mergeCell ref="AD1036:AD1037"/>
    <mergeCell ref="AF1036:AF1037"/>
    <mergeCell ref="AG1036:AG1037"/>
    <mergeCell ref="AH1036:AH1037"/>
    <mergeCell ref="AI1036:AI1037"/>
    <mergeCell ref="AJ1036:AJ1037"/>
    <mergeCell ref="AK1036:AK1037"/>
    <mergeCell ref="AL1036:AL1037"/>
    <mergeCell ref="AM1036:AM1037"/>
    <mergeCell ref="AF1048:AF1049"/>
    <mergeCell ref="AG1048:AG1049"/>
    <mergeCell ref="AH1048:AH1049"/>
    <mergeCell ref="AI1048:AI1049"/>
    <mergeCell ref="AM979:AM980"/>
    <mergeCell ref="AL983:AL984"/>
    <mergeCell ref="AM983:AM984"/>
    <mergeCell ref="AF967:AF968"/>
    <mergeCell ref="AG967:AG968"/>
    <mergeCell ref="AH967:AH968"/>
    <mergeCell ref="AI967:AI968"/>
    <mergeCell ref="AJ967:AJ968"/>
    <mergeCell ref="AK967:AK968"/>
    <mergeCell ref="AL967:AL968"/>
    <mergeCell ref="AM967:AM968"/>
    <mergeCell ref="AK943:AK944"/>
    <mergeCell ref="AL943:AL944"/>
    <mergeCell ref="AM943:AM944"/>
    <mergeCell ref="AF975:AF976"/>
    <mergeCell ref="AM975:AM976"/>
    <mergeCell ref="AG977:AG978"/>
    <mergeCell ref="AH977:AH978"/>
    <mergeCell ref="AI977:AI978"/>
    <mergeCell ref="AJ977:AJ978"/>
    <mergeCell ref="AB1022:AB1023"/>
    <mergeCell ref="AC1022:AC1023"/>
    <mergeCell ref="AB1032:AB1033"/>
    <mergeCell ref="AC1032:AC1033"/>
    <mergeCell ref="AD1032:AD1033"/>
    <mergeCell ref="AF1032:AF1033"/>
    <mergeCell ref="AG1032:AG1033"/>
    <mergeCell ref="AH1032:AH1033"/>
    <mergeCell ref="AI1028:AI1029"/>
    <mergeCell ref="AK1028:AK1029"/>
    <mergeCell ref="AC977:AC978"/>
    <mergeCell ref="AD977:AD978"/>
    <mergeCell ref="AF977:AF978"/>
    <mergeCell ref="AM977:AM978"/>
    <mergeCell ref="AJ951:AJ952"/>
    <mergeCell ref="AK999:AK1000"/>
    <mergeCell ref="AB1020:AB1021"/>
    <mergeCell ref="AC1020:AC1021"/>
    <mergeCell ref="AD1020:AD1021"/>
    <mergeCell ref="AF1020:AF1021"/>
    <mergeCell ref="AG1020:AG1021"/>
    <mergeCell ref="AJ1020:AJ1021"/>
    <mergeCell ref="AF1026:AF1027"/>
    <mergeCell ref="AG1026:AG1027"/>
    <mergeCell ref="AH1026:AH1027"/>
    <mergeCell ref="AI1026:AI1027"/>
    <mergeCell ref="AB1026:AB1027"/>
    <mergeCell ref="AH961:AH962"/>
    <mergeCell ref="AJ1130:AJ1131"/>
    <mergeCell ref="AJ1132:AJ1133"/>
    <mergeCell ref="AO1132:AO1133"/>
    <mergeCell ref="AI1130:AI1131"/>
    <mergeCell ref="E1132:E1133"/>
    <mergeCell ref="F1132:F1133"/>
    <mergeCell ref="J1132:J1133"/>
    <mergeCell ref="N1132:N1133"/>
    <mergeCell ref="E1152:E1153"/>
    <mergeCell ref="AO1150:AO1151"/>
    <mergeCell ref="AL1136:AL1137"/>
    <mergeCell ref="AP1144:AP1145"/>
    <mergeCell ref="AP1132:AP1133"/>
    <mergeCell ref="AO1134:AO1135"/>
    <mergeCell ref="AP1134:AP1135"/>
    <mergeCell ref="AO1138:AO1139"/>
    <mergeCell ref="AP1113:AP1114"/>
    <mergeCell ref="AG1091:AG1092"/>
    <mergeCell ref="AH1087:AH1088"/>
    <mergeCell ref="E1101:E1102"/>
    <mergeCell ref="F1101:F1102"/>
    <mergeCell ref="J1101:J1102"/>
    <mergeCell ref="N1101:N1102"/>
    <mergeCell ref="Y1101:Y1102"/>
    <mergeCell ref="AA1101:AA1102"/>
    <mergeCell ref="AB1101:AB1102"/>
    <mergeCell ref="AC1101:AC1102"/>
    <mergeCell ref="AD1101:AD1102"/>
    <mergeCell ref="AF1101:AF1102"/>
    <mergeCell ref="AG1101:AG1102"/>
    <mergeCell ref="AH1101:AH1102"/>
    <mergeCell ref="AI1101:AI1102"/>
    <mergeCell ref="AJ1101:AJ1102"/>
    <mergeCell ref="AK1101:AK1102"/>
    <mergeCell ref="AL1101:AL1102"/>
    <mergeCell ref="AM1101:AM1102"/>
    <mergeCell ref="AO1101:AO1102"/>
    <mergeCell ref="AP1101:AP1102"/>
    <mergeCell ref="J1091:J1092"/>
    <mergeCell ref="N1091:N1092"/>
    <mergeCell ref="Y1091:Y1092"/>
    <mergeCell ref="AA1091:AA1092"/>
    <mergeCell ref="AL1103:AL1104"/>
    <mergeCell ref="AM1103:AM1104"/>
    <mergeCell ref="AO1103:AO1104"/>
    <mergeCell ref="Y1111:Y1112"/>
    <mergeCell ref="AA1111:AA1112"/>
    <mergeCell ref="AB1111:AB1112"/>
    <mergeCell ref="AC1111:AC1112"/>
    <mergeCell ref="AD1111:AD1112"/>
    <mergeCell ref="AF1111:AF1112"/>
    <mergeCell ref="E1087:E1088"/>
    <mergeCell ref="F1087:F1088"/>
    <mergeCell ref="AK1097:AK1098"/>
    <mergeCell ref="AL1097:AL1098"/>
    <mergeCell ref="AM1097:AM1098"/>
    <mergeCell ref="AO1097:AO1098"/>
    <mergeCell ref="AP1103:AP1104"/>
    <mergeCell ref="E1099:E1100"/>
    <mergeCell ref="F1099:F1100"/>
    <mergeCell ref="J1099:J1100"/>
    <mergeCell ref="AM1113:AM1114"/>
    <mergeCell ref="AO1113:AO1114"/>
    <mergeCell ref="AM1140:AM1141"/>
    <mergeCell ref="AA1283:AA1284"/>
    <mergeCell ref="AA1269:AA1270"/>
    <mergeCell ref="AL1237:AL1238"/>
    <mergeCell ref="AG1243:AG1244"/>
    <mergeCell ref="AB1243:AB1244"/>
    <mergeCell ref="AC1243:AC1244"/>
    <mergeCell ref="AH1233:AH1234"/>
    <mergeCell ref="AI1233:AI1234"/>
    <mergeCell ref="AH1257:AH1258"/>
    <mergeCell ref="AC1263:AC1264"/>
    <mergeCell ref="AB1251:AB1252"/>
    <mergeCell ref="AD1253:AD1254"/>
    <mergeCell ref="AJ1263:AJ1264"/>
    <mergeCell ref="AJ1265:AJ1266"/>
    <mergeCell ref="AI1257:AI1258"/>
    <mergeCell ref="AD1263:AD1264"/>
    <mergeCell ref="AF1263:AF1264"/>
    <mergeCell ref="AO1245:AO1246"/>
    <mergeCell ref="AM1277:AM1278"/>
    <mergeCell ref="E1227:E1228"/>
    <mergeCell ref="AM1199:AM1200"/>
    <mergeCell ref="AP1199:AP1200"/>
    <mergeCell ref="AM1201:AM1202"/>
    <mergeCell ref="AP1201:AP1202"/>
    <mergeCell ref="AP1203:AP1204"/>
    <mergeCell ref="AM1205:AM1206"/>
    <mergeCell ref="AB1152:AB1153"/>
    <mergeCell ref="E1128:E1129"/>
    <mergeCell ref="F1128:F1129"/>
    <mergeCell ref="J1128:J1129"/>
    <mergeCell ref="AM1130:AM1131"/>
    <mergeCell ref="AO1130:AO1131"/>
    <mergeCell ref="AB1132:AB1133"/>
    <mergeCell ref="AC1132:AC1133"/>
    <mergeCell ref="AD1132:AD1133"/>
    <mergeCell ref="AF1132:AF1133"/>
    <mergeCell ref="AG1132:AG1133"/>
    <mergeCell ref="AH1132:AH1133"/>
    <mergeCell ref="AI1132:AI1133"/>
    <mergeCell ref="AK1132:AK1133"/>
    <mergeCell ref="AM1132:AM1133"/>
    <mergeCell ref="AB1134:AB1135"/>
    <mergeCell ref="AC1134:AC1135"/>
    <mergeCell ref="AD1134:AD1135"/>
    <mergeCell ref="AF1134:AF1135"/>
    <mergeCell ref="AG1134:AG1135"/>
    <mergeCell ref="AH1134:AH1135"/>
    <mergeCell ref="AI1134:AI1135"/>
    <mergeCell ref="AJ1134:AJ1135"/>
    <mergeCell ref="AJ1136:AJ1137"/>
    <mergeCell ref="AJ1138:AJ1139"/>
    <mergeCell ref="AK1134:AK1135"/>
    <mergeCell ref="AL1134:AL1135"/>
    <mergeCell ref="AM1134:AM1135"/>
    <mergeCell ref="AK1130:AK1131"/>
    <mergeCell ref="AL1205:AL1206"/>
    <mergeCell ref="AF1219:AF1220"/>
    <mergeCell ref="AL1201:AL1202"/>
    <mergeCell ref="AG1144:AG1145"/>
    <mergeCell ref="AH1144:AH1145"/>
    <mergeCell ref="AI1144:AI1145"/>
    <mergeCell ref="AJ1144:AJ1145"/>
    <mergeCell ref="AI1140:AI1141"/>
    <mergeCell ref="AM1128:AM1129"/>
    <mergeCell ref="AP1273:AP1274"/>
    <mergeCell ref="AO1247:AO1248"/>
    <mergeCell ref="AM1243:AM1244"/>
    <mergeCell ref="AO1265:AO1266"/>
    <mergeCell ref="AO1259:AO1260"/>
    <mergeCell ref="AO1243:AO1244"/>
    <mergeCell ref="AO1253:AO1254"/>
    <mergeCell ref="AO1271:AO1272"/>
    <mergeCell ref="AP1209:AP1210"/>
    <mergeCell ref="AM1211:AM1212"/>
    <mergeCell ref="AP1211:AP1212"/>
    <mergeCell ref="AM1213:AM1214"/>
    <mergeCell ref="AO1263:AO1264"/>
    <mergeCell ref="AO1261:AO1262"/>
    <mergeCell ref="AM1249:AM1250"/>
    <mergeCell ref="AP1249:AP1250"/>
    <mergeCell ref="AM1251:AM1252"/>
    <mergeCell ref="AP1251:AP1252"/>
    <mergeCell ref="AM1253:AM1254"/>
    <mergeCell ref="AP1253:AP1254"/>
    <mergeCell ref="AM1255:AM1256"/>
    <mergeCell ref="AO1211:AO1212"/>
    <mergeCell ref="AM1209:AM1210"/>
    <mergeCell ref="AO1225:AO1226"/>
    <mergeCell ref="AP1213:AP1214"/>
    <mergeCell ref="AM1215:AM1216"/>
    <mergeCell ref="AP1215:AP1216"/>
    <mergeCell ref="AO1241:AO1242"/>
    <mergeCell ref="AO1237:AO1238"/>
    <mergeCell ref="AI1213:AI1214"/>
    <mergeCell ref="AH1219:AH1220"/>
    <mergeCell ref="AI1219:AI1220"/>
    <mergeCell ref="AA1243:AA1244"/>
    <mergeCell ref="AM1221:AM1222"/>
    <mergeCell ref="AI1247:AI1248"/>
    <mergeCell ref="AH1237:AH1238"/>
    <mergeCell ref="AI1237:AI1238"/>
    <mergeCell ref="AK1271:AK1272"/>
    <mergeCell ref="AL1211:AL1212"/>
    <mergeCell ref="AL1213:AL1214"/>
    <mergeCell ref="AK1215:AK1216"/>
    <mergeCell ref="AA1209:AA1210"/>
    <mergeCell ref="AB1209:AB1210"/>
    <mergeCell ref="AC1209:AC1210"/>
    <mergeCell ref="AD1209:AD1210"/>
    <mergeCell ref="AK1209:AK1210"/>
    <mergeCell ref="AL1219:AL1220"/>
    <mergeCell ref="AA1219:AA1220"/>
    <mergeCell ref="AB1219:AB1220"/>
    <mergeCell ref="AC1219:AC1220"/>
    <mergeCell ref="AL1209:AL1210"/>
    <mergeCell ref="AK1219:AK1220"/>
    <mergeCell ref="AF1213:AF1214"/>
    <mergeCell ref="AG1213:AG1214"/>
    <mergeCell ref="AH1213:AH1214"/>
    <mergeCell ref="AL1215:AL1216"/>
    <mergeCell ref="AA1211:AA1212"/>
    <mergeCell ref="AI1211:AI1212"/>
    <mergeCell ref="AK1211:AK1212"/>
    <mergeCell ref="E1341:E1342"/>
    <mergeCell ref="F1341:F1342"/>
    <mergeCell ref="J1341:J1342"/>
    <mergeCell ref="N1341:N1342"/>
    <mergeCell ref="AH1315:AH1316"/>
    <mergeCell ref="AI1315:AI1316"/>
    <mergeCell ref="AJ1315:AJ1316"/>
    <mergeCell ref="AK1315:AK1316"/>
    <mergeCell ref="AL1315:AL1316"/>
    <mergeCell ref="AI1329:AI1330"/>
    <mergeCell ref="AJ1329:AJ1330"/>
    <mergeCell ref="AO1366:AO1367"/>
    <mergeCell ref="E1345:E1346"/>
    <mergeCell ref="F1345:F1346"/>
    <mergeCell ref="J1345:J1346"/>
    <mergeCell ref="AF1345:AF1346"/>
    <mergeCell ref="AG1345:AG1346"/>
    <mergeCell ref="AH1345:AH1346"/>
    <mergeCell ref="AI1345:AI1346"/>
    <mergeCell ref="AJ1345:AJ1346"/>
    <mergeCell ref="AK1345:AK1346"/>
    <mergeCell ref="AL1345:AL1346"/>
    <mergeCell ref="AM1345:AM1346"/>
    <mergeCell ref="AO1345:AO1346"/>
    <mergeCell ref="AP1345:AP1346"/>
    <mergeCell ref="E1347:E1348"/>
    <mergeCell ref="F1347:F1348"/>
    <mergeCell ref="J1347:J1348"/>
    <mergeCell ref="N1347:N1348"/>
    <mergeCell ref="Y1347:Y1348"/>
    <mergeCell ref="AA1347:AA1348"/>
    <mergeCell ref="AB1347:AB1348"/>
    <mergeCell ref="AC1347:AC1348"/>
    <mergeCell ref="AD1347:AD1348"/>
    <mergeCell ref="AJ1337:AJ1338"/>
    <mergeCell ref="AK1337:AK1338"/>
    <mergeCell ref="AL1337:AL1338"/>
    <mergeCell ref="AM1337:AM1338"/>
    <mergeCell ref="AO1337:AO1338"/>
    <mergeCell ref="AB1362:AB1363"/>
    <mergeCell ref="AC1362:AC1363"/>
    <mergeCell ref="AM1362:AM1363"/>
    <mergeCell ref="AP1362:AP1363"/>
    <mergeCell ref="AM1364:AM1365"/>
    <mergeCell ref="AP1364:AP1365"/>
    <mergeCell ref="AM1366:AM1367"/>
    <mergeCell ref="AP1366:AP1367"/>
    <mergeCell ref="N1315:N1316"/>
    <mergeCell ref="AM1321:AM1322"/>
    <mergeCell ref="AF1319:AF1320"/>
    <mergeCell ref="AG1319:AG1320"/>
    <mergeCell ref="AH1319:AH1320"/>
    <mergeCell ref="AI1319:AI1320"/>
    <mergeCell ref="AC1319:AC1320"/>
    <mergeCell ref="AD1319:AD1320"/>
    <mergeCell ref="E1335:E1336"/>
    <mergeCell ref="F1335:F1336"/>
    <mergeCell ref="AD1331:AD1332"/>
    <mergeCell ref="AP1347:AP1348"/>
    <mergeCell ref="AJ1362:AJ1363"/>
    <mergeCell ref="AL1325:AL1326"/>
    <mergeCell ref="AM1325:AM1326"/>
    <mergeCell ref="AO1325:AO1326"/>
    <mergeCell ref="AP1325:AP1326"/>
    <mergeCell ref="E1420:E1421"/>
    <mergeCell ref="F1420:F1421"/>
    <mergeCell ref="J1420:J1421"/>
    <mergeCell ref="E1414:E1415"/>
    <mergeCell ref="E1424:E1425"/>
    <mergeCell ref="F1424:F1425"/>
    <mergeCell ref="J1424:J1425"/>
    <mergeCell ref="N1424:N1425"/>
    <mergeCell ref="Y1424:Y1425"/>
    <mergeCell ref="AM1426:AM1427"/>
    <mergeCell ref="AO1426:AO1427"/>
    <mergeCell ref="AO1406:AO1407"/>
    <mergeCell ref="AM1406:AM1407"/>
    <mergeCell ref="J1406:J1407"/>
    <mergeCell ref="AP1394:AP1395"/>
    <mergeCell ref="Y1406:Y1407"/>
    <mergeCell ref="AA1406:AA1407"/>
    <mergeCell ref="Y1426:Y1427"/>
    <mergeCell ref="F1412:F1413"/>
    <mergeCell ref="E1408:E1409"/>
    <mergeCell ref="F1408:F1409"/>
    <mergeCell ref="J1408:J1409"/>
    <mergeCell ref="N1408:N1409"/>
    <mergeCell ref="Y1408:Y1409"/>
    <mergeCell ref="AA1408:AA1409"/>
    <mergeCell ref="AB1408:AB1409"/>
    <mergeCell ref="AC1366:AC1367"/>
    <mergeCell ref="AD1366:AD1367"/>
    <mergeCell ref="AF1366:AF1367"/>
    <mergeCell ref="AG1366:AG1367"/>
    <mergeCell ref="AH1366:AH1367"/>
    <mergeCell ref="AP1368:AP1369"/>
    <mergeCell ref="AK1368:AK1369"/>
    <mergeCell ref="AL1368:AL1369"/>
    <mergeCell ref="AM1368:AM1369"/>
    <mergeCell ref="AO1368:AO1369"/>
    <mergeCell ref="AJ1368:AJ1369"/>
    <mergeCell ref="F1398:F1399"/>
    <mergeCell ref="E1410:E1411"/>
    <mergeCell ref="F1410:F1411"/>
    <mergeCell ref="J1410:J1411"/>
    <mergeCell ref="N1410:N1411"/>
    <mergeCell ref="Y1410:Y1411"/>
    <mergeCell ref="AA1410:AA1411"/>
    <mergeCell ref="AA1376:AA1377"/>
    <mergeCell ref="N1406:N1407"/>
    <mergeCell ref="AP1412:AP1413"/>
    <mergeCell ref="AL1400:AL1401"/>
    <mergeCell ref="AI1404:AI1405"/>
    <mergeCell ref="AG1406:AG1407"/>
    <mergeCell ref="E1406:E1407"/>
    <mergeCell ref="J1374:J1375"/>
    <mergeCell ref="N1374:N1375"/>
    <mergeCell ref="Y1374:Y1375"/>
    <mergeCell ref="Y1384:Y1385"/>
    <mergeCell ref="AA1384:AA1385"/>
    <mergeCell ref="J1384:J1385"/>
    <mergeCell ref="N1384:N1385"/>
    <mergeCell ref="E1390:E1391"/>
    <mergeCell ref="E1382:E1383"/>
    <mergeCell ref="F1382:F1383"/>
    <mergeCell ref="J1382:J1383"/>
    <mergeCell ref="N1382:N1383"/>
    <mergeCell ref="AG1398:AG1399"/>
    <mergeCell ref="AP1518:AP1519"/>
    <mergeCell ref="AA1516:AA1517"/>
    <mergeCell ref="AB1516:AB1517"/>
    <mergeCell ref="AC1516:AC1517"/>
    <mergeCell ref="AD1516:AD1517"/>
    <mergeCell ref="AJ1416:AJ1417"/>
    <mergeCell ref="AK1416:AK1417"/>
    <mergeCell ref="AB1420:AB1421"/>
    <mergeCell ref="AC1420:AC1421"/>
    <mergeCell ref="AD1420:AD1421"/>
    <mergeCell ref="AF1420:AF1421"/>
    <mergeCell ref="AP1376:AP1377"/>
    <mergeCell ref="AJ1376:AJ1377"/>
    <mergeCell ref="AJ1378:AJ1379"/>
    <mergeCell ref="AJ1380:AJ1381"/>
    <mergeCell ref="AJ1382:AJ1383"/>
    <mergeCell ref="AL1378:AL1379"/>
    <mergeCell ref="AK1386:AK1387"/>
    <mergeCell ref="AL1386:AL1387"/>
    <mergeCell ref="N1404:N1405"/>
    <mergeCell ref="Y1404:Y1405"/>
    <mergeCell ref="AC1412:AC1413"/>
    <mergeCell ref="E1400:E1401"/>
    <mergeCell ref="E1404:E1405"/>
    <mergeCell ref="F1404:F1405"/>
    <mergeCell ref="AD1426:AD1427"/>
    <mergeCell ref="AF1426:AF1427"/>
    <mergeCell ref="J1416:J1417"/>
    <mergeCell ref="N1416:N1417"/>
    <mergeCell ref="Y1416:Y1417"/>
    <mergeCell ref="AA1416:AA1417"/>
    <mergeCell ref="AB1416:AB1417"/>
    <mergeCell ref="AC1416:AC1417"/>
    <mergeCell ref="AD1416:AD1417"/>
    <mergeCell ref="AF1416:AF1417"/>
    <mergeCell ref="AF1400:AF1401"/>
    <mergeCell ref="AG1400:AG1401"/>
    <mergeCell ref="AA1388:AA1389"/>
    <mergeCell ref="AB1388:AB1389"/>
    <mergeCell ref="AC1388:AC1389"/>
    <mergeCell ref="AD1388:AD1389"/>
    <mergeCell ref="AF1388:AF1389"/>
    <mergeCell ref="AG1388:AG1389"/>
    <mergeCell ref="AH1406:AH1407"/>
    <mergeCell ref="AI1406:AI1407"/>
    <mergeCell ref="AK1406:AK1407"/>
    <mergeCell ref="AL1406:AL1407"/>
    <mergeCell ref="AF1442:AF1443"/>
    <mergeCell ref="E1426:E1427"/>
    <mergeCell ref="F1426:F1427"/>
    <mergeCell ref="AJ1406:AJ1407"/>
    <mergeCell ref="AB1442:AB1443"/>
    <mergeCell ref="AC1442:AC1443"/>
    <mergeCell ref="AD1412:AD1413"/>
    <mergeCell ref="F1406:F1407"/>
    <mergeCell ref="AG1442:AG1443"/>
    <mergeCell ref="AH1442:AH1443"/>
    <mergeCell ref="AI1442:AI1443"/>
    <mergeCell ref="AD1406:AD1407"/>
    <mergeCell ref="AH1500:AH1501"/>
    <mergeCell ref="AP1500:AP1501"/>
    <mergeCell ref="E1502:E1503"/>
    <mergeCell ref="F1502:F1503"/>
    <mergeCell ref="J1502:J1503"/>
    <mergeCell ref="AO1500:AO1501"/>
    <mergeCell ref="AP1494:AP1495"/>
    <mergeCell ref="AP1512:AP1513"/>
    <mergeCell ref="AP1510:AP1511"/>
    <mergeCell ref="AK1504:AK1505"/>
    <mergeCell ref="AL1504:AL1505"/>
    <mergeCell ref="AM1504:AM1505"/>
    <mergeCell ref="AO1504:AO1505"/>
    <mergeCell ref="AP1504:AP1505"/>
    <mergeCell ref="AA1512:AA1513"/>
    <mergeCell ref="AB1512:AB1513"/>
    <mergeCell ref="AC1512:AC1513"/>
    <mergeCell ref="AD1512:AD1513"/>
    <mergeCell ref="AF1512:AF1513"/>
    <mergeCell ref="AG1512:AG1513"/>
    <mergeCell ref="AH1512:AH1513"/>
    <mergeCell ref="AI1512:AI1513"/>
    <mergeCell ref="AJ1512:AJ1513"/>
    <mergeCell ref="AK1512:AK1513"/>
    <mergeCell ref="AL1512:AL1513"/>
    <mergeCell ref="AM1512:AM1513"/>
    <mergeCell ref="AO1512:AO1513"/>
    <mergeCell ref="E1512:E1513"/>
    <mergeCell ref="F1512:F1513"/>
    <mergeCell ref="J1512:J1513"/>
    <mergeCell ref="N1512:N1513"/>
    <mergeCell ref="Y1512:Y1513"/>
    <mergeCell ref="AB1510:AB1511"/>
    <mergeCell ref="AC1510:AC1511"/>
    <mergeCell ref="AD1510:AD1511"/>
    <mergeCell ref="AF1510:AF1511"/>
    <mergeCell ref="AG1510:AG1511"/>
    <mergeCell ref="AH1510:AH1511"/>
    <mergeCell ref="AI1510:AI1511"/>
    <mergeCell ref="AJ1510:AJ1511"/>
    <mergeCell ref="AK1510:AK1511"/>
    <mergeCell ref="AL1510:AL1511"/>
    <mergeCell ref="AM1510:AM1511"/>
    <mergeCell ref="AO1510:AO1511"/>
    <mergeCell ref="E1504:E1505"/>
    <mergeCell ref="F1504:F1505"/>
    <mergeCell ref="J1504:J1505"/>
    <mergeCell ref="N1504:N1505"/>
    <mergeCell ref="AM1496:AM1497"/>
    <mergeCell ref="AO1496:AO1497"/>
    <mergeCell ref="AD1537:AD1538"/>
    <mergeCell ref="AM1535:AM1536"/>
    <mergeCell ref="E1543:E1544"/>
    <mergeCell ref="F1543:F1544"/>
    <mergeCell ref="AP1496:AP1497"/>
    <mergeCell ref="AF1516:AF1517"/>
    <mergeCell ref="E1492:E1493"/>
    <mergeCell ref="E1494:E1495"/>
    <mergeCell ref="F1494:F1495"/>
    <mergeCell ref="J1494:J1495"/>
    <mergeCell ref="AB1494:AB1495"/>
    <mergeCell ref="AC1494:AC1495"/>
    <mergeCell ref="AD1494:AD1495"/>
    <mergeCell ref="AF1494:AF1495"/>
    <mergeCell ref="AG1494:AG1495"/>
    <mergeCell ref="AH1494:AH1495"/>
    <mergeCell ref="F1492:F1493"/>
    <mergeCell ref="J1492:J1493"/>
    <mergeCell ref="N1492:N1493"/>
    <mergeCell ref="Y1492:Y1493"/>
    <mergeCell ref="AA1492:AA1493"/>
    <mergeCell ref="AB1492:AB1493"/>
    <mergeCell ref="AA1504:AA1505"/>
    <mergeCell ref="AB1504:AB1505"/>
    <mergeCell ref="AC1504:AC1505"/>
    <mergeCell ref="AD1504:AD1505"/>
    <mergeCell ref="AP1492:AP1493"/>
    <mergeCell ref="AK1494:AK1495"/>
    <mergeCell ref="N1498:N1499"/>
    <mergeCell ref="Y1498:Y1499"/>
    <mergeCell ref="AO1516:AO1517"/>
    <mergeCell ref="AP1516:AP1517"/>
    <mergeCell ref="E1496:E1497"/>
    <mergeCell ref="F1496:F1497"/>
    <mergeCell ref="J1496:J1497"/>
    <mergeCell ref="N1496:N1497"/>
    <mergeCell ref="AA1498:AA1499"/>
    <mergeCell ref="AB1498:AB1499"/>
    <mergeCell ref="AP1498:AP1499"/>
    <mergeCell ref="AC1514:AC1515"/>
    <mergeCell ref="AD1514:AD1515"/>
    <mergeCell ref="AF1514:AF1515"/>
    <mergeCell ref="AG1514:AG1515"/>
    <mergeCell ref="AH1514:AH1515"/>
    <mergeCell ref="AI1514:AI1515"/>
    <mergeCell ref="AJ1514:AJ1515"/>
    <mergeCell ref="AK1514:AK1515"/>
    <mergeCell ref="AL1514:AL1515"/>
    <mergeCell ref="AM1514:AM1515"/>
    <mergeCell ref="AO1514:AO1515"/>
    <mergeCell ref="N1500:N1501"/>
    <mergeCell ref="Y1500:Y1501"/>
    <mergeCell ref="AA1500:AA1501"/>
    <mergeCell ref="AB1500:AB1501"/>
    <mergeCell ref="AC1500:AC1501"/>
    <mergeCell ref="AD1500:AD1501"/>
    <mergeCell ref="AF1500:AF1501"/>
    <mergeCell ref="AG1500:AG1501"/>
    <mergeCell ref="E1500:E1501"/>
    <mergeCell ref="F1500:F1501"/>
    <mergeCell ref="J1500:J1501"/>
    <mergeCell ref="AK1500:AK1501"/>
    <mergeCell ref="AL1500:AL1501"/>
    <mergeCell ref="AM1500:AM1501"/>
    <mergeCell ref="AF1561:AF1562"/>
    <mergeCell ref="AL1557:AL1558"/>
    <mergeCell ref="AM1557:AM1558"/>
    <mergeCell ref="AO1557:AO1558"/>
    <mergeCell ref="AP1585:AP1586"/>
    <mergeCell ref="AF1535:AF1536"/>
    <mergeCell ref="AG1535:AG1536"/>
    <mergeCell ref="AF1537:AF1538"/>
    <mergeCell ref="AJ1533:AJ1534"/>
    <mergeCell ref="AH1531:AH1532"/>
    <mergeCell ref="AI1531:AI1532"/>
    <mergeCell ref="J1539:J1540"/>
    <mergeCell ref="AF1543:AF1544"/>
    <mergeCell ref="AG1543:AG1544"/>
    <mergeCell ref="AK1533:AK1534"/>
    <mergeCell ref="AL1533:AL1534"/>
    <mergeCell ref="AO1533:AO1534"/>
    <mergeCell ref="J1531:J1532"/>
    <mergeCell ref="N1531:N1532"/>
    <mergeCell ref="Y1531:Y1532"/>
    <mergeCell ref="AA1531:AA1532"/>
    <mergeCell ref="AB1531:AB1532"/>
    <mergeCell ref="AD1531:AD1532"/>
    <mergeCell ref="AF1531:AF1532"/>
    <mergeCell ref="AG1531:AG1532"/>
    <mergeCell ref="E1537:E1538"/>
    <mergeCell ref="AP1531:AP1532"/>
    <mergeCell ref="AM1533:AM1534"/>
    <mergeCell ref="AP1533:AP1534"/>
    <mergeCell ref="AP1535:AP1536"/>
    <mergeCell ref="AM1537:AM1538"/>
    <mergeCell ref="AP1537:AP1538"/>
    <mergeCell ref="AM1555:AM1556"/>
    <mergeCell ref="F1557:F1558"/>
    <mergeCell ref="J1557:J1558"/>
    <mergeCell ref="N1557:N1558"/>
    <mergeCell ref="Y1537:Y1538"/>
    <mergeCell ref="AA1537:AA1538"/>
    <mergeCell ref="AM1531:AM1532"/>
    <mergeCell ref="AK1547:AK1548"/>
    <mergeCell ref="AL1547:AL1548"/>
    <mergeCell ref="N1565:N1566"/>
    <mergeCell ref="Y1565:Y1566"/>
    <mergeCell ref="AA1565:AA1566"/>
    <mergeCell ref="AB1565:AB1566"/>
    <mergeCell ref="AL1567:AL1568"/>
    <mergeCell ref="F1573:F1574"/>
    <mergeCell ref="J1573:J1574"/>
    <mergeCell ref="N1573:N1574"/>
    <mergeCell ref="Y1573:Y1574"/>
    <mergeCell ref="AC1563:AC1564"/>
    <mergeCell ref="AD1563:AD1564"/>
    <mergeCell ref="AP1561:AP1562"/>
    <mergeCell ref="AP1545:AP1546"/>
    <mergeCell ref="AI1539:AI1540"/>
    <mergeCell ref="AK1539:AK1540"/>
    <mergeCell ref="AL1539:AL1540"/>
    <mergeCell ref="E1539:E1540"/>
    <mergeCell ref="F1539:F1540"/>
    <mergeCell ref="AL1535:AL1536"/>
    <mergeCell ref="AO1535:AO1536"/>
    <mergeCell ref="AO1541:AO1542"/>
    <mergeCell ref="AB1537:AB1538"/>
    <mergeCell ref="AC1537:AC1538"/>
    <mergeCell ref="AO1623:AO1624"/>
    <mergeCell ref="AP1623:AP1624"/>
    <mergeCell ref="AL1625:AL1626"/>
    <mergeCell ref="AM1625:AM1626"/>
    <mergeCell ref="AO1625:AO1626"/>
    <mergeCell ref="AP1625:AP1626"/>
    <mergeCell ref="AM1698:AM1699"/>
    <mergeCell ref="AP1698:AP1699"/>
    <mergeCell ref="AP1658:AP1659"/>
    <mergeCell ref="AM1660:AM1661"/>
    <mergeCell ref="AP1660:AP1661"/>
    <mergeCell ref="AM1662:AM1663"/>
    <mergeCell ref="AP1662:AP1663"/>
    <mergeCell ref="AM1666:AM1667"/>
    <mergeCell ref="AP1666:AP1667"/>
    <mergeCell ref="AM1668:AM1669"/>
    <mergeCell ref="AP1668:AP1669"/>
    <mergeCell ref="AM1674:AM1675"/>
    <mergeCell ref="AP1674:AP1675"/>
    <mergeCell ref="AM1676:AM1677"/>
    <mergeCell ref="AP1676:AP1677"/>
    <mergeCell ref="AM1680:AM1681"/>
    <mergeCell ref="AP1680:AP1681"/>
    <mergeCell ref="AM1682:AM1683"/>
    <mergeCell ref="AP1682:AP1683"/>
    <mergeCell ref="AO1680:AO1681"/>
    <mergeCell ref="AO1662:AO1663"/>
    <mergeCell ref="AO1674:AO1675"/>
    <mergeCell ref="AO1666:AO1667"/>
    <mergeCell ref="AO1668:AO1669"/>
    <mergeCell ref="AO1676:AO1677"/>
    <mergeCell ref="AO1654:AO1655"/>
    <mergeCell ref="AP1549:AP1550"/>
    <mergeCell ref="AP1553:AP1554"/>
    <mergeCell ref="AO1561:AO1562"/>
    <mergeCell ref="AM1559:AM1560"/>
    <mergeCell ref="AO1559:AO1560"/>
    <mergeCell ref="AL1561:AL1562"/>
    <mergeCell ref="AM1561:AM1562"/>
    <mergeCell ref="AL1660:AL1661"/>
    <mergeCell ref="AL1658:AL1659"/>
    <mergeCell ref="AL1666:AL1667"/>
    <mergeCell ref="AL1595:AL1596"/>
    <mergeCell ref="AM1569:AM1570"/>
    <mergeCell ref="AO1569:AO1570"/>
    <mergeCell ref="AP1569:AP1570"/>
    <mergeCell ref="AM1571:AM1572"/>
    <mergeCell ref="AO1571:AO1572"/>
    <mergeCell ref="AP1571:AP1572"/>
    <mergeCell ref="AP1563:AP1564"/>
    <mergeCell ref="AM1726:AM1727"/>
    <mergeCell ref="AO1726:AO1727"/>
    <mergeCell ref="AM1718:AM1719"/>
    <mergeCell ref="AO1718:AO1719"/>
    <mergeCell ref="AL1714:AL1715"/>
    <mergeCell ref="AO1714:AO1715"/>
    <mergeCell ref="Y1708:Y1709"/>
    <mergeCell ref="AK1700:AK1701"/>
    <mergeCell ref="AK1706:AK1707"/>
    <mergeCell ref="J1718:J1719"/>
    <mergeCell ref="AA1714:AA1715"/>
    <mergeCell ref="AB1714:AB1715"/>
    <mergeCell ref="AC1714:AC1715"/>
    <mergeCell ref="AL1692:AL1693"/>
    <mergeCell ref="AP1714:AP1715"/>
    <mergeCell ref="AO1704:AO1705"/>
    <mergeCell ref="AP1702:AP1703"/>
    <mergeCell ref="AL1722:AL1723"/>
    <mergeCell ref="AM1722:AM1723"/>
    <mergeCell ref="AO1722:AO1723"/>
    <mergeCell ref="AP1722:AP1723"/>
    <mergeCell ref="AM1712:AM1713"/>
    <mergeCell ref="AO1712:AO1713"/>
    <mergeCell ref="AP1712:AP1713"/>
    <mergeCell ref="AP1688:AP1689"/>
    <mergeCell ref="AO1660:AO1661"/>
    <mergeCell ref="AO1658:AO1659"/>
    <mergeCell ref="AM1646:AM1647"/>
    <mergeCell ref="AO1646:AO1647"/>
    <mergeCell ref="AM1648:AM1649"/>
    <mergeCell ref="AM1650:AM1651"/>
    <mergeCell ref="AO1688:AO1689"/>
    <mergeCell ref="AO1682:AO1683"/>
    <mergeCell ref="AM1688:AM1689"/>
    <mergeCell ref="AM1692:AM1693"/>
    <mergeCell ref="AM1694:AM1695"/>
    <mergeCell ref="AL1688:AL1689"/>
    <mergeCell ref="AP1708:AP1709"/>
    <mergeCell ref="AP1704:AP1705"/>
    <mergeCell ref="Y1660:Y1661"/>
    <mergeCell ref="AA1660:AA1661"/>
    <mergeCell ref="AB1660:AB1661"/>
    <mergeCell ref="AC1660:AC1661"/>
    <mergeCell ref="AJ1654:AJ1655"/>
    <mergeCell ref="AJ1656:AJ1657"/>
    <mergeCell ref="AF1668:AF1669"/>
    <mergeCell ref="AG1668:AG1669"/>
    <mergeCell ref="AH1668:AH1669"/>
    <mergeCell ref="AI1668:AI1669"/>
    <mergeCell ref="AB1662:AB1663"/>
    <mergeCell ref="AC1662:AC1663"/>
    <mergeCell ref="AD1662:AD1663"/>
    <mergeCell ref="AF1662:AF1663"/>
    <mergeCell ref="AG1662:AG1663"/>
    <mergeCell ref="AH1662:AH1663"/>
    <mergeCell ref="AI1662:AI1663"/>
    <mergeCell ref="AK1658:AK1659"/>
    <mergeCell ref="AK1666:AK1667"/>
    <mergeCell ref="AK1662:AK1663"/>
    <mergeCell ref="AK1660:AK1661"/>
    <mergeCell ref="N1646:N1647"/>
    <mergeCell ref="AG1702:AG1703"/>
    <mergeCell ref="AH1702:AH1703"/>
    <mergeCell ref="AI1702:AI1703"/>
    <mergeCell ref="AP1939:AP1940"/>
    <mergeCell ref="AD1941:AD1942"/>
    <mergeCell ref="AF1941:AF1942"/>
    <mergeCell ref="AI1921:AI1922"/>
    <mergeCell ref="AP1913:AP1914"/>
    <mergeCell ref="AO1909:AO1910"/>
    <mergeCell ref="AM1915:AM1916"/>
    <mergeCell ref="AP1915:AP1916"/>
    <mergeCell ref="AO1913:AO1914"/>
    <mergeCell ref="AM1927:AM1928"/>
    <mergeCell ref="AO1927:AO1928"/>
    <mergeCell ref="AO1911:AO1912"/>
    <mergeCell ref="AK1913:AK1914"/>
    <mergeCell ref="AL1712:AL1713"/>
    <mergeCell ref="AL1700:AL1701"/>
    <mergeCell ref="AO1710:AO1711"/>
    <mergeCell ref="AM1706:AM1707"/>
    <mergeCell ref="AO1706:AO1707"/>
    <mergeCell ref="AM1710:AM1711"/>
    <mergeCell ref="AO1698:AO1699"/>
    <mergeCell ref="AO1692:AO1693"/>
    <mergeCell ref="AO1694:AO1695"/>
    <mergeCell ref="AJ1708:AJ1709"/>
    <mergeCell ref="AJ1710:AJ1711"/>
    <mergeCell ref="J1812:J1813"/>
    <mergeCell ref="AM1700:AM1701"/>
    <mergeCell ref="AO1700:AO1701"/>
    <mergeCell ref="N1718:N1719"/>
    <mergeCell ref="Y1718:Y1719"/>
    <mergeCell ref="AA1718:AA1719"/>
    <mergeCell ref="AB1718:AB1719"/>
    <mergeCell ref="AC1718:AC1719"/>
    <mergeCell ref="N1706:N1707"/>
    <mergeCell ref="AF1706:AF1707"/>
    <mergeCell ref="AG1706:AG1707"/>
    <mergeCell ref="AH1706:AH1707"/>
    <mergeCell ref="AI1706:AI1707"/>
    <mergeCell ref="AG1718:AG1719"/>
    <mergeCell ref="AH1718:AH1719"/>
    <mergeCell ref="AI1718:AI1719"/>
    <mergeCell ref="AJ1718:AJ1719"/>
    <mergeCell ref="AK1718:AK1719"/>
    <mergeCell ref="AK1698:AK1699"/>
    <mergeCell ref="AL1706:AL1707"/>
    <mergeCell ref="AL1698:AL1699"/>
    <mergeCell ref="AK1720:AK1721"/>
    <mergeCell ref="AL1720:AL1721"/>
    <mergeCell ref="AM1702:AM1703"/>
    <mergeCell ref="AO1702:AO1703"/>
    <mergeCell ref="AM1708:AM1709"/>
    <mergeCell ref="AO1708:AO1709"/>
    <mergeCell ref="AK1744:AK1745"/>
    <mergeCell ref="AL1744:AL1745"/>
    <mergeCell ref="AM1744:AM1745"/>
    <mergeCell ref="AO1744:AO1745"/>
    <mergeCell ref="AG1785:AG1786"/>
    <mergeCell ref="AH1785:AH1786"/>
    <mergeCell ref="AI1785:AI1786"/>
    <mergeCell ref="AJ1785:AJ1786"/>
    <mergeCell ref="AK1785:AK1786"/>
    <mergeCell ref="AL1785:AL1786"/>
    <mergeCell ref="AM1785:AM1786"/>
    <mergeCell ref="AM1720:AM1721"/>
    <mergeCell ref="AO1720:AO1721"/>
    <mergeCell ref="AK1917:AK1918"/>
    <mergeCell ref="AL1917:AL1918"/>
    <mergeCell ref="AB1937:AB1938"/>
    <mergeCell ref="AC1937:AC1938"/>
    <mergeCell ref="AK1907:AK1908"/>
    <mergeCell ref="AD1921:AD1922"/>
    <mergeCell ref="AI1913:AI1914"/>
    <mergeCell ref="AJ1919:AJ1920"/>
    <mergeCell ref="AJ1921:AJ1922"/>
    <mergeCell ref="AJ1923:AJ1924"/>
    <mergeCell ref="AJ1925:AJ1926"/>
    <mergeCell ref="AJ1927:AJ1928"/>
    <mergeCell ref="AJ1929:AJ1930"/>
    <mergeCell ref="AJ1931:AJ1932"/>
    <mergeCell ref="AJ1933:AJ1934"/>
    <mergeCell ref="AJ1935:AJ1936"/>
    <mergeCell ref="AJ1937:AJ1938"/>
    <mergeCell ref="AB1915:AB1916"/>
    <mergeCell ref="AB1907:AB1908"/>
    <mergeCell ref="AL1913:AL1914"/>
    <mergeCell ref="AL1921:AL1922"/>
    <mergeCell ref="AK1915:AK1916"/>
    <mergeCell ref="AL1907:AL1908"/>
    <mergeCell ref="AL1909:AL1910"/>
    <mergeCell ref="AL1911:AL1912"/>
    <mergeCell ref="AD1925:AD1926"/>
    <mergeCell ref="AF1925:AF1926"/>
    <mergeCell ref="AJ1909:AJ1910"/>
    <mergeCell ref="AJ1911:AJ1912"/>
    <mergeCell ref="AK1911:AK1912"/>
    <mergeCell ref="AP1909:AP1910"/>
    <mergeCell ref="AM1911:AM1912"/>
    <mergeCell ref="AP1911:AP1912"/>
    <mergeCell ref="AO1919:AO1920"/>
    <mergeCell ref="F2020:F2021"/>
    <mergeCell ref="AO2016:AO2017"/>
    <mergeCell ref="N2004:N2005"/>
    <mergeCell ref="AH2020:AH2021"/>
    <mergeCell ref="AG2020:AG2021"/>
    <mergeCell ref="Y2024:Y2025"/>
    <mergeCell ref="Y2020:Y2021"/>
    <mergeCell ref="AM2012:AM2013"/>
    <mergeCell ref="AM2010:AM2011"/>
    <mergeCell ref="AO2010:AO2011"/>
    <mergeCell ref="AP2028:AP2029"/>
    <mergeCell ref="AA2030:AA2031"/>
    <mergeCell ref="AB2030:AB2031"/>
    <mergeCell ref="AC2030:AC2031"/>
    <mergeCell ref="AD2030:AD2031"/>
    <mergeCell ref="AF2030:AF2031"/>
    <mergeCell ref="AG2030:AG2031"/>
    <mergeCell ref="AD2022:AD2023"/>
    <mergeCell ref="AO2000:AO2001"/>
    <mergeCell ref="AK2004:AK2005"/>
    <mergeCell ref="AF2000:AF2001"/>
    <mergeCell ref="AA2004:AA2005"/>
    <mergeCell ref="AB2004:AB2005"/>
    <mergeCell ref="AC2004:AC2005"/>
    <mergeCell ref="AK1998:AK1999"/>
    <mergeCell ref="AL1998:AL1999"/>
    <mergeCell ref="AH2006:AH2007"/>
    <mergeCell ref="AI2006:AI2007"/>
    <mergeCell ref="AM2016:AM2017"/>
    <mergeCell ref="AG2024:AG2025"/>
    <mergeCell ref="AH2024:AH2025"/>
    <mergeCell ref="AA2018:AA2019"/>
    <mergeCell ref="AK2020:AK2021"/>
    <mergeCell ref="AL2020:AL2021"/>
    <mergeCell ref="AJ2020:AJ2021"/>
    <mergeCell ref="AC2020:AC2021"/>
    <mergeCell ref="AF2020:AF2021"/>
    <mergeCell ref="AF2006:AF2007"/>
    <mergeCell ref="AB2010:AB2011"/>
    <mergeCell ref="AC2010:AC2011"/>
    <mergeCell ref="AI2018:AI2019"/>
    <mergeCell ref="AD2014:AD2015"/>
    <mergeCell ref="AC2018:AC2019"/>
    <mergeCell ref="AI2010:AI2011"/>
    <mergeCell ref="AK2010:AK2011"/>
    <mergeCell ref="AL2010:AL2011"/>
    <mergeCell ref="AA2016:AA2017"/>
    <mergeCell ref="AG2018:AG2019"/>
    <mergeCell ref="AF2016:AF2017"/>
    <mergeCell ref="AO2008:AO2009"/>
    <mergeCell ref="AO2012:AO2013"/>
    <mergeCell ref="AO1998:AO1999"/>
    <mergeCell ref="AO2006:AO2007"/>
    <mergeCell ref="AM2030:AM2031"/>
    <mergeCell ref="AO2022:AO2023"/>
    <mergeCell ref="AG2014:AG2015"/>
    <mergeCell ref="AD2018:AD2019"/>
    <mergeCell ref="AF2018:AF2019"/>
    <mergeCell ref="AF2028:AF2029"/>
    <mergeCell ref="AG2028:AG2029"/>
    <mergeCell ref="AD2016:AD2017"/>
    <mergeCell ref="N1998:N1999"/>
    <mergeCell ref="AO2002:AO2003"/>
    <mergeCell ref="AD2012:AD2013"/>
    <mergeCell ref="AC2141:AC2142"/>
    <mergeCell ref="F2044:F2045"/>
    <mergeCell ref="J2044:J2045"/>
    <mergeCell ref="AI2048:AI2049"/>
    <mergeCell ref="AJ2066:AJ2067"/>
    <mergeCell ref="AB2062:AB2063"/>
    <mergeCell ref="AL2078:AL2079"/>
    <mergeCell ref="AM2078:AM2079"/>
    <mergeCell ref="AO2078:AO2079"/>
    <mergeCell ref="F2042:F2043"/>
    <mergeCell ref="F2046:F2047"/>
    <mergeCell ref="F2040:F2041"/>
    <mergeCell ref="J2040:J2041"/>
    <mergeCell ref="AP2018:AP2019"/>
    <mergeCell ref="AP2020:AP2021"/>
    <mergeCell ref="AM2022:AM2023"/>
    <mergeCell ref="F2036:F2037"/>
    <mergeCell ref="J2036:J2037"/>
    <mergeCell ref="N2036:N2037"/>
    <mergeCell ref="Y2030:Y2031"/>
    <mergeCell ref="AC2028:AC2029"/>
    <mergeCell ref="AD2028:AD2029"/>
    <mergeCell ref="AA2000:AA2001"/>
    <mergeCell ref="AH2000:AH2001"/>
    <mergeCell ref="AL2008:AL2009"/>
    <mergeCell ref="J2000:J2001"/>
    <mergeCell ref="F2000:F2001"/>
    <mergeCell ref="E2008:E2009"/>
    <mergeCell ref="F2008:F2009"/>
    <mergeCell ref="J2008:J2009"/>
    <mergeCell ref="N2024:N2025"/>
    <mergeCell ref="AA2024:AA2025"/>
    <mergeCell ref="AB2024:AB2025"/>
    <mergeCell ref="AC2024:AC2025"/>
    <mergeCell ref="E2022:E2023"/>
    <mergeCell ref="AB2012:AB2013"/>
    <mergeCell ref="AC2012:AC2013"/>
    <mergeCell ref="AH2030:AH2031"/>
    <mergeCell ref="AO2020:AO2021"/>
    <mergeCell ref="AF2026:AF2027"/>
    <mergeCell ref="AG2026:AG2027"/>
    <mergeCell ref="N2016:N2017"/>
    <mergeCell ref="N2040:N2041"/>
    <mergeCell ref="Y2040:Y2041"/>
    <mergeCell ref="N2006:N2007"/>
    <mergeCell ref="E2018:E2019"/>
    <mergeCell ref="F2018:F2019"/>
    <mergeCell ref="J2018:J2019"/>
    <mergeCell ref="N2018:N2019"/>
    <mergeCell ref="E2010:E2011"/>
    <mergeCell ref="F2010:F2011"/>
    <mergeCell ref="E2028:E2029"/>
    <mergeCell ref="AM2026:AM2027"/>
    <mergeCell ref="N2034:N2035"/>
    <mergeCell ref="Y2034:Y2035"/>
    <mergeCell ref="AA2034:AA2035"/>
    <mergeCell ref="AC2016:AC2017"/>
    <mergeCell ref="AF2034:AF2035"/>
    <mergeCell ref="AG2034:AG2035"/>
    <mergeCell ref="AH2034:AH2035"/>
    <mergeCell ref="AI2034:AI2035"/>
    <mergeCell ref="N2020:N2021"/>
    <mergeCell ref="AF2022:AF2023"/>
    <mergeCell ref="AG2022:AG2023"/>
    <mergeCell ref="F2048:F2049"/>
    <mergeCell ref="AA2046:AA2047"/>
    <mergeCell ref="AB2046:AB2047"/>
    <mergeCell ref="J2026:J2027"/>
    <mergeCell ref="N2026:N2027"/>
    <mergeCell ref="AL2050:AL2051"/>
    <mergeCell ref="AM2050:AM2051"/>
    <mergeCell ref="Y2050:Y2051"/>
    <mergeCell ref="AA2050:AA2051"/>
    <mergeCell ref="AB2050:AB2051"/>
    <mergeCell ref="AC2050:AC2051"/>
    <mergeCell ref="AF2038:AF2039"/>
    <mergeCell ref="AM2038:AM2039"/>
    <mergeCell ref="AB2042:AB2043"/>
    <mergeCell ref="AC2042:AC2043"/>
    <mergeCell ref="AD2042:AD2043"/>
    <mergeCell ref="AF2042:AF2043"/>
    <mergeCell ref="AG2042:AG2043"/>
    <mergeCell ref="AH2042:AH2043"/>
    <mergeCell ref="AM2042:AM2043"/>
    <mergeCell ref="AK2048:AK2049"/>
    <mergeCell ref="AB2048:AB2049"/>
    <mergeCell ref="AK2052:AK2053"/>
    <mergeCell ref="AL2052:AL2053"/>
    <mergeCell ref="N2050:N2051"/>
    <mergeCell ref="AL2034:AL2035"/>
    <mergeCell ref="AK2036:AK2037"/>
    <mergeCell ref="AM2036:AM2037"/>
    <mergeCell ref="AJ2028:AJ2029"/>
    <mergeCell ref="AK2028:AK2029"/>
    <mergeCell ref="AL2028:AL2029"/>
    <mergeCell ref="AM2028:AM2029"/>
    <mergeCell ref="AJ2046:AJ2047"/>
    <mergeCell ref="AJ2048:AJ2049"/>
    <mergeCell ref="AJ2052:AJ2053"/>
    <mergeCell ref="J2038:J2039"/>
    <mergeCell ref="F2028:F2029"/>
    <mergeCell ref="J2028:J2029"/>
    <mergeCell ref="AB2034:AB2035"/>
    <mergeCell ref="N2048:N2049"/>
    <mergeCell ref="Y2048:Y2049"/>
    <mergeCell ref="AC2046:AC2047"/>
    <mergeCell ref="AD2046:AD2047"/>
    <mergeCell ref="AF2046:AF2047"/>
    <mergeCell ref="AG2046:AG2047"/>
    <mergeCell ref="AH2046:AH2047"/>
    <mergeCell ref="AI2046:AI2047"/>
    <mergeCell ref="AF2048:AF2049"/>
    <mergeCell ref="AM2046:AM2047"/>
    <mergeCell ref="AI2030:AI2031"/>
    <mergeCell ref="AL2026:AL2027"/>
    <mergeCell ref="AF2044:AF2045"/>
    <mergeCell ref="AG2044:AG2045"/>
    <mergeCell ref="AH2044:AH2045"/>
    <mergeCell ref="AI2044:AI2045"/>
    <mergeCell ref="AK2030:AK2031"/>
    <mergeCell ref="AG2165:AG2166"/>
    <mergeCell ref="AO2159:AO2160"/>
    <mergeCell ref="AB2141:AB2142"/>
    <mergeCell ref="AL2141:AL2142"/>
    <mergeCell ref="AO2141:AO2142"/>
    <mergeCell ref="AO2169:AO2170"/>
    <mergeCell ref="AO2171:AO2172"/>
    <mergeCell ref="AL2139:AL2140"/>
    <mergeCell ref="AO2129:AO2130"/>
    <mergeCell ref="N2141:N2142"/>
    <mergeCell ref="J2167:J2168"/>
    <mergeCell ref="N2167:N2168"/>
    <mergeCell ref="Y2167:Y2168"/>
    <mergeCell ref="AK2171:AK2172"/>
    <mergeCell ref="AL2171:AL2172"/>
    <mergeCell ref="AH2171:AH2172"/>
    <mergeCell ref="AI2171:AI2172"/>
    <mergeCell ref="AD2131:AD2132"/>
    <mergeCell ref="AF2141:AF2142"/>
    <mergeCell ref="AK2165:AK2166"/>
    <mergeCell ref="AM2135:AM2136"/>
    <mergeCell ref="AM2155:AM2156"/>
    <mergeCell ref="AG2147:AG2148"/>
    <mergeCell ref="AF2137:AF2138"/>
    <mergeCell ref="AG2137:AG2138"/>
    <mergeCell ref="AH2137:AH2138"/>
    <mergeCell ref="AI2137:AI2138"/>
    <mergeCell ref="AK2137:AK2138"/>
    <mergeCell ref="AL2137:AL2138"/>
    <mergeCell ref="AG2163:AG2164"/>
    <mergeCell ref="AH2163:AH2164"/>
    <mergeCell ref="AI2163:AI2164"/>
    <mergeCell ref="AC2169:AC2170"/>
    <mergeCell ref="AD2169:AD2170"/>
    <mergeCell ref="AF2169:AF2170"/>
    <mergeCell ref="AG2169:AG2170"/>
    <mergeCell ref="AC2155:AC2156"/>
    <mergeCell ref="AB2153:AB2154"/>
    <mergeCell ref="AC2153:AC2154"/>
    <mergeCell ref="AD2153:AD2154"/>
    <mergeCell ref="AC2163:AC2164"/>
    <mergeCell ref="AC2165:AC2166"/>
    <mergeCell ref="AD2165:AD2166"/>
    <mergeCell ref="AF2165:AF2166"/>
    <mergeCell ref="AD2135:AD2136"/>
    <mergeCell ref="AF2135:AF2136"/>
    <mergeCell ref="AG2155:AG2156"/>
    <mergeCell ref="J2165:J2166"/>
    <mergeCell ref="AF2167:AF2168"/>
    <mergeCell ref="AH2159:AH2160"/>
    <mergeCell ref="AH2153:AH2154"/>
    <mergeCell ref="AA2133:AA2134"/>
    <mergeCell ref="AB2133:AB2134"/>
    <mergeCell ref="N2163:N2164"/>
    <mergeCell ref="AO2143:AO2144"/>
    <mergeCell ref="AO2145:AO2146"/>
    <mergeCell ref="J2137:J2138"/>
    <mergeCell ref="N2161:N2162"/>
    <mergeCell ref="Y2161:Y2162"/>
    <mergeCell ref="AA2161:AA2162"/>
    <mergeCell ref="AF2161:AF2162"/>
    <mergeCell ref="AG2161:AG2162"/>
    <mergeCell ref="AM2153:AM2154"/>
    <mergeCell ref="AO2153:AO2154"/>
    <mergeCell ref="AO2227:AO2228"/>
    <mergeCell ref="AM2235:AM2236"/>
    <mergeCell ref="AJ2235:AJ2236"/>
    <mergeCell ref="AH2217:AH2218"/>
    <mergeCell ref="AG2227:AG2228"/>
    <mergeCell ref="AA2237:AA2238"/>
    <mergeCell ref="AB2237:AB2238"/>
    <mergeCell ref="AP2153:AP2154"/>
    <mergeCell ref="AP2163:AP2164"/>
    <mergeCell ref="AM2165:AM2166"/>
    <mergeCell ref="AP2165:AP2166"/>
    <mergeCell ref="AM2167:AM2168"/>
    <mergeCell ref="AJ2161:AJ2162"/>
    <mergeCell ref="AP2161:AP2162"/>
    <mergeCell ref="AM2159:AM2160"/>
    <mergeCell ref="AJ2167:AJ2168"/>
    <mergeCell ref="AJ2169:AJ2170"/>
    <mergeCell ref="AP2167:AP2168"/>
    <mergeCell ref="AM2169:AM2170"/>
    <mergeCell ref="AP2169:AP2170"/>
    <mergeCell ref="AM2171:AM2172"/>
    <mergeCell ref="AC2173:AC2174"/>
    <mergeCell ref="AM2189:AM2190"/>
    <mergeCell ref="AH2155:AH2156"/>
    <mergeCell ref="AG2177:AG2178"/>
    <mergeCell ref="AH2177:AH2178"/>
    <mergeCell ref="AI2177:AI2178"/>
    <mergeCell ref="AJ2171:AJ2172"/>
    <mergeCell ref="AM2149:AM2150"/>
    <mergeCell ref="AK2161:AK2162"/>
    <mergeCell ref="AL2161:AL2162"/>
    <mergeCell ref="AM2161:AM2162"/>
    <mergeCell ref="AO2161:AO2162"/>
    <mergeCell ref="AA2163:AA2164"/>
    <mergeCell ref="AJ2149:AJ2150"/>
    <mergeCell ref="AJ2151:AJ2152"/>
    <mergeCell ref="AM2151:AM2152"/>
    <mergeCell ref="AH2161:AH2162"/>
    <mergeCell ref="AI2161:AI2162"/>
    <mergeCell ref="AD2149:AD2150"/>
    <mergeCell ref="AL2163:AL2164"/>
    <mergeCell ref="AG2167:AG2168"/>
    <mergeCell ref="AK2167:AK2168"/>
    <mergeCell ref="AO2177:AO2178"/>
    <mergeCell ref="AM2173:AM2174"/>
    <mergeCell ref="AD2155:AD2156"/>
    <mergeCell ref="AL2167:AL2168"/>
    <mergeCell ref="AP2157:AP2158"/>
    <mergeCell ref="AJ2155:AJ2156"/>
    <mergeCell ref="AA2221:AA2222"/>
    <mergeCell ref="AH2167:AH2168"/>
    <mergeCell ref="AP2171:AP2172"/>
    <mergeCell ref="AL2203:AL2204"/>
    <mergeCell ref="AG2185:AG2186"/>
    <mergeCell ref="AH2185:AH2186"/>
    <mergeCell ref="AI2185:AI2186"/>
    <mergeCell ref="AJ2185:AJ2186"/>
    <mergeCell ref="AK2185:AK2186"/>
    <mergeCell ref="AH2199:AH2200"/>
    <mergeCell ref="AI2199:AI2200"/>
    <mergeCell ref="AJ2199:AJ2200"/>
    <mergeCell ref="AK2199:AK2200"/>
    <mergeCell ref="AL2199:AL2200"/>
    <mergeCell ref="AA2213:AA2214"/>
    <mergeCell ref="AO2267:AO2268"/>
    <mergeCell ref="AD2347:AD2348"/>
    <mergeCell ref="AF2347:AF2348"/>
    <mergeCell ref="AG2419:AG2420"/>
    <mergeCell ref="AJ2277:AJ2278"/>
    <mergeCell ref="AM2305:AM2306"/>
    <mergeCell ref="AO2305:AO2306"/>
    <mergeCell ref="AC2322:AC2323"/>
    <mergeCell ref="AD2322:AD2323"/>
    <mergeCell ref="AF2322:AF2323"/>
    <mergeCell ref="AG2322:AG2323"/>
    <mergeCell ref="AH2322:AH2323"/>
    <mergeCell ref="E2215:E2216"/>
    <mergeCell ref="F2215:F2216"/>
    <mergeCell ref="J2215:J2216"/>
    <mergeCell ref="AK2213:AK2214"/>
    <mergeCell ref="AL2213:AL2214"/>
    <mergeCell ref="AO2213:AO2214"/>
    <mergeCell ref="AM2381:AM2382"/>
    <mergeCell ref="AL2407:AL2408"/>
    <mergeCell ref="AO2409:AO2410"/>
    <mergeCell ref="Y2405:Y2406"/>
    <mergeCell ref="AA2405:AA2406"/>
    <mergeCell ref="AM2379:AM2380"/>
    <mergeCell ref="AO2379:AO2380"/>
    <mergeCell ref="AP2281:AP2282"/>
    <mergeCell ref="E2253:E2254"/>
    <mergeCell ref="N2249:N2250"/>
    <mergeCell ref="AI2227:AI2228"/>
    <mergeCell ref="AJ2227:AJ2228"/>
    <mergeCell ref="AK2227:AK2228"/>
    <mergeCell ref="AO2249:AO2250"/>
    <mergeCell ref="AJ2247:AJ2248"/>
    <mergeCell ref="AJ2219:AJ2220"/>
    <mergeCell ref="AP2217:AP2218"/>
    <mergeCell ref="AP2227:AP2228"/>
    <mergeCell ref="AJ2229:AJ2230"/>
    <mergeCell ref="F2231:F2232"/>
    <mergeCell ref="J2231:J2232"/>
    <mergeCell ref="N2231:N2232"/>
    <mergeCell ref="Y2231:Y2232"/>
    <mergeCell ref="AA2231:AA2232"/>
    <mergeCell ref="AB2231:AB2232"/>
    <mergeCell ref="AC2231:AC2232"/>
    <mergeCell ref="AB2355:AB2356"/>
    <mergeCell ref="AC2355:AC2356"/>
    <mergeCell ref="AD2355:AD2356"/>
    <mergeCell ref="AK2247:AK2248"/>
    <mergeCell ref="AJ2239:AJ2240"/>
    <mergeCell ref="AJ2243:AJ2244"/>
    <mergeCell ref="AJ2245:AJ2246"/>
    <mergeCell ref="J2247:J2248"/>
    <mergeCell ref="N2247:N2248"/>
    <mergeCell ref="Y2247:Y2248"/>
    <mergeCell ref="AA2247:AA2248"/>
    <mergeCell ref="AB2247:AB2248"/>
    <mergeCell ref="AC2247:AC2248"/>
    <mergeCell ref="AD2247:AD2248"/>
    <mergeCell ref="AF2247:AF2248"/>
    <mergeCell ref="AG2247:AG2248"/>
    <mergeCell ref="AD2231:AD2232"/>
    <mergeCell ref="AF2231:AF2232"/>
    <mergeCell ref="AG2231:AG2232"/>
    <mergeCell ref="Y2355:Y2356"/>
    <mergeCell ref="E2479:E2480"/>
    <mergeCell ref="AK2471:AK2472"/>
    <mergeCell ref="AC2481:AC2482"/>
    <mergeCell ref="AD2439:AD2440"/>
    <mergeCell ref="AM2479:AM2480"/>
    <mergeCell ref="AM2473:AM2474"/>
    <mergeCell ref="AO2473:AO2474"/>
    <mergeCell ref="AF2431:AF2432"/>
    <mergeCell ref="AO2431:AO2432"/>
    <mergeCell ref="AK2439:AK2440"/>
    <mergeCell ref="AL2439:AL2440"/>
    <mergeCell ref="AL2445:AL2446"/>
    <mergeCell ref="AJ2361:AJ2362"/>
    <mergeCell ref="AB2361:AB2362"/>
    <mergeCell ref="AC2361:AC2362"/>
    <mergeCell ref="AM2401:AM2402"/>
    <mergeCell ref="AJ2381:AJ2382"/>
    <mergeCell ref="AO2407:AO2408"/>
    <mergeCell ref="AO2411:AO2412"/>
    <mergeCell ref="AD2379:AD2380"/>
    <mergeCell ref="AJ2355:AJ2356"/>
    <mergeCell ref="AF2425:AF2426"/>
    <mergeCell ref="AO2265:AO2266"/>
    <mergeCell ref="AH2345:AH2346"/>
    <mergeCell ref="AI2345:AI2346"/>
    <mergeCell ref="AJ2345:AJ2346"/>
    <mergeCell ref="AK2345:AK2346"/>
    <mergeCell ref="AM2353:AM2354"/>
    <mergeCell ref="AO2353:AO2354"/>
    <mergeCell ref="AD2369:AD2370"/>
    <mergeCell ref="AF2369:AF2370"/>
    <mergeCell ref="AG2369:AG2370"/>
    <mergeCell ref="AH2369:AH2370"/>
    <mergeCell ref="AI2369:AI2370"/>
    <mergeCell ref="AJ2369:AJ2370"/>
    <mergeCell ref="AK2369:AK2370"/>
    <mergeCell ref="AL2369:AL2370"/>
    <mergeCell ref="AM2369:AM2370"/>
    <mergeCell ref="AO2369:AO2370"/>
    <mergeCell ref="AK2355:AK2356"/>
    <mergeCell ref="AL2355:AL2356"/>
    <mergeCell ref="AD2421:AD2422"/>
    <mergeCell ref="AF2421:AF2422"/>
    <mergeCell ref="AG2421:AG2422"/>
    <mergeCell ref="AM2333:AM2334"/>
    <mergeCell ref="AO2333:AO2334"/>
    <mergeCell ref="AB2413:AB2414"/>
    <mergeCell ref="AF2279:AF2280"/>
    <mergeCell ref="AG2279:AG2280"/>
    <mergeCell ref="AH2279:AH2280"/>
    <mergeCell ref="AH2421:AH2422"/>
    <mergeCell ref="AI2421:AI2422"/>
    <mergeCell ref="AM2415:AM2416"/>
    <mergeCell ref="AM2413:AM2414"/>
    <mergeCell ref="AH2389:AH2390"/>
    <mergeCell ref="AH2417:AH2418"/>
    <mergeCell ref="AF2267:AF2268"/>
    <mergeCell ref="AG2267:AG2268"/>
    <mergeCell ref="AH2267:AH2268"/>
    <mergeCell ref="AI2267:AI2268"/>
    <mergeCell ref="AJ2267:AJ2268"/>
    <mergeCell ref="AK2267:AK2268"/>
    <mergeCell ref="AL2267:AL2268"/>
    <mergeCell ref="AM2267:AM2268"/>
    <mergeCell ref="AJ2429:AJ2430"/>
    <mergeCell ref="AK2429:AK2430"/>
    <mergeCell ref="AK2443:AK2444"/>
    <mergeCell ref="AJ2499:AJ2500"/>
    <mergeCell ref="AK2499:AK2500"/>
    <mergeCell ref="AM2475:AM2476"/>
    <mergeCell ref="AM2493:AM2494"/>
    <mergeCell ref="AL2485:AL2486"/>
    <mergeCell ref="AL2499:AL2500"/>
    <mergeCell ref="AM2499:AM2500"/>
    <mergeCell ref="AI2489:AI2490"/>
    <mergeCell ref="AH2467:AH2468"/>
    <mergeCell ref="AI2467:AI2468"/>
    <mergeCell ref="AP2437:AP2438"/>
    <mergeCell ref="AF2439:AF2440"/>
    <mergeCell ref="AM2485:AM2486"/>
    <mergeCell ref="AP2483:AP2484"/>
    <mergeCell ref="AM2453:AM2454"/>
    <mergeCell ref="AL2487:AL2488"/>
    <mergeCell ref="AK2469:AK2470"/>
    <mergeCell ref="AL2469:AL2470"/>
    <mergeCell ref="AI2469:AI2470"/>
    <mergeCell ref="AL2481:AL2482"/>
    <mergeCell ref="AK2473:AK2474"/>
    <mergeCell ref="AO2477:AO2478"/>
    <mergeCell ref="AJ2473:AJ2474"/>
    <mergeCell ref="E2425:E2426"/>
    <mergeCell ref="F2425:F2426"/>
    <mergeCell ref="E2431:E2432"/>
    <mergeCell ref="AP2421:AP2422"/>
    <mergeCell ref="AG2443:AG2444"/>
    <mergeCell ref="AJ2423:AJ2424"/>
    <mergeCell ref="AK2423:AK2424"/>
    <mergeCell ref="AL2423:AL2424"/>
    <mergeCell ref="Y2421:Y2422"/>
    <mergeCell ref="AA2421:AA2422"/>
    <mergeCell ref="AB2421:AB2422"/>
    <mergeCell ref="AC2421:AC2422"/>
    <mergeCell ref="N2421:N2422"/>
    <mergeCell ref="F2443:F2444"/>
    <mergeCell ref="AB2443:AB2444"/>
    <mergeCell ref="AC2443:AC2444"/>
    <mergeCell ref="AD2443:AD2444"/>
    <mergeCell ref="AF2443:AF2444"/>
    <mergeCell ref="AK2425:AK2426"/>
    <mergeCell ref="AO2443:AO2444"/>
    <mergeCell ref="AO2439:AO2440"/>
    <mergeCell ref="AL2443:AL2444"/>
    <mergeCell ref="AM2421:AM2422"/>
    <mergeCell ref="AO2421:AO2422"/>
    <mergeCell ref="AL2431:AL2432"/>
    <mergeCell ref="AG2423:AG2424"/>
    <mergeCell ref="AH2423:AH2424"/>
    <mergeCell ref="AI2423:AI2424"/>
    <mergeCell ref="E2437:E2438"/>
    <mergeCell ref="E2453:E2454"/>
    <mergeCell ref="AO2451:AO2452"/>
    <mergeCell ref="N2437:N2438"/>
    <mergeCell ref="Y2437:Y2438"/>
    <mergeCell ref="AB2439:AB2440"/>
    <mergeCell ref="J2425:J2426"/>
    <mergeCell ref="E2443:E2444"/>
    <mergeCell ref="AJ2467:AJ2468"/>
    <mergeCell ref="AK2467:AK2468"/>
    <mergeCell ref="AP2475:AP2476"/>
    <mergeCell ref="AP2479:AP2480"/>
    <mergeCell ref="AP2489:AP2490"/>
    <mergeCell ref="AP2493:AP2494"/>
    <mergeCell ref="AO2475:AO2476"/>
    <mergeCell ref="AO2485:AO2486"/>
    <mergeCell ref="AP2481:AP2482"/>
    <mergeCell ref="AP2485:AP2486"/>
    <mergeCell ref="AO2493:AO2494"/>
    <mergeCell ref="AP2439:AP2440"/>
    <mergeCell ref="AM2443:AM2444"/>
    <mergeCell ref="AP2443:AP2444"/>
    <mergeCell ref="AP2445:AP2446"/>
    <mergeCell ref="AK2461:AK2462"/>
    <mergeCell ref="AL2461:AL2462"/>
    <mergeCell ref="AM2461:AM2462"/>
    <mergeCell ref="AK2463:AK2464"/>
    <mergeCell ref="AM2433:AM2434"/>
    <mergeCell ref="AP2473:AP2474"/>
    <mergeCell ref="AP2471:AP2472"/>
    <mergeCell ref="AM2491:AM2492"/>
    <mergeCell ref="AO2491:AO2492"/>
    <mergeCell ref="AP2491:AP2492"/>
    <mergeCell ref="AO2427:AO2428"/>
    <mergeCell ref="AP2427:AP2428"/>
    <mergeCell ref="AP2429:AP2430"/>
    <mergeCell ref="AM2425:AM2426"/>
    <mergeCell ref="AP2425:AP2426"/>
    <mergeCell ref="AO2419:AO2420"/>
    <mergeCell ref="AL2497:AL2498"/>
    <mergeCell ref="AL2473:AL2474"/>
    <mergeCell ref="AL2475:AL2476"/>
    <mergeCell ref="AL2503:AL2504"/>
    <mergeCell ref="AK2445:AK2446"/>
    <mergeCell ref="AL2467:AL2468"/>
    <mergeCell ref="AM2477:AM2478"/>
    <mergeCell ref="AO2487:AO2488"/>
    <mergeCell ref="AM2469:AM2470"/>
    <mergeCell ref="AP2549:AP2550"/>
    <mergeCell ref="E2551:E2552"/>
    <mergeCell ref="F2551:F2552"/>
    <mergeCell ref="J2551:J2552"/>
    <mergeCell ref="N2551:N2552"/>
    <mergeCell ref="Y2551:Y2552"/>
    <mergeCell ref="AA2551:AA2552"/>
    <mergeCell ref="AB2551:AB2552"/>
    <mergeCell ref="AC2551:AC2552"/>
    <mergeCell ref="AP2551:AP2552"/>
    <mergeCell ref="AO2551:AO2552"/>
    <mergeCell ref="AC2539:AC2540"/>
    <mergeCell ref="AD2539:AD2540"/>
    <mergeCell ref="AF2539:AF2540"/>
    <mergeCell ref="AG2539:AG2540"/>
    <mergeCell ref="AH2539:AH2540"/>
    <mergeCell ref="AI2539:AI2540"/>
    <mergeCell ref="AJ2539:AJ2540"/>
    <mergeCell ref="AI2537:AI2538"/>
    <mergeCell ref="AA2531:AA2532"/>
    <mergeCell ref="F2537:F2538"/>
    <mergeCell ref="E2541:E2542"/>
    <mergeCell ref="F2541:F2542"/>
    <mergeCell ref="J2541:J2542"/>
    <mergeCell ref="N2541:N2542"/>
    <mergeCell ref="F2533:F2534"/>
    <mergeCell ref="J2533:J2534"/>
    <mergeCell ref="N2533:N2534"/>
    <mergeCell ref="Y2533:Y2534"/>
    <mergeCell ref="AA2533:AA2534"/>
    <mergeCell ref="AB2533:AB2534"/>
    <mergeCell ref="AC2533:AC2534"/>
    <mergeCell ref="AD2533:AD2534"/>
    <mergeCell ref="AF2533:AF2534"/>
    <mergeCell ref="AG2533:AG2534"/>
    <mergeCell ref="AH2533:AH2534"/>
    <mergeCell ref="AI2533:AI2534"/>
    <mergeCell ref="AJ2533:AJ2534"/>
    <mergeCell ref="AK2533:AK2534"/>
    <mergeCell ref="AL2533:AL2534"/>
    <mergeCell ref="AM2533:AM2534"/>
    <mergeCell ref="AO2533:AO2534"/>
    <mergeCell ref="AP2533:AP2534"/>
    <mergeCell ref="AB2545:AB2546"/>
    <mergeCell ref="AC2545:AC2546"/>
    <mergeCell ref="AD2545:AD2546"/>
    <mergeCell ref="AP2537:AP2538"/>
    <mergeCell ref="AA2539:AA2540"/>
    <mergeCell ref="AB2539:AB2540"/>
    <mergeCell ref="AP2539:AP2540"/>
    <mergeCell ref="AP2543:AP2544"/>
    <mergeCell ref="AK2551:AK2552"/>
    <mergeCell ref="AL2551:AL2552"/>
    <mergeCell ref="AL2543:AL2544"/>
    <mergeCell ref="AB2549:AB2550"/>
    <mergeCell ref="AC2549:AC2550"/>
    <mergeCell ref="AD2549:AD2550"/>
    <mergeCell ref="AF2549:AF2550"/>
    <mergeCell ref="AK2547:AK2548"/>
    <mergeCell ref="AL2547:AL2548"/>
    <mergeCell ref="AM2547:AM2548"/>
    <mergeCell ref="AK2545:AK2546"/>
    <mergeCell ref="E2547:E2548"/>
    <mergeCell ref="F2547:F2548"/>
    <mergeCell ref="AM2619:AM2620"/>
    <mergeCell ref="AO2619:AO2620"/>
    <mergeCell ref="AP2619:AP2620"/>
    <mergeCell ref="AJ2623:AJ2624"/>
    <mergeCell ref="AI2627:AI2628"/>
    <mergeCell ref="AJ2627:AJ2628"/>
    <mergeCell ref="AK2627:AK2628"/>
    <mergeCell ref="AL2627:AL2628"/>
    <mergeCell ref="AM2627:AM2628"/>
    <mergeCell ref="AO2627:AO2628"/>
    <mergeCell ref="AP2627:AP2628"/>
    <mergeCell ref="AM2633:AM2634"/>
    <mergeCell ref="AO2633:AO2634"/>
    <mergeCell ref="AP2633:AP2634"/>
    <mergeCell ref="AM2647:AM2648"/>
    <mergeCell ref="AO2557:AO2558"/>
    <mergeCell ref="AM2613:AM2614"/>
    <mergeCell ref="AI2623:AI2624"/>
    <mergeCell ref="AK2571:AK2572"/>
    <mergeCell ref="AJ2647:AJ2648"/>
    <mergeCell ref="AK2647:AK2648"/>
    <mergeCell ref="AI2577:AI2578"/>
    <mergeCell ref="AJ2577:AJ2578"/>
    <mergeCell ref="AK2577:AK2578"/>
    <mergeCell ref="AL2577:AL2578"/>
    <mergeCell ref="AM2577:AM2578"/>
    <mergeCell ref="AO2577:AO2578"/>
    <mergeCell ref="AP2577:AP2578"/>
    <mergeCell ref="AL2563:AL2564"/>
    <mergeCell ref="AP2585:AP2586"/>
    <mergeCell ref="AI2583:AI2584"/>
    <mergeCell ref="AJ2583:AJ2584"/>
    <mergeCell ref="AK2583:AK2584"/>
    <mergeCell ref="AL2583:AL2584"/>
    <mergeCell ref="AM2583:AM2584"/>
    <mergeCell ref="AO2583:AO2584"/>
    <mergeCell ref="AP2583:AP2584"/>
    <mergeCell ref="AM2591:AM2592"/>
    <mergeCell ref="AO2591:AO2592"/>
    <mergeCell ref="AP2591:AP2592"/>
    <mergeCell ref="AK2585:AK2586"/>
    <mergeCell ref="AL2585:AL2586"/>
    <mergeCell ref="AM2581:AM2582"/>
    <mergeCell ref="AO2581:AO2582"/>
    <mergeCell ref="AP2581:AP2582"/>
    <mergeCell ref="AK2641:AK2642"/>
    <mergeCell ref="AO2613:AO2614"/>
    <mergeCell ref="AP2613:AP2614"/>
    <mergeCell ref="AM2605:AM2606"/>
    <mergeCell ref="AO2605:AO2606"/>
    <mergeCell ref="AI2619:AI2620"/>
    <mergeCell ref="AJ2557:AJ2558"/>
    <mergeCell ref="AK2557:AK2558"/>
    <mergeCell ref="AP2573:AP2574"/>
    <mergeCell ref="AI2579:AI2580"/>
    <mergeCell ref="AJ2579:AJ2580"/>
    <mergeCell ref="AK2579:AK2580"/>
    <mergeCell ref="AL2579:AL2580"/>
    <mergeCell ref="AM2579:AM2580"/>
    <mergeCell ref="AO2579:AO2580"/>
    <mergeCell ref="AP2579:AP2580"/>
    <mergeCell ref="AM2567:AM2568"/>
    <mergeCell ref="AP2567:AP2568"/>
    <mergeCell ref="AI2629:AI2630"/>
    <mergeCell ref="AP2690:AP2691"/>
    <mergeCell ref="AM2692:AM2693"/>
    <mergeCell ref="AP2692:AP2693"/>
    <mergeCell ref="AM2694:AM2695"/>
    <mergeCell ref="AP2694:AP2695"/>
    <mergeCell ref="AM2700:AM2701"/>
    <mergeCell ref="AP2700:AP2701"/>
    <mergeCell ref="AM2706:AM2707"/>
    <mergeCell ref="AP2706:AP2707"/>
    <mergeCell ref="AP2712:AP2713"/>
    <mergeCell ref="AM2714:AM2715"/>
    <mergeCell ref="AP2714:AP2715"/>
    <mergeCell ref="AM2718:AM2719"/>
    <mergeCell ref="AP2718:AP2719"/>
    <mergeCell ref="AO2718:AO2719"/>
    <mergeCell ref="AO2706:AO2707"/>
    <mergeCell ref="AO2688:AO2689"/>
    <mergeCell ref="AP2688:AP2689"/>
    <mergeCell ref="AM2674:AM2675"/>
    <mergeCell ref="AP2674:AP2675"/>
    <mergeCell ref="AM2676:AM2677"/>
    <mergeCell ref="AP2676:AP2677"/>
    <mergeCell ref="AM2680:AM2681"/>
    <mergeCell ref="AP2680:AP2681"/>
    <mergeCell ref="AO2690:AO2691"/>
    <mergeCell ref="AP2684:AP2685"/>
    <mergeCell ref="AM2688:AM2689"/>
    <mergeCell ref="AO2686:AO2687"/>
    <mergeCell ref="AM2682:AM2683"/>
    <mergeCell ref="AO2682:AO2683"/>
    <mergeCell ref="AP2682:AP2683"/>
    <mergeCell ref="AO2674:AO2675"/>
    <mergeCell ref="AP2696:AP2697"/>
    <mergeCell ref="AP2698:AP2699"/>
    <mergeCell ref="AP2678:AP2679"/>
    <mergeCell ref="AM2702:AM2703"/>
    <mergeCell ref="AO2702:AO2703"/>
    <mergeCell ref="AP2702:AP2703"/>
    <mergeCell ref="AO2692:AO2693"/>
    <mergeCell ref="AM2712:AM2713"/>
    <mergeCell ref="AO2694:AO2695"/>
    <mergeCell ref="AO2680:AO2681"/>
    <mergeCell ref="AO2678:AO2679"/>
    <mergeCell ref="AO2704:AO2705"/>
    <mergeCell ref="AP2704:AP2705"/>
    <mergeCell ref="AM2716:AM2717"/>
    <mergeCell ref="AO2716:AO2717"/>
    <mergeCell ref="AP2716:AP2717"/>
    <mergeCell ref="AO2714:AO2715"/>
    <mergeCell ref="AP2710:AP2711"/>
    <mergeCell ref="AM2690:AM2691"/>
    <mergeCell ref="AP2686:AP2687"/>
    <mergeCell ref="J2740:J2741"/>
    <mergeCell ref="J2744:J2745"/>
    <mergeCell ref="AJ2740:AJ2741"/>
    <mergeCell ref="AJ2744:AJ2745"/>
    <mergeCell ref="AJ2746:AJ2747"/>
    <mergeCell ref="AO2746:AO2747"/>
    <mergeCell ref="AP2860:AP2861"/>
    <mergeCell ref="AO2852:AO2853"/>
    <mergeCell ref="AP2794:AP2795"/>
    <mergeCell ref="AM2760:AM2761"/>
    <mergeCell ref="AO2760:AO2761"/>
    <mergeCell ref="AG2752:AG2753"/>
    <mergeCell ref="AP2720:AP2721"/>
    <mergeCell ref="AM2724:AM2725"/>
    <mergeCell ref="AP2724:AP2725"/>
    <mergeCell ref="AM2726:AM2727"/>
    <mergeCell ref="AP2726:AP2727"/>
    <mergeCell ref="E2732:E2733"/>
    <mergeCell ref="F2732:F2733"/>
    <mergeCell ref="AP2746:AP2747"/>
    <mergeCell ref="N2738:N2739"/>
    <mergeCell ref="Y2738:Y2739"/>
    <mergeCell ref="AA2738:AA2739"/>
    <mergeCell ref="AB2738:AB2739"/>
    <mergeCell ref="AC2738:AC2739"/>
    <mergeCell ref="AD2738:AD2739"/>
    <mergeCell ref="AF2738:AF2739"/>
    <mergeCell ref="AG2738:AG2739"/>
    <mergeCell ref="AH2738:AH2739"/>
    <mergeCell ref="AI2738:AI2739"/>
    <mergeCell ref="AK2738:AK2739"/>
    <mergeCell ref="AL2738:AL2739"/>
    <mergeCell ref="AM2738:AM2739"/>
    <mergeCell ref="AO2738:AO2739"/>
    <mergeCell ref="AP2738:AP2739"/>
    <mergeCell ref="AK2746:AK2747"/>
    <mergeCell ref="J2732:J2733"/>
    <mergeCell ref="N2732:N2733"/>
    <mergeCell ref="Y2732:Y2733"/>
    <mergeCell ref="AA2732:AA2733"/>
    <mergeCell ref="AB2732:AB2733"/>
    <mergeCell ref="AC2732:AC2733"/>
    <mergeCell ref="AD2732:AD2733"/>
    <mergeCell ref="AF2732:AF2733"/>
    <mergeCell ref="AG2732:AG2733"/>
    <mergeCell ref="AG2744:AG2745"/>
    <mergeCell ref="AD2758:AD2759"/>
    <mergeCell ref="AL2720:AL2721"/>
    <mergeCell ref="AL2734:AL2735"/>
    <mergeCell ref="E2720:E2721"/>
    <mergeCell ref="J2752:J2753"/>
    <mergeCell ref="N2752:N2753"/>
    <mergeCell ref="Y2752:Y2753"/>
    <mergeCell ref="AA2752:AA2753"/>
    <mergeCell ref="J2750:J2751"/>
    <mergeCell ref="E2742:E2743"/>
    <mergeCell ref="AM2734:AM2735"/>
    <mergeCell ref="AI2720:AI2721"/>
    <mergeCell ref="AK2720:AK2721"/>
    <mergeCell ref="J2746:J2747"/>
    <mergeCell ref="AO2722:AO2723"/>
    <mergeCell ref="AP2722:AP2723"/>
    <mergeCell ref="AJ2748:AJ2749"/>
    <mergeCell ref="AK2748:AK2749"/>
    <mergeCell ref="AC2770:AC2771"/>
    <mergeCell ref="AD2770:AD2771"/>
    <mergeCell ref="AF2770:AF2771"/>
    <mergeCell ref="AG2770:AG2771"/>
    <mergeCell ref="AH2770:AH2771"/>
    <mergeCell ref="AI2770:AI2771"/>
    <mergeCell ref="AK2770:AK2771"/>
    <mergeCell ref="AL2770:AL2771"/>
    <mergeCell ref="AM2770:AM2771"/>
    <mergeCell ref="AJ2768:AJ2769"/>
    <mergeCell ref="AJ2770:AJ2771"/>
    <mergeCell ref="Y2740:Y2741"/>
    <mergeCell ref="AA2740:AA2741"/>
    <mergeCell ref="AB2740:AB2741"/>
    <mergeCell ref="AC2740:AC2741"/>
    <mergeCell ref="AJ2750:AJ2751"/>
    <mergeCell ref="AJ2752:AJ2753"/>
    <mergeCell ref="AJ2758:AJ2759"/>
    <mergeCell ref="AL2764:AL2765"/>
    <mergeCell ref="AO2752:AO2753"/>
    <mergeCell ref="AO2740:AO2741"/>
    <mergeCell ref="AM2740:AM2741"/>
    <mergeCell ref="AJ2766:AJ2767"/>
    <mergeCell ref="Y2766:Y2767"/>
    <mergeCell ref="AA2766:AA2767"/>
    <mergeCell ref="AB2766:AB2767"/>
    <mergeCell ref="AC2766:AC2767"/>
    <mergeCell ref="AD2766:AD2767"/>
    <mergeCell ref="AB2744:AB2745"/>
    <mergeCell ref="N2746:N2747"/>
    <mergeCell ref="AJ2764:AJ2765"/>
    <mergeCell ref="AO2748:AO2749"/>
    <mergeCell ref="AP2748:AP2749"/>
    <mergeCell ref="AL2742:AL2743"/>
    <mergeCell ref="AM2742:AM2743"/>
    <mergeCell ref="AO2742:AO2743"/>
    <mergeCell ref="AP2742:AP2743"/>
    <mergeCell ref="AL2748:AL2749"/>
    <mergeCell ref="AM2748:AM2749"/>
    <mergeCell ref="AP2740:AP2741"/>
    <mergeCell ref="AM2744:AM2745"/>
    <mergeCell ref="AP2744:AP2745"/>
    <mergeCell ref="AM2750:AM2751"/>
    <mergeCell ref="N2766:N2767"/>
    <mergeCell ref="AF2766:AF2767"/>
    <mergeCell ref="AM2800:AM2801"/>
    <mergeCell ref="AP2800:AP2801"/>
    <mergeCell ref="AM2808:AM2809"/>
    <mergeCell ref="AP2808:AP2809"/>
    <mergeCell ref="AM2810:AM2811"/>
    <mergeCell ref="AP2810:AP2811"/>
    <mergeCell ref="AM2814:AM2815"/>
    <mergeCell ref="AP2814:AP2815"/>
    <mergeCell ref="AM2818:AM2819"/>
    <mergeCell ref="AP2818:AP2819"/>
    <mergeCell ref="AO2818:AO2819"/>
    <mergeCell ref="AO2838:AO2839"/>
    <mergeCell ref="AM2794:AM2795"/>
    <mergeCell ref="AO2858:AO2859"/>
    <mergeCell ref="AM2796:AM2797"/>
    <mergeCell ref="AO2796:AO2797"/>
    <mergeCell ref="AO2814:AO2815"/>
    <mergeCell ref="AP2796:AP2797"/>
    <mergeCell ref="AO2794:AO2795"/>
    <mergeCell ref="AO2800:AO2801"/>
    <mergeCell ref="AP2858:AP2859"/>
    <mergeCell ref="AM2860:AM2861"/>
    <mergeCell ref="AO2832:AO2833"/>
    <mergeCell ref="AO2808:AO2809"/>
    <mergeCell ref="AO2810:AO2811"/>
    <mergeCell ref="AM2824:AM2825"/>
    <mergeCell ref="AO2824:AO2825"/>
    <mergeCell ref="AP2824:AP2825"/>
    <mergeCell ref="AO2856:AO2857"/>
    <mergeCell ref="AO2860:AO2861"/>
    <mergeCell ref="AM2832:AM2833"/>
    <mergeCell ref="AP2832:AP2833"/>
    <mergeCell ref="AM2838:AM2839"/>
    <mergeCell ref="AP2838:AP2839"/>
    <mergeCell ref="AP2828:AP2829"/>
    <mergeCell ref="AM2830:AM2831"/>
    <mergeCell ref="AO2830:AO2831"/>
    <mergeCell ref="AP2830:AP2831"/>
    <mergeCell ref="AM2828:AM2829"/>
    <mergeCell ref="AO2828:AO2829"/>
    <mergeCell ref="AM2842:AM2843"/>
    <mergeCell ref="AO2842:AO2843"/>
    <mergeCell ref="AP2842:AP2843"/>
    <mergeCell ref="AM2846:AM2847"/>
    <mergeCell ref="AO2846:AO2847"/>
    <mergeCell ref="AP2846:AP2847"/>
    <mergeCell ref="AM2858:AM2859"/>
    <mergeCell ref="AP2802:AP2803"/>
    <mergeCell ref="AM2806:AM2807"/>
    <mergeCell ref="AO2806:AO2807"/>
    <mergeCell ref="AP2806:AP2807"/>
    <mergeCell ref="AM2820:AM2821"/>
    <mergeCell ref="AO2820:AO2821"/>
    <mergeCell ref="AP2820:AP2821"/>
    <mergeCell ref="AM2816:AM2817"/>
    <mergeCell ref="AO2816:AO2817"/>
    <mergeCell ref="AP2816:AP2817"/>
    <mergeCell ref="AM2834:AM2835"/>
    <mergeCell ref="AO2834:AO2835"/>
    <mergeCell ref="AP2834:AP2835"/>
    <mergeCell ref="AO2844:AO2845"/>
    <mergeCell ref="AP2844:AP2845"/>
    <mergeCell ref="AM2848:AM2849"/>
    <mergeCell ref="AO2848:AO2849"/>
    <mergeCell ref="AO2874:AO2875"/>
    <mergeCell ref="Y2866:Y2867"/>
    <mergeCell ref="AA2866:AA2867"/>
    <mergeCell ref="AB2866:AB2867"/>
    <mergeCell ref="AC2866:AC2867"/>
    <mergeCell ref="AD2866:AD2867"/>
    <mergeCell ref="AJ2876:AJ2877"/>
    <mergeCell ref="AG2872:AG2873"/>
    <mergeCell ref="AH2872:AH2873"/>
    <mergeCell ref="AI2872:AI2873"/>
    <mergeCell ref="AK2872:AK2873"/>
    <mergeCell ref="AO2868:AO2869"/>
    <mergeCell ref="F2864:F2865"/>
    <mergeCell ref="F2862:F2863"/>
    <mergeCell ref="J2862:J2863"/>
    <mergeCell ref="AM2866:AM2867"/>
    <mergeCell ref="AP2866:AP2867"/>
    <mergeCell ref="AM2868:AM2869"/>
    <mergeCell ref="AP2868:AP2869"/>
    <mergeCell ref="AM2870:AM2871"/>
    <mergeCell ref="AP2870:AP2871"/>
    <mergeCell ref="E2902:E2903"/>
    <mergeCell ref="AK2904:AK2905"/>
    <mergeCell ref="F2886:F2887"/>
    <mergeCell ref="J2886:J2887"/>
    <mergeCell ref="AI2886:AI2887"/>
    <mergeCell ref="AK2886:AK2887"/>
    <mergeCell ref="E2888:E2889"/>
    <mergeCell ref="E2896:E2897"/>
    <mergeCell ref="F2896:F2897"/>
    <mergeCell ref="F2888:F2889"/>
    <mergeCell ref="N2888:N2889"/>
    <mergeCell ref="Y2888:Y2889"/>
    <mergeCell ref="AA2888:AA2889"/>
    <mergeCell ref="E2878:E2879"/>
    <mergeCell ref="F2878:F2879"/>
    <mergeCell ref="J2878:J2879"/>
    <mergeCell ref="N2878:N2879"/>
    <mergeCell ref="Y2878:Y2879"/>
    <mergeCell ref="J2902:J2903"/>
    <mergeCell ref="AF2902:AF2903"/>
    <mergeCell ref="AI2898:AI2899"/>
    <mergeCell ref="AK2898:AK2899"/>
    <mergeCell ref="AL2898:AL2899"/>
    <mergeCell ref="AM2880:AM2881"/>
    <mergeCell ref="AM2872:AM2873"/>
    <mergeCell ref="AL2880:AL2881"/>
    <mergeCell ref="AH2866:AH2867"/>
    <mergeCell ref="AI2866:AI2867"/>
    <mergeCell ref="AK2866:AK2867"/>
    <mergeCell ref="AL2864:AL2865"/>
    <mergeCell ref="AO2872:AO2873"/>
    <mergeCell ref="AO2864:AO2865"/>
    <mergeCell ref="AO2876:AO2877"/>
    <mergeCell ref="AO2870:AO2871"/>
    <mergeCell ref="AO2866:AO2867"/>
    <mergeCell ref="AK2890:AK2891"/>
    <mergeCell ref="AL2890:AL2891"/>
    <mergeCell ref="F2898:F2899"/>
    <mergeCell ref="AJ2884:AJ2885"/>
    <mergeCell ref="AJ2886:AJ2887"/>
    <mergeCell ref="AJ2888:AJ2889"/>
    <mergeCell ref="AJ2890:AJ2891"/>
    <mergeCell ref="AC2880:AC2881"/>
    <mergeCell ref="AP2916:AP2917"/>
    <mergeCell ref="AM2918:AM2919"/>
    <mergeCell ref="AP2918:AP2919"/>
    <mergeCell ref="AO2882:AO2883"/>
    <mergeCell ref="AP2892:AP2893"/>
    <mergeCell ref="AO2884:AO2885"/>
    <mergeCell ref="AP2884:AP2885"/>
    <mergeCell ref="AM2884:AM2885"/>
    <mergeCell ref="AO2902:AO2903"/>
    <mergeCell ref="AO2918:AO2919"/>
    <mergeCell ref="AO2880:AO2881"/>
    <mergeCell ref="AO2886:AO2887"/>
    <mergeCell ref="AO2898:AO2899"/>
    <mergeCell ref="AO2896:AO2897"/>
    <mergeCell ref="AO2904:AO2905"/>
    <mergeCell ref="AO2888:AO2889"/>
    <mergeCell ref="AO2916:AO2917"/>
    <mergeCell ref="AO2914:AO2915"/>
    <mergeCell ref="AM2894:AM2895"/>
    <mergeCell ref="AO2890:AO2891"/>
    <mergeCell ref="AO2900:AO2901"/>
    <mergeCell ref="AP2900:AP2901"/>
    <mergeCell ref="AO2894:AO2895"/>
    <mergeCell ref="AP2894:AP2895"/>
    <mergeCell ref="AO2908:AO2909"/>
    <mergeCell ref="AO2910:AO2911"/>
    <mergeCell ref="AO2912:AO2913"/>
    <mergeCell ref="AM2916:AM2917"/>
    <mergeCell ref="AM2920:AM2921"/>
    <mergeCell ref="AM2900:AM2901"/>
    <mergeCell ref="AO2906:AO2907"/>
    <mergeCell ref="AP2906:AP2907"/>
    <mergeCell ref="AP2898:AP2899"/>
    <mergeCell ref="AM2902:AM2903"/>
    <mergeCell ref="AP2902:AP2903"/>
    <mergeCell ref="AM2904:AM2905"/>
    <mergeCell ref="AP2904:AP2905"/>
    <mergeCell ref="AM2908:AM2909"/>
    <mergeCell ref="AK2926:AK2927"/>
    <mergeCell ref="AL2926:AL2927"/>
    <mergeCell ref="Y2926:Y2927"/>
    <mergeCell ref="AA2926:AA2927"/>
    <mergeCell ref="AB2926:AB2927"/>
    <mergeCell ref="AI2934:AI2935"/>
    <mergeCell ref="AK2934:AK2935"/>
    <mergeCell ref="AG2922:AG2923"/>
    <mergeCell ref="AH2922:AH2923"/>
    <mergeCell ref="AJ2926:AJ2927"/>
    <mergeCell ref="AL2908:AL2909"/>
    <mergeCell ref="AG2908:AG2909"/>
    <mergeCell ref="AH2908:AH2909"/>
    <mergeCell ref="AG2930:AG2931"/>
    <mergeCell ref="AH2930:AH2931"/>
    <mergeCell ref="AA2986:AA2987"/>
    <mergeCell ref="AM2926:AM2927"/>
    <mergeCell ref="AO2930:AO2931"/>
    <mergeCell ref="AP2930:AP2931"/>
    <mergeCell ref="AH2962:AH2963"/>
    <mergeCell ref="AM2954:AM2955"/>
    <mergeCell ref="AP2954:AP2955"/>
    <mergeCell ref="AM2956:AM2957"/>
    <mergeCell ref="AP2956:AP2957"/>
    <mergeCell ref="AM2960:AM2961"/>
    <mergeCell ref="AP2960:AP2961"/>
    <mergeCell ref="AM2962:AM2963"/>
    <mergeCell ref="AP2962:AP2963"/>
    <mergeCell ref="AM2964:AM2965"/>
    <mergeCell ref="AP2964:AP2965"/>
    <mergeCell ref="AC2962:AC2963"/>
    <mergeCell ref="AD2962:AD2963"/>
    <mergeCell ref="AF2962:AF2963"/>
    <mergeCell ref="AB2942:AB2943"/>
    <mergeCell ref="AB2964:AB2965"/>
    <mergeCell ref="AC2964:AC2965"/>
    <mergeCell ref="AK2970:AK2971"/>
    <mergeCell ref="AC2956:AC2957"/>
    <mergeCell ref="AF2966:AF2967"/>
    <mergeCell ref="AG2966:AG2967"/>
    <mergeCell ref="AJ2954:AJ2955"/>
    <mergeCell ref="AJ2956:AJ2957"/>
    <mergeCell ref="AJ2960:AJ2961"/>
    <mergeCell ref="AJ2962:AJ2963"/>
    <mergeCell ref="AJ2964:AJ2965"/>
    <mergeCell ref="AG2960:AG2961"/>
    <mergeCell ref="AF2928:AF2929"/>
    <mergeCell ref="AA2930:AA2931"/>
    <mergeCell ref="AB2930:AB2931"/>
    <mergeCell ref="AD2948:AD2949"/>
    <mergeCell ref="AF2948:AF2949"/>
    <mergeCell ref="AI2940:AI2941"/>
    <mergeCell ref="AH2956:AH2957"/>
    <mergeCell ref="AI2956:AI2957"/>
    <mergeCell ref="AD2930:AD2931"/>
    <mergeCell ref="AF2926:AF2927"/>
    <mergeCell ref="AL2962:AL2963"/>
    <mergeCell ref="AJ2928:AJ2929"/>
    <mergeCell ref="AG2934:AG2935"/>
    <mergeCell ref="AH2934:AH2935"/>
    <mergeCell ref="Y2942:Y2943"/>
    <mergeCell ref="AH2954:AH2955"/>
    <mergeCell ref="AI2954:AI2955"/>
    <mergeCell ref="AJ2934:AJ2935"/>
    <mergeCell ref="AJ2936:AJ2937"/>
    <mergeCell ref="AJ2940:AJ2941"/>
    <mergeCell ref="AJ2942:AJ2943"/>
    <mergeCell ref="AP3097:AP3098"/>
    <mergeCell ref="AM2984:AM2985"/>
    <mergeCell ref="AO2984:AO2985"/>
    <mergeCell ref="AL2984:AL2985"/>
    <mergeCell ref="AL2994:AL2995"/>
    <mergeCell ref="AI3006:AI3007"/>
    <mergeCell ref="AJ3006:AJ3007"/>
    <mergeCell ref="AK3006:AK3007"/>
    <mergeCell ref="AL3006:AL3007"/>
    <mergeCell ref="AP2996:AP2997"/>
    <mergeCell ref="F3016:F3017"/>
    <mergeCell ref="J3016:J3017"/>
    <mergeCell ref="E3006:E3007"/>
    <mergeCell ref="F3006:F3007"/>
    <mergeCell ref="E2996:E2997"/>
    <mergeCell ref="AF3006:AF3007"/>
    <mergeCell ref="AG3006:AG3007"/>
    <mergeCell ref="AH3006:AH3007"/>
    <mergeCell ref="E3010:E3011"/>
    <mergeCell ref="F3010:F3011"/>
    <mergeCell ref="J3010:J3011"/>
    <mergeCell ref="N3010:N3011"/>
    <mergeCell ref="Y3010:Y3011"/>
    <mergeCell ref="AA3010:AA3011"/>
    <mergeCell ref="AB3010:AB3011"/>
    <mergeCell ref="AC3010:AC3011"/>
    <mergeCell ref="E2998:E2999"/>
    <mergeCell ref="F2998:F2999"/>
    <mergeCell ref="J2998:J2999"/>
    <mergeCell ref="N2998:N2999"/>
    <mergeCell ref="Y2998:Y2999"/>
    <mergeCell ref="AA2998:AA2999"/>
    <mergeCell ref="AB2998:AB2999"/>
    <mergeCell ref="AC2998:AC2999"/>
    <mergeCell ref="AD2998:AD2999"/>
    <mergeCell ref="AF2998:AF2999"/>
    <mergeCell ref="AG2998:AG2999"/>
    <mergeCell ref="AH2998:AH2999"/>
    <mergeCell ref="AI2998:AI2999"/>
    <mergeCell ref="AI2996:AI2997"/>
    <mergeCell ref="AK2996:AK2997"/>
    <mergeCell ref="AL2996:AL2997"/>
    <mergeCell ref="AC2994:AC2995"/>
    <mergeCell ref="AD2994:AD2995"/>
    <mergeCell ref="AF2994:AF2995"/>
    <mergeCell ref="AG2994:AG2995"/>
    <mergeCell ref="AH2994:AH2995"/>
    <mergeCell ref="AI2994:AI2995"/>
    <mergeCell ref="AJ2984:AJ2985"/>
    <mergeCell ref="AJ2986:AJ2987"/>
    <mergeCell ref="AJ2988:AJ2989"/>
    <mergeCell ref="AG2988:AG2989"/>
    <mergeCell ref="AP3006:AP3007"/>
    <mergeCell ref="AM3006:AM3007"/>
    <mergeCell ref="AO2992:AO2993"/>
    <mergeCell ref="AC3008:AC3009"/>
    <mergeCell ref="Y2988:Y2989"/>
    <mergeCell ref="AK2988:AK2989"/>
    <mergeCell ref="AP2998:AP2999"/>
    <mergeCell ref="AM2998:AM2999"/>
    <mergeCell ref="AO2998:AO2999"/>
    <mergeCell ref="AP3095:AP3096"/>
    <mergeCell ref="AM3101:AM3102"/>
    <mergeCell ref="AO3077:AO3078"/>
    <mergeCell ref="AO3107:AO3108"/>
    <mergeCell ref="AO3105:AO3106"/>
    <mergeCell ref="AO3081:AO3082"/>
    <mergeCell ref="AP3083:AP3084"/>
    <mergeCell ref="AO3101:AO3102"/>
    <mergeCell ref="AO3083:AO3084"/>
    <mergeCell ref="AL3077:AL3078"/>
    <mergeCell ref="AK3087:AK3088"/>
    <mergeCell ref="AI3101:AI3102"/>
    <mergeCell ref="AB3077:AB3078"/>
    <mergeCell ref="AC3083:AC3084"/>
    <mergeCell ref="AH3077:AH3078"/>
    <mergeCell ref="AI3077:AI3078"/>
    <mergeCell ref="AG3087:AG3088"/>
    <mergeCell ref="AH3087:AH3088"/>
    <mergeCell ref="AI3087:AI3088"/>
    <mergeCell ref="AG3089:AG3090"/>
    <mergeCell ref="E3091:E3092"/>
    <mergeCell ref="AK3105:AK3106"/>
    <mergeCell ref="F3091:F3092"/>
    <mergeCell ref="J3091:J3092"/>
    <mergeCell ref="AJ3091:AJ3092"/>
    <mergeCell ref="AK3091:AK3092"/>
    <mergeCell ref="AL3091:AL3092"/>
    <mergeCell ref="AM3091:AM3092"/>
    <mergeCell ref="AO3091:AO3092"/>
    <mergeCell ref="AP3091:AP3092"/>
    <mergeCell ref="AC3107:AC3108"/>
    <mergeCell ref="AL3105:AL3106"/>
    <mergeCell ref="E3105:E3106"/>
    <mergeCell ref="E3101:E3102"/>
    <mergeCell ref="AP3101:AP3102"/>
    <mergeCell ref="E3103:E3104"/>
    <mergeCell ref="AJ3077:AJ3078"/>
    <mergeCell ref="AJ3081:AJ3082"/>
    <mergeCell ref="AJ3083:AJ3084"/>
    <mergeCell ref="N3101:N3102"/>
    <mergeCell ref="AC3077:AC3078"/>
    <mergeCell ref="AD3077:AD3078"/>
    <mergeCell ref="AF3077:AF3078"/>
    <mergeCell ref="AH3097:AH3098"/>
    <mergeCell ref="AI3097:AI3098"/>
    <mergeCell ref="Y3095:Y3096"/>
    <mergeCell ref="AA3095:AA3096"/>
    <mergeCell ref="J3089:J3090"/>
    <mergeCell ref="N3089:N3090"/>
    <mergeCell ref="Y3089:Y3090"/>
    <mergeCell ref="J3095:J3096"/>
    <mergeCell ref="E3089:E3090"/>
    <mergeCell ref="F3089:F3090"/>
    <mergeCell ref="AO3095:AO3096"/>
    <mergeCell ref="N320:N321"/>
    <mergeCell ref="Y320:Y321"/>
    <mergeCell ref="AA320:AA321"/>
    <mergeCell ref="AD318:AD319"/>
    <mergeCell ref="AF318:AF319"/>
    <mergeCell ref="AG318:AG319"/>
    <mergeCell ref="Y322:Y323"/>
    <mergeCell ref="AI292:AI293"/>
    <mergeCell ref="AC282:AC283"/>
    <mergeCell ref="F282:F283"/>
    <mergeCell ref="AB318:AB319"/>
    <mergeCell ref="AC318:AC319"/>
    <mergeCell ref="E256:E257"/>
    <mergeCell ref="E260:E261"/>
    <mergeCell ref="AB274:AB275"/>
    <mergeCell ref="AC274:AC275"/>
    <mergeCell ref="AD274:AD275"/>
    <mergeCell ref="AF274:AF275"/>
    <mergeCell ref="E252:E253"/>
    <mergeCell ref="F330:F331"/>
    <mergeCell ref="E316:E317"/>
    <mergeCell ref="N316:N317"/>
    <mergeCell ref="N322:N323"/>
    <mergeCell ref="AI276:AI277"/>
    <mergeCell ref="AH288:AH289"/>
    <mergeCell ref="AI288:AI289"/>
    <mergeCell ref="AH332:AH333"/>
    <mergeCell ref="AI332:AI333"/>
    <mergeCell ref="E332:E333"/>
    <mergeCell ref="J278:J279"/>
    <mergeCell ref="N278:N279"/>
    <mergeCell ref="E318:E319"/>
    <mergeCell ref="F318:F319"/>
    <mergeCell ref="J318:J319"/>
    <mergeCell ref="E330:E331"/>
    <mergeCell ref="E282:E283"/>
    <mergeCell ref="N292:N293"/>
    <mergeCell ref="AA282:AA283"/>
    <mergeCell ref="AB282:AB283"/>
    <mergeCell ref="AH286:AH287"/>
    <mergeCell ref="AI286:AI287"/>
    <mergeCell ref="AC262:AC263"/>
    <mergeCell ref="AD262:AD263"/>
    <mergeCell ref="AC326:AC327"/>
    <mergeCell ref="AD326:AD327"/>
    <mergeCell ref="AF326:AF327"/>
    <mergeCell ref="AG326:AG327"/>
    <mergeCell ref="AH326:AH327"/>
    <mergeCell ref="AI326:AI327"/>
    <mergeCell ref="E310:E311"/>
    <mergeCell ref="F310:F311"/>
    <mergeCell ref="J310:J311"/>
    <mergeCell ref="N286:N287"/>
    <mergeCell ref="AI322:AI323"/>
    <mergeCell ref="AH318:AH319"/>
    <mergeCell ref="AI318:AI319"/>
    <mergeCell ref="E284:E285"/>
    <mergeCell ref="F284:F285"/>
    <mergeCell ref="J284:J285"/>
    <mergeCell ref="AF304:AF305"/>
    <mergeCell ref="E312:E313"/>
    <mergeCell ref="F312:F313"/>
    <mergeCell ref="AF328:AF329"/>
    <mergeCell ref="F274:F275"/>
    <mergeCell ref="AP326:AP327"/>
    <mergeCell ref="AP226:AP227"/>
    <mergeCell ref="AP340:AP341"/>
    <mergeCell ref="AP330:AP331"/>
    <mergeCell ref="AP334:AP335"/>
    <mergeCell ref="AP332:AP333"/>
    <mergeCell ref="AP210:AP211"/>
    <mergeCell ref="AP284:AP285"/>
    <mergeCell ref="AJ302:AJ303"/>
    <mergeCell ref="AP206:AP207"/>
    <mergeCell ref="AI3155:AI3156"/>
    <mergeCell ref="AL3153:AL3154"/>
    <mergeCell ref="AM3153:AM3154"/>
    <mergeCell ref="AC3147:AC3148"/>
    <mergeCell ref="AD3147:AD3148"/>
    <mergeCell ref="AM3083:AM3084"/>
    <mergeCell ref="AB3113:AB3114"/>
    <mergeCell ref="E3139:E3140"/>
    <mergeCell ref="F3139:F3140"/>
    <mergeCell ref="AJ298:AJ299"/>
    <mergeCell ref="AK298:AK299"/>
    <mergeCell ref="AL298:AL299"/>
    <mergeCell ref="AM298:AM299"/>
    <mergeCell ref="AM292:AM293"/>
    <mergeCell ref="AG280:AG281"/>
    <mergeCell ref="E3153:E3154"/>
    <mergeCell ref="AC3117:AC3118"/>
    <mergeCell ref="AD3117:AD3118"/>
    <mergeCell ref="AC3119:AC3120"/>
    <mergeCell ref="AD3119:AD3120"/>
    <mergeCell ref="F3133:F3134"/>
    <mergeCell ref="J3133:J3134"/>
    <mergeCell ref="N3133:N3134"/>
    <mergeCell ref="AD3133:AD3134"/>
    <mergeCell ref="Y3125:Y3126"/>
    <mergeCell ref="AB3125:AB3126"/>
    <mergeCell ref="AD3125:AD3126"/>
    <mergeCell ref="AM705:AM706"/>
    <mergeCell ref="AM707:AM708"/>
    <mergeCell ref="AM709:AM710"/>
    <mergeCell ref="AM711:AM712"/>
    <mergeCell ref="J713:J714"/>
    <mergeCell ref="J717:J718"/>
    <mergeCell ref="N717:N718"/>
    <mergeCell ref="Y717:Y718"/>
    <mergeCell ref="AA717:AA718"/>
    <mergeCell ref="E3145:E3146"/>
    <mergeCell ref="AH641:AH642"/>
    <mergeCell ref="E713:E714"/>
    <mergeCell ref="F713:F714"/>
    <mergeCell ref="E715:E716"/>
    <mergeCell ref="F715:F716"/>
    <mergeCell ref="J678:J679"/>
    <mergeCell ref="N678:N679"/>
    <mergeCell ref="Y678:Y679"/>
    <mergeCell ref="AA678:AA679"/>
    <mergeCell ref="AB678:AB679"/>
    <mergeCell ref="AC678:AC679"/>
    <mergeCell ref="N658:N659"/>
    <mergeCell ref="Y658:Y659"/>
    <mergeCell ref="AA658:AA659"/>
    <mergeCell ref="AO747:AO748"/>
    <mergeCell ref="AP725:AP726"/>
    <mergeCell ref="AO733:AO734"/>
    <mergeCell ref="AJ42:AJ43"/>
    <mergeCell ref="AJ44:AJ45"/>
    <mergeCell ref="AJ46:AJ47"/>
    <mergeCell ref="AJ48:AJ49"/>
    <mergeCell ref="AJ50:AJ51"/>
    <mergeCell ref="AJ52:AJ53"/>
    <mergeCell ref="AJ54:AJ55"/>
    <mergeCell ref="AJ56:AJ57"/>
    <mergeCell ref="AJ58:AJ59"/>
    <mergeCell ref="AJ60:AJ61"/>
    <mergeCell ref="AJ62:AJ63"/>
    <mergeCell ref="AJ64:AJ65"/>
    <mergeCell ref="AJ66:AJ67"/>
    <mergeCell ref="AJ68:AJ69"/>
    <mergeCell ref="AJ70:AJ71"/>
    <mergeCell ref="AJ72:AJ73"/>
    <mergeCell ref="AJ74:AJ75"/>
    <mergeCell ref="AJ76:AJ77"/>
    <mergeCell ref="AJ140:AJ141"/>
    <mergeCell ref="AJ142:AJ143"/>
    <mergeCell ref="AJ144:AJ145"/>
    <mergeCell ref="AJ146:AJ147"/>
    <mergeCell ref="AJ148:AJ149"/>
    <mergeCell ref="AJ78:AJ79"/>
    <mergeCell ref="AJ124:AJ125"/>
    <mergeCell ref="AJ126:AJ127"/>
    <mergeCell ref="AJ128:AJ129"/>
    <mergeCell ref="AJ130:AJ131"/>
    <mergeCell ref="AJ132:AJ133"/>
    <mergeCell ref="AJ134:AJ135"/>
    <mergeCell ref="AJ136:AJ137"/>
    <mergeCell ref="AJ138:AJ139"/>
    <mergeCell ref="AJ122:AJ123"/>
    <mergeCell ref="AJ80:AJ81"/>
    <mergeCell ref="AJ94:AJ95"/>
    <mergeCell ref="AJ82:AJ83"/>
    <mergeCell ref="AJ84:AJ85"/>
    <mergeCell ref="AJ96:AJ97"/>
    <mergeCell ref="AJ102:AJ103"/>
    <mergeCell ref="AJ104:AJ105"/>
    <mergeCell ref="AJ106:AJ107"/>
    <mergeCell ref="AJ112:AJ113"/>
    <mergeCell ref="AJ114:AJ115"/>
    <mergeCell ref="AJ116:AJ117"/>
    <mergeCell ref="AJ98:AJ99"/>
    <mergeCell ref="AM192:AM193"/>
    <mergeCell ref="AP192:AP193"/>
    <mergeCell ref="AL192:AL193"/>
    <mergeCell ref="AO146:AO147"/>
    <mergeCell ref="AP154:AP155"/>
    <mergeCell ref="AM156:AM157"/>
    <mergeCell ref="AP156:AP157"/>
    <mergeCell ref="AM158:AM159"/>
    <mergeCell ref="AP158:AP159"/>
    <mergeCell ref="AP168:AP169"/>
    <mergeCell ref="AK160:AK161"/>
    <mergeCell ref="AL160:AL161"/>
    <mergeCell ref="AM160:AM161"/>
    <mergeCell ref="AO160:AO161"/>
    <mergeCell ref="AP160:AP161"/>
    <mergeCell ref="AK146:AK147"/>
    <mergeCell ref="AD621:AD622"/>
    <mergeCell ref="AF621:AF622"/>
    <mergeCell ref="AG621:AG622"/>
    <mergeCell ref="AH621:AH622"/>
    <mergeCell ref="AI621:AI622"/>
    <mergeCell ref="AJ621:AJ622"/>
    <mergeCell ref="AK621:AK622"/>
    <mergeCell ref="AL621:AL622"/>
    <mergeCell ref="J559:J560"/>
    <mergeCell ref="E621:E622"/>
    <mergeCell ref="AM656:AM657"/>
    <mergeCell ref="AO656:AO657"/>
    <mergeCell ref="E627:E628"/>
    <mergeCell ref="F627:F628"/>
    <mergeCell ref="J627:J628"/>
    <mergeCell ref="N627:N628"/>
    <mergeCell ref="AJ656:AJ657"/>
    <mergeCell ref="E652:E653"/>
    <mergeCell ref="F652:F653"/>
    <mergeCell ref="J652:J653"/>
    <mergeCell ref="N652:N653"/>
    <mergeCell ref="Y652:Y653"/>
    <mergeCell ref="E656:E657"/>
    <mergeCell ref="N654:N655"/>
    <mergeCell ref="Y654:Y655"/>
    <mergeCell ref="J631:J632"/>
    <mergeCell ref="N631:N632"/>
    <mergeCell ref="Y631:Y632"/>
    <mergeCell ref="E631:E632"/>
    <mergeCell ref="F631:F632"/>
    <mergeCell ref="F641:F642"/>
    <mergeCell ref="AG633:AG634"/>
    <mergeCell ref="AH633:AH634"/>
    <mergeCell ref="AI633:AI634"/>
    <mergeCell ref="AJ633:AJ634"/>
    <mergeCell ref="AK633:AK634"/>
    <mergeCell ref="E637:E638"/>
    <mergeCell ref="J472:J473"/>
    <mergeCell ref="AB480:AB481"/>
    <mergeCell ref="AC480:AC481"/>
    <mergeCell ref="AD480:AD481"/>
    <mergeCell ref="AF480:AF481"/>
    <mergeCell ref="AG480:AG481"/>
    <mergeCell ref="N472:N473"/>
    <mergeCell ref="AI486:AI487"/>
    <mergeCell ref="AH492:AH493"/>
    <mergeCell ref="AI492:AI493"/>
    <mergeCell ref="AO484:AO485"/>
    <mergeCell ref="AP729:AP730"/>
    <mergeCell ref="AM723:AM724"/>
    <mergeCell ref="J729:J730"/>
    <mergeCell ref="AO705:AO706"/>
    <mergeCell ref="AB705:AB706"/>
    <mergeCell ref="AA703:AA704"/>
    <mergeCell ref="AB703:AB704"/>
    <mergeCell ref="AC703:AC704"/>
    <mergeCell ref="AD703:AD704"/>
    <mergeCell ref="AF703:AF704"/>
    <mergeCell ref="AG703:AG704"/>
    <mergeCell ref="AH703:AH704"/>
    <mergeCell ref="AI703:AI704"/>
    <mergeCell ref="AG729:AG730"/>
    <mergeCell ref="N713:N714"/>
    <mergeCell ref="Y713:Y714"/>
    <mergeCell ref="AA713:AA714"/>
    <mergeCell ref="AB713:AB714"/>
    <mergeCell ref="AC713:AC714"/>
    <mergeCell ref="AD713:AD714"/>
    <mergeCell ref="AF713:AF714"/>
    <mergeCell ref="AO707:AO708"/>
    <mergeCell ref="AL709:AL710"/>
    <mergeCell ref="AK703:AK704"/>
    <mergeCell ref="AL703:AL704"/>
    <mergeCell ref="AH707:AH708"/>
    <mergeCell ref="J721:J722"/>
    <mergeCell ref="N721:N722"/>
    <mergeCell ref="Y721:Y722"/>
    <mergeCell ref="AK711:AK712"/>
    <mergeCell ref="AI729:AI730"/>
    <mergeCell ref="AJ729:AJ730"/>
    <mergeCell ref="AK729:AK730"/>
    <mergeCell ref="AP713:AP714"/>
    <mergeCell ref="AP717:AP718"/>
    <mergeCell ref="AP723:AP724"/>
    <mergeCell ref="AM727:AM728"/>
    <mergeCell ref="AP727:AP728"/>
    <mergeCell ref="AO737:AO738"/>
    <mergeCell ref="AO721:AO722"/>
    <mergeCell ref="AO715:AO716"/>
    <mergeCell ref="AM713:AM714"/>
    <mergeCell ref="AO713:AO714"/>
    <mergeCell ref="AO723:AO724"/>
    <mergeCell ref="AG715:AG716"/>
    <mergeCell ref="AH715:AH716"/>
    <mergeCell ref="AI715:AI716"/>
    <mergeCell ref="AH723:AH724"/>
    <mergeCell ref="AA654:AA655"/>
    <mergeCell ref="AB654:AB655"/>
    <mergeCell ref="AC654:AC655"/>
    <mergeCell ref="AD658:AD659"/>
    <mergeCell ref="AF658:AF659"/>
    <mergeCell ref="E658:E659"/>
    <mergeCell ref="AO668:AO669"/>
    <mergeCell ref="E670:E671"/>
    <mergeCell ref="F670:F671"/>
    <mergeCell ref="J670:J671"/>
    <mergeCell ref="N670:N671"/>
    <mergeCell ref="Y670:Y671"/>
    <mergeCell ref="AA670:AA671"/>
    <mergeCell ref="AB670:AB671"/>
    <mergeCell ref="AC670:AC671"/>
    <mergeCell ref="AD670:AD671"/>
    <mergeCell ref="AF670:AF671"/>
    <mergeCell ref="AG670:AG671"/>
    <mergeCell ref="AH670:AH671"/>
    <mergeCell ref="AI670:AI671"/>
    <mergeCell ref="AJ670:AJ671"/>
    <mergeCell ref="AK670:AK671"/>
    <mergeCell ref="AL670:AL671"/>
    <mergeCell ref="AG705:AG706"/>
    <mergeCell ref="AD678:AD679"/>
    <mergeCell ref="AF678:AF679"/>
    <mergeCell ref="AG678:AG679"/>
    <mergeCell ref="AH678:AH679"/>
    <mergeCell ref="AI678:AI679"/>
    <mergeCell ref="AJ678:AJ679"/>
    <mergeCell ref="AK678:AK679"/>
    <mergeCell ref="AL678:AL679"/>
    <mergeCell ref="AM678:AM679"/>
    <mergeCell ref="AO678:AO679"/>
    <mergeCell ref="AB686:AB687"/>
    <mergeCell ref="AC686:AC687"/>
    <mergeCell ref="E676:E677"/>
    <mergeCell ref="F676:F677"/>
    <mergeCell ref="J676:J677"/>
    <mergeCell ref="N676:N677"/>
    <mergeCell ref="Y676:Y677"/>
    <mergeCell ref="AA676:AA677"/>
    <mergeCell ref="AB676:AB677"/>
    <mergeCell ref="AC676:AC677"/>
    <mergeCell ref="AD676:AD677"/>
    <mergeCell ref="AF676:AF677"/>
    <mergeCell ref="AG676:AG677"/>
    <mergeCell ref="AO729:AO730"/>
    <mergeCell ref="AJ733:AJ734"/>
    <mergeCell ref="AJ737:AJ738"/>
    <mergeCell ref="Y660:Y661"/>
    <mergeCell ref="J654:J655"/>
    <mergeCell ref="J656:J657"/>
    <mergeCell ref="N656:N657"/>
    <mergeCell ref="AK486:AK487"/>
    <mergeCell ref="AK484:AK485"/>
    <mergeCell ref="AL484:AL485"/>
    <mergeCell ref="E703:E704"/>
    <mergeCell ref="AA652:AA653"/>
    <mergeCell ref="J660:J661"/>
    <mergeCell ref="E662:E663"/>
    <mergeCell ref="F662:F663"/>
    <mergeCell ref="Y627:Y628"/>
    <mergeCell ref="AA627:AA628"/>
    <mergeCell ref="AO551:AO552"/>
    <mergeCell ref="AO565:AO566"/>
    <mergeCell ref="F502:F503"/>
    <mergeCell ref="J502:J503"/>
    <mergeCell ref="N502:N503"/>
    <mergeCell ref="Y502:Y503"/>
    <mergeCell ref="AA502:AA503"/>
    <mergeCell ref="AB502:AB503"/>
    <mergeCell ref="AC502:AC503"/>
    <mergeCell ref="AD502:AD503"/>
    <mergeCell ref="AF502:AF503"/>
    <mergeCell ref="AG502:AG503"/>
    <mergeCell ref="AH502:AH503"/>
    <mergeCell ref="AI502:AI503"/>
    <mergeCell ref="AJ502:AJ503"/>
    <mergeCell ref="AK502:AK503"/>
    <mergeCell ref="AL502:AL503"/>
    <mergeCell ref="AM502:AM503"/>
    <mergeCell ref="AO502:AO503"/>
    <mergeCell ref="E516:E517"/>
    <mergeCell ref="F516:F517"/>
    <mergeCell ref="J516:J517"/>
    <mergeCell ref="N516:N517"/>
    <mergeCell ref="Y516:Y517"/>
    <mergeCell ref="AA516:AA517"/>
    <mergeCell ref="J621:J622"/>
    <mergeCell ref="N621:N622"/>
    <mergeCell ref="Y621:Y622"/>
    <mergeCell ref="AA621:AA622"/>
    <mergeCell ref="AB621:AB622"/>
    <mergeCell ref="AC621:AC622"/>
    <mergeCell ref="F621:F622"/>
    <mergeCell ref="AF617:AF618"/>
    <mergeCell ref="AG617:AG618"/>
    <mergeCell ref="AH617:AH618"/>
    <mergeCell ref="AJ593:AJ594"/>
    <mergeCell ref="AL581:AL582"/>
    <mergeCell ref="AG583:AG584"/>
    <mergeCell ref="AH583:AH584"/>
    <mergeCell ref="AH587:AH588"/>
    <mergeCell ref="Y559:Y560"/>
    <mergeCell ref="AI617:AI618"/>
    <mergeCell ref="AJ617:AJ618"/>
    <mergeCell ref="AK617:AK618"/>
    <mergeCell ref="AL617:AL618"/>
    <mergeCell ref="AM617:AM618"/>
    <mergeCell ref="AO617:AO618"/>
    <mergeCell ref="AM619:AM620"/>
    <mergeCell ref="AM597:AM598"/>
    <mergeCell ref="AL607:AL608"/>
    <mergeCell ref="AM607:AM608"/>
    <mergeCell ref="AO607:AO608"/>
    <mergeCell ref="AL565:AL566"/>
    <mergeCell ref="AC583:AC584"/>
    <mergeCell ref="AM835:AM836"/>
    <mergeCell ref="Y851:Y852"/>
    <mergeCell ref="AA851:AA852"/>
    <mergeCell ref="AB851:AB852"/>
    <mergeCell ref="AM751:AM752"/>
    <mergeCell ref="AM757:AM758"/>
    <mergeCell ref="N751:N752"/>
    <mergeCell ref="Y751:Y752"/>
    <mergeCell ref="E763:E764"/>
    <mergeCell ref="F763:F764"/>
    <mergeCell ref="E733:E734"/>
    <mergeCell ref="F733:F734"/>
    <mergeCell ref="AK717:AK718"/>
    <mergeCell ref="J719:J720"/>
    <mergeCell ref="N719:N720"/>
    <mergeCell ref="Y719:Y720"/>
    <mergeCell ref="AA719:AA720"/>
    <mergeCell ref="AB719:AB720"/>
    <mergeCell ref="N711:N712"/>
    <mergeCell ref="Y711:Y712"/>
    <mergeCell ref="AA711:AA712"/>
    <mergeCell ref="AM715:AM716"/>
    <mergeCell ref="AG727:AG728"/>
    <mergeCell ref="AH727:AH728"/>
    <mergeCell ref="AB721:AB722"/>
    <mergeCell ref="E719:E720"/>
    <mergeCell ref="N729:N730"/>
    <mergeCell ref="Y729:Y730"/>
    <mergeCell ref="AA729:AA730"/>
    <mergeCell ref="AB729:AB730"/>
    <mergeCell ref="AG741:AG742"/>
    <mergeCell ref="AD741:AD742"/>
    <mergeCell ref="AF741:AF742"/>
    <mergeCell ref="AD711:AD712"/>
    <mergeCell ref="AB751:AB752"/>
    <mergeCell ref="AB731:AB732"/>
    <mergeCell ref="AC731:AC732"/>
    <mergeCell ref="AD731:AD732"/>
    <mergeCell ref="AF731:AF732"/>
    <mergeCell ref="AM733:AM734"/>
    <mergeCell ref="AM737:AM738"/>
    <mergeCell ref="AM739:AM740"/>
    <mergeCell ref="AM763:AM764"/>
    <mergeCell ref="F749:F750"/>
    <mergeCell ref="AB753:AB754"/>
    <mergeCell ref="F747:F748"/>
    <mergeCell ref="E747:E748"/>
    <mergeCell ref="E743:E744"/>
    <mergeCell ref="F743:F744"/>
    <mergeCell ref="J743:J744"/>
    <mergeCell ref="E739:E740"/>
    <mergeCell ref="AK755:AK756"/>
    <mergeCell ref="AF737:AF738"/>
    <mergeCell ref="AG737:AG738"/>
    <mergeCell ref="J763:J764"/>
    <mergeCell ref="N763:N764"/>
    <mergeCell ref="AD743:AD744"/>
    <mergeCell ref="AF743:AF744"/>
    <mergeCell ref="E711:E712"/>
    <mergeCell ref="E725:E726"/>
    <mergeCell ref="F725:F726"/>
    <mergeCell ref="AL755:AL756"/>
    <mergeCell ref="AM755:AM756"/>
    <mergeCell ref="Y763:Y764"/>
    <mergeCell ref="AO906:AO907"/>
    <mergeCell ref="E947:E948"/>
    <mergeCell ref="F947:F948"/>
    <mergeCell ref="J947:J948"/>
    <mergeCell ref="AO916:AO917"/>
    <mergeCell ref="Y971:Y972"/>
    <mergeCell ref="AA971:AA972"/>
    <mergeCell ref="AB971:AB972"/>
    <mergeCell ref="AC971:AC972"/>
    <mergeCell ref="AD971:AD972"/>
    <mergeCell ref="AF971:AF972"/>
    <mergeCell ref="AO803:AO804"/>
    <mergeCell ref="AL787:AL788"/>
    <mergeCell ref="AM809:AM810"/>
    <mergeCell ref="AI803:AI804"/>
    <mergeCell ref="AJ803:AJ804"/>
    <mergeCell ref="AK803:AK804"/>
    <mergeCell ref="AL803:AL804"/>
    <mergeCell ref="AF807:AF808"/>
    <mergeCell ref="AJ801:AJ802"/>
    <mergeCell ref="AK801:AK802"/>
    <mergeCell ref="AI809:AI810"/>
    <mergeCell ref="AL811:AL812"/>
    <mergeCell ref="AL809:AL810"/>
    <mergeCell ref="AJ886:AJ887"/>
    <mergeCell ref="AA888:AA889"/>
    <mergeCell ref="AB888:AB889"/>
    <mergeCell ref="AC888:AC889"/>
    <mergeCell ref="AD888:AD889"/>
    <mergeCell ref="AF888:AF889"/>
    <mergeCell ref="F888:F889"/>
    <mergeCell ref="J888:J889"/>
    <mergeCell ref="N888:N889"/>
    <mergeCell ref="AG920:AG921"/>
    <mergeCell ref="F914:F915"/>
    <mergeCell ref="N914:N915"/>
    <mergeCell ref="Y914:Y915"/>
    <mergeCell ref="AA914:AA915"/>
    <mergeCell ref="AB914:AB915"/>
    <mergeCell ref="AC914:AC915"/>
    <mergeCell ref="AD914:AD915"/>
    <mergeCell ref="AK914:AK915"/>
    <mergeCell ref="AC908:AC909"/>
    <mergeCell ref="AD908:AD909"/>
    <mergeCell ref="AK908:AK909"/>
    <mergeCell ref="AK906:AK907"/>
    <mergeCell ref="AC910:AC911"/>
    <mergeCell ref="AD910:AD911"/>
    <mergeCell ref="AF910:AF911"/>
    <mergeCell ref="AG910:AG911"/>
    <mergeCell ref="AH910:AH911"/>
    <mergeCell ref="AI910:AI911"/>
    <mergeCell ref="AJ910:AJ911"/>
    <mergeCell ref="F916:F917"/>
    <mergeCell ref="J916:J917"/>
    <mergeCell ref="AK910:AK911"/>
    <mergeCell ref="AI898:AI899"/>
    <mergeCell ref="AJ898:AJ899"/>
    <mergeCell ref="AK898:AK899"/>
    <mergeCell ref="AG896:AG897"/>
    <mergeCell ref="AH896:AH897"/>
    <mergeCell ref="AI896:AI897"/>
    <mergeCell ref="AJ896:AJ897"/>
    <mergeCell ref="AK896:AK897"/>
    <mergeCell ref="AH902:AH903"/>
    <mergeCell ref="AI902:AI903"/>
    <mergeCell ref="AJ902:AJ903"/>
    <mergeCell ref="E898:E899"/>
    <mergeCell ref="F898:F899"/>
    <mergeCell ref="J898:J899"/>
    <mergeCell ref="N898:N899"/>
    <mergeCell ref="Y898:Y899"/>
    <mergeCell ref="AA898:AA899"/>
    <mergeCell ref="AB898:AB899"/>
    <mergeCell ref="AC898:AC899"/>
    <mergeCell ref="E953:E954"/>
    <mergeCell ref="E977:E978"/>
    <mergeCell ref="F977:F978"/>
    <mergeCell ref="J977:J978"/>
    <mergeCell ref="N977:N978"/>
    <mergeCell ref="Y977:Y978"/>
    <mergeCell ref="AB959:AB960"/>
    <mergeCell ref="AC959:AC960"/>
    <mergeCell ref="E973:E974"/>
    <mergeCell ref="AI953:AI954"/>
    <mergeCell ref="AK953:AK954"/>
    <mergeCell ref="AL953:AL954"/>
    <mergeCell ref="AM953:AM954"/>
    <mergeCell ref="AM957:AM958"/>
    <mergeCell ref="E943:E944"/>
    <mergeCell ref="F943:F944"/>
    <mergeCell ref="J943:J944"/>
    <mergeCell ref="AA977:AA978"/>
    <mergeCell ref="AB977:AB978"/>
    <mergeCell ref="E908:E909"/>
    <mergeCell ref="F908:F909"/>
    <mergeCell ref="N908:N909"/>
    <mergeCell ref="Y908:Y909"/>
    <mergeCell ref="AA908:AA909"/>
    <mergeCell ref="AB908:AB909"/>
    <mergeCell ref="N916:N917"/>
    <mergeCell ref="Y916:Y917"/>
    <mergeCell ref="AA916:AA917"/>
    <mergeCell ref="AB916:AB917"/>
    <mergeCell ref="J910:J911"/>
    <mergeCell ref="AL898:AL899"/>
    <mergeCell ref="AI961:AI962"/>
    <mergeCell ref="AJ961:AJ962"/>
    <mergeCell ref="AK961:AK962"/>
    <mergeCell ref="AK977:AK978"/>
    <mergeCell ref="AL977:AL978"/>
    <mergeCell ref="AG945:AG946"/>
    <mergeCell ref="E910:E911"/>
    <mergeCell ref="AA953:AA954"/>
    <mergeCell ref="AB953:AB954"/>
    <mergeCell ref="Y963:Y964"/>
    <mergeCell ref="AA963:AA964"/>
    <mergeCell ref="AB963:AB964"/>
    <mergeCell ref="AC963:AC964"/>
    <mergeCell ref="AD963:AD964"/>
    <mergeCell ref="AF963:AF964"/>
    <mergeCell ref="AH949:AH950"/>
    <mergeCell ref="AI949:AI950"/>
    <mergeCell ref="AJ949:AJ950"/>
    <mergeCell ref="AK949:AK950"/>
    <mergeCell ref="AL949:AL950"/>
    <mergeCell ref="AM949:AM950"/>
    <mergeCell ref="E938:E939"/>
    <mergeCell ref="AL1034:AL1035"/>
    <mergeCell ref="AM1034:AM1035"/>
    <mergeCell ref="AO1034:AO1035"/>
    <mergeCell ref="AC1034:AC1035"/>
    <mergeCell ref="AD1034:AD1035"/>
    <mergeCell ref="AI1032:AI1033"/>
    <mergeCell ref="AJ1032:AJ1033"/>
    <mergeCell ref="AK1032:AK1033"/>
    <mergeCell ref="AL1032:AL1033"/>
    <mergeCell ref="AM1032:AM1033"/>
    <mergeCell ref="AO1032:AO1033"/>
    <mergeCell ref="AJ1026:AJ1027"/>
    <mergeCell ref="AJ1028:AJ1029"/>
    <mergeCell ref="AJ1044:AJ1045"/>
    <mergeCell ref="AD1026:AD1027"/>
    <mergeCell ref="AK1030:AK1031"/>
    <mergeCell ref="AL1030:AL1031"/>
    <mergeCell ref="AM1030:AM1031"/>
    <mergeCell ref="AG1030:AG1031"/>
    <mergeCell ref="AH1030:AH1031"/>
    <mergeCell ref="AO1048:AO1049"/>
    <mergeCell ref="E1038:E1039"/>
    <mergeCell ref="F1038:F1039"/>
    <mergeCell ref="J1038:J1039"/>
    <mergeCell ref="N1038:N1039"/>
    <mergeCell ref="Y1038:Y1039"/>
    <mergeCell ref="AA1038:AA1039"/>
    <mergeCell ref="AB1038:AB1039"/>
    <mergeCell ref="E1040:E1041"/>
    <mergeCell ref="F1040:F1041"/>
    <mergeCell ref="J1040:J1041"/>
    <mergeCell ref="N1040:N1041"/>
    <mergeCell ref="Y1040:Y1041"/>
    <mergeCell ref="AA1040:AA1041"/>
    <mergeCell ref="AB1040:AB1041"/>
    <mergeCell ref="E1042:E1043"/>
    <mergeCell ref="F1042:F1043"/>
    <mergeCell ref="J1042:J1043"/>
    <mergeCell ref="N1042:N1043"/>
    <mergeCell ref="Y1042:Y1043"/>
    <mergeCell ref="AA1042:AA1043"/>
    <mergeCell ref="AB1042:AB1043"/>
    <mergeCell ref="F1046:F1047"/>
    <mergeCell ref="J1046:J1047"/>
    <mergeCell ref="N1046:N1047"/>
    <mergeCell ref="Y1046:Y1047"/>
    <mergeCell ref="AA1046:AA1047"/>
    <mergeCell ref="AB1046:AB1047"/>
    <mergeCell ref="F1044:F1045"/>
    <mergeCell ref="J1044:J1045"/>
    <mergeCell ref="N1044:N1045"/>
    <mergeCell ref="AB1044:AB1045"/>
    <mergeCell ref="AM1044:AM1045"/>
    <mergeCell ref="AO1044:AO1045"/>
    <mergeCell ref="AC1044:AC1045"/>
    <mergeCell ref="AD1044:AD1045"/>
    <mergeCell ref="AF1044:AF1045"/>
    <mergeCell ref="AG1044:AG1045"/>
    <mergeCell ref="AH1044:AH1045"/>
    <mergeCell ref="AI1044:AI1045"/>
    <mergeCell ref="AL1026:AL1027"/>
    <mergeCell ref="J1034:J1035"/>
    <mergeCell ref="E1032:E1033"/>
    <mergeCell ref="F1032:F1033"/>
    <mergeCell ref="AP1048:AP1049"/>
    <mergeCell ref="AO1036:AO1037"/>
    <mergeCell ref="AP1036:AP1037"/>
    <mergeCell ref="AO1038:AO1039"/>
    <mergeCell ref="AP1038:AP1039"/>
    <mergeCell ref="AC1040:AC1041"/>
    <mergeCell ref="AD1040:AD1041"/>
    <mergeCell ref="AF1040:AF1041"/>
    <mergeCell ref="AG1040:AG1041"/>
    <mergeCell ref="AH1040:AH1041"/>
    <mergeCell ref="AI1040:AI1041"/>
    <mergeCell ref="AJ1040:AJ1041"/>
    <mergeCell ref="AK1040:AK1041"/>
    <mergeCell ref="AL1040:AL1041"/>
    <mergeCell ref="AM1040:AM1041"/>
    <mergeCell ref="AO1040:AO1041"/>
    <mergeCell ref="AP1040:AP1041"/>
    <mergeCell ref="AM1024:AM1025"/>
    <mergeCell ref="AO1024:AO1025"/>
    <mergeCell ref="AM1020:AM1021"/>
    <mergeCell ref="AL1028:AL1029"/>
    <mergeCell ref="AP1032:AP1033"/>
    <mergeCell ref="AL1022:AL1023"/>
    <mergeCell ref="AM1022:AM1023"/>
    <mergeCell ref="AO1022:AO1023"/>
    <mergeCell ref="AP1022:AP1023"/>
    <mergeCell ref="AP1024:AP1025"/>
    <mergeCell ref="AM1026:AM1027"/>
    <mergeCell ref="AO1026:AO1027"/>
    <mergeCell ref="AP1026:AP1027"/>
    <mergeCell ref="AP1028:AP1029"/>
    <mergeCell ref="AO1030:AO1031"/>
    <mergeCell ref="AP1030:AP1031"/>
    <mergeCell ref="AJ1048:AJ1049"/>
    <mergeCell ref="AK1048:AK1049"/>
    <mergeCell ref="AL1048:AL1049"/>
    <mergeCell ref="AM1048:AM1049"/>
    <mergeCell ref="AC1038:AC1039"/>
    <mergeCell ref="AD1038:AD1039"/>
    <mergeCell ref="AF1038:AF1039"/>
    <mergeCell ref="AG1038:AG1039"/>
    <mergeCell ref="AH1038:AH1039"/>
    <mergeCell ref="AI1038:AI1039"/>
    <mergeCell ref="AJ1038:AJ1039"/>
    <mergeCell ref="AK1038:AK1039"/>
    <mergeCell ref="AL1038:AL1039"/>
    <mergeCell ref="AM1038:AM1039"/>
    <mergeCell ref="AC1042:AC1043"/>
    <mergeCell ref="AD1042:AD1043"/>
    <mergeCell ref="AF1042:AF1043"/>
    <mergeCell ref="AG1042:AG1043"/>
    <mergeCell ref="AH1042:AH1043"/>
    <mergeCell ref="AI1042:AI1043"/>
    <mergeCell ref="AJ1042:AJ1043"/>
    <mergeCell ref="AK1042:AK1043"/>
    <mergeCell ref="AL1042:AL1043"/>
    <mergeCell ref="AM1042:AM1043"/>
    <mergeCell ref="AO1042:AO1043"/>
    <mergeCell ref="AP1042:AP1043"/>
    <mergeCell ref="AP1044:AP1045"/>
    <mergeCell ref="AO1020:AO1021"/>
    <mergeCell ref="AP1020:AP1021"/>
    <mergeCell ref="AK1044:AK1045"/>
    <mergeCell ref="AL1044:AL1045"/>
    <mergeCell ref="F1152:F1153"/>
    <mergeCell ref="J1152:J1153"/>
    <mergeCell ref="N1152:N1153"/>
    <mergeCell ref="Y1152:Y1153"/>
    <mergeCell ref="AA1152:AA1153"/>
    <mergeCell ref="E1213:E1214"/>
    <mergeCell ref="E1231:E1232"/>
    <mergeCell ref="F1231:F1232"/>
    <mergeCell ref="AP1217:AP1218"/>
    <mergeCell ref="AM1219:AM1220"/>
    <mergeCell ref="AP1207:AP1208"/>
    <mergeCell ref="AK1201:AK1202"/>
    <mergeCell ref="AD1219:AD1220"/>
    <mergeCell ref="AJ1146:AJ1147"/>
    <mergeCell ref="AK1146:AK1147"/>
    <mergeCell ref="AL1146:AL1147"/>
    <mergeCell ref="AM1146:AM1147"/>
    <mergeCell ref="AO1146:AO1147"/>
    <mergeCell ref="AL1225:AL1226"/>
    <mergeCell ref="AH1231:AH1232"/>
    <mergeCell ref="AF1225:AF1226"/>
    <mergeCell ref="AO1229:AO1230"/>
    <mergeCell ref="AL1231:AL1232"/>
    <mergeCell ref="AK1231:AK1232"/>
    <mergeCell ref="AO1136:AO1137"/>
    <mergeCell ref="AO1162:AO1163"/>
    <mergeCell ref="AC1237:AC1238"/>
    <mergeCell ref="Y1225:Y1226"/>
    <mergeCell ref="AA1225:AA1226"/>
    <mergeCell ref="Y1223:Y1224"/>
    <mergeCell ref="AM1152:AM1153"/>
    <mergeCell ref="AO1152:AO1153"/>
    <mergeCell ref="AP1152:AP1153"/>
    <mergeCell ref="E1154:E1155"/>
    <mergeCell ref="F1154:F1155"/>
    <mergeCell ref="J1154:J1155"/>
    <mergeCell ref="N1154:N1155"/>
    <mergeCell ref="Y1154:Y1155"/>
    <mergeCell ref="AA1154:AA1155"/>
    <mergeCell ref="AB1154:AB1155"/>
    <mergeCell ref="AC1154:AC1155"/>
    <mergeCell ref="AD1154:AD1155"/>
    <mergeCell ref="E1150:E1151"/>
    <mergeCell ref="F1150:F1151"/>
    <mergeCell ref="J1150:J1151"/>
    <mergeCell ref="N1150:N1151"/>
    <mergeCell ref="Y1150:Y1151"/>
    <mergeCell ref="AA1150:AA1151"/>
    <mergeCell ref="AB1150:AB1151"/>
    <mergeCell ref="AC1150:AC1151"/>
    <mergeCell ref="AD1150:AD1151"/>
    <mergeCell ref="AF1150:AF1151"/>
    <mergeCell ref="AG1150:AG1151"/>
    <mergeCell ref="AH1150:AH1151"/>
    <mergeCell ref="AI1150:AI1151"/>
    <mergeCell ref="AJ1150:AJ1151"/>
    <mergeCell ref="AK1150:AK1151"/>
    <mergeCell ref="AL1150:AL1151"/>
    <mergeCell ref="AM1150:AM1151"/>
    <mergeCell ref="AA1144:AA1145"/>
    <mergeCell ref="AJ1164:AJ1165"/>
    <mergeCell ref="AK1164:AK1165"/>
    <mergeCell ref="J1209:J1210"/>
    <mergeCell ref="N1209:N1210"/>
    <mergeCell ref="AM1247:AM1248"/>
    <mergeCell ref="AO1221:AO1222"/>
    <mergeCell ref="AO1231:AO1232"/>
    <mergeCell ref="AO1239:AO1240"/>
    <mergeCell ref="AO1213:AO1214"/>
    <mergeCell ref="AO1219:AO1220"/>
    <mergeCell ref="AO1215:AO1216"/>
    <mergeCell ref="AM1271:AM1272"/>
    <mergeCell ref="AP1162:AP1163"/>
    <mergeCell ref="E1156:E1157"/>
    <mergeCell ref="F1156:F1157"/>
    <mergeCell ref="J1156:J1157"/>
    <mergeCell ref="N1156:N1157"/>
    <mergeCell ref="Y1156:Y1157"/>
    <mergeCell ref="AA1156:AA1157"/>
    <mergeCell ref="AB1156:AB1157"/>
    <mergeCell ref="AC1156:AC1157"/>
    <mergeCell ref="AD1156:AD1157"/>
    <mergeCell ref="AF1156:AF1157"/>
    <mergeCell ref="AG1156:AG1157"/>
    <mergeCell ref="AH1156:AH1157"/>
    <mergeCell ref="AP1291:AP1292"/>
    <mergeCell ref="E1283:E1284"/>
    <mergeCell ref="E1279:E1280"/>
    <mergeCell ref="F1279:F1280"/>
    <mergeCell ref="E1285:E1286"/>
    <mergeCell ref="AO1277:AO1278"/>
    <mergeCell ref="AI1156:AI1157"/>
    <mergeCell ref="AJ1156:AJ1157"/>
    <mergeCell ref="AK1156:AK1157"/>
    <mergeCell ref="AL1156:AL1157"/>
    <mergeCell ref="E1184:E1185"/>
    <mergeCell ref="F1184:F1185"/>
    <mergeCell ref="AD1277:AD1278"/>
    <mergeCell ref="N1277:N1278"/>
    <mergeCell ref="AM1281:AM1282"/>
    <mergeCell ref="AP1281:AP1282"/>
    <mergeCell ref="AM1283:AM1284"/>
    <mergeCell ref="AP1283:AP1284"/>
    <mergeCell ref="AM1285:AM1286"/>
    <mergeCell ref="AP1285:AP1286"/>
    <mergeCell ref="AM1287:AM1288"/>
    <mergeCell ref="AP1287:AP1288"/>
    <mergeCell ref="AM1289:AM1290"/>
    <mergeCell ref="AL1277:AL1278"/>
    <mergeCell ref="F1285:F1286"/>
    <mergeCell ref="F1277:F1278"/>
    <mergeCell ref="AP1277:AP1278"/>
    <mergeCell ref="AM1279:AM1280"/>
    <mergeCell ref="AB1279:AB1280"/>
    <mergeCell ref="AC1279:AC1280"/>
    <mergeCell ref="J1279:J1280"/>
    <mergeCell ref="Y1285:Y1286"/>
    <mergeCell ref="AA1285:AA1286"/>
    <mergeCell ref="AM1263:AM1264"/>
    <mergeCell ref="AP1263:AP1264"/>
    <mergeCell ref="AM1265:AM1266"/>
    <mergeCell ref="AP1265:AP1266"/>
    <mergeCell ref="AM1267:AM1268"/>
    <mergeCell ref="AP1267:AP1268"/>
    <mergeCell ref="AM1269:AM1270"/>
    <mergeCell ref="AP1269:AP1270"/>
    <mergeCell ref="AP1271:AP1272"/>
    <mergeCell ref="AM1273:AM1274"/>
    <mergeCell ref="AJ1295:AJ1296"/>
    <mergeCell ref="AJ1297:AJ1298"/>
    <mergeCell ref="AJ1299:AJ1300"/>
    <mergeCell ref="E1299:E1300"/>
    <mergeCell ref="F1299:F1300"/>
    <mergeCell ref="J1299:J1300"/>
    <mergeCell ref="N1299:N1300"/>
    <mergeCell ref="AP1293:AP1294"/>
    <mergeCell ref="N1293:N1294"/>
    <mergeCell ref="Y1293:Y1294"/>
    <mergeCell ref="AA1293:AA1294"/>
    <mergeCell ref="AB1293:AB1294"/>
    <mergeCell ref="AC1293:AC1294"/>
    <mergeCell ref="Y1299:Y1300"/>
    <mergeCell ref="F1293:F1294"/>
    <mergeCell ref="AP1289:AP1290"/>
    <mergeCell ref="E1291:E1292"/>
    <mergeCell ref="F1291:F1292"/>
    <mergeCell ref="J1291:J1292"/>
    <mergeCell ref="N1291:N1292"/>
    <mergeCell ref="Y1291:Y1292"/>
    <mergeCell ref="AA1291:AA1292"/>
    <mergeCell ref="AB1291:AB1292"/>
    <mergeCell ref="AC1291:AC1292"/>
    <mergeCell ref="AD1291:AD1292"/>
    <mergeCell ref="AF1291:AF1292"/>
    <mergeCell ref="AH1297:AH1298"/>
    <mergeCell ref="AH1291:AH1292"/>
    <mergeCell ref="AJ1289:AJ1290"/>
    <mergeCell ref="AJ1291:AJ1292"/>
    <mergeCell ref="AH1287:AH1288"/>
    <mergeCell ref="AI1287:AI1288"/>
    <mergeCell ref="AK1287:AK1288"/>
    <mergeCell ref="AK1289:AK1290"/>
    <mergeCell ref="AL1289:AL1290"/>
    <mergeCell ref="AO1289:AO1290"/>
    <mergeCell ref="J1293:J1294"/>
    <mergeCell ref="F1295:F1296"/>
    <mergeCell ref="N1287:N1288"/>
    <mergeCell ref="Y1287:Y1288"/>
    <mergeCell ref="AA1287:AA1288"/>
    <mergeCell ref="N1297:N1298"/>
    <mergeCell ref="AC1297:AC1298"/>
    <mergeCell ref="AD1297:AD1298"/>
    <mergeCell ref="AJ1293:AJ1294"/>
    <mergeCell ref="AG1299:AG1300"/>
    <mergeCell ref="AM1291:AM1292"/>
    <mergeCell ref="E1287:E1288"/>
    <mergeCell ref="AO1311:AO1312"/>
    <mergeCell ref="Y1315:Y1316"/>
    <mergeCell ref="AL1364:AL1365"/>
    <mergeCell ref="AJ1364:AJ1365"/>
    <mergeCell ref="AM1297:AM1298"/>
    <mergeCell ref="AM1299:AM1300"/>
    <mergeCell ref="AO1299:AO1300"/>
    <mergeCell ref="AO1297:AO1298"/>
    <mergeCell ref="AM1293:AM1294"/>
    <mergeCell ref="AO1293:AO1294"/>
    <mergeCell ref="AJ1319:AJ1320"/>
    <mergeCell ref="AJ1335:AJ1336"/>
    <mergeCell ref="AK1335:AK1336"/>
    <mergeCell ref="AL1335:AL1336"/>
    <mergeCell ref="AM1335:AM1336"/>
    <mergeCell ref="AO1335:AO1336"/>
    <mergeCell ref="AP1335:AP1336"/>
    <mergeCell ref="AP1299:AP1300"/>
    <mergeCell ref="F1287:F1288"/>
    <mergeCell ref="J1287:J1288"/>
    <mergeCell ref="AK1295:AK1296"/>
    <mergeCell ref="AL1295:AL1296"/>
    <mergeCell ref="AD1293:AD1294"/>
    <mergeCell ref="AF1293:AF1294"/>
    <mergeCell ref="AG1293:AG1294"/>
    <mergeCell ref="AH1293:AH1294"/>
    <mergeCell ref="AH1299:AH1300"/>
    <mergeCell ref="AI1299:AI1300"/>
    <mergeCell ref="AK1299:AK1300"/>
    <mergeCell ref="AL1299:AL1300"/>
    <mergeCell ref="F1297:F1298"/>
    <mergeCell ref="J1297:J1298"/>
    <mergeCell ref="AP1339:AP1340"/>
    <mergeCell ref="AP1301:AP1302"/>
    <mergeCell ref="AI1347:AI1348"/>
    <mergeCell ref="AJ1347:AJ1348"/>
    <mergeCell ref="AK1347:AK1348"/>
    <mergeCell ref="AP1311:AP1312"/>
    <mergeCell ref="AG1311:AG1312"/>
    <mergeCell ref="AM1341:AM1342"/>
    <mergeCell ref="AO1341:AO1342"/>
    <mergeCell ref="AM1347:AM1348"/>
    <mergeCell ref="AO1347:AO1348"/>
    <mergeCell ref="AB1351:AB1352"/>
    <mergeCell ref="AC1351:AC1352"/>
    <mergeCell ref="AD1351:AD1352"/>
    <mergeCell ref="AF1351:AF1352"/>
    <mergeCell ref="AG1351:AG1352"/>
    <mergeCell ref="AH1351:AH1352"/>
    <mergeCell ref="AI1351:AI1352"/>
    <mergeCell ref="AJ1351:AJ1352"/>
    <mergeCell ref="AK1351:AK1352"/>
    <mergeCell ref="AL1351:AL1352"/>
    <mergeCell ref="AM1351:AM1352"/>
    <mergeCell ref="AO1351:AO1352"/>
    <mergeCell ref="AA1327:AA1328"/>
    <mergeCell ref="AA1303:AA1304"/>
    <mergeCell ref="AC1325:AC1326"/>
    <mergeCell ref="AD1325:AD1326"/>
    <mergeCell ref="AF1325:AF1326"/>
    <mergeCell ref="AG1325:AG1326"/>
    <mergeCell ref="AH1325:AH1326"/>
    <mergeCell ref="AI1325:AI1326"/>
    <mergeCell ref="AP1297:AP1298"/>
    <mergeCell ref="AH1418:AH1419"/>
    <mergeCell ref="AI1418:AI1419"/>
    <mergeCell ref="AC1408:AC1409"/>
    <mergeCell ref="AD1408:AD1409"/>
    <mergeCell ref="AF1408:AF1409"/>
    <mergeCell ref="AG1408:AG1409"/>
    <mergeCell ref="AH1408:AH1409"/>
    <mergeCell ref="AI1408:AI1409"/>
    <mergeCell ref="AL1319:AL1320"/>
    <mergeCell ref="AM1319:AM1320"/>
    <mergeCell ref="AO1319:AO1320"/>
    <mergeCell ref="AP1303:AP1304"/>
    <mergeCell ref="J1335:J1336"/>
    <mergeCell ref="N1335:N1336"/>
    <mergeCell ref="Y1335:Y1336"/>
    <mergeCell ref="AA1335:AA1336"/>
    <mergeCell ref="AB1335:AB1336"/>
    <mergeCell ref="AC1335:AC1336"/>
    <mergeCell ref="AD1335:AD1336"/>
    <mergeCell ref="AF1335:AF1336"/>
    <mergeCell ref="AG1335:AG1336"/>
    <mergeCell ref="AH1335:AH1336"/>
    <mergeCell ref="AI1335:AI1336"/>
    <mergeCell ref="AP1305:AP1306"/>
    <mergeCell ref="AP1307:AP1308"/>
    <mergeCell ref="AM1307:AM1308"/>
    <mergeCell ref="AO1307:AO1308"/>
    <mergeCell ref="AO1364:AO1365"/>
    <mergeCell ref="AO1362:AO1363"/>
    <mergeCell ref="AP1333:AP1334"/>
    <mergeCell ref="Y1345:Y1346"/>
    <mergeCell ref="AA1345:AA1346"/>
    <mergeCell ref="AB1345:AB1346"/>
    <mergeCell ref="AC1345:AC1346"/>
    <mergeCell ref="AD1345:AD1346"/>
    <mergeCell ref="AK1329:AK1330"/>
    <mergeCell ref="AI1307:AI1308"/>
    <mergeCell ref="AJ1307:AJ1308"/>
    <mergeCell ref="AP1319:AP1320"/>
    <mergeCell ref="AP1321:AP1322"/>
    <mergeCell ref="AO1321:AO1322"/>
    <mergeCell ref="Y1323:Y1324"/>
    <mergeCell ref="AA1323:AA1324"/>
    <mergeCell ref="AB1323:AB1324"/>
    <mergeCell ref="AC1323:AC1324"/>
    <mergeCell ref="AD1323:AD1324"/>
    <mergeCell ref="AF1323:AF1324"/>
    <mergeCell ref="AJ1408:AJ1409"/>
    <mergeCell ref="N1396:N1397"/>
    <mergeCell ref="Y1396:Y1397"/>
    <mergeCell ref="AA1396:AA1397"/>
    <mergeCell ref="AB1396:AB1397"/>
    <mergeCell ref="AC1396:AC1397"/>
    <mergeCell ref="AD1396:AD1397"/>
    <mergeCell ref="AF1396:AF1397"/>
    <mergeCell ref="AG1396:AG1397"/>
    <mergeCell ref="AH1396:AH1397"/>
    <mergeCell ref="AI1396:AI1397"/>
    <mergeCell ref="AJ1396:AJ1397"/>
    <mergeCell ref="AK1396:AK1397"/>
    <mergeCell ref="AL1396:AL1397"/>
    <mergeCell ref="AM1396:AM1397"/>
    <mergeCell ref="AO1396:AO1397"/>
    <mergeCell ref="AM1311:AM1312"/>
    <mergeCell ref="AP1400:AP1401"/>
    <mergeCell ref="AM1402:AM1403"/>
    <mergeCell ref="AP1402:AP1403"/>
    <mergeCell ref="AM1404:AM1405"/>
    <mergeCell ref="AP1404:AP1405"/>
    <mergeCell ref="AL1416:AL1417"/>
    <mergeCell ref="AM1416:AM1417"/>
    <mergeCell ref="AO1416:AO1417"/>
    <mergeCell ref="AP1416:AP1417"/>
    <mergeCell ref="AF1418:AF1419"/>
    <mergeCell ref="AG1418:AG1419"/>
    <mergeCell ref="J1398:J1399"/>
    <mergeCell ref="N1398:N1399"/>
    <mergeCell ref="Y1398:Y1399"/>
    <mergeCell ref="AM1295:AM1296"/>
    <mergeCell ref="AO1295:AO1296"/>
    <mergeCell ref="N1345:N1346"/>
    <mergeCell ref="AG1323:AG1324"/>
    <mergeCell ref="AH1323:AH1324"/>
    <mergeCell ref="AI1323:AI1324"/>
    <mergeCell ref="AJ1323:AJ1324"/>
    <mergeCell ref="AK1323:AK1324"/>
    <mergeCell ref="AF1347:AF1348"/>
    <mergeCell ref="AG1347:AG1348"/>
    <mergeCell ref="AH1347:AH1348"/>
    <mergeCell ref="AP1420:AP1421"/>
    <mergeCell ref="AK1420:AK1421"/>
    <mergeCell ref="AL1420:AL1421"/>
    <mergeCell ref="AM1420:AM1421"/>
    <mergeCell ref="AO1420:AO1421"/>
    <mergeCell ref="AJ1325:AJ1326"/>
    <mergeCell ref="AK1325:AK1326"/>
    <mergeCell ref="AK1398:AK1399"/>
    <mergeCell ref="AL1398:AL1399"/>
    <mergeCell ref="AM1398:AM1399"/>
    <mergeCell ref="AO1398:AO1399"/>
    <mergeCell ref="AP1398:AP1399"/>
    <mergeCell ref="AK1408:AK1409"/>
    <mergeCell ref="AL1408:AL1409"/>
    <mergeCell ref="AM1408:AM1409"/>
    <mergeCell ref="AO1408:AO1409"/>
    <mergeCell ref="AP1408:AP1409"/>
    <mergeCell ref="AA1398:AA1399"/>
    <mergeCell ref="AB1398:AB1399"/>
    <mergeCell ref="AC1398:AC1399"/>
    <mergeCell ref="AD1398:AD1399"/>
    <mergeCell ref="AF1398:AF1399"/>
    <mergeCell ref="Y1394:Y1395"/>
    <mergeCell ref="AH1394:AH1395"/>
    <mergeCell ref="AI1394:AI1395"/>
    <mergeCell ref="AG1333:AG1334"/>
    <mergeCell ref="AH1333:AH1334"/>
    <mergeCell ref="AI1333:AI1334"/>
    <mergeCell ref="AJ1333:AJ1334"/>
    <mergeCell ref="AK1333:AK1334"/>
    <mergeCell ref="AL1333:AL1334"/>
    <mergeCell ref="AO1384:AO1385"/>
    <mergeCell ref="AP1384:AP1385"/>
    <mergeCell ref="AK1382:AK1383"/>
    <mergeCell ref="AL1382:AL1383"/>
    <mergeCell ref="AM1382:AM1383"/>
    <mergeCell ref="AO1382:AO1383"/>
    <mergeCell ref="AP1382:AP1383"/>
    <mergeCell ref="J1396:J1397"/>
    <mergeCell ref="AA1424:AA1425"/>
    <mergeCell ref="AB1424:AB1425"/>
    <mergeCell ref="AC1424:AC1425"/>
    <mergeCell ref="AD1424:AD1425"/>
    <mergeCell ref="AF1424:AF1425"/>
    <mergeCell ref="AG1424:AG1425"/>
    <mergeCell ref="AJ1426:AJ1427"/>
    <mergeCell ref="AJ1541:AJ1542"/>
    <mergeCell ref="AJ1543:AJ1544"/>
    <mergeCell ref="AJ1494:AJ1495"/>
    <mergeCell ref="AC1518:AC1519"/>
    <mergeCell ref="AD1518:AD1519"/>
    <mergeCell ref="AF1518:AF1519"/>
    <mergeCell ref="AG1518:AG1519"/>
    <mergeCell ref="AH1518:AH1519"/>
    <mergeCell ref="N1516:N1517"/>
    <mergeCell ref="Y1516:Y1517"/>
    <mergeCell ref="AP1450:AP1451"/>
    <mergeCell ref="AM1452:AM1453"/>
    <mergeCell ref="AP1452:AP1453"/>
    <mergeCell ref="AM1454:AM1455"/>
    <mergeCell ref="AC2062:AC2063"/>
    <mergeCell ref="AD2050:AD2051"/>
    <mergeCell ref="AF2050:AF2051"/>
    <mergeCell ref="AG2050:AG2051"/>
    <mergeCell ref="AH2050:AH2051"/>
    <mergeCell ref="AI2050:AI2051"/>
    <mergeCell ref="AJ2050:AJ2051"/>
    <mergeCell ref="AK2050:AK2051"/>
    <mergeCell ref="N1722:N1723"/>
    <mergeCell ref="Y1722:Y1723"/>
    <mergeCell ref="AM1442:AM1443"/>
    <mergeCell ref="AP1442:AP1443"/>
    <mergeCell ref="AO1480:AO1481"/>
    <mergeCell ref="AJ1486:AJ1487"/>
    <mergeCell ref="AK1486:AK1487"/>
    <mergeCell ref="AL1486:AL1487"/>
    <mergeCell ref="N1810:N1811"/>
    <mergeCell ref="AP2042:AP2043"/>
    <mergeCell ref="AM2044:AM2045"/>
    <mergeCell ref="AP1454:AP1455"/>
    <mergeCell ref="AL2042:AL2043"/>
    <mergeCell ref="AM2052:AM2053"/>
    <mergeCell ref="AG2048:AG2049"/>
    <mergeCell ref="AH2022:AH2023"/>
    <mergeCell ref="AI2022:AI2023"/>
    <mergeCell ref="AP2044:AP2045"/>
    <mergeCell ref="AP2046:AP2047"/>
    <mergeCell ref="N2022:N2023"/>
    <mergeCell ref="AI2004:AI2005"/>
    <mergeCell ref="AP1917:AP1918"/>
    <mergeCell ref="AM1919:AM1920"/>
    <mergeCell ref="AP1919:AP1920"/>
    <mergeCell ref="AM1921:AM1922"/>
    <mergeCell ref="AP1921:AP1922"/>
    <mergeCell ref="AM1923:AM1924"/>
    <mergeCell ref="AP1923:AP1924"/>
    <mergeCell ref="AL1937:AL1938"/>
    <mergeCell ref="AP1937:AP1938"/>
    <mergeCell ref="AG1931:AG1932"/>
    <mergeCell ref="AH1931:AH1932"/>
    <mergeCell ref="AI1931:AI1932"/>
    <mergeCell ref="AK1925:AK1926"/>
    <mergeCell ref="AL1925:AL1926"/>
    <mergeCell ref="AM2068:AM2069"/>
    <mergeCell ref="AP2068:AP2069"/>
    <mergeCell ref="AP2066:AP2067"/>
    <mergeCell ref="AP2062:AP2063"/>
    <mergeCell ref="AP2074:AP2075"/>
    <mergeCell ref="AO2046:AO2047"/>
    <mergeCell ref="AL2048:AL2049"/>
    <mergeCell ref="AO2048:AO2049"/>
    <mergeCell ref="AL2066:AL2067"/>
    <mergeCell ref="AM2066:AM2067"/>
    <mergeCell ref="AO2066:AO2067"/>
    <mergeCell ref="AO2044:AO2045"/>
    <mergeCell ref="AL2044:AL2045"/>
    <mergeCell ref="AP2060:AP2061"/>
    <mergeCell ref="AO2060:AO2061"/>
    <mergeCell ref="E2044:E2045"/>
    <mergeCell ref="E2066:E2067"/>
    <mergeCell ref="AM1998:AM1999"/>
    <mergeCell ref="AP1998:AP1999"/>
    <mergeCell ref="AM2000:AM2001"/>
    <mergeCell ref="AP2000:AP2001"/>
    <mergeCell ref="AM2002:AM2003"/>
    <mergeCell ref="AP2002:AP2003"/>
    <mergeCell ref="AM2004:AM2005"/>
    <mergeCell ref="AP2004:AP2005"/>
    <mergeCell ref="AM2006:AM2007"/>
    <mergeCell ref="AP2006:AP2007"/>
    <mergeCell ref="AM2008:AM2009"/>
    <mergeCell ref="AP2008:AP2009"/>
    <mergeCell ref="AO2004:AO2005"/>
    <mergeCell ref="AJ2022:AJ2023"/>
    <mergeCell ref="AJ2024:AJ2025"/>
    <mergeCell ref="AJ2002:AJ2003"/>
    <mergeCell ref="AJ2004:AJ2005"/>
    <mergeCell ref="AB2040:AB2041"/>
    <mergeCell ref="AC2040:AC2041"/>
    <mergeCell ref="E2016:E2017"/>
    <mergeCell ref="E2034:E2035"/>
    <mergeCell ref="E2032:E2033"/>
    <mergeCell ref="E2054:E2055"/>
    <mergeCell ref="Y2068:Y2069"/>
    <mergeCell ref="AA2068:AA2069"/>
    <mergeCell ref="AB2068:AB2069"/>
    <mergeCell ref="AM2062:AM2063"/>
    <mergeCell ref="AO2062:AO2063"/>
    <mergeCell ref="AD2066:AD2067"/>
    <mergeCell ref="N2038:N2039"/>
    <mergeCell ref="N2028:N2029"/>
    <mergeCell ref="Y2028:Y2029"/>
    <mergeCell ref="AH2054:AH2055"/>
    <mergeCell ref="AI2054:AI2055"/>
    <mergeCell ref="AK2054:AK2055"/>
    <mergeCell ref="AL2054:AL2055"/>
    <mergeCell ref="AM2054:AM2055"/>
    <mergeCell ref="AO2054:AO2055"/>
    <mergeCell ref="AB2018:AB2019"/>
    <mergeCell ref="AB2020:AB2021"/>
    <mergeCell ref="Y2046:Y2047"/>
    <mergeCell ref="N2044:N2045"/>
    <mergeCell ref="AO2034:AO2035"/>
    <mergeCell ref="AO2036:AO2037"/>
    <mergeCell ref="AO2030:AO2031"/>
    <mergeCell ref="AP2010:AP2011"/>
    <mergeCell ref="AP2012:AP2013"/>
    <mergeCell ref="AJ2088:AJ2089"/>
    <mergeCell ref="AK2088:AK2089"/>
    <mergeCell ref="AL2088:AL2089"/>
    <mergeCell ref="AM2088:AM2089"/>
    <mergeCell ref="AO2088:AO2089"/>
    <mergeCell ref="AM1945:AM1946"/>
    <mergeCell ref="AO1945:AO1946"/>
    <mergeCell ref="AP1945:AP1946"/>
    <mergeCell ref="AM1941:AM1942"/>
    <mergeCell ref="AO1941:AO1942"/>
    <mergeCell ref="AH1911:AH1912"/>
    <mergeCell ref="AI1911:AI1912"/>
    <mergeCell ref="AD1830:AD1831"/>
    <mergeCell ref="AF1830:AF1831"/>
    <mergeCell ref="AG1830:AG1831"/>
    <mergeCell ref="AH1830:AH1831"/>
    <mergeCell ref="AI1830:AI1831"/>
    <mergeCell ref="AM1656:AM1657"/>
    <mergeCell ref="AF1728:AF1729"/>
    <mergeCell ref="AG1728:AG1729"/>
    <mergeCell ref="AH1728:AH1729"/>
    <mergeCell ref="AI1728:AI1729"/>
    <mergeCell ref="AJ1728:AJ1729"/>
    <mergeCell ref="AK1728:AK1729"/>
    <mergeCell ref="AL1728:AL1729"/>
    <mergeCell ref="AM1728:AM1729"/>
    <mergeCell ref="AO1728:AO1729"/>
    <mergeCell ref="Y1692:Y1693"/>
    <mergeCell ref="AA1692:AA1693"/>
    <mergeCell ref="N1678:N1679"/>
    <mergeCell ref="F1682:F1683"/>
    <mergeCell ref="J1682:J1683"/>
    <mergeCell ref="N1682:N1683"/>
    <mergeCell ref="Y1682:Y1683"/>
    <mergeCell ref="AA1682:AA1683"/>
    <mergeCell ref="AB1682:AB1683"/>
    <mergeCell ref="AC1682:AC1683"/>
    <mergeCell ref="AD1682:AD1683"/>
    <mergeCell ref="AF1682:AF1683"/>
    <mergeCell ref="AG1682:AG1683"/>
    <mergeCell ref="AC1670:AC1671"/>
    <mergeCell ref="AC1700:AC1701"/>
    <mergeCell ref="J1694:J1695"/>
    <mergeCell ref="J1698:J1699"/>
    <mergeCell ref="AF1694:AF1695"/>
    <mergeCell ref="AG1694:AG1695"/>
    <mergeCell ref="AH1694:AH1695"/>
    <mergeCell ref="AI1694:AI1695"/>
    <mergeCell ref="AL1708:AL1709"/>
    <mergeCell ref="AJ1810:AJ1811"/>
    <mergeCell ref="AJ1812:AJ1813"/>
    <mergeCell ref="AB1812:AB1813"/>
    <mergeCell ref="AC1812:AC1813"/>
    <mergeCell ref="AP1656:AP1657"/>
    <mergeCell ref="AP1718:AP1719"/>
    <mergeCell ref="Y1712:Y1713"/>
    <mergeCell ref="AA1712:AA1713"/>
    <mergeCell ref="AK1734:AK1735"/>
    <mergeCell ref="AL1734:AL1735"/>
    <mergeCell ref="AM1734:AM1735"/>
    <mergeCell ref="AO1734:AO1735"/>
    <mergeCell ref="AP1734:AP1735"/>
    <mergeCell ref="AL1730:AL1731"/>
    <mergeCell ref="AG1730:AG1731"/>
    <mergeCell ref="J2209:J2210"/>
    <mergeCell ref="N2209:N2210"/>
    <mergeCell ref="Y2209:Y2210"/>
    <mergeCell ref="AA2209:AA2210"/>
    <mergeCell ref="AJ2207:AJ2208"/>
    <mergeCell ref="AJ2209:AJ2210"/>
    <mergeCell ref="AG2183:AG2184"/>
    <mergeCell ref="AH2183:AH2184"/>
    <mergeCell ref="AJ2203:AJ2204"/>
    <mergeCell ref="AI2086:AI2087"/>
    <mergeCell ref="AJ2086:AJ2087"/>
    <mergeCell ref="AK2086:AK2087"/>
    <mergeCell ref="AP2086:AP2087"/>
    <mergeCell ref="AB2100:AB2101"/>
    <mergeCell ref="AC2100:AC2101"/>
    <mergeCell ref="AD2100:AD2101"/>
    <mergeCell ref="AF2100:AF2101"/>
    <mergeCell ref="AG2100:AG2101"/>
    <mergeCell ref="AH2100:AH2101"/>
    <mergeCell ref="AI2100:AI2101"/>
    <mergeCell ref="AJ2100:AJ2101"/>
    <mergeCell ref="AH2094:AH2095"/>
    <mergeCell ref="AI2094:AI2095"/>
    <mergeCell ref="AJ2094:AJ2095"/>
    <mergeCell ref="AK2094:AK2095"/>
    <mergeCell ref="AL2094:AL2095"/>
    <mergeCell ref="AP2092:AP2093"/>
    <mergeCell ref="AP2094:AP2095"/>
    <mergeCell ref="AP2100:AP2101"/>
    <mergeCell ref="AO2191:AO2192"/>
    <mergeCell ref="AO2203:AO2204"/>
    <mergeCell ref="AM2195:AM2196"/>
    <mergeCell ref="AF2177:AF2178"/>
    <mergeCell ref="AJ2189:AJ2190"/>
    <mergeCell ref="N2191:N2192"/>
    <mergeCell ref="Y2191:Y2192"/>
    <mergeCell ref="AA2191:AA2192"/>
    <mergeCell ref="AB2191:AB2192"/>
    <mergeCell ref="Y2199:Y2200"/>
    <mergeCell ref="AM2090:AM2091"/>
    <mergeCell ref="AO2090:AO2091"/>
    <mergeCell ref="AP2090:AP2091"/>
    <mergeCell ref="AO2098:AO2099"/>
    <mergeCell ref="AP2098:AP2099"/>
    <mergeCell ref="AO2100:AO2101"/>
    <mergeCell ref="AH2088:AH2089"/>
    <mergeCell ref="AI2088:AI2089"/>
    <mergeCell ref="AO2189:AO2190"/>
    <mergeCell ref="AO2183:AO2184"/>
    <mergeCell ref="AO2181:AO2182"/>
    <mergeCell ref="AO2175:AO2176"/>
    <mergeCell ref="N2173:N2174"/>
    <mergeCell ref="AI2169:AI2170"/>
    <mergeCell ref="AJ2175:AJ2176"/>
    <mergeCell ref="Y2173:Y2174"/>
    <mergeCell ref="AA2173:AA2174"/>
    <mergeCell ref="AO2173:AO2174"/>
    <mergeCell ref="AL2173:AL2174"/>
    <mergeCell ref="AF2151:AF2152"/>
    <mergeCell ref="AI2143:AI2144"/>
    <mergeCell ref="AK2143:AK2144"/>
    <mergeCell ref="AG2135:AG2136"/>
    <mergeCell ref="AI2133:AI2134"/>
    <mergeCell ref="AB2127:AB2128"/>
    <mergeCell ref="E2197:E2198"/>
    <mergeCell ref="AG2189:AG2190"/>
    <mergeCell ref="AH2189:AH2190"/>
    <mergeCell ref="AD2195:AD2196"/>
    <mergeCell ref="F2191:F2192"/>
    <mergeCell ref="E2195:E2196"/>
    <mergeCell ref="F2195:F2196"/>
    <mergeCell ref="J2195:J2196"/>
    <mergeCell ref="N2195:N2196"/>
    <mergeCell ref="Y2195:Y2196"/>
    <mergeCell ref="AA2195:AA2196"/>
    <mergeCell ref="F2197:F2198"/>
    <mergeCell ref="Y2197:Y2198"/>
    <mergeCell ref="AO2195:AO2196"/>
    <mergeCell ref="AL2197:AL2198"/>
    <mergeCell ref="AA2203:AA2204"/>
    <mergeCell ref="AB2203:AB2204"/>
    <mergeCell ref="AC2203:AC2204"/>
    <mergeCell ref="AD2203:AD2204"/>
    <mergeCell ref="N2175:N2176"/>
    <mergeCell ref="Y2175:Y2176"/>
    <mergeCell ref="AG2191:AG2192"/>
    <mergeCell ref="AK2183:AK2184"/>
    <mergeCell ref="Y2183:Y2184"/>
    <mergeCell ref="AA2183:AA2184"/>
    <mergeCell ref="Y2177:Y2178"/>
    <mergeCell ref="AA2177:AA2178"/>
    <mergeCell ref="AB2177:AB2178"/>
    <mergeCell ref="AC2183:AC2184"/>
    <mergeCell ref="AD2183:AD2184"/>
    <mergeCell ref="AF2183:AF2184"/>
    <mergeCell ref="AK2191:AK2192"/>
    <mergeCell ref="J2191:J2192"/>
    <mergeCell ref="AL2195:AL2196"/>
    <mergeCell ref="AB2197:AB2198"/>
    <mergeCell ref="AD2191:AD2192"/>
    <mergeCell ref="AF2191:AF2192"/>
    <mergeCell ref="AO2197:AO2198"/>
    <mergeCell ref="AL2191:AL2192"/>
    <mergeCell ref="AH2191:AH2192"/>
    <mergeCell ref="F2181:F2182"/>
    <mergeCell ref="AL2185:AL2186"/>
    <mergeCell ref="AA2199:AA2200"/>
    <mergeCell ref="AB2199:AB2200"/>
    <mergeCell ref="AC2199:AC2200"/>
    <mergeCell ref="AD2199:AD2200"/>
    <mergeCell ref="AF2199:AF2200"/>
    <mergeCell ref="AG2199:AG2200"/>
    <mergeCell ref="AH2203:AH2204"/>
    <mergeCell ref="AI2203:AI2204"/>
    <mergeCell ref="AK2203:AK2204"/>
    <mergeCell ref="AM2199:AM2200"/>
    <mergeCell ref="AO2199:AO2200"/>
    <mergeCell ref="Y2203:Y2204"/>
    <mergeCell ref="N2203:N2204"/>
    <mergeCell ref="E2191:E2192"/>
    <mergeCell ref="J2175:J2176"/>
    <mergeCell ref="J2233:J2234"/>
    <mergeCell ref="N2233:N2234"/>
    <mergeCell ref="Y2233:Y2234"/>
    <mergeCell ref="F2229:F2230"/>
    <mergeCell ref="AL2145:AL2146"/>
    <mergeCell ref="F2167:F2168"/>
    <mergeCell ref="F2159:F2160"/>
    <mergeCell ref="AH2145:AH2146"/>
    <mergeCell ref="AI2145:AI2146"/>
    <mergeCell ref="AK2145:AK2146"/>
    <mergeCell ref="AK2147:AK2148"/>
    <mergeCell ref="E2147:E2148"/>
    <mergeCell ref="F2147:F2148"/>
    <mergeCell ref="E2171:E2172"/>
    <mergeCell ref="F2177:F2178"/>
    <mergeCell ref="E2177:E2178"/>
    <mergeCell ref="AP2195:AP2196"/>
    <mergeCell ref="AM2197:AM2198"/>
    <mergeCell ref="AP2197:AP2198"/>
    <mergeCell ref="AM2203:AM2204"/>
    <mergeCell ref="AP2203:AP2204"/>
    <mergeCell ref="AM2207:AM2208"/>
    <mergeCell ref="AP2207:AP2208"/>
    <mergeCell ref="AP2209:AP2210"/>
    <mergeCell ref="AO2163:AO2164"/>
    <mergeCell ref="AP2191:AP2192"/>
    <mergeCell ref="AK2207:AK2208"/>
    <mergeCell ref="AH2165:AH2166"/>
    <mergeCell ref="AI2165:AI2166"/>
    <mergeCell ref="AL2165:AL2166"/>
    <mergeCell ref="Y2171:Y2172"/>
    <mergeCell ref="AD2173:AD2174"/>
    <mergeCell ref="AG2173:AG2174"/>
    <mergeCell ref="AH2173:AH2174"/>
    <mergeCell ref="AI2173:AI2174"/>
    <mergeCell ref="AL2209:AL2210"/>
    <mergeCell ref="E2203:E2204"/>
    <mergeCell ref="F2203:F2204"/>
    <mergeCell ref="AJ2193:AJ2194"/>
    <mergeCell ref="AK2193:AK2194"/>
    <mergeCell ref="AL2193:AL2194"/>
    <mergeCell ref="AM2193:AM2194"/>
    <mergeCell ref="AO2193:AO2194"/>
    <mergeCell ref="AP2193:AP2194"/>
    <mergeCell ref="AB2189:AB2190"/>
    <mergeCell ref="AC2189:AC2190"/>
    <mergeCell ref="AD2189:AD2190"/>
    <mergeCell ref="AF2189:AF2190"/>
    <mergeCell ref="AG2187:AG2188"/>
    <mergeCell ref="E2185:E2186"/>
    <mergeCell ref="F2185:F2186"/>
    <mergeCell ref="J2185:J2186"/>
    <mergeCell ref="N2185:N2186"/>
    <mergeCell ref="AI2193:AI2194"/>
    <mergeCell ref="E2199:E2200"/>
    <mergeCell ref="F2199:F2200"/>
    <mergeCell ref="J2199:J2200"/>
    <mergeCell ref="N2199:N2200"/>
    <mergeCell ref="F2207:F2208"/>
    <mergeCell ref="AO2207:AO2208"/>
    <mergeCell ref="F2209:F2210"/>
    <mergeCell ref="AP2189:AP2190"/>
    <mergeCell ref="AM2229:AM2230"/>
    <mergeCell ref="AC2229:AC2230"/>
    <mergeCell ref="AD2229:AD2230"/>
    <mergeCell ref="AF2229:AF2230"/>
    <mergeCell ref="AG2229:AG2230"/>
    <mergeCell ref="AM2225:AM2226"/>
    <mergeCell ref="AM2233:AM2234"/>
    <mergeCell ref="AM2215:AM2216"/>
    <mergeCell ref="AK2233:AK2234"/>
    <mergeCell ref="AL2233:AL2234"/>
    <mergeCell ref="AL2229:AL2230"/>
    <mergeCell ref="AL2225:AL2226"/>
    <mergeCell ref="AL2223:AL2224"/>
    <mergeCell ref="AO2223:AO2224"/>
    <mergeCell ref="AG2223:AG2224"/>
    <mergeCell ref="AA2229:AA2230"/>
    <mergeCell ref="AB2229:AB2230"/>
    <mergeCell ref="AM2227:AM2228"/>
    <mergeCell ref="AO2225:AO2226"/>
    <mergeCell ref="AP2225:AP2226"/>
    <mergeCell ref="AM2223:AM2224"/>
    <mergeCell ref="E2209:E2210"/>
    <mergeCell ref="E2207:E2208"/>
    <mergeCell ref="AM2191:AM2192"/>
    <mergeCell ref="E2189:E2190"/>
    <mergeCell ref="F2189:F2190"/>
    <mergeCell ref="Y2189:Y2190"/>
    <mergeCell ref="AA2189:AA2190"/>
    <mergeCell ref="AB2195:AB2196"/>
    <mergeCell ref="AC2195:AC2196"/>
    <mergeCell ref="E2187:E2188"/>
    <mergeCell ref="F2187:F2188"/>
    <mergeCell ref="J2187:J2188"/>
    <mergeCell ref="N2187:N2188"/>
    <mergeCell ref="Y2187:Y2188"/>
    <mergeCell ref="AA2187:AA2188"/>
    <mergeCell ref="AB2187:AB2188"/>
    <mergeCell ref="AC2187:AC2188"/>
    <mergeCell ref="AD2187:AD2188"/>
    <mergeCell ref="AF2187:AF2188"/>
    <mergeCell ref="AB2221:AB2222"/>
    <mergeCell ref="E2219:E2220"/>
    <mergeCell ref="F2219:F2220"/>
    <mergeCell ref="AL2215:AL2216"/>
    <mergeCell ref="AH2231:AH2232"/>
    <mergeCell ref="AI2231:AI2232"/>
    <mergeCell ref="E2223:E2224"/>
    <mergeCell ref="F2223:F2224"/>
    <mergeCell ref="E2221:E2222"/>
    <mergeCell ref="F2213:F2214"/>
    <mergeCell ref="E2213:E2214"/>
    <mergeCell ref="AO2229:AO2230"/>
    <mergeCell ref="AH2223:AH2224"/>
    <mergeCell ref="AI2223:AI2224"/>
    <mergeCell ref="AK2223:AK2224"/>
    <mergeCell ref="AF2225:AF2226"/>
    <mergeCell ref="AA2225:AA2226"/>
    <mergeCell ref="AB2225:AB2226"/>
    <mergeCell ref="AC2225:AC2226"/>
    <mergeCell ref="AD2225:AD2226"/>
    <mergeCell ref="AP2229:AP2230"/>
    <mergeCell ref="J2221:J2222"/>
    <mergeCell ref="N2225:N2226"/>
    <mergeCell ref="Y2225:Y2226"/>
    <mergeCell ref="AF2203:AF2204"/>
    <mergeCell ref="AG2203:AG2204"/>
    <mergeCell ref="AG2213:AG2214"/>
    <mergeCell ref="AH2213:AH2214"/>
    <mergeCell ref="AI2213:AI2214"/>
    <mergeCell ref="AB2219:AB2220"/>
    <mergeCell ref="AC2219:AC2220"/>
    <mergeCell ref="AD2219:AD2220"/>
    <mergeCell ref="AF2219:AF2220"/>
    <mergeCell ref="AG2219:AG2220"/>
    <mergeCell ref="AH2219:AH2220"/>
    <mergeCell ref="AI2219:AI2220"/>
    <mergeCell ref="AK2217:AK2218"/>
    <mergeCell ref="AL2217:AL2218"/>
    <mergeCell ref="AO2209:AO2210"/>
    <mergeCell ref="AF2221:AF2222"/>
    <mergeCell ref="AG2221:AG2222"/>
    <mergeCell ref="AH2221:AH2222"/>
    <mergeCell ref="AI2221:AI2222"/>
    <mergeCell ref="AK2221:AK2222"/>
    <mergeCell ref="AL2221:AL2222"/>
    <mergeCell ref="AM2221:AM2222"/>
    <mergeCell ref="AO2221:AO2222"/>
    <mergeCell ref="AC2215:AC2216"/>
    <mergeCell ref="AD2215:AD2216"/>
    <mergeCell ref="AL2219:AL2220"/>
    <mergeCell ref="AB2207:AB2208"/>
    <mergeCell ref="AC2207:AC2208"/>
    <mergeCell ref="AD2207:AD2208"/>
    <mergeCell ref="AF2207:AF2208"/>
    <mergeCell ref="AM2209:AM2210"/>
    <mergeCell ref="AF2215:AF2216"/>
    <mergeCell ref="AG2215:AG2216"/>
    <mergeCell ref="AH2215:AH2216"/>
    <mergeCell ref="AI2215:AI2216"/>
    <mergeCell ref="AO2215:AO2216"/>
    <mergeCell ref="AO2219:AO2220"/>
    <mergeCell ref="AM2213:AM2214"/>
    <mergeCell ref="AC2213:AC2214"/>
    <mergeCell ref="F2221:F2222"/>
    <mergeCell ref="F2233:F2234"/>
    <mergeCell ref="AA2245:AA2246"/>
    <mergeCell ref="AB2245:AB2246"/>
    <mergeCell ref="AG2251:AG2252"/>
    <mergeCell ref="AK2231:AK2232"/>
    <mergeCell ref="AP2243:AP2244"/>
    <mergeCell ref="AP2253:AP2254"/>
    <mergeCell ref="AC2235:AC2236"/>
    <mergeCell ref="AJ2231:AJ2232"/>
    <mergeCell ref="N2215:N2216"/>
    <mergeCell ref="Y2215:Y2216"/>
    <mergeCell ref="AG2225:AG2226"/>
    <mergeCell ref="AH2225:AH2226"/>
    <mergeCell ref="AI2225:AI2226"/>
    <mergeCell ref="AK2225:AK2226"/>
    <mergeCell ref="J2227:J2228"/>
    <mergeCell ref="N2227:N2228"/>
    <mergeCell ref="Y2227:Y2228"/>
    <mergeCell ref="AA2227:AA2228"/>
    <mergeCell ref="AB2227:AB2228"/>
    <mergeCell ref="AC2227:AC2228"/>
    <mergeCell ref="AD2227:AD2228"/>
    <mergeCell ref="AF2227:AF2228"/>
    <mergeCell ref="AA2233:AA2234"/>
    <mergeCell ref="AB2233:AB2234"/>
    <mergeCell ref="AC2233:AC2234"/>
    <mergeCell ref="AD2233:AD2234"/>
    <mergeCell ref="AF2233:AF2234"/>
    <mergeCell ref="AG2233:AG2234"/>
    <mergeCell ref="AH2233:AH2234"/>
    <mergeCell ref="AI2233:AI2234"/>
    <mergeCell ref="J2239:J2240"/>
    <mergeCell ref="N2239:N2240"/>
    <mergeCell ref="AO2235:AO2236"/>
    <mergeCell ref="AM2217:AM2218"/>
    <mergeCell ref="AP2215:AP2216"/>
    <mergeCell ref="AA2215:AA2216"/>
    <mergeCell ref="AB2215:AB2216"/>
    <mergeCell ref="N2223:N2224"/>
    <mergeCell ref="AO2233:AO2234"/>
    <mergeCell ref="AK2235:AK2236"/>
    <mergeCell ref="AL2235:AL2236"/>
    <mergeCell ref="AC2221:AC2222"/>
    <mergeCell ref="AD2221:AD2222"/>
    <mergeCell ref="AC2237:AC2238"/>
    <mergeCell ref="AD2237:AD2238"/>
    <mergeCell ref="AF2237:AF2238"/>
    <mergeCell ref="AG2237:AG2238"/>
    <mergeCell ref="AH2237:AH2238"/>
    <mergeCell ref="AI2237:AI2238"/>
    <mergeCell ref="AJ2237:AJ2238"/>
    <mergeCell ref="AK2237:AK2238"/>
    <mergeCell ref="AL2237:AL2238"/>
    <mergeCell ref="AM2237:AM2238"/>
    <mergeCell ref="AO2237:AO2238"/>
    <mergeCell ref="J2219:J2220"/>
    <mergeCell ref="N2219:N2220"/>
    <mergeCell ref="AL2245:AL2246"/>
    <mergeCell ref="AM2245:AM2246"/>
    <mergeCell ref="AM2243:AM2244"/>
    <mergeCell ref="AP2237:AP2238"/>
    <mergeCell ref="AA2223:AA2224"/>
    <mergeCell ref="AJ2223:AJ2224"/>
    <mergeCell ref="E2433:E2434"/>
    <mergeCell ref="F2433:F2434"/>
    <mergeCell ref="AA2259:AA2260"/>
    <mergeCell ref="J2433:J2434"/>
    <mergeCell ref="N2433:N2434"/>
    <mergeCell ref="Y2433:Y2434"/>
    <mergeCell ref="AA2433:AA2434"/>
    <mergeCell ref="AB2433:AB2434"/>
    <mergeCell ref="AL2437:AL2438"/>
    <mergeCell ref="AG2439:AG2440"/>
    <mergeCell ref="N2465:N2466"/>
    <mergeCell ref="AD2431:AD2432"/>
    <mergeCell ref="AP2245:AP2246"/>
    <mergeCell ref="N2251:N2252"/>
    <mergeCell ref="Y2251:Y2252"/>
    <mergeCell ref="AA2251:AA2252"/>
    <mergeCell ref="AB2251:AB2252"/>
    <mergeCell ref="AC2251:AC2252"/>
    <mergeCell ref="AH2253:AH2254"/>
    <mergeCell ref="AI2253:AI2254"/>
    <mergeCell ref="AK2253:AK2254"/>
    <mergeCell ref="AL2253:AL2254"/>
    <mergeCell ref="AP2247:AP2248"/>
    <mergeCell ref="AP2249:AP2250"/>
    <mergeCell ref="AC2243:AC2244"/>
    <mergeCell ref="AI2247:AI2248"/>
    <mergeCell ref="J2249:J2250"/>
    <mergeCell ref="AB2239:AB2240"/>
    <mergeCell ref="J2243:J2244"/>
    <mergeCell ref="N2243:N2244"/>
    <mergeCell ref="AO2245:AO2246"/>
    <mergeCell ref="AM2247:AM2248"/>
    <mergeCell ref="AO2247:AO2248"/>
    <mergeCell ref="AM2251:AM2252"/>
    <mergeCell ref="AO2251:AO2252"/>
    <mergeCell ref="AP2251:AP2252"/>
    <mergeCell ref="AG2253:AG2254"/>
    <mergeCell ref="AJ2249:AJ2250"/>
    <mergeCell ref="AJ2251:AJ2252"/>
    <mergeCell ref="AJ2253:AJ2254"/>
    <mergeCell ref="AO2241:AO2242"/>
    <mergeCell ref="AP2241:AP2242"/>
    <mergeCell ref="AM2241:AM2242"/>
    <mergeCell ref="AM2253:AM2254"/>
    <mergeCell ref="AO2253:AO2254"/>
    <mergeCell ref="N2253:N2254"/>
    <mergeCell ref="Y2253:Y2254"/>
    <mergeCell ref="AK2243:AK2244"/>
    <mergeCell ref="AB2249:AB2250"/>
    <mergeCell ref="AC2249:AC2250"/>
    <mergeCell ref="AH2247:AH2248"/>
    <mergeCell ref="AG2245:AG2246"/>
    <mergeCell ref="AH2245:AH2246"/>
    <mergeCell ref="AI2245:AI2246"/>
    <mergeCell ref="Y2249:Y2250"/>
    <mergeCell ref="AF2245:AF2246"/>
    <mergeCell ref="N2245:N2246"/>
    <mergeCell ref="Y2245:Y2246"/>
    <mergeCell ref="AP2415:AP2416"/>
    <mergeCell ref="AH2457:AH2458"/>
    <mergeCell ref="AI2457:AI2458"/>
    <mergeCell ref="AF2445:AF2446"/>
    <mergeCell ref="AG2445:AG2446"/>
    <mergeCell ref="AH2445:AH2446"/>
    <mergeCell ref="F2241:F2242"/>
    <mergeCell ref="J2241:J2242"/>
    <mergeCell ref="N2241:N2242"/>
    <mergeCell ref="Y2241:Y2242"/>
    <mergeCell ref="AA2241:AA2242"/>
    <mergeCell ref="AB2241:AB2242"/>
    <mergeCell ref="AC2241:AC2242"/>
    <mergeCell ref="AD2241:AD2242"/>
    <mergeCell ref="F2243:F2244"/>
    <mergeCell ref="AK2245:AK2246"/>
    <mergeCell ref="AA2253:AA2254"/>
    <mergeCell ref="AC2239:AC2240"/>
    <mergeCell ref="AD2239:AD2240"/>
    <mergeCell ref="AF2239:AF2240"/>
    <mergeCell ref="AG2239:AG2240"/>
    <mergeCell ref="AH2239:AH2240"/>
    <mergeCell ref="AI2239:AI2240"/>
    <mergeCell ref="AM2255:AM2256"/>
    <mergeCell ref="AG2249:AG2250"/>
    <mergeCell ref="AH2249:AH2250"/>
    <mergeCell ref="AI2249:AI2250"/>
    <mergeCell ref="AK2249:AK2250"/>
    <mergeCell ref="AL2249:AL2250"/>
    <mergeCell ref="AM2249:AM2250"/>
    <mergeCell ref="AL2247:AL2248"/>
    <mergeCell ref="E2265:E2266"/>
    <mergeCell ref="F2265:F2266"/>
    <mergeCell ref="J2265:J2266"/>
    <mergeCell ref="AF2265:AF2266"/>
    <mergeCell ref="AG2265:AG2266"/>
    <mergeCell ref="AH2265:AH2266"/>
    <mergeCell ref="AI2265:AI2266"/>
    <mergeCell ref="AJ2265:AJ2266"/>
    <mergeCell ref="AK2265:AK2266"/>
    <mergeCell ref="AL2265:AL2266"/>
    <mergeCell ref="AM2265:AM2266"/>
    <mergeCell ref="AG2243:AG2244"/>
    <mergeCell ref="E2251:E2252"/>
    <mergeCell ref="AM2257:AM2258"/>
    <mergeCell ref="AK2251:AK2252"/>
    <mergeCell ref="AL2251:AL2252"/>
    <mergeCell ref="AD2243:AD2244"/>
    <mergeCell ref="AF2243:AF2244"/>
    <mergeCell ref="N2259:N2260"/>
    <mergeCell ref="F2251:F2252"/>
    <mergeCell ref="E2245:E2246"/>
    <mergeCell ref="E2255:E2256"/>
    <mergeCell ref="F2255:F2256"/>
    <mergeCell ref="E2263:E2264"/>
    <mergeCell ref="F2263:F2264"/>
    <mergeCell ref="AO2437:AO2438"/>
    <mergeCell ref="N2457:N2458"/>
    <mergeCell ref="AK2457:AK2458"/>
    <mergeCell ref="AL2457:AL2458"/>
    <mergeCell ref="AJ2457:AJ2458"/>
    <mergeCell ref="AD2459:AD2460"/>
    <mergeCell ref="AO2457:AO2458"/>
    <mergeCell ref="AM2437:AM2438"/>
    <mergeCell ref="F2435:F2436"/>
    <mergeCell ref="J2435:J2436"/>
    <mergeCell ref="N2435:N2436"/>
    <mergeCell ref="Y2435:Y2436"/>
    <mergeCell ref="AA2435:AA2436"/>
    <mergeCell ref="AB2435:AB2436"/>
    <mergeCell ref="AC2435:AC2436"/>
    <mergeCell ref="AD2463:AD2464"/>
    <mergeCell ref="AF2463:AF2464"/>
    <mergeCell ref="AG2463:AG2464"/>
    <mergeCell ref="AH2463:AH2464"/>
    <mergeCell ref="AI2463:AI2464"/>
    <mergeCell ref="AL2463:AL2464"/>
    <mergeCell ref="AB2445:AB2446"/>
    <mergeCell ref="AC2445:AC2446"/>
    <mergeCell ref="Y2457:Y2458"/>
    <mergeCell ref="J2451:J2452"/>
    <mergeCell ref="N2451:N2452"/>
    <mergeCell ref="Y2451:Y2452"/>
    <mergeCell ref="AL2465:AL2466"/>
    <mergeCell ref="AD2465:AD2466"/>
    <mergeCell ref="AF2465:AF2466"/>
    <mergeCell ref="AG2465:AG2466"/>
    <mergeCell ref="AC2447:AC2448"/>
    <mergeCell ref="AD2447:AD2448"/>
    <mergeCell ref="AF2447:AF2448"/>
    <mergeCell ref="AG2447:AG2448"/>
    <mergeCell ref="AH2447:AH2448"/>
    <mergeCell ref="AI2447:AI2448"/>
    <mergeCell ref="AJ2447:AJ2448"/>
    <mergeCell ref="AK2447:AK2448"/>
    <mergeCell ref="AL2447:AL2448"/>
    <mergeCell ref="AM2447:AM2448"/>
    <mergeCell ref="AO2447:AO2448"/>
    <mergeCell ref="AM2435:AM2436"/>
    <mergeCell ref="AO2435:AO2436"/>
    <mergeCell ref="AO2453:AO2454"/>
    <mergeCell ref="F2461:F2462"/>
    <mergeCell ref="AI2445:AI2446"/>
    <mergeCell ref="AG2437:AG2438"/>
    <mergeCell ref="N2445:N2446"/>
    <mergeCell ref="Y2445:Y2446"/>
    <mergeCell ref="AA2445:AA2446"/>
    <mergeCell ref="AB2463:AB2464"/>
    <mergeCell ref="AC2463:AC2464"/>
    <mergeCell ref="Y2461:Y2462"/>
    <mergeCell ref="AA2461:AA2462"/>
    <mergeCell ref="AB2461:AB2462"/>
    <mergeCell ref="F2445:F2446"/>
    <mergeCell ref="J2445:J2446"/>
    <mergeCell ref="F2437:F2438"/>
    <mergeCell ref="N2463:N2464"/>
    <mergeCell ref="N2453:N2454"/>
    <mergeCell ref="AO2489:AO2490"/>
    <mergeCell ref="AJ2493:AJ2494"/>
    <mergeCell ref="AJ2495:AJ2496"/>
    <mergeCell ref="AJ2439:AJ2440"/>
    <mergeCell ref="AP2451:AP2452"/>
    <mergeCell ref="AK2451:AK2452"/>
    <mergeCell ref="AL2451:AL2452"/>
    <mergeCell ref="AM2451:AM2452"/>
    <mergeCell ref="AM2439:AM2440"/>
    <mergeCell ref="AM2457:AM2458"/>
    <mergeCell ref="AH2439:AH2440"/>
    <mergeCell ref="AD2513:AD2514"/>
    <mergeCell ref="AM2497:AM2498"/>
    <mergeCell ref="AO2497:AO2498"/>
    <mergeCell ref="AM2467:AM2468"/>
    <mergeCell ref="AO2467:AO2468"/>
    <mergeCell ref="AM2489:AM2490"/>
    <mergeCell ref="AJ2489:AJ2490"/>
    <mergeCell ref="AI2485:AI2486"/>
    <mergeCell ref="AK2487:AK2488"/>
    <mergeCell ref="AP2497:AP2498"/>
    <mergeCell ref="AP2495:AP2496"/>
    <mergeCell ref="AP2457:AP2458"/>
    <mergeCell ref="AM2463:AM2464"/>
    <mergeCell ref="AP2463:AP2464"/>
    <mergeCell ref="AM2465:AM2466"/>
    <mergeCell ref="AP2465:AP2466"/>
    <mergeCell ref="AG2451:AG2452"/>
    <mergeCell ref="AO2463:AO2464"/>
    <mergeCell ref="AH2451:AH2452"/>
    <mergeCell ref="AI2451:AI2452"/>
    <mergeCell ref="AP2461:AP2462"/>
    <mergeCell ref="AJ2463:AJ2464"/>
    <mergeCell ref="AJ2465:AJ2466"/>
    <mergeCell ref="AL2491:AL2492"/>
    <mergeCell ref="AL2501:AL2502"/>
    <mergeCell ref="AM2501:AM2502"/>
    <mergeCell ref="AO2501:AO2502"/>
    <mergeCell ref="AP2501:AP2502"/>
    <mergeCell ref="AJ2503:AJ2504"/>
    <mergeCell ref="AK2503:AK2504"/>
    <mergeCell ref="AM2503:AM2504"/>
    <mergeCell ref="AP2477:AP2478"/>
    <mergeCell ref="AO2499:AO2500"/>
    <mergeCell ref="AP2499:AP2500"/>
    <mergeCell ref="AD2509:AD2510"/>
    <mergeCell ref="AF2509:AF2510"/>
    <mergeCell ref="AD2501:AD2502"/>
    <mergeCell ref="AO2465:AO2466"/>
    <mergeCell ref="AP2453:AP2454"/>
    <mergeCell ref="AK2477:AK2478"/>
    <mergeCell ref="AK2511:AK2512"/>
    <mergeCell ref="AL2511:AL2512"/>
    <mergeCell ref="AO2503:AO2504"/>
    <mergeCell ref="AM2481:AM2482"/>
    <mergeCell ref="AK2489:AK2490"/>
    <mergeCell ref="AL2489:AL2490"/>
    <mergeCell ref="AK2493:AK2494"/>
    <mergeCell ref="AF2473:AF2474"/>
    <mergeCell ref="AG2473:AG2474"/>
    <mergeCell ref="AH2513:AH2514"/>
    <mergeCell ref="AL2495:AL2496"/>
    <mergeCell ref="AP2487:AP2488"/>
    <mergeCell ref="AO2479:AO2480"/>
    <mergeCell ref="AJ2629:AJ2630"/>
    <mergeCell ref="AK2629:AK2630"/>
    <mergeCell ref="AL2629:AL2630"/>
    <mergeCell ref="AM2629:AM2630"/>
    <mergeCell ref="AO2629:AO2630"/>
    <mergeCell ref="AI2639:AI2640"/>
    <mergeCell ref="AJ2639:AJ2640"/>
    <mergeCell ref="AK2639:AK2640"/>
    <mergeCell ref="AL2639:AL2640"/>
    <mergeCell ref="AI2625:AI2626"/>
    <mergeCell ref="AJ2625:AJ2626"/>
    <mergeCell ref="AK2625:AK2626"/>
    <mergeCell ref="AL2625:AL2626"/>
    <mergeCell ref="E2653:E2654"/>
    <mergeCell ref="F2653:F2654"/>
    <mergeCell ref="F2641:F2642"/>
    <mergeCell ref="J2641:J2642"/>
    <mergeCell ref="N2641:N2642"/>
    <mergeCell ref="Y2641:Y2642"/>
    <mergeCell ref="AA2641:AA2642"/>
    <mergeCell ref="AB2641:AB2642"/>
    <mergeCell ref="AC2641:AC2642"/>
    <mergeCell ref="AD2641:AD2642"/>
    <mergeCell ref="AF2641:AF2642"/>
    <mergeCell ref="AG2641:AG2642"/>
    <mergeCell ref="AH2641:AH2642"/>
    <mergeCell ref="AI2641:AI2642"/>
    <mergeCell ref="AJ2641:AJ2642"/>
    <mergeCell ref="J2631:J2632"/>
    <mergeCell ref="N2631:N2632"/>
    <mergeCell ref="Y2631:Y2632"/>
    <mergeCell ref="AA2631:AA2632"/>
    <mergeCell ref="J2645:J2646"/>
    <mergeCell ref="N2645:N2646"/>
    <mergeCell ref="N2647:N2648"/>
    <mergeCell ref="Y2647:Y2648"/>
    <mergeCell ref="AA2647:AA2648"/>
    <mergeCell ref="AB2647:AB2648"/>
    <mergeCell ref="AC2647:AC2648"/>
    <mergeCell ref="AD2647:AD2648"/>
    <mergeCell ref="AF2647:AF2648"/>
    <mergeCell ref="AG2647:AG2648"/>
    <mergeCell ref="AH2647:AH2648"/>
    <mergeCell ref="AL2631:AL2632"/>
    <mergeCell ref="AM2631:AM2632"/>
    <mergeCell ref="AO2631:AO2632"/>
    <mergeCell ref="E2633:E2634"/>
    <mergeCell ref="F2633:F2634"/>
    <mergeCell ref="J2633:J2634"/>
    <mergeCell ref="N2633:N2634"/>
    <mergeCell ref="Y2633:Y2634"/>
    <mergeCell ref="AA2633:AA2634"/>
    <mergeCell ref="AB2633:AB2634"/>
    <mergeCell ref="AC2633:AC2634"/>
    <mergeCell ref="AD2633:AD2634"/>
    <mergeCell ref="AF2633:AF2634"/>
    <mergeCell ref="AG2633:AG2634"/>
    <mergeCell ref="AH2633:AH2634"/>
    <mergeCell ref="AO2651:AO2652"/>
    <mergeCell ref="AO2647:AO2648"/>
    <mergeCell ref="AK2914:AK2915"/>
    <mergeCell ref="AP2872:AP2873"/>
    <mergeCell ref="AM2874:AM2875"/>
    <mergeCell ref="AP2874:AP2875"/>
    <mergeCell ref="AM2876:AM2877"/>
    <mergeCell ref="AP2876:AP2877"/>
    <mergeCell ref="AA2912:AA2913"/>
    <mergeCell ref="AB2912:AB2913"/>
    <mergeCell ref="AJ2904:AJ2905"/>
    <mergeCell ref="AH2884:AH2885"/>
    <mergeCell ref="AI2884:AI2885"/>
    <mergeCell ref="AK2884:AK2885"/>
    <mergeCell ref="AM2892:AM2893"/>
    <mergeCell ref="AO2892:AO2893"/>
    <mergeCell ref="AP2862:AP2863"/>
    <mergeCell ref="AM2864:AM2865"/>
    <mergeCell ref="AP2864:AP2865"/>
    <mergeCell ref="AA2878:AA2879"/>
    <mergeCell ref="AB2878:AB2879"/>
    <mergeCell ref="AC2878:AC2879"/>
    <mergeCell ref="AD2878:AD2879"/>
    <mergeCell ref="AF2878:AF2879"/>
    <mergeCell ref="AG2878:AG2879"/>
    <mergeCell ref="AH2878:AH2879"/>
    <mergeCell ref="AI2878:AI2879"/>
    <mergeCell ref="AK2878:AK2879"/>
    <mergeCell ref="AL2878:AL2879"/>
    <mergeCell ref="AM2878:AM2879"/>
    <mergeCell ref="AO2878:AO2879"/>
    <mergeCell ref="AP2878:AP2879"/>
    <mergeCell ref="AD2862:AD2863"/>
    <mergeCell ref="AF2862:AF2863"/>
    <mergeCell ref="AP2910:AP2911"/>
    <mergeCell ref="AL2914:AL2915"/>
    <mergeCell ref="AK2862:AK2863"/>
    <mergeCell ref="AL2862:AL2863"/>
    <mergeCell ref="AK2906:AK2907"/>
    <mergeCell ref="AL2906:AL2907"/>
    <mergeCell ref="AM2906:AM2907"/>
    <mergeCell ref="AP2880:AP2881"/>
    <mergeCell ref="AM2882:AM2883"/>
    <mergeCell ref="AP2882:AP2883"/>
    <mergeCell ref="AM2886:AM2887"/>
    <mergeCell ref="AP2886:AP2887"/>
    <mergeCell ref="AM2888:AM2889"/>
    <mergeCell ref="AP2888:AP2889"/>
    <mergeCell ref="AM2890:AM2891"/>
    <mergeCell ref="AP2890:AP2891"/>
    <mergeCell ref="AM2896:AM2897"/>
    <mergeCell ref="AP2896:AP2897"/>
    <mergeCell ref="AM2898:AM2899"/>
    <mergeCell ref="AM2912:AM2913"/>
    <mergeCell ref="AP2912:AP2913"/>
    <mergeCell ref="AM2914:AM2915"/>
    <mergeCell ref="AP2914:AP2915"/>
    <mergeCell ref="AC2912:AC2913"/>
    <mergeCell ref="AA2904:AA2905"/>
    <mergeCell ref="AD2910:AD2911"/>
    <mergeCell ref="AO2862:AO2863"/>
    <mergeCell ref="AL2874:AL2875"/>
    <mergeCell ref="AA2906:AA2907"/>
    <mergeCell ref="AB2906:AB2907"/>
    <mergeCell ref="AC2906:AC2907"/>
    <mergeCell ref="AD2906:AD2907"/>
    <mergeCell ref="AG2906:AG2907"/>
    <mergeCell ref="AH2906:AH2907"/>
    <mergeCell ref="AI2906:AI2907"/>
    <mergeCell ref="AJ2906:AJ2907"/>
    <mergeCell ref="AA2898:AA2899"/>
    <mergeCell ref="AB2898:AB2899"/>
    <mergeCell ref="AC2898:AC2899"/>
    <mergeCell ref="AD2898:AD2899"/>
    <mergeCell ref="AF2898:AF2899"/>
    <mergeCell ref="N2902:N2903"/>
    <mergeCell ref="Y2902:Y2903"/>
    <mergeCell ref="N2904:N2905"/>
    <mergeCell ref="Y2904:Y2905"/>
    <mergeCell ref="AI2904:AI2905"/>
    <mergeCell ref="AF2910:AF2911"/>
    <mergeCell ref="AA2908:AA2909"/>
    <mergeCell ref="AI2864:AI2865"/>
    <mergeCell ref="AF2870:AF2871"/>
    <mergeCell ref="AG2900:AG2901"/>
    <mergeCell ref="AH2900:AH2901"/>
    <mergeCell ref="AG2904:AG2905"/>
    <mergeCell ref="AC2886:AC2887"/>
    <mergeCell ref="AD2886:AD2887"/>
    <mergeCell ref="AF2886:AF2887"/>
    <mergeCell ref="AG2886:AG2887"/>
    <mergeCell ref="AH2886:AH2887"/>
    <mergeCell ref="AD2868:AD2869"/>
    <mergeCell ref="AF2868:AF2869"/>
    <mergeCell ref="AH2868:AH2869"/>
    <mergeCell ref="AI2868:AI2869"/>
    <mergeCell ref="N2890:N2891"/>
    <mergeCell ref="AC2892:AC2893"/>
    <mergeCell ref="AD2892:AD2893"/>
    <mergeCell ref="AF2892:AF2893"/>
    <mergeCell ref="AG2892:AG2893"/>
    <mergeCell ref="AH2892:AH2893"/>
    <mergeCell ref="AI2892:AI2893"/>
    <mergeCell ref="N2896:N2897"/>
    <mergeCell ref="Y2896:Y2897"/>
    <mergeCell ref="AA2896:AA2897"/>
    <mergeCell ref="AB2896:AB2897"/>
    <mergeCell ref="AC2896:AC2897"/>
    <mergeCell ref="AD2880:AD2881"/>
    <mergeCell ref="AF2880:AF2881"/>
    <mergeCell ref="AJ2882:AJ2883"/>
    <mergeCell ref="AG2876:AG2877"/>
    <mergeCell ref="AH2876:AH2877"/>
    <mergeCell ref="AI2876:AI2877"/>
    <mergeCell ref="N2886:N2887"/>
    <mergeCell ref="Y2886:Y2887"/>
    <mergeCell ref="AA2886:AA2887"/>
    <mergeCell ref="AI2882:AI2883"/>
    <mergeCell ref="N2876:N2877"/>
    <mergeCell ref="Y2876:Y2877"/>
    <mergeCell ref="AA2876:AA2877"/>
    <mergeCell ref="AI2908:AI2909"/>
    <mergeCell ref="Y2864:Y2865"/>
    <mergeCell ref="AA2872:AA2873"/>
    <mergeCell ref="AB2872:AB2873"/>
    <mergeCell ref="AC2872:AC2873"/>
    <mergeCell ref="AD2872:AD2873"/>
    <mergeCell ref="AB2870:AB2871"/>
    <mergeCell ref="AI2870:AI2871"/>
    <mergeCell ref="Y2868:Y2869"/>
    <mergeCell ref="AG2912:AG2913"/>
    <mergeCell ref="AF2904:AF2905"/>
    <mergeCell ref="AB2902:AB2903"/>
    <mergeCell ref="AC2902:AC2903"/>
    <mergeCell ref="AD2902:AD2903"/>
    <mergeCell ref="AI2926:AI2927"/>
    <mergeCell ref="AG2918:AG2919"/>
    <mergeCell ref="AH2918:AH2919"/>
    <mergeCell ref="Y2910:Y2911"/>
    <mergeCell ref="N2922:N2923"/>
    <mergeCell ref="E2926:E2927"/>
    <mergeCell ref="F2926:F2927"/>
    <mergeCell ref="J2926:J2927"/>
    <mergeCell ref="N2926:N2927"/>
    <mergeCell ref="E2910:E2911"/>
    <mergeCell ref="F2910:F2911"/>
    <mergeCell ref="E2918:E2919"/>
    <mergeCell ref="E2922:E2923"/>
    <mergeCell ref="N2910:N2911"/>
    <mergeCell ref="AB2916:AB2917"/>
    <mergeCell ref="AJ2920:AJ2921"/>
    <mergeCell ref="AJ2922:AJ2923"/>
    <mergeCell ref="AH2960:AH2961"/>
    <mergeCell ref="AJ2946:AJ2947"/>
    <mergeCell ref="AJ2948:AJ2949"/>
    <mergeCell ref="F2936:F2937"/>
    <mergeCell ref="AF2940:AF2941"/>
    <mergeCell ref="AC2926:AC2927"/>
    <mergeCell ref="AI2942:AI2943"/>
    <mergeCell ref="AD2926:AD2927"/>
    <mergeCell ref="AG2980:AG2981"/>
    <mergeCell ref="AH2980:AH2981"/>
    <mergeCell ref="AI2980:AI2981"/>
    <mergeCell ref="AC2916:AC2917"/>
    <mergeCell ref="AD2916:AD2917"/>
    <mergeCell ref="AF2916:AF2917"/>
    <mergeCell ref="AG2916:AG2917"/>
    <mergeCell ref="AI2960:AI2961"/>
    <mergeCell ref="AC2918:AC2919"/>
    <mergeCell ref="AB2978:AB2979"/>
    <mergeCell ref="AD2978:AD2979"/>
    <mergeCell ref="AF2978:AF2979"/>
    <mergeCell ref="F2922:F2923"/>
    <mergeCell ref="J2922:J2923"/>
    <mergeCell ref="AG2914:AG2915"/>
    <mergeCell ref="AH2914:AH2915"/>
    <mergeCell ref="AI2914:AI2915"/>
    <mergeCell ref="F2974:F2975"/>
    <mergeCell ref="AJ2944:AJ2945"/>
    <mergeCell ref="N2942:N2943"/>
    <mergeCell ref="AG2976:AG2977"/>
    <mergeCell ref="AH2976:AH2977"/>
    <mergeCell ref="AI2976:AI2977"/>
    <mergeCell ref="AB2934:AB2935"/>
    <mergeCell ref="AC2934:AC2935"/>
    <mergeCell ref="AD2934:AD2935"/>
    <mergeCell ref="AF2972:AF2973"/>
    <mergeCell ref="E2974:E2975"/>
    <mergeCell ref="AC2968:AC2969"/>
    <mergeCell ref="E2930:E2931"/>
    <mergeCell ref="AD2970:AD2971"/>
    <mergeCell ref="AF2960:AF2961"/>
    <mergeCell ref="AJ2974:AJ2975"/>
    <mergeCell ref="AJ2976:AJ2977"/>
    <mergeCell ref="E2964:E2965"/>
    <mergeCell ref="J2974:J2975"/>
    <mergeCell ref="AA2940:AA2941"/>
    <mergeCell ref="AC2942:AC2943"/>
    <mergeCell ref="AD2942:AD2943"/>
    <mergeCell ref="AF2942:AF2943"/>
    <mergeCell ref="AA2910:AA2911"/>
    <mergeCell ref="AB2910:AB2911"/>
    <mergeCell ref="AC2910:AC2911"/>
    <mergeCell ref="AF2922:AF2923"/>
    <mergeCell ref="AP2982:AP2983"/>
    <mergeCell ref="J2960:J2961"/>
    <mergeCell ref="N2960:N2961"/>
    <mergeCell ref="Y2960:Y2961"/>
    <mergeCell ref="AA2960:AA2961"/>
    <mergeCell ref="AO2974:AO2975"/>
    <mergeCell ref="AO2978:AO2979"/>
    <mergeCell ref="AO2922:AO2923"/>
    <mergeCell ref="N2978:N2979"/>
    <mergeCell ref="Y2978:Y2979"/>
    <mergeCell ref="AL2934:AL2935"/>
    <mergeCell ref="Y2968:Y2969"/>
    <mergeCell ref="AA2968:AA2969"/>
    <mergeCell ref="AB2968:AB2969"/>
    <mergeCell ref="Y2970:Y2971"/>
    <mergeCell ref="AI2970:AI2971"/>
    <mergeCell ref="AH2978:AH2979"/>
    <mergeCell ref="AI2978:AI2979"/>
    <mergeCell ref="AH2988:AH2989"/>
    <mergeCell ref="AI2988:AI2989"/>
    <mergeCell ref="N2970:N2971"/>
    <mergeCell ref="AK2936:AK2937"/>
    <mergeCell ref="AL2936:AL2937"/>
    <mergeCell ref="AL2922:AL2923"/>
    <mergeCell ref="AG2932:AG2933"/>
    <mergeCell ref="AH2932:AH2933"/>
    <mergeCell ref="AI2932:AI2933"/>
    <mergeCell ref="AJ2932:AJ2933"/>
    <mergeCell ref="AK2932:AK2933"/>
    <mergeCell ref="AL2932:AL2933"/>
    <mergeCell ref="AL2978:AL2979"/>
    <mergeCell ref="AO2972:AO2973"/>
    <mergeCell ref="AO2980:AO2981"/>
    <mergeCell ref="AO2964:AO2965"/>
    <mergeCell ref="AL2966:AL2967"/>
    <mergeCell ref="AK2980:AK2981"/>
    <mergeCell ref="AP2926:AP2927"/>
    <mergeCell ref="AM2928:AM2929"/>
    <mergeCell ref="AP2928:AP2929"/>
    <mergeCell ref="AM2934:AM2935"/>
    <mergeCell ref="AP2934:AP2935"/>
    <mergeCell ref="AM2936:AM2937"/>
    <mergeCell ref="AP2936:AP2937"/>
    <mergeCell ref="AM2940:AM2941"/>
    <mergeCell ref="AI2944:AI2945"/>
    <mergeCell ref="AM2948:AM2949"/>
    <mergeCell ref="AP2948:AP2949"/>
    <mergeCell ref="AO2946:AO2947"/>
    <mergeCell ref="AK2976:AK2977"/>
    <mergeCell ref="AL2970:AL2971"/>
    <mergeCell ref="AO2954:AO2955"/>
    <mergeCell ref="AO2942:AO2943"/>
    <mergeCell ref="AO2934:AO2935"/>
    <mergeCell ref="AO2966:AO2967"/>
    <mergeCell ref="AO2968:AO2969"/>
    <mergeCell ref="AO2956:AO2957"/>
    <mergeCell ref="AO2948:AO2949"/>
    <mergeCell ref="AO2926:AO2927"/>
    <mergeCell ref="AO2940:AO2941"/>
    <mergeCell ref="AO2928:AO2929"/>
    <mergeCell ref="AP2984:AP2985"/>
    <mergeCell ref="J2986:J2987"/>
    <mergeCell ref="N2986:N2987"/>
    <mergeCell ref="AP3065:AP3066"/>
    <mergeCell ref="AA3069:AA3070"/>
    <mergeCell ref="AB3069:AB3070"/>
    <mergeCell ref="AC3069:AC3070"/>
    <mergeCell ref="AD3069:AD3070"/>
    <mergeCell ref="AG3069:AG3070"/>
    <mergeCell ref="AH3069:AH3070"/>
    <mergeCell ref="AD3089:AD3090"/>
    <mergeCell ref="AF3089:AF3090"/>
    <mergeCell ref="AH3089:AH3090"/>
    <mergeCell ref="AP3081:AP3082"/>
    <mergeCell ref="AP3087:AP3088"/>
    <mergeCell ref="AP3089:AP3090"/>
    <mergeCell ref="AK3109:AK3110"/>
    <mergeCell ref="AI3111:AI3112"/>
    <mergeCell ref="AD3087:AD3088"/>
    <mergeCell ref="AF3087:AF3088"/>
    <mergeCell ref="AP3077:AP3078"/>
    <mergeCell ref="AG3077:AG3078"/>
    <mergeCell ref="AA3105:AA3106"/>
    <mergeCell ref="AM3077:AM3078"/>
    <mergeCell ref="AJ3079:AJ3080"/>
    <mergeCell ref="AK3079:AK3080"/>
    <mergeCell ref="AL3079:AL3080"/>
    <mergeCell ref="AM3079:AM3080"/>
    <mergeCell ref="AO3079:AO3080"/>
    <mergeCell ref="AP3079:AP3080"/>
    <mergeCell ref="AP2966:AP2967"/>
    <mergeCell ref="AM2968:AM2969"/>
    <mergeCell ref="AP2968:AP2969"/>
    <mergeCell ref="AM2970:AM2971"/>
    <mergeCell ref="AP2970:AP2971"/>
    <mergeCell ref="AM2972:AM2973"/>
    <mergeCell ref="AP2972:AP2973"/>
    <mergeCell ref="AM2974:AM2975"/>
    <mergeCell ref="AP2974:AP2975"/>
    <mergeCell ref="AM2976:AM2977"/>
    <mergeCell ref="AP2976:AP2977"/>
    <mergeCell ref="AM2978:AM2979"/>
    <mergeCell ref="AP2978:AP2979"/>
    <mergeCell ref="AM2980:AM2981"/>
    <mergeCell ref="AP2980:AP2981"/>
    <mergeCell ref="AM3069:AM3070"/>
    <mergeCell ref="AO3069:AO3070"/>
    <mergeCell ref="AP3069:AP3070"/>
    <mergeCell ref="AJ3063:AJ3064"/>
    <mergeCell ref="AP2990:AP2991"/>
    <mergeCell ref="AC3063:AC3064"/>
    <mergeCell ref="AL3063:AL3064"/>
    <mergeCell ref="AI2986:AI2987"/>
    <mergeCell ref="AK2986:AK2987"/>
    <mergeCell ref="AL2986:AL2987"/>
    <mergeCell ref="AM2986:AM2987"/>
    <mergeCell ref="AO2986:AO2987"/>
    <mergeCell ref="AP2986:AP2987"/>
    <mergeCell ref="E2988:E2989"/>
    <mergeCell ref="F2988:F2989"/>
    <mergeCell ref="J2988:J2989"/>
    <mergeCell ref="AC3127:AC3128"/>
    <mergeCell ref="AD3127:AD3128"/>
    <mergeCell ref="AO3121:AO3122"/>
    <mergeCell ref="AK3119:AK3120"/>
    <mergeCell ref="AL3119:AL3120"/>
    <mergeCell ref="AC3113:AC3114"/>
    <mergeCell ref="AD3113:AD3114"/>
    <mergeCell ref="AL3113:AL3114"/>
    <mergeCell ref="AI3089:AI3090"/>
    <mergeCell ref="AC3111:AC3112"/>
    <mergeCell ref="N3109:N3110"/>
    <mergeCell ref="Y3109:Y3110"/>
    <mergeCell ref="AA3109:AA3110"/>
    <mergeCell ref="AB3109:AB3110"/>
    <mergeCell ref="J3103:J3104"/>
    <mergeCell ref="N3103:N3104"/>
    <mergeCell ref="Y3103:Y3104"/>
    <mergeCell ref="AM3111:AM3112"/>
    <mergeCell ref="AO3111:AO3112"/>
    <mergeCell ref="AL3095:AL3096"/>
    <mergeCell ref="AM3095:AM3096"/>
    <mergeCell ref="J3069:J3070"/>
    <mergeCell ref="N3069:N3070"/>
    <mergeCell ref="Y3069:Y3070"/>
    <mergeCell ref="AO3089:AO3090"/>
    <mergeCell ref="AL3107:AL3108"/>
    <mergeCell ref="AI3103:AI3104"/>
    <mergeCell ref="AO3115:AO3116"/>
    <mergeCell ref="AK3018:AK3019"/>
    <mergeCell ref="AL3018:AL3019"/>
    <mergeCell ref="F3014:F3015"/>
    <mergeCell ref="J3014:J3015"/>
    <mergeCell ref="N3014:N3015"/>
    <mergeCell ref="AC3042:AC3043"/>
    <mergeCell ref="AD3042:AD3043"/>
    <mergeCell ref="AF3042:AF3043"/>
    <mergeCell ref="AG3042:AG3043"/>
    <mergeCell ref="AH3042:AH3043"/>
    <mergeCell ref="Y3117:Y3118"/>
    <mergeCell ref="AA3117:AA3118"/>
    <mergeCell ref="AI3117:AI3118"/>
    <mergeCell ref="AL3117:AL3118"/>
    <mergeCell ref="AF3117:AF3118"/>
    <mergeCell ref="AG3117:AG3118"/>
    <mergeCell ref="AH3117:AH3118"/>
    <mergeCell ref="AF3125:AF3126"/>
    <mergeCell ref="AG3125:AG3126"/>
    <mergeCell ref="AH3125:AH3126"/>
    <mergeCell ref="AK3127:AK3128"/>
    <mergeCell ref="AL3127:AL3128"/>
    <mergeCell ref="AK3121:AK3122"/>
    <mergeCell ref="AH3022:AH3023"/>
    <mergeCell ref="AI3022:AI3023"/>
    <mergeCell ref="Y3014:Y3015"/>
    <mergeCell ref="AA3014:AA3015"/>
    <mergeCell ref="AB3014:AB3015"/>
    <mergeCell ref="AC3014:AC3015"/>
    <mergeCell ref="AD3014:AD3015"/>
    <mergeCell ref="AF3014:AF3015"/>
    <mergeCell ref="AG3014:AG3015"/>
    <mergeCell ref="AJ3018:AJ3019"/>
    <mergeCell ref="AP3115:AP3116"/>
    <mergeCell ref="AO3065:AO3066"/>
    <mergeCell ref="AM3117:AM3118"/>
    <mergeCell ref="AM3119:AM3120"/>
    <mergeCell ref="AM3125:AM3126"/>
    <mergeCell ref="AA3119:AA3120"/>
    <mergeCell ref="AB3119:AB3120"/>
    <mergeCell ref="AF3127:AF3128"/>
    <mergeCell ref="AD3131:AD3132"/>
    <mergeCell ref="AF3131:AF3132"/>
    <mergeCell ref="N3111:N3112"/>
    <mergeCell ref="F3105:F3106"/>
    <mergeCell ref="AL3103:AL3104"/>
    <mergeCell ref="AO3103:AO3104"/>
    <mergeCell ref="AJ3111:AJ3112"/>
    <mergeCell ref="AK3103:AK3104"/>
    <mergeCell ref="AL3109:AL3110"/>
    <mergeCell ref="AH3105:AH3106"/>
    <mergeCell ref="AC3109:AC3110"/>
    <mergeCell ref="AD3109:AD3110"/>
    <mergeCell ref="AI3105:AI3106"/>
    <mergeCell ref="AG3103:AG3104"/>
    <mergeCell ref="AH3103:AH3104"/>
    <mergeCell ref="AG3101:AG3102"/>
    <mergeCell ref="AA3101:AA3102"/>
    <mergeCell ref="AB3101:AB3102"/>
    <mergeCell ref="AA3107:AA3108"/>
    <mergeCell ref="AB3107:AB3108"/>
    <mergeCell ref="AF3103:AF3104"/>
    <mergeCell ref="AM3097:AM3098"/>
    <mergeCell ref="AO3097:AO3098"/>
    <mergeCell ref="F3103:F3104"/>
    <mergeCell ref="AF3105:AF3106"/>
    <mergeCell ref="AB3105:AB3106"/>
    <mergeCell ref="AD3105:AD3106"/>
    <mergeCell ref="AK3101:AK3102"/>
    <mergeCell ref="AP3125:AP3126"/>
    <mergeCell ref="AP3127:AP3128"/>
    <mergeCell ref="F3109:F3110"/>
    <mergeCell ref="J3109:J3110"/>
    <mergeCell ref="J3107:J3108"/>
    <mergeCell ref="AF3109:AF3110"/>
    <mergeCell ref="Y3101:Y3102"/>
    <mergeCell ref="AM3103:AM3104"/>
    <mergeCell ref="AP3103:AP3104"/>
    <mergeCell ref="AM3105:AM3106"/>
    <mergeCell ref="AP3105:AP3106"/>
    <mergeCell ref="AM3107:AM3108"/>
    <mergeCell ref="AP3107:AP3108"/>
    <mergeCell ref="AM3109:AM3110"/>
    <mergeCell ref="AP3109:AP3110"/>
    <mergeCell ref="AG3105:AG3106"/>
    <mergeCell ref="F3107:F3108"/>
    <mergeCell ref="Y3107:Y3108"/>
    <mergeCell ref="AJ3097:AJ3098"/>
    <mergeCell ref="AK3097:AK3098"/>
    <mergeCell ref="AL3097:AL3098"/>
    <mergeCell ref="AL3087:AL3088"/>
    <mergeCell ref="AO3087:AO3088"/>
    <mergeCell ref="AD3075:AD3076"/>
    <mergeCell ref="AP3071:AP3072"/>
    <mergeCell ref="AP3073:AP3074"/>
    <mergeCell ref="F3101:F3102"/>
    <mergeCell ref="J3101:J3102"/>
    <mergeCell ref="AL2974:AL2975"/>
    <mergeCell ref="J3044:J3045"/>
    <mergeCell ref="N3044:N3045"/>
    <mergeCell ref="Y3044:Y3045"/>
    <mergeCell ref="AA3044:AA3045"/>
    <mergeCell ref="AB3044:AB3045"/>
    <mergeCell ref="AK3075:AK3076"/>
    <mergeCell ref="AK3077:AK3078"/>
    <mergeCell ref="AL3075:AL3076"/>
    <mergeCell ref="AI3109:AI3110"/>
    <mergeCell ref="AC3101:AC3102"/>
    <mergeCell ref="AD3101:AD3102"/>
    <mergeCell ref="AF3101:AF3102"/>
    <mergeCell ref="AM3036:AM3037"/>
    <mergeCell ref="AO3036:AO3037"/>
    <mergeCell ref="J3073:J3074"/>
    <mergeCell ref="N3073:N3074"/>
    <mergeCell ref="N3063:N3064"/>
    <mergeCell ref="Y3063:Y3064"/>
    <mergeCell ref="AA3063:AA3064"/>
    <mergeCell ref="AB3063:AB3064"/>
    <mergeCell ref="J3075:J3076"/>
    <mergeCell ref="AD2992:AD2993"/>
    <mergeCell ref="AF2992:AF2993"/>
    <mergeCell ref="AG2992:AG2993"/>
    <mergeCell ref="AM3127:AM3128"/>
    <mergeCell ref="AD3137:AD3138"/>
    <mergeCell ref="AO3133:AO3134"/>
    <mergeCell ref="AI3137:AI3138"/>
    <mergeCell ref="AK3137:AK3138"/>
    <mergeCell ref="AL3137:AL3138"/>
    <mergeCell ref="AO3137:AO3138"/>
    <mergeCell ref="AH3121:AH3122"/>
    <mergeCell ref="AF3113:AF3114"/>
    <mergeCell ref="Y3115:Y3116"/>
    <mergeCell ref="AA3115:AA3116"/>
    <mergeCell ref="AB3115:AB3116"/>
    <mergeCell ref="AC3115:AC3116"/>
    <mergeCell ref="AD3115:AD3116"/>
    <mergeCell ref="AF3115:AF3116"/>
    <mergeCell ref="AG3115:AG3116"/>
    <mergeCell ref="AH3115:AH3116"/>
    <mergeCell ref="AA3113:AA3114"/>
    <mergeCell ref="AA3103:AA3104"/>
    <mergeCell ref="AD3103:AD3104"/>
    <mergeCell ref="AA3131:AA3132"/>
    <mergeCell ref="AB3131:AB3132"/>
    <mergeCell ref="AC3131:AC3132"/>
    <mergeCell ref="N3127:N3128"/>
    <mergeCell ref="Y3127:Y3128"/>
    <mergeCell ref="AK3125:AK3126"/>
    <mergeCell ref="AL3125:AL3126"/>
    <mergeCell ref="J3125:J3126"/>
    <mergeCell ref="N3125:N3126"/>
    <mergeCell ref="AM3081:AM3082"/>
    <mergeCell ref="AM3087:AM3088"/>
    <mergeCell ref="AM3089:AM3090"/>
    <mergeCell ref="AF3107:AF3108"/>
    <mergeCell ref="AA3065:AA3066"/>
    <mergeCell ref="AB3065:AB3066"/>
    <mergeCell ref="AC3065:AC3066"/>
    <mergeCell ref="AD3065:AD3066"/>
    <mergeCell ref="AF3065:AF3066"/>
    <mergeCell ref="AG3022:AG3023"/>
    <mergeCell ref="AM3193:AM3194"/>
    <mergeCell ref="AO3193:AO3194"/>
    <mergeCell ref="AO3228:AO3229"/>
    <mergeCell ref="AK3117:AK3118"/>
    <mergeCell ref="AL3121:AL3122"/>
    <mergeCell ref="AM3121:AM3122"/>
    <mergeCell ref="AG3000:AG3001"/>
    <mergeCell ref="AH3000:AH3001"/>
    <mergeCell ref="AI3000:AI3001"/>
    <mergeCell ref="AJ3000:AJ3001"/>
    <mergeCell ref="AK3000:AK3001"/>
    <mergeCell ref="J3139:J3140"/>
    <mergeCell ref="N3139:N3140"/>
    <mergeCell ref="Y3139:Y3140"/>
    <mergeCell ref="AA3139:AA3140"/>
    <mergeCell ref="AB3139:AB3140"/>
    <mergeCell ref="AC3139:AC3140"/>
    <mergeCell ref="AD3139:AD3140"/>
    <mergeCell ref="AI3121:AI3122"/>
    <mergeCell ref="AJ3121:AJ3122"/>
    <mergeCell ref="AI3004:AI3005"/>
    <mergeCell ref="AJ3004:AJ3005"/>
    <mergeCell ref="AI3115:AI3116"/>
    <mergeCell ref="AJ3115:AJ3116"/>
    <mergeCell ref="AK3115:AK3116"/>
    <mergeCell ref="AL3115:AL3116"/>
    <mergeCell ref="AM3115:AM3116"/>
    <mergeCell ref="AO3117:AO3118"/>
    <mergeCell ref="AA3133:AA3134"/>
    <mergeCell ref="AB3133:AB3134"/>
    <mergeCell ref="AC3133:AC3134"/>
    <mergeCell ref="AO3125:AO3126"/>
    <mergeCell ref="AF3159:AF3160"/>
    <mergeCell ref="AG3159:AG3160"/>
    <mergeCell ref="AH3159:AH3160"/>
    <mergeCell ref="AI3159:AI3160"/>
    <mergeCell ref="AJ3159:AJ3160"/>
    <mergeCell ref="AK3159:AK3160"/>
    <mergeCell ref="AL3159:AL3160"/>
    <mergeCell ref="AM3159:AM3160"/>
    <mergeCell ref="AO3159:AO3160"/>
    <mergeCell ref="AA3197:AA3198"/>
    <mergeCell ref="Y3133:Y3134"/>
    <mergeCell ref="Y3137:Y3138"/>
    <mergeCell ref="AF3004:AF3005"/>
    <mergeCell ref="AG3004:AG3005"/>
    <mergeCell ref="AH3004:AH3005"/>
    <mergeCell ref="AC3145:AC3146"/>
    <mergeCell ref="AJ3145:AJ3146"/>
    <mergeCell ref="AD3145:AD3146"/>
    <mergeCell ref="AO3145:AO3146"/>
    <mergeCell ref="AO3127:AO3128"/>
    <mergeCell ref="AF3145:AF3146"/>
    <mergeCell ref="AG3145:AG3146"/>
    <mergeCell ref="AH3145:AH3146"/>
    <mergeCell ref="AI3145:AI3146"/>
    <mergeCell ref="AK3145:AK3146"/>
    <mergeCell ref="AL3145:AL3146"/>
    <mergeCell ref="AI3181:AI3182"/>
    <mergeCell ref="AJ3181:AJ3182"/>
    <mergeCell ref="AK3181:AK3182"/>
    <mergeCell ref="AL3181:AL3182"/>
    <mergeCell ref="AM3181:AM3182"/>
    <mergeCell ref="AO3181:AO3182"/>
    <mergeCell ref="AL2972:AL2973"/>
    <mergeCell ref="N226:N227"/>
    <mergeCell ref="AM334:AM335"/>
    <mergeCell ref="AO334:AO335"/>
    <mergeCell ref="AD328:AD329"/>
    <mergeCell ref="AM332:AM333"/>
    <mergeCell ref="AO332:AO333"/>
    <mergeCell ref="AB326:AB327"/>
    <mergeCell ref="J226:J227"/>
    <mergeCell ref="F200:F201"/>
    <mergeCell ref="J200:J201"/>
    <mergeCell ref="N200:N201"/>
    <mergeCell ref="Y200:Y201"/>
    <mergeCell ref="AB200:AB201"/>
    <mergeCell ref="AK200:AK201"/>
    <mergeCell ref="AL202:AL203"/>
    <mergeCell ref="F340:F341"/>
    <mergeCell ref="J340:J341"/>
    <mergeCell ref="N340:N341"/>
    <mergeCell ref="Y340:Y341"/>
    <mergeCell ref="AA340:AA341"/>
    <mergeCell ref="AB340:AB341"/>
    <mergeCell ref="AC340:AC341"/>
    <mergeCell ref="AD340:AD341"/>
    <mergeCell ref="AF340:AF341"/>
    <mergeCell ref="AG340:AG341"/>
    <mergeCell ref="AH340:AH341"/>
    <mergeCell ref="AI340:AI341"/>
    <mergeCell ref="AJ340:AJ341"/>
    <mergeCell ref="AK340:AK341"/>
    <mergeCell ref="AL340:AL341"/>
    <mergeCell ref="AM340:AM341"/>
    <mergeCell ref="AO340:AO341"/>
    <mergeCell ref="AI330:AI331"/>
    <mergeCell ref="AK330:AK331"/>
    <mergeCell ref="AL330:AL331"/>
    <mergeCell ref="AM330:AM331"/>
    <mergeCell ref="AO330:AO331"/>
    <mergeCell ref="AL292:AL293"/>
    <mergeCell ref="AH294:AH295"/>
    <mergeCell ref="AI294:AI295"/>
    <mergeCell ref="F336:F337"/>
    <mergeCell ref="F204:F205"/>
    <mergeCell ref="J204:J205"/>
    <mergeCell ref="AK284:AK285"/>
    <mergeCell ref="AJ288:AJ289"/>
    <mergeCell ref="AJ292:AJ293"/>
    <mergeCell ref="AJ294:AJ295"/>
    <mergeCell ref="AJ296:AJ297"/>
    <mergeCell ref="AJ304:AJ305"/>
    <mergeCell ref="F260:F261"/>
    <mergeCell ref="J212:J213"/>
    <mergeCell ref="F332:F333"/>
    <mergeCell ref="J332:J333"/>
    <mergeCell ref="N332:N333"/>
    <mergeCell ref="Y332:Y333"/>
    <mergeCell ref="AA332:AA333"/>
    <mergeCell ref="AB302:AB303"/>
    <mergeCell ref="AC302:AC303"/>
    <mergeCell ref="AD302:AD303"/>
    <mergeCell ref="AF302:AF303"/>
    <mergeCell ref="AM208:AM209"/>
    <mergeCell ref="AO204:AO205"/>
    <mergeCell ref="AI328:AI329"/>
    <mergeCell ref="AP208:AP209"/>
    <mergeCell ref="AM210:AM211"/>
    <mergeCell ref="AC208:AC209"/>
    <mergeCell ref="AD208:AD209"/>
    <mergeCell ref="AF208:AF209"/>
    <mergeCell ref="AG208:AG209"/>
    <mergeCell ref="AH208:AH209"/>
    <mergeCell ref="AI208:AI209"/>
    <mergeCell ref="AO3119:AO3120"/>
    <mergeCell ref="AJ3113:AJ3114"/>
    <mergeCell ref="AJ3117:AJ3118"/>
    <mergeCell ref="AJ3119:AJ3120"/>
    <mergeCell ref="AJ3125:AJ3126"/>
    <mergeCell ref="AJ3127:AJ3128"/>
    <mergeCell ref="AJ3131:AJ3132"/>
    <mergeCell ref="AC3121:AC3122"/>
    <mergeCell ref="AD3121:AD3122"/>
    <mergeCell ref="AF3121:AF3122"/>
    <mergeCell ref="AG3121:AG3122"/>
    <mergeCell ref="AB2970:AB2971"/>
    <mergeCell ref="AC2970:AC2971"/>
    <mergeCell ref="AI2930:AI2931"/>
    <mergeCell ref="AJ2930:AJ2931"/>
    <mergeCell ref="AK2930:AK2931"/>
    <mergeCell ref="AL2930:AL2931"/>
    <mergeCell ref="AM2930:AM2931"/>
    <mergeCell ref="AP3121:AP3122"/>
    <mergeCell ref="AK3081:AK3082"/>
    <mergeCell ref="AK3095:AK3096"/>
    <mergeCell ref="AK3089:AK3090"/>
    <mergeCell ref="AK3111:AK3112"/>
    <mergeCell ref="AL3111:AL3112"/>
    <mergeCell ref="AK212:AK213"/>
    <mergeCell ref="AL212:AL213"/>
    <mergeCell ref="AP212:AP213"/>
    <mergeCell ref="AO208:AO209"/>
    <mergeCell ref="AB371:AB372"/>
    <mergeCell ref="AC371:AC372"/>
    <mergeCell ref="AD371:AD372"/>
    <mergeCell ref="AF371:AF372"/>
    <mergeCell ref="AG371:AG372"/>
    <mergeCell ref="AH371:AH372"/>
    <mergeCell ref="AI371:AI372"/>
    <mergeCell ref="AJ371:AJ372"/>
    <mergeCell ref="AK371:AK372"/>
    <mergeCell ref="AL371:AL372"/>
    <mergeCell ref="AM371:AM372"/>
    <mergeCell ref="AO371:AO372"/>
    <mergeCell ref="AP371:AP372"/>
    <mergeCell ref="AK354:AK355"/>
    <mergeCell ref="AL354:AL355"/>
    <mergeCell ref="AM354:AM355"/>
    <mergeCell ref="AO354:AO355"/>
    <mergeCell ref="AP2988:AP2989"/>
    <mergeCell ref="AG3111:AG3112"/>
    <mergeCell ref="AH3111:AH3112"/>
    <mergeCell ref="AP220:AP221"/>
    <mergeCell ref="AP214:AP215"/>
    <mergeCell ref="AJ3089:AJ3090"/>
    <mergeCell ref="AK326:AK327"/>
    <mergeCell ref="AL326:AL327"/>
    <mergeCell ref="AM326:AM327"/>
    <mergeCell ref="AK328:AK329"/>
    <mergeCell ref="AL328:AL329"/>
    <mergeCell ref="E206:E207"/>
    <mergeCell ref="F206:F207"/>
    <mergeCell ref="AO206:AO207"/>
    <mergeCell ref="Y324:Y325"/>
    <mergeCell ref="AA324:AA325"/>
    <mergeCell ref="AB324:AB325"/>
    <mergeCell ref="AC324:AC325"/>
    <mergeCell ref="AD324:AD325"/>
    <mergeCell ref="AF324:AF325"/>
    <mergeCell ref="AG324:AG325"/>
    <mergeCell ref="AH324:AH325"/>
    <mergeCell ref="AI324:AI325"/>
    <mergeCell ref="AK324:AK325"/>
    <mergeCell ref="AL324:AL325"/>
    <mergeCell ref="AM324:AM325"/>
    <mergeCell ref="AO324:AO325"/>
    <mergeCell ref="AP280:AP281"/>
    <mergeCell ref="AM288:AM289"/>
    <mergeCell ref="AP288:AP289"/>
    <mergeCell ref="F268:F269"/>
    <mergeCell ref="AA284:AA285"/>
    <mergeCell ref="AB284:AB285"/>
    <mergeCell ref="AC284:AC285"/>
    <mergeCell ref="AD284:AD285"/>
    <mergeCell ref="AF284:AF285"/>
    <mergeCell ref="AG284:AG285"/>
    <mergeCell ref="AH284:AH285"/>
    <mergeCell ref="AI284:AI285"/>
    <mergeCell ref="AJ284:AJ285"/>
    <mergeCell ref="AC280:AC281"/>
    <mergeCell ref="AI282:AI283"/>
    <mergeCell ref="F288:F289"/>
    <mergeCell ref="J288:J289"/>
    <mergeCell ref="AC294:AC295"/>
    <mergeCell ref="AD294:AD295"/>
    <mergeCell ref="AB294:AB295"/>
    <mergeCell ref="F298:F299"/>
    <mergeCell ref="J298:J299"/>
    <mergeCell ref="N298:N299"/>
    <mergeCell ref="Y298:Y299"/>
    <mergeCell ref="AA298:AA299"/>
    <mergeCell ref="AB298:AB299"/>
    <mergeCell ref="AC298:AC299"/>
    <mergeCell ref="AD298:AD299"/>
    <mergeCell ref="AK278:AK279"/>
    <mergeCell ref="AL278:AL279"/>
    <mergeCell ref="AM278:AM279"/>
    <mergeCell ref="AO278:AO279"/>
    <mergeCell ref="AO322:AO323"/>
    <mergeCell ref="AP278:AP279"/>
    <mergeCell ref="E288:E289"/>
    <mergeCell ref="E294:E295"/>
    <mergeCell ref="F294:F295"/>
    <mergeCell ref="J294:J295"/>
    <mergeCell ref="AF294:AF295"/>
    <mergeCell ref="N294:N295"/>
    <mergeCell ref="Y294:Y295"/>
    <mergeCell ref="E296:E297"/>
    <mergeCell ref="F296:F297"/>
    <mergeCell ref="E290:E291"/>
    <mergeCell ref="AO288:AO289"/>
    <mergeCell ref="AO296:AO297"/>
    <mergeCell ref="AO294:AO295"/>
    <mergeCell ref="Y226:Y227"/>
    <mergeCell ref="AB226:AB227"/>
    <mergeCell ref="AC226:AC227"/>
    <mergeCell ref="AD226:AD227"/>
    <mergeCell ref="AF226:AF227"/>
    <mergeCell ref="AG226:AG227"/>
    <mergeCell ref="AH226:AH227"/>
    <mergeCell ref="AI226:AI227"/>
    <mergeCell ref="AJ226:AJ227"/>
    <mergeCell ref="AK226:AK227"/>
    <mergeCell ref="AL226:AL227"/>
    <mergeCell ref="AM226:AM227"/>
    <mergeCell ref="AO226:AO227"/>
    <mergeCell ref="AI280:AI281"/>
    <mergeCell ref="Y282:Y283"/>
    <mergeCell ref="AL284:AL285"/>
    <mergeCell ref="AM284:AM285"/>
    <mergeCell ref="AM304:AM305"/>
    <mergeCell ref="AK282:AK283"/>
    <mergeCell ref="AL282:AL283"/>
    <mergeCell ref="AM282:AM283"/>
    <mergeCell ref="AL294:AL295"/>
    <mergeCell ref="AL296:AL297"/>
    <mergeCell ref="AM286:AM287"/>
    <mergeCell ref="AK292:AK293"/>
    <mergeCell ref="AL280:AL281"/>
    <mergeCell ref="AM280:AM281"/>
    <mergeCell ref="AJ290:AJ291"/>
    <mergeCell ref="AK290:AK291"/>
    <mergeCell ref="AL290:AL291"/>
    <mergeCell ref="AM290:AM291"/>
    <mergeCell ref="AJ310:AJ311"/>
    <mergeCell ref="AF298:AF299"/>
    <mergeCell ref="AG298:AG299"/>
    <mergeCell ref="AH298:AH299"/>
    <mergeCell ref="AI298:AI299"/>
    <mergeCell ref="AF268:AF269"/>
    <mergeCell ref="Y278:Y279"/>
    <mergeCell ref="AA278:AA279"/>
    <mergeCell ref="AB278:AB279"/>
    <mergeCell ref="AC278:AC279"/>
    <mergeCell ref="AD278:AD279"/>
    <mergeCell ref="AF278:AF279"/>
    <mergeCell ref="AG278:AG279"/>
    <mergeCell ref="AH278:AH279"/>
    <mergeCell ref="AI278:AI279"/>
    <mergeCell ref="AJ280:AJ281"/>
    <mergeCell ref="AJ282:AJ283"/>
    <mergeCell ref="AO284:AO285"/>
    <mergeCell ref="AM276:AM277"/>
    <mergeCell ref="AL248:AL249"/>
    <mergeCell ref="AM244:AM245"/>
    <mergeCell ref="AM246:AM247"/>
    <mergeCell ref="AM248:AM249"/>
    <mergeCell ref="AO248:AO249"/>
    <mergeCell ref="AO250:AO251"/>
    <mergeCell ref="AJ306:AJ307"/>
    <mergeCell ref="AK306:AK307"/>
    <mergeCell ref="AL306:AL307"/>
    <mergeCell ref="AM306:AM307"/>
    <mergeCell ref="AO306:AO307"/>
    <mergeCell ref="AB238:AB239"/>
    <mergeCell ref="AF312:AF313"/>
    <mergeCell ref="AL348:AL349"/>
    <mergeCell ref="E198:E199"/>
    <mergeCell ref="F198:F199"/>
    <mergeCell ref="J198:J199"/>
    <mergeCell ref="AL194:AL195"/>
    <mergeCell ref="AO194:AO195"/>
    <mergeCell ref="AO200:AO201"/>
    <mergeCell ref="E196:E197"/>
    <mergeCell ref="AO346:AO347"/>
    <mergeCell ref="AP346:AP347"/>
    <mergeCell ref="E346:E347"/>
    <mergeCell ref="F346:F347"/>
    <mergeCell ref="J346:J347"/>
    <mergeCell ref="N346:N347"/>
    <mergeCell ref="E352:E353"/>
    <mergeCell ref="F352:F353"/>
    <mergeCell ref="J352:J353"/>
    <mergeCell ref="N352:N353"/>
    <mergeCell ref="Y352:Y353"/>
    <mergeCell ref="AA352:AA353"/>
    <mergeCell ref="AB352:AB353"/>
    <mergeCell ref="AC352:AC353"/>
    <mergeCell ref="AD352:AD353"/>
    <mergeCell ref="AF352:AF353"/>
    <mergeCell ref="AG352:AG353"/>
    <mergeCell ref="AH352:AH353"/>
    <mergeCell ref="AI352:AI353"/>
    <mergeCell ref="AJ352:AJ353"/>
    <mergeCell ref="AK352:AK353"/>
    <mergeCell ref="AL352:AL353"/>
    <mergeCell ref="AM352:AM353"/>
    <mergeCell ref="AO352:AO353"/>
    <mergeCell ref="AP352:AP353"/>
    <mergeCell ref="E348:E349"/>
    <mergeCell ref="F348:F349"/>
    <mergeCell ref="J348:J349"/>
    <mergeCell ref="N348:N349"/>
    <mergeCell ref="Y348:Y349"/>
    <mergeCell ref="E212:E213"/>
    <mergeCell ref="F212:F213"/>
    <mergeCell ref="AI350:AI351"/>
    <mergeCell ref="E350:E351"/>
    <mergeCell ref="F350:F351"/>
    <mergeCell ref="J350:J351"/>
    <mergeCell ref="AF350:AF351"/>
    <mergeCell ref="AG350:AG351"/>
    <mergeCell ref="E208:E209"/>
    <mergeCell ref="F208:F209"/>
    <mergeCell ref="J208:J209"/>
    <mergeCell ref="N208:N209"/>
    <mergeCell ref="Y208:Y209"/>
    <mergeCell ref="AA208:AA209"/>
    <mergeCell ref="AB208:AB209"/>
    <mergeCell ref="E336:E337"/>
    <mergeCell ref="J336:J337"/>
    <mergeCell ref="N336:N337"/>
    <mergeCell ref="AK302:AK303"/>
    <mergeCell ref="AL302:AL303"/>
    <mergeCell ref="AM302:AM303"/>
    <mergeCell ref="AO302:AO303"/>
    <mergeCell ref="AP302:AP303"/>
    <mergeCell ref="AA226:AA227"/>
    <mergeCell ref="E278:E279"/>
    <mergeCell ref="F278:F279"/>
    <mergeCell ref="AP448:AP449"/>
    <mergeCell ref="AM450:AM451"/>
    <mergeCell ref="E460:E461"/>
    <mergeCell ref="AO462:AO463"/>
    <mergeCell ref="AO468:AO469"/>
    <mergeCell ref="AL470:AL471"/>
    <mergeCell ref="AL468:AL469"/>
    <mergeCell ref="AK472:AK473"/>
    <mergeCell ref="AP458:AP459"/>
    <mergeCell ref="AM460:AM461"/>
    <mergeCell ref="AP460:AP461"/>
    <mergeCell ref="AJ490:AJ491"/>
    <mergeCell ref="AJ492:AJ493"/>
    <mergeCell ref="AJ494:AJ495"/>
    <mergeCell ref="AM462:AM463"/>
    <mergeCell ref="AM494:AM495"/>
    <mergeCell ref="AO494:AO495"/>
    <mergeCell ref="AP494:AP495"/>
    <mergeCell ref="AK482:AK483"/>
    <mergeCell ref="AL482:AL483"/>
    <mergeCell ref="AM482:AM483"/>
    <mergeCell ref="AO482:AO483"/>
    <mergeCell ref="AP482:AP483"/>
    <mergeCell ref="AM488:AM489"/>
    <mergeCell ref="AO488:AO489"/>
    <mergeCell ref="AM490:AM491"/>
    <mergeCell ref="AO490:AO491"/>
    <mergeCell ref="AP490:AP491"/>
    <mergeCell ref="AK395:AK396"/>
    <mergeCell ref="AL395:AL396"/>
    <mergeCell ref="AM395:AM396"/>
    <mergeCell ref="AO395:AO396"/>
    <mergeCell ref="AP395:AP396"/>
    <mergeCell ref="AM492:AM493"/>
    <mergeCell ref="AO492:AO493"/>
    <mergeCell ref="AP484:AP485"/>
    <mergeCell ref="AP486:AP487"/>
    <mergeCell ref="AP492:AP493"/>
    <mergeCell ref="AP488:AP489"/>
    <mergeCell ref="AK492:AK493"/>
    <mergeCell ref="AL486:AL487"/>
    <mergeCell ref="AL494:AL495"/>
    <mergeCell ref="AK494:AK495"/>
    <mergeCell ref="AL490:AL491"/>
    <mergeCell ref="E395:E396"/>
    <mergeCell ref="F395:F396"/>
    <mergeCell ref="J395:J396"/>
    <mergeCell ref="N395:N396"/>
    <mergeCell ref="Y395:Y396"/>
    <mergeCell ref="AA395:AA396"/>
    <mergeCell ref="AB395:AB396"/>
    <mergeCell ref="AC395:AC396"/>
    <mergeCell ref="AD395:AD396"/>
    <mergeCell ref="AM470:AM471"/>
    <mergeCell ref="AP462:AP463"/>
    <mergeCell ref="AM464:AM465"/>
    <mergeCell ref="AP464:AP465"/>
    <mergeCell ref="AM466:AM467"/>
    <mergeCell ref="AP466:AP467"/>
    <mergeCell ref="AM468:AM469"/>
    <mergeCell ref="AP360:AP361"/>
    <mergeCell ref="AO318:AO319"/>
    <mergeCell ref="AP595:AP596"/>
    <mergeCell ref="AL567:AL568"/>
    <mergeCell ref="AJ591:AJ592"/>
    <mergeCell ref="AP559:AP560"/>
    <mergeCell ref="AP561:AP562"/>
    <mergeCell ref="AP563:AP564"/>
    <mergeCell ref="AP565:AP566"/>
    <mergeCell ref="AP567:AP568"/>
    <mergeCell ref="AM569:AM570"/>
    <mergeCell ref="AP569:AP570"/>
    <mergeCell ref="AM571:AM572"/>
    <mergeCell ref="AP571:AP572"/>
    <mergeCell ref="AM573:AM574"/>
    <mergeCell ref="AP573:AP574"/>
    <mergeCell ref="AM575:AM576"/>
    <mergeCell ref="AJ585:AJ586"/>
    <mergeCell ref="AJ587:AJ588"/>
    <mergeCell ref="AJ589:AJ590"/>
    <mergeCell ref="AP575:AP576"/>
    <mergeCell ref="AP581:AP582"/>
    <mergeCell ref="AD789:AD790"/>
    <mergeCell ref="AK781:AK782"/>
    <mergeCell ref="F619:F620"/>
    <mergeCell ref="J619:J620"/>
    <mergeCell ref="N619:N620"/>
    <mergeCell ref="Y619:Y620"/>
    <mergeCell ref="AA619:AA620"/>
    <mergeCell ref="AB619:AB620"/>
    <mergeCell ref="AB613:AB614"/>
    <mergeCell ref="AP613:AP614"/>
    <mergeCell ref="AK611:AK612"/>
    <mergeCell ref="AK615:AK616"/>
    <mergeCell ref="AL615:AL616"/>
    <mergeCell ref="AM615:AM616"/>
    <mergeCell ref="AO615:AO616"/>
    <mergeCell ref="AP615:AP616"/>
    <mergeCell ref="AO589:AO590"/>
    <mergeCell ref="AP607:AP608"/>
    <mergeCell ref="AH589:AH590"/>
    <mergeCell ref="AI589:AI590"/>
    <mergeCell ref="AK589:AK590"/>
    <mergeCell ref="AD589:AD590"/>
    <mergeCell ref="AK597:AK598"/>
    <mergeCell ref="AB611:AB612"/>
    <mergeCell ref="AI609:AI610"/>
    <mergeCell ref="AK609:AK610"/>
    <mergeCell ref="AL609:AL610"/>
    <mergeCell ref="AM609:AM610"/>
    <mergeCell ref="AD611:AD612"/>
    <mergeCell ref="AF611:AF612"/>
    <mergeCell ref="AP611:AP612"/>
    <mergeCell ref="AL619:AL620"/>
    <mergeCell ref="AI619:AI620"/>
    <mergeCell ref="AJ619:AJ620"/>
    <mergeCell ref="AH613:AH614"/>
    <mergeCell ref="AP591:AP592"/>
    <mergeCell ref="AM593:AM594"/>
    <mergeCell ref="AP593:AP594"/>
    <mergeCell ref="AO591:AO592"/>
    <mergeCell ref="AI595:AI596"/>
    <mergeCell ref="AM595:AM596"/>
    <mergeCell ref="AM605:AM606"/>
    <mergeCell ref="AO597:AO598"/>
    <mergeCell ref="AJ599:AJ600"/>
    <mergeCell ref="AO605:AO606"/>
    <mergeCell ref="AL611:AL612"/>
    <mergeCell ref="AL597:AL598"/>
    <mergeCell ref="AL613:AL614"/>
    <mergeCell ref="AL599:AL600"/>
    <mergeCell ref="AM599:AM600"/>
    <mergeCell ref="AO599:AO600"/>
    <mergeCell ref="AP599:AP600"/>
    <mergeCell ref="AO609:AO610"/>
    <mergeCell ref="AO611:AO612"/>
    <mergeCell ref="AP617:AP618"/>
    <mergeCell ref="AM611:AM612"/>
    <mergeCell ref="AO619:AO620"/>
    <mergeCell ref="AP619:AP620"/>
    <mergeCell ref="J613:J614"/>
    <mergeCell ref="AI599:AI600"/>
    <mergeCell ref="AK599:AK600"/>
    <mergeCell ref="AO613:AO614"/>
    <mergeCell ref="AI601:AI602"/>
    <mergeCell ref="F591:F592"/>
    <mergeCell ref="AP678:AP679"/>
    <mergeCell ref="E672:E673"/>
    <mergeCell ref="F672:F673"/>
    <mergeCell ref="J672:J673"/>
    <mergeCell ref="N672:N673"/>
    <mergeCell ref="Y672:Y673"/>
    <mergeCell ref="AA672:AA673"/>
    <mergeCell ref="AB672:AB673"/>
    <mergeCell ref="AC672:AC673"/>
    <mergeCell ref="AD672:AD673"/>
    <mergeCell ref="AF672:AF673"/>
    <mergeCell ref="AG672:AG673"/>
    <mergeCell ref="AH672:AH673"/>
    <mergeCell ref="AI672:AI673"/>
    <mergeCell ref="AJ672:AJ673"/>
    <mergeCell ref="AK672:AK673"/>
    <mergeCell ref="AL672:AL673"/>
    <mergeCell ref="AM668:AM669"/>
    <mergeCell ref="AH625:AH626"/>
    <mergeCell ref="AI625:AI626"/>
    <mergeCell ref="AJ625:AJ626"/>
    <mergeCell ref="AK625:AK626"/>
    <mergeCell ref="AL625:AL626"/>
    <mergeCell ref="AJ623:AJ624"/>
    <mergeCell ref="AK623:AK624"/>
    <mergeCell ref="AL623:AL624"/>
    <mergeCell ref="AM623:AM624"/>
    <mergeCell ref="AO623:AO624"/>
    <mergeCell ref="AP623:AP624"/>
    <mergeCell ref="AI623:AI624"/>
    <mergeCell ref="AP625:AP626"/>
    <mergeCell ref="AM676:AM677"/>
    <mergeCell ref="AO676:AO677"/>
    <mergeCell ref="AO639:AO640"/>
    <mergeCell ref="AK662:AK663"/>
    <mergeCell ref="AF674:AF675"/>
    <mergeCell ref="AG674:AG675"/>
    <mergeCell ref="AH674:AH675"/>
    <mergeCell ref="AI674:AI675"/>
    <mergeCell ref="AJ674:AJ675"/>
    <mergeCell ref="AL664:AL665"/>
    <mergeCell ref="AM664:AM665"/>
    <mergeCell ref="AO664:AO665"/>
    <mergeCell ref="E666:E667"/>
    <mergeCell ref="AL777:AL778"/>
    <mergeCell ref="AM777:AM778"/>
    <mergeCell ref="AM791:AM792"/>
    <mergeCell ref="E793:E794"/>
    <mergeCell ref="F793:F794"/>
    <mergeCell ref="AD793:AD794"/>
    <mergeCell ref="AF793:AF794"/>
    <mergeCell ref="AG793:AG794"/>
    <mergeCell ref="AK793:AK794"/>
    <mergeCell ref="AH781:AH782"/>
    <mergeCell ref="AI781:AI782"/>
    <mergeCell ref="AL781:AL782"/>
    <mergeCell ref="E777:E778"/>
    <mergeCell ref="F777:F778"/>
    <mergeCell ref="AD763:AD764"/>
    <mergeCell ref="AI749:AI750"/>
    <mergeCell ref="AK749:AK750"/>
    <mergeCell ref="E735:E736"/>
    <mergeCell ref="F735:F736"/>
    <mergeCell ref="J735:J736"/>
    <mergeCell ref="N735:N736"/>
    <mergeCell ref="Y735:Y736"/>
    <mergeCell ref="AA735:AA736"/>
    <mergeCell ref="AB735:AB736"/>
    <mergeCell ref="AC735:AC736"/>
    <mergeCell ref="AD735:AD736"/>
    <mergeCell ref="AF735:AF736"/>
    <mergeCell ref="AG735:AG736"/>
    <mergeCell ref="AL793:AL794"/>
    <mergeCell ref="AM793:AM794"/>
    <mergeCell ref="AG791:AG792"/>
    <mergeCell ref="N791:N792"/>
    <mergeCell ref="AC789:AC790"/>
    <mergeCell ref="N789:N790"/>
    <mergeCell ref="Y789:Y790"/>
    <mergeCell ref="AG789:AG790"/>
    <mergeCell ref="AH789:AH790"/>
    <mergeCell ref="AI789:AI790"/>
    <mergeCell ref="AA789:AA790"/>
    <mergeCell ref="AB789:AB790"/>
    <mergeCell ref="F739:F740"/>
    <mergeCell ref="AH741:AH742"/>
    <mergeCell ref="AI741:AI742"/>
    <mergeCell ref="AH737:AH738"/>
    <mergeCell ref="E745:E746"/>
    <mergeCell ref="AM789:AM790"/>
    <mergeCell ref="AA751:AA752"/>
    <mergeCell ref="N757:N758"/>
    <mergeCell ref="Y757:Y758"/>
    <mergeCell ref="AA757:AA758"/>
    <mergeCell ref="E751:E752"/>
    <mergeCell ref="AL759:AL760"/>
    <mergeCell ref="AM759:AM760"/>
    <mergeCell ref="N755:N756"/>
    <mergeCell ref="Y755:Y756"/>
    <mergeCell ref="AA743:AA744"/>
    <mergeCell ref="AK739:AK740"/>
    <mergeCell ref="AH747:AH748"/>
    <mergeCell ref="AJ747:AJ748"/>
    <mergeCell ref="AJ749:AJ750"/>
    <mergeCell ref="AJ751:AJ752"/>
    <mergeCell ref="AJ755:AJ756"/>
    <mergeCell ref="AF749:AF750"/>
    <mergeCell ref="Y749:Y750"/>
    <mergeCell ref="E684:E685"/>
    <mergeCell ref="F684:F685"/>
    <mergeCell ref="J684:J685"/>
    <mergeCell ref="E678:E679"/>
    <mergeCell ref="F678:F679"/>
    <mergeCell ref="AP819:AP820"/>
    <mergeCell ref="N803:N804"/>
    <mergeCell ref="Y803:Y804"/>
    <mergeCell ref="AM811:AM812"/>
    <mergeCell ref="AM813:AM814"/>
    <mergeCell ref="N817:N818"/>
    <mergeCell ref="Y817:Y818"/>
    <mergeCell ref="AA817:AA818"/>
    <mergeCell ref="AP811:AP812"/>
    <mergeCell ref="AP813:AP814"/>
    <mergeCell ref="AP815:AP816"/>
    <mergeCell ref="AP789:AP790"/>
    <mergeCell ref="AM781:AM782"/>
    <mergeCell ref="AP781:AP782"/>
    <mergeCell ref="N813:N814"/>
    <mergeCell ref="Y813:Y814"/>
    <mergeCell ref="AJ805:AJ806"/>
    <mergeCell ref="AJ807:AJ808"/>
    <mergeCell ref="AJ809:AJ810"/>
    <mergeCell ref="AJ811:AJ812"/>
    <mergeCell ref="AJ813:AJ814"/>
    <mergeCell ref="AJ815:AJ816"/>
    <mergeCell ref="AJ817:AJ818"/>
    <mergeCell ref="AK817:AK818"/>
    <mergeCell ref="AI811:AI812"/>
    <mergeCell ref="N807:N808"/>
    <mergeCell ref="N811:N812"/>
    <mergeCell ref="AL801:AL802"/>
    <mergeCell ref="AM801:AM802"/>
    <mergeCell ref="AO801:AO802"/>
    <mergeCell ref="AP801:AP802"/>
    <mergeCell ref="AO811:AO812"/>
    <mergeCell ref="AP817:AP818"/>
    <mergeCell ref="AB803:AB804"/>
    <mergeCell ref="AC803:AC804"/>
    <mergeCell ref="AD803:AD804"/>
    <mergeCell ref="AF803:AF804"/>
    <mergeCell ref="F751:F752"/>
    <mergeCell ref="J751:J752"/>
    <mergeCell ref="AI755:AI756"/>
    <mergeCell ref="E680:E681"/>
    <mergeCell ref="F680:F681"/>
    <mergeCell ref="J680:J681"/>
    <mergeCell ref="N680:N681"/>
    <mergeCell ref="Y680:Y681"/>
    <mergeCell ref="AA680:AA681"/>
    <mergeCell ref="AB680:AB681"/>
    <mergeCell ref="AC680:AC681"/>
    <mergeCell ref="AD680:AD681"/>
    <mergeCell ref="AF680:AF681"/>
    <mergeCell ref="AG680:AG681"/>
    <mergeCell ref="AH680:AH681"/>
    <mergeCell ref="AI680:AI681"/>
    <mergeCell ref="AJ680:AJ681"/>
    <mergeCell ref="AK680:AK681"/>
    <mergeCell ref="AL680:AL681"/>
    <mergeCell ref="AM680:AM681"/>
    <mergeCell ref="AO680:AO681"/>
    <mergeCell ref="F741:F742"/>
    <mergeCell ref="E835:E836"/>
    <mergeCell ref="F835:F836"/>
    <mergeCell ref="J835:J836"/>
    <mergeCell ref="AM837:AM838"/>
    <mergeCell ref="AA819:AA820"/>
    <mergeCell ref="AB819:AB820"/>
    <mergeCell ref="AC819:AC820"/>
    <mergeCell ref="AD819:AD820"/>
    <mergeCell ref="AF819:AF820"/>
    <mergeCell ref="AG819:AG820"/>
    <mergeCell ref="AH819:AH820"/>
    <mergeCell ref="AI819:AI820"/>
    <mergeCell ref="AJ819:AJ820"/>
    <mergeCell ref="AK819:AK820"/>
    <mergeCell ref="AL819:AL820"/>
    <mergeCell ref="AM819:AM820"/>
    <mergeCell ref="AD821:AD822"/>
    <mergeCell ref="E831:E832"/>
    <mergeCell ref="F831:F832"/>
    <mergeCell ref="E817:E818"/>
    <mergeCell ref="E815:E816"/>
    <mergeCell ref="F815:F816"/>
    <mergeCell ref="E795:E796"/>
    <mergeCell ref="F795:F796"/>
    <mergeCell ref="AO837:AO838"/>
    <mergeCell ref="AP837:AP838"/>
    <mergeCell ref="N835:N836"/>
    <mergeCell ref="Y835:Y836"/>
    <mergeCell ref="AA835:AA836"/>
    <mergeCell ref="AB835:AB836"/>
    <mergeCell ref="AC835:AC836"/>
    <mergeCell ref="AD835:AD836"/>
    <mergeCell ref="AF835:AF836"/>
    <mergeCell ref="AC801:AC802"/>
    <mergeCell ref="AD801:AD802"/>
    <mergeCell ref="AF801:AF802"/>
    <mergeCell ref="AG801:AG802"/>
    <mergeCell ref="AH801:AH802"/>
    <mergeCell ref="AI801:AI802"/>
    <mergeCell ref="AA811:AA812"/>
    <mergeCell ref="AB811:AB812"/>
    <mergeCell ref="AH811:AH812"/>
    <mergeCell ref="AK811:AK812"/>
    <mergeCell ref="AL799:AL800"/>
    <mergeCell ref="AM799:AM800"/>
    <mergeCell ref="AO799:AO800"/>
    <mergeCell ref="AI807:AI808"/>
    <mergeCell ref="AK805:AK806"/>
    <mergeCell ref="AL805:AL806"/>
    <mergeCell ref="AM803:AM804"/>
    <mergeCell ref="AA815:AA816"/>
    <mergeCell ref="AI825:AI826"/>
    <mergeCell ref="Y823:Y824"/>
    <mergeCell ref="N821:N822"/>
    <mergeCell ref="Y821:Y822"/>
    <mergeCell ref="AA821:AA822"/>
    <mergeCell ref="E819:E820"/>
    <mergeCell ref="AG803:AG804"/>
    <mergeCell ref="Y807:Y808"/>
    <mergeCell ref="AO817:AO818"/>
    <mergeCell ref="AO813:AO814"/>
    <mergeCell ref="AB809:AB810"/>
    <mergeCell ref="AO819:AO820"/>
    <mergeCell ref="AL835:AL836"/>
    <mergeCell ref="E890:E891"/>
    <mergeCell ref="F890:F891"/>
    <mergeCell ref="E892:E893"/>
    <mergeCell ref="F892:F893"/>
    <mergeCell ref="AI853:AI854"/>
    <mergeCell ref="AJ853:AJ854"/>
    <mergeCell ref="AK853:AK854"/>
    <mergeCell ref="AL853:AL854"/>
    <mergeCell ref="E861:E862"/>
    <mergeCell ref="F861:F862"/>
    <mergeCell ref="J861:J862"/>
    <mergeCell ref="N861:N862"/>
    <mergeCell ref="Y861:Y862"/>
    <mergeCell ref="AA861:AA862"/>
    <mergeCell ref="AB861:AB862"/>
    <mergeCell ref="AC861:AC862"/>
    <mergeCell ref="AD861:AD862"/>
    <mergeCell ref="AF861:AF862"/>
    <mergeCell ref="AG861:AG862"/>
    <mergeCell ref="AH861:AH862"/>
    <mergeCell ref="AI861:AI862"/>
    <mergeCell ref="AJ861:AJ862"/>
    <mergeCell ref="AK861:AK862"/>
    <mergeCell ref="AL861:AL862"/>
    <mergeCell ref="AF859:AF860"/>
    <mergeCell ref="AG859:AG860"/>
    <mergeCell ref="AH859:AH860"/>
    <mergeCell ref="AI859:AI860"/>
    <mergeCell ref="AJ859:AJ860"/>
    <mergeCell ref="AK859:AK860"/>
    <mergeCell ref="AL859:AL860"/>
    <mergeCell ref="E855:E856"/>
    <mergeCell ref="F855:F856"/>
    <mergeCell ref="J855:J856"/>
    <mergeCell ref="N855:N856"/>
    <mergeCell ref="Y855:Y856"/>
    <mergeCell ref="F865:F866"/>
    <mergeCell ref="E863:E864"/>
    <mergeCell ref="F863:F864"/>
    <mergeCell ref="J863:J864"/>
    <mergeCell ref="N863:N864"/>
    <mergeCell ref="Y863:Y864"/>
    <mergeCell ref="N873:N874"/>
    <mergeCell ref="Y873:Y874"/>
    <mergeCell ref="AB863:AB864"/>
    <mergeCell ref="AC863:AC864"/>
    <mergeCell ref="AD863:AD864"/>
    <mergeCell ref="AF863:AF864"/>
    <mergeCell ref="AG863:AG864"/>
    <mergeCell ref="AH863:AH864"/>
    <mergeCell ref="AI863:AI864"/>
    <mergeCell ref="AJ863:AJ864"/>
    <mergeCell ref="AK863:AK864"/>
    <mergeCell ref="AL863:AL864"/>
    <mergeCell ref="Y857:Y858"/>
    <mergeCell ref="E865:E866"/>
    <mergeCell ref="E871:E872"/>
    <mergeCell ref="F871:F872"/>
    <mergeCell ref="J875:J876"/>
    <mergeCell ref="N875:N876"/>
    <mergeCell ref="Y875:Y876"/>
    <mergeCell ref="AA875:AA876"/>
    <mergeCell ref="AB875:AB876"/>
    <mergeCell ref="AC875:AC876"/>
    <mergeCell ref="AP908:AP909"/>
    <mergeCell ref="AO898:AO899"/>
    <mergeCell ref="AP898:AP899"/>
    <mergeCell ref="AD894:AD895"/>
    <mergeCell ref="AK894:AK895"/>
    <mergeCell ref="AL894:AL895"/>
    <mergeCell ref="AM894:AM895"/>
    <mergeCell ref="AO894:AO895"/>
    <mergeCell ref="AP894:AP895"/>
    <mergeCell ref="AO896:AO897"/>
    <mergeCell ref="AP896:AP897"/>
    <mergeCell ref="Y902:Y903"/>
    <mergeCell ref="AA902:AA903"/>
    <mergeCell ref="AB902:AB903"/>
    <mergeCell ref="AC902:AC903"/>
    <mergeCell ref="AD902:AD903"/>
    <mergeCell ref="AK902:AK903"/>
    <mergeCell ref="AL902:AL903"/>
    <mergeCell ref="AM902:AM903"/>
    <mergeCell ref="AO902:AO903"/>
    <mergeCell ref="AP902:AP903"/>
    <mergeCell ref="E904:E905"/>
    <mergeCell ref="F904:F905"/>
    <mergeCell ref="J904:J905"/>
    <mergeCell ref="N904:N905"/>
    <mergeCell ref="Y904:Y905"/>
    <mergeCell ref="AA904:AA905"/>
    <mergeCell ref="AB904:AB905"/>
    <mergeCell ref="AC904:AC905"/>
    <mergeCell ref="AD904:AD905"/>
    <mergeCell ref="AF904:AF905"/>
    <mergeCell ref="AG904:AG905"/>
    <mergeCell ref="AH904:AH905"/>
    <mergeCell ref="J900:J901"/>
    <mergeCell ref="AF900:AF901"/>
    <mergeCell ref="AG900:AG901"/>
    <mergeCell ref="AH900:AH901"/>
    <mergeCell ref="AI900:AI901"/>
    <mergeCell ref="AP906:AP907"/>
    <mergeCell ref="AC900:AC901"/>
    <mergeCell ref="AD900:AD901"/>
    <mergeCell ref="AK900:AK901"/>
    <mergeCell ref="AL900:AL901"/>
    <mergeCell ref="AM900:AM901"/>
    <mergeCell ref="AO900:AO901"/>
    <mergeCell ref="AP900:AP901"/>
    <mergeCell ref="AH894:AH895"/>
    <mergeCell ref="AI894:AI895"/>
    <mergeCell ref="AJ894:AJ895"/>
    <mergeCell ref="E896:E897"/>
    <mergeCell ref="F896:F897"/>
    <mergeCell ref="J896:J897"/>
    <mergeCell ref="J906:J907"/>
    <mergeCell ref="N906:N907"/>
    <mergeCell ref="Y906:Y907"/>
    <mergeCell ref="AA906:AA907"/>
    <mergeCell ref="AB906:AB907"/>
    <mergeCell ref="AC906:AC907"/>
    <mergeCell ref="AD906:AD907"/>
    <mergeCell ref="AF906:AF907"/>
    <mergeCell ref="AG906:AG907"/>
    <mergeCell ref="J902:J903"/>
    <mergeCell ref="AF902:AF903"/>
    <mergeCell ref="AG902:AG903"/>
    <mergeCell ref="AC1052:AC1053"/>
    <mergeCell ref="AD1052:AD1053"/>
    <mergeCell ref="AP912:AP913"/>
    <mergeCell ref="N983:N984"/>
    <mergeCell ref="Y983:Y984"/>
    <mergeCell ref="AA983:AA984"/>
    <mergeCell ref="AB983:AB984"/>
    <mergeCell ref="AC983:AC984"/>
    <mergeCell ref="AD983:AD984"/>
    <mergeCell ref="AF983:AF984"/>
    <mergeCell ref="AG983:AG984"/>
    <mergeCell ref="AH983:AH984"/>
    <mergeCell ref="AI983:AI984"/>
    <mergeCell ref="AJ983:AJ984"/>
    <mergeCell ref="AK983:AK984"/>
    <mergeCell ref="AG975:AG976"/>
    <mergeCell ref="AH975:AH976"/>
    <mergeCell ref="AI975:AI976"/>
    <mergeCell ref="AJ975:AJ976"/>
    <mergeCell ref="AK975:AK976"/>
    <mergeCell ref="N979:N980"/>
    <mergeCell ref="Y979:Y980"/>
    <mergeCell ref="AJ953:AJ954"/>
    <mergeCell ref="AO959:AO960"/>
    <mergeCell ref="AP959:AP960"/>
    <mergeCell ref="AH924:AH925"/>
    <mergeCell ref="AI924:AI925"/>
    <mergeCell ref="AJ924:AJ925"/>
    <mergeCell ref="AK924:AK925"/>
    <mergeCell ref="AL924:AL925"/>
    <mergeCell ref="AM924:AM925"/>
    <mergeCell ref="AM941:AM942"/>
    <mergeCell ref="AO941:AO942"/>
    <mergeCell ref="AP941:AP942"/>
    <mergeCell ref="AA967:AA968"/>
    <mergeCell ref="AB967:AB968"/>
    <mergeCell ref="AC967:AC968"/>
    <mergeCell ref="AD967:AD968"/>
    <mergeCell ref="AO967:AO968"/>
    <mergeCell ref="AP967:AP968"/>
    <mergeCell ref="AO979:AO980"/>
    <mergeCell ref="AP979:AP980"/>
    <mergeCell ref="N981:N982"/>
    <mergeCell ref="Y981:Y982"/>
    <mergeCell ref="AA981:AA982"/>
    <mergeCell ref="AB981:AB982"/>
    <mergeCell ref="AC981:AC982"/>
    <mergeCell ref="AD981:AD982"/>
    <mergeCell ref="AF981:AF982"/>
    <mergeCell ref="AG981:AG982"/>
    <mergeCell ref="AH981:AH982"/>
    <mergeCell ref="AI981:AI982"/>
    <mergeCell ref="AJ981:AJ982"/>
    <mergeCell ref="N947:N948"/>
    <mergeCell ref="Y947:Y948"/>
    <mergeCell ref="AA947:AA948"/>
    <mergeCell ref="AB947:AB948"/>
    <mergeCell ref="AC947:AC948"/>
    <mergeCell ref="AD947:AD948"/>
    <mergeCell ref="AF947:AF948"/>
    <mergeCell ref="AG947:AG948"/>
    <mergeCell ref="AK916:AK917"/>
    <mergeCell ref="AL916:AL917"/>
    <mergeCell ref="AK981:AK982"/>
    <mergeCell ref="E1050:E1051"/>
    <mergeCell ref="F1050:F1051"/>
    <mergeCell ref="J1050:J1051"/>
    <mergeCell ref="N1050:N1051"/>
    <mergeCell ref="F1064:F1065"/>
    <mergeCell ref="J1064:J1065"/>
    <mergeCell ref="N1064:N1065"/>
    <mergeCell ref="Y1064:Y1065"/>
    <mergeCell ref="AA1064:AA1065"/>
    <mergeCell ref="AB1064:AB1065"/>
    <mergeCell ref="AC1064:AC1065"/>
    <mergeCell ref="AD1064:AD1065"/>
    <mergeCell ref="AF1064:AF1065"/>
    <mergeCell ref="E1048:E1049"/>
    <mergeCell ref="F1048:F1049"/>
    <mergeCell ref="J1048:J1049"/>
    <mergeCell ref="N1048:N1049"/>
    <mergeCell ref="Y1048:Y1049"/>
    <mergeCell ref="AA1048:AA1049"/>
    <mergeCell ref="AB1048:AB1049"/>
    <mergeCell ref="AC1048:AC1049"/>
    <mergeCell ref="AD1048:AD1049"/>
    <mergeCell ref="AM1046:AM1047"/>
    <mergeCell ref="AO1046:AO1047"/>
    <mergeCell ref="AP1046:AP1047"/>
    <mergeCell ref="AC1046:AC1047"/>
    <mergeCell ref="AD1046:AD1047"/>
    <mergeCell ref="AF1046:AF1047"/>
    <mergeCell ref="AG1046:AG1047"/>
    <mergeCell ref="AH1046:AH1047"/>
    <mergeCell ref="AI1046:AI1047"/>
    <mergeCell ref="AJ1046:AJ1047"/>
    <mergeCell ref="AD1060:AD1061"/>
    <mergeCell ref="AF1060:AF1061"/>
    <mergeCell ref="AG1060:AG1061"/>
    <mergeCell ref="AH1060:AH1061"/>
    <mergeCell ref="AB1052:AB1053"/>
    <mergeCell ref="AM1058:AM1059"/>
    <mergeCell ref="AO1058:AO1059"/>
    <mergeCell ref="AP1058:AP1059"/>
    <mergeCell ref="Y1050:Y1051"/>
    <mergeCell ref="AA1050:AA1051"/>
    <mergeCell ref="AB1050:AB1051"/>
    <mergeCell ref="AC1050:AC1051"/>
    <mergeCell ref="AD1050:AD1051"/>
    <mergeCell ref="AF1050:AF1051"/>
    <mergeCell ref="AG1050:AG1051"/>
    <mergeCell ref="AH1050:AH1051"/>
    <mergeCell ref="AI1050:AI1051"/>
    <mergeCell ref="AJ1050:AJ1051"/>
    <mergeCell ref="AK1050:AK1051"/>
    <mergeCell ref="AL1050:AL1051"/>
    <mergeCell ref="AM1050:AM1051"/>
    <mergeCell ref="AO1050:AO1051"/>
    <mergeCell ref="AP1050:AP1051"/>
    <mergeCell ref="E1046:E1047"/>
    <mergeCell ref="AP1052:AP1053"/>
    <mergeCell ref="AP1056:AP1057"/>
    <mergeCell ref="AP1054:AP1055"/>
    <mergeCell ref="AP1062:AP1063"/>
    <mergeCell ref="AG1064:AG1065"/>
    <mergeCell ref="AH1064:AH1065"/>
    <mergeCell ref="AI1064:AI1065"/>
    <mergeCell ref="AJ1064:AJ1065"/>
    <mergeCell ref="J1054:J1055"/>
    <mergeCell ref="N1054:N1055"/>
    <mergeCell ref="Y1054:Y1055"/>
    <mergeCell ref="AA1054:AA1055"/>
    <mergeCell ref="AB1054:AB1055"/>
    <mergeCell ref="AC1054:AC1055"/>
    <mergeCell ref="AD1054:AD1055"/>
    <mergeCell ref="AF1054:AF1055"/>
    <mergeCell ref="AG1054:AG1055"/>
    <mergeCell ref="AH1054:AH1055"/>
    <mergeCell ref="AI1054:AI1055"/>
    <mergeCell ref="AJ1054:AJ1055"/>
    <mergeCell ref="AK1054:AK1055"/>
    <mergeCell ref="AL1054:AL1055"/>
    <mergeCell ref="AM1054:AM1055"/>
    <mergeCell ref="AO1054:AO1055"/>
    <mergeCell ref="E1058:E1059"/>
    <mergeCell ref="E1070:E1071"/>
    <mergeCell ref="E1068:E1069"/>
    <mergeCell ref="AG1052:AG1053"/>
    <mergeCell ref="AH1052:AH1053"/>
    <mergeCell ref="AI1052:AI1053"/>
    <mergeCell ref="AJ1052:AJ1053"/>
    <mergeCell ref="AK1052:AK1053"/>
    <mergeCell ref="AL1052:AL1053"/>
    <mergeCell ref="AM1052:AM1053"/>
    <mergeCell ref="AO1052:AO1053"/>
    <mergeCell ref="AH1056:AH1057"/>
    <mergeCell ref="AI1056:AI1057"/>
    <mergeCell ref="AJ1056:AJ1057"/>
    <mergeCell ref="AK1056:AK1057"/>
    <mergeCell ref="AL1056:AL1057"/>
    <mergeCell ref="AM1056:AM1057"/>
    <mergeCell ref="AO1056:AO1057"/>
    <mergeCell ref="AO1062:AO1063"/>
    <mergeCell ref="E1064:E1065"/>
    <mergeCell ref="AK1064:AK1065"/>
    <mergeCell ref="AL1064:AL1065"/>
    <mergeCell ref="AM1064:AM1065"/>
    <mergeCell ref="AO1064:AO1065"/>
    <mergeCell ref="AC1066:AC1067"/>
    <mergeCell ref="AD1066:AD1067"/>
    <mergeCell ref="AF1066:AF1067"/>
    <mergeCell ref="AG1066:AG1067"/>
    <mergeCell ref="AH1066:AH1067"/>
    <mergeCell ref="AI1066:AI1067"/>
    <mergeCell ref="AJ1066:AJ1067"/>
    <mergeCell ref="AK1066:AK1067"/>
    <mergeCell ref="AL1066:AL1067"/>
    <mergeCell ref="AM1066:AM1067"/>
    <mergeCell ref="AO1066:AO1067"/>
    <mergeCell ref="AI1058:AI1059"/>
    <mergeCell ref="AJ1058:AJ1059"/>
    <mergeCell ref="AK1058:AK1059"/>
    <mergeCell ref="AL1058:AL1059"/>
    <mergeCell ref="F1070:F1071"/>
    <mergeCell ref="J1070:J1071"/>
    <mergeCell ref="F1068:F1069"/>
    <mergeCell ref="J1068:J1069"/>
    <mergeCell ref="N1068:N1069"/>
    <mergeCell ref="Y1068:Y1069"/>
    <mergeCell ref="AA1068:AA1069"/>
    <mergeCell ref="AB1068:AB1069"/>
    <mergeCell ref="AC1068:AC1069"/>
    <mergeCell ref="F1058:F1059"/>
    <mergeCell ref="J1058:J1059"/>
    <mergeCell ref="N1058:N1059"/>
    <mergeCell ref="Y1058:Y1059"/>
    <mergeCell ref="AA1058:AA1059"/>
    <mergeCell ref="AB1058:AB1059"/>
    <mergeCell ref="AC1058:AC1059"/>
    <mergeCell ref="AD1058:AD1059"/>
    <mergeCell ref="AF1058:AF1059"/>
    <mergeCell ref="AG1058:AG1059"/>
    <mergeCell ref="AH1058:AH1059"/>
    <mergeCell ref="AF1062:AF1063"/>
    <mergeCell ref="AG1062:AG1063"/>
    <mergeCell ref="AH1062:AH1063"/>
    <mergeCell ref="AI1062:AI1063"/>
    <mergeCell ref="AJ1062:AJ1063"/>
    <mergeCell ref="AK1062:AK1063"/>
    <mergeCell ref="AM1068:AM1069"/>
    <mergeCell ref="AO1068:AO1069"/>
    <mergeCell ref="AL1062:AL1063"/>
    <mergeCell ref="AM1062:AM1063"/>
    <mergeCell ref="AP1150:AP1151"/>
    <mergeCell ref="E1097:E1098"/>
    <mergeCell ref="F1097:F1098"/>
    <mergeCell ref="J1097:J1098"/>
    <mergeCell ref="N1097:N1098"/>
    <mergeCell ref="Y1097:Y1098"/>
    <mergeCell ref="AA1097:AA1098"/>
    <mergeCell ref="AB1097:AB1098"/>
    <mergeCell ref="AC1097:AC1098"/>
    <mergeCell ref="AD1097:AD1098"/>
    <mergeCell ref="AF1097:AF1098"/>
    <mergeCell ref="AB1144:AB1145"/>
    <mergeCell ref="AC1144:AC1145"/>
    <mergeCell ref="AO1142:AO1143"/>
    <mergeCell ref="AP1142:AP1143"/>
    <mergeCell ref="AP1136:AP1137"/>
    <mergeCell ref="AM1144:AM1145"/>
    <mergeCell ref="AO1144:AO1145"/>
    <mergeCell ref="AG1097:AG1098"/>
    <mergeCell ref="AH1097:AH1098"/>
    <mergeCell ref="AI1097:AI1098"/>
    <mergeCell ref="AJ1097:AJ1098"/>
    <mergeCell ref="E1136:E1137"/>
    <mergeCell ref="F1136:F1137"/>
    <mergeCell ref="J1136:J1137"/>
    <mergeCell ref="AK1142:AK1143"/>
    <mergeCell ref="AL1142:AL1143"/>
    <mergeCell ref="AM1142:AM1143"/>
    <mergeCell ref="N1136:N1137"/>
    <mergeCell ref="Y1136:Y1137"/>
    <mergeCell ref="AA1136:AA1137"/>
    <mergeCell ref="AB1136:AB1137"/>
    <mergeCell ref="AC1136:AC1137"/>
    <mergeCell ref="AD1136:AD1137"/>
    <mergeCell ref="AF1136:AF1137"/>
    <mergeCell ref="AG1136:AG1137"/>
    <mergeCell ref="AH1136:AH1137"/>
    <mergeCell ref="AI1136:AI1137"/>
    <mergeCell ref="AK1136:AK1137"/>
    <mergeCell ref="AP1064:AP1065"/>
    <mergeCell ref="AO1128:AO1129"/>
    <mergeCell ref="AP1128:AP1129"/>
    <mergeCell ref="AJ1128:AJ1129"/>
    <mergeCell ref="AP1138:AP1139"/>
    <mergeCell ref="AO1140:AO1141"/>
    <mergeCell ref="AP1140:AP1141"/>
    <mergeCell ref="AP1130:AP1131"/>
    <mergeCell ref="E1134:E1135"/>
    <mergeCell ref="Y1142:Y1143"/>
    <mergeCell ref="AA1142:AA1143"/>
    <mergeCell ref="AM1136:AM1137"/>
    <mergeCell ref="AF1140:AF1141"/>
    <mergeCell ref="J1184:J1185"/>
    <mergeCell ref="N1184:N1185"/>
    <mergeCell ref="Y1184:Y1185"/>
    <mergeCell ref="AA1184:AA1185"/>
    <mergeCell ref="AB1184:AB1185"/>
    <mergeCell ref="AK1170:AK1171"/>
    <mergeCell ref="AL1227:AL1228"/>
    <mergeCell ref="AL1221:AL1222"/>
    <mergeCell ref="AA1168:AA1169"/>
    <mergeCell ref="AB1168:AB1169"/>
    <mergeCell ref="AC1168:AC1169"/>
    <mergeCell ref="AD1168:AD1169"/>
    <mergeCell ref="AM1156:AM1157"/>
    <mergeCell ref="AO1156:AO1157"/>
    <mergeCell ref="AP1156:AP1157"/>
    <mergeCell ref="E1158:E1159"/>
    <mergeCell ref="F1158:F1159"/>
    <mergeCell ref="J1158:J1159"/>
    <mergeCell ref="N1158:N1159"/>
    <mergeCell ref="Y1158:Y1159"/>
    <mergeCell ref="AA1158:AA1159"/>
    <mergeCell ref="AB1158:AB1159"/>
    <mergeCell ref="AC1158:AC1159"/>
    <mergeCell ref="AD1158:AD1159"/>
    <mergeCell ref="AF1158:AF1159"/>
    <mergeCell ref="AG1158:AG1159"/>
    <mergeCell ref="AH1158:AH1159"/>
    <mergeCell ref="AI1158:AI1159"/>
    <mergeCell ref="AJ1158:AJ1159"/>
    <mergeCell ref="AK1158:AK1159"/>
    <mergeCell ref="AL1158:AL1159"/>
    <mergeCell ref="AM1158:AM1159"/>
    <mergeCell ref="AO1158:AO1159"/>
    <mergeCell ref="AP1158:AP1159"/>
    <mergeCell ref="E1160:E1161"/>
    <mergeCell ref="F1160:F1161"/>
    <mergeCell ref="J1160:J1161"/>
    <mergeCell ref="N1160:N1161"/>
    <mergeCell ref="Y1160:Y1161"/>
    <mergeCell ref="AA1160:AA1161"/>
    <mergeCell ref="AB1160:AB1161"/>
    <mergeCell ref="AC1160:AC1161"/>
    <mergeCell ref="AJ1162:AJ1163"/>
    <mergeCell ref="AK1162:AK1163"/>
    <mergeCell ref="AL1162:AL1163"/>
    <mergeCell ref="AM1162:AM1163"/>
    <mergeCell ref="AF1160:AF1161"/>
    <mergeCell ref="AG1160:AG1161"/>
    <mergeCell ref="AH1160:AH1161"/>
    <mergeCell ref="AI1160:AI1161"/>
    <mergeCell ref="AJ1160:AJ1161"/>
    <mergeCell ref="AK1160:AK1161"/>
    <mergeCell ref="AP1160:AP1161"/>
    <mergeCell ref="AA1223:AA1224"/>
    <mergeCell ref="J1225:J1226"/>
    <mergeCell ref="AP1257:AP1258"/>
    <mergeCell ref="AM1259:AM1260"/>
    <mergeCell ref="AP1259:AP1260"/>
    <mergeCell ref="AM1261:AM1262"/>
    <mergeCell ref="AP1261:AP1262"/>
    <mergeCell ref="AP1255:AP1256"/>
    <mergeCell ref="AM1257:AM1258"/>
    <mergeCell ref="AP1205:AP1206"/>
    <mergeCell ref="AO1223:AO1224"/>
    <mergeCell ref="AO1209:AO1210"/>
    <mergeCell ref="AO1207:AO1208"/>
    <mergeCell ref="AO1203:AO1204"/>
    <mergeCell ref="AO1201:AO1202"/>
    <mergeCell ref="AM1241:AM1242"/>
    <mergeCell ref="AP1241:AP1242"/>
    <mergeCell ref="AO1255:AO1256"/>
    <mergeCell ref="AP1219:AP1220"/>
    <mergeCell ref="AP1247:AP1248"/>
    <mergeCell ref="AM1225:AM1226"/>
    <mergeCell ref="AP1225:AP1226"/>
    <mergeCell ref="AM1227:AM1228"/>
    <mergeCell ref="AK1239:AK1240"/>
    <mergeCell ref="AK1243:AK1244"/>
    <mergeCell ref="AL1243:AL1244"/>
    <mergeCell ref="AP1243:AP1244"/>
    <mergeCell ref="AM1245:AM1246"/>
    <mergeCell ref="AP1245:AP1246"/>
    <mergeCell ref="AC1184:AC1185"/>
    <mergeCell ref="AD1184:AD1185"/>
    <mergeCell ref="AF1184:AF1185"/>
    <mergeCell ref="AG1184:AG1185"/>
    <mergeCell ref="AH1184:AH1185"/>
    <mergeCell ref="AI1184:AI1185"/>
    <mergeCell ref="AJ1184:AJ1185"/>
    <mergeCell ref="AK1184:AK1185"/>
    <mergeCell ref="AL1184:AL1185"/>
    <mergeCell ref="AM1184:AM1185"/>
    <mergeCell ref="AO1184:AO1185"/>
    <mergeCell ref="AP1184:AP1185"/>
    <mergeCell ref="AO1249:AO1250"/>
    <mergeCell ref="AO1233:AO1234"/>
    <mergeCell ref="AO1235:AO1236"/>
    <mergeCell ref="AM1217:AM1218"/>
    <mergeCell ref="AO1251:AO1252"/>
    <mergeCell ref="AO1205:AO1206"/>
    <mergeCell ref="AM1203:AM1204"/>
    <mergeCell ref="AK1253:AK1254"/>
    <mergeCell ref="AH1209:AH1210"/>
    <mergeCell ref="AI1209:AI1210"/>
    <mergeCell ref="AJ1203:AJ1204"/>
    <mergeCell ref="AO1199:AO1200"/>
    <mergeCell ref="AM1207:AM1208"/>
    <mergeCell ref="AP1227:AP1228"/>
    <mergeCell ref="AM1229:AM1230"/>
    <mergeCell ref="AP1229:AP1230"/>
    <mergeCell ref="AM1231:AM1232"/>
    <mergeCell ref="AP1231:AP1232"/>
    <mergeCell ref="AM1233:AM1234"/>
    <mergeCell ref="AP1233:AP1234"/>
    <mergeCell ref="AM1235:AM1236"/>
    <mergeCell ref="AP1235:AP1236"/>
    <mergeCell ref="AM1237:AM1238"/>
    <mergeCell ref="AP1237:AP1238"/>
    <mergeCell ref="AM1239:AM1240"/>
    <mergeCell ref="AO1378:AO1379"/>
    <mergeCell ref="AM1376:AM1377"/>
    <mergeCell ref="AO1376:AO1377"/>
    <mergeCell ref="AP1374:AP1375"/>
    <mergeCell ref="AM1374:AM1375"/>
    <mergeCell ref="AO1374:AO1375"/>
    <mergeCell ref="AJ1384:AJ1385"/>
    <mergeCell ref="AK1384:AK1385"/>
    <mergeCell ref="AL1384:AL1385"/>
    <mergeCell ref="AM1384:AM1385"/>
    <mergeCell ref="AM1349:AM1350"/>
    <mergeCell ref="AO1349:AO1350"/>
    <mergeCell ref="AK1392:AK1393"/>
    <mergeCell ref="AL1392:AL1393"/>
    <mergeCell ref="AM1392:AM1393"/>
    <mergeCell ref="AO1392:AO1393"/>
    <mergeCell ref="AP1392:AP1393"/>
    <mergeCell ref="AD1362:AD1363"/>
    <mergeCell ref="AO1370:AO1371"/>
    <mergeCell ref="AO1380:AO1381"/>
    <mergeCell ref="AM1388:AM1389"/>
    <mergeCell ref="AO1388:AO1389"/>
    <mergeCell ref="AO1372:AO1373"/>
    <mergeCell ref="AH1372:AH1373"/>
    <mergeCell ref="AF1394:AF1395"/>
    <mergeCell ref="AG1394:AG1395"/>
    <mergeCell ref="AP1386:AP1387"/>
    <mergeCell ref="AJ1357:AJ1358"/>
    <mergeCell ref="AK1357:AK1358"/>
    <mergeCell ref="AL1357:AL1358"/>
    <mergeCell ref="AM1357:AM1358"/>
    <mergeCell ref="AO1357:AO1358"/>
    <mergeCell ref="AP1357:AP1358"/>
    <mergeCell ref="AG1359:AG1360"/>
    <mergeCell ref="AH1359:AH1360"/>
    <mergeCell ref="AI1359:AI1360"/>
    <mergeCell ref="AJ1359:AJ1360"/>
    <mergeCell ref="AP1349:AP1350"/>
    <mergeCell ref="AF1390:AF1391"/>
    <mergeCell ref="AG1390:AG1391"/>
    <mergeCell ref="AH1390:AH1391"/>
    <mergeCell ref="AI1390:AI1391"/>
    <mergeCell ref="AJ1390:AJ1391"/>
    <mergeCell ref="AK1390:AK1391"/>
    <mergeCell ref="AL1390:AL1391"/>
    <mergeCell ref="AM1390:AM1391"/>
    <mergeCell ref="AO1390:AO1391"/>
    <mergeCell ref="AP1390:AP1391"/>
    <mergeCell ref="AJ1392:AJ1393"/>
    <mergeCell ref="AP1380:AP1381"/>
    <mergeCell ref="AP1370:AP1371"/>
    <mergeCell ref="AM1372:AM1373"/>
    <mergeCell ref="AP1372:AP1373"/>
    <mergeCell ref="AM1378:AM1379"/>
    <mergeCell ref="AP1378:AP1379"/>
    <mergeCell ref="AD1380:AD1381"/>
    <mergeCell ref="AF1380:AF1381"/>
    <mergeCell ref="AI1366:AI1367"/>
    <mergeCell ref="AK1366:AK1367"/>
    <mergeCell ref="AK1378:AK1379"/>
    <mergeCell ref="AP1351:AP1352"/>
    <mergeCell ref="AL1394:AL1395"/>
    <mergeCell ref="AF1374:AF1375"/>
    <mergeCell ref="AG1374:AG1375"/>
    <mergeCell ref="AP1426:AP1427"/>
    <mergeCell ref="AG1456:AG1457"/>
    <mergeCell ref="AH1456:AH1457"/>
    <mergeCell ref="AK1458:AK1459"/>
    <mergeCell ref="AJ1716:AJ1717"/>
    <mergeCell ref="AK1716:AK1717"/>
    <mergeCell ref="AL1716:AL1717"/>
    <mergeCell ref="AM1716:AM1717"/>
    <mergeCell ref="AO1716:AO1717"/>
    <mergeCell ref="AP1716:AP1717"/>
    <mergeCell ref="AD1573:AD1574"/>
    <mergeCell ref="AF1573:AF1574"/>
    <mergeCell ref="AJ1545:AJ1546"/>
    <mergeCell ref="AJ1547:AJ1548"/>
    <mergeCell ref="AF1533:AF1534"/>
    <mergeCell ref="AG1533:AG1534"/>
    <mergeCell ref="AH1533:AH1534"/>
    <mergeCell ref="AL1573:AL1574"/>
    <mergeCell ref="AM1573:AM1574"/>
    <mergeCell ref="AO1573:AO1574"/>
    <mergeCell ref="AP1573:AP1574"/>
    <mergeCell ref="AO1579:AO1580"/>
    <mergeCell ref="AP1579:AP1580"/>
    <mergeCell ref="AB1587:AB1588"/>
    <mergeCell ref="AC1587:AC1588"/>
    <mergeCell ref="AD1587:AD1588"/>
    <mergeCell ref="AF1587:AF1588"/>
    <mergeCell ref="AG1587:AG1588"/>
    <mergeCell ref="AH1587:AH1588"/>
    <mergeCell ref="AI1587:AI1588"/>
    <mergeCell ref="AJ1587:AJ1588"/>
    <mergeCell ref="AK1587:AK1588"/>
    <mergeCell ref="AL1587:AL1588"/>
    <mergeCell ref="AM1587:AM1588"/>
    <mergeCell ref="AO1587:AO1588"/>
    <mergeCell ref="AC1581:AC1582"/>
    <mergeCell ref="AB1712:AB1713"/>
    <mergeCell ref="AC1712:AC1713"/>
    <mergeCell ref="AD1712:AD1713"/>
    <mergeCell ref="AF1712:AF1713"/>
    <mergeCell ref="AG1712:AG1713"/>
    <mergeCell ref="AH1712:AH1713"/>
    <mergeCell ref="AI1712:AI1713"/>
    <mergeCell ref="AM1460:AM1461"/>
    <mergeCell ref="AP1486:AP1487"/>
    <mergeCell ref="AP1460:AP1461"/>
    <mergeCell ref="AO1452:AO1453"/>
    <mergeCell ref="AK1464:AK1465"/>
    <mergeCell ref="AL1464:AL1465"/>
    <mergeCell ref="AO1460:AO1461"/>
    <mergeCell ref="AK1468:AK1469"/>
    <mergeCell ref="AL1468:AL1469"/>
    <mergeCell ref="AP1700:AP1701"/>
    <mergeCell ref="AP1646:AP1647"/>
    <mergeCell ref="AP1648:AP1649"/>
    <mergeCell ref="AP1650:AP1651"/>
    <mergeCell ref="AM1652:AM1653"/>
    <mergeCell ref="AP1652:AP1653"/>
    <mergeCell ref="AM1654:AM1655"/>
    <mergeCell ref="AP1654:AP1655"/>
    <mergeCell ref="AM1456:AM1457"/>
    <mergeCell ref="AK1490:AK1491"/>
    <mergeCell ref="AL1490:AL1491"/>
    <mergeCell ref="AM1490:AM1491"/>
    <mergeCell ref="AK1454:AK1455"/>
    <mergeCell ref="AL1454:AL1455"/>
    <mergeCell ref="AI1456:AI1457"/>
    <mergeCell ref="AJ1458:AJ1459"/>
    <mergeCell ref="AJ1460:AJ1461"/>
    <mergeCell ref="AI1458:AI1459"/>
    <mergeCell ref="AH1458:AH1459"/>
    <mergeCell ref="AC1460:AC1461"/>
    <mergeCell ref="AD1460:AD1461"/>
    <mergeCell ref="AJ1539:AJ1540"/>
    <mergeCell ref="AP1678:AP1679"/>
    <mergeCell ref="AP1547:AP1548"/>
    <mergeCell ref="AI1506:AI1507"/>
    <mergeCell ref="AJ1506:AJ1507"/>
    <mergeCell ref="AK1506:AK1507"/>
    <mergeCell ref="AL1506:AL1507"/>
    <mergeCell ref="AM1506:AM1507"/>
    <mergeCell ref="AO1506:AO1507"/>
    <mergeCell ref="AP1506:AP1507"/>
    <mergeCell ref="AC1573:AC1574"/>
    <mergeCell ref="AA1700:AA1701"/>
    <mergeCell ref="AJ1702:AJ1703"/>
    <mergeCell ref="AJ1704:AJ1705"/>
    <mergeCell ref="AJ1706:AJ1707"/>
    <mergeCell ref="AF1718:AF1719"/>
    <mergeCell ref="Y1646:Y1647"/>
    <mergeCell ref="AA1646:AA1647"/>
    <mergeCell ref="AD1634:AD1635"/>
    <mergeCell ref="AF1634:AF1635"/>
    <mergeCell ref="AG1634:AG1635"/>
    <mergeCell ref="AH1634:AH1635"/>
    <mergeCell ref="AI1634:AI1635"/>
    <mergeCell ref="N1652:N1653"/>
    <mergeCell ref="AB1646:AB1647"/>
    <mergeCell ref="AC1646:AC1647"/>
    <mergeCell ref="AD1646:AD1647"/>
    <mergeCell ref="AF1646:AF1647"/>
    <mergeCell ref="AG1646:AG1647"/>
    <mergeCell ref="AH1646:AH1647"/>
    <mergeCell ref="N1595:N1596"/>
    <mergeCell ref="AB1518:AB1519"/>
    <mergeCell ref="AM1607:AM1608"/>
    <mergeCell ref="AO1607:AO1608"/>
    <mergeCell ref="AP1605:AP1606"/>
    <mergeCell ref="N1617:N1618"/>
    <mergeCell ref="Y1617:Y1618"/>
    <mergeCell ref="AA1617:AA1618"/>
    <mergeCell ref="AB1617:AB1618"/>
    <mergeCell ref="AC1617:AC1618"/>
    <mergeCell ref="AD1617:AD1618"/>
    <mergeCell ref="AF1617:AF1618"/>
    <mergeCell ref="AG1617:AG1618"/>
    <mergeCell ref="AH1617:AH1618"/>
    <mergeCell ref="AI1617:AI1618"/>
    <mergeCell ref="AJ1617:AJ1618"/>
    <mergeCell ref="AK1617:AK1618"/>
    <mergeCell ref="AL1617:AL1618"/>
    <mergeCell ref="AM1617:AM1618"/>
    <mergeCell ref="AM1640:AM1641"/>
    <mergeCell ref="AO1640:AO1641"/>
    <mergeCell ref="AP1640:AP1641"/>
    <mergeCell ref="AM1630:AM1631"/>
    <mergeCell ref="AO1630:AO1631"/>
    <mergeCell ref="AM1623:AM1624"/>
    <mergeCell ref="AP1724:AP1725"/>
    <mergeCell ref="E1726:E1727"/>
    <mergeCell ref="F1726:F1727"/>
    <mergeCell ref="J1726:J1727"/>
    <mergeCell ref="N1726:N1727"/>
    <mergeCell ref="Y1726:Y1727"/>
    <mergeCell ref="AA1726:AA1727"/>
    <mergeCell ref="AB1726:AB1727"/>
    <mergeCell ref="AC1726:AC1727"/>
    <mergeCell ref="AD1726:AD1727"/>
    <mergeCell ref="AF1726:AF1727"/>
    <mergeCell ref="AG1726:AG1727"/>
    <mergeCell ref="AH1726:AH1727"/>
    <mergeCell ref="AI1726:AI1727"/>
    <mergeCell ref="AJ1726:AJ1727"/>
    <mergeCell ref="AK1726:AK1727"/>
    <mergeCell ref="AP1599:AP1600"/>
    <mergeCell ref="AM1595:AM1596"/>
    <mergeCell ref="AO1595:AO1596"/>
    <mergeCell ref="AP1595:AP1596"/>
    <mergeCell ref="N1589:N1590"/>
    <mergeCell ref="Y1589:Y1590"/>
    <mergeCell ref="AM1632:AM1633"/>
    <mergeCell ref="AG1632:AG1633"/>
    <mergeCell ref="AH1632:AH1633"/>
    <mergeCell ref="AI1632:AI1633"/>
    <mergeCell ref="E1712:E1713"/>
    <mergeCell ref="F1712:F1713"/>
    <mergeCell ref="J1712:J1713"/>
    <mergeCell ref="N1712:N1713"/>
    <mergeCell ref="E1878:E1879"/>
    <mergeCell ref="F1878:F1879"/>
    <mergeCell ref="J1878:J1879"/>
    <mergeCell ref="N1878:N1879"/>
    <mergeCell ref="AP1728:AP1729"/>
    <mergeCell ref="AM1724:AM1725"/>
    <mergeCell ref="AO1724:AO1725"/>
    <mergeCell ref="E1724:E1725"/>
    <mergeCell ref="F1724:F1725"/>
    <mergeCell ref="J1724:J1725"/>
    <mergeCell ref="N1724:N1725"/>
    <mergeCell ref="Y1724:Y1725"/>
    <mergeCell ref="AA1724:AA1725"/>
    <mergeCell ref="AB1724:AB1725"/>
    <mergeCell ref="AP1826:AP1827"/>
    <mergeCell ref="AJ1775:AJ1776"/>
    <mergeCell ref="AK1775:AK1776"/>
    <mergeCell ref="AL1775:AL1776"/>
    <mergeCell ref="AM1775:AM1776"/>
    <mergeCell ref="N1777:N1778"/>
    <mergeCell ref="Y1777:Y1778"/>
    <mergeCell ref="AA1777:AA1778"/>
    <mergeCell ref="AB1777:AB1778"/>
    <mergeCell ref="AC1777:AC1778"/>
    <mergeCell ref="AD1777:AD1778"/>
    <mergeCell ref="AF1777:AF1778"/>
    <mergeCell ref="AG1777:AG1778"/>
    <mergeCell ref="AH1777:AH1778"/>
    <mergeCell ref="AI1777:AI1778"/>
    <mergeCell ref="AJ1777:AJ1778"/>
    <mergeCell ref="AK1777:AK1778"/>
    <mergeCell ref="AL1777:AL1778"/>
    <mergeCell ref="AM1777:AM1778"/>
    <mergeCell ref="AO1777:AO1778"/>
    <mergeCell ref="AB1860:AB1861"/>
    <mergeCell ref="AC1860:AC1861"/>
    <mergeCell ref="AD1860:AD1861"/>
    <mergeCell ref="AF1860:AF1861"/>
    <mergeCell ref="AG1860:AG1861"/>
    <mergeCell ref="AH1860:AH1861"/>
    <mergeCell ref="AI1860:AI1861"/>
    <mergeCell ref="AJ1860:AJ1861"/>
    <mergeCell ref="AK1860:AK1861"/>
    <mergeCell ref="AL1860:AL1861"/>
    <mergeCell ref="AM1860:AM1861"/>
    <mergeCell ref="AO1860:AO1861"/>
    <mergeCell ref="E1864:E1865"/>
    <mergeCell ref="F1864:F1865"/>
    <mergeCell ref="J1864:J1865"/>
    <mergeCell ref="N1864:N1865"/>
    <mergeCell ref="Y1864:Y1865"/>
    <mergeCell ref="AA1864:AA1865"/>
    <mergeCell ref="AB1864:AB1865"/>
    <mergeCell ref="AC1864:AC1865"/>
    <mergeCell ref="AD1864:AD1865"/>
    <mergeCell ref="AF1864:AF1865"/>
    <mergeCell ref="AG1864:AG1865"/>
    <mergeCell ref="AH1864:AH1865"/>
    <mergeCell ref="AL1779:AL1780"/>
    <mergeCell ref="AM1779:AM1780"/>
    <mergeCell ref="AO1779:AO1780"/>
    <mergeCell ref="N1783:N1784"/>
    <mergeCell ref="Y1783:Y1784"/>
    <mergeCell ref="AK1927:AK1928"/>
    <mergeCell ref="AK1903:AK1904"/>
    <mergeCell ref="AM1917:AM1918"/>
    <mergeCell ref="AM1907:AM1908"/>
    <mergeCell ref="AM1925:AM1926"/>
    <mergeCell ref="AO1925:AO1926"/>
    <mergeCell ref="E1791:E1792"/>
    <mergeCell ref="F1791:F1792"/>
    <mergeCell ref="J1791:J1792"/>
    <mergeCell ref="N1791:N1792"/>
    <mergeCell ref="Y1791:Y1792"/>
    <mergeCell ref="AA1791:AA1792"/>
    <mergeCell ref="F1925:F1926"/>
    <mergeCell ref="AH1925:AH1926"/>
    <mergeCell ref="AI1925:AI1926"/>
    <mergeCell ref="E1917:E1918"/>
    <mergeCell ref="F1917:F1918"/>
    <mergeCell ref="J1917:J1918"/>
    <mergeCell ref="N1917:N1918"/>
    <mergeCell ref="Y1917:Y1918"/>
    <mergeCell ref="AA1917:AA1918"/>
    <mergeCell ref="AB1917:AB1918"/>
    <mergeCell ref="AC1917:AC1918"/>
    <mergeCell ref="AD1917:AD1918"/>
    <mergeCell ref="AF1917:AF1918"/>
    <mergeCell ref="AG1917:AG1918"/>
    <mergeCell ref="AH1917:AH1918"/>
    <mergeCell ref="AI1917:AI1918"/>
    <mergeCell ref="AI1923:AI1924"/>
    <mergeCell ref="AM1913:AM1914"/>
    <mergeCell ref="AB1919:AB1920"/>
    <mergeCell ref="E1814:E1815"/>
    <mergeCell ref="F1814:F1815"/>
    <mergeCell ref="J1814:J1815"/>
    <mergeCell ref="N1814:N1815"/>
    <mergeCell ref="AP1947:AP1948"/>
    <mergeCell ref="AK1951:AK1952"/>
    <mergeCell ref="AL1951:AL1952"/>
    <mergeCell ref="AM1951:AM1952"/>
    <mergeCell ref="AO1951:AO1952"/>
    <mergeCell ref="E2062:E2063"/>
    <mergeCell ref="F2062:F2063"/>
    <mergeCell ref="J2062:J2063"/>
    <mergeCell ref="N2062:N2063"/>
    <mergeCell ref="Y2062:Y2063"/>
    <mergeCell ref="AA2062:AA2063"/>
    <mergeCell ref="AD2062:AD2063"/>
    <mergeCell ref="AP1965:AP1966"/>
    <mergeCell ref="AM1963:AM1964"/>
    <mergeCell ref="AO1963:AO1964"/>
    <mergeCell ref="AP1963:AP1964"/>
    <mergeCell ref="AP1872:AP1873"/>
    <mergeCell ref="F1935:F1936"/>
    <mergeCell ref="J1935:J1936"/>
    <mergeCell ref="N1935:N1936"/>
    <mergeCell ref="E1933:E1934"/>
    <mergeCell ref="F1933:F1934"/>
    <mergeCell ref="E1931:E1932"/>
    <mergeCell ref="F1931:F1932"/>
    <mergeCell ref="J1931:J1932"/>
    <mergeCell ref="N1931:N1932"/>
    <mergeCell ref="Y1931:Y1932"/>
    <mergeCell ref="AM1949:AM1950"/>
    <mergeCell ref="AP1949:AP1950"/>
    <mergeCell ref="AI1953:AI1954"/>
    <mergeCell ref="AJ1953:AJ1954"/>
    <mergeCell ref="AK1953:AK1954"/>
    <mergeCell ref="AL1953:AL1954"/>
    <mergeCell ref="AM1953:AM1954"/>
    <mergeCell ref="AO1953:AO1954"/>
    <mergeCell ref="E1947:E1948"/>
    <mergeCell ref="F1947:F1948"/>
    <mergeCell ref="J1947:J1948"/>
    <mergeCell ref="N1947:N1948"/>
    <mergeCell ref="Y1947:Y1948"/>
    <mergeCell ref="AA1947:AA1948"/>
    <mergeCell ref="AG1947:AG1948"/>
    <mergeCell ref="AH1947:AH1948"/>
    <mergeCell ref="E1937:E1938"/>
    <mergeCell ref="F1937:F1938"/>
    <mergeCell ref="J1937:J1938"/>
    <mergeCell ref="N1937:N1938"/>
    <mergeCell ref="Y1937:Y1938"/>
    <mergeCell ref="AI1929:AI1930"/>
    <mergeCell ref="AO1921:AO1922"/>
    <mergeCell ref="AM1903:AM1904"/>
    <mergeCell ref="AP1903:AP1904"/>
    <mergeCell ref="AP1907:AP1908"/>
    <mergeCell ref="AM1909:AM1910"/>
    <mergeCell ref="AJ2030:AJ2031"/>
    <mergeCell ref="AJ2034:AJ2035"/>
    <mergeCell ref="N1971:N1972"/>
    <mergeCell ref="Y1971:Y1972"/>
    <mergeCell ref="AA1961:AA1962"/>
    <mergeCell ref="AM1965:AM1966"/>
    <mergeCell ref="AO1965:AO1966"/>
    <mergeCell ref="J1907:J1908"/>
    <mergeCell ref="Y1907:Y1908"/>
    <mergeCell ref="E1925:E1926"/>
    <mergeCell ref="N1967:N1968"/>
    <mergeCell ref="J1953:J1954"/>
    <mergeCell ref="N1953:N1954"/>
    <mergeCell ref="AO1949:AO1950"/>
    <mergeCell ref="E1955:E1956"/>
    <mergeCell ref="AL1947:AL1948"/>
    <mergeCell ref="AM1947:AM1948"/>
    <mergeCell ref="AO1947:AO1948"/>
    <mergeCell ref="AK1921:AK1922"/>
    <mergeCell ref="AL1915:AL1916"/>
    <mergeCell ref="AA1915:AA1916"/>
    <mergeCell ref="AD1935:AD1936"/>
    <mergeCell ref="AF1935:AF1936"/>
    <mergeCell ref="AF1915:AF1916"/>
    <mergeCell ref="AH1909:AH1910"/>
    <mergeCell ref="AI1909:AI1910"/>
    <mergeCell ref="Y1913:Y1914"/>
    <mergeCell ref="AF1913:AF1914"/>
    <mergeCell ref="Y1933:Y1934"/>
    <mergeCell ref="AB1913:AB1914"/>
    <mergeCell ref="F1923:F1924"/>
    <mergeCell ref="J1923:J1924"/>
    <mergeCell ref="N1923:N1924"/>
    <mergeCell ref="Y1923:Y1924"/>
    <mergeCell ref="AA1923:AA1924"/>
    <mergeCell ref="AB1923:AB1924"/>
    <mergeCell ref="F1929:F1930"/>
    <mergeCell ref="J1913:J1914"/>
    <mergeCell ref="AH1919:AH1920"/>
    <mergeCell ref="AL2080:AL2081"/>
    <mergeCell ref="AM2080:AM2081"/>
    <mergeCell ref="AO2080:AO2081"/>
    <mergeCell ref="AP2080:AP2081"/>
    <mergeCell ref="E2056:E2057"/>
    <mergeCell ref="F2056:F2057"/>
    <mergeCell ref="J2056:J2057"/>
    <mergeCell ref="AB2066:AB2067"/>
    <mergeCell ref="J2068:J2069"/>
    <mergeCell ref="AB2056:AB2057"/>
    <mergeCell ref="AH2056:AH2057"/>
    <mergeCell ref="AI2056:AI2057"/>
    <mergeCell ref="AJ2056:AJ2057"/>
    <mergeCell ref="AA1985:AA1986"/>
    <mergeCell ref="AK2060:AK2061"/>
    <mergeCell ref="AL2060:AL2061"/>
    <mergeCell ref="AM2060:AM2061"/>
    <mergeCell ref="AP2052:AP2053"/>
    <mergeCell ref="AB2074:AB2075"/>
    <mergeCell ref="AC2074:AC2075"/>
    <mergeCell ref="AD2074:AD2075"/>
    <mergeCell ref="AF2074:AF2075"/>
    <mergeCell ref="AG2074:AG2075"/>
    <mergeCell ref="AH2074:AH2075"/>
    <mergeCell ref="AI2074:AI2075"/>
    <mergeCell ref="AJ2074:AJ2075"/>
    <mergeCell ref="AK2074:AK2075"/>
    <mergeCell ref="AL2074:AL2075"/>
    <mergeCell ref="AM2074:AM2075"/>
    <mergeCell ref="AO2074:AO2075"/>
    <mergeCell ref="AD2060:AD2061"/>
    <mergeCell ref="AF2060:AF2061"/>
    <mergeCell ref="Y2066:Y2067"/>
    <mergeCell ref="F1981:F1982"/>
    <mergeCell ref="J1981:J1982"/>
    <mergeCell ref="AC2084:AC2085"/>
    <mergeCell ref="AD2084:AD2085"/>
    <mergeCell ref="AF2084:AF2085"/>
    <mergeCell ref="AG2084:AG2085"/>
    <mergeCell ref="AH2084:AH2085"/>
    <mergeCell ref="AI2084:AI2085"/>
    <mergeCell ref="AJ2084:AJ2085"/>
    <mergeCell ref="AK2084:AK2085"/>
    <mergeCell ref="AL2084:AL2085"/>
    <mergeCell ref="AM2084:AM2085"/>
    <mergeCell ref="AO2084:AO2085"/>
    <mergeCell ref="AP2084:AP2085"/>
    <mergeCell ref="AM2086:AM2087"/>
    <mergeCell ref="AO2086:AO2087"/>
    <mergeCell ref="AC2088:AC2089"/>
    <mergeCell ref="AP1957:AP1958"/>
    <mergeCell ref="AP1953:AP1954"/>
    <mergeCell ref="AP1925:AP1926"/>
    <mergeCell ref="AL1933:AL1934"/>
    <mergeCell ref="AK1931:AK1932"/>
    <mergeCell ref="AL1931:AL1932"/>
    <mergeCell ref="AI1959:AI1960"/>
    <mergeCell ref="AJ1959:AJ1960"/>
    <mergeCell ref="AI1957:AI1958"/>
    <mergeCell ref="AJ1957:AJ1958"/>
    <mergeCell ref="AK1957:AK1958"/>
    <mergeCell ref="AL1957:AL1958"/>
    <mergeCell ref="AC2086:AC2087"/>
    <mergeCell ref="AD2086:AD2087"/>
    <mergeCell ref="AF2086:AF2087"/>
    <mergeCell ref="AG2086:AG2087"/>
    <mergeCell ref="AH2086:AH2087"/>
    <mergeCell ref="AP1941:AP1942"/>
    <mergeCell ref="AP1931:AP1932"/>
    <mergeCell ref="AM1943:AM1944"/>
    <mergeCell ref="AO1943:AO1944"/>
    <mergeCell ref="AP1943:AP1944"/>
    <mergeCell ref="AM1939:AM1940"/>
    <mergeCell ref="AP1955:AP1956"/>
    <mergeCell ref="AP1927:AP1928"/>
    <mergeCell ref="AP1929:AP1930"/>
    <mergeCell ref="AP1933:AP1934"/>
    <mergeCell ref="AP1959:AP1960"/>
    <mergeCell ref="AC2066:AC2067"/>
    <mergeCell ref="AP2054:AP2055"/>
    <mergeCell ref="AO2052:AO2053"/>
    <mergeCell ref="AP2016:AP2017"/>
    <mergeCell ref="AO2028:AO2029"/>
    <mergeCell ref="AP1935:AP1936"/>
    <mergeCell ref="AH1939:AH1940"/>
    <mergeCell ref="AI1939:AI1940"/>
    <mergeCell ref="AO2056:AO2057"/>
    <mergeCell ref="AP2056:AP2057"/>
    <mergeCell ref="AL1981:AL1982"/>
    <mergeCell ref="AM1981:AM1982"/>
    <mergeCell ref="AK2038:AK2039"/>
    <mergeCell ref="AP2064:AP2065"/>
    <mergeCell ref="AK2056:AK2057"/>
    <mergeCell ref="AL2056:AL2057"/>
    <mergeCell ref="AM2056:AM2057"/>
    <mergeCell ref="AC2056:AC2057"/>
    <mergeCell ref="AD2056:AD2057"/>
    <mergeCell ref="AF2056:AF2057"/>
    <mergeCell ref="AG2056:AG2057"/>
    <mergeCell ref="E2112:E2113"/>
    <mergeCell ref="F2112:F2113"/>
    <mergeCell ref="J2112:J2113"/>
    <mergeCell ref="N2112:N2113"/>
    <mergeCell ref="J2092:J2093"/>
    <mergeCell ref="N2092:N2093"/>
    <mergeCell ref="Y2092:Y2093"/>
    <mergeCell ref="AA2092:AA2093"/>
    <mergeCell ref="AB2092:AB2093"/>
    <mergeCell ref="AC2092:AC2093"/>
    <mergeCell ref="AD2092:AD2093"/>
    <mergeCell ref="AF2092:AF2093"/>
    <mergeCell ref="AG2092:AG2093"/>
    <mergeCell ref="AH2092:AH2093"/>
    <mergeCell ref="AI2092:AI2093"/>
    <mergeCell ref="AJ2092:AJ2093"/>
    <mergeCell ref="AK2092:AK2093"/>
    <mergeCell ref="AL2092:AL2093"/>
    <mergeCell ref="AM2092:AM2093"/>
    <mergeCell ref="N2098:N2099"/>
    <mergeCell ref="Y2098:Y2099"/>
    <mergeCell ref="AA2098:AA2099"/>
    <mergeCell ref="AF2066:AF2067"/>
    <mergeCell ref="AG2066:AG2067"/>
    <mergeCell ref="AH2066:AH2067"/>
    <mergeCell ref="AI2066:AI2067"/>
    <mergeCell ref="J2090:J2091"/>
    <mergeCell ref="N2090:N2091"/>
    <mergeCell ref="Y2090:Y2091"/>
    <mergeCell ref="AA2090:AA2091"/>
    <mergeCell ref="AB2090:AB2091"/>
    <mergeCell ref="E2094:E2095"/>
    <mergeCell ref="F2094:F2095"/>
    <mergeCell ref="J2094:J2095"/>
    <mergeCell ref="N2094:N2095"/>
    <mergeCell ref="Y2094:Y2095"/>
    <mergeCell ref="AA2094:AA2095"/>
    <mergeCell ref="AB2094:AB2095"/>
    <mergeCell ref="AC2094:AC2095"/>
    <mergeCell ref="AD2094:AD2095"/>
    <mergeCell ref="AF2094:AF2095"/>
    <mergeCell ref="AG2094:AG2095"/>
    <mergeCell ref="N2100:N2101"/>
    <mergeCell ref="Y2100:Y2101"/>
    <mergeCell ref="AA2100:AA2101"/>
    <mergeCell ref="E2098:E2099"/>
    <mergeCell ref="F2098:F2099"/>
    <mergeCell ref="J2098:J2099"/>
    <mergeCell ref="E2100:E2101"/>
    <mergeCell ref="F2100:F2101"/>
    <mergeCell ref="J2100:J2101"/>
    <mergeCell ref="AM2100:AM2101"/>
    <mergeCell ref="AC2090:AC2091"/>
    <mergeCell ref="AD2090:AD2091"/>
    <mergeCell ref="AF2090:AF2091"/>
    <mergeCell ref="AG2090:AG2091"/>
    <mergeCell ref="AH2090:AH2091"/>
    <mergeCell ref="AI2090:AI2091"/>
    <mergeCell ref="AJ2090:AJ2091"/>
    <mergeCell ref="AK2090:AK2091"/>
    <mergeCell ref="AL2090:AL2091"/>
    <mergeCell ref="E2092:E2093"/>
    <mergeCell ref="F2092:F2093"/>
    <mergeCell ref="AG2088:AG2089"/>
    <mergeCell ref="AP2213:AP2214"/>
    <mergeCell ref="AP2235:AP2236"/>
    <mergeCell ref="AP2233:AP2234"/>
    <mergeCell ref="AP2239:AP2240"/>
    <mergeCell ref="AK2215:AK2216"/>
    <mergeCell ref="AL2231:AL2232"/>
    <mergeCell ref="AM2231:AM2232"/>
    <mergeCell ref="AO2231:AO2232"/>
    <mergeCell ref="AP2231:AP2232"/>
    <mergeCell ref="AL2227:AL2228"/>
    <mergeCell ref="AD2339:AD2340"/>
    <mergeCell ref="AF2339:AF2340"/>
    <mergeCell ref="AG2339:AG2340"/>
    <mergeCell ref="E2285:E2286"/>
    <mergeCell ref="F2285:F2286"/>
    <mergeCell ref="J2285:J2286"/>
    <mergeCell ref="N2285:N2286"/>
    <mergeCell ref="Y2285:Y2286"/>
    <mergeCell ref="AA2285:AA2286"/>
    <mergeCell ref="AB2285:AB2286"/>
    <mergeCell ref="AC2285:AC2286"/>
    <mergeCell ref="AD2285:AD2286"/>
    <mergeCell ref="AF2285:AF2286"/>
    <mergeCell ref="AG2285:AG2286"/>
    <mergeCell ref="J2255:J2256"/>
    <mergeCell ref="N2255:N2256"/>
    <mergeCell ref="Y2255:Y2256"/>
    <mergeCell ref="AA2255:AA2256"/>
    <mergeCell ref="AB2255:AB2256"/>
    <mergeCell ref="AO2239:AO2240"/>
    <mergeCell ref="E2225:E2226"/>
    <mergeCell ref="F2225:F2226"/>
    <mergeCell ref="E2231:E2232"/>
    <mergeCell ref="AJ2221:AJ2222"/>
    <mergeCell ref="E2239:E2240"/>
    <mergeCell ref="E2257:E2258"/>
    <mergeCell ref="F2257:F2258"/>
    <mergeCell ref="AH2285:AH2286"/>
    <mergeCell ref="AI2285:AI2286"/>
    <mergeCell ref="AJ2285:AJ2286"/>
    <mergeCell ref="AK2285:AK2286"/>
    <mergeCell ref="AL2285:AL2286"/>
    <mergeCell ref="AM2285:AM2286"/>
    <mergeCell ref="AO2285:AO2286"/>
    <mergeCell ref="AA2277:AA2278"/>
    <mergeCell ref="AB2277:AB2278"/>
    <mergeCell ref="AJ2281:AJ2282"/>
    <mergeCell ref="E2269:E2270"/>
    <mergeCell ref="F2269:F2270"/>
    <mergeCell ref="J2269:J2270"/>
    <mergeCell ref="E2339:E2340"/>
    <mergeCell ref="F2235:F2236"/>
    <mergeCell ref="J2235:J2236"/>
    <mergeCell ref="N2235:N2236"/>
    <mergeCell ref="Y2235:Y2236"/>
    <mergeCell ref="AA2235:AA2236"/>
    <mergeCell ref="AB2235:AB2236"/>
    <mergeCell ref="E2277:E2278"/>
    <mergeCell ref="AC2297:AC2298"/>
    <mergeCell ref="AD2297:AD2298"/>
    <mergeCell ref="AF2297:AF2298"/>
    <mergeCell ref="AP2257:AP2258"/>
    <mergeCell ref="AP2263:AP2264"/>
    <mergeCell ref="E2241:E2242"/>
    <mergeCell ref="AO2615:AO2616"/>
    <mergeCell ref="AI2617:AI2618"/>
    <mergeCell ref="AJ2617:AJ2618"/>
    <mergeCell ref="AK2617:AK2618"/>
    <mergeCell ref="AL2617:AL2618"/>
    <mergeCell ref="AM2617:AM2618"/>
    <mergeCell ref="AI2613:AI2614"/>
    <mergeCell ref="AJ2613:AJ2614"/>
    <mergeCell ref="AK2613:AK2614"/>
    <mergeCell ref="AL2613:AL2614"/>
    <mergeCell ref="AM2609:AM2610"/>
    <mergeCell ref="AO2609:AO2610"/>
    <mergeCell ref="AP2609:AP2610"/>
    <mergeCell ref="AI2611:AI2612"/>
    <mergeCell ref="AJ2611:AJ2612"/>
    <mergeCell ref="AK2611:AK2612"/>
    <mergeCell ref="AL2611:AL2612"/>
    <mergeCell ref="AM2611:AM2612"/>
    <mergeCell ref="AO2611:AO2612"/>
    <mergeCell ref="AP2611:AP2612"/>
    <mergeCell ref="AP2615:AP2616"/>
    <mergeCell ref="AP2617:AP2618"/>
    <mergeCell ref="AC2605:AC2606"/>
    <mergeCell ref="AC2611:AC2612"/>
    <mergeCell ref="AB2617:AB2618"/>
    <mergeCell ref="AC2617:AC2618"/>
    <mergeCell ref="AD2617:AD2618"/>
    <mergeCell ref="AF2617:AF2618"/>
    <mergeCell ref="AG2617:AG2618"/>
    <mergeCell ref="AH2617:AH2618"/>
    <mergeCell ref="J2611:J2612"/>
    <mergeCell ref="N2611:N2612"/>
    <mergeCell ref="Y2611:Y2612"/>
    <mergeCell ref="AA2611:AA2612"/>
    <mergeCell ref="AB2611:AB2612"/>
    <mergeCell ref="AJ2605:AJ2606"/>
    <mergeCell ref="AK2605:AK2606"/>
    <mergeCell ref="AL2605:AL2606"/>
    <mergeCell ref="AM2684:AM2685"/>
    <mergeCell ref="AO2684:AO2685"/>
    <mergeCell ref="AL2698:AL2699"/>
    <mergeCell ref="AM2698:AM2699"/>
    <mergeCell ref="AO2698:AO2699"/>
    <mergeCell ref="J2676:J2677"/>
    <mergeCell ref="E2676:E2677"/>
    <mergeCell ref="F2676:F2677"/>
    <mergeCell ref="AO2676:AO2677"/>
    <mergeCell ref="AM2678:AM2679"/>
    <mergeCell ref="AD2688:AD2689"/>
    <mergeCell ref="AF2688:AF2689"/>
    <mergeCell ref="J2686:J2687"/>
    <mergeCell ref="AM2686:AM2687"/>
    <mergeCell ref="AI2676:AI2677"/>
    <mergeCell ref="AB2676:AB2677"/>
    <mergeCell ref="AA2680:AA2681"/>
    <mergeCell ref="AB2680:AB2681"/>
    <mergeCell ref="E2680:E2681"/>
    <mergeCell ref="E2698:E2699"/>
    <mergeCell ref="AJ2680:AJ2681"/>
    <mergeCell ref="AJ2682:AJ2683"/>
    <mergeCell ref="AJ2686:AJ2687"/>
    <mergeCell ref="AJ2688:AJ2689"/>
    <mergeCell ref="AO2672:AO2673"/>
    <mergeCell ref="AL2672:AL2673"/>
    <mergeCell ref="AI2672:AI2673"/>
    <mergeCell ref="AJ2672:AJ2673"/>
    <mergeCell ref="AF2676:AF2677"/>
    <mergeCell ref="J2692:J2693"/>
    <mergeCell ref="N2692:N2693"/>
    <mergeCell ref="AD2676:AD2677"/>
    <mergeCell ref="AA2696:AA2697"/>
    <mergeCell ref="AB2696:AB2697"/>
    <mergeCell ref="AC2696:AC2697"/>
    <mergeCell ref="AB2686:AB2687"/>
    <mergeCell ref="AC2686:AC2687"/>
    <mergeCell ref="E2694:E2695"/>
    <mergeCell ref="E2686:E2687"/>
    <mergeCell ref="AA2686:AA2687"/>
    <mergeCell ref="AC2694:AC2695"/>
    <mergeCell ref="AD2694:AD2695"/>
    <mergeCell ref="AJ2696:AJ2697"/>
    <mergeCell ref="AJ2690:AJ2691"/>
    <mergeCell ref="AJ2692:AJ2693"/>
    <mergeCell ref="AJ2694:AJ2695"/>
    <mergeCell ref="E2682:E2683"/>
    <mergeCell ref="F2682:F2683"/>
    <mergeCell ref="E2692:E2693"/>
    <mergeCell ref="N2686:N2687"/>
    <mergeCell ref="Y2686:Y2687"/>
    <mergeCell ref="Y2688:Y2689"/>
    <mergeCell ref="AA2688:AA2689"/>
    <mergeCell ref="AK2674:AK2675"/>
    <mergeCell ref="Y2678:Y2679"/>
    <mergeCell ref="F2692:F2693"/>
    <mergeCell ref="AF2690:AF2691"/>
    <mergeCell ref="AI2702:AI2703"/>
    <mergeCell ref="AJ2702:AJ2703"/>
    <mergeCell ref="AK2702:AK2703"/>
    <mergeCell ref="AL2702:AL2703"/>
    <mergeCell ref="AG2698:AG2699"/>
    <mergeCell ref="AH2698:AH2699"/>
    <mergeCell ref="AI2698:AI2699"/>
    <mergeCell ref="AJ2698:AJ2699"/>
    <mergeCell ref="AK2698:AK2699"/>
    <mergeCell ref="AD2684:AD2685"/>
    <mergeCell ref="AC2722:AC2723"/>
    <mergeCell ref="AD2722:AD2723"/>
    <mergeCell ref="AF2722:AF2723"/>
    <mergeCell ref="AG2722:AG2723"/>
    <mergeCell ref="AH2722:AH2723"/>
    <mergeCell ref="AI2722:AI2723"/>
    <mergeCell ref="AJ2722:AJ2723"/>
    <mergeCell ref="AK2722:AK2723"/>
    <mergeCell ref="AL2722:AL2723"/>
    <mergeCell ref="Y2698:Y2699"/>
    <mergeCell ref="AF2684:AF2685"/>
    <mergeCell ref="AG2684:AG2685"/>
    <mergeCell ref="AH2684:AH2685"/>
    <mergeCell ref="AI2684:AI2685"/>
    <mergeCell ref="F2684:F2685"/>
    <mergeCell ref="J2684:J2685"/>
    <mergeCell ref="N2684:N2685"/>
    <mergeCell ref="Y2684:Y2685"/>
    <mergeCell ref="AA2684:AA2685"/>
    <mergeCell ref="J2734:J2735"/>
    <mergeCell ref="AK2734:AK2735"/>
    <mergeCell ref="AL2700:AL2701"/>
    <mergeCell ref="AF2726:AF2727"/>
    <mergeCell ref="J2712:J2713"/>
    <mergeCell ref="F2712:F2713"/>
    <mergeCell ref="F2714:F2715"/>
    <mergeCell ref="J2714:J2715"/>
    <mergeCell ref="AB2722:AB2723"/>
    <mergeCell ref="AL2706:AL2707"/>
    <mergeCell ref="F2686:F2687"/>
    <mergeCell ref="AC2718:AC2719"/>
    <mergeCell ref="AJ2684:AJ2685"/>
    <mergeCell ref="AK2684:AK2685"/>
    <mergeCell ref="AL2684:AL2685"/>
    <mergeCell ref="AL2712:AL2713"/>
    <mergeCell ref="AG2720:AG2721"/>
    <mergeCell ref="AH2720:AH2721"/>
    <mergeCell ref="Y2724:Y2725"/>
    <mergeCell ref="AA2724:AA2725"/>
    <mergeCell ref="AB2724:AB2725"/>
    <mergeCell ref="AC2724:AC2725"/>
    <mergeCell ref="AJ2706:AJ2707"/>
    <mergeCell ref="AK2712:AK2713"/>
    <mergeCell ref="Y2712:Y2713"/>
    <mergeCell ref="AC2700:AC2701"/>
    <mergeCell ref="AK3014:AK3015"/>
    <mergeCell ref="AL3014:AL3015"/>
    <mergeCell ref="AM3014:AM3015"/>
    <mergeCell ref="AO3014:AO3015"/>
    <mergeCell ref="AP3014:AP3015"/>
    <mergeCell ref="E3012:E3013"/>
    <mergeCell ref="F3012:F3013"/>
    <mergeCell ref="J3012:J3013"/>
    <mergeCell ref="N3012:N3013"/>
    <mergeCell ref="Y3012:Y3013"/>
    <mergeCell ref="AA3012:AA3013"/>
    <mergeCell ref="AB3012:AB3013"/>
    <mergeCell ref="AC3012:AC3013"/>
    <mergeCell ref="AD3012:AD3013"/>
    <mergeCell ref="AF3012:AF3013"/>
    <mergeCell ref="AG3012:AG3013"/>
    <mergeCell ref="AH3012:AH3013"/>
    <mergeCell ref="AP3000:AP3001"/>
    <mergeCell ref="E3002:E3003"/>
    <mergeCell ref="F3002:F3003"/>
    <mergeCell ref="J3002:J3003"/>
    <mergeCell ref="N3002:N3003"/>
    <mergeCell ref="Y3002:Y3003"/>
    <mergeCell ref="AA3002:AA3003"/>
    <mergeCell ref="AB3002:AB3003"/>
    <mergeCell ref="AC3002:AC3003"/>
    <mergeCell ref="AD3002:AD3003"/>
    <mergeCell ref="AF3002:AF3003"/>
    <mergeCell ref="AG3002:AG3003"/>
    <mergeCell ref="AH3002:AH3003"/>
    <mergeCell ref="AI3002:AI3003"/>
    <mergeCell ref="AJ3002:AJ3003"/>
    <mergeCell ref="AK3002:AK3003"/>
    <mergeCell ref="AL3002:AL3003"/>
    <mergeCell ref="AM3002:AM3003"/>
    <mergeCell ref="AO3002:AO3003"/>
    <mergeCell ref="AP3002:AP3003"/>
    <mergeCell ref="E3004:E3005"/>
    <mergeCell ref="F3004:F3005"/>
    <mergeCell ref="J3004:J3005"/>
    <mergeCell ref="N3004:N3005"/>
    <mergeCell ref="Y3004:Y3005"/>
    <mergeCell ref="AA3004:AA3005"/>
    <mergeCell ref="AB3004:AB3005"/>
    <mergeCell ref="AD3004:AD3005"/>
    <mergeCell ref="AL3010:AL3011"/>
    <mergeCell ref="AK3012:AK3013"/>
    <mergeCell ref="AL3012:AL3013"/>
    <mergeCell ref="E3014:E3015"/>
    <mergeCell ref="F3008:F3009"/>
    <mergeCell ref="J3008:J3009"/>
    <mergeCell ref="N3008:N3009"/>
    <mergeCell ref="Y3008:Y3009"/>
    <mergeCell ref="AA3008:AA3009"/>
    <mergeCell ref="AB3008:AB3009"/>
    <mergeCell ref="E3008:E3009"/>
    <mergeCell ref="AA3000:AA3001"/>
    <mergeCell ref="AB3000:AB3001"/>
    <mergeCell ref="AJ3095:AJ3096"/>
    <mergeCell ref="AJ3101:AJ3102"/>
    <mergeCell ref="AJ3103:AJ3104"/>
    <mergeCell ref="AJ3105:AJ3106"/>
    <mergeCell ref="AJ3107:AJ3108"/>
    <mergeCell ref="AJ3109:AJ3110"/>
    <mergeCell ref="J3113:J3114"/>
    <mergeCell ref="E3121:E3122"/>
    <mergeCell ref="F3121:F3122"/>
    <mergeCell ref="J3121:J3122"/>
    <mergeCell ref="N3121:N3122"/>
    <mergeCell ref="Y3121:Y3122"/>
    <mergeCell ref="AA3121:AA3122"/>
    <mergeCell ref="AP3117:AP3118"/>
    <mergeCell ref="AP3119:AP3120"/>
    <mergeCell ref="AJ3087:AJ3088"/>
    <mergeCell ref="AM3004:AM3005"/>
    <mergeCell ref="AO3004:AO3005"/>
    <mergeCell ref="AP3004:AP3005"/>
    <mergeCell ref="AO3006:AO3007"/>
    <mergeCell ref="AM3012:AM3013"/>
    <mergeCell ref="AM3010:AM3011"/>
    <mergeCell ref="AO3010:AO3011"/>
    <mergeCell ref="AP3010:AP3011"/>
    <mergeCell ref="AO3012:AO3013"/>
    <mergeCell ref="AP3018:AP3019"/>
    <mergeCell ref="E3020:E3021"/>
    <mergeCell ref="F3020:F3021"/>
    <mergeCell ref="J3020:J3021"/>
    <mergeCell ref="N3020:N3021"/>
    <mergeCell ref="Y3020:Y3021"/>
    <mergeCell ref="AA3020:AA3021"/>
    <mergeCell ref="AB3020:AB3021"/>
    <mergeCell ref="AC3020:AC3021"/>
    <mergeCell ref="AD3020:AD3021"/>
    <mergeCell ref="AF3020:AF3021"/>
    <mergeCell ref="AG3020:AG3021"/>
    <mergeCell ref="AH3020:AH3021"/>
    <mergeCell ref="AI3020:AI3021"/>
    <mergeCell ref="AJ3020:AJ3021"/>
    <mergeCell ref="AK3020:AK3021"/>
    <mergeCell ref="AL3020:AL3021"/>
    <mergeCell ref="AM3020:AM3021"/>
    <mergeCell ref="AO3020:AO3021"/>
    <mergeCell ref="AP3020:AP3021"/>
    <mergeCell ref="AJ3022:AJ3023"/>
    <mergeCell ref="AK3022:AK3023"/>
    <mergeCell ref="AL3022:AL3023"/>
    <mergeCell ref="AM3022:AM3023"/>
    <mergeCell ref="AO3022:AO3023"/>
    <mergeCell ref="AP3022:AP3023"/>
    <mergeCell ref="AB3121:AB3122"/>
    <mergeCell ref="E3115:E3116"/>
    <mergeCell ref="F3115:F3116"/>
    <mergeCell ref="J3115:J3116"/>
    <mergeCell ref="N3115:N3116"/>
    <mergeCell ref="F3067:F3068"/>
    <mergeCell ref="F3073:F3074"/>
    <mergeCell ref="J3105:J3106"/>
    <mergeCell ref="N3105:N3106"/>
    <mergeCell ref="Y3105:Y3106"/>
    <mergeCell ref="F3117:F3118"/>
    <mergeCell ref="AG3065:AG3066"/>
    <mergeCell ref="AJ3014:AJ3015"/>
    <mergeCell ref="E3129:E3130"/>
    <mergeCell ref="F3129:F3130"/>
    <mergeCell ref="J3129:J3130"/>
    <mergeCell ref="N3129:N3130"/>
    <mergeCell ref="Y3129:Y3130"/>
    <mergeCell ref="AA3129:AA3130"/>
    <mergeCell ref="AB3129:AB3130"/>
    <mergeCell ref="AC3129:AC3130"/>
    <mergeCell ref="AD3129:AD3130"/>
    <mergeCell ref="AF3129:AF3130"/>
    <mergeCell ref="AG3129:AG3130"/>
    <mergeCell ref="AH3129:AH3130"/>
    <mergeCell ref="AI3129:AI3130"/>
    <mergeCell ref="AJ3129:AJ3130"/>
    <mergeCell ref="AK3129:AK3130"/>
    <mergeCell ref="AL3129:AL3130"/>
    <mergeCell ref="AM3129:AM3130"/>
    <mergeCell ref="AO3129:AO3130"/>
    <mergeCell ref="AP3129:AP3130"/>
    <mergeCell ref="E3133:E3134"/>
    <mergeCell ref="AI3133:AI3134"/>
    <mergeCell ref="AM3131:AM3132"/>
    <mergeCell ref="AM3133:AM3134"/>
    <mergeCell ref="E3135:E3136"/>
    <mergeCell ref="F3135:F3136"/>
    <mergeCell ref="J3135:J3136"/>
    <mergeCell ref="N3135:N3136"/>
    <mergeCell ref="Y3135:Y3136"/>
    <mergeCell ref="AA3135:AA3136"/>
    <mergeCell ref="E3131:E3132"/>
    <mergeCell ref="AP3133:AP3134"/>
    <mergeCell ref="AP3137:AP3138"/>
    <mergeCell ref="AM3139:AM3140"/>
    <mergeCell ref="AP3139:AP3140"/>
    <mergeCell ref="AP3135:AP3136"/>
    <mergeCell ref="AA3137:AA3138"/>
    <mergeCell ref="AG3135:AG3136"/>
    <mergeCell ref="AH3135:AH3136"/>
    <mergeCell ref="AI3135:AI3136"/>
    <mergeCell ref="AJ3135:AJ3136"/>
    <mergeCell ref="AK3135:AK3136"/>
    <mergeCell ref="AL3135:AL3136"/>
    <mergeCell ref="AM3135:AM3136"/>
    <mergeCell ref="AO3135:AO3136"/>
    <mergeCell ref="AK3131:AK3132"/>
    <mergeCell ref="AJ3137:AJ3138"/>
    <mergeCell ref="AJ3139:AJ3140"/>
    <mergeCell ref="AM3137:AM3138"/>
    <mergeCell ref="AP3131:AP3132"/>
    <mergeCell ref="AI3139:AI3140"/>
    <mergeCell ref="AK3139:AK3140"/>
    <mergeCell ref="AL3139:AL3140"/>
    <mergeCell ref="AO3139:AO3140"/>
    <mergeCell ref="AK3133:AK3134"/>
    <mergeCell ref="AL3133:AL3134"/>
    <mergeCell ref="AJ3133:AJ3134"/>
    <mergeCell ref="AG3133:AG3134"/>
    <mergeCell ref="AH3133:AH3134"/>
    <mergeCell ref="E3137:E3138"/>
    <mergeCell ref="F3137:F3138"/>
    <mergeCell ref="AC3137:AC3138"/>
    <mergeCell ref="AF3137:AF3138"/>
    <mergeCell ref="AG3137:AG3138"/>
    <mergeCell ref="AH3137:AH3138"/>
    <mergeCell ref="J3161:J3162"/>
    <mergeCell ref="N3161:N3162"/>
    <mergeCell ref="Y3161:Y3162"/>
    <mergeCell ref="AA3161:AA3162"/>
    <mergeCell ref="E3155:E3156"/>
    <mergeCell ref="F3155:F3156"/>
    <mergeCell ref="AB3135:AB3136"/>
    <mergeCell ref="AC3135:AC3136"/>
    <mergeCell ref="AD3135:AD3136"/>
    <mergeCell ref="AF3135:AF3136"/>
    <mergeCell ref="E3159:E3160"/>
    <mergeCell ref="F3159:F3160"/>
    <mergeCell ref="J3159:J3160"/>
    <mergeCell ref="N3159:N3160"/>
    <mergeCell ref="Y3159:Y3160"/>
    <mergeCell ref="AA3159:AA3160"/>
    <mergeCell ref="AB3159:AB3160"/>
    <mergeCell ref="AC3159:AC3160"/>
    <mergeCell ref="AD3159:AD3160"/>
    <mergeCell ref="AP3159:AP3160"/>
    <mergeCell ref="J3147:J3148"/>
    <mergeCell ref="N3147:N3148"/>
    <mergeCell ref="Y3147:Y3148"/>
    <mergeCell ref="AM3161:AM3162"/>
    <mergeCell ref="AO3161:AO3162"/>
    <mergeCell ref="Y3153:Y3154"/>
    <mergeCell ref="AA3153:AA3154"/>
    <mergeCell ref="AB3153:AB3154"/>
    <mergeCell ref="AP3153:AP3154"/>
    <mergeCell ref="J3137:J3138"/>
    <mergeCell ref="N3137:N3138"/>
    <mergeCell ref="J3155:J3156"/>
    <mergeCell ref="N3155:N3156"/>
    <mergeCell ref="E3157:E3158"/>
    <mergeCell ref="F3157:F3158"/>
    <mergeCell ref="J3157:J3158"/>
    <mergeCell ref="N3157:N3158"/>
    <mergeCell ref="Y3157:Y3158"/>
    <mergeCell ref="AA3157:AA3158"/>
    <mergeCell ref="AB3157:AB3158"/>
    <mergeCell ref="AD3151:AD3152"/>
    <mergeCell ref="AM3151:AM3152"/>
    <mergeCell ref="AG3155:AG3156"/>
    <mergeCell ref="E3151:E3152"/>
    <mergeCell ref="F3151:F3152"/>
    <mergeCell ref="J3151:J3152"/>
    <mergeCell ref="N3151:N3152"/>
    <mergeCell ref="F3153:F3154"/>
    <mergeCell ref="J3153:J3154"/>
    <mergeCell ref="N3153:N3154"/>
    <mergeCell ref="AA3147:AA3148"/>
    <mergeCell ref="J3141:J3142"/>
    <mergeCell ref="N3141:N3142"/>
    <mergeCell ref="Y3141:Y3142"/>
    <mergeCell ref="AA3141:AA3142"/>
    <mergeCell ref="AI3141:AI3142"/>
    <mergeCell ref="AJ3141:AJ3142"/>
    <mergeCell ref="AK3141:AK3142"/>
    <mergeCell ref="AL3141:AL3142"/>
    <mergeCell ref="AM3141:AM3142"/>
    <mergeCell ref="AO3141:AO3142"/>
    <mergeCell ref="AP3141:AP3142"/>
    <mergeCell ref="AG3143:AG3144"/>
    <mergeCell ref="AH3143:AH3144"/>
    <mergeCell ref="AP3181:AP3182"/>
    <mergeCell ref="E3183:E3184"/>
    <mergeCell ref="F3183:F3184"/>
    <mergeCell ref="J3183:J3184"/>
    <mergeCell ref="N3183:N3184"/>
    <mergeCell ref="Y3183:Y3184"/>
    <mergeCell ref="AA3183:AA3184"/>
    <mergeCell ref="AB3183:AB3184"/>
    <mergeCell ref="AC3183:AC3184"/>
    <mergeCell ref="AD3183:AD3184"/>
    <mergeCell ref="AF3183:AF3184"/>
    <mergeCell ref="AG3183:AG3184"/>
    <mergeCell ref="AH3183:AH3184"/>
    <mergeCell ref="AI3183:AI3184"/>
    <mergeCell ref="AJ3183:AJ3184"/>
    <mergeCell ref="AK3183:AK3184"/>
    <mergeCell ref="AL3183:AL3184"/>
    <mergeCell ref="AM3183:AM3184"/>
    <mergeCell ref="AO3183:AO3184"/>
    <mergeCell ref="AP3183:AP3184"/>
    <mergeCell ref="AP3145:AP3146"/>
    <mergeCell ref="AO3179:AO3180"/>
    <mergeCell ref="F3145:F3146"/>
    <mergeCell ref="AJ3147:AJ3148"/>
    <mergeCell ref="E3147:E3148"/>
    <mergeCell ref="F3147:F3148"/>
    <mergeCell ref="E3179:E3180"/>
    <mergeCell ref="F3179:F3180"/>
    <mergeCell ref="J3179:J3180"/>
    <mergeCell ref="N3179:N3180"/>
    <mergeCell ref="Y3179:Y3180"/>
    <mergeCell ref="AA3179:AA3180"/>
    <mergeCell ref="AB3179:AB3180"/>
    <mergeCell ref="AC3179:AC3180"/>
    <mergeCell ref="AD3179:AD3180"/>
    <mergeCell ref="AF3179:AF3180"/>
    <mergeCell ref="AG3179:AG3180"/>
    <mergeCell ref="AH3179:AH3180"/>
    <mergeCell ref="AI3179:AI3180"/>
    <mergeCell ref="AJ3179:AJ3180"/>
    <mergeCell ref="AK3179:AK3180"/>
    <mergeCell ref="AL3179:AL3180"/>
    <mergeCell ref="AM3179:AM3180"/>
    <mergeCell ref="E3163:E3164"/>
    <mergeCell ref="F3163:F3164"/>
    <mergeCell ref="J3163:J3164"/>
    <mergeCell ref="N3163:N3164"/>
    <mergeCell ref="Y3163:Y3164"/>
    <mergeCell ref="AA3163:AA3164"/>
    <mergeCell ref="AB3163:AB3164"/>
    <mergeCell ref="AC3163:AC3164"/>
    <mergeCell ref="AD3163:AD3164"/>
    <mergeCell ref="AF3163:AF3164"/>
    <mergeCell ref="AG3163:AG3164"/>
    <mergeCell ref="AH3163:AH3164"/>
    <mergeCell ref="AI3163:AI3164"/>
    <mergeCell ref="AJ3163:AJ3164"/>
    <mergeCell ref="AK3163:AK3164"/>
    <mergeCell ref="AK3153:AK3154"/>
    <mergeCell ref="AP3151:AP3152"/>
    <mergeCell ref="J3145:J3146"/>
    <mergeCell ref="N3145:N3146"/>
    <mergeCell ref="E3161:E3162"/>
    <mergeCell ref="F3161:F3162"/>
    <mergeCell ref="E3189:E3190"/>
    <mergeCell ref="F3189:F3190"/>
    <mergeCell ref="J3189:J3190"/>
    <mergeCell ref="N3189:N3190"/>
    <mergeCell ref="Y3189:Y3190"/>
    <mergeCell ref="AA3189:AA3190"/>
    <mergeCell ref="AB3189:AB3190"/>
    <mergeCell ref="AC3189:AC3190"/>
    <mergeCell ref="AD3189:AD3190"/>
    <mergeCell ref="AF3189:AF3190"/>
    <mergeCell ref="AG3189:AG3190"/>
    <mergeCell ref="AH3189:AH3190"/>
    <mergeCell ref="AI3189:AI3190"/>
    <mergeCell ref="AJ3189:AJ3190"/>
    <mergeCell ref="AK3189:AK3190"/>
    <mergeCell ref="AL3189:AL3190"/>
    <mergeCell ref="AM3189:AM3190"/>
    <mergeCell ref="AO3189:AO3190"/>
    <mergeCell ref="AP3189:AP3190"/>
    <mergeCell ref="E3191:E3192"/>
    <mergeCell ref="F3191:F3192"/>
    <mergeCell ref="J3191:J3192"/>
    <mergeCell ref="N3191:N3192"/>
    <mergeCell ref="Y3191:Y3192"/>
    <mergeCell ref="AA3191:AA3192"/>
    <mergeCell ref="AB3191:AB3192"/>
    <mergeCell ref="AC3191:AC3192"/>
    <mergeCell ref="AD3191:AD3192"/>
    <mergeCell ref="AF3191:AF3192"/>
    <mergeCell ref="AG3191:AG3192"/>
    <mergeCell ref="AH3191:AH3192"/>
    <mergeCell ref="AI3191:AI3192"/>
    <mergeCell ref="AJ3191:AJ3192"/>
    <mergeCell ref="AK3191:AK3192"/>
    <mergeCell ref="AL3191:AL3192"/>
    <mergeCell ref="AM3191:AM3192"/>
    <mergeCell ref="AO3191:AO3192"/>
    <mergeCell ref="AP3191:AP3192"/>
    <mergeCell ref="E3193:E3194"/>
    <mergeCell ref="F3193:F3194"/>
    <mergeCell ref="J3193:J3194"/>
    <mergeCell ref="N3193:N3194"/>
    <mergeCell ref="Y3193:Y3194"/>
    <mergeCell ref="AA3193:AA3194"/>
    <mergeCell ref="AB3193:AB3194"/>
    <mergeCell ref="AP3248:AP3249"/>
    <mergeCell ref="AI3256:AI3257"/>
    <mergeCell ref="AJ3256:AJ3257"/>
    <mergeCell ref="AK3256:AK3257"/>
    <mergeCell ref="AL3256:AL3257"/>
    <mergeCell ref="AM3256:AM3257"/>
    <mergeCell ref="AO3256:AO3257"/>
    <mergeCell ref="AP3256:AP3257"/>
    <mergeCell ref="AB3246:AB3247"/>
    <mergeCell ref="AC3246:AC3247"/>
    <mergeCell ref="AD3246:AD3247"/>
    <mergeCell ref="AF3246:AF3247"/>
    <mergeCell ref="AG3246:AG3247"/>
    <mergeCell ref="AH3246:AH3247"/>
    <mergeCell ref="AI3246:AI3247"/>
    <mergeCell ref="AJ3246:AJ3247"/>
    <mergeCell ref="AK3246:AK3247"/>
    <mergeCell ref="AL3246:AL3247"/>
    <mergeCell ref="AM3246:AM3247"/>
    <mergeCell ref="AO3246:AO3247"/>
    <mergeCell ref="AP3246:AP3247"/>
    <mergeCell ref="E3228:E3229"/>
    <mergeCell ref="F3228:F3229"/>
    <mergeCell ref="J3228:J3229"/>
    <mergeCell ref="N3228:N3229"/>
    <mergeCell ref="Y3228:Y3229"/>
    <mergeCell ref="AA3228:AA3229"/>
    <mergeCell ref="AB3228:AB3229"/>
    <mergeCell ref="E3238:E3239"/>
    <mergeCell ref="F3238:F3239"/>
    <mergeCell ref="J3238:J3239"/>
    <mergeCell ref="N3238:N3239"/>
    <mergeCell ref="Y3238:Y3239"/>
    <mergeCell ref="AA3238:AA3239"/>
    <mergeCell ref="AB3238:AB3239"/>
    <mergeCell ref="AC3238:AC3239"/>
    <mergeCell ref="AH3240:AH3241"/>
    <mergeCell ref="AI3240:AI3241"/>
    <mergeCell ref="AJ3240:AJ3241"/>
    <mergeCell ref="AK3240:AK3241"/>
    <mergeCell ref="AL3197:AL3198"/>
    <mergeCell ref="AM3197:AM3198"/>
    <mergeCell ref="AO3197:AO3198"/>
    <mergeCell ref="AD3199:AD3200"/>
    <mergeCell ref="AF3199:AF3200"/>
    <mergeCell ref="AG3199:AG3200"/>
    <mergeCell ref="AH3199:AH3200"/>
    <mergeCell ref="AI3199:AI3200"/>
    <mergeCell ref="AJ3199:AJ3200"/>
    <mergeCell ref="AK3199:AK3200"/>
    <mergeCell ref="AJ3205:AJ3206"/>
    <mergeCell ref="AL3232:AL3233"/>
    <mergeCell ref="AM3232:AM3233"/>
    <mergeCell ref="AO3232:AO3233"/>
    <mergeCell ref="AP3232:AP3233"/>
    <mergeCell ref="E3234:E3235"/>
    <mergeCell ref="F3234:F3235"/>
    <mergeCell ref="AB3234:AB3235"/>
    <mergeCell ref="AC3234:AC3235"/>
    <mergeCell ref="AD3234:AD3235"/>
    <mergeCell ref="AF3234:AF3235"/>
    <mergeCell ref="AG3234:AG3235"/>
    <mergeCell ref="AH3234:AH3235"/>
    <mergeCell ref="AI3234:AI3235"/>
    <mergeCell ref="AJ3234:AJ3235"/>
    <mergeCell ref="AK3234:AK3235"/>
    <mergeCell ref="AL3234:AL3235"/>
    <mergeCell ref="AM3234:AM3235"/>
    <mergeCell ref="AO3234:AO3235"/>
    <mergeCell ref="AP3234:AP3235"/>
    <mergeCell ref="AM3252:AM3253"/>
    <mergeCell ref="AO3252:AO3253"/>
    <mergeCell ref="AG3254:AG3255"/>
    <mergeCell ref="AH3254:AH3255"/>
    <mergeCell ref="AI3254:AI3255"/>
    <mergeCell ref="AJ3254:AJ3255"/>
    <mergeCell ref="AK3254:AK3255"/>
    <mergeCell ref="AL3254:AL3255"/>
    <mergeCell ref="AM3254:AM3255"/>
    <mergeCell ref="AM3240:AM3241"/>
    <mergeCell ref="AO3240:AO3241"/>
    <mergeCell ref="AP3240:AP3241"/>
    <mergeCell ref="E3246:E3247"/>
    <mergeCell ref="F3246:F3247"/>
    <mergeCell ref="J3246:J3247"/>
    <mergeCell ref="N3246:N3247"/>
    <mergeCell ref="Y3246:Y3247"/>
    <mergeCell ref="AA3246:AA3247"/>
    <mergeCell ref="AC3252:AC3253"/>
    <mergeCell ref="AP3252:AP3253"/>
    <mergeCell ref="E3244:E3245"/>
    <mergeCell ref="F3244:F3245"/>
    <mergeCell ref="J3244:J3245"/>
    <mergeCell ref="N3244:N3245"/>
    <mergeCell ref="Y3244:Y3245"/>
    <mergeCell ref="AA3244:AA3245"/>
    <mergeCell ref="AB3244:AB3245"/>
    <mergeCell ref="AC3244:AC3245"/>
    <mergeCell ref="AD3244:AD3245"/>
    <mergeCell ref="AF3244:AF3245"/>
    <mergeCell ref="AG3244:AG3245"/>
    <mergeCell ref="AH3244:AH3245"/>
    <mergeCell ref="AI3244:AI3245"/>
    <mergeCell ref="AJ3244:AJ3245"/>
    <mergeCell ref="AK3244:AK3245"/>
    <mergeCell ref="AL3244:AL3245"/>
    <mergeCell ref="AM3244:AM3245"/>
    <mergeCell ref="AO3244:AO3245"/>
    <mergeCell ref="AP3244:AP3245"/>
    <mergeCell ref="AA3254:AA3255"/>
    <mergeCell ref="AB3254:AB3255"/>
    <mergeCell ref="AC3254:AC3255"/>
    <mergeCell ref="AD3254:AD3255"/>
    <mergeCell ref="AF3254:AF3255"/>
    <mergeCell ref="AD3252:AD3253"/>
    <mergeCell ref="AF3252:AF3253"/>
    <mergeCell ref="AG3252:AG3253"/>
    <mergeCell ref="AH3252:AH3253"/>
    <mergeCell ref="AI3252:AI3253"/>
    <mergeCell ref="AJ3252:AJ3253"/>
    <mergeCell ref="AK3252:AK3253"/>
    <mergeCell ref="AP3305:AP3306"/>
    <mergeCell ref="AL3240:AL3241"/>
    <mergeCell ref="AC3277:AC3278"/>
    <mergeCell ref="AD3277:AD3278"/>
    <mergeCell ref="AF3277:AF3278"/>
    <mergeCell ref="AG3277:AG3278"/>
    <mergeCell ref="AH3277:AH3278"/>
    <mergeCell ref="AI3277:AI3278"/>
    <mergeCell ref="AJ3277:AJ3278"/>
    <mergeCell ref="AK3277:AK3278"/>
    <mergeCell ref="AL3285:AL3286"/>
    <mergeCell ref="AM3285:AM3286"/>
    <mergeCell ref="AO3285:AO3286"/>
    <mergeCell ref="AC3283:AC3284"/>
    <mergeCell ref="AD3283:AD3284"/>
    <mergeCell ref="AF3283:AF3284"/>
    <mergeCell ref="AG3283:AG3284"/>
    <mergeCell ref="AH3283:AH3284"/>
    <mergeCell ref="AA3337:AA3338"/>
    <mergeCell ref="AB3337:AB3338"/>
    <mergeCell ref="AC3337:AC3338"/>
    <mergeCell ref="AD3337:AD3338"/>
    <mergeCell ref="AF3337:AF3338"/>
    <mergeCell ref="AG3337:AG3338"/>
    <mergeCell ref="AH3337:AH3338"/>
    <mergeCell ref="AI3337:AI3338"/>
    <mergeCell ref="AJ3337:AJ3338"/>
    <mergeCell ref="AK3337:AK3338"/>
    <mergeCell ref="AL3337:AL3338"/>
    <mergeCell ref="AM3337:AM3338"/>
    <mergeCell ref="E3258:E3259"/>
    <mergeCell ref="F3258:F3259"/>
    <mergeCell ref="J3258:J3259"/>
    <mergeCell ref="N3258:N3259"/>
    <mergeCell ref="Y3258:Y3259"/>
    <mergeCell ref="AA3258:AA3259"/>
    <mergeCell ref="AB3258:AB3259"/>
    <mergeCell ref="AC3258:AC3259"/>
    <mergeCell ref="F3268:F3269"/>
    <mergeCell ref="J3268:J3269"/>
    <mergeCell ref="N3268:N3269"/>
    <mergeCell ref="Y3268:Y3269"/>
    <mergeCell ref="AA3268:AA3269"/>
    <mergeCell ref="AJ3248:AJ3249"/>
    <mergeCell ref="AK3248:AK3249"/>
    <mergeCell ref="AL3248:AL3249"/>
    <mergeCell ref="AM3248:AM3249"/>
    <mergeCell ref="AO3248:AO3249"/>
    <mergeCell ref="AD3258:AD3259"/>
    <mergeCell ref="AF3258:AF3259"/>
    <mergeCell ref="AG3258:AG3259"/>
    <mergeCell ref="AL3277:AL3278"/>
    <mergeCell ref="AM3277:AM3278"/>
    <mergeCell ref="AO3277:AO3278"/>
    <mergeCell ref="AD3264:AD3265"/>
    <mergeCell ref="AF3264:AF3265"/>
    <mergeCell ref="AG3264:AG3265"/>
    <mergeCell ref="AH3264:AH3265"/>
    <mergeCell ref="AI3264:AI3265"/>
    <mergeCell ref="AJ3264:AJ3265"/>
    <mergeCell ref="AK3264:AK3265"/>
    <mergeCell ref="AL3264:AL3265"/>
    <mergeCell ref="AM3264:AM3265"/>
    <mergeCell ref="AL3252:AL3253"/>
    <mergeCell ref="E3403:E3404"/>
    <mergeCell ref="F3403:F3404"/>
    <mergeCell ref="J3403:J3404"/>
    <mergeCell ref="N3403:N3404"/>
    <mergeCell ref="Y3403:Y3404"/>
    <mergeCell ref="AA3403:AA3404"/>
    <mergeCell ref="AB3403:AB3404"/>
    <mergeCell ref="AC3403:AC3404"/>
    <mergeCell ref="AD3403:AD3404"/>
    <mergeCell ref="AF3403:AF3404"/>
    <mergeCell ref="AG3403:AG3404"/>
    <mergeCell ref="AH3403:AH3404"/>
    <mergeCell ref="AH3393:AH3394"/>
    <mergeCell ref="AI3393:AI3394"/>
    <mergeCell ref="AJ3393:AJ3394"/>
    <mergeCell ref="E3377:E3378"/>
    <mergeCell ref="F3377:F3378"/>
    <mergeCell ref="J3377:J3378"/>
    <mergeCell ref="N3377:N3378"/>
    <mergeCell ref="Y3377:Y3378"/>
    <mergeCell ref="AA3377:AA3378"/>
    <mergeCell ref="AB3377:AB3378"/>
    <mergeCell ref="AC3377:AC3378"/>
    <mergeCell ref="AD3377:AD3378"/>
    <mergeCell ref="AF3377:AF3378"/>
    <mergeCell ref="AG3377:AG3378"/>
    <mergeCell ref="AH3377:AH3378"/>
    <mergeCell ref="AI3377:AI3378"/>
    <mergeCell ref="AJ3377:AJ3378"/>
    <mergeCell ref="Y3385:Y3386"/>
    <mergeCell ref="AA3385:AA3386"/>
    <mergeCell ref="AB3385:AB3386"/>
    <mergeCell ref="AI3283:AI3284"/>
    <mergeCell ref="E3283:E3284"/>
    <mergeCell ref="F3283:F3284"/>
    <mergeCell ref="J3283:J3284"/>
    <mergeCell ref="N3283:N3284"/>
    <mergeCell ref="AJ3283:AJ3284"/>
    <mergeCell ref="J3315:J3316"/>
    <mergeCell ref="N3315:N3316"/>
    <mergeCell ref="Y3315:Y3316"/>
    <mergeCell ref="AA3315:AA3316"/>
    <mergeCell ref="AB3315:AB3316"/>
    <mergeCell ref="AC3315:AC3316"/>
    <mergeCell ref="AD3315:AD3316"/>
    <mergeCell ref="AF3315:AF3316"/>
    <mergeCell ref="AG3315:AG3316"/>
    <mergeCell ref="AH3315:AH3316"/>
    <mergeCell ref="AI3315:AI3316"/>
    <mergeCell ref="AJ3315:AJ3316"/>
    <mergeCell ref="E3345:E3346"/>
    <mergeCell ref="F3345:F3346"/>
    <mergeCell ref="J3345:J3346"/>
    <mergeCell ref="N3345:N3346"/>
    <mergeCell ref="Y3345:Y3346"/>
    <mergeCell ref="AA3345:AA3346"/>
    <mergeCell ref="AB3345:AB3346"/>
    <mergeCell ref="AC3345:AC3346"/>
    <mergeCell ref="AD3345:AD3346"/>
    <mergeCell ref="AF3345:AF3346"/>
    <mergeCell ref="AG3345:AG3346"/>
    <mergeCell ref="AH3345:AH3346"/>
    <mergeCell ref="AI3345:AI3346"/>
    <mergeCell ref="AJ3345:AJ3346"/>
    <mergeCell ref="AK3397:AK3398"/>
    <mergeCell ref="AL3397:AL3398"/>
    <mergeCell ref="AM3397:AM3398"/>
    <mergeCell ref="AO3397:AO3398"/>
    <mergeCell ref="AP3397:AP3398"/>
    <mergeCell ref="AI3371:AI3372"/>
    <mergeCell ref="AJ3371:AJ3372"/>
    <mergeCell ref="E3393:E3394"/>
    <mergeCell ref="E3365:E3366"/>
    <mergeCell ref="F3365:F3366"/>
    <mergeCell ref="J3365:J3366"/>
    <mergeCell ref="N3365:N3366"/>
    <mergeCell ref="Y3365:Y3366"/>
    <mergeCell ref="AA3365:AA3366"/>
    <mergeCell ref="AB3365:AB3366"/>
    <mergeCell ref="AC3365:AC3366"/>
    <mergeCell ref="AD3365:AD3366"/>
    <mergeCell ref="AF3365:AF3366"/>
    <mergeCell ref="AG3365:AG3366"/>
    <mergeCell ref="J3387:J3388"/>
    <mergeCell ref="J3375:J3376"/>
    <mergeCell ref="AH3381:AH3382"/>
    <mergeCell ref="AI3381:AI3382"/>
    <mergeCell ref="AJ3381:AJ3382"/>
    <mergeCell ref="AH3365:AH3366"/>
    <mergeCell ref="AI3365:AI3366"/>
    <mergeCell ref="AJ3365:AJ3366"/>
    <mergeCell ref="Y3369:Y3370"/>
    <mergeCell ref="AA3369:AA3370"/>
    <mergeCell ref="AB3369:AB3370"/>
    <mergeCell ref="AC3369:AC3370"/>
    <mergeCell ref="AD3369:AD3370"/>
    <mergeCell ref="AF3369:AF3370"/>
    <mergeCell ref="AG3369:AG3370"/>
    <mergeCell ref="AH3369:AH3370"/>
    <mergeCell ref="AI3369:AI3370"/>
    <mergeCell ref="AJ3369:AJ3370"/>
    <mergeCell ref="AO3371:AO3372"/>
    <mergeCell ref="AP3371:AP3372"/>
    <mergeCell ref="AO3387:AO3388"/>
    <mergeCell ref="AP3387:AP3388"/>
    <mergeCell ref="E3369:E3370"/>
    <mergeCell ref="F3369:F3370"/>
    <mergeCell ref="N3369:N3370"/>
    <mergeCell ref="J3369:J3370"/>
    <mergeCell ref="E3371:E3372"/>
    <mergeCell ref="F3371:F3372"/>
    <mergeCell ref="J3371:J3372"/>
    <mergeCell ref="N3371:N3372"/>
    <mergeCell ref="Y3371:Y3372"/>
    <mergeCell ref="AA3371:AA3372"/>
    <mergeCell ref="AB3371:AB3372"/>
    <mergeCell ref="AC3371:AC3372"/>
    <mergeCell ref="AD3371:AD3372"/>
    <mergeCell ref="AF3371:AF3372"/>
    <mergeCell ref="AG3371:AG3372"/>
    <mergeCell ref="AH3371:AH3372"/>
    <mergeCell ref="AK3369:AK3370"/>
    <mergeCell ref="AL3369:AL3370"/>
    <mergeCell ref="AM3369:AM3370"/>
    <mergeCell ref="AO3369:AO3370"/>
    <mergeCell ref="AP3369:AP3370"/>
    <mergeCell ref="E3373:E3374"/>
    <mergeCell ref="F3373:F3374"/>
    <mergeCell ref="E3424:E3425"/>
    <mergeCell ref="F3424:F3425"/>
    <mergeCell ref="J3424:J3425"/>
    <mergeCell ref="N3424:N3425"/>
    <mergeCell ref="Y3424:Y3425"/>
    <mergeCell ref="AA3424:AA3425"/>
    <mergeCell ref="AB3424:AB3425"/>
    <mergeCell ref="AC3424:AC3425"/>
    <mergeCell ref="AD3424:AD3425"/>
    <mergeCell ref="AF3424:AF3425"/>
    <mergeCell ref="AG3424:AG3425"/>
    <mergeCell ref="AH3424:AH3425"/>
    <mergeCell ref="AI3424:AI3425"/>
    <mergeCell ref="AJ3424:AJ3425"/>
    <mergeCell ref="AK3424:AK3425"/>
    <mergeCell ref="AL3424:AL3425"/>
    <mergeCell ref="AM3424:AM3425"/>
    <mergeCell ref="AO3424:AO3425"/>
    <mergeCell ref="AP3424:AP3425"/>
    <mergeCell ref="E3426:E3427"/>
    <mergeCell ref="F3426:F3427"/>
    <mergeCell ref="J3426:J3427"/>
    <mergeCell ref="N3426:N3427"/>
    <mergeCell ref="Y3426:Y3427"/>
    <mergeCell ref="AK3393:AK3394"/>
    <mergeCell ref="AL3393:AL3394"/>
    <mergeCell ref="AM3393:AM3394"/>
    <mergeCell ref="AO3393:AO3394"/>
    <mergeCell ref="AP3393:AP3394"/>
    <mergeCell ref="J3395:J3396"/>
    <mergeCell ref="N3393:N3394"/>
    <mergeCell ref="Y3393:Y3394"/>
    <mergeCell ref="AA3393:AA3394"/>
    <mergeCell ref="AB3393:AB3394"/>
    <mergeCell ref="AC3393:AC3394"/>
    <mergeCell ref="AD3393:AD3394"/>
    <mergeCell ref="AF3393:AF3394"/>
    <mergeCell ref="AG3393:AG3394"/>
    <mergeCell ref="AM3395:AM3396"/>
    <mergeCell ref="AO3395:AO3396"/>
    <mergeCell ref="AP3395:AP3396"/>
    <mergeCell ref="AI3403:AI3404"/>
    <mergeCell ref="AJ3403:AJ3404"/>
    <mergeCell ref="AK3403:AK3404"/>
    <mergeCell ref="AL3403:AL3404"/>
    <mergeCell ref="AM3403:AM3404"/>
    <mergeCell ref="AO3403:AO3404"/>
    <mergeCell ref="AP3403:AP3404"/>
    <mergeCell ref="AK3395:AK3396"/>
    <mergeCell ref="AL3395:AL3396"/>
    <mergeCell ref="E3397:E3398"/>
    <mergeCell ref="F3397:F3398"/>
    <mergeCell ref="J3397:J3398"/>
    <mergeCell ref="N3397:N3398"/>
    <mergeCell ref="Y3397:Y3398"/>
    <mergeCell ref="AA3397:AA3398"/>
    <mergeCell ref="AB3397:AB3398"/>
    <mergeCell ref="AC3397:AC3398"/>
    <mergeCell ref="AD3397:AD3398"/>
    <mergeCell ref="AF3397:AF3398"/>
    <mergeCell ref="AG3397:AG3398"/>
    <mergeCell ref="AH3397:AH3398"/>
    <mergeCell ref="AI3397:AI3398"/>
    <mergeCell ref="AJ3397:AJ3398"/>
    <mergeCell ref="E375:E376"/>
    <mergeCell ref="E388:E389"/>
    <mergeCell ref="F388:F389"/>
    <mergeCell ref="J388:J389"/>
    <mergeCell ref="N388:N389"/>
    <mergeCell ref="Y388:Y389"/>
    <mergeCell ref="AA388:AA389"/>
    <mergeCell ref="AB388:AB389"/>
    <mergeCell ref="AC388:AC389"/>
    <mergeCell ref="AD388:AD389"/>
    <mergeCell ref="AF388:AF389"/>
    <mergeCell ref="AG388:AG389"/>
    <mergeCell ref="AH388:AH389"/>
    <mergeCell ref="AI388:AI389"/>
    <mergeCell ref="AJ388:AJ389"/>
    <mergeCell ref="AK388:AK389"/>
    <mergeCell ref="AL388:AL389"/>
    <mergeCell ref="AM388:AM389"/>
    <mergeCell ref="AO388:AO389"/>
    <mergeCell ref="AP388:AP389"/>
    <mergeCell ref="E390:E391"/>
    <mergeCell ref="F390:F391"/>
    <mergeCell ref="J390:J391"/>
    <mergeCell ref="N390:N391"/>
    <mergeCell ref="Y390:Y391"/>
    <mergeCell ref="AA390:AA391"/>
    <mergeCell ref="AB390:AB391"/>
    <mergeCell ref="AC390:AC391"/>
    <mergeCell ref="F375:F376"/>
    <mergeCell ref="J375:J376"/>
    <mergeCell ref="N375:N376"/>
    <mergeCell ref="AD375:AD376"/>
    <mergeCell ref="AI390:AI391"/>
    <mergeCell ref="AJ390:AJ391"/>
    <mergeCell ref="AK390:AK391"/>
    <mergeCell ref="AL390:AL391"/>
    <mergeCell ref="AM390:AM391"/>
    <mergeCell ref="AO390:AO391"/>
    <mergeCell ref="AP390:AP391"/>
    <mergeCell ref="E382:E383"/>
    <mergeCell ref="F382:F383"/>
    <mergeCell ref="J382:J383"/>
    <mergeCell ref="N382:N383"/>
    <mergeCell ref="Y382:Y383"/>
    <mergeCell ref="AA382:AA383"/>
    <mergeCell ref="AB382:AB383"/>
    <mergeCell ref="AC382:AC383"/>
    <mergeCell ref="AD382:AD383"/>
    <mergeCell ref="E380:E381"/>
    <mergeCell ref="F380:F381"/>
    <mergeCell ref="J380:J381"/>
    <mergeCell ref="N380:N381"/>
    <mergeCell ref="Y380:Y381"/>
    <mergeCell ref="AA380:AA381"/>
    <mergeCell ref="AB380:AB381"/>
    <mergeCell ref="AC380:AC381"/>
    <mergeCell ref="AD380:AD381"/>
    <mergeCell ref="AF380:AF381"/>
    <mergeCell ref="AG380:AG381"/>
    <mergeCell ref="AH380:AH381"/>
    <mergeCell ref="AI380:AI381"/>
    <mergeCell ref="AJ380:AJ381"/>
    <mergeCell ref="AL399:AL400"/>
    <mergeCell ref="AM399:AM400"/>
    <mergeCell ref="AO399:AO400"/>
    <mergeCell ref="AP399:AP400"/>
    <mergeCell ref="AA615:AA616"/>
    <mergeCell ref="AB615:AB616"/>
    <mergeCell ref="AM621:AM622"/>
    <mergeCell ref="AO621:AO622"/>
    <mergeCell ref="AP621:AP622"/>
    <mergeCell ref="AJ553:AJ554"/>
    <mergeCell ref="Y625:Y626"/>
    <mergeCell ref="AM625:AM626"/>
    <mergeCell ref="AL601:AL602"/>
    <mergeCell ref="AM601:AM602"/>
    <mergeCell ref="AM603:AM604"/>
    <mergeCell ref="AL603:AL604"/>
    <mergeCell ref="AP609:AP610"/>
    <mergeCell ref="AJ601:AJ602"/>
    <mergeCell ref="AJ603:AJ604"/>
    <mergeCell ref="AJ605:AJ606"/>
    <mergeCell ref="AJ607:AJ608"/>
    <mergeCell ref="AJ609:AJ610"/>
    <mergeCell ref="AJ611:AJ612"/>
    <mergeCell ref="AL674:AL675"/>
    <mergeCell ref="AM674:AM675"/>
    <mergeCell ref="AO674:AO675"/>
    <mergeCell ref="AK660:AK661"/>
    <mergeCell ref="AL660:AL661"/>
    <mergeCell ref="AM660:AM661"/>
    <mergeCell ref="AO660:AO661"/>
    <mergeCell ref="AJ652:AJ653"/>
    <mergeCell ref="E674:E675"/>
    <mergeCell ref="F674:F675"/>
    <mergeCell ref="J674:J675"/>
    <mergeCell ref="N674:N675"/>
    <mergeCell ref="Y674:Y675"/>
    <mergeCell ref="AA674:AA675"/>
    <mergeCell ref="AB674:AB675"/>
    <mergeCell ref="AC674:AC675"/>
    <mergeCell ref="AD674:AD675"/>
    <mergeCell ref="F637:F638"/>
    <mergeCell ref="J637:J638"/>
    <mergeCell ref="N637:N638"/>
    <mergeCell ref="Y637:Y638"/>
    <mergeCell ref="AA637:AA638"/>
    <mergeCell ref="AB637:AB638"/>
    <mergeCell ref="AC637:AC638"/>
    <mergeCell ref="AD637:AD638"/>
    <mergeCell ref="AF637:AF638"/>
    <mergeCell ref="AG637:AG638"/>
    <mergeCell ref="AH637:AH638"/>
    <mergeCell ref="E641:E642"/>
    <mergeCell ref="AM666:AM667"/>
    <mergeCell ref="AO666:AO667"/>
    <mergeCell ref="E639:E640"/>
    <mergeCell ref="F639:F640"/>
    <mergeCell ref="J639:J640"/>
    <mergeCell ref="AG639:AG640"/>
    <mergeCell ref="AH639:AH640"/>
    <mergeCell ref="AI639:AI640"/>
    <mergeCell ref="AJ639:AJ640"/>
    <mergeCell ref="AK639:AK640"/>
    <mergeCell ref="AL639:AL640"/>
    <mergeCell ref="AM639:AM640"/>
    <mergeCell ref="F666:F667"/>
    <mergeCell ref="J666:J667"/>
    <mergeCell ref="N666:N667"/>
    <mergeCell ref="E647:E648"/>
    <mergeCell ref="AL637:AL638"/>
    <mergeCell ref="AM637:AM638"/>
    <mergeCell ref="AO637:AO638"/>
    <mergeCell ref="AK668:AK669"/>
    <mergeCell ref="AL668:AL669"/>
    <mergeCell ref="AH684:AH685"/>
    <mergeCell ref="AI684:AI685"/>
    <mergeCell ref="AJ684:AJ685"/>
    <mergeCell ref="AK684:AK685"/>
    <mergeCell ref="AL684:AL685"/>
    <mergeCell ref="AM684:AM685"/>
    <mergeCell ref="AO684:AO685"/>
    <mergeCell ref="E833:E834"/>
    <mergeCell ref="F833:F834"/>
    <mergeCell ref="J833:J834"/>
    <mergeCell ref="N833:N834"/>
    <mergeCell ref="Y833:Y834"/>
    <mergeCell ref="AA833:AA834"/>
    <mergeCell ref="AB833:AB834"/>
    <mergeCell ref="AC833:AC834"/>
    <mergeCell ref="AD833:AD834"/>
    <mergeCell ref="AF833:AF834"/>
    <mergeCell ref="AG833:AG834"/>
    <mergeCell ref="AH833:AH834"/>
    <mergeCell ref="AI833:AI834"/>
    <mergeCell ref="AJ833:AJ834"/>
    <mergeCell ref="AK833:AK834"/>
    <mergeCell ref="AL833:AL834"/>
    <mergeCell ref="AM833:AM834"/>
    <mergeCell ref="AO833:AO834"/>
    <mergeCell ref="E825:E826"/>
    <mergeCell ref="F825:F826"/>
    <mergeCell ref="J825:J826"/>
    <mergeCell ref="N825:N826"/>
    <mergeCell ref="Y825:Y826"/>
    <mergeCell ref="AA825:AA826"/>
    <mergeCell ref="AB825:AB826"/>
    <mergeCell ref="AC825:AC826"/>
    <mergeCell ref="AD825:AD826"/>
    <mergeCell ref="AF825:AF826"/>
    <mergeCell ref="AG825:AG826"/>
    <mergeCell ref="AH825:AH826"/>
    <mergeCell ref="E686:E687"/>
    <mergeCell ref="F686:F687"/>
    <mergeCell ref="J686:J687"/>
    <mergeCell ref="N686:N687"/>
    <mergeCell ref="Y686:Y687"/>
    <mergeCell ref="AA686:AA687"/>
    <mergeCell ref="AD686:AD687"/>
    <mergeCell ref="AF686:AF687"/>
    <mergeCell ref="AF791:AF792"/>
    <mergeCell ref="AG686:AG687"/>
    <mergeCell ref="AH686:AH687"/>
    <mergeCell ref="AI686:AI687"/>
    <mergeCell ref="AJ686:AJ687"/>
    <mergeCell ref="AK686:AK687"/>
    <mergeCell ref="AL686:AL687"/>
    <mergeCell ref="AM686:AM687"/>
    <mergeCell ref="AO686:AO687"/>
    <mergeCell ref="AO696:AO697"/>
    <mergeCell ref="E682:E683"/>
    <mergeCell ref="F682:F683"/>
    <mergeCell ref="J682:J683"/>
    <mergeCell ref="N682:N683"/>
    <mergeCell ref="Y682:Y683"/>
    <mergeCell ref="AA682:AA683"/>
    <mergeCell ref="AB682:AB683"/>
    <mergeCell ref="AC682:AC683"/>
    <mergeCell ref="AD682:AD683"/>
    <mergeCell ref="AF682:AF683"/>
    <mergeCell ref="AG682:AG683"/>
    <mergeCell ref="AH682:AH683"/>
    <mergeCell ref="AI682:AI683"/>
    <mergeCell ref="AJ682:AJ683"/>
    <mergeCell ref="AK682:AK683"/>
    <mergeCell ref="AL682:AL683"/>
    <mergeCell ref="AM682:AM683"/>
    <mergeCell ref="AO682:AO683"/>
    <mergeCell ref="J789:J790"/>
    <mergeCell ref="AG743:AG744"/>
    <mergeCell ref="J745:J746"/>
    <mergeCell ref="N745:N746"/>
    <mergeCell ref="Y745:Y746"/>
    <mergeCell ref="E694:E695"/>
    <mergeCell ref="F694:F695"/>
    <mergeCell ref="J694:J695"/>
    <mergeCell ref="N694:N695"/>
    <mergeCell ref="Y694:Y695"/>
    <mergeCell ref="AA694:AA695"/>
    <mergeCell ref="AB694:AB695"/>
    <mergeCell ref="AC694:AC695"/>
    <mergeCell ref="AD694:AD695"/>
    <mergeCell ref="AF694:AF695"/>
    <mergeCell ref="AG694:AG695"/>
    <mergeCell ref="AH694:AH695"/>
    <mergeCell ref="AI694:AI695"/>
    <mergeCell ref="AJ694:AJ695"/>
    <mergeCell ref="AK694:AK695"/>
    <mergeCell ref="AL694:AL695"/>
    <mergeCell ref="AM694:AM695"/>
    <mergeCell ref="AO694:AO695"/>
    <mergeCell ref="J715:J716"/>
    <mergeCell ref="N715:N716"/>
    <mergeCell ref="AM735:AM736"/>
    <mergeCell ref="AK741:AK742"/>
    <mergeCell ref="AL741:AL742"/>
    <mergeCell ref="N737:N738"/>
    <mergeCell ref="AD737:AD738"/>
    <mergeCell ref="AG696:AG697"/>
    <mergeCell ref="AH696:AH697"/>
    <mergeCell ref="AI696:AI697"/>
    <mergeCell ref="AJ696:AJ697"/>
    <mergeCell ref="AK696:AK697"/>
    <mergeCell ref="AL696:AL697"/>
    <mergeCell ref="AM696:AM697"/>
    <mergeCell ref="AA753:AA754"/>
    <mergeCell ref="AG753:AG754"/>
    <mergeCell ref="AH753:AH754"/>
    <mergeCell ref="AI753:AI754"/>
    <mergeCell ref="AG759:AG760"/>
    <mergeCell ref="AH759:AH760"/>
    <mergeCell ref="AI759:AI760"/>
    <mergeCell ref="AJ759:AJ760"/>
    <mergeCell ref="AK759:AK760"/>
    <mergeCell ref="E894:E895"/>
    <mergeCell ref="F894:F895"/>
    <mergeCell ref="N894:N895"/>
    <mergeCell ref="Y894:Y895"/>
    <mergeCell ref="AA894:AA895"/>
    <mergeCell ref="AB894:AB895"/>
    <mergeCell ref="AC894:AC895"/>
    <mergeCell ref="AM898:AM899"/>
    <mergeCell ref="AF914:AF915"/>
    <mergeCell ref="AG914:AG915"/>
    <mergeCell ref="E912:E913"/>
    <mergeCell ref="F912:F913"/>
    <mergeCell ref="J912:J913"/>
    <mergeCell ref="AJ904:AJ905"/>
    <mergeCell ref="AK904:AK905"/>
    <mergeCell ref="AL904:AL905"/>
    <mergeCell ref="AM904:AM905"/>
    <mergeCell ref="AO904:AO905"/>
    <mergeCell ref="AP904:AP905"/>
    <mergeCell ref="E873:E874"/>
    <mergeCell ref="E906:E907"/>
    <mergeCell ref="AO910:AO911"/>
    <mergeCell ref="AP910:AP911"/>
    <mergeCell ref="N912:N913"/>
    <mergeCell ref="Y912:Y913"/>
    <mergeCell ref="AA912:AA913"/>
    <mergeCell ref="AB912:AB913"/>
    <mergeCell ref="AC912:AC913"/>
    <mergeCell ref="AD912:AD913"/>
    <mergeCell ref="AF912:AF913"/>
    <mergeCell ref="AG912:AG913"/>
    <mergeCell ref="AH912:AH913"/>
    <mergeCell ref="AI912:AI913"/>
    <mergeCell ref="AJ912:AJ913"/>
    <mergeCell ref="AK912:AK913"/>
    <mergeCell ref="AL912:AL913"/>
    <mergeCell ref="AM912:AM913"/>
    <mergeCell ref="AO912:AO913"/>
    <mergeCell ref="AH906:AH907"/>
    <mergeCell ref="AI906:AI907"/>
    <mergeCell ref="AJ906:AJ907"/>
    <mergeCell ref="N886:N887"/>
    <mergeCell ref="Y886:Y887"/>
    <mergeCell ref="AA886:AA887"/>
    <mergeCell ref="AB886:AB887"/>
    <mergeCell ref="AC886:AC887"/>
    <mergeCell ref="AD886:AD887"/>
    <mergeCell ref="AF886:AF887"/>
    <mergeCell ref="AA873:AA874"/>
    <mergeCell ref="AB873:AB874"/>
    <mergeCell ref="AC873:AC874"/>
    <mergeCell ref="AD873:AD874"/>
    <mergeCell ref="AF873:AF874"/>
    <mergeCell ref="AG873:AG874"/>
    <mergeCell ref="AH873:AH874"/>
    <mergeCell ref="AI873:AI874"/>
    <mergeCell ref="AJ873:AJ874"/>
    <mergeCell ref="AK873:AK874"/>
    <mergeCell ref="AL873:AL874"/>
    <mergeCell ref="AM873:AM874"/>
    <mergeCell ref="AO873:AO874"/>
    <mergeCell ref="AP873:AP874"/>
    <mergeCell ref="E875:E876"/>
    <mergeCell ref="F875:F876"/>
    <mergeCell ref="AP916:AP917"/>
    <mergeCell ref="E941:E942"/>
    <mergeCell ref="F941:F942"/>
    <mergeCell ref="J941:J942"/>
    <mergeCell ref="N941:N942"/>
    <mergeCell ref="Y941:Y942"/>
    <mergeCell ref="AA941:AA942"/>
    <mergeCell ref="AB941:AB942"/>
    <mergeCell ref="AC941:AC942"/>
    <mergeCell ref="AD941:AD942"/>
    <mergeCell ref="AF941:AF942"/>
    <mergeCell ref="AG941:AG942"/>
    <mergeCell ref="AH941:AH942"/>
    <mergeCell ref="AI941:AI942"/>
    <mergeCell ref="AJ941:AJ942"/>
    <mergeCell ref="AF918:AF919"/>
    <mergeCell ref="AG918:AG919"/>
    <mergeCell ref="AH918:AH919"/>
    <mergeCell ref="AI918:AI919"/>
    <mergeCell ref="AJ918:AJ919"/>
    <mergeCell ref="J914:J915"/>
    <mergeCell ref="AC916:AC917"/>
    <mergeCell ref="AD916:AD917"/>
    <mergeCell ref="AF916:AF917"/>
    <mergeCell ref="AG916:AG917"/>
    <mergeCell ref="AH916:AH917"/>
    <mergeCell ref="AI916:AI917"/>
    <mergeCell ref="AJ916:AJ917"/>
    <mergeCell ref="AO943:AO944"/>
    <mergeCell ref="AP943:AP944"/>
    <mergeCell ref="AP947:AP948"/>
    <mergeCell ref="AO926:AO927"/>
    <mergeCell ref="AP926:AP927"/>
    <mergeCell ref="E928:E929"/>
    <mergeCell ref="F928:F929"/>
    <mergeCell ref="J928:J929"/>
    <mergeCell ref="N928:N929"/>
    <mergeCell ref="Y928:Y929"/>
    <mergeCell ref="AA928:AA929"/>
    <mergeCell ref="AB928:AB929"/>
    <mergeCell ref="AC928:AC929"/>
    <mergeCell ref="AD928:AD929"/>
    <mergeCell ref="AF928:AF929"/>
    <mergeCell ref="AG928:AG929"/>
    <mergeCell ref="AH928:AH929"/>
    <mergeCell ref="AI928:AI929"/>
    <mergeCell ref="AJ928:AJ929"/>
    <mergeCell ref="AD930:AD931"/>
    <mergeCell ref="E924:E925"/>
    <mergeCell ref="F924:F925"/>
    <mergeCell ref="J924:J925"/>
    <mergeCell ref="N924:N925"/>
    <mergeCell ref="Y924:Y925"/>
    <mergeCell ref="AA924:AA925"/>
    <mergeCell ref="AB924:AB925"/>
    <mergeCell ref="AC924:AC925"/>
    <mergeCell ref="AD924:AD925"/>
    <mergeCell ref="AF924:AF925"/>
    <mergeCell ref="AG924:AG925"/>
    <mergeCell ref="AM914:AM915"/>
    <mergeCell ref="AO914:AO915"/>
    <mergeCell ref="AM945:AM946"/>
    <mergeCell ref="F938:F939"/>
    <mergeCell ref="J938:J939"/>
    <mergeCell ref="E1182:E1183"/>
    <mergeCell ref="F1182:F1183"/>
    <mergeCell ref="AP1174:AP1175"/>
    <mergeCell ref="AO1172:AO1173"/>
    <mergeCell ref="AP1172:AP1173"/>
    <mergeCell ref="E1186:E1187"/>
    <mergeCell ref="F1186:F1187"/>
    <mergeCell ref="E1170:E1171"/>
    <mergeCell ref="F1170:F1171"/>
    <mergeCell ref="J1170:J1171"/>
    <mergeCell ref="N1170:N1171"/>
    <mergeCell ref="Y1170:Y1171"/>
    <mergeCell ref="AA1170:AA1171"/>
    <mergeCell ref="AB1170:AB1171"/>
    <mergeCell ref="AC1170:AC1171"/>
    <mergeCell ref="AD1170:AD1171"/>
    <mergeCell ref="AF1170:AF1171"/>
    <mergeCell ref="AH1170:AH1171"/>
    <mergeCell ref="AI1170:AI1171"/>
    <mergeCell ref="AJ1170:AJ1171"/>
    <mergeCell ref="AM1164:AM1165"/>
    <mergeCell ref="AO1164:AO1165"/>
    <mergeCell ref="AP1164:AP1165"/>
    <mergeCell ref="E1166:E1167"/>
    <mergeCell ref="AL1168:AL1169"/>
    <mergeCell ref="AM1168:AM1169"/>
    <mergeCell ref="AO1168:AO1169"/>
    <mergeCell ref="AP1168:AP1169"/>
    <mergeCell ref="AL1170:AL1171"/>
    <mergeCell ref="J1168:J1169"/>
    <mergeCell ref="N1168:N1169"/>
    <mergeCell ref="Y1168:Y1169"/>
    <mergeCell ref="J1186:J1187"/>
    <mergeCell ref="N1186:N1187"/>
    <mergeCell ref="Y1186:Y1187"/>
    <mergeCell ref="AA1186:AA1187"/>
    <mergeCell ref="AM1182:AM1183"/>
    <mergeCell ref="AO1182:AO1183"/>
    <mergeCell ref="AP1182:AP1183"/>
    <mergeCell ref="N1166:N1167"/>
    <mergeCell ref="Y1166:Y1167"/>
    <mergeCell ref="AA1166:AA1167"/>
    <mergeCell ref="AB1166:AB1167"/>
    <mergeCell ref="AC1166:AC1167"/>
    <mergeCell ref="AD1166:AD1167"/>
    <mergeCell ref="AF1166:AF1167"/>
    <mergeCell ref="AG1166:AG1167"/>
    <mergeCell ref="AH1166:AH1167"/>
    <mergeCell ref="AI1166:AI1167"/>
    <mergeCell ref="AJ1166:AJ1167"/>
    <mergeCell ref="AK1166:AK1167"/>
    <mergeCell ref="F1166:F1167"/>
    <mergeCell ref="J1166:J1167"/>
    <mergeCell ref="AL1166:AL1167"/>
    <mergeCell ref="AM1166:AM1167"/>
    <mergeCell ref="AO1166:AO1167"/>
    <mergeCell ref="AP1166:AP1167"/>
    <mergeCell ref="AH1182:AH1183"/>
    <mergeCell ref="E1188:E1189"/>
    <mergeCell ref="F1188:F1189"/>
    <mergeCell ref="J1188:J1189"/>
    <mergeCell ref="N1188:N1189"/>
    <mergeCell ref="F1243:F1244"/>
    <mergeCell ref="J1237:J1238"/>
    <mergeCell ref="N1237:N1238"/>
    <mergeCell ref="Y1237:Y1238"/>
    <mergeCell ref="E1205:E1206"/>
    <mergeCell ref="F1205:F1206"/>
    <mergeCell ref="J1205:J1206"/>
    <mergeCell ref="N1205:N1206"/>
    <mergeCell ref="Y1205:Y1206"/>
    <mergeCell ref="AA1205:AA1206"/>
    <mergeCell ref="AC1201:AC1202"/>
    <mergeCell ref="AF1199:AF1200"/>
    <mergeCell ref="AG1199:AG1200"/>
    <mergeCell ref="AH1199:AH1200"/>
    <mergeCell ref="AI1199:AI1200"/>
    <mergeCell ref="AP1221:AP1222"/>
    <mergeCell ref="AM1223:AM1224"/>
    <mergeCell ref="AP1223:AP1224"/>
    <mergeCell ref="AH1235:AH1236"/>
    <mergeCell ref="F1235:F1236"/>
    <mergeCell ref="N1231:N1232"/>
    <mergeCell ref="AJ1219:AJ1220"/>
    <mergeCell ref="AJ1221:AJ1222"/>
    <mergeCell ref="AJ1223:AJ1224"/>
    <mergeCell ref="AJ1225:AJ1226"/>
    <mergeCell ref="AJ1227:AJ1228"/>
    <mergeCell ref="AJ1229:AJ1230"/>
    <mergeCell ref="AJ1231:AJ1232"/>
    <mergeCell ref="AH1227:AH1228"/>
    <mergeCell ref="AI1227:AI1228"/>
    <mergeCell ref="AD1227:AD1228"/>
    <mergeCell ref="AI1225:AI1226"/>
    <mergeCell ref="AK1229:AK1230"/>
    <mergeCell ref="AB1225:AB1226"/>
    <mergeCell ref="N1225:N1226"/>
    <mergeCell ref="AO1227:AO1228"/>
    <mergeCell ref="AO1217:AO1218"/>
    <mergeCell ref="AJ1211:AJ1212"/>
    <mergeCell ref="AJ1213:AJ1214"/>
    <mergeCell ref="AJ1215:AJ1216"/>
    <mergeCell ref="AJ1217:AJ1218"/>
    <mergeCell ref="AP1239:AP1240"/>
    <mergeCell ref="Y1209:Y1210"/>
    <mergeCell ref="AI1207:AI1208"/>
    <mergeCell ref="AK1207:AK1208"/>
    <mergeCell ref="Y1219:Y1220"/>
    <mergeCell ref="J1215:J1216"/>
    <mergeCell ref="N1215:N1216"/>
    <mergeCell ref="AL1207:AL1208"/>
    <mergeCell ref="J1217:J1218"/>
    <mergeCell ref="N1217:N1218"/>
    <mergeCell ref="J1211:J1212"/>
    <mergeCell ref="N1219:N1220"/>
    <mergeCell ref="N1213:N1214"/>
    <mergeCell ref="J1201:J1202"/>
    <mergeCell ref="N1201:N1202"/>
    <mergeCell ref="J1190:J1191"/>
    <mergeCell ref="N1190:N1191"/>
    <mergeCell ref="Y1190:Y1191"/>
    <mergeCell ref="AA1190:AA1191"/>
    <mergeCell ref="AG1072:AG1073"/>
    <mergeCell ref="AH1072:AH1073"/>
    <mergeCell ref="AI1068:AI1069"/>
    <mergeCell ref="AJ1068:AJ1069"/>
    <mergeCell ref="AK1068:AK1069"/>
    <mergeCell ref="AL1068:AL1069"/>
    <mergeCell ref="E1103:E1104"/>
    <mergeCell ref="F1103:F1104"/>
    <mergeCell ref="J1103:J1104"/>
    <mergeCell ref="N1103:N1104"/>
    <mergeCell ref="Y1103:Y1104"/>
    <mergeCell ref="AA1103:AA1104"/>
    <mergeCell ref="AB1103:AB1104"/>
    <mergeCell ref="AC1103:AC1104"/>
    <mergeCell ref="AD1103:AD1104"/>
    <mergeCell ref="AF1103:AF1104"/>
    <mergeCell ref="AG1103:AG1104"/>
    <mergeCell ref="AH1103:AH1104"/>
    <mergeCell ref="AI1103:AI1104"/>
    <mergeCell ref="AJ1103:AJ1104"/>
    <mergeCell ref="AK1103:AK1104"/>
    <mergeCell ref="AP1068:AP1069"/>
    <mergeCell ref="AF1085:AF1086"/>
    <mergeCell ref="AG1085:AG1086"/>
    <mergeCell ref="AH1085:AH1086"/>
    <mergeCell ref="AP1097:AP1098"/>
    <mergeCell ref="E1080:E1081"/>
    <mergeCell ref="F1080:F1081"/>
    <mergeCell ref="J1080:J1081"/>
    <mergeCell ref="N1080:N1081"/>
    <mergeCell ref="Y1080:Y1081"/>
    <mergeCell ref="AA1080:AA1081"/>
    <mergeCell ref="AB1080:AB1081"/>
    <mergeCell ref="AC1080:AC1081"/>
    <mergeCell ref="AD1080:AD1081"/>
    <mergeCell ref="AF1080:AF1081"/>
    <mergeCell ref="AG1080:AG1081"/>
    <mergeCell ref="AH1080:AH1081"/>
    <mergeCell ref="AI1080:AI1081"/>
    <mergeCell ref="AJ1080:AJ1081"/>
    <mergeCell ref="AK1080:AK1081"/>
    <mergeCell ref="AL1080:AL1081"/>
    <mergeCell ref="AD1068:AD1069"/>
    <mergeCell ref="AF1068:AF1069"/>
    <mergeCell ref="AG1068:AG1069"/>
    <mergeCell ref="AH1068:AH1069"/>
    <mergeCell ref="AD1085:AD1086"/>
    <mergeCell ref="E1078:E1079"/>
    <mergeCell ref="F1078:F1079"/>
    <mergeCell ref="J1078:J1079"/>
    <mergeCell ref="N1078:N1079"/>
    <mergeCell ref="Y1078:Y1079"/>
    <mergeCell ref="AA1078:AA1079"/>
    <mergeCell ref="AB1078:AB1079"/>
    <mergeCell ref="AC1078:AC1079"/>
    <mergeCell ref="AD1078:AD1079"/>
    <mergeCell ref="AF1078:AF1079"/>
    <mergeCell ref="AG1078:AG1079"/>
    <mergeCell ref="AH1078:AH1079"/>
    <mergeCell ref="AI1078:AI1079"/>
    <mergeCell ref="AJ1078:AJ1079"/>
    <mergeCell ref="AK1078:AK1079"/>
    <mergeCell ref="AL1078:AL1079"/>
    <mergeCell ref="AM1078:AM1079"/>
    <mergeCell ref="AI1494:AI1495"/>
    <mergeCell ref="AP1396:AP1397"/>
    <mergeCell ref="N1420:N1421"/>
    <mergeCell ref="Y1420:Y1421"/>
    <mergeCell ref="AA1420:AA1421"/>
    <mergeCell ref="N1337:N1338"/>
    <mergeCell ref="Y1337:Y1338"/>
    <mergeCell ref="AA1337:AA1338"/>
    <mergeCell ref="AB1337:AB1338"/>
    <mergeCell ref="AC1337:AC1338"/>
    <mergeCell ref="AD1337:AD1338"/>
    <mergeCell ref="AF1337:AF1338"/>
    <mergeCell ref="AG1337:AG1338"/>
    <mergeCell ref="AC1506:AC1507"/>
    <mergeCell ref="AD1506:AD1507"/>
    <mergeCell ref="AF1506:AF1507"/>
    <mergeCell ref="AG1506:AG1507"/>
    <mergeCell ref="AH1506:AH1507"/>
    <mergeCell ref="E1384:E1385"/>
    <mergeCell ref="F1384:F1385"/>
    <mergeCell ref="Y1362:Y1363"/>
    <mergeCell ref="E1398:E1399"/>
    <mergeCell ref="E1412:E1413"/>
    <mergeCell ref="AP1406:AP1407"/>
    <mergeCell ref="AL1402:AL1403"/>
    <mergeCell ref="AB1472:AB1473"/>
    <mergeCell ref="AA1472:AA1473"/>
    <mergeCell ref="AG1476:AG1477"/>
    <mergeCell ref="AI1450:AI1451"/>
    <mergeCell ref="AG1452:AG1453"/>
    <mergeCell ref="AH1452:AH1453"/>
    <mergeCell ref="AJ1468:AJ1469"/>
    <mergeCell ref="AJ1470:AJ1471"/>
    <mergeCell ref="AJ1472:AJ1473"/>
    <mergeCell ref="AG1464:AG1465"/>
    <mergeCell ref="AH1464:AH1465"/>
    <mergeCell ref="AI1464:AI1465"/>
    <mergeCell ref="AJ1448:AJ1449"/>
    <mergeCell ref="AP1482:AP1483"/>
    <mergeCell ref="N1484:N1485"/>
    <mergeCell ref="Y1484:Y1485"/>
    <mergeCell ref="AA1484:AA1485"/>
    <mergeCell ref="AB1484:AB1485"/>
    <mergeCell ref="AC1484:AC1485"/>
    <mergeCell ref="AD1484:AD1485"/>
    <mergeCell ref="AF1484:AF1485"/>
    <mergeCell ref="AG1484:AG1485"/>
    <mergeCell ref="AH1484:AH1485"/>
    <mergeCell ref="AI1484:AI1485"/>
    <mergeCell ref="AJ1484:AJ1485"/>
    <mergeCell ref="AK1484:AK1485"/>
    <mergeCell ref="AL1484:AL1485"/>
    <mergeCell ref="AM1484:AM1485"/>
    <mergeCell ref="AO1484:AO1485"/>
    <mergeCell ref="AP1484:AP1485"/>
    <mergeCell ref="AA1488:AA1489"/>
    <mergeCell ref="AL1458:AL1459"/>
    <mergeCell ref="Y1462:Y1463"/>
    <mergeCell ref="AA1462:AA1463"/>
    <mergeCell ref="AO1490:AO1491"/>
    <mergeCell ref="N1468:N1469"/>
    <mergeCell ref="Y1468:Y1469"/>
    <mergeCell ref="N1458:N1459"/>
    <mergeCell ref="Y1458:Y1459"/>
    <mergeCell ref="AF1603:AF1604"/>
    <mergeCell ref="AG1603:AG1604"/>
    <mergeCell ref="AH1603:AH1604"/>
    <mergeCell ref="AI1603:AI1604"/>
    <mergeCell ref="AJ1603:AJ1604"/>
    <mergeCell ref="AK1603:AK1604"/>
    <mergeCell ref="AL1603:AL1604"/>
    <mergeCell ref="AM1603:AM1604"/>
    <mergeCell ref="AO1603:AO1604"/>
    <mergeCell ref="AJ1589:AJ1590"/>
    <mergeCell ref="AK1589:AK1590"/>
    <mergeCell ref="AL1589:AL1590"/>
    <mergeCell ref="AM1589:AM1590"/>
    <mergeCell ref="AO1589:AO1590"/>
    <mergeCell ref="J1583:J1584"/>
    <mergeCell ref="N1583:N1584"/>
    <mergeCell ref="Y1583:Y1584"/>
    <mergeCell ref="AA1583:AA1584"/>
    <mergeCell ref="AB1583:AB1584"/>
    <mergeCell ref="AC1583:AC1584"/>
    <mergeCell ref="AD1583:AD1584"/>
    <mergeCell ref="AA1589:AA1590"/>
    <mergeCell ref="AB1589:AB1590"/>
    <mergeCell ref="AC1589:AC1590"/>
    <mergeCell ref="AD1589:AD1590"/>
    <mergeCell ref="AF1589:AF1590"/>
    <mergeCell ref="AG1589:AG1590"/>
    <mergeCell ref="AH1589:AH1590"/>
    <mergeCell ref="AI1589:AI1590"/>
    <mergeCell ref="AJ1599:AJ1600"/>
    <mergeCell ref="AK1599:AK1600"/>
    <mergeCell ref="AL1599:AL1600"/>
    <mergeCell ref="J1585:J1586"/>
    <mergeCell ref="N1585:N1586"/>
    <mergeCell ref="Y1585:Y1586"/>
    <mergeCell ref="AH1599:AH1600"/>
    <mergeCell ref="J1591:J1592"/>
    <mergeCell ref="N1591:N1592"/>
    <mergeCell ref="Y1591:Y1592"/>
    <mergeCell ref="AA1591:AA1592"/>
    <mergeCell ref="AK1595:AK1596"/>
    <mergeCell ref="AP1617:AP1618"/>
    <mergeCell ref="AL1611:AL1612"/>
    <mergeCell ref="E1605:E1606"/>
    <mergeCell ref="F1605:F1606"/>
    <mergeCell ref="J1605:J1606"/>
    <mergeCell ref="N1605:N1606"/>
    <mergeCell ref="Y1605:Y1606"/>
    <mergeCell ref="AA1605:AA1606"/>
    <mergeCell ref="AB1605:AB1606"/>
    <mergeCell ref="AC1605:AC1606"/>
    <mergeCell ref="AD1605:AD1606"/>
    <mergeCell ref="AO1632:AO1633"/>
    <mergeCell ref="AH1656:AH1657"/>
    <mergeCell ref="J1640:J1641"/>
    <mergeCell ref="AF1642:AF1643"/>
    <mergeCell ref="AG1642:AG1643"/>
    <mergeCell ref="AH1642:AH1643"/>
    <mergeCell ref="Y1648:Y1649"/>
    <mergeCell ref="Y1640:Y1641"/>
    <mergeCell ref="AK1648:AK1649"/>
    <mergeCell ref="AL1648:AL1649"/>
    <mergeCell ref="AL1650:AL1651"/>
    <mergeCell ref="AL1634:AL1635"/>
    <mergeCell ref="AD1648:AD1649"/>
    <mergeCell ref="AO1656:AO1657"/>
    <mergeCell ref="AO1648:AO1649"/>
    <mergeCell ref="AO1652:AO1653"/>
    <mergeCell ref="AI1638:AI1639"/>
    <mergeCell ref="AK1638:AK1639"/>
    <mergeCell ref="AL1638:AL1639"/>
    <mergeCell ref="AP1630:AP1631"/>
    <mergeCell ref="AP1632:AP1633"/>
    <mergeCell ref="AM1634:AM1635"/>
    <mergeCell ref="AP1634:AP1635"/>
    <mergeCell ref="AM1636:AM1637"/>
    <mergeCell ref="AP1636:AP1637"/>
    <mergeCell ref="AM1644:AM1645"/>
    <mergeCell ref="AP1644:AP1645"/>
    <mergeCell ref="AO1636:AO1637"/>
    <mergeCell ref="AO1644:AO1645"/>
    <mergeCell ref="AO1650:AO1651"/>
    <mergeCell ref="AO1634:AO1635"/>
    <mergeCell ref="AC1642:AC1643"/>
    <mergeCell ref="AD1642:AD1643"/>
    <mergeCell ref="AK1630:AK1631"/>
    <mergeCell ref="F1654:F1655"/>
    <mergeCell ref="F1613:F1614"/>
    <mergeCell ref="J1613:J1614"/>
    <mergeCell ref="N1613:N1614"/>
    <mergeCell ref="Y1613:Y1614"/>
    <mergeCell ref="AA1613:AA1614"/>
    <mergeCell ref="AB1613:AB1614"/>
    <mergeCell ref="AC1613:AC1614"/>
    <mergeCell ref="AD1613:AD1614"/>
    <mergeCell ref="AF1613:AF1614"/>
    <mergeCell ref="AG1613:AG1614"/>
    <mergeCell ref="AH1613:AH1614"/>
    <mergeCell ref="AI1613:AI1614"/>
    <mergeCell ref="AJ1613:AJ1614"/>
    <mergeCell ref="AK1613:AK1614"/>
    <mergeCell ref="AL1613:AL1614"/>
    <mergeCell ref="AM1613:AM1614"/>
    <mergeCell ref="AO1613:AO1614"/>
    <mergeCell ref="AP1613:AP1614"/>
    <mergeCell ref="AM1730:AM1731"/>
    <mergeCell ref="AO1730:AO1731"/>
    <mergeCell ref="AP1730:AP1731"/>
    <mergeCell ref="E1732:E1733"/>
    <mergeCell ref="F1732:F1733"/>
    <mergeCell ref="J1732:J1733"/>
    <mergeCell ref="N1732:N1733"/>
    <mergeCell ref="Y1732:Y1733"/>
    <mergeCell ref="AA1732:AA1733"/>
    <mergeCell ref="AB1732:AB1733"/>
    <mergeCell ref="AC1732:AC1733"/>
    <mergeCell ref="AD1732:AD1733"/>
    <mergeCell ref="AF1732:AF1733"/>
    <mergeCell ref="AG1732:AG1733"/>
    <mergeCell ref="AH1732:AH1733"/>
    <mergeCell ref="AI1732:AI1733"/>
    <mergeCell ref="AJ1732:AJ1733"/>
    <mergeCell ref="AK1732:AK1733"/>
    <mergeCell ref="AL1732:AL1733"/>
    <mergeCell ref="AM1732:AM1733"/>
    <mergeCell ref="AO1732:AO1733"/>
    <mergeCell ref="AP1732:AP1733"/>
    <mergeCell ref="AC1724:AC1725"/>
    <mergeCell ref="AD1724:AD1725"/>
    <mergeCell ref="AF1724:AF1725"/>
    <mergeCell ref="AG1724:AG1725"/>
    <mergeCell ref="AH1724:AH1725"/>
    <mergeCell ref="AI1724:AI1725"/>
    <mergeCell ref="AJ1724:AJ1725"/>
    <mergeCell ref="AK1724:AK1725"/>
    <mergeCell ref="AL1724:AL1725"/>
    <mergeCell ref="E1664:E1665"/>
    <mergeCell ref="F1664:F1665"/>
    <mergeCell ref="J1664:J1665"/>
    <mergeCell ref="E1670:E1671"/>
    <mergeCell ref="F1670:F1671"/>
    <mergeCell ref="AP1692:AP1693"/>
    <mergeCell ref="AP1694:AP1695"/>
    <mergeCell ref="E1700:E1701"/>
    <mergeCell ref="F1700:F1701"/>
    <mergeCell ref="AB1700:AB1701"/>
    <mergeCell ref="AL1670:AL1671"/>
    <mergeCell ref="AM1670:AM1671"/>
    <mergeCell ref="AO1670:AO1671"/>
    <mergeCell ref="AP1670:AP1671"/>
    <mergeCell ref="E1692:E1693"/>
    <mergeCell ref="F1692:F1693"/>
    <mergeCell ref="N1698:N1699"/>
    <mergeCell ref="Y1698:Y1699"/>
    <mergeCell ref="E1698:E1699"/>
    <mergeCell ref="AB1684:AB1685"/>
    <mergeCell ref="AC1684:AC1685"/>
    <mergeCell ref="AD1684:AD1685"/>
    <mergeCell ref="AF1684:AF1685"/>
    <mergeCell ref="AG1684:AG1685"/>
    <mergeCell ref="AH1684:AH1685"/>
    <mergeCell ref="AL1726:AL1727"/>
    <mergeCell ref="AP1726:AP1727"/>
    <mergeCell ref="E1728:E1729"/>
    <mergeCell ref="F1728:F1729"/>
    <mergeCell ref="AP1720:AP1721"/>
    <mergeCell ref="J1692:J1693"/>
    <mergeCell ref="N1692:N1693"/>
    <mergeCell ref="N1708:N1709"/>
    <mergeCell ref="AP1779:AP1780"/>
    <mergeCell ref="E1775:E1776"/>
    <mergeCell ref="F1775:F1776"/>
    <mergeCell ref="J1775:J1776"/>
    <mergeCell ref="AP1773:AP1774"/>
    <mergeCell ref="E1773:E1774"/>
    <mergeCell ref="F1773:F1774"/>
    <mergeCell ref="J1773:J1774"/>
    <mergeCell ref="N1773:N1774"/>
    <mergeCell ref="Y1773:Y1774"/>
    <mergeCell ref="AA1773:AA1774"/>
    <mergeCell ref="AB1773:AB1774"/>
    <mergeCell ref="AC1773:AC1774"/>
    <mergeCell ref="AH1783:AH1784"/>
    <mergeCell ref="AI1783:AI1784"/>
    <mergeCell ref="AJ1783:AJ1784"/>
    <mergeCell ref="AK1783:AK1784"/>
    <mergeCell ref="AO1775:AO1776"/>
    <mergeCell ref="AP1775:AP1776"/>
    <mergeCell ref="E1777:E1778"/>
    <mergeCell ref="F1777:F1778"/>
    <mergeCell ref="J1777:J1778"/>
    <mergeCell ref="AG1783:AG1784"/>
    <mergeCell ref="AL1740:AL1741"/>
    <mergeCell ref="AM1740:AM1741"/>
    <mergeCell ref="AO1740:AO1741"/>
    <mergeCell ref="AP1740:AP1741"/>
    <mergeCell ref="AK1740:AK1741"/>
    <mergeCell ref="AK1736:AK1737"/>
    <mergeCell ref="AL1736:AL1737"/>
    <mergeCell ref="AM1736:AM1737"/>
    <mergeCell ref="F1740:F1741"/>
    <mergeCell ref="AA1736:AA1737"/>
    <mergeCell ref="AB1736:AB1737"/>
    <mergeCell ref="AB1756:AB1757"/>
    <mergeCell ref="AC1756:AC1757"/>
    <mergeCell ref="AD1756:AD1757"/>
    <mergeCell ref="AF1756:AF1757"/>
    <mergeCell ref="AG1756:AG1757"/>
    <mergeCell ref="AH1756:AH1757"/>
    <mergeCell ref="AI1756:AI1757"/>
    <mergeCell ref="AJ1756:AJ1757"/>
    <mergeCell ref="AK1756:AK1757"/>
    <mergeCell ref="AL1756:AL1757"/>
    <mergeCell ref="AM1756:AM1757"/>
    <mergeCell ref="AO1756:AO1757"/>
    <mergeCell ref="AP1756:AP1757"/>
    <mergeCell ref="E1760:E1761"/>
    <mergeCell ref="F1750:F1751"/>
    <mergeCell ref="J1750:J1751"/>
    <mergeCell ref="N1750:N1751"/>
    <mergeCell ref="Y1750:Y1751"/>
    <mergeCell ref="AA1750:AA1751"/>
    <mergeCell ref="AB1750:AB1751"/>
    <mergeCell ref="AC1750:AC1751"/>
    <mergeCell ref="AD1750:AD1751"/>
    <mergeCell ref="AF1750:AF1751"/>
    <mergeCell ref="AP1744:AP1745"/>
    <mergeCell ref="E1748:E1749"/>
    <mergeCell ref="F1748:F1749"/>
    <mergeCell ref="J1748:J1749"/>
    <mergeCell ref="N1748:N1749"/>
    <mergeCell ref="Y1748:Y1749"/>
    <mergeCell ref="AA1748:AA1749"/>
    <mergeCell ref="AD1814:AD1815"/>
    <mergeCell ref="AF1814:AF1815"/>
    <mergeCell ref="E1826:E1827"/>
    <mergeCell ref="F1826:F1827"/>
    <mergeCell ref="J1826:J1827"/>
    <mergeCell ref="N1826:N1827"/>
    <mergeCell ref="AI1826:AI1827"/>
    <mergeCell ref="AJ1826:AJ1827"/>
    <mergeCell ref="AK1826:AK1827"/>
    <mergeCell ref="AL1826:AL1827"/>
    <mergeCell ref="AM1826:AM1827"/>
    <mergeCell ref="AO1826:AO1827"/>
    <mergeCell ref="J1785:J1786"/>
    <mergeCell ref="AH1818:AH1819"/>
    <mergeCell ref="AI1818:AI1819"/>
    <mergeCell ref="E1789:E1790"/>
    <mergeCell ref="F1789:F1790"/>
    <mergeCell ref="J1789:J1790"/>
    <mergeCell ref="N1789:N1790"/>
    <mergeCell ref="Y1789:Y1790"/>
    <mergeCell ref="AA1789:AA1790"/>
    <mergeCell ref="AB1789:AB1790"/>
    <mergeCell ref="AC1789:AC1790"/>
    <mergeCell ref="AD1789:AD1790"/>
    <mergeCell ref="AF1789:AF1790"/>
    <mergeCell ref="AG1789:AG1790"/>
    <mergeCell ref="AH1789:AH1790"/>
    <mergeCell ref="AI1789:AI1790"/>
    <mergeCell ref="AJ1789:AJ1790"/>
    <mergeCell ref="AK1789:AK1790"/>
    <mergeCell ref="AL1789:AL1790"/>
    <mergeCell ref="AM1789:AM1790"/>
    <mergeCell ref="AO1789:AO1790"/>
    <mergeCell ref="AK1820:AK1821"/>
    <mergeCell ref="AL1820:AL1821"/>
    <mergeCell ref="AM1820:AM1821"/>
    <mergeCell ref="AO1820:AO1821"/>
    <mergeCell ref="E1808:E1809"/>
    <mergeCell ref="F1808:F1809"/>
    <mergeCell ref="J1808:J1809"/>
    <mergeCell ref="N1808:N1809"/>
    <mergeCell ref="Y1808:Y1809"/>
    <mergeCell ref="AA1808:AA1809"/>
    <mergeCell ref="AB1808:AB1809"/>
    <mergeCell ref="AG1814:AG1815"/>
    <mergeCell ref="AH1814:AH1815"/>
    <mergeCell ref="AI1814:AI1815"/>
    <mergeCell ref="AJ1814:AJ1815"/>
    <mergeCell ref="AK1814:AK1815"/>
    <mergeCell ref="AL1814:AL1815"/>
    <mergeCell ref="AM1814:AM1815"/>
    <mergeCell ref="AO1814:AO1815"/>
    <mergeCell ref="AC1808:AC1809"/>
    <mergeCell ref="AD1808:AD1809"/>
    <mergeCell ref="AF1808:AF1809"/>
    <mergeCell ref="AG1808:AG1809"/>
    <mergeCell ref="AH1808:AH1809"/>
    <mergeCell ref="AI1808:AI1809"/>
    <mergeCell ref="AJ1808:AJ1809"/>
    <mergeCell ref="E1820:E1821"/>
    <mergeCell ref="F1820:F1821"/>
    <mergeCell ref="J1820:J1821"/>
    <mergeCell ref="N1820:N1821"/>
    <mergeCell ref="Y1820:Y1821"/>
    <mergeCell ref="AP1814:AP1815"/>
    <mergeCell ref="AI1864:AI1865"/>
    <mergeCell ref="AJ1864:AJ1865"/>
    <mergeCell ref="AK1864:AK1865"/>
    <mergeCell ref="AL1864:AL1865"/>
    <mergeCell ref="AM1864:AM1865"/>
    <mergeCell ref="AO1864:AO1865"/>
    <mergeCell ref="AP1864:AP1865"/>
    <mergeCell ref="AP1816:AP1817"/>
    <mergeCell ref="AD1967:AD1968"/>
    <mergeCell ref="AC1955:AC1956"/>
    <mergeCell ref="AD1955:AD1956"/>
    <mergeCell ref="AF1955:AF1956"/>
    <mergeCell ref="AG1955:AG1956"/>
    <mergeCell ref="AH1955:AH1956"/>
    <mergeCell ref="AI1955:AI1956"/>
    <mergeCell ref="AJ1955:AJ1956"/>
    <mergeCell ref="AK1955:AK1956"/>
    <mergeCell ref="AL1955:AL1956"/>
    <mergeCell ref="AM1955:AM1956"/>
    <mergeCell ref="AO1955:AO1956"/>
    <mergeCell ref="AM1931:AM1932"/>
    <mergeCell ref="AO1931:AO1932"/>
    <mergeCell ref="AK1923:AK1924"/>
    <mergeCell ref="AL1923:AL1924"/>
    <mergeCell ref="AC1820:AC1821"/>
    <mergeCell ref="AD1820:AD1821"/>
    <mergeCell ref="AF1820:AF1821"/>
    <mergeCell ref="AG1820:AG1821"/>
    <mergeCell ref="AH1820:AH1821"/>
    <mergeCell ref="AI1820:AI1821"/>
    <mergeCell ref="AJ1820:AJ1821"/>
    <mergeCell ref="AP2050:AP2051"/>
    <mergeCell ref="AP2032:AP2033"/>
    <mergeCell ref="AP2026:AP2027"/>
    <mergeCell ref="AL1971:AL1972"/>
    <mergeCell ref="AM1971:AM1972"/>
    <mergeCell ref="AO1971:AO1972"/>
    <mergeCell ref="AP1971:AP1972"/>
    <mergeCell ref="AI2032:AI2033"/>
    <mergeCell ref="AJ2032:AJ2033"/>
    <mergeCell ref="AK2032:AK2033"/>
    <mergeCell ref="AL2032:AL2033"/>
    <mergeCell ref="AM2032:AM2033"/>
    <mergeCell ref="AO2014:AO2015"/>
    <mergeCell ref="AH1969:AH1970"/>
    <mergeCell ref="AI1969:AI1970"/>
    <mergeCell ref="AJ1969:AJ1970"/>
    <mergeCell ref="AK1969:AK1970"/>
    <mergeCell ref="AL1969:AL1970"/>
    <mergeCell ref="AM1969:AM1970"/>
    <mergeCell ref="AO1969:AO1970"/>
    <mergeCell ref="AP1969:AP1970"/>
    <mergeCell ref="AC1941:AC1942"/>
    <mergeCell ref="AL1927:AL1928"/>
    <mergeCell ref="AH1923:AH1924"/>
    <mergeCell ref="AP1951:AP1952"/>
    <mergeCell ref="AM1957:AM1958"/>
    <mergeCell ref="AO1957:AO1958"/>
    <mergeCell ref="AC1915:AC1916"/>
    <mergeCell ref="AG1868:AG1869"/>
    <mergeCell ref="AH1868:AH1869"/>
    <mergeCell ref="AI1868:AI1869"/>
    <mergeCell ref="AJ1868:AJ1869"/>
    <mergeCell ref="N1981:N1982"/>
    <mergeCell ref="Y1981:Y1982"/>
    <mergeCell ref="AA1981:AA1982"/>
    <mergeCell ref="AB1981:AB1982"/>
    <mergeCell ref="AC1981:AC1982"/>
    <mergeCell ref="AD1981:AD1982"/>
    <mergeCell ref="AF1981:AF1982"/>
    <mergeCell ref="AG1981:AG1982"/>
    <mergeCell ref="AH1981:AH1982"/>
    <mergeCell ref="AI1981:AI1982"/>
    <mergeCell ref="AJ1981:AJ1982"/>
    <mergeCell ref="AK1981:AK1982"/>
    <mergeCell ref="AO1983:AO1984"/>
    <mergeCell ref="AP1983:AP1984"/>
    <mergeCell ref="AO1981:AO1982"/>
    <mergeCell ref="AP1981:AP1982"/>
    <mergeCell ref="F1983:F1984"/>
    <mergeCell ref="J1983:J1984"/>
    <mergeCell ref="N1983:N1984"/>
    <mergeCell ref="Y1983:Y1984"/>
    <mergeCell ref="AA1983:AA1984"/>
    <mergeCell ref="AB1983:AB1984"/>
    <mergeCell ref="AC1983:AC1984"/>
    <mergeCell ref="AD1983:AD1984"/>
    <mergeCell ref="AF1983:AF1984"/>
    <mergeCell ref="AG1983:AG1984"/>
    <mergeCell ref="F1985:F1986"/>
    <mergeCell ref="J1985:J1986"/>
    <mergeCell ref="N1985:N1986"/>
    <mergeCell ref="Y1985:Y1986"/>
    <mergeCell ref="N2056:N2057"/>
    <mergeCell ref="Y2056:Y2057"/>
    <mergeCell ref="AA2056:AA2057"/>
    <mergeCell ref="Y2054:Y2055"/>
    <mergeCell ref="AA2054:AA2055"/>
    <mergeCell ref="AB2054:AB2055"/>
    <mergeCell ref="AL2038:AL2039"/>
    <mergeCell ref="AO2038:AO2039"/>
    <mergeCell ref="AD2040:AD2041"/>
    <mergeCell ref="AF2040:AF2041"/>
    <mergeCell ref="AD2036:AD2037"/>
    <mergeCell ref="AD2020:AD2021"/>
    <mergeCell ref="AL2036:AL2037"/>
    <mergeCell ref="AK2014:AK2015"/>
    <mergeCell ref="AM2014:AM2015"/>
    <mergeCell ref="AO2026:AO2027"/>
    <mergeCell ref="F2034:F2035"/>
    <mergeCell ref="J2034:J2035"/>
    <mergeCell ref="F2032:F2033"/>
    <mergeCell ref="J2032:J2033"/>
    <mergeCell ref="N2032:N2033"/>
    <mergeCell ref="Y2032:Y2033"/>
    <mergeCell ref="AA2032:AA2033"/>
    <mergeCell ref="AB2032:AB2033"/>
    <mergeCell ref="AC2032:AC2033"/>
    <mergeCell ref="AD2032:AD2033"/>
    <mergeCell ref="AF2032:AF2033"/>
    <mergeCell ref="AG2032:AG2033"/>
    <mergeCell ref="AH2032:AH2033"/>
    <mergeCell ref="F2054:F2055"/>
    <mergeCell ref="J2054:J2055"/>
    <mergeCell ref="AM2048:AM2049"/>
    <mergeCell ref="AP2048:AP2049"/>
    <mergeCell ref="AO2042:AO2043"/>
    <mergeCell ref="E1981:E1982"/>
    <mergeCell ref="AK1983:AK1984"/>
    <mergeCell ref="AL1983:AL1984"/>
    <mergeCell ref="AM1983:AM1984"/>
    <mergeCell ref="E1983:E1984"/>
    <mergeCell ref="AJ2036:AJ2037"/>
    <mergeCell ref="AJ2038:AJ2039"/>
    <mergeCell ref="AJ2040:AJ2041"/>
    <mergeCell ref="E2050:E2051"/>
    <mergeCell ref="F2050:F2051"/>
    <mergeCell ref="J2050:J2051"/>
    <mergeCell ref="AO2050:AO2051"/>
    <mergeCell ref="E1985:E1986"/>
    <mergeCell ref="AA1971:AA1972"/>
    <mergeCell ref="AB1971:AB1972"/>
    <mergeCell ref="AC1971:AC1972"/>
    <mergeCell ref="AD1971:AD1972"/>
    <mergeCell ref="AF1971:AF1972"/>
    <mergeCell ref="AK2040:AK2041"/>
    <mergeCell ref="AL2040:AL2041"/>
    <mergeCell ref="AG2036:AG2037"/>
    <mergeCell ref="AD2000:AD2001"/>
    <mergeCell ref="AF2024:AF2025"/>
    <mergeCell ref="AP2040:AP2041"/>
    <mergeCell ref="AL2030:AL2031"/>
    <mergeCell ref="E2026:E2027"/>
    <mergeCell ref="AO2032:AO2033"/>
    <mergeCell ref="AJ2163:AJ2164"/>
    <mergeCell ref="AJ2165:AJ2166"/>
    <mergeCell ref="AM2143:AM2144"/>
    <mergeCell ref="E2133:E2134"/>
    <mergeCell ref="E2135:E2136"/>
    <mergeCell ref="F2135:F2136"/>
    <mergeCell ref="J2135:J2136"/>
    <mergeCell ref="N2135:N2136"/>
    <mergeCell ref="E2139:E2140"/>
    <mergeCell ref="E2064:E2065"/>
    <mergeCell ref="F2064:F2065"/>
    <mergeCell ref="J2064:J2065"/>
    <mergeCell ref="N2064:N2065"/>
    <mergeCell ref="Y2064:Y2065"/>
    <mergeCell ref="AA2064:AA2065"/>
    <mergeCell ref="AB2064:AB2065"/>
    <mergeCell ref="AC2064:AC2065"/>
    <mergeCell ref="AD2064:AD2065"/>
    <mergeCell ref="AF2064:AF2065"/>
    <mergeCell ref="AG2064:AG2065"/>
    <mergeCell ref="AH2064:AH2065"/>
    <mergeCell ref="AI2064:AI2065"/>
    <mergeCell ref="AJ2064:AJ2065"/>
    <mergeCell ref="AK2064:AK2065"/>
    <mergeCell ref="AL2064:AL2065"/>
    <mergeCell ref="AM2064:AM2065"/>
    <mergeCell ref="AO2064:AO2065"/>
    <mergeCell ref="E2074:E2075"/>
    <mergeCell ref="F2074:F2075"/>
    <mergeCell ref="J2074:J2075"/>
    <mergeCell ref="N2074:N2075"/>
    <mergeCell ref="Y2074:Y2075"/>
    <mergeCell ref="AA2074:AA2075"/>
    <mergeCell ref="Y2088:Y2089"/>
    <mergeCell ref="AA2088:AA2089"/>
    <mergeCell ref="AB2088:AB2089"/>
    <mergeCell ref="AA2066:AA2067"/>
    <mergeCell ref="E2086:E2087"/>
    <mergeCell ref="F2086:F2087"/>
    <mergeCell ref="J2086:J2087"/>
    <mergeCell ref="N2086:N2087"/>
    <mergeCell ref="Y2086:Y2087"/>
    <mergeCell ref="AA2086:AA2087"/>
    <mergeCell ref="AB2086:AB2087"/>
    <mergeCell ref="AB2080:AB2081"/>
    <mergeCell ref="AO2070:AO2071"/>
    <mergeCell ref="AB2098:AB2099"/>
    <mergeCell ref="AC2098:AC2099"/>
    <mergeCell ref="AD2098:AD2099"/>
    <mergeCell ref="J2108:J2109"/>
    <mergeCell ref="N2108:N2109"/>
    <mergeCell ref="Y2108:Y2109"/>
    <mergeCell ref="AA2108:AA2109"/>
    <mergeCell ref="AB2108:AB2109"/>
    <mergeCell ref="AC2108:AC2109"/>
    <mergeCell ref="AD2108:AD2109"/>
    <mergeCell ref="AF2108:AF2109"/>
    <mergeCell ref="AG2108:AG2109"/>
    <mergeCell ref="AH2108:AH2109"/>
    <mergeCell ref="AI2108:AI2109"/>
    <mergeCell ref="AJ2108:AJ2109"/>
    <mergeCell ref="AK2108:AK2109"/>
    <mergeCell ref="AL2108:AL2109"/>
    <mergeCell ref="AA2145:AA2146"/>
    <mergeCell ref="N2145:N2146"/>
    <mergeCell ref="AC2149:AC2150"/>
    <mergeCell ref="AP2159:AP2160"/>
    <mergeCell ref="AJ2159:AJ2160"/>
    <mergeCell ref="AI2147:AI2148"/>
    <mergeCell ref="AL2131:AL2132"/>
    <mergeCell ref="AO2147:AO2148"/>
    <mergeCell ref="AO2133:AO2134"/>
    <mergeCell ref="AO2149:AO2150"/>
    <mergeCell ref="AO2155:AO2156"/>
    <mergeCell ref="AP2137:AP2138"/>
    <mergeCell ref="Y2127:Y2128"/>
    <mergeCell ref="AA2127:AA2128"/>
    <mergeCell ref="AA2147:AA2148"/>
    <mergeCell ref="E2153:E2154"/>
    <mergeCell ref="F2153:F2154"/>
    <mergeCell ref="J2153:J2154"/>
    <mergeCell ref="N2153:N2154"/>
    <mergeCell ref="AB2155:AB2156"/>
    <mergeCell ref="AB2147:AB2148"/>
    <mergeCell ref="AC2147:AC2148"/>
    <mergeCell ref="AG2149:AG2150"/>
    <mergeCell ref="AH2149:AH2150"/>
    <mergeCell ref="AG2139:AG2140"/>
    <mergeCell ref="AH2139:AH2140"/>
    <mergeCell ref="AI2139:AI2140"/>
    <mergeCell ref="AL2147:AL2148"/>
    <mergeCell ref="N2149:N2150"/>
    <mergeCell ref="Y2147:Y2148"/>
    <mergeCell ref="AK2139:AK2140"/>
    <mergeCell ref="Y2141:Y2142"/>
    <mergeCell ref="AA2141:AA2142"/>
    <mergeCell ref="AK2151:AK2152"/>
    <mergeCell ref="Y2143:Y2144"/>
    <mergeCell ref="AA2143:AA2144"/>
    <mergeCell ref="AB2143:AB2144"/>
    <mergeCell ref="E2159:E2160"/>
    <mergeCell ref="AP2139:AP2140"/>
    <mergeCell ref="AM2141:AM2142"/>
    <mergeCell ref="AK2135:AK2136"/>
    <mergeCell ref="AO2127:AO2128"/>
    <mergeCell ref="F2137:F2138"/>
    <mergeCell ref="F2127:F2128"/>
    <mergeCell ref="F2149:F2150"/>
    <mergeCell ref="E2141:E2142"/>
    <mergeCell ref="F2151:F2152"/>
    <mergeCell ref="AK2133:AK2134"/>
    <mergeCell ref="AL2133:AL2134"/>
    <mergeCell ref="J2411:J2412"/>
    <mergeCell ref="AF2413:AF2414"/>
    <mergeCell ref="AK2269:AK2270"/>
    <mergeCell ref="AB2259:AB2260"/>
    <mergeCell ref="AC2259:AC2260"/>
    <mergeCell ref="AD2259:AD2260"/>
    <mergeCell ref="AF2259:AF2260"/>
    <mergeCell ref="AG2259:AG2260"/>
    <mergeCell ref="AH2259:AH2260"/>
    <mergeCell ref="AI2259:AI2260"/>
    <mergeCell ref="AJ2259:AJ2260"/>
    <mergeCell ref="AK2259:AK2260"/>
    <mergeCell ref="F2271:F2272"/>
    <mergeCell ref="Y2271:Y2272"/>
    <mergeCell ref="AA2271:AA2272"/>
    <mergeCell ref="AB2271:AB2272"/>
    <mergeCell ref="AC2271:AC2272"/>
    <mergeCell ref="AD2271:AD2272"/>
    <mergeCell ref="AF2271:AF2272"/>
    <mergeCell ref="AG2271:AG2272"/>
    <mergeCell ref="AH2271:AH2272"/>
    <mergeCell ref="AI2271:AI2272"/>
    <mergeCell ref="AJ2271:AJ2272"/>
    <mergeCell ref="AK2271:AK2272"/>
    <mergeCell ref="E2233:E2234"/>
    <mergeCell ref="E2229:E2230"/>
    <mergeCell ref="AH2229:AH2230"/>
    <mergeCell ref="AI2229:AI2230"/>
    <mergeCell ref="AK2229:AK2230"/>
    <mergeCell ref="E2401:E2402"/>
    <mergeCell ref="E2381:E2382"/>
    <mergeCell ref="F2381:F2382"/>
    <mergeCell ref="E2353:E2354"/>
    <mergeCell ref="F2353:F2354"/>
    <mergeCell ref="AK2255:AK2256"/>
    <mergeCell ref="Y2277:Y2278"/>
    <mergeCell ref="AF2355:AF2356"/>
    <mergeCell ref="AG2355:AG2356"/>
    <mergeCell ref="AA2261:AA2262"/>
    <mergeCell ref="AB2261:AB2262"/>
    <mergeCell ref="AC2261:AC2262"/>
    <mergeCell ref="AD2261:AD2262"/>
    <mergeCell ref="AF2261:AF2262"/>
    <mergeCell ref="AG2261:AG2262"/>
    <mergeCell ref="AH2261:AH2262"/>
    <mergeCell ref="AI2261:AI2262"/>
    <mergeCell ref="AJ2261:AJ2262"/>
    <mergeCell ref="AK2261:AK2262"/>
    <mergeCell ref="J2261:J2262"/>
    <mergeCell ref="N2261:N2262"/>
    <mergeCell ref="Y2261:Y2262"/>
    <mergeCell ref="E2267:E2268"/>
    <mergeCell ref="E2281:E2282"/>
    <mergeCell ref="AA2281:AA2282"/>
    <mergeCell ref="AB2281:AB2282"/>
    <mergeCell ref="N2281:N2282"/>
    <mergeCell ref="Y2281:Y2282"/>
    <mergeCell ref="AA2361:AA2362"/>
    <mergeCell ref="AG2387:AG2388"/>
    <mergeCell ref="AM2345:AM2346"/>
    <mergeCell ref="AO2345:AO2346"/>
    <mergeCell ref="AP2345:AP2346"/>
    <mergeCell ref="AP2355:AP2356"/>
    <mergeCell ref="AM2361:AM2362"/>
    <mergeCell ref="F2419:F2420"/>
    <mergeCell ref="J2419:J2420"/>
    <mergeCell ref="F2417:F2418"/>
    <mergeCell ref="J2417:J2418"/>
    <mergeCell ref="N2417:N2418"/>
    <mergeCell ref="N2405:N2406"/>
    <mergeCell ref="N2413:N2414"/>
    <mergeCell ref="N2409:N2410"/>
    <mergeCell ref="AF2411:AF2412"/>
    <mergeCell ref="AK2411:AK2412"/>
    <mergeCell ref="AL2411:AL2412"/>
    <mergeCell ref="AB2407:AB2408"/>
    <mergeCell ref="AH2379:AH2380"/>
    <mergeCell ref="AI2379:AI2380"/>
    <mergeCell ref="AJ2379:AJ2380"/>
    <mergeCell ref="AK2379:AK2380"/>
    <mergeCell ref="AL2379:AL2380"/>
    <mergeCell ref="AK2419:AK2420"/>
    <mergeCell ref="Y2415:Y2416"/>
    <mergeCell ref="AA2415:AA2416"/>
    <mergeCell ref="AD2419:AD2420"/>
    <mergeCell ref="AF2419:AF2420"/>
    <mergeCell ref="AG2411:AG2412"/>
    <mergeCell ref="AP2405:AP2406"/>
    <mergeCell ref="AP2407:AP2408"/>
    <mergeCell ref="AP2381:AP2382"/>
    <mergeCell ref="AO2387:AO2388"/>
    <mergeCell ref="AM2375:AM2376"/>
    <mergeCell ref="AO2375:AO2376"/>
    <mergeCell ref="AP2375:AP2376"/>
    <mergeCell ref="AP2387:AP2388"/>
    <mergeCell ref="Y2375:Y2376"/>
    <mergeCell ref="AA2375:AA2376"/>
    <mergeCell ref="AP2409:AP2410"/>
    <mergeCell ref="F2411:F2412"/>
    <mergeCell ref="AG2347:AG2348"/>
    <mergeCell ref="AH2347:AH2348"/>
    <mergeCell ref="AI2347:AI2348"/>
    <mergeCell ref="AJ2347:AJ2348"/>
    <mergeCell ref="AK2347:AK2348"/>
    <mergeCell ref="AD2361:AD2362"/>
    <mergeCell ref="AF2361:AF2362"/>
    <mergeCell ref="F2347:F2348"/>
    <mergeCell ref="J2347:J2348"/>
    <mergeCell ref="N2347:N2348"/>
    <mergeCell ref="Y2347:Y2348"/>
    <mergeCell ref="AA2347:AA2348"/>
    <mergeCell ref="AB2347:AB2348"/>
    <mergeCell ref="AC2347:AC2348"/>
    <mergeCell ref="AA2355:AA2356"/>
    <mergeCell ref="AB2381:AB2382"/>
    <mergeCell ref="AC2381:AC2382"/>
    <mergeCell ref="AD2381:AD2382"/>
    <mergeCell ref="AJ2918:AJ2919"/>
    <mergeCell ref="AP2379:AP2380"/>
    <mergeCell ref="AP2433:AP2434"/>
    <mergeCell ref="AM2431:AM2432"/>
    <mergeCell ref="AO2425:AO2426"/>
    <mergeCell ref="N2425:N2426"/>
    <mergeCell ref="AD2425:AD2426"/>
    <mergeCell ref="AC2433:AC2434"/>
    <mergeCell ref="AD2433:AD2434"/>
    <mergeCell ref="AF2433:AF2434"/>
    <mergeCell ref="AG2433:AG2434"/>
    <mergeCell ref="AB2401:AB2402"/>
    <mergeCell ref="AB2405:AB2406"/>
    <mergeCell ref="Y2409:Y2410"/>
    <mergeCell ref="AA2409:AA2410"/>
    <mergeCell ref="AM2411:AM2412"/>
    <mergeCell ref="AF2409:AF2410"/>
    <mergeCell ref="AC2413:AC2414"/>
    <mergeCell ref="AD2413:AD2414"/>
    <mergeCell ref="AH2419:AH2420"/>
    <mergeCell ref="AI2419:AI2420"/>
    <mergeCell ref="AJ2415:AJ2416"/>
    <mergeCell ref="AM2387:AM2388"/>
    <mergeCell ref="AF2379:AF2380"/>
    <mergeCell ref="AG2379:AG2380"/>
    <mergeCell ref="F2387:F2388"/>
    <mergeCell ref="Y2387:Y2388"/>
    <mergeCell ref="AL2429:AL2430"/>
    <mergeCell ref="AM2429:AM2430"/>
    <mergeCell ref="AO2429:AO2430"/>
    <mergeCell ref="AI2429:AI2430"/>
    <mergeCell ref="AA2417:AA2418"/>
    <mergeCell ref="AG2409:AG2410"/>
    <mergeCell ref="AO2381:AO2382"/>
    <mergeCell ref="AI2413:AI2414"/>
    <mergeCell ref="AK2413:AK2414"/>
    <mergeCell ref="AC2415:AC2416"/>
    <mergeCell ref="AD2415:AD2416"/>
    <mergeCell ref="AF2415:AF2416"/>
    <mergeCell ref="AG2415:AG2416"/>
    <mergeCell ref="AH2415:AH2416"/>
    <mergeCell ref="AI2415:AI2416"/>
    <mergeCell ref="AL2415:AL2416"/>
    <mergeCell ref="AC2401:AC2402"/>
    <mergeCell ref="AD2401:AD2402"/>
    <mergeCell ref="AK2387:AK2388"/>
    <mergeCell ref="AK2405:AK2406"/>
    <mergeCell ref="AJ2387:AJ2388"/>
    <mergeCell ref="F2389:F2390"/>
    <mergeCell ref="J2389:J2390"/>
    <mergeCell ref="N2389:N2390"/>
    <mergeCell ref="Y2389:Y2390"/>
    <mergeCell ref="AA2389:AA2390"/>
    <mergeCell ref="AB2389:AB2390"/>
    <mergeCell ref="AC2389:AC2390"/>
    <mergeCell ref="AD2389:AD2390"/>
    <mergeCell ref="AF2389:AF2390"/>
    <mergeCell ref="AG2389:AG2390"/>
    <mergeCell ref="AM2802:AM2803"/>
    <mergeCell ref="AO2802:AO2803"/>
    <mergeCell ref="AG2778:AG2779"/>
    <mergeCell ref="AH2778:AH2779"/>
    <mergeCell ref="AI2778:AI2779"/>
    <mergeCell ref="AJ2778:AJ2779"/>
    <mergeCell ref="E2421:E2422"/>
    <mergeCell ref="E2435:E2436"/>
    <mergeCell ref="AO2778:AO2779"/>
    <mergeCell ref="AP2778:AP2779"/>
    <mergeCell ref="AD2776:AD2777"/>
    <mergeCell ref="AF2776:AF2777"/>
    <mergeCell ref="AG2776:AG2777"/>
    <mergeCell ref="AH2776:AH2777"/>
    <mergeCell ref="AI2776:AI2777"/>
    <mergeCell ref="AK2776:AK2777"/>
    <mergeCell ref="AL2776:AL2777"/>
    <mergeCell ref="AM2776:AM2777"/>
    <mergeCell ref="AO2770:AO2771"/>
    <mergeCell ref="AP2770:AP2771"/>
    <mergeCell ref="F2764:F2765"/>
    <mergeCell ref="AF2744:AF2745"/>
    <mergeCell ref="AH2744:AH2745"/>
    <mergeCell ref="AL2744:AL2745"/>
    <mergeCell ref="AO2744:AO2745"/>
    <mergeCell ref="AK2764:AK2765"/>
    <mergeCell ref="AO2766:AO2767"/>
    <mergeCell ref="AD2752:AD2753"/>
    <mergeCell ref="AF2752:AF2753"/>
    <mergeCell ref="AP2776:AP2777"/>
    <mergeCell ref="Y2672:Y2673"/>
    <mergeCell ref="AA2672:AA2673"/>
    <mergeCell ref="AB2672:AB2673"/>
    <mergeCell ref="AC2672:AC2673"/>
    <mergeCell ref="AD2672:AD2673"/>
    <mergeCell ref="AH2674:AH2675"/>
    <mergeCell ref="AI2694:AI2695"/>
    <mergeCell ref="AF2686:AF2687"/>
    <mergeCell ref="AL2692:AL2693"/>
    <mergeCell ref="AP2672:AP2673"/>
    <mergeCell ref="AJ2674:AJ2675"/>
    <mergeCell ref="AJ2676:AJ2677"/>
    <mergeCell ref="AG2672:AG2673"/>
    <mergeCell ref="AH2672:AH2673"/>
    <mergeCell ref="AM2722:AM2723"/>
    <mergeCell ref="E2748:E2749"/>
    <mergeCell ref="F2748:F2749"/>
    <mergeCell ref="J2748:J2749"/>
    <mergeCell ref="N2748:N2749"/>
    <mergeCell ref="Y2748:Y2749"/>
    <mergeCell ref="AA2748:AA2749"/>
    <mergeCell ref="AB2748:AB2749"/>
    <mergeCell ref="AC2748:AC2749"/>
    <mergeCell ref="N2774:N2775"/>
    <mergeCell ref="Y2774:Y2775"/>
    <mergeCell ref="AP2760:AP2761"/>
    <mergeCell ref="E2495:E2496"/>
    <mergeCell ref="F2495:F2496"/>
    <mergeCell ref="J2495:J2496"/>
    <mergeCell ref="E2575:E2576"/>
    <mergeCell ref="E2758:E2759"/>
    <mergeCell ref="E2726:E2727"/>
    <mergeCell ref="F2726:F2727"/>
    <mergeCell ref="J2726:J2727"/>
    <mergeCell ref="N2726:N2727"/>
    <mergeCell ref="Y2726:Y2727"/>
    <mergeCell ref="AA2726:AA2727"/>
    <mergeCell ref="AK2706:AK2707"/>
    <mergeCell ref="AH2700:AH2701"/>
    <mergeCell ref="AI2700:AI2701"/>
    <mergeCell ref="E2924:E2925"/>
    <mergeCell ref="F2924:F2925"/>
    <mergeCell ref="J2924:J2925"/>
    <mergeCell ref="N2924:N2925"/>
    <mergeCell ref="Y2924:Y2925"/>
    <mergeCell ref="AA2924:AA2925"/>
    <mergeCell ref="AB2924:AB2925"/>
    <mergeCell ref="AC2924:AC2925"/>
    <mergeCell ref="AD2924:AD2925"/>
    <mergeCell ref="AF2924:AF2925"/>
    <mergeCell ref="AG2924:AG2925"/>
    <mergeCell ref="AH2924:AH2925"/>
    <mergeCell ref="AI2924:AI2925"/>
    <mergeCell ref="AJ2924:AJ2925"/>
    <mergeCell ref="AJ2826:AJ2827"/>
    <mergeCell ref="AK2826:AK2827"/>
    <mergeCell ref="AL2826:AL2827"/>
    <mergeCell ref="AM2826:AM2827"/>
    <mergeCell ref="AO2826:AO2827"/>
    <mergeCell ref="AP2826:AP2827"/>
    <mergeCell ref="AK2924:AK2925"/>
    <mergeCell ref="AL2924:AL2925"/>
    <mergeCell ref="AM2924:AM2925"/>
    <mergeCell ref="AO2924:AO2925"/>
    <mergeCell ref="AP2924:AP2925"/>
    <mergeCell ref="F2902:F2903"/>
    <mergeCell ref="E2904:E2905"/>
    <mergeCell ref="F2904:F2905"/>
    <mergeCell ref="J2904:J2905"/>
    <mergeCell ref="AL2904:AL2905"/>
    <mergeCell ref="F2918:F2919"/>
    <mergeCell ref="AI2918:AI2919"/>
    <mergeCell ref="J2898:J2899"/>
    <mergeCell ref="N2898:N2899"/>
    <mergeCell ref="Y2898:Y2899"/>
    <mergeCell ref="Y2922:Y2923"/>
    <mergeCell ref="Y2918:Y2919"/>
    <mergeCell ref="F2920:F2921"/>
    <mergeCell ref="AK2916:AK2917"/>
    <mergeCell ref="AJ2908:AJ2909"/>
    <mergeCell ref="AJ2910:AJ2911"/>
    <mergeCell ref="AJ2912:AJ2913"/>
    <mergeCell ref="AJ2914:AJ2915"/>
    <mergeCell ref="AJ2916:AJ2917"/>
    <mergeCell ref="AB2918:AB2919"/>
    <mergeCell ref="AK2918:AK2919"/>
    <mergeCell ref="AH2916:AH2917"/>
    <mergeCell ref="AI2916:AI2917"/>
    <mergeCell ref="AO2920:AO2921"/>
    <mergeCell ref="AJ2836:AJ2837"/>
    <mergeCell ref="AK2836:AK2837"/>
    <mergeCell ref="AL2836:AL2837"/>
    <mergeCell ref="AM2836:AM2837"/>
    <mergeCell ref="AO2836:AO2837"/>
    <mergeCell ref="AP2836:AP2837"/>
    <mergeCell ref="E2834:E2835"/>
    <mergeCell ref="F2834:F2835"/>
    <mergeCell ref="J2834:J2835"/>
    <mergeCell ref="N2834:N2835"/>
    <mergeCell ref="Y2834:Y2835"/>
    <mergeCell ref="AA2834:AA2835"/>
    <mergeCell ref="AB2834:AB2835"/>
    <mergeCell ref="AC2834:AC2835"/>
    <mergeCell ref="AD2834:AD2835"/>
    <mergeCell ref="E3022:E3023"/>
    <mergeCell ref="F3022:F3023"/>
    <mergeCell ref="J3022:J3023"/>
    <mergeCell ref="N3022:N3023"/>
    <mergeCell ref="Y3022:Y3023"/>
    <mergeCell ref="AA3022:AA3023"/>
    <mergeCell ref="AB3022:AB3023"/>
    <mergeCell ref="AC3022:AC3023"/>
    <mergeCell ref="AD3022:AD3023"/>
    <mergeCell ref="AF3022:AF3023"/>
    <mergeCell ref="AG3024:AG3025"/>
    <mergeCell ref="AH3024:AH3025"/>
    <mergeCell ref="AI3024:AI3025"/>
    <mergeCell ref="AJ3024:AJ3025"/>
    <mergeCell ref="AK3024:AK3025"/>
    <mergeCell ref="AL3024:AL3025"/>
    <mergeCell ref="AM3024:AM3025"/>
    <mergeCell ref="AO3024:AO3025"/>
    <mergeCell ref="E3026:E3027"/>
    <mergeCell ref="F3026:F3027"/>
    <mergeCell ref="J3026:J3027"/>
    <mergeCell ref="AP3193:AP3194"/>
    <mergeCell ref="E3185:E3186"/>
    <mergeCell ref="F3185:F3186"/>
    <mergeCell ref="J3185:J3186"/>
    <mergeCell ref="N3185:N3186"/>
    <mergeCell ref="Y3185:Y3186"/>
    <mergeCell ref="AA3185:AA3186"/>
    <mergeCell ref="AB3185:AB3186"/>
    <mergeCell ref="AC3185:AC3186"/>
    <mergeCell ref="AD3185:AD3186"/>
    <mergeCell ref="AF3185:AF3186"/>
    <mergeCell ref="AG3185:AG3186"/>
    <mergeCell ref="AH3185:AH3186"/>
    <mergeCell ref="AI3185:AI3186"/>
    <mergeCell ref="AJ3185:AJ3186"/>
    <mergeCell ref="AK3185:AK3186"/>
    <mergeCell ref="AL3185:AL3186"/>
    <mergeCell ref="AM3185:AM3186"/>
    <mergeCell ref="AO3185:AO3186"/>
    <mergeCell ref="AP3185:AP3186"/>
    <mergeCell ref="E3187:E3188"/>
    <mergeCell ref="F3187:F3188"/>
    <mergeCell ref="J3187:J3188"/>
    <mergeCell ref="N3187:N3188"/>
    <mergeCell ref="Y3187:Y3188"/>
    <mergeCell ref="AA3187:AA3188"/>
    <mergeCell ref="AB3187:AB3188"/>
    <mergeCell ref="AC3187:AC3188"/>
    <mergeCell ref="AD3187:AD3188"/>
    <mergeCell ref="AF3187:AF3188"/>
    <mergeCell ref="E3111:E3112"/>
    <mergeCell ref="F3111:F3112"/>
    <mergeCell ref="J3111:J3112"/>
    <mergeCell ref="AB3111:AB3112"/>
    <mergeCell ref="Y3111:Y3112"/>
    <mergeCell ref="AA3111:AA3112"/>
    <mergeCell ref="AO3113:AO3114"/>
    <mergeCell ref="AK3113:AK3114"/>
    <mergeCell ref="AD3111:AD3112"/>
    <mergeCell ref="AF3111:AF3112"/>
    <mergeCell ref="N3113:N3114"/>
    <mergeCell ref="Y3113:Y3114"/>
    <mergeCell ref="E3113:E3114"/>
    <mergeCell ref="AG3232:AG3233"/>
    <mergeCell ref="AH3232:AH3233"/>
    <mergeCell ref="AI3232:AI3233"/>
    <mergeCell ref="AJ3232:AJ3233"/>
    <mergeCell ref="AK3232:AK3233"/>
    <mergeCell ref="AC3228:AC3229"/>
    <mergeCell ref="AJ3203:AJ3204"/>
    <mergeCell ref="AK3203:AK3204"/>
    <mergeCell ref="F3248:F3249"/>
    <mergeCell ref="J3248:J3249"/>
    <mergeCell ref="N3248:N3249"/>
    <mergeCell ref="Y3248:Y3249"/>
    <mergeCell ref="AA3248:AA3249"/>
    <mergeCell ref="AB3248:AB3249"/>
    <mergeCell ref="AC3248:AC3249"/>
    <mergeCell ref="AD3248:AD3249"/>
    <mergeCell ref="AF3248:AF3249"/>
    <mergeCell ref="AG3248:AG3249"/>
    <mergeCell ref="AH3248:AH3249"/>
    <mergeCell ref="AI3248:AI3249"/>
    <mergeCell ref="AA2978:AA2979"/>
    <mergeCell ref="AJ3075:AJ3076"/>
    <mergeCell ref="AL3081:AL3082"/>
    <mergeCell ref="AF3063:AF3064"/>
    <mergeCell ref="AG3063:AG3064"/>
    <mergeCell ref="AH3063:AH3064"/>
    <mergeCell ref="F3042:F3043"/>
    <mergeCell ref="J3042:J3043"/>
    <mergeCell ref="N3042:N3043"/>
    <mergeCell ref="Y3042:Y3043"/>
    <mergeCell ref="AA3042:AA3043"/>
    <mergeCell ref="AB3042:AB3043"/>
    <mergeCell ref="J3195:J3196"/>
    <mergeCell ref="N3195:N3196"/>
    <mergeCell ref="Y3195:Y3196"/>
    <mergeCell ref="AA3195:AA3196"/>
    <mergeCell ref="AB3195:AB3196"/>
    <mergeCell ref="AC3195:AC3196"/>
    <mergeCell ref="AD3195:AD3196"/>
    <mergeCell ref="AF3195:AF3196"/>
    <mergeCell ref="AG3195:AG3196"/>
    <mergeCell ref="AH3195:AH3196"/>
    <mergeCell ref="AI3195:AI3196"/>
    <mergeCell ref="F3050:F3051"/>
    <mergeCell ref="J3050:J3051"/>
    <mergeCell ref="N3050:N3051"/>
    <mergeCell ref="Y3050:Y3051"/>
    <mergeCell ref="AA3050:AA3051"/>
    <mergeCell ref="AB3050:AB3051"/>
    <mergeCell ref="AC3050:AC3051"/>
    <mergeCell ref="AD3050:AD3051"/>
    <mergeCell ref="AF3050:AF3051"/>
    <mergeCell ref="AG3050:AG3051"/>
    <mergeCell ref="AH3050:AH3051"/>
    <mergeCell ref="AI3050:AI3051"/>
    <mergeCell ref="AJ3050:AJ3051"/>
    <mergeCell ref="AK3050:AK3051"/>
    <mergeCell ref="AL3050:AL3051"/>
    <mergeCell ref="AG3113:AG3114"/>
    <mergeCell ref="F3113:F3114"/>
    <mergeCell ref="J3234:J3235"/>
    <mergeCell ref="N3234:N3235"/>
    <mergeCell ref="Y3234:Y3235"/>
    <mergeCell ref="AA3234:AA3235"/>
    <mergeCell ref="AB3207:AB3208"/>
    <mergeCell ref="AK3205:AK3206"/>
    <mergeCell ref="E3213:E3214"/>
    <mergeCell ref="F3213:F3214"/>
    <mergeCell ref="J3213:J3214"/>
    <mergeCell ref="N3213:N3214"/>
    <mergeCell ref="Y3213:Y3214"/>
    <mergeCell ref="AA3213:AA3214"/>
    <mergeCell ref="AB3213:AB3214"/>
    <mergeCell ref="AC3213:AC3214"/>
    <mergeCell ref="AD3213:AD3214"/>
    <mergeCell ref="AF3213:AF3214"/>
    <mergeCell ref="AG3213:AG3214"/>
    <mergeCell ref="AH3213:AH3214"/>
    <mergeCell ref="AI3213:AI3214"/>
    <mergeCell ref="AJ3213:AJ3214"/>
    <mergeCell ref="AK3213:AK3214"/>
    <mergeCell ref="AL3205:AL3206"/>
    <mergeCell ref="AM3205:AM3206"/>
    <mergeCell ref="AO3205:AO3206"/>
    <mergeCell ref="AK3197:AK3198"/>
    <mergeCell ref="AC3201:AC3202"/>
    <mergeCell ref="AD3201:AD3202"/>
    <mergeCell ref="AF3201:AF3202"/>
    <mergeCell ref="AG3201:AG3202"/>
    <mergeCell ref="AH3201:AH3202"/>
    <mergeCell ref="AI3201:AI3202"/>
    <mergeCell ref="AJ3201:AJ3202"/>
    <mergeCell ref="AK3201:AK3202"/>
    <mergeCell ref="Y3254:Y3255"/>
    <mergeCell ref="E3268:E3269"/>
    <mergeCell ref="AC3207:AC3208"/>
    <mergeCell ref="AD3207:AD3208"/>
    <mergeCell ref="AF3207:AF3208"/>
    <mergeCell ref="AG3207:AG3208"/>
    <mergeCell ref="AH3207:AH3208"/>
    <mergeCell ref="AI3207:AI3208"/>
    <mergeCell ref="AJ3207:AJ3208"/>
    <mergeCell ref="AK3207:AK3208"/>
    <mergeCell ref="Y3211:Y3212"/>
    <mergeCell ref="AA3211:AA3212"/>
    <mergeCell ref="AB3211:AB3212"/>
    <mergeCell ref="AC3211:AC3212"/>
    <mergeCell ref="AD3211:AD3212"/>
    <mergeCell ref="AF3211:AF3212"/>
    <mergeCell ref="AG3211:AG3212"/>
    <mergeCell ref="AH3211:AH3212"/>
    <mergeCell ref="AI3211:AI3212"/>
    <mergeCell ref="AJ3211:AJ3212"/>
    <mergeCell ref="AK3211:AK3212"/>
    <mergeCell ref="N3262:N3263"/>
    <mergeCell ref="Y3262:Y3263"/>
    <mergeCell ref="AA3262:AA3263"/>
    <mergeCell ref="AB3262:AB3263"/>
    <mergeCell ref="E3232:E3233"/>
    <mergeCell ref="F3232:F3233"/>
    <mergeCell ref="J3232:J3233"/>
    <mergeCell ref="N3232:N3233"/>
    <mergeCell ref="Y3232:Y3233"/>
    <mergeCell ref="AA3232:AA3233"/>
    <mergeCell ref="AB3232:AB3233"/>
    <mergeCell ref="AC3232:AC3233"/>
    <mergeCell ref="AD3232:AD3233"/>
    <mergeCell ref="AF3232:AF3233"/>
    <mergeCell ref="AO3264:AO3265"/>
    <mergeCell ref="AK3260:AK3261"/>
    <mergeCell ref="AL3260:AL3261"/>
    <mergeCell ref="AM3260:AM3261"/>
    <mergeCell ref="AO3260:AO3261"/>
    <mergeCell ref="E3262:E3263"/>
    <mergeCell ref="F3262:F3263"/>
    <mergeCell ref="J3262:J3263"/>
    <mergeCell ref="AB3268:AB3269"/>
    <mergeCell ref="AC3268:AC3269"/>
    <mergeCell ref="AD3268:AD3269"/>
    <mergeCell ref="AF3268:AF3269"/>
    <mergeCell ref="AG3268:AG3269"/>
    <mergeCell ref="AO3254:AO3255"/>
    <mergeCell ref="AL3283:AL3284"/>
    <mergeCell ref="AM3283:AM3284"/>
    <mergeCell ref="N3305:N3306"/>
    <mergeCell ref="Y3305:Y3306"/>
    <mergeCell ref="AA3305:AA3306"/>
    <mergeCell ref="AB3305:AB3306"/>
    <mergeCell ref="AC3305:AC3306"/>
    <mergeCell ref="AD3305:AD3306"/>
    <mergeCell ref="AF3305:AF3306"/>
    <mergeCell ref="AG3305:AG3306"/>
    <mergeCell ref="AH3305:AH3306"/>
    <mergeCell ref="AI3305:AI3306"/>
    <mergeCell ref="AJ3305:AJ3306"/>
    <mergeCell ref="AK3305:AK3306"/>
    <mergeCell ref="AL3305:AL3306"/>
    <mergeCell ref="AM3305:AM3306"/>
    <mergeCell ref="AO3305:AO3306"/>
    <mergeCell ref="E3295:E3296"/>
    <mergeCell ref="F3295:F3296"/>
    <mergeCell ref="J3295:J3296"/>
    <mergeCell ref="N3295:N3296"/>
    <mergeCell ref="Y3295:Y3296"/>
    <mergeCell ref="AA3295:AA3296"/>
    <mergeCell ref="AB3295:AB3296"/>
    <mergeCell ref="AC3295:AC3296"/>
    <mergeCell ref="AD3295:AD3296"/>
    <mergeCell ref="AF3295:AF3296"/>
    <mergeCell ref="AG3295:AG3296"/>
    <mergeCell ref="AH3295:AH3296"/>
    <mergeCell ref="AI3295:AI3296"/>
    <mergeCell ref="AJ3295:AJ3296"/>
    <mergeCell ref="AK3295:AK3296"/>
    <mergeCell ref="AL3295:AL3296"/>
    <mergeCell ref="AM3295:AM3296"/>
    <mergeCell ref="AO3295:AO3296"/>
    <mergeCell ref="AO3283:AO3284"/>
    <mergeCell ref="E3285:E3286"/>
    <mergeCell ref="F3285:F3286"/>
    <mergeCell ref="J3285:J3286"/>
    <mergeCell ref="N3285:N3286"/>
    <mergeCell ref="Y3285:Y3286"/>
    <mergeCell ref="AA3285:AA3286"/>
    <mergeCell ref="AB3285:AB3286"/>
    <mergeCell ref="AC3285:AC3286"/>
    <mergeCell ref="AD3285:AD3286"/>
    <mergeCell ref="AF3285:AF3286"/>
    <mergeCell ref="AG3285:AG3286"/>
    <mergeCell ref="AB3291:AB3292"/>
    <mergeCell ref="AC3291:AC3292"/>
    <mergeCell ref="AD3291:AD3292"/>
    <mergeCell ref="AF3291:AF3292"/>
    <mergeCell ref="AK3297:AK3298"/>
    <mergeCell ref="AL3297:AL3298"/>
    <mergeCell ref="AM3297:AM3298"/>
    <mergeCell ref="AP3295:AP3296"/>
    <mergeCell ref="E3367:E3368"/>
    <mergeCell ref="F3367:F3368"/>
    <mergeCell ref="J3367:J3368"/>
    <mergeCell ref="N3367:N3368"/>
    <mergeCell ref="Y3367:Y3368"/>
    <mergeCell ref="AA3367:AA3368"/>
    <mergeCell ref="AB3367:AB3368"/>
    <mergeCell ref="AC3367:AC3368"/>
    <mergeCell ref="AD3367:AD3368"/>
    <mergeCell ref="AF3367:AF3368"/>
    <mergeCell ref="AG3367:AG3368"/>
    <mergeCell ref="AH3367:AH3368"/>
    <mergeCell ref="AI3367:AI3368"/>
    <mergeCell ref="AJ3367:AJ3368"/>
    <mergeCell ref="AK3367:AK3368"/>
    <mergeCell ref="AL3367:AL3368"/>
    <mergeCell ref="AM3367:AM3368"/>
    <mergeCell ref="AO3367:AO3368"/>
    <mergeCell ref="AP3367:AP3368"/>
    <mergeCell ref="AO3337:AO3338"/>
    <mergeCell ref="AI3311:AI3312"/>
    <mergeCell ref="AJ3311:AJ3312"/>
    <mergeCell ref="AK3311:AK3312"/>
    <mergeCell ref="AL3311:AL3312"/>
    <mergeCell ref="AM3311:AM3312"/>
    <mergeCell ref="AO3311:AO3312"/>
    <mergeCell ref="AP3311:AP3312"/>
    <mergeCell ref="AJ3297:AJ3298"/>
    <mergeCell ref="E3297:E3298"/>
    <mergeCell ref="F3297:F3298"/>
    <mergeCell ref="J3297:J3298"/>
    <mergeCell ref="N3297:N3298"/>
    <mergeCell ref="Y3297:Y3298"/>
    <mergeCell ref="AA3297:AA3298"/>
    <mergeCell ref="AB3297:AB3298"/>
    <mergeCell ref="AC3297:AC3298"/>
    <mergeCell ref="AD3297:AD3298"/>
    <mergeCell ref="AF3297:AF3298"/>
    <mergeCell ref="AG3297:AG3298"/>
    <mergeCell ref="AH3297:AH3298"/>
    <mergeCell ref="AI3297:AI3298"/>
    <mergeCell ref="E3299:E3300"/>
    <mergeCell ref="F3299:F3300"/>
    <mergeCell ref="J3299:J3300"/>
    <mergeCell ref="N3299:N3300"/>
    <mergeCell ref="Y3299:Y3300"/>
    <mergeCell ref="J3325:J3326"/>
    <mergeCell ref="N3325:N3326"/>
    <mergeCell ref="Y3325:Y3326"/>
    <mergeCell ref="AA3325:AA3326"/>
    <mergeCell ref="AO3297:AO3298"/>
    <mergeCell ref="AP3297:AP3298"/>
    <mergeCell ref="E3309:E3310"/>
    <mergeCell ref="F3309:F3310"/>
    <mergeCell ref="J3309:J3310"/>
    <mergeCell ref="N3309:N3310"/>
    <mergeCell ref="Y3309:Y3310"/>
    <mergeCell ref="AA3309:AA3310"/>
    <mergeCell ref="AB3309:AB3310"/>
    <mergeCell ref="AK3377:AK3378"/>
    <mergeCell ref="AL3377:AL3378"/>
    <mergeCell ref="AM3377:AM3378"/>
    <mergeCell ref="AO3377:AO3378"/>
    <mergeCell ref="AP3377:AP3378"/>
    <mergeCell ref="AM3385:AM3386"/>
    <mergeCell ref="AO3385:AO3386"/>
    <mergeCell ref="AP3385:AP3386"/>
    <mergeCell ref="E3387:E3388"/>
    <mergeCell ref="F3387:F3388"/>
    <mergeCell ref="N3387:N3388"/>
    <mergeCell ref="Y3387:Y3388"/>
    <mergeCell ref="AA3387:AA3388"/>
    <mergeCell ref="AB3387:AB3388"/>
    <mergeCell ref="AC3387:AC3388"/>
    <mergeCell ref="AD3387:AD3388"/>
    <mergeCell ref="AF3387:AF3388"/>
    <mergeCell ref="AG3387:AG3388"/>
    <mergeCell ref="AH3387:AH3388"/>
    <mergeCell ref="AI3387:AI3388"/>
    <mergeCell ref="AJ3385:AJ3386"/>
    <mergeCell ref="AK3385:AK3386"/>
    <mergeCell ref="AL3385:AL3386"/>
    <mergeCell ref="AC3383:AC3384"/>
    <mergeCell ref="AD3383:AD3384"/>
    <mergeCell ref="E3381:E3382"/>
    <mergeCell ref="AL3381:AL3382"/>
    <mergeCell ref="AM3381:AM3382"/>
    <mergeCell ref="AO3381:AO3382"/>
    <mergeCell ref="AP3381:AP3382"/>
    <mergeCell ref="AK3381:AK3382"/>
    <mergeCell ref="AK3422:AK3423"/>
    <mergeCell ref="AL3422:AL3423"/>
    <mergeCell ref="AM3422:AM3423"/>
    <mergeCell ref="AO3422:AO3423"/>
    <mergeCell ref="AP3422:AP3423"/>
    <mergeCell ref="J3409:J3410"/>
    <mergeCell ref="E3416:E3417"/>
    <mergeCell ref="F3416:F3417"/>
    <mergeCell ref="N3416:N3417"/>
    <mergeCell ref="Y3416:Y3417"/>
    <mergeCell ref="AA3416:AA3417"/>
    <mergeCell ref="AB3416:AB3417"/>
    <mergeCell ref="AC3416:AC3417"/>
    <mergeCell ref="AD3416:AD3417"/>
    <mergeCell ref="AF3416:AF3417"/>
    <mergeCell ref="AG3416:AG3417"/>
    <mergeCell ref="AH3416:AH3417"/>
    <mergeCell ref="AI3416:AI3417"/>
    <mergeCell ref="AJ3416:AJ3417"/>
    <mergeCell ref="AK3416:AK3417"/>
    <mergeCell ref="AL3416:AL3417"/>
    <mergeCell ref="AM3416:AM3417"/>
    <mergeCell ref="AO3416:AO3417"/>
    <mergeCell ref="AP3416:AP3417"/>
    <mergeCell ref="AK3418:AK3419"/>
    <mergeCell ref="AL3418:AL3419"/>
    <mergeCell ref="AM3418:AM3419"/>
    <mergeCell ref="AO3418:AO3419"/>
    <mergeCell ref="AP3418:AP3419"/>
    <mergeCell ref="J3420:J3421"/>
    <mergeCell ref="N3420:N3421"/>
    <mergeCell ref="Y3420:Y3421"/>
    <mergeCell ref="AA3420:AA3421"/>
    <mergeCell ref="E3430:E3431"/>
    <mergeCell ref="F3430:F3431"/>
    <mergeCell ref="J3430:J3431"/>
    <mergeCell ref="N3430:N3431"/>
    <mergeCell ref="Y3430:Y3431"/>
    <mergeCell ref="AA3430:AA3431"/>
    <mergeCell ref="AB3430:AB3431"/>
    <mergeCell ref="AC3430:AC3431"/>
    <mergeCell ref="AD3430:AD3431"/>
    <mergeCell ref="AF3430:AF3431"/>
    <mergeCell ref="AG3430:AG3431"/>
    <mergeCell ref="AH3430:AH3431"/>
    <mergeCell ref="AI3430:AI3431"/>
    <mergeCell ref="AJ3430:AJ3431"/>
    <mergeCell ref="AK3430:AK3431"/>
    <mergeCell ref="AL3430:AL3431"/>
    <mergeCell ref="AM3430:AM3431"/>
    <mergeCell ref="AO3430:AO3431"/>
    <mergeCell ref="AP3430:AP3431"/>
    <mergeCell ref="AA3426:AA3427"/>
    <mergeCell ref="AB3426:AB3427"/>
    <mergeCell ref="AC3426:AC3427"/>
    <mergeCell ref="AD3426:AD3427"/>
    <mergeCell ref="AF3426:AF3427"/>
    <mergeCell ref="AG3426:AG3427"/>
    <mergeCell ref="AH3426:AH3427"/>
    <mergeCell ref="AI3426:AI3427"/>
    <mergeCell ref="AJ3426:AJ3427"/>
    <mergeCell ref="AK3426:AK3427"/>
    <mergeCell ref="AL3426:AL3427"/>
    <mergeCell ref="AM3426:AM3427"/>
    <mergeCell ref="AO3426:AO3427"/>
    <mergeCell ref="AP3426:AP3427"/>
    <mergeCell ref="E3428:E3429"/>
    <mergeCell ref="F3428:F3429"/>
    <mergeCell ref="J3428:J3429"/>
    <mergeCell ref="N3428:N3429"/>
    <mergeCell ref="Y3428:Y3429"/>
    <mergeCell ref="AA3428:AA3429"/>
    <mergeCell ref="AB3428:AB3429"/>
    <mergeCell ref="AC3428:AC3429"/>
    <mergeCell ref="AD3428:AD3429"/>
    <mergeCell ref="AF3428:AF3429"/>
    <mergeCell ref="AG3428:AG3429"/>
    <mergeCell ref="AH3428:AH3429"/>
    <mergeCell ref="AI3428:AI3429"/>
    <mergeCell ref="AJ3428:AJ3429"/>
    <mergeCell ref="AK3428:AK3429"/>
    <mergeCell ref="AL3428:AL3429"/>
    <mergeCell ref="AM3428:AM3429"/>
    <mergeCell ref="AO3428:AO3429"/>
    <mergeCell ref="AP3428:AP3429"/>
    <mergeCell ref="AH3420:AH3421"/>
    <mergeCell ref="AI3420:AI3421"/>
    <mergeCell ref="AJ3420:AJ3421"/>
    <mergeCell ref="AK3420:AK3421"/>
    <mergeCell ref="AL3420:AL3421"/>
    <mergeCell ref="AM3420:AM3421"/>
    <mergeCell ref="AO3420:AO3421"/>
    <mergeCell ref="AP3420:AP3421"/>
    <mergeCell ref="E3422:E3423"/>
    <mergeCell ref="F3422:F3423"/>
    <mergeCell ref="J3422:J3423"/>
    <mergeCell ref="N3422:N3423"/>
    <mergeCell ref="Y3422:Y3423"/>
    <mergeCell ref="AA3422:AA3423"/>
    <mergeCell ref="AB3422:AB3423"/>
    <mergeCell ref="AC3422:AC3423"/>
    <mergeCell ref="AD3422:AD3423"/>
    <mergeCell ref="AF3422:AF3423"/>
    <mergeCell ref="AG3422:AG3423"/>
    <mergeCell ref="AH3422:AH3423"/>
    <mergeCell ref="AI3422:AI3423"/>
    <mergeCell ref="AJ3422:AJ3423"/>
    <mergeCell ref="AG3436:AG3437"/>
    <mergeCell ref="AH3436:AH3437"/>
    <mergeCell ref="AI3436:AI3437"/>
    <mergeCell ref="AJ3436:AJ3437"/>
    <mergeCell ref="AK3436:AK3437"/>
    <mergeCell ref="AL3436:AL3437"/>
    <mergeCell ref="AM3436:AM3437"/>
    <mergeCell ref="AO3436:AO3437"/>
    <mergeCell ref="AP3436:AP3437"/>
    <mergeCell ref="E3438:E3439"/>
    <mergeCell ref="F3438:F3439"/>
    <mergeCell ref="J3438:J3439"/>
    <mergeCell ref="N3438:N3439"/>
    <mergeCell ref="Y3438:Y3439"/>
    <mergeCell ref="AA3438:AA3439"/>
    <mergeCell ref="AB3438:AB3439"/>
    <mergeCell ref="AC3438:AC3439"/>
    <mergeCell ref="AD3438:AD3439"/>
    <mergeCell ref="AF3438:AF3439"/>
    <mergeCell ref="AG3438:AG3439"/>
    <mergeCell ref="AH3438:AH3439"/>
    <mergeCell ref="AI3438:AI3439"/>
    <mergeCell ref="AJ3438:AJ3439"/>
    <mergeCell ref="AK3438:AK3439"/>
    <mergeCell ref="AL3438:AL3439"/>
    <mergeCell ref="AM3438:AM3439"/>
    <mergeCell ref="AO3438:AO3439"/>
    <mergeCell ref="AP3438:AP3439"/>
    <mergeCell ref="AM3432:AM3433"/>
    <mergeCell ref="AO3432:AO3433"/>
    <mergeCell ref="AP3432:AP3433"/>
    <mergeCell ref="E3434:E3435"/>
    <mergeCell ref="F3434:F3435"/>
    <mergeCell ref="J3434:J3435"/>
    <mergeCell ref="N3434:N3435"/>
    <mergeCell ref="Y3434:Y3435"/>
    <mergeCell ref="AA3434:AA3435"/>
    <mergeCell ref="AB3434:AB3435"/>
    <mergeCell ref="AC3434:AC3435"/>
    <mergeCell ref="AD3434:AD3435"/>
    <mergeCell ref="AF3434:AF3435"/>
    <mergeCell ref="AG3434:AG3435"/>
    <mergeCell ref="AJ3434:AJ3435"/>
    <mergeCell ref="AK3434:AK3435"/>
    <mergeCell ref="AL3434:AL3435"/>
    <mergeCell ref="AM3434:AM3435"/>
    <mergeCell ref="AO3434:AO3435"/>
    <mergeCell ref="AP3434:AP3435"/>
    <mergeCell ref="E3450:E3451"/>
    <mergeCell ref="F3450:F3451"/>
    <mergeCell ref="J3450:J3451"/>
    <mergeCell ref="N3450:N3451"/>
    <mergeCell ref="Y3450:Y3451"/>
    <mergeCell ref="AA3450:AA3451"/>
    <mergeCell ref="AB3450:AB3451"/>
    <mergeCell ref="AC3450:AC3451"/>
    <mergeCell ref="AD3450:AD3451"/>
    <mergeCell ref="AF3450:AF3451"/>
    <mergeCell ref="AM3446:AM3447"/>
    <mergeCell ref="AO3446:AO3447"/>
    <mergeCell ref="AP3446:AP3447"/>
    <mergeCell ref="AL3442:AL3443"/>
    <mergeCell ref="AM3442:AM3443"/>
    <mergeCell ref="AO3442:AO3443"/>
    <mergeCell ref="AP3442:AP3443"/>
    <mergeCell ref="E3444:E3445"/>
    <mergeCell ref="F3444:F3445"/>
    <mergeCell ref="J3444:J3445"/>
    <mergeCell ref="N3444:N3445"/>
    <mergeCell ref="Y3444:Y3445"/>
    <mergeCell ref="AA3444:AA3445"/>
    <mergeCell ref="AB3444:AB3445"/>
    <mergeCell ref="AC3444:AC3445"/>
    <mergeCell ref="AD3444:AD3445"/>
    <mergeCell ref="AF3444:AF3445"/>
    <mergeCell ref="AG3444:AG3445"/>
    <mergeCell ref="AH3444:AH3445"/>
    <mergeCell ref="AI3444:AI3445"/>
    <mergeCell ref="AJ3444:AJ3445"/>
    <mergeCell ref="AK3444:AK3445"/>
    <mergeCell ref="AM3444:AM3445"/>
    <mergeCell ref="AO3444:AO3445"/>
    <mergeCell ref="AP3444:AP3445"/>
    <mergeCell ref="AI3442:AI3443"/>
    <mergeCell ref="AJ3442:AJ3443"/>
    <mergeCell ref="AK3442:AK3443"/>
    <mergeCell ref="E3448:E3449"/>
    <mergeCell ref="F3448:F3449"/>
    <mergeCell ref="J3448:J3449"/>
    <mergeCell ref="N3448:N3449"/>
    <mergeCell ref="Y3448:Y3449"/>
    <mergeCell ref="E3440:E3441"/>
    <mergeCell ref="F3440:F3441"/>
    <mergeCell ref="J3440:J3441"/>
    <mergeCell ref="N3440:N3441"/>
    <mergeCell ref="Y3440:Y3441"/>
    <mergeCell ref="AA3440:AA3441"/>
    <mergeCell ref="AB3440:AB3441"/>
    <mergeCell ref="AC3440:AC3441"/>
    <mergeCell ref="AD3440:AD3441"/>
    <mergeCell ref="AF3440:AF3441"/>
    <mergeCell ref="AG3440:AG3441"/>
    <mergeCell ref="AH3440:AH3441"/>
    <mergeCell ref="AI3440:AI3441"/>
    <mergeCell ref="E3442:E3443"/>
    <mergeCell ref="F3442:F3443"/>
    <mergeCell ref="AL3440:AL3441"/>
    <mergeCell ref="AM3440:AM3441"/>
    <mergeCell ref="AO3440:AO3441"/>
    <mergeCell ref="AP3440:AP3441"/>
    <mergeCell ref="E3446:E3447"/>
    <mergeCell ref="F3446:F3447"/>
    <mergeCell ref="J3446:J3447"/>
    <mergeCell ref="N3446:N3447"/>
    <mergeCell ref="Y3446:Y3447"/>
    <mergeCell ref="AA3446:AA3447"/>
    <mergeCell ref="AB3446:AB3447"/>
    <mergeCell ref="AC3446:AC3447"/>
    <mergeCell ref="E3436:E3437"/>
    <mergeCell ref="F3436:F3437"/>
    <mergeCell ref="J3436:J3437"/>
    <mergeCell ref="N3436:N3437"/>
    <mergeCell ref="Y3436:Y3437"/>
    <mergeCell ref="AA3436:AA3437"/>
    <mergeCell ref="AB3436:AB3437"/>
    <mergeCell ref="AC3436:AC3437"/>
    <mergeCell ref="AD3436:AD3437"/>
    <mergeCell ref="AF3436:AF3437"/>
    <mergeCell ref="Y1060:Y1061"/>
    <mergeCell ref="AA1060:AA1061"/>
    <mergeCell ref="AB1060:AB1061"/>
    <mergeCell ref="AC1060:AC1061"/>
    <mergeCell ref="J1052:J1053"/>
    <mergeCell ref="N1052:N1053"/>
    <mergeCell ref="AI1060:AI1061"/>
    <mergeCell ref="AJ1060:AJ1061"/>
    <mergeCell ref="J971:J972"/>
    <mergeCell ref="N971:N972"/>
    <mergeCell ref="E1331:E1332"/>
    <mergeCell ref="F1331:F1332"/>
    <mergeCell ref="J1331:J1332"/>
    <mergeCell ref="N1331:N1332"/>
    <mergeCell ref="Y1331:Y1332"/>
    <mergeCell ref="AA1331:AA1332"/>
    <mergeCell ref="AB1331:AB1332"/>
    <mergeCell ref="AC1331:AC1332"/>
    <mergeCell ref="E1313:E1314"/>
    <mergeCell ref="F1313:F1314"/>
    <mergeCell ref="J1313:J1314"/>
    <mergeCell ref="N1313:N1314"/>
    <mergeCell ref="Y1313:Y1314"/>
    <mergeCell ref="AA1313:AA1314"/>
    <mergeCell ref="AB1313:AB1314"/>
    <mergeCell ref="AC1313:AC1314"/>
    <mergeCell ref="AD1313:AD1314"/>
    <mergeCell ref="AF1313:AF1314"/>
    <mergeCell ref="AG1313:AG1314"/>
    <mergeCell ref="AH1313:AH1314"/>
    <mergeCell ref="AI1313:AI1314"/>
    <mergeCell ref="AJ1313:AJ1314"/>
    <mergeCell ref="AK1313:AK1314"/>
    <mergeCell ref="AL1313:AL1314"/>
    <mergeCell ref="AG1113:AG1114"/>
    <mergeCell ref="AH1113:AH1114"/>
    <mergeCell ref="AI1113:AI1114"/>
    <mergeCell ref="AJ1113:AJ1114"/>
    <mergeCell ref="AK1113:AK1114"/>
    <mergeCell ref="AL1113:AL1114"/>
    <mergeCell ref="AH3434:AH3435"/>
    <mergeCell ref="AI3434:AI3435"/>
    <mergeCell ref="AP953:AP954"/>
    <mergeCell ref="N943:N944"/>
    <mergeCell ref="Y943:Y944"/>
    <mergeCell ref="AA943:AA944"/>
    <mergeCell ref="AB943:AB944"/>
    <mergeCell ref="AC943:AC944"/>
    <mergeCell ref="AD943:AD944"/>
    <mergeCell ref="AF943:AF944"/>
    <mergeCell ref="AG943:AG944"/>
    <mergeCell ref="AH943:AH944"/>
    <mergeCell ref="AI943:AI944"/>
    <mergeCell ref="AJ943:AJ944"/>
    <mergeCell ref="E1174:E1175"/>
    <mergeCell ref="F1174:F1175"/>
    <mergeCell ref="J1174:J1175"/>
    <mergeCell ref="N1174:N1175"/>
    <mergeCell ref="Y1174:Y1175"/>
    <mergeCell ref="AA1174:AA1175"/>
    <mergeCell ref="AB1174:AB1175"/>
    <mergeCell ref="AC1174:AC1175"/>
    <mergeCell ref="AD1174:AD1175"/>
    <mergeCell ref="AF1174:AF1175"/>
    <mergeCell ref="AG1174:AG1175"/>
    <mergeCell ref="AH1174:AH1175"/>
    <mergeCell ref="AI1174:AI1175"/>
    <mergeCell ref="AJ1174:AJ1175"/>
    <mergeCell ref="AK1174:AK1175"/>
    <mergeCell ref="AL1174:AL1175"/>
    <mergeCell ref="AM1174:AM1175"/>
    <mergeCell ref="AO1174:AO1175"/>
    <mergeCell ref="AL1160:AL1161"/>
    <mergeCell ref="AM1160:AM1161"/>
    <mergeCell ref="AO1160:AO1161"/>
    <mergeCell ref="AO981:AO982"/>
    <mergeCell ref="AP981:AP982"/>
    <mergeCell ref="J1060:J1061"/>
    <mergeCell ref="N1060:N1061"/>
    <mergeCell ref="N1162:N1163"/>
    <mergeCell ref="Y1162:Y1163"/>
    <mergeCell ref="E1172:E1173"/>
    <mergeCell ref="F1172:F1173"/>
    <mergeCell ref="J1172:J1173"/>
    <mergeCell ref="N1172:N1173"/>
    <mergeCell ref="Y1172:Y1173"/>
    <mergeCell ref="AA1172:AA1173"/>
    <mergeCell ref="AB1172:AB1173"/>
    <mergeCell ref="AC1172:AC1173"/>
    <mergeCell ref="AD1172:AD1173"/>
    <mergeCell ref="AF1172:AF1173"/>
    <mergeCell ref="AG1172:AG1173"/>
    <mergeCell ref="AH1172:AH1173"/>
    <mergeCell ref="AI1172:AI1173"/>
    <mergeCell ref="AJ1172:AJ1173"/>
    <mergeCell ref="AK1172:AK1173"/>
    <mergeCell ref="AL1172:AL1173"/>
    <mergeCell ref="AM1172:AM1173"/>
    <mergeCell ref="AH1162:AH1163"/>
    <mergeCell ref="AI1162:AI1163"/>
    <mergeCell ref="AL1154:AL1155"/>
    <mergeCell ref="AM1154:AM1155"/>
    <mergeCell ref="AO1154:AO1155"/>
    <mergeCell ref="F1111:F1112"/>
    <mergeCell ref="J1111:J1112"/>
    <mergeCell ref="N1111:N1112"/>
    <mergeCell ref="AO759:AO760"/>
    <mergeCell ref="AP759:AP760"/>
    <mergeCell ref="AP737:AP738"/>
    <mergeCell ref="AP739:AP740"/>
    <mergeCell ref="AM741:AM742"/>
    <mergeCell ref="AP741:AP742"/>
    <mergeCell ref="AM743:AM744"/>
    <mergeCell ref="AP743:AP744"/>
    <mergeCell ref="AM745:AM746"/>
    <mergeCell ref="AP745:AP746"/>
    <mergeCell ref="AP715:AP716"/>
    <mergeCell ref="AM717:AM718"/>
    <mergeCell ref="AP751:AP752"/>
    <mergeCell ref="E729:E730"/>
    <mergeCell ref="F729:F730"/>
    <mergeCell ref="AI737:AI738"/>
    <mergeCell ref="AC717:AC718"/>
    <mergeCell ref="AD717:AD718"/>
    <mergeCell ref="AF717:AF718"/>
    <mergeCell ref="AG717:AG718"/>
    <mergeCell ref="AB743:AB744"/>
    <mergeCell ref="AC743:AC744"/>
    <mergeCell ref="E692:E693"/>
    <mergeCell ref="F692:F693"/>
    <mergeCell ref="J692:J693"/>
    <mergeCell ref="N692:N693"/>
    <mergeCell ref="Y692:Y693"/>
    <mergeCell ref="AA692:AA693"/>
    <mergeCell ref="AB692:AB693"/>
    <mergeCell ref="AC692:AC693"/>
    <mergeCell ref="AD692:AD693"/>
    <mergeCell ref="AF692:AF693"/>
    <mergeCell ref="AG692:AG693"/>
    <mergeCell ref="AH692:AH693"/>
    <mergeCell ref="AI692:AI693"/>
    <mergeCell ref="AJ692:AJ693"/>
    <mergeCell ref="AK692:AK693"/>
    <mergeCell ref="AL692:AL693"/>
    <mergeCell ref="AM692:AM693"/>
    <mergeCell ref="AO692:AO693"/>
    <mergeCell ref="AP692:AP693"/>
    <mergeCell ref="E753:E754"/>
    <mergeCell ref="F753:F754"/>
    <mergeCell ref="J753:J754"/>
    <mergeCell ref="N753:N754"/>
    <mergeCell ref="Y753:Y754"/>
    <mergeCell ref="AP694:AP695"/>
    <mergeCell ref="E696:E697"/>
    <mergeCell ref="F696:F697"/>
    <mergeCell ref="J696:J697"/>
    <mergeCell ref="N696:N697"/>
    <mergeCell ref="Y696:Y697"/>
    <mergeCell ref="AA696:AA697"/>
    <mergeCell ref="AB696:AB697"/>
    <mergeCell ref="AC696:AC697"/>
    <mergeCell ref="AD696:AD697"/>
    <mergeCell ref="AF696:AF697"/>
    <mergeCell ref="AP733:AP734"/>
    <mergeCell ref="AM703:AM704"/>
    <mergeCell ref="AP719:AP720"/>
    <mergeCell ref="AH729:AH730"/>
    <mergeCell ref="AC709:AC710"/>
    <mergeCell ref="AD709:AD710"/>
    <mergeCell ref="J711:J712"/>
    <mergeCell ref="AM1591:AM1592"/>
    <mergeCell ref="AO1591:AO1592"/>
    <mergeCell ref="AP1591:AP1592"/>
    <mergeCell ref="Y1502:Y1503"/>
    <mergeCell ref="AA1502:AA1503"/>
    <mergeCell ref="AB1502:AB1503"/>
    <mergeCell ref="AC1502:AC1503"/>
    <mergeCell ref="AD1502:AD1503"/>
    <mergeCell ref="AF1502:AF1503"/>
    <mergeCell ref="AG1502:AG1503"/>
    <mergeCell ref="AH1502:AH1503"/>
    <mergeCell ref="AI1502:AI1503"/>
    <mergeCell ref="AJ1502:AJ1503"/>
    <mergeCell ref="AK1502:AK1503"/>
    <mergeCell ref="AL1502:AL1503"/>
    <mergeCell ref="AM1502:AM1503"/>
    <mergeCell ref="AO1502:AO1503"/>
    <mergeCell ref="AP1502:AP1503"/>
    <mergeCell ref="AG1573:AG1574"/>
    <mergeCell ref="AH1573:AH1574"/>
    <mergeCell ref="AI1573:AI1574"/>
    <mergeCell ref="AJ1573:AJ1574"/>
    <mergeCell ref="AK1573:AK1574"/>
    <mergeCell ref="E1506:E1507"/>
    <mergeCell ref="F1506:F1507"/>
    <mergeCell ref="J1506:J1507"/>
    <mergeCell ref="N1506:N1507"/>
    <mergeCell ref="Y1506:Y1507"/>
    <mergeCell ref="AA1506:AA1507"/>
    <mergeCell ref="AB1506:AB1507"/>
    <mergeCell ref="E1518:E1519"/>
    <mergeCell ref="F1518:F1519"/>
    <mergeCell ref="J1518:J1519"/>
    <mergeCell ref="N1518:N1519"/>
    <mergeCell ref="Y1518:Y1519"/>
    <mergeCell ref="AA1518:AA1519"/>
    <mergeCell ref="E1591:E1592"/>
    <mergeCell ref="F1591:F1592"/>
    <mergeCell ref="AP1514:AP1515"/>
    <mergeCell ref="AF1547:AF1548"/>
    <mergeCell ref="AG1547:AG1548"/>
    <mergeCell ref="AH1547:AH1548"/>
    <mergeCell ref="AI1547:AI1548"/>
    <mergeCell ref="AG1539:AG1540"/>
    <mergeCell ref="AH1539:AH1540"/>
    <mergeCell ref="E1551:E1552"/>
    <mergeCell ref="F1551:F1552"/>
    <mergeCell ref="AK1561:AK1562"/>
    <mergeCell ref="AB1571:AB1572"/>
    <mergeCell ref="AC1571:AC1572"/>
    <mergeCell ref="AD1571:AD1572"/>
    <mergeCell ref="AF1571:AF1572"/>
    <mergeCell ref="E1565:E1566"/>
    <mergeCell ref="F1565:F1566"/>
    <mergeCell ref="E1557:E1558"/>
    <mergeCell ref="J1551:J1552"/>
    <mergeCell ref="N1551:N1552"/>
    <mergeCell ref="Y1551:Y1552"/>
    <mergeCell ref="AA1551:AA1552"/>
    <mergeCell ref="AG1555:AG1556"/>
    <mergeCell ref="AH1555:AH1556"/>
    <mergeCell ref="AI1555:AI1556"/>
    <mergeCell ref="E1561:E1562"/>
    <mergeCell ref="AD1561:AD1562"/>
    <mergeCell ref="J1597:J1598"/>
    <mergeCell ref="N1597:N1598"/>
    <mergeCell ref="Y1597:Y1598"/>
    <mergeCell ref="AA1597:AA1598"/>
    <mergeCell ref="E1742:E1743"/>
    <mergeCell ref="F1742:F1743"/>
    <mergeCell ref="J1742:J1743"/>
    <mergeCell ref="N1742:N1743"/>
    <mergeCell ref="Y1742:Y1743"/>
    <mergeCell ref="AA1742:AA1743"/>
    <mergeCell ref="AB1742:AB1743"/>
    <mergeCell ref="AC1742:AC1743"/>
    <mergeCell ref="AD1742:AD1743"/>
    <mergeCell ref="AF1742:AF1743"/>
    <mergeCell ref="AG1742:AG1743"/>
    <mergeCell ref="AH1742:AH1743"/>
    <mergeCell ref="AI1742:AI1743"/>
    <mergeCell ref="AJ1742:AJ1743"/>
    <mergeCell ref="AK1742:AK1743"/>
    <mergeCell ref="AL1742:AL1743"/>
    <mergeCell ref="AM1742:AM1743"/>
    <mergeCell ref="AO1742:AO1743"/>
    <mergeCell ref="AP1742:AP1743"/>
    <mergeCell ref="E1736:E1737"/>
    <mergeCell ref="F1736:F1737"/>
    <mergeCell ref="J1736:J1737"/>
    <mergeCell ref="N1736:N1737"/>
    <mergeCell ref="Y1736:Y1737"/>
    <mergeCell ref="E1599:E1600"/>
    <mergeCell ref="F1599:F1600"/>
    <mergeCell ref="J1599:J1600"/>
    <mergeCell ref="N1599:N1600"/>
    <mergeCell ref="Y1599:Y1600"/>
    <mergeCell ref="AA1599:AA1600"/>
    <mergeCell ref="AB1599:AB1600"/>
    <mergeCell ref="AM1738:AM1739"/>
    <mergeCell ref="AO1738:AO1739"/>
    <mergeCell ref="AP1738:AP1739"/>
    <mergeCell ref="E1738:E1739"/>
    <mergeCell ref="F1738:F1739"/>
    <mergeCell ref="J1738:J1739"/>
    <mergeCell ref="N1738:N1739"/>
    <mergeCell ref="Y1738:Y1739"/>
    <mergeCell ref="AA1738:AA1739"/>
    <mergeCell ref="AB1738:AB1739"/>
    <mergeCell ref="AC1738:AC1739"/>
    <mergeCell ref="AD1738:AD1739"/>
    <mergeCell ref="AF1738:AF1739"/>
    <mergeCell ref="AG1738:AG1739"/>
    <mergeCell ref="AH1738:AH1739"/>
    <mergeCell ref="AI1738:AI1739"/>
    <mergeCell ref="AJ1738:AJ1739"/>
    <mergeCell ref="AK1738:AK1739"/>
    <mergeCell ref="AL1738:AL1739"/>
    <mergeCell ref="AL1678:AL1679"/>
    <mergeCell ref="AM1678:AM1679"/>
    <mergeCell ref="E1601:E1602"/>
    <mergeCell ref="F1601:F1602"/>
    <mergeCell ref="J1601:J1602"/>
    <mergeCell ref="N1601:N1602"/>
    <mergeCell ref="Y1601:Y1602"/>
    <mergeCell ref="AA1601:AA1602"/>
    <mergeCell ref="AB1601:AB1602"/>
    <mergeCell ref="AC1601:AC1602"/>
    <mergeCell ref="AF1601:AF1602"/>
    <mergeCell ref="AG1601:AG1602"/>
    <mergeCell ref="AH1601:AH1602"/>
    <mergeCell ref="AI1601:AI1602"/>
    <mergeCell ref="AL1866:AL1867"/>
    <mergeCell ref="AM1866:AM1867"/>
    <mergeCell ref="AO1866:AO1867"/>
    <mergeCell ref="AP1866:AP1867"/>
    <mergeCell ref="E1872:E1873"/>
    <mergeCell ref="F1872:F1873"/>
    <mergeCell ref="J1872:J1873"/>
    <mergeCell ref="N1872:N1873"/>
    <mergeCell ref="Y1872:Y1873"/>
    <mergeCell ref="AA1872:AA1873"/>
    <mergeCell ref="AB1872:AB1873"/>
    <mergeCell ref="AC1872:AC1873"/>
    <mergeCell ref="AD1872:AD1873"/>
    <mergeCell ref="AF1872:AF1873"/>
    <mergeCell ref="AG1872:AG1873"/>
    <mergeCell ref="AH1872:AH1873"/>
    <mergeCell ref="AI1872:AI1873"/>
    <mergeCell ref="AJ1872:AJ1873"/>
    <mergeCell ref="AK1872:AK1873"/>
    <mergeCell ref="AL1872:AL1873"/>
    <mergeCell ref="AM1872:AM1873"/>
    <mergeCell ref="AO1872:AO1873"/>
    <mergeCell ref="J2127:J2128"/>
    <mergeCell ref="N2127:N2128"/>
    <mergeCell ref="F2129:F2130"/>
    <mergeCell ref="F2133:F2134"/>
    <mergeCell ref="J2133:J2134"/>
    <mergeCell ref="E1884:E1885"/>
    <mergeCell ref="F1884:F1885"/>
    <mergeCell ref="J1884:J1885"/>
    <mergeCell ref="N1884:N1885"/>
    <mergeCell ref="Y1884:Y1885"/>
    <mergeCell ref="AA1884:AA1885"/>
    <mergeCell ref="AB1884:AB1885"/>
    <mergeCell ref="AC1884:AC1885"/>
    <mergeCell ref="AD1884:AD1885"/>
    <mergeCell ref="N2133:N2134"/>
    <mergeCell ref="E2129:E2130"/>
    <mergeCell ref="AM2108:AM2109"/>
    <mergeCell ref="AO2108:AO2109"/>
    <mergeCell ref="E2114:E2115"/>
    <mergeCell ref="AP2088:AP2089"/>
    <mergeCell ref="E2088:E2089"/>
    <mergeCell ref="F2088:F2089"/>
    <mergeCell ref="J2088:J2089"/>
    <mergeCell ref="N2088:N2089"/>
    <mergeCell ref="AC2078:AC2079"/>
    <mergeCell ref="AD2078:AD2079"/>
    <mergeCell ref="AF2078:AF2079"/>
    <mergeCell ref="AG2078:AG2079"/>
    <mergeCell ref="AH2078:AH2079"/>
    <mergeCell ref="AI2078:AI2079"/>
    <mergeCell ref="AJ2078:AJ2079"/>
    <mergeCell ref="AK2078:AK2079"/>
    <mergeCell ref="E2084:E2085"/>
    <mergeCell ref="E2080:E2081"/>
    <mergeCell ref="F2080:F2081"/>
    <mergeCell ref="AO2092:AO2093"/>
    <mergeCell ref="E2090:E2091"/>
    <mergeCell ref="F2090:F2091"/>
    <mergeCell ref="E2303:E2304"/>
    <mergeCell ref="F2303:F2304"/>
    <mergeCell ref="J2303:J2304"/>
    <mergeCell ref="N2303:N2304"/>
    <mergeCell ref="Y2303:Y2304"/>
    <mergeCell ref="AA2303:AA2304"/>
    <mergeCell ref="AB2303:AB2304"/>
    <mergeCell ref="AC2303:AC2304"/>
    <mergeCell ref="AD2303:AD2304"/>
    <mergeCell ref="AF2303:AF2304"/>
    <mergeCell ref="AG2303:AG2304"/>
    <mergeCell ref="AH2303:AH2304"/>
    <mergeCell ref="AI2303:AI2304"/>
    <mergeCell ref="AJ2303:AJ2304"/>
    <mergeCell ref="AK2303:AK2304"/>
    <mergeCell ref="AO2255:AO2256"/>
    <mergeCell ref="AP2255:AP2256"/>
    <mergeCell ref="AP2221:AP2222"/>
    <mergeCell ref="E2193:E2194"/>
    <mergeCell ref="F2193:F2194"/>
    <mergeCell ref="J2193:J2194"/>
    <mergeCell ref="N2193:N2194"/>
    <mergeCell ref="Y2193:Y2194"/>
    <mergeCell ref="AA2193:AA2194"/>
    <mergeCell ref="AB2193:AB2194"/>
    <mergeCell ref="AC2193:AC2194"/>
    <mergeCell ref="AD2193:AD2194"/>
    <mergeCell ref="AF2193:AF2194"/>
    <mergeCell ref="AG2193:AG2194"/>
    <mergeCell ref="AH2193:AH2194"/>
    <mergeCell ref="AG2297:AG2298"/>
    <mergeCell ref="F2253:F2254"/>
    <mergeCell ref="AJ2225:AJ2226"/>
    <mergeCell ref="E2227:E2228"/>
    <mergeCell ref="F2227:F2228"/>
    <mergeCell ref="AA2249:AA2250"/>
    <mergeCell ref="AF2241:AF2242"/>
    <mergeCell ref="AG2241:AG2242"/>
    <mergeCell ref="AH2241:AH2242"/>
    <mergeCell ref="AI2241:AI2242"/>
    <mergeCell ref="AJ2241:AJ2242"/>
    <mergeCell ref="J2253:J2254"/>
    <mergeCell ref="AL2259:AL2260"/>
    <mergeCell ref="N2265:N2266"/>
    <mergeCell ref="Y2265:Y2266"/>
    <mergeCell ref="AA2265:AA2266"/>
    <mergeCell ref="E2261:E2262"/>
    <mergeCell ref="F2261:F2262"/>
    <mergeCell ref="Y2257:Y2258"/>
    <mergeCell ref="AA2257:AA2258"/>
    <mergeCell ref="AB2257:AB2258"/>
    <mergeCell ref="AB2265:AB2266"/>
    <mergeCell ref="J2281:J2282"/>
    <mergeCell ref="Y2295:Y2296"/>
    <mergeCell ref="E2297:E2298"/>
    <mergeCell ref="F2297:F2298"/>
    <mergeCell ref="J2297:J2298"/>
    <mergeCell ref="N2297:N2298"/>
    <mergeCell ref="Y2297:Y2298"/>
    <mergeCell ref="AA2297:AA2298"/>
    <mergeCell ref="AB2297:AB2298"/>
    <mergeCell ref="AB2291:AB2292"/>
    <mergeCell ref="AC2291:AC2292"/>
    <mergeCell ref="AI2277:AI2278"/>
    <mergeCell ref="E2311:E2312"/>
    <mergeCell ref="F2311:F2312"/>
    <mergeCell ref="J2311:J2312"/>
    <mergeCell ref="N2311:N2312"/>
    <mergeCell ref="Y2311:Y2312"/>
    <mergeCell ref="AA2311:AA2312"/>
    <mergeCell ref="AB2311:AB2312"/>
    <mergeCell ref="AC2311:AC2312"/>
    <mergeCell ref="AD2311:AD2312"/>
    <mergeCell ref="AF2311:AF2312"/>
    <mergeCell ref="E2301:E2302"/>
    <mergeCell ref="F2301:F2302"/>
    <mergeCell ref="J2301:J2302"/>
    <mergeCell ref="N2301:N2302"/>
    <mergeCell ref="Y2301:Y2302"/>
    <mergeCell ref="AA2301:AA2302"/>
    <mergeCell ref="AB2301:AB2302"/>
    <mergeCell ref="AC2301:AC2302"/>
    <mergeCell ref="AD2301:AD2302"/>
    <mergeCell ref="AF2301:AF2302"/>
    <mergeCell ref="AB2349:AB2350"/>
    <mergeCell ref="AC2349:AC2350"/>
    <mergeCell ref="AD2349:AD2350"/>
    <mergeCell ref="AF2349:AF2350"/>
    <mergeCell ref="E2283:E2284"/>
    <mergeCell ref="F2283:F2284"/>
    <mergeCell ref="AK2375:AK2376"/>
    <mergeCell ref="AL2375:AL2376"/>
    <mergeCell ref="AA2411:AA2412"/>
    <mergeCell ref="AB2411:AB2412"/>
    <mergeCell ref="AC2411:AC2412"/>
    <mergeCell ref="AD2411:AD2412"/>
    <mergeCell ref="AO2417:AO2418"/>
    <mergeCell ref="AG2299:AG2300"/>
    <mergeCell ref="AH2299:AH2300"/>
    <mergeCell ref="AI2299:AI2300"/>
    <mergeCell ref="AJ2299:AJ2300"/>
    <mergeCell ref="AK2299:AK2300"/>
    <mergeCell ref="AL2299:AL2300"/>
    <mergeCell ref="AM2299:AM2300"/>
    <mergeCell ref="AO2299:AO2300"/>
    <mergeCell ref="F2309:F2310"/>
    <mergeCell ref="J2309:J2310"/>
    <mergeCell ref="N2309:N2310"/>
    <mergeCell ref="Y2309:Y2310"/>
    <mergeCell ref="AA2309:AA2310"/>
    <mergeCell ref="AB2309:AB2310"/>
    <mergeCell ref="AC2309:AC2310"/>
    <mergeCell ref="AA2359:AA2360"/>
    <mergeCell ref="AB2359:AB2360"/>
    <mergeCell ref="AC2359:AC2360"/>
    <mergeCell ref="AD2359:AD2360"/>
    <mergeCell ref="AF2359:AF2360"/>
    <mergeCell ref="AG2359:AG2360"/>
    <mergeCell ref="AH2359:AH2360"/>
    <mergeCell ref="AI2359:AI2360"/>
    <mergeCell ref="AJ2359:AJ2360"/>
    <mergeCell ref="AK2359:AK2360"/>
    <mergeCell ref="AL2359:AL2360"/>
    <mergeCell ref="AM2359:AM2360"/>
    <mergeCell ref="AO2359:AO2360"/>
    <mergeCell ref="AB2305:AB2306"/>
    <mergeCell ref="AC2305:AC2306"/>
    <mergeCell ref="AL2305:AL2306"/>
    <mergeCell ref="AH2575:AH2576"/>
    <mergeCell ref="AI2575:AI2576"/>
    <mergeCell ref="AJ2575:AJ2576"/>
    <mergeCell ref="AK2575:AK2576"/>
    <mergeCell ref="AL2575:AL2576"/>
    <mergeCell ref="AM2575:AM2576"/>
    <mergeCell ref="AO2575:AO2576"/>
    <mergeCell ref="E2567:E2568"/>
    <mergeCell ref="F2567:F2568"/>
    <mergeCell ref="AO2539:AO2540"/>
    <mergeCell ref="AM2543:AM2544"/>
    <mergeCell ref="AO2543:AO2544"/>
    <mergeCell ref="N2539:N2540"/>
    <mergeCell ref="AB2571:AB2572"/>
    <mergeCell ref="AC2571:AC2572"/>
    <mergeCell ref="AA2571:AA2572"/>
    <mergeCell ref="AG2571:AG2572"/>
    <mergeCell ref="AH2571:AH2572"/>
    <mergeCell ref="AI2571:AI2572"/>
    <mergeCell ref="AK2569:AK2570"/>
    <mergeCell ref="AL2569:AL2570"/>
    <mergeCell ref="AM2569:AM2570"/>
    <mergeCell ref="AO2569:AO2570"/>
    <mergeCell ref="AD2569:AD2570"/>
    <mergeCell ref="AF2569:AF2570"/>
    <mergeCell ref="AG2569:AG2570"/>
    <mergeCell ref="AH2569:AH2570"/>
    <mergeCell ref="AI2569:AI2570"/>
    <mergeCell ref="AJ2569:AJ2570"/>
    <mergeCell ref="N2571:N2572"/>
    <mergeCell ref="Y2571:Y2572"/>
    <mergeCell ref="J2567:J2568"/>
    <mergeCell ref="F2559:F2560"/>
    <mergeCell ref="J2559:J2560"/>
    <mergeCell ref="E2563:E2564"/>
    <mergeCell ref="F2563:F2564"/>
    <mergeCell ref="AO2571:AO2572"/>
    <mergeCell ref="N2565:N2566"/>
    <mergeCell ref="AA2563:AA2564"/>
    <mergeCell ref="AB2563:AB2564"/>
    <mergeCell ref="AC2563:AC2564"/>
    <mergeCell ref="AJ2559:AJ2560"/>
    <mergeCell ref="AJ2563:AJ2564"/>
    <mergeCell ref="AJ2565:AJ2566"/>
    <mergeCell ref="AJ2567:AJ2568"/>
    <mergeCell ref="AJ2571:AJ2572"/>
    <mergeCell ref="AM2559:AM2560"/>
    <mergeCell ref="AC2559:AC2560"/>
    <mergeCell ref="AO2563:AO2564"/>
    <mergeCell ref="AL2571:AL2572"/>
    <mergeCell ref="AH2567:AH2568"/>
    <mergeCell ref="AI2567:AI2568"/>
    <mergeCell ref="AI2559:AI2560"/>
    <mergeCell ref="Y2567:Y2568"/>
    <mergeCell ref="AM2549:AM2550"/>
    <mergeCell ref="AG2549:AG2550"/>
    <mergeCell ref="AH2549:AH2550"/>
    <mergeCell ref="J2816:J2817"/>
    <mergeCell ref="AB2808:AB2809"/>
    <mergeCell ref="N2818:N2819"/>
    <mergeCell ref="Y2818:Y2819"/>
    <mergeCell ref="AC2744:AC2745"/>
    <mergeCell ref="AD2744:AD2745"/>
    <mergeCell ref="AH2816:AH2817"/>
    <mergeCell ref="AI2816:AI2817"/>
    <mergeCell ref="AJ2816:AJ2817"/>
    <mergeCell ref="AP2772:AP2773"/>
    <mergeCell ref="E2774:E2775"/>
    <mergeCell ref="F2774:F2775"/>
    <mergeCell ref="J2774:J2775"/>
    <mergeCell ref="AL2820:AL2821"/>
    <mergeCell ref="AK2643:AK2644"/>
    <mergeCell ref="AL2643:AL2644"/>
    <mergeCell ref="AM2643:AM2644"/>
    <mergeCell ref="AO2643:AO2644"/>
    <mergeCell ref="AP2643:AP2644"/>
    <mergeCell ref="E2708:E2709"/>
    <mergeCell ref="F2708:F2709"/>
    <mergeCell ref="J2708:J2709"/>
    <mergeCell ref="N2708:N2709"/>
    <mergeCell ref="Y2708:Y2709"/>
    <mergeCell ref="AA2708:AA2709"/>
    <mergeCell ref="AB2708:AB2709"/>
    <mergeCell ref="AC2708:AC2709"/>
    <mergeCell ref="AD2708:AD2709"/>
    <mergeCell ref="AF2708:AF2709"/>
    <mergeCell ref="AG2708:AG2709"/>
    <mergeCell ref="AH2708:AH2709"/>
    <mergeCell ref="AI2708:AI2709"/>
    <mergeCell ref="AJ2708:AJ2709"/>
    <mergeCell ref="AK2708:AK2709"/>
    <mergeCell ref="AL2708:AL2709"/>
    <mergeCell ref="AM2708:AM2709"/>
    <mergeCell ref="AO2708:AO2709"/>
    <mergeCell ref="AP2708:AP2709"/>
    <mergeCell ref="AC2698:AC2699"/>
    <mergeCell ref="AD2698:AD2699"/>
    <mergeCell ref="AF2698:AF2699"/>
    <mergeCell ref="AL2778:AL2779"/>
    <mergeCell ref="AM2778:AM2779"/>
    <mergeCell ref="AJ2794:AJ2795"/>
    <mergeCell ref="F2680:F2681"/>
    <mergeCell ref="AO2790:AO2791"/>
    <mergeCell ref="AM2788:AM2789"/>
    <mergeCell ref="AO2788:AO2789"/>
    <mergeCell ref="AM2782:AM2783"/>
    <mergeCell ref="AP2782:AP2783"/>
    <mergeCell ref="AF2651:AF2652"/>
    <mergeCell ref="AG2651:AG2652"/>
    <mergeCell ref="AH2651:AH2652"/>
    <mergeCell ref="AI2651:AI2652"/>
    <mergeCell ref="AJ2651:AJ2652"/>
    <mergeCell ref="AK2651:AK2652"/>
    <mergeCell ref="AL2651:AL2652"/>
    <mergeCell ref="AM2651:AM2652"/>
    <mergeCell ref="AK2778:AK2779"/>
    <mergeCell ref="AK2700:AK2701"/>
    <mergeCell ref="AD2686:AD2687"/>
    <mergeCell ref="Y2690:Y2691"/>
    <mergeCell ref="AA2690:AA2691"/>
    <mergeCell ref="AD2748:AD2749"/>
    <mergeCell ref="E3432:E3433"/>
    <mergeCell ref="F3432:F3433"/>
    <mergeCell ref="J3432:J3433"/>
    <mergeCell ref="N3432:N3433"/>
    <mergeCell ref="Y3432:Y3433"/>
    <mergeCell ref="AA3432:AA3433"/>
    <mergeCell ref="AB3432:AB3433"/>
    <mergeCell ref="AC3432:AC3433"/>
    <mergeCell ref="AD3432:AD3433"/>
    <mergeCell ref="AF3432:AF3433"/>
    <mergeCell ref="AG3432:AG3433"/>
    <mergeCell ref="AH3432:AH3433"/>
    <mergeCell ref="AI3432:AI3433"/>
    <mergeCell ref="AJ3432:AJ3433"/>
    <mergeCell ref="AK3432:AK3433"/>
    <mergeCell ref="AL3432:AL3433"/>
    <mergeCell ref="AB3420:AB3421"/>
    <mergeCell ref="AC3420:AC3421"/>
    <mergeCell ref="AD3420:AD3421"/>
    <mergeCell ref="AF3420:AF3421"/>
    <mergeCell ref="AG3420:AG3421"/>
    <mergeCell ref="AH3389:AH3390"/>
    <mergeCell ref="AI3389:AI3390"/>
    <mergeCell ref="AJ3389:AJ3390"/>
    <mergeCell ref="AK3389:AK3390"/>
    <mergeCell ref="AL3389:AL3390"/>
    <mergeCell ref="N2653:N2654"/>
    <mergeCell ref="E3266:E3267"/>
    <mergeCell ref="F3266:F3267"/>
    <mergeCell ref="J3266:J3267"/>
    <mergeCell ref="N3266:N3267"/>
    <mergeCell ref="Y3266:Y3267"/>
    <mergeCell ref="AA3266:AA3267"/>
    <mergeCell ref="AB3266:AB3267"/>
    <mergeCell ref="AD3032:AD3033"/>
    <mergeCell ref="AF3032:AF3033"/>
    <mergeCell ref="AG3032:AG3033"/>
    <mergeCell ref="AH3032:AH3033"/>
    <mergeCell ref="AI3032:AI3033"/>
    <mergeCell ref="AJ3032:AJ3033"/>
    <mergeCell ref="AK3032:AK3033"/>
    <mergeCell ref="E2938:E2939"/>
    <mergeCell ref="F2938:F2939"/>
    <mergeCell ref="J2938:J2939"/>
    <mergeCell ref="N2938:N2939"/>
    <mergeCell ref="Y2938:Y2939"/>
    <mergeCell ref="AA2938:AA2939"/>
    <mergeCell ref="AB2938:AB2939"/>
    <mergeCell ref="AC2938:AC2939"/>
    <mergeCell ref="AD2938:AD2939"/>
    <mergeCell ref="E2822:E2823"/>
    <mergeCell ref="F2822:F2823"/>
    <mergeCell ref="J2822:J2823"/>
    <mergeCell ref="N2822:N2823"/>
    <mergeCell ref="Y2822:Y2823"/>
    <mergeCell ref="AA2822:AA2823"/>
    <mergeCell ref="AB2822:AB2823"/>
    <mergeCell ref="AC2822:AC2823"/>
    <mergeCell ref="E2794:E2795"/>
    <mergeCell ref="F2794:F2795"/>
    <mergeCell ref="F2818:F2819"/>
    <mergeCell ref="AI2810:AI2811"/>
    <mergeCell ref="E2816:E2817"/>
    <mergeCell ref="F2816:F2817"/>
    <mergeCell ref="AP98:AP99"/>
    <mergeCell ref="E172:E173"/>
    <mergeCell ref="F172:F173"/>
    <mergeCell ref="J172:J173"/>
    <mergeCell ref="N172:N173"/>
    <mergeCell ref="Y172:Y173"/>
    <mergeCell ref="AA172:AA173"/>
    <mergeCell ref="AB172:AB173"/>
    <mergeCell ref="AC172:AC173"/>
    <mergeCell ref="AD172:AD173"/>
    <mergeCell ref="AF172:AF173"/>
    <mergeCell ref="AG172:AG173"/>
    <mergeCell ref="AH172:AH173"/>
    <mergeCell ref="AI172:AI173"/>
    <mergeCell ref="AJ172:AJ173"/>
    <mergeCell ref="AK172:AK173"/>
    <mergeCell ref="AL172:AL173"/>
    <mergeCell ref="AM172:AM173"/>
    <mergeCell ref="AO172:AO173"/>
    <mergeCell ref="AP172:AP173"/>
    <mergeCell ref="Y118:Y119"/>
    <mergeCell ref="AA118:AA119"/>
    <mergeCell ref="AB118:AB119"/>
    <mergeCell ref="AC118:AC119"/>
    <mergeCell ref="F134:F135"/>
    <mergeCell ref="F140:F141"/>
    <mergeCell ref="J140:J141"/>
    <mergeCell ref="N140:N141"/>
    <mergeCell ref="AK140:AK141"/>
    <mergeCell ref="AL140:AL141"/>
    <mergeCell ref="E148:E149"/>
    <mergeCell ref="F148:F149"/>
    <mergeCell ref="AA160:AA161"/>
    <mergeCell ref="AB160:AB161"/>
    <mergeCell ref="AC160:AC161"/>
    <mergeCell ref="AD160:AD161"/>
    <mergeCell ref="AF160:AF161"/>
    <mergeCell ref="AG160:AG161"/>
    <mergeCell ref="AH160:AH161"/>
    <mergeCell ref="AI160:AI161"/>
    <mergeCell ref="E156:E157"/>
    <mergeCell ref="AD152:AD153"/>
    <mergeCell ref="AF152:AF153"/>
    <mergeCell ref="E154:E155"/>
    <mergeCell ref="F154:F155"/>
    <mergeCell ref="J154:J155"/>
    <mergeCell ref="AP164:AP165"/>
    <mergeCell ref="AG150:AG151"/>
    <mergeCell ref="AO170:AO171"/>
    <mergeCell ref="AO136:AO137"/>
    <mergeCell ref="AO142:AO143"/>
    <mergeCell ref="AM136:AM137"/>
    <mergeCell ref="F152:F153"/>
    <mergeCell ref="Y148:Y149"/>
    <mergeCell ref="N148:N149"/>
    <mergeCell ref="E158:E159"/>
    <mergeCell ref="F158:F159"/>
    <mergeCell ref="N152:N153"/>
    <mergeCell ref="Y152:Y153"/>
    <mergeCell ref="AA152:AA153"/>
    <mergeCell ref="AB152:AB153"/>
    <mergeCell ref="F156:F157"/>
    <mergeCell ref="AA148:AA149"/>
    <mergeCell ref="AB148:AB149"/>
    <mergeCell ref="AO108:AO109"/>
    <mergeCell ref="AM134:AM135"/>
    <mergeCell ref="AB132:AB133"/>
    <mergeCell ref="J142:J143"/>
    <mergeCell ref="N142:N143"/>
    <mergeCell ref="Y142:Y143"/>
    <mergeCell ref="AA142:AA143"/>
    <mergeCell ref="AB142:AB143"/>
    <mergeCell ref="AC142:AC143"/>
    <mergeCell ref="AD142:AD143"/>
    <mergeCell ref="AL108:AL109"/>
    <mergeCell ref="E160:E161"/>
    <mergeCell ref="AP300:AP301"/>
    <mergeCell ref="AG286:AG287"/>
    <mergeCell ref="E302:E303"/>
    <mergeCell ref="F302:F303"/>
    <mergeCell ref="J282:J283"/>
    <mergeCell ref="N282:N283"/>
    <mergeCell ref="AJ276:AJ277"/>
    <mergeCell ref="AJ278:AJ279"/>
    <mergeCell ref="AM300:AM301"/>
    <mergeCell ref="AO300:AO301"/>
    <mergeCell ref="AK276:AK277"/>
    <mergeCell ref="AK288:AK289"/>
    <mergeCell ref="AL288:AL289"/>
    <mergeCell ref="E373:E374"/>
    <mergeCell ref="F373:F374"/>
    <mergeCell ref="J373:J374"/>
    <mergeCell ref="N373:N374"/>
    <mergeCell ref="Y373:Y374"/>
    <mergeCell ref="AA373:AA374"/>
    <mergeCell ref="AB373:AB374"/>
    <mergeCell ref="AC373:AC374"/>
    <mergeCell ref="AD373:AD374"/>
    <mergeCell ref="AF373:AF374"/>
    <mergeCell ref="AG373:AG374"/>
    <mergeCell ref="AH373:AH374"/>
    <mergeCell ref="AI373:AI374"/>
    <mergeCell ref="AJ373:AJ374"/>
    <mergeCell ref="AK373:AK374"/>
    <mergeCell ref="AL373:AL374"/>
    <mergeCell ref="AM373:AM374"/>
    <mergeCell ref="AO373:AO374"/>
    <mergeCell ref="AP373:AP374"/>
    <mergeCell ref="E369:E370"/>
    <mergeCell ref="F369:F370"/>
    <mergeCell ref="J369:J370"/>
    <mergeCell ref="N369:N370"/>
    <mergeCell ref="Y369:Y370"/>
    <mergeCell ref="AA369:AA370"/>
    <mergeCell ref="AB369:AB370"/>
    <mergeCell ref="AC369:AC370"/>
    <mergeCell ref="AD369:AD370"/>
    <mergeCell ref="AF369:AF370"/>
    <mergeCell ref="AG369:AG370"/>
    <mergeCell ref="AH369:AH370"/>
    <mergeCell ref="AI369:AI370"/>
    <mergeCell ref="AJ369:AJ370"/>
    <mergeCell ref="AK369:AK370"/>
    <mergeCell ref="AL369:AL370"/>
    <mergeCell ref="AM369:AM370"/>
    <mergeCell ref="AL356:AL357"/>
    <mergeCell ref="AI356:AI357"/>
    <mergeCell ref="AP276:AP277"/>
    <mergeCell ref="AL380:AL381"/>
    <mergeCell ref="AM380:AM381"/>
    <mergeCell ref="AO380:AO381"/>
    <mergeCell ref="AP380:AP381"/>
    <mergeCell ref="AG382:AG383"/>
    <mergeCell ref="AH382:AH383"/>
    <mergeCell ref="AI382:AI383"/>
    <mergeCell ref="AJ382:AJ383"/>
    <mergeCell ref="AK382:AK383"/>
    <mergeCell ref="AL382:AL383"/>
    <mergeCell ref="AI384:AI385"/>
    <mergeCell ref="AJ384:AJ385"/>
    <mergeCell ref="AK384:AK385"/>
    <mergeCell ref="AL384:AL385"/>
    <mergeCell ref="AM384:AM385"/>
    <mergeCell ref="AO384:AO385"/>
    <mergeCell ref="AP384:AP385"/>
    <mergeCell ref="AM404:AM405"/>
    <mergeCell ref="AP404:AP405"/>
    <mergeCell ref="AI401:AI402"/>
    <mergeCell ref="AJ401:AJ402"/>
    <mergeCell ref="AK401:AK402"/>
    <mergeCell ref="AL401:AL402"/>
    <mergeCell ref="AM401:AM402"/>
    <mergeCell ref="AO401:AO402"/>
    <mergeCell ref="AP401:AP402"/>
    <mergeCell ref="E406:E407"/>
    <mergeCell ref="AJ406:AJ407"/>
    <mergeCell ref="AK406:AK407"/>
    <mergeCell ref="AL406:AL407"/>
    <mergeCell ref="E526:E527"/>
    <mergeCell ref="F526:F527"/>
    <mergeCell ref="J526:J527"/>
    <mergeCell ref="N526:N527"/>
    <mergeCell ref="Y526:Y527"/>
    <mergeCell ref="AA526:AA527"/>
    <mergeCell ref="AB526:AB527"/>
    <mergeCell ref="AC526:AC527"/>
    <mergeCell ref="AD526:AD527"/>
    <mergeCell ref="AF526:AF527"/>
    <mergeCell ref="AG526:AG527"/>
    <mergeCell ref="AH526:AH527"/>
    <mergeCell ref="AI526:AI527"/>
    <mergeCell ref="AJ526:AJ527"/>
    <mergeCell ref="AK526:AK527"/>
    <mergeCell ref="AL526:AL527"/>
    <mergeCell ref="AM526:AM527"/>
    <mergeCell ref="AO526:AO527"/>
    <mergeCell ref="AP526:AP527"/>
    <mergeCell ref="E518:E519"/>
    <mergeCell ref="F518:F519"/>
    <mergeCell ref="AF395:AF396"/>
    <mergeCell ref="AG395:AG396"/>
    <mergeCell ref="AH395:AH396"/>
    <mergeCell ref="E397:E398"/>
    <mergeCell ref="F397:F398"/>
    <mergeCell ref="J397:J398"/>
    <mergeCell ref="N397:N398"/>
    <mergeCell ref="Y397:Y398"/>
    <mergeCell ref="AA397:AA398"/>
    <mergeCell ref="AI395:AI396"/>
    <mergeCell ref="AJ395:AJ396"/>
    <mergeCell ref="AI397:AI398"/>
    <mergeCell ref="AJ397:AJ398"/>
    <mergeCell ref="AL397:AL398"/>
    <mergeCell ref="AM397:AM398"/>
    <mergeCell ref="AO397:AO398"/>
    <mergeCell ref="AP397:AP398"/>
    <mergeCell ref="J518:J519"/>
    <mergeCell ref="N518:N519"/>
    <mergeCell ref="Y518:Y519"/>
    <mergeCell ref="AA518:AA519"/>
    <mergeCell ref="AF518:AF519"/>
    <mergeCell ref="AG518:AG519"/>
    <mergeCell ref="AH518:AH519"/>
    <mergeCell ref="AI518:AI519"/>
    <mergeCell ref="AJ518:AJ519"/>
    <mergeCell ref="AK518:AK519"/>
    <mergeCell ref="AL518:AL519"/>
    <mergeCell ref="AM518:AM519"/>
    <mergeCell ref="AO518:AO519"/>
    <mergeCell ref="AP518:AP519"/>
    <mergeCell ref="E524:E525"/>
    <mergeCell ref="F524:F525"/>
    <mergeCell ref="J524:J525"/>
    <mergeCell ref="N524:N525"/>
    <mergeCell ref="Y524:Y525"/>
    <mergeCell ref="AA524:AA525"/>
    <mergeCell ref="AB524:AB525"/>
    <mergeCell ref="AC524:AC525"/>
    <mergeCell ref="AD524:AD525"/>
    <mergeCell ref="AF524:AF525"/>
    <mergeCell ref="AG524:AG525"/>
    <mergeCell ref="AH524:AH525"/>
    <mergeCell ref="AI524:AI525"/>
    <mergeCell ref="AJ524:AJ525"/>
    <mergeCell ref="E514:E515"/>
    <mergeCell ref="F514:F515"/>
    <mergeCell ref="J514:J515"/>
    <mergeCell ref="N514:N515"/>
    <mergeCell ref="Y514:Y515"/>
    <mergeCell ref="AB514:AB515"/>
    <mergeCell ref="AC514:AC515"/>
    <mergeCell ref="AP470:AP471"/>
    <mergeCell ref="AM472:AM473"/>
    <mergeCell ref="AP478:AP479"/>
    <mergeCell ref="AM480:AM481"/>
    <mergeCell ref="AP472:AP473"/>
    <mergeCell ref="AM474:AM475"/>
    <mergeCell ref="AP474:AP475"/>
    <mergeCell ref="AM476:AM477"/>
    <mergeCell ref="AP476:AP477"/>
    <mergeCell ref="AM478:AM479"/>
    <mergeCell ref="AP454:AP455"/>
    <mergeCell ref="AM456:AM457"/>
    <mergeCell ref="AP456:AP457"/>
    <mergeCell ref="AM458:AM459"/>
    <mergeCell ref="F492:F493"/>
    <mergeCell ref="J492:J493"/>
    <mergeCell ref="AM496:AM497"/>
    <mergeCell ref="AO496:AO497"/>
    <mergeCell ref="AJ496:AJ497"/>
    <mergeCell ref="AK496:AK497"/>
    <mergeCell ref="AL496:AL497"/>
    <mergeCell ref="E512:E513"/>
    <mergeCell ref="F512:F513"/>
    <mergeCell ref="J512:J513"/>
    <mergeCell ref="N512:N513"/>
    <mergeCell ref="AP500:AP501"/>
    <mergeCell ref="AK506:AK507"/>
    <mergeCell ref="AM504:AM505"/>
    <mergeCell ref="AO504:AO505"/>
    <mergeCell ref="AL504:AL505"/>
    <mergeCell ref="AL500:AL501"/>
    <mergeCell ref="AL498:AL499"/>
    <mergeCell ref="AP504:AP505"/>
    <mergeCell ref="AP498:AP499"/>
    <mergeCell ref="AP502:AP503"/>
    <mergeCell ref="AK504:AK505"/>
    <mergeCell ref="N645:N646"/>
    <mergeCell ref="Y645:Y646"/>
    <mergeCell ref="AA645:AA646"/>
    <mergeCell ref="AB645:AB646"/>
    <mergeCell ref="AC645:AC646"/>
    <mergeCell ref="AD645:AD646"/>
    <mergeCell ref="AF645:AF646"/>
    <mergeCell ref="AG645:AG646"/>
    <mergeCell ref="AH645:AH646"/>
    <mergeCell ref="AI645:AI646"/>
    <mergeCell ref="AJ645:AJ646"/>
    <mergeCell ref="AK645:AK646"/>
    <mergeCell ref="AL645:AL646"/>
    <mergeCell ref="AM645:AM646"/>
    <mergeCell ref="AO645:AO646"/>
    <mergeCell ref="AP645:AP646"/>
    <mergeCell ref="E528:E529"/>
    <mergeCell ref="F528:F529"/>
    <mergeCell ref="J528:J529"/>
    <mergeCell ref="N528:N529"/>
    <mergeCell ref="Y528:Y529"/>
    <mergeCell ref="AA528:AA529"/>
    <mergeCell ref="AB528:AB529"/>
    <mergeCell ref="AC528:AC529"/>
    <mergeCell ref="AD528:AD529"/>
    <mergeCell ref="AF528:AF529"/>
    <mergeCell ref="AG528:AG529"/>
    <mergeCell ref="AH528:AH529"/>
    <mergeCell ref="AI528:AI529"/>
    <mergeCell ref="AJ528:AJ529"/>
    <mergeCell ref="AK528:AK529"/>
    <mergeCell ref="AL528:AL529"/>
    <mergeCell ref="AM528:AM529"/>
    <mergeCell ref="AO528:AO529"/>
    <mergeCell ref="AP528:AP529"/>
    <mergeCell ref="AI637:AI638"/>
    <mergeCell ref="AP635:AP636"/>
    <mergeCell ref="J623:J624"/>
    <mergeCell ref="Y623:Y624"/>
    <mergeCell ref="AA623:AA624"/>
    <mergeCell ref="AB623:AB624"/>
    <mergeCell ref="E635:E636"/>
    <mergeCell ref="F635:F636"/>
    <mergeCell ref="J635:J636"/>
    <mergeCell ref="N635:N636"/>
    <mergeCell ref="Y635:Y636"/>
    <mergeCell ref="AA635:AA636"/>
    <mergeCell ref="AB635:AB636"/>
    <mergeCell ref="AC635:AC636"/>
    <mergeCell ref="E625:E626"/>
    <mergeCell ref="F625:F626"/>
    <mergeCell ref="J625:J626"/>
    <mergeCell ref="N625:N626"/>
    <mergeCell ref="E629:E630"/>
    <mergeCell ref="F629:F630"/>
    <mergeCell ref="J629:J630"/>
    <mergeCell ref="N629:N630"/>
    <mergeCell ref="AP629:AP630"/>
    <mergeCell ref="AA625:AA626"/>
    <mergeCell ref="AB625:AB626"/>
    <mergeCell ref="AC625:AC626"/>
    <mergeCell ref="AD625:AD626"/>
    <mergeCell ref="AF625:AF626"/>
    <mergeCell ref="AG625:AG626"/>
    <mergeCell ref="AJ635:AJ636"/>
    <mergeCell ref="AK635:AK636"/>
    <mergeCell ref="AL635:AL636"/>
    <mergeCell ref="AM635:AM636"/>
    <mergeCell ref="AO635:AO636"/>
    <mergeCell ref="AP637:AP638"/>
    <mergeCell ref="AL633:AL634"/>
    <mergeCell ref="AM633:AM634"/>
    <mergeCell ref="AO633:AO634"/>
    <mergeCell ref="AP633:AP634"/>
    <mergeCell ref="E623:E624"/>
    <mergeCell ref="F623:F624"/>
    <mergeCell ref="AO625:AO626"/>
    <mergeCell ref="N623:N624"/>
    <mergeCell ref="E633:E634"/>
    <mergeCell ref="F633:F634"/>
    <mergeCell ref="J633:J634"/>
    <mergeCell ref="N633:N634"/>
    <mergeCell ref="Y633:Y634"/>
    <mergeCell ref="AA633:AA634"/>
    <mergeCell ref="AB633:AB634"/>
    <mergeCell ref="AC633:AC634"/>
    <mergeCell ref="AD633:AD634"/>
    <mergeCell ref="AF633:AF634"/>
    <mergeCell ref="AM627:AM628"/>
    <mergeCell ref="AO627:AO628"/>
    <mergeCell ref="AP627:AP628"/>
    <mergeCell ref="Y629:Y630"/>
    <mergeCell ref="AA629:AA630"/>
    <mergeCell ref="AB629:AB630"/>
    <mergeCell ref="AC629:AC630"/>
    <mergeCell ref="AD629:AD630"/>
    <mergeCell ref="AF629:AF630"/>
    <mergeCell ref="AG629:AG630"/>
    <mergeCell ref="AH629:AH630"/>
    <mergeCell ref="AI629:AI630"/>
    <mergeCell ref="AJ629:AJ630"/>
    <mergeCell ref="AK629:AK630"/>
    <mergeCell ref="AL629:AL630"/>
    <mergeCell ref="AG627:AG628"/>
    <mergeCell ref="AH627:AH628"/>
    <mergeCell ref="AI627:AI628"/>
    <mergeCell ref="AJ627:AJ628"/>
    <mergeCell ref="AK627:AK628"/>
    <mergeCell ref="AL627:AL628"/>
    <mergeCell ref="F647:F648"/>
    <mergeCell ref="J647:J648"/>
    <mergeCell ref="N647:N648"/>
    <mergeCell ref="Y647:Y648"/>
    <mergeCell ref="AA647:AA648"/>
    <mergeCell ref="AB647:AB648"/>
    <mergeCell ref="AC647:AC648"/>
    <mergeCell ref="AD647:AD648"/>
    <mergeCell ref="AF647:AF648"/>
    <mergeCell ref="AG647:AG648"/>
    <mergeCell ref="AH647:AH648"/>
    <mergeCell ref="AI647:AI648"/>
    <mergeCell ref="AJ647:AJ648"/>
    <mergeCell ref="AK647:AK648"/>
    <mergeCell ref="AL647:AL648"/>
    <mergeCell ref="AM647:AM648"/>
    <mergeCell ref="AO647:AO648"/>
    <mergeCell ref="AP647:AP648"/>
    <mergeCell ref="E643:E644"/>
    <mergeCell ref="F643:F644"/>
    <mergeCell ref="J643:J644"/>
    <mergeCell ref="N643:N644"/>
    <mergeCell ref="Y643:Y644"/>
    <mergeCell ref="AA643:AA644"/>
    <mergeCell ref="AB643:AB644"/>
    <mergeCell ref="AC643:AC644"/>
    <mergeCell ref="AD643:AD644"/>
    <mergeCell ref="AF643:AF644"/>
    <mergeCell ref="AG643:AG644"/>
    <mergeCell ref="AH643:AH644"/>
    <mergeCell ref="AI643:AI644"/>
    <mergeCell ref="AJ643:AJ644"/>
    <mergeCell ref="AK643:AK644"/>
    <mergeCell ref="AL643:AL644"/>
    <mergeCell ref="AM643:AM644"/>
    <mergeCell ref="AO643:AO644"/>
    <mergeCell ref="AP643:AP644"/>
    <mergeCell ref="E645:E646"/>
    <mergeCell ref="F645:F646"/>
    <mergeCell ref="J645:J646"/>
    <mergeCell ref="AP682:AP683"/>
    <mergeCell ref="AP672:AP673"/>
    <mergeCell ref="AP674:AP675"/>
    <mergeCell ref="AP664:AP665"/>
    <mergeCell ref="Y666:Y667"/>
    <mergeCell ref="AA666:AA667"/>
    <mergeCell ref="AB666:AB667"/>
    <mergeCell ref="AC666:AC667"/>
    <mergeCell ref="AP684:AP685"/>
    <mergeCell ref="AP696:AP697"/>
    <mergeCell ref="E765:E766"/>
    <mergeCell ref="F765:F766"/>
    <mergeCell ref="J765:J766"/>
    <mergeCell ref="N765:N766"/>
    <mergeCell ref="Y765:Y766"/>
    <mergeCell ref="AA765:AA766"/>
    <mergeCell ref="AB765:AB766"/>
    <mergeCell ref="AC765:AC766"/>
    <mergeCell ref="AD765:AD766"/>
    <mergeCell ref="AF765:AF766"/>
    <mergeCell ref="AG765:AG766"/>
    <mergeCell ref="AH765:AH766"/>
    <mergeCell ref="AI765:AI766"/>
    <mergeCell ref="AJ765:AJ766"/>
    <mergeCell ref="AK765:AK766"/>
    <mergeCell ref="AL765:AL766"/>
    <mergeCell ref="AM765:AM766"/>
    <mergeCell ref="AO765:AO766"/>
    <mergeCell ref="AP765:AP766"/>
    <mergeCell ref="AI727:AI728"/>
    <mergeCell ref="N743:N744"/>
    <mergeCell ref="AH717:AH718"/>
    <mergeCell ref="AI717:AI718"/>
    <mergeCell ref="AO717:AO718"/>
    <mergeCell ref="AL721:AL722"/>
    <mergeCell ref="AF723:AF724"/>
    <mergeCell ref="AG723:AG724"/>
    <mergeCell ref="AO731:AO732"/>
    <mergeCell ref="AG747:AG748"/>
    <mergeCell ref="AL747:AL748"/>
    <mergeCell ref="AA745:AA746"/>
    <mergeCell ref="AB745:AB746"/>
    <mergeCell ref="AC745:AC746"/>
    <mergeCell ref="J749:J750"/>
    <mergeCell ref="AG755:AG756"/>
    <mergeCell ref="AH755:AH756"/>
    <mergeCell ref="AO749:AO750"/>
    <mergeCell ref="Y715:Y716"/>
    <mergeCell ref="AA715:AA716"/>
    <mergeCell ref="F721:F722"/>
    <mergeCell ref="AJ735:AJ736"/>
    <mergeCell ref="AK735:AK736"/>
    <mergeCell ref="AL735:AL736"/>
    <mergeCell ref="AP686:AP687"/>
    <mergeCell ref="E759:E760"/>
    <mergeCell ref="F759:F760"/>
    <mergeCell ref="J759:J760"/>
    <mergeCell ref="N759:N760"/>
    <mergeCell ref="Y759:Y760"/>
    <mergeCell ref="AA759:AA760"/>
    <mergeCell ref="AB759:AB760"/>
    <mergeCell ref="AC759:AC760"/>
    <mergeCell ref="AD759:AD760"/>
    <mergeCell ref="AF759:AF760"/>
    <mergeCell ref="AF875:AF876"/>
    <mergeCell ref="AG875:AG876"/>
    <mergeCell ref="AH875:AH876"/>
    <mergeCell ref="AI875:AI876"/>
    <mergeCell ref="AJ875:AJ876"/>
    <mergeCell ref="AK875:AK876"/>
    <mergeCell ref="AL875:AL876"/>
    <mergeCell ref="AM875:AM876"/>
    <mergeCell ref="AO875:AO876"/>
    <mergeCell ref="AP875:AP876"/>
    <mergeCell ref="AP859:AP860"/>
    <mergeCell ref="E853:E854"/>
    <mergeCell ref="F853:F854"/>
    <mergeCell ref="J853:J854"/>
    <mergeCell ref="N853:N854"/>
    <mergeCell ref="Y853:Y854"/>
    <mergeCell ref="AA853:AA854"/>
    <mergeCell ref="AB853:AB854"/>
    <mergeCell ref="AC853:AC854"/>
    <mergeCell ref="AD853:AD854"/>
    <mergeCell ref="AF853:AF854"/>
    <mergeCell ref="AG853:AG854"/>
    <mergeCell ref="AH853:AH854"/>
    <mergeCell ref="AP851:AP852"/>
    <mergeCell ref="AF851:AF852"/>
    <mergeCell ref="AG851:AG852"/>
    <mergeCell ref="AP930:AP931"/>
    <mergeCell ref="AK941:AK942"/>
    <mergeCell ref="AL941:AL942"/>
    <mergeCell ref="AA1007:AA1008"/>
    <mergeCell ref="AB1007:AB1008"/>
    <mergeCell ref="AC1007:AC1008"/>
    <mergeCell ref="AD1007:AD1008"/>
    <mergeCell ref="AF1007:AF1008"/>
    <mergeCell ref="AG1007:AG1008"/>
    <mergeCell ref="AH1007:AH1008"/>
    <mergeCell ref="AI1007:AI1008"/>
    <mergeCell ref="AJ1007:AJ1008"/>
    <mergeCell ref="AK1007:AK1008"/>
    <mergeCell ref="AL1007:AL1008"/>
    <mergeCell ref="AM1007:AM1008"/>
    <mergeCell ref="AO1007:AO1008"/>
    <mergeCell ref="AP1007:AP1008"/>
    <mergeCell ref="E955:E956"/>
    <mergeCell ref="F955:F956"/>
    <mergeCell ref="J955:J956"/>
    <mergeCell ref="N955:N956"/>
    <mergeCell ref="Y955:Y956"/>
    <mergeCell ref="AA955:AA956"/>
    <mergeCell ref="AB955:AB956"/>
    <mergeCell ref="AC955:AC956"/>
    <mergeCell ref="AD955:AD956"/>
    <mergeCell ref="AF955:AF956"/>
    <mergeCell ref="AG955:AG956"/>
    <mergeCell ref="AH955:AH956"/>
    <mergeCell ref="AI955:AI956"/>
    <mergeCell ref="AJ955:AJ956"/>
    <mergeCell ref="AK955:AK956"/>
    <mergeCell ref="AL955:AL956"/>
    <mergeCell ref="AM955:AM956"/>
    <mergeCell ref="AO955:AO956"/>
    <mergeCell ref="AP955:AP956"/>
    <mergeCell ref="E971:E972"/>
    <mergeCell ref="F971:F972"/>
    <mergeCell ref="AG971:AG972"/>
    <mergeCell ref="AH971:AH972"/>
    <mergeCell ref="AI971:AI972"/>
    <mergeCell ref="AJ971:AJ972"/>
    <mergeCell ref="AK971:AK972"/>
    <mergeCell ref="AL971:AL972"/>
    <mergeCell ref="AM971:AM972"/>
    <mergeCell ref="AO971:AO972"/>
    <mergeCell ref="AP971:AP972"/>
    <mergeCell ref="E967:E968"/>
    <mergeCell ref="F967:F968"/>
    <mergeCell ref="J967:J968"/>
    <mergeCell ref="N967:N968"/>
    <mergeCell ref="Y967:Y968"/>
    <mergeCell ref="E997:E998"/>
    <mergeCell ref="F997:F998"/>
    <mergeCell ref="J997:J998"/>
    <mergeCell ref="N997:N998"/>
    <mergeCell ref="Y997:Y998"/>
    <mergeCell ref="AA997:AA998"/>
    <mergeCell ref="AB997:AB998"/>
    <mergeCell ref="AC997:AC998"/>
    <mergeCell ref="AD997:AD998"/>
    <mergeCell ref="AF997:AF998"/>
    <mergeCell ref="AG997:AG998"/>
    <mergeCell ref="AH997:AH998"/>
    <mergeCell ref="AI997:AI998"/>
    <mergeCell ref="AJ997:AJ998"/>
    <mergeCell ref="AK997:AK998"/>
    <mergeCell ref="AL997:AL998"/>
    <mergeCell ref="AM997:AM998"/>
    <mergeCell ref="AO997:AO998"/>
    <mergeCell ref="AP997:AP998"/>
    <mergeCell ref="AL981:AL982"/>
    <mergeCell ref="AM981:AM982"/>
    <mergeCell ref="E979:E980"/>
    <mergeCell ref="F979:F980"/>
    <mergeCell ref="AH979:AH980"/>
    <mergeCell ref="AI979:AI980"/>
    <mergeCell ref="AJ979:AJ980"/>
    <mergeCell ref="AK979:AK980"/>
    <mergeCell ref="AL979:AL980"/>
    <mergeCell ref="E985:E986"/>
    <mergeCell ref="F985:F986"/>
    <mergeCell ref="J985:J986"/>
    <mergeCell ref="N985:N986"/>
    <mergeCell ref="Y985:Y986"/>
    <mergeCell ref="AA985:AA986"/>
    <mergeCell ref="AB985:AB986"/>
    <mergeCell ref="AC985:AC986"/>
    <mergeCell ref="AD985:AD986"/>
    <mergeCell ref="AF985:AF986"/>
    <mergeCell ref="AG985:AG986"/>
    <mergeCell ref="AH985:AH986"/>
    <mergeCell ref="AI985:AI986"/>
    <mergeCell ref="AJ985:AJ986"/>
    <mergeCell ref="AK985:AK986"/>
    <mergeCell ref="AL985:AL986"/>
    <mergeCell ref="AM985:AM986"/>
    <mergeCell ref="AO985:AO986"/>
    <mergeCell ref="AM991:AM992"/>
    <mergeCell ref="AO991:AO992"/>
    <mergeCell ref="AP991:AP992"/>
    <mergeCell ref="E994:E995"/>
    <mergeCell ref="AH1005:AH1006"/>
    <mergeCell ref="AI1005:AI1006"/>
    <mergeCell ref="AJ1005:AJ1006"/>
    <mergeCell ref="AK1005:AK1006"/>
    <mergeCell ref="AL1005:AL1006"/>
    <mergeCell ref="AM1005:AM1006"/>
    <mergeCell ref="AO1005:AO1006"/>
    <mergeCell ref="AP1005:AP1006"/>
    <mergeCell ref="E1007:E1008"/>
    <mergeCell ref="F1007:F1008"/>
    <mergeCell ref="J1007:J1008"/>
    <mergeCell ref="N1007:N1008"/>
    <mergeCell ref="Y1007:Y1008"/>
    <mergeCell ref="AF1052:AF1053"/>
    <mergeCell ref="E1044:E1045"/>
    <mergeCell ref="N1070:N1071"/>
    <mergeCell ref="Y1070:Y1071"/>
    <mergeCell ref="AA1070:AA1071"/>
    <mergeCell ref="AB1070:AB1071"/>
    <mergeCell ref="AC1070:AC1071"/>
    <mergeCell ref="AD1070:AD1071"/>
    <mergeCell ref="AF1070:AF1071"/>
    <mergeCell ref="AG1070:AG1071"/>
    <mergeCell ref="AH1070:AH1071"/>
    <mergeCell ref="AI1070:AI1071"/>
    <mergeCell ref="AJ1070:AJ1071"/>
    <mergeCell ref="AK1070:AK1071"/>
    <mergeCell ref="AL1070:AL1071"/>
    <mergeCell ref="AM1070:AM1071"/>
    <mergeCell ref="AO1070:AO1071"/>
    <mergeCell ref="AP1070:AP1071"/>
    <mergeCell ref="E1056:E1057"/>
    <mergeCell ref="F1056:F1057"/>
    <mergeCell ref="N1062:N1063"/>
    <mergeCell ref="Y1052:Y1053"/>
    <mergeCell ref="AA1052:AA1053"/>
    <mergeCell ref="J1056:J1057"/>
    <mergeCell ref="N1056:N1057"/>
    <mergeCell ref="Y1056:Y1057"/>
    <mergeCell ref="AA1056:AA1057"/>
    <mergeCell ref="AB1056:AB1057"/>
    <mergeCell ref="AC1056:AC1057"/>
    <mergeCell ref="AD1056:AD1057"/>
    <mergeCell ref="AF1056:AF1057"/>
    <mergeCell ref="AG1056:AG1057"/>
    <mergeCell ref="E1060:E1061"/>
    <mergeCell ref="F1060:F1061"/>
    <mergeCell ref="E1062:E1063"/>
    <mergeCell ref="F1062:F1063"/>
    <mergeCell ref="AK1060:AK1061"/>
    <mergeCell ref="AL1060:AL1061"/>
    <mergeCell ref="AM1060:AM1061"/>
    <mergeCell ref="AO1060:AO1061"/>
    <mergeCell ref="AP1060:AP1061"/>
    <mergeCell ref="J1062:J1063"/>
    <mergeCell ref="E1052:E1053"/>
    <mergeCell ref="F1052:F1053"/>
    <mergeCell ref="Y1062:Y1063"/>
    <mergeCell ref="AA1062:AA1063"/>
    <mergeCell ref="AB1062:AB1063"/>
    <mergeCell ref="AC1062:AC1063"/>
    <mergeCell ref="AD1062:AD1063"/>
    <mergeCell ref="Y1044:Y1045"/>
    <mergeCell ref="AA1044:AA1045"/>
    <mergeCell ref="E1054:E1055"/>
    <mergeCell ref="F1054:F1055"/>
    <mergeCell ref="AI1072:AI1073"/>
    <mergeCell ref="AJ1072:AJ1073"/>
    <mergeCell ref="AK1072:AK1073"/>
    <mergeCell ref="AL1072:AL1073"/>
    <mergeCell ref="AM1072:AM1073"/>
    <mergeCell ref="AO1072:AO1073"/>
    <mergeCell ref="AP1072:AP1073"/>
    <mergeCell ref="AG1111:AG1112"/>
    <mergeCell ref="AH1111:AH1112"/>
    <mergeCell ref="AI1111:AI1112"/>
    <mergeCell ref="AJ1111:AJ1112"/>
    <mergeCell ref="AK1111:AK1112"/>
    <mergeCell ref="AL1111:AL1112"/>
    <mergeCell ref="AM1111:AM1112"/>
    <mergeCell ref="AO1111:AO1112"/>
    <mergeCell ref="AP1111:AP1112"/>
    <mergeCell ref="E1111:E1112"/>
    <mergeCell ref="E1074:E1075"/>
    <mergeCell ref="F1074:F1075"/>
    <mergeCell ref="J1074:J1075"/>
    <mergeCell ref="N1074:N1075"/>
    <mergeCell ref="Y1074:Y1075"/>
    <mergeCell ref="AA1074:AA1075"/>
    <mergeCell ref="AB1074:AB1075"/>
    <mergeCell ref="AC1074:AC1075"/>
    <mergeCell ref="AD1074:AD1075"/>
    <mergeCell ref="AF1074:AF1075"/>
    <mergeCell ref="AG1074:AG1075"/>
    <mergeCell ref="AH1074:AH1075"/>
    <mergeCell ref="AI1074:AI1075"/>
    <mergeCell ref="AJ1074:AJ1075"/>
    <mergeCell ref="AK1074:AK1075"/>
    <mergeCell ref="AL1074:AL1075"/>
    <mergeCell ref="AM1074:AM1075"/>
    <mergeCell ref="AO1074:AO1075"/>
    <mergeCell ref="AP1074:AP1075"/>
    <mergeCell ref="AA1093:AA1094"/>
    <mergeCell ref="AB1093:AB1094"/>
    <mergeCell ref="AC1093:AC1094"/>
    <mergeCell ref="AD1093:AD1094"/>
    <mergeCell ref="AF1093:AF1094"/>
    <mergeCell ref="AG1093:AG1094"/>
    <mergeCell ref="AH1093:AH1094"/>
    <mergeCell ref="AI1093:AI1094"/>
    <mergeCell ref="AJ1093:AJ1094"/>
    <mergeCell ref="AK1093:AK1094"/>
    <mergeCell ref="AL1093:AL1094"/>
    <mergeCell ref="AM1093:AM1094"/>
    <mergeCell ref="AO1093:AO1094"/>
    <mergeCell ref="AP1093:AP1094"/>
    <mergeCell ref="E1095:E1096"/>
    <mergeCell ref="F1095:F1096"/>
    <mergeCell ref="E1072:E1073"/>
    <mergeCell ref="F1072:F1073"/>
    <mergeCell ref="J1072:J1073"/>
    <mergeCell ref="N1072:N1073"/>
    <mergeCell ref="Y1072:Y1073"/>
    <mergeCell ref="AA1072:AA1073"/>
    <mergeCell ref="AB1072:AB1073"/>
    <mergeCell ref="AC1072:AC1073"/>
    <mergeCell ref="AD1072:AD1073"/>
    <mergeCell ref="AF1072:AF1073"/>
    <mergeCell ref="E1349:E1350"/>
    <mergeCell ref="F1349:F1350"/>
    <mergeCell ref="J1349:J1350"/>
    <mergeCell ref="N1349:N1350"/>
    <mergeCell ref="Y1349:Y1350"/>
    <mergeCell ref="AA1349:AA1350"/>
    <mergeCell ref="AB1349:AB1350"/>
    <mergeCell ref="AC1349:AC1350"/>
    <mergeCell ref="AD1349:AD1350"/>
    <mergeCell ref="AF1349:AF1350"/>
    <mergeCell ref="AG1349:AG1350"/>
    <mergeCell ref="AH1349:AH1350"/>
    <mergeCell ref="AI1349:AI1350"/>
    <mergeCell ref="AJ1349:AJ1350"/>
    <mergeCell ref="AK1349:AK1350"/>
    <mergeCell ref="E1113:E1114"/>
    <mergeCell ref="F1113:F1114"/>
    <mergeCell ref="J1113:J1114"/>
    <mergeCell ref="N1113:N1114"/>
    <mergeCell ref="Y1113:Y1114"/>
    <mergeCell ref="AA1113:AA1114"/>
    <mergeCell ref="AB1113:AB1114"/>
    <mergeCell ref="AC1113:AC1114"/>
    <mergeCell ref="AD1113:AD1114"/>
    <mergeCell ref="AF1113:AF1114"/>
    <mergeCell ref="AA1188:AA1189"/>
    <mergeCell ref="AB1188:AB1189"/>
    <mergeCell ref="AC1188:AC1189"/>
    <mergeCell ref="AD1188:AD1189"/>
    <mergeCell ref="AF1188:AF1189"/>
    <mergeCell ref="AG1188:AG1189"/>
    <mergeCell ref="AH1188:AH1189"/>
    <mergeCell ref="AI1188:AI1189"/>
    <mergeCell ref="AJ1188:AJ1189"/>
    <mergeCell ref="AK1188:AK1189"/>
    <mergeCell ref="E1168:E1169"/>
    <mergeCell ref="F1168:F1169"/>
    <mergeCell ref="E1162:E1163"/>
    <mergeCell ref="F1162:F1163"/>
    <mergeCell ref="J1162:J1163"/>
    <mergeCell ref="E1325:E1326"/>
    <mergeCell ref="F1325:F1326"/>
    <mergeCell ref="J1325:J1326"/>
    <mergeCell ref="N1325:N1326"/>
    <mergeCell ref="J1243:J1244"/>
    <mergeCell ref="F1227:F1228"/>
    <mergeCell ref="AH1241:AH1242"/>
    <mergeCell ref="J1229:J1230"/>
    <mergeCell ref="N1229:N1230"/>
    <mergeCell ref="AF1241:AF1242"/>
    <mergeCell ref="E1329:E1330"/>
    <mergeCell ref="F1329:F1330"/>
    <mergeCell ref="J1329:J1330"/>
    <mergeCell ref="N1329:N1330"/>
    <mergeCell ref="Y1329:Y1330"/>
    <mergeCell ref="AA1329:AA1330"/>
    <mergeCell ref="AB1329:AB1330"/>
    <mergeCell ref="AC1329:AC1330"/>
    <mergeCell ref="AD1329:AD1330"/>
    <mergeCell ref="AF1329:AF1330"/>
    <mergeCell ref="AG1329:AG1330"/>
    <mergeCell ref="AH1329:AH1330"/>
    <mergeCell ref="AK1327:AK1328"/>
    <mergeCell ref="AD1301:AD1302"/>
    <mergeCell ref="AO1448:AO1449"/>
    <mergeCell ref="AO1458:AO1459"/>
    <mergeCell ref="AK1450:AK1451"/>
    <mergeCell ref="AG1488:AG1489"/>
    <mergeCell ref="AH1488:AH1489"/>
    <mergeCell ref="AI1488:AI1489"/>
    <mergeCell ref="AI1482:AI1483"/>
    <mergeCell ref="AJ1482:AJ1483"/>
    <mergeCell ref="AK1482:AK1483"/>
    <mergeCell ref="AL1482:AL1483"/>
    <mergeCell ref="AM1486:AM1487"/>
    <mergeCell ref="AK1466:AK1467"/>
    <mergeCell ref="AL1466:AL1467"/>
    <mergeCell ref="AM1482:AM1483"/>
    <mergeCell ref="AO1482:AO1483"/>
    <mergeCell ref="AM1464:AM1465"/>
    <mergeCell ref="AO1464:AO1465"/>
    <mergeCell ref="AP1464:AP1465"/>
    <mergeCell ref="AJ1474:AJ1475"/>
    <mergeCell ref="AJ1480:AJ1481"/>
    <mergeCell ref="AK1480:AK1481"/>
    <mergeCell ref="AL1480:AL1481"/>
    <mergeCell ref="AM1480:AM1481"/>
    <mergeCell ref="AG1480:AG1481"/>
    <mergeCell ref="AH1480:AH1481"/>
    <mergeCell ref="AI1480:AI1481"/>
    <mergeCell ref="AO1478:AO1479"/>
    <mergeCell ref="AP1478:AP1479"/>
    <mergeCell ref="AP1154:AP1155"/>
    <mergeCell ref="AA1162:AA1163"/>
    <mergeCell ref="AB1162:AB1163"/>
    <mergeCell ref="AC1162:AC1163"/>
    <mergeCell ref="AD1162:AD1163"/>
    <mergeCell ref="AF1162:AF1163"/>
    <mergeCell ref="AG1162:AG1163"/>
    <mergeCell ref="AL1186:AL1187"/>
    <mergeCell ref="AM1186:AM1187"/>
    <mergeCell ref="AO1186:AO1187"/>
    <mergeCell ref="AP1186:AP1187"/>
    <mergeCell ref="AL1188:AL1189"/>
    <mergeCell ref="AM1188:AM1189"/>
    <mergeCell ref="AO1188:AO1189"/>
    <mergeCell ref="AP1188:AP1189"/>
    <mergeCell ref="AP1337:AP1338"/>
    <mergeCell ref="AM1170:AM1171"/>
    <mergeCell ref="AM1329:AM1330"/>
    <mergeCell ref="AO1329:AO1330"/>
    <mergeCell ref="AP1329:AP1330"/>
    <mergeCell ref="AM1327:AM1328"/>
    <mergeCell ref="AO1327:AO1328"/>
    <mergeCell ref="AP1327:AP1328"/>
    <mergeCell ref="AL1329:AL1330"/>
    <mergeCell ref="AP1331:AP1332"/>
    <mergeCell ref="AL1327:AL1328"/>
    <mergeCell ref="AF1460:AF1461"/>
    <mergeCell ref="AM1317:AM1318"/>
    <mergeCell ref="AO1317:AO1318"/>
    <mergeCell ref="AP1317:AP1318"/>
    <mergeCell ref="AO1287:AO1288"/>
    <mergeCell ref="AF1301:AF1302"/>
    <mergeCell ref="AB1297:AB1298"/>
    <mergeCell ref="AO1170:AO1171"/>
    <mergeCell ref="AP1170:AP1171"/>
    <mergeCell ref="AA1458:AA1459"/>
    <mergeCell ref="AG1410:AG1411"/>
    <mergeCell ref="AH1410:AH1411"/>
    <mergeCell ref="AI1410:AI1411"/>
    <mergeCell ref="AJ1410:AJ1411"/>
    <mergeCell ref="AK1410:AK1411"/>
    <mergeCell ref="AL1410:AL1411"/>
    <mergeCell ref="AM1410:AM1411"/>
    <mergeCell ref="AO1410:AO1411"/>
    <mergeCell ref="AP1410:AP1411"/>
    <mergeCell ref="E1422:E1423"/>
    <mergeCell ref="F1422:F1423"/>
    <mergeCell ref="J1422:J1423"/>
    <mergeCell ref="N1422:N1423"/>
    <mergeCell ref="Y1422:Y1423"/>
    <mergeCell ref="AA1422:AA1423"/>
    <mergeCell ref="AB1422:AB1423"/>
    <mergeCell ref="AC1422:AC1423"/>
    <mergeCell ref="AD1422:AD1423"/>
    <mergeCell ref="AF1422:AF1423"/>
    <mergeCell ref="AG1422:AG1423"/>
    <mergeCell ref="AH1422:AH1423"/>
    <mergeCell ref="AI1422:AI1423"/>
    <mergeCell ref="AJ1422:AJ1423"/>
    <mergeCell ref="AK1422:AK1423"/>
    <mergeCell ref="AL1422:AL1423"/>
    <mergeCell ref="AM1422:AM1423"/>
    <mergeCell ref="AO1422:AO1423"/>
    <mergeCell ref="AP1422:AP1423"/>
    <mergeCell ref="Y1474:Y1475"/>
    <mergeCell ref="AA1474:AA1475"/>
    <mergeCell ref="AB1474:AB1475"/>
    <mergeCell ref="E1474:E1475"/>
    <mergeCell ref="F1474:F1475"/>
    <mergeCell ref="J1474:J1475"/>
    <mergeCell ref="J1426:J1427"/>
    <mergeCell ref="AF1454:AF1455"/>
    <mergeCell ref="AG1454:AG1455"/>
    <mergeCell ref="AC1452:AC1453"/>
    <mergeCell ref="E1428:E1429"/>
    <mergeCell ref="F1428:F1429"/>
    <mergeCell ref="J1428:J1429"/>
    <mergeCell ref="N1428:N1429"/>
    <mergeCell ref="Y1428:Y1429"/>
    <mergeCell ref="AA1428:AA1429"/>
    <mergeCell ref="AB1428:AB1429"/>
    <mergeCell ref="AO1456:AO1457"/>
    <mergeCell ref="AH1450:AH1451"/>
    <mergeCell ref="AK1442:AK1443"/>
    <mergeCell ref="AL1442:AL1443"/>
    <mergeCell ref="AO1442:AO1443"/>
    <mergeCell ref="AM1462:AM1463"/>
    <mergeCell ref="AO1462:AO1463"/>
    <mergeCell ref="AO1450:AO1451"/>
    <mergeCell ref="AO1454:AO1455"/>
    <mergeCell ref="AP1448:AP1449"/>
    <mergeCell ref="E1430:E1431"/>
    <mergeCell ref="F1430:F1431"/>
    <mergeCell ref="J1430:J1431"/>
    <mergeCell ref="N1430:N1431"/>
    <mergeCell ref="Y1430:Y1431"/>
    <mergeCell ref="AA1430:AA1431"/>
    <mergeCell ref="AB1462:AB1463"/>
    <mergeCell ref="AC1462:AC1463"/>
    <mergeCell ref="AJ1464:AJ1465"/>
    <mergeCell ref="F1678:F1679"/>
    <mergeCell ref="J1678:J1679"/>
    <mergeCell ref="Y1678:Y1679"/>
    <mergeCell ref="AA1678:AA1679"/>
    <mergeCell ref="AB1678:AB1679"/>
    <mergeCell ref="AC1678:AC1679"/>
    <mergeCell ref="AD1678:AD1679"/>
    <mergeCell ref="AF1678:AF1679"/>
    <mergeCell ref="E1613:E1614"/>
    <mergeCell ref="E1490:E1491"/>
    <mergeCell ref="F1490:F1491"/>
    <mergeCell ref="J1490:J1491"/>
    <mergeCell ref="AK1462:AK1463"/>
    <mergeCell ref="AO1472:AO1473"/>
    <mergeCell ref="AK1448:AK1449"/>
    <mergeCell ref="AM1474:AM1475"/>
    <mergeCell ref="AO1474:AO1475"/>
    <mergeCell ref="AP1474:AP1475"/>
    <mergeCell ref="AP1456:AP1457"/>
    <mergeCell ref="AM1458:AM1459"/>
    <mergeCell ref="AP1458:AP1459"/>
    <mergeCell ref="AP1462:AP1463"/>
    <mergeCell ref="AH1492:AH1493"/>
    <mergeCell ref="AI1492:AI1493"/>
    <mergeCell ref="AJ1492:AJ1493"/>
    <mergeCell ref="AK1492:AK1493"/>
    <mergeCell ref="AL1492:AL1493"/>
    <mergeCell ref="AM1492:AM1493"/>
    <mergeCell ref="AP1472:AP1473"/>
    <mergeCell ref="AJ1450:AJ1451"/>
    <mergeCell ref="AJ1452:AJ1453"/>
    <mergeCell ref="AJ1454:AJ1455"/>
    <mergeCell ref="AL1494:AL1495"/>
    <mergeCell ref="AM1494:AM1495"/>
    <mergeCell ref="AO1494:AO1495"/>
    <mergeCell ref="N1494:N1495"/>
    <mergeCell ref="Y1494:Y1495"/>
    <mergeCell ref="AA1494:AA1495"/>
    <mergeCell ref="AM1468:AM1469"/>
    <mergeCell ref="AO1468:AO1469"/>
    <mergeCell ref="AP1466:AP1467"/>
    <mergeCell ref="AP1468:AP1469"/>
    <mergeCell ref="AP1488:AP1489"/>
    <mergeCell ref="AP1470:AP1471"/>
    <mergeCell ref="AM1476:AM1477"/>
    <mergeCell ref="AO1476:AO1477"/>
    <mergeCell ref="AP1476:AP1477"/>
    <mergeCell ref="AK1476:AK1477"/>
    <mergeCell ref="AL1476:AL1477"/>
    <mergeCell ref="AK1488:AK1489"/>
    <mergeCell ref="AL1488:AL1489"/>
    <mergeCell ref="AM1488:AM1489"/>
    <mergeCell ref="AO1488:AO1489"/>
    <mergeCell ref="AK1452:AK1453"/>
    <mergeCell ref="AL1452:AL1453"/>
    <mergeCell ref="E1488:E1489"/>
    <mergeCell ref="AB1488:AB1489"/>
    <mergeCell ref="AC1488:AC1489"/>
    <mergeCell ref="AD1488:AD1489"/>
    <mergeCell ref="AF1488:AF1489"/>
    <mergeCell ref="E1452:E1453"/>
    <mergeCell ref="F1452:F1453"/>
    <mergeCell ref="AA1460:AA1461"/>
    <mergeCell ref="AB1460:AB1461"/>
    <mergeCell ref="AM1797:AM1798"/>
    <mergeCell ref="AO1797:AO1798"/>
    <mergeCell ref="AP1797:AP1798"/>
    <mergeCell ref="E1803:E1804"/>
    <mergeCell ref="F1803:F1804"/>
    <mergeCell ref="J1803:J1804"/>
    <mergeCell ref="N1803:N1804"/>
    <mergeCell ref="Y1803:Y1804"/>
    <mergeCell ref="AA1803:AA1804"/>
    <mergeCell ref="AB1803:AB1804"/>
    <mergeCell ref="AC1803:AC1804"/>
    <mergeCell ref="AD1803:AD1804"/>
    <mergeCell ref="AF1803:AF1804"/>
    <mergeCell ref="AG1803:AG1804"/>
    <mergeCell ref="E1756:E1757"/>
    <mergeCell ref="F1756:F1757"/>
    <mergeCell ref="J1756:J1757"/>
    <mergeCell ref="N1756:N1757"/>
    <mergeCell ref="Y1756:Y1757"/>
    <mergeCell ref="AA1756:AA1757"/>
    <mergeCell ref="E1734:E1735"/>
    <mergeCell ref="F1734:F1735"/>
    <mergeCell ref="J1734:J1735"/>
    <mergeCell ref="E1611:E1612"/>
    <mergeCell ref="F1611:F1612"/>
    <mergeCell ref="J1611:J1612"/>
    <mergeCell ref="N1611:N1612"/>
    <mergeCell ref="Y1611:Y1612"/>
    <mergeCell ref="AA1611:AA1612"/>
    <mergeCell ref="AB1611:AB1612"/>
    <mergeCell ref="AC1611:AC1612"/>
    <mergeCell ref="AD1611:AD1612"/>
    <mergeCell ref="AF1611:AF1612"/>
    <mergeCell ref="AG1611:AG1612"/>
    <mergeCell ref="AH1611:AH1612"/>
    <mergeCell ref="AI1611:AI1612"/>
    <mergeCell ref="AJ1611:AJ1612"/>
    <mergeCell ref="AK1611:AK1612"/>
    <mergeCell ref="AK1678:AK1679"/>
    <mergeCell ref="E1632:E1633"/>
    <mergeCell ref="F1632:F1633"/>
    <mergeCell ref="J1632:J1633"/>
    <mergeCell ref="N1632:N1633"/>
    <mergeCell ref="Y1632:Y1633"/>
    <mergeCell ref="AA1632:AA1633"/>
    <mergeCell ref="AB1632:AB1633"/>
    <mergeCell ref="AC1632:AC1633"/>
    <mergeCell ref="AD1632:AD1633"/>
    <mergeCell ref="AF1632:AF1633"/>
    <mergeCell ref="J1708:J1709"/>
    <mergeCell ref="AI1716:AI1717"/>
    <mergeCell ref="E1640:E1641"/>
    <mergeCell ref="F1640:F1641"/>
    <mergeCell ref="AH1664:AH1665"/>
    <mergeCell ref="AI1664:AI1665"/>
    <mergeCell ref="AJ1664:AJ1665"/>
    <mergeCell ref="AK1664:AK1665"/>
    <mergeCell ref="AI1656:AI1657"/>
    <mergeCell ref="AK1656:AK1657"/>
    <mergeCell ref="J1728:J1729"/>
    <mergeCell ref="N1728:N1729"/>
    <mergeCell ref="Y1728:Y1729"/>
    <mergeCell ref="AA1728:AA1729"/>
    <mergeCell ref="AB1728:AB1729"/>
    <mergeCell ref="E1847:E1848"/>
    <mergeCell ref="F1847:F1848"/>
    <mergeCell ref="J1847:J1848"/>
    <mergeCell ref="N1847:N1848"/>
    <mergeCell ref="Y1847:Y1848"/>
    <mergeCell ref="AA1847:AA1848"/>
    <mergeCell ref="AB1847:AB1848"/>
    <mergeCell ref="AC1847:AC1848"/>
    <mergeCell ref="AD1847:AD1848"/>
    <mergeCell ref="AF1847:AF1848"/>
    <mergeCell ref="AG1847:AG1848"/>
    <mergeCell ref="AH1847:AH1848"/>
    <mergeCell ref="AI1847:AI1848"/>
    <mergeCell ref="AJ1847:AJ1848"/>
    <mergeCell ref="AK1847:AK1848"/>
    <mergeCell ref="AL1847:AL1848"/>
    <mergeCell ref="AM1847:AM1848"/>
    <mergeCell ref="AO1847:AO1848"/>
    <mergeCell ref="AP1847:AP1848"/>
    <mergeCell ref="AP1860:AP1861"/>
    <mergeCell ref="E1617:E1618"/>
    <mergeCell ref="F1617:F1618"/>
    <mergeCell ref="AJ1736:AJ1737"/>
    <mergeCell ref="J1740:J1741"/>
    <mergeCell ref="N1740:N1741"/>
    <mergeCell ref="Y1740:Y1741"/>
    <mergeCell ref="AA1740:AA1741"/>
    <mergeCell ref="AB1740:AB1741"/>
    <mergeCell ref="AC1740:AC1741"/>
    <mergeCell ref="AD1740:AD1741"/>
    <mergeCell ref="AF1740:AF1741"/>
    <mergeCell ref="AG1740:AG1741"/>
    <mergeCell ref="AH1740:AH1741"/>
    <mergeCell ref="AI1740:AI1741"/>
    <mergeCell ref="AJ1740:AJ1741"/>
    <mergeCell ref="AB1791:AB1792"/>
    <mergeCell ref="AC1791:AC1792"/>
    <mergeCell ref="AD1791:AD1792"/>
    <mergeCell ref="AF1791:AF1792"/>
    <mergeCell ref="AG1791:AG1792"/>
    <mergeCell ref="AH1791:AH1792"/>
    <mergeCell ref="AI1791:AI1792"/>
    <mergeCell ref="AJ1791:AJ1792"/>
    <mergeCell ref="AK1791:AK1792"/>
    <mergeCell ref="AL1791:AL1792"/>
    <mergeCell ref="AM1791:AM1792"/>
    <mergeCell ref="AO1791:AO1792"/>
    <mergeCell ref="AP1791:AP1792"/>
    <mergeCell ref="E1806:E1807"/>
    <mergeCell ref="F1797:F1798"/>
    <mergeCell ref="J1797:J1798"/>
    <mergeCell ref="N1797:N1798"/>
    <mergeCell ref="Y1797:Y1798"/>
    <mergeCell ref="AA1797:AA1798"/>
    <mergeCell ref="AB1797:AB1798"/>
    <mergeCell ref="AC1797:AC1798"/>
    <mergeCell ref="AD1797:AD1798"/>
    <mergeCell ref="AF1797:AF1798"/>
    <mergeCell ref="AG1797:AG1798"/>
    <mergeCell ref="AH1797:AH1798"/>
    <mergeCell ref="AI1797:AI1798"/>
    <mergeCell ref="AJ1797:AJ1798"/>
    <mergeCell ref="AK1797:AK1798"/>
    <mergeCell ref="AL1797:AL1798"/>
    <mergeCell ref="AH1882:AH1883"/>
    <mergeCell ref="AI1882:AI1883"/>
    <mergeCell ref="AJ1882:AJ1883"/>
    <mergeCell ref="AK1882:AK1883"/>
    <mergeCell ref="AL1882:AL1883"/>
    <mergeCell ref="AM1882:AM1883"/>
    <mergeCell ref="AO1882:AO1883"/>
    <mergeCell ref="AP1882:AP1883"/>
    <mergeCell ref="E1876:E1877"/>
    <mergeCell ref="F1876:F1877"/>
    <mergeCell ref="J1876:J1877"/>
    <mergeCell ref="N1876:N1877"/>
    <mergeCell ref="Y1876:Y1877"/>
    <mergeCell ref="AA1876:AA1877"/>
    <mergeCell ref="AB1876:AB1877"/>
    <mergeCell ref="AC1876:AC1877"/>
    <mergeCell ref="AD1876:AD1877"/>
    <mergeCell ref="AF1876:AF1877"/>
    <mergeCell ref="AG1876:AG1877"/>
    <mergeCell ref="AH1876:AH1877"/>
    <mergeCell ref="AI1876:AI1877"/>
    <mergeCell ref="AJ1876:AJ1877"/>
    <mergeCell ref="AK1876:AK1877"/>
    <mergeCell ref="AL1876:AL1877"/>
    <mergeCell ref="AM1876:AM1877"/>
    <mergeCell ref="AO1876:AO1877"/>
    <mergeCell ref="AP1876:AP1877"/>
    <mergeCell ref="AD1878:AD1879"/>
    <mergeCell ref="E1862:E1863"/>
    <mergeCell ref="F1862:F1863"/>
    <mergeCell ref="J1862:J1863"/>
    <mergeCell ref="N1862:N1863"/>
    <mergeCell ref="Y1862:Y1863"/>
    <mergeCell ref="AA1862:AA1863"/>
    <mergeCell ref="AB1862:AB1863"/>
    <mergeCell ref="AC1862:AC1863"/>
    <mergeCell ref="AD1862:AD1863"/>
    <mergeCell ref="AF1862:AF1863"/>
    <mergeCell ref="AG1862:AG1863"/>
    <mergeCell ref="AH1862:AH1863"/>
    <mergeCell ref="AI1862:AI1863"/>
    <mergeCell ref="AJ1862:AJ1863"/>
    <mergeCell ref="AK1862:AK1863"/>
    <mergeCell ref="AL1862:AL1863"/>
    <mergeCell ref="AM1862:AM1863"/>
    <mergeCell ref="AO1862:AO1863"/>
    <mergeCell ref="AP1862:AP1863"/>
    <mergeCell ref="AC1866:AC1867"/>
    <mergeCell ref="AD1866:AD1867"/>
    <mergeCell ref="AF1866:AF1867"/>
    <mergeCell ref="AG1866:AG1867"/>
    <mergeCell ref="AH1866:AH1867"/>
    <mergeCell ref="AI1866:AI1867"/>
    <mergeCell ref="AJ1866:AJ1867"/>
    <mergeCell ref="AK1866:AK1867"/>
    <mergeCell ref="AJ1886:AJ1887"/>
    <mergeCell ref="AK1886:AK1887"/>
    <mergeCell ref="AL1886:AL1887"/>
    <mergeCell ref="AM1886:AM1887"/>
    <mergeCell ref="AO1886:AO1887"/>
    <mergeCell ref="AP1886:AP1887"/>
    <mergeCell ref="E1979:E1980"/>
    <mergeCell ref="F1979:F1980"/>
    <mergeCell ref="J1979:J1980"/>
    <mergeCell ref="N1979:N1980"/>
    <mergeCell ref="Y1979:Y1980"/>
    <mergeCell ref="AA1979:AA1980"/>
    <mergeCell ref="AB1979:AB1980"/>
    <mergeCell ref="AC1979:AC1980"/>
    <mergeCell ref="AD1979:AD1980"/>
    <mergeCell ref="AF1979:AF1980"/>
    <mergeCell ref="AG1979:AG1980"/>
    <mergeCell ref="AH1979:AH1980"/>
    <mergeCell ref="AI1979:AI1980"/>
    <mergeCell ref="AJ1979:AJ1980"/>
    <mergeCell ref="AK1979:AK1980"/>
    <mergeCell ref="AL1979:AL1980"/>
    <mergeCell ref="AM1979:AM1980"/>
    <mergeCell ref="AO1979:AO1980"/>
    <mergeCell ref="AP1979:AP1980"/>
    <mergeCell ref="AM1959:AM1960"/>
    <mergeCell ref="AA1963:AA1964"/>
    <mergeCell ref="AB1963:AB1964"/>
    <mergeCell ref="AC1963:AC1964"/>
    <mergeCell ref="AD1963:AD1964"/>
    <mergeCell ref="AF1963:AF1964"/>
    <mergeCell ref="AH1961:AH1962"/>
    <mergeCell ref="AI1961:AI1962"/>
    <mergeCell ref="AJ1961:AJ1962"/>
    <mergeCell ref="AM1961:AM1962"/>
    <mergeCell ref="AO1961:AO1962"/>
    <mergeCell ref="AP1961:AP1962"/>
    <mergeCell ref="E1963:E1964"/>
    <mergeCell ref="F1963:F1964"/>
    <mergeCell ref="AA1931:AA1932"/>
    <mergeCell ref="J1941:J1942"/>
    <mergeCell ref="N1941:N1942"/>
    <mergeCell ref="Y1941:Y1942"/>
    <mergeCell ref="AA1941:AA1942"/>
    <mergeCell ref="AB1941:AB1942"/>
    <mergeCell ref="E1882:E1883"/>
    <mergeCell ref="F1882:F1883"/>
    <mergeCell ref="J1882:J1883"/>
    <mergeCell ref="N1882:N1883"/>
    <mergeCell ref="Y1882:Y1883"/>
    <mergeCell ref="AA1882:AA1883"/>
    <mergeCell ref="AB1882:AB1883"/>
    <mergeCell ref="AC1882:AC1883"/>
    <mergeCell ref="AD1882:AD1883"/>
    <mergeCell ref="AF1882:AF1883"/>
    <mergeCell ref="AG1882:AG1883"/>
    <mergeCell ref="F1911:F1912"/>
    <mergeCell ref="J1911:J1912"/>
    <mergeCell ref="AK1929:AK1930"/>
    <mergeCell ref="AL1929:AL1930"/>
    <mergeCell ref="AM1929:AM1930"/>
    <mergeCell ref="AO1929:AO1930"/>
    <mergeCell ref="AP1967:AP1968"/>
    <mergeCell ref="E2110:E2111"/>
    <mergeCell ref="F2110:F2111"/>
    <mergeCell ref="J2110:J2111"/>
    <mergeCell ref="N2110:N2111"/>
    <mergeCell ref="Y2110:Y2111"/>
    <mergeCell ref="AA2110:AA2111"/>
    <mergeCell ref="AB2110:AB2111"/>
    <mergeCell ref="AC2110:AC2111"/>
    <mergeCell ref="AD2110:AD2111"/>
    <mergeCell ref="AF2110:AF2111"/>
    <mergeCell ref="AG2110:AG2111"/>
    <mergeCell ref="AH2110:AH2111"/>
    <mergeCell ref="AI2110:AI2111"/>
    <mergeCell ref="AJ2110:AJ2111"/>
    <mergeCell ref="AK2110:AK2111"/>
    <mergeCell ref="AL2110:AL2111"/>
    <mergeCell ref="AM2110:AM2111"/>
    <mergeCell ref="AO2110:AO2111"/>
    <mergeCell ref="AP2110:AP2111"/>
    <mergeCell ref="AH1985:AH1986"/>
    <mergeCell ref="AI1985:AI1986"/>
    <mergeCell ref="AJ1985:AJ1986"/>
    <mergeCell ref="AK1985:AK1986"/>
    <mergeCell ref="AL1985:AL1986"/>
    <mergeCell ref="AM1985:AM1986"/>
    <mergeCell ref="AO1985:AO1986"/>
    <mergeCell ref="AP1985:AP1986"/>
    <mergeCell ref="E2070:E2071"/>
    <mergeCell ref="F2070:F2071"/>
    <mergeCell ref="J2070:J2071"/>
    <mergeCell ref="N2070:N2071"/>
    <mergeCell ref="Y2070:Y2071"/>
    <mergeCell ref="AA2070:AA2071"/>
    <mergeCell ref="AB2070:AB2071"/>
    <mergeCell ref="AC2070:AC2071"/>
    <mergeCell ref="AD2070:AD2071"/>
    <mergeCell ref="AF2070:AF2071"/>
    <mergeCell ref="AG2070:AG2071"/>
    <mergeCell ref="AH2070:AH2071"/>
    <mergeCell ref="AI2070:AI2071"/>
    <mergeCell ref="AJ2070:AJ2071"/>
    <mergeCell ref="AK2070:AK2071"/>
    <mergeCell ref="AL2070:AL2071"/>
    <mergeCell ref="AM2070:AM2071"/>
    <mergeCell ref="AP2070:AP2071"/>
    <mergeCell ref="E2108:E2109"/>
    <mergeCell ref="F2108:F2109"/>
    <mergeCell ref="E2096:E2097"/>
    <mergeCell ref="F2096:F2097"/>
    <mergeCell ref="J2096:J2097"/>
    <mergeCell ref="N2096:N2097"/>
    <mergeCell ref="Y2096:Y2097"/>
    <mergeCell ref="AA2096:AA2097"/>
    <mergeCell ref="AB2096:AB2097"/>
    <mergeCell ref="AC2096:AC2097"/>
    <mergeCell ref="AD2096:AD2097"/>
    <mergeCell ref="AF2096:AF2097"/>
    <mergeCell ref="AG2096:AG2097"/>
    <mergeCell ref="AH2096:AH2097"/>
    <mergeCell ref="AI2096:AI2097"/>
    <mergeCell ref="AJ2096:AJ2097"/>
    <mergeCell ref="AK2096:AK2097"/>
    <mergeCell ref="AL2096:AL2097"/>
    <mergeCell ref="N2054:N2055"/>
    <mergeCell ref="E2279:E2280"/>
    <mergeCell ref="AP2141:AP2142"/>
    <mergeCell ref="AM2145:AM2146"/>
    <mergeCell ref="AP2145:AP2146"/>
    <mergeCell ref="AM2147:AM2148"/>
    <mergeCell ref="AP2147:AP2148"/>
    <mergeCell ref="AP2149:AP2150"/>
    <mergeCell ref="AP2143:AP2144"/>
    <mergeCell ref="AP2155:AP2156"/>
    <mergeCell ref="AP2151:AP2152"/>
    <mergeCell ref="AF2127:AF2128"/>
    <mergeCell ref="AG2127:AG2128"/>
    <mergeCell ref="AH2127:AH2128"/>
    <mergeCell ref="AI2127:AI2128"/>
    <mergeCell ref="AJ2131:AJ2132"/>
    <mergeCell ref="AJ2133:AJ2134"/>
    <mergeCell ref="AJ2135:AJ2136"/>
    <mergeCell ref="AJ2137:AJ2138"/>
    <mergeCell ref="AJ2139:AJ2140"/>
    <mergeCell ref="AJ2141:AJ2142"/>
    <mergeCell ref="AJ2143:AJ2144"/>
    <mergeCell ref="AJ2145:AJ2146"/>
    <mergeCell ref="AJ2147:AJ2148"/>
    <mergeCell ref="AM2185:AM2186"/>
    <mergeCell ref="AO2185:AO2186"/>
    <mergeCell ref="AP2185:AP2186"/>
    <mergeCell ref="AB2167:AB2168"/>
    <mergeCell ref="AK2163:AK2164"/>
    <mergeCell ref="AG2175:AG2176"/>
    <mergeCell ref="AD2177:AD2178"/>
    <mergeCell ref="AK2179:AK2180"/>
    <mergeCell ref="AL2179:AL2180"/>
    <mergeCell ref="AM2179:AM2180"/>
    <mergeCell ref="AO2179:AO2180"/>
    <mergeCell ref="AP2179:AP2180"/>
    <mergeCell ref="AI2153:AI2154"/>
    <mergeCell ref="AM2127:AM2128"/>
    <mergeCell ref="AP2127:AP2128"/>
    <mergeCell ref="AM2129:AM2130"/>
    <mergeCell ref="AP2129:AP2130"/>
    <mergeCell ref="AM2131:AM2132"/>
    <mergeCell ref="AP2131:AP2132"/>
    <mergeCell ref="AM2133:AM2134"/>
    <mergeCell ref="AP2133:AP2134"/>
    <mergeCell ref="AP2135:AP2136"/>
    <mergeCell ref="AJ2127:AJ2128"/>
    <mergeCell ref="AJ2129:AJ2130"/>
    <mergeCell ref="AL2143:AL2144"/>
    <mergeCell ref="AO2139:AO2140"/>
    <mergeCell ref="AI2135:AI2136"/>
    <mergeCell ref="AG2151:AG2152"/>
    <mergeCell ref="AH2151:AH2152"/>
    <mergeCell ref="AI2151:AI2152"/>
    <mergeCell ref="AD2277:AD2278"/>
    <mergeCell ref="AF2277:AF2278"/>
    <mergeCell ref="AG2277:AG2278"/>
    <mergeCell ref="AH2277:AH2278"/>
    <mergeCell ref="AM2277:AM2278"/>
    <mergeCell ref="AO2277:AO2278"/>
    <mergeCell ref="AP2277:AP2278"/>
    <mergeCell ref="AL2281:AL2282"/>
    <mergeCell ref="AO2281:AO2282"/>
    <mergeCell ref="AM2281:AM2282"/>
    <mergeCell ref="AO2291:AO2292"/>
    <mergeCell ref="AP2291:AP2292"/>
    <mergeCell ref="AK2277:AK2278"/>
    <mergeCell ref="AI2279:AI2280"/>
    <mergeCell ref="AJ2279:AJ2280"/>
    <mergeCell ref="AK2279:AK2280"/>
    <mergeCell ref="AL2279:AL2280"/>
    <mergeCell ref="AM2279:AM2280"/>
    <mergeCell ref="AO2279:AO2280"/>
    <mergeCell ref="AP2279:AP2280"/>
    <mergeCell ref="AK2320:AK2321"/>
    <mergeCell ref="AL2320:AL2321"/>
    <mergeCell ref="AM2320:AM2321"/>
    <mergeCell ref="AO2320:AO2321"/>
    <mergeCell ref="AP2320:AP2321"/>
    <mergeCell ref="AD2309:AD2310"/>
    <mergeCell ref="AF2309:AF2310"/>
    <mergeCell ref="AG2309:AG2310"/>
    <mergeCell ref="AH2309:AH2310"/>
    <mergeCell ref="AI2309:AI2310"/>
    <mergeCell ref="AJ2309:AJ2310"/>
    <mergeCell ref="AK2309:AK2310"/>
    <mergeCell ref="AL2309:AL2310"/>
    <mergeCell ref="AM2309:AM2310"/>
    <mergeCell ref="AO2309:AO2310"/>
    <mergeCell ref="AP2309:AP2310"/>
    <mergeCell ref="AG2311:AG2312"/>
    <mergeCell ref="AH2311:AH2312"/>
    <mergeCell ref="AI2311:AI2312"/>
    <mergeCell ref="AJ2311:AJ2312"/>
    <mergeCell ref="AK2311:AK2312"/>
    <mergeCell ref="AL2311:AL2312"/>
    <mergeCell ref="AM2311:AM2312"/>
    <mergeCell ref="AO2311:AO2312"/>
    <mergeCell ref="AP2311:AP2312"/>
    <mergeCell ref="AH2315:AH2316"/>
    <mergeCell ref="AI2315:AI2316"/>
    <mergeCell ref="AJ2315:AJ2316"/>
    <mergeCell ref="AK2315:AK2316"/>
    <mergeCell ref="AD2305:AD2306"/>
    <mergeCell ref="AF2305:AF2306"/>
    <mergeCell ref="AG2305:AG2306"/>
    <mergeCell ref="AH2305:AH2306"/>
    <mergeCell ref="AI2305:AI2306"/>
    <mergeCell ref="AJ2305:AJ2306"/>
    <mergeCell ref="AK2305:AK2306"/>
    <mergeCell ref="AF2281:AF2282"/>
    <mergeCell ref="AG2281:AG2282"/>
    <mergeCell ref="AH2281:AH2282"/>
    <mergeCell ref="AG2315:AG2316"/>
    <mergeCell ref="AG2301:AG2302"/>
    <mergeCell ref="AH2301:AH2302"/>
    <mergeCell ref="AL2301:AL2302"/>
    <mergeCell ref="AM2301:AM2302"/>
    <mergeCell ref="AO2301:AO2302"/>
    <mergeCell ref="AP2301:AP2302"/>
    <mergeCell ref="AI2301:AI2302"/>
    <mergeCell ref="AJ2301:AJ2302"/>
    <mergeCell ref="AP2359:AP2360"/>
    <mergeCell ref="E2320:E2321"/>
    <mergeCell ref="F2320:F2321"/>
    <mergeCell ref="J2320:J2321"/>
    <mergeCell ref="N2320:N2321"/>
    <mergeCell ref="Y2320:Y2321"/>
    <mergeCell ref="AA2320:AA2321"/>
    <mergeCell ref="AB2320:AB2321"/>
    <mergeCell ref="AC2320:AC2321"/>
    <mergeCell ref="AD2320:AD2321"/>
    <mergeCell ref="E2322:E2323"/>
    <mergeCell ref="F2322:F2323"/>
    <mergeCell ref="J2322:J2323"/>
    <mergeCell ref="N2322:N2323"/>
    <mergeCell ref="AF2320:AF2321"/>
    <mergeCell ref="AG2320:AG2321"/>
    <mergeCell ref="AH2320:AH2321"/>
    <mergeCell ref="AI2320:AI2321"/>
    <mergeCell ref="AJ2320:AJ2321"/>
    <mergeCell ref="AP2507:AP2508"/>
    <mergeCell ref="E2509:E2510"/>
    <mergeCell ref="F2509:F2510"/>
    <mergeCell ref="J2509:J2510"/>
    <mergeCell ref="N2509:N2510"/>
    <mergeCell ref="Y2509:Y2510"/>
    <mergeCell ref="AA2509:AA2510"/>
    <mergeCell ref="AB2509:AB2510"/>
    <mergeCell ref="AC2509:AC2510"/>
    <mergeCell ref="AG2509:AG2510"/>
    <mergeCell ref="AH2509:AH2510"/>
    <mergeCell ref="AI2509:AI2510"/>
    <mergeCell ref="AJ2509:AJ2510"/>
    <mergeCell ref="AK2509:AK2510"/>
    <mergeCell ref="AL2509:AL2510"/>
    <mergeCell ref="AM2509:AM2510"/>
    <mergeCell ref="AO2509:AO2510"/>
    <mergeCell ref="AP2509:AP2510"/>
    <mergeCell ref="AP2333:AP2334"/>
    <mergeCell ref="AO2361:AO2362"/>
    <mergeCell ref="AO2355:AO2356"/>
    <mergeCell ref="AL2361:AL2362"/>
    <mergeCell ref="J2361:J2362"/>
    <mergeCell ref="N2361:N2362"/>
    <mergeCell ref="AM2355:AM2356"/>
    <mergeCell ref="AP2361:AP2362"/>
    <mergeCell ref="AL2345:AL2346"/>
    <mergeCell ref="AJ2505:AJ2506"/>
    <mergeCell ref="AK2505:AK2506"/>
    <mergeCell ref="AL2505:AL2506"/>
    <mergeCell ref="AM2505:AM2506"/>
    <mergeCell ref="AO2505:AO2506"/>
    <mergeCell ref="AP2505:AP2506"/>
    <mergeCell ref="AP2353:AP2354"/>
    <mergeCell ref="E2359:E2360"/>
    <mergeCell ref="F2359:F2360"/>
    <mergeCell ref="J2359:J2360"/>
    <mergeCell ref="N2359:N2360"/>
    <mergeCell ref="Y2359:Y2360"/>
    <mergeCell ref="F2507:F2508"/>
    <mergeCell ref="J2507:J2508"/>
    <mergeCell ref="N2507:N2508"/>
    <mergeCell ref="Y2322:Y2323"/>
    <mergeCell ref="AA2322:AA2323"/>
    <mergeCell ref="AB2322:AB2323"/>
    <mergeCell ref="AH2649:AH2650"/>
    <mergeCell ref="AI2649:AI2650"/>
    <mergeCell ref="J2649:J2650"/>
    <mergeCell ref="J2547:J2548"/>
    <mergeCell ref="N2547:N2548"/>
    <mergeCell ref="Y2547:Y2548"/>
    <mergeCell ref="AA2547:AA2548"/>
    <mergeCell ref="AB2547:AB2548"/>
    <mergeCell ref="AC2547:AC2548"/>
    <mergeCell ref="AD2547:AD2548"/>
    <mergeCell ref="AF2547:AF2548"/>
    <mergeCell ref="AG2547:AG2548"/>
    <mergeCell ref="AH2547:AH2548"/>
    <mergeCell ref="AI2547:AI2548"/>
    <mergeCell ref="AJ2547:AJ2548"/>
    <mergeCell ref="AI2511:AI2512"/>
    <mergeCell ref="AJ2511:AJ2512"/>
    <mergeCell ref="AL2507:AL2508"/>
    <mergeCell ref="AM2507:AM2508"/>
    <mergeCell ref="AO2507:AO2508"/>
    <mergeCell ref="AO2549:AO2550"/>
    <mergeCell ref="AI2563:AI2564"/>
    <mergeCell ref="AK2563:AK2564"/>
    <mergeCell ref="E2627:E2628"/>
    <mergeCell ref="F2627:F2628"/>
    <mergeCell ref="J2627:J2628"/>
    <mergeCell ref="N2627:N2628"/>
    <mergeCell ref="E2641:E2642"/>
    <mergeCell ref="AJ2587:AJ2588"/>
    <mergeCell ref="AK2587:AK2588"/>
    <mergeCell ref="AL2587:AL2588"/>
    <mergeCell ref="AM2587:AM2588"/>
    <mergeCell ref="AO2587:AO2588"/>
    <mergeCell ref="AO2585:AO2586"/>
    <mergeCell ref="AB2581:AB2582"/>
    <mergeCell ref="AA2579:AA2580"/>
    <mergeCell ref="AB2579:AB2580"/>
    <mergeCell ref="AC2579:AC2580"/>
    <mergeCell ref="AD2579:AD2580"/>
    <mergeCell ref="AF2579:AF2580"/>
    <mergeCell ref="AG2579:AG2580"/>
    <mergeCell ref="AA2585:AA2586"/>
    <mergeCell ref="AM2585:AM2586"/>
    <mergeCell ref="AF2563:AF2564"/>
    <mergeCell ref="J2571:J2572"/>
    <mergeCell ref="AA2567:AA2568"/>
    <mergeCell ref="F2569:F2570"/>
    <mergeCell ref="J2569:J2570"/>
    <mergeCell ref="N2569:N2570"/>
    <mergeCell ref="Y2569:Y2570"/>
    <mergeCell ref="E2579:E2580"/>
    <mergeCell ref="F2579:F2580"/>
    <mergeCell ref="AF2577:AF2578"/>
    <mergeCell ref="AG2577:AG2578"/>
    <mergeCell ref="AH2577:AH2578"/>
    <mergeCell ref="AM2573:AM2574"/>
    <mergeCell ref="AO2573:AO2574"/>
    <mergeCell ref="AG2565:AG2566"/>
    <mergeCell ref="AH2565:AH2566"/>
    <mergeCell ref="AI2565:AI2566"/>
    <mergeCell ref="AD2563:AD2564"/>
    <mergeCell ref="AF2631:AF2632"/>
    <mergeCell ref="AG2631:AG2632"/>
    <mergeCell ref="AH2631:AH2632"/>
    <mergeCell ref="AM2672:AM2673"/>
    <mergeCell ref="AM2784:AM2785"/>
    <mergeCell ref="AO2784:AO2785"/>
    <mergeCell ref="AP2784:AP2785"/>
    <mergeCell ref="AM2774:AM2775"/>
    <mergeCell ref="AO2774:AO2775"/>
    <mergeCell ref="AP2774:AP2775"/>
    <mergeCell ref="E2770:E2771"/>
    <mergeCell ref="F2770:F2771"/>
    <mergeCell ref="AC2774:AC2775"/>
    <mergeCell ref="AB2684:AB2685"/>
    <mergeCell ref="AC2684:AC2685"/>
    <mergeCell ref="J2680:J2681"/>
    <mergeCell ref="N2680:N2681"/>
    <mergeCell ref="AK2694:AK2695"/>
    <mergeCell ref="AL2694:AL2695"/>
    <mergeCell ref="J2690:J2691"/>
    <mergeCell ref="Y2680:Y2681"/>
    <mergeCell ref="F2698:F2699"/>
    <mergeCell ref="J2698:J2699"/>
    <mergeCell ref="N2698:N2699"/>
    <mergeCell ref="E2657:E2658"/>
    <mergeCell ref="F2657:F2658"/>
    <mergeCell ref="J2657:J2658"/>
    <mergeCell ref="AM2780:AM2781"/>
    <mergeCell ref="AM2746:AM2747"/>
    <mergeCell ref="AP2651:AP2652"/>
    <mergeCell ref="E2637:E2638"/>
    <mergeCell ref="F2637:F2638"/>
    <mergeCell ref="J2637:J2638"/>
    <mergeCell ref="N2637:N2638"/>
    <mergeCell ref="Y2637:Y2638"/>
    <mergeCell ref="AA2637:AA2638"/>
    <mergeCell ref="AB2637:AB2638"/>
    <mergeCell ref="AC2637:AC2638"/>
    <mergeCell ref="AD2637:AD2638"/>
    <mergeCell ref="AF2637:AF2638"/>
    <mergeCell ref="AG2637:AG2638"/>
    <mergeCell ref="AH2637:AH2638"/>
    <mergeCell ref="AI2637:AI2638"/>
    <mergeCell ref="AJ2637:AJ2638"/>
    <mergeCell ref="AK2637:AK2638"/>
    <mergeCell ref="AL2637:AL2638"/>
    <mergeCell ref="AM2637:AM2638"/>
    <mergeCell ref="AO2637:AO2638"/>
    <mergeCell ref="AP2637:AP2638"/>
    <mergeCell ref="E2639:E2640"/>
    <mergeCell ref="F2639:F2640"/>
    <mergeCell ref="J2639:J2640"/>
    <mergeCell ref="AD2643:AD2644"/>
    <mergeCell ref="AF2643:AF2644"/>
    <mergeCell ref="AG2643:AG2644"/>
    <mergeCell ref="AH2643:AH2644"/>
    <mergeCell ref="AJ2649:AJ2650"/>
    <mergeCell ref="AK2649:AK2650"/>
    <mergeCell ref="AL2649:AL2650"/>
    <mergeCell ref="AM2649:AM2650"/>
    <mergeCell ref="AO2649:AO2650"/>
    <mergeCell ref="AP2649:AP2650"/>
    <mergeCell ref="AM2639:AM2640"/>
    <mergeCell ref="AO2639:AO2640"/>
    <mergeCell ref="AP2639:AP2640"/>
    <mergeCell ref="AI2647:AI2648"/>
    <mergeCell ref="AG2649:AG2650"/>
    <mergeCell ref="Y2653:Y2654"/>
    <mergeCell ref="AA2653:AA2654"/>
    <mergeCell ref="AB2653:AB2654"/>
    <mergeCell ref="AC2653:AC2654"/>
    <mergeCell ref="AD2653:AD2654"/>
    <mergeCell ref="AF2653:AF2654"/>
    <mergeCell ref="AG2653:AG2654"/>
    <mergeCell ref="AH2653:AH2654"/>
    <mergeCell ref="AI2653:AI2654"/>
    <mergeCell ref="AJ2653:AJ2654"/>
    <mergeCell ref="AK2653:AK2654"/>
    <mergeCell ref="AL2653:AL2654"/>
    <mergeCell ref="AM2653:AM2654"/>
    <mergeCell ref="AO2653:AO2654"/>
    <mergeCell ref="AP2653:AP2654"/>
    <mergeCell ref="E2655:E2656"/>
    <mergeCell ref="F2655:F2656"/>
    <mergeCell ref="J2655:J2656"/>
    <mergeCell ref="N2655:N2656"/>
    <mergeCell ref="Y2655:Y2656"/>
    <mergeCell ref="AA2655:AA2656"/>
    <mergeCell ref="AB2655:AB2656"/>
    <mergeCell ref="AC2655:AC2656"/>
    <mergeCell ref="AD2655:AD2656"/>
    <mergeCell ref="AF2655:AF2656"/>
    <mergeCell ref="AG2655:AG2656"/>
    <mergeCell ref="AH2655:AH2656"/>
    <mergeCell ref="AI2655:AI2656"/>
    <mergeCell ref="AJ2655:AJ2656"/>
    <mergeCell ref="AK2655:AK2656"/>
    <mergeCell ref="AL2655:AL2656"/>
    <mergeCell ref="AM2655:AM2656"/>
    <mergeCell ref="AO2655:AO2656"/>
    <mergeCell ref="AP2655:AP2656"/>
    <mergeCell ref="J2653:J2654"/>
    <mergeCell ref="E2944:E2945"/>
    <mergeCell ref="F2944:F2945"/>
    <mergeCell ref="J2944:J2945"/>
    <mergeCell ref="N2944:N2945"/>
    <mergeCell ref="Y2944:Y2945"/>
    <mergeCell ref="AA2944:AA2945"/>
    <mergeCell ref="AB2944:AB2945"/>
    <mergeCell ref="AC2944:AC2945"/>
    <mergeCell ref="AD2944:AD2945"/>
    <mergeCell ref="AF2944:AF2945"/>
    <mergeCell ref="AG2944:AG2945"/>
    <mergeCell ref="AH2944:AH2945"/>
    <mergeCell ref="E2792:E2793"/>
    <mergeCell ref="F2792:F2793"/>
    <mergeCell ref="J2792:J2793"/>
    <mergeCell ref="N2792:N2793"/>
    <mergeCell ref="Y2792:Y2793"/>
    <mergeCell ref="AA2792:AA2793"/>
    <mergeCell ref="AB2792:AB2793"/>
    <mergeCell ref="AC2792:AC2793"/>
    <mergeCell ref="AD2792:AD2793"/>
    <mergeCell ref="AF2792:AF2793"/>
    <mergeCell ref="AG2792:AG2793"/>
    <mergeCell ref="AH2792:AH2793"/>
    <mergeCell ref="AI2792:AI2793"/>
    <mergeCell ref="AJ2792:AJ2793"/>
    <mergeCell ref="AK2792:AK2793"/>
    <mergeCell ref="AL2792:AL2793"/>
    <mergeCell ref="AM2792:AM2793"/>
    <mergeCell ref="AO2792:AO2793"/>
    <mergeCell ref="AD2822:AD2823"/>
    <mergeCell ref="AF2822:AF2823"/>
    <mergeCell ref="AG2822:AG2823"/>
    <mergeCell ref="AH2822:AH2823"/>
    <mergeCell ref="AI2822:AI2823"/>
    <mergeCell ref="AJ2822:AJ2823"/>
    <mergeCell ref="AK2822:AK2823"/>
    <mergeCell ref="AL2822:AL2823"/>
    <mergeCell ref="AM2822:AM2823"/>
    <mergeCell ref="AO2822:AO2823"/>
    <mergeCell ref="E2820:E2821"/>
    <mergeCell ref="F2820:F2821"/>
    <mergeCell ref="J2820:J2821"/>
    <mergeCell ref="N2820:N2821"/>
    <mergeCell ref="Y2820:Y2821"/>
    <mergeCell ref="AA2820:AA2821"/>
    <mergeCell ref="AB2820:AB2821"/>
    <mergeCell ref="AL2902:AL2903"/>
    <mergeCell ref="AL2916:AL2917"/>
    <mergeCell ref="AD2912:AD2913"/>
    <mergeCell ref="AF2912:AF2913"/>
    <mergeCell ref="E2906:E2907"/>
    <mergeCell ref="E2826:E2827"/>
    <mergeCell ref="F2826:F2827"/>
    <mergeCell ref="J2826:J2827"/>
    <mergeCell ref="N2826:N2827"/>
    <mergeCell ref="Y2826:Y2827"/>
    <mergeCell ref="AA2826:AA2827"/>
    <mergeCell ref="AB2826:AB2827"/>
    <mergeCell ref="AK2920:AK2921"/>
    <mergeCell ref="AL2920:AL2921"/>
    <mergeCell ref="AH2912:AH2913"/>
    <mergeCell ref="AI2912:AI2913"/>
    <mergeCell ref="AI2928:AI2929"/>
    <mergeCell ref="AK2928:AK2929"/>
    <mergeCell ref="AL2928:AL2929"/>
    <mergeCell ref="AG2926:AG2927"/>
    <mergeCell ref="AA2922:AA2923"/>
    <mergeCell ref="E3034:E3035"/>
    <mergeCell ref="F3034:F3035"/>
    <mergeCell ref="N3032:N3033"/>
    <mergeCell ref="Y3032:Y3033"/>
    <mergeCell ref="AA3032:AA3033"/>
    <mergeCell ref="J3030:J3031"/>
    <mergeCell ref="N3030:N3031"/>
    <mergeCell ref="Y3030:Y3031"/>
    <mergeCell ref="AA3030:AA3031"/>
    <mergeCell ref="AB3030:AB3031"/>
    <mergeCell ref="AC3030:AC3031"/>
    <mergeCell ref="AD3030:AD3031"/>
    <mergeCell ref="AF3030:AF3031"/>
    <mergeCell ref="AG3030:AG3031"/>
    <mergeCell ref="AH3030:AH3031"/>
    <mergeCell ref="AI3030:AI3031"/>
    <mergeCell ref="AJ3030:AJ3031"/>
    <mergeCell ref="AK3030:AK3031"/>
    <mergeCell ref="AL3030:AL3031"/>
    <mergeCell ref="AM3030:AM3031"/>
    <mergeCell ref="AO3030:AO3031"/>
    <mergeCell ref="AP3030:AP3031"/>
    <mergeCell ref="AB2914:AB2915"/>
    <mergeCell ref="AC2914:AC2915"/>
    <mergeCell ref="AD2914:AD2915"/>
    <mergeCell ref="AF2914:AF2915"/>
    <mergeCell ref="AK2912:AK2913"/>
    <mergeCell ref="AL3032:AL3033"/>
    <mergeCell ref="AM3032:AM3033"/>
    <mergeCell ref="AO3032:AO3033"/>
    <mergeCell ref="AP3032:AP3033"/>
    <mergeCell ref="E3028:E3029"/>
    <mergeCell ref="F3028:F3029"/>
    <mergeCell ref="J3028:J3029"/>
    <mergeCell ref="N3028:N3029"/>
    <mergeCell ref="Y3028:Y3029"/>
    <mergeCell ref="AA3028:AA3029"/>
    <mergeCell ref="AB3028:AB3029"/>
    <mergeCell ref="AC3028:AC3029"/>
    <mergeCell ref="AD3028:AD3029"/>
    <mergeCell ref="AF3028:AF3029"/>
    <mergeCell ref="AG3028:AG3029"/>
    <mergeCell ref="AH3028:AH3029"/>
    <mergeCell ref="AI3028:AI3029"/>
    <mergeCell ref="AJ3028:AJ3029"/>
    <mergeCell ref="AK3028:AK3029"/>
    <mergeCell ref="AL3028:AL3029"/>
    <mergeCell ref="AM3028:AM3029"/>
    <mergeCell ref="AO3028:AO3029"/>
    <mergeCell ref="AP3028:AP3029"/>
    <mergeCell ref="E3030:E3031"/>
    <mergeCell ref="F3030:F3031"/>
    <mergeCell ref="AM3026:AM3027"/>
    <mergeCell ref="AO3026:AO3027"/>
    <mergeCell ref="AP3026:AP3027"/>
    <mergeCell ref="AK2944:AK2945"/>
    <mergeCell ref="AB3024:AB3025"/>
    <mergeCell ref="AC3024:AC3025"/>
    <mergeCell ref="AD3024:AD3025"/>
    <mergeCell ref="AF3024:AF3025"/>
    <mergeCell ref="AG3034:AG3035"/>
    <mergeCell ref="AH3034:AH3035"/>
    <mergeCell ref="AI3034:AI3035"/>
    <mergeCell ref="AJ3034:AJ3035"/>
    <mergeCell ref="AK3034:AK3035"/>
    <mergeCell ref="AL3034:AL3035"/>
    <mergeCell ref="AM3034:AM3035"/>
    <mergeCell ref="AO3034:AO3035"/>
    <mergeCell ref="E3046:E3047"/>
    <mergeCell ref="F3046:F3047"/>
    <mergeCell ref="J3046:J3047"/>
    <mergeCell ref="N3046:N3047"/>
    <mergeCell ref="Y3046:Y3047"/>
    <mergeCell ref="E3077:E3078"/>
    <mergeCell ref="AM3075:AM3076"/>
    <mergeCell ref="AO3075:AO3076"/>
    <mergeCell ref="E3071:E3072"/>
    <mergeCell ref="F3071:F3072"/>
    <mergeCell ref="J3071:J3072"/>
    <mergeCell ref="N3071:N3072"/>
    <mergeCell ref="Y3071:Y3072"/>
    <mergeCell ref="AA3071:AA3072"/>
    <mergeCell ref="AB3071:AB3072"/>
    <mergeCell ref="AC3071:AC3072"/>
    <mergeCell ref="AD3071:AD3072"/>
    <mergeCell ref="AF3071:AF3072"/>
    <mergeCell ref="AG3071:AG3072"/>
    <mergeCell ref="AH3071:AH3072"/>
    <mergeCell ref="AI3071:AI3072"/>
    <mergeCell ref="AJ3071:AJ3072"/>
    <mergeCell ref="AK3071:AK3072"/>
    <mergeCell ref="AL3071:AL3072"/>
    <mergeCell ref="AM3071:AM3072"/>
    <mergeCell ref="AO3071:AO3072"/>
    <mergeCell ref="E3065:E3066"/>
    <mergeCell ref="F3065:F3066"/>
    <mergeCell ref="J3065:J3066"/>
    <mergeCell ref="N3065:N3066"/>
    <mergeCell ref="Y3065:Y3066"/>
    <mergeCell ref="J3063:J3064"/>
    <mergeCell ref="AO3063:AO3064"/>
    <mergeCell ref="E3067:E3068"/>
    <mergeCell ref="E3073:E3074"/>
    <mergeCell ref="Y3073:Y3074"/>
    <mergeCell ref="AA3073:AA3074"/>
    <mergeCell ref="AB3073:AB3074"/>
    <mergeCell ref="AC3073:AC3074"/>
    <mergeCell ref="AD3073:AD3074"/>
    <mergeCell ref="AF3073:AF3074"/>
    <mergeCell ref="AG3073:AG3074"/>
    <mergeCell ref="AH3073:AH3074"/>
    <mergeCell ref="AI3073:AI3074"/>
    <mergeCell ref="AJ3073:AJ3074"/>
    <mergeCell ref="AK3073:AK3074"/>
    <mergeCell ref="AL3073:AL3074"/>
    <mergeCell ref="AM3073:AM3074"/>
    <mergeCell ref="AO3073:AO3074"/>
    <mergeCell ref="AJ3069:AJ3070"/>
    <mergeCell ref="E3050:E3051"/>
    <mergeCell ref="AM3044:AM3045"/>
    <mergeCell ref="AO3044:AO3045"/>
    <mergeCell ref="AM3050:AM3051"/>
    <mergeCell ref="AO3050:AO3051"/>
    <mergeCell ref="AJ3036:AJ3037"/>
    <mergeCell ref="AD3266:AD3267"/>
    <mergeCell ref="AF3266:AF3267"/>
    <mergeCell ref="AG3266:AG3267"/>
    <mergeCell ref="AH3266:AH3267"/>
    <mergeCell ref="AI3266:AI3267"/>
    <mergeCell ref="AJ3266:AJ3267"/>
    <mergeCell ref="AK3266:AK3267"/>
    <mergeCell ref="AL3266:AL3267"/>
    <mergeCell ref="AM3266:AM3267"/>
    <mergeCell ref="AO3266:AO3267"/>
    <mergeCell ref="AP3266:AP3267"/>
    <mergeCell ref="E3281:E3282"/>
    <mergeCell ref="F3281:F3282"/>
    <mergeCell ref="J3281:J3282"/>
    <mergeCell ref="N3281:N3282"/>
    <mergeCell ref="Y3281:Y3282"/>
    <mergeCell ref="AA3281:AA3282"/>
    <mergeCell ref="AB3281:AB3282"/>
    <mergeCell ref="AC3281:AC3282"/>
    <mergeCell ref="AD3281:AD3282"/>
    <mergeCell ref="AP3205:AP3206"/>
    <mergeCell ref="E3248:E3249"/>
    <mergeCell ref="AK3230:AK3231"/>
    <mergeCell ref="AL3230:AL3231"/>
    <mergeCell ref="AM3230:AM3231"/>
    <mergeCell ref="AO3230:AO3231"/>
    <mergeCell ref="AP3230:AP3231"/>
    <mergeCell ref="AP3203:AP3204"/>
    <mergeCell ref="AL3215:AL3216"/>
    <mergeCell ref="AM3215:AM3216"/>
    <mergeCell ref="AO3215:AO3216"/>
    <mergeCell ref="AP3215:AP3216"/>
    <mergeCell ref="E3209:E3210"/>
    <mergeCell ref="F3209:F3210"/>
    <mergeCell ref="J3209:J3210"/>
    <mergeCell ref="N3209:N3210"/>
    <mergeCell ref="Y3209:Y3210"/>
    <mergeCell ref="AA3209:AA3210"/>
    <mergeCell ref="AB3209:AB3210"/>
    <mergeCell ref="AC3209:AC3210"/>
    <mergeCell ref="AD3209:AD3210"/>
    <mergeCell ref="AF3209:AF3210"/>
    <mergeCell ref="AG3209:AG3210"/>
    <mergeCell ref="AH3209:AH3210"/>
    <mergeCell ref="AI3209:AI3210"/>
    <mergeCell ref="AJ3209:AJ3210"/>
    <mergeCell ref="AK3209:AK3210"/>
    <mergeCell ref="AL3209:AL3210"/>
    <mergeCell ref="AM3209:AM3210"/>
    <mergeCell ref="AO3209:AO3210"/>
    <mergeCell ref="AP3209:AP3210"/>
    <mergeCell ref="E3211:E3212"/>
    <mergeCell ref="F3211:F3212"/>
    <mergeCell ref="J3211:J3212"/>
    <mergeCell ref="N3211:N3212"/>
    <mergeCell ref="Y3203:Y3204"/>
    <mergeCell ref="AA3203:AA3204"/>
    <mergeCell ref="AB3203:AB3204"/>
    <mergeCell ref="AC3203:AC3204"/>
    <mergeCell ref="AD3203:AD3204"/>
    <mergeCell ref="AF3203:AF3204"/>
    <mergeCell ref="AG3203:AG3204"/>
    <mergeCell ref="AH3203:AH3204"/>
    <mergeCell ref="AI3203:AI3204"/>
    <mergeCell ref="AO3452:AO3453"/>
    <mergeCell ref="AP3452:AP3453"/>
    <mergeCell ref="AB3399:AB3400"/>
    <mergeCell ref="AC3399:AC3400"/>
    <mergeCell ref="AD3399:AD3400"/>
    <mergeCell ref="AF3399:AF3400"/>
    <mergeCell ref="AG3399:AG3400"/>
    <mergeCell ref="AH3399:AH3400"/>
    <mergeCell ref="AI3399:AI3400"/>
    <mergeCell ref="AJ3399:AJ3400"/>
    <mergeCell ref="AK3399:AK3400"/>
    <mergeCell ref="AL3399:AL3400"/>
    <mergeCell ref="AM3399:AM3400"/>
    <mergeCell ref="AO3399:AO3400"/>
    <mergeCell ref="AP3399:AP3400"/>
    <mergeCell ref="AC3391:AC3392"/>
    <mergeCell ref="AD3391:AD3392"/>
    <mergeCell ref="AF3391:AF3392"/>
    <mergeCell ref="AG3391:AG3392"/>
    <mergeCell ref="AH3391:AH3392"/>
    <mergeCell ref="AI3391:AI3392"/>
    <mergeCell ref="AJ3391:AJ3392"/>
    <mergeCell ref="AK3391:AK3392"/>
    <mergeCell ref="AL3391:AL3392"/>
    <mergeCell ref="AD3446:AD3447"/>
    <mergeCell ref="AF3446:AF3447"/>
    <mergeCell ref="AG3446:AG3447"/>
    <mergeCell ref="AH3446:AH3447"/>
    <mergeCell ref="AI3446:AI3447"/>
    <mergeCell ref="AJ3446:AJ3447"/>
    <mergeCell ref="AK3446:AK3447"/>
    <mergeCell ref="AB3313:AB3314"/>
    <mergeCell ref="AC3313:AC3314"/>
    <mergeCell ref="AD3313:AD3314"/>
    <mergeCell ref="AF3313:AF3314"/>
    <mergeCell ref="AG3313:AG3314"/>
    <mergeCell ref="AH3313:AH3314"/>
    <mergeCell ref="AI3313:AI3314"/>
    <mergeCell ref="AJ3313:AJ3314"/>
    <mergeCell ref="AK3313:AK3314"/>
    <mergeCell ref="AL3313:AL3314"/>
    <mergeCell ref="AM3313:AM3314"/>
    <mergeCell ref="AO3313:AO3314"/>
    <mergeCell ref="AP3313:AP3314"/>
    <mergeCell ref="AB3341:AB3342"/>
    <mergeCell ref="AC3341:AC3342"/>
    <mergeCell ref="AD3341:AD3342"/>
    <mergeCell ref="AF3341:AF3342"/>
    <mergeCell ref="AG3341:AG3342"/>
    <mergeCell ref="AH3341:AH3342"/>
    <mergeCell ref="AI3341:AI3342"/>
    <mergeCell ref="AJ3341:AJ3342"/>
    <mergeCell ref="AK3341:AK3342"/>
    <mergeCell ref="AL3341:AL3342"/>
    <mergeCell ref="AM3341:AM3342"/>
    <mergeCell ref="AO3341:AO3342"/>
    <mergeCell ref="AF3418:AF3419"/>
    <mergeCell ref="AG3418:AG3419"/>
    <mergeCell ref="AH3418:AH3419"/>
    <mergeCell ref="AI3418:AI3419"/>
    <mergeCell ref="AJ3418:AJ3419"/>
    <mergeCell ref="AL3444:AL3445"/>
    <mergeCell ref="AJ3440:AJ3441"/>
    <mergeCell ref="AK3440:AK3441"/>
    <mergeCell ref="E3472:E3473"/>
    <mergeCell ref="F3472:F3473"/>
    <mergeCell ref="J3472:J3473"/>
    <mergeCell ref="N3472:N3473"/>
    <mergeCell ref="Y3472:Y3473"/>
    <mergeCell ref="AA3472:AA3473"/>
    <mergeCell ref="AB3472:AB3473"/>
    <mergeCell ref="AC3472:AC3473"/>
    <mergeCell ref="AD3472:AD3473"/>
    <mergeCell ref="AF3472:AF3473"/>
    <mergeCell ref="AG3472:AG3473"/>
    <mergeCell ref="AH3472:AH3473"/>
    <mergeCell ref="AI3472:AI3473"/>
    <mergeCell ref="AJ3472:AJ3473"/>
    <mergeCell ref="AK3472:AK3473"/>
    <mergeCell ref="AL3472:AL3473"/>
    <mergeCell ref="AM3472:AM3473"/>
    <mergeCell ref="AO3472:AO3473"/>
    <mergeCell ref="AP3472:AP3473"/>
    <mergeCell ref="N1099:N1100"/>
    <mergeCell ref="Y1099:Y1100"/>
    <mergeCell ref="AA1099:AA1100"/>
    <mergeCell ref="AB1099:AB1100"/>
    <mergeCell ref="AC1099:AC1100"/>
    <mergeCell ref="AD1099:AD1100"/>
    <mergeCell ref="AF1099:AF1100"/>
    <mergeCell ref="AG1099:AG1100"/>
    <mergeCell ref="AH1099:AH1100"/>
    <mergeCell ref="AI1099:AI1100"/>
    <mergeCell ref="E1085:E1086"/>
    <mergeCell ref="F1085:F1086"/>
    <mergeCell ref="J1085:J1086"/>
    <mergeCell ref="N1085:N1086"/>
    <mergeCell ref="Y1085:Y1086"/>
    <mergeCell ref="AO1091:AO1092"/>
    <mergeCell ref="AP1091:AP1092"/>
    <mergeCell ref="J1095:J1096"/>
    <mergeCell ref="N1095:N1096"/>
    <mergeCell ref="Y1095:Y1096"/>
    <mergeCell ref="AA1095:AA1096"/>
    <mergeCell ref="AB1095:AB1096"/>
    <mergeCell ref="AC1095:AC1096"/>
    <mergeCell ref="AD1095:AD1096"/>
    <mergeCell ref="AF1095:AF1096"/>
    <mergeCell ref="AG1095:AG1096"/>
    <mergeCell ref="AH1095:AH1096"/>
    <mergeCell ref="AI1095:AI1096"/>
    <mergeCell ref="AJ1095:AJ1096"/>
    <mergeCell ref="AK1095:AK1096"/>
    <mergeCell ref="E1093:E1094"/>
    <mergeCell ref="F1093:F1094"/>
    <mergeCell ref="J1093:J1094"/>
    <mergeCell ref="N1093:N1094"/>
    <mergeCell ref="Y1093:Y1094"/>
    <mergeCell ref="AJ1085:AJ1086"/>
    <mergeCell ref="AK1085:AK1086"/>
    <mergeCell ref="AL1085:AL1086"/>
    <mergeCell ref="AM1085:AM1086"/>
    <mergeCell ref="AO1085:AO1086"/>
    <mergeCell ref="AP1085:AP1086"/>
    <mergeCell ref="AI1085:AI1086"/>
    <mergeCell ref="AO1095:AO1096"/>
    <mergeCell ref="AP1095:AP1096"/>
    <mergeCell ref="Y1188:Y1189"/>
    <mergeCell ref="AM1313:AM1314"/>
    <mergeCell ref="AO1313:AO1314"/>
    <mergeCell ref="AP1313:AP1314"/>
    <mergeCell ref="AO1285:AO1286"/>
    <mergeCell ref="J1283:J1284"/>
    <mergeCell ref="AF1275:AF1276"/>
    <mergeCell ref="AG1275:AG1276"/>
    <mergeCell ref="AO1291:AO1292"/>
    <mergeCell ref="AP1295:AP1296"/>
    <mergeCell ref="AP1275:AP1276"/>
    <mergeCell ref="AP1279:AP1280"/>
    <mergeCell ref="AA1333:AA1334"/>
    <mergeCell ref="AP1315:AP1316"/>
    <mergeCell ref="E1317:E1318"/>
    <mergeCell ref="F1317:F1318"/>
    <mergeCell ref="J1317:J1318"/>
    <mergeCell ref="N1317:N1318"/>
    <mergeCell ref="Y1317:Y1318"/>
    <mergeCell ref="AA1317:AA1318"/>
    <mergeCell ref="AB1317:AB1318"/>
    <mergeCell ref="AC1317:AC1318"/>
    <mergeCell ref="AD1317:AD1318"/>
    <mergeCell ref="AF1317:AF1318"/>
    <mergeCell ref="AG1317:AG1318"/>
    <mergeCell ref="AH1317:AH1318"/>
    <mergeCell ref="AL1349:AL1350"/>
    <mergeCell ref="N1319:N1320"/>
    <mergeCell ref="Y1319:Y1320"/>
    <mergeCell ref="AA1319:AA1320"/>
    <mergeCell ref="AB1319:AB1320"/>
    <mergeCell ref="AP1323:AP1324"/>
    <mergeCell ref="AJ1428:AJ1429"/>
    <mergeCell ref="AK1428:AK1429"/>
    <mergeCell ref="AL1428:AL1429"/>
    <mergeCell ref="AM1428:AM1429"/>
    <mergeCell ref="AO1428:AO1429"/>
    <mergeCell ref="AP1428:AP1429"/>
    <mergeCell ref="AP1424:AP1425"/>
    <mergeCell ref="F1414:F1415"/>
    <mergeCell ref="J1414:J1415"/>
    <mergeCell ref="N1414:N1415"/>
    <mergeCell ref="Y1414:Y1415"/>
    <mergeCell ref="AA1414:AA1415"/>
    <mergeCell ref="AB1414:AB1415"/>
    <mergeCell ref="AC1414:AC1415"/>
    <mergeCell ref="AD1414:AD1415"/>
    <mergeCell ref="AF1414:AF1415"/>
    <mergeCell ref="AG1414:AG1415"/>
    <mergeCell ref="AH1414:AH1415"/>
    <mergeCell ref="AI1414:AI1415"/>
    <mergeCell ref="AJ1414:AJ1415"/>
    <mergeCell ref="AK1414:AK1415"/>
    <mergeCell ref="AL1414:AL1415"/>
    <mergeCell ref="AM1414:AM1415"/>
    <mergeCell ref="AO1414:AO1415"/>
    <mergeCell ref="AP1414:AP1415"/>
    <mergeCell ref="F1390:F1391"/>
    <mergeCell ref="J1390:J1391"/>
    <mergeCell ref="N1390:N1391"/>
    <mergeCell ref="Y1390:Y1391"/>
    <mergeCell ref="Y1325:Y1326"/>
    <mergeCell ref="AA1325:AA1326"/>
    <mergeCell ref="AB1325:AB1326"/>
    <mergeCell ref="AF1410:AF1411"/>
    <mergeCell ref="AM1430:AM1431"/>
    <mergeCell ref="AO1430:AO1431"/>
    <mergeCell ref="AP1430:AP1431"/>
    <mergeCell ref="E1436:E1437"/>
    <mergeCell ref="F1436:F1437"/>
    <mergeCell ref="J1436:J1437"/>
    <mergeCell ref="N1436:N1437"/>
    <mergeCell ref="Y1436:Y1437"/>
    <mergeCell ref="AA1436:AA1437"/>
    <mergeCell ref="AD1520:AD1521"/>
    <mergeCell ref="AF1520:AF1521"/>
    <mergeCell ref="AG1520:AG1521"/>
    <mergeCell ref="AH1520:AH1521"/>
    <mergeCell ref="AI1520:AI1521"/>
    <mergeCell ref="AJ1520:AJ1521"/>
    <mergeCell ref="AK1520:AK1521"/>
    <mergeCell ref="AL1520:AL1521"/>
    <mergeCell ref="AM1520:AM1521"/>
    <mergeCell ref="AO1520:AO1521"/>
    <mergeCell ref="AP1520:AP1521"/>
    <mergeCell ref="AM1472:AM1473"/>
    <mergeCell ref="N1490:N1491"/>
    <mergeCell ref="Y1490:Y1491"/>
    <mergeCell ref="Y1442:Y1443"/>
    <mergeCell ref="AI1454:AI1455"/>
    <mergeCell ref="AJ1490:AJ1491"/>
    <mergeCell ref="AP1480:AP1481"/>
    <mergeCell ref="AF1492:AF1493"/>
    <mergeCell ref="AG1492:AG1493"/>
    <mergeCell ref="J1452:J1453"/>
    <mergeCell ref="E1448:E1449"/>
    <mergeCell ref="F1448:F1449"/>
    <mergeCell ref="J1448:J1449"/>
    <mergeCell ref="Y1448:Y1449"/>
    <mergeCell ref="AA1448:AA1449"/>
    <mergeCell ref="E1470:E1471"/>
    <mergeCell ref="F1470:F1471"/>
    <mergeCell ref="J1470:J1471"/>
    <mergeCell ref="F1514:F1515"/>
    <mergeCell ref="J1514:J1515"/>
    <mergeCell ref="N1514:N1515"/>
    <mergeCell ref="Y1514:Y1515"/>
    <mergeCell ref="AA1514:AA1515"/>
    <mergeCell ref="AB1514:AB1515"/>
    <mergeCell ref="AM1448:AM1449"/>
    <mergeCell ref="AM1450:AM1451"/>
    <mergeCell ref="AI1518:AI1519"/>
    <mergeCell ref="AJ1518:AJ1519"/>
    <mergeCell ref="AK1518:AK1519"/>
    <mergeCell ref="AL1518:AL1519"/>
    <mergeCell ref="AM1518:AM1519"/>
    <mergeCell ref="AO1518:AO1519"/>
    <mergeCell ref="E1484:E1485"/>
    <mergeCell ref="F1484:F1485"/>
    <mergeCell ref="J1484:J1485"/>
    <mergeCell ref="E1482:E1483"/>
    <mergeCell ref="Y1464:Y1465"/>
    <mergeCell ref="AA1464:AA1465"/>
    <mergeCell ref="AB1464:AB1465"/>
    <mergeCell ref="AC1464:AC1465"/>
    <mergeCell ref="AD1464:AD1465"/>
    <mergeCell ref="AF1464:AF1465"/>
    <mergeCell ref="AM1466:AM1467"/>
    <mergeCell ref="AO1466:AO1467"/>
    <mergeCell ref="AM1605:AM1606"/>
    <mergeCell ref="AO1605:AO1606"/>
    <mergeCell ref="E1514:E1515"/>
    <mergeCell ref="E1520:E1521"/>
    <mergeCell ref="F1520:F1521"/>
    <mergeCell ref="J1520:J1521"/>
    <mergeCell ref="N1520:N1521"/>
    <mergeCell ref="Y1520:Y1521"/>
    <mergeCell ref="AA1520:AA1521"/>
    <mergeCell ref="AB1520:AB1521"/>
    <mergeCell ref="AC1520:AC1521"/>
    <mergeCell ref="J1565:J1566"/>
    <mergeCell ref="AI1549:AI1550"/>
    <mergeCell ref="AK1549:AK1550"/>
    <mergeCell ref="AJ1565:AJ1566"/>
    <mergeCell ref="Y1504:Y1505"/>
    <mergeCell ref="AC1492:AC1493"/>
    <mergeCell ref="AI1684:AI1685"/>
    <mergeCell ref="AJ1684:AJ1685"/>
    <mergeCell ref="AK1684:AK1685"/>
    <mergeCell ref="AL1684:AL1685"/>
    <mergeCell ref="AM1684:AM1685"/>
    <mergeCell ref="AO1684:AO1685"/>
    <mergeCell ref="AP1684:AP1685"/>
    <mergeCell ref="AM1664:AM1665"/>
    <mergeCell ref="AO1664:AO1665"/>
    <mergeCell ref="AP1664:AP1665"/>
    <mergeCell ref="AO1638:AO1639"/>
    <mergeCell ref="AP1638:AP1639"/>
    <mergeCell ref="AL1642:AL1643"/>
    <mergeCell ref="AM1642:AM1643"/>
    <mergeCell ref="AO1642:AO1643"/>
    <mergeCell ref="AP1642:AP1643"/>
    <mergeCell ref="AL1640:AL1641"/>
    <mergeCell ref="AC1599:AC1600"/>
    <mergeCell ref="AD1599:AD1600"/>
    <mergeCell ref="AF1599:AF1600"/>
    <mergeCell ref="AG1599:AG1600"/>
    <mergeCell ref="J1581:J1582"/>
    <mergeCell ref="AP1603:AP1604"/>
    <mergeCell ref="AP1589:AP1590"/>
    <mergeCell ref="F1583:F1584"/>
    <mergeCell ref="AM1599:AM1600"/>
    <mergeCell ref="AO1599:AO1600"/>
    <mergeCell ref="AB1597:AB1598"/>
    <mergeCell ref="AD1601:AD1602"/>
    <mergeCell ref="AJ1601:AJ1602"/>
    <mergeCell ref="AK1601:AK1602"/>
    <mergeCell ref="AL1601:AL1602"/>
    <mergeCell ref="AM1601:AM1602"/>
    <mergeCell ref="AO1601:AO1602"/>
    <mergeCell ref="AP1601:AP1602"/>
    <mergeCell ref="AA1650:AA1651"/>
    <mergeCell ref="AD1660:AD1661"/>
    <mergeCell ref="AF1660:AF1661"/>
    <mergeCell ref="AA1658:AA1659"/>
    <mergeCell ref="AA1644:AA1645"/>
    <mergeCell ref="AI1642:AI1643"/>
    <mergeCell ref="AJ1642:AJ1643"/>
    <mergeCell ref="AK1642:AK1643"/>
    <mergeCell ref="E1634:E1635"/>
    <mergeCell ref="F1634:F1635"/>
    <mergeCell ref="AK1640:AK1641"/>
    <mergeCell ref="F1652:F1653"/>
    <mergeCell ref="N1734:N1735"/>
    <mergeCell ref="Y1734:Y1735"/>
    <mergeCell ref="AA1734:AA1735"/>
    <mergeCell ref="AB1734:AB1735"/>
    <mergeCell ref="AC1734:AC1735"/>
    <mergeCell ref="AD1734:AD1735"/>
    <mergeCell ref="AF1734:AF1735"/>
    <mergeCell ref="AG1734:AG1735"/>
    <mergeCell ref="AH1734:AH1735"/>
    <mergeCell ref="AI1734:AI1735"/>
    <mergeCell ref="AJ1734:AJ1735"/>
    <mergeCell ref="AG1750:AG1751"/>
    <mergeCell ref="AH1750:AH1751"/>
    <mergeCell ref="AI1750:AI1751"/>
    <mergeCell ref="AJ1750:AJ1751"/>
    <mergeCell ref="AK1750:AK1751"/>
    <mergeCell ref="AL1750:AL1751"/>
    <mergeCell ref="AM1750:AM1751"/>
    <mergeCell ref="AO1750:AO1751"/>
    <mergeCell ref="AP1750:AP1751"/>
    <mergeCell ref="E1754:E1755"/>
    <mergeCell ref="F1754:F1755"/>
    <mergeCell ref="J1754:J1755"/>
    <mergeCell ref="N1754:N1755"/>
    <mergeCell ref="Y1754:Y1755"/>
    <mergeCell ref="AA1754:AA1755"/>
    <mergeCell ref="AC1736:AC1737"/>
    <mergeCell ref="AD1736:AD1737"/>
    <mergeCell ref="AF1736:AF1737"/>
    <mergeCell ref="AG1736:AG1737"/>
    <mergeCell ref="AH1736:AH1737"/>
    <mergeCell ref="AI1736:AI1737"/>
    <mergeCell ref="AB1754:AB1755"/>
    <mergeCell ref="AC1754:AC1755"/>
    <mergeCell ref="AD1754:AD1755"/>
    <mergeCell ref="AF1754:AF1755"/>
    <mergeCell ref="AG1754:AG1755"/>
    <mergeCell ref="AH1754:AH1755"/>
    <mergeCell ref="AI1754:AI1755"/>
    <mergeCell ref="AJ1754:AJ1755"/>
    <mergeCell ref="AK1754:AK1755"/>
    <mergeCell ref="AL1754:AL1755"/>
    <mergeCell ref="AM1754:AM1755"/>
    <mergeCell ref="AO1754:AO1755"/>
    <mergeCell ref="AP1754:AP1755"/>
    <mergeCell ref="AO1736:AO1737"/>
    <mergeCell ref="AP1736:AP1737"/>
    <mergeCell ref="E1740:E1741"/>
    <mergeCell ref="AB1748:AB1749"/>
    <mergeCell ref="AC1748:AC1749"/>
    <mergeCell ref="AD1748:AD1749"/>
    <mergeCell ref="AF1748:AF1749"/>
    <mergeCell ref="AG1748:AG1749"/>
    <mergeCell ref="AH1748:AH1749"/>
    <mergeCell ref="AI1748:AI1749"/>
    <mergeCell ref="AJ1748:AJ1749"/>
    <mergeCell ref="AK1748:AK1749"/>
    <mergeCell ref="AL1748:AL1749"/>
    <mergeCell ref="AM1748:AM1749"/>
    <mergeCell ref="AO1748:AO1749"/>
    <mergeCell ref="AP1748:AP1749"/>
    <mergeCell ref="AL1746:AL1747"/>
    <mergeCell ref="AM1746:AM1747"/>
    <mergeCell ref="AO1746:AO1747"/>
    <mergeCell ref="F1760:F1761"/>
    <mergeCell ref="J1760:J1761"/>
    <mergeCell ref="N1760:N1761"/>
    <mergeCell ref="Y1760:Y1761"/>
    <mergeCell ref="AA1760:AA1761"/>
    <mergeCell ref="AB1760:AB1761"/>
    <mergeCell ref="AC1760:AC1761"/>
    <mergeCell ref="AD1760:AD1761"/>
    <mergeCell ref="AF1760:AF1761"/>
    <mergeCell ref="AG1760:AG1761"/>
    <mergeCell ref="AH1760:AH1761"/>
    <mergeCell ref="AI1760:AI1761"/>
    <mergeCell ref="AJ1760:AJ1761"/>
    <mergeCell ref="AK1760:AK1761"/>
    <mergeCell ref="AL1760:AL1761"/>
    <mergeCell ref="AM1760:AM1761"/>
    <mergeCell ref="AO1760:AO1761"/>
    <mergeCell ref="AP1760:AP1761"/>
    <mergeCell ref="E1793:E1794"/>
    <mergeCell ref="F1793:F1794"/>
    <mergeCell ref="J1793:J1794"/>
    <mergeCell ref="N1793:N1794"/>
    <mergeCell ref="Y1793:Y1794"/>
    <mergeCell ref="AA1793:AA1794"/>
    <mergeCell ref="AB1793:AB1794"/>
    <mergeCell ref="AC1793:AC1794"/>
    <mergeCell ref="AD1793:AD1794"/>
    <mergeCell ref="AF1793:AF1794"/>
    <mergeCell ref="AG1793:AG1794"/>
    <mergeCell ref="AH1793:AH1794"/>
    <mergeCell ref="AI1793:AI1794"/>
    <mergeCell ref="AJ1793:AJ1794"/>
    <mergeCell ref="AK1793:AK1794"/>
    <mergeCell ref="AL1793:AL1794"/>
    <mergeCell ref="AM1793:AM1794"/>
    <mergeCell ref="AO1793:AO1794"/>
    <mergeCell ref="AP1793:AP1794"/>
    <mergeCell ref="E1787:E1788"/>
    <mergeCell ref="F1787:F1788"/>
    <mergeCell ref="J1787:J1788"/>
    <mergeCell ref="N1787:N1788"/>
    <mergeCell ref="Y1787:Y1788"/>
    <mergeCell ref="AA1787:AA1788"/>
    <mergeCell ref="AB1787:AB1788"/>
    <mergeCell ref="AC1787:AC1788"/>
    <mergeCell ref="AD1787:AD1788"/>
    <mergeCell ref="AF1787:AF1788"/>
    <mergeCell ref="AG1787:AG1788"/>
    <mergeCell ref="AH1787:AH1788"/>
    <mergeCell ref="AI1787:AI1788"/>
    <mergeCell ref="AJ1787:AJ1788"/>
    <mergeCell ref="AK1787:AK1788"/>
    <mergeCell ref="AL1787:AL1788"/>
    <mergeCell ref="AM1787:AM1788"/>
    <mergeCell ref="AO1787:AO1788"/>
    <mergeCell ref="AP1787:AP1788"/>
    <mergeCell ref="AC1779:AC1780"/>
    <mergeCell ref="AD1779:AD1780"/>
    <mergeCell ref="AF1779:AF1780"/>
    <mergeCell ref="AG1779:AG1780"/>
    <mergeCell ref="AH1779:AH1780"/>
    <mergeCell ref="AI1779:AI1780"/>
    <mergeCell ref="AJ1779:AJ1780"/>
    <mergeCell ref="AK1779:AK1780"/>
    <mergeCell ref="AK1868:AK1869"/>
    <mergeCell ref="AL1868:AL1869"/>
    <mergeCell ref="AM1868:AM1869"/>
    <mergeCell ref="AO1868:AO1869"/>
    <mergeCell ref="AP1868:AP1869"/>
    <mergeCell ref="E1860:E1861"/>
    <mergeCell ref="F1860:F1861"/>
    <mergeCell ref="J1860:J1861"/>
    <mergeCell ref="N1860:N1861"/>
    <mergeCell ref="Y1860:Y1861"/>
    <mergeCell ref="AA1860:AA1861"/>
    <mergeCell ref="E1888:E1889"/>
    <mergeCell ref="F1888:F1889"/>
    <mergeCell ref="J1888:J1889"/>
    <mergeCell ref="N1888:N1889"/>
    <mergeCell ref="Y1888:Y1889"/>
    <mergeCell ref="AA1888:AA1889"/>
    <mergeCell ref="AB1888:AB1889"/>
    <mergeCell ref="AC1888:AC1889"/>
    <mergeCell ref="AD1888:AD1889"/>
    <mergeCell ref="AF1888:AF1889"/>
    <mergeCell ref="AG1888:AG1889"/>
    <mergeCell ref="AH1888:AH1889"/>
    <mergeCell ref="AI1888:AI1889"/>
    <mergeCell ref="AJ1888:AJ1889"/>
    <mergeCell ref="AK1888:AK1889"/>
    <mergeCell ref="AL1888:AL1889"/>
    <mergeCell ref="AM1888:AM1889"/>
    <mergeCell ref="AO1888:AO1889"/>
    <mergeCell ref="AP1888:AP1889"/>
    <mergeCell ref="AF1884:AF1885"/>
    <mergeCell ref="AG1884:AG1885"/>
    <mergeCell ref="AH1884:AH1885"/>
    <mergeCell ref="AI1884:AI1885"/>
    <mergeCell ref="AJ1884:AJ1885"/>
    <mergeCell ref="AK1884:AK1885"/>
    <mergeCell ref="AL1884:AL1885"/>
    <mergeCell ref="AM1884:AM1885"/>
    <mergeCell ref="AO1884:AO1885"/>
    <mergeCell ref="AP1884:AP1885"/>
    <mergeCell ref="E1886:E1887"/>
    <mergeCell ref="F1886:F1887"/>
    <mergeCell ref="J1886:J1887"/>
    <mergeCell ref="N1886:N1887"/>
    <mergeCell ref="Y1886:Y1887"/>
    <mergeCell ref="AA1886:AA1887"/>
    <mergeCell ref="AB1886:AB1887"/>
    <mergeCell ref="AC1886:AC1887"/>
    <mergeCell ref="AD1886:AD1887"/>
    <mergeCell ref="AF1886:AF1887"/>
    <mergeCell ref="AG1886:AG1887"/>
    <mergeCell ref="AH1886:AH1887"/>
    <mergeCell ref="AI1886:AI1887"/>
    <mergeCell ref="E1868:E1869"/>
    <mergeCell ref="F1868:F1869"/>
    <mergeCell ref="J1868:J1869"/>
    <mergeCell ref="N1868:N1869"/>
    <mergeCell ref="Y1868:Y1869"/>
    <mergeCell ref="AA1868:AA1869"/>
    <mergeCell ref="AB1868:AB1869"/>
    <mergeCell ref="AC1868:AC1869"/>
    <mergeCell ref="AD1868:AD1869"/>
    <mergeCell ref="AF1868:AF1869"/>
    <mergeCell ref="AB1866:AB1867"/>
    <mergeCell ref="E1892:E1893"/>
    <mergeCell ref="F1892:F1893"/>
    <mergeCell ref="J1892:J1893"/>
    <mergeCell ref="N1892:N1893"/>
    <mergeCell ref="Y1892:Y1893"/>
    <mergeCell ref="AA1892:AA1893"/>
    <mergeCell ref="AB1892:AB1893"/>
    <mergeCell ref="AC1892:AC1893"/>
    <mergeCell ref="AD1892:AD1893"/>
    <mergeCell ref="AF1892:AF1893"/>
    <mergeCell ref="AG1892:AG1893"/>
    <mergeCell ref="AH1892:AH1893"/>
    <mergeCell ref="AI1892:AI1893"/>
    <mergeCell ref="AJ1892:AJ1893"/>
    <mergeCell ref="AK1892:AK1893"/>
    <mergeCell ref="AL1892:AL1893"/>
    <mergeCell ref="AM1892:AM1893"/>
    <mergeCell ref="AO1892:AO1893"/>
    <mergeCell ref="AP1892:AP1893"/>
    <mergeCell ref="F2114:F2115"/>
    <mergeCell ref="J2114:J2115"/>
    <mergeCell ref="N2114:N2115"/>
    <mergeCell ref="Y2114:Y2115"/>
    <mergeCell ref="AA2114:AA2115"/>
    <mergeCell ref="AB2114:AB2115"/>
    <mergeCell ref="AC2114:AC2115"/>
    <mergeCell ref="AD2114:AD2115"/>
    <mergeCell ref="AF2114:AF2115"/>
    <mergeCell ref="AG2114:AG2115"/>
    <mergeCell ref="AH2114:AH2115"/>
    <mergeCell ref="AI2114:AI2115"/>
    <mergeCell ref="AJ2114:AJ2115"/>
    <mergeCell ref="AK2114:AK2115"/>
    <mergeCell ref="AL2114:AL2115"/>
    <mergeCell ref="AM2114:AM2115"/>
    <mergeCell ref="AO2114:AO2115"/>
    <mergeCell ref="AP2114:AP2115"/>
    <mergeCell ref="Y2112:Y2113"/>
    <mergeCell ref="AA2112:AA2113"/>
    <mergeCell ref="AB2112:AB2113"/>
    <mergeCell ref="AC2112:AC2113"/>
    <mergeCell ref="AD2112:AD2113"/>
    <mergeCell ref="AF2112:AF2113"/>
    <mergeCell ref="AG2112:AG2113"/>
    <mergeCell ref="AH2112:AH2113"/>
    <mergeCell ref="AI2112:AI2113"/>
    <mergeCell ref="AJ2112:AJ2113"/>
    <mergeCell ref="AK2112:AK2113"/>
    <mergeCell ref="AL2112:AL2113"/>
    <mergeCell ref="AM2112:AM2113"/>
    <mergeCell ref="AO2112:AO2113"/>
    <mergeCell ref="AP2112:AP2113"/>
    <mergeCell ref="AM2096:AM2097"/>
    <mergeCell ref="AO2096:AO2097"/>
    <mergeCell ref="AF2098:AF2099"/>
    <mergeCell ref="AG2098:AG2099"/>
    <mergeCell ref="AH2098:AH2099"/>
    <mergeCell ref="AI2098:AI2099"/>
    <mergeCell ref="AJ2098:AJ2099"/>
    <mergeCell ref="AK2100:AK2101"/>
    <mergeCell ref="AL2100:AL2101"/>
    <mergeCell ref="AD2088:AD2089"/>
    <mergeCell ref="AF2088:AF2089"/>
    <mergeCell ref="AP2108:AP2109"/>
    <mergeCell ref="AP2199:AP2200"/>
    <mergeCell ref="E2275:E2276"/>
    <mergeCell ref="F2275:F2276"/>
    <mergeCell ref="J2275:J2276"/>
    <mergeCell ref="N2275:N2276"/>
    <mergeCell ref="Y2275:Y2276"/>
    <mergeCell ref="AA2275:AA2276"/>
    <mergeCell ref="AB2275:AB2276"/>
    <mergeCell ref="AC2275:AC2276"/>
    <mergeCell ref="AD2275:AD2276"/>
    <mergeCell ref="AF2275:AF2276"/>
    <mergeCell ref="AG2275:AG2276"/>
    <mergeCell ref="AH2275:AH2276"/>
    <mergeCell ref="AI2275:AI2276"/>
    <mergeCell ref="AJ2275:AJ2276"/>
    <mergeCell ref="AK2275:AK2276"/>
    <mergeCell ref="AL2275:AL2276"/>
    <mergeCell ref="AM2275:AM2276"/>
    <mergeCell ref="AO2275:AO2276"/>
    <mergeCell ref="AP2275:AP2276"/>
    <mergeCell ref="E2259:E2260"/>
    <mergeCell ref="F2259:F2260"/>
    <mergeCell ref="J2259:J2260"/>
    <mergeCell ref="J2257:J2258"/>
    <mergeCell ref="N2257:N2258"/>
    <mergeCell ref="E2237:E2238"/>
    <mergeCell ref="F2237:F2238"/>
    <mergeCell ref="Y2243:Y2244"/>
    <mergeCell ref="AA2243:AA2244"/>
    <mergeCell ref="AB2243:AB2244"/>
    <mergeCell ref="AL2261:AL2262"/>
    <mergeCell ref="AM2261:AM2262"/>
    <mergeCell ref="AO2261:AO2262"/>
    <mergeCell ref="AP2261:AP2262"/>
    <mergeCell ref="AM2259:AM2260"/>
    <mergeCell ref="AO2259:AO2260"/>
    <mergeCell ref="AP2259:AP2260"/>
    <mergeCell ref="AK2239:AK2240"/>
    <mergeCell ref="AL2239:AL2240"/>
    <mergeCell ref="AM2239:AM2240"/>
    <mergeCell ref="AD2235:AD2236"/>
    <mergeCell ref="AF2235:AF2236"/>
    <mergeCell ref="AG2235:AG2236"/>
    <mergeCell ref="AH2235:AH2236"/>
    <mergeCell ref="AI2235:AI2236"/>
    <mergeCell ref="AO2243:AO2244"/>
    <mergeCell ref="AP2269:AP2270"/>
    <mergeCell ref="E2273:E2274"/>
    <mergeCell ref="F2273:F2274"/>
    <mergeCell ref="J2273:J2274"/>
    <mergeCell ref="N2273:N2274"/>
    <mergeCell ref="AC2265:AC2266"/>
    <mergeCell ref="AD2265:AD2266"/>
    <mergeCell ref="AL2255:AL2256"/>
    <mergeCell ref="AP2223:AP2224"/>
    <mergeCell ref="AM2219:AM2220"/>
    <mergeCell ref="AP2219:AP2220"/>
    <mergeCell ref="F2239:F2240"/>
    <mergeCell ref="F2247:F2248"/>
    <mergeCell ref="F2249:F2250"/>
    <mergeCell ref="F2245:F2246"/>
    <mergeCell ref="AI2251:AI2252"/>
    <mergeCell ref="AP2267:AP2268"/>
    <mergeCell ref="Y2213:Y2214"/>
    <mergeCell ref="AP2305:AP2306"/>
    <mergeCell ref="E2307:E2308"/>
    <mergeCell ref="F2307:F2308"/>
    <mergeCell ref="J2307:J2308"/>
    <mergeCell ref="N2307:N2308"/>
    <mergeCell ref="Y2307:Y2308"/>
    <mergeCell ref="AA2307:AA2308"/>
    <mergeCell ref="AB2307:AB2308"/>
    <mergeCell ref="AC2307:AC2308"/>
    <mergeCell ref="AD2307:AD2308"/>
    <mergeCell ref="AF2307:AF2308"/>
    <mergeCell ref="AG2307:AG2308"/>
    <mergeCell ref="AH2307:AH2308"/>
    <mergeCell ref="AI2307:AI2308"/>
    <mergeCell ref="AJ2307:AJ2308"/>
    <mergeCell ref="AK2307:AK2308"/>
    <mergeCell ref="AL2307:AL2308"/>
    <mergeCell ref="AM2307:AM2308"/>
    <mergeCell ref="AO2307:AO2308"/>
    <mergeCell ref="AP2307:AP2308"/>
    <mergeCell ref="Y2273:Y2274"/>
    <mergeCell ref="AA2273:AA2274"/>
    <mergeCell ref="AB2273:AB2274"/>
    <mergeCell ref="AC2273:AC2274"/>
    <mergeCell ref="AD2273:AD2274"/>
    <mergeCell ref="AF2273:AF2274"/>
    <mergeCell ref="AG2273:AG2274"/>
    <mergeCell ref="AH2273:AH2274"/>
    <mergeCell ref="AI2273:AI2274"/>
    <mergeCell ref="AJ2273:AJ2274"/>
    <mergeCell ref="AK2273:AK2274"/>
    <mergeCell ref="AL2273:AL2274"/>
    <mergeCell ref="AM2273:AM2274"/>
    <mergeCell ref="AO2273:AO2274"/>
    <mergeCell ref="AP2273:AP2274"/>
    <mergeCell ref="E2295:E2296"/>
    <mergeCell ref="F2295:F2296"/>
    <mergeCell ref="E2305:E2306"/>
    <mergeCell ref="F2305:F2306"/>
    <mergeCell ref="J2305:J2306"/>
    <mergeCell ref="N2305:N2306"/>
    <mergeCell ref="Y2305:Y2306"/>
    <mergeCell ref="AA2305:AA2306"/>
    <mergeCell ref="F2299:F2300"/>
    <mergeCell ref="J2299:J2300"/>
    <mergeCell ref="N2299:N2300"/>
    <mergeCell ref="Y2299:Y2300"/>
    <mergeCell ref="AA2299:AA2300"/>
    <mergeCell ref="AB2299:AB2300"/>
    <mergeCell ref="AC2299:AC2300"/>
    <mergeCell ref="AD2299:AD2300"/>
    <mergeCell ref="AF2299:AF2300"/>
    <mergeCell ref="AP2299:AP2300"/>
    <mergeCell ref="AD2291:AD2292"/>
    <mergeCell ref="AF2291:AF2292"/>
    <mergeCell ref="AG2291:AG2292"/>
    <mergeCell ref="AH2291:AH2292"/>
    <mergeCell ref="AI2291:AI2292"/>
    <mergeCell ref="AJ2291:AJ2292"/>
    <mergeCell ref="AK2291:AK2292"/>
    <mergeCell ref="AL2291:AL2292"/>
    <mergeCell ref="AM2291:AM2292"/>
    <mergeCell ref="AH2297:AH2298"/>
    <mergeCell ref="AL2277:AL2278"/>
    <mergeCell ref="E2328:E2329"/>
    <mergeCell ref="F2328:F2329"/>
    <mergeCell ref="J2328:J2329"/>
    <mergeCell ref="N2328:N2329"/>
    <mergeCell ref="Y2328:Y2329"/>
    <mergeCell ref="AA2328:AA2329"/>
    <mergeCell ref="AB2328:AB2329"/>
    <mergeCell ref="AC2328:AC2329"/>
    <mergeCell ref="AD2328:AD2329"/>
    <mergeCell ref="AF2328:AF2329"/>
    <mergeCell ref="AG2328:AG2329"/>
    <mergeCell ref="AH2328:AH2329"/>
    <mergeCell ref="AI2328:AI2329"/>
    <mergeCell ref="AJ2328:AJ2329"/>
    <mergeCell ref="AK2328:AK2329"/>
    <mergeCell ref="AL2328:AL2329"/>
    <mergeCell ref="AM2328:AM2329"/>
    <mergeCell ref="AO2328:AO2329"/>
    <mergeCell ref="AP2328:AP2329"/>
    <mergeCell ref="E2330:E2331"/>
    <mergeCell ref="F2330:F2331"/>
    <mergeCell ref="J2330:J2331"/>
    <mergeCell ref="N2330:N2331"/>
    <mergeCell ref="Y2330:Y2331"/>
    <mergeCell ref="J2353:J2354"/>
    <mergeCell ref="N2353:N2354"/>
    <mergeCell ref="Y2353:Y2354"/>
    <mergeCell ref="AL2347:AL2348"/>
    <mergeCell ref="AM2347:AM2348"/>
    <mergeCell ref="AO2347:AO2348"/>
    <mergeCell ref="AP2347:AP2348"/>
    <mergeCell ref="AK2353:AK2354"/>
    <mergeCell ref="AL2353:AL2354"/>
    <mergeCell ref="F2333:F2334"/>
    <mergeCell ref="AB2351:AB2352"/>
    <mergeCell ref="AC2351:AC2352"/>
    <mergeCell ref="AD2351:AD2352"/>
    <mergeCell ref="AF2351:AF2352"/>
    <mergeCell ref="AG2351:AG2352"/>
    <mergeCell ref="AH2351:AH2352"/>
    <mergeCell ref="AI2351:AI2352"/>
    <mergeCell ref="AJ2351:AJ2352"/>
    <mergeCell ref="AK2351:AK2352"/>
    <mergeCell ref="AL2351:AL2352"/>
    <mergeCell ref="AM2351:AM2352"/>
    <mergeCell ref="AO2351:AO2352"/>
    <mergeCell ref="AP2351:AP2352"/>
    <mergeCell ref="E2337:E2338"/>
    <mergeCell ref="F2337:F2338"/>
    <mergeCell ref="J2337:J2338"/>
    <mergeCell ref="N2337:N2338"/>
    <mergeCell ref="Y2337:Y2338"/>
    <mergeCell ref="AA2337:AA2338"/>
    <mergeCell ref="AB2337:AB2338"/>
    <mergeCell ref="AC2337:AC2338"/>
    <mergeCell ref="AD2337:AD2338"/>
    <mergeCell ref="AF2337:AF2338"/>
    <mergeCell ref="AG2337:AG2338"/>
    <mergeCell ref="AH2337:AH2338"/>
    <mergeCell ref="AI2337:AI2338"/>
    <mergeCell ref="AJ2337:AJ2338"/>
    <mergeCell ref="AK2337:AK2338"/>
    <mergeCell ref="AL2337:AL2338"/>
    <mergeCell ref="AM2337:AM2338"/>
    <mergeCell ref="AA2363:AA2364"/>
    <mergeCell ref="AB2363:AB2364"/>
    <mergeCell ref="AC2363:AC2364"/>
    <mergeCell ref="AD2363:AD2364"/>
    <mergeCell ref="AF2363:AF2364"/>
    <mergeCell ref="AG2363:AG2364"/>
    <mergeCell ref="AH2363:AH2364"/>
    <mergeCell ref="AI2363:AI2364"/>
    <mergeCell ref="AJ2363:AJ2364"/>
    <mergeCell ref="AK2363:AK2364"/>
    <mergeCell ref="AL2363:AL2364"/>
    <mergeCell ref="AM2363:AM2364"/>
    <mergeCell ref="AO2363:AO2364"/>
    <mergeCell ref="AP2363:AP2364"/>
    <mergeCell ref="AH2365:AH2366"/>
    <mergeCell ref="AI2365:AI2366"/>
    <mergeCell ref="AJ2365:AJ2366"/>
    <mergeCell ref="AK2365:AK2366"/>
    <mergeCell ref="AL2365:AL2366"/>
    <mergeCell ref="AM2365:AM2366"/>
    <mergeCell ref="AO2365:AO2366"/>
    <mergeCell ref="AP2365:AP2366"/>
    <mergeCell ref="E2369:E2370"/>
    <mergeCell ref="F2369:F2370"/>
    <mergeCell ref="J2369:J2370"/>
    <mergeCell ref="N2369:N2370"/>
    <mergeCell ref="Y2369:Y2370"/>
    <mergeCell ref="AA2369:AA2370"/>
    <mergeCell ref="AB2369:AB2370"/>
    <mergeCell ref="AC2369:AC2370"/>
    <mergeCell ref="AP2369:AP2370"/>
    <mergeCell ref="E2387:E2388"/>
    <mergeCell ref="AJ2419:AJ2420"/>
    <mergeCell ref="AM2407:AM2408"/>
    <mergeCell ref="AP2401:AP2402"/>
    <mergeCell ref="AL2413:AL2414"/>
    <mergeCell ref="AK2407:AK2408"/>
    <mergeCell ref="F2409:F2410"/>
    <mergeCell ref="F2415:F2416"/>
    <mergeCell ref="J2415:J2416"/>
    <mergeCell ref="AK2415:AK2416"/>
    <mergeCell ref="AD2405:AD2406"/>
    <mergeCell ref="AF2405:AF2406"/>
    <mergeCell ref="AF2381:AF2382"/>
    <mergeCell ref="AG2381:AG2382"/>
    <mergeCell ref="AH2381:AH2382"/>
    <mergeCell ref="AI2381:AI2382"/>
    <mergeCell ref="AK2381:AK2382"/>
    <mergeCell ref="AH2387:AH2388"/>
    <mergeCell ref="AI2387:AI2388"/>
    <mergeCell ref="AK2401:AK2402"/>
    <mergeCell ref="F2413:F2414"/>
    <mergeCell ref="J2381:J2382"/>
    <mergeCell ref="N2381:N2382"/>
    <mergeCell ref="J2387:J2388"/>
    <mergeCell ref="J2401:J2402"/>
    <mergeCell ref="E2367:E2368"/>
    <mergeCell ref="F2367:F2368"/>
    <mergeCell ref="E2395:E2396"/>
    <mergeCell ref="F2395:F2396"/>
    <mergeCell ref="J2395:J2396"/>
    <mergeCell ref="N2395:N2396"/>
    <mergeCell ref="Y2395:Y2396"/>
    <mergeCell ref="AA2395:AA2396"/>
    <mergeCell ref="AM2511:AM2512"/>
    <mergeCell ref="AO2511:AO2512"/>
    <mergeCell ref="AP2511:AP2512"/>
    <mergeCell ref="E2521:E2522"/>
    <mergeCell ref="F2521:F2522"/>
    <mergeCell ref="J2521:J2522"/>
    <mergeCell ref="N2521:N2522"/>
    <mergeCell ref="Y2521:Y2522"/>
    <mergeCell ref="AA2521:AA2522"/>
    <mergeCell ref="AB2521:AB2522"/>
    <mergeCell ref="AC2521:AC2522"/>
    <mergeCell ref="AD2521:AD2522"/>
    <mergeCell ref="AF2521:AF2522"/>
    <mergeCell ref="AG2521:AG2522"/>
    <mergeCell ref="AH2521:AH2522"/>
    <mergeCell ref="AI2521:AI2522"/>
    <mergeCell ref="AJ2521:AJ2522"/>
    <mergeCell ref="AK2521:AK2522"/>
    <mergeCell ref="AL2521:AL2522"/>
    <mergeCell ref="AM2521:AM2522"/>
    <mergeCell ref="AO2521:AO2522"/>
    <mergeCell ref="AP2521:AP2522"/>
    <mergeCell ref="E2441:E2442"/>
    <mergeCell ref="F2441:F2442"/>
    <mergeCell ref="J2441:J2442"/>
    <mergeCell ref="N2441:N2442"/>
    <mergeCell ref="Y2441:Y2442"/>
    <mergeCell ref="AA2441:AA2442"/>
    <mergeCell ref="AB2441:AB2442"/>
    <mergeCell ref="AC2441:AC2442"/>
    <mergeCell ref="AD2441:AD2442"/>
    <mergeCell ref="AF2441:AF2442"/>
    <mergeCell ref="AG2441:AG2442"/>
    <mergeCell ref="AH2441:AH2442"/>
    <mergeCell ref="AI2441:AI2442"/>
    <mergeCell ref="AJ2441:AJ2442"/>
    <mergeCell ref="AK2441:AK2442"/>
    <mergeCell ref="AL2441:AL2442"/>
    <mergeCell ref="AM2441:AM2442"/>
    <mergeCell ref="AO2441:AO2442"/>
    <mergeCell ref="AP2441:AP2442"/>
    <mergeCell ref="AJ2513:AJ2514"/>
    <mergeCell ref="AM2513:AM2514"/>
    <mergeCell ref="AP2513:AP2514"/>
    <mergeCell ref="J2465:J2466"/>
    <mergeCell ref="AF2457:AF2458"/>
    <mergeCell ref="E2457:E2458"/>
    <mergeCell ref="F2457:F2458"/>
    <mergeCell ref="J2457:J2458"/>
    <mergeCell ref="AI2453:AI2454"/>
    <mergeCell ref="AK2453:AK2454"/>
    <mergeCell ref="AL2453:AL2454"/>
    <mergeCell ref="AF2451:AF2452"/>
    <mergeCell ref="AL2493:AL2494"/>
    <mergeCell ref="AO2495:AO2496"/>
    <mergeCell ref="AP2503:AP2504"/>
    <mergeCell ref="AM2495:AM2496"/>
    <mergeCell ref="AP2467:AP2468"/>
    <mergeCell ref="AK2513:AK2514"/>
    <mergeCell ref="AM2445:AM2446"/>
    <mergeCell ref="AO2445:AO2446"/>
    <mergeCell ref="AH2493:AH2494"/>
    <mergeCell ref="AI2493:AI2494"/>
    <mergeCell ref="AO2513:AO2514"/>
    <mergeCell ref="AP2435:AP2436"/>
    <mergeCell ref="AL2427:AL2428"/>
    <mergeCell ref="AM2427:AM2428"/>
    <mergeCell ref="AM2423:AM2424"/>
    <mergeCell ref="AP2423:AP2424"/>
    <mergeCell ref="AP2431:AP2432"/>
    <mergeCell ref="AP2417:AP2418"/>
    <mergeCell ref="AM2419:AM2420"/>
    <mergeCell ref="AP2419:AP2420"/>
    <mergeCell ref="AF2515:AF2516"/>
    <mergeCell ref="AG2515:AG2516"/>
    <mergeCell ref="AH2515:AH2516"/>
    <mergeCell ref="AI2515:AI2516"/>
    <mergeCell ref="E2501:E2502"/>
    <mergeCell ref="E2511:E2512"/>
    <mergeCell ref="F2511:F2512"/>
    <mergeCell ref="J2511:J2512"/>
    <mergeCell ref="N2511:N2512"/>
    <mergeCell ref="Y2511:Y2512"/>
    <mergeCell ref="AI2589:AI2590"/>
    <mergeCell ref="AJ2589:AJ2590"/>
    <mergeCell ref="AK2589:AK2590"/>
    <mergeCell ref="AL2589:AL2590"/>
    <mergeCell ref="AM2589:AM2590"/>
    <mergeCell ref="AO2589:AO2590"/>
    <mergeCell ref="AP2589:AP2590"/>
    <mergeCell ref="E2593:E2594"/>
    <mergeCell ref="F2593:F2594"/>
    <mergeCell ref="J2593:J2594"/>
    <mergeCell ref="N2593:N2594"/>
    <mergeCell ref="Y2593:Y2594"/>
    <mergeCell ref="AA2593:AA2594"/>
    <mergeCell ref="AB2593:AB2594"/>
    <mergeCell ref="AC2593:AC2594"/>
    <mergeCell ref="AD2593:AD2594"/>
    <mergeCell ref="AF2593:AF2594"/>
    <mergeCell ref="AG2593:AG2594"/>
    <mergeCell ref="AH2593:AH2594"/>
    <mergeCell ref="AI2593:AI2594"/>
    <mergeCell ref="AJ2593:AJ2594"/>
    <mergeCell ref="AK2593:AK2594"/>
    <mergeCell ref="AL2593:AL2594"/>
    <mergeCell ref="AM2593:AM2594"/>
    <mergeCell ref="AO2593:AO2594"/>
    <mergeCell ref="AP2593:AP2594"/>
    <mergeCell ref="AP2587:AP2588"/>
    <mergeCell ref="E2589:E2590"/>
    <mergeCell ref="F2589:F2590"/>
    <mergeCell ref="J2589:J2590"/>
    <mergeCell ref="N2589:N2590"/>
    <mergeCell ref="Y2589:Y2590"/>
    <mergeCell ref="AA2589:AA2590"/>
    <mergeCell ref="AB2589:AB2590"/>
    <mergeCell ref="AC2589:AC2590"/>
    <mergeCell ref="AD2589:AD2590"/>
    <mergeCell ref="AF2589:AF2590"/>
    <mergeCell ref="AG2589:AG2590"/>
    <mergeCell ref="AH2589:AH2590"/>
    <mergeCell ref="AJ2515:AJ2516"/>
    <mergeCell ref="AK2515:AK2516"/>
    <mergeCell ref="AL2515:AL2516"/>
    <mergeCell ref="AM2515:AM2516"/>
    <mergeCell ref="AO2515:AO2516"/>
    <mergeCell ref="AP2515:AP2516"/>
    <mergeCell ref="AK2623:AK2624"/>
    <mergeCell ref="AL2623:AL2624"/>
    <mergeCell ref="AM2623:AM2624"/>
    <mergeCell ref="AO2623:AO2624"/>
    <mergeCell ref="AP2623:AP2624"/>
    <mergeCell ref="AO2617:AO2618"/>
    <mergeCell ref="AP2629:AP2630"/>
    <mergeCell ref="F2611:F2612"/>
    <mergeCell ref="AF2611:AF2612"/>
    <mergeCell ref="AG2611:AG2612"/>
    <mergeCell ref="AH2611:AH2612"/>
    <mergeCell ref="AM2625:AM2626"/>
    <mergeCell ref="AO2625:AO2626"/>
    <mergeCell ref="AL2641:AL2642"/>
    <mergeCell ref="AM2641:AM2642"/>
    <mergeCell ref="AO2641:AO2642"/>
    <mergeCell ref="AP2641:AP2642"/>
    <mergeCell ref="AO2547:AO2548"/>
    <mergeCell ref="AP2547:AP2548"/>
    <mergeCell ref="AM2541:AM2542"/>
    <mergeCell ref="AO2541:AO2542"/>
    <mergeCell ref="AP2541:AP2542"/>
    <mergeCell ref="AP2523:AP2524"/>
    <mergeCell ref="AF2513:AF2514"/>
    <mergeCell ref="N2523:N2524"/>
    <mergeCell ref="Y2523:Y2524"/>
    <mergeCell ref="AM2523:AM2524"/>
    <mergeCell ref="AK2523:AK2524"/>
    <mergeCell ref="AL2523:AL2524"/>
    <mergeCell ref="AP2531:AP2532"/>
    <mergeCell ref="Y2539:Y2540"/>
    <mergeCell ref="AO2523:AO2524"/>
    <mergeCell ref="AP2625:AP2626"/>
    <mergeCell ref="AG2531:AG2532"/>
    <mergeCell ref="AP2631:AP2632"/>
    <mergeCell ref="AI2633:AI2634"/>
    <mergeCell ref="AJ2633:AJ2634"/>
    <mergeCell ref="AK2633:AK2634"/>
    <mergeCell ref="AL2633:AL2634"/>
    <mergeCell ref="AI2635:AI2636"/>
    <mergeCell ref="AJ2635:AJ2636"/>
    <mergeCell ref="AK2635:AK2636"/>
    <mergeCell ref="AL2635:AL2636"/>
    <mergeCell ref="AM2635:AM2636"/>
    <mergeCell ref="AO2635:AO2636"/>
    <mergeCell ref="AP2635:AP2636"/>
    <mergeCell ref="AP2605:AP2606"/>
    <mergeCell ref="AJ2615:AJ2616"/>
    <mergeCell ref="AK2615:AK2616"/>
    <mergeCell ref="AL2615:AL2616"/>
    <mergeCell ref="AM2615:AM2616"/>
    <mergeCell ref="AI2631:AI2632"/>
    <mergeCell ref="AJ2631:AJ2632"/>
    <mergeCell ref="AK2631:AK2632"/>
    <mergeCell ref="F2575:F2576"/>
    <mergeCell ref="J2575:J2576"/>
    <mergeCell ref="N2575:N2576"/>
    <mergeCell ref="Y2575:Y2576"/>
    <mergeCell ref="AA2575:AA2576"/>
    <mergeCell ref="AB2575:AB2576"/>
    <mergeCell ref="AC2575:AC2576"/>
    <mergeCell ref="AD2575:AD2576"/>
    <mergeCell ref="AF2575:AF2576"/>
    <mergeCell ref="AG2575:AG2576"/>
    <mergeCell ref="E2611:E2612"/>
    <mergeCell ref="E2659:E2660"/>
    <mergeCell ref="F2659:F2660"/>
    <mergeCell ref="J2659:J2660"/>
    <mergeCell ref="N2659:N2660"/>
    <mergeCell ref="Y2659:Y2660"/>
    <mergeCell ref="AA2659:AA2660"/>
    <mergeCell ref="AB2659:AB2660"/>
    <mergeCell ref="AC2659:AC2660"/>
    <mergeCell ref="AD2659:AD2660"/>
    <mergeCell ref="AF2659:AF2660"/>
    <mergeCell ref="AG2659:AG2660"/>
    <mergeCell ref="AH2659:AH2660"/>
    <mergeCell ref="AI2659:AI2660"/>
    <mergeCell ref="AJ2659:AJ2660"/>
    <mergeCell ref="AK2659:AK2660"/>
    <mergeCell ref="AL2659:AL2660"/>
    <mergeCell ref="AM2659:AM2660"/>
    <mergeCell ref="AO2659:AO2660"/>
    <mergeCell ref="AP2659:AP2660"/>
    <mergeCell ref="E2661:E2662"/>
    <mergeCell ref="F2661:F2662"/>
    <mergeCell ref="J2661:J2662"/>
    <mergeCell ref="N2661:N2662"/>
    <mergeCell ref="Y2661:Y2662"/>
    <mergeCell ref="AA2661:AA2662"/>
    <mergeCell ref="AB2661:AB2662"/>
    <mergeCell ref="AC2661:AC2662"/>
    <mergeCell ref="AD2661:AD2662"/>
    <mergeCell ref="AF2661:AF2662"/>
    <mergeCell ref="AG2661:AG2662"/>
    <mergeCell ref="AH2661:AH2662"/>
    <mergeCell ref="AI2661:AI2662"/>
    <mergeCell ref="AJ2661:AJ2662"/>
    <mergeCell ref="AK2661:AK2662"/>
    <mergeCell ref="AL2661:AL2662"/>
    <mergeCell ref="AM2661:AM2662"/>
    <mergeCell ref="AO2661:AO2662"/>
    <mergeCell ref="AP2661:AP2662"/>
    <mergeCell ref="N2657:N2658"/>
    <mergeCell ref="Y2657:Y2658"/>
    <mergeCell ref="AA2657:AA2658"/>
    <mergeCell ref="AB2657:AB2658"/>
    <mergeCell ref="AC2657:AC2658"/>
    <mergeCell ref="AD2657:AD2658"/>
    <mergeCell ref="AF2657:AF2658"/>
    <mergeCell ref="AG2657:AG2658"/>
    <mergeCell ref="AH2657:AH2658"/>
    <mergeCell ref="AI2657:AI2658"/>
    <mergeCell ref="AJ2657:AJ2658"/>
    <mergeCell ref="AK2657:AK2658"/>
    <mergeCell ref="AL2657:AL2658"/>
    <mergeCell ref="AM2657:AM2658"/>
    <mergeCell ref="AO2657:AO2658"/>
    <mergeCell ref="AP2657:AP2658"/>
    <mergeCell ref="E2651:E2652"/>
    <mergeCell ref="F2651:F2652"/>
    <mergeCell ref="J2651:J2652"/>
    <mergeCell ref="N2651:N2652"/>
    <mergeCell ref="Y2651:Y2652"/>
    <mergeCell ref="AA2651:AA2652"/>
    <mergeCell ref="AB2651:AB2652"/>
    <mergeCell ref="AC2651:AC2652"/>
    <mergeCell ref="AD2651:AD2652"/>
    <mergeCell ref="E2724:E2725"/>
    <mergeCell ref="F2724:F2725"/>
    <mergeCell ref="E2734:E2735"/>
    <mergeCell ref="F2734:F2735"/>
    <mergeCell ref="AI2732:AI2733"/>
    <mergeCell ref="E2798:E2799"/>
    <mergeCell ref="F2798:F2799"/>
    <mergeCell ref="J2798:J2799"/>
    <mergeCell ref="N2798:N2799"/>
    <mergeCell ref="Y2798:Y2799"/>
    <mergeCell ref="AA2798:AA2799"/>
    <mergeCell ref="AB2798:AB2799"/>
    <mergeCell ref="AC2798:AC2799"/>
    <mergeCell ref="AD2798:AD2799"/>
    <mergeCell ref="AF2798:AF2799"/>
    <mergeCell ref="AG2798:AG2799"/>
    <mergeCell ref="AH2798:AH2799"/>
    <mergeCell ref="AI2798:AI2799"/>
    <mergeCell ref="AJ2798:AJ2799"/>
    <mergeCell ref="AK2798:AK2799"/>
    <mergeCell ref="AL2798:AL2799"/>
    <mergeCell ref="AM2798:AM2799"/>
    <mergeCell ref="AO2798:AO2799"/>
    <mergeCell ref="AP2798:AP2799"/>
    <mergeCell ref="AP2792:AP2793"/>
    <mergeCell ref="E2784:E2785"/>
    <mergeCell ref="F2784:F2785"/>
    <mergeCell ref="J2784:J2785"/>
    <mergeCell ref="N2784:N2785"/>
    <mergeCell ref="Y2784:Y2785"/>
    <mergeCell ref="AA2784:AA2785"/>
    <mergeCell ref="AB2784:AB2785"/>
    <mergeCell ref="AC2784:AC2785"/>
    <mergeCell ref="AD2784:AD2785"/>
    <mergeCell ref="AF2784:AF2785"/>
    <mergeCell ref="AG2784:AG2785"/>
    <mergeCell ref="AH2784:AH2785"/>
    <mergeCell ref="AI2784:AI2785"/>
    <mergeCell ref="AJ2784:AJ2785"/>
    <mergeCell ref="AK2784:AK2785"/>
    <mergeCell ref="AL2784:AL2785"/>
    <mergeCell ref="AJ2790:AJ2791"/>
    <mergeCell ref="AK2790:AK2791"/>
    <mergeCell ref="AP2788:AP2789"/>
    <mergeCell ref="E2790:E2791"/>
    <mergeCell ref="AM2790:AM2791"/>
    <mergeCell ref="AP2790:AP2791"/>
    <mergeCell ref="AF2748:AF2749"/>
    <mergeCell ref="AG2748:AG2749"/>
    <mergeCell ref="AH2748:AH2749"/>
    <mergeCell ref="AI2748:AI2749"/>
    <mergeCell ref="AM2758:AM2759"/>
    <mergeCell ref="AP2758:AP2759"/>
    <mergeCell ref="AM2764:AM2765"/>
    <mergeCell ref="AP2764:AP2765"/>
    <mergeCell ref="AM2766:AM2767"/>
    <mergeCell ref="AP2766:AP2767"/>
    <mergeCell ref="AM2768:AM2769"/>
    <mergeCell ref="AP2768:AP2769"/>
    <mergeCell ref="J2770:J2771"/>
    <mergeCell ref="N2770:N2771"/>
    <mergeCell ref="Y2770:Y2771"/>
    <mergeCell ref="AA2770:AA2771"/>
    <mergeCell ref="AB2770:AB2771"/>
    <mergeCell ref="E2832:E2833"/>
    <mergeCell ref="F2832:F2833"/>
    <mergeCell ref="J2832:J2833"/>
    <mergeCell ref="N2832:N2833"/>
    <mergeCell ref="AC2820:AC2821"/>
    <mergeCell ref="AD2820:AD2821"/>
    <mergeCell ref="AF2820:AF2821"/>
    <mergeCell ref="E2840:E2841"/>
    <mergeCell ref="F2840:F2841"/>
    <mergeCell ref="J2840:J2841"/>
    <mergeCell ref="N2840:N2841"/>
    <mergeCell ref="Y2840:Y2841"/>
    <mergeCell ref="AA2840:AA2841"/>
    <mergeCell ref="AB2840:AB2841"/>
    <mergeCell ref="AC2840:AC2841"/>
    <mergeCell ref="AD2840:AD2841"/>
    <mergeCell ref="AF2840:AF2841"/>
    <mergeCell ref="AG2840:AG2841"/>
    <mergeCell ref="AH2840:AH2841"/>
    <mergeCell ref="AI2840:AI2841"/>
    <mergeCell ref="AJ2840:AJ2841"/>
    <mergeCell ref="AK2840:AK2841"/>
    <mergeCell ref="AL2840:AL2841"/>
    <mergeCell ref="AM2840:AM2841"/>
    <mergeCell ref="AO2840:AO2841"/>
    <mergeCell ref="AP2840:AP2841"/>
    <mergeCell ref="AP2822:AP2823"/>
    <mergeCell ref="AI2824:AI2825"/>
    <mergeCell ref="AJ2824:AJ2825"/>
    <mergeCell ref="AK2832:AK2833"/>
    <mergeCell ref="AK2830:AK2831"/>
    <mergeCell ref="AL2830:AL2831"/>
    <mergeCell ref="AA2824:AA2825"/>
    <mergeCell ref="AB2824:AB2825"/>
    <mergeCell ref="AJ2828:AJ2829"/>
    <mergeCell ref="AK2828:AK2829"/>
    <mergeCell ref="AL2828:AL2829"/>
    <mergeCell ref="AI2820:AI2821"/>
    <mergeCell ref="AJ2820:AJ2821"/>
    <mergeCell ref="AG2826:AG2827"/>
    <mergeCell ref="AH2826:AH2827"/>
    <mergeCell ref="N2838:N2839"/>
    <mergeCell ref="Y2838:Y2839"/>
    <mergeCell ref="N2824:N2825"/>
    <mergeCell ref="N2830:N2831"/>
    <mergeCell ref="E2828:E2829"/>
    <mergeCell ref="F2828:F2829"/>
    <mergeCell ref="J2828:J2829"/>
    <mergeCell ref="N2828:N2829"/>
    <mergeCell ref="Y2828:Y2829"/>
    <mergeCell ref="AA2828:AA2829"/>
    <mergeCell ref="AB2828:AB2829"/>
    <mergeCell ref="AC2828:AC2829"/>
    <mergeCell ref="AD2828:AD2829"/>
    <mergeCell ref="AF2828:AF2829"/>
    <mergeCell ref="AG2828:AG2829"/>
    <mergeCell ref="AH2828:AH2829"/>
    <mergeCell ref="AI2828:AI2829"/>
    <mergeCell ref="AL2944:AL2945"/>
    <mergeCell ref="AM2944:AM2945"/>
    <mergeCell ref="AO2944:AO2945"/>
    <mergeCell ref="AP2944:AP2945"/>
    <mergeCell ref="AM2938:AM2939"/>
    <mergeCell ref="AO2938:AO2939"/>
    <mergeCell ref="AP2938:AP2939"/>
    <mergeCell ref="AK2902:AK2903"/>
    <mergeCell ref="AI2900:AI2901"/>
    <mergeCell ref="AJ2900:AJ2901"/>
    <mergeCell ref="AB2908:AB2909"/>
    <mergeCell ref="AM2852:AM2853"/>
    <mergeCell ref="AP2852:AP2853"/>
    <mergeCell ref="AM2856:AM2857"/>
    <mergeCell ref="AP2856:AP2857"/>
    <mergeCell ref="AP2940:AP2941"/>
    <mergeCell ref="AM2942:AM2943"/>
    <mergeCell ref="AP2942:AP2943"/>
    <mergeCell ref="AP2920:AP2921"/>
    <mergeCell ref="AM2922:AM2923"/>
    <mergeCell ref="AP2922:AP2923"/>
    <mergeCell ref="AP2908:AP2909"/>
    <mergeCell ref="AM2910:AM2911"/>
    <mergeCell ref="E3048:E3049"/>
    <mergeCell ref="F3048:F3049"/>
    <mergeCell ref="J3048:J3049"/>
    <mergeCell ref="N3048:N3049"/>
    <mergeCell ref="Y3048:Y3049"/>
    <mergeCell ref="AA3048:AA3049"/>
    <mergeCell ref="AB3048:AB3049"/>
    <mergeCell ref="AC3048:AC3049"/>
    <mergeCell ref="AD3048:AD3049"/>
    <mergeCell ref="AF3048:AF3049"/>
    <mergeCell ref="AG3048:AG3049"/>
    <mergeCell ref="AH3048:AH3049"/>
    <mergeCell ref="AI3048:AI3049"/>
    <mergeCell ref="AJ3048:AJ3049"/>
    <mergeCell ref="AK3048:AK3049"/>
    <mergeCell ref="AL3048:AL3049"/>
    <mergeCell ref="AM3048:AM3049"/>
    <mergeCell ref="AO3048:AO3049"/>
    <mergeCell ref="AP3048:AP3049"/>
    <mergeCell ref="E3032:E3033"/>
    <mergeCell ref="F3032:F3033"/>
    <mergeCell ref="J3032:J3033"/>
    <mergeCell ref="AB3032:AB3033"/>
    <mergeCell ref="AC3032:AC3033"/>
    <mergeCell ref="E3042:E3043"/>
    <mergeCell ref="AJ3042:AJ3043"/>
    <mergeCell ref="AK3042:AK3043"/>
    <mergeCell ref="AL3042:AL3043"/>
    <mergeCell ref="AM3042:AM3043"/>
    <mergeCell ref="AO3042:AO3043"/>
    <mergeCell ref="AP3042:AP3043"/>
    <mergeCell ref="AP3034:AP3035"/>
    <mergeCell ref="AK2900:AK2901"/>
    <mergeCell ref="AL2900:AL2901"/>
    <mergeCell ref="AK2888:AK2889"/>
    <mergeCell ref="AI2920:AI2921"/>
    <mergeCell ref="AP3044:AP3045"/>
    <mergeCell ref="AB3034:AB3035"/>
    <mergeCell ref="AC3034:AC3035"/>
    <mergeCell ref="AD3034:AD3035"/>
    <mergeCell ref="AF3034:AF3035"/>
    <mergeCell ref="AP3050:AP3051"/>
    <mergeCell ref="E3052:E3053"/>
    <mergeCell ref="F3052:F3053"/>
    <mergeCell ref="J3052:J3053"/>
    <mergeCell ref="N3052:N3053"/>
    <mergeCell ref="Y3052:Y3053"/>
    <mergeCell ref="AA3052:AA3053"/>
    <mergeCell ref="AB3052:AB3053"/>
    <mergeCell ref="AC3052:AC3053"/>
    <mergeCell ref="AD3052:AD3053"/>
    <mergeCell ref="AF3052:AF3053"/>
    <mergeCell ref="AG3052:AG3053"/>
    <mergeCell ref="AH3052:AH3053"/>
    <mergeCell ref="AI3052:AI3053"/>
    <mergeCell ref="AJ3052:AJ3053"/>
    <mergeCell ref="AK3052:AK3053"/>
    <mergeCell ref="AL3052:AL3053"/>
    <mergeCell ref="AM3052:AM3053"/>
    <mergeCell ref="AO3052:AO3053"/>
    <mergeCell ref="AP3052:AP3053"/>
    <mergeCell ref="E3085:E3086"/>
    <mergeCell ref="F3085:F3086"/>
    <mergeCell ref="J3085:J3086"/>
    <mergeCell ref="N3085:N3086"/>
    <mergeCell ref="Y3085:Y3086"/>
    <mergeCell ref="AA3085:AA3086"/>
    <mergeCell ref="AB3085:AB3086"/>
    <mergeCell ref="AC3085:AC3086"/>
    <mergeCell ref="AD3085:AD3086"/>
    <mergeCell ref="AF3085:AF3086"/>
    <mergeCell ref="AG3085:AG3086"/>
    <mergeCell ref="AH3085:AH3086"/>
    <mergeCell ref="AI3085:AI3086"/>
    <mergeCell ref="AJ3085:AJ3086"/>
    <mergeCell ref="AK3085:AK3086"/>
    <mergeCell ref="AL3085:AL3086"/>
    <mergeCell ref="AM3085:AM3086"/>
    <mergeCell ref="AO3085:AO3086"/>
    <mergeCell ref="AP3085:AP3086"/>
    <mergeCell ref="E3079:E3080"/>
    <mergeCell ref="F3079:F3080"/>
    <mergeCell ref="J3079:J3080"/>
    <mergeCell ref="N3079:N3080"/>
    <mergeCell ref="Y3079:Y3080"/>
    <mergeCell ref="AA3079:AA3080"/>
    <mergeCell ref="AB3079:AB3080"/>
    <mergeCell ref="AC3079:AC3080"/>
    <mergeCell ref="AD3079:AD3080"/>
    <mergeCell ref="AF3079:AF3080"/>
    <mergeCell ref="AG3079:AG3080"/>
    <mergeCell ref="AH3079:AH3080"/>
    <mergeCell ref="AI3079:AI3080"/>
    <mergeCell ref="AK3063:AK3064"/>
    <mergeCell ref="F3069:F3070"/>
    <mergeCell ref="AM3063:AM3064"/>
    <mergeCell ref="AP3063:AP3064"/>
    <mergeCell ref="AM3067:AM3068"/>
    <mergeCell ref="AP3067:AP3068"/>
    <mergeCell ref="AH3065:AH3066"/>
    <mergeCell ref="AI3065:AI3066"/>
    <mergeCell ref="AJ3065:AJ3066"/>
    <mergeCell ref="AK3065:AK3066"/>
    <mergeCell ref="AL3065:AL3066"/>
    <mergeCell ref="AM3065:AM3066"/>
    <mergeCell ref="AK3195:AK3196"/>
    <mergeCell ref="AL3195:AL3196"/>
    <mergeCell ref="AM3195:AM3196"/>
    <mergeCell ref="AO3195:AO3196"/>
    <mergeCell ref="AP3195:AP3196"/>
    <mergeCell ref="E3195:E3196"/>
    <mergeCell ref="F3195:F3196"/>
    <mergeCell ref="J3236:J3237"/>
    <mergeCell ref="N3236:N3237"/>
    <mergeCell ref="Y3236:Y3237"/>
    <mergeCell ref="AA3236:AA3237"/>
    <mergeCell ref="AB3236:AB3237"/>
    <mergeCell ref="AC3236:AC3237"/>
    <mergeCell ref="AD3236:AD3237"/>
    <mergeCell ref="AF3236:AF3237"/>
    <mergeCell ref="AG3236:AG3237"/>
    <mergeCell ref="AH3236:AH3237"/>
    <mergeCell ref="AI3236:AI3237"/>
    <mergeCell ref="AJ3236:AJ3237"/>
    <mergeCell ref="AK3236:AK3237"/>
    <mergeCell ref="AL3236:AL3237"/>
    <mergeCell ref="AM3236:AM3237"/>
    <mergeCell ref="AO3236:AO3237"/>
    <mergeCell ref="AP3236:AP3237"/>
    <mergeCell ref="AL3207:AL3208"/>
    <mergeCell ref="AM3207:AM3208"/>
    <mergeCell ref="AO3207:AO3208"/>
    <mergeCell ref="AP3207:AP3208"/>
    <mergeCell ref="E3230:E3231"/>
    <mergeCell ref="F3230:F3231"/>
    <mergeCell ref="J3230:J3231"/>
    <mergeCell ref="N3230:N3231"/>
    <mergeCell ref="Y3230:Y3231"/>
    <mergeCell ref="AA3230:AA3231"/>
    <mergeCell ref="AB3230:AB3231"/>
    <mergeCell ref="AC3230:AC3231"/>
    <mergeCell ref="AD3230:AD3231"/>
    <mergeCell ref="AF3230:AF3231"/>
    <mergeCell ref="AG3230:AG3231"/>
    <mergeCell ref="AH3230:AH3231"/>
    <mergeCell ref="AI3230:AI3231"/>
    <mergeCell ref="AJ3230:AJ3231"/>
    <mergeCell ref="AL3211:AL3212"/>
    <mergeCell ref="AM3211:AM3212"/>
    <mergeCell ref="AO3211:AO3212"/>
    <mergeCell ref="AP3211:AP3212"/>
    <mergeCell ref="AL3203:AL3204"/>
    <mergeCell ref="AM3203:AM3204"/>
    <mergeCell ref="AO3203:AO3204"/>
    <mergeCell ref="E3205:E3206"/>
    <mergeCell ref="F3205:F3206"/>
    <mergeCell ref="J3205:J3206"/>
    <mergeCell ref="N3205:N3206"/>
    <mergeCell ref="Y3205:Y3206"/>
    <mergeCell ref="AA3205:AA3206"/>
    <mergeCell ref="AB3205:AB3206"/>
    <mergeCell ref="AC3205:AC3206"/>
    <mergeCell ref="AD3205:AD3206"/>
    <mergeCell ref="AF3205:AF3206"/>
    <mergeCell ref="AG3205:AG3206"/>
    <mergeCell ref="AH3205:AH3206"/>
    <mergeCell ref="AI3205:AI3206"/>
    <mergeCell ref="E3215:E3216"/>
    <mergeCell ref="F3215:F3216"/>
    <mergeCell ref="AH3258:AH3259"/>
    <mergeCell ref="AI3258:AI3259"/>
    <mergeCell ref="AJ3258:AJ3259"/>
    <mergeCell ref="AK3258:AK3259"/>
    <mergeCell ref="AL3258:AL3259"/>
    <mergeCell ref="AM3258:AM3259"/>
    <mergeCell ref="AO3258:AO3259"/>
    <mergeCell ref="AP3258:AP3259"/>
    <mergeCell ref="E3260:E3261"/>
    <mergeCell ref="F3260:F3261"/>
    <mergeCell ref="J3260:J3261"/>
    <mergeCell ref="N3260:N3261"/>
    <mergeCell ref="Y3260:Y3261"/>
    <mergeCell ref="AA3260:AA3261"/>
    <mergeCell ref="AB3260:AB3261"/>
    <mergeCell ref="AC3260:AC3261"/>
    <mergeCell ref="AD3260:AD3261"/>
    <mergeCell ref="AF3260:AF3261"/>
    <mergeCell ref="AG3260:AG3261"/>
    <mergeCell ref="AH3260:AH3261"/>
    <mergeCell ref="AI3260:AI3261"/>
    <mergeCell ref="AJ3260:AJ3261"/>
    <mergeCell ref="AP3260:AP3261"/>
    <mergeCell ref="AL3199:AL3200"/>
    <mergeCell ref="AM3199:AM3200"/>
    <mergeCell ref="AO3199:AO3200"/>
    <mergeCell ref="AP3199:AP3200"/>
    <mergeCell ref="E3201:E3202"/>
    <mergeCell ref="F3201:F3202"/>
    <mergeCell ref="J3201:J3202"/>
    <mergeCell ref="AB3197:AB3198"/>
    <mergeCell ref="AF3197:AF3198"/>
    <mergeCell ref="AG3197:AG3198"/>
    <mergeCell ref="AH3197:AH3198"/>
    <mergeCell ref="AI3197:AI3198"/>
    <mergeCell ref="AJ3197:AJ3198"/>
    <mergeCell ref="AP3197:AP3198"/>
    <mergeCell ref="E3199:E3200"/>
    <mergeCell ref="F3199:F3200"/>
    <mergeCell ref="J3199:J3200"/>
    <mergeCell ref="N3199:N3200"/>
    <mergeCell ref="J3215:J3216"/>
    <mergeCell ref="N3215:N3216"/>
    <mergeCell ref="Y3215:Y3216"/>
    <mergeCell ref="AA3215:AA3216"/>
    <mergeCell ref="AB3215:AB3216"/>
    <mergeCell ref="AC3215:AC3216"/>
    <mergeCell ref="AD3215:AD3216"/>
    <mergeCell ref="AF3215:AF3216"/>
    <mergeCell ref="AG3215:AG3216"/>
    <mergeCell ref="AH3215:AH3216"/>
    <mergeCell ref="AI3215:AI3216"/>
    <mergeCell ref="AJ3215:AJ3216"/>
    <mergeCell ref="AK3215:AK3216"/>
    <mergeCell ref="E3203:E3204"/>
    <mergeCell ref="F3203:F3204"/>
    <mergeCell ref="J3203:J3204"/>
    <mergeCell ref="N3203:N3204"/>
    <mergeCell ref="E3207:E3208"/>
    <mergeCell ref="F3207:F3208"/>
    <mergeCell ref="J3207:J3208"/>
    <mergeCell ref="N3207:N3208"/>
    <mergeCell ref="Y3207:Y3208"/>
    <mergeCell ref="AA3207:AA3208"/>
    <mergeCell ref="AP3285:AP3286"/>
    <mergeCell ref="Y3283:Y3284"/>
    <mergeCell ref="AA3283:AA3284"/>
    <mergeCell ref="AB3283:AB3284"/>
    <mergeCell ref="E3291:E3292"/>
    <mergeCell ref="F3291:F3292"/>
    <mergeCell ref="J3291:J3292"/>
    <mergeCell ref="N3291:N3292"/>
    <mergeCell ref="Y3291:Y3292"/>
    <mergeCell ref="AA3291:AA3292"/>
    <mergeCell ref="AH3291:AH3292"/>
    <mergeCell ref="AI3291:AI3292"/>
    <mergeCell ref="AJ3291:AJ3292"/>
    <mergeCell ref="AK3291:AK3292"/>
    <mergeCell ref="AL3291:AL3292"/>
    <mergeCell ref="AM3291:AM3292"/>
    <mergeCell ref="AO3291:AO3292"/>
    <mergeCell ref="AP3291:AP3292"/>
    <mergeCell ref="E3289:E3290"/>
    <mergeCell ref="F3289:F3290"/>
    <mergeCell ref="J3289:J3290"/>
    <mergeCell ref="N3289:N3290"/>
    <mergeCell ref="Y3289:Y3290"/>
    <mergeCell ref="AA3289:AA3290"/>
    <mergeCell ref="AB3289:AB3290"/>
    <mergeCell ref="AC3289:AC3290"/>
    <mergeCell ref="AD3289:AD3290"/>
    <mergeCell ref="AC3262:AC3263"/>
    <mergeCell ref="AD3262:AD3263"/>
    <mergeCell ref="AF3262:AF3263"/>
    <mergeCell ref="AG3262:AG3263"/>
    <mergeCell ref="AH3262:AH3263"/>
    <mergeCell ref="AI3262:AI3263"/>
    <mergeCell ref="AJ3262:AJ3263"/>
    <mergeCell ref="AK3262:AK3263"/>
    <mergeCell ref="AL3262:AL3263"/>
    <mergeCell ref="AM3262:AM3263"/>
    <mergeCell ref="AO3262:AO3263"/>
    <mergeCell ref="AP3262:AP3263"/>
    <mergeCell ref="AG3291:AG3292"/>
    <mergeCell ref="E3264:E3265"/>
    <mergeCell ref="F3264:F3265"/>
    <mergeCell ref="J3264:J3265"/>
    <mergeCell ref="N3264:N3265"/>
    <mergeCell ref="Y3264:Y3265"/>
    <mergeCell ref="AA3264:AA3265"/>
    <mergeCell ref="AB3264:AB3265"/>
    <mergeCell ref="AC3264:AC3265"/>
    <mergeCell ref="AP3264:AP3265"/>
    <mergeCell ref="AF3289:AF3290"/>
    <mergeCell ref="AG3289:AG3290"/>
    <mergeCell ref="AH3289:AH3290"/>
    <mergeCell ref="AH3285:AH3286"/>
    <mergeCell ref="AI3285:AI3286"/>
    <mergeCell ref="AJ3285:AJ3286"/>
    <mergeCell ref="AK3285:AK3286"/>
    <mergeCell ref="AI3289:AI3290"/>
    <mergeCell ref="AJ3289:AJ3290"/>
    <mergeCell ref="AK3289:AK3290"/>
    <mergeCell ref="AL3289:AL3290"/>
    <mergeCell ref="AM3289:AM3290"/>
    <mergeCell ref="AO3289:AO3290"/>
    <mergeCell ref="AP3289:AP3290"/>
    <mergeCell ref="AC3266:AC3267"/>
    <mergeCell ref="E3319:E3320"/>
    <mergeCell ref="F3319:F3320"/>
    <mergeCell ref="J3319:J3320"/>
    <mergeCell ref="N3319:N3320"/>
    <mergeCell ref="E3337:E3338"/>
    <mergeCell ref="F3337:F3338"/>
    <mergeCell ref="J3337:J3338"/>
    <mergeCell ref="N3337:N3338"/>
    <mergeCell ref="Y3337:Y3338"/>
    <mergeCell ref="AP3337:AP3338"/>
    <mergeCell ref="E3339:E3340"/>
    <mergeCell ref="F3339:F3340"/>
    <mergeCell ref="J3339:J3340"/>
    <mergeCell ref="N3339:N3340"/>
    <mergeCell ref="Y3339:Y3340"/>
    <mergeCell ref="AA3339:AA3340"/>
    <mergeCell ref="AB3339:AB3340"/>
    <mergeCell ref="AC3339:AC3340"/>
    <mergeCell ref="AD3339:AD3340"/>
    <mergeCell ref="AF3339:AF3340"/>
    <mergeCell ref="AG3339:AG3340"/>
    <mergeCell ref="AH3339:AH3340"/>
    <mergeCell ref="AI3339:AI3340"/>
    <mergeCell ref="AJ3339:AJ3340"/>
    <mergeCell ref="AK3339:AK3340"/>
    <mergeCell ref="AL3339:AL3340"/>
    <mergeCell ref="AM3339:AM3340"/>
    <mergeCell ref="AO3339:AO3340"/>
    <mergeCell ref="AP3339:AP3340"/>
    <mergeCell ref="E3293:E3294"/>
    <mergeCell ref="F3293:F3294"/>
    <mergeCell ref="J3293:J3294"/>
    <mergeCell ref="N3293:N3294"/>
    <mergeCell ref="Y3293:Y3294"/>
    <mergeCell ref="AA3293:AA3294"/>
    <mergeCell ref="AB3293:AB3294"/>
    <mergeCell ref="AC3293:AC3294"/>
    <mergeCell ref="AD3293:AD3294"/>
    <mergeCell ref="AF3293:AF3294"/>
    <mergeCell ref="AG3293:AG3294"/>
    <mergeCell ref="AH3293:AH3294"/>
    <mergeCell ref="AI3293:AI3294"/>
    <mergeCell ref="AJ3293:AJ3294"/>
    <mergeCell ref="AK3293:AK3294"/>
    <mergeCell ref="AL3293:AL3294"/>
    <mergeCell ref="AM3293:AM3294"/>
    <mergeCell ref="AO3293:AO3294"/>
    <mergeCell ref="AP3293:AP3294"/>
    <mergeCell ref="N3331:N3332"/>
    <mergeCell ref="Y3331:Y3332"/>
    <mergeCell ref="AA3331:AA3332"/>
    <mergeCell ref="AB3331:AB3332"/>
    <mergeCell ref="AC3331:AC3332"/>
    <mergeCell ref="AD3331:AD3332"/>
    <mergeCell ref="AF3331:AF3332"/>
    <mergeCell ref="AG3331:AG3332"/>
    <mergeCell ref="AH3331:AH3332"/>
    <mergeCell ref="AI3331:AI3332"/>
    <mergeCell ref="AJ3331:AJ3332"/>
    <mergeCell ref="AK3331:AK3332"/>
    <mergeCell ref="AL3331:AL3332"/>
    <mergeCell ref="AM3331:AM3332"/>
    <mergeCell ref="AO3331:AO3332"/>
    <mergeCell ref="AP3331:AP3332"/>
    <mergeCell ref="E3354:E3355"/>
    <mergeCell ref="F3354:F3355"/>
    <mergeCell ref="J3354:J3355"/>
    <mergeCell ref="N3354:N3355"/>
    <mergeCell ref="Y3354:Y3355"/>
    <mergeCell ref="AA3354:AA3355"/>
    <mergeCell ref="AB3354:AB3355"/>
    <mergeCell ref="AC3354:AC3355"/>
    <mergeCell ref="AD3354:AD3355"/>
    <mergeCell ref="AF3354:AF3355"/>
    <mergeCell ref="AG3354:AG3355"/>
    <mergeCell ref="AH3354:AH3355"/>
    <mergeCell ref="AI3354:AI3355"/>
    <mergeCell ref="E3329:E3330"/>
    <mergeCell ref="F3329:F3330"/>
    <mergeCell ref="J3329:J3330"/>
    <mergeCell ref="N3329:N3330"/>
    <mergeCell ref="Y3329:Y3330"/>
    <mergeCell ref="AA3329:AA3330"/>
    <mergeCell ref="AB3329:AB3330"/>
    <mergeCell ref="AC3329:AC3330"/>
    <mergeCell ref="AD3329:AD3330"/>
    <mergeCell ref="AF3329:AF3330"/>
    <mergeCell ref="AG3329:AG3330"/>
    <mergeCell ref="AH3329:AH3330"/>
    <mergeCell ref="AI3329:AI3330"/>
    <mergeCell ref="AJ3329:AJ3330"/>
    <mergeCell ref="AK3329:AK3330"/>
    <mergeCell ref="AL3329:AL3330"/>
    <mergeCell ref="AM3329:AM3330"/>
    <mergeCell ref="AO3329:AO3330"/>
    <mergeCell ref="AP3329:AP3330"/>
    <mergeCell ref="E3325:E3326"/>
    <mergeCell ref="F3325:F3326"/>
    <mergeCell ref="E3333:E3334"/>
    <mergeCell ref="F3333:F3334"/>
    <mergeCell ref="J3333:J3334"/>
    <mergeCell ref="N3333:N3334"/>
    <mergeCell ref="Y3333:Y3334"/>
    <mergeCell ref="AA3333:AA3334"/>
    <mergeCell ref="E3341:E3342"/>
    <mergeCell ref="F3341:F3342"/>
    <mergeCell ref="J3341:J3342"/>
    <mergeCell ref="N3341:N3342"/>
    <mergeCell ref="Y3341:Y3342"/>
    <mergeCell ref="AA3341:AA3342"/>
    <mergeCell ref="AK3350:AK3351"/>
    <mergeCell ref="AL3350:AL3351"/>
    <mergeCell ref="AM3350:AM3351"/>
    <mergeCell ref="AO3350:AO3351"/>
    <mergeCell ref="AP3350:AP3351"/>
    <mergeCell ref="AK3345:AK3346"/>
    <mergeCell ref="AL3345:AL3346"/>
    <mergeCell ref="AM3345:AM3346"/>
    <mergeCell ref="AO3345:AO3346"/>
    <mergeCell ref="AP3345:AP3346"/>
    <mergeCell ref="E3347:E3348"/>
    <mergeCell ref="F3347:F3348"/>
    <mergeCell ref="J3347:J3348"/>
    <mergeCell ref="AJ3354:AJ3355"/>
    <mergeCell ref="AK3354:AK3355"/>
    <mergeCell ref="AL3354:AL3355"/>
    <mergeCell ref="AM3354:AM3355"/>
    <mergeCell ref="AO3354:AO3355"/>
    <mergeCell ref="N3456:N3457"/>
    <mergeCell ref="Y3456:Y3457"/>
    <mergeCell ref="AA3456:AA3457"/>
    <mergeCell ref="AB3456:AB3457"/>
    <mergeCell ref="AC3456:AC3457"/>
    <mergeCell ref="AD3456:AD3457"/>
    <mergeCell ref="AF3456:AF3457"/>
    <mergeCell ref="AG3456:AG3457"/>
    <mergeCell ref="AH3456:AH3457"/>
    <mergeCell ref="AI3456:AI3457"/>
    <mergeCell ref="AJ3456:AJ3457"/>
    <mergeCell ref="AK3456:AK3457"/>
    <mergeCell ref="AL3456:AL3457"/>
    <mergeCell ref="AM3456:AM3457"/>
    <mergeCell ref="AO3456:AO3457"/>
    <mergeCell ref="AP3456:AP3457"/>
    <mergeCell ref="AC3454:AC3455"/>
    <mergeCell ref="AD3454:AD3455"/>
    <mergeCell ref="AF3454:AF3455"/>
    <mergeCell ref="AG3454:AG3455"/>
    <mergeCell ref="AH3454:AH3455"/>
    <mergeCell ref="AI3454:AI3455"/>
    <mergeCell ref="AJ3454:AJ3455"/>
    <mergeCell ref="AK3454:AK3455"/>
    <mergeCell ref="AL3454:AL3455"/>
    <mergeCell ref="AM3454:AM3455"/>
    <mergeCell ref="AM3389:AM3390"/>
    <mergeCell ref="AO3389:AO3390"/>
    <mergeCell ref="AP3389:AP3390"/>
    <mergeCell ref="AP3341:AP3342"/>
    <mergeCell ref="N3347:N3348"/>
    <mergeCell ref="Y3347:Y3348"/>
    <mergeCell ref="AA3347:AA3348"/>
    <mergeCell ref="N3352:N3353"/>
    <mergeCell ref="Y3352:Y3353"/>
    <mergeCell ref="AA3352:AA3353"/>
    <mergeCell ref="AB3352:AB3353"/>
    <mergeCell ref="AC3352:AC3353"/>
    <mergeCell ref="AD3352:AD3353"/>
    <mergeCell ref="AF3352:AF3353"/>
    <mergeCell ref="AG3352:AG3353"/>
    <mergeCell ref="AH3352:AH3353"/>
    <mergeCell ref="AI3352:AI3353"/>
    <mergeCell ref="AJ3352:AJ3353"/>
    <mergeCell ref="AK3352:AK3353"/>
    <mergeCell ref="AL3352:AL3353"/>
    <mergeCell ref="AM3352:AM3353"/>
    <mergeCell ref="AO3352:AO3353"/>
    <mergeCell ref="AP3352:AP3353"/>
    <mergeCell ref="AF3383:AF3384"/>
    <mergeCell ref="AA3448:AA3449"/>
    <mergeCell ref="AB3448:AB3449"/>
    <mergeCell ref="AC3448:AC3449"/>
    <mergeCell ref="AD3448:AD3449"/>
    <mergeCell ref="AF3448:AF3449"/>
    <mergeCell ref="AG3448:AG3449"/>
    <mergeCell ref="AH3448:AH3449"/>
    <mergeCell ref="AI3448:AI3449"/>
    <mergeCell ref="AJ3448:AJ3449"/>
    <mergeCell ref="AK3448:AK3449"/>
    <mergeCell ref="AL3448:AL3449"/>
    <mergeCell ref="AM3448:AM3449"/>
    <mergeCell ref="AO3448:AO3449"/>
    <mergeCell ref="AP3448:AP3449"/>
    <mergeCell ref="AJ3450:AJ3451"/>
    <mergeCell ref="AK3450:AK3451"/>
    <mergeCell ref="AL3450:AL3451"/>
    <mergeCell ref="AM3450:AM3451"/>
    <mergeCell ref="AO3450:AO3451"/>
    <mergeCell ref="AP3450:AP3451"/>
    <mergeCell ref="E3452:E3453"/>
    <mergeCell ref="F3452:F3453"/>
    <mergeCell ref="J3452:J3453"/>
    <mergeCell ref="N3452:N3453"/>
    <mergeCell ref="Y3452:Y3453"/>
    <mergeCell ref="AA3452:AA3453"/>
    <mergeCell ref="AB3452:AB3453"/>
    <mergeCell ref="AC3452:AC3453"/>
    <mergeCell ref="AD3452:AD3453"/>
    <mergeCell ref="AF3452:AF3453"/>
    <mergeCell ref="AM3391:AM3392"/>
    <mergeCell ref="AO3391:AO3392"/>
    <mergeCell ref="AP3391:AP3392"/>
    <mergeCell ref="AC3385:AC3386"/>
    <mergeCell ref="AD3385:AD3386"/>
    <mergeCell ref="AF3385:AF3386"/>
    <mergeCell ref="AG3385:AG3386"/>
    <mergeCell ref="AH3385:AH3386"/>
    <mergeCell ref="AI3385:AI3386"/>
    <mergeCell ref="J3385:J3386"/>
    <mergeCell ref="F3381:F3382"/>
    <mergeCell ref="J3381:J3382"/>
    <mergeCell ref="N3381:N3382"/>
    <mergeCell ref="Y3381:Y3382"/>
    <mergeCell ref="AA3381:AA3382"/>
    <mergeCell ref="AB3381:AB3382"/>
    <mergeCell ref="AC3381:AC3382"/>
    <mergeCell ref="AD3381:AD3382"/>
    <mergeCell ref="AF3381:AF3382"/>
    <mergeCell ref="AG3381:AG3382"/>
    <mergeCell ref="E3389:E3390"/>
    <mergeCell ref="F3389:F3390"/>
    <mergeCell ref="J3389:J3390"/>
    <mergeCell ref="N3389:N3390"/>
    <mergeCell ref="Y3389:Y3390"/>
    <mergeCell ref="AA3389:AA3390"/>
    <mergeCell ref="AB3389:AB3390"/>
    <mergeCell ref="AC3389:AC3390"/>
    <mergeCell ref="AD3389:AD3390"/>
    <mergeCell ref="AF3389:AF3390"/>
    <mergeCell ref="AG3389:AG3390"/>
    <mergeCell ref="AL3446:AL3447"/>
    <mergeCell ref="E3418:E3419"/>
    <mergeCell ref="F3418:F3419"/>
    <mergeCell ref="J3418:J3419"/>
    <mergeCell ref="N3418:N3419"/>
    <mergeCell ref="Y3418:Y3419"/>
    <mergeCell ref="AA3418:AA3419"/>
    <mergeCell ref="AB3418:AB3419"/>
    <mergeCell ref="AC3418:AC3419"/>
    <mergeCell ref="AD3418:AD3419"/>
    <mergeCell ref="AG3452:AG3453"/>
    <mergeCell ref="AH3452:AH3453"/>
    <mergeCell ref="AI3452:AI3453"/>
    <mergeCell ref="AJ3452:AJ3453"/>
    <mergeCell ref="AK3452:AK3453"/>
    <mergeCell ref="AL3452:AL3453"/>
    <mergeCell ref="AM3452:AM3453"/>
    <mergeCell ref="E3385:E3386"/>
    <mergeCell ref="F3385:F3386"/>
    <mergeCell ref="N3385:N3386"/>
    <mergeCell ref="E3456:E3457"/>
    <mergeCell ref="F3456:F3457"/>
    <mergeCell ref="J3456:J3457"/>
    <mergeCell ref="AJ3458:AJ3459"/>
    <mergeCell ref="AK3458:AK3459"/>
    <mergeCell ref="AL3458:AL3459"/>
    <mergeCell ref="AM3458:AM3459"/>
    <mergeCell ref="AO3458:AO3459"/>
    <mergeCell ref="AP3458:AP3459"/>
    <mergeCell ref="E3460:E3461"/>
    <mergeCell ref="F3460:F3461"/>
    <mergeCell ref="J3460:J3461"/>
    <mergeCell ref="N3460:N3461"/>
    <mergeCell ref="Y3460:Y3461"/>
    <mergeCell ref="AA3460:AA3461"/>
    <mergeCell ref="AB3460:AB3461"/>
    <mergeCell ref="AC3460:AC3461"/>
    <mergeCell ref="AD3460:AD3461"/>
    <mergeCell ref="AF3460:AF3461"/>
    <mergeCell ref="AG3460:AG3461"/>
    <mergeCell ref="AH3460:AH3461"/>
    <mergeCell ref="AI3460:AI3461"/>
    <mergeCell ref="AJ3460:AJ3461"/>
    <mergeCell ref="AK3460:AK3461"/>
    <mergeCell ref="AL3460:AL3461"/>
    <mergeCell ref="AM3460:AM3461"/>
    <mergeCell ref="AO3460:AO3461"/>
    <mergeCell ref="AP3460:AP3461"/>
    <mergeCell ref="E3458:E3459"/>
    <mergeCell ref="E3395:E3396"/>
    <mergeCell ref="F3395:F3396"/>
    <mergeCell ref="N3395:N3396"/>
    <mergeCell ref="Y3395:Y3396"/>
    <mergeCell ref="AA3395:AA3396"/>
    <mergeCell ref="AB3395:AB3396"/>
    <mergeCell ref="AC3395:AC3396"/>
    <mergeCell ref="AD3395:AD3396"/>
    <mergeCell ref="AF3395:AF3396"/>
    <mergeCell ref="AG3395:AG3396"/>
    <mergeCell ref="AH3395:AH3396"/>
    <mergeCell ref="AI3395:AI3396"/>
    <mergeCell ref="AJ3395:AJ3396"/>
    <mergeCell ref="E3391:E3392"/>
    <mergeCell ref="F3391:F3392"/>
    <mergeCell ref="J3391:J3392"/>
    <mergeCell ref="N3391:N3392"/>
    <mergeCell ref="Y3391:Y3392"/>
    <mergeCell ref="AA3391:AA3392"/>
    <mergeCell ref="AB3391:AB3392"/>
    <mergeCell ref="AG3450:AG3451"/>
    <mergeCell ref="AH3450:AH3451"/>
    <mergeCell ref="AI3450:AI3451"/>
    <mergeCell ref="E3454:E3455"/>
    <mergeCell ref="F3454:F3455"/>
    <mergeCell ref="J3454:J3455"/>
    <mergeCell ref="N3454:N3455"/>
    <mergeCell ref="Y3454:Y3455"/>
    <mergeCell ref="AA3454:AA3455"/>
    <mergeCell ref="AB3454:AB3455"/>
    <mergeCell ref="AO3454:AO3455"/>
    <mergeCell ref="AP3454:AP3455"/>
  </mergeCells>
  <phoneticPr fontId="112" type="noConversion"/>
  <conditionalFormatting sqref="B104:B159 B74:B75">
    <cfRule type="duplicateValues" dxfId="1316" priority="8307"/>
  </conditionalFormatting>
  <conditionalFormatting sqref="B759:B762">
    <cfRule type="duplicateValues" dxfId="1315" priority="8306"/>
  </conditionalFormatting>
  <conditionalFormatting sqref="B783:B830">
    <cfRule type="duplicateValues" dxfId="1314" priority="8305"/>
  </conditionalFormatting>
  <conditionalFormatting sqref="B1130:B1196">
    <cfRule type="duplicateValues" dxfId="1313" priority="8304"/>
  </conditionalFormatting>
  <conditionalFormatting sqref="B1762">
    <cfRule type="duplicateValues" dxfId="1312" priority="8303"/>
  </conditionalFormatting>
  <conditionalFormatting sqref="B1764">
    <cfRule type="duplicateValues" dxfId="1311" priority="8302"/>
  </conditionalFormatting>
  <conditionalFormatting sqref="B2857:B2957">
    <cfRule type="duplicateValues" dxfId="1310" priority="8301"/>
  </conditionalFormatting>
  <conditionalFormatting sqref="B3099">
    <cfRule type="duplicateValues" dxfId="1309" priority="8300"/>
  </conditionalFormatting>
  <conditionalFormatting sqref="B3232:B3248">
    <cfRule type="duplicateValues" dxfId="1308" priority="8299"/>
  </conditionalFormatting>
  <conditionalFormatting sqref="I3333 P3418:V3435 X3418:X3488 P3491:V3501 X3491:X3501">
    <cfRule type="cellIs" dxfId="1307" priority="8298" operator="equal">
      <formula>0</formula>
    </cfRule>
  </conditionalFormatting>
  <conditionalFormatting sqref="I3335">
    <cfRule type="cellIs" dxfId="1306" priority="8297" operator="equal">
      <formula>0</formula>
    </cfRule>
  </conditionalFormatting>
  <conditionalFormatting sqref="I3337">
    <cfRule type="cellIs" dxfId="1305" priority="8296" operator="equal">
      <formula>0</formula>
    </cfRule>
  </conditionalFormatting>
  <conditionalFormatting sqref="I3339">
    <cfRule type="cellIs" dxfId="1304" priority="8295" operator="equal">
      <formula>0</formula>
    </cfRule>
  </conditionalFormatting>
  <conditionalFormatting sqref="I3341">
    <cfRule type="cellIs" dxfId="1303" priority="8294" operator="equal">
      <formula>0</formula>
    </cfRule>
  </conditionalFormatting>
  <conditionalFormatting sqref="I3343">
    <cfRule type="cellIs" dxfId="1302" priority="8293" operator="equal">
      <formula>0</formula>
    </cfRule>
  </conditionalFormatting>
  <conditionalFormatting sqref="I3345">
    <cfRule type="cellIs" dxfId="1301" priority="8292" operator="equal">
      <formula>0</formula>
    </cfRule>
  </conditionalFormatting>
  <conditionalFormatting sqref="I3347">
    <cfRule type="cellIs" dxfId="1300" priority="8291" operator="equal">
      <formula>0</formula>
    </cfRule>
  </conditionalFormatting>
  <conditionalFormatting sqref="I3353">
    <cfRule type="cellIs" dxfId="1299" priority="8290" operator="between">
      <formula>0.000000001</formula>
      <formula>0.9999999999999</formula>
    </cfRule>
  </conditionalFormatting>
  <conditionalFormatting sqref="I3363">
    <cfRule type="cellIs" dxfId="1298" priority="8289" operator="between">
      <formula>0.000000001</formula>
      <formula>0.9999999999999</formula>
    </cfRule>
  </conditionalFormatting>
  <conditionalFormatting sqref="I3400">
    <cfRule type="cellIs" dxfId="1297" priority="8288" operator="equal">
      <formula>0</formula>
    </cfRule>
  </conditionalFormatting>
  <conditionalFormatting sqref="I3402">
    <cfRule type="cellIs" dxfId="1296" priority="8287" operator="equal">
      <formula>0</formula>
    </cfRule>
  </conditionalFormatting>
  <conditionalFormatting sqref="I3404">
    <cfRule type="cellIs" dxfId="1295" priority="8286" operator="equal">
      <formula>0</formula>
    </cfRule>
  </conditionalFormatting>
  <conditionalFormatting sqref="I3406">
    <cfRule type="cellIs" dxfId="1294" priority="8285" operator="equal">
      <formula>0</formula>
    </cfRule>
  </conditionalFormatting>
  <conditionalFormatting sqref="I3408">
    <cfRule type="cellIs" dxfId="1293" priority="8284" operator="equal">
      <formula>0</formula>
    </cfRule>
  </conditionalFormatting>
  <conditionalFormatting sqref="I3410">
    <cfRule type="cellIs" dxfId="1292" priority="8283" operator="equal">
      <formula>0</formula>
    </cfRule>
  </conditionalFormatting>
  <conditionalFormatting sqref="I3412">
    <cfRule type="cellIs" dxfId="1291" priority="8282" operator="equal">
      <formula>0</formula>
    </cfRule>
  </conditionalFormatting>
  <conditionalFormatting sqref="I3414">
    <cfRule type="cellIs" dxfId="1290" priority="8281" operator="equal">
      <formula>0</formula>
    </cfRule>
  </conditionalFormatting>
  <conditionalFormatting sqref="J10">
    <cfRule type="dataBar" priority="8280">
      <dataBar>
        <cfvo type="num" val="0"/>
        <cfvo type="num" val="1"/>
        <color theme="4" tint="0.79998168889431442"/>
      </dataBar>
      <extLst>
        <ext xmlns:x14="http://schemas.microsoft.com/office/spreadsheetml/2009/9/main" uri="{B025F937-C7B1-47D3-B67F-A62EFF666E3E}">
          <x14:id>{D261936F-D94E-42C9-84A1-D2D8D877D956}</x14:id>
        </ext>
      </extLst>
    </cfRule>
    <cfRule type="iconSet" priority="8279">
      <iconSet iconSet="3Arrows">
        <cfvo type="percent" val="0"/>
        <cfvo type="num" val="0.7"/>
        <cfvo type="num" val="1"/>
      </iconSet>
    </cfRule>
  </conditionalFormatting>
  <conditionalFormatting sqref="J14">
    <cfRule type="dataBar" priority="8278">
      <dataBar>
        <cfvo type="num" val="0"/>
        <cfvo type="num" val="1"/>
        <color theme="4" tint="0.79998168889431442"/>
      </dataBar>
      <extLst>
        <ext xmlns:x14="http://schemas.microsoft.com/office/spreadsheetml/2009/9/main" uri="{B025F937-C7B1-47D3-B67F-A62EFF666E3E}">
          <x14:id>{3055D4E8-D146-433C-B959-34707F08158C}</x14:id>
        </ext>
      </extLst>
    </cfRule>
    <cfRule type="iconSet" priority="8277">
      <iconSet iconSet="3Arrows">
        <cfvo type="percent" val="0"/>
        <cfvo type="num" val="0.7"/>
        <cfvo type="num" val="1"/>
      </iconSet>
    </cfRule>
  </conditionalFormatting>
  <conditionalFormatting sqref="J16">
    <cfRule type="dataBar" priority="8276">
      <dataBar>
        <cfvo type="num" val="0"/>
        <cfvo type="num" val="1"/>
        <color theme="4" tint="0.79998168889431442"/>
      </dataBar>
      <extLst>
        <ext xmlns:x14="http://schemas.microsoft.com/office/spreadsheetml/2009/9/main" uri="{B025F937-C7B1-47D3-B67F-A62EFF666E3E}">
          <x14:id>{B25A34C1-D6A6-448A-ACA1-694008EBA136}</x14:id>
        </ext>
      </extLst>
    </cfRule>
    <cfRule type="iconSet" priority="8275">
      <iconSet iconSet="3Arrows">
        <cfvo type="percent" val="0"/>
        <cfvo type="num" val="0.7"/>
        <cfvo type="num" val="1"/>
      </iconSet>
    </cfRule>
  </conditionalFormatting>
  <conditionalFormatting sqref="J18 J72 J20 J22 J24 J26 J28 J30 J32 J34 J36 J38 J40 J42 J44 J46 J48 J50 J52 J54 J56 J58 J60 J62 J64 J66 J68">
    <cfRule type="iconSet" priority="8273">
      <iconSet iconSet="3Arrows">
        <cfvo type="percent" val="0"/>
        <cfvo type="num" val="0.7"/>
        <cfvo type="num" val="1"/>
      </iconSet>
    </cfRule>
    <cfRule type="dataBar" priority="8274">
      <dataBar>
        <cfvo type="num" val="0"/>
        <cfvo type="num" val="1"/>
        <color theme="4" tint="0.79998168889431442"/>
      </dataBar>
      <extLst>
        <ext xmlns:x14="http://schemas.microsoft.com/office/spreadsheetml/2009/9/main" uri="{B025F937-C7B1-47D3-B67F-A62EFF666E3E}">
          <x14:id>{52472070-21B4-4E4B-AA32-E13E3E89596B}</x14:id>
        </ext>
      </extLst>
    </cfRule>
  </conditionalFormatting>
  <conditionalFormatting sqref="J70">
    <cfRule type="iconSet" priority="8271">
      <iconSet iconSet="3Arrows">
        <cfvo type="percent" val="0"/>
        <cfvo type="num" val="0.7"/>
        <cfvo type="num" val="1"/>
      </iconSet>
    </cfRule>
    <cfRule type="dataBar" priority="8272">
      <dataBar>
        <cfvo type="num" val="0"/>
        <cfvo type="num" val="1"/>
        <color theme="4" tint="0.79998168889431442"/>
      </dataBar>
      <extLst>
        <ext xmlns:x14="http://schemas.microsoft.com/office/spreadsheetml/2009/9/main" uri="{B025F937-C7B1-47D3-B67F-A62EFF666E3E}">
          <x14:id>{03831338-BB57-4ACD-A7FA-842BBCBBF36B}</x14:id>
        </ext>
      </extLst>
    </cfRule>
  </conditionalFormatting>
  <conditionalFormatting sqref="J74">
    <cfRule type="dataBar" priority="8270">
      <dataBar>
        <cfvo type="num" val="0"/>
        <cfvo type="num" val="1"/>
        <color theme="4" tint="0.79998168889431442"/>
      </dataBar>
      <extLst>
        <ext xmlns:x14="http://schemas.microsoft.com/office/spreadsheetml/2009/9/main" uri="{B025F937-C7B1-47D3-B67F-A62EFF666E3E}">
          <x14:id>{E0BCE5C1-4D01-4895-A97D-933D07C1740D}</x14:id>
        </ext>
      </extLst>
    </cfRule>
    <cfRule type="iconSet" priority="8269">
      <iconSet iconSet="3Arrows">
        <cfvo type="percent" val="0"/>
        <cfvo type="num" val="0.7"/>
        <cfvo type="num" val="1"/>
      </iconSet>
    </cfRule>
  </conditionalFormatting>
  <conditionalFormatting sqref="J76">
    <cfRule type="dataBar" priority="8268">
      <dataBar>
        <cfvo type="num" val="0"/>
        <cfvo type="num" val="1"/>
        <color theme="4" tint="0.79998168889431442"/>
      </dataBar>
      <extLst>
        <ext xmlns:x14="http://schemas.microsoft.com/office/spreadsheetml/2009/9/main" uri="{B025F937-C7B1-47D3-B67F-A62EFF666E3E}">
          <x14:id>{6A944AD6-0C93-4681-9781-8E118E1FBB6A}</x14:id>
        </ext>
      </extLst>
    </cfRule>
    <cfRule type="iconSet" priority="8267">
      <iconSet iconSet="3Arrows">
        <cfvo type="percent" val="0"/>
        <cfvo type="num" val="0.7"/>
        <cfvo type="num" val="1"/>
      </iconSet>
    </cfRule>
  </conditionalFormatting>
  <conditionalFormatting sqref="J78">
    <cfRule type="dataBar" priority="8266">
      <dataBar>
        <cfvo type="num" val="0"/>
        <cfvo type="num" val="1"/>
        <color theme="4" tint="0.79998168889431442"/>
      </dataBar>
      <extLst>
        <ext xmlns:x14="http://schemas.microsoft.com/office/spreadsheetml/2009/9/main" uri="{B025F937-C7B1-47D3-B67F-A62EFF666E3E}">
          <x14:id>{77748648-7F6F-4213-A393-B9BA7216A2B9}</x14:id>
        </ext>
      </extLst>
    </cfRule>
    <cfRule type="iconSet" priority="8265">
      <iconSet iconSet="3Arrows">
        <cfvo type="percent" val="0"/>
        <cfvo type="num" val="0.7"/>
        <cfvo type="num" val="1"/>
      </iconSet>
    </cfRule>
  </conditionalFormatting>
  <conditionalFormatting sqref="J80">
    <cfRule type="dataBar" priority="8264">
      <dataBar>
        <cfvo type="num" val="0"/>
        <cfvo type="num" val="1"/>
        <color theme="4" tint="0.79998168889431442"/>
      </dataBar>
      <extLst>
        <ext xmlns:x14="http://schemas.microsoft.com/office/spreadsheetml/2009/9/main" uri="{B025F937-C7B1-47D3-B67F-A62EFF666E3E}">
          <x14:id>{8CF40089-C551-4C37-8061-99E3E4B0538F}</x14:id>
        </ext>
      </extLst>
    </cfRule>
    <cfRule type="iconSet" priority="8263">
      <iconSet iconSet="3Arrows">
        <cfvo type="percent" val="0"/>
        <cfvo type="num" val="0.7"/>
        <cfvo type="num" val="1"/>
      </iconSet>
    </cfRule>
  </conditionalFormatting>
  <conditionalFormatting sqref="J82">
    <cfRule type="dataBar" priority="8262">
      <dataBar>
        <cfvo type="num" val="0"/>
        <cfvo type="num" val="1"/>
        <color theme="4" tint="0.79998168889431442"/>
      </dataBar>
      <extLst>
        <ext xmlns:x14="http://schemas.microsoft.com/office/spreadsheetml/2009/9/main" uri="{B025F937-C7B1-47D3-B67F-A62EFF666E3E}">
          <x14:id>{E3278B49-8488-4BDB-AB1C-23C2F8BCECCC}</x14:id>
        </ext>
      </extLst>
    </cfRule>
    <cfRule type="iconSet" priority="8261">
      <iconSet iconSet="3Arrows">
        <cfvo type="percent" val="0"/>
        <cfvo type="num" val="0.7"/>
        <cfvo type="num" val="1"/>
      </iconSet>
    </cfRule>
  </conditionalFormatting>
  <conditionalFormatting sqref="J84">
    <cfRule type="dataBar" priority="8260">
      <dataBar>
        <cfvo type="num" val="0"/>
        <cfvo type="num" val="1"/>
        <color theme="4" tint="0.79998168889431442"/>
      </dataBar>
      <extLst>
        <ext xmlns:x14="http://schemas.microsoft.com/office/spreadsheetml/2009/9/main" uri="{B025F937-C7B1-47D3-B67F-A62EFF666E3E}">
          <x14:id>{D3B990F2-9064-4B2D-86F1-3BD292585971}</x14:id>
        </ext>
      </extLst>
    </cfRule>
    <cfRule type="iconSet" priority="8259">
      <iconSet iconSet="3Arrows">
        <cfvo type="percent" val="0"/>
        <cfvo type="num" val="0.7"/>
        <cfvo type="num" val="1"/>
      </iconSet>
    </cfRule>
  </conditionalFormatting>
  <conditionalFormatting sqref="J86">
    <cfRule type="iconSet" priority="8257">
      <iconSet iconSet="3Arrows">
        <cfvo type="percent" val="0"/>
        <cfvo type="num" val="0.7"/>
        <cfvo type="num" val="1"/>
      </iconSet>
    </cfRule>
    <cfRule type="dataBar" priority="8258">
      <dataBar>
        <cfvo type="num" val="0"/>
        <cfvo type="num" val="1"/>
        <color theme="4" tint="0.79998168889431442"/>
      </dataBar>
      <extLst>
        <ext xmlns:x14="http://schemas.microsoft.com/office/spreadsheetml/2009/9/main" uri="{B025F937-C7B1-47D3-B67F-A62EFF666E3E}">
          <x14:id>{933FA334-1E79-40EB-8CC2-CF707BCFC8C4}</x14:id>
        </ext>
      </extLst>
    </cfRule>
  </conditionalFormatting>
  <conditionalFormatting sqref="J88">
    <cfRule type="dataBar" priority="8256">
      <dataBar>
        <cfvo type="num" val="0"/>
        <cfvo type="num" val="1"/>
        <color theme="4" tint="0.79998168889431442"/>
      </dataBar>
      <extLst>
        <ext xmlns:x14="http://schemas.microsoft.com/office/spreadsheetml/2009/9/main" uri="{B025F937-C7B1-47D3-B67F-A62EFF666E3E}">
          <x14:id>{B9392609-F5C1-448E-AAAE-50021489E932}</x14:id>
        </ext>
      </extLst>
    </cfRule>
    <cfRule type="iconSet" priority="8255">
      <iconSet iconSet="3Arrows">
        <cfvo type="percent" val="0"/>
        <cfvo type="num" val="0.7"/>
        <cfvo type="num" val="1"/>
      </iconSet>
    </cfRule>
  </conditionalFormatting>
  <conditionalFormatting sqref="J90">
    <cfRule type="dataBar" priority="8254">
      <dataBar>
        <cfvo type="num" val="0"/>
        <cfvo type="num" val="1"/>
        <color theme="4" tint="0.79998168889431442"/>
      </dataBar>
      <extLst>
        <ext xmlns:x14="http://schemas.microsoft.com/office/spreadsheetml/2009/9/main" uri="{B025F937-C7B1-47D3-B67F-A62EFF666E3E}">
          <x14:id>{712BC31D-9778-43E7-A803-BDEB8CC1EA6A}</x14:id>
        </ext>
      </extLst>
    </cfRule>
    <cfRule type="iconSet" priority="8253">
      <iconSet iconSet="3Arrows">
        <cfvo type="percent" val="0"/>
        <cfvo type="num" val="0.7"/>
        <cfvo type="num" val="1"/>
      </iconSet>
    </cfRule>
  </conditionalFormatting>
  <conditionalFormatting sqref="J92">
    <cfRule type="dataBar" priority="8252">
      <dataBar>
        <cfvo type="num" val="0"/>
        <cfvo type="num" val="1"/>
        <color theme="4" tint="0.79998168889431442"/>
      </dataBar>
      <extLst>
        <ext xmlns:x14="http://schemas.microsoft.com/office/spreadsheetml/2009/9/main" uri="{B025F937-C7B1-47D3-B67F-A62EFF666E3E}">
          <x14:id>{9CC0DB35-9647-41DF-8CD9-E3CF354ED875}</x14:id>
        </ext>
      </extLst>
    </cfRule>
    <cfRule type="iconSet" priority="8251">
      <iconSet iconSet="3Arrows">
        <cfvo type="percent" val="0"/>
        <cfvo type="num" val="0.7"/>
        <cfvo type="num" val="1"/>
      </iconSet>
    </cfRule>
  </conditionalFormatting>
  <conditionalFormatting sqref="J94">
    <cfRule type="iconSet" priority="8249">
      <iconSet iconSet="3Arrows">
        <cfvo type="percent" val="0"/>
        <cfvo type="num" val="0.7"/>
        <cfvo type="num" val="1"/>
      </iconSet>
    </cfRule>
    <cfRule type="dataBar" priority="8250">
      <dataBar>
        <cfvo type="num" val="0"/>
        <cfvo type="num" val="1"/>
        <color theme="4" tint="0.79998168889431442"/>
      </dataBar>
      <extLst>
        <ext xmlns:x14="http://schemas.microsoft.com/office/spreadsheetml/2009/9/main" uri="{B025F937-C7B1-47D3-B67F-A62EFF666E3E}">
          <x14:id>{AA259CC5-C5C9-4FA3-8315-72037CCC89A4}</x14:id>
        </ext>
      </extLst>
    </cfRule>
  </conditionalFormatting>
  <conditionalFormatting sqref="J96">
    <cfRule type="dataBar" priority="8248">
      <dataBar>
        <cfvo type="num" val="0"/>
        <cfvo type="num" val="1"/>
        <color theme="4" tint="0.79998168889431442"/>
      </dataBar>
      <extLst>
        <ext xmlns:x14="http://schemas.microsoft.com/office/spreadsheetml/2009/9/main" uri="{B025F937-C7B1-47D3-B67F-A62EFF666E3E}">
          <x14:id>{A88BAA40-4FDA-48DC-95B3-BC25EC331D01}</x14:id>
        </ext>
      </extLst>
    </cfRule>
    <cfRule type="iconSet" priority="8247">
      <iconSet iconSet="3Arrows">
        <cfvo type="percent" val="0"/>
        <cfvo type="num" val="0.7"/>
        <cfvo type="num" val="1"/>
      </iconSet>
    </cfRule>
  </conditionalFormatting>
  <conditionalFormatting sqref="J98">
    <cfRule type="dataBar" priority="8246">
      <dataBar>
        <cfvo type="num" val="0"/>
        <cfvo type="num" val="1"/>
        <color theme="4" tint="0.79998168889431442"/>
      </dataBar>
      <extLst>
        <ext xmlns:x14="http://schemas.microsoft.com/office/spreadsheetml/2009/9/main" uri="{B025F937-C7B1-47D3-B67F-A62EFF666E3E}">
          <x14:id>{373A5321-665E-4593-AFD2-FC290171F448}</x14:id>
        </ext>
      </extLst>
    </cfRule>
    <cfRule type="iconSet" priority="8245">
      <iconSet iconSet="3Arrows">
        <cfvo type="percent" val="0"/>
        <cfvo type="num" val="0.7"/>
        <cfvo type="num" val="1"/>
      </iconSet>
    </cfRule>
  </conditionalFormatting>
  <conditionalFormatting sqref="J102">
    <cfRule type="dataBar" priority="8244">
      <dataBar>
        <cfvo type="num" val="0"/>
        <cfvo type="num" val="1"/>
        <color theme="4" tint="0.79998168889431442"/>
      </dataBar>
      <extLst>
        <ext xmlns:x14="http://schemas.microsoft.com/office/spreadsheetml/2009/9/main" uri="{B025F937-C7B1-47D3-B67F-A62EFF666E3E}">
          <x14:id>{904D7143-F6AC-46CD-AA91-3AED820BCD9C}</x14:id>
        </ext>
      </extLst>
    </cfRule>
    <cfRule type="iconSet" priority="8243">
      <iconSet iconSet="3Arrows">
        <cfvo type="percent" val="0"/>
        <cfvo type="num" val="0.7"/>
        <cfvo type="num" val="1"/>
      </iconSet>
    </cfRule>
  </conditionalFormatting>
  <conditionalFormatting sqref="J104">
    <cfRule type="iconSet" priority="8241">
      <iconSet iconSet="3Arrows">
        <cfvo type="percent" val="0"/>
        <cfvo type="num" val="0.7"/>
        <cfvo type="num" val="1"/>
      </iconSet>
    </cfRule>
    <cfRule type="dataBar" priority="8242">
      <dataBar>
        <cfvo type="num" val="0"/>
        <cfvo type="num" val="1"/>
        <color theme="4" tint="0.79998168889431442"/>
      </dataBar>
      <extLst>
        <ext xmlns:x14="http://schemas.microsoft.com/office/spreadsheetml/2009/9/main" uri="{B025F937-C7B1-47D3-B67F-A62EFF666E3E}">
          <x14:id>{2481E2A7-582E-4619-AA46-65A57226242D}</x14:id>
        </ext>
      </extLst>
    </cfRule>
  </conditionalFormatting>
  <conditionalFormatting sqref="J106">
    <cfRule type="iconSet" priority="8239">
      <iconSet iconSet="3Arrows">
        <cfvo type="percent" val="0"/>
        <cfvo type="num" val="0.7"/>
        <cfvo type="num" val="1"/>
      </iconSet>
    </cfRule>
    <cfRule type="dataBar" priority="8240">
      <dataBar>
        <cfvo type="num" val="0"/>
        <cfvo type="num" val="1"/>
        <color theme="4" tint="0.79998168889431442"/>
      </dataBar>
      <extLst>
        <ext xmlns:x14="http://schemas.microsoft.com/office/spreadsheetml/2009/9/main" uri="{B025F937-C7B1-47D3-B67F-A62EFF666E3E}">
          <x14:id>{B1E6A721-EF1D-408C-9B96-E5929887FC8A}</x14:id>
        </ext>
      </extLst>
    </cfRule>
  </conditionalFormatting>
  <conditionalFormatting sqref="J108">
    <cfRule type="dataBar" priority="8238">
      <dataBar>
        <cfvo type="num" val="0"/>
        <cfvo type="num" val="1"/>
        <color theme="4" tint="0.79998168889431442"/>
      </dataBar>
      <extLst>
        <ext xmlns:x14="http://schemas.microsoft.com/office/spreadsheetml/2009/9/main" uri="{B025F937-C7B1-47D3-B67F-A62EFF666E3E}">
          <x14:id>{61511ADE-7AAE-4DD8-A9DF-87C538927969}</x14:id>
        </ext>
      </extLst>
    </cfRule>
    <cfRule type="iconSet" priority="8237">
      <iconSet iconSet="3Arrows">
        <cfvo type="percent" val="0"/>
        <cfvo type="num" val="0.7"/>
        <cfvo type="num" val="1"/>
      </iconSet>
    </cfRule>
  </conditionalFormatting>
  <conditionalFormatting sqref="J110">
    <cfRule type="dataBar" priority="8236">
      <dataBar>
        <cfvo type="num" val="0"/>
        <cfvo type="num" val="1"/>
        <color theme="4" tint="0.79998168889431442"/>
      </dataBar>
      <extLst>
        <ext xmlns:x14="http://schemas.microsoft.com/office/spreadsheetml/2009/9/main" uri="{B025F937-C7B1-47D3-B67F-A62EFF666E3E}">
          <x14:id>{D35422E0-6D63-4B66-92B7-04839E4AED45}</x14:id>
        </ext>
      </extLst>
    </cfRule>
    <cfRule type="iconSet" priority="8235">
      <iconSet iconSet="3Arrows">
        <cfvo type="percent" val="0"/>
        <cfvo type="num" val="0.7"/>
        <cfvo type="num" val="1"/>
      </iconSet>
    </cfRule>
  </conditionalFormatting>
  <conditionalFormatting sqref="J112">
    <cfRule type="dataBar" priority="8234">
      <dataBar>
        <cfvo type="num" val="0"/>
        <cfvo type="num" val="1"/>
        <color theme="4" tint="0.79998168889431442"/>
      </dataBar>
      <extLst>
        <ext xmlns:x14="http://schemas.microsoft.com/office/spreadsheetml/2009/9/main" uri="{B025F937-C7B1-47D3-B67F-A62EFF666E3E}">
          <x14:id>{14DB2012-3A75-419A-B942-AB9F005580D6}</x14:id>
        </ext>
      </extLst>
    </cfRule>
    <cfRule type="iconSet" priority="8233">
      <iconSet iconSet="3Arrows">
        <cfvo type="percent" val="0"/>
        <cfvo type="num" val="0.7"/>
        <cfvo type="num" val="1"/>
      </iconSet>
    </cfRule>
  </conditionalFormatting>
  <conditionalFormatting sqref="J114">
    <cfRule type="dataBar" priority="8232">
      <dataBar>
        <cfvo type="num" val="0"/>
        <cfvo type="num" val="1"/>
        <color theme="4" tint="0.79998168889431442"/>
      </dataBar>
      <extLst>
        <ext xmlns:x14="http://schemas.microsoft.com/office/spreadsheetml/2009/9/main" uri="{B025F937-C7B1-47D3-B67F-A62EFF666E3E}">
          <x14:id>{5F87A8A5-0E80-4598-A656-81BBC22B2E04}</x14:id>
        </ext>
      </extLst>
    </cfRule>
    <cfRule type="iconSet" priority="8231">
      <iconSet iconSet="3Arrows">
        <cfvo type="percent" val="0"/>
        <cfvo type="num" val="0.7"/>
        <cfvo type="num" val="1"/>
      </iconSet>
    </cfRule>
  </conditionalFormatting>
  <conditionalFormatting sqref="J116">
    <cfRule type="dataBar" priority="8230">
      <dataBar>
        <cfvo type="num" val="0"/>
        <cfvo type="num" val="1"/>
        <color theme="4" tint="0.79998168889431442"/>
      </dataBar>
      <extLst>
        <ext xmlns:x14="http://schemas.microsoft.com/office/spreadsheetml/2009/9/main" uri="{B025F937-C7B1-47D3-B67F-A62EFF666E3E}">
          <x14:id>{A7EB2B8C-D054-4ECD-B981-DE34512D1680}</x14:id>
        </ext>
      </extLst>
    </cfRule>
    <cfRule type="iconSet" priority="8229">
      <iconSet iconSet="3Arrows">
        <cfvo type="percent" val="0"/>
        <cfvo type="num" val="0.7"/>
        <cfvo type="num" val="1"/>
      </iconSet>
    </cfRule>
  </conditionalFormatting>
  <conditionalFormatting sqref="J118">
    <cfRule type="dataBar" priority="8228">
      <dataBar>
        <cfvo type="num" val="0"/>
        <cfvo type="num" val="1"/>
        <color theme="4" tint="0.79998168889431442"/>
      </dataBar>
      <extLst>
        <ext xmlns:x14="http://schemas.microsoft.com/office/spreadsheetml/2009/9/main" uri="{B025F937-C7B1-47D3-B67F-A62EFF666E3E}">
          <x14:id>{97750473-F8EB-494E-9CD9-B7D92051D81B}</x14:id>
        </ext>
      </extLst>
    </cfRule>
    <cfRule type="iconSet" priority="8227">
      <iconSet iconSet="3Arrows">
        <cfvo type="percent" val="0"/>
        <cfvo type="num" val="0.7"/>
        <cfvo type="num" val="1"/>
      </iconSet>
    </cfRule>
  </conditionalFormatting>
  <conditionalFormatting sqref="J120">
    <cfRule type="dataBar" priority="8226">
      <dataBar>
        <cfvo type="num" val="0"/>
        <cfvo type="num" val="1"/>
        <color theme="4" tint="0.79998168889431442"/>
      </dataBar>
      <extLst>
        <ext xmlns:x14="http://schemas.microsoft.com/office/spreadsheetml/2009/9/main" uri="{B025F937-C7B1-47D3-B67F-A62EFF666E3E}">
          <x14:id>{8A3B4841-E11D-4FFE-A14E-D6BCAD900A76}</x14:id>
        </ext>
      </extLst>
    </cfRule>
    <cfRule type="iconSet" priority="8225">
      <iconSet iconSet="3Arrows">
        <cfvo type="percent" val="0"/>
        <cfvo type="num" val="0.7"/>
        <cfvo type="num" val="1"/>
      </iconSet>
    </cfRule>
  </conditionalFormatting>
  <conditionalFormatting sqref="J122">
    <cfRule type="dataBar" priority="8224">
      <dataBar>
        <cfvo type="num" val="0"/>
        <cfvo type="num" val="1"/>
        <color theme="4" tint="0.79998168889431442"/>
      </dataBar>
      <extLst>
        <ext xmlns:x14="http://schemas.microsoft.com/office/spreadsheetml/2009/9/main" uri="{B025F937-C7B1-47D3-B67F-A62EFF666E3E}">
          <x14:id>{DD17009A-A604-4805-9BF0-347976A8E2E0}</x14:id>
        </ext>
      </extLst>
    </cfRule>
    <cfRule type="iconSet" priority="8223">
      <iconSet iconSet="3Arrows">
        <cfvo type="percent" val="0"/>
        <cfvo type="num" val="0.7"/>
        <cfvo type="num" val="1"/>
      </iconSet>
    </cfRule>
  </conditionalFormatting>
  <conditionalFormatting sqref="J124">
    <cfRule type="dataBar" priority="8222">
      <dataBar>
        <cfvo type="num" val="0"/>
        <cfvo type="num" val="1"/>
        <color theme="4" tint="0.79998168889431442"/>
      </dataBar>
      <extLst>
        <ext xmlns:x14="http://schemas.microsoft.com/office/spreadsheetml/2009/9/main" uri="{B025F937-C7B1-47D3-B67F-A62EFF666E3E}">
          <x14:id>{79E0AE60-8293-49C5-98B7-258F981D9040}</x14:id>
        </ext>
      </extLst>
    </cfRule>
    <cfRule type="iconSet" priority="8221">
      <iconSet iconSet="3Arrows">
        <cfvo type="percent" val="0"/>
        <cfvo type="num" val="0.7"/>
        <cfvo type="num" val="1"/>
      </iconSet>
    </cfRule>
  </conditionalFormatting>
  <conditionalFormatting sqref="J126">
    <cfRule type="dataBar" priority="8220">
      <dataBar>
        <cfvo type="num" val="0"/>
        <cfvo type="num" val="1"/>
        <color theme="4" tint="0.79998168889431442"/>
      </dataBar>
      <extLst>
        <ext xmlns:x14="http://schemas.microsoft.com/office/spreadsheetml/2009/9/main" uri="{B025F937-C7B1-47D3-B67F-A62EFF666E3E}">
          <x14:id>{BE7417EC-2D3F-4443-BE46-A791CD625E82}</x14:id>
        </ext>
      </extLst>
    </cfRule>
    <cfRule type="iconSet" priority="8219">
      <iconSet iconSet="3Arrows">
        <cfvo type="percent" val="0"/>
        <cfvo type="num" val="0.7"/>
        <cfvo type="num" val="1"/>
      </iconSet>
    </cfRule>
  </conditionalFormatting>
  <conditionalFormatting sqref="J128">
    <cfRule type="dataBar" priority="8218">
      <dataBar>
        <cfvo type="num" val="0"/>
        <cfvo type="num" val="1"/>
        <color theme="4" tint="0.79998168889431442"/>
      </dataBar>
      <extLst>
        <ext xmlns:x14="http://schemas.microsoft.com/office/spreadsheetml/2009/9/main" uri="{B025F937-C7B1-47D3-B67F-A62EFF666E3E}">
          <x14:id>{53468C1E-7B72-4F97-8787-93A621BD72CF}</x14:id>
        </ext>
      </extLst>
    </cfRule>
    <cfRule type="iconSet" priority="8217">
      <iconSet iconSet="3Arrows">
        <cfvo type="percent" val="0"/>
        <cfvo type="num" val="0.7"/>
        <cfvo type="num" val="1"/>
      </iconSet>
    </cfRule>
  </conditionalFormatting>
  <conditionalFormatting sqref="J130">
    <cfRule type="dataBar" priority="8216">
      <dataBar>
        <cfvo type="num" val="0"/>
        <cfvo type="num" val="1"/>
        <color theme="4" tint="0.79998168889431442"/>
      </dataBar>
      <extLst>
        <ext xmlns:x14="http://schemas.microsoft.com/office/spreadsheetml/2009/9/main" uri="{B025F937-C7B1-47D3-B67F-A62EFF666E3E}">
          <x14:id>{4EE8A5B5-975C-4210-90FE-018ACBC93800}</x14:id>
        </ext>
      </extLst>
    </cfRule>
    <cfRule type="iconSet" priority="8215">
      <iconSet iconSet="3Arrows">
        <cfvo type="percent" val="0"/>
        <cfvo type="num" val="0.7"/>
        <cfvo type="num" val="1"/>
      </iconSet>
    </cfRule>
  </conditionalFormatting>
  <conditionalFormatting sqref="J132">
    <cfRule type="dataBar" priority="8214">
      <dataBar>
        <cfvo type="num" val="0"/>
        <cfvo type="num" val="1"/>
        <color theme="4" tint="0.79998168889431442"/>
      </dataBar>
      <extLst>
        <ext xmlns:x14="http://schemas.microsoft.com/office/spreadsheetml/2009/9/main" uri="{B025F937-C7B1-47D3-B67F-A62EFF666E3E}">
          <x14:id>{D3B31C55-56F6-4839-97D8-DB3A5F383AEE}</x14:id>
        </ext>
      </extLst>
    </cfRule>
    <cfRule type="iconSet" priority="8213">
      <iconSet iconSet="3Arrows">
        <cfvo type="percent" val="0"/>
        <cfvo type="num" val="0.7"/>
        <cfvo type="num" val="1"/>
      </iconSet>
    </cfRule>
  </conditionalFormatting>
  <conditionalFormatting sqref="J134">
    <cfRule type="dataBar" priority="8212">
      <dataBar>
        <cfvo type="num" val="0"/>
        <cfvo type="num" val="1"/>
        <color theme="4" tint="0.79998168889431442"/>
      </dataBar>
      <extLst>
        <ext xmlns:x14="http://schemas.microsoft.com/office/spreadsheetml/2009/9/main" uri="{B025F937-C7B1-47D3-B67F-A62EFF666E3E}">
          <x14:id>{27F31E77-0E78-4599-8AE2-EB367770883E}</x14:id>
        </ext>
      </extLst>
    </cfRule>
    <cfRule type="iconSet" priority="8211">
      <iconSet iconSet="3Arrows">
        <cfvo type="percent" val="0"/>
        <cfvo type="num" val="0.7"/>
        <cfvo type="num" val="1"/>
      </iconSet>
    </cfRule>
  </conditionalFormatting>
  <conditionalFormatting sqref="J136">
    <cfRule type="iconSet" priority="8209">
      <iconSet iconSet="3Arrows">
        <cfvo type="percent" val="0"/>
        <cfvo type="num" val="0.7"/>
        <cfvo type="num" val="1"/>
      </iconSet>
    </cfRule>
    <cfRule type="dataBar" priority="8210">
      <dataBar>
        <cfvo type="num" val="0"/>
        <cfvo type="num" val="1"/>
        <color theme="4" tint="0.79998168889431442"/>
      </dataBar>
      <extLst>
        <ext xmlns:x14="http://schemas.microsoft.com/office/spreadsheetml/2009/9/main" uri="{B025F937-C7B1-47D3-B67F-A62EFF666E3E}">
          <x14:id>{CAD40727-8AF2-4C5E-ABCC-CB924A321DCE}</x14:id>
        </ext>
      </extLst>
    </cfRule>
  </conditionalFormatting>
  <conditionalFormatting sqref="J138">
    <cfRule type="iconSet" priority="8207">
      <iconSet iconSet="3Arrows">
        <cfvo type="percent" val="0"/>
        <cfvo type="num" val="0.7"/>
        <cfvo type="num" val="1"/>
      </iconSet>
    </cfRule>
    <cfRule type="dataBar" priority="8208">
      <dataBar>
        <cfvo type="num" val="0"/>
        <cfvo type="num" val="1"/>
        <color theme="4" tint="0.79998168889431442"/>
      </dataBar>
      <extLst>
        <ext xmlns:x14="http://schemas.microsoft.com/office/spreadsheetml/2009/9/main" uri="{B025F937-C7B1-47D3-B67F-A62EFF666E3E}">
          <x14:id>{9CCF427A-1EEE-4403-837B-4AD63EA323C9}</x14:id>
        </ext>
      </extLst>
    </cfRule>
  </conditionalFormatting>
  <conditionalFormatting sqref="J140">
    <cfRule type="iconSet" priority="8205">
      <iconSet iconSet="3Arrows">
        <cfvo type="percent" val="0"/>
        <cfvo type="num" val="0.7"/>
        <cfvo type="num" val="1"/>
      </iconSet>
    </cfRule>
    <cfRule type="dataBar" priority="8206">
      <dataBar>
        <cfvo type="num" val="0"/>
        <cfvo type="num" val="1"/>
        <color theme="4" tint="0.79998168889431442"/>
      </dataBar>
      <extLst>
        <ext xmlns:x14="http://schemas.microsoft.com/office/spreadsheetml/2009/9/main" uri="{B025F937-C7B1-47D3-B67F-A62EFF666E3E}">
          <x14:id>{75E701DE-E3EC-4888-B463-E33CD0DD4D03}</x14:id>
        </ext>
      </extLst>
    </cfRule>
  </conditionalFormatting>
  <conditionalFormatting sqref="J142">
    <cfRule type="dataBar" priority="8204">
      <dataBar>
        <cfvo type="num" val="0"/>
        <cfvo type="num" val="1"/>
        <color theme="4" tint="0.79998168889431442"/>
      </dataBar>
      <extLst>
        <ext xmlns:x14="http://schemas.microsoft.com/office/spreadsheetml/2009/9/main" uri="{B025F937-C7B1-47D3-B67F-A62EFF666E3E}">
          <x14:id>{E1AE5415-3B9E-4FD9-BEC8-CB3858D2ECE9}</x14:id>
        </ext>
      </extLst>
    </cfRule>
    <cfRule type="iconSet" priority="8203">
      <iconSet iconSet="3Arrows">
        <cfvo type="percent" val="0"/>
        <cfvo type="num" val="0.7"/>
        <cfvo type="num" val="1"/>
      </iconSet>
    </cfRule>
  </conditionalFormatting>
  <conditionalFormatting sqref="J144">
    <cfRule type="dataBar" priority="8202">
      <dataBar>
        <cfvo type="num" val="0"/>
        <cfvo type="num" val="1"/>
        <color theme="4" tint="0.79998168889431442"/>
      </dataBar>
      <extLst>
        <ext xmlns:x14="http://schemas.microsoft.com/office/spreadsheetml/2009/9/main" uri="{B025F937-C7B1-47D3-B67F-A62EFF666E3E}">
          <x14:id>{FDD49820-C66A-4DCE-840F-3AB1A25D4071}</x14:id>
        </ext>
      </extLst>
    </cfRule>
    <cfRule type="iconSet" priority="8201">
      <iconSet iconSet="3Arrows">
        <cfvo type="percent" val="0"/>
        <cfvo type="num" val="0.7"/>
        <cfvo type="num" val="1"/>
      </iconSet>
    </cfRule>
  </conditionalFormatting>
  <conditionalFormatting sqref="J146">
    <cfRule type="dataBar" priority="8200">
      <dataBar>
        <cfvo type="num" val="0"/>
        <cfvo type="num" val="1"/>
        <color theme="4" tint="0.79998168889431442"/>
      </dataBar>
      <extLst>
        <ext xmlns:x14="http://schemas.microsoft.com/office/spreadsheetml/2009/9/main" uri="{B025F937-C7B1-47D3-B67F-A62EFF666E3E}">
          <x14:id>{FE8A19F2-63BD-4C30-9C2F-9A0D94D88CEB}</x14:id>
        </ext>
      </extLst>
    </cfRule>
    <cfRule type="iconSet" priority="8199">
      <iconSet iconSet="3Arrows">
        <cfvo type="percent" val="0"/>
        <cfvo type="num" val="0.7"/>
        <cfvo type="num" val="1"/>
      </iconSet>
    </cfRule>
  </conditionalFormatting>
  <conditionalFormatting sqref="J148">
    <cfRule type="dataBar" priority="8198">
      <dataBar>
        <cfvo type="num" val="0"/>
        <cfvo type="num" val="1"/>
        <color theme="4" tint="0.79998168889431442"/>
      </dataBar>
      <extLst>
        <ext xmlns:x14="http://schemas.microsoft.com/office/spreadsheetml/2009/9/main" uri="{B025F937-C7B1-47D3-B67F-A62EFF666E3E}">
          <x14:id>{D53B003B-129F-4CDE-8355-EC8EBD958580}</x14:id>
        </ext>
      </extLst>
    </cfRule>
    <cfRule type="iconSet" priority="8197">
      <iconSet iconSet="3Arrows">
        <cfvo type="percent" val="0"/>
        <cfvo type="num" val="0.7"/>
        <cfvo type="num" val="1"/>
      </iconSet>
    </cfRule>
  </conditionalFormatting>
  <conditionalFormatting sqref="J150">
    <cfRule type="dataBar" priority="8196">
      <dataBar>
        <cfvo type="num" val="0"/>
        <cfvo type="num" val="1"/>
        <color theme="4" tint="0.79998168889431442"/>
      </dataBar>
      <extLst>
        <ext xmlns:x14="http://schemas.microsoft.com/office/spreadsheetml/2009/9/main" uri="{B025F937-C7B1-47D3-B67F-A62EFF666E3E}">
          <x14:id>{15D9164D-F179-4997-AB5B-37DC7C74CB32}</x14:id>
        </ext>
      </extLst>
    </cfRule>
    <cfRule type="iconSet" priority="8195">
      <iconSet iconSet="3Arrows">
        <cfvo type="percent" val="0"/>
        <cfvo type="num" val="0.7"/>
        <cfvo type="num" val="1"/>
      </iconSet>
    </cfRule>
  </conditionalFormatting>
  <conditionalFormatting sqref="J152">
    <cfRule type="iconSet" priority="8193">
      <iconSet iconSet="3Arrows">
        <cfvo type="percent" val="0"/>
        <cfvo type="num" val="0.7"/>
        <cfvo type="num" val="1"/>
      </iconSet>
    </cfRule>
    <cfRule type="dataBar" priority="8194">
      <dataBar>
        <cfvo type="num" val="0"/>
        <cfvo type="num" val="1"/>
        <color theme="4" tint="0.79998168889431442"/>
      </dataBar>
      <extLst>
        <ext xmlns:x14="http://schemas.microsoft.com/office/spreadsheetml/2009/9/main" uri="{B025F937-C7B1-47D3-B67F-A62EFF666E3E}">
          <x14:id>{2B812241-F544-4CCD-932D-73C36CF59F36}</x14:id>
        </ext>
      </extLst>
    </cfRule>
  </conditionalFormatting>
  <conditionalFormatting sqref="J154">
    <cfRule type="iconSet" priority="8191">
      <iconSet iconSet="3Arrows">
        <cfvo type="percent" val="0"/>
        <cfvo type="num" val="0.7"/>
        <cfvo type="num" val="1"/>
      </iconSet>
    </cfRule>
    <cfRule type="dataBar" priority="8192">
      <dataBar>
        <cfvo type="num" val="0"/>
        <cfvo type="num" val="1"/>
        <color theme="4" tint="0.79998168889431442"/>
      </dataBar>
      <extLst>
        <ext xmlns:x14="http://schemas.microsoft.com/office/spreadsheetml/2009/9/main" uri="{B025F937-C7B1-47D3-B67F-A62EFF666E3E}">
          <x14:id>{D809FDF8-A1D3-434B-AFF3-0253DFC816B3}</x14:id>
        </ext>
      </extLst>
    </cfRule>
  </conditionalFormatting>
  <conditionalFormatting sqref="J156">
    <cfRule type="dataBar" priority="8190">
      <dataBar>
        <cfvo type="num" val="0"/>
        <cfvo type="num" val="1"/>
        <color theme="4" tint="0.79998168889431442"/>
      </dataBar>
      <extLst>
        <ext xmlns:x14="http://schemas.microsoft.com/office/spreadsheetml/2009/9/main" uri="{B025F937-C7B1-47D3-B67F-A62EFF666E3E}">
          <x14:id>{022CED48-73AC-4C5E-8C94-B792F7365560}</x14:id>
        </ext>
      </extLst>
    </cfRule>
    <cfRule type="iconSet" priority="8189">
      <iconSet iconSet="3Arrows">
        <cfvo type="percent" val="0"/>
        <cfvo type="num" val="0.7"/>
        <cfvo type="num" val="1"/>
      </iconSet>
    </cfRule>
  </conditionalFormatting>
  <conditionalFormatting sqref="J158">
    <cfRule type="dataBar" priority="8188">
      <dataBar>
        <cfvo type="num" val="0"/>
        <cfvo type="num" val="1"/>
        <color theme="4" tint="0.79998168889431442"/>
      </dataBar>
      <extLst>
        <ext xmlns:x14="http://schemas.microsoft.com/office/spreadsheetml/2009/9/main" uri="{B025F937-C7B1-47D3-B67F-A62EFF666E3E}">
          <x14:id>{AE701C41-A6B9-40C5-872D-02DB807DAA70}</x14:id>
        </ext>
      </extLst>
    </cfRule>
    <cfRule type="iconSet" priority="8187">
      <iconSet iconSet="3Arrows">
        <cfvo type="percent" val="0"/>
        <cfvo type="num" val="0.7"/>
        <cfvo type="num" val="1"/>
      </iconSet>
    </cfRule>
  </conditionalFormatting>
  <conditionalFormatting sqref="J160">
    <cfRule type="dataBar" priority="8186">
      <dataBar>
        <cfvo type="num" val="0"/>
        <cfvo type="num" val="1"/>
        <color theme="4" tint="0.79998168889431442"/>
      </dataBar>
      <extLst>
        <ext xmlns:x14="http://schemas.microsoft.com/office/spreadsheetml/2009/9/main" uri="{B025F937-C7B1-47D3-B67F-A62EFF666E3E}">
          <x14:id>{93211A9F-A29D-4FC5-9BD9-E6B51B8748DB}</x14:id>
        </ext>
      </extLst>
    </cfRule>
    <cfRule type="iconSet" priority="8185">
      <iconSet iconSet="3Arrows">
        <cfvo type="percent" val="0"/>
        <cfvo type="num" val="0.7"/>
        <cfvo type="num" val="1"/>
      </iconSet>
    </cfRule>
  </conditionalFormatting>
  <conditionalFormatting sqref="J162">
    <cfRule type="dataBar" priority="8184">
      <dataBar>
        <cfvo type="num" val="0"/>
        <cfvo type="num" val="1"/>
        <color theme="4" tint="0.79998168889431442"/>
      </dataBar>
      <extLst>
        <ext xmlns:x14="http://schemas.microsoft.com/office/spreadsheetml/2009/9/main" uri="{B025F937-C7B1-47D3-B67F-A62EFF666E3E}">
          <x14:id>{675F2316-DEAB-4C34-992B-B2164836E7B5}</x14:id>
        </ext>
      </extLst>
    </cfRule>
    <cfRule type="iconSet" priority="8183">
      <iconSet iconSet="3Arrows">
        <cfvo type="percent" val="0"/>
        <cfvo type="num" val="0.7"/>
        <cfvo type="num" val="1"/>
      </iconSet>
    </cfRule>
  </conditionalFormatting>
  <conditionalFormatting sqref="J164">
    <cfRule type="dataBar" priority="8182">
      <dataBar>
        <cfvo type="num" val="0"/>
        <cfvo type="num" val="1"/>
        <color theme="4" tint="0.79998168889431442"/>
      </dataBar>
      <extLst>
        <ext xmlns:x14="http://schemas.microsoft.com/office/spreadsheetml/2009/9/main" uri="{B025F937-C7B1-47D3-B67F-A62EFF666E3E}">
          <x14:id>{6C362AD7-BB95-47EF-A7EC-0CFD97A86C32}</x14:id>
        </ext>
      </extLst>
    </cfRule>
    <cfRule type="iconSet" priority="8181">
      <iconSet iconSet="3Arrows">
        <cfvo type="percent" val="0"/>
        <cfvo type="num" val="0.7"/>
        <cfvo type="num" val="1"/>
      </iconSet>
    </cfRule>
  </conditionalFormatting>
  <conditionalFormatting sqref="J166">
    <cfRule type="dataBar" priority="8180">
      <dataBar>
        <cfvo type="num" val="0"/>
        <cfvo type="num" val="1"/>
        <color theme="4" tint="0.79998168889431442"/>
      </dataBar>
      <extLst>
        <ext xmlns:x14="http://schemas.microsoft.com/office/spreadsheetml/2009/9/main" uri="{B025F937-C7B1-47D3-B67F-A62EFF666E3E}">
          <x14:id>{4B24CEE1-061C-4D0C-B4EF-D3788B4BE196}</x14:id>
        </ext>
      </extLst>
    </cfRule>
    <cfRule type="iconSet" priority="8179">
      <iconSet iconSet="3Arrows">
        <cfvo type="percent" val="0"/>
        <cfvo type="num" val="0.7"/>
        <cfvo type="num" val="1"/>
      </iconSet>
    </cfRule>
  </conditionalFormatting>
  <conditionalFormatting sqref="J168">
    <cfRule type="iconSet" priority="8177">
      <iconSet iconSet="3Arrows">
        <cfvo type="percent" val="0"/>
        <cfvo type="num" val="0.7"/>
        <cfvo type="num" val="1"/>
      </iconSet>
    </cfRule>
    <cfRule type="dataBar" priority="8178">
      <dataBar>
        <cfvo type="num" val="0"/>
        <cfvo type="num" val="1"/>
        <color theme="4" tint="0.79998168889431442"/>
      </dataBar>
      <extLst>
        <ext xmlns:x14="http://schemas.microsoft.com/office/spreadsheetml/2009/9/main" uri="{B025F937-C7B1-47D3-B67F-A62EFF666E3E}">
          <x14:id>{55EB2827-CEEB-4AB5-A602-ABB70779B453}</x14:id>
        </ext>
      </extLst>
    </cfRule>
  </conditionalFormatting>
  <conditionalFormatting sqref="J170">
    <cfRule type="iconSet" priority="8175">
      <iconSet iconSet="3Arrows">
        <cfvo type="percent" val="0"/>
        <cfvo type="num" val="0.7"/>
        <cfvo type="num" val="1"/>
      </iconSet>
    </cfRule>
    <cfRule type="dataBar" priority="8176">
      <dataBar>
        <cfvo type="num" val="0"/>
        <cfvo type="num" val="1"/>
        <color theme="4" tint="0.79998168889431442"/>
      </dataBar>
      <extLst>
        <ext xmlns:x14="http://schemas.microsoft.com/office/spreadsheetml/2009/9/main" uri="{B025F937-C7B1-47D3-B67F-A62EFF666E3E}">
          <x14:id>{27BD0736-CCEA-4FE7-8CC5-947FDDEAA391}</x14:id>
        </ext>
      </extLst>
    </cfRule>
  </conditionalFormatting>
  <conditionalFormatting sqref="J172">
    <cfRule type="dataBar" priority="8174">
      <dataBar>
        <cfvo type="num" val="0"/>
        <cfvo type="num" val="1"/>
        <color theme="4" tint="0.79998168889431442"/>
      </dataBar>
      <extLst>
        <ext xmlns:x14="http://schemas.microsoft.com/office/spreadsheetml/2009/9/main" uri="{B025F937-C7B1-47D3-B67F-A62EFF666E3E}">
          <x14:id>{7ACE4DAA-C3B1-4B05-8991-943EBE58731D}</x14:id>
        </ext>
      </extLst>
    </cfRule>
    <cfRule type="iconSet" priority="8173">
      <iconSet iconSet="3Arrows">
        <cfvo type="percent" val="0"/>
        <cfvo type="num" val="0.7"/>
        <cfvo type="num" val="1"/>
      </iconSet>
    </cfRule>
  </conditionalFormatting>
  <conditionalFormatting sqref="J176">
    <cfRule type="dataBar" priority="8172">
      <dataBar>
        <cfvo type="num" val="0"/>
        <cfvo type="num" val="1"/>
        <color theme="4" tint="0.79998168889431442"/>
      </dataBar>
      <extLst>
        <ext xmlns:x14="http://schemas.microsoft.com/office/spreadsheetml/2009/9/main" uri="{B025F937-C7B1-47D3-B67F-A62EFF666E3E}">
          <x14:id>{5122CDE1-5AD2-427E-89A7-4D1C52ED196D}</x14:id>
        </ext>
      </extLst>
    </cfRule>
    <cfRule type="iconSet" priority="8171">
      <iconSet iconSet="3Arrows">
        <cfvo type="percent" val="0"/>
        <cfvo type="num" val="0.7"/>
        <cfvo type="num" val="1"/>
      </iconSet>
    </cfRule>
  </conditionalFormatting>
  <conditionalFormatting sqref="J178">
    <cfRule type="dataBar" priority="8170">
      <dataBar>
        <cfvo type="num" val="0"/>
        <cfvo type="num" val="1"/>
        <color theme="4" tint="0.79998168889431442"/>
      </dataBar>
      <extLst>
        <ext xmlns:x14="http://schemas.microsoft.com/office/spreadsheetml/2009/9/main" uri="{B025F937-C7B1-47D3-B67F-A62EFF666E3E}">
          <x14:id>{FF402813-2691-44C3-BE66-EA5684DB404B}</x14:id>
        </ext>
      </extLst>
    </cfRule>
    <cfRule type="iconSet" priority="8169">
      <iconSet iconSet="3Arrows">
        <cfvo type="percent" val="0"/>
        <cfvo type="num" val="0.7"/>
        <cfvo type="num" val="1"/>
      </iconSet>
    </cfRule>
  </conditionalFormatting>
  <conditionalFormatting sqref="J180">
    <cfRule type="dataBar" priority="8168">
      <dataBar>
        <cfvo type="num" val="0"/>
        <cfvo type="num" val="1"/>
        <color theme="4" tint="0.79998168889431442"/>
      </dataBar>
      <extLst>
        <ext xmlns:x14="http://schemas.microsoft.com/office/spreadsheetml/2009/9/main" uri="{B025F937-C7B1-47D3-B67F-A62EFF666E3E}">
          <x14:id>{08BF243C-124B-4309-87BD-5E186EBEB93A}</x14:id>
        </ext>
      </extLst>
    </cfRule>
    <cfRule type="iconSet" priority="8167">
      <iconSet iconSet="3Arrows">
        <cfvo type="percent" val="0"/>
        <cfvo type="num" val="0.7"/>
        <cfvo type="num" val="1"/>
      </iconSet>
    </cfRule>
  </conditionalFormatting>
  <conditionalFormatting sqref="J182">
    <cfRule type="dataBar" priority="8166">
      <dataBar>
        <cfvo type="num" val="0"/>
        <cfvo type="num" val="1"/>
        <color theme="4" tint="0.79998168889431442"/>
      </dataBar>
      <extLst>
        <ext xmlns:x14="http://schemas.microsoft.com/office/spreadsheetml/2009/9/main" uri="{B025F937-C7B1-47D3-B67F-A62EFF666E3E}">
          <x14:id>{E74C0772-0917-48AB-BA44-070A25FD0D5A}</x14:id>
        </ext>
      </extLst>
    </cfRule>
    <cfRule type="iconSet" priority="8165">
      <iconSet iconSet="3Arrows">
        <cfvo type="percent" val="0"/>
        <cfvo type="num" val="0.7"/>
        <cfvo type="num" val="1"/>
      </iconSet>
    </cfRule>
  </conditionalFormatting>
  <conditionalFormatting sqref="J184">
    <cfRule type="dataBar" priority="8164">
      <dataBar>
        <cfvo type="num" val="0"/>
        <cfvo type="num" val="1"/>
        <color theme="4" tint="0.79998168889431442"/>
      </dataBar>
      <extLst>
        <ext xmlns:x14="http://schemas.microsoft.com/office/spreadsheetml/2009/9/main" uri="{B025F937-C7B1-47D3-B67F-A62EFF666E3E}">
          <x14:id>{C0A81B0C-4D32-4069-BB68-3D1D013D3926}</x14:id>
        </ext>
      </extLst>
    </cfRule>
    <cfRule type="iconSet" priority="8163">
      <iconSet iconSet="3Arrows">
        <cfvo type="percent" val="0"/>
        <cfvo type="num" val="0.7"/>
        <cfvo type="num" val="1"/>
      </iconSet>
    </cfRule>
  </conditionalFormatting>
  <conditionalFormatting sqref="J186">
    <cfRule type="dataBar" priority="8162">
      <dataBar>
        <cfvo type="num" val="0"/>
        <cfvo type="num" val="1"/>
        <color theme="4" tint="0.79998168889431442"/>
      </dataBar>
      <extLst>
        <ext xmlns:x14="http://schemas.microsoft.com/office/spreadsheetml/2009/9/main" uri="{B025F937-C7B1-47D3-B67F-A62EFF666E3E}">
          <x14:id>{3620D5DE-04A6-43B1-9998-A95CE5E539E3}</x14:id>
        </ext>
      </extLst>
    </cfRule>
    <cfRule type="iconSet" priority="8161">
      <iconSet iconSet="3Arrows">
        <cfvo type="percent" val="0"/>
        <cfvo type="num" val="0.7"/>
        <cfvo type="num" val="1"/>
      </iconSet>
    </cfRule>
  </conditionalFormatting>
  <conditionalFormatting sqref="J188">
    <cfRule type="dataBar" priority="8160">
      <dataBar>
        <cfvo type="num" val="0"/>
        <cfvo type="num" val="1"/>
        <color theme="4" tint="0.79998168889431442"/>
      </dataBar>
      <extLst>
        <ext xmlns:x14="http://schemas.microsoft.com/office/spreadsheetml/2009/9/main" uri="{B025F937-C7B1-47D3-B67F-A62EFF666E3E}">
          <x14:id>{672E12FD-51B5-41B1-866A-07554682C9C7}</x14:id>
        </ext>
      </extLst>
    </cfRule>
    <cfRule type="iconSet" priority="8159">
      <iconSet iconSet="3Arrows">
        <cfvo type="percent" val="0"/>
        <cfvo type="num" val="0.7"/>
        <cfvo type="num" val="1"/>
      </iconSet>
    </cfRule>
  </conditionalFormatting>
  <conditionalFormatting sqref="J190">
    <cfRule type="dataBar" priority="8158">
      <dataBar>
        <cfvo type="num" val="0"/>
        <cfvo type="num" val="1"/>
        <color theme="4" tint="0.79998168889431442"/>
      </dataBar>
      <extLst>
        <ext xmlns:x14="http://schemas.microsoft.com/office/spreadsheetml/2009/9/main" uri="{B025F937-C7B1-47D3-B67F-A62EFF666E3E}">
          <x14:id>{B49B2E0F-30DD-4599-820D-A9492CABF510}</x14:id>
        </ext>
      </extLst>
    </cfRule>
    <cfRule type="iconSet" priority="8157">
      <iconSet iconSet="3Arrows">
        <cfvo type="percent" val="0"/>
        <cfvo type="num" val="0.7"/>
        <cfvo type="num" val="1"/>
      </iconSet>
    </cfRule>
  </conditionalFormatting>
  <conditionalFormatting sqref="J192">
    <cfRule type="dataBar" priority="8156">
      <dataBar>
        <cfvo type="num" val="0"/>
        <cfvo type="num" val="1"/>
        <color theme="4" tint="0.79998168889431442"/>
      </dataBar>
      <extLst>
        <ext xmlns:x14="http://schemas.microsoft.com/office/spreadsheetml/2009/9/main" uri="{B025F937-C7B1-47D3-B67F-A62EFF666E3E}">
          <x14:id>{006CECFB-74FF-4267-ABFC-86C41A1A64C6}</x14:id>
        </ext>
      </extLst>
    </cfRule>
    <cfRule type="iconSet" priority="8155">
      <iconSet iconSet="3Arrows">
        <cfvo type="percent" val="0"/>
        <cfvo type="num" val="0.7"/>
        <cfvo type="num" val="1"/>
      </iconSet>
    </cfRule>
  </conditionalFormatting>
  <conditionalFormatting sqref="J194">
    <cfRule type="dataBar" priority="8154">
      <dataBar>
        <cfvo type="num" val="0"/>
        <cfvo type="num" val="1"/>
        <color theme="4" tint="0.79998168889431442"/>
      </dataBar>
      <extLst>
        <ext xmlns:x14="http://schemas.microsoft.com/office/spreadsheetml/2009/9/main" uri="{B025F937-C7B1-47D3-B67F-A62EFF666E3E}">
          <x14:id>{8C2DD260-FD4D-44CF-8D1C-DFBCE3EE816E}</x14:id>
        </ext>
      </extLst>
    </cfRule>
    <cfRule type="iconSet" priority="8153">
      <iconSet iconSet="3Arrows">
        <cfvo type="percent" val="0"/>
        <cfvo type="num" val="0.7"/>
        <cfvo type="num" val="1"/>
      </iconSet>
    </cfRule>
  </conditionalFormatting>
  <conditionalFormatting sqref="J196">
    <cfRule type="dataBar" priority="8152">
      <dataBar>
        <cfvo type="num" val="0"/>
        <cfvo type="num" val="1"/>
        <color theme="4" tint="0.79998168889431442"/>
      </dataBar>
      <extLst>
        <ext xmlns:x14="http://schemas.microsoft.com/office/spreadsheetml/2009/9/main" uri="{B025F937-C7B1-47D3-B67F-A62EFF666E3E}">
          <x14:id>{FC638EC3-3C41-4454-AD23-405753EB6FEE}</x14:id>
        </ext>
      </extLst>
    </cfRule>
    <cfRule type="iconSet" priority="8151">
      <iconSet iconSet="3Arrows">
        <cfvo type="percent" val="0"/>
        <cfvo type="num" val="0.7"/>
        <cfvo type="num" val="1"/>
      </iconSet>
    </cfRule>
  </conditionalFormatting>
  <conditionalFormatting sqref="J198">
    <cfRule type="dataBar" priority="8150">
      <dataBar>
        <cfvo type="num" val="0"/>
        <cfvo type="num" val="1"/>
        <color theme="4" tint="0.79998168889431442"/>
      </dataBar>
      <extLst>
        <ext xmlns:x14="http://schemas.microsoft.com/office/spreadsheetml/2009/9/main" uri="{B025F937-C7B1-47D3-B67F-A62EFF666E3E}">
          <x14:id>{1DC1BFE3-B402-49D6-8347-BAD62B20ED03}</x14:id>
        </ext>
      </extLst>
    </cfRule>
    <cfRule type="iconSet" priority="8149">
      <iconSet iconSet="3Arrows">
        <cfvo type="percent" val="0"/>
        <cfvo type="num" val="0.7"/>
        <cfvo type="num" val="1"/>
      </iconSet>
    </cfRule>
  </conditionalFormatting>
  <conditionalFormatting sqref="J200">
    <cfRule type="dataBar" priority="8148">
      <dataBar>
        <cfvo type="num" val="0"/>
        <cfvo type="num" val="1"/>
        <color theme="4" tint="0.79998168889431442"/>
      </dataBar>
      <extLst>
        <ext xmlns:x14="http://schemas.microsoft.com/office/spreadsheetml/2009/9/main" uri="{B025F937-C7B1-47D3-B67F-A62EFF666E3E}">
          <x14:id>{80298D52-F825-4053-8B48-ECD3AC01603A}</x14:id>
        </ext>
      </extLst>
    </cfRule>
    <cfRule type="iconSet" priority="8147">
      <iconSet iconSet="3Arrows">
        <cfvo type="percent" val="0"/>
        <cfvo type="num" val="0.7"/>
        <cfvo type="num" val="1"/>
      </iconSet>
    </cfRule>
  </conditionalFormatting>
  <conditionalFormatting sqref="J202">
    <cfRule type="dataBar" priority="8146">
      <dataBar>
        <cfvo type="num" val="0"/>
        <cfvo type="num" val="1"/>
        <color theme="4" tint="0.79998168889431442"/>
      </dataBar>
      <extLst>
        <ext xmlns:x14="http://schemas.microsoft.com/office/spreadsheetml/2009/9/main" uri="{B025F937-C7B1-47D3-B67F-A62EFF666E3E}">
          <x14:id>{3B40059A-2089-4FCD-99DF-37356B2BE44B}</x14:id>
        </ext>
      </extLst>
    </cfRule>
    <cfRule type="iconSet" priority="8145">
      <iconSet iconSet="3Arrows">
        <cfvo type="percent" val="0"/>
        <cfvo type="num" val="0.7"/>
        <cfvo type="num" val="1"/>
      </iconSet>
    </cfRule>
  </conditionalFormatting>
  <conditionalFormatting sqref="J204">
    <cfRule type="iconSet" priority="8143">
      <iconSet iconSet="3Arrows">
        <cfvo type="percent" val="0"/>
        <cfvo type="num" val="0.7"/>
        <cfvo type="num" val="1"/>
      </iconSet>
    </cfRule>
    <cfRule type="dataBar" priority="8144">
      <dataBar>
        <cfvo type="num" val="0"/>
        <cfvo type="num" val="1"/>
        <color theme="4" tint="0.79998168889431442"/>
      </dataBar>
      <extLst>
        <ext xmlns:x14="http://schemas.microsoft.com/office/spreadsheetml/2009/9/main" uri="{B025F937-C7B1-47D3-B67F-A62EFF666E3E}">
          <x14:id>{AE9F373D-93AF-425C-A3EA-FE7C95764BE1}</x14:id>
        </ext>
      </extLst>
    </cfRule>
  </conditionalFormatting>
  <conditionalFormatting sqref="J206">
    <cfRule type="iconSet" priority="8141">
      <iconSet iconSet="3Arrows">
        <cfvo type="percent" val="0"/>
        <cfvo type="num" val="0.7"/>
        <cfvo type="num" val="1"/>
      </iconSet>
    </cfRule>
    <cfRule type="dataBar" priority="8142">
      <dataBar>
        <cfvo type="num" val="0"/>
        <cfvo type="num" val="1"/>
        <color theme="4" tint="0.79998168889431442"/>
      </dataBar>
      <extLst>
        <ext xmlns:x14="http://schemas.microsoft.com/office/spreadsheetml/2009/9/main" uri="{B025F937-C7B1-47D3-B67F-A62EFF666E3E}">
          <x14:id>{BEC257BA-44EE-4D24-9054-E86717E2863E}</x14:id>
        </ext>
      </extLst>
    </cfRule>
  </conditionalFormatting>
  <conditionalFormatting sqref="J208">
    <cfRule type="dataBar" priority="8140">
      <dataBar>
        <cfvo type="num" val="0"/>
        <cfvo type="num" val="1"/>
        <color theme="4" tint="0.79998168889431442"/>
      </dataBar>
      <extLst>
        <ext xmlns:x14="http://schemas.microsoft.com/office/spreadsheetml/2009/9/main" uri="{B025F937-C7B1-47D3-B67F-A62EFF666E3E}">
          <x14:id>{0F7A10C0-E0EF-4BA1-9C36-E70D16936BFC}</x14:id>
        </ext>
      </extLst>
    </cfRule>
    <cfRule type="iconSet" priority="8139">
      <iconSet iconSet="3Arrows">
        <cfvo type="percent" val="0"/>
        <cfvo type="num" val="0.7"/>
        <cfvo type="num" val="1"/>
      </iconSet>
    </cfRule>
  </conditionalFormatting>
  <conditionalFormatting sqref="J210">
    <cfRule type="dataBar" priority="8138">
      <dataBar>
        <cfvo type="num" val="0"/>
        <cfvo type="num" val="1"/>
        <color theme="4" tint="0.79998168889431442"/>
      </dataBar>
      <extLst>
        <ext xmlns:x14="http://schemas.microsoft.com/office/spreadsheetml/2009/9/main" uri="{B025F937-C7B1-47D3-B67F-A62EFF666E3E}">
          <x14:id>{57702CA8-B356-4DC2-A1CB-D1C44833A55F}</x14:id>
        </ext>
      </extLst>
    </cfRule>
    <cfRule type="iconSet" priority="8137">
      <iconSet iconSet="3Arrows">
        <cfvo type="percent" val="0"/>
        <cfvo type="num" val="0.7"/>
        <cfvo type="num" val="1"/>
      </iconSet>
    </cfRule>
  </conditionalFormatting>
  <conditionalFormatting sqref="J212">
    <cfRule type="dataBar" priority="8136">
      <dataBar>
        <cfvo type="num" val="0"/>
        <cfvo type="num" val="1"/>
        <color theme="4" tint="0.79998168889431442"/>
      </dataBar>
      <extLst>
        <ext xmlns:x14="http://schemas.microsoft.com/office/spreadsheetml/2009/9/main" uri="{B025F937-C7B1-47D3-B67F-A62EFF666E3E}">
          <x14:id>{73A2BC05-E52E-4AAD-A6C4-E0BDE4F99FCC}</x14:id>
        </ext>
      </extLst>
    </cfRule>
    <cfRule type="iconSet" priority="8135">
      <iconSet iconSet="3Arrows">
        <cfvo type="percent" val="0"/>
        <cfvo type="num" val="0.7"/>
        <cfvo type="num" val="1"/>
      </iconSet>
    </cfRule>
  </conditionalFormatting>
  <conditionalFormatting sqref="J214">
    <cfRule type="dataBar" priority="8134">
      <dataBar>
        <cfvo type="num" val="0"/>
        <cfvo type="num" val="1"/>
        <color theme="4" tint="0.79998168889431442"/>
      </dataBar>
      <extLst>
        <ext xmlns:x14="http://schemas.microsoft.com/office/spreadsheetml/2009/9/main" uri="{B025F937-C7B1-47D3-B67F-A62EFF666E3E}">
          <x14:id>{CF8C0C7C-FCAA-4BC8-81F7-D6B32700B5B9}</x14:id>
        </ext>
      </extLst>
    </cfRule>
    <cfRule type="iconSet" priority="8133">
      <iconSet iconSet="3Arrows">
        <cfvo type="percent" val="0"/>
        <cfvo type="num" val="0.7"/>
        <cfvo type="num" val="1"/>
      </iconSet>
    </cfRule>
  </conditionalFormatting>
  <conditionalFormatting sqref="J216">
    <cfRule type="dataBar" priority="8132">
      <dataBar>
        <cfvo type="num" val="0"/>
        <cfvo type="num" val="1"/>
        <color theme="4" tint="0.79998168889431442"/>
      </dataBar>
      <extLst>
        <ext xmlns:x14="http://schemas.microsoft.com/office/spreadsheetml/2009/9/main" uri="{B025F937-C7B1-47D3-B67F-A62EFF666E3E}">
          <x14:id>{81DBD823-C8BF-4EC1-8382-FE96E360F489}</x14:id>
        </ext>
      </extLst>
    </cfRule>
    <cfRule type="iconSet" priority="8131">
      <iconSet iconSet="3Arrows">
        <cfvo type="percent" val="0"/>
        <cfvo type="num" val="0.7"/>
        <cfvo type="num" val="1"/>
      </iconSet>
    </cfRule>
  </conditionalFormatting>
  <conditionalFormatting sqref="J218">
    <cfRule type="dataBar" priority="8130">
      <dataBar>
        <cfvo type="num" val="0"/>
        <cfvo type="num" val="1"/>
        <color theme="4" tint="0.79998168889431442"/>
      </dataBar>
      <extLst>
        <ext xmlns:x14="http://schemas.microsoft.com/office/spreadsheetml/2009/9/main" uri="{B025F937-C7B1-47D3-B67F-A62EFF666E3E}">
          <x14:id>{828FC4D9-EBCE-4026-98CA-B5784482FE89}</x14:id>
        </ext>
      </extLst>
    </cfRule>
    <cfRule type="iconSet" priority="8129">
      <iconSet iconSet="3Arrows">
        <cfvo type="percent" val="0"/>
        <cfvo type="num" val="0.7"/>
        <cfvo type="num" val="1"/>
      </iconSet>
    </cfRule>
  </conditionalFormatting>
  <conditionalFormatting sqref="J220">
    <cfRule type="iconSet" priority="8127">
      <iconSet iconSet="3Arrows">
        <cfvo type="percent" val="0"/>
        <cfvo type="num" val="0.7"/>
        <cfvo type="num" val="1"/>
      </iconSet>
    </cfRule>
    <cfRule type="dataBar" priority="8128">
      <dataBar>
        <cfvo type="num" val="0"/>
        <cfvo type="num" val="1"/>
        <color theme="4" tint="0.79998168889431442"/>
      </dataBar>
      <extLst>
        <ext xmlns:x14="http://schemas.microsoft.com/office/spreadsheetml/2009/9/main" uri="{B025F937-C7B1-47D3-B67F-A62EFF666E3E}">
          <x14:id>{EF593E55-2084-4E78-B180-F7F6DA12E634}</x14:id>
        </ext>
      </extLst>
    </cfRule>
  </conditionalFormatting>
  <conditionalFormatting sqref="J222">
    <cfRule type="dataBar" priority="8126">
      <dataBar>
        <cfvo type="num" val="0"/>
        <cfvo type="num" val="1"/>
        <color theme="4" tint="0.79998168889431442"/>
      </dataBar>
      <extLst>
        <ext xmlns:x14="http://schemas.microsoft.com/office/spreadsheetml/2009/9/main" uri="{B025F937-C7B1-47D3-B67F-A62EFF666E3E}">
          <x14:id>{AD5A1C02-D18F-4C2F-994E-6462E05C0784}</x14:id>
        </ext>
      </extLst>
    </cfRule>
    <cfRule type="iconSet" priority="8125">
      <iconSet iconSet="3Arrows">
        <cfvo type="percent" val="0"/>
        <cfvo type="num" val="0.7"/>
        <cfvo type="num" val="1"/>
      </iconSet>
    </cfRule>
  </conditionalFormatting>
  <conditionalFormatting sqref="J224">
    <cfRule type="dataBar" priority="8124">
      <dataBar>
        <cfvo type="num" val="0"/>
        <cfvo type="num" val="1"/>
        <color theme="4" tint="0.79998168889431442"/>
      </dataBar>
      <extLst>
        <ext xmlns:x14="http://schemas.microsoft.com/office/spreadsheetml/2009/9/main" uri="{B025F937-C7B1-47D3-B67F-A62EFF666E3E}">
          <x14:id>{F7DBE398-E960-46F5-B1CC-AD643D718AF1}</x14:id>
        </ext>
      </extLst>
    </cfRule>
    <cfRule type="iconSet" priority="8123">
      <iconSet iconSet="3Arrows">
        <cfvo type="percent" val="0"/>
        <cfvo type="num" val="0.7"/>
        <cfvo type="num" val="1"/>
      </iconSet>
    </cfRule>
  </conditionalFormatting>
  <conditionalFormatting sqref="J226">
    <cfRule type="dataBar" priority="8122">
      <dataBar>
        <cfvo type="num" val="0"/>
        <cfvo type="num" val="1"/>
        <color theme="4" tint="0.79998168889431442"/>
      </dataBar>
      <extLst>
        <ext xmlns:x14="http://schemas.microsoft.com/office/spreadsheetml/2009/9/main" uri="{B025F937-C7B1-47D3-B67F-A62EFF666E3E}">
          <x14:id>{5E386DE7-AE65-470C-8A06-1235D285E264}</x14:id>
        </ext>
      </extLst>
    </cfRule>
    <cfRule type="iconSet" priority="8121">
      <iconSet iconSet="3Arrows">
        <cfvo type="percent" val="0"/>
        <cfvo type="num" val="0.7"/>
        <cfvo type="num" val="1"/>
      </iconSet>
    </cfRule>
  </conditionalFormatting>
  <conditionalFormatting sqref="J228">
    <cfRule type="iconSet" priority="8119">
      <iconSet iconSet="3Arrows">
        <cfvo type="percent" val="0"/>
        <cfvo type="num" val="0.7"/>
        <cfvo type="num" val="1"/>
      </iconSet>
    </cfRule>
    <cfRule type="dataBar" priority="8120">
      <dataBar>
        <cfvo type="num" val="0"/>
        <cfvo type="num" val="1"/>
        <color theme="4" tint="0.79998168889431442"/>
      </dataBar>
      <extLst>
        <ext xmlns:x14="http://schemas.microsoft.com/office/spreadsheetml/2009/9/main" uri="{B025F937-C7B1-47D3-B67F-A62EFF666E3E}">
          <x14:id>{DE85C426-50A5-4849-BE5A-CA1DA9852999}</x14:id>
        </ext>
      </extLst>
    </cfRule>
  </conditionalFormatting>
  <conditionalFormatting sqref="J232">
    <cfRule type="dataBar" priority="8118">
      <dataBar>
        <cfvo type="num" val="0"/>
        <cfvo type="num" val="1"/>
        <color theme="4" tint="0.79998168889431442"/>
      </dataBar>
      <extLst>
        <ext xmlns:x14="http://schemas.microsoft.com/office/spreadsheetml/2009/9/main" uri="{B025F937-C7B1-47D3-B67F-A62EFF666E3E}">
          <x14:id>{C8D41E6D-FE4D-461A-B69E-DED717BB1425}</x14:id>
        </ext>
      </extLst>
    </cfRule>
    <cfRule type="iconSet" priority="8117">
      <iconSet iconSet="3Arrows">
        <cfvo type="percent" val="0"/>
        <cfvo type="num" val="0.7"/>
        <cfvo type="num" val="1"/>
      </iconSet>
    </cfRule>
  </conditionalFormatting>
  <conditionalFormatting sqref="J234">
    <cfRule type="dataBar" priority="8116">
      <dataBar>
        <cfvo type="num" val="0"/>
        <cfvo type="num" val="1"/>
        <color theme="4" tint="0.79998168889431442"/>
      </dataBar>
      <extLst>
        <ext xmlns:x14="http://schemas.microsoft.com/office/spreadsheetml/2009/9/main" uri="{B025F937-C7B1-47D3-B67F-A62EFF666E3E}">
          <x14:id>{5FCE0778-442C-4FBE-82F8-86C20E430684}</x14:id>
        </ext>
      </extLst>
    </cfRule>
    <cfRule type="iconSet" priority="8115">
      <iconSet iconSet="3Arrows">
        <cfvo type="percent" val="0"/>
        <cfvo type="num" val="0.7"/>
        <cfvo type="num" val="1"/>
      </iconSet>
    </cfRule>
  </conditionalFormatting>
  <conditionalFormatting sqref="J236">
    <cfRule type="dataBar" priority="8114">
      <dataBar>
        <cfvo type="num" val="0"/>
        <cfvo type="num" val="1"/>
        <color theme="4" tint="0.79998168889431442"/>
      </dataBar>
      <extLst>
        <ext xmlns:x14="http://schemas.microsoft.com/office/spreadsheetml/2009/9/main" uri="{B025F937-C7B1-47D3-B67F-A62EFF666E3E}">
          <x14:id>{36232D90-EAAB-4302-B844-8C7A578089FB}</x14:id>
        </ext>
      </extLst>
    </cfRule>
    <cfRule type="iconSet" priority="8113">
      <iconSet iconSet="3Arrows">
        <cfvo type="percent" val="0"/>
        <cfvo type="num" val="0.7"/>
        <cfvo type="num" val="1"/>
      </iconSet>
    </cfRule>
  </conditionalFormatting>
  <conditionalFormatting sqref="J238">
    <cfRule type="iconSet" priority="8111">
      <iconSet iconSet="3Arrows">
        <cfvo type="percent" val="0"/>
        <cfvo type="num" val="0.7"/>
        <cfvo type="num" val="1"/>
      </iconSet>
    </cfRule>
    <cfRule type="dataBar" priority="8112">
      <dataBar>
        <cfvo type="num" val="0"/>
        <cfvo type="num" val="1"/>
        <color theme="4" tint="0.79998168889431442"/>
      </dataBar>
      <extLst>
        <ext xmlns:x14="http://schemas.microsoft.com/office/spreadsheetml/2009/9/main" uri="{B025F937-C7B1-47D3-B67F-A62EFF666E3E}">
          <x14:id>{7E62C0B6-3AA1-4F2F-A335-CD4336DC6C22}</x14:id>
        </ext>
      </extLst>
    </cfRule>
  </conditionalFormatting>
  <conditionalFormatting sqref="J240">
    <cfRule type="iconSet" priority="8109">
      <iconSet iconSet="3Arrows">
        <cfvo type="percent" val="0"/>
        <cfvo type="num" val="0.7"/>
        <cfvo type="num" val="1"/>
      </iconSet>
    </cfRule>
    <cfRule type="dataBar" priority="8110">
      <dataBar>
        <cfvo type="num" val="0"/>
        <cfvo type="num" val="1"/>
        <color theme="4" tint="0.79998168889431442"/>
      </dataBar>
      <extLst>
        <ext xmlns:x14="http://schemas.microsoft.com/office/spreadsheetml/2009/9/main" uri="{B025F937-C7B1-47D3-B67F-A62EFF666E3E}">
          <x14:id>{46255FB8-F52E-47F7-8109-B376D88EF653}</x14:id>
        </ext>
      </extLst>
    </cfRule>
  </conditionalFormatting>
  <conditionalFormatting sqref="J242">
    <cfRule type="dataBar" priority="8108">
      <dataBar>
        <cfvo type="num" val="0"/>
        <cfvo type="num" val="1"/>
        <color theme="4" tint="0.79998168889431442"/>
      </dataBar>
      <extLst>
        <ext xmlns:x14="http://schemas.microsoft.com/office/spreadsheetml/2009/9/main" uri="{B025F937-C7B1-47D3-B67F-A62EFF666E3E}">
          <x14:id>{86CA4E52-3633-4780-B083-25FCE532B0E9}</x14:id>
        </ext>
      </extLst>
    </cfRule>
    <cfRule type="iconSet" priority="8107">
      <iconSet iconSet="3Arrows">
        <cfvo type="percent" val="0"/>
        <cfvo type="num" val="0.7"/>
        <cfvo type="num" val="1"/>
      </iconSet>
    </cfRule>
  </conditionalFormatting>
  <conditionalFormatting sqref="J244">
    <cfRule type="dataBar" priority="8106">
      <dataBar>
        <cfvo type="num" val="0"/>
        <cfvo type="num" val="1"/>
        <color theme="4" tint="0.79998168889431442"/>
      </dataBar>
      <extLst>
        <ext xmlns:x14="http://schemas.microsoft.com/office/spreadsheetml/2009/9/main" uri="{B025F937-C7B1-47D3-B67F-A62EFF666E3E}">
          <x14:id>{2BDB500E-CCC3-4521-A5F9-85DC1D8B8639}</x14:id>
        </ext>
      </extLst>
    </cfRule>
    <cfRule type="iconSet" priority="8105">
      <iconSet iconSet="3Arrows">
        <cfvo type="percent" val="0"/>
        <cfvo type="num" val="0.7"/>
        <cfvo type="num" val="1"/>
      </iconSet>
    </cfRule>
  </conditionalFormatting>
  <conditionalFormatting sqref="J246">
    <cfRule type="dataBar" priority="8104">
      <dataBar>
        <cfvo type="num" val="0"/>
        <cfvo type="num" val="1"/>
        <color theme="4" tint="0.79998168889431442"/>
      </dataBar>
      <extLst>
        <ext xmlns:x14="http://schemas.microsoft.com/office/spreadsheetml/2009/9/main" uri="{B025F937-C7B1-47D3-B67F-A62EFF666E3E}">
          <x14:id>{48E037AE-2AC5-44ED-B788-E6BD49B442D7}</x14:id>
        </ext>
      </extLst>
    </cfRule>
    <cfRule type="iconSet" priority="8103">
      <iconSet iconSet="3Arrows">
        <cfvo type="percent" val="0"/>
        <cfvo type="num" val="0.7"/>
        <cfvo type="num" val="1"/>
      </iconSet>
    </cfRule>
  </conditionalFormatting>
  <conditionalFormatting sqref="J248">
    <cfRule type="dataBar" priority="8102">
      <dataBar>
        <cfvo type="num" val="0"/>
        <cfvo type="num" val="1"/>
        <color theme="4" tint="0.79998168889431442"/>
      </dataBar>
      <extLst>
        <ext xmlns:x14="http://schemas.microsoft.com/office/spreadsheetml/2009/9/main" uri="{B025F937-C7B1-47D3-B67F-A62EFF666E3E}">
          <x14:id>{36B5E8C3-40CD-42ED-B3DC-9EB65A0279A3}</x14:id>
        </ext>
      </extLst>
    </cfRule>
    <cfRule type="iconSet" priority="8101">
      <iconSet iconSet="3Arrows">
        <cfvo type="percent" val="0"/>
        <cfvo type="num" val="0.7"/>
        <cfvo type="num" val="1"/>
      </iconSet>
    </cfRule>
  </conditionalFormatting>
  <conditionalFormatting sqref="J250">
    <cfRule type="dataBar" priority="8100">
      <dataBar>
        <cfvo type="num" val="0"/>
        <cfvo type="num" val="1"/>
        <color theme="4" tint="0.79998168889431442"/>
      </dataBar>
      <extLst>
        <ext xmlns:x14="http://schemas.microsoft.com/office/spreadsheetml/2009/9/main" uri="{B025F937-C7B1-47D3-B67F-A62EFF666E3E}">
          <x14:id>{E06F6B87-3909-44B6-A32B-9A0F36B554F2}</x14:id>
        </ext>
      </extLst>
    </cfRule>
    <cfRule type="iconSet" priority="8099">
      <iconSet iconSet="3Arrows">
        <cfvo type="percent" val="0"/>
        <cfvo type="num" val="0.7"/>
        <cfvo type="num" val="1"/>
      </iconSet>
    </cfRule>
  </conditionalFormatting>
  <conditionalFormatting sqref="J252">
    <cfRule type="dataBar" priority="8098">
      <dataBar>
        <cfvo type="num" val="0"/>
        <cfvo type="num" val="1"/>
        <color theme="4" tint="0.79998168889431442"/>
      </dataBar>
      <extLst>
        <ext xmlns:x14="http://schemas.microsoft.com/office/spreadsheetml/2009/9/main" uri="{B025F937-C7B1-47D3-B67F-A62EFF666E3E}">
          <x14:id>{CD9DAAA0-B02F-48E8-B80F-D6E6BC647A59}</x14:id>
        </ext>
      </extLst>
    </cfRule>
    <cfRule type="iconSet" priority="8097">
      <iconSet iconSet="3Arrows">
        <cfvo type="percent" val="0"/>
        <cfvo type="num" val="0.7"/>
        <cfvo type="num" val="1"/>
      </iconSet>
    </cfRule>
  </conditionalFormatting>
  <conditionalFormatting sqref="J254">
    <cfRule type="dataBar" priority="8096">
      <dataBar>
        <cfvo type="num" val="0"/>
        <cfvo type="num" val="1"/>
        <color theme="4" tint="0.79998168889431442"/>
      </dataBar>
      <extLst>
        <ext xmlns:x14="http://schemas.microsoft.com/office/spreadsheetml/2009/9/main" uri="{B025F937-C7B1-47D3-B67F-A62EFF666E3E}">
          <x14:id>{F1A2EF4D-2A68-47BF-A8DE-781977508DCC}</x14:id>
        </ext>
      </extLst>
    </cfRule>
    <cfRule type="iconSet" priority="8095">
      <iconSet iconSet="3Arrows">
        <cfvo type="percent" val="0"/>
        <cfvo type="num" val="0.7"/>
        <cfvo type="num" val="1"/>
      </iconSet>
    </cfRule>
  </conditionalFormatting>
  <conditionalFormatting sqref="J256">
    <cfRule type="dataBar" priority="8094">
      <dataBar>
        <cfvo type="num" val="0"/>
        <cfvo type="num" val="1"/>
        <color theme="4" tint="0.79998168889431442"/>
      </dataBar>
      <extLst>
        <ext xmlns:x14="http://schemas.microsoft.com/office/spreadsheetml/2009/9/main" uri="{B025F937-C7B1-47D3-B67F-A62EFF666E3E}">
          <x14:id>{3D1DD4F4-24C3-4D45-9AFE-ED954C19922F}</x14:id>
        </ext>
      </extLst>
    </cfRule>
    <cfRule type="iconSet" priority="8093">
      <iconSet iconSet="3Arrows">
        <cfvo type="percent" val="0"/>
        <cfvo type="num" val="0.7"/>
        <cfvo type="num" val="1"/>
      </iconSet>
    </cfRule>
  </conditionalFormatting>
  <conditionalFormatting sqref="J258">
    <cfRule type="dataBar" priority="8092">
      <dataBar>
        <cfvo type="num" val="0"/>
        <cfvo type="num" val="1"/>
        <color theme="4" tint="0.79998168889431442"/>
      </dataBar>
      <extLst>
        <ext xmlns:x14="http://schemas.microsoft.com/office/spreadsheetml/2009/9/main" uri="{B025F937-C7B1-47D3-B67F-A62EFF666E3E}">
          <x14:id>{1D919C09-2EEE-481E-A832-F17C93715801}</x14:id>
        </ext>
      </extLst>
    </cfRule>
    <cfRule type="iconSet" priority="8091">
      <iconSet iconSet="3Arrows">
        <cfvo type="percent" val="0"/>
        <cfvo type="num" val="0.7"/>
        <cfvo type="num" val="1"/>
      </iconSet>
    </cfRule>
  </conditionalFormatting>
  <conditionalFormatting sqref="J260">
    <cfRule type="dataBar" priority="8090">
      <dataBar>
        <cfvo type="num" val="0"/>
        <cfvo type="num" val="1"/>
        <color theme="4" tint="0.79998168889431442"/>
      </dataBar>
      <extLst>
        <ext xmlns:x14="http://schemas.microsoft.com/office/spreadsheetml/2009/9/main" uri="{B025F937-C7B1-47D3-B67F-A62EFF666E3E}">
          <x14:id>{7325CB06-ED34-4E62-BD6D-DD8F2C48C717}</x14:id>
        </ext>
      </extLst>
    </cfRule>
    <cfRule type="iconSet" priority="8089">
      <iconSet iconSet="3Arrows">
        <cfvo type="percent" val="0"/>
        <cfvo type="num" val="0.7"/>
        <cfvo type="num" val="1"/>
      </iconSet>
    </cfRule>
  </conditionalFormatting>
  <conditionalFormatting sqref="J262">
    <cfRule type="dataBar" priority="8088">
      <dataBar>
        <cfvo type="num" val="0"/>
        <cfvo type="num" val="1"/>
        <color theme="4" tint="0.79998168889431442"/>
      </dataBar>
      <extLst>
        <ext xmlns:x14="http://schemas.microsoft.com/office/spreadsheetml/2009/9/main" uri="{B025F937-C7B1-47D3-B67F-A62EFF666E3E}">
          <x14:id>{3AF01ABA-6265-4067-8513-4B20AFB3F0AF}</x14:id>
        </ext>
      </extLst>
    </cfRule>
    <cfRule type="iconSet" priority="8087">
      <iconSet iconSet="3Arrows">
        <cfvo type="percent" val="0"/>
        <cfvo type="num" val="0.7"/>
        <cfvo type="num" val="1"/>
      </iconSet>
    </cfRule>
  </conditionalFormatting>
  <conditionalFormatting sqref="J264">
    <cfRule type="dataBar" priority="8086">
      <dataBar>
        <cfvo type="num" val="0"/>
        <cfvo type="num" val="1"/>
        <color theme="4" tint="0.79998168889431442"/>
      </dataBar>
      <extLst>
        <ext xmlns:x14="http://schemas.microsoft.com/office/spreadsheetml/2009/9/main" uri="{B025F937-C7B1-47D3-B67F-A62EFF666E3E}">
          <x14:id>{D3FDE2AC-F00C-4AC4-BD8B-0A2767650596}</x14:id>
        </ext>
      </extLst>
    </cfRule>
    <cfRule type="iconSet" priority="8085">
      <iconSet iconSet="3Arrows">
        <cfvo type="percent" val="0"/>
        <cfvo type="num" val="0.7"/>
        <cfvo type="num" val="1"/>
      </iconSet>
    </cfRule>
  </conditionalFormatting>
  <conditionalFormatting sqref="J266">
    <cfRule type="dataBar" priority="8084">
      <dataBar>
        <cfvo type="num" val="0"/>
        <cfvo type="num" val="1"/>
        <color theme="4" tint="0.79998168889431442"/>
      </dataBar>
      <extLst>
        <ext xmlns:x14="http://schemas.microsoft.com/office/spreadsheetml/2009/9/main" uri="{B025F937-C7B1-47D3-B67F-A62EFF666E3E}">
          <x14:id>{7F346F76-9F54-4F15-B122-32951B7BEC5F}</x14:id>
        </ext>
      </extLst>
    </cfRule>
    <cfRule type="iconSet" priority="8083">
      <iconSet iconSet="3Arrows">
        <cfvo type="percent" val="0"/>
        <cfvo type="num" val="0.7"/>
        <cfvo type="num" val="1"/>
      </iconSet>
    </cfRule>
  </conditionalFormatting>
  <conditionalFormatting sqref="J268">
    <cfRule type="dataBar" priority="8082">
      <dataBar>
        <cfvo type="num" val="0"/>
        <cfvo type="num" val="1"/>
        <color theme="4" tint="0.79998168889431442"/>
      </dataBar>
      <extLst>
        <ext xmlns:x14="http://schemas.microsoft.com/office/spreadsheetml/2009/9/main" uri="{B025F937-C7B1-47D3-B67F-A62EFF666E3E}">
          <x14:id>{1B78403A-1FB8-4510-A4CE-B3712E99E5AA}</x14:id>
        </ext>
      </extLst>
    </cfRule>
    <cfRule type="iconSet" priority="8081">
      <iconSet iconSet="3Arrows">
        <cfvo type="percent" val="0"/>
        <cfvo type="num" val="0.7"/>
        <cfvo type="num" val="1"/>
      </iconSet>
    </cfRule>
  </conditionalFormatting>
  <conditionalFormatting sqref="J270">
    <cfRule type="iconSet" priority="8079">
      <iconSet iconSet="3Arrows">
        <cfvo type="percent" val="0"/>
        <cfvo type="num" val="0.7"/>
        <cfvo type="num" val="1"/>
      </iconSet>
    </cfRule>
    <cfRule type="dataBar" priority="8080">
      <dataBar>
        <cfvo type="num" val="0"/>
        <cfvo type="num" val="1"/>
        <color theme="4" tint="0.79998168889431442"/>
      </dataBar>
      <extLst>
        <ext xmlns:x14="http://schemas.microsoft.com/office/spreadsheetml/2009/9/main" uri="{B025F937-C7B1-47D3-B67F-A62EFF666E3E}">
          <x14:id>{51C37CD1-8519-4BFC-B2CC-064F8C57B2BB}</x14:id>
        </ext>
      </extLst>
    </cfRule>
  </conditionalFormatting>
  <conditionalFormatting sqref="J272">
    <cfRule type="iconSet" priority="8077">
      <iconSet iconSet="3Arrows">
        <cfvo type="percent" val="0"/>
        <cfvo type="num" val="0.7"/>
        <cfvo type="num" val="1"/>
      </iconSet>
    </cfRule>
    <cfRule type="dataBar" priority="8078">
      <dataBar>
        <cfvo type="num" val="0"/>
        <cfvo type="num" val="1"/>
        <color theme="4" tint="0.79998168889431442"/>
      </dataBar>
      <extLst>
        <ext xmlns:x14="http://schemas.microsoft.com/office/spreadsheetml/2009/9/main" uri="{B025F937-C7B1-47D3-B67F-A62EFF666E3E}">
          <x14:id>{21789C23-BB8C-4EEC-851A-B145F635A58C}</x14:id>
        </ext>
      </extLst>
    </cfRule>
  </conditionalFormatting>
  <conditionalFormatting sqref="J274">
    <cfRule type="iconSet" priority="8075">
      <iconSet iconSet="3Arrows">
        <cfvo type="percent" val="0"/>
        <cfvo type="num" val="0.7"/>
        <cfvo type="num" val="1"/>
      </iconSet>
    </cfRule>
    <cfRule type="dataBar" priority="8076">
      <dataBar>
        <cfvo type="num" val="0"/>
        <cfvo type="num" val="1"/>
        <color theme="4" tint="0.79998168889431442"/>
      </dataBar>
      <extLst>
        <ext xmlns:x14="http://schemas.microsoft.com/office/spreadsheetml/2009/9/main" uri="{B025F937-C7B1-47D3-B67F-A62EFF666E3E}">
          <x14:id>{9201C1A2-E04B-4293-AF8F-6E8542CE6742}</x14:id>
        </ext>
      </extLst>
    </cfRule>
  </conditionalFormatting>
  <conditionalFormatting sqref="J276">
    <cfRule type="dataBar" priority="8074">
      <dataBar>
        <cfvo type="num" val="0"/>
        <cfvo type="num" val="1"/>
        <color theme="4" tint="0.79998168889431442"/>
      </dataBar>
      <extLst>
        <ext xmlns:x14="http://schemas.microsoft.com/office/spreadsheetml/2009/9/main" uri="{B025F937-C7B1-47D3-B67F-A62EFF666E3E}">
          <x14:id>{03C12D3E-1009-44FA-A48F-F15CA52CAAAD}</x14:id>
        </ext>
      </extLst>
    </cfRule>
    <cfRule type="iconSet" priority="8073">
      <iconSet iconSet="3Arrows">
        <cfvo type="percent" val="0"/>
        <cfvo type="num" val="0.7"/>
        <cfvo type="num" val="1"/>
      </iconSet>
    </cfRule>
  </conditionalFormatting>
  <conditionalFormatting sqref="J278">
    <cfRule type="dataBar" priority="8072">
      <dataBar>
        <cfvo type="num" val="0"/>
        <cfvo type="num" val="1"/>
        <color theme="4" tint="0.79998168889431442"/>
      </dataBar>
      <extLst>
        <ext xmlns:x14="http://schemas.microsoft.com/office/spreadsheetml/2009/9/main" uri="{B025F937-C7B1-47D3-B67F-A62EFF666E3E}">
          <x14:id>{0CC9CCC2-9EB3-4043-9C59-86BA74C86F94}</x14:id>
        </ext>
      </extLst>
    </cfRule>
    <cfRule type="iconSet" priority="8071">
      <iconSet iconSet="3Arrows">
        <cfvo type="percent" val="0"/>
        <cfvo type="num" val="0.7"/>
        <cfvo type="num" val="1"/>
      </iconSet>
    </cfRule>
  </conditionalFormatting>
  <conditionalFormatting sqref="J280">
    <cfRule type="dataBar" priority="8070">
      <dataBar>
        <cfvo type="num" val="0"/>
        <cfvo type="num" val="1"/>
        <color theme="4" tint="0.79998168889431442"/>
      </dataBar>
      <extLst>
        <ext xmlns:x14="http://schemas.microsoft.com/office/spreadsheetml/2009/9/main" uri="{B025F937-C7B1-47D3-B67F-A62EFF666E3E}">
          <x14:id>{7527EE54-58CA-4098-9953-FCB2D3AD32DA}</x14:id>
        </ext>
      </extLst>
    </cfRule>
    <cfRule type="iconSet" priority="8069">
      <iconSet iconSet="3Arrows">
        <cfvo type="percent" val="0"/>
        <cfvo type="num" val="0.7"/>
        <cfvo type="num" val="1"/>
      </iconSet>
    </cfRule>
  </conditionalFormatting>
  <conditionalFormatting sqref="J282">
    <cfRule type="dataBar" priority="8068">
      <dataBar>
        <cfvo type="num" val="0"/>
        <cfvo type="num" val="1"/>
        <color theme="4" tint="0.79998168889431442"/>
      </dataBar>
      <extLst>
        <ext xmlns:x14="http://schemas.microsoft.com/office/spreadsheetml/2009/9/main" uri="{B025F937-C7B1-47D3-B67F-A62EFF666E3E}">
          <x14:id>{7056997C-0040-4593-B2F9-53C5802E2AB0}</x14:id>
        </ext>
      </extLst>
    </cfRule>
    <cfRule type="iconSet" priority="8067">
      <iconSet iconSet="3Arrows">
        <cfvo type="percent" val="0"/>
        <cfvo type="num" val="0.7"/>
        <cfvo type="num" val="1"/>
      </iconSet>
    </cfRule>
  </conditionalFormatting>
  <conditionalFormatting sqref="J284">
    <cfRule type="dataBar" priority="8066">
      <dataBar>
        <cfvo type="num" val="0"/>
        <cfvo type="num" val="1"/>
        <color theme="4" tint="0.79998168889431442"/>
      </dataBar>
      <extLst>
        <ext xmlns:x14="http://schemas.microsoft.com/office/spreadsheetml/2009/9/main" uri="{B025F937-C7B1-47D3-B67F-A62EFF666E3E}">
          <x14:id>{4E2A0C45-22F7-4C37-887B-6D2DE0A53EC9}</x14:id>
        </ext>
      </extLst>
    </cfRule>
    <cfRule type="iconSet" priority="8065">
      <iconSet iconSet="3Arrows">
        <cfvo type="percent" val="0"/>
        <cfvo type="num" val="0.7"/>
        <cfvo type="num" val="1"/>
      </iconSet>
    </cfRule>
  </conditionalFormatting>
  <conditionalFormatting sqref="J286">
    <cfRule type="iconSet" priority="8063">
      <iconSet iconSet="3Arrows">
        <cfvo type="percent" val="0"/>
        <cfvo type="num" val="0.7"/>
        <cfvo type="num" val="1"/>
      </iconSet>
    </cfRule>
    <cfRule type="dataBar" priority="8064">
      <dataBar>
        <cfvo type="num" val="0"/>
        <cfvo type="num" val="1"/>
        <color theme="4" tint="0.79998168889431442"/>
      </dataBar>
      <extLst>
        <ext xmlns:x14="http://schemas.microsoft.com/office/spreadsheetml/2009/9/main" uri="{B025F937-C7B1-47D3-B67F-A62EFF666E3E}">
          <x14:id>{DF735000-4D62-43CC-BE4A-593BFB7478BE}</x14:id>
        </ext>
      </extLst>
    </cfRule>
  </conditionalFormatting>
  <conditionalFormatting sqref="J288">
    <cfRule type="iconSet" priority="8061">
      <iconSet iconSet="3Arrows">
        <cfvo type="percent" val="0"/>
        <cfvo type="num" val="0.7"/>
        <cfvo type="num" val="1"/>
      </iconSet>
    </cfRule>
    <cfRule type="dataBar" priority="8062">
      <dataBar>
        <cfvo type="num" val="0"/>
        <cfvo type="num" val="1"/>
        <color theme="4" tint="0.79998168889431442"/>
      </dataBar>
      <extLst>
        <ext xmlns:x14="http://schemas.microsoft.com/office/spreadsheetml/2009/9/main" uri="{B025F937-C7B1-47D3-B67F-A62EFF666E3E}">
          <x14:id>{C4613D6A-A3C4-4A00-8262-ADB75C6FA413}</x14:id>
        </ext>
      </extLst>
    </cfRule>
  </conditionalFormatting>
  <conditionalFormatting sqref="J290">
    <cfRule type="dataBar" priority="8060">
      <dataBar>
        <cfvo type="num" val="0"/>
        <cfvo type="num" val="1"/>
        <color theme="4" tint="0.79998168889431442"/>
      </dataBar>
      <extLst>
        <ext xmlns:x14="http://schemas.microsoft.com/office/spreadsheetml/2009/9/main" uri="{B025F937-C7B1-47D3-B67F-A62EFF666E3E}">
          <x14:id>{E9D9D662-3DC0-491C-A208-C34D85D6F9A7}</x14:id>
        </ext>
      </extLst>
    </cfRule>
    <cfRule type="iconSet" priority="8059">
      <iconSet iconSet="3Arrows">
        <cfvo type="percent" val="0"/>
        <cfvo type="num" val="0.7"/>
        <cfvo type="num" val="1"/>
      </iconSet>
    </cfRule>
  </conditionalFormatting>
  <conditionalFormatting sqref="J292">
    <cfRule type="dataBar" priority="8058">
      <dataBar>
        <cfvo type="num" val="0"/>
        <cfvo type="num" val="1"/>
        <color theme="4" tint="0.79998168889431442"/>
      </dataBar>
      <extLst>
        <ext xmlns:x14="http://schemas.microsoft.com/office/spreadsheetml/2009/9/main" uri="{B025F937-C7B1-47D3-B67F-A62EFF666E3E}">
          <x14:id>{7092DAE7-2045-48A4-95A4-6A6A2E030E24}</x14:id>
        </ext>
      </extLst>
    </cfRule>
    <cfRule type="iconSet" priority="8057">
      <iconSet iconSet="3Arrows">
        <cfvo type="percent" val="0"/>
        <cfvo type="num" val="0.7"/>
        <cfvo type="num" val="1"/>
      </iconSet>
    </cfRule>
  </conditionalFormatting>
  <conditionalFormatting sqref="J294">
    <cfRule type="dataBar" priority="8056">
      <dataBar>
        <cfvo type="num" val="0"/>
        <cfvo type="num" val="1"/>
        <color theme="4" tint="0.79998168889431442"/>
      </dataBar>
      <extLst>
        <ext xmlns:x14="http://schemas.microsoft.com/office/spreadsheetml/2009/9/main" uri="{B025F937-C7B1-47D3-B67F-A62EFF666E3E}">
          <x14:id>{86A316C8-A9E8-4507-8026-7871EEFC5A4A}</x14:id>
        </ext>
      </extLst>
    </cfRule>
    <cfRule type="iconSet" priority="8055">
      <iconSet iconSet="3Arrows">
        <cfvo type="percent" val="0"/>
        <cfvo type="num" val="0.7"/>
        <cfvo type="num" val="1"/>
      </iconSet>
    </cfRule>
  </conditionalFormatting>
  <conditionalFormatting sqref="J296">
    <cfRule type="dataBar" priority="8054">
      <dataBar>
        <cfvo type="num" val="0"/>
        <cfvo type="num" val="1"/>
        <color theme="4" tint="0.79998168889431442"/>
      </dataBar>
      <extLst>
        <ext xmlns:x14="http://schemas.microsoft.com/office/spreadsheetml/2009/9/main" uri="{B025F937-C7B1-47D3-B67F-A62EFF666E3E}">
          <x14:id>{CAC3E7FB-931A-41C7-804F-DCB007FE3913}</x14:id>
        </ext>
      </extLst>
    </cfRule>
    <cfRule type="iconSet" priority="8053">
      <iconSet iconSet="3Arrows">
        <cfvo type="percent" val="0"/>
        <cfvo type="num" val="0.7"/>
        <cfvo type="num" val="1"/>
      </iconSet>
    </cfRule>
  </conditionalFormatting>
  <conditionalFormatting sqref="J298">
    <cfRule type="dataBar" priority="8052">
      <dataBar>
        <cfvo type="num" val="0"/>
        <cfvo type="num" val="1"/>
        <color theme="4" tint="0.79998168889431442"/>
      </dataBar>
      <extLst>
        <ext xmlns:x14="http://schemas.microsoft.com/office/spreadsheetml/2009/9/main" uri="{B025F937-C7B1-47D3-B67F-A62EFF666E3E}">
          <x14:id>{6F6F1D99-6587-4921-BA68-8B8A5731043E}</x14:id>
        </ext>
      </extLst>
    </cfRule>
    <cfRule type="iconSet" priority="8051">
      <iconSet iconSet="3Arrows">
        <cfvo type="percent" val="0"/>
        <cfvo type="num" val="0.7"/>
        <cfvo type="num" val="1"/>
      </iconSet>
    </cfRule>
  </conditionalFormatting>
  <conditionalFormatting sqref="J300">
    <cfRule type="dataBar" priority="8050">
      <dataBar>
        <cfvo type="num" val="0"/>
        <cfvo type="num" val="1"/>
        <color theme="4" tint="0.79998168889431442"/>
      </dataBar>
      <extLst>
        <ext xmlns:x14="http://schemas.microsoft.com/office/spreadsheetml/2009/9/main" uri="{B025F937-C7B1-47D3-B67F-A62EFF666E3E}">
          <x14:id>{72635863-DA96-4212-AF04-1888C55EED56}</x14:id>
        </ext>
      </extLst>
    </cfRule>
    <cfRule type="iconSet" priority="8049">
      <iconSet iconSet="3Arrows">
        <cfvo type="percent" val="0"/>
        <cfvo type="num" val="0.7"/>
        <cfvo type="num" val="1"/>
      </iconSet>
    </cfRule>
  </conditionalFormatting>
  <conditionalFormatting sqref="J302">
    <cfRule type="iconSet" priority="8047">
      <iconSet iconSet="3Arrows">
        <cfvo type="percent" val="0"/>
        <cfvo type="num" val="0.7"/>
        <cfvo type="num" val="1"/>
      </iconSet>
    </cfRule>
    <cfRule type="dataBar" priority="8048">
      <dataBar>
        <cfvo type="num" val="0"/>
        <cfvo type="num" val="1"/>
        <color theme="4" tint="0.79998168889431442"/>
      </dataBar>
      <extLst>
        <ext xmlns:x14="http://schemas.microsoft.com/office/spreadsheetml/2009/9/main" uri="{B025F937-C7B1-47D3-B67F-A62EFF666E3E}">
          <x14:id>{0F1AA524-5CE1-4DA5-85D9-61ABE56FB5BC}</x14:id>
        </ext>
      </extLst>
    </cfRule>
  </conditionalFormatting>
  <conditionalFormatting sqref="J304">
    <cfRule type="iconSet" priority="8045">
      <iconSet iconSet="3Arrows">
        <cfvo type="percent" val="0"/>
        <cfvo type="num" val="0.7"/>
        <cfvo type="num" val="1"/>
      </iconSet>
    </cfRule>
    <cfRule type="dataBar" priority="8046">
      <dataBar>
        <cfvo type="num" val="0"/>
        <cfvo type="num" val="1"/>
        <color theme="4" tint="0.79998168889431442"/>
      </dataBar>
      <extLst>
        <ext xmlns:x14="http://schemas.microsoft.com/office/spreadsheetml/2009/9/main" uri="{B025F937-C7B1-47D3-B67F-A62EFF666E3E}">
          <x14:id>{54921FC5-6F5C-4A98-BF4E-BE3B12CB61DD}</x14:id>
        </ext>
      </extLst>
    </cfRule>
  </conditionalFormatting>
  <conditionalFormatting sqref="J306">
    <cfRule type="dataBar" priority="8044">
      <dataBar>
        <cfvo type="num" val="0"/>
        <cfvo type="num" val="1"/>
        <color theme="4" tint="0.79998168889431442"/>
      </dataBar>
      <extLst>
        <ext xmlns:x14="http://schemas.microsoft.com/office/spreadsheetml/2009/9/main" uri="{B025F937-C7B1-47D3-B67F-A62EFF666E3E}">
          <x14:id>{357E0CA0-9B5B-4081-8524-4309C7E5F801}</x14:id>
        </ext>
      </extLst>
    </cfRule>
    <cfRule type="iconSet" priority="8043">
      <iconSet iconSet="3Arrows">
        <cfvo type="percent" val="0"/>
        <cfvo type="num" val="0.7"/>
        <cfvo type="num" val="1"/>
      </iconSet>
    </cfRule>
  </conditionalFormatting>
  <conditionalFormatting sqref="J310">
    <cfRule type="dataBar" priority="8042">
      <dataBar>
        <cfvo type="num" val="0"/>
        <cfvo type="num" val="1"/>
        <color theme="4" tint="0.79998168889431442"/>
      </dataBar>
      <extLst>
        <ext xmlns:x14="http://schemas.microsoft.com/office/spreadsheetml/2009/9/main" uri="{B025F937-C7B1-47D3-B67F-A62EFF666E3E}">
          <x14:id>{59660CF4-6F19-4B35-8509-077BCC737182}</x14:id>
        </ext>
      </extLst>
    </cfRule>
    <cfRule type="iconSet" priority="8041">
      <iconSet iconSet="3Arrows">
        <cfvo type="percent" val="0"/>
        <cfvo type="num" val="0.7"/>
        <cfvo type="num" val="1"/>
      </iconSet>
    </cfRule>
  </conditionalFormatting>
  <conditionalFormatting sqref="J312">
    <cfRule type="dataBar" priority="8040">
      <dataBar>
        <cfvo type="num" val="0"/>
        <cfvo type="num" val="1"/>
        <color theme="4" tint="0.79998168889431442"/>
      </dataBar>
      <extLst>
        <ext xmlns:x14="http://schemas.microsoft.com/office/spreadsheetml/2009/9/main" uri="{B025F937-C7B1-47D3-B67F-A62EFF666E3E}">
          <x14:id>{DC271986-FC9C-4471-AF20-3B5243D5D0D9}</x14:id>
        </ext>
      </extLst>
    </cfRule>
    <cfRule type="iconSet" priority="8039">
      <iconSet iconSet="3Arrows">
        <cfvo type="percent" val="0"/>
        <cfvo type="num" val="0.7"/>
        <cfvo type="num" val="1"/>
      </iconSet>
    </cfRule>
  </conditionalFormatting>
  <conditionalFormatting sqref="J314">
    <cfRule type="dataBar" priority="8038">
      <dataBar>
        <cfvo type="num" val="0"/>
        <cfvo type="num" val="1"/>
        <color theme="4" tint="0.79998168889431442"/>
      </dataBar>
      <extLst>
        <ext xmlns:x14="http://schemas.microsoft.com/office/spreadsheetml/2009/9/main" uri="{B025F937-C7B1-47D3-B67F-A62EFF666E3E}">
          <x14:id>{4CF3AC33-DDC2-47BC-A4A3-7928AE14993B}</x14:id>
        </ext>
      </extLst>
    </cfRule>
    <cfRule type="iconSet" priority="8037">
      <iconSet iconSet="3Arrows">
        <cfvo type="percent" val="0"/>
        <cfvo type="num" val="0.7"/>
        <cfvo type="num" val="1"/>
      </iconSet>
    </cfRule>
  </conditionalFormatting>
  <conditionalFormatting sqref="J316">
    <cfRule type="dataBar" priority="8036">
      <dataBar>
        <cfvo type="num" val="0"/>
        <cfvo type="num" val="1"/>
        <color theme="4" tint="0.79998168889431442"/>
      </dataBar>
      <extLst>
        <ext xmlns:x14="http://schemas.microsoft.com/office/spreadsheetml/2009/9/main" uri="{B025F937-C7B1-47D3-B67F-A62EFF666E3E}">
          <x14:id>{29B7996B-F7BC-4F35-88DC-AD24B5548604}</x14:id>
        </ext>
      </extLst>
    </cfRule>
    <cfRule type="iconSet" priority="8035">
      <iconSet iconSet="3Arrows">
        <cfvo type="percent" val="0"/>
        <cfvo type="num" val="0.7"/>
        <cfvo type="num" val="1"/>
      </iconSet>
    </cfRule>
  </conditionalFormatting>
  <conditionalFormatting sqref="J318">
    <cfRule type="dataBar" priority="8034">
      <dataBar>
        <cfvo type="num" val="0"/>
        <cfvo type="num" val="1"/>
        <color theme="4" tint="0.79998168889431442"/>
      </dataBar>
      <extLst>
        <ext xmlns:x14="http://schemas.microsoft.com/office/spreadsheetml/2009/9/main" uri="{B025F937-C7B1-47D3-B67F-A62EFF666E3E}">
          <x14:id>{15C7B1F4-1509-45D9-9E5B-8C94B9DFED52}</x14:id>
        </ext>
      </extLst>
    </cfRule>
    <cfRule type="iconSet" priority="8033">
      <iconSet iconSet="3Arrows">
        <cfvo type="percent" val="0"/>
        <cfvo type="num" val="0.7"/>
        <cfvo type="num" val="1"/>
      </iconSet>
    </cfRule>
  </conditionalFormatting>
  <conditionalFormatting sqref="J320">
    <cfRule type="dataBar" priority="8032">
      <dataBar>
        <cfvo type="num" val="0"/>
        <cfvo type="num" val="1"/>
        <color theme="4" tint="0.79998168889431442"/>
      </dataBar>
      <extLst>
        <ext xmlns:x14="http://schemas.microsoft.com/office/spreadsheetml/2009/9/main" uri="{B025F937-C7B1-47D3-B67F-A62EFF666E3E}">
          <x14:id>{69B86484-B84B-4762-A345-FE58CC911DBD}</x14:id>
        </ext>
      </extLst>
    </cfRule>
    <cfRule type="iconSet" priority="8031">
      <iconSet iconSet="3Arrows">
        <cfvo type="percent" val="0"/>
        <cfvo type="num" val="0.7"/>
        <cfvo type="num" val="1"/>
      </iconSet>
    </cfRule>
  </conditionalFormatting>
  <conditionalFormatting sqref="J322">
    <cfRule type="dataBar" priority="8030">
      <dataBar>
        <cfvo type="num" val="0"/>
        <cfvo type="num" val="1"/>
        <color theme="4" tint="0.79998168889431442"/>
      </dataBar>
      <extLst>
        <ext xmlns:x14="http://schemas.microsoft.com/office/spreadsheetml/2009/9/main" uri="{B025F937-C7B1-47D3-B67F-A62EFF666E3E}">
          <x14:id>{2D276A70-2774-4A49-A7ED-7478575DFF4E}</x14:id>
        </ext>
      </extLst>
    </cfRule>
    <cfRule type="iconSet" priority="8029">
      <iconSet iconSet="3Arrows">
        <cfvo type="percent" val="0"/>
        <cfvo type="num" val="0.7"/>
        <cfvo type="num" val="1"/>
      </iconSet>
    </cfRule>
  </conditionalFormatting>
  <conditionalFormatting sqref="J324">
    <cfRule type="dataBar" priority="8028">
      <dataBar>
        <cfvo type="num" val="0"/>
        <cfvo type="num" val="1"/>
        <color theme="4" tint="0.79998168889431442"/>
      </dataBar>
      <extLst>
        <ext xmlns:x14="http://schemas.microsoft.com/office/spreadsheetml/2009/9/main" uri="{B025F937-C7B1-47D3-B67F-A62EFF666E3E}">
          <x14:id>{AF2E6AB7-03AC-475A-ABA0-437A54A4A91C}</x14:id>
        </ext>
      </extLst>
    </cfRule>
    <cfRule type="iconSet" priority="8027">
      <iconSet iconSet="3Arrows">
        <cfvo type="percent" val="0"/>
        <cfvo type="num" val="0.7"/>
        <cfvo type="num" val="1"/>
      </iconSet>
    </cfRule>
  </conditionalFormatting>
  <conditionalFormatting sqref="J326">
    <cfRule type="dataBar" priority="8026">
      <dataBar>
        <cfvo type="num" val="0"/>
        <cfvo type="num" val="1"/>
        <color theme="4" tint="0.79998168889431442"/>
      </dataBar>
      <extLst>
        <ext xmlns:x14="http://schemas.microsoft.com/office/spreadsheetml/2009/9/main" uri="{B025F937-C7B1-47D3-B67F-A62EFF666E3E}">
          <x14:id>{2755D436-476C-4357-9E9F-8DC6076976D9}</x14:id>
        </ext>
      </extLst>
    </cfRule>
    <cfRule type="iconSet" priority="8025">
      <iconSet iconSet="3Arrows">
        <cfvo type="percent" val="0"/>
        <cfvo type="num" val="0.7"/>
        <cfvo type="num" val="1"/>
      </iconSet>
    </cfRule>
  </conditionalFormatting>
  <conditionalFormatting sqref="J328">
    <cfRule type="dataBar" priority="8024">
      <dataBar>
        <cfvo type="num" val="0"/>
        <cfvo type="num" val="1"/>
        <color theme="4" tint="0.79998168889431442"/>
      </dataBar>
      <extLst>
        <ext xmlns:x14="http://schemas.microsoft.com/office/spreadsheetml/2009/9/main" uri="{B025F937-C7B1-47D3-B67F-A62EFF666E3E}">
          <x14:id>{FA89773B-F493-4EC9-92D0-C36A1B3953FE}</x14:id>
        </ext>
      </extLst>
    </cfRule>
    <cfRule type="iconSet" priority="8023">
      <iconSet iconSet="3Arrows">
        <cfvo type="percent" val="0"/>
        <cfvo type="num" val="0.7"/>
        <cfvo type="num" val="1"/>
      </iconSet>
    </cfRule>
  </conditionalFormatting>
  <conditionalFormatting sqref="J330">
    <cfRule type="dataBar" priority="8022">
      <dataBar>
        <cfvo type="num" val="0"/>
        <cfvo type="num" val="1"/>
        <color theme="4" tint="0.79998168889431442"/>
      </dataBar>
      <extLst>
        <ext xmlns:x14="http://schemas.microsoft.com/office/spreadsheetml/2009/9/main" uri="{B025F937-C7B1-47D3-B67F-A62EFF666E3E}">
          <x14:id>{2882A459-13FF-42C0-A7D4-8FA2AC9D08FE}</x14:id>
        </ext>
      </extLst>
    </cfRule>
    <cfRule type="iconSet" priority="8021">
      <iconSet iconSet="3Arrows">
        <cfvo type="percent" val="0"/>
        <cfvo type="num" val="0.7"/>
        <cfvo type="num" val="1"/>
      </iconSet>
    </cfRule>
  </conditionalFormatting>
  <conditionalFormatting sqref="J332">
    <cfRule type="iconSet" priority="8019">
      <iconSet iconSet="3Arrows">
        <cfvo type="percent" val="0"/>
        <cfvo type="num" val="0.7"/>
        <cfvo type="num" val="1"/>
      </iconSet>
    </cfRule>
    <cfRule type="dataBar" priority="8020">
      <dataBar>
        <cfvo type="num" val="0"/>
        <cfvo type="num" val="1"/>
        <color theme="4" tint="0.79998168889431442"/>
      </dataBar>
      <extLst>
        <ext xmlns:x14="http://schemas.microsoft.com/office/spreadsheetml/2009/9/main" uri="{B025F937-C7B1-47D3-B67F-A62EFF666E3E}">
          <x14:id>{F036DBB6-D571-4D8B-9639-6FD175CAEBD0}</x14:id>
        </ext>
      </extLst>
    </cfRule>
  </conditionalFormatting>
  <conditionalFormatting sqref="J334">
    <cfRule type="iconSet" priority="8017">
      <iconSet iconSet="3Arrows">
        <cfvo type="percent" val="0"/>
        <cfvo type="num" val="0.7"/>
        <cfvo type="num" val="1"/>
      </iconSet>
    </cfRule>
    <cfRule type="dataBar" priority="8018">
      <dataBar>
        <cfvo type="num" val="0"/>
        <cfvo type="num" val="1"/>
        <color theme="4" tint="0.79998168889431442"/>
      </dataBar>
      <extLst>
        <ext xmlns:x14="http://schemas.microsoft.com/office/spreadsheetml/2009/9/main" uri="{B025F937-C7B1-47D3-B67F-A62EFF666E3E}">
          <x14:id>{51242543-86F8-4E9F-8A34-0F2F89037DCC}</x14:id>
        </ext>
      </extLst>
    </cfRule>
  </conditionalFormatting>
  <conditionalFormatting sqref="J336">
    <cfRule type="dataBar" priority="8016">
      <dataBar>
        <cfvo type="num" val="0"/>
        <cfvo type="num" val="1"/>
        <color theme="4" tint="0.79998168889431442"/>
      </dataBar>
      <extLst>
        <ext xmlns:x14="http://schemas.microsoft.com/office/spreadsheetml/2009/9/main" uri="{B025F937-C7B1-47D3-B67F-A62EFF666E3E}">
          <x14:id>{045CF9CE-ACB8-4C12-A96A-2EE068799401}</x14:id>
        </ext>
      </extLst>
    </cfRule>
    <cfRule type="iconSet" priority="8015">
      <iconSet iconSet="3Arrows">
        <cfvo type="percent" val="0"/>
        <cfvo type="num" val="0.7"/>
        <cfvo type="num" val="1"/>
      </iconSet>
    </cfRule>
  </conditionalFormatting>
  <conditionalFormatting sqref="J338">
    <cfRule type="dataBar" priority="8014">
      <dataBar>
        <cfvo type="num" val="0"/>
        <cfvo type="num" val="1"/>
        <color theme="4" tint="0.79998168889431442"/>
      </dataBar>
      <extLst>
        <ext xmlns:x14="http://schemas.microsoft.com/office/spreadsheetml/2009/9/main" uri="{B025F937-C7B1-47D3-B67F-A62EFF666E3E}">
          <x14:id>{1442A949-014D-4369-8655-8A9BCA6DF40B}</x14:id>
        </ext>
      </extLst>
    </cfRule>
    <cfRule type="iconSet" priority="8013">
      <iconSet iconSet="3Arrows">
        <cfvo type="percent" val="0"/>
        <cfvo type="num" val="0.7"/>
        <cfvo type="num" val="1"/>
      </iconSet>
    </cfRule>
  </conditionalFormatting>
  <conditionalFormatting sqref="J340 J344">
    <cfRule type="dataBar" priority="8012">
      <dataBar>
        <cfvo type="num" val="0"/>
        <cfvo type="num" val="1"/>
        <color theme="4" tint="0.79998168889431442"/>
      </dataBar>
      <extLst>
        <ext xmlns:x14="http://schemas.microsoft.com/office/spreadsheetml/2009/9/main" uri="{B025F937-C7B1-47D3-B67F-A62EFF666E3E}">
          <x14:id>{F2A0009C-9092-4600-A35D-AE98BB63F74C}</x14:id>
        </ext>
      </extLst>
    </cfRule>
    <cfRule type="iconSet" priority="8011">
      <iconSet iconSet="3Arrows">
        <cfvo type="percent" val="0"/>
        <cfvo type="num" val="0.7"/>
        <cfvo type="num" val="1"/>
      </iconSet>
    </cfRule>
  </conditionalFormatting>
  <conditionalFormatting sqref="J342">
    <cfRule type="dataBar" priority="8010">
      <dataBar>
        <cfvo type="num" val="0"/>
        <cfvo type="num" val="1"/>
        <color theme="4" tint="0.79998168889431442"/>
      </dataBar>
      <extLst>
        <ext xmlns:x14="http://schemas.microsoft.com/office/spreadsheetml/2009/9/main" uri="{B025F937-C7B1-47D3-B67F-A62EFF666E3E}">
          <x14:id>{FA5889EE-C3CE-45D5-8ECF-D9C3B332D364}</x14:id>
        </ext>
      </extLst>
    </cfRule>
    <cfRule type="iconSet" priority="8009">
      <iconSet iconSet="3Arrows">
        <cfvo type="percent" val="0"/>
        <cfvo type="num" val="0.7"/>
        <cfvo type="num" val="1"/>
      </iconSet>
    </cfRule>
  </conditionalFormatting>
  <conditionalFormatting sqref="J346">
    <cfRule type="iconSet" priority="8007">
      <iconSet iconSet="3Arrows">
        <cfvo type="percent" val="0"/>
        <cfvo type="num" val="0.7"/>
        <cfvo type="num" val="1"/>
      </iconSet>
    </cfRule>
    <cfRule type="dataBar" priority="8008">
      <dataBar>
        <cfvo type="num" val="0"/>
        <cfvo type="num" val="1"/>
        <color theme="4" tint="0.79998168889431442"/>
      </dataBar>
      <extLst>
        <ext xmlns:x14="http://schemas.microsoft.com/office/spreadsheetml/2009/9/main" uri="{B025F937-C7B1-47D3-B67F-A62EFF666E3E}">
          <x14:id>{45F05644-62B5-44D1-8DC1-B077EB2C9001}</x14:id>
        </ext>
      </extLst>
    </cfRule>
  </conditionalFormatting>
  <conditionalFormatting sqref="J348">
    <cfRule type="dataBar" priority="8006">
      <dataBar>
        <cfvo type="num" val="0"/>
        <cfvo type="num" val="1"/>
        <color theme="4" tint="0.79998168889431442"/>
      </dataBar>
      <extLst>
        <ext xmlns:x14="http://schemas.microsoft.com/office/spreadsheetml/2009/9/main" uri="{B025F937-C7B1-47D3-B67F-A62EFF666E3E}">
          <x14:id>{5B035851-A53D-4271-987B-CA12C2807773}</x14:id>
        </ext>
      </extLst>
    </cfRule>
    <cfRule type="iconSet" priority="8005">
      <iconSet iconSet="3Arrows">
        <cfvo type="percent" val="0"/>
        <cfvo type="num" val="0.7"/>
        <cfvo type="num" val="1"/>
      </iconSet>
    </cfRule>
  </conditionalFormatting>
  <conditionalFormatting sqref="J350">
    <cfRule type="dataBar" priority="8004">
      <dataBar>
        <cfvo type="num" val="0"/>
        <cfvo type="num" val="1"/>
        <color theme="4" tint="0.79998168889431442"/>
      </dataBar>
      <extLst>
        <ext xmlns:x14="http://schemas.microsoft.com/office/spreadsheetml/2009/9/main" uri="{B025F937-C7B1-47D3-B67F-A62EFF666E3E}">
          <x14:id>{BAD52E3B-3210-484E-8CE1-7A1F4D2A1DC3}</x14:id>
        </ext>
      </extLst>
    </cfRule>
    <cfRule type="iconSet" priority="8003">
      <iconSet iconSet="3Arrows">
        <cfvo type="percent" val="0"/>
        <cfvo type="num" val="0.7"/>
        <cfvo type="num" val="1"/>
      </iconSet>
    </cfRule>
  </conditionalFormatting>
  <conditionalFormatting sqref="J352">
    <cfRule type="iconSet" priority="8001">
      <iconSet iconSet="3Arrows">
        <cfvo type="percent" val="0"/>
        <cfvo type="num" val="0.7"/>
        <cfvo type="num" val="1"/>
      </iconSet>
    </cfRule>
    <cfRule type="dataBar" priority="8002">
      <dataBar>
        <cfvo type="num" val="0"/>
        <cfvo type="num" val="1"/>
        <color theme="4" tint="0.79998168889431442"/>
      </dataBar>
      <extLst>
        <ext xmlns:x14="http://schemas.microsoft.com/office/spreadsheetml/2009/9/main" uri="{B025F937-C7B1-47D3-B67F-A62EFF666E3E}">
          <x14:id>{D0D36646-1047-40BC-BA72-CA8CA35AFA5D}</x14:id>
        </ext>
      </extLst>
    </cfRule>
  </conditionalFormatting>
  <conditionalFormatting sqref="J354">
    <cfRule type="dataBar" priority="8000">
      <dataBar>
        <cfvo type="num" val="0"/>
        <cfvo type="num" val="1"/>
        <color theme="4" tint="0.79998168889431442"/>
      </dataBar>
      <extLst>
        <ext xmlns:x14="http://schemas.microsoft.com/office/spreadsheetml/2009/9/main" uri="{B025F937-C7B1-47D3-B67F-A62EFF666E3E}">
          <x14:id>{24691B77-6A6F-42D6-853C-00196A106F82}</x14:id>
        </ext>
      </extLst>
    </cfRule>
    <cfRule type="iconSet" priority="7999">
      <iconSet iconSet="3Arrows">
        <cfvo type="percent" val="0"/>
        <cfvo type="num" val="0.7"/>
        <cfvo type="num" val="1"/>
      </iconSet>
    </cfRule>
  </conditionalFormatting>
  <conditionalFormatting sqref="J356">
    <cfRule type="dataBar" priority="7998">
      <dataBar>
        <cfvo type="num" val="0"/>
        <cfvo type="num" val="1"/>
        <color theme="4" tint="0.79998168889431442"/>
      </dataBar>
      <extLst>
        <ext xmlns:x14="http://schemas.microsoft.com/office/spreadsheetml/2009/9/main" uri="{B025F937-C7B1-47D3-B67F-A62EFF666E3E}">
          <x14:id>{7934686A-1CDE-49A3-B8A0-55D3DC507528}</x14:id>
        </ext>
      </extLst>
    </cfRule>
    <cfRule type="iconSet" priority="7997">
      <iconSet iconSet="3Arrows">
        <cfvo type="percent" val="0"/>
        <cfvo type="num" val="0.7"/>
        <cfvo type="num" val="1"/>
      </iconSet>
    </cfRule>
  </conditionalFormatting>
  <conditionalFormatting sqref="J358">
    <cfRule type="iconSet" priority="7995">
      <iconSet iconSet="3Arrows">
        <cfvo type="percent" val="0"/>
        <cfvo type="num" val="0.7"/>
        <cfvo type="num" val="1"/>
      </iconSet>
    </cfRule>
    <cfRule type="dataBar" priority="7996">
      <dataBar>
        <cfvo type="num" val="0"/>
        <cfvo type="num" val="1"/>
        <color theme="4" tint="0.79998168889431442"/>
      </dataBar>
      <extLst>
        <ext xmlns:x14="http://schemas.microsoft.com/office/spreadsheetml/2009/9/main" uri="{B025F937-C7B1-47D3-B67F-A62EFF666E3E}">
          <x14:id>{6C559861-38CE-4FB0-BBEC-341841479C52}</x14:id>
        </ext>
      </extLst>
    </cfRule>
  </conditionalFormatting>
  <conditionalFormatting sqref="J360">
    <cfRule type="iconSet" priority="7993">
      <iconSet iconSet="3Arrows">
        <cfvo type="percent" val="0"/>
        <cfvo type="num" val="0.7"/>
        <cfvo type="num" val="1"/>
      </iconSet>
    </cfRule>
    <cfRule type="dataBar" priority="7994">
      <dataBar>
        <cfvo type="num" val="0"/>
        <cfvo type="num" val="1"/>
        <color theme="4" tint="0.79998168889431442"/>
      </dataBar>
      <extLst>
        <ext xmlns:x14="http://schemas.microsoft.com/office/spreadsheetml/2009/9/main" uri="{B025F937-C7B1-47D3-B67F-A62EFF666E3E}">
          <x14:id>{7C846E8A-D700-414D-9BCF-95E4157EB3CA}</x14:id>
        </ext>
      </extLst>
    </cfRule>
  </conditionalFormatting>
  <conditionalFormatting sqref="J362">
    <cfRule type="dataBar" priority="7992">
      <dataBar>
        <cfvo type="num" val="0"/>
        <cfvo type="num" val="1"/>
        <color theme="4" tint="0.79998168889431442"/>
      </dataBar>
      <extLst>
        <ext xmlns:x14="http://schemas.microsoft.com/office/spreadsheetml/2009/9/main" uri="{B025F937-C7B1-47D3-B67F-A62EFF666E3E}">
          <x14:id>{A72F5BF7-9DFD-4623-AB2F-E6A8E20D2D14}</x14:id>
        </ext>
      </extLst>
    </cfRule>
    <cfRule type="iconSet" priority="7991">
      <iconSet iconSet="3Arrows">
        <cfvo type="percent" val="0"/>
        <cfvo type="num" val="0.7"/>
        <cfvo type="num" val="1"/>
      </iconSet>
    </cfRule>
  </conditionalFormatting>
  <conditionalFormatting sqref="J365">
    <cfRule type="dataBar" priority="7990">
      <dataBar>
        <cfvo type="num" val="0"/>
        <cfvo type="num" val="1"/>
        <color theme="4" tint="0.79998168889431442"/>
      </dataBar>
      <extLst>
        <ext xmlns:x14="http://schemas.microsoft.com/office/spreadsheetml/2009/9/main" uri="{B025F937-C7B1-47D3-B67F-A62EFF666E3E}">
          <x14:id>{ABC93418-AFFF-43A6-907A-6A347D7890AC}</x14:id>
        </ext>
      </extLst>
    </cfRule>
    <cfRule type="iconSet" priority="7989">
      <iconSet iconSet="3Arrows">
        <cfvo type="percent" val="0"/>
        <cfvo type="num" val="0.7"/>
        <cfvo type="num" val="1"/>
      </iconSet>
    </cfRule>
  </conditionalFormatting>
  <conditionalFormatting sqref="J369">
    <cfRule type="dataBar" priority="7988">
      <dataBar>
        <cfvo type="num" val="0"/>
        <cfvo type="num" val="1"/>
        <color theme="4" tint="0.79998168889431442"/>
      </dataBar>
      <extLst>
        <ext xmlns:x14="http://schemas.microsoft.com/office/spreadsheetml/2009/9/main" uri="{B025F937-C7B1-47D3-B67F-A62EFF666E3E}">
          <x14:id>{401687C4-997B-4830-9292-8F1AB09E6C7E}</x14:id>
        </ext>
      </extLst>
    </cfRule>
    <cfRule type="iconSet" priority="7987">
      <iconSet iconSet="3Arrows">
        <cfvo type="percent" val="0"/>
        <cfvo type="num" val="0.7"/>
        <cfvo type="num" val="1"/>
      </iconSet>
    </cfRule>
  </conditionalFormatting>
  <conditionalFormatting sqref="J371">
    <cfRule type="dataBar" priority="7986">
      <dataBar>
        <cfvo type="num" val="0"/>
        <cfvo type="num" val="1"/>
        <color theme="4" tint="0.79998168889431442"/>
      </dataBar>
      <extLst>
        <ext xmlns:x14="http://schemas.microsoft.com/office/spreadsheetml/2009/9/main" uri="{B025F937-C7B1-47D3-B67F-A62EFF666E3E}">
          <x14:id>{6BA0FBF5-F309-460D-915F-2678FDE812B7}</x14:id>
        </ext>
      </extLst>
    </cfRule>
    <cfRule type="iconSet" priority="7985">
      <iconSet iconSet="3Arrows">
        <cfvo type="percent" val="0"/>
        <cfvo type="num" val="0.7"/>
        <cfvo type="num" val="1"/>
      </iconSet>
    </cfRule>
  </conditionalFormatting>
  <conditionalFormatting sqref="J373">
    <cfRule type="dataBar" priority="7984">
      <dataBar>
        <cfvo type="num" val="0"/>
        <cfvo type="num" val="1"/>
        <color theme="4" tint="0.79998168889431442"/>
      </dataBar>
      <extLst>
        <ext xmlns:x14="http://schemas.microsoft.com/office/spreadsheetml/2009/9/main" uri="{B025F937-C7B1-47D3-B67F-A62EFF666E3E}">
          <x14:id>{73F005B7-DFF6-4237-AFBA-2EC9FA7009BA}</x14:id>
        </ext>
      </extLst>
    </cfRule>
    <cfRule type="iconSet" priority="7983">
      <iconSet iconSet="3Arrows">
        <cfvo type="percent" val="0"/>
        <cfvo type="num" val="0.7"/>
        <cfvo type="num" val="1"/>
      </iconSet>
    </cfRule>
  </conditionalFormatting>
  <conditionalFormatting sqref="J375">
    <cfRule type="dataBar" priority="7982">
      <dataBar>
        <cfvo type="num" val="0"/>
        <cfvo type="num" val="1"/>
        <color theme="4" tint="0.79998168889431442"/>
      </dataBar>
      <extLst>
        <ext xmlns:x14="http://schemas.microsoft.com/office/spreadsheetml/2009/9/main" uri="{B025F937-C7B1-47D3-B67F-A62EFF666E3E}">
          <x14:id>{7F00EF74-128B-4B75-9F1E-476A3A2B68BD}</x14:id>
        </ext>
      </extLst>
    </cfRule>
    <cfRule type="iconSet" priority="7981">
      <iconSet iconSet="3Arrows">
        <cfvo type="percent" val="0"/>
        <cfvo type="num" val="0.7"/>
        <cfvo type="num" val="1"/>
      </iconSet>
    </cfRule>
  </conditionalFormatting>
  <conditionalFormatting sqref="J377">
    <cfRule type="dataBar" priority="7980">
      <dataBar>
        <cfvo type="num" val="0"/>
        <cfvo type="num" val="1"/>
        <color theme="4" tint="0.79998168889431442"/>
      </dataBar>
      <extLst>
        <ext xmlns:x14="http://schemas.microsoft.com/office/spreadsheetml/2009/9/main" uri="{B025F937-C7B1-47D3-B67F-A62EFF666E3E}">
          <x14:id>{5F7821AD-1165-449A-8D7B-B6D2F0E6E3A8}</x14:id>
        </ext>
      </extLst>
    </cfRule>
    <cfRule type="iconSet" priority="7979">
      <iconSet iconSet="3Arrows">
        <cfvo type="percent" val="0"/>
        <cfvo type="num" val="0.7"/>
        <cfvo type="num" val="1"/>
      </iconSet>
    </cfRule>
  </conditionalFormatting>
  <conditionalFormatting sqref="J380">
    <cfRule type="dataBar" priority="7978">
      <dataBar>
        <cfvo type="num" val="0"/>
        <cfvo type="num" val="1"/>
        <color theme="4" tint="0.79998168889431442"/>
      </dataBar>
      <extLst>
        <ext xmlns:x14="http://schemas.microsoft.com/office/spreadsheetml/2009/9/main" uri="{B025F937-C7B1-47D3-B67F-A62EFF666E3E}">
          <x14:id>{5DB37554-23AF-4D20-8E06-BFE2623246C2}</x14:id>
        </ext>
      </extLst>
    </cfRule>
    <cfRule type="iconSet" priority="7977">
      <iconSet iconSet="3Arrows">
        <cfvo type="percent" val="0"/>
        <cfvo type="num" val="0.7"/>
        <cfvo type="num" val="1"/>
      </iconSet>
    </cfRule>
  </conditionalFormatting>
  <conditionalFormatting sqref="J382">
    <cfRule type="dataBar" priority="7976">
      <dataBar>
        <cfvo type="num" val="0"/>
        <cfvo type="num" val="1"/>
        <color theme="4" tint="0.79998168889431442"/>
      </dataBar>
      <extLst>
        <ext xmlns:x14="http://schemas.microsoft.com/office/spreadsheetml/2009/9/main" uri="{B025F937-C7B1-47D3-B67F-A62EFF666E3E}">
          <x14:id>{5554F397-DE0F-4039-96A2-B74BA3BA32B5}</x14:id>
        </ext>
      </extLst>
    </cfRule>
    <cfRule type="iconSet" priority="7975">
      <iconSet iconSet="3Arrows">
        <cfvo type="percent" val="0"/>
        <cfvo type="num" val="0.7"/>
        <cfvo type="num" val="1"/>
      </iconSet>
    </cfRule>
  </conditionalFormatting>
  <conditionalFormatting sqref="J384">
    <cfRule type="dataBar" priority="7974">
      <dataBar>
        <cfvo type="num" val="0"/>
        <cfvo type="num" val="1"/>
        <color theme="4" tint="0.79998168889431442"/>
      </dataBar>
      <extLst>
        <ext xmlns:x14="http://schemas.microsoft.com/office/spreadsheetml/2009/9/main" uri="{B025F937-C7B1-47D3-B67F-A62EFF666E3E}">
          <x14:id>{57BD1115-A6B6-4429-BD86-03834DA759E2}</x14:id>
        </ext>
      </extLst>
    </cfRule>
    <cfRule type="iconSet" priority="7973">
      <iconSet iconSet="3Arrows">
        <cfvo type="percent" val="0"/>
        <cfvo type="num" val="0.7"/>
        <cfvo type="num" val="1"/>
      </iconSet>
    </cfRule>
  </conditionalFormatting>
  <conditionalFormatting sqref="J386">
    <cfRule type="dataBar" priority="7972">
      <dataBar>
        <cfvo type="num" val="0"/>
        <cfvo type="num" val="1"/>
        <color theme="4" tint="0.79998168889431442"/>
      </dataBar>
      <extLst>
        <ext xmlns:x14="http://schemas.microsoft.com/office/spreadsheetml/2009/9/main" uri="{B025F937-C7B1-47D3-B67F-A62EFF666E3E}">
          <x14:id>{29405F67-F853-465F-898A-FCAA348B8DE1}</x14:id>
        </ext>
      </extLst>
    </cfRule>
    <cfRule type="iconSet" priority="7971">
      <iconSet iconSet="3Arrows">
        <cfvo type="percent" val="0"/>
        <cfvo type="num" val="0.7"/>
        <cfvo type="num" val="1"/>
      </iconSet>
    </cfRule>
  </conditionalFormatting>
  <conditionalFormatting sqref="J388">
    <cfRule type="iconSet" priority="7969">
      <iconSet iconSet="3Arrows">
        <cfvo type="percent" val="0"/>
        <cfvo type="num" val="0.7"/>
        <cfvo type="num" val="1"/>
      </iconSet>
    </cfRule>
    <cfRule type="dataBar" priority="7970">
      <dataBar>
        <cfvo type="num" val="0"/>
        <cfvo type="num" val="1"/>
        <color theme="4" tint="0.79998168889431442"/>
      </dataBar>
      <extLst>
        <ext xmlns:x14="http://schemas.microsoft.com/office/spreadsheetml/2009/9/main" uri="{B025F937-C7B1-47D3-B67F-A62EFF666E3E}">
          <x14:id>{F4013378-59E6-4148-94AE-1E6DB739906E}</x14:id>
        </ext>
      </extLst>
    </cfRule>
  </conditionalFormatting>
  <conditionalFormatting sqref="J390">
    <cfRule type="iconSet" priority="7967">
      <iconSet iconSet="3Arrows">
        <cfvo type="percent" val="0"/>
        <cfvo type="num" val="0.7"/>
        <cfvo type="num" val="1"/>
      </iconSet>
    </cfRule>
    <cfRule type="dataBar" priority="7968">
      <dataBar>
        <cfvo type="num" val="0"/>
        <cfvo type="num" val="1"/>
        <color theme="4" tint="0.79998168889431442"/>
      </dataBar>
      <extLst>
        <ext xmlns:x14="http://schemas.microsoft.com/office/spreadsheetml/2009/9/main" uri="{B025F937-C7B1-47D3-B67F-A62EFF666E3E}">
          <x14:id>{4C8C1C37-AA5A-4B08-AD0D-1F77C7D53660}</x14:id>
        </ext>
      </extLst>
    </cfRule>
  </conditionalFormatting>
  <conditionalFormatting sqref="J392">
    <cfRule type="dataBar" priority="7966">
      <dataBar>
        <cfvo type="num" val="0"/>
        <cfvo type="num" val="1"/>
        <color theme="4" tint="0.79998168889431442"/>
      </dataBar>
      <extLst>
        <ext xmlns:x14="http://schemas.microsoft.com/office/spreadsheetml/2009/9/main" uri="{B025F937-C7B1-47D3-B67F-A62EFF666E3E}">
          <x14:id>{69E69AF0-6313-45DF-B404-0222012A0787}</x14:id>
        </ext>
      </extLst>
    </cfRule>
    <cfRule type="iconSet" priority="7965">
      <iconSet iconSet="3Arrows">
        <cfvo type="percent" val="0"/>
        <cfvo type="num" val="0.7"/>
        <cfvo type="num" val="1"/>
      </iconSet>
    </cfRule>
  </conditionalFormatting>
  <conditionalFormatting sqref="J395">
    <cfRule type="dataBar" priority="7964">
      <dataBar>
        <cfvo type="num" val="0"/>
        <cfvo type="num" val="1"/>
        <color theme="4" tint="0.79998168889431442"/>
      </dataBar>
      <extLst>
        <ext xmlns:x14="http://schemas.microsoft.com/office/spreadsheetml/2009/9/main" uri="{B025F937-C7B1-47D3-B67F-A62EFF666E3E}">
          <x14:id>{ABD41ACD-DDA1-4114-BF4E-0267B64BF6EA}</x14:id>
        </ext>
      </extLst>
    </cfRule>
    <cfRule type="iconSet" priority="7963">
      <iconSet iconSet="3Arrows">
        <cfvo type="percent" val="0"/>
        <cfvo type="num" val="0.7"/>
        <cfvo type="num" val="1"/>
      </iconSet>
    </cfRule>
  </conditionalFormatting>
  <conditionalFormatting sqref="J397">
    <cfRule type="dataBar" priority="7962">
      <dataBar>
        <cfvo type="num" val="0"/>
        <cfvo type="num" val="1"/>
        <color theme="4" tint="0.79998168889431442"/>
      </dataBar>
      <extLst>
        <ext xmlns:x14="http://schemas.microsoft.com/office/spreadsheetml/2009/9/main" uri="{B025F937-C7B1-47D3-B67F-A62EFF666E3E}">
          <x14:id>{98A25F59-5F28-43C0-B3F8-341C4C8F7B14}</x14:id>
        </ext>
      </extLst>
    </cfRule>
    <cfRule type="iconSet" priority="7961">
      <iconSet iconSet="3Arrows">
        <cfvo type="percent" val="0"/>
        <cfvo type="num" val="0.7"/>
        <cfvo type="num" val="1"/>
      </iconSet>
    </cfRule>
  </conditionalFormatting>
  <conditionalFormatting sqref="J399">
    <cfRule type="dataBar" priority="7960">
      <dataBar>
        <cfvo type="num" val="0"/>
        <cfvo type="num" val="1"/>
        <color theme="4" tint="0.79998168889431442"/>
      </dataBar>
      <extLst>
        <ext xmlns:x14="http://schemas.microsoft.com/office/spreadsheetml/2009/9/main" uri="{B025F937-C7B1-47D3-B67F-A62EFF666E3E}">
          <x14:id>{7A68B72E-C60D-42FD-B98B-F8297BFAF80B}</x14:id>
        </ext>
      </extLst>
    </cfRule>
    <cfRule type="iconSet" priority="7959">
      <iconSet iconSet="3Arrows">
        <cfvo type="percent" val="0"/>
        <cfvo type="num" val="0.7"/>
        <cfvo type="num" val="1"/>
      </iconSet>
    </cfRule>
  </conditionalFormatting>
  <conditionalFormatting sqref="J401">
    <cfRule type="dataBar" priority="7958">
      <dataBar>
        <cfvo type="num" val="0"/>
        <cfvo type="num" val="1"/>
        <color theme="4" tint="0.79998168889431442"/>
      </dataBar>
      <extLst>
        <ext xmlns:x14="http://schemas.microsoft.com/office/spreadsheetml/2009/9/main" uri="{B025F937-C7B1-47D3-B67F-A62EFF666E3E}">
          <x14:id>{FEA23E9A-F907-47DC-94BA-C328B9981C8C}</x14:id>
        </ext>
      </extLst>
    </cfRule>
    <cfRule type="iconSet" priority="7957">
      <iconSet iconSet="3Arrows">
        <cfvo type="percent" val="0"/>
        <cfvo type="num" val="0.7"/>
        <cfvo type="num" val="1"/>
      </iconSet>
    </cfRule>
  </conditionalFormatting>
  <conditionalFormatting sqref="J404">
    <cfRule type="dataBar" priority="7956">
      <dataBar>
        <cfvo type="num" val="0"/>
        <cfvo type="num" val="1"/>
        <color theme="4" tint="0.79998168889431442"/>
      </dataBar>
      <extLst>
        <ext xmlns:x14="http://schemas.microsoft.com/office/spreadsheetml/2009/9/main" uri="{B025F937-C7B1-47D3-B67F-A62EFF666E3E}">
          <x14:id>{BDBDC7A3-72E2-40DB-B66E-8AFEBF066128}</x14:id>
        </ext>
      </extLst>
    </cfRule>
    <cfRule type="iconSet" priority="7955">
      <iconSet iconSet="3Arrows">
        <cfvo type="percent" val="0"/>
        <cfvo type="num" val="0.7"/>
        <cfvo type="num" val="1"/>
      </iconSet>
    </cfRule>
  </conditionalFormatting>
  <conditionalFormatting sqref="J406">
    <cfRule type="dataBar" priority="7954">
      <dataBar>
        <cfvo type="num" val="0"/>
        <cfvo type="num" val="1"/>
        <color theme="4" tint="0.79998168889431442"/>
      </dataBar>
      <extLst>
        <ext xmlns:x14="http://schemas.microsoft.com/office/spreadsheetml/2009/9/main" uri="{B025F937-C7B1-47D3-B67F-A62EFF666E3E}">
          <x14:id>{61913353-ACE5-45BD-BB8B-DCE62900D9EE}</x14:id>
        </ext>
      </extLst>
    </cfRule>
    <cfRule type="iconSet" priority="7953">
      <iconSet iconSet="3Arrows">
        <cfvo type="percent" val="0"/>
        <cfvo type="num" val="0.7"/>
        <cfvo type="num" val="1"/>
      </iconSet>
    </cfRule>
  </conditionalFormatting>
  <conditionalFormatting sqref="J412">
    <cfRule type="dataBar" priority="7952">
      <dataBar>
        <cfvo type="num" val="0"/>
        <cfvo type="num" val="1"/>
        <color theme="4" tint="0.79998168889431442"/>
      </dataBar>
      <extLst>
        <ext xmlns:x14="http://schemas.microsoft.com/office/spreadsheetml/2009/9/main" uri="{B025F937-C7B1-47D3-B67F-A62EFF666E3E}">
          <x14:id>{C50ADBB4-D45F-4F64-A56F-BE0E9450117F}</x14:id>
        </ext>
      </extLst>
    </cfRule>
    <cfRule type="iconSet" priority="7951">
      <iconSet iconSet="3Arrows">
        <cfvo type="percent" val="0"/>
        <cfvo type="num" val="0.7"/>
        <cfvo type="num" val="1"/>
      </iconSet>
    </cfRule>
  </conditionalFormatting>
  <conditionalFormatting sqref="J414">
    <cfRule type="dataBar" priority="7950">
      <dataBar>
        <cfvo type="num" val="0"/>
        <cfvo type="num" val="1"/>
        <color theme="4" tint="0.79998168889431442"/>
      </dataBar>
      <extLst>
        <ext xmlns:x14="http://schemas.microsoft.com/office/spreadsheetml/2009/9/main" uri="{B025F937-C7B1-47D3-B67F-A62EFF666E3E}">
          <x14:id>{02569A0D-9AD1-4BB4-9575-CE088CB5A75F}</x14:id>
        </ext>
      </extLst>
    </cfRule>
    <cfRule type="iconSet" priority="7949">
      <iconSet iconSet="3Arrows">
        <cfvo type="percent" val="0"/>
        <cfvo type="num" val="0.7"/>
        <cfvo type="num" val="1"/>
      </iconSet>
    </cfRule>
  </conditionalFormatting>
  <conditionalFormatting sqref="J416 J514 J418 J420 J452">
    <cfRule type="dataBar" priority="7908">
      <dataBar>
        <cfvo type="num" val="0"/>
        <cfvo type="num" val="1"/>
        <color theme="4" tint="0.79998168889431442"/>
      </dataBar>
      <extLst>
        <ext xmlns:x14="http://schemas.microsoft.com/office/spreadsheetml/2009/9/main" uri="{B025F937-C7B1-47D3-B67F-A62EFF666E3E}">
          <x14:id>{7170510A-EBA7-4F81-84E9-F2028CC953FF}</x14:id>
        </ext>
      </extLst>
    </cfRule>
    <cfRule type="iconSet" priority="7907">
      <iconSet iconSet="3Arrows">
        <cfvo type="percent" val="0"/>
        <cfvo type="num" val="0.7"/>
        <cfvo type="num" val="1"/>
      </iconSet>
    </cfRule>
  </conditionalFormatting>
  <conditionalFormatting sqref="J422">
    <cfRule type="iconSet" priority="7947">
      <iconSet iconSet="3Arrows">
        <cfvo type="percent" val="0"/>
        <cfvo type="num" val="0.7"/>
        <cfvo type="num" val="1"/>
      </iconSet>
    </cfRule>
    <cfRule type="dataBar" priority="7948">
      <dataBar>
        <cfvo type="num" val="0"/>
        <cfvo type="num" val="1"/>
        <color theme="4" tint="0.79998168889431442"/>
      </dataBar>
      <extLst>
        <ext xmlns:x14="http://schemas.microsoft.com/office/spreadsheetml/2009/9/main" uri="{B025F937-C7B1-47D3-B67F-A62EFF666E3E}">
          <x14:id>{35F5494C-CFC8-4CB9-80A4-A8B5AB90B14B}</x14:id>
        </ext>
      </extLst>
    </cfRule>
  </conditionalFormatting>
  <conditionalFormatting sqref="J424 J426 J428 J430">
    <cfRule type="dataBar" priority="7946">
      <dataBar>
        <cfvo type="num" val="0"/>
        <cfvo type="num" val="1"/>
        <color theme="4" tint="0.79998168889431442"/>
      </dataBar>
      <extLst>
        <ext xmlns:x14="http://schemas.microsoft.com/office/spreadsheetml/2009/9/main" uri="{B025F937-C7B1-47D3-B67F-A62EFF666E3E}">
          <x14:id>{9070FF0F-7894-4F47-A9EB-3540D0853BA6}</x14:id>
        </ext>
      </extLst>
    </cfRule>
    <cfRule type="iconSet" priority="7945">
      <iconSet iconSet="3Arrows">
        <cfvo type="percent" val="0"/>
        <cfvo type="num" val="0.7"/>
        <cfvo type="num" val="1"/>
      </iconSet>
    </cfRule>
  </conditionalFormatting>
  <conditionalFormatting sqref="J432">
    <cfRule type="dataBar" priority="7944">
      <dataBar>
        <cfvo type="num" val="0"/>
        <cfvo type="num" val="1"/>
        <color theme="4" tint="0.79998168889431442"/>
      </dataBar>
      <extLst>
        <ext xmlns:x14="http://schemas.microsoft.com/office/spreadsheetml/2009/9/main" uri="{B025F937-C7B1-47D3-B67F-A62EFF666E3E}">
          <x14:id>{E573CC3B-1A2C-4059-AD23-568575765718}</x14:id>
        </ext>
      </extLst>
    </cfRule>
    <cfRule type="iconSet" priority="7943">
      <iconSet iconSet="3Arrows">
        <cfvo type="percent" val="0"/>
        <cfvo type="num" val="0.7"/>
        <cfvo type="num" val="1"/>
      </iconSet>
    </cfRule>
  </conditionalFormatting>
  <conditionalFormatting sqref="J434 J436 J438 J440">
    <cfRule type="dataBar" priority="7942">
      <dataBar>
        <cfvo type="num" val="0"/>
        <cfvo type="num" val="1"/>
        <color theme="4" tint="0.79998168889431442"/>
      </dataBar>
      <extLst>
        <ext xmlns:x14="http://schemas.microsoft.com/office/spreadsheetml/2009/9/main" uri="{B025F937-C7B1-47D3-B67F-A62EFF666E3E}">
          <x14:id>{D8A776FE-B70F-4C20-BA9A-7752E8059693}</x14:id>
        </ext>
      </extLst>
    </cfRule>
    <cfRule type="iconSet" priority="7941">
      <iconSet iconSet="3Arrows">
        <cfvo type="percent" val="0"/>
        <cfvo type="num" val="0.7"/>
        <cfvo type="num" val="1"/>
      </iconSet>
    </cfRule>
  </conditionalFormatting>
  <conditionalFormatting sqref="J442">
    <cfRule type="dataBar" priority="7940">
      <dataBar>
        <cfvo type="num" val="0"/>
        <cfvo type="num" val="1"/>
        <color theme="4" tint="0.79998168889431442"/>
      </dataBar>
      <extLst>
        <ext xmlns:x14="http://schemas.microsoft.com/office/spreadsheetml/2009/9/main" uri="{B025F937-C7B1-47D3-B67F-A62EFF666E3E}">
          <x14:id>{E4497EBE-2F8B-476B-A430-05A24D9E65E5}</x14:id>
        </ext>
      </extLst>
    </cfRule>
    <cfRule type="iconSet" priority="7939">
      <iconSet iconSet="3Arrows">
        <cfvo type="percent" val="0"/>
        <cfvo type="num" val="0.7"/>
        <cfvo type="num" val="1"/>
      </iconSet>
    </cfRule>
  </conditionalFormatting>
  <conditionalFormatting sqref="J444 J446 J448 J450">
    <cfRule type="dataBar" priority="7938">
      <dataBar>
        <cfvo type="num" val="0"/>
        <cfvo type="num" val="1"/>
        <color theme="4" tint="0.79998168889431442"/>
      </dataBar>
      <extLst>
        <ext xmlns:x14="http://schemas.microsoft.com/office/spreadsheetml/2009/9/main" uri="{B025F937-C7B1-47D3-B67F-A62EFF666E3E}">
          <x14:id>{929783AE-41CE-4E21-93F3-E6F3EE8AB8B9}</x14:id>
        </ext>
      </extLst>
    </cfRule>
    <cfRule type="iconSet" priority="7937">
      <iconSet iconSet="3Arrows">
        <cfvo type="percent" val="0"/>
        <cfvo type="num" val="0.7"/>
        <cfvo type="num" val="1"/>
      </iconSet>
    </cfRule>
  </conditionalFormatting>
  <conditionalFormatting sqref="J454">
    <cfRule type="dataBar" priority="7936">
      <dataBar>
        <cfvo type="num" val="0"/>
        <cfvo type="num" val="1"/>
        <color theme="4" tint="0.79998168889431442"/>
      </dataBar>
      <extLst>
        <ext xmlns:x14="http://schemas.microsoft.com/office/spreadsheetml/2009/9/main" uri="{B025F937-C7B1-47D3-B67F-A62EFF666E3E}">
          <x14:id>{246880C8-B849-4EE3-B75E-4854BF75D3B3}</x14:id>
        </ext>
      </extLst>
    </cfRule>
    <cfRule type="iconSet" priority="7935">
      <iconSet iconSet="3Arrows">
        <cfvo type="percent" val="0"/>
        <cfvo type="num" val="0.7"/>
        <cfvo type="num" val="1"/>
      </iconSet>
    </cfRule>
  </conditionalFormatting>
  <conditionalFormatting sqref="J464">
    <cfRule type="dataBar" priority="7932">
      <dataBar>
        <cfvo type="num" val="0"/>
        <cfvo type="num" val="1"/>
        <color theme="4" tint="0.79998168889431442"/>
      </dataBar>
      <extLst>
        <ext xmlns:x14="http://schemas.microsoft.com/office/spreadsheetml/2009/9/main" uri="{B025F937-C7B1-47D3-B67F-A62EFF666E3E}">
          <x14:id>{AAD3DA8A-1A1A-4C1D-BD36-CD89DF88BEA2}</x14:id>
        </ext>
      </extLst>
    </cfRule>
    <cfRule type="iconSet" priority="7931">
      <iconSet iconSet="3Arrows">
        <cfvo type="percent" val="0"/>
        <cfvo type="num" val="0.7"/>
        <cfvo type="num" val="1"/>
      </iconSet>
    </cfRule>
  </conditionalFormatting>
  <conditionalFormatting sqref="J466 J468 J470 J472">
    <cfRule type="dataBar" priority="7930">
      <dataBar>
        <cfvo type="num" val="0"/>
        <cfvo type="num" val="1"/>
        <color theme="4" tint="0.79998168889431442"/>
      </dataBar>
      <extLst>
        <ext xmlns:x14="http://schemas.microsoft.com/office/spreadsheetml/2009/9/main" uri="{B025F937-C7B1-47D3-B67F-A62EFF666E3E}">
          <x14:id>{32EB6410-A65C-4F1C-8047-A5DCD4D640FD}</x14:id>
        </ext>
      </extLst>
    </cfRule>
    <cfRule type="iconSet" priority="7929">
      <iconSet iconSet="3Arrows">
        <cfvo type="percent" val="0"/>
        <cfvo type="num" val="0.7"/>
        <cfvo type="num" val="1"/>
      </iconSet>
    </cfRule>
  </conditionalFormatting>
  <conditionalFormatting sqref="J474">
    <cfRule type="dataBar" priority="7928">
      <dataBar>
        <cfvo type="num" val="0"/>
        <cfvo type="num" val="1"/>
        <color theme="4" tint="0.79998168889431442"/>
      </dataBar>
      <extLst>
        <ext xmlns:x14="http://schemas.microsoft.com/office/spreadsheetml/2009/9/main" uri="{B025F937-C7B1-47D3-B67F-A62EFF666E3E}">
          <x14:id>{0571735E-89E5-448E-BC3A-F42F00901488}</x14:id>
        </ext>
      </extLst>
    </cfRule>
    <cfRule type="iconSet" priority="7927">
      <iconSet iconSet="3Arrows">
        <cfvo type="percent" val="0"/>
        <cfvo type="num" val="0.7"/>
        <cfvo type="num" val="1"/>
      </iconSet>
    </cfRule>
  </conditionalFormatting>
  <conditionalFormatting sqref="J476 J478 J480 J482">
    <cfRule type="dataBar" priority="7926">
      <dataBar>
        <cfvo type="num" val="0"/>
        <cfvo type="num" val="1"/>
        <color theme="4" tint="0.79998168889431442"/>
      </dataBar>
      <extLst>
        <ext xmlns:x14="http://schemas.microsoft.com/office/spreadsheetml/2009/9/main" uri="{B025F937-C7B1-47D3-B67F-A62EFF666E3E}">
          <x14:id>{6E1982B5-54B0-43C7-BB88-B187DD991593}</x14:id>
        </ext>
      </extLst>
    </cfRule>
    <cfRule type="iconSet" priority="7925">
      <iconSet iconSet="3Arrows">
        <cfvo type="percent" val="0"/>
        <cfvo type="num" val="0.7"/>
        <cfvo type="num" val="1"/>
      </iconSet>
    </cfRule>
  </conditionalFormatting>
  <conditionalFormatting sqref="J484">
    <cfRule type="dataBar" priority="7924">
      <dataBar>
        <cfvo type="num" val="0"/>
        <cfvo type="num" val="1"/>
        <color theme="4" tint="0.79998168889431442"/>
      </dataBar>
      <extLst>
        <ext xmlns:x14="http://schemas.microsoft.com/office/spreadsheetml/2009/9/main" uri="{B025F937-C7B1-47D3-B67F-A62EFF666E3E}">
          <x14:id>{D262F516-FF94-43FA-B7B2-D0578C8705CA}</x14:id>
        </ext>
      </extLst>
    </cfRule>
    <cfRule type="iconSet" priority="7923">
      <iconSet iconSet="3Arrows">
        <cfvo type="percent" val="0"/>
        <cfvo type="num" val="0.7"/>
        <cfvo type="num" val="1"/>
      </iconSet>
    </cfRule>
  </conditionalFormatting>
  <conditionalFormatting sqref="J486 J488">
    <cfRule type="dataBar" priority="7922">
      <dataBar>
        <cfvo type="num" val="0"/>
        <cfvo type="num" val="1"/>
        <color theme="4" tint="0.79998168889431442"/>
      </dataBar>
      <extLst>
        <ext xmlns:x14="http://schemas.microsoft.com/office/spreadsheetml/2009/9/main" uri="{B025F937-C7B1-47D3-B67F-A62EFF666E3E}">
          <x14:id>{791C0F57-0043-4D59-96B2-CDAAFD5D01BC}</x14:id>
        </ext>
      </extLst>
    </cfRule>
    <cfRule type="iconSet" priority="7921">
      <iconSet iconSet="3Arrows">
        <cfvo type="percent" val="0"/>
        <cfvo type="num" val="0.7"/>
        <cfvo type="num" val="1"/>
      </iconSet>
    </cfRule>
  </conditionalFormatting>
  <conditionalFormatting sqref="J490 J456 J458 J460 J462">
    <cfRule type="dataBar" priority="7934">
      <dataBar>
        <cfvo type="num" val="0"/>
        <cfvo type="num" val="1"/>
        <color theme="4" tint="0.79998168889431442"/>
      </dataBar>
      <extLst>
        <ext xmlns:x14="http://schemas.microsoft.com/office/spreadsheetml/2009/9/main" uri="{B025F937-C7B1-47D3-B67F-A62EFF666E3E}">
          <x14:id>{77CE991B-E925-45A3-B7F0-0D00BECB46C5}</x14:id>
        </ext>
      </extLst>
    </cfRule>
    <cfRule type="iconSet" priority="7933">
      <iconSet iconSet="3Arrows">
        <cfvo type="percent" val="0"/>
        <cfvo type="num" val="0.7"/>
        <cfvo type="num" val="1"/>
      </iconSet>
    </cfRule>
  </conditionalFormatting>
  <conditionalFormatting sqref="J492">
    <cfRule type="dataBar" priority="7920">
      <dataBar>
        <cfvo type="num" val="0"/>
        <cfvo type="num" val="1"/>
        <color theme="4" tint="0.79998168889431442"/>
      </dataBar>
      <extLst>
        <ext xmlns:x14="http://schemas.microsoft.com/office/spreadsheetml/2009/9/main" uri="{B025F937-C7B1-47D3-B67F-A62EFF666E3E}">
          <x14:id>{BAE4ADB1-5F22-4F35-8CBA-AD03AB36545B}</x14:id>
        </ext>
      </extLst>
    </cfRule>
    <cfRule type="iconSet" priority="7919">
      <iconSet iconSet="3Arrows">
        <cfvo type="percent" val="0"/>
        <cfvo type="num" val="0.7"/>
        <cfvo type="num" val="1"/>
      </iconSet>
    </cfRule>
  </conditionalFormatting>
  <conditionalFormatting sqref="J494 J496 J498 J500">
    <cfRule type="iconSet" priority="7917">
      <iconSet iconSet="3Arrows">
        <cfvo type="percent" val="0"/>
        <cfvo type="num" val="0.7"/>
        <cfvo type="num" val="1"/>
      </iconSet>
    </cfRule>
    <cfRule type="dataBar" priority="7918">
      <dataBar>
        <cfvo type="num" val="0"/>
        <cfvo type="num" val="1"/>
        <color theme="4" tint="0.79998168889431442"/>
      </dataBar>
      <extLst>
        <ext xmlns:x14="http://schemas.microsoft.com/office/spreadsheetml/2009/9/main" uri="{B025F937-C7B1-47D3-B67F-A62EFF666E3E}">
          <x14:id>{F97B234E-49FC-43E4-BC10-A38170D88B95}</x14:id>
        </ext>
      </extLst>
    </cfRule>
  </conditionalFormatting>
  <conditionalFormatting sqref="J502">
    <cfRule type="iconSet" priority="7915">
      <iconSet iconSet="3Arrows">
        <cfvo type="percent" val="0"/>
        <cfvo type="num" val="0.7"/>
        <cfvo type="num" val="1"/>
      </iconSet>
    </cfRule>
    <cfRule type="dataBar" priority="7916">
      <dataBar>
        <cfvo type="num" val="0"/>
        <cfvo type="num" val="1"/>
        <color theme="4" tint="0.79998168889431442"/>
      </dataBar>
      <extLst>
        <ext xmlns:x14="http://schemas.microsoft.com/office/spreadsheetml/2009/9/main" uri="{B025F937-C7B1-47D3-B67F-A62EFF666E3E}">
          <x14:id>{3913A477-543E-465E-B353-6B5BBD8155F1}</x14:id>
        </ext>
      </extLst>
    </cfRule>
  </conditionalFormatting>
  <conditionalFormatting sqref="J504 J579 J506 J508">
    <cfRule type="dataBar" priority="7914">
      <dataBar>
        <cfvo type="num" val="0"/>
        <cfvo type="num" val="1"/>
        <color theme="4" tint="0.79998168889431442"/>
      </dataBar>
      <extLst>
        <ext xmlns:x14="http://schemas.microsoft.com/office/spreadsheetml/2009/9/main" uri="{B025F937-C7B1-47D3-B67F-A62EFF666E3E}">
          <x14:id>{47CBDBD3-B22A-403C-8EE9-0FCDBB77B737}</x14:id>
        </ext>
      </extLst>
    </cfRule>
    <cfRule type="iconSet" priority="7913">
      <iconSet iconSet="3Arrows">
        <cfvo type="percent" val="0"/>
        <cfvo type="num" val="0.7"/>
        <cfvo type="num" val="1"/>
      </iconSet>
    </cfRule>
  </conditionalFormatting>
  <conditionalFormatting sqref="J510">
    <cfRule type="dataBar" priority="7912">
      <dataBar>
        <cfvo type="num" val="0"/>
        <cfvo type="num" val="1"/>
        <color theme="4" tint="0.79998168889431442"/>
      </dataBar>
      <extLst>
        <ext xmlns:x14="http://schemas.microsoft.com/office/spreadsheetml/2009/9/main" uri="{B025F937-C7B1-47D3-B67F-A62EFF666E3E}">
          <x14:id>{CAB81127-A118-4904-BD36-441CDD39F87A}</x14:id>
        </ext>
      </extLst>
    </cfRule>
    <cfRule type="iconSet" priority="7911">
      <iconSet iconSet="3Arrows">
        <cfvo type="percent" val="0"/>
        <cfvo type="num" val="0.7"/>
        <cfvo type="num" val="1"/>
      </iconSet>
    </cfRule>
  </conditionalFormatting>
  <conditionalFormatting sqref="J512">
    <cfRule type="dataBar" priority="7910">
      <dataBar>
        <cfvo type="num" val="0"/>
        <cfvo type="num" val="1"/>
        <color theme="4" tint="0.79998168889431442"/>
      </dataBar>
      <extLst>
        <ext xmlns:x14="http://schemas.microsoft.com/office/spreadsheetml/2009/9/main" uri="{B025F937-C7B1-47D3-B67F-A62EFF666E3E}">
          <x14:id>{E0E0A9B6-88CF-497A-B102-03405382E843}</x14:id>
        </ext>
      </extLst>
    </cfRule>
    <cfRule type="iconSet" priority="7909">
      <iconSet iconSet="3Arrows">
        <cfvo type="percent" val="0"/>
        <cfvo type="num" val="0.7"/>
        <cfvo type="num" val="1"/>
      </iconSet>
    </cfRule>
  </conditionalFormatting>
  <conditionalFormatting sqref="J516">
    <cfRule type="dataBar" priority="7906">
      <dataBar>
        <cfvo type="num" val="0"/>
        <cfvo type="num" val="1"/>
        <color theme="4" tint="0.79998168889431442"/>
      </dataBar>
      <extLst>
        <ext xmlns:x14="http://schemas.microsoft.com/office/spreadsheetml/2009/9/main" uri="{B025F937-C7B1-47D3-B67F-A62EFF666E3E}">
          <x14:id>{58951742-3750-401E-8158-192349BE784F}</x14:id>
        </ext>
      </extLst>
    </cfRule>
    <cfRule type="iconSet" priority="7905">
      <iconSet iconSet="3Arrows">
        <cfvo type="percent" val="0"/>
        <cfvo type="num" val="0.7"/>
        <cfvo type="num" val="1"/>
      </iconSet>
    </cfRule>
  </conditionalFormatting>
  <conditionalFormatting sqref="J518 J759">
    <cfRule type="iconSet" priority="7903">
      <iconSet iconSet="3Arrows">
        <cfvo type="percent" val="0"/>
        <cfvo type="num" val="0.7"/>
        <cfvo type="num" val="1"/>
      </iconSet>
    </cfRule>
    <cfRule type="dataBar" priority="7904">
      <dataBar>
        <cfvo type="num" val="0"/>
        <cfvo type="num" val="1"/>
        <color theme="4" tint="0.79998168889431442"/>
      </dataBar>
      <extLst>
        <ext xmlns:x14="http://schemas.microsoft.com/office/spreadsheetml/2009/9/main" uri="{B025F937-C7B1-47D3-B67F-A62EFF666E3E}">
          <x14:id>{A180C5BC-E616-4CFA-BD6A-F5276EB0F2E7}</x14:id>
        </ext>
      </extLst>
    </cfRule>
  </conditionalFormatting>
  <conditionalFormatting sqref="J520">
    <cfRule type="iconSet" priority="7901">
      <iconSet iconSet="3Arrows">
        <cfvo type="percent" val="0"/>
        <cfvo type="num" val="0.7"/>
        <cfvo type="num" val="1"/>
      </iconSet>
    </cfRule>
    <cfRule type="dataBar" priority="7902">
      <dataBar>
        <cfvo type="num" val="0"/>
        <cfvo type="num" val="1"/>
        <color theme="4" tint="0.79998168889431442"/>
      </dataBar>
      <extLst>
        <ext xmlns:x14="http://schemas.microsoft.com/office/spreadsheetml/2009/9/main" uri="{B025F937-C7B1-47D3-B67F-A62EFF666E3E}">
          <x14:id>{C6E89296-D50C-41D1-90A3-3AA727B01A6C}</x14:id>
        </ext>
      </extLst>
    </cfRule>
  </conditionalFormatting>
  <conditionalFormatting sqref="J522">
    <cfRule type="dataBar" priority="7900">
      <dataBar>
        <cfvo type="num" val="0"/>
        <cfvo type="num" val="1"/>
        <color theme="4" tint="0.79998168889431442"/>
      </dataBar>
      <extLst>
        <ext xmlns:x14="http://schemas.microsoft.com/office/spreadsheetml/2009/9/main" uri="{B025F937-C7B1-47D3-B67F-A62EFF666E3E}">
          <x14:id>{B5B6DFD7-E591-4C83-AD69-B5C503B03444}</x14:id>
        </ext>
      </extLst>
    </cfRule>
    <cfRule type="iconSet" priority="7899">
      <iconSet iconSet="3Arrows">
        <cfvo type="percent" val="0"/>
        <cfvo type="num" val="0.7"/>
        <cfvo type="num" val="1"/>
      </iconSet>
    </cfRule>
  </conditionalFormatting>
  <conditionalFormatting sqref="J524">
    <cfRule type="dataBar" priority="7898">
      <dataBar>
        <cfvo type="num" val="0"/>
        <cfvo type="num" val="1"/>
        <color theme="4" tint="0.79998168889431442"/>
      </dataBar>
      <extLst>
        <ext xmlns:x14="http://schemas.microsoft.com/office/spreadsheetml/2009/9/main" uri="{B025F937-C7B1-47D3-B67F-A62EFF666E3E}">
          <x14:id>{64899C55-2B0C-4A18-9663-D889C6EF89D3}</x14:id>
        </ext>
      </extLst>
    </cfRule>
    <cfRule type="iconSet" priority="7897">
      <iconSet iconSet="3Arrows">
        <cfvo type="percent" val="0"/>
        <cfvo type="num" val="0.7"/>
        <cfvo type="num" val="1"/>
      </iconSet>
    </cfRule>
  </conditionalFormatting>
  <conditionalFormatting sqref="J526">
    <cfRule type="dataBar" priority="7896">
      <dataBar>
        <cfvo type="num" val="0"/>
        <cfvo type="num" val="1"/>
        <color theme="4" tint="0.79998168889431442"/>
      </dataBar>
      <extLst>
        <ext xmlns:x14="http://schemas.microsoft.com/office/spreadsheetml/2009/9/main" uri="{B025F937-C7B1-47D3-B67F-A62EFF666E3E}">
          <x14:id>{A66F696C-8DDA-418B-BBC0-6D6F7230BB5B}</x14:id>
        </ext>
      </extLst>
    </cfRule>
    <cfRule type="iconSet" priority="7895">
      <iconSet iconSet="3Arrows">
        <cfvo type="percent" val="0"/>
        <cfvo type="num" val="0.7"/>
        <cfvo type="num" val="1"/>
      </iconSet>
    </cfRule>
  </conditionalFormatting>
  <conditionalFormatting sqref="J528">
    <cfRule type="dataBar" priority="7894">
      <dataBar>
        <cfvo type="num" val="0"/>
        <cfvo type="num" val="1"/>
        <color theme="4" tint="0.79998168889431442"/>
      </dataBar>
      <extLst>
        <ext xmlns:x14="http://schemas.microsoft.com/office/spreadsheetml/2009/9/main" uri="{B025F937-C7B1-47D3-B67F-A62EFF666E3E}">
          <x14:id>{0603516B-28E5-4B79-B4A0-9BD5C3E67598}</x14:id>
        </ext>
      </extLst>
    </cfRule>
    <cfRule type="iconSet" priority="7893">
      <iconSet iconSet="3Arrows">
        <cfvo type="percent" val="0"/>
        <cfvo type="num" val="0.7"/>
        <cfvo type="num" val="1"/>
      </iconSet>
    </cfRule>
  </conditionalFormatting>
  <conditionalFormatting sqref="J530">
    <cfRule type="dataBar" priority="7892">
      <dataBar>
        <cfvo type="num" val="0"/>
        <cfvo type="num" val="1"/>
        <color theme="4" tint="0.79998168889431442"/>
      </dataBar>
      <extLst>
        <ext xmlns:x14="http://schemas.microsoft.com/office/spreadsheetml/2009/9/main" uri="{B025F937-C7B1-47D3-B67F-A62EFF666E3E}">
          <x14:id>{D0395F6D-B20D-41A8-982C-F17CA021F8F0}</x14:id>
        </ext>
      </extLst>
    </cfRule>
    <cfRule type="iconSet" priority="7891">
      <iconSet iconSet="3Arrows">
        <cfvo type="percent" val="0"/>
        <cfvo type="num" val="0.7"/>
        <cfvo type="num" val="1"/>
      </iconSet>
    </cfRule>
  </conditionalFormatting>
  <conditionalFormatting sqref="J533">
    <cfRule type="dataBar" priority="7890">
      <dataBar>
        <cfvo type="num" val="0"/>
        <cfvo type="num" val="1"/>
        <color theme="4" tint="0.79998168889431442"/>
      </dataBar>
      <extLst>
        <ext xmlns:x14="http://schemas.microsoft.com/office/spreadsheetml/2009/9/main" uri="{B025F937-C7B1-47D3-B67F-A62EFF666E3E}">
          <x14:id>{2E244F88-CD11-441A-BB86-0C109542FEC7}</x14:id>
        </ext>
      </extLst>
    </cfRule>
    <cfRule type="iconSet" priority="7889">
      <iconSet iconSet="3Arrows">
        <cfvo type="percent" val="0"/>
        <cfvo type="num" val="0.7"/>
        <cfvo type="num" val="1"/>
      </iconSet>
    </cfRule>
  </conditionalFormatting>
  <conditionalFormatting sqref="J535 J537 J539 J409">
    <cfRule type="dataBar" priority="7888">
      <dataBar>
        <cfvo type="num" val="0"/>
        <cfvo type="num" val="1"/>
        <color theme="4" tint="0.79998168889431442"/>
      </dataBar>
      <extLst>
        <ext xmlns:x14="http://schemas.microsoft.com/office/spreadsheetml/2009/9/main" uri="{B025F937-C7B1-47D3-B67F-A62EFF666E3E}">
          <x14:id>{A9049C3B-D82A-45D8-927A-0543075C9B59}</x14:id>
        </ext>
      </extLst>
    </cfRule>
    <cfRule type="iconSet" priority="7887">
      <iconSet iconSet="3Arrows">
        <cfvo type="percent" val="0"/>
        <cfvo type="num" val="0.7"/>
        <cfvo type="num" val="1"/>
      </iconSet>
    </cfRule>
  </conditionalFormatting>
  <conditionalFormatting sqref="J541 J545 J549 J553 J557 J561 J543 J547 J551 J555 J559 J563">
    <cfRule type="dataBar" priority="7886">
      <dataBar>
        <cfvo type="num" val="0"/>
        <cfvo type="num" val="1"/>
        <color theme="4" tint="0.79998168889431442"/>
      </dataBar>
      <extLst>
        <ext xmlns:x14="http://schemas.microsoft.com/office/spreadsheetml/2009/9/main" uri="{B025F937-C7B1-47D3-B67F-A62EFF666E3E}">
          <x14:id>{98C94755-180E-4B08-B1B1-A0B0E4A48219}</x14:id>
        </ext>
      </extLst>
    </cfRule>
    <cfRule type="iconSet" priority="7885">
      <iconSet iconSet="3Arrows">
        <cfvo type="percent" val="0"/>
        <cfvo type="num" val="0.7"/>
        <cfvo type="num" val="1"/>
      </iconSet>
    </cfRule>
  </conditionalFormatting>
  <conditionalFormatting sqref="J565 J567">
    <cfRule type="iconSet" priority="7883">
      <iconSet iconSet="3Arrows">
        <cfvo type="percent" val="0"/>
        <cfvo type="num" val="0.7"/>
        <cfvo type="num" val="1"/>
      </iconSet>
    </cfRule>
    <cfRule type="dataBar" priority="7884">
      <dataBar>
        <cfvo type="num" val="0"/>
        <cfvo type="num" val="1"/>
        <color theme="4" tint="0.79998168889431442"/>
      </dataBar>
      <extLst>
        <ext xmlns:x14="http://schemas.microsoft.com/office/spreadsheetml/2009/9/main" uri="{B025F937-C7B1-47D3-B67F-A62EFF666E3E}">
          <x14:id>{26F96F96-C504-4BA4-B2BE-7C2042A0B872}</x14:id>
        </ext>
      </extLst>
    </cfRule>
  </conditionalFormatting>
  <conditionalFormatting sqref="J569 J573 J577 J583 J587 J591 J571 J575 J581 J585 J589 J593">
    <cfRule type="iconSet" priority="7881">
      <iconSet iconSet="3Arrows">
        <cfvo type="percent" val="0"/>
        <cfvo type="num" val="0.7"/>
        <cfvo type="num" val="1"/>
      </iconSet>
    </cfRule>
    <cfRule type="dataBar" priority="7882">
      <dataBar>
        <cfvo type="num" val="0"/>
        <cfvo type="num" val="1"/>
        <color theme="4" tint="0.79998168889431442"/>
      </dataBar>
      <extLst>
        <ext xmlns:x14="http://schemas.microsoft.com/office/spreadsheetml/2009/9/main" uri="{B025F937-C7B1-47D3-B67F-A62EFF666E3E}">
          <x14:id>{3675017A-FAF7-4BE6-9613-D0956CAC1303}</x14:id>
        </ext>
      </extLst>
    </cfRule>
  </conditionalFormatting>
  <conditionalFormatting sqref="J595 J597">
    <cfRule type="dataBar" priority="7880">
      <dataBar>
        <cfvo type="num" val="0"/>
        <cfvo type="num" val="1"/>
        <color theme="4" tint="0.79998168889431442"/>
      </dataBar>
      <extLst>
        <ext xmlns:x14="http://schemas.microsoft.com/office/spreadsheetml/2009/9/main" uri="{B025F937-C7B1-47D3-B67F-A62EFF666E3E}">
          <x14:id>{2B8B1EE5-1521-4AC1-9F20-B1E7112393DF}</x14:id>
        </ext>
      </extLst>
    </cfRule>
    <cfRule type="iconSet" priority="7879">
      <iconSet iconSet="3Arrows">
        <cfvo type="percent" val="0"/>
        <cfvo type="num" val="0.7"/>
        <cfvo type="num" val="1"/>
      </iconSet>
    </cfRule>
  </conditionalFormatting>
  <conditionalFormatting sqref="J599 J603 J607 J611 J615 J619 J601 J605 J609 J613 J617 J621">
    <cfRule type="dataBar" priority="7878">
      <dataBar>
        <cfvo type="num" val="0"/>
        <cfvo type="num" val="1"/>
        <color theme="4" tint="0.79998168889431442"/>
      </dataBar>
      <extLst>
        <ext xmlns:x14="http://schemas.microsoft.com/office/spreadsheetml/2009/9/main" uri="{B025F937-C7B1-47D3-B67F-A62EFF666E3E}">
          <x14:id>{62AA063E-6211-47FC-92ED-B17CED53DF85}</x14:id>
        </ext>
      </extLst>
    </cfRule>
    <cfRule type="iconSet" priority="7877">
      <iconSet iconSet="3Arrows">
        <cfvo type="percent" val="0"/>
        <cfvo type="num" val="0.7"/>
        <cfvo type="num" val="1"/>
      </iconSet>
    </cfRule>
  </conditionalFormatting>
  <conditionalFormatting sqref="J625 J623">
    <cfRule type="dataBar" priority="7876">
      <dataBar>
        <cfvo type="num" val="0"/>
        <cfvo type="num" val="1"/>
        <color theme="4" tint="0.79998168889431442"/>
      </dataBar>
      <extLst>
        <ext xmlns:x14="http://schemas.microsoft.com/office/spreadsheetml/2009/9/main" uri="{B025F937-C7B1-47D3-B67F-A62EFF666E3E}">
          <x14:id>{073D333E-FD09-45A1-959C-3571253DC70F}</x14:id>
        </ext>
      </extLst>
    </cfRule>
    <cfRule type="iconSet" priority="7875">
      <iconSet iconSet="3Arrows">
        <cfvo type="percent" val="0"/>
        <cfvo type="num" val="0.7"/>
        <cfvo type="num" val="1"/>
      </iconSet>
    </cfRule>
  </conditionalFormatting>
  <conditionalFormatting sqref="J643">
    <cfRule type="dataBar" priority="7872">
      <dataBar>
        <cfvo type="num" val="0"/>
        <cfvo type="num" val="1"/>
        <color theme="4" tint="0.79998168889431442"/>
      </dataBar>
      <extLst>
        <ext xmlns:x14="http://schemas.microsoft.com/office/spreadsheetml/2009/9/main" uri="{B025F937-C7B1-47D3-B67F-A62EFF666E3E}">
          <x14:id>{58C2EA89-1D63-4C3A-B168-FBBC5BC57511}</x14:id>
        </ext>
      </extLst>
    </cfRule>
    <cfRule type="iconSet" priority="7871">
      <iconSet iconSet="3Arrows">
        <cfvo type="percent" val="0"/>
        <cfvo type="num" val="0.7"/>
        <cfvo type="num" val="1"/>
      </iconSet>
    </cfRule>
  </conditionalFormatting>
  <conditionalFormatting sqref="J645 J627 J631 J635 J639 J629 J633 J637 J641">
    <cfRule type="dataBar" priority="7874">
      <dataBar>
        <cfvo type="num" val="0"/>
        <cfvo type="num" val="1"/>
        <color theme="4" tint="0.79998168889431442"/>
      </dataBar>
      <extLst>
        <ext xmlns:x14="http://schemas.microsoft.com/office/spreadsheetml/2009/9/main" uri="{B025F937-C7B1-47D3-B67F-A62EFF666E3E}">
          <x14:id>{C1252886-C5DC-48CB-A372-79A97C985A6B}</x14:id>
        </ext>
      </extLst>
    </cfRule>
    <cfRule type="iconSet" priority="7873">
      <iconSet iconSet="3Arrows">
        <cfvo type="percent" val="0"/>
        <cfvo type="num" val="0.7"/>
        <cfvo type="num" val="1"/>
      </iconSet>
    </cfRule>
  </conditionalFormatting>
  <conditionalFormatting sqref="J647">
    <cfRule type="dataBar" priority="7870">
      <dataBar>
        <cfvo type="num" val="0"/>
        <cfvo type="num" val="1"/>
        <color theme="4" tint="0.79998168889431442"/>
      </dataBar>
      <extLst>
        <ext xmlns:x14="http://schemas.microsoft.com/office/spreadsheetml/2009/9/main" uri="{B025F937-C7B1-47D3-B67F-A62EFF666E3E}">
          <x14:id>{DE59E6B9-9DF1-4D18-B7BB-276A20525280}</x14:id>
        </ext>
      </extLst>
    </cfRule>
    <cfRule type="iconSet" priority="7869">
      <iconSet iconSet="3Arrows">
        <cfvo type="percent" val="0"/>
        <cfvo type="num" val="0.7"/>
        <cfvo type="num" val="1"/>
      </iconSet>
    </cfRule>
  </conditionalFormatting>
  <conditionalFormatting sqref="J649">
    <cfRule type="dataBar" priority="7868">
      <dataBar>
        <cfvo type="num" val="0"/>
        <cfvo type="num" val="1"/>
        <color theme="4" tint="0.79998168889431442"/>
      </dataBar>
      <extLst>
        <ext xmlns:x14="http://schemas.microsoft.com/office/spreadsheetml/2009/9/main" uri="{B025F937-C7B1-47D3-B67F-A62EFF666E3E}">
          <x14:id>{6D50FDFF-0A78-424F-BFDD-C26D7C8ABDF7}</x14:id>
        </ext>
      </extLst>
    </cfRule>
    <cfRule type="iconSet" priority="7867">
      <iconSet iconSet="3Arrows">
        <cfvo type="percent" val="0"/>
        <cfvo type="num" val="0.7"/>
        <cfvo type="num" val="1"/>
      </iconSet>
    </cfRule>
  </conditionalFormatting>
  <conditionalFormatting sqref="J652">
    <cfRule type="iconSet" priority="7865">
      <iconSet iconSet="3Arrows">
        <cfvo type="percent" val="0"/>
        <cfvo type="num" val="0.7"/>
        <cfvo type="num" val="1"/>
      </iconSet>
    </cfRule>
    <cfRule type="dataBar" priority="7866">
      <dataBar>
        <cfvo type="num" val="0"/>
        <cfvo type="num" val="1"/>
        <color theme="4" tint="0.79998168889431442"/>
      </dataBar>
      <extLst>
        <ext xmlns:x14="http://schemas.microsoft.com/office/spreadsheetml/2009/9/main" uri="{B025F937-C7B1-47D3-B67F-A62EFF666E3E}">
          <x14:id>{7CE5045D-3AA2-4A15-BC85-CF4B6447B734}</x14:id>
        </ext>
      </extLst>
    </cfRule>
  </conditionalFormatting>
  <conditionalFormatting sqref="J654">
    <cfRule type="iconSet" priority="7863">
      <iconSet iconSet="3Arrows">
        <cfvo type="percent" val="0"/>
        <cfvo type="num" val="0.7"/>
        <cfvo type="num" val="1"/>
      </iconSet>
    </cfRule>
    <cfRule type="dataBar" priority="7864">
      <dataBar>
        <cfvo type="num" val="0"/>
        <cfvo type="num" val="1"/>
        <color theme="4" tint="0.79998168889431442"/>
      </dataBar>
      <extLst>
        <ext xmlns:x14="http://schemas.microsoft.com/office/spreadsheetml/2009/9/main" uri="{B025F937-C7B1-47D3-B67F-A62EFF666E3E}">
          <x14:id>{1EC3C377-CCD3-46C9-B817-62BF74526467}</x14:id>
        </ext>
      </extLst>
    </cfRule>
  </conditionalFormatting>
  <conditionalFormatting sqref="J656">
    <cfRule type="dataBar" priority="7862">
      <dataBar>
        <cfvo type="num" val="0"/>
        <cfvo type="num" val="1"/>
        <color theme="4" tint="0.79998168889431442"/>
      </dataBar>
      <extLst>
        <ext xmlns:x14="http://schemas.microsoft.com/office/spreadsheetml/2009/9/main" uri="{B025F937-C7B1-47D3-B67F-A62EFF666E3E}">
          <x14:id>{6D44A50A-5493-4C32-8C7F-837B9DE94C77}</x14:id>
        </ext>
      </extLst>
    </cfRule>
    <cfRule type="iconSet" priority="7861">
      <iconSet iconSet="3Arrows">
        <cfvo type="percent" val="0"/>
        <cfvo type="num" val="0.7"/>
        <cfvo type="num" val="1"/>
      </iconSet>
    </cfRule>
  </conditionalFormatting>
  <conditionalFormatting sqref="J658">
    <cfRule type="dataBar" priority="7860">
      <dataBar>
        <cfvo type="num" val="0"/>
        <cfvo type="num" val="1"/>
        <color theme="4" tint="0.79998168889431442"/>
      </dataBar>
      <extLst>
        <ext xmlns:x14="http://schemas.microsoft.com/office/spreadsheetml/2009/9/main" uri="{B025F937-C7B1-47D3-B67F-A62EFF666E3E}">
          <x14:id>{B87905F6-470E-418D-BE8C-F3DB7FE04FB7}</x14:id>
        </ext>
      </extLst>
    </cfRule>
    <cfRule type="iconSet" priority="7859">
      <iconSet iconSet="3Arrows">
        <cfvo type="percent" val="0"/>
        <cfvo type="num" val="0.7"/>
        <cfvo type="num" val="1"/>
      </iconSet>
    </cfRule>
  </conditionalFormatting>
  <conditionalFormatting sqref="J660">
    <cfRule type="dataBar" priority="7858">
      <dataBar>
        <cfvo type="num" val="0"/>
        <cfvo type="num" val="1"/>
        <color theme="4" tint="0.79998168889431442"/>
      </dataBar>
      <extLst>
        <ext xmlns:x14="http://schemas.microsoft.com/office/spreadsheetml/2009/9/main" uri="{B025F937-C7B1-47D3-B67F-A62EFF666E3E}">
          <x14:id>{42CCE69E-6C4E-4691-ADD6-83BD18D994D5}</x14:id>
        </ext>
      </extLst>
    </cfRule>
    <cfRule type="iconSet" priority="7857">
      <iconSet iconSet="3Arrows">
        <cfvo type="percent" val="0"/>
        <cfvo type="num" val="0.7"/>
        <cfvo type="num" val="1"/>
      </iconSet>
    </cfRule>
  </conditionalFormatting>
  <conditionalFormatting sqref="J662">
    <cfRule type="dataBar" priority="7856">
      <dataBar>
        <cfvo type="num" val="0"/>
        <cfvo type="num" val="1"/>
        <color theme="4" tint="0.79998168889431442"/>
      </dataBar>
      <extLst>
        <ext xmlns:x14="http://schemas.microsoft.com/office/spreadsheetml/2009/9/main" uri="{B025F937-C7B1-47D3-B67F-A62EFF666E3E}">
          <x14:id>{3CF880C8-08A1-4245-84D1-51D47C51AA06}</x14:id>
        </ext>
      </extLst>
    </cfRule>
    <cfRule type="iconSet" priority="7855">
      <iconSet iconSet="3Arrows">
        <cfvo type="percent" val="0"/>
        <cfvo type="num" val="0.7"/>
        <cfvo type="num" val="1"/>
      </iconSet>
    </cfRule>
  </conditionalFormatting>
  <conditionalFormatting sqref="J664">
    <cfRule type="dataBar" priority="7854">
      <dataBar>
        <cfvo type="num" val="0"/>
        <cfvo type="num" val="1"/>
        <color theme="4" tint="0.79998168889431442"/>
      </dataBar>
      <extLst>
        <ext xmlns:x14="http://schemas.microsoft.com/office/spreadsheetml/2009/9/main" uri="{B025F937-C7B1-47D3-B67F-A62EFF666E3E}">
          <x14:id>{A7EC1153-A5A8-472C-994B-E6EA81CDFFC6}</x14:id>
        </ext>
      </extLst>
    </cfRule>
    <cfRule type="iconSet" priority="7853">
      <iconSet iconSet="3Arrows">
        <cfvo type="percent" val="0"/>
        <cfvo type="num" val="0.7"/>
        <cfvo type="num" val="1"/>
      </iconSet>
    </cfRule>
  </conditionalFormatting>
  <conditionalFormatting sqref="J666">
    <cfRule type="iconSet" priority="7851">
      <iconSet iconSet="3Arrows">
        <cfvo type="percent" val="0"/>
        <cfvo type="num" val="0.7"/>
        <cfvo type="num" val="1"/>
      </iconSet>
    </cfRule>
    <cfRule type="dataBar" priority="7852">
      <dataBar>
        <cfvo type="num" val="0"/>
        <cfvo type="num" val="1"/>
        <color theme="4" tint="0.79998168889431442"/>
      </dataBar>
      <extLst>
        <ext xmlns:x14="http://schemas.microsoft.com/office/spreadsheetml/2009/9/main" uri="{B025F937-C7B1-47D3-B67F-A62EFF666E3E}">
          <x14:id>{3478464E-142E-44C9-A94E-4E37CBD0FD7E}</x14:id>
        </ext>
      </extLst>
    </cfRule>
  </conditionalFormatting>
  <conditionalFormatting sqref="J668">
    <cfRule type="dataBar" priority="7850">
      <dataBar>
        <cfvo type="num" val="0"/>
        <cfvo type="num" val="1"/>
        <color theme="4" tint="0.79998168889431442"/>
      </dataBar>
      <extLst>
        <ext xmlns:x14="http://schemas.microsoft.com/office/spreadsheetml/2009/9/main" uri="{B025F937-C7B1-47D3-B67F-A62EFF666E3E}">
          <x14:id>{781A1E1C-0B29-4677-8617-94FF42625DCA}</x14:id>
        </ext>
      </extLst>
    </cfRule>
    <cfRule type="iconSet" priority="7849">
      <iconSet iconSet="3Arrows">
        <cfvo type="percent" val="0"/>
        <cfvo type="num" val="0.7"/>
        <cfvo type="num" val="1"/>
      </iconSet>
    </cfRule>
  </conditionalFormatting>
  <conditionalFormatting sqref="J670">
    <cfRule type="dataBar" priority="7848">
      <dataBar>
        <cfvo type="num" val="0"/>
        <cfvo type="num" val="1"/>
        <color theme="4" tint="0.79998168889431442"/>
      </dataBar>
      <extLst>
        <ext xmlns:x14="http://schemas.microsoft.com/office/spreadsheetml/2009/9/main" uri="{B025F937-C7B1-47D3-B67F-A62EFF666E3E}">
          <x14:id>{F311DAC8-D890-4011-A594-61899E210F76}</x14:id>
        </ext>
      </extLst>
    </cfRule>
    <cfRule type="iconSet" priority="7847">
      <iconSet iconSet="3Arrows">
        <cfvo type="percent" val="0"/>
        <cfvo type="num" val="0.7"/>
        <cfvo type="num" val="1"/>
      </iconSet>
    </cfRule>
  </conditionalFormatting>
  <conditionalFormatting sqref="J672">
    <cfRule type="dataBar" priority="7846">
      <dataBar>
        <cfvo type="num" val="0"/>
        <cfvo type="num" val="1"/>
        <color theme="4" tint="0.79998168889431442"/>
      </dataBar>
      <extLst>
        <ext xmlns:x14="http://schemas.microsoft.com/office/spreadsheetml/2009/9/main" uri="{B025F937-C7B1-47D3-B67F-A62EFF666E3E}">
          <x14:id>{09F175F1-3558-4D1D-BB6B-80189DAAF203}</x14:id>
        </ext>
      </extLst>
    </cfRule>
    <cfRule type="iconSet" priority="7845">
      <iconSet iconSet="3Arrows">
        <cfvo type="percent" val="0"/>
        <cfvo type="num" val="0.7"/>
        <cfvo type="num" val="1"/>
      </iconSet>
    </cfRule>
  </conditionalFormatting>
  <conditionalFormatting sqref="J674">
    <cfRule type="iconSet" priority="7843">
      <iconSet iconSet="3Arrows">
        <cfvo type="percent" val="0"/>
        <cfvo type="num" val="0.7"/>
        <cfvo type="num" val="1"/>
      </iconSet>
    </cfRule>
    <cfRule type="dataBar" priority="7844">
      <dataBar>
        <cfvo type="num" val="0"/>
        <cfvo type="num" val="1"/>
        <color theme="4" tint="0.79998168889431442"/>
      </dataBar>
      <extLst>
        <ext xmlns:x14="http://schemas.microsoft.com/office/spreadsheetml/2009/9/main" uri="{B025F937-C7B1-47D3-B67F-A62EFF666E3E}">
          <x14:id>{CEE1076C-1850-4ACB-9E2A-19BB88B89096}</x14:id>
        </ext>
      </extLst>
    </cfRule>
  </conditionalFormatting>
  <conditionalFormatting sqref="J676">
    <cfRule type="dataBar" priority="7842">
      <dataBar>
        <cfvo type="num" val="0"/>
        <cfvo type="num" val="1"/>
        <color theme="4" tint="0.79998168889431442"/>
      </dataBar>
      <extLst>
        <ext xmlns:x14="http://schemas.microsoft.com/office/spreadsheetml/2009/9/main" uri="{B025F937-C7B1-47D3-B67F-A62EFF666E3E}">
          <x14:id>{0905EACF-1224-49FC-BB2A-8CEBC3636468}</x14:id>
        </ext>
      </extLst>
    </cfRule>
    <cfRule type="iconSet" priority="7841">
      <iconSet iconSet="3Arrows">
        <cfvo type="percent" val="0"/>
        <cfvo type="num" val="0.7"/>
        <cfvo type="num" val="1"/>
      </iconSet>
    </cfRule>
  </conditionalFormatting>
  <conditionalFormatting sqref="J678">
    <cfRule type="dataBar" priority="7840">
      <dataBar>
        <cfvo type="num" val="0"/>
        <cfvo type="num" val="1"/>
        <color theme="4" tint="0.79998168889431442"/>
      </dataBar>
      <extLst>
        <ext xmlns:x14="http://schemas.microsoft.com/office/spreadsheetml/2009/9/main" uri="{B025F937-C7B1-47D3-B67F-A62EFF666E3E}">
          <x14:id>{A69B2C40-B09B-4DD2-A588-1FDFFFDA4CC5}</x14:id>
        </ext>
      </extLst>
    </cfRule>
    <cfRule type="iconSet" priority="7839">
      <iconSet iconSet="3Arrows">
        <cfvo type="percent" val="0"/>
        <cfvo type="num" val="0.7"/>
        <cfvo type="num" val="1"/>
      </iconSet>
    </cfRule>
  </conditionalFormatting>
  <conditionalFormatting sqref="J680">
    <cfRule type="dataBar" priority="7838">
      <dataBar>
        <cfvo type="num" val="0"/>
        <cfvo type="num" val="1"/>
        <color theme="4" tint="0.79998168889431442"/>
      </dataBar>
      <extLst>
        <ext xmlns:x14="http://schemas.microsoft.com/office/spreadsheetml/2009/9/main" uri="{B025F937-C7B1-47D3-B67F-A62EFF666E3E}">
          <x14:id>{A302A9F2-BB73-498F-8D40-C35EA5C5E9C2}</x14:id>
        </ext>
      </extLst>
    </cfRule>
    <cfRule type="iconSet" priority="7837">
      <iconSet iconSet="3Arrows">
        <cfvo type="percent" val="0"/>
        <cfvo type="num" val="0.7"/>
        <cfvo type="num" val="1"/>
      </iconSet>
    </cfRule>
  </conditionalFormatting>
  <conditionalFormatting sqref="J682">
    <cfRule type="dataBar" priority="7836">
      <dataBar>
        <cfvo type="num" val="0"/>
        <cfvo type="num" val="1"/>
        <color theme="4" tint="0.79998168889431442"/>
      </dataBar>
      <extLst>
        <ext xmlns:x14="http://schemas.microsoft.com/office/spreadsheetml/2009/9/main" uri="{B025F937-C7B1-47D3-B67F-A62EFF666E3E}">
          <x14:id>{0F83F51D-535E-4B60-B516-712114BA92CF}</x14:id>
        </ext>
      </extLst>
    </cfRule>
    <cfRule type="iconSet" priority="7835">
      <iconSet iconSet="3Arrows">
        <cfvo type="percent" val="0"/>
        <cfvo type="num" val="0.7"/>
        <cfvo type="num" val="1"/>
      </iconSet>
    </cfRule>
  </conditionalFormatting>
  <conditionalFormatting sqref="J684">
    <cfRule type="dataBar" priority="7834">
      <dataBar>
        <cfvo type="num" val="0"/>
        <cfvo type="num" val="1"/>
        <color theme="4" tint="0.79998168889431442"/>
      </dataBar>
      <extLst>
        <ext xmlns:x14="http://schemas.microsoft.com/office/spreadsheetml/2009/9/main" uri="{B025F937-C7B1-47D3-B67F-A62EFF666E3E}">
          <x14:id>{3CFC9E51-C1E2-4B61-96EC-D50126050CCA}</x14:id>
        </ext>
      </extLst>
    </cfRule>
    <cfRule type="iconSet" priority="7833">
      <iconSet iconSet="3Arrows">
        <cfvo type="percent" val="0"/>
        <cfvo type="num" val="0.7"/>
        <cfvo type="num" val="1"/>
      </iconSet>
    </cfRule>
  </conditionalFormatting>
  <conditionalFormatting sqref="J686">
    <cfRule type="dataBar" priority="7832">
      <dataBar>
        <cfvo type="num" val="0"/>
        <cfvo type="num" val="1"/>
        <color theme="4" tint="0.79998168889431442"/>
      </dataBar>
      <extLst>
        <ext xmlns:x14="http://schemas.microsoft.com/office/spreadsheetml/2009/9/main" uri="{B025F937-C7B1-47D3-B67F-A62EFF666E3E}">
          <x14:id>{800C5F9E-B720-493D-9B38-726824AD7AEA}</x14:id>
        </ext>
      </extLst>
    </cfRule>
    <cfRule type="iconSet" priority="7831">
      <iconSet iconSet="3Arrows">
        <cfvo type="percent" val="0"/>
        <cfvo type="num" val="0.7"/>
        <cfvo type="num" val="1"/>
      </iconSet>
    </cfRule>
  </conditionalFormatting>
  <conditionalFormatting sqref="J688">
    <cfRule type="dataBar" priority="7830">
      <dataBar>
        <cfvo type="num" val="0"/>
        <cfvo type="num" val="1"/>
        <color theme="4" tint="0.79998168889431442"/>
      </dataBar>
      <extLst>
        <ext xmlns:x14="http://schemas.microsoft.com/office/spreadsheetml/2009/9/main" uri="{B025F937-C7B1-47D3-B67F-A62EFF666E3E}">
          <x14:id>{4B3B1BB7-512B-4FD4-A543-76CA979A8521}</x14:id>
        </ext>
      </extLst>
    </cfRule>
    <cfRule type="iconSet" priority="7829">
      <iconSet iconSet="3Arrows">
        <cfvo type="percent" val="0"/>
        <cfvo type="num" val="0.7"/>
        <cfvo type="num" val="1"/>
      </iconSet>
    </cfRule>
  </conditionalFormatting>
  <conditionalFormatting sqref="J690">
    <cfRule type="dataBar" priority="7828">
      <dataBar>
        <cfvo type="num" val="0"/>
        <cfvo type="num" val="1"/>
        <color theme="4" tint="0.79998168889431442"/>
      </dataBar>
      <extLst>
        <ext xmlns:x14="http://schemas.microsoft.com/office/spreadsheetml/2009/9/main" uri="{B025F937-C7B1-47D3-B67F-A62EFF666E3E}">
          <x14:id>{DD0E4E31-1502-40F1-92C8-F0B88769C260}</x14:id>
        </ext>
      </extLst>
    </cfRule>
    <cfRule type="iconSet" priority="7827">
      <iconSet iconSet="3Arrows">
        <cfvo type="percent" val="0"/>
        <cfvo type="num" val="0.7"/>
        <cfvo type="num" val="1"/>
      </iconSet>
    </cfRule>
  </conditionalFormatting>
  <conditionalFormatting sqref="J692">
    <cfRule type="iconSet" priority="7825">
      <iconSet iconSet="3Arrows">
        <cfvo type="percent" val="0"/>
        <cfvo type="num" val="0.7"/>
        <cfvo type="num" val="1"/>
      </iconSet>
    </cfRule>
    <cfRule type="dataBar" priority="7826">
      <dataBar>
        <cfvo type="num" val="0"/>
        <cfvo type="num" val="1"/>
        <color theme="4" tint="0.79998168889431442"/>
      </dataBar>
      <extLst>
        <ext xmlns:x14="http://schemas.microsoft.com/office/spreadsheetml/2009/9/main" uri="{B025F937-C7B1-47D3-B67F-A62EFF666E3E}">
          <x14:id>{EA62D2BF-7169-4877-9B42-69E4FFF2B5E6}</x14:id>
        </ext>
      </extLst>
    </cfRule>
  </conditionalFormatting>
  <conditionalFormatting sqref="J694">
    <cfRule type="iconSet" priority="7823">
      <iconSet iconSet="3Arrows">
        <cfvo type="percent" val="0"/>
        <cfvo type="num" val="0.7"/>
        <cfvo type="num" val="1"/>
      </iconSet>
    </cfRule>
    <cfRule type="dataBar" priority="7824">
      <dataBar>
        <cfvo type="num" val="0"/>
        <cfvo type="num" val="1"/>
        <color theme="4" tint="0.79998168889431442"/>
      </dataBar>
      <extLst>
        <ext xmlns:x14="http://schemas.microsoft.com/office/spreadsheetml/2009/9/main" uri="{B025F937-C7B1-47D3-B67F-A62EFF666E3E}">
          <x14:id>{83345943-6B58-42AC-828E-980C7F901BA8}</x14:id>
        </ext>
      </extLst>
    </cfRule>
  </conditionalFormatting>
  <conditionalFormatting sqref="J696">
    <cfRule type="dataBar" priority="7822">
      <dataBar>
        <cfvo type="num" val="0"/>
        <cfvo type="num" val="1"/>
        <color theme="4" tint="0.79998168889431442"/>
      </dataBar>
      <extLst>
        <ext xmlns:x14="http://schemas.microsoft.com/office/spreadsheetml/2009/9/main" uri="{B025F937-C7B1-47D3-B67F-A62EFF666E3E}">
          <x14:id>{1F5538CA-3D34-462C-83B0-FF536086AFED}</x14:id>
        </ext>
      </extLst>
    </cfRule>
    <cfRule type="iconSet" priority="7821">
      <iconSet iconSet="3Arrows">
        <cfvo type="percent" val="0"/>
        <cfvo type="num" val="0.7"/>
        <cfvo type="num" val="1"/>
      </iconSet>
    </cfRule>
  </conditionalFormatting>
  <conditionalFormatting sqref="J698">
    <cfRule type="iconSet" priority="7819">
      <iconSet iconSet="3Arrows">
        <cfvo type="percent" val="0"/>
        <cfvo type="num" val="0.7"/>
        <cfvo type="num" val="1"/>
      </iconSet>
    </cfRule>
    <cfRule type="dataBar" priority="7820">
      <dataBar>
        <cfvo type="num" val="0"/>
        <cfvo type="num" val="1"/>
        <color theme="4" tint="0.79998168889431442"/>
      </dataBar>
      <extLst>
        <ext xmlns:x14="http://schemas.microsoft.com/office/spreadsheetml/2009/9/main" uri="{B025F937-C7B1-47D3-B67F-A62EFF666E3E}">
          <x14:id>{45C9F434-2453-4CC4-B05E-7F05C1C1A07E}</x14:id>
        </ext>
      </extLst>
    </cfRule>
  </conditionalFormatting>
  <conditionalFormatting sqref="J700">
    <cfRule type="dataBar" priority="7818">
      <dataBar>
        <cfvo type="num" val="0"/>
        <cfvo type="num" val="1"/>
        <color theme="4" tint="0.79998168889431442"/>
      </dataBar>
      <extLst>
        <ext xmlns:x14="http://schemas.microsoft.com/office/spreadsheetml/2009/9/main" uri="{B025F937-C7B1-47D3-B67F-A62EFF666E3E}">
          <x14:id>{39C7F537-7F50-4FD6-A11F-3E04F6ECDEF6}</x14:id>
        </ext>
      </extLst>
    </cfRule>
    <cfRule type="iconSet" priority="7817">
      <iconSet iconSet="3Arrows">
        <cfvo type="percent" val="0"/>
        <cfvo type="num" val="0.7"/>
        <cfvo type="num" val="1"/>
      </iconSet>
    </cfRule>
  </conditionalFormatting>
  <conditionalFormatting sqref="J703">
    <cfRule type="dataBar" priority="7816">
      <dataBar>
        <cfvo type="num" val="0"/>
        <cfvo type="num" val="1"/>
        <color theme="4" tint="0.79998168889431442"/>
      </dataBar>
      <extLst>
        <ext xmlns:x14="http://schemas.microsoft.com/office/spreadsheetml/2009/9/main" uri="{B025F937-C7B1-47D3-B67F-A62EFF666E3E}">
          <x14:id>{A7AA07A6-513A-42B9-A6EB-30AEA2A8784E}</x14:id>
        </ext>
      </extLst>
    </cfRule>
    <cfRule type="iconSet" priority="7815">
      <iconSet iconSet="3Arrows">
        <cfvo type="percent" val="0"/>
        <cfvo type="num" val="0.7"/>
        <cfvo type="num" val="1"/>
      </iconSet>
    </cfRule>
  </conditionalFormatting>
  <conditionalFormatting sqref="J705">
    <cfRule type="dataBar" priority="7814">
      <dataBar>
        <cfvo type="num" val="0"/>
        <cfvo type="num" val="1"/>
        <color theme="4" tint="0.79998168889431442"/>
      </dataBar>
      <extLst>
        <ext xmlns:x14="http://schemas.microsoft.com/office/spreadsheetml/2009/9/main" uri="{B025F937-C7B1-47D3-B67F-A62EFF666E3E}">
          <x14:id>{E0CD12D8-B0E5-4432-AEED-3A5ED88A1B3F}</x14:id>
        </ext>
      </extLst>
    </cfRule>
    <cfRule type="iconSet" priority="7813">
      <iconSet iconSet="3Arrows">
        <cfvo type="percent" val="0"/>
        <cfvo type="num" val="0.7"/>
        <cfvo type="num" val="1"/>
      </iconSet>
    </cfRule>
  </conditionalFormatting>
  <conditionalFormatting sqref="J707">
    <cfRule type="dataBar" priority="7812">
      <dataBar>
        <cfvo type="num" val="0"/>
        <cfvo type="num" val="1"/>
        <color theme="4" tint="0.79998168889431442"/>
      </dataBar>
      <extLst>
        <ext xmlns:x14="http://schemas.microsoft.com/office/spreadsheetml/2009/9/main" uri="{B025F937-C7B1-47D3-B67F-A62EFF666E3E}">
          <x14:id>{EC212735-739B-4348-99CF-35F541AE5B6A}</x14:id>
        </ext>
      </extLst>
    </cfRule>
    <cfRule type="iconSet" priority="7811">
      <iconSet iconSet="3Arrows">
        <cfvo type="percent" val="0"/>
        <cfvo type="num" val="0.7"/>
        <cfvo type="num" val="1"/>
      </iconSet>
    </cfRule>
  </conditionalFormatting>
  <conditionalFormatting sqref="J709">
    <cfRule type="dataBar" priority="7810">
      <dataBar>
        <cfvo type="num" val="0"/>
        <cfvo type="num" val="1"/>
        <color theme="4" tint="0.79998168889431442"/>
      </dataBar>
      <extLst>
        <ext xmlns:x14="http://schemas.microsoft.com/office/spreadsheetml/2009/9/main" uri="{B025F937-C7B1-47D3-B67F-A62EFF666E3E}">
          <x14:id>{F4013653-5D1B-4D71-8B27-DE593E2CE1AC}</x14:id>
        </ext>
      </extLst>
    </cfRule>
    <cfRule type="iconSet" priority="7809">
      <iconSet iconSet="3Arrows">
        <cfvo type="percent" val="0"/>
        <cfvo type="num" val="0.7"/>
        <cfvo type="num" val="1"/>
      </iconSet>
    </cfRule>
  </conditionalFormatting>
  <conditionalFormatting sqref="J711">
    <cfRule type="dataBar" priority="7808">
      <dataBar>
        <cfvo type="num" val="0"/>
        <cfvo type="num" val="1"/>
        <color theme="4" tint="0.79998168889431442"/>
      </dataBar>
      <extLst>
        <ext xmlns:x14="http://schemas.microsoft.com/office/spreadsheetml/2009/9/main" uri="{B025F937-C7B1-47D3-B67F-A62EFF666E3E}">
          <x14:id>{0F66219C-9AAB-497E-A4A7-E6FB948BB66D}</x14:id>
        </ext>
      </extLst>
    </cfRule>
    <cfRule type="iconSet" priority="7807">
      <iconSet iconSet="3Arrows">
        <cfvo type="percent" val="0"/>
        <cfvo type="num" val="0.7"/>
        <cfvo type="num" val="1"/>
      </iconSet>
    </cfRule>
  </conditionalFormatting>
  <conditionalFormatting sqref="J713">
    <cfRule type="iconSet" priority="7805">
      <iconSet iconSet="3Arrows">
        <cfvo type="percent" val="0"/>
        <cfvo type="num" val="0.7"/>
        <cfvo type="num" val="1"/>
      </iconSet>
    </cfRule>
    <cfRule type="dataBar" priority="7806">
      <dataBar>
        <cfvo type="num" val="0"/>
        <cfvo type="num" val="1"/>
        <color theme="4" tint="0.79998168889431442"/>
      </dataBar>
      <extLst>
        <ext xmlns:x14="http://schemas.microsoft.com/office/spreadsheetml/2009/9/main" uri="{B025F937-C7B1-47D3-B67F-A62EFF666E3E}">
          <x14:id>{5E8F3903-941D-477C-8452-4AE9FEA3CDAA}</x14:id>
        </ext>
      </extLst>
    </cfRule>
  </conditionalFormatting>
  <conditionalFormatting sqref="J715">
    <cfRule type="iconSet" priority="7803">
      <iconSet iconSet="3Arrows">
        <cfvo type="percent" val="0"/>
        <cfvo type="num" val="0.7"/>
        <cfvo type="num" val="1"/>
      </iconSet>
    </cfRule>
    <cfRule type="dataBar" priority="7804">
      <dataBar>
        <cfvo type="num" val="0"/>
        <cfvo type="num" val="1"/>
        <color theme="4" tint="0.79998168889431442"/>
      </dataBar>
      <extLst>
        <ext xmlns:x14="http://schemas.microsoft.com/office/spreadsheetml/2009/9/main" uri="{B025F937-C7B1-47D3-B67F-A62EFF666E3E}">
          <x14:id>{B7854E69-36D2-4BAA-A08B-FE6EA0761C87}</x14:id>
        </ext>
      </extLst>
    </cfRule>
  </conditionalFormatting>
  <conditionalFormatting sqref="J717">
    <cfRule type="dataBar" priority="7802">
      <dataBar>
        <cfvo type="num" val="0"/>
        <cfvo type="num" val="1"/>
        <color theme="4" tint="0.79998168889431442"/>
      </dataBar>
      <extLst>
        <ext xmlns:x14="http://schemas.microsoft.com/office/spreadsheetml/2009/9/main" uri="{B025F937-C7B1-47D3-B67F-A62EFF666E3E}">
          <x14:id>{A2E9E86E-E1E7-4094-AE3B-5CB047F09998}</x14:id>
        </ext>
      </extLst>
    </cfRule>
    <cfRule type="iconSet" priority="7801">
      <iconSet iconSet="3Arrows">
        <cfvo type="percent" val="0"/>
        <cfvo type="num" val="0.7"/>
        <cfvo type="num" val="1"/>
      </iconSet>
    </cfRule>
  </conditionalFormatting>
  <conditionalFormatting sqref="J719">
    <cfRule type="dataBar" priority="7800">
      <dataBar>
        <cfvo type="num" val="0"/>
        <cfvo type="num" val="1"/>
        <color theme="4" tint="0.79998168889431442"/>
      </dataBar>
      <extLst>
        <ext xmlns:x14="http://schemas.microsoft.com/office/spreadsheetml/2009/9/main" uri="{B025F937-C7B1-47D3-B67F-A62EFF666E3E}">
          <x14:id>{D0419F6B-79CD-4493-9809-5708F5E8EE42}</x14:id>
        </ext>
      </extLst>
    </cfRule>
    <cfRule type="iconSet" priority="7799">
      <iconSet iconSet="3Arrows">
        <cfvo type="percent" val="0"/>
        <cfvo type="num" val="0.7"/>
        <cfvo type="num" val="1"/>
      </iconSet>
    </cfRule>
  </conditionalFormatting>
  <conditionalFormatting sqref="J721">
    <cfRule type="dataBar" priority="7798">
      <dataBar>
        <cfvo type="num" val="0"/>
        <cfvo type="num" val="1"/>
        <color theme="4" tint="0.79998168889431442"/>
      </dataBar>
      <extLst>
        <ext xmlns:x14="http://schemas.microsoft.com/office/spreadsheetml/2009/9/main" uri="{B025F937-C7B1-47D3-B67F-A62EFF666E3E}">
          <x14:id>{E21B05C1-0EFD-4BC7-A093-D16FD7E9BD2B}</x14:id>
        </ext>
      </extLst>
    </cfRule>
    <cfRule type="iconSet" priority="7797">
      <iconSet iconSet="3Arrows">
        <cfvo type="percent" val="0"/>
        <cfvo type="num" val="0.7"/>
        <cfvo type="num" val="1"/>
      </iconSet>
    </cfRule>
  </conditionalFormatting>
  <conditionalFormatting sqref="J723">
    <cfRule type="dataBar" priority="7796">
      <dataBar>
        <cfvo type="num" val="0"/>
        <cfvo type="num" val="1"/>
        <color theme="4" tint="0.79998168889431442"/>
      </dataBar>
      <extLst>
        <ext xmlns:x14="http://schemas.microsoft.com/office/spreadsheetml/2009/9/main" uri="{B025F937-C7B1-47D3-B67F-A62EFF666E3E}">
          <x14:id>{6E85EC53-A7CA-437B-B6F7-3A277DDF0790}</x14:id>
        </ext>
      </extLst>
    </cfRule>
    <cfRule type="iconSet" priority="7795">
      <iconSet iconSet="3Arrows">
        <cfvo type="percent" val="0"/>
        <cfvo type="num" val="0.7"/>
        <cfvo type="num" val="1"/>
      </iconSet>
    </cfRule>
  </conditionalFormatting>
  <conditionalFormatting sqref="J725">
    <cfRule type="dataBar" priority="7794">
      <dataBar>
        <cfvo type="num" val="0"/>
        <cfvo type="num" val="1"/>
        <color theme="4" tint="0.79998168889431442"/>
      </dataBar>
      <extLst>
        <ext xmlns:x14="http://schemas.microsoft.com/office/spreadsheetml/2009/9/main" uri="{B025F937-C7B1-47D3-B67F-A62EFF666E3E}">
          <x14:id>{35BB966A-F245-402D-8E0A-9AA232255284}</x14:id>
        </ext>
      </extLst>
    </cfRule>
    <cfRule type="iconSet" priority="7793">
      <iconSet iconSet="3Arrows">
        <cfvo type="percent" val="0"/>
        <cfvo type="num" val="0.7"/>
        <cfvo type="num" val="1"/>
      </iconSet>
    </cfRule>
  </conditionalFormatting>
  <conditionalFormatting sqref="J727">
    <cfRule type="dataBar" priority="7792">
      <dataBar>
        <cfvo type="num" val="0"/>
        <cfvo type="num" val="1"/>
        <color theme="4" tint="0.79998168889431442"/>
      </dataBar>
      <extLst>
        <ext xmlns:x14="http://schemas.microsoft.com/office/spreadsheetml/2009/9/main" uri="{B025F937-C7B1-47D3-B67F-A62EFF666E3E}">
          <x14:id>{2BEF3398-0D16-478E-9DCB-82D70977424F}</x14:id>
        </ext>
      </extLst>
    </cfRule>
    <cfRule type="iconSet" priority="7791">
      <iconSet iconSet="3Arrows">
        <cfvo type="percent" val="0"/>
        <cfvo type="num" val="0.7"/>
        <cfvo type="num" val="1"/>
      </iconSet>
    </cfRule>
  </conditionalFormatting>
  <conditionalFormatting sqref="J729">
    <cfRule type="dataBar" priority="7790">
      <dataBar>
        <cfvo type="num" val="0"/>
        <cfvo type="num" val="1"/>
        <color theme="4" tint="0.79998168889431442"/>
      </dataBar>
      <extLst>
        <ext xmlns:x14="http://schemas.microsoft.com/office/spreadsheetml/2009/9/main" uri="{B025F937-C7B1-47D3-B67F-A62EFF666E3E}">
          <x14:id>{C7B443FC-EF07-4E23-A501-EE2ACAFD579C}</x14:id>
        </ext>
      </extLst>
    </cfRule>
    <cfRule type="iconSet" priority="7789">
      <iconSet iconSet="3Arrows">
        <cfvo type="percent" val="0"/>
        <cfvo type="num" val="0.7"/>
        <cfvo type="num" val="1"/>
      </iconSet>
    </cfRule>
  </conditionalFormatting>
  <conditionalFormatting sqref="J731">
    <cfRule type="iconSet" priority="7787">
      <iconSet iconSet="3Arrows">
        <cfvo type="percent" val="0"/>
        <cfvo type="num" val="0.7"/>
        <cfvo type="num" val="1"/>
      </iconSet>
    </cfRule>
    <cfRule type="dataBar" priority="7788">
      <dataBar>
        <cfvo type="num" val="0"/>
        <cfvo type="num" val="1"/>
        <color theme="4" tint="0.79998168889431442"/>
      </dataBar>
      <extLst>
        <ext xmlns:x14="http://schemas.microsoft.com/office/spreadsheetml/2009/9/main" uri="{B025F937-C7B1-47D3-B67F-A62EFF666E3E}">
          <x14:id>{FADE20F4-58C2-4259-AA4E-5B48DB6C3E4C}</x14:id>
        </ext>
      </extLst>
    </cfRule>
  </conditionalFormatting>
  <conditionalFormatting sqref="J733">
    <cfRule type="iconSet" priority="7785">
      <iconSet iconSet="3Arrows">
        <cfvo type="percent" val="0"/>
        <cfvo type="num" val="0.7"/>
        <cfvo type="num" val="1"/>
      </iconSet>
    </cfRule>
    <cfRule type="dataBar" priority="7786">
      <dataBar>
        <cfvo type="num" val="0"/>
        <cfvo type="num" val="1"/>
        <color theme="4" tint="0.79998168889431442"/>
      </dataBar>
      <extLst>
        <ext xmlns:x14="http://schemas.microsoft.com/office/spreadsheetml/2009/9/main" uri="{B025F937-C7B1-47D3-B67F-A62EFF666E3E}">
          <x14:id>{A071606B-3A18-46F9-8E05-B60D6DE5269E}</x14:id>
        </ext>
      </extLst>
    </cfRule>
  </conditionalFormatting>
  <conditionalFormatting sqref="J735">
    <cfRule type="dataBar" priority="7784">
      <dataBar>
        <cfvo type="num" val="0"/>
        <cfvo type="num" val="1"/>
        <color theme="4" tint="0.79998168889431442"/>
      </dataBar>
      <extLst>
        <ext xmlns:x14="http://schemas.microsoft.com/office/spreadsheetml/2009/9/main" uri="{B025F937-C7B1-47D3-B67F-A62EFF666E3E}">
          <x14:id>{C601875A-E7E0-4ACE-9EAE-6110A291AF03}</x14:id>
        </ext>
      </extLst>
    </cfRule>
    <cfRule type="iconSet" priority="7783">
      <iconSet iconSet="3Arrows">
        <cfvo type="percent" val="0"/>
        <cfvo type="num" val="0.7"/>
        <cfvo type="num" val="1"/>
      </iconSet>
    </cfRule>
  </conditionalFormatting>
  <conditionalFormatting sqref="J737">
    <cfRule type="dataBar" priority="7782">
      <dataBar>
        <cfvo type="num" val="0"/>
        <cfvo type="num" val="1"/>
        <color theme="4" tint="0.79998168889431442"/>
      </dataBar>
      <extLst>
        <ext xmlns:x14="http://schemas.microsoft.com/office/spreadsheetml/2009/9/main" uri="{B025F937-C7B1-47D3-B67F-A62EFF666E3E}">
          <x14:id>{A1986112-20A7-4062-BEF5-10179F3B86E4}</x14:id>
        </ext>
      </extLst>
    </cfRule>
    <cfRule type="iconSet" priority="7781">
      <iconSet iconSet="3Arrows">
        <cfvo type="percent" val="0"/>
        <cfvo type="num" val="0.7"/>
        <cfvo type="num" val="1"/>
      </iconSet>
    </cfRule>
  </conditionalFormatting>
  <conditionalFormatting sqref="J739">
    <cfRule type="dataBar" priority="7780">
      <dataBar>
        <cfvo type="num" val="0"/>
        <cfvo type="num" val="1"/>
        <color theme="4" tint="0.79998168889431442"/>
      </dataBar>
      <extLst>
        <ext xmlns:x14="http://schemas.microsoft.com/office/spreadsheetml/2009/9/main" uri="{B025F937-C7B1-47D3-B67F-A62EFF666E3E}">
          <x14:id>{29782729-8974-452E-8D3B-E608463E458A}</x14:id>
        </ext>
      </extLst>
    </cfRule>
    <cfRule type="iconSet" priority="7779">
      <iconSet iconSet="3Arrows">
        <cfvo type="percent" val="0"/>
        <cfvo type="num" val="0.7"/>
        <cfvo type="num" val="1"/>
      </iconSet>
    </cfRule>
  </conditionalFormatting>
  <conditionalFormatting sqref="J741">
    <cfRule type="dataBar" priority="7778">
      <dataBar>
        <cfvo type="num" val="0"/>
        <cfvo type="num" val="1"/>
        <color theme="4" tint="0.79998168889431442"/>
      </dataBar>
      <extLst>
        <ext xmlns:x14="http://schemas.microsoft.com/office/spreadsheetml/2009/9/main" uri="{B025F937-C7B1-47D3-B67F-A62EFF666E3E}">
          <x14:id>{50BEC7D7-0850-48B4-A232-CA1A24EB854D}</x14:id>
        </ext>
      </extLst>
    </cfRule>
    <cfRule type="iconSet" priority="7777">
      <iconSet iconSet="3Arrows">
        <cfvo type="percent" val="0"/>
        <cfvo type="num" val="0.7"/>
        <cfvo type="num" val="1"/>
      </iconSet>
    </cfRule>
  </conditionalFormatting>
  <conditionalFormatting sqref="J743">
    <cfRule type="dataBar" priority="7776">
      <dataBar>
        <cfvo type="num" val="0"/>
        <cfvo type="num" val="1"/>
        <color theme="4" tint="0.79998168889431442"/>
      </dataBar>
      <extLst>
        <ext xmlns:x14="http://schemas.microsoft.com/office/spreadsheetml/2009/9/main" uri="{B025F937-C7B1-47D3-B67F-A62EFF666E3E}">
          <x14:id>{E4CC0CC0-AC53-4809-B55B-FD6BF9CD47C1}</x14:id>
        </ext>
      </extLst>
    </cfRule>
    <cfRule type="iconSet" priority="7775">
      <iconSet iconSet="3Arrows">
        <cfvo type="percent" val="0"/>
        <cfvo type="num" val="0.7"/>
        <cfvo type="num" val="1"/>
      </iconSet>
    </cfRule>
  </conditionalFormatting>
  <conditionalFormatting sqref="J745">
    <cfRule type="dataBar" priority="7774">
      <dataBar>
        <cfvo type="num" val="0"/>
        <cfvo type="num" val="1"/>
        <color theme="4" tint="0.79998168889431442"/>
      </dataBar>
      <extLst>
        <ext xmlns:x14="http://schemas.microsoft.com/office/spreadsheetml/2009/9/main" uri="{B025F937-C7B1-47D3-B67F-A62EFF666E3E}">
          <x14:id>{A3B20E0A-DEE9-4658-B09E-500B50CED3BB}</x14:id>
        </ext>
      </extLst>
    </cfRule>
    <cfRule type="iconSet" priority="7773">
      <iconSet iconSet="3Arrows">
        <cfvo type="percent" val="0"/>
        <cfvo type="num" val="0.7"/>
        <cfvo type="num" val="1"/>
      </iconSet>
    </cfRule>
  </conditionalFormatting>
  <conditionalFormatting sqref="J747">
    <cfRule type="dataBar" priority="7772">
      <dataBar>
        <cfvo type="num" val="0"/>
        <cfvo type="num" val="1"/>
        <color theme="4" tint="0.79998168889431442"/>
      </dataBar>
      <extLst>
        <ext xmlns:x14="http://schemas.microsoft.com/office/spreadsheetml/2009/9/main" uri="{B025F937-C7B1-47D3-B67F-A62EFF666E3E}">
          <x14:id>{7C64A581-F70D-47C7-9149-21049EEE8298}</x14:id>
        </ext>
      </extLst>
    </cfRule>
    <cfRule type="iconSet" priority="7771">
      <iconSet iconSet="3Arrows">
        <cfvo type="percent" val="0"/>
        <cfvo type="num" val="0.7"/>
        <cfvo type="num" val="1"/>
      </iconSet>
    </cfRule>
  </conditionalFormatting>
  <conditionalFormatting sqref="J749">
    <cfRule type="dataBar" priority="7770">
      <dataBar>
        <cfvo type="num" val="0"/>
        <cfvo type="num" val="1"/>
        <color theme="4" tint="0.79998168889431442"/>
      </dataBar>
      <extLst>
        <ext xmlns:x14="http://schemas.microsoft.com/office/spreadsheetml/2009/9/main" uri="{B025F937-C7B1-47D3-B67F-A62EFF666E3E}">
          <x14:id>{CC5F24E8-0B87-43E6-A1E6-2D3482919E0D}</x14:id>
        </ext>
      </extLst>
    </cfRule>
    <cfRule type="iconSet" priority="7769">
      <iconSet iconSet="3Arrows">
        <cfvo type="percent" val="0"/>
        <cfvo type="num" val="0.7"/>
        <cfvo type="num" val="1"/>
      </iconSet>
    </cfRule>
  </conditionalFormatting>
  <conditionalFormatting sqref="J751">
    <cfRule type="iconSet" priority="7767">
      <iconSet iconSet="3Arrows">
        <cfvo type="percent" val="0"/>
        <cfvo type="num" val="0.7"/>
        <cfvo type="num" val="1"/>
      </iconSet>
    </cfRule>
    <cfRule type="dataBar" priority="7768">
      <dataBar>
        <cfvo type="num" val="0"/>
        <cfvo type="num" val="1"/>
        <color theme="4" tint="0.79998168889431442"/>
      </dataBar>
      <extLst>
        <ext xmlns:x14="http://schemas.microsoft.com/office/spreadsheetml/2009/9/main" uri="{B025F937-C7B1-47D3-B67F-A62EFF666E3E}">
          <x14:id>{D3B1AE5B-62CF-4107-A663-C93FEBDB7DDF}</x14:id>
        </ext>
      </extLst>
    </cfRule>
  </conditionalFormatting>
  <conditionalFormatting sqref="J753">
    <cfRule type="dataBar" priority="7766">
      <dataBar>
        <cfvo type="num" val="0"/>
        <cfvo type="num" val="1"/>
        <color theme="4" tint="0.79998168889431442"/>
      </dataBar>
      <extLst>
        <ext xmlns:x14="http://schemas.microsoft.com/office/spreadsheetml/2009/9/main" uri="{B025F937-C7B1-47D3-B67F-A62EFF666E3E}">
          <x14:id>{84C1279D-C4CE-4F89-8E52-630B6674B723}</x14:id>
        </ext>
      </extLst>
    </cfRule>
    <cfRule type="iconSet" priority="7765">
      <iconSet iconSet="3Arrows">
        <cfvo type="percent" val="0"/>
        <cfvo type="num" val="0.7"/>
        <cfvo type="num" val="1"/>
      </iconSet>
    </cfRule>
  </conditionalFormatting>
  <conditionalFormatting sqref="J755">
    <cfRule type="dataBar" priority="7764">
      <dataBar>
        <cfvo type="num" val="0"/>
        <cfvo type="num" val="1"/>
        <color theme="4" tint="0.79998168889431442"/>
      </dataBar>
      <extLst>
        <ext xmlns:x14="http://schemas.microsoft.com/office/spreadsheetml/2009/9/main" uri="{B025F937-C7B1-47D3-B67F-A62EFF666E3E}">
          <x14:id>{57C00D0F-DE38-4BAA-AB45-637F5D5294F7}</x14:id>
        </ext>
      </extLst>
    </cfRule>
    <cfRule type="iconSet" priority="7763">
      <iconSet iconSet="3Arrows">
        <cfvo type="percent" val="0"/>
        <cfvo type="num" val="0.7"/>
        <cfvo type="num" val="1"/>
      </iconSet>
    </cfRule>
  </conditionalFormatting>
  <conditionalFormatting sqref="J757">
    <cfRule type="dataBar" priority="7762">
      <dataBar>
        <cfvo type="num" val="0"/>
        <cfvo type="num" val="1"/>
        <color theme="4" tint="0.79998168889431442"/>
      </dataBar>
      <extLst>
        <ext xmlns:x14="http://schemas.microsoft.com/office/spreadsheetml/2009/9/main" uri="{B025F937-C7B1-47D3-B67F-A62EFF666E3E}">
          <x14:id>{3CA9A400-F186-491A-9494-7FBCD79A71C2}</x14:id>
        </ext>
      </extLst>
    </cfRule>
    <cfRule type="iconSet" priority="7761">
      <iconSet iconSet="3Arrows">
        <cfvo type="percent" val="0"/>
        <cfvo type="num" val="0.7"/>
        <cfvo type="num" val="1"/>
      </iconSet>
    </cfRule>
  </conditionalFormatting>
  <conditionalFormatting sqref="J761">
    <cfRule type="dataBar" priority="7760">
      <dataBar>
        <cfvo type="num" val="0"/>
        <cfvo type="num" val="1"/>
        <color theme="4" tint="0.79998168889431442"/>
      </dataBar>
      <extLst>
        <ext xmlns:x14="http://schemas.microsoft.com/office/spreadsheetml/2009/9/main" uri="{B025F937-C7B1-47D3-B67F-A62EFF666E3E}">
          <x14:id>{28210A2C-0C17-491C-A4C9-50FAEE329781}</x14:id>
        </ext>
      </extLst>
    </cfRule>
    <cfRule type="iconSet" priority="7759">
      <iconSet iconSet="3Arrows">
        <cfvo type="percent" val="0"/>
        <cfvo type="num" val="0.7"/>
        <cfvo type="num" val="1"/>
      </iconSet>
    </cfRule>
  </conditionalFormatting>
  <conditionalFormatting sqref="J763">
    <cfRule type="dataBar" priority="7758">
      <dataBar>
        <cfvo type="num" val="0"/>
        <cfvo type="num" val="1"/>
        <color theme="4" tint="0.79998168889431442"/>
      </dataBar>
      <extLst>
        <ext xmlns:x14="http://schemas.microsoft.com/office/spreadsheetml/2009/9/main" uri="{B025F937-C7B1-47D3-B67F-A62EFF666E3E}">
          <x14:id>{B2B387A0-14A9-44C9-A6D3-5E97AD2E0279}</x14:id>
        </ext>
      </extLst>
    </cfRule>
    <cfRule type="iconSet" priority="7757">
      <iconSet iconSet="3Arrows">
        <cfvo type="percent" val="0"/>
        <cfvo type="num" val="0.7"/>
        <cfvo type="num" val="1"/>
      </iconSet>
    </cfRule>
  </conditionalFormatting>
  <conditionalFormatting sqref="J765">
    <cfRule type="dataBar" priority="7756">
      <dataBar>
        <cfvo type="num" val="0"/>
        <cfvo type="num" val="1"/>
        <color theme="4" tint="0.79998168889431442"/>
      </dataBar>
      <extLst>
        <ext xmlns:x14="http://schemas.microsoft.com/office/spreadsheetml/2009/9/main" uri="{B025F937-C7B1-47D3-B67F-A62EFF666E3E}">
          <x14:id>{2F210923-D390-4BCE-AD4D-D351AE3F4E46}</x14:id>
        </ext>
      </extLst>
    </cfRule>
    <cfRule type="iconSet" priority="7755">
      <iconSet iconSet="3Arrows">
        <cfvo type="percent" val="0"/>
        <cfvo type="num" val="0.7"/>
        <cfvo type="num" val="1"/>
      </iconSet>
    </cfRule>
  </conditionalFormatting>
  <conditionalFormatting sqref="J767">
    <cfRule type="dataBar" priority="7754">
      <dataBar>
        <cfvo type="num" val="0"/>
        <cfvo type="num" val="1"/>
        <color theme="4" tint="0.79998168889431442"/>
      </dataBar>
      <extLst>
        <ext xmlns:x14="http://schemas.microsoft.com/office/spreadsheetml/2009/9/main" uri="{B025F937-C7B1-47D3-B67F-A62EFF666E3E}">
          <x14:id>{836D97C5-6A9D-4856-8D3B-675DB17409A8}</x14:id>
        </ext>
      </extLst>
    </cfRule>
    <cfRule type="iconSet" priority="7753">
      <iconSet iconSet="3Arrows">
        <cfvo type="percent" val="0"/>
        <cfvo type="num" val="0.7"/>
        <cfvo type="num" val="1"/>
      </iconSet>
    </cfRule>
  </conditionalFormatting>
  <conditionalFormatting sqref="J769">
    <cfRule type="iconSet" priority="7751">
      <iconSet iconSet="3Arrows">
        <cfvo type="percent" val="0"/>
        <cfvo type="num" val="0.7"/>
        <cfvo type="num" val="1"/>
      </iconSet>
    </cfRule>
    <cfRule type="dataBar" priority="7752">
      <dataBar>
        <cfvo type="num" val="0"/>
        <cfvo type="num" val="1"/>
        <color theme="4" tint="0.79998168889431442"/>
      </dataBar>
      <extLst>
        <ext xmlns:x14="http://schemas.microsoft.com/office/spreadsheetml/2009/9/main" uri="{B025F937-C7B1-47D3-B67F-A62EFF666E3E}">
          <x14:id>{FD828C32-99E3-4D19-A0FD-7C3AE9603088}</x14:id>
        </ext>
      </extLst>
    </cfRule>
  </conditionalFormatting>
  <conditionalFormatting sqref="J771">
    <cfRule type="iconSet" priority="7749">
      <iconSet iconSet="3Arrows">
        <cfvo type="percent" val="0"/>
        <cfvo type="num" val="0.7"/>
        <cfvo type="num" val="1"/>
      </iconSet>
    </cfRule>
    <cfRule type="dataBar" priority="7750">
      <dataBar>
        <cfvo type="num" val="0"/>
        <cfvo type="num" val="1"/>
        <color theme="4" tint="0.79998168889431442"/>
      </dataBar>
      <extLst>
        <ext xmlns:x14="http://schemas.microsoft.com/office/spreadsheetml/2009/9/main" uri="{B025F937-C7B1-47D3-B67F-A62EFF666E3E}">
          <x14:id>{75197828-03E4-4B1D-A7F2-C64E79323C30}</x14:id>
        </ext>
      </extLst>
    </cfRule>
  </conditionalFormatting>
  <conditionalFormatting sqref="J773">
    <cfRule type="dataBar" priority="7748">
      <dataBar>
        <cfvo type="num" val="0"/>
        <cfvo type="num" val="1"/>
        <color theme="4" tint="0.79998168889431442"/>
      </dataBar>
      <extLst>
        <ext xmlns:x14="http://schemas.microsoft.com/office/spreadsheetml/2009/9/main" uri="{B025F937-C7B1-47D3-B67F-A62EFF666E3E}">
          <x14:id>{B22220F3-82A7-4A94-9E8A-AE25CECE97AB}</x14:id>
        </ext>
      </extLst>
    </cfRule>
    <cfRule type="iconSet" priority="7747">
      <iconSet iconSet="3Arrows">
        <cfvo type="percent" val="0"/>
        <cfvo type="num" val="0.7"/>
        <cfvo type="num" val="1"/>
      </iconSet>
    </cfRule>
  </conditionalFormatting>
  <conditionalFormatting sqref="J775">
    <cfRule type="dataBar" priority="7746">
      <dataBar>
        <cfvo type="num" val="0"/>
        <cfvo type="num" val="1"/>
        <color theme="4" tint="0.79998168889431442"/>
      </dataBar>
      <extLst>
        <ext xmlns:x14="http://schemas.microsoft.com/office/spreadsheetml/2009/9/main" uri="{B025F937-C7B1-47D3-B67F-A62EFF666E3E}">
          <x14:id>{EB915F4A-B945-4CCB-8E8B-FA2EB5822F35}</x14:id>
        </ext>
      </extLst>
    </cfRule>
    <cfRule type="iconSet" priority="7745">
      <iconSet iconSet="3Arrows">
        <cfvo type="percent" val="0"/>
        <cfvo type="num" val="0.7"/>
        <cfvo type="num" val="1"/>
      </iconSet>
    </cfRule>
  </conditionalFormatting>
  <conditionalFormatting sqref="J777">
    <cfRule type="dataBar" priority="7744">
      <dataBar>
        <cfvo type="num" val="0"/>
        <cfvo type="num" val="1"/>
        <color theme="4" tint="0.79998168889431442"/>
      </dataBar>
      <extLst>
        <ext xmlns:x14="http://schemas.microsoft.com/office/spreadsheetml/2009/9/main" uri="{B025F937-C7B1-47D3-B67F-A62EFF666E3E}">
          <x14:id>{240733CF-2FFA-4DE1-8373-E7FCEA3993E6}</x14:id>
        </ext>
      </extLst>
    </cfRule>
    <cfRule type="iconSet" priority="7743">
      <iconSet iconSet="3Arrows">
        <cfvo type="percent" val="0"/>
        <cfvo type="num" val="0.7"/>
        <cfvo type="num" val="1"/>
      </iconSet>
    </cfRule>
  </conditionalFormatting>
  <conditionalFormatting sqref="J781">
    <cfRule type="dataBar" priority="7742">
      <dataBar>
        <cfvo type="num" val="0"/>
        <cfvo type="num" val="1"/>
        <color theme="4" tint="0.79998168889431442"/>
      </dataBar>
      <extLst>
        <ext xmlns:x14="http://schemas.microsoft.com/office/spreadsheetml/2009/9/main" uri="{B025F937-C7B1-47D3-B67F-A62EFF666E3E}">
          <x14:id>{DB1E6A89-1FDE-468C-9F90-D031C751BCB0}</x14:id>
        </ext>
      </extLst>
    </cfRule>
    <cfRule type="iconSet" priority="7741">
      <iconSet iconSet="3Arrows">
        <cfvo type="percent" val="0"/>
        <cfvo type="num" val="0.7"/>
        <cfvo type="num" val="1"/>
      </iconSet>
    </cfRule>
  </conditionalFormatting>
  <conditionalFormatting sqref="J783 J785">
    <cfRule type="dataBar" priority="7740">
      <dataBar>
        <cfvo type="num" val="0"/>
        <cfvo type="num" val="1"/>
        <color theme="4" tint="0.79998168889431442"/>
      </dataBar>
      <extLst>
        <ext xmlns:x14="http://schemas.microsoft.com/office/spreadsheetml/2009/9/main" uri="{B025F937-C7B1-47D3-B67F-A62EFF666E3E}">
          <x14:id>{A2B9B4C8-047D-4F52-8273-16343E807B88}</x14:id>
        </ext>
      </extLst>
    </cfRule>
    <cfRule type="iconSet" priority="7739">
      <iconSet iconSet="3Arrows">
        <cfvo type="percent" val="0"/>
        <cfvo type="num" val="0.7"/>
        <cfvo type="num" val="1"/>
      </iconSet>
    </cfRule>
  </conditionalFormatting>
  <conditionalFormatting sqref="J787 J789">
    <cfRule type="dataBar" priority="7738">
      <dataBar>
        <cfvo type="num" val="0"/>
        <cfvo type="num" val="1"/>
        <color theme="4" tint="0.79998168889431442"/>
      </dataBar>
      <extLst>
        <ext xmlns:x14="http://schemas.microsoft.com/office/spreadsheetml/2009/9/main" uri="{B025F937-C7B1-47D3-B67F-A62EFF666E3E}">
          <x14:id>{DAC63D18-5891-46E9-9DD7-C0AD17BD511F}</x14:id>
        </ext>
      </extLst>
    </cfRule>
    <cfRule type="iconSet" priority="7737">
      <iconSet iconSet="3Arrows">
        <cfvo type="percent" val="0"/>
        <cfvo type="num" val="0.7"/>
        <cfvo type="num" val="1"/>
      </iconSet>
    </cfRule>
  </conditionalFormatting>
  <conditionalFormatting sqref="J791 J793">
    <cfRule type="iconSet" priority="7735">
      <iconSet iconSet="3Arrows">
        <cfvo type="percent" val="0"/>
        <cfvo type="num" val="0.7"/>
        <cfvo type="num" val="1"/>
      </iconSet>
    </cfRule>
    <cfRule type="dataBar" priority="7736">
      <dataBar>
        <cfvo type="num" val="0"/>
        <cfvo type="num" val="1"/>
        <color theme="4" tint="0.79998168889431442"/>
      </dataBar>
      <extLst>
        <ext xmlns:x14="http://schemas.microsoft.com/office/spreadsheetml/2009/9/main" uri="{B025F937-C7B1-47D3-B67F-A62EFF666E3E}">
          <x14:id>{179FCB5A-9CAC-4305-ACAB-F30F1891D9F2}</x14:id>
        </ext>
      </extLst>
    </cfRule>
  </conditionalFormatting>
  <conditionalFormatting sqref="J795 J797">
    <cfRule type="dataBar" priority="7734">
      <dataBar>
        <cfvo type="num" val="0"/>
        <cfvo type="num" val="1"/>
        <color theme="4" tint="0.79998168889431442"/>
      </dataBar>
      <extLst>
        <ext xmlns:x14="http://schemas.microsoft.com/office/spreadsheetml/2009/9/main" uri="{B025F937-C7B1-47D3-B67F-A62EFF666E3E}">
          <x14:id>{0C15C2D8-F966-4171-89F4-F122EDACF69C}</x14:id>
        </ext>
      </extLst>
    </cfRule>
    <cfRule type="iconSet" priority="7733">
      <iconSet iconSet="3Arrows">
        <cfvo type="percent" val="0"/>
        <cfvo type="num" val="0.7"/>
        <cfvo type="num" val="1"/>
      </iconSet>
    </cfRule>
  </conditionalFormatting>
  <conditionalFormatting sqref="J799 J801">
    <cfRule type="dataBar" priority="7732">
      <dataBar>
        <cfvo type="num" val="0"/>
        <cfvo type="num" val="1"/>
        <color theme="4" tint="0.79998168889431442"/>
      </dataBar>
      <extLst>
        <ext xmlns:x14="http://schemas.microsoft.com/office/spreadsheetml/2009/9/main" uri="{B025F937-C7B1-47D3-B67F-A62EFF666E3E}">
          <x14:id>{D753D62E-E33B-4040-87D6-D966CA6ECE09}</x14:id>
        </ext>
      </extLst>
    </cfRule>
    <cfRule type="iconSet" priority="7731">
      <iconSet iconSet="3Arrows">
        <cfvo type="percent" val="0"/>
        <cfvo type="num" val="0.7"/>
        <cfvo type="num" val="1"/>
      </iconSet>
    </cfRule>
  </conditionalFormatting>
  <conditionalFormatting sqref="J803 J805">
    <cfRule type="dataBar" priority="7730">
      <dataBar>
        <cfvo type="num" val="0"/>
        <cfvo type="num" val="1"/>
        <color theme="4" tint="0.79998168889431442"/>
      </dataBar>
      <extLst>
        <ext xmlns:x14="http://schemas.microsoft.com/office/spreadsheetml/2009/9/main" uri="{B025F937-C7B1-47D3-B67F-A62EFF666E3E}">
          <x14:id>{8E9FD1AD-3F17-4A4E-B161-08E217C36B89}</x14:id>
        </ext>
      </extLst>
    </cfRule>
    <cfRule type="iconSet" priority="7729">
      <iconSet iconSet="3Arrows">
        <cfvo type="percent" val="0"/>
        <cfvo type="num" val="0.7"/>
        <cfvo type="num" val="1"/>
      </iconSet>
    </cfRule>
  </conditionalFormatting>
  <conditionalFormatting sqref="J807 J809">
    <cfRule type="iconSet" priority="7727">
      <iconSet iconSet="3Arrows">
        <cfvo type="percent" val="0"/>
        <cfvo type="num" val="0.7"/>
        <cfvo type="num" val="1"/>
      </iconSet>
    </cfRule>
    <cfRule type="dataBar" priority="7728">
      <dataBar>
        <cfvo type="num" val="0"/>
        <cfvo type="num" val="1"/>
        <color theme="4" tint="0.79998168889431442"/>
      </dataBar>
      <extLst>
        <ext xmlns:x14="http://schemas.microsoft.com/office/spreadsheetml/2009/9/main" uri="{B025F937-C7B1-47D3-B67F-A62EFF666E3E}">
          <x14:id>{9EA586DC-C262-471B-AF9D-B2227D0347A2}</x14:id>
        </ext>
      </extLst>
    </cfRule>
  </conditionalFormatting>
  <conditionalFormatting sqref="J811">
    <cfRule type="dataBar" priority="7726">
      <dataBar>
        <cfvo type="num" val="0"/>
        <cfvo type="num" val="1"/>
        <color theme="4" tint="0.79998168889431442"/>
      </dataBar>
      <extLst>
        <ext xmlns:x14="http://schemas.microsoft.com/office/spreadsheetml/2009/9/main" uri="{B025F937-C7B1-47D3-B67F-A62EFF666E3E}">
          <x14:id>{FCA75126-84F2-43E7-83AE-2BF452213499}</x14:id>
        </ext>
      </extLst>
    </cfRule>
    <cfRule type="iconSet" priority="7725">
      <iconSet iconSet="3Arrows">
        <cfvo type="percent" val="0"/>
        <cfvo type="num" val="0.7"/>
        <cfvo type="num" val="1"/>
      </iconSet>
    </cfRule>
  </conditionalFormatting>
  <conditionalFormatting sqref="J813 J815">
    <cfRule type="dataBar" priority="7724">
      <dataBar>
        <cfvo type="num" val="0"/>
        <cfvo type="num" val="1"/>
        <color theme="4" tint="0.79998168889431442"/>
      </dataBar>
      <extLst>
        <ext xmlns:x14="http://schemas.microsoft.com/office/spreadsheetml/2009/9/main" uri="{B025F937-C7B1-47D3-B67F-A62EFF666E3E}">
          <x14:id>{47C961D4-1BE4-4A7B-AB36-BCD9BE9EC0E0}</x14:id>
        </ext>
      </extLst>
    </cfRule>
    <cfRule type="iconSet" priority="7723">
      <iconSet iconSet="3Arrows">
        <cfvo type="percent" val="0"/>
        <cfvo type="num" val="0.7"/>
        <cfvo type="num" val="1"/>
      </iconSet>
    </cfRule>
  </conditionalFormatting>
  <conditionalFormatting sqref="J817 J819">
    <cfRule type="dataBar" priority="7722">
      <dataBar>
        <cfvo type="num" val="0"/>
        <cfvo type="num" val="1"/>
        <color theme="4" tint="0.79998168889431442"/>
      </dataBar>
      <extLst>
        <ext xmlns:x14="http://schemas.microsoft.com/office/spreadsheetml/2009/9/main" uri="{B025F937-C7B1-47D3-B67F-A62EFF666E3E}">
          <x14:id>{2FB2408A-C88A-43E9-B64F-8422F1639DD9}</x14:id>
        </ext>
      </extLst>
    </cfRule>
    <cfRule type="iconSet" priority="7721">
      <iconSet iconSet="3Arrows">
        <cfvo type="percent" val="0"/>
        <cfvo type="num" val="0.7"/>
        <cfvo type="num" val="1"/>
      </iconSet>
    </cfRule>
  </conditionalFormatting>
  <conditionalFormatting sqref="J821 J823">
    <cfRule type="iconSet" priority="7719">
      <iconSet iconSet="3Arrows">
        <cfvo type="percent" val="0"/>
        <cfvo type="num" val="0.7"/>
        <cfvo type="num" val="1"/>
      </iconSet>
    </cfRule>
    <cfRule type="dataBar" priority="7720">
      <dataBar>
        <cfvo type="num" val="0"/>
        <cfvo type="num" val="1"/>
        <color theme="4" tint="0.79998168889431442"/>
      </dataBar>
      <extLst>
        <ext xmlns:x14="http://schemas.microsoft.com/office/spreadsheetml/2009/9/main" uri="{B025F937-C7B1-47D3-B67F-A62EFF666E3E}">
          <x14:id>{53D8756F-C8C9-4673-9038-189FA9F9D244}</x14:id>
        </ext>
      </extLst>
    </cfRule>
  </conditionalFormatting>
  <conditionalFormatting sqref="J825 J827">
    <cfRule type="iconSet" priority="7717">
      <iconSet iconSet="3Arrows">
        <cfvo type="percent" val="0"/>
        <cfvo type="num" val="0.7"/>
        <cfvo type="num" val="1"/>
      </iconSet>
    </cfRule>
    <cfRule type="dataBar" priority="7718">
      <dataBar>
        <cfvo type="num" val="0"/>
        <cfvo type="num" val="1"/>
        <color theme="4" tint="0.79998168889431442"/>
      </dataBar>
      <extLst>
        <ext xmlns:x14="http://schemas.microsoft.com/office/spreadsheetml/2009/9/main" uri="{B025F937-C7B1-47D3-B67F-A62EFF666E3E}">
          <x14:id>{DCECC2ED-3254-472A-A0A9-BB6B72FB1887}</x14:id>
        </ext>
      </extLst>
    </cfRule>
  </conditionalFormatting>
  <conditionalFormatting sqref="J829">
    <cfRule type="dataBar" priority="7716">
      <dataBar>
        <cfvo type="num" val="0"/>
        <cfvo type="num" val="1"/>
        <color theme="4" tint="0.79998168889431442"/>
      </dataBar>
      <extLst>
        <ext xmlns:x14="http://schemas.microsoft.com/office/spreadsheetml/2009/9/main" uri="{B025F937-C7B1-47D3-B67F-A62EFF666E3E}">
          <x14:id>{B0557891-F47B-46BA-A0F0-3C26C44C0DC9}</x14:id>
        </ext>
      </extLst>
    </cfRule>
    <cfRule type="iconSet" priority="7715">
      <iconSet iconSet="3Arrows">
        <cfvo type="percent" val="0"/>
        <cfvo type="num" val="0.7"/>
        <cfvo type="num" val="1"/>
      </iconSet>
    </cfRule>
  </conditionalFormatting>
  <conditionalFormatting sqref="J831">
    <cfRule type="dataBar" priority="7714">
      <dataBar>
        <cfvo type="num" val="0"/>
        <cfvo type="num" val="1"/>
        <color theme="4" tint="0.79998168889431442"/>
      </dataBar>
      <extLst>
        <ext xmlns:x14="http://schemas.microsoft.com/office/spreadsheetml/2009/9/main" uri="{B025F937-C7B1-47D3-B67F-A62EFF666E3E}">
          <x14:id>{4F755AD3-09C5-4B25-AE69-886CBE972F43}</x14:id>
        </ext>
      </extLst>
    </cfRule>
    <cfRule type="iconSet" priority="7713">
      <iconSet iconSet="3Arrows">
        <cfvo type="percent" val="0"/>
        <cfvo type="num" val="0.7"/>
        <cfvo type="num" val="1"/>
      </iconSet>
    </cfRule>
  </conditionalFormatting>
  <conditionalFormatting sqref="J833">
    <cfRule type="dataBar" priority="7712">
      <dataBar>
        <cfvo type="num" val="0"/>
        <cfvo type="num" val="1"/>
        <color theme="4" tint="0.79998168889431442"/>
      </dataBar>
      <extLst>
        <ext xmlns:x14="http://schemas.microsoft.com/office/spreadsheetml/2009/9/main" uri="{B025F937-C7B1-47D3-B67F-A62EFF666E3E}">
          <x14:id>{1E240D66-2DCB-44D6-B4D8-222264825723}</x14:id>
        </ext>
      </extLst>
    </cfRule>
    <cfRule type="iconSet" priority="7711">
      <iconSet iconSet="3Arrows">
        <cfvo type="percent" val="0"/>
        <cfvo type="num" val="0.7"/>
        <cfvo type="num" val="1"/>
      </iconSet>
    </cfRule>
  </conditionalFormatting>
  <conditionalFormatting sqref="J835">
    <cfRule type="dataBar" priority="7710">
      <dataBar>
        <cfvo type="num" val="0"/>
        <cfvo type="num" val="1"/>
        <color theme="4" tint="0.79998168889431442"/>
      </dataBar>
      <extLst>
        <ext xmlns:x14="http://schemas.microsoft.com/office/spreadsheetml/2009/9/main" uri="{B025F937-C7B1-47D3-B67F-A62EFF666E3E}">
          <x14:id>{1B930450-6697-4DE1-8846-818585B758DD}</x14:id>
        </ext>
      </extLst>
    </cfRule>
    <cfRule type="iconSet" priority="7709">
      <iconSet iconSet="3Arrows">
        <cfvo type="percent" val="0"/>
        <cfvo type="num" val="0.7"/>
        <cfvo type="num" val="1"/>
      </iconSet>
    </cfRule>
  </conditionalFormatting>
  <conditionalFormatting sqref="J837">
    <cfRule type="dataBar" priority="7708">
      <dataBar>
        <cfvo type="num" val="0"/>
        <cfvo type="num" val="1"/>
        <color theme="4" tint="0.79998168889431442"/>
      </dataBar>
      <extLst>
        <ext xmlns:x14="http://schemas.microsoft.com/office/spreadsheetml/2009/9/main" uri="{B025F937-C7B1-47D3-B67F-A62EFF666E3E}">
          <x14:id>{37479716-8206-4748-AFF8-1D93E2C760CF}</x14:id>
        </ext>
      </extLst>
    </cfRule>
    <cfRule type="iconSet" priority="7707">
      <iconSet iconSet="3Arrows">
        <cfvo type="percent" val="0"/>
        <cfvo type="num" val="0.7"/>
        <cfvo type="num" val="1"/>
      </iconSet>
    </cfRule>
  </conditionalFormatting>
  <conditionalFormatting sqref="J839">
    <cfRule type="dataBar" priority="7706">
      <dataBar>
        <cfvo type="num" val="0"/>
        <cfvo type="num" val="1"/>
        <color theme="4" tint="0.79998168889431442"/>
      </dataBar>
      <extLst>
        <ext xmlns:x14="http://schemas.microsoft.com/office/spreadsheetml/2009/9/main" uri="{B025F937-C7B1-47D3-B67F-A62EFF666E3E}">
          <x14:id>{369A1C97-AB64-4A0A-82B0-A576AF756FBA}</x14:id>
        </ext>
      </extLst>
    </cfRule>
    <cfRule type="iconSet" priority="7705">
      <iconSet iconSet="3Arrows">
        <cfvo type="percent" val="0"/>
        <cfvo type="num" val="0.7"/>
        <cfvo type="num" val="1"/>
      </iconSet>
    </cfRule>
  </conditionalFormatting>
  <conditionalFormatting sqref="J841">
    <cfRule type="dataBar" priority="7704">
      <dataBar>
        <cfvo type="num" val="0"/>
        <cfvo type="num" val="1"/>
        <color theme="4" tint="0.79998168889431442"/>
      </dataBar>
      <extLst>
        <ext xmlns:x14="http://schemas.microsoft.com/office/spreadsheetml/2009/9/main" uri="{B025F937-C7B1-47D3-B67F-A62EFF666E3E}">
          <x14:id>{F7106A2F-2587-4BFB-9ADB-9359BA44C094}</x14:id>
        </ext>
      </extLst>
    </cfRule>
    <cfRule type="iconSet" priority="7703">
      <iconSet iconSet="3Arrows">
        <cfvo type="percent" val="0"/>
        <cfvo type="num" val="0.7"/>
        <cfvo type="num" val="1"/>
      </iconSet>
    </cfRule>
  </conditionalFormatting>
  <conditionalFormatting sqref="J843">
    <cfRule type="dataBar" priority="7702">
      <dataBar>
        <cfvo type="num" val="0"/>
        <cfvo type="num" val="1"/>
        <color theme="4" tint="0.79998168889431442"/>
      </dataBar>
      <extLst>
        <ext xmlns:x14="http://schemas.microsoft.com/office/spreadsheetml/2009/9/main" uri="{B025F937-C7B1-47D3-B67F-A62EFF666E3E}">
          <x14:id>{1F2EE464-AF7B-49A1-9BB6-32400094C77D}</x14:id>
        </ext>
      </extLst>
    </cfRule>
    <cfRule type="iconSet" priority="7701">
      <iconSet iconSet="3Arrows">
        <cfvo type="percent" val="0"/>
        <cfvo type="num" val="0.7"/>
        <cfvo type="num" val="1"/>
      </iconSet>
    </cfRule>
  </conditionalFormatting>
  <conditionalFormatting sqref="J845">
    <cfRule type="dataBar" priority="7700">
      <dataBar>
        <cfvo type="num" val="0"/>
        <cfvo type="num" val="1"/>
        <color theme="4" tint="0.79998168889431442"/>
      </dataBar>
      <extLst>
        <ext xmlns:x14="http://schemas.microsoft.com/office/spreadsheetml/2009/9/main" uri="{B025F937-C7B1-47D3-B67F-A62EFF666E3E}">
          <x14:id>{4B75B62E-6A4B-470E-91E3-86A67D7333B8}</x14:id>
        </ext>
      </extLst>
    </cfRule>
    <cfRule type="iconSet" priority="7699">
      <iconSet iconSet="3Arrows">
        <cfvo type="percent" val="0"/>
        <cfvo type="num" val="0.7"/>
        <cfvo type="num" val="1"/>
      </iconSet>
    </cfRule>
  </conditionalFormatting>
  <conditionalFormatting sqref="J848">
    <cfRule type="dataBar" priority="7698">
      <dataBar>
        <cfvo type="num" val="0"/>
        <cfvo type="num" val="1"/>
        <color theme="4" tint="0.79998168889431442"/>
      </dataBar>
      <extLst>
        <ext xmlns:x14="http://schemas.microsoft.com/office/spreadsheetml/2009/9/main" uri="{B025F937-C7B1-47D3-B67F-A62EFF666E3E}">
          <x14:id>{808BC09B-F1E7-49EE-8B7E-2E05C3606F23}</x14:id>
        </ext>
      </extLst>
    </cfRule>
    <cfRule type="iconSet" priority="7697">
      <iconSet iconSet="3Arrows">
        <cfvo type="percent" val="0"/>
        <cfvo type="num" val="0.7"/>
        <cfvo type="num" val="1"/>
      </iconSet>
    </cfRule>
  </conditionalFormatting>
  <conditionalFormatting sqref="J851">
    <cfRule type="dataBar" priority="7696">
      <dataBar>
        <cfvo type="num" val="0"/>
        <cfvo type="num" val="1"/>
        <color theme="4" tint="0.79998168889431442"/>
      </dataBar>
      <extLst>
        <ext xmlns:x14="http://schemas.microsoft.com/office/spreadsheetml/2009/9/main" uri="{B025F937-C7B1-47D3-B67F-A62EFF666E3E}">
          <x14:id>{DCF22CBE-A5C6-4B8A-ACB0-F8DCF76CCA3E}</x14:id>
        </ext>
      </extLst>
    </cfRule>
    <cfRule type="iconSet" priority="7695">
      <iconSet iconSet="3Arrows">
        <cfvo type="percent" val="0"/>
        <cfvo type="num" val="0.7"/>
        <cfvo type="num" val="1"/>
      </iconSet>
    </cfRule>
  </conditionalFormatting>
  <conditionalFormatting sqref="J853">
    <cfRule type="dataBar" priority="7694">
      <dataBar>
        <cfvo type="num" val="0"/>
        <cfvo type="num" val="1"/>
        <color theme="4" tint="0.79998168889431442"/>
      </dataBar>
      <extLst>
        <ext xmlns:x14="http://schemas.microsoft.com/office/spreadsheetml/2009/9/main" uri="{B025F937-C7B1-47D3-B67F-A62EFF666E3E}">
          <x14:id>{C2E4D78D-7048-4832-A3BC-48CB3DFB0256}</x14:id>
        </ext>
      </extLst>
    </cfRule>
    <cfRule type="iconSet" priority="7693">
      <iconSet iconSet="3Arrows">
        <cfvo type="percent" val="0"/>
        <cfvo type="num" val="0.7"/>
        <cfvo type="num" val="1"/>
      </iconSet>
    </cfRule>
  </conditionalFormatting>
  <conditionalFormatting sqref="J855">
    <cfRule type="dataBar" priority="7692">
      <dataBar>
        <cfvo type="num" val="0"/>
        <cfvo type="num" val="1"/>
        <color theme="4" tint="0.79998168889431442"/>
      </dataBar>
      <extLst>
        <ext xmlns:x14="http://schemas.microsoft.com/office/spreadsheetml/2009/9/main" uri="{B025F937-C7B1-47D3-B67F-A62EFF666E3E}">
          <x14:id>{21472416-4F57-4342-918B-3347C53C3046}</x14:id>
        </ext>
      </extLst>
    </cfRule>
    <cfRule type="iconSet" priority="7691">
      <iconSet iconSet="3Arrows">
        <cfvo type="percent" val="0"/>
        <cfvo type="num" val="0.7"/>
        <cfvo type="num" val="1"/>
      </iconSet>
    </cfRule>
  </conditionalFormatting>
  <conditionalFormatting sqref="J857">
    <cfRule type="dataBar" priority="7690">
      <dataBar>
        <cfvo type="num" val="0"/>
        <cfvo type="num" val="1"/>
        <color theme="4" tint="0.79998168889431442"/>
      </dataBar>
      <extLst>
        <ext xmlns:x14="http://schemas.microsoft.com/office/spreadsheetml/2009/9/main" uri="{B025F937-C7B1-47D3-B67F-A62EFF666E3E}">
          <x14:id>{96EAE0F1-57AE-4BEC-9E8A-723D830880BA}</x14:id>
        </ext>
      </extLst>
    </cfRule>
    <cfRule type="iconSet" priority="7689">
      <iconSet iconSet="3Arrows">
        <cfvo type="percent" val="0"/>
        <cfvo type="num" val="0.7"/>
        <cfvo type="num" val="1"/>
      </iconSet>
    </cfRule>
  </conditionalFormatting>
  <conditionalFormatting sqref="J859 J861 J863 J865 J867 J869">
    <cfRule type="iconSet" priority="7687">
      <iconSet iconSet="3Arrows">
        <cfvo type="percent" val="0"/>
        <cfvo type="num" val="0.7"/>
        <cfvo type="num" val="1"/>
      </iconSet>
    </cfRule>
    <cfRule type="dataBar" priority="7688">
      <dataBar>
        <cfvo type="num" val="0"/>
        <cfvo type="num" val="1"/>
        <color theme="4" tint="0.79998168889431442"/>
      </dataBar>
      <extLst>
        <ext xmlns:x14="http://schemas.microsoft.com/office/spreadsheetml/2009/9/main" uri="{B025F937-C7B1-47D3-B67F-A62EFF666E3E}">
          <x14:id>{6AB55999-58FD-440C-AFAA-545C99B9BBA6}</x14:id>
        </ext>
      </extLst>
    </cfRule>
  </conditionalFormatting>
  <conditionalFormatting sqref="J871 J873 J875 J877 J879">
    <cfRule type="iconSet" priority="7685">
      <iconSet iconSet="3Arrows">
        <cfvo type="percent" val="0"/>
        <cfvo type="num" val="0.7"/>
        <cfvo type="num" val="1"/>
      </iconSet>
    </cfRule>
    <cfRule type="dataBar" priority="7686">
      <dataBar>
        <cfvo type="num" val="0"/>
        <cfvo type="num" val="1"/>
        <color theme="4" tint="0.79998168889431442"/>
      </dataBar>
      <extLst>
        <ext xmlns:x14="http://schemas.microsoft.com/office/spreadsheetml/2009/9/main" uri="{B025F937-C7B1-47D3-B67F-A62EFF666E3E}">
          <x14:id>{4FD8DCC0-A6EB-4736-9AAC-639A9013D494}</x14:id>
        </ext>
      </extLst>
    </cfRule>
  </conditionalFormatting>
  <conditionalFormatting sqref="J881">
    <cfRule type="iconSet" priority="7683">
      <iconSet iconSet="3Arrows">
        <cfvo type="percent" val="0"/>
        <cfvo type="num" val="0.7"/>
        <cfvo type="num" val="1"/>
      </iconSet>
    </cfRule>
    <cfRule type="dataBar" priority="7684">
      <dataBar>
        <cfvo type="num" val="0"/>
        <cfvo type="num" val="1"/>
        <color theme="4" tint="0.79998168889431442"/>
      </dataBar>
      <extLst>
        <ext xmlns:x14="http://schemas.microsoft.com/office/spreadsheetml/2009/9/main" uri="{B025F937-C7B1-47D3-B67F-A62EFF666E3E}">
          <x14:id>{DF8EA49A-0D81-4541-91FA-F424F007686A}</x14:id>
        </ext>
      </extLst>
    </cfRule>
  </conditionalFormatting>
  <conditionalFormatting sqref="J883">
    <cfRule type="dataBar" priority="7682">
      <dataBar>
        <cfvo type="num" val="0"/>
        <cfvo type="num" val="1"/>
        <color theme="4" tint="0.79998168889431442"/>
      </dataBar>
      <extLst>
        <ext xmlns:x14="http://schemas.microsoft.com/office/spreadsheetml/2009/9/main" uri="{B025F937-C7B1-47D3-B67F-A62EFF666E3E}">
          <x14:id>{1CB1DD90-47DC-4E4C-AAF8-B7700192C123}</x14:id>
        </ext>
      </extLst>
    </cfRule>
    <cfRule type="iconSet" priority="7681">
      <iconSet iconSet="3Arrows">
        <cfvo type="percent" val="0"/>
        <cfvo type="num" val="0.7"/>
        <cfvo type="num" val="1"/>
      </iconSet>
    </cfRule>
  </conditionalFormatting>
  <conditionalFormatting sqref="J886">
    <cfRule type="dataBar" priority="7680">
      <dataBar>
        <cfvo type="num" val="0"/>
        <cfvo type="num" val="1"/>
        <color theme="4" tint="0.79998168889431442"/>
      </dataBar>
      <extLst>
        <ext xmlns:x14="http://schemas.microsoft.com/office/spreadsheetml/2009/9/main" uri="{B025F937-C7B1-47D3-B67F-A62EFF666E3E}">
          <x14:id>{84B893DD-B509-4D2C-B8F0-29D7FBF6E06D}</x14:id>
        </ext>
      </extLst>
    </cfRule>
    <cfRule type="iconSet" priority="7679">
      <iconSet iconSet="3Arrows">
        <cfvo type="percent" val="0"/>
        <cfvo type="num" val="0.7"/>
        <cfvo type="num" val="1"/>
      </iconSet>
    </cfRule>
  </conditionalFormatting>
  <conditionalFormatting sqref="J888">
    <cfRule type="dataBar" priority="7678">
      <dataBar>
        <cfvo type="num" val="0"/>
        <cfvo type="num" val="1"/>
        <color theme="4" tint="0.79998168889431442"/>
      </dataBar>
      <extLst>
        <ext xmlns:x14="http://schemas.microsoft.com/office/spreadsheetml/2009/9/main" uri="{B025F937-C7B1-47D3-B67F-A62EFF666E3E}">
          <x14:id>{A39675B2-E59B-4B8D-B52D-6D2A5FA00C59}</x14:id>
        </ext>
      </extLst>
    </cfRule>
    <cfRule type="iconSet" priority="7677">
      <iconSet iconSet="3Arrows">
        <cfvo type="percent" val="0"/>
        <cfvo type="num" val="0.7"/>
        <cfvo type="num" val="1"/>
      </iconSet>
    </cfRule>
  </conditionalFormatting>
  <conditionalFormatting sqref="J890 J892">
    <cfRule type="dataBar" priority="7676">
      <dataBar>
        <cfvo type="num" val="0"/>
        <cfvo type="num" val="1"/>
        <color theme="4" tint="0.79998168889431442"/>
      </dataBar>
      <extLst>
        <ext xmlns:x14="http://schemas.microsoft.com/office/spreadsheetml/2009/9/main" uri="{B025F937-C7B1-47D3-B67F-A62EFF666E3E}">
          <x14:id>{47F9CF43-DC83-4FF7-BF8E-FF0FD2D25F18}</x14:id>
        </ext>
      </extLst>
    </cfRule>
    <cfRule type="iconSet" priority="7675">
      <iconSet iconSet="3Arrows">
        <cfvo type="percent" val="0"/>
        <cfvo type="num" val="0.7"/>
        <cfvo type="num" val="1"/>
      </iconSet>
    </cfRule>
  </conditionalFormatting>
  <conditionalFormatting sqref="J894">
    <cfRule type="dataBar" priority="7674">
      <dataBar>
        <cfvo type="num" val="0"/>
        <cfvo type="num" val="1"/>
        <color theme="4" tint="0.79998168889431442"/>
      </dataBar>
      <extLst>
        <ext xmlns:x14="http://schemas.microsoft.com/office/spreadsheetml/2009/9/main" uri="{B025F937-C7B1-47D3-B67F-A62EFF666E3E}">
          <x14:id>{528E0945-B33B-4E35-8604-8B4A48850F3C}</x14:id>
        </ext>
      </extLst>
    </cfRule>
    <cfRule type="iconSet" priority="7673">
      <iconSet iconSet="3Arrows">
        <cfvo type="percent" val="0"/>
        <cfvo type="num" val="0.7"/>
        <cfvo type="num" val="1"/>
      </iconSet>
    </cfRule>
  </conditionalFormatting>
  <conditionalFormatting sqref="J896 J898">
    <cfRule type="iconSet" priority="7671">
      <iconSet iconSet="3Arrows">
        <cfvo type="percent" val="0"/>
        <cfvo type="num" val="0.7"/>
        <cfvo type="num" val="1"/>
      </iconSet>
    </cfRule>
    <cfRule type="dataBar" priority="7672">
      <dataBar>
        <cfvo type="num" val="0"/>
        <cfvo type="num" val="1"/>
        <color theme="4" tint="0.79998168889431442"/>
      </dataBar>
      <extLst>
        <ext xmlns:x14="http://schemas.microsoft.com/office/spreadsheetml/2009/9/main" uri="{B025F937-C7B1-47D3-B67F-A62EFF666E3E}">
          <x14:id>{2510548D-1D9B-46CD-87DE-83CD6B2D75AB}</x14:id>
        </ext>
      </extLst>
    </cfRule>
  </conditionalFormatting>
  <conditionalFormatting sqref="J900">
    <cfRule type="iconSet" priority="7669">
      <iconSet iconSet="3Arrows">
        <cfvo type="percent" val="0"/>
        <cfvo type="num" val="0.7"/>
        <cfvo type="num" val="1"/>
      </iconSet>
    </cfRule>
    <cfRule type="dataBar" priority="7670">
      <dataBar>
        <cfvo type="num" val="0"/>
        <cfvo type="num" val="1"/>
        <color theme="4" tint="0.79998168889431442"/>
      </dataBar>
      <extLst>
        <ext xmlns:x14="http://schemas.microsoft.com/office/spreadsheetml/2009/9/main" uri="{B025F937-C7B1-47D3-B67F-A62EFF666E3E}">
          <x14:id>{FDFEE02D-9FE4-47A1-B93A-D8A61C998D7B}</x14:id>
        </ext>
      </extLst>
    </cfRule>
  </conditionalFormatting>
  <conditionalFormatting sqref="J902 J904">
    <cfRule type="dataBar" priority="7668">
      <dataBar>
        <cfvo type="num" val="0"/>
        <cfvo type="num" val="1"/>
        <color theme="4" tint="0.79998168889431442"/>
      </dataBar>
      <extLst>
        <ext xmlns:x14="http://schemas.microsoft.com/office/spreadsheetml/2009/9/main" uri="{B025F937-C7B1-47D3-B67F-A62EFF666E3E}">
          <x14:id>{CA72C3F8-D1B0-4CF3-83D7-13D325259E32}</x14:id>
        </ext>
      </extLst>
    </cfRule>
    <cfRule type="iconSet" priority="7667">
      <iconSet iconSet="3Arrows">
        <cfvo type="percent" val="0"/>
        <cfvo type="num" val="0.7"/>
        <cfvo type="num" val="1"/>
      </iconSet>
    </cfRule>
  </conditionalFormatting>
  <conditionalFormatting sqref="J906">
    <cfRule type="dataBar" priority="7666">
      <dataBar>
        <cfvo type="num" val="0"/>
        <cfvo type="num" val="1"/>
        <color theme="4" tint="0.79998168889431442"/>
      </dataBar>
      <extLst>
        <ext xmlns:x14="http://schemas.microsoft.com/office/spreadsheetml/2009/9/main" uri="{B025F937-C7B1-47D3-B67F-A62EFF666E3E}">
          <x14:id>{4F20F205-2860-4229-9127-8D02F515D195}</x14:id>
        </ext>
      </extLst>
    </cfRule>
    <cfRule type="iconSet" priority="7665">
      <iconSet iconSet="3Arrows">
        <cfvo type="percent" val="0"/>
        <cfvo type="num" val="0.7"/>
        <cfvo type="num" val="1"/>
      </iconSet>
    </cfRule>
  </conditionalFormatting>
  <conditionalFormatting sqref="J908 J910">
    <cfRule type="dataBar" priority="7664">
      <dataBar>
        <cfvo type="num" val="0"/>
        <cfvo type="num" val="1"/>
        <color theme="4" tint="0.79998168889431442"/>
      </dataBar>
      <extLst>
        <ext xmlns:x14="http://schemas.microsoft.com/office/spreadsheetml/2009/9/main" uri="{B025F937-C7B1-47D3-B67F-A62EFF666E3E}">
          <x14:id>{9B89AF9B-A285-4A12-AD0D-A0B398A26367}</x14:id>
        </ext>
      </extLst>
    </cfRule>
    <cfRule type="iconSet" priority="7663">
      <iconSet iconSet="3Arrows">
        <cfvo type="percent" val="0"/>
        <cfvo type="num" val="0.7"/>
        <cfvo type="num" val="1"/>
      </iconSet>
    </cfRule>
  </conditionalFormatting>
  <conditionalFormatting sqref="J912">
    <cfRule type="dataBar" priority="7662">
      <dataBar>
        <cfvo type="num" val="0"/>
        <cfvo type="num" val="1"/>
        <color theme="4" tint="0.79998168889431442"/>
      </dataBar>
      <extLst>
        <ext xmlns:x14="http://schemas.microsoft.com/office/spreadsheetml/2009/9/main" uri="{B025F937-C7B1-47D3-B67F-A62EFF666E3E}">
          <x14:id>{F1224300-FA80-4E33-B4DB-407D959AFB8C}</x14:id>
        </ext>
      </extLst>
    </cfRule>
    <cfRule type="iconSet" priority="7661">
      <iconSet iconSet="3Arrows">
        <cfvo type="percent" val="0"/>
        <cfvo type="num" val="0.7"/>
        <cfvo type="num" val="1"/>
      </iconSet>
    </cfRule>
  </conditionalFormatting>
  <conditionalFormatting sqref="J914 J916">
    <cfRule type="dataBar" priority="7660">
      <dataBar>
        <cfvo type="num" val="0"/>
        <cfvo type="num" val="1"/>
        <color theme="4" tint="0.79998168889431442"/>
      </dataBar>
      <extLst>
        <ext xmlns:x14="http://schemas.microsoft.com/office/spreadsheetml/2009/9/main" uri="{B025F937-C7B1-47D3-B67F-A62EFF666E3E}">
          <x14:id>{6516FA5B-0B18-4A42-86C7-F00AEBA5DE08}</x14:id>
        </ext>
      </extLst>
    </cfRule>
    <cfRule type="iconSet" priority="7659">
      <iconSet iconSet="3Arrows">
        <cfvo type="percent" val="0"/>
        <cfvo type="num" val="0.7"/>
        <cfvo type="num" val="1"/>
      </iconSet>
    </cfRule>
  </conditionalFormatting>
  <conditionalFormatting sqref="J918">
    <cfRule type="dataBar" priority="7658">
      <dataBar>
        <cfvo type="num" val="0"/>
        <cfvo type="num" val="1"/>
        <color theme="4" tint="0.79998168889431442"/>
      </dataBar>
      <extLst>
        <ext xmlns:x14="http://schemas.microsoft.com/office/spreadsheetml/2009/9/main" uri="{B025F937-C7B1-47D3-B67F-A62EFF666E3E}">
          <x14:id>{8FDD29B2-B8A7-4A9E-8A41-69C490F168CF}</x14:id>
        </ext>
      </extLst>
    </cfRule>
    <cfRule type="iconSet" priority="7657">
      <iconSet iconSet="3Arrows">
        <cfvo type="percent" val="0"/>
        <cfvo type="num" val="0.7"/>
        <cfvo type="num" val="1"/>
      </iconSet>
    </cfRule>
  </conditionalFormatting>
  <conditionalFormatting sqref="J920">
    <cfRule type="iconSet" priority="7655">
      <iconSet iconSet="3Arrows">
        <cfvo type="percent" val="0"/>
        <cfvo type="num" val="0.7"/>
        <cfvo type="num" val="1"/>
      </iconSet>
    </cfRule>
    <cfRule type="dataBar" priority="7656">
      <dataBar>
        <cfvo type="num" val="0"/>
        <cfvo type="num" val="1"/>
        <color theme="4" tint="0.79998168889431442"/>
      </dataBar>
      <extLst>
        <ext xmlns:x14="http://schemas.microsoft.com/office/spreadsheetml/2009/9/main" uri="{B025F937-C7B1-47D3-B67F-A62EFF666E3E}">
          <x14:id>{E4A8BD63-6A7B-4CE9-846B-6D4DFD2051A4}</x14:id>
        </ext>
      </extLst>
    </cfRule>
  </conditionalFormatting>
  <conditionalFormatting sqref="J924">
    <cfRule type="iconSet" priority="7653">
      <iconSet iconSet="3Arrows">
        <cfvo type="percent" val="0"/>
        <cfvo type="num" val="0.7"/>
        <cfvo type="num" val="1"/>
      </iconSet>
    </cfRule>
    <cfRule type="dataBar" priority="7654">
      <dataBar>
        <cfvo type="num" val="0"/>
        <cfvo type="num" val="1"/>
        <color theme="4" tint="0.79998168889431442"/>
      </dataBar>
      <extLst>
        <ext xmlns:x14="http://schemas.microsoft.com/office/spreadsheetml/2009/9/main" uri="{B025F937-C7B1-47D3-B67F-A62EFF666E3E}">
          <x14:id>{AC9BF030-8CF5-4B00-8A74-CEECC2D7B966}</x14:id>
        </ext>
      </extLst>
    </cfRule>
  </conditionalFormatting>
  <conditionalFormatting sqref="J926">
    <cfRule type="dataBar" priority="7652">
      <dataBar>
        <cfvo type="num" val="0"/>
        <cfvo type="num" val="1"/>
        <color theme="4" tint="0.79998168889431442"/>
      </dataBar>
      <extLst>
        <ext xmlns:x14="http://schemas.microsoft.com/office/spreadsheetml/2009/9/main" uri="{B025F937-C7B1-47D3-B67F-A62EFF666E3E}">
          <x14:id>{8A3436EF-98A6-44FB-8A47-C9B789E78E59}</x14:id>
        </ext>
      </extLst>
    </cfRule>
    <cfRule type="iconSet" priority="7651">
      <iconSet iconSet="3Arrows">
        <cfvo type="percent" val="0"/>
        <cfvo type="num" val="0.7"/>
        <cfvo type="num" val="1"/>
      </iconSet>
    </cfRule>
  </conditionalFormatting>
  <conditionalFormatting sqref="J928 J930">
    <cfRule type="dataBar" priority="7650">
      <dataBar>
        <cfvo type="num" val="0"/>
        <cfvo type="num" val="1"/>
        <color theme="4" tint="0.79998168889431442"/>
      </dataBar>
      <extLst>
        <ext xmlns:x14="http://schemas.microsoft.com/office/spreadsheetml/2009/9/main" uri="{B025F937-C7B1-47D3-B67F-A62EFF666E3E}">
          <x14:id>{E0562CFB-004F-4D28-AE98-24DFBE14ED78}</x14:id>
        </ext>
      </extLst>
    </cfRule>
    <cfRule type="iconSet" priority="7649">
      <iconSet iconSet="3Arrows">
        <cfvo type="percent" val="0"/>
        <cfvo type="num" val="0.7"/>
        <cfvo type="num" val="1"/>
      </iconSet>
    </cfRule>
  </conditionalFormatting>
  <conditionalFormatting sqref="J932">
    <cfRule type="dataBar" priority="7648">
      <dataBar>
        <cfvo type="num" val="0"/>
        <cfvo type="num" val="1"/>
        <color theme="4" tint="0.79998168889431442"/>
      </dataBar>
      <extLst>
        <ext xmlns:x14="http://schemas.microsoft.com/office/spreadsheetml/2009/9/main" uri="{B025F937-C7B1-47D3-B67F-A62EFF666E3E}">
          <x14:id>{EA0EFF3C-4D47-43FC-B306-08F4F22043B4}</x14:id>
        </ext>
      </extLst>
    </cfRule>
    <cfRule type="iconSet" priority="7647">
      <iconSet iconSet="3Arrows">
        <cfvo type="percent" val="0"/>
        <cfvo type="num" val="0.7"/>
        <cfvo type="num" val="1"/>
      </iconSet>
    </cfRule>
  </conditionalFormatting>
  <conditionalFormatting sqref="J934 J936">
    <cfRule type="dataBar" priority="7646">
      <dataBar>
        <cfvo type="num" val="0"/>
        <cfvo type="num" val="1"/>
        <color theme="4" tint="0.79998168889431442"/>
      </dataBar>
      <extLst>
        <ext xmlns:x14="http://schemas.microsoft.com/office/spreadsheetml/2009/9/main" uri="{B025F937-C7B1-47D3-B67F-A62EFF666E3E}">
          <x14:id>{20C85902-1580-4D0D-9178-A348F2F6CBF4}</x14:id>
        </ext>
      </extLst>
    </cfRule>
    <cfRule type="iconSet" priority="7645">
      <iconSet iconSet="3Arrows">
        <cfvo type="percent" val="0"/>
        <cfvo type="num" val="0.7"/>
        <cfvo type="num" val="1"/>
      </iconSet>
    </cfRule>
  </conditionalFormatting>
  <conditionalFormatting sqref="J938">
    <cfRule type="dataBar" priority="7644">
      <dataBar>
        <cfvo type="num" val="0"/>
        <cfvo type="num" val="1"/>
        <color theme="4" tint="0.79998168889431442"/>
      </dataBar>
      <extLst>
        <ext xmlns:x14="http://schemas.microsoft.com/office/spreadsheetml/2009/9/main" uri="{B025F937-C7B1-47D3-B67F-A62EFF666E3E}">
          <x14:id>{5E9446B4-B092-4973-8FAE-E0EE9A1A5160}</x14:id>
        </ext>
      </extLst>
    </cfRule>
    <cfRule type="iconSet" priority="7643">
      <iconSet iconSet="3Arrows">
        <cfvo type="percent" val="0"/>
        <cfvo type="num" val="0.7"/>
        <cfvo type="num" val="1"/>
      </iconSet>
    </cfRule>
  </conditionalFormatting>
  <conditionalFormatting sqref="J941">
    <cfRule type="dataBar" priority="7642">
      <dataBar>
        <cfvo type="num" val="0"/>
        <cfvo type="num" val="1"/>
        <color theme="4" tint="0.79998168889431442"/>
      </dataBar>
      <extLst>
        <ext xmlns:x14="http://schemas.microsoft.com/office/spreadsheetml/2009/9/main" uri="{B025F937-C7B1-47D3-B67F-A62EFF666E3E}">
          <x14:id>{8D2C0C11-A88F-4BEC-81FC-2F156B042ACC}</x14:id>
        </ext>
      </extLst>
    </cfRule>
    <cfRule type="iconSet" priority="7641">
      <iconSet iconSet="3Arrows">
        <cfvo type="percent" val="0"/>
        <cfvo type="num" val="0.7"/>
        <cfvo type="num" val="1"/>
      </iconSet>
    </cfRule>
  </conditionalFormatting>
  <conditionalFormatting sqref="J943">
    <cfRule type="dataBar" priority="7640">
      <dataBar>
        <cfvo type="num" val="0"/>
        <cfvo type="num" val="1"/>
        <color theme="4" tint="0.79998168889431442"/>
      </dataBar>
      <extLst>
        <ext xmlns:x14="http://schemas.microsoft.com/office/spreadsheetml/2009/9/main" uri="{B025F937-C7B1-47D3-B67F-A62EFF666E3E}">
          <x14:id>{D8E7D873-69A9-4F81-AB3A-E9384EE38E85}</x14:id>
        </ext>
      </extLst>
    </cfRule>
    <cfRule type="iconSet" priority="7639">
      <iconSet iconSet="3Arrows">
        <cfvo type="percent" val="0"/>
        <cfvo type="num" val="0.7"/>
        <cfvo type="num" val="1"/>
      </iconSet>
    </cfRule>
  </conditionalFormatting>
  <conditionalFormatting sqref="J945 J947">
    <cfRule type="dataBar" priority="7638">
      <dataBar>
        <cfvo type="num" val="0"/>
        <cfvo type="num" val="1"/>
        <color theme="4" tint="0.79998168889431442"/>
      </dataBar>
      <extLst>
        <ext xmlns:x14="http://schemas.microsoft.com/office/spreadsheetml/2009/9/main" uri="{B025F937-C7B1-47D3-B67F-A62EFF666E3E}">
          <x14:id>{93B331C1-38CD-4DCD-BD23-C634077CD188}</x14:id>
        </ext>
      </extLst>
    </cfRule>
    <cfRule type="iconSet" priority="7637">
      <iconSet iconSet="3Arrows">
        <cfvo type="percent" val="0"/>
        <cfvo type="num" val="0.7"/>
        <cfvo type="num" val="1"/>
      </iconSet>
    </cfRule>
  </conditionalFormatting>
  <conditionalFormatting sqref="J949">
    <cfRule type="dataBar" priority="7636">
      <dataBar>
        <cfvo type="num" val="0"/>
        <cfvo type="num" val="1"/>
        <color theme="4" tint="0.79998168889431442"/>
      </dataBar>
      <extLst>
        <ext xmlns:x14="http://schemas.microsoft.com/office/spreadsheetml/2009/9/main" uri="{B025F937-C7B1-47D3-B67F-A62EFF666E3E}">
          <x14:id>{B8903D14-5669-4249-86E5-FF5B4254A156}</x14:id>
        </ext>
      </extLst>
    </cfRule>
    <cfRule type="iconSet" priority="7635">
      <iconSet iconSet="3Arrows">
        <cfvo type="percent" val="0"/>
        <cfvo type="num" val="0.7"/>
        <cfvo type="num" val="1"/>
      </iconSet>
    </cfRule>
  </conditionalFormatting>
  <conditionalFormatting sqref="J951 J953">
    <cfRule type="dataBar" priority="7634">
      <dataBar>
        <cfvo type="num" val="0"/>
        <cfvo type="num" val="1"/>
        <color theme="4" tint="0.79998168889431442"/>
      </dataBar>
      <extLst>
        <ext xmlns:x14="http://schemas.microsoft.com/office/spreadsheetml/2009/9/main" uri="{B025F937-C7B1-47D3-B67F-A62EFF666E3E}">
          <x14:id>{A799D09B-18C5-41C7-9B84-10B4BBA4183C}</x14:id>
        </ext>
      </extLst>
    </cfRule>
    <cfRule type="iconSet" priority="7633">
      <iconSet iconSet="3Arrows">
        <cfvo type="percent" val="0"/>
        <cfvo type="num" val="0.7"/>
        <cfvo type="num" val="1"/>
      </iconSet>
    </cfRule>
  </conditionalFormatting>
  <conditionalFormatting sqref="J955">
    <cfRule type="dataBar" priority="7632">
      <dataBar>
        <cfvo type="num" val="0"/>
        <cfvo type="num" val="1"/>
        <color theme="4" tint="0.79998168889431442"/>
      </dataBar>
      <extLst>
        <ext xmlns:x14="http://schemas.microsoft.com/office/spreadsheetml/2009/9/main" uri="{B025F937-C7B1-47D3-B67F-A62EFF666E3E}">
          <x14:id>{9EE1B597-0764-470E-A2CD-2C09BE8DB5D3}</x14:id>
        </ext>
      </extLst>
    </cfRule>
    <cfRule type="iconSet" priority="7631">
      <iconSet iconSet="3Arrows">
        <cfvo type="percent" val="0"/>
        <cfvo type="num" val="0.7"/>
        <cfvo type="num" val="1"/>
      </iconSet>
    </cfRule>
  </conditionalFormatting>
  <conditionalFormatting sqref="J957 J959">
    <cfRule type="dataBar" priority="7630">
      <dataBar>
        <cfvo type="num" val="0"/>
        <cfvo type="num" val="1"/>
        <color theme="4" tint="0.79998168889431442"/>
      </dataBar>
      <extLst>
        <ext xmlns:x14="http://schemas.microsoft.com/office/spreadsheetml/2009/9/main" uri="{B025F937-C7B1-47D3-B67F-A62EFF666E3E}">
          <x14:id>{63A50209-86F3-4B8E-B647-646054F20608}</x14:id>
        </ext>
      </extLst>
    </cfRule>
    <cfRule type="iconSet" priority="7629">
      <iconSet iconSet="3Arrows">
        <cfvo type="percent" val="0"/>
        <cfvo type="num" val="0.7"/>
        <cfvo type="num" val="1"/>
      </iconSet>
    </cfRule>
  </conditionalFormatting>
  <conditionalFormatting sqref="J961">
    <cfRule type="dataBar" priority="7628">
      <dataBar>
        <cfvo type="num" val="0"/>
        <cfvo type="num" val="1"/>
        <color theme="4" tint="0.79998168889431442"/>
      </dataBar>
      <extLst>
        <ext xmlns:x14="http://schemas.microsoft.com/office/spreadsheetml/2009/9/main" uri="{B025F937-C7B1-47D3-B67F-A62EFF666E3E}">
          <x14:id>{A8734D69-DE01-4642-B094-F20B077C1682}</x14:id>
        </ext>
      </extLst>
    </cfRule>
    <cfRule type="iconSet" priority="7627">
      <iconSet iconSet="3Arrows">
        <cfvo type="percent" val="0"/>
        <cfvo type="num" val="0.7"/>
        <cfvo type="num" val="1"/>
      </iconSet>
    </cfRule>
  </conditionalFormatting>
  <conditionalFormatting sqref="J963 J965">
    <cfRule type="dataBar" priority="7626">
      <dataBar>
        <cfvo type="num" val="0"/>
        <cfvo type="num" val="1"/>
        <color theme="4" tint="0.79998168889431442"/>
      </dataBar>
      <extLst>
        <ext xmlns:x14="http://schemas.microsoft.com/office/spreadsheetml/2009/9/main" uri="{B025F937-C7B1-47D3-B67F-A62EFF666E3E}">
          <x14:id>{55A659CC-5D4C-4F27-9F4E-657B56B3A3EE}</x14:id>
        </ext>
      </extLst>
    </cfRule>
    <cfRule type="iconSet" priority="7625">
      <iconSet iconSet="3Arrows">
        <cfvo type="percent" val="0"/>
        <cfvo type="num" val="0.7"/>
        <cfvo type="num" val="1"/>
      </iconSet>
    </cfRule>
  </conditionalFormatting>
  <conditionalFormatting sqref="J967">
    <cfRule type="dataBar" priority="7624">
      <dataBar>
        <cfvo type="num" val="0"/>
        <cfvo type="num" val="1"/>
        <color theme="4" tint="0.79998168889431442"/>
      </dataBar>
      <extLst>
        <ext xmlns:x14="http://schemas.microsoft.com/office/spreadsheetml/2009/9/main" uri="{B025F937-C7B1-47D3-B67F-A62EFF666E3E}">
          <x14:id>{13F42880-702C-43AA-B635-7D3C5FA97416}</x14:id>
        </ext>
      </extLst>
    </cfRule>
    <cfRule type="iconSet" priority="7623">
      <iconSet iconSet="3Arrows">
        <cfvo type="percent" val="0"/>
        <cfvo type="num" val="0.7"/>
        <cfvo type="num" val="1"/>
      </iconSet>
    </cfRule>
  </conditionalFormatting>
  <conditionalFormatting sqref="J971">
    <cfRule type="iconSet" priority="7621">
      <iconSet iconSet="3Arrows">
        <cfvo type="percent" val="0"/>
        <cfvo type="num" val="0.7"/>
        <cfvo type="num" val="1"/>
      </iconSet>
    </cfRule>
    <cfRule type="dataBar" priority="7622">
      <dataBar>
        <cfvo type="num" val="0"/>
        <cfvo type="num" val="1"/>
        <color theme="4" tint="0.79998168889431442"/>
      </dataBar>
      <extLst>
        <ext xmlns:x14="http://schemas.microsoft.com/office/spreadsheetml/2009/9/main" uri="{B025F937-C7B1-47D3-B67F-A62EFF666E3E}">
          <x14:id>{5AA91DC7-5813-4D6B-BE2C-DB4BAD841D4A}</x14:id>
        </ext>
      </extLst>
    </cfRule>
  </conditionalFormatting>
  <conditionalFormatting sqref="J973">
    <cfRule type="iconSet" priority="7619">
      <iconSet iconSet="3Arrows">
        <cfvo type="percent" val="0"/>
        <cfvo type="num" val="0.7"/>
        <cfvo type="num" val="1"/>
      </iconSet>
    </cfRule>
    <cfRule type="dataBar" priority="7620">
      <dataBar>
        <cfvo type="num" val="0"/>
        <cfvo type="num" val="1"/>
        <color theme="4" tint="0.79998168889431442"/>
      </dataBar>
      <extLst>
        <ext xmlns:x14="http://schemas.microsoft.com/office/spreadsheetml/2009/9/main" uri="{B025F937-C7B1-47D3-B67F-A62EFF666E3E}">
          <x14:id>{6FBD5DD0-2367-4CA2-B7F0-BEAAD86B33F0}</x14:id>
        </ext>
      </extLst>
    </cfRule>
  </conditionalFormatting>
  <conditionalFormatting sqref="J975">
    <cfRule type="dataBar" priority="7618">
      <dataBar>
        <cfvo type="num" val="0"/>
        <cfvo type="num" val="1"/>
        <color theme="4" tint="0.79998168889431442"/>
      </dataBar>
      <extLst>
        <ext xmlns:x14="http://schemas.microsoft.com/office/spreadsheetml/2009/9/main" uri="{B025F937-C7B1-47D3-B67F-A62EFF666E3E}">
          <x14:id>{95D8672D-7E7B-40E8-8226-72E55298992C}</x14:id>
        </ext>
      </extLst>
    </cfRule>
    <cfRule type="iconSet" priority="7617">
      <iconSet iconSet="3Arrows">
        <cfvo type="percent" val="0"/>
        <cfvo type="num" val="0.7"/>
        <cfvo type="num" val="1"/>
      </iconSet>
    </cfRule>
  </conditionalFormatting>
  <conditionalFormatting sqref="J977">
    <cfRule type="dataBar" priority="7616">
      <dataBar>
        <cfvo type="num" val="0"/>
        <cfvo type="num" val="1"/>
        <color theme="4" tint="0.79998168889431442"/>
      </dataBar>
      <extLst>
        <ext xmlns:x14="http://schemas.microsoft.com/office/spreadsheetml/2009/9/main" uri="{B025F937-C7B1-47D3-B67F-A62EFF666E3E}">
          <x14:id>{10C854B6-A837-4176-834E-9EA0B7779CAE}</x14:id>
        </ext>
      </extLst>
    </cfRule>
    <cfRule type="iconSet" priority="7615">
      <iconSet iconSet="3Arrows">
        <cfvo type="percent" val="0"/>
        <cfvo type="num" val="0.7"/>
        <cfvo type="num" val="1"/>
      </iconSet>
    </cfRule>
  </conditionalFormatting>
  <conditionalFormatting sqref="J979">
    <cfRule type="dataBar" priority="7614">
      <dataBar>
        <cfvo type="num" val="0"/>
        <cfvo type="num" val="1"/>
        <color theme="4" tint="0.79998168889431442"/>
      </dataBar>
      <extLst>
        <ext xmlns:x14="http://schemas.microsoft.com/office/spreadsheetml/2009/9/main" uri="{B025F937-C7B1-47D3-B67F-A62EFF666E3E}">
          <x14:id>{EAA1F35A-7F1A-472B-B42F-25CC6C7831BB}</x14:id>
        </ext>
      </extLst>
    </cfRule>
    <cfRule type="iconSet" priority="7613">
      <iconSet iconSet="3Arrows">
        <cfvo type="percent" val="0"/>
        <cfvo type="num" val="0.7"/>
        <cfvo type="num" val="1"/>
      </iconSet>
    </cfRule>
  </conditionalFormatting>
  <conditionalFormatting sqref="J981 J983">
    <cfRule type="dataBar" priority="7612">
      <dataBar>
        <cfvo type="num" val="0"/>
        <cfvo type="num" val="1"/>
        <color theme="4" tint="0.79998168889431442"/>
      </dataBar>
      <extLst>
        <ext xmlns:x14="http://schemas.microsoft.com/office/spreadsheetml/2009/9/main" uri="{B025F937-C7B1-47D3-B67F-A62EFF666E3E}">
          <x14:id>{70C8EC98-3A21-4BD1-9476-BBBC02671969}</x14:id>
        </ext>
      </extLst>
    </cfRule>
    <cfRule type="iconSet" priority="7611">
      <iconSet iconSet="3Arrows">
        <cfvo type="percent" val="0"/>
        <cfvo type="num" val="0.7"/>
        <cfvo type="num" val="1"/>
      </iconSet>
    </cfRule>
  </conditionalFormatting>
  <conditionalFormatting sqref="J985">
    <cfRule type="dataBar" priority="7610">
      <dataBar>
        <cfvo type="num" val="0"/>
        <cfvo type="num" val="1"/>
        <color theme="4" tint="0.79998168889431442"/>
      </dataBar>
      <extLst>
        <ext xmlns:x14="http://schemas.microsoft.com/office/spreadsheetml/2009/9/main" uri="{B025F937-C7B1-47D3-B67F-A62EFF666E3E}">
          <x14:id>{43512741-0267-4DEC-AF6B-41417B178BBD}</x14:id>
        </ext>
      </extLst>
    </cfRule>
    <cfRule type="iconSet" priority="7609">
      <iconSet iconSet="3Arrows">
        <cfvo type="percent" val="0"/>
        <cfvo type="num" val="0.7"/>
        <cfvo type="num" val="1"/>
      </iconSet>
    </cfRule>
  </conditionalFormatting>
  <conditionalFormatting sqref="J987 J989">
    <cfRule type="dataBar" priority="7608">
      <dataBar>
        <cfvo type="num" val="0"/>
        <cfvo type="num" val="1"/>
        <color theme="4" tint="0.79998168889431442"/>
      </dataBar>
      <extLst>
        <ext xmlns:x14="http://schemas.microsoft.com/office/spreadsheetml/2009/9/main" uri="{B025F937-C7B1-47D3-B67F-A62EFF666E3E}">
          <x14:id>{ADB34067-79DD-44CF-8D56-323AB3CEF00A}</x14:id>
        </ext>
      </extLst>
    </cfRule>
    <cfRule type="iconSet" priority="7607">
      <iconSet iconSet="3Arrows">
        <cfvo type="percent" val="0"/>
        <cfvo type="num" val="0.7"/>
        <cfvo type="num" val="1"/>
      </iconSet>
    </cfRule>
  </conditionalFormatting>
  <conditionalFormatting sqref="J991">
    <cfRule type="dataBar" priority="7606">
      <dataBar>
        <cfvo type="num" val="0"/>
        <cfvo type="num" val="1"/>
        <color theme="4" tint="0.79998168889431442"/>
      </dataBar>
      <extLst>
        <ext xmlns:x14="http://schemas.microsoft.com/office/spreadsheetml/2009/9/main" uri="{B025F937-C7B1-47D3-B67F-A62EFF666E3E}">
          <x14:id>{CB53B97D-BB9D-4EE4-824E-51776BE0C103}</x14:id>
        </ext>
      </extLst>
    </cfRule>
    <cfRule type="iconSet" priority="7605">
      <iconSet iconSet="3Arrows">
        <cfvo type="percent" val="0"/>
        <cfvo type="num" val="0.7"/>
        <cfvo type="num" val="1"/>
      </iconSet>
    </cfRule>
  </conditionalFormatting>
  <conditionalFormatting sqref="J994">
    <cfRule type="dataBar" priority="7604">
      <dataBar>
        <cfvo type="num" val="0"/>
        <cfvo type="num" val="1"/>
        <color theme="4" tint="0.79998168889431442"/>
      </dataBar>
      <extLst>
        <ext xmlns:x14="http://schemas.microsoft.com/office/spreadsheetml/2009/9/main" uri="{B025F937-C7B1-47D3-B67F-A62EFF666E3E}">
          <x14:id>{1C1488F5-396A-4120-8A9E-D7B12FBEE493}</x14:id>
        </ext>
      </extLst>
    </cfRule>
    <cfRule type="iconSet" priority="7603">
      <iconSet iconSet="3Arrows">
        <cfvo type="percent" val="0"/>
        <cfvo type="num" val="0.7"/>
        <cfvo type="num" val="1"/>
      </iconSet>
    </cfRule>
  </conditionalFormatting>
  <conditionalFormatting sqref="J997">
    <cfRule type="dataBar" priority="7602">
      <dataBar>
        <cfvo type="num" val="0"/>
        <cfvo type="num" val="1"/>
        <color theme="4" tint="0.79998168889431442"/>
      </dataBar>
      <extLst>
        <ext xmlns:x14="http://schemas.microsoft.com/office/spreadsheetml/2009/9/main" uri="{B025F937-C7B1-47D3-B67F-A62EFF666E3E}">
          <x14:id>{93306AE1-AF4F-43E7-BA40-920844B1FD3C}</x14:id>
        </ext>
      </extLst>
    </cfRule>
    <cfRule type="iconSet" priority="7601">
      <iconSet iconSet="3Arrows">
        <cfvo type="percent" val="0"/>
        <cfvo type="num" val="0.7"/>
        <cfvo type="num" val="1"/>
      </iconSet>
    </cfRule>
  </conditionalFormatting>
  <conditionalFormatting sqref="J999 J1001 J1003">
    <cfRule type="dataBar" priority="7600">
      <dataBar>
        <cfvo type="num" val="0"/>
        <cfvo type="num" val="1"/>
        <color theme="4" tint="0.79998168889431442"/>
      </dataBar>
      <extLst>
        <ext xmlns:x14="http://schemas.microsoft.com/office/spreadsheetml/2009/9/main" uri="{B025F937-C7B1-47D3-B67F-A62EFF666E3E}">
          <x14:id>{7005D75E-F3E3-4B0A-A106-FACF6CF0FC85}</x14:id>
        </ext>
      </extLst>
    </cfRule>
    <cfRule type="iconSet" priority="7599">
      <iconSet iconSet="3Arrows">
        <cfvo type="percent" val="0"/>
        <cfvo type="num" val="0.7"/>
        <cfvo type="num" val="1"/>
      </iconSet>
    </cfRule>
  </conditionalFormatting>
  <conditionalFormatting sqref="J1005">
    <cfRule type="dataBar" priority="7598">
      <dataBar>
        <cfvo type="num" val="0"/>
        <cfvo type="num" val="1"/>
        <color theme="4" tint="0.79998168889431442"/>
      </dataBar>
      <extLst>
        <ext xmlns:x14="http://schemas.microsoft.com/office/spreadsheetml/2009/9/main" uri="{B025F937-C7B1-47D3-B67F-A62EFF666E3E}">
          <x14:id>{A2A6A2B5-CB27-4057-A405-21BD0D482324}</x14:id>
        </ext>
      </extLst>
    </cfRule>
    <cfRule type="iconSet" priority="7597">
      <iconSet iconSet="3Arrows">
        <cfvo type="percent" val="0"/>
        <cfvo type="num" val="0.7"/>
        <cfvo type="num" val="1"/>
      </iconSet>
    </cfRule>
  </conditionalFormatting>
  <conditionalFormatting sqref="J1007">
    <cfRule type="dataBar" priority="7596">
      <dataBar>
        <cfvo type="num" val="0"/>
        <cfvo type="num" val="1"/>
        <color theme="4" tint="0.79998168889431442"/>
      </dataBar>
      <extLst>
        <ext xmlns:x14="http://schemas.microsoft.com/office/spreadsheetml/2009/9/main" uri="{B025F937-C7B1-47D3-B67F-A62EFF666E3E}">
          <x14:id>{E1341BE5-1312-4C12-89FF-FB6C65C2EF70}</x14:id>
        </ext>
      </extLst>
    </cfRule>
    <cfRule type="iconSet" priority="7595">
      <iconSet iconSet="3Arrows">
        <cfvo type="percent" val="0"/>
        <cfvo type="num" val="0.7"/>
        <cfvo type="num" val="1"/>
      </iconSet>
    </cfRule>
  </conditionalFormatting>
  <conditionalFormatting sqref="J1009">
    <cfRule type="dataBar" priority="7594">
      <dataBar>
        <cfvo type="num" val="0"/>
        <cfvo type="num" val="1"/>
        <color theme="4" tint="0.79998168889431442"/>
      </dataBar>
      <extLst>
        <ext xmlns:x14="http://schemas.microsoft.com/office/spreadsheetml/2009/9/main" uri="{B025F937-C7B1-47D3-B67F-A62EFF666E3E}">
          <x14:id>{8E80ACF0-EC43-44C9-B864-7DF5EC47948E}</x14:id>
        </ext>
      </extLst>
    </cfRule>
    <cfRule type="iconSet" priority="7593">
      <iconSet iconSet="3Arrows">
        <cfvo type="percent" val="0"/>
        <cfvo type="num" val="0.7"/>
        <cfvo type="num" val="1"/>
      </iconSet>
    </cfRule>
  </conditionalFormatting>
  <conditionalFormatting sqref="J1011">
    <cfRule type="iconSet" priority="7591">
      <iconSet iconSet="3Arrows">
        <cfvo type="percent" val="0"/>
        <cfvo type="num" val="0.7"/>
        <cfvo type="num" val="1"/>
      </iconSet>
    </cfRule>
    <cfRule type="dataBar" priority="7592">
      <dataBar>
        <cfvo type="num" val="0"/>
        <cfvo type="num" val="1"/>
        <color theme="4" tint="0.79998168889431442"/>
      </dataBar>
      <extLst>
        <ext xmlns:x14="http://schemas.microsoft.com/office/spreadsheetml/2009/9/main" uri="{B025F937-C7B1-47D3-B67F-A62EFF666E3E}">
          <x14:id>{EF25C8BB-6FAA-4477-9DE5-E9B39C6B66D1}</x14:id>
        </ext>
      </extLst>
    </cfRule>
  </conditionalFormatting>
  <conditionalFormatting sqref="J1013">
    <cfRule type="iconSet" priority="7589">
      <iconSet iconSet="3Arrows">
        <cfvo type="percent" val="0"/>
        <cfvo type="num" val="0.7"/>
        <cfvo type="num" val="1"/>
      </iconSet>
    </cfRule>
    <cfRule type="dataBar" priority="7590">
      <dataBar>
        <cfvo type="num" val="0"/>
        <cfvo type="num" val="1"/>
        <color theme="4" tint="0.79998168889431442"/>
      </dataBar>
      <extLst>
        <ext xmlns:x14="http://schemas.microsoft.com/office/spreadsheetml/2009/9/main" uri="{B025F937-C7B1-47D3-B67F-A62EFF666E3E}">
          <x14:id>{849BAF8E-F816-497E-8F3F-A624208A5ECF}</x14:id>
        </ext>
      </extLst>
    </cfRule>
  </conditionalFormatting>
  <conditionalFormatting sqref="J1015">
    <cfRule type="iconSet" priority="7587">
      <iconSet iconSet="3Arrows">
        <cfvo type="percent" val="0"/>
        <cfvo type="num" val="0.7"/>
        <cfvo type="num" val="1"/>
      </iconSet>
    </cfRule>
    <cfRule type="dataBar" priority="7588">
      <dataBar>
        <cfvo type="num" val="0"/>
        <cfvo type="num" val="1"/>
        <color theme="4" tint="0.79998168889431442"/>
      </dataBar>
      <extLst>
        <ext xmlns:x14="http://schemas.microsoft.com/office/spreadsheetml/2009/9/main" uri="{B025F937-C7B1-47D3-B67F-A62EFF666E3E}">
          <x14:id>{EA1F8DA5-3515-4657-BE61-9EFCE7AEDA93}</x14:id>
        </ext>
      </extLst>
    </cfRule>
  </conditionalFormatting>
  <conditionalFormatting sqref="J1017">
    <cfRule type="dataBar" priority="7586">
      <dataBar>
        <cfvo type="num" val="0"/>
        <cfvo type="num" val="1"/>
        <color theme="4" tint="0.79998168889431442"/>
      </dataBar>
      <extLst>
        <ext xmlns:x14="http://schemas.microsoft.com/office/spreadsheetml/2009/9/main" uri="{B025F937-C7B1-47D3-B67F-A62EFF666E3E}">
          <x14:id>{F38BF0A7-11B2-4B57-A54A-907876A68C63}</x14:id>
        </ext>
      </extLst>
    </cfRule>
    <cfRule type="iconSet" priority="7585">
      <iconSet iconSet="3Arrows">
        <cfvo type="percent" val="0"/>
        <cfvo type="num" val="0.7"/>
        <cfvo type="num" val="1"/>
      </iconSet>
    </cfRule>
  </conditionalFormatting>
  <conditionalFormatting sqref="J1020">
    <cfRule type="dataBar" priority="7584">
      <dataBar>
        <cfvo type="num" val="0"/>
        <cfvo type="num" val="1"/>
        <color theme="4" tint="0.79998168889431442"/>
      </dataBar>
      <extLst>
        <ext xmlns:x14="http://schemas.microsoft.com/office/spreadsheetml/2009/9/main" uri="{B025F937-C7B1-47D3-B67F-A62EFF666E3E}">
          <x14:id>{87A5886E-19D1-4FE5-94FF-F5BA59E2CBEB}</x14:id>
        </ext>
      </extLst>
    </cfRule>
    <cfRule type="iconSet" priority="7583">
      <iconSet iconSet="3Arrows">
        <cfvo type="percent" val="0"/>
        <cfvo type="num" val="0.7"/>
        <cfvo type="num" val="1"/>
      </iconSet>
    </cfRule>
  </conditionalFormatting>
  <conditionalFormatting sqref="J1022 J1024 J1026">
    <cfRule type="dataBar" priority="7582">
      <dataBar>
        <cfvo type="num" val="0"/>
        <cfvo type="num" val="1"/>
        <color theme="4" tint="0.79998168889431442"/>
      </dataBar>
      <extLst>
        <ext xmlns:x14="http://schemas.microsoft.com/office/spreadsheetml/2009/9/main" uri="{B025F937-C7B1-47D3-B67F-A62EFF666E3E}">
          <x14:id>{5D40C35B-38E7-413D-A37B-9CD123C9ACA5}</x14:id>
        </ext>
      </extLst>
    </cfRule>
    <cfRule type="iconSet" priority="7581">
      <iconSet iconSet="3Arrows">
        <cfvo type="percent" val="0"/>
        <cfvo type="num" val="0.7"/>
        <cfvo type="num" val="1"/>
      </iconSet>
    </cfRule>
  </conditionalFormatting>
  <conditionalFormatting sqref="J1028 J1030 J1032">
    <cfRule type="dataBar" priority="7580">
      <dataBar>
        <cfvo type="num" val="0"/>
        <cfvo type="num" val="1"/>
        <color theme="4" tint="0.79998168889431442"/>
      </dataBar>
      <extLst>
        <ext xmlns:x14="http://schemas.microsoft.com/office/spreadsheetml/2009/9/main" uri="{B025F937-C7B1-47D3-B67F-A62EFF666E3E}">
          <x14:id>{DC669A3C-EC18-4013-9BD0-DDAE51C7A555}</x14:id>
        </ext>
      </extLst>
    </cfRule>
    <cfRule type="iconSet" priority="7579">
      <iconSet iconSet="3Arrows">
        <cfvo type="percent" val="0"/>
        <cfvo type="num" val="0.7"/>
        <cfvo type="num" val="1"/>
      </iconSet>
    </cfRule>
  </conditionalFormatting>
  <conditionalFormatting sqref="J1034 J1036 J1038">
    <cfRule type="dataBar" priority="7578">
      <dataBar>
        <cfvo type="num" val="0"/>
        <cfvo type="num" val="1"/>
        <color theme="4" tint="0.79998168889431442"/>
      </dataBar>
      <extLst>
        <ext xmlns:x14="http://schemas.microsoft.com/office/spreadsheetml/2009/9/main" uri="{B025F937-C7B1-47D3-B67F-A62EFF666E3E}">
          <x14:id>{028DAEF0-C9E7-48A3-A902-D34D0E90A185}</x14:id>
        </ext>
      </extLst>
    </cfRule>
    <cfRule type="iconSet" priority="7577">
      <iconSet iconSet="3Arrows">
        <cfvo type="percent" val="0"/>
        <cfvo type="num" val="0.7"/>
        <cfvo type="num" val="1"/>
      </iconSet>
    </cfRule>
  </conditionalFormatting>
  <conditionalFormatting sqref="J1040 J1042 J1044">
    <cfRule type="dataBar" priority="7576">
      <dataBar>
        <cfvo type="num" val="0"/>
        <cfvo type="num" val="1"/>
        <color theme="4" tint="0.79998168889431442"/>
      </dataBar>
      <extLst>
        <ext xmlns:x14="http://schemas.microsoft.com/office/spreadsheetml/2009/9/main" uri="{B025F937-C7B1-47D3-B67F-A62EFF666E3E}">
          <x14:id>{CB869566-36A0-4E5F-B5CF-971348FE123F}</x14:id>
        </ext>
      </extLst>
    </cfRule>
    <cfRule type="iconSet" priority="7575">
      <iconSet iconSet="3Arrows">
        <cfvo type="percent" val="0"/>
        <cfvo type="num" val="0.7"/>
        <cfvo type="num" val="1"/>
      </iconSet>
    </cfRule>
  </conditionalFormatting>
  <conditionalFormatting sqref="J1046 J1048 J1050">
    <cfRule type="dataBar" priority="7574">
      <dataBar>
        <cfvo type="num" val="0"/>
        <cfvo type="num" val="1"/>
        <color theme="4" tint="0.79998168889431442"/>
      </dataBar>
      <extLst>
        <ext xmlns:x14="http://schemas.microsoft.com/office/spreadsheetml/2009/9/main" uri="{B025F937-C7B1-47D3-B67F-A62EFF666E3E}">
          <x14:id>{DDDB7181-9376-4B56-A7B6-A68D8B55FBF4}</x14:id>
        </ext>
      </extLst>
    </cfRule>
    <cfRule type="iconSet" priority="7573">
      <iconSet iconSet="3Arrows">
        <cfvo type="percent" val="0"/>
        <cfvo type="num" val="0.7"/>
        <cfvo type="num" val="1"/>
      </iconSet>
    </cfRule>
  </conditionalFormatting>
  <conditionalFormatting sqref="J1052 J1054 J1056">
    <cfRule type="dataBar" priority="7572">
      <dataBar>
        <cfvo type="num" val="0"/>
        <cfvo type="num" val="1"/>
        <color theme="4" tint="0.79998168889431442"/>
      </dataBar>
      <extLst>
        <ext xmlns:x14="http://schemas.microsoft.com/office/spreadsheetml/2009/9/main" uri="{B025F937-C7B1-47D3-B67F-A62EFF666E3E}">
          <x14:id>{86C341C4-D2D3-4DCA-BA83-42A1EA8A0ED5}</x14:id>
        </ext>
      </extLst>
    </cfRule>
    <cfRule type="iconSet" priority="7571">
      <iconSet iconSet="3Arrows">
        <cfvo type="percent" val="0"/>
        <cfvo type="num" val="0.7"/>
        <cfvo type="num" val="1"/>
      </iconSet>
    </cfRule>
  </conditionalFormatting>
  <conditionalFormatting sqref="J1058 J1060 J1062">
    <cfRule type="dataBar" priority="7570">
      <dataBar>
        <cfvo type="num" val="0"/>
        <cfvo type="num" val="1"/>
        <color theme="4" tint="0.79998168889431442"/>
      </dataBar>
      <extLst>
        <ext xmlns:x14="http://schemas.microsoft.com/office/spreadsheetml/2009/9/main" uri="{B025F937-C7B1-47D3-B67F-A62EFF666E3E}">
          <x14:id>{F29991BA-5D15-484F-B5A0-022152BEDB4D}</x14:id>
        </ext>
      </extLst>
    </cfRule>
    <cfRule type="iconSet" priority="7569">
      <iconSet iconSet="3Arrows">
        <cfvo type="percent" val="0"/>
        <cfvo type="num" val="0.7"/>
        <cfvo type="num" val="1"/>
      </iconSet>
    </cfRule>
  </conditionalFormatting>
  <conditionalFormatting sqref="J1064 J1066 J1068">
    <cfRule type="dataBar" priority="7568">
      <dataBar>
        <cfvo type="num" val="0"/>
        <cfvo type="num" val="1"/>
        <color theme="4" tint="0.79998168889431442"/>
      </dataBar>
      <extLst>
        <ext xmlns:x14="http://schemas.microsoft.com/office/spreadsheetml/2009/9/main" uri="{B025F937-C7B1-47D3-B67F-A62EFF666E3E}">
          <x14:id>{958C6C53-8FD8-4BB4-956F-674D2A5BA854}</x14:id>
        </ext>
      </extLst>
    </cfRule>
    <cfRule type="iconSet" priority="7567">
      <iconSet iconSet="3Arrows">
        <cfvo type="percent" val="0"/>
        <cfvo type="num" val="0.7"/>
        <cfvo type="num" val="1"/>
      </iconSet>
    </cfRule>
  </conditionalFormatting>
  <conditionalFormatting sqref="J1070 J1072 J1074">
    <cfRule type="dataBar" priority="7566">
      <dataBar>
        <cfvo type="num" val="0"/>
        <cfvo type="num" val="1"/>
        <color theme="4" tint="0.79998168889431442"/>
      </dataBar>
      <extLst>
        <ext xmlns:x14="http://schemas.microsoft.com/office/spreadsheetml/2009/9/main" uri="{B025F937-C7B1-47D3-B67F-A62EFF666E3E}">
          <x14:id>{D35DEDFB-03A4-4560-A608-09206F6819BD}</x14:id>
        </ext>
      </extLst>
    </cfRule>
    <cfRule type="iconSet" priority="7565">
      <iconSet iconSet="3Arrows">
        <cfvo type="percent" val="0"/>
        <cfvo type="num" val="0.7"/>
        <cfvo type="num" val="1"/>
      </iconSet>
    </cfRule>
  </conditionalFormatting>
  <conditionalFormatting sqref="J1076 J1080">
    <cfRule type="dataBar" priority="7564">
      <dataBar>
        <cfvo type="num" val="0"/>
        <cfvo type="num" val="1"/>
        <color theme="4" tint="0.79998168889431442"/>
      </dataBar>
      <extLst>
        <ext xmlns:x14="http://schemas.microsoft.com/office/spreadsheetml/2009/9/main" uri="{B025F937-C7B1-47D3-B67F-A62EFF666E3E}">
          <x14:id>{B688959B-8FFE-4801-A531-0C534AB433A1}</x14:id>
        </ext>
      </extLst>
    </cfRule>
    <cfRule type="iconSet" priority="7563">
      <iconSet iconSet="3Arrows">
        <cfvo type="percent" val="0"/>
        <cfvo type="num" val="0.7"/>
        <cfvo type="num" val="1"/>
      </iconSet>
    </cfRule>
  </conditionalFormatting>
  <conditionalFormatting sqref="J1078">
    <cfRule type="dataBar" priority="7562">
      <dataBar>
        <cfvo type="num" val="0"/>
        <cfvo type="num" val="1"/>
        <color theme="4" tint="0.79998168889431442"/>
      </dataBar>
      <extLst>
        <ext xmlns:x14="http://schemas.microsoft.com/office/spreadsheetml/2009/9/main" uri="{B025F937-C7B1-47D3-B67F-A62EFF666E3E}">
          <x14:id>{6CE09B02-74EB-4B79-A653-879BCD9C565F}</x14:id>
        </ext>
      </extLst>
    </cfRule>
    <cfRule type="iconSet" priority="7561">
      <iconSet iconSet="3Arrows">
        <cfvo type="percent" val="0"/>
        <cfvo type="num" val="0.7"/>
        <cfvo type="num" val="1"/>
      </iconSet>
    </cfRule>
  </conditionalFormatting>
  <conditionalFormatting sqref="J1082">
    <cfRule type="iconSet" priority="7559">
      <iconSet iconSet="3Arrows">
        <cfvo type="percent" val="0"/>
        <cfvo type="num" val="0.7"/>
        <cfvo type="num" val="1"/>
      </iconSet>
    </cfRule>
    <cfRule type="dataBar" priority="7560">
      <dataBar>
        <cfvo type="num" val="0"/>
        <cfvo type="num" val="1"/>
        <color theme="4" tint="0.79998168889431442"/>
      </dataBar>
      <extLst>
        <ext xmlns:x14="http://schemas.microsoft.com/office/spreadsheetml/2009/9/main" uri="{B025F937-C7B1-47D3-B67F-A62EFF666E3E}">
          <x14:id>{1372D929-418B-4E2C-BF2F-A647D46C5193}</x14:id>
        </ext>
      </extLst>
    </cfRule>
  </conditionalFormatting>
  <conditionalFormatting sqref="J1085">
    <cfRule type="iconSet" priority="7557">
      <iconSet iconSet="3Arrows">
        <cfvo type="percent" val="0"/>
        <cfvo type="num" val="0.7"/>
        <cfvo type="num" val="1"/>
      </iconSet>
    </cfRule>
    <cfRule type="dataBar" priority="7558">
      <dataBar>
        <cfvo type="num" val="0"/>
        <cfvo type="num" val="1"/>
        <color theme="4" tint="0.79998168889431442"/>
      </dataBar>
      <extLst>
        <ext xmlns:x14="http://schemas.microsoft.com/office/spreadsheetml/2009/9/main" uri="{B025F937-C7B1-47D3-B67F-A62EFF666E3E}">
          <x14:id>{699ACC42-5A32-4ED6-AA4D-2105CB958D28}</x14:id>
        </ext>
      </extLst>
    </cfRule>
  </conditionalFormatting>
  <conditionalFormatting sqref="J1087">
    <cfRule type="iconSet" priority="7555">
      <iconSet iconSet="3Arrows">
        <cfvo type="percent" val="0"/>
        <cfvo type="num" val="0.7"/>
        <cfvo type="num" val="1"/>
      </iconSet>
    </cfRule>
    <cfRule type="dataBar" priority="7556">
      <dataBar>
        <cfvo type="num" val="0"/>
        <cfvo type="num" val="1"/>
        <color theme="4" tint="0.79998168889431442"/>
      </dataBar>
      <extLst>
        <ext xmlns:x14="http://schemas.microsoft.com/office/spreadsheetml/2009/9/main" uri="{B025F937-C7B1-47D3-B67F-A62EFF666E3E}">
          <x14:id>{5E06967F-82DD-4694-A5C9-A92F90F94C40}</x14:id>
        </ext>
      </extLst>
    </cfRule>
  </conditionalFormatting>
  <conditionalFormatting sqref="J1089 J1091 J1093 J1095 J1097 J1099 J1101 J1103">
    <cfRule type="dataBar" priority="7554">
      <dataBar>
        <cfvo type="num" val="0"/>
        <cfvo type="num" val="1"/>
        <color theme="4" tint="0.79998168889431442"/>
      </dataBar>
      <extLst>
        <ext xmlns:x14="http://schemas.microsoft.com/office/spreadsheetml/2009/9/main" uri="{B025F937-C7B1-47D3-B67F-A62EFF666E3E}">
          <x14:id>{D740A43A-33D3-496F-98F0-D3172EB7A3A1}</x14:id>
        </ext>
      </extLst>
    </cfRule>
    <cfRule type="iconSet" priority="7553">
      <iconSet iconSet="3Arrows">
        <cfvo type="percent" val="0"/>
        <cfvo type="num" val="0.7"/>
        <cfvo type="num" val="1"/>
      </iconSet>
    </cfRule>
  </conditionalFormatting>
  <conditionalFormatting sqref="J1105 J1107 J1109 J1111 J1113 J1115 J1117">
    <cfRule type="dataBar" priority="7552">
      <dataBar>
        <cfvo type="num" val="0"/>
        <cfvo type="num" val="1"/>
        <color theme="4" tint="0.79998168889431442"/>
      </dataBar>
      <extLst>
        <ext xmlns:x14="http://schemas.microsoft.com/office/spreadsheetml/2009/9/main" uri="{B025F937-C7B1-47D3-B67F-A62EFF666E3E}">
          <x14:id>{C360997B-44FF-4FE4-B486-54AC5FE28037}</x14:id>
        </ext>
      </extLst>
    </cfRule>
    <cfRule type="iconSet" priority="7551">
      <iconSet iconSet="3Arrows">
        <cfvo type="percent" val="0"/>
        <cfvo type="num" val="0.7"/>
        <cfvo type="num" val="1"/>
      </iconSet>
    </cfRule>
  </conditionalFormatting>
  <conditionalFormatting sqref="J1119">
    <cfRule type="dataBar" priority="7550">
      <dataBar>
        <cfvo type="num" val="0"/>
        <cfvo type="num" val="1"/>
        <color theme="4" tint="0.79998168889431442"/>
      </dataBar>
      <extLst>
        <ext xmlns:x14="http://schemas.microsoft.com/office/spreadsheetml/2009/9/main" uri="{B025F937-C7B1-47D3-B67F-A62EFF666E3E}">
          <x14:id>{5DC4AF03-B9C5-4B4B-BA3A-6491DC52315A}</x14:id>
        </ext>
      </extLst>
    </cfRule>
    <cfRule type="iconSet" priority="7549">
      <iconSet iconSet="3Arrows">
        <cfvo type="percent" val="0"/>
        <cfvo type="num" val="0.7"/>
        <cfvo type="num" val="1"/>
      </iconSet>
    </cfRule>
  </conditionalFormatting>
  <conditionalFormatting sqref="J1121">
    <cfRule type="dataBar" priority="7548">
      <dataBar>
        <cfvo type="num" val="0"/>
        <cfvo type="num" val="1"/>
        <color theme="4" tint="0.79998168889431442"/>
      </dataBar>
      <extLst>
        <ext xmlns:x14="http://schemas.microsoft.com/office/spreadsheetml/2009/9/main" uri="{B025F937-C7B1-47D3-B67F-A62EFF666E3E}">
          <x14:id>{276E010C-8D41-493A-86C2-9005EF0F6DC8}</x14:id>
        </ext>
      </extLst>
    </cfRule>
    <cfRule type="iconSet" priority="7547">
      <iconSet iconSet="3Arrows">
        <cfvo type="percent" val="0"/>
        <cfvo type="num" val="0.7"/>
        <cfvo type="num" val="1"/>
      </iconSet>
    </cfRule>
  </conditionalFormatting>
  <conditionalFormatting sqref="J1125">
    <cfRule type="dataBar" priority="7546">
      <dataBar>
        <cfvo type="num" val="0"/>
        <cfvo type="num" val="1"/>
        <color theme="4" tint="0.79998168889431442"/>
      </dataBar>
      <extLst>
        <ext xmlns:x14="http://schemas.microsoft.com/office/spreadsheetml/2009/9/main" uri="{B025F937-C7B1-47D3-B67F-A62EFF666E3E}">
          <x14:id>{71338F94-2F42-45C2-ABE3-97F4836116E9}</x14:id>
        </ext>
      </extLst>
    </cfRule>
    <cfRule type="iconSet" priority="7545">
      <iconSet iconSet="3Arrows">
        <cfvo type="percent" val="0"/>
        <cfvo type="num" val="0.7"/>
        <cfvo type="num" val="1"/>
      </iconSet>
    </cfRule>
  </conditionalFormatting>
  <conditionalFormatting sqref="J1128">
    <cfRule type="dataBar" priority="7544">
      <dataBar>
        <cfvo type="num" val="0"/>
        <cfvo type="num" val="1"/>
        <color theme="4" tint="0.79998168889431442"/>
      </dataBar>
      <extLst>
        <ext xmlns:x14="http://schemas.microsoft.com/office/spreadsheetml/2009/9/main" uri="{B025F937-C7B1-47D3-B67F-A62EFF666E3E}">
          <x14:id>{F3DAD89D-7A14-413D-A7EC-90B095FC725F}</x14:id>
        </ext>
      </extLst>
    </cfRule>
    <cfRule type="iconSet" priority="7543">
      <iconSet iconSet="3Arrows">
        <cfvo type="percent" val="0"/>
        <cfvo type="num" val="0.7"/>
        <cfvo type="num" val="1"/>
      </iconSet>
    </cfRule>
  </conditionalFormatting>
  <conditionalFormatting sqref="J1130 J1132 J1134">
    <cfRule type="iconSet" priority="7541">
      <iconSet iconSet="3Arrows">
        <cfvo type="percent" val="0"/>
        <cfvo type="num" val="0.7"/>
        <cfvo type="num" val="1"/>
      </iconSet>
    </cfRule>
    <cfRule type="dataBar" priority="7542">
      <dataBar>
        <cfvo type="num" val="0"/>
        <cfvo type="num" val="1"/>
        <color theme="4" tint="0.79998168889431442"/>
      </dataBar>
      <extLst>
        <ext xmlns:x14="http://schemas.microsoft.com/office/spreadsheetml/2009/9/main" uri="{B025F937-C7B1-47D3-B67F-A62EFF666E3E}">
          <x14:id>{FACDF1E7-549D-4B63-813F-117A45069219}</x14:id>
        </ext>
      </extLst>
    </cfRule>
  </conditionalFormatting>
  <conditionalFormatting sqref="J1136 J1138">
    <cfRule type="dataBar" priority="7540">
      <dataBar>
        <cfvo type="num" val="0"/>
        <cfvo type="num" val="1"/>
        <color theme="4" tint="0.79998168889431442"/>
      </dataBar>
      <extLst>
        <ext xmlns:x14="http://schemas.microsoft.com/office/spreadsheetml/2009/9/main" uri="{B025F937-C7B1-47D3-B67F-A62EFF666E3E}">
          <x14:id>{9406D767-96AE-4D16-9D88-70F2ACB11DE1}</x14:id>
        </ext>
      </extLst>
    </cfRule>
    <cfRule type="iconSet" priority="7539">
      <iconSet iconSet="3Arrows">
        <cfvo type="percent" val="0"/>
        <cfvo type="num" val="0.7"/>
        <cfvo type="num" val="1"/>
      </iconSet>
    </cfRule>
  </conditionalFormatting>
  <conditionalFormatting sqref="J1140 J1142 J1144">
    <cfRule type="dataBar" priority="7538">
      <dataBar>
        <cfvo type="num" val="0"/>
        <cfvo type="num" val="1"/>
        <color theme="4" tint="0.79998168889431442"/>
      </dataBar>
      <extLst>
        <ext xmlns:x14="http://schemas.microsoft.com/office/spreadsheetml/2009/9/main" uri="{B025F937-C7B1-47D3-B67F-A62EFF666E3E}">
          <x14:id>{6CAD1410-CE0C-47CB-A69B-52FD9E9D802F}</x14:id>
        </ext>
      </extLst>
    </cfRule>
    <cfRule type="iconSet" priority="7537">
      <iconSet iconSet="3Arrows">
        <cfvo type="percent" val="0"/>
        <cfvo type="num" val="0.7"/>
        <cfvo type="num" val="1"/>
      </iconSet>
    </cfRule>
  </conditionalFormatting>
  <conditionalFormatting sqref="J1146 J1148 J1150">
    <cfRule type="dataBar" priority="7536">
      <dataBar>
        <cfvo type="num" val="0"/>
        <cfvo type="num" val="1"/>
        <color theme="4" tint="0.79998168889431442"/>
      </dataBar>
      <extLst>
        <ext xmlns:x14="http://schemas.microsoft.com/office/spreadsheetml/2009/9/main" uri="{B025F937-C7B1-47D3-B67F-A62EFF666E3E}">
          <x14:id>{F7611774-E67F-4DE3-965C-B389E20AB756}</x14:id>
        </ext>
      </extLst>
    </cfRule>
    <cfRule type="iconSet" priority="7535">
      <iconSet iconSet="3Arrows">
        <cfvo type="percent" val="0"/>
        <cfvo type="num" val="0.7"/>
        <cfvo type="num" val="1"/>
      </iconSet>
    </cfRule>
  </conditionalFormatting>
  <conditionalFormatting sqref="J1152 J1154 J1156">
    <cfRule type="dataBar" priority="7534">
      <dataBar>
        <cfvo type="num" val="0"/>
        <cfvo type="num" val="1"/>
        <color theme="4" tint="0.79998168889431442"/>
      </dataBar>
      <extLst>
        <ext xmlns:x14="http://schemas.microsoft.com/office/spreadsheetml/2009/9/main" uri="{B025F937-C7B1-47D3-B67F-A62EFF666E3E}">
          <x14:id>{2A86F0B4-14BA-44C8-A289-5421CF5FCB30}</x14:id>
        </ext>
      </extLst>
    </cfRule>
    <cfRule type="iconSet" priority="7533">
      <iconSet iconSet="3Arrows">
        <cfvo type="percent" val="0"/>
        <cfvo type="num" val="0.7"/>
        <cfvo type="num" val="1"/>
      </iconSet>
    </cfRule>
  </conditionalFormatting>
  <conditionalFormatting sqref="J1158 J1160 J1162">
    <cfRule type="dataBar" priority="7532">
      <dataBar>
        <cfvo type="num" val="0"/>
        <cfvo type="num" val="1"/>
        <color theme="4" tint="0.79998168889431442"/>
      </dataBar>
      <extLst>
        <ext xmlns:x14="http://schemas.microsoft.com/office/spreadsheetml/2009/9/main" uri="{B025F937-C7B1-47D3-B67F-A62EFF666E3E}">
          <x14:id>{70451C90-5454-404C-800C-13DC53770C72}</x14:id>
        </ext>
      </extLst>
    </cfRule>
    <cfRule type="iconSet" priority="7531">
      <iconSet iconSet="3Arrows">
        <cfvo type="percent" val="0"/>
        <cfvo type="num" val="0.7"/>
        <cfvo type="num" val="1"/>
      </iconSet>
    </cfRule>
  </conditionalFormatting>
  <conditionalFormatting sqref="J1164 J1166 J1168">
    <cfRule type="dataBar" priority="7530">
      <dataBar>
        <cfvo type="num" val="0"/>
        <cfvo type="num" val="1"/>
        <color theme="4" tint="0.79998168889431442"/>
      </dataBar>
      <extLst>
        <ext xmlns:x14="http://schemas.microsoft.com/office/spreadsheetml/2009/9/main" uri="{B025F937-C7B1-47D3-B67F-A62EFF666E3E}">
          <x14:id>{DF6AD551-FEDB-4962-9675-B2F8104E9A5B}</x14:id>
        </ext>
      </extLst>
    </cfRule>
    <cfRule type="iconSet" priority="7529">
      <iconSet iconSet="3Arrows">
        <cfvo type="percent" val="0"/>
        <cfvo type="num" val="0.7"/>
        <cfvo type="num" val="1"/>
      </iconSet>
    </cfRule>
  </conditionalFormatting>
  <conditionalFormatting sqref="J1170 J1172 J1174">
    <cfRule type="iconSet" priority="7527">
      <iconSet iconSet="3Arrows">
        <cfvo type="percent" val="0"/>
        <cfvo type="num" val="0.7"/>
        <cfvo type="num" val="1"/>
      </iconSet>
    </cfRule>
    <cfRule type="dataBar" priority="7528">
      <dataBar>
        <cfvo type="num" val="0"/>
        <cfvo type="num" val="1"/>
        <color theme="4" tint="0.79998168889431442"/>
      </dataBar>
      <extLst>
        <ext xmlns:x14="http://schemas.microsoft.com/office/spreadsheetml/2009/9/main" uri="{B025F937-C7B1-47D3-B67F-A62EFF666E3E}">
          <x14:id>{498F8CDE-8A69-4539-8FD9-E0CF58EE7462}</x14:id>
        </ext>
      </extLst>
    </cfRule>
  </conditionalFormatting>
  <conditionalFormatting sqref="J1176 J1178 J1180">
    <cfRule type="iconSet" priority="7525">
      <iconSet iconSet="3Arrows">
        <cfvo type="percent" val="0"/>
        <cfvo type="num" val="0.7"/>
        <cfvo type="num" val="1"/>
      </iconSet>
    </cfRule>
    <cfRule type="dataBar" priority="7526">
      <dataBar>
        <cfvo type="num" val="0"/>
        <cfvo type="num" val="1"/>
        <color theme="4" tint="0.79998168889431442"/>
      </dataBar>
      <extLst>
        <ext xmlns:x14="http://schemas.microsoft.com/office/spreadsheetml/2009/9/main" uri="{B025F937-C7B1-47D3-B67F-A62EFF666E3E}">
          <x14:id>{B66FA4E3-9067-476D-A09E-D1D43C4EC35D}</x14:id>
        </ext>
      </extLst>
    </cfRule>
  </conditionalFormatting>
  <conditionalFormatting sqref="J1182 J1184 J1186">
    <cfRule type="dataBar" priority="7524">
      <dataBar>
        <cfvo type="num" val="0"/>
        <cfvo type="num" val="1"/>
        <color theme="4" tint="0.79998168889431442"/>
      </dataBar>
      <extLst>
        <ext xmlns:x14="http://schemas.microsoft.com/office/spreadsheetml/2009/9/main" uri="{B025F937-C7B1-47D3-B67F-A62EFF666E3E}">
          <x14:id>{EB0A1F51-31BF-48B1-BCF1-BC7B41B06325}</x14:id>
        </ext>
      </extLst>
    </cfRule>
    <cfRule type="iconSet" priority="7523">
      <iconSet iconSet="3Arrows">
        <cfvo type="percent" val="0"/>
        <cfvo type="num" val="0.7"/>
        <cfvo type="num" val="1"/>
      </iconSet>
    </cfRule>
  </conditionalFormatting>
  <conditionalFormatting sqref="J1188 J1190 J1192">
    <cfRule type="dataBar" priority="7522">
      <dataBar>
        <cfvo type="num" val="0"/>
        <cfvo type="num" val="1"/>
        <color theme="4" tint="0.79998168889431442"/>
      </dataBar>
      <extLst>
        <ext xmlns:x14="http://schemas.microsoft.com/office/spreadsheetml/2009/9/main" uri="{B025F937-C7B1-47D3-B67F-A62EFF666E3E}">
          <x14:id>{62BA4527-9D25-47AC-AE8C-A8CF8783C175}</x14:id>
        </ext>
      </extLst>
    </cfRule>
    <cfRule type="iconSet" priority="7521">
      <iconSet iconSet="3Arrows">
        <cfvo type="percent" val="0"/>
        <cfvo type="num" val="0.7"/>
        <cfvo type="num" val="1"/>
      </iconSet>
    </cfRule>
  </conditionalFormatting>
  <conditionalFormatting sqref="J1194 J1196">
    <cfRule type="dataBar" priority="7520">
      <dataBar>
        <cfvo type="num" val="0"/>
        <cfvo type="num" val="1"/>
        <color theme="4" tint="0.79998168889431442"/>
      </dataBar>
      <extLst>
        <ext xmlns:x14="http://schemas.microsoft.com/office/spreadsheetml/2009/9/main" uri="{B025F937-C7B1-47D3-B67F-A62EFF666E3E}">
          <x14:id>{2C50B7FD-AEDC-43C1-83C1-141A2BFA6819}</x14:id>
        </ext>
      </extLst>
    </cfRule>
    <cfRule type="iconSet" priority="7519">
      <iconSet iconSet="3Arrows">
        <cfvo type="percent" val="0"/>
        <cfvo type="num" val="0.7"/>
        <cfvo type="num" val="1"/>
      </iconSet>
    </cfRule>
  </conditionalFormatting>
  <conditionalFormatting sqref="J1199">
    <cfRule type="dataBar" priority="7518">
      <dataBar>
        <cfvo type="num" val="0"/>
        <cfvo type="num" val="1"/>
        <color theme="4" tint="0.79998168889431442"/>
      </dataBar>
      <extLst>
        <ext xmlns:x14="http://schemas.microsoft.com/office/spreadsheetml/2009/9/main" uri="{B025F937-C7B1-47D3-B67F-A62EFF666E3E}">
          <x14:id>{6E02E5C6-FDB3-4244-90E6-918BC9C3D1F6}</x14:id>
        </ext>
      </extLst>
    </cfRule>
    <cfRule type="iconSet" priority="7517">
      <iconSet iconSet="3Arrows">
        <cfvo type="percent" val="0"/>
        <cfvo type="num" val="0.7"/>
        <cfvo type="num" val="1"/>
      </iconSet>
    </cfRule>
  </conditionalFormatting>
  <conditionalFormatting sqref="J1201">
    <cfRule type="dataBar" priority="7516">
      <dataBar>
        <cfvo type="num" val="0"/>
        <cfvo type="num" val="1"/>
        <color theme="4" tint="0.79998168889431442"/>
      </dataBar>
      <extLst>
        <ext xmlns:x14="http://schemas.microsoft.com/office/spreadsheetml/2009/9/main" uri="{B025F937-C7B1-47D3-B67F-A62EFF666E3E}">
          <x14:id>{D0D8C1CB-C19F-4D30-BDE7-DE48B6FC3365}</x14:id>
        </ext>
      </extLst>
    </cfRule>
    <cfRule type="iconSet" priority="7515">
      <iconSet iconSet="3Arrows">
        <cfvo type="percent" val="0"/>
        <cfvo type="num" val="0.7"/>
        <cfvo type="num" val="1"/>
      </iconSet>
    </cfRule>
  </conditionalFormatting>
  <conditionalFormatting sqref="J1203 J1205 J1207 J1209 J1211 J1213">
    <cfRule type="dataBar" priority="7514">
      <dataBar>
        <cfvo type="num" val="0"/>
        <cfvo type="num" val="1"/>
        <color theme="4" tint="0.79998168889431442"/>
      </dataBar>
      <extLst>
        <ext xmlns:x14="http://schemas.microsoft.com/office/spreadsheetml/2009/9/main" uri="{B025F937-C7B1-47D3-B67F-A62EFF666E3E}">
          <x14:id>{3F20E730-0BA3-4AD9-A5C6-07E4C6486BC2}</x14:id>
        </ext>
      </extLst>
    </cfRule>
    <cfRule type="iconSet" priority="7513">
      <iconSet iconSet="3Arrows">
        <cfvo type="percent" val="0"/>
        <cfvo type="num" val="0.7"/>
        <cfvo type="num" val="1"/>
      </iconSet>
    </cfRule>
  </conditionalFormatting>
  <conditionalFormatting sqref="J1215 J1217 J1219 J1221 J1223 J1225">
    <cfRule type="dataBar" priority="7512">
      <dataBar>
        <cfvo type="num" val="0"/>
        <cfvo type="num" val="1"/>
        <color theme="4" tint="0.79998168889431442"/>
      </dataBar>
      <extLst>
        <ext xmlns:x14="http://schemas.microsoft.com/office/spreadsheetml/2009/9/main" uri="{B025F937-C7B1-47D3-B67F-A62EFF666E3E}">
          <x14:id>{7A6D355C-9DC1-4267-9010-0F65B4CF3F2B}</x14:id>
        </ext>
      </extLst>
    </cfRule>
    <cfRule type="iconSet" priority="7511">
      <iconSet iconSet="3Arrows">
        <cfvo type="percent" val="0"/>
        <cfvo type="num" val="0.7"/>
        <cfvo type="num" val="1"/>
      </iconSet>
    </cfRule>
  </conditionalFormatting>
  <conditionalFormatting sqref="J1227">
    <cfRule type="dataBar" priority="7510">
      <dataBar>
        <cfvo type="num" val="0"/>
        <cfvo type="num" val="1"/>
        <color theme="4" tint="0.79998168889431442"/>
      </dataBar>
      <extLst>
        <ext xmlns:x14="http://schemas.microsoft.com/office/spreadsheetml/2009/9/main" uri="{B025F937-C7B1-47D3-B67F-A62EFF666E3E}">
          <x14:id>{65818297-1032-4D10-8FBA-B78FA8E87610}</x14:id>
        </ext>
      </extLst>
    </cfRule>
    <cfRule type="iconSet" priority="7509">
      <iconSet iconSet="3Arrows">
        <cfvo type="percent" val="0"/>
        <cfvo type="num" val="0.7"/>
        <cfvo type="num" val="1"/>
      </iconSet>
    </cfRule>
  </conditionalFormatting>
  <conditionalFormatting sqref="J1229 J1231 J1233 J1235 J1237 J1239">
    <cfRule type="dataBar" priority="7508">
      <dataBar>
        <cfvo type="num" val="0"/>
        <cfvo type="num" val="1"/>
        <color theme="4" tint="0.79998168889431442"/>
      </dataBar>
      <extLst>
        <ext xmlns:x14="http://schemas.microsoft.com/office/spreadsheetml/2009/9/main" uri="{B025F937-C7B1-47D3-B67F-A62EFF666E3E}">
          <x14:id>{55D7171D-F466-446E-8B48-6C93901EC8E5}</x14:id>
        </ext>
      </extLst>
    </cfRule>
    <cfRule type="iconSet" priority="7507">
      <iconSet iconSet="3Arrows">
        <cfvo type="percent" val="0"/>
        <cfvo type="num" val="0.7"/>
        <cfvo type="num" val="1"/>
      </iconSet>
    </cfRule>
  </conditionalFormatting>
  <conditionalFormatting sqref="J1241 J1243 J1245 J1247 J1249 J1251">
    <cfRule type="dataBar" priority="7506">
      <dataBar>
        <cfvo type="num" val="0"/>
        <cfvo type="num" val="1"/>
        <color theme="4" tint="0.79998168889431442"/>
      </dataBar>
      <extLst>
        <ext xmlns:x14="http://schemas.microsoft.com/office/spreadsheetml/2009/9/main" uri="{B025F937-C7B1-47D3-B67F-A62EFF666E3E}">
          <x14:id>{9935D594-5C37-45D0-98BD-32D33B9BEE89}</x14:id>
        </ext>
      </extLst>
    </cfRule>
    <cfRule type="iconSet" priority="7505">
      <iconSet iconSet="3Arrows">
        <cfvo type="percent" val="0"/>
        <cfvo type="num" val="0.7"/>
        <cfvo type="num" val="1"/>
      </iconSet>
    </cfRule>
  </conditionalFormatting>
  <conditionalFormatting sqref="J1253">
    <cfRule type="dataBar" priority="7504">
      <dataBar>
        <cfvo type="num" val="0"/>
        <cfvo type="num" val="1"/>
        <color theme="4" tint="0.79998168889431442"/>
      </dataBar>
      <extLst>
        <ext xmlns:x14="http://schemas.microsoft.com/office/spreadsheetml/2009/9/main" uri="{B025F937-C7B1-47D3-B67F-A62EFF666E3E}">
          <x14:id>{BB78FF37-D0BE-4B04-B3F0-B73CE4A46A8E}</x14:id>
        </ext>
      </extLst>
    </cfRule>
    <cfRule type="iconSet" priority="7503">
      <iconSet iconSet="3Arrows">
        <cfvo type="percent" val="0"/>
        <cfvo type="num" val="0.7"/>
        <cfvo type="num" val="1"/>
      </iconSet>
    </cfRule>
  </conditionalFormatting>
  <conditionalFormatting sqref="J1255 J1257 J1259 J1261 J1263 J1265">
    <cfRule type="dataBar" priority="7502">
      <dataBar>
        <cfvo type="num" val="0"/>
        <cfvo type="num" val="1"/>
        <color theme="4" tint="0.79998168889431442"/>
      </dataBar>
      <extLst>
        <ext xmlns:x14="http://schemas.microsoft.com/office/spreadsheetml/2009/9/main" uri="{B025F937-C7B1-47D3-B67F-A62EFF666E3E}">
          <x14:id>{FBA8CF13-1C51-4090-87FB-DE62FDC6F329}</x14:id>
        </ext>
      </extLst>
    </cfRule>
    <cfRule type="iconSet" priority="7501">
      <iconSet iconSet="3Arrows">
        <cfvo type="percent" val="0"/>
        <cfvo type="num" val="0.7"/>
        <cfvo type="num" val="1"/>
      </iconSet>
    </cfRule>
  </conditionalFormatting>
  <conditionalFormatting sqref="J1267 J1269 J1271 J1273 J1275 J1277">
    <cfRule type="dataBar" priority="7500">
      <dataBar>
        <cfvo type="num" val="0"/>
        <cfvo type="num" val="1"/>
        <color theme="4" tint="0.79998168889431442"/>
      </dataBar>
      <extLst>
        <ext xmlns:x14="http://schemas.microsoft.com/office/spreadsheetml/2009/9/main" uri="{B025F937-C7B1-47D3-B67F-A62EFF666E3E}">
          <x14:id>{BACBE979-AE3F-4666-9965-457EC892E558}</x14:id>
        </ext>
      </extLst>
    </cfRule>
    <cfRule type="iconSet" priority="7499">
      <iconSet iconSet="3Arrows">
        <cfvo type="percent" val="0"/>
        <cfvo type="num" val="0.7"/>
        <cfvo type="num" val="1"/>
      </iconSet>
    </cfRule>
  </conditionalFormatting>
  <conditionalFormatting sqref="J1279">
    <cfRule type="dataBar" priority="7498">
      <dataBar>
        <cfvo type="num" val="0"/>
        <cfvo type="num" val="1"/>
        <color theme="4" tint="0.79998168889431442"/>
      </dataBar>
      <extLst>
        <ext xmlns:x14="http://schemas.microsoft.com/office/spreadsheetml/2009/9/main" uri="{B025F937-C7B1-47D3-B67F-A62EFF666E3E}">
          <x14:id>{28AFCCA4-BE25-49E0-8690-3D8D7AD4D244}</x14:id>
        </ext>
      </extLst>
    </cfRule>
    <cfRule type="iconSet" priority="7497">
      <iconSet iconSet="3Arrows">
        <cfvo type="percent" val="0"/>
        <cfvo type="num" val="0.7"/>
        <cfvo type="num" val="1"/>
      </iconSet>
    </cfRule>
  </conditionalFormatting>
  <conditionalFormatting sqref="J1281 J1283 J1285 J1287 J1289 J1291">
    <cfRule type="dataBar" priority="7496">
      <dataBar>
        <cfvo type="num" val="0"/>
        <cfvo type="num" val="1"/>
        <color theme="4" tint="0.79998168889431442"/>
      </dataBar>
      <extLst>
        <ext xmlns:x14="http://schemas.microsoft.com/office/spreadsheetml/2009/9/main" uri="{B025F937-C7B1-47D3-B67F-A62EFF666E3E}">
          <x14:id>{571EEDE2-A65B-4873-BB1C-45EDC626AF49}</x14:id>
        </ext>
      </extLst>
    </cfRule>
    <cfRule type="iconSet" priority="7495">
      <iconSet iconSet="3Arrows">
        <cfvo type="percent" val="0"/>
        <cfvo type="num" val="0.7"/>
        <cfvo type="num" val="1"/>
      </iconSet>
    </cfRule>
  </conditionalFormatting>
  <conditionalFormatting sqref="J1293 J1295 J1297 J1299 J1301 J1303">
    <cfRule type="iconSet" priority="7493">
      <iconSet iconSet="3Arrows">
        <cfvo type="percent" val="0"/>
        <cfvo type="num" val="0.7"/>
        <cfvo type="num" val="1"/>
      </iconSet>
    </cfRule>
    <cfRule type="dataBar" priority="7494">
      <dataBar>
        <cfvo type="num" val="0"/>
        <cfvo type="num" val="1"/>
        <color theme="4" tint="0.79998168889431442"/>
      </dataBar>
      <extLst>
        <ext xmlns:x14="http://schemas.microsoft.com/office/spreadsheetml/2009/9/main" uri="{B025F937-C7B1-47D3-B67F-A62EFF666E3E}">
          <x14:id>{40FC348A-CE2F-4603-A7C9-2C05A2DEE2DD}</x14:id>
        </ext>
      </extLst>
    </cfRule>
  </conditionalFormatting>
  <conditionalFormatting sqref="J1305 J1307 J1309 J1311 J1313">
    <cfRule type="iconSet" priority="7491">
      <iconSet iconSet="3Arrows">
        <cfvo type="percent" val="0"/>
        <cfvo type="num" val="0.7"/>
        <cfvo type="num" val="1"/>
      </iconSet>
    </cfRule>
    <cfRule type="dataBar" priority="7492">
      <dataBar>
        <cfvo type="num" val="0"/>
        <cfvo type="num" val="1"/>
        <color theme="4" tint="0.79998168889431442"/>
      </dataBar>
      <extLst>
        <ext xmlns:x14="http://schemas.microsoft.com/office/spreadsheetml/2009/9/main" uri="{B025F937-C7B1-47D3-B67F-A62EFF666E3E}">
          <x14:id>{4E1AB6C9-22CF-4DBE-8067-7426647CFC11}</x14:id>
        </ext>
      </extLst>
    </cfRule>
  </conditionalFormatting>
  <conditionalFormatting sqref="J1315 J1317 J1319 J1321 J1323 J1325">
    <cfRule type="dataBar" priority="7490">
      <dataBar>
        <cfvo type="num" val="0"/>
        <cfvo type="num" val="1"/>
        <color theme="4" tint="0.79998168889431442"/>
      </dataBar>
      <extLst>
        <ext xmlns:x14="http://schemas.microsoft.com/office/spreadsheetml/2009/9/main" uri="{B025F937-C7B1-47D3-B67F-A62EFF666E3E}">
          <x14:id>{1A2ECBE7-339D-4791-AE3D-EE262AE26754}</x14:id>
        </ext>
      </extLst>
    </cfRule>
    <cfRule type="iconSet" priority="7489">
      <iconSet iconSet="3Arrows">
        <cfvo type="percent" val="0"/>
        <cfvo type="num" val="0.7"/>
        <cfvo type="num" val="1"/>
      </iconSet>
    </cfRule>
  </conditionalFormatting>
  <conditionalFormatting sqref="J1327 J1329 J1331 J1333 J1335">
    <cfRule type="dataBar" priority="7488">
      <dataBar>
        <cfvo type="num" val="0"/>
        <cfvo type="num" val="1"/>
        <color theme="4" tint="0.79998168889431442"/>
      </dataBar>
      <extLst>
        <ext xmlns:x14="http://schemas.microsoft.com/office/spreadsheetml/2009/9/main" uri="{B025F937-C7B1-47D3-B67F-A62EFF666E3E}">
          <x14:id>{4B7BAAA8-844B-4A9F-B448-75FF77C5D7D6}</x14:id>
        </ext>
      </extLst>
    </cfRule>
    <cfRule type="iconSet" priority="7487">
      <iconSet iconSet="3Arrows">
        <cfvo type="percent" val="0"/>
        <cfvo type="num" val="0.7"/>
        <cfvo type="num" val="1"/>
      </iconSet>
    </cfRule>
  </conditionalFormatting>
  <conditionalFormatting sqref="J1337 J1339 J1341 J1343 J1345 J1347">
    <cfRule type="dataBar" priority="7486">
      <dataBar>
        <cfvo type="num" val="0"/>
        <cfvo type="num" val="1"/>
        <color theme="4" tint="0.79998168889431442"/>
      </dataBar>
      <extLst>
        <ext xmlns:x14="http://schemas.microsoft.com/office/spreadsheetml/2009/9/main" uri="{B025F937-C7B1-47D3-B67F-A62EFF666E3E}">
          <x14:id>{DCF7A676-C331-403B-A60E-F5BA983C1C2E}</x14:id>
        </ext>
      </extLst>
    </cfRule>
    <cfRule type="iconSet" priority="7485">
      <iconSet iconSet="3Arrows">
        <cfvo type="percent" val="0"/>
        <cfvo type="num" val="0.7"/>
        <cfvo type="num" val="1"/>
      </iconSet>
    </cfRule>
  </conditionalFormatting>
  <conditionalFormatting sqref="J1349 J1351 J1353 J1355">
    <cfRule type="dataBar" priority="7484">
      <dataBar>
        <cfvo type="num" val="0"/>
        <cfvo type="num" val="1"/>
        <color theme="4" tint="0.79998168889431442"/>
      </dataBar>
      <extLst>
        <ext xmlns:x14="http://schemas.microsoft.com/office/spreadsheetml/2009/9/main" uri="{B025F937-C7B1-47D3-B67F-A62EFF666E3E}">
          <x14:id>{34F52806-BECE-45A1-A7DA-5C63B7002C15}</x14:id>
        </ext>
      </extLst>
    </cfRule>
    <cfRule type="iconSet" priority="7483">
      <iconSet iconSet="3Arrows">
        <cfvo type="percent" val="0"/>
        <cfvo type="num" val="0.7"/>
        <cfvo type="num" val="1"/>
      </iconSet>
    </cfRule>
  </conditionalFormatting>
  <conditionalFormatting sqref="J1357">
    <cfRule type="dataBar" priority="7482">
      <dataBar>
        <cfvo type="num" val="0"/>
        <cfvo type="num" val="1"/>
        <color theme="4" tint="0.79998168889431442"/>
      </dataBar>
      <extLst>
        <ext xmlns:x14="http://schemas.microsoft.com/office/spreadsheetml/2009/9/main" uri="{B025F937-C7B1-47D3-B67F-A62EFF666E3E}">
          <x14:id>{93113462-5A58-44EF-9676-65AAE84C278E}</x14:id>
        </ext>
      </extLst>
    </cfRule>
    <cfRule type="iconSet" priority="7481">
      <iconSet iconSet="3Arrows">
        <cfvo type="percent" val="0"/>
        <cfvo type="num" val="0.7"/>
        <cfvo type="num" val="1"/>
      </iconSet>
    </cfRule>
  </conditionalFormatting>
  <conditionalFormatting sqref="J1359">
    <cfRule type="dataBar" priority="7480">
      <dataBar>
        <cfvo type="num" val="0"/>
        <cfvo type="num" val="1"/>
        <color theme="4" tint="0.79998168889431442"/>
      </dataBar>
      <extLst>
        <ext xmlns:x14="http://schemas.microsoft.com/office/spreadsheetml/2009/9/main" uri="{B025F937-C7B1-47D3-B67F-A62EFF666E3E}">
          <x14:id>{7B6358FD-ACC9-4681-8F42-78E375BD2163}</x14:id>
        </ext>
      </extLst>
    </cfRule>
    <cfRule type="iconSet" priority="7479">
      <iconSet iconSet="3Arrows">
        <cfvo type="percent" val="0"/>
        <cfvo type="num" val="0.7"/>
        <cfvo type="num" val="1"/>
      </iconSet>
    </cfRule>
  </conditionalFormatting>
  <conditionalFormatting sqref="J1362">
    <cfRule type="iconSet" priority="7477">
      <iconSet iconSet="3Arrows">
        <cfvo type="percent" val="0"/>
        <cfvo type="num" val="0.7"/>
        <cfvo type="num" val="1"/>
      </iconSet>
    </cfRule>
    <cfRule type="dataBar" priority="7478">
      <dataBar>
        <cfvo type="num" val="0"/>
        <cfvo type="num" val="1"/>
        <color theme="4" tint="0.79998168889431442"/>
      </dataBar>
      <extLst>
        <ext xmlns:x14="http://schemas.microsoft.com/office/spreadsheetml/2009/9/main" uri="{B025F937-C7B1-47D3-B67F-A62EFF666E3E}">
          <x14:id>{64261B37-7195-42B8-9A14-53B0746EAC6F}</x14:id>
        </ext>
      </extLst>
    </cfRule>
  </conditionalFormatting>
  <conditionalFormatting sqref="J1364 J1366 J1368 J1370 J1372 J1374 J1376 J1378 J1380 J1382 J1384">
    <cfRule type="dataBar" priority="7476">
      <dataBar>
        <cfvo type="num" val="0"/>
        <cfvo type="num" val="1"/>
        <color theme="4" tint="0.79998168889431442"/>
      </dataBar>
      <extLst>
        <ext xmlns:x14="http://schemas.microsoft.com/office/spreadsheetml/2009/9/main" uri="{B025F937-C7B1-47D3-B67F-A62EFF666E3E}">
          <x14:id>{A86D8B20-16EE-4B5D-B8A2-F9D414653131}</x14:id>
        </ext>
      </extLst>
    </cfRule>
    <cfRule type="iconSet" priority="7475">
      <iconSet iconSet="3Arrows">
        <cfvo type="percent" val="0"/>
        <cfvo type="num" val="0.7"/>
        <cfvo type="num" val="1"/>
      </iconSet>
    </cfRule>
  </conditionalFormatting>
  <conditionalFormatting sqref="J1386 J1388 J1390 J1392 J1394 J1396 J1398 J1400 J1402 J1404 J1406">
    <cfRule type="dataBar" priority="7474">
      <dataBar>
        <cfvo type="num" val="0"/>
        <cfvo type="num" val="1"/>
        <color theme="4" tint="0.79998168889431442"/>
      </dataBar>
      <extLst>
        <ext xmlns:x14="http://schemas.microsoft.com/office/spreadsheetml/2009/9/main" uri="{B025F937-C7B1-47D3-B67F-A62EFF666E3E}">
          <x14:id>{9C0D92F6-445E-4AD0-8ACF-0FBDACC9A724}</x14:id>
        </ext>
      </extLst>
    </cfRule>
    <cfRule type="iconSet" priority="7473">
      <iconSet iconSet="3Arrows">
        <cfvo type="percent" val="0"/>
        <cfvo type="num" val="0.7"/>
        <cfvo type="num" val="1"/>
      </iconSet>
    </cfRule>
  </conditionalFormatting>
  <conditionalFormatting sqref="J1408 J1410 J1412 J1414 J1416 J1418 J1420 J1422 J1424">
    <cfRule type="dataBar" priority="7472">
      <dataBar>
        <cfvo type="num" val="0"/>
        <cfvo type="num" val="1"/>
        <color theme="4" tint="0.79998168889431442"/>
      </dataBar>
      <extLst>
        <ext xmlns:x14="http://schemas.microsoft.com/office/spreadsheetml/2009/9/main" uri="{B025F937-C7B1-47D3-B67F-A62EFF666E3E}">
          <x14:id>{9FF2D2C1-4C7E-484D-B040-4C5D14869CB9}</x14:id>
        </ext>
      </extLst>
    </cfRule>
    <cfRule type="iconSet" priority="7471">
      <iconSet iconSet="3Arrows">
        <cfvo type="percent" val="0"/>
        <cfvo type="num" val="0.7"/>
        <cfvo type="num" val="1"/>
      </iconSet>
    </cfRule>
  </conditionalFormatting>
  <conditionalFormatting sqref="J1426 J1428 J1430 J1432 J1434 J1436">
    <cfRule type="iconSet" priority="7469">
      <iconSet iconSet="3Arrows">
        <cfvo type="percent" val="0"/>
        <cfvo type="num" val="0.7"/>
        <cfvo type="num" val="1"/>
      </iconSet>
    </cfRule>
    <cfRule type="dataBar" priority="7470">
      <dataBar>
        <cfvo type="num" val="0"/>
        <cfvo type="num" val="1"/>
        <color theme="4" tint="0.79998168889431442"/>
      </dataBar>
      <extLst>
        <ext xmlns:x14="http://schemas.microsoft.com/office/spreadsheetml/2009/9/main" uri="{B025F937-C7B1-47D3-B67F-A62EFF666E3E}">
          <x14:id>{5BACF845-CE40-4664-A42E-88849FA11ED3}</x14:id>
        </ext>
      </extLst>
    </cfRule>
  </conditionalFormatting>
  <conditionalFormatting sqref="J1442">
    <cfRule type="dataBar" priority="7468">
      <dataBar>
        <cfvo type="num" val="0"/>
        <cfvo type="num" val="1"/>
        <color theme="4" tint="0.79998168889431442"/>
      </dataBar>
      <extLst>
        <ext xmlns:x14="http://schemas.microsoft.com/office/spreadsheetml/2009/9/main" uri="{B025F937-C7B1-47D3-B67F-A62EFF666E3E}">
          <x14:id>{D0242A49-B92A-4414-9CBE-2C40A94EDA1D}</x14:id>
        </ext>
      </extLst>
    </cfRule>
    <cfRule type="iconSet" priority="7467">
      <iconSet iconSet="3Arrows">
        <cfvo type="percent" val="0"/>
        <cfvo type="num" val="0.7"/>
        <cfvo type="num" val="1"/>
      </iconSet>
    </cfRule>
  </conditionalFormatting>
  <conditionalFormatting sqref="J1445">
    <cfRule type="dataBar" priority="7466">
      <dataBar>
        <cfvo type="num" val="0"/>
        <cfvo type="num" val="1"/>
        <color theme="4" tint="0.79998168889431442"/>
      </dataBar>
      <extLst>
        <ext xmlns:x14="http://schemas.microsoft.com/office/spreadsheetml/2009/9/main" uri="{B025F937-C7B1-47D3-B67F-A62EFF666E3E}">
          <x14:id>{17411421-D12D-4EDC-A5CD-0E5CA638D70E}</x14:id>
        </ext>
      </extLst>
    </cfRule>
    <cfRule type="iconSet" priority="7465">
      <iconSet iconSet="3Arrows">
        <cfvo type="percent" val="0"/>
        <cfvo type="num" val="0.7"/>
        <cfvo type="num" val="1"/>
      </iconSet>
    </cfRule>
  </conditionalFormatting>
  <conditionalFormatting sqref="J1448">
    <cfRule type="dataBar" priority="7464">
      <dataBar>
        <cfvo type="num" val="0"/>
        <cfvo type="num" val="1"/>
        <color theme="4" tint="0.79998168889431442"/>
      </dataBar>
      <extLst>
        <ext xmlns:x14="http://schemas.microsoft.com/office/spreadsheetml/2009/9/main" uri="{B025F937-C7B1-47D3-B67F-A62EFF666E3E}">
          <x14:id>{29D56FC6-D510-4245-9F8E-D23CDB917E1D}</x14:id>
        </ext>
      </extLst>
    </cfRule>
    <cfRule type="iconSet" priority="7463">
      <iconSet iconSet="3Arrows">
        <cfvo type="percent" val="0"/>
        <cfvo type="num" val="0.7"/>
        <cfvo type="num" val="1"/>
      </iconSet>
    </cfRule>
  </conditionalFormatting>
  <conditionalFormatting sqref="J1450">
    <cfRule type="iconSet" priority="7461">
      <iconSet iconSet="3Arrows">
        <cfvo type="percent" val="0"/>
        <cfvo type="num" val="0.7"/>
        <cfvo type="num" val="1"/>
      </iconSet>
    </cfRule>
    <cfRule type="dataBar" priority="7462">
      <dataBar>
        <cfvo type="num" val="0"/>
        <cfvo type="num" val="1"/>
        <color theme="4" tint="0.79998168889431442"/>
      </dataBar>
      <extLst>
        <ext xmlns:x14="http://schemas.microsoft.com/office/spreadsheetml/2009/9/main" uri="{B025F937-C7B1-47D3-B67F-A62EFF666E3E}">
          <x14:id>{B4962E80-659B-489A-B219-25F5A2DE0A4F}</x14:id>
        </ext>
      </extLst>
    </cfRule>
  </conditionalFormatting>
  <conditionalFormatting sqref="J1452">
    <cfRule type="iconSet" priority="7459">
      <iconSet iconSet="3Arrows">
        <cfvo type="percent" val="0"/>
        <cfvo type="num" val="0.7"/>
        <cfvo type="num" val="1"/>
      </iconSet>
    </cfRule>
    <cfRule type="dataBar" priority="7460">
      <dataBar>
        <cfvo type="num" val="0"/>
        <cfvo type="num" val="1"/>
        <color theme="4" tint="0.79998168889431442"/>
      </dataBar>
      <extLst>
        <ext xmlns:x14="http://schemas.microsoft.com/office/spreadsheetml/2009/9/main" uri="{B025F937-C7B1-47D3-B67F-A62EFF666E3E}">
          <x14:id>{19A99AE5-DE1C-4573-A416-D93C36D21383}</x14:id>
        </ext>
      </extLst>
    </cfRule>
  </conditionalFormatting>
  <conditionalFormatting sqref="J1454">
    <cfRule type="dataBar" priority="7458">
      <dataBar>
        <cfvo type="num" val="0"/>
        <cfvo type="num" val="1"/>
        <color theme="4" tint="0.79998168889431442"/>
      </dataBar>
      <extLst>
        <ext xmlns:x14="http://schemas.microsoft.com/office/spreadsheetml/2009/9/main" uri="{B025F937-C7B1-47D3-B67F-A62EFF666E3E}">
          <x14:id>{A97C17B1-E6E5-4146-A519-9C028A579942}</x14:id>
        </ext>
      </extLst>
    </cfRule>
    <cfRule type="iconSet" priority="7457">
      <iconSet iconSet="3Arrows">
        <cfvo type="percent" val="0"/>
        <cfvo type="num" val="0.7"/>
        <cfvo type="num" val="1"/>
      </iconSet>
    </cfRule>
  </conditionalFormatting>
  <conditionalFormatting sqref="J1456 J1462 J1458 J1460 J1464 J1466">
    <cfRule type="dataBar" priority="7456">
      <dataBar>
        <cfvo type="num" val="0"/>
        <cfvo type="num" val="1"/>
        <color theme="4" tint="0.79998168889431442"/>
      </dataBar>
      <extLst>
        <ext xmlns:x14="http://schemas.microsoft.com/office/spreadsheetml/2009/9/main" uri="{B025F937-C7B1-47D3-B67F-A62EFF666E3E}">
          <x14:id>{A378006D-F1AD-48C7-ADB8-1D04C1D85606}</x14:id>
        </ext>
      </extLst>
    </cfRule>
    <cfRule type="iconSet" priority="7455">
      <iconSet iconSet="3Arrows">
        <cfvo type="percent" val="0"/>
        <cfvo type="num" val="0.7"/>
        <cfvo type="num" val="1"/>
      </iconSet>
    </cfRule>
  </conditionalFormatting>
  <conditionalFormatting sqref="J1468">
    <cfRule type="dataBar" priority="7454">
      <dataBar>
        <cfvo type="num" val="0"/>
        <cfvo type="num" val="1"/>
        <color theme="4" tint="0.79998168889431442"/>
      </dataBar>
      <extLst>
        <ext xmlns:x14="http://schemas.microsoft.com/office/spreadsheetml/2009/9/main" uri="{B025F937-C7B1-47D3-B67F-A62EFF666E3E}">
          <x14:id>{5A400B0E-8B54-4A87-91FC-8017702AF3B2}</x14:id>
        </ext>
      </extLst>
    </cfRule>
    <cfRule type="iconSet" priority="7453">
      <iconSet iconSet="3Arrows">
        <cfvo type="percent" val="0"/>
        <cfvo type="num" val="0.7"/>
        <cfvo type="num" val="1"/>
      </iconSet>
    </cfRule>
  </conditionalFormatting>
  <conditionalFormatting sqref="J1470 J1472 J1474 J1476 J1478 J1480 J1482">
    <cfRule type="dataBar" priority="7452">
      <dataBar>
        <cfvo type="num" val="0"/>
        <cfvo type="num" val="1"/>
        <color theme="4" tint="0.79998168889431442"/>
      </dataBar>
      <extLst>
        <ext xmlns:x14="http://schemas.microsoft.com/office/spreadsheetml/2009/9/main" uri="{B025F937-C7B1-47D3-B67F-A62EFF666E3E}">
          <x14:id>{E945B241-5251-4D44-9294-1D00416A1360}</x14:id>
        </ext>
      </extLst>
    </cfRule>
    <cfRule type="iconSet" priority="7451">
      <iconSet iconSet="3Arrows">
        <cfvo type="percent" val="0"/>
        <cfvo type="num" val="0.7"/>
        <cfvo type="num" val="1"/>
      </iconSet>
    </cfRule>
  </conditionalFormatting>
  <conditionalFormatting sqref="J1484">
    <cfRule type="dataBar" priority="7450">
      <dataBar>
        <cfvo type="num" val="0"/>
        <cfvo type="num" val="1"/>
        <color theme="4" tint="0.79998168889431442"/>
      </dataBar>
      <extLst>
        <ext xmlns:x14="http://schemas.microsoft.com/office/spreadsheetml/2009/9/main" uri="{B025F937-C7B1-47D3-B67F-A62EFF666E3E}">
          <x14:id>{FCB10318-7077-4D59-ACFD-2A0421D6CEA4}</x14:id>
        </ext>
      </extLst>
    </cfRule>
    <cfRule type="iconSet" priority="7449">
      <iconSet iconSet="3Arrows">
        <cfvo type="percent" val="0"/>
        <cfvo type="num" val="0.7"/>
        <cfvo type="num" val="1"/>
      </iconSet>
    </cfRule>
  </conditionalFormatting>
  <conditionalFormatting sqref="J1486 J1488 J1490 J1492 J1494 J1496 J1498">
    <cfRule type="dataBar" priority="7448">
      <dataBar>
        <cfvo type="num" val="0"/>
        <cfvo type="num" val="1"/>
        <color theme="4" tint="0.79998168889431442"/>
      </dataBar>
      <extLst>
        <ext xmlns:x14="http://schemas.microsoft.com/office/spreadsheetml/2009/9/main" uri="{B025F937-C7B1-47D3-B67F-A62EFF666E3E}">
          <x14:id>{46410C07-8A8F-4132-9F65-5A7E437370B6}</x14:id>
        </ext>
      </extLst>
    </cfRule>
    <cfRule type="iconSet" priority="7447">
      <iconSet iconSet="3Arrows">
        <cfvo type="percent" val="0"/>
        <cfvo type="num" val="0.7"/>
        <cfvo type="num" val="1"/>
      </iconSet>
    </cfRule>
  </conditionalFormatting>
  <conditionalFormatting sqref="J1500">
    <cfRule type="dataBar" priority="7446">
      <dataBar>
        <cfvo type="num" val="0"/>
        <cfvo type="num" val="1"/>
        <color theme="4" tint="0.79998168889431442"/>
      </dataBar>
      <extLst>
        <ext xmlns:x14="http://schemas.microsoft.com/office/spreadsheetml/2009/9/main" uri="{B025F937-C7B1-47D3-B67F-A62EFF666E3E}">
          <x14:id>{77560BA2-5A12-4098-9902-19B2B4B5EA31}</x14:id>
        </ext>
      </extLst>
    </cfRule>
    <cfRule type="iconSet" priority="7445">
      <iconSet iconSet="3Arrows">
        <cfvo type="percent" val="0"/>
        <cfvo type="num" val="0.7"/>
        <cfvo type="num" val="1"/>
      </iconSet>
    </cfRule>
  </conditionalFormatting>
  <conditionalFormatting sqref="J1502 J1504 J1506 J1508 J1510 J1512 J1514">
    <cfRule type="dataBar" priority="7444">
      <dataBar>
        <cfvo type="num" val="0"/>
        <cfvo type="num" val="1"/>
        <color theme="4" tint="0.79998168889431442"/>
      </dataBar>
      <extLst>
        <ext xmlns:x14="http://schemas.microsoft.com/office/spreadsheetml/2009/9/main" uri="{B025F937-C7B1-47D3-B67F-A62EFF666E3E}">
          <x14:id>{FBE08F6C-B764-4A62-8CDA-9BA4F8B68558}</x14:id>
        </ext>
      </extLst>
    </cfRule>
    <cfRule type="iconSet" priority="7443">
      <iconSet iconSet="3Arrows">
        <cfvo type="percent" val="0"/>
        <cfvo type="num" val="0.7"/>
        <cfvo type="num" val="1"/>
      </iconSet>
    </cfRule>
  </conditionalFormatting>
  <conditionalFormatting sqref="J1516">
    <cfRule type="dataBar" priority="7442">
      <dataBar>
        <cfvo type="num" val="0"/>
        <cfvo type="num" val="1"/>
        <color theme="4" tint="0.79998168889431442"/>
      </dataBar>
      <extLst>
        <ext xmlns:x14="http://schemas.microsoft.com/office/spreadsheetml/2009/9/main" uri="{B025F937-C7B1-47D3-B67F-A62EFF666E3E}">
          <x14:id>{62A7BF6E-E374-4F1B-8292-154E4AAF2B8E}</x14:id>
        </ext>
      </extLst>
    </cfRule>
    <cfRule type="iconSet" priority="7441">
      <iconSet iconSet="3Arrows">
        <cfvo type="percent" val="0"/>
        <cfvo type="num" val="0.7"/>
        <cfvo type="num" val="1"/>
      </iconSet>
    </cfRule>
  </conditionalFormatting>
  <conditionalFormatting sqref="J1518 J1520">
    <cfRule type="dataBar" priority="7440">
      <dataBar>
        <cfvo type="num" val="0"/>
        <cfvo type="num" val="1"/>
        <color theme="4" tint="0.79998168889431442"/>
      </dataBar>
      <extLst>
        <ext xmlns:x14="http://schemas.microsoft.com/office/spreadsheetml/2009/9/main" uri="{B025F937-C7B1-47D3-B67F-A62EFF666E3E}">
          <x14:id>{12F6A60A-9AB7-4262-8082-012851D629F4}</x14:id>
        </ext>
      </extLst>
    </cfRule>
    <cfRule type="iconSet" priority="7439">
      <iconSet iconSet="3Arrows">
        <cfvo type="percent" val="0"/>
        <cfvo type="num" val="0.7"/>
        <cfvo type="num" val="1"/>
      </iconSet>
    </cfRule>
  </conditionalFormatting>
  <conditionalFormatting sqref="J1522">
    <cfRule type="dataBar" priority="7438">
      <dataBar>
        <cfvo type="num" val="0"/>
        <cfvo type="num" val="1"/>
        <color theme="4" tint="0.79998168889431442"/>
      </dataBar>
      <extLst>
        <ext xmlns:x14="http://schemas.microsoft.com/office/spreadsheetml/2009/9/main" uri="{B025F937-C7B1-47D3-B67F-A62EFF666E3E}">
          <x14:id>{AF767A73-81F7-4FA2-9D84-EB0400521D65}</x14:id>
        </ext>
      </extLst>
    </cfRule>
    <cfRule type="iconSet" priority="7437">
      <iconSet iconSet="3Arrows">
        <cfvo type="percent" val="0"/>
        <cfvo type="num" val="0.7"/>
        <cfvo type="num" val="1"/>
      </iconSet>
    </cfRule>
  </conditionalFormatting>
  <conditionalFormatting sqref="J1524">
    <cfRule type="dataBar" priority="7436">
      <dataBar>
        <cfvo type="num" val="0"/>
        <cfvo type="num" val="1"/>
        <color theme="4" tint="0.79998168889431442"/>
      </dataBar>
      <extLst>
        <ext xmlns:x14="http://schemas.microsoft.com/office/spreadsheetml/2009/9/main" uri="{B025F937-C7B1-47D3-B67F-A62EFF666E3E}">
          <x14:id>{FB2F52DD-A0DF-4267-AEC2-EE9B0932AB84}</x14:id>
        </ext>
      </extLst>
    </cfRule>
    <cfRule type="iconSet" priority="7435">
      <iconSet iconSet="3Arrows">
        <cfvo type="percent" val="0"/>
        <cfvo type="num" val="0.7"/>
        <cfvo type="num" val="1"/>
      </iconSet>
    </cfRule>
  </conditionalFormatting>
  <conditionalFormatting sqref="J1526">
    <cfRule type="dataBar" priority="7434">
      <dataBar>
        <cfvo type="num" val="0"/>
        <cfvo type="num" val="1"/>
        <color theme="4" tint="0.79998168889431442"/>
      </dataBar>
      <extLst>
        <ext xmlns:x14="http://schemas.microsoft.com/office/spreadsheetml/2009/9/main" uri="{B025F937-C7B1-47D3-B67F-A62EFF666E3E}">
          <x14:id>{8843A66C-BA8A-4FEB-90F6-5676229DBF66}</x14:id>
        </ext>
      </extLst>
    </cfRule>
    <cfRule type="iconSet" priority="7433">
      <iconSet iconSet="3Arrows">
        <cfvo type="percent" val="0"/>
        <cfvo type="num" val="0.7"/>
        <cfvo type="num" val="1"/>
      </iconSet>
    </cfRule>
  </conditionalFormatting>
  <conditionalFormatting sqref="J1528">
    <cfRule type="dataBar" priority="7432">
      <dataBar>
        <cfvo type="num" val="0"/>
        <cfvo type="num" val="1"/>
        <color theme="4" tint="0.79998168889431442"/>
      </dataBar>
      <extLst>
        <ext xmlns:x14="http://schemas.microsoft.com/office/spreadsheetml/2009/9/main" uri="{B025F937-C7B1-47D3-B67F-A62EFF666E3E}">
          <x14:id>{F90B0EB1-C559-40D7-B874-D123BA342478}</x14:id>
        </ext>
      </extLst>
    </cfRule>
    <cfRule type="iconSet" priority="7431">
      <iconSet iconSet="3Arrows">
        <cfvo type="percent" val="0"/>
        <cfvo type="num" val="0.7"/>
        <cfvo type="num" val="1"/>
      </iconSet>
    </cfRule>
  </conditionalFormatting>
  <conditionalFormatting sqref="J1531">
    <cfRule type="dataBar" priority="7430">
      <dataBar>
        <cfvo type="num" val="0"/>
        <cfvo type="num" val="1"/>
        <color theme="4" tint="0.79998168889431442"/>
      </dataBar>
      <extLst>
        <ext xmlns:x14="http://schemas.microsoft.com/office/spreadsheetml/2009/9/main" uri="{B025F937-C7B1-47D3-B67F-A62EFF666E3E}">
          <x14:id>{59BC0F3A-29A5-4642-A067-9858F4E347C5}</x14:id>
        </ext>
      </extLst>
    </cfRule>
    <cfRule type="iconSet" priority="7429">
      <iconSet iconSet="3Arrows">
        <cfvo type="percent" val="0"/>
        <cfvo type="num" val="0.7"/>
        <cfvo type="num" val="1"/>
      </iconSet>
    </cfRule>
  </conditionalFormatting>
  <conditionalFormatting sqref="J1533">
    <cfRule type="iconSet" priority="7427">
      <iconSet iconSet="3Arrows">
        <cfvo type="percent" val="0"/>
        <cfvo type="num" val="0.7"/>
        <cfvo type="num" val="1"/>
      </iconSet>
    </cfRule>
    <cfRule type="dataBar" priority="7428">
      <dataBar>
        <cfvo type="num" val="0"/>
        <cfvo type="num" val="1"/>
        <color theme="4" tint="0.79998168889431442"/>
      </dataBar>
      <extLst>
        <ext xmlns:x14="http://schemas.microsoft.com/office/spreadsheetml/2009/9/main" uri="{B025F937-C7B1-47D3-B67F-A62EFF666E3E}">
          <x14:id>{0F476570-3930-46F7-987E-843D125E2830}</x14:id>
        </ext>
      </extLst>
    </cfRule>
  </conditionalFormatting>
  <conditionalFormatting sqref="J1535">
    <cfRule type="iconSet" priority="7425">
      <iconSet iconSet="3Arrows">
        <cfvo type="percent" val="0"/>
        <cfvo type="num" val="0.7"/>
        <cfvo type="num" val="1"/>
      </iconSet>
    </cfRule>
    <cfRule type="dataBar" priority="7426">
      <dataBar>
        <cfvo type="num" val="0"/>
        <cfvo type="num" val="1"/>
        <color theme="4" tint="0.79998168889431442"/>
      </dataBar>
      <extLst>
        <ext xmlns:x14="http://schemas.microsoft.com/office/spreadsheetml/2009/9/main" uri="{B025F937-C7B1-47D3-B67F-A62EFF666E3E}">
          <x14:id>{9CD31CAB-FE42-4832-A358-7828EC5722B9}</x14:id>
        </ext>
      </extLst>
    </cfRule>
  </conditionalFormatting>
  <conditionalFormatting sqref="J1537">
    <cfRule type="dataBar" priority="7424">
      <dataBar>
        <cfvo type="num" val="0"/>
        <cfvo type="num" val="1"/>
        <color theme="4" tint="0.79998168889431442"/>
      </dataBar>
      <extLst>
        <ext xmlns:x14="http://schemas.microsoft.com/office/spreadsheetml/2009/9/main" uri="{B025F937-C7B1-47D3-B67F-A62EFF666E3E}">
          <x14:id>{4C46D369-5A8B-4111-BC6B-C1063EDD539F}</x14:id>
        </ext>
      </extLst>
    </cfRule>
    <cfRule type="iconSet" priority="7423">
      <iconSet iconSet="3Arrows">
        <cfvo type="percent" val="0"/>
        <cfvo type="num" val="0.7"/>
        <cfvo type="num" val="1"/>
      </iconSet>
    </cfRule>
  </conditionalFormatting>
  <conditionalFormatting sqref="J1539">
    <cfRule type="dataBar" priority="7422">
      <dataBar>
        <cfvo type="num" val="0"/>
        <cfvo type="num" val="1"/>
        <color theme="4" tint="0.79998168889431442"/>
      </dataBar>
      <extLst>
        <ext xmlns:x14="http://schemas.microsoft.com/office/spreadsheetml/2009/9/main" uri="{B025F937-C7B1-47D3-B67F-A62EFF666E3E}">
          <x14:id>{6D928053-071C-4E0F-9CBF-0B6BDEFA9026}</x14:id>
        </ext>
      </extLst>
    </cfRule>
    <cfRule type="iconSet" priority="7421">
      <iconSet iconSet="3Arrows">
        <cfvo type="percent" val="0"/>
        <cfvo type="num" val="0.7"/>
        <cfvo type="num" val="1"/>
      </iconSet>
    </cfRule>
  </conditionalFormatting>
  <conditionalFormatting sqref="J1541">
    <cfRule type="dataBar" priority="7420">
      <dataBar>
        <cfvo type="num" val="0"/>
        <cfvo type="num" val="1"/>
        <color theme="4" tint="0.79998168889431442"/>
      </dataBar>
      <extLst>
        <ext xmlns:x14="http://schemas.microsoft.com/office/spreadsheetml/2009/9/main" uri="{B025F937-C7B1-47D3-B67F-A62EFF666E3E}">
          <x14:id>{FEABC383-1076-4BC3-AEC9-6CE1CE5ABC7F}</x14:id>
        </ext>
      </extLst>
    </cfRule>
    <cfRule type="iconSet" priority="7419">
      <iconSet iconSet="3Arrows">
        <cfvo type="percent" val="0"/>
        <cfvo type="num" val="0.7"/>
        <cfvo type="num" val="1"/>
      </iconSet>
    </cfRule>
  </conditionalFormatting>
  <conditionalFormatting sqref="J1543">
    <cfRule type="dataBar" priority="7418">
      <dataBar>
        <cfvo type="num" val="0"/>
        <cfvo type="num" val="1"/>
        <color theme="4" tint="0.79998168889431442"/>
      </dataBar>
      <extLst>
        <ext xmlns:x14="http://schemas.microsoft.com/office/spreadsheetml/2009/9/main" uri="{B025F937-C7B1-47D3-B67F-A62EFF666E3E}">
          <x14:id>{10066448-F0CA-4D3C-9477-65379535EDAF}</x14:id>
        </ext>
      </extLst>
    </cfRule>
    <cfRule type="iconSet" priority="7417">
      <iconSet iconSet="3Arrows">
        <cfvo type="percent" val="0"/>
        <cfvo type="num" val="0.7"/>
        <cfvo type="num" val="1"/>
      </iconSet>
    </cfRule>
  </conditionalFormatting>
  <conditionalFormatting sqref="J1545">
    <cfRule type="dataBar" priority="7416">
      <dataBar>
        <cfvo type="num" val="0"/>
        <cfvo type="num" val="1"/>
        <color theme="4" tint="0.79998168889431442"/>
      </dataBar>
      <extLst>
        <ext xmlns:x14="http://schemas.microsoft.com/office/spreadsheetml/2009/9/main" uri="{B025F937-C7B1-47D3-B67F-A62EFF666E3E}">
          <x14:id>{EC70E6BA-D4D9-4EDE-B5FB-3B4F4B1011F5}</x14:id>
        </ext>
      </extLst>
    </cfRule>
    <cfRule type="iconSet" priority="7415">
      <iconSet iconSet="3Arrows">
        <cfvo type="percent" val="0"/>
        <cfvo type="num" val="0.7"/>
        <cfvo type="num" val="1"/>
      </iconSet>
    </cfRule>
  </conditionalFormatting>
  <conditionalFormatting sqref="J1547">
    <cfRule type="dataBar" priority="7414">
      <dataBar>
        <cfvo type="num" val="0"/>
        <cfvo type="num" val="1"/>
        <color theme="4" tint="0.79998168889431442"/>
      </dataBar>
      <extLst>
        <ext xmlns:x14="http://schemas.microsoft.com/office/spreadsheetml/2009/9/main" uri="{B025F937-C7B1-47D3-B67F-A62EFF666E3E}">
          <x14:id>{6B1A5BA0-81C1-403E-9859-E777ACEB5A35}</x14:id>
        </ext>
      </extLst>
    </cfRule>
    <cfRule type="iconSet" priority="7413">
      <iconSet iconSet="3Arrows">
        <cfvo type="percent" val="0"/>
        <cfvo type="num" val="0.7"/>
        <cfvo type="num" val="1"/>
      </iconSet>
    </cfRule>
  </conditionalFormatting>
  <conditionalFormatting sqref="J1549">
    <cfRule type="dataBar" priority="7412">
      <dataBar>
        <cfvo type="num" val="0"/>
        <cfvo type="num" val="1"/>
        <color theme="4" tint="0.79998168889431442"/>
      </dataBar>
      <extLst>
        <ext xmlns:x14="http://schemas.microsoft.com/office/spreadsheetml/2009/9/main" uri="{B025F937-C7B1-47D3-B67F-A62EFF666E3E}">
          <x14:id>{53CBC893-6BF4-4926-8CBA-6B33D34F08B3}</x14:id>
        </ext>
      </extLst>
    </cfRule>
    <cfRule type="iconSet" priority="7411">
      <iconSet iconSet="3Arrows">
        <cfvo type="percent" val="0"/>
        <cfvo type="num" val="0.7"/>
        <cfvo type="num" val="1"/>
      </iconSet>
    </cfRule>
  </conditionalFormatting>
  <conditionalFormatting sqref="J1551">
    <cfRule type="dataBar" priority="7410">
      <dataBar>
        <cfvo type="num" val="0"/>
        <cfvo type="num" val="1"/>
        <color theme="4" tint="0.79998168889431442"/>
      </dataBar>
      <extLst>
        <ext xmlns:x14="http://schemas.microsoft.com/office/spreadsheetml/2009/9/main" uri="{B025F937-C7B1-47D3-B67F-A62EFF666E3E}">
          <x14:id>{F9A79118-FB3C-4104-A59A-00E713E846A9}</x14:id>
        </ext>
      </extLst>
    </cfRule>
    <cfRule type="iconSet" priority="7409">
      <iconSet iconSet="3Arrows">
        <cfvo type="percent" val="0"/>
        <cfvo type="num" val="0.7"/>
        <cfvo type="num" val="1"/>
      </iconSet>
    </cfRule>
  </conditionalFormatting>
  <conditionalFormatting sqref="J1553">
    <cfRule type="dataBar" priority="7408">
      <dataBar>
        <cfvo type="num" val="0"/>
        <cfvo type="num" val="1"/>
        <color theme="4" tint="0.79998168889431442"/>
      </dataBar>
      <extLst>
        <ext xmlns:x14="http://schemas.microsoft.com/office/spreadsheetml/2009/9/main" uri="{B025F937-C7B1-47D3-B67F-A62EFF666E3E}">
          <x14:id>{8C4F739E-ED3A-4BF2-8CF8-7B104F17C381}</x14:id>
        </ext>
      </extLst>
    </cfRule>
    <cfRule type="iconSet" priority="7407">
      <iconSet iconSet="3Arrows">
        <cfvo type="percent" val="0"/>
        <cfvo type="num" val="0.7"/>
        <cfvo type="num" val="1"/>
      </iconSet>
    </cfRule>
  </conditionalFormatting>
  <conditionalFormatting sqref="J1555">
    <cfRule type="dataBar" priority="7406">
      <dataBar>
        <cfvo type="num" val="0"/>
        <cfvo type="num" val="1"/>
        <color theme="4" tint="0.79998168889431442"/>
      </dataBar>
      <extLst>
        <ext xmlns:x14="http://schemas.microsoft.com/office/spreadsheetml/2009/9/main" uri="{B025F937-C7B1-47D3-B67F-A62EFF666E3E}">
          <x14:id>{0E3BAEA0-B497-4BCF-AAD7-FCD67F19697B}</x14:id>
        </ext>
      </extLst>
    </cfRule>
    <cfRule type="iconSet" priority="7405">
      <iconSet iconSet="3Arrows">
        <cfvo type="percent" val="0"/>
        <cfvo type="num" val="0.7"/>
        <cfvo type="num" val="1"/>
      </iconSet>
    </cfRule>
  </conditionalFormatting>
  <conditionalFormatting sqref="J1557">
    <cfRule type="dataBar" priority="7404">
      <dataBar>
        <cfvo type="num" val="0"/>
        <cfvo type="num" val="1"/>
        <color theme="4" tint="0.79998168889431442"/>
      </dataBar>
      <extLst>
        <ext xmlns:x14="http://schemas.microsoft.com/office/spreadsheetml/2009/9/main" uri="{B025F937-C7B1-47D3-B67F-A62EFF666E3E}">
          <x14:id>{45D383AA-625C-4EE8-AD70-638A12BC26FA}</x14:id>
        </ext>
      </extLst>
    </cfRule>
    <cfRule type="iconSet" priority="7403">
      <iconSet iconSet="3Arrows">
        <cfvo type="percent" val="0"/>
        <cfvo type="num" val="0.7"/>
        <cfvo type="num" val="1"/>
      </iconSet>
    </cfRule>
  </conditionalFormatting>
  <conditionalFormatting sqref="J1559">
    <cfRule type="dataBar" priority="7402">
      <dataBar>
        <cfvo type="num" val="0"/>
        <cfvo type="num" val="1"/>
        <color theme="4" tint="0.79998168889431442"/>
      </dataBar>
      <extLst>
        <ext xmlns:x14="http://schemas.microsoft.com/office/spreadsheetml/2009/9/main" uri="{B025F937-C7B1-47D3-B67F-A62EFF666E3E}">
          <x14:id>{3669E18A-4BD4-4BD1-8F68-CFD17DD61C62}</x14:id>
        </ext>
      </extLst>
    </cfRule>
    <cfRule type="iconSet" priority="7401">
      <iconSet iconSet="3Arrows">
        <cfvo type="percent" val="0"/>
        <cfvo type="num" val="0.7"/>
        <cfvo type="num" val="1"/>
      </iconSet>
    </cfRule>
  </conditionalFormatting>
  <conditionalFormatting sqref="J1561">
    <cfRule type="dataBar" priority="7400">
      <dataBar>
        <cfvo type="num" val="0"/>
        <cfvo type="num" val="1"/>
        <color theme="4" tint="0.79998168889431442"/>
      </dataBar>
      <extLst>
        <ext xmlns:x14="http://schemas.microsoft.com/office/spreadsheetml/2009/9/main" uri="{B025F937-C7B1-47D3-B67F-A62EFF666E3E}">
          <x14:id>{C7F0645A-CF34-4995-B018-FE094CB55792}</x14:id>
        </ext>
      </extLst>
    </cfRule>
    <cfRule type="iconSet" priority="7399">
      <iconSet iconSet="3Arrows">
        <cfvo type="percent" val="0"/>
        <cfvo type="num" val="0.7"/>
        <cfvo type="num" val="1"/>
      </iconSet>
    </cfRule>
  </conditionalFormatting>
  <conditionalFormatting sqref="J1563">
    <cfRule type="iconSet" priority="7397">
      <iconSet iconSet="3Arrows">
        <cfvo type="percent" val="0"/>
        <cfvo type="num" val="0.7"/>
        <cfvo type="num" val="1"/>
      </iconSet>
    </cfRule>
    <cfRule type="dataBar" priority="7398">
      <dataBar>
        <cfvo type="num" val="0"/>
        <cfvo type="num" val="1"/>
        <color theme="4" tint="0.79998168889431442"/>
      </dataBar>
      <extLst>
        <ext xmlns:x14="http://schemas.microsoft.com/office/spreadsheetml/2009/9/main" uri="{B025F937-C7B1-47D3-B67F-A62EFF666E3E}">
          <x14:id>{D7A3E0B7-9C47-4A60-B485-DEECBDDA55C8}</x14:id>
        </ext>
      </extLst>
    </cfRule>
  </conditionalFormatting>
  <conditionalFormatting sqref="J1565">
    <cfRule type="iconSet" priority="7395">
      <iconSet iconSet="3Arrows">
        <cfvo type="percent" val="0"/>
        <cfvo type="num" val="0.7"/>
        <cfvo type="num" val="1"/>
      </iconSet>
    </cfRule>
    <cfRule type="dataBar" priority="7396">
      <dataBar>
        <cfvo type="num" val="0"/>
        <cfvo type="num" val="1"/>
        <color theme="4" tint="0.79998168889431442"/>
      </dataBar>
      <extLst>
        <ext xmlns:x14="http://schemas.microsoft.com/office/spreadsheetml/2009/9/main" uri="{B025F937-C7B1-47D3-B67F-A62EFF666E3E}">
          <x14:id>{F24F3DB4-B5F2-425E-A026-F98DDB696376}</x14:id>
        </ext>
      </extLst>
    </cfRule>
  </conditionalFormatting>
  <conditionalFormatting sqref="J1567">
    <cfRule type="dataBar" priority="7394">
      <dataBar>
        <cfvo type="num" val="0"/>
        <cfvo type="num" val="1"/>
        <color theme="4" tint="0.79998168889431442"/>
      </dataBar>
      <extLst>
        <ext xmlns:x14="http://schemas.microsoft.com/office/spreadsheetml/2009/9/main" uri="{B025F937-C7B1-47D3-B67F-A62EFF666E3E}">
          <x14:id>{738E2281-9844-4E94-9B55-FB55302E8281}</x14:id>
        </ext>
      </extLst>
    </cfRule>
    <cfRule type="iconSet" priority="7393">
      <iconSet iconSet="3Arrows">
        <cfvo type="percent" val="0"/>
        <cfvo type="num" val="0.7"/>
        <cfvo type="num" val="1"/>
      </iconSet>
    </cfRule>
  </conditionalFormatting>
  <conditionalFormatting sqref="J1569">
    <cfRule type="dataBar" priority="7392">
      <dataBar>
        <cfvo type="num" val="0"/>
        <cfvo type="num" val="1"/>
        <color theme="4" tint="0.79998168889431442"/>
      </dataBar>
      <extLst>
        <ext xmlns:x14="http://schemas.microsoft.com/office/spreadsheetml/2009/9/main" uri="{B025F937-C7B1-47D3-B67F-A62EFF666E3E}">
          <x14:id>{44893086-17C9-4345-8929-4432606C2BA4}</x14:id>
        </ext>
      </extLst>
    </cfRule>
    <cfRule type="iconSet" priority="7391">
      <iconSet iconSet="3Arrows">
        <cfvo type="percent" val="0"/>
        <cfvo type="num" val="0.7"/>
        <cfvo type="num" val="1"/>
      </iconSet>
    </cfRule>
  </conditionalFormatting>
  <conditionalFormatting sqref="J1571">
    <cfRule type="dataBar" priority="7390">
      <dataBar>
        <cfvo type="num" val="0"/>
        <cfvo type="num" val="1"/>
        <color theme="4" tint="0.79998168889431442"/>
      </dataBar>
      <extLst>
        <ext xmlns:x14="http://schemas.microsoft.com/office/spreadsheetml/2009/9/main" uri="{B025F937-C7B1-47D3-B67F-A62EFF666E3E}">
          <x14:id>{588169D5-F7DC-4064-A77D-B8752371A54F}</x14:id>
        </ext>
      </extLst>
    </cfRule>
    <cfRule type="iconSet" priority="7389">
      <iconSet iconSet="3Arrows">
        <cfvo type="percent" val="0"/>
        <cfvo type="num" val="0.7"/>
        <cfvo type="num" val="1"/>
      </iconSet>
    </cfRule>
  </conditionalFormatting>
  <conditionalFormatting sqref="J1573">
    <cfRule type="dataBar" priority="7388">
      <dataBar>
        <cfvo type="num" val="0"/>
        <cfvo type="num" val="1"/>
        <color theme="4" tint="0.79998168889431442"/>
      </dataBar>
      <extLst>
        <ext xmlns:x14="http://schemas.microsoft.com/office/spreadsheetml/2009/9/main" uri="{B025F937-C7B1-47D3-B67F-A62EFF666E3E}">
          <x14:id>{0D015145-190E-4D4D-9E1D-DE78FD521858}</x14:id>
        </ext>
      </extLst>
    </cfRule>
    <cfRule type="iconSet" priority="7387">
      <iconSet iconSet="3Arrows">
        <cfvo type="percent" val="0"/>
        <cfvo type="num" val="0.7"/>
        <cfvo type="num" val="1"/>
      </iconSet>
    </cfRule>
  </conditionalFormatting>
  <conditionalFormatting sqref="J1575">
    <cfRule type="dataBar" priority="7386">
      <dataBar>
        <cfvo type="num" val="0"/>
        <cfvo type="num" val="1"/>
        <color theme="4" tint="0.79998168889431442"/>
      </dataBar>
      <extLst>
        <ext xmlns:x14="http://schemas.microsoft.com/office/spreadsheetml/2009/9/main" uri="{B025F937-C7B1-47D3-B67F-A62EFF666E3E}">
          <x14:id>{A68CEB6B-89D4-4CE9-923A-F25E886D033D}</x14:id>
        </ext>
      </extLst>
    </cfRule>
    <cfRule type="iconSet" priority="7385">
      <iconSet iconSet="3Arrows">
        <cfvo type="percent" val="0"/>
        <cfvo type="num" val="0.7"/>
        <cfvo type="num" val="1"/>
      </iconSet>
    </cfRule>
  </conditionalFormatting>
  <conditionalFormatting sqref="J1577">
    <cfRule type="dataBar" priority="7384">
      <dataBar>
        <cfvo type="num" val="0"/>
        <cfvo type="num" val="1"/>
        <color theme="4" tint="0.79998168889431442"/>
      </dataBar>
      <extLst>
        <ext xmlns:x14="http://schemas.microsoft.com/office/spreadsheetml/2009/9/main" uri="{B025F937-C7B1-47D3-B67F-A62EFF666E3E}">
          <x14:id>{2D70A184-9365-4264-AF74-4DAC28670DB6}</x14:id>
        </ext>
      </extLst>
    </cfRule>
    <cfRule type="iconSet" priority="7383">
      <iconSet iconSet="3Arrows">
        <cfvo type="percent" val="0"/>
        <cfvo type="num" val="0.7"/>
        <cfvo type="num" val="1"/>
      </iconSet>
    </cfRule>
  </conditionalFormatting>
  <conditionalFormatting sqref="J1579">
    <cfRule type="dataBar" priority="7382">
      <dataBar>
        <cfvo type="num" val="0"/>
        <cfvo type="num" val="1"/>
        <color theme="4" tint="0.79998168889431442"/>
      </dataBar>
      <extLst>
        <ext xmlns:x14="http://schemas.microsoft.com/office/spreadsheetml/2009/9/main" uri="{B025F937-C7B1-47D3-B67F-A62EFF666E3E}">
          <x14:id>{208A9B8A-49BD-423F-895C-5B5EE7217684}</x14:id>
        </ext>
      </extLst>
    </cfRule>
    <cfRule type="iconSet" priority="7381">
      <iconSet iconSet="3Arrows">
        <cfvo type="percent" val="0"/>
        <cfvo type="num" val="0.7"/>
        <cfvo type="num" val="1"/>
      </iconSet>
    </cfRule>
  </conditionalFormatting>
  <conditionalFormatting sqref="J1581">
    <cfRule type="dataBar" priority="7380">
      <dataBar>
        <cfvo type="num" val="0"/>
        <cfvo type="num" val="1"/>
        <color theme="4" tint="0.79998168889431442"/>
      </dataBar>
      <extLst>
        <ext xmlns:x14="http://schemas.microsoft.com/office/spreadsheetml/2009/9/main" uri="{B025F937-C7B1-47D3-B67F-A62EFF666E3E}">
          <x14:id>{CA2D15EA-FBB7-4BF6-B936-403642B1BAE9}</x14:id>
        </ext>
      </extLst>
    </cfRule>
    <cfRule type="iconSet" priority="7379">
      <iconSet iconSet="3Arrows">
        <cfvo type="percent" val="0"/>
        <cfvo type="num" val="0.7"/>
        <cfvo type="num" val="1"/>
      </iconSet>
    </cfRule>
  </conditionalFormatting>
  <conditionalFormatting sqref="J1583">
    <cfRule type="dataBar" priority="7378">
      <dataBar>
        <cfvo type="num" val="0"/>
        <cfvo type="num" val="1"/>
        <color theme="4" tint="0.79998168889431442"/>
      </dataBar>
      <extLst>
        <ext xmlns:x14="http://schemas.microsoft.com/office/spreadsheetml/2009/9/main" uri="{B025F937-C7B1-47D3-B67F-A62EFF666E3E}">
          <x14:id>{F80C24F3-BE75-4EA0-9E8C-9AF0CCCC7E65}</x14:id>
        </ext>
      </extLst>
    </cfRule>
    <cfRule type="iconSet" priority="7377">
      <iconSet iconSet="3Arrows">
        <cfvo type="percent" val="0"/>
        <cfvo type="num" val="0.7"/>
        <cfvo type="num" val="1"/>
      </iconSet>
    </cfRule>
  </conditionalFormatting>
  <conditionalFormatting sqref="J1585">
    <cfRule type="dataBar" priority="7376">
      <dataBar>
        <cfvo type="num" val="0"/>
        <cfvo type="num" val="1"/>
        <color theme="4" tint="0.79998168889431442"/>
      </dataBar>
      <extLst>
        <ext xmlns:x14="http://schemas.microsoft.com/office/spreadsheetml/2009/9/main" uri="{B025F937-C7B1-47D3-B67F-A62EFF666E3E}">
          <x14:id>{6FDBC806-1A57-46BF-9DEF-C0C73F9EA889}</x14:id>
        </ext>
      </extLst>
    </cfRule>
    <cfRule type="iconSet" priority="7375">
      <iconSet iconSet="3Arrows">
        <cfvo type="percent" val="0"/>
        <cfvo type="num" val="0.7"/>
        <cfvo type="num" val="1"/>
      </iconSet>
    </cfRule>
  </conditionalFormatting>
  <conditionalFormatting sqref="J1587">
    <cfRule type="dataBar" priority="7374">
      <dataBar>
        <cfvo type="num" val="0"/>
        <cfvo type="num" val="1"/>
        <color theme="4" tint="0.79998168889431442"/>
      </dataBar>
      <extLst>
        <ext xmlns:x14="http://schemas.microsoft.com/office/spreadsheetml/2009/9/main" uri="{B025F937-C7B1-47D3-B67F-A62EFF666E3E}">
          <x14:id>{74F3D7FB-5F81-438D-AF42-DCCC8D7B202D}</x14:id>
        </ext>
      </extLst>
    </cfRule>
    <cfRule type="iconSet" priority="7373">
      <iconSet iconSet="3Arrows">
        <cfvo type="percent" val="0"/>
        <cfvo type="num" val="0.7"/>
        <cfvo type="num" val="1"/>
      </iconSet>
    </cfRule>
  </conditionalFormatting>
  <conditionalFormatting sqref="J1589">
    <cfRule type="dataBar" priority="7372">
      <dataBar>
        <cfvo type="num" val="0"/>
        <cfvo type="num" val="1"/>
        <color theme="4" tint="0.79998168889431442"/>
      </dataBar>
      <extLst>
        <ext xmlns:x14="http://schemas.microsoft.com/office/spreadsheetml/2009/9/main" uri="{B025F937-C7B1-47D3-B67F-A62EFF666E3E}">
          <x14:id>{B9980A72-D13E-43A6-BFAA-FE14A03A1DCA}</x14:id>
        </ext>
      </extLst>
    </cfRule>
    <cfRule type="iconSet" priority="7371">
      <iconSet iconSet="3Arrows">
        <cfvo type="percent" val="0"/>
        <cfvo type="num" val="0.7"/>
        <cfvo type="num" val="1"/>
      </iconSet>
    </cfRule>
  </conditionalFormatting>
  <conditionalFormatting sqref="J1591">
    <cfRule type="dataBar" priority="7370">
      <dataBar>
        <cfvo type="num" val="0"/>
        <cfvo type="num" val="1"/>
        <color theme="4" tint="0.79998168889431442"/>
      </dataBar>
      <extLst>
        <ext xmlns:x14="http://schemas.microsoft.com/office/spreadsheetml/2009/9/main" uri="{B025F937-C7B1-47D3-B67F-A62EFF666E3E}">
          <x14:id>{4AEEE479-BA8C-454A-BB08-EF615B6ACCB7}</x14:id>
        </ext>
      </extLst>
    </cfRule>
    <cfRule type="iconSet" priority="7369">
      <iconSet iconSet="3Arrows">
        <cfvo type="percent" val="0"/>
        <cfvo type="num" val="0.7"/>
        <cfvo type="num" val="1"/>
      </iconSet>
    </cfRule>
  </conditionalFormatting>
  <conditionalFormatting sqref="J1593">
    <cfRule type="dataBar" priority="7368">
      <dataBar>
        <cfvo type="num" val="0"/>
        <cfvo type="num" val="1"/>
        <color theme="4" tint="0.79998168889431442"/>
      </dataBar>
      <extLst>
        <ext xmlns:x14="http://schemas.microsoft.com/office/spreadsheetml/2009/9/main" uri="{B025F937-C7B1-47D3-B67F-A62EFF666E3E}">
          <x14:id>{1D8E092B-2B1D-40EF-8453-73B2A2D653D8}</x14:id>
        </ext>
      </extLst>
    </cfRule>
    <cfRule type="iconSet" priority="7367">
      <iconSet iconSet="3Arrows">
        <cfvo type="percent" val="0"/>
        <cfvo type="num" val="0.7"/>
        <cfvo type="num" val="1"/>
      </iconSet>
    </cfRule>
  </conditionalFormatting>
  <conditionalFormatting sqref="J1595">
    <cfRule type="dataBar" priority="7366">
      <dataBar>
        <cfvo type="num" val="0"/>
        <cfvo type="num" val="1"/>
        <color theme="4" tint="0.79998168889431442"/>
      </dataBar>
      <extLst>
        <ext xmlns:x14="http://schemas.microsoft.com/office/spreadsheetml/2009/9/main" uri="{B025F937-C7B1-47D3-B67F-A62EFF666E3E}">
          <x14:id>{3E42921F-9442-4A97-9150-E4D477B291F0}</x14:id>
        </ext>
      </extLst>
    </cfRule>
    <cfRule type="iconSet" priority="7365">
      <iconSet iconSet="3Arrows">
        <cfvo type="percent" val="0"/>
        <cfvo type="num" val="0.7"/>
        <cfvo type="num" val="1"/>
      </iconSet>
    </cfRule>
  </conditionalFormatting>
  <conditionalFormatting sqref="J1597">
    <cfRule type="iconSet" priority="7363">
      <iconSet iconSet="3Arrows">
        <cfvo type="percent" val="0"/>
        <cfvo type="num" val="0.7"/>
        <cfvo type="num" val="1"/>
      </iconSet>
    </cfRule>
    <cfRule type="dataBar" priority="7364">
      <dataBar>
        <cfvo type="num" val="0"/>
        <cfvo type="num" val="1"/>
        <color theme="4" tint="0.79998168889431442"/>
      </dataBar>
      <extLst>
        <ext xmlns:x14="http://schemas.microsoft.com/office/spreadsheetml/2009/9/main" uri="{B025F937-C7B1-47D3-B67F-A62EFF666E3E}">
          <x14:id>{BF5A493B-D4DF-44DA-AD35-CD84EAAE13B1}</x14:id>
        </ext>
      </extLst>
    </cfRule>
  </conditionalFormatting>
  <conditionalFormatting sqref="J1599">
    <cfRule type="iconSet" priority="7361">
      <iconSet iconSet="3Arrows">
        <cfvo type="percent" val="0"/>
        <cfvo type="num" val="0.7"/>
        <cfvo type="num" val="1"/>
      </iconSet>
    </cfRule>
    <cfRule type="dataBar" priority="7362">
      <dataBar>
        <cfvo type="num" val="0"/>
        <cfvo type="num" val="1"/>
        <color theme="4" tint="0.79998168889431442"/>
      </dataBar>
      <extLst>
        <ext xmlns:x14="http://schemas.microsoft.com/office/spreadsheetml/2009/9/main" uri="{B025F937-C7B1-47D3-B67F-A62EFF666E3E}">
          <x14:id>{EBAD9497-75AF-473B-BEAE-513A746933D4}</x14:id>
        </ext>
      </extLst>
    </cfRule>
  </conditionalFormatting>
  <conditionalFormatting sqref="J1601">
    <cfRule type="dataBar" priority="7360">
      <dataBar>
        <cfvo type="num" val="0"/>
        <cfvo type="num" val="1"/>
        <color theme="4" tint="0.79998168889431442"/>
      </dataBar>
      <extLst>
        <ext xmlns:x14="http://schemas.microsoft.com/office/spreadsheetml/2009/9/main" uri="{B025F937-C7B1-47D3-B67F-A62EFF666E3E}">
          <x14:id>{7EE0B243-D375-4169-9831-57628F20E9A3}</x14:id>
        </ext>
      </extLst>
    </cfRule>
    <cfRule type="iconSet" priority="7359">
      <iconSet iconSet="3Arrows">
        <cfvo type="percent" val="0"/>
        <cfvo type="num" val="0.7"/>
        <cfvo type="num" val="1"/>
      </iconSet>
    </cfRule>
  </conditionalFormatting>
  <conditionalFormatting sqref="J1603">
    <cfRule type="dataBar" priority="7358">
      <dataBar>
        <cfvo type="num" val="0"/>
        <cfvo type="num" val="1"/>
        <color theme="4" tint="0.79998168889431442"/>
      </dataBar>
      <extLst>
        <ext xmlns:x14="http://schemas.microsoft.com/office/spreadsheetml/2009/9/main" uri="{B025F937-C7B1-47D3-B67F-A62EFF666E3E}">
          <x14:id>{45A91538-E884-4CE1-B545-80CE09F2861F}</x14:id>
        </ext>
      </extLst>
    </cfRule>
    <cfRule type="iconSet" priority="7357">
      <iconSet iconSet="3Arrows">
        <cfvo type="percent" val="0"/>
        <cfvo type="num" val="0.7"/>
        <cfvo type="num" val="1"/>
      </iconSet>
    </cfRule>
  </conditionalFormatting>
  <conditionalFormatting sqref="J1605">
    <cfRule type="dataBar" priority="7356">
      <dataBar>
        <cfvo type="num" val="0"/>
        <cfvo type="num" val="1"/>
        <color theme="4" tint="0.79998168889431442"/>
      </dataBar>
      <extLst>
        <ext xmlns:x14="http://schemas.microsoft.com/office/spreadsheetml/2009/9/main" uri="{B025F937-C7B1-47D3-B67F-A62EFF666E3E}">
          <x14:id>{C8D65686-6963-4C34-9681-CD26B7FC3F6A}</x14:id>
        </ext>
      </extLst>
    </cfRule>
    <cfRule type="iconSet" priority="7355">
      <iconSet iconSet="3Arrows">
        <cfvo type="percent" val="0"/>
        <cfvo type="num" val="0.7"/>
        <cfvo type="num" val="1"/>
      </iconSet>
    </cfRule>
  </conditionalFormatting>
  <conditionalFormatting sqref="J1607">
    <cfRule type="dataBar" priority="7354">
      <dataBar>
        <cfvo type="num" val="0"/>
        <cfvo type="num" val="1"/>
        <color theme="4" tint="0.79998168889431442"/>
      </dataBar>
      <extLst>
        <ext xmlns:x14="http://schemas.microsoft.com/office/spreadsheetml/2009/9/main" uri="{B025F937-C7B1-47D3-B67F-A62EFF666E3E}">
          <x14:id>{E9EFCA5A-C076-445D-81FF-2839511697F3}</x14:id>
        </ext>
      </extLst>
    </cfRule>
    <cfRule type="iconSet" priority="7353">
      <iconSet iconSet="3Arrows">
        <cfvo type="percent" val="0"/>
        <cfvo type="num" val="0.7"/>
        <cfvo type="num" val="1"/>
      </iconSet>
    </cfRule>
  </conditionalFormatting>
  <conditionalFormatting sqref="J1609">
    <cfRule type="dataBar" priority="7352">
      <dataBar>
        <cfvo type="num" val="0"/>
        <cfvo type="num" val="1"/>
        <color theme="4" tint="0.79998168889431442"/>
      </dataBar>
      <extLst>
        <ext xmlns:x14="http://schemas.microsoft.com/office/spreadsheetml/2009/9/main" uri="{B025F937-C7B1-47D3-B67F-A62EFF666E3E}">
          <x14:id>{D31610D0-05E4-4A1A-A221-5102AC8604FD}</x14:id>
        </ext>
      </extLst>
    </cfRule>
    <cfRule type="iconSet" priority="7351">
      <iconSet iconSet="3Arrows">
        <cfvo type="percent" val="0"/>
        <cfvo type="num" val="0.7"/>
        <cfvo type="num" val="1"/>
      </iconSet>
    </cfRule>
  </conditionalFormatting>
  <conditionalFormatting sqref="J1611">
    <cfRule type="dataBar" priority="7350">
      <dataBar>
        <cfvo type="num" val="0"/>
        <cfvo type="num" val="1"/>
        <color theme="4" tint="0.79998168889431442"/>
      </dataBar>
      <extLst>
        <ext xmlns:x14="http://schemas.microsoft.com/office/spreadsheetml/2009/9/main" uri="{B025F937-C7B1-47D3-B67F-A62EFF666E3E}">
          <x14:id>{A1A84129-3E4E-4358-BC8B-3422A1DEAC3C}</x14:id>
        </ext>
      </extLst>
    </cfRule>
    <cfRule type="iconSet" priority="7349">
      <iconSet iconSet="3Arrows">
        <cfvo type="percent" val="0"/>
        <cfvo type="num" val="0.7"/>
        <cfvo type="num" val="1"/>
      </iconSet>
    </cfRule>
  </conditionalFormatting>
  <conditionalFormatting sqref="J1613">
    <cfRule type="dataBar" priority="7348">
      <dataBar>
        <cfvo type="num" val="0"/>
        <cfvo type="num" val="1"/>
        <color theme="4" tint="0.79998168889431442"/>
      </dataBar>
      <extLst>
        <ext xmlns:x14="http://schemas.microsoft.com/office/spreadsheetml/2009/9/main" uri="{B025F937-C7B1-47D3-B67F-A62EFF666E3E}">
          <x14:id>{85A2C145-0E2E-47D5-BC3F-44DA98C33655}</x14:id>
        </ext>
      </extLst>
    </cfRule>
    <cfRule type="iconSet" priority="7347">
      <iconSet iconSet="3Arrows">
        <cfvo type="percent" val="0"/>
        <cfvo type="num" val="0.7"/>
        <cfvo type="num" val="1"/>
      </iconSet>
    </cfRule>
  </conditionalFormatting>
  <conditionalFormatting sqref="J1617">
    <cfRule type="dataBar" priority="7346">
      <dataBar>
        <cfvo type="num" val="0"/>
        <cfvo type="num" val="1"/>
        <color theme="4" tint="0.79998168889431442"/>
      </dataBar>
      <extLst>
        <ext xmlns:x14="http://schemas.microsoft.com/office/spreadsheetml/2009/9/main" uri="{B025F937-C7B1-47D3-B67F-A62EFF666E3E}">
          <x14:id>{93A0EBB1-9044-4FAD-9A89-19250EB522AC}</x14:id>
        </ext>
      </extLst>
    </cfRule>
    <cfRule type="iconSet" priority="7345">
      <iconSet iconSet="3Arrows">
        <cfvo type="percent" val="0"/>
        <cfvo type="num" val="0.7"/>
        <cfvo type="num" val="1"/>
      </iconSet>
    </cfRule>
  </conditionalFormatting>
  <conditionalFormatting sqref="J1619">
    <cfRule type="dataBar" priority="7344">
      <dataBar>
        <cfvo type="num" val="0"/>
        <cfvo type="num" val="1"/>
        <color theme="4" tint="0.79998168889431442"/>
      </dataBar>
      <extLst>
        <ext xmlns:x14="http://schemas.microsoft.com/office/spreadsheetml/2009/9/main" uri="{B025F937-C7B1-47D3-B67F-A62EFF666E3E}">
          <x14:id>{91490C32-2E0C-4865-98F6-4D39F4228E0C}</x14:id>
        </ext>
      </extLst>
    </cfRule>
    <cfRule type="iconSet" priority="7343">
      <iconSet iconSet="3Arrows">
        <cfvo type="percent" val="0"/>
        <cfvo type="num" val="0.7"/>
        <cfvo type="num" val="1"/>
      </iconSet>
    </cfRule>
  </conditionalFormatting>
  <conditionalFormatting sqref="J1621 J1623 J1625">
    <cfRule type="dataBar" priority="7342">
      <dataBar>
        <cfvo type="num" val="0"/>
        <cfvo type="num" val="1"/>
        <color theme="4" tint="0.79998168889431442"/>
      </dataBar>
      <extLst>
        <ext xmlns:x14="http://schemas.microsoft.com/office/spreadsheetml/2009/9/main" uri="{B025F937-C7B1-47D3-B67F-A62EFF666E3E}">
          <x14:id>{1C4713D3-388C-4F3B-8773-DFF64D21FC1A}</x14:id>
        </ext>
      </extLst>
    </cfRule>
    <cfRule type="iconSet" priority="7341">
      <iconSet iconSet="3Arrows">
        <cfvo type="percent" val="0"/>
        <cfvo type="num" val="0.7"/>
        <cfvo type="num" val="1"/>
      </iconSet>
    </cfRule>
  </conditionalFormatting>
  <conditionalFormatting sqref="J1627">
    <cfRule type="dataBar" priority="7340">
      <dataBar>
        <cfvo type="num" val="0"/>
        <cfvo type="num" val="1"/>
        <color theme="4" tint="0.79998168889431442"/>
      </dataBar>
      <extLst>
        <ext xmlns:x14="http://schemas.microsoft.com/office/spreadsheetml/2009/9/main" uri="{B025F937-C7B1-47D3-B67F-A62EFF666E3E}">
          <x14:id>{AD4458DE-529E-4BC5-B00F-1EDE43CE7609}</x14:id>
        </ext>
      </extLst>
    </cfRule>
    <cfRule type="iconSet" priority="7339">
      <iconSet iconSet="3Arrows">
        <cfvo type="percent" val="0"/>
        <cfvo type="num" val="0.7"/>
        <cfvo type="num" val="1"/>
      </iconSet>
    </cfRule>
  </conditionalFormatting>
  <conditionalFormatting sqref="J1630">
    <cfRule type="dataBar" priority="7338">
      <dataBar>
        <cfvo type="num" val="0"/>
        <cfvo type="num" val="1"/>
        <color theme="4" tint="0.79998168889431442"/>
      </dataBar>
      <extLst>
        <ext xmlns:x14="http://schemas.microsoft.com/office/spreadsheetml/2009/9/main" uri="{B025F937-C7B1-47D3-B67F-A62EFF666E3E}">
          <x14:id>{B9603329-3922-4A90-96F0-56F45D38C413}</x14:id>
        </ext>
      </extLst>
    </cfRule>
    <cfRule type="iconSet" priority="7337">
      <iconSet iconSet="3Arrows">
        <cfvo type="percent" val="0"/>
        <cfvo type="num" val="0.7"/>
        <cfvo type="num" val="1"/>
      </iconSet>
    </cfRule>
  </conditionalFormatting>
  <conditionalFormatting sqref="J1632">
    <cfRule type="dataBar" priority="7336">
      <dataBar>
        <cfvo type="num" val="0"/>
        <cfvo type="num" val="1"/>
        <color theme="4" tint="0.79998168889431442"/>
      </dataBar>
      <extLst>
        <ext xmlns:x14="http://schemas.microsoft.com/office/spreadsheetml/2009/9/main" uri="{B025F937-C7B1-47D3-B67F-A62EFF666E3E}">
          <x14:id>{3995D223-2833-4408-B31A-5DE8239EB743}</x14:id>
        </ext>
      </extLst>
    </cfRule>
    <cfRule type="iconSet" priority="7335">
      <iconSet iconSet="3Arrows">
        <cfvo type="percent" val="0"/>
        <cfvo type="num" val="0.7"/>
        <cfvo type="num" val="1"/>
      </iconSet>
    </cfRule>
  </conditionalFormatting>
  <conditionalFormatting sqref="J1634 J1636 J1638">
    <cfRule type="iconSet" priority="7333">
      <iconSet iconSet="3Arrows">
        <cfvo type="percent" val="0"/>
        <cfvo type="num" val="0.7"/>
        <cfvo type="num" val="1"/>
      </iconSet>
    </cfRule>
    <cfRule type="dataBar" priority="7334">
      <dataBar>
        <cfvo type="num" val="0"/>
        <cfvo type="num" val="1"/>
        <color theme="4" tint="0.79998168889431442"/>
      </dataBar>
      <extLst>
        <ext xmlns:x14="http://schemas.microsoft.com/office/spreadsheetml/2009/9/main" uri="{B025F937-C7B1-47D3-B67F-A62EFF666E3E}">
          <x14:id>{598AA10A-1CE1-4559-90E0-FDBB1D7B0D78}</x14:id>
        </ext>
      </extLst>
    </cfRule>
  </conditionalFormatting>
  <conditionalFormatting sqref="J1640">
    <cfRule type="iconSet" priority="7331">
      <iconSet iconSet="3Arrows">
        <cfvo type="percent" val="0"/>
        <cfvo type="num" val="0.7"/>
        <cfvo type="num" val="1"/>
      </iconSet>
    </cfRule>
    <cfRule type="dataBar" priority="7332">
      <dataBar>
        <cfvo type="num" val="0"/>
        <cfvo type="num" val="1"/>
        <color theme="4" tint="0.79998168889431442"/>
      </dataBar>
      <extLst>
        <ext xmlns:x14="http://schemas.microsoft.com/office/spreadsheetml/2009/9/main" uri="{B025F937-C7B1-47D3-B67F-A62EFF666E3E}">
          <x14:id>{0DEE7F43-C2D0-4566-9839-C531A5F63380}</x14:id>
        </ext>
      </extLst>
    </cfRule>
  </conditionalFormatting>
  <conditionalFormatting sqref="J1642 J1644 J1646">
    <cfRule type="iconSet" priority="7329">
      <iconSet iconSet="3Arrows">
        <cfvo type="percent" val="0"/>
        <cfvo type="num" val="0.7"/>
        <cfvo type="num" val="1"/>
      </iconSet>
    </cfRule>
    <cfRule type="dataBar" priority="7330">
      <dataBar>
        <cfvo type="num" val="0"/>
        <cfvo type="num" val="1"/>
        <color theme="4" tint="0.79998168889431442"/>
      </dataBar>
      <extLst>
        <ext xmlns:x14="http://schemas.microsoft.com/office/spreadsheetml/2009/9/main" uri="{B025F937-C7B1-47D3-B67F-A62EFF666E3E}">
          <x14:id>{68EC0506-E3EB-4D61-9D64-6715628DACEA}</x14:id>
        </ext>
      </extLst>
    </cfRule>
  </conditionalFormatting>
  <conditionalFormatting sqref="J1648">
    <cfRule type="dataBar" priority="7328">
      <dataBar>
        <cfvo type="num" val="0"/>
        <cfvo type="num" val="1"/>
        <color theme="4" tint="0.79998168889431442"/>
      </dataBar>
      <extLst>
        <ext xmlns:x14="http://schemas.microsoft.com/office/spreadsheetml/2009/9/main" uri="{B025F937-C7B1-47D3-B67F-A62EFF666E3E}">
          <x14:id>{6B2C00FB-E2B7-41A7-85EA-BB2C44E94699}</x14:id>
        </ext>
      </extLst>
    </cfRule>
    <cfRule type="iconSet" priority="7327">
      <iconSet iconSet="3Arrows">
        <cfvo type="percent" val="0"/>
        <cfvo type="num" val="0.7"/>
        <cfvo type="num" val="1"/>
      </iconSet>
    </cfRule>
  </conditionalFormatting>
  <conditionalFormatting sqref="J1650 J1652 J1654">
    <cfRule type="dataBar" priority="7326">
      <dataBar>
        <cfvo type="num" val="0"/>
        <cfvo type="num" val="1"/>
        <color theme="4" tint="0.79998168889431442"/>
      </dataBar>
      <extLst>
        <ext xmlns:x14="http://schemas.microsoft.com/office/spreadsheetml/2009/9/main" uri="{B025F937-C7B1-47D3-B67F-A62EFF666E3E}">
          <x14:id>{D20A5E42-5BA1-491C-A089-97C11722723E}</x14:id>
        </ext>
      </extLst>
    </cfRule>
    <cfRule type="iconSet" priority="7325">
      <iconSet iconSet="3Arrows">
        <cfvo type="percent" val="0"/>
        <cfvo type="num" val="0.7"/>
        <cfvo type="num" val="1"/>
      </iconSet>
    </cfRule>
  </conditionalFormatting>
  <conditionalFormatting sqref="J1656">
    <cfRule type="dataBar" priority="7324">
      <dataBar>
        <cfvo type="num" val="0"/>
        <cfvo type="num" val="1"/>
        <color theme="4" tint="0.79998168889431442"/>
      </dataBar>
      <extLst>
        <ext xmlns:x14="http://schemas.microsoft.com/office/spreadsheetml/2009/9/main" uri="{B025F937-C7B1-47D3-B67F-A62EFF666E3E}">
          <x14:id>{ACF4C9C8-1DCD-4B05-8806-8A46F348CAE2}</x14:id>
        </ext>
      </extLst>
    </cfRule>
    <cfRule type="iconSet" priority="7323">
      <iconSet iconSet="3Arrows">
        <cfvo type="percent" val="0"/>
        <cfvo type="num" val="0.7"/>
        <cfvo type="num" val="1"/>
      </iconSet>
    </cfRule>
  </conditionalFormatting>
  <conditionalFormatting sqref="J1658 J1660 J1662">
    <cfRule type="dataBar" priority="7322">
      <dataBar>
        <cfvo type="num" val="0"/>
        <cfvo type="num" val="1"/>
        <color theme="4" tint="0.79998168889431442"/>
      </dataBar>
      <extLst>
        <ext xmlns:x14="http://schemas.microsoft.com/office/spreadsheetml/2009/9/main" uri="{B025F937-C7B1-47D3-B67F-A62EFF666E3E}">
          <x14:id>{A08D64FF-A2DC-40BE-A362-F936DBAE5B4C}</x14:id>
        </ext>
      </extLst>
    </cfRule>
    <cfRule type="iconSet" priority="7321">
      <iconSet iconSet="3Arrows">
        <cfvo type="percent" val="0"/>
        <cfvo type="num" val="0.7"/>
        <cfvo type="num" val="1"/>
      </iconSet>
    </cfRule>
  </conditionalFormatting>
  <conditionalFormatting sqref="J1664">
    <cfRule type="dataBar" priority="7320">
      <dataBar>
        <cfvo type="num" val="0"/>
        <cfvo type="num" val="1"/>
        <color theme="4" tint="0.79998168889431442"/>
      </dataBar>
      <extLst>
        <ext xmlns:x14="http://schemas.microsoft.com/office/spreadsheetml/2009/9/main" uri="{B025F937-C7B1-47D3-B67F-A62EFF666E3E}">
          <x14:id>{FAC5998F-BAEF-420A-883A-36C306BB3373}</x14:id>
        </ext>
      </extLst>
    </cfRule>
    <cfRule type="iconSet" priority="7319">
      <iconSet iconSet="3Arrows">
        <cfvo type="percent" val="0"/>
        <cfvo type="num" val="0.7"/>
        <cfvo type="num" val="1"/>
      </iconSet>
    </cfRule>
  </conditionalFormatting>
  <conditionalFormatting sqref="J1666 J1668 J1670">
    <cfRule type="dataBar" priority="7318">
      <dataBar>
        <cfvo type="num" val="0"/>
        <cfvo type="num" val="1"/>
        <color theme="4" tint="0.79998168889431442"/>
      </dataBar>
      <extLst>
        <ext xmlns:x14="http://schemas.microsoft.com/office/spreadsheetml/2009/9/main" uri="{B025F937-C7B1-47D3-B67F-A62EFF666E3E}">
          <x14:id>{6FDD8E91-2E8E-453B-944E-F7DF558CFCAC}</x14:id>
        </ext>
      </extLst>
    </cfRule>
    <cfRule type="iconSet" priority="7317">
      <iconSet iconSet="3Arrows">
        <cfvo type="percent" val="0"/>
        <cfvo type="num" val="0.7"/>
        <cfvo type="num" val="1"/>
      </iconSet>
    </cfRule>
  </conditionalFormatting>
  <conditionalFormatting sqref="J1672">
    <cfRule type="dataBar" priority="7316">
      <dataBar>
        <cfvo type="num" val="0"/>
        <cfvo type="num" val="1"/>
        <color theme="4" tint="0.79998168889431442"/>
      </dataBar>
      <extLst>
        <ext xmlns:x14="http://schemas.microsoft.com/office/spreadsheetml/2009/9/main" uri="{B025F937-C7B1-47D3-B67F-A62EFF666E3E}">
          <x14:id>{ADDC6829-C723-4DF7-9F71-8F915C58DB14}</x14:id>
        </ext>
      </extLst>
    </cfRule>
    <cfRule type="iconSet" priority="7315">
      <iconSet iconSet="3Arrows">
        <cfvo type="percent" val="0"/>
        <cfvo type="num" val="0.7"/>
        <cfvo type="num" val="1"/>
      </iconSet>
    </cfRule>
  </conditionalFormatting>
  <conditionalFormatting sqref="J1674 J1676 J1678">
    <cfRule type="dataBar" priority="7314">
      <dataBar>
        <cfvo type="num" val="0"/>
        <cfvo type="num" val="1"/>
        <color theme="4" tint="0.79998168889431442"/>
      </dataBar>
      <extLst>
        <ext xmlns:x14="http://schemas.microsoft.com/office/spreadsheetml/2009/9/main" uri="{B025F937-C7B1-47D3-B67F-A62EFF666E3E}">
          <x14:id>{C7265CAA-1D70-4FEB-B43E-5C011C2FAD0F}</x14:id>
        </ext>
      </extLst>
    </cfRule>
    <cfRule type="iconSet" priority="7313">
      <iconSet iconSet="3Arrows">
        <cfvo type="percent" val="0"/>
        <cfvo type="num" val="0.7"/>
        <cfvo type="num" val="1"/>
      </iconSet>
    </cfRule>
  </conditionalFormatting>
  <conditionalFormatting sqref="J1680">
    <cfRule type="dataBar" priority="7312">
      <dataBar>
        <cfvo type="num" val="0"/>
        <cfvo type="num" val="1"/>
        <color theme="4" tint="0.79998168889431442"/>
      </dataBar>
      <extLst>
        <ext xmlns:x14="http://schemas.microsoft.com/office/spreadsheetml/2009/9/main" uri="{B025F937-C7B1-47D3-B67F-A62EFF666E3E}">
          <x14:id>{51246FA5-8DD5-41F6-AB40-318EDBBAA309}</x14:id>
        </ext>
      </extLst>
    </cfRule>
    <cfRule type="iconSet" priority="7311">
      <iconSet iconSet="3Arrows">
        <cfvo type="percent" val="0"/>
        <cfvo type="num" val="0.7"/>
        <cfvo type="num" val="1"/>
      </iconSet>
    </cfRule>
  </conditionalFormatting>
  <conditionalFormatting sqref="J1682 J1684 J1686">
    <cfRule type="dataBar" priority="7310">
      <dataBar>
        <cfvo type="num" val="0"/>
        <cfvo type="num" val="1"/>
        <color theme="4" tint="0.79998168889431442"/>
      </dataBar>
      <extLst>
        <ext xmlns:x14="http://schemas.microsoft.com/office/spreadsheetml/2009/9/main" uri="{B025F937-C7B1-47D3-B67F-A62EFF666E3E}">
          <x14:id>{23A40734-AD1D-4261-B6F8-BCE37168A067}</x14:id>
        </ext>
      </extLst>
    </cfRule>
    <cfRule type="iconSet" priority="7309">
      <iconSet iconSet="3Arrows">
        <cfvo type="percent" val="0"/>
        <cfvo type="num" val="0.7"/>
        <cfvo type="num" val="1"/>
      </iconSet>
    </cfRule>
  </conditionalFormatting>
  <conditionalFormatting sqref="J1688">
    <cfRule type="dataBar" priority="7308">
      <dataBar>
        <cfvo type="num" val="0"/>
        <cfvo type="num" val="1"/>
        <color theme="4" tint="0.79998168889431442"/>
      </dataBar>
      <extLst>
        <ext xmlns:x14="http://schemas.microsoft.com/office/spreadsheetml/2009/9/main" uri="{B025F937-C7B1-47D3-B67F-A62EFF666E3E}">
          <x14:id>{E65799F2-5DFC-4E8A-9BCA-03ABE3539695}</x14:id>
        </ext>
      </extLst>
    </cfRule>
    <cfRule type="iconSet" priority="7307">
      <iconSet iconSet="3Arrows">
        <cfvo type="percent" val="0"/>
        <cfvo type="num" val="0.7"/>
        <cfvo type="num" val="1"/>
      </iconSet>
    </cfRule>
  </conditionalFormatting>
  <conditionalFormatting sqref="J1690 J1692 J1694">
    <cfRule type="dataBar" priority="7306">
      <dataBar>
        <cfvo type="num" val="0"/>
        <cfvo type="num" val="1"/>
        <color theme="4" tint="0.79998168889431442"/>
      </dataBar>
      <extLst>
        <ext xmlns:x14="http://schemas.microsoft.com/office/spreadsheetml/2009/9/main" uri="{B025F937-C7B1-47D3-B67F-A62EFF666E3E}">
          <x14:id>{B6B48409-94B1-4597-A550-083602B2A9B1}</x14:id>
        </ext>
      </extLst>
    </cfRule>
    <cfRule type="iconSet" priority="7305">
      <iconSet iconSet="3Arrows">
        <cfvo type="percent" val="0"/>
        <cfvo type="num" val="0.7"/>
        <cfvo type="num" val="1"/>
      </iconSet>
    </cfRule>
  </conditionalFormatting>
  <conditionalFormatting sqref="J1698">
    <cfRule type="dataBar" priority="7304">
      <dataBar>
        <cfvo type="num" val="0"/>
        <cfvo type="num" val="1"/>
        <color theme="4" tint="0.79998168889431442"/>
      </dataBar>
      <extLst>
        <ext xmlns:x14="http://schemas.microsoft.com/office/spreadsheetml/2009/9/main" uri="{B025F937-C7B1-47D3-B67F-A62EFF666E3E}">
          <x14:id>{1620F5F1-92F8-4E7A-81C6-BC083DF5AC54}</x14:id>
        </ext>
      </extLst>
    </cfRule>
    <cfRule type="iconSet" priority="7303">
      <iconSet iconSet="3Arrows">
        <cfvo type="percent" val="0"/>
        <cfvo type="num" val="0.7"/>
        <cfvo type="num" val="1"/>
      </iconSet>
    </cfRule>
  </conditionalFormatting>
  <conditionalFormatting sqref="J1700">
    <cfRule type="iconSet" priority="7301">
      <iconSet iconSet="3Arrows">
        <cfvo type="percent" val="0"/>
        <cfvo type="num" val="0.7"/>
        <cfvo type="num" val="1"/>
      </iconSet>
    </cfRule>
    <cfRule type="dataBar" priority="7302">
      <dataBar>
        <cfvo type="num" val="0"/>
        <cfvo type="num" val="1"/>
        <color theme="4" tint="0.79998168889431442"/>
      </dataBar>
      <extLst>
        <ext xmlns:x14="http://schemas.microsoft.com/office/spreadsheetml/2009/9/main" uri="{B025F937-C7B1-47D3-B67F-A62EFF666E3E}">
          <x14:id>{67539875-8431-4F10-9AFF-DE98F6458378}</x14:id>
        </ext>
      </extLst>
    </cfRule>
  </conditionalFormatting>
  <conditionalFormatting sqref="J1702 J1704">
    <cfRule type="iconSet" priority="7299">
      <iconSet iconSet="3Arrows">
        <cfvo type="percent" val="0"/>
        <cfvo type="num" val="0.7"/>
        <cfvo type="num" val="1"/>
      </iconSet>
    </cfRule>
    <cfRule type="dataBar" priority="7300">
      <dataBar>
        <cfvo type="num" val="0"/>
        <cfvo type="num" val="1"/>
        <color theme="4" tint="0.79998168889431442"/>
      </dataBar>
      <extLst>
        <ext xmlns:x14="http://schemas.microsoft.com/office/spreadsheetml/2009/9/main" uri="{B025F937-C7B1-47D3-B67F-A62EFF666E3E}">
          <x14:id>{B6368265-1BC5-479C-867F-24FA09A68B70}</x14:id>
        </ext>
      </extLst>
    </cfRule>
  </conditionalFormatting>
  <conditionalFormatting sqref="J1706">
    <cfRule type="iconSet" priority="7297">
      <iconSet iconSet="3Arrows">
        <cfvo type="percent" val="0"/>
        <cfvo type="num" val="0.7"/>
        <cfvo type="num" val="1"/>
      </iconSet>
    </cfRule>
    <cfRule type="dataBar" priority="7298">
      <dataBar>
        <cfvo type="num" val="0"/>
        <cfvo type="num" val="1"/>
        <color theme="4" tint="0.79998168889431442"/>
      </dataBar>
      <extLst>
        <ext xmlns:x14="http://schemas.microsoft.com/office/spreadsheetml/2009/9/main" uri="{B025F937-C7B1-47D3-B67F-A62EFF666E3E}">
          <x14:id>{A64A2D73-67B0-44B7-980A-CBC881926EDD}</x14:id>
        </ext>
      </extLst>
    </cfRule>
  </conditionalFormatting>
  <conditionalFormatting sqref="J1708">
    <cfRule type="dataBar" priority="7296">
      <dataBar>
        <cfvo type="num" val="0"/>
        <cfvo type="num" val="1"/>
        <color theme="4" tint="0.79998168889431442"/>
      </dataBar>
      <extLst>
        <ext xmlns:x14="http://schemas.microsoft.com/office/spreadsheetml/2009/9/main" uri="{B025F937-C7B1-47D3-B67F-A62EFF666E3E}">
          <x14:id>{2FA8920A-122E-43A3-9EFF-BEA2661FED09}</x14:id>
        </ext>
      </extLst>
    </cfRule>
    <cfRule type="iconSet" priority="7295">
      <iconSet iconSet="3Arrows">
        <cfvo type="percent" val="0"/>
        <cfvo type="num" val="0.7"/>
        <cfvo type="num" val="1"/>
      </iconSet>
    </cfRule>
  </conditionalFormatting>
  <conditionalFormatting sqref="J1710">
    <cfRule type="dataBar" priority="7294">
      <dataBar>
        <cfvo type="num" val="0"/>
        <cfvo type="num" val="1"/>
        <color theme="4" tint="0.79998168889431442"/>
      </dataBar>
      <extLst>
        <ext xmlns:x14="http://schemas.microsoft.com/office/spreadsheetml/2009/9/main" uri="{B025F937-C7B1-47D3-B67F-A62EFF666E3E}">
          <x14:id>{9DDF62E0-DBF6-4E79-8394-F1B847B56544}</x14:id>
        </ext>
      </extLst>
    </cfRule>
    <cfRule type="iconSet" priority="7293">
      <iconSet iconSet="3Arrows">
        <cfvo type="percent" val="0"/>
        <cfvo type="num" val="0.7"/>
        <cfvo type="num" val="1"/>
      </iconSet>
    </cfRule>
  </conditionalFormatting>
  <conditionalFormatting sqref="J1712">
    <cfRule type="dataBar" priority="7292">
      <dataBar>
        <cfvo type="num" val="0"/>
        <cfvo type="num" val="1"/>
        <color theme="4" tint="0.79998168889431442"/>
      </dataBar>
      <extLst>
        <ext xmlns:x14="http://schemas.microsoft.com/office/spreadsheetml/2009/9/main" uri="{B025F937-C7B1-47D3-B67F-A62EFF666E3E}">
          <x14:id>{ED4424AC-A0A2-48DA-B553-61FB85C753A3}</x14:id>
        </ext>
      </extLst>
    </cfRule>
    <cfRule type="iconSet" priority="7291">
      <iconSet iconSet="3Arrows">
        <cfvo type="percent" val="0"/>
        <cfvo type="num" val="0.7"/>
        <cfvo type="num" val="1"/>
      </iconSet>
    </cfRule>
  </conditionalFormatting>
  <conditionalFormatting sqref="J1714">
    <cfRule type="dataBar" priority="7290">
      <dataBar>
        <cfvo type="num" val="0"/>
        <cfvo type="num" val="1"/>
        <color theme="4" tint="0.79998168889431442"/>
      </dataBar>
      <extLst>
        <ext xmlns:x14="http://schemas.microsoft.com/office/spreadsheetml/2009/9/main" uri="{B025F937-C7B1-47D3-B67F-A62EFF666E3E}">
          <x14:id>{D53BB20C-C71E-47CF-BD17-C9B2C1AC3AEE}</x14:id>
        </ext>
      </extLst>
    </cfRule>
    <cfRule type="iconSet" priority="7289">
      <iconSet iconSet="3Arrows">
        <cfvo type="percent" val="0"/>
        <cfvo type="num" val="0.7"/>
        <cfvo type="num" val="1"/>
      </iconSet>
    </cfRule>
  </conditionalFormatting>
  <conditionalFormatting sqref="J1716">
    <cfRule type="dataBar" priority="7288">
      <dataBar>
        <cfvo type="num" val="0"/>
        <cfvo type="num" val="1"/>
        <color theme="4" tint="0.79998168889431442"/>
      </dataBar>
      <extLst>
        <ext xmlns:x14="http://schemas.microsoft.com/office/spreadsheetml/2009/9/main" uri="{B025F937-C7B1-47D3-B67F-A62EFF666E3E}">
          <x14:id>{D00B4313-64F5-4115-90A9-ADC338B709AA}</x14:id>
        </ext>
      </extLst>
    </cfRule>
    <cfRule type="iconSet" priority="7287">
      <iconSet iconSet="3Arrows">
        <cfvo type="percent" val="0"/>
        <cfvo type="num" val="0.7"/>
        <cfvo type="num" val="1"/>
      </iconSet>
    </cfRule>
  </conditionalFormatting>
  <conditionalFormatting sqref="J1718 J1720">
    <cfRule type="dataBar" priority="7286">
      <dataBar>
        <cfvo type="num" val="0"/>
        <cfvo type="num" val="1"/>
        <color theme="4" tint="0.79998168889431442"/>
      </dataBar>
      <extLst>
        <ext xmlns:x14="http://schemas.microsoft.com/office/spreadsheetml/2009/9/main" uri="{B025F937-C7B1-47D3-B67F-A62EFF666E3E}">
          <x14:id>{FB3006B6-0398-40D8-93B9-9AF599F4AE46}</x14:id>
        </ext>
      </extLst>
    </cfRule>
    <cfRule type="iconSet" priority="7285">
      <iconSet iconSet="3Arrows">
        <cfvo type="percent" val="0"/>
        <cfvo type="num" val="0.7"/>
        <cfvo type="num" val="1"/>
      </iconSet>
    </cfRule>
  </conditionalFormatting>
  <conditionalFormatting sqref="J1722">
    <cfRule type="iconSet" priority="7283">
      <iconSet iconSet="3Arrows">
        <cfvo type="percent" val="0"/>
        <cfvo type="num" val="0.7"/>
        <cfvo type="num" val="1"/>
      </iconSet>
    </cfRule>
    <cfRule type="dataBar" priority="7284">
      <dataBar>
        <cfvo type="num" val="0"/>
        <cfvo type="num" val="1"/>
        <color theme="4" tint="0.79998168889431442"/>
      </dataBar>
      <extLst>
        <ext xmlns:x14="http://schemas.microsoft.com/office/spreadsheetml/2009/9/main" uri="{B025F937-C7B1-47D3-B67F-A62EFF666E3E}">
          <x14:id>{695730A3-D016-4701-9E08-21BF03795DF0}</x14:id>
        </ext>
      </extLst>
    </cfRule>
  </conditionalFormatting>
  <conditionalFormatting sqref="J1724">
    <cfRule type="dataBar" priority="7282">
      <dataBar>
        <cfvo type="num" val="0"/>
        <cfvo type="num" val="1"/>
        <color theme="4" tint="0.79998168889431442"/>
      </dataBar>
      <extLst>
        <ext xmlns:x14="http://schemas.microsoft.com/office/spreadsheetml/2009/9/main" uri="{B025F937-C7B1-47D3-B67F-A62EFF666E3E}">
          <x14:id>{561F55C6-070B-4AA6-8942-0742EB1CA040}</x14:id>
        </ext>
      </extLst>
    </cfRule>
    <cfRule type="iconSet" priority="7281">
      <iconSet iconSet="3Arrows">
        <cfvo type="percent" val="0"/>
        <cfvo type="num" val="0.7"/>
        <cfvo type="num" val="1"/>
      </iconSet>
    </cfRule>
  </conditionalFormatting>
  <conditionalFormatting sqref="J1726">
    <cfRule type="dataBar" priority="7280">
      <dataBar>
        <cfvo type="num" val="0"/>
        <cfvo type="num" val="1"/>
        <color theme="4" tint="0.79998168889431442"/>
      </dataBar>
      <extLst>
        <ext xmlns:x14="http://schemas.microsoft.com/office/spreadsheetml/2009/9/main" uri="{B025F937-C7B1-47D3-B67F-A62EFF666E3E}">
          <x14:id>{09C7BE09-3B64-4CA3-8FAB-36D4E09610E6}</x14:id>
        </ext>
      </extLst>
    </cfRule>
    <cfRule type="iconSet" priority="7279">
      <iconSet iconSet="3Arrows">
        <cfvo type="percent" val="0"/>
        <cfvo type="num" val="0.7"/>
        <cfvo type="num" val="1"/>
      </iconSet>
    </cfRule>
  </conditionalFormatting>
  <conditionalFormatting sqref="J1728">
    <cfRule type="dataBar" priority="7278">
      <dataBar>
        <cfvo type="num" val="0"/>
        <cfvo type="num" val="1"/>
        <color theme="4" tint="0.79998168889431442"/>
      </dataBar>
      <extLst>
        <ext xmlns:x14="http://schemas.microsoft.com/office/spreadsheetml/2009/9/main" uri="{B025F937-C7B1-47D3-B67F-A62EFF666E3E}">
          <x14:id>{563728A1-C3E1-48E9-8BA6-30339E0EE651}</x14:id>
        </ext>
      </extLst>
    </cfRule>
    <cfRule type="iconSet" priority="7277">
      <iconSet iconSet="3Arrows">
        <cfvo type="percent" val="0"/>
        <cfvo type="num" val="0.7"/>
        <cfvo type="num" val="1"/>
      </iconSet>
    </cfRule>
  </conditionalFormatting>
  <conditionalFormatting sqref="J1730">
    <cfRule type="dataBar" priority="7276">
      <dataBar>
        <cfvo type="num" val="0"/>
        <cfvo type="num" val="1"/>
        <color theme="4" tint="0.79998168889431442"/>
      </dataBar>
      <extLst>
        <ext xmlns:x14="http://schemas.microsoft.com/office/spreadsheetml/2009/9/main" uri="{B025F937-C7B1-47D3-B67F-A62EFF666E3E}">
          <x14:id>{8EFFF755-3B9A-43F6-96D6-E744927BBCBC}</x14:id>
        </ext>
      </extLst>
    </cfRule>
    <cfRule type="iconSet" priority="7275">
      <iconSet iconSet="3Arrows">
        <cfvo type="percent" val="0"/>
        <cfvo type="num" val="0.7"/>
        <cfvo type="num" val="1"/>
      </iconSet>
    </cfRule>
  </conditionalFormatting>
  <conditionalFormatting sqref="J1732">
    <cfRule type="dataBar" priority="7274">
      <dataBar>
        <cfvo type="num" val="0"/>
        <cfvo type="num" val="1"/>
        <color theme="4" tint="0.79998168889431442"/>
      </dataBar>
      <extLst>
        <ext xmlns:x14="http://schemas.microsoft.com/office/spreadsheetml/2009/9/main" uri="{B025F937-C7B1-47D3-B67F-A62EFF666E3E}">
          <x14:id>{EA2A915F-DB8F-4E72-A84B-43B82E574A31}</x14:id>
        </ext>
      </extLst>
    </cfRule>
    <cfRule type="iconSet" priority="7273">
      <iconSet iconSet="3Arrows">
        <cfvo type="percent" val="0"/>
        <cfvo type="num" val="0.7"/>
        <cfvo type="num" val="1"/>
      </iconSet>
    </cfRule>
  </conditionalFormatting>
  <conditionalFormatting sqref="J1734 J1736">
    <cfRule type="dataBar" priority="7272">
      <dataBar>
        <cfvo type="num" val="0"/>
        <cfvo type="num" val="1"/>
        <color theme="4" tint="0.79998168889431442"/>
      </dataBar>
      <extLst>
        <ext xmlns:x14="http://schemas.microsoft.com/office/spreadsheetml/2009/9/main" uri="{B025F937-C7B1-47D3-B67F-A62EFF666E3E}">
          <x14:id>{AA8696C4-0631-4BD0-82C2-59E64852E0B0}</x14:id>
        </ext>
      </extLst>
    </cfRule>
    <cfRule type="iconSet" priority="7271">
      <iconSet iconSet="3Arrows">
        <cfvo type="percent" val="0"/>
        <cfvo type="num" val="0.7"/>
        <cfvo type="num" val="1"/>
      </iconSet>
    </cfRule>
  </conditionalFormatting>
  <conditionalFormatting sqref="J1738">
    <cfRule type="dataBar" priority="7270">
      <dataBar>
        <cfvo type="num" val="0"/>
        <cfvo type="num" val="1"/>
        <color theme="4" tint="0.79998168889431442"/>
      </dataBar>
      <extLst>
        <ext xmlns:x14="http://schemas.microsoft.com/office/spreadsheetml/2009/9/main" uri="{B025F937-C7B1-47D3-B67F-A62EFF666E3E}">
          <x14:id>{395F3439-FA32-4568-962C-73D124B0E3CC}</x14:id>
        </ext>
      </extLst>
    </cfRule>
    <cfRule type="iconSet" priority="7269">
      <iconSet iconSet="3Arrows">
        <cfvo type="percent" val="0"/>
        <cfvo type="num" val="0.7"/>
        <cfvo type="num" val="1"/>
      </iconSet>
    </cfRule>
  </conditionalFormatting>
  <conditionalFormatting sqref="J1740">
    <cfRule type="iconSet" priority="7267">
      <iconSet iconSet="3Arrows">
        <cfvo type="percent" val="0"/>
        <cfvo type="num" val="0.7"/>
        <cfvo type="num" val="1"/>
      </iconSet>
    </cfRule>
    <cfRule type="dataBar" priority="7268">
      <dataBar>
        <cfvo type="num" val="0"/>
        <cfvo type="num" val="1"/>
        <color theme="4" tint="0.79998168889431442"/>
      </dataBar>
      <extLst>
        <ext xmlns:x14="http://schemas.microsoft.com/office/spreadsheetml/2009/9/main" uri="{B025F937-C7B1-47D3-B67F-A62EFF666E3E}">
          <x14:id>{1F59077B-BAFB-455E-A5FF-249EA942E42C}</x14:id>
        </ext>
      </extLst>
    </cfRule>
  </conditionalFormatting>
  <conditionalFormatting sqref="J1742">
    <cfRule type="dataBar" priority="7266">
      <dataBar>
        <cfvo type="num" val="0"/>
        <cfvo type="num" val="1"/>
        <color theme="4" tint="0.79998168889431442"/>
      </dataBar>
      <extLst>
        <ext xmlns:x14="http://schemas.microsoft.com/office/spreadsheetml/2009/9/main" uri="{B025F937-C7B1-47D3-B67F-A62EFF666E3E}">
          <x14:id>{A162FD3C-DAC2-47B7-A0A5-06E27820F715}</x14:id>
        </ext>
      </extLst>
    </cfRule>
    <cfRule type="iconSet" priority="7265">
      <iconSet iconSet="3Arrows">
        <cfvo type="percent" val="0"/>
        <cfvo type="num" val="0.7"/>
        <cfvo type="num" val="1"/>
      </iconSet>
    </cfRule>
  </conditionalFormatting>
  <conditionalFormatting sqref="J1744">
    <cfRule type="dataBar" priority="7264">
      <dataBar>
        <cfvo type="num" val="0"/>
        <cfvo type="num" val="1"/>
        <color theme="4" tint="0.79998168889431442"/>
      </dataBar>
      <extLst>
        <ext xmlns:x14="http://schemas.microsoft.com/office/spreadsheetml/2009/9/main" uri="{B025F937-C7B1-47D3-B67F-A62EFF666E3E}">
          <x14:id>{25386CC8-6686-449D-9778-5EAA76833A4C}</x14:id>
        </ext>
      </extLst>
    </cfRule>
    <cfRule type="iconSet" priority="7263">
      <iconSet iconSet="3Arrows">
        <cfvo type="percent" val="0"/>
        <cfvo type="num" val="0.7"/>
        <cfvo type="num" val="1"/>
      </iconSet>
    </cfRule>
  </conditionalFormatting>
  <conditionalFormatting sqref="J1746">
    <cfRule type="dataBar" priority="7262">
      <dataBar>
        <cfvo type="num" val="0"/>
        <cfvo type="num" val="1"/>
        <color theme="4" tint="0.79998168889431442"/>
      </dataBar>
      <extLst>
        <ext xmlns:x14="http://schemas.microsoft.com/office/spreadsheetml/2009/9/main" uri="{B025F937-C7B1-47D3-B67F-A62EFF666E3E}">
          <x14:id>{63BB49BA-92F2-473C-8C9D-C5F7599558A0}</x14:id>
        </ext>
      </extLst>
    </cfRule>
    <cfRule type="iconSet" priority="7261">
      <iconSet iconSet="3Arrows">
        <cfvo type="percent" val="0"/>
        <cfvo type="num" val="0.7"/>
        <cfvo type="num" val="1"/>
      </iconSet>
    </cfRule>
  </conditionalFormatting>
  <conditionalFormatting sqref="J1748">
    <cfRule type="dataBar" priority="7260">
      <dataBar>
        <cfvo type="num" val="0"/>
        <cfvo type="num" val="1"/>
        <color theme="4" tint="0.79998168889431442"/>
      </dataBar>
      <extLst>
        <ext xmlns:x14="http://schemas.microsoft.com/office/spreadsheetml/2009/9/main" uri="{B025F937-C7B1-47D3-B67F-A62EFF666E3E}">
          <x14:id>{AB1F5048-DA02-434A-8641-A5DF20CD8FF9}</x14:id>
        </ext>
      </extLst>
    </cfRule>
    <cfRule type="iconSet" priority="7259">
      <iconSet iconSet="3Arrows">
        <cfvo type="percent" val="0"/>
        <cfvo type="num" val="0.7"/>
        <cfvo type="num" val="1"/>
      </iconSet>
    </cfRule>
  </conditionalFormatting>
  <conditionalFormatting sqref="J1750 J1752">
    <cfRule type="dataBar" priority="7258">
      <dataBar>
        <cfvo type="num" val="0"/>
        <cfvo type="num" val="1"/>
        <color theme="4" tint="0.79998168889431442"/>
      </dataBar>
      <extLst>
        <ext xmlns:x14="http://schemas.microsoft.com/office/spreadsheetml/2009/9/main" uri="{B025F937-C7B1-47D3-B67F-A62EFF666E3E}">
          <x14:id>{D6390F33-1574-4DE9-9C71-E080024A3F03}</x14:id>
        </ext>
      </extLst>
    </cfRule>
    <cfRule type="iconSet" priority="7257">
      <iconSet iconSet="3Arrows">
        <cfvo type="percent" val="0"/>
        <cfvo type="num" val="0.7"/>
        <cfvo type="num" val="1"/>
      </iconSet>
    </cfRule>
  </conditionalFormatting>
  <conditionalFormatting sqref="J1754">
    <cfRule type="dataBar" priority="7256">
      <dataBar>
        <cfvo type="num" val="0"/>
        <cfvo type="num" val="1"/>
        <color theme="4" tint="0.79998168889431442"/>
      </dataBar>
      <extLst>
        <ext xmlns:x14="http://schemas.microsoft.com/office/spreadsheetml/2009/9/main" uri="{B025F937-C7B1-47D3-B67F-A62EFF666E3E}">
          <x14:id>{594C5EED-5A8A-4673-B02E-31870609B183}</x14:id>
        </ext>
      </extLst>
    </cfRule>
    <cfRule type="iconSet" priority="7255">
      <iconSet iconSet="3Arrows">
        <cfvo type="percent" val="0"/>
        <cfvo type="num" val="0.7"/>
        <cfvo type="num" val="1"/>
      </iconSet>
    </cfRule>
  </conditionalFormatting>
  <conditionalFormatting sqref="J1756">
    <cfRule type="dataBar" priority="7254">
      <dataBar>
        <cfvo type="num" val="0"/>
        <cfvo type="num" val="1"/>
        <color theme="4" tint="0.79998168889431442"/>
      </dataBar>
      <extLst>
        <ext xmlns:x14="http://schemas.microsoft.com/office/spreadsheetml/2009/9/main" uri="{B025F937-C7B1-47D3-B67F-A62EFF666E3E}">
          <x14:id>{2A8E23CD-7CEE-4B95-B1EC-34A9A5F2B805}</x14:id>
        </ext>
      </extLst>
    </cfRule>
    <cfRule type="iconSet" priority="7253">
      <iconSet iconSet="3Arrows">
        <cfvo type="percent" val="0"/>
        <cfvo type="num" val="0.7"/>
        <cfvo type="num" val="1"/>
      </iconSet>
    </cfRule>
  </conditionalFormatting>
  <conditionalFormatting sqref="J1758">
    <cfRule type="dataBar" priority="7252">
      <dataBar>
        <cfvo type="num" val="0"/>
        <cfvo type="num" val="1"/>
        <color theme="4" tint="0.79998168889431442"/>
      </dataBar>
      <extLst>
        <ext xmlns:x14="http://schemas.microsoft.com/office/spreadsheetml/2009/9/main" uri="{B025F937-C7B1-47D3-B67F-A62EFF666E3E}">
          <x14:id>{0A8BA297-0A14-4FC6-BEE5-190EAC1D713B}</x14:id>
        </ext>
      </extLst>
    </cfRule>
    <cfRule type="iconSet" priority="7251">
      <iconSet iconSet="3Arrows">
        <cfvo type="percent" val="0"/>
        <cfvo type="num" val="0.7"/>
        <cfvo type="num" val="1"/>
      </iconSet>
    </cfRule>
  </conditionalFormatting>
  <conditionalFormatting sqref="J1760">
    <cfRule type="iconSet" priority="7249">
      <iconSet iconSet="3Arrows">
        <cfvo type="percent" val="0"/>
        <cfvo type="num" val="0.7"/>
        <cfvo type="num" val="1"/>
      </iconSet>
    </cfRule>
    <cfRule type="dataBar" priority="7250">
      <dataBar>
        <cfvo type="num" val="0"/>
        <cfvo type="num" val="1"/>
        <color theme="4" tint="0.79998168889431442"/>
      </dataBar>
      <extLst>
        <ext xmlns:x14="http://schemas.microsoft.com/office/spreadsheetml/2009/9/main" uri="{B025F937-C7B1-47D3-B67F-A62EFF666E3E}">
          <x14:id>{AFED2BDB-3799-48CE-9535-6CC488F0F172}</x14:id>
        </ext>
      </extLst>
    </cfRule>
  </conditionalFormatting>
  <conditionalFormatting sqref="J1762">
    <cfRule type="dataBar" priority="7248">
      <dataBar>
        <cfvo type="num" val="0"/>
        <cfvo type="num" val="1"/>
        <color theme="4" tint="0.79998168889431442"/>
      </dataBar>
      <extLst>
        <ext xmlns:x14="http://schemas.microsoft.com/office/spreadsheetml/2009/9/main" uri="{B025F937-C7B1-47D3-B67F-A62EFF666E3E}">
          <x14:id>{3F18694D-391E-4E5D-82F5-1532D324BD8F}</x14:id>
        </ext>
      </extLst>
    </cfRule>
    <cfRule type="iconSet" priority="7247">
      <iconSet iconSet="3Arrows">
        <cfvo type="percent" val="0"/>
        <cfvo type="num" val="0.7"/>
        <cfvo type="num" val="1"/>
      </iconSet>
    </cfRule>
  </conditionalFormatting>
  <conditionalFormatting sqref="J1764">
    <cfRule type="dataBar" priority="7246">
      <dataBar>
        <cfvo type="num" val="0"/>
        <cfvo type="num" val="1"/>
        <color theme="4" tint="0.79998168889431442"/>
      </dataBar>
      <extLst>
        <ext xmlns:x14="http://schemas.microsoft.com/office/spreadsheetml/2009/9/main" uri="{B025F937-C7B1-47D3-B67F-A62EFF666E3E}">
          <x14:id>{E25EFD1D-FF3D-4919-A183-B0B310BB8F0B}</x14:id>
        </ext>
      </extLst>
    </cfRule>
    <cfRule type="iconSet" priority="7245">
      <iconSet iconSet="3Arrows">
        <cfvo type="percent" val="0"/>
        <cfvo type="num" val="0.7"/>
        <cfvo type="num" val="1"/>
      </iconSet>
    </cfRule>
  </conditionalFormatting>
  <conditionalFormatting sqref="J1766">
    <cfRule type="dataBar" priority="7244">
      <dataBar>
        <cfvo type="num" val="0"/>
        <cfvo type="num" val="1"/>
        <color theme="4" tint="0.79998168889431442"/>
      </dataBar>
      <extLst>
        <ext xmlns:x14="http://schemas.microsoft.com/office/spreadsheetml/2009/9/main" uri="{B025F937-C7B1-47D3-B67F-A62EFF666E3E}">
          <x14:id>{52AF568F-DC6F-4B8F-9AFD-9A0F580F40C6}</x14:id>
        </ext>
      </extLst>
    </cfRule>
    <cfRule type="iconSet" priority="7243">
      <iconSet iconSet="3Arrows">
        <cfvo type="percent" val="0"/>
        <cfvo type="num" val="0.7"/>
        <cfvo type="num" val="1"/>
      </iconSet>
    </cfRule>
  </conditionalFormatting>
  <conditionalFormatting sqref="J1770">
    <cfRule type="dataBar" priority="7242">
      <dataBar>
        <cfvo type="num" val="0"/>
        <cfvo type="num" val="1"/>
        <color theme="4" tint="0.79998168889431442"/>
      </dataBar>
      <extLst>
        <ext xmlns:x14="http://schemas.microsoft.com/office/spreadsheetml/2009/9/main" uri="{B025F937-C7B1-47D3-B67F-A62EFF666E3E}">
          <x14:id>{E970A6AC-C800-4794-ABDA-0FF110D54CB5}</x14:id>
        </ext>
      </extLst>
    </cfRule>
    <cfRule type="iconSet" priority="7241">
      <iconSet iconSet="3Arrows">
        <cfvo type="percent" val="0"/>
        <cfvo type="num" val="0.7"/>
        <cfvo type="num" val="1"/>
      </iconSet>
    </cfRule>
  </conditionalFormatting>
  <conditionalFormatting sqref="J1773">
    <cfRule type="dataBar" priority="7240">
      <dataBar>
        <cfvo type="num" val="0"/>
        <cfvo type="num" val="1"/>
        <color theme="4" tint="0.79998168889431442"/>
      </dataBar>
      <extLst>
        <ext xmlns:x14="http://schemas.microsoft.com/office/spreadsheetml/2009/9/main" uri="{B025F937-C7B1-47D3-B67F-A62EFF666E3E}">
          <x14:id>{107CA71A-DC9D-47C6-A566-78E8D0182230}</x14:id>
        </ext>
      </extLst>
    </cfRule>
    <cfRule type="iconSet" priority="7239">
      <iconSet iconSet="3Arrows">
        <cfvo type="percent" val="0"/>
        <cfvo type="num" val="0.7"/>
        <cfvo type="num" val="1"/>
      </iconSet>
    </cfRule>
  </conditionalFormatting>
  <conditionalFormatting sqref="J1775">
    <cfRule type="dataBar" priority="7238">
      <dataBar>
        <cfvo type="num" val="0"/>
        <cfvo type="num" val="1"/>
        <color theme="4" tint="0.79998168889431442"/>
      </dataBar>
      <extLst>
        <ext xmlns:x14="http://schemas.microsoft.com/office/spreadsheetml/2009/9/main" uri="{B025F937-C7B1-47D3-B67F-A62EFF666E3E}">
          <x14:id>{74C4328E-D931-4E9A-98BC-A2548C3E90C8}</x14:id>
        </ext>
      </extLst>
    </cfRule>
    <cfRule type="iconSet" priority="7237">
      <iconSet iconSet="3Arrows">
        <cfvo type="percent" val="0"/>
        <cfvo type="num" val="0.7"/>
        <cfvo type="num" val="1"/>
      </iconSet>
    </cfRule>
  </conditionalFormatting>
  <conditionalFormatting sqref="J1777">
    <cfRule type="dataBar" priority="7236">
      <dataBar>
        <cfvo type="num" val="0"/>
        <cfvo type="num" val="1"/>
        <color theme="4" tint="0.79998168889431442"/>
      </dataBar>
      <extLst>
        <ext xmlns:x14="http://schemas.microsoft.com/office/spreadsheetml/2009/9/main" uri="{B025F937-C7B1-47D3-B67F-A62EFF666E3E}">
          <x14:id>{BBA43849-AE37-42C1-8CED-DA1E5C432D3F}</x14:id>
        </ext>
      </extLst>
    </cfRule>
    <cfRule type="iconSet" priority="7235">
      <iconSet iconSet="3Arrows">
        <cfvo type="percent" val="0"/>
        <cfvo type="num" val="0.7"/>
        <cfvo type="num" val="1"/>
      </iconSet>
    </cfRule>
  </conditionalFormatting>
  <conditionalFormatting sqref="J1779">
    <cfRule type="iconSet" priority="7233">
      <iconSet iconSet="3Arrows">
        <cfvo type="percent" val="0"/>
        <cfvo type="num" val="0.7"/>
        <cfvo type="num" val="1"/>
      </iconSet>
    </cfRule>
    <cfRule type="dataBar" priority="7234">
      <dataBar>
        <cfvo type="num" val="0"/>
        <cfvo type="num" val="1"/>
        <color theme="4" tint="0.79998168889431442"/>
      </dataBar>
      <extLst>
        <ext xmlns:x14="http://schemas.microsoft.com/office/spreadsheetml/2009/9/main" uri="{B025F937-C7B1-47D3-B67F-A62EFF666E3E}">
          <x14:id>{1C5B7707-A367-4102-AF1B-8623AE0ACB8C}</x14:id>
        </ext>
      </extLst>
    </cfRule>
  </conditionalFormatting>
  <conditionalFormatting sqref="J1781">
    <cfRule type="iconSet" priority="7231">
      <iconSet iconSet="3Arrows">
        <cfvo type="percent" val="0"/>
        <cfvo type="num" val="0.7"/>
        <cfvo type="num" val="1"/>
      </iconSet>
    </cfRule>
    <cfRule type="dataBar" priority="7232">
      <dataBar>
        <cfvo type="num" val="0"/>
        <cfvo type="num" val="1"/>
        <color theme="4" tint="0.79998168889431442"/>
      </dataBar>
      <extLst>
        <ext xmlns:x14="http://schemas.microsoft.com/office/spreadsheetml/2009/9/main" uri="{B025F937-C7B1-47D3-B67F-A62EFF666E3E}">
          <x14:id>{9B221A6C-1CC7-40A2-BCD0-B3DD2F029D64}</x14:id>
        </ext>
      </extLst>
    </cfRule>
  </conditionalFormatting>
  <conditionalFormatting sqref="J1783">
    <cfRule type="dataBar" priority="7230">
      <dataBar>
        <cfvo type="num" val="0"/>
        <cfvo type="num" val="1"/>
        <color theme="4" tint="0.79998168889431442"/>
      </dataBar>
      <extLst>
        <ext xmlns:x14="http://schemas.microsoft.com/office/spreadsheetml/2009/9/main" uri="{B025F937-C7B1-47D3-B67F-A62EFF666E3E}">
          <x14:id>{E855C71B-10D1-4F0F-81C7-5B51727B3CB8}</x14:id>
        </ext>
      </extLst>
    </cfRule>
    <cfRule type="iconSet" priority="7229">
      <iconSet iconSet="3Arrows">
        <cfvo type="percent" val="0"/>
        <cfvo type="num" val="0.7"/>
        <cfvo type="num" val="1"/>
      </iconSet>
    </cfRule>
  </conditionalFormatting>
  <conditionalFormatting sqref="J1785 J1787">
    <cfRule type="dataBar" priority="7228">
      <dataBar>
        <cfvo type="num" val="0"/>
        <cfvo type="num" val="1"/>
        <color theme="4" tint="0.79998168889431442"/>
      </dataBar>
      <extLst>
        <ext xmlns:x14="http://schemas.microsoft.com/office/spreadsheetml/2009/9/main" uri="{B025F937-C7B1-47D3-B67F-A62EFF666E3E}">
          <x14:id>{D1AB5F66-8501-4B62-8E22-18F9366AB15B}</x14:id>
        </ext>
      </extLst>
    </cfRule>
    <cfRule type="iconSet" priority="7227">
      <iconSet iconSet="3Arrows">
        <cfvo type="percent" val="0"/>
        <cfvo type="num" val="0.7"/>
        <cfvo type="num" val="1"/>
      </iconSet>
    </cfRule>
  </conditionalFormatting>
  <conditionalFormatting sqref="J1789">
    <cfRule type="dataBar" priority="7226">
      <dataBar>
        <cfvo type="num" val="0"/>
        <cfvo type="num" val="1"/>
        <color theme="4" tint="0.79998168889431442"/>
      </dataBar>
      <extLst>
        <ext xmlns:x14="http://schemas.microsoft.com/office/spreadsheetml/2009/9/main" uri="{B025F937-C7B1-47D3-B67F-A62EFF666E3E}">
          <x14:id>{ECD7B663-B1E5-402F-9DB8-64A48A23C5F0}</x14:id>
        </ext>
      </extLst>
    </cfRule>
    <cfRule type="iconSet" priority="7225">
      <iconSet iconSet="3Arrows">
        <cfvo type="percent" val="0"/>
        <cfvo type="num" val="0.7"/>
        <cfvo type="num" val="1"/>
      </iconSet>
    </cfRule>
  </conditionalFormatting>
  <conditionalFormatting sqref="J1791">
    <cfRule type="dataBar" priority="7224">
      <dataBar>
        <cfvo type="num" val="0"/>
        <cfvo type="num" val="1"/>
        <color theme="4" tint="0.79998168889431442"/>
      </dataBar>
      <extLst>
        <ext xmlns:x14="http://schemas.microsoft.com/office/spreadsheetml/2009/9/main" uri="{B025F937-C7B1-47D3-B67F-A62EFF666E3E}">
          <x14:id>{94C0A45F-E429-4887-95FE-F8390DCDBF86}</x14:id>
        </ext>
      </extLst>
    </cfRule>
    <cfRule type="iconSet" priority="7223">
      <iconSet iconSet="3Arrows">
        <cfvo type="percent" val="0"/>
        <cfvo type="num" val="0.7"/>
        <cfvo type="num" val="1"/>
      </iconSet>
    </cfRule>
  </conditionalFormatting>
  <conditionalFormatting sqref="J1793">
    <cfRule type="dataBar" priority="7222">
      <dataBar>
        <cfvo type="num" val="0"/>
        <cfvo type="num" val="1"/>
        <color theme="4" tint="0.79998168889431442"/>
      </dataBar>
      <extLst>
        <ext xmlns:x14="http://schemas.microsoft.com/office/spreadsheetml/2009/9/main" uri="{B025F937-C7B1-47D3-B67F-A62EFF666E3E}">
          <x14:id>{F9EB97C1-DC09-4920-8EB5-58D948D03197}</x14:id>
        </ext>
      </extLst>
    </cfRule>
    <cfRule type="iconSet" priority="7221">
      <iconSet iconSet="3Arrows">
        <cfvo type="percent" val="0"/>
        <cfvo type="num" val="0.7"/>
        <cfvo type="num" val="1"/>
      </iconSet>
    </cfRule>
  </conditionalFormatting>
  <conditionalFormatting sqref="J1795">
    <cfRule type="dataBar" priority="7220">
      <dataBar>
        <cfvo type="num" val="0"/>
        <cfvo type="num" val="1"/>
        <color theme="4" tint="0.79998168889431442"/>
      </dataBar>
      <extLst>
        <ext xmlns:x14="http://schemas.microsoft.com/office/spreadsheetml/2009/9/main" uri="{B025F937-C7B1-47D3-B67F-A62EFF666E3E}">
          <x14:id>{2A9B9FA3-9172-4CBB-96D7-ACC32F31FCDB}</x14:id>
        </ext>
      </extLst>
    </cfRule>
    <cfRule type="iconSet" priority="7219">
      <iconSet iconSet="3Arrows">
        <cfvo type="percent" val="0"/>
        <cfvo type="num" val="0.7"/>
        <cfvo type="num" val="1"/>
      </iconSet>
    </cfRule>
  </conditionalFormatting>
  <conditionalFormatting sqref="J1797 J1799">
    <cfRule type="iconSet" priority="7217">
      <iconSet iconSet="3Arrows">
        <cfvo type="percent" val="0"/>
        <cfvo type="num" val="0.7"/>
        <cfvo type="num" val="1"/>
      </iconSet>
    </cfRule>
    <cfRule type="dataBar" priority="7218">
      <dataBar>
        <cfvo type="num" val="0"/>
        <cfvo type="num" val="1"/>
        <color theme="4" tint="0.79998168889431442"/>
      </dataBar>
      <extLst>
        <ext xmlns:x14="http://schemas.microsoft.com/office/spreadsheetml/2009/9/main" uri="{B025F937-C7B1-47D3-B67F-A62EFF666E3E}">
          <x14:id>{9BD155E7-1A36-4FAB-8B9C-5C8DB69DCEE8}</x14:id>
        </ext>
      </extLst>
    </cfRule>
  </conditionalFormatting>
  <conditionalFormatting sqref="J1801">
    <cfRule type="dataBar" priority="7216">
      <dataBar>
        <cfvo type="num" val="0"/>
        <cfvo type="num" val="1"/>
        <color theme="4" tint="0.79998168889431442"/>
      </dataBar>
      <extLst>
        <ext xmlns:x14="http://schemas.microsoft.com/office/spreadsheetml/2009/9/main" uri="{B025F937-C7B1-47D3-B67F-A62EFF666E3E}">
          <x14:id>{56031F39-3583-4342-A767-6098BB3AC106}</x14:id>
        </ext>
      </extLst>
    </cfRule>
    <cfRule type="iconSet" priority="7215">
      <iconSet iconSet="3Arrows">
        <cfvo type="percent" val="0"/>
        <cfvo type="num" val="0.7"/>
        <cfvo type="num" val="1"/>
      </iconSet>
    </cfRule>
  </conditionalFormatting>
  <conditionalFormatting sqref="J1803">
    <cfRule type="dataBar" priority="7214">
      <dataBar>
        <cfvo type="num" val="0"/>
        <cfvo type="num" val="1"/>
        <color theme="4" tint="0.79998168889431442"/>
      </dataBar>
      <extLst>
        <ext xmlns:x14="http://schemas.microsoft.com/office/spreadsheetml/2009/9/main" uri="{B025F937-C7B1-47D3-B67F-A62EFF666E3E}">
          <x14:id>{4821B167-52D7-4C72-BA96-9DD193E71247}</x14:id>
        </ext>
      </extLst>
    </cfRule>
    <cfRule type="iconSet" priority="7213">
      <iconSet iconSet="3Arrows">
        <cfvo type="percent" val="0"/>
        <cfvo type="num" val="0.7"/>
        <cfvo type="num" val="1"/>
      </iconSet>
    </cfRule>
  </conditionalFormatting>
  <conditionalFormatting sqref="J1806">
    <cfRule type="dataBar" priority="7212">
      <dataBar>
        <cfvo type="num" val="0"/>
        <cfvo type="num" val="1"/>
        <color theme="4" tint="0.79998168889431442"/>
      </dataBar>
      <extLst>
        <ext xmlns:x14="http://schemas.microsoft.com/office/spreadsheetml/2009/9/main" uri="{B025F937-C7B1-47D3-B67F-A62EFF666E3E}">
          <x14:id>{CCECBED9-EBDC-4C8C-B533-845B52D5E1A9}</x14:id>
        </ext>
      </extLst>
    </cfRule>
    <cfRule type="iconSet" priority="7211">
      <iconSet iconSet="3Arrows">
        <cfvo type="percent" val="0"/>
        <cfvo type="num" val="0.7"/>
        <cfvo type="num" val="1"/>
      </iconSet>
    </cfRule>
  </conditionalFormatting>
  <conditionalFormatting sqref="J1808">
    <cfRule type="iconSet" priority="7209">
      <iconSet iconSet="3Arrows">
        <cfvo type="percent" val="0"/>
        <cfvo type="num" val="0.7"/>
        <cfvo type="num" val="1"/>
      </iconSet>
    </cfRule>
    <cfRule type="dataBar" priority="7210">
      <dataBar>
        <cfvo type="num" val="0"/>
        <cfvo type="num" val="1"/>
        <color theme="4" tint="0.79998168889431442"/>
      </dataBar>
      <extLst>
        <ext xmlns:x14="http://schemas.microsoft.com/office/spreadsheetml/2009/9/main" uri="{B025F937-C7B1-47D3-B67F-A62EFF666E3E}">
          <x14:id>{5A5F0937-E50C-403E-BB37-67EAC25F1F92}</x14:id>
        </ext>
      </extLst>
    </cfRule>
  </conditionalFormatting>
  <conditionalFormatting sqref="J1810">
    <cfRule type="dataBar" priority="7208">
      <dataBar>
        <cfvo type="num" val="0"/>
        <cfvo type="num" val="1"/>
        <color theme="4" tint="0.79998168889431442"/>
      </dataBar>
      <extLst>
        <ext xmlns:x14="http://schemas.microsoft.com/office/spreadsheetml/2009/9/main" uri="{B025F937-C7B1-47D3-B67F-A62EFF666E3E}">
          <x14:id>{A13A19B8-8580-4482-8D1B-2CD0F126452C}</x14:id>
        </ext>
      </extLst>
    </cfRule>
    <cfRule type="iconSet" priority="7207">
      <iconSet iconSet="3Arrows">
        <cfvo type="percent" val="0"/>
        <cfvo type="num" val="0.7"/>
        <cfvo type="num" val="1"/>
      </iconSet>
    </cfRule>
  </conditionalFormatting>
  <conditionalFormatting sqref="J1812">
    <cfRule type="dataBar" priority="7206">
      <dataBar>
        <cfvo type="num" val="0"/>
        <cfvo type="num" val="1"/>
        <color theme="4" tint="0.79998168889431442"/>
      </dataBar>
      <extLst>
        <ext xmlns:x14="http://schemas.microsoft.com/office/spreadsheetml/2009/9/main" uri="{B025F937-C7B1-47D3-B67F-A62EFF666E3E}">
          <x14:id>{A6340ABF-896F-4B8E-BD30-D8D9D0F8D1C4}</x14:id>
        </ext>
      </extLst>
    </cfRule>
    <cfRule type="iconSet" priority="7205">
      <iconSet iconSet="3Arrows">
        <cfvo type="percent" val="0"/>
        <cfvo type="num" val="0.7"/>
        <cfvo type="num" val="1"/>
      </iconSet>
    </cfRule>
  </conditionalFormatting>
  <conditionalFormatting sqref="J1814">
    <cfRule type="dataBar" priority="7204">
      <dataBar>
        <cfvo type="num" val="0"/>
        <cfvo type="num" val="1"/>
        <color theme="4" tint="0.79998168889431442"/>
      </dataBar>
      <extLst>
        <ext xmlns:x14="http://schemas.microsoft.com/office/spreadsheetml/2009/9/main" uri="{B025F937-C7B1-47D3-B67F-A62EFF666E3E}">
          <x14:id>{D8AD32EF-FADA-4230-B10D-AD16E9667833}</x14:id>
        </ext>
      </extLst>
    </cfRule>
    <cfRule type="iconSet" priority="7203">
      <iconSet iconSet="3Arrows">
        <cfvo type="percent" val="0"/>
        <cfvo type="num" val="0.7"/>
        <cfvo type="num" val="1"/>
      </iconSet>
    </cfRule>
  </conditionalFormatting>
  <conditionalFormatting sqref="J1816 J1818">
    <cfRule type="iconSet" priority="7201">
      <iconSet iconSet="3Arrows">
        <cfvo type="percent" val="0"/>
        <cfvo type="num" val="0.7"/>
        <cfvo type="num" val="1"/>
      </iconSet>
    </cfRule>
    <cfRule type="dataBar" priority="7202">
      <dataBar>
        <cfvo type="num" val="0"/>
        <cfvo type="num" val="1"/>
        <color theme="4" tint="0.79998168889431442"/>
      </dataBar>
      <extLst>
        <ext xmlns:x14="http://schemas.microsoft.com/office/spreadsheetml/2009/9/main" uri="{B025F937-C7B1-47D3-B67F-A62EFF666E3E}">
          <x14:id>{7E1D6D5F-D6FB-4ACF-8EFA-C9FC6E26CFC0}</x14:id>
        </ext>
      </extLst>
    </cfRule>
  </conditionalFormatting>
  <conditionalFormatting sqref="J1820">
    <cfRule type="iconSet" priority="7199">
      <iconSet iconSet="3Arrows">
        <cfvo type="percent" val="0"/>
        <cfvo type="num" val="0.7"/>
        <cfvo type="num" val="1"/>
      </iconSet>
    </cfRule>
    <cfRule type="dataBar" priority="7200">
      <dataBar>
        <cfvo type="num" val="0"/>
        <cfvo type="num" val="1"/>
        <color theme="4" tint="0.79998168889431442"/>
      </dataBar>
      <extLst>
        <ext xmlns:x14="http://schemas.microsoft.com/office/spreadsheetml/2009/9/main" uri="{B025F937-C7B1-47D3-B67F-A62EFF666E3E}">
          <x14:id>{1B48F223-3119-44CB-B645-7E2E0482BFF1}</x14:id>
        </ext>
      </extLst>
    </cfRule>
  </conditionalFormatting>
  <conditionalFormatting sqref="J1822">
    <cfRule type="dataBar" priority="7198">
      <dataBar>
        <cfvo type="num" val="0"/>
        <cfvo type="num" val="1"/>
        <color theme="4" tint="0.79998168889431442"/>
      </dataBar>
      <extLst>
        <ext xmlns:x14="http://schemas.microsoft.com/office/spreadsheetml/2009/9/main" uri="{B025F937-C7B1-47D3-B67F-A62EFF666E3E}">
          <x14:id>{86B7B782-E23D-4BB5-AEC4-C2DA8E912AEC}</x14:id>
        </ext>
      </extLst>
    </cfRule>
    <cfRule type="iconSet" priority="7197">
      <iconSet iconSet="3Arrows">
        <cfvo type="percent" val="0"/>
        <cfvo type="num" val="0.7"/>
        <cfvo type="num" val="1"/>
      </iconSet>
    </cfRule>
  </conditionalFormatting>
  <conditionalFormatting sqref="J1824 J1826">
    <cfRule type="dataBar" priority="7196">
      <dataBar>
        <cfvo type="num" val="0"/>
        <cfvo type="num" val="1"/>
        <color theme="4" tint="0.79998168889431442"/>
      </dataBar>
      <extLst>
        <ext xmlns:x14="http://schemas.microsoft.com/office/spreadsheetml/2009/9/main" uri="{B025F937-C7B1-47D3-B67F-A62EFF666E3E}">
          <x14:id>{F215195A-A8C3-4C17-995C-44A5F9109B8D}</x14:id>
        </ext>
      </extLst>
    </cfRule>
    <cfRule type="iconSet" priority="7195">
      <iconSet iconSet="3Arrows">
        <cfvo type="percent" val="0"/>
        <cfvo type="num" val="0.7"/>
        <cfvo type="num" val="1"/>
      </iconSet>
    </cfRule>
  </conditionalFormatting>
  <conditionalFormatting sqref="J1828">
    <cfRule type="dataBar" priority="7194">
      <dataBar>
        <cfvo type="num" val="0"/>
        <cfvo type="num" val="1"/>
        <color theme="4" tint="0.79998168889431442"/>
      </dataBar>
      <extLst>
        <ext xmlns:x14="http://schemas.microsoft.com/office/spreadsheetml/2009/9/main" uri="{B025F937-C7B1-47D3-B67F-A62EFF666E3E}">
          <x14:id>{32FAD71D-CC2E-4301-98E7-4C21B3001DA2}</x14:id>
        </ext>
      </extLst>
    </cfRule>
    <cfRule type="iconSet" priority="7193">
      <iconSet iconSet="3Arrows">
        <cfvo type="percent" val="0"/>
        <cfvo type="num" val="0.7"/>
        <cfvo type="num" val="1"/>
      </iconSet>
    </cfRule>
  </conditionalFormatting>
  <conditionalFormatting sqref="J1830">
    <cfRule type="dataBar" priority="7192">
      <dataBar>
        <cfvo type="num" val="0"/>
        <cfvo type="num" val="1"/>
        <color theme="4" tint="0.79998168889431442"/>
      </dataBar>
      <extLst>
        <ext xmlns:x14="http://schemas.microsoft.com/office/spreadsheetml/2009/9/main" uri="{B025F937-C7B1-47D3-B67F-A62EFF666E3E}">
          <x14:id>{76087F98-E7DF-4CB4-92A0-0AE25D7A0B6A}</x14:id>
        </ext>
      </extLst>
    </cfRule>
    <cfRule type="iconSet" priority="7191">
      <iconSet iconSet="3Arrows">
        <cfvo type="percent" val="0"/>
        <cfvo type="num" val="0.7"/>
        <cfvo type="num" val="1"/>
      </iconSet>
    </cfRule>
  </conditionalFormatting>
  <conditionalFormatting sqref="J1832 J1834">
    <cfRule type="dataBar" priority="7190">
      <dataBar>
        <cfvo type="num" val="0"/>
        <cfvo type="num" val="1"/>
        <color theme="4" tint="0.79998168889431442"/>
      </dataBar>
      <extLst>
        <ext xmlns:x14="http://schemas.microsoft.com/office/spreadsheetml/2009/9/main" uri="{B025F937-C7B1-47D3-B67F-A62EFF666E3E}">
          <x14:id>{F5AE30BD-0A23-46A7-9BFC-9861996E420A}</x14:id>
        </ext>
      </extLst>
    </cfRule>
    <cfRule type="iconSet" priority="7189">
      <iconSet iconSet="3Arrows">
        <cfvo type="percent" val="0"/>
        <cfvo type="num" val="0.7"/>
        <cfvo type="num" val="1"/>
      </iconSet>
    </cfRule>
  </conditionalFormatting>
  <conditionalFormatting sqref="J1836">
    <cfRule type="dataBar" priority="7188">
      <dataBar>
        <cfvo type="num" val="0"/>
        <cfvo type="num" val="1"/>
        <color theme="4" tint="0.79998168889431442"/>
      </dataBar>
      <extLst>
        <ext xmlns:x14="http://schemas.microsoft.com/office/spreadsheetml/2009/9/main" uri="{B025F937-C7B1-47D3-B67F-A62EFF666E3E}">
          <x14:id>{F961968C-7E45-4BCD-92B0-D22560587761}</x14:id>
        </ext>
      </extLst>
    </cfRule>
    <cfRule type="iconSet" priority="7187">
      <iconSet iconSet="3Arrows">
        <cfvo type="percent" val="0"/>
        <cfvo type="num" val="0.7"/>
        <cfvo type="num" val="1"/>
      </iconSet>
    </cfRule>
  </conditionalFormatting>
  <conditionalFormatting sqref="J1838">
    <cfRule type="dataBar" priority="7186">
      <dataBar>
        <cfvo type="num" val="0"/>
        <cfvo type="num" val="1"/>
        <color theme="4" tint="0.79998168889431442"/>
      </dataBar>
      <extLst>
        <ext xmlns:x14="http://schemas.microsoft.com/office/spreadsheetml/2009/9/main" uri="{B025F937-C7B1-47D3-B67F-A62EFF666E3E}">
          <x14:id>{EAABE7E0-DE19-421B-88B4-DB6C6AE922C7}</x14:id>
        </ext>
      </extLst>
    </cfRule>
    <cfRule type="iconSet" priority="7185">
      <iconSet iconSet="3Arrows">
        <cfvo type="percent" val="0"/>
        <cfvo type="num" val="0.7"/>
        <cfvo type="num" val="1"/>
      </iconSet>
    </cfRule>
  </conditionalFormatting>
  <conditionalFormatting sqref="J1840">
    <cfRule type="dataBar" priority="7184">
      <dataBar>
        <cfvo type="num" val="0"/>
        <cfvo type="num" val="1"/>
        <color theme="4" tint="0.79998168889431442"/>
      </dataBar>
      <extLst>
        <ext xmlns:x14="http://schemas.microsoft.com/office/spreadsheetml/2009/9/main" uri="{B025F937-C7B1-47D3-B67F-A62EFF666E3E}">
          <x14:id>{220112BB-38A3-4F2D-ACF2-A5D8E182C3A0}</x14:id>
        </ext>
      </extLst>
    </cfRule>
    <cfRule type="iconSet" priority="7183">
      <iconSet iconSet="3Arrows">
        <cfvo type="percent" val="0"/>
        <cfvo type="num" val="0.7"/>
        <cfvo type="num" val="1"/>
      </iconSet>
    </cfRule>
  </conditionalFormatting>
  <conditionalFormatting sqref="J1842">
    <cfRule type="dataBar" priority="7182">
      <dataBar>
        <cfvo type="num" val="0"/>
        <cfvo type="num" val="1"/>
        <color theme="4" tint="0.79998168889431442"/>
      </dataBar>
      <extLst>
        <ext xmlns:x14="http://schemas.microsoft.com/office/spreadsheetml/2009/9/main" uri="{B025F937-C7B1-47D3-B67F-A62EFF666E3E}">
          <x14:id>{2CE556E4-8A7B-47F4-A694-4F703F99643A}</x14:id>
        </ext>
      </extLst>
    </cfRule>
    <cfRule type="iconSet" priority="7181">
      <iconSet iconSet="3Arrows">
        <cfvo type="percent" val="0"/>
        <cfvo type="num" val="0.7"/>
        <cfvo type="num" val="1"/>
      </iconSet>
    </cfRule>
  </conditionalFormatting>
  <conditionalFormatting sqref="J1844">
    <cfRule type="dataBar" priority="7180">
      <dataBar>
        <cfvo type="num" val="0"/>
        <cfvo type="num" val="1"/>
        <color theme="4" tint="0.79998168889431442"/>
      </dataBar>
      <extLst>
        <ext xmlns:x14="http://schemas.microsoft.com/office/spreadsheetml/2009/9/main" uri="{B025F937-C7B1-47D3-B67F-A62EFF666E3E}">
          <x14:id>{EB343D31-FDF3-41A0-9026-5FAAF333445E}</x14:id>
        </ext>
      </extLst>
    </cfRule>
    <cfRule type="iconSet" priority="7179">
      <iconSet iconSet="3Arrows">
        <cfvo type="percent" val="0"/>
        <cfvo type="num" val="0.7"/>
        <cfvo type="num" val="1"/>
      </iconSet>
    </cfRule>
  </conditionalFormatting>
  <conditionalFormatting sqref="J1847">
    <cfRule type="dataBar" priority="7178">
      <dataBar>
        <cfvo type="num" val="0"/>
        <cfvo type="num" val="1"/>
        <color theme="4" tint="0.79998168889431442"/>
      </dataBar>
      <extLst>
        <ext xmlns:x14="http://schemas.microsoft.com/office/spreadsheetml/2009/9/main" uri="{B025F937-C7B1-47D3-B67F-A62EFF666E3E}">
          <x14:id>{09A9AC97-5B2B-4ADE-9787-8114AB5DBA53}</x14:id>
        </ext>
      </extLst>
    </cfRule>
    <cfRule type="iconSet" priority="7177">
      <iconSet iconSet="3Arrows">
        <cfvo type="percent" val="0"/>
        <cfvo type="num" val="0.7"/>
        <cfvo type="num" val="1"/>
      </iconSet>
    </cfRule>
  </conditionalFormatting>
  <conditionalFormatting sqref="J1849">
    <cfRule type="dataBar" priority="7176">
      <dataBar>
        <cfvo type="num" val="0"/>
        <cfvo type="num" val="1"/>
        <color theme="4" tint="0.79998168889431442"/>
      </dataBar>
      <extLst>
        <ext xmlns:x14="http://schemas.microsoft.com/office/spreadsheetml/2009/9/main" uri="{B025F937-C7B1-47D3-B67F-A62EFF666E3E}">
          <x14:id>{2D1E7ECD-2106-4B4B-8BC1-8B404E65BC13}</x14:id>
        </ext>
      </extLst>
    </cfRule>
    <cfRule type="iconSet" priority="7175">
      <iconSet iconSet="3Arrows">
        <cfvo type="percent" val="0"/>
        <cfvo type="num" val="0.7"/>
        <cfvo type="num" val="1"/>
      </iconSet>
    </cfRule>
  </conditionalFormatting>
  <conditionalFormatting sqref="J1851">
    <cfRule type="dataBar" priority="7174">
      <dataBar>
        <cfvo type="num" val="0"/>
        <cfvo type="num" val="1"/>
        <color theme="4" tint="0.79998168889431442"/>
      </dataBar>
      <extLst>
        <ext xmlns:x14="http://schemas.microsoft.com/office/spreadsheetml/2009/9/main" uri="{B025F937-C7B1-47D3-B67F-A62EFF666E3E}">
          <x14:id>{CD02F65A-73B8-4361-BEE5-B9C7361A85D3}</x14:id>
        </ext>
      </extLst>
    </cfRule>
    <cfRule type="iconSet" priority="7173">
      <iconSet iconSet="3Arrows">
        <cfvo type="percent" val="0"/>
        <cfvo type="num" val="0.7"/>
        <cfvo type="num" val="1"/>
      </iconSet>
    </cfRule>
  </conditionalFormatting>
  <conditionalFormatting sqref="J1853">
    <cfRule type="dataBar" priority="7172">
      <dataBar>
        <cfvo type="num" val="0"/>
        <cfvo type="num" val="1"/>
        <color theme="4" tint="0.79998168889431442"/>
      </dataBar>
      <extLst>
        <ext xmlns:x14="http://schemas.microsoft.com/office/spreadsheetml/2009/9/main" uri="{B025F937-C7B1-47D3-B67F-A62EFF666E3E}">
          <x14:id>{A463135B-F015-4069-940E-60F2665CE729}</x14:id>
        </ext>
      </extLst>
    </cfRule>
    <cfRule type="iconSet" priority="7171">
      <iconSet iconSet="3Arrows">
        <cfvo type="percent" val="0"/>
        <cfvo type="num" val="0.7"/>
        <cfvo type="num" val="1"/>
      </iconSet>
    </cfRule>
  </conditionalFormatting>
  <conditionalFormatting sqref="J1855">
    <cfRule type="iconSet" priority="7169">
      <iconSet iconSet="3Arrows">
        <cfvo type="percent" val="0"/>
        <cfvo type="num" val="0.7"/>
        <cfvo type="num" val="1"/>
      </iconSet>
    </cfRule>
    <cfRule type="dataBar" priority="7170">
      <dataBar>
        <cfvo type="num" val="0"/>
        <cfvo type="num" val="1"/>
        <color theme="4" tint="0.79998168889431442"/>
      </dataBar>
      <extLst>
        <ext xmlns:x14="http://schemas.microsoft.com/office/spreadsheetml/2009/9/main" uri="{B025F937-C7B1-47D3-B67F-A62EFF666E3E}">
          <x14:id>{C536EB02-6BF1-4506-8209-9491E0648033}</x14:id>
        </ext>
      </extLst>
    </cfRule>
  </conditionalFormatting>
  <conditionalFormatting sqref="J1857">
    <cfRule type="iconSet" priority="7167">
      <iconSet iconSet="3Arrows">
        <cfvo type="percent" val="0"/>
        <cfvo type="num" val="0.7"/>
        <cfvo type="num" val="1"/>
      </iconSet>
    </cfRule>
    <cfRule type="dataBar" priority="7168">
      <dataBar>
        <cfvo type="num" val="0"/>
        <cfvo type="num" val="1"/>
        <color theme="4" tint="0.79998168889431442"/>
      </dataBar>
      <extLst>
        <ext xmlns:x14="http://schemas.microsoft.com/office/spreadsheetml/2009/9/main" uri="{B025F937-C7B1-47D3-B67F-A62EFF666E3E}">
          <x14:id>{18F9CD0C-7DB2-4B72-A57A-3F8596E6E188}</x14:id>
        </ext>
      </extLst>
    </cfRule>
  </conditionalFormatting>
  <conditionalFormatting sqref="J1860">
    <cfRule type="iconSet" priority="7165">
      <iconSet iconSet="3Arrows">
        <cfvo type="percent" val="0"/>
        <cfvo type="num" val="0.7"/>
        <cfvo type="num" val="1"/>
      </iconSet>
    </cfRule>
    <cfRule type="dataBar" priority="7166">
      <dataBar>
        <cfvo type="num" val="0"/>
        <cfvo type="num" val="1"/>
        <color theme="4" tint="0.79998168889431442"/>
      </dataBar>
      <extLst>
        <ext xmlns:x14="http://schemas.microsoft.com/office/spreadsheetml/2009/9/main" uri="{B025F937-C7B1-47D3-B67F-A62EFF666E3E}">
          <x14:id>{989A830F-406F-4DED-B27F-3B9A34E11811}</x14:id>
        </ext>
      </extLst>
    </cfRule>
  </conditionalFormatting>
  <conditionalFormatting sqref="J1862 J1864 J1866">
    <cfRule type="dataBar" priority="7164">
      <dataBar>
        <cfvo type="num" val="0"/>
        <cfvo type="num" val="1"/>
        <color theme="4" tint="0.79998168889431442"/>
      </dataBar>
      <extLst>
        <ext xmlns:x14="http://schemas.microsoft.com/office/spreadsheetml/2009/9/main" uri="{B025F937-C7B1-47D3-B67F-A62EFF666E3E}">
          <x14:id>{9906E70D-D38E-48E4-9456-25FEEEEF1AF2}</x14:id>
        </ext>
      </extLst>
    </cfRule>
    <cfRule type="iconSet" priority="7163">
      <iconSet iconSet="3Arrows">
        <cfvo type="percent" val="0"/>
        <cfvo type="num" val="0.7"/>
        <cfvo type="num" val="1"/>
      </iconSet>
    </cfRule>
  </conditionalFormatting>
  <conditionalFormatting sqref="J1868 J1870 J1872">
    <cfRule type="dataBar" priority="7162">
      <dataBar>
        <cfvo type="num" val="0"/>
        <cfvo type="num" val="1"/>
        <color theme="4" tint="0.79998168889431442"/>
      </dataBar>
      <extLst>
        <ext xmlns:x14="http://schemas.microsoft.com/office/spreadsheetml/2009/9/main" uri="{B025F937-C7B1-47D3-B67F-A62EFF666E3E}">
          <x14:id>{C89CD3CA-40CB-4E94-833F-1A47B004D760}</x14:id>
        </ext>
      </extLst>
    </cfRule>
    <cfRule type="iconSet" priority="7161">
      <iconSet iconSet="3Arrows">
        <cfvo type="percent" val="0"/>
        <cfvo type="num" val="0.7"/>
        <cfvo type="num" val="1"/>
      </iconSet>
    </cfRule>
  </conditionalFormatting>
  <conditionalFormatting sqref="J1874 J1876 J1878">
    <cfRule type="dataBar" priority="7160">
      <dataBar>
        <cfvo type="num" val="0"/>
        <cfvo type="num" val="1"/>
        <color theme="4" tint="0.79998168889431442"/>
      </dataBar>
      <extLst>
        <ext xmlns:x14="http://schemas.microsoft.com/office/spreadsheetml/2009/9/main" uri="{B025F937-C7B1-47D3-B67F-A62EFF666E3E}">
          <x14:id>{E1DFA9EC-E919-4E33-89BF-A166E6008934}</x14:id>
        </ext>
      </extLst>
    </cfRule>
    <cfRule type="iconSet" priority="7159">
      <iconSet iconSet="3Arrows">
        <cfvo type="percent" val="0"/>
        <cfvo type="num" val="0.7"/>
        <cfvo type="num" val="1"/>
      </iconSet>
    </cfRule>
  </conditionalFormatting>
  <conditionalFormatting sqref="J1882">
    <cfRule type="dataBar" priority="7158">
      <dataBar>
        <cfvo type="num" val="0"/>
        <cfvo type="num" val="1"/>
        <color theme="4" tint="0.79998168889431442"/>
      </dataBar>
      <extLst>
        <ext xmlns:x14="http://schemas.microsoft.com/office/spreadsheetml/2009/9/main" uri="{B025F937-C7B1-47D3-B67F-A62EFF666E3E}">
          <x14:id>{BCB87F86-3285-4B6E-8D63-187D40CD3250}</x14:id>
        </ext>
      </extLst>
    </cfRule>
    <cfRule type="iconSet" priority="7157">
      <iconSet iconSet="3Arrows">
        <cfvo type="percent" val="0"/>
        <cfvo type="num" val="0.7"/>
        <cfvo type="num" val="1"/>
      </iconSet>
    </cfRule>
  </conditionalFormatting>
  <conditionalFormatting sqref="J1884 J1894 J1886 J1888 J1890 J1892 J1896">
    <cfRule type="dataBar" priority="7156">
      <dataBar>
        <cfvo type="num" val="0"/>
        <cfvo type="num" val="1"/>
        <color theme="4" tint="0.79998168889431442"/>
      </dataBar>
      <extLst>
        <ext xmlns:x14="http://schemas.microsoft.com/office/spreadsheetml/2009/9/main" uri="{B025F937-C7B1-47D3-B67F-A62EFF666E3E}">
          <x14:id>{9609A78B-3F7F-424A-A5FC-431ADBADA891}</x14:id>
        </ext>
      </extLst>
    </cfRule>
    <cfRule type="iconSet" priority="7155">
      <iconSet iconSet="3Arrows">
        <cfvo type="percent" val="0"/>
        <cfvo type="num" val="0.7"/>
        <cfvo type="num" val="1"/>
      </iconSet>
    </cfRule>
  </conditionalFormatting>
  <conditionalFormatting sqref="J1898">
    <cfRule type="iconSet" priority="7153">
      <iconSet iconSet="3Arrows">
        <cfvo type="percent" val="0"/>
        <cfvo type="num" val="0.7"/>
        <cfvo type="num" val="1"/>
      </iconSet>
    </cfRule>
    <cfRule type="dataBar" priority="7154">
      <dataBar>
        <cfvo type="num" val="0"/>
        <cfvo type="num" val="1"/>
        <color theme="4" tint="0.79998168889431442"/>
      </dataBar>
      <extLst>
        <ext xmlns:x14="http://schemas.microsoft.com/office/spreadsheetml/2009/9/main" uri="{B025F937-C7B1-47D3-B67F-A62EFF666E3E}">
          <x14:id>{81473269-8571-4569-B747-00BE64DD5FF3}</x14:id>
        </ext>
      </extLst>
    </cfRule>
  </conditionalFormatting>
  <conditionalFormatting sqref="J1903">
    <cfRule type="iconSet" priority="7151">
      <iconSet iconSet="3Arrows">
        <cfvo type="percent" val="0"/>
        <cfvo type="num" val="0.7"/>
        <cfvo type="num" val="1"/>
      </iconSet>
    </cfRule>
    <cfRule type="dataBar" priority="7152">
      <dataBar>
        <cfvo type="num" val="0"/>
        <cfvo type="num" val="1"/>
        <color theme="4" tint="0.79998168889431442"/>
      </dataBar>
      <extLst>
        <ext xmlns:x14="http://schemas.microsoft.com/office/spreadsheetml/2009/9/main" uri="{B025F937-C7B1-47D3-B67F-A62EFF666E3E}">
          <x14:id>{B7443F1B-0A2A-4D24-B862-01D506D1D2BA}</x14:id>
        </ext>
      </extLst>
    </cfRule>
  </conditionalFormatting>
  <conditionalFormatting sqref="J1907">
    <cfRule type="dataBar" priority="7150">
      <dataBar>
        <cfvo type="num" val="0"/>
        <cfvo type="num" val="1"/>
        <color theme="4" tint="0.79998168889431442"/>
      </dataBar>
      <extLst>
        <ext xmlns:x14="http://schemas.microsoft.com/office/spreadsheetml/2009/9/main" uri="{B025F937-C7B1-47D3-B67F-A62EFF666E3E}">
          <x14:id>{5EBD5936-9997-4B02-AE9E-11B813EEF313}</x14:id>
        </ext>
      </extLst>
    </cfRule>
    <cfRule type="iconSet" priority="7149">
      <iconSet iconSet="3Arrows">
        <cfvo type="percent" val="0"/>
        <cfvo type="num" val="0.7"/>
        <cfvo type="num" val="1"/>
      </iconSet>
    </cfRule>
  </conditionalFormatting>
  <conditionalFormatting sqref="J1909 J1913 J1915 J1917 J1919 J1921 J1923">
    <cfRule type="dataBar" priority="7148">
      <dataBar>
        <cfvo type="num" val="0"/>
        <cfvo type="num" val="1"/>
        <color theme="4" tint="0.79998168889431442"/>
      </dataBar>
      <extLst>
        <ext xmlns:x14="http://schemas.microsoft.com/office/spreadsheetml/2009/9/main" uri="{B025F937-C7B1-47D3-B67F-A62EFF666E3E}">
          <x14:id>{AE468460-9384-4C0F-8B08-19D781B27CDF}</x14:id>
        </ext>
      </extLst>
    </cfRule>
    <cfRule type="iconSet" priority="7147">
      <iconSet iconSet="3Arrows">
        <cfvo type="percent" val="0"/>
        <cfvo type="num" val="0.7"/>
        <cfvo type="num" val="1"/>
      </iconSet>
    </cfRule>
  </conditionalFormatting>
  <conditionalFormatting sqref="J1911">
    <cfRule type="dataBar" priority="7146">
      <dataBar>
        <cfvo type="num" val="0"/>
        <cfvo type="num" val="1"/>
        <color theme="4" tint="0.79998168889431442"/>
      </dataBar>
      <extLst>
        <ext xmlns:x14="http://schemas.microsoft.com/office/spreadsheetml/2009/9/main" uri="{B025F937-C7B1-47D3-B67F-A62EFF666E3E}">
          <x14:id>{8514F801-8CD5-45E2-A0A9-F4B31C614AD0}</x14:id>
        </ext>
      </extLst>
    </cfRule>
    <cfRule type="iconSet" priority="7145">
      <iconSet iconSet="3Arrows">
        <cfvo type="percent" val="0"/>
        <cfvo type="num" val="0.7"/>
        <cfvo type="num" val="1"/>
      </iconSet>
    </cfRule>
  </conditionalFormatting>
  <conditionalFormatting sqref="J1925">
    <cfRule type="dataBar" priority="7144">
      <dataBar>
        <cfvo type="num" val="0"/>
        <cfvo type="num" val="1"/>
        <color theme="4" tint="0.79998168889431442"/>
      </dataBar>
      <extLst>
        <ext xmlns:x14="http://schemas.microsoft.com/office/spreadsheetml/2009/9/main" uri="{B025F937-C7B1-47D3-B67F-A62EFF666E3E}">
          <x14:id>{8835175E-C31B-4E42-815D-7D675907D1EF}</x14:id>
        </ext>
      </extLst>
    </cfRule>
    <cfRule type="iconSet" priority="7143">
      <iconSet iconSet="3Arrows">
        <cfvo type="percent" val="0"/>
        <cfvo type="num" val="0.7"/>
        <cfvo type="num" val="1"/>
      </iconSet>
    </cfRule>
  </conditionalFormatting>
  <conditionalFormatting sqref="J1927">
    <cfRule type="dataBar" priority="7142">
      <dataBar>
        <cfvo type="num" val="0"/>
        <cfvo type="num" val="1"/>
        <color theme="4" tint="0.79998168889431442"/>
      </dataBar>
      <extLst>
        <ext xmlns:x14="http://schemas.microsoft.com/office/spreadsheetml/2009/9/main" uri="{B025F937-C7B1-47D3-B67F-A62EFF666E3E}">
          <x14:id>{E08CF0FC-39DE-4657-B758-803D9BECAADD}</x14:id>
        </ext>
      </extLst>
    </cfRule>
    <cfRule type="iconSet" priority="7141">
      <iconSet iconSet="3Arrows">
        <cfvo type="percent" val="0"/>
        <cfvo type="num" val="0.7"/>
        <cfvo type="num" val="1"/>
      </iconSet>
    </cfRule>
  </conditionalFormatting>
  <conditionalFormatting sqref="J1929">
    <cfRule type="dataBar" priority="7140">
      <dataBar>
        <cfvo type="num" val="0"/>
        <cfvo type="num" val="1"/>
        <color theme="4" tint="0.79998168889431442"/>
      </dataBar>
      <extLst>
        <ext xmlns:x14="http://schemas.microsoft.com/office/spreadsheetml/2009/9/main" uri="{B025F937-C7B1-47D3-B67F-A62EFF666E3E}">
          <x14:id>{2E6BBCED-F06A-4333-BC48-4256D6A4DAA4}</x14:id>
        </ext>
      </extLst>
    </cfRule>
    <cfRule type="iconSet" priority="7139">
      <iconSet iconSet="3Arrows">
        <cfvo type="percent" val="0"/>
        <cfvo type="num" val="0.7"/>
        <cfvo type="num" val="1"/>
      </iconSet>
    </cfRule>
  </conditionalFormatting>
  <conditionalFormatting sqref="J1931">
    <cfRule type="iconSet" priority="7137">
      <iconSet iconSet="3Arrows">
        <cfvo type="percent" val="0"/>
        <cfvo type="num" val="0.7"/>
        <cfvo type="num" val="1"/>
      </iconSet>
    </cfRule>
    <cfRule type="dataBar" priority="7138">
      <dataBar>
        <cfvo type="num" val="0"/>
        <cfvo type="num" val="1"/>
        <color theme="4" tint="0.79998168889431442"/>
      </dataBar>
      <extLst>
        <ext xmlns:x14="http://schemas.microsoft.com/office/spreadsheetml/2009/9/main" uri="{B025F937-C7B1-47D3-B67F-A62EFF666E3E}">
          <x14:id>{AAF65436-A74F-4CC3-A0C0-D9EA8E9E9E9A}</x14:id>
        </ext>
      </extLst>
    </cfRule>
  </conditionalFormatting>
  <conditionalFormatting sqref="J1933">
    <cfRule type="iconSet" priority="7135">
      <iconSet iconSet="3Arrows">
        <cfvo type="percent" val="0"/>
        <cfvo type="num" val="0.7"/>
        <cfvo type="num" val="1"/>
      </iconSet>
    </cfRule>
    <cfRule type="dataBar" priority="7136">
      <dataBar>
        <cfvo type="num" val="0"/>
        <cfvo type="num" val="1"/>
        <color theme="4" tint="0.79998168889431442"/>
      </dataBar>
      <extLst>
        <ext xmlns:x14="http://schemas.microsoft.com/office/spreadsheetml/2009/9/main" uri="{B025F937-C7B1-47D3-B67F-A62EFF666E3E}">
          <x14:id>{5E674BAD-9616-4814-9A54-57F99558F355}</x14:id>
        </ext>
      </extLst>
    </cfRule>
  </conditionalFormatting>
  <conditionalFormatting sqref="J1935">
    <cfRule type="dataBar" priority="7134">
      <dataBar>
        <cfvo type="num" val="0"/>
        <cfvo type="num" val="1"/>
        <color theme="4" tint="0.79998168889431442"/>
      </dataBar>
      <extLst>
        <ext xmlns:x14="http://schemas.microsoft.com/office/spreadsheetml/2009/9/main" uri="{B025F937-C7B1-47D3-B67F-A62EFF666E3E}">
          <x14:id>{6F08E38F-CBD5-4E7A-A189-F3F02706C492}</x14:id>
        </ext>
      </extLst>
    </cfRule>
    <cfRule type="iconSet" priority="7133">
      <iconSet iconSet="3Arrows">
        <cfvo type="percent" val="0"/>
        <cfvo type="num" val="0.7"/>
        <cfvo type="num" val="1"/>
      </iconSet>
    </cfRule>
  </conditionalFormatting>
  <conditionalFormatting sqref="J1937">
    <cfRule type="dataBar" priority="7132">
      <dataBar>
        <cfvo type="num" val="0"/>
        <cfvo type="num" val="1"/>
        <color theme="4" tint="0.79998168889431442"/>
      </dataBar>
      <extLst>
        <ext xmlns:x14="http://schemas.microsoft.com/office/spreadsheetml/2009/9/main" uri="{B025F937-C7B1-47D3-B67F-A62EFF666E3E}">
          <x14:id>{8A681FD4-DF74-4677-8153-13F311FB4076}</x14:id>
        </ext>
      </extLst>
    </cfRule>
    <cfRule type="iconSet" priority="7131">
      <iconSet iconSet="3Arrows">
        <cfvo type="percent" val="0"/>
        <cfvo type="num" val="0.7"/>
        <cfvo type="num" val="1"/>
      </iconSet>
    </cfRule>
  </conditionalFormatting>
  <conditionalFormatting sqref="J1939">
    <cfRule type="dataBar" priority="7130">
      <dataBar>
        <cfvo type="num" val="0"/>
        <cfvo type="num" val="1"/>
        <color theme="4" tint="0.79998168889431442"/>
      </dataBar>
      <extLst>
        <ext xmlns:x14="http://schemas.microsoft.com/office/spreadsheetml/2009/9/main" uri="{B025F937-C7B1-47D3-B67F-A62EFF666E3E}">
          <x14:id>{EF1ACD69-F0B6-4AF1-9740-85C15CAEF8E2}</x14:id>
        </ext>
      </extLst>
    </cfRule>
    <cfRule type="iconSet" priority="7129">
      <iconSet iconSet="3Arrows">
        <cfvo type="percent" val="0"/>
        <cfvo type="num" val="0.7"/>
        <cfvo type="num" val="1"/>
      </iconSet>
    </cfRule>
  </conditionalFormatting>
  <conditionalFormatting sqref="J1941">
    <cfRule type="dataBar" priority="7128">
      <dataBar>
        <cfvo type="num" val="0"/>
        <cfvo type="num" val="1"/>
        <color theme="4" tint="0.79998168889431442"/>
      </dataBar>
      <extLst>
        <ext xmlns:x14="http://schemas.microsoft.com/office/spreadsheetml/2009/9/main" uri="{B025F937-C7B1-47D3-B67F-A62EFF666E3E}">
          <x14:id>{D8C66910-A782-4DE1-BF4E-40D3B29EC14C}</x14:id>
        </ext>
      </extLst>
    </cfRule>
    <cfRule type="iconSet" priority="7127">
      <iconSet iconSet="3Arrows">
        <cfvo type="percent" val="0"/>
        <cfvo type="num" val="0.7"/>
        <cfvo type="num" val="1"/>
      </iconSet>
    </cfRule>
  </conditionalFormatting>
  <conditionalFormatting sqref="J1943">
    <cfRule type="dataBar" priority="7126">
      <dataBar>
        <cfvo type="num" val="0"/>
        <cfvo type="num" val="1"/>
        <color theme="4" tint="0.79998168889431442"/>
      </dataBar>
      <extLst>
        <ext xmlns:x14="http://schemas.microsoft.com/office/spreadsheetml/2009/9/main" uri="{B025F937-C7B1-47D3-B67F-A62EFF666E3E}">
          <x14:id>{CA064A13-47FF-47EE-A283-D6460B3E5BA5}</x14:id>
        </ext>
      </extLst>
    </cfRule>
    <cfRule type="iconSet" priority="7125">
      <iconSet iconSet="3Arrows">
        <cfvo type="percent" val="0"/>
        <cfvo type="num" val="0.7"/>
        <cfvo type="num" val="1"/>
      </iconSet>
    </cfRule>
  </conditionalFormatting>
  <conditionalFormatting sqref="J1945">
    <cfRule type="dataBar" priority="7124">
      <dataBar>
        <cfvo type="num" val="0"/>
        <cfvo type="num" val="1"/>
        <color theme="4" tint="0.79998168889431442"/>
      </dataBar>
      <extLst>
        <ext xmlns:x14="http://schemas.microsoft.com/office/spreadsheetml/2009/9/main" uri="{B025F937-C7B1-47D3-B67F-A62EFF666E3E}">
          <x14:id>{9FF6F7FF-BB0A-4B12-BE97-2791DA8286BB}</x14:id>
        </ext>
      </extLst>
    </cfRule>
    <cfRule type="iconSet" priority="7123">
      <iconSet iconSet="3Arrows">
        <cfvo type="percent" val="0"/>
        <cfvo type="num" val="0.7"/>
        <cfvo type="num" val="1"/>
      </iconSet>
    </cfRule>
  </conditionalFormatting>
  <conditionalFormatting sqref="J1947">
    <cfRule type="dataBar" priority="7122">
      <dataBar>
        <cfvo type="num" val="0"/>
        <cfvo type="num" val="1"/>
        <color theme="4" tint="0.79998168889431442"/>
      </dataBar>
      <extLst>
        <ext xmlns:x14="http://schemas.microsoft.com/office/spreadsheetml/2009/9/main" uri="{B025F937-C7B1-47D3-B67F-A62EFF666E3E}">
          <x14:id>{3A8A1195-1215-4B79-9476-ACA246F717B8}</x14:id>
        </ext>
      </extLst>
    </cfRule>
    <cfRule type="iconSet" priority="7121">
      <iconSet iconSet="3Arrows">
        <cfvo type="percent" val="0"/>
        <cfvo type="num" val="0.7"/>
        <cfvo type="num" val="1"/>
      </iconSet>
    </cfRule>
  </conditionalFormatting>
  <conditionalFormatting sqref="J1949">
    <cfRule type="dataBar" priority="7120">
      <dataBar>
        <cfvo type="num" val="0"/>
        <cfvo type="num" val="1"/>
        <color theme="4" tint="0.79998168889431442"/>
      </dataBar>
      <extLst>
        <ext xmlns:x14="http://schemas.microsoft.com/office/spreadsheetml/2009/9/main" uri="{B025F937-C7B1-47D3-B67F-A62EFF666E3E}">
          <x14:id>{2E171EF6-1E2C-4264-A351-3B488533EDA5}</x14:id>
        </ext>
      </extLst>
    </cfRule>
    <cfRule type="iconSet" priority="7119">
      <iconSet iconSet="3Arrows">
        <cfvo type="percent" val="0"/>
        <cfvo type="num" val="0.7"/>
        <cfvo type="num" val="1"/>
      </iconSet>
    </cfRule>
  </conditionalFormatting>
  <conditionalFormatting sqref="J1951">
    <cfRule type="dataBar" priority="7118">
      <dataBar>
        <cfvo type="num" val="0"/>
        <cfvo type="num" val="1"/>
        <color theme="4" tint="0.79998168889431442"/>
      </dataBar>
      <extLst>
        <ext xmlns:x14="http://schemas.microsoft.com/office/spreadsheetml/2009/9/main" uri="{B025F937-C7B1-47D3-B67F-A62EFF666E3E}">
          <x14:id>{039762C8-EBD0-4788-B4E0-EC2B785E7614}</x14:id>
        </ext>
      </extLst>
    </cfRule>
    <cfRule type="iconSet" priority="7117">
      <iconSet iconSet="3Arrows">
        <cfvo type="percent" val="0"/>
        <cfvo type="num" val="0.7"/>
        <cfvo type="num" val="1"/>
      </iconSet>
    </cfRule>
  </conditionalFormatting>
  <conditionalFormatting sqref="J1953">
    <cfRule type="dataBar" priority="7116">
      <dataBar>
        <cfvo type="num" val="0"/>
        <cfvo type="num" val="1"/>
        <color theme="4" tint="0.79998168889431442"/>
      </dataBar>
      <extLst>
        <ext xmlns:x14="http://schemas.microsoft.com/office/spreadsheetml/2009/9/main" uri="{B025F937-C7B1-47D3-B67F-A62EFF666E3E}">
          <x14:id>{35B16EE7-BB99-4E75-8537-477072857693}</x14:id>
        </ext>
      </extLst>
    </cfRule>
    <cfRule type="iconSet" priority="7115">
      <iconSet iconSet="3Arrows">
        <cfvo type="percent" val="0"/>
        <cfvo type="num" val="0.7"/>
        <cfvo type="num" val="1"/>
      </iconSet>
    </cfRule>
  </conditionalFormatting>
  <conditionalFormatting sqref="J1955">
    <cfRule type="dataBar" priority="7114">
      <dataBar>
        <cfvo type="num" val="0"/>
        <cfvo type="num" val="1"/>
        <color theme="4" tint="0.79998168889431442"/>
      </dataBar>
      <extLst>
        <ext xmlns:x14="http://schemas.microsoft.com/office/spreadsheetml/2009/9/main" uri="{B025F937-C7B1-47D3-B67F-A62EFF666E3E}">
          <x14:id>{73303235-B4CF-4F75-8598-325527BD64A1}</x14:id>
        </ext>
      </extLst>
    </cfRule>
    <cfRule type="iconSet" priority="7113">
      <iconSet iconSet="3Arrows">
        <cfvo type="percent" val="0"/>
        <cfvo type="num" val="0.7"/>
        <cfvo type="num" val="1"/>
      </iconSet>
    </cfRule>
  </conditionalFormatting>
  <conditionalFormatting sqref="J1957">
    <cfRule type="dataBar" priority="7112">
      <dataBar>
        <cfvo type="num" val="0"/>
        <cfvo type="num" val="1"/>
        <color theme="4" tint="0.79998168889431442"/>
      </dataBar>
      <extLst>
        <ext xmlns:x14="http://schemas.microsoft.com/office/spreadsheetml/2009/9/main" uri="{B025F937-C7B1-47D3-B67F-A62EFF666E3E}">
          <x14:id>{1BB64BCC-1A86-4572-B37B-82C81F944074}</x14:id>
        </ext>
      </extLst>
    </cfRule>
    <cfRule type="iconSet" priority="7111">
      <iconSet iconSet="3Arrows">
        <cfvo type="percent" val="0"/>
        <cfvo type="num" val="0.7"/>
        <cfvo type="num" val="1"/>
      </iconSet>
    </cfRule>
  </conditionalFormatting>
  <conditionalFormatting sqref="J1959">
    <cfRule type="dataBar" priority="7110">
      <dataBar>
        <cfvo type="num" val="0"/>
        <cfvo type="num" val="1"/>
        <color theme="4" tint="0.79998168889431442"/>
      </dataBar>
      <extLst>
        <ext xmlns:x14="http://schemas.microsoft.com/office/spreadsheetml/2009/9/main" uri="{B025F937-C7B1-47D3-B67F-A62EFF666E3E}">
          <x14:id>{063229A3-9533-489D-A9A3-EC4D288F4874}</x14:id>
        </ext>
      </extLst>
    </cfRule>
    <cfRule type="iconSet" priority="7109">
      <iconSet iconSet="3Arrows">
        <cfvo type="percent" val="0"/>
        <cfvo type="num" val="0.7"/>
        <cfvo type="num" val="1"/>
      </iconSet>
    </cfRule>
  </conditionalFormatting>
  <conditionalFormatting sqref="J1961">
    <cfRule type="dataBar" priority="7108">
      <dataBar>
        <cfvo type="num" val="0"/>
        <cfvo type="num" val="1"/>
        <color theme="4" tint="0.79998168889431442"/>
      </dataBar>
      <extLst>
        <ext xmlns:x14="http://schemas.microsoft.com/office/spreadsheetml/2009/9/main" uri="{B025F937-C7B1-47D3-B67F-A62EFF666E3E}">
          <x14:id>{2F4C267D-A906-4A93-97CE-31F61A238D4A}</x14:id>
        </ext>
      </extLst>
    </cfRule>
    <cfRule type="iconSet" priority="7107">
      <iconSet iconSet="3Arrows">
        <cfvo type="percent" val="0"/>
        <cfvo type="num" val="0.7"/>
        <cfvo type="num" val="1"/>
      </iconSet>
    </cfRule>
  </conditionalFormatting>
  <conditionalFormatting sqref="J1963">
    <cfRule type="dataBar" priority="7106">
      <dataBar>
        <cfvo type="num" val="0"/>
        <cfvo type="num" val="1"/>
        <color theme="4" tint="0.79998168889431442"/>
      </dataBar>
      <extLst>
        <ext xmlns:x14="http://schemas.microsoft.com/office/spreadsheetml/2009/9/main" uri="{B025F937-C7B1-47D3-B67F-A62EFF666E3E}">
          <x14:id>{68D8F21D-934B-4C84-B244-EF85CA284D41}</x14:id>
        </ext>
      </extLst>
    </cfRule>
    <cfRule type="iconSet" priority="7105">
      <iconSet iconSet="3Arrows">
        <cfvo type="percent" val="0"/>
        <cfvo type="num" val="0.7"/>
        <cfvo type="num" val="1"/>
      </iconSet>
    </cfRule>
  </conditionalFormatting>
  <conditionalFormatting sqref="J1965">
    <cfRule type="iconSet" priority="7103">
      <iconSet iconSet="3Arrows">
        <cfvo type="percent" val="0"/>
        <cfvo type="num" val="0.7"/>
        <cfvo type="num" val="1"/>
      </iconSet>
    </cfRule>
    <cfRule type="dataBar" priority="7104">
      <dataBar>
        <cfvo type="num" val="0"/>
        <cfvo type="num" val="1"/>
        <color theme="4" tint="0.79998168889431442"/>
      </dataBar>
      <extLst>
        <ext xmlns:x14="http://schemas.microsoft.com/office/spreadsheetml/2009/9/main" uri="{B025F937-C7B1-47D3-B67F-A62EFF666E3E}">
          <x14:id>{9678B265-3A18-406B-916F-186BB9724EFE}</x14:id>
        </ext>
      </extLst>
    </cfRule>
  </conditionalFormatting>
  <conditionalFormatting sqref="J1967">
    <cfRule type="iconSet" priority="7101">
      <iconSet iconSet="3Arrows">
        <cfvo type="percent" val="0"/>
        <cfvo type="num" val="0.7"/>
        <cfvo type="num" val="1"/>
      </iconSet>
    </cfRule>
    <cfRule type="dataBar" priority="7102">
      <dataBar>
        <cfvo type="num" val="0"/>
        <cfvo type="num" val="1"/>
        <color theme="4" tint="0.79998168889431442"/>
      </dataBar>
      <extLst>
        <ext xmlns:x14="http://schemas.microsoft.com/office/spreadsheetml/2009/9/main" uri="{B025F937-C7B1-47D3-B67F-A62EFF666E3E}">
          <x14:id>{FA1AC946-4654-4162-8B97-733F55C8B880}</x14:id>
        </ext>
      </extLst>
    </cfRule>
  </conditionalFormatting>
  <conditionalFormatting sqref="J1969">
    <cfRule type="dataBar" priority="7100">
      <dataBar>
        <cfvo type="num" val="0"/>
        <cfvo type="num" val="1"/>
        <color theme="4" tint="0.79998168889431442"/>
      </dataBar>
      <extLst>
        <ext xmlns:x14="http://schemas.microsoft.com/office/spreadsheetml/2009/9/main" uri="{B025F937-C7B1-47D3-B67F-A62EFF666E3E}">
          <x14:id>{4E4D0E98-48E4-4482-B04B-C19FFA863083}</x14:id>
        </ext>
      </extLst>
    </cfRule>
    <cfRule type="iconSet" priority="7099">
      <iconSet iconSet="3Arrows">
        <cfvo type="percent" val="0"/>
        <cfvo type="num" val="0.7"/>
        <cfvo type="num" val="1"/>
      </iconSet>
    </cfRule>
  </conditionalFormatting>
  <conditionalFormatting sqref="J1971">
    <cfRule type="dataBar" priority="7098">
      <dataBar>
        <cfvo type="num" val="0"/>
        <cfvo type="num" val="1"/>
        <color theme="4" tint="0.79998168889431442"/>
      </dataBar>
      <extLst>
        <ext xmlns:x14="http://schemas.microsoft.com/office/spreadsheetml/2009/9/main" uri="{B025F937-C7B1-47D3-B67F-A62EFF666E3E}">
          <x14:id>{61BA74A2-814F-4BF9-8351-50038FB6CA7A}</x14:id>
        </ext>
      </extLst>
    </cfRule>
    <cfRule type="iconSet" priority="7097">
      <iconSet iconSet="3Arrows">
        <cfvo type="percent" val="0"/>
        <cfvo type="num" val="0.7"/>
        <cfvo type="num" val="1"/>
      </iconSet>
    </cfRule>
  </conditionalFormatting>
  <conditionalFormatting sqref="J1973">
    <cfRule type="dataBar" priority="7096">
      <dataBar>
        <cfvo type="num" val="0"/>
        <cfvo type="num" val="1"/>
        <color theme="4" tint="0.79998168889431442"/>
      </dataBar>
      <extLst>
        <ext xmlns:x14="http://schemas.microsoft.com/office/spreadsheetml/2009/9/main" uri="{B025F937-C7B1-47D3-B67F-A62EFF666E3E}">
          <x14:id>{F57EC974-7F51-47F7-8904-10DA5D69D966}</x14:id>
        </ext>
      </extLst>
    </cfRule>
    <cfRule type="iconSet" priority="7095">
      <iconSet iconSet="3Arrows">
        <cfvo type="percent" val="0"/>
        <cfvo type="num" val="0.7"/>
        <cfvo type="num" val="1"/>
      </iconSet>
    </cfRule>
  </conditionalFormatting>
  <conditionalFormatting sqref="J1975">
    <cfRule type="dataBar" priority="7094">
      <dataBar>
        <cfvo type="num" val="0"/>
        <cfvo type="num" val="1"/>
        <color theme="4" tint="0.79998168889431442"/>
      </dataBar>
      <extLst>
        <ext xmlns:x14="http://schemas.microsoft.com/office/spreadsheetml/2009/9/main" uri="{B025F937-C7B1-47D3-B67F-A62EFF666E3E}">
          <x14:id>{E75DF091-553B-4709-AE36-F67B7D909EDA}</x14:id>
        </ext>
      </extLst>
    </cfRule>
    <cfRule type="iconSet" priority="7093">
      <iconSet iconSet="3Arrows">
        <cfvo type="percent" val="0"/>
        <cfvo type="num" val="0.7"/>
        <cfvo type="num" val="1"/>
      </iconSet>
    </cfRule>
  </conditionalFormatting>
  <conditionalFormatting sqref="J1977">
    <cfRule type="dataBar" priority="7092">
      <dataBar>
        <cfvo type="num" val="0"/>
        <cfvo type="num" val="1"/>
        <color theme="4" tint="0.79998168889431442"/>
      </dataBar>
      <extLst>
        <ext xmlns:x14="http://schemas.microsoft.com/office/spreadsheetml/2009/9/main" uri="{B025F937-C7B1-47D3-B67F-A62EFF666E3E}">
          <x14:id>{3B35329E-87B3-450C-B199-09B2E51C8647}</x14:id>
        </ext>
      </extLst>
    </cfRule>
    <cfRule type="iconSet" priority="7091">
      <iconSet iconSet="3Arrows">
        <cfvo type="percent" val="0"/>
        <cfvo type="num" val="0.7"/>
        <cfvo type="num" val="1"/>
      </iconSet>
    </cfRule>
  </conditionalFormatting>
  <conditionalFormatting sqref="J1979">
    <cfRule type="dataBar" priority="7090">
      <dataBar>
        <cfvo type="num" val="0"/>
        <cfvo type="num" val="1"/>
        <color theme="4" tint="0.79998168889431442"/>
      </dataBar>
      <extLst>
        <ext xmlns:x14="http://schemas.microsoft.com/office/spreadsheetml/2009/9/main" uri="{B025F937-C7B1-47D3-B67F-A62EFF666E3E}">
          <x14:id>{23C5F00F-8E26-4373-9D44-A7C0C8820D62}</x14:id>
        </ext>
      </extLst>
    </cfRule>
    <cfRule type="iconSet" priority="7089">
      <iconSet iconSet="3Arrows">
        <cfvo type="percent" val="0"/>
        <cfvo type="num" val="0.7"/>
        <cfvo type="num" val="1"/>
      </iconSet>
    </cfRule>
  </conditionalFormatting>
  <conditionalFormatting sqref="J1981">
    <cfRule type="iconSet" priority="7087">
      <iconSet iconSet="3Arrows">
        <cfvo type="percent" val="0"/>
        <cfvo type="num" val="0.7"/>
        <cfvo type="num" val="1"/>
      </iconSet>
    </cfRule>
    <cfRule type="dataBar" priority="7088">
      <dataBar>
        <cfvo type="num" val="0"/>
        <cfvo type="num" val="1"/>
        <color theme="4" tint="0.79998168889431442"/>
      </dataBar>
      <extLst>
        <ext xmlns:x14="http://schemas.microsoft.com/office/spreadsheetml/2009/9/main" uri="{B025F937-C7B1-47D3-B67F-A62EFF666E3E}">
          <x14:id>{94AD62A3-20FC-4A41-AE00-E95142C98BC1}</x14:id>
        </ext>
      </extLst>
    </cfRule>
  </conditionalFormatting>
  <conditionalFormatting sqref="J1983">
    <cfRule type="dataBar" priority="7086">
      <dataBar>
        <cfvo type="num" val="0"/>
        <cfvo type="num" val="1"/>
        <color theme="4" tint="0.79998168889431442"/>
      </dataBar>
      <extLst>
        <ext xmlns:x14="http://schemas.microsoft.com/office/spreadsheetml/2009/9/main" uri="{B025F937-C7B1-47D3-B67F-A62EFF666E3E}">
          <x14:id>{83B850BA-D204-41DA-8571-94DEF5BCCAE6}</x14:id>
        </ext>
      </extLst>
    </cfRule>
    <cfRule type="iconSet" priority="7085">
      <iconSet iconSet="3Arrows">
        <cfvo type="percent" val="0"/>
        <cfvo type="num" val="0.7"/>
        <cfvo type="num" val="1"/>
      </iconSet>
    </cfRule>
  </conditionalFormatting>
  <conditionalFormatting sqref="J1985">
    <cfRule type="dataBar" priority="7084">
      <dataBar>
        <cfvo type="num" val="0"/>
        <cfvo type="num" val="1"/>
        <color theme="4" tint="0.79998168889431442"/>
      </dataBar>
      <extLst>
        <ext xmlns:x14="http://schemas.microsoft.com/office/spreadsheetml/2009/9/main" uri="{B025F937-C7B1-47D3-B67F-A62EFF666E3E}">
          <x14:id>{5AF253DB-6F3C-4668-8A7A-78CE81603C8D}</x14:id>
        </ext>
      </extLst>
    </cfRule>
    <cfRule type="iconSet" priority="7083">
      <iconSet iconSet="3Arrows">
        <cfvo type="percent" val="0"/>
        <cfvo type="num" val="0.7"/>
        <cfvo type="num" val="1"/>
      </iconSet>
    </cfRule>
  </conditionalFormatting>
  <conditionalFormatting sqref="J1987">
    <cfRule type="dataBar" priority="7082">
      <dataBar>
        <cfvo type="num" val="0"/>
        <cfvo type="num" val="1"/>
        <color theme="4" tint="0.79998168889431442"/>
      </dataBar>
      <extLst>
        <ext xmlns:x14="http://schemas.microsoft.com/office/spreadsheetml/2009/9/main" uri="{B025F937-C7B1-47D3-B67F-A62EFF666E3E}">
          <x14:id>{3892F8E7-40A6-4077-8B5F-C991A9467F64}</x14:id>
        </ext>
      </extLst>
    </cfRule>
    <cfRule type="iconSet" priority="7081">
      <iconSet iconSet="3Arrows">
        <cfvo type="percent" val="0"/>
        <cfvo type="num" val="0.7"/>
        <cfvo type="num" val="1"/>
      </iconSet>
    </cfRule>
  </conditionalFormatting>
  <conditionalFormatting sqref="J1989">
    <cfRule type="iconSet" priority="7079">
      <iconSet iconSet="3Arrows">
        <cfvo type="percent" val="0"/>
        <cfvo type="num" val="0.7"/>
        <cfvo type="num" val="1"/>
      </iconSet>
    </cfRule>
    <cfRule type="dataBar" priority="7080">
      <dataBar>
        <cfvo type="num" val="0"/>
        <cfvo type="num" val="1"/>
        <color theme="4" tint="0.79998168889431442"/>
      </dataBar>
      <extLst>
        <ext xmlns:x14="http://schemas.microsoft.com/office/spreadsheetml/2009/9/main" uri="{B025F937-C7B1-47D3-B67F-A62EFF666E3E}">
          <x14:id>{CFBC20AE-5426-4824-A28C-026FF97834E0}</x14:id>
        </ext>
      </extLst>
    </cfRule>
  </conditionalFormatting>
  <conditionalFormatting sqref="J1991">
    <cfRule type="dataBar" priority="7078">
      <dataBar>
        <cfvo type="num" val="0"/>
        <cfvo type="num" val="1"/>
        <color theme="4" tint="0.79998168889431442"/>
      </dataBar>
      <extLst>
        <ext xmlns:x14="http://schemas.microsoft.com/office/spreadsheetml/2009/9/main" uri="{B025F937-C7B1-47D3-B67F-A62EFF666E3E}">
          <x14:id>{6A44B4BA-A3C4-4492-A819-DB2D23BA1791}</x14:id>
        </ext>
      </extLst>
    </cfRule>
    <cfRule type="iconSet" priority="7077">
      <iconSet iconSet="3Arrows">
        <cfvo type="percent" val="0"/>
        <cfvo type="num" val="0.7"/>
        <cfvo type="num" val="1"/>
      </iconSet>
    </cfRule>
  </conditionalFormatting>
  <conditionalFormatting sqref="J1993">
    <cfRule type="dataBar" priority="7076">
      <dataBar>
        <cfvo type="num" val="0"/>
        <cfvo type="num" val="1"/>
        <color theme="4" tint="0.79998168889431442"/>
      </dataBar>
      <extLst>
        <ext xmlns:x14="http://schemas.microsoft.com/office/spreadsheetml/2009/9/main" uri="{B025F937-C7B1-47D3-B67F-A62EFF666E3E}">
          <x14:id>{89981A02-C805-4FE8-B3AB-0E6BDA9A116B}</x14:id>
        </ext>
      </extLst>
    </cfRule>
    <cfRule type="iconSet" priority="7075">
      <iconSet iconSet="3Arrows">
        <cfvo type="percent" val="0"/>
        <cfvo type="num" val="0.7"/>
        <cfvo type="num" val="1"/>
      </iconSet>
    </cfRule>
  </conditionalFormatting>
  <conditionalFormatting sqref="J1995">
    <cfRule type="dataBar" priority="7074">
      <dataBar>
        <cfvo type="num" val="0"/>
        <cfvo type="num" val="1"/>
        <color theme="4" tint="0.79998168889431442"/>
      </dataBar>
      <extLst>
        <ext xmlns:x14="http://schemas.microsoft.com/office/spreadsheetml/2009/9/main" uri="{B025F937-C7B1-47D3-B67F-A62EFF666E3E}">
          <x14:id>{881029BF-E3F1-456F-ADA4-1570F77D077F}</x14:id>
        </ext>
      </extLst>
    </cfRule>
    <cfRule type="iconSet" priority="7073">
      <iconSet iconSet="3Arrows">
        <cfvo type="percent" val="0"/>
        <cfvo type="num" val="0.7"/>
        <cfvo type="num" val="1"/>
      </iconSet>
    </cfRule>
  </conditionalFormatting>
  <conditionalFormatting sqref="J1998">
    <cfRule type="iconSet" priority="7071">
      <iconSet iconSet="3Arrows">
        <cfvo type="percent" val="0"/>
        <cfvo type="num" val="0.7"/>
        <cfvo type="num" val="1"/>
      </iconSet>
    </cfRule>
    <cfRule type="dataBar" priority="7072">
      <dataBar>
        <cfvo type="num" val="0"/>
        <cfvo type="num" val="1"/>
        <color theme="4" tint="0.79998168889431442"/>
      </dataBar>
      <extLst>
        <ext xmlns:x14="http://schemas.microsoft.com/office/spreadsheetml/2009/9/main" uri="{B025F937-C7B1-47D3-B67F-A62EFF666E3E}">
          <x14:id>{1EA5EDE2-B3FD-44A2-9D1D-2D2A191122CC}</x14:id>
        </ext>
      </extLst>
    </cfRule>
  </conditionalFormatting>
  <conditionalFormatting sqref="J2000 J2002 J2004 J2006 J2008">
    <cfRule type="iconSet" priority="7069">
      <iconSet iconSet="3Arrows">
        <cfvo type="percent" val="0"/>
        <cfvo type="num" val="0.7"/>
        <cfvo type="num" val="1"/>
      </iconSet>
    </cfRule>
    <cfRule type="dataBar" priority="7070">
      <dataBar>
        <cfvo type="num" val="0"/>
        <cfvo type="num" val="1"/>
        <color theme="4" tint="0.79998168889431442"/>
      </dataBar>
      <extLst>
        <ext xmlns:x14="http://schemas.microsoft.com/office/spreadsheetml/2009/9/main" uri="{B025F937-C7B1-47D3-B67F-A62EFF666E3E}">
          <x14:id>{01CE29FA-1EDA-49CA-B813-90DCB866B377}</x14:id>
        </ext>
      </extLst>
    </cfRule>
  </conditionalFormatting>
  <conditionalFormatting sqref="J2010 J2012 J2014 J2016 J2018">
    <cfRule type="dataBar" priority="7068">
      <dataBar>
        <cfvo type="num" val="0"/>
        <cfvo type="num" val="1"/>
        <color theme="4" tint="0.79998168889431442"/>
      </dataBar>
      <extLst>
        <ext xmlns:x14="http://schemas.microsoft.com/office/spreadsheetml/2009/9/main" uri="{B025F937-C7B1-47D3-B67F-A62EFF666E3E}">
          <x14:id>{22FAC354-6943-491E-A705-E2ED8520AEDA}</x14:id>
        </ext>
      </extLst>
    </cfRule>
    <cfRule type="iconSet" priority="7067">
      <iconSet iconSet="3Arrows">
        <cfvo type="percent" val="0"/>
        <cfvo type="num" val="0.7"/>
        <cfvo type="num" val="1"/>
      </iconSet>
    </cfRule>
  </conditionalFormatting>
  <conditionalFormatting sqref="J2020 J2022 J2024 J2026 J2028">
    <cfRule type="dataBar" priority="7066">
      <dataBar>
        <cfvo type="num" val="0"/>
        <cfvo type="num" val="1"/>
        <color theme="4" tint="0.79998168889431442"/>
      </dataBar>
      <extLst>
        <ext xmlns:x14="http://schemas.microsoft.com/office/spreadsheetml/2009/9/main" uri="{B025F937-C7B1-47D3-B67F-A62EFF666E3E}">
          <x14:id>{C2F527AF-E740-4247-8A69-C584A91D9C7F}</x14:id>
        </ext>
      </extLst>
    </cfRule>
    <cfRule type="iconSet" priority="7065">
      <iconSet iconSet="3Arrows">
        <cfvo type="percent" val="0"/>
        <cfvo type="num" val="0.7"/>
        <cfvo type="num" val="1"/>
      </iconSet>
    </cfRule>
  </conditionalFormatting>
  <conditionalFormatting sqref="J2030 J2032 J2034 J2036 J2038">
    <cfRule type="dataBar" priority="7064">
      <dataBar>
        <cfvo type="num" val="0"/>
        <cfvo type="num" val="1"/>
        <color theme="4" tint="0.79998168889431442"/>
      </dataBar>
      <extLst>
        <ext xmlns:x14="http://schemas.microsoft.com/office/spreadsheetml/2009/9/main" uri="{B025F937-C7B1-47D3-B67F-A62EFF666E3E}">
          <x14:id>{4A2CF06D-6C93-4EF2-955F-44C8E5FA2C0E}</x14:id>
        </ext>
      </extLst>
    </cfRule>
    <cfRule type="iconSet" priority="7063">
      <iconSet iconSet="3Arrows">
        <cfvo type="percent" val="0"/>
        <cfvo type="num" val="0.7"/>
        <cfvo type="num" val="1"/>
      </iconSet>
    </cfRule>
  </conditionalFormatting>
  <conditionalFormatting sqref="J2040 J2042 J2044 J2046 J2048">
    <cfRule type="dataBar" priority="7062">
      <dataBar>
        <cfvo type="num" val="0"/>
        <cfvo type="num" val="1"/>
        <color theme="4" tint="0.79998168889431442"/>
      </dataBar>
      <extLst>
        <ext xmlns:x14="http://schemas.microsoft.com/office/spreadsheetml/2009/9/main" uri="{B025F937-C7B1-47D3-B67F-A62EFF666E3E}">
          <x14:id>{23F210A6-C7D8-4466-9FEF-6C4389BD6982}</x14:id>
        </ext>
      </extLst>
    </cfRule>
    <cfRule type="iconSet" priority="7061">
      <iconSet iconSet="3Arrows">
        <cfvo type="percent" val="0"/>
        <cfvo type="num" val="0.7"/>
        <cfvo type="num" val="1"/>
      </iconSet>
    </cfRule>
  </conditionalFormatting>
  <conditionalFormatting sqref="J2050 J2052 J2054 J2056 J2058">
    <cfRule type="dataBar" priority="7060">
      <dataBar>
        <cfvo type="num" val="0"/>
        <cfvo type="num" val="1"/>
        <color theme="4" tint="0.79998168889431442"/>
      </dataBar>
      <extLst>
        <ext xmlns:x14="http://schemas.microsoft.com/office/spreadsheetml/2009/9/main" uri="{B025F937-C7B1-47D3-B67F-A62EFF666E3E}">
          <x14:id>{E99297B8-8EC9-46CD-988C-95DB0AEA41F8}</x14:id>
        </ext>
      </extLst>
    </cfRule>
    <cfRule type="iconSet" priority="7059">
      <iconSet iconSet="3Arrows">
        <cfvo type="percent" val="0"/>
        <cfvo type="num" val="0.7"/>
        <cfvo type="num" val="1"/>
      </iconSet>
    </cfRule>
  </conditionalFormatting>
  <conditionalFormatting sqref="J2060 J2062 J2064 J2066 J2068">
    <cfRule type="dataBar" priority="7058">
      <dataBar>
        <cfvo type="num" val="0"/>
        <cfvo type="num" val="1"/>
        <color theme="4" tint="0.79998168889431442"/>
      </dataBar>
      <extLst>
        <ext xmlns:x14="http://schemas.microsoft.com/office/spreadsheetml/2009/9/main" uri="{B025F937-C7B1-47D3-B67F-A62EFF666E3E}">
          <x14:id>{55F5D966-D2CA-48E9-859B-3FA078437647}</x14:id>
        </ext>
      </extLst>
    </cfRule>
    <cfRule type="iconSet" priority="7057">
      <iconSet iconSet="3Arrows">
        <cfvo type="percent" val="0"/>
        <cfvo type="num" val="0.7"/>
        <cfvo type="num" val="1"/>
      </iconSet>
    </cfRule>
  </conditionalFormatting>
  <conditionalFormatting sqref="J2070 J2074 J2072 J2076">
    <cfRule type="dataBar" priority="7056">
      <dataBar>
        <cfvo type="num" val="0"/>
        <cfvo type="num" val="1"/>
        <color theme="4" tint="0.79998168889431442"/>
      </dataBar>
      <extLst>
        <ext xmlns:x14="http://schemas.microsoft.com/office/spreadsheetml/2009/9/main" uri="{B025F937-C7B1-47D3-B67F-A62EFF666E3E}">
          <x14:id>{7C8CBC57-EF1D-4C55-BC3D-1BFE7F1C7958}</x14:id>
        </ext>
      </extLst>
    </cfRule>
    <cfRule type="iconSet" priority="7055">
      <iconSet iconSet="3Arrows">
        <cfvo type="percent" val="0"/>
        <cfvo type="num" val="0.7"/>
        <cfvo type="num" val="1"/>
      </iconSet>
    </cfRule>
  </conditionalFormatting>
  <conditionalFormatting sqref="J2078">
    <cfRule type="dataBar" priority="7054">
      <dataBar>
        <cfvo type="num" val="0"/>
        <cfvo type="num" val="1"/>
        <color theme="4" tint="0.79998168889431442"/>
      </dataBar>
      <extLst>
        <ext xmlns:x14="http://schemas.microsoft.com/office/spreadsheetml/2009/9/main" uri="{B025F937-C7B1-47D3-B67F-A62EFF666E3E}">
          <x14:id>{F60F4455-CE8B-4359-8238-3DFEA5F20222}</x14:id>
        </ext>
      </extLst>
    </cfRule>
    <cfRule type="iconSet" priority="7053">
      <iconSet iconSet="3Arrows">
        <cfvo type="percent" val="0"/>
        <cfvo type="num" val="0.7"/>
        <cfvo type="num" val="1"/>
      </iconSet>
    </cfRule>
  </conditionalFormatting>
  <conditionalFormatting sqref="J2080">
    <cfRule type="dataBar" priority="7052">
      <dataBar>
        <cfvo type="num" val="0"/>
        <cfvo type="num" val="1"/>
        <color theme="4" tint="0.79998168889431442"/>
      </dataBar>
      <extLst>
        <ext xmlns:x14="http://schemas.microsoft.com/office/spreadsheetml/2009/9/main" uri="{B025F937-C7B1-47D3-B67F-A62EFF666E3E}">
          <x14:id>{BF7F4A45-DF52-41AB-B4AC-C456A54AD0CF}</x14:id>
        </ext>
      </extLst>
    </cfRule>
    <cfRule type="iconSet" priority="7051">
      <iconSet iconSet="3Arrows">
        <cfvo type="percent" val="0"/>
        <cfvo type="num" val="0.7"/>
        <cfvo type="num" val="1"/>
      </iconSet>
    </cfRule>
  </conditionalFormatting>
  <conditionalFormatting sqref="J2084">
    <cfRule type="dataBar" priority="7050">
      <dataBar>
        <cfvo type="num" val="0"/>
        <cfvo type="num" val="1"/>
        <color theme="4" tint="0.79998168889431442"/>
      </dataBar>
      <extLst>
        <ext xmlns:x14="http://schemas.microsoft.com/office/spreadsheetml/2009/9/main" uri="{B025F937-C7B1-47D3-B67F-A62EFF666E3E}">
          <x14:id>{50E95C4D-A35F-437F-8553-668E0D3A48B6}</x14:id>
        </ext>
      </extLst>
    </cfRule>
    <cfRule type="iconSet" priority="7049">
      <iconSet iconSet="3Arrows">
        <cfvo type="percent" val="0"/>
        <cfvo type="num" val="0.7"/>
        <cfvo type="num" val="1"/>
      </iconSet>
    </cfRule>
  </conditionalFormatting>
  <conditionalFormatting sqref="J2086 J2088">
    <cfRule type="dataBar" priority="7048">
      <dataBar>
        <cfvo type="num" val="0"/>
        <cfvo type="num" val="1"/>
        <color theme="4" tint="0.79998168889431442"/>
      </dataBar>
      <extLst>
        <ext xmlns:x14="http://schemas.microsoft.com/office/spreadsheetml/2009/9/main" uri="{B025F937-C7B1-47D3-B67F-A62EFF666E3E}">
          <x14:id>{C0E64C30-12C2-4644-B366-B34394CDFA00}</x14:id>
        </ext>
      </extLst>
    </cfRule>
    <cfRule type="iconSet" priority="7047">
      <iconSet iconSet="3Arrows">
        <cfvo type="percent" val="0"/>
        <cfvo type="num" val="0.7"/>
        <cfvo type="num" val="1"/>
      </iconSet>
    </cfRule>
  </conditionalFormatting>
  <conditionalFormatting sqref="J2090">
    <cfRule type="dataBar" priority="7046">
      <dataBar>
        <cfvo type="num" val="0"/>
        <cfvo type="num" val="1"/>
        <color theme="4" tint="0.79998168889431442"/>
      </dataBar>
      <extLst>
        <ext xmlns:x14="http://schemas.microsoft.com/office/spreadsheetml/2009/9/main" uri="{B025F937-C7B1-47D3-B67F-A62EFF666E3E}">
          <x14:id>{183A8E75-88A3-413E-8316-AAF330B6A148}</x14:id>
        </ext>
      </extLst>
    </cfRule>
    <cfRule type="iconSet" priority="7045">
      <iconSet iconSet="3Arrows">
        <cfvo type="percent" val="0"/>
        <cfvo type="num" val="0.7"/>
        <cfvo type="num" val="1"/>
      </iconSet>
    </cfRule>
  </conditionalFormatting>
  <conditionalFormatting sqref="J2092 J2094">
    <cfRule type="dataBar" priority="7044">
      <dataBar>
        <cfvo type="num" val="0"/>
        <cfvo type="num" val="1"/>
        <color theme="4" tint="0.79998168889431442"/>
      </dataBar>
      <extLst>
        <ext xmlns:x14="http://schemas.microsoft.com/office/spreadsheetml/2009/9/main" uri="{B025F937-C7B1-47D3-B67F-A62EFF666E3E}">
          <x14:id>{4A597D71-A67F-45F4-B816-CAFE4C9ED176}</x14:id>
        </ext>
      </extLst>
    </cfRule>
    <cfRule type="iconSet" priority="7043">
      <iconSet iconSet="3Arrows">
        <cfvo type="percent" val="0"/>
        <cfvo type="num" val="0.7"/>
        <cfvo type="num" val="1"/>
      </iconSet>
    </cfRule>
  </conditionalFormatting>
  <conditionalFormatting sqref="J2096">
    <cfRule type="dataBar" priority="7042">
      <dataBar>
        <cfvo type="num" val="0"/>
        <cfvo type="num" val="1"/>
        <color theme="4" tint="0.79998168889431442"/>
      </dataBar>
      <extLst>
        <ext xmlns:x14="http://schemas.microsoft.com/office/spreadsheetml/2009/9/main" uri="{B025F937-C7B1-47D3-B67F-A62EFF666E3E}">
          <x14:id>{118267F6-D03E-4571-BC6E-F29E21DEF9A3}</x14:id>
        </ext>
      </extLst>
    </cfRule>
    <cfRule type="iconSet" priority="7041">
      <iconSet iconSet="3Arrows">
        <cfvo type="percent" val="0"/>
        <cfvo type="num" val="0.7"/>
        <cfvo type="num" val="1"/>
      </iconSet>
    </cfRule>
  </conditionalFormatting>
  <conditionalFormatting sqref="J2098">
    <cfRule type="iconSet" priority="7039">
      <iconSet iconSet="3Arrows">
        <cfvo type="percent" val="0"/>
        <cfvo type="num" val="0.7"/>
        <cfvo type="num" val="1"/>
      </iconSet>
    </cfRule>
    <cfRule type="dataBar" priority="7040">
      <dataBar>
        <cfvo type="num" val="0"/>
        <cfvo type="num" val="1"/>
        <color theme="4" tint="0.79998168889431442"/>
      </dataBar>
      <extLst>
        <ext xmlns:x14="http://schemas.microsoft.com/office/spreadsheetml/2009/9/main" uri="{B025F937-C7B1-47D3-B67F-A62EFF666E3E}">
          <x14:id>{BC7D0324-563F-4BDA-AB38-4B54B6B23142}</x14:id>
        </ext>
      </extLst>
    </cfRule>
  </conditionalFormatting>
  <conditionalFormatting sqref="J2100">
    <cfRule type="iconSet" priority="7037">
      <iconSet iconSet="3Arrows">
        <cfvo type="percent" val="0"/>
        <cfvo type="num" val="0.7"/>
        <cfvo type="num" val="1"/>
      </iconSet>
    </cfRule>
    <cfRule type="dataBar" priority="7038">
      <dataBar>
        <cfvo type="num" val="0"/>
        <cfvo type="num" val="1"/>
        <color theme="4" tint="0.79998168889431442"/>
      </dataBar>
      <extLst>
        <ext xmlns:x14="http://schemas.microsoft.com/office/spreadsheetml/2009/9/main" uri="{B025F937-C7B1-47D3-B67F-A62EFF666E3E}">
          <x14:id>{EBE59578-F10B-48E9-A210-E0988BE71080}</x14:id>
        </ext>
      </extLst>
    </cfRule>
  </conditionalFormatting>
  <conditionalFormatting sqref="J2102 J2104">
    <cfRule type="iconSet" priority="7035">
      <iconSet iconSet="3Arrows">
        <cfvo type="percent" val="0"/>
        <cfvo type="num" val="0.7"/>
        <cfvo type="num" val="1"/>
      </iconSet>
    </cfRule>
    <cfRule type="dataBar" priority="7036">
      <dataBar>
        <cfvo type="num" val="0"/>
        <cfvo type="num" val="1"/>
        <color theme="4" tint="0.79998168889431442"/>
      </dataBar>
      <extLst>
        <ext xmlns:x14="http://schemas.microsoft.com/office/spreadsheetml/2009/9/main" uri="{B025F937-C7B1-47D3-B67F-A62EFF666E3E}">
          <x14:id>{7F889462-2B12-40B8-A7AA-823987D91238}</x14:id>
        </ext>
      </extLst>
    </cfRule>
  </conditionalFormatting>
  <conditionalFormatting sqref="J2106">
    <cfRule type="dataBar" priority="7034">
      <dataBar>
        <cfvo type="num" val="0"/>
        <cfvo type="num" val="1"/>
        <color theme="4" tint="0.79998168889431442"/>
      </dataBar>
      <extLst>
        <ext xmlns:x14="http://schemas.microsoft.com/office/spreadsheetml/2009/9/main" uri="{B025F937-C7B1-47D3-B67F-A62EFF666E3E}">
          <x14:id>{0789E27B-C7F4-4C98-8E57-D9CDB5C7896D}</x14:id>
        </ext>
      </extLst>
    </cfRule>
    <cfRule type="iconSet" priority="7033">
      <iconSet iconSet="3Arrows">
        <cfvo type="percent" val="0"/>
        <cfvo type="num" val="0.7"/>
        <cfvo type="num" val="1"/>
      </iconSet>
    </cfRule>
  </conditionalFormatting>
  <conditionalFormatting sqref="J2108">
    <cfRule type="dataBar" priority="7032">
      <dataBar>
        <cfvo type="num" val="0"/>
        <cfvo type="num" val="1"/>
        <color theme="4" tint="0.79998168889431442"/>
      </dataBar>
      <extLst>
        <ext xmlns:x14="http://schemas.microsoft.com/office/spreadsheetml/2009/9/main" uri="{B025F937-C7B1-47D3-B67F-A62EFF666E3E}">
          <x14:id>{92910743-8F5B-4FE3-8A2F-9EDA9DB0D409}</x14:id>
        </ext>
      </extLst>
    </cfRule>
    <cfRule type="iconSet" priority="7031">
      <iconSet iconSet="3Arrows">
        <cfvo type="percent" val="0"/>
        <cfvo type="num" val="0.7"/>
        <cfvo type="num" val="1"/>
      </iconSet>
    </cfRule>
  </conditionalFormatting>
  <conditionalFormatting sqref="J2110 J2112">
    <cfRule type="dataBar" priority="7030">
      <dataBar>
        <cfvo type="num" val="0"/>
        <cfvo type="num" val="1"/>
        <color theme="4" tint="0.79998168889431442"/>
      </dataBar>
      <extLst>
        <ext xmlns:x14="http://schemas.microsoft.com/office/spreadsheetml/2009/9/main" uri="{B025F937-C7B1-47D3-B67F-A62EFF666E3E}">
          <x14:id>{A051456C-665B-4EFA-8FCA-D0AB903CE243}</x14:id>
        </ext>
      </extLst>
    </cfRule>
    <cfRule type="iconSet" priority="7029">
      <iconSet iconSet="3Arrows">
        <cfvo type="percent" val="0"/>
        <cfvo type="num" val="0.7"/>
        <cfvo type="num" val="1"/>
      </iconSet>
    </cfRule>
  </conditionalFormatting>
  <conditionalFormatting sqref="J2114">
    <cfRule type="dataBar" priority="7028">
      <dataBar>
        <cfvo type="num" val="0"/>
        <cfvo type="num" val="1"/>
        <color theme="4" tint="0.79998168889431442"/>
      </dataBar>
      <extLst>
        <ext xmlns:x14="http://schemas.microsoft.com/office/spreadsheetml/2009/9/main" uri="{B025F937-C7B1-47D3-B67F-A62EFF666E3E}">
          <x14:id>{307DDCAA-5C8B-4DB9-A544-18574CE5B4F8}</x14:id>
        </ext>
      </extLst>
    </cfRule>
    <cfRule type="iconSet" priority="7027">
      <iconSet iconSet="3Arrows">
        <cfvo type="percent" val="0"/>
        <cfvo type="num" val="0.7"/>
        <cfvo type="num" val="1"/>
      </iconSet>
    </cfRule>
  </conditionalFormatting>
  <conditionalFormatting sqref="J2116">
    <cfRule type="dataBar" priority="7026">
      <dataBar>
        <cfvo type="num" val="0"/>
        <cfvo type="num" val="1"/>
        <color theme="4" tint="0.79998168889431442"/>
      </dataBar>
      <extLst>
        <ext xmlns:x14="http://schemas.microsoft.com/office/spreadsheetml/2009/9/main" uri="{B025F937-C7B1-47D3-B67F-A62EFF666E3E}">
          <x14:id>{F6F6C0FC-74A9-4C00-A7AB-291B4F4D5386}</x14:id>
        </ext>
      </extLst>
    </cfRule>
    <cfRule type="iconSet" priority="7025">
      <iconSet iconSet="3Arrows">
        <cfvo type="percent" val="0"/>
        <cfvo type="num" val="0.7"/>
        <cfvo type="num" val="1"/>
      </iconSet>
    </cfRule>
  </conditionalFormatting>
  <conditionalFormatting sqref="J2118">
    <cfRule type="iconSet" priority="7023">
      <iconSet iconSet="3Arrows">
        <cfvo type="percent" val="0"/>
        <cfvo type="num" val="0.7"/>
        <cfvo type="num" val="1"/>
      </iconSet>
    </cfRule>
    <cfRule type="dataBar" priority="7024">
      <dataBar>
        <cfvo type="num" val="0"/>
        <cfvo type="num" val="1"/>
        <color theme="4" tint="0.79998168889431442"/>
      </dataBar>
      <extLst>
        <ext xmlns:x14="http://schemas.microsoft.com/office/spreadsheetml/2009/9/main" uri="{B025F937-C7B1-47D3-B67F-A62EFF666E3E}">
          <x14:id>{FD24C917-2653-4823-95AF-14FCC8A19CB9}</x14:id>
        </ext>
      </extLst>
    </cfRule>
  </conditionalFormatting>
  <conditionalFormatting sqref="J2120 J2122">
    <cfRule type="iconSet" priority="7021">
      <iconSet iconSet="3Arrows">
        <cfvo type="percent" val="0"/>
        <cfvo type="num" val="0.7"/>
        <cfvo type="num" val="1"/>
      </iconSet>
    </cfRule>
    <cfRule type="dataBar" priority="7022">
      <dataBar>
        <cfvo type="num" val="0"/>
        <cfvo type="num" val="1"/>
        <color theme="4" tint="0.79998168889431442"/>
      </dataBar>
      <extLst>
        <ext xmlns:x14="http://schemas.microsoft.com/office/spreadsheetml/2009/9/main" uri="{B025F937-C7B1-47D3-B67F-A62EFF666E3E}">
          <x14:id>{8BF895DE-613C-41C9-A74A-0B1F6F991A44}</x14:id>
        </ext>
      </extLst>
    </cfRule>
  </conditionalFormatting>
  <conditionalFormatting sqref="J2124">
    <cfRule type="dataBar" priority="7020">
      <dataBar>
        <cfvo type="num" val="0"/>
        <cfvo type="num" val="1"/>
        <color theme="4" tint="0.79998168889431442"/>
      </dataBar>
      <extLst>
        <ext xmlns:x14="http://schemas.microsoft.com/office/spreadsheetml/2009/9/main" uri="{B025F937-C7B1-47D3-B67F-A62EFF666E3E}">
          <x14:id>{D73A0A1D-4E6D-4F8D-8616-B386642A3E81}</x14:id>
        </ext>
      </extLst>
    </cfRule>
    <cfRule type="iconSet" priority="7019">
      <iconSet iconSet="3Arrows">
        <cfvo type="percent" val="0"/>
        <cfvo type="num" val="0.7"/>
        <cfvo type="num" val="1"/>
      </iconSet>
    </cfRule>
  </conditionalFormatting>
  <conditionalFormatting sqref="J2127">
    <cfRule type="dataBar" priority="7018">
      <dataBar>
        <cfvo type="num" val="0"/>
        <cfvo type="num" val="1"/>
        <color theme="4" tint="0.79998168889431442"/>
      </dataBar>
      <extLst>
        <ext xmlns:x14="http://schemas.microsoft.com/office/spreadsheetml/2009/9/main" uri="{B025F937-C7B1-47D3-B67F-A62EFF666E3E}">
          <x14:id>{0A489C55-D453-4A69-9EF9-4EFC16DBF9BF}</x14:id>
        </ext>
      </extLst>
    </cfRule>
    <cfRule type="iconSet" priority="7017">
      <iconSet iconSet="3Arrows">
        <cfvo type="percent" val="0"/>
        <cfvo type="num" val="0.7"/>
        <cfvo type="num" val="1"/>
      </iconSet>
    </cfRule>
  </conditionalFormatting>
  <conditionalFormatting sqref="J2129 J2131 J2133">
    <cfRule type="dataBar" priority="7016">
      <dataBar>
        <cfvo type="num" val="0"/>
        <cfvo type="num" val="1"/>
        <color theme="4" tint="0.79998168889431442"/>
      </dataBar>
      <extLst>
        <ext xmlns:x14="http://schemas.microsoft.com/office/spreadsheetml/2009/9/main" uri="{B025F937-C7B1-47D3-B67F-A62EFF666E3E}">
          <x14:id>{8965C824-57CF-4C8D-A0D1-FEEE1F30CE38}</x14:id>
        </ext>
      </extLst>
    </cfRule>
    <cfRule type="iconSet" priority="7015">
      <iconSet iconSet="3Arrows">
        <cfvo type="percent" val="0"/>
        <cfvo type="num" val="0.7"/>
        <cfvo type="num" val="1"/>
      </iconSet>
    </cfRule>
  </conditionalFormatting>
  <conditionalFormatting sqref="J2135 J2137 J2139">
    <cfRule type="dataBar" priority="7014">
      <dataBar>
        <cfvo type="num" val="0"/>
        <cfvo type="num" val="1"/>
        <color theme="4" tint="0.79998168889431442"/>
      </dataBar>
      <extLst>
        <ext xmlns:x14="http://schemas.microsoft.com/office/spreadsheetml/2009/9/main" uri="{B025F937-C7B1-47D3-B67F-A62EFF666E3E}">
          <x14:id>{DA147A3A-C039-4DA8-A862-B80AC6A81A91}</x14:id>
        </ext>
      </extLst>
    </cfRule>
    <cfRule type="iconSet" priority="7013">
      <iconSet iconSet="3Arrows">
        <cfvo type="percent" val="0"/>
        <cfvo type="num" val="0.7"/>
        <cfvo type="num" val="1"/>
      </iconSet>
    </cfRule>
  </conditionalFormatting>
  <conditionalFormatting sqref="J2141 J2143 J2145">
    <cfRule type="dataBar" priority="7012">
      <dataBar>
        <cfvo type="num" val="0"/>
        <cfvo type="num" val="1"/>
        <color theme="4" tint="0.79998168889431442"/>
      </dataBar>
      <extLst>
        <ext xmlns:x14="http://schemas.microsoft.com/office/spreadsheetml/2009/9/main" uri="{B025F937-C7B1-47D3-B67F-A62EFF666E3E}">
          <x14:id>{A7DFAB84-6BF2-4D49-A1EB-1D0421EAB93C}</x14:id>
        </ext>
      </extLst>
    </cfRule>
    <cfRule type="iconSet" priority="7011">
      <iconSet iconSet="3Arrows">
        <cfvo type="percent" val="0"/>
        <cfvo type="num" val="0.7"/>
        <cfvo type="num" val="1"/>
      </iconSet>
    </cfRule>
  </conditionalFormatting>
  <conditionalFormatting sqref="J2147 J2149 J2151">
    <cfRule type="dataBar" priority="7010">
      <dataBar>
        <cfvo type="num" val="0"/>
        <cfvo type="num" val="1"/>
        <color theme="4" tint="0.79998168889431442"/>
      </dataBar>
      <extLst>
        <ext xmlns:x14="http://schemas.microsoft.com/office/spreadsheetml/2009/9/main" uri="{B025F937-C7B1-47D3-B67F-A62EFF666E3E}">
          <x14:id>{6FB75CC6-A781-4F2F-8ECF-C673BE9E38ED}</x14:id>
        </ext>
      </extLst>
    </cfRule>
    <cfRule type="iconSet" priority="7009">
      <iconSet iconSet="3Arrows">
        <cfvo type="percent" val="0"/>
        <cfvo type="num" val="0.7"/>
        <cfvo type="num" val="1"/>
      </iconSet>
    </cfRule>
  </conditionalFormatting>
  <conditionalFormatting sqref="J2153 J2155 J2157">
    <cfRule type="iconSet" priority="7007">
      <iconSet iconSet="3Arrows">
        <cfvo type="percent" val="0"/>
        <cfvo type="num" val="0.7"/>
        <cfvo type="num" val="1"/>
      </iconSet>
    </cfRule>
    <cfRule type="dataBar" priority="7008">
      <dataBar>
        <cfvo type="num" val="0"/>
        <cfvo type="num" val="1"/>
        <color theme="4" tint="0.79998168889431442"/>
      </dataBar>
      <extLst>
        <ext xmlns:x14="http://schemas.microsoft.com/office/spreadsheetml/2009/9/main" uri="{B025F937-C7B1-47D3-B67F-A62EFF666E3E}">
          <x14:id>{B6D850E2-53CD-4036-A198-0AE8FE8F67EA}</x14:id>
        </ext>
      </extLst>
    </cfRule>
  </conditionalFormatting>
  <conditionalFormatting sqref="J2159 J2161 J2163">
    <cfRule type="iconSet" priority="7005">
      <iconSet iconSet="3Arrows">
        <cfvo type="percent" val="0"/>
        <cfvo type="num" val="0.7"/>
        <cfvo type="num" val="1"/>
      </iconSet>
    </cfRule>
    <cfRule type="dataBar" priority="7006">
      <dataBar>
        <cfvo type="num" val="0"/>
        <cfvo type="num" val="1"/>
        <color theme="4" tint="0.79998168889431442"/>
      </dataBar>
      <extLst>
        <ext xmlns:x14="http://schemas.microsoft.com/office/spreadsheetml/2009/9/main" uri="{B025F937-C7B1-47D3-B67F-A62EFF666E3E}">
          <x14:id>{601D7EC8-1436-400F-9C0C-FB3B7CDC4E54}</x14:id>
        </ext>
      </extLst>
    </cfRule>
  </conditionalFormatting>
  <conditionalFormatting sqref="J2165 J2167">
    <cfRule type="dataBar" priority="7004">
      <dataBar>
        <cfvo type="num" val="0"/>
        <cfvo type="num" val="1"/>
        <color theme="4" tint="0.79998168889431442"/>
      </dataBar>
      <extLst>
        <ext xmlns:x14="http://schemas.microsoft.com/office/spreadsheetml/2009/9/main" uri="{B025F937-C7B1-47D3-B67F-A62EFF666E3E}">
          <x14:id>{C484EB45-80CA-4AC8-A05F-B94BD2EFD775}</x14:id>
        </ext>
      </extLst>
    </cfRule>
    <cfRule type="iconSet" priority="7003">
      <iconSet iconSet="3Arrows">
        <cfvo type="percent" val="0"/>
        <cfvo type="num" val="0.7"/>
        <cfvo type="num" val="1"/>
      </iconSet>
    </cfRule>
  </conditionalFormatting>
  <conditionalFormatting sqref="J2169 J2171 J2173">
    <cfRule type="dataBar" priority="7002">
      <dataBar>
        <cfvo type="num" val="0"/>
        <cfvo type="num" val="1"/>
        <color theme="4" tint="0.79998168889431442"/>
      </dataBar>
      <extLst>
        <ext xmlns:x14="http://schemas.microsoft.com/office/spreadsheetml/2009/9/main" uri="{B025F937-C7B1-47D3-B67F-A62EFF666E3E}">
          <x14:id>{312F1FBF-70ED-4EE0-8037-2BFF43832BE1}</x14:id>
        </ext>
      </extLst>
    </cfRule>
    <cfRule type="iconSet" priority="7001">
      <iconSet iconSet="3Arrows">
        <cfvo type="percent" val="0"/>
        <cfvo type="num" val="0.7"/>
        <cfvo type="num" val="1"/>
      </iconSet>
    </cfRule>
  </conditionalFormatting>
  <conditionalFormatting sqref="J2175 J2177 J2179">
    <cfRule type="dataBar" priority="7000">
      <dataBar>
        <cfvo type="num" val="0"/>
        <cfvo type="num" val="1"/>
        <color theme="4" tint="0.79998168889431442"/>
      </dataBar>
      <extLst>
        <ext xmlns:x14="http://schemas.microsoft.com/office/spreadsheetml/2009/9/main" uri="{B025F937-C7B1-47D3-B67F-A62EFF666E3E}">
          <x14:id>{31E9D08D-024B-43E2-93F6-09DC16CA5109}</x14:id>
        </ext>
      </extLst>
    </cfRule>
    <cfRule type="iconSet" priority="6999">
      <iconSet iconSet="3Arrows">
        <cfvo type="percent" val="0"/>
        <cfvo type="num" val="0.7"/>
        <cfvo type="num" val="1"/>
      </iconSet>
    </cfRule>
  </conditionalFormatting>
  <conditionalFormatting sqref="J2181 J2183 J2185">
    <cfRule type="dataBar" priority="6998">
      <dataBar>
        <cfvo type="num" val="0"/>
        <cfvo type="num" val="1"/>
        <color theme="4" tint="0.79998168889431442"/>
      </dataBar>
      <extLst>
        <ext xmlns:x14="http://schemas.microsoft.com/office/spreadsheetml/2009/9/main" uri="{B025F937-C7B1-47D3-B67F-A62EFF666E3E}">
          <x14:id>{314254BC-60D4-4046-B134-5DF9A25CFD04}</x14:id>
        </ext>
      </extLst>
    </cfRule>
    <cfRule type="iconSet" priority="6997">
      <iconSet iconSet="3Arrows">
        <cfvo type="percent" val="0"/>
        <cfvo type="num" val="0.7"/>
        <cfvo type="num" val="1"/>
      </iconSet>
    </cfRule>
  </conditionalFormatting>
  <conditionalFormatting sqref="J2187 J2189 J2191">
    <cfRule type="dataBar" priority="6996">
      <dataBar>
        <cfvo type="num" val="0"/>
        <cfvo type="num" val="1"/>
        <color theme="4" tint="0.79998168889431442"/>
      </dataBar>
      <extLst>
        <ext xmlns:x14="http://schemas.microsoft.com/office/spreadsheetml/2009/9/main" uri="{B025F937-C7B1-47D3-B67F-A62EFF666E3E}">
          <x14:id>{3E3245D2-8479-4644-B7D0-4B96487AC8CE}</x14:id>
        </ext>
      </extLst>
    </cfRule>
    <cfRule type="iconSet" priority="6995">
      <iconSet iconSet="3Arrows">
        <cfvo type="percent" val="0"/>
        <cfvo type="num" val="0.7"/>
        <cfvo type="num" val="1"/>
      </iconSet>
    </cfRule>
  </conditionalFormatting>
  <conditionalFormatting sqref="J2193 J2195 J2197">
    <cfRule type="dataBar" priority="6994">
      <dataBar>
        <cfvo type="num" val="0"/>
        <cfvo type="num" val="1"/>
        <color theme="4" tint="0.79998168889431442"/>
      </dataBar>
      <extLst>
        <ext xmlns:x14="http://schemas.microsoft.com/office/spreadsheetml/2009/9/main" uri="{B025F937-C7B1-47D3-B67F-A62EFF666E3E}">
          <x14:id>{EF19B06C-DF98-4588-864D-AE9DF626F3AF}</x14:id>
        </ext>
      </extLst>
    </cfRule>
    <cfRule type="iconSet" priority="6993">
      <iconSet iconSet="3Arrows">
        <cfvo type="percent" val="0"/>
        <cfvo type="num" val="0.7"/>
        <cfvo type="num" val="1"/>
      </iconSet>
    </cfRule>
  </conditionalFormatting>
  <conditionalFormatting sqref="J2199 J2201 J2203">
    <cfRule type="dataBar" priority="6992">
      <dataBar>
        <cfvo type="num" val="0"/>
        <cfvo type="num" val="1"/>
        <color theme="4" tint="0.79998168889431442"/>
      </dataBar>
      <extLst>
        <ext xmlns:x14="http://schemas.microsoft.com/office/spreadsheetml/2009/9/main" uri="{B025F937-C7B1-47D3-B67F-A62EFF666E3E}">
          <x14:id>{9F986B39-1BD5-440B-A672-F618807DFF81}</x14:id>
        </ext>
      </extLst>
    </cfRule>
    <cfRule type="iconSet" priority="6991">
      <iconSet iconSet="3Arrows">
        <cfvo type="percent" val="0"/>
        <cfvo type="num" val="0.7"/>
        <cfvo type="num" val="1"/>
      </iconSet>
    </cfRule>
  </conditionalFormatting>
  <conditionalFormatting sqref="J2205 J2209">
    <cfRule type="dataBar" priority="6990">
      <dataBar>
        <cfvo type="num" val="0"/>
        <cfvo type="num" val="1"/>
        <color theme="4" tint="0.79998168889431442"/>
      </dataBar>
      <extLst>
        <ext xmlns:x14="http://schemas.microsoft.com/office/spreadsheetml/2009/9/main" uri="{B025F937-C7B1-47D3-B67F-A62EFF666E3E}">
          <x14:id>{529C0B4E-90FC-4B55-B58F-4B1122AC0F9B}</x14:id>
        </ext>
      </extLst>
    </cfRule>
    <cfRule type="iconSet" priority="6989">
      <iconSet iconSet="3Arrows">
        <cfvo type="percent" val="0"/>
        <cfvo type="num" val="0.7"/>
        <cfvo type="num" val="1"/>
      </iconSet>
    </cfRule>
  </conditionalFormatting>
  <conditionalFormatting sqref="J2207">
    <cfRule type="iconSet" priority="6987">
      <iconSet iconSet="3Arrows">
        <cfvo type="percent" val="0"/>
        <cfvo type="num" val="0.7"/>
        <cfvo type="num" val="1"/>
      </iconSet>
    </cfRule>
    <cfRule type="dataBar" priority="6988">
      <dataBar>
        <cfvo type="num" val="0"/>
        <cfvo type="num" val="1"/>
        <color theme="4" tint="0.79998168889431442"/>
      </dataBar>
      <extLst>
        <ext xmlns:x14="http://schemas.microsoft.com/office/spreadsheetml/2009/9/main" uri="{B025F937-C7B1-47D3-B67F-A62EFF666E3E}">
          <x14:id>{709E13A4-2833-44B1-8EA8-601E72E3CF5B}</x14:id>
        </ext>
      </extLst>
    </cfRule>
  </conditionalFormatting>
  <conditionalFormatting sqref="J2213">
    <cfRule type="dataBar" priority="6986">
      <dataBar>
        <cfvo type="num" val="0"/>
        <cfvo type="num" val="1"/>
        <color theme="4" tint="0.79998168889431442"/>
      </dataBar>
      <extLst>
        <ext xmlns:x14="http://schemas.microsoft.com/office/spreadsheetml/2009/9/main" uri="{B025F937-C7B1-47D3-B67F-A62EFF666E3E}">
          <x14:id>{C28113F9-248B-4D88-B7DE-0FA1CD76F041}</x14:id>
        </ext>
      </extLst>
    </cfRule>
    <cfRule type="iconSet" priority="6985">
      <iconSet iconSet="3Arrows">
        <cfvo type="percent" val="0"/>
        <cfvo type="num" val="0.7"/>
        <cfvo type="num" val="1"/>
      </iconSet>
    </cfRule>
  </conditionalFormatting>
  <conditionalFormatting sqref="J2215 J2217">
    <cfRule type="dataBar" priority="6984">
      <dataBar>
        <cfvo type="num" val="0"/>
        <cfvo type="num" val="1"/>
        <color theme="4" tint="0.79998168889431442"/>
      </dataBar>
      <extLst>
        <ext xmlns:x14="http://schemas.microsoft.com/office/spreadsheetml/2009/9/main" uri="{B025F937-C7B1-47D3-B67F-A62EFF666E3E}">
          <x14:id>{024DA630-1714-488A-8C3F-099051244B38}</x14:id>
        </ext>
      </extLst>
    </cfRule>
    <cfRule type="iconSet" priority="6983">
      <iconSet iconSet="3Arrows">
        <cfvo type="percent" val="0"/>
        <cfvo type="num" val="0.7"/>
        <cfvo type="num" val="1"/>
      </iconSet>
    </cfRule>
  </conditionalFormatting>
  <conditionalFormatting sqref="J2219">
    <cfRule type="dataBar" priority="6982">
      <dataBar>
        <cfvo type="num" val="0"/>
        <cfvo type="num" val="1"/>
        <color theme="4" tint="0.79998168889431442"/>
      </dataBar>
      <extLst>
        <ext xmlns:x14="http://schemas.microsoft.com/office/spreadsheetml/2009/9/main" uri="{B025F937-C7B1-47D3-B67F-A62EFF666E3E}">
          <x14:id>{48013115-4506-47A2-96F7-6D2F1EA7270C}</x14:id>
        </ext>
      </extLst>
    </cfRule>
    <cfRule type="iconSet" priority="6981">
      <iconSet iconSet="3Arrows">
        <cfvo type="percent" val="0"/>
        <cfvo type="num" val="0.7"/>
        <cfvo type="num" val="1"/>
      </iconSet>
    </cfRule>
  </conditionalFormatting>
  <conditionalFormatting sqref="J2221 J2223 J2225">
    <cfRule type="dataBar" priority="6980">
      <dataBar>
        <cfvo type="num" val="0"/>
        <cfvo type="num" val="1"/>
        <color theme="4" tint="0.79998168889431442"/>
      </dataBar>
      <extLst>
        <ext xmlns:x14="http://schemas.microsoft.com/office/spreadsheetml/2009/9/main" uri="{B025F937-C7B1-47D3-B67F-A62EFF666E3E}">
          <x14:id>{89838755-AB74-4CE1-BC1D-185825BBAEE0}</x14:id>
        </ext>
      </extLst>
    </cfRule>
    <cfRule type="iconSet" priority="6979">
      <iconSet iconSet="3Arrows">
        <cfvo type="percent" val="0"/>
        <cfvo type="num" val="0.7"/>
        <cfvo type="num" val="1"/>
      </iconSet>
    </cfRule>
  </conditionalFormatting>
  <conditionalFormatting sqref="J2227 J2229">
    <cfRule type="dataBar" priority="6978">
      <dataBar>
        <cfvo type="num" val="0"/>
        <cfvo type="num" val="1"/>
        <color theme="4" tint="0.79998168889431442"/>
      </dataBar>
      <extLst>
        <ext xmlns:x14="http://schemas.microsoft.com/office/spreadsheetml/2009/9/main" uri="{B025F937-C7B1-47D3-B67F-A62EFF666E3E}">
          <x14:id>{795715DE-5AB1-4F55-B001-3F344508AA67}</x14:id>
        </ext>
      </extLst>
    </cfRule>
    <cfRule type="iconSet" priority="6977">
      <iconSet iconSet="3Arrows">
        <cfvo type="percent" val="0"/>
        <cfvo type="num" val="0.7"/>
        <cfvo type="num" val="1"/>
      </iconSet>
    </cfRule>
  </conditionalFormatting>
  <conditionalFormatting sqref="J2231">
    <cfRule type="dataBar" priority="6976">
      <dataBar>
        <cfvo type="num" val="0"/>
        <cfvo type="num" val="1"/>
        <color theme="4" tint="0.79998168889431442"/>
      </dataBar>
      <extLst>
        <ext xmlns:x14="http://schemas.microsoft.com/office/spreadsheetml/2009/9/main" uri="{B025F937-C7B1-47D3-B67F-A62EFF666E3E}">
          <x14:id>{B66AD2DF-116A-4B42-8B8C-82375882EE9E}</x14:id>
        </ext>
      </extLst>
    </cfRule>
    <cfRule type="iconSet" priority="6975">
      <iconSet iconSet="3Arrows">
        <cfvo type="percent" val="0"/>
        <cfvo type="num" val="0.7"/>
        <cfvo type="num" val="1"/>
      </iconSet>
    </cfRule>
  </conditionalFormatting>
  <conditionalFormatting sqref="J2233 J2235 J2237">
    <cfRule type="dataBar" priority="6974">
      <dataBar>
        <cfvo type="num" val="0"/>
        <cfvo type="num" val="1"/>
        <color theme="4" tint="0.79998168889431442"/>
      </dataBar>
      <extLst>
        <ext xmlns:x14="http://schemas.microsoft.com/office/spreadsheetml/2009/9/main" uri="{B025F937-C7B1-47D3-B67F-A62EFF666E3E}">
          <x14:id>{A16FA9A5-B5D6-4761-8D62-21E1F4E94620}</x14:id>
        </ext>
      </extLst>
    </cfRule>
    <cfRule type="iconSet" priority="6973">
      <iconSet iconSet="3Arrows">
        <cfvo type="percent" val="0"/>
        <cfvo type="num" val="0.7"/>
        <cfvo type="num" val="1"/>
      </iconSet>
    </cfRule>
  </conditionalFormatting>
  <conditionalFormatting sqref="J2239">
    <cfRule type="iconSet" priority="6971">
      <iconSet iconSet="3Arrows">
        <cfvo type="percent" val="0"/>
        <cfvo type="num" val="0.7"/>
        <cfvo type="num" val="1"/>
      </iconSet>
    </cfRule>
    <cfRule type="dataBar" priority="6972">
      <dataBar>
        <cfvo type="num" val="0"/>
        <cfvo type="num" val="1"/>
        <color theme="4" tint="0.79998168889431442"/>
      </dataBar>
      <extLst>
        <ext xmlns:x14="http://schemas.microsoft.com/office/spreadsheetml/2009/9/main" uri="{B025F937-C7B1-47D3-B67F-A62EFF666E3E}">
          <x14:id>{0F2D047D-E483-4C58-A011-E289AE5D4731}</x14:id>
        </ext>
      </extLst>
    </cfRule>
  </conditionalFormatting>
  <conditionalFormatting sqref="J2241">
    <cfRule type="iconSet" priority="6969">
      <iconSet iconSet="3Arrows">
        <cfvo type="percent" val="0"/>
        <cfvo type="num" val="0.7"/>
        <cfvo type="num" val="1"/>
      </iconSet>
    </cfRule>
    <cfRule type="dataBar" priority="6970">
      <dataBar>
        <cfvo type="num" val="0"/>
        <cfvo type="num" val="1"/>
        <color theme="4" tint="0.79998168889431442"/>
      </dataBar>
      <extLst>
        <ext xmlns:x14="http://schemas.microsoft.com/office/spreadsheetml/2009/9/main" uri="{B025F937-C7B1-47D3-B67F-A62EFF666E3E}">
          <x14:id>{2E319C04-3C61-457A-8965-1966593190C2}</x14:id>
        </ext>
      </extLst>
    </cfRule>
  </conditionalFormatting>
  <conditionalFormatting sqref="J2243">
    <cfRule type="dataBar" priority="6968">
      <dataBar>
        <cfvo type="num" val="0"/>
        <cfvo type="num" val="1"/>
        <color theme="4" tint="0.79998168889431442"/>
      </dataBar>
      <extLst>
        <ext xmlns:x14="http://schemas.microsoft.com/office/spreadsheetml/2009/9/main" uri="{B025F937-C7B1-47D3-B67F-A62EFF666E3E}">
          <x14:id>{C2FA8635-EEA7-4EC7-9713-966870E3ED3A}</x14:id>
        </ext>
      </extLst>
    </cfRule>
    <cfRule type="iconSet" priority="6967">
      <iconSet iconSet="3Arrows">
        <cfvo type="percent" val="0"/>
        <cfvo type="num" val="0.7"/>
        <cfvo type="num" val="1"/>
      </iconSet>
    </cfRule>
  </conditionalFormatting>
  <conditionalFormatting sqref="J2245">
    <cfRule type="dataBar" priority="6966">
      <dataBar>
        <cfvo type="num" val="0"/>
        <cfvo type="num" val="1"/>
        <color theme="4" tint="0.79998168889431442"/>
      </dataBar>
      <extLst>
        <ext xmlns:x14="http://schemas.microsoft.com/office/spreadsheetml/2009/9/main" uri="{B025F937-C7B1-47D3-B67F-A62EFF666E3E}">
          <x14:id>{5377C143-7FE3-4089-8FBF-868448EE4F7F}</x14:id>
        </ext>
      </extLst>
    </cfRule>
    <cfRule type="iconSet" priority="6965">
      <iconSet iconSet="3Arrows">
        <cfvo type="percent" val="0"/>
        <cfvo type="num" val="0.7"/>
        <cfvo type="num" val="1"/>
      </iconSet>
    </cfRule>
  </conditionalFormatting>
  <conditionalFormatting sqref="J2247">
    <cfRule type="dataBar" priority="6964">
      <dataBar>
        <cfvo type="num" val="0"/>
        <cfvo type="num" val="1"/>
        <color theme="4" tint="0.79998168889431442"/>
      </dataBar>
      <extLst>
        <ext xmlns:x14="http://schemas.microsoft.com/office/spreadsheetml/2009/9/main" uri="{B025F937-C7B1-47D3-B67F-A62EFF666E3E}">
          <x14:id>{1CCC5F91-AF30-44EB-B91D-E306C6CC62B4}</x14:id>
        </ext>
      </extLst>
    </cfRule>
    <cfRule type="iconSet" priority="6963">
      <iconSet iconSet="3Arrows">
        <cfvo type="percent" val="0"/>
        <cfvo type="num" val="0.7"/>
        <cfvo type="num" val="1"/>
      </iconSet>
    </cfRule>
  </conditionalFormatting>
  <conditionalFormatting sqref="J2249">
    <cfRule type="dataBar" priority="6962">
      <dataBar>
        <cfvo type="num" val="0"/>
        <cfvo type="num" val="1"/>
        <color theme="4" tint="0.79998168889431442"/>
      </dataBar>
      <extLst>
        <ext xmlns:x14="http://schemas.microsoft.com/office/spreadsheetml/2009/9/main" uri="{B025F937-C7B1-47D3-B67F-A62EFF666E3E}">
          <x14:id>{AF534139-04E1-4823-8E0C-9AA9882E2699}</x14:id>
        </ext>
      </extLst>
    </cfRule>
    <cfRule type="iconSet" priority="6961">
      <iconSet iconSet="3Arrows">
        <cfvo type="percent" val="0"/>
        <cfvo type="num" val="0.7"/>
        <cfvo type="num" val="1"/>
      </iconSet>
    </cfRule>
  </conditionalFormatting>
  <conditionalFormatting sqref="J2251">
    <cfRule type="dataBar" priority="6960">
      <dataBar>
        <cfvo type="num" val="0"/>
        <cfvo type="num" val="1"/>
        <color theme="4" tint="0.79998168889431442"/>
      </dataBar>
      <extLst>
        <ext xmlns:x14="http://schemas.microsoft.com/office/spreadsheetml/2009/9/main" uri="{B025F937-C7B1-47D3-B67F-A62EFF666E3E}">
          <x14:id>{70933044-F3E8-43EC-A889-213EB533A8B4}</x14:id>
        </ext>
      </extLst>
    </cfRule>
    <cfRule type="iconSet" priority="6959">
      <iconSet iconSet="3Arrows">
        <cfvo type="percent" val="0"/>
        <cfvo type="num" val="0.7"/>
        <cfvo type="num" val="1"/>
      </iconSet>
    </cfRule>
  </conditionalFormatting>
  <conditionalFormatting sqref="J2253">
    <cfRule type="dataBar" priority="6958">
      <dataBar>
        <cfvo type="num" val="0"/>
        <cfvo type="num" val="1"/>
        <color theme="4" tint="0.79998168889431442"/>
      </dataBar>
      <extLst>
        <ext xmlns:x14="http://schemas.microsoft.com/office/spreadsheetml/2009/9/main" uri="{B025F937-C7B1-47D3-B67F-A62EFF666E3E}">
          <x14:id>{22E30C7B-1F41-4260-87CD-EF701B251588}</x14:id>
        </ext>
      </extLst>
    </cfRule>
    <cfRule type="iconSet" priority="6957">
      <iconSet iconSet="3Arrows">
        <cfvo type="percent" val="0"/>
        <cfvo type="num" val="0.7"/>
        <cfvo type="num" val="1"/>
      </iconSet>
    </cfRule>
  </conditionalFormatting>
  <conditionalFormatting sqref="J2255">
    <cfRule type="iconSet" priority="6955">
      <iconSet iconSet="3Arrows">
        <cfvo type="percent" val="0"/>
        <cfvo type="num" val="0.7"/>
        <cfvo type="num" val="1"/>
      </iconSet>
    </cfRule>
    <cfRule type="dataBar" priority="6956">
      <dataBar>
        <cfvo type="num" val="0"/>
        <cfvo type="num" val="1"/>
        <color theme="4" tint="0.79998168889431442"/>
      </dataBar>
      <extLst>
        <ext xmlns:x14="http://schemas.microsoft.com/office/spreadsheetml/2009/9/main" uri="{B025F937-C7B1-47D3-B67F-A62EFF666E3E}">
          <x14:id>{3772BCB4-0FD6-41F4-B400-99346A9E3207}</x14:id>
        </ext>
      </extLst>
    </cfRule>
  </conditionalFormatting>
  <conditionalFormatting sqref="J2257">
    <cfRule type="dataBar" priority="6954">
      <dataBar>
        <cfvo type="num" val="0"/>
        <cfvo type="num" val="1"/>
        <color theme="4" tint="0.79998168889431442"/>
      </dataBar>
      <extLst>
        <ext xmlns:x14="http://schemas.microsoft.com/office/spreadsheetml/2009/9/main" uri="{B025F937-C7B1-47D3-B67F-A62EFF666E3E}">
          <x14:id>{E6709FED-8F72-4C9C-8064-78F1DDB0ACAF}</x14:id>
        </ext>
      </extLst>
    </cfRule>
    <cfRule type="iconSet" priority="6953">
      <iconSet iconSet="3Arrows">
        <cfvo type="percent" val="0"/>
        <cfvo type="num" val="0.7"/>
        <cfvo type="num" val="1"/>
      </iconSet>
    </cfRule>
  </conditionalFormatting>
  <conditionalFormatting sqref="J2259">
    <cfRule type="dataBar" priority="6952">
      <dataBar>
        <cfvo type="num" val="0"/>
        <cfvo type="num" val="1"/>
        <color theme="4" tint="0.79998168889431442"/>
      </dataBar>
      <extLst>
        <ext xmlns:x14="http://schemas.microsoft.com/office/spreadsheetml/2009/9/main" uri="{B025F937-C7B1-47D3-B67F-A62EFF666E3E}">
          <x14:id>{0D61C755-7D60-4477-9997-198E0CD5EF3E}</x14:id>
        </ext>
      </extLst>
    </cfRule>
    <cfRule type="iconSet" priority="6951">
      <iconSet iconSet="3Arrows">
        <cfvo type="percent" val="0"/>
        <cfvo type="num" val="0.7"/>
        <cfvo type="num" val="1"/>
      </iconSet>
    </cfRule>
  </conditionalFormatting>
  <conditionalFormatting sqref="J2261">
    <cfRule type="dataBar" priority="6950">
      <dataBar>
        <cfvo type="num" val="0"/>
        <cfvo type="num" val="1"/>
        <color theme="4" tint="0.79998168889431442"/>
      </dataBar>
      <extLst>
        <ext xmlns:x14="http://schemas.microsoft.com/office/spreadsheetml/2009/9/main" uri="{B025F937-C7B1-47D3-B67F-A62EFF666E3E}">
          <x14:id>{680BC41B-87F8-4E2A-A6DC-871A9C9551A3}</x14:id>
        </ext>
      </extLst>
    </cfRule>
    <cfRule type="iconSet" priority="6949">
      <iconSet iconSet="3Arrows">
        <cfvo type="percent" val="0"/>
        <cfvo type="num" val="0.7"/>
        <cfvo type="num" val="1"/>
      </iconSet>
    </cfRule>
  </conditionalFormatting>
  <conditionalFormatting sqref="J2263 J2265">
    <cfRule type="iconSet" priority="6947">
      <iconSet iconSet="3Arrows">
        <cfvo type="percent" val="0"/>
        <cfvo type="num" val="0.7"/>
        <cfvo type="num" val="1"/>
      </iconSet>
    </cfRule>
    <cfRule type="dataBar" priority="6948">
      <dataBar>
        <cfvo type="num" val="0"/>
        <cfvo type="num" val="1"/>
        <color theme="4" tint="0.79998168889431442"/>
      </dataBar>
      <extLst>
        <ext xmlns:x14="http://schemas.microsoft.com/office/spreadsheetml/2009/9/main" uri="{B025F937-C7B1-47D3-B67F-A62EFF666E3E}">
          <x14:id>{C3CB7A34-66F0-414D-B28E-29AF78154538}</x14:id>
        </ext>
      </extLst>
    </cfRule>
  </conditionalFormatting>
  <conditionalFormatting sqref="J2267">
    <cfRule type="dataBar" priority="6946">
      <dataBar>
        <cfvo type="num" val="0"/>
        <cfvo type="num" val="1"/>
        <color theme="4" tint="0.79998168889431442"/>
      </dataBar>
      <extLst>
        <ext xmlns:x14="http://schemas.microsoft.com/office/spreadsheetml/2009/9/main" uri="{B025F937-C7B1-47D3-B67F-A62EFF666E3E}">
          <x14:id>{C0F8994D-D87A-4A93-A0C8-D81D533F8A80}</x14:id>
        </ext>
      </extLst>
    </cfRule>
    <cfRule type="iconSet" priority="6945">
      <iconSet iconSet="3Arrows">
        <cfvo type="percent" val="0"/>
        <cfvo type="num" val="0.7"/>
        <cfvo type="num" val="1"/>
      </iconSet>
    </cfRule>
  </conditionalFormatting>
  <conditionalFormatting sqref="J2269 J2271">
    <cfRule type="dataBar" priority="6944">
      <dataBar>
        <cfvo type="num" val="0"/>
        <cfvo type="num" val="1"/>
        <color theme="4" tint="0.79998168889431442"/>
      </dataBar>
      <extLst>
        <ext xmlns:x14="http://schemas.microsoft.com/office/spreadsheetml/2009/9/main" uri="{B025F937-C7B1-47D3-B67F-A62EFF666E3E}">
          <x14:id>{53409ADE-D395-4D6C-9138-21CCC87AB8D4}</x14:id>
        </ext>
      </extLst>
    </cfRule>
    <cfRule type="iconSet" priority="6943">
      <iconSet iconSet="3Arrows">
        <cfvo type="percent" val="0"/>
        <cfvo type="num" val="0.7"/>
        <cfvo type="num" val="1"/>
      </iconSet>
    </cfRule>
  </conditionalFormatting>
  <conditionalFormatting sqref="J2273 J2275">
    <cfRule type="dataBar" priority="6942">
      <dataBar>
        <cfvo type="num" val="0"/>
        <cfvo type="num" val="1"/>
        <color theme="4" tint="0.79998168889431442"/>
      </dataBar>
      <extLst>
        <ext xmlns:x14="http://schemas.microsoft.com/office/spreadsheetml/2009/9/main" uri="{B025F937-C7B1-47D3-B67F-A62EFF666E3E}">
          <x14:id>{21DE9E32-99C5-4F40-8E46-B086CC3FA1A6}</x14:id>
        </ext>
      </extLst>
    </cfRule>
    <cfRule type="iconSet" priority="6941">
      <iconSet iconSet="3Arrows">
        <cfvo type="percent" val="0"/>
        <cfvo type="num" val="0.7"/>
        <cfvo type="num" val="1"/>
      </iconSet>
    </cfRule>
  </conditionalFormatting>
  <conditionalFormatting sqref="J2277">
    <cfRule type="iconSet" priority="6939">
      <iconSet iconSet="3Arrows">
        <cfvo type="percent" val="0"/>
        <cfvo type="num" val="0.7"/>
        <cfvo type="num" val="1"/>
      </iconSet>
    </cfRule>
    <cfRule type="dataBar" priority="6940">
      <dataBar>
        <cfvo type="num" val="0"/>
        <cfvo type="num" val="1"/>
        <color theme="4" tint="0.79998168889431442"/>
      </dataBar>
      <extLst>
        <ext xmlns:x14="http://schemas.microsoft.com/office/spreadsheetml/2009/9/main" uri="{B025F937-C7B1-47D3-B67F-A62EFF666E3E}">
          <x14:id>{942D24D0-6D58-452C-9A09-9510CB6D041C}</x14:id>
        </ext>
      </extLst>
    </cfRule>
  </conditionalFormatting>
  <conditionalFormatting sqref="J2279">
    <cfRule type="iconSet" priority="6937">
      <iconSet iconSet="3Arrows">
        <cfvo type="percent" val="0"/>
        <cfvo type="num" val="0.7"/>
        <cfvo type="num" val="1"/>
      </iconSet>
    </cfRule>
    <cfRule type="dataBar" priority="6938">
      <dataBar>
        <cfvo type="num" val="0"/>
        <cfvo type="num" val="1"/>
        <color theme="4" tint="0.79998168889431442"/>
      </dataBar>
      <extLst>
        <ext xmlns:x14="http://schemas.microsoft.com/office/spreadsheetml/2009/9/main" uri="{B025F937-C7B1-47D3-B67F-A62EFF666E3E}">
          <x14:id>{715B6685-83A4-422A-9A1D-B2D2BA5989C7}</x14:id>
        </ext>
      </extLst>
    </cfRule>
  </conditionalFormatting>
  <conditionalFormatting sqref="J2281">
    <cfRule type="dataBar" priority="6936">
      <dataBar>
        <cfvo type="num" val="0"/>
        <cfvo type="num" val="1"/>
        <color theme="4" tint="0.79998168889431442"/>
      </dataBar>
      <extLst>
        <ext xmlns:x14="http://schemas.microsoft.com/office/spreadsheetml/2009/9/main" uri="{B025F937-C7B1-47D3-B67F-A62EFF666E3E}">
          <x14:id>{402554AB-A442-4072-8F57-0221DE951757}</x14:id>
        </ext>
      </extLst>
    </cfRule>
    <cfRule type="iconSet" priority="6935">
      <iconSet iconSet="3Arrows">
        <cfvo type="percent" val="0"/>
        <cfvo type="num" val="0.7"/>
        <cfvo type="num" val="1"/>
      </iconSet>
    </cfRule>
  </conditionalFormatting>
  <conditionalFormatting sqref="J2283">
    <cfRule type="dataBar" priority="6934">
      <dataBar>
        <cfvo type="num" val="0"/>
        <cfvo type="num" val="1"/>
        <color theme="4" tint="0.79998168889431442"/>
      </dataBar>
      <extLst>
        <ext xmlns:x14="http://schemas.microsoft.com/office/spreadsheetml/2009/9/main" uri="{B025F937-C7B1-47D3-B67F-A62EFF666E3E}">
          <x14:id>{C6429B32-622A-4116-86C1-6DFECA122366}</x14:id>
        </ext>
      </extLst>
    </cfRule>
    <cfRule type="iconSet" priority="6933">
      <iconSet iconSet="3Arrows">
        <cfvo type="percent" val="0"/>
        <cfvo type="num" val="0.7"/>
        <cfvo type="num" val="1"/>
      </iconSet>
    </cfRule>
  </conditionalFormatting>
  <conditionalFormatting sqref="J2285">
    <cfRule type="dataBar" priority="6932">
      <dataBar>
        <cfvo type="num" val="0"/>
        <cfvo type="num" val="1"/>
        <color theme="4" tint="0.79998168889431442"/>
      </dataBar>
      <extLst>
        <ext xmlns:x14="http://schemas.microsoft.com/office/spreadsheetml/2009/9/main" uri="{B025F937-C7B1-47D3-B67F-A62EFF666E3E}">
          <x14:id>{F56BE243-8BEC-46ED-81D1-B4EE1A8DC39E}</x14:id>
        </ext>
      </extLst>
    </cfRule>
    <cfRule type="iconSet" priority="6931">
      <iconSet iconSet="3Arrows">
        <cfvo type="percent" val="0"/>
        <cfvo type="num" val="0.7"/>
        <cfvo type="num" val="1"/>
      </iconSet>
    </cfRule>
  </conditionalFormatting>
  <conditionalFormatting sqref="J2287">
    <cfRule type="dataBar" priority="6930">
      <dataBar>
        <cfvo type="num" val="0"/>
        <cfvo type="num" val="1"/>
        <color theme="4" tint="0.79998168889431442"/>
      </dataBar>
      <extLst>
        <ext xmlns:x14="http://schemas.microsoft.com/office/spreadsheetml/2009/9/main" uri="{B025F937-C7B1-47D3-B67F-A62EFF666E3E}">
          <x14:id>{1ABE4137-81F7-43B8-945C-C2F95EA48CC3}</x14:id>
        </ext>
      </extLst>
    </cfRule>
    <cfRule type="iconSet" priority="6929">
      <iconSet iconSet="3Arrows">
        <cfvo type="percent" val="0"/>
        <cfvo type="num" val="0.7"/>
        <cfvo type="num" val="1"/>
      </iconSet>
    </cfRule>
  </conditionalFormatting>
  <conditionalFormatting sqref="J2291">
    <cfRule type="dataBar" priority="6928">
      <dataBar>
        <cfvo type="num" val="0"/>
        <cfvo type="num" val="1"/>
        <color theme="4" tint="0.79998168889431442"/>
      </dataBar>
      <extLst>
        <ext xmlns:x14="http://schemas.microsoft.com/office/spreadsheetml/2009/9/main" uri="{B025F937-C7B1-47D3-B67F-A62EFF666E3E}">
          <x14:id>{26820BF7-6026-4905-BD15-1994434D463D}</x14:id>
        </ext>
      </extLst>
    </cfRule>
    <cfRule type="iconSet" priority="6927">
      <iconSet iconSet="3Arrows">
        <cfvo type="percent" val="0"/>
        <cfvo type="num" val="0.7"/>
        <cfvo type="num" val="1"/>
      </iconSet>
    </cfRule>
  </conditionalFormatting>
  <conditionalFormatting sqref="J2295">
    <cfRule type="dataBar" priority="6926">
      <dataBar>
        <cfvo type="num" val="0"/>
        <cfvo type="num" val="1"/>
        <color theme="4" tint="0.79998168889431442"/>
      </dataBar>
      <extLst>
        <ext xmlns:x14="http://schemas.microsoft.com/office/spreadsheetml/2009/9/main" uri="{B025F937-C7B1-47D3-B67F-A62EFF666E3E}">
          <x14:id>{A6E89275-533A-4914-91AE-F7575980488B}</x14:id>
        </ext>
      </extLst>
    </cfRule>
    <cfRule type="iconSet" priority="6925">
      <iconSet iconSet="3Arrows">
        <cfvo type="percent" val="0"/>
        <cfvo type="num" val="0.7"/>
        <cfvo type="num" val="1"/>
      </iconSet>
    </cfRule>
  </conditionalFormatting>
  <conditionalFormatting sqref="J2297 J2301">
    <cfRule type="dataBar" priority="6924">
      <dataBar>
        <cfvo type="num" val="0"/>
        <cfvo type="num" val="1"/>
        <color theme="4" tint="0.79998168889431442"/>
      </dataBar>
      <extLst>
        <ext xmlns:x14="http://schemas.microsoft.com/office/spreadsheetml/2009/9/main" uri="{B025F937-C7B1-47D3-B67F-A62EFF666E3E}">
          <x14:id>{8A8A62B4-1241-44A2-8BB6-D7D29ACCB6C8}</x14:id>
        </ext>
      </extLst>
    </cfRule>
    <cfRule type="iconSet" priority="6923">
      <iconSet iconSet="3Arrows">
        <cfvo type="percent" val="0"/>
        <cfvo type="num" val="0.7"/>
        <cfvo type="num" val="1"/>
      </iconSet>
    </cfRule>
  </conditionalFormatting>
  <conditionalFormatting sqref="J2299">
    <cfRule type="dataBar" priority="6922">
      <dataBar>
        <cfvo type="num" val="0"/>
        <cfvo type="num" val="1"/>
        <color theme="4" tint="0.79998168889431442"/>
      </dataBar>
      <extLst>
        <ext xmlns:x14="http://schemas.microsoft.com/office/spreadsheetml/2009/9/main" uri="{B025F937-C7B1-47D3-B67F-A62EFF666E3E}">
          <x14:id>{B9ECFF94-DA8F-4B7A-90D7-98BAD5887F8D}</x14:id>
        </ext>
      </extLst>
    </cfRule>
    <cfRule type="iconSet" priority="6921">
      <iconSet iconSet="3Arrows">
        <cfvo type="percent" val="0"/>
        <cfvo type="num" val="0.7"/>
        <cfvo type="num" val="1"/>
      </iconSet>
    </cfRule>
  </conditionalFormatting>
  <conditionalFormatting sqref="J2303">
    <cfRule type="dataBar" priority="6920">
      <dataBar>
        <cfvo type="num" val="0"/>
        <cfvo type="num" val="1"/>
        <color theme="4" tint="0.79998168889431442"/>
      </dataBar>
      <extLst>
        <ext xmlns:x14="http://schemas.microsoft.com/office/spreadsheetml/2009/9/main" uri="{B025F937-C7B1-47D3-B67F-A62EFF666E3E}">
          <x14:id>{A63B69C2-F78F-4CD1-BE0D-70E7B5434060}</x14:id>
        </ext>
      </extLst>
    </cfRule>
    <cfRule type="iconSet" priority="6919">
      <iconSet iconSet="3Arrows">
        <cfvo type="percent" val="0"/>
        <cfvo type="num" val="0.7"/>
        <cfvo type="num" val="1"/>
      </iconSet>
    </cfRule>
  </conditionalFormatting>
  <conditionalFormatting sqref="J2305">
    <cfRule type="dataBar" priority="6918">
      <dataBar>
        <cfvo type="num" val="0"/>
        <cfvo type="num" val="1"/>
        <color theme="4" tint="0.79998168889431442"/>
      </dataBar>
      <extLst>
        <ext xmlns:x14="http://schemas.microsoft.com/office/spreadsheetml/2009/9/main" uri="{B025F937-C7B1-47D3-B67F-A62EFF666E3E}">
          <x14:id>{4AA10631-9080-4EB6-ACF8-CB5E4C84A5A5}</x14:id>
        </ext>
      </extLst>
    </cfRule>
    <cfRule type="iconSet" priority="6917">
      <iconSet iconSet="3Arrows">
        <cfvo type="percent" val="0"/>
        <cfvo type="num" val="0.7"/>
        <cfvo type="num" val="1"/>
      </iconSet>
    </cfRule>
  </conditionalFormatting>
  <conditionalFormatting sqref="J2307 J2309">
    <cfRule type="dataBar" priority="6916">
      <dataBar>
        <cfvo type="num" val="0"/>
        <cfvo type="num" val="1"/>
        <color theme="4" tint="0.79998168889431442"/>
      </dataBar>
      <extLst>
        <ext xmlns:x14="http://schemas.microsoft.com/office/spreadsheetml/2009/9/main" uri="{B025F937-C7B1-47D3-B67F-A62EFF666E3E}">
          <x14:id>{7B718C6A-3F28-463A-93DB-7457E846B186}</x14:id>
        </ext>
      </extLst>
    </cfRule>
    <cfRule type="iconSet" priority="6915">
      <iconSet iconSet="3Arrows">
        <cfvo type="percent" val="0"/>
        <cfvo type="num" val="0.7"/>
        <cfvo type="num" val="1"/>
      </iconSet>
    </cfRule>
  </conditionalFormatting>
  <conditionalFormatting sqref="J2311">
    <cfRule type="dataBar" priority="6914">
      <dataBar>
        <cfvo type="num" val="0"/>
        <cfvo type="num" val="1"/>
        <color theme="4" tint="0.79998168889431442"/>
      </dataBar>
      <extLst>
        <ext xmlns:x14="http://schemas.microsoft.com/office/spreadsheetml/2009/9/main" uri="{B025F937-C7B1-47D3-B67F-A62EFF666E3E}">
          <x14:id>{FB849C9C-F06A-4343-AB0D-F9A7C17805CB}</x14:id>
        </ext>
      </extLst>
    </cfRule>
    <cfRule type="iconSet" priority="6913">
      <iconSet iconSet="3Arrows">
        <cfvo type="percent" val="0"/>
        <cfvo type="num" val="0.7"/>
        <cfvo type="num" val="1"/>
      </iconSet>
    </cfRule>
  </conditionalFormatting>
  <conditionalFormatting sqref="J2313">
    <cfRule type="dataBar" priority="6912">
      <dataBar>
        <cfvo type="num" val="0"/>
        <cfvo type="num" val="1"/>
        <color theme="4" tint="0.79998168889431442"/>
      </dataBar>
      <extLst>
        <ext xmlns:x14="http://schemas.microsoft.com/office/spreadsheetml/2009/9/main" uri="{B025F937-C7B1-47D3-B67F-A62EFF666E3E}">
          <x14:id>{1A695C9B-4F8D-4AA3-9103-5219C5B344A1}</x14:id>
        </ext>
      </extLst>
    </cfRule>
    <cfRule type="iconSet" priority="6911">
      <iconSet iconSet="3Arrows">
        <cfvo type="percent" val="0"/>
        <cfvo type="num" val="0.7"/>
        <cfvo type="num" val="1"/>
      </iconSet>
    </cfRule>
  </conditionalFormatting>
  <conditionalFormatting sqref="J2315">
    <cfRule type="dataBar" priority="6910">
      <dataBar>
        <cfvo type="num" val="0"/>
        <cfvo type="num" val="1"/>
        <color theme="4" tint="0.79998168889431442"/>
      </dataBar>
      <extLst>
        <ext xmlns:x14="http://schemas.microsoft.com/office/spreadsheetml/2009/9/main" uri="{B025F937-C7B1-47D3-B67F-A62EFF666E3E}">
          <x14:id>{F9B2953D-D734-498E-9A48-851041C8D6A5}</x14:id>
        </ext>
      </extLst>
    </cfRule>
    <cfRule type="iconSet" priority="6909">
      <iconSet iconSet="3Arrows">
        <cfvo type="percent" val="0"/>
        <cfvo type="num" val="0.7"/>
        <cfvo type="num" val="1"/>
      </iconSet>
    </cfRule>
  </conditionalFormatting>
  <conditionalFormatting sqref="J2317">
    <cfRule type="dataBar" priority="6908">
      <dataBar>
        <cfvo type="num" val="0"/>
        <cfvo type="num" val="1"/>
        <color theme="4" tint="0.79998168889431442"/>
      </dataBar>
      <extLst>
        <ext xmlns:x14="http://schemas.microsoft.com/office/spreadsheetml/2009/9/main" uri="{B025F937-C7B1-47D3-B67F-A62EFF666E3E}">
          <x14:id>{904C4F6A-40D9-464E-8E6D-EF60049D3BC0}</x14:id>
        </ext>
      </extLst>
    </cfRule>
    <cfRule type="iconSet" priority="6907">
      <iconSet iconSet="3Arrows">
        <cfvo type="percent" val="0"/>
        <cfvo type="num" val="0.7"/>
        <cfvo type="num" val="1"/>
      </iconSet>
    </cfRule>
  </conditionalFormatting>
  <conditionalFormatting sqref="J2320">
    <cfRule type="iconSet" priority="6905">
      <iconSet iconSet="3Arrows">
        <cfvo type="percent" val="0"/>
        <cfvo type="num" val="0.7"/>
        <cfvo type="num" val="1"/>
      </iconSet>
    </cfRule>
    <cfRule type="dataBar" priority="6906">
      <dataBar>
        <cfvo type="num" val="0"/>
        <cfvo type="num" val="1"/>
        <color theme="4" tint="0.79998168889431442"/>
      </dataBar>
      <extLst>
        <ext xmlns:x14="http://schemas.microsoft.com/office/spreadsheetml/2009/9/main" uri="{B025F937-C7B1-47D3-B67F-A62EFF666E3E}">
          <x14:id>{9B24C0AD-E056-4F9A-A0E8-15F5EA4A4B56}</x14:id>
        </ext>
      </extLst>
    </cfRule>
  </conditionalFormatting>
  <conditionalFormatting sqref="J2322 J2324">
    <cfRule type="iconSet" priority="6903">
      <iconSet iconSet="3Arrows">
        <cfvo type="percent" val="0"/>
        <cfvo type="num" val="0.7"/>
        <cfvo type="num" val="1"/>
      </iconSet>
    </cfRule>
    <cfRule type="dataBar" priority="6904">
      <dataBar>
        <cfvo type="num" val="0"/>
        <cfvo type="num" val="1"/>
        <color theme="4" tint="0.79998168889431442"/>
      </dataBar>
      <extLst>
        <ext xmlns:x14="http://schemas.microsoft.com/office/spreadsheetml/2009/9/main" uri="{B025F937-C7B1-47D3-B67F-A62EFF666E3E}">
          <x14:id>{18BBD8B2-28AC-469E-B5F8-F54CDB1929BB}</x14:id>
        </ext>
      </extLst>
    </cfRule>
  </conditionalFormatting>
  <conditionalFormatting sqref="J2326">
    <cfRule type="dataBar" priority="6902">
      <dataBar>
        <cfvo type="num" val="0"/>
        <cfvo type="num" val="1"/>
        <color theme="4" tint="0.79998168889431442"/>
      </dataBar>
      <extLst>
        <ext xmlns:x14="http://schemas.microsoft.com/office/spreadsheetml/2009/9/main" uri="{B025F937-C7B1-47D3-B67F-A62EFF666E3E}">
          <x14:id>{EA914C19-93F7-498E-9408-E646D86FC260}</x14:id>
        </ext>
      </extLst>
    </cfRule>
    <cfRule type="iconSet" priority="6901">
      <iconSet iconSet="3Arrows">
        <cfvo type="percent" val="0"/>
        <cfvo type="num" val="0.7"/>
        <cfvo type="num" val="1"/>
      </iconSet>
    </cfRule>
  </conditionalFormatting>
  <conditionalFormatting sqref="J2328">
    <cfRule type="dataBar" priority="6900">
      <dataBar>
        <cfvo type="num" val="0"/>
        <cfvo type="num" val="1"/>
        <color theme="4" tint="0.79998168889431442"/>
      </dataBar>
      <extLst>
        <ext xmlns:x14="http://schemas.microsoft.com/office/spreadsheetml/2009/9/main" uri="{B025F937-C7B1-47D3-B67F-A62EFF666E3E}">
          <x14:id>{FECF59AF-680C-411B-B784-752D1ED7E761}</x14:id>
        </ext>
      </extLst>
    </cfRule>
    <cfRule type="iconSet" priority="6899">
      <iconSet iconSet="3Arrows">
        <cfvo type="percent" val="0"/>
        <cfvo type="num" val="0.7"/>
        <cfvo type="num" val="1"/>
      </iconSet>
    </cfRule>
  </conditionalFormatting>
  <conditionalFormatting sqref="J2330">
    <cfRule type="dataBar" priority="6898">
      <dataBar>
        <cfvo type="num" val="0"/>
        <cfvo type="num" val="1"/>
        <color theme="4" tint="0.79998168889431442"/>
      </dataBar>
      <extLst>
        <ext xmlns:x14="http://schemas.microsoft.com/office/spreadsheetml/2009/9/main" uri="{B025F937-C7B1-47D3-B67F-A62EFF666E3E}">
          <x14:id>{9AB960A2-0136-4F37-85FC-22BC6DDA572A}</x14:id>
        </ext>
      </extLst>
    </cfRule>
    <cfRule type="iconSet" priority="6897">
      <iconSet iconSet="3Arrows">
        <cfvo type="percent" val="0"/>
        <cfvo type="num" val="0.7"/>
        <cfvo type="num" val="1"/>
      </iconSet>
    </cfRule>
  </conditionalFormatting>
  <conditionalFormatting sqref="J2333">
    <cfRule type="dataBar" priority="6896">
      <dataBar>
        <cfvo type="num" val="0"/>
        <cfvo type="num" val="1"/>
        <color theme="4" tint="0.79998168889431442"/>
      </dataBar>
      <extLst>
        <ext xmlns:x14="http://schemas.microsoft.com/office/spreadsheetml/2009/9/main" uri="{B025F937-C7B1-47D3-B67F-A62EFF666E3E}">
          <x14:id>{ADA893D6-4FA5-4A9E-804C-6FA295681E7F}</x14:id>
        </ext>
      </extLst>
    </cfRule>
    <cfRule type="iconSet" priority="6895">
      <iconSet iconSet="3Arrows">
        <cfvo type="percent" val="0"/>
        <cfvo type="num" val="0.7"/>
        <cfvo type="num" val="1"/>
      </iconSet>
    </cfRule>
  </conditionalFormatting>
  <conditionalFormatting sqref="J2335 J2337 J2339">
    <cfRule type="dataBar" priority="6894">
      <dataBar>
        <cfvo type="num" val="0"/>
        <cfvo type="num" val="1"/>
        <color theme="4" tint="0.79998168889431442"/>
      </dataBar>
      <extLst>
        <ext xmlns:x14="http://schemas.microsoft.com/office/spreadsheetml/2009/9/main" uri="{B025F937-C7B1-47D3-B67F-A62EFF666E3E}">
          <x14:id>{73C9FC09-676B-44AD-9E51-A405856E6DC0}</x14:id>
        </ext>
      </extLst>
    </cfRule>
    <cfRule type="iconSet" priority="6893">
      <iconSet iconSet="3Arrows">
        <cfvo type="percent" val="0"/>
        <cfvo type="num" val="0.7"/>
        <cfvo type="num" val="1"/>
      </iconSet>
    </cfRule>
  </conditionalFormatting>
  <conditionalFormatting sqref="J2341">
    <cfRule type="dataBar" priority="6892">
      <dataBar>
        <cfvo type="num" val="0"/>
        <cfvo type="num" val="1"/>
        <color theme="4" tint="0.79998168889431442"/>
      </dataBar>
      <extLst>
        <ext xmlns:x14="http://schemas.microsoft.com/office/spreadsheetml/2009/9/main" uri="{B025F937-C7B1-47D3-B67F-A62EFF666E3E}">
          <x14:id>{214FB07A-210B-487B-B0FB-99BC1EDE015D}</x14:id>
        </ext>
      </extLst>
    </cfRule>
    <cfRule type="iconSet" priority="6891">
      <iconSet iconSet="3Arrows">
        <cfvo type="percent" val="0"/>
        <cfvo type="num" val="0.7"/>
        <cfvo type="num" val="1"/>
      </iconSet>
    </cfRule>
  </conditionalFormatting>
  <conditionalFormatting sqref="J2345">
    <cfRule type="dataBar" priority="6890">
      <dataBar>
        <cfvo type="num" val="0"/>
        <cfvo type="num" val="1"/>
        <color theme="4" tint="0.79998168889431442"/>
      </dataBar>
      <extLst>
        <ext xmlns:x14="http://schemas.microsoft.com/office/spreadsheetml/2009/9/main" uri="{B025F937-C7B1-47D3-B67F-A62EFF666E3E}">
          <x14:id>{42F0052D-B31F-4146-B590-C68CBF77A45F}</x14:id>
        </ext>
      </extLst>
    </cfRule>
    <cfRule type="iconSet" priority="6889">
      <iconSet iconSet="3Arrows">
        <cfvo type="percent" val="0"/>
        <cfvo type="num" val="0.7"/>
        <cfvo type="num" val="1"/>
      </iconSet>
    </cfRule>
  </conditionalFormatting>
  <conditionalFormatting sqref="J2347 J2349 J2351">
    <cfRule type="dataBar" priority="6888">
      <dataBar>
        <cfvo type="num" val="0"/>
        <cfvo type="num" val="1"/>
        <color theme="4" tint="0.79998168889431442"/>
      </dataBar>
      <extLst>
        <ext xmlns:x14="http://schemas.microsoft.com/office/spreadsheetml/2009/9/main" uri="{B025F937-C7B1-47D3-B67F-A62EFF666E3E}">
          <x14:id>{2569E601-E9B7-481D-BF36-E3195B55936C}</x14:id>
        </ext>
      </extLst>
    </cfRule>
    <cfRule type="iconSet" priority="6887">
      <iconSet iconSet="3Arrows">
        <cfvo type="percent" val="0"/>
        <cfvo type="num" val="0.7"/>
        <cfvo type="num" val="1"/>
      </iconSet>
    </cfRule>
  </conditionalFormatting>
  <conditionalFormatting sqref="J2353 J2355">
    <cfRule type="dataBar" priority="6886">
      <dataBar>
        <cfvo type="num" val="0"/>
        <cfvo type="num" val="1"/>
        <color theme="4" tint="0.79998168889431442"/>
      </dataBar>
      <extLst>
        <ext xmlns:x14="http://schemas.microsoft.com/office/spreadsheetml/2009/9/main" uri="{B025F937-C7B1-47D3-B67F-A62EFF666E3E}">
          <x14:id>{E4590450-4263-42A4-92F3-0E2A6BEBC8D6}</x14:id>
        </ext>
      </extLst>
    </cfRule>
    <cfRule type="iconSet" priority="6885">
      <iconSet iconSet="3Arrows">
        <cfvo type="percent" val="0"/>
        <cfvo type="num" val="0.7"/>
        <cfvo type="num" val="1"/>
      </iconSet>
    </cfRule>
  </conditionalFormatting>
  <conditionalFormatting sqref="J2359">
    <cfRule type="dataBar" priority="6884">
      <dataBar>
        <cfvo type="num" val="0"/>
        <cfvo type="num" val="1"/>
        <color theme="4" tint="0.79998168889431442"/>
      </dataBar>
      <extLst>
        <ext xmlns:x14="http://schemas.microsoft.com/office/spreadsheetml/2009/9/main" uri="{B025F937-C7B1-47D3-B67F-A62EFF666E3E}">
          <x14:id>{3A94465A-E392-4D1F-8F11-97DDE4DD31C4}</x14:id>
        </ext>
      </extLst>
    </cfRule>
    <cfRule type="iconSet" priority="6883">
      <iconSet iconSet="3Arrows">
        <cfvo type="percent" val="0"/>
        <cfvo type="num" val="0.7"/>
        <cfvo type="num" val="1"/>
      </iconSet>
    </cfRule>
  </conditionalFormatting>
  <conditionalFormatting sqref="J2361 J2363 J2365">
    <cfRule type="dataBar" priority="6882">
      <dataBar>
        <cfvo type="num" val="0"/>
        <cfvo type="num" val="1"/>
        <color theme="4" tint="0.79998168889431442"/>
      </dataBar>
      <extLst>
        <ext xmlns:x14="http://schemas.microsoft.com/office/spreadsheetml/2009/9/main" uri="{B025F937-C7B1-47D3-B67F-A62EFF666E3E}">
          <x14:id>{E3E1D8F1-B786-4F69-9731-2623AA1848DE}</x14:id>
        </ext>
      </extLst>
    </cfRule>
    <cfRule type="iconSet" priority="6881">
      <iconSet iconSet="3Arrows">
        <cfvo type="percent" val="0"/>
        <cfvo type="num" val="0.7"/>
        <cfvo type="num" val="1"/>
      </iconSet>
    </cfRule>
  </conditionalFormatting>
  <conditionalFormatting sqref="J2367 J2369">
    <cfRule type="dataBar" priority="6880">
      <dataBar>
        <cfvo type="num" val="0"/>
        <cfvo type="num" val="1"/>
        <color theme="4" tint="0.79998168889431442"/>
      </dataBar>
      <extLst>
        <ext xmlns:x14="http://schemas.microsoft.com/office/spreadsheetml/2009/9/main" uri="{B025F937-C7B1-47D3-B67F-A62EFF666E3E}">
          <x14:id>{FF945BE6-0A1A-4D61-A846-3B936EAE7194}</x14:id>
        </ext>
      </extLst>
    </cfRule>
    <cfRule type="iconSet" priority="6879">
      <iconSet iconSet="3Arrows">
        <cfvo type="percent" val="0"/>
        <cfvo type="num" val="0.7"/>
        <cfvo type="num" val="1"/>
      </iconSet>
    </cfRule>
  </conditionalFormatting>
  <conditionalFormatting sqref="J2371">
    <cfRule type="iconSet" priority="6877">
      <iconSet iconSet="3Arrows">
        <cfvo type="percent" val="0"/>
        <cfvo type="num" val="0.7"/>
        <cfvo type="num" val="1"/>
      </iconSet>
    </cfRule>
    <cfRule type="dataBar" priority="6878">
      <dataBar>
        <cfvo type="num" val="0"/>
        <cfvo type="num" val="1"/>
        <color theme="4" tint="0.79998168889431442"/>
      </dataBar>
      <extLst>
        <ext xmlns:x14="http://schemas.microsoft.com/office/spreadsheetml/2009/9/main" uri="{B025F937-C7B1-47D3-B67F-A62EFF666E3E}">
          <x14:id>{89EF0B90-BF89-419F-A183-E6806359EF93}</x14:id>
        </ext>
      </extLst>
    </cfRule>
  </conditionalFormatting>
  <conditionalFormatting sqref="J2375">
    <cfRule type="iconSet" priority="6875">
      <iconSet iconSet="3Arrows">
        <cfvo type="percent" val="0"/>
        <cfvo type="num" val="0.7"/>
        <cfvo type="num" val="1"/>
      </iconSet>
    </cfRule>
    <cfRule type="dataBar" priority="6876">
      <dataBar>
        <cfvo type="num" val="0"/>
        <cfvo type="num" val="1"/>
        <color theme="4" tint="0.79998168889431442"/>
      </dataBar>
      <extLst>
        <ext xmlns:x14="http://schemas.microsoft.com/office/spreadsheetml/2009/9/main" uri="{B025F937-C7B1-47D3-B67F-A62EFF666E3E}">
          <x14:id>{824E50DB-CE5C-4FF3-B1F8-5F3904B510F0}</x14:id>
        </ext>
      </extLst>
    </cfRule>
  </conditionalFormatting>
  <conditionalFormatting sqref="J2379">
    <cfRule type="iconSet" priority="6873">
      <iconSet iconSet="3Arrows">
        <cfvo type="percent" val="0"/>
        <cfvo type="num" val="0.7"/>
        <cfvo type="num" val="1"/>
      </iconSet>
    </cfRule>
    <cfRule type="dataBar" priority="6874">
      <dataBar>
        <cfvo type="num" val="0"/>
        <cfvo type="num" val="1"/>
        <color theme="4" tint="0.79998168889431442"/>
      </dataBar>
      <extLst>
        <ext xmlns:x14="http://schemas.microsoft.com/office/spreadsheetml/2009/9/main" uri="{B025F937-C7B1-47D3-B67F-A62EFF666E3E}">
          <x14:id>{917FD18B-6569-4DF1-A762-AF7753A5CC69}</x14:id>
        </ext>
      </extLst>
    </cfRule>
  </conditionalFormatting>
  <conditionalFormatting sqref="J2381 J2383 J2385">
    <cfRule type="dataBar" priority="6872">
      <dataBar>
        <cfvo type="num" val="0"/>
        <cfvo type="num" val="1"/>
        <color theme="4" tint="0.79998168889431442"/>
      </dataBar>
      <extLst>
        <ext xmlns:x14="http://schemas.microsoft.com/office/spreadsheetml/2009/9/main" uri="{B025F937-C7B1-47D3-B67F-A62EFF666E3E}">
          <x14:id>{9613DC5C-91E4-48FD-91C7-826852DB0FAE}</x14:id>
        </ext>
      </extLst>
    </cfRule>
    <cfRule type="iconSet" priority="6871">
      <iconSet iconSet="3Arrows">
        <cfvo type="percent" val="0"/>
        <cfvo type="num" val="0.7"/>
        <cfvo type="num" val="1"/>
      </iconSet>
    </cfRule>
  </conditionalFormatting>
  <conditionalFormatting sqref="J2387">
    <cfRule type="dataBar" priority="6870">
      <dataBar>
        <cfvo type="num" val="0"/>
        <cfvo type="num" val="1"/>
        <color theme="4" tint="0.79998168889431442"/>
      </dataBar>
      <extLst>
        <ext xmlns:x14="http://schemas.microsoft.com/office/spreadsheetml/2009/9/main" uri="{B025F937-C7B1-47D3-B67F-A62EFF666E3E}">
          <x14:id>{4CD3A1EE-385D-4EF8-A5BA-9CB43A44849B}</x14:id>
        </ext>
      </extLst>
    </cfRule>
    <cfRule type="iconSet" priority="6869">
      <iconSet iconSet="3Arrows">
        <cfvo type="percent" val="0"/>
        <cfvo type="num" val="0.7"/>
        <cfvo type="num" val="1"/>
      </iconSet>
    </cfRule>
  </conditionalFormatting>
  <conditionalFormatting sqref="J2389">
    <cfRule type="dataBar" priority="6868">
      <dataBar>
        <cfvo type="num" val="0"/>
        <cfvo type="num" val="1"/>
        <color theme="4" tint="0.79998168889431442"/>
      </dataBar>
      <extLst>
        <ext xmlns:x14="http://schemas.microsoft.com/office/spreadsheetml/2009/9/main" uri="{B025F937-C7B1-47D3-B67F-A62EFF666E3E}">
          <x14:id>{ADD465C0-2055-43D6-B64B-46D362BE1388}</x14:id>
        </ext>
      </extLst>
    </cfRule>
    <cfRule type="iconSet" priority="6867">
      <iconSet iconSet="3Arrows">
        <cfvo type="percent" val="0"/>
        <cfvo type="num" val="0.7"/>
        <cfvo type="num" val="1"/>
      </iconSet>
    </cfRule>
  </conditionalFormatting>
  <conditionalFormatting sqref="J2393">
    <cfRule type="dataBar" priority="6866">
      <dataBar>
        <cfvo type="num" val="0"/>
        <cfvo type="num" val="1"/>
        <color theme="4" tint="0.79998168889431442"/>
      </dataBar>
      <extLst>
        <ext xmlns:x14="http://schemas.microsoft.com/office/spreadsheetml/2009/9/main" uri="{B025F937-C7B1-47D3-B67F-A62EFF666E3E}">
          <x14:id>{D2010E10-67F1-4C7A-B142-E8D28222F63F}</x14:id>
        </ext>
      </extLst>
    </cfRule>
    <cfRule type="iconSet" priority="6865">
      <iconSet iconSet="3Arrows">
        <cfvo type="percent" val="0"/>
        <cfvo type="num" val="0.7"/>
        <cfvo type="num" val="1"/>
      </iconSet>
    </cfRule>
  </conditionalFormatting>
  <conditionalFormatting sqref="J2395">
    <cfRule type="dataBar" priority="6864">
      <dataBar>
        <cfvo type="num" val="0"/>
        <cfvo type="num" val="1"/>
        <color theme="4" tint="0.79998168889431442"/>
      </dataBar>
      <extLst>
        <ext xmlns:x14="http://schemas.microsoft.com/office/spreadsheetml/2009/9/main" uri="{B025F937-C7B1-47D3-B67F-A62EFF666E3E}">
          <x14:id>{59CF9B14-8BBD-48CA-A1EE-BAA339357845}</x14:id>
        </ext>
      </extLst>
    </cfRule>
    <cfRule type="iconSet" priority="6863">
      <iconSet iconSet="3Arrows">
        <cfvo type="percent" val="0"/>
        <cfvo type="num" val="0.7"/>
        <cfvo type="num" val="1"/>
      </iconSet>
    </cfRule>
  </conditionalFormatting>
  <conditionalFormatting sqref="J2397">
    <cfRule type="dataBar" priority="6862">
      <dataBar>
        <cfvo type="num" val="0"/>
        <cfvo type="num" val="1"/>
        <color theme="4" tint="0.79998168889431442"/>
      </dataBar>
      <extLst>
        <ext xmlns:x14="http://schemas.microsoft.com/office/spreadsheetml/2009/9/main" uri="{B025F937-C7B1-47D3-B67F-A62EFF666E3E}">
          <x14:id>{78E4E007-608E-4A25-8AD0-09094795F8B8}</x14:id>
        </ext>
      </extLst>
    </cfRule>
    <cfRule type="iconSet" priority="6861">
      <iconSet iconSet="3Arrows">
        <cfvo type="percent" val="0"/>
        <cfvo type="num" val="0.7"/>
        <cfvo type="num" val="1"/>
      </iconSet>
    </cfRule>
  </conditionalFormatting>
  <conditionalFormatting sqref="J2401">
    <cfRule type="dataBar" priority="6860">
      <dataBar>
        <cfvo type="num" val="0"/>
        <cfvo type="num" val="1"/>
        <color theme="4" tint="0.79998168889431442"/>
      </dataBar>
      <extLst>
        <ext xmlns:x14="http://schemas.microsoft.com/office/spreadsheetml/2009/9/main" uri="{B025F937-C7B1-47D3-B67F-A62EFF666E3E}">
          <x14:id>{D967C44E-C61F-4759-A598-9231B83948A7}</x14:id>
        </ext>
      </extLst>
    </cfRule>
    <cfRule type="iconSet" priority="6859">
      <iconSet iconSet="3Arrows">
        <cfvo type="percent" val="0"/>
        <cfvo type="num" val="0.7"/>
        <cfvo type="num" val="1"/>
      </iconSet>
    </cfRule>
  </conditionalFormatting>
  <conditionalFormatting sqref="J2405">
    <cfRule type="dataBar" priority="6858">
      <dataBar>
        <cfvo type="num" val="0"/>
        <cfvo type="num" val="1"/>
        <color theme="4" tint="0.79998168889431442"/>
      </dataBar>
      <extLst>
        <ext xmlns:x14="http://schemas.microsoft.com/office/spreadsheetml/2009/9/main" uri="{B025F937-C7B1-47D3-B67F-A62EFF666E3E}">
          <x14:id>{E6504AAE-6B18-42DF-A794-E9D25596F4E1}</x14:id>
        </ext>
      </extLst>
    </cfRule>
    <cfRule type="iconSet" priority="6857">
      <iconSet iconSet="3Arrows">
        <cfvo type="percent" val="0"/>
        <cfvo type="num" val="0.7"/>
        <cfvo type="num" val="1"/>
      </iconSet>
    </cfRule>
  </conditionalFormatting>
  <conditionalFormatting sqref="J2407 J2411 J2415 J2419 J2409 J2413 J2417 J2421">
    <cfRule type="dataBar" priority="6856">
      <dataBar>
        <cfvo type="num" val="0"/>
        <cfvo type="num" val="1"/>
        <color theme="4" tint="0.79998168889431442"/>
      </dataBar>
      <extLst>
        <ext xmlns:x14="http://schemas.microsoft.com/office/spreadsheetml/2009/9/main" uri="{B025F937-C7B1-47D3-B67F-A62EFF666E3E}">
          <x14:id>{CC0B359F-CF8B-48E2-85D2-DF99DBFB36B1}</x14:id>
        </ext>
      </extLst>
    </cfRule>
    <cfRule type="iconSet" priority="6855">
      <iconSet iconSet="3Arrows">
        <cfvo type="percent" val="0"/>
        <cfvo type="num" val="0.7"/>
        <cfvo type="num" val="1"/>
      </iconSet>
    </cfRule>
  </conditionalFormatting>
  <conditionalFormatting sqref="J2423 J2427 J2431 J2435 J2425 J2429 J2433 J2437">
    <cfRule type="dataBar" priority="6854">
      <dataBar>
        <cfvo type="num" val="0"/>
        <cfvo type="num" val="1"/>
        <color theme="4" tint="0.79998168889431442"/>
      </dataBar>
      <extLst>
        <ext xmlns:x14="http://schemas.microsoft.com/office/spreadsheetml/2009/9/main" uri="{B025F937-C7B1-47D3-B67F-A62EFF666E3E}">
          <x14:id>{DD139D14-70C9-4570-B755-24630DBD042E}</x14:id>
        </ext>
      </extLst>
    </cfRule>
    <cfRule type="iconSet" priority="6853">
      <iconSet iconSet="3Arrows">
        <cfvo type="percent" val="0"/>
        <cfvo type="num" val="0.7"/>
        <cfvo type="num" val="1"/>
      </iconSet>
    </cfRule>
  </conditionalFormatting>
  <conditionalFormatting sqref="J2439">
    <cfRule type="dataBar" priority="6852">
      <dataBar>
        <cfvo type="num" val="0"/>
        <cfvo type="num" val="1"/>
        <color theme="4" tint="0.79998168889431442"/>
      </dataBar>
      <extLst>
        <ext xmlns:x14="http://schemas.microsoft.com/office/spreadsheetml/2009/9/main" uri="{B025F937-C7B1-47D3-B67F-A62EFF666E3E}">
          <x14:id>{5B025A6F-2487-4A9D-B8A6-03D532FEFB29}</x14:id>
        </ext>
      </extLst>
    </cfRule>
    <cfRule type="iconSet" priority="6851">
      <iconSet iconSet="3Arrows">
        <cfvo type="percent" val="0"/>
        <cfvo type="num" val="0.7"/>
        <cfvo type="num" val="1"/>
      </iconSet>
    </cfRule>
  </conditionalFormatting>
  <conditionalFormatting sqref="J2441 J2449 J2443 J2445 J2447 J2451">
    <cfRule type="dataBar" priority="6850">
      <dataBar>
        <cfvo type="num" val="0"/>
        <cfvo type="num" val="1"/>
        <color theme="4" tint="0.79998168889431442"/>
      </dataBar>
      <extLst>
        <ext xmlns:x14="http://schemas.microsoft.com/office/spreadsheetml/2009/9/main" uri="{B025F937-C7B1-47D3-B67F-A62EFF666E3E}">
          <x14:id>{E29AED30-CA13-47ED-9B94-32E20D8BA1EC}</x14:id>
        </ext>
      </extLst>
    </cfRule>
    <cfRule type="iconSet" priority="6849">
      <iconSet iconSet="3Arrows">
        <cfvo type="percent" val="0"/>
        <cfvo type="num" val="0.7"/>
        <cfvo type="num" val="1"/>
      </iconSet>
    </cfRule>
  </conditionalFormatting>
  <conditionalFormatting sqref="J2453">
    <cfRule type="dataBar" priority="6848">
      <dataBar>
        <cfvo type="num" val="0"/>
        <cfvo type="num" val="1"/>
        <color theme="4" tint="0.79998168889431442"/>
      </dataBar>
      <extLst>
        <ext xmlns:x14="http://schemas.microsoft.com/office/spreadsheetml/2009/9/main" uri="{B025F937-C7B1-47D3-B67F-A62EFF666E3E}">
          <x14:id>{93E429F2-2233-462A-A2AA-68A2C18DBC0F}</x14:id>
        </ext>
      </extLst>
    </cfRule>
    <cfRule type="iconSet" priority="6847">
      <iconSet iconSet="3Arrows">
        <cfvo type="percent" val="0"/>
        <cfvo type="num" val="0.7"/>
        <cfvo type="num" val="1"/>
      </iconSet>
    </cfRule>
  </conditionalFormatting>
  <conditionalFormatting sqref="J2457">
    <cfRule type="dataBar" priority="6846">
      <dataBar>
        <cfvo type="num" val="0"/>
        <cfvo type="num" val="1"/>
        <color theme="4" tint="0.79998168889431442"/>
      </dataBar>
      <extLst>
        <ext xmlns:x14="http://schemas.microsoft.com/office/spreadsheetml/2009/9/main" uri="{B025F937-C7B1-47D3-B67F-A62EFF666E3E}">
          <x14:id>{6058FEC8-3FD9-41EA-8D75-D913D1DF7602}</x14:id>
        </ext>
      </extLst>
    </cfRule>
    <cfRule type="iconSet" priority="6845">
      <iconSet iconSet="3Arrows">
        <cfvo type="percent" val="0"/>
        <cfvo type="num" val="0.7"/>
        <cfvo type="num" val="1"/>
      </iconSet>
    </cfRule>
  </conditionalFormatting>
  <conditionalFormatting sqref="J2461 J2459">
    <cfRule type="dataBar" priority="6844">
      <dataBar>
        <cfvo type="num" val="0"/>
        <cfvo type="num" val="1"/>
        <color theme="4" tint="0.79998168889431442"/>
      </dataBar>
      <extLst>
        <ext xmlns:x14="http://schemas.microsoft.com/office/spreadsheetml/2009/9/main" uri="{B025F937-C7B1-47D3-B67F-A62EFF666E3E}">
          <x14:id>{4C968487-0BDA-4340-92E2-69AB9D546ACB}</x14:id>
        </ext>
      </extLst>
    </cfRule>
    <cfRule type="iconSet" priority="6843">
      <iconSet iconSet="3Arrows">
        <cfvo type="percent" val="0"/>
        <cfvo type="num" val="0.7"/>
        <cfvo type="num" val="1"/>
      </iconSet>
    </cfRule>
  </conditionalFormatting>
  <conditionalFormatting sqref="J2465 J2463">
    <cfRule type="iconSet" priority="6841">
      <iconSet iconSet="3Arrows">
        <cfvo type="percent" val="0"/>
        <cfvo type="num" val="0.7"/>
        <cfvo type="num" val="1"/>
      </iconSet>
    </cfRule>
    <cfRule type="dataBar" priority="6842">
      <dataBar>
        <cfvo type="num" val="0"/>
        <cfvo type="num" val="1"/>
        <color theme="4" tint="0.79998168889431442"/>
      </dataBar>
      <extLst>
        <ext xmlns:x14="http://schemas.microsoft.com/office/spreadsheetml/2009/9/main" uri="{B025F937-C7B1-47D3-B67F-A62EFF666E3E}">
          <x14:id>{ED4CDA78-AC73-4401-A0C0-72FE43BEBF1E}</x14:id>
        </ext>
      </extLst>
    </cfRule>
  </conditionalFormatting>
  <conditionalFormatting sqref="J2467 J2469">
    <cfRule type="iconSet" priority="6839">
      <iconSet iconSet="3Arrows">
        <cfvo type="percent" val="0"/>
        <cfvo type="num" val="0.7"/>
        <cfvo type="num" val="1"/>
      </iconSet>
    </cfRule>
    <cfRule type="dataBar" priority="6840">
      <dataBar>
        <cfvo type="num" val="0"/>
        <cfvo type="num" val="1"/>
        <color theme="4" tint="0.79998168889431442"/>
      </dataBar>
      <extLst>
        <ext xmlns:x14="http://schemas.microsoft.com/office/spreadsheetml/2009/9/main" uri="{B025F937-C7B1-47D3-B67F-A62EFF666E3E}">
          <x14:id>{33F10DDE-C085-4FC2-8CF6-1A6C9A878BDD}</x14:id>
        </ext>
      </extLst>
    </cfRule>
  </conditionalFormatting>
  <conditionalFormatting sqref="J2471 J2473">
    <cfRule type="dataBar" priority="6838">
      <dataBar>
        <cfvo type="num" val="0"/>
        <cfvo type="num" val="1"/>
        <color theme="4" tint="0.79998168889431442"/>
      </dataBar>
      <extLst>
        <ext xmlns:x14="http://schemas.microsoft.com/office/spreadsheetml/2009/9/main" uri="{B025F937-C7B1-47D3-B67F-A62EFF666E3E}">
          <x14:id>{1A4DB37A-06F9-4449-8767-928804836EA0}</x14:id>
        </ext>
      </extLst>
    </cfRule>
    <cfRule type="iconSet" priority="6837">
      <iconSet iconSet="3Arrows">
        <cfvo type="percent" val="0"/>
        <cfvo type="num" val="0.7"/>
        <cfvo type="num" val="1"/>
      </iconSet>
    </cfRule>
  </conditionalFormatting>
  <conditionalFormatting sqref="J2475 J2477">
    <cfRule type="dataBar" priority="6836">
      <dataBar>
        <cfvo type="num" val="0"/>
        <cfvo type="num" val="1"/>
        <color theme="4" tint="0.79998168889431442"/>
      </dataBar>
      <extLst>
        <ext xmlns:x14="http://schemas.microsoft.com/office/spreadsheetml/2009/9/main" uri="{B025F937-C7B1-47D3-B67F-A62EFF666E3E}">
          <x14:id>{53B0B8E1-1B4E-47C3-93FD-FB518A49AB4E}</x14:id>
        </ext>
      </extLst>
    </cfRule>
    <cfRule type="iconSet" priority="6835">
      <iconSet iconSet="3Arrows">
        <cfvo type="percent" val="0"/>
        <cfvo type="num" val="0.7"/>
        <cfvo type="num" val="1"/>
      </iconSet>
    </cfRule>
  </conditionalFormatting>
  <conditionalFormatting sqref="J2479 J2481">
    <cfRule type="dataBar" priority="6834">
      <dataBar>
        <cfvo type="num" val="0"/>
        <cfvo type="num" val="1"/>
        <color theme="4" tint="0.79998168889431442"/>
      </dataBar>
      <extLst>
        <ext xmlns:x14="http://schemas.microsoft.com/office/spreadsheetml/2009/9/main" uri="{B025F937-C7B1-47D3-B67F-A62EFF666E3E}">
          <x14:id>{203D7D54-B4AE-43D0-9790-1E0D72D50C66}</x14:id>
        </ext>
      </extLst>
    </cfRule>
    <cfRule type="iconSet" priority="6833">
      <iconSet iconSet="3Arrows">
        <cfvo type="percent" val="0"/>
        <cfvo type="num" val="0.7"/>
        <cfvo type="num" val="1"/>
      </iconSet>
    </cfRule>
  </conditionalFormatting>
  <conditionalFormatting sqref="J2483 J2485">
    <cfRule type="dataBar" priority="6832">
      <dataBar>
        <cfvo type="num" val="0"/>
        <cfvo type="num" val="1"/>
        <color theme="4" tint="0.79998168889431442"/>
      </dataBar>
      <extLst>
        <ext xmlns:x14="http://schemas.microsoft.com/office/spreadsheetml/2009/9/main" uri="{B025F937-C7B1-47D3-B67F-A62EFF666E3E}">
          <x14:id>{0B602894-C69B-4540-9D5B-8580CD52F799}</x14:id>
        </ext>
      </extLst>
    </cfRule>
    <cfRule type="iconSet" priority="6831">
      <iconSet iconSet="3Arrows">
        <cfvo type="percent" val="0"/>
        <cfvo type="num" val="0.7"/>
        <cfvo type="num" val="1"/>
      </iconSet>
    </cfRule>
  </conditionalFormatting>
  <conditionalFormatting sqref="J2487 J2489">
    <cfRule type="dataBar" priority="6830">
      <dataBar>
        <cfvo type="num" val="0"/>
        <cfvo type="num" val="1"/>
        <color theme="4" tint="0.79998168889431442"/>
      </dataBar>
      <extLst>
        <ext xmlns:x14="http://schemas.microsoft.com/office/spreadsheetml/2009/9/main" uri="{B025F937-C7B1-47D3-B67F-A62EFF666E3E}">
          <x14:id>{5DD5A542-A424-4594-96F8-4D29DA99AD5D}</x14:id>
        </ext>
      </extLst>
    </cfRule>
    <cfRule type="iconSet" priority="6829">
      <iconSet iconSet="3Arrows">
        <cfvo type="percent" val="0"/>
        <cfvo type="num" val="0.7"/>
        <cfvo type="num" val="1"/>
      </iconSet>
    </cfRule>
  </conditionalFormatting>
  <conditionalFormatting sqref="J2491 J2493">
    <cfRule type="dataBar" priority="6828">
      <dataBar>
        <cfvo type="num" val="0"/>
        <cfvo type="num" val="1"/>
        <color theme="4" tint="0.79998168889431442"/>
      </dataBar>
      <extLst>
        <ext xmlns:x14="http://schemas.microsoft.com/office/spreadsheetml/2009/9/main" uri="{B025F937-C7B1-47D3-B67F-A62EFF666E3E}">
          <x14:id>{58D68FD8-C9E5-4873-88CF-A58EF65F53D9}</x14:id>
        </ext>
      </extLst>
    </cfRule>
    <cfRule type="iconSet" priority="6827">
      <iconSet iconSet="3Arrows">
        <cfvo type="percent" val="0"/>
        <cfvo type="num" val="0.7"/>
        <cfvo type="num" val="1"/>
      </iconSet>
    </cfRule>
  </conditionalFormatting>
  <conditionalFormatting sqref="J2495 J2497">
    <cfRule type="dataBar" priority="6826">
      <dataBar>
        <cfvo type="num" val="0"/>
        <cfvo type="num" val="1"/>
        <color theme="4" tint="0.79998168889431442"/>
      </dataBar>
      <extLst>
        <ext xmlns:x14="http://schemas.microsoft.com/office/spreadsheetml/2009/9/main" uri="{B025F937-C7B1-47D3-B67F-A62EFF666E3E}">
          <x14:id>{90FE66B2-C4F7-48A7-A8A2-AF5F7994EB84}</x14:id>
        </ext>
      </extLst>
    </cfRule>
    <cfRule type="iconSet" priority="6825">
      <iconSet iconSet="3Arrows">
        <cfvo type="percent" val="0"/>
        <cfvo type="num" val="0.7"/>
        <cfvo type="num" val="1"/>
      </iconSet>
    </cfRule>
  </conditionalFormatting>
  <conditionalFormatting sqref="J2499">
    <cfRule type="dataBar" priority="6824">
      <dataBar>
        <cfvo type="num" val="0"/>
        <cfvo type="num" val="1"/>
        <color theme="4" tint="0.79998168889431442"/>
      </dataBar>
      <extLst>
        <ext xmlns:x14="http://schemas.microsoft.com/office/spreadsheetml/2009/9/main" uri="{B025F937-C7B1-47D3-B67F-A62EFF666E3E}">
          <x14:id>{DE0F0EF3-257B-4E51-BB59-22646DCE03AA}</x14:id>
        </ext>
      </extLst>
    </cfRule>
    <cfRule type="iconSet" priority="6823">
      <iconSet iconSet="3Arrows">
        <cfvo type="percent" val="0"/>
        <cfvo type="num" val="0.7"/>
        <cfvo type="num" val="1"/>
      </iconSet>
    </cfRule>
  </conditionalFormatting>
  <conditionalFormatting sqref="J2501 J2503">
    <cfRule type="dataBar" priority="6822">
      <dataBar>
        <cfvo type="num" val="0"/>
        <cfvo type="num" val="1"/>
        <color theme="4" tint="0.79998168889431442"/>
      </dataBar>
      <extLst>
        <ext xmlns:x14="http://schemas.microsoft.com/office/spreadsheetml/2009/9/main" uri="{B025F937-C7B1-47D3-B67F-A62EFF666E3E}">
          <x14:id>{317B3566-BDE0-4811-BC68-C0529D1B9F26}</x14:id>
        </ext>
      </extLst>
    </cfRule>
    <cfRule type="iconSet" priority="6821">
      <iconSet iconSet="3Arrows">
        <cfvo type="percent" val="0"/>
        <cfvo type="num" val="0.7"/>
        <cfvo type="num" val="1"/>
      </iconSet>
    </cfRule>
  </conditionalFormatting>
  <conditionalFormatting sqref="J2505 J2507">
    <cfRule type="dataBar" priority="6820">
      <dataBar>
        <cfvo type="num" val="0"/>
        <cfvo type="num" val="1"/>
        <color theme="4" tint="0.79998168889431442"/>
      </dataBar>
      <extLst>
        <ext xmlns:x14="http://schemas.microsoft.com/office/spreadsheetml/2009/9/main" uri="{B025F937-C7B1-47D3-B67F-A62EFF666E3E}">
          <x14:id>{DB12C35F-AF52-43CB-8601-1D1FCADDEABE}</x14:id>
        </ext>
      </extLst>
    </cfRule>
    <cfRule type="iconSet" priority="6819">
      <iconSet iconSet="3Arrows">
        <cfvo type="percent" val="0"/>
        <cfvo type="num" val="0.7"/>
        <cfvo type="num" val="1"/>
      </iconSet>
    </cfRule>
  </conditionalFormatting>
  <conditionalFormatting sqref="J2509 J2511">
    <cfRule type="dataBar" priority="6818">
      <dataBar>
        <cfvo type="num" val="0"/>
        <cfvo type="num" val="1"/>
        <color theme="4" tint="0.79998168889431442"/>
      </dataBar>
      <extLst>
        <ext xmlns:x14="http://schemas.microsoft.com/office/spreadsheetml/2009/9/main" uri="{B025F937-C7B1-47D3-B67F-A62EFF666E3E}">
          <x14:id>{DCD7C351-6AA5-43FB-8230-FEEF771414CE}</x14:id>
        </ext>
      </extLst>
    </cfRule>
    <cfRule type="iconSet" priority="6817">
      <iconSet iconSet="3Arrows">
        <cfvo type="percent" val="0"/>
        <cfvo type="num" val="0.7"/>
        <cfvo type="num" val="1"/>
      </iconSet>
    </cfRule>
  </conditionalFormatting>
  <conditionalFormatting sqref="J2513 J2515">
    <cfRule type="dataBar" priority="6816">
      <dataBar>
        <cfvo type="num" val="0"/>
        <cfvo type="num" val="1"/>
        <color theme="4" tint="0.79998168889431442"/>
      </dataBar>
      <extLst>
        <ext xmlns:x14="http://schemas.microsoft.com/office/spreadsheetml/2009/9/main" uri="{B025F937-C7B1-47D3-B67F-A62EFF666E3E}">
          <x14:id>{0D3680C5-3883-4F7C-BABC-B63A0DD83188}</x14:id>
        </ext>
      </extLst>
    </cfRule>
    <cfRule type="iconSet" priority="6815">
      <iconSet iconSet="3Arrows">
        <cfvo type="percent" val="0"/>
        <cfvo type="num" val="0.7"/>
        <cfvo type="num" val="1"/>
      </iconSet>
    </cfRule>
  </conditionalFormatting>
  <conditionalFormatting sqref="J2517 J2519">
    <cfRule type="dataBar" priority="6814">
      <dataBar>
        <cfvo type="num" val="0"/>
        <cfvo type="num" val="1"/>
        <color theme="4" tint="0.79998168889431442"/>
      </dataBar>
      <extLst>
        <ext xmlns:x14="http://schemas.microsoft.com/office/spreadsheetml/2009/9/main" uri="{B025F937-C7B1-47D3-B67F-A62EFF666E3E}">
          <x14:id>{8783E28F-14D0-4D76-988E-A8CFBD8318A9}</x14:id>
        </ext>
      </extLst>
    </cfRule>
    <cfRule type="iconSet" priority="6813">
      <iconSet iconSet="3Arrows">
        <cfvo type="percent" val="0"/>
        <cfvo type="num" val="0.7"/>
        <cfvo type="num" val="1"/>
      </iconSet>
    </cfRule>
  </conditionalFormatting>
  <conditionalFormatting sqref="J2521">
    <cfRule type="iconSet" priority="6811">
      <iconSet iconSet="3Arrows">
        <cfvo type="percent" val="0"/>
        <cfvo type="num" val="0.7"/>
        <cfvo type="num" val="1"/>
      </iconSet>
    </cfRule>
    <cfRule type="dataBar" priority="6812">
      <dataBar>
        <cfvo type="num" val="0"/>
        <cfvo type="num" val="1"/>
        <color theme="4" tint="0.79998168889431442"/>
      </dataBar>
      <extLst>
        <ext xmlns:x14="http://schemas.microsoft.com/office/spreadsheetml/2009/9/main" uri="{B025F937-C7B1-47D3-B67F-A62EFF666E3E}">
          <x14:id>{39BA88E7-2C0B-4CD7-AA6A-5C03B18A59E9}</x14:id>
        </ext>
      </extLst>
    </cfRule>
  </conditionalFormatting>
  <conditionalFormatting sqref="J2523">
    <cfRule type="iconSet" priority="6809">
      <iconSet iconSet="3Arrows">
        <cfvo type="percent" val="0"/>
        <cfvo type="num" val="0.7"/>
        <cfvo type="num" val="1"/>
      </iconSet>
    </cfRule>
    <cfRule type="dataBar" priority="6810">
      <dataBar>
        <cfvo type="num" val="0"/>
        <cfvo type="num" val="1"/>
        <color theme="4" tint="0.79998168889431442"/>
      </dataBar>
      <extLst>
        <ext xmlns:x14="http://schemas.microsoft.com/office/spreadsheetml/2009/9/main" uri="{B025F937-C7B1-47D3-B67F-A62EFF666E3E}">
          <x14:id>{81E0695C-E3DE-48F0-B30C-4108E0A2BD30}</x14:id>
        </ext>
      </extLst>
    </cfRule>
  </conditionalFormatting>
  <conditionalFormatting sqref="J2527">
    <cfRule type="iconSet" priority="6807">
      <iconSet iconSet="3Arrows">
        <cfvo type="percent" val="0"/>
        <cfvo type="num" val="0.7"/>
        <cfvo type="num" val="1"/>
      </iconSet>
    </cfRule>
    <cfRule type="dataBar" priority="6808">
      <dataBar>
        <cfvo type="num" val="0"/>
        <cfvo type="num" val="1"/>
        <color theme="4" tint="0.79998168889431442"/>
      </dataBar>
      <extLst>
        <ext xmlns:x14="http://schemas.microsoft.com/office/spreadsheetml/2009/9/main" uri="{B025F937-C7B1-47D3-B67F-A62EFF666E3E}">
          <x14:id>{FD3ED242-D65D-4B64-B555-2419246A5399}</x14:id>
        </ext>
      </extLst>
    </cfRule>
  </conditionalFormatting>
  <conditionalFormatting sqref="J2529">
    <cfRule type="dataBar" priority="6806">
      <dataBar>
        <cfvo type="num" val="0"/>
        <cfvo type="num" val="1"/>
        <color theme="4" tint="0.79998168889431442"/>
      </dataBar>
      <extLst>
        <ext xmlns:x14="http://schemas.microsoft.com/office/spreadsheetml/2009/9/main" uri="{B025F937-C7B1-47D3-B67F-A62EFF666E3E}">
          <x14:id>{E8180BD5-D7D5-4BB8-BB42-F7241DFC6A91}</x14:id>
        </ext>
      </extLst>
    </cfRule>
    <cfRule type="iconSet" priority="6805">
      <iconSet iconSet="3Arrows">
        <cfvo type="percent" val="0"/>
        <cfvo type="num" val="0.7"/>
        <cfvo type="num" val="1"/>
      </iconSet>
    </cfRule>
  </conditionalFormatting>
  <conditionalFormatting sqref="J2531 J2533">
    <cfRule type="dataBar" priority="6804">
      <dataBar>
        <cfvo type="num" val="0"/>
        <cfvo type="num" val="1"/>
        <color theme="4" tint="0.79998168889431442"/>
      </dataBar>
      <extLst>
        <ext xmlns:x14="http://schemas.microsoft.com/office/spreadsheetml/2009/9/main" uri="{B025F937-C7B1-47D3-B67F-A62EFF666E3E}">
          <x14:id>{75D06CFE-45C7-47E6-9532-DCB728BBFF25}</x14:id>
        </ext>
      </extLst>
    </cfRule>
    <cfRule type="iconSet" priority="6803">
      <iconSet iconSet="3Arrows">
        <cfvo type="percent" val="0"/>
        <cfvo type="num" val="0.7"/>
        <cfvo type="num" val="1"/>
      </iconSet>
    </cfRule>
  </conditionalFormatting>
  <conditionalFormatting sqref="J2537">
    <cfRule type="dataBar" priority="6802">
      <dataBar>
        <cfvo type="num" val="0"/>
        <cfvo type="num" val="1"/>
        <color theme="4" tint="0.79998168889431442"/>
      </dataBar>
      <extLst>
        <ext xmlns:x14="http://schemas.microsoft.com/office/spreadsheetml/2009/9/main" uri="{B025F937-C7B1-47D3-B67F-A62EFF666E3E}">
          <x14:id>{82873DE6-09D5-4B25-94AF-08FDAACACD1C}</x14:id>
        </ext>
      </extLst>
    </cfRule>
    <cfRule type="iconSet" priority="6801">
      <iconSet iconSet="3Arrows">
        <cfvo type="percent" val="0"/>
        <cfvo type="num" val="0.7"/>
        <cfvo type="num" val="1"/>
      </iconSet>
    </cfRule>
  </conditionalFormatting>
  <conditionalFormatting sqref="J2539 J2541 J2543">
    <cfRule type="dataBar" priority="6800">
      <dataBar>
        <cfvo type="num" val="0"/>
        <cfvo type="num" val="1"/>
        <color theme="4" tint="0.79998168889431442"/>
      </dataBar>
      <extLst>
        <ext xmlns:x14="http://schemas.microsoft.com/office/spreadsheetml/2009/9/main" uri="{B025F937-C7B1-47D3-B67F-A62EFF666E3E}">
          <x14:id>{5762E2CB-85D0-488B-8F36-22C8AA8BB050}</x14:id>
        </ext>
      </extLst>
    </cfRule>
    <cfRule type="iconSet" priority="6799">
      <iconSet iconSet="3Arrows">
        <cfvo type="percent" val="0"/>
        <cfvo type="num" val="0.7"/>
        <cfvo type="num" val="1"/>
      </iconSet>
    </cfRule>
  </conditionalFormatting>
  <conditionalFormatting sqref="J2545 J2547 J2549">
    <cfRule type="dataBar" priority="6798">
      <dataBar>
        <cfvo type="num" val="0"/>
        <cfvo type="num" val="1"/>
        <color theme="4" tint="0.79998168889431442"/>
      </dataBar>
      <extLst>
        <ext xmlns:x14="http://schemas.microsoft.com/office/spreadsheetml/2009/9/main" uri="{B025F937-C7B1-47D3-B67F-A62EFF666E3E}">
          <x14:id>{B82ACB84-8F94-4054-83FA-C8AB0E2D24D0}</x14:id>
        </ext>
      </extLst>
    </cfRule>
    <cfRule type="iconSet" priority="6797">
      <iconSet iconSet="3Arrows">
        <cfvo type="percent" val="0"/>
        <cfvo type="num" val="0.7"/>
        <cfvo type="num" val="1"/>
      </iconSet>
    </cfRule>
  </conditionalFormatting>
  <conditionalFormatting sqref="J2551 J2553">
    <cfRule type="dataBar" priority="6796">
      <dataBar>
        <cfvo type="num" val="0"/>
        <cfvo type="num" val="1"/>
        <color theme="4" tint="0.79998168889431442"/>
      </dataBar>
      <extLst>
        <ext xmlns:x14="http://schemas.microsoft.com/office/spreadsheetml/2009/9/main" uri="{B025F937-C7B1-47D3-B67F-A62EFF666E3E}">
          <x14:id>{A8E58C68-77AC-4231-9FCC-E4962C1476A7}</x14:id>
        </ext>
      </extLst>
    </cfRule>
    <cfRule type="iconSet" priority="6795">
      <iconSet iconSet="3Arrows">
        <cfvo type="percent" val="0"/>
        <cfvo type="num" val="0.7"/>
        <cfvo type="num" val="1"/>
      </iconSet>
    </cfRule>
  </conditionalFormatting>
  <conditionalFormatting sqref="J2555 J2557 J2559">
    <cfRule type="dataBar" priority="6794">
      <dataBar>
        <cfvo type="num" val="0"/>
        <cfvo type="num" val="1"/>
        <color theme="4" tint="0.79998168889431442"/>
      </dataBar>
      <extLst>
        <ext xmlns:x14="http://schemas.microsoft.com/office/spreadsheetml/2009/9/main" uri="{B025F937-C7B1-47D3-B67F-A62EFF666E3E}">
          <x14:id>{C7136F6E-ECF2-47AF-A60D-095C67F78F8B}</x14:id>
        </ext>
      </extLst>
    </cfRule>
    <cfRule type="iconSet" priority="6793">
      <iconSet iconSet="3Arrows">
        <cfvo type="percent" val="0"/>
        <cfvo type="num" val="0.7"/>
        <cfvo type="num" val="1"/>
      </iconSet>
    </cfRule>
  </conditionalFormatting>
  <conditionalFormatting sqref="J2563">
    <cfRule type="dataBar" priority="6792">
      <dataBar>
        <cfvo type="num" val="0"/>
        <cfvo type="num" val="1"/>
        <color theme="4" tint="0.79998168889431442"/>
      </dataBar>
      <extLst>
        <ext xmlns:x14="http://schemas.microsoft.com/office/spreadsheetml/2009/9/main" uri="{B025F937-C7B1-47D3-B67F-A62EFF666E3E}">
          <x14:id>{C72F77DE-42BB-4653-9626-B18BA4DAD77F}</x14:id>
        </ext>
      </extLst>
    </cfRule>
    <cfRule type="iconSet" priority="6791">
      <iconSet iconSet="3Arrows">
        <cfvo type="percent" val="0"/>
        <cfvo type="num" val="0.7"/>
        <cfvo type="num" val="1"/>
      </iconSet>
    </cfRule>
  </conditionalFormatting>
  <conditionalFormatting sqref="J2565 J2567 J2569">
    <cfRule type="dataBar" priority="6790">
      <dataBar>
        <cfvo type="num" val="0"/>
        <cfvo type="num" val="1"/>
        <color theme="4" tint="0.79998168889431442"/>
      </dataBar>
      <extLst>
        <ext xmlns:x14="http://schemas.microsoft.com/office/spreadsheetml/2009/9/main" uri="{B025F937-C7B1-47D3-B67F-A62EFF666E3E}">
          <x14:id>{C81B1544-0E1D-4271-B3F6-79F3E3C442E8}</x14:id>
        </ext>
      </extLst>
    </cfRule>
    <cfRule type="iconSet" priority="6789">
      <iconSet iconSet="3Arrows">
        <cfvo type="percent" val="0"/>
        <cfvo type="num" val="0.7"/>
        <cfvo type="num" val="1"/>
      </iconSet>
    </cfRule>
  </conditionalFormatting>
  <conditionalFormatting sqref="J2571 J2573 J2575">
    <cfRule type="dataBar" priority="6788">
      <dataBar>
        <cfvo type="num" val="0"/>
        <cfvo type="num" val="1"/>
        <color theme="4" tint="0.79998168889431442"/>
      </dataBar>
      <extLst>
        <ext xmlns:x14="http://schemas.microsoft.com/office/spreadsheetml/2009/9/main" uri="{B025F937-C7B1-47D3-B67F-A62EFF666E3E}">
          <x14:id>{6B2C424D-DF4E-41C4-B50A-9C323CCAC36C}</x14:id>
        </ext>
      </extLst>
    </cfRule>
    <cfRule type="iconSet" priority="6787">
      <iconSet iconSet="3Arrows">
        <cfvo type="percent" val="0"/>
        <cfvo type="num" val="0.7"/>
        <cfvo type="num" val="1"/>
      </iconSet>
    </cfRule>
  </conditionalFormatting>
  <conditionalFormatting sqref="J2577 J2579 J2581">
    <cfRule type="dataBar" priority="6786">
      <dataBar>
        <cfvo type="num" val="0"/>
        <cfvo type="num" val="1"/>
        <color theme="4" tint="0.79998168889431442"/>
      </dataBar>
      <extLst>
        <ext xmlns:x14="http://schemas.microsoft.com/office/spreadsheetml/2009/9/main" uri="{B025F937-C7B1-47D3-B67F-A62EFF666E3E}">
          <x14:id>{8A1539D0-B699-4B95-AA55-73F0A6290FB0}</x14:id>
        </ext>
      </extLst>
    </cfRule>
    <cfRule type="iconSet" priority="6785">
      <iconSet iconSet="3Arrows">
        <cfvo type="percent" val="0"/>
        <cfvo type="num" val="0.7"/>
        <cfvo type="num" val="1"/>
      </iconSet>
    </cfRule>
  </conditionalFormatting>
  <conditionalFormatting sqref="J2583 J2585 J2587">
    <cfRule type="dataBar" priority="6784">
      <dataBar>
        <cfvo type="num" val="0"/>
        <cfvo type="num" val="1"/>
        <color theme="4" tint="0.79998168889431442"/>
      </dataBar>
      <extLst>
        <ext xmlns:x14="http://schemas.microsoft.com/office/spreadsheetml/2009/9/main" uri="{B025F937-C7B1-47D3-B67F-A62EFF666E3E}">
          <x14:id>{4DF2E1BB-36D0-46B8-B70C-244C0E0814B0}</x14:id>
        </ext>
      </extLst>
    </cfRule>
    <cfRule type="iconSet" priority="6783">
      <iconSet iconSet="3Arrows">
        <cfvo type="percent" val="0"/>
        <cfvo type="num" val="0.7"/>
        <cfvo type="num" val="1"/>
      </iconSet>
    </cfRule>
  </conditionalFormatting>
  <conditionalFormatting sqref="J2589 J2591 J2593">
    <cfRule type="dataBar" priority="6782">
      <dataBar>
        <cfvo type="num" val="0"/>
        <cfvo type="num" val="1"/>
        <color theme="4" tint="0.79998168889431442"/>
      </dataBar>
      <extLst>
        <ext xmlns:x14="http://schemas.microsoft.com/office/spreadsheetml/2009/9/main" uri="{B025F937-C7B1-47D3-B67F-A62EFF666E3E}">
          <x14:id>{E3304DDE-E1D8-4F20-BCC4-CF502EAD8832}</x14:id>
        </ext>
      </extLst>
    </cfRule>
    <cfRule type="iconSet" priority="6781">
      <iconSet iconSet="3Arrows">
        <cfvo type="percent" val="0"/>
        <cfvo type="num" val="0.7"/>
        <cfvo type="num" val="1"/>
      </iconSet>
    </cfRule>
  </conditionalFormatting>
  <conditionalFormatting sqref="J2595 J2597 J2599">
    <cfRule type="iconSet" priority="6779">
      <iconSet iconSet="3Arrows">
        <cfvo type="percent" val="0"/>
        <cfvo type="num" val="0.7"/>
        <cfvo type="num" val="1"/>
      </iconSet>
    </cfRule>
    <cfRule type="dataBar" priority="6780">
      <dataBar>
        <cfvo type="num" val="0"/>
        <cfvo type="num" val="1"/>
        <color theme="4" tint="0.79998168889431442"/>
      </dataBar>
      <extLst>
        <ext xmlns:x14="http://schemas.microsoft.com/office/spreadsheetml/2009/9/main" uri="{B025F937-C7B1-47D3-B67F-A62EFF666E3E}">
          <x14:id>{FEA13657-45EC-4642-85CF-2EE8628117CF}</x14:id>
        </ext>
      </extLst>
    </cfRule>
  </conditionalFormatting>
  <conditionalFormatting sqref="J2601">
    <cfRule type="iconSet" priority="6777">
      <iconSet iconSet="3Arrows">
        <cfvo type="percent" val="0"/>
        <cfvo type="num" val="0.7"/>
        <cfvo type="num" val="1"/>
      </iconSet>
    </cfRule>
    <cfRule type="dataBar" priority="6778">
      <dataBar>
        <cfvo type="num" val="0"/>
        <cfvo type="num" val="1"/>
        <color theme="4" tint="0.79998168889431442"/>
      </dataBar>
      <extLst>
        <ext xmlns:x14="http://schemas.microsoft.com/office/spreadsheetml/2009/9/main" uri="{B025F937-C7B1-47D3-B67F-A62EFF666E3E}">
          <x14:id>{E8DAFB91-77CC-4FB3-A0F6-61F5DE9238FF}</x14:id>
        </ext>
      </extLst>
    </cfRule>
  </conditionalFormatting>
  <conditionalFormatting sqref="J2605">
    <cfRule type="iconSet" priority="6775">
      <iconSet iconSet="3Arrows">
        <cfvo type="percent" val="0"/>
        <cfvo type="num" val="0.7"/>
        <cfvo type="num" val="1"/>
      </iconSet>
    </cfRule>
    <cfRule type="dataBar" priority="6776">
      <dataBar>
        <cfvo type="num" val="0"/>
        <cfvo type="num" val="1"/>
        <color theme="4" tint="0.79998168889431442"/>
      </dataBar>
      <extLst>
        <ext xmlns:x14="http://schemas.microsoft.com/office/spreadsheetml/2009/9/main" uri="{B025F937-C7B1-47D3-B67F-A62EFF666E3E}">
          <x14:id>{3563F799-0C9F-48AE-AC29-083FC3ED2A90}</x14:id>
        </ext>
      </extLst>
    </cfRule>
  </conditionalFormatting>
  <conditionalFormatting sqref="J2609">
    <cfRule type="dataBar" priority="6774">
      <dataBar>
        <cfvo type="num" val="0"/>
        <cfvo type="num" val="1"/>
        <color theme="4" tint="0.79998168889431442"/>
      </dataBar>
      <extLst>
        <ext xmlns:x14="http://schemas.microsoft.com/office/spreadsheetml/2009/9/main" uri="{B025F937-C7B1-47D3-B67F-A62EFF666E3E}">
          <x14:id>{54F2CDC1-9BB9-490D-B76C-3752311216CB}</x14:id>
        </ext>
      </extLst>
    </cfRule>
    <cfRule type="iconSet" priority="6773">
      <iconSet iconSet="3Arrows">
        <cfvo type="percent" val="0"/>
        <cfvo type="num" val="0.7"/>
        <cfvo type="num" val="1"/>
      </iconSet>
    </cfRule>
  </conditionalFormatting>
  <conditionalFormatting sqref="J2611">
    <cfRule type="dataBar" priority="6772">
      <dataBar>
        <cfvo type="num" val="0"/>
        <cfvo type="num" val="1"/>
        <color theme="4" tint="0.79998168889431442"/>
      </dataBar>
      <extLst>
        <ext xmlns:x14="http://schemas.microsoft.com/office/spreadsheetml/2009/9/main" uri="{B025F937-C7B1-47D3-B67F-A62EFF666E3E}">
          <x14:id>{7844D858-5CAE-4F53-8663-B97F262E858C}</x14:id>
        </ext>
      </extLst>
    </cfRule>
    <cfRule type="iconSet" priority="6771">
      <iconSet iconSet="3Arrows">
        <cfvo type="percent" val="0"/>
        <cfvo type="num" val="0.7"/>
        <cfvo type="num" val="1"/>
      </iconSet>
    </cfRule>
  </conditionalFormatting>
  <conditionalFormatting sqref="J2613 J2615">
    <cfRule type="dataBar" priority="6770">
      <dataBar>
        <cfvo type="num" val="0"/>
        <cfvo type="num" val="1"/>
        <color theme="4" tint="0.79998168889431442"/>
      </dataBar>
      <extLst>
        <ext xmlns:x14="http://schemas.microsoft.com/office/spreadsheetml/2009/9/main" uri="{B025F937-C7B1-47D3-B67F-A62EFF666E3E}">
          <x14:id>{EF742C49-CADA-4C5C-927B-8268EB3ED36C}</x14:id>
        </ext>
      </extLst>
    </cfRule>
    <cfRule type="iconSet" priority="6769">
      <iconSet iconSet="3Arrows">
        <cfvo type="percent" val="0"/>
        <cfvo type="num" val="0.7"/>
        <cfvo type="num" val="1"/>
      </iconSet>
    </cfRule>
  </conditionalFormatting>
  <conditionalFormatting sqref="J2617">
    <cfRule type="dataBar" priority="6768">
      <dataBar>
        <cfvo type="num" val="0"/>
        <cfvo type="num" val="1"/>
        <color theme="4" tint="0.79998168889431442"/>
      </dataBar>
      <extLst>
        <ext xmlns:x14="http://schemas.microsoft.com/office/spreadsheetml/2009/9/main" uri="{B025F937-C7B1-47D3-B67F-A62EFF666E3E}">
          <x14:id>{C0A09564-ED35-4268-BF77-CEF675A5EE29}</x14:id>
        </ext>
      </extLst>
    </cfRule>
    <cfRule type="iconSet" priority="6767">
      <iconSet iconSet="3Arrows">
        <cfvo type="percent" val="0"/>
        <cfvo type="num" val="0.7"/>
        <cfvo type="num" val="1"/>
      </iconSet>
    </cfRule>
  </conditionalFormatting>
  <conditionalFormatting sqref="J2619 J2621">
    <cfRule type="dataBar" priority="6766">
      <dataBar>
        <cfvo type="num" val="0"/>
        <cfvo type="num" val="1"/>
        <color theme="4" tint="0.79998168889431442"/>
      </dataBar>
      <extLst>
        <ext xmlns:x14="http://schemas.microsoft.com/office/spreadsheetml/2009/9/main" uri="{B025F937-C7B1-47D3-B67F-A62EFF666E3E}">
          <x14:id>{5E30634D-1FCD-4EC9-B67D-9456E39EA431}</x14:id>
        </ext>
      </extLst>
    </cfRule>
    <cfRule type="iconSet" priority="6765">
      <iconSet iconSet="3Arrows">
        <cfvo type="percent" val="0"/>
        <cfvo type="num" val="0.7"/>
        <cfvo type="num" val="1"/>
      </iconSet>
    </cfRule>
  </conditionalFormatting>
  <conditionalFormatting sqref="J2623">
    <cfRule type="dataBar" priority="6764">
      <dataBar>
        <cfvo type="num" val="0"/>
        <cfvo type="num" val="1"/>
        <color theme="4" tint="0.79998168889431442"/>
      </dataBar>
      <extLst>
        <ext xmlns:x14="http://schemas.microsoft.com/office/spreadsheetml/2009/9/main" uri="{B025F937-C7B1-47D3-B67F-A62EFF666E3E}">
          <x14:id>{D75CB73A-91A8-4A48-9F14-18BA9C2C4FCD}</x14:id>
        </ext>
      </extLst>
    </cfRule>
    <cfRule type="iconSet" priority="6763">
      <iconSet iconSet="3Arrows">
        <cfvo type="percent" val="0"/>
        <cfvo type="num" val="0.7"/>
        <cfvo type="num" val="1"/>
      </iconSet>
    </cfRule>
  </conditionalFormatting>
  <conditionalFormatting sqref="J2625">
    <cfRule type="iconSet" priority="6761">
      <iconSet iconSet="3Arrows">
        <cfvo type="percent" val="0"/>
        <cfvo type="num" val="0.7"/>
        <cfvo type="num" val="1"/>
      </iconSet>
    </cfRule>
    <cfRule type="dataBar" priority="6762">
      <dataBar>
        <cfvo type="num" val="0"/>
        <cfvo type="num" val="1"/>
        <color theme="4" tint="0.79998168889431442"/>
      </dataBar>
      <extLst>
        <ext xmlns:x14="http://schemas.microsoft.com/office/spreadsheetml/2009/9/main" uri="{B025F937-C7B1-47D3-B67F-A62EFF666E3E}">
          <x14:id>{B153DF4E-DDA9-4F10-A428-4F3A2C35E9E5}</x14:id>
        </ext>
      </extLst>
    </cfRule>
  </conditionalFormatting>
  <conditionalFormatting sqref="J2627">
    <cfRule type="dataBar" priority="6760">
      <dataBar>
        <cfvo type="num" val="0"/>
        <cfvo type="num" val="1"/>
        <color theme="4" tint="0.79998168889431442"/>
      </dataBar>
      <extLst>
        <ext xmlns:x14="http://schemas.microsoft.com/office/spreadsheetml/2009/9/main" uri="{B025F937-C7B1-47D3-B67F-A62EFF666E3E}">
          <x14:id>{70E68876-BC4A-4A1A-914F-274F95A5394E}</x14:id>
        </ext>
      </extLst>
    </cfRule>
    <cfRule type="iconSet" priority="6759">
      <iconSet iconSet="3Arrows">
        <cfvo type="percent" val="0"/>
        <cfvo type="num" val="0.7"/>
        <cfvo type="num" val="1"/>
      </iconSet>
    </cfRule>
  </conditionalFormatting>
  <conditionalFormatting sqref="J2629">
    <cfRule type="dataBar" priority="6758">
      <dataBar>
        <cfvo type="num" val="0"/>
        <cfvo type="num" val="1"/>
        <color theme="4" tint="0.79998168889431442"/>
      </dataBar>
      <extLst>
        <ext xmlns:x14="http://schemas.microsoft.com/office/spreadsheetml/2009/9/main" uri="{B025F937-C7B1-47D3-B67F-A62EFF666E3E}">
          <x14:id>{4BBCECB0-CA2C-483C-B89D-F23225D2AA6A}</x14:id>
        </ext>
      </extLst>
    </cfRule>
    <cfRule type="iconSet" priority="6757">
      <iconSet iconSet="3Arrows">
        <cfvo type="percent" val="0"/>
        <cfvo type="num" val="0.7"/>
        <cfvo type="num" val="1"/>
      </iconSet>
    </cfRule>
  </conditionalFormatting>
  <conditionalFormatting sqref="J2631 J2633">
    <cfRule type="dataBar" priority="6756">
      <dataBar>
        <cfvo type="num" val="0"/>
        <cfvo type="num" val="1"/>
        <color theme="4" tint="0.79998168889431442"/>
      </dataBar>
      <extLst>
        <ext xmlns:x14="http://schemas.microsoft.com/office/spreadsheetml/2009/9/main" uri="{B025F937-C7B1-47D3-B67F-A62EFF666E3E}">
          <x14:id>{96805869-7854-4867-BB02-B39FB2A1D8F6}</x14:id>
        </ext>
      </extLst>
    </cfRule>
    <cfRule type="iconSet" priority="6755">
      <iconSet iconSet="3Arrows">
        <cfvo type="percent" val="0"/>
        <cfvo type="num" val="0.7"/>
        <cfvo type="num" val="1"/>
      </iconSet>
    </cfRule>
  </conditionalFormatting>
  <conditionalFormatting sqref="J2635">
    <cfRule type="dataBar" priority="6754">
      <dataBar>
        <cfvo type="num" val="0"/>
        <cfvo type="num" val="1"/>
        <color theme="4" tint="0.79998168889431442"/>
      </dataBar>
      <extLst>
        <ext xmlns:x14="http://schemas.microsoft.com/office/spreadsheetml/2009/9/main" uri="{B025F937-C7B1-47D3-B67F-A62EFF666E3E}">
          <x14:id>{A4D6AC7A-C510-40D4-9FBF-69285A15B8C2}</x14:id>
        </ext>
      </extLst>
    </cfRule>
    <cfRule type="iconSet" priority="6753">
      <iconSet iconSet="3Arrows">
        <cfvo type="percent" val="0"/>
        <cfvo type="num" val="0.7"/>
        <cfvo type="num" val="1"/>
      </iconSet>
    </cfRule>
  </conditionalFormatting>
  <conditionalFormatting sqref="J2637 J2639">
    <cfRule type="dataBar" priority="6752">
      <dataBar>
        <cfvo type="num" val="0"/>
        <cfvo type="num" val="1"/>
        <color theme="4" tint="0.79998168889431442"/>
      </dataBar>
      <extLst>
        <ext xmlns:x14="http://schemas.microsoft.com/office/spreadsheetml/2009/9/main" uri="{B025F937-C7B1-47D3-B67F-A62EFF666E3E}">
          <x14:id>{8D14BB04-2E95-404A-97C9-850E52B3260F}</x14:id>
        </ext>
      </extLst>
    </cfRule>
    <cfRule type="iconSet" priority="6751">
      <iconSet iconSet="3Arrows">
        <cfvo type="percent" val="0"/>
        <cfvo type="num" val="0.7"/>
        <cfvo type="num" val="1"/>
      </iconSet>
    </cfRule>
  </conditionalFormatting>
  <conditionalFormatting sqref="J2641">
    <cfRule type="dataBar" priority="6750">
      <dataBar>
        <cfvo type="num" val="0"/>
        <cfvo type="num" val="1"/>
        <color theme="4" tint="0.79998168889431442"/>
      </dataBar>
      <extLst>
        <ext xmlns:x14="http://schemas.microsoft.com/office/spreadsheetml/2009/9/main" uri="{B025F937-C7B1-47D3-B67F-A62EFF666E3E}">
          <x14:id>{FBA5AF62-1F65-4646-A671-B0CF0ABBE00A}</x14:id>
        </ext>
      </extLst>
    </cfRule>
    <cfRule type="iconSet" priority="6749">
      <iconSet iconSet="3Arrows">
        <cfvo type="percent" val="0"/>
        <cfvo type="num" val="0.7"/>
        <cfvo type="num" val="1"/>
      </iconSet>
    </cfRule>
  </conditionalFormatting>
  <conditionalFormatting sqref="J2643 J2645">
    <cfRule type="iconSet" priority="6747">
      <iconSet iconSet="3Arrows">
        <cfvo type="percent" val="0"/>
        <cfvo type="num" val="0.7"/>
        <cfvo type="num" val="1"/>
      </iconSet>
    </cfRule>
    <cfRule type="dataBar" priority="6748">
      <dataBar>
        <cfvo type="num" val="0"/>
        <cfvo type="num" val="1"/>
        <color theme="4" tint="0.79998168889431442"/>
      </dataBar>
      <extLst>
        <ext xmlns:x14="http://schemas.microsoft.com/office/spreadsheetml/2009/9/main" uri="{B025F937-C7B1-47D3-B67F-A62EFF666E3E}">
          <x14:id>{9497096D-A053-456E-AF34-C03A87AA9EAA}</x14:id>
        </ext>
      </extLst>
    </cfRule>
  </conditionalFormatting>
  <conditionalFormatting sqref="J2647">
    <cfRule type="iconSet" priority="6745">
      <iconSet iconSet="3Arrows">
        <cfvo type="percent" val="0"/>
        <cfvo type="num" val="0.7"/>
        <cfvo type="num" val="1"/>
      </iconSet>
    </cfRule>
    <cfRule type="dataBar" priority="6746">
      <dataBar>
        <cfvo type="num" val="0"/>
        <cfvo type="num" val="1"/>
        <color theme="4" tint="0.79998168889431442"/>
      </dataBar>
      <extLst>
        <ext xmlns:x14="http://schemas.microsoft.com/office/spreadsheetml/2009/9/main" uri="{B025F937-C7B1-47D3-B67F-A62EFF666E3E}">
          <x14:id>{4175AE1F-DE35-470B-86B1-B946860F55CE}</x14:id>
        </ext>
      </extLst>
    </cfRule>
  </conditionalFormatting>
  <conditionalFormatting sqref="J2649 J2651">
    <cfRule type="dataBar" priority="6744">
      <dataBar>
        <cfvo type="num" val="0"/>
        <cfvo type="num" val="1"/>
        <color theme="4" tint="0.79998168889431442"/>
      </dataBar>
      <extLst>
        <ext xmlns:x14="http://schemas.microsoft.com/office/spreadsheetml/2009/9/main" uri="{B025F937-C7B1-47D3-B67F-A62EFF666E3E}">
          <x14:id>{483ED66C-9B76-47D1-8AD5-2CDC4803F2A7}</x14:id>
        </ext>
      </extLst>
    </cfRule>
    <cfRule type="iconSet" priority="6743">
      <iconSet iconSet="3Arrows">
        <cfvo type="percent" val="0"/>
        <cfvo type="num" val="0.7"/>
        <cfvo type="num" val="1"/>
      </iconSet>
    </cfRule>
  </conditionalFormatting>
  <conditionalFormatting sqref="J2653">
    <cfRule type="dataBar" priority="6742">
      <dataBar>
        <cfvo type="num" val="0"/>
        <cfvo type="num" val="1"/>
        <color theme="4" tint="0.79998168889431442"/>
      </dataBar>
      <extLst>
        <ext xmlns:x14="http://schemas.microsoft.com/office/spreadsheetml/2009/9/main" uri="{B025F937-C7B1-47D3-B67F-A62EFF666E3E}">
          <x14:id>{359C6279-3630-4D0F-B3FA-6F4F2A3F4BDB}</x14:id>
        </ext>
      </extLst>
    </cfRule>
    <cfRule type="iconSet" priority="6741">
      <iconSet iconSet="3Arrows">
        <cfvo type="percent" val="0"/>
        <cfvo type="num" val="0.7"/>
        <cfvo type="num" val="1"/>
      </iconSet>
    </cfRule>
  </conditionalFormatting>
  <conditionalFormatting sqref="J2655 J2657">
    <cfRule type="dataBar" priority="6740">
      <dataBar>
        <cfvo type="num" val="0"/>
        <cfvo type="num" val="1"/>
        <color theme="4" tint="0.79998168889431442"/>
      </dataBar>
      <extLst>
        <ext xmlns:x14="http://schemas.microsoft.com/office/spreadsheetml/2009/9/main" uri="{B025F937-C7B1-47D3-B67F-A62EFF666E3E}">
          <x14:id>{BA7C7B7D-D7C8-425B-AF79-45EC5B7BF2CC}</x14:id>
        </ext>
      </extLst>
    </cfRule>
    <cfRule type="iconSet" priority="6739">
      <iconSet iconSet="3Arrows">
        <cfvo type="percent" val="0"/>
        <cfvo type="num" val="0.7"/>
        <cfvo type="num" val="1"/>
      </iconSet>
    </cfRule>
  </conditionalFormatting>
  <conditionalFormatting sqref="J2659">
    <cfRule type="dataBar" priority="6738">
      <dataBar>
        <cfvo type="num" val="0"/>
        <cfvo type="num" val="1"/>
        <color theme="4" tint="0.79998168889431442"/>
      </dataBar>
      <extLst>
        <ext xmlns:x14="http://schemas.microsoft.com/office/spreadsheetml/2009/9/main" uri="{B025F937-C7B1-47D3-B67F-A62EFF666E3E}">
          <x14:id>{567BB2CA-AD9B-4FAF-A6D5-E32DFB71C29D}</x14:id>
        </ext>
      </extLst>
    </cfRule>
    <cfRule type="iconSet" priority="6737">
      <iconSet iconSet="3Arrows">
        <cfvo type="percent" val="0"/>
        <cfvo type="num" val="0.7"/>
        <cfvo type="num" val="1"/>
      </iconSet>
    </cfRule>
  </conditionalFormatting>
  <conditionalFormatting sqref="J2661 J2663">
    <cfRule type="dataBar" priority="6736">
      <dataBar>
        <cfvo type="num" val="0"/>
        <cfvo type="num" val="1"/>
        <color theme="4" tint="0.79998168889431442"/>
      </dataBar>
      <extLst>
        <ext xmlns:x14="http://schemas.microsoft.com/office/spreadsheetml/2009/9/main" uri="{B025F937-C7B1-47D3-B67F-A62EFF666E3E}">
          <x14:id>{97687479-0AD0-4722-8D28-12D2D43BB2A3}</x14:id>
        </ext>
      </extLst>
    </cfRule>
    <cfRule type="iconSet" priority="6735">
      <iconSet iconSet="3Arrows">
        <cfvo type="percent" val="0"/>
        <cfvo type="num" val="0.7"/>
        <cfvo type="num" val="1"/>
      </iconSet>
    </cfRule>
  </conditionalFormatting>
  <conditionalFormatting sqref="J2665">
    <cfRule type="dataBar" priority="6734">
      <dataBar>
        <cfvo type="num" val="0"/>
        <cfvo type="num" val="1"/>
        <color theme="4" tint="0.79998168889431442"/>
      </dataBar>
      <extLst>
        <ext xmlns:x14="http://schemas.microsoft.com/office/spreadsheetml/2009/9/main" uri="{B025F937-C7B1-47D3-B67F-A62EFF666E3E}">
          <x14:id>{C55C69AD-287F-4E05-96DA-2409773EE313}</x14:id>
        </ext>
      </extLst>
    </cfRule>
    <cfRule type="iconSet" priority="6733">
      <iconSet iconSet="3Arrows">
        <cfvo type="percent" val="0"/>
        <cfvo type="num" val="0.7"/>
        <cfvo type="num" val="1"/>
      </iconSet>
    </cfRule>
  </conditionalFormatting>
  <conditionalFormatting sqref="J2667 J2669">
    <cfRule type="dataBar" priority="6732">
      <dataBar>
        <cfvo type="num" val="0"/>
        <cfvo type="num" val="1"/>
        <color theme="4" tint="0.79998168889431442"/>
      </dataBar>
      <extLst>
        <ext xmlns:x14="http://schemas.microsoft.com/office/spreadsheetml/2009/9/main" uri="{B025F937-C7B1-47D3-B67F-A62EFF666E3E}">
          <x14:id>{60444735-56C8-4294-B6BB-0F517D8417E5}</x14:id>
        </ext>
      </extLst>
    </cfRule>
    <cfRule type="iconSet" priority="6731">
      <iconSet iconSet="3Arrows">
        <cfvo type="percent" val="0"/>
        <cfvo type="num" val="0.7"/>
        <cfvo type="num" val="1"/>
      </iconSet>
    </cfRule>
  </conditionalFormatting>
  <conditionalFormatting sqref="J2672">
    <cfRule type="dataBar" priority="6730">
      <dataBar>
        <cfvo type="num" val="0"/>
        <cfvo type="num" val="1"/>
        <color theme="4" tint="0.79998168889431442"/>
      </dataBar>
      <extLst>
        <ext xmlns:x14="http://schemas.microsoft.com/office/spreadsheetml/2009/9/main" uri="{B025F937-C7B1-47D3-B67F-A62EFF666E3E}">
          <x14:id>{AC5EDC8A-BC4F-4852-A194-FB810718E9F4}</x14:id>
        </ext>
      </extLst>
    </cfRule>
    <cfRule type="iconSet" priority="6729">
      <iconSet iconSet="3Arrows">
        <cfvo type="percent" val="0"/>
        <cfvo type="num" val="0.7"/>
        <cfvo type="num" val="1"/>
      </iconSet>
    </cfRule>
  </conditionalFormatting>
  <conditionalFormatting sqref="J2674">
    <cfRule type="iconSet" priority="6727">
      <iconSet iconSet="3Arrows">
        <cfvo type="percent" val="0"/>
        <cfvo type="num" val="0.7"/>
        <cfvo type="num" val="1"/>
      </iconSet>
    </cfRule>
    <cfRule type="dataBar" priority="6728">
      <dataBar>
        <cfvo type="num" val="0"/>
        <cfvo type="num" val="1"/>
        <color theme="4" tint="0.79998168889431442"/>
      </dataBar>
      <extLst>
        <ext xmlns:x14="http://schemas.microsoft.com/office/spreadsheetml/2009/9/main" uri="{B025F937-C7B1-47D3-B67F-A62EFF666E3E}">
          <x14:id>{934321CA-6C0A-4F63-A5DF-03409F01F203}</x14:id>
        </ext>
      </extLst>
    </cfRule>
  </conditionalFormatting>
  <conditionalFormatting sqref="J2676 J2678">
    <cfRule type="dataBar" priority="6726">
      <dataBar>
        <cfvo type="num" val="0"/>
        <cfvo type="num" val="1"/>
        <color theme="4" tint="0.79998168889431442"/>
      </dataBar>
      <extLst>
        <ext xmlns:x14="http://schemas.microsoft.com/office/spreadsheetml/2009/9/main" uri="{B025F937-C7B1-47D3-B67F-A62EFF666E3E}">
          <x14:id>{285389AE-D88D-48E0-A99B-EDDF88412128}</x14:id>
        </ext>
      </extLst>
    </cfRule>
    <cfRule type="iconSet" priority="6725">
      <iconSet iconSet="3Arrows">
        <cfvo type="percent" val="0"/>
        <cfvo type="num" val="0.7"/>
        <cfvo type="num" val="1"/>
      </iconSet>
    </cfRule>
  </conditionalFormatting>
  <conditionalFormatting sqref="J2680 J2682">
    <cfRule type="dataBar" priority="6724">
      <dataBar>
        <cfvo type="num" val="0"/>
        <cfvo type="num" val="1"/>
        <color theme="4" tint="0.79998168889431442"/>
      </dataBar>
      <extLst>
        <ext xmlns:x14="http://schemas.microsoft.com/office/spreadsheetml/2009/9/main" uri="{B025F937-C7B1-47D3-B67F-A62EFF666E3E}">
          <x14:id>{23995183-AD7D-4EB8-AF32-1BEF70F72BE4}</x14:id>
        </ext>
      </extLst>
    </cfRule>
    <cfRule type="iconSet" priority="6723">
      <iconSet iconSet="3Arrows">
        <cfvo type="percent" val="0"/>
        <cfvo type="num" val="0.7"/>
        <cfvo type="num" val="1"/>
      </iconSet>
    </cfRule>
  </conditionalFormatting>
  <conditionalFormatting sqref="J2684">
    <cfRule type="dataBar" priority="6722">
      <dataBar>
        <cfvo type="num" val="0"/>
        <cfvo type="num" val="1"/>
        <color theme="4" tint="0.79998168889431442"/>
      </dataBar>
      <extLst>
        <ext xmlns:x14="http://schemas.microsoft.com/office/spreadsheetml/2009/9/main" uri="{B025F937-C7B1-47D3-B67F-A62EFF666E3E}">
          <x14:id>{8BA268B0-042E-405A-B16F-913A8E80C0B4}</x14:id>
        </ext>
      </extLst>
    </cfRule>
    <cfRule type="iconSet" priority="6721">
      <iconSet iconSet="3Arrows">
        <cfvo type="percent" val="0"/>
        <cfvo type="num" val="0.7"/>
        <cfvo type="num" val="1"/>
      </iconSet>
    </cfRule>
  </conditionalFormatting>
  <conditionalFormatting sqref="J2686 J2688">
    <cfRule type="dataBar" priority="6720">
      <dataBar>
        <cfvo type="num" val="0"/>
        <cfvo type="num" val="1"/>
        <color theme="4" tint="0.79998168889431442"/>
      </dataBar>
      <extLst>
        <ext xmlns:x14="http://schemas.microsoft.com/office/spreadsheetml/2009/9/main" uri="{B025F937-C7B1-47D3-B67F-A62EFF666E3E}">
          <x14:id>{6CCC563A-DDD9-43F9-9F00-1320DCE0923C}</x14:id>
        </ext>
      </extLst>
    </cfRule>
    <cfRule type="iconSet" priority="6719">
      <iconSet iconSet="3Arrows">
        <cfvo type="percent" val="0"/>
        <cfvo type="num" val="0.7"/>
        <cfvo type="num" val="1"/>
      </iconSet>
    </cfRule>
  </conditionalFormatting>
  <conditionalFormatting sqref="J2690">
    <cfRule type="dataBar" priority="6718">
      <dataBar>
        <cfvo type="num" val="0"/>
        <cfvo type="num" val="1"/>
        <color theme="4" tint="0.79998168889431442"/>
      </dataBar>
      <extLst>
        <ext xmlns:x14="http://schemas.microsoft.com/office/spreadsheetml/2009/9/main" uri="{B025F937-C7B1-47D3-B67F-A62EFF666E3E}">
          <x14:id>{8FC4554D-9CB9-44EB-AD5C-ABDC137C76FF}</x14:id>
        </ext>
      </extLst>
    </cfRule>
    <cfRule type="iconSet" priority="6717">
      <iconSet iconSet="3Arrows">
        <cfvo type="percent" val="0"/>
        <cfvo type="num" val="0.7"/>
        <cfvo type="num" val="1"/>
      </iconSet>
    </cfRule>
  </conditionalFormatting>
  <conditionalFormatting sqref="J2692 J2694">
    <cfRule type="dataBar" priority="6716">
      <dataBar>
        <cfvo type="num" val="0"/>
        <cfvo type="num" val="1"/>
        <color theme="4" tint="0.79998168889431442"/>
      </dataBar>
      <extLst>
        <ext xmlns:x14="http://schemas.microsoft.com/office/spreadsheetml/2009/9/main" uri="{B025F937-C7B1-47D3-B67F-A62EFF666E3E}">
          <x14:id>{3462939D-6E8A-4AE5-94AF-7EE216219FAB}</x14:id>
        </ext>
      </extLst>
    </cfRule>
    <cfRule type="iconSet" priority="6715">
      <iconSet iconSet="3Arrows">
        <cfvo type="percent" val="0"/>
        <cfvo type="num" val="0.7"/>
        <cfvo type="num" val="1"/>
      </iconSet>
    </cfRule>
  </conditionalFormatting>
  <conditionalFormatting sqref="J2696 J2698">
    <cfRule type="dataBar" priority="6714">
      <dataBar>
        <cfvo type="num" val="0"/>
        <cfvo type="num" val="1"/>
        <color theme="4" tint="0.79998168889431442"/>
      </dataBar>
      <extLst>
        <ext xmlns:x14="http://schemas.microsoft.com/office/spreadsheetml/2009/9/main" uri="{B025F937-C7B1-47D3-B67F-A62EFF666E3E}">
          <x14:id>{6E463955-EC6D-43D9-A218-9A15CB3E6C70}</x14:id>
        </ext>
      </extLst>
    </cfRule>
    <cfRule type="iconSet" priority="6713">
      <iconSet iconSet="3Arrows">
        <cfvo type="percent" val="0"/>
        <cfvo type="num" val="0.7"/>
        <cfvo type="num" val="1"/>
      </iconSet>
    </cfRule>
  </conditionalFormatting>
  <conditionalFormatting sqref="J2700">
    <cfRule type="iconSet" priority="6711">
      <iconSet iconSet="3Arrows">
        <cfvo type="percent" val="0"/>
        <cfvo type="num" val="0.7"/>
        <cfvo type="num" val="1"/>
      </iconSet>
    </cfRule>
    <cfRule type="dataBar" priority="6712">
      <dataBar>
        <cfvo type="num" val="0"/>
        <cfvo type="num" val="1"/>
        <color theme="4" tint="0.79998168889431442"/>
      </dataBar>
      <extLst>
        <ext xmlns:x14="http://schemas.microsoft.com/office/spreadsheetml/2009/9/main" uri="{B025F937-C7B1-47D3-B67F-A62EFF666E3E}">
          <x14:id>{CE5F9C85-C418-4BE9-9497-99DE103A63F3}</x14:id>
        </ext>
      </extLst>
    </cfRule>
  </conditionalFormatting>
  <conditionalFormatting sqref="J2702 J2704">
    <cfRule type="iconSet" priority="6709">
      <iconSet iconSet="3Arrows">
        <cfvo type="percent" val="0"/>
        <cfvo type="num" val="0.7"/>
        <cfvo type="num" val="1"/>
      </iconSet>
    </cfRule>
    <cfRule type="dataBar" priority="6710">
      <dataBar>
        <cfvo type="num" val="0"/>
        <cfvo type="num" val="1"/>
        <color theme="4" tint="0.79998168889431442"/>
      </dataBar>
      <extLst>
        <ext xmlns:x14="http://schemas.microsoft.com/office/spreadsheetml/2009/9/main" uri="{B025F937-C7B1-47D3-B67F-A62EFF666E3E}">
          <x14:id>{663A3996-58E9-4959-8908-78ED493F4CBD}</x14:id>
        </ext>
      </extLst>
    </cfRule>
  </conditionalFormatting>
  <conditionalFormatting sqref="J2706">
    <cfRule type="dataBar" priority="6708">
      <dataBar>
        <cfvo type="num" val="0"/>
        <cfvo type="num" val="1"/>
        <color theme="4" tint="0.79998168889431442"/>
      </dataBar>
      <extLst>
        <ext xmlns:x14="http://schemas.microsoft.com/office/spreadsheetml/2009/9/main" uri="{B025F937-C7B1-47D3-B67F-A62EFF666E3E}">
          <x14:id>{B0555151-217B-4BAA-A1BB-26476608C356}</x14:id>
        </ext>
      </extLst>
    </cfRule>
    <cfRule type="iconSet" priority="6707">
      <iconSet iconSet="3Arrows">
        <cfvo type="percent" val="0"/>
        <cfvo type="num" val="0.7"/>
        <cfvo type="num" val="1"/>
      </iconSet>
    </cfRule>
  </conditionalFormatting>
  <conditionalFormatting sqref="J2708 J2710">
    <cfRule type="dataBar" priority="6706">
      <dataBar>
        <cfvo type="num" val="0"/>
        <cfvo type="num" val="1"/>
        <color theme="4" tint="0.79998168889431442"/>
      </dataBar>
      <extLst>
        <ext xmlns:x14="http://schemas.microsoft.com/office/spreadsheetml/2009/9/main" uri="{B025F937-C7B1-47D3-B67F-A62EFF666E3E}">
          <x14:id>{8B640F70-0A47-46D5-9124-D27602BD9BDC}</x14:id>
        </ext>
      </extLst>
    </cfRule>
    <cfRule type="iconSet" priority="6705">
      <iconSet iconSet="3Arrows">
        <cfvo type="percent" val="0"/>
        <cfvo type="num" val="0.7"/>
        <cfvo type="num" val="1"/>
      </iconSet>
    </cfRule>
  </conditionalFormatting>
  <conditionalFormatting sqref="J2712 J2714">
    <cfRule type="dataBar" priority="6704">
      <dataBar>
        <cfvo type="num" val="0"/>
        <cfvo type="num" val="1"/>
        <color theme="4" tint="0.79998168889431442"/>
      </dataBar>
      <extLst>
        <ext xmlns:x14="http://schemas.microsoft.com/office/spreadsheetml/2009/9/main" uri="{B025F937-C7B1-47D3-B67F-A62EFF666E3E}">
          <x14:id>{F2A91D4D-D5C5-49BD-A516-92566D2BB3FC}</x14:id>
        </ext>
      </extLst>
    </cfRule>
    <cfRule type="iconSet" priority="6703">
      <iconSet iconSet="3Arrows">
        <cfvo type="percent" val="0"/>
        <cfvo type="num" val="0.7"/>
        <cfvo type="num" val="1"/>
      </iconSet>
    </cfRule>
  </conditionalFormatting>
  <conditionalFormatting sqref="J2716">
    <cfRule type="dataBar" priority="6702">
      <dataBar>
        <cfvo type="num" val="0"/>
        <cfvo type="num" val="1"/>
        <color theme="4" tint="0.79998168889431442"/>
      </dataBar>
      <extLst>
        <ext xmlns:x14="http://schemas.microsoft.com/office/spreadsheetml/2009/9/main" uri="{B025F937-C7B1-47D3-B67F-A62EFF666E3E}">
          <x14:id>{30933658-C989-450F-B208-294675C8DDD7}</x14:id>
        </ext>
      </extLst>
    </cfRule>
    <cfRule type="iconSet" priority="6701">
      <iconSet iconSet="3Arrows">
        <cfvo type="percent" val="0"/>
        <cfvo type="num" val="0.7"/>
        <cfvo type="num" val="1"/>
      </iconSet>
    </cfRule>
  </conditionalFormatting>
  <conditionalFormatting sqref="J2718 J2720">
    <cfRule type="dataBar" priority="6700">
      <dataBar>
        <cfvo type="num" val="0"/>
        <cfvo type="num" val="1"/>
        <color theme="4" tint="0.79998168889431442"/>
      </dataBar>
      <extLst>
        <ext xmlns:x14="http://schemas.microsoft.com/office/spreadsheetml/2009/9/main" uri="{B025F937-C7B1-47D3-B67F-A62EFF666E3E}">
          <x14:id>{F09A9F38-B6E5-424F-BAEB-68904DA30A89}</x14:id>
        </ext>
      </extLst>
    </cfRule>
    <cfRule type="iconSet" priority="6699">
      <iconSet iconSet="3Arrows">
        <cfvo type="percent" val="0"/>
        <cfvo type="num" val="0.7"/>
        <cfvo type="num" val="1"/>
      </iconSet>
    </cfRule>
  </conditionalFormatting>
  <conditionalFormatting sqref="J2722">
    <cfRule type="dataBar" priority="6698">
      <dataBar>
        <cfvo type="num" val="0"/>
        <cfvo type="num" val="1"/>
        <color theme="4" tint="0.79998168889431442"/>
      </dataBar>
      <extLst>
        <ext xmlns:x14="http://schemas.microsoft.com/office/spreadsheetml/2009/9/main" uri="{B025F937-C7B1-47D3-B67F-A62EFF666E3E}">
          <x14:id>{4BB8BD04-44A4-4F59-8677-32D5E8B2A668}</x14:id>
        </ext>
      </extLst>
    </cfRule>
    <cfRule type="iconSet" priority="6697">
      <iconSet iconSet="3Arrows">
        <cfvo type="percent" val="0"/>
        <cfvo type="num" val="0.7"/>
        <cfvo type="num" val="1"/>
      </iconSet>
    </cfRule>
  </conditionalFormatting>
  <conditionalFormatting sqref="J2724">
    <cfRule type="iconSet" priority="6695">
      <iconSet iconSet="3Arrows">
        <cfvo type="percent" val="0"/>
        <cfvo type="num" val="0.7"/>
        <cfvo type="num" val="1"/>
      </iconSet>
    </cfRule>
    <cfRule type="dataBar" priority="6696">
      <dataBar>
        <cfvo type="num" val="0"/>
        <cfvo type="num" val="1"/>
        <color theme="4" tint="0.79998168889431442"/>
      </dataBar>
      <extLst>
        <ext xmlns:x14="http://schemas.microsoft.com/office/spreadsheetml/2009/9/main" uri="{B025F937-C7B1-47D3-B67F-A62EFF666E3E}">
          <x14:id>{89D6911D-E4C5-411E-A803-42F79BF5980F}</x14:id>
        </ext>
      </extLst>
    </cfRule>
  </conditionalFormatting>
  <conditionalFormatting sqref="J2726 J2728">
    <cfRule type="dataBar" priority="6694">
      <dataBar>
        <cfvo type="num" val="0"/>
        <cfvo type="num" val="1"/>
        <color theme="4" tint="0.79998168889431442"/>
      </dataBar>
      <extLst>
        <ext xmlns:x14="http://schemas.microsoft.com/office/spreadsheetml/2009/9/main" uri="{B025F937-C7B1-47D3-B67F-A62EFF666E3E}">
          <x14:id>{4BF4C115-74A3-428B-9C3D-F5B76E188695}</x14:id>
        </ext>
      </extLst>
    </cfRule>
    <cfRule type="iconSet" priority="6693">
      <iconSet iconSet="3Arrows">
        <cfvo type="percent" val="0"/>
        <cfvo type="num" val="0.7"/>
        <cfvo type="num" val="1"/>
      </iconSet>
    </cfRule>
  </conditionalFormatting>
  <conditionalFormatting sqref="J2730 J2732">
    <cfRule type="dataBar" priority="6692">
      <dataBar>
        <cfvo type="num" val="0"/>
        <cfvo type="num" val="1"/>
        <color theme="4" tint="0.79998168889431442"/>
      </dataBar>
      <extLst>
        <ext xmlns:x14="http://schemas.microsoft.com/office/spreadsheetml/2009/9/main" uri="{B025F937-C7B1-47D3-B67F-A62EFF666E3E}">
          <x14:id>{7338CADC-7A3B-4D67-B376-101E30492E6A}</x14:id>
        </ext>
      </extLst>
    </cfRule>
    <cfRule type="iconSet" priority="6691">
      <iconSet iconSet="3Arrows">
        <cfvo type="percent" val="0"/>
        <cfvo type="num" val="0.7"/>
        <cfvo type="num" val="1"/>
      </iconSet>
    </cfRule>
  </conditionalFormatting>
  <conditionalFormatting sqref="J2734">
    <cfRule type="dataBar" priority="6690">
      <dataBar>
        <cfvo type="num" val="0"/>
        <cfvo type="num" val="1"/>
        <color theme="4" tint="0.79998168889431442"/>
      </dataBar>
      <extLst>
        <ext xmlns:x14="http://schemas.microsoft.com/office/spreadsheetml/2009/9/main" uri="{B025F937-C7B1-47D3-B67F-A62EFF666E3E}">
          <x14:id>{55DB3308-C55A-4095-A9B5-52F75DE4CA0F}</x14:id>
        </ext>
      </extLst>
    </cfRule>
    <cfRule type="iconSet" priority="6689">
      <iconSet iconSet="3Arrows">
        <cfvo type="percent" val="0"/>
        <cfvo type="num" val="0.7"/>
        <cfvo type="num" val="1"/>
      </iconSet>
    </cfRule>
  </conditionalFormatting>
  <conditionalFormatting sqref="J2738">
    <cfRule type="iconSet" priority="6687">
      <iconSet iconSet="3Arrows">
        <cfvo type="percent" val="0"/>
        <cfvo type="num" val="0.7"/>
        <cfvo type="num" val="1"/>
      </iconSet>
    </cfRule>
    <cfRule type="dataBar" priority="6688">
      <dataBar>
        <cfvo type="num" val="0"/>
        <cfvo type="num" val="1"/>
        <color theme="4" tint="0.79998168889431442"/>
      </dataBar>
      <extLst>
        <ext xmlns:x14="http://schemas.microsoft.com/office/spreadsheetml/2009/9/main" uri="{B025F937-C7B1-47D3-B67F-A62EFF666E3E}">
          <x14:id>{5F2328F0-9C0C-4DB9-934A-6C3587CF47E6}</x14:id>
        </ext>
      </extLst>
    </cfRule>
  </conditionalFormatting>
  <conditionalFormatting sqref="J2740 J2742">
    <cfRule type="dataBar" priority="6686">
      <dataBar>
        <cfvo type="num" val="0"/>
        <cfvo type="num" val="1"/>
        <color theme="4" tint="0.79998168889431442"/>
      </dataBar>
      <extLst>
        <ext xmlns:x14="http://schemas.microsoft.com/office/spreadsheetml/2009/9/main" uri="{B025F937-C7B1-47D3-B67F-A62EFF666E3E}">
          <x14:id>{4A10AB3D-AF70-455B-8F0A-6B467A2671E0}</x14:id>
        </ext>
      </extLst>
    </cfRule>
    <cfRule type="iconSet" priority="6685">
      <iconSet iconSet="3Arrows">
        <cfvo type="percent" val="0"/>
        <cfvo type="num" val="0.7"/>
        <cfvo type="num" val="1"/>
      </iconSet>
    </cfRule>
  </conditionalFormatting>
  <conditionalFormatting sqref="J2744 J2746">
    <cfRule type="dataBar" priority="6684">
      <dataBar>
        <cfvo type="num" val="0"/>
        <cfvo type="num" val="1"/>
        <color theme="4" tint="0.79998168889431442"/>
      </dataBar>
      <extLst>
        <ext xmlns:x14="http://schemas.microsoft.com/office/spreadsheetml/2009/9/main" uri="{B025F937-C7B1-47D3-B67F-A62EFF666E3E}">
          <x14:id>{83C93E20-14DE-4EF9-9866-A229AE64899A}</x14:id>
        </ext>
      </extLst>
    </cfRule>
    <cfRule type="iconSet" priority="6683">
      <iconSet iconSet="3Arrows">
        <cfvo type="percent" val="0"/>
        <cfvo type="num" val="0.7"/>
        <cfvo type="num" val="1"/>
      </iconSet>
    </cfRule>
  </conditionalFormatting>
  <conditionalFormatting sqref="J2748">
    <cfRule type="dataBar" priority="6682">
      <dataBar>
        <cfvo type="num" val="0"/>
        <cfvo type="num" val="1"/>
        <color theme="4" tint="0.79998168889431442"/>
      </dataBar>
      <extLst>
        <ext xmlns:x14="http://schemas.microsoft.com/office/spreadsheetml/2009/9/main" uri="{B025F937-C7B1-47D3-B67F-A62EFF666E3E}">
          <x14:id>{58E0E068-70F8-4F92-8391-1BB273398017}</x14:id>
        </ext>
      </extLst>
    </cfRule>
    <cfRule type="iconSet" priority="6681">
      <iconSet iconSet="3Arrows">
        <cfvo type="percent" val="0"/>
        <cfvo type="num" val="0.7"/>
        <cfvo type="num" val="1"/>
      </iconSet>
    </cfRule>
  </conditionalFormatting>
  <conditionalFormatting sqref="J2750 J2752">
    <cfRule type="iconSet" priority="6679">
      <iconSet iconSet="3Arrows">
        <cfvo type="percent" val="0"/>
        <cfvo type="num" val="0.7"/>
        <cfvo type="num" val="1"/>
      </iconSet>
    </cfRule>
    <cfRule type="dataBar" priority="6680">
      <dataBar>
        <cfvo type="num" val="0"/>
        <cfvo type="num" val="1"/>
        <color theme="4" tint="0.79998168889431442"/>
      </dataBar>
      <extLst>
        <ext xmlns:x14="http://schemas.microsoft.com/office/spreadsheetml/2009/9/main" uri="{B025F937-C7B1-47D3-B67F-A62EFF666E3E}">
          <x14:id>{074CF253-0B89-43E6-8F67-BB4661A956A2}</x14:id>
        </ext>
      </extLst>
    </cfRule>
  </conditionalFormatting>
  <conditionalFormatting sqref="J2754 J2756">
    <cfRule type="iconSet" priority="6677">
      <iconSet iconSet="3Arrows">
        <cfvo type="percent" val="0"/>
        <cfvo type="num" val="0.7"/>
        <cfvo type="num" val="1"/>
      </iconSet>
    </cfRule>
    <cfRule type="dataBar" priority="6678">
      <dataBar>
        <cfvo type="num" val="0"/>
        <cfvo type="num" val="1"/>
        <color theme="4" tint="0.79998168889431442"/>
      </dataBar>
      <extLst>
        <ext xmlns:x14="http://schemas.microsoft.com/office/spreadsheetml/2009/9/main" uri="{B025F937-C7B1-47D3-B67F-A62EFF666E3E}">
          <x14:id>{5BD98CA1-B06A-44FA-80BA-3D16F0FDD953}</x14:id>
        </ext>
      </extLst>
    </cfRule>
  </conditionalFormatting>
  <conditionalFormatting sqref="J2758">
    <cfRule type="dataBar" priority="6676">
      <dataBar>
        <cfvo type="num" val="0"/>
        <cfvo type="num" val="1"/>
        <color theme="4" tint="0.79998168889431442"/>
      </dataBar>
      <extLst>
        <ext xmlns:x14="http://schemas.microsoft.com/office/spreadsheetml/2009/9/main" uri="{B025F937-C7B1-47D3-B67F-A62EFF666E3E}">
          <x14:id>{4EB06E62-9385-4DEF-A382-CFC689893DF0}</x14:id>
        </ext>
      </extLst>
    </cfRule>
    <cfRule type="iconSet" priority="6675">
      <iconSet iconSet="3Arrows">
        <cfvo type="percent" val="0"/>
        <cfvo type="num" val="0.7"/>
        <cfvo type="num" val="1"/>
      </iconSet>
    </cfRule>
  </conditionalFormatting>
  <conditionalFormatting sqref="J2760">
    <cfRule type="dataBar" priority="6674">
      <dataBar>
        <cfvo type="num" val="0"/>
        <cfvo type="num" val="1"/>
        <color theme="4" tint="0.79998168889431442"/>
      </dataBar>
      <extLst>
        <ext xmlns:x14="http://schemas.microsoft.com/office/spreadsheetml/2009/9/main" uri="{B025F937-C7B1-47D3-B67F-A62EFF666E3E}">
          <x14:id>{E40CF49A-9F9D-4585-84D4-2081512752C6}</x14:id>
        </ext>
      </extLst>
    </cfRule>
    <cfRule type="iconSet" priority="6673">
      <iconSet iconSet="3Arrows">
        <cfvo type="percent" val="0"/>
        <cfvo type="num" val="0.7"/>
        <cfvo type="num" val="1"/>
      </iconSet>
    </cfRule>
  </conditionalFormatting>
  <conditionalFormatting sqref="J2764">
    <cfRule type="dataBar" priority="6672">
      <dataBar>
        <cfvo type="num" val="0"/>
        <cfvo type="num" val="1"/>
        <color theme="4" tint="0.79998168889431442"/>
      </dataBar>
      <extLst>
        <ext xmlns:x14="http://schemas.microsoft.com/office/spreadsheetml/2009/9/main" uri="{B025F937-C7B1-47D3-B67F-A62EFF666E3E}">
          <x14:id>{69E72EDB-FD9B-4360-80AB-C80FAC3B4258}</x14:id>
        </ext>
      </extLst>
    </cfRule>
    <cfRule type="iconSet" priority="6671">
      <iconSet iconSet="3Arrows">
        <cfvo type="percent" val="0"/>
        <cfvo type="num" val="0.7"/>
        <cfvo type="num" val="1"/>
      </iconSet>
    </cfRule>
  </conditionalFormatting>
  <conditionalFormatting sqref="J2766 J2768 J2770">
    <cfRule type="dataBar" priority="6670">
      <dataBar>
        <cfvo type="num" val="0"/>
        <cfvo type="num" val="1"/>
        <color theme="4" tint="0.79998168889431442"/>
      </dataBar>
      <extLst>
        <ext xmlns:x14="http://schemas.microsoft.com/office/spreadsheetml/2009/9/main" uri="{B025F937-C7B1-47D3-B67F-A62EFF666E3E}">
          <x14:id>{93D7B870-C726-4F7C-8B1D-FC4FCBEDC1F7}</x14:id>
        </ext>
      </extLst>
    </cfRule>
    <cfRule type="iconSet" priority="6669">
      <iconSet iconSet="3Arrows">
        <cfvo type="percent" val="0"/>
        <cfvo type="num" val="0.7"/>
        <cfvo type="num" val="1"/>
      </iconSet>
    </cfRule>
  </conditionalFormatting>
  <conditionalFormatting sqref="J2772 J2774 J2776">
    <cfRule type="dataBar" priority="6668">
      <dataBar>
        <cfvo type="num" val="0"/>
        <cfvo type="num" val="1"/>
        <color theme="4" tint="0.79998168889431442"/>
      </dataBar>
      <extLst>
        <ext xmlns:x14="http://schemas.microsoft.com/office/spreadsheetml/2009/9/main" uri="{B025F937-C7B1-47D3-B67F-A62EFF666E3E}">
          <x14:id>{6DD29EA1-9C79-4826-BF6D-1753A04BEDED}</x14:id>
        </ext>
      </extLst>
    </cfRule>
    <cfRule type="iconSet" priority="6667">
      <iconSet iconSet="3Arrows">
        <cfvo type="percent" val="0"/>
        <cfvo type="num" val="0.7"/>
        <cfvo type="num" val="1"/>
      </iconSet>
    </cfRule>
  </conditionalFormatting>
  <conditionalFormatting sqref="J2778 J2780 J2782">
    <cfRule type="dataBar" priority="6666">
      <dataBar>
        <cfvo type="num" val="0"/>
        <cfvo type="num" val="1"/>
        <color theme="4" tint="0.79998168889431442"/>
      </dataBar>
      <extLst>
        <ext xmlns:x14="http://schemas.microsoft.com/office/spreadsheetml/2009/9/main" uri="{B025F937-C7B1-47D3-B67F-A62EFF666E3E}">
          <x14:id>{B15F67EF-4EC6-4687-A1DB-5A259EB3BBB9}</x14:id>
        </ext>
      </extLst>
    </cfRule>
    <cfRule type="iconSet" priority="6665">
      <iconSet iconSet="3Arrows">
        <cfvo type="percent" val="0"/>
        <cfvo type="num" val="0.7"/>
        <cfvo type="num" val="1"/>
      </iconSet>
    </cfRule>
  </conditionalFormatting>
  <conditionalFormatting sqref="J2784 J2786 J2788">
    <cfRule type="dataBar" priority="6664">
      <dataBar>
        <cfvo type="num" val="0"/>
        <cfvo type="num" val="1"/>
        <color theme="4" tint="0.79998168889431442"/>
      </dataBar>
      <extLst>
        <ext xmlns:x14="http://schemas.microsoft.com/office/spreadsheetml/2009/9/main" uri="{B025F937-C7B1-47D3-B67F-A62EFF666E3E}">
          <x14:id>{600BB6A9-D494-4FD3-B0C4-7D3475EEAC8F}</x14:id>
        </ext>
      </extLst>
    </cfRule>
    <cfRule type="iconSet" priority="6663">
      <iconSet iconSet="3Arrows">
        <cfvo type="percent" val="0"/>
        <cfvo type="num" val="0.7"/>
        <cfvo type="num" val="1"/>
      </iconSet>
    </cfRule>
  </conditionalFormatting>
  <conditionalFormatting sqref="J2792 J2790 J2794">
    <cfRule type="dataBar" priority="6662">
      <dataBar>
        <cfvo type="num" val="0"/>
        <cfvo type="num" val="1"/>
        <color theme="4" tint="0.79998168889431442"/>
      </dataBar>
      <extLst>
        <ext xmlns:x14="http://schemas.microsoft.com/office/spreadsheetml/2009/9/main" uri="{B025F937-C7B1-47D3-B67F-A62EFF666E3E}">
          <x14:id>{EB0500CE-B391-491E-B566-7482EF0C1BCC}</x14:id>
        </ext>
      </extLst>
    </cfRule>
    <cfRule type="iconSet" priority="6661">
      <iconSet iconSet="3Arrows">
        <cfvo type="percent" val="0"/>
        <cfvo type="num" val="0.7"/>
        <cfvo type="num" val="1"/>
      </iconSet>
    </cfRule>
  </conditionalFormatting>
  <conditionalFormatting sqref="J2796 J2798 J2800">
    <cfRule type="dataBar" priority="6660">
      <dataBar>
        <cfvo type="num" val="0"/>
        <cfvo type="num" val="1"/>
        <color theme="4" tint="0.79998168889431442"/>
      </dataBar>
      <extLst>
        <ext xmlns:x14="http://schemas.microsoft.com/office/spreadsheetml/2009/9/main" uri="{B025F937-C7B1-47D3-B67F-A62EFF666E3E}">
          <x14:id>{B1202324-DE30-41DE-B827-8C394F1E3E18}</x14:id>
        </ext>
      </extLst>
    </cfRule>
    <cfRule type="iconSet" priority="6659">
      <iconSet iconSet="3Arrows">
        <cfvo type="percent" val="0"/>
        <cfvo type="num" val="0.7"/>
        <cfvo type="num" val="1"/>
      </iconSet>
    </cfRule>
  </conditionalFormatting>
  <conditionalFormatting sqref="J2804 J2802 J2806">
    <cfRule type="dataBar" priority="6658">
      <dataBar>
        <cfvo type="num" val="0"/>
        <cfvo type="num" val="1"/>
        <color theme="4" tint="0.79998168889431442"/>
      </dataBar>
      <extLst>
        <ext xmlns:x14="http://schemas.microsoft.com/office/spreadsheetml/2009/9/main" uri="{B025F937-C7B1-47D3-B67F-A62EFF666E3E}">
          <x14:id>{E460E9CC-CADA-4416-B42C-1CA6656DD97B}</x14:id>
        </ext>
      </extLst>
    </cfRule>
    <cfRule type="iconSet" priority="6657">
      <iconSet iconSet="3Arrows">
        <cfvo type="percent" val="0"/>
        <cfvo type="num" val="0.7"/>
        <cfvo type="num" val="1"/>
      </iconSet>
    </cfRule>
  </conditionalFormatting>
  <conditionalFormatting sqref="J2810 J2822 J2808">
    <cfRule type="dataBar" priority="6656">
      <dataBar>
        <cfvo type="num" val="0"/>
        <cfvo type="num" val="1"/>
        <color theme="4" tint="0.79998168889431442"/>
      </dataBar>
      <extLst>
        <ext xmlns:x14="http://schemas.microsoft.com/office/spreadsheetml/2009/9/main" uri="{B025F937-C7B1-47D3-B67F-A62EFF666E3E}">
          <x14:id>{53D2A07D-D9F5-40E7-A46D-DEAA893BC057}</x14:id>
        </ext>
      </extLst>
    </cfRule>
    <cfRule type="iconSet" priority="6655">
      <iconSet iconSet="3Arrows">
        <cfvo type="percent" val="0"/>
        <cfvo type="num" val="0.7"/>
        <cfvo type="num" val="1"/>
      </iconSet>
    </cfRule>
  </conditionalFormatting>
  <conditionalFormatting sqref="J2814">
    <cfRule type="dataBar" priority="6654">
      <dataBar>
        <cfvo type="num" val="0"/>
        <cfvo type="num" val="1"/>
        <color theme="4" tint="0.79998168889431442"/>
      </dataBar>
      <extLst>
        <ext xmlns:x14="http://schemas.microsoft.com/office/spreadsheetml/2009/9/main" uri="{B025F937-C7B1-47D3-B67F-A62EFF666E3E}">
          <x14:id>{4EC8A7DB-3B59-4544-AB34-40E2B3DFB4D9}</x14:id>
        </ext>
      </extLst>
    </cfRule>
    <cfRule type="iconSet" priority="6653">
      <iconSet iconSet="3Arrows">
        <cfvo type="percent" val="0"/>
        <cfvo type="num" val="0.7"/>
        <cfvo type="num" val="1"/>
      </iconSet>
    </cfRule>
  </conditionalFormatting>
  <conditionalFormatting sqref="J2816 J2818 J2820">
    <cfRule type="dataBar" priority="6652">
      <dataBar>
        <cfvo type="num" val="0"/>
        <cfvo type="num" val="1"/>
        <color theme="4" tint="0.79998168889431442"/>
      </dataBar>
      <extLst>
        <ext xmlns:x14="http://schemas.microsoft.com/office/spreadsheetml/2009/9/main" uri="{B025F937-C7B1-47D3-B67F-A62EFF666E3E}">
          <x14:id>{C7A629AA-8D93-4458-BAC7-62993F411FDF}</x14:id>
        </ext>
      </extLst>
    </cfRule>
    <cfRule type="iconSet" priority="6651">
      <iconSet iconSet="3Arrows">
        <cfvo type="percent" val="0"/>
        <cfvo type="num" val="0.7"/>
        <cfvo type="num" val="1"/>
      </iconSet>
    </cfRule>
  </conditionalFormatting>
  <conditionalFormatting sqref="J2824 J2826 J2828">
    <cfRule type="dataBar" priority="6650">
      <dataBar>
        <cfvo type="num" val="0"/>
        <cfvo type="num" val="1"/>
        <color theme="4" tint="0.79998168889431442"/>
      </dataBar>
      <extLst>
        <ext xmlns:x14="http://schemas.microsoft.com/office/spreadsheetml/2009/9/main" uri="{B025F937-C7B1-47D3-B67F-A62EFF666E3E}">
          <x14:id>{7E2555DC-DFFE-4D2F-B411-4F8EA5826294}</x14:id>
        </ext>
      </extLst>
    </cfRule>
    <cfRule type="iconSet" priority="6649">
      <iconSet iconSet="3Arrows">
        <cfvo type="percent" val="0"/>
        <cfvo type="num" val="0.7"/>
        <cfvo type="num" val="1"/>
      </iconSet>
    </cfRule>
  </conditionalFormatting>
  <conditionalFormatting sqref="J2830 J2832 J2834">
    <cfRule type="iconSet" priority="6647">
      <iconSet iconSet="3Arrows">
        <cfvo type="percent" val="0"/>
        <cfvo type="num" val="0.7"/>
        <cfvo type="num" val="1"/>
      </iconSet>
    </cfRule>
    <cfRule type="dataBar" priority="6648">
      <dataBar>
        <cfvo type="num" val="0"/>
        <cfvo type="num" val="1"/>
        <color theme="4" tint="0.79998168889431442"/>
      </dataBar>
      <extLst>
        <ext xmlns:x14="http://schemas.microsoft.com/office/spreadsheetml/2009/9/main" uri="{B025F937-C7B1-47D3-B67F-A62EFF666E3E}">
          <x14:id>{D6AFC241-5A4B-4E34-BA57-7687FEB30A9D}</x14:id>
        </ext>
      </extLst>
    </cfRule>
  </conditionalFormatting>
  <conditionalFormatting sqref="J2836 J2838 J2840">
    <cfRule type="iconSet" priority="6645">
      <iconSet iconSet="3Arrows">
        <cfvo type="percent" val="0"/>
        <cfvo type="num" val="0.7"/>
        <cfvo type="num" val="1"/>
      </iconSet>
    </cfRule>
    <cfRule type="dataBar" priority="6646">
      <dataBar>
        <cfvo type="num" val="0"/>
        <cfvo type="num" val="1"/>
        <color theme="4" tint="0.79998168889431442"/>
      </dataBar>
      <extLst>
        <ext xmlns:x14="http://schemas.microsoft.com/office/spreadsheetml/2009/9/main" uri="{B025F937-C7B1-47D3-B67F-A62EFF666E3E}">
          <x14:id>{43883CAD-077C-41CE-AB30-B63F495E81E4}</x14:id>
        </ext>
      </extLst>
    </cfRule>
  </conditionalFormatting>
  <conditionalFormatting sqref="J2842 J2844 J2846">
    <cfRule type="iconSet" priority="6643">
      <iconSet iconSet="3Arrows">
        <cfvo type="percent" val="0"/>
        <cfvo type="num" val="0.7"/>
        <cfvo type="num" val="1"/>
      </iconSet>
    </cfRule>
    <cfRule type="dataBar" priority="6644">
      <dataBar>
        <cfvo type="num" val="0"/>
        <cfvo type="num" val="1"/>
        <color theme="4" tint="0.79998168889431442"/>
      </dataBar>
      <extLst>
        <ext xmlns:x14="http://schemas.microsoft.com/office/spreadsheetml/2009/9/main" uri="{B025F937-C7B1-47D3-B67F-A62EFF666E3E}">
          <x14:id>{C337D552-B27F-43A8-9399-BFF9AD06B082}</x14:id>
        </ext>
      </extLst>
    </cfRule>
  </conditionalFormatting>
  <conditionalFormatting sqref="J2848">
    <cfRule type="dataBar" priority="6642">
      <dataBar>
        <cfvo type="num" val="0"/>
        <cfvo type="num" val="1"/>
        <color theme="4" tint="0.79998168889431442"/>
      </dataBar>
      <extLst>
        <ext xmlns:x14="http://schemas.microsoft.com/office/spreadsheetml/2009/9/main" uri="{B025F937-C7B1-47D3-B67F-A62EFF666E3E}">
          <x14:id>{54B7D193-5F85-409A-A078-EC142C2C82AA}</x14:id>
        </ext>
      </extLst>
    </cfRule>
    <cfRule type="iconSet" priority="6641">
      <iconSet iconSet="3Arrows">
        <cfvo type="percent" val="0"/>
        <cfvo type="num" val="0.7"/>
        <cfvo type="num" val="1"/>
      </iconSet>
    </cfRule>
  </conditionalFormatting>
  <conditionalFormatting sqref="J2852">
    <cfRule type="dataBar" priority="6640">
      <dataBar>
        <cfvo type="num" val="0"/>
        <cfvo type="num" val="1"/>
        <color theme="4" tint="0.79998168889431442"/>
      </dataBar>
      <extLst>
        <ext xmlns:x14="http://schemas.microsoft.com/office/spreadsheetml/2009/9/main" uri="{B025F937-C7B1-47D3-B67F-A62EFF666E3E}">
          <x14:id>{98AEB840-3A20-46B8-8A1F-89F9725B9E9A}</x14:id>
        </ext>
      </extLst>
    </cfRule>
    <cfRule type="iconSet" priority="6639">
      <iconSet iconSet="3Arrows">
        <cfvo type="percent" val="0"/>
        <cfvo type="num" val="0.7"/>
        <cfvo type="num" val="1"/>
      </iconSet>
    </cfRule>
  </conditionalFormatting>
  <conditionalFormatting sqref="J2856">
    <cfRule type="dataBar" priority="6638">
      <dataBar>
        <cfvo type="num" val="0"/>
        <cfvo type="num" val="1"/>
        <color theme="4" tint="0.79998168889431442"/>
      </dataBar>
      <extLst>
        <ext xmlns:x14="http://schemas.microsoft.com/office/spreadsheetml/2009/9/main" uri="{B025F937-C7B1-47D3-B67F-A62EFF666E3E}">
          <x14:id>{8DE61673-03F0-463B-90A6-FB12BAA18576}</x14:id>
        </ext>
      </extLst>
    </cfRule>
    <cfRule type="iconSet" priority="6637">
      <iconSet iconSet="3Arrows">
        <cfvo type="percent" val="0"/>
        <cfvo type="num" val="0.7"/>
        <cfvo type="num" val="1"/>
      </iconSet>
    </cfRule>
  </conditionalFormatting>
  <conditionalFormatting sqref="J2858">
    <cfRule type="dataBar" priority="6636">
      <dataBar>
        <cfvo type="num" val="0"/>
        <cfvo type="num" val="1"/>
        <color theme="4" tint="0.79998168889431442"/>
      </dataBar>
      <extLst>
        <ext xmlns:x14="http://schemas.microsoft.com/office/spreadsheetml/2009/9/main" uri="{B025F937-C7B1-47D3-B67F-A62EFF666E3E}">
          <x14:id>{E6C3515C-21DF-4E9C-B9C8-BAAB2F341B42}</x14:id>
        </ext>
      </extLst>
    </cfRule>
    <cfRule type="iconSet" priority="6635">
      <iconSet iconSet="3Arrows">
        <cfvo type="percent" val="0"/>
        <cfvo type="num" val="0.7"/>
        <cfvo type="num" val="1"/>
      </iconSet>
    </cfRule>
  </conditionalFormatting>
  <conditionalFormatting sqref="J2860">
    <cfRule type="dataBar" priority="6634">
      <dataBar>
        <cfvo type="num" val="0"/>
        <cfvo type="num" val="1"/>
        <color theme="4" tint="0.79998168889431442"/>
      </dataBar>
      <extLst>
        <ext xmlns:x14="http://schemas.microsoft.com/office/spreadsheetml/2009/9/main" uri="{B025F937-C7B1-47D3-B67F-A62EFF666E3E}">
          <x14:id>{F3B45744-6E40-4905-978F-2DCCFEFBA732}</x14:id>
        </ext>
      </extLst>
    </cfRule>
    <cfRule type="iconSet" priority="6633">
      <iconSet iconSet="3Arrows">
        <cfvo type="percent" val="0"/>
        <cfvo type="num" val="0.7"/>
        <cfvo type="num" val="1"/>
      </iconSet>
    </cfRule>
  </conditionalFormatting>
  <conditionalFormatting sqref="J2862">
    <cfRule type="iconSet" priority="6631">
      <iconSet iconSet="3Arrows">
        <cfvo type="percent" val="0"/>
        <cfvo type="num" val="0.7"/>
        <cfvo type="num" val="1"/>
      </iconSet>
    </cfRule>
    <cfRule type="dataBar" priority="6632">
      <dataBar>
        <cfvo type="num" val="0"/>
        <cfvo type="num" val="1"/>
        <color theme="4" tint="0.79998168889431442"/>
      </dataBar>
      <extLst>
        <ext xmlns:x14="http://schemas.microsoft.com/office/spreadsheetml/2009/9/main" uri="{B025F937-C7B1-47D3-B67F-A62EFF666E3E}">
          <x14:id>{7888AA51-964B-48F9-ACF9-41D89F2EC305}</x14:id>
        </ext>
      </extLst>
    </cfRule>
  </conditionalFormatting>
  <conditionalFormatting sqref="J2864">
    <cfRule type="iconSet" priority="6629">
      <iconSet iconSet="3Arrows">
        <cfvo type="percent" val="0"/>
        <cfvo type="num" val="0.7"/>
        <cfvo type="num" val="1"/>
      </iconSet>
    </cfRule>
    <cfRule type="dataBar" priority="6630">
      <dataBar>
        <cfvo type="num" val="0"/>
        <cfvo type="num" val="1"/>
        <color theme="4" tint="0.79998168889431442"/>
      </dataBar>
      <extLst>
        <ext xmlns:x14="http://schemas.microsoft.com/office/spreadsheetml/2009/9/main" uri="{B025F937-C7B1-47D3-B67F-A62EFF666E3E}">
          <x14:id>{35D49590-FB04-491C-87B5-D777803B74B6}</x14:id>
        </ext>
      </extLst>
    </cfRule>
  </conditionalFormatting>
  <conditionalFormatting sqref="J2866">
    <cfRule type="dataBar" priority="6628">
      <dataBar>
        <cfvo type="num" val="0"/>
        <cfvo type="num" val="1"/>
        <color theme="4" tint="0.79998168889431442"/>
      </dataBar>
      <extLst>
        <ext xmlns:x14="http://schemas.microsoft.com/office/spreadsheetml/2009/9/main" uri="{B025F937-C7B1-47D3-B67F-A62EFF666E3E}">
          <x14:id>{65B69281-E665-41E8-85BB-C40899F692B3}</x14:id>
        </ext>
      </extLst>
    </cfRule>
    <cfRule type="iconSet" priority="6627">
      <iconSet iconSet="3Arrows">
        <cfvo type="percent" val="0"/>
        <cfvo type="num" val="0.7"/>
        <cfvo type="num" val="1"/>
      </iconSet>
    </cfRule>
  </conditionalFormatting>
  <conditionalFormatting sqref="J2868">
    <cfRule type="dataBar" priority="6626">
      <dataBar>
        <cfvo type="num" val="0"/>
        <cfvo type="num" val="1"/>
        <color theme="4" tint="0.79998168889431442"/>
      </dataBar>
      <extLst>
        <ext xmlns:x14="http://schemas.microsoft.com/office/spreadsheetml/2009/9/main" uri="{B025F937-C7B1-47D3-B67F-A62EFF666E3E}">
          <x14:id>{0D23D7B3-0048-463F-9102-A6CEA412C789}</x14:id>
        </ext>
      </extLst>
    </cfRule>
    <cfRule type="iconSet" priority="6625">
      <iconSet iconSet="3Arrows">
        <cfvo type="percent" val="0"/>
        <cfvo type="num" val="0.7"/>
        <cfvo type="num" val="1"/>
      </iconSet>
    </cfRule>
  </conditionalFormatting>
  <conditionalFormatting sqref="J2870">
    <cfRule type="dataBar" priority="6624">
      <dataBar>
        <cfvo type="num" val="0"/>
        <cfvo type="num" val="1"/>
        <color theme="4" tint="0.79998168889431442"/>
      </dataBar>
      <extLst>
        <ext xmlns:x14="http://schemas.microsoft.com/office/spreadsheetml/2009/9/main" uri="{B025F937-C7B1-47D3-B67F-A62EFF666E3E}">
          <x14:id>{850E5969-E827-4A8F-B3A0-291119D9EC67}</x14:id>
        </ext>
      </extLst>
    </cfRule>
    <cfRule type="iconSet" priority="6623">
      <iconSet iconSet="3Arrows">
        <cfvo type="percent" val="0"/>
        <cfvo type="num" val="0.7"/>
        <cfvo type="num" val="1"/>
      </iconSet>
    </cfRule>
  </conditionalFormatting>
  <conditionalFormatting sqref="J2872">
    <cfRule type="dataBar" priority="6622">
      <dataBar>
        <cfvo type="num" val="0"/>
        <cfvo type="num" val="1"/>
        <color theme="4" tint="0.79998168889431442"/>
      </dataBar>
      <extLst>
        <ext xmlns:x14="http://schemas.microsoft.com/office/spreadsheetml/2009/9/main" uri="{B025F937-C7B1-47D3-B67F-A62EFF666E3E}">
          <x14:id>{983D5054-7AF8-482F-8030-F99518E06706}</x14:id>
        </ext>
      </extLst>
    </cfRule>
    <cfRule type="iconSet" priority="6621">
      <iconSet iconSet="3Arrows">
        <cfvo type="percent" val="0"/>
        <cfvo type="num" val="0.7"/>
        <cfvo type="num" val="1"/>
      </iconSet>
    </cfRule>
  </conditionalFormatting>
  <conditionalFormatting sqref="J2874">
    <cfRule type="dataBar" priority="6620">
      <dataBar>
        <cfvo type="num" val="0"/>
        <cfvo type="num" val="1"/>
        <color theme="4" tint="0.79998168889431442"/>
      </dataBar>
      <extLst>
        <ext xmlns:x14="http://schemas.microsoft.com/office/spreadsheetml/2009/9/main" uri="{B025F937-C7B1-47D3-B67F-A62EFF666E3E}">
          <x14:id>{4C03982D-7EC6-4A38-819D-116DA23B8C17}</x14:id>
        </ext>
      </extLst>
    </cfRule>
    <cfRule type="iconSet" priority="6619">
      <iconSet iconSet="3Arrows">
        <cfvo type="percent" val="0"/>
        <cfvo type="num" val="0.7"/>
        <cfvo type="num" val="1"/>
      </iconSet>
    </cfRule>
  </conditionalFormatting>
  <conditionalFormatting sqref="J2876">
    <cfRule type="dataBar" priority="6618">
      <dataBar>
        <cfvo type="num" val="0"/>
        <cfvo type="num" val="1"/>
        <color theme="4" tint="0.79998168889431442"/>
      </dataBar>
      <extLst>
        <ext xmlns:x14="http://schemas.microsoft.com/office/spreadsheetml/2009/9/main" uri="{B025F937-C7B1-47D3-B67F-A62EFF666E3E}">
          <x14:id>{FCAD3000-39A9-481B-8627-AB9A4AAFEC9E}</x14:id>
        </ext>
      </extLst>
    </cfRule>
    <cfRule type="iconSet" priority="6617">
      <iconSet iconSet="3Arrows">
        <cfvo type="percent" val="0"/>
        <cfvo type="num" val="0.7"/>
        <cfvo type="num" val="1"/>
      </iconSet>
    </cfRule>
  </conditionalFormatting>
  <conditionalFormatting sqref="J2878">
    <cfRule type="iconSet" priority="6615">
      <iconSet iconSet="3Arrows">
        <cfvo type="percent" val="0"/>
        <cfvo type="num" val="0.7"/>
        <cfvo type="num" val="1"/>
      </iconSet>
    </cfRule>
    <cfRule type="dataBar" priority="6616">
      <dataBar>
        <cfvo type="num" val="0"/>
        <cfvo type="num" val="1"/>
        <color theme="4" tint="0.79998168889431442"/>
      </dataBar>
      <extLst>
        <ext xmlns:x14="http://schemas.microsoft.com/office/spreadsheetml/2009/9/main" uri="{B025F937-C7B1-47D3-B67F-A62EFF666E3E}">
          <x14:id>{9346DDC0-07FA-4219-8CDB-4AD6E390BB76}</x14:id>
        </ext>
      </extLst>
    </cfRule>
  </conditionalFormatting>
  <conditionalFormatting sqref="J2880">
    <cfRule type="iconSet" priority="6613">
      <iconSet iconSet="3Arrows">
        <cfvo type="percent" val="0"/>
        <cfvo type="num" val="0.7"/>
        <cfvo type="num" val="1"/>
      </iconSet>
    </cfRule>
    <cfRule type="dataBar" priority="6614">
      <dataBar>
        <cfvo type="num" val="0"/>
        <cfvo type="num" val="1"/>
        <color theme="4" tint="0.79998168889431442"/>
      </dataBar>
      <extLst>
        <ext xmlns:x14="http://schemas.microsoft.com/office/spreadsheetml/2009/9/main" uri="{B025F937-C7B1-47D3-B67F-A62EFF666E3E}">
          <x14:id>{5D6577DF-3EAF-4CE9-A438-F3F34D566C23}</x14:id>
        </ext>
      </extLst>
    </cfRule>
  </conditionalFormatting>
  <conditionalFormatting sqref="J2882">
    <cfRule type="dataBar" priority="6612">
      <dataBar>
        <cfvo type="num" val="0"/>
        <cfvo type="num" val="1"/>
        <color theme="4" tint="0.79998168889431442"/>
      </dataBar>
      <extLst>
        <ext xmlns:x14="http://schemas.microsoft.com/office/spreadsheetml/2009/9/main" uri="{B025F937-C7B1-47D3-B67F-A62EFF666E3E}">
          <x14:id>{658C6D4C-AE8F-4D8D-8193-B4437315D494}</x14:id>
        </ext>
      </extLst>
    </cfRule>
    <cfRule type="iconSet" priority="6611">
      <iconSet iconSet="3Arrows">
        <cfvo type="percent" val="0"/>
        <cfvo type="num" val="0.7"/>
        <cfvo type="num" val="1"/>
      </iconSet>
    </cfRule>
  </conditionalFormatting>
  <conditionalFormatting sqref="J2884">
    <cfRule type="dataBar" priority="6610">
      <dataBar>
        <cfvo type="num" val="0"/>
        <cfvo type="num" val="1"/>
        <color theme="4" tint="0.79998168889431442"/>
      </dataBar>
      <extLst>
        <ext xmlns:x14="http://schemas.microsoft.com/office/spreadsheetml/2009/9/main" uri="{B025F937-C7B1-47D3-B67F-A62EFF666E3E}">
          <x14:id>{834CD4EC-8896-456F-824A-B34C9CDC5973}</x14:id>
        </ext>
      </extLst>
    </cfRule>
    <cfRule type="iconSet" priority="6609">
      <iconSet iconSet="3Arrows">
        <cfvo type="percent" val="0"/>
        <cfvo type="num" val="0.7"/>
        <cfvo type="num" val="1"/>
      </iconSet>
    </cfRule>
  </conditionalFormatting>
  <conditionalFormatting sqref="J2886">
    <cfRule type="dataBar" priority="6608">
      <dataBar>
        <cfvo type="num" val="0"/>
        <cfvo type="num" val="1"/>
        <color theme="4" tint="0.79998168889431442"/>
      </dataBar>
      <extLst>
        <ext xmlns:x14="http://schemas.microsoft.com/office/spreadsheetml/2009/9/main" uri="{B025F937-C7B1-47D3-B67F-A62EFF666E3E}">
          <x14:id>{1D1AEBEC-457E-4831-9ED7-661C46091960}</x14:id>
        </ext>
      </extLst>
    </cfRule>
    <cfRule type="iconSet" priority="6607">
      <iconSet iconSet="3Arrows">
        <cfvo type="percent" val="0"/>
        <cfvo type="num" val="0.7"/>
        <cfvo type="num" val="1"/>
      </iconSet>
    </cfRule>
  </conditionalFormatting>
  <conditionalFormatting sqref="J2888">
    <cfRule type="dataBar" priority="6606">
      <dataBar>
        <cfvo type="num" val="0"/>
        <cfvo type="num" val="1"/>
        <color theme="4" tint="0.79998168889431442"/>
      </dataBar>
      <extLst>
        <ext xmlns:x14="http://schemas.microsoft.com/office/spreadsheetml/2009/9/main" uri="{B025F937-C7B1-47D3-B67F-A62EFF666E3E}">
          <x14:id>{8DEE81ED-8205-444F-924F-43C61BF33FA6}</x14:id>
        </ext>
      </extLst>
    </cfRule>
    <cfRule type="iconSet" priority="6605">
      <iconSet iconSet="3Arrows">
        <cfvo type="percent" val="0"/>
        <cfvo type="num" val="0.7"/>
        <cfvo type="num" val="1"/>
      </iconSet>
    </cfRule>
  </conditionalFormatting>
  <conditionalFormatting sqref="J2890">
    <cfRule type="dataBar" priority="6604">
      <dataBar>
        <cfvo type="num" val="0"/>
        <cfvo type="num" val="1"/>
        <color theme="4" tint="0.79998168889431442"/>
      </dataBar>
      <extLst>
        <ext xmlns:x14="http://schemas.microsoft.com/office/spreadsheetml/2009/9/main" uri="{B025F937-C7B1-47D3-B67F-A62EFF666E3E}">
          <x14:id>{31A16864-26BD-4D01-B116-A7D025146570}</x14:id>
        </ext>
      </extLst>
    </cfRule>
    <cfRule type="iconSet" priority="6603">
      <iconSet iconSet="3Arrows">
        <cfvo type="percent" val="0"/>
        <cfvo type="num" val="0.7"/>
        <cfvo type="num" val="1"/>
      </iconSet>
    </cfRule>
  </conditionalFormatting>
  <conditionalFormatting sqref="J2892">
    <cfRule type="dataBar" priority="6602">
      <dataBar>
        <cfvo type="num" val="0"/>
        <cfvo type="num" val="1"/>
        <color theme="4" tint="0.79998168889431442"/>
      </dataBar>
      <extLst>
        <ext xmlns:x14="http://schemas.microsoft.com/office/spreadsheetml/2009/9/main" uri="{B025F937-C7B1-47D3-B67F-A62EFF666E3E}">
          <x14:id>{24F0BA8A-594A-4585-A6E2-9B0BD366EE52}</x14:id>
        </ext>
      </extLst>
    </cfRule>
    <cfRule type="iconSet" priority="6601">
      <iconSet iconSet="3Arrows">
        <cfvo type="percent" val="0"/>
        <cfvo type="num" val="0.7"/>
        <cfvo type="num" val="1"/>
      </iconSet>
    </cfRule>
  </conditionalFormatting>
  <conditionalFormatting sqref="J2894">
    <cfRule type="dataBar" priority="6600">
      <dataBar>
        <cfvo type="num" val="0"/>
        <cfvo type="num" val="1"/>
        <color theme="4" tint="0.79998168889431442"/>
      </dataBar>
      <extLst>
        <ext xmlns:x14="http://schemas.microsoft.com/office/spreadsheetml/2009/9/main" uri="{B025F937-C7B1-47D3-B67F-A62EFF666E3E}">
          <x14:id>{A120D7F7-1DA0-494B-A368-4B53FD5383A4}</x14:id>
        </ext>
      </extLst>
    </cfRule>
    <cfRule type="iconSet" priority="6599">
      <iconSet iconSet="3Arrows">
        <cfvo type="percent" val="0"/>
        <cfvo type="num" val="0.7"/>
        <cfvo type="num" val="1"/>
      </iconSet>
    </cfRule>
  </conditionalFormatting>
  <conditionalFormatting sqref="J2896">
    <cfRule type="dataBar" priority="6598">
      <dataBar>
        <cfvo type="num" val="0"/>
        <cfvo type="num" val="1"/>
        <color theme="4" tint="0.79998168889431442"/>
      </dataBar>
      <extLst>
        <ext xmlns:x14="http://schemas.microsoft.com/office/spreadsheetml/2009/9/main" uri="{B025F937-C7B1-47D3-B67F-A62EFF666E3E}">
          <x14:id>{E3029832-CEC4-4FFB-A93D-FB782049F4F6}</x14:id>
        </ext>
      </extLst>
    </cfRule>
    <cfRule type="iconSet" priority="6597">
      <iconSet iconSet="3Arrows">
        <cfvo type="percent" val="0"/>
        <cfvo type="num" val="0.7"/>
        <cfvo type="num" val="1"/>
      </iconSet>
    </cfRule>
  </conditionalFormatting>
  <conditionalFormatting sqref="J2898">
    <cfRule type="dataBar" priority="6596">
      <dataBar>
        <cfvo type="num" val="0"/>
        <cfvo type="num" val="1"/>
        <color theme="4" tint="0.79998168889431442"/>
      </dataBar>
      <extLst>
        <ext xmlns:x14="http://schemas.microsoft.com/office/spreadsheetml/2009/9/main" uri="{B025F937-C7B1-47D3-B67F-A62EFF666E3E}">
          <x14:id>{E21AB61C-9280-4167-973E-A3E0863FE456}</x14:id>
        </ext>
      </extLst>
    </cfRule>
    <cfRule type="iconSet" priority="6595">
      <iconSet iconSet="3Arrows">
        <cfvo type="percent" val="0"/>
        <cfvo type="num" val="0.7"/>
        <cfvo type="num" val="1"/>
      </iconSet>
    </cfRule>
  </conditionalFormatting>
  <conditionalFormatting sqref="J2900">
    <cfRule type="dataBar" priority="6594">
      <dataBar>
        <cfvo type="num" val="0"/>
        <cfvo type="num" val="1"/>
        <color theme="4" tint="0.79998168889431442"/>
      </dataBar>
      <extLst>
        <ext xmlns:x14="http://schemas.microsoft.com/office/spreadsheetml/2009/9/main" uri="{B025F937-C7B1-47D3-B67F-A62EFF666E3E}">
          <x14:id>{499ACF47-A184-48C5-98BB-EDFA6E52B4C7}</x14:id>
        </ext>
      </extLst>
    </cfRule>
    <cfRule type="iconSet" priority="6593">
      <iconSet iconSet="3Arrows">
        <cfvo type="percent" val="0"/>
        <cfvo type="num" val="0.7"/>
        <cfvo type="num" val="1"/>
      </iconSet>
    </cfRule>
  </conditionalFormatting>
  <conditionalFormatting sqref="J2902">
    <cfRule type="dataBar" priority="6592">
      <dataBar>
        <cfvo type="num" val="0"/>
        <cfvo type="num" val="1"/>
        <color theme="4" tint="0.79998168889431442"/>
      </dataBar>
      <extLst>
        <ext xmlns:x14="http://schemas.microsoft.com/office/spreadsheetml/2009/9/main" uri="{B025F937-C7B1-47D3-B67F-A62EFF666E3E}">
          <x14:id>{61A2BBBA-EC58-479F-B976-06452C042522}</x14:id>
        </ext>
      </extLst>
    </cfRule>
    <cfRule type="iconSet" priority="6591">
      <iconSet iconSet="3Arrows">
        <cfvo type="percent" val="0"/>
        <cfvo type="num" val="0.7"/>
        <cfvo type="num" val="1"/>
      </iconSet>
    </cfRule>
  </conditionalFormatting>
  <conditionalFormatting sqref="J2904">
    <cfRule type="dataBar" priority="6590">
      <dataBar>
        <cfvo type="num" val="0"/>
        <cfvo type="num" val="1"/>
        <color theme="4" tint="0.79998168889431442"/>
      </dataBar>
      <extLst>
        <ext xmlns:x14="http://schemas.microsoft.com/office/spreadsheetml/2009/9/main" uri="{B025F937-C7B1-47D3-B67F-A62EFF666E3E}">
          <x14:id>{CF554100-AA6D-4C1A-AA03-C82D07642091}</x14:id>
        </ext>
      </extLst>
    </cfRule>
    <cfRule type="iconSet" priority="6589">
      <iconSet iconSet="3Arrows">
        <cfvo type="percent" val="0"/>
        <cfvo type="num" val="0.7"/>
        <cfvo type="num" val="1"/>
      </iconSet>
    </cfRule>
  </conditionalFormatting>
  <conditionalFormatting sqref="J2906">
    <cfRule type="dataBar" priority="6588">
      <dataBar>
        <cfvo type="num" val="0"/>
        <cfvo type="num" val="1"/>
        <color theme="4" tint="0.79998168889431442"/>
      </dataBar>
      <extLst>
        <ext xmlns:x14="http://schemas.microsoft.com/office/spreadsheetml/2009/9/main" uri="{B025F937-C7B1-47D3-B67F-A62EFF666E3E}">
          <x14:id>{9DAB5A67-CF54-4704-B9EF-1E5246F9B060}</x14:id>
        </ext>
      </extLst>
    </cfRule>
    <cfRule type="iconSet" priority="6587">
      <iconSet iconSet="3Arrows">
        <cfvo type="percent" val="0"/>
        <cfvo type="num" val="0.7"/>
        <cfvo type="num" val="1"/>
      </iconSet>
    </cfRule>
  </conditionalFormatting>
  <conditionalFormatting sqref="J2908">
    <cfRule type="dataBar" priority="6586">
      <dataBar>
        <cfvo type="num" val="0"/>
        <cfvo type="num" val="1"/>
        <color theme="4" tint="0.79998168889431442"/>
      </dataBar>
      <extLst>
        <ext xmlns:x14="http://schemas.microsoft.com/office/spreadsheetml/2009/9/main" uri="{B025F937-C7B1-47D3-B67F-A62EFF666E3E}">
          <x14:id>{8B6D647F-7205-4137-A92B-50C2F951D3A9}</x14:id>
        </ext>
      </extLst>
    </cfRule>
    <cfRule type="iconSet" priority="6585">
      <iconSet iconSet="3Arrows">
        <cfvo type="percent" val="0"/>
        <cfvo type="num" val="0.7"/>
        <cfvo type="num" val="1"/>
      </iconSet>
    </cfRule>
  </conditionalFormatting>
  <conditionalFormatting sqref="J2910">
    <cfRule type="dataBar" priority="6584">
      <dataBar>
        <cfvo type="num" val="0"/>
        <cfvo type="num" val="1"/>
        <color theme="4" tint="0.79998168889431442"/>
      </dataBar>
      <extLst>
        <ext xmlns:x14="http://schemas.microsoft.com/office/spreadsheetml/2009/9/main" uri="{B025F937-C7B1-47D3-B67F-A62EFF666E3E}">
          <x14:id>{3807D9CD-5B73-47F4-8BAD-F6B8E689DC06}</x14:id>
        </ext>
      </extLst>
    </cfRule>
    <cfRule type="iconSet" priority="6583">
      <iconSet iconSet="3Arrows">
        <cfvo type="percent" val="0"/>
        <cfvo type="num" val="0.7"/>
        <cfvo type="num" val="1"/>
      </iconSet>
    </cfRule>
  </conditionalFormatting>
  <conditionalFormatting sqref="J2912">
    <cfRule type="iconSet" priority="6581">
      <iconSet iconSet="3Arrows">
        <cfvo type="percent" val="0"/>
        <cfvo type="num" val="0.7"/>
        <cfvo type="num" val="1"/>
      </iconSet>
    </cfRule>
    <cfRule type="dataBar" priority="6582">
      <dataBar>
        <cfvo type="num" val="0"/>
        <cfvo type="num" val="1"/>
        <color theme="4" tint="0.79998168889431442"/>
      </dataBar>
      <extLst>
        <ext xmlns:x14="http://schemas.microsoft.com/office/spreadsheetml/2009/9/main" uri="{B025F937-C7B1-47D3-B67F-A62EFF666E3E}">
          <x14:id>{9C0BCD8F-67D4-41B7-807F-8A9F2D6125ED}</x14:id>
        </ext>
      </extLst>
    </cfRule>
  </conditionalFormatting>
  <conditionalFormatting sqref="J2914">
    <cfRule type="iconSet" priority="6579">
      <iconSet iconSet="3Arrows">
        <cfvo type="percent" val="0"/>
        <cfvo type="num" val="0.7"/>
        <cfvo type="num" val="1"/>
      </iconSet>
    </cfRule>
    <cfRule type="dataBar" priority="6580">
      <dataBar>
        <cfvo type="num" val="0"/>
        <cfvo type="num" val="1"/>
        <color theme="4" tint="0.79998168889431442"/>
      </dataBar>
      <extLst>
        <ext xmlns:x14="http://schemas.microsoft.com/office/spreadsheetml/2009/9/main" uri="{B025F937-C7B1-47D3-B67F-A62EFF666E3E}">
          <x14:id>{82C21988-3429-4B62-9408-9DF44B9B34C9}</x14:id>
        </ext>
      </extLst>
    </cfRule>
  </conditionalFormatting>
  <conditionalFormatting sqref="J2916">
    <cfRule type="dataBar" priority="6578">
      <dataBar>
        <cfvo type="num" val="0"/>
        <cfvo type="num" val="1"/>
        <color theme="4" tint="0.79998168889431442"/>
      </dataBar>
      <extLst>
        <ext xmlns:x14="http://schemas.microsoft.com/office/spreadsheetml/2009/9/main" uri="{B025F937-C7B1-47D3-B67F-A62EFF666E3E}">
          <x14:id>{0CCC5A70-337B-41E2-8D96-216CD6F2CD78}</x14:id>
        </ext>
      </extLst>
    </cfRule>
    <cfRule type="iconSet" priority="6577">
      <iconSet iconSet="3Arrows">
        <cfvo type="percent" val="0"/>
        <cfvo type="num" val="0.7"/>
        <cfvo type="num" val="1"/>
      </iconSet>
    </cfRule>
  </conditionalFormatting>
  <conditionalFormatting sqref="J2918">
    <cfRule type="dataBar" priority="6576">
      <dataBar>
        <cfvo type="num" val="0"/>
        <cfvo type="num" val="1"/>
        <color theme="4" tint="0.79998168889431442"/>
      </dataBar>
      <extLst>
        <ext xmlns:x14="http://schemas.microsoft.com/office/spreadsheetml/2009/9/main" uri="{B025F937-C7B1-47D3-B67F-A62EFF666E3E}">
          <x14:id>{CC1F94AA-3424-4E5F-B2A8-68EC5542A57D}</x14:id>
        </ext>
      </extLst>
    </cfRule>
    <cfRule type="iconSet" priority="6575">
      <iconSet iconSet="3Arrows">
        <cfvo type="percent" val="0"/>
        <cfvo type="num" val="0.7"/>
        <cfvo type="num" val="1"/>
      </iconSet>
    </cfRule>
  </conditionalFormatting>
  <conditionalFormatting sqref="J2920">
    <cfRule type="dataBar" priority="6574">
      <dataBar>
        <cfvo type="num" val="0"/>
        <cfvo type="num" val="1"/>
        <color theme="4" tint="0.79998168889431442"/>
      </dataBar>
      <extLst>
        <ext xmlns:x14="http://schemas.microsoft.com/office/spreadsheetml/2009/9/main" uri="{B025F937-C7B1-47D3-B67F-A62EFF666E3E}">
          <x14:id>{03A117E2-1DFD-4845-8C23-278890DAE6E6}</x14:id>
        </ext>
      </extLst>
    </cfRule>
    <cfRule type="iconSet" priority="6573">
      <iconSet iconSet="3Arrows">
        <cfvo type="percent" val="0"/>
        <cfvo type="num" val="0.7"/>
        <cfvo type="num" val="1"/>
      </iconSet>
    </cfRule>
  </conditionalFormatting>
  <conditionalFormatting sqref="J2922">
    <cfRule type="dataBar" priority="6572">
      <dataBar>
        <cfvo type="num" val="0"/>
        <cfvo type="num" val="1"/>
        <color theme="4" tint="0.79998168889431442"/>
      </dataBar>
      <extLst>
        <ext xmlns:x14="http://schemas.microsoft.com/office/spreadsheetml/2009/9/main" uri="{B025F937-C7B1-47D3-B67F-A62EFF666E3E}">
          <x14:id>{B9EFBA80-0F04-4650-B46E-6AD94FB5002B}</x14:id>
        </ext>
      </extLst>
    </cfRule>
    <cfRule type="iconSet" priority="6571">
      <iconSet iconSet="3Arrows">
        <cfvo type="percent" val="0"/>
        <cfvo type="num" val="0.7"/>
        <cfvo type="num" val="1"/>
      </iconSet>
    </cfRule>
  </conditionalFormatting>
  <conditionalFormatting sqref="J2924">
    <cfRule type="dataBar" priority="6570">
      <dataBar>
        <cfvo type="num" val="0"/>
        <cfvo type="num" val="1"/>
        <color theme="4" tint="0.79998168889431442"/>
      </dataBar>
      <extLst>
        <ext xmlns:x14="http://schemas.microsoft.com/office/spreadsheetml/2009/9/main" uri="{B025F937-C7B1-47D3-B67F-A62EFF666E3E}">
          <x14:id>{7003C544-F6E3-40B2-BBB3-590CF0626F85}</x14:id>
        </ext>
      </extLst>
    </cfRule>
    <cfRule type="iconSet" priority="6569">
      <iconSet iconSet="3Arrows">
        <cfvo type="percent" val="0"/>
        <cfvo type="num" val="0.7"/>
        <cfvo type="num" val="1"/>
      </iconSet>
    </cfRule>
  </conditionalFormatting>
  <conditionalFormatting sqref="J2926">
    <cfRule type="dataBar" priority="6568">
      <dataBar>
        <cfvo type="num" val="0"/>
        <cfvo type="num" val="1"/>
        <color theme="4" tint="0.79998168889431442"/>
      </dataBar>
      <extLst>
        <ext xmlns:x14="http://schemas.microsoft.com/office/spreadsheetml/2009/9/main" uri="{B025F937-C7B1-47D3-B67F-A62EFF666E3E}">
          <x14:id>{31EA5114-EDD6-42D0-A8EF-4F9B57998A00}</x14:id>
        </ext>
      </extLst>
    </cfRule>
    <cfRule type="iconSet" priority="6567">
      <iconSet iconSet="3Arrows">
        <cfvo type="percent" val="0"/>
        <cfvo type="num" val="0.7"/>
        <cfvo type="num" val="1"/>
      </iconSet>
    </cfRule>
  </conditionalFormatting>
  <conditionalFormatting sqref="J2928">
    <cfRule type="dataBar" priority="6566">
      <dataBar>
        <cfvo type="num" val="0"/>
        <cfvo type="num" val="1"/>
        <color theme="4" tint="0.79998168889431442"/>
      </dataBar>
      <extLst>
        <ext xmlns:x14="http://schemas.microsoft.com/office/spreadsheetml/2009/9/main" uri="{B025F937-C7B1-47D3-B67F-A62EFF666E3E}">
          <x14:id>{24691F09-BE37-4060-8A0B-A91E6AA0F36B}</x14:id>
        </ext>
      </extLst>
    </cfRule>
    <cfRule type="iconSet" priority="6565">
      <iconSet iconSet="3Arrows">
        <cfvo type="percent" val="0"/>
        <cfvo type="num" val="0.7"/>
        <cfvo type="num" val="1"/>
      </iconSet>
    </cfRule>
  </conditionalFormatting>
  <conditionalFormatting sqref="J2930">
    <cfRule type="dataBar" priority="6564">
      <dataBar>
        <cfvo type="num" val="0"/>
        <cfvo type="num" val="1"/>
        <color theme="4" tint="0.79998168889431442"/>
      </dataBar>
      <extLst>
        <ext xmlns:x14="http://schemas.microsoft.com/office/spreadsheetml/2009/9/main" uri="{B025F937-C7B1-47D3-B67F-A62EFF666E3E}">
          <x14:id>{77A45755-C445-4DCC-8EF0-9A0F8515C5AF}</x14:id>
        </ext>
      </extLst>
    </cfRule>
    <cfRule type="iconSet" priority="6563">
      <iconSet iconSet="3Arrows">
        <cfvo type="percent" val="0"/>
        <cfvo type="num" val="0.7"/>
        <cfvo type="num" val="1"/>
      </iconSet>
    </cfRule>
  </conditionalFormatting>
  <conditionalFormatting sqref="J2932">
    <cfRule type="dataBar" priority="6562">
      <dataBar>
        <cfvo type="num" val="0"/>
        <cfvo type="num" val="1"/>
        <color theme="4" tint="0.79998168889431442"/>
      </dataBar>
      <extLst>
        <ext xmlns:x14="http://schemas.microsoft.com/office/spreadsheetml/2009/9/main" uri="{B025F937-C7B1-47D3-B67F-A62EFF666E3E}">
          <x14:id>{C0A9ED89-773D-4B7F-A74D-68E428825FE1}</x14:id>
        </ext>
      </extLst>
    </cfRule>
    <cfRule type="iconSet" priority="6561">
      <iconSet iconSet="3Arrows">
        <cfvo type="percent" val="0"/>
        <cfvo type="num" val="0.7"/>
        <cfvo type="num" val="1"/>
      </iconSet>
    </cfRule>
  </conditionalFormatting>
  <conditionalFormatting sqref="J2934">
    <cfRule type="dataBar" priority="6560">
      <dataBar>
        <cfvo type="num" val="0"/>
        <cfvo type="num" val="1"/>
        <color theme="4" tint="0.79998168889431442"/>
      </dataBar>
      <extLst>
        <ext xmlns:x14="http://schemas.microsoft.com/office/spreadsheetml/2009/9/main" uri="{B025F937-C7B1-47D3-B67F-A62EFF666E3E}">
          <x14:id>{A08B6F41-FD8E-4CAB-82DE-C570B6A61964}</x14:id>
        </ext>
      </extLst>
    </cfRule>
    <cfRule type="iconSet" priority="6559">
      <iconSet iconSet="3Arrows">
        <cfvo type="percent" val="0"/>
        <cfvo type="num" val="0.7"/>
        <cfvo type="num" val="1"/>
      </iconSet>
    </cfRule>
  </conditionalFormatting>
  <conditionalFormatting sqref="J2936">
    <cfRule type="dataBar" priority="6558">
      <dataBar>
        <cfvo type="num" val="0"/>
        <cfvo type="num" val="1"/>
        <color theme="4" tint="0.79998168889431442"/>
      </dataBar>
      <extLst>
        <ext xmlns:x14="http://schemas.microsoft.com/office/spreadsheetml/2009/9/main" uri="{B025F937-C7B1-47D3-B67F-A62EFF666E3E}">
          <x14:id>{F30F8B15-5A83-45FC-9CF1-BC893F93BA34}</x14:id>
        </ext>
      </extLst>
    </cfRule>
    <cfRule type="iconSet" priority="6557">
      <iconSet iconSet="3Arrows">
        <cfvo type="percent" val="0"/>
        <cfvo type="num" val="0.7"/>
        <cfvo type="num" val="1"/>
      </iconSet>
    </cfRule>
  </conditionalFormatting>
  <conditionalFormatting sqref="J2938">
    <cfRule type="dataBar" priority="6556">
      <dataBar>
        <cfvo type="num" val="0"/>
        <cfvo type="num" val="1"/>
        <color theme="4" tint="0.79998168889431442"/>
      </dataBar>
      <extLst>
        <ext xmlns:x14="http://schemas.microsoft.com/office/spreadsheetml/2009/9/main" uri="{B025F937-C7B1-47D3-B67F-A62EFF666E3E}">
          <x14:id>{7BC67C22-078E-4E07-BA8E-4090BD40F143}</x14:id>
        </ext>
      </extLst>
    </cfRule>
    <cfRule type="iconSet" priority="6555">
      <iconSet iconSet="3Arrows">
        <cfvo type="percent" val="0"/>
        <cfvo type="num" val="0.7"/>
        <cfvo type="num" val="1"/>
      </iconSet>
    </cfRule>
  </conditionalFormatting>
  <conditionalFormatting sqref="J2940">
    <cfRule type="dataBar" priority="6554">
      <dataBar>
        <cfvo type="num" val="0"/>
        <cfvo type="num" val="1"/>
        <color theme="4" tint="0.79998168889431442"/>
      </dataBar>
      <extLst>
        <ext xmlns:x14="http://schemas.microsoft.com/office/spreadsheetml/2009/9/main" uri="{B025F937-C7B1-47D3-B67F-A62EFF666E3E}">
          <x14:id>{E2EB6C7F-1365-48B9-9D3F-C97B9D5F71CA}</x14:id>
        </ext>
      </extLst>
    </cfRule>
    <cfRule type="iconSet" priority="6553">
      <iconSet iconSet="3Arrows">
        <cfvo type="percent" val="0"/>
        <cfvo type="num" val="0.7"/>
        <cfvo type="num" val="1"/>
      </iconSet>
    </cfRule>
  </conditionalFormatting>
  <conditionalFormatting sqref="J2942">
    <cfRule type="iconSet" priority="6551">
      <iconSet iconSet="3Arrows">
        <cfvo type="percent" val="0"/>
        <cfvo type="num" val="0.7"/>
        <cfvo type="num" val="1"/>
      </iconSet>
    </cfRule>
    <cfRule type="dataBar" priority="6552">
      <dataBar>
        <cfvo type="num" val="0"/>
        <cfvo type="num" val="1"/>
        <color theme="4" tint="0.79998168889431442"/>
      </dataBar>
      <extLst>
        <ext xmlns:x14="http://schemas.microsoft.com/office/spreadsheetml/2009/9/main" uri="{B025F937-C7B1-47D3-B67F-A62EFF666E3E}">
          <x14:id>{075E02B0-153F-475E-8BDA-D14CD4AA998B}</x14:id>
        </ext>
      </extLst>
    </cfRule>
  </conditionalFormatting>
  <conditionalFormatting sqref="J2944">
    <cfRule type="iconSet" priority="6549">
      <iconSet iconSet="3Arrows">
        <cfvo type="percent" val="0"/>
        <cfvo type="num" val="0.7"/>
        <cfvo type="num" val="1"/>
      </iconSet>
    </cfRule>
    <cfRule type="dataBar" priority="6550">
      <dataBar>
        <cfvo type="num" val="0"/>
        <cfvo type="num" val="1"/>
        <color theme="4" tint="0.79998168889431442"/>
      </dataBar>
      <extLst>
        <ext xmlns:x14="http://schemas.microsoft.com/office/spreadsheetml/2009/9/main" uri="{B025F937-C7B1-47D3-B67F-A62EFF666E3E}">
          <x14:id>{3CFE8401-6D54-4C53-93F2-58E58EB02F6A}</x14:id>
        </ext>
      </extLst>
    </cfRule>
  </conditionalFormatting>
  <conditionalFormatting sqref="J2946">
    <cfRule type="iconSet" priority="6547">
      <iconSet iconSet="3Arrows">
        <cfvo type="percent" val="0"/>
        <cfvo type="num" val="0.7"/>
        <cfvo type="num" val="1"/>
      </iconSet>
    </cfRule>
    <cfRule type="dataBar" priority="6548">
      <dataBar>
        <cfvo type="num" val="0"/>
        <cfvo type="num" val="1"/>
        <color theme="4" tint="0.79998168889431442"/>
      </dataBar>
      <extLst>
        <ext xmlns:x14="http://schemas.microsoft.com/office/spreadsheetml/2009/9/main" uri="{B025F937-C7B1-47D3-B67F-A62EFF666E3E}">
          <x14:id>{04DF233D-811D-474B-8949-37CE50DF6DFF}</x14:id>
        </ext>
      </extLst>
    </cfRule>
  </conditionalFormatting>
  <conditionalFormatting sqref="J2948">
    <cfRule type="dataBar" priority="6546">
      <dataBar>
        <cfvo type="num" val="0"/>
        <cfvo type="num" val="1"/>
        <color theme="4" tint="0.79998168889431442"/>
      </dataBar>
      <extLst>
        <ext xmlns:x14="http://schemas.microsoft.com/office/spreadsheetml/2009/9/main" uri="{B025F937-C7B1-47D3-B67F-A62EFF666E3E}">
          <x14:id>{4EBE19A1-E9DD-4B7A-B776-933C3F8FC332}</x14:id>
        </ext>
      </extLst>
    </cfRule>
    <cfRule type="iconSet" priority="6545">
      <iconSet iconSet="3Arrows">
        <cfvo type="percent" val="0"/>
        <cfvo type="num" val="0.7"/>
        <cfvo type="num" val="1"/>
      </iconSet>
    </cfRule>
  </conditionalFormatting>
  <conditionalFormatting sqref="J2950">
    <cfRule type="dataBar" priority="6544">
      <dataBar>
        <cfvo type="num" val="0"/>
        <cfvo type="num" val="1"/>
        <color theme="4" tint="0.79998168889431442"/>
      </dataBar>
      <extLst>
        <ext xmlns:x14="http://schemas.microsoft.com/office/spreadsheetml/2009/9/main" uri="{B025F937-C7B1-47D3-B67F-A62EFF666E3E}">
          <x14:id>{869FACDD-65CA-48C2-8F7A-77D6BF8EE546}</x14:id>
        </ext>
      </extLst>
    </cfRule>
    <cfRule type="iconSet" priority="6543">
      <iconSet iconSet="3Arrows">
        <cfvo type="percent" val="0"/>
        <cfvo type="num" val="0.7"/>
        <cfvo type="num" val="1"/>
      </iconSet>
    </cfRule>
  </conditionalFormatting>
  <conditionalFormatting sqref="J2952">
    <cfRule type="dataBar" priority="6542">
      <dataBar>
        <cfvo type="num" val="0"/>
        <cfvo type="num" val="1"/>
        <color theme="4" tint="0.79998168889431442"/>
      </dataBar>
      <extLst>
        <ext xmlns:x14="http://schemas.microsoft.com/office/spreadsheetml/2009/9/main" uri="{B025F937-C7B1-47D3-B67F-A62EFF666E3E}">
          <x14:id>{23AB3BDE-CC15-48F5-83F7-C546DB7E5581}</x14:id>
        </ext>
      </extLst>
    </cfRule>
    <cfRule type="iconSet" priority="6541">
      <iconSet iconSet="3Arrows">
        <cfvo type="percent" val="0"/>
        <cfvo type="num" val="0.7"/>
        <cfvo type="num" val="1"/>
      </iconSet>
    </cfRule>
  </conditionalFormatting>
  <conditionalFormatting sqref="J2954">
    <cfRule type="dataBar" priority="6540">
      <dataBar>
        <cfvo type="num" val="0"/>
        <cfvo type="num" val="1"/>
        <color theme="4" tint="0.79998168889431442"/>
      </dataBar>
      <extLst>
        <ext xmlns:x14="http://schemas.microsoft.com/office/spreadsheetml/2009/9/main" uri="{B025F937-C7B1-47D3-B67F-A62EFF666E3E}">
          <x14:id>{3B5958DD-1DC2-4CCA-9B0B-F32A061F9DAC}</x14:id>
        </ext>
      </extLst>
    </cfRule>
    <cfRule type="iconSet" priority="6539">
      <iconSet iconSet="3Arrows">
        <cfvo type="percent" val="0"/>
        <cfvo type="num" val="0.7"/>
        <cfvo type="num" val="1"/>
      </iconSet>
    </cfRule>
  </conditionalFormatting>
  <conditionalFormatting sqref="J2956">
    <cfRule type="dataBar" priority="6538">
      <dataBar>
        <cfvo type="num" val="0"/>
        <cfvo type="num" val="1"/>
        <color theme="4" tint="0.79998168889431442"/>
      </dataBar>
      <extLst>
        <ext xmlns:x14="http://schemas.microsoft.com/office/spreadsheetml/2009/9/main" uri="{B025F937-C7B1-47D3-B67F-A62EFF666E3E}">
          <x14:id>{4BB620CF-F1D9-427F-A793-09CF8C86DB35}</x14:id>
        </ext>
      </extLst>
    </cfRule>
    <cfRule type="iconSet" priority="6537">
      <iconSet iconSet="3Arrows">
        <cfvo type="percent" val="0"/>
        <cfvo type="num" val="0.7"/>
        <cfvo type="num" val="1"/>
      </iconSet>
    </cfRule>
  </conditionalFormatting>
  <conditionalFormatting sqref="J2960">
    <cfRule type="dataBar" priority="6536">
      <dataBar>
        <cfvo type="num" val="0"/>
        <cfvo type="num" val="1"/>
        <color theme="4" tint="0.79998168889431442"/>
      </dataBar>
      <extLst>
        <ext xmlns:x14="http://schemas.microsoft.com/office/spreadsheetml/2009/9/main" uri="{B025F937-C7B1-47D3-B67F-A62EFF666E3E}">
          <x14:id>{9689CBCC-628D-4091-BBE4-03B5A65DBB96}</x14:id>
        </ext>
      </extLst>
    </cfRule>
    <cfRule type="iconSet" priority="6535">
      <iconSet iconSet="3Arrows">
        <cfvo type="percent" val="0"/>
        <cfvo type="num" val="0.7"/>
        <cfvo type="num" val="1"/>
      </iconSet>
    </cfRule>
  </conditionalFormatting>
  <conditionalFormatting sqref="J2962 J2964 J2966 J2968">
    <cfRule type="dataBar" priority="6534">
      <dataBar>
        <cfvo type="num" val="0"/>
        <cfvo type="num" val="1"/>
        <color theme="4" tint="0.79998168889431442"/>
      </dataBar>
      <extLst>
        <ext xmlns:x14="http://schemas.microsoft.com/office/spreadsheetml/2009/9/main" uri="{B025F937-C7B1-47D3-B67F-A62EFF666E3E}">
          <x14:id>{88FFC86E-07B0-484A-9F1F-A0FD4B788A2E}</x14:id>
        </ext>
      </extLst>
    </cfRule>
    <cfRule type="iconSet" priority="6533">
      <iconSet iconSet="3Arrows">
        <cfvo type="percent" val="0"/>
        <cfvo type="num" val="0.7"/>
        <cfvo type="num" val="1"/>
      </iconSet>
    </cfRule>
  </conditionalFormatting>
  <conditionalFormatting sqref="J2970 J2972 J2974 J2976">
    <cfRule type="dataBar" priority="6532">
      <dataBar>
        <cfvo type="num" val="0"/>
        <cfvo type="num" val="1"/>
        <color theme="4" tint="0.79998168889431442"/>
      </dataBar>
      <extLst>
        <ext xmlns:x14="http://schemas.microsoft.com/office/spreadsheetml/2009/9/main" uri="{B025F937-C7B1-47D3-B67F-A62EFF666E3E}">
          <x14:id>{ADF9F529-4EAC-4D8F-A832-C0CD9A941140}</x14:id>
        </ext>
      </extLst>
    </cfRule>
    <cfRule type="iconSet" priority="6531">
      <iconSet iconSet="3Arrows">
        <cfvo type="percent" val="0"/>
        <cfvo type="num" val="0.7"/>
        <cfvo type="num" val="1"/>
      </iconSet>
    </cfRule>
  </conditionalFormatting>
  <conditionalFormatting sqref="J2978 J2980 J2982 J2984">
    <cfRule type="dataBar" priority="6530">
      <dataBar>
        <cfvo type="num" val="0"/>
        <cfvo type="num" val="1"/>
        <color theme="4" tint="0.79998168889431442"/>
      </dataBar>
      <extLst>
        <ext xmlns:x14="http://schemas.microsoft.com/office/spreadsheetml/2009/9/main" uri="{B025F937-C7B1-47D3-B67F-A62EFF666E3E}">
          <x14:id>{5AF37CB7-C170-4CE9-A50C-AB8392F53BFF}</x14:id>
        </ext>
      </extLst>
    </cfRule>
    <cfRule type="iconSet" priority="6529">
      <iconSet iconSet="3Arrows">
        <cfvo type="percent" val="0"/>
        <cfvo type="num" val="0.7"/>
        <cfvo type="num" val="1"/>
      </iconSet>
    </cfRule>
  </conditionalFormatting>
  <conditionalFormatting sqref="J2986 J2988 J2990 J2992">
    <cfRule type="dataBar" priority="6528">
      <dataBar>
        <cfvo type="num" val="0"/>
        <cfvo type="num" val="1"/>
        <color theme="4" tint="0.79998168889431442"/>
      </dataBar>
      <extLst>
        <ext xmlns:x14="http://schemas.microsoft.com/office/spreadsheetml/2009/9/main" uri="{B025F937-C7B1-47D3-B67F-A62EFF666E3E}">
          <x14:id>{2809B7E4-0EA0-4E8D-A299-847BD7F64EB4}</x14:id>
        </ext>
      </extLst>
    </cfRule>
    <cfRule type="iconSet" priority="6527">
      <iconSet iconSet="3Arrows">
        <cfvo type="percent" val="0"/>
        <cfvo type="num" val="0.7"/>
        <cfvo type="num" val="1"/>
      </iconSet>
    </cfRule>
  </conditionalFormatting>
  <conditionalFormatting sqref="J2994 J2996 J2998 J3000">
    <cfRule type="dataBar" priority="6526">
      <dataBar>
        <cfvo type="num" val="0"/>
        <cfvo type="num" val="1"/>
        <color theme="4" tint="0.79998168889431442"/>
      </dataBar>
      <extLst>
        <ext xmlns:x14="http://schemas.microsoft.com/office/spreadsheetml/2009/9/main" uri="{B025F937-C7B1-47D3-B67F-A62EFF666E3E}">
          <x14:id>{B929C9DE-12E2-4DF8-BCB9-6FF8E8959E8D}</x14:id>
        </ext>
      </extLst>
    </cfRule>
    <cfRule type="iconSet" priority="6525">
      <iconSet iconSet="3Arrows">
        <cfvo type="percent" val="0"/>
        <cfvo type="num" val="0.7"/>
        <cfvo type="num" val="1"/>
      </iconSet>
    </cfRule>
  </conditionalFormatting>
  <conditionalFormatting sqref="J3002 J3004 J3006 J3008">
    <cfRule type="dataBar" priority="6524">
      <dataBar>
        <cfvo type="num" val="0"/>
        <cfvo type="num" val="1"/>
        <color theme="4" tint="0.79998168889431442"/>
      </dataBar>
      <extLst>
        <ext xmlns:x14="http://schemas.microsoft.com/office/spreadsheetml/2009/9/main" uri="{B025F937-C7B1-47D3-B67F-A62EFF666E3E}">
          <x14:id>{AFA6BB47-4CDC-4739-8273-A06D6F8507FA}</x14:id>
        </ext>
      </extLst>
    </cfRule>
    <cfRule type="iconSet" priority="6523">
      <iconSet iconSet="3Arrows">
        <cfvo type="percent" val="0"/>
        <cfvo type="num" val="0.7"/>
        <cfvo type="num" val="1"/>
      </iconSet>
    </cfRule>
  </conditionalFormatting>
  <conditionalFormatting sqref="J3010 J3012 J3014 J3016">
    <cfRule type="dataBar" priority="6522">
      <dataBar>
        <cfvo type="num" val="0"/>
        <cfvo type="num" val="1"/>
        <color theme="4" tint="0.79998168889431442"/>
      </dataBar>
      <extLst>
        <ext xmlns:x14="http://schemas.microsoft.com/office/spreadsheetml/2009/9/main" uri="{B025F937-C7B1-47D3-B67F-A62EFF666E3E}">
          <x14:id>{D45AB720-44A1-45DE-A782-D0EA21270D3D}</x14:id>
        </ext>
      </extLst>
    </cfRule>
    <cfRule type="iconSet" priority="6521">
      <iconSet iconSet="3Arrows">
        <cfvo type="percent" val="0"/>
        <cfvo type="num" val="0.7"/>
        <cfvo type="num" val="1"/>
      </iconSet>
    </cfRule>
  </conditionalFormatting>
  <conditionalFormatting sqref="J3018 J3020 J3022 J3024">
    <cfRule type="iconSet" priority="6519">
      <iconSet iconSet="3Arrows">
        <cfvo type="percent" val="0"/>
        <cfvo type="num" val="0.7"/>
        <cfvo type="num" val="1"/>
      </iconSet>
    </cfRule>
    <cfRule type="dataBar" priority="6520">
      <dataBar>
        <cfvo type="num" val="0"/>
        <cfvo type="num" val="1"/>
        <color theme="4" tint="0.79998168889431442"/>
      </dataBar>
      <extLst>
        <ext xmlns:x14="http://schemas.microsoft.com/office/spreadsheetml/2009/9/main" uri="{B025F937-C7B1-47D3-B67F-A62EFF666E3E}">
          <x14:id>{C197024E-B395-4BCA-8904-FB334D368591}</x14:id>
        </ext>
      </extLst>
    </cfRule>
  </conditionalFormatting>
  <conditionalFormatting sqref="J3026 J3028">
    <cfRule type="iconSet" priority="6517">
      <iconSet iconSet="3Arrows">
        <cfvo type="percent" val="0"/>
        <cfvo type="num" val="0.7"/>
        <cfvo type="num" val="1"/>
      </iconSet>
    </cfRule>
    <cfRule type="dataBar" priority="6518">
      <dataBar>
        <cfvo type="num" val="0"/>
        <cfvo type="num" val="1"/>
        <color theme="4" tint="0.79998168889431442"/>
      </dataBar>
      <extLst>
        <ext xmlns:x14="http://schemas.microsoft.com/office/spreadsheetml/2009/9/main" uri="{B025F937-C7B1-47D3-B67F-A62EFF666E3E}">
          <x14:id>{D9676B9E-B6C9-4E65-AF7B-F55E8DF36F0D}</x14:id>
        </ext>
      </extLst>
    </cfRule>
  </conditionalFormatting>
  <conditionalFormatting sqref="J3030 J3032 J3034 J3036">
    <cfRule type="iconSet" priority="6515">
      <iconSet iconSet="3Arrows">
        <cfvo type="percent" val="0"/>
        <cfvo type="num" val="0.7"/>
        <cfvo type="num" val="1"/>
      </iconSet>
    </cfRule>
    <cfRule type="dataBar" priority="6516">
      <dataBar>
        <cfvo type="num" val="0"/>
        <cfvo type="num" val="1"/>
        <color theme="4" tint="0.79998168889431442"/>
      </dataBar>
      <extLst>
        <ext xmlns:x14="http://schemas.microsoft.com/office/spreadsheetml/2009/9/main" uri="{B025F937-C7B1-47D3-B67F-A62EFF666E3E}">
          <x14:id>{2E4D837C-5DC0-49EE-A5BF-FAB15C98650F}</x14:id>
        </ext>
      </extLst>
    </cfRule>
  </conditionalFormatting>
  <conditionalFormatting sqref="J3038 J3040 J3042 J3044">
    <cfRule type="dataBar" priority="6514">
      <dataBar>
        <cfvo type="num" val="0"/>
        <cfvo type="num" val="1"/>
        <color theme="4" tint="0.79998168889431442"/>
      </dataBar>
      <extLst>
        <ext xmlns:x14="http://schemas.microsoft.com/office/spreadsheetml/2009/9/main" uri="{B025F937-C7B1-47D3-B67F-A62EFF666E3E}">
          <x14:id>{E5445A22-7B55-4256-BDA2-81BD69A494E3}</x14:id>
        </ext>
      </extLst>
    </cfRule>
    <cfRule type="iconSet" priority="6513">
      <iconSet iconSet="3Arrows">
        <cfvo type="percent" val="0"/>
        <cfvo type="num" val="0.7"/>
        <cfvo type="num" val="1"/>
      </iconSet>
    </cfRule>
  </conditionalFormatting>
  <conditionalFormatting sqref="J3046 J3048">
    <cfRule type="dataBar" priority="6512">
      <dataBar>
        <cfvo type="num" val="0"/>
        <cfvo type="num" val="1"/>
        <color theme="4" tint="0.79998168889431442"/>
      </dataBar>
      <extLst>
        <ext xmlns:x14="http://schemas.microsoft.com/office/spreadsheetml/2009/9/main" uri="{B025F937-C7B1-47D3-B67F-A62EFF666E3E}">
          <x14:id>{D3017AD7-2D80-4CDA-A6FA-D5CD4796EA7B}</x14:id>
        </ext>
      </extLst>
    </cfRule>
    <cfRule type="iconSet" priority="6511">
      <iconSet iconSet="3Arrows">
        <cfvo type="percent" val="0"/>
        <cfvo type="num" val="0.7"/>
        <cfvo type="num" val="1"/>
      </iconSet>
    </cfRule>
  </conditionalFormatting>
  <conditionalFormatting sqref="J3050 J3052 J3054 J3056">
    <cfRule type="dataBar" priority="6510">
      <dataBar>
        <cfvo type="num" val="0"/>
        <cfvo type="num" val="1"/>
        <color theme="4" tint="0.79998168889431442"/>
      </dataBar>
      <extLst>
        <ext xmlns:x14="http://schemas.microsoft.com/office/spreadsheetml/2009/9/main" uri="{B025F937-C7B1-47D3-B67F-A62EFF666E3E}">
          <x14:id>{B3B8B3ED-339E-4E6A-8989-9FB1EDFA2245}</x14:id>
        </ext>
      </extLst>
    </cfRule>
    <cfRule type="iconSet" priority="6509">
      <iconSet iconSet="3Arrows">
        <cfvo type="percent" val="0"/>
        <cfvo type="num" val="0.7"/>
        <cfvo type="num" val="1"/>
      </iconSet>
    </cfRule>
  </conditionalFormatting>
  <conditionalFormatting sqref="J3058">
    <cfRule type="dataBar" priority="6508">
      <dataBar>
        <cfvo type="num" val="0"/>
        <cfvo type="num" val="1"/>
        <color theme="4" tint="0.79998168889431442"/>
      </dataBar>
      <extLst>
        <ext xmlns:x14="http://schemas.microsoft.com/office/spreadsheetml/2009/9/main" uri="{B025F937-C7B1-47D3-B67F-A62EFF666E3E}">
          <x14:id>{42F4DCDD-5CF4-4D48-833B-678B0F96E4B1}</x14:id>
        </ext>
      </extLst>
    </cfRule>
    <cfRule type="iconSet" priority="6507">
      <iconSet iconSet="3Arrows">
        <cfvo type="percent" val="0"/>
        <cfvo type="num" val="0.7"/>
        <cfvo type="num" val="1"/>
      </iconSet>
    </cfRule>
  </conditionalFormatting>
  <conditionalFormatting sqref="J3060">
    <cfRule type="dataBar" priority="6506">
      <dataBar>
        <cfvo type="num" val="0"/>
        <cfvo type="num" val="1"/>
        <color theme="4" tint="0.79998168889431442"/>
      </dataBar>
      <extLst>
        <ext xmlns:x14="http://schemas.microsoft.com/office/spreadsheetml/2009/9/main" uri="{B025F937-C7B1-47D3-B67F-A62EFF666E3E}">
          <x14:id>{F4E13E0A-CB98-4170-B4B8-1B8D289071D5}</x14:id>
        </ext>
      </extLst>
    </cfRule>
    <cfRule type="iconSet" priority="6505">
      <iconSet iconSet="3Arrows">
        <cfvo type="percent" val="0"/>
        <cfvo type="num" val="0.7"/>
        <cfvo type="num" val="1"/>
      </iconSet>
    </cfRule>
  </conditionalFormatting>
  <conditionalFormatting sqref="J3063">
    <cfRule type="dataBar" priority="6504">
      <dataBar>
        <cfvo type="num" val="0"/>
        <cfvo type="num" val="1"/>
        <color theme="4" tint="0.79998168889431442"/>
      </dataBar>
      <extLst>
        <ext xmlns:x14="http://schemas.microsoft.com/office/spreadsheetml/2009/9/main" uri="{B025F937-C7B1-47D3-B67F-A62EFF666E3E}">
          <x14:id>{E7FADC48-3229-421E-BC95-A4A5BDF75B70}</x14:id>
        </ext>
      </extLst>
    </cfRule>
    <cfRule type="iconSet" priority="6503">
      <iconSet iconSet="3Arrows">
        <cfvo type="percent" val="0"/>
        <cfvo type="num" val="0.7"/>
        <cfvo type="num" val="1"/>
      </iconSet>
    </cfRule>
  </conditionalFormatting>
  <conditionalFormatting sqref="J3065 J3067 J3069">
    <cfRule type="iconSet" priority="6501">
      <iconSet iconSet="3Arrows">
        <cfvo type="percent" val="0"/>
        <cfvo type="num" val="0.7"/>
        <cfvo type="num" val="1"/>
      </iconSet>
    </cfRule>
    <cfRule type="dataBar" priority="6502">
      <dataBar>
        <cfvo type="num" val="0"/>
        <cfvo type="num" val="1"/>
        <color theme="4" tint="0.79998168889431442"/>
      </dataBar>
      <extLst>
        <ext xmlns:x14="http://schemas.microsoft.com/office/spreadsheetml/2009/9/main" uri="{B025F937-C7B1-47D3-B67F-A62EFF666E3E}">
          <x14:id>{B9DDC410-5735-43AB-9C62-487BDB3572A9}</x14:id>
        </ext>
      </extLst>
    </cfRule>
  </conditionalFormatting>
  <conditionalFormatting sqref="J3071">
    <cfRule type="dataBar" priority="6500">
      <dataBar>
        <cfvo type="num" val="0"/>
        <cfvo type="num" val="1"/>
        <color theme="4" tint="0.79998168889431442"/>
      </dataBar>
      <extLst>
        <ext xmlns:x14="http://schemas.microsoft.com/office/spreadsheetml/2009/9/main" uri="{B025F937-C7B1-47D3-B67F-A62EFF666E3E}">
          <x14:id>{10B41F4A-2503-4402-A595-7A4EF1EA5C6B}</x14:id>
        </ext>
      </extLst>
    </cfRule>
    <cfRule type="iconSet" priority="6499">
      <iconSet iconSet="3Arrows">
        <cfvo type="percent" val="0"/>
        <cfvo type="num" val="0.7"/>
        <cfvo type="num" val="1"/>
      </iconSet>
    </cfRule>
  </conditionalFormatting>
  <conditionalFormatting sqref="J3073 J3075">
    <cfRule type="dataBar" priority="6498">
      <dataBar>
        <cfvo type="num" val="0"/>
        <cfvo type="num" val="1"/>
        <color theme="4" tint="0.79998168889431442"/>
      </dataBar>
      <extLst>
        <ext xmlns:x14="http://schemas.microsoft.com/office/spreadsheetml/2009/9/main" uri="{B025F937-C7B1-47D3-B67F-A62EFF666E3E}">
          <x14:id>{A6293A75-3D3C-484C-A120-943FB3E09E3D}</x14:id>
        </ext>
      </extLst>
    </cfRule>
    <cfRule type="iconSet" priority="6497">
      <iconSet iconSet="3Arrows">
        <cfvo type="percent" val="0"/>
        <cfvo type="num" val="0.7"/>
        <cfvo type="num" val="1"/>
      </iconSet>
    </cfRule>
  </conditionalFormatting>
  <conditionalFormatting sqref="J3077 J3079 J3081 J3083">
    <cfRule type="dataBar" priority="6496">
      <dataBar>
        <cfvo type="num" val="0"/>
        <cfvo type="num" val="1"/>
        <color theme="4" tint="0.79998168889431442"/>
      </dataBar>
      <extLst>
        <ext xmlns:x14="http://schemas.microsoft.com/office/spreadsheetml/2009/9/main" uri="{B025F937-C7B1-47D3-B67F-A62EFF666E3E}">
          <x14:id>{799D9F1F-527B-4758-85C4-704A3AFE159B}</x14:id>
        </ext>
      </extLst>
    </cfRule>
    <cfRule type="iconSet" priority="6495">
      <iconSet iconSet="3Arrows">
        <cfvo type="percent" val="0"/>
        <cfvo type="num" val="0.7"/>
        <cfvo type="num" val="1"/>
      </iconSet>
    </cfRule>
  </conditionalFormatting>
  <conditionalFormatting sqref="J3085 J3087 J3089">
    <cfRule type="dataBar" priority="6494">
      <dataBar>
        <cfvo type="num" val="0"/>
        <cfvo type="num" val="1"/>
        <color theme="4" tint="0.79998168889431442"/>
      </dataBar>
      <extLst>
        <ext xmlns:x14="http://schemas.microsoft.com/office/spreadsheetml/2009/9/main" uri="{B025F937-C7B1-47D3-B67F-A62EFF666E3E}">
          <x14:id>{C6928DF2-609C-47AF-A3E2-3C637B008EC1}</x14:id>
        </ext>
      </extLst>
    </cfRule>
    <cfRule type="iconSet" priority="6493">
      <iconSet iconSet="3Arrows">
        <cfvo type="percent" val="0"/>
        <cfvo type="num" val="0.7"/>
        <cfvo type="num" val="1"/>
      </iconSet>
    </cfRule>
  </conditionalFormatting>
  <conditionalFormatting sqref="J3091">
    <cfRule type="dataBar" priority="6492">
      <dataBar>
        <cfvo type="num" val="0"/>
        <cfvo type="num" val="1"/>
        <color theme="4" tint="0.79998168889431442"/>
      </dataBar>
      <extLst>
        <ext xmlns:x14="http://schemas.microsoft.com/office/spreadsheetml/2009/9/main" uri="{B025F937-C7B1-47D3-B67F-A62EFF666E3E}">
          <x14:id>{17A70F3B-95B3-4DD3-A813-EF4645355818}</x14:id>
        </ext>
      </extLst>
    </cfRule>
    <cfRule type="iconSet" priority="6491">
      <iconSet iconSet="3Arrows">
        <cfvo type="percent" val="0"/>
        <cfvo type="num" val="0.7"/>
        <cfvo type="num" val="1"/>
      </iconSet>
    </cfRule>
  </conditionalFormatting>
  <conditionalFormatting sqref="J3093">
    <cfRule type="dataBar" priority="6490">
      <dataBar>
        <cfvo type="num" val="0"/>
        <cfvo type="num" val="1"/>
        <color theme="4" tint="0.79998168889431442"/>
      </dataBar>
      <extLst>
        <ext xmlns:x14="http://schemas.microsoft.com/office/spreadsheetml/2009/9/main" uri="{B025F937-C7B1-47D3-B67F-A62EFF666E3E}">
          <x14:id>{73EAB6AF-018E-4ABC-B390-D5CDD01AC20B}</x14:id>
        </ext>
      </extLst>
    </cfRule>
    <cfRule type="iconSet" priority="6489">
      <iconSet iconSet="3Arrows">
        <cfvo type="percent" val="0"/>
        <cfvo type="num" val="0.7"/>
        <cfvo type="num" val="1"/>
      </iconSet>
    </cfRule>
  </conditionalFormatting>
  <conditionalFormatting sqref="J3095">
    <cfRule type="iconSet" priority="6487">
      <iconSet iconSet="3Arrows">
        <cfvo type="percent" val="0"/>
        <cfvo type="num" val="0.7"/>
        <cfvo type="num" val="1"/>
      </iconSet>
    </cfRule>
    <cfRule type="dataBar" priority="6488">
      <dataBar>
        <cfvo type="num" val="0"/>
        <cfvo type="num" val="1"/>
        <color theme="4" tint="0.79998168889431442"/>
      </dataBar>
      <extLst>
        <ext xmlns:x14="http://schemas.microsoft.com/office/spreadsheetml/2009/9/main" uri="{B025F937-C7B1-47D3-B67F-A62EFF666E3E}">
          <x14:id>{AF624DB0-898C-48A7-B3BF-7E9E31C69705}</x14:id>
        </ext>
      </extLst>
    </cfRule>
  </conditionalFormatting>
  <conditionalFormatting sqref="J3097">
    <cfRule type="iconSet" priority="6485">
      <iconSet iconSet="3Arrows">
        <cfvo type="percent" val="0"/>
        <cfvo type="num" val="0.7"/>
        <cfvo type="num" val="1"/>
      </iconSet>
    </cfRule>
    <cfRule type="dataBar" priority="6486">
      <dataBar>
        <cfvo type="num" val="0"/>
        <cfvo type="num" val="1"/>
        <color theme="4" tint="0.79998168889431442"/>
      </dataBar>
      <extLst>
        <ext xmlns:x14="http://schemas.microsoft.com/office/spreadsheetml/2009/9/main" uri="{B025F937-C7B1-47D3-B67F-A62EFF666E3E}">
          <x14:id>{091CA060-1292-4790-AA3B-54E9861C7F38}</x14:id>
        </ext>
      </extLst>
    </cfRule>
  </conditionalFormatting>
  <conditionalFormatting sqref="J3101">
    <cfRule type="dataBar" priority="6484">
      <dataBar>
        <cfvo type="num" val="0"/>
        <cfvo type="num" val="1"/>
        <color theme="4" tint="0.79998168889431442"/>
      </dataBar>
      <extLst>
        <ext xmlns:x14="http://schemas.microsoft.com/office/spreadsheetml/2009/9/main" uri="{B025F937-C7B1-47D3-B67F-A62EFF666E3E}">
          <x14:id>{786A960B-D3B1-4559-93DC-15ECFCC17F35}</x14:id>
        </ext>
      </extLst>
    </cfRule>
    <cfRule type="iconSet" priority="6483">
      <iconSet iconSet="3Arrows">
        <cfvo type="percent" val="0"/>
        <cfvo type="num" val="0.7"/>
        <cfvo type="num" val="1"/>
      </iconSet>
    </cfRule>
  </conditionalFormatting>
  <conditionalFormatting sqref="J3103">
    <cfRule type="dataBar" priority="6482">
      <dataBar>
        <cfvo type="num" val="0"/>
        <cfvo type="num" val="1"/>
        <color theme="4" tint="0.79998168889431442"/>
      </dataBar>
      <extLst>
        <ext xmlns:x14="http://schemas.microsoft.com/office/spreadsheetml/2009/9/main" uri="{B025F937-C7B1-47D3-B67F-A62EFF666E3E}">
          <x14:id>{5F4F5063-6C34-44AA-BDF6-82A757107A1A}</x14:id>
        </ext>
      </extLst>
    </cfRule>
    <cfRule type="iconSet" priority="6481">
      <iconSet iconSet="3Arrows">
        <cfvo type="percent" val="0"/>
        <cfvo type="num" val="0.7"/>
        <cfvo type="num" val="1"/>
      </iconSet>
    </cfRule>
  </conditionalFormatting>
  <conditionalFormatting sqref="J3105 J3107">
    <cfRule type="dataBar" priority="6480">
      <dataBar>
        <cfvo type="num" val="0"/>
        <cfvo type="num" val="1"/>
        <color theme="4" tint="0.79998168889431442"/>
      </dataBar>
      <extLst>
        <ext xmlns:x14="http://schemas.microsoft.com/office/spreadsheetml/2009/9/main" uri="{B025F937-C7B1-47D3-B67F-A62EFF666E3E}">
          <x14:id>{B1717051-A5E0-4A17-AB3F-393EFCEFA7C1}</x14:id>
        </ext>
      </extLst>
    </cfRule>
    <cfRule type="iconSet" priority="6479">
      <iconSet iconSet="3Arrows">
        <cfvo type="percent" val="0"/>
        <cfvo type="num" val="0.7"/>
        <cfvo type="num" val="1"/>
      </iconSet>
    </cfRule>
  </conditionalFormatting>
  <conditionalFormatting sqref="J3109">
    <cfRule type="dataBar" priority="6478">
      <dataBar>
        <cfvo type="num" val="0"/>
        <cfvo type="num" val="1"/>
        <color theme="4" tint="0.79998168889431442"/>
      </dataBar>
      <extLst>
        <ext xmlns:x14="http://schemas.microsoft.com/office/spreadsheetml/2009/9/main" uri="{B025F937-C7B1-47D3-B67F-A62EFF666E3E}">
          <x14:id>{C8530A5D-553F-4892-85E1-1EFD04942BB8}</x14:id>
        </ext>
      </extLst>
    </cfRule>
    <cfRule type="iconSet" priority="6477">
      <iconSet iconSet="3Arrows">
        <cfvo type="percent" val="0"/>
        <cfvo type="num" val="0.7"/>
        <cfvo type="num" val="1"/>
      </iconSet>
    </cfRule>
  </conditionalFormatting>
  <conditionalFormatting sqref="J3111 J3113">
    <cfRule type="dataBar" priority="6476">
      <dataBar>
        <cfvo type="num" val="0"/>
        <cfvo type="num" val="1"/>
        <color theme="4" tint="0.79998168889431442"/>
      </dataBar>
      <extLst>
        <ext xmlns:x14="http://schemas.microsoft.com/office/spreadsheetml/2009/9/main" uri="{B025F937-C7B1-47D3-B67F-A62EFF666E3E}">
          <x14:id>{AD486823-73CD-491E-990F-29695C441267}</x14:id>
        </ext>
      </extLst>
    </cfRule>
    <cfRule type="iconSet" priority="6475">
      <iconSet iconSet="3Arrows">
        <cfvo type="percent" val="0"/>
        <cfvo type="num" val="0.7"/>
        <cfvo type="num" val="1"/>
      </iconSet>
    </cfRule>
  </conditionalFormatting>
  <conditionalFormatting sqref="J3115">
    <cfRule type="dataBar" priority="6474">
      <dataBar>
        <cfvo type="num" val="0"/>
        <cfvo type="num" val="1"/>
        <color theme="4" tint="0.79998168889431442"/>
      </dataBar>
      <extLst>
        <ext xmlns:x14="http://schemas.microsoft.com/office/spreadsheetml/2009/9/main" uri="{B025F937-C7B1-47D3-B67F-A62EFF666E3E}">
          <x14:id>{80296BCE-FB13-45A2-BCB8-6CFEE06FD828}</x14:id>
        </ext>
      </extLst>
    </cfRule>
    <cfRule type="iconSet" priority="6473">
      <iconSet iconSet="3Arrows">
        <cfvo type="percent" val="0"/>
        <cfvo type="num" val="0.7"/>
        <cfvo type="num" val="1"/>
      </iconSet>
    </cfRule>
  </conditionalFormatting>
  <conditionalFormatting sqref="J3117 J3119">
    <cfRule type="dataBar" priority="6472">
      <dataBar>
        <cfvo type="num" val="0"/>
        <cfvo type="num" val="1"/>
        <color theme="4" tint="0.79998168889431442"/>
      </dataBar>
      <extLst>
        <ext xmlns:x14="http://schemas.microsoft.com/office/spreadsheetml/2009/9/main" uri="{B025F937-C7B1-47D3-B67F-A62EFF666E3E}">
          <x14:id>{32CA4238-7956-4E75-9BA6-A55264D3FB0A}</x14:id>
        </ext>
      </extLst>
    </cfRule>
    <cfRule type="iconSet" priority="6471">
      <iconSet iconSet="3Arrows">
        <cfvo type="percent" val="0"/>
        <cfvo type="num" val="0.7"/>
        <cfvo type="num" val="1"/>
      </iconSet>
    </cfRule>
  </conditionalFormatting>
  <conditionalFormatting sqref="J3121">
    <cfRule type="dataBar" priority="6470">
      <dataBar>
        <cfvo type="num" val="0"/>
        <cfvo type="num" val="1"/>
        <color theme="4" tint="0.79998168889431442"/>
      </dataBar>
      <extLst>
        <ext xmlns:x14="http://schemas.microsoft.com/office/spreadsheetml/2009/9/main" uri="{B025F937-C7B1-47D3-B67F-A62EFF666E3E}">
          <x14:id>{5B5589CB-A87A-45C9-A4D7-F16086C6E140}</x14:id>
        </ext>
      </extLst>
    </cfRule>
    <cfRule type="iconSet" priority="6469">
      <iconSet iconSet="3Arrows">
        <cfvo type="percent" val="0"/>
        <cfvo type="num" val="0.7"/>
        <cfvo type="num" val="1"/>
      </iconSet>
    </cfRule>
  </conditionalFormatting>
  <conditionalFormatting sqref="J3123 J3125">
    <cfRule type="dataBar" priority="6468">
      <dataBar>
        <cfvo type="num" val="0"/>
        <cfvo type="num" val="1"/>
        <color theme="4" tint="0.79998168889431442"/>
      </dataBar>
      <extLst>
        <ext xmlns:x14="http://schemas.microsoft.com/office/spreadsheetml/2009/9/main" uri="{B025F937-C7B1-47D3-B67F-A62EFF666E3E}">
          <x14:id>{5DA6129A-85C0-4C5E-8B87-FF11E32791C6}</x14:id>
        </ext>
      </extLst>
    </cfRule>
    <cfRule type="iconSet" priority="6467">
      <iconSet iconSet="3Arrows">
        <cfvo type="percent" val="0"/>
        <cfvo type="num" val="0.7"/>
        <cfvo type="num" val="1"/>
      </iconSet>
    </cfRule>
  </conditionalFormatting>
  <conditionalFormatting sqref="J3127 J3129">
    <cfRule type="dataBar" priority="6466">
      <dataBar>
        <cfvo type="num" val="0"/>
        <cfvo type="num" val="1"/>
        <color theme="4" tint="0.79998168889431442"/>
      </dataBar>
      <extLst>
        <ext xmlns:x14="http://schemas.microsoft.com/office/spreadsheetml/2009/9/main" uri="{B025F937-C7B1-47D3-B67F-A62EFF666E3E}">
          <x14:id>{EC569ED8-2E42-4822-8773-44726284A44C}</x14:id>
        </ext>
      </extLst>
    </cfRule>
    <cfRule type="iconSet" priority="6465">
      <iconSet iconSet="3Arrows">
        <cfvo type="percent" val="0"/>
        <cfvo type="num" val="0.7"/>
        <cfvo type="num" val="1"/>
      </iconSet>
    </cfRule>
  </conditionalFormatting>
  <conditionalFormatting sqref="J3131">
    <cfRule type="dataBar" priority="6464">
      <dataBar>
        <cfvo type="num" val="0"/>
        <cfvo type="num" val="1"/>
        <color theme="4" tint="0.79998168889431442"/>
      </dataBar>
      <extLst>
        <ext xmlns:x14="http://schemas.microsoft.com/office/spreadsheetml/2009/9/main" uri="{B025F937-C7B1-47D3-B67F-A62EFF666E3E}">
          <x14:id>{5D89F368-1400-4246-902C-DBB91863FD47}</x14:id>
        </ext>
      </extLst>
    </cfRule>
    <cfRule type="iconSet" priority="6463">
      <iconSet iconSet="3Arrows">
        <cfvo type="percent" val="0"/>
        <cfvo type="num" val="0.7"/>
        <cfvo type="num" val="1"/>
      </iconSet>
    </cfRule>
  </conditionalFormatting>
  <conditionalFormatting sqref="J3133 J3135">
    <cfRule type="dataBar" priority="6462">
      <dataBar>
        <cfvo type="num" val="0"/>
        <cfvo type="num" val="1"/>
        <color theme="4" tint="0.79998168889431442"/>
      </dataBar>
      <extLst>
        <ext xmlns:x14="http://schemas.microsoft.com/office/spreadsheetml/2009/9/main" uri="{B025F937-C7B1-47D3-B67F-A62EFF666E3E}">
          <x14:id>{E61A1E5F-2F39-4145-935E-7CC363EC2D61}</x14:id>
        </ext>
      </extLst>
    </cfRule>
    <cfRule type="iconSet" priority="6461">
      <iconSet iconSet="3Arrows">
        <cfvo type="percent" val="0"/>
        <cfvo type="num" val="0.7"/>
        <cfvo type="num" val="1"/>
      </iconSet>
    </cfRule>
  </conditionalFormatting>
  <conditionalFormatting sqref="J3137">
    <cfRule type="dataBar" priority="6460">
      <dataBar>
        <cfvo type="num" val="0"/>
        <cfvo type="num" val="1"/>
        <color theme="4" tint="0.79998168889431442"/>
      </dataBar>
      <extLst>
        <ext xmlns:x14="http://schemas.microsoft.com/office/spreadsheetml/2009/9/main" uri="{B025F937-C7B1-47D3-B67F-A62EFF666E3E}">
          <x14:id>{EA2219F8-1436-4041-B8F8-28A75EE54275}</x14:id>
        </ext>
      </extLst>
    </cfRule>
    <cfRule type="iconSet" priority="6459">
      <iconSet iconSet="3Arrows">
        <cfvo type="percent" val="0"/>
        <cfvo type="num" val="0.7"/>
        <cfvo type="num" val="1"/>
      </iconSet>
    </cfRule>
  </conditionalFormatting>
  <conditionalFormatting sqref="J3139 J3141">
    <cfRule type="dataBar" priority="6458">
      <dataBar>
        <cfvo type="num" val="0"/>
        <cfvo type="num" val="1"/>
        <color theme="4" tint="0.79998168889431442"/>
      </dataBar>
      <extLst>
        <ext xmlns:x14="http://schemas.microsoft.com/office/spreadsheetml/2009/9/main" uri="{B025F937-C7B1-47D3-B67F-A62EFF666E3E}">
          <x14:id>{E57B3D41-E1B1-4553-9910-28C534E91AED}</x14:id>
        </ext>
      </extLst>
    </cfRule>
    <cfRule type="iconSet" priority="6457">
      <iconSet iconSet="3Arrows">
        <cfvo type="percent" val="0"/>
        <cfvo type="num" val="0.7"/>
        <cfvo type="num" val="1"/>
      </iconSet>
    </cfRule>
  </conditionalFormatting>
  <conditionalFormatting sqref="J3143">
    <cfRule type="dataBar" priority="6456">
      <dataBar>
        <cfvo type="num" val="0"/>
        <cfvo type="num" val="1"/>
        <color theme="4" tint="0.79998168889431442"/>
      </dataBar>
      <extLst>
        <ext xmlns:x14="http://schemas.microsoft.com/office/spreadsheetml/2009/9/main" uri="{B025F937-C7B1-47D3-B67F-A62EFF666E3E}">
          <x14:id>{F0758967-93A8-49FD-92EA-8CC4E6ACD392}</x14:id>
        </ext>
      </extLst>
    </cfRule>
    <cfRule type="iconSet" priority="6455">
      <iconSet iconSet="3Arrows">
        <cfvo type="percent" val="0"/>
        <cfvo type="num" val="0.7"/>
        <cfvo type="num" val="1"/>
      </iconSet>
    </cfRule>
  </conditionalFormatting>
  <conditionalFormatting sqref="J3145">
    <cfRule type="iconSet" priority="6453">
      <iconSet iconSet="3Arrows">
        <cfvo type="percent" val="0"/>
        <cfvo type="num" val="0.7"/>
        <cfvo type="num" val="1"/>
      </iconSet>
    </cfRule>
    <cfRule type="dataBar" priority="6454">
      <dataBar>
        <cfvo type="num" val="0"/>
        <cfvo type="num" val="1"/>
        <color theme="4" tint="0.79998168889431442"/>
      </dataBar>
      <extLst>
        <ext xmlns:x14="http://schemas.microsoft.com/office/spreadsheetml/2009/9/main" uri="{B025F937-C7B1-47D3-B67F-A62EFF666E3E}">
          <x14:id>{E101E0AD-8B5D-497B-AA54-EA2504986A78}</x14:id>
        </ext>
      </extLst>
    </cfRule>
  </conditionalFormatting>
  <conditionalFormatting sqref="J3147">
    <cfRule type="iconSet" priority="6451">
      <iconSet iconSet="3Arrows">
        <cfvo type="percent" val="0"/>
        <cfvo type="num" val="0.7"/>
        <cfvo type="num" val="1"/>
      </iconSet>
    </cfRule>
    <cfRule type="dataBar" priority="6452">
      <dataBar>
        <cfvo type="num" val="0"/>
        <cfvo type="num" val="1"/>
        <color theme="4" tint="0.79998168889431442"/>
      </dataBar>
      <extLst>
        <ext xmlns:x14="http://schemas.microsoft.com/office/spreadsheetml/2009/9/main" uri="{B025F937-C7B1-47D3-B67F-A62EFF666E3E}">
          <x14:id>{594F46AA-C1F5-49EC-A39A-71B424381D0D}</x14:id>
        </ext>
      </extLst>
    </cfRule>
  </conditionalFormatting>
  <conditionalFormatting sqref="J3151">
    <cfRule type="dataBar" priority="6450">
      <dataBar>
        <cfvo type="num" val="0"/>
        <cfvo type="num" val="1"/>
        <color theme="4" tint="0.79998168889431442"/>
      </dataBar>
      <extLst>
        <ext xmlns:x14="http://schemas.microsoft.com/office/spreadsheetml/2009/9/main" uri="{B025F937-C7B1-47D3-B67F-A62EFF666E3E}">
          <x14:id>{3EBD8B0C-36DC-4A79-87BB-766873C3F388}</x14:id>
        </ext>
      </extLst>
    </cfRule>
    <cfRule type="iconSet" priority="6449">
      <iconSet iconSet="3Arrows">
        <cfvo type="percent" val="0"/>
        <cfvo type="num" val="0.7"/>
        <cfvo type="num" val="1"/>
      </iconSet>
    </cfRule>
  </conditionalFormatting>
  <conditionalFormatting sqref="J3153 J3155 J3157">
    <cfRule type="dataBar" priority="6448">
      <dataBar>
        <cfvo type="num" val="0"/>
        <cfvo type="num" val="1"/>
        <color theme="4" tint="0.79998168889431442"/>
      </dataBar>
      <extLst>
        <ext xmlns:x14="http://schemas.microsoft.com/office/spreadsheetml/2009/9/main" uri="{B025F937-C7B1-47D3-B67F-A62EFF666E3E}">
          <x14:id>{2A337AE2-B527-4612-9F55-CF9F6675C229}</x14:id>
        </ext>
      </extLst>
    </cfRule>
    <cfRule type="iconSet" priority="6447">
      <iconSet iconSet="3Arrows">
        <cfvo type="percent" val="0"/>
        <cfvo type="num" val="0.7"/>
        <cfvo type="num" val="1"/>
      </iconSet>
    </cfRule>
  </conditionalFormatting>
  <conditionalFormatting sqref="J3159 J3161 J3163">
    <cfRule type="dataBar" priority="6446">
      <dataBar>
        <cfvo type="num" val="0"/>
        <cfvo type="num" val="1"/>
        <color theme="4" tint="0.79998168889431442"/>
      </dataBar>
      <extLst>
        <ext xmlns:x14="http://schemas.microsoft.com/office/spreadsheetml/2009/9/main" uri="{B025F937-C7B1-47D3-B67F-A62EFF666E3E}">
          <x14:id>{06D54363-1AEB-4EA7-B499-0835372E5DD3}</x14:id>
        </ext>
      </extLst>
    </cfRule>
    <cfRule type="iconSet" priority="6445">
      <iconSet iconSet="3Arrows">
        <cfvo type="percent" val="0"/>
        <cfvo type="num" val="0.7"/>
        <cfvo type="num" val="1"/>
      </iconSet>
    </cfRule>
  </conditionalFormatting>
  <conditionalFormatting sqref="J3165 J3167 J3169">
    <cfRule type="dataBar" priority="6444">
      <dataBar>
        <cfvo type="num" val="0"/>
        <cfvo type="num" val="1"/>
        <color theme="4" tint="0.79998168889431442"/>
      </dataBar>
      <extLst>
        <ext xmlns:x14="http://schemas.microsoft.com/office/spreadsheetml/2009/9/main" uri="{B025F937-C7B1-47D3-B67F-A62EFF666E3E}">
          <x14:id>{0E1F1DE7-D85D-4638-9F62-BDBB094B3526}</x14:id>
        </ext>
      </extLst>
    </cfRule>
    <cfRule type="iconSet" priority="6443">
      <iconSet iconSet="3Arrows">
        <cfvo type="percent" val="0"/>
        <cfvo type="num" val="0.7"/>
        <cfvo type="num" val="1"/>
      </iconSet>
    </cfRule>
  </conditionalFormatting>
  <conditionalFormatting sqref="J3171 J3173 J3175">
    <cfRule type="dataBar" priority="6442">
      <dataBar>
        <cfvo type="num" val="0"/>
        <cfvo type="num" val="1"/>
        <color theme="4" tint="0.79998168889431442"/>
      </dataBar>
      <extLst>
        <ext xmlns:x14="http://schemas.microsoft.com/office/spreadsheetml/2009/9/main" uri="{B025F937-C7B1-47D3-B67F-A62EFF666E3E}">
          <x14:id>{7E50B90B-B392-46D3-90C4-70CE5A008010}</x14:id>
        </ext>
      </extLst>
    </cfRule>
    <cfRule type="iconSet" priority="6441">
      <iconSet iconSet="3Arrows">
        <cfvo type="percent" val="0"/>
        <cfvo type="num" val="0.7"/>
        <cfvo type="num" val="1"/>
      </iconSet>
    </cfRule>
  </conditionalFormatting>
  <conditionalFormatting sqref="J3177 J3179 J3181">
    <cfRule type="dataBar" priority="6440">
      <dataBar>
        <cfvo type="num" val="0"/>
        <cfvo type="num" val="1"/>
        <color theme="4" tint="0.79998168889431442"/>
      </dataBar>
      <extLst>
        <ext xmlns:x14="http://schemas.microsoft.com/office/spreadsheetml/2009/9/main" uri="{B025F937-C7B1-47D3-B67F-A62EFF666E3E}">
          <x14:id>{5984EF63-F23E-4F2A-9B1B-0E0DAA9C1CE4}</x14:id>
        </ext>
      </extLst>
    </cfRule>
    <cfRule type="iconSet" priority="6439">
      <iconSet iconSet="3Arrows">
        <cfvo type="percent" val="0"/>
        <cfvo type="num" val="0.7"/>
        <cfvo type="num" val="1"/>
      </iconSet>
    </cfRule>
  </conditionalFormatting>
  <conditionalFormatting sqref="J3183 J3185 J3187">
    <cfRule type="iconSet" priority="6437">
      <iconSet iconSet="3Arrows">
        <cfvo type="percent" val="0"/>
        <cfvo type="num" val="0.7"/>
        <cfvo type="num" val="1"/>
      </iconSet>
    </cfRule>
    <cfRule type="dataBar" priority="6438">
      <dataBar>
        <cfvo type="num" val="0"/>
        <cfvo type="num" val="1"/>
        <color theme="4" tint="0.79998168889431442"/>
      </dataBar>
      <extLst>
        <ext xmlns:x14="http://schemas.microsoft.com/office/spreadsheetml/2009/9/main" uri="{B025F937-C7B1-47D3-B67F-A62EFF666E3E}">
          <x14:id>{C7AB8D8C-9F35-41DA-94CB-5B57C0144F10}</x14:id>
        </ext>
      </extLst>
    </cfRule>
  </conditionalFormatting>
  <conditionalFormatting sqref="J3189 J3191 J3193">
    <cfRule type="dataBar" priority="6436">
      <dataBar>
        <cfvo type="num" val="0"/>
        <cfvo type="num" val="1"/>
        <color theme="4" tint="0.79998168889431442"/>
      </dataBar>
      <extLst>
        <ext xmlns:x14="http://schemas.microsoft.com/office/spreadsheetml/2009/9/main" uri="{B025F937-C7B1-47D3-B67F-A62EFF666E3E}">
          <x14:id>{1468573D-8544-47D1-B08E-6B5F1CF0EC76}</x14:id>
        </ext>
      </extLst>
    </cfRule>
    <cfRule type="iconSet" priority="6435">
      <iconSet iconSet="3Arrows">
        <cfvo type="percent" val="0"/>
        <cfvo type="num" val="0.7"/>
        <cfvo type="num" val="1"/>
      </iconSet>
    </cfRule>
  </conditionalFormatting>
  <conditionalFormatting sqref="J3195 J3197 J3199">
    <cfRule type="dataBar" priority="6434">
      <dataBar>
        <cfvo type="num" val="0"/>
        <cfvo type="num" val="1"/>
        <color theme="4" tint="0.79998168889431442"/>
      </dataBar>
      <extLst>
        <ext xmlns:x14="http://schemas.microsoft.com/office/spreadsheetml/2009/9/main" uri="{B025F937-C7B1-47D3-B67F-A62EFF666E3E}">
          <x14:id>{02A77655-8314-4279-8CB5-E9D725480C18}</x14:id>
        </ext>
      </extLst>
    </cfRule>
    <cfRule type="iconSet" priority="6433">
      <iconSet iconSet="3Arrows">
        <cfvo type="percent" val="0"/>
        <cfvo type="num" val="0.7"/>
        <cfvo type="num" val="1"/>
      </iconSet>
    </cfRule>
  </conditionalFormatting>
  <conditionalFormatting sqref="J3201 J3203 J3205">
    <cfRule type="dataBar" priority="6432">
      <dataBar>
        <cfvo type="num" val="0"/>
        <cfvo type="num" val="1"/>
        <color theme="4" tint="0.79998168889431442"/>
      </dataBar>
      <extLst>
        <ext xmlns:x14="http://schemas.microsoft.com/office/spreadsheetml/2009/9/main" uri="{B025F937-C7B1-47D3-B67F-A62EFF666E3E}">
          <x14:id>{C1DA36A4-EF08-44E0-9DC0-9224298487CC}</x14:id>
        </ext>
      </extLst>
    </cfRule>
    <cfRule type="iconSet" priority="6431">
      <iconSet iconSet="3Arrows">
        <cfvo type="percent" val="0"/>
        <cfvo type="num" val="0.7"/>
        <cfvo type="num" val="1"/>
      </iconSet>
    </cfRule>
  </conditionalFormatting>
  <conditionalFormatting sqref="J3207 J3209 J3211">
    <cfRule type="iconSet" priority="6429">
      <iconSet iconSet="3Arrows">
        <cfvo type="percent" val="0"/>
        <cfvo type="num" val="0.7"/>
        <cfvo type="num" val="1"/>
      </iconSet>
    </cfRule>
    <cfRule type="dataBar" priority="6430">
      <dataBar>
        <cfvo type="num" val="0"/>
        <cfvo type="num" val="1"/>
        <color theme="4" tint="0.79998168889431442"/>
      </dataBar>
      <extLst>
        <ext xmlns:x14="http://schemas.microsoft.com/office/spreadsheetml/2009/9/main" uri="{B025F937-C7B1-47D3-B67F-A62EFF666E3E}">
          <x14:id>{5F27654F-8178-4994-98C7-AF338979138D}</x14:id>
        </ext>
      </extLst>
    </cfRule>
  </conditionalFormatting>
  <conditionalFormatting sqref="J3213 J3215 J3217">
    <cfRule type="dataBar" priority="6428">
      <dataBar>
        <cfvo type="num" val="0"/>
        <cfvo type="num" val="1"/>
        <color theme="4" tint="0.79998168889431442"/>
      </dataBar>
      <extLst>
        <ext xmlns:x14="http://schemas.microsoft.com/office/spreadsheetml/2009/9/main" uri="{B025F937-C7B1-47D3-B67F-A62EFF666E3E}">
          <x14:id>{CCDD7447-7F34-43A8-AFC7-A2D73841C07A}</x14:id>
        </ext>
      </extLst>
    </cfRule>
    <cfRule type="iconSet" priority="6427">
      <iconSet iconSet="3Arrows">
        <cfvo type="percent" val="0"/>
        <cfvo type="num" val="0.7"/>
        <cfvo type="num" val="1"/>
      </iconSet>
    </cfRule>
  </conditionalFormatting>
  <conditionalFormatting sqref="J3219 J3221">
    <cfRule type="dataBar" priority="6426">
      <dataBar>
        <cfvo type="num" val="0"/>
        <cfvo type="num" val="1"/>
        <color theme="4" tint="0.79998168889431442"/>
      </dataBar>
      <extLst>
        <ext xmlns:x14="http://schemas.microsoft.com/office/spreadsheetml/2009/9/main" uri="{B025F937-C7B1-47D3-B67F-A62EFF666E3E}">
          <x14:id>{42218F34-6125-4421-B165-5654D20EB00B}</x14:id>
        </ext>
      </extLst>
    </cfRule>
    <cfRule type="iconSet" priority="6425">
      <iconSet iconSet="3Arrows">
        <cfvo type="percent" val="0"/>
        <cfvo type="num" val="0.7"/>
        <cfvo type="num" val="1"/>
      </iconSet>
    </cfRule>
  </conditionalFormatting>
  <conditionalFormatting sqref="J3224">
    <cfRule type="dataBar" priority="6424">
      <dataBar>
        <cfvo type="num" val="0"/>
        <cfvo type="num" val="1"/>
        <color theme="4" tint="0.79998168889431442"/>
      </dataBar>
      <extLst>
        <ext xmlns:x14="http://schemas.microsoft.com/office/spreadsheetml/2009/9/main" uri="{B025F937-C7B1-47D3-B67F-A62EFF666E3E}">
          <x14:id>{5840E445-61B0-4FDB-B43F-027B19F42050}</x14:id>
        </ext>
      </extLst>
    </cfRule>
    <cfRule type="iconSet" priority="6423">
      <iconSet iconSet="3Arrows">
        <cfvo type="percent" val="0"/>
        <cfvo type="num" val="0.7"/>
        <cfvo type="num" val="1"/>
      </iconSet>
    </cfRule>
  </conditionalFormatting>
  <conditionalFormatting sqref="J3228">
    <cfRule type="iconSet" priority="6421">
      <iconSet iconSet="3Arrows">
        <cfvo type="percent" val="0"/>
        <cfvo type="num" val="0.7"/>
        <cfvo type="num" val="1"/>
      </iconSet>
    </cfRule>
    <cfRule type="dataBar" priority="6422">
      <dataBar>
        <cfvo type="num" val="0"/>
        <cfvo type="num" val="1"/>
        <color theme="4" tint="0.79998168889431442"/>
      </dataBar>
      <extLst>
        <ext xmlns:x14="http://schemas.microsoft.com/office/spreadsheetml/2009/9/main" uri="{B025F937-C7B1-47D3-B67F-A62EFF666E3E}">
          <x14:id>{9FA317C8-3029-4BFD-8338-AF3BD7AA17CE}</x14:id>
        </ext>
      </extLst>
    </cfRule>
  </conditionalFormatting>
  <conditionalFormatting sqref="J3230">
    <cfRule type="iconSet" priority="6419">
      <iconSet iconSet="3Arrows">
        <cfvo type="percent" val="0"/>
        <cfvo type="num" val="0.7"/>
        <cfvo type="num" val="1"/>
      </iconSet>
    </cfRule>
    <cfRule type="dataBar" priority="6420">
      <dataBar>
        <cfvo type="num" val="0"/>
        <cfvo type="num" val="1"/>
        <color theme="4" tint="0.79998168889431442"/>
      </dataBar>
      <extLst>
        <ext xmlns:x14="http://schemas.microsoft.com/office/spreadsheetml/2009/9/main" uri="{B025F937-C7B1-47D3-B67F-A62EFF666E3E}">
          <x14:id>{637D8689-2115-4EF5-9B18-3593E08C67A3}</x14:id>
        </ext>
      </extLst>
    </cfRule>
  </conditionalFormatting>
  <conditionalFormatting sqref="J3232 J3234 J3236">
    <cfRule type="dataBar" priority="6418">
      <dataBar>
        <cfvo type="num" val="0"/>
        <cfvo type="num" val="1"/>
        <color theme="4" tint="0.79998168889431442"/>
      </dataBar>
      <extLst>
        <ext xmlns:x14="http://schemas.microsoft.com/office/spreadsheetml/2009/9/main" uri="{B025F937-C7B1-47D3-B67F-A62EFF666E3E}">
          <x14:id>{07C6BA1C-A7AA-40AD-A019-63C1A9D5F66C}</x14:id>
        </ext>
      </extLst>
    </cfRule>
    <cfRule type="iconSet" priority="6417">
      <iconSet iconSet="3Arrows">
        <cfvo type="percent" val="0"/>
        <cfvo type="num" val="0.7"/>
        <cfvo type="num" val="1"/>
      </iconSet>
    </cfRule>
  </conditionalFormatting>
  <conditionalFormatting sqref="J3238">
    <cfRule type="dataBar" priority="6416">
      <dataBar>
        <cfvo type="num" val="0"/>
        <cfvo type="num" val="1"/>
        <color theme="4" tint="0.79998168889431442"/>
      </dataBar>
      <extLst>
        <ext xmlns:x14="http://schemas.microsoft.com/office/spreadsheetml/2009/9/main" uri="{B025F937-C7B1-47D3-B67F-A62EFF666E3E}">
          <x14:id>{BDEF319D-7C54-4337-B6FB-61E282616EEC}</x14:id>
        </ext>
      </extLst>
    </cfRule>
    <cfRule type="iconSet" priority="6415">
      <iconSet iconSet="3Arrows">
        <cfvo type="percent" val="0"/>
        <cfvo type="num" val="0.7"/>
        <cfvo type="num" val="1"/>
      </iconSet>
    </cfRule>
  </conditionalFormatting>
  <conditionalFormatting sqref="J3240">
    <cfRule type="dataBar" priority="6414">
      <dataBar>
        <cfvo type="num" val="0"/>
        <cfvo type="num" val="1"/>
        <color theme="4" tint="0.79998168889431442"/>
      </dataBar>
      <extLst>
        <ext xmlns:x14="http://schemas.microsoft.com/office/spreadsheetml/2009/9/main" uri="{B025F937-C7B1-47D3-B67F-A62EFF666E3E}">
          <x14:id>{08F5C3B5-45BA-47D0-B28F-D6DF92229142}</x14:id>
        </ext>
      </extLst>
    </cfRule>
    <cfRule type="iconSet" priority="6413">
      <iconSet iconSet="3Arrows">
        <cfvo type="percent" val="0"/>
        <cfvo type="num" val="0.7"/>
        <cfvo type="num" val="1"/>
      </iconSet>
    </cfRule>
  </conditionalFormatting>
  <conditionalFormatting sqref="J3242">
    <cfRule type="dataBar" priority="6412">
      <dataBar>
        <cfvo type="num" val="0"/>
        <cfvo type="num" val="1"/>
        <color theme="4" tint="0.79998168889431442"/>
      </dataBar>
      <extLst>
        <ext xmlns:x14="http://schemas.microsoft.com/office/spreadsheetml/2009/9/main" uri="{B025F937-C7B1-47D3-B67F-A62EFF666E3E}">
          <x14:id>{A2B330C0-B42C-4E59-98D7-7E7451510091}</x14:id>
        </ext>
      </extLst>
    </cfRule>
    <cfRule type="iconSet" priority="6411">
      <iconSet iconSet="3Arrows">
        <cfvo type="percent" val="0"/>
        <cfvo type="num" val="0.7"/>
        <cfvo type="num" val="1"/>
      </iconSet>
    </cfRule>
  </conditionalFormatting>
  <conditionalFormatting sqref="J3244">
    <cfRule type="dataBar" priority="6410">
      <dataBar>
        <cfvo type="num" val="0"/>
        <cfvo type="num" val="1"/>
        <color theme="4" tint="0.79998168889431442"/>
      </dataBar>
      <extLst>
        <ext xmlns:x14="http://schemas.microsoft.com/office/spreadsheetml/2009/9/main" uri="{B025F937-C7B1-47D3-B67F-A62EFF666E3E}">
          <x14:id>{40D8C906-DAA5-4DEC-BD64-E0274219E2A8}</x14:id>
        </ext>
      </extLst>
    </cfRule>
    <cfRule type="iconSet" priority="6409">
      <iconSet iconSet="3Arrows">
        <cfvo type="percent" val="0"/>
        <cfvo type="num" val="0.7"/>
        <cfvo type="num" val="1"/>
      </iconSet>
    </cfRule>
  </conditionalFormatting>
  <conditionalFormatting sqref="J3246">
    <cfRule type="dataBar" priority="6408">
      <dataBar>
        <cfvo type="num" val="0"/>
        <cfvo type="num" val="1"/>
        <color theme="4" tint="0.79998168889431442"/>
      </dataBar>
      <extLst>
        <ext xmlns:x14="http://schemas.microsoft.com/office/spreadsheetml/2009/9/main" uri="{B025F937-C7B1-47D3-B67F-A62EFF666E3E}">
          <x14:id>{BFD53E48-04C0-4132-88B4-908D191F1350}</x14:id>
        </ext>
      </extLst>
    </cfRule>
    <cfRule type="iconSet" priority="6407">
      <iconSet iconSet="3Arrows">
        <cfvo type="percent" val="0"/>
        <cfvo type="num" val="0.7"/>
        <cfvo type="num" val="1"/>
      </iconSet>
    </cfRule>
  </conditionalFormatting>
  <conditionalFormatting sqref="J3248">
    <cfRule type="dataBar" priority="6406">
      <dataBar>
        <cfvo type="num" val="0"/>
        <cfvo type="num" val="1"/>
        <color theme="4" tint="0.79998168889431442"/>
      </dataBar>
      <extLst>
        <ext xmlns:x14="http://schemas.microsoft.com/office/spreadsheetml/2009/9/main" uri="{B025F937-C7B1-47D3-B67F-A62EFF666E3E}">
          <x14:id>{6709C936-CEFC-4174-B290-085F618A53FF}</x14:id>
        </ext>
      </extLst>
    </cfRule>
    <cfRule type="iconSet" priority="6405">
      <iconSet iconSet="3Arrows">
        <cfvo type="percent" val="0"/>
        <cfvo type="num" val="0.7"/>
        <cfvo type="num" val="1"/>
      </iconSet>
    </cfRule>
  </conditionalFormatting>
  <conditionalFormatting sqref="J3252">
    <cfRule type="dataBar" priority="6404">
      <dataBar>
        <cfvo type="num" val="0"/>
        <cfvo type="num" val="1"/>
        <color theme="4" tint="0.79998168889431442"/>
      </dataBar>
      <extLst>
        <ext xmlns:x14="http://schemas.microsoft.com/office/spreadsheetml/2009/9/main" uri="{B025F937-C7B1-47D3-B67F-A62EFF666E3E}">
          <x14:id>{EB879D7E-96F1-402B-B04D-F4DDD3EC9C04}</x14:id>
        </ext>
      </extLst>
    </cfRule>
    <cfRule type="iconSet" priority="6403">
      <iconSet iconSet="3Arrows">
        <cfvo type="percent" val="0"/>
        <cfvo type="num" val="0.7"/>
        <cfvo type="num" val="1"/>
      </iconSet>
    </cfRule>
  </conditionalFormatting>
  <conditionalFormatting sqref="J3254">
    <cfRule type="dataBar" priority="6402">
      <dataBar>
        <cfvo type="num" val="0"/>
        <cfvo type="num" val="1"/>
        <color theme="4" tint="0.79998168889431442"/>
      </dataBar>
      <extLst>
        <ext xmlns:x14="http://schemas.microsoft.com/office/spreadsheetml/2009/9/main" uri="{B025F937-C7B1-47D3-B67F-A62EFF666E3E}">
          <x14:id>{C778A024-6E91-4309-8A5F-39EE3F98B393}</x14:id>
        </ext>
      </extLst>
    </cfRule>
    <cfRule type="iconSet" priority="6401">
      <iconSet iconSet="3Arrows">
        <cfvo type="percent" val="0"/>
        <cfvo type="num" val="0.7"/>
        <cfvo type="num" val="1"/>
      </iconSet>
    </cfRule>
  </conditionalFormatting>
  <conditionalFormatting sqref="J3256">
    <cfRule type="dataBar" priority="6400">
      <dataBar>
        <cfvo type="num" val="0"/>
        <cfvo type="num" val="1"/>
        <color theme="4" tint="0.79998168889431442"/>
      </dataBar>
      <extLst>
        <ext xmlns:x14="http://schemas.microsoft.com/office/spreadsheetml/2009/9/main" uri="{B025F937-C7B1-47D3-B67F-A62EFF666E3E}">
          <x14:id>{2827DC6F-23A3-4BB8-9070-759B444EFC08}</x14:id>
        </ext>
      </extLst>
    </cfRule>
    <cfRule type="iconSet" priority="6399">
      <iconSet iconSet="3Arrows">
        <cfvo type="percent" val="0"/>
        <cfvo type="num" val="0.7"/>
        <cfvo type="num" val="1"/>
      </iconSet>
    </cfRule>
  </conditionalFormatting>
  <conditionalFormatting sqref="J3258">
    <cfRule type="dataBar" priority="6398">
      <dataBar>
        <cfvo type="num" val="0"/>
        <cfvo type="num" val="1"/>
        <color theme="4" tint="0.79998168889431442"/>
      </dataBar>
      <extLst>
        <ext xmlns:x14="http://schemas.microsoft.com/office/spreadsheetml/2009/9/main" uri="{B025F937-C7B1-47D3-B67F-A62EFF666E3E}">
          <x14:id>{48D01503-82A4-40E3-9448-AB443A5AEA31}</x14:id>
        </ext>
      </extLst>
    </cfRule>
    <cfRule type="iconSet" priority="6397">
      <iconSet iconSet="3Arrows">
        <cfvo type="percent" val="0"/>
        <cfvo type="num" val="0.7"/>
        <cfvo type="num" val="1"/>
      </iconSet>
    </cfRule>
  </conditionalFormatting>
  <conditionalFormatting sqref="J3260">
    <cfRule type="dataBar" priority="6396">
      <dataBar>
        <cfvo type="num" val="0"/>
        <cfvo type="num" val="1"/>
        <color theme="4" tint="0.79998168889431442"/>
      </dataBar>
      <extLst>
        <ext xmlns:x14="http://schemas.microsoft.com/office/spreadsheetml/2009/9/main" uri="{B025F937-C7B1-47D3-B67F-A62EFF666E3E}">
          <x14:id>{0FC79581-5075-4812-A527-0241AAD50975}</x14:id>
        </ext>
      </extLst>
    </cfRule>
    <cfRule type="iconSet" priority="6395">
      <iconSet iconSet="3Arrows">
        <cfvo type="percent" val="0"/>
        <cfvo type="num" val="0.7"/>
        <cfvo type="num" val="1"/>
      </iconSet>
    </cfRule>
  </conditionalFormatting>
  <conditionalFormatting sqref="J3262">
    <cfRule type="dataBar" priority="6394">
      <dataBar>
        <cfvo type="num" val="0"/>
        <cfvo type="num" val="1"/>
        <color theme="4" tint="0.79998168889431442"/>
      </dataBar>
      <extLst>
        <ext xmlns:x14="http://schemas.microsoft.com/office/spreadsheetml/2009/9/main" uri="{B025F937-C7B1-47D3-B67F-A62EFF666E3E}">
          <x14:id>{0B641E0A-1809-48A7-9889-2870A80A4959}</x14:id>
        </ext>
      </extLst>
    </cfRule>
    <cfRule type="iconSet" priority="6393">
      <iconSet iconSet="3Arrows">
        <cfvo type="percent" val="0"/>
        <cfvo type="num" val="0.7"/>
        <cfvo type="num" val="1"/>
      </iconSet>
    </cfRule>
  </conditionalFormatting>
  <conditionalFormatting sqref="J3264">
    <cfRule type="dataBar" priority="6392">
      <dataBar>
        <cfvo type="num" val="0"/>
        <cfvo type="num" val="1"/>
        <color theme="4" tint="0.79998168889431442"/>
      </dataBar>
      <extLst>
        <ext xmlns:x14="http://schemas.microsoft.com/office/spreadsheetml/2009/9/main" uri="{B025F937-C7B1-47D3-B67F-A62EFF666E3E}">
          <x14:id>{8C39FAA4-F50B-4213-B74F-5D5436EDC6BA}</x14:id>
        </ext>
      </extLst>
    </cfRule>
    <cfRule type="iconSet" priority="6391">
      <iconSet iconSet="3Arrows">
        <cfvo type="percent" val="0"/>
        <cfvo type="num" val="0.7"/>
        <cfvo type="num" val="1"/>
      </iconSet>
    </cfRule>
  </conditionalFormatting>
  <conditionalFormatting sqref="J3266">
    <cfRule type="iconSet" priority="6389">
      <iconSet iconSet="3Arrows">
        <cfvo type="percent" val="0"/>
        <cfvo type="num" val="0.7"/>
        <cfvo type="num" val="1"/>
      </iconSet>
    </cfRule>
    <cfRule type="dataBar" priority="6390">
      <dataBar>
        <cfvo type="num" val="0"/>
        <cfvo type="num" val="1"/>
        <color theme="4" tint="0.79998168889431442"/>
      </dataBar>
      <extLst>
        <ext xmlns:x14="http://schemas.microsoft.com/office/spreadsheetml/2009/9/main" uri="{B025F937-C7B1-47D3-B67F-A62EFF666E3E}">
          <x14:id>{AC2819DE-B71C-4A27-BCAC-2EA91554E278}</x14:id>
        </ext>
      </extLst>
    </cfRule>
  </conditionalFormatting>
  <conditionalFormatting sqref="J3268">
    <cfRule type="iconSet" priority="6387">
      <iconSet iconSet="3Arrows">
        <cfvo type="percent" val="0"/>
        <cfvo type="num" val="0.7"/>
        <cfvo type="num" val="1"/>
      </iconSet>
    </cfRule>
    <cfRule type="dataBar" priority="6388">
      <dataBar>
        <cfvo type="num" val="0"/>
        <cfvo type="num" val="1"/>
        <color theme="4" tint="0.79998168889431442"/>
      </dataBar>
      <extLst>
        <ext xmlns:x14="http://schemas.microsoft.com/office/spreadsheetml/2009/9/main" uri="{B025F937-C7B1-47D3-B67F-A62EFF666E3E}">
          <x14:id>{400BE6B7-0FA5-4023-9EAF-B1A141FBE787}</x14:id>
        </ext>
      </extLst>
    </cfRule>
  </conditionalFormatting>
  <conditionalFormatting sqref="J3270">
    <cfRule type="iconSet" priority="6385">
      <iconSet iconSet="3Arrows">
        <cfvo type="percent" val="0"/>
        <cfvo type="num" val="0.7"/>
        <cfvo type="num" val="1"/>
      </iconSet>
    </cfRule>
    <cfRule type="dataBar" priority="6386">
      <dataBar>
        <cfvo type="num" val="0"/>
        <cfvo type="num" val="1"/>
        <color theme="4" tint="0.79998168889431442"/>
      </dataBar>
      <extLst>
        <ext xmlns:x14="http://schemas.microsoft.com/office/spreadsheetml/2009/9/main" uri="{B025F937-C7B1-47D3-B67F-A62EFF666E3E}">
          <x14:id>{4803DE9E-3259-4914-8A8F-CAFA80C01570}</x14:id>
        </ext>
      </extLst>
    </cfRule>
  </conditionalFormatting>
  <conditionalFormatting sqref="J3272">
    <cfRule type="dataBar" priority="6384">
      <dataBar>
        <cfvo type="num" val="0"/>
        <cfvo type="num" val="1"/>
        <color theme="4" tint="0.79998168889431442"/>
      </dataBar>
      <extLst>
        <ext xmlns:x14="http://schemas.microsoft.com/office/spreadsheetml/2009/9/main" uri="{B025F937-C7B1-47D3-B67F-A62EFF666E3E}">
          <x14:id>{E82C971E-84E6-44B3-8EAF-01A8A8AC37CA}</x14:id>
        </ext>
      </extLst>
    </cfRule>
    <cfRule type="iconSet" priority="6383">
      <iconSet iconSet="3Arrows">
        <cfvo type="percent" val="0"/>
        <cfvo type="num" val="0.7"/>
        <cfvo type="num" val="1"/>
      </iconSet>
    </cfRule>
  </conditionalFormatting>
  <conditionalFormatting sqref="J3274">
    <cfRule type="dataBar" priority="6382">
      <dataBar>
        <cfvo type="num" val="0"/>
        <cfvo type="num" val="1"/>
        <color theme="4" tint="0.79998168889431442"/>
      </dataBar>
      <extLst>
        <ext xmlns:x14="http://schemas.microsoft.com/office/spreadsheetml/2009/9/main" uri="{B025F937-C7B1-47D3-B67F-A62EFF666E3E}">
          <x14:id>{AC102FB3-2EB8-4A89-BBA9-FDB56F449EB9}</x14:id>
        </ext>
      </extLst>
    </cfRule>
    <cfRule type="iconSet" priority="6381">
      <iconSet iconSet="3Arrows">
        <cfvo type="percent" val="0"/>
        <cfvo type="num" val="0.7"/>
        <cfvo type="num" val="1"/>
      </iconSet>
    </cfRule>
  </conditionalFormatting>
  <conditionalFormatting sqref="J3277">
    <cfRule type="dataBar" priority="6380">
      <dataBar>
        <cfvo type="num" val="0"/>
        <cfvo type="num" val="1"/>
        <color theme="4" tint="0.79998168889431442"/>
      </dataBar>
      <extLst>
        <ext xmlns:x14="http://schemas.microsoft.com/office/spreadsheetml/2009/9/main" uri="{B025F937-C7B1-47D3-B67F-A62EFF666E3E}">
          <x14:id>{8D36CD32-9711-4CF5-8875-61486DBC4C68}</x14:id>
        </ext>
      </extLst>
    </cfRule>
    <cfRule type="iconSet" priority="6379">
      <iconSet iconSet="3Arrows">
        <cfvo type="percent" val="0"/>
        <cfvo type="num" val="0.7"/>
        <cfvo type="num" val="1"/>
      </iconSet>
    </cfRule>
  </conditionalFormatting>
  <conditionalFormatting sqref="J3279 J3281 J3283">
    <cfRule type="dataBar" priority="6378">
      <dataBar>
        <cfvo type="num" val="0"/>
        <cfvo type="num" val="1"/>
        <color theme="4" tint="0.79998168889431442"/>
      </dataBar>
      <extLst>
        <ext xmlns:x14="http://schemas.microsoft.com/office/spreadsheetml/2009/9/main" uri="{B025F937-C7B1-47D3-B67F-A62EFF666E3E}">
          <x14:id>{52CDD16F-16D6-46FD-B47E-A5DCA1065EF7}</x14:id>
        </ext>
      </extLst>
    </cfRule>
    <cfRule type="iconSet" priority="6377">
      <iconSet iconSet="3Arrows">
        <cfvo type="percent" val="0"/>
        <cfvo type="num" val="0.7"/>
        <cfvo type="num" val="1"/>
      </iconSet>
    </cfRule>
  </conditionalFormatting>
  <conditionalFormatting sqref="J3285">
    <cfRule type="dataBar" priority="6376">
      <dataBar>
        <cfvo type="num" val="0"/>
        <cfvo type="num" val="1"/>
        <color theme="4" tint="0.79998168889431442"/>
      </dataBar>
      <extLst>
        <ext xmlns:x14="http://schemas.microsoft.com/office/spreadsheetml/2009/9/main" uri="{B025F937-C7B1-47D3-B67F-A62EFF666E3E}">
          <x14:id>{8ECCACF9-92C8-4813-8869-9B6ECC977E41}</x14:id>
        </ext>
      </extLst>
    </cfRule>
    <cfRule type="iconSet" priority="6375">
      <iconSet iconSet="3Arrows">
        <cfvo type="percent" val="0"/>
        <cfvo type="num" val="0.7"/>
        <cfvo type="num" val="1"/>
      </iconSet>
    </cfRule>
  </conditionalFormatting>
  <conditionalFormatting sqref="J3289">
    <cfRule type="iconSet" priority="6373">
      <iconSet iconSet="3Arrows">
        <cfvo type="percent" val="0"/>
        <cfvo type="num" val="0.7"/>
        <cfvo type="num" val="1"/>
      </iconSet>
    </cfRule>
    <cfRule type="dataBar" priority="6374">
      <dataBar>
        <cfvo type="num" val="0"/>
        <cfvo type="num" val="1"/>
        <color theme="4" tint="0.79998168889431442"/>
      </dataBar>
      <extLst>
        <ext xmlns:x14="http://schemas.microsoft.com/office/spreadsheetml/2009/9/main" uri="{B025F937-C7B1-47D3-B67F-A62EFF666E3E}">
          <x14:id>{1D23A369-395E-450F-B3DA-5D5D56A53455}</x14:id>
        </ext>
      </extLst>
    </cfRule>
  </conditionalFormatting>
  <conditionalFormatting sqref="J3291 J3293 J3295">
    <cfRule type="iconSet" priority="6371">
      <iconSet iconSet="3Arrows">
        <cfvo type="percent" val="0"/>
        <cfvo type="num" val="0.7"/>
        <cfvo type="num" val="1"/>
      </iconSet>
    </cfRule>
    <cfRule type="dataBar" priority="6372">
      <dataBar>
        <cfvo type="num" val="0"/>
        <cfvo type="num" val="1"/>
        <color theme="4" tint="0.79998168889431442"/>
      </dataBar>
      <extLst>
        <ext xmlns:x14="http://schemas.microsoft.com/office/spreadsheetml/2009/9/main" uri="{B025F937-C7B1-47D3-B67F-A62EFF666E3E}">
          <x14:id>{79FC3E7E-B20D-4321-93F6-5FDA2E76752C}</x14:id>
        </ext>
      </extLst>
    </cfRule>
  </conditionalFormatting>
  <conditionalFormatting sqref="J3297 J3299 J3301">
    <cfRule type="dataBar" priority="6370">
      <dataBar>
        <cfvo type="num" val="0"/>
        <cfvo type="num" val="1"/>
        <color theme="4" tint="0.79998168889431442"/>
      </dataBar>
      <extLst>
        <ext xmlns:x14="http://schemas.microsoft.com/office/spreadsheetml/2009/9/main" uri="{B025F937-C7B1-47D3-B67F-A62EFF666E3E}">
          <x14:id>{3E54FD96-3695-4325-99D5-A6996F195A14}</x14:id>
        </ext>
      </extLst>
    </cfRule>
    <cfRule type="iconSet" priority="6369">
      <iconSet iconSet="3Arrows">
        <cfvo type="percent" val="0"/>
        <cfvo type="num" val="0.7"/>
        <cfvo type="num" val="1"/>
      </iconSet>
    </cfRule>
  </conditionalFormatting>
  <conditionalFormatting sqref="J3303">
    <cfRule type="dataBar" priority="6368">
      <dataBar>
        <cfvo type="num" val="0"/>
        <cfvo type="num" val="1"/>
        <color theme="4" tint="0.79998168889431442"/>
      </dataBar>
      <extLst>
        <ext xmlns:x14="http://schemas.microsoft.com/office/spreadsheetml/2009/9/main" uri="{B025F937-C7B1-47D3-B67F-A62EFF666E3E}">
          <x14:id>{DB722270-C91B-4CE7-8061-9CCD63D21706}</x14:id>
        </ext>
      </extLst>
    </cfRule>
    <cfRule type="iconSet" priority="6367">
      <iconSet iconSet="3Arrows">
        <cfvo type="percent" val="0"/>
        <cfvo type="num" val="0.7"/>
        <cfvo type="num" val="1"/>
      </iconSet>
    </cfRule>
  </conditionalFormatting>
  <conditionalFormatting sqref="J3305">
    <cfRule type="dataBar" priority="6366">
      <dataBar>
        <cfvo type="num" val="0"/>
        <cfvo type="num" val="1"/>
        <color theme="4" tint="0.79998168889431442"/>
      </dataBar>
      <extLst>
        <ext xmlns:x14="http://schemas.microsoft.com/office/spreadsheetml/2009/9/main" uri="{B025F937-C7B1-47D3-B67F-A62EFF666E3E}">
          <x14:id>{91469025-01DF-4420-BD85-A8D175D48D6E}</x14:id>
        </ext>
      </extLst>
    </cfRule>
    <cfRule type="iconSet" priority="6365">
      <iconSet iconSet="3Arrows">
        <cfvo type="percent" val="0"/>
        <cfvo type="num" val="0.7"/>
        <cfvo type="num" val="1"/>
      </iconSet>
    </cfRule>
  </conditionalFormatting>
  <conditionalFormatting sqref="J3309">
    <cfRule type="dataBar" priority="6364">
      <dataBar>
        <cfvo type="num" val="0"/>
        <cfvo type="num" val="1"/>
        <color theme="4" tint="0.79998168889431442"/>
      </dataBar>
      <extLst>
        <ext xmlns:x14="http://schemas.microsoft.com/office/spreadsheetml/2009/9/main" uri="{B025F937-C7B1-47D3-B67F-A62EFF666E3E}">
          <x14:id>{A47B8B44-E12C-40AF-9855-23D7CCF7A77C}</x14:id>
        </ext>
      </extLst>
    </cfRule>
    <cfRule type="iconSet" priority="6363">
      <iconSet iconSet="3Arrows">
        <cfvo type="percent" val="0"/>
        <cfvo type="num" val="0.7"/>
        <cfvo type="num" val="1"/>
      </iconSet>
    </cfRule>
  </conditionalFormatting>
  <conditionalFormatting sqref="J3311">
    <cfRule type="dataBar" priority="6362">
      <dataBar>
        <cfvo type="num" val="0"/>
        <cfvo type="num" val="1"/>
        <color theme="4" tint="0.79998168889431442"/>
      </dataBar>
      <extLst>
        <ext xmlns:x14="http://schemas.microsoft.com/office/spreadsheetml/2009/9/main" uri="{B025F937-C7B1-47D3-B67F-A62EFF666E3E}">
          <x14:id>{C78F2120-8958-44E7-B308-ABE641D5CB4B}</x14:id>
        </ext>
      </extLst>
    </cfRule>
    <cfRule type="iconSet" priority="6361">
      <iconSet iconSet="3Arrows">
        <cfvo type="percent" val="0"/>
        <cfvo type="num" val="0.7"/>
        <cfvo type="num" val="1"/>
      </iconSet>
    </cfRule>
  </conditionalFormatting>
  <conditionalFormatting sqref="J3313 J3315">
    <cfRule type="dataBar" priority="6360">
      <dataBar>
        <cfvo type="num" val="0"/>
        <cfvo type="num" val="1"/>
        <color theme="4" tint="0.79998168889431442"/>
      </dataBar>
      <extLst>
        <ext xmlns:x14="http://schemas.microsoft.com/office/spreadsheetml/2009/9/main" uri="{B025F937-C7B1-47D3-B67F-A62EFF666E3E}">
          <x14:id>{36ED95EC-1F4E-49F9-8D28-B037CDEDD0D6}</x14:id>
        </ext>
      </extLst>
    </cfRule>
    <cfRule type="iconSet" priority="6359">
      <iconSet iconSet="3Arrows">
        <cfvo type="percent" val="0"/>
        <cfvo type="num" val="0.7"/>
        <cfvo type="num" val="1"/>
      </iconSet>
    </cfRule>
  </conditionalFormatting>
  <conditionalFormatting sqref="J3317">
    <cfRule type="iconSet" priority="6357">
      <iconSet iconSet="3Arrows">
        <cfvo type="percent" val="0"/>
        <cfvo type="num" val="0.7"/>
        <cfvo type="num" val="1"/>
      </iconSet>
    </cfRule>
    <cfRule type="dataBar" priority="6358">
      <dataBar>
        <cfvo type="num" val="0"/>
        <cfvo type="num" val="1"/>
        <color theme="4" tint="0.79998168889431442"/>
      </dataBar>
      <extLst>
        <ext xmlns:x14="http://schemas.microsoft.com/office/spreadsheetml/2009/9/main" uri="{B025F937-C7B1-47D3-B67F-A62EFF666E3E}">
          <x14:id>{86002926-95BC-4B44-A87E-94A88D7CEBBF}</x14:id>
        </ext>
      </extLst>
    </cfRule>
  </conditionalFormatting>
  <conditionalFormatting sqref="J3319 J3321">
    <cfRule type="iconSet" priority="6355">
      <iconSet iconSet="3Arrows">
        <cfvo type="percent" val="0"/>
        <cfvo type="num" val="0.7"/>
        <cfvo type="num" val="1"/>
      </iconSet>
    </cfRule>
    <cfRule type="dataBar" priority="6356">
      <dataBar>
        <cfvo type="num" val="0"/>
        <cfvo type="num" val="1"/>
        <color theme="4" tint="0.79998168889431442"/>
      </dataBar>
      <extLst>
        <ext xmlns:x14="http://schemas.microsoft.com/office/spreadsheetml/2009/9/main" uri="{B025F937-C7B1-47D3-B67F-A62EFF666E3E}">
          <x14:id>{730640E2-57D7-4A8A-970A-126663A254D4}</x14:id>
        </ext>
      </extLst>
    </cfRule>
  </conditionalFormatting>
  <conditionalFormatting sqref="J3325">
    <cfRule type="dataBar" priority="6354">
      <dataBar>
        <cfvo type="num" val="0"/>
        <cfvo type="num" val="1"/>
        <color theme="4" tint="0.79998168889431442"/>
      </dataBar>
      <extLst>
        <ext xmlns:x14="http://schemas.microsoft.com/office/spreadsheetml/2009/9/main" uri="{B025F937-C7B1-47D3-B67F-A62EFF666E3E}">
          <x14:id>{4619815A-355A-426E-A1FB-662E92A1C530}</x14:id>
        </ext>
      </extLst>
    </cfRule>
    <cfRule type="iconSet" priority="6353">
      <iconSet iconSet="3Arrows">
        <cfvo type="percent" val="0"/>
        <cfvo type="num" val="0.7"/>
        <cfvo type="num" val="1"/>
      </iconSet>
    </cfRule>
  </conditionalFormatting>
  <conditionalFormatting sqref="J3329">
    <cfRule type="dataBar" priority="6352">
      <dataBar>
        <cfvo type="num" val="0"/>
        <cfvo type="num" val="1"/>
        <color theme="4" tint="0.79998168889431442"/>
      </dataBar>
      <extLst>
        <ext xmlns:x14="http://schemas.microsoft.com/office/spreadsheetml/2009/9/main" uri="{B025F937-C7B1-47D3-B67F-A62EFF666E3E}">
          <x14:id>{16BB4AC4-B17F-404F-B474-92082CA46257}</x14:id>
        </ext>
      </extLst>
    </cfRule>
    <cfRule type="iconSet" priority="6351">
      <iconSet iconSet="3Arrows">
        <cfvo type="percent" val="0"/>
        <cfvo type="num" val="0.7"/>
        <cfvo type="num" val="1"/>
      </iconSet>
    </cfRule>
  </conditionalFormatting>
  <conditionalFormatting sqref="J3331">
    <cfRule type="dataBar" priority="6350">
      <dataBar>
        <cfvo type="num" val="0"/>
        <cfvo type="num" val="1"/>
        <color theme="4" tint="0.79998168889431442"/>
      </dataBar>
      <extLst>
        <ext xmlns:x14="http://schemas.microsoft.com/office/spreadsheetml/2009/9/main" uri="{B025F937-C7B1-47D3-B67F-A62EFF666E3E}">
          <x14:id>{A7920E77-F652-452D-8973-CB8E4A3FC7CA}</x14:id>
        </ext>
      </extLst>
    </cfRule>
    <cfRule type="iconSet" priority="6349">
      <iconSet iconSet="3Arrows">
        <cfvo type="percent" val="0"/>
        <cfvo type="num" val="0.7"/>
        <cfvo type="num" val="1"/>
      </iconSet>
    </cfRule>
  </conditionalFormatting>
  <conditionalFormatting sqref="J3333">
    <cfRule type="dataBar" priority="6348">
      <dataBar>
        <cfvo type="num" val="0"/>
        <cfvo type="num" val="1"/>
        <color theme="4" tint="0.79998168889431442"/>
      </dataBar>
      <extLst>
        <ext xmlns:x14="http://schemas.microsoft.com/office/spreadsheetml/2009/9/main" uri="{B025F937-C7B1-47D3-B67F-A62EFF666E3E}">
          <x14:id>{1C90DE07-0C02-40CA-B70B-584D7650F9E7}</x14:id>
        </ext>
      </extLst>
    </cfRule>
    <cfRule type="iconSet" priority="6347">
      <iconSet iconSet="3Arrows">
        <cfvo type="percent" val="0"/>
        <cfvo type="num" val="0.7"/>
        <cfvo type="num" val="1"/>
      </iconSet>
    </cfRule>
  </conditionalFormatting>
  <conditionalFormatting sqref="J3335">
    <cfRule type="dataBar" priority="6346">
      <dataBar>
        <cfvo type="num" val="0"/>
        <cfvo type="num" val="1"/>
        <color theme="4" tint="0.79998168889431442"/>
      </dataBar>
      <extLst>
        <ext xmlns:x14="http://schemas.microsoft.com/office/spreadsheetml/2009/9/main" uri="{B025F937-C7B1-47D3-B67F-A62EFF666E3E}">
          <x14:id>{C238F7E3-C209-4B68-864C-3DA2D93D9C95}</x14:id>
        </ext>
      </extLst>
    </cfRule>
    <cfRule type="iconSet" priority="6345">
      <iconSet iconSet="3Arrows">
        <cfvo type="percent" val="0"/>
        <cfvo type="num" val="0.7"/>
        <cfvo type="num" val="1"/>
      </iconSet>
    </cfRule>
  </conditionalFormatting>
  <conditionalFormatting sqref="J3337">
    <cfRule type="dataBar" priority="6344">
      <dataBar>
        <cfvo type="num" val="0"/>
        <cfvo type="num" val="1"/>
        <color theme="4" tint="0.79998168889431442"/>
      </dataBar>
      <extLst>
        <ext xmlns:x14="http://schemas.microsoft.com/office/spreadsheetml/2009/9/main" uri="{B025F937-C7B1-47D3-B67F-A62EFF666E3E}">
          <x14:id>{2CF69011-E0DD-40C1-BFBA-46AB2150A3F5}</x14:id>
        </ext>
      </extLst>
    </cfRule>
    <cfRule type="iconSet" priority="6343">
      <iconSet iconSet="3Arrows">
        <cfvo type="percent" val="0"/>
        <cfvo type="num" val="0.7"/>
        <cfvo type="num" val="1"/>
      </iconSet>
    </cfRule>
  </conditionalFormatting>
  <conditionalFormatting sqref="J3339">
    <cfRule type="dataBar" priority="6342">
      <dataBar>
        <cfvo type="num" val="0"/>
        <cfvo type="num" val="1"/>
        <color theme="4" tint="0.79998168889431442"/>
      </dataBar>
      <extLst>
        <ext xmlns:x14="http://schemas.microsoft.com/office/spreadsheetml/2009/9/main" uri="{B025F937-C7B1-47D3-B67F-A62EFF666E3E}">
          <x14:id>{27809204-CA70-455C-8B9C-47F70C6B7042}</x14:id>
        </ext>
      </extLst>
    </cfRule>
    <cfRule type="iconSet" priority="6341">
      <iconSet iconSet="3Arrows">
        <cfvo type="percent" val="0"/>
        <cfvo type="num" val="0.7"/>
        <cfvo type="num" val="1"/>
      </iconSet>
    </cfRule>
  </conditionalFormatting>
  <conditionalFormatting sqref="J3341">
    <cfRule type="dataBar" priority="6340">
      <dataBar>
        <cfvo type="num" val="0"/>
        <cfvo type="num" val="1"/>
        <color theme="4" tint="0.79998168889431442"/>
      </dataBar>
      <extLst>
        <ext xmlns:x14="http://schemas.microsoft.com/office/spreadsheetml/2009/9/main" uri="{B025F937-C7B1-47D3-B67F-A62EFF666E3E}">
          <x14:id>{245EF410-DB52-49AE-A748-9154E9D0327B}</x14:id>
        </ext>
      </extLst>
    </cfRule>
    <cfRule type="iconSet" priority="6339">
      <iconSet iconSet="3Arrows">
        <cfvo type="percent" val="0"/>
        <cfvo type="num" val="0.7"/>
        <cfvo type="num" val="1"/>
      </iconSet>
    </cfRule>
  </conditionalFormatting>
  <conditionalFormatting sqref="J3343">
    <cfRule type="dataBar" priority="6338">
      <dataBar>
        <cfvo type="num" val="0"/>
        <cfvo type="num" val="1"/>
        <color theme="4" tint="0.79998168889431442"/>
      </dataBar>
      <extLst>
        <ext xmlns:x14="http://schemas.microsoft.com/office/spreadsheetml/2009/9/main" uri="{B025F937-C7B1-47D3-B67F-A62EFF666E3E}">
          <x14:id>{89164D89-FBD1-420F-9D1D-84F5036CA5D1}</x14:id>
        </ext>
      </extLst>
    </cfRule>
    <cfRule type="iconSet" priority="6337">
      <iconSet iconSet="3Arrows">
        <cfvo type="percent" val="0"/>
        <cfvo type="num" val="0.7"/>
        <cfvo type="num" val="1"/>
      </iconSet>
    </cfRule>
  </conditionalFormatting>
  <conditionalFormatting sqref="J3345">
    <cfRule type="dataBar" priority="6336">
      <dataBar>
        <cfvo type="num" val="0"/>
        <cfvo type="num" val="1"/>
        <color theme="4" tint="0.79998168889431442"/>
      </dataBar>
      <extLst>
        <ext xmlns:x14="http://schemas.microsoft.com/office/spreadsheetml/2009/9/main" uri="{B025F937-C7B1-47D3-B67F-A62EFF666E3E}">
          <x14:id>{9BD0F3EF-5A88-4540-875C-E76391FE46EA}</x14:id>
        </ext>
      </extLst>
    </cfRule>
    <cfRule type="iconSet" priority="6335">
      <iconSet iconSet="3Arrows">
        <cfvo type="percent" val="0"/>
        <cfvo type="num" val="0.7"/>
        <cfvo type="num" val="1"/>
      </iconSet>
    </cfRule>
  </conditionalFormatting>
  <conditionalFormatting sqref="J3347">
    <cfRule type="dataBar" priority="6334">
      <dataBar>
        <cfvo type="num" val="0"/>
        <cfvo type="num" val="1"/>
        <color theme="4" tint="0.79998168889431442"/>
      </dataBar>
      <extLst>
        <ext xmlns:x14="http://schemas.microsoft.com/office/spreadsheetml/2009/9/main" uri="{B025F937-C7B1-47D3-B67F-A62EFF666E3E}">
          <x14:id>{33C47A11-BC8F-40AB-A54D-C2BA56751069}</x14:id>
        </ext>
      </extLst>
    </cfRule>
    <cfRule type="iconSet" priority="6333">
      <iconSet iconSet="3Arrows">
        <cfvo type="percent" val="0"/>
        <cfvo type="num" val="0.7"/>
        <cfvo type="num" val="1"/>
      </iconSet>
    </cfRule>
  </conditionalFormatting>
  <conditionalFormatting sqref="J3350">
    <cfRule type="dataBar" priority="6332">
      <dataBar>
        <cfvo type="num" val="0"/>
        <cfvo type="num" val="1"/>
        <color theme="4" tint="0.79998168889431442"/>
      </dataBar>
      <extLst>
        <ext xmlns:x14="http://schemas.microsoft.com/office/spreadsheetml/2009/9/main" uri="{B025F937-C7B1-47D3-B67F-A62EFF666E3E}">
          <x14:id>{EFEA2BC6-E2E4-4582-9D0E-41F98EA21AEB}</x14:id>
        </ext>
      </extLst>
    </cfRule>
    <cfRule type="iconSet" priority="6331">
      <iconSet iconSet="3Arrows">
        <cfvo type="percent" val="0"/>
        <cfvo type="num" val="0.7"/>
        <cfvo type="num" val="1"/>
      </iconSet>
    </cfRule>
  </conditionalFormatting>
  <conditionalFormatting sqref="J3352">
    <cfRule type="dataBar" priority="6330">
      <dataBar>
        <cfvo type="num" val="0"/>
        <cfvo type="num" val="1"/>
        <color theme="4" tint="0.79998168889431442"/>
      </dataBar>
      <extLst>
        <ext xmlns:x14="http://schemas.microsoft.com/office/spreadsheetml/2009/9/main" uri="{B025F937-C7B1-47D3-B67F-A62EFF666E3E}">
          <x14:id>{B7D8092E-B675-4751-9DF2-C7CBF4C56AF3}</x14:id>
        </ext>
      </extLst>
    </cfRule>
    <cfRule type="iconSet" priority="6329">
      <iconSet iconSet="3Arrows">
        <cfvo type="percent" val="0"/>
        <cfvo type="num" val="0.7"/>
        <cfvo type="num" val="1"/>
      </iconSet>
    </cfRule>
  </conditionalFormatting>
  <conditionalFormatting sqref="J3354">
    <cfRule type="dataBar" priority="6328">
      <dataBar>
        <cfvo type="num" val="0"/>
        <cfvo type="num" val="1"/>
        <color theme="4" tint="0.79998168889431442"/>
      </dataBar>
      <extLst>
        <ext xmlns:x14="http://schemas.microsoft.com/office/spreadsheetml/2009/9/main" uri="{B025F937-C7B1-47D3-B67F-A62EFF666E3E}">
          <x14:id>{C6990CA5-1156-40AE-B55E-7832620CCCA6}</x14:id>
        </ext>
      </extLst>
    </cfRule>
    <cfRule type="iconSet" priority="6327">
      <iconSet iconSet="3Arrows">
        <cfvo type="percent" val="0"/>
        <cfvo type="num" val="0.7"/>
        <cfvo type="num" val="1"/>
      </iconSet>
    </cfRule>
  </conditionalFormatting>
  <conditionalFormatting sqref="J3356">
    <cfRule type="dataBar" priority="6326">
      <dataBar>
        <cfvo type="num" val="0"/>
        <cfvo type="num" val="1"/>
        <color theme="4" tint="0.79998168889431442"/>
      </dataBar>
      <extLst>
        <ext xmlns:x14="http://schemas.microsoft.com/office/spreadsheetml/2009/9/main" uri="{B025F937-C7B1-47D3-B67F-A62EFF666E3E}">
          <x14:id>{9D922163-5C98-4733-A465-2DCB0793E620}</x14:id>
        </ext>
      </extLst>
    </cfRule>
    <cfRule type="iconSet" priority="6325">
      <iconSet iconSet="3Arrows">
        <cfvo type="percent" val="0"/>
        <cfvo type="num" val="0.7"/>
        <cfvo type="num" val="1"/>
      </iconSet>
    </cfRule>
  </conditionalFormatting>
  <conditionalFormatting sqref="J3358">
    <cfRule type="iconSet" priority="6323">
      <iconSet iconSet="3Arrows">
        <cfvo type="percent" val="0"/>
        <cfvo type="num" val="0.7"/>
        <cfvo type="num" val="1"/>
      </iconSet>
    </cfRule>
    <cfRule type="dataBar" priority="6324">
      <dataBar>
        <cfvo type="num" val="0"/>
        <cfvo type="num" val="1"/>
        <color theme="4" tint="0.79998168889431442"/>
      </dataBar>
      <extLst>
        <ext xmlns:x14="http://schemas.microsoft.com/office/spreadsheetml/2009/9/main" uri="{B025F937-C7B1-47D3-B67F-A62EFF666E3E}">
          <x14:id>{2EFAA843-E012-4EA0-96AE-9D35D3C2C185}</x14:id>
        </ext>
      </extLst>
    </cfRule>
  </conditionalFormatting>
  <conditionalFormatting sqref="J3360">
    <cfRule type="iconSet" priority="6321">
      <iconSet iconSet="3Arrows">
        <cfvo type="percent" val="0"/>
        <cfvo type="num" val="0.7"/>
        <cfvo type="num" val="1"/>
      </iconSet>
    </cfRule>
    <cfRule type="dataBar" priority="6322">
      <dataBar>
        <cfvo type="num" val="0"/>
        <cfvo type="num" val="1"/>
        <color theme="4" tint="0.79998168889431442"/>
      </dataBar>
      <extLst>
        <ext xmlns:x14="http://schemas.microsoft.com/office/spreadsheetml/2009/9/main" uri="{B025F937-C7B1-47D3-B67F-A62EFF666E3E}">
          <x14:id>{8439B986-38FC-481A-8898-0DF637FBE5B2}</x14:id>
        </ext>
      </extLst>
    </cfRule>
  </conditionalFormatting>
  <conditionalFormatting sqref="J3362">
    <cfRule type="dataBar" priority="6320">
      <dataBar>
        <cfvo type="num" val="0"/>
        <cfvo type="num" val="1"/>
        <color theme="4" tint="0.79998168889431442"/>
      </dataBar>
      <extLst>
        <ext xmlns:x14="http://schemas.microsoft.com/office/spreadsheetml/2009/9/main" uri="{B025F937-C7B1-47D3-B67F-A62EFF666E3E}">
          <x14:id>{6B5B5EED-3C8F-49C2-A738-B6B795580FA7}</x14:id>
        </ext>
      </extLst>
    </cfRule>
    <cfRule type="iconSet" priority="6319">
      <iconSet iconSet="3Arrows">
        <cfvo type="percent" val="0"/>
        <cfvo type="num" val="0.7"/>
        <cfvo type="num" val="1"/>
      </iconSet>
    </cfRule>
  </conditionalFormatting>
  <conditionalFormatting sqref="J3365">
    <cfRule type="dataBar" priority="6318">
      <dataBar>
        <cfvo type="num" val="0"/>
        <cfvo type="num" val="1"/>
        <color theme="4" tint="0.79998168889431442"/>
      </dataBar>
      <extLst>
        <ext xmlns:x14="http://schemas.microsoft.com/office/spreadsheetml/2009/9/main" uri="{B025F937-C7B1-47D3-B67F-A62EFF666E3E}">
          <x14:id>{601B7CBD-06FA-4475-8C08-4612A96ABF48}</x14:id>
        </ext>
      </extLst>
    </cfRule>
    <cfRule type="iconSet" priority="6317">
      <iconSet iconSet="3Arrows">
        <cfvo type="percent" val="0"/>
        <cfvo type="num" val="0.7"/>
        <cfvo type="num" val="1"/>
      </iconSet>
    </cfRule>
  </conditionalFormatting>
  <conditionalFormatting sqref="J3367">
    <cfRule type="dataBar" priority="6316">
      <dataBar>
        <cfvo type="num" val="0"/>
        <cfvo type="num" val="1"/>
        <color theme="4" tint="0.79998168889431442"/>
      </dataBar>
      <extLst>
        <ext xmlns:x14="http://schemas.microsoft.com/office/spreadsheetml/2009/9/main" uri="{B025F937-C7B1-47D3-B67F-A62EFF666E3E}">
          <x14:id>{96D2F543-24B6-4C16-91AE-F051CEE17908}</x14:id>
        </ext>
      </extLst>
    </cfRule>
    <cfRule type="iconSet" priority="6315">
      <iconSet iconSet="3Arrows">
        <cfvo type="percent" val="0"/>
        <cfvo type="num" val="0.7"/>
        <cfvo type="num" val="1"/>
      </iconSet>
    </cfRule>
  </conditionalFormatting>
  <conditionalFormatting sqref="J3369">
    <cfRule type="dataBar" priority="6314">
      <dataBar>
        <cfvo type="num" val="0"/>
        <cfvo type="num" val="1"/>
        <color theme="4" tint="0.79998168889431442"/>
      </dataBar>
      <extLst>
        <ext xmlns:x14="http://schemas.microsoft.com/office/spreadsheetml/2009/9/main" uri="{B025F937-C7B1-47D3-B67F-A62EFF666E3E}">
          <x14:id>{038452E5-FCCB-4C21-9614-A8730B1095F5}</x14:id>
        </ext>
      </extLst>
    </cfRule>
    <cfRule type="iconSet" priority="6313">
      <iconSet iconSet="3Arrows">
        <cfvo type="percent" val="0"/>
        <cfvo type="num" val="0.7"/>
        <cfvo type="num" val="1"/>
      </iconSet>
    </cfRule>
  </conditionalFormatting>
  <conditionalFormatting sqref="J3371">
    <cfRule type="dataBar" priority="6312">
      <dataBar>
        <cfvo type="num" val="0"/>
        <cfvo type="num" val="1"/>
        <color theme="4" tint="0.79998168889431442"/>
      </dataBar>
      <extLst>
        <ext xmlns:x14="http://schemas.microsoft.com/office/spreadsheetml/2009/9/main" uri="{B025F937-C7B1-47D3-B67F-A62EFF666E3E}">
          <x14:id>{A91665E8-19A1-44AA-AD1D-382F703308E8}</x14:id>
        </ext>
      </extLst>
    </cfRule>
    <cfRule type="iconSet" priority="6311">
      <iconSet iconSet="3Arrows">
        <cfvo type="percent" val="0"/>
        <cfvo type="num" val="0.7"/>
        <cfvo type="num" val="1"/>
      </iconSet>
    </cfRule>
  </conditionalFormatting>
  <conditionalFormatting sqref="J3373">
    <cfRule type="dataBar" priority="6310">
      <dataBar>
        <cfvo type="num" val="0"/>
        <cfvo type="num" val="1"/>
        <color theme="4" tint="0.79998168889431442"/>
      </dataBar>
      <extLst>
        <ext xmlns:x14="http://schemas.microsoft.com/office/spreadsheetml/2009/9/main" uri="{B025F937-C7B1-47D3-B67F-A62EFF666E3E}">
          <x14:id>{E5C05F4D-BA2D-4B2D-9F90-48CFEAF917F7}</x14:id>
        </ext>
      </extLst>
    </cfRule>
    <cfRule type="iconSet" priority="6309">
      <iconSet iconSet="3Arrows">
        <cfvo type="percent" val="0"/>
        <cfvo type="num" val="0.7"/>
        <cfvo type="num" val="1"/>
      </iconSet>
    </cfRule>
  </conditionalFormatting>
  <conditionalFormatting sqref="J3377">
    <cfRule type="iconSet" priority="6307">
      <iconSet iconSet="3Arrows">
        <cfvo type="percent" val="0"/>
        <cfvo type="num" val="0.7"/>
        <cfvo type="num" val="1"/>
      </iconSet>
    </cfRule>
    <cfRule type="dataBar" priority="6308">
      <dataBar>
        <cfvo type="num" val="0"/>
        <cfvo type="num" val="1"/>
        <color theme="4" tint="0.79998168889431442"/>
      </dataBar>
      <extLst>
        <ext xmlns:x14="http://schemas.microsoft.com/office/spreadsheetml/2009/9/main" uri="{B025F937-C7B1-47D3-B67F-A62EFF666E3E}">
          <x14:id>{E33E7D4F-86E1-46C9-A382-0E4188481AF9}</x14:id>
        </ext>
      </extLst>
    </cfRule>
  </conditionalFormatting>
  <conditionalFormatting sqref="J3381">
    <cfRule type="dataBar" priority="6306">
      <dataBar>
        <cfvo type="num" val="0"/>
        <cfvo type="num" val="1"/>
        <color theme="4" tint="0.79998168889431442"/>
      </dataBar>
      <extLst>
        <ext xmlns:x14="http://schemas.microsoft.com/office/spreadsheetml/2009/9/main" uri="{B025F937-C7B1-47D3-B67F-A62EFF666E3E}">
          <x14:id>{3BF0DF35-622E-43BB-B40D-894A52225672}</x14:id>
        </ext>
      </extLst>
    </cfRule>
    <cfRule type="iconSet" priority="6305">
      <iconSet iconSet="3Arrows">
        <cfvo type="percent" val="0"/>
        <cfvo type="num" val="0.7"/>
        <cfvo type="num" val="1"/>
      </iconSet>
    </cfRule>
  </conditionalFormatting>
  <conditionalFormatting sqref="J3383 J3385">
    <cfRule type="dataBar" priority="6304">
      <dataBar>
        <cfvo type="num" val="0"/>
        <cfvo type="num" val="1"/>
        <color theme="4" tint="0.79998168889431442"/>
      </dataBar>
      <extLst>
        <ext xmlns:x14="http://schemas.microsoft.com/office/spreadsheetml/2009/9/main" uri="{B025F937-C7B1-47D3-B67F-A62EFF666E3E}">
          <x14:id>{2B9BC5B5-57D5-4F4A-A611-2888445BD630}</x14:id>
        </ext>
      </extLst>
    </cfRule>
    <cfRule type="iconSet" priority="6303">
      <iconSet iconSet="3Arrows">
        <cfvo type="percent" val="0"/>
        <cfvo type="num" val="0.7"/>
        <cfvo type="num" val="1"/>
      </iconSet>
    </cfRule>
  </conditionalFormatting>
  <conditionalFormatting sqref="J3387">
    <cfRule type="dataBar" priority="6302">
      <dataBar>
        <cfvo type="num" val="0"/>
        <cfvo type="num" val="1"/>
        <color theme="4" tint="0.79998168889431442"/>
      </dataBar>
      <extLst>
        <ext xmlns:x14="http://schemas.microsoft.com/office/spreadsheetml/2009/9/main" uri="{B025F937-C7B1-47D3-B67F-A62EFF666E3E}">
          <x14:id>{32C069E5-08D2-43A1-92AF-16E6BEFC6F27}</x14:id>
        </ext>
      </extLst>
    </cfRule>
    <cfRule type="iconSet" priority="6301">
      <iconSet iconSet="3Arrows">
        <cfvo type="percent" val="0"/>
        <cfvo type="num" val="0.7"/>
        <cfvo type="num" val="1"/>
      </iconSet>
    </cfRule>
  </conditionalFormatting>
  <conditionalFormatting sqref="J3389">
    <cfRule type="iconSet" priority="6299">
      <iconSet iconSet="3Arrows">
        <cfvo type="percent" val="0"/>
        <cfvo type="num" val="0.7"/>
        <cfvo type="num" val="1"/>
      </iconSet>
    </cfRule>
    <cfRule type="dataBar" priority="6300">
      <dataBar>
        <cfvo type="num" val="0"/>
        <cfvo type="num" val="1"/>
        <color theme="4" tint="0.79998168889431442"/>
      </dataBar>
      <extLst>
        <ext xmlns:x14="http://schemas.microsoft.com/office/spreadsheetml/2009/9/main" uri="{B025F937-C7B1-47D3-B67F-A62EFF666E3E}">
          <x14:id>{CD82492F-1F0F-4264-B71A-66A959CF90EB}</x14:id>
        </ext>
      </extLst>
    </cfRule>
  </conditionalFormatting>
  <conditionalFormatting sqref="J3391">
    <cfRule type="dataBar" priority="6298">
      <dataBar>
        <cfvo type="num" val="0"/>
        <cfvo type="num" val="1"/>
        <color theme="4" tint="0.79998168889431442"/>
      </dataBar>
      <extLst>
        <ext xmlns:x14="http://schemas.microsoft.com/office/spreadsheetml/2009/9/main" uri="{B025F937-C7B1-47D3-B67F-A62EFF666E3E}">
          <x14:id>{2A00E8E8-B175-4572-A837-1883844F78DE}</x14:id>
        </ext>
      </extLst>
    </cfRule>
    <cfRule type="iconSet" priority="6297">
      <iconSet iconSet="3Arrows">
        <cfvo type="percent" val="0"/>
        <cfvo type="num" val="0.7"/>
        <cfvo type="num" val="1"/>
      </iconSet>
    </cfRule>
  </conditionalFormatting>
  <conditionalFormatting sqref="J3393">
    <cfRule type="dataBar" priority="6296">
      <dataBar>
        <cfvo type="num" val="0"/>
        <cfvo type="num" val="1"/>
        <color theme="4" tint="0.79998168889431442"/>
      </dataBar>
      <extLst>
        <ext xmlns:x14="http://schemas.microsoft.com/office/spreadsheetml/2009/9/main" uri="{B025F937-C7B1-47D3-B67F-A62EFF666E3E}">
          <x14:id>{827AEB3E-C956-4DCC-8160-D81F2D7F37F9}</x14:id>
        </ext>
      </extLst>
    </cfRule>
    <cfRule type="iconSet" priority="6295">
      <iconSet iconSet="3Arrows">
        <cfvo type="percent" val="0"/>
        <cfvo type="num" val="0.7"/>
        <cfvo type="num" val="1"/>
      </iconSet>
    </cfRule>
  </conditionalFormatting>
  <conditionalFormatting sqref="J3395">
    <cfRule type="dataBar" priority="6294">
      <dataBar>
        <cfvo type="num" val="0"/>
        <cfvo type="num" val="1"/>
        <color theme="4" tint="0.79998168889431442"/>
      </dataBar>
      <extLst>
        <ext xmlns:x14="http://schemas.microsoft.com/office/spreadsheetml/2009/9/main" uri="{B025F937-C7B1-47D3-B67F-A62EFF666E3E}">
          <x14:id>{AA033119-A434-4C09-8AE4-1C8F79F3080A}</x14:id>
        </ext>
      </extLst>
    </cfRule>
    <cfRule type="iconSet" priority="6293">
      <iconSet iconSet="3Arrows">
        <cfvo type="percent" val="0"/>
        <cfvo type="num" val="0.7"/>
        <cfvo type="num" val="1"/>
      </iconSet>
    </cfRule>
  </conditionalFormatting>
  <conditionalFormatting sqref="J3397">
    <cfRule type="iconSet" priority="6291">
      <iconSet iconSet="3Arrows">
        <cfvo type="percent" val="0"/>
        <cfvo type="num" val="0.7"/>
        <cfvo type="num" val="1"/>
      </iconSet>
    </cfRule>
    <cfRule type="dataBar" priority="6292">
      <dataBar>
        <cfvo type="num" val="0"/>
        <cfvo type="num" val="1"/>
        <color theme="4" tint="0.79998168889431442"/>
      </dataBar>
      <extLst>
        <ext xmlns:x14="http://schemas.microsoft.com/office/spreadsheetml/2009/9/main" uri="{B025F937-C7B1-47D3-B67F-A62EFF666E3E}">
          <x14:id>{18A362F0-4D75-4160-B397-9DE2811BB472}</x14:id>
        </ext>
      </extLst>
    </cfRule>
  </conditionalFormatting>
  <conditionalFormatting sqref="J3399">
    <cfRule type="iconSet" priority="6289">
      <iconSet iconSet="3Arrows">
        <cfvo type="percent" val="0"/>
        <cfvo type="num" val="0.7"/>
        <cfvo type="num" val="1"/>
      </iconSet>
    </cfRule>
    <cfRule type="dataBar" priority="6290">
      <dataBar>
        <cfvo type="num" val="0"/>
        <cfvo type="num" val="1"/>
        <color theme="4" tint="0.79998168889431442"/>
      </dataBar>
      <extLst>
        <ext xmlns:x14="http://schemas.microsoft.com/office/spreadsheetml/2009/9/main" uri="{B025F937-C7B1-47D3-B67F-A62EFF666E3E}">
          <x14:id>{9127668D-DB4D-492C-B436-604175D1B9B3}</x14:id>
        </ext>
      </extLst>
    </cfRule>
  </conditionalFormatting>
  <conditionalFormatting sqref="J3401">
    <cfRule type="dataBar" priority="6288">
      <dataBar>
        <cfvo type="num" val="0"/>
        <cfvo type="num" val="1"/>
        <color theme="4" tint="0.79998168889431442"/>
      </dataBar>
      <extLst>
        <ext xmlns:x14="http://schemas.microsoft.com/office/spreadsheetml/2009/9/main" uri="{B025F937-C7B1-47D3-B67F-A62EFF666E3E}">
          <x14:id>{D585369B-4D4F-4840-BDBF-BF9225B95313}</x14:id>
        </ext>
      </extLst>
    </cfRule>
    <cfRule type="iconSet" priority="6287">
      <iconSet iconSet="3Arrows">
        <cfvo type="percent" val="0"/>
        <cfvo type="num" val="0.7"/>
        <cfvo type="num" val="1"/>
      </iconSet>
    </cfRule>
  </conditionalFormatting>
  <conditionalFormatting sqref="J3403">
    <cfRule type="dataBar" priority="6286">
      <dataBar>
        <cfvo type="num" val="0"/>
        <cfvo type="num" val="1"/>
        <color theme="4" tint="0.79998168889431442"/>
      </dataBar>
      <extLst>
        <ext xmlns:x14="http://schemas.microsoft.com/office/spreadsheetml/2009/9/main" uri="{B025F937-C7B1-47D3-B67F-A62EFF666E3E}">
          <x14:id>{32E5A675-5986-4E22-BF78-F28859D759EB}</x14:id>
        </ext>
      </extLst>
    </cfRule>
    <cfRule type="iconSet" priority="6285">
      <iconSet iconSet="3Arrows">
        <cfvo type="percent" val="0"/>
        <cfvo type="num" val="0.7"/>
        <cfvo type="num" val="1"/>
      </iconSet>
    </cfRule>
  </conditionalFormatting>
  <conditionalFormatting sqref="J3405">
    <cfRule type="dataBar" priority="6284">
      <dataBar>
        <cfvo type="num" val="0"/>
        <cfvo type="num" val="1"/>
        <color theme="4" tint="0.79998168889431442"/>
      </dataBar>
      <extLst>
        <ext xmlns:x14="http://schemas.microsoft.com/office/spreadsheetml/2009/9/main" uri="{B025F937-C7B1-47D3-B67F-A62EFF666E3E}">
          <x14:id>{8A6C75AD-A727-4DB1-A321-B0A47E8DD604}</x14:id>
        </ext>
      </extLst>
    </cfRule>
    <cfRule type="iconSet" priority="6283">
      <iconSet iconSet="3Arrows">
        <cfvo type="percent" val="0"/>
        <cfvo type="num" val="0.7"/>
        <cfvo type="num" val="1"/>
      </iconSet>
    </cfRule>
  </conditionalFormatting>
  <conditionalFormatting sqref="J3407">
    <cfRule type="dataBar" priority="6282">
      <dataBar>
        <cfvo type="num" val="0"/>
        <cfvo type="num" val="1"/>
        <color theme="4" tint="0.79998168889431442"/>
      </dataBar>
      <extLst>
        <ext xmlns:x14="http://schemas.microsoft.com/office/spreadsheetml/2009/9/main" uri="{B025F937-C7B1-47D3-B67F-A62EFF666E3E}">
          <x14:id>{D18D6234-17AB-439C-B4B6-D192E1C11060}</x14:id>
        </ext>
      </extLst>
    </cfRule>
    <cfRule type="iconSet" priority="6281">
      <iconSet iconSet="3Arrows">
        <cfvo type="percent" val="0"/>
        <cfvo type="num" val="0.7"/>
        <cfvo type="num" val="1"/>
      </iconSet>
    </cfRule>
  </conditionalFormatting>
  <conditionalFormatting sqref="J3409">
    <cfRule type="dataBar" priority="6280">
      <dataBar>
        <cfvo type="num" val="0"/>
        <cfvo type="num" val="1"/>
        <color theme="4" tint="0.79998168889431442"/>
      </dataBar>
      <extLst>
        <ext xmlns:x14="http://schemas.microsoft.com/office/spreadsheetml/2009/9/main" uri="{B025F937-C7B1-47D3-B67F-A62EFF666E3E}">
          <x14:id>{4F7807EC-D94B-4678-8043-85B65554A089}</x14:id>
        </ext>
      </extLst>
    </cfRule>
    <cfRule type="iconSet" priority="6279">
      <iconSet iconSet="3Arrows">
        <cfvo type="percent" val="0"/>
        <cfvo type="num" val="0.7"/>
        <cfvo type="num" val="1"/>
      </iconSet>
    </cfRule>
  </conditionalFormatting>
  <conditionalFormatting sqref="J3411">
    <cfRule type="dataBar" priority="6278">
      <dataBar>
        <cfvo type="num" val="0"/>
        <cfvo type="num" val="1"/>
        <color theme="4" tint="0.79998168889431442"/>
      </dataBar>
      <extLst>
        <ext xmlns:x14="http://schemas.microsoft.com/office/spreadsheetml/2009/9/main" uri="{B025F937-C7B1-47D3-B67F-A62EFF666E3E}">
          <x14:id>{8047C063-B204-42D5-B30F-70DA05938531}</x14:id>
        </ext>
      </extLst>
    </cfRule>
    <cfRule type="iconSet" priority="6277">
      <iconSet iconSet="3Arrows">
        <cfvo type="percent" val="0"/>
        <cfvo type="num" val="0.7"/>
        <cfvo type="num" val="1"/>
      </iconSet>
    </cfRule>
  </conditionalFormatting>
  <conditionalFormatting sqref="J3413">
    <cfRule type="dataBar" priority="6276">
      <dataBar>
        <cfvo type="num" val="0"/>
        <cfvo type="num" val="1"/>
        <color theme="4" tint="0.79998168889431442"/>
      </dataBar>
      <extLst>
        <ext xmlns:x14="http://schemas.microsoft.com/office/spreadsheetml/2009/9/main" uri="{B025F937-C7B1-47D3-B67F-A62EFF666E3E}">
          <x14:id>{6F58474A-D324-49BC-8EAA-FE11618E78CA}</x14:id>
        </ext>
      </extLst>
    </cfRule>
    <cfRule type="iconSet" priority="6275">
      <iconSet iconSet="3Arrows">
        <cfvo type="percent" val="0"/>
        <cfvo type="num" val="0.7"/>
        <cfvo type="num" val="1"/>
      </iconSet>
    </cfRule>
  </conditionalFormatting>
  <conditionalFormatting sqref="J3416">
    <cfRule type="dataBar" priority="6274">
      <dataBar>
        <cfvo type="num" val="0"/>
        <cfvo type="num" val="1"/>
        <color theme="4" tint="0.79998168889431442"/>
      </dataBar>
      <extLst>
        <ext xmlns:x14="http://schemas.microsoft.com/office/spreadsheetml/2009/9/main" uri="{B025F937-C7B1-47D3-B67F-A62EFF666E3E}">
          <x14:id>{1316AC30-80FA-4BD3-A4A3-E813FF95AF0A}</x14:id>
        </ext>
      </extLst>
    </cfRule>
    <cfRule type="iconSet" priority="6273">
      <iconSet iconSet="3Arrows">
        <cfvo type="percent" val="0"/>
        <cfvo type="num" val="0.7"/>
        <cfvo type="num" val="1"/>
      </iconSet>
    </cfRule>
  </conditionalFormatting>
  <conditionalFormatting sqref="J3418">
    <cfRule type="dataBar" priority="6272">
      <dataBar>
        <cfvo type="num" val="0"/>
        <cfvo type="num" val="1"/>
        <color theme="4" tint="0.79998168889431442"/>
      </dataBar>
      <extLst>
        <ext xmlns:x14="http://schemas.microsoft.com/office/spreadsheetml/2009/9/main" uri="{B025F937-C7B1-47D3-B67F-A62EFF666E3E}">
          <x14:id>{ED1C64EB-3DC1-43DF-909F-FBA127F7BFF6}</x14:id>
        </ext>
      </extLst>
    </cfRule>
    <cfRule type="iconSet" priority="6271">
      <iconSet iconSet="3Arrows">
        <cfvo type="percent" val="0"/>
        <cfvo type="num" val="0.7"/>
        <cfvo type="num" val="1"/>
      </iconSet>
    </cfRule>
  </conditionalFormatting>
  <conditionalFormatting sqref="J3420">
    <cfRule type="dataBar" priority="6270">
      <dataBar>
        <cfvo type="num" val="0"/>
        <cfvo type="num" val="1"/>
        <color theme="4" tint="0.79998168889431442"/>
      </dataBar>
      <extLst>
        <ext xmlns:x14="http://schemas.microsoft.com/office/spreadsheetml/2009/9/main" uri="{B025F937-C7B1-47D3-B67F-A62EFF666E3E}">
          <x14:id>{020A992F-5975-4792-95CC-06CF3D5BDD3B}</x14:id>
        </ext>
      </extLst>
    </cfRule>
    <cfRule type="iconSet" priority="6269">
      <iconSet iconSet="3Arrows">
        <cfvo type="percent" val="0"/>
        <cfvo type="num" val="0.7"/>
        <cfvo type="num" val="1"/>
      </iconSet>
    </cfRule>
  </conditionalFormatting>
  <conditionalFormatting sqref="J3422">
    <cfRule type="dataBar" priority="6268">
      <dataBar>
        <cfvo type="num" val="0"/>
        <cfvo type="num" val="1"/>
        <color theme="4" tint="0.79998168889431442"/>
      </dataBar>
      <extLst>
        <ext xmlns:x14="http://schemas.microsoft.com/office/spreadsheetml/2009/9/main" uri="{B025F937-C7B1-47D3-B67F-A62EFF666E3E}">
          <x14:id>{AA6B5DE2-1576-47B9-9418-DFD1187CB277}</x14:id>
        </ext>
      </extLst>
    </cfRule>
    <cfRule type="iconSet" priority="6267">
      <iconSet iconSet="3Arrows">
        <cfvo type="percent" val="0"/>
        <cfvo type="num" val="0.7"/>
        <cfvo type="num" val="1"/>
      </iconSet>
    </cfRule>
  </conditionalFormatting>
  <conditionalFormatting sqref="J3424">
    <cfRule type="dataBar" priority="6266">
      <dataBar>
        <cfvo type="num" val="0"/>
        <cfvo type="num" val="1"/>
        <color theme="4" tint="0.79998168889431442"/>
      </dataBar>
      <extLst>
        <ext xmlns:x14="http://schemas.microsoft.com/office/spreadsheetml/2009/9/main" uri="{B025F937-C7B1-47D3-B67F-A62EFF666E3E}">
          <x14:id>{96C2E5DF-C9B6-4ECD-98E3-B81A485E061A}</x14:id>
        </ext>
      </extLst>
    </cfRule>
    <cfRule type="iconSet" priority="6265">
      <iconSet iconSet="3Arrows">
        <cfvo type="percent" val="0"/>
        <cfvo type="num" val="0.7"/>
        <cfvo type="num" val="1"/>
      </iconSet>
    </cfRule>
  </conditionalFormatting>
  <conditionalFormatting sqref="J3426">
    <cfRule type="dataBar" priority="6264">
      <dataBar>
        <cfvo type="num" val="0"/>
        <cfvo type="num" val="1"/>
        <color theme="4" tint="0.79998168889431442"/>
      </dataBar>
      <extLst>
        <ext xmlns:x14="http://schemas.microsoft.com/office/spreadsheetml/2009/9/main" uri="{B025F937-C7B1-47D3-B67F-A62EFF666E3E}">
          <x14:id>{926D502F-1FAE-4124-AADE-CC228F4E70A2}</x14:id>
        </ext>
      </extLst>
    </cfRule>
    <cfRule type="iconSet" priority="6263">
      <iconSet iconSet="3Arrows">
        <cfvo type="percent" val="0"/>
        <cfvo type="num" val="0.7"/>
        <cfvo type="num" val="1"/>
      </iconSet>
    </cfRule>
  </conditionalFormatting>
  <conditionalFormatting sqref="J3428">
    <cfRule type="dataBar" priority="6262">
      <dataBar>
        <cfvo type="num" val="0"/>
        <cfvo type="num" val="1"/>
        <color theme="4" tint="0.79998168889431442"/>
      </dataBar>
      <extLst>
        <ext xmlns:x14="http://schemas.microsoft.com/office/spreadsheetml/2009/9/main" uri="{B025F937-C7B1-47D3-B67F-A62EFF666E3E}">
          <x14:id>{159AA791-8BF4-4000-BD6A-7E21E6195214}</x14:id>
        </ext>
      </extLst>
    </cfRule>
    <cfRule type="iconSet" priority="6261">
      <iconSet iconSet="3Arrows">
        <cfvo type="percent" val="0"/>
        <cfvo type="num" val="0.7"/>
        <cfvo type="num" val="1"/>
      </iconSet>
    </cfRule>
  </conditionalFormatting>
  <conditionalFormatting sqref="J3430">
    <cfRule type="iconSet" priority="6259">
      <iconSet iconSet="3Arrows">
        <cfvo type="percent" val="0"/>
        <cfvo type="num" val="0.7"/>
        <cfvo type="num" val="1"/>
      </iconSet>
    </cfRule>
    <cfRule type="dataBar" priority="6260">
      <dataBar>
        <cfvo type="num" val="0"/>
        <cfvo type="num" val="1"/>
        <color theme="4" tint="0.79998168889431442"/>
      </dataBar>
      <extLst>
        <ext xmlns:x14="http://schemas.microsoft.com/office/spreadsheetml/2009/9/main" uri="{B025F937-C7B1-47D3-B67F-A62EFF666E3E}">
          <x14:id>{94BB2699-FA22-4CAB-AA08-FCF1D0D3E1B0}</x14:id>
        </ext>
      </extLst>
    </cfRule>
  </conditionalFormatting>
  <conditionalFormatting sqref="J3432">
    <cfRule type="iconSet" priority="6257">
      <iconSet iconSet="3Arrows">
        <cfvo type="percent" val="0"/>
        <cfvo type="num" val="0.7"/>
        <cfvo type="num" val="1"/>
      </iconSet>
    </cfRule>
    <cfRule type="dataBar" priority="6258">
      <dataBar>
        <cfvo type="num" val="0"/>
        <cfvo type="num" val="1"/>
        <color theme="4" tint="0.79998168889431442"/>
      </dataBar>
      <extLst>
        <ext xmlns:x14="http://schemas.microsoft.com/office/spreadsheetml/2009/9/main" uri="{B025F937-C7B1-47D3-B67F-A62EFF666E3E}">
          <x14:id>{FE0FE88F-DFCA-4C09-BE30-5E20E3E52582}</x14:id>
        </ext>
      </extLst>
    </cfRule>
  </conditionalFormatting>
  <conditionalFormatting sqref="J3434">
    <cfRule type="dataBar" priority="6256">
      <dataBar>
        <cfvo type="num" val="0"/>
        <cfvo type="num" val="1"/>
        <color theme="4" tint="0.79998168889431442"/>
      </dataBar>
      <extLst>
        <ext xmlns:x14="http://schemas.microsoft.com/office/spreadsheetml/2009/9/main" uri="{B025F937-C7B1-47D3-B67F-A62EFF666E3E}">
          <x14:id>{5F2F6CD4-27D6-427F-8A81-ECADE6244B21}</x14:id>
        </ext>
      </extLst>
    </cfRule>
    <cfRule type="iconSet" priority="6255">
      <iconSet iconSet="3Arrows">
        <cfvo type="percent" val="0"/>
        <cfvo type="num" val="0.7"/>
        <cfvo type="num" val="1"/>
      </iconSet>
    </cfRule>
  </conditionalFormatting>
  <conditionalFormatting sqref="J3436">
    <cfRule type="dataBar" priority="6254">
      <dataBar>
        <cfvo type="num" val="0"/>
        <cfvo type="num" val="1"/>
        <color theme="4" tint="0.79998168889431442"/>
      </dataBar>
      <extLst>
        <ext xmlns:x14="http://schemas.microsoft.com/office/spreadsheetml/2009/9/main" uri="{B025F937-C7B1-47D3-B67F-A62EFF666E3E}">
          <x14:id>{8949E309-7954-4B3F-9F52-FAD0FF547341}</x14:id>
        </ext>
      </extLst>
    </cfRule>
    <cfRule type="iconSet" priority="6253">
      <iconSet iconSet="3Arrows">
        <cfvo type="percent" val="0"/>
        <cfvo type="num" val="0.7"/>
        <cfvo type="num" val="1"/>
      </iconSet>
    </cfRule>
  </conditionalFormatting>
  <conditionalFormatting sqref="J3438">
    <cfRule type="dataBar" priority="6252">
      <dataBar>
        <cfvo type="num" val="0"/>
        <cfvo type="num" val="1"/>
        <color theme="4" tint="0.79998168889431442"/>
      </dataBar>
      <extLst>
        <ext xmlns:x14="http://schemas.microsoft.com/office/spreadsheetml/2009/9/main" uri="{B025F937-C7B1-47D3-B67F-A62EFF666E3E}">
          <x14:id>{5094D915-382D-4511-88A1-86B8846456DC}</x14:id>
        </ext>
      </extLst>
    </cfRule>
    <cfRule type="iconSet" priority="6251">
      <iconSet iconSet="3Arrows">
        <cfvo type="percent" val="0"/>
        <cfvo type="num" val="0.7"/>
        <cfvo type="num" val="1"/>
      </iconSet>
    </cfRule>
  </conditionalFormatting>
  <conditionalFormatting sqref="J3440">
    <cfRule type="dataBar" priority="6250">
      <dataBar>
        <cfvo type="num" val="0"/>
        <cfvo type="num" val="1"/>
        <color theme="4" tint="0.79998168889431442"/>
      </dataBar>
      <extLst>
        <ext xmlns:x14="http://schemas.microsoft.com/office/spreadsheetml/2009/9/main" uri="{B025F937-C7B1-47D3-B67F-A62EFF666E3E}">
          <x14:id>{8B084609-1EA1-464A-AB22-D0F1725465C4}</x14:id>
        </ext>
      </extLst>
    </cfRule>
    <cfRule type="iconSet" priority="6249">
      <iconSet iconSet="3Arrows">
        <cfvo type="percent" val="0"/>
        <cfvo type="num" val="0.7"/>
        <cfvo type="num" val="1"/>
      </iconSet>
    </cfRule>
  </conditionalFormatting>
  <conditionalFormatting sqref="J3442">
    <cfRule type="dataBar" priority="6248">
      <dataBar>
        <cfvo type="num" val="0"/>
        <cfvo type="num" val="1"/>
        <color theme="4" tint="0.79998168889431442"/>
      </dataBar>
      <extLst>
        <ext xmlns:x14="http://schemas.microsoft.com/office/spreadsheetml/2009/9/main" uri="{B025F937-C7B1-47D3-B67F-A62EFF666E3E}">
          <x14:id>{CA318C2A-D722-44B1-BF4B-7E7733358065}</x14:id>
        </ext>
      </extLst>
    </cfRule>
    <cfRule type="iconSet" priority="6247">
      <iconSet iconSet="3Arrows">
        <cfvo type="percent" val="0"/>
        <cfvo type="num" val="0.7"/>
        <cfvo type="num" val="1"/>
      </iconSet>
    </cfRule>
  </conditionalFormatting>
  <conditionalFormatting sqref="J3444">
    <cfRule type="dataBar" priority="6246">
      <dataBar>
        <cfvo type="num" val="0"/>
        <cfvo type="num" val="1"/>
        <color theme="4" tint="0.79998168889431442"/>
      </dataBar>
      <extLst>
        <ext xmlns:x14="http://schemas.microsoft.com/office/spreadsheetml/2009/9/main" uri="{B025F937-C7B1-47D3-B67F-A62EFF666E3E}">
          <x14:id>{A24B3277-717B-40AA-B47B-D84752EA9869}</x14:id>
        </ext>
      </extLst>
    </cfRule>
    <cfRule type="iconSet" priority="6245">
      <iconSet iconSet="3Arrows">
        <cfvo type="percent" val="0"/>
        <cfvo type="num" val="0.7"/>
        <cfvo type="num" val="1"/>
      </iconSet>
    </cfRule>
  </conditionalFormatting>
  <conditionalFormatting sqref="J3446">
    <cfRule type="dataBar" priority="6244">
      <dataBar>
        <cfvo type="num" val="0"/>
        <cfvo type="num" val="1"/>
        <color theme="4" tint="0.79998168889431442"/>
      </dataBar>
      <extLst>
        <ext xmlns:x14="http://schemas.microsoft.com/office/spreadsheetml/2009/9/main" uri="{B025F937-C7B1-47D3-B67F-A62EFF666E3E}">
          <x14:id>{C76DF975-B793-48AC-BBFE-3698277FD364}</x14:id>
        </ext>
      </extLst>
    </cfRule>
    <cfRule type="iconSet" priority="6243">
      <iconSet iconSet="3Arrows">
        <cfvo type="percent" val="0"/>
        <cfvo type="num" val="0.7"/>
        <cfvo type="num" val="1"/>
      </iconSet>
    </cfRule>
  </conditionalFormatting>
  <conditionalFormatting sqref="J3448">
    <cfRule type="dataBar" priority="6242">
      <dataBar>
        <cfvo type="num" val="0"/>
        <cfvo type="num" val="1"/>
        <color theme="4" tint="0.79998168889431442"/>
      </dataBar>
      <extLst>
        <ext xmlns:x14="http://schemas.microsoft.com/office/spreadsheetml/2009/9/main" uri="{B025F937-C7B1-47D3-B67F-A62EFF666E3E}">
          <x14:id>{B557A773-D53B-456A-B66C-26BD71F375B4}</x14:id>
        </ext>
      </extLst>
    </cfRule>
    <cfRule type="iconSet" priority="6241">
      <iconSet iconSet="3Arrows">
        <cfvo type="percent" val="0"/>
        <cfvo type="num" val="0.7"/>
        <cfvo type="num" val="1"/>
      </iconSet>
    </cfRule>
  </conditionalFormatting>
  <conditionalFormatting sqref="J3450">
    <cfRule type="dataBar" priority="6240">
      <dataBar>
        <cfvo type="num" val="0"/>
        <cfvo type="num" val="1"/>
        <color theme="4" tint="0.79998168889431442"/>
      </dataBar>
      <extLst>
        <ext xmlns:x14="http://schemas.microsoft.com/office/spreadsheetml/2009/9/main" uri="{B025F937-C7B1-47D3-B67F-A62EFF666E3E}">
          <x14:id>{18472FC2-4CD2-431D-A6EF-C9C5D262AAB0}</x14:id>
        </ext>
      </extLst>
    </cfRule>
    <cfRule type="iconSet" priority="6239">
      <iconSet iconSet="3Arrows">
        <cfvo type="percent" val="0"/>
        <cfvo type="num" val="0.7"/>
        <cfvo type="num" val="1"/>
      </iconSet>
    </cfRule>
  </conditionalFormatting>
  <conditionalFormatting sqref="J3452">
    <cfRule type="dataBar" priority="6238">
      <dataBar>
        <cfvo type="num" val="0"/>
        <cfvo type="num" val="1"/>
        <color theme="4" tint="0.79998168889431442"/>
      </dataBar>
      <extLst>
        <ext xmlns:x14="http://schemas.microsoft.com/office/spreadsheetml/2009/9/main" uri="{B025F937-C7B1-47D3-B67F-A62EFF666E3E}">
          <x14:id>{7A33914E-F0D6-4AA8-84CB-D6E8E206B3C5}</x14:id>
        </ext>
      </extLst>
    </cfRule>
    <cfRule type="iconSet" priority="6237">
      <iconSet iconSet="3Arrows">
        <cfvo type="percent" val="0"/>
        <cfvo type="num" val="0.7"/>
        <cfvo type="num" val="1"/>
      </iconSet>
    </cfRule>
  </conditionalFormatting>
  <conditionalFormatting sqref="J3454">
    <cfRule type="dataBar" priority="6236">
      <dataBar>
        <cfvo type="num" val="0"/>
        <cfvo type="num" val="1"/>
        <color theme="4" tint="0.79998168889431442"/>
      </dataBar>
      <extLst>
        <ext xmlns:x14="http://schemas.microsoft.com/office/spreadsheetml/2009/9/main" uri="{B025F937-C7B1-47D3-B67F-A62EFF666E3E}">
          <x14:id>{BA2259E7-E2D7-49A9-A4D0-1A216FC4166F}</x14:id>
        </ext>
      </extLst>
    </cfRule>
    <cfRule type="iconSet" priority="6235">
      <iconSet iconSet="3Arrows">
        <cfvo type="percent" val="0"/>
        <cfvo type="num" val="0.7"/>
        <cfvo type="num" val="1"/>
      </iconSet>
    </cfRule>
  </conditionalFormatting>
  <conditionalFormatting sqref="J3456">
    <cfRule type="dataBar" priority="6234">
      <dataBar>
        <cfvo type="num" val="0"/>
        <cfvo type="num" val="1"/>
        <color theme="4" tint="0.79998168889431442"/>
      </dataBar>
      <extLst>
        <ext xmlns:x14="http://schemas.microsoft.com/office/spreadsheetml/2009/9/main" uri="{B025F937-C7B1-47D3-B67F-A62EFF666E3E}">
          <x14:id>{3A1004D4-64D6-4F0C-9297-93E9148EEC59}</x14:id>
        </ext>
      </extLst>
    </cfRule>
    <cfRule type="iconSet" priority="6233">
      <iconSet iconSet="3Arrows">
        <cfvo type="percent" val="0"/>
        <cfvo type="num" val="0.7"/>
        <cfvo type="num" val="1"/>
      </iconSet>
    </cfRule>
  </conditionalFormatting>
  <conditionalFormatting sqref="J3458">
    <cfRule type="dataBar" priority="6232">
      <dataBar>
        <cfvo type="num" val="0"/>
        <cfvo type="num" val="1"/>
        <color theme="4" tint="0.79998168889431442"/>
      </dataBar>
      <extLst>
        <ext xmlns:x14="http://schemas.microsoft.com/office/spreadsheetml/2009/9/main" uri="{B025F937-C7B1-47D3-B67F-A62EFF666E3E}">
          <x14:id>{828D0820-C3A2-428F-AF89-4135308C97E4}</x14:id>
        </ext>
      </extLst>
    </cfRule>
    <cfRule type="iconSet" priority="6231">
      <iconSet iconSet="3Arrows">
        <cfvo type="percent" val="0"/>
        <cfvo type="num" val="0.7"/>
        <cfvo type="num" val="1"/>
      </iconSet>
    </cfRule>
  </conditionalFormatting>
  <conditionalFormatting sqref="J3460">
    <cfRule type="iconSet" priority="6229">
      <iconSet iconSet="3Arrows">
        <cfvo type="percent" val="0"/>
        <cfvo type="num" val="0.7"/>
        <cfvo type="num" val="1"/>
      </iconSet>
    </cfRule>
    <cfRule type="dataBar" priority="6230">
      <dataBar>
        <cfvo type="num" val="0"/>
        <cfvo type="num" val="1"/>
        <color theme="4" tint="0.79998168889431442"/>
      </dataBar>
      <extLst>
        <ext xmlns:x14="http://schemas.microsoft.com/office/spreadsheetml/2009/9/main" uri="{B025F937-C7B1-47D3-B67F-A62EFF666E3E}">
          <x14:id>{C968C48A-926B-48D8-962D-D2167DF119AF}</x14:id>
        </ext>
      </extLst>
    </cfRule>
  </conditionalFormatting>
  <conditionalFormatting sqref="J3462">
    <cfRule type="iconSet" priority="6227">
      <iconSet iconSet="3Arrows">
        <cfvo type="percent" val="0"/>
        <cfvo type="num" val="0.7"/>
        <cfvo type="num" val="1"/>
      </iconSet>
    </cfRule>
    <cfRule type="dataBar" priority="6228">
      <dataBar>
        <cfvo type="num" val="0"/>
        <cfvo type="num" val="1"/>
        <color theme="4" tint="0.79998168889431442"/>
      </dataBar>
      <extLst>
        <ext xmlns:x14="http://schemas.microsoft.com/office/spreadsheetml/2009/9/main" uri="{B025F937-C7B1-47D3-B67F-A62EFF666E3E}">
          <x14:id>{886264C2-1181-40CD-92E1-A622B4A0AAB0}</x14:id>
        </ext>
      </extLst>
    </cfRule>
  </conditionalFormatting>
  <conditionalFormatting sqref="J3464">
    <cfRule type="dataBar" priority="6226">
      <dataBar>
        <cfvo type="num" val="0"/>
        <cfvo type="num" val="1"/>
        <color theme="4" tint="0.79998168889431442"/>
      </dataBar>
      <extLst>
        <ext xmlns:x14="http://schemas.microsoft.com/office/spreadsheetml/2009/9/main" uri="{B025F937-C7B1-47D3-B67F-A62EFF666E3E}">
          <x14:id>{22A5A0C0-572F-4EE1-B57F-74BF19C4CEFC}</x14:id>
        </ext>
      </extLst>
    </cfRule>
    <cfRule type="iconSet" priority="6225">
      <iconSet iconSet="3Arrows">
        <cfvo type="percent" val="0"/>
        <cfvo type="num" val="0.7"/>
        <cfvo type="num" val="1"/>
      </iconSet>
    </cfRule>
  </conditionalFormatting>
  <conditionalFormatting sqref="J3466">
    <cfRule type="dataBar" priority="6224">
      <dataBar>
        <cfvo type="num" val="0"/>
        <cfvo type="num" val="1"/>
        <color theme="4" tint="0.79998168889431442"/>
      </dataBar>
      <extLst>
        <ext xmlns:x14="http://schemas.microsoft.com/office/spreadsheetml/2009/9/main" uri="{B025F937-C7B1-47D3-B67F-A62EFF666E3E}">
          <x14:id>{982D7046-0663-46F5-8FFC-DE7788E011A9}</x14:id>
        </ext>
      </extLst>
    </cfRule>
    <cfRule type="iconSet" priority="6223">
      <iconSet iconSet="3Arrows">
        <cfvo type="percent" val="0"/>
        <cfvo type="num" val="0.7"/>
        <cfvo type="num" val="1"/>
      </iconSet>
    </cfRule>
  </conditionalFormatting>
  <conditionalFormatting sqref="J3468">
    <cfRule type="dataBar" priority="6222">
      <dataBar>
        <cfvo type="num" val="0"/>
        <cfvo type="num" val="1"/>
        <color theme="4" tint="0.79998168889431442"/>
      </dataBar>
      <extLst>
        <ext xmlns:x14="http://schemas.microsoft.com/office/spreadsheetml/2009/9/main" uri="{B025F937-C7B1-47D3-B67F-A62EFF666E3E}">
          <x14:id>{824E0F40-0FB5-4129-B22F-5D9F3BB900BB}</x14:id>
        </ext>
      </extLst>
    </cfRule>
    <cfRule type="iconSet" priority="6221">
      <iconSet iconSet="3Arrows">
        <cfvo type="percent" val="0"/>
        <cfvo type="num" val="0.7"/>
        <cfvo type="num" val="1"/>
      </iconSet>
    </cfRule>
  </conditionalFormatting>
  <conditionalFormatting sqref="J3470">
    <cfRule type="dataBar" priority="6220">
      <dataBar>
        <cfvo type="num" val="0"/>
        <cfvo type="num" val="1"/>
        <color theme="4" tint="0.79998168889431442"/>
      </dataBar>
      <extLst>
        <ext xmlns:x14="http://schemas.microsoft.com/office/spreadsheetml/2009/9/main" uri="{B025F937-C7B1-47D3-B67F-A62EFF666E3E}">
          <x14:id>{11D9F320-0C03-472A-8EA5-F4934EE97556}</x14:id>
        </ext>
      </extLst>
    </cfRule>
    <cfRule type="iconSet" priority="6219">
      <iconSet iconSet="3Arrows">
        <cfvo type="percent" val="0"/>
        <cfvo type="num" val="0.7"/>
        <cfvo type="num" val="1"/>
      </iconSet>
    </cfRule>
  </conditionalFormatting>
  <conditionalFormatting sqref="J3472">
    <cfRule type="dataBar" priority="6218">
      <dataBar>
        <cfvo type="num" val="0"/>
        <cfvo type="num" val="1"/>
        <color theme="4" tint="0.79998168889431442"/>
      </dataBar>
      <extLst>
        <ext xmlns:x14="http://schemas.microsoft.com/office/spreadsheetml/2009/9/main" uri="{B025F937-C7B1-47D3-B67F-A62EFF666E3E}">
          <x14:id>{AC3832DD-8742-4C1E-A379-450922543FCB}</x14:id>
        </ext>
      </extLst>
    </cfRule>
    <cfRule type="iconSet" priority="6217">
      <iconSet iconSet="3Arrows">
        <cfvo type="percent" val="0"/>
        <cfvo type="num" val="0.7"/>
        <cfvo type="num" val="1"/>
      </iconSet>
    </cfRule>
  </conditionalFormatting>
  <conditionalFormatting sqref="J3474">
    <cfRule type="dataBar" priority="6216">
      <dataBar>
        <cfvo type="num" val="0"/>
        <cfvo type="num" val="1"/>
        <color theme="4" tint="0.79998168889431442"/>
      </dataBar>
      <extLst>
        <ext xmlns:x14="http://schemas.microsoft.com/office/spreadsheetml/2009/9/main" uri="{B025F937-C7B1-47D3-B67F-A62EFF666E3E}">
          <x14:id>{6D9CE7B3-1697-45BE-A192-697A59D06DB5}</x14:id>
        </ext>
      </extLst>
    </cfRule>
    <cfRule type="iconSet" priority="6215">
      <iconSet iconSet="3Arrows">
        <cfvo type="percent" val="0"/>
        <cfvo type="num" val="0.7"/>
        <cfvo type="num" val="1"/>
      </iconSet>
    </cfRule>
  </conditionalFormatting>
  <conditionalFormatting sqref="J3476">
    <cfRule type="dataBar" priority="6214">
      <dataBar>
        <cfvo type="num" val="0"/>
        <cfvo type="num" val="1"/>
        <color theme="4" tint="0.79998168889431442"/>
      </dataBar>
      <extLst>
        <ext xmlns:x14="http://schemas.microsoft.com/office/spreadsheetml/2009/9/main" uri="{B025F937-C7B1-47D3-B67F-A62EFF666E3E}">
          <x14:id>{CE66FCA4-A151-4048-86B2-128949EBCB3F}</x14:id>
        </ext>
      </extLst>
    </cfRule>
    <cfRule type="iconSet" priority="6213">
      <iconSet iconSet="3Arrows">
        <cfvo type="percent" val="0"/>
        <cfvo type="num" val="0.7"/>
        <cfvo type="num" val="1"/>
      </iconSet>
    </cfRule>
  </conditionalFormatting>
  <conditionalFormatting sqref="J3478">
    <cfRule type="dataBar" priority="6212">
      <dataBar>
        <cfvo type="num" val="0"/>
        <cfvo type="num" val="1"/>
        <color theme="4" tint="0.79998168889431442"/>
      </dataBar>
      <extLst>
        <ext xmlns:x14="http://schemas.microsoft.com/office/spreadsheetml/2009/9/main" uri="{B025F937-C7B1-47D3-B67F-A62EFF666E3E}">
          <x14:id>{7EAB632C-3FF9-4E23-A63E-072BE79EBCA9}</x14:id>
        </ext>
      </extLst>
    </cfRule>
    <cfRule type="iconSet" priority="6211">
      <iconSet iconSet="3Arrows">
        <cfvo type="percent" val="0"/>
        <cfvo type="num" val="0.7"/>
        <cfvo type="num" val="1"/>
      </iconSet>
    </cfRule>
  </conditionalFormatting>
  <conditionalFormatting sqref="J3480">
    <cfRule type="iconSet" priority="6209">
      <iconSet iconSet="3Arrows">
        <cfvo type="percent" val="0"/>
        <cfvo type="num" val="0.7"/>
        <cfvo type="num" val="1"/>
      </iconSet>
    </cfRule>
    <cfRule type="dataBar" priority="6210">
      <dataBar>
        <cfvo type="num" val="0"/>
        <cfvo type="num" val="1"/>
        <color theme="4" tint="0.79998168889431442"/>
      </dataBar>
      <extLst>
        <ext xmlns:x14="http://schemas.microsoft.com/office/spreadsheetml/2009/9/main" uri="{B025F937-C7B1-47D3-B67F-A62EFF666E3E}">
          <x14:id>{22EAEE70-64E3-4310-B904-AE48EBAFAB6D}</x14:id>
        </ext>
      </extLst>
    </cfRule>
  </conditionalFormatting>
  <conditionalFormatting sqref="J3482">
    <cfRule type="dataBar" priority="6208">
      <dataBar>
        <cfvo type="num" val="0"/>
        <cfvo type="num" val="1"/>
        <color theme="4" tint="0.79998168889431442"/>
      </dataBar>
      <extLst>
        <ext xmlns:x14="http://schemas.microsoft.com/office/spreadsheetml/2009/9/main" uri="{B025F937-C7B1-47D3-B67F-A62EFF666E3E}">
          <x14:id>{E8E07AC1-4A34-4281-94F7-0BB287BCA3FF}</x14:id>
        </ext>
      </extLst>
    </cfRule>
    <cfRule type="iconSet" priority="6207">
      <iconSet iconSet="3Arrows">
        <cfvo type="percent" val="0"/>
        <cfvo type="num" val="0.7"/>
        <cfvo type="num" val="1"/>
      </iconSet>
    </cfRule>
  </conditionalFormatting>
  <conditionalFormatting sqref="J3484">
    <cfRule type="dataBar" priority="6206">
      <dataBar>
        <cfvo type="num" val="0"/>
        <cfvo type="num" val="1"/>
        <color theme="4" tint="0.79998168889431442"/>
      </dataBar>
      <extLst>
        <ext xmlns:x14="http://schemas.microsoft.com/office/spreadsheetml/2009/9/main" uri="{B025F937-C7B1-47D3-B67F-A62EFF666E3E}">
          <x14:id>{D1F96683-9673-4E6C-B3CA-BBA68E84563D}</x14:id>
        </ext>
      </extLst>
    </cfRule>
    <cfRule type="iconSet" priority="6205">
      <iconSet iconSet="3Arrows">
        <cfvo type="percent" val="0"/>
        <cfvo type="num" val="0.7"/>
        <cfvo type="num" val="1"/>
      </iconSet>
    </cfRule>
  </conditionalFormatting>
  <conditionalFormatting sqref="J3486">
    <cfRule type="dataBar" priority="6204">
      <dataBar>
        <cfvo type="num" val="0"/>
        <cfvo type="num" val="1"/>
        <color theme="4" tint="0.79998168889431442"/>
      </dataBar>
      <extLst>
        <ext xmlns:x14="http://schemas.microsoft.com/office/spreadsheetml/2009/9/main" uri="{B025F937-C7B1-47D3-B67F-A62EFF666E3E}">
          <x14:id>{25DB5739-2EE8-4D4D-B7FC-5BD936CC6072}</x14:id>
        </ext>
      </extLst>
    </cfRule>
    <cfRule type="iconSet" priority="6203">
      <iconSet iconSet="3Arrows">
        <cfvo type="percent" val="0"/>
        <cfvo type="num" val="0.7"/>
        <cfvo type="num" val="1"/>
      </iconSet>
    </cfRule>
  </conditionalFormatting>
  <conditionalFormatting sqref="J3489">
    <cfRule type="dataBar" priority="6202">
      <dataBar>
        <cfvo type="num" val="0"/>
        <cfvo type="num" val="1"/>
        <color theme="4" tint="0.79998168889431442"/>
      </dataBar>
      <extLst>
        <ext xmlns:x14="http://schemas.microsoft.com/office/spreadsheetml/2009/9/main" uri="{B025F937-C7B1-47D3-B67F-A62EFF666E3E}">
          <x14:id>{35A8C46E-E0A9-45B5-984E-3E14E551063B}</x14:id>
        </ext>
      </extLst>
    </cfRule>
    <cfRule type="iconSet" priority="6201">
      <iconSet iconSet="3Arrows">
        <cfvo type="percent" val="0"/>
        <cfvo type="num" val="0.7"/>
        <cfvo type="num" val="1"/>
      </iconSet>
    </cfRule>
  </conditionalFormatting>
  <conditionalFormatting sqref="J3491">
    <cfRule type="dataBar" priority="6200">
      <dataBar>
        <cfvo type="num" val="0"/>
        <cfvo type="num" val="1"/>
        <color theme="4" tint="0.79998168889431442"/>
      </dataBar>
      <extLst>
        <ext xmlns:x14="http://schemas.microsoft.com/office/spreadsheetml/2009/9/main" uri="{B025F937-C7B1-47D3-B67F-A62EFF666E3E}">
          <x14:id>{675E5455-79FF-4A9D-86E3-ABBF47390261}</x14:id>
        </ext>
      </extLst>
    </cfRule>
    <cfRule type="iconSet" priority="6199">
      <iconSet iconSet="3Arrows">
        <cfvo type="percent" val="0"/>
        <cfvo type="num" val="0.7"/>
        <cfvo type="num" val="1"/>
      </iconSet>
    </cfRule>
  </conditionalFormatting>
  <conditionalFormatting sqref="J3493">
    <cfRule type="dataBar" priority="6198">
      <dataBar>
        <cfvo type="num" val="0"/>
        <cfvo type="num" val="1"/>
        <color theme="4" tint="0.79998168889431442"/>
      </dataBar>
      <extLst>
        <ext xmlns:x14="http://schemas.microsoft.com/office/spreadsheetml/2009/9/main" uri="{B025F937-C7B1-47D3-B67F-A62EFF666E3E}">
          <x14:id>{B0BD68C5-15B3-41F1-8C95-7421FF6C4B0B}</x14:id>
        </ext>
      </extLst>
    </cfRule>
    <cfRule type="iconSet" priority="6197">
      <iconSet iconSet="3Arrows">
        <cfvo type="percent" val="0"/>
        <cfvo type="num" val="0.7"/>
        <cfvo type="num" val="1"/>
      </iconSet>
    </cfRule>
  </conditionalFormatting>
  <conditionalFormatting sqref="J3495">
    <cfRule type="dataBar" priority="6196">
      <dataBar>
        <cfvo type="num" val="0"/>
        <cfvo type="num" val="1"/>
        <color theme="4" tint="0.79998168889431442"/>
      </dataBar>
      <extLst>
        <ext xmlns:x14="http://schemas.microsoft.com/office/spreadsheetml/2009/9/main" uri="{B025F937-C7B1-47D3-B67F-A62EFF666E3E}">
          <x14:id>{A9953412-6363-4676-826A-0AAD4FC5CF19}</x14:id>
        </ext>
      </extLst>
    </cfRule>
    <cfRule type="iconSet" priority="6195">
      <iconSet iconSet="3Arrows">
        <cfvo type="percent" val="0"/>
        <cfvo type="num" val="0.7"/>
        <cfvo type="num" val="1"/>
      </iconSet>
    </cfRule>
  </conditionalFormatting>
  <conditionalFormatting sqref="J3497">
    <cfRule type="iconSet" priority="6193">
      <iconSet iconSet="3Arrows">
        <cfvo type="percent" val="0"/>
        <cfvo type="num" val="0.7"/>
        <cfvo type="num" val="1"/>
      </iconSet>
    </cfRule>
    <cfRule type="dataBar" priority="6194">
      <dataBar>
        <cfvo type="num" val="0"/>
        <cfvo type="num" val="1"/>
        <color theme="4" tint="0.79998168889431442"/>
      </dataBar>
      <extLst>
        <ext xmlns:x14="http://schemas.microsoft.com/office/spreadsheetml/2009/9/main" uri="{B025F937-C7B1-47D3-B67F-A62EFF666E3E}">
          <x14:id>{031F451D-1BE2-4204-B780-431F5338F147}</x14:id>
        </ext>
      </extLst>
    </cfRule>
  </conditionalFormatting>
  <conditionalFormatting sqref="J3499">
    <cfRule type="iconSet" priority="6191">
      <iconSet iconSet="3Arrows">
        <cfvo type="percent" val="0"/>
        <cfvo type="num" val="0.7"/>
        <cfvo type="num" val="1"/>
      </iconSet>
    </cfRule>
    <cfRule type="dataBar" priority="6192">
      <dataBar>
        <cfvo type="num" val="0"/>
        <cfvo type="num" val="1"/>
        <color theme="4" tint="0.79998168889431442"/>
      </dataBar>
      <extLst>
        <ext xmlns:x14="http://schemas.microsoft.com/office/spreadsheetml/2009/9/main" uri="{B025F937-C7B1-47D3-B67F-A62EFF666E3E}">
          <x14:id>{7DF78B8D-38FF-4FBB-8943-4FC626920480}</x14:id>
        </ext>
      </extLst>
    </cfRule>
  </conditionalFormatting>
  <conditionalFormatting sqref="J3503">
    <cfRule type="dataBar" priority="6190">
      <dataBar>
        <cfvo type="num" val="0"/>
        <cfvo type="num" val="1"/>
        <color theme="4" tint="0.79998168889431442"/>
      </dataBar>
      <extLst>
        <ext xmlns:x14="http://schemas.microsoft.com/office/spreadsheetml/2009/9/main" uri="{B025F937-C7B1-47D3-B67F-A62EFF666E3E}">
          <x14:id>{3988EBBF-6365-4CB4-9075-FF1556714392}</x14:id>
        </ext>
      </extLst>
    </cfRule>
    <cfRule type="iconSet" priority="6189">
      <iconSet iconSet="3Arrows">
        <cfvo type="percent" val="0"/>
        <cfvo type="num" val="0.7"/>
        <cfvo type="num" val="1"/>
      </iconSet>
    </cfRule>
  </conditionalFormatting>
  <conditionalFormatting sqref="J3506">
    <cfRule type="dataBar" priority="6188">
      <dataBar>
        <cfvo type="num" val="0"/>
        <cfvo type="num" val="1"/>
        <color theme="4" tint="0.79998168889431442"/>
      </dataBar>
      <extLst>
        <ext xmlns:x14="http://schemas.microsoft.com/office/spreadsheetml/2009/9/main" uri="{B025F937-C7B1-47D3-B67F-A62EFF666E3E}">
          <x14:id>{A4F7AB75-35F2-43BA-9807-074141930600}</x14:id>
        </ext>
      </extLst>
    </cfRule>
    <cfRule type="iconSet" priority="6187">
      <iconSet iconSet="3Arrows">
        <cfvo type="percent" val="0"/>
        <cfvo type="num" val="0.7"/>
        <cfvo type="num" val="1"/>
      </iconSet>
    </cfRule>
  </conditionalFormatting>
  <conditionalFormatting sqref="J3508">
    <cfRule type="dataBar" priority="6186">
      <dataBar>
        <cfvo type="num" val="0"/>
        <cfvo type="num" val="1"/>
        <color theme="4" tint="0.79998168889431442"/>
      </dataBar>
      <extLst>
        <ext xmlns:x14="http://schemas.microsoft.com/office/spreadsheetml/2009/9/main" uri="{B025F937-C7B1-47D3-B67F-A62EFF666E3E}">
          <x14:id>{448F1292-8281-4784-A39F-C188CE5FE671}</x14:id>
        </ext>
      </extLst>
    </cfRule>
    <cfRule type="iconSet" priority="6185">
      <iconSet iconSet="3Arrows">
        <cfvo type="percent" val="0"/>
        <cfvo type="num" val="0.7"/>
        <cfvo type="num" val="1"/>
      </iconSet>
    </cfRule>
  </conditionalFormatting>
  <conditionalFormatting sqref="J3510">
    <cfRule type="dataBar" priority="6184">
      <dataBar>
        <cfvo type="num" val="0"/>
        <cfvo type="num" val="1"/>
        <color theme="4" tint="0.79998168889431442"/>
      </dataBar>
      <extLst>
        <ext xmlns:x14="http://schemas.microsoft.com/office/spreadsheetml/2009/9/main" uri="{B025F937-C7B1-47D3-B67F-A62EFF666E3E}">
          <x14:id>{65257DCD-7251-4E5A-95EF-58F9EEB0A70C}</x14:id>
        </ext>
      </extLst>
    </cfRule>
    <cfRule type="iconSet" priority="6183">
      <iconSet iconSet="3Arrows">
        <cfvo type="percent" val="0"/>
        <cfvo type="num" val="0.7"/>
        <cfvo type="num" val="1"/>
      </iconSet>
    </cfRule>
  </conditionalFormatting>
  <conditionalFormatting sqref="J3512">
    <cfRule type="dataBar" priority="6182">
      <dataBar>
        <cfvo type="num" val="0"/>
        <cfvo type="num" val="1"/>
        <color theme="4" tint="0.79998168889431442"/>
      </dataBar>
      <extLst>
        <ext xmlns:x14="http://schemas.microsoft.com/office/spreadsheetml/2009/9/main" uri="{B025F937-C7B1-47D3-B67F-A62EFF666E3E}">
          <x14:id>{1C697DB7-67BC-4C35-9F21-3DABEE815683}</x14:id>
        </ext>
      </extLst>
    </cfRule>
    <cfRule type="iconSet" priority="6181">
      <iconSet iconSet="3Arrows">
        <cfvo type="percent" val="0"/>
        <cfvo type="num" val="0.7"/>
        <cfvo type="num" val="1"/>
      </iconSet>
    </cfRule>
  </conditionalFormatting>
  <conditionalFormatting sqref="J3514">
    <cfRule type="dataBar" priority="6180">
      <dataBar>
        <cfvo type="num" val="0"/>
        <cfvo type="num" val="1"/>
        <color theme="4" tint="0.79998168889431442"/>
      </dataBar>
      <extLst>
        <ext xmlns:x14="http://schemas.microsoft.com/office/spreadsheetml/2009/9/main" uri="{B025F937-C7B1-47D3-B67F-A62EFF666E3E}">
          <x14:id>{96AE1B13-2030-4453-ABCA-5A504AB1F475}</x14:id>
        </ext>
      </extLst>
    </cfRule>
    <cfRule type="iconSet" priority="6179">
      <iconSet iconSet="3Arrows">
        <cfvo type="percent" val="0"/>
        <cfvo type="num" val="0.7"/>
        <cfvo type="num" val="1"/>
      </iconSet>
    </cfRule>
  </conditionalFormatting>
  <conditionalFormatting sqref="M365:M366">
    <cfRule type="cellIs" dxfId="1289" priority="6178" operator="equal">
      <formula>0</formula>
    </cfRule>
  </conditionalFormatting>
  <conditionalFormatting sqref="M848:M849">
    <cfRule type="cellIs" dxfId="1288" priority="6177" operator="equal">
      <formula>0</formula>
    </cfRule>
  </conditionalFormatting>
  <conditionalFormatting sqref="N10">
    <cfRule type="dataBar" priority="6176">
      <dataBar>
        <cfvo type="num" val="0"/>
        <cfvo type="num" val="1"/>
        <color theme="4" tint="0.79998168889431442"/>
      </dataBar>
      <extLst>
        <ext xmlns:x14="http://schemas.microsoft.com/office/spreadsheetml/2009/9/main" uri="{B025F937-C7B1-47D3-B67F-A62EFF666E3E}">
          <x14:id>{46934B8F-F8B8-4912-A7A9-8CF69D5F271A}</x14:id>
        </ext>
      </extLst>
    </cfRule>
    <cfRule type="iconSet" priority="6175">
      <iconSet iconSet="3Arrows">
        <cfvo type="percent" val="0"/>
        <cfvo type="num" val="0.7"/>
        <cfvo type="num" val="1"/>
      </iconSet>
    </cfRule>
  </conditionalFormatting>
  <conditionalFormatting sqref="N14">
    <cfRule type="dataBar" priority="6174">
      <dataBar>
        <cfvo type="num" val="0"/>
        <cfvo type="num" val="1"/>
        <color theme="4" tint="0.79998168889431442"/>
      </dataBar>
      <extLst>
        <ext xmlns:x14="http://schemas.microsoft.com/office/spreadsheetml/2009/9/main" uri="{B025F937-C7B1-47D3-B67F-A62EFF666E3E}">
          <x14:id>{A191493B-5BCB-4740-8120-9C3233801CF6}</x14:id>
        </ext>
      </extLst>
    </cfRule>
    <cfRule type="iconSet" priority="6173">
      <iconSet iconSet="3Arrows">
        <cfvo type="percent" val="0"/>
        <cfvo type="num" val="0.7"/>
        <cfvo type="num" val="1"/>
      </iconSet>
    </cfRule>
  </conditionalFormatting>
  <conditionalFormatting sqref="N16">
    <cfRule type="dataBar" priority="6172">
      <dataBar>
        <cfvo type="num" val="0"/>
        <cfvo type="num" val="1"/>
        <color theme="4" tint="0.79998168889431442"/>
      </dataBar>
      <extLst>
        <ext xmlns:x14="http://schemas.microsoft.com/office/spreadsheetml/2009/9/main" uri="{B025F937-C7B1-47D3-B67F-A62EFF666E3E}">
          <x14:id>{26E2655C-4863-4ADC-9876-E9BC963DC2E8}</x14:id>
        </ext>
      </extLst>
    </cfRule>
    <cfRule type="iconSet" priority="6171">
      <iconSet iconSet="3Arrows">
        <cfvo type="percent" val="0"/>
        <cfvo type="num" val="0.7"/>
        <cfvo type="num" val="1"/>
      </iconSet>
    </cfRule>
  </conditionalFormatting>
  <conditionalFormatting sqref="N18">
    <cfRule type="iconSet" priority="6169">
      <iconSet iconSet="3Arrows">
        <cfvo type="percent" val="0"/>
        <cfvo type="num" val="0.7"/>
        <cfvo type="num" val="1"/>
      </iconSet>
    </cfRule>
    <cfRule type="dataBar" priority="6170">
      <dataBar>
        <cfvo type="num" val="0"/>
        <cfvo type="num" val="1"/>
        <color theme="4" tint="0.79998168889431442"/>
      </dataBar>
      <extLst>
        <ext xmlns:x14="http://schemas.microsoft.com/office/spreadsheetml/2009/9/main" uri="{B025F937-C7B1-47D3-B67F-A62EFF666E3E}">
          <x14:id>{48077674-19D7-4D12-BF8C-8C234F22088E}</x14:id>
        </ext>
      </extLst>
    </cfRule>
  </conditionalFormatting>
  <conditionalFormatting sqref="N20">
    <cfRule type="dataBar" priority="6168">
      <dataBar>
        <cfvo type="num" val="0"/>
        <cfvo type="num" val="1"/>
        <color theme="4" tint="0.79998168889431442"/>
      </dataBar>
      <extLst>
        <ext xmlns:x14="http://schemas.microsoft.com/office/spreadsheetml/2009/9/main" uri="{B025F937-C7B1-47D3-B67F-A62EFF666E3E}">
          <x14:id>{9DA25537-83FC-4DB2-9108-E026BAAFDE10}</x14:id>
        </ext>
      </extLst>
    </cfRule>
    <cfRule type="iconSet" priority="6167">
      <iconSet iconSet="3Arrows">
        <cfvo type="percent" val="0"/>
        <cfvo type="num" val="0.7"/>
        <cfvo type="num" val="1"/>
      </iconSet>
    </cfRule>
  </conditionalFormatting>
  <conditionalFormatting sqref="N22">
    <cfRule type="dataBar" priority="6166">
      <dataBar>
        <cfvo type="num" val="0"/>
        <cfvo type="num" val="1"/>
        <color theme="4" tint="0.79998168889431442"/>
      </dataBar>
      <extLst>
        <ext xmlns:x14="http://schemas.microsoft.com/office/spreadsheetml/2009/9/main" uri="{B025F937-C7B1-47D3-B67F-A62EFF666E3E}">
          <x14:id>{9A5E8B55-3480-40D9-B803-1175E57C86D9}</x14:id>
        </ext>
      </extLst>
    </cfRule>
    <cfRule type="iconSet" priority="6165">
      <iconSet iconSet="3Arrows">
        <cfvo type="percent" val="0"/>
        <cfvo type="num" val="0.7"/>
        <cfvo type="num" val="1"/>
      </iconSet>
    </cfRule>
  </conditionalFormatting>
  <conditionalFormatting sqref="N24">
    <cfRule type="dataBar" priority="6164">
      <dataBar>
        <cfvo type="num" val="0"/>
        <cfvo type="num" val="1"/>
        <color theme="4" tint="0.79998168889431442"/>
      </dataBar>
      <extLst>
        <ext xmlns:x14="http://schemas.microsoft.com/office/spreadsheetml/2009/9/main" uri="{B025F937-C7B1-47D3-B67F-A62EFF666E3E}">
          <x14:id>{5FD76B25-3063-46B1-B59F-26446CE884BC}</x14:id>
        </ext>
      </extLst>
    </cfRule>
    <cfRule type="iconSet" priority="6163">
      <iconSet iconSet="3Arrows">
        <cfvo type="percent" val="0"/>
        <cfvo type="num" val="0.7"/>
        <cfvo type="num" val="1"/>
      </iconSet>
    </cfRule>
  </conditionalFormatting>
  <conditionalFormatting sqref="N26">
    <cfRule type="iconSet" priority="6161">
      <iconSet iconSet="3Arrows">
        <cfvo type="percent" val="0"/>
        <cfvo type="num" val="0.7"/>
        <cfvo type="num" val="1"/>
      </iconSet>
    </cfRule>
    <cfRule type="dataBar" priority="6162">
      <dataBar>
        <cfvo type="num" val="0"/>
        <cfvo type="num" val="1"/>
        <color theme="4" tint="0.79998168889431442"/>
      </dataBar>
      <extLst>
        <ext xmlns:x14="http://schemas.microsoft.com/office/spreadsheetml/2009/9/main" uri="{B025F937-C7B1-47D3-B67F-A62EFF666E3E}">
          <x14:id>{58AEA3DE-88B6-4342-B231-EB8DDE33CA99}</x14:id>
        </ext>
      </extLst>
    </cfRule>
  </conditionalFormatting>
  <conditionalFormatting sqref="N28">
    <cfRule type="iconSet" priority="6159">
      <iconSet iconSet="3Arrows">
        <cfvo type="percent" val="0"/>
        <cfvo type="num" val="0.7"/>
        <cfvo type="num" val="1"/>
      </iconSet>
    </cfRule>
    <cfRule type="dataBar" priority="6160">
      <dataBar>
        <cfvo type="num" val="0"/>
        <cfvo type="num" val="1"/>
        <color theme="4" tint="0.79998168889431442"/>
      </dataBar>
      <extLst>
        <ext xmlns:x14="http://schemas.microsoft.com/office/spreadsheetml/2009/9/main" uri="{B025F937-C7B1-47D3-B67F-A62EFF666E3E}">
          <x14:id>{032272B2-1A05-49F5-911E-E416B662A1C3}</x14:id>
        </ext>
      </extLst>
    </cfRule>
  </conditionalFormatting>
  <conditionalFormatting sqref="N30">
    <cfRule type="dataBar" priority="6158">
      <dataBar>
        <cfvo type="num" val="0"/>
        <cfvo type="num" val="1"/>
        <color theme="4" tint="0.79998168889431442"/>
      </dataBar>
      <extLst>
        <ext xmlns:x14="http://schemas.microsoft.com/office/spreadsheetml/2009/9/main" uri="{B025F937-C7B1-47D3-B67F-A62EFF666E3E}">
          <x14:id>{3F4FE322-5072-49D4-ADF4-3A4B9B4F3834}</x14:id>
        </ext>
      </extLst>
    </cfRule>
    <cfRule type="iconSet" priority="6157">
      <iconSet iconSet="3Arrows">
        <cfvo type="percent" val="0"/>
        <cfvo type="num" val="0.7"/>
        <cfvo type="num" val="1"/>
      </iconSet>
    </cfRule>
  </conditionalFormatting>
  <conditionalFormatting sqref="N32">
    <cfRule type="dataBar" priority="6156">
      <dataBar>
        <cfvo type="num" val="0"/>
        <cfvo type="num" val="1"/>
        <color theme="4" tint="0.79998168889431442"/>
      </dataBar>
      <extLst>
        <ext xmlns:x14="http://schemas.microsoft.com/office/spreadsheetml/2009/9/main" uri="{B025F937-C7B1-47D3-B67F-A62EFF666E3E}">
          <x14:id>{DEE05ED0-0322-4DF3-A5BF-7534BB9BAB0F}</x14:id>
        </ext>
      </extLst>
    </cfRule>
    <cfRule type="iconSet" priority="6155">
      <iconSet iconSet="3Arrows">
        <cfvo type="percent" val="0"/>
        <cfvo type="num" val="0.7"/>
        <cfvo type="num" val="1"/>
      </iconSet>
    </cfRule>
  </conditionalFormatting>
  <conditionalFormatting sqref="N34">
    <cfRule type="dataBar" priority="6154">
      <dataBar>
        <cfvo type="num" val="0"/>
        <cfvo type="num" val="1"/>
        <color theme="4" tint="0.79998168889431442"/>
      </dataBar>
      <extLst>
        <ext xmlns:x14="http://schemas.microsoft.com/office/spreadsheetml/2009/9/main" uri="{B025F937-C7B1-47D3-B67F-A62EFF666E3E}">
          <x14:id>{98EAE025-21A3-4AA1-B720-4F71943C5513}</x14:id>
        </ext>
      </extLst>
    </cfRule>
    <cfRule type="iconSet" priority="6153">
      <iconSet iconSet="3Arrows">
        <cfvo type="percent" val="0"/>
        <cfvo type="num" val="0.7"/>
        <cfvo type="num" val="1"/>
      </iconSet>
    </cfRule>
  </conditionalFormatting>
  <conditionalFormatting sqref="N36">
    <cfRule type="dataBar" priority="6152">
      <dataBar>
        <cfvo type="num" val="0"/>
        <cfvo type="num" val="1"/>
        <color theme="4" tint="0.79998168889431442"/>
      </dataBar>
      <extLst>
        <ext xmlns:x14="http://schemas.microsoft.com/office/spreadsheetml/2009/9/main" uri="{B025F937-C7B1-47D3-B67F-A62EFF666E3E}">
          <x14:id>{280AC3C5-71CE-47FF-B68A-0F42901BB996}</x14:id>
        </ext>
      </extLst>
    </cfRule>
    <cfRule type="iconSet" priority="6151">
      <iconSet iconSet="3Arrows">
        <cfvo type="percent" val="0"/>
        <cfvo type="num" val="0.7"/>
        <cfvo type="num" val="1"/>
      </iconSet>
    </cfRule>
  </conditionalFormatting>
  <conditionalFormatting sqref="N38">
    <cfRule type="dataBar" priority="6150">
      <dataBar>
        <cfvo type="num" val="0"/>
        <cfvo type="num" val="1"/>
        <color theme="4" tint="0.79998168889431442"/>
      </dataBar>
      <extLst>
        <ext xmlns:x14="http://schemas.microsoft.com/office/spreadsheetml/2009/9/main" uri="{B025F937-C7B1-47D3-B67F-A62EFF666E3E}">
          <x14:id>{41632D4A-C825-4262-903D-86F230EE3972}</x14:id>
        </ext>
      </extLst>
    </cfRule>
    <cfRule type="iconSet" priority="6149">
      <iconSet iconSet="3Arrows">
        <cfvo type="percent" val="0"/>
        <cfvo type="num" val="0.7"/>
        <cfvo type="num" val="1"/>
      </iconSet>
    </cfRule>
  </conditionalFormatting>
  <conditionalFormatting sqref="N40">
    <cfRule type="dataBar" priority="6148">
      <dataBar>
        <cfvo type="num" val="0"/>
        <cfvo type="num" val="1"/>
        <color theme="4" tint="0.79998168889431442"/>
      </dataBar>
      <extLst>
        <ext xmlns:x14="http://schemas.microsoft.com/office/spreadsheetml/2009/9/main" uri="{B025F937-C7B1-47D3-B67F-A62EFF666E3E}">
          <x14:id>{EEB8AC63-DEE6-466D-8896-A17494215F6A}</x14:id>
        </ext>
      </extLst>
    </cfRule>
    <cfRule type="iconSet" priority="6147">
      <iconSet iconSet="3Arrows">
        <cfvo type="percent" val="0"/>
        <cfvo type="num" val="0.7"/>
        <cfvo type="num" val="1"/>
      </iconSet>
    </cfRule>
  </conditionalFormatting>
  <conditionalFormatting sqref="N42">
    <cfRule type="dataBar" priority="6146">
      <dataBar>
        <cfvo type="num" val="0"/>
        <cfvo type="num" val="1"/>
        <color theme="4" tint="0.79998168889431442"/>
      </dataBar>
      <extLst>
        <ext xmlns:x14="http://schemas.microsoft.com/office/spreadsheetml/2009/9/main" uri="{B025F937-C7B1-47D3-B67F-A62EFF666E3E}">
          <x14:id>{31C69C4D-DBB5-4124-95A0-3C4E0195F73D}</x14:id>
        </ext>
      </extLst>
    </cfRule>
    <cfRule type="iconSet" priority="6145">
      <iconSet iconSet="3Arrows">
        <cfvo type="percent" val="0"/>
        <cfvo type="num" val="0.7"/>
        <cfvo type="num" val="1"/>
      </iconSet>
    </cfRule>
  </conditionalFormatting>
  <conditionalFormatting sqref="N44">
    <cfRule type="dataBar" priority="6144">
      <dataBar>
        <cfvo type="num" val="0"/>
        <cfvo type="num" val="1"/>
        <color theme="4" tint="0.79998168889431442"/>
      </dataBar>
      <extLst>
        <ext xmlns:x14="http://schemas.microsoft.com/office/spreadsheetml/2009/9/main" uri="{B025F937-C7B1-47D3-B67F-A62EFF666E3E}">
          <x14:id>{EBC1350B-3339-474D-84A2-F00417D2D74F}</x14:id>
        </ext>
      </extLst>
    </cfRule>
    <cfRule type="iconSet" priority="6143">
      <iconSet iconSet="3Arrows">
        <cfvo type="percent" val="0"/>
        <cfvo type="num" val="0.7"/>
        <cfvo type="num" val="1"/>
      </iconSet>
    </cfRule>
  </conditionalFormatting>
  <conditionalFormatting sqref="N46">
    <cfRule type="dataBar" priority="6142">
      <dataBar>
        <cfvo type="num" val="0"/>
        <cfvo type="num" val="1"/>
        <color theme="4" tint="0.79998168889431442"/>
      </dataBar>
      <extLst>
        <ext xmlns:x14="http://schemas.microsoft.com/office/spreadsheetml/2009/9/main" uri="{B025F937-C7B1-47D3-B67F-A62EFF666E3E}">
          <x14:id>{94719DA7-31C0-4101-8091-77E72272201A}</x14:id>
        </ext>
      </extLst>
    </cfRule>
    <cfRule type="iconSet" priority="6141">
      <iconSet iconSet="3Arrows">
        <cfvo type="percent" val="0"/>
        <cfvo type="num" val="0.7"/>
        <cfvo type="num" val="1"/>
      </iconSet>
    </cfRule>
  </conditionalFormatting>
  <conditionalFormatting sqref="N48">
    <cfRule type="dataBar" priority="6140">
      <dataBar>
        <cfvo type="num" val="0"/>
        <cfvo type="num" val="1"/>
        <color theme="4" tint="0.79998168889431442"/>
      </dataBar>
      <extLst>
        <ext xmlns:x14="http://schemas.microsoft.com/office/spreadsheetml/2009/9/main" uri="{B025F937-C7B1-47D3-B67F-A62EFF666E3E}">
          <x14:id>{1BDC9066-7E08-448C-893A-9F576965A3FC}</x14:id>
        </ext>
      </extLst>
    </cfRule>
    <cfRule type="iconSet" priority="6139">
      <iconSet iconSet="3Arrows">
        <cfvo type="percent" val="0"/>
        <cfvo type="num" val="0.7"/>
        <cfvo type="num" val="1"/>
      </iconSet>
    </cfRule>
  </conditionalFormatting>
  <conditionalFormatting sqref="N50">
    <cfRule type="dataBar" priority="6138">
      <dataBar>
        <cfvo type="num" val="0"/>
        <cfvo type="num" val="1"/>
        <color theme="4" tint="0.79998168889431442"/>
      </dataBar>
      <extLst>
        <ext xmlns:x14="http://schemas.microsoft.com/office/spreadsheetml/2009/9/main" uri="{B025F937-C7B1-47D3-B67F-A62EFF666E3E}">
          <x14:id>{C9E140E7-D793-46EC-8B1B-D7B6E16538F0}</x14:id>
        </ext>
      </extLst>
    </cfRule>
    <cfRule type="iconSet" priority="6137">
      <iconSet iconSet="3Arrows">
        <cfvo type="percent" val="0"/>
        <cfvo type="num" val="0.7"/>
        <cfvo type="num" val="1"/>
      </iconSet>
    </cfRule>
  </conditionalFormatting>
  <conditionalFormatting sqref="N52">
    <cfRule type="dataBar" priority="6136">
      <dataBar>
        <cfvo type="num" val="0"/>
        <cfvo type="num" val="1"/>
        <color theme="4" tint="0.79998168889431442"/>
      </dataBar>
      <extLst>
        <ext xmlns:x14="http://schemas.microsoft.com/office/spreadsheetml/2009/9/main" uri="{B025F937-C7B1-47D3-B67F-A62EFF666E3E}">
          <x14:id>{93B2771A-966B-4F2D-8AC9-595A09D1E0BC}</x14:id>
        </ext>
      </extLst>
    </cfRule>
    <cfRule type="iconSet" priority="6135">
      <iconSet iconSet="3Arrows">
        <cfvo type="percent" val="0"/>
        <cfvo type="num" val="0.7"/>
        <cfvo type="num" val="1"/>
      </iconSet>
    </cfRule>
  </conditionalFormatting>
  <conditionalFormatting sqref="N54">
    <cfRule type="dataBar" priority="6134">
      <dataBar>
        <cfvo type="num" val="0"/>
        <cfvo type="num" val="1"/>
        <color theme="4" tint="0.79998168889431442"/>
      </dataBar>
      <extLst>
        <ext xmlns:x14="http://schemas.microsoft.com/office/spreadsheetml/2009/9/main" uri="{B025F937-C7B1-47D3-B67F-A62EFF666E3E}">
          <x14:id>{4C8E0EB9-3924-4F11-B854-4E8D19CB7E09}</x14:id>
        </ext>
      </extLst>
    </cfRule>
    <cfRule type="iconSet" priority="6133">
      <iconSet iconSet="3Arrows">
        <cfvo type="percent" val="0"/>
        <cfvo type="num" val="0.7"/>
        <cfvo type="num" val="1"/>
      </iconSet>
    </cfRule>
  </conditionalFormatting>
  <conditionalFormatting sqref="N56">
    <cfRule type="dataBar" priority="6132">
      <dataBar>
        <cfvo type="num" val="0"/>
        <cfvo type="num" val="1"/>
        <color theme="4" tint="0.79998168889431442"/>
      </dataBar>
      <extLst>
        <ext xmlns:x14="http://schemas.microsoft.com/office/spreadsheetml/2009/9/main" uri="{B025F937-C7B1-47D3-B67F-A62EFF666E3E}">
          <x14:id>{F792FF68-31D6-4920-910B-5F366DB1D7FA}</x14:id>
        </ext>
      </extLst>
    </cfRule>
    <cfRule type="iconSet" priority="6131">
      <iconSet iconSet="3Arrows">
        <cfvo type="percent" val="0"/>
        <cfvo type="num" val="0.7"/>
        <cfvo type="num" val="1"/>
      </iconSet>
    </cfRule>
  </conditionalFormatting>
  <conditionalFormatting sqref="N58">
    <cfRule type="iconSet" priority="6129">
      <iconSet iconSet="3Arrows">
        <cfvo type="percent" val="0"/>
        <cfvo type="num" val="0.7"/>
        <cfvo type="num" val="1"/>
      </iconSet>
    </cfRule>
    <cfRule type="dataBar" priority="6130">
      <dataBar>
        <cfvo type="num" val="0"/>
        <cfvo type="num" val="1"/>
        <color theme="4" tint="0.79998168889431442"/>
      </dataBar>
      <extLst>
        <ext xmlns:x14="http://schemas.microsoft.com/office/spreadsheetml/2009/9/main" uri="{B025F937-C7B1-47D3-B67F-A62EFF666E3E}">
          <x14:id>{6FC8B888-12F5-40C4-AC81-3248E09DA5AE}</x14:id>
        </ext>
      </extLst>
    </cfRule>
  </conditionalFormatting>
  <conditionalFormatting sqref="N60">
    <cfRule type="iconSet" priority="6127">
      <iconSet iconSet="3Arrows">
        <cfvo type="percent" val="0"/>
        <cfvo type="num" val="0.7"/>
        <cfvo type="num" val="1"/>
      </iconSet>
    </cfRule>
    <cfRule type="dataBar" priority="6128">
      <dataBar>
        <cfvo type="num" val="0"/>
        <cfvo type="num" val="1"/>
        <color theme="4" tint="0.79998168889431442"/>
      </dataBar>
      <extLst>
        <ext xmlns:x14="http://schemas.microsoft.com/office/spreadsheetml/2009/9/main" uri="{B025F937-C7B1-47D3-B67F-A62EFF666E3E}">
          <x14:id>{C0687A2B-EB19-4767-85BF-FC08FF480FEB}</x14:id>
        </ext>
      </extLst>
    </cfRule>
  </conditionalFormatting>
  <conditionalFormatting sqref="N62">
    <cfRule type="iconSet" priority="6125">
      <iconSet iconSet="3Arrows">
        <cfvo type="percent" val="0"/>
        <cfvo type="num" val="0.7"/>
        <cfvo type="num" val="1"/>
      </iconSet>
    </cfRule>
    <cfRule type="dataBar" priority="6126">
      <dataBar>
        <cfvo type="num" val="0"/>
        <cfvo type="num" val="1"/>
        <color theme="4" tint="0.79998168889431442"/>
      </dataBar>
      <extLst>
        <ext xmlns:x14="http://schemas.microsoft.com/office/spreadsheetml/2009/9/main" uri="{B025F937-C7B1-47D3-B67F-A62EFF666E3E}">
          <x14:id>{62C706C8-69C6-497E-813B-186737772E78}</x14:id>
        </ext>
      </extLst>
    </cfRule>
  </conditionalFormatting>
  <conditionalFormatting sqref="N64">
    <cfRule type="dataBar" priority="6124">
      <dataBar>
        <cfvo type="num" val="0"/>
        <cfvo type="num" val="1"/>
        <color theme="4" tint="0.79998168889431442"/>
      </dataBar>
      <extLst>
        <ext xmlns:x14="http://schemas.microsoft.com/office/spreadsheetml/2009/9/main" uri="{B025F937-C7B1-47D3-B67F-A62EFF666E3E}">
          <x14:id>{5F669480-AB5B-432F-90D2-2256E6CB66AB}</x14:id>
        </ext>
      </extLst>
    </cfRule>
    <cfRule type="iconSet" priority="6123">
      <iconSet iconSet="3Arrows">
        <cfvo type="percent" val="0"/>
        <cfvo type="num" val="0.7"/>
        <cfvo type="num" val="1"/>
      </iconSet>
    </cfRule>
  </conditionalFormatting>
  <conditionalFormatting sqref="N66">
    <cfRule type="dataBar" priority="6122">
      <dataBar>
        <cfvo type="num" val="0"/>
        <cfvo type="num" val="1"/>
        <color theme="4" tint="0.79998168889431442"/>
      </dataBar>
      <extLst>
        <ext xmlns:x14="http://schemas.microsoft.com/office/spreadsheetml/2009/9/main" uri="{B025F937-C7B1-47D3-B67F-A62EFF666E3E}">
          <x14:id>{4EF81FFE-0985-4173-9068-BC306C14575C}</x14:id>
        </ext>
      </extLst>
    </cfRule>
    <cfRule type="iconSet" priority="6121">
      <iconSet iconSet="3Arrows">
        <cfvo type="percent" val="0"/>
        <cfvo type="num" val="0.7"/>
        <cfvo type="num" val="1"/>
      </iconSet>
    </cfRule>
  </conditionalFormatting>
  <conditionalFormatting sqref="N68">
    <cfRule type="dataBar" priority="6120">
      <dataBar>
        <cfvo type="num" val="0"/>
        <cfvo type="num" val="1"/>
        <color theme="4" tint="0.79998168889431442"/>
      </dataBar>
      <extLst>
        <ext xmlns:x14="http://schemas.microsoft.com/office/spreadsheetml/2009/9/main" uri="{B025F937-C7B1-47D3-B67F-A62EFF666E3E}">
          <x14:id>{B991FC30-A7D1-432C-B791-7A4112381F51}</x14:id>
        </ext>
      </extLst>
    </cfRule>
    <cfRule type="iconSet" priority="6119">
      <iconSet iconSet="3Arrows">
        <cfvo type="percent" val="0"/>
        <cfvo type="num" val="0.7"/>
        <cfvo type="num" val="1"/>
      </iconSet>
    </cfRule>
  </conditionalFormatting>
  <conditionalFormatting sqref="N70">
    <cfRule type="dataBar" priority="6118">
      <dataBar>
        <cfvo type="num" val="0"/>
        <cfvo type="num" val="1"/>
        <color theme="4" tint="0.79998168889431442"/>
      </dataBar>
      <extLst>
        <ext xmlns:x14="http://schemas.microsoft.com/office/spreadsheetml/2009/9/main" uri="{B025F937-C7B1-47D3-B67F-A62EFF666E3E}">
          <x14:id>{2289594A-E6A7-4B64-85EA-902959DF996A}</x14:id>
        </ext>
      </extLst>
    </cfRule>
    <cfRule type="iconSet" priority="6117">
      <iconSet iconSet="3Arrows">
        <cfvo type="percent" val="0"/>
        <cfvo type="num" val="0.7"/>
        <cfvo type="num" val="1"/>
      </iconSet>
    </cfRule>
  </conditionalFormatting>
  <conditionalFormatting sqref="N72">
    <cfRule type="dataBar" priority="6116">
      <dataBar>
        <cfvo type="num" val="0"/>
        <cfvo type="num" val="1"/>
        <color theme="4" tint="0.79998168889431442"/>
      </dataBar>
      <extLst>
        <ext xmlns:x14="http://schemas.microsoft.com/office/spreadsheetml/2009/9/main" uri="{B025F937-C7B1-47D3-B67F-A62EFF666E3E}">
          <x14:id>{217B2666-AA62-45AC-8D8A-2988B4A96875}</x14:id>
        </ext>
      </extLst>
    </cfRule>
    <cfRule type="iconSet" priority="6115">
      <iconSet iconSet="3Arrows">
        <cfvo type="percent" val="0"/>
        <cfvo type="num" val="0.7"/>
        <cfvo type="num" val="1"/>
      </iconSet>
    </cfRule>
  </conditionalFormatting>
  <conditionalFormatting sqref="N74">
    <cfRule type="iconSet" priority="6113">
      <iconSet iconSet="3Arrows">
        <cfvo type="percent" val="0"/>
        <cfvo type="num" val="0.7"/>
        <cfvo type="num" val="1"/>
      </iconSet>
    </cfRule>
    <cfRule type="dataBar" priority="6114">
      <dataBar>
        <cfvo type="num" val="0"/>
        <cfvo type="num" val="1"/>
        <color theme="4" tint="0.79998168889431442"/>
      </dataBar>
      <extLst>
        <ext xmlns:x14="http://schemas.microsoft.com/office/spreadsheetml/2009/9/main" uri="{B025F937-C7B1-47D3-B67F-A62EFF666E3E}">
          <x14:id>{BFA576D6-5BF8-4A8B-802A-AA74254E6FF2}</x14:id>
        </ext>
      </extLst>
    </cfRule>
  </conditionalFormatting>
  <conditionalFormatting sqref="N76">
    <cfRule type="iconSet" priority="6111">
      <iconSet iconSet="3Arrows">
        <cfvo type="percent" val="0"/>
        <cfvo type="num" val="0.7"/>
        <cfvo type="num" val="1"/>
      </iconSet>
    </cfRule>
    <cfRule type="dataBar" priority="6112">
      <dataBar>
        <cfvo type="num" val="0"/>
        <cfvo type="num" val="1"/>
        <color theme="4" tint="0.79998168889431442"/>
      </dataBar>
      <extLst>
        <ext xmlns:x14="http://schemas.microsoft.com/office/spreadsheetml/2009/9/main" uri="{B025F937-C7B1-47D3-B67F-A62EFF666E3E}">
          <x14:id>{C08A25B0-4D0F-4936-A0CF-D4BE28829A38}</x14:id>
        </ext>
      </extLst>
    </cfRule>
  </conditionalFormatting>
  <conditionalFormatting sqref="N78">
    <cfRule type="dataBar" priority="6110">
      <dataBar>
        <cfvo type="num" val="0"/>
        <cfvo type="num" val="1"/>
        <color theme="4" tint="0.79998168889431442"/>
      </dataBar>
      <extLst>
        <ext xmlns:x14="http://schemas.microsoft.com/office/spreadsheetml/2009/9/main" uri="{B025F937-C7B1-47D3-B67F-A62EFF666E3E}">
          <x14:id>{FC00D3DA-2948-4FB3-8A92-8D00BBBAB1AF}</x14:id>
        </ext>
      </extLst>
    </cfRule>
    <cfRule type="iconSet" priority="6109">
      <iconSet iconSet="3Arrows">
        <cfvo type="percent" val="0"/>
        <cfvo type="num" val="0.7"/>
        <cfvo type="num" val="1"/>
      </iconSet>
    </cfRule>
  </conditionalFormatting>
  <conditionalFormatting sqref="N80">
    <cfRule type="dataBar" priority="6108">
      <dataBar>
        <cfvo type="num" val="0"/>
        <cfvo type="num" val="1"/>
        <color theme="4" tint="0.79998168889431442"/>
      </dataBar>
      <extLst>
        <ext xmlns:x14="http://schemas.microsoft.com/office/spreadsheetml/2009/9/main" uri="{B025F937-C7B1-47D3-B67F-A62EFF666E3E}">
          <x14:id>{CF09957C-4E42-4F0B-98F6-502FABF8B4FC}</x14:id>
        </ext>
      </extLst>
    </cfRule>
    <cfRule type="iconSet" priority="6107">
      <iconSet iconSet="3Arrows">
        <cfvo type="percent" val="0"/>
        <cfvo type="num" val="0.7"/>
        <cfvo type="num" val="1"/>
      </iconSet>
    </cfRule>
  </conditionalFormatting>
  <conditionalFormatting sqref="N82">
    <cfRule type="dataBar" priority="6106">
      <dataBar>
        <cfvo type="num" val="0"/>
        <cfvo type="num" val="1"/>
        <color theme="4" tint="0.79998168889431442"/>
      </dataBar>
      <extLst>
        <ext xmlns:x14="http://schemas.microsoft.com/office/spreadsheetml/2009/9/main" uri="{B025F937-C7B1-47D3-B67F-A62EFF666E3E}">
          <x14:id>{60BB22FD-2271-40F6-A32F-5EF50D0E1C55}</x14:id>
        </ext>
      </extLst>
    </cfRule>
    <cfRule type="iconSet" priority="6105">
      <iconSet iconSet="3Arrows">
        <cfvo type="percent" val="0"/>
        <cfvo type="num" val="0.7"/>
        <cfvo type="num" val="1"/>
      </iconSet>
    </cfRule>
  </conditionalFormatting>
  <conditionalFormatting sqref="N84">
    <cfRule type="dataBar" priority="6104">
      <dataBar>
        <cfvo type="num" val="0"/>
        <cfvo type="num" val="1"/>
        <color theme="4" tint="0.79998168889431442"/>
      </dataBar>
      <extLst>
        <ext xmlns:x14="http://schemas.microsoft.com/office/spreadsheetml/2009/9/main" uri="{B025F937-C7B1-47D3-B67F-A62EFF666E3E}">
          <x14:id>{67B5B5BC-358A-42F4-B0F1-3043F5A16D99}</x14:id>
        </ext>
      </extLst>
    </cfRule>
    <cfRule type="iconSet" priority="6103">
      <iconSet iconSet="3Arrows">
        <cfvo type="percent" val="0"/>
        <cfvo type="num" val="0.7"/>
        <cfvo type="num" val="1"/>
      </iconSet>
    </cfRule>
  </conditionalFormatting>
  <conditionalFormatting sqref="N86">
    <cfRule type="dataBar" priority="6102">
      <dataBar>
        <cfvo type="num" val="0"/>
        <cfvo type="num" val="1"/>
        <color theme="4" tint="0.79998168889431442"/>
      </dataBar>
      <extLst>
        <ext xmlns:x14="http://schemas.microsoft.com/office/spreadsheetml/2009/9/main" uri="{B025F937-C7B1-47D3-B67F-A62EFF666E3E}">
          <x14:id>{8BD3124C-700B-4438-87C3-2C661C0D166C}</x14:id>
        </ext>
      </extLst>
    </cfRule>
    <cfRule type="iconSet" priority="6101">
      <iconSet iconSet="3Arrows">
        <cfvo type="percent" val="0"/>
        <cfvo type="num" val="0.7"/>
        <cfvo type="num" val="1"/>
      </iconSet>
    </cfRule>
  </conditionalFormatting>
  <conditionalFormatting sqref="N88">
    <cfRule type="dataBar" priority="6100">
      <dataBar>
        <cfvo type="num" val="0"/>
        <cfvo type="num" val="1"/>
        <color theme="4" tint="0.79998168889431442"/>
      </dataBar>
      <extLst>
        <ext xmlns:x14="http://schemas.microsoft.com/office/spreadsheetml/2009/9/main" uri="{B025F937-C7B1-47D3-B67F-A62EFF666E3E}">
          <x14:id>{E24D732A-8F99-4968-A6A2-FEB8FA122282}</x14:id>
        </ext>
      </extLst>
    </cfRule>
    <cfRule type="iconSet" priority="6099">
      <iconSet iconSet="3Arrows">
        <cfvo type="percent" val="0"/>
        <cfvo type="num" val="0.7"/>
        <cfvo type="num" val="1"/>
      </iconSet>
    </cfRule>
  </conditionalFormatting>
  <conditionalFormatting sqref="N90">
    <cfRule type="iconSet" priority="6097">
      <iconSet iconSet="3Arrows">
        <cfvo type="percent" val="0"/>
        <cfvo type="num" val="0.7"/>
        <cfvo type="num" val="1"/>
      </iconSet>
    </cfRule>
    <cfRule type="dataBar" priority="6098">
      <dataBar>
        <cfvo type="num" val="0"/>
        <cfvo type="num" val="1"/>
        <color theme="4" tint="0.79998168889431442"/>
      </dataBar>
      <extLst>
        <ext xmlns:x14="http://schemas.microsoft.com/office/spreadsheetml/2009/9/main" uri="{B025F937-C7B1-47D3-B67F-A62EFF666E3E}">
          <x14:id>{1700683F-F7DD-4065-93C3-91197DA963E1}</x14:id>
        </ext>
      </extLst>
    </cfRule>
  </conditionalFormatting>
  <conditionalFormatting sqref="N92">
    <cfRule type="iconSet" priority="6095">
      <iconSet iconSet="3Arrows">
        <cfvo type="percent" val="0"/>
        <cfvo type="num" val="0.7"/>
        <cfvo type="num" val="1"/>
      </iconSet>
    </cfRule>
    <cfRule type="dataBar" priority="6096">
      <dataBar>
        <cfvo type="num" val="0"/>
        <cfvo type="num" val="1"/>
        <color theme="4" tint="0.79998168889431442"/>
      </dataBar>
      <extLst>
        <ext xmlns:x14="http://schemas.microsoft.com/office/spreadsheetml/2009/9/main" uri="{B025F937-C7B1-47D3-B67F-A62EFF666E3E}">
          <x14:id>{046F46C0-7B61-4105-A949-C02E25E5510F}</x14:id>
        </ext>
      </extLst>
    </cfRule>
  </conditionalFormatting>
  <conditionalFormatting sqref="N94">
    <cfRule type="dataBar" priority="6094">
      <dataBar>
        <cfvo type="num" val="0"/>
        <cfvo type="num" val="1"/>
        <color theme="4" tint="0.79998168889431442"/>
      </dataBar>
      <extLst>
        <ext xmlns:x14="http://schemas.microsoft.com/office/spreadsheetml/2009/9/main" uri="{B025F937-C7B1-47D3-B67F-A62EFF666E3E}">
          <x14:id>{972CF424-C42A-4822-9BDE-52BA0B44641A}</x14:id>
        </ext>
      </extLst>
    </cfRule>
    <cfRule type="iconSet" priority="6093">
      <iconSet iconSet="3Arrows">
        <cfvo type="percent" val="0"/>
        <cfvo type="num" val="0.7"/>
        <cfvo type="num" val="1"/>
      </iconSet>
    </cfRule>
  </conditionalFormatting>
  <conditionalFormatting sqref="N96">
    <cfRule type="dataBar" priority="6092">
      <dataBar>
        <cfvo type="num" val="0"/>
        <cfvo type="num" val="1"/>
        <color theme="4" tint="0.79998168889431442"/>
      </dataBar>
      <extLst>
        <ext xmlns:x14="http://schemas.microsoft.com/office/spreadsheetml/2009/9/main" uri="{B025F937-C7B1-47D3-B67F-A62EFF666E3E}">
          <x14:id>{08DF398E-EED9-4E8B-8544-2396E7A8061A}</x14:id>
        </ext>
      </extLst>
    </cfRule>
    <cfRule type="iconSet" priority="6091">
      <iconSet iconSet="3Arrows">
        <cfvo type="percent" val="0"/>
        <cfvo type="num" val="0.7"/>
        <cfvo type="num" val="1"/>
      </iconSet>
    </cfRule>
  </conditionalFormatting>
  <conditionalFormatting sqref="N98">
    <cfRule type="dataBar" priority="6090">
      <dataBar>
        <cfvo type="num" val="0"/>
        <cfvo type="num" val="1"/>
        <color theme="4" tint="0.79998168889431442"/>
      </dataBar>
      <extLst>
        <ext xmlns:x14="http://schemas.microsoft.com/office/spreadsheetml/2009/9/main" uri="{B025F937-C7B1-47D3-B67F-A62EFF666E3E}">
          <x14:id>{07BF0C8F-902F-42EF-895D-C5C494055C86}</x14:id>
        </ext>
      </extLst>
    </cfRule>
    <cfRule type="iconSet" priority="6089">
      <iconSet iconSet="3Arrows">
        <cfvo type="percent" val="0"/>
        <cfvo type="num" val="0.7"/>
        <cfvo type="num" val="1"/>
      </iconSet>
    </cfRule>
  </conditionalFormatting>
  <conditionalFormatting sqref="N102">
    <cfRule type="dataBar" priority="6088">
      <dataBar>
        <cfvo type="num" val="0"/>
        <cfvo type="num" val="1"/>
        <color theme="4" tint="0.79998168889431442"/>
      </dataBar>
      <extLst>
        <ext xmlns:x14="http://schemas.microsoft.com/office/spreadsheetml/2009/9/main" uri="{B025F937-C7B1-47D3-B67F-A62EFF666E3E}">
          <x14:id>{6601601E-5F05-44F2-BD94-1314406F7443}</x14:id>
        </ext>
      </extLst>
    </cfRule>
    <cfRule type="iconSet" priority="6087">
      <iconSet iconSet="3Arrows">
        <cfvo type="percent" val="0"/>
        <cfvo type="num" val="0.7"/>
        <cfvo type="num" val="1"/>
      </iconSet>
    </cfRule>
  </conditionalFormatting>
  <conditionalFormatting sqref="N104">
    <cfRule type="dataBar" priority="6086">
      <dataBar>
        <cfvo type="num" val="0"/>
        <cfvo type="num" val="1"/>
        <color theme="4" tint="0.79998168889431442"/>
      </dataBar>
      <extLst>
        <ext xmlns:x14="http://schemas.microsoft.com/office/spreadsheetml/2009/9/main" uri="{B025F937-C7B1-47D3-B67F-A62EFF666E3E}">
          <x14:id>{8C9C1CC4-8AEE-4114-8646-6102AC902D27}</x14:id>
        </ext>
      </extLst>
    </cfRule>
    <cfRule type="iconSet" priority="6085">
      <iconSet iconSet="3Arrows">
        <cfvo type="percent" val="0"/>
        <cfvo type="num" val="0.7"/>
        <cfvo type="num" val="1"/>
      </iconSet>
    </cfRule>
  </conditionalFormatting>
  <conditionalFormatting sqref="N106">
    <cfRule type="dataBar" priority="6084">
      <dataBar>
        <cfvo type="num" val="0"/>
        <cfvo type="num" val="1"/>
        <color theme="4" tint="0.79998168889431442"/>
      </dataBar>
      <extLst>
        <ext xmlns:x14="http://schemas.microsoft.com/office/spreadsheetml/2009/9/main" uri="{B025F937-C7B1-47D3-B67F-A62EFF666E3E}">
          <x14:id>{AE97F45F-D33F-42D3-ADD7-9FA7A1057C68}</x14:id>
        </ext>
      </extLst>
    </cfRule>
    <cfRule type="iconSet" priority="6083">
      <iconSet iconSet="3Arrows">
        <cfvo type="percent" val="0"/>
        <cfvo type="num" val="0.7"/>
        <cfvo type="num" val="1"/>
      </iconSet>
    </cfRule>
  </conditionalFormatting>
  <conditionalFormatting sqref="N108">
    <cfRule type="dataBar" priority="6082">
      <dataBar>
        <cfvo type="num" val="0"/>
        <cfvo type="num" val="1"/>
        <color theme="4" tint="0.79998168889431442"/>
      </dataBar>
      <extLst>
        <ext xmlns:x14="http://schemas.microsoft.com/office/spreadsheetml/2009/9/main" uri="{B025F937-C7B1-47D3-B67F-A62EFF666E3E}">
          <x14:id>{B939135D-A88D-46EB-82E3-BE5EB1F95773}</x14:id>
        </ext>
      </extLst>
    </cfRule>
    <cfRule type="iconSet" priority="6081">
      <iconSet iconSet="3Arrows">
        <cfvo type="percent" val="0"/>
        <cfvo type="num" val="0.7"/>
        <cfvo type="num" val="1"/>
      </iconSet>
    </cfRule>
  </conditionalFormatting>
  <conditionalFormatting sqref="N110">
    <cfRule type="dataBar" priority="6080">
      <dataBar>
        <cfvo type="num" val="0"/>
        <cfvo type="num" val="1"/>
        <color theme="4" tint="0.79998168889431442"/>
      </dataBar>
      <extLst>
        <ext xmlns:x14="http://schemas.microsoft.com/office/spreadsheetml/2009/9/main" uri="{B025F937-C7B1-47D3-B67F-A62EFF666E3E}">
          <x14:id>{5F7AB01D-8CEF-413F-BD5B-3A62722F6AED}</x14:id>
        </ext>
      </extLst>
    </cfRule>
    <cfRule type="iconSet" priority="6079">
      <iconSet iconSet="3Arrows">
        <cfvo type="percent" val="0"/>
        <cfvo type="num" val="0.7"/>
        <cfvo type="num" val="1"/>
      </iconSet>
    </cfRule>
  </conditionalFormatting>
  <conditionalFormatting sqref="N112">
    <cfRule type="dataBar" priority="6078">
      <dataBar>
        <cfvo type="num" val="0"/>
        <cfvo type="num" val="1"/>
        <color theme="4" tint="0.79998168889431442"/>
      </dataBar>
      <extLst>
        <ext xmlns:x14="http://schemas.microsoft.com/office/spreadsheetml/2009/9/main" uri="{B025F937-C7B1-47D3-B67F-A62EFF666E3E}">
          <x14:id>{FD98C835-2D14-4675-B425-54E1566B37EC}</x14:id>
        </ext>
      </extLst>
    </cfRule>
    <cfRule type="iconSet" priority="6077">
      <iconSet iconSet="3Arrows">
        <cfvo type="percent" val="0"/>
        <cfvo type="num" val="0.7"/>
        <cfvo type="num" val="1"/>
      </iconSet>
    </cfRule>
  </conditionalFormatting>
  <conditionalFormatting sqref="N114">
    <cfRule type="dataBar" priority="6076">
      <dataBar>
        <cfvo type="num" val="0"/>
        <cfvo type="num" val="1"/>
        <color theme="4" tint="0.79998168889431442"/>
      </dataBar>
      <extLst>
        <ext xmlns:x14="http://schemas.microsoft.com/office/spreadsheetml/2009/9/main" uri="{B025F937-C7B1-47D3-B67F-A62EFF666E3E}">
          <x14:id>{28A17571-22C2-4E4C-BBA3-1F0326A42013}</x14:id>
        </ext>
      </extLst>
    </cfRule>
    <cfRule type="iconSet" priority="6075">
      <iconSet iconSet="3Arrows">
        <cfvo type="percent" val="0"/>
        <cfvo type="num" val="0.7"/>
        <cfvo type="num" val="1"/>
      </iconSet>
    </cfRule>
  </conditionalFormatting>
  <conditionalFormatting sqref="N116">
    <cfRule type="dataBar" priority="6074">
      <dataBar>
        <cfvo type="num" val="0"/>
        <cfvo type="num" val="1"/>
        <color theme="4" tint="0.79998168889431442"/>
      </dataBar>
      <extLst>
        <ext xmlns:x14="http://schemas.microsoft.com/office/spreadsheetml/2009/9/main" uri="{B025F937-C7B1-47D3-B67F-A62EFF666E3E}">
          <x14:id>{A00556F7-620C-4D6F-833C-C42CD0666E54}</x14:id>
        </ext>
      </extLst>
    </cfRule>
    <cfRule type="iconSet" priority="6073">
      <iconSet iconSet="3Arrows">
        <cfvo type="percent" val="0"/>
        <cfvo type="num" val="0.7"/>
        <cfvo type="num" val="1"/>
      </iconSet>
    </cfRule>
  </conditionalFormatting>
  <conditionalFormatting sqref="N118">
    <cfRule type="dataBar" priority="6072">
      <dataBar>
        <cfvo type="num" val="0"/>
        <cfvo type="num" val="1"/>
        <color theme="4" tint="0.79998168889431442"/>
      </dataBar>
      <extLst>
        <ext xmlns:x14="http://schemas.microsoft.com/office/spreadsheetml/2009/9/main" uri="{B025F937-C7B1-47D3-B67F-A62EFF666E3E}">
          <x14:id>{89ADC545-9C28-490C-966F-570847A5FF26}</x14:id>
        </ext>
      </extLst>
    </cfRule>
    <cfRule type="iconSet" priority="6071">
      <iconSet iconSet="3Arrows">
        <cfvo type="percent" val="0"/>
        <cfvo type="num" val="0.7"/>
        <cfvo type="num" val="1"/>
      </iconSet>
    </cfRule>
  </conditionalFormatting>
  <conditionalFormatting sqref="N120">
    <cfRule type="dataBar" priority="6070">
      <dataBar>
        <cfvo type="num" val="0"/>
        <cfvo type="num" val="1"/>
        <color theme="4" tint="0.79998168889431442"/>
      </dataBar>
      <extLst>
        <ext xmlns:x14="http://schemas.microsoft.com/office/spreadsheetml/2009/9/main" uri="{B025F937-C7B1-47D3-B67F-A62EFF666E3E}">
          <x14:id>{0500D860-EAF3-42F7-867B-8B30C1E0D970}</x14:id>
        </ext>
      </extLst>
    </cfRule>
    <cfRule type="iconSet" priority="6069">
      <iconSet iconSet="3Arrows">
        <cfvo type="percent" val="0"/>
        <cfvo type="num" val="0.7"/>
        <cfvo type="num" val="1"/>
      </iconSet>
    </cfRule>
  </conditionalFormatting>
  <conditionalFormatting sqref="N122">
    <cfRule type="dataBar" priority="6068">
      <dataBar>
        <cfvo type="num" val="0"/>
        <cfvo type="num" val="1"/>
        <color theme="4" tint="0.79998168889431442"/>
      </dataBar>
      <extLst>
        <ext xmlns:x14="http://schemas.microsoft.com/office/spreadsheetml/2009/9/main" uri="{B025F937-C7B1-47D3-B67F-A62EFF666E3E}">
          <x14:id>{8CD53F6D-CEF2-49C5-AF4B-BF323D86EAE6}</x14:id>
        </ext>
      </extLst>
    </cfRule>
    <cfRule type="iconSet" priority="6067">
      <iconSet iconSet="3Arrows">
        <cfvo type="percent" val="0"/>
        <cfvo type="num" val="0.7"/>
        <cfvo type="num" val="1"/>
      </iconSet>
    </cfRule>
  </conditionalFormatting>
  <conditionalFormatting sqref="N124">
    <cfRule type="dataBar" priority="6066">
      <dataBar>
        <cfvo type="num" val="0"/>
        <cfvo type="num" val="1"/>
        <color theme="4" tint="0.79998168889431442"/>
      </dataBar>
      <extLst>
        <ext xmlns:x14="http://schemas.microsoft.com/office/spreadsheetml/2009/9/main" uri="{B025F937-C7B1-47D3-B67F-A62EFF666E3E}">
          <x14:id>{4270FAC3-ABE8-43B3-9C7C-5558FBEE5699}</x14:id>
        </ext>
      </extLst>
    </cfRule>
    <cfRule type="iconSet" priority="6065">
      <iconSet iconSet="3Arrows">
        <cfvo type="percent" val="0"/>
        <cfvo type="num" val="0.7"/>
        <cfvo type="num" val="1"/>
      </iconSet>
    </cfRule>
  </conditionalFormatting>
  <conditionalFormatting sqref="N126">
    <cfRule type="iconSet" priority="6063">
      <iconSet iconSet="3Arrows">
        <cfvo type="percent" val="0"/>
        <cfvo type="num" val="0.7"/>
        <cfvo type="num" val="1"/>
      </iconSet>
    </cfRule>
    <cfRule type="dataBar" priority="6064">
      <dataBar>
        <cfvo type="num" val="0"/>
        <cfvo type="num" val="1"/>
        <color theme="4" tint="0.79998168889431442"/>
      </dataBar>
      <extLst>
        <ext xmlns:x14="http://schemas.microsoft.com/office/spreadsheetml/2009/9/main" uri="{B025F937-C7B1-47D3-B67F-A62EFF666E3E}">
          <x14:id>{751C7DC0-8F09-410C-8976-1DA2ADBBC775}</x14:id>
        </ext>
      </extLst>
    </cfRule>
  </conditionalFormatting>
  <conditionalFormatting sqref="N128">
    <cfRule type="iconSet" priority="6061">
      <iconSet iconSet="3Arrows">
        <cfvo type="percent" val="0"/>
        <cfvo type="num" val="0.7"/>
        <cfvo type="num" val="1"/>
      </iconSet>
    </cfRule>
    <cfRule type="dataBar" priority="6062">
      <dataBar>
        <cfvo type="num" val="0"/>
        <cfvo type="num" val="1"/>
        <color theme="4" tint="0.79998168889431442"/>
      </dataBar>
      <extLst>
        <ext xmlns:x14="http://schemas.microsoft.com/office/spreadsheetml/2009/9/main" uri="{B025F937-C7B1-47D3-B67F-A62EFF666E3E}">
          <x14:id>{5318C972-9B05-4774-9D91-8C300D36B475}</x14:id>
        </ext>
      </extLst>
    </cfRule>
  </conditionalFormatting>
  <conditionalFormatting sqref="N130">
    <cfRule type="dataBar" priority="6060">
      <dataBar>
        <cfvo type="num" val="0"/>
        <cfvo type="num" val="1"/>
        <color theme="4" tint="0.79998168889431442"/>
      </dataBar>
      <extLst>
        <ext xmlns:x14="http://schemas.microsoft.com/office/spreadsheetml/2009/9/main" uri="{B025F937-C7B1-47D3-B67F-A62EFF666E3E}">
          <x14:id>{8595CF7B-8F2E-4F4C-A591-24CE2AB55967}</x14:id>
        </ext>
      </extLst>
    </cfRule>
    <cfRule type="iconSet" priority="6059">
      <iconSet iconSet="3Arrows">
        <cfvo type="percent" val="0"/>
        <cfvo type="num" val="0.7"/>
        <cfvo type="num" val="1"/>
      </iconSet>
    </cfRule>
  </conditionalFormatting>
  <conditionalFormatting sqref="N132">
    <cfRule type="dataBar" priority="6058">
      <dataBar>
        <cfvo type="num" val="0"/>
        <cfvo type="num" val="1"/>
        <color theme="4" tint="0.79998168889431442"/>
      </dataBar>
      <extLst>
        <ext xmlns:x14="http://schemas.microsoft.com/office/spreadsheetml/2009/9/main" uri="{B025F937-C7B1-47D3-B67F-A62EFF666E3E}">
          <x14:id>{009D05BD-2E84-4592-8656-6C45D9037497}</x14:id>
        </ext>
      </extLst>
    </cfRule>
    <cfRule type="iconSet" priority="6057">
      <iconSet iconSet="3Arrows">
        <cfvo type="percent" val="0"/>
        <cfvo type="num" val="0.7"/>
        <cfvo type="num" val="1"/>
      </iconSet>
    </cfRule>
  </conditionalFormatting>
  <conditionalFormatting sqref="N134">
    <cfRule type="dataBar" priority="6056">
      <dataBar>
        <cfvo type="num" val="0"/>
        <cfvo type="num" val="1"/>
        <color theme="4" tint="0.79998168889431442"/>
      </dataBar>
      <extLst>
        <ext xmlns:x14="http://schemas.microsoft.com/office/spreadsheetml/2009/9/main" uri="{B025F937-C7B1-47D3-B67F-A62EFF666E3E}">
          <x14:id>{E16AA506-25B8-4EF6-B958-94AD9A99C31E}</x14:id>
        </ext>
      </extLst>
    </cfRule>
    <cfRule type="iconSet" priority="6055">
      <iconSet iconSet="3Arrows">
        <cfvo type="percent" val="0"/>
        <cfvo type="num" val="0.7"/>
        <cfvo type="num" val="1"/>
      </iconSet>
    </cfRule>
  </conditionalFormatting>
  <conditionalFormatting sqref="N136">
    <cfRule type="dataBar" priority="6054">
      <dataBar>
        <cfvo type="num" val="0"/>
        <cfvo type="num" val="1"/>
        <color theme="4" tint="0.79998168889431442"/>
      </dataBar>
      <extLst>
        <ext xmlns:x14="http://schemas.microsoft.com/office/spreadsheetml/2009/9/main" uri="{B025F937-C7B1-47D3-B67F-A62EFF666E3E}">
          <x14:id>{47F9052D-A247-4A60-A7EF-0C50536D7CB5}</x14:id>
        </ext>
      </extLst>
    </cfRule>
    <cfRule type="iconSet" priority="6053">
      <iconSet iconSet="3Arrows">
        <cfvo type="percent" val="0"/>
        <cfvo type="num" val="0.7"/>
        <cfvo type="num" val="1"/>
      </iconSet>
    </cfRule>
  </conditionalFormatting>
  <conditionalFormatting sqref="N138">
    <cfRule type="dataBar" priority="6052">
      <dataBar>
        <cfvo type="num" val="0"/>
        <cfvo type="num" val="1"/>
        <color theme="4" tint="0.79998168889431442"/>
      </dataBar>
      <extLst>
        <ext xmlns:x14="http://schemas.microsoft.com/office/spreadsheetml/2009/9/main" uri="{B025F937-C7B1-47D3-B67F-A62EFF666E3E}">
          <x14:id>{59D0AA12-B9E9-4F7B-A24D-2216620BC29D}</x14:id>
        </ext>
      </extLst>
    </cfRule>
    <cfRule type="iconSet" priority="6051">
      <iconSet iconSet="3Arrows">
        <cfvo type="percent" val="0"/>
        <cfvo type="num" val="0.7"/>
        <cfvo type="num" val="1"/>
      </iconSet>
    </cfRule>
  </conditionalFormatting>
  <conditionalFormatting sqref="N140">
    <cfRule type="dataBar" priority="6050">
      <dataBar>
        <cfvo type="num" val="0"/>
        <cfvo type="num" val="1"/>
        <color theme="4" tint="0.79998168889431442"/>
      </dataBar>
      <extLst>
        <ext xmlns:x14="http://schemas.microsoft.com/office/spreadsheetml/2009/9/main" uri="{B025F937-C7B1-47D3-B67F-A62EFF666E3E}">
          <x14:id>{4B181EEF-D007-4B7A-8493-C744169B33D3}</x14:id>
        </ext>
      </extLst>
    </cfRule>
    <cfRule type="iconSet" priority="6049">
      <iconSet iconSet="3Arrows">
        <cfvo type="percent" val="0"/>
        <cfvo type="num" val="0.7"/>
        <cfvo type="num" val="1"/>
      </iconSet>
    </cfRule>
  </conditionalFormatting>
  <conditionalFormatting sqref="N142">
    <cfRule type="iconSet" priority="6047">
      <iconSet iconSet="3Arrows">
        <cfvo type="percent" val="0"/>
        <cfvo type="num" val="0.7"/>
        <cfvo type="num" val="1"/>
      </iconSet>
    </cfRule>
    <cfRule type="dataBar" priority="6048">
      <dataBar>
        <cfvo type="num" val="0"/>
        <cfvo type="num" val="1"/>
        <color theme="4" tint="0.79998168889431442"/>
      </dataBar>
      <extLst>
        <ext xmlns:x14="http://schemas.microsoft.com/office/spreadsheetml/2009/9/main" uri="{B025F937-C7B1-47D3-B67F-A62EFF666E3E}">
          <x14:id>{FBFDD6C7-B400-4EE4-A271-A6C92681E1E0}</x14:id>
        </ext>
      </extLst>
    </cfRule>
  </conditionalFormatting>
  <conditionalFormatting sqref="N144">
    <cfRule type="dataBar" priority="6046">
      <dataBar>
        <cfvo type="num" val="0"/>
        <cfvo type="num" val="1"/>
        <color theme="4" tint="0.79998168889431442"/>
      </dataBar>
      <extLst>
        <ext xmlns:x14="http://schemas.microsoft.com/office/spreadsheetml/2009/9/main" uri="{B025F937-C7B1-47D3-B67F-A62EFF666E3E}">
          <x14:id>{BF5A6A5E-A165-49A5-B062-E10E9D15CDAD}</x14:id>
        </ext>
      </extLst>
    </cfRule>
    <cfRule type="iconSet" priority="6045">
      <iconSet iconSet="3Arrows">
        <cfvo type="percent" val="0"/>
        <cfvo type="num" val="0.7"/>
        <cfvo type="num" val="1"/>
      </iconSet>
    </cfRule>
  </conditionalFormatting>
  <conditionalFormatting sqref="N146">
    <cfRule type="dataBar" priority="6044">
      <dataBar>
        <cfvo type="num" val="0"/>
        <cfvo type="num" val="1"/>
        <color theme="4" tint="0.79998168889431442"/>
      </dataBar>
      <extLst>
        <ext xmlns:x14="http://schemas.microsoft.com/office/spreadsheetml/2009/9/main" uri="{B025F937-C7B1-47D3-B67F-A62EFF666E3E}">
          <x14:id>{5200BB9C-FC91-4295-8F63-EEB8D64B70DA}</x14:id>
        </ext>
      </extLst>
    </cfRule>
    <cfRule type="iconSet" priority="6043">
      <iconSet iconSet="3Arrows">
        <cfvo type="percent" val="0"/>
        <cfvo type="num" val="0.7"/>
        <cfvo type="num" val="1"/>
      </iconSet>
    </cfRule>
  </conditionalFormatting>
  <conditionalFormatting sqref="N148">
    <cfRule type="dataBar" priority="6042">
      <dataBar>
        <cfvo type="num" val="0"/>
        <cfvo type="num" val="1"/>
        <color theme="4" tint="0.79998168889431442"/>
      </dataBar>
      <extLst>
        <ext xmlns:x14="http://schemas.microsoft.com/office/spreadsheetml/2009/9/main" uri="{B025F937-C7B1-47D3-B67F-A62EFF666E3E}">
          <x14:id>{0AF8659F-0AAC-43AF-A942-FDB5670E08A9}</x14:id>
        </ext>
      </extLst>
    </cfRule>
    <cfRule type="iconSet" priority="6041">
      <iconSet iconSet="3Arrows">
        <cfvo type="percent" val="0"/>
        <cfvo type="num" val="0.7"/>
        <cfvo type="num" val="1"/>
      </iconSet>
    </cfRule>
  </conditionalFormatting>
  <conditionalFormatting sqref="N150">
    <cfRule type="iconSet" priority="6039">
      <iconSet iconSet="3Arrows">
        <cfvo type="percent" val="0"/>
        <cfvo type="num" val="0.7"/>
        <cfvo type="num" val="1"/>
      </iconSet>
    </cfRule>
    <cfRule type="dataBar" priority="6040">
      <dataBar>
        <cfvo type="num" val="0"/>
        <cfvo type="num" val="1"/>
        <color theme="4" tint="0.79998168889431442"/>
      </dataBar>
      <extLst>
        <ext xmlns:x14="http://schemas.microsoft.com/office/spreadsheetml/2009/9/main" uri="{B025F937-C7B1-47D3-B67F-A62EFF666E3E}">
          <x14:id>{1E2AF7E9-09C7-4FD8-962D-500AFD93F80B}</x14:id>
        </ext>
      </extLst>
    </cfRule>
  </conditionalFormatting>
  <conditionalFormatting sqref="N152">
    <cfRule type="dataBar" priority="6038">
      <dataBar>
        <cfvo type="num" val="0"/>
        <cfvo type="num" val="1"/>
        <color theme="4" tint="0.79998168889431442"/>
      </dataBar>
      <extLst>
        <ext xmlns:x14="http://schemas.microsoft.com/office/spreadsheetml/2009/9/main" uri="{B025F937-C7B1-47D3-B67F-A62EFF666E3E}">
          <x14:id>{630ED744-FD96-4B4E-851F-7CF9931A811E}</x14:id>
        </ext>
      </extLst>
    </cfRule>
    <cfRule type="iconSet" priority="6037">
      <iconSet iconSet="3Arrows">
        <cfvo type="percent" val="0"/>
        <cfvo type="num" val="0.7"/>
        <cfvo type="num" val="1"/>
      </iconSet>
    </cfRule>
  </conditionalFormatting>
  <conditionalFormatting sqref="N154">
    <cfRule type="dataBar" priority="6036">
      <dataBar>
        <cfvo type="num" val="0"/>
        <cfvo type="num" val="1"/>
        <color theme="4" tint="0.79998168889431442"/>
      </dataBar>
      <extLst>
        <ext xmlns:x14="http://schemas.microsoft.com/office/spreadsheetml/2009/9/main" uri="{B025F937-C7B1-47D3-B67F-A62EFF666E3E}">
          <x14:id>{397BF973-BF35-4347-9EE4-A136E552C4C9}</x14:id>
        </ext>
      </extLst>
    </cfRule>
    <cfRule type="iconSet" priority="6035">
      <iconSet iconSet="3Arrows">
        <cfvo type="percent" val="0"/>
        <cfvo type="num" val="0.7"/>
        <cfvo type="num" val="1"/>
      </iconSet>
    </cfRule>
  </conditionalFormatting>
  <conditionalFormatting sqref="N156">
    <cfRule type="dataBar" priority="6034">
      <dataBar>
        <cfvo type="num" val="0"/>
        <cfvo type="num" val="1"/>
        <color theme="4" tint="0.79998168889431442"/>
      </dataBar>
      <extLst>
        <ext xmlns:x14="http://schemas.microsoft.com/office/spreadsheetml/2009/9/main" uri="{B025F937-C7B1-47D3-B67F-A62EFF666E3E}">
          <x14:id>{352FC7D2-745D-4362-988F-A410BDA2A663}</x14:id>
        </ext>
      </extLst>
    </cfRule>
    <cfRule type="iconSet" priority="6033">
      <iconSet iconSet="3Arrows">
        <cfvo type="percent" val="0"/>
        <cfvo type="num" val="0.7"/>
        <cfvo type="num" val="1"/>
      </iconSet>
    </cfRule>
  </conditionalFormatting>
  <conditionalFormatting sqref="N158">
    <cfRule type="iconSet" priority="6031">
      <iconSet iconSet="3Arrows">
        <cfvo type="percent" val="0"/>
        <cfvo type="num" val="0.7"/>
        <cfvo type="num" val="1"/>
      </iconSet>
    </cfRule>
    <cfRule type="dataBar" priority="6032">
      <dataBar>
        <cfvo type="num" val="0"/>
        <cfvo type="num" val="1"/>
        <color theme="4" tint="0.79998168889431442"/>
      </dataBar>
      <extLst>
        <ext xmlns:x14="http://schemas.microsoft.com/office/spreadsheetml/2009/9/main" uri="{B025F937-C7B1-47D3-B67F-A62EFF666E3E}">
          <x14:id>{AC0C5424-0824-4AA1-9512-2376E87B9A2D}</x14:id>
        </ext>
      </extLst>
    </cfRule>
  </conditionalFormatting>
  <conditionalFormatting sqref="N160">
    <cfRule type="iconSet" priority="6029">
      <iconSet iconSet="3Arrows">
        <cfvo type="percent" val="0"/>
        <cfvo type="num" val="0.7"/>
        <cfvo type="num" val="1"/>
      </iconSet>
    </cfRule>
    <cfRule type="dataBar" priority="6030">
      <dataBar>
        <cfvo type="num" val="0"/>
        <cfvo type="num" val="1"/>
        <color theme="4" tint="0.79998168889431442"/>
      </dataBar>
      <extLst>
        <ext xmlns:x14="http://schemas.microsoft.com/office/spreadsheetml/2009/9/main" uri="{B025F937-C7B1-47D3-B67F-A62EFF666E3E}">
          <x14:id>{8548D121-EA21-4038-8C69-256ED0ED70DD}</x14:id>
        </ext>
      </extLst>
    </cfRule>
  </conditionalFormatting>
  <conditionalFormatting sqref="N162">
    <cfRule type="dataBar" priority="6028">
      <dataBar>
        <cfvo type="num" val="0"/>
        <cfvo type="num" val="1"/>
        <color theme="4" tint="0.79998168889431442"/>
      </dataBar>
      <extLst>
        <ext xmlns:x14="http://schemas.microsoft.com/office/spreadsheetml/2009/9/main" uri="{B025F937-C7B1-47D3-B67F-A62EFF666E3E}">
          <x14:id>{9F6244BB-941C-4177-B14D-3BE9A6C494F8}</x14:id>
        </ext>
      </extLst>
    </cfRule>
    <cfRule type="iconSet" priority="6027">
      <iconSet iconSet="3Arrows">
        <cfvo type="percent" val="0"/>
        <cfvo type="num" val="0.7"/>
        <cfvo type="num" val="1"/>
      </iconSet>
    </cfRule>
  </conditionalFormatting>
  <conditionalFormatting sqref="N164">
    <cfRule type="dataBar" priority="6026">
      <dataBar>
        <cfvo type="num" val="0"/>
        <cfvo type="num" val="1"/>
        <color theme="4" tint="0.79998168889431442"/>
      </dataBar>
      <extLst>
        <ext xmlns:x14="http://schemas.microsoft.com/office/spreadsheetml/2009/9/main" uri="{B025F937-C7B1-47D3-B67F-A62EFF666E3E}">
          <x14:id>{136765CD-5F51-4D27-B240-84E1C59D39F6}</x14:id>
        </ext>
      </extLst>
    </cfRule>
    <cfRule type="iconSet" priority="6025">
      <iconSet iconSet="3Arrows">
        <cfvo type="percent" val="0"/>
        <cfvo type="num" val="0.7"/>
        <cfvo type="num" val="1"/>
      </iconSet>
    </cfRule>
  </conditionalFormatting>
  <conditionalFormatting sqref="N166">
    <cfRule type="dataBar" priority="6024">
      <dataBar>
        <cfvo type="num" val="0"/>
        <cfvo type="num" val="1"/>
        <color theme="4" tint="0.79998168889431442"/>
      </dataBar>
      <extLst>
        <ext xmlns:x14="http://schemas.microsoft.com/office/spreadsheetml/2009/9/main" uri="{B025F937-C7B1-47D3-B67F-A62EFF666E3E}">
          <x14:id>{AC9F2514-B97F-46CF-B8AF-97A1E147D1C6}</x14:id>
        </ext>
      </extLst>
    </cfRule>
    <cfRule type="iconSet" priority="6023">
      <iconSet iconSet="3Arrows">
        <cfvo type="percent" val="0"/>
        <cfvo type="num" val="0.7"/>
        <cfvo type="num" val="1"/>
      </iconSet>
    </cfRule>
  </conditionalFormatting>
  <conditionalFormatting sqref="N168">
    <cfRule type="dataBar" priority="6022">
      <dataBar>
        <cfvo type="num" val="0"/>
        <cfvo type="num" val="1"/>
        <color theme="4" tint="0.79998168889431442"/>
      </dataBar>
      <extLst>
        <ext xmlns:x14="http://schemas.microsoft.com/office/spreadsheetml/2009/9/main" uri="{B025F937-C7B1-47D3-B67F-A62EFF666E3E}">
          <x14:id>{71A52319-90FC-4987-B0F7-2FD7024A000E}</x14:id>
        </ext>
      </extLst>
    </cfRule>
    <cfRule type="iconSet" priority="6021">
      <iconSet iconSet="3Arrows">
        <cfvo type="percent" val="0"/>
        <cfvo type="num" val="0.7"/>
        <cfvo type="num" val="1"/>
      </iconSet>
    </cfRule>
  </conditionalFormatting>
  <conditionalFormatting sqref="N170">
    <cfRule type="dataBar" priority="6020">
      <dataBar>
        <cfvo type="num" val="0"/>
        <cfvo type="num" val="1"/>
        <color theme="4" tint="0.79998168889431442"/>
      </dataBar>
      <extLst>
        <ext xmlns:x14="http://schemas.microsoft.com/office/spreadsheetml/2009/9/main" uri="{B025F937-C7B1-47D3-B67F-A62EFF666E3E}">
          <x14:id>{8191ECA4-B192-47F0-AB6B-8C2D0E489BEB}</x14:id>
        </ext>
      </extLst>
    </cfRule>
    <cfRule type="iconSet" priority="6019">
      <iconSet iconSet="3Arrows">
        <cfvo type="percent" val="0"/>
        <cfvo type="num" val="0.7"/>
        <cfvo type="num" val="1"/>
      </iconSet>
    </cfRule>
  </conditionalFormatting>
  <conditionalFormatting sqref="N172">
    <cfRule type="dataBar" priority="6018">
      <dataBar>
        <cfvo type="num" val="0"/>
        <cfvo type="num" val="1"/>
        <color theme="4" tint="0.79998168889431442"/>
      </dataBar>
      <extLst>
        <ext xmlns:x14="http://schemas.microsoft.com/office/spreadsheetml/2009/9/main" uri="{B025F937-C7B1-47D3-B67F-A62EFF666E3E}">
          <x14:id>{9D45C0A4-3EAA-41E3-A5E0-B0A5D92EEDDF}</x14:id>
        </ext>
      </extLst>
    </cfRule>
    <cfRule type="iconSet" priority="6017">
      <iconSet iconSet="3Arrows">
        <cfvo type="percent" val="0"/>
        <cfvo type="num" val="0.7"/>
        <cfvo type="num" val="1"/>
      </iconSet>
    </cfRule>
  </conditionalFormatting>
  <conditionalFormatting sqref="N176">
    <cfRule type="dataBar" priority="6016">
      <dataBar>
        <cfvo type="num" val="0"/>
        <cfvo type="num" val="1"/>
        <color theme="4" tint="0.79998168889431442"/>
      </dataBar>
      <extLst>
        <ext xmlns:x14="http://schemas.microsoft.com/office/spreadsheetml/2009/9/main" uri="{B025F937-C7B1-47D3-B67F-A62EFF666E3E}">
          <x14:id>{67855592-FB6E-480B-BDEF-7D177A49D2B3}</x14:id>
        </ext>
      </extLst>
    </cfRule>
    <cfRule type="iconSet" priority="6015">
      <iconSet iconSet="3Arrows">
        <cfvo type="percent" val="0"/>
        <cfvo type="num" val="0.7"/>
        <cfvo type="num" val="1"/>
      </iconSet>
    </cfRule>
  </conditionalFormatting>
  <conditionalFormatting sqref="N178">
    <cfRule type="dataBar" priority="6014">
      <dataBar>
        <cfvo type="num" val="0"/>
        <cfvo type="num" val="1"/>
        <color theme="4" tint="0.79998168889431442"/>
      </dataBar>
      <extLst>
        <ext xmlns:x14="http://schemas.microsoft.com/office/spreadsheetml/2009/9/main" uri="{B025F937-C7B1-47D3-B67F-A62EFF666E3E}">
          <x14:id>{929009B4-9800-4434-A218-062F2F081BBA}</x14:id>
        </ext>
      </extLst>
    </cfRule>
    <cfRule type="iconSet" priority="6013">
      <iconSet iconSet="3Arrows">
        <cfvo type="percent" val="0"/>
        <cfvo type="num" val="0.7"/>
        <cfvo type="num" val="1"/>
      </iconSet>
    </cfRule>
  </conditionalFormatting>
  <conditionalFormatting sqref="N180">
    <cfRule type="dataBar" priority="6012">
      <dataBar>
        <cfvo type="num" val="0"/>
        <cfvo type="num" val="1"/>
        <color theme="4" tint="0.79998168889431442"/>
      </dataBar>
      <extLst>
        <ext xmlns:x14="http://schemas.microsoft.com/office/spreadsheetml/2009/9/main" uri="{B025F937-C7B1-47D3-B67F-A62EFF666E3E}">
          <x14:id>{B7866BAB-20D7-4613-861F-B09F8573BCF4}</x14:id>
        </ext>
      </extLst>
    </cfRule>
    <cfRule type="iconSet" priority="6011">
      <iconSet iconSet="3Arrows">
        <cfvo type="percent" val="0"/>
        <cfvo type="num" val="0.7"/>
        <cfvo type="num" val="1"/>
      </iconSet>
    </cfRule>
  </conditionalFormatting>
  <conditionalFormatting sqref="N182">
    <cfRule type="dataBar" priority="6010">
      <dataBar>
        <cfvo type="num" val="0"/>
        <cfvo type="num" val="1"/>
        <color theme="4" tint="0.79998168889431442"/>
      </dataBar>
      <extLst>
        <ext xmlns:x14="http://schemas.microsoft.com/office/spreadsheetml/2009/9/main" uri="{B025F937-C7B1-47D3-B67F-A62EFF666E3E}">
          <x14:id>{FCEF3611-64F1-4C50-BE6C-1064963276C9}</x14:id>
        </ext>
      </extLst>
    </cfRule>
    <cfRule type="iconSet" priority="6009">
      <iconSet iconSet="3Arrows">
        <cfvo type="percent" val="0"/>
        <cfvo type="num" val="0.7"/>
        <cfvo type="num" val="1"/>
      </iconSet>
    </cfRule>
  </conditionalFormatting>
  <conditionalFormatting sqref="N184">
    <cfRule type="dataBar" priority="6008">
      <dataBar>
        <cfvo type="num" val="0"/>
        <cfvo type="num" val="1"/>
        <color theme="4" tint="0.79998168889431442"/>
      </dataBar>
      <extLst>
        <ext xmlns:x14="http://schemas.microsoft.com/office/spreadsheetml/2009/9/main" uri="{B025F937-C7B1-47D3-B67F-A62EFF666E3E}">
          <x14:id>{DF6D5628-4D6F-4220-88F4-52D13684616F}</x14:id>
        </ext>
      </extLst>
    </cfRule>
    <cfRule type="iconSet" priority="6007">
      <iconSet iconSet="3Arrows">
        <cfvo type="percent" val="0"/>
        <cfvo type="num" val="0.7"/>
        <cfvo type="num" val="1"/>
      </iconSet>
    </cfRule>
  </conditionalFormatting>
  <conditionalFormatting sqref="N186">
    <cfRule type="dataBar" priority="6006">
      <dataBar>
        <cfvo type="num" val="0"/>
        <cfvo type="num" val="1"/>
        <color theme="4" tint="0.79998168889431442"/>
      </dataBar>
      <extLst>
        <ext xmlns:x14="http://schemas.microsoft.com/office/spreadsheetml/2009/9/main" uri="{B025F937-C7B1-47D3-B67F-A62EFF666E3E}">
          <x14:id>{E90D98EA-42BF-4F37-90DB-064FC09DE62C}</x14:id>
        </ext>
      </extLst>
    </cfRule>
    <cfRule type="iconSet" priority="6005">
      <iconSet iconSet="3Arrows">
        <cfvo type="percent" val="0"/>
        <cfvo type="num" val="0.7"/>
        <cfvo type="num" val="1"/>
      </iconSet>
    </cfRule>
  </conditionalFormatting>
  <conditionalFormatting sqref="N188">
    <cfRule type="dataBar" priority="6004">
      <dataBar>
        <cfvo type="num" val="0"/>
        <cfvo type="num" val="1"/>
        <color theme="4" tint="0.79998168889431442"/>
      </dataBar>
      <extLst>
        <ext xmlns:x14="http://schemas.microsoft.com/office/spreadsheetml/2009/9/main" uri="{B025F937-C7B1-47D3-B67F-A62EFF666E3E}">
          <x14:id>{6697EF1B-83AF-4DA2-915A-4791B68D2289}</x14:id>
        </ext>
      </extLst>
    </cfRule>
    <cfRule type="iconSet" priority="6003">
      <iconSet iconSet="3Arrows">
        <cfvo type="percent" val="0"/>
        <cfvo type="num" val="0.7"/>
        <cfvo type="num" val="1"/>
      </iconSet>
    </cfRule>
  </conditionalFormatting>
  <conditionalFormatting sqref="N190">
    <cfRule type="dataBar" priority="6002">
      <dataBar>
        <cfvo type="num" val="0"/>
        <cfvo type="num" val="1"/>
        <color theme="4" tint="0.79998168889431442"/>
      </dataBar>
      <extLst>
        <ext xmlns:x14="http://schemas.microsoft.com/office/spreadsheetml/2009/9/main" uri="{B025F937-C7B1-47D3-B67F-A62EFF666E3E}">
          <x14:id>{33BEE520-2469-4645-9675-3D0A836E8979}</x14:id>
        </ext>
      </extLst>
    </cfRule>
    <cfRule type="iconSet" priority="6001">
      <iconSet iconSet="3Arrows">
        <cfvo type="percent" val="0"/>
        <cfvo type="num" val="0.7"/>
        <cfvo type="num" val="1"/>
      </iconSet>
    </cfRule>
  </conditionalFormatting>
  <conditionalFormatting sqref="N192">
    <cfRule type="iconSet" priority="5999">
      <iconSet iconSet="3Arrows">
        <cfvo type="percent" val="0"/>
        <cfvo type="num" val="0.7"/>
        <cfvo type="num" val="1"/>
      </iconSet>
    </cfRule>
    <cfRule type="dataBar" priority="6000">
      <dataBar>
        <cfvo type="num" val="0"/>
        <cfvo type="num" val="1"/>
        <color theme="4" tint="0.79998168889431442"/>
      </dataBar>
      <extLst>
        <ext xmlns:x14="http://schemas.microsoft.com/office/spreadsheetml/2009/9/main" uri="{B025F937-C7B1-47D3-B67F-A62EFF666E3E}">
          <x14:id>{8B3ABA92-DBAF-439F-BC12-0E1E290F5E42}</x14:id>
        </ext>
      </extLst>
    </cfRule>
  </conditionalFormatting>
  <conditionalFormatting sqref="N194">
    <cfRule type="iconSet" priority="5997">
      <iconSet iconSet="3Arrows">
        <cfvo type="percent" val="0"/>
        <cfvo type="num" val="0.7"/>
        <cfvo type="num" val="1"/>
      </iconSet>
    </cfRule>
    <cfRule type="dataBar" priority="5998">
      <dataBar>
        <cfvo type="num" val="0"/>
        <cfvo type="num" val="1"/>
        <color theme="4" tint="0.79998168889431442"/>
      </dataBar>
      <extLst>
        <ext xmlns:x14="http://schemas.microsoft.com/office/spreadsheetml/2009/9/main" uri="{B025F937-C7B1-47D3-B67F-A62EFF666E3E}">
          <x14:id>{B5A223AE-CB0C-4F00-BC92-E10387BE8E3F}</x14:id>
        </ext>
      </extLst>
    </cfRule>
  </conditionalFormatting>
  <conditionalFormatting sqref="N196">
    <cfRule type="iconSet" priority="5995">
      <iconSet iconSet="3Arrows">
        <cfvo type="percent" val="0"/>
        <cfvo type="num" val="0.7"/>
        <cfvo type="num" val="1"/>
      </iconSet>
    </cfRule>
    <cfRule type="dataBar" priority="5996">
      <dataBar>
        <cfvo type="num" val="0"/>
        <cfvo type="num" val="1"/>
        <color theme="4" tint="0.79998168889431442"/>
      </dataBar>
      <extLst>
        <ext xmlns:x14="http://schemas.microsoft.com/office/spreadsheetml/2009/9/main" uri="{B025F937-C7B1-47D3-B67F-A62EFF666E3E}">
          <x14:id>{9CE8C89F-E995-4834-B959-690FCD0E476C}</x14:id>
        </ext>
      </extLst>
    </cfRule>
  </conditionalFormatting>
  <conditionalFormatting sqref="N198">
    <cfRule type="dataBar" priority="5994">
      <dataBar>
        <cfvo type="num" val="0"/>
        <cfvo type="num" val="1"/>
        <color theme="4" tint="0.79998168889431442"/>
      </dataBar>
      <extLst>
        <ext xmlns:x14="http://schemas.microsoft.com/office/spreadsheetml/2009/9/main" uri="{B025F937-C7B1-47D3-B67F-A62EFF666E3E}">
          <x14:id>{079F8E1A-9250-4286-9748-3B7498AE554D}</x14:id>
        </ext>
      </extLst>
    </cfRule>
    <cfRule type="iconSet" priority="5993">
      <iconSet iconSet="3Arrows">
        <cfvo type="percent" val="0"/>
        <cfvo type="num" val="0.7"/>
        <cfvo type="num" val="1"/>
      </iconSet>
    </cfRule>
  </conditionalFormatting>
  <conditionalFormatting sqref="N200">
    <cfRule type="dataBar" priority="5992">
      <dataBar>
        <cfvo type="num" val="0"/>
        <cfvo type="num" val="1"/>
        <color theme="4" tint="0.79998168889431442"/>
      </dataBar>
      <extLst>
        <ext xmlns:x14="http://schemas.microsoft.com/office/spreadsheetml/2009/9/main" uri="{B025F937-C7B1-47D3-B67F-A62EFF666E3E}">
          <x14:id>{CD03E940-A8A0-4940-BE5F-5D4E7B477FE3}</x14:id>
        </ext>
      </extLst>
    </cfRule>
    <cfRule type="iconSet" priority="5991">
      <iconSet iconSet="3Arrows">
        <cfvo type="percent" val="0"/>
        <cfvo type="num" val="0.7"/>
        <cfvo type="num" val="1"/>
      </iconSet>
    </cfRule>
  </conditionalFormatting>
  <conditionalFormatting sqref="N202">
    <cfRule type="dataBar" priority="5990">
      <dataBar>
        <cfvo type="num" val="0"/>
        <cfvo type="num" val="1"/>
        <color theme="4" tint="0.79998168889431442"/>
      </dataBar>
      <extLst>
        <ext xmlns:x14="http://schemas.microsoft.com/office/spreadsheetml/2009/9/main" uri="{B025F937-C7B1-47D3-B67F-A62EFF666E3E}">
          <x14:id>{12F8123C-3302-487B-84F8-A41B844C664B}</x14:id>
        </ext>
      </extLst>
    </cfRule>
    <cfRule type="iconSet" priority="5989">
      <iconSet iconSet="3Arrows">
        <cfvo type="percent" val="0"/>
        <cfvo type="num" val="0.7"/>
        <cfvo type="num" val="1"/>
      </iconSet>
    </cfRule>
  </conditionalFormatting>
  <conditionalFormatting sqref="N204">
    <cfRule type="dataBar" priority="5988">
      <dataBar>
        <cfvo type="num" val="0"/>
        <cfvo type="num" val="1"/>
        <color theme="4" tint="0.79998168889431442"/>
      </dataBar>
      <extLst>
        <ext xmlns:x14="http://schemas.microsoft.com/office/spreadsheetml/2009/9/main" uri="{B025F937-C7B1-47D3-B67F-A62EFF666E3E}">
          <x14:id>{F1679243-8D98-4BF3-BCD9-CF1B03402CDC}</x14:id>
        </ext>
      </extLst>
    </cfRule>
    <cfRule type="iconSet" priority="5987">
      <iconSet iconSet="3Arrows">
        <cfvo type="percent" val="0"/>
        <cfvo type="num" val="0.7"/>
        <cfvo type="num" val="1"/>
      </iconSet>
    </cfRule>
  </conditionalFormatting>
  <conditionalFormatting sqref="N206">
    <cfRule type="dataBar" priority="5986">
      <dataBar>
        <cfvo type="num" val="0"/>
        <cfvo type="num" val="1"/>
        <color theme="4" tint="0.79998168889431442"/>
      </dataBar>
      <extLst>
        <ext xmlns:x14="http://schemas.microsoft.com/office/spreadsheetml/2009/9/main" uri="{B025F937-C7B1-47D3-B67F-A62EFF666E3E}">
          <x14:id>{5E22F7D2-70AD-4B95-A97D-FDDF915E80BE}</x14:id>
        </ext>
      </extLst>
    </cfRule>
    <cfRule type="iconSet" priority="5985">
      <iconSet iconSet="3Arrows">
        <cfvo type="percent" val="0"/>
        <cfvo type="num" val="0.7"/>
        <cfvo type="num" val="1"/>
      </iconSet>
    </cfRule>
  </conditionalFormatting>
  <conditionalFormatting sqref="N208">
    <cfRule type="iconSet" priority="5983">
      <iconSet iconSet="3Arrows">
        <cfvo type="percent" val="0"/>
        <cfvo type="num" val="0.7"/>
        <cfvo type="num" val="1"/>
      </iconSet>
    </cfRule>
    <cfRule type="dataBar" priority="5984">
      <dataBar>
        <cfvo type="num" val="0"/>
        <cfvo type="num" val="1"/>
        <color theme="4" tint="0.79998168889431442"/>
      </dataBar>
      <extLst>
        <ext xmlns:x14="http://schemas.microsoft.com/office/spreadsheetml/2009/9/main" uri="{B025F937-C7B1-47D3-B67F-A62EFF666E3E}">
          <x14:id>{D3093060-7B75-4316-964A-4D2258431C87}</x14:id>
        </ext>
      </extLst>
    </cfRule>
  </conditionalFormatting>
  <conditionalFormatting sqref="N210">
    <cfRule type="iconSet" priority="5981">
      <iconSet iconSet="3Arrows">
        <cfvo type="percent" val="0"/>
        <cfvo type="num" val="0.7"/>
        <cfvo type="num" val="1"/>
      </iconSet>
    </cfRule>
    <cfRule type="dataBar" priority="5982">
      <dataBar>
        <cfvo type="num" val="0"/>
        <cfvo type="num" val="1"/>
        <color theme="4" tint="0.79998168889431442"/>
      </dataBar>
      <extLst>
        <ext xmlns:x14="http://schemas.microsoft.com/office/spreadsheetml/2009/9/main" uri="{B025F937-C7B1-47D3-B67F-A62EFF666E3E}">
          <x14:id>{A1E59B42-0378-45BB-8D9A-6427D2E3A284}</x14:id>
        </ext>
      </extLst>
    </cfRule>
  </conditionalFormatting>
  <conditionalFormatting sqref="N212">
    <cfRule type="dataBar" priority="5980">
      <dataBar>
        <cfvo type="num" val="0"/>
        <cfvo type="num" val="1"/>
        <color theme="4" tint="0.79998168889431442"/>
      </dataBar>
      <extLst>
        <ext xmlns:x14="http://schemas.microsoft.com/office/spreadsheetml/2009/9/main" uri="{B025F937-C7B1-47D3-B67F-A62EFF666E3E}">
          <x14:id>{63A8020B-7E8D-40F9-BD26-803A5248B499}</x14:id>
        </ext>
      </extLst>
    </cfRule>
    <cfRule type="iconSet" priority="5979">
      <iconSet iconSet="3Arrows">
        <cfvo type="percent" val="0"/>
        <cfvo type="num" val="0.7"/>
        <cfvo type="num" val="1"/>
      </iconSet>
    </cfRule>
  </conditionalFormatting>
  <conditionalFormatting sqref="N214">
    <cfRule type="dataBar" priority="5978">
      <dataBar>
        <cfvo type="num" val="0"/>
        <cfvo type="num" val="1"/>
        <color theme="4" tint="0.79998168889431442"/>
      </dataBar>
      <extLst>
        <ext xmlns:x14="http://schemas.microsoft.com/office/spreadsheetml/2009/9/main" uri="{B025F937-C7B1-47D3-B67F-A62EFF666E3E}">
          <x14:id>{D8DF38D4-D5E5-4EA5-A2AB-4A06EBA8B530}</x14:id>
        </ext>
      </extLst>
    </cfRule>
    <cfRule type="iconSet" priority="5977">
      <iconSet iconSet="3Arrows">
        <cfvo type="percent" val="0"/>
        <cfvo type="num" val="0.7"/>
        <cfvo type="num" val="1"/>
      </iconSet>
    </cfRule>
  </conditionalFormatting>
  <conditionalFormatting sqref="N216">
    <cfRule type="dataBar" priority="5976">
      <dataBar>
        <cfvo type="num" val="0"/>
        <cfvo type="num" val="1"/>
        <color theme="4" tint="0.79998168889431442"/>
      </dataBar>
      <extLst>
        <ext xmlns:x14="http://schemas.microsoft.com/office/spreadsheetml/2009/9/main" uri="{B025F937-C7B1-47D3-B67F-A62EFF666E3E}">
          <x14:id>{EADCB35E-C492-4D6D-892C-8A1AC121CA84}</x14:id>
        </ext>
      </extLst>
    </cfRule>
    <cfRule type="iconSet" priority="5975">
      <iconSet iconSet="3Arrows">
        <cfvo type="percent" val="0"/>
        <cfvo type="num" val="0.7"/>
        <cfvo type="num" val="1"/>
      </iconSet>
    </cfRule>
  </conditionalFormatting>
  <conditionalFormatting sqref="N218">
    <cfRule type="dataBar" priority="5974">
      <dataBar>
        <cfvo type="num" val="0"/>
        <cfvo type="num" val="1"/>
        <color theme="4" tint="0.79998168889431442"/>
      </dataBar>
      <extLst>
        <ext xmlns:x14="http://schemas.microsoft.com/office/spreadsheetml/2009/9/main" uri="{B025F937-C7B1-47D3-B67F-A62EFF666E3E}">
          <x14:id>{2BADCD4B-5576-4CC4-BCFC-51F4A01B70C8}</x14:id>
        </ext>
      </extLst>
    </cfRule>
    <cfRule type="iconSet" priority="5973">
      <iconSet iconSet="3Arrows">
        <cfvo type="percent" val="0"/>
        <cfvo type="num" val="0.7"/>
        <cfvo type="num" val="1"/>
      </iconSet>
    </cfRule>
  </conditionalFormatting>
  <conditionalFormatting sqref="N220">
    <cfRule type="dataBar" priority="5972">
      <dataBar>
        <cfvo type="num" val="0"/>
        <cfvo type="num" val="1"/>
        <color theme="4" tint="0.79998168889431442"/>
      </dataBar>
      <extLst>
        <ext xmlns:x14="http://schemas.microsoft.com/office/spreadsheetml/2009/9/main" uri="{B025F937-C7B1-47D3-B67F-A62EFF666E3E}">
          <x14:id>{7B4FCB46-745F-44E8-8E09-F79D0087D74F}</x14:id>
        </ext>
      </extLst>
    </cfRule>
    <cfRule type="iconSet" priority="5971">
      <iconSet iconSet="3Arrows">
        <cfvo type="percent" val="0"/>
        <cfvo type="num" val="0.7"/>
        <cfvo type="num" val="1"/>
      </iconSet>
    </cfRule>
  </conditionalFormatting>
  <conditionalFormatting sqref="N222">
    <cfRule type="dataBar" priority="5970">
      <dataBar>
        <cfvo type="num" val="0"/>
        <cfvo type="num" val="1"/>
        <color theme="4" tint="0.79998168889431442"/>
      </dataBar>
      <extLst>
        <ext xmlns:x14="http://schemas.microsoft.com/office/spreadsheetml/2009/9/main" uri="{B025F937-C7B1-47D3-B67F-A62EFF666E3E}">
          <x14:id>{CECF27EF-1B4C-4EB8-A07B-EC4E4B407888}</x14:id>
        </ext>
      </extLst>
    </cfRule>
    <cfRule type="iconSet" priority="5969">
      <iconSet iconSet="3Arrows">
        <cfvo type="percent" val="0"/>
        <cfvo type="num" val="0.7"/>
        <cfvo type="num" val="1"/>
      </iconSet>
    </cfRule>
  </conditionalFormatting>
  <conditionalFormatting sqref="N224">
    <cfRule type="iconSet" priority="5967">
      <iconSet iconSet="3Arrows">
        <cfvo type="percent" val="0"/>
        <cfvo type="num" val="0.7"/>
        <cfvo type="num" val="1"/>
      </iconSet>
    </cfRule>
    <cfRule type="dataBar" priority="5968">
      <dataBar>
        <cfvo type="num" val="0"/>
        <cfvo type="num" val="1"/>
        <color theme="4" tint="0.79998168889431442"/>
      </dataBar>
      <extLst>
        <ext xmlns:x14="http://schemas.microsoft.com/office/spreadsheetml/2009/9/main" uri="{B025F937-C7B1-47D3-B67F-A62EFF666E3E}">
          <x14:id>{802F14FB-D4E9-4DEB-9A5E-298669C1A8DA}</x14:id>
        </ext>
      </extLst>
    </cfRule>
  </conditionalFormatting>
  <conditionalFormatting sqref="N226">
    <cfRule type="iconSet" priority="5965">
      <iconSet iconSet="3Arrows">
        <cfvo type="percent" val="0"/>
        <cfvo type="num" val="0.7"/>
        <cfvo type="num" val="1"/>
      </iconSet>
    </cfRule>
    <cfRule type="dataBar" priority="5966">
      <dataBar>
        <cfvo type="num" val="0"/>
        <cfvo type="num" val="1"/>
        <color theme="4" tint="0.79998168889431442"/>
      </dataBar>
      <extLst>
        <ext xmlns:x14="http://schemas.microsoft.com/office/spreadsheetml/2009/9/main" uri="{B025F937-C7B1-47D3-B67F-A62EFF666E3E}">
          <x14:id>{28892733-2E1E-48C2-A469-29FE8372A082}</x14:id>
        </ext>
      </extLst>
    </cfRule>
  </conditionalFormatting>
  <conditionalFormatting sqref="N228">
    <cfRule type="dataBar" priority="5964">
      <dataBar>
        <cfvo type="num" val="0"/>
        <cfvo type="num" val="1"/>
        <color theme="4" tint="0.79998168889431442"/>
      </dataBar>
      <extLst>
        <ext xmlns:x14="http://schemas.microsoft.com/office/spreadsheetml/2009/9/main" uri="{B025F937-C7B1-47D3-B67F-A62EFF666E3E}">
          <x14:id>{358A0F43-7EB1-4D13-9934-0739D670441C}</x14:id>
        </ext>
      </extLst>
    </cfRule>
    <cfRule type="iconSet" priority="5963">
      <iconSet iconSet="3Arrows">
        <cfvo type="percent" val="0"/>
        <cfvo type="num" val="0.7"/>
        <cfvo type="num" val="1"/>
      </iconSet>
    </cfRule>
  </conditionalFormatting>
  <conditionalFormatting sqref="N232">
    <cfRule type="dataBar" priority="5962">
      <dataBar>
        <cfvo type="num" val="0"/>
        <cfvo type="num" val="1"/>
        <color theme="4" tint="0.79998168889431442"/>
      </dataBar>
      <extLst>
        <ext xmlns:x14="http://schemas.microsoft.com/office/spreadsheetml/2009/9/main" uri="{B025F937-C7B1-47D3-B67F-A62EFF666E3E}">
          <x14:id>{93A7BB14-6E82-49EE-A631-C8AC1278A33A}</x14:id>
        </ext>
      </extLst>
    </cfRule>
    <cfRule type="iconSet" priority="5961">
      <iconSet iconSet="3Arrows">
        <cfvo type="percent" val="0"/>
        <cfvo type="num" val="0.7"/>
        <cfvo type="num" val="1"/>
      </iconSet>
    </cfRule>
  </conditionalFormatting>
  <conditionalFormatting sqref="N234">
    <cfRule type="dataBar" priority="5960">
      <dataBar>
        <cfvo type="num" val="0"/>
        <cfvo type="num" val="1"/>
        <color theme="4" tint="0.79998168889431442"/>
      </dataBar>
      <extLst>
        <ext xmlns:x14="http://schemas.microsoft.com/office/spreadsheetml/2009/9/main" uri="{B025F937-C7B1-47D3-B67F-A62EFF666E3E}">
          <x14:id>{BDAB429A-3BE8-47BB-A10C-A3876EB4BA42}</x14:id>
        </ext>
      </extLst>
    </cfRule>
    <cfRule type="iconSet" priority="5959">
      <iconSet iconSet="3Arrows">
        <cfvo type="percent" val="0"/>
        <cfvo type="num" val="0.7"/>
        <cfvo type="num" val="1"/>
      </iconSet>
    </cfRule>
  </conditionalFormatting>
  <conditionalFormatting sqref="N236">
    <cfRule type="dataBar" priority="5958">
      <dataBar>
        <cfvo type="num" val="0"/>
        <cfvo type="num" val="1"/>
        <color theme="4" tint="0.79998168889431442"/>
      </dataBar>
      <extLst>
        <ext xmlns:x14="http://schemas.microsoft.com/office/spreadsheetml/2009/9/main" uri="{B025F937-C7B1-47D3-B67F-A62EFF666E3E}">
          <x14:id>{164C7935-1DEA-4781-8B2D-A3D52AECB081}</x14:id>
        </ext>
      </extLst>
    </cfRule>
    <cfRule type="iconSet" priority="5957">
      <iconSet iconSet="3Arrows">
        <cfvo type="percent" val="0"/>
        <cfvo type="num" val="0.7"/>
        <cfvo type="num" val="1"/>
      </iconSet>
    </cfRule>
  </conditionalFormatting>
  <conditionalFormatting sqref="N238">
    <cfRule type="dataBar" priority="5956">
      <dataBar>
        <cfvo type="num" val="0"/>
        <cfvo type="num" val="1"/>
        <color theme="4" tint="0.79998168889431442"/>
      </dataBar>
      <extLst>
        <ext xmlns:x14="http://schemas.microsoft.com/office/spreadsheetml/2009/9/main" uri="{B025F937-C7B1-47D3-B67F-A62EFF666E3E}">
          <x14:id>{3EC8869C-F4E0-41DA-8799-0B132123A557}</x14:id>
        </ext>
      </extLst>
    </cfRule>
    <cfRule type="iconSet" priority="5955">
      <iconSet iconSet="3Arrows">
        <cfvo type="percent" val="0"/>
        <cfvo type="num" val="0.7"/>
        <cfvo type="num" val="1"/>
      </iconSet>
    </cfRule>
  </conditionalFormatting>
  <conditionalFormatting sqref="N240">
    <cfRule type="dataBar" priority="5954">
      <dataBar>
        <cfvo type="num" val="0"/>
        <cfvo type="num" val="1"/>
        <color theme="4" tint="0.79998168889431442"/>
      </dataBar>
      <extLst>
        <ext xmlns:x14="http://schemas.microsoft.com/office/spreadsheetml/2009/9/main" uri="{B025F937-C7B1-47D3-B67F-A62EFF666E3E}">
          <x14:id>{32B3E8A1-C59A-41ED-A303-E7BEC5BCBA46}</x14:id>
        </ext>
      </extLst>
    </cfRule>
    <cfRule type="iconSet" priority="5953">
      <iconSet iconSet="3Arrows">
        <cfvo type="percent" val="0"/>
        <cfvo type="num" val="0.7"/>
        <cfvo type="num" val="1"/>
      </iconSet>
    </cfRule>
  </conditionalFormatting>
  <conditionalFormatting sqref="N242">
    <cfRule type="dataBar" priority="5952">
      <dataBar>
        <cfvo type="num" val="0"/>
        <cfvo type="num" val="1"/>
        <color theme="4" tint="0.79998168889431442"/>
      </dataBar>
      <extLst>
        <ext xmlns:x14="http://schemas.microsoft.com/office/spreadsheetml/2009/9/main" uri="{B025F937-C7B1-47D3-B67F-A62EFF666E3E}">
          <x14:id>{A76EA505-14EA-4285-81F4-9FEBF003AC89}</x14:id>
        </ext>
      </extLst>
    </cfRule>
    <cfRule type="iconSet" priority="5951">
      <iconSet iconSet="3Arrows">
        <cfvo type="percent" val="0"/>
        <cfvo type="num" val="0.7"/>
        <cfvo type="num" val="1"/>
      </iconSet>
    </cfRule>
  </conditionalFormatting>
  <conditionalFormatting sqref="N244">
    <cfRule type="dataBar" priority="5950">
      <dataBar>
        <cfvo type="num" val="0"/>
        <cfvo type="num" val="1"/>
        <color theme="4" tint="0.79998168889431442"/>
      </dataBar>
      <extLst>
        <ext xmlns:x14="http://schemas.microsoft.com/office/spreadsheetml/2009/9/main" uri="{B025F937-C7B1-47D3-B67F-A62EFF666E3E}">
          <x14:id>{3867F1C7-A80A-46BD-B7B5-7EA9EF2D0087}</x14:id>
        </ext>
      </extLst>
    </cfRule>
    <cfRule type="iconSet" priority="5949">
      <iconSet iconSet="3Arrows">
        <cfvo type="percent" val="0"/>
        <cfvo type="num" val="0.7"/>
        <cfvo type="num" val="1"/>
      </iconSet>
    </cfRule>
  </conditionalFormatting>
  <conditionalFormatting sqref="N246">
    <cfRule type="iconSet" priority="5947">
      <iconSet iconSet="3Arrows">
        <cfvo type="percent" val="0"/>
        <cfvo type="num" val="0.7"/>
        <cfvo type="num" val="1"/>
      </iconSet>
    </cfRule>
    <cfRule type="dataBar" priority="5948">
      <dataBar>
        <cfvo type="num" val="0"/>
        <cfvo type="num" val="1"/>
        <color theme="4" tint="0.79998168889431442"/>
      </dataBar>
      <extLst>
        <ext xmlns:x14="http://schemas.microsoft.com/office/spreadsheetml/2009/9/main" uri="{B025F937-C7B1-47D3-B67F-A62EFF666E3E}">
          <x14:id>{7E153B98-8EBA-487C-B10D-13CC3E2D1C40}</x14:id>
        </ext>
      </extLst>
    </cfRule>
  </conditionalFormatting>
  <conditionalFormatting sqref="N248">
    <cfRule type="dataBar" priority="5946">
      <dataBar>
        <cfvo type="num" val="0"/>
        <cfvo type="num" val="1"/>
        <color theme="4" tint="0.79998168889431442"/>
      </dataBar>
      <extLst>
        <ext xmlns:x14="http://schemas.microsoft.com/office/spreadsheetml/2009/9/main" uri="{B025F937-C7B1-47D3-B67F-A62EFF666E3E}">
          <x14:id>{C79AD499-9E4C-4908-BB66-6B7378446A7F}</x14:id>
        </ext>
      </extLst>
    </cfRule>
    <cfRule type="iconSet" priority="5945">
      <iconSet iconSet="3Arrows">
        <cfvo type="percent" val="0"/>
        <cfvo type="num" val="0.7"/>
        <cfvo type="num" val="1"/>
      </iconSet>
    </cfRule>
  </conditionalFormatting>
  <conditionalFormatting sqref="N250">
    <cfRule type="dataBar" priority="5944">
      <dataBar>
        <cfvo type="num" val="0"/>
        <cfvo type="num" val="1"/>
        <color theme="4" tint="0.79998168889431442"/>
      </dataBar>
      <extLst>
        <ext xmlns:x14="http://schemas.microsoft.com/office/spreadsheetml/2009/9/main" uri="{B025F937-C7B1-47D3-B67F-A62EFF666E3E}">
          <x14:id>{89DDAB22-ADFA-41C9-9809-CB2533D1BE78}</x14:id>
        </ext>
      </extLst>
    </cfRule>
    <cfRule type="iconSet" priority="5943">
      <iconSet iconSet="3Arrows">
        <cfvo type="percent" val="0"/>
        <cfvo type="num" val="0.7"/>
        <cfvo type="num" val="1"/>
      </iconSet>
    </cfRule>
  </conditionalFormatting>
  <conditionalFormatting sqref="N252">
    <cfRule type="dataBar" priority="5942">
      <dataBar>
        <cfvo type="num" val="0"/>
        <cfvo type="num" val="1"/>
        <color theme="4" tint="0.79998168889431442"/>
      </dataBar>
      <extLst>
        <ext xmlns:x14="http://schemas.microsoft.com/office/spreadsheetml/2009/9/main" uri="{B025F937-C7B1-47D3-B67F-A62EFF666E3E}">
          <x14:id>{E9328691-859B-4EDD-8E1E-51ED84CCFEAF}</x14:id>
        </ext>
      </extLst>
    </cfRule>
    <cfRule type="iconSet" priority="5941">
      <iconSet iconSet="3Arrows">
        <cfvo type="percent" val="0"/>
        <cfvo type="num" val="0.7"/>
        <cfvo type="num" val="1"/>
      </iconSet>
    </cfRule>
  </conditionalFormatting>
  <conditionalFormatting sqref="N254">
    <cfRule type="dataBar" priority="5940">
      <dataBar>
        <cfvo type="num" val="0"/>
        <cfvo type="num" val="1"/>
        <color theme="4" tint="0.79998168889431442"/>
      </dataBar>
      <extLst>
        <ext xmlns:x14="http://schemas.microsoft.com/office/spreadsheetml/2009/9/main" uri="{B025F937-C7B1-47D3-B67F-A62EFF666E3E}">
          <x14:id>{F7F33071-1E35-48A7-AC46-E3BD29A086D8}</x14:id>
        </ext>
      </extLst>
    </cfRule>
    <cfRule type="iconSet" priority="5939">
      <iconSet iconSet="3Arrows">
        <cfvo type="percent" val="0"/>
        <cfvo type="num" val="0.7"/>
        <cfvo type="num" val="1"/>
      </iconSet>
    </cfRule>
  </conditionalFormatting>
  <conditionalFormatting sqref="N256">
    <cfRule type="dataBar" priority="5938">
      <dataBar>
        <cfvo type="num" val="0"/>
        <cfvo type="num" val="1"/>
        <color theme="4" tint="0.79998168889431442"/>
      </dataBar>
      <extLst>
        <ext xmlns:x14="http://schemas.microsoft.com/office/spreadsheetml/2009/9/main" uri="{B025F937-C7B1-47D3-B67F-A62EFF666E3E}">
          <x14:id>{325A0400-BD03-4935-B2ED-F2CDEA26ABA8}</x14:id>
        </ext>
      </extLst>
    </cfRule>
    <cfRule type="iconSet" priority="5937">
      <iconSet iconSet="3Arrows">
        <cfvo type="percent" val="0"/>
        <cfvo type="num" val="0.7"/>
        <cfvo type="num" val="1"/>
      </iconSet>
    </cfRule>
  </conditionalFormatting>
  <conditionalFormatting sqref="N258">
    <cfRule type="dataBar" priority="5936">
      <dataBar>
        <cfvo type="num" val="0"/>
        <cfvo type="num" val="1"/>
        <color theme="4" tint="0.79998168889431442"/>
      </dataBar>
      <extLst>
        <ext xmlns:x14="http://schemas.microsoft.com/office/spreadsheetml/2009/9/main" uri="{B025F937-C7B1-47D3-B67F-A62EFF666E3E}">
          <x14:id>{93F03F9E-519F-4FE2-B89A-2BF5C1E0478C}</x14:id>
        </ext>
      </extLst>
    </cfRule>
    <cfRule type="iconSet" priority="5935">
      <iconSet iconSet="3Arrows">
        <cfvo type="percent" val="0"/>
        <cfvo type="num" val="0.7"/>
        <cfvo type="num" val="1"/>
      </iconSet>
    </cfRule>
  </conditionalFormatting>
  <conditionalFormatting sqref="N260">
    <cfRule type="dataBar" priority="5934">
      <dataBar>
        <cfvo type="num" val="0"/>
        <cfvo type="num" val="1"/>
        <color theme="4" tint="0.79998168889431442"/>
      </dataBar>
      <extLst>
        <ext xmlns:x14="http://schemas.microsoft.com/office/spreadsheetml/2009/9/main" uri="{B025F937-C7B1-47D3-B67F-A62EFF666E3E}">
          <x14:id>{E0744DD4-0722-4F9C-83B3-9F037A467A9F}</x14:id>
        </ext>
      </extLst>
    </cfRule>
    <cfRule type="iconSet" priority="5933">
      <iconSet iconSet="3Arrows">
        <cfvo type="percent" val="0"/>
        <cfvo type="num" val="0.7"/>
        <cfvo type="num" val="1"/>
      </iconSet>
    </cfRule>
  </conditionalFormatting>
  <conditionalFormatting sqref="N262">
    <cfRule type="iconSet" priority="5931">
      <iconSet iconSet="3Arrows">
        <cfvo type="percent" val="0"/>
        <cfvo type="num" val="0.7"/>
        <cfvo type="num" val="1"/>
      </iconSet>
    </cfRule>
    <cfRule type="dataBar" priority="5932">
      <dataBar>
        <cfvo type="num" val="0"/>
        <cfvo type="num" val="1"/>
        <color theme="4" tint="0.79998168889431442"/>
      </dataBar>
      <extLst>
        <ext xmlns:x14="http://schemas.microsoft.com/office/spreadsheetml/2009/9/main" uri="{B025F937-C7B1-47D3-B67F-A62EFF666E3E}">
          <x14:id>{9408F8BE-5EF0-481B-9D4E-7A57BDB40DC5}</x14:id>
        </ext>
      </extLst>
    </cfRule>
  </conditionalFormatting>
  <conditionalFormatting sqref="N264">
    <cfRule type="iconSet" priority="5929">
      <iconSet iconSet="3Arrows">
        <cfvo type="percent" val="0"/>
        <cfvo type="num" val="0.7"/>
        <cfvo type="num" val="1"/>
      </iconSet>
    </cfRule>
    <cfRule type="dataBar" priority="5930">
      <dataBar>
        <cfvo type="num" val="0"/>
        <cfvo type="num" val="1"/>
        <color theme="4" tint="0.79998168889431442"/>
      </dataBar>
      <extLst>
        <ext xmlns:x14="http://schemas.microsoft.com/office/spreadsheetml/2009/9/main" uri="{B025F937-C7B1-47D3-B67F-A62EFF666E3E}">
          <x14:id>{E95EA19E-1195-4258-839F-924272127C29}</x14:id>
        </ext>
      </extLst>
    </cfRule>
  </conditionalFormatting>
  <conditionalFormatting sqref="N266">
    <cfRule type="dataBar" priority="5928">
      <dataBar>
        <cfvo type="num" val="0"/>
        <cfvo type="num" val="1"/>
        <color theme="4" tint="0.79998168889431442"/>
      </dataBar>
      <extLst>
        <ext xmlns:x14="http://schemas.microsoft.com/office/spreadsheetml/2009/9/main" uri="{B025F937-C7B1-47D3-B67F-A62EFF666E3E}">
          <x14:id>{19D7B25C-771F-4512-92F7-1602DB15D7BC}</x14:id>
        </ext>
      </extLst>
    </cfRule>
    <cfRule type="iconSet" priority="5927">
      <iconSet iconSet="3Arrows">
        <cfvo type="percent" val="0"/>
        <cfvo type="num" val="0.7"/>
        <cfvo type="num" val="1"/>
      </iconSet>
    </cfRule>
  </conditionalFormatting>
  <conditionalFormatting sqref="N268">
    <cfRule type="dataBar" priority="5926">
      <dataBar>
        <cfvo type="num" val="0"/>
        <cfvo type="num" val="1"/>
        <color theme="4" tint="0.79998168889431442"/>
      </dataBar>
      <extLst>
        <ext xmlns:x14="http://schemas.microsoft.com/office/spreadsheetml/2009/9/main" uri="{B025F937-C7B1-47D3-B67F-A62EFF666E3E}">
          <x14:id>{6591939F-BF0F-4B0E-A207-A3BA39CC2B81}</x14:id>
        </ext>
      </extLst>
    </cfRule>
    <cfRule type="iconSet" priority="5925">
      <iconSet iconSet="3Arrows">
        <cfvo type="percent" val="0"/>
        <cfvo type="num" val="0.7"/>
        <cfvo type="num" val="1"/>
      </iconSet>
    </cfRule>
  </conditionalFormatting>
  <conditionalFormatting sqref="N270">
    <cfRule type="dataBar" priority="5924">
      <dataBar>
        <cfvo type="num" val="0"/>
        <cfvo type="num" val="1"/>
        <color theme="4" tint="0.79998168889431442"/>
      </dataBar>
      <extLst>
        <ext xmlns:x14="http://schemas.microsoft.com/office/spreadsheetml/2009/9/main" uri="{B025F937-C7B1-47D3-B67F-A62EFF666E3E}">
          <x14:id>{46787A0D-9AB5-4114-B44F-4C3657893A92}</x14:id>
        </ext>
      </extLst>
    </cfRule>
    <cfRule type="iconSet" priority="5923">
      <iconSet iconSet="3Arrows">
        <cfvo type="percent" val="0"/>
        <cfvo type="num" val="0.7"/>
        <cfvo type="num" val="1"/>
      </iconSet>
    </cfRule>
  </conditionalFormatting>
  <conditionalFormatting sqref="N272">
    <cfRule type="dataBar" priority="5922">
      <dataBar>
        <cfvo type="num" val="0"/>
        <cfvo type="num" val="1"/>
        <color theme="4" tint="0.79998168889431442"/>
      </dataBar>
      <extLst>
        <ext xmlns:x14="http://schemas.microsoft.com/office/spreadsheetml/2009/9/main" uri="{B025F937-C7B1-47D3-B67F-A62EFF666E3E}">
          <x14:id>{EA96B081-3A7B-473A-BC4F-6F37AC79B439}</x14:id>
        </ext>
      </extLst>
    </cfRule>
    <cfRule type="iconSet" priority="5921">
      <iconSet iconSet="3Arrows">
        <cfvo type="percent" val="0"/>
        <cfvo type="num" val="0.7"/>
        <cfvo type="num" val="1"/>
      </iconSet>
    </cfRule>
  </conditionalFormatting>
  <conditionalFormatting sqref="N274">
    <cfRule type="dataBar" priority="5920">
      <dataBar>
        <cfvo type="num" val="0"/>
        <cfvo type="num" val="1"/>
        <color theme="4" tint="0.79998168889431442"/>
      </dataBar>
      <extLst>
        <ext xmlns:x14="http://schemas.microsoft.com/office/spreadsheetml/2009/9/main" uri="{B025F937-C7B1-47D3-B67F-A62EFF666E3E}">
          <x14:id>{8A953B5A-F383-4F06-82DE-7AB50576AEB6}</x14:id>
        </ext>
      </extLst>
    </cfRule>
    <cfRule type="iconSet" priority="5919">
      <iconSet iconSet="3Arrows">
        <cfvo type="percent" val="0"/>
        <cfvo type="num" val="0.7"/>
        <cfvo type="num" val="1"/>
      </iconSet>
    </cfRule>
  </conditionalFormatting>
  <conditionalFormatting sqref="N276">
    <cfRule type="dataBar" priority="5918">
      <dataBar>
        <cfvo type="num" val="0"/>
        <cfvo type="num" val="1"/>
        <color theme="4" tint="0.79998168889431442"/>
      </dataBar>
      <extLst>
        <ext xmlns:x14="http://schemas.microsoft.com/office/spreadsheetml/2009/9/main" uri="{B025F937-C7B1-47D3-B67F-A62EFF666E3E}">
          <x14:id>{392B359F-D8B1-4EAA-8233-CC1EC7482631}</x14:id>
        </ext>
      </extLst>
    </cfRule>
    <cfRule type="iconSet" priority="5917">
      <iconSet iconSet="3Arrows">
        <cfvo type="percent" val="0"/>
        <cfvo type="num" val="0.7"/>
        <cfvo type="num" val="1"/>
      </iconSet>
    </cfRule>
  </conditionalFormatting>
  <conditionalFormatting sqref="N278">
    <cfRule type="iconSet" priority="5915">
      <iconSet iconSet="3Arrows">
        <cfvo type="percent" val="0"/>
        <cfvo type="num" val="0.7"/>
        <cfvo type="num" val="1"/>
      </iconSet>
    </cfRule>
    <cfRule type="dataBar" priority="5916">
      <dataBar>
        <cfvo type="num" val="0"/>
        <cfvo type="num" val="1"/>
        <color theme="4" tint="0.79998168889431442"/>
      </dataBar>
      <extLst>
        <ext xmlns:x14="http://schemas.microsoft.com/office/spreadsheetml/2009/9/main" uri="{B025F937-C7B1-47D3-B67F-A62EFF666E3E}">
          <x14:id>{37DACF2D-4B4A-4819-BC8D-6D3F6DA743BE}</x14:id>
        </ext>
      </extLst>
    </cfRule>
  </conditionalFormatting>
  <conditionalFormatting sqref="N280">
    <cfRule type="dataBar" priority="5914">
      <dataBar>
        <cfvo type="num" val="0"/>
        <cfvo type="num" val="1"/>
        <color theme="4" tint="0.79998168889431442"/>
      </dataBar>
      <extLst>
        <ext xmlns:x14="http://schemas.microsoft.com/office/spreadsheetml/2009/9/main" uri="{B025F937-C7B1-47D3-B67F-A62EFF666E3E}">
          <x14:id>{29D5504D-D60F-451A-95C3-CFDBA6116548}</x14:id>
        </ext>
      </extLst>
    </cfRule>
    <cfRule type="iconSet" priority="5913">
      <iconSet iconSet="3Arrows">
        <cfvo type="percent" val="0"/>
        <cfvo type="num" val="0.7"/>
        <cfvo type="num" val="1"/>
      </iconSet>
    </cfRule>
  </conditionalFormatting>
  <conditionalFormatting sqref="N282">
    <cfRule type="dataBar" priority="5912">
      <dataBar>
        <cfvo type="num" val="0"/>
        <cfvo type="num" val="1"/>
        <color theme="4" tint="0.79998168889431442"/>
      </dataBar>
      <extLst>
        <ext xmlns:x14="http://schemas.microsoft.com/office/spreadsheetml/2009/9/main" uri="{B025F937-C7B1-47D3-B67F-A62EFF666E3E}">
          <x14:id>{FAF48A66-F120-4FF8-844F-9CF4E0D4ADD7}</x14:id>
        </ext>
      </extLst>
    </cfRule>
    <cfRule type="iconSet" priority="5911">
      <iconSet iconSet="3Arrows">
        <cfvo type="percent" val="0"/>
        <cfvo type="num" val="0.7"/>
        <cfvo type="num" val="1"/>
      </iconSet>
    </cfRule>
  </conditionalFormatting>
  <conditionalFormatting sqref="N284">
    <cfRule type="dataBar" priority="5910">
      <dataBar>
        <cfvo type="num" val="0"/>
        <cfvo type="num" val="1"/>
        <color theme="4" tint="0.79998168889431442"/>
      </dataBar>
      <extLst>
        <ext xmlns:x14="http://schemas.microsoft.com/office/spreadsheetml/2009/9/main" uri="{B025F937-C7B1-47D3-B67F-A62EFF666E3E}">
          <x14:id>{409A76F0-5B5C-4626-803E-6EE959934D2B}</x14:id>
        </ext>
      </extLst>
    </cfRule>
    <cfRule type="iconSet" priority="5909">
      <iconSet iconSet="3Arrows">
        <cfvo type="percent" val="0"/>
        <cfvo type="num" val="0.7"/>
        <cfvo type="num" val="1"/>
      </iconSet>
    </cfRule>
  </conditionalFormatting>
  <conditionalFormatting sqref="N286">
    <cfRule type="iconSet" priority="5907">
      <iconSet iconSet="3Arrows">
        <cfvo type="percent" val="0"/>
        <cfvo type="num" val="0.7"/>
        <cfvo type="num" val="1"/>
      </iconSet>
    </cfRule>
    <cfRule type="dataBar" priority="5908">
      <dataBar>
        <cfvo type="num" val="0"/>
        <cfvo type="num" val="1"/>
        <color theme="4" tint="0.79998168889431442"/>
      </dataBar>
      <extLst>
        <ext xmlns:x14="http://schemas.microsoft.com/office/spreadsheetml/2009/9/main" uri="{B025F937-C7B1-47D3-B67F-A62EFF666E3E}">
          <x14:id>{DFF96034-FB56-45FE-B33A-5C2F6B3D01E5}</x14:id>
        </ext>
      </extLst>
    </cfRule>
  </conditionalFormatting>
  <conditionalFormatting sqref="N288">
    <cfRule type="dataBar" priority="5906">
      <dataBar>
        <cfvo type="num" val="0"/>
        <cfvo type="num" val="1"/>
        <color theme="4" tint="0.79998168889431442"/>
      </dataBar>
      <extLst>
        <ext xmlns:x14="http://schemas.microsoft.com/office/spreadsheetml/2009/9/main" uri="{B025F937-C7B1-47D3-B67F-A62EFF666E3E}">
          <x14:id>{BD74C347-320C-4CEE-9413-A4CE41CD522A}</x14:id>
        </ext>
      </extLst>
    </cfRule>
    <cfRule type="iconSet" priority="5905">
      <iconSet iconSet="3Arrows">
        <cfvo type="percent" val="0"/>
        <cfvo type="num" val="0.7"/>
        <cfvo type="num" val="1"/>
      </iconSet>
    </cfRule>
  </conditionalFormatting>
  <conditionalFormatting sqref="N290">
    <cfRule type="dataBar" priority="5904">
      <dataBar>
        <cfvo type="num" val="0"/>
        <cfvo type="num" val="1"/>
        <color theme="4" tint="0.79998168889431442"/>
      </dataBar>
      <extLst>
        <ext xmlns:x14="http://schemas.microsoft.com/office/spreadsheetml/2009/9/main" uri="{B025F937-C7B1-47D3-B67F-A62EFF666E3E}">
          <x14:id>{9BF6BBF6-739B-4F02-967D-5CBFD9818B04}</x14:id>
        </ext>
      </extLst>
    </cfRule>
    <cfRule type="iconSet" priority="5903">
      <iconSet iconSet="3Arrows">
        <cfvo type="percent" val="0"/>
        <cfvo type="num" val="0.7"/>
        <cfvo type="num" val="1"/>
      </iconSet>
    </cfRule>
  </conditionalFormatting>
  <conditionalFormatting sqref="N292">
    <cfRule type="dataBar" priority="5902">
      <dataBar>
        <cfvo type="num" val="0"/>
        <cfvo type="num" val="1"/>
        <color theme="4" tint="0.79998168889431442"/>
      </dataBar>
      <extLst>
        <ext xmlns:x14="http://schemas.microsoft.com/office/spreadsheetml/2009/9/main" uri="{B025F937-C7B1-47D3-B67F-A62EFF666E3E}">
          <x14:id>{B71DB7F9-7489-4AE6-8136-12CF3C5F45C8}</x14:id>
        </ext>
      </extLst>
    </cfRule>
    <cfRule type="iconSet" priority="5901">
      <iconSet iconSet="3Arrows">
        <cfvo type="percent" val="0"/>
        <cfvo type="num" val="0.7"/>
        <cfvo type="num" val="1"/>
      </iconSet>
    </cfRule>
  </conditionalFormatting>
  <conditionalFormatting sqref="N294">
    <cfRule type="iconSet" priority="5899">
      <iconSet iconSet="3Arrows">
        <cfvo type="percent" val="0"/>
        <cfvo type="num" val="0.7"/>
        <cfvo type="num" val="1"/>
      </iconSet>
    </cfRule>
    <cfRule type="dataBar" priority="5900">
      <dataBar>
        <cfvo type="num" val="0"/>
        <cfvo type="num" val="1"/>
        <color theme="4" tint="0.79998168889431442"/>
      </dataBar>
      <extLst>
        <ext xmlns:x14="http://schemas.microsoft.com/office/spreadsheetml/2009/9/main" uri="{B025F937-C7B1-47D3-B67F-A62EFF666E3E}">
          <x14:id>{99FCB6F4-DE08-495B-A094-9790DAF94397}</x14:id>
        </ext>
      </extLst>
    </cfRule>
  </conditionalFormatting>
  <conditionalFormatting sqref="N296">
    <cfRule type="iconSet" priority="5897">
      <iconSet iconSet="3Arrows">
        <cfvo type="percent" val="0"/>
        <cfvo type="num" val="0.7"/>
        <cfvo type="num" val="1"/>
      </iconSet>
    </cfRule>
    <cfRule type="dataBar" priority="5898">
      <dataBar>
        <cfvo type="num" val="0"/>
        <cfvo type="num" val="1"/>
        <color theme="4" tint="0.79998168889431442"/>
      </dataBar>
      <extLst>
        <ext xmlns:x14="http://schemas.microsoft.com/office/spreadsheetml/2009/9/main" uri="{B025F937-C7B1-47D3-B67F-A62EFF666E3E}">
          <x14:id>{173642DD-A1DD-4D57-A607-8A57B1C267C1}</x14:id>
        </ext>
      </extLst>
    </cfRule>
  </conditionalFormatting>
  <conditionalFormatting sqref="N298">
    <cfRule type="dataBar" priority="5896">
      <dataBar>
        <cfvo type="num" val="0"/>
        <cfvo type="num" val="1"/>
        <color theme="4" tint="0.79998168889431442"/>
      </dataBar>
      <extLst>
        <ext xmlns:x14="http://schemas.microsoft.com/office/spreadsheetml/2009/9/main" uri="{B025F937-C7B1-47D3-B67F-A62EFF666E3E}">
          <x14:id>{E7BC6216-8D0D-4035-91E7-AAE35719F3F7}</x14:id>
        </ext>
      </extLst>
    </cfRule>
    <cfRule type="iconSet" priority="5895">
      <iconSet iconSet="3Arrows">
        <cfvo type="percent" val="0"/>
        <cfvo type="num" val="0.7"/>
        <cfvo type="num" val="1"/>
      </iconSet>
    </cfRule>
  </conditionalFormatting>
  <conditionalFormatting sqref="N300">
    <cfRule type="dataBar" priority="5894">
      <dataBar>
        <cfvo type="num" val="0"/>
        <cfvo type="num" val="1"/>
        <color theme="4" tint="0.79998168889431442"/>
      </dataBar>
      <extLst>
        <ext xmlns:x14="http://schemas.microsoft.com/office/spreadsheetml/2009/9/main" uri="{B025F937-C7B1-47D3-B67F-A62EFF666E3E}">
          <x14:id>{0303876C-FA27-464D-BE2A-D93CC7152F5D}</x14:id>
        </ext>
      </extLst>
    </cfRule>
    <cfRule type="iconSet" priority="5893">
      <iconSet iconSet="3Arrows">
        <cfvo type="percent" val="0"/>
        <cfvo type="num" val="0.7"/>
        <cfvo type="num" val="1"/>
      </iconSet>
    </cfRule>
  </conditionalFormatting>
  <conditionalFormatting sqref="N302">
    <cfRule type="dataBar" priority="5892">
      <dataBar>
        <cfvo type="num" val="0"/>
        <cfvo type="num" val="1"/>
        <color theme="4" tint="0.79998168889431442"/>
      </dataBar>
      <extLst>
        <ext xmlns:x14="http://schemas.microsoft.com/office/spreadsheetml/2009/9/main" uri="{B025F937-C7B1-47D3-B67F-A62EFF666E3E}">
          <x14:id>{7CEA0BAA-0622-4366-A301-D2CB02DB9F2C}</x14:id>
        </ext>
      </extLst>
    </cfRule>
    <cfRule type="iconSet" priority="5891">
      <iconSet iconSet="3Arrows">
        <cfvo type="percent" val="0"/>
        <cfvo type="num" val="0.7"/>
        <cfvo type="num" val="1"/>
      </iconSet>
    </cfRule>
  </conditionalFormatting>
  <conditionalFormatting sqref="N304">
    <cfRule type="dataBar" priority="5890">
      <dataBar>
        <cfvo type="num" val="0"/>
        <cfvo type="num" val="1"/>
        <color theme="4" tint="0.79998168889431442"/>
      </dataBar>
      <extLst>
        <ext xmlns:x14="http://schemas.microsoft.com/office/spreadsheetml/2009/9/main" uri="{B025F937-C7B1-47D3-B67F-A62EFF666E3E}">
          <x14:id>{71DD8E0D-531F-4234-9885-43EEF3243B78}</x14:id>
        </ext>
      </extLst>
    </cfRule>
    <cfRule type="iconSet" priority="5889">
      <iconSet iconSet="3Arrows">
        <cfvo type="percent" val="0"/>
        <cfvo type="num" val="0.7"/>
        <cfvo type="num" val="1"/>
      </iconSet>
    </cfRule>
  </conditionalFormatting>
  <conditionalFormatting sqref="N306">
    <cfRule type="dataBar" priority="5888">
      <dataBar>
        <cfvo type="num" val="0"/>
        <cfvo type="num" val="1"/>
        <color theme="4" tint="0.79998168889431442"/>
      </dataBar>
      <extLst>
        <ext xmlns:x14="http://schemas.microsoft.com/office/spreadsheetml/2009/9/main" uri="{B025F937-C7B1-47D3-B67F-A62EFF666E3E}">
          <x14:id>{AC93E9C9-C27A-471A-A6DC-8E7845F69FB0}</x14:id>
        </ext>
      </extLst>
    </cfRule>
    <cfRule type="iconSet" priority="5887">
      <iconSet iconSet="3Arrows">
        <cfvo type="percent" val="0"/>
        <cfvo type="num" val="0.7"/>
        <cfvo type="num" val="1"/>
      </iconSet>
    </cfRule>
  </conditionalFormatting>
  <conditionalFormatting sqref="N310">
    <cfRule type="dataBar" priority="5886">
      <dataBar>
        <cfvo type="num" val="0"/>
        <cfvo type="num" val="1"/>
        <color theme="4" tint="0.79998168889431442"/>
      </dataBar>
      <extLst>
        <ext xmlns:x14="http://schemas.microsoft.com/office/spreadsheetml/2009/9/main" uri="{B025F937-C7B1-47D3-B67F-A62EFF666E3E}">
          <x14:id>{64C78A4E-C0F6-4BE1-8D9D-81A2DA01B8D1}</x14:id>
        </ext>
      </extLst>
    </cfRule>
    <cfRule type="iconSet" priority="5885">
      <iconSet iconSet="3Arrows">
        <cfvo type="percent" val="0"/>
        <cfvo type="num" val="0.7"/>
        <cfvo type="num" val="1"/>
      </iconSet>
    </cfRule>
  </conditionalFormatting>
  <conditionalFormatting sqref="N312">
    <cfRule type="dataBar" priority="5884">
      <dataBar>
        <cfvo type="num" val="0"/>
        <cfvo type="num" val="1"/>
        <color theme="4" tint="0.79998168889431442"/>
      </dataBar>
      <extLst>
        <ext xmlns:x14="http://schemas.microsoft.com/office/spreadsheetml/2009/9/main" uri="{B025F937-C7B1-47D3-B67F-A62EFF666E3E}">
          <x14:id>{4D542499-F648-4F6D-BCF7-7FD9C7E47A6F}</x14:id>
        </ext>
      </extLst>
    </cfRule>
    <cfRule type="iconSet" priority="5883">
      <iconSet iconSet="3Arrows">
        <cfvo type="percent" val="0"/>
        <cfvo type="num" val="0.7"/>
        <cfvo type="num" val="1"/>
      </iconSet>
    </cfRule>
  </conditionalFormatting>
  <conditionalFormatting sqref="N314">
    <cfRule type="dataBar" priority="5882">
      <dataBar>
        <cfvo type="num" val="0"/>
        <cfvo type="num" val="1"/>
        <color theme="4" tint="0.79998168889431442"/>
      </dataBar>
      <extLst>
        <ext xmlns:x14="http://schemas.microsoft.com/office/spreadsheetml/2009/9/main" uri="{B025F937-C7B1-47D3-B67F-A62EFF666E3E}">
          <x14:id>{9BDCCD39-A928-42BD-A3D9-3E312FFCBF60}</x14:id>
        </ext>
      </extLst>
    </cfRule>
    <cfRule type="iconSet" priority="5881">
      <iconSet iconSet="3Arrows">
        <cfvo type="percent" val="0"/>
        <cfvo type="num" val="0.7"/>
        <cfvo type="num" val="1"/>
      </iconSet>
    </cfRule>
  </conditionalFormatting>
  <conditionalFormatting sqref="N316">
    <cfRule type="dataBar" priority="5880">
      <dataBar>
        <cfvo type="num" val="0"/>
        <cfvo type="num" val="1"/>
        <color theme="4" tint="0.79998168889431442"/>
      </dataBar>
      <extLst>
        <ext xmlns:x14="http://schemas.microsoft.com/office/spreadsheetml/2009/9/main" uri="{B025F937-C7B1-47D3-B67F-A62EFF666E3E}">
          <x14:id>{BA3AD02A-017A-4FE4-95B0-61A7EDA7C2BE}</x14:id>
        </ext>
      </extLst>
    </cfRule>
    <cfRule type="iconSet" priority="5879">
      <iconSet iconSet="3Arrows">
        <cfvo type="percent" val="0"/>
        <cfvo type="num" val="0.7"/>
        <cfvo type="num" val="1"/>
      </iconSet>
    </cfRule>
  </conditionalFormatting>
  <conditionalFormatting sqref="N318">
    <cfRule type="dataBar" priority="5878">
      <dataBar>
        <cfvo type="num" val="0"/>
        <cfvo type="num" val="1"/>
        <color theme="4" tint="0.79998168889431442"/>
      </dataBar>
      <extLst>
        <ext xmlns:x14="http://schemas.microsoft.com/office/spreadsheetml/2009/9/main" uri="{B025F937-C7B1-47D3-B67F-A62EFF666E3E}">
          <x14:id>{EAB7AB20-1FBA-4BFA-B3E1-AB778CB85EF8}</x14:id>
        </ext>
      </extLst>
    </cfRule>
    <cfRule type="iconSet" priority="5877">
      <iconSet iconSet="3Arrows">
        <cfvo type="percent" val="0"/>
        <cfvo type="num" val="0.7"/>
        <cfvo type="num" val="1"/>
      </iconSet>
    </cfRule>
  </conditionalFormatting>
  <conditionalFormatting sqref="N320">
    <cfRule type="dataBar" priority="5876">
      <dataBar>
        <cfvo type="num" val="0"/>
        <cfvo type="num" val="1"/>
        <color theme="4" tint="0.79998168889431442"/>
      </dataBar>
      <extLst>
        <ext xmlns:x14="http://schemas.microsoft.com/office/spreadsheetml/2009/9/main" uri="{B025F937-C7B1-47D3-B67F-A62EFF666E3E}">
          <x14:id>{9EAB437A-B379-4DF0-84B0-5AE6822A115A}</x14:id>
        </ext>
      </extLst>
    </cfRule>
    <cfRule type="iconSet" priority="5875">
      <iconSet iconSet="3Arrows">
        <cfvo type="percent" val="0"/>
        <cfvo type="num" val="0.7"/>
        <cfvo type="num" val="1"/>
      </iconSet>
    </cfRule>
  </conditionalFormatting>
  <conditionalFormatting sqref="N322">
    <cfRule type="dataBar" priority="5874">
      <dataBar>
        <cfvo type="num" val="0"/>
        <cfvo type="num" val="1"/>
        <color theme="4" tint="0.79998168889431442"/>
      </dataBar>
      <extLst>
        <ext xmlns:x14="http://schemas.microsoft.com/office/spreadsheetml/2009/9/main" uri="{B025F937-C7B1-47D3-B67F-A62EFF666E3E}">
          <x14:id>{009DD8CF-BECA-4767-B68C-D196407FC6F3}</x14:id>
        </ext>
      </extLst>
    </cfRule>
    <cfRule type="iconSet" priority="5873">
      <iconSet iconSet="3Arrows">
        <cfvo type="percent" val="0"/>
        <cfvo type="num" val="0.7"/>
        <cfvo type="num" val="1"/>
      </iconSet>
    </cfRule>
  </conditionalFormatting>
  <conditionalFormatting sqref="N324">
    <cfRule type="dataBar" priority="5872">
      <dataBar>
        <cfvo type="num" val="0"/>
        <cfvo type="num" val="1"/>
        <color theme="4" tint="0.79998168889431442"/>
      </dataBar>
      <extLst>
        <ext xmlns:x14="http://schemas.microsoft.com/office/spreadsheetml/2009/9/main" uri="{B025F937-C7B1-47D3-B67F-A62EFF666E3E}">
          <x14:id>{5A3174A9-BCCA-4402-9F4C-B0B7AF4D4A09}</x14:id>
        </ext>
      </extLst>
    </cfRule>
    <cfRule type="iconSet" priority="5871">
      <iconSet iconSet="3Arrows">
        <cfvo type="percent" val="0"/>
        <cfvo type="num" val="0.7"/>
        <cfvo type="num" val="1"/>
      </iconSet>
    </cfRule>
  </conditionalFormatting>
  <conditionalFormatting sqref="N326">
    <cfRule type="dataBar" priority="5870">
      <dataBar>
        <cfvo type="num" val="0"/>
        <cfvo type="num" val="1"/>
        <color theme="4" tint="0.79998168889431442"/>
      </dataBar>
      <extLst>
        <ext xmlns:x14="http://schemas.microsoft.com/office/spreadsheetml/2009/9/main" uri="{B025F937-C7B1-47D3-B67F-A62EFF666E3E}">
          <x14:id>{B1C7A4F6-8755-455F-9E16-E6C12FBE2818}</x14:id>
        </ext>
      </extLst>
    </cfRule>
    <cfRule type="iconSet" priority="5869">
      <iconSet iconSet="3Arrows">
        <cfvo type="percent" val="0"/>
        <cfvo type="num" val="0.7"/>
        <cfvo type="num" val="1"/>
      </iconSet>
    </cfRule>
  </conditionalFormatting>
  <conditionalFormatting sqref="N328">
    <cfRule type="dataBar" priority="5868">
      <dataBar>
        <cfvo type="num" val="0"/>
        <cfvo type="num" val="1"/>
        <color theme="4" tint="0.79998168889431442"/>
      </dataBar>
      <extLst>
        <ext xmlns:x14="http://schemas.microsoft.com/office/spreadsheetml/2009/9/main" uri="{B025F937-C7B1-47D3-B67F-A62EFF666E3E}">
          <x14:id>{87B83297-6454-448F-B4CC-EBB317C0D080}</x14:id>
        </ext>
      </extLst>
    </cfRule>
    <cfRule type="iconSet" priority="5867">
      <iconSet iconSet="3Arrows">
        <cfvo type="percent" val="0"/>
        <cfvo type="num" val="0.7"/>
        <cfvo type="num" val="1"/>
      </iconSet>
    </cfRule>
  </conditionalFormatting>
  <conditionalFormatting sqref="N330">
    <cfRule type="iconSet" priority="5865">
      <iconSet iconSet="3Arrows">
        <cfvo type="percent" val="0"/>
        <cfvo type="num" val="0.7"/>
        <cfvo type="num" val="1"/>
      </iconSet>
    </cfRule>
    <cfRule type="dataBar" priority="5866">
      <dataBar>
        <cfvo type="num" val="0"/>
        <cfvo type="num" val="1"/>
        <color theme="4" tint="0.79998168889431442"/>
      </dataBar>
      <extLst>
        <ext xmlns:x14="http://schemas.microsoft.com/office/spreadsheetml/2009/9/main" uri="{B025F937-C7B1-47D3-B67F-A62EFF666E3E}">
          <x14:id>{D333CB0D-DEA9-4C9B-9178-5BB86693516B}</x14:id>
        </ext>
      </extLst>
    </cfRule>
  </conditionalFormatting>
  <conditionalFormatting sqref="N332">
    <cfRule type="iconSet" priority="5863">
      <iconSet iconSet="3Arrows">
        <cfvo type="percent" val="0"/>
        <cfvo type="num" val="0.7"/>
        <cfvo type="num" val="1"/>
      </iconSet>
    </cfRule>
    <cfRule type="dataBar" priority="5864">
      <dataBar>
        <cfvo type="num" val="0"/>
        <cfvo type="num" val="1"/>
        <color theme="4" tint="0.79998168889431442"/>
      </dataBar>
      <extLst>
        <ext xmlns:x14="http://schemas.microsoft.com/office/spreadsheetml/2009/9/main" uri="{B025F937-C7B1-47D3-B67F-A62EFF666E3E}">
          <x14:id>{616B8A3C-3418-4465-B625-7F97DC688FC9}</x14:id>
        </ext>
      </extLst>
    </cfRule>
  </conditionalFormatting>
  <conditionalFormatting sqref="N334">
    <cfRule type="dataBar" priority="5862">
      <dataBar>
        <cfvo type="num" val="0"/>
        <cfvo type="num" val="1"/>
        <color theme="4" tint="0.79998168889431442"/>
      </dataBar>
      <extLst>
        <ext xmlns:x14="http://schemas.microsoft.com/office/spreadsheetml/2009/9/main" uri="{B025F937-C7B1-47D3-B67F-A62EFF666E3E}">
          <x14:id>{82CC8961-33F7-44EA-A8C2-1FC82C2C00E1}</x14:id>
        </ext>
      </extLst>
    </cfRule>
    <cfRule type="iconSet" priority="5861">
      <iconSet iconSet="3Arrows">
        <cfvo type="percent" val="0"/>
        <cfvo type="num" val="0.7"/>
        <cfvo type="num" val="1"/>
      </iconSet>
    </cfRule>
  </conditionalFormatting>
  <conditionalFormatting sqref="N336">
    <cfRule type="dataBar" priority="5860">
      <dataBar>
        <cfvo type="num" val="0"/>
        <cfvo type="num" val="1"/>
        <color theme="4" tint="0.79998168889431442"/>
      </dataBar>
      <extLst>
        <ext xmlns:x14="http://schemas.microsoft.com/office/spreadsheetml/2009/9/main" uri="{B025F937-C7B1-47D3-B67F-A62EFF666E3E}">
          <x14:id>{EC1F902D-4F9A-47DF-8A15-B021F47F408C}</x14:id>
        </ext>
      </extLst>
    </cfRule>
    <cfRule type="iconSet" priority="5859">
      <iconSet iconSet="3Arrows">
        <cfvo type="percent" val="0"/>
        <cfvo type="num" val="0.7"/>
        <cfvo type="num" val="1"/>
      </iconSet>
    </cfRule>
  </conditionalFormatting>
  <conditionalFormatting sqref="N338">
    <cfRule type="dataBar" priority="5858">
      <dataBar>
        <cfvo type="num" val="0"/>
        <cfvo type="num" val="1"/>
        <color theme="4" tint="0.79998168889431442"/>
      </dataBar>
      <extLst>
        <ext xmlns:x14="http://schemas.microsoft.com/office/spreadsheetml/2009/9/main" uri="{B025F937-C7B1-47D3-B67F-A62EFF666E3E}">
          <x14:id>{0E70A46E-7AEA-4D2A-ABEC-1D94745852CC}</x14:id>
        </ext>
      </extLst>
    </cfRule>
    <cfRule type="iconSet" priority="5857">
      <iconSet iconSet="3Arrows">
        <cfvo type="percent" val="0"/>
        <cfvo type="num" val="0.7"/>
        <cfvo type="num" val="1"/>
      </iconSet>
    </cfRule>
  </conditionalFormatting>
  <conditionalFormatting sqref="N340">
    <cfRule type="dataBar" priority="5856">
      <dataBar>
        <cfvo type="num" val="0"/>
        <cfvo type="num" val="1"/>
        <color theme="4" tint="0.79998168889431442"/>
      </dataBar>
      <extLst>
        <ext xmlns:x14="http://schemas.microsoft.com/office/spreadsheetml/2009/9/main" uri="{B025F937-C7B1-47D3-B67F-A62EFF666E3E}">
          <x14:id>{11A99623-348F-4A09-987A-876290DA3087}</x14:id>
        </ext>
      </extLst>
    </cfRule>
    <cfRule type="iconSet" priority="5855">
      <iconSet iconSet="3Arrows">
        <cfvo type="percent" val="0"/>
        <cfvo type="num" val="0.7"/>
        <cfvo type="num" val="1"/>
      </iconSet>
    </cfRule>
  </conditionalFormatting>
  <conditionalFormatting sqref="N342">
    <cfRule type="dataBar" priority="5854">
      <dataBar>
        <cfvo type="num" val="0"/>
        <cfvo type="num" val="1"/>
        <color theme="4" tint="0.79998168889431442"/>
      </dataBar>
      <extLst>
        <ext xmlns:x14="http://schemas.microsoft.com/office/spreadsheetml/2009/9/main" uri="{B025F937-C7B1-47D3-B67F-A62EFF666E3E}">
          <x14:id>{FB968F2C-992F-49E1-9BF1-59DEC9D29D35}</x14:id>
        </ext>
      </extLst>
    </cfRule>
    <cfRule type="iconSet" priority="5853">
      <iconSet iconSet="3Arrows">
        <cfvo type="percent" val="0"/>
        <cfvo type="num" val="0.7"/>
        <cfvo type="num" val="1"/>
      </iconSet>
    </cfRule>
  </conditionalFormatting>
  <conditionalFormatting sqref="N344">
    <cfRule type="dataBar" priority="5852">
      <dataBar>
        <cfvo type="num" val="0"/>
        <cfvo type="num" val="1"/>
        <color theme="4" tint="0.79998168889431442"/>
      </dataBar>
      <extLst>
        <ext xmlns:x14="http://schemas.microsoft.com/office/spreadsheetml/2009/9/main" uri="{B025F937-C7B1-47D3-B67F-A62EFF666E3E}">
          <x14:id>{72179224-CA15-4061-9708-0BD6B1A08311}</x14:id>
        </ext>
      </extLst>
    </cfRule>
    <cfRule type="iconSet" priority="5851">
      <iconSet iconSet="3Arrows">
        <cfvo type="percent" val="0"/>
        <cfvo type="num" val="0.7"/>
        <cfvo type="num" val="1"/>
      </iconSet>
    </cfRule>
  </conditionalFormatting>
  <conditionalFormatting sqref="N346">
    <cfRule type="dataBar" priority="5850">
      <dataBar>
        <cfvo type="num" val="0"/>
        <cfvo type="num" val="1"/>
        <color theme="4" tint="0.79998168889431442"/>
      </dataBar>
      <extLst>
        <ext xmlns:x14="http://schemas.microsoft.com/office/spreadsheetml/2009/9/main" uri="{B025F937-C7B1-47D3-B67F-A62EFF666E3E}">
          <x14:id>{E13681E5-D8E3-489B-9EAC-EA3C46B2136D}</x14:id>
        </ext>
      </extLst>
    </cfRule>
    <cfRule type="iconSet" priority="5849">
      <iconSet iconSet="3Arrows">
        <cfvo type="percent" val="0"/>
        <cfvo type="num" val="0.7"/>
        <cfvo type="num" val="1"/>
      </iconSet>
    </cfRule>
  </conditionalFormatting>
  <conditionalFormatting sqref="N348">
    <cfRule type="dataBar" priority="5848">
      <dataBar>
        <cfvo type="num" val="0"/>
        <cfvo type="num" val="1"/>
        <color theme="4" tint="0.79998168889431442"/>
      </dataBar>
      <extLst>
        <ext xmlns:x14="http://schemas.microsoft.com/office/spreadsheetml/2009/9/main" uri="{B025F937-C7B1-47D3-B67F-A62EFF666E3E}">
          <x14:id>{DDBF66AB-EA56-418F-93AB-F0F568D0DE7D}</x14:id>
        </ext>
      </extLst>
    </cfRule>
    <cfRule type="iconSet" priority="5847">
      <iconSet iconSet="3Arrows">
        <cfvo type="percent" val="0"/>
        <cfvo type="num" val="0.7"/>
        <cfvo type="num" val="1"/>
      </iconSet>
    </cfRule>
  </conditionalFormatting>
  <conditionalFormatting sqref="N350">
    <cfRule type="dataBar" priority="5846">
      <dataBar>
        <cfvo type="num" val="0"/>
        <cfvo type="num" val="1"/>
        <color theme="4" tint="0.79998168889431442"/>
      </dataBar>
      <extLst>
        <ext xmlns:x14="http://schemas.microsoft.com/office/spreadsheetml/2009/9/main" uri="{B025F937-C7B1-47D3-B67F-A62EFF666E3E}">
          <x14:id>{AB632B7E-7658-4E2F-88EA-468A9ADEBDEE}</x14:id>
        </ext>
      </extLst>
    </cfRule>
    <cfRule type="iconSet" priority="5845">
      <iconSet iconSet="3Arrows">
        <cfvo type="percent" val="0"/>
        <cfvo type="num" val="0.7"/>
        <cfvo type="num" val="1"/>
      </iconSet>
    </cfRule>
  </conditionalFormatting>
  <conditionalFormatting sqref="N352">
    <cfRule type="dataBar" priority="5844">
      <dataBar>
        <cfvo type="num" val="0"/>
        <cfvo type="num" val="1"/>
        <color theme="4" tint="0.79998168889431442"/>
      </dataBar>
      <extLst>
        <ext xmlns:x14="http://schemas.microsoft.com/office/spreadsheetml/2009/9/main" uri="{B025F937-C7B1-47D3-B67F-A62EFF666E3E}">
          <x14:id>{E71C6AB7-F433-48FD-A9E5-80187FB1FB30}</x14:id>
        </ext>
      </extLst>
    </cfRule>
    <cfRule type="iconSet" priority="5843">
      <iconSet iconSet="3Arrows">
        <cfvo type="percent" val="0"/>
        <cfvo type="num" val="0.7"/>
        <cfvo type="num" val="1"/>
      </iconSet>
    </cfRule>
  </conditionalFormatting>
  <conditionalFormatting sqref="N354">
    <cfRule type="dataBar" priority="5842">
      <dataBar>
        <cfvo type="num" val="0"/>
        <cfvo type="num" val="1"/>
        <color theme="4" tint="0.79998168889431442"/>
      </dataBar>
      <extLst>
        <ext xmlns:x14="http://schemas.microsoft.com/office/spreadsheetml/2009/9/main" uri="{B025F937-C7B1-47D3-B67F-A62EFF666E3E}">
          <x14:id>{012A11D5-DF10-475F-B860-A68F8406C331}</x14:id>
        </ext>
      </extLst>
    </cfRule>
    <cfRule type="iconSet" priority="5841">
      <iconSet iconSet="3Arrows">
        <cfvo type="percent" val="0"/>
        <cfvo type="num" val="0.7"/>
        <cfvo type="num" val="1"/>
      </iconSet>
    </cfRule>
  </conditionalFormatting>
  <conditionalFormatting sqref="N356">
    <cfRule type="dataBar" priority="5840">
      <dataBar>
        <cfvo type="num" val="0"/>
        <cfvo type="num" val="1"/>
        <color theme="4" tint="0.79998168889431442"/>
      </dataBar>
      <extLst>
        <ext xmlns:x14="http://schemas.microsoft.com/office/spreadsheetml/2009/9/main" uri="{B025F937-C7B1-47D3-B67F-A62EFF666E3E}">
          <x14:id>{201056F0-E50C-4961-A0BB-E83BE595B3C6}</x14:id>
        </ext>
      </extLst>
    </cfRule>
    <cfRule type="iconSet" priority="5839">
      <iconSet iconSet="3Arrows">
        <cfvo type="percent" val="0"/>
        <cfvo type="num" val="0.7"/>
        <cfvo type="num" val="1"/>
      </iconSet>
    </cfRule>
  </conditionalFormatting>
  <conditionalFormatting sqref="N358">
    <cfRule type="iconSet" priority="5837">
      <iconSet iconSet="3Arrows">
        <cfvo type="percent" val="0"/>
        <cfvo type="num" val="0.7"/>
        <cfvo type="num" val="1"/>
      </iconSet>
    </cfRule>
    <cfRule type="dataBar" priority="5838">
      <dataBar>
        <cfvo type="num" val="0"/>
        <cfvo type="num" val="1"/>
        <color theme="4" tint="0.79998168889431442"/>
      </dataBar>
      <extLst>
        <ext xmlns:x14="http://schemas.microsoft.com/office/spreadsheetml/2009/9/main" uri="{B025F937-C7B1-47D3-B67F-A62EFF666E3E}">
          <x14:id>{05C6E22E-F9E1-4D1E-B05F-962C0809A97C}</x14:id>
        </ext>
      </extLst>
    </cfRule>
  </conditionalFormatting>
  <conditionalFormatting sqref="N360">
    <cfRule type="iconSet" priority="5835">
      <iconSet iconSet="3Arrows">
        <cfvo type="percent" val="0"/>
        <cfvo type="num" val="0.7"/>
        <cfvo type="num" val="1"/>
      </iconSet>
    </cfRule>
    <cfRule type="dataBar" priority="5836">
      <dataBar>
        <cfvo type="num" val="0"/>
        <cfvo type="num" val="1"/>
        <color theme="4" tint="0.79998168889431442"/>
      </dataBar>
      <extLst>
        <ext xmlns:x14="http://schemas.microsoft.com/office/spreadsheetml/2009/9/main" uri="{B025F937-C7B1-47D3-B67F-A62EFF666E3E}">
          <x14:id>{E907FABF-7870-47FD-881B-6F2977674527}</x14:id>
        </ext>
      </extLst>
    </cfRule>
  </conditionalFormatting>
  <conditionalFormatting sqref="N362">
    <cfRule type="iconSet" priority="5833">
      <iconSet iconSet="3Arrows">
        <cfvo type="percent" val="0"/>
        <cfvo type="num" val="0.7"/>
        <cfvo type="num" val="1"/>
      </iconSet>
    </cfRule>
    <cfRule type="dataBar" priority="5834">
      <dataBar>
        <cfvo type="num" val="0"/>
        <cfvo type="num" val="1"/>
        <color theme="4" tint="0.79998168889431442"/>
      </dataBar>
      <extLst>
        <ext xmlns:x14="http://schemas.microsoft.com/office/spreadsheetml/2009/9/main" uri="{B025F937-C7B1-47D3-B67F-A62EFF666E3E}">
          <x14:id>{C15D9D83-FED5-493F-A415-37212B575B49}</x14:id>
        </ext>
      </extLst>
    </cfRule>
  </conditionalFormatting>
  <conditionalFormatting sqref="N365">
    <cfRule type="dataBar" priority="5832">
      <dataBar>
        <cfvo type="num" val="0"/>
        <cfvo type="num" val="1"/>
        <color theme="4" tint="0.79998168889431442"/>
      </dataBar>
      <extLst>
        <ext xmlns:x14="http://schemas.microsoft.com/office/spreadsheetml/2009/9/main" uri="{B025F937-C7B1-47D3-B67F-A62EFF666E3E}">
          <x14:id>{A899917B-F7D2-4E86-9F37-F25CCA307E53}</x14:id>
        </ext>
      </extLst>
    </cfRule>
    <cfRule type="iconSet" priority="5831">
      <iconSet iconSet="3Arrows">
        <cfvo type="percent" val="0"/>
        <cfvo type="num" val="0.7"/>
        <cfvo type="num" val="1"/>
      </iconSet>
    </cfRule>
  </conditionalFormatting>
  <conditionalFormatting sqref="N369">
    <cfRule type="dataBar" priority="5830">
      <dataBar>
        <cfvo type="num" val="0"/>
        <cfvo type="num" val="1"/>
        <color theme="4" tint="0.79998168889431442"/>
      </dataBar>
      <extLst>
        <ext xmlns:x14="http://schemas.microsoft.com/office/spreadsheetml/2009/9/main" uri="{B025F937-C7B1-47D3-B67F-A62EFF666E3E}">
          <x14:id>{11DE122B-F493-44D9-910B-71C032D2525F}</x14:id>
        </ext>
      </extLst>
    </cfRule>
    <cfRule type="iconSet" priority="5829">
      <iconSet iconSet="3Arrows">
        <cfvo type="percent" val="0"/>
        <cfvo type="num" val="0.7"/>
        <cfvo type="num" val="1"/>
      </iconSet>
    </cfRule>
  </conditionalFormatting>
  <conditionalFormatting sqref="N371">
    <cfRule type="dataBar" priority="5828">
      <dataBar>
        <cfvo type="num" val="0"/>
        <cfvo type="num" val="1"/>
        <color theme="4" tint="0.79998168889431442"/>
      </dataBar>
      <extLst>
        <ext xmlns:x14="http://schemas.microsoft.com/office/spreadsheetml/2009/9/main" uri="{B025F937-C7B1-47D3-B67F-A62EFF666E3E}">
          <x14:id>{C2A8CE94-3C1C-4B3A-9AEE-C0D63473BCD4}</x14:id>
        </ext>
      </extLst>
    </cfRule>
    <cfRule type="iconSet" priority="5827">
      <iconSet iconSet="3Arrows">
        <cfvo type="percent" val="0"/>
        <cfvo type="num" val="0.7"/>
        <cfvo type="num" val="1"/>
      </iconSet>
    </cfRule>
  </conditionalFormatting>
  <conditionalFormatting sqref="N373">
    <cfRule type="dataBar" priority="5826">
      <dataBar>
        <cfvo type="num" val="0"/>
        <cfvo type="num" val="1"/>
        <color theme="4" tint="0.79998168889431442"/>
      </dataBar>
      <extLst>
        <ext xmlns:x14="http://schemas.microsoft.com/office/spreadsheetml/2009/9/main" uri="{B025F937-C7B1-47D3-B67F-A62EFF666E3E}">
          <x14:id>{145D0BF0-BFE9-4053-9F43-169E9E87AC38}</x14:id>
        </ext>
      </extLst>
    </cfRule>
    <cfRule type="iconSet" priority="5825">
      <iconSet iconSet="3Arrows">
        <cfvo type="percent" val="0"/>
        <cfvo type="num" val="0.7"/>
        <cfvo type="num" val="1"/>
      </iconSet>
    </cfRule>
  </conditionalFormatting>
  <conditionalFormatting sqref="N375">
    <cfRule type="dataBar" priority="5824">
      <dataBar>
        <cfvo type="num" val="0"/>
        <cfvo type="num" val="1"/>
        <color theme="4" tint="0.79998168889431442"/>
      </dataBar>
      <extLst>
        <ext xmlns:x14="http://schemas.microsoft.com/office/spreadsheetml/2009/9/main" uri="{B025F937-C7B1-47D3-B67F-A62EFF666E3E}">
          <x14:id>{EBDAFBA9-9BE9-4112-A8CF-FA50FF678288}</x14:id>
        </ext>
      </extLst>
    </cfRule>
    <cfRule type="iconSet" priority="5823">
      <iconSet iconSet="3Arrows">
        <cfvo type="percent" val="0"/>
        <cfvo type="num" val="0.7"/>
        <cfvo type="num" val="1"/>
      </iconSet>
    </cfRule>
  </conditionalFormatting>
  <conditionalFormatting sqref="N377">
    <cfRule type="dataBar" priority="5822">
      <dataBar>
        <cfvo type="num" val="0"/>
        <cfvo type="num" val="1"/>
        <color theme="4" tint="0.79998168889431442"/>
      </dataBar>
      <extLst>
        <ext xmlns:x14="http://schemas.microsoft.com/office/spreadsheetml/2009/9/main" uri="{B025F937-C7B1-47D3-B67F-A62EFF666E3E}">
          <x14:id>{624B9593-9914-4FDA-9BC7-65432A1F0676}</x14:id>
        </ext>
      </extLst>
    </cfRule>
    <cfRule type="iconSet" priority="5821">
      <iconSet iconSet="3Arrows">
        <cfvo type="percent" val="0"/>
        <cfvo type="num" val="0.7"/>
        <cfvo type="num" val="1"/>
      </iconSet>
    </cfRule>
  </conditionalFormatting>
  <conditionalFormatting sqref="N380">
    <cfRule type="dataBar" priority="5820">
      <dataBar>
        <cfvo type="num" val="0"/>
        <cfvo type="num" val="1"/>
        <color theme="4" tint="0.79998168889431442"/>
      </dataBar>
      <extLst>
        <ext xmlns:x14="http://schemas.microsoft.com/office/spreadsheetml/2009/9/main" uri="{B025F937-C7B1-47D3-B67F-A62EFF666E3E}">
          <x14:id>{CCF35C17-A8D9-4DAB-B662-7A9B571F9CF8}</x14:id>
        </ext>
      </extLst>
    </cfRule>
    <cfRule type="iconSet" priority="5819">
      <iconSet iconSet="3Arrows">
        <cfvo type="percent" val="0"/>
        <cfvo type="num" val="0.7"/>
        <cfvo type="num" val="1"/>
      </iconSet>
    </cfRule>
  </conditionalFormatting>
  <conditionalFormatting sqref="N382">
    <cfRule type="dataBar" priority="5818">
      <dataBar>
        <cfvo type="num" val="0"/>
        <cfvo type="num" val="1"/>
        <color theme="4" tint="0.79998168889431442"/>
      </dataBar>
      <extLst>
        <ext xmlns:x14="http://schemas.microsoft.com/office/spreadsheetml/2009/9/main" uri="{B025F937-C7B1-47D3-B67F-A62EFF666E3E}">
          <x14:id>{A9BA8D5D-2B91-488F-8669-5FF9082C2B89}</x14:id>
        </ext>
      </extLst>
    </cfRule>
    <cfRule type="iconSet" priority="5817">
      <iconSet iconSet="3Arrows">
        <cfvo type="percent" val="0"/>
        <cfvo type="num" val="0.7"/>
        <cfvo type="num" val="1"/>
      </iconSet>
    </cfRule>
  </conditionalFormatting>
  <conditionalFormatting sqref="N384">
    <cfRule type="iconSet" priority="5815">
      <iconSet iconSet="3Arrows">
        <cfvo type="percent" val="0"/>
        <cfvo type="num" val="0.7"/>
        <cfvo type="num" val="1"/>
      </iconSet>
    </cfRule>
    <cfRule type="dataBar" priority="5816">
      <dataBar>
        <cfvo type="num" val="0"/>
        <cfvo type="num" val="1"/>
        <color theme="4" tint="0.79998168889431442"/>
      </dataBar>
      <extLst>
        <ext xmlns:x14="http://schemas.microsoft.com/office/spreadsheetml/2009/9/main" uri="{B025F937-C7B1-47D3-B67F-A62EFF666E3E}">
          <x14:id>{4D950334-7D73-47CE-9AE6-3BA73A0782CE}</x14:id>
        </ext>
      </extLst>
    </cfRule>
  </conditionalFormatting>
  <conditionalFormatting sqref="N386">
    <cfRule type="dataBar" priority="5814">
      <dataBar>
        <cfvo type="num" val="0"/>
        <cfvo type="num" val="1"/>
        <color theme="4" tint="0.79998168889431442"/>
      </dataBar>
      <extLst>
        <ext xmlns:x14="http://schemas.microsoft.com/office/spreadsheetml/2009/9/main" uri="{B025F937-C7B1-47D3-B67F-A62EFF666E3E}">
          <x14:id>{01357EFB-9800-4362-81FC-9548B318F0B8}</x14:id>
        </ext>
      </extLst>
    </cfRule>
    <cfRule type="iconSet" priority="5813">
      <iconSet iconSet="3Arrows">
        <cfvo type="percent" val="0"/>
        <cfvo type="num" val="0.7"/>
        <cfvo type="num" val="1"/>
      </iconSet>
    </cfRule>
  </conditionalFormatting>
  <conditionalFormatting sqref="N388">
    <cfRule type="dataBar" priority="5812">
      <dataBar>
        <cfvo type="num" val="0"/>
        <cfvo type="num" val="1"/>
        <color theme="4" tint="0.79998168889431442"/>
      </dataBar>
      <extLst>
        <ext xmlns:x14="http://schemas.microsoft.com/office/spreadsheetml/2009/9/main" uri="{B025F937-C7B1-47D3-B67F-A62EFF666E3E}">
          <x14:id>{C94E8194-7CD5-4BE3-AEA5-D189F5F58D9B}</x14:id>
        </ext>
      </extLst>
    </cfRule>
    <cfRule type="iconSet" priority="5811">
      <iconSet iconSet="3Arrows">
        <cfvo type="percent" val="0"/>
        <cfvo type="num" val="0.7"/>
        <cfvo type="num" val="1"/>
      </iconSet>
    </cfRule>
  </conditionalFormatting>
  <conditionalFormatting sqref="N390">
    <cfRule type="dataBar" priority="5810">
      <dataBar>
        <cfvo type="num" val="0"/>
        <cfvo type="num" val="1"/>
        <color theme="4" tint="0.79998168889431442"/>
      </dataBar>
      <extLst>
        <ext xmlns:x14="http://schemas.microsoft.com/office/spreadsheetml/2009/9/main" uri="{B025F937-C7B1-47D3-B67F-A62EFF666E3E}">
          <x14:id>{4064BF71-5E77-44CC-94F2-67836DBEABEC}</x14:id>
        </ext>
      </extLst>
    </cfRule>
    <cfRule type="iconSet" priority="5809">
      <iconSet iconSet="3Arrows">
        <cfvo type="percent" val="0"/>
        <cfvo type="num" val="0.7"/>
        <cfvo type="num" val="1"/>
      </iconSet>
    </cfRule>
  </conditionalFormatting>
  <conditionalFormatting sqref="N392">
    <cfRule type="dataBar" priority="5808">
      <dataBar>
        <cfvo type="num" val="0"/>
        <cfvo type="num" val="1"/>
        <color theme="4" tint="0.79998168889431442"/>
      </dataBar>
      <extLst>
        <ext xmlns:x14="http://schemas.microsoft.com/office/spreadsheetml/2009/9/main" uri="{B025F937-C7B1-47D3-B67F-A62EFF666E3E}">
          <x14:id>{73D0B1F9-5DE3-429A-97B3-379B24BE8265}</x14:id>
        </ext>
      </extLst>
    </cfRule>
    <cfRule type="iconSet" priority="5807">
      <iconSet iconSet="3Arrows">
        <cfvo type="percent" val="0"/>
        <cfvo type="num" val="0.7"/>
        <cfvo type="num" val="1"/>
      </iconSet>
    </cfRule>
  </conditionalFormatting>
  <conditionalFormatting sqref="N395">
    <cfRule type="dataBar" priority="5806">
      <dataBar>
        <cfvo type="num" val="0"/>
        <cfvo type="num" val="1"/>
        <color theme="4" tint="0.79998168889431442"/>
      </dataBar>
      <extLst>
        <ext xmlns:x14="http://schemas.microsoft.com/office/spreadsheetml/2009/9/main" uri="{B025F937-C7B1-47D3-B67F-A62EFF666E3E}">
          <x14:id>{7EDA5390-283B-4408-A403-807E72A79952}</x14:id>
        </ext>
      </extLst>
    </cfRule>
    <cfRule type="iconSet" priority="5805">
      <iconSet iconSet="3Arrows">
        <cfvo type="percent" val="0"/>
        <cfvo type="num" val="0.7"/>
        <cfvo type="num" val="1"/>
      </iconSet>
    </cfRule>
  </conditionalFormatting>
  <conditionalFormatting sqref="N397">
    <cfRule type="dataBar" priority="5804">
      <dataBar>
        <cfvo type="num" val="0"/>
        <cfvo type="num" val="1"/>
        <color theme="4" tint="0.79998168889431442"/>
      </dataBar>
      <extLst>
        <ext xmlns:x14="http://schemas.microsoft.com/office/spreadsheetml/2009/9/main" uri="{B025F937-C7B1-47D3-B67F-A62EFF666E3E}">
          <x14:id>{FD71A731-AAC2-4387-A24B-F728F6AC25D4}</x14:id>
        </ext>
      </extLst>
    </cfRule>
    <cfRule type="iconSet" priority="5803">
      <iconSet iconSet="3Arrows">
        <cfvo type="percent" val="0"/>
        <cfvo type="num" val="0.7"/>
        <cfvo type="num" val="1"/>
      </iconSet>
    </cfRule>
  </conditionalFormatting>
  <conditionalFormatting sqref="N399">
    <cfRule type="dataBar" priority="5802">
      <dataBar>
        <cfvo type="num" val="0"/>
        <cfvo type="num" val="1"/>
        <color theme="4" tint="0.79998168889431442"/>
      </dataBar>
      <extLst>
        <ext xmlns:x14="http://schemas.microsoft.com/office/spreadsheetml/2009/9/main" uri="{B025F937-C7B1-47D3-B67F-A62EFF666E3E}">
          <x14:id>{87737D41-E226-4501-B165-04F7E799227D}</x14:id>
        </ext>
      </extLst>
    </cfRule>
    <cfRule type="iconSet" priority="5801">
      <iconSet iconSet="3Arrows">
        <cfvo type="percent" val="0"/>
        <cfvo type="num" val="0.7"/>
        <cfvo type="num" val="1"/>
      </iconSet>
    </cfRule>
  </conditionalFormatting>
  <conditionalFormatting sqref="N401">
    <cfRule type="iconSet" priority="5799">
      <iconSet iconSet="3Arrows">
        <cfvo type="percent" val="0"/>
        <cfvo type="num" val="0.7"/>
        <cfvo type="num" val="1"/>
      </iconSet>
    </cfRule>
    <cfRule type="dataBar" priority="5800">
      <dataBar>
        <cfvo type="num" val="0"/>
        <cfvo type="num" val="1"/>
        <color theme="4" tint="0.79998168889431442"/>
      </dataBar>
      <extLst>
        <ext xmlns:x14="http://schemas.microsoft.com/office/spreadsheetml/2009/9/main" uri="{B025F937-C7B1-47D3-B67F-A62EFF666E3E}">
          <x14:id>{69DA33C8-1030-43E9-A912-57F5A94CB742}</x14:id>
        </ext>
      </extLst>
    </cfRule>
  </conditionalFormatting>
  <conditionalFormatting sqref="N404">
    <cfRule type="iconSet" priority="5797">
      <iconSet iconSet="3Arrows">
        <cfvo type="percent" val="0"/>
        <cfvo type="num" val="0.7"/>
        <cfvo type="num" val="1"/>
      </iconSet>
    </cfRule>
    <cfRule type="dataBar" priority="5798">
      <dataBar>
        <cfvo type="num" val="0"/>
        <cfvo type="num" val="1"/>
        <color theme="4" tint="0.79998168889431442"/>
      </dataBar>
      <extLst>
        <ext xmlns:x14="http://schemas.microsoft.com/office/spreadsheetml/2009/9/main" uri="{B025F937-C7B1-47D3-B67F-A62EFF666E3E}">
          <x14:id>{31FE50CE-66A0-4285-AA18-16944B0FF7D7}</x14:id>
        </ext>
      </extLst>
    </cfRule>
  </conditionalFormatting>
  <conditionalFormatting sqref="N406">
    <cfRule type="dataBar" priority="5796">
      <dataBar>
        <cfvo type="num" val="0"/>
        <cfvo type="num" val="1"/>
        <color theme="4" tint="0.79998168889431442"/>
      </dataBar>
      <extLst>
        <ext xmlns:x14="http://schemas.microsoft.com/office/spreadsheetml/2009/9/main" uri="{B025F937-C7B1-47D3-B67F-A62EFF666E3E}">
          <x14:id>{1C79C42F-8163-490D-BE3A-1EC28FF3CC8B}</x14:id>
        </ext>
      </extLst>
    </cfRule>
    <cfRule type="iconSet" priority="5795">
      <iconSet iconSet="3Arrows">
        <cfvo type="percent" val="0"/>
        <cfvo type="num" val="0.7"/>
        <cfvo type="num" val="1"/>
      </iconSet>
    </cfRule>
  </conditionalFormatting>
  <conditionalFormatting sqref="N412">
    <cfRule type="dataBar" priority="5794">
      <dataBar>
        <cfvo type="num" val="0"/>
        <cfvo type="num" val="1"/>
        <color theme="4" tint="0.79998168889431442"/>
      </dataBar>
      <extLst>
        <ext xmlns:x14="http://schemas.microsoft.com/office/spreadsheetml/2009/9/main" uri="{B025F937-C7B1-47D3-B67F-A62EFF666E3E}">
          <x14:id>{5F8BE5B3-2EF5-4885-9487-DD9AEA8036C1}</x14:id>
        </ext>
      </extLst>
    </cfRule>
    <cfRule type="iconSet" priority="5793">
      <iconSet iconSet="3Arrows">
        <cfvo type="percent" val="0"/>
        <cfvo type="num" val="0.7"/>
        <cfvo type="num" val="1"/>
      </iconSet>
    </cfRule>
  </conditionalFormatting>
  <conditionalFormatting sqref="N414">
    <cfRule type="dataBar" priority="5792">
      <dataBar>
        <cfvo type="num" val="0"/>
        <cfvo type="num" val="1"/>
        <color theme="4" tint="0.79998168889431442"/>
      </dataBar>
      <extLst>
        <ext xmlns:x14="http://schemas.microsoft.com/office/spreadsheetml/2009/9/main" uri="{B025F937-C7B1-47D3-B67F-A62EFF666E3E}">
          <x14:id>{497E062E-8EE9-42E5-B317-FE4FAD30A0FB}</x14:id>
        </ext>
      </extLst>
    </cfRule>
    <cfRule type="iconSet" priority="5791">
      <iconSet iconSet="3Arrows">
        <cfvo type="percent" val="0"/>
        <cfvo type="num" val="0.7"/>
        <cfvo type="num" val="1"/>
      </iconSet>
    </cfRule>
  </conditionalFormatting>
  <conditionalFormatting sqref="N416 N514 N418 N420 N452">
    <cfRule type="dataBar" priority="5750">
      <dataBar>
        <cfvo type="num" val="0"/>
        <cfvo type="num" val="1"/>
        <color theme="4" tint="0.79998168889431442"/>
      </dataBar>
      <extLst>
        <ext xmlns:x14="http://schemas.microsoft.com/office/spreadsheetml/2009/9/main" uri="{B025F937-C7B1-47D3-B67F-A62EFF666E3E}">
          <x14:id>{10B2FB76-A73E-49B1-B185-78DFDCDD5C40}</x14:id>
        </ext>
      </extLst>
    </cfRule>
    <cfRule type="iconSet" priority="5749">
      <iconSet iconSet="3Arrows">
        <cfvo type="percent" val="0"/>
        <cfvo type="num" val="0.7"/>
        <cfvo type="num" val="1"/>
      </iconSet>
    </cfRule>
  </conditionalFormatting>
  <conditionalFormatting sqref="N422">
    <cfRule type="dataBar" priority="5790">
      <dataBar>
        <cfvo type="num" val="0"/>
        <cfvo type="num" val="1"/>
        <color theme="4" tint="0.79998168889431442"/>
      </dataBar>
      <extLst>
        <ext xmlns:x14="http://schemas.microsoft.com/office/spreadsheetml/2009/9/main" uri="{B025F937-C7B1-47D3-B67F-A62EFF666E3E}">
          <x14:id>{5BCCEE09-C802-4BE9-A96E-3CFF8A605A8C}</x14:id>
        </ext>
      </extLst>
    </cfRule>
    <cfRule type="iconSet" priority="5789">
      <iconSet iconSet="3Arrows">
        <cfvo type="percent" val="0"/>
        <cfvo type="num" val="0.7"/>
        <cfvo type="num" val="1"/>
      </iconSet>
    </cfRule>
  </conditionalFormatting>
  <conditionalFormatting sqref="N424 N426 N428 N430">
    <cfRule type="dataBar" priority="5788">
      <dataBar>
        <cfvo type="num" val="0"/>
        <cfvo type="num" val="1"/>
        <color theme="4" tint="0.79998168889431442"/>
      </dataBar>
      <extLst>
        <ext xmlns:x14="http://schemas.microsoft.com/office/spreadsheetml/2009/9/main" uri="{B025F937-C7B1-47D3-B67F-A62EFF666E3E}">
          <x14:id>{9F89EDE4-DF60-4A22-92BD-4DDA17943048}</x14:id>
        </ext>
      </extLst>
    </cfRule>
    <cfRule type="iconSet" priority="5787">
      <iconSet iconSet="3Arrows">
        <cfvo type="percent" val="0"/>
        <cfvo type="num" val="0.7"/>
        <cfvo type="num" val="1"/>
      </iconSet>
    </cfRule>
  </conditionalFormatting>
  <conditionalFormatting sqref="N432">
    <cfRule type="dataBar" priority="5786">
      <dataBar>
        <cfvo type="num" val="0"/>
        <cfvo type="num" val="1"/>
        <color theme="4" tint="0.79998168889431442"/>
      </dataBar>
      <extLst>
        <ext xmlns:x14="http://schemas.microsoft.com/office/spreadsheetml/2009/9/main" uri="{B025F937-C7B1-47D3-B67F-A62EFF666E3E}">
          <x14:id>{104ED63F-0FD6-439F-ABDF-4411432E1BCA}</x14:id>
        </ext>
      </extLst>
    </cfRule>
    <cfRule type="iconSet" priority="5785">
      <iconSet iconSet="3Arrows">
        <cfvo type="percent" val="0"/>
        <cfvo type="num" val="0.7"/>
        <cfvo type="num" val="1"/>
      </iconSet>
    </cfRule>
  </conditionalFormatting>
  <conditionalFormatting sqref="N434 N436 N438 N440">
    <cfRule type="dataBar" priority="5784">
      <dataBar>
        <cfvo type="num" val="0"/>
        <cfvo type="num" val="1"/>
        <color theme="4" tint="0.79998168889431442"/>
      </dataBar>
      <extLst>
        <ext xmlns:x14="http://schemas.microsoft.com/office/spreadsheetml/2009/9/main" uri="{B025F937-C7B1-47D3-B67F-A62EFF666E3E}">
          <x14:id>{2FFEEA4B-AE44-4A14-BD58-7253E87B35E4}</x14:id>
        </ext>
      </extLst>
    </cfRule>
    <cfRule type="iconSet" priority="5783">
      <iconSet iconSet="3Arrows">
        <cfvo type="percent" val="0"/>
        <cfvo type="num" val="0.7"/>
        <cfvo type="num" val="1"/>
      </iconSet>
    </cfRule>
  </conditionalFormatting>
  <conditionalFormatting sqref="N442">
    <cfRule type="dataBar" priority="5782">
      <dataBar>
        <cfvo type="num" val="0"/>
        <cfvo type="num" val="1"/>
        <color theme="4" tint="0.79998168889431442"/>
      </dataBar>
      <extLst>
        <ext xmlns:x14="http://schemas.microsoft.com/office/spreadsheetml/2009/9/main" uri="{B025F937-C7B1-47D3-B67F-A62EFF666E3E}">
          <x14:id>{48E625AC-32C0-4EF0-BE5F-BB56859E8FD9}</x14:id>
        </ext>
      </extLst>
    </cfRule>
    <cfRule type="iconSet" priority="5781">
      <iconSet iconSet="3Arrows">
        <cfvo type="percent" val="0"/>
        <cfvo type="num" val="0.7"/>
        <cfvo type="num" val="1"/>
      </iconSet>
    </cfRule>
  </conditionalFormatting>
  <conditionalFormatting sqref="N444 N446 N448 N450">
    <cfRule type="dataBar" priority="5780">
      <dataBar>
        <cfvo type="num" val="0"/>
        <cfvo type="num" val="1"/>
        <color theme="4" tint="0.79998168889431442"/>
      </dataBar>
      <extLst>
        <ext xmlns:x14="http://schemas.microsoft.com/office/spreadsheetml/2009/9/main" uri="{B025F937-C7B1-47D3-B67F-A62EFF666E3E}">
          <x14:id>{A08F3458-CD8B-4B8E-B339-9C7F9BB9CE16}</x14:id>
        </ext>
      </extLst>
    </cfRule>
    <cfRule type="iconSet" priority="5779">
      <iconSet iconSet="3Arrows">
        <cfvo type="percent" val="0"/>
        <cfvo type="num" val="0.7"/>
        <cfvo type="num" val="1"/>
      </iconSet>
    </cfRule>
  </conditionalFormatting>
  <conditionalFormatting sqref="N454">
    <cfRule type="dataBar" priority="5778">
      <dataBar>
        <cfvo type="num" val="0"/>
        <cfvo type="num" val="1"/>
        <color theme="4" tint="0.79998168889431442"/>
      </dataBar>
      <extLst>
        <ext xmlns:x14="http://schemas.microsoft.com/office/spreadsheetml/2009/9/main" uri="{B025F937-C7B1-47D3-B67F-A62EFF666E3E}">
          <x14:id>{AFD5BA56-C891-4B5C-894C-B745CF2E98DD}</x14:id>
        </ext>
      </extLst>
    </cfRule>
    <cfRule type="iconSet" priority="5777">
      <iconSet iconSet="3Arrows">
        <cfvo type="percent" val="0"/>
        <cfvo type="num" val="0.7"/>
        <cfvo type="num" val="1"/>
      </iconSet>
    </cfRule>
  </conditionalFormatting>
  <conditionalFormatting sqref="N456 N490 N458 N460 N462">
    <cfRule type="dataBar" priority="5776">
      <dataBar>
        <cfvo type="num" val="0"/>
        <cfvo type="num" val="1"/>
        <color theme="4" tint="0.79998168889431442"/>
      </dataBar>
      <extLst>
        <ext xmlns:x14="http://schemas.microsoft.com/office/spreadsheetml/2009/9/main" uri="{B025F937-C7B1-47D3-B67F-A62EFF666E3E}">
          <x14:id>{26888A54-0736-44C7-863A-1AAB7019592A}</x14:id>
        </ext>
      </extLst>
    </cfRule>
    <cfRule type="iconSet" priority="5775">
      <iconSet iconSet="3Arrows">
        <cfvo type="percent" val="0"/>
        <cfvo type="num" val="0.7"/>
        <cfvo type="num" val="1"/>
      </iconSet>
    </cfRule>
  </conditionalFormatting>
  <conditionalFormatting sqref="N464">
    <cfRule type="dataBar" priority="5774">
      <dataBar>
        <cfvo type="num" val="0"/>
        <cfvo type="num" val="1"/>
        <color theme="4" tint="0.79998168889431442"/>
      </dataBar>
      <extLst>
        <ext xmlns:x14="http://schemas.microsoft.com/office/spreadsheetml/2009/9/main" uri="{B025F937-C7B1-47D3-B67F-A62EFF666E3E}">
          <x14:id>{28A36096-AA5D-4E99-B0B3-29516496D513}</x14:id>
        </ext>
      </extLst>
    </cfRule>
    <cfRule type="iconSet" priority="5773">
      <iconSet iconSet="3Arrows">
        <cfvo type="percent" val="0"/>
        <cfvo type="num" val="0.7"/>
        <cfvo type="num" val="1"/>
      </iconSet>
    </cfRule>
  </conditionalFormatting>
  <conditionalFormatting sqref="N466 N468 N470 N472">
    <cfRule type="iconSet" priority="5771">
      <iconSet iconSet="3Arrows">
        <cfvo type="percent" val="0"/>
        <cfvo type="num" val="0.7"/>
        <cfvo type="num" val="1"/>
      </iconSet>
    </cfRule>
    <cfRule type="dataBar" priority="5772">
      <dataBar>
        <cfvo type="num" val="0"/>
        <cfvo type="num" val="1"/>
        <color theme="4" tint="0.79998168889431442"/>
      </dataBar>
      <extLst>
        <ext xmlns:x14="http://schemas.microsoft.com/office/spreadsheetml/2009/9/main" uri="{B025F937-C7B1-47D3-B67F-A62EFF666E3E}">
          <x14:id>{E26758FC-554A-40D2-9DAB-715CD889DB7E}</x14:id>
        </ext>
      </extLst>
    </cfRule>
  </conditionalFormatting>
  <conditionalFormatting sqref="N474">
    <cfRule type="iconSet" priority="5769">
      <iconSet iconSet="3Arrows">
        <cfvo type="percent" val="0"/>
        <cfvo type="num" val="0.7"/>
        <cfvo type="num" val="1"/>
      </iconSet>
    </cfRule>
    <cfRule type="dataBar" priority="5770">
      <dataBar>
        <cfvo type="num" val="0"/>
        <cfvo type="num" val="1"/>
        <color theme="4" tint="0.79998168889431442"/>
      </dataBar>
      <extLst>
        <ext xmlns:x14="http://schemas.microsoft.com/office/spreadsheetml/2009/9/main" uri="{B025F937-C7B1-47D3-B67F-A62EFF666E3E}">
          <x14:id>{D858D075-44CF-44DB-B082-71156F86FC4B}</x14:id>
        </ext>
      </extLst>
    </cfRule>
  </conditionalFormatting>
  <conditionalFormatting sqref="N476 N478 N480 N482">
    <cfRule type="dataBar" priority="5768">
      <dataBar>
        <cfvo type="num" val="0"/>
        <cfvo type="num" val="1"/>
        <color theme="4" tint="0.79998168889431442"/>
      </dataBar>
      <extLst>
        <ext xmlns:x14="http://schemas.microsoft.com/office/spreadsheetml/2009/9/main" uri="{B025F937-C7B1-47D3-B67F-A62EFF666E3E}">
          <x14:id>{65E7430D-BBF0-4357-99FB-D3A57D15F1F5}</x14:id>
        </ext>
      </extLst>
    </cfRule>
    <cfRule type="iconSet" priority="5767">
      <iconSet iconSet="3Arrows">
        <cfvo type="percent" val="0"/>
        <cfvo type="num" val="0.7"/>
        <cfvo type="num" val="1"/>
      </iconSet>
    </cfRule>
  </conditionalFormatting>
  <conditionalFormatting sqref="N484">
    <cfRule type="iconSet" priority="5765">
      <iconSet iconSet="3Arrows">
        <cfvo type="percent" val="0"/>
        <cfvo type="num" val="0.7"/>
        <cfvo type="num" val="1"/>
      </iconSet>
    </cfRule>
    <cfRule type="dataBar" priority="5766">
      <dataBar>
        <cfvo type="num" val="0"/>
        <cfvo type="num" val="1"/>
        <color theme="4" tint="0.79998168889431442"/>
      </dataBar>
      <extLst>
        <ext xmlns:x14="http://schemas.microsoft.com/office/spreadsheetml/2009/9/main" uri="{B025F937-C7B1-47D3-B67F-A62EFF666E3E}">
          <x14:id>{2246D52B-B8AA-4382-821A-77F68B84AF7C}</x14:id>
        </ext>
      </extLst>
    </cfRule>
  </conditionalFormatting>
  <conditionalFormatting sqref="N486 N488">
    <cfRule type="dataBar" priority="5764">
      <dataBar>
        <cfvo type="num" val="0"/>
        <cfvo type="num" val="1"/>
        <color theme="4" tint="0.79998168889431442"/>
      </dataBar>
      <extLst>
        <ext xmlns:x14="http://schemas.microsoft.com/office/spreadsheetml/2009/9/main" uri="{B025F937-C7B1-47D3-B67F-A62EFF666E3E}">
          <x14:id>{73B5450F-A46D-41C0-9194-009D90028F73}</x14:id>
        </ext>
      </extLst>
    </cfRule>
    <cfRule type="iconSet" priority="5763">
      <iconSet iconSet="3Arrows">
        <cfvo type="percent" val="0"/>
        <cfvo type="num" val="0.7"/>
        <cfvo type="num" val="1"/>
      </iconSet>
    </cfRule>
  </conditionalFormatting>
  <conditionalFormatting sqref="N492">
    <cfRule type="dataBar" priority="5762">
      <dataBar>
        <cfvo type="num" val="0"/>
        <cfvo type="num" val="1"/>
        <color theme="4" tint="0.79998168889431442"/>
      </dataBar>
      <extLst>
        <ext xmlns:x14="http://schemas.microsoft.com/office/spreadsheetml/2009/9/main" uri="{B025F937-C7B1-47D3-B67F-A62EFF666E3E}">
          <x14:id>{4F5AEA54-1023-4C19-B073-59B6C92C8314}</x14:id>
        </ext>
      </extLst>
    </cfRule>
    <cfRule type="iconSet" priority="5761">
      <iconSet iconSet="3Arrows">
        <cfvo type="percent" val="0"/>
        <cfvo type="num" val="0.7"/>
        <cfvo type="num" val="1"/>
      </iconSet>
    </cfRule>
  </conditionalFormatting>
  <conditionalFormatting sqref="N494 N496 N498 N500">
    <cfRule type="dataBar" priority="5760">
      <dataBar>
        <cfvo type="num" val="0"/>
        <cfvo type="num" val="1"/>
        <color theme="4" tint="0.79998168889431442"/>
      </dataBar>
      <extLst>
        <ext xmlns:x14="http://schemas.microsoft.com/office/spreadsheetml/2009/9/main" uri="{B025F937-C7B1-47D3-B67F-A62EFF666E3E}">
          <x14:id>{34F64FD6-C324-4EF9-B155-D90AF4D8B8EA}</x14:id>
        </ext>
      </extLst>
    </cfRule>
    <cfRule type="iconSet" priority="5759">
      <iconSet iconSet="3Arrows">
        <cfvo type="percent" val="0"/>
        <cfvo type="num" val="0.7"/>
        <cfvo type="num" val="1"/>
      </iconSet>
    </cfRule>
  </conditionalFormatting>
  <conditionalFormatting sqref="N502">
    <cfRule type="dataBar" priority="5758">
      <dataBar>
        <cfvo type="num" val="0"/>
        <cfvo type="num" val="1"/>
        <color theme="4" tint="0.79998168889431442"/>
      </dataBar>
      <extLst>
        <ext xmlns:x14="http://schemas.microsoft.com/office/spreadsheetml/2009/9/main" uri="{B025F937-C7B1-47D3-B67F-A62EFF666E3E}">
          <x14:id>{B27EFFD6-F7F4-4D5E-A3A5-2F453C688E84}</x14:id>
        </ext>
      </extLst>
    </cfRule>
    <cfRule type="iconSet" priority="5757">
      <iconSet iconSet="3Arrows">
        <cfvo type="percent" val="0"/>
        <cfvo type="num" val="0.7"/>
        <cfvo type="num" val="1"/>
      </iconSet>
    </cfRule>
  </conditionalFormatting>
  <conditionalFormatting sqref="N504 N579 N506 N508">
    <cfRule type="dataBar" priority="5756">
      <dataBar>
        <cfvo type="num" val="0"/>
        <cfvo type="num" val="1"/>
        <color theme="4" tint="0.79998168889431442"/>
      </dataBar>
      <extLst>
        <ext xmlns:x14="http://schemas.microsoft.com/office/spreadsheetml/2009/9/main" uri="{B025F937-C7B1-47D3-B67F-A62EFF666E3E}">
          <x14:id>{3E77A621-FEA8-461D-98D1-0B87CF0E15D7}</x14:id>
        </ext>
      </extLst>
    </cfRule>
    <cfRule type="iconSet" priority="5755">
      <iconSet iconSet="3Arrows">
        <cfvo type="percent" val="0"/>
        <cfvo type="num" val="0.7"/>
        <cfvo type="num" val="1"/>
      </iconSet>
    </cfRule>
  </conditionalFormatting>
  <conditionalFormatting sqref="N510">
    <cfRule type="dataBar" priority="5754">
      <dataBar>
        <cfvo type="num" val="0"/>
        <cfvo type="num" val="1"/>
        <color theme="4" tint="0.79998168889431442"/>
      </dataBar>
      <extLst>
        <ext xmlns:x14="http://schemas.microsoft.com/office/spreadsheetml/2009/9/main" uri="{B025F937-C7B1-47D3-B67F-A62EFF666E3E}">
          <x14:id>{58BAA2DB-FD26-4B93-B354-1D4C493286B7}</x14:id>
        </ext>
      </extLst>
    </cfRule>
    <cfRule type="iconSet" priority="5753">
      <iconSet iconSet="3Arrows">
        <cfvo type="percent" val="0"/>
        <cfvo type="num" val="0.7"/>
        <cfvo type="num" val="1"/>
      </iconSet>
    </cfRule>
  </conditionalFormatting>
  <conditionalFormatting sqref="N512">
    <cfRule type="dataBar" priority="5752">
      <dataBar>
        <cfvo type="num" val="0"/>
        <cfvo type="num" val="1"/>
        <color theme="4" tint="0.79998168889431442"/>
      </dataBar>
      <extLst>
        <ext xmlns:x14="http://schemas.microsoft.com/office/spreadsheetml/2009/9/main" uri="{B025F937-C7B1-47D3-B67F-A62EFF666E3E}">
          <x14:id>{98DCB2C6-EFB9-4958-B340-571BC3C0E31E}</x14:id>
        </ext>
      </extLst>
    </cfRule>
    <cfRule type="iconSet" priority="5751">
      <iconSet iconSet="3Arrows">
        <cfvo type="percent" val="0"/>
        <cfvo type="num" val="0.7"/>
        <cfvo type="num" val="1"/>
      </iconSet>
    </cfRule>
  </conditionalFormatting>
  <conditionalFormatting sqref="N516">
    <cfRule type="dataBar" priority="5748">
      <dataBar>
        <cfvo type="num" val="0"/>
        <cfvo type="num" val="1"/>
        <color theme="4" tint="0.79998168889431442"/>
      </dataBar>
      <extLst>
        <ext xmlns:x14="http://schemas.microsoft.com/office/spreadsheetml/2009/9/main" uri="{B025F937-C7B1-47D3-B67F-A62EFF666E3E}">
          <x14:id>{BFCE6E95-C034-4136-BB97-6A2BA2D9A796}</x14:id>
        </ext>
      </extLst>
    </cfRule>
    <cfRule type="iconSet" priority="5747">
      <iconSet iconSet="3Arrows">
        <cfvo type="percent" val="0"/>
        <cfvo type="num" val="0.7"/>
        <cfvo type="num" val="1"/>
      </iconSet>
    </cfRule>
  </conditionalFormatting>
  <conditionalFormatting sqref="N518 N759">
    <cfRule type="dataBar" priority="5746">
      <dataBar>
        <cfvo type="num" val="0"/>
        <cfvo type="num" val="1"/>
        <color theme="4" tint="0.79998168889431442"/>
      </dataBar>
      <extLst>
        <ext xmlns:x14="http://schemas.microsoft.com/office/spreadsheetml/2009/9/main" uri="{B025F937-C7B1-47D3-B67F-A62EFF666E3E}">
          <x14:id>{E47CCA80-C778-4F5F-9A2D-C350AEB3A97F}</x14:id>
        </ext>
      </extLst>
    </cfRule>
    <cfRule type="iconSet" priority="5745">
      <iconSet iconSet="3Arrows">
        <cfvo type="percent" val="0"/>
        <cfvo type="num" val="0.7"/>
        <cfvo type="num" val="1"/>
      </iconSet>
    </cfRule>
  </conditionalFormatting>
  <conditionalFormatting sqref="N520">
    <cfRule type="dataBar" priority="5744">
      <dataBar>
        <cfvo type="num" val="0"/>
        <cfvo type="num" val="1"/>
        <color theme="4" tint="0.79998168889431442"/>
      </dataBar>
      <extLst>
        <ext xmlns:x14="http://schemas.microsoft.com/office/spreadsheetml/2009/9/main" uri="{B025F937-C7B1-47D3-B67F-A62EFF666E3E}">
          <x14:id>{4D84FA07-33C5-494F-A8B2-6F99029C4792}</x14:id>
        </ext>
      </extLst>
    </cfRule>
    <cfRule type="iconSet" priority="5743">
      <iconSet iconSet="3Arrows">
        <cfvo type="percent" val="0"/>
        <cfvo type="num" val="0.7"/>
        <cfvo type="num" val="1"/>
      </iconSet>
    </cfRule>
  </conditionalFormatting>
  <conditionalFormatting sqref="N522">
    <cfRule type="dataBar" priority="5742">
      <dataBar>
        <cfvo type="num" val="0"/>
        <cfvo type="num" val="1"/>
        <color theme="4" tint="0.79998168889431442"/>
      </dataBar>
      <extLst>
        <ext xmlns:x14="http://schemas.microsoft.com/office/spreadsheetml/2009/9/main" uri="{B025F937-C7B1-47D3-B67F-A62EFF666E3E}">
          <x14:id>{2CF9FF4C-B573-4DE0-BA75-8AA846F493A9}</x14:id>
        </ext>
      </extLst>
    </cfRule>
    <cfRule type="iconSet" priority="5741">
      <iconSet iconSet="3Arrows">
        <cfvo type="percent" val="0"/>
        <cfvo type="num" val="0.7"/>
        <cfvo type="num" val="1"/>
      </iconSet>
    </cfRule>
  </conditionalFormatting>
  <conditionalFormatting sqref="N524">
    <cfRule type="iconSet" priority="5739">
      <iconSet iconSet="3Arrows">
        <cfvo type="percent" val="0"/>
        <cfvo type="num" val="0.7"/>
        <cfvo type="num" val="1"/>
      </iconSet>
    </cfRule>
    <cfRule type="dataBar" priority="5740">
      <dataBar>
        <cfvo type="num" val="0"/>
        <cfvo type="num" val="1"/>
        <color theme="4" tint="0.79998168889431442"/>
      </dataBar>
      <extLst>
        <ext xmlns:x14="http://schemas.microsoft.com/office/spreadsheetml/2009/9/main" uri="{B025F937-C7B1-47D3-B67F-A62EFF666E3E}">
          <x14:id>{13E062D4-DC83-4E65-81E9-6AE8B92F932D}</x14:id>
        </ext>
      </extLst>
    </cfRule>
  </conditionalFormatting>
  <conditionalFormatting sqref="N526">
    <cfRule type="iconSet" priority="5737">
      <iconSet iconSet="3Arrows">
        <cfvo type="percent" val="0"/>
        <cfvo type="num" val="0.7"/>
        <cfvo type="num" val="1"/>
      </iconSet>
    </cfRule>
    <cfRule type="dataBar" priority="5738">
      <dataBar>
        <cfvo type="num" val="0"/>
        <cfvo type="num" val="1"/>
        <color theme="4" tint="0.79998168889431442"/>
      </dataBar>
      <extLst>
        <ext xmlns:x14="http://schemas.microsoft.com/office/spreadsheetml/2009/9/main" uri="{B025F937-C7B1-47D3-B67F-A62EFF666E3E}">
          <x14:id>{516DCDF8-08C7-4CD0-A60E-A86D7FFD2878}</x14:id>
        </ext>
      </extLst>
    </cfRule>
  </conditionalFormatting>
  <conditionalFormatting sqref="N528">
    <cfRule type="iconSet" priority="5735">
      <iconSet iconSet="3Arrows">
        <cfvo type="percent" val="0"/>
        <cfvo type="num" val="0.7"/>
        <cfvo type="num" val="1"/>
      </iconSet>
    </cfRule>
    <cfRule type="dataBar" priority="5736">
      <dataBar>
        <cfvo type="num" val="0"/>
        <cfvo type="num" val="1"/>
        <color theme="4" tint="0.79998168889431442"/>
      </dataBar>
      <extLst>
        <ext xmlns:x14="http://schemas.microsoft.com/office/spreadsheetml/2009/9/main" uri="{B025F937-C7B1-47D3-B67F-A62EFF666E3E}">
          <x14:id>{526EDC5D-7642-4FCD-8443-65E84D58D7A4}</x14:id>
        </ext>
      </extLst>
    </cfRule>
  </conditionalFormatting>
  <conditionalFormatting sqref="N530">
    <cfRule type="iconSet" priority="5733">
      <iconSet iconSet="3Arrows">
        <cfvo type="percent" val="0"/>
        <cfvo type="num" val="0.7"/>
        <cfvo type="num" val="1"/>
      </iconSet>
    </cfRule>
    <cfRule type="dataBar" priority="5734">
      <dataBar>
        <cfvo type="num" val="0"/>
        <cfvo type="num" val="1"/>
        <color theme="4" tint="0.79998168889431442"/>
      </dataBar>
      <extLst>
        <ext xmlns:x14="http://schemas.microsoft.com/office/spreadsheetml/2009/9/main" uri="{B025F937-C7B1-47D3-B67F-A62EFF666E3E}">
          <x14:id>{CD39C74E-89C1-481B-AEAD-65199C335AEA}</x14:id>
        </ext>
      </extLst>
    </cfRule>
  </conditionalFormatting>
  <conditionalFormatting sqref="N533">
    <cfRule type="dataBar" priority="5732">
      <dataBar>
        <cfvo type="num" val="0"/>
        <cfvo type="num" val="1"/>
        <color theme="4" tint="0.79998168889431442"/>
      </dataBar>
      <extLst>
        <ext xmlns:x14="http://schemas.microsoft.com/office/spreadsheetml/2009/9/main" uri="{B025F937-C7B1-47D3-B67F-A62EFF666E3E}">
          <x14:id>{7A200851-36D1-417C-A1B7-D5448E8CF307}</x14:id>
        </ext>
      </extLst>
    </cfRule>
    <cfRule type="iconSet" priority="5731">
      <iconSet iconSet="3Arrows">
        <cfvo type="percent" val="0"/>
        <cfvo type="num" val="0.7"/>
        <cfvo type="num" val="1"/>
      </iconSet>
    </cfRule>
  </conditionalFormatting>
  <conditionalFormatting sqref="N535 N537 N539 N409">
    <cfRule type="dataBar" priority="5730">
      <dataBar>
        <cfvo type="num" val="0"/>
        <cfvo type="num" val="1"/>
        <color theme="4" tint="0.79998168889431442"/>
      </dataBar>
      <extLst>
        <ext xmlns:x14="http://schemas.microsoft.com/office/spreadsheetml/2009/9/main" uri="{B025F937-C7B1-47D3-B67F-A62EFF666E3E}">
          <x14:id>{7AFDA602-0125-4474-9332-E0E268140E83}</x14:id>
        </ext>
      </extLst>
    </cfRule>
    <cfRule type="iconSet" priority="5729">
      <iconSet iconSet="3Arrows">
        <cfvo type="percent" val="0"/>
        <cfvo type="num" val="0.7"/>
        <cfvo type="num" val="1"/>
      </iconSet>
    </cfRule>
  </conditionalFormatting>
  <conditionalFormatting sqref="N541 N545 N549 N553 N557 N561 N543 N547 N551 N555 N559 N563">
    <cfRule type="dataBar" priority="5728">
      <dataBar>
        <cfvo type="num" val="0"/>
        <cfvo type="num" val="1"/>
        <color theme="4" tint="0.79998168889431442"/>
      </dataBar>
      <extLst>
        <ext xmlns:x14="http://schemas.microsoft.com/office/spreadsheetml/2009/9/main" uri="{B025F937-C7B1-47D3-B67F-A62EFF666E3E}">
          <x14:id>{82954597-A4B5-49A9-9492-329B442420DC}</x14:id>
        </ext>
      </extLst>
    </cfRule>
    <cfRule type="iconSet" priority="5727">
      <iconSet iconSet="3Arrows">
        <cfvo type="percent" val="0"/>
        <cfvo type="num" val="0.7"/>
        <cfvo type="num" val="1"/>
      </iconSet>
    </cfRule>
  </conditionalFormatting>
  <conditionalFormatting sqref="N565 N567">
    <cfRule type="dataBar" priority="5726">
      <dataBar>
        <cfvo type="num" val="0"/>
        <cfvo type="num" val="1"/>
        <color theme="4" tint="0.79998168889431442"/>
      </dataBar>
      <extLst>
        <ext xmlns:x14="http://schemas.microsoft.com/office/spreadsheetml/2009/9/main" uri="{B025F937-C7B1-47D3-B67F-A62EFF666E3E}">
          <x14:id>{713BF9B0-023D-414E-AB8B-70E3D76181AD}</x14:id>
        </ext>
      </extLst>
    </cfRule>
    <cfRule type="iconSet" priority="5725">
      <iconSet iconSet="3Arrows">
        <cfvo type="percent" val="0"/>
        <cfvo type="num" val="0.7"/>
        <cfvo type="num" val="1"/>
      </iconSet>
    </cfRule>
  </conditionalFormatting>
  <conditionalFormatting sqref="N569 N573 N577 N583 N587 N591 N571 N575 N581 N585 N589 N593">
    <cfRule type="dataBar" priority="5724">
      <dataBar>
        <cfvo type="num" val="0"/>
        <cfvo type="num" val="1"/>
        <color theme="4" tint="0.79998168889431442"/>
      </dataBar>
      <extLst>
        <ext xmlns:x14="http://schemas.microsoft.com/office/spreadsheetml/2009/9/main" uri="{B025F937-C7B1-47D3-B67F-A62EFF666E3E}">
          <x14:id>{F8C07D01-4D4B-4471-B5E7-57336412661B}</x14:id>
        </ext>
      </extLst>
    </cfRule>
    <cfRule type="iconSet" priority="5723">
      <iconSet iconSet="3Arrows">
        <cfvo type="percent" val="0"/>
        <cfvo type="num" val="0.7"/>
        <cfvo type="num" val="1"/>
      </iconSet>
    </cfRule>
  </conditionalFormatting>
  <conditionalFormatting sqref="N595 N597">
    <cfRule type="iconSet" priority="5721">
      <iconSet iconSet="3Arrows">
        <cfvo type="percent" val="0"/>
        <cfvo type="num" val="0.7"/>
        <cfvo type="num" val="1"/>
      </iconSet>
    </cfRule>
    <cfRule type="dataBar" priority="5722">
      <dataBar>
        <cfvo type="num" val="0"/>
        <cfvo type="num" val="1"/>
        <color theme="4" tint="0.79998168889431442"/>
      </dataBar>
      <extLst>
        <ext xmlns:x14="http://schemas.microsoft.com/office/spreadsheetml/2009/9/main" uri="{B025F937-C7B1-47D3-B67F-A62EFF666E3E}">
          <x14:id>{49BBB11F-B715-4F86-8F80-82E08D0EBFB9}</x14:id>
        </ext>
      </extLst>
    </cfRule>
  </conditionalFormatting>
  <conditionalFormatting sqref="N599 N603 N607 N611 N615 N619 N601 N605 N609 N613 N617 N621">
    <cfRule type="dataBar" priority="5720">
      <dataBar>
        <cfvo type="num" val="0"/>
        <cfvo type="num" val="1"/>
        <color theme="4" tint="0.79998168889431442"/>
      </dataBar>
      <extLst>
        <ext xmlns:x14="http://schemas.microsoft.com/office/spreadsheetml/2009/9/main" uri="{B025F937-C7B1-47D3-B67F-A62EFF666E3E}">
          <x14:id>{9B775E35-012E-4D3C-A5B5-72C6A876BF11}</x14:id>
        </ext>
      </extLst>
    </cfRule>
    <cfRule type="iconSet" priority="5719">
      <iconSet iconSet="3Arrows">
        <cfvo type="percent" val="0"/>
        <cfvo type="num" val="0.7"/>
        <cfvo type="num" val="1"/>
      </iconSet>
    </cfRule>
  </conditionalFormatting>
  <conditionalFormatting sqref="N623 N625">
    <cfRule type="dataBar" priority="5718">
      <dataBar>
        <cfvo type="num" val="0"/>
        <cfvo type="num" val="1"/>
        <color theme="4" tint="0.79998168889431442"/>
      </dataBar>
      <extLst>
        <ext xmlns:x14="http://schemas.microsoft.com/office/spreadsheetml/2009/9/main" uri="{B025F937-C7B1-47D3-B67F-A62EFF666E3E}">
          <x14:id>{2ADB5D4F-B3ED-45B0-83CD-6329D11E1B70}</x14:id>
        </ext>
      </extLst>
    </cfRule>
    <cfRule type="iconSet" priority="5717">
      <iconSet iconSet="3Arrows">
        <cfvo type="percent" val="0"/>
        <cfvo type="num" val="0.7"/>
        <cfvo type="num" val="1"/>
      </iconSet>
    </cfRule>
  </conditionalFormatting>
  <conditionalFormatting sqref="N627 N645 N631 N635 N639 N629 N633 N637 N641">
    <cfRule type="dataBar" priority="5716">
      <dataBar>
        <cfvo type="num" val="0"/>
        <cfvo type="num" val="1"/>
        <color theme="4" tint="0.79998168889431442"/>
      </dataBar>
      <extLst>
        <ext xmlns:x14="http://schemas.microsoft.com/office/spreadsheetml/2009/9/main" uri="{B025F937-C7B1-47D3-B67F-A62EFF666E3E}">
          <x14:id>{DF36D232-5ED6-4B29-9C0C-ECA9F41E90AB}</x14:id>
        </ext>
      </extLst>
    </cfRule>
    <cfRule type="iconSet" priority="5715">
      <iconSet iconSet="3Arrows">
        <cfvo type="percent" val="0"/>
        <cfvo type="num" val="0.7"/>
        <cfvo type="num" val="1"/>
      </iconSet>
    </cfRule>
  </conditionalFormatting>
  <conditionalFormatting sqref="N643">
    <cfRule type="dataBar" priority="5714">
      <dataBar>
        <cfvo type="num" val="0"/>
        <cfvo type="num" val="1"/>
        <color theme="4" tint="0.79998168889431442"/>
      </dataBar>
      <extLst>
        <ext xmlns:x14="http://schemas.microsoft.com/office/spreadsheetml/2009/9/main" uri="{B025F937-C7B1-47D3-B67F-A62EFF666E3E}">
          <x14:id>{50873D35-A4A6-4427-8706-47E6E7345265}</x14:id>
        </ext>
      </extLst>
    </cfRule>
    <cfRule type="iconSet" priority="5713">
      <iconSet iconSet="3Arrows">
        <cfvo type="percent" val="0"/>
        <cfvo type="num" val="0.7"/>
        <cfvo type="num" val="1"/>
      </iconSet>
    </cfRule>
  </conditionalFormatting>
  <conditionalFormatting sqref="N647">
    <cfRule type="dataBar" priority="5712">
      <dataBar>
        <cfvo type="num" val="0"/>
        <cfvo type="num" val="1"/>
        <color theme="4" tint="0.79998168889431442"/>
      </dataBar>
      <extLst>
        <ext xmlns:x14="http://schemas.microsoft.com/office/spreadsheetml/2009/9/main" uri="{B025F937-C7B1-47D3-B67F-A62EFF666E3E}">
          <x14:id>{93756EBF-F333-4F10-B400-9E33C496CAD0}</x14:id>
        </ext>
      </extLst>
    </cfRule>
    <cfRule type="iconSet" priority="5711">
      <iconSet iconSet="3Arrows">
        <cfvo type="percent" val="0"/>
        <cfvo type="num" val="0.7"/>
        <cfvo type="num" val="1"/>
      </iconSet>
    </cfRule>
  </conditionalFormatting>
  <conditionalFormatting sqref="N649">
    <cfRule type="dataBar" priority="5710">
      <dataBar>
        <cfvo type="num" val="0"/>
        <cfvo type="num" val="1"/>
        <color theme="4" tint="0.79998168889431442"/>
      </dataBar>
      <extLst>
        <ext xmlns:x14="http://schemas.microsoft.com/office/spreadsheetml/2009/9/main" uri="{B025F937-C7B1-47D3-B67F-A62EFF666E3E}">
          <x14:id>{BFC80987-9D04-4DDB-9CDD-F481F3E03AF6}</x14:id>
        </ext>
      </extLst>
    </cfRule>
    <cfRule type="iconSet" priority="5709">
      <iconSet iconSet="3Arrows">
        <cfvo type="percent" val="0"/>
        <cfvo type="num" val="0.7"/>
        <cfvo type="num" val="1"/>
      </iconSet>
    </cfRule>
  </conditionalFormatting>
  <conditionalFormatting sqref="N652">
    <cfRule type="iconSet" priority="5707">
      <iconSet iconSet="3Arrows">
        <cfvo type="percent" val="0"/>
        <cfvo type="num" val="0.7"/>
        <cfvo type="num" val="1"/>
      </iconSet>
    </cfRule>
    <cfRule type="dataBar" priority="5708">
      <dataBar>
        <cfvo type="num" val="0"/>
        <cfvo type="num" val="1"/>
        <color theme="4" tint="0.79998168889431442"/>
      </dataBar>
      <extLst>
        <ext xmlns:x14="http://schemas.microsoft.com/office/spreadsheetml/2009/9/main" uri="{B025F937-C7B1-47D3-B67F-A62EFF666E3E}">
          <x14:id>{885D1EFE-F5BE-48A6-9CA8-32511117D4E2}</x14:id>
        </ext>
      </extLst>
    </cfRule>
  </conditionalFormatting>
  <conditionalFormatting sqref="N654">
    <cfRule type="iconSet" priority="5705">
      <iconSet iconSet="3Arrows">
        <cfvo type="percent" val="0"/>
        <cfvo type="num" val="0.7"/>
        <cfvo type="num" val="1"/>
      </iconSet>
    </cfRule>
    <cfRule type="dataBar" priority="5706">
      <dataBar>
        <cfvo type="num" val="0"/>
        <cfvo type="num" val="1"/>
        <color theme="4" tint="0.79998168889431442"/>
      </dataBar>
      <extLst>
        <ext xmlns:x14="http://schemas.microsoft.com/office/spreadsheetml/2009/9/main" uri="{B025F937-C7B1-47D3-B67F-A62EFF666E3E}">
          <x14:id>{F37514EA-9166-43A8-856D-643F025BA69A}</x14:id>
        </ext>
      </extLst>
    </cfRule>
  </conditionalFormatting>
  <conditionalFormatting sqref="N656">
    <cfRule type="dataBar" priority="5704">
      <dataBar>
        <cfvo type="num" val="0"/>
        <cfvo type="num" val="1"/>
        <color theme="4" tint="0.79998168889431442"/>
      </dataBar>
      <extLst>
        <ext xmlns:x14="http://schemas.microsoft.com/office/spreadsheetml/2009/9/main" uri="{B025F937-C7B1-47D3-B67F-A62EFF666E3E}">
          <x14:id>{F1A252B0-5954-4F16-95EE-EA0248965FEE}</x14:id>
        </ext>
      </extLst>
    </cfRule>
    <cfRule type="iconSet" priority="5703">
      <iconSet iconSet="3Arrows">
        <cfvo type="percent" val="0"/>
        <cfvo type="num" val="0.7"/>
        <cfvo type="num" val="1"/>
      </iconSet>
    </cfRule>
  </conditionalFormatting>
  <conditionalFormatting sqref="N658">
    <cfRule type="dataBar" priority="5702">
      <dataBar>
        <cfvo type="num" val="0"/>
        <cfvo type="num" val="1"/>
        <color theme="4" tint="0.79998168889431442"/>
      </dataBar>
      <extLst>
        <ext xmlns:x14="http://schemas.microsoft.com/office/spreadsheetml/2009/9/main" uri="{B025F937-C7B1-47D3-B67F-A62EFF666E3E}">
          <x14:id>{A6C18E53-A4CB-4CF3-9F73-68467EBF1B4E}</x14:id>
        </ext>
      </extLst>
    </cfRule>
    <cfRule type="iconSet" priority="5701">
      <iconSet iconSet="3Arrows">
        <cfvo type="percent" val="0"/>
        <cfvo type="num" val="0.7"/>
        <cfvo type="num" val="1"/>
      </iconSet>
    </cfRule>
  </conditionalFormatting>
  <conditionalFormatting sqref="N660">
    <cfRule type="dataBar" priority="5700">
      <dataBar>
        <cfvo type="num" val="0"/>
        <cfvo type="num" val="1"/>
        <color theme="4" tint="0.79998168889431442"/>
      </dataBar>
      <extLst>
        <ext xmlns:x14="http://schemas.microsoft.com/office/spreadsheetml/2009/9/main" uri="{B025F937-C7B1-47D3-B67F-A62EFF666E3E}">
          <x14:id>{A5411962-9D70-4980-A0CE-9D23FEDE7D87}</x14:id>
        </ext>
      </extLst>
    </cfRule>
    <cfRule type="iconSet" priority="5699">
      <iconSet iconSet="3Arrows">
        <cfvo type="percent" val="0"/>
        <cfvo type="num" val="0.7"/>
        <cfvo type="num" val="1"/>
      </iconSet>
    </cfRule>
  </conditionalFormatting>
  <conditionalFormatting sqref="N662">
    <cfRule type="dataBar" priority="5698">
      <dataBar>
        <cfvo type="num" val="0"/>
        <cfvo type="num" val="1"/>
        <color theme="4" tint="0.79998168889431442"/>
      </dataBar>
      <extLst>
        <ext xmlns:x14="http://schemas.microsoft.com/office/spreadsheetml/2009/9/main" uri="{B025F937-C7B1-47D3-B67F-A62EFF666E3E}">
          <x14:id>{364C2BC3-4E88-4972-8A7B-B76CAEAB5F71}</x14:id>
        </ext>
      </extLst>
    </cfRule>
    <cfRule type="iconSet" priority="5697">
      <iconSet iconSet="3Arrows">
        <cfvo type="percent" val="0"/>
        <cfvo type="num" val="0.7"/>
        <cfvo type="num" val="1"/>
      </iconSet>
    </cfRule>
  </conditionalFormatting>
  <conditionalFormatting sqref="N664">
    <cfRule type="dataBar" priority="5696">
      <dataBar>
        <cfvo type="num" val="0"/>
        <cfvo type="num" val="1"/>
        <color theme="4" tint="0.79998168889431442"/>
      </dataBar>
      <extLst>
        <ext xmlns:x14="http://schemas.microsoft.com/office/spreadsheetml/2009/9/main" uri="{B025F937-C7B1-47D3-B67F-A62EFF666E3E}">
          <x14:id>{DBE28E37-14D2-47C0-AF0C-B674FF536901}</x14:id>
        </ext>
      </extLst>
    </cfRule>
    <cfRule type="iconSet" priority="5695">
      <iconSet iconSet="3Arrows">
        <cfvo type="percent" val="0"/>
        <cfvo type="num" val="0.7"/>
        <cfvo type="num" val="1"/>
      </iconSet>
    </cfRule>
  </conditionalFormatting>
  <conditionalFormatting sqref="N666">
    <cfRule type="dataBar" priority="5694">
      <dataBar>
        <cfvo type="num" val="0"/>
        <cfvo type="num" val="1"/>
        <color theme="4" tint="0.79998168889431442"/>
      </dataBar>
      <extLst>
        <ext xmlns:x14="http://schemas.microsoft.com/office/spreadsheetml/2009/9/main" uri="{B025F937-C7B1-47D3-B67F-A62EFF666E3E}">
          <x14:id>{992DFE92-0427-494B-A58E-1CD549DB84FF}</x14:id>
        </ext>
      </extLst>
    </cfRule>
    <cfRule type="iconSet" priority="5693">
      <iconSet iconSet="3Arrows">
        <cfvo type="percent" val="0"/>
        <cfvo type="num" val="0.7"/>
        <cfvo type="num" val="1"/>
      </iconSet>
    </cfRule>
  </conditionalFormatting>
  <conditionalFormatting sqref="N668">
    <cfRule type="dataBar" priority="5692">
      <dataBar>
        <cfvo type="num" val="0"/>
        <cfvo type="num" val="1"/>
        <color theme="4" tint="0.79998168889431442"/>
      </dataBar>
      <extLst>
        <ext xmlns:x14="http://schemas.microsoft.com/office/spreadsheetml/2009/9/main" uri="{B025F937-C7B1-47D3-B67F-A62EFF666E3E}">
          <x14:id>{A9309BD6-3C2E-4A1C-AA08-533743AA1E13}</x14:id>
        </ext>
      </extLst>
    </cfRule>
    <cfRule type="iconSet" priority="5691">
      <iconSet iconSet="3Arrows">
        <cfvo type="percent" val="0"/>
        <cfvo type="num" val="0.7"/>
        <cfvo type="num" val="1"/>
      </iconSet>
    </cfRule>
  </conditionalFormatting>
  <conditionalFormatting sqref="N670">
    <cfRule type="dataBar" priority="5690">
      <dataBar>
        <cfvo type="num" val="0"/>
        <cfvo type="num" val="1"/>
        <color theme="4" tint="0.79998168889431442"/>
      </dataBar>
      <extLst>
        <ext xmlns:x14="http://schemas.microsoft.com/office/spreadsheetml/2009/9/main" uri="{B025F937-C7B1-47D3-B67F-A62EFF666E3E}">
          <x14:id>{989F6212-430E-4147-A6DD-0116C50408BC}</x14:id>
        </ext>
      </extLst>
    </cfRule>
    <cfRule type="iconSet" priority="5689">
      <iconSet iconSet="3Arrows">
        <cfvo type="percent" val="0"/>
        <cfvo type="num" val="0.7"/>
        <cfvo type="num" val="1"/>
      </iconSet>
    </cfRule>
  </conditionalFormatting>
  <conditionalFormatting sqref="N672">
    <cfRule type="iconSet" priority="5687">
      <iconSet iconSet="3Arrows">
        <cfvo type="percent" val="0"/>
        <cfvo type="num" val="0.7"/>
        <cfvo type="num" val="1"/>
      </iconSet>
    </cfRule>
    <cfRule type="dataBar" priority="5688">
      <dataBar>
        <cfvo type="num" val="0"/>
        <cfvo type="num" val="1"/>
        <color theme="4" tint="0.79998168889431442"/>
      </dataBar>
      <extLst>
        <ext xmlns:x14="http://schemas.microsoft.com/office/spreadsheetml/2009/9/main" uri="{B025F937-C7B1-47D3-B67F-A62EFF666E3E}">
          <x14:id>{782AB14C-D084-43A9-BDDD-69C9277ACA68}</x14:id>
        </ext>
      </extLst>
    </cfRule>
  </conditionalFormatting>
  <conditionalFormatting sqref="N674">
    <cfRule type="dataBar" priority="5686">
      <dataBar>
        <cfvo type="num" val="0"/>
        <cfvo type="num" val="1"/>
        <color theme="4" tint="0.79998168889431442"/>
      </dataBar>
      <extLst>
        <ext xmlns:x14="http://schemas.microsoft.com/office/spreadsheetml/2009/9/main" uri="{B025F937-C7B1-47D3-B67F-A62EFF666E3E}">
          <x14:id>{9F9F131A-B5EF-402E-B784-26E8D73CA149}</x14:id>
        </ext>
      </extLst>
    </cfRule>
    <cfRule type="iconSet" priority="5685">
      <iconSet iconSet="3Arrows">
        <cfvo type="percent" val="0"/>
        <cfvo type="num" val="0.7"/>
        <cfvo type="num" val="1"/>
      </iconSet>
    </cfRule>
  </conditionalFormatting>
  <conditionalFormatting sqref="N676">
    <cfRule type="dataBar" priority="5684">
      <dataBar>
        <cfvo type="num" val="0"/>
        <cfvo type="num" val="1"/>
        <color theme="4" tint="0.79998168889431442"/>
      </dataBar>
      <extLst>
        <ext xmlns:x14="http://schemas.microsoft.com/office/spreadsheetml/2009/9/main" uri="{B025F937-C7B1-47D3-B67F-A62EFF666E3E}">
          <x14:id>{4CC7C21B-6AAC-4E3E-8B30-1ADF5E351803}</x14:id>
        </ext>
      </extLst>
    </cfRule>
    <cfRule type="iconSet" priority="5683">
      <iconSet iconSet="3Arrows">
        <cfvo type="percent" val="0"/>
        <cfvo type="num" val="0.7"/>
        <cfvo type="num" val="1"/>
      </iconSet>
    </cfRule>
  </conditionalFormatting>
  <conditionalFormatting sqref="N678">
    <cfRule type="dataBar" priority="5682">
      <dataBar>
        <cfvo type="num" val="0"/>
        <cfvo type="num" val="1"/>
        <color theme="4" tint="0.79998168889431442"/>
      </dataBar>
      <extLst>
        <ext xmlns:x14="http://schemas.microsoft.com/office/spreadsheetml/2009/9/main" uri="{B025F937-C7B1-47D3-B67F-A62EFF666E3E}">
          <x14:id>{3E8CDACD-7E62-4920-8C4E-14E8E2421067}</x14:id>
        </ext>
      </extLst>
    </cfRule>
    <cfRule type="iconSet" priority="5681">
      <iconSet iconSet="3Arrows">
        <cfvo type="percent" val="0"/>
        <cfvo type="num" val="0.7"/>
        <cfvo type="num" val="1"/>
      </iconSet>
    </cfRule>
  </conditionalFormatting>
  <conditionalFormatting sqref="N680">
    <cfRule type="dataBar" priority="5680">
      <dataBar>
        <cfvo type="num" val="0"/>
        <cfvo type="num" val="1"/>
        <color theme="4" tint="0.79998168889431442"/>
      </dataBar>
      <extLst>
        <ext xmlns:x14="http://schemas.microsoft.com/office/spreadsheetml/2009/9/main" uri="{B025F937-C7B1-47D3-B67F-A62EFF666E3E}">
          <x14:id>{23492F58-E463-4A6D-A302-E9E493A5E50B}</x14:id>
        </ext>
      </extLst>
    </cfRule>
    <cfRule type="iconSet" priority="5679">
      <iconSet iconSet="3Arrows">
        <cfvo type="percent" val="0"/>
        <cfvo type="num" val="0.7"/>
        <cfvo type="num" val="1"/>
      </iconSet>
    </cfRule>
  </conditionalFormatting>
  <conditionalFormatting sqref="N682">
    <cfRule type="dataBar" priority="5678">
      <dataBar>
        <cfvo type="num" val="0"/>
        <cfvo type="num" val="1"/>
        <color theme="4" tint="0.79998168889431442"/>
      </dataBar>
      <extLst>
        <ext xmlns:x14="http://schemas.microsoft.com/office/spreadsheetml/2009/9/main" uri="{B025F937-C7B1-47D3-B67F-A62EFF666E3E}">
          <x14:id>{75811C88-D3F1-41A9-859E-C48C0AB55741}</x14:id>
        </ext>
      </extLst>
    </cfRule>
    <cfRule type="iconSet" priority="5677">
      <iconSet iconSet="3Arrows">
        <cfvo type="percent" val="0"/>
        <cfvo type="num" val="0.7"/>
        <cfvo type="num" val="1"/>
      </iconSet>
    </cfRule>
  </conditionalFormatting>
  <conditionalFormatting sqref="N684">
    <cfRule type="dataBar" priority="5676">
      <dataBar>
        <cfvo type="num" val="0"/>
        <cfvo type="num" val="1"/>
        <color theme="4" tint="0.79998168889431442"/>
      </dataBar>
      <extLst>
        <ext xmlns:x14="http://schemas.microsoft.com/office/spreadsheetml/2009/9/main" uri="{B025F937-C7B1-47D3-B67F-A62EFF666E3E}">
          <x14:id>{DD3292F4-FD0F-4C0B-BF3B-5399AD0E0408}</x14:id>
        </ext>
      </extLst>
    </cfRule>
    <cfRule type="iconSet" priority="5675">
      <iconSet iconSet="3Arrows">
        <cfvo type="percent" val="0"/>
        <cfvo type="num" val="0.7"/>
        <cfvo type="num" val="1"/>
      </iconSet>
    </cfRule>
  </conditionalFormatting>
  <conditionalFormatting sqref="N686">
    <cfRule type="dataBar" priority="5674">
      <dataBar>
        <cfvo type="num" val="0"/>
        <cfvo type="num" val="1"/>
        <color theme="4" tint="0.79998168889431442"/>
      </dataBar>
      <extLst>
        <ext xmlns:x14="http://schemas.microsoft.com/office/spreadsheetml/2009/9/main" uri="{B025F937-C7B1-47D3-B67F-A62EFF666E3E}">
          <x14:id>{2BC1F7BF-2E38-4CA4-8B8C-EE5610593B47}</x14:id>
        </ext>
      </extLst>
    </cfRule>
    <cfRule type="iconSet" priority="5673">
      <iconSet iconSet="3Arrows">
        <cfvo type="percent" val="0"/>
        <cfvo type="num" val="0.7"/>
        <cfvo type="num" val="1"/>
      </iconSet>
    </cfRule>
  </conditionalFormatting>
  <conditionalFormatting sqref="N688">
    <cfRule type="iconSet" priority="5671">
      <iconSet iconSet="3Arrows">
        <cfvo type="percent" val="0"/>
        <cfvo type="num" val="0.7"/>
        <cfvo type="num" val="1"/>
      </iconSet>
    </cfRule>
    <cfRule type="dataBar" priority="5672">
      <dataBar>
        <cfvo type="num" val="0"/>
        <cfvo type="num" val="1"/>
        <color theme="4" tint="0.79998168889431442"/>
      </dataBar>
      <extLst>
        <ext xmlns:x14="http://schemas.microsoft.com/office/spreadsheetml/2009/9/main" uri="{B025F937-C7B1-47D3-B67F-A62EFF666E3E}">
          <x14:id>{8D5ED4FA-22EE-404F-A384-7346F6587C26}</x14:id>
        </ext>
      </extLst>
    </cfRule>
  </conditionalFormatting>
  <conditionalFormatting sqref="N690">
    <cfRule type="iconSet" priority="5669">
      <iconSet iconSet="3Arrows">
        <cfvo type="percent" val="0"/>
        <cfvo type="num" val="0.7"/>
        <cfvo type="num" val="1"/>
      </iconSet>
    </cfRule>
    <cfRule type="dataBar" priority="5670">
      <dataBar>
        <cfvo type="num" val="0"/>
        <cfvo type="num" val="1"/>
        <color theme="4" tint="0.79998168889431442"/>
      </dataBar>
      <extLst>
        <ext xmlns:x14="http://schemas.microsoft.com/office/spreadsheetml/2009/9/main" uri="{B025F937-C7B1-47D3-B67F-A62EFF666E3E}">
          <x14:id>{6BB436DA-24AA-4D79-9DF4-71ADC6FD1C0C}</x14:id>
        </ext>
      </extLst>
    </cfRule>
  </conditionalFormatting>
  <conditionalFormatting sqref="N692">
    <cfRule type="dataBar" priority="5668">
      <dataBar>
        <cfvo type="num" val="0"/>
        <cfvo type="num" val="1"/>
        <color theme="4" tint="0.79998168889431442"/>
      </dataBar>
      <extLst>
        <ext xmlns:x14="http://schemas.microsoft.com/office/spreadsheetml/2009/9/main" uri="{B025F937-C7B1-47D3-B67F-A62EFF666E3E}">
          <x14:id>{1560DD5E-6ADC-43E3-90C0-27C0675F8BE0}</x14:id>
        </ext>
      </extLst>
    </cfRule>
    <cfRule type="iconSet" priority="5667">
      <iconSet iconSet="3Arrows">
        <cfvo type="percent" val="0"/>
        <cfvo type="num" val="0.7"/>
        <cfvo type="num" val="1"/>
      </iconSet>
    </cfRule>
  </conditionalFormatting>
  <conditionalFormatting sqref="N694">
    <cfRule type="dataBar" priority="5666">
      <dataBar>
        <cfvo type="num" val="0"/>
        <cfvo type="num" val="1"/>
        <color theme="4" tint="0.79998168889431442"/>
      </dataBar>
      <extLst>
        <ext xmlns:x14="http://schemas.microsoft.com/office/spreadsheetml/2009/9/main" uri="{B025F937-C7B1-47D3-B67F-A62EFF666E3E}">
          <x14:id>{92E34F54-8EE3-45C3-A515-5BC9F0B08488}</x14:id>
        </ext>
      </extLst>
    </cfRule>
    <cfRule type="iconSet" priority="5665">
      <iconSet iconSet="3Arrows">
        <cfvo type="percent" val="0"/>
        <cfvo type="num" val="0.7"/>
        <cfvo type="num" val="1"/>
      </iconSet>
    </cfRule>
  </conditionalFormatting>
  <conditionalFormatting sqref="N696">
    <cfRule type="dataBar" priority="5664">
      <dataBar>
        <cfvo type="num" val="0"/>
        <cfvo type="num" val="1"/>
        <color theme="4" tint="0.79998168889431442"/>
      </dataBar>
      <extLst>
        <ext xmlns:x14="http://schemas.microsoft.com/office/spreadsheetml/2009/9/main" uri="{B025F937-C7B1-47D3-B67F-A62EFF666E3E}">
          <x14:id>{6D8A0C37-7C1C-4ADA-B77D-1B5FDC59183C}</x14:id>
        </ext>
      </extLst>
    </cfRule>
    <cfRule type="iconSet" priority="5663">
      <iconSet iconSet="3Arrows">
        <cfvo type="percent" val="0"/>
        <cfvo type="num" val="0.7"/>
        <cfvo type="num" val="1"/>
      </iconSet>
    </cfRule>
  </conditionalFormatting>
  <conditionalFormatting sqref="N698">
    <cfRule type="dataBar" priority="5662">
      <dataBar>
        <cfvo type="num" val="0"/>
        <cfvo type="num" val="1"/>
        <color theme="4" tint="0.79998168889431442"/>
      </dataBar>
      <extLst>
        <ext xmlns:x14="http://schemas.microsoft.com/office/spreadsheetml/2009/9/main" uri="{B025F937-C7B1-47D3-B67F-A62EFF666E3E}">
          <x14:id>{9E6A8A3D-7E22-44B7-8345-8FDD71204EAA}</x14:id>
        </ext>
      </extLst>
    </cfRule>
    <cfRule type="iconSet" priority="5661">
      <iconSet iconSet="3Arrows">
        <cfvo type="percent" val="0"/>
        <cfvo type="num" val="0.7"/>
        <cfvo type="num" val="1"/>
      </iconSet>
    </cfRule>
  </conditionalFormatting>
  <conditionalFormatting sqref="N700">
    <cfRule type="dataBar" priority="5660">
      <dataBar>
        <cfvo type="num" val="0"/>
        <cfvo type="num" val="1"/>
        <color theme="4" tint="0.79998168889431442"/>
      </dataBar>
      <extLst>
        <ext xmlns:x14="http://schemas.microsoft.com/office/spreadsheetml/2009/9/main" uri="{B025F937-C7B1-47D3-B67F-A62EFF666E3E}">
          <x14:id>{91716F7B-CFBF-4676-8B02-67C3098D6BF7}</x14:id>
        </ext>
      </extLst>
    </cfRule>
    <cfRule type="iconSet" priority="5659">
      <iconSet iconSet="3Arrows">
        <cfvo type="percent" val="0"/>
        <cfvo type="num" val="0.7"/>
        <cfvo type="num" val="1"/>
      </iconSet>
    </cfRule>
  </conditionalFormatting>
  <conditionalFormatting sqref="N703">
    <cfRule type="dataBar" priority="5658">
      <dataBar>
        <cfvo type="num" val="0"/>
        <cfvo type="num" val="1"/>
        <color theme="4" tint="0.79998168889431442"/>
      </dataBar>
      <extLst>
        <ext xmlns:x14="http://schemas.microsoft.com/office/spreadsheetml/2009/9/main" uri="{B025F937-C7B1-47D3-B67F-A62EFF666E3E}">
          <x14:id>{61DA607A-AA03-44B6-952E-3DF9DB3EC532}</x14:id>
        </ext>
      </extLst>
    </cfRule>
    <cfRule type="iconSet" priority="5657">
      <iconSet iconSet="3Arrows">
        <cfvo type="percent" val="0"/>
        <cfvo type="num" val="0.7"/>
        <cfvo type="num" val="1"/>
      </iconSet>
    </cfRule>
  </conditionalFormatting>
  <conditionalFormatting sqref="N705">
    <cfRule type="iconSet" priority="5655">
      <iconSet iconSet="3Arrows">
        <cfvo type="percent" val="0"/>
        <cfvo type="num" val="0.7"/>
        <cfvo type="num" val="1"/>
      </iconSet>
    </cfRule>
    <cfRule type="dataBar" priority="5656">
      <dataBar>
        <cfvo type="num" val="0"/>
        <cfvo type="num" val="1"/>
        <color theme="4" tint="0.79998168889431442"/>
      </dataBar>
      <extLst>
        <ext xmlns:x14="http://schemas.microsoft.com/office/spreadsheetml/2009/9/main" uri="{B025F937-C7B1-47D3-B67F-A62EFF666E3E}">
          <x14:id>{7BCBD8C9-1E75-4B46-996D-71D3B25FD2FB}</x14:id>
        </ext>
      </extLst>
    </cfRule>
  </conditionalFormatting>
  <conditionalFormatting sqref="N707">
    <cfRule type="dataBar" priority="5654">
      <dataBar>
        <cfvo type="num" val="0"/>
        <cfvo type="num" val="1"/>
        <color theme="4" tint="0.79998168889431442"/>
      </dataBar>
      <extLst>
        <ext xmlns:x14="http://schemas.microsoft.com/office/spreadsheetml/2009/9/main" uri="{B025F937-C7B1-47D3-B67F-A62EFF666E3E}">
          <x14:id>{63D8218C-7A38-47A2-9C46-A65FE8023BD0}</x14:id>
        </ext>
      </extLst>
    </cfRule>
    <cfRule type="iconSet" priority="5653">
      <iconSet iconSet="3Arrows">
        <cfvo type="percent" val="0"/>
        <cfvo type="num" val="0.7"/>
        <cfvo type="num" val="1"/>
      </iconSet>
    </cfRule>
  </conditionalFormatting>
  <conditionalFormatting sqref="N709">
    <cfRule type="dataBar" priority="5652">
      <dataBar>
        <cfvo type="num" val="0"/>
        <cfvo type="num" val="1"/>
        <color theme="4" tint="0.79998168889431442"/>
      </dataBar>
      <extLst>
        <ext xmlns:x14="http://schemas.microsoft.com/office/spreadsheetml/2009/9/main" uri="{B025F937-C7B1-47D3-B67F-A62EFF666E3E}">
          <x14:id>{AC8637F6-46A5-4C8E-BDA2-2F980FAC523E}</x14:id>
        </ext>
      </extLst>
    </cfRule>
    <cfRule type="iconSet" priority="5651">
      <iconSet iconSet="3Arrows">
        <cfvo type="percent" val="0"/>
        <cfvo type="num" val="0.7"/>
        <cfvo type="num" val="1"/>
      </iconSet>
    </cfRule>
  </conditionalFormatting>
  <conditionalFormatting sqref="N711">
    <cfRule type="dataBar" priority="5650">
      <dataBar>
        <cfvo type="num" val="0"/>
        <cfvo type="num" val="1"/>
        <color theme="4" tint="0.79998168889431442"/>
      </dataBar>
      <extLst>
        <ext xmlns:x14="http://schemas.microsoft.com/office/spreadsheetml/2009/9/main" uri="{B025F937-C7B1-47D3-B67F-A62EFF666E3E}">
          <x14:id>{F9005555-8875-4B45-9928-1F74AF5379B4}</x14:id>
        </ext>
      </extLst>
    </cfRule>
    <cfRule type="iconSet" priority="5649">
      <iconSet iconSet="3Arrows">
        <cfvo type="percent" val="0"/>
        <cfvo type="num" val="0.7"/>
        <cfvo type="num" val="1"/>
      </iconSet>
    </cfRule>
  </conditionalFormatting>
  <conditionalFormatting sqref="N713">
    <cfRule type="iconSet" priority="5647">
      <iconSet iconSet="3Arrows">
        <cfvo type="percent" val="0"/>
        <cfvo type="num" val="0.7"/>
        <cfvo type="num" val="1"/>
      </iconSet>
    </cfRule>
    <cfRule type="dataBar" priority="5648">
      <dataBar>
        <cfvo type="num" val="0"/>
        <cfvo type="num" val="1"/>
        <color theme="4" tint="0.79998168889431442"/>
      </dataBar>
      <extLst>
        <ext xmlns:x14="http://schemas.microsoft.com/office/spreadsheetml/2009/9/main" uri="{B025F937-C7B1-47D3-B67F-A62EFF666E3E}">
          <x14:id>{ABD3417F-FB36-486A-9DB8-058FFD7B98D0}</x14:id>
        </ext>
      </extLst>
    </cfRule>
  </conditionalFormatting>
  <conditionalFormatting sqref="N715">
    <cfRule type="dataBar" priority="5646">
      <dataBar>
        <cfvo type="num" val="0"/>
        <cfvo type="num" val="1"/>
        <color theme="4" tint="0.79998168889431442"/>
      </dataBar>
      <extLst>
        <ext xmlns:x14="http://schemas.microsoft.com/office/spreadsheetml/2009/9/main" uri="{B025F937-C7B1-47D3-B67F-A62EFF666E3E}">
          <x14:id>{46841A4C-EF9B-4884-8653-5E988E37B78C}</x14:id>
        </ext>
      </extLst>
    </cfRule>
    <cfRule type="iconSet" priority="5645">
      <iconSet iconSet="3Arrows">
        <cfvo type="percent" val="0"/>
        <cfvo type="num" val="0.7"/>
        <cfvo type="num" val="1"/>
      </iconSet>
    </cfRule>
  </conditionalFormatting>
  <conditionalFormatting sqref="N717">
    <cfRule type="dataBar" priority="5644">
      <dataBar>
        <cfvo type="num" val="0"/>
        <cfvo type="num" val="1"/>
        <color theme="4" tint="0.79998168889431442"/>
      </dataBar>
      <extLst>
        <ext xmlns:x14="http://schemas.microsoft.com/office/spreadsheetml/2009/9/main" uri="{B025F937-C7B1-47D3-B67F-A62EFF666E3E}">
          <x14:id>{1CF89AE2-1296-440B-A9CA-B54564381E09}</x14:id>
        </ext>
      </extLst>
    </cfRule>
    <cfRule type="iconSet" priority="5643">
      <iconSet iconSet="3Arrows">
        <cfvo type="percent" val="0"/>
        <cfvo type="num" val="0.7"/>
        <cfvo type="num" val="1"/>
      </iconSet>
    </cfRule>
  </conditionalFormatting>
  <conditionalFormatting sqref="N719">
    <cfRule type="dataBar" priority="5642">
      <dataBar>
        <cfvo type="num" val="0"/>
        <cfvo type="num" val="1"/>
        <color theme="4" tint="0.79998168889431442"/>
      </dataBar>
      <extLst>
        <ext xmlns:x14="http://schemas.microsoft.com/office/spreadsheetml/2009/9/main" uri="{B025F937-C7B1-47D3-B67F-A62EFF666E3E}">
          <x14:id>{8099F23D-C575-4D8A-BAB6-E474E4AA32EF}</x14:id>
        </ext>
      </extLst>
    </cfRule>
    <cfRule type="iconSet" priority="5641">
      <iconSet iconSet="3Arrows">
        <cfvo type="percent" val="0"/>
        <cfvo type="num" val="0.7"/>
        <cfvo type="num" val="1"/>
      </iconSet>
    </cfRule>
  </conditionalFormatting>
  <conditionalFormatting sqref="N721">
    <cfRule type="iconSet" priority="5639">
      <iconSet iconSet="3Arrows">
        <cfvo type="percent" val="0"/>
        <cfvo type="num" val="0.7"/>
        <cfvo type="num" val="1"/>
      </iconSet>
    </cfRule>
    <cfRule type="dataBar" priority="5640">
      <dataBar>
        <cfvo type="num" val="0"/>
        <cfvo type="num" val="1"/>
        <color theme="4" tint="0.79998168889431442"/>
      </dataBar>
      <extLst>
        <ext xmlns:x14="http://schemas.microsoft.com/office/spreadsheetml/2009/9/main" uri="{B025F937-C7B1-47D3-B67F-A62EFF666E3E}">
          <x14:id>{D1248951-6110-4A00-B36C-6AD0BAC10432}</x14:id>
        </ext>
      </extLst>
    </cfRule>
  </conditionalFormatting>
  <conditionalFormatting sqref="N723">
    <cfRule type="iconSet" priority="5637">
      <iconSet iconSet="3Arrows">
        <cfvo type="percent" val="0"/>
        <cfvo type="num" val="0.7"/>
        <cfvo type="num" val="1"/>
      </iconSet>
    </cfRule>
    <cfRule type="dataBar" priority="5638">
      <dataBar>
        <cfvo type="num" val="0"/>
        <cfvo type="num" val="1"/>
        <color theme="4" tint="0.79998168889431442"/>
      </dataBar>
      <extLst>
        <ext xmlns:x14="http://schemas.microsoft.com/office/spreadsheetml/2009/9/main" uri="{B025F937-C7B1-47D3-B67F-A62EFF666E3E}">
          <x14:id>{00101E39-414D-43D4-9A90-71F2A127F27B}</x14:id>
        </ext>
      </extLst>
    </cfRule>
  </conditionalFormatting>
  <conditionalFormatting sqref="N725">
    <cfRule type="dataBar" priority="5636">
      <dataBar>
        <cfvo type="num" val="0"/>
        <cfvo type="num" val="1"/>
        <color theme="4" tint="0.79998168889431442"/>
      </dataBar>
      <extLst>
        <ext xmlns:x14="http://schemas.microsoft.com/office/spreadsheetml/2009/9/main" uri="{B025F937-C7B1-47D3-B67F-A62EFF666E3E}">
          <x14:id>{F8153A6E-2B0D-415B-9C09-B73288FDA571}</x14:id>
        </ext>
      </extLst>
    </cfRule>
    <cfRule type="iconSet" priority="5635">
      <iconSet iconSet="3Arrows">
        <cfvo type="percent" val="0"/>
        <cfvo type="num" val="0.7"/>
        <cfvo type="num" val="1"/>
      </iconSet>
    </cfRule>
  </conditionalFormatting>
  <conditionalFormatting sqref="N727">
    <cfRule type="dataBar" priority="5634">
      <dataBar>
        <cfvo type="num" val="0"/>
        <cfvo type="num" val="1"/>
        <color theme="4" tint="0.79998168889431442"/>
      </dataBar>
      <extLst>
        <ext xmlns:x14="http://schemas.microsoft.com/office/spreadsheetml/2009/9/main" uri="{B025F937-C7B1-47D3-B67F-A62EFF666E3E}">
          <x14:id>{8097D32A-3377-4377-98FD-8D803C5E84A1}</x14:id>
        </ext>
      </extLst>
    </cfRule>
    <cfRule type="iconSet" priority="5633">
      <iconSet iconSet="3Arrows">
        <cfvo type="percent" val="0"/>
        <cfvo type="num" val="0.7"/>
        <cfvo type="num" val="1"/>
      </iconSet>
    </cfRule>
  </conditionalFormatting>
  <conditionalFormatting sqref="N729">
    <cfRule type="dataBar" priority="5632">
      <dataBar>
        <cfvo type="num" val="0"/>
        <cfvo type="num" val="1"/>
        <color theme="4" tint="0.79998168889431442"/>
      </dataBar>
      <extLst>
        <ext xmlns:x14="http://schemas.microsoft.com/office/spreadsheetml/2009/9/main" uri="{B025F937-C7B1-47D3-B67F-A62EFF666E3E}">
          <x14:id>{0A0A04A7-7EF3-4FD6-ABC1-59E83EBF08E9}</x14:id>
        </ext>
      </extLst>
    </cfRule>
    <cfRule type="iconSet" priority="5631">
      <iconSet iconSet="3Arrows">
        <cfvo type="percent" val="0"/>
        <cfvo type="num" val="0.7"/>
        <cfvo type="num" val="1"/>
      </iconSet>
    </cfRule>
  </conditionalFormatting>
  <conditionalFormatting sqref="N731">
    <cfRule type="dataBar" priority="5630">
      <dataBar>
        <cfvo type="num" val="0"/>
        <cfvo type="num" val="1"/>
        <color theme="4" tint="0.79998168889431442"/>
      </dataBar>
      <extLst>
        <ext xmlns:x14="http://schemas.microsoft.com/office/spreadsheetml/2009/9/main" uri="{B025F937-C7B1-47D3-B67F-A62EFF666E3E}">
          <x14:id>{E5AD9D6F-BE85-4EE4-9B5D-51FAD1BD257E}</x14:id>
        </ext>
      </extLst>
    </cfRule>
    <cfRule type="iconSet" priority="5629">
      <iconSet iconSet="3Arrows">
        <cfvo type="percent" val="0"/>
        <cfvo type="num" val="0.7"/>
        <cfvo type="num" val="1"/>
      </iconSet>
    </cfRule>
  </conditionalFormatting>
  <conditionalFormatting sqref="N733">
    <cfRule type="dataBar" priority="5628">
      <dataBar>
        <cfvo type="num" val="0"/>
        <cfvo type="num" val="1"/>
        <color theme="4" tint="0.79998168889431442"/>
      </dataBar>
      <extLst>
        <ext xmlns:x14="http://schemas.microsoft.com/office/spreadsheetml/2009/9/main" uri="{B025F937-C7B1-47D3-B67F-A62EFF666E3E}">
          <x14:id>{3CA506F8-8784-4E87-8C5A-DDA038888D9A}</x14:id>
        </ext>
      </extLst>
    </cfRule>
    <cfRule type="iconSet" priority="5627">
      <iconSet iconSet="3Arrows">
        <cfvo type="percent" val="0"/>
        <cfvo type="num" val="0.7"/>
        <cfvo type="num" val="1"/>
      </iconSet>
    </cfRule>
  </conditionalFormatting>
  <conditionalFormatting sqref="N735">
    <cfRule type="dataBar" priority="5626">
      <dataBar>
        <cfvo type="num" val="0"/>
        <cfvo type="num" val="1"/>
        <color theme="4" tint="0.79998168889431442"/>
      </dataBar>
      <extLst>
        <ext xmlns:x14="http://schemas.microsoft.com/office/spreadsheetml/2009/9/main" uri="{B025F937-C7B1-47D3-B67F-A62EFF666E3E}">
          <x14:id>{D6673DE6-AECF-4108-84A2-826D820F2417}</x14:id>
        </ext>
      </extLst>
    </cfRule>
    <cfRule type="iconSet" priority="5625">
      <iconSet iconSet="3Arrows">
        <cfvo type="percent" val="0"/>
        <cfvo type="num" val="0.7"/>
        <cfvo type="num" val="1"/>
      </iconSet>
    </cfRule>
  </conditionalFormatting>
  <conditionalFormatting sqref="N737">
    <cfRule type="dataBar" priority="5624">
      <dataBar>
        <cfvo type="num" val="0"/>
        <cfvo type="num" val="1"/>
        <color theme="4" tint="0.79998168889431442"/>
      </dataBar>
      <extLst>
        <ext xmlns:x14="http://schemas.microsoft.com/office/spreadsheetml/2009/9/main" uri="{B025F937-C7B1-47D3-B67F-A62EFF666E3E}">
          <x14:id>{43AC4B4C-3AC4-4098-BE38-20DA57E12884}</x14:id>
        </ext>
      </extLst>
    </cfRule>
    <cfRule type="iconSet" priority="5623">
      <iconSet iconSet="3Arrows">
        <cfvo type="percent" val="0"/>
        <cfvo type="num" val="0.7"/>
        <cfvo type="num" val="1"/>
      </iconSet>
    </cfRule>
  </conditionalFormatting>
  <conditionalFormatting sqref="N739">
    <cfRule type="dataBar" priority="5622">
      <dataBar>
        <cfvo type="num" val="0"/>
        <cfvo type="num" val="1"/>
        <color theme="4" tint="0.79998168889431442"/>
      </dataBar>
      <extLst>
        <ext xmlns:x14="http://schemas.microsoft.com/office/spreadsheetml/2009/9/main" uri="{B025F937-C7B1-47D3-B67F-A62EFF666E3E}">
          <x14:id>{62B21AFA-3DBB-4426-B438-81DC779C3499}</x14:id>
        </ext>
      </extLst>
    </cfRule>
    <cfRule type="iconSet" priority="5621">
      <iconSet iconSet="3Arrows">
        <cfvo type="percent" val="0"/>
        <cfvo type="num" val="0.7"/>
        <cfvo type="num" val="1"/>
      </iconSet>
    </cfRule>
  </conditionalFormatting>
  <conditionalFormatting sqref="N741">
    <cfRule type="dataBar" priority="5620">
      <dataBar>
        <cfvo type="num" val="0"/>
        <cfvo type="num" val="1"/>
        <color theme="4" tint="0.79998168889431442"/>
      </dataBar>
      <extLst>
        <ext xmlns:x14="http://schemas.microsoft.com/office/spreadsheetml/2009/9/main" uri="{B025F937-C7B1-47D3-B67F-A62EFF666E3E}">
          <x14:id>{BA877DF3-1D39-48DD-8026-8EB37A2321C3}</x14:id>
        </ext>
      </extLst>
    </cfRule>
    <cfRule type="iconSet" priority="5619">
      <iconSet iconSet="3Arrows">
        <cfvo type="percent" val="0"/>
        <cfvo type="num" val="0.7"/>
        <cfvo type="num" val="1"/>
      </iconSet>
    </cfRule>
  </conditionalFormatting>
  <conditionalFormatting sqref="N743">
    <cfRule type="dataBar" priority="5618">
      <dataBar>
        <cfvo type="num" val="0"/>
        <cfvo type="num" val="1"/>
        <color theme="4" tint="0.79998168889431442"/>
      </dataBar>
      <extLst>
        <ext xmlns:x14="http://schemas.microsoft.com/office/spreadsheetml/2009/9/main" uri="{B025F937-C7B1-47D3-B67F-A62EFF666E3E}">
          <x14:id>{87F607C5-9DD6-4D13-B0B9-682080DCF93E}</x14:id>
        </ext>
      </extLst>
    </cfRule>
    <cfRule type="iconSet" priority="5617">
      <iconSet iconSet="3Arrows">
        <cfvo type="percent" val="0"/>
        <cfvo type="num" val="0.7"/>
        <cfvo type="num" val="1"/>
      </iconSet>
    </cfRule>
  </conditionalFormatting>
  <conditionalFormatting sqref="N745">
    <cfRule type="dataBar" priority="5616">
      <dataBar>
        <cfvo type="num" val="0"/>
        <cfvo type="num" val="1"/>
        <color theme="4" tint="0.79998168889431442"/>
      </dataBar>
      <extLst>
        <ext xmlns:x14="http://schemas.microsoft.com/office/spreadsheetml/2009/9/main" uri="{B025F937-C7B1-47D3-B67F-A62EFF666E3E}">
          <x14:id>{D7974B54-F319-4A22-AADD-9CD939A0E2CF}</x14:id>
        </ext>
      </extLst>
    </cfRule>
    <cfRule type="iconSet" priority="5615">
      <iconSet iconSet="3Arrows">
        <cfvo type="percent" val="0"/>
        <cfvo type="num" val="0.7"/>
        <cfvo type="num" val="1"/>
      </iconSet>
    </cfRule>
  </conditionalFormatting>
  <conditionalFormatting sqref="N747">
    <cfRule type="dataBar" priority="5614">
      <dataBar>
        <cfvo type="num" val="0"/>
        <cfvo type="num" val="1"/>
        <color theme="4" tint="0.79998168889431442"/>
      </dataBar>
      <extLst>
        <ext xmlns:x14="http://schemas.microsoft.com/office/spreadsheetml/2009/9/main" uri="{B025F937-C7B1-47D3-B67F-A62EFF666E3E}">
          <x14:id>{F464667C-D5F4-413D-8669-5A30627BCE90}</x14:id>
        </ext>
      </extLst>
    </cfRule>
    <cfRule type="iconSet" priority="5613">
      <iconSet iconSet="3Arrows">
        <cfvo type="percent" val="0"/>
        <cfvo type="num" val="0.7"/>
        <cfvo type="num" val="1"/>
      </iconSet>
    </cfRule>
  </conditionalFormatting>
  <conditionalFormatting sqref="N749">
    <cfRule type="dataBar" priority="5612">
      <dataBar>
        <cfvo type="num" val="0"/>
        <cfvo type="num" val="1"/>
        <color theme="4" tint="0.79998168889431442"/>
      </dataBar>
      <extLst>
        <ext xmlns:x14="http://schemas.microsoft.com/office/spreadsheetml/2009/9/main" uri="{B025F937-C7B1-47D3-B67F-A62EFF666E3E}">
          <x14:id>{8BE63587-BBE8-42AA-9DC3-C5A5D57177E6}</x14:id>
        </ext>
      </extLst>
    </cfRule>
    <cfRule type="iconSet" priority="5611">
      <iconSet iconSet="3Arrows">
        <cfvo type="percent" val="0"/>
        <cfvo type="num" val="0.7"/>
        <cfvo type="num" val="1"/>
      </iconSet>
    </cfRule>
  </conditionalFormatting>
  <conditionalFormatting sqref="N751">
    <cfRule type="dataBar" priority="5610">
      <dataBar>
        <cfvo type="num" val="0"/>
        <cfvo type="num" val="1"/>
        <color theme="4" tint="0.79998168889431442"/>
      </dataBar>
      <extLst>
        <ext xmlns:x14="http://schemas.microsoft.com/office/spreadsheetml/2009/9/main" uri="{B025F937-C7B1-47D3-B67F-A62EFF666E3E}">
          <x14:id>{74444699-7BB5-47A1-AC95-3AAB45479480}</x14:id>
        </ext>
      </extLst>
    </cfRule>
    <cfRule type="iconSet" priority="5609">
      <iconSet iconSet="3Arrows">
        <cfvo type="percent" val="0"/>
        <cfvo type="num" val="0.7"/>
        <cfvo type="num" val="1"/>
      </iconSet>
    </cfRule>
  </conditionalFormatting>
  <conditionalFormatting sqref="N753">
    <cfRule type="iconSet" priority="5607">
      <iconSet iconSet="3Arrows">
        <cfvo type="percent" val="0"/>
        <cfvo type="num" val="0.7"/>
        <cfvo type="num" val="1"/>
      </iconSet>
    </cfRule>
    <cfRule type="dataBar" priority="5608">
      <dataBar>
        <cfvo type="num" val="0"/>
        <cfvo type="num" val="1"/>
        <color theme="4" tint="0.79998168889431442"/>
      </dataBar>
      <extLst>
        <ext xmlns:x14="http://schemas.microsoft.com/office/spreadsheetml/2009/9/main" uri="{B025F937-C7B1-47D3-B67F-A62EFF666E3E}">
          <x14:id>{C9750581-9259-4C36-A280-42A3DBABFE61}</x14:id>
        </ext>
      </extLst>
    </cfRule>
  </conditionalFormatting>
  <conditionalFormatting sqref="N755">
    <cfRule type="iconSet" priority="5605">
      <iconSet iconSet="3Arrows">
        <cfvo type="percent" val="0"/>
        <cfvo type="num" val="0.7"/>
        <cfvo type="num" val="1"/>
      </iconSet>
    </cfRule>
    <cfRule type="dataBar" priority="5606">
      <dataBar>
        <cfvo type="num" val="0"/>
        <cfvo type="num" val="1"/>
        <color theme="4" tint="0.79998168889431442"/>
      </dataBar>
      <extLst>
        <ext xmlns:x14="http://schemas.microsoft.com/office/spreadsheetml/2009/9/main" uri="{B025F937-C7B1-47D3-B67F-A62EFF666E3E}">
          <x14:id>{1352A6BB-94D3-4C99-BFDC-7233A7DE7DE6}</x14:id>
        </ext>
      </extLst>
    </cfRule>
  </conditionalFormatting>
  <conditionalFormatting sqref="N757">
    <cfRule type="iconSet" priority="5603">
      <iconSet iconSet="3Arrows">
        <cfvo type="percent" val="0"/>
        <cfvo type="num" val="0.7"/>
        <cfvo type="num" val="1"/>
      </iconSet>
    </cfRule>
    <cfRule type="dataBar" priority="5604">
      <dataBar>
        <cfvo type="num" val="0"/>
        <cfvo type="num" val="1"/>
        <color theme="4" tint="0.79998168889431442"/>
      </dataBar>
      <extLst>
        <ext xmlns:x14="http://schemas.microsoft.com/office/spreadsheetml/2009/9/main" uri="{B025F937-C7B1-47D3-B67F-A62EFF666E3E}">
          <x14:id>{08C77C65-D074-4DBF-9EB0-4273C00FDE3E}</x14:id>
        </ext>
      </extLst>
    </cfRule>
  </conditionalFormatting>
  <conditionalFormatting sqref="N761">
    <cfRule type="dataBar" priority="5602">
      <dataBar>
        <cfvo type="num" val="0"/>
        <cfvo type="num" val="1"/>
        <color theme="4" tint="0.79998168889431442"/>
      </dataBar>
      <extLst>
        <ext xmlns:x14="http://schemas.microsoft.com/office/spreadsheetml/2009/9/main" uri="{B025F937-C7B1-47D3-B67F-A62EFF666E3E}">
          <x14:id>{3EBAB90F-C93F-435E-9AF8-14BD95674437}</x14:id>
        </ext>
      </extLst>
    </cfRule>
    <cfRule type="iconSet" priority="5601">
      <iconSet iconSet="3Arrows">
        <cfvo type="percent" val="0"/>
        <cfvo type="num" val="0.7"/>
        <cfvo type="num" val="1"/>
      </iconSet>
    </cfRule>
  </conditionalFormatting>
  <conditionalFormatting sqref="N763">
    <cfRule type="dataBar" priority="5600">
      <dataBar>
        <cfvo type="num" val="0"/>
        <cfvo type="num" val="1"/>
        <color theme="4" tint="0.79998168889431442"/>
      </dataBar>
      <extLst>
        <ext xmlns:x14="http://schemas.microsoft.com/office/spreadsheetml/2009/9/main" uri="{B025F937-C7B1-47D3-B67F-A62EFF666E3E}">
          <x14:id>{14335CAA-4950-43A7-8298-116D0D885CC0}</x14:id>
        </ext>
      </extLst>
    </cfRule>
    <cfRule type="iconSet" priority="5599">
      <iconSet iconSet="3Arrows">
        <cfvo type="percent" val="0"/>
        <cfvo type="num" val="0.7"/>
        <cfvo type="num" val="1"/>
      </iconSet>
    </cfRule>
  </conditionalFormatting>
  <conditionalFormatting sqref="N765">
    <cfRule type="dataBar" priority="5598">
      <dataBar>
        <cfvo type="num" val="0"/>
        <cfvo type="num" val="1"/>
        <color theme="4" tint="0.79998168889431442"/>
      </dataBar>
      <extLst>
        <ext xmlns:x14="http://schemas.microsoft.com/office/spreadsheetml/2009/9/main" uri="{B025F937-C7B1-47D3-B67F-A62EFF666E3E}">
          <x14:id>{7188AC5D-DFD0-497B-BEDB-AE5424670626}</x14:id>
        </ext>
      </extLst>
    </cfRule>
    <cfRule type="iconSet" priority="5597">
      <iconSet iconSet="3Arrows">
        <cfvo type="percent" val="0"/>
        <cfvo type="num" val="0.7"/>
        <cfvo type="num" val="1"/>
      </iconSet>
    </cfRule>
  </conditionalFormatting>
  <conditionalFormatting sqref="N767">
    <cfRule type="dataBar" priority="5596">
      <dataBar>
        <cfvo type="num" val="0"/>
        <cfvo type="num" val="1"/>
        <color theme="4" tint="0.79998168889431442"/>
      </dataBar>
      <extLst>
        <ext xmlns:x14="http://schemas.microsoft.com/office/spreadsheetml/2009/9/main" uri="{B025F937-C7B1-47D3-B67F-A62EFF666E3E}">
          <x14:id>{1DDD17D9-860C-4B55-8148-35E16D7F2C30}</x14:id>
        </ext>
      </extLst>
    </cfRule>
    <cfRule type="iconSet" priority="5595">
      <iconSet iconSet="3Arrows">
        <cfvo type="percent" val="0"/>
        <cfvo type="num" val="0.7"/>
        <cfvo type="num" val="1"/>
      </iconSet>
    </cfRule>
  </conditionalFormatting>
  <conditionalFormatting sqref="N769">
    <cfRule type="dataBar" priority="5594">
      <dataBar>
        <cfvo type="num" val="0"/>
        <cfvo type="num" val="1"/>
        <color theme="4" tint="0.79998168889431442"/>
      </dataBar>
      <extLst>
        <ext xmlns:x14="http://schemas.microsoft.com/office/spreadsheetml/2009/9/main" uri="{B025F937-C7B1-47D3-B67F-A62EFF666E3E}">
          <x14:id>{E37E4E03-D24E-4BE2-9B38-B9BFEA424005}</x14:id>
        </ext>
      </extLst>
    </cfRule>
    <cfRule type="iconSet" priority="5593">
      <iconSet iconSet="3Arrows">
        <cfvo type="percent" val="0"/>
        <cfvo type="num" val="0.7"/>
        <cfvo type="num" val="1"/>
      </iconSet>
    </cfRule>
  </conditionalFormatting>
  <conditionalFormatting sqref="N771">
    <cfRule type="iconSet" priority="5591">
      <iconSet iconSet="3Arrows">
        <cfvo type="percent" val="0"/>
        <cfvo type="num" val="0.7"/>
        <cfvo type="num" val="1"/>
      </iconSet>
    </cfRule>
    <cfRule type="dataBar" priority="5592">
      <dataBar>
        <cfvo type="num" val="0"/>
        <cfvo type="num" val="1"/>
        <color theme="4" tint="0.79998168889431442"/>
      </dataBar>
      <extLst>
        <ext xmlns:x14="http://schemas.microsoft.com/office/spreadsheetml/2009/9/main" uri="{B025F937-C7B1-47D3-B67F-A62EFF666E3E}">
          <x14:id>{6D0CA299-27B5-4809-B50C-2762253C3F2B}</x14:id>
        </ext>
      </extLst>
    </cfRule>
  </conditionalFormatting>
  <conditionalFormatting sqref="N773">
    <cfRule type="iconSet" priority="5589">
      <iconSet iconSet="3Arrows">
        <cfvo type="percent" val="0"/>
        <cfvo type="num" val="0.7"/>
        <cfvo type="num" val="1"/>
      </iconSet>
    </cfRule>
    <cfRule type="dataBar" priority="5590">
      <dataBar>
        <cfvo type="num" val="0"/>
        <cfvo type="num" val="1"/>
        <color theme="4" tint="0.79998168889431442"/>
      </dataBar>
      <extLst>
        <ext xmlns:x14="http://schemas.microsoft.com/office/spreadsheetml/2009/9/main" uri="{B025F937-C7B1-47D3-B67F-A62EFF666E3E}">
          <x14:id>{C81B31A5-F30F-4232-8C73-5EF7262B7E5F}</x14:id>
        </ext>
      </extLst>
    </cfRule>
  </conditionalFormatting>
  <conditionalFormatting sqref="N775">
    <cfRule type="dataBar" priority="5588">
      <dataBar>
        <cfvo type="num" val="0"/>
        <cfvo type="num" val="1"/>
        <color theme="4" tint="0.79998168889431442"/>
      </dataBar>
      <extLst>
        <ext xmlns:x14="http://schemas.microsoft.com/office/spreadsheetml/2009/9/main" uri="{B025F937-C7B1-47D3-B67F-A62EFF666E3E}">
          <x14:id>{A6D2BDD1-02DC-4333-B903-01EEDB9C7193}</x14:id>
        </ext>
      </extLst>
    </cfRule>
    <cfRule type="iconSet" priority="5587">
      <iconSet iconSet="3Arrows">
        <cfvo type="percent" val="0"/>
        <cfvo type="num" val="0.7"/>
        <cfvo type="num" val="1"/>
      </iconSet>
    </cfRule>
  </conditionalFormatting>
  <conditionalFormatting sqref="N777">
    <cfRule type="dataBar" priority="5586">
      <dataBar>
        <cfvo type="num" val="0"/>
        <cfvo type="num" val="1"/>
        <color theme="4" tint="0.79998168889431442"/>
      </dataBar>
      <extLst>
        <ext xmlns:x14="http://schemas.microsoft.com/office/spreadsheetml/2009/9/main" uri="{B025F937-C7B1-47D3-B67F-A62EFF666E3E}">
          <x14:id>{CCB76BA8-A890-4375-9988-16BCBB40830D}</x14:id>
        </ext>
      </extLst>
    </cfRule>
    <cfRule type="iconSet" priority="5585">
      <iconSet iconSet="3Arrows">
        <cfvo type="percent" val="0"/>
        <cfvo type="num" val="0.7"/>
        <cfvo type="num" val="1"/>
      </iconSet>
    </cfRule>
  </conditionalFormatting>
  <conditionalFormatting sqref="N781">
    <cfRule type="dataBar" priority="5584">
      <dataBar>
        <cfvo type="num" val="0"/>
        <cfvo type="num" val="1"/>
        <color theme="4" tint="0.79998168889431442"/>
      </dataBar>
      <extLst>
        <ext xmlns:x14="http://schemas.microsoft.com/office/spreadsheetml/2009/9/main" uri="{B025F937-C7B1-47D3-B67F-A62EFF666E3E}">
          <x14:id>{B939C8EB-A341-45A7-AFA6-890A902F3BF2}</x14:id>
        </ext>
      </extLst>
    </cfRule>
    <cfRule type="iconSet" priority="5583">
      <iconSet iconSet="3Arrows">
        <cfvo type="percent" val="0"/>
        <cfvo type="num" val="0.7"/>
        <cfvo type="num" val="1"/>
      </iconSet>
    </cfRule>
  </conditionalFormatting>
  <conditionalFormatting sqref="N783">
    <cfRule type="dataBar" priority="5582">
      <dataBar>
        <cfvo type="num" val="0"/>
        <cfvo type="num" val="1"/>
        <color theme="4" tint="0.79998168889431442"/>
      </dataBar>
      <extLst>
        <ext xmlns:x14="http://schemas.microsoft.com/office/spreadsheetml/2009/9/main" uri="{B025F937-C7B1-47D3-B67F-A62EFF666E3E}">
          <x14:id>{41CBF40B-4F05-4137-9787-B4FEDCDB2311}</x14:id>
        </ext>
      </extLst>
    </cfRule>
    <cfRule type="iconSet" priority="5581">
      <iconSet iconSet="3Arrows">
        <cfvo type="percent" val="0"/>
        <cfvo type="num" val="0.7"/>
        <cfvo type="num" val="1"/>
      </iconSet>
    </cfRule>
  </conditionalFormatting>
  <conditionalFormatting sqref="N785">
    <cfRule type="dataBar" priority="5580">
      <dataBar>
        <cfvo type="num" val="0"/>
        <cfvo type="num" val="1"/>
        <color theme="4" tint="0.79998168889431442"/>
      </dataBar>
      <extLst>
        <ext xmlns:x14="http://schemas.microsoft.com/office/spreadsheetml/2009/9/main" uri="{B025F937-C7B1-47D3-B67F-A62EFF666E3E}">
          <x14:id>{2AFA3768-A2C0-4CFA-A596-198BEACD9AFE}</x14:id>
        </ext>
      </extLst>
    </cfRule>
    <cfRule type="iconSet" priority="5579">
      <iconSet iconSet="3Arrows">
        <cfvo type="percent" val="0"/>
        <cfvo type="num" val="0.7"/>
        <cfvo type="num" val="1"/>
      </iconSet>
    </cfRule>
  </conditionalFormatting>
  <conditionalFormatting sqref="N787">
    <cfRule type="dataBar" priority="5578">
      <dataBar>
        <cfvo type="num" val="0"/>
        <cfvo type="num" val="1"/>
        <color theme="4" tint="0.79998168889431442"/>
      </dataBar>
      <extLst>
        <ext xmlns:x14="http://schemas.microsoft.com/office/spreadsheetml/2009/9/main" uri="{B025F937-C7B1-47D3-B67F-A62EFF666E3E}">
          <x14:id>{2EB28BD4-8D8D-4B00-BC2A-BB5A52FACB9D}</x14:id>
        </ext>
      </extLst>
    </cfRule>
    <cfRule type="iconSet" priority="5577">
      <iconSet iconSet="3Arrows">
        <cfvo type="percent" val="0"/>
        <cfvo type="num" val="0.7"/>
        <cfvo type="num" val="1"/>
      </iconSet>
    </cfRule>
  </conditionalFormatting>
  <conditionalFormatting sqref="N789">
    <cfRule type="iconSet" priority="5575">
      <iconSet iconSet="3Arrows">
        <cfvo type="percent" val="0"/>
        <cfvo type="num" val="0.7"/>
        <cfvo type="num" val="1"/>
      </iconSet>
    </cfRule>
    <cfRule type="dataBar" priority="5576">
      <dataBar>
        <cfvo type="num" val="0"/>
        <cfvo type="num" val="1"/>
        <color theme="4" tint="0.79998168889431442"/>
      </dataBar>
      <extLst>
        <ext xmlns:x14="http://schemas.microsoft.com/office/spreadsheetml/2009/9/main" uri="{B025F937-C7B1-47D3-B67F-A62EFF666E3E}">
          <x14:id>{641A1954-4F01-4398-A76D-2F8552501F25}</x14:id>
        </ext>
      </extLst>
    </cfRule>
  </conditionalFormatting>
  <conditionalFormatting sqref="N791">
    <cfRule type="iconSet" priority="5573">
      <iconSet iconSet="3Arrows">
        <cfvo type="percent" val="0"/>
        <cfvo type="num" val="0.7"/>
        <cfvo type="num" val="1"/>
      </iconSet>
    </cfRule>
    <cfRule type="dataBar" priority="5574">
      <dataBar>
        <cfvo type="num" val="0"/>
        <cfvo type="num" val="1"/>
        <color theme="4" tint="0.79998168889431442"/>
      </dataBar>
      <extLst>
        <ext xmlns:x14="http://schemas.microsoft.com/office/spreadsheetml/2009/9/main" uri="{B025F937-C7B1-47D3-B67F-A62EFF666E3E}">
          <x14:id>{4FE08BB9-36B3-4ECD-B96A-B6FF25DF151F}</x14:id>
        </ext>
      </extLst>
    </cfRule>
  </conditionalFormatting>
  <conditionalFormatting sqref="N793">
    <cfRule type="dataBar" priority="5572">
      <dataBar>
        <cfvo type="num" val="0"/>
        <cfvo type="num" val="1"/>
        <color theme="4" tint="0.79998168889431442"/>
      </dataBar>
      <extLst>
        <ext xmlns:x14="http://schemas.microsoft.com/office/spreadsheetml/2009/9/main" uri="{B025F937-C7B1-47D3-B67F-A62EFF666E3E}">
          <x14:id>{F5CA6275-EADC-4256-B66A-744F77C15BA7}</x14:id>
        </ext>
      </extLst>
    </cfRule>
    <cfRule type="iconSet" priority="5571">
      <iconSet iconSet="3Arrows">
        <cfvo type="percent" val="0"/>
        <cfvo type="num" val="0.7"/>
        <cfvo type="num" val="1"/>
      </iconSet>
    </cfRule>
  </conditionalFormatting>
  <conditionalFormatting sqref="N795">
    <cfRule type="dataBar" priority="5570">
      <dataBar>
        <cfvo type="num" val="0"/>
        <cfvo type="num" val="1"/>
        <color theme="4" tint="0.79998168889431442"/>
      </dataBar>
      <extLst>
        <ext xmlns:x14="http://schemas.microsoft.com/office/spreadsheetml/2009/9/main" uri="{B025F937-C7B1-47D3-B67F-A62EFF666E3E}">
          <x14:id>{A5748755-1AA0-4BD1-952B-818259E46F7F}</x14:id>
        </ext>
      </extLst>
    </cfRule>
    <cfRule type="iconSet" priority="5569">
      <iconSet iconSet="3Arrows">
        <cfvo type="percent" val="0"/>
        <cfvo type="num" val="0.7"/>
        <cfvo type="num" val="1"/>
      </iconSet>
    </cfRule>
  </conditionalFormatting>
  <conditionalFormatting sqref="N797">
    <cfRule type="dataBar" priority="5568">
      <dataBar>
        <cfvo type="num" val="0"/>
        <cfvo type="num" val="1"/>
        <color theme="4" tint="0.79998168889431442"/>
      </dataBar>
      <extLst>
        <ext xmlns:x14="http://schemas.microsoft.com/office/spreadsheetml/2009/9/main" uri="{B025F937-C7B1-47D3-B67F-A62EFF666E3E}">
          <x14:id>{2D18FE81-4EE5-45AA-BBB7-3FACE8EA72CF}</x14:id>
        </ext>
      </extLst>
    </cfRule>
    <cfRule type="iconSet" priority="5567">
      <iconSet iconSet="3Arrows">
        <cfvo type="percent" val="0"/>
        <cfvo type="num" val="0.7"/>
        <cfvo type="num" val="1"/>
      </iconSet>
    </cfRule>
  </conditionalFormatting>
  <conditionalFormatting sqref="N799">
    <cfRule type="dataBar" priority="5566">
      <dataBar>
        <cfvo type="num" val="0"/>
        <cfvo type="num" val="1"/>
        <color theme="4" tint="0.79998168889431442"/>
      </dataBar>
      <extLst>
        <ext xmlns:x14="http://schemas.microsoft.com/office/spreadsheetml/2009/9/main" uri="{B025F937-C7B1-47D3-B67F-A62EFF666E3E}">
          <x14:id>{545DAD48-3C53-417C-B368-30AACF4F6692}</x14:id>
        </ext>
      </extLst>
    </cfRule>
    <cfRule type="iconSet" priority="5565">
      <iconSet iconSet="3Arrows">
        <cfvo type="percent" val="0"/>
        <cfvo type="num" val="0.7"/>
        <cfvo type="num" val="1"/>
      </iconSet>
    </cfRule>
  </conditionalFormatting>
  <conditionalFormatting sqref="N801">
    <cfRule type="dataBar" priority="5564">
      <dataBar>
        <cfvo type="num" val="0"/>
        <cfvo type="num" val="1"/>
        <color theme="4" tint="0.79998168889431442"/>
      </dataBar>
      <extLst>
        <ext xmlns:x14="http://schemas.microsoft.com/office/spreadsheetml/2009/9/main" uri="{B025F937-C7B1-47D3-B67F-A62EFF666E3E}">
          <x14:id>{1F7C6BD9-F005-4834-9044-D00DA7778723}</x14:id>
        </ext>
      </extLst>
    </cfRule>
    <cfRule type="iconSet" priority="5563">
      <iconSet iconSet="3Arrows">
        <cfvo type="percent" val="0"/>
        <cfvo type="num" val="0.7"/>
        <cfvo type="num" val="1"/>
      </iconSet>
    </cfRule>
  </conditionalFormatting>
  <conditionalFormatting sqref="N803">
    <cfRule type="dataBar" priority="5562">
      <dataBar>
        <cfvo type="num" val="0"/>
        <cfvo type="num" val="1"/>
        <color theme="4" tint="0.79998168889431442"/>
      </dataBar>
      <extLst>
        <ext xmlns:x14="http://schemas.microsoft.com/office/spreadsheetml/2009/9/main" uri="{B025F937-C7B1-47D3-B67F-A62EFF666E3E}">
          <x14:id>{013D387F-D8D6-4FDA-8BBA-ED4383DEBFB1}</x14:id>
        </ext>
      </extLst>
    </cfRule>
    <cfRule type="iconSet" priority="5561">
      <iconSet iconSet="3Arrows">
        <cfvo type="percent" val="0"/>
        <cfvo type="num" val="0.7"/>
        <cfvo type="num" val="1"/>
      </iconSet>
    </cfRule>
  </conditionalFormatting>
  <conditionalFormatting sqref="N805">
    <cfRule type="dataBar" priority="5560">
      <dataBar>
        <cfvo type="num" val="0"/>
        <cfvo type="num" val="1"/>
        <color theme="4" tint="0.79998168889431442"/>
      </dataBar>
      <extLst>
        <ext xmlns:x14="http://schemas.microsoft.com/office/spreadsheetml/2009/9/main" uri="{B025F937-C7B1-47D3-B67F-A62EFF666E3E}">
          <x14:id>{DE0E7D52-DAE7-4129-AEF8-8AB4F7A2B2AA}</x14:id>
        </ext>
      </extLst>
    </cfRule>
    <cfRule type="iconSet" priority="5559">
      <iconSet iconSet="3Arrows">
        <cfvo type="percent" val="0"/>
        <cfvo type="num" val="0.7"/>
        <cfvo type="num" val="1"/>
      </iconSet>
    </cfRule>
  </conditionalFormatting>
  <conditionalFormatting sqref="N807">
    <cfRule type="dataBar" priority="5558">
      <dataBar>
        <cfvo type="num" val="0"/>
        <cfvo type="num" val="1"/>
        <color theme="4" tint="0.79998168889431442"/>
      </dataBar>
      <extLst>
        <ext xmlns:x14="http://schemas.microsoft.com/office/spreadsheetml/2009/9/main" uri="{B025F937-C7B1-47D3-B67F-A62EFF666E3E}">
          <x14:id>{BB0A20FE-D57C-4B5B-B7D9-8DDFCBAECA79}</x14:id>
        </ext>
      </extLst>
    </cfRule>
    <cfRule type="iconSet" priority="5557">
      <iconSet iconSet="3Arrows">
        <cfvo type="percent" val="0"/>
        <cfvo type="num" val="0.7"/>
        <cfvo type="num" val="1"/>
      </iconSet>
    </cfRule>
  </conditionalFormatting>
  <conditionalFormatting sqref="N809">
    <cfRule type="dataBar" priority="5556">
      <dataBar>
        <cfvo type="num" val="0"/>
        <cfvo type="num" val="1"/>
        <color theme="4" tint="0.79998168889431442"/>
      </dataBar>
      <extLst>
        <ext xmlns:x14="http://schemas.microsoft.com/office/spreadsheetml/2009/9/main" uri="{B025F937-C7B1-47D3-B67F-A62EFF666E3E}">
          <x14:id>{F5AD0521-5D3D-47A8-8D99-1AF50E24FE64}</x14:id>
        </ext>
      </extLst>
    </cfRule>
    <cfRule type="iconSet" priority="5555">
      <iconSet iconSet="3Arrows">
        <cfvo type="percent" val="0"/>
        <cfvo type="num" val="0.7"/>
        <cfvo type="num" val="1"/>
      </iconSet>
    </cfRule>
  </conditionalFormatting>
  <conditionalFormatting sqref="N811">
    <cfRule type="dataBar" priority="5554">
      <dataBar>
        <cfvo type="num" val="0"/>
        <cfvo type="num" val="1"/>
        <color theme="4" tint="0.79998168889431442"/>
      </dataBar>
      <extLst>
        <ext xmlns:x14="http://schemas.microsoft.com/office/spreadsheetml/2009/9/main" uri="{B025F937-C7B1-47D3-B67F-A62EFF666E3E}">
          <x14:id>{99CB606D-BB98-4D92-AEAC-DBF03A871CC7}</x14:id>
        </ext>
      </extLst>
    </cfRule>
    <cfRule type="iconSet" priority="5553">
      <iconSet iconSet="3Arrows">
        <cfvo type="percent" val="0"/>
        <cfvo type="num" val="0.7"/>
        <cfvo type="num" val="1"/>
      </iconSet>
    </cfRule>
  </conditionalFormatting>
  <conditionalFormatting sqref="N813">
    <cfRule type="dataBar" priority="5552">
      <dataBar>
        <cfvo type="num" val="0"/>
        <cfvo type="num" val="1"/>
        <color theme="4" tint="0.79998168889431442"/>
      </dataBar>
      <extLst>
        <ext xmlns:x14="http://schemas.microsoft.com/office/spreadsheetml/2009/9/main" uri="{B025F937-C7B1-47D3-B67F-A62EFF666E3E}">
          <x14:id>{DF68604E-CFD1-4553-9564-53E4BC51E025}</x14:id>
        </ext>
      </extLst>
    </cfRule>
    <cfRule type="iconSet" priority="5551">
      <iconSet iconSet="3Arrows">
        <cfvo type="percent" val="0"/>
        <cfvo type="num" val="0.7"/>
        <cfvo type="num" val="1"/>
      </iconSet>
    </cfRule>
  </conditionalFormatting>
  <conditionalFormatting sqref="N815">
    <cfRule type="dataBar" priority="5550">
      <dataBar>
        <cfvo type="num" val="0"/>
        <cfvo type="num" val="1"/>
        <color theme="4" tint="0.79998168889431442"/>
      </dataBar>
      <extLst>
        <ext xmlns:x14="http://schemas.microsoft.com/office/spreadsheetml/2009/9/main" uri="{B025F937-C7B1-47D3-B67F-A62EFF666E3E}">
          <x14:id>{94D6B7EB-2464-429E-9442-EF17828D79BF}</x14:id>
        </ext>
      </extLst>
    </cfRule>
    <cfRule type="iconSet" priority="5549">
      <iconSet iconSet="3Arrows">
        <cfvo type="percent" val="0"/>
        <cfvo type="num" val="0.7"/>
        <cfvo type="num" val="1"/>
      </iconSet>
    </cfRule>
  </conditionalFormatting>
  <conditionalFormatting sqref="N817">
    <cfRule type="dataBar" priority="5548">
      <dataBar>
        <cfvo type="num" val="0"/>
        <cfvo type="num" val="1"/>
        <color theme="4" tint="0.79998168889431442"/>
      </dataBar>
      <extLst>
        <ext xmlns:x14="http://schemas.microsoft.com/office/spreadsheetml/2009/9/main" uri="{B025F937-C7B1-47D3-B67F-A62EFF666E3E}">
          <x14:id>{3755B568-3694-493C-8200-9CB6B4272E8E}</x14:id>
        </ext>
      </extLst>
    </cfRule>
    <cfRule type="iconSet" priority="5547">
      <iconSet iconSet="3Arrows">
        <cfvo type="percent" val="0"/>
        <cfvo type="num" val="0.7"/>
        <cfvo type="num" val="1"/>
      </iconSet>
    </cfRule>
  </conditionalFormatting>
  <conditionalFormatting sqref="N819">
    <cfRule type="dataBar" priority="5546">
      <dataBar>
        <cfvo type="num" val="0"/>
        <cfvo type="num" val="1"/>
        <color theme="4" tint="0.79998168889431442"/>
      </dataBar>
      <extLst>
        <ext xmlns:x14="http://schemas.microsoft.com/office/spreadsheetml/2009/9/main" uri="{B025F937-C7B1-47D3-B67F-A62EFF666E3E}">
          <x14:id>{4A07E69C-4C22-4D6A-AB37-54CE59BE281B}</x14:id>
        </ext>
      </extLst>
    </cfRule>
    <cfRule type="iconSet" priority="5545">
      <iconSet iconSet="3Arrows">
        <cfvo type="percent" val="0"/>
        <cfvo type="num" val="0.7"/>
        <cfvo type="num" val="1"/>
      </iconSet>
    </cfRule>
  </conditionalFormatting>
  <conditionalFormatting sqref="N821">
    <cfRule type="dataBar" priority="5544">
      <dataBar>
        <cfvo type="num" val="0"/>
        <cfvo type="num" val="1"/>
        <color theme="4" tint="0.79998168889431442"/>
      </dataBar>
      <extLst>
        <ext xmlns:x14="http://schemas.microsoft.com/office/spreadsheetml/2009/9/main" uri="{B025F937-C7B1-47D3-B67F-A62EFF666E3E}">
          <x14:id>{A76121E2-6776-42A3-B5C4-DF3B320741BA}</x14:id>
        </ext>
      </extLst>
    </cfRule>
    <cfRule type="iconSet" priority="5543">
      <iconSet iconSet="3Arrows">
        <cfvo type="percent" val="0"/>
        <cfvo type="num" val="0.7"/>
        <cfvo type="num" val="1"/>
      </iconSet>
    </cfRule>
  </conditionalFormatting>
  <conditionalFormatting sqref="N823">
    <cfRule type="iconSet" priority="5541">
      <iconSet iconSet="3Arrows">
        <cfvo type="percent" val="0"/>
        <cfvo type="num" val="0.7"/>
        <cfvo type="num" val="1"/>
      </iconSet>
    </cfRule>
    <cfRule type="dataBar" priority="5542">
      <dataBar>
        <cfvo type="num" val="0"/>
        <cfvo type="num" val="1"/>
        <color theme="4" tint="0.79998168889431442"/>
      </dataBar>
      <extLst>
        <ext xmlns:x14="http://schemas.microsoft.com/office/spreadsheetml/2009/9/main" uri="{B025F937-C7B1-47D3-B67F-A62EFF666E3E}">
          <x14:id>{2720C79F-3F8D-46D4-94B3-B42A38421AA5}</x14:id>
        </ext>
      </extLst>
    </cfRule>
  </conditionalFormatting>
  <conditionalFormatting sqref="N825">
    <cfRule type="iconSet" priority="5539">
      <iconSet iconSet="3Arrows">
        <cfvo type="percent" val="0"/>
        <cfvo type="num" val="0.7"/>
        <cfvo type="num" val="1"/>
      </iconSet>
    </cfRule>
    <cfRule type="dataBar" priority="5540">
      <dataBar>
        <cfvo type="num" val="0"/>
        <cfvo type="num" val="1"/>
        <color theme="4" tint="0.79998168889431442"/>
      </dataBar>
      <extLst>
        <ext xmlns:x14="http://schemas.microsoft.com/office/spreadsheetml/2009/9/main" uri="{B025F937-C7B1-47D3-B67F-A62EFF666E3E}">
          <x14:id>{553E5624-E418-4ED3-8A39-6F25387FF419}</x14:id>
        </ext>
      </extLst>
    </cfRule>
  </conditionalFormatting>
  <conditionalFormatting sqref="N827">
    <cfRule type="dataBar" priority="5538">
      <dataBar>
        <cfvo type="num" val="0"/>
        <cfvo type="num" val="1"/>
        <color theme="4" tint="0.79998168889431442"/>
      </dataBar>
      <extLst>
        <ext xmlns:x14="http://schemas.microsoft.com/office/spreadsheetml/2009/9/main" uri="{B025F937-C7B1-47D3-B67F-A62EFF666E3E}">
          <x14:id>{42862F68-25B2-42F6-A654-6EF0991531D3}</x14:id>
        </ext>
      </extLst>
    </cfRule>
    <cfRule type="iconSet" priority="5537">
      <iconSet iconSet="3Arrows">
        <cfvo type="percent" val="0"/>
        <cfvo type="num" val="0.7"/>
        <cfvo type="num" val="1"/>
      </iconSet>
    </cfRule>
  </conditionalFormatting>
  <conditionalFormatting sqref="N829">
    <cfRule type="dataBar" priority="5536">
      <dataBar>
        <cfvo type="num" val="0"/>
        <cfvo type="num" val="1"/>
        <color theme="4" tint="0.79998168889431442"/>
      </dataBar>
      <extLst>
        <ext xmlns:x14="http://schemas.microsoft.com/office/spreadsheetml/2009/9/main" uri="{B025F937-C7B1-47D3-B67F-A62EFF666E3E}">
          <x14:id>{7CEF242C-AAC8-4E17-A372-E537F555CBAB}</x14:id>
        </ext>
      </extLst>
    </cfRule>
    <cfRule type="iconSet" priority="5535">
      <iconSet iconSet="3Arrows">
        <cfvo type="percent" val="0"/>
        <cfvo type="num" val="0.7"/>
        <cfvo type="num" val="1"/>
      </iconSet>
    </cfRule>
  </conditionalFormatting>
  <conditionalFormatting sqref="N831">
    <cfRule type="dataBar" priority="5534">
      <dataBar>
        <cfvo type="num" val="0"/>
        <cfvo type="num" val="1"/>
        <color theme="4" tint="0.79998168889431442"/>
      </dataBar>
      <extLst>
        <ext xmlns:x14="http://schemas.microsoft.com/office/spreadsheetml/2009/9/main" uri="{B025F937-C7B1-47D3-B67F-A62EFF666E3E}">
          <x14:id>{B3335661-84CB-42ED-BF00-2A0299ABA7B6}</x14:id>
        </ext>
      </extLst>
    </cfRule>
    <cfRule type="iconSet" priority="5533">
      <iconSet iconSet="3Arrows">
        <cfvo type="percent" val="0"/>
        <cfvo type="num" val="0.7"/>
        <cfvo type="num" val="1"/>
      </iconSet>
    </cfRule>
  </conditionalFormatting>
  <conditionalFormatting sqref="N833">
    <cfRule type="dataBar" priority="5532">
      <dataBar>
        <cfvo type="num" val="0"/>
        <cfvo type="num" val="1"/>
        <color theme="4" tint="0.79998168889431442"/>
      </dataBar>
      <extLst>
        <ext xmlns:x14="http://schemas.microsoft.com/office/spreadsheetml/2009/9/main" uri="{B025F937-C7B1-47D3-B67F-A62EFF666E3E}">
          <x14:id>{5E1833C1-347D-46EA-9E92-58D8110E5882}</x14:id>
        </ext>
      </extLst>
    </cfRule>
    <cfRule type="iconSet" priority="5531">
      <iconSet iconSet="3Arrows">
        <cfvo type="percent" val="0"/>
        <cfvo type="num" val="0.7"/>
        <cfvo type="num" val="1"/>
      </iconSet>
    </cfRule>
  </conditionalFormatting>
  <conditionalFormatting sqref="N835">
    <cfRule type="dataBar" priority="5530">
      <dataBar>
        <cfvo type="num" val="0"/>
        <cfvo type="num" val="1"/>
        <color theme="4" tint="0.79998168889431442"/>
      </dataBar>
      <extLst>
        <ext xmlns:x14="http://schemas.microsoft.com/office/spreadsheetml/2009/9/main" uri="{B025F937-C7B1-47D3-B67F-A62EFF666E3E}">
          <x14:id>{4EE22FC7-0F56-45BE-8CDC-45E9CD64A7AE}</x14:id>
        </ext>
      </extLst>
    </cfRule>
    <cfRule type="iconSet" priority="5529">
      <iconSet iconSet="3Arrows">
        <cfvo type="percent" val="0"/>
        <cfvo type="num" val="0.7"/>
        <cfvo type="num" val="1"/>
      </iconSet>
    </cfRule>
  </conditionalFormatting>
  <conditionalFormatting sqref="N837">
    <cfRule type="dataBar" priority="5528">
      <dataBar>
        <cfvo type="num" val="0"/>
        <cfvo type="num" val="1"/>
        <color theme="4" tint="0.79998168889431442"/>
      </dataBar>
      <extLst>
        <ext xmlns:x14="http://schemas.microsoft.com/office/spreadsheetml/2009/9/main" uri="{B025F937-C7B1-47D3-B67F-A62EFF666E3E}">
          <x14:id>{01FB09C7-412D-448E-8F0E-27FE7B185F84}</x14:id>
        </ext>
      </extLst>
    </cfRule>
    <cfRule type="iconSet" priority="5527">
      <iconSet iconSet="3Arrows">
        <cfvo type="percent" val="0"/>
        <cfvo type="num" val="0.7"/>
        <cfvo type="num" val="1"/>
      </iconSet>
    </cfRule>
  </conditionalFormatting>
  <conditionalFormatting sqref="N839">
    <cfRule type="dataBar" priority="5526">
      <dataBar>
        <cfvo type="num" val="0"/>
        <cfvo type="num" val="1"/>
        <color theme="4" tint="0.79998168889431442"/>
      </dataBar>
      <extLst>
        <ext xmlns:x14="http://schemas.microsoft.com/office/spreadsheetml/2009/9/main" uri="{B025F937-C7B1-47D3-B67F-A62EFF666E3E}">
          <x14:id>{C7E7D3C0-C467-4269-83CD-00C996BA53FD}</x14:id>
        </ext>
      </extLst>
    </cfRule>
    <cfRule type="iconSet" priority="5525">
      <iconSet iconSet="3Arrows">
        <cfvo type="percent" val="0"/>
        <cfvo type="num" val="0.7"/>
        <cfvo type="num" val="1"/>
      </iconSet>
    </cfRule>
  </conditionalFormatting>
  <conditionalFormatting sqref="N841">
    <cfRule type="dataBar" priority="5524">
      <dataBar>
        <cfvo type="num" val="0"/>
        <cfvo type="num" val="1"/>
        <color theme="4" tint="0.79998168889431442"/>
      </dataBar>
      <extLst>
        <ext xmlns:x14="http://schemas.microsoft.com/office/spreadsheetml/2009/9/main" uri="{B025F937-C7B1-47D3-B67F-A62EFF666E3E}">
          <x14:id>{35A3D1AC-9399-4735-BA88-8DBC68C958A1}</x14:id>
        </ext>
      </extLst>
    </cfRule>
    <cfRule type="iconSet" priority="5523">
      <iconSet iconSet="3Arrows">
        <cfvo type="percent" val="0"/>
        <cfvo type="num" val="0.7"/>
        <cfvo type="num" val="1"/>
      </iconSet>
    </cfRule>
  </conditionalFormatting>
  <conditionalFormatting sqref="N843">
    <cfRule type="dataBar" priority="5522">
      <dataBar>
        <cfvo type="num" val="0"/>
        <cfvo type="num" val="1"/>
        <color theme="4" tint="0.79998168889431442"/>
      </dataBar>
      <extLst>
        <ext xmlns:x14="http://schemas.microsoft.com/office/spreadsheetml/2009/9/main" uri="{B025F937-C7B1-47D3-B67F-A62EFF666E3E}">
          <x14:id>{DA77AE17-9692-4400-B665-94765CF348AB}</x14:id>
        </ext>
      </extLst>
    </cfRule>
    <cfRule type="iconSet" priority="5521">
      <iconSet iconSet="3Arrows">
        <cfvo type="percent" val="0"/>
        <cfvo type="num" val="0.7"/>
        <cfvo type="num" val="1"/>
      </iconSet>
    </cfRule>
  </conditionalFormatting>
  <conditionalFormatting sqref="N845">
    <cfRule type="dataBar" priority="5520">
      <dataBar>
        <cfvo type="num" val="0"/>
        <cfvo type="num" val="1"/>
        <color theme="4" tint="0.79998168889431442"/>
      </dataBar>
      <extLst>
        <ext xmlns:x14="http://schemas.microsoft.com/office/spreadsheetml/2009/9/main" uri="{B025F937-C7B1-47D3-B67F-A62EFF666E3E}">
          <x14:id>{CA213BA1-7E95-4A0A-8595-961A25679F7D}</x14:id>
        </ext>
      </extLst>
    </cfRule>
    <cfRule type="iconSet" priority="5519">
      <iconSet iconSet="3Arrows">
        <cfvo type="percent" val="0"/>
        <cfvo type="num" val="0.7"/>
        <cfvo type="num" val="1"/>
      </iconSet>
    </cfRule>
  </conditionalFormatting>
  <conditionalFormatting sqref="N848">
    <cfRule type="dataBar" priority="5518">
      <dataBar>
        <cfvo type="num" val="0"/>
        <cfvo type="num" val="1"/>
        <color theme="4" tint="0.79998168889431442"/>
      </dataBar>
      <extLst>
        <ext xmlns:x14="http://schemas.microsoft.com/office/spreadsheetml/2009/9/main" uri="{B025F937-C7B1-47D3-B67F-A62EFF666E3E}">
          <x14:id>{E643B2B8-BD20-4B54-A302-71B069734106}</x14:id>
        </ext>
      </extLst>
    </cfRule>
    <cfRule type="iconSet" priority="5517">
      <iconSet iconSet="3Arrows">
        <cfvo type="percent" val="0"/>
        <cfvo type="num" val="0.7"/>
        <cfvo type="num" val="1"/>
      </iconSet>
    </cfRule>
  </conditionalFormatting>
  <conditionalFormatting sqref="N851">
    <cfRule type="dataBar" priority="5516">
      <dataBar>
        <cfvo type="num" val="0"/>
        <cfvo type="num" val="1"/>
        <color theme="4" tint="0.79998168889431442"/>
      </dataBar>
      <extLst>
        <ext xmlns:x14="http://schemas.microsoft.com/office/spreadsheetml/2009/9/main" uri="{B025F937-C7B1-47D3-B67F-A62EFF666E3E}">
          <x14:id>{1658AAE8-2F6B-48CD-ABC0-DD021E53DD1F}</x14:id>
        </ext>
      </extLst>
    </cfRule>
    <cfRule type="iconSet" priority="5515">
      <iconSet iconSet="3Arrows">
        <cfvo type="percent" val="0"/>
        <cfvo type="num" val="0.7"/>
        <cfvo type="num" val="1"/>
      </iconSet>
    </cfRule>
  </conditionalFormatting>
  <conditionalFormatting sqref="N853">
    <cfRule type="dataBar" priority="5514">
      <dataBar>
        <cfvo type="num" val="0"/>
        <cfvo type="num" val="1"/>
        <color theme="4" tint="0.79998168889431442"/>
      </dataBar>
      <extLst>
        <ext xmlns:x14="http://schemas.microsoft.com/office/spreadsheetml/2009/9/main" uri="{B025F937-C7B1-47D3-B67F-A62EFF666E3E}">
          <x14:id>{495A437D-E828-4C1A-8739-032B78D047EC}</x14:id>
        </ext>
      </extLst>
    </cfRule>
    <cfRule type="iconSet" priority="5513">
      <iconSet iconSet="3Arrows">
        <cfvo type="percent" val="0"/>
        <cfvo type="num" val="0.7"/>
        <cfvo type="num" val="1"/>
      </iconSet>
    </cfRule>
  </conditionalFormatting>
  <conditionalFormatting sqref="N855">
    <cfRule type="iconSet" priority="5511">
      <iconSet iconSet="3Arrows">
        <cfvo type="percent" val="0"/>
        <cfvo type="num" val="0.7"/>
        <cfvo type="num" val="1"/>
      </iconSet>
    </cfRule>
    <cfRule type="dataBar" priority="5512">
      <dataBar>
        <cfvo type="num" val="0"/>
        <cfvo type="num" val="1"/>
        <color theme="4" tint="0.79998168889431442"/>
      </dataBar>
      <extLst>
        <ext xmlns:x14="http://schemas.microsoft.com/office/spreadsheetml/2009/9/main" uri="{B025F937-C7B1-47D3-B67F-A62EFF666E3E}">
          <x14:id>{244305A0-681A-4749-AD62-29C42AFB0D76}</x14:id>
        </ext>
      </extLst>
    </cfRule>
  </conditionalFormatting>
  <conditionalFormatting sqref="N857">
    <cfRule type="iconSet" priority="5509">
      <iconSet iconSet="3Arrows">
        <cfvo type="percent" val="0"/>
        <cfvo type="num" val="0.7"/>
        <cfvo type="num" val="1"/>
      </iconSet>
    </cfRule>
    <cfRule type="dataBar" priority="5510">
      <dataBar>
        <cfvo type="num" val="0"/>
        <cfvo type="num" val="1"/>
        <color theme="4" tint="0.79998168889431442"/>
      </dataBar>
      <extLst>
        <ext xmlns:x14="http://schemas.microsoft.com/office/spreadsheetml/2009/9/main" uri="{B025F937-C7B1-47D3-B67F-A62EFF666E3E}">
          <x14:id>{CDE721E7-3056-487C-B318-F9A4F4C39EBA}</x14:id>
        </ext>
      </extLst>
    </cfRule>
  </conditionalFormatting>
  <conditionalFormatting sqref="N859 N861 N863 N865 N867 N869">
    <cfRule type="iconSet" priority="5507">
      <iconSet iconSet="3Arrows">
        <cfvo type="percent" val="0"/>
        <cfvo type="num" val="0.7"/>
        <cfvo type="num" val="1"/>
      </iconSet>
    </cfRule>
    <cfRule type="dataBar" priority="5508">
      <dataBar>
        <cfvo type="num" val="0"/>
        <cfvo type="num" val="1"/>
        <color theme="4" tint="0.79998168889431442"/>
      </dataBar>
      <extLst>
        <ext xmlns:x14="http://schemas.microsoft.com/office/spreadsheetml/2009/9/main" uri="{B025F937-C7B1-47D3-B67F-A62EFF666E3E}">
          <x14:id>{7A3F21A1-AD3F-4D00-9945-826168B75B28}</x14:id>
        </ext>
      </extLst>
    </cfRule>
  </conditionalFormatting>
  <conditionalFormatting sqref="N871 N873 N875 N877 N879">
    <cfRule type="dataBar" priority="5506">
      <dataBar>
        <cfvo type="num" val="0"/>
        <cfvo type="num" val="1"/>
        <color theme="4" tint="0.79998168889431442"/>
      </dataBar>
      <extLst>
        <ext xmlns:x14="http://schemas.microsoft.com/office/spreadsheetml/2009/9/main" uri="{B025F937-C7B1-47D3-B67F-A62EFF666E3E}">
          <x14:id>{CFEBD0E7-7259-4D37-BF5D-8D44BD3FE9D4}</x14:id>
        </ext>
      </extLst>
    </cfRule>
    <cfRule type="iconSet" priority="5505">
      <iconSet iconSet="3Arrows">
        <cfvo type="percent" val="0"/>
        <cfvo type="num" val="0.7"/>
        <cfvo type="num" val="1"/>
      </iconSet>
    </cfRule>
  </conditionalFormatting>
  <conditionalFormatting sqref="N881">
    <cfRule type="dataBar" priority="5504">
      <dataBar>
        <cfvo type="num" val="0"/>
        <cfvo type="num" val="1"/>
        <color theme="4" tint="0.79998168889431442"/>
      </dataBar>
      <extLst>
        <ext xmlns:x14="http://schemas.microsoft.com/office/spreadsheetml/2009/9/main" uri="{B025F937-C7B1-47D3-B67F-A62EFF666E3E}">
          <x14:id>{24CB0EBC-440C-42CB-8DCC-0999245AB250}</x14:id>
        </ext>
      </extLst>
    </cfRule>
    <cfRule type="iconSet" priority="5503">
      <iconSet iconSet="3Arrows">
        <cfvo type="percent" val="0"/>
        <cfvo type="num" val="0.7"/>
        <cfvo type="num" val="1"/>
      </iconSet>
    </cfRule>
  </conditionalFormatting>
  <conditionalFormatting sqref="N883">
    <cfRule type="dataBar" priority="5502">
      <dataBar>
        <cfvo type="num" val="0"/>
        <cfvo type="num" val="1"/>
        <color theme="4" tint="0.79998168889431442"/>
      </dataBar>
      <extLst>
        <ext xmlns:x14="http://schemas.microsoft.com/office/spreadsheetml/2009/9/main" uri="{B025F937-C7B1-47D3-B67F-A62EFF666E3E}">
          <x14:id>{870405D8-ED65-4CEA-8926-FFA60DD08F0F}</x14:id>
        </ext>
      </extLst>
    </cfRule>
    <cfRule type="iconSet" priority="5501">
      <iconSet iconSet="3Arrows">
        <cfvo type="percent" val="0"/>
        <cfvo type="num" val="0.7"/>
        <cfvo type="num" val="1"/>
      </iconSet>
    </cfRule>
  </conditionalFormatting>
  <conditionalFormatting sqref="N886">
    <cfRule type="dataBar" priority="5500">
      <dataBar>
        <cfvo type="num" val="0"/>
        <cfvo type="num" val="1"/>
        <color theme="4" tint="0.79998168889431442"/>
      </dataBar>
      <extLst>
        <ext xmlns:x14="http://schemas.microsoft.com/office/spreadsheetml/2009/9/main" uri="{B025F937-C7B1-47D3-B67F-A62EFF666E3E}">
          <x14:id>{62EA1648-4451-47A6-AB34-61C5D912F635}</x14:id>
        </ext>
      </extLst>
    </cfRule>
    <cfRule type="iconSet" priority="5499">
      <iconSet iconSet="3Arrows">
        <cfvo type="percent" val="0"/>
        <cfvo type="num" val="0.7"/>
        <cfvo type="num" val="1"/>
      </iconSet>
    </cfRule>
  </conditionalFormatting>
  <conditionalFormatting sqref="N888">
    <cfRule type="dataBar" priority="5498">
      <dataBar>
        <cfvo type="num" val="0"/>
        <cfvo type="num" val="1"/>
        <color theme="4" tint="0.79998168889431442"/>
      </dataBar>
      <extLst>
        <ext xmlns:x14="http://schemas.microsoft.com/office/spreadsheetml/2009/9/main" uri="{B025F937-C7B1-47D3-B67F-A62EFF666E3E}">
          <x14:id>{15C052FF-9C82-4502-98E8-53DB42D747AA}</x14:id>
        </ext>
      </extLst>
    </cfRule>
    <cfRule type="iconSet" priority="5497">
      <iconSet iconSet="3Arrows">
        <cfvo type="percent" val="0"/>
        <cfvo type="num" val="0.7"/>
        <cfvo type="num" val="1"/>
      </iconSet>
    </cfRule>
  </conditionalFormatting>
  <conditionalFormatting sqref="N890 N892">
    <cfRule type="dataBar" priority="5496">
      <dataBar>
        <cfvo type="num" val="0"/>
        <cfvo type="num" val="1"/>
        <color theme="4" tint="0.79998168889431442"/>
      </dataBar>
      <extLst>
        <ext xmlns:x14="http://schemas.microsoft.com/office/spreadsheetml/2009/9/main" uri="{B025F937-C7B1-47D3-B67F-A62EFF666E3E}">
          <x14:id>{831CAB4D-2EED-4636-9486-99D058312D62}</x14:id>
        </ext>
      </extLst>
    </cfRule>
    <cfRule type="iconSet" priority="5495">
      <iconSet iconSet="3Arrows">
        <cfvo type="percent" val="0"/>
        <cfvo type="num" val="0.7"/>
        <cfvo type="num" val="1"/>
      </iconSet>
    </cfRule>
  </conditionalFormatting>
  <conditionalFormatting sqref="N894">
    <cfRule type="dataBar" priority="5494">
      <dataBar>
        <cfvo type="num" val="0"/>
        <cfvo type="num" val="1"/>
        <color theme="4" tint="0.79998168889431442"/>
      </dataBar>
      <extLst>
        <ext xmlns:x14="http://schemas.microsoft.com/office/spreadsheetml/2009/9/main" uri="{B025F937-C7B1-47D3-B67F-A62EFF666E3E}">
          <x14:id>{D954F0D5-76AB-4D9B-9121-0C52DD038757}</x14:id>
        </ext>
      </extLst>
    </cfRule>
    <cfRule type="iconSet" priority="5493">
      <iconSet iconSet="3Arrows">
        <cfvo type="percent" val="0"/>
        <cfvo type="num" val="0.7"/>
        <cfvo type="num" val="1"/>
      </iconSet>
    </cfRule>
  </conditionalFormatting>
  <conditionalFormatting sqref="N896 N898">
    <cfRule type="dataBar" priority="5492">
      <dataBar>
        <cfvo type="num" val="0"/>
        <cfvo type="num" val="1"/>
        <color theme="4" tint="0.79998168889431442"/>
      </dataBar>
      <extLst>
        <ext xmlns:x14="http://schemas.microsoft.com/office/spreadsheetml/2009/9/main" uri="{B025F937-C7B1-47D3-B67F-A62EFF666E3E}">
          <x14:id>{D3AFAD7E-9977-48DC-BFB6-044D03711244}</x14:id>
        </ext>
      </extLst>
    </cfRule>
    <cfRule type="iconSet" priority="5491">
      <iconSet iconSet="3Arrows">
        <cfvo type="percent" val="0"/>
        <cfvo type="num" val="0.7"/>
        <cfvo type="num" val="1"/>
      </iconSet>
    </cfRule>
  </conditionalFormatting>
  <conditionalFormatting sqref="N900">
    <cfRule type="dataBar" priority="5490">
      <dataBar>
        <cfvo type="num" val="0"/>
        <cfvo type="num" val="1"/>
        <color theme="4" tint="0.79998168889431442"/>
      </dataBar>
      <extLst>
        <ext xmlns:x14="http://schemas.microsoft.com/office/spreadsheetml/2009/9/main" uri="{B025F937-C7B1-47D3-B67F-A62EFF666E3E}">
          <x14:id>{847B6AFD-76FC-4FC7-88BD-F6490EA639D9}</x14:id>
        </ext>
      </extLst>
    </cfRule>
    <cfRule type="iconSet" priority="5489">
      <iconSet iconSet="3Arrows">
        <cfvo type="percent" val="0"/>
        <cfvo type="num" val="0.7"/>
        <cfvo type="num" val="1"/>
      </iconSet>
    </cfRule>
  </conditionalFormatting>
  <conditionalFormatting sqref="N902 N904">
    <cfRule type="dataBar" priority="5488">
      <dataBar>
        <cfvo type="num" val="0"/>
        <cfvo type="num" val="1"/>
        <color theme="4" tint="0.79998168889431442"/>
      </dataBar>
      <extLst>
        <ext xmlns:x14="http://schemas.microsoft.com/office/spreadsheetml/2009/9/main" uri="{B025F937-C7B1-47D3-B67F-A62EFF666E3E}">
          <x14:id>{2B5EC896-52AB-4A83-9757-7BF316692767}</x14:id>
        </ext>
      </extLst>
    </cfRule>
    <cfRule type="iconSet" priority="5487">
      <iconSet iconSet="3Arrows">
        <cfvo type="percent" val="0"/>
        <cfvo type="num" val="0.7"/>
        <cfvo type="num" val="1"/>
      </iconSet>
    </cfRule>
  </conditionalFormatting>
  <conditionalFormatting sqref="N906">
    <cfRule type="dataBar" priority="5486">
      <dataBar>
        <cfvo type="num" val="0"/>
        <cfvo type="num" val="1"/>
        <color theme="4" tint="0.79998168889431442"/>
      </dataBar>
      <extLst>
        <ext xmlns:x14="http://schemas.microsoft.com/office/spreadsheetml/2009/9/main" uri="{B025F937-C7B1-47D3-B67F-A62EFF666E3E}">
          <x14:id>{9C1B0C30-4285-429E-A92A-71252BDEDC05}</x14:id>
        </ext>
      </extLst>
    </cfRule>
    <cfRule type="iconSet" priority="5485">
      <iconSet iconSet="3Arrows">
        <cfvo type="percent" val="0"/>
        <cfvo type="num" val="0.7"/>
        <cfvo type="num" val="1"/>
      </iconSet>
    </cfRule>
  </conditionalFormatting>
  <conditionalFormatting sqref="N908 N910">
    <cfRule type="dataBar" priority="5484">
      <dataBar>
        <cfvo type="num" val="0"/>
        <cfvo type="num" val="1"/>
        <color theme="4" tint="0.79998168889431442"/>
      </dataBar>
      <extLst>
        <ext xmlns:x14="http://schemas.microsoft.com/office/spreadsheetml/2009/9/main" uri="{B025F937-C7B1-47D3-B67F-A62EFF666E3E}">
          <x14:id>{7204AFA6-8E6B-45B1-9412-FC5A5C048461}</x14:id>
        </ext>
      </extLst>
    </cfRule>
    <cfRule type="iconSet" priority="5483">
      <iconSet iconSet="3Arrows">
        <cfvo type="percent" val="0"/>
        <cfvo type="num" val="0.7"/>
        <cfvo type="num" val="1"/>
      </iconSet>
    </cfRule>
  </conditionalFormatting>
  <conditionalFormatting sqref="N912">
    <cfRule type="dataBar" priority="5482">
      <dataBar>
        <cfvo type="num" val="0"/>
        <cfvo type="num" val="1"/>
        <color theme="4" tint="0.79998168889431442"/>
      </dataBar>
      <extLst>
        <ext xmlns:x14="http://schemas.microsoft.com/office/spreadsheetml/2009/9/main" uri="{B025F937-C7B1-47D3-B67F-A62EFF666E3E}">
          <x14:id>{3807C0EE-03C6-4EA6-9970-7B428F97B9F9}</x14:id>
        </ext>
      </extLst>
    </cfRule>
    <cfRule type="iconSet" priority="5481">
      <iconSet iconSet="3Arrows">
        <cfvo type="percent" val="0"/>
        <cfvo type="num" val="0.7"/>
        <cfvo type="num" val="1"/>
      </iconSet>
    </cfRule>
  </conditionalFormatting>
  <conditionalFormatting sqref="N914 N916">
    <cfRule type="iconSet" priority="5479">
      <iconSet iconSet="3Arrows">
        <cfvo type="percent" val="0"/>
        <cfvo type="num" val="0.7"/>
        <cfvo type="num" val="1"/>
      </iconSet>
    </cfRule>
    <cfRule type="dataBar" priority="5480">
      <dataBar>
        <cfvo type="num" val="0"/>
        <cfvo type="num" val="1"/>
        <color theme="4" tint="0.79998168889431442"/>
      </dataBar>
      <extLst>
        <ext xmlns:x14="http://schemas.microsoft.com/office/spreadsheetml/2009/9/main" uri="{B025F937-C7B1-47D3-B67F-A62EFF666E3E}">
          <x14:id>{7BE88474-A6E8-4972-97B9-FA29FFF381F7}</x14:id>
        </ext>
      </extLst>
    </cfRule>
  </conditionalFormatting>
  <conditionalFormatting sqref="N918">
    <cfRule type="iconSet" priority="5477">
      <iconSet iconSet="3Arrows">
        <cfvo type="percent" val="0"/>
        <cfvo type="num" val="0.7"/>
        <cfvo type="num" val="1"/>
      </iconSet>
    </cfRule>
    <cfRule type="dataBar" priority="5478">
      <dataBar>
        <cfvo type="num" val="0"/>
        <cfvo type="num" val="1"/>
        <color theme="4" tint="0.79998168889431442"/>
      </dataBar>
      <extLst>
        <ext xmlns:x14="http://schemas.microsoft.com/office/spreadsheetml/2009/9/main" uri="{B025F937-C7B1-47D3-B67F-A62EFF666E3E}">
          <x14:id>{551DBC6A-72D9-4379-90C0-75C274B455B5}</x14:id>
        </ext>
      </extLst>
    </cfRule>
  </conditionalFormatting>
  <conditionalFormatting sqref="N920">
    <cfRule type="iconSet" priority="5475">
      <iconSet iconSet="3Arrows">
        <cfvo type="percent" val="0"/>
        <cfvo type="num" val="0.7"/>
        <cfvo type="num" val="1"/>
      </iconSet>
    </cfRule>
    <cfRule type="dataBar" priority="5476">
      <dataBar>
        <cfvo type="num" val="0"/>
        <cfvo type="num" val="1"/>
        <color theme="4" tint="0.79998168889431442"/>
      </dataBar>
      <extLst>
        <ext xmlns:x14="http://schemas.microsoft.com/office/spreadsheetml/2009/9/main" uri="{B025F937-C7B1-47D3-B67F-A62EFF666E3E}">
          <x14:id>{34EFF8EF-24B2-4777-AEE6-287A6186B8D5}</x14:id>
        </ext>
      </extLst>
    </cfRule>
  </conditionalFormatting>
  <conditionalFormatting sqref="N924">
    <cfRule type="dataBar" priority="5474">
      <dataBar>
        <cfvo type="num" val="0"/>
        <cfvo type="num" val="1"/>
        <color theme="4" tint="0.79998168889431442"/>
      </dataBar>
      <extLst>
        <ext xmlns:x14="http://schemas.microsoft.com/office/spreadsheetml/2009/9/main" uri="{B025F937-C7B1-47D3-B67F-A62EFF666E3E}">
          <x14:id>{DEDCBF85-9B5D-4FEC-B87C-63E4583BE2BD}</x14:id>
        </ext>
      </extLst>
    </cfRule>
    <cfRule type="iconSet" priority="5473">
      <iconSet iconSet="3Arrows">
        <cfvo type="percent" val="0"/>
        <cfvo type="num" val="0.7"/>
        <cfvo type="num" val="1"/>
      </iconSet>
    </cfRule>
  </conditionalFormatting>
  <conditionalFormatting sqref="N926">
    <cfRule type="dataBar" priority="5472">
      <dataBar>
        <cfvo type="num" val="0"/>
        <cfvo type="num" val="1"/>
        <color theme="4" tint="0.79998168889431442"/>
      </dataBar>
      <extLst>
        <ext xmlns:x14="http://schemas.microsoft.com/office/spreadsheetml/2009/9/main" uri="{B025F937-C7B1-47D3-B67F-A62EFF666E3E}">
          <x14:id>{DB7E5C05-1CBF-4053-BEA0-188A7B71910B}</x14:id>
        </ext>
      </extLst>
    </cfRule>
    <cfRule type="iconSet" priority="5471">
      <iconSet iconSet="3Arrows">
        <cfvo type="percent" val="0"/>
        <cfvo type="num" val="0.7"/>
        <cfvo type="num" val="1"/>
      </iconSet>
    </cfRule>
  </conditionalFormatting>
  <conditionalFormatting sqref="N928 N930">
    <cfRule type="dataBar" priority="5470">
      <dataBar>
        <cfvo type="num" val="0"/>
        <cfvo type="num" val="1"/>
        <color theme="4" tint="0.79998168889431442"/>
      </dataBar>
      <extLst>
        <ext xmlns:x14="http://schemas.microsoft.com/office/spreadsheetml/2009/9/main" uri="{B025F937-C7B1-47D3-B67F-A62EFF666E3E}">
          <x14:id>{46CC9831-160B-42C7-8BC0-8056F3BDE155}</x14:id>
        </ext>
      </extLst>
    </cfRule>
    <cfRule type="iconSet" priority="5469">
      <iconSet iconSet="3Arrows">
        <cfvo type="percent" val="0"/>
        <cfvo type="num" val="0.7"/>
        <cfvo type="num" val="1"/>
      </iconSet>
    </cfRule>
  </conditionalFormatting>
  <conditionalFormatting sqref="N932">
    <cfRule type="dataBar" priority="5468">
      <dataBar>
        <cfvo type="num" val="0"/>
        <cfvo type="num" val="1"/>
        <color theme="4" tint="0.79998168889431442"/>
      </dataBar>
      <extLst>
        <ext xmlns:x14="http://schemas.microsoft.com/office/spreadsheetml/2009/9/main" uri="{B025F937-C7B1-47D3-B67F-A62EFF666E3E}">
          <x14:id>{D82AB7E4-0009-413D-B8AB-97E8E0544CA3}</x14:id>
        </ext>
      </extLst>
    </cfRule>
    <cfRule type="iconSet" priority="5467">
      <iconSet iconSet="3Arrows">
        <cfvo type="percent" val="0"/>
        <cfvo type="num" val="0.7"/>
        <cfvo type="num" val="1"/>
      </iconSet>
    </cfRule>
  </conditionalFormatting>
  <conditionalFormatting sqref="N934 N936">
    <cfRule type="dataBar" priority="5466">
      <dataBar>
        <cfvo type="num" val="0"/>
        <cfvo type="num" val="1"/>
        <color theme="4" tint="0.79998168889431442"/>
      </dataBar>
      <extLst>
        <ext xmlns:x14="http://schemas.microsoft.com/office/spreadsheetml/2009/9/main" uri="{B025F937-C7B1-47D3-B67F-A62EFF666E3E}">
          <x14:id>{E00FECF4-B4A7-421D-B2D7-A934C737F732}</x14:id>
        </ext>
      </extLst>
    </cfRule>
    <cfRule type="iconSet" priority="5465">
      <iconSet iconSet="3Arrows">
        <cfvo type="percent" val="0"/>
        <cfvo type="num" val="0.7"/>
        <cfvo type="num" val="1"/>
      </iconSet>
    </cfRule>
  </conditionalFormatting>
  <conditionalFormatting sqref="N938">
    <cfRule type="dataBar" priority="5464">
      <dataBar>
        <cfvo type="num" val="0"/>
        <cfvo type="num" val="1"/>
        <color theme="4" tint="0.79998168889431442"/>
      </dataBar>
      <extLst>
        <ext xmlns:x14="http://schemas.microsoft.com/office/spreadsheetml/2009/9/main" uri="{B025F937-C7B1-47D3-B67F-A62EFF666E3E}">
          <x14:id>{F7F3D1D6-CEA1-489A-9B07-E61740C9BDCE}</x14:id>
        </ext>
      </extLst>
    </cfRule>
    <cfRule type="iconSet" priority="5463">
      <iconSet iconSet="3Arrows">
        <cfvo type="percent" val="0"/>
        <cfvo type="num" val="0.7"/>
        <cfvo type="num" val="1"/>
      </iconSet>
    </cfRule>
  </conditionalFormatting>
  <conditionalFormatting sqref="N941">
    <cfRule type="iconSet" priority="5461">
      <iconSet iconSet="3Arrows">
        <cfvo type="percent" val="0"/>
        <cfvo type="num" val="0.7"/>
        <cfvo type="num" val="1"/>
      </iconSet>
    </cfRule>
    <cfRule type="dataBar" priority="5462">
      <dataBar>
        <cfvo type="num" val="0"/>
        <cfvo type="num" val="1"/>
        <color theme="4" tint="0.79998168889431442"/>
      </dataBar>
      <extLst>
        <ext xmlns:x14="http://schemas.microsoft.com/office/spreadsheetml/2009/9/main" uri="{B025F937-C7B1-47D3-B67F-A62EFF666E3E}">
          <x14:id>{920F1D1C-3754-4274-B971-A15345E1D023}</x14:id>
        </ext>
      </extLst>
    </cfRule>
  </conditionalFormatting>
  <conditionalFormatting sqref="N943">
    <cfRule type="dataBar" priority="5460">
      <dataBar>
        <cfvo type="num" val="0"/>
        <cfvo type="num" val="1"/>
        <color theme="4" tint="0.79998168889431442"/>
      </dataBar>
      <extLst>
        <ext xmlns:x14="http://schemas.microsoft.com/office/spreadsheetml/2009/9/main" uri="{B025F937-C7B1-47D3-B67F-A62EFF666E3E}">
          <x14:id>{97056491-E683-471E-8035-90AB3F3DF7C9}</x14:id>
        </ext>
      </extLst>
    </cfRule>
    <cfRule type="iconSet" priority="5459">
      <iconSet iconSet="3Arrows">
        <cfvo type="percent" val="0"/>
        <cfvo type="num" val="0.7"/>
        <cfvo type="num" val="1"/>
      </iconSet>
    </cfRule>
  </conditionalFormatting>
  <conditionalFormatting sqref="N945 N947">
    <cfRule type="dataBar" priority="5458">
      <dataBar>
        <cfvo type="num" val="0"/>
        <cfvo type="num" val="1"/>
        <color theme="4" tint="0.79998168889431442"/>
      </dataBar>
      <extLst>
        <ext xmlns:x14="http://schemas.microsoft.com/office/spreadsheetml/2009/9/main" uri="{B025F937-C7B1-47D3-B67F-A62EFF666E3E}">
          <x14:id>{31DB88DB-F178-4AAF-8988-54CA5F4F3C28}</x14:id>
        </ext>
      </extLst>
    </cfRule>
    <cfRule type="iconSet" priority="5457">
      <iconSet iconSet="3Arrows">
        <cfvo type="percent" val="0"/>
        <cfvo type="num" val="0.7"/>
        <cfvo type="num" val="1"/>
      </iconSet>
    </cfRule>
  </conditionalFormatting>
  <conditionalFormatting sqref="N949">
    <cfRule type="dataBar" priority="5456">
      <dataBar>
        <cfvo type="num" val="0"/>
        <cfvo type="num" val="1"/>
        <color theme="4" tint="0.79998168889431442"/>
      </dataBar>
      <extLst>
        <ext xmlns:x14="http://schemas.microsoft.com/office/spreadsheetml/2009/9/main" uri="{B025F937-C7B1-47D3-B67F-A62EFF666E3E}">
          <x14:id>{5982B70B-FEC7-4F90-8899-ED2EE8767E9A}</x14:id>
        </ext>
      </extLst>
    </cfRule>
    <cfRule type="iconSet" priority="5455">
      <iconSet iconSet="3Arrows">
        <cfvo type="percent" val="0"/>
        <cfvo type="num" val="0.7"/>
        <cfvo type="num" val="1"/>
      </iconSet>
    </cfRule>
  </conditionalFormatting>
  <conditionalFormatting sqref="N951 N953">
    <cfRule type="dataBar" priority="5454">
      <dataBar>
        <cfvo type="num" val="0"/>
        <cfvo type="num" val="1"/>
        <color theme="4" tint="0.79998168889431442"/>
      </dataBar>
      <extLst>
        <ext xmlns:x14="http://schemas.microsoft.com/office/spreadsheetml/2009/9/main" uri="{B025F937-C7B1-47D3-B67F-A62EFF666E3E}">
          <x14:id>{56E0DF09-FCD5-4D05-A10F-FFF92796A7F5}</x14:id>
        </ext>
      </extLst>
    </cfRule>
    <cfRule type="iconSet" priority="5453">
      <iconSet iconSet="3Arrows">
        <cfvo type="percent" val="0"/>
        <cfvo type="num" val="0.7"/>
        <cfvo type="num" val="1"/>
      </iconSet>
    </cfRule>
  </conditionalFormatting>
  <conditionalFormatting sqref="N955">
    <cfRule type="dataBar" priority="5452">
      <dataBar>
        <cfvo type="num" val="0"/>
        <cfvo type="num" val="1"/>
        <color theme="4" tint="0.79998168889431442"/>
      </dataBar>
      <extLst>
        <ext xmlns:x14="http://schemas.microsoft.com/office/spreadsheetml/2009/9/main" uri="{B025F937-C7B1-47D3-B67F-A62EFF666E3E}">
          <x14:id>{8107742F-B91D-4509-8051-5606080A4E46}</x14:id>
        </ext>
      </extLst>
    </cfRule>
    <cfRule type="iconSet" priority="5451">
      <iconSet iconSet="3Arrows">
        <cfvo type="percent" val="0"/>
        <cfvo type="num" val="0.7"/>
        <cfvo type="num" val="1"/>
      </iconSet>
    </cfRule>
  </conditionalFormatting>
  <conditionalFormatting sqref="N957 N959">
    <cfRule type="dataBar" priority="5450">
      <dataBar>
        <cfvo type="num" val="0"/>
        <cfvo type="num" val="1"/>
        <color theme="4" tint="0.79998168889431442"/>
      </dataBar>
      <extLst>
        <ext xmlns:x14="http://schemas.microsoft.com/office/spreadsheetml/2009/9/main" uri="{B025F937-C7B1-47D3-B67F-A62EFF666E3E}">
          <x14:id>{2321344B-DA19-4307-A9E1-317BE67EE827}</x14:id>
        </ext>
      </extLst>
    </cfRule>
    <cfRule type="iconSet" priority="5449">
      <iconSet iconSet="3Arrows">
        <cfvo type="percent" val="0"/>
        <cfvo type="num" val="0.7"/>
        <cfvo type="num" val="1"/>
      </iconSet>
    </cfRule>
  </conditionalFormatting>
  <conditionalFormatting sqref="N961">
    <cfRule type="iconSet" priority="5447">
      <iconSet iconSet="3Arrows">
        <cfvo type="percent" val="0"/>
        <cfvo type="num" val="0.7"/>
        <cfvo type="num" val="1"/>
      </iconSet>
    </cfRule>
    <cfRule type="dataBar" priority="5448">
      <dataBar>
        <cfvo type="num" val="0"/>
        <cfvo type="num" val="1"/>
        <color theme="4" tint="0.79998168889431442"/>
      </dataBar>
      <extLst>
        <ext xmlns:x14="http://schemas.microsoft.com/office/spreadsheetml/2009/9/main" uri="{B025F937-C7B1-47D3-B67F-A62EFF666E3E}">
          <x14:id>{8DAF9943-7FBB-48D7-9CC8-CD01FD79A8B2}</x14:id>
        </ext>
      </extLst>
    </cfRule>
  </conditionalFormatting>
  <conditionalFormatting sqref="N963 N965">
    <cfRule type="iconSet" priority="5445">
      <iconSet iconSet="3Arrows">
        <cfvo type="percent" val="0"/>
        <cfvo type="num" val="0.7"/>
        <cfvo type="num" val="1"/>
      </iconSet>
    </cfRule>
    <cfRule type="dataBar" priority="5446">
      <dataBar>
        <cfvo type="num" val="0"/>
        <cfvo type="num" val="1"/>
        <color theme="4" tint="0.79998168889431442"/>
      </dataBar>
      <extLst>
        <ext xmlns:x14="http://schemas.microsoft.com/office/spreadsheetml/2009/9/main" uri="{B025F937-C7B1-47D3-B67F-A62EFF666E3E}">
          <x14:id>{20B06F98-9CE9-4B05-83E1-59FED503F6C4}</x14:id>
        </ext>
      </extLst>
    </cfRule>
  </conditionalFormatting>
  <conditionalFormatting sqref="N967">
    <cfRule type="dataBar" priority="5444">
      <dataBar>
        <cfvo type="num" val="0"/>
        <cfvo type="num" val="1"/>
        <color theme="4" tint="0.79998168889431442"/>
      </dataBar>
      <extLst>
        <ext xmlns:x14="http://schemas.microsoft.com/office/spreadsheetml/2009/9/main" uri="{B025F937-C7B1-47D3-B67F-A62EFF666E3E}">
          <x14:id>{BD994651-E82E-4F94-893B-F9D4805681F2}</x14:id>
        </ext>
      </extLst>
    </cfRule>
    <cfRule type="iconSet" priority="5443">
      <iconSet iconSet="3Arrows">
        <cfvo type="percent" val="0"/>
        <cfvo type="num" val="0.7"/>
        <cfvo type="num" val="1"/>
      </iconSet>
    </cfRule>
  </conditionalFormatting>
  <conditionalFormatting sqref="N971">
    <cfRule type="dataBar" priority="5442">
      <dataBar>
        <cfvo type="num" val="0"/>
        <cfvo type="num" val="1"/>
        <color theme="4" tint="0.79998168889431442"/>
      </dataBar>
      <extLst>
        <ext xmlns:x14="http://schemas.microsoft.com/office/spreadsheetml/2009/9/main" uri="{B025F937-C7B1-47D3-B67F-A62EFF666E3E}">
          <x14:id>{2B63C182-9EF7-4276-93A4-4486D6B792A3}</x14:id>
        </ext>
      </extLst>
    </cfRule>
    <cfRule type="iconSet" priority="5441">
      <iconSet iconSet="3Arrows">
        <cfvo type="percent" val="0"/>
        <cfvo type="num" val="0.7"/>
        <cfvo type="num" val="1"/>
      </iconSet>
    </cfRule>
  </conditionalFormatting>
  <conditionalFormatting sqref="N973">
    <cfRule type="dataBar" priority="5440">
      <dataBar>
        <cfvo type="num" val="0"/>
        <cfvo type="num" val="1"/>
        <color theme="4" tint="0.79998168889431442"/>
      </dataBar>
      <extLst>
        <ext xmlns:x14="http://schemas.microsoft.com/office/spreadsheetml/2009/9/main" uri="{B025F937-C7B1-47D3-B67F-A62EFF666E3E}">
          <x14:id>{BC37E0CA-582A-4C28-B395-5C2D3C17014E}</x14:id>
        </ext>
      </extLst>
    </cfRule>
    <cfRule type="iconSet" priority="5439">
      <iconSet iconSet="3Arrows">
        <cfvo type="percent" val="0"/>
        <cfvo type="num" val="0.7"/>
        <cfvo type="num" val="1"/>
      </iconSet>
    </cfRule>
  </conditionalFormatting>
  <conditionalFormatting sqref="N975">
    <cfRule type="dataBar" priority="5438">
      <dataBar>
        <cfvo type="num" val="0"/>
        <cfvo type="num" val="1"/>
        <color theme="4" tint="0.79998168889431442"/>
      </dataBar>
      <extLst>
        <ext xmlns:x14="http://schemas.microsoft.com/office/spreadsheetml/2009/9/main" uri="{B025F937-C7B1-47D3-B67F-A62EFF666E3E}">
          <x14:id>{0C868C88-05A4-4F9F-AFC0-064F98D06076}</x14:id>
        </ext>
      </extLst>
    </cfRule>
    <cfRule type="iconSet" priority="5437">
      <iconSet iconSet="3Arrows">
        <cfvo type="percent" val="0"/>
        <cfvo type="num" val="0.7"/>
        <cfvo type="num" val="1"/>
      </iconSet>
    </cfRule>
  </conditionalFormatting>
  <conditionalFormatting sqref="N977">
    <cfRule type="dataBar" priority="5436">
      <dataBar>
        <cfvo type="num" val="0"/>
        <cfvo type="num" val="1"/>
        <color theme="4" tint="0.79998168889431442"/>
      </dataBar>
      <extLst>
        <ext xmlns:x14="http://schemas.microsoft.com/office/spreadsheetml/2009/9/main" uri="{B025F937-C7B1-47D3-B67F-A62EFF666E3E}">
          <x14:id>{AAE72882-4655-41C6-A25F-FEB7E9F76C8E}</x14:id>
        </ext>
      </extLst>
    </cfRule>
    <cfRule type="iconSet" priority="5435">
      <iconSet iconSet="3Arrows">
        <cfvo type="percent" val="0"/>
        <cfvo type="num" val="0.7"/>
        <cfvo type="num" val="1"/>
      </iconSet>
    </cfRule>
  </conditionalFormatting>
  <conditionalFormatting sqref="N979">
    <cfRule type="dataBar" priority="5434">
      <dataBar>
        <cfvo type="num" val="0"/>
        <cfvo type="num" val="1"/>
        <color theme="4" tint="0.79998168889431442"/>
      </dataBar>
      <extLst>
        <ext xmlns:x14="http://schemas.microsoft.com/office/spreadsheetml/2009/9/main" uri="{B025F937-C7B1-47D3-B67F-A62EFF666E3E}">
          <x14:id>{C395310A-28C5-4660-80F5-4DD7FB05D8D6}</x14:id>
        </ext>
      </extLst>
    </cfRule>
    <cfRule type="iconSet" priority="5433">
      <iconSet iconSet="3Arrows">
        <cfvo type="percent" val="0"/>
        <cfvo type="num" val="0.7"/>
        <cfvo type="num" val="1"/>
      </iconSet>
    </cfRule>
  </conditionalFormatting>
  <conditionalFormatting sqref="N981 N983">
    <cfRule type="dataBar" priority="5432">
      <dataBar>
        <cfvo type="num" val="0"/>
        <cfvo type="num" val="1"/>
        <color theme="4" tint="0.79998168889431442"/>
      </dataBar>
      <extLst>
        <ext xmlns:x14="http://schemas.microsoft.com/office/spreadsheetml/2009/9/main" uri="{B025F937-C7B1-47D3-B67F-A62EFF666E3E}">
          <x14:id>{B9009C22-FDBE-4DE9-A9E5-9E17E5E9B5E2}</x14:id>
        </ext>
      </extLst>
    </cfRule>
    <cfRule type="iconSet" priority="5431">
      <iconSet iconSet="3Arrows">
        <cfvo type="percent" val="0"/>
        <cfvo type="num" val="0.7"/>
        <cfvo type="num" val="1"/>
      </iconSet>
    </cfRule>
  </conditionalFormatting>
  <conditionalFormatting sqref="N985">
    <cfRule type="dataBar" priority="5430">
      <dataBar>
        <cfvo type="num" val="0"/>
        <cfvo type="num" val="1"/>
        <color theme="4" tint="0.79998168889431442"/>
      </dataBar>
      <extLst>
        <ext xmlns:x14="http://schemas.microsoft.com/office/spreadsheetml/2009/9/main" uri="{B025F937-C7B1-47D3-B67F-A62EFF666E3E}">
          <x14:id>{D5C9E852-5C60-4EAC-BB85-550B80FB4830}</x14:id>
        </ext>
      </extLst>
    </cfRule>
    <cfRule type="iconSet" priority="5429">
      <iconSet iconSet="3Arrows">
        <cfvo type="percent" val="0"/>
        <cfvo type="num" val="0.7"/>
        <cfvo type="num" val="1"/>
      </iconSet>
    </cfRule>
  </conditionalFormatting>
  <conditionalFormatting sqref="N987 N989">
    <cfRule type="dataBar" priority="5428">
      <dataBar>
        <cfvo type="num" val="0"/>
        <cfvo type="num" val="1"/>
        <color theme="4" tint="0.79998168889431442"/>
      </dataBar>
      <extLst>
        <ext xmlns:x14="http://schemas.microsoft.com/office/spreadsheetml/2009/9/main" uri="{B025F937-C7B1-47D3-B67F-A62EFF666E3E}">
          <x14:id>{BE7974C7-F7AB-413C-8DD1-7B551051D194}</x14:id>
        </ext>
      </extLst>
    </cfRule>
    <cfRule type="iconSet" priority="5427">
      <iconSet iconSet="3Arrows">
        <cfvo type="percent" val="0"/>
        <cfvo type="num" val="0.7"/>
        <cfvo type="num" val="1"/>
      </iconSet>
    </cfRule>
  </conditionalFormatting>
  <conditionalFormatting sqref="N991">
    <cfRule type="dataBar" priority="5426">
      <dataBar>
        <cfvo type="num" val="0"/>
        <cfvo type="num" val="1"/>
        <color theme="4" tint="0.79998168889431442"/>
      </dataBar>
      <extLst>
        <ext xmlns:x14="http://schemas.microsoft.com/office/spreadsheetml/2009/9/main" uri="{B025F937-C7B1-47D3-B67F-A62EFF666E3E}">
          <x14:id>{16213DFC-78B9-4E8D-83C3-33DDC155D952}</x14:id>
        </ext>
      </extLst>
    </cfRule>
    <cfRule type="iconSet" priority="5425">
      <iconSet iconSet="3Arrows">
        <cfvo type="percent" val="0"/>
        <cfvo type="num" val="0.7"/>
        <cfvo type="num" val="1"/>
      </iconSet>
    </cfRule>
  </conditionalFormatting>
  <conditionalFormatting sqref="N994">
    <cfRule type="dataBar" priority="5424">
      <dataBar>
        <cfvo type="num" val="0"/>
        <cfvo type="num" val="1"/>
        <color theme="4" tint="0.79998168889431442"/>
      </dataBar>
      <extLst>
        <ext xmlns:x14="http://schemas.microsoft.com/office/spreadsheetml/2009/9/main" uri="{B025F937-C7B1-47D3-B67F-A62EFF666E3E}">
          <x14:id>{68350BA0-D87F-434D-A0E2-6EC992BC8B30}</x14:id>
        </ext>
      </extLst>
    </cfRule>
    <cfRule type="iconSet" priority="5423">
      <iconSet iconSet="3Arrows">
        <cfvo type="percent" val="0"/>
        <cfvo type="num" val="0.7"/>
        <cfvo type="num" val="1"/>
      </iconSet>
    </cfRule>
  </conditionalFormatting>
  <conditionalFormatting sqref="N997">
    <cfRule type="dataBar" priority="5422">
      <dataBar>
        <cfvo type="num" val="0"/>
        <cfvo type="num" val="1"/>
        <color theme="4" tint="0.79998168889431442"/>
      </dataBar>
      <extLst>
        <ext xmlns:x14="http://schemas.microsoft.com/office/spreadsheetml/2009/9/main" uri="{B025F937-C7B1-47D3-B67F-A62EFF666E3E}">
          <x14:id>{68AF8371-3C05-450A-AF95-E8808C071323}</x14:id>
        </ext>
      </extLst>
    </cfRule>
    <cfRule type="iconSet" priority="5421">
      <iconSet iconSet="3Arrows">
        <cfvo type="percent" val="0"/>
        <cfvo type="num" val="0.7"/>
        <cfvo type="num" val="1"/>
      </iconSet>
    </cfRule>
  </conditionalFormatting>
  <conditionalFormatting sqref="N999 N1001 N1003">
    <cfRule type="dataBar" priority="5420">
      <dataBar>
        <cfvo type="num" val="0"/>
        <cfvo type="num" val="1"/>
        <color theme="4" tint="0.79998168889431442"/>
      </dataBar>
      <extLst>
        <ext xmlns:x14="http://schemas.microsoft.com/office/spreadsheetml/2009/9/main" uri="{B025F937-C7B1-47D3-B67F-A62EFF666E3E}">
          <x14:id>{EBC60E17-3740-48E0-8A54-006EE72BEDC6}</x14:id>
        </ext>
      </extLst>
    </cfRule>
    <cfRule type="iconSet" priority="5419">
      <iconSet iconSet="3Arrows">
        <cfvo type="percent" val="0"/>
        <cfvo type="num" val="0.7"/>
        <cfvo type="num" val="1"/>
      </iconSet>
    </cfRule>
  </conditionalFormatting>
  <conditionalFormatting sqref="N1005">
    <cfRule type="dataBar" priority="5418">
      <dataBar>
        <cfvo type="num" val="0"/>
        <cfvo type="num" val="1"/>
        <color theme="4" tint="0.79998168889431442"/>
      </dataBar>
      <extLst>
        <ext xmlns:x14="http://schemas.microsoft.com/office/spreadsheetml/2009/9/main" uri="{B025F937-C7B1-47D3-B67F-A62EFF666E3E}">
          <x14:id>{7E210566-9962-4E74-88B3-318D2994955E}</x14:id>
        </ext>
      </extLst>
    </cfRule>
    <cfRule type="iconSet" priority="5417">
      <iconSet iconSet="3Arrows">
        <cfvo type="percent" val="0"/>
        <cfvo type="num" val="0.7"/>
        <cfvo type="num" val="1"/>
      </iconSet>
    </cfRule>
  </conditionalFormatting>
  <conditionalFormatting sqref="N1007">
    <cfRule type="dataBar" priority="5416">
      <dataBar>
        <cfvo type="num" val="0"/>
        <cfvo type="num" val="1"/>
        <color theme="4" tint="0.79998168889431442"/>
      </dataBar>
      <extLst>
        <ext xmlns:x14="http://schemas.microsoft.com/office/spreadsheetml/2009/9/main" uri="{B025F937-C7B1-47D3-B67F-A62EFF666E3E}">
          <x14:id>{C9587882-EE98-43C0-B2B3-93F28AB2BD67}</x14:id>
        </ext>
      </extLst>
    </cfRule>
    <cfRule type="iconSet" priority="5415">
      <iconSet iconSet="3Arrows">
        <cfvo type="percent" val="0"/>
        <cfvo type="num" val="0.7"/>
        <cfvo type="num" val="1"/>
      </iconSet>
    </cfRule>
  </conditionalFormatting>
  <conditionalFormatting sqref="N1009">
    <cfRule type="iconSet" priority="5413">
      <iconSet iconSet="3Arrows">
        <cfvo type="percent" val="0"/>
        <cfvo type="num" val="0.7"/>
        <cfvo type="num" val="1"/>
      </iconSet>
    </cfRule>
    <cfRule type="dataBar" priority="5414">
      <dataBar>
        <cfvo type="num" val="0"/>
        <cfvo type="num" val="1"/>
        <color theme="4" tint="0.79998168889431442"/>
      </dataBar>
      <extLst>
        <ext xmlns:x14="http://schemas.microsoft.com/office/spreadsheetml/2009/9/main" uri="{B025F937-C7B1-47D3-B67F-A62EFF666E3E}">
          <x14:id>{4B3149FD-46DD-4DF2-8C53-763A2B0AA82F}</x14:id>
        </ext>
      </extLst>
    </cfRule>
  </conditionalFormatting>
  <conditionalFormatting sqref="N1011">
    <cfRule type="iconSet" priority="5411">
      <iconSet iconSet="3Arrows">
        <cfvo type="percent" val="0"/>
        <cfvo type="num" val="0.7"/>
        <cfvo type="num" val="1"/>
      </iconSet>
    </cfRule>
    <cfRule type="dataBar" priority="5412">
      <dataBar>
        <cfvo type="num" val="0"/>
        <cfvo type="num" val="1"/>
        <color theme="4" tint="0.79998168889431442"/>
      </dataBar>
      <extLst>
        <ext xmlns:x14="http://schemas.microsoft.com/office/spreadsheetml/2009/9/main" uri="{B025F937-C7B1-47D3-B67F-A62EFF666E3E}">
          <x14:id>{CF9F5EC3-1AE8-4E61-A16D-A7FDC96962EE}</x14:id>
        </ext>
      </extLst>
    </cfRule>
  </conditionalFormatting>
  <conditionalFormatting sqref="N1013">
    <cfRule type="dataBar" priority="5410">
      <dataBar>
        <cfvo type="num" val="0"/>
        <cfvo type="num" val="1"/>
        <color theme="4" tint="0.79998168889431442"/>
      </dataBar>
      <extLst>
        <ext xmlns:x14="http://schemas.microsoft.com/office/spreadsheetml/2009/9/main" uri="{B025F937-C7B1-47D3-B67F-A62EFF666E3E}">
          <x14:id>{15DC1872-C8DF-4577-8091-134E33177653}</x14:id>
        </ext>
      </extLst>
    </cfRule>
    <cfRule type="iconSet" priority="5409">
      <iconSet iconSet="3Arrows">
        <cfvo type="percent" val="0"/>
        <cfvo type="num" val="0.7"/>
        <cfvo type="num" val="1"/>
      </iconSet>
    </cfRule>
  </conditionalFormatting>
  <conditionalFormatting sqref="N1015">
    <cfRule type="dataBar" priority="5408">
      <dataBar>
        <cfvo type="num" val="0"/>
        <cfvo type="num" val="1"/>
        <color theme="4" tint="0.79998168889431442"/>
      </dataBar>
      <extLst>
        <ext xmlns:x14="http://schemas.microsoft.com/office/spreadsheetml/2009/9/main" uri="{B025F937-C7B1-47D3-B67F-A62EFF666E3E}">
          <x14:id>{BAAA986F-B468-4ED7-9DEC-810F2209CAA3}</x14:id>
        </ext>
      </extLst>
    </cfRule>
    <cfRule type="iconSet" priority="5407">
      <iconSet iconSet="3Arrows">
        <cfvo type="percent" val="0"/>
        <cfvo type="num" val="0.7"/>
        <cfvo type="num" val="1"/>
      </iconSet>
    </cfRule>
  </conditionalFormatting>
  <conditionalFormatting sqref="N1017">
    <cfRule type="dataBar" priority="5406">
      <dataBar>
        <cfvo type="num" val="0"/>
        <cfvo type="num" val="1"/>
        <color theme="4" tint="0.79998168889431442"/>
      </dataBar>
      <extLst>
        <ext xmlns:x14="http://schemas.microsoft.com/office/spreadsheetml/2009/9/main" uri="{B025F937-C7B1-47D3-B67F-A62EFF666E3E}">
          <x14:id>{75D0C501-5500-4036-A473-C0F72A43250E}</x14:id>
        </ext>
      </extLst>
    </cfRule>
    <cfRule type="iconSet" priority="5405">
      <iconSet iconSet="3Arrows">
        <cfvo type="percent" val="0"/>
        <cfvo type="num" val="0.7"/>
        <cfvo type="num" val="1"/>
      </iconSet>
    </cfRule>
  </conditionalFormatting>
  <conditionalFormatting sqref="N1020">
    <cfRule type="dataBar" priority="5404">
      <dataBar>
        <cfvo type="num" val="0"/>
        <cfvo type="num" val="1"/>
        <color theme="4" tint="0.79998168889431442"/>
      </dataBar>
      <extLst>
        <ext xmlns:x14="http://schemas.microsoft.com/office/spreadsheetml/2009/9/main" uri="{B025F937-C7B1-47D3-B67F-A62EFF666E3E}">
          <x14:id>{CD4FC0C1-5F55-4470-8939-3C2F5FE6AF3A}</x14:id>
        </ext>
      </extLst>
    </cfRule>
    <cfRule type="iconSet" priority="5403">
      <iconSet iconSet="3Arrows">
        <cfvo type="percent" val="0"/>
        <cfvo type="num" val="0.7"/>
        <cfvo type="num" val="1"/>
      </iconSet>
    </cfRule>
  </conditionalFormatting>
  <conditionalFormatting sqref="N1022 N1024 N1026">
    <cfRule type="dataBar" priority="5402">
      <dataBar>
        <cfvo type="num" val="0"/>
        <cfvo type="num" val="1"/>
        <color theme="4" tint="0.79998168889431442"/>
      </dataBar>
      <extLst>
        <ext xmlns:x14="http://schemas.microsoft.com/office/spreadsheetml/2009/9/main" uri="{B025F937-C7B1-47D3-B67F-A62EFF666E3E}">
          <x14:id>{4FD30FE5-9A97-4DC2-A80E-AAFEFAA539C5}</x14:id>
        </ext>
      </extLst>
    </cfRule>
    <cfRule type="iconSet" priority="5401">
      <iconSet iconSet="3Arrows">
        <cfvo type="percent" val="0"/>
        <cfvo type="num" val="0.7"/>
        <cfvo type="num" val="1"/>
      </iconSet>
    </cfRule>
  </conditionalFormatting>
  <conditionalFormatting sqref="N1028 N1030 N1032">
    <cfRule type="dataBar" priority="5400">
      <dataBar>
        <cfvo type="num" val="0"/>
        <cfvo type="num" val="1"/>
        <color theme="4" tint="0.79998168889431442"/>
      </dataBar>
      <extLst>
        <ext xmlns:x14="http://schemas.microsoft.com/office/spreadsheetml/2009/9/main" uri="{B025F937-C7B1-47D3-B67F-A62EFF666E3E}">
          <x14:id>{6A86861F-F73A-42FC-A694-46DFD9DB740D}</x14:id>
        </ext>
      </extLst>
    </cfRule>
    <cfRule type="iconSet" priority="5399">
      <iconSet iconSet="3Arrows">
        <cfvo type="percent" val="0"/>
        <cfvo type="num" val="0.7"/>
        <cfvo type="num" val="1"/>
      </iconSet>
    </cfRule>
  </conditionalFormatting>
  <conditionalFormatting sqref="N1034 N1036 N1038">
    <cfRule type="iconSet" priority="5397">
      <iconSet iconSet="3Arrows">
        <cfvo type="percent" val="0"/>
        <cfvo type="num" val="0.7"/>
        <cfvo type="num" val="1"/>
      </iconSet>
    </cfRule>
    <cfRule type="dataBar" priority="5398">
      <dataBar>
        <cfvo type="num" val="0"/>
        <cfvo type="num" val="1"/>
        <color theme="4" tint="0.79998168889431442"/>
      </dataBar>
      <extLst>
        <ext xmlns:x14="http://schemas.microsoft.com/office/spreadsheetml/2009/9/main" uri="{B025F937-C7B1-47D3-B67F-A62EFF666E3E}">
          <x14:id>{6BB88A0B-71E2-4491-83C2-4B675E9C1D46}</x14:id>
        </ext>
      </extLst>
    </cfRule>
  </conditionalFormatting>
  <conditionalFormatting sqref="N1040 N1042 N1044">
    <cfRule type="dataBar" priority="5396">
      <dataBar>
        <cfvo type="num" val="0"/>
        <cfvo type="num" val="1"/>
        <color theme="4" tint="0.79998168889431442"/>
      </dataBar>
      <extLst>
        <ext xmlns:x14="http://schemas.microsoft.com/office/spreadsheetml/2009/9/main" uri="{B025F937-C7B1-47D3-B67F-A62EFF666E3E}">
          <x14:id>{28F25FA4-E4D6-4438-BA9E-15FFB014CBC5}</x14:id>
        </ext>
      </extLst>
    </cfRule>
    <cfRule type="iconSet" priority="5395">
      <iconSet iconSet="3Arrows">
        <cfvo type="percent" val="0"/>
        <cfvo type="num" val="0.7"/>
        <cfvo type="num" val="1"/>
      </iconSet>
    </cfRule>
  </conditionalFormatting>
  <conditionalFormatting sqref="N1046 N1048 N1050">
    <cfRule type="dataBar" priority="5394">
      <dataBar>
        <cfvo type="num" val="0"/>
        <cfvo type="num" val="1"/>
        <color theme="4" tint="0.79998168889431442"/>
      </dataBar>
      <extLst>
        <ext xmlns:x14="http://schemas.microsoft.com/office/spreadsheetml/2009/9/main" uri="{B025F937-C7B1-47D3-B67F-A62EFF666E3E}">
          <x14:id>{AB93B7EC-4194-4686-8C3B-38720093E070}</x14:id>
        </ext>
      </extLst>
    </cfRule>
    <cfRule type="iconSet" priority="5393">
      <iconSet iconSet="3Arrows">
        <cfvo type="percent" val="0"/>
        <cfvo type="num" val="0.7"/>
        <cfvo type="num" val="1"/>
      </iconSet>
    </cfRule>
  </conditionalFormatting>
  <conditionalFormatting sqref="N1052 N1054 N1056">
    <cfRule type="dataBar" priority="5392">
      <dataBar>
        <cfvo type="num" val="0"/>
        <cfvo type="num" val="1"/>
        <color theme="4" tint="0.79998168889431442"/>
      </dataBar>
      <extLst>
        <ext xmlns:x14="http://schemas.microsoft.com/office/spreadsheetml/2009/9/main" uri="{B025F937-C7B1-47D3-B67F-A62EFF666E3E}">
          <x14:id>{7B3139A6-AFA1-484B-A7D5-A54EF27FBB23}</x14:id>
        </ext>
      </extLst>
    </cfRule>
    <cfRule type="iconSet" priority="5391">
      <iconSet iconSet="3Arrows">
        <cfvo type="percent" val="0"/>
        <cfvo type="num" val="0.7"/>
        <cfvo type="num" val="1"/>
      </iconSet>
    </cfRule>
  </conditionalFormatting>
  <conditionalFormatting sqref="N1058 N1060 N1062">
    <cfRule type="iconSet" priority="5389">
      <iconSet iconSet="3Arrows">
        <cfvo type="percent" val="0"/>
        <cfvo type="num" val="0.7"/>
        <cfvo type="num" val="1"/>
      </iconSet>
    </cfRule>
    <cfRule type="dataBar" priority="5390">
      <dataBar>
        <cfvo type="num" val="0"/>
        <cfvo type="num" val="1"/>
        <color theme="4" tint="0.79998168889431442"/>
      </dataBar>
      <extLst>
        <ext xmlns:x14="http://schemas.microsoft.com/office/spreadsheetml/2009/9/main" uri="{B025F937-C7B1-47D3-B67F-A62EFF666E3E}">
          <x14:id>{08186349-56A9-42A9-941F-F23F5A74E037}</x14:id>
        </ext>
      </extLst>
    </cfRule>
  </conditionalFormatting>
  <conditionalFormatting sqref="N1064 N1066 N1068">
    <cfRule type="dataBar" priority="5388">
      <dataBar>
        <cfvo type="num" val="0"/>
        <cfvo type="num" val="1"/>
        <color theme="4" tint="0.79998168889431442"/>
      </dataBar>
      <extLst>
        <ext xmlns:x14="http://schemas.microsoft.com/office/spreadsheetml/2009/9/main" uri="{B025F937-C7B1-47D3-B67F-A62EFF666E3E}">
          <x14:id>{2F710DDD-CDBB-48B4-BA47-2696CE29558B}</x14:id>
        </ext>
      </extLst>
    </cfRule>
    <cfRule type="iconSet" priority="5387">
      <iconSet iconSet="3Arrows">
        <cfvo type="percent" val="0"/>
        <cfvo type="num" val="0.7"/>
        <cfvo type="num" val="1"/>
      </iconSet>
    </cfRule>
  </conditionalFormatting>
  <conditionalFormatting sqref="N1070 N1072 N1074">
    <cfRule type="dataBar" priority="5386">
      <dataBar>
        <cfvo type="num" val="0"/>
        <cfvo type="num" val="1"/>
        <color theme="4" tint="0.79998168889431442"/>
      </dataBar>
      <extLst>
        <ext xmlns:x14="http://schemas.microsoft.com/office/spreadsheetml/2009/9/main" uri="{B025F937-C7B1-47D3-B67F-A62EFF666E3E}">
          <x14:id>{8D041DA2-B6C9-446D-8B2C-47A45717AA60}</x14:id>
        </ext>
      </extLst>
    </cfRule>
    <cfRule type="iconSet" priority="5385">
      <iconSet iconSet="3Arrows">
        <cfvo type="percent" val="0"/>
        <cfvo type="num" val="0.7"/>
        <cfvo type="num" val="1"/>
      </iconSet>
    </cfRule>
  </conditionalFormatting>
  <conditionalFormatting sqref="N1076 N1080">
    <cfRule type="dataBar" priority="5384">
      <dataBar>
        <cfvo type="num" val="0"/>
        <cfvo type="num" val="1"/>
        <color theme="4" tint="0.79998168889431442"/>
      </dataBar>
      <extLst>
        <ext xmlns:x14="http://schemas.microsoft.com/office/spreadsheetml/2009/9/main" uri="{B025F937-C7B1-47D3-B67F-A62EFF666E3E}">
          <x14:id>{88B8ED83-02B1-4FC9-B61F-27DD3B61CE18}</x14:id>
        </ext>
      </extLst>
    </cfRule>
    <cfRule type="iconSet" priority="5383">
      <iconSet iconSet="3Arrows">
        <cfvo type="percent" val="0"/>
        <cfvo type="num" val="0.7"/>
        <cfvo type="num" val="1"/>
      </iconSet>
    </cfRule>
  </conditionalFormatting>
  <conditionalFormatting sqref="N1078">
    <cfRule type="iconSet" priority="5381">
      <iconSet iconSet="3Arrows">
        <cfvo type="percent" val="0"/>
        <cfvo type="num" val="0.7"/>
        <cfvo type="num" val="1"/>
      </iconSet>
    </cfRule>
    <cfRule type="dataBar" priority="5382">
      <dataBar>
        <cfvo type="num" val="0"/>
        <cfvo type="num" val="1"/>
        <color theme="4" tint="0.79998168889431442"/>
      </dataBar>
      <extLst>
        <ext xmlns:x14="http://schemas.microsoft.com/office/spreadsheetml/2009/9/main" uri="{B025F937-C7B1-47D3-B67F-A62EFF666E3E}">
          <x14:id>{225670A2-80D7-4BED-8CC1-5A48074BFF47}</x14:id>
        </ext>
      </extLst>
    </cfRule>
  </conditionalFormatting>
  <conditionalFormatting sqref="N1082">
    <cfRule type="iconSet" priority="5379">
      <iconSet iconSet="3Arrows">
        <cfvo type="percent" val="0"/>
        <cfvo type="num" val="0.7"/>
        <cfvo type="num" val="1"/>
      </iconSet>
    </cfRule>
    <cfRule type="dataBar" priority="5380">
      <dataBar>
        <cfvo type="num" val="0"/>
        <cfvo type="num" val="1"/>
        <color theme="4" tint="0.79998168889431442"/>
      </dataBar>
      <extLst>
        <ext xmlns:x14="http://schemas.microsoft.com/office/spreadsheetml/2009/9/main" uri="{B025F937-C7B1-47D3-B67F-A62EFF666E3E}">
          <x14:id>{63C07187-E14E-443C-A667-26F1E1CBE084}</x14:id>
        </ext>
      </extLst>
    </cfRule>
  </conditionalFormatting>
  <conditionalFormatting sqref="N1085">
    <cfRule type="dataBar" priority="5378">
      <dataBar>
        <cfvo type="num" val="0"/>
        <cfvo type="num" val="1"/>
        <color theme="4" tint="0.79998168889431442"/>
      </dataBar>
      <extLst>
        <ext xmlns:x14="http://schemas.microsoft.com/office/spreadsheetml/2009/9/main" uri="{B025F937-C7B1-47D3-B67F-A62EFF666E3E}">
          <x14:id>{1B77C01F-A4CD-48AB-A21B-E6F5677C7119}</x14:id>
        </ext>
      </extLst>
    </cfRule>
    <cfRule type="iconSet" priority="5377">
      <iconSet iconSet="3Arrows">
        <cfvo type="percent" val="0"/>
        <cfvo type="num" val="0.7"/>
        <cfvo type="num" val="1"/>
      </iconSet>
    </cfRule>
  </conditionalFormatting>
  <conditionalFormatting sqref="N1087">
    <cfRule type="dataBar" priority="5376">
      <dataBar>
        <cfvo type="num" val="0"/>
        <cfvo type="num" val="1"/>
        <color theme="4" tint="0.79998168889431442"/>
      </dataBar>
      <extLst>
        <ext xmlns:x14="http://schemas.microsoft.com/office/spreadsheetml/2009/9/main" uri="{B025F937-C7B1-47D3-B67F-A62EFF666E3E}">
          <x14:id>{4BACAC2E-F2E6-40A6-B22E-EE018F7FC5DD}</x14:id>
        </ext>
      </extLst>
    </cfRule>
    <cfRule type="iconSet" priority="5375">
      <iconSet iconSet="3Arrows">
        <cfvo type="percent" val="0"/>
        <cfvo type="num" val="0.7"/>
        <cfvo type="num" val="1"/>
      </iconSet>
    </cfRule>
  </conditionalFormatting>
  <conditionalFormatting sqref="N1089 N1091 N1093 N1095 N1097 N1099 N1101 N1103">
    <cfRule type="dataBar" priority="5374">
      <dataBar>
        <cfvo type="num" val="0"/>
        <cfvo type="num" val="1"/>
        <color theme="4" tint="0.79998168889431442"/>
      </dataBar>
      <extLst>
        <ext xmlns:x14="http://schemas.microsoft.com/office/spreadsheetml/2009/9/main" uri="{B025F937-C7B1-47D3-B67F-A62EFF666E3E}">
          <x14:id>{9E8EA3EB-58C7-4E69-9052-835BCDB28122}</x14:id>
        </ext>
      </extLst>
    </cfRule>
    <cfRule type="iconSet" priority="5373">
      <iconSet iconSet="3Arrows">
        <cfvo type="percent" val="0"/>
        <cfvo type="num" val="0.7"/>
        <cfvo type="num" val="1"/>
      </iconSet>
    </cfRule>
  </conditionalFormatting>
  <conditionalFormatting sqref="N1105 N1107 N1109 N1111 N1113 N1115 N1117">
    <cfRule type="dataBar" priority="5372">
      <dataBar>
        <cfvo type="num" val="0"/>
        <cfvo type="num" val="1"/>
        <color theme="4" tint="0.79998168889431442"/>
      </dataBar>
      <extLst>
        <ext xmlns:x14="http://schemas.microsoft.com/office/spreadsheetml/2009/9/main" uri="{B025F937-C7B1-47D3-B67F-A62EFF666E3E}">
          <x14:id>{E22094FF-37B0-404C-86EE-9A978D8653E9}</x14:id>
        </ext>
      </extLst>
    </cfRule>
    <cfRule type="iconSet" priority="5371">
      <iconSet iconSet="3Arrows">
        <cfvo type="percent" val="0"/>
        <cfvo type="num" val="0.7"/>
        <cfvo type="num" val="1"/>
      </iconSet>
    </cfRule>
  </conditionalFormatting>
  <conditionalFormatting sqref="N1119">
    <cfRule type="dataBar" priority="5370">
      <dataBar>
        <cfvo type="num" val="0"/>
        <cfvo type="num" val="1"/>
        <color theme="4" tint="0.79998168889431442"/>
      </dataBar>
      <extLst>
        <ext xmlns:x14="http://schemas.microsoft.com/office/spreadsheetml/2009/9/main" uri="{B025F937-C7B1-47D3-B67F-A62EFF666E3E}">
          <x14:id>{AB3FD591-4AF8-493D-9305-0D7A84BEF2C8}</x14:id>
        </ext>
      </extLst>
    </cfRule>
    <cfRule type="iconSet" priority="5369">
      <iconSet iconSet="3Arrows">
        <cfvo type="percent" val="0"/>
        <cfvo type="num" val="0.7"/>
        <cfvo type="num" val="1"/>
      </iconSet>
    </cfRule>
  </conditionalFormatting>
  <conditionalFormatting sqref="N1121">
    <cfRule type="dataBar" priority="5368">
      <dataBar>
        <cfvo type="num" val="0"/>
        <cfvo type="num" val="1"/>
        <color theme="4" tint="0.79998168889431442"/>
      </dataBar>
      <extLst>
        <ext xmlns:x14="http://schemas.microsoft.com/office/spreadsheetml/2009/9/main" uri="{B025F937-C7B1-47D3-B67F-A62EFF666E3E}">
          <x14:id>{84B42601-4098-451E-9A02-AF8F0497853E}</x14:id>
        </ext>
      </extLst>
    </cfRule>
    <cfRule type="iconSet" priority="5367">
      <iconSet iconSet="3Arrows">
        <cfvo type="percent" val="0"/>
        <cfvo type="num" val="0.7"/>
        <cfvo type="num" val="1"/>
      </iconSet>
    </cfRule>
  </conditionalFormatting>
  <conditionalFormatting sqref="N1125">
    <cfRule type="dataBar" priority="5366">
      <dataBar>
        <cfvo type="num" val="0"/>
        <cfvo type="num" val="1"/>
        <color theme="4" tint="0.79998168889431442"/>
      </dataBar>
      <extLst>
        <ext xmlns:x14="http://schemas.microsoft.com/office/spreadsheetml/2009/9/main" uri="{B025F937-C7B1-47D3-B67F-A62EFF666E3E}">
          <x14:id>{28A6858E-0F44-4CA8-BCC7-AAB887EE4161}</x14:id>
        </ext>
      </extLst>
    </cfRule>
    <cfRule type="iconSet" priority="5365">
      <iconSet iconSet="3Arrows">
        <cfvo type="percent" val="0"/>
        <cfvo type="num" val="0.7"/>
        <cfvo type="num" val="1"/>
      </iconSet>
    </cfRule>
  </conditionalFormatting>
  <conditionalFormatting sqref="N1128">
    <cfRule type="dataBar" priority="5364">
      <dataBar>
        <cfvo type="num" val="0"/>
        <cfvo type="num" val="1"/>
        <color theme="4" tint="0.79998168889431442"/>
      </dataBar>
      <extLst>
        <ext xmlns:x14="http://schemas.microsoft.com/office/spreadsheetml/2009/9/main" uri="{B025F937-C7B1-47D3-B67F-A62EFF666E3E}">
          <x14:id>{00F4EE66-8ADD-4EE0-BD51-62B43379BF34}</x14:id>
        </ext>
      </extLst>
    </cfRule>
    <cfRule type="iconSet" priority="5363">
      <iconSet iconSet="3Arrows">
        <cfvo type="percent" val="0"/>
        <cfvo type="num" val="0.7"/>
        <cfvo type="num" val="1"/>
      </iconSet>
    </cfRule>
  </conditionalFormatting>
  <conditionalFormatting sqref="N1130 N1132 N1134">
    <cfRule type="dataBar" priority="5362">
      <dataBar>
        <cfvo type="num" val="0"/>
        <cfvo type="num" val="1"/>
        <color theme="4" tint="0.79998168889431442"/>
      </dataBar>
      <extLst>
        <ext xmlns:x14="http://schemas.microsoft.com/office/spreadsheetml/2009/9/main" uri="{B025F937-C7B1-47D3-B67F-A62EFF666E3E}">
          <x14:id>{6D05A4DD-F73D-45EE-9B0A-4B2D7B3E0DD5}</x14:id>
        </ext>
      </extLst>
    </cfRule>
    <cfRule type="iconSet" priority="5361">
      <iconSet iconSet="3Arrows">
        <cfvo type="percent" val="0"/>
        <cfvo type="num" val="0.7"/>
        <cfvo type="num" val="1"/>
      </iconSet>
    </cfRule>
  </conditionalFormatting>
  <conditionalFormatting sqref="N1136 N1138">
    <cfRule type="dataBar" priority="5360">
      <dataBar>
        <cfvo type="num" val="0"/>
        <cfvo type="num" val="1"/>
        <color theme="4" tint="0.79998168889431442"/>
      </dataBar>
      <extLst>
        <ext xmlns:x14="http://schemas.microsoft.com/office/spreadsheetml/2009/9/main" uri="{B025F937-C7B1-47D3-B67F-A62EFF666E3E}">
          <x14:id>{57D1FD78-0771-4B09-B4CA-3C904E1EE92F}</x14:id>
        </ext>
      </extLst>
    </cfRule>
    <cfRule type="iconSet" priority="5359">
      <iconSet iconSet="3Arrows">
        <cfvo type="percent" val="0"/>
        <cfvo type="num" val="0.7"/>
        <cfvo type="num" val="1"/>
      </iconSet>
    </cfRule>
  </conditionalFormatting>
  <conditionalFormatting sqref="N1140 N1142 N1144">
    <cfRule type="dataBar" priority="5358">
      <dataBar>
        <cfvo type="num" val="0"/>
        <cfvo type="num" val="1"/>
        <color theme="4" tint="0.79998168889431442"/>
      </dataBar>
      <extLst>
        <ext xmlns:x14="http://schemas.microsoft.com/office/spreadsheetml/2009/9/main" uri="{B025F937-C7B1-47D3-B67F-A62EFF666E3E}">
          <x14:id>{DF157D8D-9965-4D18-8397-20BCF7E9C9BC}</x14:id>
        </ext>
      </extLst>
    </cfRule>
    <cfRule type="iconSet" priority="5357">
      <iconSet iconSet="3Arrows">
        <cfvo type="percent" val="0"/>
        <cfvo type="num" val="0.7"/>
        <cfvo type="num" val="1"/>
      </iconSet>
    </cfRule>
  </conditionalFormatting>
  <conditionalFormatting sqref="N1146 N1148 N1150">
    <cfRule type="dataBar" priority="5356">
      <dataBar>
        <cfvo type="num" val="0"/>
        <cfvo type="num" val="1"/>
        <color theme="4" tint="0.79998168889431442"/>
      </dataBar>
      <extLst>
        <ext xmlns:x14="http://schemas.microsoft.com/office/spreadsheetml/2009/9/main" uri="{B025F937-C7B1-47D3-B67F-A62EFF666E3E}">
          <x14:id>{319DC83D-C3DE-4601-8BC6-4ED0F391D91E}</x14:id>
        </ext>
      </extLst>
    </cfRule>
    <cfRule type="iconSet" priority="5355">
      <iconSet iconSet="3Arrows">
        <cfvo type="percent" val="0"/>
        <cfvo type="num" val="0.7"/>
        <cfvo type="num" val="1"/>
      </iconSet>
    </cfRule>
  </conditionalFormatting>
  <conditionalFormatting sqref="N1152 N1154 N1156">
    <cfRule type="dataBar" priority="5354">
      <dataBar>
        <cfvo type="num" val="0"/>
        <cfvo type="num" val="1"/>
        <color theme="4" tint="0.79998168889431442"/>
      </dataBar>
      <extLst>
        <ext xmlns:x14="http://schemas.microsoft.com/office/spreadsheetml/2009/9/main" uri="{B025F937-C7B1-47D3-B67F-A62EFF666E3E}">
          <x14:id>{56A52CAE-908A-4C3B-92E9-89305696D55E}</x14:id>
        </ext>
      </extLst>
    </cfRule>
    <cfRule type="iconSet" priority="5353">
      <iconSet iconSet="3Arrows">
        <cfvo type="percent" val="0"/>
        <cfvo type="num" val="0.7"/>
        <cfvo type="num" val="1"/>
      </iconSet>
    </cfRule>
  </conditionalFormatting>
  <conditionalFormatting sqref="N1158 N1160 N1162">
    <cfRule type="dataBar" priority="5352">
      <dataBar>
        <cfvo type="num" val="0"/>
        <cfvo type="num" val="1"/>
        <color theme="4" tint="0.79998168889431442"/>
      </dataBar>
      <extLst>
        <ext xmlns:x14="http://schemas.microsoft.com/office/spreadsheetml/2009/9/main" uri="{B025F937-C7B1-47D3-B67F-A62EFF666E3E}">
          <x14:id>{8530D066-81F3-43E2-945D-B6F1D9963BAE}</x14:id>
        </ext>
      </extLst>
    </cfRule>
    <cfRule type="iconSet" priority="5351">
      <iconSet iconSet="3Arrows">
        <cfvo type="percent" val="0"/>
        <cfvo type="num" val="0.7"/>
        <cfvo type="num" val="1"/>
      </iconSet>
    </cfRule>
  </conditionalFormatting>
  <conditionalFormatting sqref="N1164 N1166 N1168">
    <cfRule type="iconSet" priority="5349">
      <iconSet iconSet="3Arrows">
        <cfvo type="percent" val="0"/>
        <cfvo type="num" val="0.7"/>
        <cfvo type="num" val="1"/>
      </iconSet>
    </cfRule>
    <cfRule type="dataBar" priority="5350">
      <dataBar>
        <cfvo type="num" val="0"/>
        <cfvo type="num" val="1"/>
        <color theme="4" tint="0.79998168889431442"/>
      </dataBar>
      <extLst>
        <ext xmlns:x14="http://schemas.microsoft.com/office/spreadsheetml/2009/9/main" uri="{B025F937-C7B1-47D3-B67F-A62EFF666E3E}">
          <x14:id>{43886E6A-15B8-4B85-BF3D-4F599EA97B70}</x14:id>
        </ext>
      </extLst>
    </cfRule>
  </conditionalFormatting>
  <conditionalFormatting sqref="N1170 N1172 N1174">
    <cfRule type="iconSet" priority="5347">
      <iconSet iconSet="3Arrows">
        <cfvo type="percent" val="0"/>
        <cfvo type="num" val="0.7"/>
        <cfvo type="num" val="1"/>
      </iconSet>
    </cfRule>
    <cfRule type="dataBar" priority="5348">
      <dataBar>
        <cfvo type="num" val="0"/>
        <cfvo type="num" val="1"/>
        <color theme="4" tint="0.79998168889431442"/>
      </dataBar>
      <extLst>
        <ext xmlns:x14="http://schemas.microsoft.com/office/spreadsheetml/2009/9/main" uri="{B025F937-C7B1-47D3-B67F-A62EFF666E3E}">
          <x14:id>{6C1818FF-7EAB-4A06-A8A8-4DECFB65081A}</x14:id>
        </ext>
      </extLst>
    </cfRule>
  </conditionalFormatting>
  <conditionalFormatting sqref="N1176 N1178 N1180">
    <cfRule type="iconSet" priority="5345">
      <iconSet iconSet="3Arrows">
        <cfvo type="percent" val="0"/>
        <cfvo type="num" val="0.7"/>
        <cfvo type="num" val="1"/>
      </iconSet>
    </cfRule>
    <cfRule type="dataBar" priority="5346">
      <dataBar>
        <cfvo type="num" val="0"/>
        <cfvo type="num" val="1"/>
        <color theme="4" tint="0.79998168889431442"/>
      </dataBar>
      <extLst>
        <ext xmlns:x14="http://schemas.microsoft.com/office/spreadsheetml/2009/9/main" uri="{B025F937-C7B1-47D3-B67F-A62EFF666E3E}">
          <x14:id>{B405158A-8B30-4B3F-8B64-3FA81C9BEC2E}</x14:id>
        </ext>
      </extLst>
    </cfRule>
  </conditionalFormatting>
  <conditionalFormatting sqref="N1182 N1184 N1186">
    <cfRule type="dataBar" priority="5344">
      <dataBar>
        <cfvo type="num" val="0"/>
        <cfvo type="num" val="1"/>
        <color theme="4" tint="0.79998168889431442"/>
      </dataBar>
      <extLst>
        <ext xmlns:x14="http://schemas.microsoft.com/office/spreadsheetml/2009/9/main" uri="{B025F937-C7B1-47D3-B67F-A62EFF666E3E}">
          <x14:id>{8B2025CD-CA4E-4B5F-AFB0-8C2695FB177A}</x14:id>
        </ext>
      </extLst>
    </cfRule>
    <cfRule type="iconSet" priority="5343">
      <iconSet iconSet="3Arrows">
        <cfvo type="percent" val="0"/>
        <cfvo type="num" val="0.7"/>
        <cfvo type="num" val="1"/>
      </iconSet>
    </cfRule>
  </conditionalFormatting>
  <conditionalFormatting sqref="N1188 N1190 N1192">
    <cfRule type="dataBar" priority="5342">
      <dataBar>
        <cfvo type="num" val="0"/>
        <cfvo type="num" val="1"/>
        <color theme="4" tint="0.79998168889431442"/>
      </dataBar>
      <extLst>
        <ext xmlns:x14="http://schemas.microsoft.com/office/spreadsheetml/2009/9/main" uri="{B025F937-C7B1-47D3-B67F-A62EFF666E3E}">
          <x14:id>{808BB094-8C62-4FEA-AC99-D23AEB461335}</x14:id>
        </ext>
      </extLst>
    </cfRule>
    <cfRule type="iconSet" priority="5341">
      <iconSet iconSet="3Arrows">
        <cfvo type="percent" val="0"/>
        <cfvo type="num" val="0.7"/>
        <cfvo type="num" val="1"/>
      </iconSet>
    </cfRule>
  </conditionalFormatting>
  <conditionalFormatting sqref="N1194 N1196">
    <cfRule type="dataBar" priority="5340">
      <dataBar>
        <cfvo type="num" val="0"/>
        <cfvo type="num" val="1"/>
        <color theme="4" tint="0.79998168889431442"/>
      </dataBar>
      <extLst>
        <ext xmlns:x14="http://schemas.microsoft.com/office/spreadsheetml/2009/9/main" uri="{B025F937-C7B1-47D3-B67F-A62EFF666E3E}">
          <x14:id>{01174E4A-BA09-4CA0-9F12-5163F4F14F5F}</x14:id>
        </ext>
      </extLst>
    </cfRule>
    <cfRule type="iconSet" priority="5339">
      <iconSet iconSet="3Arrows">
        <cfvo type="percent" val="0"/>
        <cfvo type="num" val="0.7"/>
        <cfvo type="num" val="1"/>
      </iconSet>
    </cfRule>
  </conditionalFormatting>
  <conditionalFormatting sqref="N1199">
    <cfRule type="dataBar" priority="5338">
      <dataBar>
        <cfvo type="num" val="0"/>
        <cfvo type="num" val="1"/>
        <color theme="4" tint="0.79998168889431442"/>
      </dataBar>
      <extLst>
        <ext xmlns:x14="http://schemas.microsoft.com/office/spreadsheetml/2009/9/main" uri="{B025F937-C7B1-47D3-B67F-A62EFF666E3E}">
          <x14:id>{AB6496F7-9026-4562-B947-134757FD1326}</x14:id>
        </ext>
      </extLst>
    </cfRule>
    <cfRule type="iconSet" priority="5337">
      <iconSet iconSet="3Arrows">
        <cfvo type="percent" val="0"/>
        <cfvo type="num" val="0.7"/>
        <cfvo type="num" val="1"/>
      </iconSet>
    </cfRule>
  </conditionalFormatting>
  <conditionalFormatting sqref="N1201">
    <cfRule type="dataBar" priority="5336">
      <dataBar>
        <cfvo type="num" val="0"/>
        <cfvo type="num" val="1"/>
        <color theme="4" tint="0.79998168889431442"/>
      </dataBar>
      <extLst>
        <ext xmlns:x14="http://schemas.microsoft.com/office/spreadsheetml/2009/9/main" uri="{B025F937-C7B1-47D3-B67F-A62EFF666E3E}">
          <x14:id>{B8F682B0-D6F6-4121-A2F0-5373EDA8E7A9}</x14:id>
        </ext>
      </extLst>
    </cfRule>
    <cfRule type="iconSet" priority="5335">
      <iconSet iconSet="3Arrows">
        <cfvo type="percent" val="0"/>
        <cfvo type="num" val="0.7"/>
        <cfvo type="num" val="1"/>
      </iconSet>
    </cfRule>
  </conditionalFormatting>
  <conditionalFormatting sqref="N1203 N1205 N1207 N1209 N1211 N1213">
    <cfRule type="iconSet" priority="5333">
      <iconSet iconSet="3Arrows">
        <cfvo type="percent" val="0"/>
        <cfvo type="num" val="0.7"/>
        <cfvo type="num" val="1"/>
      </iconSet>
    </cfRule>
    <cfRule type="dataBar" priority="5334">
      <dataBar>
        <cfvo type="num" val="0"/>
        <cfvo type="num" val="1"/>
        <color theme="4" tint="0.79998168889431442"/>
      </dataBar>
      <extLst>
        <ext xmlns:x14="http://schemas.microsoft.com/office/spreadsheetml/2009/9/main" uri="{B025F937-C7B1-47D3-B67F-A62EFF666E3E}">
          <x14:id>{A4680B9B-3F21-40F1-A6BC-C9F13B2537DA}</x14:id>
        </ext>
      </extLst>
    </cfRule>
  </conditionalFormatting>
  <conditionalFormatting sqref="N1215 N1217 N1219 N1221 N1223 N1225">
    <cfRule type="iconSet" priority="5331">
      <iconSet iconSet="3Arrows">
        <cfvo type="percent" val="0"/>
        <cfvo type="num" val="0.7"/>
        <cfvo type="num" val="1"/>
      </iconSet>
    </cfRule>
    <cfRule type="dataBar" priority="5332">
      <dataBar>
        <cfvo type="num" val="0"/>
        <cfvo type="num" val="1"/>
        <color theme="4" tint="0.79998168889431442"/>
      </dataBar>
      <extLst>
        <ext xmlns:x14="http://schemas.microsoft.com/office/spreadsheetml/2009/9/main" uri="{B025F937-C7B1-47D3-B67F-A62EFF666E3E}">
          <x14:id>{48D66398-84DC-4AD3-A570-D46087E7E69D}</x14:id>
        </ext>
      </extLst>
    </cfRule>
  </conditionalFormatting>
  <conditionalFormatting sqref="N1227">
    <cfRule type="dataBar" priority="5330">
      <dataBar>
        <cfvo type="num" val="0"/>
        <cfvo type="num" val="1"/>
        <color theme="4" tint="0.79998168889431442"/>
      </dataBar>
      <extLst>
        <ext xmlns:x14="http://schemas.microsoft.com/office/spreadsheetml/2009/9/main" uri="{B025F937-C7B1-47D3-B67F-A62EFF666E3E}">
          <x14:id>{C9BB30A9-25DC-4CA7-8B94-6A1F96FFF168}</x14:id>
        </ext>
      </extLst>
    </cfRule>
    <cfRule type="iconSet" priority="5329">
      <iconSet iconSet="3Arrows">
        <cfvo type="percent" val="0"/>
        <cfvo type="num" val="0.7"/>
        <cfvo type="num" val="1"/>
      </iconSet>
    </cfRule>
  </conditionalFormatting>
  <conditionalFormatting sqref="N1229 N1231 N1233 N1235 N1237 N1239">
    <cfRule type="dataBar" priority="5328">
      <dataBar>
        <cfvo type="num" val="0"/>
        <cfvo type="num" val="1"/>
        <color theme="4" tint="0.79998168889431442"/>
      </dataBar>
      <extLst>
        <ext xmlns:x14="http://schemas.microsoft.com/office/spreadsheetml/2009/9/main" uri="{B025F937-C7B1-47D3-B67F-A62EFF666E3E}">
          <x14:id>{8368AF78-6801-416D-A55C-EFF27552097A}</x14:id>
        </ext>
      </extLst>
    </cfRule>
    <cfRule type="iconSet" priority="5327">
      <iconSet iconSet="3Arrows">
        <cfvo type="percent" val="0"/>
        <cfvo type="num" val="0.7"/>
        <cfvo type="num" val="1"/>
      </iconSet>
    </cfRule>
  </conditionalFormatting>
  <conditionalFormatting sqref="N1241 N1243 N1245 N1247 N1249 N1251">
    <cfRule type="dataBar" priority="5326">
      <dataBar>
        <cfvo type="num" val="0"/>
        <cfvo type="num" val="1"/>
        <color theme="4" tint="0.79998168889431442"/>
      </dataBar>
      <extLst>
        <ext xmlns:x14="http://schemas.microsoft.com/office/spreadsheetml/2009/9/main" uri="{B025F937-C7B1-47D3-B67F-A62EFF666E3E}">
          <x14:id>{53859D08-E790-4921-9589-BDBD7F2D22EA}</x14:id>
        </ext>
      </extLst>
    </cfRule>
    <cfRule type="iconSet" priority="5325">
      <iconSet iconSet="3Arrows">
        <cfvo type="percent" val="0"/>
        <cfvo type="num" val="0.7"/>
        <cfvo type="num" val="1"/>
      </iconSet>
    </cfRule>
  </conditionalFormatting>
  <conditionalFormatting sqref="N1253">
    <cfRule type="dataBar" priority="5324">
      <dataBar>
        <cfvo type="num" val="0"/>
        <cfvo type="num" val="1"/>
        <color theme="4" tint="0.79998168889431442"/>
      </dataBar>
      <extLst>
        <ext xmlns:x14="http://schemas.microsoft.com/office/spreadsheetml/2009/9/main" uri="{B025F937-C7B1-47D3-B67F-A62EFF666E3E}">
          <x14:id>{442362C3-2DD4-4DE8-BFD4-78774D9DC7B9}</x14:id>
        </ext>
      </extLst>
    </cfRule>
    <cfRule type="iconSet" priority="5323">
      <iconSet iconSet="3Arrows">
        <cfvo type="percent" val="0"/>
        <cfvo type="num" val="0.7"/>
        <cfvo type="num" val="1"/>
      </iconSet>
    </cfRule>
  </conditionalFormatting>
  <conditionalFormatting sqref="N1255 N1257 N1259 N1261 N1263 N1265">
    <cfRule type="dataBar" priority="5322">
      <dataBar>
        <cfvo type="num" val="0"/>
        <cfvo type="num" val="1"/>
        <color theme="4" tint="0.79998168889431442"/>
      </dataBar>
      <extLst>
        <ext xmlns:x14="http://schemas.microsoft.com/office/spreadsheetml/2009/9/main" uri="{B025F937-C7B1-47D3-B67F-A62EFF666E3E}">
          <x14:id>{424839B9-9B02-4538-B9E9-D79B3260F27B}</x14:id>
        </ext>
      </extLst>
    </cfRule>
    <cfRule type="iconSet" priority="5321">
      <iconSet iconSet="3Arrows">
        <cfvo type="percent" val="0"/>
        <cfvo type="num" val="0.7"/>
        <cfvo type="num" val="1"/>
      </iconSet>
    </cfRule>
  </conditionalFormatting>
  <conditionalFormatting sqref="N1267 N1269 N1271 N1273 N1275 N1277">
    <cfRule type="dataBar" priority="5320">
      <dataBar>
        <cfvo type="num" val="0"/>
        <cfvo type="num" val="1"/>
        <color theme="4" tint="0.79998168889431442"/>
      </dataBar>
      <extLst>
        <ext xmlns:x14="http://schemas.microsoft.com/office/spreadsheetml/2009/9/main" uri="{B025F937-C7B1-47D3-B67F-A62EFF666E3E}">
          <x14:id>{A84099B1-67A8-496D-A9AB-FFDCDAC2BDCF}</x14:id>
        </ext>
      </extLst>
    </cfRule>
    <cfRule type="iconSet" priority="5319">
      <iconSet iconSet="3Arrows">
        <cfvo type="percent" val="0"/>
        <cfvo type="num" val="0.7"/>
        <cfvo type="num" val="1"/>
      </iconSet>
    </cfRule>
  </conditionalFormatting>
  <conditionalFormatting sqref="N1279">
    <cfRule type="iconSet" priority="5317">
      <iconSet iconSet="3Arrows">
        <cfvo type="percent" val="0"/>
        <cfvo type="num" val="0.7"/>
        <cfvo type="num" val="1"/>
      </iconSet>
    </cfRule>
    <cfRule type="dataBar" priority="5318">
      <dataBar>
        <cfvo type="num" val="0"/>
        <cfvo type="num" val="1"/>
        <color theme="4" tint="0.79998168889431442"/>
      </dataBar>
      <extLst>
        <ext xmlns:x14="http://schemas.microsoft.com/office/spreadsheetml/2009/9/main" uri="{B025F937-C7B1-47D3-B67F-A62EFF666E3E}">
          <x14:id>{7801538E-D42C-4CF1-86CF-1B486E80C8AE}</x14:id>
        </ext>
      </extLst>
    </cfRule>
  </conditionalFormatting>
  <conditionalFormatting sqref="N1281 N1283 N1285 N1287 N1289 N1291">
    <cfRule type="iconSet" priority="5315">
      <iconSet iconSet="3Arrows">
        <cfvo type="percent" val="0"/>
        <cfvo type="num" val="0.7"/>
        <cfvo type="num" val="1"/>
      </iconSet>
    </cfRule>
    <cfRule type="dataBar" priority="5316">
      <dataBar>
        <cfvo type="num" val="0"/>
        <cfvo type="num" val="1"/>
        <color theme="4" tint="0.79998168889431442"/>
      </dataBar>
      <extLst>
        <ext xmlns:x14="http://schemas.microsoft.com/office/spreadsheetml/2009/9/main" uri="{B025F937-C7B1-47D3-B67F-A62EFF666E3E}">
          <x14:id>{518C7432-1BA7-4FC5-BE16-30EF31801298}</x14:id>
        </ext>
      </extLst>
    </cfRule>
  </conditionalFormatting>
  <conditionalFormatting sqref="N1293 N1295 N1297 N1299 N1301 N1303">
    <cfRule type="dataBar" priority="5314">
      <dataBar>
        <cfvo type="num" val="0"/>
        <cfvo type="num" val="1"/>
        <color theme="4" tint="0.79998168889431442"/>
      </dataBar>
      <extLst>
        <ext xmlns:x14="http://schemas.microsoft.com/office/spreadsheetml/2009/9/main" uri="{B025F937-C7B1-47D3-B67F-A62EFF666E3E}">
          <x14:id>{92BC14CE-5CE6-4DE2-A5A4-20056340BA51}</x14:id>
        </ext>
      </extLst>
    </cfRule>
    <cfRule type="iconSet" priority="5313">
      <iconSet iconSet="3Arrows">
        <cfvo type="percent" val="0"/>
        <cfvo type="num" val="0.7"/>
        <cfvo type="num" val="1"/>
      </iconSet>
    </cfRule>
  </conditionalFormatting>
  <conditionalFormatting sqref="N1305 N1307 N1309 N1311 N1313">
    <cfRule type="dataBar" priority="5312">
      <dataBar>
        <cfvo type="num" val="0"/>
        <cfvo type="num" val="1"/>
        <color theme="4" tint="0.79998168889431442"/>
      </dataBar>
      <extLst>
        <ext xmlns:x14="http://schemas.microsoft.com/office/spreadsheetml/2009/9/main" uri="{B025F937-C7B1-47D3-B67F-A62EFF666E3E}">
          <x14:id>{50E2466D-6EC5-4A32-81E0-DB08048B8939}</x14:id>
        </ext>
      </extLst>
    </cfRule>
    <cfRule type="iconSet" priority="5311">
      <iconSet iconSet="3Arrows">
        <cfvo type="percent" val="0"/>
        <cfvo type="num" val="0.7"/>
        <cfvo type="num" val="1"/>
      </iconSet>
    </cfRule>
  </conditionalFormatting>
  <conditionalFormatting sqref="N1315 N1317 N1319 N1321 N1323 N1325">
    <cfRule type="dataBar" priority="5310">
      <dataBar>
        <cfvo type="num" val="0"/>
        <cfvo type="num" val="1"/>
        <color theme="4" tint="0.79998168889431442"/>
      </dataBar>
      <extLst>
        <ext xmlns:x14="http://schemas.microsoft.com/office/spreadsheetml/2009/9/main" uri="{B025F937-C7B1-47D3-B67F-A62EFF666E3E}">
          <x14:id>{BB97A28A-4F88-4CF6-BAFB-BD02468ECD9C}</x14:id>
        </ext>
      </extLst>
    </cfRule>
    <cfRule type="iconSet" priority="5309">
      <iconSet iconSet="3Arrows">
        <cfvo type="percent" val="0"/>
        <cfvo type="num" val="0.7"/>
        <cfvo type="num" val="1"/>
      </iconSet>
    </cfRule>
  </conditionalFormatting>
  <conditionalFormatting sqref="N1327 N1329 N1331 N1333 N1335">
    <cfRule type="dataBar" priority="5308">
      <dataBar>
        <cfvo type="num" val="0"/>
        <cfvo type="num" val="1"/>
        <color theme="4" tint="0.79998168889431442"/>
      </dataBar>
      <extLst>
        <ext xmlns:x14="http://schemas.microsoft.com/office/spreadsheetml/2009/9/main" uri="{B025F937-C7B1-47D3-B67F-A62EFF666E3E}">
          <x14:id>{725077A7-CBC4-466C-869F-E5C3A3C53D14}</x14:id>
        </ext>
      </extLst>
    </cfRule>
    <cfRule type="iconSet" priority="5307">
      <iconSet iconSet="3Arrows">
        <cfvo type="percent" val="0"/>
        <cfvo type="num" val="0.7"/>
        <cfvo type="num" val="1"/>
      </iconSet>
    </cfRule>
  </conditionalFormatting>
  <conditionalFormatting sqref="N1337 N1339 N1341 N1343 N1345 N1347">
    <cfRule type="dataBar" priority="5306">
      <dataBar>
        <cfvo type="num" val="0"/>
        <cfvo type="num" val="1"/>
        <color theme="4" tint="0.79998168889431442"/>
      </dataBar>
      <extLst>
        <ext xmlns:x14="http://schemas.microsoft.com/office/spreadsheetml/2009/9/main" uri="{B025F937-C7B1-47D3-B67F-A62EFF666E3E}">
          <x14:id>{C61370A7-924E-407B-98A2-DF80FA0DF275}</x14:id>
        </ext>
      </extLst>
    </cfRule>
    <cfRule type="iconSet" priority="5305">
      <iconSet iconSet="3Arrows">
        <cfvo type="percent" val="0"/>
        <cfvo type="num" val="0.7"/>
        <cfvo type="num" val="1"/>
      </iconSet>
    </cfRule>
  </conditionalFormatting>
  <conditionalFormatting sqref="N1349 N1351 N1353 N1355">
    <cfRule type="dataBar" priority="5304">
      <dataBar>
        <cfvo type="num" val="0"/>
        <cfvo type="num" val="1"/>
        <color theme="4" tint="0.79998168889431442"/>
      </dataBar>
      <extLst>
        <ext xmlns:x14="http://schemas.microsoft.com/office/spreadsheetml/2009/9/main" uri="{B025F937-C7B1-47D3-B67F-A62EFF666E3E}">
          <x14:id>{8D02E8AC-A8AC-4280-A467-90358152029F}</x14:id>
        </ext>
      </extLst>
    </cfRule>
    <cfRule type="iconSet" priority="5303">
      <iconSet iconSet="3Arrows">
        <cfvo type="percent" val="0"/>
        <cfvo type="num" val="0.7"/>
        <cfvo type="num" val="1"/>
      </iconSet>
    </cfRule>
  </conditionalFormatting>
  <conditionalFormatting sqref="N1357">
    <cfRule type="dataBar" priority="5302">
      <dataBar>
        <cfvo type="num" val="0"/>
        <cfvo type="num" val="1"/>
        <color theme="4" tint="0.79998168889431442"/>
      </dataBar>
      <extLst>
        <ext xmlns:x14="http://schemas.microsoft.com/office/spreadsheetml/2009/9/main" uri="{B025F937-C7B1-47D3-B67F-A62EFF666E3E}">
          <x14:id>{30C743B2-1843-4F51-B3E1-27879BF1CC76}</x14:id>
        </ext>
      </extLst>
    </cfRule>
    <cfRule type="iconSet" priority="5301">
      <iconSet iconSet="3Arrows">
        <cfvo type="percent" val="0"/>
        <cfvo type="num" val="0.7"/>
        <cfvo type="num" val="1"/>
      </iconSet>
    </cfRule>
  </conditionalFormatting>
  <conditionalFormatting sqref="N1359">
    <cfRule type="dataBar" priority="5300">
      <dataBar>
        <cfvo type="num" val="0"/>
        <cfvo type="num" val="1"/>
        <color theme="4" tint="0.79998168889431442"/>
      </dataBar>
      <extLst>
        <ext xmlns:x14="http://schemas.microsoft.com/office/spreadsheetml/2009/9/main" uri="{B025F937-C7B1-47D3-B67F-A62EFF666E3E}">
          <x14:id>{9EEABB7A-931E-4A7F-944A-64BF7A38DA51}</x14:id>
        </ext>
      </extLst>
    </cfRule>
    <cfRule type="iconSet" priority="5299">
      <iconSet iconSet="3Arrows">
        <cfvo type="percent" val="0"/>
        <cfvo type="num" val="0.7"/>
        <cfvo type="num" val="1"/>
      </iconSet>
    </cfRule>
  </conditionalFormatting>
  <conditionalFormatting sqref="N1362">
    <cfRule type="dataBar" priority="5298">
      <dataBar>
        <cfvo type="num" val="0"/>
        <cfvo type="num" val="1"/>
        <color theme="4" tint="0.79998168889431442"/>
      </dataBar>
      <extLst>
        <ext xmlns:x14="http://schemas.microsoft.com/office/spreadsheetml/2009/9/main" uri="{B025F937-C7B1-47D3-B67F-A62EFF666E3E}">
          <x14:id>{021CD99E-761B-453F-80C6-2A13E361EDCF}</x14:id>
        </ext>
      </extLst>
    </cfRule>
    <cfRule type="iconSet" priority="5297">
      <iconSet iconSet="3Arrows">
        <cfvo type="percent" val="0"/>
        <cfvo type="num" val="0.7"/>
        <cfvo type="num" val="1"/>
      </iconSet>
    </cfRule>
  </conditionalFormatting>
  <conditionalFormatting sqref="N1364 N1366 N1368 N1370 N1372 N1374 N1376 N1378 N1380 N1382 N1384">
    <cfRule type="dataBar" priority="5296">
      <dataBar>
        <cfvo type="num" val="0"/>
        <cfvo type="num" val="1"/>
        <color theme="4" tint="0.79998168889431442"/>
      </dataBar>
      <extLst>
        <ext xmlns:x14="http://schemas.microsoft.com/office/spreadsheetml/2009/9/main" uri="{B025F937-C7B1-47D3-B67F-A62EFF666E3E}">
          <x14:id>{4D3F9124-4B43-4596-A92C-3FF393246EF2}</x14:id>
        </ext>
      </extLst>
    </cfRule>
    <cfRule type="iconSet" priority="5295">
      <iconSet iconSet="3Arrows">
        <cfvo type="percent" val="0"/>
        <cfvo type="num" val="0.7"/>
        <cfvo type="num" val="1"/>
      </iconSet>
    </cfRule>
  </conditionalFormatting>
  <conditionalFormatting sqref="N1386 N1388 N1390 N1392 N1394 N1396 N1398 N1400 N1402 N1404 N1406">
    <cfRule type="dataBar" priority="5294">
      <dataBar>
        <cfvo type="num" val="0"/>
        <cfvo type="num" val="1"/>
        <color theme="4" tint="0.79998168889431442"/>
      </dataBar>
      <extLst>
        <ext xmlns:x14="http://schemas.microsoft.com/office/spreadsheetml/2009/9/main" uri="{B025F937-C7B1-47D3-B67F-A62EFF666E3E}">
          <x14:id>{55F350D4-B514-4B85-A182-21E61D750B73}</x14:id>
        </ext>
      </extLst>
    </cfRule>
    <cfRule type="iconSet" priority="5293">
      <iconSet iconSet="3Arrows">
        <cfvo type="percent" val="0"/>
        <cfvo type="num" val="0.7"/>
        <cfvo type="num" val="1"/>
      </iconSet>
    </cfRule>
  </conditionalFormatting>
  <conditionalFormatting sqref="N1408 N1410 N1412 N1414 N1416 N1418 N1420 N1422 N1424">
    <cfRule type="dataBar" priority="5292">
      <dataBar>
        <cfvo type="num" val="0"/>
        <cfvo type="num" val="1"/>
        <color theme="4" tint="0.79998168889431442"/>
      </dataBar>
      <extLst>
        <ext xmlns:x14="http://schemas.microsoft.com/office/spreadsheetml/2009/9/main" uri="{B025F937-C7B1-47D3-B67F-A62EFF666E3E}">
          <x14:id>{CB0F4296-2764-47AA-B4C2-66F75638B272}</x14:id>
        </ext>
      </extLst>
    </cfRule>
    <cfRule type="iconSet" priority="5291">
      <iconSet iconSet="3Arrows">
        <cfvo type="percent" val="0"/>
        <cfvo type="num" val="0.7"/>
        <cfvo type="num" val="1"/>
      </iconSet>
    </cfRule>
  </conditionalFormatting>
  <conditionalFormatting sqref="N1426 N1428 N1430 N1432 N1434 N1436">
    <cfRule type="dataBar" priority="5290">
      <dataBar>
        <cfvo type="num" val="0"/>
        <cfvo type="num" val="1"/>
        <color theme="4" tint="0.79998168889431442"/>
      </dataBar>
      <extLst>
        <ext xmlns:x14="http://schemas.microsoft.com/office/spreadsheetml/2009/9/main" uri="{B025F937-C7B1-47D3-B67F-A62EFF666E3E}">
          <x14:id>{DE5564F2-29A7-4B16-8E55-C8A61E60C178}</x14:id>
        </ext>
      </extLst>
    </cfRule>
    <cfRule type="iconSet" priority="5289">
      <iconSet iconSet="3Arrows">
        <cfvo type="percent" val="0"/>
        <cfvo type="num" val="0.7"/>
        <cfvo type="num" val="1"/>
      </iconSet>
    </cfRule>
  </conditionalFormatting>
  <conditionalFormatting sqref="N1442">
    <cfRule type="dataBar" priority="5288">
      <dataBar>
        <cfvo type="num" val="0"/>
        <cfvo type="num" val="1"/>
        <color theme="4" tint="0.79998168889431442"/>
      </dataBar>
      <extLst>
        <ext xmlns:x14="http://schemas.microsoft.com/office/spreadsheetml/2009/9/main" uri="{B025F937-C7B1-47D3-B67F-A62EFF666E3E}">
          <x14:id>{0D3F6FEA-4B95-471D-87F5-7534A1E1C2FC}</x14:id>
        </ext>
      </extLst>
    </cfRule>
    <cfRule type="iconSet" priority="5287">
      <iconSet iconSet="3Arrows">
        <cfvo type="percent" val="0"/>
        <cfvo type="num" val="0.7"/>
        <cfvo type="num" val="1"/>
      </iconSet>
    </cfRule>
  </conditionalFormatting>
  <conditionalFormatting sqref="N1445">
    <cfRule type="dataBar" priority="5286">
      <dataBar>
        <cfvo type="num" val="0"/>
        <cfvo type="num" val="1"/>
        <color theme="4" tint="0.79998168889431442"/>
      </dataBar>
      <extLst>
        <ext xmlns:x14="http://schemas.microsoft.com/office/spreadsheetml/2009/9/main" uri="{B025F937-C7B1-47D3-B67F-A62EFF666E3E}">
          <x14:id>{F8D728F9-E8D2-4C8C-891E-CC823CF13904}</x14:id>
        </ext>
      </extLst>
    </cfRule>
    <cfRule type="iconSet" priority="5285">
      <iconSet iconSet="3Arrows">
        <cfvo type="percent" val="0"/>
        <cfvo type="num" val="0.7"/>
        <cfvo type="num" val="1"/>
      </iconSet>
    </cfRule>
  </conditionalFormatting>
  <conditionalFormatting sqref="N1448">
    <cfRule type="iconSet" priority="5283">
      <iconSet iconSet="3Arrows">
        <cfvo type="percent" val="0"/>
        <cfvo type="num" val="0.7"/>
        <cfvo type="num" val="1"/>
      </iconSet>
    </cfRule>
    <cfRule type="dataBar" priority="5284">
      <dataBar>
        <cfvo type="num" val="0"/>
        <cfvo type="num" val="1"/>
        <color theme="4" tint="0.79998168889431442"/>
      </dataBar>
      <extLst>
        <ext xmlns:x14="http://schemas.microsoft.com/office/spreadsheetml/2009/9/main" uri="{B025F937-C7B1-47D3-B67F-A62EFF666E3E}">
          <x14:id>{4F83353B-4EC5-4DD7-AC88-48634A560C8F}</x14:id>
        </ext>
      </extLst>
    </cfRule>
  </conditionalFormatting>
  <conditionalFormatting sqref="N1450">
    <cfRule type="iconSet" priority="5281">
      <iconSet iconSet="3Arrows">
        <cfvo type="percent" val="0"/>
        <cfvo type="num" val="0.7"/>
        <cfvo type="num" val="1"/>
      </iconSet>
    </cfRule>
    <cfRule type="dataBar" priority="5282">
      <dataBar>
        <cfvo type="num" val="0"/>
        <cfvo type="num" val="1"/>
        <color theme="4" tint="0.79998168889431442"/>
      </dataBar>
      <extLst>
        <ext xmlns:x14="http://schemas.microsoft.com/office/spreadsheetml/2009/9/main" uri="{B025F937-C7B1-47D3-B67F-A62EFF666E3E}">
          <x14:id>{DDF7981D-1360-476B-A4A6-04DDAB1D8420}</x14:id>
        </ext>
      </extLst>
    </cfRule>
  </conditionalFormatting>
  <conditionalFormatting sqref="N1452">
    <cfRule type="dataBar" priority="5280">
      <dataBar>
        <cfvo type="num" val="0"/>
        <cfvo type="num" val="1"/>
        <color theme="4" tint="0.79998168889431442"/>
      </dataBar>
      <extLst>
        <ext xmlns:x14="http://schemas.microsoft.com/office/spreadsheetml/2009/9/main" uri="{B025F937-C7B1-47D3-B67F-A62EFF666E3E}">
          <x14:id>{D708E577-66CF-45DC-A34D-8F1C748167DF}</x14:id>
        </ext>
      </extLst>
    </cfRule>
    <cfRule type="iconSet" priority="5279">
      <iconSet iconSet="3Arrows">
        <cfvo type="percent" val="0"/>
        <cfvo type="num" val="0.7"/>
        <cfvo type="num" val="1"/>
      </iconSet>
    </cfRule>
  </conditionalFormatting>
  <conditionalFormatting sqref="N1454">
    <cfRule type="dataBar" priority="5278">
      <dataBar>
        <cfvo type="num" val="0"/>
        <cfvo type="num" val="1"/>
        <color theme="4" tint="0.79998168889431442"/>
      </dataBar>
      <extLst>
        <ext xmlns:x14="http://schemas.microsoft.com/office/spreadsheetml/2009/9/main" uri="{B025F937-C7B1-47D3-B67F-A62EFF666E3E}">
          <x14:id>{192A0407-DBC8-478A-AE34-89967BA72C0F}</x14:id>
        </ext>
      </extLst>
    </cfRule>
    <cfRule type="iconSet" priority="5277">
      <iconSet iconSet="3Arrows">
        <cfvo type="percent" val="0"/>
        <cfvo type="num" val="0.7"/>
        <cfvo type="num" val="1"/>
      </iconSet>
    </cfRule>
  </conditionalFormatting>
  <conditionalFormatting sqref="N1462 N1456 N1458 N1460 N1464 N1466">
    <cfRule type="dataBar" priority="5276">
      <dataBar>
        <cfvo type="num" val="0"/>
        <cfvo type="num" val="1"/>
        <color theme="4" tint="0.79998168889431442"/>
      </dataBar>
      <extLst>
        <ext xmlns:x14="http://schemas.microsoft.com/office/spreadsheetml/2009/9/main" uri="{B025F937-C7B1-47D3-B67F-A62EFF666E3E}">
          <x14:id>{E134134D-221E-44E0-A329-B4E9D1136036}</x14:id>
        </ext>
      </extLst>
    </cfRule>
    <cfRule type="iconSet" priority="5275">
      <iconSet iconSet="3Arrows">
        <cfvo type="percent" val="0"/>
        <cfvo type="num" val="0.7"/>
        <cfvo type="num" val="1"/>
      </iconSet>
    </cfRule>
  </conditionalFormatting>
  <conditionalFormatting sqref="N1468">
    <cfRule type="dataBar" priority="5274">
      <dataBar>
        <cfvo type="num" val="0"/>
        <cfvo type="num" val="1"/>
        <color theme="4" tint="0.79998168889431442"/>
      </dataBar>
      <extLst>
        <ext xmlns:x14="http://schemas.microsoft.com/office/spreadsheetml/2009/9/main" uri="{B025F937-C7B1-47D3-B67F-A62EFF666E3E}">
          <x14:id>{FD758B0C-227E-42D3-A290-A8AD160FDC91}</x14:id>
        </ext>
      </extLst>
    </cfRule>
    <cfRule type="iconSet" priority="5273">
      <iconSet iconSet="3Arrows">
        <cfvo type="percent" val="0"/>
        <cfvo type="num" val="0.7"/>
        <cfvo type="num" val="1"/>
      </iconSet>
    </cfRule>
  </conditionalFormatting>
  <conditionalFormatting sqref="N1470 N1472 N1474 N1476 N1478 N1480 N1482">
    <cfRule type="dataBar" priority="5272">
      <dataBar>
        <cfvo type="num" val="0"/>
        <cfvo type="num" val="1"/>
        <color theme="4" tint="0.79998168889431442"/>
      </dataBar>
      <extLst>
        <ext xmlns:x14="http://schemas.microsoft.com/office/spreadsheetml/2009/9/main" uri="{B025F937-C7B1-47D3-B67F-A62EFF666E3E}">
          <x14:id>{3E18A4B3-AFBE-4A36-BD7F-0B1CFEAEA6A2}</x14:id>
        </ext>
      </extLst>
    </cfRule>
    <cfRule type="iconSet" priority="5271">
      <iconSet iconSet="3Arrows">
        <cfvo type="percent" val="0"/>
        <cfvo type="num" val="0.7"/>
        <cfvo type="num" val="1"/>
      </iconSet>
    </cfRule>
  </conditionalFormatting>
  <conditionalFormatting sqref="N1484">
    <cfRule type="dataBar" priority="5270">
      <dataBar>
        <cfvo type="num" val="0"/>
        <cfvo type="num" val="1"/>
        <color theme="4" tint="0.79998168889431442"/>
      </dataBar>
      <extLst>
        <ext xmlns:x14="http://schemas.microsoft.com/office/spreadsheetml/2009/9/main" uri="{B025F937-C7B1-47D3-B67F-A62EFF666E3E}">
          <x14:id>{3D6F8741-441E-4D63-9291-358A4598CE0A}</x14:id>
        </ext>
      </extLst>
    </cfRule>
    <cfRule type="iconSet" priority="5269">
      <iconSet iconSet="3Arrows">
        <cfvo type="percent" val="0"/>
        <cfvo type="num" val="0.7"/>
        <cfvo type="num" val="1"/>
      </iconSet>
    </cfRule>
  </conditionalFormatting>
  <conditionalFormatting sqref="N1486 N1488 N1490 N1492 N1494 N1496 N1498">
    <cfRule type="iconSet" priority="5267">
      <iconSet iconSet="3Arrows">
        <cfvo type="percent" val="0"/>
        <cfvo type="num" val="0.7"/>
        <cfvo type="num" val="1"/>
      </iconSet>
    </cfRule>
    <cfRule type="dataBar" priority="5268">
      <dataBar>
        <cfvo type="num" val="0"/>
        <cfvo type="num" val="1"/>
        <color theme="4" tint="0.79998168889431442"/>
      </dataBar>
      <extLst>
        <ext xmlns:x14="http://schemas.microsoft.com/office/spreadsheetml/2009/9/main" uri="{B025F937-C7B1-47D3-B67F-A62EFF666E3E}">
          <x14:id>{14E29389-B07A-4FD1-B022-D0AE6375C3E4}</x14:id>
        </ext>
      </extLst>
    </cfRule>
  </conditionalFormatting>
  <conditionalFormatting sqref="N1500">
    <cfRule type="dataBar" priority="5266">
      <dataBar>
        <cfvo type="num" val="0"/>
        <cfvo type="num" val="1"/>
        <color theme="4" tint="0.79998168889431442"/>
      </dataBar>
      <extLst>
        <ext xmlns:x14="http://schemas.microsoft.com/office/spreadsheetml/2009/9/main" uri="{B025F937-C7B1-47D3-B67F-A62EFF666E3E}">
          <x14:id>{2A89F38D-E2FA-43E3-9331-C50E06EB0627}</x14:id>
        </ext>
      </extLst>
    </cfRule>
    <cfRule type="iconSet" priority="5265">
      <iconSet iconSet="3Arrows">
        <cfvo type="percent" val="0"/>
        <cfvo type="num" val="0.7"/>
        <cfvo type="num" val="1"/>
      </iconSet>
    </cfRule>
  </conditionalFormatting>
  <conditionalFormatting sqref="N1502 N1504 N1506 N1508 N1510 N1512 N1514">
    <cfRule type="dataBar" priority="5264">
      <dataBar>
        <cfvo type="num" val="0"/>
        <cfvo type="num" val="1"/>
        <color theme="4" tint="0.79998168889431442"/>
      </dataBar>
      <extLst>
        <ext xmlns:x14="http://schemas.microsoft.com/office/spreadsheetml/2009/9/main" uri="{B025F937-C7B1-47D3-B67F-A62EFF666E3E}">
          <x14:id>{C5792ABF-F627-404A-9EF2-1550AB7A70D3}</x14:id>
        </ext>
      </extLst>
    </cfRule>
    <cfRule type="iconSet" priority="5263">
      <iconSet iconSet="3Arrows">
        <cfvo type="percent" val="0"/>
        <cfvo type="num" val="0.7"/>
        <cfvo type="num" val="1"/>
      </iconSet>
    </cfRule>
  </conditionalFormatting>
  <conditionalFormatting sqref="N1516">
    <cfRule type="dataBar" priority="5262">
      <dataBar>
        <cfvo type="num" val="0"/>
        <cfvo type="num" val="1"/>
        <color theme="4" tint="0.79998168889431442"/>
      </dataBar>
      <extLst>
        <ext xmlns:x14="http://schemas.microsoft.com/office/spreadsheetml/2009/9/main" uri="{B025F937-C7B1-47D3-B67F-A62EFF666E3E}">
          <x14:id>{6C8D334C-F5C1-4CC9-9495-F47DC1CE41B3}</x14:id>
        </ext>
      </extLst>
    </cfRule>
    <cfRule type="iconSet" priority="5261">
      <iconSet iconSet="3Arrows">
        <cfvo type="percent" val="0"/>
        <cfvo type="num" val="0.7"/>
        <cfvo type="num" val="1"/>
      </iconSet>
    </cfRule>
  </conditionalFormatting>
  <conditionalFormatting sqref="N1520 N1518">
    <cfRule type="iconSet" priority="5259">
      <iconSet iconSet="3Arrows">
        <cfvo type="percent" val="0"/>
        <cfvo type="num" val="0.7"/>
        <cfvo type="num" val="1"/>
      </iconSet>
    </cfRule>
    <cfRule type="dataBar" priority="5260">
      <dataBar>
        <cfvo type="num" val="0"/>
        <cfvo type="num" val="1"/>
        <color theme="4" tint="0.79998168889431442"/>
      </dataBar>
      <extLst>
        <ext xmlns:x14="http://schemas.microsoft.com/office/spreadsheetml/2009/9/main" uri="{B025F937-C7B1-47D3-B67F-A62EFF666E3E}">
          <x14:id>{37156E36-D9C4-4850-990C-58CA45472E5D}</x14:id>
        </ext>
      </extLst>
    </cfRule>
  </conditionalFormatting>
  <conditionalFormatting sqref="N1522">
    <cfRule type="dataBar" priority="5258">
      <dataBar>
        <cfvo type="num" val="0"/>
        <cfvo type="num" val="1"/>
        <color theme="4" tint="0.79998168889431442"/>
      </dataBar>
      <extLst>
        <ext xmlns:x14="http://schemas.microsoft.com/office/spreadsheetml/2009/9/main" uri="{B025F937-C7B1-47D3-B67F-A62EFF666E3E}">
          <x14:id>{E37D6E28-91CF-420D-87B0-011C2F05177D}</x14:id>
        </ext>
      </extLst>
    </cfRule>
    <cfRule type="iconSet" priority="5257">
      <iconSet iconSet="3Arrows">
        <cfvo type="percent" val="0"/>
        <cfvo type="num" val="0.7"/>
        <cfvo type="num" val="1"/>
      </iconSet>
    </cfRule>
  </conditionalFormatting>
  <conditionalFormatting sqref="N1524">
    <cfRule type="dataBar" priority="5256">
      <dataBar>
        <cfvo type="num" val="0"/>
        <cfvo type="num" val="1"/>
        <color theme="4" tint="0.79998168889431442"/>
      </dataBar>
      <extLst>
        <ext xmlns:x14="http://schemas.microsoft.com/office/spreadsheetml/2009/9/main" uri="{B025F937-C7B1-47D3-B67F-A62EFF666E3E}">
          <x14:id>{35B8A845-1DD5-4C1D-8D45-1929F9B739C6}</x14:id>
        </ext>
      </extLst>
    </cfRule>
    <cfRule type="iconSet" priority="5255">
      <iconSet iconSet="3Arrows">
        <cfvo type="percent" val="0"/>
        <cfvo type="num" val="0.7"/>
        <cfvo type="num" val="1"/>
      </iconSet>
    </cfRule>
  </conditionalFormatting>
  <conditionalFormatting sqref="N1526">
    <cfRule type="dataBar" priority="5254">
      <dataBar>
        <cfvo type="num" val="0"/>
        <cfvo type="num" val="1"/>
        <color theme="4" tint="0.79998168889431442"/>
      </dataBar>
      <extLst>
        <ext xmlns:x14="http://schemas.microsoft.com/office/spreadsheetml/2009/9/main" uri="{B025F937-C7B1-47D3-B67F-A62EFF666E3E}">
          <x14:id>{459BA96C-79B3-461E-8A40-8E9C20B18D46}</x14:id>
        </ext>
      </extLst>
    </cfRule>
    <cfRule type="iconSet" priority="5253">
      <iconSet iconSet="3Arrows">
        <cfvo type="percent" val="0"/>
        <cfvo type="num" val="0.7"/>
        <cfvo type="num" val="1"/>
      </iconSet>
    </cfRule>
  </conditionalFormatting>
  <conditionalFormatting sqref="N1528">
    <cfRule type="iconSet" priority="5251">
      <iconSet iconSet="3Arrows">
        <cfvo type="percent" val="0"/>
        <cfvo type="num" val="0.7"/>
        <cfvo type="num" val="1"/>
      </iconSet>
    </cfRule>
    <cfRule type="dataBar" priority="5252">
      <dataBar>
        <cfvo type="num" val="0"/>
        <cfvo type="num" val="1"/>
        <color theme="4" tint="0.79998168889431442"/>
      </dataBar>
      <extLst>
        <ext xmlns:x14="http://schemas.microsoft.com/office/spreadsheetml/2009/9/main" uri="{B025F937-C7B1-47D3-B67F-A62EFF666E3E}">
          <x14:id>{A05D6F57-6F1E-4F68-B0B4-A64C0912C617}</x14:id>
        </ext>
      </extLst>
    </cfRule>
  </conditionalFormatting>
  <conditionalFormatting sqref="N1531">
    <cfRule type="iconSet" priority="5249">
      <iconSet iconSet="3Arrows">
        <cfvo type="percent" val="0"/>
        <cfvo type="num" val="0.7"/>
        <cfvo type="num" val="1"/>
      </iconSet>
    </cfRule>
    <cfRule type="dataBar" priority="5250">
      <dataBar>
        <cfvo type="num" val="0"/>
        <cfvo type="num" val="1"/>
        <color theme="4" tint="0.79998168889431442"/>
      </dataBar>
      <extLst>
        <ext xmlns:x14="http://schemas.microsoft.com/office/spreadsheetml/2009/9/main" uri="{B025F937-C7B1-47D3-B67F-A62EFF666E3E}">
          <x14:id>{708E8A93-276A-4A68-BB76-AF55BFE3A1A8}</x14:id>
        </ext>
      </extLst>
    </cfRule>
  </conditionalFormatting>
  <conditionalFormatting sqref="N1533">
    <cfRule type="dataBar" priority="5248">
      <dataBar>
        <cfvo type="num" val="0"/>
        <cfvo type="num" val="1"/>
        <color theme="4" tint="0.79998168889431442"/>
      </dataBar>
      <extLst>
        <ext xmlns:x14="http://schemas.microsoft.com/office/spreadsheetml/2009/9/main" uri="{B025F937-C7B1-47D3-B67F-A62EFF666E3E}">
          <x14:id>{521B8BB8-A2FF-442D-9FB2-0DED6C0143B4}</x14:id>
        </ext>
      </extLst>
    </cfRule>
    <cfRule type="iconSet" priority="5247">
      <iconSet iconSet="3Arrows">
        <cfvo type="percent" val="0"/>
        <cfvo type="num" val="0.7"/>
        <cfvo type="num" val="1"/>
      </iconSet>
    </cfRule>
  </conditionalFormatting>
  <conditionalFormatting sqref="N1535">
    <cfRule type="dataBar" priority="5246">
      <dataBar>
        <cfvo type="num" val="0"/>
        <cfvo type="num" val="1"/>
        <color theme="4" tint="0.79998168889431442"/>
      </dataBar>
      <extLst>
        <ext xmlns:x14="http://schemas.microsoft.com/office/spreadsheetml/2009/9/main" uri="{B025F937-C7B1-47D3-B67F-A62EFF666E3E}">
          <x14:id>{70F24781-59F4-4282-A777-32AA6A186809}</x14:id>
        </ext>
      </extLst>
    </cfRule>
    <cfRule type="iconSet" priority="5245">
      <iconSet iconSet="3Arrows">
        <cfvo type="percent" val="0"/>
        <cfvo type="num" val="0.7"/>
        <cfvo type="num" val="1"/>
      </iconSet>
    </cfRule>
  </conditionalFormatting>
  <conditionalFormatting sqref="N1537">
    <cfRule type="dataBar" priority="5244">
      <dataBar>
        <cfvo type="num" val="0"/>
        <cfvo type="num" val="1"/>
        <color theme="4" tint="0.79998168889431442"/>
      </dataBar>
      <extLst>
        <ext xmlns:x14="http://schemas.microsoft.com/office/spreadsheetml/2009/9/main" uri="{B025F937-C7B1-47D3-B67F-A62EFF666E3E}">
          <x14:id>{E132414C-4880-4019-9744-1E32F1B72228}</x14:id>
        </ext>
      </extLst>
    </cfRule>
    <cfRule type="iconSet" priority="5243">
      <iconSet iconSet="3Arrows">
        <cfvo type="percent" val="0"/>
        <cfvo type="num" val="0.7"/>
        <cfvo type="num" val="1"/>
      </iconSet>
    </cfRule>
  </conditionalFormatting>
  <conditionalFormatting sqref="N1539">
    <cfRule type="dataBar" priority="5242">
      <dataBar>
        <cfvo type="num" val="0"/>
        <cfvo type="num" val="1"/>
        <color theme="4" tint="0.79998168889431442"/>
      </dataBar>
      <extLst>
        <ext xmlns:x14="http://schemas.microsoft.com/office/spreadsheetml/2009/9/main" uri="{B025F937-C7B1-47D3-B67F-A62EFF666E3E}">
          <x14:id>{8F850307-886E-4F15-AF81-A3AEE976D107}</x14:id>
        </ext>
      </extLst>
    </cfRule>
    <cfRule type="iconSet" priority="5241">
      <iconSet iconSet="3Arrows">
        <cfvo type="percent" val="0"/>
        <cfvo type="num" val="0.7"/>
        <cfvo type="num" val="1"/>
      </iconSet>
    </cfRule>
  </conditionalFormatting>
  <conditionalFormatting sqref="N1541">
    <cfRule type="dataBar" priority="5240">
      <dataBar>
        <cfvo type="num" val="0"/>
        <cfvo type="num" val="1"/>
        <color theme="4" tint="0.79998168889431442"/>
      </dataBar>
      <extLst>
        <ext xmlns:x14="http://schemas.microsoft.com/office/spreadsheetml/2009/9/main" uri="{B025F937-C7B1-47D3-B67F-A62EFF666E3E}">
          <x14:id>{A843A781-AB9D-4A46-8144-844FB4494FA6}</x14:id>
        </ext>
      </extLst>
    </cfRule>
    <cfRule type="iconSet" priority="5239">
      <iconSet iconSet="3Arrows">
        <cfvo type="percent" val="0"/>
        <cfvo type="num" val="0.7"/>
        <cfvo type="num" val="1"/>
      </iconSet>
    </cfRule>
  </conditionalFormatting>
  <conditionalFormatting sqref="N1543">
    <cfRule type="dataBar" priority="5238">
      <dataBar>
        <cfvo type="num" val="0"/>
        <cfvo type="num" val="1"/>
        <color theme="4" tint="0.79998168889431442"/>
      </dataBar>
      <extLst>
        <ext xmlns:x14="http://schemas.microsoft.com/office/spreadsheetml/2009/9/main" uri="{B025F937-C7B1-47D3-B67F-A62EFF666E3E}">
          <x14:id>{A1814B2E-7C38-4D8F-9695-C15677CD0D47}</x14:id>
        </ext>
      </extLst>
    </cfRule>
    <cfRule type="iconSet" priority="5237">
      <iconSet iconSet="3Arrows">
        <cfvo type="percent" val="0"/>
        <cfvo type="num" val="0.7"/>
        <cfvo type="num" val="1"/>
      </iconSet>
    </cfRule>
  </conditionalFormatting>
  <conditionalFormatting sqref="N1545">
    <cfRule type="dataBar" priority="5236">
      <dataBar>
        <cfvo type="num" val="0"/>
        <cfvo type="num" val="1"/>
        <color theme="4" tint="0.79998168889431442"/>
      </dataBar>
      <extLst>
        <ext xmlns:x14="http://schemas.microsoft.com/office/spreadsheetml/2009/9/main" uri="{B025F937-C7B1-47D3-B67F-A62EFF666E3E}">
          <x14:id>{06BEE7A3-5BCF-4B3A-955B-9AD2399051F2}</x14:id>
        </ext>
      </extLst>
    </cfRule>
    <cfRule type="iconSet" priority="5235">
      <iconSet iconSet="3Arrows">
        <cfvo type="percent" val="0"/>
        <cfvo type="num" val="0.7"/>
        <cfvo type="num" val="1"/>
      </iconSet>
    </cfRule>
  </conditionalFormatting>
  <conditionalFormatting sqref="N1547">
    <cfRule type="dataBar" priority="5234">
      <dataBar>
        <cfvo type="num" val="0"/>
        <cfvo type="num" val="1"/>
        <color theme="4" tint="0.79998168889431442"/>
      </dataBar>
      <extLst>
        <ext xmlns:x14="http://schemas.microsoft.com/office/spreadsheetml/2009/9/main" uri="{B025F937-C7B1-47D3-B67F-A62EFF666E3E}">
          <x14:id>{AD02EE49-2E1B-4D02-9847-7C32F5C4DAA4}</x14:id>
        </ext>
      </extLst>
    </cfRule>
    <cfRule type="iconSet" priority="5233">
      <iconSet iconSet="3Arrows">
        <cfvo type="percent" val="0"/>
        <cfvo type="num" val="0.7"/>
        <cfvo type="num" val="1"/>
      </iconSet>
    </cfRule>
  </conditionalFormatting>
  <conditionalFormatting sqref="N1549">
    <cfRule type="dataBar" priority="5232">
      <dataBar>
        <cfvo type="num" val="0"/>
        <cfvo type="num" val="1"/>
        <color theme="4" tint="0.79998168889431442"/>
      </dataBar>
      <extLst>
        <ext xmlns:x14="http://schemas.microsoft.com/office/spreadsheetml/2009/9/main" uri="{B025F937-C7B1-47D3-B67F-A62EFF666E3E}">
          <x14:id>{6287CDC5-3BFD-4F05-B70F-73B6706BAF16}</x14:id>
        </ext>
      </extLst>
    </cfRule>
    <cfRule type="iconSet" priority="5231">
      <iconSet iconSet="3Arrows">
        <cfvo type="percent" val="0"/>
        <cfvo type="num" val="0.7"/>
        <cfvo type="num" val="1"/>
      </iconSet>
    </cfRule>
  </conditionalFormatting>
  <conditionalFormatting sqref="N1551">
    <cfRule type="dataBar" priority="5230">
      <dataBar>
        <cfvo type="num" val="0"/>
        <cfvo type="num" val="1"/>
        <color theme="4" tint="0.79998168889431442"/>
      </dataBar>
      <extLst>
        <ext xmlns:x14="http://schemas.microsoft.com/office/spreadsheetml/2009/9/main" uri="{B025F937-C7B1-47D3-B67F-A62EFF666E3E}">
          <x14:id>{12D96BB3-A18E-4273-8870-5BE72E8BB810}</x14:id>
        </ext>
      </extLst>
    </cfRule>
    <cfRule type="iconSet" priority="5229">
      <iconSet iconSet="3Arrows">
        <cfvo type="percent" val="0"/>
        <cfvo type="num" val="0.7"/>
        <cfvo type="num" val="1"/>
      </iconSet>
    </cfRule>
  </conditionalFormatting>
  <conditionalFormatting sqref="N1553">
    <cfRule type="dataBar" priority="5228">
      <dataBar>
        <cfvo type="num" val="0"/>
        <cfvo type="num" val="1"/>
        <color theme="4" tint="0.79998168889431442"/>
      </dataBar>
      <extLst>
        <ext xmlns:x14="http://schemas.microsoft.com/office/spreadsheetml/2009/9/main" uri="{B025F937-C7B1-47D3-B67F-A62EFF666E3E}">
          <x14:id>{62A646E4-2391-4BB1-AF08-DFE073187DFC}</x14:id>
        </ext>
      </extLst>
    </cfRule>
    <cfRule type="iconSet" priority="5227">
      <iconSet iconSet="3Arrows">
        <cfvo type="percent" val="0"/>
        <cfvo type="num" val="0.7"/>
        <cfvo type="num" val="1"/>
      </iconSet>
    </cfRule>
  </conditionalFormatting>
  <conditionalFormatting sqref="N1555">
    <cfRule type="dataBar" priority="5226">
      <dataBar>
        <cfvo type="num" val="0"/>
        <cfvo type="num" val="1"/>
        <color theme="4" tint="0.79998168889431442"/>
      </dataBar>
      <extLst>
        <ext xmlns:x14="http://schemas.microsoft.com/office/spreadsheetml/2009/9/main" uri="{B025F937-C7B1-47D3-B67F-A62EFF666E3E}">
          <x14:id>{ADD0EDC2-76CD-4868-A418-EA8F8F96D7EF}</x14:id>
        </ext>
      </extLst>
    </cfRule>
    <cfRule type="iconSet" priority="5225">
      <iconSet iconSet="3Arrows">
        <cfvo type="percent" val="0"/>
        <cfvo type="num" val="0.7"/>
        <cfvo type="num" val="1"/>
      </iconSet>
    </cfRule>
  </conditionalFormatting>
  <conditionalFormatting sqref="N1557">
    <cfRule type="dataBar" priority="5224">
      <dataBar>
        <cfvo type="num" val="0"/>
        <cfvo type="num" val="1"/>
        <color theme="4" tint="0.79998168889431442"/>
      </dataBar>
      <extLst>
        <ext xmlns:x14="http://schemas.microsoft.com/office/spreadsheetml/2009/9/main" uri="{B025F937-C7B1-47D3-B67F-A62EFF666E3E}">
          <x14:id>{24E378EF-EEB6-493B-A30B-55305ACE7842}</x14:id>
        </ext>
      </extLst>
    </cfRule>
    <cfRule type="iconSet" priority="5223">
      <iconSet iconSet="3Arrows">
        <cfvo type="percent" val="0"/>
        <cfvo type="num" val="0.7"/>
        <cfvo type="num" val="1"/>
      </iconSet>
    </cfRule>
  </conditionalFormatting>
  <conditionalFormatting sqref="N1559">
    <cfRule type="dataBar" priority="5222">
      <dataBar>
        <cfvo type="num" val="0"/>
        <cfvo type="num" val="1"/>
        <color theme="4" tint="0.79998168889431442"/>
      </dataBar>
      <extLst>
        <ext xmlns:x14="http://schemas.microsoft.com/office/spreadsheetml/2009/9/main" uri="{B025F937-C7B1-47D3-B67F-A62EFF666E3E}">
          <x14:id>{D62DEA1D-708B-4F22-9CB5-8526962CADEA}</x14:id>
        </ext>
      </extLst>
    </cfRule>
    <cfRule type="iconSet" priority="5221">
      <iconSet iconSet="3Arrows">
        <cfvo type="percent" val="0"/>
        <cfvo type="num" val="0.7"/>
        <cfvo type="num" val="1"/>
      </iconSet>
    </cfRule>
  </conditionalFormatting>
  <conditionalFormatting sqref="N1561">
    <cfRule type="iconSet" priority="5219">
      <iconSet iconSet="3Arrows">
        <cfvo type="percent" val="0"/>
        <cfvo type="num" val="0.7"/>
        <cfvo type="num" val="1"/>
      </iconSet>
    </cfRule>
    <cfRule type="dataBar" priority="5220">
      <dataBar>
        <cfvo type="num" val="0"/>
        <cfvo type="num" val="1"/>
        <color theme="4" tint="0.79998168889431442"/>
      </dataBar>
      <extLst>
        <ext xmlns:x14="http://schemas.microsoft.com/office/spreadsheetml/2009/9/main" uri="{B025F937-C7B1-47D3-B67F-A62EFF666E3E}">
          <x14:id>{722A751E-157D-40B7-88AF-6A832FBD586A}</x14:id>
        </ext>
      </extLst>
    </cfRule>
  </conditionalFormatting>
  <conditionalFormatting sqref="N1563">
    <cfRule type="iconSet" priority="5217">
      <iconSet iconSet="3Arrows">
        <cfvo type="percent" val="0"/>
        <cfvo type="num" val="0.7"/>
        <cfvo type="num" val="1"/>
      </iconSet>
    </cfRule>
    <cfRule type="dataBar" priority="5218">
      <dataBar>
        <cfvo type="num" val="0"/>
        <cfvo type="num" val="1"/>
        <color theme="4" tint="0.79998168889431442"/>
      </dataBar>
      <extLst>
        <ext xmlns:x14="http://schemas.microsoft.com/office/spreadsheetml/2009/9/main" uri="{B025F937-C7B1-47D3-B67F-A62EFF666E3E}">
          <x14:id>{E6D20570-097D-4AC1-9011-52FB9D1F353C}</x14:id>
        </ext>
      </extLst>
    </cfRule>
  </conditionalFormatting>
  <conditionalFormatting sqref="N1565">
    <cfRule type="dataBar" priority="5216">
      <dataBar>
        <cfvo type="num" val="0"/>
        <cfvo type="num" val="1"/>
        <color theme="4" tint="0.79998168889431442"/>
      </dataBar>
      <extLst>
        <ext xmlns:x14="http://schemas.microsoft.com/office/spreadsheetml/2009/9/main" uri="{B025F937-C7B1-47D3-B67F-A62EFF666E3E}">
          <x14:id>{F4A2C932-D76C-40A9-8804-912A1E161917}</x14:id>
        </ext>
      </extLst>
    </cfRule>
    <cfRule type="iconSet" priority="5215">
      <iconSet iconSet="3Arrows">
        <cfvo type="percent" val="0"/>
        <cfvo type="num" val="0.7"/>
        <cfvo type="num" val="1"/>
      </iconSet>
    </cfRule>
  </conditionalFormatting>
  <conditionalFormatting sqref="N1567">
    <cfRule type="dataBar" priority="5214">
      <dataBar>
        <cfvo type="num" val="0"/>
        <cfvo type="num" val="1"/>
        <color theme="4" tint="0.79998168889431442"/>
      </dataBar>
      <extLst>
        <ext xmlns:x14="http://schemas.microsoft.com/office/spreadsheetml/2009/9/main" uri="{B025F937-C7B1-47D3-B67F-A62EFF666E3E}">
          <x14:id>{7A58B5E6-E66B-4DFA-A2E9-D83D65213E1D}</x14:id>
        </ext>
      </extLst>
    </cfRule>
    <cfRule type="iconSet" priority="5213">
      <iconSet iconSet="3Arrows">
        <cfvo type="percent" val="0"/>
        <cfvo type="num" val="0.7"/>
        <cfvo type="num" val="1"/>
      </iconSet>
    </cfRule>
  </conditionalFormatting>
  <conditionalFormatting sqref="N1569">
    <cfRule type="dataBar" priority="5212">
      <dataBar>
        <cfvo type="num" val="0"/>
        <cfvo type="num" val="1"/>
        <color theme="4" tint="0.79998168889431442"/>
      </dataBar>
      <extLst>
        <ext xmlns:x14="http://schemas.microsoft.com/office/spreadsheetml/2009/9/main" uri="{B025F937-C7B1-47D3-B67F-A62EFF666E3E}">
          <x14:id>{4F793D79-1CC4-49E8-8CC3-4174ED9A87E6}</x14:id>
        </ext>
      </extLst>
    </cfRule>
    <cfRule type="iconSet" priority="5211">
      <iconSet iconSet="3Arrows">
        <cfvo type="percent" val="0"/>
        <cfvo type="num" val="0.7"/>
        <cfvo type="num" val="1"/>
      </iconSet>
    </cfRule>
  </conditionalFormatting>
  <conditionalFormatting sqref="N1571">
    <cfRule type="dataBar" priority="5210">
      <dataBar>
        <cfvo type="num" val="0"/>
        <cfvo type="num" val="1"/>
        <color theme="4" tint="0.79998168889431442"/>
      </dataBar>
      <extLst>
        <ext xmlns:x14="http://schemas.microsoft.com/office/spreadsheetml/2009/9/main" uri="{B025F937-C7B1-47D3-B67F-A62EFF666E3E}">
          <x14:id>{28625C00-29A9-4560-A0CF-74C0D1532F4B}</x14:id>
        </ext>
      </extLst>
    </cfRule>
    <cfRule type="iconSet" priority="5209">
      <iconSet iconSet="3Arrows">
        <cfvo type="percent" val="0"/>
        <cfvo type="num" val="0.7"/>
        <cfvo type="num" val="1"/>
      </iconSet>
    </cfRule>
  </conditionalFormatting>
  <conditionalFormatting sqref="N1573">
    <cfRule type="dataBar" priority="5208">
      <dataBar>
        <cfvo type="num" val="0"/>
        <cfvo type="num" val="1"/>
        <color theme="4" tint="0.79998168889431442"/>
      </dataBar>
      <extLst>
        <ext xmlns:x14="http://schemas.microsoft.com/office/spreadsheetml/2009/9/main" uri="{B025F937-C7B1-47D3-B67F-A62EFF666E3E}">
          <x14:id>{E1765C3C-782A-4223-858E-4B5918A09E0A}</x14:id>
        </ext>
      </extLst>
    </cfRule>
    <cfRule type="iconSet" priority="5207">
      <iconSet iconSet="3Arrows">
        <cfvo type="percent" val="0"/>
        <cfvo type="num" val="0.7"/>
        <cfvo type="num" val="1"/>
      </iconSet>
    </cfRule>
  </conditionalFormatting>
  <conditionalFormatting sqref="N1575">
    <cfRule type="dataBar" priority="5206">
      <dataBar>
        <cfvo type="num" val="0"/>
        <cfvo type="num" val="1"/>
        <color theme="4" tint="0.79998168889431442"/>
      </dataBar>
      <extLst>
        <ext xmlns:x14="http://schemas.microsoft.com/office/spreadsheetml/2009/9/main" uri="{B025F937-C7B1-47D3-B67F-A62EFF666E3E}">
          <x14:id>{D14F4C42-BCFD-4FD2-9D3B-DF3D5187718C}</x14:id>
        </ext>
      </extLst>
    </cfRule>
    <cfRule type="iconSet" priority="5205">
      <iconSet iconSet="3Arrows">
        <cfvo type="percent" val="0"/>
        <cfvo type="num" val="0.7"/>
        <cfvo type="num" val="1"/>
      </iconSet>
    </cfRule>
  </conditionalFormatting>
  <conditionalFormatting sqref="N1577">
    <cfRule type="dataBar" priority="5204">
      <dataBar>
        <cfvo type="num" val="0"/>
        <cfvo type="num" val="1"/>
        <color theme="4" tint="0.79998168889431442"/>
      </dataBar>
      <extLst>
        <ext xmlns:x14="http://schemas.microsoft.com/office/spreadsheetml/2009/9/main" uri="{B025F937-C7B1-47D3-B67F-A62EFF666E3E}">
          <x14:id>{80176282-84F7-4D8C-9A05-AAA0FB96F8B7}</x14:id>
        </ext>
      </extLst>
    </cfRule>
    <cfRule type="iconSet" priority="5203">
      <iconSet iconSet="3Arrows">
        <cfvo type="percent" val="0"/>
        <cfvo type="num" val="0.7"/>
        <cfvo type="num" val="1"/>
      </iconSet>
    </cfRule>
  </conditionalFormatting>
  <conditionalFormatting sqref="N1579">
    <cfRule type="dataBar" priority="5202">
      <dataBar>
        <cfvo type="num" val="0"/>
        <cfvo type="num" val="1"/>
        <color theme="4" tint="0.79998168889431442"/>
      </dataBar>
      <extLst>
        <ext xmlns:x14="http://schemas.microsoft.com/office/spreadsheetml/2009/9/main" uri="{B025F937-C7B1-47D3-B67F-A62EFF666E3E}">
          <x14:id>{FFFB6B2E-4BA5-44A7-907B-282D19BB31BF}</x14:id>
        </ext>
      </extLst>
    </cfRule>
    <cfRule type="iconSet" priority="5201">
      <iconSet iconSet="3Arrows">
        <cfvo type="percent" val="0"/>
        <cfvo type="num" val="0.7"/>
        <cfvo type="num" val="1"/>
      </iconSet>
    </cfRule>
  </conditionalFormatting>
  <conditionalFormatting sqref="N1581">
    <cfRule type="dataBar" priority="5200">
      <dataBar>
        <cfvo type="num" val="0"/>
        <cfvo type="num" val="1"/>
        <color theme="4" tint="0.79998168889431442"/>
      </dataBar>
      <extLst>
        <ext xmlns:x14="http://schemas.microsoft.com/office/spreadsheetml/2009/9/main" uri="{B025F937-C7B1-47D3-B67F-A62EFF666E3E}">
          <x14:id>{D18237DC-5E68-4FC4-95B0-5AAD61E3C9A2}</x14:id>
        </ext>
      </extLst>
    </cfRule>
    <cfRule type="iconSet" priority="5199">
      <iconSet iconSet="3Arrows">
        <cfvo type="percent" val="0"/>
        <cfvo type="num" val="0.7"/>
        <cfvo type="num" val="1"/>
      </iconSet>
    </cfRule>
  </conditionalFormatting>
  <conditionalFormatting sqref="N1583">
    <cfRule type="dataBar" priority="5198">
      <dataBar>
        <cfvo type="num" val="0"/>
        <cfvo type="num" val="1"/>
        <color theme="4" tint="0.79998168889431442"/>
      </dataBar>
      <extLst>
        <ext xmlns:x14="http://schemas.microsoft.com/office/spreadsheetml/2009/9/main" uri="{B025F937-C7B1-47D3-B67F-A62EFF666E3E}">
          <x14:id>{88366AFE-C683-46C5-9536-68162D24DFDF}</x14:id>
        </ext>
      </extLst>
    </cfRule>
    <cfRule type="iconSet" priority="5197">
      <iconSet iconSet="3Arrows">
        <cfvo type="percent" val="0"/>
        <cfvo type="num" val="0.7"/>
        <cfvo type="num" val="1"/>
      </iconSet>
    </cfRule>
  </conditionalFormatting>
  <conditionalFormatting sqref="N1585">
    <cfRule type="dataBar" priority="5196">
      <dataBar>
        <cfvo type="num" val="0"/>
        <cfvo type="num" val="1"/>
        <color theme="4" tint="0.79998168889431442"/>
      </dataBar>
      <extLst>
        <ext xmlns:x14="http://schemas.microsoft.com/office/spreadsheetml/2009/9/main" uri="{B025F937-C7B1-47D3-B67F-A62EFF666E3E}">
          <x14:id>{E5727FCA-0DAE-4C3F-9AB6-EB849BCD5793}</x14:id>
        </ext>
      </extLst>
    </cfRule>
    <cfRule type="iconSet" priority="5195">
      <iconSet iconSet="3Arrows">
        <cfvo type="percent" val="0"/>
        <cfvo type="num" val="0.7"/>
        <cfvo type="num" val="1"/>
      </iconSet>
    </cfRule>
  </conditionalFormatting>
  <conditionalFormatting sqref="N1587">
    <cfRule type="dataBar" priority="5194">
      <dataBar>
        <cfvo type="num" val="0"/>
        <cfvo type="num" val="1"/>
        <color theme="4" tint="0.79998168889431442"/>
      </dataBar>
      <extLst>
        <ext xmlns:x14="http://schemas.microsoft.com/office/spreadsheetml/2009/9/main" uri="{B025F937-C7B1-47D3-B67F-A62EFF666E3E}">
          <x14:id>{B658C69F-F1CA-453A-8C82-03B2F67D7FAA}</x14:id>
        </ext>
      </extLst>
    </cfRule>
    <cfRule type="iconSet" priority="5193">
      <iconSet iconSet="3Arrows">
        <cfvo type="percent" val="0"/>
        <cfvo type="num" val="0.7"/>
        <cfvo type="num" val="1"/>
      </iconSet>
    </cfRule>
  </conditionalFormatting>
  <conditionalFormatting sqref="N1589">
    <cfRule type="dataBar" priority="5192">
      <dataBar>
        <cfvo type="num" val="0"/>
        <cfvo type="num" val="1"/>
        <color theme="4" tint="0.79998168889431442"/>
      </dataBar>
      <extLst>
        <ext xmlns:x14="http://schemas.microsoft.com/office/spreadsheetml/2009/9/main" uri="{B025F937-C7B1-47D3-B67F-A62EFF666E3E}">
          <x14:id>{B81E3CFE-AFEC-414E-98B3-4E784F86B271}</x14:id>
        </ext>
      </extLst>
    </cfRule>
    <cfRule type="iconSet" priority="5191">
      <iconSet iconSet="3Arrows">
        <cfvo type="percent" val="0"/>
        <cfvo type="num" val="0.7"/>
        <cfvo type="num" val="1"/>
      </iconSet>
    </cfRule>
  </conditionalFormatting>
  <conditionalFormatting sqref="N1591">
    <cfRule type="iconSet" priority="5189">
      <iconSet iconSet="3Arrows">
        <cfvo type="percent" val="0"/>
        <cfvo type="num" val="0.7"/>
        <cfvo type="num" val="1"/>
      </iconSet>
    </cfRule>
    <cfRule type="dataBar" priority="5190">
      <dataBar>
        <cfvo type="num" val="0"/>
        <cfvo type="num" val="1"/>
        <color theme="4" tint="0.79998168889431442"/>
      </dataBar>
      <extLst>
        <ext xmlns:x14="http://schemas.microsoft.com/office/spreadsheetml/2009/9/main" uri="{B025F937-C7B1-47D3-B67F-A62EFF666E3E}">
          <x14:id>{0F62950C-8CB1-4AE5-83E4-8ABBFDEC8431}</x14:id>
        </ext>
      </extLst>
    </cfRule>
  </conditionalFormatting>
  <conditionalFormatting sqref="N1593">
    <cfRule type="iconSet" priority="5187">
      <iconSet iconSet="3Arrows">
        <cfvo type="percent" val="0"/>
        <cfvo type="num" val="0.7"/>
        <cfvo type="num" val="1"/>
      </iconSet>
    </cfRule>
    <cfRule type="dataBar" priority="5188">
      <dataBar>
        <cfvo type="num" val="0"/>
        <cfvo type="num" val="1"/>
        <color theme="4" tint="0.79998168889431442"/>
      </dataBar>
      <extLst>
        <ext xmlns:x14="http://schemas.microsoft.com/office/spreadsheetml/2009/9/main" uri="{B025F937-C7B1-47D3-B67F-A62EFF666E3E}">
          <x14:id>{5FC94FB3-B416-4818-BF39-6C6A19DDDA99}</x14:id>
        </ext>
      </extLst>
    </cfRule>
  </conditionalFormatting>
  <conditionalFormatting sqref="N1595">
    <cfRule type="dataBar" priority="5186">
      <dataBar>
        <cfvo type="num" val="0"/>
        <cfvo type="num" val="1"/>
        <color theme="4" tint="0.79998168889431442"/>
      </dataBar>
      <extLst>
        <ext xmlns:x14="http://schemas.microsoft.com/office/spreadsheetml/2009/9/main" uri="{B025F937-C7B1-47D3-B67F-A62EFF666E3E}">
          <x14:id>{2F18709D-885D-4D50-9251-8138A79F08F2}</x14:id>
        </ext>
      </extLst>
    </cfRule>
    <cfRule type="iconSet" priority="5185">
      <iconSet iconSet="3Arrows">
        <cfvo type="percent" val="0"/>
        <cfvo type="num" val="0.7"/>
        <cfvo type="num" val="1"/>
      </iconSet>
    </cfRule>
  </conditionalFormatting>
  <conditionalFormatting sqref="N1597">
    <cfRule type="dataBar" priority="5184">
      <dataBar>
        <cfvo type="num" val="0"/>
        <cfvo type="num" val="1"/>
        <color theme="4" tint="0.79998168889431442"/>
      </dataBar>
      <extLst>
        <ext xmlns:x14="http://schemas.microsoft.com/office/spreadsheetml/2009/9/main" uri="{B025F937-C7B1-47D3-B67F-A62EFF666E3E}">
          <x14:id>{DEF2926C-82CA-4037-9197-9B348579DAE5}</x14:id>
        </ext>
      </extLst>
    </cfRule>
    <cfRule type="iconSet" priority="5183">
      <iconSet iconSet="3Arrows">
        <cfvo type="percent" val="0"/>
        <cfvo type="num" val="0.7"/>
        <cfvo type="num" val="1"/>
      </iconSet>
    </cfRule>
  </conditionalFormatting>
  <conditionalFormatting sqref="N1599">
    <cfRule type="dataBar" priority="5182">
      <dataBar>
        <cfvo type="num" val="0"/>
        <cfvo type="num" val="1"/>
        <color theme="4" tint="0.79998168889431442"/>
      </dataBar>
      <extLst>
        <ext xmlns:x14="http://schemas.microsoft.com/office/spreadsheetml/2009/9/main" uri="{B025F937-C7B1-47D3-B67F-A62EFF666E3E}">
          <x14:id>{15CDA24F-3306-49A8-BE44-8C51D5B87535}</x14:id>
        </ext>
      </extLst>
    </cfRule>
    <cfRule type="iconSet" priority="5181">
      <iconSet iconSet="3Arrows">
        <cfvo type="percent" val="0"/>
        <cfvo type="num" val="0.7"/>
        <cfvo type="num" val="1"/>
      </iconSet>
    </cfRule>
  </conditionalFormatting>
  <conditionalFormatting sqref="N1601">
    <cfRule type="dataBar" priority="5180">
      <dataBar>
        <cfvo type="num" val="0"/>
        <cfvo type="num" val="1"/>
        <color theme="4" tint="0.79998168889431442"/>
      </dataBar>
      <extLst>
        <ext xmlns:x14="http://schemas.microsoft.com/office/spreadsheetml/2009/9/main" uri="{B025F937-C7B1-47D3-B67F-A62EFF666E3E}">
          <x14:id>{87191B37-C3CA-4F96-B2CE-30F7AFABE35F}</x14:id>
        </ext>
      </extLst>
    </cfRule>
    <cfRule type="iconSet" priority="5179">
      <iconSet iconSet="3Arrows">
        <cfvo type="percent" val="0"/>
        <cfvo type="num" val="0.7"/>
        <cfvo type="num" val="1"/>
      </iconSet>
    </cfRule>
  </conditionalFormatting>
  <conditionalFormatting sqref="N1603">
    <cfRule type="dataBar" priority="5178">
      <dataBar>
        <cfvo type="num" val="0"/>
        <cfvo type="num" val="1"/>
        <color theme="4" tint="0.79998168889431442"/>
      </dataBar>
      <extLst>
        <ext xmlns:x14="http://schemas.microsoft.com/office/spreadsheetml/2009/9/main" uri="{B025F937-C7B1-47D3-B67F-A62EFF666E3E}">
          <x14:id>{447F5EB1-897E-4989-B5C8-01F5745BD9B9}</x14:id>
        </ext>
      </extLst>
    </cfRule>
    <cfRule type="iconSet" priority="5177">
      <iconSet iconSet="3Arrows">
        <cfvo type="percent" val="0"/>
        <cfvo type="num" val="0.7"/>
        <cfvo type="num" val="1"/>
      </iconSet>
    </cfRule>
  </conditionalFormatting>
  <conditionalFormatting sqref="N1605">
    <cfRule type="dataBar" priority="5176">
      <dataBar>
        <cfvo type="num" val="0"/>
        <cfvo type="num" val="1"/>
        <color theme="4" tint="0.79998168889431442"/>
      </dataBar>
      <extLst>
        <ext xmlns:x14="http://schemas.microsoft.com/office/spreadsheetml/2009/9/main" uri="{B025F937-C7B1-47D3-B67F-A62EFF666E3E}">
          <x14:id>{FA57BD65-9110-4DC2-AFC3-1CCD0097DF66}</x14:id>
        </ext>
      </extLst>
    </cfRule>
    <cfRule type="iconSet" priority="5175">
      <iconSet iconSet="3Arrows">
        <cfvo type="percent" val="0"/>
        <cfvo type="num" val="0.7"/>
        <cfvo type="num" val="1"/>
      </iconSet>
    </cfRule>
  </conditionalFormatting>
  <conditionalFormatting sqref="N1607">
    <cfRule type="dataBar" priority="5174">
      <dataBar>
        <cfvo type="num" val="0"/>
        <cfvo type="num" val="1"/>
        <color theme="4" tint="0.79998168889431442"/>
      </dataBar>
      <extLst>
        <ext xmlns:x14="http://schemas.microsoft.com/office/spreadsheetml/2009/9/main" uri="{B025F937-C7B1-47D3-B67F-A62EFF666E3E}">
          <x14:id>{6924D45B-FA01-4F12-8393-2B161D756D2E}</x14:id>
        </ext>
      </extLst>
    </cfRule>
    <cfRule type="iconSet" priority="5173">
      <iconSet iconSet="3Arrows">
        <cfvo type="percent" val="0"/>
        <cfvo type="num" val="0.7"/>
        <cfvo type="num" val="1"/>
      </iconSet>
    </cfRule>
  </conditionalFormatting>
  <conditionalFormatting sqref="N1609">
    <cfRule type="dataBar" priority="5172">
      <dataBar>
        <cfvo type="num" val="0"/>
        <cfvo type="num" val="1"/>
        <color theme="4" tint="0.79998168889431442"/>
      </dataBar>
      <extLst>
        <ext xmlns:x14="http://schemas.microsoft.com/office/spreadsheetml/2009/9/main" uri="{B025F937-C7B1-47D3-B67F-A62EFF666E3E}">
          <x14:id>{86563E35-5894-4DBF-8021-FAB76679EEF6}</x14:id>
        </ext>
      </extLst>
    </cfRule>
    <cfRule type="iconSet" priority="5171">
      <iconSet iconSet="3Arrows">
        <cfvo type="percent" val="0"/>
        <cfvo type="num" val="0.7"/>
        <cfvo type="num" val="1"/>
      </iconSet>
    </cfRule>
  </conditionalFormatting>
  <conditionalFormatting sqref="N1611">
    <cfRule type="iconSet" priority="5169">
      <iconSet iconSet="3Arrows">
        <cfvo type="percent" val="0"/>
        <cfvo type="num" val="0.7"/>
        <cfvo type="num" val="1"/>
      </iconSet>
    </cfRule>
    <cfRule type="dataBar" priority="5170">
      <dataBar>
        <cfvo type="num" val="0"/>
        <cfvo type="num" val="1"/>
        <color theme="4" tint="0.79998168889431442"/>
      </dataBar>
      <extLst>
        <ext xmlns:x14="http://schemas.microsoft.com/office/spreadsheetml/2009/9/main" uri="{B025F937-C7B1-47D3-B67F-A62EFF666E3E}">
          <x14:id>{01DB1D3E-D535-4276-8FBE-DCEFCB916190}</x14:id>
        </ext>
      </extLst>
    </cfRule>
  </conditionalFormatting>
  <conditionalFormatting sqref="N1613">
    <cfRule type="dataBar" priority="5168">
      <dataBar>
        <cfvo type="num" val="0"/>
        <cfvo type="num" val="1"/>
        <color theme="4" tint="0.79998168889431442"/>
      </dataBar>
      <extLst>
        <ext xmlns:x14="http://schemas.microsoft.com/office/spreadsheetml/2009/9/main" uri="{B025F937-C7B1-47D3-B67F-A62EFF666E3E}">
          <x14:id>{1D2ACDEA-6413-460B-A4D8-DD24B3CA4F3F}</x14:id>
        </ext>
      </extLst>
    </cfRule>
    <cfRule type="iconSet" priority="5167">
      <iconSet iconSet="3Arrows">
        <cfvo type="percent" val="0"/>
        <cfvo type="num" val="0.7"/>
        <cfvo type="num" val="1"/>
      </iconSet>
    </cfRule>
  </conditionalFormatting>
  <conditionalFormatting sqref="N1617">
    <cfRule type="dataBar" priority="5166">
      <dataBar>
        <cfvo type="num" val="0"/>
        <cfvo type="num" val="1"/>
        <color theme="4" tint="0.79998168889431442"/>
      </dataBar>
      <extLst>
        <ext xmlns:x14="http://schemas.microsoft.com/office/spreadsheetml/2009/9/main" uri="{B025F937-C7B1-47D3-B67F-A62EFF666E3E}">
          <x14:id>{3314A469-5557-4FB8-8FE6-E5B2AF284473}</x14:id>
        </ext>
      </extLst>
    </cfRule>
    <cfRule type="iconSet" priority="5165">
      <iconSet iconSet="3Arrows">
        <cfvo type="percent" val="0"/>
        <cfvo type="num" val="0.7"/>
        <cfvo type="num" val="1"/>
      </iconSet>
    </cfRule>
  </conditionalFormatting>
  <conditionalFormatting sqref="N1619">
    <cfRule type="dataBar" priority="5164">
      <dataBar>
        <cfvo type="num" val="0"/>
        <cfvo type="num" val="1"/>
        <color theme="4" tint="0.79998168889431442"/>
      </dataBar>
      <extLst>
        <ext xmlns:x14="http://schemas.microsoft.com/office/spreadsheetml/2009/9/main" uri="{B025F937-C7B1-47D3-B67F-A62EFF666E3E}">
          <x14:id>{00F38980-A412-4AD1-A7BF-95FB7159BD18}</x14:id>
        </ext>
      </extLst>
    </cfRule>
    <cfRule type="iconSet" priority="5163">
      <iconSet iconSet="3Arrows">
        <cfvo type="percent" val="0"/>
        <cfvo type="num" val="0.7"/>
        <cfvo type="num" val="1"/>
      </iconSet>
    </cfRule>
  </conditionalFormatting>
  <conditionalFormatting sqref="N1621 N1623 N1625">
    <cfRule type="dataBar" priority="5162">
      <dataBar>
        <cfvo type="num" val="0"/>
        <cfvo type="num" val="1"/>
        <color theme="4" tint="0.79998168889431442"/>
      </dataBar>
      <extLst>
        <ext xmlns:x14="http://schemas.microsoft.com/office/spreadsheetml/2009/9/main" uri="{B025F937-C7B1-47D3-B67F-A62EFF666E3E}">
          <x14:id>{2E51DDB5-1FA1-4BF5-8720-743072DEA514}</x14:id>
        </ext>
      </extLst>
    </cfRule>
    <cfRule type="iconSet" priority="5161">
      <iconSet iconSet="3Arrows">
        <cfvo type="percent" val="0"/>
        <cfvo type="num" val="0.7"/>
        <cfvo type="num" val="1"/>
      </iconSet>
    </cfRule>
  </conditionalFormatting>
  <conditionalFormatting sqref="N1627">
    <cfRule type="dataBar" priority="5160">
      <dataBar>
        <cfvo type="num" val="0"/>
        <cfvo type="num" val="1"/>
        <color theme="4" tint="0.79998168889431442"/>
      </dataBar>
      <extLst>
        <ext xmlns:x14="http://schemas.microsoft.com/office/spreadsheetml/2009/9/main" uri="{B025F937-C7B1-47D3-B67F-A62EFF666E3E}">
          <x14:id>{EDE620B6-312A-432F-8B77-3974E71590A8}</x14:id>
        </ext>
      </extLst>
    </cfRule>
    <cfRule type="iconSet" priority="5159">
      <iconSet iconSet="3Arrows">
        <cfvo type="percent" val="0"/>
        <cfvo type="num" val="0.7"/>
        <cfvo type="num" val="1"/>
      </iconSet>
    </cfRule>
  </conditionalFormatting>
  <conditionalFormatting sqref="N1630">
    <cfRule type="dataBar" priority="5158">
      <dataBar>
        <cfvo type="num" val="0"/>
        <cfvo type="num" val="1"/>
        <color theme="4" tint="0.79998168889431442"/>
      </dataBar>
      <extLst>
        <ext xmlns:x14="http://schemas.microsoft.com/office/spreadsheetml/2009/9/main" uri="{B025F937-C7B1-47D3-B67F-A62EFF666E3E}">
          <x14:id>{388671A4-7C69-40DA-958C-D2A44DA312B6}</x14:id>
        </ext>
      </extLst>
    </cfRule>
    <cfRule type="iconSet" priority="5157">
      <iconSet iconSet="3Arrows">
        <cfvo type="percent" val="0"/>
        <cfvo type="num" val="0.7"/>
        <cfvo type="num" val="1"/>
      </iconSet>
    </cfRule>
  </conditionalFormatting>
  <conditionalFormatting sqref="N1632">
    <cfRule type="dataBar" priority="5156">
      <dataBar>
        <cfvo type="num" val="0"/>
        <cfvo type="num" val="1"/>
        <color theme="4" tint="0.79998168889431442"/>
      </dataBar>
      <extLst>
        <ext xmlns:x14="http://schemas.microsoft.com/office/spreadsheetml/2009/9/main" uri="{B025F937-C7B1-47D3-B67F-A62EFF666E3E}">
          <x14:id>{B968638D-8B42-42A5-BD1B-236895427907}</x14:id>
        </ext>
      </extLst>
    </cfRule>
    <cfRule type="iconSet" priority="5155">
      <iconSet iconSet="3Arrows">
        <cfvo type="percent" val="0"/>
        <cfvo type="num" val="0.7"/>
        <cfvo type="num" val="1"/>
      </iconSet>
    </cfRule>
  </conditionalFormatting>
  <conditionalFormatting sqref="N1634 N1636 N1638">
    <cfRule type="iconSet" priority="5153">
      <iconSet iconSet="3Arrows">
        <cfvo type="percent" val="0"/>
        <cfvo type="num" val="0.7"/>
        <cfvo type="num" val="1"/>
      </iconSet>
    </cfRule>
    <cfRule type="dataBar" priority="5154">
      <dataBar>
        <cfvo type="num" val="0"/>
        <cfvo type="num" val="1"/>
        <color theme="4" tint="0.79998168889431442"/>
      </dataBar>
      <extLst>
        <ext xmlns:x14="http://schemas.microsoft.com/office/spreadsheetml/2009/9/main" uri="{B025F937-C7B1-47D3-B67F-A62EFF666E3E}">
          <x14:id>{83959030-9EA8-437A-9F1F-566E54143957}</x14:id>
        </ext>
      </extLst>
    </cfRule>
  </conditionalFormatting>
  <conditionalFormatting sqref="N1640">
    <cfRule type="iconSet" priority="5151">
      <iconSet iconSet="3Arrows">
        <cfvo type="percent" val="0"/>
        <cfvo type="num" val="0.7"/>
        <cfvo type="num" val="1"/>
      </iconSet>
    </cfRule>
    <cfRule type="dataBar" priority="5152">
      <dataBar>
        <cfvo type="num" val="0"/>
        <cfvo type="num" val="1"/>
        <color theme="4" tint="0.79998168889431442"/>
      </dataBar>
      <extLst>
        <ext xmlns:x14="http://schemas.microsoft.com/office/spreadsheetml/2009/9/main" uri="{B025F937-C7B1-47D3-B67F-A62EFF666E3E}">
          <x14:id>{1ED1521E-AF2A-4150-BA06-CDFE390FAC28}</x14:id>
        </ext>
      </extLst>
    </cfRule>
  </conditionalFormatting>
  <conditionalFormatting sqref="N1642 N1644 N1646">
    <cfRule type="dataBar" priority="5150">
      <dataBar>
        <cfvo type="num" val="0"/>
        <cfvo type="num" val="1"/>
        <color theme="4" tint="0.79998168889431442"/>
      </dataBar>
      <extLst>
        <ext xmlns:x14="http://schemas.microsoft.com/office/spreadsheetml/2009/9/main" uri="{B025F937-C7B1-47D3-B67F-A62EFF666E3E}">
          <x14:id>{AB6121D4-8800-4EB1-8BAA-358A612EF2BA}</x14:id>
        </ext>
      </extLst>
    </cfRule>
    <cfRule type="iconSet" priority="5149">
      <iconSet iconSet="3Arrows">
        <cfvo type="percent" val="0"/>
        <cfvo type="num" val="0.7"/>
        <cfvo type="num" val="1"/>
      </iconSet>
    </cfRule>
  </conditionalFormatting>
  <conditionalFormatting sqref="N1648">
    <cfRule type="dataBar" priority="5148">
      <dataBar>
        <cfvo type="num" val="0"/>
        <cfvo type="num" val="1"/>
        <color theme="4" tint="0.79998168889431442"/>
      </dataBar>
      <extLst>
        <ext xmlns:x14="http://schemas.microsoft.com/office/spreadsheetml/2009/9/main" uri="{B025F937-C7B1-47D3-B67F-A62EFF666E3E}">
          <x14:id>{71CC8D26-3C37-416E-8CB5-3187BE67BA55}</x14:id>
        </ext>
      </extLst>
    </cfRule>
    <cfRule type="iconSet" priority="5147">
      <iconSet iconSet="3Arrows">
        <cfvo type="percent" val="0"/>
        <cfvo type="num" val="0.7"/>
        <cfvo type="num" val="1"/>
      </iconSet>
    </cfRule>
  </conditionalFormatting>
  <conditionalFormatting sqref="N1650 N1652 N1654">
    <cfRule type="dataBar" priority="5146">
      <dataBar>
        <cfvo type="num" val="0"/>
        <cfvo type="num" val="1"/>
        <color theme="4" tint="0.79998168889431442"/>
      </dataBar>
      <extLst>
        <ext xmlns:x14="http://schemas.microsoft.com/office/spreadsheetml/2009/9/main" uri="{B025F937-C7B1-47D3-B67F-A62EFF666E3E}">
          <x14:id>{0D1175A6-AC0E-4B4D-98E2-3E0FF2A43D42}</x14:id>
        </ext>
      </extLst>
    </cfRule>
    <cfRule type="iconSet" priority="5145">
      <iconSet iconSet="3Arrows">
        <cfvo type="percent" val="0"/>
        <cfvo type="num" val="0.7"/>
        <cfvo type="num" val="1"/>
      </iconSet>
    </cfRule>
  </conditionalFormatting>
  <conditionalFormatting sqref="N1656">
    <cfRule type="dataBar" priority="5144">
      <dataBar>
        <cfvo type="num" val="0"/>
        <cfvo type="num" val="1"/>
        <color theme="4" tint="0.79998168889431442"/>
      </dataBar>
      <extLst>
        <ext xmlns:x14="http://schemas.microsoft.com/office/spreadsheetml/2009/9/main" uri="{B025F937-C7B1-47D3-B67F-A62EFF666E3E}">
          <x14:id>{3A296614-7DD6-4A2C-98DB-8989A98637DD}</x14:id>
        </ext>
      </extLst>
    </cfRule>
    <cfRule type="iconSet" priority="5143">
      <iconSet iconSet="3Arrows">
        <cfvo type="percent" val="0"/>
        <cfvo type="num" val="0.7"/>
        <cfvo type="num" val="1"/>
      </iconSet>
    </cfRule>
  </conditionalFormatting>
  <conditionalFormatting sqref="N1658 N1660 N1662">
    <cfRule type="dataBar" priority="5142">
      <dataBar>
        <cfvo type="num" val="0"/>
        <cfvo type="num" val="1"/>
        <color theme="4" tint="0.79998168889431442"/>
      </dataBar>
      <extLst>
        <ext xmlns:x14="http://schemas.microsoft.com/office/spreadsheetml/2009/9/main" uri="{B025F937-C7B1-47D3-B67F-A62EFF666E3E}">
          <x14:id>{61E92DC8-A0F6-441A-B369-E9FBDED3F4D2}</x14:id>
        </ext>
      </extLst>
    </cfRule>
    <cfRule type="iconSet" priority="5141">
      <iconSet iconSet="3Arrows">
        <cfvo type="percent" val="0"/>
        <cfvo type="num" val="0.7"/>
        <cfvo type="num" val="1"/>
      </iconSet>
    </cfRule>
  </conditionalFormatting>
  <conditionalFormatting sqref="N1664">
    <cfRule type="dataBar" priority="5140">
      <dataBar>
        <cfvo type="num" val="0"/>
        <cfvo type="num" val="1"/>
        <color theme="4" tint="0.79998168889431442"/>
      </dataBar>
      <extLst>
        <ext xmlns:x14="http://schemas.microsoft.com/office/spreadsheetml/2009/9/main" uri="{B025F937-C7B1-47D3-B67F-A62EFF666E3E}">
          <x14:id>{D5DCCBBE-5098-4F5E-B6C1-15EA38A3FD9D}</x14:id>
        </ext>
      </extLst>
    </cfRule>
    <cfRule type="iconSet" priority="5139">
      <iconSet iconSet="3Arrows">
        <cfvo type="percent" val="0"/>
        <cfvo type="num" val="0.7"/>
        <cfvo type="num" val="1"/>
      </iconSet>
    </cfRule>
  </conditionalFormatting>
  <conditionalFormatting sqref="N1666 N1668 N1670">
    <cfRule type="iconSet" priority="5137">
      <iconSet iconSet="3Arrows">
        <cfvo type="percent" val="0"/>
        <cfvo type="num" val="0.7"/>
        <cfvo type="num" val="1"/>
      </iconSet>
    </cfRule>
    <cfRule type="dataBar" priority="5138">
      <dataBar>
        <cfvo type="num" val="0"/>
        <cfvo type="num" val="1"/>
        <color theme="4" tint="0.79998168889431442"/>
      </dataBar>
      <extLst>
        <ext xmlns:x14="http://schemas.microsoft.com/office/spreadsheetml/2009/9/main" uri="{B025F937-C7B1-47D3-B67F-A62EFF666E3E}">
          <x14:id>{A87D20FF-9F44-449E-9863-66555DBED05F}</x14:id>
        </ext>
      </extLst>
    </cfRule>
  </conditionalFormatting>
  <conditionalFormatting sqref="N1672">
    <cfRule type="dataBar" priority="5136">
      <dataBar>
        <cfvo type="num" val="0"/>
        <cfvo type="num" val="1"/>
        <color theme="4" tint="0.79998168889431442"/>
      </dataBar>
      <extLst>
        <ext xmlns:x14="http://schemas.microsoft.com/office/spreadsheetml/2009/9/main" uri="{B025F937-C7B1-47D3-B67F-A62EFF666E3E}">
          <x14:id>{88940303-1E7F-406E-BF3D-C8544256CE4A}</x14:id>
        </ext>
      </extLst>
    </cfRule>
    <cfRule type="iconSet" priority="5135">
      <iconSet iconSet="3Arrows">
        <cfvo type="percent" val="0"/>
        <cfvo type="num" val="0.7"/>
        <cfvo type="num" val="1"/>
      </iconSet>
    </cfRule>
  </conditionalFormatting>
  <conditionalFormatting sqref="N1674 N1676 N1678">
    <cfRule type="dataBar" priority="5134">
      <dataBar>
        <cfvo type="num" val="0"/>
        <cfvo type="num" val="1"/>
        <color theme="4" tint="0.79998168889431442"/>
      </dataBar>
      <extLst>
        <ext xmlns:x14="http://schemas.microsoft.com/office/spreadsheetml/2009/9/main" uri="{B025F937-C7B1-47D3-B67F-A62EFF666E3E}">
          <x14:id>{22D1D324-1126-4F32-BF6E-5375B2D0965B}</x14:id>
        </ext>
      </extLst>
    </cfRule>
    <cfRule type="iconSet" priority="5133">
      <iconSet iconSet="3Arrows">
        <cfvo type="percent" val="0"/>
        <cfvo type="num" val="0.7"/>
        <cfvo type="num" val="1"/>
      </iconSet>
    </cfRule>
  </conditionalFormatting>
  <conditionalFormatting sqref="N1680">
    <cfRule type="dataBar" priority="5132">
      <dataBar>
        <cfvo type="num" val="0"/>
        <cfvo type="num" val="1"/>
        <color theme="4" tint="0.79998168889431442"/>
      </dataBar>
      <extLst>
        <ext xmlns:x14="http://schemas.microsoft.com/office/spreadsheetml/2009/9/main" uri="{B025F937-C7B1-47D3-B67F-A62EFF666E3E}">
          <x14:id>{81DB8231-972A-40E3-B304-2C5B3F56807E}</x14:id>
        </ext>
      </extLst>
    </cfRule>
    <cfRule type="iconSet" priority="5131">
      <iconSet iconSet="3Arrows">
        <cfvo type="percent" val="0"/>
        <cfvo type="num" val="0.7"/>
        <cfvo type="num" val="1"/>
      </iconSet>
    </cfRule>
  </conditionalFormatting>
  <conditionalFormatting sqref="N1682 N1684 N1686">
    <cfRule type="iconSet" priority="5129">
      <iconSet iconSet="3Arrows">
        <cfvo type="percent" val="0"/>
        <cfvo type="num" val="0.7"/>
        <cfvo type="num" val="1"/>
      </iconSet>
    </cfRule>
    <cfRule type="dataBar" priority="5130">
      <dataBar>
        <cfvo type="num" val="0"/>
        <cfvo type="num" val="1"/>
        <color theme="4" tint="0.79998168889431442"/>
      </dataBar>
      <extLst>
        <ext xmlns:x14="http://schemas.microsoft.com/office/spreadsheetml/2009/9/main" uri="{B025F937-C7B1-47D3-B67F-A62EFF666E3E}">
          <x14:id>{B943604E-F5F2-48E2-8BCF-EB54EDFFA491}</x14:id>
        </ext>
      </extLst>
    </cfRule>
  </conditionalFormatting>
  <conditionalFormatting sqref="N1688">
    <cfRule type="dataBar" priority="5128">
      <dataBar>
        <cfvo type="num" val="0"/>
        <cfvo type="num" val="1"/>
        <color theme="4" tint="0.79998168889431442"/>
      </dataBar>
      <extLst>
        <ext xmlns:x14="http://schemas.microsoft.com/office/spreadsheetml/2009/9/main" uri="{B025F937-C7B1-47D3-B67F-A62EFF666E3E}">
          <x14:id>{8AC72BBA-9940-493E-9D79-278A84E83281}</x14:id>
        </ext>
      </extLst>
    </cfRule>
    <cfRule type="iconSet" priority="5127">
      <iconSet iconSet="3Arrows">
        <cfvo type="percent" val="0"/>
        <cfvo type="num" val="0.7"/>
        <cfvo type="num" val="1"/>
      </iconSet>
    </cfRule>
  </conditionalFormatting>
  <conditionalFormatting sqref="N1690 N1692 N1694">
    <cfRule type="dataBar" priority="5126">
      <dataBar>
        <cfvo type="num" val="0"/>
        <cfvo type="num" val="1"/>
        <color theme="4" tint="0.79998168889431442"/>
      </dataBar>
      <extLst>
        <ext xmlns:x14="http://schemas.microsoft.com/office/spreadsheetml/2009/9/main" uri="{B025F937-C7B1-47D3-B67F-A62EFF666E3E}">
          <x14:id>{5027D321-757C-4FE6-BB39-5E47451443DB}</x14:id>
        </ext>
      </extLst>
    </cfRule>
    <cfRule type="iconSet" priority="5125">
      <iconSet iconSet="3Arrows">
        <cfvo type="percent" val="0"/>
        <cfvo type="num" val="0.7"/>
        <cfvo type="num" val="1"/>
      </iconSet>
    </cfRule>
  </conditionalFormatting>
  <conditionalFormatting sqref="N1698">
    <cfRule type="dataBar" priority="5124">
      <dataBar>
        <cfvo type="num" val="0"/>
        <cfvo type="num" val="1"/>
        <color theme="4" tint="0.79998168889431442"/>
      </dataBar>
      <extLst>
        <ext xmlns:x14="http://schemas.microsoft.com/office/spreadsheetml/2009/9/main" uri="{B025F937-C7B1-47D3-B67F-A62EFF666E3E}">
          <x14:id>{3D7BCBC4-1E4B-4823-A2FE-F20A80215467}</x14:id>
        </ext>
      </extLst>
    </cfRule>
    <cfRule type="iconSet" priority="5123">
      <iconSet iconSet="3Arrows">
        <cfvo type="percent" val="0"/>
        <cfvo type="num" val="0.7"/>
        <cfvo type="num" val="1"/>
      </iconSet>
    </cfRule>
  </conditionalFormatting>
  <conditionalFormatting sqref="N1700">
    <cfRule type="iconSet" priority="5121">
      <iconSet iconSet="3Arrows">
        <cfvo type="percent" val="0"/>
        <cfvo type="num" val="0.7"/>
        <cfvo type="num" val="1"/>
      </iconSet>
    </cfRule>
    <cfRule type="dataBar" priority="5122">
      <dataBar>
        <cfvo type="num" val="0"/>
        <cfvo type="num" val="1"/>
        <color theme="4" tint="0.79998168889431442"/>
      </dataBar>
      <extLst>
        <ext xmlns:x14="http://schemas.microsoft.com/office/spreadsheetml/2009/9/main" uri="{B025F937-C7B1-47D3-B67F-A62EFF666E3E}">
          <x14:id>{8EEC1C3E-9644-4CC6-AD85-F473804B4181}</x14:id>
        </ext>
      </extLst>
    </cfRule>
  </conditionalFormatting>
  <conditionalFormatting sqref="N1702 N1704">
    <cfRule type="iconSet" priority="5119">
      <iconSet iconSet="3Arrows">
        <cfvo type="percent" val="0"/>
        <cfvo type="num" val="0.7"/>
        <cfvo type="num" val="1"/>
      </iconSet>
    </cfRule>
    <cfRule type="dataBar" priority="5120">
      <dataBar>
        <cfvo type="num" val="0"/>
        <cfvo type="num" val="1"/>
        <color theme="4" tint="0.79998168889431442"/>
      </dataBar>
      <extLst>
        <ext xmlns:x14="http://schemas.microsoft.com/office/spreadsheetml/2009/9/main" uri="{B025F937-C7B1-47D3-B67F-A62EFF666E3E}">
          <x14:id>{B44DFEE1-83C2-41EB-A2C1-F72CF4241ADD}</x14:id>
        </ext>
      </extLst>
    </cfRule>
  </conditionalFormatting>
  <conditionalFormatting sqref="N1706">
    <cfRule type="dataBar" priority="5118">
      <dataBar>
        <cfvo type="num" val="0"/>
        <cfvo type="num" val="1"/>
        <color theme="4" tint="0.79998168889431442"/>
      </dataBar>
      <extLst>
        <ext xmlns:x14="http://schemas.microsoft.com/office/spreadsheetml/2009/9/main" uri="{B025F937-C7B1-47D3-B67F-A62EFF666E3E}">
          <x14:id>{BDC5D82E-94C5-4AE1-8ED2-C400D238DCE0}</x14:id>
        </ext>
      </extLst>
    </cfRule>
    <cfRule type="iconSet" priority="5117">
      <iconSet iconSet="3Arrows">
        <cfvo type="percent" val="0"/>
        <cfvo type="num" val="0.7"/>
        <cfvo type="num" val="1"/>
      </iconSet>
    </cfRule>
  </conditionalFormatting>
  <conditionalFormatting sqref="N1708">
    <cfRule type="dataBar" priority="5116">
      <dataBar>
        <cfvo type="num" val="0"/>
        <cfvo type="num" val="1"/>
        <color theme="4" tint="0.79998168889431442"/>
      </dataBar>
      <extLst>
        <ext xmlns:x14="http://schemas.microsoft.com/office/spreadsheetml/2009/9/main" uri="{B025F937-C7B1-47D3-B67F-A62EFF666E3E}">
          <x14:id>{B9A9E62D-C8E5-4765-98DC-6B42105021E9}</x14:id>
        </ext>
      </extLst>
    </cfRule>
    <cfRule type="iconSet" priority="5115">
      <iconSet iconSet="3Arrows">
        <cfvo type="percent" val="0"/>
        <cfvo type="num" val="0.7"/>
        <cfvo type="num" val="1"/>
      </iconSet>
    </cfRule>
  </conditionalFormatting>
  <conditionalFormatting sqref="N1710">
    <cfRule type="dataBar" priority="5114">
      <dataBar>
        <cfvo type="num" val="0"/>
        <cfvo type="num" val="1"/>
        <color theme="4" tint="0.79998168889431442"/>
      </dataBar>
      <extLst>
        <ext xmlns:x14="http://schemas.microsoft.com/office/spreadsheetml/2009/9/main" uri="{B025F937-C7B1-47D3-B67F-A62EFF666E3E}">
          <x14:id>{3AC7E599-AA84-4FBE-B8DB-689918C6E043}</x14:id>
        </ext>
      </extLst>
    </cfRule>
    <cfRule type="iconSet" priority="5113">
      <iconSet iconSet="3Arrows">
        <cfvo type="percent" val="0"/>
        <cfvo type="num" val="0.7"/>
        <cfvo type="num" val="1"/>
      </iconSet>
    </cfRule>
  </conditionalFormatting>
  <conditionalFormatting sqref="N1712">
    <cfRule type="dataBar" priority="5112">
      <dataBar>
        <cfvo type="num" val="0"/>
        <cfvo type="num" val="1"/>
        <color theme="4" tint="0.79998168889431442"/>
      </dataBar>
      <extLst>
        <ext xmlns:x14="http://schemas.microsoft.com/office/spreadsheetml/2009/9/main" uri="{B025F937-C7B1-47D3-B67F-A62EFF666E3E}">
          <x14:id>{79159118-79F3-4184-9EB5-0638EC344D16}</x14:id>
        </ext>
      </extLst>
    </cfRule>
    <cfRule type="iconSet" priority="5111">
      <iconSet iconSet="3Arrows">
        <cfvo type="percent" val="0"/>
        <cfvo type="num" val="0.7"/>
        <cfvo type="num" val="1"/>
      </iconSet>
    </cfRule>
  </conditionalFormatting>
  <conditionalFormatting sqref="N1714">
    <cfRule type="dataBar" priority="5110">
      <dataBar>
        <cfvo type="num" val="0"/>
        <cfvo type="num" val="1"/>
        <color theme="4" tint="0.79998168889431442"/>
      </dataBar>
      <extLst>
        <ext xmlns:x14="http://schemas.microsoft.com/office/spreadsheetml/2009/9/main" uri="{B025F937-C7B1-47D3-B67F-A62EFF666E3E}">
          <x14:id>{9F9B7E77-D43B-4F06-9E04-10E504BDD344}</x14:id>
        </ext>
      </extLst>
    </cfRule>
    <cfRule type="iconSet" priority="5109">
      <iconSet iconSet="3Arrows">
        <cfvo type="percent" val="0"/>
        <cfvo type="num" val="0.7"/>
        <cfvo type="num" val="1"/>
      </iconSet>
    </cfRule>
  </conditionalFormatting>
  <conditionalFormatting sqref="N1716">
    <cfRule type="dataBar" priority="5108">
      <dataBar>
        <cfvo type="num" val="0"/>
        <cfvo type="num" val="1"/>
        <color theme="4" tint="0.79998168889431442"/>
      </dataBar>
      <extLst>
        <ext xmlns:x14="http://schemas.microsoft.com/office/spreadsheetml/2009/9/main" uri="{B025F937-C7B1-47D3-B67F-A62EFF666E3E}">
          <x14:id>{B70B44A9-41BA-41CF-AA0A-8DC6BBDA88FC}</x14:id>
        </ext>
      </extLst>
    </cfRule>
    <cfRule type="iconSet" priority="5107">
      <iconSet iconSet="3Arrows">
        <cfvo type="percent" val="0"/>
        <cfvo type="num" val="0.7"/>
        <cfvo type="num" val="1"/>
      </iconSet>
    </cfRule>
  </conditionalFormatting>
  <conditionalFormatting sqref="N1718 N1720">
    <cfRule type="dataBar" priority="5106">
      <dataBar>
        <cfvo type="num" val="0"/>
        <cfvo type="num" val="1"/>
        <color theme="4" tint="0.79998168889431442"/>
      </dataBar>
      <extLst>
        <ext xmlns:x14="http://schemas.microsoft.com/office/spreadsheetml/2009/9/main" uri="{B025F937-C7B1-47D3-B67F-A62EFF666E3E}">
          <x14:id>{BACA7764-B2C6-491D-B4E0-EAA820561753}</x14:id>
        </ext>
      </extLst>
    </cfRule>
    <cfRule type="iconSet" priority="5105">
      <iconSet iconSet="3Arrows">
        <cfvo type="percent" val="0"/>
        <cfvo type="num" val="0.7"/>
        <cfvo type="num" val="1"/>
      </iconSet>
    </cfRule>
  </conditionalFormatting>
  <conditionalFormatting sqref="N1722">
    <cfRule type="dataBar" priority="5104">
      <dataBar>
        <cfvo type="num" val="0"/>
        <cfvo type="num" val="1"/>
        <color theme="4" tint="0.79998168889431442"/>
      </dataBar>
      <extLst>
        <ext xmlns:x14="http://schemas.microsoft.com/office/spreadsheetml/2009/9/main" uri="{B025F937-C7B1-47D3-B67F-A62EFF666E3E}">
          <x14:id>{6CF0579B-C044-44B4-90D7-F30F83EA7827}</x14:id>
        </ext>
      </extLst>
    </cfRule>
    <cfRule type="iconSet" priority="5103">
      <iconSet iconSet="3Arrows">
        <cfvo type="percent" val="0"/>
        <cfvo type="num" val="0.7"/>
        <cfvo type="num" val="1"/>
      </iconSet>
    </cfRule>
  </conditionalFormatting>
  <conditionalFormatting sqref="N1724">
    <cfRule type="dataBar" priority="5102">
      <dataBar>
        <cfvo type="num" val="0"/>
        <cfvo type="num" val="1"/>
        <color theme="4" tint="0.79998168889431442"/>
      </dataBar>
      <extLst>
        <ext xmlns:x14="http://schemas.microsoft.com/office/spreadsheetml/2009/9/main" uri="{B025F937-C7B1-47D3-B67F-A62EFF666E3E}">
          <x14:id>{0B7C73CB-FF0F-4BEE-BC8D-1C70AED795BA}</x14:id>
        </ext>
      </extLst>
    </cfRule>
    <cfRule type="iconSet" priority="5101">
      <iconSet iconSet="3Arrows">
        <cfvo type="percent" val="0"/>
        <cfvo type="num" val="0.7"/>
        <cfvo type="num" val="1"/>
      </iconSet>
    </cfRule>
  </conditionalFormatting>
  <conditionalFormatting sqref="N1726">
    <cfRule type="dataBar" priority="5100">
      <dataBar>
        <cfvo type="num" val="0"/>
        <cfvo type="num" val="1"/>
        <color theme="4" tint="0.79998168889431442"/>
      </dataBar>
      <extLst>
        <ext xmlns:x14="http://schemas.microsoft.com/office/spreadsheetml/2009/9/main" uri="{B025F937-C7B1-47D3-B67F-A62EFF666E3E}">
          <x14:id>{CAA28241-9B6A-46D7-AABE-E2D1DC7F044E}</x14:id>
        </ext>
      </extLst>
    </cfRule>
    <cfRule type="iconSet" priority="5099">
      <iconSet iconSet="3Arrows">
        <cfvo type="percent" val="0"/>
        <cfvo type="num" val="0.7"/>
        <cfvo type="num" val="1"/>
      </iconSet>
    </cfRule>
  </conditionalFormatting>
  <conditionalFormatting sqref="N1728">
    <cfRule type="dataBar" priority="5098">
      <dataBar>
        <cfvo type="num" val="0"/>
        <cfvo type="num" val="1"/>
        <color theme="4" tint="0.79998168889431442"/>
      </dataBar>
      <extLst>
        <ext xmlns:x14="http://schemas.microsoft.com/office/spreadsheetml/2009/9/main" uri="{B025F937-C7B1-47D3-B67F-A62EFF666E3E}">
          <x14:id>{F1D39AE7-BFBF-4C0C-9925-A2E40D642C8C}</x14:id>
        </ext>
      </extLst>
    </cfRule>
    <cfRule type="iconSet" priority="5097">
      <iconSet iconSet="3Arrows">
        <cfvo type="percent" val="0"/>
        <cfvo type="num" val="0.7"/>
        <cfvo type="num" val="1"/>
      </iconSet>
    </cfRule>
  </conditionalFormatting>
  <conditionalFormatting sqref="N1730">
    <cfRule type="dataBar" priority="5096">
      <dataBar>
        <cfvo type="num" val="0"/>
        <cfvo type="num" val="1"/>
        <color theme="4" tint="0.79998168889431442"/>
      </dataBar>
      <extLst>
        <ext xmlns:x14="http://schemas.microsoft.com/office/spreadsheetml/2009/9/main" uri="{B025F937-C7B1-47D3-B67F-A62EFF666E3E}">
          <x14:id>{35095749-A00B-4463-83D8-8CC75E163B54}</x14:id>
        </ext>
      </extLst>
    </cfRule>
    <cfRule type="iconSet" priority="5095">
      <iconSet iconSet="3Arrows">
        <cfvo type="percent" val="0"/>
        <cfvo type="num" val="0.7"/>
        <cfvo type="num" val="1"/>
      </iconSet>
    </cfRule>
  </conditionalFormatting>
  <conditionalFormatting sqref="N1732">
    <cfRule type="dataBar" priority="5094">
      <dataBar>
        <cfvo type="num" val="0"/>
        <cfvo type="num" val="1"/>
        <color theme="4" tint="0.79998168889431442"/>
      </dataBar>
      <extLst>
        <ext xmlns:x14="http://schemas.microsoft.com/office/spreadsheetml/2009/9/main" uri="{B025F937-C7B1-47D3-B67F-A62EFF666E3E}">
          <x14:id>{F7DDFDF2-95FF-4DC4-A4A1-4979698DB0E8}</x14:id>
        </ext>
      </extLst>
    </cfRule>
    <cfRule type="iconSet" priority="5093">
      <iconSet iconSet="3Arrows">
        <cfvo type="percent" val="0"/>
        <cfvo type="num" val="0.7"/>
        <cfvo type="num" val="1"/>
      </iconSet>
    </cfRule>
  </conditionalFormatting>
  <conditionalFormatting sqref="N1734 N1736">
    <cfRule type="dataBar" priority="5092">
      <dataBar>
        <cfvo type="num" val="0"/>
        <cfvo type="num" val="1"/>
        <color theme="4" tint="0.79998168889431442"/>
      </dataBar>
      <extLst>
        <ext xmlns:x14="http://schemas.microsoft.com/office/spreadsheetml/2009/9/main" uri="{B025F937-C7B1-47D3-B67F-A62EFF666E3E}">
          <x14:id>{BBE521A0-1A3F-4F3F-A82E-E090BDCA4721}</x14:id>
        </ext>
      </extLst>
    </cfRule>
    <cfRule type="iconSet" priority="5091">
      <iconSet iconSet="3Arrows">
        <cfvo type="percent" val="0"/>
        <cfvo type="num" val="0.7"/>
        <cfvo type="num" val="1"/>
      </iconSet>
    </cfRule>
  </conditionalFormatting>
  <conditionalFormatting sqref="N1738">
    <cfRule type="iconSet" priority="5089">
      <iconSet iconSet="3Arrows">
        <cfvo type="percent" val="0"/>
        <cfvo type="num" val="0.7"/>
        <cfvo type="num" val="1"/>
      </iconSet>
    </cfRule>
    <cfRule type="dataBar" priority="5090">
      <dataBar>
        <cfvo type="num" val="0"/>
        <cfvo type="num" val="1"/>
        <color theme="4" tint="0.79998168889431442"/>
      </dataBar>
      <extLst>
        <ext xmlns:x14="http://schemas.microsoft.com/office/spreadsheetml/2009/9/main" uri="{B025F937-C7B1-47D3-B67F-A62EFF666E3E}">
          <x14:id>{C9F39D24-1065-4077-BFB6-ABFA65444A6E}</x14:id>
        </ext>
      </extLst>
    </cfRule>
  </conditionalFormatting>
  <conditionalFormatting sqref="N1740">
    <cfRule type="iconSet" priority="5087">
      <iconSet iconSet="3Arrows">
        <cfvo type="percent" val="0"/>
        <cfvo type="num" val="0.7"/>
        <cfvo type="num" val="1"/>
      </iconSet>
    </cfRule>
    <cfRule type="dataBar" priority="5088">
      <dataBar>
        <cfvo type="num" val="0"/>
        <cfvo type="num" val="1"/>
        <color theme="4" tint="0.79998168889431442"/>
      </dataBar>
      <extLst>
        <ext xmlns:x14="http://schemas.microsoft.com/office/spreadsheetml/2009/9/main" uri="{B025F937-C7B1-47D3-B67F-A62EFF666E3E}">
          <x14:id>{94E87464-836E-4D03-AE43-89801ABFF671}</x14:id>
        </ext>
      </extLst>
    </cfRule>
  </conditionalFormatting>
  <conditionalFormatting sqref="N1742">
    <cfRule type="iconSet" priority="5085">
      <iconSet iconSet="3Arrows">
        <cfvo type="percent" val="0"/>
        <cfvo type="num" val="0.7"/>
        <cfvo type="num" val="1"/>
      </iconSet>
    </cfRule>
    <cfRule type="dataBar" priority="5086">
      <dataBar>
        <cfvo type="num" val="0"/>
        <cfvo type="num" val="1"/>
        <color theme="4" tint="0.79998168889431442"/>
      </dataBar>
      <extLst>
        <ext xmlns:x14="http://schemas.microsoft.com/office/spreadsheetml/2009/9/main" uri="{B025F937-C7B1-47D3-B67F-A62EFF666E3E}">
          <x14:id>{E63FE1EF-1585-4E92-ACA2-C56818D71722}</x14:id>
        </ext>
      </extLst>
    </cfRule>
  </conditionalFormatting>
  <conditionalFormatting sqref="N1744">
    <cfRule type="dataBar" priority="5084">
      <dataBar>
        <cfvo type="num" val="0"/>
        <cfvo type="num" val="1"/>
        <color theme="4" tint="0.79998168889431442"/>
      </dataBar>
      <extLst>
        <ext xmlns:x14="http://schemas.microsoft.com/office/spreadsheetml/2009/9/main" uri="{B025F937-C7B1-47D3-B67F-A62EFF666E3E}">
          <x14:id>{E175DCED-3E51-4F22-8168-E9F6F66F9953}</x14:id>
        </ext>
      </extLst>
    </cfRule>
    <cfRule type="iconSet" priority="5083">
      <iconSet iconSet="3Arrows">
        <cfvo type="percent" val="0"/>
        <cfvo type="num" val="0.7"/>
        <cfvo type="num" val="1"/>
      </iconSet>
    </cfRule>
  </conditionalFormatting>
  <conditionalFormatting sqref="N1746">
    <cfRule type="dataBar" priority="5082">
      <dataBar>
        <cfvo type="num" val="0"/>
        <cfvo type="num" val="1"/>
        <color theme="4" tint="0.79998168889431442"/>
      </dataBar>
      <extLst>
        <ext xmlns:x14="http://schemas.microsoft.com/office/spreadsheetml/2009/9/main" uri="{B025F937-C7B1-47D3-B67F-A62EFF666E3E}">
          <x14:id>{73E1B732-4944-4D33-9CF7-736DA9381440}</x14:id>
        </ext>
      </extLst>
    </cfRule>
    <cfRule type="iconSet" priority="5081">
      <iconSet iconSet="3Arrows">
        <cfvo type="percent" val="0"/>
        <cfvo type="num" val="0.7"/>
        <cfvo type="num" val="1"/>
      </iconSet>
    </cfRule>
  </conditionalFormatting>
  <conditionalFormatting sqref="N1748">
    <cfRule type="dataBar" priority="5080">
      <dataBar>
        <cfvo type="num" val="0"/>
        <cfvo type="num" val="1"/>
        <color theme="4" tint="0.79998168889431442"/>
      </dataBar>
      <extLst>
        <ext xmlns:x14="http://schemas.microsoft.com/office/spreadsheetml/2009/9/main" uri="{B025F937-C7B1-47D3-B67F-A62EFF666E3E}">
          <x14:id>{2EB5DA21-3E41-4678-B027-21E68E79B623}</x14:id>
        </ext>
      </extLst>
    </cfRule>
    <cfRule type="iconSet" priority="5079">
      <iconSet iconSet="3Arrows">
        <cfvo type="percent" val="0"/>
        <cfvo type="num" val="0.7"/>
        <cfvo type="num" val="1"/>
      </iconSet>
    </cfRule>
  </conditionalFormatting>
  <conditionalFormatting sqref="N1750 N1752">
    <cfRule type="dataBar" priority="5078">
      <dataBar>
        <cfvo type="num" val="0"/>
        <cfvo type="num" val="1"/>
        <color theme="4" tint="0.79998168889431442"/>
      </dataBar>
      <extLst>
        <ext xmlns:x14="http://schemas.microsoft.com/office/spreadsheetml/2009/9/main" uri="{B025F937-C7B1-47D3-B67F-A62EFF666E3E}">
          <x14:id>{D528EA37-E716-43A7-91CB-6F97753AE668}</x14:id>
        </ext>
      </extLst>
    </cfRule>
    <cfRule type="iconSet" priority="5077">
      <iconSet iconSet="3Arrows">
        <cfvo type="percent" val="0"/>
        <cfvo type="num" val="0.7"/>
        <cfvo type="num" val="1"/>
      </iconSet>
    </cfRule>
  </conditionalFormatting>
  <conditionalFormatting sqref="N1754">
    <cfRule type="dataBar" priority="5076">
      <dataBar>
        <cfvo type="num" val="0"/>
        <cfvo type="num" val="1"/>
        <color theme="4" tint="0.79998168889431442"/>
      </dataBar>
      <extLst>
        <ext xmlns:x14="http://schemas.microsoft.com/office/spreadsheetml/2009/9/main" uri="{B025F937-C7B1-47D3-B67F-A62EFF666E3E}">
          <x14:id>{2B6A506D-3A06-472E-A5DD-45F4DD8B6C40}</x14:id>
        </ext>
      </extLst>
    </cfRule>
    <cfRule type="iconSet" priority="5075">
      <iconSet iconSet="3Arrows">
        <cfvo type="percent" val="0"/>
        <cfvo type="num" val="0.7"/>
        <cfvo type="num" val="1"/>
      </iconSet>
    </cfRule>
  </conditionalFormatting>
  <conditionalFormatting sqref="N1756">
    <cfRule type="iconSet" priority="5073">
      <iconSet iconSet="3Arrows">
        <cfvo type="percent" val="0"/>
        <cfvo type="num" val="0.7"/>
        <cfvo type="num" val="1"/>
      </iconSet>
    </cfRule>
    <cfRule type="dataBar" priority="5074">
      <dataBar>
        <cfvo type="num" val="0"/>
        <cfvo type="num" val="1"/>
        <color theme="4" tint="0.79998168889431442"/>
      </dataBar>
      <extLst>
        <ext xmlns:x14="http://schemas.microsoft.com/office/spreadsheetml/2009/9/main" uri="{B025F937-C7B1-47D3-B67F-A62EFF666E3E}">
          <x14:id>{AC5B2C5B-7D7C-4C93-955C-354B25243AD4}</x14:id>
        </ext>
      </extLst>
    </cfRule>
  </conditionalFormatting>
  <conditionalFormatting sqref="N1758">
    <cfRule type="iconSet" priority="5071">
      <iconSet iconSet="3Arrows">
        <cfvo type="percent" val="0"/>
        <cfvo type="num" val="0.7"/>
        <cfvo type="num" val="1"/>
      </iconSet>
    </cfRule>
    <cfRule type="dataBar" priority="5072">
      <dataBar>
        <cfvo type="num" val="0"/>
        <cfvo type="num" val="1"/>
        <color theme="4" tint="0.79998168889431442"/>
      </dataBar>
      <extLst>
        <ext xmlns:x14="http://schemas.microsoft.com/office/spreadsheetml/2009/9/main" uri="{B025F937-C7B1-47D3-B67F-A62EFF666E3E}">
          <x14:id>{76EB3FE9-A355-497A-A068-2A1C82ACC5F6}</x14:id>
        </ext>
      </extLst>
    </cfRule>
  </conditionalFormatting>
  <conditionalFormatting sqref="N1760">
    <cfRule type="dataBar" priority="5070">
      <dataBar>
        <cfvo type="num" val="0"/>
        <cfvo type="num" val="1"/>
        <color theme="4" tint="0.79998168889431442"/>
      </dataBar>
      <extLst>
        <ext xmlns:x14="http://schemas.microsoft.com/office/spreadsheetml/2009/9/main" uri="{B025F937-C7B1-47D3-B67F-A62EFF666E3E}">
          <x14:id>{217B6A88-4370-4525-B381-EBD25D87E373}</x14:id>
        </ext>
      </extLst>
    </cfRule>
    <cfRule type="iconSet" priority="5069">
      <iconSet iconSet="3Arrows">
        <cfvo type="percent" val="0"/>
        <cfvo type="num" val="0.7"/>
        <cfvo type="num" val="1"/>
      </iconSet>
    </cfRule>
  </conditionalFormatting>
  <conditionalFormatting sqref="N1762">
    <cfRule type="dataBar" priority="5068">
      <dataBar>
        <cfvo type="num" val="0"/>
        <cfvo type="num" val="1"/>
        <color theme="4" tint="0.79998168889431442"/>
      </dataBar>
      <extLst>
        <ext xmlns:x14="http://schemas.microsoft.com/office/spreadsheetml/2009/9/main" uri="{B025F937-C7B1-47D3-B67F-A62EFF666E3E}">
          <x14:id>{2451981E-0BA8-4F93-9E55-A9E986D0A272}</x14:id>
        </ext>
      </extLst>
    </cfRule>
    <cfRule type="iconSet" priority="5067">
      <iconSet iconSet="3Arrows">
        <cfvo type="percent" val="0"/>
        <cfvo type="num" val="0.7"/>
        <cfvo type="num" val="1"/>
      </iconSet>
    </cfRule>
  </conditionalFormatting>
  <conditionalFormatting sqref="N1764">
    <cfRule type="dataBar" priority="5066">
      <dataBar>
        <cfvo type="num" val="0"/>
        <cfvo type="num" val="1"/>
        <color theme="4" tint="0.79998168889431442"/>
      </dataBar>
      <extLst>
        <ext xmlns:x14="http://schemas.microsoft.com/office/spreadsheetml/2009/9/main" uri="{B025F937-C7B1-47D3-B67F-A62EFF666E3E}">
          <x14:id>{3E73D683-64D0-448F-B938-F8D8C336758E}</x14:id>
        </ext>
      </extLst>
    </cfRule>
    <cfRule type="iconSet" priority="5065">
      <iconSet iconSet="3Arrows">
        <cfvo type="percent" val="0"/>
        <cfvo type="num" val="0.7"/>
        <cfvo type="num" val="1"/>
      </iconSet>
    </cfRule>
  </conditionalFormatting>
  <conditionalFormatting sqref="N1766">
    <cfRule type="dataBar" priority="5064">
      <dataBar>
        <cfvo type="num" val="0"/>
        <cfvo type="num" val="1"/>
        <color theme="4" tint="0.79998168889431442"/>
      </dataBar>
      <extLst>
        <ext xmlns:x14="http://schemas.microsoft.com/office/spreadsheetml/2009/9/main" uri="{B025F937-C7B1-47D3-B67F-A62EFF666E3E}">
          <x14:id>{CE29762A-3360-434C-B0BD-B4B299FF71F8}</x14:id>
        </ext>
      </extLst>
    </cfRule>
    <cfRule type="iconSet" priority="5063">
      <iconSet iconSet="3Arrows">
        <cfvo type="percent" val="0"/>
        <cfvo type="num" val="0.7"/>
        <cfvo type="num" val="1"/>
      </iconSet>
    </cfRule>
  </conditionalFormatting>
  <conditionalFormatting sqref="N1770">
    <cfRule type="dataBar" priority="5062">
      <dataBar>
        <cfvo type="num" val="0"/>
        <cfvo type="num" val="1"/>
        <color theme="4" tint="0.79998168889431442"/>
      </dataBar>
      <extLst>
        <ext xmlns:x14="http://schemas.microsoft.com/office/spreadsheetml/2009/9/main" uri="{B025F937-C7B1-47D3-B67F-A62EFF666E3E}">
          <x14:id>{EA6B1E48-C242-4840-8DC9-26BAE8CFA850}</x14:id>
        </ext>
      </extLst>
    </cfRule>
    <cfRule type="iconSet" priority="5061">
      <iconSet iconSet="3Arrows">
        <cfvo type="percent" val="0"/>
        <cfvo type="num" val="0.7"/>
        <cfvo type="num" val="1"/>
      </iconSet>
    </cfRule>
  </conditionalFormatting>
  <conditionalFormatting sqref="N1773">
    <cfRule type="dataBar" priority="5060">
      <dataBar>
        <cfvo type="num" val="0"/>
        <cfvo type="num" val="1"/>
        <color theme="4" tint="0.79998168889431442"/>
      </dataBar>
      <extLst>
        <ext xmlns:x14="http://schemas.microsoft.com/office/spreadsheetml/2009/9/main" uri="{B025F937-C7B1-47D3-B67F-A62EFF666E3E}">
          <x14:id>{5EA77BBB-1E26-4DC6-9A14-D83D70688DF6}</x14:id>
        </ext>
      </extLst>
    </cfRule>
    <cfRule type="iconSet" priority="5059">
      <iconSet iconSet="3Arrows">
        <cfvo type="percent" val="0"/>
        <cfvo type="num" val="0.7"/>
        <cfvo type="num" val="1"/>
      </iconSet>
    </cfRule>
  </conditionalFormatting>
  <conditionalFormatting sqref="N1775">
    <cfRule type="iconSet" priority="5057">
      <iconSet iconSet="3Arrows">
        <cfvo type="percent" val="0"/>
        <cfvo type="num" val="0.7"/>
        <cfvo type="num" val="1"/>
      </iconSet>
    </cfRule>
    <cfRule type="dataBar" priority="5058">
      <dataBar>
        <cfvo type="num" val="0"/>
        <cfvo type="num" val="1"/>
        <color theme="4" tint="0.79998168889431442"/>
      </dataBar>
      <extLst>
        <ext xmlns:x14="http://schemas.microsoft.com/office/spreadsheetml/2009/9/main" uri="{B025F937-C7B1-47D3-B67F-A62EFF666E3E}">
          <x14:id>{25D5A0C2-7082-414C-84BA-AB22FD7009E8}</x14:id>
        </ext>
      </extLst>
    </cfRule>
  </conditionalFormatting>
  <conditionalFormatting sqref="N1777">
    <cfRule type="iconSet" priority="5055">
      <iconSet iconSet="3Arrows">
        <cfvo type="percent" val="0"/>
        <cfvo type="num" val="0.7"/>
        <cfvo type="num" val="1"/>
      </iconSet>
    </cfRule>
    <cfRule type="dataBar" priority="5056">
      <dataBar>
        <cfvo type="num" val="0"/>
        <cfvo type="num" val="1"/>
        <color theme="4" tint="0.79998168889431442"/>
      </dataBar>
      <extLst>
        <ext xmlns:x14="http://schemas.microsoft.com/office/spreadsheetml/2009/9/main" uri="{B025F937-C7B1-47D3-B67F-A62EFF666E3E}">
          <x14:id>{4444C1FF-5DE5-41A1-9753-41338137CD52}</x14:id>
        </ext>
      </extLst>
    </cfRule>
  </conditionalFormatting>
  <conditionalFormatting sqref="N1779">
    <cfRule type="dataBar" priority="5054">
      <dataBar>
        <cfvo type="num" val="0"/>
        <cfvo type="num" val="1"/>
        <color theme="4" tint="0.79998168889431442"/>
      </dataBar>
      <extLst>
        <ext xmlns:x14="http://schemas.microsoft.com/office/spreadsheetml/2009/9/main" uri="{B025F937-C7B1-47D3-B67F-A62EFF666E3E}">
          <x14:id>{10765707-FF66-4044-A0A1-C16530B26FCD}</x14:id>
        </ext>
      </extLst>
    </cfRule>
    <cfRule type="iconSet" priority="5053">
      <iconSet iconSet="3Arrows">
        <cfvo type="percent" val="0"/>
        <cfvo type="num" val="0.7"/>
        <cfvo type="num" val="1"/>
      </iconSet>
    </cfRule>
  </conditionalFormatting>
  <conditionalFormatting sqref="N1781">
    <cfRule type="dataBar" priority="5052">
      <dataBar>
        <cfvo type="num" val="0"/>
        <cfvo type="num" val="1"/>
        <color theme="4" tint="0.79998168889431442"/>
      </dataBar>
      <extLst>
        <ext xmlns:x14="http://schemas.microsoft.com/office/spreadsheetml/2009/9/main" uri="{B025F937-C7B1-47D3-B67F-A62EFF666E3E}">
          <x14:id>{405294BE-5D12-402C-9900-0D5D118A0BDD}</x14:id>
        </ext>
      </extLst>
    </cfRule>
    <cfRule type="iconSet" priority="5051">
      <iconSet iconSet="3Arrows">
        <cfvo type="percent" val="0"/>
        <cfvo type="num" val="0.7"/>
        <cfvo type="num" val="1"/>
      </iconSet>
    </cfRule>
  </conditionalFormatting>
  <conditionalFormatting sqref="N1783">
    <cfRule type="dataBar" priority="5050">
      <dataBar>
        <cfvo type="num" val="0"/>
        <cfvo type="num" val="1"/>
        <color theme="4" tint="0.79998168889431442"/>
      </dataBar>
      <extLst>
        <ext xmlns:x14="http://schemas.microsoft.com/office/spreadsheetml/2009/9/main" uri="{B025F937-C7B1-47D3-B67F-A62EFF666E3E}">
          <x14:id>{CD4C4776-3B75-4803-9D3D-294EAA7A4591}</x14:id>
        </ext>
      </extLst>
    </cfRule>
    <cfRule type="iconSet" priority="5049">
      <iconSet iconSet="3Arrows">
        <cfvo type="percent" val="0"/>
        <cfvo type="num" val="0.7"/>
        <cfvo type="num" val="1"/>
      </iconSet>
    </cfRule>
  </conditionalFormatting>
  <conditionalFormatting sqref="N1785 N1787">
    <cfRule type="dataBar" priority="5048">
      <dataBar>
        <cfvo type="num" val="0"/>
        <cfvo type="num" val="1"/>
        <color theme="4" tint="0.79998168889431442"/>
      </dataBar>
      <extLst>
        <ext xmlns:x14="http://schemas.microsoft.com/office/spreadsheetml/2009/9/main" uri="{B025F937-C7B1-47D3-B67F-A62EFF666E3E}">
          <x14:id>{070CCB42-14DF-4AF0-A65D-7983BB5BB3EC}</x14:id>
        </ext>
      </extLst>
    </cfRule>
    <cfRule type="iconSet" priority="5047">
      <iconSet iconSet="3Arrows">
        <cfvo type="percent" val="0"/>
        <cfvo type="num" val="0.7"/>
        <cfvo type="num" val="1"/>
      </iconSet>
    </cfRule>
  </conditionalFormatting>
  <conditionalFormatting sqref="N1789">
    <cfRule type="dataBar" priority="5046">
      <dataBar>
        <cfvo type="num" val="0"/>
        <cfvo type="num" val="1"/>
        <color theme="4" tint="0.79998168889431442"/>
      </dataBar>
      <extLst>
        <ext xmlns:x14="http://schemas.microsoft.com/office/spreadsheetml/2009/9/main" uri="{B025F937-C7B1-47D3-B67F-A62EFF666E3E}">
          <x14:id>{26213592-36B8-4997-8A2F-61A4694C529F}</x14:id>
        </ext>
      </extLst>
    </cfRule>
    <cfRule type="iconSet" priority="5045">
      <iconSet iconSet="3Arrows">
        <cfvo type="percent" val="0"/>
        <cfvo type="num" val="0.7"/>
        <cfvo type="num" val="1"/>
      </iconSet>
    </cfRule>
  </conditionalFormatting>
  <conditionalFormatting sqref="N1791">
    <cfRule type="dataBar" priority="5044">
      <dataBar>
        <cfvo type="num" val="0"/>
        <cfvo type="num" val="1"/>
        <color theme="4" tint="0.79998168889431442"/>
      </dataBar>
      <extLst>
        <ext xmlns:x14="http://schemas.microsoft.com/office/spreadsheetml/2009/9/main" uri="{B025F937-C7B1-47D3-B67F-A62EFF666E3E}">
          <x14:id>{31AC6B40-995C-4D3A-A15F-F86D52A30FB9}</x14:id>
        </ext>
      </extLst>
    </cfRule>
    <cfRule type="iconSet" priority="5043">
      <iconSet iconSet="3Arrows">
        <cfvo type="percent" val="0"/>
        <cfvo type="num" val="0.7"/>
        <cfvo type="num" val="1"/>
      </iconSet>
    </cfRule>
  </conditionalFormatting>
  <conditionalFormatting sqref="N1793">
    <cfRule type="dataBar" priority="5042">
      <dataBar>
        <cfvo type="num" val="0"/>
        <cfvo type="num" val="1"/>
        <color theme="4" tint="0.79998168889431442"/>
      </dataBar>
      <extLst>
        <ext xmlns:x14="http://schemas.microsoft.com/office/spreadsheetml/2009/9/main" uri="{B025F937-C7B1-47D3-B67F-A62EFF666E3E}">
          <x14:id>{50C98D6C-9C08-4D24-9011-5F7FF53FC24B}</x14:id>
        </ext>
      </extLst>
    </cfRule>
    <cfRule type="iconSet" priority="5041">
      <iconSet iconSet="3Arrows">
        <cfvo type="percent" val="0"/>
        <cfvo type="num" val="0.7"/>
        <cfvo type="num" val="1"/>
      </iconSet>
    </cfRule>
  </conditionalFormatting>
  <conditionalFormatting sqref="N1795">
    <cfRule type="dataBar" priority="5040">
      <dataBar>
        <cfvo type="num" val="0"/>
        <cfvo type="num" val="1"/>
        <color theme="4" tint="0.79998168889431442"/>
      </dataBar>
      <extLst>
        <ext xmlns:x14="http://schemas.microsoft.com/office/spreadsheetml/2009/9/main" uri="{B025F937-C7B1-47D3-B67F-A62EFF666E3E}">
          <x14:id>{6D586508-0FF0-412B-B0BA-3460069BB958}</x14:id>
        </ext>
      </extLst>
    </cfRule>
    <cfRule type="iconSet" priority="5039">
      <iconSet iconSet="3Arrows">
        <cfvo type="percent" val="0"/>
        <cfvo type="num" val="0.7"/>
        <cfvo type="num" val="1"/>
      </iconSet>
    </cfRule>
  </conditionalFormatting>
  <conditionalFormatting sqref="N1797 N1799">
    <cfRule type="dataBar" priority="5038">
      <dataBar>
        <cfvo type="num" val="0"/>
        <cfvo type="num" val="1"/>
        <color theme="4" tint="0.79998168889431442"/>
      </dataBar>
      <extLst>
        <ext xmlns:x14="http://schemas.microsoft.com/office/spreadsheetml/2009/9/main" uri="{B025F937-C7B1-47D3-B67F-A62EFF666E3E}">
          <x14:id>{4A59304B-E06D-41EE-ABB7-AC70E22BFD9E}</x14:id>
        </ext>
      </extLst>
    </cfRule>
    <cfRule type="iconSet" priority="5037">
      <iconSet iconSet="3Arrows">
        <cfvo type="percent" val="0"/>
        <cfvo type="num" val="0.7"/>
        <cfvo type="num" val="1"/>
      </iconSet>
    </cfRule>
  </conditionalFormatting>
  <conditionalFormatting sqref="N1801">
    <cfRule type="dataBar" priority="5036">
      <dataBar>
        <cfvo type="num" val="0"/>
        <cfvo type="num" val="1"/>
        <color theme="4" tint="0.79998168889431442"/>
      </dataBar>
      <extLst>
        <ext xmlns:x14="http://schemas.microsoft.com/office/spreadsheetml/2009/9/main" uri="{B025F937-C7B1-47D3-B67F-A62EFF666E3E}">
          <x14:id>{32D35ED7-A3B1-40D4-88DF-A11ECF2FD4C7}</x14:id>
        </ext>
      </extLst>
    </cfRule>
    <cfRule type="iconSet" priority="5035">
      <iconSet iconSet="3Arrows">
        <cfvo type="percent" val="0"/>
        <cfvo type="num" val="0.7"/>
        <cfvo type="num" val="1"/>
      </iconSet>
    </cfRule>
  </conditionalFormatting>
  <conditionalFormatting sqref="N1803">
    <cfRule type="dataBar" priority="5034">
      <dataBar>
        <cfvo type="num" val="0"/>
        <cfvo type="num" val="1"/>
        <color theme="4" tint="0.79998168889431442"/>
      </dataBar>
      <extLst>
        <ext xmlns:x14="http://schemas.microsoft.com/office/spreadsheetml/2009/9/main" uri="{B025F937-C7B1-47D3-B67F-A62EFF666E3E}">
          <x14:id>{9AC8B635-4180-404B-B455-0DDBA5D92CD3}</x14:id>
        </ext>
      </extLst>
    </cfRule>
    <cfRule type="iconSet" priority="5033">
      <iconSet iconSet="3Arrows">
        <cfvo type="percent" val="0"/>
        <cfvo type="num" val="0.7"/>
        <cfvo type="num" val="1"/>
      </iconSet>
    </cfRule>
  </conditionalFormatting>
  <conditionalFormatting sqref="N1806">
    <cfRule type="dataBar" priority="5032">
      <dataBar>
        <cfvo type="num" val="0"/>
        <cfvo type="num" val="1"/>
        <color theme="4" tint="0.79998168889431442"/>
      </dataBar>
      <extLst>
        <ext xmlns:x14="http://schemas.microsoft.com/office/spreadsheetml/2009/9/main" uri="{B025F937-C7B1-47D3-B67F-A62EFF666E3E}">
          <x14:id>{16BB119C-7E0F-4081-BACD-F14680191C9B}</x14:id>
        </ext>
      </extLst>
    </cfRule>
    <cfRule type="iconSet" priority="5031">
      <iconSet iconSet="3Arrows">
        <cfvo type="percent" val="0"/>
        <cfvo type="num" val="0.7"/>
        <cfvo type="num" val="1"/>
      </iconSet>
    </cfRule>
  </conditionalFormatting>
  <conditionalFormatting sqref="N1808">
    <cfRule type="dataBar" priority="5030">
      <dataBar>
        <cfvo type="num" val="0"/>
        <cfvo type="num" val="1"/>
        <color theme="4" tint="0.79998168889431442"/>
      </dataBar>
      <extLst>
        <ext xmlns:x14="http://schemas.microsoft.com/office/spreadsheetml/2009/9/main" uri="{B025F937-C7B1-47D3-B67F-A62EFF666E3E}">
          <x14:id>{FFBA46F7-6321-4F91-AB1C-FBB775FC80B9}</x14:id>
        </ext>
      </extLst>
    </cfRule>
    <cfRule type="iconSet" priority="5029">
      <iconSet iconSet="3Arrows">
        <cfvo type="percent" val="0"/>
        <cfvo type="num" val="0.7"/>
        <cfvo type="num" val="1"/>
      </iconSet>
    </cfRule>
  </conditionalFormatting>
  <conditionalFormatting sqref="N1810">
    <cfRule type="dataBar" priority="5028">
      <dataBar>
        <cfvo type="num" val="0"/>
        <cfvo type="num" val="1"/>
        <color theme="4" tint="0.79998168889431442"/>
      </dataBar>
      <extLst>
        <ext xmlns:x14="http://schemas.microsoft.com/office/spreadsheetml/2009/9/main" uri="{B025F937-C7B1-47D3-B67F-A62EFF666E3E}">
          <x14:id>{FBD44E14-F462-40F3-84AB-D5536B57D770}</x14:id>
        </ext>
      </extLst>
    </cfRule>
    <cfRule type="iconSet" priority="5027">
      <iconSet iconSet="3Arrows">
        <cfvo type="percent" val="0"/>
        <cfvo type="num" val="0.7"/>
        <cfvo type="num" val="1"/>
      </iconSet>
    </cfRule>
  </conditionalFormatting>
  <conditionalFormatting sqref="N1812">
    <cfRule type="dataBar" priority="5026">
      <dataBar>
        <cfvo type="num" val="0"/>
        <cfvo type="num" val="1"/>
        <color theme="4" tint="0.79998168889431442"/>
      </dataBar>
      <extLst>
        <ext xmlns:x14="http://schemas.microsoft.com/office/spreadsheetml/2009/9/main" uri="{B025F937-C7B1-47D3-B67F-A62EFF666E3E}">
          <x14:id>{D88EC18B-28D1-4F90-B527-571FDB9AA636}</x14:id>
        </ext>
      </extLst>
    </cfRule>
    <cfRule type="iconSet" priority="5025">
      <iconSet iconSet="3Arrows">
        <cfvo type="percent" val="0"/>
        <cfvo type="num" val="0.7"/>
        <cfvo type="num" val="1"/>
      </iconSet>
    </cfRule>
  </conditionalFormatting>
  <conditionalFormatting sqref="N1814">
    <cfRule type="iconSet" priority="5023">
      <iconSet iconSet="3Arrows">
        <cfvo type="percent" val="0"/>
        <cfvo type="num" val="0.7"/>
        <cfvo type="num" val="1"/>
      </iconSet>
    </cfRule>
    <cfRule type="dataBar" priority="5024">
      <dataBar>
        <cfvo type="num" val="0"/>
        <cfvo type="num" val="1"/>
        <color theme="4" tint="0.79998168889431442"/>
      </dataBar>
      <extLst>
        <ext xmlns:x14="http://schemas.microsoft.com/office/spreadsheetml/2009/9/main" uri="{B025F937-C7B1-47D3-B67F-A62EFF666E3E}">
          <x14:id>{9B1E08E6-321B-4419-832C-3F81F84A86AC}</x14:id>
        </ext>
      </extLst>
    </cfRule>
  </conditionalFormatting>
  <conditionalFormatting sqref="N1816 N1818">
    <cfRule type="iconSet" priority="5021">
      <iconSet iconSet="3Arrows">
        <cfvo type="percent" val="0"/>
        <cfvo type="num" val="0.7"/>
        <cfvo type="num" val="1"/>
      </iconSet>
    </cfRule>
    <cfRule type="dataBar" priority="5022">
      <dataBar>
        <cfvo type="num" val="0"/>
        <cfvo type="num" val="1"/>
        <color theme="4" tint="0.79998168889431442"/>
      </dataBar>
      <extLst>
        <ext xmlns:x14="http://schemas.microsoft.com/office/spreadsheetml/2009/9/main" uri="{B025F937-C7B1-47D3-B67F-A62EFF666E3E}">
          <x14:id>{FDA9FFEB-382E-4A9A-AEB3-62FCE205E868}</x14:id>
        </ext>
      </extLst>
    </cfRule>
  </conditionalFormatting>
  <conditionalFormatting sqref="N1820">
    <cfRule type="dataBar" priority="5020">
      <dataBar>
        <cfvo type="num" val="0"/>
        <cfvo type="num" val="1"/>
        <color theme="4" tint="0.79998168889431442"/>
      </dataBar>
      <extLst>
        <ext xmlns:x14="http://schemas.microsoft.com/office/spreadsheetml/2009/9/main" uri="{B025F937-C7B1-47D3-B67F-A62EFF666E3E}">
          <x14:id>{CB76407F-5C32-4255-AA6F-24581FFC7A28}</x14:id>
        </ext>
      </extLst>
    </cfRule>
    <cfRule type="iconSet" priority="5019">
      <iconSet iconSet="3Arrows">
        <cfvo type="percent" val="0"/>
        <cfvo type="num" val="0.7"/>
        <cfvo type="num" val="1"/>
      </iconSet>
    </cfRule>
  </conditionalFormatting>
  <conditionalFormatting sqref="N1822">
    <cfRule type="dataBar" priority="5018">
      <dataBar>
        <cfvo type="num" val="0"/>
        <cfvo type="num" val="1"/>
        <color theme="4" tint="0.79998168889431442"/>
      </dataBar>
      <extLst>
        <ext xmlns:x14="http://schemas.microsoft.com/office/spreadsheetml/2009/9/main" uri="{B025F937-C7B1-47D3-B67F-A62EFF666E3E}">
          <x14:id>{4C54AE72-B3CC-4535-A231-397DC8409E3C}</x14:id>
        </ext>
      </extLst>
    </cfRule>
    <cfRule type="iconSet" priority="5017">
      <iconSet iconSet="3Arrows">
        <cfvo type="percent" val="0"/>
        <cfvo type="num" val="0.7"/>
        <cfvo type="num" val="1"/>
      </iconSet>
    </cfRule>
  </conditionalFormatting>
  <conditionalFormatting sqref="N1824 N1826">
    <cfRule type="dataBar" priority="5016">
      <dataBar>
        <cfvo type="num" val="0"/>
        <cfvo type="num" val="1"/>
        <color theme="4" tint="0.79998168889431442"/>
      </dataBar>
      <extLst>
        <ext xmlns:x14="http://schemas.microsoft.com/office/spreadsheetml/2009/9/main" uri="{B025F937-C7B1-47D3-B67F-A62EFF666E3E}">
          <x14:id>{EE1C46D6-5952-479C-893A-7B1EDFD9BF0D}</x14:id>
        </ext>
      </extLst>
    </cfRule>
    <cfRule type="iconSet" priority="5015">
      <iconSet iconSet="3Arrows">
        <cfvo type="percent" val="0"/>
        <cfvo type="num" val="0.7"/>
        <cfvo type="num" val="1"/>
      </iconSet>
    </cfRule>
  </conditionalFormatting>
  <conditionalFormatting sqref="N1828">
    <cfRule type="dataBar" priority="5014">
      <dataBar>
        <cfvo type="num" val="0"/>
        <cfvo type="num" val="1"/>
        <color theme="4" tint="0.79998168889431442"/>
      </dataBar>
      <extLst>
        <ext xmlns:x14="http://schemas.microsoft.com/office/spreadsheetml/2009/9/main" uri="{B025F937-C7B1-47D3-B67F-A62EFF666E3E}">
          <x14:id>{5BD2F04D-5A6C-4DFD-ACE0-6E510352C6B6}</x14:id>
        </ext>
      </extLst>
    </cfRule>
    <cfRule type="iconSet" priority="5013">
      <iconSet iconSet="3Arrows">
        <cfvo type="percent" val="0"/>
        <cfvo type="num" val="0.7"/>
        <cfvo type="num" val="1"/>
      </iconSet>
    </cfRule>
  </conditionalFormatting>
  <conditionalFormatting sqref="N1830">
    <cfRule type="dataBar" priority="5012">
      <dataBar>
        <cfvo type="num" val="0"/>
        <cfvo type="num" val="1"/>
        <color theme="4" tint="0.79998168889431442"/>
      </dataBar>
      <extLst>
        <ext xmlns:x14="http://schemas.microsoft.com/office/spreadsheetml/2009/9/main" uri="{B025F937-C7B1-47D3-B67F-A62EFF666E3E}">
          <x14:id>{9E38FFA4-535A-471A-8175-A4A1F1D5EE4F}</x14:id>
        </ext>
      </extLst>
    </cfRule>
    <cfRule type="iconSet" priority="5011">
      <iconSet iconSet="3Arrows">
        <cfvo type="percent" val="0"/>
        <cfvo type="num" val="0.7"/>
        <cfvo type="num" val="1"/>
      </iconSet>
    </cfRule>
  </conditionalFormatting>
  <conditionalFormatting sqref="N1832 N1834">
    <cfRule type="dataBar" priority="5010">
      <dataBar>
        <cfvo type="num" val="0"/>
        <cfvo type="num" val="1"/>
        <color theme="4" tint="0.79998168889431442"/>
      </dataBar>
      <extLst>
        <ext xmlns:x14="http://schemas.microsoft.com/office/spreadsheetml/2009/9/main" uri="{B025F937-C7B1-47D3-B67F-A62EFF666E3E}">
          <x14:id>{829A4D7B-F712-41AC-A8D2-E4721726E0F9}</x14:id>
        </ext>
      </extLst>
    </cfRule>
    <cfRule type="iconSet" priority="5009">
      <iconSet iconSet="3Arrows">
        <cfvo type="percent" val="0"/>
        <cfvo type="num" val="0.7"/>
        <cfvo type="num" val="1"/>
      </iconSet>
    </cfRule>
  </conditionalFormatting>
  <conditionalFormatting sqref="N1836">
    <cfRule type="iconSet" priority="5007">
      <iconSet iconSet="3Arrows">
        <cfvo type="percent" val="0"/>
        <cfvo type="num" val="0.7"/>
        <cfvo type="num" val="1"/>
      </iconSet>
    </cfRule>
    <cfRule type="dataBar" priority="5008">
      <dataBar>
        <cfvo type="num" val="0"/>
        <cfvo type="num" val="1"/>
        <color theme="4" tint="0.79998168889431442"/>
      </dataBar>
      <extLst>
        <ext xmlns:x14="http://schemas.microsoft.com/office/spreadsheetml/2009/9/main" uri="{B025F937-C7B1-47D3-B67F-A62EFF666E3E}">
          <x14:id>{4EB2D2A3-F296-436E-85EC-DC443B924908}</x14:id>
        </ext>
      </extLst>
    </cfRule>
  </conditionalFormatting>
  <conditionalFormatting sqref="N1838">
    <cfRule type="dataBar" priority="5006">
      <dataBar>
        <cfvo type="num" val="0"/>
        <cfvo type="num" val="1"/>
        <color theme="4" tint="0.79998168889431442"/>
      </dataBar>
      <extLst>
        <ext xmlns:x14="http://schemas.microsoft.com/office/spreadsheetml/2009/9/main" uri="{B025F937-C7B1-47D3-B67F-A62EFF666E3E}">
          <x14:id>{95C8F78B-95A6-4FFA-A7A5-A5FE74F35393}</x14:id>
        </ext>
      </extLst>
    </cfRule>
    <cfRule type="iconSet" priority="5005">
      <iconSet iconSet="3Arrows">
        <cfvo type="percent" val="0"/>
        <cfvo type="num" val="0.7"/>
        <cfvo type="num" val="1"/>
      </iconSet>
    </cfRule>
  </conditionalFormatting>
  <conditionalFormatting sqref="N1840">
    <cfRule type="dataBar" priority="5004">
      <dataBar>
        <cfvo type="num" val="0"/>
        <cfvo type="num" val="1"/>
        <color theme="4" tint="0.79998168889431442"/>
      </dataBar>
      <extLst>
        <ext xmlns:x14="http://schemas.microsoft.com/office/spreadsheetml/2009/9/main" uri="{B025F937-C7B1-47D3-B67F-A62EFF666E3E}">
          <x14:id>{EE56B6F9-5E11-4BB5-BC66-C1F88288D842}</x14:id>
        </ext>
      </extLst>
    </cfRule>
    <cfRule type="iconSet" priority="5003">
      <iconSet iconSet="3Arrows">
        <cfvo type="percent" val="0"/>
        <cfvo type="num" val="0.7"/>
        <cfvo type="num" val="1"/>
      </iconSet>
    </cfRule>
  </conditionalFormatting>
  <conditionalFormatting sqref="N1842">
    <cfRule type="dataBar" priority="5002">
      <dataBar>
        <cfvo type="num" val="0"/>
        <cfvo type="num" val="1"/>
        <color theme="4" tint="0.79998168889431442"/>
      </dataBar>
      <extLst>
        <ext xmlns:x14="http://schemas.microsoft.com/office/spreadsheetml/2009/9/main" uri="{B025F937-C7B1-47D3-B67F-A62EFF666E3E}">
          <x14:id>{87E6AB11-2A95-43D8-B528-20B775731A50}</x14:id>
        </ext>
      </extLst>
    </cfRule>
    <cfRule type="iconSet" priority="5001">
      <iconSet iconSet="3Arrows">
        <cfvo type="percent" val="0"/>
        <cfvo type="num" val="0.7"/>
        <cfvo type="num" val="1"/>
      </iconSet>
    </cfRule>
  </conditionalFormatting>
  <conditionalFormatting sqref="N1844">
    <cfRule type="iconSet" priority="4999">
      <iconSet iconSet="3Arrows">
        <cfvo type="percent" val="0"/>
        <cfvo type="num" val="0.7"/>
        <cfvo type="num" val="1"/>
      </iconSet>
    </cfRule>
    <cfRule type="dataBar" priority="5000">
      <dataBar>
        <cfvo type="num" val="0"/>
        <cfvo type="num" val="1"/>
        <color theme="4" tint="0.79998168889431442"/>
      </dataBar>
      <extLst>
        <ext xmlns:x14="http://schemas.microsoft.com/office/spreadsheetml/2009/9/main" uri="{B025F937-C7B1-47D3-B67F-A62EFF666E3E}">
          <x14:id>{B181D8AC-8A0C-4A00-93EA-11AE5E02B333}</x14:id>
        </ext>
      </extLst>
    </cfRule>
  </conditionalFormatting>
  <conditionalFormatting sqref="N1847">
    <cfRule type="dataBar" priority="4998">
      <dataBar>
        <cfvo type="num" val="0"/>
        <cfvo type="num" val="1"/>
        <color theme="4" tint="0.79998168889431442"/>
      </dataBar>
      <extLst>
        <ext xmlns:x14="http://schemas.microsoft.com/office/spreadsheetml/2009/9/main" uri="{B025F937-C7B1-47D3-B67F-A62EFF666E3E}">
          <x14:id>{7CB683D7-3C96-49DF-9A1F-11E6A84BCC02}</x14:id>
        </ext>
      </extLst>
    </cfRule>
    <cfRule type="iconSet" priority="4997">
      <iconSet iconSet="3Arrows">
        <cfvo type="percent" val="0"/>
        <cfvo type="num" val="0.7"/>
        <cfvo type="num" val="1"/>
      </iconSet>
    </cfRule>
  </conditionalFormatting>
  <conditionalFormatting sqref="N1849">
    <cfRule type="dataBar" priority="4996">
      <dataBar>
        <cfvo type="num" val="0"/>
        <cfvo type="num" val="1"/>
        <color theme="4" tint="0.79998168889431442"/>
      </dataBar>
      <extLst>
        <ext xmlns:x14="http://schemas.microsoft.com/office/spreadsheetml/2009/9/main" uri="{B025F937-C7B1-47D3-B67F-A62EFF666E3E}">
          <x14:id>{38FFC7E7-AECE-415D-8091-79A2C5017C8A}</x14:id>
        </ext>
      </extLst>
    </cfRule>
    <cfRule type="iconSet" priority="4995">
      <iconSet iconSet="3Arrows">
        <cfvo type="percent" val="0"/>
        <cfvo type="num" val="0.7"/>
        <cfvo type="num" val="1"/>
      </iconSet>
    </cfRule>
  </conditionalFormatting>
  <conditionalFormatting sqref="N1851">
    <cfRule type="dataBar" priority="4994">
      <dataBar>
        <cfvo type="num" val="0"/>
        <cfvo type="num" val="1"/>
        <color theme="4" tint="0.79998168889431442"/>
      </dataBar>
      <extLst>
        <ext xmlns:x14="http://schemas.microsoft.com/office/spreadsheetml/2009/9/main" uri="{B025F937-C7B1-47D3-B67F-A62EFF666E3E}">
          <x14:id>{B627635B-4D3B-40A0-8C5E-6F812CDDC177}</x14:id>
        </ext>
      </extLst>
    </cfRule>
    <cfRule type="iconSet" priority="4993">
      <iconSet iconSet="3Arrows">
        <cfvo type="percent" val="0"/>
        <cfvo type="num" val="0.7"/>
        <cfvo type="num" val="1"/>
      </iconSet>
    </cfRule>
  </conditionalFormatting>
  <conditionalFormatting sqref="N1853">
    <cfRule type="iconSet" priority="4991">
      <iconSet iconSet="3Arrows">
        <cfvo type="percent" val="0"/>
        <cfvo type="num" val="0.7"/>
        <cfvo type="num" val="1"/>
      </iconSet>
    </cfRule>
    <cfRule type="dataBar" priority="4992">
      <dataBar>
        <cfvo type="num" val="0"/>
        <cfvo type="num" val="1"/>
        <color theme="4" tint="0.79998168889431442"/>
      </dataBar>
      <extLst>
        <ext xmlns:x14="http://schemas.microsoft.com/office/spreadsheetml/2009/9/main" uri="{B025F937-C7B1-47D3-B67F-A62EFF666E3E}">
          <x14:id>{7AB81B04-69B8-47F5-B028-EB726FE30EEF}</x14:id>
        </ext>
      </extLst>
    </cfRule>
  </conditionalFormatting>
  <conditionalFormatting sqref="N1855">
    <cfRule type="iconSet" priority="4989">
      <iconSet iconSet="3Arrows">
        <cfvo type="percent" val="0"/>
        <cfvo type="num" val="0.7"/>
        <cfvo type="num" val="1"/>
      </iconSet>
    </cfRule>
    <cfRule type="dataBar" priority="4990">
      <dataBar>
        <cfvo type="num" val="0"/>
        <cfvo type="num" val="1"/>
        <color theme="4" tint="0.79998168889431442"/>
      </dataBar>
      <extLst>
        <ext xmlns:x14="http://schemas.microsoft.com/office/spreadsheetml/2009/9/main" uri="{B025F937-C7B1-47D3-B67F-A62EFF666E3E}">
          <x14:id>{3466BBF1-787F-456E-A597-874A9C0A3D1C}</x14:id>
        </ext>
      </extLst>
    </cfRule>
  </conditionalFormatting>
  <conditionalFormatting sqref="N1857">
    <cfRule type="dataBar" priority="4988">
      <dataBar>
        <cfvo type="num" val="0"/>
        <cfvo type="num" val="1"/>
        <color theme="4" tint="0.79998168889431442"/>
      </dataBar>
      <extLst>
        <ext xmlns:x14="http://schemas.microsoft.com/office/spreadsheetml/2009/9/main" uri="{B025F937-C7B1-47D3-B67F-A62EFF666E3E}">
          <x14:id>{6F9030A0-E92C-43DE-8579-1FF64C7FE2D9}</x14:id>
        </ext>
      </extLst>
    </cfRule>
    <cfRule type="iconSet" priority="4987">
      <iconSet iconSet="3Arrows">
        <cfvo type="percent" val="0"/>
        <cfvo type="num" val="0.7"/>
        <cfvo type="num" val="1"/>
      </iconSet>
    </cfRule>
  </conditionalFormatting>
  <conditionalFormatting sqref="N1860">
    <cfRule type="dataBar" priority="4986">
      <dataBar>
        <cfvo type="num" val="0"/>
        <cfvo type="num" val="1"/>
        <color theme="4" tint="0.79998168889431442"/>
      </dataBar>
      <extLst>
        <ext xmlns:x14="http://schemas.microsoft.com/office/spreadsheetml/2009/9/main" uri="{B025F937-C7B1-47D3-B67F-A62EFF666E3E}">
          <x14:id>{E66B076C-D8E0-4489-9CEE-4A48960787C0}</x14:id>
        </ext>
      </extLst>
    </cfRule>
    <cfRule type="iconSet" priority="4985">
      <iconSet iconSet="3Arrows">
        <cfvo type="percent" val="0"/>
        <cfvo type="num" val="0.7"/>
        <cfvo type="num" val="1"/>
      </iconSet>
    </cfRule>
  </conditionalFormatting>
  <conditionalFormatting sqref="N1862 N1864 N1866">
    <cfRule type="dataBar" priority="4984">
      <dataBar>
        <cfvo type="num" val="0"/>
        <cfvo type="num" val="1"/>
        <color theme="4" tint="0.79998168889431442"/>
      </dataBar>
      <extLst>
        <ext xmlns:x14="http://schemas.microsoft.com/office/spreadsheetml/2009/9/main" uri="{B025F937-C7B1-47D3-B67F-A62EFF666E3E}">
          <x14:id>{BC8DC694-34D3-4B61-9BC9-0CD638BFA043}</x14:id>
        </ext>
      </extLst>
    </cfRule>
    <cfRule type="iconSet" priority="4983">
      <iconSet iconSet="3Arrows">
        <cfvo type="percent" val="0"/>
        <cfvo type="num" val="0.7"/>
        <cfvo type="num" val="1"/>
      </iconSet>
    </cfRule>
  </conditionalFormatting>
  <conditionalFormatting sqref="N1868 N1870 N1872">
    <cfRule type="dataBar" priority="4982">
      <dataBar>
        <cfvo type="num" val="0"/>
        <cfvo type="num" val="1"/>
        <color theme="4" tint="0.79998168889431442"/>
      </dataBar>
      <extLst>
        <ext xmlns:x14="http://schemas.microsoft.com/office/spreadsheetml/2009/9/main" uri="{B025F937-C7B1-47D3-B67F-A62EFF666E3E}">
          <x14:id>{7541F550-D993-41B5-AB35-C5430CE3CDCC}</x14:id>
        </ext>
      </extLst>
    </cfRule>
    <cfRule type="iconSet" priority="4981">
      <iconSet iconSet="3Arrows">
        <cfvo type="percent" val="0"/>
        <cfvo type="num" val="0.7"/>
        <cfvo type="num" val="1"/>
      </iconSet>
    </cfRule>
  </conditionalFormatting>
  <conditionalFormatting sqref="N1874 N1876 N1878">
    <cfRule type="dataBar" priority="4980">
      <dataBar>
        <cfvo type="num" val="0"/>
        <cfvo type="num" val="1"/>
        <color theme="4" tint="0.79998168889431442"/>
      </dataBar>
      <extLst>
        <ext xmlns:x14="http://schemas.microsoft.com/office/spreadsheetml/2009/9/main" uri="{B025F937-C7B1-47D3-B67F-A62EFF666E3E}">
          <x14:id>{8D121C4F-8914-4CDC-B5B1-E45F1ED3CF0B}</x14:id>
        </ext>
      </extLst>
    </cfRule>
    <cfRule type="iconSet" priority="4979">
      <iconSet iconSet="3Arrows">
        <cfvo type="percent" val="0"/>
        <cfvo type="num" val="0.7"/>
        <cfvo type="num" val="1"/>
      </iconSet>
    </cfRule>
  </conditionalFormatting>
  <conditionalFormatting sqref="N1882">
    <cfRule type="dataBar" priority="4978">
      <dataBar>
        <cfvo type="num" val="0"/>
        <cfvo type="num" val="1"/>
        <color theme="4" tint="0.79998168889431442"/>
      </dataBar>
      <extLst>
        <ext xmlns:x14="http://schemas.microsoft.com/office/spreadsheetml/2009/9/main" uri="{B025F937-C7B1-47D3-B67F-A62EFF666E3E}">
          <x14:id>{E4BDE1B8-6463-4A7F-97D1-F0548D9A6D00}</x14:id>
        </ext>
      </extLst>
    </cfRule>
    <cfRule type="iconSet" priority="4977">
      <iconSet iconSet="3Arrows">
        <cfvo type="percent" val="0"/>
        <cfvo type="num" val="0.7"/>
        <cfvo type="num" val="1"/>
      </iconSet>
    </cfRule>
  </conditionalFormatting>
  <conditionalFormatting sqref="N1884 N1894 N1886 N1888 N1890 N1892 N1896">
    <cfRule type="dataBar" priority="4976">
      <dataBar>
        <cfvo type="num" val="0"/>
        <cfvo type="num" val="1"/>
        <color theme="4" tint="0.79998168889431442"/>
      </dataBar>
      <extLst>
        <ext xmlns:x14="http://schemas.microsoft.com/office/spreadsheetml/2009/9/main" uri="{B025F937-C7B1-47D3-B67F-A62EFF666E3E}">
          <x14:id>{5D1FF86A-BB00-456D-A4FF-7AE1530F2CCA}</x14:id>
        </ext>
      </extLst>
    </cfRule>
    <cfRule type="iconSet" priority="4975">
      <iconSet iconSet="3Arrows">
        <cfvo type="percent" val="0"/>
        <cfvo type="num" val="0.7"/>
        <cfvo type="num" val="1"/>
      </iconSet>
    </cfRule>
  </conditionalFormatting>
  <conditionalFormatting sqref="N1898">
    <cfRule type="dataBar" priority="4974">
      <dataBar>
        <cfvo type="num" val="0"/>
        <cfvo type="num" val="1"/>
        <color theme="4" tint="0.79998168889431442"/>
      </dataBar>
      <extLst>
        <ext xmlns:x14="http://schemas.microsoft.com/office/spreadsheetml/2009/9/main" uri="{B025F937-C7B1-47D3-B67F-A62EFF666E3E}">
          <x14:id>{5A7C7496-504B-486F-B9CD-0AC88639637D}</x14:id>
        </ext>
      </extLst>
    </cfRule>
    <cfRule type="iconSet" priority="4973">
      <iconSet iconSet="3Arrows">
        <cfvo type="percent" val="0"/>
        <cfvo type="num" val="0.7"/>
        <cfvo type="num" val="1"/>
      </iconSet>
    </cfRule>
  </conditionalFormatting>
  <conditionalFormatting sqref="N1903">
    <cfRule type="dataBar" priority="4972">
      <dataBar>
        <cfvo type="num" val="0"/>
        <cfvo type="num" val="1"/>
        <color theme="4" tint="0.79998168889431442"/>
      </dataBar>
      <extLst>
        <ext xmlns:x14="http://schemas.microsoft.com/office/spreadsheetml/2009/9/main" uri="{B025F937-C7B1-47D3-B67F-A62EFF666E3E}">
          <x14:id>{CD0FE8F4-E2B5-4E8E-A05A-71C64406813A}</x14:id>
        </ext>
      </extLst>
    </cfRule>
    <cfRule type="iconSet" priority="4971">
      <iconSet iconSet="3Arrows">
        <cfvo type="percent" val="0"/>
        <cfvo type="num" val="0.7"/>
        <cfvo type="num" val="1"/>
      </iconSet>
    </cfRule>
  </conditionalFormatting>
  <conditionalFormatting sqref="N1907">
    <cfRule type="dataBar" priority="4970">
      <dataBar>
        <cfvo type="num" val="0"/>
        <cfvo type="num" val="1"/>
        <color theme="4" tint="0.79998168889431442"/>
      </dataBar>
      <extLst>
        <ext xmlns:x14="http://schemas.microsoft.com/office/spreadsheetml/2009/9/main" uri="{B025F937-C7B1-47D3-B67F-A62EFF666E3E}">
          <x14:id>{150D5597-D48F-4112-B120-D826BDB32597}</x14:id>
        </ext>
      </extLst>
    </cfRule>
    <cfRule type="iconSet" priority="4969">
      <iconSet iconSet="3Arrows">
        <cfvo type="percent" val="0"/>
        <cfvo type="num" val="0.7"/>
        <cfvo type="num" val="1"/>
      </iconSet>
    </cfRule>
  </conditionalFormatting>
  <conditionalFormatting sqref="N1909 N1913 N1915 N1917 N1919 N1921 N1923">
    <cfRule type="dataBar" priority="4968">
      <dataBar>
        <cfvo type="num" val="0"/>
        <cfvo type="num" val="1"/>
        <color theme="4" tint="0.79998168889431442"/>
      </dataBar>
      <extLst>
        <ext xmlns:x14="http://schemas.microsoft.com/office/spreadsheetml/2009/9/main" uri="{B025F937-C7B1-47D3-B67F-A62EFF666E3E}">
          <x14:id>{A35D67F4-DA4B-49C1-B79B-5C533F786FD1}</x14:id>
        </ext>
      </extLst>
    </cfRule>
    <cfRule type="iconSet" priority="4967">
      <iconSet iconSet="3Arrows">
        <cfvo type="percent" val="0"/>
        <cfvo type="num" val="0.7"/>
        <cfvo type="num" val="1"/>
      </iconSet>
    </cfRule>
  </conditionalFormatting>
  <conditionalFormatting sqref="N1911">
    <cfRule type="dataBar" priority="4966">
      <dataBar>
        <cfvo type="num" val="0"/>
        <cfvo type="num" val="1"/>
        <color theme="4" tint="0.79998168889431442"/>
      </dataBar>
      <extLst>
        <ext xmlns:x14="http://schemas.microsoft.com/office/spreadsheetml/2009/9/main" uri="{B025F937-C7B1-47D3-B67F-A62EFF666E3E}">
          <x14:id>{2670A2DF-E1C3-451A-A280-286BDB6A786F}</x14:id>
        </ext>
      </extLst>
    </cfRule>
    <cfRule type="iconSet" priority="4965">
      <iconSet iconSet="3Arrows">
        <cfvo type="percent" val="0"/>
        <cfvo type="num" val="0.7"/>
        <cfvo type="num" val="1"/>
      </iconSet>
    </cfRule>
  </conditionalFormatting>
  <conditionalFormatting sqref="N1925">
    <cfRule type="dataBar" priority="4964">
      <dataBar>
        <cfvo type="num" val="0"/>
        <cfvo type="num" val="1"/>
        <color theme="4" tint="0.79998168889431442"/>
      </dataBar>
      <extLst>
        <ext xmlns:x14="http://schemas.microsoft.com/office/spreadsheetml/2009/9/main" uri="{B025F937-C7B1-47D3-B67F-A62EFF666E3E}">
          <x14:id>{30F35238-26B2-45E6-A427-4DBF981D025C}</x14:id>
        </ext>
      </extLst>
    </cfRule>
    <cfRule type="iconSet" priority="4963">
      <iconSet iconSet="3Arrows">
        <cfvo type="percent" val="0"/>
        <cfvo type="num" val="0.7"/>
        <cfvo type="num" val="1"/>
      </iconSet>
    </cfRule>
  </conditionalFormatting>
  <conditionalFormatting sqref="N1927">
    <cfRule type="dataBar" priority="4962">
      <dataBar>
        <cfvo type="num" val="0"/>
        <cfvo type="num" val="1"/>
        <color theme="4" tint="0.79998168889431442"/>
      </dataBar>
      <extLst>
        <ext xmlns:x14="http://schemas.microsoft.com/office/spreadsheetml/2009/9/main" uri="{B025F937-C7B1-47D3-B67F-A62EFF666E3E}">
          <x14:id>{42A17010-AB37-4322-8FE2-B4D2E7642D8F}</x14:id>
        </ext>
      </extLst>
    </cfRule>
    <cfRule type="iconSet" priority="4961">
      <iconSet iconSet="3Arrows">
        <cfvo type="percent" val="0"/>
        <cfvo type="num" val="0.7"/>
        <cfvo type="num" val="1"/>
      </iconSet>
    </cfRule>
  </conditionalFormatting>
  <conditionalFormatting sqref="N1929">
    <cfRule type="iconSet" priority="4959">
      <iconSet iconSet="3Arrows">
        <cfvo type="percent" val="0"/>
        <cfvo type="num" val="0.7"/>
        <cfvo type="num" val="1"/>
      </iconSet>
    </cfRule>
    <cfRule type="dataBar" priority="4960">
      <dataBar>
        <cfvo type="num" val="0"/>
        <cfvo type="num" val="1"/>
        <color theme="4" tint="0.79998168889431442"/>
      </dataBar>
      <extLst>
        <ext xmlns:x14="http://schemas.microsoft.com/office/spreadsheetml/2009/9/main" uri="{B025F937-C7B1-47D3-B67F-A62EFF666E3E}">
          <x14:id>{A8246965-8B88-4E8B-807E-0409D6D7B5FF}</x14:id>
        </ext>
      </extLst>
    </cfRule>
  </conditionalFormatting>
  <conditionalFormatting sqref="N1931">
    <cfRule type="iconSet" priority="4957">
      <iconSet iconSet="3Arrows">
        <cfvo type="percent" val="0"/>
        <cfvo type="num" val="0.7"/>
        <cfvo type="num" val="1"/>
      </iconSet>
    </cfRule>
    <cfRule type="dataBar" priority="4958">
      <dataBar>
        <cfvo type="num" val="0"/>
        <cfvo type="num" val="1"/>
        <color theme="4" tint="0.79998168889431442"/>
      </dataBar>
      <extLst>
        <ext xmlns:x14="http://schemas.microsoft.com/office/spreadsheetml/2009/9/main" uri="{B025F937-C7B1-47D3-B67F-A62EFF666E3E}">
          <x14:id>{314F11E6-93FC-40F2-88E5-B50367729533}</x14:id>
        </ext>
      </extLst>
    </cfRule>
  </conditionalFormatting>
  <conditionalFormatting sqref="N1933">
    <cfRule type="iconSet" priority="4955">
      <iconSet iconSet="3Arrows">
        <cfvo type="percent" val="0"/>
        <cfvo type="num" val="0.7"/>
        <cfvo type="num" val="1"/>
      </iconSet>
    </cfRule>
    <cfRule type="dataBar" priority="4956">
      <dataBar>
        <cfvo type="num" val="0"/>
        <cfvo type="num" val="1"/>
        <color theme="4" tint="0.79998168889431442"/>
      </dataBar>
      <extLst>
        <ext xmlns:x14="http://schemas.microsoft.com/office/spreadsheetml/2009/9/main" uri="{B025F937-C7B1-47D3-B67F-A62EFF666E3E}">
          <x14:id>{DB0B5C3F-8FEA-4124-93FB-E8D78230D6E4}</x14:id>
        </ext>
      </extLst>
    </cfRule>
  </conditionalFormatting>
  <conditionalFormatting sqref="N1935">
    <cfRule type="dataBar" priority="4954">
      <dataBar>
        <cfvo type="num" val="0"/>
        <cfvo type="num" val="1"/>
        <color theme="4" tint="0.79998168889431442"/>
      </dataBar>
      <extLst>
        <ext xmlns:x14="http://schemas.microsoft.com/office/spreadsheetml/2009/9/main" uri="{B025F937-C7B1-47D3-B67F-A62EFF666E3E}">
          <x14:id>{5E42A32C-8602-42B8-A4B2-9048744966F7}</x14:id>
        </ext>
      </extLst>
    </cfRule>
    <cfRule type="iconSet" priority="4953">
      <iconSet iconSet="3Arrows">
        <cfvo type="percent" val="0"/>
        <cfvo type="num" val="0.7"/>
        <cfvo type="num" val="1"/>
      </iconSet>
    </cfRule>
  </conditionalFormatting>
  <conditionalFormatting sqref="N1937">
    <cfRule type="dataBar" priority="4952">
      <dataBar>
        <cfvo type="num" val="0"/>
        <cfvo type="num" val="1"/>
        <color theme="4" tint="0.79998168889431442"/>
      </dataBar>
      <extLst>
        <ext xmlns:x14="http://schemas.microsoft.com/office/spreadsheetml/2009/9/main" uri="{B025F937-C7B1-47D3-B67F-A62EFF666E3E}">
          <x14:id>{1BF5568C-4CA2-414D-8C14-80B3A8A5C48C}</x14:id>
        </ext>
      </extLst>
    </cfRule>
    <cfRule type="iconSet" priority="4951">
      <iconSet iconSet="3Arrows">
        <cfvo type="percent" val="0"/>
        <cfvo type="num" val="0.7"/>
        <cfvo type="num" val="1"/>
      </iconSet>
    </cfRule>
  </conditionalFormatting>
  <conditionalFormatting sqref="N1939">
    <cfRule type="dataBar" priority="4950">
      <dataBar>
        <cfvo type="num" val="0"/>
        <cfvo type="num" val="1"/>
        <color theme="4" tint="0.79998168889431442"/>
      </dataBar>
      <extLst>
        <ext xmlns:x14="http://schemas.microsoft.com/office/spreadsheetml/2009/9/main" uri="{B025F937-C7B1-47D3-B67F-A62EFF666E3E}">
          <x14:id>{B8FF3014-62F5-4992-80F9-20F84B19E35A}</x14:id>
        </ext>
      </extLst>
    </cfRule>
    <cfRule type="iconSet" priority="4949">
      <iconSet iconSet="3Arrows">
        <cfvo type="percent" val="0"/>
        <cfvo type="num" val="0.7"/>
        <cfvo type="num" val="1"/>
      </iconSet>
    </cfRule>
  </conditionalFormatting>
  <conditionalFormatting sqref="N1941">
    <cfRule type="dataBar" priority="4948">
      <dataBar>
        <cfvo type="num" val="0"/>
        <cfvo type="num" val="1"/>
        <color theme="4" tint="0.79998168889431442"/>
      </dataBar>
      <extLst>
        <ext xmlns:x14="http://schemas.microsoft.com/office/spreadsheetml/2009/9/main" uri="{B025F937-C7B1-47D3-B67F-A62EFF666E3E}">
          <x14:id>{BA0377EF-FA69-4D12-857E-662E4EF1FEC5}</x14:id>
        </ext>
      </extLst>
    </cfRule>
    <cfRule type="iconSet" priority="4947">
      <iconSet iconSet="3Arrows">
        <cfvo type="percent" val="0"/>
        <cfvo type="num" val="0.7"/>
        <cfvo type="num" val="1"/>
      </iconSet>
    </cfRule>
  </conditionalFormatting>
  <conditionalFormatting sqref="N1943">
    <cfRule type="dataBar" priority="4946">
      <dataBar>
        <cfvo type="num" val="0"/>
        <cfvo type="num" val="1"/>
        <color theme="4" tint="0.79998168889431442"/>
      </dataBar>
      <extLst>
        <ext xmlns:x14="http://schemas.microsoft.com/office/spreadsheetml/2009/9/main" uri="{B025F937-C7B1-47D3-B67F-A62EFF666E3E}">
          <x14:id>{52169D07-116E-4225-A8C8-E3F3BC833AE1}</x14:id>
        </ext>
      </extLst>
    </cfRule>
    <cfRule type="iconSet" priority="4945">
      <iconSet iconSet="3Arrows">
        <cfvo type="percent" val="0"/>
        <cfvo type="num" val="0.7"/>
        <cfvo type="num" val="1"/>
      </iconSet>
    </cfRule>
  </conditionalFormatting>
  <conditionalFormatting sqref="N1945">
    <cfRule type="iconSet" priority="4943">
      <iconSet iconSet="3Arrows">
        <cfvo type="percent" val="0"/>
        <cfvo type="num" val="0.7"/>
        <cfvo type="num" val="1"/>
      </iconSet>
    </cfRule>
    <cfRule type="dataBar" priority="4944">
      <dataBar>
        <cfvo type="num" val="0"/>
        <cfvo type="num" val="1"/>
        <color theme="4" tint="0.79998168889431442"/>
      </dataBar>
      <extLst>
        <ext xmlns:x14="http://schemas.microsoft.com/office/spreadsheetml/2009/9/main" uri="{B025F937-C7B1-47D3-B67F-A62EFF666E3E}">
          <x14:id>{629585F3-CC05-40E1-AB73-F0910DDF27FB}</x14:id>
        </ext>
      </extLst>
    </cfRule>
  </conditionalFormatting>
  <conditionalFormatting sqref="N1947">
    <cfRule type="iconSet" priority="4941">
      <iconSet iconSet="3Arrows">
        <cfvo type="percent" val="0"/>
        <cfvo type="num" val="0.7"/>
        <cfvo type="num" val="1"/>
      </iconSet>
    </cfRule>
    <cfRule type="dataBar" priority="4942">
      <dataBar>
        <cfvo type="num" val="0"/>
        <cfvo type="num" val="1"/>
        <color theme="4" tint="0.79998168889431442"/>
      </dataBar>
      <extLst>
        <ext xmlns:x14="http://schemas.microsoft.com/office/spreadsheetml/2009/9/main" uri="{B025F937-C7B1-47D3-B67F-A62EFF666E3E}">
          <x14:id>{FF59B113-D796-424A-9C7D-07A89FC7CBEF}</x14:id>
        </ext>
      </extLst>
    </cfRule>
  </conditionalFormatting>
  <conditionalFormatting sqref="N1949">
    <cfRule type="dataBar" priority="4940">
      <dataBar>
        <cfvo type="num" val="0"/>
        <cfvo type="num" val="1"/>
        <color theme="4" tint="0.79998168889431442"/>
      </dataBar>
      <extLst>
        <ext xmlns:x14="http://schemas.microsoft.com/office/spreadsheetml/2009/9/main" uri="{B025F937-C7B1-47D3-B67F-A62EFF666E3E}">
          <x14:id>{DD86D5FF-F486-485A-9736-0A82A51BC113}</x14:id>
        </ext>
      </extLst>
    </cfRule>
    <cfRule type="iconSet" priority="4939">
      <iconSet iconSet="3Arrows">
        <cfvo type="percent" val="0"/>
        <cfvo type="num" val="0.7"/>
        <cfvo type="num" val="1"/>
      </iconSet>
    </cfRule>
  </conditionalFormatting>
  <conditionalFormatting sqref="N1951">
    <cfRule type="dataBar" priority="4938">
      <dataBar>
        <cfvo type="num" val="0"/>
        <cfvo type="num" val="1"/>
        <color theme="4" tint="0.79998168889431442"/>
      </dataBar>
      <extLst>
        <ext xmlns:x14="http://schemas.microsoft.com/office/spreadsheetml/2009/9/main" uri="{B025F937-C7B1-47D3-B67F-A62EFF666E3E}">
          <x14:id>{54FCC1FD-B2AF-4BEF-8D80-D96BF72568DC}</x14:id>
        </ext>
      </extLst>
    </cfRule>
    <cfRule type="iconSet" priority="4937">
      <iconSet iconSet="3Arrows">
        <cfvo type="percent" val="0"/>
        <cfvo type="num" val="0.7"/>
        <cfvo type="num" val="1"/>
      </iconSet>
    </cfRule>
  </conditionalFormatting>
  <conditionalFormatting sqref="N1953">
    <cfRule type="dataBar" priority="4936">
      <dataBar>
        <cfvo type="num" val="0"/>
        <cfvo type="num" val="1"/>
        <color theme="4" tint="0.79998168889431442"/>
      </dataBar>
      <extLst>
        <ext xmlns:x14="http://schemas.microsoft.com/office/spreadsheetml/2009/9/main" uri="{B025F937-C7B1-47D3-B67F-A62EFF666E3E}">
          <x14:id>{5F722F22-BFB0-4301-8D16-C5C76D9DD915}</x14:id>
        </ext>
      </extLst>
    </cfRule>
    <cfRule type="iconSet" priority="4935">
      <iconSet iconSet="3Arrows">
        <cfvo type="percent" val="0"/>
        <cfvo type="num" val="0.7"/>
        <cfvo type="num" val="1"/>
      </iconSet>
    </cfRule>
  </conditionalFormatting>
  <conditionalFormatting sqref="N1955">
    <cfRule type="dataBar" priority="4934">
      <dataBar>
        <cfvo type="num" val="0"/>
        <cfvo type="num" val="1"/>
        <color theme="4" tint="0.79998168889431442"/>
      </dataBar>
      <extLst>
        <ext xmlns:x14="http://schemas.microsoft.com/office/spreadsheetml/2009/9/main" uri="{B025F937-C7B1-47D3-B67F-A62EFF666E3E}">
          <x14:id>{3E13463B-A03C-4C40-87C4-C75473A9D438}</x14:id>
        </ext>
      </extLst>
    </cfRule>
    <cfRule type="iconSet" priority="4933">
      <iconSet iconSet="3Arrows">
        <cfvo type="percent" val="0"/>
        <cfvo type="num" val="0.7"/>
        <cfvo type="num" val="1"/>
      </iconSet>
    </cfRule>
  </conditionalFormatting>
  <conditionalFormatting sqref="N1957">
    <cfRule type="dataBar" priority="4932">
      <dataBar>
        <cfvo type="num" val="0"/>
        <cfvo type="num" val="1"/>
        <color theme="4" tint="0.79998168889431442"/>
      </dataBar>
      <extLst>
        <ext xmlns:x14="http://schemas.microsoft.com/office/spreadsheetml/2009/9/main" uri="{B025F937-C7B1-47D3-B67F-A62EFF666E3E}">
          <x14:id>{34DFCC9E-714E-4860-9FD0-C516D92BEFD7}</x14:id>
        </ext>
      </extLst>
    </cfRule>
    <cfRule type="iconSet" priority="4931">
      <iconSet iconSet="3Arrows">
        <cfvo type="percent" val="0"/>
        <cfvo type="num" val="0.7"/>
        <cfvo type="num" val="1"/>
      </iconSet>
    </cfRule>
  </conditionalFormatting>
  <conditionalFormatting sqref="N1959">
    <cfRule type="dataBar" priority="4930">
      <dataBar>
        <cfvo type="num" val="0"/>
        <cfvo type="num" val="1"/>
        <color theme="4" tint="0.79998168889431442"/>
      </dataBar>
      <extLst>
        <ext xmlns:x14="http://schemas.microsoft.com/office/spreadsheetml/2009/9/main" uri="{B025F937-C7B1-47D3-B67F-A62EFF666E3E}">
          <x14:id>{DFCBAC4D-846D-45F2-82A7-B65B1A601FFE}</x14:id>
        </ext>
      </extLst>
    </cfRule>
    <cfRule type="iconSet" priority="4929">
      <iconSet iconSet="3Arrows">
        <cfvo type="percent" val="0"/>
        <cfvo type="num" val="0.7"/>
        <cfvo type="num" val="1"/>
      </iconSet>
    </cfRule>
  </conditionalFormatting>
  <conditionalFormatting sqref="N1961">
    <cfRule type="iconSet" priority="4927">
      <iconSet iconSet="3Arrows">
        <cfvo type="percent" val="0"/>
        <cfvo type="num" val="0.7"/>
        <cfvo type="num" val="1"/>
      </iconSet>
    </cfRule>
    <cfRule type="dataBar" priority="4928">
      <dataBar>
        <cfvo type="num" val="0"/>
        <cfvo type="num" val="1"/>
        <color theme="4" tint="0.79998168889431442"/>
      </dataBar>
      <extLst>
        <ext xmlns:x14="http://schemas.microsoft.com/office/spreadsheetml/2009/9/main" uri="{B025F937-C7B1-47D3-B67F-A62EFF666E3E}">
          <x14:id>{2C9719DA-E339-4673-BF6F-022E07062606}</x14:id>
        </ext>
      </extLst>
    </cfRule>
  </conditionalFormatting>
  <conditionalFormatting sqref="N1963">
    <cfRule type="iconSet" priority="4925">
      <iconSet iconSet="3Arrows">
        <cfvo type="percent" val="0"/>
        <cfvo type="num" val="0.7"/>
        <cfvo type="num" val="1"/>
      </iconSet>
    </cfRule>
    <cfRule type="dataBar" priority="4926">
      <dataBar>
        <cfvo type="num" val="0"/>
        <cfvo type="num" val="1"/>
        <color theme="4" tint="0.79998168889431442"/>
      </dataBar>
      <extLst>
        <ext xmlns:x14="http://schemas.microsoft.com/office/spreadsheetml/2009/9/main" uri="{B025F937-C7B1-47D3-B67F-A62EFF666E3E}">
          <x14:id>{FB88BFDB-7F3C-4527-B188-50A5A4778787}</x14:id>
        </ext>
      </extLst>
    </cfRule>
  </conditionalFormatting>
  <conditionalFormatting sqref="N1965">
    <cfRule type="dataBar" priority="4924">
      <dataBar>
        <cfvo type="num" val="0"/>
        <cfvo type="num" val="1"/>
        <color theme="4" tint="0.79998168889431442"/>
      </dataBar>
      <extLst>
        <ext xmlns:x14="http://schemas.microsoft.com/office/spreadsheetml/2009/9/main" uri="{B025F937-C7B1-47D3-B67F-A62EFF666E3E}">
          <x14:id>{4F231F60-2369-4618-891E-F728F4EFDB9F}</x14:id>
        </ext>
      </extLst>
    </cfRule>
    <cfRule type="iconSet" priority="4923">
      <iconSet iconSet="3Arrows">
        <cfvo type="percent" val="0"/>
        <cfvo type="num" val="0.7"/>
        <cfvo type="num" val="1"/>
      </iconSet>
    </cfRule>
  </conditionalFormatting>
  <conditionalFormatting sqref="N1967">
    <cfRule type="dataBar" priority="4922">
      <dataBar>
        <cfvo type="num" val="0"/>
        <cfvo type="num" val="1"/>
        <color theme="4" tint="0.79998168889431442"/>
      </dataBar>
      <extLst>
        <ext xmlns:x14="http://schemas.microsoft.com/office/spreadsheetml/2009/9/main" uri="{B025F937-C7B1-47D3-B67F-A62EFF666E3E}">
          <x14:id>{3F9CF89A-6906-4D9D-A030-D8A31CE02357}</x14:id>
        </ext>
      </extLst>
    </cfRule>
    <cfRule type="iconSet" priority="4921">
      <iconSet iconSet="3Arrows">
        <cfvo type="percent" val="0"/>
        <cfvo type="num" val="0.7"/>
        <cfvo type="num" val="1"/>
      </iconSet>
    </cfRule>
  </conditionalFormatting>
  <conditionalFormatting sqref="N1969">
    <cfRule type="dataBar" priority="4920">
      <dataBar>
        <cfvo type="num" val="0"/>
        <cfvo type="num" val="1"/>
        <color theme="4" tint="0.79998168889431442"/>
      </dataBar>
      <extLst>
        <ext xmlns:x14="http://schemas.microsoft.com/office/spreadsheetml/2009/9/main" uri="{B025F937-C7B1-47D3-B67F-A62EFF666E3E}">
          <x14:id>{785F7B03-DCA8-4DDA-94DF-ED13AE821CFE}</x14:id>
        </ext>
      </extLst>
    </cfRule>
    <cfRule type="iconSet" priority="4919">
      <iconSet iconSet="3Arrows">
        <cfvo type="percent" val="0"/>
        <cfvo type="num" val="0.7"/>
        <cfvo type="num" val="1"/>
      </iconSet>
    </cfRule>
  </conditionalFormatting>
  <conditionalFormatting sqref="N1971">
    <cfRule type="dataBar" priority="4918">
      <dataBar>
        <cfvo type="num" val="0"/>
        <cfvo type="num" val="1"/>
        <color theme="4" tint="0.79998168889431442"/>
      </dataBar>
      <extLst>
        <ext xmlns:x14="http://schemas.microsoft.com/office/spreadsheetml/2009/9/main" uri="{B025F937-C7B1-47D3-B67F-A62EFF666E3E}">
          <x14:id>{27DDC904-E172-4531-97BE-FC4927AE2C0C}</x14:id>
        </ext>
      </extLst>
    </cfRule>
    <cfRule type="iconSet" priority="4917">
      <iconSet iconSet="3Arrows">
        <cfvo type="percent" val="0"/>
        <cfvo type="num" val="0.7"/>
        <cfvo type="num" val="1"/>
      </iconSet>
    </cfRule>
  </conditionalFormatting>
  <conditionalFormatting sqref="N1973">
    <cfRule type="dataBar" priority="4916">
      <dataBar>
        <cfvo type="num" val="0"/>
        <cfvo type="num" val="1"/>
        <color theme="4" tint="0.79998168889431442"/>
      </dataBar>
      <extLst>
        <ext xmlns:x14="http://schemas.microsoft.com/office/spreadsheetml/2009/9/main" uri="{B025F937-C7B1-47D3-B67F-A62EFF666E3E}">
          <x14:id>{969DD699-7C67-43CA-A82F-1D585A0A3111}</x14:id>
        </ext>
      </extLst>
    </cfRule>
    <cfRule type="iconSet" priority="4915">
      <iconSet iconSet="3Arrows">
        <cfvo type="percent" val="0"/>
        <cfvo type="num" val="0.7"/>
        <cfvo type="num" val="1"/>
      </iconSet>
    </cfRule>
  </conditionalFormatting>
  <conditionalFormatting sqref="N1975">
    <cfRule type="dataBar" priority="4914">
      <dataBar>
        <cfvo type="num" val="0"/>
        <cfvo type="num" val="1"/>
        <color theme="4" tint="0.79998168889431442"/>
      </dataBar>
      <extLst>
        <ext xmlns:x14="http://schemas.microsoft.com/office/spreadsheetml/2009/9/main" uri="{B025F937-C7B1-47D3-B67F-A62EFF666E3E}">
          <x14:id>{D1E9B008-CC9A-46E2-A44C-14988C234BDD}</x14:id>
        </ext>
      </extLst>
    </cfRule>
    <cfRule type="iconSet" priority="4913">
      <iconSet iconSet="3Arrows">
        <cfvo type="percent" val="0"/>
        <cfvo type="num" val="0.7"/>
        <cfvo type="num" val="1"/>
      </iconSet>
    </cfRule>
  </conditionalFormatting>
  <conditionalFormatting sqref="N1977">
    <cfRule type="dataBar" priority="4912">
      <dataBar>
        <cfvo type="num" val="0"/>
        <cfvo type="num" val="1"/>
        <color theme="4" tint="0.79998168889431442"/>
      </dataBar>
      <extLst>
        <ext xmlns:x14="http://schemas.microsoft.com/office/spreadsheetml/2009/9/main" uri="{B025F937-C7B1-47D3-B67F-A62EFF666E3E}">
          <x14:id>{DAE1AEB0-6633-4933-BF26-46421CC79532}</x14:id>
        </ext>
      </extLst>
    </cfRule>
    <cfRule type="iconSet" priority="4911">
      <iconSet iconSet="3Arrows">
        <cfvo type="percent" val="0"/>
        <cfvo type="num" val="0.7"/>
        <cfvo type="num" val="1"/>
      </iconSet>
    </cfRule>
  </conditionalFormatting>
  <conditionalFormatting sqref="N1979">
    <cfRule type="dataBar" priority="4910">
      <dataBar>
        <cfvo type="num" val="0"/>
        <cfvo type="num" val="1"/>
        <color theme="4" tint="0.79998168889431442"/>
      </dataBar>
      <extLst>
        <ext xmlns:x14="http://schemas.microsoft.com/office/spreadsheetml/2009/9/main" uri="{B025F937-C7B1-47D3-B67F-A62EFF666E3E}">
          <x14:id>{8D9C5EF7-BFFA-48B3-9ADE-00C69F44970E}</x14:id>
        </ext>
      </extLst>
    </cfRule>
    <cfRule type="iconSet" priority="4909">
      <iconSet iconSet="3Arrows">
        <cfvo type="percent" val="0"/>
        <cfvo type="num" val="0.7"/>
        <cfvo type="num" val="1"/>
      </iconSet>
    </cfRule>
  </conditionalFormatting>
  <conditionalFormatting sqref="N1981">
    <cfRule type="dataBar" priority="4908">
      <dataBar>
        <cfvo type="num" val="0"/>
        <cfvo type="num" val="1"/>
        <color theme="4" tint="0.79998168889431442"/>
      </dataBar>
      <extLst>
        <ext xmlns:x14="http://schemas.microsoft.com/office/spreadsheetml/2009/9/main" uri="{B025F937-C7B1-47D3-B67F-A62EFF666E3E}">
          <x14:id>{C682C790-05F8-47AB-BF7E-CA007978062F}</x14:id>
        </ext>
      </extLst>
    </cfRule>
    <cfRule type="iconSet" priority="4907">
      <iconSet iconSet="3Arrows">
        <cfvo type="percent" val="0"/>
        <cfvo type="num" val="0.7"/>
        <cfvo type="num" val="1"/>
      </iconSet>
    </cfRule>
  </conditionalFormatting>
  <conditionalFormatting sqref="N1983">
    <cfRule type="dataBar" priority="4906">
      <dataBar>
        <cfvo type="num" val="0"/>
        <cfvo type="num" val="1"/>
        <color theme="4" tint="0.79998168889431442"/>
      </dataBar>
      <extLst>
        <ext xmlns:x14="http://schemas.microsoft.com/office/spreadsheetml/2009/9/main" uri="{B025F937-C7B1-47D3-B67F-A62EFF666E3E}">
          <x14:id>{8D3964CB-8FF9-41ED-927C-E248E343AA0D}</x14:id>
        </ext>
      </extLst>
    </cfRule>
    <cfRule type="iconSet" priority="4905">
      <iconSet iconSet="3Arrows">
        <cfvo type="percent" val="0"/>
        <cfvo type="num" val="0.7"/>
        <cfvo type="num" val="1"/>
      </iconSet>
    </cfRule>
  </conditionalFormatting>
  <conditionalFormatting sqref="N1985">
    <cfRule type="dataBar" priority="4904">
      <dataBar>
        <cfvo type="num" val="0"/>
        <cfvo type="num" val="1"/>
        <color theme="4" tint="0.79998168889431442"/>
      </dataBar>
      <extLst>
        <ext xmlns:x14="http://schemas.microsoft.com/office/spreadsheetml/2009/9/main" uri="{B025F937-C7B1-47D3-B67F-A62EFF666E3E}">
          <x14:id>{8F4B663F-70B1-48FB-B874-D0B70503E3FC}</x14:id>
        </ext>
      </extLst>
    </cfRule>
    <cfRule type="iconSet" priority="4903">
      <iconSet iconSet="3Arrows">
        <cfvo type="percent" val="0"/>
        <cfvo type="num" val="0.7"/>
        <cfvo type="num" val="1"/>
      </iconSet>
    </cfRule>
  </conditionalFormatting>
  <conditionalFormatting sqref="N1987">
    <cfRule type="dataBar" priority="4902">
      <dataBar>
        <cfvo type="num" val="0"/>
        <cfvo type="num" val="1"/>
        <color theme="4" tint="0.79998168889431442"/>
      </dataBar>
      <extLst>
        <ext xmlns:x14="http://schemas.microsoft.com/office/spreadsheetml/2009/9/main" uri="{B025F937-C7B1-47D3-B67F-A62EFF666E3E}">
          <x14:id>{8DA04BCF-5700-40BE-B239-77853F9BAFF1}</x14:id>
        </ext>
      </extLst>
    </cfRule>
    <cfRule type="iconSet" priority="4901">
      <iconSet iconSet="3Arrows">
        <cfvo type="percent" val="0"/>
        <cfvo type="num" val="0.7"/>
        <cfvo type="num" val="1"/>
      </iconSet>
    </cfRule>
  </conditionalFormatting>
  <conditionalFormatting sqref="N1989">
    <cfRule type="dataBar" priority="4900">
      <dataBar>
        <cfvo type="num" val="0"/>
        <cfvo type="num" val="1"/>
        <color theme="4" tint="0.79998168889431442"/>
      </dataBar>
      <extLst>
        <ext xmlns:x14="http://schemas.microsoft.com/office/spreadsheetml/2009/9/main" uri="{B025F937-C7B1-47D3-B67F-A62EFF666E3E}">
          <x14:id>{255C9E16-8A91-4F93-AD1E-75F5528BF6AA}</x14:id>
        </ext>
      </extLst>
    </cfRule>
    <cfRule type="iconSet" priority="4899">
      <iconSet iconSet="3Arrows">
        <cfvo type="percent" val="0"/>
        <cfvo type="num" val="0.7"/>
        <cfvo type="num" val="1"/>
      </iconSet>
    </cfRule>
  </conditionalFormatting>
  <conditionalFormatting sqref="N1991">
    <cfRule type="dataBar" priority="4898">
      <dataBar>
        <cfvo type="num" val="0"/>
        <cfvo type="num" val="1"/>
        <color theme="4" tint="0.79998168889431442"/>
      </dataBar>
      <extLst>
        <ext xmlns:x14="http://schemas.microsoft.com/office/spreadsheetml/2009/9/main" uri="{B025F937-C7B1-47D3-B67F-A62EFF666E3E}">
          <x14:id>{849630AA-681D-429B-98E9-FFB3FAEDF671}</x14:id>
        </ext>
      </extLst>
    </cfRule>
    <cfRule type="iconSet" priority="4897">
      <iconSet iconSet="3Arrows">
        <cfvo type="percent" val="0"/>
        <cfvo type="num" val="0.7"/>
        <cfvo type="num" val="1"/>
      </iconSet>
    </cfRule>
  </conditionalFormatting>
  <conditionalFormatting sqref="N1993">
    <cfRule type="dataBar" priority="4896">
      <dataBar>
        <cfvo type="num" val="0"/>
        <cfvo type="num" val="1"/>
        <color theme="4" tint="0.79998168889431442"/>
      </dataBar>
      <extLst>
        <ext xmlns:x14="http://schemas.microsoft.com/office/spreadsheetml/2009/9/main" uri="{B025F937-C7B1-47D3-B67F-A62EFF666E3E}">
          <x14:id>{867547E8-2B12-4088-ACCA-7FA299B1ED54}</x14:id>
        </ext>
      </extLst>
    </cfRule>
    <cfRule type="iconSet" priority="4895">
      <iconSet iconSet="3Arrows">
        <cfvo type="percent" val="0"/>
        <cfvo type="num" val="0.7"/>
        <cfvo type="num" val="1"/>
      </iconSet>
    </cfRule>
  </conditionalFormatting>
  <conditionalFormatting sqref="N1995">
    <cfRule type="iconSet" priority="4893">
      <iconSet iconSet="3Arrows">
        <cfvo type="percent" val="0"/>
        <cfvo type="num" val="0.7"/>
        <cfvo type="num" val="1"/>
      </iconSet>
    </cfRule>
    <cfRule type="dataBar" priority="4894">
      <dataBar>
        <cfvo type="num" val="0"/>
        <cfvo type="num" val="1"/>
        <color theme="4" tint="0.79998168889431442"/>
      </dataBar>
      <extLst>
        <ext xmlns:x14="http://schemas.microsoft.com/office/spreadsheetml/2009/9/main" uri="{B025F937-C7B1-47D3-B67F-A62EFF666E3E}">
          <x14:id>{ED175410-5E7A-4145-93C4-9A948BF51FB0}</x14:id>
        </ext>
      </extLst>
    </cfRule>
  </conditionalFormatting>
  <conditionalFormatting sqref="N1998">
    <cfRule type="iconSet" priority="4891">
      <iconSet iconSet="3Arrows">
        <cfvo type="percent" val="0"/>
        <cfvo type="num" val="0.7"/>
        <cfvo type="num" val="1"/>
      </iconSet>
    </cfRule>
    <cfRule type="dataBar" priority="4892">
      <dataBar>
        <cfvo type="num" val="0"/>
        <cfvo type="num" val="1"/>
        <color theme="4" tint="0.79998168889431442"/>
      </dataBar>
      <extLst>
        <ext xmlns:x14="http://schemas.microsoft.com/office/spreadsheetml/2009/9/main" uri="{B025F937-C7B1-47D3-B67F-A62EFF666E3E}">
          <x14:id>{2D01CD6A-D93F-41AB-BBB2-C357C3848823}</x14:id>
        </ext>
      </extLst>
    </cfRule>
  </conditionalFormatting>
  <conditionalFormatting sqref="N2000 N2002 N2004 N2006 N2008">
    <cfRule type="dataBar" priority="4890">
      <dataBar>
        <cfvo type="num" val="0"/>
        <cfvo type="num" val="1"/>
        <color theme="4" tint="0.79998168889431442"/>
      </dataBar>
      <extLst>
        <ext xmlns:x14="http://schemas.microsoft.com/office/spreadsheetml/2009/9/main" uri="{B025F937-C7B1-47D3-B67F-A62EFF666E3E}">
          <x14:id>{E57E83BB-39C2-43F1-9706-42C213DE8A31}</x14:id>
        </ext>
      </extLst>
    </cfRule>
    <cfRule type="iconSet" priority="4889">
      <iconSet iconSet="3Arrows">
        <cfvo type="percent" val="0"/>
        <cfvo type="num" val="0.7"/>
        <cfvo type="num" val="1"/>
      </iconSet>
    </cfRule>
  </conditionalFormatting>
  <conditionalFormatting sqref="N2010 N2012 N2014 N2016 N2018">
    <cfRule type="dataBar" priority="4888">
      <dataBar>
        <cfvo type="num" val="0"/>
        <cfvo type="num" val="1"/>
        <color theme="4" tint="0.79998168889431442"/>
      </dataBar>
      <extLst>
        <ext xmlns:x14="http://schemas.microsoft.com/office/spreadsheetml/2009/9/main" uri="{B025F937-C7B1-47D3-B67F-A62EFF666E3E}">
          <x14:id>{DF4580C2-5547-4914-B1B5-B60C117E0FEC}</x14:id>
        </ext>
      </extLst>
    </cfRule>
    <cfRule type="iconSet" priority="4887">
      <iconSet iconSet="3Arrows">
        <cfvo type="percent" val="0"/>
        <cfvo type="num" val="0.7"/>
        <cfvo type="num" val="1"/>
      </iconSet>
    </cfRule>
  </conditionalFormatting>
  <conditionalFormatting sqref="N2020 N2022 N2024 N2026 N2028">
    <cfRule type="dataBar" priority="4886">
      <dataBar>
        <cfvo type="num" val="0"/>
        <cfvo type="num" val="1"/>
        <color theme="4" tint="0.79998168889431442"/>
      </dataBar>
      <extLst>
        <ext xmlns:x14="http://schemas.microsoft.com/office/spreadsheetml/2009/9/main" uri="{B025F937-C7B1-47D3-B67F-A62EFF666E3E}">
          <x14:id>{9A394D72-186F-4C06-A91B-0A512D63E2D6}</x14:id>
        </ext>
      </extLst>
    </cfRule>
    <cfRule type="iconSet" priority="4885">
      <iconSet iconSet="3Arrows">
        <cfvo type="percent" val="0"/>
        <cfvo type="num" val="0.7"/>
        <cfvo type="num" val="1"/>
      </iconSet>
    </cfRule>
  </conditionalFormatting>
  <conditionalFormatting sqref="N2030 N2032 N2034 N2036 N2038">
    <cfRule type="dataBar" priority="4884">
      <dataBar>
        <cfvo type="num" val="0"/>
        <cfvo type="num" val="1"/>
        <color theme="4" tint="0.79998168889431442"/>
      </dataBar>
      <extLst>
        <ext xmlns:x14="http://schemas.microsoft.com/office/spreadsheetml/2009/9/main" uri="{B025F937-C7B1-47D3-B67F-A62EFF666E3E}">
          <x14:id>{7C65EB3D-FD4A-4D50-8366-57FF7387B6D4}</x14:id>
        </ext>
      </extLst>
    </cfRule>
    <cfRule type="iconSet" priority="4883">
      <iconSet iconSet="3Arrows">
        <cfvo type="percent" val="0"/>
        <cfvo type="num" val="0.7"/>
        <cfvo type="num" val="1"/>
      </iconSet>
    </cfRule>
  </conditionalFormatting>
  <conditionalFormatting sqref="N2040 N2042 N2044 N2046 N2048">
    <cfRule type="dataBar" priority="4882">
      <dataBar>
        <cfvo type="num" val="0"/>
        <cfvo type="num" val="1"/>
        <color theme="4" tint="0.79998168889431442"/>
      </dataBar>
      <extLst>
        <ext xmlns:x14="http://schemas.microsoft.com/office/spreadsheetml/2009/9/main" uri="{B025F937-C7B1-47D3-B67F-A62EFF666E3E}">
          <x14:id>{79882E8C-6D5C-492E-BA06-C959488A90C9}</x14:id>
        </ext>
      </extLst>
    </cfRule>
    <cfRule type="iconSet" priority="4881">
      <iconSet iconSet="3Arrows">
        <cfvo type="percent" val="0"/>
        <cfvo type="num" val="0.7"/>
        <cfvo type="num" val="1"/>
      </iconSet>
    </cfRule>
  </conditionalFormatting>
  <conditionalFormatting sqref="N2050 N2052 N2054 N2056 N2058">
    <cfRule type="dataBar" priority="4880">
      <dataBar>
        <cfvo type="num" val="0"/>
        <cfvo type="num" val="1"/>
        <color theme="4" tint="0.79998168889431442"/>
      </dataBar>
      <extLst>
        <ext xmlns:x14="http://schemas.microsoft.com/office/spreadsheetml/2009/9/main" uri="{B025F937-C7B1-47D3-B67F-A62EFF666E3E}">
          <x14:id>{B0249EC6-8E68-408C-8227-35DFC4068D17}</x14:id>
        </ext>
      </extLst>
    </cfRule>
    <cfRule type="iconSet" priority="4879">
      <iconSet iconSet="3Arrows">
        <cfvo type="percent" val="0"/>
        <cfvo type="num" val="0.7"/>
        <cfvo type="num" val="1"/>
      </iconSet>
    </cfRule>
  </conditionalFormatting>
  <conditionalFormatting sqref="N2060 N2062 N2064 N2066 N2068">
    <cfRule type="iconSet" priority="4877">
      <iconSet iconSet="3Arrows">
        <cfvo type="percent" val="0"/>
        <cfvo type="num" val="0.7"/>
        <cfvo type="num" val="1"/>
      </iconSet>
    </cfRule>
    <cfRule type="dataBar" priority="4878">
      <dataBar>
        <cfvo type="num" val="0"/>
        <cfvo type="num" val="1"/>
        <color theme="4" tint="0.79998168889431442"/>
      </dataBar>
      <extLst>
        <ext xmlns:x14="http://schemas.microsoft.com/office/spreadsheetml/2009/9/main" uri="{B025F937-C7B1-47D3-B67F-A62EFF666E3E}">
          <x14:id>{E1644581-5038-495C-844A-261FC76BFF87}</x14:id>
        </ext>
      </extLst>
    </cfRule>
  </conditionalFormatting>
  <conditionalFormatting sqref="N2070 N2074 N2072 N2076">
    <cfRule type="dataBar" priority="4876">
      <dataBar>
        <cfvo type="num" val="0"/>
        <cfvo type="num" val="1"/>
        <color theme="4" tint="0.79998168889431442"/>
      </dataBar>
      <extLst>
        <ext xmlns:x14="http://schemas.microsoft.com/office/spreadsheetml/2009/9/main" uri="{B025F937-C7B1-47D3-B67F-A62EFF666E3E}">
          <x14:id>{7E464390-1D18-4209-9405-6C2B4715EA21}</x14:id>
        </ext>
      </extLst>
    </cfRule>
    <cfRule type="iconSet" priority="4875">
      <iconSet iconSet="3Arrows">
        <cfvo type="percent" val="0"/>
        <cfvo type="num" val="0.7"/>
        <cfvo type="num" val="1"/>
      </iconSet>
    </cfRule>
  </conditionalFormatting>
  <conditionalFormatting sqref="N2078">
    <cfRule type="dataBar" priority="4874">
      <dataBar>
        <cfvo type="num" val="0"/>
        <cfvo type="num" val="1"/>
        <color theme="4" tint="0.79998168889431442"/>
      </dataBar>
      <extLst>
        <ext xmlns:x14="http://schemas.microsoft.com/office/spreadsheetml/2009/9/main" uri="{B025F937-C7B1-47D3-B67F-A62EFF666E3E}">
          <x14:id>{A18EBF61-AC33-48B4-90A8-FB2CFB90877E}</x14:id>
        </ext>
      </extLst>
    </cfRule>
    <cfRule type="iconSet" priority="4873">
      <iconSet iconSet="3Arrows">
        <cfvo type="percent" val="0"/>
        <cfvo type="num" val="0.7"/>
        <cfvo type="num" val="1"/>
      </iconSet>
    </cfRule>
  </conditionalFormatting>
  <conditionalFormatting sqref="N2080">
    <cfRule type="dataBar" priority="4872">
      <dataBar>
        <cfvo type="num" val="0"/>
        <cfvo type="num" val="1"/>
        <color theme="4" tint="0.79998168889431442"/>
      </dataBar>
      <extLst>
        <ext xmlns:x14="http://schemas.microsoft.com/office/spreadsheetml/2009/9/main" uri="{B025F937-C7B1-47D3-B67F-A62EFF666E3E}">
          <x14:id>{97E1F158-38CD-4C60-BCD7-7DCA0E43DC3C}</x14:id>
        </ext>
      </extLst>
    </cfRule>
    <cfRule type="iconSet" priority="4871">
      <iconSet iconSet="3Arrows">
        <cfvo type="percent" val="0"/>
        <cfvo type="num" val="0.7"/>
        <cfvo type="num" val="1"/>
      </iconSet>
    </cfRule>
  </conditionalFormatting>
  <conditionalFormatting sqref="N2084">
    <cfRule type="iconSet" priority="4869">
      <iconSet iconSet="3Arrows">
        <cfvo type="percent" val="0"/>
        <cfvo type="num" val="0.7"/>
        <cfvo type="num" val="1"/>
      </iconSet>
    </cfRule>
    <cfRule type="dataBar" priority="4870">
      <dataBar>
        <cfvo type="num" val="0"/>
        <cfvo type="num" val="1"/>
        <color theme="4" tint="0.79998168889431442"/>
      </dataBar>
      <extLst>
        <ext xmlns:x14="http://schemas.microsoft.com/office/spreadsheetml/2009/9/main" uri="{B025F937-C7B1-47D3-B67F-A62EFF666E3E}">
          <x14:id>{324E0EEB-92E2-460E-9F16-D712C56710AC}</x14:id>
        </ext>
      </extLst>
    </cfRule>
  </conditionalFormatting>
  <conditionalFormatting sqref="N2086 N2088">
    <cfRule type="dataBar" priority="4868">
      <dataBar>
        <cfvo type="num" val="0"/>
        <cfvo type="num" val="1"/>
        <color theme="4" tint="0.79998168889431442"/>
      </dataBar>
      <extLst>
        <ext xmlns:x14="http://schemas.microsoft.com/office/spreadsheetml/2009/9/main" uri="{B025F937-C7B1-47D3-B67F-A62EFF666E3E}">
          <x14:id>{4A2FAE37-8ECA-424D-BEA7-074B457B9DAC}</x14:id>
        </ext>
      </extLst>
    </cfRule>
    <cfRule type="iconSet" priority="4867">
      <iconSet iconSet="3Arrows">
        <cfvo type="percent" val="0"/>
        <cfvo type="num" val="0.7"/>
        <cfvo type="num" val="1"/>
      </iconSet>
    </cfRule>
  </conditionalFormatting>
  <conditionalFormatting sqref="N2090">
    <cfRule type="dataBar" priority="4866">
      <dataBar>
        <cfvo type="num" val="0"/>
        <cfvo type="num" val="1"/>
        <color theme="4" tint="0.79998168889431442"/>
      </dataBar>
      <extLst>
        <ext xmlns:x14="http://schemas.microsoft.com/office/spreadsheetml/2009/9/main" uri="{B025F937-C7B1-47D3-B67F-A62EFF666E3E}">
          <x14:id>{D664BCA4-13B8-452E-8D7D-C823A2E1CD86}</x14:id>
        </ext>
      </extLst>
    </cfRule>
    <cfRule type="iconSet" priority="4865">
      <iconSet iconSet="3Arrows">
        <cfvo type="percent" val="0"/>
        <cfvo type="num" val="0.7"/>
        <cfvo type="num" val="1"/>
      </iconSet>
    </cfRule>
  </conditionalFormatting>
  <conditionalFormatting sqref="N2092 N2094">
    <cfRule type="dataBar" priority="4864">
      <dataBar>
        <cfvo type="num" val="0"/>
        <cfvo type="num" val="1"/>
        <color theme="4" tint="0.79998168889431442"/>
      </dataBar>
      <extLst>
        <ext xmlns:x14="http://schemas.microsoft.com/office/spreadsheetml/2009/9/main" uri="{B025F937-C7B1-47D3-B67F-A62EFF666E3E}">
          <x14:id>{9916A03D-8804-499B-A9B3-E95827875A65}</x14:id>
        </ext>
      </extLst>
    </cfRule>
    <cfRule type="iconSet" priority="4863">
      <iconSet iconSet="3Arrows">
        <cfvo type="percent" val="0"/>
        <cfvo type="num" val="0.7"/>
        <cfvo type="num" val="1"/>
      </iconSet>
    </cfRule>
  </conditionalFormatting>
  <conditionalFormatting sqref="N2096">
    <cfRule type="iconSet" priority="4861">
      <iconSet iconSet="3Arrows">
        <cfvo type="percent" val="0"/>
        <cfvo type="num" val="0.7"/>
        <cfvo type="num" val="1"/>
      </iconSet>
    </cfRule>
    <cfRule type="dataBar" priority="4862">
      <dataBar>
        <cfvo type="num" val="0"/>
        <cfvo type="num" val="1"/>
        <color theme="4" tint="0.79998168889431442"/>
      </dataBar>
      <extLst>
        <ext xmlns:x14="http://schemas.microsoft.com/office/spreadsheetml/2009/9/main" uri="{B025F937-C7B1-47D3-B67F-A62EFF666E3E}">
          <x14:id>{C13AAB99-B87C-4C6B-B492-16CCFD0FA0B8}</x14:id>
        </ext>
      </extLst>
    </cfRule>
  </conditionalFormatting>
  <conditionalFormatting sqref="N2098">
    <cfRule type="iconSet" priority="4859">
      <iconSet iconSet="3Arrows">
        <cfvo type="percent" val="0"/>
        <cfvo type="num" val="0.7"/>
        <cfvo type="num" val="1"/>
      </iconSet>
    </cfRule>
    <cfRule type="dataBar" priority="4860">
      <dataBar>
        <cfvo type="num" val="0"/>
        <cfvo type="num" val="1"/>
        <color theme="4" tint="0.79998168889431442"/>
      </dataBar>
      <extLst>
        <ext xmlns:x14="http://schemas.microsoft.com/office/spreadsheetml/2009/9/main" uri="{B025F937-C7B1-47D3-B67F-A62EFF666E3E}">
          <x14:id>{05684B58-A86D-45D6-9611-2689CC18702B}</x14:id>
        </ext>
      </extLst>
    </cfRule>
  </conditionalFormatting>
  <conditionalFormatting sqref="N2100">
    <cfRule type="dataBar" priority="4858">
      <dataBar>
        <cfvo type="num" val="0"/>
        <cfvo type="num" val="1"/>
        <color theme="4" tint="0.79998168889431442"/>
      </dataBar>
      <extLst>
        <ext xmlns:x14="http://schemas.microsoft.com/office/spreadsheetml/2009/9/main" uri="{B025F937-C7B1-47D3-B67F-A62EFF666E3E}">
          <x14:id>{E55EF0A2-EA40-4635-B597-3680622EE2AD}</x14:id>
        </ext>
      </extLst>
    </cfRule>
    <cfRule type="iconSet" priority="4857">
      <iconSet iconSet="3Arrows">
        <cfvo type="percent" val="0"/>
        <cfvo type="num" val="0.7"/>
        <cfvo type="num" val="1"/>
      </iconSet>
    </cfRule>
  </conditionalFormatting>
  <conditionalFormatting sqref="N2102 N2104">
    <cfRule type="dataBar" priority="4856">
      <dataBar>
        <cfvo type="num" val="0"/>
        <cfvo type="num" val="1"/>
        <color theme="4" tint="0.79998168889431442"/>
      </dataBar>
      <extLst>
        <ext xmlns:x14="http://schemas.microsoft.com/office/spreadsheetml/2009/9/main" uri="{B025F937-C7B1-47D3-B67F-A62EFF666E3E}">
          <x14:id>{543730E5-896A-44C2-B801-BF60AE79A915}</x14:id>
        </ext>
      </extLst>
    </cfRule>
    <cfRule type="iconSet" priority="4855">
      <iconSet iconSet="3Arrows">
        <cfvo type="percent" val="0"/>
        <cfvo type="num" val="0.7"/>
        <cfvo type="num" val="1"/>
      </iconSet>
    </cfRule>
  </conditionalFormatting>
  <conditionalFormatting sqref="N2106">
    <cfRule type="dataBar" priority="4854">
      <dataBar>
        <cfvo type="num" val="0"/>
        <cfvo type="num" val="1"/>
        <color theme="4" tint="0.79998168889431442"/>
      </dataBar>
      <extLst>
        <ext xmlns:x14="http://schemas.microsoft.com/office/spreadsheetml/2009/9/main" uri="{B025F937-C7B1-47D3-B67F-A62EFF666E3E}">
          <x14:id>{A4CCA9AA-8C23-4464-80BE-C37EF596BB41}</x14:id>
        </ext>
      </extLst>
    </cfRule>
    <cfRule type="iconSet" priority="4853">
      <iconSet iconSet="3Arrows">
        <cfvo type="percent" val="0"/>
        <cfvo type="num" val="0.7"/>
        <cfvo type="num" val="1"/>
      </iconSet>
    </cfRule>
  </conditionalFormatting>
  <conditionalFormatting sqref="N2108">
    <cfRule type="dataBar" priority="4852">
      <dataBar>
        <cfvo type="num" val="0"/>
        <cfvo type="num" val="1"/>
        <color theme="4" tint="0.79998168889431442"/>
      </dataBar>
      <extLst>
        <ext xmlns:x14="http://schemas.microsoft.com/office/spreadsheetml/2009/9/main" uri="{B025F937-C7B1-47D3-B67F-A62EFF666E3E}">
          <x14:id>{8B33C0F6-1E8A-456E-8486-BA776EB54F61}</x14:id>
        </ext>
      </extLst>
    </cfRule>
    <cfRule type="iconSet" priority="4851">
      <iconSet iconSet="3Arrows">
        <cfvo type="percent" val="0"/>
        <cfvo type="num" val="0.7"/>
        <cfvo type="num" val="1"/>
      </iconSet>
    </cfRule>
  </conditionalFormatting>
  <conditionalFormatting sqref="N2110 N2112">
    <cfRule type="dataBar" priority="4850">
      <dataBar>
        <cfvo type="num" val="0"/>
        <cfvo type="num" val="1"/>
        <color theme="4" tint="0.79998168889431442"/>
      </dataBar>
      <extLst>
        <ext xmlns:x14="http://schemas.microsoft.com/office/spreadsheetml/2009/9/main" uri="{B025F937-C7B1-47D3-B67F-A62EFF666E3E}">
          <x14:id>{888A3959-59D9-4CC3-9138-FE4805F377EF}</x14:id>
        </ext>
      </extLst>
    </cfRule>
    <cfRule type="iconSet" priority="4849">
      <iconSet iconSet="3Arrows">
        <cfvo type="percent" val="0"/>
        <cfvo type="num" val="0.7"/>
        <cfvo type="num" val="1"/>
      </iconSet>
    </cfRule>
  </conditionalFormatting>
  <conditionalFormatting sqref="N2114">
    <cfRule type="dataBar" priority="4848">
      <dataBar>
        <cfvo type="num" val="0"/>
        <cfvo type="num" val="1"/>
        <color theme="4" tint="0.79998168889431442"/>
      </dataBar>
      <extLst>
        <ext xmlns:x14="http://schemas.microsoft.com/office/spreadsheetml/2009/9/main" uri="{B025F937-C7B1-47D3-B67F-A62EFF666E3E}">
          <x14:id>{B9CC070A-95F1-485C-BF20-B52930720332}</x14:id>
        </ext>
      </extLst>
    </cfRule>
    <cfRule type="iconSet" priority="4847">
      <iconSet iconSet="3Arrows">
        <cfvo type="percent" val="0"/>
        <cfvo type="num" val="0.7"/>
        <cfvo type="num" val="1"/>
      </iconSet>
    </cfRule>
  </conditionalFormatting>
  <conditionalFormatting sqref="N2116">
    <cfRule type="dataBar" priority="4846">
      <dataBar>
        <cfvo type="num" val="0"/>
        <cfvo type="num" val="1"/>
        <color theme="4" tint="0.79998168889431442"/>
      </dataBar>
      <extLst>
        <ext xmlns:x14="http://schemas.microsoft.com/office/spreadsheetml/2009/9/main" uri="{B025F937-C7B1-47D3-B67F-A62EFF666E3E}">
          <x14:id>{60F6A875-AC6D-43C9-BD53-CB050214DAA6}</x14:id>
        </ext>
      </extLst>
    </cfRule>
    <cfRule type="iconSet" priority="4845">
      <iconSet iconSet="3Arrows">
        <cfvo type="percent" val="0"/>
        <cfvo type="num" val="0.7"/>
        <cfvo type="num" val="1"/>
      </iconSet>
    </cfRule>
  </conditionalFormatting>
  <conditionalFormatting sqref="N2118">
    <cfRule type="dataBar" priority="4844">
      <dataBar>
        <cfvo type="num" val="0"/>
        <cfvo type="num" val="1"/>
        <color theme="4" tint="0.79998168889431442"/>
      </dataBar>
      <extLst>
        <ext xmlns:x14="http://schemas.microsoft.com/office/spreadsheetml/2009/9/main" uri="{B025F937-C7B1-47D3-B67F-A62EFF666E3E}">
          <x14:id>{80C06EF5-6838-46B3-A18D-8F82CD37911E}</x14:id>
        </ext>
      </extLst>
    </cfRule>
    <cfRule type="iconSet" priority="4843">
      <iconSet iconSet="3Arrows">
        <cfvo type="percent" val="0"/>
        <cfvo type="num" val="0.7"/>
        <cfvo type="num" val="1"/>
      </iconSet>
    </cfRule>
  </conditionalFormatting>
  <conditionalFormatting sqref="N2120 N2122">
    <cfRule type="dataBar" priority="4842">
      <dataBar>
        <cfvo type="num" val="0"/>
        <cfvo type="num" val="1"/>
        <color theme="4" tint="0.79998168889431442"/>
      </dataBar>
      <extLst>
        <ext xmlns:x14="http://schemas.microsoft.com/office/spreadsheetml/2009/9/main" uri="{B025F937-C7B1-47D3-B67F-A62EFF666E3E}">
          <x14:id>{C5D2D45C-18C9-4C20-8684-124EFAC9D27C}</x14:id>
        </ext>
      </extLst>
    </cfRule>
    <cfRule type="iconSet" priority="4841">
      <iconSet iconSet="3Arrows">
        <cfvo type="percent" val="0"/>
        <cfvo type="num" val="0.7"/>
        <cfvo type="num" val="1"/>
      </iconSet>
    </cfRule>
  </conditionalFormatting>
  <conditionalFormatting sqref="N2124">
    <cfRule type="dataBar" priority="4840">
      <dataBar>
        <cfvo type="num" val="0"/>
        <cfvo type="num" val="1"/>
        <color theme="4" tint="0.79998168889431442"/>
      </dataBar>
      <extLst>
        <ext xmlns:x14="http://schemas.microsoft.com/office/spreadsheetml/2009/9/main" uri="{B025F937-C7B1-47D3-B67F-A62EFF666E3E}">
          <x14:id>{1F4C5231-BC7F-46F8-B244-37D99FBFABCD}</x14:id>
        </ext>
      </extLst>
    </cfRule>
    <cfRule type="iconSet" priority="4839">
      <iconSet iconSet="3Arrows">
        <cfvo type="percent" val="0"/>
        <cfvo type="num" val="0.7"/>
        <cfvo type="num" val="1"/>
      </iconSet>
    </cfRule>
  </conditionalFormatting>
  <conditionalFormatting sqref="N2127">
    <cfRule type="dataBar" priority="4838">
      <dataBar>
        <cfvo type="num" val="0"/>
        <cfvo type="num" val="1"/>
        <color theme="4" tint="0.79998168889431442"/>
      </dataBar>
      <extLst>
        <ext xmlns:x14="http://schemas.microsoft.com/office/spreadsheetml/2009/9/main" uri="{B025F937-C7B1-47D3-B67F-A62EFF666E3E}">
          <x14:id>{A5173991-8884-4E01-954C-AAA603E092F6}</x14:id>
        </ext>
      </extLst>
    </cfRule>
    <cfRule type="iconSet" priority="4837">
      <iconSet iconSet="3Arrows">
        <cfvo type="percent" val="0"/>
        <cfvo type="num" val="0.7"/>
        <cfvo type="num" val="1"/>
      </iconSet>
    </cfRule>
  </conditionalFormatting>
  <conditionalFormatting sqref="N2129 N2131 N2133">
    <cfRule type="dataBar" priority="4836">
      <dataBar>
        <cfvo type="num" val="0"/>
        <cfvo type="num" val="1"/>
        <color theme="4" tint="0.79998168889431442"/>
      </dataBar>
      <extLst>
        <ext xmlns:x14="http://schemas.microsoft.com/office/spreadsheetml/2009/9/main" uri="{B025F937-C7B1-47D3-B67F-A62EFF666E3E}">
          <x14:id>{60E806CD-27FE-4667-B59B-1D948204909A}</x14:id>
        </ext>
      </extLst>
    </cfRule>
    <cfRule type="iconSet" priority="4835">
      <iconSet iconSet="3Arrows">
        <cfvo type="percent" val="0"/>
        <cfvo type="num" val="0.7"/>
        <cfvo type="num" val="1"/>
      </iconSet>
    </cfRule>
  </conditionalFormatting>
  <conditionalFormatting sqref="N2135 N2137 N2139">
    <cfRule type="dataBar" priority="4834">
      <dataBar>
        <cfvo type="num" val="0"/>
        <cfvo type="num" val="1"/>
        <color theme="4" tint="0.79998168889431442"/>
      </dataBar>
      <extLst>
        <ext xmlns:x14="http://schemas.microsoft.com/office/spreadsheetml/2009/9/main" uri="{B025F937-C7B1-47D3-B67F-A62EFF666E3E}">
          <x14:id>{75716E3F-C8DD-4D01-9200-5E066C88EA92}</x14:id>
        </ext>
      </extLst>
    </cfRule>
    <cfRule type="iconSet" priority="4833">
      <iconSet iconSet="3Arrows">
        <cfvo type="percent" val="0"/>
        <cfvo type="num" val="0.7"/>
        <cfvo type="num" val="1"/>
      </iconSet>
    </cfRule>
  </conditionalFormatting>
  <conditionalFormatting sqref="N2141 N2143 N2145">
    <cfRule type="dataBar" priority="4832">
      <dataBar>
        <cfvo type="num" val="0"/>
        <cfvo type="num" val="1"/>
        <color theme="4" tint="0.79998168889431442"/>
      </dataBar>
      <extLst>
        <ext xmlns:x14="http://schemas.microsoft.com/office/spreadsheetml/2009/9/main" uri="{B025F937-C7B1-47D3-B67F-A62EFF666E3E}">
          <x14:id>{33C6C7A4-4A2E-48B2-B776-F8C6257F2DFA}</x14:id>
        </ext>
      </extLst>
    </cfRule>
    <cfRule type="iconSet" priority="4831">
      <iconSet iconSet="3Arrows">
        <cfvo type="percent" val="0"/>
        <cfvo type="num" val="0.7"/>
        <cfvo type="num" val="1"/>
      </iconSet>
    </cfRule>
  </conditionalFormatting>
  <conditionalFormatting sqref="N2147 N2149 N2151">
    <cfRule type="iconSet" priority="4829">
      <iconSet iconSet="3Arrows">
        <cfvo type="percent" val="0"/>
        <cfvo type="num" val="0.7"/>
        <cfvo type="num" val="1"/>
      </iconSet>
    </cfRule>
    <cfRule type="dataBar" priority="4830">
      <dataBar>
        <cfvo type="num" val="0"/>
        <cfvo type="num" val="1"/>
        <color theme="4" tint="0.79998168889431442"/>
      </dataBar>
      <extLst>
        <ext xmlns:x14="http://schemas.microsoft.com/office/spreadsheetml/2009/9/main" uri="{B025F937-C7B1-47D3-B67F-A62EFF666E3E}">
          <x14:id>{20CD2EA7-5B1E-458F-9F6A-E523E5C18900}</x14:id>
        </ext>
      </extLst>
    </cfRule>
  </conditionalFormatting>
  <conditionalFormatting sqref="N2153 N2155 N2157">
    <cfRule type="iconSet" priority="4827">
      <iconSet iconSet="3Arrows">
        <cfvo type="percent" val="0"/>
        <cfvo type="num" val="0.7"/>
        <cfvo type="num" val="1"/>
      </iconSet>
    </cfRule>
    <cfRule type="dataBar" priority="4828">
      <dataBar>
        <cfvo type="num" val="0"/>
        <cfvo type="num" val="1"/>
        <color theme="4" tint="0.79998168889431442"/>
      </dataBar>
      <extLst>
        <ext xmlns:x14="http://schemas.microsoft.com/office/spreadsheetml/2009/9/main" uri="{B025F937-C7B1-47D3-B67F-A62EFF666E3E}">
          <x14:id>{400AD91F-67A6-414F-ABD0-E44B7810C23E}</x14:id>
        </ext>
      </extLst>
    </cfRule>
  </conditionalFormatting>
  <conditionalFormatting sqref="N2159 N2161 N2163">
    <cfRule type="iconSet" priority="4825">
      <iconSet iconSet="3Arrows">
        <cfvo type="percent" val="0"/>
        <cfvo type="num" val="0.7"/>
        <cfvo type="num" val="1"/>
      </iconSet>
    </cfRule>
    <cfRule type="dataBar" priority="4826">
      <dataBar>
        <cfvo type="num" val="0"/>
        <cfvo type="num" val="1"/>
        <color theme="4" tint="0.79998168889431442"/>
      </dataBar>
      <extLst>
        <ext xmlns:x14="http://schemas.microsoft.com/office/spreadsheetml/2009/9/main" uri="{B025F937-C7B1-47D3-B67F-A62EFF666E3E}">
          <x14:id>{E65DC504-A884-4A93-B2EB-E2AB5621BF84}</x14:id>
        </ext>
      </extLst>
    </cfRule>
  </conditionalFormatting>
  <conditionalFormatting sqref="N2165 N2167">
    <cfRule type="dataBar" priority="4824">
      <dataBar>
        <cfvo type="num" val="0"/>
        <cfvo type="num" val="1"/>
        <color theme="4" tint="0.79998168889431442"/>
      </dataBar>
      <extLst>
        <ext xmlns:x14="http://schemas.microsoft.com/office/spreadsheetml/2009/9/main" uri="{B025F937-C7B1-47D3-B67F-A62EFF666E3E}">
          <x14:id>{CE37F2F6-763E-4175-9E53-BC8FB508C70B}</x14:id>
        </ext>
      </extLst>
    </cfRule>
    <cfRule type="iconSet" priority="4823">
      <iconSet iconSet="3Arrows">
        <cfvo type="percent" val="0"/>
        <cfvo type="num" val="0.7"/>
        <cfvo type="num" val="1"/>
      </iconSet>
    </cfRule>
  </conditionalFormatting>
  <conditionalFormatting sqref="N2169 N2171 N2173">
    <cfRule type="dataBar" priority="4822">
      <dataBar>
        <cfvo type="num" val="0"/>
        <cfvo type="num" val="1"/>
        <color theme="4" tint="0.79998168889431442"/>
      </dataBar>
      <extLst>
        <ext xmlns:x14="http://schemas.microsoft.com/office/spreadsheetml/2009/9/main" uri="{B025F937-C7B1-47D3-B67F-A62EFF666E3E}">
          <x14:id>{EBEBC57A-C892-4644-B2E8-76DCED61E159}</x14:id>
        </ext>
      </extLst>
    </cfRule>
    <cfRule type="iconSet" priority="4821">
      <iconSet iconSet="3Arrows">
        <cfvo type="percent" val="0"/>
        <cfvo type="num" val="0.7"/>
        <cfvo type="num" val="1"/>
      </iconSet>
    </cfRule>
  </conditionalFormatting>
  <conditionalFormatting sqref="N2175 N2177 N2179">
    <cfRule type="dataBar" priority="4820">
      <dataBar>
        <cfvo type="num" val="0"/>
        <cfvo type="num" val="1"/>
        <color theme="4" tint="0.79998168889431442"/>
      </dataBar>
      <extLst>
        <ext xmlns:x14="http://schemas.microsoft.com/office/spreadsheetml/2009/9/main" uri="{B025F937-C7B1-47D3-B67F-A62EFF666E3E}">
          <x14:id>{184C027F-F7DA-45A0-857A-D2A5D7A32DD8}</x14:id>
        </ext>
      </extLst>
    </cfRule>
    <cfRule type="iconSet" priority="4819">
      <iconSet iconSet="3Arrows">
        <cfvo type="percent" val="0"/>
        <cfvo type="num" val="0.7"/>
        <cfvo type="num" val="1"/>
      </iconSet>
    </cfRule>
  </conditionalFormatting>
  <conditionalFormatting sqref="N2181 N2183 N2185">
    <cfRule type="dataBar" priority="4818">
      <dataBar>
        <cfvo type="num" val="0"/>
        <cfvo type="num" val="1"/>
        <color theme="4" tint="0.79998168889431442"/>
      </dataBar>
      <extLst>
        <ext xmlns:x14="http://schemas.microsoft.com/office/spreadsheetml/2009/9/main" uri="{B025F937-C7B1-47D3-B67F-A62EFF666E3E}">
          <x14:id>{CA3A8CA7-1E44-46E4-B0CC-6E4F08D2EA4A}</x14:id>
        </ext>
      </extLst>
    </cfRule>
    <cfRule type="iconSet" priority="4817">
      <iconSet iconSet="3Arrows">
        <cfvo type="percent" val="0"/>
        <cfvo type="num" val="0.7"/>
        <cfvo type="num" val="1"/>
      </iconSet>
    </cfRule>
  </conditionalFormatting>
  <conditionalFormatting sqref="N2187 N2189 N2191">
    <cfRule type="dataBar" priority="4816">
      <dataBar>
        <cfvo type="num" val="0"/>
        <cfvo type="num" val="1"/>
        <color theme="4" tint="0.79998168889431442"/>
      </dataBar>
      <extLst>
        <ext xmlns:x14="http://schemas.microsoft.com/office/spreadsheetml/2009/9/main" uri="{B025F937-C7B1-47D3-B67F-A62EFF666E3E}">
          <x14:id>{9BE8F928-2DA3-4BE3-90DE-47385968E012}</x14:id>
        </ext>
      </extLst>
    </cfRule>
    <cfRule type="iconSet" priority="4815">
      <iconSet iconSet="3Arrows">
        <cfvo type="percent" val="0"/>
        <cfvo type="num" val="0.7"/>
        <cfvo type="num" val="1"/>
      </iconSet>
    </cfRule>
  </conditionalFormatting>
  <conditionalFormatting sqref="N2193 N2195 N2197">
    <cfRule type="iconSet" priority="4813">
      <iconSet iconSet="3Arrows">
        <cfvo type="percent" val="0"/>
        <cfvo type="num" val="0.7"/>
        <cfvo type="num" val="1"/>
      </iconSet>
    </cfRule>
    <cfRule type="dataBar" priority="4814">
      <dataBar>
        <cfvo type="num" val="0"/>
        <cfvo type="num" val="1"/>
        <color theme="4" tint="0.79998168889431442"/>
      </dataBar>
      <extLst>
        <ext xmlns:x14="http://schemas.microsoft.com/office/spreadsheetml/2009/9/main" uri="{B025F937-C7B1-47D3-B67F-A62EFF666E3E}">
          <x14:id>{B6DBAF09-CC07-43FE-913E-E2CC5D8EF83D}</x14:id>
        </ext>
      </extLst>
    </cfRule>
  </conditionalFormatting>
  <conditionalFormatting sqref="N2199 N2201 N2203">
    <cfRule type="iconSet" priority="4811">
      <iconSet iconSet="3Arrows">
        <cfvo type="percent" val="0"/>
        <cfvo type="num" val="0.7"/>
        <cfvo type="num" val="1"/>
      </iconSet>
    </cfRule>
    <cfRule type="dataBar" priority="4812">
      <dataBar>
        <cfvo type="num" val="0"/>
        <cfvo type="num" val="1"/>
        <color theme="4" tint="0.79998168889431442"/>
      </dataBar>
      <extLst>
        <ext xmlns:x14="http://schemas.microsoft.com/office/spreadsheetml/2009/9/main" uri="{B025F937-C7B1-47D3-B67F-A62EFF666E3E}">
          <x14:id>{D205D800-0BF9-47A4-BF59-127441B94054}</x14:id>
        </ext>
      </extLst>
    </cfRule>
  </conditionalFormatting>
  <conditionalFormatting sqref="N2205 N2209">
    <cfRule type="dataBar" priority="4810">
      <dataBar>
        <cfvo type="num" val="0"/>
        <cfvo type="num" val="1"/>
        <color theme="4" tint="0.79998168889431442"/>
      </dataBar>
      <extLst>
        <ext xmlns:x14="http://schemas.microsoft.com/office/spreadsheetml/2009/9/main" uri="{B025F937-C7B1-47D3-B67F-A62EFF666E3E}">
          <x14:id>{4BEC269A-BADA-4D79-AEEE-F6D80B7751E4}</x14:id>
        </ext>
      </extLst>
    </cfRule>
    <cfRule type="iconSet" priority="4809">
      <iconSet iconSet="3Arrows">
        <cfvo type="percent" val="0"/>
        <cfvo type="num" val="0.7"/>
        <cfvo type="num" val="1"/>
      </iconSet>
    </cfRule>
  </conditionalFormatting>
  <conditionalFormatting sqref="N2207">
    <cfRule type="dataBar" priority="4808">
      <dataBar>
        <cfvo type="num" val="0"/>
        <cfvo type="num" val="1"/>
        <color theme="4" tint="0.79998168889431442"/>
      </dataBar>
      <extLst>
        <ext xmlns:x14="http://schemas.microsoft.com/office/spreadsheetml/2009/9/main" uri="{B025F937-C7B1-47D3-B67F-A62EFF666E3E}">
          <x14:id>{E6E2AED1-71F5-48AB-88D7-D96CFC847EDA}</x14:id>
        </ext>
      </extLst>
    </cfRule>
    <cfRule type="iconSet" priority="4807">
      <iconSet iconSet="3Arrows">
        <cfvo type="percent" val="0"/>
        <cfvo type="num" val="0.7"/>
        <cfvo type="num" val="1"/>
      </iconSet>
    </cfRule>
  </conditionalFormatting>
  <conditionalFormatting sqref="N2213">
    <cfRule type="dataBar" priority="4806">
      <dataBar>
        <cfvo type="num" val="0"/>
        <cfvo type="num" val="1"/>
        <color theme="4" tint="0.79998168889431442"/>
      </dataBar>
      <extLst>
        <ext xmlns:x14="http://schemas.microsoft.com/office/spreadsheetml/2009/9/main" uri="{B025F937-C7B1-47D3-B67F-A62EFF666E3E}">
          <x14:id>{4A143408-EEAD-4AE8-AE42-5839E62D00E8}</x14:id>
        </ext>
      </extLst>
    </cfRule>
    <cfRule type="iconSet" priority="4805">
      <iconSet iconSet="3Arrows">
        <cfvo type="percent" val="0"/>
        <cfvo type="num" val="0.7"/>
        <cfvo type="num" val="1"/>
      </iconSet>
    </cfRule>
  </conditionalFormatting>
  <conditionalFormatting sqref="N2215 N2217">
    <cfRule type="dataBar" priority="4804">
      <dataBar>
        <cfvo type="num" val="0"/>
        <cfvo type="num" val="1"/>
        <color theme="4" tint="0.79998168889431442"/>
      </dataBar>
      <extLst>
        <ext xmlns:x14="http://schemas.microsoft.com/office/spreadsheetml/2009/9/main" uri="{B025F937-C7B1-47D3-B67F-A62EFF666E3E}">
          <x14:id>{6FDE4A61-31EF-4766-B156-70BE4E4A4D42}</x14:id>
        </ext>
      </extLst>
    </cfRule>
    <cfRule type="iconSet" priority="4803">
      <iconSet iconSet="3Arrows">
        <cfvo type="percent" val="0"/>
        <cfvo type="num" val="0.7"/>
        <cfvo type="num" val="1"/>
      </iconSet>
    </cfRule>
  </conditionalFormatting>
  <conditionalFormatting sqref="N2219">
    <cfRule type="dataBar" priority="4802">
      <dataBar>
        <cfvo type="num" val="0"/>
        <cfvo type="num" val="1"/>
        <color theme="4" tint="0.79998168889431442"/>
      </dataBar>
      <extLst>
        <ext xmlns:x14="http://schemas.microsoft.com/office/spreadsheetml/2009/9/main" uri="{B025F937-C7B1-47D3-B67F-A62EFF666E3E}">
          <x14:id>{AC5AE38C-F1A6-4251-ADE9-8ABB07253631}</x14:id>
        </ext>
      </extLst>
    </cfRule>
    <cfRule type="iconSet" priority="4801">
      <iconSet iconSet="3Arrows">
        <cfvo type="percent" val="0"/>
        <cfvo type="num" val="0.7"/>
        <cfvo type="num" val="1"/>
      </iconSet>
    </cfRule>
  </conditionalFormatting>
  <conditionalFormatting sqref="N2221 N2223 N2225">
    <cfRule type="dataBar" priority="4800">
      <dataBar>
        <cfvo type="num" val="0"/>
        <cfvo type="num" val="1"/>
        <color theme="4" tint="0.79998168889431442"/>
      </dataBar>
      <extLst>
        <ext xmlns:x14="http://schemas.microsoft.com/office/spreadsheetml/2009/9/main" uri="{B025F937-C7B1-47D3-B67F-A62EFF666E3E}">
          <x14:id>{BB8463AF-5069-413D-8D69-5410E77D0CB3}</x14:id>
        </ext>
      </extLst>
    </cfRule>
    <cfRule type="iconSet" priority="4799">
      <iconSet iconSet="3Arrows">
        <cfvo type="percent" val="0"/>
        <cfvo type="num" val="0.7"/>
        <cfvo type="num" val="1"/>
      </iconSet>
    </cfRule>
  </conditionalFormatting>
  <conditionalFormatting sqref="N2227 N2229">
    <cfRule type="iconSet" priority="4797">
      <iconSet iconSet="3Arrows">
        <cfvo type="percent" val="0"/>
        <cfvo type="num" val="0.7"/>
        <cfvo type="num" val="1"/>
      </iconSet>
    </cfRule>
    <cfRule type="dataBar" priority="4798">
      <dataBar>
        <cfvo type="num" val="0"/>
        <cfvo type="num" val="1"/>
        <color theme="4" tint="0.79998168889431442"/>
      </dataBar>
      <extLst>
        <ext xmlns:x14="http://schemas.microsoft.com/office/spreadsheetml/2009/9/main" uri="{B025F937-C7B1-47D3-B67F-A62EFF666E3E}">
          <x14:id>{32C7192B-A1AB-4C30-BDB4-C3B24E587D70}</x14:id>
        </ext>
      </extLst>
    </cfRule>
  </conditionalFormatting>
  <conditionalFormatting sqref="N2231">
    <cfRule type="iconSet" priority="4795">
      <iconSet iconSet="3Arrows">
        <cfvo type="percent" val="0"/>
        <cfvo type="num" val="0.7"/>
        <cfvo type="num" val="1"/>
      </iconSet>
    </cfRule>
    <cfRule type="dataBar" priority="4796">
      <dataBar>
        <cfvo type="num" val="0"/>
        <cfvo type="num" val="1"/>
        <color theme="4" tint="0.79998168889431442"/>
      </dataBar>
      <extLst>
        <ext xmlns:x14="http://schemas.microsoft.com/office/spreadsheetml/2009/9/main" uri="{B025F937-C7B1-47D3-B67F-A62EFF666E3E}">
          <x14:id>{8468B07B-2B6D-40AE-8004-44916C5E92A4}</x14:id>
        </ext>
      </extLst>
    </cfRule>
  </conditionalFormatting>
  <conditionalFormatting sqref="N2233 N2235 N2237">
    <cfRule type="dataBar" priority="4794">
      <dataBar>
        <cfvo type="num" val="0"/>
        <cfvo type="num" val="1"/>
        <color theme="4" tint="0.79998168889431442"/>
      </dataBar>
      <extLst>
        <ext xmlns:x14="http://schemas.microsoft.com/office/spreadsheetml/2009/9/main" uri="{B025F937-C7B1-47D3-B67F-A62EFF666E3E}">
          <x14:id>{AAEFF17A-8D1B-4771-A767-8A2D1AC2E4A3}</x14:id>
        </ext>
      </extLst>
    </cfRule>
    <cfRule type="iconSet" priority="4793">
      <iconSet iconSet="3Arrows">
        <cfvo type="percent" val="0"/>
        <cfvo type="num" val="0.7"/>
        <cfvo type="num" val="1"/>
      </iconSet>
    </cfRule>
  </conditionalFormatting>
  <conditionalFormatting sqref="N2239">
    <cfRule type="dataBar" priority="4792">
      <dataBar>
        <cfvo type="num" val="0"/>
        <cfvo type="num" val="1"/>
        <color theme="4" tint="0.79998168889431442"/>
      </dataBar>
      <extLst>
        <ext xmlns:x14="http://schemas.microsoft.com/office/spreadsheetml/2009/9/main" uri="{B025F937-C7B1-47D3-B67F-A62EFF666E3E}">
          <x14:id>{6BC7230E-8F3A-4CF4-838E-E36BBD14194D}</x14:id>
        </ext>
      </extLst>
    </cfRule>
    <cfRule type="iconSet" priority="4791">
      <iconSet iconSet="3Arrows">
        <cfvo type="percent" val="0"/>
        <cfvo type="num" val="0.7"/>
        <cfvo type="num" val="1"/>
      </iconSet>
    </cfRule>
  </conditionalFormatting>
  <conditionalFormatting sqref="N2241">
    <cfRule type="dataBar" priority="4790">
      <dataBar>
        <cfvo type="num" val="0"/>
        <cfvo type="num" val="1"/>
        <color theme="4" tint="0.79998168889431442"/>
      </dataBar>
      <extLst>
        <ext xmlns:x14="http://schemas.microsoft.com/office/spreadsheetml/2009/9/main" uri="{B025F937-C7B1-47D3-B67F-A62EFF666E3E}">
          <x14:id>{CF9EA2E5-4E81-48C1-BE6B-723966AFFEE9}</x14:id>
        </ext>
      </extLst>
    </cfRule>
    <cfRule type="iconSet" priority="4789">
      <iconSet iconSet="3Arrows">
        <cfvo type="percent" val="0"/>
        <cfvo type="num" val="0.7"/>
        <cfvo type="num" val="1"/>
      </iconSet>
    </cfRule>
  </conditionalFormatting>
  <conditionalFormatting sqref="N2243">
    <cfRule type="dataBar" priority="4788">
      <dataBar>
        <cfvo type="num" val="0"/>
        <cfvo type="num" val="1"/>
        <color theme="4" tint="0.79998168889431442"/>
      </dataBar>
      <extLst>
        <ext xmlns:x14="http://schemas.microsoft.com/office/spreadsheetml/2009/9/main" uri="{B025F937-C7B1-47D3-B67F-A62EFF666E3E}">
          <x14:id>{64E61161-6D99-4D7E-9607-612842F21C0D}</x14:id>
        </ext>
      </extLst>
    </cfRule>
    <cfRule type="iconSet" priority="4787">
      <iconSet iconSet="3Arrows">
        <cfvo type="percent" val="0"/>
        <cfvo type="num" val="0.7"/>
        <cfvo type="num" val="1"/>
      </iconSet>
    </cfRule>
  </conditionalFormatting>
  <conditionalFormatting sqref="N2245">
    <cfRule type="dataBar" priority="4786">
      <dataBar>
        <cfvo type="num" val="0"/>
        <cfvo type="num" val="1"/>
        <color theme="4" tint="0.79998168889431442"/>
      </dataBar>
      <extLst>
        <ext xmlns:x14="http://schemas.microsoft.com/office/spreadsheetml/2009/9/main" uri="{B025F937-C7B1-47D3-B67F-A62EFF666E3E}">
          <x14:id>{AA78B053-7F8B-40C3-A2DC-FE666D1C05F0}</x14:id>
        </ext>
      </extLst>
    </cfRule>
    <cfRule type="iconSet" priority="4785">
      <iconSet iconSet="3Arrows">
        <cfvo type="percent" val="0"/>
        <cfvo type="num" val="0.7"/>
        <cfvo type="num" val="1"/>
      </iconSet>
    </cfRule>
  </conditionalFormatting>
  <conditionalFormatting sqref="N2247">
    <cfRule type="dataBar" priority="4784">
      <dataBar>
        <cfvo type="num" val="0"/>
        <cfvo type="num" val="1"/>
        <color theme="4" tint="0.79998168889431442"/>
      </dataBar>
      <extLst>
        <ext xmlns:x14="http://schemas.microsoft.com/office/spreadsheetml/2009/9/main" uri="{B025F937-C7B1-47D3-B67F-A62EFF666E3E}">
          <x14:id>{A80490CA-A081-4EA8-954F-875517F4D563}</x14:id>
        </ext>
      </extLst>
    </cfRule>
    <cfRule type="iconSet" priority="4783">
      <iconSet iconSet="3Arrows">
        <cfvo type="percent" val="0"/>
        <cfvo type="num" val="0.7"/>
        <cfvo type="num" val="1"/>
      </iconSet>
    </cfRule>
  </conditionalFormatting>
  <conditionalFormatting sqref="N2249">
    <cfRule type="dataBar" priority="4782">
      <dataBar>
        <cfvo type="num" val="0"/>
        <cfvo type="num" val="1"/>
        <color theme="4" tint="0.79998168889431442"/>
      </dataBar>
      <extLst>
        <ext xmlns:x14="http://schemas.microsoft.com/office/spreadsheetml/2009/9/main" uri="{B025F937-C7B1-47D3-B67F-A62EFF666E3E}">
          <x14:id>{DB5DF724-97D4-4DD9-A304-27DE7599690C}</x14:id>
        </ext>
      </extLst>
    </cfRule>
    <cfRule type="iconSet" priority="4781">
      <iconSet iconSet="3Arrows">
        <cfvo type="percent" val="0"/>
        <cfvo type="num" val="0.7"/>
        <cfvo type="num" val="1"/>
      </iconSet>
    </cfRule>
  </conditionalFormatting>
  <conditionalFormatting sqref="N2251">
    <cfRule type="dataBar" priority="4780">
      <dataBar>
        <cfvo type="num" val="0"/>
        <cfvo type="num" val="1"/>
        <color theme="4" tint="0.79998168889431442"/>
      </dataBar>
      <extLst>
        <ext xmlns:x14="http://schemas.microsoft.com/office/spreadsheetml/2009/9/main" uri="{B025F937-C7B1-47D3-B67F-A62EFF666E3E}">
          <x14:id>{1873B66B-094B-46A5-8C03-11F5ED604474}</x14:id>
        </ext>
      </extLst>
    </cfRule>
    <cfRule type="iconSet" priority="4779">
      <iconSet iconSet="3Arrows">
        <cfvo type="percent" val="0"/>
        <cfvo type="num" val="0.7"/>
        <cfvo type="num" val="1"/>
      </iconSet>
    </cfRule>
  </conditionalFormatting>
  <conditionalFormatting sqref="N2253">
    <cfRule type="dataBar" priority="4778">
      <dataBar>
        <cfvo type="num" val="0"/>
        <cfvo type="num" val="1"/>
        <color theme="4" tint="0.79998168889431442"/>
      </dataBar>
      <extLst>
        <ext xmlns:x14="http://schemas.microsoft.com/office/spreadsheetml/2009/9/main" uri="{B025F937-C7B1-47D3-B67F-A62EFF666E3E}">
          <x14:id>{C30AB8A1-8716-4253-A493-EB5ACC83DCAF}</x14:id>
        </ext>
      </extLst>
    </cfRule>
    <cfRule type="iconSet" priority="4777">
      <iconSet iconSet="3Arrows">
        <cfvo type="percent" val="0"/>
        <cfvo type="num" val="0.7"/>
        <cfvo type="num" val="1"/>
      </iconSet>
    </cfRule>
  </conditionalFormatting>
  <conditionalFormatting sqref="N2255">
    <cfRule type="dataBar" priority="4776">
      <dataBar>
        <cfvo type="num" val="0"/>
        <cfvo type="num" val="1"/>
        <color theme="4" tint="0.79998168889431442"/>
      </dataBar>
      <extLst>
        <ext xmlns:x14="http://schemas.microsoft.com/office/spreadsheetml/2009/9/main" uri="{B025F937-C7B1-47D3-B67F-A62EFF666E3E}">
          <x14:id>{46BE8C8F-DE82-47DE-8E76-6836EED85732}</x14:id>
        </ext>
      </extLst>
    </cfRule>
    <cfRule type="iconSet" priority="4775">
      <iconSet iconSet="3Arrows">
        <cfvo type="percent" val="0"/>
        <cfvo type="num" val="0.7"/>
        <cfvo type="num" val="1"/>
      </iconSet>
    </cfRule>
  </conditionalFormatting>
  <conditionalFormatting sqref="N2257">
    <cfRule type="dataBar" priority="4774">
      <dataBar>
        <cfvo type="num" val="0"/>
        <cfvo type="num" val="1"/>
        <color theme="4" tint="0.79998168889431442"/>
      </dataBar>
      <extLst>
        <ext xmlns:x14="http://schemas.microsoft.com/office/spreadsheetml/2009/9/main" uri="{B025F937-C7B1-47D3-B67F-A62EFF666E3E}">
          <x14:id>{E5F3E3D0-64A8-4553-8526-C22FC0D51906}</x14:id>
        </ext>
      </extLst>
    </cfRule>
    <cfRule type="iconSet" priority="4773">
      <iconSet iconSet="3Arrows">
        <cfvo type="percent" val="0"/>
        <cfvo type="num" val="0.7"/>
        <cfvo type="num" val="1"/>
      </iconSet>
    </cfRule>
  </conditionalFormatting>
  <conditionalFormatting sqref="N2259">
    <cfRule type="dataBar" priority="4772">
      <dataBar>
        <cfvo type="num" val="0"/>
        <cfvo type="num" val="1"/>
        <color theme="4" tint="0.79998168889431442"/>
      </dataBar>
      <extLst>
        <ext xmlns:x14="http://schemas.microsoft.com/office/spreadsheetml/2009/9/main" uri="{B025F937-C7B1-47D3-B67F-A62EFF666E3E}">
          <x14:id>{4DAA9735-7164-4D42-BCEE-F46ED3060F02}</x14:id>
        </ext>
      </extLst>
    </cfRule>
    <cfRule type="iconSet" priority="4771">
      <iconSet iconSet="3Arrows">
        <cfvo type="percent" val="0"/>
        <cfvo type="num" val="0.7"/>
        <cfvo type="num" val="1"/>
      </iconSet>
    </cfRule>
  </conditionalFormatting>
  <conditionalFormatting sqref="N2261">
    <cfRule type="dataBar" priority="4770">
      <dataBar>
        <cfvo type="num" val="0"/>
        <cfvo type="num" val="1"/>
        <color theme="4" tint="0.79998168889431442"/>
      </dataBar>
      <extLst>
        <ext xmlns:x14="http://schemas.microsoft.com/office/spreadsheetml/2009/9/main" uri="{B025F937-C7B1-47D3-B67F-A62EFF666E3E}">
          <x14:id>{E503CD87-2253-4E6B-A485-32CEA18E17CC}</x14:id>
        </ext>
      </extLst>
    </cfRule>
    <cfRule type="iconSet" priority="4769">
      <iconSet iconSet="3Arrows">
        <cfvo type="percent" val="0"/>
        <cfvo type="num" val="0.7"/>
        <cfvo type="num" val="1"/>
      </iconSet>
    </cfRule>
  </conditionalFormatting>
  <conditionalFormatting sqref="N2263 N2265">
    <cfRule type="dataBar" priority="4768">
      <dataBar>
        <cfvo type="num" val="0"/>
        <cfvo type="num" val="1"/>
        <color theme="4" tint="0.79998168889431442"/>
      </dataBar>
      <extLst>
        <ext xmlns:x14="http://schemas.microsoft.com/office/spreadsheetml/2009/9/main" uri="{B025F937-C7B1-47D3-B67F-A62EFF666E3E}">
          <x14:id>{CF02E106-FC08-431A-8294-558599896CE1}</x14:id>
        </ext>
      </extLst>
    </cfRule>
    <cfRule type="iconSet" priority="4767">
      <iconSet iconSet="3Arrows">
        <cfvo type="percent" val="0"/>
        <cfvo type="num" val="0.7"/>
        <cfvo type="num" val="1"/>
      </iconSet>
    </cfRule>
  </conditionalFormatting>
  <conditionalFormatting sqref="N2267">
    <cfRule type="dataBar" priority="4766">
      <dataBar>
        <cfvo type="num" val="0"/>
        <cfvo type="num" val="1"/>
        <color theme="4" tint="0.79998168889431442"/>
      </dataBar>
      <extLst>
        <ext xmlns:x14="http://schemas.microsoft.com/office/spreadsheetml/2009/9/main" uri="{B025F937-C7B1-47D3-B67F-A62EFF666E3E}">
          <x14:id>{4B06B2BC-FA12-49D4-9269-AB4AD1B6C79D}</x14:id>
        </ext>
      </extLst>
    </cfRule>
    <cfRule type="iconSet" priority="4765">
      <iconSet iconSet="3Arrows">
        <cfvo type="percent" val="0"/>
        <cfvo type="num" val="0.7"/>
        <cfvo type="num" val="1"/>
      </iconSet>
    </cfRule>
  </conditionalFormatting>
  <conditionalFormatting sqref="N2269 N2271">
    <cfRule type="iconSet" priority="4763">
      <iconSet iconSet="3Arrows">
        <cfvo type="percent" val="0"/>
        <cfvo type="num" val="0.7"/>
        <cfvo type="num" val="1"/>
      </iconSet>
    </cfRule>
    <cfRule type="dataBar" priority="4764">
      <dataBar>
        <cfvo type="num" val="0"/>
        <cfvo type="num" val="1"/>
        <color theme="4" tint="0.79998168889431442"/>
      </dataBar>
      <extLst>
        <ext xmlns:x14="http://schemas.microsoft.com/office/spreadsheetml/2009/9/main" uri="{B025F937-C7B1-47D3-B67F-A62EFF666E3E}">
          <x14:id>{5288B3BE-4BD9-43CF-9DDB-006B2338FBA7}</x14:id>
        </ext>
      </extLst>
    </cfRule>
  </conditionalFormatting>
  <conditionalFormatting sqref="N2273 N2275">
    <cfRule type="iconSet" priority="4761">
      <iconSet iconSet="3Arrows">
        <cfvo type="percent" val="0"/>
        <cfvo type="num" val="0.7"/>
        <cfvo type="num" val="1"/>
      </iconSet>
    </cfRule>
    <cfRule type="dataBar" priority="4762">
      <dataBar>
        <cfvo type="num" val="0"/>
        <cfvo type="num" val="1"/>
        <color theme="4" tint="0.79998168889431442"/>
      </dataBar>
      <extLst>
        <ext xmlns:x14="http://schemas.microsoft.com/office/spreadsheetml/2009/9/main" uri="{B025F937-C7B1-47D3-B67F-A62EFF666E3E}">
          <x14:id>{EF9F6228-BCFC-42A7-A304-AAB05C8C1C32}</x14:id>
        </ext>
      </extLst>
    </cfRule>
  </conditionalFormatting>
  <conditionalFormatting sqref="N2277">
    <cfRule type="dataBar" priority="4760">
      <dataBar>
        <cfvo type="num" val="0"/>
        <cfvo type="num" val="1"/>
        <color theme="4" tint="0.79998168889431442"/>
      </dataBar>
      <extLst>
        <ext xmlns:x14="http://schemas.microsoft.com/office/spreadsheetml/2009/9/main" uri="{B025F937-C7B1-47D3-B67F-A62EFF666E3E}">
          <x14:id>{01F7B5CF-193C-4B1D-99C7-AA7323C5172C}</x14:id>
        </ext>
      </extLst>
    </cfRule>
    <cfRule type="iconSet" priority="4759">
      <iconSet iconSet="3Arrows">
        <cfvo type="percent" val="0"/>
        <cfvo type="num" val="0.7"/>
        <cfvo type="num" val="1"/>
      </iconSet>
    </cfRule>
  </conditionalFormatting>
  <conditionalFormatting sqref="N2279">
    <cfRule type="dataBar" priority="4758">
      <dataBar>
        <cfvo type="num" val="0"/>
        <cfvo type="num" val="1"/>
        <color theme="4" tint="0.79998168889431442"/>
      </dataBar>
      <extLst>
        <ext xmlns:x14="http://schemas.microsoft.com/office/spreadsheetml/2009/9/main" uri="{B025F937-C7B1-47D3-B67F-A62EFF666E3E}">
          <x14:id>{C7413F6F-8CDA-42B7-8D95-6F29A93851CB}</x14:id>
        </ext>
      </extLst>
    </cfRule>
    <cfRule type="iconSet" priority="4757">
      <iconSet iconSet="3Arrows">
        <cfvo type="percent" val="0"/>
        <cfvo type="num" val="0.7"/>
        <cfvo type="num" val="1"/>
      </iconSet>
    </cfRule>
  </conditionalFormatting>
  <conditionalFormatting sqref="N2281">
    <cfRule type="dataBar" priority="4756">
      <dataBar>
        <cfvo type="num" val="0"/>
        <cfvo type="num" val="1"/>
        <color theme="4" tint="0.79998168889431442"/>
      </dataBar>
      <extLst>
        <ext xmlns:x14="http://schemas.microsoft.com/office/spreadsheetml/2009/9/main" uri="{B025F937-C7B1-47D3-B67F-A62EFF666E3E}">
          <x14:id>{09A82827-8B72-4DDE-8DC2-232D98CBD185}</x14:id>
        </ext>
      </extLst>
    </cfRule>
    <cfRule type="iconSet" priority="4755">
      <iconSet iconSet="3Arrows">
        <cfvo type="percent" val="0"/>
        <cfvo type="num" val="0.7"/>
        <cfvo type="num" val="1"/>
      </iconSet>
    </cfRule>
  </conditionalFormatting>
  <conditionalFormatting sqref="N2283">
    <cfRule type="dataBar" priority="4754">
      <dataBar>
        <cfvo type="num" val="0"/>
        <cfvo type="num" val="1"/>
        <color theme="4" tint="0.79998168889431442"/>
      </dataBar>
      <extLst>
        <ext xmlns:x14="http://schemas.microsoft.com/office/spreadsheetml/2009/9/main" uri="{B025F937-C7B1-47D3-B67F-A62EFF666E3E}">
          <x14:id>{26F35182-D6A6-41B4-A6DD-EB9B488FCDFE}</x14:id>
        </ext>
      </extLst>
    </cfRule>
    <cfRule type="iconSet" priority="4753">
      <iconSet iconSet="3Arrows">
        <cfvo type="percent" val="0"/>
        <cfvo type="num" val="0.7"/>
        <cfvo type="num" val="1"/>
      </iconSet>
    </cfRule>
  </conditionalFormatting>
  <conditionalFormatting sqref="N2285">
    <cfRule type="dataBar" priority="4752">
      <dataBar>
        <cfvo type="num" val="0"/>
        <cfvo type="num" val="1"/>
        <color theme="4" tint="0.79998168889431442"/>
      </dataBar>
      <extLst>
        <ext xmlns:x14="http://schemas.microsoft.com/office/spreadsheetml/2009/9/main" uri="{B025F937-C7B1-47D3-B67F-A62EFF666E3E}">
          <x14:id>{3A03F1A2-E055-45E1-9236-CD526CDD4503}</x14:id>
        </ext>
      </extLst>
    </cfRule>
    <cfRule type="iconSet" priority="4751">
      <iconSet iconSet="3Arrows">
        <cfvo type="percent" val="0"/>
        <cfvo type="num" val="0.7"/>
        <cfvo type="num" val="1"/>
      </iconSet>
    </cfRule>
  </conditionalFormatting>
  <conditionalFormatting sqref="N2287">
    <cfRule type="dataBar" priority="4750">
      <dataBar>
        <cfvo type="num" val="0"/>
        <cfvo type="num" val="1"/>
        <color theme="4" tint="0.79998168889431442"/>
      </dataBar>
      <extLst>
        <ext xmlns:x14="http://schemas.microsoft.com/office/spreadsheetml/2009/9/main" uri="{B025F937-C7B1-47D3-B67F-A62EFF666E3E}">
          <x14:id>{E20E4B8B-588E-4051-9A86-8DA65D752BB7}</x14:id>
        </ext>
      </extLst>
    </cfRule>
    <cfRule type="iconSet" priority="4749">
      <iconSet iconSet="3Arrows">
        <cfvo type="percent" val="0"/>
        <cfvo type="num" val="0.7"/>
        <cfvo type="num" val="1"/>
      </iconSet>
    </cfRule>
  </conditionalFormatting>
  <conditionalFormatting sqref="N2291">
    <cfRule type="iconSet" priority="4747">
      <iconSet iconSet="3Arrows">
        <cfvo type="percent" val="0"/>
        <cfvo type="num" val="0.7"/>
        <cfvo type="num" val="1"/>
      </iconSet>
    </cfRule>
    <cfRule type="dataBar" priority="4748">
      <dataBar>
        <cfvo type="num" val="0"/>
        <cfvo type="num" val="1"/>
        <color theme="4" tint="0.79998168889431442"/>
      </dataBar>
      <extLst>
        <ext xmlns:x14="http://schemas.microsoft.com/office/spreadsheetml/2009/9/main" uri="{B025F937-C7B1-47D3-B67F-A62EFF666E3E}">
          <x14:id>{6A214F3D-FA2E-44BF-A33F-306949B6D28E}</x14:id>
        </ext>
      </extLst>
    </cfRule>
  </conditionalFormatting>
  <conditionalFormatting sqref="N2295">
    <cfRule type="dataBar" priority="4746">
      <dataBar>
        <cfvo type="num" val="0"/>
        <cfvo type="num" val="1"/>
        <color theme="4" tint="0.79998168889431442"/>
      </dataBar>
      <extLst>
        <ext xmlns:x14="http://schemas.microsoft.com/office/spreadsheetml/2009/9/main" uri="{B025F937-C7B1-47D3-B67F-A62EFF666E3E}">
          <x14:id>{333A03F7-F801-44FE-A03E-B415F9AD708E}</x14:id>
        </ext>
      </extLst>
    </cfRule>
    <cfRule type="iconSet" priority="4745">
      <iconSet iconSet="3Arrows">
        <cfvo type="percent" val="0"/>
        <cfvo type="num" val="0.7"/>
        <cfvo type="num" val="1"/>
      </iconSet>
    </cfRule>
  </conditionalFormatting>
  <conditionalFormatting sqref="N2297 N2301">
    <cfRule type="dataBar" priority="4744">
      <dataBar>
        <cfvo type="num" val="0"/>
        <cfvo type="num" val="1"/>
        <color theme="4" tint="0.79998168889431442"/>
      </dataBar>
      <extLst>
        <ext xmlns:x14="http://schemas.microsoft.com/office/spreadsheetml/2009/9/main" uri="{B025F937-C7B1-47D3-B67F-A62EFF666E3E}">
          <x14:id>{BD88F7A1-40B2-4F5B-A469-CDF7105F1D9D}</x14:id>
        </ext>
      </extLst>
    </cfRule>
    <cfRule type="iconSet" priority="4743">
      <iconSet iconSet="3Arrows">
        <cfvo type="percent" val="0"/>
        <cfvo type="num" val="0.7"/>
        <cfvo type="num" val="1"/>
      </iconSet>
    </cfRule>
  </conditionalFormatting>
  <conditionalFormatting sqref="N2299">
    <cfRule type="dataBar" priority="4742">
      <dataBar>
        <cfvo type="num" val="0"/>
        <cfvo type="num" val="1"/>
        <color theme="4" tint="0.79998168889431442"/>
      </dataBar>
      <extLst>
        <ext xmlns:x14="http://schemas.microsoft.com/office/spreadsheetml/2009/9/main" uri="{B025F937-C7B1-47D3-B67F-A62EFF666E3E}">
          <x14:id>{1AB413CC-15F0-4B86-97AE-EB1A0B43D771}</x14:id>
        </ext>
      </extLst>
    </cfRule>
    <cfRule type="iconSet" priority="4741">
      <iconSet iconSet="3Arrows">
        <cfvo type="percent" val="0"/>
        <cfvo type="num" val="0.7"/>
        <cfvo type="num" val="1"/>
      </iconSet>
    </cfRule>
  </conditionalFormatting>
  <conditionalFormatting sqref="N2303">
    <cfRule type="iconSet" priority="4739">
      <iconSet iconSet="3Arrows">
        <cfvo type="percent" val="0"/>
        <cfvo type="num" val="0.7"/>
        <cfvo type="num" val="1"/>
      </iconSet>
    </cfRule>
    <cfRule type="dataBar" priority="4740">
      <dataBar>
        <cfvo type="num" val="0"/>
        <cfvo type="num" val="1"/>
        <color theme="4" tint="0.79998168889431442"/>
      </dataBar>
      <extLst>
        <ext xmlns:x14="http://schemas.microsoft.com/office/spreadsheetml/2009/9/main" uri="{B025F937-C7B1-47D3-B67F-A62EFF666E3E}">
          <x14:id>{D603B7D7-A186-4137-B100-178748110BA1}</x14:id>
        </ext>
      </extLst>
    </cfRule>
  </conditionalFormatting>
  <conditionalFormatting sqref="N2305">
    <cfRule type="dataBar" priority="4738">
      <dataBar>
        <cfvo type="num" val="0"/>
        <cfvo type="num" val="1"/>
        <color theme="4" tint="0.79998168889431442"/>
      </dataBar>
      <extLst>
        <ext xmlns:x14="http://schemas.microsoft.com/office/spreadsheetml/2009/9/main" uri="{B025F937-C7B1-47D3-B67F-A62EFF666E3E}">
          <x14:id>{1A625B23-BA3F-4DEE-89BA-9FF154817E42}</x14:id>
        </ext>
      </extLst>
    </cfRule>
    <cfRule type="iconSet" priority="4737">
      <iconSet iconSet="3Arrows">
        <cfvo type="percent" val="0"/>
        <cfvo type="num" val="0.7"/>
        <cfvo type="num" val="1"/>
      </iconSet>
    </cfRule>
  </conditionalFormatting>
  <conditionalFormatting sqref="N2307 N2309">
    <cfRule type="dataBar" priority="4736">
      <dataBar>
        <cfvo type="num" val="0"/>
        <cfvo type="num" val="1"/>
        <color theme="4" tint="0.79998168889431442"/>
      </dataBar>
      <extLst>
        <ext xmlns:x14="http://schemas.microsoft.com/office/spreadsheetml/2009/9/main" uri="{B025F937-C7B1-47D3-B67F-A62EFF666E3E}">
          <x14:id>{5B34FF4F-259E-4D41-A25B-DB254A947073}</x14:id>
        </ext>
      </extLst>
    </cfRule>
    <cfRule type="iconSet" priority="4735">
      <iconSet iconSet="3Arrows">
        <cfvo type="percent" val="0"/>
        <cfvo type="num" val="0.7"/>
        <cfvo type="num" val="1"/>
      </iconSet>
    </cfRule>
  </conditionalFormatting>
  <conditionalFormatting sqref="N2311">
    <cfRule type="dataBar" priority="4734">
      <dataBar>
        <cfvo type="num" val="0"/>
        <cfvo type="num" val="1"/>
        <color theme="4" tint="0.79998168889431442"/>
      </dataBar>
      <extLst>
        <ext xmlns:x14="http://schemas.microsoft.com/office/spreadsheetml/2009/9/main" uri="{B025F937-C7B1-47D3-B67F-A62EFF666E3E}">
          <x14:id>{4E8758F3-C967-4ED7-A087-EE0DF4B96DB6}</x14:id>
        </ext>
      </extLst>
    </cfRule>
    <cfRule type="iconSet" priority="4733">
      <iconSet iconSet="3Arrows">
        <cfvo type="percent" val="0"/>
        <cfvo type="num" val="0.7"/>
        <cfvo type="num" val="1"/>
      </iconSet>
    </cfRule>
  </conditionalFormatting>
  <conditionalFormatting sqref="N2313">
    <cfRule type="iconSet" priority="4731">
      <iconSet iconSet="3Arrows">
        <cfvo type="percent" val="0"/>
        <cfvo type="num" val="0.7"/>
        <cfvo type="num" val="1"/>
      </iconSet>
    </cfRule>
    <cfRule type="dataBar" priority="4732">
      <dataBar>
        <cfvo type="num" val="0"/>
        <cfvo type="num" val="1"/>
        <color theme="4" tint="0.79998168889431442"/>
      </dataBar>
      <extLst>
        <ext xmlns:x14="http://schemas.microsoft.com/office/spreadsheetml/2009/9/main" uri="{B025F937-C7B1-47D3-B67F-A62EFF666E3E}">
          <x14:id>{5653DC96-A330-4800-AA6E-9B7EB7121F70}</x14:id>
        </ext>
      </extLst>
    </cfRule>
  </conditionalFormatting>
  <conditionalFormatting sqref="N2315">
    <cfRule type="iconSet" priority="4729">
      <iconSet iconSet="3Arrows">
        <cfvo type="percent" val="0"/>
        <cfvo type="num" val="0.7"/>
        <cfvo type="num" val="1"/>
      </iconSet>
    </cfRule>
    <cfRule type="dataBar" priority="4730">
      <dataBar>
        <cfvo type="num" val="0"/>
        <cfvo type="num" val="1"/>
        <color theme="4" tint="0.79998168889431442"/>
      </dataBar>
      <extLst>
        <ext xmlns:x14="http://schemas.microsoft.com/office/spreadsheetml/2009/9/main" uri="{B025F937-C7B1-47D3-B67F-A62EFF666E3E}">
          <x14:id>{10E21DAE-5ED3-458A-BC27-826727D8991E}</x14:id>
        </ext>
      </extLst>
    </cfRule>
  </conditionalFormatting>
  <conditionalFormatting sqref="N2317">
    <cfRule type="dataBar" priority="4728">
      <dataBar>
        <cfvo type="num" val="0"/>
        <cfvo type="num" val="1"/>
        <color theme="4" tint="0.79998168889431442"/>
      </dataBar>
      <extLst>
        <ext xmlns:x14="http://schemas.microsoft.com/office/spreadsheetml/2009/9/main" uri="{B025F937-C7B1-47D3-B67F-A62EFF666E3E}">
          <x14:id>{139416CA-7AB4-4DDD-AF25-7D35707211B9}</x14:id>
        </ext>
      </extLst>
    </cfRule>
    <cfRule type="iconSet" priority="4727">
      <iconSet iconSet="3Arrows">
        <cfvo type="percent" val="0"/>
        <cfvo type="num" val="0.7"/>
        <cfvo type="num" val="1"/>
      </iconSet>
    </cfRule>
  </conditionalFormatting>
  <conditionalFormatting sqref="N2320">
    <cfRule type="dataBar" priority="4726">
      <dataBar>
        <cfvo type="num" val="0"/>
        <cfvo type="num" val="1"/>
        <color theme="4" tint="0.79998168889431442"/>
      </dataBar>
      <extLst>
        <ext xmlns:x14="http://schemas.microsoft.com/office/spreadsheetml/2009/9/main" uri="{B025F937-C7B1-47D3-B67F-A62EFF666E3E}">
          <x14:id>{7DD457DB-A533-452D-AB2D-35EAC21C5BDD}</x14:id>
        </ext>
      </extLst>
    </cfRule>
    <cfRule type="iconSet" priority="4725">
      <iconSet iconSet="3Arrows">
        <cfvo type="percent" val="0"/>
        <cfvo type="num" val="0.7"/>
        <cfvo type="num" val="1"/>
      </iconSet>
    </cfRule>
  </conditionalFormatting>
  <conditionalFormatting sqref="N2322 N2324">
    <cfRule type="dataBar" priority="4724">
      <dataBar>
        <cfvo type="num" val="0"/>
        <cfvo type="num" val="1"/>
        <color theme="4" tint="0.79998168889431442"/>
      </dataBar>
      <extLst>
        <ext xmlns:x14="http://schemas.microsoft.com/office/spreadsheetml/2009/9/main" uri="{B025F937-C7B1-47D3-B67F-A62EFF666E3E}">
          <x14:id>{1ABCC72E-F712-4D7D-8200-F55ED19CAF61}</x14:id>
        </ext>
      </extLst>
    </cfRule>
    <cfRule type="iconSet" priority="4723">
      <iconSet iconSet="3Arrows">
        <cfvo type="percent" val="0"/>
        <cfvo type="num" val="0.7"/>
        <cfvo type="num" val="1"/>
      </iconSet>
    </cfRule>
  </conditionalFormatting>
  <conditionalFormatting sqref="N2326">
    <cfRule type="dataBar" priority="4722">
      <dataBar>
        <cfvo type="num" val="0"/>
        <cfvo type="num" val="1"/>
        <color theme="4" tint="0.79998168889431442"/>
      </dataBar>
      <extLst>
        <ext xmlns:x14="http://schemas.microsoft.com/office/spreadsheetml/2009/9/main" uri="{B025F937-C7B1-47D3-B67F-A62EFF666E3E}">
          <x14:id>{AAE87E1A-810D-49F3-8218-FB257D3DA117}</x14:id>
        </ext>
      </extLst>
    </cfRule>
    <cfRule type="iconSet" priority="4721">
      <iconSet iconSet="3Arrows">
        <cfvo type="percent" val="0"/>
        <cfvo type="num" val="0.7"/>
        <cfvo type="num" val="1"/>
      </iconSet>
    </cfRule>
  </conditionalFormatting>
  <conditionalFormatting sqref="N2328">
    <cfRule type="dataBar" priority="4720">
      <dataBar>
        <cfvo type="num" val="0"/>
        <cfvo type="num" val="1"/>
        <color theme="4" tint="0.79998168889431442"/>
      </dataBar>
      <extLst>
        <ext xmlns:x14="http://schemas.microsoft.com/office/spreadsheetml/2009/9/main" uri="{B025F937-C7B1-47D3-B67F-A62EFF666E3E}">
          <x14:id>{A1A61F84-A10F-4954-A233-D47B97227B16}</x14:id>
        </ext>
      </extLst>
    </cfRule>
    <cfRule type="iconSet" priority="4719">
      <iconSet iconSet="3Arrows">
        <cfvo type="percent" val="0"/>
        <cfvo type="num" val="0.7"/>
        <cfvo type="num" val="1"/>
      </iconSet>
    </cfRule>
  </conditionalFormatting>
  <conditionalFormatting sqref="N2330">
    <cfRule type="dataBar" priority="4718">
      <dataBar>
        <cfvo type="num" val="0"/>
        <cfvo type="num" val="1"/>
        <color theme="4" tint="0.79998168889431442"/>
      </dataBar>
      <extLst>
        <ext xmlns:x14="http://schemas.microsoft.com/office/spreadsheetml/2009/9/main" uri="{B025F937-C7B1-47D3-B67F-A62EFF666E3E}">
          <x14:id>{96A24A81-D5FF-4F66-9692-8960B00323DF}</x14:id>
        </ext>
      </extLst>
    </cfRule>
    <cfRule type="iconSet" priority="4717">
      <iconSet iconSet="3Arrows">
        <cfvo type="percent" val="0"/>
        <cfvo type="num" val="0.7"/>
        <cfvo type="num" val="1"/>
      </iconSet>
    </cfRule>
  </conditionalFormatting>
  <conditionalFormatting sqref="N2333">
    <cfRule type="dataBar" priority="4716">
      <dataBar>
        <cfvo type="num" val="0"/>
        <cfvo type="num" val="1"/>
        <color theme="4" tint="0.79998168889431442"/>
      </dataBar>
      <extLst>
        <ext xmlns:x14="http://schemas.microsoft.com/office/spreadsheetml/2009/9/main" uri="{B025F937-C7B1-47D3-B67F-A62EFF666E3E}">
          <x14:id>{29B29422-9288-4C0A-A33D-9C91394C3A37}</x14:id>
        </ext>
      </extLst>
    </cfRule>
    <cfRule type="iconSet" priority="4715">
      <iconSet iconSet="3Arrows">
        <cfvo type="percent" val="0"/>
        <cfvo type="num" val="0.7"/>
        <cfvo type="num" val="1"/>
      </iconSet>
    </cfRule>
  </conditionalFormatting>
  <conditionalFormatting sqref="N2335 N2337 N2339">
    <cfRule type="dataBar" priority="4714">
      <dataBar>
        <cfvo type="num" val="0"/>
        <cfvo type="num" val="1"/>
        <color theme="4" tint="0.79998168889431442"/>
      </dataBar>
      <extLst>
        <ext xmlns:x14="http://schemas.microsoft.com/office/spreadsheetml/2009/9/main" uri="{B025F937-C7B1-47D3-B67F-A62EFF666E3E}">
          <x14:id>{5FCA505C-6F6C-4676-8815-7744A5B35515}</x14:id>
        </ext>
      </extLst>
    </cfRule>
    <cfRule type="iconSet" priority="4713">
      <iconSet iconSet="3Arrows">
        <cfvo type="percent" val="0"/>
        <cfvo type="num" val="0.7"/>
        <cfvo type="num" val="1"/>
      </iconSet>
    </cfRule>
  </conditionalFormatting>
  <conditionalFormatting sqref="N2341">
    <cfRule type="dataBar" priority="4712">
      <dataBar>
        <cfvo type="num" val="0"/>
        <cfvo type="num" val="1"/>
        <color theme="4" tint="0.79998168889431442"/>
      </dataBar>
      <extLst>
        <ext xmlns:x14="http://schemas.microsoft.com/office/spreadsheetml/2009/9/main" uri="{B025F937-C7B1-47D3-B67F-A62EFF666E3E}">
          <x14:id>{A1B15D55-F76D-478C-8F7B-96F3D02A8B0B}</x14:id>
        </ext>
      </extLst>
    </cfRule>
    <cfRule type="iconSet" priority="4711">
      <iconSet iconSet="3Arrows">
        <cfvo type="percent" val="0"/>
        <cfvo type="num" val="0.7"/>
        <cfvo type="num" val="1"/>
      </iconSet>
    </cfRule>
  </conditionalFormatting>
  <conditionalFormatting sqref="N2345">
    <cfRule type="dataBar" priority="4710">
      <dataBar>
        <cfvo type="num" val="0"/>
        <cfvo type="num" val="1"/>
        <color theme="4" tint="0.79998168889431442"/>
      </dataBar>
      <extLst>
        <ext xmlns:x14="http://schemas.microsoft.com/office/spreadsheetml/2009/9/main" uri="{B025F937-C7B1-47D3-B67F-A62EFF666E3E}">
          <x14:id>{F1187816-237F-49D0-B56F-6EB44F3C1FC0}</x14:id>
        </ext>
      </extLst>
    </cfRule>
    <cfRule type="iconSet" priority="4709">
      <iconSet iconSet="3Arrows">
        <cfvo type="percent" val="0"/>
        <cfvo type="num" val="0.7"/>
        <cfvo type="num" val="1"/>
      </iconSet>
    </cfRule>
  </conditionalFormatting>
  <conditionalFormatting sqref="N2347 N2349 N2351">
    <cfRule type="dataBar" priority="4708">
      <dataBar>
        <cfvo type="num" val="0"/>
        <cfvo type="num" val="1"/>
        <color theme="4" tint="0.79998168889431442"/>
      </dataBar>
      <extLst>
        <ext xmlns:x14="http://schemas.microsoft.com/office/spreadsheetml/2009/9/main" uri="{B025F937-C7B1-47D3-B67F-A62EFF666E3E}">
          <x14:id>{B0A776E9-F669-4550-AAF5-EDB456B172E4}</x14:id>
        </ext>
      </extLst>
    </cfRule>
    <cfRule type="iconSet" priority="4707">
      <iconSet iconSet="3Arrows">
        <cfvo type="percent" val="0"/>
        <cfvo type="num" val="0.7"/>
        <cfvo type="num" val="1"/>
      </iconSet>
    </cfRule>
  </conditionalFormatting>
  <conditionalFormatting sqref="N2353 N2355">
    <cfRule type="dataBar" priority="4706">
      <dataBar>
        <cfvo type="num" val="0"/>
        <cfvo type="num" val="1"/>
        <color theme="4" tint="0.79998168889431442"/>
      </dataBar>
      <extLst>
        <ext xmlns:x14="http://schemas.microsoft.com/office/spreadsheetml/2009/9/main" uri="{B025F937-C7B1-47D3-B67F-A62EFF666E3E}">
          <x14:id>{DC7C6CC2-6DFA-4900-ABE9-B8AC43B1A6D1}</x14:id>
        </ext>
      </extLst>
    </cfRule>
    <cfRule type="iconSet" priority="4705">
      <iconSet iconSet="3Arrows">
        <cfvo type="percent" val="0"/>
        <cfvo type="num" val="0.7"/>
        <cfvo type="num" val="1"/>
      </iconSet>
    </cfRule>
  </conditionalFormatting>
  <conditionalFormatting sqref="N2359">
    <cfRule type="dataBar" priority="4704">
      <dataBar>
        <cfvo type="num" val="0"/>
        <cfvo type="num" val="1"/>
        <color theme="4" tint="0.79998168889431442"/>
      </dataBar>
      <extLst>
        <ext xmlns:x14="http://schemas.microsoft.com/office/spreadsheetml/2009/9/main" uri="{B025F937-C7B1-47D3-B67F-A62EFF666E3E}">
          <x14:id>{371AE9BD-C5DF-4B40-B807-8E77806D365F}</x14:id>
        </ext>
      </extLst>
    </cfRule>
    <cfRule type="iconSet" priority="4703">
      <iconSet iconSet="3Arrows">
        <cfvo type="percent" val="0"/>
        <cfvo type="num" val="0.7"/>
        <cfvo type="num" val="1"/>
      </iconSet>
    </cfRule>
  </conditionalFormatting>
  <conditionalFormatting sqref="N2361 N2363 N2365">
    <cfRule type="dataBar" priority="4702">
      <dataBar>
        <cfvo type="num" val="0"/>
        <cfvo type="num" val="1"/>
        <color theme="4" tint="0.79998168889431442"/>
      </dataBar>
      <extLst>
        <ext xmlns:x14="http://schemas.microsoft.com/office/spreadsheetml/2009/9/main" uri="{B025F937-C7B1-47D3-B67F-A62EFF666E3E}">
          <x14:id>{AA894D04-A7F9-410F-BF7F-855B7B205AAB}</x14:id>
        </ext>
      </extLst>
    </cfRule>
    <cfRule type="iconSet" priority="4701">
      <iconSet iconSet="3Arrows">
        <cfvo type="percent" val="0"/>
        <cfvo type="num" val="0.7"/>
        <cfvo type="num" val="1"/>
      </iconSet>
    </cfRule>
  </conditionalFormatting>
  <conditionalFormatting sqref="N2367 N2369">
    <cfRule type="iconSet" priority="4699">
      <iconSet iconSet="3Arrows">
        <cfvo type="percent" val="0"/>
        <cfvo type="num" val="0.7"/>
        <cfvo type="num" val="1"/>
      </iconSet>
    </cfRule>
    <cfRule type="dataBar" priority="4700">
      <dataBar>
        <cfvo type="num" val="0"/>
        <cfvo type="num" val="1"/>
        <color theme="4" tint="0.79998168889431442"/>
      </dataBar>
      <extLst>
        <ext xmlns:x14="http://schemas.microsoft.com/office/spreadsheetml/2009/9/main" uri="{B025F937-C7B1-47D3-B67F-A62EFF666E3E}">
          <x14:id>{EA3B7CCB-2AAE-4568-98E1-6F0B3D343E8E}</x14:id>
        </ext>
      </extLst>
    </cfRule>
  </conditionalFormatting>
  <conditionalFormatting sqref="N2371">
    <cfRule type="iconSet" priority="4697">
      <iconSet iconSet="3Arrows">
        <cfvo type="percent" val="0"/>
        <cfvo type="num" val="0.7"/>
        <cfvo type="num" val="1"/>
      </iconSet>
    </cfRule>
    <cfRule type="dataBar" priority="4698">
      <dataBar>
        <cfvo type="num" val="0"/>
        <cfvo type="num" val="1"/>
        <color theme="4" tint="0.79998168889431442"/>
      </dataBar>
      <extLst>
        <ext xmlns:x14="http://schemas.microsoft.com/office/spreadsheetml/2009/9/main" uri="{B025F937-C7B1-47D3-B67F-A62EFF666E3E}">
          <x14:id>{FCD1D7D8-C8A8-4DA6-8E09-CDF80297BD90}</x14:id>
        </ext>
      </extLst>
    </cfRule>
  </conditionalFormatting>
  <conditionalFormatting sqref="N2375">
    <cfRule type="dataBar" priority="4696">
      <dataBar>
        <cfvo type="num" val="0"/>
        <cfvo type="num" val="1"/>
        <color theme="4" tint="0.79998168889431442"/>
      </dataBar>
      <extLst>
        <ext xmlns:x14="http://schemas.microsoft.com/office/spreadsheetml/2009/9/main" uri="{B025F937-C7B1-47D3-B67F-A62EFF666E3E}">
          <x14:id>{F102C73E-C419-479E-9682-6E300FC89C75}</x14:id>
        </ext>
      </extLst>
    </cfRule>
    <cfRule type="iconSet" priority="4695">
      <iconSet iconSet="3Arrows">
        <cfvo type="percent" val="0"/>
        <cfvo type="num" val="0.7"/>
        <cfvo type="num" val="1"/>
      </iconSet>
    </cfRule>
  </conditionalFormatting>
  <conditionalFormatting sqref="N2379">
    <cfRule type="dataBar" priority="4694">
      <dataBar>
        <cfvo type="num" val="0"/>
        <cfvo type="num" val="1"/>
        <color theme="4" tint="0.79998168889431442"/>
      </dataBar>
      <extLst>
        <ext xmlns:x14="http://schemas.microsoft.com/office/spreadsheetml/2009/9/main" uri="{B025F937-C7B1-47D3-B67F-A62EFF666E3E}">
          <x14:id>{48BB9272-0A51-457E-A5DE-CF1C04B8DDF0}</x14:id>
        </ext>
      </extLst>
    </cfRule>
    <cfRule type="iconSet" priority="4693">
      <iconSet iconSet="3Arrows">
        <cfvo type="percent" val="0"/>
        <cfvo type="num" val="0.7"/>
        <cfvo type="num" val="1"/>
      </iconSet>
    </cfRule>
  </conditionalFormatting>
  <conditionalFormatting sqref="N2381 N2383 N2385">
    <cfRule type="dataBar" priority="4692">
      <dataBar>
        <cfvo type="num" val="0"/>
        <cfvo type="num" val="1"/>
        <color theme="4" tint="0.79998168889431442"/>
      </dataBar>
      <extLst>
        <ext xmlns:x14="http://schemas.microsoft.com/office/spreadsheetml/2009/9/main" uri="{B025F937-C7B1-47D3-B67F-A62EFF666E3E}">
          <x14:id>{F273A047-F26D-48C5-83BF-4C494743CD64}</x14:id>
        </ext>
      </extLst>
    </cfRule>
    <cfRule type="iconSet" priority="4691">
      <iconSet iconSet="3Arrows">
        <cfvo type="percent" val="0"/>
        <cfvo type="num" val="0.7"/>
        <cfvo type="num" val="1"/>
      </iconSet>
    </cfRule>
  </conditionalFormatting>
  <conditionalFormatting sqref="N2387">
    <cfRule type="dataBar" priority="4690">
      <dataBar>
        <cfvo type="num" val="0"/>
        <cfvo type="num" val="1"/>
        <color theme="4" tint="0.79998168889431442"/>
      </dataBar>
      <extLst>
        <ext xmlns:x14="http://schemas.microsoft.com/office/spreadsheetml/2009/9/main" uri="{B025F937-C7B1-47D3-B67F-A62EFF666E3E}">
          <x14:id>{E5979415-A44A-4BBF-8530-47D3C563AF0A}</x14:id>
        </ext>
      </extLst>
    </cfRule>
    <cfRule type="iconSet" priority="4689">
      <iconSet iconSet="3Arrows">
        <cfvo type="percent" val="0"/>
        <cfvo type="num" val="0.7"/>
        <cfvo type="num" val="1"/>
      </iconSet>
    </cfRule>
  </conditionalFormatting>
  <conditionalFormatting sqref="N2389">
    <cfRule type="dataBar" priority="4688">
      <dataBar>
        <cfvo type="num" val="0"/>
        <cfvo type="num" val="1"/>
        <color theme="4" tint="0.79998168889431442"/>
      </dataBar>
      <extLst>
        <ext xmlns:x14="http://schemas.microsoft.com/office/spreadsheetml/2009/9/main" uri="{B025F937-C7B1-47D3-B67F-A62EFF666E3E}">
          <x14:id>{B718B3E7-32A1-4536-907D-BB7A96D24065}</x14:id>
        </ext>
      </extLst>
    </cfRule>
    <cfRule type="iconSet" priority="4687">
      <iconSet iconSet="3Arrows">
        <cfvo type="percent" val="0"/>
        <cfvo type="num" val="0.7"/>
        <cfvo type="num" val="1"/>
      </iconSet>
    </cfRule>
  </conditionalFormatting>
  <conditionalFormatting sqref="N2393">
    <cfRule type="dataBar" priority="4686">
      <dataBar>
        <cfvo type="num" val="0"/>
        <cfvo type="num" val="1"/>
        <color theme="4" tint="0.79998168889431442"/>
      </dataBar>
      <extLst>
        <ext xmlns:x14="http://schemas.microsoft.com/office/spreadsheetml/2009/9/main" uri="{B025F937-C7B1-47D3-B67F-A62EFF666E3E}">
          <x14:id>{4D40294C-2843-4E3C-AD89-0CE8C6461F18}</x14:id>
        </ext>
      </extLst>
    </cfRule>
    <cfRule type="iconSet" priority="4685">
      <iconSet iconSet="3Arrows">
        <cfvo type="percent" val="0"/>
        <cfvo type="num" val="0.7"/>
        <cfvo type="num" val="1"/>
      </iconSet>
    </cfRule>
  </conditionalFormatting>
  <conditionalFormatting sqref="N2395">
    <cfRule type="dataBar" priority="4684">
      <dataBar>
        <cfvo type="num" val="0"/>
        <cfvo type="num" val="1"/>
        <color theme="4" tint="0.79998168889431442"/>
      </dataBar>
      <extLst>
        <ext xmlns:x14="http://schemas.microsoft.com/office/spreadsheetml/2009/9/main" uri="{B025F937-C7B1-47D3-B67F-A62EFF666E3E}">
          <x14:id>{B46697BC-178E-49BE-A8D6-9708EA7312C4}</x14:id>
        </ext>
      </extLst>
    </cfRule>
    <cfRule type="iconSet" priority="4683">
      <iconSet iconSet="3Arrows">
        <cfvo type="percent" val="0"/>
        <cfvo type="num" val="0.7"/>
        <cfvo type="num" val="1"/>
      </iconSet>
    </cfRule>
  </conditionalFormatting>
  <conditionalFormatting sqref="N2397">
    <cfRule type="dataBar" priority="4682">
      <dataBar>
        <cfvo type="num" val="0"/>
        <cfvo type="num" val="1"/>
        <color theme="4" tint="0.79998168889431442"/>
      </dataBar>
      <extLst>
        <ext xmlns:x14="http://schemas.microsoft.com/office/spreadsheetml/2009/9/main" uri="{B025F937-C7B1-47D3-B67F-A62EFF666E3E}">
          <x14:id>{50E792C9-62AE-4E63-A94D-6499CAEC509D}</x14:id>
        </ext>
      </extLst>
    </cfRule>
    <cfRule type="iconSet" priority="4681">
      <iconSet iconSet="3Arrows">
        <cfvo type="percent" val="0"/>
        <cfvo type="num" val="0.7"/>
        <cfvo type="num" val="1"/>
      </iconSet>
    </cfRule>
  </conditionalFormatting>
  <conditionalFormatting sqref="N2401">
    <cfRule type="dataBar" priority="4680">
      <dataBar>
        <cfvo type="num" val="0"/>
        <cfvo type="num" val="1"/>
        <color theme="4" tint="0.79998168889431442"/>
      </dataBar>
      <extLst>
        <ext xmlns:x14="http://schemas.microsoft.com/office/spreadsheetml/2009/9/main" uri="{B025F937-C7B1-47D3-B67F-A62EFF666E3E}">
          <x14:id>{F50B4768-0803-4918-958C-5D82973C9DB4}</x14:id>
        </ext>
      </extLst>
    </cfRule>
    <cfRule type="iconSet" priority="4679">
      <iconSet iconSet="3Arrows">
        <cfvo type="percent" val="0"/>
        <cfvo type="num" val="0.7"/>
        <cfvo type="num" val="1"/>
      </iconSet>
    </cfRule>
  </conditionalFormatting>
  <conditionalFormatting sqref="N2405">
    <cfRule type="dataBar" priority="4678">
      <dataBar>
        <cfvo type="num" val="0"/>
        <cfvo type="num" val="1"/>
        <color theme="4" tint="0.79998168889431442"/>
      </dataBar>
      <extLst>
        <ext xmlns:x14="http://schemas.microsoft.com/office/spreadsheetml/2009/9/main" uri="{B025F937-C7B1-47D3-B67F-A62EFF666E3E}">
          <x14:id>{DE8F7F9A-02E1-4DEF-878C-C3BBE9342566}</x14:id>
        </ext>
      </extLst>
    </cfRule>
    <cfRule type="iconSet" priority="4677">
      <iconSet iconSet="3Arrows">
        <cfvo type="percent" val="0"/>
        <cfvo type="num" val="0.7"/>
        <cfvo type="num" val="1"/>
      </iconSet>
    </cfRule>
  </conditionalFormatting>
  <conditionalFormatting sqref="N2407 N2411 N2415 N2419 N2409 N2413 N2417 N2421">
    <cfRule type="dataBar" priority="4676">
      <dataBar>
        <cfvo type="num" val="0"/>
        <cfvo type="num" val="1"/>
        <color theme="4" tint="0.79998168889431442"/>
      </dataBar>
      <extLst>
        <ext xmlns:x14="http://schemas.microsoft.com/office/spreadsheetml/2009/9/main" uri="{B025F937-C7B1-47D3-B67F-A62EFF666E3E}">
          <x14:id>{5FBD4A9A-7512-4286-B30A-C818BDC0B65F}</x14:id>
        </ext>
      </extLst>
    </cfRule>
    <cfRule type="iconSet" priority="4675">
      <iconSet iconSet="3Arrows">
        <cfvo type="percent" val="0"/>
        <cfvo type="num" val="0.7"/>
        <cfvo type="num" val="1"/>
      </iconSet>
    </cfRule>
  </conditionalFormatting>
  <conditionalFormatting sqref="N2423 N2427 N2431 N2435 N2425 N2429 N2433 N2437">
    <cfRule type="dataBar" priority="4674">
      <dataBar>
        <cfvo type="num" val="0"/>
        <cfvo type="num" val="1"/>
        <color theme="4" tint="0.79998168889431442"/>
      </dataBar>
      <extLst>
        <ext xmlns:x14="http://schemas.microsoft.com/office/spreadsheetml/2009/9/main" uri="{B025F937-C7B1-47D3-B67F-A62EFF666E3E}">
          <x14:id>{99B6F801-46E9-4B27-BC0C-B269EAB16616}</x14:id>
        </ext>
      </extLst>
    </cfRule>
    <cfRule type="iconSet" priority="4673">
      <iconSet iconSet="3Arrows">
        <cfvo type="percent" val="0"/>
        <cfvo type="num" val="0.7"/>
        <cfvo type="num" val="1"/>
      </iconSet>
    </cfRule>
  </conditionalFormatting>
  <conditionalFormatting sqref="N2439">
    <cfRule type="iconSet" priority="4671">
      <iconSet iconSet="3Arrows">
        <cfvo type="percent" val="0"/>
        <cfvo type="num" val="0.7"/>
        <cfvo type="num" val="1"/>
      </iconSet>
    </cfRule>
    <cfRule type="dataBar" priority="4672">
      <dataBar>
        <cfvo type="num" val="0"/>
        <cfvo type="num" val="1"/>
        <color theme="4" tint="0.79998168889431442"/>
      </dataBar>
      <extLst>
        <ext xmlns:x14="http://schemas.microsoft.com/office/spreadsheetml/2009/9/main" uri="{B025F937-C7B1-47D3-B67F-A62EFF666E3E}">
          <x14:id>{E617080D-EE1D-450F-ACB4-A0D0E7B81369}</x14:id>
        </ext>
      </extLst>
    </cfRule>
  </conditionalFormatting>
  <conditionalFormatting sqref="N2441 N2449 N2443 N2445 N2447 N2451">
    <cfRule type="iconSet" priority="4669">
      <iconSet iconSet="3Arrows">
        <cfvo type="percent" val="0"/>
        <cfvo type="num" val="0.7"/>
        <cfvo type="num" val="1"/>
      </iconSet>
    </cfRule>
    <cfRule type="dataBar" priority="4670">
      <dataBar>
        <cfvo type="num" val="0"/>
        <cfvo type="num" val="1"/>
        <color theme="4" tint="0.79998168889431442"/>
      </dataBar>
      <extLst>
        <ext xmlns:x14="http://schemas.microsoft.com/office/spreadsheetml/2009/9/main" uri="{B025F937-C7B1-47D3-B67F-A62EFF666E3E}">
          <x14:id>{ABEAC120-1055-4E75-AE96-D4AA0D91DC6E}</x14:id>
        </ext>
      </extLst>
    </cfRule>
  </conditionalFormatting>
  <conditionalFormatting sqref="N2453">
    <cfRule type="iconSet" priority="4667">
      <iconSet iconSet="3Arrows">
        <cfvo type="percent" val="0"/>
        <cfvo type="num" val="0.7"/>
        <cfvo type="num" val="1"/>
      </iconSet>
    </cfRule>
    <cfRule type="dataBar" priority="4668">
      <dataBar>
        <cfvo type="num" val="0"/>
        <cfvo type="num" val="1"/>
        <color theme="4" tint="0.79998168889431442"/>
      </dataBar>
      <extLst>
        <ext xmlns:x14="http://schemas.microsoft.com/office/spreadsheetml/2009/9/main" uri="{B025F937-C7B1-47D3-B67F-A62EFF666E3E}">
          <x14:id>{7AAF3D57-ABD8-449F-8902-E1B60FBA0403}</x14:id>
        </ext>
      </extLst>
    </cfRule>
  </conditionalFormatting>
  <conditionalFormatting sqref="N2457">
    <cfRule type="dataBar" priority="4666">
      <dataBar>
        <cfvo type="num" val="0"/>
        <cfvo type="num" val="1"/>
        <color theme="4" tint="0.79998168889431442"/>
      </dataBar>
      <extLst>
        <ext xmlns:x14="http://schemas.microsoft.com/office/spreadsheetml/2009/9/main" uri="{B025F937-C7B1-47D3-B67F-A62EFF666E3E}">
          <x14:id>{B9B3D61E-8457-48D8-9FB1-2E90F6859C43}</x14:id>
        </ext>
      </extLst>
    </cfRule>
    <cfRule type="iconSet" priority="4665">
      <iconSet iconSet="3Arrows">
        <cfvo type="percent" val="0"/>
        <cfvo type="num" val="0.7"/>
        <cfvo type="num" val="1"/>
      </iconSet>
    </cfRule>
  </conditionalFormatting>
  <conditionalFormatting sqref="N2459 N2461">
    <cfRule type="dataBar" priority="4664">
      <dataBar>
        <cfvo type="num" val="0"/>
        <cfvo type="num" val="1"/>
        <color theme="4" tint="0.79998168889431442"/>
      </dataBar>
      <extLst>
        <ext xmlns:x14="http://schemas.microsoft.com/office/spreadsheetml/2009/9/main" uri="{B025F937-C7B1-47D3-B67F-A62EFF666E3E}">
          <x14:id>{DDAD41CD-ABFE-4D36-9A76-5BF775D04FD3}</x14:id>
        </ext>
      </extLst>
    </cfRule>
    <cfRule type="iconSet" priority="4663">
      <iconSet iconSet="3Arrows">
        <cfvo type="percent" val="0"/>
        <cfvo type="num" val="0.7"/>
        <cfvo type="num" val="1"/>
      </iconSet>
    </cfRule>
  </conditionalFormatting>
  <conditionalFormatting sqref="N2463 N2465">
    <cfRule type="dataBar" priority="4662">
      <dataBar>
        <cfvo type="num" val="0"/>
        <cfvo type="num" val="1"/>
        <color theme="4" tint="0.79998168889431442"/>
      </dataBar>
      <extLst>
        <ext xmlns:x14="http://schemas.microsoft.com/office/spreadsheetml/2009/9/main" uri="{B025F937-C7B1-47D3-B67F-A62EFF666E3E}">
          <x14:id>{5EC353C7-3F86-4100-A20E-D84CC9822D51}</x14:id>
        </ext>
      </extLst>
    </cfRule>
    <cfRule type="iconSet" priority="4661">
      <iconSet iconSet="3Arrows">
        <cfvo type="percent" val="0"/>
        <cfvo type="num" val="0.7"/>
        <cfvo type="num" val="1"/>
      </iconSet>
    </cfRule>
  </conditionalFormatting>
  <conditionalFormatting sqref="N2467 N2469">
    <cfRule type="dataBar" priority="4660">
      <dataBar>
        <cfvo type="num" val="0"/>
        <cfvo type="num" val="1"/>
        <color theme="4" tint="0.79998168889431442"/>
      </dataBar>
      <extLst>
        <ext xmlns:x14="http://schemas.microsoft.com/office/spreadsheetml/2009/9/main" uri="{B025F937-C7B1-47D3-B67F-A62EFF666E3E}">
          <x14:id>{F456C352-205A-4ADD-89B4-AFA5EEBC4332}</x14:id>
        </ext>
      </extLst>
    </cfRule>
    <cfRule type="iconSet" priority="4659">
      <iconSet iconSet="3Arrows">
        <cfvo type="percent" val="0"/>
        <cfvo type="num" val="0.7"/>
        <cfvo type="num" val="1"/>
      </iconSet>
    </cfRule>
  </conditionalFormatting>
  <conditionalFormatting sqref="N2471 N2473">
    <cfRule type="dataBar" priority="4658">
      <dataBar>
        <cfvo type="num" val="0"/>
        <cfvo type="num" val="1"/>
        <color theme="4" tint="0.79998168889431442"/>
      </dataBar>
      <extLst>
        <ext xmlns:x14="http://schemas.microsoft.com/office/spreadsheetml/2009/9/main" uri="{B025F937-C7B1-47D3-B67F-A62EFF666E3E}">
          <x14:id>{C610D2E2-B33F-4337-9E6B-B71C887EF676}</x14:id>
        </ext>
      </extLst>
    </cfRule>
    <cfRule type="iconSet" priority="4657">
      <iconSet iconSet="3Arrows">
        <cfvo type="percent" val="0"/>
        <cfvo type="num" val="0.7"/>
        <cfvo type="num" val="1"/>
      </iconSet>
    </cfRule>
  </conditionalFormatting>
  <conditionalFormatting sqref="N2475 N2477">
    <cfRule type="dataBar" priority="4656">
      <dataBar>
        <cfvo type="num" val="0"/>
        <cfvo type="num" val="1"/>
        <color theme="4" tint="0.79998168889431442"/>
      </dataBar>
      <extLst>
        <ext xmlns:x14="http://schemas.microsoft.com/office/spreadsheetml/2009/9/main" uri="{B025F937-C7B1-47D3-B67F-A62EFF666E3E}">
          <x14:id>{E4813800-5F95-41CC-AFCF-419ADEF35E5D}</x14:id>
        </ext>
      </extLst>
    </cfRule>
    <cfRule type="iconSet" priority="4655">
      <iconSet iconSet="3Arrows">
        <cfvo type="percent" val="0"/>
        <cfvo type="num" val="0.7"/>
        <cfvo type="num" val="1"/>
      </iconSet>
    </cfRule>
  </conditionalFormatting>
  <conditionalFormatting sqref="N2479 N2481">
    <cfRule type="dataBar" priority="4654">
      <dataBar>
        <cfvo type="num" val="0"/>
        <cfvo type="num" val="1"/>
        <color theme="4" tint="0.79998168889431442"/>
      </dataBar>
      <extLst>
        <ext xmlns:x14="http://schemas.microsoft.com/office/spreadsheetml/2009/9/main" uri="{B025F937-C7B1-47D3-B67F-A62EFF666E3E}">
          <x14:id>{BF62965C-63B9-425C-A6B4-5576CF5A170F}</x14:id>
        </ext>
      </extLst>
    </cfRule>
    <cfRule type="iconSet" priority="4653">
      <iconSet iconSet="3Arrows">
        <cfvo type="percent" val="0"/>
        <cfvo type="num" val="0.7"/>
        <cfvo type="num" val="1"/>
      </iconSet>
    </cfRule>
  </conditionalFormatting>
  <conditionalFormatting sqref="N2483 N2485">
    <cfRule type="dataBar" priority="4652">
      <dataBar>
        <cfvo type="num" val="0"/>
        <cfvo type="num" val="1"/>
        <color theme="4" tint="0.79998168889431442"/>
      </dataBar>
      <extLst>
        <ext xmlns:x14="http://schemas.microsoft.com/office/spreadsheetml/2009/9/main" uri="{B025F937-C7B1-47D3-B67F-A62EFF666E3E}">
          <x14:id>{8FCCCBC6-23C8-4DB6-94B9-8A78A7A5C57E}</x14:id>
        </ext>
      </extLst>
    </cfRule>
    <cfRule type="iconSet" priority="4651">
      <iconSet iconSet="3Arrows">
        <cfvo type="percent" val="0"/>
        <cfvo type="num" val="0.7"/>
        <cfvo type="num" val="1"/>
      </iconSet>
    </cfRule>
  </conditionalFormatting>
  <conditionalFormatting sqref="N2487 N2489">
    <cfRule type="iconSet" priority="4649">
      <iconSet iconSet="3Arrows">
        <cfvo type="percent" val="0"/>
        <cfvo type="num" val="0.7"/>
        <cfvo type="num" val="1"/>
      </iconSet>
    </cfRule>
    <cfRule type="dataBar" priority="4650">
      <dataBar>
        <cfvo type="num" val="0"/>
        <cfvo type="num" val="1"/>
        <color theme="4" tint="0.79998168889431442"/>
      </dataBar>
      <extLst>
        <ext xmlns:x14="http://schemas.microsoft.com/office/spreadsheetml/2009/9/main" uri="{B025F937-C7B1-47D3-B67F-A62EFF666E3E}">
          <x14:id>{ACA2E3A4-ED8D-4A4C-8DAB-82E7BCB1C152}</x14:id>
        </ext>
      </extLst>
    </cfRule>
  </conditionalFormatting>
  <conditionalFormatting sqref="N2491 N2493">
    <cfRule type="dataBar" priority="4648">
      <dataBar>
        <cfvo type="num" val="0"/>
        <cfvo type="num" val="1"/>
        <color theme="4" tint="0.79998168889431442"/>
      </dataBar>
      <extLst>
        <ext xmlns:x14="http://schemas.microsoft.com/office/spreadsheetml/2009/9/main" uri="{B025F937-C7B1-47D3-B67F-A62EFF666E3E}">
          <x14:id>{E8CF20F0-77A2-4AB1-BF88-A7EFA3B5E0EC}</x14:id>
        </ext>
      </extLst>
    </cfRule>
    <cfRule type="iconSet" priority="4647">
      <iconSet iconSet="3Arrows">
        <cfvo type="percent" val="0"/>
        <cfvo type="num" val="0.7"/>
        <cfvo type="num" val="1"/>
      </iconSet>
    </cfRule>
  </conditionalFormatting>
  <conditionalFormatting sqref="N2495 N2497">
    <cfRule type="dataBar" priority="4646">
      <dataBar>
        <cfvo type="num" val="0"/>
        <cfvo type="num" val="1"/>
        <color theme="4" tint="0.79998168889431442"/>
      </dataBar>
      <extLst>
        <ext xmlns:x14="http://schemas.microsoft.com/office/spreadsheetml/2009/9/main" uri="{B025F937-C7B1-47D3-B67F-A62EFF666E3E}">
          <x14:id>{68DA0B64-6771-4B5F-B742-C6255255EA8B}</x14:id>
        </ext>
      </extLst>
    </cfRule>
    <cfRule type="iconSet" priority="4645">
      <iconSet iconSet="3Arrows">
        <cfvo type="percent" val="0"/>
        <cfvo type="num" val="0.7"/>
        <cfvo type="num" val="1"/>
      </iconSet>
    </cfRule>
  </conditionalFormatting>
  <conditionalFormatting sqref="N2499">
    <cfRule type="dataBar" priority="4644">
      <dataBar>
        <cfvo type="num" val="0"/>
        <cfvo type="num" val="1"/>
        <color theme="4" tint="0.79998168889431442"/>
      </dataBar>
      <extLst>
        <ext xmlns:x14="http://schemas.microsoft.com/office/spreadsheetml/2009/9/main" uri="{B025F937-C7B1-47D3-B67F-A62EFF666E3E}">
          <x14:id>{9155D83D-32AC-413F-B5C7-F16B8F1B32B1}</x14:id>
        </ext>
      </extLst>
    </cfRule>
    <cfRule type="iconSet" priority="4643">
      <iconSet iconSet="3Arrows">
        <cfvo type="percent" val="0"/>
        <cfvo type="num" val="0.7"/>
        <cfvo type="num" val="1"/>
      </iconSet>
    </cfRule>
  </conditionalFormatting>
  <conditionalFormatting sqref="N2501 N2503">
    <cfRule type="dataBar" priority="4642">
      <dataBar>
        <cfvo type="num" val="0"/>
        <cfvo type="num" val="1"/>
        <color theme="4" tint="0.79998168889431442"/>
      </dataBar>
      <extLst>
        <ext xmlns:x14="http://schemas.microsoft.com/office/spreadsheetml/2009/9/main" uri="{B025F937-C7B1-47D3-B67F-A62EFF666E3E}">
          <x14:id>{6224E007-0416-4FEA-8FD0-58712E135A14}</x14:id>
        </ext>
      </extLst>
    </cfRule>
    <cfRule type="iconSet" priority="4641">
      <iconSet iconSet="3Arrows">
        <cfvo type="percent" val="0"/>
        <cfvo type="num" val="0.7"/>
        <cfvo type="num" val="1"/>
      </iconSet>
    </cfRule>
  </conditionalFormatting>
  <conditionalFormatting sqref="N2505 N2507">
    <cfRule type="dataBar" priority="4640">
      <dataBar>
        <cfvo type="num" val="0"/>
        <cfvo type="num" val="1"/>
        <color theme="4" tint="0.79998168889431442"/>
      </dataBar>
      <extLst>
        <ext xmlns:x14="http://schemas.microsoft.com/office/spreadsheetml/2009/9/main" uri="{B025F937-C7B1-47D3-B67F-A62EFF666E3E}">
          <x14:id>{7A6DFC1E-E0A6-475A-8BEE-880634B7E102}</x14:id>
        </ext>
      </extLst>
    </cfRule>
    <cfRule type="iconSet" priority="4639">
      <iconSet iconSet="3Arrows">
        <cfvo type="percent" val="0"/>
        <cfvo type="num" val="0.7"/>
        <cfvo type="num" val="1"/>
      </iconSet>
    </cfRule>
  </conditionalFormatting>
  <conditionalFormatting sqref="N2509 N2511">
    <cfRule type="dataBar" priority="4638">
      <dataBar>
        <cfvo type="num" val="0"/>
        <cfvo type="num" val="1"/>
        <color theme="4" tint="0.79998168889431442"/>
      </dataBar>
      <extLst>
        <ext xmlns:x14="http://schemas.microsoft.com/office/spreadsheetml/2009/9/main" uri="{B025F937-C7B1-47D3-B67F-A62EFF666E3E}">
          <x14:id>{907590FE-298A-4E29-9B72-3ED26CDB2364}</x14:id>
        </ext>
      </extLst>
    </cfRule>
    <cfRule type="iconSet" priority="4637">
      <iconSet iconSet="3Arrows">
        <cfvo type="percent" val="0"/>
        <cfvo type="num" val="0.7"/>
        <cfvo type="num" val="1"/>
      </iconSet>
    </cfRule>
  </conditionalFormatting>
  <conditionalFormatting sqref="N2513 N2515">
    <cfRule type="dataBar" priority="4636">
      <dataBar>
        <cfvo type="num" val="0"/>
        <cfvo type="num" val="1"/>
        <color theme="4" tint="0.79998168889431442"/>
      </dataBar>
      <extLst>
        <ext xmlns:x14="http://schemas.microsoft.com/office/spreadsheetml/2009/9/main" uri="{B025F937-C7B1-47D3-B67F-A62EFF666E3E}">
          <x14:id>{DFC1DF21-47A5-41F9-9F7C-1C1D4602A7CE}</x14:id>
        </ext>
      </extLst>
    </cfRule>
    <cfRule type="iconSet" priority="4635">
      <iconSet iconSet="3Arrows">
        <cfvo type="percent" val="0"/>
        <cfvo type="num" val="0.7"/>
        <cfvo type="num" val="1"/>
      </iconSet>
    </cfRule>
  </conditionalFormatting>
  <conditionalFormatting sqref="N2517 N2519">
    <cfRule type="iconSet" priority="4633">
      <iconSet iconSet="3Arrows">
        <cfvo type="percent" val="0"/>
        <cfvo type="num" val="0.7"/>
        <cfvo type="num" val="1"/>
      </iconSet>
    </cfRule>
    <cfRule type="dataBar" priority="4634">
      <dataBar>
        <cfvo type="num" val="0"/>
        <cfvo type="num" val="1"/>
        <color theme="4" tint="0.79998168889431442"/>
      </dataBar>
      <extLst>
        <ext xmlns:x14="http://schemas.microsoft.com/office/spreadsheetml/2009/9/main" uri="{B025F937-C7B1-47D3-B67F-A62EFF666E3E}">
          <x14:id>{EF9F5305-CFAD-446E-A205-CD825BED0813}</x14:id>
        </ext>
      </extLst>
    </cfRule>
  </conditionalFormatting>
  <conditionalFormatting sqref="N2521">
    <cfRule type="iconSet" priority="4631">
      <iconSet iconSet="3Arrows">
        <cfvo type="percent" val="0"/>
        <cfvo type="num" val="0.7"/>
        <cfvo type="num" val="1"/>
      </iconSet>
    </cfRule>
    <cfRule type="dataBar" priority="4632">
      <dataBar>
        <cfvo type="num" val="0"/>
        <cfvo type="num" val="1"/>
        <color theme="4" tint="0.79998168889431442"/>
      </dataBar>
      <extLst>
        <ext xmlns:x14="http://schemas.microsoft.com/office/spreadsheetml/2009/9/main" uri="{B025F937-C7B1-47D3-B67F-A62EFF666E3E}">
          <x14:id>{3B84EDDF-0885-4198-B932-C62FE6D862B2}</x14:id>
        </ext>
      </extLst>
    </cfRule>
  </conditionalFormatting>
  <conditionalFormatting sqref="N2523">
    <cfRule type="dataBar" priority="4630">
      <dataBar>
        <cfvo type="num" val="0"/>
        <cfvo type="num" val="1"/>
        <color theme="4" tint="0.79998168889431442"/>
      </dataBar>
      <extLst>
        <ext xmlns:x14="http://schemas.microsoft.com/office/spreadsheetml/2009/9/main" uri="{B025F937-C7B1-47D3-B67F-A62EFF666E3E}">
          <x14:id>{BBC2A1EA-5E5B-451E-928F-F20742C2C987}</x14:id>
        </ext>
      </extLst>
    </cfRule>
    <cfRule type="iconSet" priority="4629">
      <iconSet iconSet="3Arrows">
        <cfvo type="percent" val="0"/>
        <cfvo type="num" val="0.7"/>
        <cfvo type="num" val="1"/>
      </iconSet>
    </cfRule>
  </conditionalFormatting>
  <conditionalFormatting sqref="N2527">
    <cfRule type="dataBar" priority="4628">
      <dataBar>
        <cfvo type="num" val="0"/>
        <cfvo type="num" val="1"/>
        <color theme="4" tint="0.79998168889431442"/>
      </dataBar>
      <extLst>
        <ext xmlns:x14="http://schemas.microsoft.com/office/spreadsheetml/2009/9/main" uri="{B025F937-C7B1-47D3-B67F-A62EFF666E3E}">
          <x14:id>{E2E74CC2-3244-450A-BEE1-8F6701C1A6D3}</x14:id>
        </ext>
      </extLst>
    </cfRule>
    <cfRule type="iconSet" priority="4627">
      <iconSet iconSet="3Arrows">
        <cfvo type="percent" val="0"/>
        <cfvo type="num" val="0.7"/>
        <cfvo type="num" val="1"/>
      </iconSet>
    </cfRule>
  </conditionalFormatting>
  <conditionalFormatting sqref="N2529">
    <cfRule type="dataBar" priority="4626">
      <dataBar>
        <cfvo type="num" val="0"/>
        <cfvo type="num" val="1"/>
        <color theme="4" tint="0.79998168889431442"/>
      </dataBar>
      <extLst>
        <ext xmlns:x14="http://schemas.microsoft.com/office/spreadsheetml/2009/9/main" uri="{B025F937-C7B1-47D3-B67F-A62EFF666E3E}">
          <x14:id>{34051197-20F6-47F8-84F6-C14E5459F714}</x14:id>
        </ext>
      </extLst>
    </cfRule>
    <cfRule type="iconSet" priority="4625">
      <iconSet iconSet="3Arrows">
        <cfvo type="percent" val="0"/>
        <cfvo type="num" val="0.7"/>
        <cfvo type="num" val="1"/>
      </iconSet>
    </cfRule>
  </conditionalFormatting>
  <conditionalFormatting sqref="N2531 N2533">
    <cfRule type="dataBar" priority="4624">
      <dataBar>
        <cfvo type="num" val="0"/>
        <cfvo type="num" val="1"/>
        <color theme="4" tint="0.79998168889431442"/>
      </dataBar>
      <extLst>
        <ext xmlns:x14="http://schemas.microsoft.com/office/spreadsheetml/2009/9/main" uri="{B025F937-C7B1-47D3-B67F-A62EFF666E3E}">
          <x14:id>{436620DE-8C39-4A12-8031-6F1F52B1984D}</x14:id>
        </ext>
      </extLst>
    </cfRule>
    <cfRule type="iconSet" priority="4623">
      <iconSet iconSet="3Arrows">
        <cfvo type="percent" val="0"/>
        <cfvo type="num" val="0.7"/>
        <cfvo type="num" val="1"/>
      </iconSet>
    </cfRule>
  </conditionalFormatting>
  <conditionalFormatting sqref="N2537">
    <cfRule type="dataBar" priority="4622">
      <dataBar>
        <cfvo type="num" val="0"/>
        <cfvo type="num" val="1"/>
        <color theme="4" tint="0.79998168889431442"/>
      </dataBar>
      <extLst>
        <ext xmlns:x14="http://schemas.microsoft.com/office/spreadsheetml/2009/9/main" uri="{B025F937-C7B1-47D3-B67F-A62EFF666E3E}">
          <x14:id>{B3239139-2548-4B20-9A74-337A2DB24775}</x14:id>
        </ext>
      </extLst>
    </cfRule>
    <cfRule type="iconSet" priority="4621">
      <iconSet iconSet="3Arrows">
        <cfvo type="percent" val="0"/>
        <cfvo type="num" val="0.7"/>
        <cfvo type="num" val="1"/>
      </iconSet>
    </cfRule>
  </conditionalFormatting>
  <conditionalFormatting sqref="N2539 N2541 N2543">
    <cfRule type="dataBar" priority="4620">
      <dataBar>
        <cfvo type="num" val="0"/>
        <cfvo type="num" val="1"/>
        <color theme="4" tint="0.79998168889431442"/>
      </dataBar>
      <extLst>
        <ext xmlns:x14="http://schemas.microsoft.com/office/spreadsheetml/2009/9/main" uri="{B025F937-C7B1-47D3-B67F-A62EFF666E3E}">
          <x14:id>{73FB6A6D-6B22-4CCD-B8AC-BA0720818314}</x14:id>
        </ext>
      </extLst>
    </cfRule>
    <cfRule type="iconSet" priority="4619">
      <iconSet iconSet="3Arrows">
        <cfvo type="percent" val="0"/>
        <cfvo type="num" val="0.7"/>
        <cfvo type="num" val="1"/>
      </iconSet>
    </cfRule>
  </conditionalFormatting>
  <conditionalFormatting sqref="N2545 N2547 N2549">
    <cfRule type="iconSet" priority="4617">
      <iconSet iconSet="3Arrows">
        <cfvo type="percent" val="0"/>
        <cfvo type="num" val="0.7"/>
        <cfvo type="num" val="1"/>
      </iconSet>
    </cfRule>
    <cfRule type="dataBar" priority="4618">
      <dataBar>
        <cfvo type="num" val="0"/>
        <cfvo type="num" val="1"/>
        <color theme="4" tint="0.79998168889431442"/>
      </dataBar>
      <extLst>
        <ext xmlns:x14="http://schemas.microsoft.com/office/spreadsheetml/2009/9/main" uri="{B025F937-C7B1-47D3-B67F-A62EFF666E3E}">
          <x14:id>{0759FA1B-ECB8-47E0-97E8-D51DC837969A}</x14:id>
        </ext>
      </extLst>
    </cfRule>
  </conditionalFormatting>
  <conditionalFormatting sqref="N2551 N2553">
    <cfRule type="dataBar" priority="4616">
      <dataBar>
        <cfvo type="num" val="0"/>
        <cfvo type="num" val="1"/>
        <color theme="4" tint="0.79998168889431442"/>
      </dataBar>
      <extLst>
        <ext xmlns:x14="http://schemas.microsoft.com/office/spreadsheetml/2009/9/main" uri="{B025F937-C7B1-47D3-B67F-A62EFF666E3E}">
          <x14:id>{09A39DF0-5A9B-4691-A59E-FDD33EE3BB83}</x14:id>
        </ext>
      </extLst>
    </cfRule>
    <cfRule type="iconSet" priority="4615">
      <iconSet iconSet="3Arrows">
        <cfvo type="percent" val="0"/>
        <cfvo type="num" val="0.7"/>
        <cfvo type="num" val="1"/>
      </iconSet>
    </cfRule>
  </conditionalFormatting>
  <conditionalFormatting sqref="N2555 N2557 N2559">
    <cfRule type="dataBar" priority="4614">
      <dataBar>
        <cfvo type="num" val="0"/>
        <cfvo type="num" val="1"/>
        <color theme="4" tint="0.79998168889431442"/>
      </dataBar>
      <extLst>
        <ext xmlns:x14="http://schemas.microsoft.com/office/spreadsheetml/2009/9/main" uri="{B025F937-C7B1-47D3-B67F-A62EFF666E3E}">
          <x14:id>{7919CEC9-7167-4DC2-A0AC-4B97942D3A3C}</x14:id>
        </ext>
      </extLst>
    </cfRule>
    <cfRule type="iconSet" priority="4613">
      <iconSet iconSet="3Arrows">
        <cfvo type="percent" val="0"/>
        <cfvo type="num" val="0.7"/>
        <cfvo type="num" val="1"/>
      </iconSet>
    </cfRule>
  </conditionalFormatting>
  <conditionalFormatting sqref="N2563">
    <cfRule type="dataBar" priority="4612">
      <dataBar>
        <cfvo type="num" val="0"/>
        <cfvo type="num" val="1"/>
        <color theme="4" tint="0.79998168889431442"/>
      </dataBar>
      <extLst>
        <ext xmlns:x14="http://schemas.microsoft.com/office/spreadsheetml/2009/9/main" uri="{B025F937-C7B1-47D3-B67F-A62EFF666E3E}">
          <x14:id>{251139AE-49FF-468F-A0E1-0F18D80FCB58}</x14:id>
        </ext>
      </extLst>
    </cfRule>
    <cfRule type="iconSet" priority="4611">
      <iconSet iconSet="3Arrows">
        <cfvo type="percent" val="0"/>
        <cfvo type="num" val="0.7"/>
        <cfvo type="num" val="1"/>
      </iconSet>
    </cfRule>
  </conditionalFormatting>
  <conditionalFormatting sqref="N2565 N2567 N2569">
    <cfRule type="iconSet" priority="4609">
      <iconSet iconSet="3Arrows">
        <cfvo type="percent" val="0"/>
        <cfvo type="num" val="0.7"/>
        <cfvo type="num" val="1"/>
      </iconSet>
    </cfRule>
    <cfRule type="dataBar" priority="4610">
      <dataBar>
        <cfvo type="num" val="0"/>
        <cfvo type="num" val="1"/>
        <color theme="4" tint="0.79998168889431442"/>
      </dataBar>
      <extLst>
        <ext xmlns:x14="http://schemas.microsoft.com/office/spreadsheetml/2009/9/main" uri="{B025F937-C7B1-47D3-B67F-A62EFF666E3E}">
          <x14:id>{008286FC-E200-488D-9C6B-61E5B2E7F9D9}</x14:id>
        </ext>
      </extLst>
    </cfRule>
  </conditionalFormatting>
  <conditionalFormatting sqref="N2571 N2573 N2575">
    <cfRule type="dataBar" priority="4608">
      <dataBar>
        <cfvo type="num" val="0"/>
        <cfvo type="num" val="1"/>
        <color theme="4" tint="0.79998168889431442"/>
      </dataBar>
      <extLst>
        <ext xmlns:x14="http://schemas.microsoft.com/office/spreadsheetml/2009/9/main" uri="{B025F937-C7B1-47D3-B67F-A62EFF666E3E}">
          <x14:id>{167B8DCF-92C2-4244-ACE3-6FF8FD8DA084}</x14:id>
        </ext>
      </extLst>
    </cfRule>
    <cfRule type="iconSet" priority="4607">
      <iconSet iconSet="3Arrows">
        <cfvo type="percent" val="0"/>
        <cfvo type="num" val="0.7"/>
        <cfvo type="num" val="1"/>
      </iconSet>
    </cfRule>
  </conditionalFormatting>
  <conditionalFormatting sqref="N2577 N2579 N2581">
    <cfRule type="dataBar" priority="4606">
      <dataBar>
        <cfvo type="num" val="0"/>
        <cfvo type="num" val="1"/>
        <color theme="4" tint="0.79998168889431442"/>
      </dataBar>
      <extLst>
        <ext xmlns:x14="http://schemas.microsoft.com/office/spreadsheetml/2009/9/main" uri="{B025F937-C7B1-47D3-B67F-A62EFF666E3E}">
          <x14:id>{814B7350-52A4-4A6E-9EA8-EE226E889250}</x14:id>
        </ext>
      </extLst>
    </cfRule>
    <cfRule type="iconSet" priority="4605">
      <iconSet iconSet="3Arrows">
        <cfvo type="percent" val="0"/>
        <cfvo type="num" val="0.7"/>
        <cfvo type="num" val="1"/>
      </iconSet>
    </cfRule>
  </conditionalFormatting>
  <conditionalFormatting sqref="N2583 N2585 N2587">
    <cfRule type="dataBar" priority="4604">
      <dataBar>
        <cfvo type="num" val="0"/>
        <cfvo type="num" val="1"/>
        <color theme="4" tint="0.79998168889431442"/>
      </dataBar>
      <extLst>
        <ext xmlns:x14="http://schemas.microsoft.com/office/spreadsheetml/2009/9/main" uri="{B025F937-C7B1-47D3-B67F-A62EFF666E3E}">
          <x14:id>{1D1D7622-5FF0-4731-A8C6-D7B3F1621ECA}</x14:id>
        </ext>
      </extLst>
    </cfRule>
    <cfRule type="iconSet" priority="4603">
      <iconSet iconSet="3Arrows">
        <cfvo type="percent" val="0"/>
        <cfvo type="num" val="0.7"/>
        <cfvo type="num" val="1"/>
      </iconSet>
    </cfRule>
  </conditionalFormatting>
  <conditionalFormatting sqref="N2589 N2591 N2593">
    <cfRule type="iconSet" priority="4601">
      <iconSet iconSet="3Arrows">
        <cfvo type="percent" val="0"/>
        <cfvo type="num" val="0.7"/>
        <cfvo type="num" val="1"/>
      </iconSet>
    </cfRule>
    <cfRule type="dataBar" priority="4602">
      <dataBar>
        <cfvo type="num" val="0"/>
        <cfvo type="num" val="1"/>
        <color theme="4" tint="0.79998168889431442"/>
      </dataBar>
      <extLst>
        <ext xmlns:x14="http://schemas.microsoft.com/office/spreadsheetml/2009/9/main" uri="{B025F937-C7B1-47D3-B67F-A62EFF666E3E}">
          <x14:id>{8C49D675-4451-4994-B121-F5D1876D5CA9}</x14:id>
        </ext>
      </extLst>
    </cfRule>
  </conditionalFormatting>
  <conditionalFormatting sqref="N2595 N2597 N2599">
    <cfRule type="iconSet" priority="4599">
      <iconSet iconSet="3Arrows">
        <cfvo type="percent" val="0"/>
        <cfvo type="num" val="0.7"/>
        <cfvo type="num" val="1"/>
      </iconSet>
    </cfRule>
    <cfRule type="dataBar" priority="4600">
      <dataBar>
        <cfvo type="num" val="0"/>
        <cfvo type="num" val="1"/>
        <color theme="4" tint="0.79998168889431442"/>
      </dataBar>
      <extLst>
        <ext xmlns:x14="http://schemas.microsoft.com/office/spreadsheetml/2009/9/main" uri="{B025F937-C7B1-47D3-B67F-A62EFF666E3E}">
          <x14:id>{76576CBF-D39E-40F2-9764-637DD5946E2B}</x14:id>
        </ext>
      </extLst>
    </cfRule>
  </conditionalFormatting>
  <conditionalFormatting sqref="N2601">
    <cfRule type="dataBar" priority="4598">
      <dataBar>
        <cfvo type="num" val="0"/>
        <cfvo type="num" val="1"/>
        <color theme="4" tint="0.79998168889431442"/>
      </dataBar>
      <extLst>
        <ext xmlns:x14="http://schemas.microsoft.com/office/spreadsheetml/2009/9/main" uri="{B025F937-C7B1-47D3-B67F-A62EFF666E3E}">
          <x14:id>{E9515F42-5E98-4FAF-9931-A13C956AACB4}</x14:id>
        </ext>
      </extLst>
    </cfRule>
    <cfRule type="iconSet" priority="4597">
      <iconSet iconSet="3Arrows">
        <cfvo type="percent" val="0"/>
        <cfvo type="num" val="0.7"/>
        <cfvo type="num" val="1"/>
      </iconSet>
    </cfRule>
  </conditionalFormatting>
  <conditionalFormatting sqref="N2605">
    <cfRule type="dataBar" priority="4596">
      <dataBar>
        <cfvo type="num" val="0"/>
        <cfvo type="num" val="1"/>
        <color theme="4" tint="0.79998168889431442"/>
      </dataBar>
      <extLst>
        <ext xmlns:x14="http://schemas.microsoft.com/office/spreadsheetml/2009/9/main" uri="{B025F937-C7B1-47D3-B67F-A62EFF666E3E}">
          <x14:id>{64EA3C1D-500B-4E84-8E4B-A90F0C0596FB}</x14:id>
        </ext>
      </extLst>
    </cfRule>
    <cfRule type="iconSet" priority="4595">
      <iconSet iconSet="3Arrows">
        <cfvo type="percent" val="0"/>
        <cfvo type="num" val="0.7"/>
        <cfvo type="num" val="1"/>
      </iconSet>
    </cfRule>
  </conditionalFormatting>
  <conditionalFormatting sqref="N2609">
    <cfRule type="dataBar" priority="4594">
      <dataBar>
        <cfvo type="num" val="0"/>
        <cfvo type="num" val="1"/>
        <color theme="4" tint="0.79998168889431442"/>
      </dataBar>
      <extLst>
        <ext xmlns:x14="http://schemas.microsoft.com/office/spreadsheetml/2009/9/main" uri="{B025F937-C7B1-47D3-B67F-A62EFF666E3E}">
          <x14:id>{B6B74475-3573-4278-8B21-07103E16C03F}</x14:id>
        </ext>
      </extLst>
    </cfRule>
    <cfRule type="iconSet" priority="4593">
      <iconSet iconSet="3Arrows">
        <cfvo type="percent" val="0"/>
        <cfvo type="num" val="0.7"/>
        <cfvo type="num" val="1"/>
      </iconSet>
    </cfRule>
  </conditionalFormatting>
  <conditionalFormatting sqref="N2611">
    <cfRule type="dataBar" priority="4592">
      <dataBar>
        <cfvo type="num" val="0"/>
        <cfvo type="num" val="1"/>
        <color theme="4" tint="0.79998168889431442"/>
      </dataBar>
      <extLst>
        <ext xmlns:x14="http://schemas.microsoft.com/office/spreadsheetml/2009/9/main" uri="{B025F937-C7B1-47D3-B67F-A62EFF666E3E}">
          <x14:id>{9699E59D-F306-467A-8702-1FABF3AE6C7F}</x14:id>
        </ext>
      </extLst>
    </cfRule>
    <cfRule type="iconSet" priority="4591">
      <iconSet iconSet="3Arrows">
        <cfvo type="percent" val="0"/>
        <cfvo type="num" val="0.7"/>
        <cfvo type="num" val="1"/>
      </iconSet>
    </cfRule>
  </conditionalFormatting>
  <conditionalFormatting sqref="N2613 N2615">
    <cfRule type="dataBar" priority="4590">
      <dataBar>
        <cfvo type="num" val="0"/>
        <cfvo type="num" val="1"/>
        <color theme="4" tint="0.79998168889431442"/>
      </dataBar>
      <extLst>
        <ext xmlns:x14="http://schemas.microsoft.com/office/spreadsheetml/2009/9/main" uri="{B025F937-C7B1-47D3-B67F-A62EFF666E3E}">
          <x14:id>{EC6915AF-524C-4ECD-8526-D563243547A2}</x14:id>
        </ext>
      </extLst>
    </cfRule>
    <cfRule type="iconSet" priority="4589">
      <iconSet iconSet="3Arrows">
        <cfvo type="percent" val="0"/>
        <cfvo type="num" val="0.7"/>
        <cfvo type="num" val="1"/>
      </iconSet>
    </cfRule>
  </conditionalFormatting>
  <conditionalFormatting sqref="N2617">
    <cfRule type="dataBar" priority="4588">
      <dataBar>
        <cfvo type="num" val="0"/>
        <cfvo type="num" val="1"/>
        <color theme="4" tint="0.79998168889431442"/>
      </dataBar>
      <extLst>
        <ext xmlns:x14="http://schemas.microsoft.com/office/spreadsheetml/2009/9/main" uri="{B025F937-C7B1-47D3-B67F-A62EFF666E3E}">
          <x14:id>{266FB909-69A1-4B0F-8686-D63267B5CD54}</x14:id>
        </ext>
      </extLst>
    </cfRule>
    <cfRule type="iconSet" priority="4587">
      <iconSet iconSet="3Arrows">
        <cfvo type="percent" val="0"/>
        <cfvo type="num" val="0.7"/>
        <cfvo type="num" val="1"/>
      </iconSet>
    </cfRule>
  </conditionalFormatting>
  <conditionalFormatting sqref="N2619 N2621">
    <cfRule type="dataBar" priority="4586">
      <dataBar>
        <cfvo type="num" val="0"/>
        <cfvo type="num" val="1"/>
        <color theme="4" tint="0.79998168889431442"/>
      </dataBar>
      <extLst>
        <ext xmlns:x14="http://schemas.microsoft.com/office/spreadsheetml/2009/9/main" uri="{B025F937-C7B1-47D3-B67F-A62EFF666E3E}">
          <x14:id>{E0A80096-94AE-45B0-BB1D-30AE71406E0A}</x14:id>
        </ext>
      </extLst>
    </cfRule>
    <cfRule type="iconSet" priority="4585">
      <iconSet iconSet="3Arrows">
        <cfvo type="percent" val="0"/>
        <cfvo type="num" val="0.7"/>
        <cfvo type="num" val="1"/>
      </iconSet>
    </cfRule>
  </conditionalFormatting>
  <conditionalFormatting sqref="N2623">
    <cfRule type="dataBar" priority="4584">
      <dataBar>
        <cfvo type="num" val="0"/>
        <cfvo type="num" val="1"/>
        <color theme="4" tint="0.79998168889431442"/>
      </dataBar>
      <extLst>
        <ext xmlns:x14="http://schemas.microsoft.com/office/spreadsheetml/2009/9/main" uri="{B025F937-C7B1-47D3-B67F-A62EFF666E3E}">
          <x14:id>{399F95D7-1A66-4608-99E4-751E0DED0AF4}</x14:id>
        </ext>
      </extLst>
    </cfRule>
    <cfRule type="iconSet" priority="4583">
      <iconSet iconSet="3Arrows">
        <cfvo type="percent" val="0"/>
        <cfvo type="num" val="0.7"/>
        <cfvo type="num" val="1"/>
      </iconSet>
    </cfRule>
  </conditionalFormatting>
  <conditionalFormatting sqref="N2625">
    <cfRule type="dataBar" priority="4582">
      <dataBar>
        <cfvo type="num" val="0"/>
        <cfvo type="num" val="1"/>
        <color theme="4" tint="0.79998168889431442"/>
      </dataBar>
      <extLst>
        <ext xmlns:x14="http://schemas.microsoft.com/office/spreadsheetml/2009/9/main" uri="{B025F937-C7B1-47D3-B67F-A62EFF666E3E}">
          <x14:id>{6CAB879A-C2D1-4083-8A08-FDF2E461189C}</x14:id>
        </ext>
      </extLst>
    </cfRule>
    <cfRule type="iconSet" priority="4581">
      <iconSet iconSet="3Arrows">
        <cfvo type="percent" val="0"/>
        <cfvo type="num" val="0.7"/>
        <cfvo type="num" val="1"/>
      </iconSet>
    </cfRule>
  </conditionalFormatting>
  <conditionalFormatting sqref="N2627">
    <cfRule type="dataBar" priority="4580">
      <dataBar>
        <cfvo type="num" val="0"/>
        <cfvo type="num" val="1"/>
        <color theme="4" tint="0.79998168889431442"/>
      </dataBar>
      <extLst>
        <ext xmlns:x14="http://schemas.microsoft.com/office/spreadsheetml/2009/9/main" uri="{B025F937-C7B1-47D3-B67F-A62EFF666E3E}">
          <x14:id>{CC9DA841-B5DD-4080-9F66-A031C72E7DBD}</x14:id>
        </ext>
      </extLst>
    </cfRule>
    <cfRule type="iconSet" priority="4579">
      <iconSet iconSet="3Arrows">
        <cfvo type="percent" val="0"/>
        <cfvo type="num" val="0.7"/>
        <cfvo type="num" val="1"/>
      </iconSet>
    </cfRule>
  </conditionalFormatting>
  <conditionalFormatting sqref="N2629">
    <cfRule type="dataBar" priority="4578">
      <dataBar>
        <cfvo type="num" val="0"/>
        <cfvo type="num" val="1"/>
        <color theme="4" tint="0.79998168889431442"/>
      </dataBar>
      <extLst>
        <ext xmlns:x14="http://schemas.microsoft.com/office/spreadsheetml/2009/9/main" uri="{B025F937-C7B1-47D3-B67F-A62EFF666E3E}">
          <x14:id>{5DC7693D-5C9E-4FDD-B179-DFB3ADC66190}</x14:id>
        </ext>
      </extLst>
    </cfRule>
    <cfRule type="iconSet" priority="4577">
      <iconSet iconSet="3Arrows">
        <cfvo type="percent" val="0"/>
        <cfvo type="num" val="0.7"/>
        <cfvo type="num" val="1"/>
      </iconSet>
    </cfRule>
  </conditionalFormatting>
  <conditionalFormatting sqref="N2631 N2633">
    <cfRule type="dataBar" priority="4576">
      <dataBar>
        <cfvo type="num" val="0"/>
        <cfvo type="num" val="1"/>
        <color theme="4" tint="0.79998168889431442"/>
      </dataBar>
      <extLst>
        <ext xmlns:x14="http://schemas.microsoft.com/office/spreadsheetml/2009/9/main" uri="{B025F937-C7B1-47D3-B67F-A62EFF666E3E}">
          <x14:id>{4A92D43A-2824-452C-9F16-B6F40EABC2E2}</x14:id>
        </ext>
      </extLst>
    </cfRule>
    <cfRule type="iconSet" priority="4575">
      <iconSet iconSet="3Arrows">
        <cfvo type="percent" val="0"/>
        <cfvo type="num" val="0.7"/>
        <cfvo type="num" val="1"/>
      </iconSet>
    </cfRule>
  </conditionalFormatting>
  <conditionalFormatting sqref="N2635">
    <cfRule type="dataBar" priority="4574">
      <dataBar>
        <cfvo type="num" val="0"/>
        <cfvo type="num" val="1"/>
        <color theme="4" tint="0.79998168889431442"/>
      </dataBar>
      <extLst>
        <ext xmlns:x14="http://schemas.microsoft.com/office/spreadsheetml/2009/9/main" uri="{B025F937-C7B1-47D3-B67F-A62EFF666E3E}">
          <x14:id>{C1BA098D-104B-4ED9-8C50-F5183211029B}</x14:id>
        </ext>
      </extLst>
    </cfRule>
    <cfRule type="iconSet" priority="4573">
      <iconSet iconSet="3Arrows">
        <cfvo type="percent" val="0"/>
        <cfvo type="num" val="0.7"/>
        <cfvo type="num" val="1"/>
      </iconSet>
    </cfRule>
  </conditionalFormatting>
  <conditionalFormatting sqref="N2637 N2639">
    <cfRule type="dataBar" priority="4572">
      <dataBar>
        <cfvo type="num" val="0"/>
        <cfvo type="num" val="1"/>
        <color theme="4" tint="0.79998168889431442"/>
      </dataBar>
      <extLst>
        <ext xmlns:x14="http://schemas.microsoft.com/office/spreadsheetml/2009/9/main" uri="{B025F937-C7B1-47D3-B67F-A62EFF666E3E}">
          <x14:id>{4622308F-FD5F-473E-9B3C-B2A1A3FC8D7C}</x14:id>
        </ext>
      </extLst>
    </cfRule>
    <cfRule type="iconSet" priority="4571">
      <iconSet iconSet="3Arrows">
        <cfvo type="percent" val="0"/>
        <cfvo type="num" val="0.7"/>
        <cfvo type="num" val="1"/>
      </iconSet>
    </cfRule>
  </conditionalFormatting>
  <conditionalFormatting sqref="N2641">
    <cfRule type="iconSet" priority="4569">
      <iconSet iconSet="3Arrows">
        <cfvo type="percent" val="0"/>
        <cfvo type="num" val="0.7"/>
        <cfvo type="num" val="1"/>
      </iconSet>
    </cfRule>
    <cfRule type="dataBar" priority="4570">
      <dataBar>
        <cfvo type="num" val="0"/>
        <cfvo type="num" val="1"/>
        <color theme="4" tint="0.79998168889431442"/>
      </dataBar>
      <extLst>
        <ext xmlns:x14="http://schemas.microsoft.com/office/spreadsheetml/2009/9/main" uri="{B025F937-C7B1-47D3-B67F-A62EFF666E3E}">
          <x14:id>{0B657909-0C21-4CED-B225-0F19359691F6}</x14:id>
        </ext>
      </extLst>
    </cfRule>
  </conditionalFormatting>
  <conditionalFormatting sqref="N2643 N2645">
    <cfRule type="iconSet" priority="4567">
      <iconSet iconSet="3Arrows">
        <cfvo type="percent" val="0"/>
        <cfvo type="num" val="0.7"/>
        <cfvo type="num" val="1"/>
      </iconSet>
    </cfRule>
    <cfRule type="dataBar" priority="4568">
      <dataBar>
        <cfvo type="num" val="0"/>
        <cfvo type="num" val="1"/>
        <color theme="4" tint="0.79998168889431442"/>
      </dataBar>
      <extLst>
        <ext xmlns:x14="http://schemas.microsoft.com/office/spreadsheetml/2009/9/main" uri="{B025F937-C7B1-47D3-B67F-A62EFF666E3E}">
          <x14:id>{C2A6D671-AB4F-41D9-AE8E-3723F9D274AB}</x14:id>
        </ext>
      </extLst>
    </cfRule>
  </conditionalFormatting>
  <conditionalFormatting sqref="N2647">
    <cfRule type="iconSet" priority="4565">
      <iconSet iconSet="3Arrows">
        <cfvo type="percent" val="0"/>
        <cfvo type="num" val="0.7"/>
        <cfvo type="num" val="1"/>
      </iconSet>
    </cfRule>
    <cfRule type="dataBar" priority="4566">
      <dataBar>
        <cfvo type="num" val="0"/>
        <cfvo type="num" val="1"/>
        <color theme="4" tint="0.79998168889431442"/>
      </dataBar>
      <extLst>
        <ext xmlns:x14="http://schemas.microsoft.com/office/spreadsheetml/2009/9/main" uri="{B025F937-C7B1-47D3-B67F-A62EFF666E3E}">
          <x14:id>{8FEF235C-6E10-4A19-9DD7-12074A3611F4}</x14:id>
        </ext>
      </extLst>
    </cfRule>
  </conditionalFormatting>
  <conditionalFormatting sqref="N2649 N2651">
    <cfRule type="dataBar" priority="4564">
      <dataBar>
        <cfvo type="num" val="0"/>
        <cfvo type="num" val="1"/>
        <color theme="4" tint="0.79998168889431442"/>
      </dataBar>
      <extLst>
        <ext xmlns:x14="http://schemas.microsoft.com/office/spreadsheetml/2009/9/main" uri="{B025F937-C7B1-47D3-B67F-A62EFF666E3E}">
          <x14:id>{6B9B8AE8-18EB-42F0-9EC0-A94BD7B1198B}</x14:id>
        </ext>
      </extLst>
    </cfRule>
    <cfRule type="iconSet" priority="4563">
      <iconSet iconSet="3Arrows">
        <cfvo type="percent" val="0"/>
        <cfvo type="num" val="0.7"/>
        <cfvo type="num" val="1"/>
      </iconSet>
    </cfRule>
  </conditionalFormatting>
  <conditionalFormatting sqref="N2653">
    <cfRule type="dataBar" priority="4562">
      <dataBar>
        <cfvo type="num" val="0"/>
        <cfvo type="num" val="1"/>
        <color theme="4" tint="0.79998168889431442"/>
      </dataBar>
      <extLst>
        <ext xmlns:x14="http://schemas.microsoft.com/office/spreadsheetml/2009/9/main" uri="{B025F937-C7B1-47D3-B67F-A62EFF666E3E}">
          <x14:id>{9D89DCDF-0B6C-4EB2-A868-51F381C65302}</x14:id>
        </ext>
      </extLst>
    </cfRule>
    <cfRule type="iconSet" priority="4561">
      <iconSet iconSet="3Arrows">
        <cfvo type="percent" val="0"/>
        <cfvo type="num" val="0.7"/>
        <cfvo type="num" val="1"/>
      </iconSet>
    </cfRule>
  </conditionalFormatting>
  <conditionalFormatting sqref="N2655 N2657">
    <cfRule type="dataBar" priority="4560">
      <dataBar>
        <cfvo type="num" val="0"/>
        <cfvo type="num" val="1"/>
        <color theme="4" tint="0.79998168889431442"/>
      </dataBar>
      <extLst>
        <ext xmlns:x14="http://schemas.microsoft.com/office/spreadsheetml/2009/9/main" uri="{B025F937-C7B1-47D3-B67F-A62EFF666E3E}">
          <x14:id>{B4CAA140-C33C-4D56-94AA-94FE6509B34D}</x14:id>
        </ext>
      </extLst>
    </cfRule>
    <cfRule type="iconSet" priority="4559">
      <iconSet iconSet="3Arrows">
        <cfvo type="percent" val="0"/>
        <cfvo type="num" val="0.7"/>
        <cfvo type="num" val="1"/>
      </iconSet>
    </cfRule>
  </conditionalFormatting>
  <conditionalFormatting sqref="N2659">
    <cfRule type="dataBar" priority="4558">
      <dataBar>
        <cfvo type="num" val="0"/>
        <cfvo type="num" val="1"/>
        <color theme="4" tint="0.79998168889431442"/>
      </dataBar>
      <extLst>
        <ext xmlns:x14="http://schemas.microsoft.com/office/spreadsheetml/2009/9/main" uri="{B025F937-C7B1-47D3-B67F-A62EFF666E3E}">
          <x14:id>{AF65DF92-F7DE-41ED-8C10-3A6EB2291EB0}</x14:id>
        </ext>
      </extLst>
    </cfRule>
    <cfRule type="iconSet" priority="4557">
      <iconSet iconSet="3Arrows">
        <cfvo type="percent" val="0"/>
        <cfvo type="num" val="0.7"/>
        <cfvo type="num" val="1"/>
      </iconSet>
    </cfRule>
  </conditionalFormatting>
  <conditionalFormatting sqref="N2661 N2663">
    <cfRule type="dataBar" priority="4556">
      <dataBar>
        <cfvo type="num" val="0"/>
        <cfvo type="num" val="1"/>
        <color theme="4" tint="0.79998168889431442"/>
      </dataBar>
      <extLst>
        <ext xmlns:x14="http://schemas.microsoft.com/office/spreadsheetml/2009/9/main" uri="{B025F937-C7B1-47D3-B67F-A62EFF666E3E}">
          <x14:id>{68B5C149-5AE5-4DFF-9B14-4F82C4BE50B2}</x14:id>
        </ext>
      </extLst>
    </cfRule>
    <cfRule type="iconSet" priority="4555">
      <iconSet iconSet="3Arrows">
        <cfvo type="percent" val="0"/>
        <cfvo type="num" val="0.7"/>
        <cfvo type="num" val="1"/>
      </iconSet>
    </cfRule>
  </conditionalFormatting>
  <conditionalFormatting sqref="N2665">
    <cfRule type="iconSet" priority="4553">
      <iconSet iconSet="3Arrows">
        <cfvo type="percent" val="0"/>
        <cfvo type="num" val="0.7"/>
        <cfvo type="num" val="1"/>
      </iconSet>
    </cfRule>
    <cfRule type="dataBar" priority="4554">
      <dataBar>
        <cfvo type="num" val="0"/>
        <cfvo type="num" val="1"/>
        <color theme="4" tint="0.79998168889431442"/>
      </dataBar>
      <extLst>
        <ext xmlns:x14="http://schemas.microsoft.com/office/spreadsheetml/2009/9/main" uri="{B025F937-C7B1-47D3-B67F-A62EFF666E3E}">
          <x14:id>{4D5A40C9-C766-437E-8BD2-7DF972002007}</x14:id>
        </ext>
      </extLst>
    </cfRule>
  </conditionalFormatting>
  <conditionalFormatting sqref="N2667 N2669">
    <cfRule type="iconSet" priority="4551">
      <iconSet iconSet="3Arrows">
        <cfvo type="percent" val="0"/>
        <cfvo type="num" val="0.7"/>
        <cfvo type="num" val="1"/>
      </iconSet>
    </cfRule>
    <cfRule type="dataBar" priority="4552">
      <dataBar>
        <cfvo type="num" val="0"/>
        <cfvo type="num" val="1"/>
        <color theme="4" tint="0.79998168889431442"/>
      </dataBar>
      <extLst>
        <ext xmlns:x14="http://schemas.microsoft.com/office/spreadsheetml/2009/9/main" uri="{B025F937-C7B1-47D3-B67F-A62EFF666E3E}">
          <x14:id>{CDFE7A87-146D-40D0-A40E-F85ABA0E54D1}</x14:id>
        </ext>
      </extLst>
    </cfRule>
  </conditionalFormatting>
  <conditionalFormatting sqref="N2672">
    <cfRule type="dataBar" priority="4550">
      <dataBar>
        <cfvo type="num" val="0"/>
        <cfvo type="num" val="1"/>
        <color theme="4" tint="0.79998168889431442"/>
      </dataBar>
      <extLst>
        <ext xmlns:x14="http://schemas.microsoft.com/office/spreadsheetml/2009/9/main" uri="{B025F937-C7B1-47D3-B67F-A62EFF666E3E}">
          <x14:id>{DA669961-9AAB-43CF-813B-EFC1C74B858D}</x14:id>
        </ext>
      </extLst>
    </cfRule>
    <cfRule type="iconSet" priority="4549">
      <iconSet iconSet="3Arrows">
        <cfvo type="percent" val="0"/>
        <cfvo type="num" val="0.7"/>
        <cfvo type="num" val="1"/>
      </iconSet>
    </cfRule>
  </conditionalFormatting>
  <conditionalFormatting sqref="N2674">
    <cfRule type="dataBar" priority="4548">
      <dataBar>
        <cfvo type="num" val="0"/>
        <cfvo type="num" val="1"/>
        <color theme="4" tint="0.79998168889431442"/>
      </dataBar>
      <extLst>
        <ext xmlns:x14="http://schemas.microsoft.com/office/spreadsheetml/2009/9/main" uri="{B025F937-C7B1-47D3-B67F-A62EFF666E3E}">
          <x14:id>{138BC800-F23D-4E60-A7F2-3D1995703AF1}</x14:id>
        </ext>
      </extLst>
    </cfRule>
    <cfRule type="iconSet" priority="4547">
      <iconSet iconSet="3Arrows">
        <cfvo type="percent" val="0"/>
        <cfvo type="num" val="0.7"/>
        <cfvo type="num" val="1"/>
      </iconSet>
    </cfRule>
  </conditionalFormatting>
  <conditionalFormatting sqref="N2676 N2678">
    <cfRule type="dataBar" priority="4546">
      <dataBar>
        <cfvo type="num" val="0"/>
        <cfvo type="num" val="1"/>
        <color theme="4" tint="0.79998168889431442"/>
      </dataBar>
      <extLst>
        <ext xmlns:x14="http://schemas.microsoft.com/office/spreadsheetml/2009/9/main" uri="{B025F937-C7B1-47D3-B67F-A62EFF666E3E}">
          <x14:id>{0F5FFB3E-0FA2-485B-95F7-BA7B536925C1}</x14:id>
        </ext>
      </extLst>
    </cfRule>
    <cfRule type="iconSet" priority="4545">
      <iconSet iconSet="3Arrows">
        <cfvo type="percent" val="0"/>
        <cfvo type="num" val="0.7"/>
        <cfvo type="num" val="1"/>
      </iconSet>
    </cfRule>
  </conditionalFormatting>
  <conditionalFormatting sqref="N2680 N2682">
    <cfRule type="dataBar" priority="4544">
      <dataBar>
        <cfvo type="num" val="0"/>
        <cfvo type="num" val="1"/>
        <color theme="4" tint="0.79998168889431442"/>
      </dataBar>
      <extLst>
        <ext xmlns:x14="http://schemas.microsoft.com/office/spreadsheetml/2009/9/main" uri="{B025F937-C7B1-47D3-B67F-A62EFF666E3E}">
          <x14:id>{688A8D65-7E17-4E0E-BC93-5E5C3A0107A9}</x14:id>
        </ext>
      </extLst>
    </cfRule>
    <cfRule type="iconSet" priority="4543">
      <iconSet iconSet="3Arrows">
        <cfvo type="percent" val="0"/>
        <cfvo type="num" val="0.7"/>
        <cfvo type="num" val="1"/>
      </iconSet>
    </cfRule>
  </conditionalFormatting>
  <conditionalFormatting sqref="N2684">
    <cfRule type="dataBar" priority="4542">
      <dataBar>
        <cfvo type="num" val="0"/>
        <cfvo type="num" val="1"/>
        <color theme="4" tint="0.79998168889431442"/>
      </dataBar>
      <extLst>
        <ext xmlns:x14="http://schemas.microsoft.com/office/spreadsheetml/2009/9/main" uri="{B025F937-C7B1-47D3-B67F-A62EFF666E3E}">
          <x14:id>{B5959C15-1246-4EA6-9C9D-F50D0750B0B6}</x14:id>
        </ext>
      </extLst>
    </cfRule>
    <cfRule type="iconSet" priority="4541">
      <iconSet iconSet="3Arrows">
        <cfvo type="percent" val="0"/>
        <cfvo type="num" val="0.7"/>
        <cfvo type="num" val="1"/>
      </iconSet>
    </cfRule>
  </conditionalFormatting>
  <conditionalFormatting sqref="N2686 N2688">
    <cfRule type="dataBar" priority="4540">
      <dataBar>
        <cfvo type="num" val="0"/>
        <cfvo type="num" val="1"/>
        <color theme="4" tint="0.79998168889431442"/>
      </dataBar>
      <extLst>
        <ext xmlns:x14="http://schemas.microsoft.com/office/spreadsheetml/2009/9/main" uri="{B025F937-C7B1-47D3-B67F-A62EFF666E3E}">
          <x14:id>{91438DF6-E682-4AF3-9834-CF8BEF6C10D3}</x14:id>
        </ext>
      </extLst>
    </cfRule>
    <cfRule type="iconSet" priority="4539">
      <iconSet iconSet="3Arrows">
        <cfvo type="percent" val="0"/>
        <cfvo type="num" val="0.7"/>
        <cfvo type="num" val="1"/>
      </iconSet>
    </cfRule>
  </conditionalFormatting>
  <conditionalFormatting sqref="N2690">
    <cfRule type="iconSet" priority="4537">
      <iconSet iconSet="3Arrows">
        <cfvo type="percent" val="0"/>
        <cfvo type="num" val="0.7"/>
        <cfvo type="num" val="1"/>
      </iconSet>
    </cfRule>
    <cfRule type="dataBar" priority="4538">
      <dataBar>
        <cfvo type="num" val="0"/>
        <cfvo type="num" val="1"/>
        <color theme="4" tint="0.79998168889431442"/>
      </dataBar>
      <extLst>
        <ext xmlns:x14="http://schemas.microsoft.com/office/spreadsheetml/2009/9/main" uri="{B025F937-C7B1-47D3-B67F-A62EFF666E3E}">
          <x14:id>{D7F4581B-2423-468F-BABD-EE26C22C7D6A}</x14:id>
        </ext>
      </extLst>
    </cfRule>
  </conditionalFormatting>
  <conditionalFormatting sqref="N2692 N2694">
    <cfRule type="iconSet" priority="4535">
      <iconSet iconSet="3Arrows">
        <cfvo type="percent" val="0"/>
        <cfvo type="num" val="0.7"/>
        <cfvo type="num" val="1"/>
      </iconSet>
    </cfRule>
    <cfRule type="dataBar" priority="4536">
      <dataBar>
        <cfvo type="num" val="0"/>
        <cfvo type="num" val="1"/>
        <color theme="4" tint="0.79998168889431442"/>
      </dataBar>
      <extLst>
        <ext xmlns:x14="http://schemas.microsoft.com/office/spreadsheetml/2009/9/main" uri="{B025F937-C7B1-47D3-B67F-A62EFF666E3E}">
          <x14:id>{6FB81EAC-52AE-4878-9C0F-481EEA89E4B9}</x14:id>
        </ext>
      </extLst>
    </cfRule>
  </conditionalFormatting>
  <conditionalFormatting sqref="N2696 N2698">
    <cfRule type="dataBar" priority="4534">
      <dataBar>
        <cfvo type="num" val="0"/>
        <cfvo type="num" val="1"/>
        <color theme="4" tint="0.79998168889431442"/>
      </dataBar>
      <extLst>
        <ext xmlns:x14="http://schemas.microsoft.com/office/spreadsheetml/2009/9/main" uri="{B025F937-C7B1-47D3-B67F-A62EFF666E3E}">
          <x14:id>{D2189A5B-CF33-41A8-9E63-AEFC6175EFDF}</x14:id>
        </ext>
      </extLst>
    </cfRule>
    <cfRule type="iconSet" priority="4533">
      <iconSet iconSet="3Arrows">
        <cfvo type="percent" val="0"/>
        <cfvo type="num" val="0.7"/>
        <cfvo type="num" val="1"/>
      </iconSet>
    </cfRule>
  </conditionalFormatting>
  <conditionalFormatting sqref="N2700">
    <cfRule type="dataBar" priority="4532">
      <dataBar>
        <cfvo type="num" val="0"/>
        <cfvo type="num" val="1"/>
        <color theme="4" tint="0.79998168889431442"/>
      </dataBar>
      <extLst>
        <ext xmlns:x14="http://schemas.microsoft.com/office/spreadsheetml/2009/9/main" uri="{B025F937-C7B1-47D3-B67F-A62EFF666E3E}">
          <x14:id>{C0FE9415-874B-4721-8CB8-EBFB02B78D8E}</x14:id>
        </ext>
      </extLst>
    </cfRule>
    <cfRule type="iconSet" priority="4531">
      <iconSet iconSet="3Arrows">
        <cfvo type="percent" val="0"/>
        <cfvo type="num" val="0.7"/>
        <cfvo type="num" val="1"/>
      </iconSet>
    </cfRule>
  </conditionalFormatting>
  <conditionalFormatting sqref="N2702 N2704">
    <cfRule type="dataBar" priority="4530">
      <dataBar>
        <cfvo type="num" val="0"/>
        <cfvo type="num" val="1"/>
        <color theme="4" tint="0.79998168889431442"/>
      </dataBar>
      <extLst>
        <ext xmlns:x14="http://schemas.microsoft.com/office/spreadsheetml/2009/9/main" uri="{B025F937-C7B1-47D3-B67F-A62EFF666E3E}">
          <x14:id>{440A5A9F-4BD4-408E-A88D-70B0E6901CD7}</x14:id>
        </ext>
      </extLst>
    </cfRule>
    <cfRule type="iconSet" priority="4529">
      <iconSet iconSet="3Arrows">
        <cfvo type="percent" val="0"/>
        <cfvo type="num" val="0.7"/>
        <cfvo type="num" val="1"/>
      </iconSet>
    </cfRule>
  </conditionalFormatting>
  <conditionalFormatting sqref="N2706">
    <cfRule type="dataBar" priority="4528">
      <dataBar>
        <cfvo type="num" val="0"/>
        <cfvo type="num" val="1"/>
        <color theme="4" tint="0.79998168889431442"/>
      </dataBar>
      <extLst>
        <ext xmlns:x14="http://schemas.microsoft.com/office/spreadsheetml/2009/9/main" uri="{B025F937-C7B1-47D3-B67F-A62EFF666E3E}">
          <x14:id>{A2A71C25-5471-4D76-885E-1BFE0E8047C8}</x14:id>
        </ext>
      </extLst>
    </cfRule>
    <cfRule type="iconSet" priority="4527">
      <iconSet iconSet="3Arrows">
        <cfvo type="percent" val="0"/>
        <cfvo type="num" val="0.7"/>
        <cfvo type="num" val="1"/>
      </iconSet>
    </cfRule>
  </conditionalFormatting>
  <conditionalFormatting sqref="N2708 N2710">
    <cfRule type="dataBar" priority="4526">
      <dataBar>
        <cfvo type="num" val="0"/>
        <cfvo type="num" val="1"/>
        <color theme="4" tint="0.79998168889431442"/>
      </dataBar>
      <extLst>
        <ext xmlns:x14="http://schemas.microsoft.com/office/spreadsheetml/2009/9/main" uri="{B025F937-C7B1-47D3-B67F-A62EFF666E3E}">
          <x14:id>{C7FF4AE5-33C1-43B6-862A-5DFF84887A5C}</x14:id>
        </ext>
      </extLst>
    </cfRule>
    <cfRule type="iconSet" priority="4525">
      <iconSet iconSet="3Arrows">
        <cfvo type="percent" val="0"/>
        <cfvo type="num" val="0.7"/>
        <cfvo type="num" val="1"/>
      </iconSet>
    </cfRule>
  </conditionalFormatting>
  <conditionalFormatting sqref="N2712 N2714">
    <cfRule type="dataBar" priority="4524">
      <dataBar>
        <cfvo type="num" val="0"/>
        <cfvo type="num" val="1"/>
        <color theme="4" tint="0.79998168889431442"/>
      </dataBar>
      <extLst>
        <ext xmlns:x14="http://schemas.microsoft.com/office/spreadsheetml/2009/9/main" uri="{B025F937-C7B1-47D3-B67F-A62EFF666E3E}">
          <x14:id>{59AC8E36-22C3-4EA4-8EA0-C99728DC4FDB}</x14:id>
        </ext>
      </extLst>
    </cfRule>
    <cfRule type="iconSet" priority="4523">
      <iconSet iconSet="3Arrows">
        <cfvo type="percent" val="0"/>
        <cfvo type="num" val="0.7"/>
        <cfvo type="num" val="1"/>
      </iconSet>
    </cfRule>
  </conditionalFormatting>
  <conditionalFormatting sqref="N2716">
    <cfRule type="dataBar" priority="4522">
      <dataBar>
        <cfvo type="num" val="0"/>
        <cfvo type="num" val="1"/>
        <color theme="4" tint="0.79998168889431442"/>
      </dataBar>
      <extLst>
        <ext xmlns:x14="http://schemas.microsoft.com/office/spreadsheetml/2009/9/main" uri="{B025F937-C7B1-47D3-B67F-A62EFF666E3E}">
          <x14:id>{1C9D4DF6-AFE4-45E8-A125-9FF05A199973}</x14:id>
        </ext>
      </extLst>
    </cfRule>
    <cfRule type="iconSet" priority="4521">
      <iconSet iconSet="3Arrows">
        <cfvo type="percent" val="0"/>
        <cfvo type="num" val="0.7"/>
        <cfvo type="num" val="1"/>
      </iconSet>
    </cfRule>
  </conditionalFormatting>
  <conditionalFormatting sqref="N2718 N2720">
    <cfRule type="dataBar" priority="4520">
      <dataBar>
        <cfvo type="num" val="0"/>
        <cfvo type="num" val="1"/>
        <color theme="4" tint="0.79998168889431442"/>
      </dataBar>
      <extLst>
        <ext xmlns:x14="http://schemas.microsoft.com/office/spreadsheetml/2009/9/main" uri="{B025F937-C7B1-47D3-B67F-A62EFF666E3E}">
          <x14:id>{96E5FC85-3C24-430F-896C-2881A11F9593}</x14:id>
        </ext>
      </extLst>
    </cfRule>
    <cfRule type="iconSet" priority="4519">
      <iconSet iconSet="3Arrows">
        <cfvo type="percent" val="0"/>
        <cfvo type="num" val="0.7"/>
        <cfvo type="num" val="1"/>
      </iconSet>
    </cfRule>
  </conditionalFormatting>
  <conditionalFormatting sqref="N2722">
    <cfRule type="dataBar" priority="4518">
      <dataBar>
        <cfvo type="num" val="0"/>
        <cfvo type="num" val="1"/>
        <color theme="4" tint="0.79998168889431442"/>
      </dataBar>
      <extLst>
        <ext xmlns:x14="http://schemas.microsoft.com/office/spreadsheetml/2009/9/main" uri="{B025F937-C7B1-47D3-B67F-A62EFF666E3E}">
          <x14:id>{ECE4E5DB-F230-4F35-87DC-57CB5A857A3E}</x14:id>
        </ext>
      </extLst>
    </cfRule>
    <cfRule type="iconSet" priority="4517">
      <iconSet iconSet="3Arrows">
        <cfvo type="percent" val="0"/>
        <cfvo type="num" val="0.7"/>
        <cfvo type="num" val="1"/>
      </iconSet>
    </cfRule>
  </conditionalFormatting>
  <conditionalFormatting sqref="N2724">
    <cfRule type="dataBar" priority="4516">
      <dataBar>
        <cfvo type="num" val="0"/>
        <cfvo type="num" val="1"/>
        <color theme="4" tint="0.79998168889431442"/>
      </dataBar>
      <extLst>
        <ext xmlns:x14="http://schemas.microsoft.com/office/spreadsheetml/2009/9/main" uri="{B025F937-C7B1-47D3-B67F-A62EFF666E3E}">
          <x14:id>{3DB46140-C40D-44A4-A65D-731E8E11794A}</x14:id>
        </ext>
      </extLst>
    </cfRule>
    <cfRule type="iconSet" priority="4515">
      <iconSet iconSet="3Arrows">
        <cfvo type="percent" val="0"/>
        <cfvo type="num" val="0.7"/>
        <cfvo type="num" val="1"/>
      </iconSet>
    </cfRule>
  </conditionalFormatting>
  <conditionalFormatting sqref="N2726 N2728">
    <cfRule type="dataBar" priority="4514">
      <dataBar>
        <cfvo type="num" val="0"/>
        <cfvo type="num" val="1"/>
        <color theme="4" tint="0.79998168889431442"/>
      </dataBar>
      <extLst>
        <ext xmlns:x14="http://schemas.microsoft.com/office/spreadsheetml/2009/9/main" uri="{B025F937-C7B1-47D3-B67F-A62EFF666E3E}">
          <x14:id>{AA8C1A55-CEFE-4837-9638-AE66647C86B8}</x14:id>
        </ext>
      </extLst>
    </cfRule>
    <cfRule type="iconSet" priority="4513">
      <iconSet iconSet="3Arrows">
        <cfvo type="percent" val="0"/>
        <cfvo type="num" val="0.7"/>
        <cfvo type="num" val="1"/>
      </iconSet>
    </cfRule>
  </conditionalFormatting>
  <conditionalFormatting sqref="N2730 N2732">
    <cfRule type="dataBar" priority="4512">
      <dataBar>
        <cfvo type="num" val="0"/>
        <cfvo type="num" val="1"/>
        <color theme="4" tint="0.79998168889431442"/>
      </dataBar>
      <extLst>
        <ext xmlns:x14="http://schemas.microsoft.com/office/spreadsheetml/2009/9/main" uri="{B025F937-C7B1-47D3-B67F-A62EFF666E3E}">
          <x14:id>{00E6C095-C57D-457D-8150-F61C28CD87A3}</x14:id>
        </ext>
      </extLst>
    </cfRule>
    <cfRule type="iconSet" priority="4511">
      <iconSet iconSet="3Arrows">
        <cfvo type="percent" val="0"/>
        <cfvo type="num" val="0.7"/>
        <cfvo type="num" val="1"/>
      </iconSet>
    </cfRule>
  </conditionalFormatting>
  <conditionalFormatting sqref="N2734">
    <cfRule type="dataBar" priority="4510">
      <dataBar>
        <cfvo type="num" val="0"/>
        <cfvo type="num" val="1"/>
        <color theme="4" tint="0.79998168889431442"/>
      </dataBar>
      <extLst>
        <ext xmlns:x14="http://schemas.microsoft.com/office/spreadsheetml/2009/9/main" uri="{B025F937-C7B1-47D3-B67F-A62EFF666E3E}">
          <x14:id>{32CC379D-28A4-4C02-8803-C8CCBBF4D22C}</x14:id>
        </ext>
      </extLst>
    </cfRule>
    <cfRule type="iconSet" priority="4509">
      <iconSet iconSet="3Arrows">
        <cfvo type="percent" val="0"/>
        <cfvo type="num" val="0.7"/>
        <cfvo type="num" val="1"/>
      </iconSet>
    </cfRule>
  </conditionalFormatting>
  <conditionalFormatting sqref="N2738">
    <cfRule type="dataBar" priority="4508">
      <dataBar>
        <cfvo type="num" val="0"/>
        <cfvo type="num" val="1"/>
        <color theme="4" tint="0.79998168889431442"/>
      </dataBar>
      <extLst>
        <ext xmlns:x14="http://schemas.microsoft.com/office/spreadsheetml/2009/9/main" uri="{B025F937-C7B1-47D3-B67F-A62EFF666E3E}">
          <x14:id>{954EA193-78EE-44F1-B9F1-2327DC617B89}</x14:id>
        </ext>
      </extLst>
    </cfRule>
    <cfRule type="iconSet" priority="4507">
      <iconSet iconSet="3Arrows">
        <cfvo type="percent" val="0"/>
        <cfvo type="num" val="0.7"/>
        <cfvo type="num" val="1"/>
      </iconSet>
    </cfRule>
  </conditionalFormatting>
  <conditionalFormatting sqref="N2740 N2742">
    <cfRule type="dataBar" priority="4506">
      <dataBar>
        <cfvo type="num" val="0"/>
        <cfvo type="num" val="1"/>
        <color theme="4" tint="0.79998168889431442"/>
      </dataBar>
      <extLst>
        <ext xmlns:x14="http://schemas.microsoft.com/office/spreadsheetml/2009/9/main" uri="{B025F937-C7B1-47D3-B67F-A62EFF666E3E}">
          <x14:id>{EA48FF22-3F21-4E13-8D8C-C43F7E735086}</x14:id>
        </ext>
      </extLst>
    </cfRule>
    <cfRule type="iconSet" priority="4505">
      <iconSet iconSet="3Arrows">
        <cfvo type="percent" val="0"/>
        <cfvo type="num" val="0.7"/>
        <cfvo type="num" val="1"/>
      </iconSet>
    </cfRule>
  </conditionalFormatting>
  <conditionalFormatting sqref="N2744 N2746">
    <cfRule type="iconSet" priority="4503">
      <iconSet iconSet="3Arrows">
        <cfvo type="percent" val="0"/>
        <cfvo type="num" val="0.7"/>
        <cfvo type="num" val="1"/>
      </iconSet>
    </cfRule>
    <cfRule type="dataBar" priority="4504">
      <dataBar>
        <cfvo type="num" val="0"/>
        <cfvo type="num" val="1"/>
        <color theme="4" tint="0.79998168889431442"/>
      </dataBar>
      <extLst>
        <ext xmlns:x14="http://schemas.microsoft.com/office/spreadsheetml/2009/9/main" uri="{B025F937-C7B1-47D3-B67F-A62EFF666E3E}">
          <x14:id>{36A1EA55-6E71-4DE6-A841-113DA741D79B}</x14:id>
        </ext>
      </extLst>
    </cfRule>
  </conditionalFormatting>
  <conditionalFormatting sqref="N2748">
    <cfRule type="iconSet" priority="4501">
      <iconSet iconSet="3Arrows">
        <cfvo type="percent" val="0"/>
        <cfvo type="num" val="0.7"/>
        <cfvo type="num" val="1"/>
      </iconSet>
    </cfRule>
    <cfRule type="dataBar" priority="4502">
      <dataBar>
        <cfvo type="num" val="0"/>
        <cfvo type="num" val="1"/>
        <color theme="4" tint="0.79998168889431442"/>
      </dataBar>
      <extLst>
        <ext xmlns:x14="http://schemas.microsoft.com/office/spreadsheetml/2009/9/main" uri="{B025F937-C7B1-47D3-B67F-A62EFF666E3E}">
          <x14:id>{B45AF1DB-28E6-4A26-8D37-2DDEC4F6F739}</x14:id>
        </ext>
      </extLst>
    </cfRule>
  </conditionalFormatting>
  <conditionalFormatting sqref="N2750 N2752">
    <cfRule type="dataBar" priority="4500">
      <dataBar>
        <cfvo type="num" val="0"/>
        <cfvo type="num" val="1"/>
        <color theme="4" tint="0.79998168889431442"/>
      </dataBar>
      <extLst>
        <ext xmlns:x14="http://schemas.microsoft.com/office/spreadsheetml/2009/9/main" uri="{B025F937-C7B1-47D3-B67F-A62EFF666E3E}">
          <x14:id>{3F511FF2-3936-4311-A3BC-460B5291536E}</x14:id>
        </ext>
      </extLst>
    </cfRule>
    <cfRule type="iconSet" priority="4499">
      <iconSet iconSet="3Arrows">
        <cfvo type="percent" val="0"/>
        <cfvo type="num" val="0.7"/>
        <cfvo type="num" val="1"/>
      </iconSet>
    </cfRule>
  </conditionalFormatting>
  <conditionalFormatting sqref="N2754 N2756">
    <cfRule type="dataBar" priority="4498">
      <dataBar>
        <cfvo type="num" val="0"/>
        <cfvo type="num" val="1"/>
        <color theme="4" tint="0.79998168889431442"/>
      </dataBar>
      <extLst>
        <ext xmlns:x14="http://schemas.microsoft.com/office/spreadsheetml/2009/9/main" uri="{B025F937-C7B1-47D3-B67F-A62EFF666E3E}">
          <x14:id>{E73A01B6-5952-4D09-A3D7-71CB5E316B2D}</x14:id>
        </ext>
      </extLst>
    </cfRule>
    <cfRule type="iconSet" priority="4497">
      <iconSet iconSet="3Arrows">
        <cfvo type="percent" val="0"/>
        <cfvo type="num" val="0.7"/>
        <cfvo type="num" val="1"/>
      </iconSet>
    </cfRule>
  </conditionalFormatting>
  <conditionalFormatting sqref="N2758">
    <cfRule type="dataBar" priority="4496">
      <dataBar>
        <cfvo type="num" val="0"/>
        <cfvo type="num" val="1"/>
        <color theme="4" tint="0.79998168889431442"/>
      </dataBar>
      <extLst>
        <ext xmlns:x14="http://schemas.microsoft.com/office/spreadsheetml/2009/9/main" uri="{B025F937-C7B1-47D3-B67F-A62EFF666E3E}">
          <x14:id>{4EBFD865-3C0A-4B46-800A-875145646E81}</x14:id>
        </ext>
      </extLst>
    </cfRule>
    <cfRule type="iconSet" priority="4495">
      <iconSet iconSet="3Arrows">
        <cfvo type="percent" val="0"/>
        <cfvo type="num" val="0.7"/>
        <cfvo type="num" val="1"/>
      </iconSet>
    </cfRule>
  </conditionalFormatting>
  <conditionalFormatting sqref="N2760">
    <cfRule type="dataBar" priority="4494">
      <dataBar>
        <cfvo type="num" val="0"/>
        <cfvo type="num" val="1"/>
        <color theme="4" tint="0.79998168889431442"/>
      </dataBar>
      <extLst>
        <ext xmlns:x14="http://schemas.microsoft.com/office/spreadsheetml/2009/9/main" uri="{B025F937-C7B1-47D3-B67F-A62EFF666E3E}">
          <x14:id>{93B2C73A-633F-4538-AD05-E9F48EAF86C2}</x14:id>
        </ext>
      </extLst>
    </cfRule>
    <cfRule type="iconSet" priority="4493">
      <iconSet iconSet="3Arrows">
        <cfvo type="percent" val="0"/>
        <cfvo type="num" val="0.7"/>
        <cfvo type="num" val="1"/>
      </iconSet>
    </cfRule>
  </conditionalFormatting>
  <conditionalFormatting sqref="N2764">
    <cfRule type="dataBar" priority="4492">
      <dataBar>
        <cfvo type="num" val="0"/>
        <cfvo type="num" val="1"/>
        <color theme="4" tint="0.79998168889431442"/>
      </dataBar>
      <extLst>
        <ext xmlns:x14="http://schemas.microsoft.com/office/spreadsheetml/2009/9/main" uri="{B025F937-C7B1-47D3-B67F-A62EFF666E3E}">
          <x14:id>{01A40484-0AC9-4A1B-B5F9-EB5B4F14C0E3}</x14:id>
        </ext>
      </extLst>
    </cfRule>
    <cfRule type="iconSet" priority="4491">
      <iconSet iconSet="3Arrows">
        <cfvo type="percent" val="0"/>
        <cfvo type="num" val="0.7"/>
        <cfvo type="num" val="1"/>
      </iconSet>
    </cfRule>
  </conditionalFormatting>
  <conditionalFormatting sqref="N2766 N2768 N2770">
    <cfRule type="dataBar" priority="4490">
      <dataBar>
        <cfvo type="num" val="0"/>
        <cfvo type="num" val="1"/>
        <color theme="4" tint="0.79998168889431442"/>
      </dataBar>
      <extLst>
        <ext xmlns:x14="http://schemas.microsoft.com/office/spreadsheetml/2009/9/main" uri="{B025F937-C7B1-47D3-B67F-A62EFF666E3E}">
          <x14:id>{9BF8B9C2-DB31-483D-8C9A-414D50804618}</x14:id>
        </ext>
      </extLst>
    </cfRule>
    <cfRule type="iconSet" priority="4489">
      <iconSet iconSet="3Arrows">
        <cfvo type="percent" val="0"/>
        <cfvo type="num" val="0.7"/>
        <cfvo type="num" val="1"/>
      </iconSet>
    </cfRule>
  </conditionalFormatting>
  <conditionalFormatting sqref="N2772 N2774 N2776">
    <cfRule type="iconSet" priority="4487">
      <iconSet iconSet="3Arrows">
        <cfvo type="percent" val="0"/>
        <cfvo type="num" val="0.7"/>
        <cfvo type="num" val="1"/>
      </iconSet>
    </cfRule>
    <cfRule type="dataBar" priority="4488">
      <dataBar>
        <cfvo type="num" val="0"/>
        <cfvo type="num" val="1"/>
        <color theme="4" tint="0.79998168889431442"/>
      </dataBar>
      <extLst>
        <ext xmlns:x14="http://schemas.microsoft.com/office/spreadsheetml/2009/9/main" uri="{B025F937-C7B1-47D3-B67F-A62EFF666E3E}">
          <x14:id>{77D1431D-3361-43D1-9559-5EC7CCDC6436}</x14:id>
        </ext>
      </extLst>
    </cfRule>
  </conditionalFormatting>
  <conditionalFormatting sqref="N2778 N2780 N2782">
    <cfRule type="dataBar" priority="4486">
      <dataBar>
        <cfvo type="num" val="0"/>
        <cfvo type="num" val="1"/>
        <color theme="4" tint="0.79998168889431442"/>
      </dataBar>
      <extLst>
        <ext xmlns:x14="http://schemas.microsoft.com/office/spreadsheetml/2009/9/main" uri="{B025F937-C7B1-47D3-B67F-A62EFF666E3E}">
          <x14:id>{61A2E21A-C54E-44CF-A2A9-8429F69A6C63}</x14:id>
        </ext>
      </extLst>
    </cfRule>
    <cfRule type="iconSet" priority="4485">
      <iconSet iconSet="3Arrows">
        <cfvo type="percent" val="0"/>
        <cfvo type="num" val="0.7"/>
        <cfvo type="num" val="1"/>
      </iconSet>
    </cfRule>
  </conditionalFormatting>
  <conditionalFormatting sqref="N2784 N2786 N2788">
    <cfRule type="dataBar" priority="4484">
      <dataBar>
        <cfvo type="num" val="0"/>
        <cfvo type="num" val="1"/>
        <color theme="4" tint="0.79998168889431442"/>
      </dataBar>
      <extLst>
        <ext xmlns:x14="http://schemas.microsoft.com/office/spreadsheetml/2009/9/main" uri="{B025F937-C7B1-47D3-B67F-A62EFF666E3E}">
          <x14:id>{4E907E75-A0B2-43AE-83AA-335BCF7E174C}</x14:id>
        </ext>
      </extLst>
    </cfRule>
    <cfRule type="iconSet" priority="4483">
      <iconSet iconSet="3Arrows">
        <cfvo type="percent" val="0"/>
        <cfvo type="num" val="0.7"/>
        <cfvo type="num" val="1"/>
      </iconSet>
    </cfRule>
  </conditionalFormatting>
  <conditionalFormatting sqref="N2790 N2792 N2794">
    <cfRule type="dataBar" priority="4482">
      <dataBar>
        <cfvo type="num" val="0"/>
        <cfvo type="num" val="1"/>
        <color theme="4" tint="0.79998168889431442"/>
      </dataBar>
      <extLst>
        <ext xmlns:x14="http://schemas.microsoft.com/office/spreadsheetml/2009/9/main" uri="{B025F937-C7B1-47D3-B67F-A62EFF666E3E}">
          <x14:id>{68D27293-67A4-46BF-AD6F-34D5C04BD9F2}</x14:id>
        </ext>
      </extLst>
    </cfRule>
    <cfRule type="iconSet" priority="4481">
      <iconSet iconSet="3Arrows">
        <cfvo type="percent" val="0"/>
        <cfvo type="num" val="0.7"/>
        <cfvo type="num" val="1"/>
      </iconSet>
    </cfRule>
  </conditionalFormatting>
  <conditionalFormatting sqref="N2796 N2798 N2800">
    <cfRule type="iconSet" priority="4479">
      <iconSet iconSet="3Arrows">
        <cfvo type="percent" val="0"/>
        <cfvo type="num" val="0.7"/>
        <cfvo type="num" val="1"/>
      </iconSet>
    </cfRule>
    <cfRule type="dataBar" priority="4480">
      <dataBar>
        <cfvo type="num" val="0"/>
        <cfvo type="num" val="1"/>
        <color theme="4" tint="0.79998168889431442"/>
      </dataBar>
      <extLst>
        <ext xmlns:x14="http://schemas.microsoft.com/office/spreadsheetml/2009/9/main" uri="{B025F937-C7B1-47D3-B67F-A62EFF666E3E}">
          <x14:id>{A19A02D3-A68C-4187-8E9B-3F1BF2FC4033}</x14:id>
        </ext>
      </extLst>
    </cfRule>
  </conditionalFormatting>
  <conditionalFormatting sqref="N2802 N2804 N2806">
    <cfRule type="dataBar" priority="4478">
      <dataBar>
        <cfvo type="num" val="0"/>
        <cfvo type="num" val="1"/>
        <color theme="4" tint="0.79998168889431442"/>
      </dataBar>
      <extLst>
        <ext xmlns:x14="http://schemas.microsoft.com/office/spreadsheetml/2009/9/main" uri="{B025F937-C7B1-47D3-B67F-A62EFF666E3E}">
          <x14:id>{18323CB6-96E5-4A39-B6A7-CFFC8F7EF5A8}</x14:id>
        </ext>
      </extLst>
    </cfRule>
    <cfRule type="iconSet" priority="4477">
      <iconSet iconSet="3Arrows">
        <cfvo type="percent" val="0"/>
        <cfvo type="num" val="0.7"/>
        <cfvo type="num" val="1"/>
      </iconSet>
    </cfRule>
  </conditionalFormatting>
  <conditionalFormatting sqref="N2808 N2822 N2810">
    <cfRule type="dataBar" priority="4476">
      <dataBar>
        <cfvo type="num" val="0"/>
        <cfvo type="num" val="1"/>
        <color theme="4" tint="0.79998168889431442"/>
      </dataBar>
      <extLst>
        <ext xmlns:x14="http://schemas.microsoft.com/office/spreadsheetml/2009/9/main" uri="{B025F937-C7B1-47D3-B67F-A62EFF666E3E}">
          <x14:id>{8176BF3F-F4DF-44E3-AA86-14E05D8EFB4D}</x14:id>
        </ext>
      </extLst>
    </cfRule>
    <cfRule type="iconSet" priority="4475">
      <iconSet iconSet="3Arrows">
        <cfvo type="percent" val="0"/>
        <cfvo type="num" val="0.7"/>
        <cfvo type="num" val="1"/>
      </iconSet>
    </cfRule>
  </conditionalFormatting>
  <conditionalFormatting sqref="N2814">
    <cfRule type="dataBar" priority="4474">
      <dataBar>
        <cfvo type="num" val="0"/>
        <cfvo type="num" val="1"/>
        <color theme="4" tint="0.79998168889431442"/>
      </dataBar>
      <extLst>
        <ext xmlns:x14="http://schemas.microsoft.com/office/spreadsheetml/2009/9/main" uri="{B025F937-C7B1-47D3-B67F-A62EFF666E3E}">
          <x14:id>{9EA1593E-810F-4DA0-BA13-38D4515F378D}</x14:id>
        </ext>
      </extLst>
    </cfRule>
    <cfRule type="iconSet" priority="4473">
      <iconSet iconSet="3Arrows">
        <cfvo type="percent" val="0"/>
        <cfvo type="num" val="0.7"/>
        <cfvo type="num" val="1"/>
      </iconSet>
    </cfRule>
  </conditionalFormatting>
  <conditionalFormatting sqref="N2816 N2818 N2820">
    <cfRule type="iconSet" priority="4471">
      <iconSet iconSet="3Arrows">
        <cfvo type="percent" val="0"/>
        <cfvo type="num" val="0.7"/>
        <cfvo type="num" val="1"/>
      </iconSet>
    </cfRule>
    <cfRule type="dataBar" priority="4472">
      <dataBar>
        <cfvo type="num" val="0"/>
        <cfvo type="num" val="1"/>
        <color theme="4" tint="0.79998168889431442"/>
      </dataBar>
      <extLst>
        <ext xmlns:x14="http://schemas.microsoft.com/office/spreadsheetml/2009/9/main" uri="{B025F937-C7B1-47D3-B67F-A62EFF666E3E}">
          <x14:id>{86B7DE04-3AC1-47EB-9B28-3F84E4F339AF}</x14:id>
        </ext>
      </extLst>
    </cfRule>
  </conditionalFormatting>
  <conditionalFormatting sqref="N2824 N2826 N2828">
    <cfRule type="iconSet" priority="4469">
      <iconSet iconSet="3Arrows">
        <cfvo type="percent" val="0"/>
        <cfvo type="num" val="0.7"/>
        <cfvo type="num" val="1"/>
      </iconSet>
    </cfRule>
    <cfRule type="dataBar" priority="4470">
      <dataBar>
        <cfvo type="num" val="0"/>
        <cfvo type="num" val="1"/>
        <color theme="4" tint="0.79998168889431442"/>
      </dataBar>
      <extLst>
        <ext xmlns:x14="http://schemas.microsoft.com/office/spreadsheetml/2009/9/main" uri="{B025F937-C7B1-47D3-B67F-A62EFF666E3E}">
          <x14:id>{79B2A15F-05A0-447E-9D2F-592C4FFDFFBB}</x14:id>
        </ext>
      </extLst>
    </cfRule>
  </conditionalFormatting>
  <conditionalFormatting sqref="N2830 N2832 N2834">
    <cfRule type="dataBar" priority="4468">
      <dataBar>
        <cfvo type="num" val="0"/>
        <cfvo type="num" val="1"/>
        <color theme="4" tint="0.79998168889431442"/>
      </dataBar>
      <extLst>
        <ext xmlns:x14="http://schemas.microsoft.com/office/spreadsheetml/2009/9/main" uri="{B025F937-C7B1-47D3-B67F-A62EFF666E3E}">
          <x14:id>{DF3DA064-93A8-485D-8564-966261659C0E}</x14:id>
        </ext>
      </extLst>
    </cfRule>
    <cfRule type="iconSet" priority="4467">
      <iconSet iconSet="3Arrows">
        <cfvo type="percent" val="0"/>
        <cfvo type="num" val="0.7"/>
        <cfvo type="num" val="1"/>
      </iconSet>
    </cfRule>
  </conditionalFormatting>
  <conditionalFormatting sqref="N2836 N2838 N2840">
    <cfRule type="dataBar" priority="4466">
      <dataBar>
        <cfvo type="num" val="0"/>
        <cfvo type="num" val="1"/>
        <color theme="4" tint="0.79998168889431442"/>
      </dataBar>
      <extLst>
        <ext xmlns:x14="http://schemas.microsoft.com/office/spreadsheetml/2009/9/main" uri="{B025F937-C7B1-47D3-B67F-A62EFF666E3E}">
          <x14:id>{75834B4E-4D98-426E-94AA-1E1782015C7B}</x14:id>
        </ext>
      </extLst>
    </cfRule>
    <cfRule type="iconSet" priority="4465">
      <iconSet iconSet="3Arrows">
        <cfvo type="percent" val="0"/>
        <cfvo type="num" val="0.7"/>
        <cfvo type="num" val="1"/>
      </iconSet>
    </cfRule>
  </conditionalFormatting>
  <conditionalFormatting sqref="N2842 N2844 N2846">
    <cfRule type="dataBar" priority="4464">
      <dataBar>
        <cfvo type="num" val="0"/>
        <cfvo type="num" val="1"/>
        <color theme="4" tint="0.79998168889431442"/>
      </dataBar>
      <extLst>
        <ext xmlns:x14="http://schemas.microsoft.com/office/spreadsheetml/2009/9/main" uri="{B025F937-C7B1-47D3-B67F-A62EFF666E3E}">
          <x14:id>{A3A9E81C-C126-4A54-A7FD-C45FB6788645}</x14:id>
        </ext>
      </extLst>
    </cfRule>
    <cfRule type="iconSet" priority="4463">
      <iconSet iconSet="3Arrows">
        <cfvo type="percent" val="0"/>
        <cfvo type="num" val="0.7"/>
        <cfvo type="num" val="1"/>
      </iconSet>
    </cfRule>
  </conditionalFormatting>
  <conditionalFormatting sqref="N2848">
    <cfRule type="dataBar" priority="4462">
      <dataBar>
        <cfvo type="num" val="0"/>
        <cfvo type="num" val="1"/>
        <color theme="4" tint="0.79998168889431442"/>
      </dataBar>
      <extLst>
        <ext xmlns:x14="http://schemas.microsoft.com/office/spreadsheetml/2009/9/main" uri="{B025F937-C7B1-47D3-B67F-A62EFF666E3E}">
          <x14:id>{19051629-C3DB-4B27-8E97-96FCC84E5BFD}</x14:id>
        </ext>
      </extLst>
    </cfRule>
    <cfRule type="iconSet" priority="4461">
      <iconSet iconSet="3Arrows">
        <cfvo type="percent" val="0"/>
        <cfvo type="num" val="0.7"/>
        <cfvo type="num" val="1"/>
      </iconSet>
    </cfRule>
  </conditionalFormatting>
  <conditionalFormatting sqref="N2852">
    <cfRule type="dataBar" priority="4460">
      <dataBar>
        <cfvo type="num" val="0"/>
        <cfvo type="num" val="1"/>
        <color theme="4" tint="0.79998168889431442"/>
      </dataBar>
      <extLst>
        <ext xmlns:x14="http://schemas.microsoft.com/office/spreadsheetml/2009/9/main" uri="{B025F937-C7B1-47D3-B67F-A62EFF666E3E}">
          <x14:id>{8C48F2B4-1E7A-4209-91E0-2ACEA08B4051}</x14:id>
        </ext>
      </extLst>
    </cfRule>
    <cfRule type="iconSet" priority="4459">
      <iconSet iconSet="3Arrows">
        <cfvo type="percent" val="0"/>
        <cfvo type="num" val="0.7"/>
        <cfvo type="num" val="1"/>
      </iconSet>
    </cfRule>
  </conditionalFormatting>
  <conditionalFormatting sqref="N2856">
    <cfRule type="dataBar" priority="4458">
      <dataBar>
        <cfvo type="num" val="0"/>
        <cfvo type="num" val="1"/>
        <color theme="4" tint="0.79998168889431442"/>
      </dataBar>
      <extLst>
        <ext xmlns:x14="http://schemas.microsoft.com/office/spreadsheetml/2009/9/main" uri="{B025F937-C7B1-47D3-B67F-A62EFF666E3E}">
          <x14:id>{4F16506F-E3CB-4869-A15F-84F908FADABC}</x14:id>
        </ext>
      </extLst>
    </cfRule>
    <cfRule type="iconSet" priority="4457">
      <iconSet iconSet="3Arrows">
        <cfvo type="percent" val="0"/>
        <cfvo type="num" val="0.7"/>
        <cfvo type="num" val="1"/>
      </iconSet>
    </cfRule>
  </conditionalFormatting>
  <conditionalFormatting sqref="N2858">
    <cfRule type="dataBar" priority="4456">
      <dataBar>
        <cfvo type="num" val="0"/>
        <cfvo type="num" val="1"/>
        <color theme="4" tint="0.79998168889431442"/>
      </dataBar>
      <extLst>
        <ext xmlns:x14="http://schemas.microsoft.com/office/spreadsheetml/2009/9/main" uri="{B025F937-C7B1-47D3-B67F-A62EFF666E3E}">
          <x14:id>{5B8504D7-ED96-43B3-A45F-76011E938CDA}</x14:id>
        </ext>
      </extLst>
    </cfRule>
    <cfRule type="iconSet" priority="4455">
      <iconSet iconSet="3Arrows">
        <cfvo type="percent" val="0"/>
        <cfvo type="num" val="0.7"/>
        <cfvo type="num" val="1"/>
      </iconSet>
    </cfRule>
  </conditionalFormatting>
  <conditionalFormatting sqref="N2860">
    <cfRule type="dataBar" priority="4454">
      <dataBar>
        <cfvo type="num" val="0"/>
        <cfvo type="num" val="1"/>
        <color theme="4" tint="0.79998168889431442"/>
      </dataBar>
      <extLst>
        <ext xmlns:x14="http://schemas.microsoft.com/office/spreadsheetml/2009/9/main" uri="{B025F937-C7B1-47D3-B67F-A62EFF666E3E}">
          <x14:id>{19B56F25-8508-4E98-9EBF-106351AE5F96}</x14:id>
        </ext>
      </extLst>
    </cfRule>
    <cfRule type="iconSet" priority="4453">
      <iconSet iconSet="3Arrows">
        <cfvo type="percent" val="0"/>
        <cfvo type="num" val="0.7"/>
        <cfvo type="num" val="1"/>
      </iconSet>
    </cfRule>
  </conditionalFormatting>
  <conditionalFormatting sqref="N2862">
    <cfRule type="dataBar" priority="4452">
      <dataBar>
        <cfvo type="num" val="0"/>
        <cfvo type="num" val="1"/>
        <color theme="4" tint="0.79998168889431442"/>
      </dataBar>
      <extLst>
        <ext xmlns:x14="http://schemas.microsoft.com/office/spreadsheetml/2009/9/main" uri="{B025F937-C7B1-47D3-B67F-A62EFF666E3E}">
          <x14:id>{B27BD06C-B8E3-4E28-AC5C-645E4651CE6F}</x14:id>
        </ext>
      </extLst>
    </cfRule>
    <cfRule type="iconSet" priority="4451">
      <iconSet iconSet="3Arrows">
        <cfvo type="percent" val="0"/>
        <cfvo type="num" val="0.7"/>
        <cfvo type="num" val="1"/>
      </iconSet>
    </cfRule>
  </conditionalFormatting>
  <conditionalFormatting sqref="N2864">
    <cfRule type="dataBar" priority="4450">
      <dataBar>
        <cfvo type="num" val="0"/>
        <cfvo type="num" val="1"/>
        <color theme="4" tint="0.79998168889431442"/>
      </dataBar>
      <extLst>
        <ext xmlns:x14="http://schemas.microsoft.com/office/spreadsheetml/2009/9/main" uri="{B025F937-C7B1-47D3-B67F-A62EFF666E3E}">
          <x14:id>{BAC41D5D-F673-4823-8FBD-D050073EF479}</x14:id>
        </ext>
      </extLst>
    </cfRule>
    <cfRule type="iconSet" priority="4449">
      <iconSet iconSet="3Arrows">
        <cfvo type="percent" val="0"/>
        <cfvo type="num" val="0.7"/>
        <cfvo type="num" val="1"/>
      </iconSet>
    </cfRule>
  </conditionalFormatting>
  <conditionalFormatting sqref="N2866">
    <cfRule type="dataBar" priority="4448">
      <dataBar>
        <cfvo type="num" val="0"/>
        <cfvo type="num" val="1"/>
        <color theme="4" tint="0.79998168889431442"/>
      </dataBar>
      <extLst>
        <ext xmlns:x14="http://schemas.microsoft.com/office/spreadsheetml/2009/9/main" uri="{B025F937-C7B1-47D3-B67F-A62EFF666E3E}">
          <x14:id>{3D0C06BD-47BE-42AD-8532-C0DE8CB79263}</x14:id>
        </ext>
      </extLst>
    </cfRule>
    <cfRule type="iconSet" priority="4447">
      <iconSet iconSet="3Arrows">
        <cfvo type="percent" val="0"/>
        <cfvo type="num" val="0.7"/>
        <cfvo type="num" val="1"/>
      </iconSet>
    </cfRule>
  </conditionalFormatting>
  <conditionalFormatting sqref="N2868">
    <cfRule type="dataBar" priority="4446">
      <dataBar>
        <cfvo type="num" val="0"/>
        <cfvo type="num" val="1"/>
        <color theme="4" tint="0.79998168889431442"/>
      </dataBar>
      <extLst>
        <ext xmlns:x14="http://schemas.microsoft.com/office/spreadsheetml/2009/9/main" uri="{B025F937-C7B1-47D3-B67F-A62EFF666E3E}">
          <x14:id>{43A70F7C-E445-4FA9-B45C-4F0D6AE50829}</x14:id>
        </ext>
      </extLst>
    </cfRule>
    <cfRule type="iconSet" priority="4445">
      <iconSet iconSet="3Arrows">
        <cfvo type="percent" val="0"/>
        <cfvo type="num" val="0.7"/>
        <cfvo type="num" val="1"/>
      </iconSet>
    </cfRule>
  </conditionalFormatting>
  <conditionalFormatting sqref="N2870">
    <cfRule type="dataBar" priority="4444">
      <dataBar>
        <cfvo type="num" val="0"/>
        <cfvo type="num" val="1"/>
        <color theme="4" tint="0.79998168889431442"/>
      </dataBar>
      <extLst>
        <ext xmlns:x14="http://schemas.microsoft.com/office/spreadsheetml/2009/9/main" uri="{B025F937-C7B1-47D3-B67F-A62EFF666E3E}">
          <x14:id>{F3CBD7BB-C081-45B9-8696-30F15E0A15B6}</x14:id>
        </ext>
      </extLst>
    </cfRule>
    <cfRule type="iconSet" priority="4443">
      <iconSet iconSet="3Arrows">
        <cfvo type="percent" val="0"/>
        <cfvo type="num" val="0.7"/>
        <cfvo type="num" val="1"/>
      </iconSet>
    </cfRule>
  </conditionalFormatting>
  <conditionalFormatting sqref="N2872">
    <cfRule type="dataBar" priority="4442">
      <dataBar>
        <cfvo type="num" val="0"/>
        <cfvo type="num" val="1"/>
        <color theme="4" tint="0.79998168889431442"/>
      </dataBar>
      <extLst>
        <ext xmlns:x14="http://schemas.microsoft.com/office/spreadsheetml/2009/9/main" uri="{B025F937-C7B1-47D3-B67F-A62EFF666E3E}">
          <x14:id>{49514128-794B-4BDD-BE60-F0EF5184E53B}</x14:id>
        </ext>
      </extLst>
    </cfRule>
    <cfRule type="iconSet" priority="4441">
      <iconSet iconSet="3Arrows">
        <cfvo type="percent" val="0"/>
        <cfvo type="num" val="0.7"/>
        <cfvo type="num" val="1"/>
      </iconSet>
    </cfRule>
  </conditionalFormatting>
  <conditionalFormatting sqref="N2874">
    <cfRule type="iconSet" priority="4439">
      <iconSet iconSet="3Arrows">
        <cfvo type="percent" val="0"/>
        <cfvo type="num" val="0.7"/>
        <cfvo type="num" val="1"/>
      </iconSet>
    </cfRule>
    <cfRule type="dataBar" priority="4440">
      <dataBar>
        <cfvo type="num" val="0"/>
        <cfvo type="num" val="1"/>
        <color theme="4" tint="0.79998168889431442"/>
      </dataBar>
      <extLst>
        <ext xmlns:x14="http://schemas.microsoft.com/office/spreadsheetml/2009/9/main" uri="{B025F937-C7B1-47D3-B67F-A62EFF666E3E}">
          <x14:id>{05037EDF-0726-4819-ADB0-820595301170}</x14:id>
        </ext>
      </extLst>
    </cfRule>
  </conditionalFormatting>
  <conditionalFormatting sqref="N2876">
    <cfRule type="iconSet" priority="4437">
      <iconSet iconSet="3Arrows">
        <cfvo type="percent" val="0"/>
        <cfvo type="num" val="0.7"/>
        <cfvo type="num" val="1"/>
      </iconSet>
    </cfRule>
    <cfRule type="dataBar" priority="4438">
      <dataBar>
        <cfvo type="num" val="0"/>
        <cfvo type="num" val="1"/>
        <color theme="4" tint="0.79998168889431442"/>
      </dataBar>
      <extLst>
        <ext xmlns:x14="http://schemas.microsoft.com/office/spreadsheetml/2009/9/main" uri="{B025F937-C7B1-47D3-B67F-A62EFF666E3E}">
          <x14:id>{DE1A4AE5-E914-453C-A42B-6A656D79825C}</x14:id>
        </ext>
      </extLst>
    </cfRule>
  </conditionalFormatting>
  <conditionalFormatting sqref="N2878">
    <cfRule type="dataBar" priority="4436">
      <dataBar>
        <cfvo type="num" val="0"/>
        <cfvo type="num" val="1"/>
        <color theme="4" tint="0.79998168889431442"/>
      </dataBar>
      <extLst>
        <ext xmlns:x14="http://schemas.microsoft.com/office/spreadsheetml/2009/9/main" uri="{B025F937-C7B1-47D3-B67F-A62EFF666E3E}">
          <x14:id>{170AD937-55C0-40B4-91A4-A2734E087E97}</x14:id>
        </ext>
      </extLst>
    </cfRule>
    <cfRule type="iconSet" priority="4435">
      <iconSet iconSet="3Arrows">
        <cfvo type="percent" val="0"/>
        <cfvo type="num" val="0.7"/>
        <cfvo type="num" val="1"/>
      </iconSet>
    </cfRule>
  </conditionalFormatting>
  <conditionalFormatting sqref="N2880">
    <cfRule type="dataBar" priority="4434">
      <dataBar>
        <cfvo type="num" val="0"/>
        <cfvo type="num" val="1"/>
        <color theme="4" tint="0.79998168889431442"/>
      </dataBar>
      <extLst>
        <ext xmlns:x14="http://schemas.microsoft.com/office/spreadsheetml/2009/9/main" uri="{B025F937-C7B1-47D3-B67F-A62EFF666E3E}">
          <x14:id>{94BB0E4E-1B99-42B8-BD99-68CD74C017F3}</x14:id>
        </ext>
      </extLst>
    </cfRule>
    <cfRule type="iconSet" priority="4433">
      <iconSet iconSet="3Arrows">
        <cfvo type="percent" val="0"/>
        <cfvo type="num" val="0.7"/>
        <cfvo type="num" val="1"/>
      </iconSet>
    </cfRule>
  </conditionalFormatting>
  <conditionalFormatting sqref="N2882">
    <cfRule type="dataBar" priority="4432">
      <dataBar>
        <cfvo type="num" val="0"/>
        <cfvo type="num" val="1"/>
        <color theme="4" tint="0.79998168889431442"/>
      </dataBar>
      <extLst>
        <ext xmlns:x14="http://schemas.microsoft.com/office/spreadsheetml/2009/9/main" uri="{B025F937-C7B1-47D3-B67F-A62EFF666E3E}">
          <x14:id>{B8054284-F4CA-4561-9A7C-8AE3419F32A2}</x14:id>
        </ext>
      </extLst>
    </cfRule>
    <cfRule type="iconSet" priority="4431">
      <iconSet iconSet="3Arrows">
        <cfvo type="percent" val="0"/>
        <cfvo type="num" val="0.7"/>
        <cfvo type="num" val="1"/>
      </iconSet>
    </cfRule>
  </conditionalFormatting>
  <conditionalFormatting sqref="N2884">
    <cfRule type="dataBar" priority="4430">
      <dataBar>
        <cfvo type="num" val="0"/>
        <cfvo type="num" val="1"/>
        <color theme="4" tint="0.79998168889431442"/>
      </dataBar>
      <extLst>
        <ext xmlns:x14="http://schemas.microsoft.com/office/spreadsheetml/2009/9/main" uri="{B025F937-C7B1-47D3-B67F-A62EFF666E3E}">
          <x14:id>{03A64FF7-E05B-430F-AD1B-A4223838BEF2}</x14:id>
        </ext>
      </extLst>
    </cfRule>
    <cfRule type="iconSet" priority="4429">
      <iconSet iconSet="3Arrows">
        <cfvo type="percent" val="0"/>
        <cfvo type="num" val="0.7"/>
        <cfvo type="num" val="1"/>
      </iconSet>
    </cfRule>
  </conditionalFormatting>
  <conditionalFormatting sqref="N2886">
    <cfRule type="dataBar" priority="4428">
      <dataBar>
        <cfvo type="num" val="0"/>
        <cfvo type="num" val="1"/>
        <color theme="4" tint="0.79998168889431442"/>
      </dataBar>
      <extLst>
        <ext xmlns:x14="http://schemas.microsoft.com/office/spreadsheetml/2009/9/main" uri="{B025F937-C7B1-47D3-B67F-A62EFF666E3E}">
          <x14:id>{F2472DC5-141C-4BEB-9539-C1208356414C}</x14:id>
        </ext>
      </extLst>
    </cfRule>
    <cfRule type="iconSet" priority="4427">
      <iconSet iconSet="3Arrows">
        <cfvo type="percent" val="0"/>
        <cfvo type="num" val="0.7"/>
        <cfvo type="num" val="1"/>
      </iconSet>
    </cfRule>
  </conditionalFormatting>
  <conditionalFormatting sqref="N2888">
    <cfRule type="dataBar" priority="4426">
      <dataBar>
        <cfvo type="num" val="0"/>
        <cfvo type="num" val="1"/>
        <color theme="4" tint="0.79998168889431442"/>
      </dataBar>
      <extLst>
        <ext xmlns:x14="http://schemas.microsoft.com/office/spreadsheetml/2009/9/main" uri="{B025F937-C7B1-47D3-B67F-A62EFF666E3E}">
          <x14:id>{D3E46671-798A-4E8D-ACB8-A474C397953C}</x14:id>
        </ext>
      </extLst>
    </cfRule>
    <cfRule type="iconSet" priority="4425">
      <iconSet iconSet="3Arrows">
        <cfvo type="percent" val="0"/>
        <cfvo type="num" val="0.7"/>
        <cfvo type="num" val="1"/>
      </iconSet>
    </cfRule>
  </conditionalFormatting>
  <conditionalFormatting sqref="N2890">
    <cfRule type="dataBar" priority="4424">
      <dataBar>
        <cfvo type="num" val="0"/>
        <cfvo type="num" val="1"/>
        <color theme="4" tint="0.79998168889431442"/>
      </dataBar>
      <extLst>
        <ext xmlns:x14="http://schemas.microsoft.com/office/spreadsheetml/2009/9/main" uri="{B025F937-C7B1-47D3-B67F-A62EFF666E3E}">
          <x14:id>{28DB1BF9-1590-48BA-82BA-0AA6D855F3EE}</x14:id>
        </ext>
      </extLst>
    </cfRule>
    <cfRule type="iconSet" priority="4423">
      <iconSet iconSet="3Arrows">
        <cfvo type="percent" val="0"/>
        <cfvo type="num" val="0.7"/>
        <cfvo type="num" val="1"/>
      </iconSet>
    </cfRule>
  </conditionalFormatting>
  <conditionalFormatting sqref="N2892">
    <cfRule type="dataBar" priority="4422">
      <dataBar>
        <cfvo type="num" val="0"/>
        <cfvo type="num" val="1"/>
        <color theme="4" tint="0.79998168889431442"/>
      </dataBar>
      <extLst>
        <ext xmlns:x14="http://schemas.microsoft.com/office/spreadsheetml/2009/9/main" uri="{B025F937-C7B1-47D3-B67F-A62EFF666E3E}">
          <x14:id>{A1138FB2-942C-46F8-8AA6-2A9EF8E8F3E6}</x14:id>
        </ext>
      </extLst>
    </cfRule>
    <cfRule type="iconSet" priority="4421">
      <iconSet iconSet="3Arrows">
        <cfvo type="percent" val="0"/>
        <cfvo type="num" val="0.7"/>
        <cfvo type="num" val="1"/>
      </iconSet>
    </cfRule>
  </conditionalFormatting>
  <conditionalFormatting sqref="N2894">
    <cfRule type="dataBar" priority="4420">
      <dataBar>
        <cfvo type="num" val="0"/>
        <cfvo type="num" val="1"/>
        <color theme="4" tint="0.79998168889431442"/>
      </dataBar>
      <extLst>
        <ext xmlns:x14="http://schemas.microsoft.com/office/spreadsheetml/2009/9/main" uri="{B025F937-C7B1-47D3-B67F-A62EFF666E3E}">
          <x14:id>{D95104E5-07DF-4A63-9FE4-1CB33EF56ADB}</x14:id>
        </ext>
      </extLst>
    </cfRule>
    <cfRule type="iconSet" priority="4419">
      <iconSet iconSet="3Arrows">
        <cfvo type="percent" val="0"/>
        <cfvo type="num" val="0.7"/>
        <cfvo type="num" val="1"/>
      </iconSet>
    </cfRule>
  </conditionalFormatting>
  <conditionalFormatting sqref="N2896">
    <cfRule type="dataBar" priority="4418">
      <dataBar>
        <cfvo type="num" val="0"/>
        <cfvo type="num" val="1"/>
        <color theme="4" tint="0.79998168889431442"/>
      </dataBar>
      <extLst>
        <ext xmlns:x14="http://schemas.microsoft.com/office/spreadsheetml/2009/9/main" uri="{B025F937-C7B1-47D3-B67F-A62EFF666E3E}">
          <x14:id>{648A0B45-C606-4AC6-B14A-4842833DB95C}</x14:id>
        </ext>
      </extLst>
    </cfRule>
    <cfRule type="iconSet" priority="4417">
      <iconSet iconSet="3Arrows">
        <cfvo type="percent" val="0"/>
        <cfvo type="num" val="0.7"/>
        <cfvo type="num" val="1"/>
      </iconSet>
    </cfRule>
  </conditionalFormatting>
  <conditionalFormatting sqref="N2898">
    <cfRule type="dataBar" priority="4416">
      <dataBar>
        <cfvo type="num" val="0"/>
        <cfvo type="num" val="1"/>
        <color theme="4" tint="0.79998168889431442"/>
      </dataBar>
      <extLst>
        <ext xmlns:x14="http://schemas.microsoft.com/office/spreadsheetml/2009/9/main" uri="{B025F937-C7B1-47D3-B67F-A62EFF666E3E}">
          <x14:id>{401031A6-8997-43DF-812A-1F20BC7B934D}</x14:id>
        </ext>
      </extLst>
    </cfRule>
    <cfRule type="iconSet" priority="4415">
      <iconSet iconSet="3Arrows">
        <cfvo type="percent" val="0"/>
        <cfvo type="num" val="0.7"/>
        <cfvo type="num" val="1"/>
      </iconSet>
    </cfRule>
  </conditionalFormatting>
  <conditionalFormatting sqref="N2900">
    <cfRule type="dataBar" priority="4414">
      <dataBar>
        <cfvo type="num" val="0"/>
        <cfvo type="num" val="1"/>
        <color theme="4" tint="0.79998168889431442"/>
      </dataBar>
      <extLst>
        <ext xmlns:x14="http://schemas.microsoft.com/office/spreadsheetml/2009/9/main" uri="{B025F937-C7B1-47D3-B67F-A62EFF666E3E}">
          <x14:id>{078A5825-9699-4CCB-97B7-9442F7BD99C5}</x14:id>
        </ext>
      </extLst>
    </cfRule>
    <cfRule type="iconSet" priority="4413">
      <iconSet iconSet="3Arrows">
        <cfvo type="percent" val="0"/>
        <cfvo type="num" val="0.7"/>
        <cfvo type="num" val="1"/>
      </iconSet>
    </cfRule>
  </conditionalFormatting>
  <conditionalFormatting sqref="N2902">
    <cfRule type="iconSet" priority="4411">
      <iconSet iconSet="3Arrows">
        <cfvo type="percent" val="0"/>
        <cfvo type="num" val="0.7"/>
        <cfvo type="num" val="1"/>
      </iconSet>
    </cfRule>
    <cfRule type="dataBar" priority="4412">
      <dataBar>
        <cfvo type="num" val="0"/>
        <cfvo type="num" val="1"/>
        <color theme="4" tint="0.79998168889431442"/>
      </dataBar>
      <extLst>
        <ext xmlns:x14="http://schemas.microsoft.com/office/spreadsheetml/2009/9/main" uri="{B025F937-C7B1-47D3-B67F-A62EFF666E3E}">
          <x14:id>{D3F902D5-E6EF-4337-BB38-BCEF571BF0A8}</x14:id>
        </ext>
      </extLst>
    </cfRule>
  </conditionalFormatting>
  <conditionalFormatting sqref="N2904">
    <cfRule type="iconSet" priority="4409">
      <iconSet iconSet="3Arrows">
        <cfvo type="percent" val="0"/>
        <cfvo type="num" val="0.7"/>
        <cfvo type="num" val="1"/>
      </iconSet>
    </cfRule>
    <cfRule type="dataBar" priority="4410">
      <dataBar>
        <cfvo type="num" val="0"/>
        <cfvo type="num" val="1"/>
        <color theme="4" tint="0.79998168889431442"/>
      </dataBar>
      <extLst>
        <ext xmlns:x14="http://schemas.microsoft.com/office/spreadsheetml/2009/9/main" uri="{B025F937-C7B1-47D3-B67F-A62EFF666E3E}">
          <x14:id>{2488D2D1-9F5C-4FDD-8EBF-6E9FFE75BFE9}</x14:id>
        </ext>
      </extLst>
    </cfRule>
  </conditionalFormatting>
  <conditionalFormatting sqref="N2906">
    <cfRule type="iconSet" priority="4407">
      <iconSet iconSet="3Arrows">
        <cfvo type="percent" val="0"/>
        <cfvo type="num" val="0.7"/>
        <cfvo type="num" val="1"/>
      </iconSet>
    </cfRule>
    <cfRule type="dataBar" priority="4408">
      <dataBar>
        <cfvo type="num" val="0"/>
        <cfvo type="num" val="1"/>
        <color theme="4" tint="0.79998168889431442"/>
      </dataBar>
      <extLst>
        <ext xmlns:x14="http://schemas.microsoft.com/office/spreadsheetml/2009/9/main" uri="{B025F937-C7B1-47D3-B67F-A62EFF666E3E}">
          <x14:id>{AC7566AD-644F-4F58-951D-62FE6C8B6EBF}</x14:id>
        </ext>
      </extLst>
    </cfRule>
  </conditionalFormatting>
  <conditionalFormatting sqref="N2908">
    <cfRule type="dataBar" priority="4406">
      <dataBar>
        <cfvo type="num" val="0"/>
        <cfvo type="num" val="1"/>
        <color theme="4" tint="0.79998168889431442"/>
      </dataBar>
      <extLst>
        <ext xmlns:x14="http://schemas.microsoft.com/office/spreadsheetml/2009/9/main" uri="{B025F937-C7B1-47D3-B67F-A62EFF666E3E}">
          <x14:id>{8DD1075D-E4A8-49C4-8C61-94A6385F2532}</x14:id>
        </ext>
      </extLst>
    </cfRule>
    <cfRule type="iconSet" priority="4405">
      <iconSet iconSet="3Arrows">
        <cfvo type="percent" val="0"/>
        <cfvo type="num" val="0.7"/>
        <cfvo type="num" val="1"/>
      </iconSet>
    </cfRule>
  </conditionalFormatting>
  <conditionalFormatting sqref="N2910">
    <cfRule type="dataBar" priority="4404">
      <dataBar>
        <cfvo type="num" val="0"/>
        <cfvo type="num" val="1"/>
        <color theme="4" tint="0.79998168889431442"/>
      </dataBar>
      <extLst>
        <ext xmlns:x14="http://schemas.microsoft.com/office/spreadsheetml/2009/9/main" uri="{B025F937-C7B1-47D3-B67F-A62EFF666E3E}">
          <x14:id>{B05B8C83-9677-46E1-A451-BD21E68174D7}</x14:id>
        </ext>
      </extLst>
    </cfRule>
    <cfRule type="iconSet" priority="4403">
      <iconSet iconSet="3Arrows">
        <cfvo type="percent" val="0"/>
        <cfvo type="num" val="0.7"/>
        <cfvo type="num" val="1"/>
      </iconSet>
    </cfRule>
  </conditionalFormatting>
  <conditionalFormatting sqref="N2912">
    <cfRule type="dataBar" priority="4402">
      <dataBar>
        <cfvo type="num" val="0"/>
        <cfvo type="num" val="1"/>
        <color theme="4" tint="0.79998168889431442"/>
      </dataBar>
      <extLst>
        <ext xmlns:x14="http://schemas.microsoft.com/office/spreadsheetml/2009/9/main" uri="{B025F937-C7B1-47D3-B67F-A62EFF666E3E}">
          <x14:id>{CC3001E0-15D7-458A-969E-85F70464957A}</x14:id>
        </ext>
      </extLst>
    </cfRule>
    <cfRule type="iconSet" priority="4401">
      <iconSet iconSet="3Arrows">
        <cfvo type="percent" val="0"/>
        <cfvo type="num" val="0.7"/>
        <cfvo type="num" val="1"/>
      </iconSet>
    </cfRule>
  </conditionalFormatting>
  <conditionalFormatting sqref="N2914">
    <cfRule type="dataBar" priority="4400">
      <dataBar>
        <cfvo type="num" val="0"/>
        <cfvo type="num" val="1"/>
        <color theme="4" tint="0.79998168889431442"/>
      </dataBar>
      <extLst>
        <ext xmlns:x14="http://schemas.microsoft.com/office/spreadsheetml/2009/9/main" uri="{B025F937-C7B1-47D3-B67F-A62EFF666E3E}">
          <x14:id>{5D80C228-93E2-4B38-9A77-8E6AE164A493}</x14:id>
        </ext>
      </extLst>
    </cfRule>
    <cfRule type="iconSet" priority="4399">
      <iconSet iconSet="3Arrows">
        <cfvo type="percent" val="0"/>
        <cfvo type="num" val="0.7"/>
        <cfvo type="num" val="1"/>
      </iconSet>
    </cfRule>
  </conditionalFormatting>
  <conditionalFormatting sqref="N2916">
    <cfRule type="dataBar" priority="4398">
      <dataBar>
        <cfvo type="num" val="0"/>
        <cfvo type="num" val="1"/>
        <color theme="4" tint="0.79998168889431442"/>
      </dataBar>
      <extLst>
        <ext xmlns:x14="http://schemas.microsoft.com/office/spreadsheetml/2009/9/main" uri="{B025F937-C7B1-47D3-B67F-A62EFF666E3E}">
          <x14:id>{59C8E4EB-91FA-420A-8282-329B01CFDC55}</x14:id>
        </ext>
      </extLst>
    </cfRule>
    <cfRule type="iconSet" priority="4397">
      <iconSet iconSet="3Arrows">
        <cfvo type="percent" val="0"/>
        <cfvo type="num" val="0.7"/>
        <cfvo type="num" val="1"/>
      </iconSet>
    </cfRule>
  </conditionalFormatting>
  <conditionalFormatting sqref="N2918">
    <cfRule type="dataBar" priority="4396">
      <dataBar>
        <cfvo type="num" val="0"/>
        <cfvo type="num" val="1"/>
        <color theme="4" tint="0.79998168889431442"/>
      </dataBar>
      <extLst>
        <ext xmlns:x14="http://schemas.microsoft.com/office/spreadsheetml/2009/9/main" uri="{B025F937-C7B1-47D3-B67F-A62EFF666E3E}">
          <x14:id>{95710CFC-F628-4CDB-81D2-89084F12D987}</x14:id>
        </ext>
      </extLst>
    </cfRule>
    <cfRule type="iconSet" priority="4395">
      <iconSet iconSet="3Arrows">
        <cfvo type="percent" val="0"/>
        <cfvo type="num" val="0.7"/>
        <cfvo type="num" val="1"/>
      </iconSet>
    </cfRule>
  </conditionalFormatting>
  <conditionalFormatting sqref="N2920">
    <cfRule type="dataBar" priority="4394">
      <dataBar>
        <cfvo type="num" val="0"/>
        <cfvo type="num" val="1"/>
        <color theme="4" tint="0.79998168889431442"/>
      </dataBar>
      <extLst>
        <ext xmlns:x14="http://schemas.microsoft.com/office/spreadsheetml/2009/9/main" uri="{B025F937-C7B1-47D3-B67F-A62EFF666E3E}">
          <x14:id>{1D370F77-5761-4558-81C2-63EB89F5A9FE}</x14:id>
        </ext>
      </extLst>
    </cfRule>
    <cfRule type="iconSet" priority="4393">
      <iconSet iconSet="3Arrows">
        <cfvo type="percent" val="0"/>
        <cfvo type="num" val="0.7"/>
        <cfvo type="num" val="1"/>
      </iconSet>
    </cfRule>
  </conditionalFormatting>
  <conditionalFormatting sqref="N2922">
    <cfRule type="dataBar" priority="4392">
      <dataBar>
        <cfvo type="num" val="0"/>
        <cfvo type="num" val="1"/>
        <color theme="4" tint="0.79998168889431442"/>
      </dataBar>
      <extLst>
        <ext xmlns:x14="http://schemas.microsoft.com/office/spreadsheetml/2009/9/main" uri="{B025F937-C7B1-47D3-B67F-A62EFF666E3E}">
          <x14:id>{C1D3885E-C8F3-489B-8470-AF39F4AA6D80}</x14:id>
        </ext>
      </extLst>
    </cfRule>
    <cfRule type="iconSet" priority="4391">
      <iconSet iconSet="3Arrows">
        <cfvo type="percent" val="0"/>
        <cfvo type="num" val="0.7"/>
        <cfvo type="num" val="1"/>
      </iconSet>
    </cfRule>
  </conditionalFormatting>
  <conditionalFormatting sqref="N2924">
    <cfRule type="dataBar" priority="4390">
      <dataBar>
        <cfvo type="num" val="0"/>
        <cfvo type="num" val="1"/>
        <color theme="4" tint="0.79998168889431442"/>
      </dataBar>
      <extLst>
        <ext xmlns:x14="http://schemas.microsoft.com/office/spreadsheetml/2009/9/main" uri="{B025F937-C7B1-47D3-B67F-A62EFF666E3E}">
          <x14:id>{21B9D1EC-EE32-4187-8C9A-EC45283C42E6}</x14:id>
        </ext>
      </extLst>
    </cfRule>
    <cfRule type="iconSet" priority="4389">
      <iconSet iconSet="3Arrows">
        <cfvo type="percent" val="0"/>
        <cfvo type="num" val="0.7"/>
        <cfvo type="num" val="1"/>
      </iconSet>
    </cfRule>
  </conditionalFormatting>
  <conditionalFormatting sqref="N2926">
    <cfRule type="dataBar" priority="4388">
      <dataBar>
        <cfvo type="num" val="0"/>
        <cfvo type="num" val="1"/>
        <color theme="4" tint="0.79998168889431442"/>
      </dataBar>
      <extLst>
        <ext xmlns:x14="http://schemas.microsoft.com/office/spreadsheetml/2009/9/main" uri="{B025F937-C7B1-47D3-B67F-A62EFF666E3E}">
          <x14:id>{5E4A6860-34CE-4FF2-B624-02BBDF9DF3B0}</x14:id>
        </ext>
      </extLst>
    </cfRule>
    <cfRule type="iconSet" priority="4387">
      <iconSet iconSet="3Arrows">
        <cfvo type="percent" val="0"/>
        <cfvo type="num" val="0.7"/>
        <cfvo type="num" val="1"/>
      </iconSet>
    </cfRule>
  </conditionalFormatting>
  <conditionalFormatting sqref="N2928">
    <cfRule type="dataBar" priority="4386">
      <dataBar>
        <cfvo type="num" val="0"/>
        <cfvo type="num" val="1"/>
        <color theme="4" tint="0.79998168889431442"/>
      </dataBar>
      <extLst>
        <ext xmlns:x14="http://schemas.microsoft.com/office/spreadsheetml/2009/9/main" uri="{B025F937-C7B1-47D3-B67F-A62EFF666E3E}">
          <x14:id>{79BD7853-81FD-4295-9B7E-2CC73A8DAEB3}</x14:id>
        </ext>
      </extLst>
    </cfRule>
    <cfRule type="iconSet" priority="4385">
      <iconSet iconSet="3Arrows">
        <cfvo type="percent" val="0"/>
        <cfvo type="num" val="0.7"/>
        <cfvo type="num" val="1"/>
      </iconSet>
    </cfRule>
  </conditionalFormatting>
  <conditionalFormatting sqref="N2930">
    <cfRule type="dataBar" priority="4384">
      <dataBar>
        <cfvo type="num" val="0"/>
        <cfvo type="num" val="1"/>
        <color theme="4" tint="0.79998168889431442"/>
      </dataBar>
      <extLst>
        <ext xmlns:x14="http://schemas.microsoft.com/office/spreadsheetml/2009/9/main" uri="{B025F937-C7B1-47D3-B67F-A62EFF666E3E}">
          <x14:id>{694CE89F-5D1A-4D76-9114-D548CD74E34C}</x14:id>
        </ext>
      </extLst>
    </cfRule>
    <cfRule type="iconSet" priority="4383">
      <iconSet iconSet="3Arrows">
        <cfvo type="percent" val="0"/>
        <cfvo type="num" val="0.7"/>
        <cfvo type="num" val="1"/>
      </iconSet>
    </cfRule>
  </conditionalFormatting>
  <conditionalFormatting sqref="N2932">
    <cfRule type="dataBar" priority="4382">
      <dataBar>
        <cfvo type="num" val="0"/>
        <cfvo type="num" val="1"/>
        <color theme="4" tint="0.79998168889431442"/>
      </dataBar>
      <extLst>
        <ext xmlns:x14="http://schemas.microsoft.com/office/spreadsheetml/2009/9/main" uri="{B025F937-C7B1-47D3-B67F-A62EFF666E3E}">
          <x14:id>{E26F2DD1-D1B2-466D-88E7-518A7CA6C9D3}</x14:id>
        </ext>
      </extLst>
    </cfRule>
    <cfRule type="iconSet" priority="4381">
      <iconSet iconSet="3Arrows">
        <cfvo type="percent" val="0"/>
        <cfvo type="num" val="0.7"/>
        <cfvo type="num" val="1"/>
      </iconSet>
    </cfRule>
  </conditionalFormatting>
  <conditionalFormatting sqref="N2934">
    <cfRule type="dataBar" priority="4380">
      <dataBar>
        <cfvo type="num" val="0"/>
        <cfvo type="num" val="1"/>
        <color theme="4" tint="0.79998168889431442"/>
      </dataBar>
      <extLst>
        <ext xmlns:x14="http://schemas.microsoft.com/office/spreadsheetml/2009/9/main" uri="{B025F937-C7B1-47D3-B67F-A62EFF666E3E}">
          <x14:id>{9EA8F99B-CBF6-49BA-B183-3CBA13715A84}</x14:id>
        </ext>
      </extLst>
    </cfRule>
    <cfRule type="iconSet" priority="4379">
      <iconSet iconSet="3Arrows">
        <cfvo type="percent" val="0"/>
        <cfvo type="num" val="0.7"/>
        <cfvo type="num" val="1"/>
      </iconSet>
    </cfRule>
  </conditionalFormatting>
  <conditionalFormatting sqref="N2936">
    <cfRule type="dataBar" priority="4378">
      <dataBar>
        <cfvo type="num" val="0"/>
        <cfvo type="num" val="1"/>
        <color theme="4" tint="0.79998168889431442"/>
      </dataBar>
      <extLst>
        <ext xmlns:x14="http://schemas.microsoft.com/office/spreadsheetml/2009/9/main" uri="{B025F937-C7B1-47D3-B67F-A62EFF666E3E}">
          <x14:id>{DA5BCA6C-09F1-4BE5-9D94-9ED1B3027826}</x14:id>
        </ext>
      </extLst>
    </cfRule>
    <cfRule type="iconSet" priority="4377">
      <iconSet iconSet="3Arrows">
        <cfvo type="percent" val="0"/>
        <cfvo type="num" val="0.7"/>
        <cfvo type="num" val="1"/>
      </iconSet>
    </cfRule>
  </conditionalFormatting>
  <conditionalFormatting sqref="N2938">
    <cfRule type="iconSet" priority="4375">
      <iconSet iconSet="3Arrows">
        <cfvo type="percent" val="0"/>
        <cfvo type="num" val="0.7"/>
        <cfvo type="num" val="1"/>
      </iconSet>
    </cfRule>
    <cfRule type="dataBar" priority="4376">
      <dataBar>
        <cfvo type="num" val="0"/>
        <cfvo type="num" val="1"/>
        <color theme="4" tint="0.79998168889431442"/>
      </dataBar>
      <extLst>
        <ext xmlns:x14="http://schemas.microsoft.com/office/spreadsheetml/2009/9/main" uri="{B025F937-C7B1-47D3-B67F-A62EFF666E3E}">
          <x14:id>{E257B26D-1BEC-43D5-904F-3852B6F3317B}</x14:id>
        </ext>
      </extLst>
    </cfRule>
  </conditionalFormatting>
  <conditionalFormatting sqref="N2940">
    <cfRule type="iconSet" priority="4373">
      <iconSet iconSet="3Arrows">
        <cfvo type="percent" val="0"/>
        <cfvo type="num" val="0.7"/>
        <cfvo type="num" val="1"/>
      </iconSet>
    </cfRule>
    <cfRule type="dataBar" priority="4374">
      <dataBar>
        <cfvo type="num" val="0"/>
        <cfvo type="num" val="1"/>
        <color theme="4" tint="0.79998168889431442"/>
      </dataBar>
      <extLst>
        <ext xmlns:x14="http://schemas.microsoft.com/office/spreadsheetml/2009/9/main" uri="{B025F937-C7B1-47D3-B67F-A62EFF666E3E}">
          <x14:id>{099521FD-37B9-4C4F-B9CD-B218B675EBC6}</x14:id>
        </ext>
      </extLst>
    </cfRule>
  </conditionalFormatting>
  <conditionalFormatting sqref="N2942">
    <cfRule type="dataBar" priority="4372">
      <dataBar>
        <cfvo type="num" val="0"/>
        <cfvo type="num" val="1"/>
        <color theme="4" tint="0.79998168889431442"/>
      </dataBar>
      <extLst>
        <ext xmlns:x14="http://schemas.microsoft.com/office/spreadsheetml/2009/9/main" uri="{B025F937-C7B1-47D3-B67F-A62EFF666E3E}">
          <x14:id>{67D8ED19-7015-4DE5-8E80-B018A4A1B6CD}</x14:id>
        </ext>
      </extLst>
    </cfRule>
    <cfRule type="iconSet" priority="4371">
      <iconSet iconSet="3Arrows">
        <cfvo type="percent" val="0"/>
        <cfvo type="num" val="0.7"/>
        <cfvo type="num" val="1"/>
      </iconSet>
    </cfRule>
  </conditionalFormatting>
  <conditionalFormatting sqref="N2944">
    <cfRule type="dataBar" priority="4370">
      <dataBar>
        <cfvo type="num" val="0"/>
        <cfvo type="num" val="1"/>
        <color theme="4" tint="0.79998168889431442"/>
      </dataBar>
      <extLst>
        <ext xmlns:x14="http://schemas.microsoft.com/office/spreadsheetml/2009/9/main" uri="{B025F937-C7B1-47D3-B67F-A62EFF666E3E}">
          <x14:id>{B624FD0B-360E-419A-9C45-EDE32EAA0ECA}</x14:id>
        </ext>
      </extLst>
    </cfRule>
    <cfRule type="iconSet" priority="4369">
      <iconSet iconSet="3Arrows">
        <cfvo type="percent" val="0"/>
        <cfvo type="num" val="0.7"/>
        <cfvo type="num" val="1"/>
      </iconSet>
    </cfRule>
  </conditionalFormatting>
  <conditionalFormatting sqref="N2946">
    <cfRule type="dataBar" priority="4368">
      <dataBar>
        <cfvo type="num" val="0"/>
        <cfvo type="num" val="1"/>
        <color theme="4" tint="0.79998168889431442"/>
      </dataBar>
      <extLst>
        <ext xmlns:x14="http://schemas.microsoft.com/office/spreadsheetml/2009/9/main" uri="{B025F937-C7B1-47D3-B67F-A62EFF666E3E}">
          <x14:id>{1979EAD0-FDCF-4971-919C-4DEF88A10FF0}</x14:id>
        </ext>
      </extLst>
    </cfRule>
    <cfRule type="iconSet" priority="4367">
      <iconSet iconSet="3Arrows">
        <cfvo type="percent" val="0"/>
        <cfvo type="num" val="0.7"/>
        <cfvo type="num" val="1"/>
      </iconSet>
    </cfRule>
  </conditionalFormatting>
  <conditionalFormatting sqref="N2948">
    <cfRule type="dataBar" priority="4366">
      <dataBar>
        <cfvo type="num" val="0"/>
        <cfvo type="num" val="1"/>
        <color theme="4" tint="0.79998168889431442"/>
      </dataBar>
      <extLst>
        <ext xmlns:x14="http://schemas.microsoft.com/office/spreadsheetml/2009/9/main" uri="{B025F937-C7B1-47D3-B67F-A62EFF666E3E}">
          <x14:id>{E3D7A60F-E418-4690-8681-D82E618AAB32}</x14:id>
        </ext>
      </extLst>
    </cfRule>
    <cfRule type="iconSet" priority="4365">
      <iconSet iconSet="3Arrows">
        <cfvo type="percent" val="0"/>
        <cfvo type="num" val="0.7"/>
        <cfvo type="num" val="1"/>
      </iconSet>
    </cfRule>
  </conditionalFormatting>
  <conditionalFormatting sqref="N2950">
    <cfRule type="dataBar" priority="4364">
      <dataBar>
        <cfvo type="num" val="0"/>
        <cfvo type="num" val="1"/>
        <color theme="4" tint="0.79998168889431442"/>
      </dataBar>
      <extLst>
        <ext xmlns:x14="http://schemas.microsoft.com/office/spreadsheetml/2009/9/main" uri="{B025F937-C7B1-47D3-B67F-A62EFF666E3E}">
          <x14:id>{CCAB69EF-9694-4BF3-9210-9A1AD20F7960}</x14:id>
        </ext>
      </extLst>
    </cfRule>
    <cfRule type="iconSet" priority="4363">
      <iconSet iconSet="3Arrows">
        <cfvo type="percent" val="0"/>
        <cfvo type="num" val="0.7"/>
        <cfvo type="num" val="1"/>
      </iconSet>
    </cfRule>
  </conditionalFormatting>
  <conditionalFormatting sqref="N2952">
    <cfRule type="dataBar" priority="4362">
      <dataBar>
        <cfvo type="num" val="0"/>
        <cfvo type="num" val="1"/>
        <color theme="4" tint="0.79998168889431442"/>
      </dataBar>
      <extLst>
        <ext xmlns:x14="http://schemas.microsoft.com/office/spreadsheetml/2009/9/main" uri="{B025F937-C7B1-47D3-B67F-A62EFF666E3E}">
          <x14:id>{9D163054-F6C6-47E8-82DE-4BA9F3B302E8}</x14:id>
        </ext>
      </extLst>
    </cfRule>
    <cfRule type="iconSet" priority="4361">
      <iconSet iconSet="3Arrows">
        <cfvo type="percent" val="0"/>
        <cfvo type="num" val="0.7"/>
        <cfvo type="num" val="1"/>
      </iconSet>
    </cfRule>
  </conditionalFormatting>
  <conditionalFormatting sqref="N2954">
    <cfRule type="iconSet" priority="4359">
      <iconSet iconSet="3Arrows">
        <cfvo type="percent" val="0"/>
        <cfvo type="num" val="0.7"/>
        <cfvo type="num" val="1"/>
      </iconSet>
    </cfRule>
    <cfRule type="dataBar" priority="4360">
      <dataBar>
        <cfvo type="num" val="0"/>
        <cfvo type="num" val="1"/>
        <color theme="4" tint="0.79998168889431442"/>
      </dataBar>
      <extLst>
        <ext xmlns:x14="http://schemas.microsoft.com/office/spreadsheetml/2009/9/main" uri="{B025F937-C7B1-47D3-B67F-A62EFF666E3E}">
          <x14:id>{F04F4CA6-4B5B-4152-BD73-0586599085A4}</x14:id>
        </ext>
      </extLst>
    </cfRule>
  </conditionalFormatting>
  <conditionalFormatting sqref="N2956">
    <cfRule type="dataBar" priority="4358">
      <dataBar>
        <cfvo type="num" val="0"/>
        <cfvo type="num" val="1"/>
        <color theme="4" tint="0.79998168889431442"/>
      </dataBar>
      <extLst>
        <ext xmlns:x14="http://schemas.microsoft.com/office/spreadsheetml/2009/9/main" uri="{B025F937-C7B1-47D3-B67F-A62EFF666E3E}">
          <x14:id>{FC8DD25D-9797-4881-91C1-BB2029AD20FB}</x14:id>
        </ext>
      </extLst>
    </cfRule>
    <cfRule type="iconSet" priority="4357">
      <iconSet iconSet="3Arrows">
        <cfvo type="percent" val="0"/>
        <cfvo type="num" val="0.7"/>
        <cfvo type="num" val="1"/>
      </iconSet>
    </cfRule>
  </conditionalFormatting>
  <conditionalFormatting sqref="N2960">
    <cfRule type="dataBar" priority="4356">
      <dataBar>
        <cfvo type="num" val="0"/>
        <cfvo type="num" val="1"/>
        <color theme="4" tint="0.79998168889431442"/>
      </dataBar>
      <extLst>
        <ext xmlns:x14="http://schemas.microsoft.com/office/spreadsheetml/2009/9/main" uri="{B025F937-C7B1-47D3-B67F-A62EFF666E3E}">
          <x14:id>{0CC9F8EB-95A7-4A89-AB19-76CF3EC27EB2}</x14:id>
        </ext>
      </extLst>
    </cfRule>
    <cfRule type="iconSet" priority="4355">
      <iconSet iconSet="3Arrows">
        <cfvo type="percent" val="0"/>
        <cfvo type="num" val="0.7"/>
        <cfvo type="num" val="1"/>
      </iconSet>
    </cfRule>
  </conditionalFormatting>
  <conditionalFormatting sqref="N2962 N2964 N2966 N2968">
    <cfRule type="dataBar" priority="4354">
      <dataBar>
        <cfvo type="num" val="0"/>
        <cfvo type="num" val="1"/>
        <color theme="4" tint="0.79998168889431442"/>
      </dataBar>
      <extLst>
        <ext xmlns:x14="http://schemas.microsoft.com/office/spreadsheetml/2009/9/main" uri="{B025F937-C7B1-47D3-B67F-A62EFF666E3E}">
          <x14:id>{17586EAE-266E-4721-8517-B9E1BA4F93CB}</x14:id>
        </ext>
      </extLst>
    </cfRule>
    <cfRule type="iconSet" priority="4353">
      <iconSet iconSet="3Arrows">
        <cfvo type="percent" val="0"/>
        <cfvo type="num" val="0.7"/>
        <cfvo type="num" val="1"/>
      </iconSet>
    </cfRule>
  </conditionalFormatting>
  <conditionalFormatting sqref="N2970 N2972 N2974 N2976">
    <cfRule type="iconSet" priority="4351">
      <iconSet iconSet="3Arrows">
        <cfvo type="percent" val="0"/>
        <cfvo type="num" val="0.7"/>
        <cfvo type="num" val="1"/>
      </iconSet>
    </cfRule>
    <cfRule type="dataBar" priority="4352">
      <dataBar>
        <cfvo type="num" val="0"/>
        <cfvo type="num" val="1"/>
        <color theme="4" tint="0.79998168889431442"/>
      </dataBar>
      <extLst>
        <ext xmlns:x14="http://schemas.microsoft.com/office/spreadsheetml/2009/9/main" uri="{B025F937-C7B1-47D3-B67F-A62EFF666E3E}">
          <x14:id>{D58C678A-59BB-47E7-A9BD-5EE14FE34740}</x14:id>
        </ext>
      </extLst>
    </cfRule>
  </conditionalFormatting>
  <conditionalFormatting sqref="N2978 N2980 N2982 N2984">
    <cfRule type="dataBar" priority="4350">
      <dataBar>
        <cfvo type="num" val="0"/>
        <cfvo type="num" val="1"/>
        <color theme="4" tint="0.79998168889431442"/>
      </dataBar>
      <extLst>
        <ext xmlns:x14="http://schemas.microsoft.com/office/spreadsheetml/2009/9/main" uri="{B025F937-C7B1-47D3-B67F-A62EFF666E3E}">
          <x14:id>{938D2C64-6DBF-4D13-AFA1-5BD044ACD373}</x14:id>
        </ext>
      </extLst>
    </cfRule>
    <cfRule type="iconSet" priority="4349">
      <iconSet iconSet="3Arrows">
        <cfvo type="percent" val="0"/>
        <cfvo type="num" val="0.7"/>
        <cfvo type="num" val="1"/>
      </iconSet>
    </cfRule>
  </conditionalFormatting>
  <conditionalFormatting sqref="N2986 N2988 N2990 N2992">
    <cfRule type="dataBar" priority="4348">
      <dataBar>
        <cfvo type="num" val="0"/>
        <cfvo type="num" val="1"/>
        <color theme="4" tint="0.79998168889431442"/>
      </dataBar>
      <extLst>
        <ext xmlns:x14="http://schemas.microsoft.com/office/spreadsheetml/2009/9/main" uri="{B025F937-C7B1-47D3-B67F-A62EFF666E3E}">
          <x14:id>{8A555429-C7DB-4C0F-BB15-C5FF5FA326E5}</x14:id>
        </ext>
      </extLst>
    </cfRule>
    <cfRule type="iconSet" priority="4347">
      <iconSet iconSet="3Arrows">
        <cfvo type="percent" val="0"/>
        <cfvo type="num" val="0.7"/>
        <cfvo type="num" val="1"/>
      </iconSet>
    </cfRule>
  </conditionalFormatting>
  <conditionalFormatting sqref="N2994 N2996 N2998 N3000">
    <cfRule type="dataBar" priority="4346">
      <dataBar>
        <cfvo type="num" val="0"/>
        <cfvo type="num" val="1"/>
        <color theme="4" tint="0.79998168889431442"/>
      </dataBar>
      <extLst>
        <ext xmlns:x14="http://schemas.microsoft.com/office/spreadsheetml/2009/9/main" uri="{B025F937-C7B1-47D3-B67F-A62EFF666E3E}">
          <x14:id>{83DEA955-9FE0-4F3E-9FEE-E81BE74FD3E1}</x14:id>
        </ext>
      </extLst>
    </cfRule>
    <cfRule type="iconSet" priority="4345">
      <iconSet iconSet="3Arrows">
        <cfvo type="percent" val="0"/>
        <cfvo type="num" val="0.7"/>
        <cfvo type="num" val="1"/>
      </iconSet>
    </cfRule>
  </conditionalFormatting>
  <conditionalFormatting sqref="N3002 N3004 N3006 N3008">
    <cfRule type="iconSet" priority="4343">
      <iconSet iconSet="3Arrows">
        <cfvo type="percent" val="0"/>
        <cfvo type="num" val="0.7"/>
        <cfvo type="num" val="1"/>
      </iconSet>
    </cfRule>
    <cfRule type="dataBar" priority="4344">
      <dataBar>
        <cfvo type="num" val="0"/>
        <cfvo type="num" val="1"/>
        <color theme="4" tint="0.79998168889431442"/>
      </dataBar>
      <extLst>
        <ext xmlns:x14="http://schemas.microsoft.com/office/spreadsheetml/2009/9/main" uri="{B025F937-C7B1-47D3-B67F-A62EFF666E3E}">
          <x14:id>{2CCACAE1-3650-434A-9783-DE0E2185938C}</x14:id>
        </ext>
      </extLst>
    </cfRule>
  </conditionalFormatting>
  <conditionalFormatting sqref="N3010 N3012 N3014 N3016">
    <cfRule type="iconSet" priority="4341">
      <iconSet iconSet="3Arrows">
        <cfvo type="percent" val="0"/>
        <cfvo type="num" val="0.7"/>
        <cfvo type="num" val="1"/>
      </iconSet>
    </cfRule>
    <cfRule type="dataBar" priority="4342">
      <dataBar>
        <cfvo type="num" val="0"/>
        <cfvo type="num" val="1"/>
        <color theme="4" tint="0.79998168889431442"/>
      </dataBar>
      <extLst>
        <ext xmlns:x14="http://schemas.microsoft.com/office/spreadsheetml/2009/9/main" uri="{B025F937-C7B1-47D3-B67F-A62EFF666E3E}">
          <x14:id>{B63AFA77-F69E-4B62-B035-DC0C84083068}</x14:id>
        </ext>
      </extLst>
    </cfRule>
  </conditionalFormatting>
  <conditionalFormatting sqref="N3018 N3020 N3022 N3024">
    <cfRule type="dataBar" priority="4340">
      <dataBar>
        <cfvo type="num" val="0"/>
        <cfvo type="num" val="1"/>
        <color theme="4" tint="0.79998168889431442"/>
      </dataBar>
      <extLst>
        <ext xmlns:x14="http://schemas.microsoft.com/office/spreadsheetml/2009/9/main" uri="{B025F937-C7B1-47D3-B67F-A62EFF666E3E}">
          <x14:id>{2EF11A33-FB42-439D-A569-DEB7E7E303D8}</x14:id>
        </ext>
      </extLst>
    </cfRule>
    <cfRule type="iconSet" priority="4339">
      <iconSet iconSet="3Arrows">
        <cfvo type="percent" val="0"/>
        <cfvo type="num" val="0.7"/>
        <cfvo type="num" val="1"/>
      </iconSet>
    </cfRule>
  </conditionalFormatting>
  <conditionalFormatting sqref="N3026 N3028">
    <cfRule type="dataBar" priority="4338">
      <dataBar>
        <cfvo type="num" val="0"/>
        <cfvo type="num" val="1"/>
        <color theme="4" tint="0.79998168889431442"/>
      </dataBar>
      <extLst>
        <ext xmlns:x14="http://schemas.microsoft.com/office/spreadsheetml/2009/9/main" uri="{B025F937-C7B1-47D3-B67F-A62EFF666E3E}">
          <x14:id>{53BE0F99-6BC2-4EC8-B848-7DCB2C467B8B}</x14:id>
        </ext>
      </extLst>
    </cfRule>
    <cfRule type="iconSet" priority="4337">
      <iconSet iconSet="3Arrows">
        <cfvo type="percent" val="0"/>
        <cfvo type="num" val="0.7"/>
        <cfvo type="num" val="1"/>
      </iconSet>
    </cfRule>
  </conditionalFormatting>
  <conditionalFormatting sqref="N3030 N3032 N3034 N3036">
    <cfRule type="dataBar" priority="4336">
      <dataBar>
        <cfvo type="num" val="0"/>
        <cfvo type="num" val="1"/>
        <color theme="4" tint="0.79998168889431442"/>
      </dataBar>
      <extLst>
        <ext xmlns:x14="http://schemas.microsoft.com/office/spreadsheetml/2009/9/main" uri="{B025F937-C7B1-47D3-B67F-A62EFF666E3E}">
          <x14:id>{8ADE8D6D-D01D-4299-AEF7-2ECDF4EF1256}</x14:id>
        </ext>
      </extLst>
    </cfRule>
    <cfRule type="iconSet" priority="4335">
      <iconSet iconSet="3Arrows">
        <cfvo type="percent" val="0"/>
        <cfvo type="num" val="0.7"/>
        <cfvo type="num" val="1"/>
      </iconSet>
    </cfRule>
  </conditionalFormatting>
  <conditionalFormatting sqref="N3038 N3040 N3042 N3044">
    <cfRule type="dataBar" priority="4334">
      <dataBar>
        <cfvo type="num" val="0"/>
        <cfvo type="num" val="1"/>
        <color theme="4" tint="0.79998168889431442"/>
      </dataBar>
      <extLst>
        <ext xmlns:x14="http://schemas.microsoft.com/office/spreadsheetml/2009/9/main" uri="{B025F937-C7B1-47D3-B67F-A62EFF666E3E}">
          <x14:id>{A66C551B-61DB-4CA9-8087-4893A42C8457}</x14:id>
        </ext>
      </extLst>
    </cfRule>
    <cfRule type="iconSet" priority="4333">
      <iconSet iconSet="3Arrows">
        <cfvo type="percent" val="0"/>
        <cfvo type="num" val="0.7"/>
        <cfvo type="num" val="1"/>
      </iconSet>
    </cfRule>
  </conditionalFormatting>
  <conditionalFormatting sqref="N3046 N3048">
    <cfRule type="dataBar" priority="4332">
      <dataBar>
        <cfvo type="num" val="0"/>
        <cfvo type="num" val="1"/>
        <color theme="4" tint="0.79998168889431442"/>
      </dataBar>
      <extLst>
        <ext xmlns:x14="http://schemas.microsoft.com/office/spreadsheetml/2009/9/main" uri="{B025F937-C7B1-47D3-B67F-A62EFF666E3E}">
          <x14:id>{3EF4D270-0E7B-400C-9C86-859FAF3A1C53}</x14:id>
        </ext>
      </extLst>
    </cfRule>
    <cfRule type="iconSet" priority="4331">
      <iconSet iconSet="3Arrows">
        <cfvo type="percent" val="0"/>
        <cfvo type="num" val="0.7"/>
        <cfvo type="num" val="1"/>
      </iconSet>
    </cfRule>
  </conditionalFormatting>
  <conditionalFormatting sqref="N3050 N3052 N3054 N3056">
    <cfRule type="dataBar" priority="4330">
      <dataBar>
        <cfvo type="num" val="0"/>
        <cfvo type="num" val="1"/>
        <color theme="4" tint="0.79998168889431442"/>
      </dataBar>
      <extLst>
        <ext xmlns:x14="http://schemas.microsoft.com/office/spreadsheetml/2009/9/main" uri="{B025F937-C7B1-47D3-B67F-A62EFF666E3E}">
          <x14:id>{495DE074-108D-4731-A4CE-A5E8EEE99ABE}</x14:id>
        </ext>
      </extLst>
    </cfRule>
    <cfRule type="iconSet" priority="4329">
      <iconSet iconSet="3Arrows">
        <cfvo type="percent" val="0"/>
        <cfvo type="num" val="0.7"/>
        <cfvo type="num" val="1"/>
      </iconSet>
    </cfRule>
  </conditionalFormatting>
  <conditionalFormatting sqref="N3058">
    <cfRule type="dataBar" priority="4328">
      <dataBar>
        <cfvo type="num" val="0"/>
        <cfvo type="num" val="1"/>
        <color theme="4" tint="0.79998168889431442"/>
      </dataBar>
      <extLst>
        <ext xmlns:x14="http://schemas.microsoft.com/office/spreadsheetml/2009/9/main" uri="{B025F937-C7B1-47D3-B67F-A62EFF666E3E}">
          <x14:id>{1BCD212D-D538-4D15-AE19-3A86260D8217}</x14:id>
        </ext>
      </extLst>
    </cfRule>
    <cfRule type="iconSet" priority="4327">
      <iconSet iconSet="3Arrows">
        <cfvo type="percent" val="0"/>
        <cfvo type="num" val="0.7"/>
        <cfvo type="num" val="1"/>
      </iconSet>
    </cfRule>
  </conditionalFormatting>
  <conditionalFormatting sqref="N3060">
    <cfRule type="dataBar" priority="4326">
      <dataBar>
        <cfvo type="num" val="0"/>
        <cfvo type="num" val="1"/>
        <color theme="4" tint="0.79998168889431442"/>
      </dataBar>
      <extLst>
        <ext xmlns:x14="http://schemas.microsoft.com/office/spreadsheetml/2009/9/main" uri="{B025F937-C7B1-47D3-B67F-A62EFF666E3E}">
          <x14:id>{CCEF9C5B-5C81-4D93-BF2D-106DB481EE51}</x14:id>
        </ext>
      </extLst>
    </cfRule>
    <cfRule type="iconSet" priority="4325">
      <iconSet iconSet="3Arrows">
        <cfvo type="percent" val="0"/>
        <cfvo type="num" val="0.7"/>
        <cfvo type="num" val="1"/>
      </iconSet>
    </cfRule>
  </conditionalFormatting>
  <conditionalFormatting sqref="N3063">
    <cfRule type="dataBar" priority="4324">
      <dataBar>
        <cfvo type="num" val="0"/>
        <cfvo type="num" val="1"/>
        <color theme="4" tint="0.79998168889431442"/>
      </dataBar>
      <extLst>
        <ext xmlns:x14="http://schemas.microsoft.com/office/spreadsheetml/2009/9/main" uri="{B025F937-C7B1-47D3-B67F-A62EFF666E3E}">
          <x14:id>{C5C9F2C9-4C39-4387-BF68-FCA48A9CF166}</x14:id>
        </ext>
      </extLst>
    </cfRule>
    <cfRule type="iconSet" priority="4323">
      <iconSet iconSet="3Arrows">
        <cfvo type="percent" val="0"/>
        <cfvo type="num" val="0.7"/>
        <cfvo type="num" val="1"/>
      </iconSet>
    </cfRule>
  </conditionalFormatting>
  <conditionalFormatting sqref="N3065 N3067 N3069">
    <cfRule type="dataBar" priority="4322">
      <dataBar>
        <cfvo type="num" val="0"/>
        <cfvo type="num" val="1"/>
        <color theme="4" tint="0.79998168889431442"/>
      </dataBar>
      <extLst>
        <ext xmlns:x14="http://schemas.microsoft.com/office/spreadsheetml/2009/9/main" uri="{B025F937-C7B1-47D3-B67F-A62EFF666E3E}">
          <x14:id>{2BC7288E-4BC5-42E8-ACE8-6462A15028AD}</x14:id>
        </ext>
      </extLst>
    </cfRule>
    <cfRule type="iconSet" priority="4321">
      <iconSet iconSet="3Arrows">
        <cfvo type="percent" val="0"/>
        <cfvo type="num" val="0.7"/>
        <cfvo type="num" val="1"/>
      </iconSet>
    </cfRule>
  </conditionalFormatting>
  <conditionalFormatting sqref="N3071">
    <cfRule type="dataBar" priority="4320">
      <dataBar>
        <cfvo type="num" val="0"/>
        <cfvo type="num" val="1"/>
        <color theme="4" tint="0.79998168889431442"/>
      </dataBar>
      <extLst>
        <ext xmlns:x14="http://schemas.microsoft.com/office/spreadsheetml/2009/9/main" uri="{B025F937-C7B1-47D3-B67F-A62EFF666E3E}">
          <x14:id>{690F2E3C-8863-4FA0-BB8C-A4F4934CA0A1}</x14:id>
        </ext>
      </extLst>
    </cfRule>
    <cfRule type="iconSet" priority="4319">
      <iconSet iconSet="3Arrows">
        <cfvo type="percent" val="0"/>
        <cfvo type="num" val="0.7"/>
        <cfvo type="num" val="1"/>
      </iconSet>
    </cfRule>
  </conditionalFormatting>
  <conditionalFormatting sqref="N3073 N3075">
    <cfRule type="dataBar" priority="4318">
      <dataBar>
        <cfvo type="num" val="0"/>
        <cfvo type="num" val="1"/>
        <color theme="4" tint="0.79998168889431442"/>
      </dataBar>
      <extLst>
        <ext xmlns:x14="http://schemas.microsoft.com/office/spreadsheetml/2009/9/main" uri="{B025F937-C7B1-47D3-B67F-A62EFF666E3E}">
          <x14:id>{68FC897F-1874-47FD-8476-2A4C3D63E218}</x14:id>
        </ext>
      </extLst>
    </cfRule>
    <cfRule type="iconSet" priority="4317">
      <iconSet iconSet="3Arrows">
        <cfvo type="percent" val="0"/>
        <cfvo type="num" val="0.7"/>
        <cfvo type="num" val="1"/>
      </iconSet>
    </cfRule>
  </conditionalFormatting>
  <conditionalFormatting sqref="N3077 N3079 N3081 N3083">
    <cfRule type="dataBar" priority="4316">
      <dataBar>
        <cfvo type="num" val="0"/>
        <cfvo type="num" val="1"/>
        <color theme="4" tint="0.79998168889431442"/>
      </dataBar>
      <extLst>
        <ext xmlns:x14="http://schemas.microsoft.com/office/spreadsheetml/2009/9/main" uri="{B025F937-C7B1-47D3-B67F-A62EFF666E3E}">
          <x14:id>{F7E63339-1523-48C1-B69F-5FE053FB7005}</x14:id>
        </ext>
      </extLst>
    </cfRule>
    <cfRule type="iconSet" priority="4315">
      <iconSet iconSet="3Arrows">
        <cfvo type="percent" val="0"/>
        <cfvo type="num" val="0.7"/>
        <cfvo type="num" val="1"/>
      </iconSet>
    </cfRule>
  </conditionalFormatting>
  <conditionalFormatting sqref="N3085 N3087 N3089">
    <cfRule type="dataBar" priority="4314">
      <dataBar>
        <cfvo type="num" val="0"/>
        <cfvo type="num" val="1"/>
        <color theme="4" tint="0.79998168889431442"/>
      </dataBar>
      <extLst>
        <ext xmlns:x14="http://schemas.microsoft.com/office/spreadsheetml/2009/9/main" uri="{B025F937-C7B1-47D3-B67F-A62EFF666E3E}">
          <x14:id>{3FD04652-A3E3-42EF-AAB1-8320FC61AEDF}</x14:id>
        </ext>
      </extLst>
    </cfRule>
    <cfRule type="iconSet" priority="4313">
      <iconSet iconSet="3Arrows">
        <cfvo type="percent" val="0"/>
        <cfvo type="num" val="0.7"/>
        <cfvo type="num" val="1"/>
      </iconSet>
    </cfRule>
  </conditionalFormatting>
  <conditionalFormatting sqref="N3091">
    <cfRule type="dataBar" priority="4312">
      <dataBar>
        <cfvo type="num" val="0"/>
        <cfvo type="num" val="1"/>
        <color theme="4" tint="0.79998168889431442"/>
      </dataBar>
      <extLst>
        <ext xmlns:x14="http://schemas.microsoft.com/office/spreadsheetml/2009/9/main" uri="{B025F937-C7B1-47D3-B67F-A62EFF666E3E}">
          <x14:id>{C32B5C35-88B0-49A8-B643-84020DFBF533}</x14:id>
        </ext>
      </extLst>
    </cfRule>
    <cfRule type="iconSet" priority="4311">
      <iconSet iconSet="3Arrows">
        <cfvo type="percent" val="0"/>
        <cfvo type="num" val="0.7"/>
        <cfvo type="num" val="1"/>
      </iconSet>
    </cfRule>
  </conditionalFormatting>
  <conditionalFormatting sqref="N3093">
    <cfRule type="iconSet" priority="4309">
      <iconSet iconSet="3Arrows">
        <cfvo type="percent" val="0"/>
        <cfvo type="num" val="0.7"/>
        <cfvo type="num" val="1"/>
      </iconSet>
    </cfRule>
    <cfRule type="dataBar" priority="4310">
      <dataBar>
        <cfvo type="num" val="0"/>
        <cfvo type="num" val="1"/>
        <color theme="4" tint="0.79998168889431442"/>
      </dataBar>
      <extLst>
        <ext xmlns:x14="http://schemas.microsoft.com/office/spreadsheetml/2009/9/main" uri="{B025F937-C7B1-47D3-B67F-A62EFF666E3E}">
          <x14:id>{545F8A98-C721-4691-9C7D-4B3322F5FD26}</x14:id>
        </ext>
      </extLst>
    </cfRule>
  </conditionalFormatting>
  <conditionalFormatting sqref="N3095">
    <cfRule type="iconSet" priority="4307">
      <iconSet iconSet="3Arrows">
        <cfvo type="percent" val="0"/>
        <cfvo type="num" val="0.7"/>
        <cfvo type="num" val="1"/>
      </iconSet>
    </cfRule>
    <cfRule type="dataBar" priority="4308">
      <dataBar>
        <cfvo type="num" val="0"/>
        <cfvo type="num" val="1"/>
        <color theme="4" tint="0.79998168889431442"/>
      </dataBar>
      <extLst>
        <ext xmlns:x14="http://schemas.microsoft.com/office/spreadsheetml/2009/9/main" uri="{B025F937-C7B1-47D3-B67F-A62EFF666E3E}">
          <x14:id>{19DC6E57-1E47-4CF9-8E93-977A16C64F11}</x14:id>
        </ext>
      </extLst>
    </cfRule>
  </conditionalFormatting>
  <conditionalFormatting sqref="N3097">
    <cfRule type="dataBar" priority="4306">
      <dataBar>
        <cfvo type="num" val="0"/>
        <cfvo type="num" val="1"/>
        <color theme="4" tint="0.79998168889431442"/>
      </dataBar>
      <extLst>
        <ext xmlns:x14="http://schemas.microsoft.com/office/spreadsheetml/2009/9/main" uri="{B025F937-C7B1-47D3-B67F-A62EFF666E3E}">
          <x14:id>{1AA240E5-574D-432D-87CD-5CF9F3801A37}</x14:id>
        </ext>
      </extLst>
    </cfRule>
    <cfRule type="iconSet" priority="4305">
      <iconSet iconSet="3Arrows">
        <cfvo type="percent" val="0"/>
        <cfvo type="num" val="0.7"/>
        <cfvo type="num" val="1"/>
      </iconSet>
    </cfRule>
  </conditionalFormatting>
  <conditionalFormatting sqref="N3101">
    <cfRule type="dataBar" priority="4304">
      <dataBar>
        <cfvo type="num" val="0"/>
        <cfvo type="num" val="1"/>
        <color theme="4" tint="0.79998168889431442"/>
      </dataBar>
      <extLst>
        <ext xmlns:x14="http://schemas.microsoft.com/office/spreadsheetml/2009/9/main" uri="{B025F937-C7B1-47D3-B67F-A62EFF666E3E}">
          <x14:id>{D0A8AE44-8830-4D70-899F-4B4BDC4A6CBA}</x14:id>
        </ext>
      </extLst>
    </cfRule>
    <cfRule type="iconSet" priority="4303">
      <iconSet iconSet="3Arrows">
        <cfvo type="percent" val="0"/>
        <cfvo type="num" val="0.7"/>
        <cfvo type="num" val="1"/>
      </iconSet>
    </cfRule>
  </conditionalFormatting>
  <conditionalFormatting sqref="N3103">
    <cfRule type="dataBar" priority="4302">
      <dataBar>
        <cfvo type="num" val="0"/>
        <cfvo type="num" val="1"/>
        <color theme="4" tint="0.79998168889431442"/>
      </dataBar>
      <extLst>
        <ext xmlns:x14="http://schemas.microsoft.com/office/spreadsheetml/2009/9/main" uri="{B025F937-C7B1-47D3-B67F-A62EFF666E3E}">
          <x14:id>{58A80073-95F4-4A68-BE3C-B19D1F11B33B}</x14:id>
        </ext>
      </extLst>
    </cfRule>
    <cfRule type="iconSet" priority="4301">
      <iconSet iconSet="3Arrows">
        <cfvo type="percent" val="0"/>
        <cfvo type="num" val="0.7"/>
        <cfvo type="num" val="1"/>
      </iconSet>
    </cfRule>
  </conditionalFormatting>
  <conditionalFormatting sqref="N3105 N3107">
    <cfRule type="dataBar" priority="4300">
      <dataBar>
        <cfvo type="num" val="0"/>
        <cfvo type="num" val="1"/>
        <color theme="4" tint="0.79998168889431442"/>
      </dataBar>
      <extLst>
        <ext xmlns:x14="http://schemas.microsoft.com/office/spreadsheetml/2009/9/main" uri="{B025F937-C7B1-47D3-B67F-A62EFF666E3E}">
          <x14:id>{D174AB10-F8EE-4F07-9F2D-1ADD74A34CED}</x14:id>
        </ext>
      </extLst>
    </cfRule>
    <cfRule type="iconSet" priority="4299">
      <iconSet iconSet="3Arrows">
        <cfvo type="percent" val="0"/>
        <cfvo type="num" val="0.7"/>
        <cfvo type="num" val="1"/>
      </iconSet>
    </cfRule>
  </conditionalFormatting>
  <conditionalFormatting sqref="N3109">
    <cfRule type="dataBar" priority="4298">
      <dataBar>
        <cfvo type="num" val="0"/>
        <cfvo type="num" val="1"/>
        <color theme="4" tint="0.79998168889431442"/>
      </dataBar>
      <extLst>
        <ext xmlns:x14="http://schemas.microsoft.com/office/spreadsheetml/2009/9/main" uri="{B025F937-C7B1-47D3-B67F-A62EFF666E3E}">
          <x14:id>{E0091DD5-ECF2-4551-90B3-52B52E7492C8}</x14:id>
        </ext>
      </extLst>
    </cfRule>
    <cfRule type="iconSet" priority="4297">
      <iconSet iconSet="3Arrows">
        <cfvo type="percent" val="0"/>
        <cfvo type="num" val="0.7"/>
        <cfvo type="num" val="1"/>
      </iconSet>
    </cfRule>
  </conditionalFormatting>
  <conditionalFormatting sqref="N3111 N3113">
    <cfRule type="dataBar" priority="4296">
      <dataBar>
        <cfvo type="num" val="0"/>
        <cfvo type="num" val="1"/>
        <color theme="4" tint="0.79998168889431442"/>
      </dataBar>
      <extLst>
        <ext xmlns:x14="http://schemas.microsoft.com/office/spreadsheetml/2009/9/main" uri="{B025F937-C7B1-47D3-B67F-A62EFF666E3E}">
          <x14:id>{16658341-F86C-4BAE-85E3-1B3BAF46BA8A}</x14:id>
        </ext>
      </extLst>
    </cfRule>
    <cfRule type="iconSet" priority="4295">
      <iconSet iconSet="3Arrows">
        <cfvo type="percent" val="0"/>
        <cfvo type="num" val="0.7"/>
        <cfvo type="num" val="1"/>
      </iconSet>
    </cfRule>
  </conditionalFormatting>
  <conditionalFormatting sqref="N3115">
    <cfRule type="dataBar" priority="4294">
      <dataBar>
        <cfvo type="num" val="0"/>
        <cfvo type="num" val="1"/>
        <color theme="4" tint="0.79998168889431442"/>
      </dataBar>
      <extLst>
        <ext xmlns:x14="http://schemas.microsoft.com/office/spreadsheetml/2009/9/main" uri="{B025F937-C7B1-47D3-B67F-A62EFF666E3E}">
          <x14:id>{6625F319-8960-4129-ABBB-D3CB221A99EE}</x14:id>
        </ext>
      </extLst>
    </cfRule>
    <cfRule type="iconSet" priority="4293">
      <iconSet iconSet="3Arrows">
        <cfvo type="percent" val="0"/>
        <cfvo type="num" val="0.7"/>
        <cfvo type="num" val="1"/>
      </iconSet>
    </cfRule>
  </conditionalFormatting>
  <conditionalFormatting sqref="N3117 N3119">
    <cfRule type="dataBar" priority="4292">
      <dataBar>
        <cfvo type="num" val="0"/>
        <cfvo type="num" val="1"/>
        <color theme="4" tint="0.79998168889431442"/>
      </dataBar>
      <extLst>
        <ext xmlns:x14="http://schemas.microsoft.com/office/spreadsheetml/2009/9/main" uri="{B025F937-C7B1-47D3-B67F-A62EFF666E3E}">
          <x14:id>{650E797A-42F0-4E79-B1E2-F619754CF74A}</x14:id>
        </ext>
      </extLst>
    </cfRule>
    <cfRule type="iconSet" priority="4291">
      <iconSet iconSet="3Arrows">
        <cfvo type="percent" val="0"/>
        <cfvo type="num" val="0.7"/>
        <cfvo type="num" val="1"/>
      </iconSet>
    </cfRule>
  </conditionalFormatting>
  <conditionalFormatting sqref="N3121">
    <cfRule type="dataBar" priority="4290">
      <dataBar>
        <cfvo type="num" val="0"/>
        <cfvo type="num" val="1"/>
        <color theme="4" tint="0.79998168889431442"/>
      </dataBar>
      <extLst>
        <ext xmlns:x14="http://schemas.microsoft.com/office/spreadsheetml/2009/9/main" uri="{B025F937-C7B1-47D3-B67F-A62EFF666E3E}">
          <x14:id>{BA12FE21-74FB-4BCC-ADA4-46C1717CF4B8}</x14:id>
        </ext>
      </extLst>
    </cfRule>
    <cfRule type="iconSet" priority="4289">
      <iconSet iconSet="3Arrows">
        <cfvo type="percent" val="0"/>
        <cfvo type="num" val="0.7"/>
        <cfvo type="num" val="1"/>
      </iconSet>
    </cfRule>
  </conditionalFormatting>
  <conditionalFormatting sqref="N3123 N3125">
    <cfRule type="dataBar" priority="4288">
      <dataBar>
        <cfvo type="num" val="0"/>
        <cfvo type="num" val="1"/>
        <color theme="4" tint="0.79998168889431442"/>
      </dataBar>
      <extLst>
        <ext xmlns:x14="http://schemas.microsoft.com/office/spreadsheetml/2009/9/main" uri="{B025F937-C7B1-47D3-B67F-A62EFF666E3E}">
          <x14:id>{AEC0F1D5-989B-4527-8E1D-67773EBE6ECE}</x14:id>
        </ext>
      </extLst>
    </cfRule>
    <cfRule type="iconSet" priority="4287">
      <iconSet iconSet="3Arrows">
        <cfvo type="percent" val="0"/>
        <cfvo type="num" val="0.7"/>
        <cfvo type="num" val="1"/>
      </iconSet>
    </cfRule>
  </conditionalFormatting>
  <conditionalFormatting sqref="N3127 N3129">
    <cfRule type="dataBar" priority="4286">
      <dataBar>
        <cfvo type="num" val="0"/>
        <cfvo type="num" val="1"/>
        <color theme="4" tint="0.79998168889431442"/>
      </dataBar>
      <extLst>
        <ext xmlns:x14="http://schemas.microsoft.com/office/spreadsheetml/2009/9/main" uri="{B025F937-C7B1-47D3-B67F-A62EFF666E3E}">
          <x14:id>{00F615BF-0EA5-41F0-9013-EDEFF88EBA75}</x14:id>
        </ext>
      </extLst>
    </cfRule>
    <cfRule type="iconSet" priority="4285">
      <iconSet iconSet="3Arrows">
        <cfvo type="percent" val="0"/>
        <cfvo type="num" val="0.7"/>
        <cfvo type="num" val="1"/>
      </iconSet>
    </cfRule>
  </conditionalFormatting>
  <conditionalFormatting sqref="N3131">
    <cfRule type="dataBar" priority="4284">
      <dataBar>
        <cfvo type="num" val="0"/>
        <cfvo type="num" val="1"/>
        <color theme="4" tint="0.79998168889431442"/>
      </dataBar>
      <extLst>
        <ext xmlns:x14="http://schemas.microsoft.com/office/spreadsheetml/2009/9/main" uri="{B025F937-C7B1-47D3-B67F-A62EFF666E3E}">
          <x14:id>{7FDF5346-CDDC-4520-93F4-481F17320D36}</x14:id>
        </ext>
      </extLst>
    </cfRule>
    <cfRule type="iconSet" priority="4283">
      <iconSet iconSet="3Arrows">
        <cfvo type="percent" val="0"/>
        <cfvo type="num" val="0.7"/>
        <cfvo type="num" val="1"/>
      </iconSet>
    </cfRule>
  </conditionalFormatting>
  <conditionalFormatting sqref="N3133 N3135">
    <cfRule type="iconSet" priority="4281">
      <iconSet iconSet="3Arrows">
        <cfvo type="percent" val="0"/>
        <cfvo type="num" val="0.7"/>
        <cfvo type="num" val="1"/>
      </iconSet>
    </cfRule>
    <cfRule type="dataBar" priority="4282">
      <dataBar>
        <cfvo type="num" val="0"/>
        <cfvo type="num" val="1"/>
        <color theme="4" tint="0.79998168889431442"/>
      </dataBar>
      <extLst>
        <ext xmlns:x14="http://schemas.microsoft.com/office/spreadsheetml/2009/9/main" uri="{B025F937-C7B1-47D3-B67F-A62EFF666E3E}">
          <x14:id>{4D132FFA-E025-4903-814A-422666B2A423}</x14:id>
        </ext>
      </extLst>
    </cfRule>
  </conditionalFormatting>
  <conditionalFormatting sqref="N3137">
    <cfRule type="iconSet" priority="4279">
      <iconSet iconSet="3Arrows">
        <cfvo type="percent" val="0"/>
        <cfvo type="num" val="0.7"/>
        <cfvo type="num" val="1"/>
      </iconSet>
    </cfRule>
    <cfRule type="dataBar" priority="4280">
      <dataBar>
        <cfvo type="num" val="0"/>
        <cfvo type="num" val="1"/>
        <color theme="4" tint="0.79998168889431442"/>
      </dataBar>
      <extLst>
        <ext xmlns:x14="http://schemas.microsoft.com/office/spreadsheetml/2009/9/main" uri="{B025F937-C7B1-47D3-B67F-A62EFF666E3E}">
          <x14:id>{C13A84D7-B3E3-410F-8041-B4B50827C0DC}</x14:id>
        </ext>
      </extLst>
    </cfRule>
  </conditionalFormatting>
  <conditionalFormatting sqref="N3139 N3141">
    <cfRule type="iconSet" priority="4277">
      <iconSet iconSet="3Arrows">
        <cfvo type="percent" val="0"/>
        <cfvo type="num" val="0.7"/>
        <cfvo type="num" val="1"/>
      </iconSet>
    </cfRule>
    <cfRule type="dataBar" priority="4278">
      <dataBar>
        <cfvo type="num" val="0"/>
        <cfvo type="num" val="1"/>
        <color theme="4" tint="0.79998168889431442"/>
      </dataBar>
      <extLst>
        <ext xmlns:x14="http://schemas.microsoft.com/office/spreadsheetml/2009/9/main" uri="{B025F937-C7B1-47D3-B67F-A62EFF666E3E}">
          <x14:id>{5F19E749-BD3E-4F1E-B500-9326234053E0}</x14:id>
        </ext>
      </extLst>
    </cfRule>
  </conditionalFormatting>
  <conditionalFormatting sqref="N3143">
    <cfRule type="dataBar" priority="4276">
      <dataBar>
        <cfvo type="num" val="0"/>
        <cfvo type="num" val="1"/>
        <color theme="4" tint="0.79998168889431442"/>
      </dataBar>
      <extLst>
        <ext xmlns:x14="http://schemas.microsoft.com/office/spreadsheetml/2009/9/main" uri="{B025F937-C7B1-47D3-B67F-A62EFF666E3E}">
          <x14:id>{5ACA419A-2E61-454B-BA7B-36103531112E}</x14:id>
        </ext>
      </extLst>
    </cfRule>
    <cfRule type="iconSet" priority="4275">
      <iconSet iconSet="3Arrows">
        <cfvo type="percent" val="0"/>
        <cfvo type="num" val="0.7"/>
        <cfvo type="num" val="1"/>
      </iconSet>
    </cfRule>
  </conditionalFormatting>
  <conditionalFormatting sqref="N3145">
    <cfRule type="dataBar" priority="4274">
      <dataBar>
        <cfvo type="num" val="0"/>
        <cfvo type="num" val="1"/>
        <color theme="4" tint="0.79998168889431442"/>
      </dataBar>
      <extLst>
        <ext xmlns:x14="http://schemas.microsoft.com/office/spreadsheetml/2009/9/main" uri="{B025F937-C7B1-47D3-B67F-A62EFF666E3E}">
          <x14:id>{A95DEAAC-1994-48A7-8E5F-5C0907964B5A}</x14:id>
        </ext>
      </extLst>
    </cfRule>
    <cfRule type="iconSet" priority="4273">
      <iconSet iconSet="3Arrows">
        <cfvo type="percent" val="0"/>
        <cfvo type="num" val="0.7"/>
        <cfvo type="num" val="1"/>
      </iconSet>
    </cfRule>
  </conditionalFormatting>
  <conditionalFormatting sqref="N3147">
    <cfRule type="dataBar" priority="4272">
      <dataBar>
        <cfvo type="num" val="0"/>
        <cfvo type="num" val="1"/>
        <color theme="4" tint="0.79998168889431442"/>
      </dataBar>
      <extLst>
        <ext xmlns:x14="http://schemas.microsoft.com/office/spreadsheetml/2009/9/main" uri="{B025F937-C7B1-47D3-B67F-A62EFF666E3E}">
          <x14:id>{AFEFB4CA-9A77-4AC3-9B73-7B4D8FA0B9DE}</x14:id>
        </ext>
      </extLst>
    </cfRule>
    <cfRule type="iconSet" priority="4271">
      <iconSet iconSet="3Arrows">
        <cfvo type="percent" val="0"/>
        <cfvo type="num" val="0.7"/>
        <cfvo type="num" val="1"/>
      </iconSet>
    </cfRule>
  </conditionalFormatting>
  <conditionalFormatting sqref="N3151">
    <cfRule type="dataBar" priority="4270">
      <dataBar>
        <cfvo type="num" val="0"/>
        <cfvo type="num" val="1"/>
        <color theme="4" tint="0.79998168889431442"/>
      </dataBar>
      <extLst>
        <ext xmlns:x14="http://schemas.microsoft.com/office/spreadsheetml/2009/9/main" uri="{B025F937-C7B1-47D3-B67F-A62EFF666E3E}">
          <x14:id>{93A784F2-A2D7-4C5C-85AC-F848170A5A74}</x14:id>
        </ext>
      </extLst>
    </cfRule>
    <cfRule type="iconSet" priority="4269">
      <iconSet iconSet="3Arrows">
        <cfvo type="percent" val="0"/>
        <cfvo type="num" val="0.7"/>
        <cfvo type="num" val="1"/>
      </iconSet>
    </cfRule>
  </conditionalFormatting>
  <conditionalFormatting sqref="N3153 N3155 N3157">
    <cfRule type="dataBar" priority="4268">
      <dataBar>
        <cfvo type="num" val="0"/>
        <cfvo type="num" val="1"/>
        <color theme="4" tint="0.79998168889431442"/>
      </dataBar>
      <extLst>
        <ext xmlns:x14="http://schemas.microsoft.com/office/spreadsheetml/2009/9/main" uri="{B025F937-C7B1-47D3-B67F-A62EFF666E3E}">
          <x14:id>{9CB6D309-F38F-41CD-96F4-A0E398C99E82}</x14:id>
        </ext>
      </extLst>
    </cfRule>
    <cfRule type="iconSet" priority="4267">
      <iconSet iconSet="3Arrows">
        <cfvo type="percent" val="0"/>
        <cfvo type="num" val="0.7"/>
        <cfvo type="num" val="1"/>
      </iconSet>
    </cfRule>
  </conditionalFormatting>
  <conditionalFormatting sqref="N3159 N3161 N3163">
    <cfRule type="dataBar" priority="4266">
      <dataBar>
        <cfvo type="num" val="0"/>
        <cfvo type="num" val="1"/>
        <color theme="4" tint="0.79998168889431442"/>
      </dataBar>
      <extLst>
        <ext xmlns:x14="http://schemas.microsoft.com/office/spreadsheetml/2009/9/main" uri="{B025F937-C7B1-47D3-B67F-A62EFF666E3E}">
          <x14:id>{FE727217-60C9-42D7-968A-4B4BACC95D51}</x14:id>
        </ext>
      </extLst>
    </cfRule>
    <cfRule type="iconSet" priority="4265">
      <iconSet iconSet="3Arrows">
        <cfvo type="percent" val="0"/>
        <cfvo type="num" val="0.7"/>
        <cfvo type="num" val="1"/>
      </iconSet>
    </cfRule>
  </conditionalFormatting>
  <conditionalFormatting sqref="N3165 N3167 N3169">
    <cfRule type="dataBar" priority="4264">
      <dataBar>
        <cfvo type="num" val="0"/>
        <cfvo type="num" val="1"/>
        <color theme="4" tint="0.79998168889431442"/>
      </dataBar>
      <extLst>
        <ext xmlns:x14="http://schemas.microsoft.com/office/spreadsheetml/2009/9/main" uri="{B025F937-C7B1-47D3-B67F-A62EFF666E3E}">
          <x14:id>{F755269E-12C3-4018-8053-03A4EC93AA4F}</x14:id>
        </ext>
      </extLst>
    </cfRule>
    <cfRule type="iconSet" priority="4263">
      <iconSet iconSet="3Arrows">
        <cfvo type="percent" val="0"/>
        <cfvo type="num" val="0.7"/>
        <cfvo type="num" val="1"/>
      </iconSet>
    </cfRule>
  </conditionalFormatting>
  <conditionalFormatting sqref="N3171 N3173 N3175">
    <cfRule type="dataBar" priority="4262">
      <dataBar>
        <cfvo type="num" val="0"/>
        <cfvo type="num" val="1"/>
        <color theme="4" tint="0.79998168889431442"/>
      </dataBar>
      <extLst>
        <ext xmlns:x14="http://schemas.microsoft.com/office/spreadsheetml/2009/9/main" uri="{B025F937-C7B1-47D3-B67F-A62EFF666E3E}">
          <x14:id>{90A74BF4-61A3-463E-A9B5-E9449C603521}</x14:id>
        </ext>
      </extLst>
    </cfRule>
    <cfRule type="iconSet" priority="4261">
      <iconSet iconSet="3Arrows">
        <cfvo type="percent" val="0"/>
        <cfvo type="num" val="0.7"/>
        <cfvo type="num" val="1"/>
      </iconSet>
    </cfRule>
  </conditionalFormatting>
  <conditionalFormatting sqref="N3177 N3179 N3181">
    <cfRule type="dataBar" priority="4260">
      <dataBar>
        <cfvo type="num" val="0"/>
        <cfvo type="num" val="1"/>
        <color theme="4" tint="0.79998168889431442"/>
      </dataBar>
      <extLst>
        <ext xmlns:x14="http://schemas.microsoft.com/office/spreadsheetml/2009/9/main" uri="{B025F937-C7B1-47D3-B67F-A62EFF666E3E}">
          <x14:id>{F3B5809F-D345-4FA4-8A12-F12EC880C8EF}</x14:id>
        </ext>
      </extLst>
    </cfRule>
    <cfRule type="iconSet" priority="4259">
      <iconSet iconSet="3Arrows">
        <cfvo type="percent" val="0"/>
        <cfvo type="num" val="0.7"/>
        <cfvo type="num" val="1"/>
      </iconSet>
    </cfRule>
  </conditionalFormatting>
  <conditionalFormatting sqref="N3183 N3185 N3187">
    <cfRule type="dataBar" priority="4258">
      <dataBar>
        <cfvo type="num" val="0"/>
        <cfvo type="num" val="1"/>
        <color theme="4" tint="0.79998168889431442"/>
      </dataBar>
      <extLst>
        <ext xmlns:x14="http://schemas.microsoft.com/office/spreadsheetml/2009/9/main" uri="{B025F937-C7B1-47D3-B67F-A62EFF666E3E}">
          <x14:id>{30CC8CB0-44B0-4EC4-A739-41E7EDB148A5}</x14:id>
        </ext>
      </extLst>
    </cfRule>
    <cfRule type="iconSet" priority="4257">
      <iconSet iconSet="3Arrows">
        <cfvo type="percent" val="0"/>
        <cfvo type="num" val="0.7"/>
        <cfvo type="num" val="1"/>
      </iconSet>
    </cfRule>
  </conditionalFormatting>
  <conditionalFormatting sqref="N3189 N3191 N3193">
    <cfRule type="dataBar" priority="4256">
      <dataBar>
        <cfvo type="num" val="0"/>
        <cfvo type="num" val="1"/>
        <color theme="4" tint="0.79998168889431442"/>
      </dataBar>
      <extLst>
        <ext xmlns:x14="http://schemas.microsoft.com/office/spreadsheetml/2009/9/main" uri="{B025F937-C7B1-47D3-B67F-A62EFF666E3E}">
          <x14:id>{F50D62A3-8B9D-4E85-B373-21E9E5C93374}</x14:id>
        </ext>
      </extLst>
    </cfRule>
    <cfRule type="iconSet" priority="4255">
      <iconSet iconSet="3Arrows">
        <cfvo type="percent" val="0"/>
        <cfvo type="num" val="0.7"/>
        <cfvo type="num" val="1"/>
      </iconSet>
    </cfRule>
  </conditionalFormatting>
  <conditionalFormatting sqref="N3195 N3197 N3199">
    <cfRule type="dataBar" priority="4254">
      <dataBar>
        <cfvo type="num" val="0"/>
        <cfvo type="num" val="1"/>
        <color theme="4" tint="0.79998168889431442"/>
      </dataBar>
      <extLst>
        <ext xmlns:x14="http://schemas.microsoft.com/office/spreadsheetml/2009/9/main" uri="{B025F937-C7B1-47D3-B67F-A62EFF666E3E}">
          <x14:id>{FADB327E-CE3F-424C-869F-EF51EA70D1F9}</x14:id>
        </ext>
      </extLst>
    </cfRule>
    <cfRule type="iconSet" priority="4253">
      <iconSet iconSet="3Arrows">
        <cfvo type="percent" val="0"/>
        <cfvo type="num" val="0.7"/>
        <cfvo type="num" val="1"/>
      </iconSet>
    </cfRule>
  </conditionalFormatting>
  <conditionalFormatting sqref="N3201 N3203 N3205">
    <cfRule type="dataBar" priority="4252">
      <dataBar>
        <cfvo type="num" val="0"/>
        <cfvo type="num" val="1"/>
        <color theme="4" tint="0.79998168889431442"/>
      </dataBar>
      <extLst>
        <ext xmlns:x14="http://schemas.microsoft.com/office/spreadsheetml/2009/9/main" uri="{B025F937-C7B1-47D3-B67F-A62EFF666E3E}">
          <x14:id>{456DCB85-6CD2-4E1C-AB48-5843ADA1A012}</x14:id>
        </ext>
      </extLst>
    </cfRule>
    <cfRule type="iconSet" priority="4251">
      <iconSet iconSet="3Arrows">
        <cfvo type="percent" val="0"/>
        <cfvo type="num" val="0.7"/>
        <cfvo type="num" val="1"/>
      </iconSet>
    </cfRule>
  </conditionalFormatting>
  <conditionalFormatting sqref="N3207 N3209 N3211">
    <cfRule type="dataBar" priority="4250">
      <dataBar>
        <cfvo type="num" val="0"/>
        <cfvo type="num" val="1"/>
        <color theme="4" tint="0.79998168889431442"/>
      </dataBar>
      <extLst>
        <ext xmlns:x14="http://schemas.microsoft.com/office/spreadsheetml/2009/9/main" uri="{B025F937-C7B1-47D3-B67F-A62EFF666E3E}">
          <x14:id>{5BF9AFE6-1B96-4932-9A06-65C680398B19}</x14:id>
        </ext>
      </extLst>
    </cfRule>
    <cfRule type="iconSet" priority="4249">
      <iconSet iconSet="3Arrows">
        <cfvo type="percent" val="0"/>
        <cfvo type="num" val="0.7"/>
        <cfvo type="num" val="1"/>
      </iconSet>
    </cfRule>
  </conditionalFormatting>
  <conditionalFormatting sqref="N3213 N3215 N3217">
    <cfRule type="dataBar" priority="4248">
      <dataBar>
        <cfvo type="num" val="0"/>
        <cfvo type="num" val="1"/>
        <color theme="4" tint="0.79998168889431442"/>
      </dataBar>
      <extLst>
        <ext xmlns:x14="http://schemas.microsoft.com/office/spreadsheetml/2009/9/main" uri="{B025F937-C7B1-47D3-B67F-A62EFF666E3E}">
          <x14:id>{89393A9E-0324-4E8F-9F71-48A92AD97BA7}</x14:id>
        </ext>
      </extLst>
    </cfRule>
    <cfRule type="iconSet" priority="4247">
      <iconSet iconSet="3Arrows">
        <cfvo type="percent" val="0"/>
        <cfvo type="num" val="0.7"/>
        <cfvo type="num" val="1"/>
      </iconSet>
    </cfRule>
  </conditionalFormatting>
  <conditionalFormatting sqref="N3219 N3221">
    <cfRule type="iconSet" priority="4245">
      <iconSet iconSet="3Arrows">
        <cfvo type="percent" val="0"/>
        <cfvo type="num" val="0.7"/>
        <cfvo type="num" val="1"/>
      </iconSet>
    </cfRule>
    <cfRule type="dataBar" priority="4246">
      <dataBar>
        <cfvo type="num" val="0"/>
        <cfvo type="num" val="1"/>
        <color theme="4" tint="0.79998168889431442"/>
      </dataBar>
      <extLst>
        <ext xmlns:x14="http://schemas.microsoft.com/office/spreadsheetml/2009/9/main" uri="{B025F937-C7B1-47D3-B67F-A62EFF666E3E}">
          <x14:id>{F091BF44-4C98-494B-A156-C1AC2C1CD53A}</x14:id>
        </ext>
      </extLst>
    </cfRule>
  </conditionalFormatting>
  <conditionalFormatting sqref="N3224">
    <cfRule type="iconSet" priority="4243">
      <iconSet iconSet="3Arrows">
        <cfvo type="percent" val="0"/>
        <cfvo type="num" val="0.7"/>
        <cfvo type="num" val="1"/>
      </iconSet>
    </cfRule>
    <cfRule type="dataBar" priority="4244">
      <dataBar>
        <cfvo type="num" val="0"/>
        <cfvo type="num" val="1"/>
        <color theme="4" tint="0.79998168889431442"/>
      </dataBar>
      <extLst>
        <ext xmlns:x14="http://schemas.microsoft.com/office/spreadsheetml/2009/9/main" uri="{B025F937-C7B1-47D3-B67F-A62EFF666E3E}">
          <x14:id>{34E74045-8A45-4765-A265-CAB9BAC53F50}</x14:id>
        </ext>
      </extLst>
    </cfRule>
  </conditionalFormatting>
  <conditionalFormatting sqref="N3228">
    <cfRule type="dataBar" priority="4242">
      <dataBar>
        <cfvo type="num" val="0"/>
        <cfvo type="num" val="1"/>
        <color theme="4" tint="0.79998168889431442"/>
      </dataBar>
      <extLst>
        <ext xmlns:x14="http://schemas.microsoft.com/office/spreadsheetml/2009/9/main" uri="{B025F937-C7B1-47D3-B67F-A62EFF666E3E}">
          <x14:id>{60A1B7AD-EB0A-4C92-9F51-B719C880FBE0}</x14:id>
        </ext>
      </extLst>
    </cfRule>
    <cfRule type="iconSet" priority="4241">
      <iconSet iconSet="3Arrows">
        <cfvo type="percent" val="0"/>
        <cfvo type="num" val="0.7"/>
        <cfvo type="num" val="1"/>
      </iconSet>
    </cfRule>
  </conditionalFormatting>
  <conditionalFormatting sqref="N3230">
    <cfRule type="dataBar" priority="4240">
      <dataBar>
        <cfvo type="num" val="0"/>
        <cfvo type="num" val="1"/>
        <color theme="4" tint="0.79998168889431442"/>
      </dataBar>
      <extLst>
        <ext xmlns:x14="http://schemas.microsoft.com/office/spreadsheetml/2009/9/main" uri="{B025F937-C7B1-47D3-B67F-A62EFF666E3E}">
          <x14:id>{B61A1C05-41F9-4E72-91E0-59176B2EA473}</x14:id>
        </ext>
      </extLst>
    </cfRule>
    <cfRule type="iconSet" priority="4239">
      <iconSet iconSet="3Arrows">
        <cfvo type="percent" val="0"/>
        <cfvo type="num" val="0.7"/>
        <cfvo type="num" val="1"/>
      </iconSet>
    </cfRule>
  </conditionalFormatting>
  <conditionalFormatting sqref="N3232 N3234 N3236">
    <cfRule type="dataBar" priority="4238">
      <dataBar>
        <cfvo type="num" val="0"/>
        <cfvo type="num" val="1"/>
        <color theme="4" tint="0.79998168889431442"/>
      </dataBar>
      <extLst>
        <ext xmlns:x14="http://schemas.microsoft.com/office/spreadsheetml/2009/9/main" uri="{B025F937-C7B1-47D3-B67F-A62EFF666E3E}">
          <x14:id>{85AE2582-17A3-4CEC-A3F3-8F875C1B735D}</x14:id>
        </ext>
      </extLst>
    </cfRule>
    <cfRule type="iconSet" priority="4237">
      <iconSet iconSet="3Arrows">
        <cfvo type="percent" val="0"/>
        <cfvo type="num" val="0.7"/>
        <cfvo type="num" val="1"/>
      </iconSet>
    </cfRule>
  </conditionalFormatting>
  <conditionalFormatting sqref="N3238">
    <cfRule type="dataBar" priority="4236">
      <dataBar>
        <cfvo type="num" val="0"/>
        <cfvo type="num" val="1"/>
        <color theme="4" tint="0.79998168889431442"/>
      </dataBar>
      <extLst>
        <ext xmlns:x14="http://schemas.microsoft.com/office/spreadsheetml/2009/9/main" uri="{B025F937-C7B1-47D3-B67F-A62EFF666E3E}">
          <x14:id>{E52A2353-AEAE-4E4E-AB7D-ABBD7C0324C8}</x14:id>
        </ext>
      </extLst>
    </cfRule>
    <cfRule type="iconSet" priority="4235">
      <iconSet iconSet="3Arrows">
        <cfvo type="percent" val="0"/>
        <cfvo type="num" val="0.7"/>
        <cfvo type="num" val="1"/>
      </iconSet>
    </cfRule>
  </conditionalFormatting>
  <conditionalFormatting sqref="N3240">
    <cfRule type="dataBar" priority="4234">
      <dataBar>
        <cfvo type="num" val="0"/>
        <cfvo type="num" val="1"/>
        <color theme="4" tint="0.79998168889431442"/>
      </dataBar>
      <extLst>
        <ext xmlns:x14="http://schemas.microsoft.com/office/spreadsheetml/2009/9/main" uri="{B025F937-C7B1-47D3-B67F-A62EFF666E3E}">
          <x14:id>{8ABFFDB3-AF03-4E96-8860-AAAE4721113D}</x14:id>
        </ext>
      </extLst>
    </cfRule>
    <cfRule type="iconSet" priority="4233">
      <iconSet iconSet="3Arrows">
        <cfvo type="percent" val="0"/>
        <cfvo type="num" val="0.7"/>
        <cfvo type="num" val="1"/>
      </iconSet>
    </cfRule>
  </conditionalFormatting>
  <conditionalFormatting sqref="N3242">
    <cfRule type="dataBar" priority="4232">
      <dataBar>
        <cfvo type="num" val="0"/>
        <cfvo type="num" val="1"/>
        <color theme="4" tint="0.79998168889431442"/>
      </dataBar>
      <extLst>
        <ext xmlns:x14="http://schemas.microsoft.com/office/spreadsheetml/2009/9/main" uri="{B025F937-C7B1-47D3-B67F-A62EFF666E3E}">
          <x14:id>{D1CECEC5-216E-4B9F-816B-AA71AF9080DE}</x14:id>
        </ext>
      </extLst>
    </cfRule>
    <cfRule type="iconSet" priority="4231">
      <iconSet iconSet="3Arrows">
        <cfvo type="percent" val="0"/>
        <cfvo type="num" val="0.7"/>
        <cfvo type="num" val="1"/>
      </iconSet>
    </cfRule>
  </conditionalFormatting>
  <conditionalFormatting sqref="N3244">
    <cfRule type="dataBar" priority="4230">
      <dataBar>
        <cfvo type="num" val="0"/>
        <cfvo type="num" val="1"/>
        <color theme="4" tint="0.79998168889431442"/>
      </dataBar>
      <extLst>
        <ext xmlns:x14="http://schemas.microsoft.com/office/spreadsheetml/2009/9/main" uri="{B025F937-C7B1-47D3-B67F-A62EFF666E3E}">
          <x14:id>{B7F4A138-1CF0-45AE-8C5A-732EFEF33356}</x14:id>
        </ext>
      </extLst>
    </cfRule>
    <cfRule type="iconSet" priority="4229">
      <iconSet iconSet="3Arrows">
        <cfvo type="percent" val="0"/>
        <cfvo type="num" val="0.7"/>
        <cfvo type="num" val="1"/>
      </iconSet>
    </cfRule>
  </conditionalFormatting>
  <conditionalFormatting sqref="N3246">
    <cfRule type="dataBar" priority="4228">
      <dataBar>
        <cfvo type="num" val="0"/>
        <cfvo type="num" val="1"/>
        <color theme="4" tint="0.79998168889431442"/>
      </dataBar>
      <extLst>
        <ext xmlns:x14="http://schemas.microsoft.com/office/spreadsheetml/2009/9/main" uri="{B025F937-C7B1-47D3-B67F-A62EFF666E3E}">
          <x14:id>{0DA9A89C-A4DD-4F26-85B7-AD7CC0492535}</x14:id>
        </ext>
      </extLst>
    </cfRule>
    <cfRule type="iconSet" priority="4227">
      <iconSet iconSet="3Arrows">
        <cfvo type="percent" val="0"/>
        <cfvo type="num" val="0.7"/>
        <cfvo type="num" val="1"/>
      </iconSet>
    </cfRule>
  </conditionalFormatting>
  <conditionalFormatting sqref="N3248">
    <cfRule type="dataBar" priority="4226">
      <dataBar>
        <cfvo type="num" val="0"/>
        <cfvo type="num" val="1"/>
        <color theme="4" tint="0.79998168889431442"/>
      </dataBar>
      <extLst>
        <ext xmlns:x14="http://schemas.microsoft.com/office/spreadsheetml/2009/9/main" uri="{B025F937-C7B1-47D3-B67F-A62EFF666E3E}">
          <x14:id>{AF335CFA-F55D-4D01-9F00-E40669257D62}</x14:id>
        </ext>
      </extLst>
    </cfRule>
    <cfRule type="iconSet" priority="4225">
      <iconSet iconSet="3Arrows">
        <cfvo type="percent" val="0"/>
        <cfvo type="num" val="0.7"/>
        <cfvo type="num" val="1"/>
      </iconSet>
    </cfRule>
  </conditionalFormatting>
  <conditionalFormatting sqref="N3252">
    <cfRule type="dataBar" priority="4224">
      <dataBar>
        <cfvo type="num" val="0"/>
        <cfvo type="num" val="1"/>
        <color theme="4" tint="0.79998168889431442"/>
      </dataBar>
      <extLst>
        <ext xmlns:x14="http://schemas.microsoft.com/office/spreadsheetml/2009/9/main" uri="{B025F937-C7B1-47D3-B67F-A62EFF666E3E}">
          <x14:id>{0B8F7CBD-C8BF-4080-83D4-4BD358C27FA3}</x14:id>
        </ext>
      </extLst>
    </cfRule>
    <cfRule type="iconSet" priority="4223">
      <iconSet iconSet="3Arrows">
        <cfvo type="percent" val="0"/>
        <cfvo type="num" val="0.7"/>
        <cfvo type="num" val="1"/>
      </iconSet>
    </cfRule>
  </conditionalFormatting>
  <conditionalFormatting sqref="N3254">
    <cfRule type="dataBar" priority="4222">
      <dataBar>
        <cfvo type="num" val="0"/>
        <cfvo type="num" val="1"/>
        <color theme="4" tint="0.79998168889431442"/>
      </dataBar>
      <extLst>
        <ext xmlns:x14="http://schemas.microsoft.com/office/spreadsheetml/2009/9/main" uri="{B025F937-C7B1-47D3-B67F-A62EFF666E3E}">
          <x14:id>{D67B6E3D-FFB8-4BAF-9526-5B22E15DA8AC}</x14:id>
        </ext>
      </extLst>
    </cfRule>
    <cfRule type="iconSet" priority="4221">
      <iconSet iconSet="3Arrows">
        <cfvo type="percent" val="0"/>
        <cfvo type="num" val="0.7"/>
        <cfvo type="num" val="1"/>
      </iconSet>
    </cfRule>
  </conditionalFormatting>
  <conditionalFormatting sqref="N3256">
    <cfRule type="dataBar" priority="4220">
      <dataBar>
        <cfvo type="num" val="0"/>
        <cfvo type="num" val="1"/>
        <color theme="4" tint="0.79998168889431442"/>
      </dataBar>
      <extLst>
        <ext xmlns:x14="http://schemas.microsoft.com/office/spreadsheetml/2009/9/main" uri="{B025F937-C7B1-47D3-B67F-A62EFF666E3E}">
          <x14:id>{706DAE23-6F7A-4715-8689-9709AFB098A9}</x14:id>
        </ext>
      </extLst>
    </cfRule>
    <cfRule type="iconSet" priority="4219">
      <iconSet iconSet="3Arrows">
        <cfvo type="percent" val="0"/>
        <cfvo type="num" val="0.7"/>
        <cfvo type="num" val="1"/>
      </iconSet>
    </cfRule>
  </conditionalFormatting>
  <conditionalFormatting sqref="N3258">
    <cfRule type="iconSet" priority="4217">
      <iconSet iconSet="3Arrows">
        <cfvo type="percent" val="0"/>
        <cfvo type="num" val="0.7"/>
        <cfvo type="num" val="1"/>
      </iconSet>
    </cfRule>
    <cfRule type="dataBar" priority="4218">
      <dataBar>
        <cfvo type="num" val="0"/>
        <cfvo type="num" val="1"/>
        <color theme="4" tint="0.79998168889431442"/>
      </dataBar>
      <extLst>
        <ext xmlns:x14="http://schemas.microsoft.com/office/spreadsheetml/2009/9/main" uri="{B025F937-C7B1-47D3-B67F-A62EFF666E3E}">
          <x14:id>{CF229DAF-9C3D-48A1-B075-1E372D2E1410}</x14:id>
        </ext>
      </extLst>
    </cfRule>
  </conditionalFormatting>
  <conditionalFormatting sqref="N3260">
    <cfRule type="iconSet" priority="4215">
      <iconSet iconSet="3Arrows">
        <cfvo type="percent" val="0"/>
        <cfvo type="num" val="0.7"/>
        <cfvo type="num" val="1"/>
      </iconSet>
    </cfRule>
    <cfRule type="dataBar" priority="4216">
      <dataBar>
        <cfvo type="num" val="0"/>
        <cfvo type="num" val="1"/>
        <color theme="4" tint="0.79998168889431442"/>
      </dataBar>
      <extLst>
        <ext xmlns:x14="http://schemas.microsoft.com/office/spreadsheetml/2009/9/main" uri="{B025F937-C7B1-47D3-B67F-A62EFF666E3E}">
          <x14:id>{F94D5012-455C-4272-9CEA-EA879108955E}</x14:id>
        </ext>
      </extLst>
    </cfRule>
  </conditionalFormatting>
  <conditionalFormatting sqref="N3262">
    <cfRule type="iconSet" priority="4213">
      <iconSet iconSet="3Arrows">
        <cfvo type="percent" val="0"/>
        <cfvo type="num" val="0.7"/>
        <cfvo type="num" val="1"/>
      </iconSet>
    </cfRule>
    <cfRule type="dataBar" priority="4214">
      <dataBar>
        <cfvo type="num" val="0"/>
        <cfvo type="num" val="1"/>
        <color theme="4" tint="0.79998168889431442"/>
      </dataBar>
      <extLst>
        <ext xmlns:x14="http://schemas.microsoft.com/office/spreadsheetml/2009/9/main" uri="{B025F937-C7B1-47D3-B67F-A62EFF666E3E}">
          <x14:id>{AA61C5BE-ECB0-40DE-A10B-E2F0212575B4}</x14:id>
        </ext>
      </extLst>
    </cfRule>
  </conditionalFormatting>
  <conditionalFormatting sqref="N3264">
    <cfRule type="dataBar" priority="4212">
      <dataBar>
        <cfvo type="num" val="0"/>
        <cfvo type="num" val="1"/>
        <color theme="4" tint="0.79998168889431442"/>
      </dataBar>
      <extLst>
        <ext xmlns:x14="http://schemas.microsoft.com/office/spreadsheetml/2009/9/main" uri="{B025F937-C7B1-47D3-B67F-A62EFF666E3E}">
          <x14:id>{DC2B7420-A11C-46A5-A476-0DFB5250D968}</x14:id>
        </ext>
      </extLst>
    </cfRule>
    <cfRule type="iconSet" priority="4211">
      <iconSet iconSet="3Arrows">
        <cfvo type="percent" val="0"/>
        <cfvo type="num" val="0.7"/>
        <cfvo type="num" val="1"/>
      </iconSet>
    </cfRule>
  </conditionalFormatting>
  <conditionalFormatting sqref="N3266">
    <cfRule type="dataBar" priority="4210">
      <dataBar>
        <cfvo type="num" val="0"/>
        <cfvo type="num" val="1"/>
        <color theme="4" tint="0.79998168889431442"/>
      </dataBar>
      <extLst>
        <ext xmlns:x14="http://schemas.microsoft.com/office/spreadsheetml/2009/9/main" uri="{B025F937-C7B1-47D3-B67F-A62EFF666E3E}">
          <x14:id>{EC56A937-99DB-4C6F-9397-33538C40F4B1}</x14:id>
        </ext>
      </extLst>
    </cfRule>
    <cfRule type="iconSet" priority="4209">
      <iconSet iconSet="3Arrows">
        <cfvo type="percent" val="0"/>
        <cfvo type="num" val="0.7"/>
        <cfvo type="num" val="1"/>
      </iconSet>
    </cfRule>
  </conditionalFormatting>
  <conditionalFormatting sqref="N3268">
    <cfRule type="dataBar" priority="4208">
      <dataBar>
        <cfvo type="num" val="0"/>
        <cfvo type="num" val="1"/>
        <color theme="4" tint="0.79998168889431442"/>
      </dataBar>
      <extLst>
        <ext xmlns:x14="http://schemas.microsoft.com/office/spreadsheetml/2009/9/main" uri="{B025F937-C7B1-47D3-B67F-A62EFF666E3E}">
          <x14:id>{0E409A00-B9E1-4210-B3C4-F75DF5A9C756}</x14:id>
        </ext>
      </extLst>
    </cfRule>
    <cfRule type="iconSet" priority="4207">
      <iconSet iconSet="3Arrows">
        <cfvo type="percent" val="0"/>
        <cfvo type="num" val="0.7"/>
        <cfvo type="num" val="1"/>
      </iconSet>
    </cfRule>
  </conditionalFormatting>
  <conditionalFormatting sqref="N3270">
    <cfRule type="dataBar" priority="4206">
      <dataBar>
        <cfvo type="num" val="0"/>
        <cfvo type="num" val="1"/>
        <color theme="4" tint="0.79998168889431442"/>
      </dataBar>
      <extLst>
        <ext xmlns:x14="http://schemas.microsoft.com/office/spreadsheetml/2009/9/main" uri="{B025F937-C7B1-47D3-B67F-A62EFF666E3E}">
          <x14:id>{3C4DE105-39B3-44B5-B990-70A5D5931CD2}</x14:id>
        </ext>
      </extLst>
    </cfRule>
    <cfRule type="iconSet" priority="4205">
      <iconSet iconSet="3Arrows">
        <cfvo type="percent" val="0"/>
        <cfvo type="num" val="0.7"/>
        <cfvo type="num" val="1"/>
      </iconSet>
    </cfRule>
  </conditionalFormatting>
  <conditionalFormatting sqref="N3272">
    <cfRule type="dataBar" priority="4204">
      <dataBar>
        <cfvo type="num" val="0"/>
        <cfvo type="num" val="1"/>
        <color theme="4" tint="0.79998168889431442"/>
      </dataBar>
      <extLst>
        <ext xmlns:x14="http://schemas.microsoft.com/office/spreadsheetml/2009/9/main" uri="{B025F937-C7B1-47D3-B67F-A62EFF666E3E}">
          <x14:id>{ED7B53DD-AD45-4727-B1A9-59C21C9420F5}</x14:id>
        </ext>
      </extLst>
    </cfRule>
    <cfRule type="iconSet" priority="4203">
      <iconSet iconSet="3Arrows">
        <cfvo type="percent" val="0"/>
        <cfvo type="num" val="0.7"/>
        <cfvo type="num" val="1"/>
      </iconSet>
    </cfRule>
  </conditionalFormatting>
  <conditionalFormatting sqref="N3274">
    <cfRule type="dataBar" priority="4202">
      <dataBar>
        <cfvo type="num" val="0"/>
        <cfvo type="num" val="1"/>
        <color theme="4" tint="0.79998168889431442"/>
      </dataBar>
      <extLst>
        <ext xmlns:x14="http://schemas.microsoft.com/office/spreadsheetml/2009/9/main" uri="{B025F937-C7B1-47D3-B67F-A62EFF666E3E}">
          <x14:id>{1ABFC719-3AB0-4040-9A69-1AA9EE7EA6D7}</x14:id>
        </ext>
      </extLst>
    </cfRule>
    <cfRule type="iconSet" priority="4201">
      <iconSet iconSet="3Arrows">
        <cfvo type="percent" val="0"/>
        <cfvo type="num" val="0.7"/>
        <cfvo type="num" val="1"/>
      </iconSet>
    </cfRule>
  </conditionalFormatting>
  <conditionalFormatting sqref="N3277">
    <cfRule type="dataBar" priority="4200">
      <dataBar>
        <cfvo type="num" val="0"/>
        <cfvo type="num" val="1"/>
        <color theme="4" tint="0.79998168889431442"/>
      </dataBar>
      <extLst>
        <ext xmlns:x14="http://schemas.microsoft.com/office/spreadsheetml/2009/9/main" uri="{B025F937-C7B1-47D3-B67F-A62EFF666E3E}">
          <x14:id>{BF7C1855-F88A-4BC7-A754-844827E7B014}</x14:id>
        </ext>
      </extLst>
    </cfRule>
    <cfRule type="iconSet" priority="4199">
      <iconSet iconSet="3Arrows">
        <cfvo type="percent" val="0"/>
        <cfvo type="num" val="0.7"/>
        <cfvo type="num" val="1"/>
      </iconSet>
    </cfRule>
  </conditionalFormatting>
  <conditionalFormatting sqref="N3281 N3279 N3283">
    <cfRule type="dataBar" priority="4198">
      <dataBar>
        <cfvo type="num" val="0"/>
        <cfvo type="num" val="1"/>
        <color theme="4" tint="0.79998168889431442"/>
      </dataBar>
      <extLst>
        <ext xmlns:x14="http://schemas.microsoft.com/office/spreadsheetml/2009/9/main" uri="{B025F937-C7B1-47D3-B67F-A62EFF666E3E}">
          <x14:id>{BCC4962A-D3FF-4096-AFC7-639E41639450}</x14:id>
        </ext>
      </extLst>
    </cfRule>
    <cfRule type="iconSet" priority="4197">
      <iconSet iconSet="3Arrows">
        <cfvo type="percent" val="0"/>
        <cfvo type="num" val="0.7"/>
        <cfvo type="num" val="1"/>
      </iconSet>
    </cfRule>
  </conditionalFormatting>
  <conditionalFormatting sqref="N3285">
    <cfRule type="dataBar" priority="4196">
      <dataBar>
        <cfvo type="num" val="0"/>
        <cfvo type="num" val="1"/>
        <color theme="4" tint="0.79998168889431442"/>
      </dataBar>
      <extLst>
        <ext xmlns:x14="http://schemas.microsoft.com/office/spreadsheetml/2009/9/main" uri="{B025F937-C7B1-47D3-B67F-A62EFF666E3E}">
          <x14:id>{8C4EE0D9-FFA2-4909-9DAE-2A001E35E021}</x14:id>
        </ext>
      </extLst>
    </cfRule>
    <cfRule type="iconSet" priority="4195">
      <iconSet iconSet="3Arrows">
        <cfvo type="percent" val="0"/>
        <cfvo type="num" val="0.7"/>
        <cfvo type="num" val="1"/>
      </iconSet>
    </cfRule>
  </conditionalFormatting>
  <conditionalFormatting sqref="N3289">
    <cfRule type="dataBar" priority="4194">
      <dataBar>
        <cfvo type="num" val="0"/>
        <cfvo type="num" val="1"/>
        <color theme="4" tint="0.79998168889431442"/>
      </dataBar>
      <extLst>
        <ext xmlns:x14="http://schemas.microsoft.com/office/spreadsheetml/2009/9/main" uri="{B025F937-C7B1-47D3-B67F-A62EFF666E3E}">
          <x14:id>{DD5B7F89-C613-4C08-8BA2-B3B59EC63ED7}</x14:id>
        </ext>
      </extLst>
    </cfRule>
    <cfRule type="iconSet" priority="4193">
      <iconSet iconSet="3Arrows">
        <cfvo type="percent" val="0"/>
        <cfvo type="num" val="0.7"/>
        <cfvo type="num" val="1"/>
      </iconSet>
    </cfRule>
  </conditionalFormatting>
  <conditionalFormatting sqref="N3291 N3293 N3295">
    <cfRule type="dataBar" priority="4192">
      <dataBar>
        <cfvo type="num" val="0"/>
        <cfvo type="num" val="1"/>
        <color theme="4" tint="0.79998168889431442"/>
      </dataBar>
      <extLst>
        <ext xmlns:x14="http://schemas.microsoft.com/office/spreadsheetml/2009/9/main" uri="{B025F937-C7B1-47D3-B67F-A62EFF666E3E}">
          <x14:id>{BAED06CE-6525-4C06-A7FE-BF837037850C}</x14:id>
        </ext>
      </extLst>
    </cfRule>
    <cfRule type="iconSet" priority="4191">
      <iconSet iconSet="3Arrows">
        <cfvo type="percent" val="0"/>
        <cfvo type="num" val="0.7"/>
        <cfvo type="num" val="1"/>
      </iconSet>
    </cfRule>
  </conditionalFormatting>
  <conditionalFormatting sqref="N3297 N3299 N3301">
    <cfRule type="dataBar" priority="4190">
      <dataBar>
        <cfvo type="num" val="0"/>
        <cfvo type="num" val="1"/>
        <color theme="4" tint="0.79998168889431442"/>
      </dataBar>
      <extLst>
        <ext xmlns:x14="http://schemas.microsoft.com/office/spreadsheetml/2009/9/main" uri="{B025F937-C7B1-47D3-B67F-A62EFF666E3E}">
          <x14:id>{1E6C719E-BB40-4821-96C7-9834B8DA5B31}</x14:id>
        </ext>
      </extLst>
    </cfRule>
    <cfRule type="iconSet" priority="4189">
      <iconSet iconSet="3Arrows">
        <cfvo type="percent" val="0"/>
        <cfvo type="num" val="0.7"/>
        <cfvo type="num" val="1"/>
      </iconSet>
    </cfRule>
  </conditionalFormatting>
  <conditionalFormatting sqref="N3303">
    <cfRule type="dataBar" priority="4188">
      <dataBar>
        <cfvo type="num" val="0"/>
        <cfvo type="num" val="1"/>
        <color theme="4" tint="0.79998168889431442"/>
      </dataBar>
      <extLst>
        <ext xmlns:x14="http://schemas.microsoft.com/office/spreadsheetml/2009/9/main" uri="{B025F937-C7B1-47D3-B67F-A62EFF666E3E}">
          <x14:id>{8A567CFF-E805-4F81-A00C-134B4F526B91}</x14:id>
        </ext>
      </extLst>
    </cfRule>
    <cfRule type="iconSet" priority="4187">
      <iconSet iconSet="3Arrows">
        <cfvo type="percent" val="0"/>
        <cfvo type="num" val="0.7"/>
        <cfvo type="num" val="1"/>
      </iconSet>
    </cfRule>
  </conditionalFormatting>
  <conditionalFormatting sqref="N3305">
    <cfRule type="dataBar" priority="4186">
      <dataBar>
        <cfvo type="num" val="0"/>
        <cfvo type="num" val="1"/>
        <color theme="4" tint="0.79998168889431442"/>
      </dataBar>
      <extLst>
        <ext xmlns:x14="http://schemas.microsoft.com/office/spreadsheetml/2009/9/main" uri="{B025F937-C7B1-47D3-B67F-A62EFF666E3E}">
          <x14:id>{23B439F1-3BD4-48C7-A473-7C654C21226E}</x14:id>
        </ext>
      </extLst>
    </cfRule>
    <cfRule type="iconSet" priority="4185">
      <iconSet iconSet="3Arrows">
        <cfvo type="percent" val="0"/>
        <cfvo type="num" val="0.7"/>
        <cfvo type="num" val="1"/>
      </iconSet>
    </cfRule>
  </conditionalFormatting>
  <conditionalFormatting sqref="N3309">
    <cfRule type="iconSet" priority="4183">
      <iconSet iconSet="3Arrows">
        <cfvo type="percent" val="0"/>
        <cfvo type="num" val="0.7"/>
        <cfvo type="num" val="1"/>
      </iconSet>
    </cfRule>
    <cfRule type="dataBar" priority="4184">
      <dataBar>
        <cfvo type="num" val="0"/>
        <cfvo type="num" val="1"/>
        <color theme="4" tint="0.79998168889431442"/>
      </dataBar>
      <extLst>
        <ext xmlns:x14="http://schemas.microsoft.com/office/spreadsheetml/2009/9/main" uri="{B025F937-C7B1-47D3-B67F-A62EFF666E3E}">
          <x14:id>{AAF1DC49-7558-41FB-83B9-0B9A9DBCD9F8}</x14:id>
        </ext>
      </extLst>
    </cfRule>
  </conditionalFormatting>
  <conditionalFormatting sqref="N3311">
    <cfRule type="iconSet" priority="4181">
      <iconSet iconSet="3Arrows">
        <cfvo type="percent" val="0"/>
        <cfvo type="num" val="0.7"/>
        <cfvo type="num" val="1"/>
      </iconSet>
    </cfRule>
    <cfRule type="dataBar" priority="4182">
      <dataBar>
        <cfvo type="num" val="0"/>
        <cfvo type="num" val="1"/>
        <color theme="4" tint="0.79998168889431442"/>
      </dataBar>
      <extLst>
        <ext xmlns:x14="http://schemas.microsoft.com/office/spreadsheetml/2009/9/main" uri="{B025F937-C7B1-47D3-B67F-A62EFF666E3E}">
          <x14:id>{F5AB85E4-2EC0-4DF2-A697-2BE99080A233}</x14:id>
        </ext>
      </extLst>
    </cfRule>
  </conditionalFormatting>
  <conditionalFormatting sqref="N3313 N3315">
    <cfRule type="dataBar" priority="4180">
      <dataBar>
        <cfvo type="num" val="0"/>
        <cfvo type="num" val="1"/>
        <color theme="4" tint="0.79998168889431442"/>
      </dataBar>
      <extLst>
        <ext xmlns:x14="http://schemas.microsoft.com/office/spreadsheetml/2009/9/main" uri="{B025F937-C7B1-47D3-B67F-A62EFF666E3E}">
          <x14:id>{C570D3A5-9211-4F2D-A0E0-60D850170D8F}</x14:id>
        </ext>
      </extLst>
    </cfRule>
    <cfRule type="iconSet" priority="4179">
      <iconSet iconSet="3Arrows">
        <cfvo type="percent" val="0"/>
        <cfvo type="num" val="0.7"/>
        <cfvo type="num" val="1"/>
      </iconSet>
    </cfRule>
  </conditionalFormatting>
  <conditionalFormatting sqref="N3317">
    <cfRule type="dataBar" priority="4178">
      <dataBar>
        <cfvo type="num" val="0"/>
        <cfvo type="num" val="1"/>
        <color theme="4" tint="0.79998168889431442"/>
      </dataBar>
      <extLst>
        <ext xmlns:x14="http://schemas.microsoft.com/office/spreadsheetml/2009/9/main" uri="{B025F937-C7B1-47D3-B67F-A62EFF666E3E}">
          <x14:id>{5E70214D-AD57-4F60-9081-6DF018F85391}</x14:id>
        </ext>
      </extLst>
    </cfRule>
    <cfRule type="iconSet" priority="4177">
      <iconSet iconSet="3Arrows">
        <cfvo type="percent" val="0"/>
        <cfvo type="num" val="0.7"/>
        <cfvo type="num" val="1"/>
      </iconSet>
    </cfRule>
  </conditionalFormatting>
  <conditionalFormatting sqref="N3319 N3321">
    <cfRule type="dataBar" priority="4176">
      <dataBar>
        <cfvo type="num" val="0"/>
        <cfvo type="num" val="1"/>
        <color theme="4" tint="0.79998168889431442"/>
      </dataBar>
      <extLst>
        <ext xmlns:x14="http://schemas.microsoft.com/office/spreadsheetml/2009/9/main" uri="{B025F937-C7B1-47D3-B67F-A62EFF666E3E}">
          <x14:id>{818BEBE5-525E-442B-8020-B58217EA084F}</x14:id>
        </ext>
      </extLst>
    </cfRule>
    <cfRule type="iconSet" priority="4175">
      <iconSet iconSet="3Arrows">
        <cfvo type="percent" val="0"/>
        <cfvo type="num" val="0.7"/>
        <cfvo type="num" val="1"/>
      </iconSet>
    </cfRule>
  </conditionalFormatting>
  <conditionalFormatting sqref="N3325">
    <cfRule type="dataBar" priority="4174">
      <dataBar>
        <cfvo type="num" val="0"/>
        <cfvo type="num" val="1"/>
        <color theme="4" tint="0.79998168889431442"/>
      </dataBar>
      <extLst>
        <ext xmlns:x14="http://schemas.microsoft.com/office/spreadsheetml/2009/9/main" uri="{B025F937-C7B1-47D3-B67F-A62EFF666E3E}">
          <x14:id>{5D600C2C-488F-401F-A948-BD5DA66EF9D7}</x14:id>
        </ext>
      </extLst>
    </cfRule>
    <cfRule type="iconSet" priority="4173">
      <iconSet iconSet="3Arrows">
        <cfvo type="percent" val="0"/>
        <cfvo type="num" val="0.7"/>
        <cfvo type="num" val="1"/>
      </iconSet>
    </cfRule>
  </conditionalFormatting>
  <conditionalFormatting sqref="N3329">
    <cfRule type="dataBar" priority="4172">
      <dataBar>
        <cfvo type="num" val="0"/>
        <cfvo type="num" val="1"/>
        <color theme="4" tint="0.79998168889431442"/>
      </dataBar>
      <extLst>
        <ext xmlns:x14="http://schemas.microsoft.com/office/spreadsheetml/2009/9/main" uri="{B025F937-C7B1-47D3-B67F-A62EFF666E3E}">
          <x14:id>{343B86CC-46D3-4E7B-BC36-A666B6A48AAF}</x14:id>
        </ext>
      </extLst>
    </cfRule>
    <cfRule type="iconSet" priority="4171">
      <iconSet iconSet="3Arrows">
        <cfvo type="percent" val="0"/>
        <cfvo type="num" val="0.7"/>
        <cfvo type="num" val="1"/>
      </iconSet>
    </cfRule>
  </conditionalFormatting>
  <conditionalFormatting sqref="N3331">
    <cfRule type="dataBar" priority="4170">
      <dataBar>
        <cfvo type="num" val="0"/>
        <cfvo type="num" val="1"/>
        <color theme="4" tint="0.79998168889431442"/>
      </dataBar>
      <extLst>
        <ext xmlns:x14="http://schemas.microsoft.com/office/spreadsheetml/2009/9/main" uri="{B025F937-C7B1-47D3-B67F-A62EFF666E3E}">
          <x14:id>{6750EAA3-0059-4E2F-9076-075DA1E754AD}</x14:id>
        </ext>
      </extLst>
    </cfRule>
    <cfRule type="iconSet" priority="4169">
      <iconSet iconSet="3Arrows">
        <cfvo type="percent" val="0"/>
        <cfvo type="num" val="0.7"/>
        <cfvo type="num" val="1"/>
      </iconSet>
    </cfRule>
  </conditionalFormatting>
  <conditionalFormatting sqref="N3333">
    <cfRule type="iconSet" priority="4167">
      <iconSet iconSet="3Arrows">
        <cfvo type="percent" val="0"/>
        <cfvo type="num" val="0.7"/>
        <cfvo type="num" val="1"/>
      </iconSet>
    </cfRule>
    <cfRule type="dataBar" priority="4168">
      <dataBar>
        <cfvo type="num" val="0"/>
        <cfvo type="num" val="1"/>
        <color theme="4" tint="0.79998168889431442"/>
      </dataBar>
      <extLst>
        <ext xmlns:x14="http://schemas.microsoft.com/office/spreadsheetml/2009/9/main" uri="{B025F937-C7B1-47D3-B67F-A62EFF666E3E}">
          <x14:id>{956A2F84-6014-4771-A6A4-F0DE3758C547}</x14:id>
        </ext>
      </extLst>
    </cfRule>
  </conditionalFormatting>
  <conditionalFormatting sqref="N3335">
    <cfRule type="dataBar" priority="4166">
      <dataBar>
        <cfvo type="num" val="0"/>
        <cfvo type="num" val="1"/>
        <color theme="4" tint="0.79998168889431442"/>
      </dataBar>
      <extLst>
        <ext xmlns:x14="http://schemas.microsoft.com/office/spreadsheetml/2009/9/main" uri="{B025F937-C7B1-47D3-B67F-A62EFF666E3E}">
          <x14:id>{691FE2B8-B444-43A1-94C2-7554A5F176E8}</x14:id>
        </ext>
      </extLst>
    </cfRule>
    <cfRule type="iconSet" priority="4165">
      <iconSet iconSet="3Arrows">
        <cfvo type="percent" val="0"/>
        <cfvo type="num" val="0.7"/>
        <cfvo type="num" val="1"/>
      </iconSet>
    </cfRule>
  </conditionalFormatting>
  <conditionalFormatting sqref="N3337">
    <cfRule type="dataBar" priority="4164">
      <dataBar>
        <cfvo type="num" val="0"/>
        <cfvo type="num" val="1"/>
        <color theme="4" tint="0.79998168889431442"/>
      </dataBar>
      <extLst>
        <ext xmlns:x14="http://schemas.microsoft.com/office/spreadsheetml/2009/9/main" uri="{B025F937-C7B1-47D3-B67F-A62EFF666E3E}">
          <x14:id>{E1C74F6C-3A1F-4B1F-8EC7-02AD8615BE0C}</x14:id>
        </ext>
      </extLst>
    </cfRule>
    <cfRule type="iconSet" priority="4163">
      <iconSet iconSet="3Arrows">
        <cfvo type="percent" val="0"/>
        <cfvo type="num" val="0.7"/>
        <cfvo type="num" val="1"/>
      </iconSet>
    </cfRule>
  </conditionalFormatting>
  <conditionalFormatting sqref="N3339">
    <cfRule type="dataBar" priority="4162">
      <dataBar>
        <cfvo type="num" val="0"/>
        <cfvo type="num" val="1"/>
        <color theme="4" tint="0.79998168889431442"/>
      </dataBar>
      <extLst>
        <ext xmlns:x14="http://schemas.microsoft.com/office/spreadsheetml/2009/9/main" uri="{B025F937-C7B1-47D3-B67F-A62EFF666E3E}">
          <x14:id>{CE118095-EABA-4BDF-A348-4A972D50CB69}</x14:id>
        </ext>
      </extLst>
    </cfRule>
    <cfRule type="iconSet" priority="4161">
      <iconSet iconSet="3Arrows">
        <cfvo type="percent" val="0"/>
        <cfvo type="num" val="0.7"/>
        <cfvo type="num" val="1"/>
      </iconSet>
    </cfRule>
  </conditionalFormatting>
  <conditionalFormatting sqref="N3341">
    <cfRule type="dataBar" priority="4160">
      <dataBar>
        <cfvo type="num" val="0"/>
        <cfvo type="num" val="1"/>
        <color theme="4" tint="0.79998168889431442"/>
      </dataBar>
      <extLst>
        <ext xmlns:x14="http://schemas.microsoft.com/office/spreadsheetml/2009/9/main" uri="{B025F937-C7B1-47D3-B67F-A62EFF666E3E}">
          <x14:id>{5609688B-B948-4F87-8C89-C93DDFD88B2D}</x14:id>
        </ext>
      </extLst>
    </cfRule>
    <cfRule type="iconSet" priority="4159">
      <iconSet iconSet="3Arrows">
        <cfvo type="percent" val="0"/>
        <cfvo type="num" val="0.7"/>
        <cfvo type="num" val="1"/>
      </iconSet>
    </cfRule>
  </conditionalFormatting>
  <conditionalFormatting sqref="N3343">
    <cfRule type="dataBar" priority="4158">
      <dataBar>
        <cfvo type="num" val="0"/>
        <cfvo type="num" val="1"/>
        <color theme="4" tint="0.79998168889431442"/>
      </dataBar>
      <extLst>
        <ext xmlns:x14="http://schemas.microsoft.com/office/spreadsheetml/2009/9/main" uri="{B025F937-C7B1-47D3-B67F-A62EFF666E3E}">
          <x14:id>{1B3F97A0-BD88-452F-89E4-B337A1EFB7BF}</x14:id>
        </ext>
      </extLst>
    </cfRule>
    <cfRule type="iconSet" priority="4157">
      <iconSet iconSet="3Arrows">
        <cfvo type="percent" val="0"/>
        <cfvo type="num" val="0.7"/>
        <cfvo type="num" val="1"/>
      </iconSet>
    </cfRule>
  </conditionalFormatting>
  <conditionalFormatting sqref="N3345">
    <cfRule type="dataBar" priority="4156">
      <dataBar>
        <cfvo type="num" val="0"/>
        <cfvo type="num" val="1"/>
        <color theme="4" tint="0.79998168889431442"/>
      </dataBar>
      <extLst>
        <ext xmlns:x14="http://schemas.microsoft.com/office/spreadsheetml/2009/9/main" uri="{B025F937-C7B1-47D3-B67F-A62EFF666E3E}">
          <x14:id>{E8DF13B3-ED3A-4EC4-B424-6F76F866E865}</x14:id>
        </ext>
      </extLst>
    </cfRule>
    <cfRule type="iconSet" priority="4155">
      <iconSet iconSet="3Arrows">
        <cfvo type="percent" val="0"/>
        <cfvo type="num" val="0.7"/>
        <cfvo type="num" val="1"/>
      </iconSet>
    </cfRule>
  </conditionalFormatting>
  <conditionalFormatting sqref="N3347">
    <cfRule type="dataBar" priority="4154">
      <dataBar>
        <cfvo type="num" val="0"/>
        <cfvo type="num" val="1"/>
        <color theme="4" tint="0.79998168889431442"/>
      </dataBar>
      <extLst>
        <ext xmlns:x14="http://schemas.microsoft.com/office/spreadsheetml/2009/9/main" uri="{B025F937-C7B1-47D3-B67F-A62EFF666E3E}">
          <x14:id>{737C057F-5ED1-4517-9496-C460E5210F12}</x14:id>
        </ext>
      </extLst>
    </cfRule>
    <cfRule type="iconSet" priority="4153">
      <iconSet iconSet="3Arrows">
        <cfvo type="percent" val="0"/>
        <cfvo type="num" val="0.7"/>
        <cfvo type="num" val="1"/>
      </iconSet>
    </cfRule>
  </conditionalFormatting>
  <conditionalFormatting sqref="N3350">
    <cfRule type="iconSet" priority="4151">
      <iconSet iconSet="3Arrows">
        <cfvo type="percent" val="0"/>
        <cfvo type="num" val="0.7"/>
        <cfvo type="num" val="1"/>
      </iconSet>
    </cfRule>
    <cfRule type="dataBar" priority="4152">
      <dataBar>
        <cfvo type="num" val="0"/>
        <cfvo type="num" val="1"/>
        <color theme="4" tint="0.79998168889431442"/>
      </dataBar>
      <extLst>
        <ext xmlns:x14="http://schemas.microsoft.com/office/spreadsheetml/2009/9/main" uri="{B025F937-C7B1-47D3-B67F-A62EFF666E3E}">
          <x14:id>{4A8C2A07-1A8C-4777-8F46-852F2BF67BC1}</x14:id>
        </ext>
      </extLst>
    </cfRule>
  </conditionalFormatting>
  <conditionalFormatting sqref="N3352">
    <cfRule type="dataBar" priority="4150">
      <dataBar>
        <cfvo type="num" val="0"/>
        <cfvo type="num" val="1"/>
        <color theme="4" tint="0.79998168889431442"/>
      </dataBar>
      <extLst>
        <ext xmlns:x14="http://schemas.microsoft.com/office/spreadsheetml/2009/9/main" uri="{B025F937-C7B1-47D3-B67F-A62EFF666E3E}">
          <x14:id>{F18DC9D5-8A6F-400E-BDAC-DFDFDDAC5EAA}</x14:id>
        </ext>
      </extLst>
    </cfRule>
    <cfRule type="iconSet" priority="4149">
      <iconSet iconSet="3Arrows">
        <cfvo type="percent" val="0"/>
        <cfvo type="num" val="0.7"/>
        <cfvo type="num" val="1"/>
      </iconSet>
    </cfRule>
  </conditionalFormatting>
  <conditionalFormatting sqref="N3354">
    <cfRule type="dataBar" priority="4148">
      <dataBar>
        <cfvo type="num" val="0"/>
        <cfvo type="num" val="1"/>
        <color theme="4" tint="0.79998168889431442"/>
      </dataBar>
      <extLst>
        <ext xmlns:x14="http://schemas.microsoft.com/office/spreadsheetml/2009/9/main" uri="{B025F937-C7B1-47D3-B67F-A62EFF666E3E}">
          <x14:id>{1148C6BD-DF4E-4CBE-B8C1-B6B2A542DEEA}</x14:id>
        </ext>
      </extLst>
    </cfRule>
    <cfRule type="iconSet" priority="4147">
      <iconSet iconSet="3Arrows">
        <cfvo type="percent" val="0"/>
        <cfvo type="num" val="0.7"/>
        <cfvo type="num" val="1"/>
      </iconSet>
    </cfRule>
  </conditionalFormatting>
  <conditionalFormatting sqref="N3356">
    <cfRule type="dataBar" priority="4146">
      <dataBar>
        <cfvo type="num" val="0"/>
        <cfvo type="num" val="1"/>
        <color theme="4" tint="0.79998168889431442"/>
      </dataBar>
      <extLst>
        <ext xmlns:x14="http://schemas.microsoft.com/office/spreadsheetml/2009/9/main" uri="{B025F937-C7B1-47D3-B67F-A62EFF666E3E}">
          <x14:id>{43EE958A-A824-4AB6-8644-F0205FE13248}</x14:id>
        </ext>
      </extLst>
    </cfRule>
    <cfRule type="iconSet" priority="4145">
      <iconSet iconSet="3Arrows">
        <cfvo type="percent" val="0"/>
        <cfvo type="num" val="0.7"/>
        <cfvo type="num" val="1"/>
      </iconSet>
    </cfRule>
  </conditionalFormatting>
  <conditionalFormatting sqref="N3358">
    <cfRule type="dataBar" priority="4144">
      <dataBar>
        <cfvo type="num" val="0"/>
        <cfvo type="num" val="1"/>
        <color theme="4" tint="0.79998168889431442"/>
      </dataBar>
      <extLst>
        <ext xmlns:x14="http://schemas.microsoft.com/office/spreadsheetml/2009/9/main" uri="{B025F937-C7B1-47D3-B67F-A62EFF666E3E}">
          <x14:id>{657AC0F8-BCAD-4696-A294-F4ADF971CBDB}</x14:id>
        </ext>
      </extLst>
    </cfRule>
    <cfRule type="iconSet" priority="4143">
      <iconSet iconSet="3Arrows">
        <cfvo type="percent" val="0"/>
        <cfvo type="num" val="0.7"/>
        <cfvo type="num" val="1"/>
      </iconSet>
    </cfRule>
  </conditionalFormatting>
  <conditionalFormatting sqref="N3360">
    <cfRule type="dataBar" priority="4142">
      <dataBar>
        <cfvo type="num" val="0"/>
        <cfvo type="num" val="1"/>
        <color theme="4" tint="0.79998168889431442"/>
      </dataBar>
      <extLst>
        <ext xmlns:x14="http://schemas.microsoft.com/office/spreadsheetml/2009/9/main" uri="{B025F937-C7B1-47D3-B67F-A62EFF666E3E}">
          <x14:id>{D099852C-7022-4ADD-A72D-F9A25C2315E9}</x14:id>
        </ext>
      </extLst>
    </cfRule>
    <cfRule type="iconSet" priority="4141">
      <iconSet iconSet="3Arrows">
        <cfvo type="percent" val="0"/>
        <cfvo type="num" val="0.7"/>
        <cfvo type="num" val="1"/>
      </iconSet>
    </cfRule>
  </conditionalFormatting>
  <conditionalFormatting sqref="N3362">
    <cfRule type="dataBar" priority="4140">
      <dataBar>
        <cfvo type="num" val="0"/>
        <cfvo type="num" val="1"/>
        <color theme="4" tint="0.79998168889431442"/>
      </dataBar>
      <extLst>
        <ext xmlns:x14="http://schemas.microsoft.com/office/spreadsheetml/2009/9/main" uri="{B025F937-C7B1-47D3-B67F-A62EFF666E3E}">
          <x14:id>{2BC3A407-F16B-4BE5-A4CE-73555E8E9A7E}</x14:id>
        </ext>
      </extLst>
    </cfRule>
    <cfRule type="iconSet" priority="4139">
      <iconSet iconSet="3Arrows">
        <cfvo type="percent" val="0"/>
        <cfvo type="num" val="0.7"/>
        <cfvo type="num" val="1"/>
      </iconSet>
    </cfRule>
  </conditionalFormatting>
  <conditionalFormatting sqref="N3365">
    <cfRule type="dataBar" priority="4138">
      <dataBar>
        <cfvo type="num" val="0"/>
        <cfvo type="num" val="1"/>
        <color theme="4" tint="0.79998168889431442"/>
      </dataBar>
      <extLst>
        <ext xmlns:x14="http://schemas.microsoft.com/office/spreadsheetml/2009/9/main" uri="{B025F937-C7B1-47D3-B67F-A62EFF666E3E}">
          <x14:id>{ABF9557E-139A-43F0-AC3A-F929E4EF6390}</x14:id>
        </ext>
      </extLst>
    </cfRule>
    <cfRule type="iconSet" priority="4137">
      <iconSet iconSet="3Arrows">
        <cfvo type="percent" val="0"/>
        <cfvo type="num" val="0.7"/>
        <cfvo type="num" val="1"/>
      </iconSet>
    </cfRule>
  </conditionalFormatting>
  <conditionalFormatting sqref="N3367">
    <cfRule type="dataBar" priority="4136">
      <dataBar>
        <cfvo type="num" val="0"/>
        <cfvo type="num" val="1"/>
        <color theme="4" tint="0.79998168889431442"/>
      </dataBar>
      <extLst>
        <ext xmlns:x14="http://schemas.microsoft.com/office/spreadsheetml/2009/9/main" uri="{B025F937-C7B1-47D3-B67F-A62EFF666E3E}">
          <x14:id>{F2363769-8697-4FD2-8888-BB6D2EEDF9B6}</x14:id>
        </ext>
      </extLst>
    </cfRule>
    <cfRule type="iconSet" priority="4135">
      <iconSet iconSet="3Arrows">
        <cfvo type="percent" val="0"/>
        <cfvo type="num" val="0.7"/>
        <cfvo type="num" val="1"/>
      </iconSet>
    </cfRule>
  </conditionalFormatting>
  <conditionalFormatting sqref="N3369">
    <cfRule type="dataBar" priority="4134">
      <dataBar>
        <cfvo type="num" val="0"/>
        <cfvo type="num" val="1"/>
        <color theme="4" tint="0.79998168889431442"/>
      </dataBar>
      <extLst>
        <ext xmlns:x14="http://schemas.microsoft.com/office/spreadsheetml/2009/9/main" uri="{B025F937-C7B1-47D3-B67F-A62EFF666E3E}">
          <x14:id>{6279C5CF-F1A0-4C61-A7A7-121AEAA03ADC}</x14:id>
        </ext>
      </extLst>
    </cfRule>
    <cfRule type="iconSet" priority="4133">
      <iconSet iconSet="3Arrows">
        <cfvo type="percent" val="0"/>
        <cfvo type="num" val="0.7"/>
        <cfvo type="num" val="1"/>
      </iconSet>
    </cfRule>
  </conditionalFormatting>
  <conditionalFormatting sqref="N3371">
    <cfRule type="dataBar" priority="4132">
      <dataBar>
        <cfvo type="num" val="0"/>
        <cfvo type="num" val="1"/>
        <color theme="4" tint="0.79998168889431442"/>
      </dataBar>
      <extLst>
        <ext xmlns:x14="http://schemas.microsoft.com/office/spreadsheetml/2009/9/main" uri="{B025F937-C7B1-47D3-B67F-A62EFF666E3E}">
          <x14:id>{7B510108-1660-4578-AAB9-CC4F3464C38F}</x14:id>
        </ext>
      </extLst>
    </cfRule>
    <cfRule type="iconSet" priority="4131">
      <iconSet iconSet="3Arrows">
        <cfvo type="percent" val="0"/>
        <cfvo type="num" val="0.7"/>
        <cfvo type="num" val="1"/>
      </iconSet>
    </cfRule>
  </conditionalFormatting>
  <conditionalFormatting sqref="N3373">
    <cfRule type="dataBar" priority="4130">
      <dataBar>
        <cfvo type="num" val="0"/>
        <cfvo type="num" val="1"/>
        <color theme="4" tint="0.79998168889431442"/>
      </dataBar>
      <extLst>
        <ext xmlns:x14="http://schemas.microsoft.com/office/spreadsheetml/2009/9/main" uri="{B025F937-C7B1-47D3-B67F-A62EFF666E3E}">
          <x14:id>{2B8744FE-751A-4C81-AFD7-7A422212E5C0}</x14:id>
        </ext>
      </extLst>
    </cfRule>
    <cfRule type="iconSet" priority="4129">
      <iconSet iconSet="3Arrows">
        <cfvo type="percent" val="0"/>
        <cfvo type="num" val="0.7"/>
        <cfvo type="num" val="1"/>
      </iconSet>
    </cfRule>
  </conditionalFormatting>
  <conditionalFormatting sqref="N3377">
    <cfRule type="dataBar" priority="4128">
      <dataBar>
        <cfvo type="num" val="0"/>
        <cfvo type="num" val="1"/>
        <color theme="4" tint="0.79998168889431442"/>
      </dataBar>
      <extLst>
        <ext xmlns:x14="http://schemas.microsoft.com/office/spreadsheetml/2009/9/main" uri="{B025F937-C7B1-47D3-B67F-A62EFF666E3E}">
          <x14:id>{6B57A787-DA9D-4566-BDC1-3151ECB9FBA8}</x14:id>
        </ext>
      </extLst>
    </cfRule>
    <cfRule type="iconSet" priority="4127">
      <iconSet iconSet="3Arrows">
        <cfvo type="percent" val="0"/>
        <cfvo type="num" val="0.7"/>
        <cfvo type="num" val="1"/>
      </iconSet>
    </cfRule>
  </conditionalFormatting>
  <conditionalFormatting sqref="N3381">
    <cfRule type="dataBar" priority="4126">
      <dataBar>
        <cfvo type="num" val="0"/>
        <cfvo type="num" val="1"/>
        <color theme="4" tint="0.79998168889431442"/>
      </dataBar>
      <extLst>
        <ext xmlns:x14="http://schemas.microsoft.com/office/spreadsheetml/2009/9/main" uri="{B025F937-C7B1-47D3-B67F-A62EFF666E3E}">
          <x14:id>{2710A2D2-0590-459D-9CC5-5191E4AF5925}</x14:id>
        </ext>
      </extLst>
    </cfRule>
    <cfRule type="iconSet" priority="4125">
      <iconSet iconSet="3Arrows">
        <cfvo type="percent" val="0"/>
        <cfvo type="num" val="0.7"/>
        <cfvo type="num" val="1"/>
      </iconSet>
    </cfRule>
  </conditionalFormatting>
  <conditionalFormatting sqref="N3385 N3383">
    <cfRule type="iconSet" priority="4123">
      <iconSet iconSet="3Arrows">
        <cfvo type="percent" val="0"/>
        <cfvo type="num" val="0.7"/>
        <cfvo type="num" val="1"/>
      </iconSet>
    </cfRule>
    <cfRule type="dataBar" priority="4124">
      <dataBar>
        <cfvo type="num" val="0"/>
        <cfvo type="num" val="1"/>
        <color theme="4" tint="0.79998168889431442"/>
      </dataBar>
      <extLst>
        <ext xmlns:x14="http://schemas.microsoft.com/office/spreadsheetml/2009/9/main" uri="{B025F937-C7B1-47D3-B67F-A62EFF666E3E}">
          <x14:id>{3C74B7A2-615F-40BA-8C30-AFAFE69415FE}</x14:id>
        </ext>
      </extLst>
    </cfRule>
  </conditionalFormatting>
  <conditionalFormatting sqref="N3387">
    <cfRule type="iconSet" priority="4121">
      <iconSet iconSet="3Arrows">
        <cfvo type="percent" val="0"/>
        <cfvo type="num" val="0.7"/>
        <cfvo type="num" val="1"/>
      </iconSet>
    </cfRule>
    <cfRule type="dataBar" priority="4122">
      <dataBar>
        <cfvo type="num" val="0"/>
        <cfvo type="num" val="1"/>
        <color theme="4" tint="0.79998168889431442"/>
      </dataBar>
      <extLst>
        <ext xmlns:x14="http://schemas.microsoft.com/office/spreadsheetml/2009/9/main" uri="{B025F937-C7B1-47D3-B67F-A62EFF666E3E}">
          <x14:id>{DA38CC70-CD0C-4EEC-A5CC-1E8D7F1670B2}</x14:id>
        </ext>
      </extLst>
    </cfRule>
  </conditionalFormatting>
  <conditionalFormatting sqref="N3389">
    <cfRule type="dataBar" priority="4120">
      <dataBar>
        <cfvo type="num" val="0"/>
        <cfvo type="num" val="1"/>
        <color theme="4" tint="0.79998168889431442"/>
      </dataBar>
      <extLst>
        <ext xmlns:x14="http://schemas.microsoft.com/office/spreadsheetml/2009/9/main" uri="{B025F937-C7B1-47D3-B67F-A62EFF666E3E}">
          <x14:id>{7A7333F8-45F0-4752-B487-B9265B7193AA}</x14:id>
        </ext>
      </extLst>
    </cfRule>
    <cfRule type="iconSet" priority="4119">
      <iconSet iconSet="3Arrows">
        <cfvo type="percent" val="0"/>
        <cfvo type="num" val="0.7"/>
        <cfvo type="num" val="1"/>
      </iconSet>
    </cfRule>
  </conditionalFormatting>
  <conditionalFormatting sqref="N3391">
    <cfRule type="dataBar" priority="4118">
      <dataBar>
        <cfvo type="num" val="0"/>
        <cfvo type="num" val="1"/>
        <color theme="4" tint="0.79998168889431442"/>
      </dataBar>
      <extLst>
        <ext xmlns:x14="http://schemas.microsoft.com/office/spreadsheetml/2009/9/main" uri="{B025F937-C7B1-47D3-B67F-A62EFF666E3E}">
          <x14:id>{97043B40-0FBF-4EB1-847C-7BD548840D78}</x14:id>
        </ext>
      </extLst>
    </cfRule>
    <cfRule type="iconSet" priority="4117">
      <iconSet iconSet="3Arrows">
        <cfvo type="percent" val="0"/>
        <cfvo type="num" val="0.7"/>
        <cfvo type="num" val="1"/>
      </iconSet>
    </cfRule>
  </conditionalFormatting>
  <conditionalFormatting sqref="N3393">
    <cfRule type="dataBar" priority="4116">
      <dataBar>
        <cfvo type="num" val="0"/>
        <cfvo type="num" val="1"/>
        <color theme="4" tint="0.79998168889431442"/>
      </dataBar>
      <extLst>
        <ext xmlns:x14="http://schemas.microsoft.com/office/spreadsheetml/2009/9/main" uri="{B025F937-C7B1-47D3-B67F-A62EFF666E3E}">
          <x14:id>{FC8989FE-3DDC-43B7-BA64-8CFE7B493316}</x14:id>
        </ext>
      </extLst>
    </cfRule>
    <cfRule type="iconSet" priority="4115">
      <iconSet iconSet="3Arrows">
        <cfvo type="percent" val="0"/>
        <cfvo type="num" val="0.7"/>
        <cfvo type="num" val="1"/>
      </iconSet>
    </cfRule>
  </conditionalFormatting>
  <conditionalFormatting sqref="N3395">
    <cfRule type="dataBar" priority="4114">
      <dataBar>
        <cfvo type="num" val="0"/>
        <cfvo type="num" val="1"/>
        <color theme="4" tint="0.79998168889431442"/>
      </dataBar>
      <extLst>
        <ext xmlns:x14="http://schemas.microsoft.com/office/spreadsheetml/2009/9/main" uri="{B025F937-C7B1-47D3-B67F-A62EFF666E3E}">
          <x14:id>{9709191F-FFAE-4F60-AA91-E835161C882A}</x14:id>
        </ext>
      </extLst>
    </cfRule>
    <cfRule type="iconSet" priority="4113">
      <iconSet iconSet="3Arrows">
        <cfvo type="percent" val="0"/>
        <cfvo type="num" val="0.7"/>
        <cfvo type="num" val="1"/>
      </iconSet>
    </cfRule>
  </conditionalFormatting>
  <conditionalFormatting sqref="N3397">
    <cfRule type="dataBar" priority="4112">
      <dataBar>
        <cfvo type="num" val="0"/>
        <cfvo type="num" val="1"/>
        <color theme="4" tint="0.79998168889431442"/>
      </dataBar>
      <extLst>
        <ext xmlns:x14="http://schemas.microsoft.com/office/spreadsheetml/2009/9/main" uri="{B025F937-C7B1-47D3-B67F-A62EFF666E3E}">
          <x14:id>{686FA766-DA90-4430-A46D-BA1C511DCFA0}</x14:id>
        </ext>
      </extLst>
    </cfRule>
    <cfRule type="iconSet" priority="4111">
      <iconSet iconSet="3Arrows">
        <cfvo type="percent" val="0"/>
        <cfvo type="num" val="0.7"/>
        <cfvo type="num" val="1"/>
      </iconSet>
    </cfRule>
  </conditionalFormatting>
  <conditionalFormatting sqref="N3399">
    <cfRule type="iconSet" priority="4109">
      <iconSet iconSet="3Arrows">
        <cfvo type="percent" val="0"/>
        <cfvo type="num" val="0.7"/>
        <cfvo type="num" val="1"/>
      </iconSet>
    </cfRule>
    <cfRule type="dataBar" priority="4110">
      <dataBar>
        <cfvo type="num" val="0"/>
        <cfvo type="num" val="1"/>
        <color theme="4" tint="0.79998168889431442"/>
      </dataBar>
      <extLst>
        <ext xmlns:x14="http://schemas.microsoft.com/office/spreadsheetml/2009/9/main" uri="{B025F937-C7B1-47D3-B67F-A62EFF666E3E}">
          <x14:id>{06252446-53C6-4641-A59A-56A0D6098280}</x14:id>
        </ext>
      </extLst>
    </cfRule>
  </conditionalFormatting>
  <conditionalFormatting sqref="N3401">
    <cfRule type="dataBar" priority="4108">
      <dataBar>
        <cfvo type="num" val="0"/>
        <cfvo type="num" val="1"/>
        <color theme="4" tint="0.79998168889431442"/>
      </dataBar>
      <extLst>
        <ext xmlns:x14="http://schemas.microsoft.com/office/spreadsheetml/2009/9/main" uri="{B025F937-C7B1-47D3-B67F-A62EFF666E3E}">
          <x14:id>{8BDB3EA7-AF4E-43FE-87BD-25D27EB54D40}</x14:id>
        </ext>
      </extLst>
    </cfRule>
    <cfRule type="iconSet" priority="4107">
      <iconSet iconSet="3Arrows">
        <cfvo type="percent" val="0"/>
        <cfvo type="num" val="0.7"/>
        <cfvo type="num" val="1"/>
      </iconSet>
    </cfRule>
  </conditionalFormatting>
  <conditionalFormatting sqref="N3403">
    <cfRule type="dataBar" priority="4106">
      <dataBar>
        <cfvo type="num" val="0"/>
        <cfvo type="num" val="1"/>
        <color theme="4" tint="0.79998168889431442"/>
      </dataBar>
      <extLst>
        <ext xmlns:x14="http://schemas.microsoft.com/office/spreadsheetml/2009/9/main" uri="{B025F937-C7B1-47D3-B67F-A62EFF666E3E}">
          <x14:id>{54522013-E926-4017-B31B-82504E1B50F1}</x14:id>
        </ext>
      </extLst>
    </cfRule>
    <cfRule type="iconSet" priority="4105">
      <iconSet iconSet="3Arrows">
        <cfvo type="percent" val="0"/>
        <cfvo type="num" val="0.7"/>
        <cfvo type="num" val="1"/>
      </iconSet>
    </cfRule>
  </conditionalFormatting>
  <conditionalFormatting sqref="N3405">
    <cfRule type="iconSet" priority="4103">
      <iconSet iconSet="3Arrows">
        <cfvo type="percent" val="0"/>
        <cfvo type="num" val="0.7"/>
        <cfvo type="num" val="1"/>
      </iconSet>
    </cfRule>
    <cfRule type="dataBar" priority="4104">
      <dataBar>
        <cfvo type="num" val="0"/>
        <cfvo type="num" val="1"/>
        <color theme="4" tint="0.79998168889431442"/>
      </dataBar>
      <extLst>
        <ext xmlns:x14="http://schemas.microsoft.com/office/spreadsheetml/2009/9/main" uri="{B025F937-C7B1-47D3-B67F-A62EFF666E3E}">
          <x14:id>{A43FF0C3-B914-425D-B647-1D5361FF9786}</x14:id>
        </ext>
      </extLst>
    </cfRule>
  </conditionalFormatting>
  <conditionalFormatting sqref="N3407">
    <cfRule type="dataBar" priority="4102">
      <dataBar>
        <cfvo type="num" val="0"/>
        <cfvo type="num" val="1"/>
        <color theme="4" tint="0.79998168889431442"/>
      </dataBar>
      <extLst>
        <ext xmlns:x14="http://schemas.microsoft.com/office/spreadsheetml/2009/9/main" uri="{B025F937-C7B1-47D3-B67F-A62EFF666E3E}">
          <x14:id>{F66514FC-0037-4389-8B23-1D117CE1E0C9}</x14:id>
        </ext>
      </extLst>
    </cfRule>
    <cfRule type="iconSet" priority="4101">
      <iconSet iconSet="3Arrows">
        <cfvo type="percent" val="0"/>
        <cfvo type="num" val="0.7"/>
        <cfvo type="num" val="1"/>
      </iconSet>
    </cfRule>
  </conditionalFormatting>
  <conditionalFormatting sqref="N3409">
    <cfRule type="dataBar" priority="4100">
      <dataBar>
        <cfvo type="num" val="0"/>
        <cfvo type="num" val="1"/>
        <color theme="4" tint="0.79998168889431442"/>
      </dataBar>
      <extLst>
        <ext xmlns:x14="http://schemas.microsoft.com/office/spreadsheetml/2009/9/main" uri="{B025F937-C7B1-47D3-B67F-A62EFF666E3E}">
          <x14:id>{CCF83704-2E00-4829-BCBF-880943A7752E}</x14:id>
        </ext>
      </extLst>
    </cfRule>
    <cfRule type="iconSet" priority="4099">
      <iconSet iconSet="3Arrows">
        <cfvo type="percent" val="0"/>
        <cfvo type="num" val="0.7"/>
        <cfvo type="num" val="1"/>
      </iconSet>
    </cfRule>
  </conditionalFormatting>
  <conditionalFormatting sqref="N3411">
    <cfRule type="iconSet" priority="4097">
      <iconSet iconSet="3Arrows">
        <cfvo type="percent" val="0"/>
        <cfvo type="num" val="0.7"/>
        <cfvo type="num" val="1"/>
      </iconSet>
    </cfRule>
    <cfRule type="dataBar" priority="4098">
      <dataBar>
        <cfvo type="num" val="0"/>
        <cfvo type="num" val="1"/>
        <color theme="4" tint="0.79998168889431442"/>
      </dataBar>
      <extLst>
        <ext xmlns:x14="http://schemas.microsoft.com/office/spreadsheetml/2009/9/main" uri="{B025F937-C7B1-47D3-B67F-A62EFF666E3E}">
          <x14:id>{00CAFC3A-1764-46A4-9D9A-F57AF553D0F7}</x14:id>
        </ext>
      </extLst>
    </cfRule>
  </conditionalFormatting>
  <conditionalFormatting sqref="N3413">
    <cfRule type="iconSet" priority="4095">
      <iconSet iconSet="3Arrows">
        <cfvo type="percent" val="0"/>
        <cfvo type="num" val="0.7"/>
        <cfvo type="num" val="1"/>
      </iconSet>
    </cfRule>
    <cfRule type="dataBar" priority="4096">
      <dataBar>
        <cfvo type="num" val="0"/>
        <cfvo type="num" val="1"/>
        <color theme="4" tint="0.79998168889431442"/>
      </dataBar>
      <extLst>
        <ext xmlns:x14="http://schemas.microsoft.com/office/spreadsheetml/2009/9/main" uri="{B025F937-C7B1-47D3-B67F-A62EFF666E3E}">
          <x14:id>{6CF78B0B-2EE5-4AF2-AC83-5F59D34B3099}</x14:id>
        </ext>
      </extLst>
    </cfRule>
  </conditionalFormatting>
  <conditionalFormatting sqref="N3416">
    <cfRule type="dataBar" priority="4094">
      <dataBar>
        <cfvo type="num" val="0"/>
        <cfvo type="num" val="1"/>
        <color theme="4" tint="0.79998168889431442"/>
      </dataBar>
      <extLst>
        <ext xmlns:x14="http://schemas.microsoft.com/office/spreadsheetml/2009/9/main" uri="{B025F937-C7B1-47D3-B67F-A62EFF666E3E}">
          <x14:id>{41247AE6-5918-4625-B078-5403BF03026D}</x14:id>
        </ext>
      </extLst>
    </cfRule>
    <cfRule type="iconSet" priority="4093">
      <iconSet iconSet="3Arrows">
        <cfvo type="percent" val="0"/>
        <cfvo type="num" val="0.7"/>
        <cfvo type="num" val="1"/>
      </iconSet>
    </cfRule>
  </conditionalFormatting>
  <conditionalFormatting sqref="N3418">
    <cfRule type="dataBar" priority="4092">
      <dataBar>
        <cfvo type="num" val="0"/>
        <cfvo type="num" val="1"/>
        <color theme="4" tint="0.79998168889431442"/>
      </dataBar>
      <extLst>
        <ext xmlns:x14="http://schemas.microsoft.com/office/spreadsheetml/2009/9/main" uri="{B025F937-C7B1-47D3-B67F-A62EFF666E3E}">
          <x14:id>{3397553F-F96E-4E25-916C-247CAF59377E}</x14:id>
        </ext>
      </extLst>
    </cfRule>
    <cfRule type="iconSet" priority="4091">
      <iconSet iconSet="3Arrows">
        <cfvo type="percent" val="0"/>
        <cfvo type="num" val="0.7"/>
        <cfvo type="num" val="1"/>
      </iconSet>
    </cfRule>
  </conditionalFormatting>
  <conditionalFormatting sqref="N3420">
    <cfRule type="dataBar" priority="4090">
      <dataBar>
        <cfvo type="num" val="0"/>
        <cfvo type="num" val="1"/>
        <color theme="4" tint="0.79998168889431442"/>
      </dataBar>
      <extLst>
        <ext xmlns:x14="http://schemas.microsoft.com/office/spreadsheetml/2009/9/main" uri="{B025F937-C7B1-47D3-B67F-A62EFF666E3E}">
          <x14:id>{D177584D-527C-4A29-8E02-AE039ACB8000}</x14:id>
        </ext>
      </extLst>
    </cfRule>
    <cfRule type="iconSet" priority="4089">
      <iconSet iconSet="3Arrows">
        <cfvo type="percent" val="0"/>
        <cfvo type="num" val="0.7"/>
        <cfvo type="num" val="1"/>
      </iconSet>
    </cfRule>
  </conditionalFormatting>
  <conditionalFormatting sqref="N3422">
    <cfRule type="dataBar" priority="4088">
      <dataBar>
        <cfvo type="num" val="0"/>
        <cfvo type="num" val="1"/>
        <color theme="4" tint="0.79998168889431442"/>
      </dataBar>
      <extLst>
        <ext xmlns:x14="http://schemas.microsoft.com/office/spreadsheetml/2009/9/main" uri="{B025F937-C7B1-47D3-B67F-A62EFF666E3E}">
          <x14:id>{82963B78-B659-46A6-8144-7246B40BCF5A}</x14:id>
        </ext>
      </extLst>
    </cfRule>
    <cfRule type="iconSet" priority="4087">
      <iconSet iconSet="3Arrows">
        <cfvo type="percent" val="0"/>
        <cfvo type="num" val="0.7"/>
        <cfvo type="num" val="1"/>
      </iconSet>
    </cfRule>
  </conditionalFormatting>
  <conditionalFormatting sqref="N3424">
    <cfRule type="dataBar" priority="4086">
      <dataBar>
        <cfvo type="num" val="0"/>
        <cfvo type="num" val="1"/>
        <color theme="4" tint="0.79998168889431442"/>
      </dataBar>
      <extLst>
        <ext xmlns:x14="http://schemas.microsoft.com/office/spreadsheetml/2009/9/main" uri="{B025F937-C7B1-47D3-B67F-A62EFF666E3E}">
          <x14:id>{CB94D03B-C9C2-4824-AE15-9B3572C52B85}</x14:id>
        </ext>
      </extLst>
    </cfRule>
    <cfRule type="iconSet" priority="4085">
      <iconSet iconSet="3Arrows">
        <cfvo type="percent" val="0"/>
        <cfvo type="num" val="0.7"/>
        <cfvo type="num" val="1"/>
      </iconSet>
    </cfRule>
  </conditionalFormatting>
  <conditionalFormatting sqref="N3426">
    <cfRule type="dataBar" priority="4084">
      <dataBar>
        <cfvo type="num" val="0"/>
        <cfvo type="num" val="1"/>
        <color theme="4" tint="0.79998168889431442"/>
      </dataBar>
      <extLst>
        <ext xmlns:x14="http://schemas.microsoft.com/office/spreadsheetml/2009/9/main" uri="{B025F937-C7B1-47D3-B67F-A62EFF666E3E}">
          <x14:id>{0F4C3133-2A9F-4976-9B07-E5F26C84EA36}</x14:id>
        </ext>
      </extLst>
    </cfRule>
    <cfRule type="iconSet" priority="4083">
      <iconSet iconSet="3Arrows">
        <cfvo type="percent" val="0"/>
        <cfvo type="num" val="0.7"/>
        <cfvo type="num" val="1"/>
      </iconSet>
    </cfRule>
  </conditionalFormatting>
  <conditionalFormatting sqref="N3428">
    <cfRule type="dataBar" priority="4082">
      <dataBar>
        <cfvo type="num" val="0"/>
        <cfvo type="num" val="1"/>
        <color theme="4" tint="0.79998168889431442"/>
      </dataBar>
      <extLst>
        <ext xmlns:x14="http://schemas.microsoft.com/office/spreadsheetml/2009/9/main" uri="{B025F937-C7B1-47D3-B67F-A62EFF666E3E}">
          <x14:id>{4A3ABE10-D4E0-4D33-94CA-F2628B10FFD2}</x14:id>
        </ext>
      </extLst>
    </cfRule>
    <cfRule type="iconSet" priority="4081">
      <iconSet iconSet="3Arrows">
        <cfvo type="percent" val="0"/>
        <cfvo type="num" val="0.7"/>
        <cfvo type="num" val="1"/>
      </iconSet>
    </cfRule>
  </conditionalFormatting>
  <conditionalFormatting sqref="N3430">
    <cfRule type="dataBar" priority="4080">
      <dataBar>
        <cfvo type="num" val="0"/>
        <cfvo type="num" val="1"/>
        <color theme="4" tint="0.79998168889431442"/>
      </dataBar>
      <extLst>
        <ext xmlns:x14="http://schemas.microsoft.com/office/spreadsheetml/2009/9/main" uri="{B025F937-C7B1-47D3-B67F-A62EFF666E3E}">
          <x14:id>{EFB0D395-6649-41B1-9ADA-6AB6C8A7DB44}</x14:id>
        </ext>
      </extLst>
    </cfRule>
    <cfRule type="iconSet" priority="4079">
      <iconSet iconSet="3Arrows">
        <cfvo type="percent" val="0"/>
        <cfvo type="num" val="0.7"/>
        <cfvo type="num" val="1"/>
      </iconSet>
    </cfRule>
  </conditionalFormatting>
  <conditionalFormatting sqref="N3432">
    <cfRule type="dataBar" priority="4078">
      <dataBar>
        <cfvo type="num" val="0"/>
        <cfvo type="num" val="1"/>
        <color theme="4" tint="0.79998168889431442"/>
      </dataBar>
      <extLst>
        <ext xmlns:x14="http://schemas.microsoft.com/office/spreadsheetml/2009/9/main" uri="{B025F937-C7B1-47D3-B67F-A62EFF666E3E}">
          <x14:id>{5F1B6800-F752-4A7A-8B97-1CBD97B6DEC1}</x14:id>
        </ext>
      </extLst>
    </cfRule>
    <cfRule type="iconSet" priority="4077">
      <iconSet iconSet="3Arrows">
        <cfvo type="percent" val="0"/>
        <cfvo type="num" val="0.7"/>
        <cfvo type="num" val="1"/>
      </iconSet>
    </cfRule>
  </conditionalFormatting>
  <conditionalFormatting sqref="N3434">
    <cfRule type="dataBar" priority="4076">
      <dataBar>
        <cfvo type="num" val="0"/>
        <cfvo type="num" val="1"/>
        <color theme="4" tint="0.79998168889431442"/>
      </dataBar>
      <extLst>
        <ext xmlns:x14="http://schemas.microsoft.com/office/spreadsheetml/2009/9/main" uri="{B025F937-C7B1-47D3-B67F-A62EFF666E3E}">
          <x14:id>{911C3D69-0F90-4D55-999B-7E2C5761F060}</x14:id>
        </ext>
      </extLst>
    </cfRule>
    <cfRule type="iconSet" priority="4075">
      <iconSet iconSet="3Arrows">
        <cfvo type="percent" val="0"/>
        <cfvo type="num" val="0.7"/>
        <cfvo type="num" val="1"/>
      </iconSet>
    </cfRule>
  </conditionalFormatting>
  <conditionalFormatting sqref="N3436">
    <cfRule type="dataBar" priority="4074">
      <dataBar>
        <cfvo type="num" val="0"/>
        <cfvo type="num" val="1"/>
        <color theme="4" tint="0.79998168889431442"/>
      </dataBar>
      <extLst>
        <ext xmlns:x14="http://schemas.microsoft.com/office/spreadsheetml/2009/9/main" uri="{B025F937-C7B1-47D3-B67F-A62EFF666E3E}">
          <x14:id>{21DE4DC9-90CF-4AE7-BEEA-19829C94E20D}</x14:id>
        </ext>
      </extLst>
    </cfRule>
    <cfRule type="iconSet" priority="4073">
      <iconSet iconSet="3Arrows">
        <cfvo type="percent" val="0"/>
        <cfvo type="num" val="0.7"/>
        <cfvo type="num" val="1"/>
      </iconSet>
    </cfRule>
  </conditionalFormatting>
  <conditionalFormatting sqref="N3438">
    <cfRule type="iconSet" priority="4071">
      <iconSet iconSet="3Arrows">
        <cfvo type="percent" val="0"/>
        <cfvo type="num" val="0.7"/>
        <cfvo type="num" val="1"/>
      </iconSet>
    </cfRule>
    <cfRule type="dataBar" priority="4072">
      <dataBar>
        <cfvo type="num" val="0"/>
        <cfvo type="num" val="1"/>
        <color theme="4" tint="0.79998168889431442"/>
      </dataBar>
      <extLst>
        <ext xmlns:x14="http://schemas.microsoft.com/office/spreadsheetml/2009/9/main" uri="{B025F937-C7B1-47D3-B67F-A62EFF666E3E}">
          <x14:id>{54E41ED0-D347-4CA1-8C55-7283DA24F26D}</x14:id>
        </ext>
      </extLst>
    </cfRule>
  </conditionalFormatting>
  <conditionalFormatting sqref="N3440">
    <cfRule type="iconSet" priority="4069">
      <iconSet iconSet="3Arrows">
        <cfvo type="percent" val="0"/>
        <cfvo type="num" val="0.7"/>
        <cfvo type="num" val="1"/>
      </iconSet>
    </cfRule>
    <cfRule type="dataBar" priority="4070">
      <dataBar>
        <cfvo type="num" val="0"/>
        <cfvo type="num" val="1"/>
        <color theme="4" tint="0.79998168889431442"/>
      </dataBar>
      <extLst>
        <ext xmlns:x14="http://schemas.microsoft.com/office/spreadsheetml/2009/9/main" uri="{B025F937-C7B1-47D3-B67F-A62EFF666E3E}">
          <x14:id>{3A0F997A-36DA-4282-89B9-AAA34934A139}</x14:id>
        </ext>
      </extLst>
    </cfRule>
  </conditionalFormatting>
  <conditionalFormatting sqref="N3442">
    <cfRule type="iconSet" priority="4067">
      <iconSet iconSet="3Arrows">
        <cfvo type="percent" val="0"/>
        <cfvo type="num" val="0.7"/>
        <cfvo type="num" val="1"/>
      </iconSet>
    </cfRule>
    <cfRule type="dataBar" priority="4068">
      <dataBar>
        <cfvo type="num" val="0"/>
        <cfvo type="num" val="1"/>
        <color theme="4" tint="0.79998168889431442"/>
      </dataBar>
      <extLst>
        <ext xmlns:x14="http://schemas.microsoft.com/office/spreadsheetml/2009/9/main" uri="{B025F937-C7B1-47D3-B67F-A62EFF666E3E}">
          <x14:id>{DC168280-D8B7-428D-BD1D-EDF1D7C41676}</x14:id>
        </ext>
      </extLst>
    </cfRule>
  </conditionalFormatting>
  <conditionalFormatting sqref="N3444">
    <cfRule type="dataBar" priority="4066">
      <dataBar>
        <cfvo type="num" val="0"/>
        <cfvo type="num" val="1"/>
        <color theme="4" tint="0.79998168889431442"/>
      </dataBar>
      <extLst>
        <ext xmlns:x14="http://schemas.microsoft.com/office/spreadsheetml/2009/9/main" uri="{B025F937-C7B1-47D3-B67F-A62EFF666E3E}">
          <x14:id>{F0CB2020-5879-493A-A299-2E3A4B95A55E}</x14:id>
        </ext>
      </extLst>
    </cfRule>
    <cfRule type="iconSet" priority="4065">
      <iconSet iconSet="3Arrows">
        <cfvo type="percent" val="0"/>
        <cfvo type="num" val="0.7"/>
        <cfvo type="num" val="1"/>
      </iconSet>
    </cfRule>
  </conditionalFormatting>
  <conditionalFormatting sqref="N3446">
    <cfRule type="dataBar" priority="4064">
      <dataBar>
        <cfvo type="num" val="0"/>
        <cfvo type="num" val="1"/>
        <color theme="4" tint="0.79998168889431442"/>
      </dataBar>
      <extLst>
        <ext xmlns:x14="http://schemas.microsoft.com/office/spreadsheetml/2009/9/main" uri="{B025F937-C7B1-47D3-B67F-A62EFF666E3E}">
          <x14:id>{51BEED9A-702E-4B90-9A39-97CAD7F37893}</x14:id>
        </ext>
      </extLst>
    </cfRule>
    <cfRule type="iconSet" priority="4063">
      <iconSet iconSet="3Arrows">
        <cfvo type="percent" val="0"/>
        <cfvo type="num" val="0.7"/>
        <cfvo type="num" val="1"/>
      </iconSet>
    </cfRule>
  </conditionalFormatting>
  <conditionalFormatting sqref="N3448">
    <cfRule type="dataBar" priority="4062">
      <dataBar>
        <cfvo type="num" val="0"/>
        <cfvo type="num" val="1"/>
        <color theme="4" tint="0.79998168889431442"/>
      </dataBar>
      <extLst>
        <ext xmlns:x14="http://schemas.microsoft.com/office/spreadsheetml/2009/9/main" uri="{B025F937-C7B1-47D3-B67F-A62EFF666E3E}">
          <x14:id>{163265A4-D4CD-48F8-A500-77D3DE723B8B}</x14:id>
        </ext>
      </extLst>
    </cfRule>
    <cfRule type="iconSet" priority="4061">
      <iconSet iconSet="3Arrows">
        <cfvo type="percent" val="0"/>
        <cfvo type="num" val="0.7"/>
        <cfvo type="num" val="1"/>
      </iconSet>
    </cfRule>
  </conditionalFormatting>
  <conditionalFormatting sqref="N3450">
    <cfRule type="dataBar" priority="4060">
      <dataBar>
        <cfvo type="num" val="0"/>
        <cfvo type="num" val="1"/>
        <color theme="4" tint="0.79998168889431442"/>
      </dataBar>
      <extLst>
        <ext xmlns:x14="http://schemas.microsoft.com/office/spreadsheetml/2009/9/main" uri="{B025F937-C7B1-47D3-B67F-A62EFF666E3E}">
          <x14:id>{256DDC55-E77F-4759-AAB2-AFECF17AE7B2}</x14:id>
        </ext>
      </extLst>
    </cfRule>
    <cfRule type="iconSet" priority="4059">
      <iconSet iconSet="3Arrows">
        <cfvo type="percent" val="0"/>
        <cfvo type="num" val="0.7"/>
        <cfvo type="num" val="1"/>
      </iconSet>
    </cfRule>
  </conditionalFormatting>
  <conditionalFormatting sqref="N3452">
    <cfRule type="iconSet" priority="4057">
      <iconSet iconSet="3Arrows">
        <cfvo type="percent" val="0"/>
        <cfvo type="num" val="0.7"/>
        <cfvo type="num" val="1"/>
      </iconSet>
    </cfRule>
    <cfRule type="dataBar" priority="4058">
      <dataBar>
        <cfvo type="num" val="0"/>
        <cfvo type="num" val="1"/>
        <color theme="4" tint="0.79998168889431442"/>
      </dataBar>
      <extLst>
        <ext xmlns:x14="http://schemas.microsoft.com/office/spreadsheetml/2009/9/main" uri="{B025F937-C7B1-47D3-B67F-A62EFF666E3E}">
          <x14:id>{90540C4B-274F-4CCD-8F25-312BB3B61AB6}</x14:id>
        </ext>
      </extLst>
    </cfRule>
  </conditionalFormatting>
  <conditionalFormatting sqref="N3454">
    <cfRule type="dataBar" priority="4056">
      <dataBar>
        <cfvo type="num" val="0"/>
        <cfvo type="num" val="1"/>
        <color theme="4" tint="0.79998168889431442"/>
      </dataBar>
      <extLst>
        <ext xmlns:x14="http://schemas.microsoft.com/office/spreadsheetml/2009/9/main" uri="{B025F937-C7B1-47D3-B67F-A62EFF666E3E}">
          <x14:id>{F40E9DA9-81AC-4D30-8ECB-FD824811CE7D}</x14:id>
        </ext>
      </extLst>
    </cfRule>
    <cfRule type="iconSet" priority="4055">
      <iconSet iconSet="3Arrows">
        <cfvo type="percent" val="0"/>
        <cfvo type="num" val="0.7"/>
        <cfvo type="num" val="1"/>
      </iconSet>
    </cfRule>
  </conditionalFormatting>
  <conditionalFormatting sqref="N3456">
    <cfRule type="dataBar" priority="4054">
      <dataBar>
        <cfvo type="num" val="0"/>
        <cfvo type="num" val="1"/>
        <color theme="4" tint="0.79998168889431442"/>
      </dataBar>
      <extLst>
        <ext xmlns:x14="http://schemas.microsoft.com/office/spreadsheetml/2009/9/main" uri="{B025F937-C7B1-47D3-B67F-A62EFF666E3E}">
          <x14:id>{2D9C77DB-0CB1-4EC6-88CA-E91F0256AA39}</x14:id>
        </ext>
      </extLst>
    </cfRule>
    <cfRule type="iconSet" priority="4053">
      <iconSet iconSet="3Arrows">
        <cfvo type="percent" val="0"/>
        <cfvo type="num" val="0.7"/>
        <cfvo type="num" val="1"/>
      </iconSet>
    </cfRule>
  </conditionalFormatting>
  <conditionalFormatting sqref="N3458">
    <cfRule type="iconSet" priority="4051">
      <iconSet iconSet="3Arrows">
        <cfvo type="percent" val="0"/>
        <cfvo type="num" val="0.7"/>
        <cfvo type="num" val="1"/>
      </iconSet>
    </cfRule>
    <cfRule type="dataBar" priority="4052">
      <dataBar>
        <cfvo type="num" val="0"/>
        <cfvo type="num" val="1"/>
        <color theme="4" tint="0.79998168889431442"/>
      </dataBar>
      <extLst>
        <ext xmlns:x14="http://schemas.microsoft.com/office/spreadsheetml/2009/9/main" uri="{B025F937-C7B1-47D3-B67F-A62EFF666E3E}">
          <x14:id>{BE3D85CB-C362-4A99-8F52-9E01A7B5363C}</x14:id>
        </ext>
      </extLst>
    </cfRule>
  </conditionalFormatting>
  <conditionalFormatting sqref="N3460">
    <cfRule type="dataBar" priority="4050">
      <dataBar>
        <cfvo type="num" val="0"/>
        <cfvo type="num" val="1"/>
        <color theme="4" tint="0.79998168889431442"/>
      </dataBar>
      <extLst>
        <ext xmlns:x14="http://schemas.microsoft.com/office/spreadsheetml/2009/9/main" uri="{B025F937-C7B1-47D3-B67F-A62EFF666E3E}">
          <x14:id>{D9CD2BFE-3BFC-4CEF-A3BE-7B6F916038BC}</x14:id>
        </ext>
      </extLst>
    </cfRule>
    <cfRule type="iconSet" priority="4049">
      <iconSet iconSet="3Arrows">
        <cfvo type="percent" val="0"/>
        <cfvo type="num" val="0.7"/>
        <cfvo type="num" val="1"/>
      </iconSet>
    </cfRule>
  </conditionalFormatting>
  <conditionalFormatting sqref="N3462">
    <cfRule type="dataBar" priority="4048">
      <dataBar>
        <cfvo type="num" val="0"/>
        <cfvo type="num" val="1"/>
        <color theme="4" tint="0.79998168889431442"/>
      </dataBar>
      <extLst>
        <ext xmlns:x14="http://schemas.microsoft.com/office/spreadsheetml/2009/9/main" uri="{B025F937-C7B1-47D3-B67F-A62EFF666E3E}">
          <x14:id>{380D7376-B129-42AD-9B62-59DE75F62A7D}</x14:id>
        </ext>
      </extLst>
    </cfRule>
    <cfRule type="iconSet" priority="4047">
      <iconSet iconSet="3Arrows">
        <cfvo type="percent" val="0"/>
        <cfvo type="num" val="0.7"/>
        <cfvo type="num" val="1"/>
      </iconSet>
    </cfRule>
  </conditionalFormatting>
  <conditionalFormatting sqref="N3464">
    <cfRule type="iconSet" priority="4045">
      <iconSet iconSet="3Arrows">
        <cfvo type="percent" val="0"/>
        <cfvo type="num" val="0.7"/>
        <cfvo type="num" val="1"/>
      </iconSet>
    </cfRule>
    <cfRule type="dataBar" priority="4046">
      <dataBar>
        <cfvo type="num" val="0"/>
        <cfvo type="num" val="1"/>
        <color theme="4" tint="0.79998168889431442"/>
      </dataBar>
      <extLst>
        <ext xmlns:x14="http://schemas.microsoft.com/office/spreadsheetml/2009/9/main" uri="{B025F937-C7B1-47D3-B67F-A62EFF666E3E}">
          <x14:id>{AAD338E2-BD38-473F-A63F-E1035FD82033}</x14:id>
        </ext>
      </extLst>
    </cfRule>
  </conditionalFormatting>
  <conditionalFormatting sqref="N3466">
    <cfRule type="iconSet" priority="4043">
      <iconSet iconSet="3Arrows">
        <cfvo type="percent" val="0"/>
        <cfvo type="num" val="0.7"/>
        <cfvo type="num" val="1"/>
      </iconSet>
    </cfRule>
    <cfRule type="dataBar" priority="4044">
      <dataBar>
        <cfvo type="num" val="0"/>
        <cfvo type="num" val="1"/>
        <color theme="4" tint="0.79998168889431442"/>
      </dataBar>
      <extLst>
        <ext xmlns:x14="http://schemas.microsoft.com/office/spreadsheetml/2009/9/main" uri="{B025F937-C7B1-47D3-B67F-A62EFF666E3E}">
          <x14:id>{AC534A59-1F1C-4282-BB65-2B07E70DA231}</x14:id>
        </ext>
      </extLst>
    </cfRule>
  </conditionalFormatting>
  <conditionalFormatting sqref="N3468">
    <cfRule type="dataBar" priority="4042">
      <dataBar>
        <cfvo type="num" val="0"/>
        <cfvo type="num" val="1"/>
        <color theme="4" tint="0.79998168889431442"/>
      </dataBar>
      <extLst>
        <ext xmlns:x14="http://schemas.microsoft.com/office/spreadsheetml/2009/9/main" uri="{B025F937-C7B1-47D3-B67F-A62EFF666E3E}">
          <x14:id>{ACD5A81A-1769-4471-B93B-6BD7332E671D}</x14:id>
        </ext>
      </extLst>
    </cfRule>
    <cfRule type="iconSet" priority="4041">
      <iconSet iconSet="3Arrows">
        <cfvo type="percent" val="0"/>
        <cfvo type="num" val="0.7"/>
        <cfvo type="num" val="1"/>
      </iconSet>
    </cfRule>
  </conditionalFormatting>
  <conditionalFormatting sqref="N3470">
    <cfRule type="dataBar" priority="4040">
      <dataBar>
        <cfvo type="num" val="0"/>
        <cfvo type="num" val="1"/>
        <color theme="4" tint="0.79998168889431442"/>
      </dataBar>
      <extLst>
        <ext xmlns:x14="http://schemas.microsoft.com/office/spreadsheetml/2009/9/main" uri="{B025F937-C7B1-47D3-B67F-A62EFF666E3E}">
          <x14:id>{8289F317-C5FB-47BC-8B38-11227E8112B7}</x14:id>
        </ext>
      </extLst>
    </cfRule>
    <cfRule type="iconSet" priority="4039">
      <iconSet iconSet="3Arrows">
        <cfvo type="percent" val="0"/>
        <cfvo type="num" val="0.7"/>
        <cfvo type="num" val="1"/>
      </iconSet>
    </cfRule>
  </conditionalFormatting>
  <conditionalFormatting sqref="N3472">
    <cfRule type="dataBar" priority="4038">
      <dataBar>
        <cfvo type="num" val="0"/>
        <cfvo type="num" val="1"/>
        <color theme="4" tint="0.79998168889431442"/>
      </dataBar>
      <extLst>
        <ext xmlns:x14="http://schemas.microsoft.com/office/spreadsheetml/2009/9/main" uri="{B025F937-C7B1-47D3-B67F-A62EFF666E3E}">
          <x14:id>{CE9AC391-E53B-45D1-8794-F8F5EFF89A3F}</x14:id>
        </ext>
      </extLst>
    </cfRule>
    <cfRule type="iconSet" priority="4037">
      <iconSet iconSet="3Arrows">
        <cfvo type="percent" val="0"/>
        <cfvo type="num" val="0.7"/>
        <cfvo type="num" val="1"/>
      </iconSet>
    </cfRule>
  </conditionalFormatting>
  <conditionalFormatting sqref="N3474">
    <cfRule type="dataBar" priority="4036">
      <dataBar>
        <cfvo type="num" val="0"/>
        <cfvo type="num" val="1"/>
        <color theme="4" tint="0.79998168889431442"/>
      </dataBar>
      <extLst>
        <ext xmlns:x14="http://schemas.microsoft.com/office/spreadsheetml/2009/9/main" uri="{B025F937-C7B1-47D3-B67F-A62EFF666E3E}">
          <x14:id>{FC2FCD47-0E18-4795-BA31-7A5AF6A2DC80}</x14:id>
        </ext>
      </extLst>
    </cfRule>
    <cfRule type="iconSet" priority="4035">
      <iconSet iconSet="3Arrows">
        <cfvo type="percent" val="0"/>
        <cfvo type="num" val="0.7"/>
        <cfvo type="num" val="1"/>
      </iconSet>
    </cfRule>
  </conditionalFormatting>
  <conditionalFormatting sqref="N3476">
    <cfRule type="dataBar" priority="4034">
      <dataBar>
        <cfvo type="num" val="0"/>
        <cfvo type="num" val="1"/>
        <color theme="4" tint="0.79998168889431442"/>
      </dataBar>
      <extLst>
        <ext xmlns:x14="http://schemas.microsoft.com/office/spreadsheetml/2009/9/main" uri="{B025F937-C7B1-47D3-B67F-A62EFF666E3E}">
          <x14:id>{0AA2BCBB-BC62-4ED1-BEC4-099E40398DAE}</x14:id>
        </ext>
      </extLst>
    </cfRule>
    <cfRule type="iconSet" priority="4033">
      <iconSet iconSet="3Arrows">
        <cfvo type="percent" val="0"/>
        <cfvo type="num" val="0.7"/>
        <cfvo type="num" val="1"/>
      </iconSet>
    </cfRule>
  </conditionalFormatting>
  <conditionalFormatting sqref="N3478">
    <cfRule type="dataBar" priority="4032">
      <dataBar>
        <cfvo type="num" val="0"/>
        <cfvo type="num" val="1"/>
        <color theme="4" tint="0.79998168889431442"/>
      </dataBar>
      <extLst>
        <ext xmlns:x14="http://schemas.microsoft.com/office/spreadsheetml/2009/9/main" uri="{B025F937-C7B1-47D3-B67F-A62EFF666E3E}">
          <x14:id>{5F0BFC11-D4D7-459F-A40E-7F9CF770D25D}</x14:id>
        </ext>
      </extLst>
    </cfRule>
    <cfRule type="iconSet" priority="4031">
      <iconSet iconSet="3Arrows">
        <cfvo type="percent" val="0"/>
        <cfvo type="num" val="0.7"/>
        <cfvo type="num" val="1"/>
      </iconSet>
    </cfRule>
  </conditionalFormatting>
  <conditionalFormatting sqref="N3480">
    <cfRule type="dataBar" priority="4030">
      <dataBar>
        <cfvo type="num" val="0"/>
        <cfvo type="num" val="1"/>
        <color theme="4" tint="0.79998168889431442"/>
      </dataBar>
      <extLst>
        <ext xmlns:x14="http://schemas.microsoft.com/office/spreadsheetml/2009/9/main" uri="{B025F937-C7B1-47D3-B67F-A62EFF666E3E}">
          <x14:id>{63CF2E81-1511-454E-973C-25755327B625}</x14:id>
        </ext>
      </extLst>
    </cfRule>
    <cfRule type="iconSet" priority="4029">
      <iconSet iconSet="3Arrows">
        <cfvo type="percent" val="0"/>
        <cfvo type="num" val="0.7"/>
        <cfvo type="num" val="1"/>
      </iconSet>
    </cfRule>
  </conditionalFormatting>
  <conditionalFormatting sqref="N3482">
    <cfRule type="dataBar" priority="4028">
      <dataBar>
        <cfvo type="num" val="0"/>
        <cfvo type="num" val="1"/>
        <color theme="4" tint="0.79998168889431442"/>
      </dataBar>
      <extLst>
        <ext xmlns:x14="http://schemas.microsoft.com/office/spreadsheetml/2009/9/main" uri="{B025F937-C7B1-47D3-B67F-A62EFF666E3E}">
          <x14:id>{30C02063-6AAC-43E2-A48B-45097ED13387}</x14:id>
        </ext>
      </extLst>
    </cfRule>
    <cfRule type="iconSet" priority="4027">
      <iconSet iconSet="3Arrows">
        <cfvo type="percent" val="0"/>
        <cfvo type="num" val="0.7"/>
        <cfvo type="num" val="1"/>
      </iconSet>
    </cfRule>
  </conditionalFormatting>
  <conditionalFormatting sqref="N3484">
    <cfRule type="dataBar" priority="4026">
      <dataBar>
        <cfvo type="num" val="0"/>
        <cfvo type="num" val="1"/>
        <color theme="4" tint="0.79998168889431442"/>
      </dataBar>
      <extLst>
        <ext xmlns:x14="http://schemas.microsoft.com/office/spreadsheetml/2009/9/main" uri="{B025F937-C7B1-47D3-B67F-A62EFF666E3E}">
          <x14:id>{7783A9EA-A41D-4C77-8BF8-BD111CC0AA1B}</x14:id>
        </ext>
      </extLst>
    </cfRule>
    <cfRule type="iconSet" priority="4025">
      <iconSet iconSet="3Arrows">
        <cfvo type="percent" val="0"/>
        <cfvo type="num" val="0.7"/>
        <cfvo type="num" val="1"/>
      </iconSet>
    </cfRule>
  </conditionalFormatting>
  <conditionalFormatting sqref="N3486">
    <cfRule type="dataBar" priority="4024">
      <dataBar>
        <cfvo type="num" val="0"/>
        <cfvo type="num" val="1"/>
        <color theme="4" tint="0.79998168889431442"/>
      </dataBar>
      <extLst>
        <ext xmlns:x14="http://schemas.microsoft.com/office/spreadsheetml/2009/9/main" uri="{B025F937-C7B1-47D3-B67F-A62EFF666E3E}">
          <x14:id>{7A77B74D-4837-4EE7-9DE9-F91C57977330}</x14:id>
        </ext>
      </extLst>
    </cfRule>
    <cfRule type="iconSet" priority="4023">
      <iconSet iconSet="3Arrows">
        <cfvo type="percent" val="0"/>
        <cfvo type="num" val="0.7"/>
        <cfvo type="num" val="1"/>
      </iconSet>
    </cfRule>
  </conditionalFormatting>
  <conditionalFormatting sqref="N3489">
    <cfRule type="dataBar" priority="4022">
      <dataBar>
        <cfvo type="num" val="0"/>
        <cfvo type="num" val="1"/>
        <color theme="4" tint="0.79998168889431442"/>
      </dataBar>
      <extLst>
        <ext xmlns:x14="http://schemas.microsoft.com/office/spreadsheetml/2009/9/main" uri="{B025F937-C7B1-47D3-B67F-A62EFF666E3E}">
          <x14:id>{F370EAB3-6A36-4449-9EBB-58B7FF39F11B}</x14:id>
        </ext>
      </extLst>
    </cfRule>
    <cfRule type="iconSet" priority="4021">
      <iconSet iconSet="3Arrows">
        <cfvo type="percent" val="0"/>
        <cfvo type="num" val="0.7"/>
        <cfvo type="num" val="1"/>
      </iconSet>
    </cfRule>
  </conditionalFormatting>
  <conditionalFormatting sqref="N3491">
    <cfRule type="dataBar" priority="4020">
      <dataBar>
        <cfvo type="num" val="0"/>
        <cfvo type="num" val="1"/>
        <color theme="4" tint="0.79998168889431442"/>
      </dataBar>
      <extLst>
        <ext xmlns:x14="http://schemas.microsoft.com/office/spreadsheetml/2009/9/main" uri="{B025F937-C7B1-47D3-B67F-A62EFF666E3E}">
          <x14:id>{0F8DDE25-4183-4902-80AC-AF45938C0A47}</x14:id>
        </ext>
      </extLst>
    </cfRule>
    <cfRule type="iconSet" priority="4019">
      <iconSet iconSet="3Arrows">
        <cfvo type="percent" val="0"/>
        <cfvo type="num" val="0.7"/>
        <cfvo type="num" val="1"/>
      </iconSet>
    </cfRule>
  </conditionalFormatting>
  <conditionalFormatting sqref="N3493">
    <cfRule type="iconSet" priority="4017">
      <iconSet iconSet="3Arrows">
        <cfvo type="percent" val="0"/>
        <cfvo type="num" val="0.7"/>
        <cfvo type="num" val="1"/>
      </iconSet>
    </cfRule>
    <cfRule type="dataBar" priority="4018">
      <dataBar>
        <cfvo type="num" val="0"/>
        <cfvo type="num" val="1"/>
        <color theme="4" tint="0.79998168889431442"/>
      </dataBar>
      <extLst>
        <ext xmlns:x14="http://schemas.microsoft.com/office/spreadsheetml/2009/9/main" uri="{B025F937-C7B1-47D3-B67F-A62EFF666E3E}">
          <x14:id>{FAB1796B-AD5E-4E64-A3C0-7C7791C291AE}</x14:id>
        </ext>
      </extLst>
    </cfRule>
  </conditionalFormatting>
  <conditionalFormatting sqref="N3495">
    <cfRule type="iconSet" priority="4015">
      <iconSet iconSet="3Arrows">
        <cfvo type="percent" val="0"/>
        <cfvo type="num" val="0.7"/>
        <cfvo type="num" val="1"/>
      </iconSet>
    </cfRule>
    <cfRule type="dataBar" priority="4016">
      <dataBar>
        <cfvo type="num" val="0"/>
        <cfvo type="num" val="1"/>
        <color theme="4" tint="0.79998168889431442"/>
      </dataBar>
      <extLst>
        <ext xmlns:x14="http://schemas.microsoft.com/office/spreadsheetml/2009/9/main" uri="{B025F937-C7B1-47D3-B67F-A62EFF666E3E}">
          <x14:id>{945D7BFB-D71E-45C3-B27B-BD85BA08A24D}</x14:id>
        </ext>
      </extLst>
    </cfRule>
  </conditionalFormatting>
  <conditionalFormatting sqref="N3497">
    <cfRule type="dataBar" priority="4014">
      <dataBar>
        <cfvo type="num" val="0"/>
        <cfvo type="num" val="1"/>
        <color theme="4" tint="0.79998168889431442"/>
      </dataBar>
      <extLst>
        <ext xmlns:x14="http://schemas.microsoft.com/office/spreadsheetml/2009/9/main" uri="{B025F937-C7B1-47D3-B67F-A62EFF666E3E}">
          <x14:id>{F5BF54BC-CA60-4F84-943E-4A2D098EA09A}</x14:id>
        </ext>
      </extLst>
    </cfRule>
    <cfRule type="iconSet" priority="4013">
      <iconSet iconSet="3Arrows">
        <cfvo type="percent" val="0"/>
        <cfvo type="num" val="0.7"/>
        <cfvo type="num" val="1"/>
      </iconSet>
    </cfRule>
  </conditionalFormatting>
  <conditionalFormatting sqref="N3499">
    <cfRule type="dataBar" priority="4012">
      <dataBar>
        <cfvo type="num" val="0"/>
        <cfvo type="num" val="1"/>
        <color theme="4" tint="0.79998168889431442"/>
      </dataBar>
      <extLst>
        <ext xmlns:x14="http://schemas.microsoft.com/office/spreadsheetml/2009/9/main" uri="{B025F937-C7B1-47D3-B67F-A62EFF666E3E}">
          <x14:id>{3F7BA65E-C919-49F3-8D0D-1E00F10231F3}</x14:id>
        </ext>
      </extLst>
    </cfRule>
    <cfRule type="iconSet" priority="4011">
      <iconSet iconSet="3Arrows">
        <cfvo type="percent" val="0"/>
        <cfvo type="num" val="0.7"/>
        <cfvo type="num" val="1"/>
      </iconSet>
    </cfRule>
  </conditionalFormatting>
  <conditionalFormatting sqref="N3503">
    <cfRule type="dataBar" priority="4010">
      <dataBar>
        <cfvo type="num" val="0"/>
        <cfvo type="num" val="1"/>
        <color theme="4" tint="0.79998168889431442"/>
      </dataBar>
      <extLst>
        <ext xmlns:x14="http://schemas.microsoft.com/office/spreadsheetml/2009/9/main" uri="{B025F937-C7B1-47D3-B67F-A62EFF666E3E}">
          <x14:id>{B5AF450D-D1F5-44A0-8C4F-46BFBB3D63BB}</x14:id>
        </ext>
      </extLst>
    </cfRule>
    <cfRule type="iconSet" priority="4009">
      <iconSet iconSet="3Arrows">
        <cfvo type="percent" val="0"/>
        <cfvo type="num" val="0.7"/>
        <cfvo type="num" val="1"/>
      </iconSet>
    </cfRule>
  </conditionalFormatting>
  <conditionalFormatting sqref="N3506">
    <cfRule type="dataBar" priority="4008">
      <dataBar>
        <cfvo type="num" val="0"/>
        <cfvo type="num" val="1"/>
        <color theme="4" tint="0.79998168889431442"/>
      </dataBar>
      <extLst>
        <ext xmlns:x14="http://schemas.microsoft.com/office/spreadsheetml/2009/9/main" uri="{B025F937-C7B1-47D3-B67F-A62EFF666E3E}">
          <x14:id>{D5D5AD04-FDD4-4911-A002-DC59852795BD}</x14:id>
        </ext>
      </extLst>
    </cfRule>
    <cfRule type="iconSet" priority="4007">
      <iconSet iconSet="3Arrows">
        <cfvo type="percent" val="0"/>
        <cfvo type="num" val="0.7"/>
        <cfvo type="num" val="1"/>
      </iconSet>
    </cfRule>
  </conditionalFormatting>
  <conditionalFormatting sqref="N3508">
    <cfRule type="dataBar" priority="4006">
      <dataBar>
        <cfvo type="num" val="0"/>
        <cfvo type="num" val="1"/>
        <color theme="4" tint="0.79998168889431442"/>
      </dataBar>
      <extLst>
        <ext xmlns:x14="http://schemas.microsoft.com/office/spreadsheetml/2009/9/main" uri="{B025F937-C7B1-47D3-B67F-A62EFF666E3E}">
          <x14:id>{2253B8DB-3BB2-4DAC-8BA3-4D7F441A6542}</x14:id>
        </ext>
      </extLst>
    </cfRule>
    <cfRule type="iconSet" priority="4005">
      <iconSet iconSet="3Arrows">
        <cfvo type="percent" val="0"/>
        <cfvo type="num" val="0.7"/>
        <cfvo type="num" val="1"/>
      </iconSet>
    </cfRule>
  </conditionalFormatting>
  <conditionalFormatting sqref="N3510">
    <cfRule type="iconSet" priority="4003">
      <iconSet iconSet="3Arrows">
        <cfvo type="percent" val="0"/>
        <cfvo type="num" val="0.7"/>
        <cfvo type="num" val="1"/>
      </iconSet>
    </cfRule>
    <cfRule type="dataBar" priority="4004">
      <dataBar>
        <cfvo type="num" val="0"/>
        <cfvo type="num" val="1"/>
        <color theme="4" tint="0.79998168889431442"/>
      </dataBar>
      <extLst>
        <ext xmlns:x14="http://schemas.microsoft.com/office/spreadsheetml/2009/9/main" uri="{B025F937-C7B1-47D3-B67F-A62EFF666E3E}">
          <x14:id>{472A0FBB-8384-4230-A7CE-E80D2B9EF376}</x14:id>
        </ext>
      </extLst>
    </cfRule>
  </conditionalFormatting>
  <conditionalFormatting sqref="N3512">
    <cfRule type="dataBar" priority="4002">
      <dataBar>
        <cfvo type="num" val="0"/>
        <cfvo type="num" val="1"/>
        <color theme="4" tint="0.79998168889431442"/>
      </dataBar>
      <extLst>
        <ext xmlns:x14="http://schemas.microsoft.com/office/spreadsheetml/2009/9/main" uri="{B025F937-C7B1-47D3-B67F-A62EFF666E3E}">
          <x14:id>{1381F361-82D0-41D1-B56F-6707750DBC3C}</x14:id>
        </ext>
      </extLst>
    </cfRule>
    <cfRule type="iconSet" priority="4001">
      <iconSet iconSet="3Arrows">
        <cfvo type="percent" val="0"/>
        <cfvo type="num" val="0.7"/>
        <cfvo type="num" val="1"/>
      </iconSet>
    </cfRule>
  </conditionalFormatting>
  <conditionalFormatting sqref="N3514">
    <cfRule type="dataBar" priority="4000">
      <dataBar>
        <cfvo type="num" val="0"/>
        <cfvo type="num" val="1"/>
        <color theme="4" tint="0.79998168889431442"/>
      </dataBar>
      <extLst>
        <ext xmlns:x14="http://schemas.microsoft.com/office/spreadsheetml/2009/9/main" uri="{B025F937-C7B1-47D3-B67F-A62EFF666E3E}">
          <x14:id>{98E07F77-02B7-45F2-A86E-19E57910C711}</x14:id>
        </ext>
      </extLst>
    </cfRule>
    <cfRule type="iconSet" priority="3999">
      <iconSet iconSet="3Arrows">
        <cfvo type="percent" val="0"/>
        <cfvo type="num" val="0.7"/>
        <cfvo type="num" val="1"/>
      </iconSet>
    </cfRule>
  </conditionalFormatting>
  <conditionalFormatting sqref="O1450:Q1451">
    <cfRule type="cellIs" dxfId="1287" priority="3998" operator="equal">
      <formula>0</formula>
    </cfRule>
  </conditionalFormatting>
  <conditionalFormatting sqref="P3387">
    <cfRule type="expression" dxfId="1286" priority="3997">
      <formula>AND($O3387="R",P3387&gt;0)</formula>
    </cfRule>
  </conditionalFormatting>
  <conditionalFormatting sqref="P3440">
    <cfRule type="expression" dxfId="1285" priority="3996">
      <formula>AND($O3440="P",P3440&gt;0)</formula>
    </cfRule>
    <cfRule type="expression" dxfId="1284" priority="3995">
      <formula>AND($O3440="R",P3440&gt;0)</formula>
    </cfRule>
    <cfRule type="expression" dxfId="1283" priority="3994">
      <formula>AND($O3440="P",P3440&gt;0)</formula>
    </cfRule>
    <cfRule type="expression" dxfId="1282" priority="3993">
      <formula>AND($O3440="R",P3440&gt;0)</formula>
    </cfRule>
  </conditionalFormatting>
  <conditionalFormatting sqref="P3442">
    <cfRule type="expression" dxfId="1281" priority="3991">
      <formula>AND($O3442="R",P3442&gt;0)</formula>
    </cfRule>
    <cfRule type="expression" dxfId="1280" priority="3990">
      <formula>AND($O3442="P",P3442&gt;0)</formula>
    </cfRule>
    <cfRule type="expression" dxfId="1279" priority="3989">
      <formula>AND($O3442="R",P3442&gt;0)</formula>
    </cfRule>
    <cfRule type="expression" dxfId="1278" priority="3992">
      <formula>AND($O3442="P",P3442&gt;0)</formula>
    </cfRule>
  </conditionalFormatting>
  <conditionalFormatting sqref="P3444">
    <cfRule type="expression" dxfId="1277" priority="3987">
      <formula>AND($O3444="R",P3444&gt;0)</formula>
    </cfRule>
    <cfRule type="expression" dxfId="1276" priority="3986">
      <formula>AND($O3444="P",P3444&gt;0)</formula>
    </cfRule>
    <cfRule type="expression" dxfId="1275" priority="3985">
      <formula>AND($O3444="R",P3444&gt;0)</formula>
    </cfRule>
    <cfRule type="expression" dxfId="1274" priority="3988">
      <formula>AND($O3444="P",P3444&gt;0)</formula>
    </cfRule>
  </conditionalFormatting>
  <conditionalFormatting sqref="P3446">
    <cfRule type="expression" dxfId="1273" priority="3984">
      <formula>AND($O3446="P",P3446&gt;0)</formula>
    </cfRule>
    <cfRule type="expression" dxfId="1272" priority="3983">
      <formula>AND($O3446="R",P3446&gt;0)</formula>
    </cfRule>
    <cfRule type="expression" dxfId="1271" priority="3982">
      <formula>AND($O3446="P",P3446&gt;0)</formula>
    </cfRule>
    <cfRule type="expression" dxfId="1270" priority="3981">
      <formula>AND($O3446="R",P3446&gt;0)</formula>
    </cfRule>
  </conditionalFormatting>
  <conditionalFormatting sqref="P3448">
    <cfRule type="expression" dxfId="1269" priority="3980">
      <formula>AND($O3448="P",P3448&gt;0)</formula>
    </cfRule>
    <cfRule type="expression" dxfId="1268" priority="3979">
      <formula>AND($O3448="R",P3448&gt;0)</formula>
    </cfRule>
    <cfRule type="expression" dxfId="1267" priority="3978">
      <formula>AND($O3448="P",P3448&gt;0)</formula>
    </cfRule>
    <cfRule type="expression" dxfId="1266" priority="3977">
      <formula>AND($O3448="R",P3448&gt;0)</formula>
    </cfRule>
  </conditionalFormatting>
  <conditionalFormatting sqref="P3450">
    <cfRule type="expression" dxfId="1265" priority="3976">
      <formula>AND($O3450="P",P3450&gt;0)</formula>
    </cfRule>
    <cfRule type="expression" dxfId="1264" priority="3975">
      <formula>AND($O3450="R",P3450&gt;0)</formula>
    </cfRule>
    <cfRule type="expression" dxfId="1263" priority="3974">
      <formula>AND($O3450="P",P3450&gt;0)</formula>
    </cfRule>
    <cfRule type="expression" dxfId="1262" priority="3973">
      <formula>AND($O3450="R",P3450&gt;0)</formula>
    </cfRule>
  </conditionalFormatting>
  <conditionalFormatting sqref="P3450:P3487 Q3475:V3475">
    <cfRule type="cellIs" dxfId="1261" priority="3972" operator="equal">
      <formula>0</formula>
    </cfRule>
  </conditionalFormatting>
  <conditionalFormatting sqref="P3387:Q3387">
    <cfRule type="expression" dxfId="1260" priority="3971">
      <formula>AND($O3387="P",P3387&gt;0)</formula>
    </cfRule>
    <cfRule type="expression" dxfId="1259" priority="3970">
      <formula>AND($O3387="R",P3387&gt;0)</formula>
    </cfRule>
    <cfRule type="expression" dxfId="1258" priority="3969">
      <formula>AND($O3387="P",P3387&gt;0)</formula>
    </cfRule>
  </conditionalFormatting>
  <conditionalFormatting sqref="P3389:Q3389">
    <cfRule type="expression" dxfId="1257" priority="3968">
      <formula>AND($O3389="P",P3389&gt;0)</formula>
    </cfRule>
    <cfRule type="expression" dxfId="1256" priority="3967">
      <formula>AND($O3389="R",P3389&gt;0)</formula>
    </cfRule>
  </conditionalFormatting>
  <conditionalFormatting sqref="P3391:Q3391">
    <cfRule type="expression" dxfId="1255" priority="3966">
      <formula>AND($O3391="P",P3391&gt;0)</formula>
    </cfRule>
  </conditionalFormatting>
  <conditionalFormatting sqref="P3393:Q3393">
    <cfRule type="expression" dxfId="1254" priority="3964">
      <formula>AND($O3393="P",P3393&gt;0)</formula>
    </cfRule>
  </conditionalFormatting>
  <conditionalFormatting sqref="P3383:R3383">
    <cfRule type="expression" dxfId="1253" priority="3961">
      <formula>AND($O3383="P",P3383&gt;0)</formula>
    </cfRule>
  </conditionalFormatting>
  <conditionalFormatting sqref="P3387:R3387">
    <cfRule type="expression" dxfId="1252" priority="3960">
      <formula>AND($O3387="R",P3387&gt;0)</formula>
    </cfRule>
  </conditionalFormatting>
  <conditionalFormatting sqref="P3391:R3391">
    <cfRule type="expression" dxfId="1251" priority="3959">
      <formula>AND($O3391="R",P3391&gt;0)</formula>
    </cfRule>
  </conditionalFormatting>
  <conditionalFormatting sqref="P3393:R3393">
    <cfRule type="expression" dxfId="1250" priority="3958">
      <formula>AND($O3393="R",P3393&gt;0)</formula>
    </cfRule>
  </conditionalFormatting>
  <conditionalFormatting sqref="P3452:R3452">
    <cfRule type="expression" dxfId="1249" priority="3957">
      <formula>AND($O3452="P",P3452&gt;0)</formula>
    </cfRule>
    <cfRule type="expression" dxfId="1248" priority="3956">
      <formula>AND($O3452="R",P3452&gt;0)</formula>
    </cfRule>
  </conditionalFormatting>
  <conditionalFormatting sqref="P3454:R3454">
    <cfRule type="expression" dxfId="1247" priority="3955">
      <formula>AND($O3454="P",P3454&gt;0)</formula>
    </cfRule>
    <cfRule type="expression" dxfId="1246" priority="3954">
      <formula>AND($O3454="R",P3454&gt;0)</formula>
    </cfRule>
  </conditionalFormatting>
  <conditionalFormatting sqref="P3456:R3456">
    <cfRule type="expression" dxfId="1245" priority="3953">
      <formula>AND($O3456="P",P3456&gt;0)</formula>
    </cfRule>
    <cfRule type="expression" dxfId="1244" priority="3952">
      <formula>AND($O3456="R",P3456&gt;0)</formula>
    </cfRule>
  </conditionalFormatting>
  <conditionalFormatting sqref="P3458:R3458 V3458 P3459:V3459">
    <cfRule type="cellIs" dxfId="1243" priority="3951" operator="equal">
      <formula>0</formula>
    </cfRule>
  </conditionalFormatting>
  <conditionalFormatting sqref="P3464:R3464">
    <cfRule type="expression" dxfId="1242" priority="3950">
      <formula>AND($O3464="P",P3464&gt;0)</formula>
    </cfRule>
    <cfRule type="expression" dxfId="1241" priority="3949">
      <formula>AND($O3464="R",P3464&gt;0)</formula>
    </cfRule>
  </conditionalFormatting>
  <conditionalFormatting sqref="P3466:R3466">
    <cfRule type="expression" dxfId="1240" priority="3948">
      <formula>AND($O3466="P",P3466&gt;0)</formula>
    </cfRule>
    <cfRule type="expression" dxfId="1239" priority="3947">
      <formula>AND($O3466="R",P3466&gt;0)</formula>
    </cfRule>
  </conditionalFormatting>
  <conditionalFormatting sqref="P3468:R3468 V3468 P3469:V3469">
    <cfRule type="cellIs" dxfId="1238" priority="3946" operator="equal">
      <formula>0</formula>
    </cfRule>
  </conditionalFormatting>
  <conditionalFormatting sqref="P3476:R3476">
    <cfRule type="expression" dxfId="1237" priority="3945">
      <formula>AND($O3476="P",P3476&gt;0)</formula>
    </cfRule>
    <cfRule type="expression" dxfId="1236" priority="3944">
      <formula>AND($O3476="R",P3476&gt;0)</formula>
    </cfRule>
  </conditionalFormatting>
  <conditionalFormatting sqref="P3478:R3478">
    <cfRule type="expression" dxfId="1235" priority="3943">
      <formula>AND($O3478="P",P3478&gt;0)</formula>
    </cfRule>
    <cfRule type="expression" dxfId="1234" priority="3942">
      <formula>AND($O3478="R",P3478&gt;0)</formula>
    </cfRule>
  </conditionalFormatting>
  <conditionalFormatting sqref="P3480:R3480">
    <cfRule type="expression" dxfId="1233" priority="3940">
      <formula>AND($O3480="R",P3480&gt;0)</formula>
    </cfRule>
    <cfRule type="expression" dxfId="1232" priority="3941">
      <formula>AND($O3480="P",P3480&gt;0)</formula>
    </cfRule>
  </conditionalFormatting>
  <conditionalFormatting sqref="P3385:S3385">
    <cfRule type="expression" dxfId="1231" priority="3938">
      <formula>AND($O3385="P",P3385&gt;0)</formula>
    </cfRule>
    <cfRule type="expression" dxfId="1230" priority="3937">
      <formula>AND($O3385="R",P3385&gt;0)</formula>
    </cfRule>
    <cfRule type="expression" dxfId="1229" priority="3939">
      <formula>AND($O3385="R",P3385&gt;0)</formula>
    </cfRule>
  </conditionalFormatting>
  <conditionalFormatting sqref="P3387:S3387">
    <cfRule type="expression" dxfId="1228" priority="3936">
      <formula>AND($O3387="P",P3387&gt;0)</formula>
    </cfRule>
  </conditionalFormatting>
  <conditionalFormatting sqref="P3391:S3391">
    <cfRule type="expression" dxfId="1227" priority="3933">
      <formula>AND($O3391="P",P3391&gt;0)</formula>
    </cfRule>
  </conditionalFormatting>
  <conditionalFormatting sqref="P3393:S3393">
    <cfRule type="expression" dxfId="1226" priority="3931">
      <formula>AND($O3393="P",P3393&gt;0)</formula>
    </cfRule>
    <cfRule type="expression" dxfId="1225" priority="3930">
      <formula>AND($O3393="R",P3393&gt;0)</formula>
    </cfRule>
  </conditionalFormatting>
  <conditionalFormatting sqref="P3395:S3395 V3395 P3396:V3396 P3397:S3397 V3397">
    <cfRule type="cellIs" dxfId="1224" priority="3929" operator="equal">
      <formula>0</formula>
    </cfRule>
  </conditionalFormatting>
  <conditionalFormatting sqref="P3480:S3480">
    <cfRule type="expression" dxfId="1223" priority="3927">
      <formula>AND($O3480="R",P3480&gt;0)</formula>
    </cfRule>
    <cfRule type="expression" dxfId="1222" priority="3928">
      <formula>AND($O3480="P",P3480&gt;0)</formula>
    </cfRule>
  </conditionalFormatting>
  <conditionalFormatting sqref="P3462:T3462 V3462">
    <cfRule type="cellIs" dxfId="1221" priority="3925" operator="equal">
      <formula>0</formula>
    </cfRule>
  </conditionalFormatting>
  <conditionalFormatting sqref="P3472:T3472 V3472">
    <cfRule type="cellIs" dxfId="1220" priority="3924" operator="equal">
      <formula>0</formula>
    </cfRule>
  </conditionalFormatting>
  <conditionalFormatting sqref="P3474:T3474 V3474">
    <cfRule type="cellIs" dxfId="1219" priority="3923" operator="equal">
      <formula>0</formula>
    </cfRule>
  </conditionalFormatting>
  <conditionalFormatting sqref="P3484:T3484 V3484">
    <cfRule type="cellIs" dxfId="1218" priority="3922" operator="equal">
      <formula>0</formula>
    </cfRule>
  </conditionalFormatting>
  <conditionalFormatting sqref="P3486:T3486 V3486">
    <cfRule type="cellIs" dxfId="1217" priority="3921" operator="equal">
      <formula>0</formula>
    </cfRule>
  </conditionalFormatting>
  <conditionalFormatting sqref="P3153:U3222">
    <cfRule type="cellIs" dxfId="1216" priority="3920" operator="equal">
      <formula>0</formula>
    </cfRule>
  </conditionalFormatting>
  <conditionalFormatting sqref="P3279:U3286">
    <cfRule type="cellIs" dxfId="1215" priority="3919" operator="equal">
      <formula>0</formula>
    </cfRule>
  </conditionalFormatting>
  <conditionalFormatting sqref="P3291:U3306">
    <cfRule type="cellIs" dxfId="1214" priority="3918" operator="equal">
      <formula>0</formula>
    </cfRule>
  </conditionalFormatting>
  <conditionalFormatting sqref="P3311:U3322">
    <cfRule type="cellIs" dxfId="1213" priority="3917" operator="equal">
      <formula>0</formula>
    </cfRule>
  </conditionalFormatting>
  <conditionalFormatting sqref="P3383:U3383">
    <cfRule type="expression" dxfId="1212" priority="3915">
      <formula>AND($O3383="R",P3383&gt;0)</formula>
    </cfRule>
  </conditionalFormatting>
  <conditionalFormatting sqref="P3385:U3385">
    <cfRule type="expression" dxfId="1211" priority="3914">
      <formula>AND($O3385="P",P3385&gt;0)</formula>
    </cfRule>
  </conditionalFormatting>
  <conditionalFormatting sqref="P3393:U3393">
    <cfRule type="expression" dxfId="1210" priority="3912">
      <formula>AND($O3393="R",P3393&gt;0)</formula>
    </cfRule>
    <cfRule type="expression" dxfId="1209" priority="3913">
      <formula>AND($O3393="P",P3393&gt;0)</formula>
    </cfRule>
  </conditionalFormatting>
  <conditionalFormatting sqref="P12:V13 P2403:V2404">
    <cfRule type="cellIs" dxfId="1208" priority="3911" operator="equal">
      <formula>0</formula>
    </cfRule>
  </conditionalFormatting>
  <conditionalFormatting sqref="P16:V101 X16:X101 P3487:V3488">
    <cfRule type="cellIs" dxfId="1207" priority="3910" operator="equal">
      <formula>0</formula>
    </cfRule>
  </conditionalFormatting>
  <conditionalFormatting sqref="P104:V175 X104:X175 I365:I366 X705:X780 X2381:X2392 P2607:V2608 X2674:X2737 P2959:V2959 P3149:V3150 P3307:V3308 P3331:V3348 P3352:P3363 V3352:V3363 Q3362:U3363 P3364:V3364 P3367:V3380 X3367:X3380 X3383:X3415 P3398:V3415 P3437:V3437 P3439:V3439 P3508:V3515">
    <cfRule type="cellIs" dxfId="1206" priority="3909" operator="equal">
      <formula>0</formula>
    </cfRule>
  </conditionalFormatting>
  <conditionalFormatting sqref="P178:V231">
    <cfRule type="cellIs" dxfId="1205" priority="3908" operator="equal">
      <formula>0</formula>
    </cfRule>
  </conditionalFormatting>
  <conditionalFormatting sqref="P234:V309">
    <cfRule type="cellIs" dxfId="1204" priority="3907" operator="equal">
      <formula>0</formula>
    </cfRule>
  </conditionalFormatting>
  <conditionalFormatting sqref="P312:V368">
    <cfRule type="cellIs" dxfId="1203" priority="3906" operator="equal">
      <formula>0</formula>
    </cfRule>
  </conditionalFormatting>
  <conditionalFormatting sqref="P371:V379">
    <cfRule type="cellIs" dxfId="1202" priority="3905" operator="equal">
      <formula>0</formula>
    </cfRule>
  </conditionalFormatting>
  <conditionalFormatting sqref="P382:V394">
    <cfRule type="cellIs" dxfId="1201" priority="3904" operator="equal">
      <formula>0</formula>
    </cfRule>
  </conditionalFormatting>
  <conditionalFormatting sqref="P397:V403">
    <cfRule type="cellIs" dxfId="1200" priority="3903" operator="equal">
      <formula>0</formula>
    </cfRule>
  </conditionalFormatting>
  <conditionalFormatting sqref="P406:V408">
    <cfRule type="cellIs" dxfId="1199" priority="3902" operator="equal">
      <formula>0</formula>
    </cfRule>
  </conditionalFormatting>
  <conditionalFormatting sqref="P411:V411">
    <cfRule type="cellIs" dxfId="1198" priority="3901" operator="equal">
      <formula>0</formula>
    </cfRule>
  </conditionalFormatting>
  <conditionalFormatting sqref="P535:V651">
    <cfRule type="cellIs" dxfId="1197" priority="3900" operator="equal">
      <formula>0</formula>
    </cfRule>
  </conditionalFormatting>
  <conditionalFormatting sqref="P705:V780">
    <cfRule type="cellIs" dxfId="1196" priority="3899" operator="equal">
      <formula>0</formula>
    </cfRule>
  </conditionalFormatting>
  <conditionalFormatting sqref="P783:V850">
    <cfRule type="cellIs" dxfId="1195" priority="3898" operator="equal">
      <formula>0</formula>
    </cfRule>
  </conditionalFormatting>
  <conditionalFormatting sqref="P853:V885">
    <cfRule type="cellIs" dxfId="1194" priority="3897" operator="equal">
      <formula>0</formula>
    </cfRule>
  </conditionalFormatting>
  <conditionalFormatting sqref="P888:V921">
    <cfRule type="cellIs" dxfId="1193" priority="3896" operator="equal">
      <formula>0</formula>
    </cfRule>
  </conditionalFormatting>
  <conditionalFormatting sqref="P926:V939">
    <cfRule type="cellIs" dxfId="1192" priority="3895" operator="equal">
      <formula>0</formula>
    </cfRule>
  </conditionalFormatting>
  <conditionalFormatting sqref="P943:V970">
    <cfRule type="cellIs" dxfId="1191" priority="3894" operator="equal">
      <formula>0</formula>
    </cfRule>
  </conditionalFormatting>
  <conditionalFormatting sqref="P973:V996">
    <cfRule type="cellIs" dxfId="1190" priority="3893" operator="equal">
      <formula>0</formula>
    </cfRule>
  </conditionalFormatting>
  <conditionalFormatting sqref="P999:V1019">
    <cfRule type="cellIs" dxfId="1189" priority="3892" operator="equal">
      <formula>0</formula>
    </cfRule>
  </conditionalFormatting>
  <conditionalFormatting sqref="P1022:V1084">
    <cfRule type="cellIs" dxfId="1188" priority="3891" operator="equal">
      <formula>0</formula>
    </cfRule>
  </conditionalFormatting>
  <conditionalFormatting sqref="P1087:V1124">
    <cfRule type="cellIs" dxfId="1187" priority="3890" operator="equal">
      <formula>0</formula>
    </cfRule>
  </conditionalFormatting>
  <conditionalFormatting sqref="P1126:V1127">
    <cfRule type="cellIs" dxfId="1186" priority="3889" operator="equal">
      <formula>0</formula>
    </cfRule>
  </conditionalFormatting>
  <conditionalFormatting sqref="P1130:V1197">
    <cfRule type="cellIs" dxfId="1185" priority="3888" operator="equal">
      <formula>0</formula>
    </cfRule>
  </conditionalFormatting>
  <conditionalFormatting sqref="P1201:V1361">
    <cfRule type="cellIs" dxfId="1184" priority="3887" operator="equal">
      <formula>0</formula>
    </cfRule>
  </conditionalFormatting>
  <conditionalFormatting sqref="P1364:V1441">
    <cfRule type="cellIs" dxfId="1183" priority="3886" operator="equal">
      <formula>0</formula>
    </cfRule>
  </conditionalFormatting>
  <conditionalFormatting sqref="P1444:V1447">
    <cfRule type="cellIs" dxfId="1182" priority="3885" operator="equal">
      <formula>0</formula>
    </cfRule>
  </conditionalFormatting>
  <conditionalFormatting sqref="P1619:V1629">
    <cfRule type="cellIs" dxfId="1181" priority="3884" operator="equal">
      <formula>0</formula>
    </cfRule>
  </conditionalFormatting>
  <conditionalFormatting sqref="P1632:V1697">
    <cfRule type="cellIs" dxfId="1180" priority="3883" operator="equal">
      <formula>0</formula>
    </cfRule>
  </conditionalFormatting>
  <conditionalFormatting sqref="P1700:V1769">
    <cfRule type="cellIs" dxfId="1179" priority="3882" operator="equal">
      <formula>0</formula>
    </cfRule>
  </conditionalFormatting>
  <conditionalFormatting sqref="P1772:V1772">
    <cfRule type="cellIs" dxfId="1178" priority="3881" operator="equal">
      <formula>0</formula>
    </cfRule>
  </conditionalFormatting>
  <conditionalFormatting sqref="P1775:V1805">
    <cfRule type="cellIs" dxfId="1177" priority="3880" operator="equal">
      <formula>0</formula>
    </cfRule>
  </conditionalFormatting>
  <conditionalFormatting sqref="P1808:V1846">
    <cfRule type="cellIs" dxfId="1176" priority="3879" operator="equal">
      <formula>0</formula>
    </cfRule>
  </conditionalFormatting>
  <conditionalFormatting sqref="P1849:V1859">
    <cfRule type="cellIs" dxfId="1175" priority="3878" operator="equal">
      <formula>0</formula>
    </cfRule>
  </conditionalFormatting>
  <conditionalFormatting sqref="P1862:V1881">
    <cfRule type="cellIs" dxfId="1174" priority="3877" operator="equal">
      <formula>0</formula>
    </cfRule>
  </conditionalFormatting>
  <conditionalFormatting sqref="P2000:V2083">
    <cfRule type="cellIs" dxfId="1173" priority="3876" operator="equal">
      <formula>0</formula>
    </cfRule>
  </conditionalFormatting>
  <conditionalFormatting sqref="P2086:V2126">
    <cfRule type="cellIs" dxfId="1172" priority="3875" operator="equal">
      <formula>0</formula>
    </cfRule>
  </conditionalFormatting>
  <conditionalFormatting sqref="P2129:V2212">
    <cfRule type="cellIs" dxfId="1171" priority="3874" operator="equal">
      <formula>0</formula>
    </cfRule>
  </conditionalFormatting>
  <conditionalFormatting sqref="P2215:V2290">
    <cfRule type="cellIs" dxfId="1170" priority="3873" operator="equal">
      <formula>0</formula>
    </cfRule>
  </conditionalFormatting>
  <conditionalFormatting sqref="P2293:V2294">
    <cfRule type="cellIs" dxfId="1169" priority="3872" operator="equal">
      <formula>0</formula>
    </cfRule>
  </conditionalFormatting>
  <conditionalFormatting sqref="P2297:V2319">
    <cfRule type="cellIs" dxfId="1168" priority="3871" operator="equal">
      <formula>0</formula>
    </cfRule>
  </conditionalFormatting>
  <conditionalFormatting sqref="P2322:V2332">
    <cfRule type="cellIs" dxfId="1167" priority="3870" operator="equal">
      <formula>0</formula>
    </cfRule>
  </conditionalFormatting>
  <conditionalFormatting sqref="P2335:V2344">
    <cfRule type="cellIs" dxfId="1166" priority="3869" operator="equal">
      <formula>0</formula>
    </cfRule>
  </conditionalFormatting>
  <conditionalFormatting sqref="P2347:V2358">
    <cfRule type="cellIs" dxfId="1165" priority="3868" operator="equal">
      <formula>0</formula>
    </cfRule>
  </conditionalFormatting>
  <conditionalFormatting sqref="P2361:V2374">
    <cfRule type="cellIs" dxfId="1164" priority="3867" operator="equal">
      <formula>0</formula>
    </cfRule>
  </conditionalFormatting>
  <conditionalFormatting sqref="P2377:V2378">
    <cfRule type="cellIs" dxfId="1163" priority="3866" operator="equal">
      <formula>0</formula>
    </cfRule>
  </conditionalFormatting>
  <conditionalFormatting sqref="P2381:V2392">
    <cfRule type="cellIs" dxfId="1162" priority="3865" operator="equal">
      <formula>0</formula>
    </cfRule>
  </conditionalFormatting>
  <conditionalFormatting sqref="P2395:V2400">
    <cfRule type="cellIs" dxfId="1161" priority="3864" operator="equal">
      <formula>0</formula>
    </cfRule>
  </conditionalFormatting>
  <conditionalFormatting sqref="P2407:V2456 W2410">
    <cfRule type="cellIs" dxfId="1160" priority="3863" operator="equal">
      <formula>0</formula>
    </cfRule>
  </conditionalFormatting>
  <conditionalFormatting sqref="P2459:V2526">
    <cfRule type="cellIs" dxfId="1159" priority="3862" operator="equal">
      <formula>0</formula>
    </cfRule>
  </conditionalFormatting>
  <conditionalFormatting sqref="P2529:V2536">
    <cfRule type="cellIs" dxfId="1158" priority="3861" operator="equal">
      <formula>0</formula>
    </cfRule>
  </conditionalFormatting>
  <conditionalFormatting sqref="P2539:V2562">
    <cfRule type="cellIs" dxfId="1157" priority="3860" operator="equal">
      <formula>0</formula>
    </cfRule>
  </conditionalFormatting>
  <conditionalFormatting sqref="P2565:V2604">
    <cfRule type="cellIs" dxfId="1156" priority="3859" operator="equal">
      <formula>0</formula>
    </cfRule>
  </conditionalFormatting>
  <conditionalFormatting sqref="P2674:V2737">
    <cfRule type="cellIs" dxfId="1155" priority="3858" operator="equal">
      <formula>0</formula>
    </cfRule>
  </conditionalFormatting>
  <conditionalFormatting sqref="P2740:V2763">
    <cfRule type="cellIs" dxfId="1154" priority="3857" operator="equal">
      <formula>0</formula>
    </cfRule>
  </conditionalFormatting>
  <conditionalFormatting sqref="P2766:V2813">
    <cfRule type="cellIs" dxfId="1153" priority="3856" operator="equal">
      <formula>0</formula>
    </cfRule>
  </conditionalFormatting>
  <conditionalFormatting sqref="P2816:V2851">
    <cfRule type="cellIs" dxfId="1152" priority="3855" operator="equal">
      <formula>0</formula>
    </cfRule>
  </conditionalFormatting>
  <conditionalFormatting sqref="P2854:V2855">
    <cfRule type="cellIs" dxfId="1151" priority="3854" operator="equal">
      <formula>0</formula>
    </cfRule>
  </conditionalFormatting>
  <conditionalFormatting sqref="P2858:V2957">
    <cfRule type="cellIs" dxfId="1150" priority="3853" operator="equal">
      <formula>0</formula>
    </cfRule>
  </conditionalFormatting>
  <conditionalFormatting sqref="P2962:V3062">
    <cfRule type="cellIs" dxfId="1149" priority="3852" operator="equal">
      <formula>0</formula>
    </cfRule>
  </conditionalFormatting>
  <conditionalFormatting sqref="P3065:V3100">
    <cfRule type="cellIs" dxfId="1148" priority="3851" operator="equal">
      <formula>0</formula>
    </cfRule>
  </conditionalFormatting>
  <conditionalFormatting sqref="P3223:V3223 P3226:V3227">
    <cfRule type="cellIs" dxfId="1147" priority="3850" operator="equal">
      <formula>0</formula>
    </cfRule>
  </conditionalFormatting>
  <conditionalFormatting sqref="P3230:V3251 X3230:X3251">
    <cfRule type="cellIs" dxfId="1146" priority="3849" operator="equal">
      <formula>0</formula>
    </cfRule>
  </conditionalFormatting>
  <conditionalFormatting sqref="P3254:V3276">
    <cfRule type="cellIs" dxfId="1145" priority="3848" operator="equal">
      <formula>0</formula>
    </cfRule>
  </conditionalFormatting>
  <conditionalFormatting sqref="P3287:V3288">
    <cfRule type="cellIs" dxfId="1144" priority="3847" operator="equal">
      <formula>0</formula>
    </cfRule>
  </conditionalFormatting>
  <conditionalFormatting sqref="P3323:V3328">
    <cfRule type="cellIs" dxfId="1143" priority="3846" operator="equal">
      <formula>0</formula>
    </cfRule>
  </conditionalFormatting>
  <conditionalFormatting sqref="P3329:V3330">
    <cfRule type="cellIs" dxfId="1142" priority="3845" operator="equal">
      <formula>0</formula>
    </cfRule>
  </conditionalFormatting>
  <conditionalFormatting sqref="P3350:V3351">
    <cfRule type="cellIs" dxfId="1141" priority="3844" operator="equal">
      <formula>0</formula>
    </cfRule>
  </conditionalFormatting>
  <conditionalFormatting sqref="P3365:V3366">
    <cfRule type="cellIs" dxfId="1140" priority="3843" operator="equal">
      <formula>0</formula>
    </cfRule>
  </conditionalFormatting>
  <conditionalFormatting sqref="P3381:V3382">
    <cfRule type="cellIs" dxfId="1139" priority="3842" operator="equal">
      <formula>0</formula>
    </cfRule>
  </conditionalFormatting>
  <conditionalFormatting sqref="P3383:V3394">
    <cfRule type="expression" dxfId="1138" priority="3835">
      <formula>AND($O3383="R",P3383&gt;0)</formula>
    </cfRule>
    <cfRule type="expression" dxfId="1137" priority="3836">
      <formula>AND($O3383="P",P3383&gt;0)</formula>
    </cfRule>
  </conditionalFormatting>
  <conditionalFormatting sqref="P3416:V3417">
    <cfRule type="cellIs" dxfId="1136" priority="3834" operator="equal">
      <formula>0</formula>
    </cfRule>
  </conditionalFormatting>
  <conditionalFormatting sqref="P3436:V3436">
    <cfRule type="expression" dxfId="1135" priority="3833">
      <formula>AND($O3436="R",P3436&gt;0)</formula>
    </cfRule>
    <cfRule type="expression" dxfId="1134" priority="3832">
      <formula>AND($O3436="P",P3436&gt;0)</formula>
    </cfRule>
  </conditionalFormatting>
  <conditionalFormatting sqref="P3438:V3438">
    <cfRule type="expression" dxfId="1133" priority="3831">
      <formula>AND($O3438="R",P3438&gt;0)</formula>
    </cfRule>
    <cfRule type="expression" dxfId="1132" priority="3830">
      <formula>AND($O3438="P",P3438&gt;0)</formula>
    </cfRule>
  </conditionalFormatting>
  <conditionalFormatting sqref="P3441:V3441">
    <cfRule type="cellIs" dxfId="1131" priority="3829" operator="equal">
      <formula>0</formula>
    </cfRule>
  </conditionalFormatting>
  <conditionalFormatting sqref="P3443:V3443">
    <cfRule type="cellIs" dxfId="1130" priority="3828" operator="equal">
      <formula>0</formula>
    </cfRule>
  </conditionalFormatting>
  <conditionalFormatting sqref="P3445:V3445">
    <cfRule type="cellIs" dxfId="1129" priority="3827" operator="equal">
      <formula>0</formula>
    </cfRule>
  </conditionalFormatting>
  <conditionalFormatting sqref="P3447:V3447">
    <cfRule type="cellIs" dxfId="1128" priority="3826" operator="equal">
      <formula>0</formula>
    </cfRule>
  </conditionalFormatting>
  <conditionalFormatting sqref="P3449:V3449">
    <cfRule type="cellIs" dxfId="1127" priority="3825" operator="equal">
      <formula>0</formula>
    </cfRule>
  </conditionalFormatting>
  <conditionalFormatting sqref="P3451:V3451 S3452:V3452 S3456:V3456 P3460:R3460 V3460 S3464:V3464 S3466:V3466 P3470:R3470 V3470 S3476:V3476 S3478:V3478 P3482:R3482 V3482 P3483:V3483">
    <cfRule type="cellIs" dxfId="1126" priority="3824" operator="equal">
      <formula>0</formula>
    </cfRule>
  </conditionalFormatting>
  <conditionalFormatting sqref="P3453:V3453">
    <cfRule type="cellIs" dxfId="1125" priority="3823" operator="equal">
      <formula>0</formula>
    </cfRule>
  </conditionalFormatting>
  <conditionalFormatting sqref="P3455:V3455">
    <cfRule type="cellIs" dxfId="1124" priority="3822" operator="equal">
      <formula>0</formula>
    </cfRule>
  </conditionalFormatting>
  <conditionalFormatting sqref="P3457:V3457">
    <cfRule type="cellIs" dxfId="1123" priority="3821" operator="equal">
      <formula>0</formula>
    </cfRule>
  </conditionalFormatting>
  <conditionalFormatting sqref="P3461:V3461">
    <cfRule type="cellIs" dxfId="1122" priority="3820" operator="equal">
      <formula>0</formula>
    </cfRule>
  </conditionalFormatting>
  <conditionalFormatting sqref="P3463:V3463">
    <cfRule type="cellIs" dxfId="1121" priority="3819" operator="equal">
      <formula>0</formula>
    </cfRule>
  </conditionalFormatting>
  <conditionalFormatting sqref="P3465:V3465">
    <cfRule type="cellIs" dxfId="1120" priority="3818" operator="equal">
      <formula>0</formula>
    </cfRule>
  </conditionalFormatting>
  <conditionalFormatting sqref="P3467:V3467">
    <cfRule type="cellIs" dxfId="1119" priority="3817" operator="equal">
      <formula>0</formula>
    </cfRule>
  </conditionalFormatting>
  <conditionalFormatting sqref="P3471:V3471">
    <cfRule type="cellIs" dxfId="1118" priority="3816" operator="equal">
      <formula>0</formula>
    </cfRule>
  </conditionalFormatting>
  <conditionalFormatting sqref="P3473:V3473">
    <cfRule type="cellIs" dxfId="1117" priority="3815" operator="equal">
      <formula>0</formula>
    </cfRule>
  </conditionalFormatting>
  <conditionalFormatting sqref="P3477:V3477">
    <cfRule type="cellIs" dxfId="1116" priority="3814" operator="equal">
      <formula>0</formula>
    </cfRule>
  </conditionalFormatting>
  <conditionalFormatting sqref="P3479:V3479">
    <cfRule type="cellIs" dxfId="1115" priority="3813" operator="equal">
      <formula>0</formula>
    </cfRule>
  </conditionalFormatting>
  <conditionalFormatting sqref="P3485:V3485">
    <cfRule type="cellIs" dxfId="1114" priority="3812" operator="equal">
      <formula>0</formula>
    </cfRule>
  </conditionalFormatting>
  <conditionalFormatting sqref="P3489:V3490">
    <cfRule type="cellIs" dxfId="1113" priority="3811" operator="equal">
      <formula>0</formula>
    </cfRule>
  </conditionalFormatting>
  <conditionalFormatting sqref="P3503:V3505 X3503:X3505">
    <cfRule type="cellIs" dxfId="1112" priority="3810" operator="equal">
      <formula>0</formula>
    </cfRule>
  </conditionalFormatting>
  <conditionalFormatting sqref="P3506:V3507">
    <cfRule type="cellIs" dxfId="1111" priority="3809" operator="equal">
      <formula>0</formula>
    </cfRule>
  </conditionalFormatting>
  <conditionalFormatting sqref="P940:W940">
    <cfRule type="cellIs" dxfId="1110" priority="3808" operator="equal">
      <formula>0</formula>
    </cfRule>
  </conditionalFormatting>
  <conditionalFormatting sqref="P922:X923">
    <cfRule type="cellIs" dxfId="1109" priority="3807" operator="equal">
      <formula>0</formula>
    </cfRule>
  </conditionalFormatting>
  <conditionalFormatting sqref="Q3385">
    <cfRule type="expression" dxfId="1108" priority="3804">
      <formula>AND($O3385="P",Q3385&gt;0)</formula>
    </cfRule>
    <cfRule type="expression" dxfId="1107" priority="3803">
      <formula>AND($O3385="R",Q3385&gt;0)</formula>
    </cfRule>
    <cfRule type="expression" dxfId="1106" priority="3802">
      <formula>AND($O3385="P",Q3385&gt;0)</formula>
    </cfRule>
    <cfRule type="expression" dxfId="1105" priority="3801">
      <formula>AND($O3385="R",Q3385&gt;0)</formula>
    </cfRule>
  </conditionalFormatting>
  <conditionalFormatting sqref="Q3387">
    <cfRule type="expression" dxfId="1104" priority="3800">
      <formula>AND($O3387="R",Q3387&gt;0)</formula>
    </cfRule>
    <cfRule type="expression" dxfId="1103" priority="3799">
      <formula>AND($O3387="P",Q3387&gt;0)</formula>
    </cfRule>
    <cfRule type="expression" dxfId="1102" priority="3798">
      <formula>AND($O3387="R",Q3387&gt;0)</formula>
    </cfRule>
  </conditionalFormatting>
  <conditionalFormatting sqref="Q3391">
    <cfRule type="expression" dxfId="1101" priority="3797">
      <formula>AND($O3391="R",Q3391&gt;0)</formula>
    </cfRule>
    <cfRule type="expression" dxfId="1100" priority="3796">
      <formula>AND($O3391="P",Q3391&gt;0)</formula>
    </cfRule>
  </conditionalFormatting>
  <conditionalFormatting sqref="Q3393">
    <cfRule type="expression" dxfId="1099" priority="3794">
      <formula>AND($O3393="P",Q3393&gt;0)</formula>
    </cfRule>
    <cfRule type="expression" dxfId="1098" priority="3795">
      <formula>AND($O3393="R",Q3393&gt;0)</formula>
    </cfRule>
  </conditionalFormatting>
  <conditionalFormatting sqref="Q3387:R3387">
    <cfRule type="expression" dxfId="1097" priority="3792">
      <formula>AND($O3387="P",Q3387&gt;0)</formula>
    </cfRule>
  </conditionalFormatting>
  <conditionalFormatting sqref="Q3391:R3391">
    <cfRule type="expression" dxfId="1096" priority="3790">
      <formula>AND($O3391="P",Q3391&gt;0)</formula>
    </cfRule>
    <cfRule type="expression" dxfId="1095" priority="3791">
      <formula>AND($O3391="R",Q3391&gt;0)</formula>
    </cfRule>
  </conditionalFormatting>
  <conditionalFormatting sqref="Q3393:R3393">
    <cfRule type="expression" dxfId="1094" priority="3788">
      <formula>AND($O3393="R",Q3393&gt;0)</formula>
    </cfRule>
    <cfRule type="expression" dxfId="1093" priority="3787">
      <formula>AND($O3393="P",Q3393&gt;0)</formula>
    </cfRule>
  </conditionalFormatting>
  <conditionalFormatting sqref="Q3444:R3444 V3444">
    <cfRule type="cellIs" dxfId="1092" priority="3786" operator="equal">
      <formula>0</formula>
    </cfRule>
  </conditionalFormatting>
  <conditionalFormatting sqref="Q3391:S3391">
    <cfRule type="expression" dxfId="1091" priority="3783">
      <formula>AND($O3391="R",Q3391&gt;0)</formula>
    </cfRule>
  </conditionalFormatting>
  <conditionalFormatting sqref="Q3393:S3393">
    <cfRule type="expression" dxfId="1090" priority="3782">
      <formula>AND($O3393="R",Q3393&gt;0)</formula>
    </cfRule>
  </conditionalFormatting>
  <conditionalFormatting sqref="Q3440:T3440 V3440">
    <cfRule type="cellIs" dxfId="1089" priority="3781" operator="equal">
      <formula>0</formula>
    </cfRule>
  </conditionalFormatting>
  <conditionalFormatting sqref="Q3442:T3442 V3442">
    <cfRule type="cellIs" dxfId="1088" priority="3780" operator="equal">
      <formula>0</formula>
    </cfRule>
  </conditionalFormatting>
  <conditionalFormatting sqref="Q3446:T3446 V3446">
    <cfRule type="cellIs" dxfId="1087" priority="3779" operator="equal">
      <formula>0</formula>
    </cfRule>
  </conditionalFormatting>
  <conditionalFormatting sqref="Q3448:T3448 V3448">
    <cfRule type="cellIs" dxfId="1086" priority="3778" operator="equal">
      <formula>0</formula>
    </cfRule>
  </conditionalFormatting>
  <conditionalFormatting sqref="Q3450:T3450 V3450">
    <cfRule type="cellIs" dxfId="1085" priority="3777" operator="equal">
      <formula>0</formula>
    </cfRule>
  </conditionalFormatting>
  <conditionalFormatting sqref="Q3352:U3361">
    <cfRule type="expression" dxfId="1084" priority="3775">
      <formula>AND($O3352="P",Q3352&gt;0)</formula>
    </cfRule>
    <cfRule type="expression" dxfId="1083" priority="3776">
      <formula>AND($O3352="R",Q3352&gt;0)</formula>
    </cfRule>
  </conditionalFormatting>
  <conditionalFormatting sqref="Q3363:U3363">
    <cfRule type="cellIs" dxfId="1082" priority="3774" operator="between">
      <formula>0.000000001</formula>
      <formula>0.9999999999999</formula>
    </cfRule>
  </conditionalFormatting>
  <conditionalFormatting sqref="Q3387:U3387">
    <cfRule type="expression" dxfId="1081" priority="3755">
      <formula>AND($O3387="R",Q3387&gt;0)</formula>
    </cfRule>
  </conditionalFormatting>
  <conditionalFormatting sqref="R3391:S3391">
    <cfRule type="expression" dxfId="1080" priority="3773">
      <formula>AND($O3391="P",R3391&gt;0)</formula>
    </cfRule>
  </conditionalFormatting>
  <conditionalFormatting sqref="R3393:S3393">
    <cfRule type="expression" dxfId="1079" priority="3772">
      <formula>AND($O3393="P",R3393&gt;0)</formula>
    </cfRule>
  </conditionalFormatting>
  <conditionalFormatting sqref="R3389:T3389">
    <cfRule type="expression" dxfId="1078" priority="3770">
      <formula>AND($O3389="P",R3389&gt;0)</formula>
    </cfRule>
  </conditionalFormatting>
  <conditionalFormatting sqref="R3391:V3391">
    <cfRule type="expression" dxfId="1077" priority="3748">
      <formula>AND($O3391="R",R3391&gt;0)</formula>
    </cfRule>
  </conditionalFormatting>
  <conditionalFormatting sqref="R3393:V3393">
    <cfRule type="expression" dxfId="1076" priority="3746">
      <formula>AND($O3393="R",R3393&gt;0)</formula>
    </cfRule>
  </conditionalFormatting>
  <conditionalFormatting sqref="R3454:V3454">
    <cfRule type="cellIs" dxfId="1075" priority="3764" operator="equal">
      <formula>0</formula>
    </cfRule>
  </conditionalFormatting>
  <conditionalFormatting sqref="S3383">
    <cfRule type="expression" dxfId="1074" priority="3763">
      <formula>AND($O3383="R",S3383&gt;0)</formula>
    </cfRule>
  </conditionalFormatting>
  <conditionalFormatting sqref="S3385">
    <cfRule type="expression" dxfId="1073" priority="3760">
      <formula>AND($O3385="R",S3385&gt;0)</formula>
    </cfRule>
    <cfRule type="expression" dxfId="1072" priority="3759">
      <formula>AND($O3385="P",S3385&gt;0)</formula>
    </cfRule>
    <cfRule type="expression" dxfId="1071" priority="3758">
      <formula>AND($O3385="R",S3385&gt;0)</formula>
    </cfRule>
    <cfRule type="expression" dxfId="1070" priority="3757">
      <formula>AND($O3385="P",S3385&gt;0)</formula>
    </cfRule>
    <cfRule type="expression" dxfId="1069" priority="3756">
      <formula>AND($O3385="R",S3385&gt;0)</formula>
    </cfRule>
  </conditionalFormatting>
  <conditionalFormatting sqref="S3389">
    <cfRule type="expression" dxfId="1068" priority="3754">
      <formula>AND($O3389="R",S3389&gt;0)</formula>
    </cfRule>
    <cfRule type="expression" dxfId="1067" priority="3753">
      <formula>AND($O3389="P",S3389&gt;0)</formula>
    </cfRule>
    <cfRule type="expression" dxfId="1066" priority="3752">
      <formula>AND($O3389="R",S3389&gt;0)</formula>
    </cfRule>
    <cfRule type="expression" dxfId="1065" priority="3751">
      <formula>AND($O3389="P",S3389&gt;0)</formula>
    </cfRule>
  </conditionalFormatting>
  <conditionalFormatting sqref="S3458">
    <cfRule type="expression" dxfId="1064" priority="3745">
      <formula>AND($O3458="P",S3458&gt;0)</formula>
    </cfRule>
    <cfRule type="expression" dxfId="1063" priority="3744">
      <formula>AND($O3458="R",S3458&gt;0)</formula>
    </cfRule>
  </conditionalFormatting>
  <conditionalFormatting sqref="S3460">
    <cfRule type="expression" dxfId="1062" priority="3743">
      <formula>AND($O3460="P",S3460&gt;0)</formula>
    </cfRule>
    <cfRule type="expression" dxfId="1061" priority="3742">
      <formula>AND($O3460="R",S3460&gt;0)</formula>
    </cfRule>
  </conditionalFormatting>
  <conditionalFormatting sqref="S3468">
    <cfRule type="expression" dxfId="1060" priority="3741">
      <formula>AND($O3468="P",S3468&gt;0)</formula>
    </cfRule>
    <cfRule type="expression" dxfId="1059" priority="3740">
      <formula>AND($O3468="R",S3468&gt;0)</formula>
    </cfRule>
  </conditionalFormatting>
  <conditionalFormatting sqref="S3470">
    <cfRule type="expression" dxfId="1058" priority="3738">
      <formula>AND($O3470="R",S3470&gt;0)</formula>
    </cfRule>
    <cfRule type="expression" dxfId="1057" priority="3739">
      <formula>AND($O3470="P",S3470&gt;0)</formula>
    </cfRule>
  </conditionalFormatting>
  <conditionalFormatting sqref="S3482">
    <cfRule type="expression" dxfId="1056" priority="3736">
      <formula>AND($O3482="R",S3482&gt;0)</formula>
    </cfRule>
    <cfRule type="expression" dxfId="1055" priority="3737">
      <formula>AND($O3482="P",S3482&gt;0)</formula>
    </cfRule>
  </conditionalFormatting>
  <conditionalFormatting sqref="S3385:T3385">
    <cfRule type="expression" dxfId="1054" priority="3734">
      <formula>AND($O3385="P",S3385&gt;0)</formula>
    </cfRule>
  </conditionalFormatting>
  <conditionalFormatting sqref="S3444:T3444">
    <cfRule type="expression" dxfId="1053" priority="3727">
      <formula>AND($O3444="P",S3444&gt;0)</formula>
    </cfRule>
  </conditionalFormatting>
  <conditionalFormatting sqref="S3458:T3458">
    <cfRule type="expression" dxfId="1052" priority="3726">
      <formula>AND($O3458="P",S3458&gt;0)</formula>
    </cfRule>
  </conditionalFormatting>
  <conditionalFormatting sqref="S3460:T3460">
    <cfRule type="expression" dxfId="1051" priority="3724">
      <formula>AND($O3460="P",S3460&gt;0)</formula>
    </cfRule>
  </conditionalFormatting>
  <conditionalFormatting sqref="S3468:T3468">
    <cfRule type="expression" dxfId="1050" priority="3722">
      <formula>AND($O3468="P",S3468&gt;0)</formula>
    </cfRule>
  </conditionalFormatting>
  <conditionalFormatting sqref="S3470:T3470">
    <cfRule type="expression" dxfId="1049" priority="3720">
      <formula>AND($O3470="P",S3470&gt;0)</formula>
    </cfRule>
  </conditionalFormatting>
  <conditionalFormatting sqref="S3480:T3480">
    <cfRule type="expression" dxfId="1048" priority="3718">
      <formula>AND($O3480="P",S3480&gt;0)</formula>
    </cfRule>
  </conditionalFormatting>
  <conditionalFormatting sqref="S3482:T3482">
    <cfRule type="expression" dxfId="1047" priority="3716">
      <formula>AND($O3482="P",S3482&gt;0)</formula>
    </cfRule>
  </conditionalFormatting>
  <conditionalFormatting sqref="S3383:U3383">
    <cfRule type="expression" dxfId="1046" priority="3711">
      <formula>AND($O3383="P",S3383&gt;0)</formula>
    </cfRule>
    <cfRule type="expression" dxfId="1045" priority="3713">
      <formula>AND($O3383="R",S3383&gt;0)</formula>
    </cfRule>
    <cfRule type="expression" dxfId="1044" priority="3714">
      <formula>AND($O3383="P",S3383&gt;0)</formula>
    </cfRule>
  </conditionalFormatting>
  <conditionalFormatting sqref="S3387:U3387">
    <cfRule type="expression" dxfId="1043" priority="3709">
      <formula>AND($O3387="P",S3387&gt;0)</formula>
    </cfRule>
  </conditionalFormatting>
  <conditionalFormatting sqref="S3391:U3391">
    <cfRule type="expression" dxfId="1042" priority="3708">
      <formula>AND($O3391="P",S3391&gt;0)</formula>
    </cfRule>
  </conditionalFormatting>
  <conditionalFormatting sqref="S3393:U3393">
    <cfRule type="expression" dxfId="1041" priority="3707">
      <formula>AND($O3393="P",S3393&gt;0)</formula>
    </cfRule>
  </conditionalFormatting>
  <conditionalFormatting sqref="S3444:U3444">
    <cfRule type="expression" dxfId="1040" priority="3706">
      <formula>AND($O3444="R",S3444&gt;0)</formula>
    </cfRule>
  </conditionalFormatting>
  <conditionalFormatting sqref="S3458:U3458">
    <cfRule type="expression" dxfId="1039" priority="3662">
      <formula>AND($O3458="R",S3458&gt;0)</formula>
    </cfRule>
  </conditionalFormatting>
  <conditionalFormatting sqref="S3460:U3460">
    <cfRule type="expression" dxfId="1038" priority="3659">
      <formula>AND($O3460="R",S3460&gt;0)</formula>
    </cfRule>
  </conditionalFormatting>
  <conditionalFormatting sqref="S3468:U3468">
    <cfRule type="expression" dxfId="1037" priority="3656">
      <formula>AND($O3468="R",S3468&gt;0)</formula>
    </cfRule>
  </conditionalFormatting>
  <conditionalFormatting sqref="S3470:U3470">
    <cfRule type="expression" dxfId="1036" priority="3653">
      <formula>AND($O3470="R",S3470&gt;0)</formula>
    </cfRule>
  </conditionalFormatting>
  <conditionalFormatting sqref="S3480:U3480">
    <cfRule type="expression" dxfId="1035" priority="3650">
      <formula>AND($O3480="R",S3480&gt;0)</formula>
    </cfRule>
  </conditionalFormatting>
  <conditionalFormatting sqref="S3482:U3482">
    <cfRule type="expression" dxfId="1034" priority="3647">
      <formula>AND($O3482="R",S3482&gt;0)</formula>
    </cfRule>
  </conditionalFormatting>
  <conditionalFormatting sqref="S3391:V3391">
    <cfRule type="expression" dxfId="1033" priority="3699">
      <formula>AND($O3391="R",S3391&gt;0)</formula>
    </cfRule>
  </conditionalFormatting>
  <conditionalFormatting sqref="T3385">
    <cfRule type="expression" dxfId="1032" priority="3701">
      <formula>AND($O3385="R",T3385&gt;0)</formula>
    </cfRule>
  </conditionalFormatting>
  <conditionalFormatting sqref="T3393">
    <cfRule type="expression" dxfId="1031" priority="3696">
      <formula>AND($O3393="R",T3393&gt;0)</formula>
    </cfRule>
  </conditionalFormatting>
  <conditionalFormatting sqref="T3383:U3383">
    <cfRule type="expression" dxfId="1030" priority="3642">
      <formula>AND($O3383="P",T3383&gt;0)</formula>
    </cfRule>
    <cfRule type="expression" dxfId="1029" priority="3643">
      <formula>AND($O3383="R",T3383&gt;0)</formula>
    </cfRule>
  </conditionalFormatting>
  <conditionalFormatting sqref="T3385:U3385">
    <cfRule type="expression" dxfId="1028" priority="3695">
      <formula>AND($O3385="P",T3385&gt;0)</formula>
    </cfRule>
  </conditionalFormatting>
  <conditionalFormatting sqref="T3387:U3387">
    <cfRule type="expression" dxfId="1027" priority="3683">
      <formula>AND($O3387="R",T3387&gt;0)</formula>
    </cfRule>
    <cfRule type="expression" dxfId="1026" priority="3688">
      <formula>AND($O3387="R",T3387&gt;0)</formula>
    </cfRule>
    <cfRule type="expression" dxfId="1025" priority="3684">
      <formula>AND($O3387="P",T3387&gt;0)</formula>
    </cfRule>
    <cfRule type="expression" dxfId="1024" priority="3686">
      <formula>AND($O3387="P",T3387&gt;0)</formula>
    </cfRule>
    <cfRule type="expression" dxfId="1023" priority="3685">
      <formula>AND($O3387="R",T3387&gt;0)</formula>
    </cfRule>
    <cfRule type="expression" dxfId="1022" priority="3689">
      <formula>AND($O3387="P",T3387&gt;0)</formula>
    </cfRule>
    <cfRule type="expression" dxfId="1021" priority="3693">
      <formula>AND($O3387="P",T3387&gt;0)</formula>
    </cfRule>
    <cfRule type="expression" dxfId="1020" priority="3692">
      <formula>AND($O3387="R",T3387&gt;0)</formula>
    </cfRule>
    <cfRule type="expression" dxfId="1019" priority="3691">
      <formula>AND($O3387="P",T3387&gt;0)</formula>
    </cfRule>
    <cfRule type="expression" dxfId="1018" priority="3690">
      <formula>AND($O3387="R",T3387&gt;0)</formula>
    </cfRule>
    <cfRule type="expression" dxfId="1017" priority="3694">
      <formula>AND($O3387="R",T3387&gt;0)</formula>
    </cfRule>
  </conditionalFormatting>
  <conditionalFormatting sqref="T3391:U3391">
    <cfRule type="expression" dxfId="1016" priority="3677">
      <formula>AND($O3391="R",T3391&gt;0)</formula>
    </cfRule>
    <cfRule type="expression" dxfId="1015" priority="3676">
      <formula>AND($O3391="P",T3391&gt;0)</formula>
    </cfRule>
    <cfRule type="expression" dxfId="1014" priority="3682">
      <formula>AND($O3391="P",T3391&gt;0)</formula>
    </cfRule>
    <cfRule type="expression" dxfId="1013" priority="3681">
      <formula>AND($O3391="R",T3391&gt;0)</formula>
    </cfRule>
    <cfRule type="expression" dxfId="1012" priority="3680">
      <formula>AND($O3391="P",T3391&gt;0)</formula>
    </cfRule>
    <cfRule type="expression" dxfId="1011" priority="3679">
      <formula>AND($O3391="R",T3391&gt;0)</formula>
    </cfRule>
    <cfRule type="expression" dxfId="1010" priority="3678">
      <formula>AND($O3391="P",T3391&gt;0)</formula>
    </cfRule>
  </conditionalFormatting>
  <conditionalFormatting sqref="T3393:U3393">
    <cfRule type="expression" dxfId="1009" priority="3669">
      <formula>AND($O3393="R",T3393&gt;0)</formula>
    </cfRule>
    <cfRule type="expression" dxfId="1008" priority="3667">
      <formula>AND($O3393="P",T3393&gt;0)</formula>
    </cfRule>
    <cfRule type="expression" dxfId="1007" priority="3670">
      <formula>AND($O3393="P",T3393&gt;0)</formula>
    </cfRule>
    <cfRule type="expression" dxfId="1006" priority="3671">
      <formula>AND($O3393="R",T3393&gt;0)</formula>
    </cfRule>
    <cfRule type="expression" dxfId="1005" priority="3672">
      <formula>AND($O3393="P",T3393&gt;0)</formula>
    </cfRule>
    <cfRule type="expression" dxfId="1004" priority="3673">
      <formula>AND($O3393="R",T3393&gt;0)</formula>
    </cfRule>
    <cfRule type="expression" dxfId="1003" priority="3674">
      <formula>AND($O3393="P",T3393&gt;0)</formula>
    </cfRule>
  </conditionalFormatting>
  <conditionalFormatting sqref="T3395:U3395">
    <cfRule type="expression" dxfId="1002" priority="3665">
      <formula>AND($R3395="P",T3395&gt;0)</formula>
    </cfRule>
    <cfRule type="expression" dxfId="1001" priority="3666">
      <formula>AND($R3395="R",T3395&gt;0)</formula>
    </cfRule>
  </conditionalFormatting>
  <conditionalFormatting sqref="T3397:U3397">
    <cfRule type="expression" dxfId="1000" priority="3663">
      <formula>AND($R3397="P",T3397&gt;0)</formula>
    </cfRule>
    <cfRule type="expression" dxfId="999" priority="3664">
      <formula>AND($R3397="R",T3397&gt;0)</formula>
    </cfRule>
  </conditionalFormatting>
  <conditionalFormatting sqref="T3458:U3458">
    <cfRule type="expression" dxfId="998" priority="3661">
      <formula>AND($O3458="P",T3458&gt;0)</formula>
    </cfRule>
    <cfRule type="expression" dxfId="997" priority="3660">
      <formula>AND($O3458="R",T3458&gt;0)</formula>
    </cfRule>
  </conditionalFormatting>
  <conditionalFormatting sqref="T3460:U3460">
    <cfRule type="expression" dxfId="996" priority="3657">
      <formula>AND($O3460="R",T3460&gt;0)</formula>
    </cfRule>
    <cfRule type="expression" dxfId="995" priority="3658">
      <formula>AND($O3460="P",T3460&gt;0)</formula>
    </cfRule>
  </conditionalFormatting>
  <conditionalFormatting sqref="T3468:U3468">
    <cfRule type="expression" dxfId="994" priority="3654">
      <formula>AND($O3468="R",T3468&gt;0)</formula>
    </cfRule>
    <cfRule type="expression" dxfId="993" priority="3655">
      <formula>AND($O3468="P",T3468&gt;0)</formula>
    </cfRule>
  </conditionalFormatting>
  <conditionalFormatting sqref="T3470:U3470">
    <cfRule type="expression" dxfId="992" priority="3652">
      <formula>AND($O3470="P",T3470&gt;0)</formula>
    </cfRule>
    <cfRule type="expression" dxfId="991" priority="3651">
      <formula>AND($O3470="R",T3470&gt;0)</formula>
    </cfRule>
  </conditionalFormatting>
  <conditionalFormatting sqref="T3480:U3480">
    <cfRule type="expression" dxfId="990" priority="3649">
      <formula>AND($O3480="P",T3480&gt;0)</formula>
    </cfRule>
    <cfRule type="expression" dxfId="989" priority="3648">
      <formula>AND($O3480="R",T3480&gt;0)</formula>
    </cfRule>
  </conditionalFormatting>
  <conditionalFormatting sqref="T3482:U3482">
    <cfRule type="expression" dxfId="988" priority="3646">
      <formula>AND($O3482="P",T3482&gt;0)</formula>
    </cfRule>
    <cfRule type="expression" dxfId="987" priority="3645">
      <formula>AND($O3482="R",T3482&gt;0)</formula>
    </cfRule>
  </conditionalFormatting>
  <conditionalFormatting sqref="T3393:V3393">
    <cfRule type="expression" dxfId="986" priority="3635">
      <formula>AND($O3393="R",T3393&gt;0)</formula>
    </cfRule>
  </conditionalFormatting>
  <conditionalFormatting sqref="U3383">
    <cfRule type="expression" dxfId="985" priority="3641">
      <formula>AND($O3383="R",U3383&gt;0)</formula>
    </cfRule>
    <cfRule type="expression" dxfId="984" priority="3640">
      <formula>AND($O3383="P",U3383&gt;0)</formula>
    </cfRule>
  </conditionalFormatting>
  <conditionalFormatting sqref="U3387">
    <cfRule type="expression" dxfId="983" priority="3638">
      <formula>AND($O3387="P",U3387&gt;0)</formula>
    </cfRule>
  </conditionalFormatting>
  <conditionalFormatting sqref="U3391">
    <cfRule type="expression" dxfId="982" priority="3637">
      <formula>AND($O3391="R",U3391&gt;0)</formula>
    </cfRule>
    <cfRule type="expression" dxfId="981" priority="3636">
      <formula>AND($O3391="P",U3391&gt;0)</formula>
    </cfRule>
  </conditionalFormatting>
  <conditionalFormatting sqref="U3440">
    <cfRule type="expression" dxfId="980" priority="3632">
      <formula>AND($R3440="P",U3440&gt;0)</formula>
    </cfRule>
    <cfRule type="expression" dxfId="979" priority="3633">
      <formula>AND($R3440="R",U3440&gt;0)</formula>
    </cfRule>
  </conditionalFormatting>
  <conditionalFormatting sqref="U3442">
    <cfRule type="expression" dxfId="978" priority="3630">
      <formula>AND($R3442="P",U3442&gt;0)</formula>
    </cfRule>
    <cfRule type="expression" dxfId="977" priority="3631">
      <formula>AND($R3442="R",U3442&gt;0)</formula>
    </cfRule>
  </conditionalFormatting>
  <conditionalFormatting sqref="U3444">
    <cfRule type="expression" dxfId="976" priority="3629">
      <formula>AND($O3444="P",U3444&gt;0)</formula>
    </cfRule>
    <cfRule type="expression" dxfId="975" priority="3628">
      <formula>AND($O3444="R",U3444&gt;0)</formula>
    </cfRule>
    <cfRule type="expression" dxfId="974" priority="3627">
      <formula>AND($O3444="P",U3444&gt;0)</formula>
    </cfRule>
    <cfRule type="expression" dxfId="973" priority="3626">
      <formula>AND($O3444="R",U3444&gt;0)</formula>
    </cfRule>
  </conditionalFormatting>
  <conditionalFormatting sqref="U3446">
    <cfRule type="expression" dxfId="972" priority="3625">
      <formula>AND($R3446="R",U3446&gt;0)</formula>
    </cfRule>
    <cfRule type="expression" dxfId="971" priority="3624">
      <formula>AND($R3446="P",U3446&gt;0)</formula>
    </cfRule>
  </conditionalFormatting>
  <conditionalFormatting sqref="U3448">
    <cfRule type="expression" dxfId="970" priority="3623">
      <formula>AND($R3448="R",U3448&gt;0)</formula>
    </cfRule>
    <cfRule type="expression" dxfId="969" priority="3622">
      <formula>AND($R3448="P",U3448&gt;0)</formula>
    </cfRule>
  </conditionalFormatting>
  <conditionalFormatting sqref="U3450">
    <cfRule type="expression" dxfId="968" priority="3621">
      <formula>AND($R3450="R",U3450&gt;0)</formula>
    </cfRule>
    <cfRule type="expression" dxfId="967" priority="3620">
      <formula>AND($R3450="P",U3450&gt;0)</formula>
    </cfRule>
  </conditionalFormatting>
  <conditionalFormatting sqref="U3462">
    <cfRule type="expression" dxfId="966" priority="3619">
      <formula>AND($R3462="R",U3462&gt;0)</formula>
    </cfRule>
    <cfRule type="expression" dxfId="965" priority="3618">
      <formula>AND($R3462="P",U3462&gt;0)</formula>
    </cfRule>
  </conditionalFormatting>
  <conditionalFormatting sqref="U3472">
    <cfRule type="expression" dxfId="964" priority="3616">
      <formula>AND($R3472="P",U3472&gt;0)</formula>
    </cfRule>
    <cfRule type="expression" dxfId="963" priority="3617">
      <formula>AND($R3472="R",U3472&gt;0)</formula>
    </cfRule>
  </conditionalFormatting>
  <conditionalFormatting sqref="U3474">
    <cfRule type="expression" dxfId="962" priority="3614">
      <formula>AND($R3474="P",U3474&gt;0)</formula>
    </cfRule>
    <cfRule type="expression" dxfId="961" priority="3615">
      <formula>AND($R3474="R",U3474&gt;0)</formula>
    </cfRule>
  </conditionalFormatting>
  <conditionalFormatting sqref="U3484">
    <cfRule type="expression" dxfId="960" priority="3613">
      <formula>AND($R3484="R",U3484&gt;0)</formula>
    </cfRule>
    <cfRule type="expression" dxfId="959" priority="3612">
      <formula>AND($R3484="P",U3484&gt;0)</formula>
    </cfRule>
  </conditionalFormatting>
  <conditionalFormatting sqref="U3486">
    <cfRule type="expression" dxfId="958" priority="3610">
      <formula>AND($R3486="P",U3486&gt;0)</formula>
    </cfRule>
    <cfRule type="expression" dxfId="957" priority="3611">
      <formula>AND($R3486="R",U3486&gt;0)</formula>
    </cfRule>
  </conditionalFormatting>
  <conditionalFormatting sqref="U3383:V3383">
    <cfRule type="expression" dxfId="956" priority="3609">
      <formula>AND($O3383="R",U3383&gt;0)</formula>
    </cfRule>
    <cfRule type="expression" dxfId="955" priority="3606">
      <formula>AND($O3383="P",U3383&gt;0)</formula>
    </cfRule>
    <cfRule type="expression" dxfId="954" priority="3607">
      <formula>AND($O3383="R",U3383&gt;0)</formula>
    </cfRule>
    <cfRule type="expression" dxfId="953" priority="3608">
      <formula>AND($O3383="P",U3383&gt;0)</formula>
    </cfRule>
  </conditionalFormatting>
  <conditionalFormatting sqref="U3387:V3387">
    <cfRule type="expression" dxfId="952" priority="3604">
      <formula>AND($O3387="R",U3387&gt;0)</formula>
    </cfRule>
  </conditionalFormatting>
  <conditionalFormatting sqref="U3393:V3393">
    <cfRule type="expression" dxfId="951" priority="3597">
      <formula>AND($O3393="P",U3393&gt;0)</formula>
    </cfRule>
  </conditionalFormatting>
  <conditionalFormatting sqref="V2738:V2739">
    <cfRule type="cellIs" dxfId="950" priority="3603" operator="equal">
      <formula>0</formula>
    </cfRule>
  </conditionalFormatting>
  <conditionalFormatting sqref="V3151:V3222">
    <cfRule type="cellIs" dxfId="949" priority="3602" operator="equal">
      <formula>0</formula>
    </cfRule>
  </conditionalFormatting>
  <conditionalFormatting sqref="V3277:V3286">
    <cfRule type="cellIs" dxfId="948" priority="3601" operator="equal">
      <formula>0</formula>
    </cfRule>
  </conditionalFormatting>
  <conditionalFormatting sqref="V3289:V3306">
    <cfRule type="cellIs" dxfId="947" priority="3600" operator="equal">
      <formula>0</formula>
    </cfRule>
  </conditionalFormatting>
  <conditionalFormatting sqref="V3309:V3322">
    <cfRule type="cellIs" dxfId="946" priority="3599" operator="equal">
      <formula>0</formula>
    </cfRule>
  </conditionalFormatting>
  <conditionalFormatting sqref="V3480 P3481:V3481">
    <cfRule type="cellIs" dxfId="945" priority="3596" operator="equal">
      <formula>0</formula>
    </cfRule>
  </conditionalFormatting>
  <conditionalFormatting sqref="X10:X13">
    <cfRule type="cellIs" dxfId="944" priority="3595" operator="equal">
      <formula>0</formula>
    </cfRule>
  </conditionalFormatting>
  <conditionalFormatting sqref="X102:X103">
    <cfRule type="cellIs" dxfId="943" priority="3594" operator="equal">
      <formula>0</formula>
    </cfRule>
  </conditionalFormatting>
  <conditionalFormatting sqref="X176:X177">
    <cfRule type="cellIs" dxfId="942" priority="3593" operator="equal">
      <formula>0</formula>
    </cfRule>
  </conditionalFormatting>
  <conditionalFormatting sqref="X178:X231 I411 X535:X651 X1130:X1198 P1884:V1906 X1884:X1906 P1909:V1997 X1909:X1997 X2215:X2294 X2407:X2456 X2459:X2526 P2611:V2671 X2611:X2671 X2858:X2959 X2962:X3062 V3101:V3148 P3103:U3148 X3103:X3150">
    <cfRule type="cellIs" dxfId="941" priority="3592" operator="equal">
      <formula>0</formula>
    </cfRule>
  </conditionalFormatting>
  <conditionalFormatting sqref="X234:X309 P414:V532 X414:X532 P654:V702 X654:X702 R1450:V1530 X1450:X1530 P1452:Q1530 P1533:V1616 X1533:X1616">
    <cfRule type="cellIs" dxfId="940" priority="3591" operator="equal">
      <formula>0</formula>
    </cfRule>
  </conditionalFormatting>
  <conditionalFormatting sqref="X310:X311">
    <cfRule type="cellIs" dxfId="939" priority="3590" operator="equal">
      <formula>0</formula>
    </cfRule>
  </conditionalFormatting>
  <conditionalFormatting sqref="X312:X368">
    <cfRule type="cellIs" dxfId="938" priority="3589" operator="equal">
      <formula>0</formula>
    </cfRule>
  </conditionalFormatting>
  <conditionalFormatting sqref="X369:X370">
    <cfRule type="cellIs" dxfId="937" priority="3588" operator="equal">
      <formula>0</formula>
    </cfRule>
  </conditionalFormatting>
  <conditionalFormatting sqref="X371:X379 X382:X394">
    <cfRule type="cellIs" dxfId="936" priority="3587" operator="equal">
      <formula>0</formula>
    </cfRule>
  </conditionalFormatting>
  <conditionalFormatting sqref="X380:X381">
    <cfRule type="cellIs" dxfId="935" priority="3586" operator="equal">
      <formula>0</formula>
    </cfRule>
  </conditionalFormatting>
  <conditionalFormatting sqref="X395:X396">
    <cfRule type="cellIs" dxfId="934" priority="3585" operator="equal">
      <formula>0</formula>
    </cfRule>
  </conditionalFormatting>
  <conditionalFormatting sqref="X397:X403 X406:X411 V2672:V2673 X2766:X2813 X2816:X2855">
    <cfRule type="cellIs" dxfId="933" priority="3584" operator="equal">
      <formula>0</formula>
    </cfRule>
  </conditionalFormatting>
  <conditionalFormatting sqref="X404:X405">
    <cfRule type="cellIs" dxfId="932" priority="3583" operator="equal">
      <formula>0</formula>
    </cfRule>
  </conditionalFormatting>
  <conditionalFormatting sqref="X412:X413">
    <cfRule type="cellIs" dxfId="931" priority="3582" operator="equal">
      <formula>0</formula>
    </cfRule>
  </conditionalFormatting>
  <conditionalFormatting sqref="X533:X534">
    <cfRule type="cellIs" dxfId="930" priority="3581" operator="equal">
      <formula>0</formula>
    </cfRule>
  </conditionalFormatting>
  <conditionalFormatting sqref="X652:X653">
    <cfRule type="cellIs" dxfId="929" priority="3580" operator="equal">
      <formula>0</formula>
    </cfRule>
  </conditionalFormatting>
  <conditionalFormatting sqref="X703:X704">
    <cfRule type="cellIs" dxfId="928" priority="3579" operator="equal">
      <formula>0</formula>
    </cfRule>
  </conditionalFormatting>
  <conditionalFormatting sqref="X783:X850 I848:I849 X2000:X2083">
    <cfRule type="cellIs" dxfId="927" priority="3578" operator="equal">
      <formula>0</formula>
    </cfRule>
  </conditionalFormatting>
  <conditionalFormatting sqref="X851:X852">
    <cfRule type="cellIs" dxfId="926" priority="3577" operator="equal">
      <formula>0</formula>
    </cfRule>
  </conditionalFormatting>
  <conditionalFormatting sqref="X853:X885 I994:I995">
    <cfRule type="cellIs" dxfId="925" priority="3576" operator="equal">
      <formula>0</formula>
    </cfRule>
  </conditionalFormatting>
  <conditionalFormatting sqref="X886:X887">
    <cfRule type="cellIs" dxfId="924" priority="3575" operator="equal">
      <formula>0</formula>
    </cfRule>
  </conditionalFormatting>
  <conditionalFormatting sqref="X888:X921">
    <cfRule type="cellIs" dxfId="923" priority="3574" operator="equal">
      <formula>0</formula>
    </cfRule>
  </conditionalFormatting>
  <conditionalFormatting sqref="X924:X925">
    <cfRule type="cellIs" dxfId="922" priority="3573" operator="equal">
      <formula>0</formula>
    </cfRule>
  </conditionalFormatting>
  <conditionalFormatting sqref="X926:X940 X943:X970 X973:X996 X2129:X2212">
    <cfRule type="cellIs" dxfId="921" priority="3572" operator="equal">
      <formula>0</formula>
    </cfRule>
  </conditionalFormatting>
  <conditionalFormatting sqref="X941:X942">
    <cfRule type="cellIs" dxfId="920" priority="3571" operator="equal">
      <formula>0</formula>
    </cfRule>
  </conditionalFormatting>
  <conditionalFormatting sqref="X971:X972">
    <cfRule type="cellIs" dxfId="919" priority="3570" operator="equal">
      <formula>0</formula>
    </cfRule>
  </conditionalFormatting>
  <conditionalFormatting sqref="X997:X998">
    <cfRule type="cellIs" dxfId="918" priority="3569" operator="equal">
      <formula>0</formula>
    </cfRule>
  </conditionalFormatting>
  <conditionalFormatting sqref="X999:X1019">
    <cfRule type="cellIs" dxfId="917" priority="3568" operator="equal">
      <formula>0</formula>
    </cfRule>
  </conditionalFormatting>
  <conditionalFormatting sqref="X1020:X1021">
    <cfRule type="cellIs" dxfId="916" priority="3567" operator="equal">
      <formula>0</formula>
    </cfRule>
  </conditionalFormatting>
  <conditionalFormatting sqref="X1022:X1084">
    <cfRule type="cellIs" dxfId="915" priority="3566" operator="equal">
      <formula>0</formula>
    </cfRule>
  </conditionalFormatting>
  <conditionalFormatting sqref="X1085:X1086">
    <cfRule type="cellIs" dxfId="914" priority="3565" operator="equal">
      <formula>0</formula>
    </cfRule>
  </conditionalFormatting>
  <conditionalFormatting sqref="X1087:X1127">
    <cfRule type="cellIs" dxfId="913" priority="3564" operator="equal">
      <formula>0</formula>
    </cfRule>
  </conditionalFormatting>
  <conditionalFormatting sqref="X1128:X1129">
    <cfRule type="cellIs" dxfId="912" priority="3563" operator="equal">
      <formula>0</formula>
    </cfRule>
  </conditionalFormatting>
  <conditionalFormatting sqref="X1199:X1200">
    <cfRule type="cellIs" dxfId="911" priority="3562" operator="equal">
      <formula>0</formula>
    </cfRule>
  </conditionalFormatting>
  <conditionalFormatting sqref="X1201:X1361">
    <cfRule type="cellIs" dxfId="910" priority="3561" operator="equal">
      <formula>0</formula>
    </cfRule>
  </conditionalFormatting>
  <conditionalFormatting sqref="X1362:X1363">
    <cfRule type="cellIs" dxfId="909" priority="3560" operator="equal">
      <formula>0</formula>
    </cfRule>
  </conditionalFormatting>
  <conditionalFormatting sqref="X1364:X1447">
    <cfRule type="cellIs" dxfId="908" priority="3559" operator="equal">
      <formula>0</formula>
    </cfRule>
  </conditionalFormatting>
  <conditionalFormatting sqref="X1531:X1532">
    <cfRule type="cellIs" dxfId="907" priority="3558" operator="equal">
      <formula>0</formula>
    </cfRule>
  </conditionalFormatting>
  <conditionalFormatting sqref="X1617:X1618">
    <cfRule type="cellIs" dxfId="906" priority="3557" operator="equal">
      <formula>0</formula>
    </cfRule>
  </conditionalFormatting>
  <conditionalFormatting sqref="X1619:X1629">
    <cfRule type="cellIs" dxfId="905" priority="3556" operator="equal">
      <formula>0</formula>
    </cfRule>
  </conditionalFormatting>
  <conditionalFormatting sqref="X1630:X1631">
    <cfRule type="cellIs" dxfId="904" priority="3555" operator="equal">
      <formula>0</formula>
    </cfRule>
  </conditionalFormatting>
  <conditionalFormatting sqref="X1632:X1697">
    <cfRule type="cellIs" dxfId="903" priority="3554" operator="equal">
      <formula>0</formula>
    </cfRule>
  </conditionalFormatting>
  <conditionalFormatting sqref="X1700:X1772">
    <cfRule type="cellIs" dxfId="902" priority="3553" operator="equal">
      <formula>0</formula>
    </cfRule>
  </conditionalFormatting>
  <conditionalFormatting sqref="X1773:X1774">
    <cfRule type="cellIs" dxfId="901" priority="3552" operator="equal">
      <formula>0</formula>
    </cfRule>
  </conditionalFormatting>
  <conditionalFormatting sqref="X1806:X1809">
    <cfRule type="cellIs" dxfId="900" priority="3550" operator="equal">
      <formula>0</formula>
    </cfRule>
  </conditionalFormatting>
  <conditionalFormatting sqref="X1808:X1846 X1775:X1805 X2297:X2319 X2322:X2332">
    <cfRule type="cellIs" dxfId="899" priority="3551" operator="equal">
      <formula>0</formula>
    </cfRule>
  </conditionalFormatting>
  <conditionalFormatting sqref="X1847:X1848">
    <cfRule type="cellIs" dxfId="898" priority="3549" operator="equal">
      <formula>0</formula>
    </cfRule>
  </conditionalFormatting>
  <conditionalFormatting sqref="X1849:X1859">
    <cfRule type="cellIs" dxfId="897" priority="3548" operator="equal">
      <formula>0</formula>
    </cfRule>
  </conditionalFormatting>
  <conditionalFormatting sqref="X1860:X1861">
    <cfRule type="cellIs" dxfId="896" priority="3547" operator="equal">
      <formula>0</formula>
    </cfRule>
  </conditionalFormatting>
  <conditionalFormatting sqref="X1862:X1881">
    <cfRule type="cellIs" dxfId="895" priority="3546" operator="equal">
      <formula>0</formula>
    </cfRule>
  </conditionalFormatting>
  <conditionalFormatting sqref="X1907:X1908">
    <cfRule type="cellIs" dxfId="894" priority="3545" operator="equal">
      <formula>0</formula>
    </cfRule>
  </conditionalFormatting>
  <conditionalFormatting sqref="X1998:X1999">
    <cfRule type="cellIs" dxfId="893" priority="3544" operator="equal">
      <formula>0</formula>
    </cfRule>
  </conditionalFormatting>
  <conditionalFormatting sqref="X2084:X2085">
    <cfRule type="cellIs" dxfId="892" priority="3543" operator="equal">
      <formula>0</formula>
    </cfRule>
  </conditionalFormatting>
  <conditionalFormatting sqref="X2086:X2126">
    <cfRule type="cellIs" dxfId="891" priority="3542" operator="equal">
      <formula>0</formula>
    </cfRule>
  </conditionalFormatting>
  <conditionalFormatting sqref="X2127:X2128">
    <cfRule type="cellIs" dxfId="890" priority="3541" operator="equal">
      <formula>0</formula>
    </cfRule>
  </conditionalFormatting>
  <conditionalFormatting sqref="X2213:X2214">
    <cfRule type="cellIs" dxfId="889" priority="3540" operator="equal">
      <formula>0</formula>
    </cfRule>
  </conditionalFormatting>
  <conditionalFormatting sqref="X2320:X2321">
    <cfRule type="cellIs" dxfId="888" priority="3539" operator="equal">
      <formula>0</formula>
    </cfRule>
  </conditionalFormatting>
  <conditionalFormatting sqref="X2333:X2334">
    <cfRule type="cellIs" dxfId="887" priority="3538" operator="equal">
      <formula>0</formula>
    </cfRule>
  </conditionalFormatting>
  <conditionalFormatting sqref="X2335:X2344">
    <cfRule type="cellIs" dxfId="886" priority="3537" operator="equal">
      <formula>0</formula>
    </cfRule>
  </conditionalFormatting>
  <conditionalFormatting sqref="X2345:X2346">
    <cfRule type="cellIs" dxfId="885" priority="3536" operator="equal">
      <formula>0</formula>
    </cfRule>
  </conditionalFormatting>
  <conditionalFormatting sqref="X2347:X2358">
    <cfRule type="cellIs" dxfId="884" priority="3535" operator="equal">
      <formula>0</formula>
    </cfRule>
  </conditionalFormatting>
  <conditionalFormatting sqref="X2359:X2360">
    <cfRule type="cellIs" dxfId="883" priority="3534" operator="equal">
      <formula>0</formula>
    </cfRule>
  </conditionalFormatting>
  <conditionalFormatting sqref="X2361:X2378">
    <cfRule type="cellIs" dxfId="882" priority="3533" operator="equal">
      <formula>0</formula>
    </cfRule>
  </conditionalFormatting>
  <conditionalFormatting sqref="X2379:X2380">
    <cfRule type="cellIs" dxfId="881" priority="3532" operator="equal">
      <formula>0</formula>
    </cfRule>
  </conditionalFormatting>
  <conditionalFormatting sqref="X2393:X2394">
    <cfRule type="cellIs" dxfId="880" priority="3531" operator="equal">
      <formula>0</formula>
    </cfRule>
  </conditionalFormatting>
  <conditionalFormatting sqref="X2395:X2404">
    <cfRule type="cellIs" dxfId="879" priority="3530" operator="equal">
      <formula>0</formula>
    </cfRule>
  </conditionalFormatting>
  <conditionalFormatting sqref="X2405:X2406">
    <cfRule type="cellIs" dxfId="878" priority="3529" operator="equal">
      <formula>0</formula>
    </cfRule>
  </conditionalFormatting>
  <conditionalFormatting sqref="X2457:X2458">
    <cfRule type="cellIs" dxfId="877" priority="3528" operator="equal">
      <formula>0</formula>
    </cfRule>
  </conditionalFormatting>
  <conditionalFormatting sqref="X2527:X2528">
    <cfRule type="cellIs" dxfId="876" priority="3527" operator="equal">
      <formula>0</formula>
    </cfRule>
  </conditionalFormatting>
  <conditionalFormatting sqref="X2529:X2536">
    <cfRule type="cellIs" dxfId="875" priority="3526" operator="equal">
      <formula>0</formula>
    </cfRule>
  </conditionalFormatting>
  <conditionalFormatting sqref="X2537:X2538">
    <cfRule type="cellIs" dxfId="874" priority="3525" operator="equal">
      <formula>0</formula>
    </cfRule>
  </conditionalFormatting>
  <conditionalFormatting sqref="X2539:X2562">
    <cfRule type="cellIs" dxfId="873" priority="3524" operator="equal">
      <formula>0</formula>
    </cfRule>
  </conditionalFormatting>
  <conditionalFormatting sqref="X2563:X2564">
    <cfRule type="cellIs" dxfId="872" priority="3523" operator="equal">
      <formula>0</formula>
    </cfRule>
  </conditionalFormatting>
  <conditionalFormatting sqref="X2565:X2608">
    <cfRule type="cellIs" dxfId="871" priority="3522" operator="equal">
      <formula>0</formula>
    </cfRule>
  </conditionalFormatting>
  <conditionalFormatting sqref="X2609:X2610">
    <cfRule type="cellIs" dxfId="870" priority="3521" operator="equal">
      <formula>0</formula>
    </cfRule>
  </conditionalFormatting>
  <conditionalFormatting sqref="X2672:X2673">
    <cfRule type="cellIs" dxfId="869" priority="3520" operator="equal">
      <formula>0</formula>
    </cfRule>
  </conditionalFormatting>
  <conditionalFormatting sqref="X2738:X2739">
    <cfRule type="cellIs" dxfId="868" priority="3519" operator="equal">
      <formula>0</formula>
    </cfRule>
  </conditionalFormatting>
  <conditionalFormatting sqref="X2740:X2763">
    <cfRule type="cellIs" dxfId="867" priority="3518" operator="equal">
      <formula>0</formula>
    </cfRule>
  </conditionalFormatting>
  <conditionalFormatting sqref="X2764:X2765">
    <cfRule type="cellIs" dxfId="866" priority="3517" operator="equal">
      <formula>0</formula>
    </cfRule>
  </conditionalFormatting>
  <conditionalFormatting sqref="X2814:X2815">
    <cfRule type="cellIs" dxfId="865" priority="3516" operator="equal">
      <formula>0</formula>
    </cfRule>
  </conditionalFormatting>
  <conditionalFormatting sqref="X2856:X2857">
    <cfRule type="cellIs" dxfId="864" priority="3515" operator="equal">
      <formula>0</formula>
    </cfRule>
  </conditionalFormatting>
  <conditionalFormatting sqref="X2960:X2961">
    <cfRule type="cellIs" dxfId="863" priority="3514" operator="equal">
      <formula>0</formula>
    </cfRule>
  </conditionalFormatting>
  <conditionalFormatting sqref="X3063:X3064">
    <cfRule type="cellIs" dxfId="862" priority="3513" operator="equal">
      <formula>0</formula>
    </cfRule>
  </conditionalFormatting>
  <conditionalFormatting sqref="X3065:X3100">
    <cfRule type="cellIs" dxfId="861" priority="3512" operator="equal">
      <formula>0</formula>
    </cfRule>
  </conditionalFormatting>
  <conditionalFormatting sqref="X3101:X3102">
    <cfRule type="cellIs" dxfId="860" priority="3511" operator="equal">
      <formula>0</formula>
    </cfRule>
  </conditionalFormatting>
  <conditionalFormatting sqref="X3151:X3152">
    <cfRule type="cellIs" dxfId="859" priority="3510" operator="equal">
      <formula>0</formula>
    </cfRule>
  </conditionalFormatting>
  <conditionalFormatting sqref="X3153:X3227">
    <cfRule type="cellIs" dxfId="858" priority="3509" operator="equal">
      <formula>0</formula>
    </cfRule>
  </conditionalFormatting>
  <conditionalFormatting sqref="X3228:X3229">
    <cfRule type="cellIs" dxfId="857" priority="3508" operator="equal">
      <formula>0</formula>
    </cfRule>
  </conditionalFormatting>
  <conditionalFormatting sqref="X3252:X3253">
    <cfRule type="cellIs" dxfId="856" priority="3507" operator="equal">
      <formula>0</formula>
    </cfRule>
  </conditionalFormatting>
  <conditionalFormatting sqref="X3254:X3276">
    <cfRule type="cellIs" dxfId="855" priority="3506" operator="equal">
      <formula>0</formula>
    </cfRule>
  </conditionalFormatting>
  <conditionalFormatting sqref="X3277:X3278">
    <cfRule type="cellIs" dxfId="854" priority="3505" operator="equal">
      <formula>0</formula>
    </cfRule>
  </conditionalFormatting>
  <conditionalFormatting sqref="X3279:X3288">
    <cfRule type="cellIs" dxfId="853" priority="3504" operator="equal">
      <formula>0</formula>
    </cfRule>
  </conditionalFormatting>
  <conditionalFormatting sqref="X3289:X3290">
    <cfRule type="cellIs" dxfId="852" priority="3503" operator="equal">
      <formula>0</formula>
    </cfRule>
  </conditionalFormatting>
  <conditionalFormatting sqref="X3291:X3308">
    <cfRule type="cellIs" dxfId="851" priority="3502" operator="equal">
      <formula>0</formula>
    </cfRule>
  </conditionalFormatting>
  <conditionalFormatting sqref="X3309:X3310">
    <cfRule type="cellIs" dxfId="850" priority="3501" operator="equal">
      <formula>0</formula>
    </cfRule>
  </conditionalFormatting>
  <conditionalFormatting sqref="X3311:X3328">
    <cfRule type="cellIs" dxfId="849" priority="3500" operator="equal">
      <formula>0</formula>
    </cfRule>
  </conditionalFormatting>
  <conditionalFormatting sqref="X3329:X3330">
    <cfRule type="cellIs" dxfId="848" priority="3499" operator="equal">
      <formula>0</formula>
    </cfRule>
  </conditionalFormatting>
  <conditionalFormatting sqref="X3331:X3349 I3352:I3363 X3352:X3364">
    <cfRule type="cellIs" dxfId="847" priority="3498" operator="equal">
      <formula>0</formula>
    </cfRule>
  </conditionalFormatting>
  <conditionalFormatting sqref="X3350:X3351">
    <cfRule type="cellIs" dxfId="846" priority="3497" operator="equal">
      <formula>0</formula>
    </cfRule>
  </conditionalFormatting>
  <conditionalFormatting sqref="X3365:X3366">
    <cfRule type="cellIs" dxfId="845" priority="3496" operator="equal">
      <formula>0</formula>
    </cfRule>
  </conditionalFormatting>
  <conditionalFormatting sqref="X3381:X3382">
    <cfRule type="cellIs" dxfId="844" priority="3495" operator="equal">
      <formula>0</formula>
    </cfRule>
  </conditionalFormatting>
  <conditionalFormatting sqref="X3416:X3417">
    <cfRule type="cellIs" dxfId="843" priority="3494" operator="equal">
      <formula>0</formula>
    </cfRule>
  </conditionalFormatting>
  <conditionalFormatting sqref="X3489:X3490">
    <cfRule type="cellIs" dxfId="842" priority="3493" operator="equal">
      <formula>0</formula>
    </cfRule>
  </conditionalFormatting>
  <conditionalFormatting sqref="X3506:X3507">
    <cfRule type="cellIs" dxfId="841" priority="3492" operator="equal">
      <formula>0</formula>
    </cfRule>
  </conditionalFormatting>
  <conditionalFormatting sqref="X3508:X3515">
    <cfRule type="cellIs" dxfId="840" priority="3491" operator="equal">
      <formula>0</formula>
    </cfRule>
  </conditionalFormatting>
  <conditionalFormatting sqref="Y10">
    <cfRule type="dataBar" priority="3490">
      <dataBar>
        <cfvo type="num" val="0"/>
        <cfvo type="num" val="1"/>
        <color theme="4" tint="0.79998168889431442"/>
      </dataBar>
      <extLst>
        <ext xmlns:x14="http://schemas.microsoft.com/office/spreadsheetml/2009/9/main" uri="{B025F937-C7B1-47D3-B67F-A62EFF666E3E}">
          <x14:id>{DD48C1B8-25B7-43F9-93C7-6BFB4CEEA46E}</x14:id>
        </ext>
      </extLst>
    </cfRule>
    <cfRule type="iconSet" priority="3489">
      <iconSet iconSet="3Arrows">
        <cfvo type="percent" val="0"/>
        <cfvo type="num" val="0.7"/>
        <cfvo type="num" val="1"/>
      </iconSet>
    </cfRule>
  </conditionalFormatting>
  <conditionalFormatting sqref="Y14">
    <cfRule type="dataBar" priority="3488">
      <dataBar>
        <cfvo type="num" val="0"/>
        <cfvo type="num" val="1"/>
        <color theme="4" tint="0.79998168889431442"/>
      </dataBar>
      <extLst>
        <ext xmlns:x14="http://schemas.microsoft.com/office/spreadsheetml/2009/9/main" uri="{B025F937-C7B1-47D3-B67F-A62EFF666E3E}">
          <x14:id>{81F6F155-C74F-43F6-9032-ED1F6E1AE505}</x14:id>
        </ext>
      </extLst>
    </cfRule>
    <cfRule type="iconSet" priority="3487">
      <iconSet iconSet="3Arrows">
        <cfvo type="percent" val="0"/>
        <cfvo type="num" val="0.7"/>
        <cfvo type="num" val="1"/>
      </iconSet>
    </cfRule>
  </conditionalFormatting>
  <conditionalFormatting sqref="Y16">
    <cfRule type="dataBar" priority="3486">
      <dataBar>
        <cfvo type="num" val="0"/>
        <cfvo type="num" val="1"/>
        <color theme="4" tint="0.79998168889431442"/>
      </dataBar>
      <extLst>
        <ext xmlns:x14="http://schemas.microsoft.com/office/spreadsheetml/2009/9/main" uri="{B025F937-C7B1-47D3-B67F-A62EFF666E3E}">
          <x14:id>{E7436F63-278C-4FD5-8814-679A73566D62}</x14:id>
        </ext>
      </extLst>
    </cfRule>
    <cfRule type="iconSet" priority="3485">
      <iconSet iconSet="3Arrows">
        <cfvo type="percent" val="0"/>
        <cfvo type="num" val="0.7"/>
        <cfvo type="num" val="1"/>
      </iconSet>
    </cfRule>
  </conditionalFormatting>
  <conditionalFormatting sqref="Y18">
    <cfRule type="iconSet" priority="3483">
      <iconSet iconSet="3Arrows">
        <cfvo type="percent" val="0"/>
        <cfvo type="num" val="0.7"/>
        <cfvo type="num" val="1"/>
      </iconSet>
    </cfRule>
    <cfRule type="dataBar" priority="3484">
      <dataBar>
        <cfvo type="num" val="0"/>
        <cfvo type="num" val="1"/>
        <color theme="4" tint="0.79998168889431442"/>
      </dataBar>
      <extLst>
        <ext xmlns:x14="http://schemas.microsoft.com/office/spreadsheetml/2009/9/main" uri="{B025F937-C7B1-47D3-B67F-A62EFF666E3E}">
          <x14:id>{4F7CD94C-E8E1-4482-B07D-C9A97B681D68}</x14:id>
        </ext>
      </extLst>
    </cfRule>
  </conditionalFormatting>
  <conditionalFormatting sqref="Y20">
    <cfRule type="iconSet" priority="3481">
      <iconSet iconSet="3Arrows">
        <cfvo type="percent" val="0"/>
        <cfvo type="num" val="0.7"/>
        <cfvo type="num" val="1"/>
      </iconSet>
    </cfRule>
    <cfRule type="dataBar" priority="3482">
      <dataBar>
        <cfvo type="num" val="0"/>
        <cfvo type="num" val="1"/>
        <color theme="4" tint="0.79998168889431442"/>
      </dataBar>
      <extLst>
        <ext xmlns:x14="http://schemas.microsoft.com/office/spreadsheetml/2009/9/main" uri="{B025F937-C7B1-47D3-B67F-A62EFF666E3E}">
          <x14:id>{0FDC6937-641D-4006-8F2A-9C07458B2188}</x14:id>
        </ext>
      </extLst>
    </cfRule>
  </conditionalFormatting>
  <conditionalFormatting sqref="Y22">
    <cfRule type="iconSet" priority="3479">
      <iconSet iconSet="3Arrows">
        <cfvo type="percent" val="0"/>
        <cfvo type="num" val="0.7"/>
        <cfvo type="num" val="1"/>
      </iconSet>
    </cfRule>
    <cfRule type="dataBar" priority="3480">
      <dataBar>
        <cfvo type="num" val="0"/>
        <cfvo type="num" val="1"/>
        <color theme="4" tint="0.79998168889431442"/>
      </dataBar>
      <extLst>
        <ext xmlns:x14="http://schemas.microsoft.com/office/spreadsheetml/2009/9/main" uri="{B025F937-C7B1-47D3-B67F-A62EFF666E3E}">
          <x14:id>{316044EC-5EBB-49B5-A966-F8C8E61A2E39}</x14:id>
        </ext>
      </extLst>
    </cfRule>
  </conditionalFormatting>
  <conditionalFormatting sqref="Y44 Y64 Y24 Y26 Y28 Y30 Y32 Y34 Y36 Y38 Y40 Y42 Y46 Y48 Y50 Y52 Y54 Y56 Y58 Y66">
    <cfRule type="iconSet" priority="3475">
      <iconSet iconSet="3Arrows">
        <cfvo type="percent" val="0"/>
        <cfvo type="num" val="0.7"/>
        <cfvo type="num" val="1"/>
      </iconSet>
    </cfRule>
    <cfRule type="dataBar" priority="3476">
      <dataBar>
        <cfvo type="num" val="0"/>
        <cfvo type="num" val="1"/>
        <color theme="4" tint="0.79998168889431442"/>
      </dataBar>
      <extLst>
        <ext xmlns:x14="http://schemas.microsoft.com/office/spreadsheetml/2009/9/main" uri="{B025F937-C7B1-47D3-B67F-A62EFF666E3E}">
          <x14:id>{4E94F8AE-B5E1-4515-87DB-F72B7190A341}</x14:id>
        </ext>
      </extLst>
    </cfRule>
  </conditionalFormatting>
  <conditionalFormatting sqref="Y60 Y62">
    <cfRule type="dataBar" priority="3478">
      <dataBar>
        <cfvo type="num" val="0"/>
        <cfvo type="num" val="1"/>
        <color theme="4" tint="0.79998168889431442"/>
      </dataBar>
      <extLst>
        <ext xmlns:x14="http://schemas.microsoft.com/office/spreadsheetml/2009/9/main" uri="{B025F937-C7B1-47D3-B67F-A62EFF666E3E}">
          <x14:id>{7EAA3CFA-0F8C-4E12-A113-CA8E9D4EB79B}</x14:id>
        </ext>
      </extLst>
    </cfRule>
    <cfRule type="iconSet" priority="3477">
      <iconSet iconSet="3Arrows">
        <cfvo type="percent" val="0"/>
        <cfvo type="num" val="0.7"/>
        <cfvo type="num" val="1"/>
      </iconSet>
    </cfRule>
  </conditionalFormatting>
  <conditionalFormatting sqref="Y68">
    <cfRule type="dataBar" priority="3474">
      <dataBar>
        <cfvo type="num" val="0"/>
        <cfvo type="num" val="1"/>
        <color theme="4" tint="0.79998168889431442"/>
      </dataBar>
      <extLst>
        <ext xmlns:x14="http://schemas.microsoft.com/office/spreadsheetml/2009/9/main" uri="{B025F937-C7B1-47D3-B67F-A62EFF666E3E}">
          <x14:id>{9996C762-94D9-491A-8BCA-299C0607661F}</x14:id>
        </ext>
      </extLst>
    </cfRule>
    <cfRule type="iconSet" priority="3473">
      <iconSet iconSet="3Arrows">
        <cfvo type="percent" val="0"/>
        <cfvo type="num" val="0.7"/>
        <cfvo type="num" val="1"/>
      </iconSet>
    </cfRule>
  </conditionalFormatting>
  <conditionalFormatting sqref="Y70">
    <cfRule type="iconSet" priority="3471">
      <iconSet iconSet="3Arrows">
        <cfvo type="percent" val="0"/>
        <cfvo type="num" val="0.7"/>
        <cfvo type="num" val="1"/>
      </iconSet>
    </cfRule>
    <cfRule type="dataBar" priority="3472">
      <dataBar>
        <cfvo type="num" val="0"/>
        <cfvo type="num" val="1"/>
        <color theme="4" tint="0.79998168889431442"/>
      </dataBar>
      <extLst>
        <ext xmlns:x14="http://schemas.microsoft.com/office/spreadsheetml/2009/9/main" uri="{B025F937-C7B1-47D3-B67F-A62EFF666E3E}">
          <x14:id>{119EECE5-59B5-42E1-9F1D-98247A36F8F1}</x14:id>
        </ext>
      </extLst>
    </cfRule>
  </conditionalFormatting>
  <conditionalFormatting sqref="Y72">
    <cfRule type="iconSet" priority="3469">
      <iconSet iconSet="3Arrows">
        <cfvo type="percent" val="0"/>
        <cfvo type="num" val="0.7"/>
        <cfvo type="num" val="1"/>
      </iconSet>
    </cfRule>
    <cfRule type="dataBar" priority="3470">
      <dataBar>
        <cfvo type="num" val="0"/>
        <cfvo type="num" val="1"/>
        <color theme="4" tint="0.79998168889431442"/>
      </dataBar>
      <extLst>
        <ext xmlns:x14="http://schemas.microsoft.com/office/spreadsheetml/2009/9/main" uri="{B025F937-C7B1-47D3-B67F-A62EFF666E3E}">
          <x14:id>{5C7F5F00-0D1C-4FE1-86A2-63532876EBB5}</x14:id>
        </ext>
      </extLst>
    </cfRule>
  </conditionalFormatting>
  <conditionalFormatting sqref="Y74">
    <cfRule type="dataBar" priority="3468">
      <dataBar>
        <cfvo type="num" val="0"/>
        <cfvo type="num" val="1"/>
        <color theme="4" tint="0.79998168889431442"/>
      </dataBar>
      <extLst>
        <ext xmlns:x14="http://schemas.microsoft.com/office/spreadsheetml/2009/9/main" uri="{B025F937-C7B1-47D3-B67F-A62EFF666E3E}">
          <x14:id>{A0E49080-6862-4F73-AFCD-E0EC47545C3E}</x14:id>
        </ext>
      </extLst>
    </cfRule>
    <cfRule type="iconSet" priority="3467">
      <iconSet iconSet="3Arrows">
        <cfvo type="percent" val="0"/>
        <cfvo type="num" val="0.7"/>
        <cfvo type="num" val="1"/>
      </iconSet>
    </cfRule>
  </conditionalFormatting>
  <conditionalFormatting sqref="Y76">
    <cfRule type="iconSet" priority="3465">
      <iconSet iconSet="3Arrows">
        <cfvo type="percent" val="0"/>
        <cfvo type="num" val="0.7"/>
        <cfvo type="num" val="1"/>
      </iconSet>
    </cfRule>
    <cfRule type="dataBar" priority="3466">
      <dataBar>
        <cfvo type="num" val="0"/>
        <cfvo type="num" val="1"/>
        <color theme="4" tint="0.79998168889431442"/>
      </dataBar>
      <extLst>
        <ext xmlns:x14="http://schemas.microsoft.com/office/spreadsheetml/2009/9/main" uri="{B025F937-C7B1-47D3-B67F-A62EFF666E3E}">
          <x14:id>{0C61911E-3642-4986-BAC9-3ADE6FFF645E}</x14:id>
        </ext>
      </extLst>
    </cfRule>
  </conditionalFormatting>
  <conditionalFormatting sqref="Y78">
    <cfRule type="iconSet" priority="3463">
      <iconSet iconSet="3Arrows">
        <cfvo type="percent" val="0"/>
        <cfvo type="num" val="0.7"/>
        <cfvo type="num" val="1"/>
      </iconSet>
    </cfRule>
    <cfRule type="dataBar" priority="3464">
      <dataBar>
        <cfvo type="num" val="0"/>
        <cfvo type="num" val="1"/>
        <color theme="4" tint="0.79998168889431442"/>
      </dataBar>
      <extLst>
        <ext xmlns:x14="http://schemas.microsoft.com/office/spreadsheetml/2009/9/main" uri="{B025F937-C7B1-47D3-B67F-A62EFF666E3E}">
          <x14:id>{8470FAF4-1F20-41D3-8EED-5FB62C8AEF39}</x14:id>
        </ext>
      </extLst>
    </cfRule>
  </conditionalFormatting>
  <conditionalFormatting sqref="Y80">
    <cfRule type="iconSet" priority="3461">
      <iconSet iconSet="3Arrows">
        <cfvo type="percent" val="0"/>
        <cfvo type="num" val="0.7"/>
        <cfvo type="num" val="1"/>
      </iconSet>
    </cfRule>
    <cfRule type="dataBar" priority="3462">
      <dataBar>
        <cfvo type="num" val="0"/>
        <cfvo type="num" val="1"/>
        <color theme="4" tint="0.79998168889431442"/>
      </dataBar>
      <extLst>
        <ext xmlns:x14="http://schemas.microsoft.com/office/spreadsheetml/2009/9/main" uri="{B025F937-C7B1-47D3-B67F-A62EFF666E3E}">
          <x14:id>{49379DD5-CDAD-48FD-A0C2-3F8E34CCF9A6}</x14:id>
        </ext>
      </extLst>
    </cfRule>
  </conditionalFormatting>
  <conditionalFormatting sqref="Y82">
    <cfRule type="iconSet" priority="3459">
      <iconSet iconSet="3Arrows">
        <cfvo type="percent" val="0"/>
        <cfvo type="num" val="0.7"/>
        <cfvo type="num" val="1"/>
      </iconSet>
    </cfRule>
    <cfRule type="dataBar" priority="3460">
      <dataBar>
        <cfvo type="num" val="0"/>
        <cfvo type="num" val="1"/>
        <color theme="4" tint="0.79998168889431442"/>
      </dataBar>
      <extLst>
        <ext xmlns:x14="http://schemas.microsoft.com/office/spreadsheetml/2009/9/main" uri="{B025F937-C7B1-47D3-B67F-A62EFF666E3E}">
          <x14:id>{F1C02535-BBA3-4D49-9E14-0CB7CBC9F074}</x14:id>
        </ext>
      </extLst>
    </cfRule>
  </conditionalFormatting>
  <conditionalFormatting sqref="Y84">
    <cfRule type="dataBar" priority="3458">
      <dataBar>
        <cfvo type="num" val="0"/>
        <cfvo type="num" val="1"/>
        <color theme="4" tint="0.79998168889431442"/>
      </dataBar>
      <extLst>
        <ext xmlns:x14="http://schemas.microsoft.com/office/spreadsheetml/2009/9/main" uri="{B025F937-C7B1-47D3-B67F-A62EFF666E3E}">
          <x14:id>{976307F3-FAFC-47F4-B58B-7351DC53754C}</x14:id>
        </ext>
      </extLst>
    </cfRule>
    <cfRule type="iconSet" priority="3457">
      <iconSet iconSet="3Arrows">
        <cfvo type="percent" val="0"/>
        <cfvo type="num" val="0.7"/>
        <cfvo type="num" val="1"/>
      </iconSet>
    </cfRule>
  </conditionalFormatting>
  <conditionalFormatting sqref="Y86">
    <cfRule type="iconSet" priority="3455">
      <iconSet iconSet="3Arrows">
        <cfvo type="percent" val="0"/>
        <cfvo type="num" val="0.7"/>
        <cfvo type="num" val="1"/>
      </iconSet>
    </cfRule>
    <cfRule type="dataBar" priority="3456">
      <dataBar>
        <cfvo type="num" val="0"/>
        <cfvo type="num" val="1"/>
        <color theme="4" tint="0.79998168889431442"/>
      </dataBar>
      <extLst>
        <ext xmlns:x14="http://schemas.microsoft.com/office/spreadsheetml/2009/9/main" uri="{B025F937-C7B1-47D3-B67F-A62EFF666E3E}">
          <x14:id>{20C83691-3244-4C19-9DDF-779F093A34E1}</x14:id>
        </ext>
      </extLst>
    </cfRule>
  </conditionalFormatting>
  <conditionalFormatting sqref="Y88">
    <cfRule type="dataBar" priority="3454">
      <dataBar>
        <cfvo type="num" val="0"/>
        <cfvo type="num" val="1"/>
        <color theme="4" tint="0.79998168889431442"/>
      </dataBar>
      <extLst>
        <ext xmlns:x14="http://schemas.microsoft.com/office/spreadsheetml/2009/9/main" uri="{B025F937-C7B1-47D3-B67F-A62EFF666E3E}">
          <x14:id>{AC1E6908-2E16-40A5-9785-08EC0889185F}</x14:id>
        </ext>
      </extLst>
    </cfRule>
    <cfRule type="iconSet" priority="3453">
      <iconSet iconSet="3Arrows">
        <cfvo type="percent" val="0"/>
        <cfvo type="num" val="0.7"/>
        <cfvo type="num" val="1"/>
      </iconSet>
    </cfRule>
  </conditionalFormatting>
  <conditionalFormatting sqref="Y90">
    <cfRule type="dataBar" priority="3452">
      <dataBar>
        <cfvo type="num" val="0"/>
        <cfvo type="num" val="1"/>
        <color theme="4" tint="0.79998168889431442"/>
      </dataBar>
      <extLst>
        <ext xmlns:x14="http://schemas.microsoft.com/office/spreadsheetml/2009/9/main" uri="{B025F937-C7B1-47D3-B67F-A62EFF666E3E}">
          <x14:id>{AB71AA11-9B3E-484F-BE7A-E73A8E4EE224}</x14:id>
        </ext>
      </extLst>
    </cfRule>
    <cfRule type="iconSet" priority="3451">
      <iconSet iconSet="3Arrows">
        <cfvo type="percent" val="0"/>
        <cfvo type="num" val="0.7"/>
        <cfvo type="num" val="1"/>
      </iconSet>
    </cfRule>
  </conditionalFormatting>
  <conditionalFormatting sqref="Y92">
    <cfRule type="dataBar" priority="3450">
      <dataBar>
        <cfvo type="num" val="0"/>
        <cfvo type="num" val="1"/>
        <color theme="4" tint="0.79998168889431442"/>
      </dataBar>
      <extLst>
        <ext xmlns:x14="http://schemas.microsoft.com/office/spreadsheetml/2009/9/main" uri="{B025F937-C7B1-47D3-B67F-A62EFF666E3E}">
          <x14:id>{B172E165-FC0B-4B40-9556-E0F8BB909335}</x14:id>
        </ext>
      </extLst>
    </cfRule>
    <cfRule type="iconSet" priority="3449">
      <iconSet iconSet="3Arrows">
        <cfvo type="percent" val="0"/>
        <cfvo type="num" val="0.7"/>
        <cfvo type="num" val="1"/>
      </iconSet>
    </cfRule>
  </conditionalFormatting>
  <conditionalFormatting sqref="Y94">
    <cfRule type="dataBar" priority="3448">
      <dataBar>
        <cfvo type="num" val="0"/>
        <cfvo type="num" val="1"/>
        <color theme="4" tint="0.79998168889431442"/>
      </dataBar>
      <extLst>
        <ext xmlns:x14="http://schemas.microsoft.com/office/spreadsheetml/2009/9/main" uri="{B025F937-C7B1-47D3-B67F-A62EFF666E3E}">
          <x14:id>{7CAE5345-2F9E-4983-9827-30006B796211}</x14:id>
        </ext>
      </extLst>
    </cfRule>
    <cfRule type="iconSet" priority="3447">
      <iconSet iconSet="3Arrows">
        <cfvo type="percent" val="0"/>
        <cfvo type="num" val="0.7"/>
        <cfvo type="num" val="1"/>
      </iconSet>
    </cfRule>
  </conditionalFormatting>
  <conditionalFormatting sqref="Y96">
    <cfRule type="iconSet" priority="3445">
      <iconSet iconSet="3Arrows">
        <cfvo type="percent" val="0"/>
        <cfvo type="num" val="0.7"/>
        <cfvo type="num" val="1"/>
      </iconSet>
    </cfRule>
    <cfRule type="dataBar" priority="3446">
      <dataBar>
        <cfvo type="num" val="0"/>
        <cfvo type="num" val="1"/>
        <color theme="4" tint="0.79998168889431442"/>
      </dataBar>
      <extLst>
        <ext xmlns:x14="http://schemas.microsoft.com/office/spreadsheetml/2009/9/main" uri="{B025F937-C7B1-47D3-B67F-A62EFF666E3E}">
          <x14:id>{FA971BCB-ADC7-4157-B1B8-FC3057A80B81}</x14:id>
        </ext>
      </extLst>
    </cfRule>
  </conditionalFormatting>
  <conditionalFormatting sqref="Y98">
    <cfRule type="iconSet" priority="3443">
      <iconSet iconSet="3Arrows">
        <cfvo type="percent" val="0"/>
        <cfvo type="num" val="0.7"/>
        <cfvo type="num" val="1"/>
      </iconSet>
    </cfRule>
    <cfRule type="dataBar" priority="3444">
      <dataBar>
        <cfvo type="num" val="0"/>
        <cfvo type="num" val="1"/>
        <color theme="4" tint="0.79998168889431442"/>
      </dataBar>
      <extLst>
        <ext xmlns:x14="http://schemas.microsoft.com/office/spreadsheetml/2009/9/main" uri="{B025F937-C7B1-47D3-B67F-A62EFF666E3E}">
          <x14:id>{7860F537-2967-496B-8F7C-F7E032CEE50C}</x14:id>
        </ext>
      </extLst>
    </cfRule>
  </conditionalFormatting>
  <conditionalFormatting sqref="Y102">
    <cfRule type="dataBar" priority="3442">
      <dataBar>
        <cfvo type="num" val="0"/>
        <cfvo type="num" val="1"/>
        <color theme="4" tint="0.79998168889431442"/>
      </dataBar>
      <extLst>
        <ext xmlns:x14="http://schemas.microsoft.com/office/spreadsheetml/2009/9/main" uri="{B025F937-C7B1-47D3-B67F-A62EFF666E3E}">
          <x14:id>{8A9A7E4E-B6CE-40D5-92A4-DD9C1D7C7DB8}</x14:id>
        </ext>
      </extLst>
    </cfRule>
    <cfRule type="iconSet" priority="3441">
      <iconSet iconSet="3Arrows">
        <cfvo type="percent" val="0"/>
        <cfvo type="num" val="0.7"/>
        <cfvo type="num" val="1"/>
      </iconSet>
    </cfRule>
  </conditionalFormatting>
  <conditionalFormatting sqref="Y104">
    <cfRule type="iconSet" priority="3439">
      <iconSet iconSet="3Arrows">
        <cfvo type="percent" val="0"/>
        <cfvo type="num" val="0.7"/>
        <cfvo type="num" val="1"/>
      </iconSet>
    </cfRule>
    <cfRule type="dataBar" priority="3440">
      <dataBar>
        <cfvo type="num" val="0"/>
        <cfvo type="num" val="1"/>
        <color theme="4" tint="0.79998168889431442"/>
      </dataBar>
      <extLst>
        <ext xmlns:x14="http://schemas.microsoft.com/office/spreadsheetml/2009/9/main" uri="{B025F937-C7B1-47D3-B67F-A62EFF666E3E}">
          <x14:id>{D4655BC9-195B-4A82-A318-206793F17848}</x14:id>
        </ext>
      </extLst>
    </cfRule>
  </conditionalFormatting>
  <conditionalFormatting sqref="Y106">
    <cfRule type="iconSet" priority="3437">
      <iconSet iconSet="3Arrows">
        <cfvo type="percent" val="0"/>
        <cfvo type="num" val="0.7"/>
        <cfvo type="num" val="1"/>
      </iconSet>
    </cfRule>
    <cfRule type="dataBar" priority="3438">
      <dataBar>
        <cfvo type="num" val="0"/>
        <cfvo type="num" val="1"/>
        <color theme="4" tint="0.79998168889431442"/>
      </dataBar>
      <extLst>
        <ext xmlns:x14="http://schemas.microsoft.com/office/spreadsheetml/2009/9/main" uri="{B025F937-C7B1-47D3-B67F-A62EFF666E3E}">
          <x14:id>{0FB66A07-0BD7-4B37-B16D-4A273B448E9F}</x14:id>
        </ext>
      </extLst>
    </cfRule>
  </conditionalFormatting>
  <conditionalFormatting sqref="Y108">
    <cfRule type="dataBar" priority="3436">
      <dataBar>
        <cfvo type="num" val="0"/>
        <cfvo type="num" val="1"/>
        <color theme="4" tint="0.79998168889431442"/>
      </dataBar>
      <extLst>
        <ext xmlns:x14="http://schemas.microsoft.com/office/spreadsheetml/2009/9/main" uri="{B025F937-C7B1-47D3-B67F-A62EFF666E3E}">
          <x14:id>{230514B6-D100-4CCA-A949-B6D79BC6E4C9}</x14:id>
        </ext>
      </extLst>
    </cfRule>
    <cfRule type="iconSet" priority="3435">
      <iconSet iconSet="3Arrows">
        <cfvo type="percent" val="0"/>
        <cfvo type="num" val="0.7"/>
        <cfvo type="num" val="1"/>
      </iconSet>
    </cfRule>
  </conditionalFormatting>
  <conditionalFormatting sqref="Y110">
    <cfRule type="dataBar" priority="3434">
      <dataBar>
        <cfvo type="num" val="0"/>
        <cfvo type="num" val="1"/>
        <color theme="4" tint="0.79998168889431442"/>
      </dataBar>
      <extLst>
        <ext xmlns:x14="http://schemas.microsoft.com/office/spreadsheetml/2009/9/main" uri="{B025F937-C7B1-47D3-B67F-A62EFF666E3E}">
          <x14:id>{3D0C0B02-7AF6-408B-98D6-740B632DD778}</x14:id>
        </ext>
      </extLst>
    </cfRule>
    <cfRule type="iconSet" priority="3433">
      <iconSet iconSet="3Arrows">
        <cfvo type="percent" val="0"/>
        <cfvo type="num" val="0.7"/>
        <cfvo type="num" val="1"/>
      </iconSet>
    </cfRule>
  </conditionalFormatting>
  <conditionalFormatting sqref="Y112">
    <cfRule type="iconSet" priority="3431">
      <iconSet iconSet="3Arrows">
        <cfvo type="percent" val="0"/>
        <cfvo type="num" val="0.7"/>
        <cfvo type="num" val="1"/>
      </iconSet>
    </cfRule>
    <cfRule type="dataBar" priority="3432">
      <dataBar>
        <cfvo type="num" val="0"/>
        <cfvo type="num" val="1"/>
        <color theme="4" tint="0.79998168889431442"/>
      </dataBar>
      <extLst>
        <ext xmlns:x14="http://schemas.microsoft.com/office/spreadsheetml/2009/9/main" uri="{B025F937-C7B1-47D3-B67F-A62EFF666E3E}">
          <x14:id>{F4927168-75AB-4656-ADF6-688CCE5E6362}</x14:id>
        </ext>
      </extLst>
    </cfRule>
  </conditionalFormatting>
  <conditionalFormatting sqref="Y114">
    <cfRule type="dataBar" priority="3430">
      <dataBar>
        <cfvo type="num" val="0"/>
        <cfvo type="num" val="1"/>
        <color theme="4" tint="0.79998168889431442"/>
      </dataBar>
      <extLst>
        <ext xmlns:x14="http://schemas.microsoft.com/office/spreadsheetml/2009/9/main" uri="{B025F937-C7B1-47D3-B67F-A62EFF666E3E}">
          <x14:id>{3A9F0D53-AAC3-4E8F-9F69-E1D8BB7044F7}</x14:id>
        </ext>
      </extLst>
    </cfRule>
    <cfRule type="iconSet" priority="3429">
      <iconSet iconSet="3Arrows">
        <cfvo type="percent" val="0"/>
        <cfvo type="num" val="0.7"/>
        <cfvo type="num" val="1"/>
      </iconSet>
    </cfRule>
  </conditionalFormatting>
  <conditionalFormatting sqref="Y116">
    <cfRule type="dataBar" priority="3428">
      <dataBar>
        <cfvo type="num" val="0"/>
        <cfvo type="num" val="1"/>
        <color theme="4" tint="0.79998168889431442"/>
      </dataBar>
      <extLst>
        <ext xmlns:x14="http://schemas.microsoft.com/office/spreadsheetml/2009/9/main" uri="{B025F937-C7B1-47D3-B67F-A62EFF666E3E}">
          <x14:id>{354DF593-4D1F-4316-B20F-5C1EC45FAD02}</x14:id>
        </ext>
      </extLst>
    </cfRule>
    <cfRule type="iconSet" priority="3427">
      <iconSet iconSet="3Arrows">
        <cfvo type="percent" val="0"/>
        <cfvo type="num" val="0.7"/>
        <cfvo type="num" val="1"/>
      </iconSet>
    </cfRule>
  </conditionalFormatting>
  <conditionalFormatting sqref="Y118">
    <cfRule type="dataBar" priority="3426">
      <dataBar>
        <cfvo type="num" val="0"/>
        <cfvo type="num" val="1"/>
        <color theme="4" tint="0.79998168889431442"/>
      </dataBar>
      <extLst>
        <ext xmlns:x14="http://schemas.microsoft.com/office/spreadsheetml/2009/9/main" uri="{B025F937-C7B1-47D3-B67F-A62EFF666E3E}">
          <x14:id>{5EF46FD7-2188-45FC-BC61-D7C25CD28372}</x14:id>
        </ext>
      </extLst>
    </cfRule>
    <cfRule type="iconSet" priority="3425">
      <iconSet iconSet="3Arrows">
        <cfvo type="percent" val="0"/>
        <cfvo type="num" val="0.7"/>
        <cfvo type="num" val="1"/>
      </iconSet>
    </cfRule>
  </conditionalFormatting>
  <conditionalFormatting sqref="Y120">
    <cfRule type="dataBar" priority="3424">
      <dataBar>
        <cfvo type="num" val="0"/>
        <cfvo type="num" val="1"/>
        <color theme="4" tint="0.79998168889431442"/>
      </dataBar>
      <extLst>
        <ext xmlns:x14="http://schemas.microsoft.com/office/spreadsheetml/2009/9/main" uri="{B025F937-C7B1-47D3-B67F-A62EFF666E3E}">
          <x14:id>{C1934676-D92B-4EEE-AC39-5210F6DC7635}</x14:id>
        </ext>
      </extLst>
    </cfRule>
    <cfRule type="iconSet" priority="3423">
      <iconSet iconSet="3Arrows">
        <cfvo type="percent" val="0"/>
        <cfvo type="num" val="0.7"/>
        <cfvo type="num" val="1"/>
      </iconSet>
    </cfRule>
  </conditionalFormatting>
  <conditionalFormatting sqref="Y122">
    <cfRule type="dataBar" priority="3422">
      <dataBar>
        <cfvo type="num" val="0"/>
        <cfvo type="num" val="1"/>
        <color theme="4" tint="0.79998168889431442"/>
      </dataBar>
      <extLst>
        <ext xmlns:x14="http://schemas.microsoft.com/office/spreadsheetml/2009/9/main" uri="{B025F937-C7B1-47D3-B67F-A62EFF666E3E}">
          <x14:id>{3F368544-96AD-4496-AF2F-4F4EA9E76C01}</x14:id>
        </ext>
      </extLst>
    </cfRule>
    <cfRule type="iconSet" priority="3421">
      <iconSet iconSet="3Arrows">
        <cfvo type="percent" val="0"/>
        <cfvo type="num" val="0.7"/>
        <cfvo type="num" val="1"/>
      </iconSet>
    </cfRule>
  </conditionalFormatting>
  <conditionalFormatting sqref="Y124">
    <cfRule type="dataBar" priority="3420">
      <dataBar>
        <cfvo type="num" val="0"/>
        <cfvo type="num" val="1"/>
        <color theme="4" tint="0.79998168889431442"/>
      </dataBar>
      <extLst>
        <ext xmlns:x14="http://schemas.microsoft.com/office/spreadsheetml/2009/9/main" uri="{B025F937-C7B1-47D3-B67F-A62EFF666E3E}">
          <x14:id>{203695B6-C58B-47AB-BE83-0561B4603252}</x14:id>
        </ext>
      </extLst>
    </cfRule>
    <cfRule type="iconSet" priority="3419">
      <iconSet iconSet="3Arrows">
        <cfvo type="percent" val="0"/>
        <cfvo type="num" val="0.7"/>
        <cfvo type="num" val="1"/>
      </iconSet>
    </cfRule>
  </conditionalFormatting>
  <conditionalFormatting sqref="Y126">
    <cfRule type="dataBar" priority="3418">
      <dataBar>
        <cfvo type="num" val="0"/>
        <cfvo type="num" val="1"/>
        <color theme="4" tint="0.79998168889431442"/>
      </dataBar>
      <extLst>
        <ext xmlns:x14="http://schemas.microsoft.com/office/spreadsheetml/2009/9/main" uri="{B025F937-C7B1-47D3-B67F-A62EFF666E3E}">
          <x14:id>{5A15D9CA-D883-4402-BA21-B6722D8E8D50}</x14:id>
        </ext>
      </extLst>
    </cfRule>
    <cfRule type="iconSet" priority="3417">
      <iconSet iconSet="3Arrows">
        <cfvo type="percent" val="0"/>
        <cfvo type="num" val="0.7"/>
        <cfvo type="num" val="1"/>
      </iconSet>
    </cfRule>
  </conditionalFormatting>
  <conditionalFormatting sqref="Y128">
    <cfRule type="iconSet" priority="3415">
      <iconSet iconSet="3Arrows">
        <cfvo type="percent" val="0"/>
        <cfvo type="num" val="0.7"/>
        <cfvo type="num" val="1"/>
      </iconSet>
    </cfRule>
    <cfRule type="dataBar" priority="3416">
      <dataBar>
        <cfvo type="num" val="0"/>
        <cfvo type="num" val="1"/>
        <color theme="4" tint="0.79998168889431442"/>
      </dataBar>
      <extLst>
        <ext xmlns:x14="http://schemas.microsoft.com/office/spreadsheetml/2009/9/main" uri="{B025F937-C7B1-47D3-B67F-A62EFF666E3E}">
          <x14:id>{15E1ADD2-DF2A-40FC-B40E-124B8283D13E}</x14:id>
        </ext>
      </extLst>
    </cfRule>
  </conditionalFormatting>
  <conditionalFormatting sqref="Y130">
    <cfRule type="iconSet" priority="3413">
      <iconSet iconSet="3Arrows">
        <cfvo type="percent" val="0"/>
        <cfvo type="num" val="0.7"/>
        <cfvo type="num" val="1"/>
      </iconSet>
    </cfRule>
    <cfRule type="dataBar" priority="3414">
      <dataBar>
        <cfvo type="num" val="0"/>
        <cfvo type="num" val="1"/>
        <color theme="4" tint="0.79998168889431442"/>
      </dataBar>
      <extLst>
        <ext xmlns:x14="http://schemas.microsoft.com/office/spreadsheetml/2009/9/main" uri="{B025F937-C7B1-47D3-B67F-A62EFF666E3E}">
          <x14:id>{4D103D50-B617-49C5-871B-21275D36BC99}</x14:id>
        </ext>
      </extLst>
    </cfRule>
  </conditionalFormatting>
  <conditionalFormatting sqref="Y132">
    <cfRule type="dataBar" priority="3412">
      <dataBar>
        <cfvo type="num" val="0"/>
        <cfvo type="num" val="1"/>
        <color theme="4" tint="0.79998168889431442"/>
      </dataBar>
      <extLst>
        <ext xmlns:x14="http://schemas.microsoft.com/office/spreadsheetml/2009/9/main" uri="{B025F937-C7B1-47D3-B67F-A62EFF666E3E}">
          <x14:id>{7CF889E2-9DF5-4FCC-AAA9-3C2B38041A90}</x14:id>
        </ext>
      </extLst>
    </cfRule>
    <cfRule type="iconSet" priority="3411">
      <iconSet iconSet="3Arrows">
        <cfvo type="percent" val="0"/>
        <cfvo type="num" val="0.7"/>
        <cfvo type="num" val="1"/>
      </iconSet>
    </cfRule>
  </conditionalFormatting>
  <conditionalFormatting sqref="Y134">
    <cfRule type="iconSet" priority="3409">
      <iconSet iconSet="3Arrows">
        <cfvo type="percent" val="0"/>
        <cfvo type="num" val="0.7"/>
        <cfvo type="num" val="1"/>
      </iconSet>
    </cfRule>
    <cfRule type="dataBar" priority="3410">
      <dataBar>
        <cfvo type="num" val="0"/>
        <cfvo type="num" val="1"/>
        <color theme="4" tint="0.79998168889431442"/>
      </dataBar>
      <extLst>
        <ext xmlns:x14="http://schemas.microsoft.com/office/spreadsheetml/2009/9/main" uri="{B025F937-C7B1-47D3-B67F-A62EFF666E3E}">
          <x14:id>{C3E6F6F4-2DB6-41B6-9496-533064D18E2B}</x14:id>
        </ext>
      </extLst>
    </cfRule>
  </conditionalFormatting>
  <conditionalFormatting sqref="Y136">
    <cfRule type="dataBar" priority="3408">
      <dataBar>
        <cfvo type="num" val="0"/>
        <cfvo type="num" val="1"/>
        <color theme="4" tint="0.79998168889431442"/>
      </dataBar>
      <extLst>
        <ext xmlns:x14="http://schemas.microsoft.com/office/spreadsheetml/2009/9/main" uri="{B025F937-C7B1-47D3-B67F-A62EFF666E3E}">
          <x14:id>{CEBD156D-316B-45B9-A8F9-9FF11569E7A1}</x14:id>
        </ext>
      </extLst>
    </cfRule>
    <cfRule type="iconSet" priority="3407">
      <iconSet iconSet="3Arrows">
        <cfvo type="percent" val="0"/>
        <cfvo type="num" val="0.7"/>
        <cfvo type="num" val="1"/>
      </iconSet>
    </cfRule>
  </conditionalFormatting>
  <conditionalFormatting sqref="Y138">
    <cfRule type="dataBar" priority="3406">
      <dataBar>
        <cfvo type="num" val="0"/>
        <cfvo type="num" val="1"/>
        <color theme="4" tint="0.79998168889431442"/>
      </dataBar>
      <extLst>
        <ext xmlns:x14="http://schemas.microsoft.com/office/spreadsheetml/2009/9/main" uri="{B025F937-C7B1-47D3-B67F-A62EFF666E3E}">
          <x14:id>{023CEF25-A6EB-424B-99F1-642BD53ADF6A}</x14:id>
        </ext>
      </extLst>
    </cfRule>
    <cfRule type="iconSet" priority="3405">
      <iconSet iconSet="3Arrows">
        <cfvo type="percent" val="0"/>
        <cfvo type="num" val="0.7"/>
        <cfvo type="num" val="1"/>
      </iconSet>
    </cfRule>
  </conditionalFormatting>
  <conditionalFormatting sqref="Y140">
    <cfRule type="iconSet" priority="3403">
      <iconSet iconSet="3Arrows">
        <cfvo type="percent" val="0"/>
        <cfvo type="num" val="0.7"/>
        <cfvo type="num" val="1"/>
      </iconSet>
    </cfRule>
    <cfRule type="dataBar" priority="3404">
      <dataBar>
        <cfvo type="num" val="0"/>
        <cfvo type="num" val="1"/>
        <color theme="4" tint="0.79998168889431442"/>
      </dataBar>
      <extLst>
        <ext xmlns:x14="http://schemas.microsoft.com/office/spreadsheetml/2009/9/main" uri="{B025F937-C7B1-47D3-B67F-A62EFF666E3E}">
          <x14:id>{33A30DA3-2489-4CBA-AA33-9D8DFE995E71}</x14:id>
        </ext>
      </extLst>
    </cfRule>
  </conditionalFormatting>
  <conditionalFormatting sqref="Y142">
    <cfRule type="dataBar" priority="3402">
      <dataBar>
        <cfvo type="num" val="0"/>
        <cfvo type="num" val="1"/>
        <color theme="4" tint="0.79998168889431442"/>
      </dataBar>
      <extLst>
        <ext xmlns:x14="http://schemas.microsoft.com/office/spreadsheetml/2009/9/main" uri="{B025F937-C7B1-47D3-B67F-A62EFF666E3E}">
          <x14:id>{D6B9D838-5905-473C-8157-9A2F4BA52657}</x14:id>
        </ext>
      </extLst>
    </cfRule>
    <cfRule type="iconSet" priority="3401">
      <iconSet iconSet="3Arrows">
        <cfvo type="percent" val="0"/>
        <cfvo type="num" val="0.7"/>
        <cfvo type="num" val="1"/>
      </iconSet>
    </cfRule>
  </conditionalFormatting>
  <conditionalFormatting sqref="Y144">
    <cfRule type="dataBar" priority="3400">
      <dataBar>
        <cfvo type="num" val="0"/>
        <cfvo type="num" val="1"/>
        <color theme="4" tint="0.79998168889431442"/>
      </dataBar>
      <extLst>
        <ext xmlns:x14="http://schemas.microsoft.com/office/spreadsheetml/2009/9/main" uri="{B025F937-C7B1-47D3-B67F-A62EFF666E3E}">
          <x14:id>{8508F6F7-5E0C-4364-B3C1-6CE8984D33E3}</x14:id>
        </ext>
      </extLst>
    </cfRule>
    <cfRule type="iconSet" priority="3399">
      <iconSet iconSet="3Arrows">
        <cfvo type="percent" val="0"/>
        <cfvo type="num" val="0.7"/>
        <cfvo type="num" val="1"/>
      </iconSet>
    </cfRule>
  </conditionalFormatting>
  <conditionalFormatting sqref="Y146">
    <cfRule type="dataBar" priority="3398">
      <dataBar>
        <cfvo type="num" val="0"/>
        <cfvo type="num" val="1"/>
        <color theme="4" tint="0.79998168889431442"/>
      </dataBar>
      <extLst>
        <ext xmlns:x14="http://schemas.microsoft.com/office/spreadsheetml/2009/9/main" uri="{B025F937-C7B1-47D3-B67F-A62EFF666E3E}">
          <x14:id>{3B20327E-A0E1-4BD2-A42E-361ACA51C547}</x14:id>
        </ext>
      </extLst>
    </cfRule>
    <cfRule type="iconSet" priority="3397">
      <iconSet iconSet="3Arrows">
        <cfvo type="percent" val="0"/>
        <cfvo type="num" val="0.7"/>
        <cfvo type="num" val="1"/>
      </iconSet>
    </cfRule>
  </conditionalFormatting>
  <conditionalFormatting sqref="Y148">
    <cfRule type="dataBar" priority="3396">
      <dataBar>
        <cfvo type="num" val="0"/>
        <cfvo type="num" val="1"/>
        <color theme="4" tint="0.79998168889431442"/>
      </dataBar>
      <extLst>
        <ext xmlns:x14="http://schemas.microsoft.com/office/spreadsheetml/2009/9/main" uri="{B025F937-C7B1-47D3-B67F-A62EFF666E3E}">
          <x14:id>{C951CEEB-2495-48C7-A54B-F39B5A4CA790}</x14:id>
        </ext>
      </extLst>
    </cfRule>
    <cfRule type="iconSet" priority="3395">
      <iconSet iconSet="3Arrows">
        <cfvo type="percent" val="0"/>
        <cfvo type="num" val="0.7"/>
        <cfvo type="num" val="1"/>
      </iconSet>
    </cfRule>
  </conditionalFormatting>
  <conditionalFormatting sqref="Y150">
    <cfRule type="dataBar" priority="3394">
      <dataBar>
        <cfvo type="num" val="0"/>
        <cfvo type="num" val="1"/>
        <color theme="4" tint="0.79998168889431442"/>
      </dataBar>
      <extLst>
        <ext xmlns:x14="http://schemas.microsoft.com/office/spreadsheetml/2009/9/main" uri="{B025F937-C7B1-47D3-B67F-A62EFF666E3E}">
          <x14:id>{1C78B6FA-0E73-4102-9FBC-E35B9ED7380F}</x14:id>
        </ext>
      </extLst>
    </cfRule>
    <cfRule type="iconSet" priority="3393">
      <iconSet iconSet="3Arrows">
        <cfvo type="percent" val="0"/>
        <cfvo type="num" val="0.7"/>
        <cfvo type="num" val="1"/>
      </iconSet>
    </cfRule>
  </conditionalFormatting>
  <conditionalFormatting sqref="Y152">
    <cfRule type="dataBar" priority="3392">
      <dataBar>
        <cfvo type="num" val="0"/>
        <cfvo type="num" val="1"/>
        <color theme="4" tint="0.79998168889431442"/>
      </dataBar>
      <extLst>
        <ext xmlns:x14="http://schemas.microsoft.com/office/spreadsheetml/2009/9/main" uri="{B025F937-C7B1-47D3-B67F-A62EFF666E3E}">
          <x14:id>{4AE9B143-4B27-4F89-901E-F879BE160802}</x14:id>
        </ext>
      </extLst>
    </cfRule>
    <cfRule type="iconSet" priority="3391">
      <iconSet iconSet="3Arrows">
        <cfvo type="percent" val="0"/>
        <cfvo type="num" val="0.7"/>
        <cfvo type="num" val="1"/>
      </iconSet>
    </cfRule>
  </conditionalFormatting>
  <conditionalFormatting sqref="Y154">
    <cfRule type="dataBar" priority="3390">
      <dataBar>
        <cfvo type="num" val="0"/>
        <cfvo type="num" val="1"/>
        <color theme="4" tint="0.79998168889431442"/>
      </dataBar>
      <extLst>
        <ext xmlns:x14="http://schemas.microsoft.com/office/spreadsheetml/2009/9/main" uri="{B025F937-C7B1-47D3-B67F-A62EFF666E3E}">
          <x14:id>{389D19C3-C315-4EB7-B23F-78CFF9EDB130}</x14:id>
        </ext>
      </extLst>
    </cfRule>
    <cfRule type="iconSet" priority="3389">
      <iconSet iconSet="3Arrows">
        <cfvo type="percent" val="0"/>
        <cfvo type="num" val="0.7"/>
        <cfvo type="num" val="1"/>
      </iconSet>
    </cfRule>
  </conditionalFormatting>
  <conditionalFormatting sqref="Y156">
    <cfRule type="iconSet" priority="3387">
      <iconSet iconSet="3Arrows">
        <cfvo type="percent" val="0"/>
        <cfvo type="num" val="0.7"/>
        <cfvo type="num" val="1"/>
      </iconSet>
    </cfRule>
    <cfRule type="dataBar" priority="3388">
      <dataBar>
        <cfvo type="num" val="0"/>
        <cfvo type="num" val="1"/>
        <color theme="4" tint="0.79998168889431442"/>
      </dataBar>
      <extLst>
        <ext xmlns:x14="http://schemas.microsoft.com/office/spreadsheetml/2009/9/main" uri="{B025F937-C7B1-47D3-B67F-A62EFF666E3E}">
          <x14:id>{F7AB5FF8-4BFB-4C9F-A6F5-216F33A9C7DD}</x14:id>
        </ext>
      </extLst>
    </cfRule>
  </conditionalFormatting>
  <conditionalFormatting sqref="Y158">
    <cfRule type="dataBar" priority="3386">
      <dataBar>
        <cfvo type="num" val="0"/>
        <cfvo type="num" val="1"/>
        <color theme="4" tint="0.79998168889431442"/>
      </dataBar>
      <extLst>
        <ext xmlns:x14="http://schemas.microsoft.com/office/spreadsheetml/2009/9/main" uri="{B025F937-C7B1-47D3-B67F-A62EFF666E3E}">
          <x14:id>{E0CDA4E4-F46A-45F1-962C-BCA9144A964E}</x14:id>
        </ext>
      </extLst>
    </cfRule>
    <cfRule type="iconSet" priority="3385">
      <iconSet iconSet="3Arrows">
        <cfvo type="percent" val="0"/>
        <cfvo type="num" val="0.7"/>
        <cfvo type="num" val="1"/>
      </iconSet>
    </cfRule>
  </conditionalFormatting>
  <conditionalFormatting sqref="Y160">
    <cfRule type="dataBar" priority="3384">
      <dataBar>
        <cfvo type="num" val="0"/>
        <cfvo type="num" val="1"/>
        <color theme="4" tint="0.79998168889431442"/>
      </dataBar>
      <extLst>
        <ext xmlns:x14="http://schemas.microsoft.com/office/spreadsheetml/2009/9/main" uri="{B025F937-C7B1-47D3-B67F-A62EFF666E3E}">
          <x14:id>{18201676-020E-49A9-ABCB-3D8E9FE35CFC}</x14:id>
        </ext>
      </extLst>
    </cfRule>
    <cfRule type="iconSet" priority="3383">
      <iconSet iconSet="3Arrows">
        <cfvo type="percent" val="0"/>
        <cfvo type="num" val="0.7"/>
        <cfvo type="num" val="1"/>
      </iconSet>
    </cfRule>
  </conditionalFormatting>
  <conditionalFormatting sqref="Y162">
    <cfRule type="iconSet" priority="3381">
      <iconSet iconSet="3Arrows">
        <cfvo type="percent" val="0"/>
        <cfvo type="num" val="0.7"/>
        <cfvo type="num" val="1"/>
      </iconSet>
    </cfRule>
    <cfRule type="dataBar" priority="3382">
      <dataBar>
        <cfvo type="num" val="0"/>
        <cfvo type="num" val="1"/>
        <color theme="4" tint="0.79998168889431442"/>
      </dataBar>
      <extLst>
        <ext xmlns:x14="http://schemas.microsoft.com/office/spreadsheetml/2009/9/main" uri="{B025F937-C7B1-47D3-B67F-A62EFF666E3E}">
          <x14:id>{5BF78472-F2D0-42B3-9D05-EA61A8C9F605}</x14:id>
        </ext>
      </extLst>
    </cfRule>
  </conditionalFormatting>
  <conditionalFormatting sqref="Y164">
    <cfRule type="dataBar" priority="3380">
      <dataBar>
        <cfvo type="num" val="0"/>
        <cfvo type="num" val="1"/>
        <color theme="4" tint="0.79998168889431442"/>
      </dataBar>
      <extLst>
        <ext xmlns:x14="http://schemas.microsoft.com/office/spreadsheetml/2009/9/main" uri="{B025F937-C7B1-47D3-B67F-A62EFF666E3E}">
          <x14:id>{4D86DEBA-3103-45F4-885B-D1835B9F7C46}</x14:id>
        </ext>
      </extLst>
    </cfRule>
    <cfRule type="iconSet" priority="3379">
      <iconSet iconSet="3Arrows">
        <cfvo type="percent" val="0"/>
        <cfvo type="num" val="0.7"/>
        <cfvo type="num" val="1"/>
      </iconSet>
    </cfRule>
  </conditionalFormatting>
  <conditionalFormatting sqref="Y166">
    <cfRule type="dataBar" priority="3378">
      <dataBar>
        <cfvo type="num" val="0"/>
        <cfvo type="num" val="1"/>
        <color theme="4" tint="0.79998168889431442"/>
      </dataBar>
      <extLst>
        <ext xmlns:x14="http://schemas.microsoft.com/office/spreadsheetml/2009/9/main" uri="{B025F937-C7B1-47D3-B67F-A62EFF666E3E}">
          <x14:id>{CCBBBE95-8A42-426B-AE56-B19274FFF0A6}</x14:id>
        </ext>
      </extLst>
    </cfRule>
    <cfRule type="iconSet" priority="3377">
      <iconSet iconSet="3Arrows">
        <cfvo type="percent" val="0"/>
        <cfvo type="num" val="0.7"/>
        <cfvo type="num" val="1"/>
      </iconSet>
    </cfRule>
  </conditionalFormatting>
  <conditionalFormatting sqref="Y168">
    <cfRule type="dataBar" priority="3376">
      <dataBar>
        <cfvo type="num" val="0"/>
        <cfvo type="num" val="1"/>
        <color theme="4" tint="0.79998168889431442"/>
      </dataBar>
      <extLst>
        <ext xmlns:x14="http://schemas.microsoft.com/office/spreadsheetml/2009/9/main" uri="{B025F937-C7B1-47D3-B67F-A62EFF666E3E}">
          <x14:id>{23F37FA8-02D3-43B4-8583-78D6C001D32F}</x14:id>
        </ext>
      </extLst>
    </cfRule>
    <cfRule type="iconSet" priority="3375">
      <iconSet iconSet="3Arrows">
        <cfvo type="percent" val="0"/>
        <cfvo type="num" val="0.7"/>
        <cfvo type="num" val="1"/>
      </iconSet>
    </cfRule>
  </conditionalFormatting>
  <conditionalFormatting sqref="Y170">
    <cfRule type="dataBar" priority="3374">
      <dataBar>
        <cfvo type="num" val="0"/>
        <cfvo type="num" val="1"/>
        <color theme="4" tint="0.79998168889431442"/>
      </dataBar>
      <extLst>
        <ext xmlns:x14="http://schemas.microsoft.com/office/spreadsheetml/2009/9/main" uri="{B025F937-C7B1-47D3-B67F-A62EFF666E3E}">
          <x14:id>{CC0F0AB1-E17C-4E87-9E68-741EBCC51DB5}</x14:id>
        </ext>
      </extLst>
    </cfRule>
    <cfRule type="iconSet" priority="3373">
      <iconSet iconSet="3Arrows">
        <cfvo type="percent" val="0"/>
        <cfvo type="num" val="0.7"/>
        <cfvo type="num" val="1"/>
      </iconSet>
    </cfRule>
  </conditionalFormatting>
  <conditionalFormatting sqref="Y172">
    <cfRule type="iconSet" priority="3371">
      <iconSet iconSet="3Arrows">
        <cfvo type="percent" val="0"/>
        <cfvo type="num" val="0.7"/>
        <cfvo type="num" val="1"/>
      </iconSet>
    </cfRule>
    <cfRule type="dataBar" priority="3372">
      <dataBar>
        <cfvo type="num" val="0"/>
        <cfvo type="num" val="1"/>
        <color theme="4" tint="0.79998168889431442"/>
      </dataBar>
      <extLst>
        <ext xmlns:x14="http://schemas.microsoft.com/office/spreadsheetml/2009/9/main" uri="{B025F937-C7B1-47D3-B67F-A62EFF666E3E}">
          <x14:id>{4B3D2E83-216F-42F5-81BE-78C45D98EE3A}</x14:id>
        </ext>
      </extLst>
    </cfRule>
  </conditionalFormatting>
  <conditionalFormatting sqref="Y176">
    <cfRule type="iconSet" priority="3369">
      <iconSet iconSet="3Arrows">
        <cfvo type="percent" val="0"/>
        <cfvo type="num" val="0.7"/>
        <cfvo type="num" val="1"/>
      </iconSet>
    </cfRule>
    <cfRule type="dataBar" priority="3370">
      <dataBar>
        <cfvo type="num" val="0"/>
        <cfvo type="num" val="1"/>
        <color theme="4" tint="0.79998168889431442"/>
      </dataBar>
      <extLst>
        <ext xmlns:x14="http://schemas.microsoft.com/office/spreadsheetml/2009/9/main" uri="{B025F937-C7B1-47D3-B67F-A62EFF666E3E}">
          <x14:id>{57FEEE22-51E4-4608-9BF7-95F64820D6D3}</x14:id>
        </ext>
      </extLst>
    </cfRule>
  </conditionalFormatting>
  <conditionalFormatting sqref="Y186 Y188 Y190 Y192">
    <cfRule type="dataBar" priority="3368">
      <dataBar>
        <cfvo type="num" val="0"/>
        <cfvo type="num" val="1"/>
        <color theme="4" tint="0.79998168889431442"/>
      </dataBar>
      <extLst>
        <ext xmlns:x14="http://schemas.microsoft.com/office/spreadsheetml/2009/9/main" uri="{B025F937-C7B1-47D3-B67F-A62EFF666E3E}">
          <x14:id>{2C1B40C3-DB91-4F85-9320-7B2C9C529CDC}</x14:id>
        </ext>
      </extLst>
    </cfRule>
    <cfRule type="iconSet" priority="3367">
      <iconSet iconSet="3Arrows">
        <cfvo type="percent" val="0"/>
        <cfvo type="num" val="0.7"/>
        <cfvo type="num" val="1"/>
      </iconSet>
    </cfRule>
  </conditionalFormatting>
  <conditionalFormatting sqref="Y196 Y194 Y198">
    <cfRule type="dataBar" priority="3366">
      <dataBar>
        <cfvo type="num" val="0"/>
        <cfvo type="num" val="1"/>
        <color theme="4" tint="0.79998168889431442"/>
      </dataBar>
      <extLst>
        <ext xmlns:x14="http://schemas.microsoft.com/office/spreadsheetml/2009/9/main" uri="{B025F937-C7B1-47D3-B67F-A62EFF666E3E}">
          <x14:id>{54A728AE-47F3-4984-9B48-21038AF09488}</x14:id>
        </ext>
      </extLst>
    </cfRule>
    <cfRule type="iconSet" priority="3365">
      <iconSet iconSet="3Arrows">
        <cfvo type="percent" val="0"/>
        <cfvo type="num" val="0.7"/>
        <cfvo type="num" val="1"/>
      </iconSet>
    </cfRule>
  </conditionalFormatting>
  <conditionalFormatting sqref="Y200">
    <cfRule type="dataBar" priority="3364">
      <dataBar>
        <cfvo type="num" val="0"/>
        <cfvo type="num" val="1"/>
        <color theme="4" tint="0.79998168889431442"/>
      </dataBar>
      <extLst>
        <ext xmlns:x14="http://schemas.microsoft.com/office/spreadsheetml/2009/9/main" uri="{B025F937-C7B1-47D3-B67F-A62EFF666E3E}">
          <x14:id>{0CFCFF1A-C991-4B1E-BBDC-E8E1FB369B3F}</x14:id>
        </ext>
      </extLst>
    </cfRule>
    <cfRule type="iconSet" priority="3363">
      <iconSet iconSet="3Arrows">
        <cfvo type="percent" val="0"/>
        <cfvo type="num" val="0.7"/>
        <cfvo type="num" val="1"/>
      </iconSet>
    </cfRule>
  </conditionalFormatting>
  <conditionalFormatting sqref="Y202 Y204 Y178 Y180 Y182 Y184">
    <cfRule type="dataBar" priority="3362">
      <dataBar>
        <cfvo type="num" val="0"/>
        <cfvo type="num" val="1"/>
        <color theme="4" tint="0.79998168889431442"/>
      </dataBar>
      <extLst>
        <ext xmlns:x14="http://schemas.microsoft.com/office/spreadsheetml/2009/9/main" uri="{B025F937-C7B1-47D3-B67F-A62EFF666E3E}">
          <x14:id>{836AE27F-942D-4B0D-AA03-FE323AD2749C}</x14:id>
        </ext>
      </extLst>
    </cfRule>
    <cfRule type="iconSet" priority="3361">
      <iconSet iconSet="3Arrows">
        <cfvo type="percent" val="0"/>
        <cfvo type="num" val="0.7"/>
        <cfvo type="num" val="1"/>
      </iconSet>
    </cfRule>
  </conditionalFormatting>
  <conditionalFormatting sqref="Y206">
    <cfRule type="iconSet" priority="3359">
      <iconSet iconSet="3Arrows">
        <cfvo type="percent" val="0"/>
        <cfvo type="num" val="0.7"/>
        <cfvo type="num" val="1"/>
      </iconSet>
    </cfRule>
    <cfRule type="dataBar" priority="3360">
      <dataBar>
        <cfvo type="num" val="0"/>
        <cfvo type="num" val="1"/>
        <color theme="4" tint="0.79998168889431442"/>
      </dataBar>
      <extLst>
        <ext xmlns:x14="http://schemas.microsoft.com/office/spreadsheetml/2009/9/main" uri="{B025F937-C7B1-47D3-B67F-A62EFF666E3E}">
          <x14:id>{9DE11C71-030D-4078-94F8-354F5313AB50}</x14:id>
        </ext>
      </extLst>
    </cfRule>
  </conditionalFormatting>
  <conditionalFormatting sqref="Y208">
    <cfRule type="iconSet" priority="3357">
      <iconSet iconSet="3Arrows">
        <cfvo type="percent" val="0"/>
        <cfvo type="num" val="0.7"/>
        <cfvo type="num" val="1"/>
      </iconSet>
    </cfRule>
    <cfRule type="dataBar" priority="3358">
      <dataBar>
        <cfvo type="num" val="0"/>
        <cfvo type="num" val="1"/>
        <color theme="4" tint="0.79998168889431442"/>
      </dataBar>
      <extLst>
        <ext xmlns:x14="http://schemas.microsoft.com/office/spreadsheetml/2009/9/main" uri="{B025F937-C7B1-47D3-B67F-A62EFF666E3E}">
          <x14:id>{94A3CB1D-FA40-4F73-950D-1BA39037B9D4}</x14:id>
        </ext>
      </extLst>
    </cfRule>
  </conditionalFormatting>
  <conditionalFormatting sqref="Y210">
    <cfRule type="iconSet" priority="3355">
      <iconSet iconSet="3Arrows">
        <cfvo type="percent" val="0"/>
        <cfvo type="num" val="0.7"/>
        <cfvo type="num" val="1"/>
      </iconSet>
    </cfRule>
    <cfRule type="dataBar" priority="3356">
      <dataBar>
        <cfvo type="num" val="0"/>
        <cfvo type="num" val="1"/>
        <color theme="4" tint="0.79998168889431442"/>
      </dataBar>
      <extLst>
        <ext xmlns:x14="http://schemas.microsoft.com/office/spreadsheetml/2009/9/main" uri="{B025F937-C7B1-47D3-B67F-A62EFF666E3E}">
          <x14:id>{BA23E2B6-CABA-46F9-BC66-FA771E4170EB}</x14:id>
        </ext>
      </extLst>
    </cfRule>
  </conditionalFormatting>
  <conditionalFormatting sqref="Y212">
    <cfRule type="iconSet" priority="3353">
      <iconSet iconSet="3Arrows">
        <cfvo type="percent" val="0"/>
        <cfvo type="num" val="0.7"/>
        <cfvo type="num" val="1"/>
      </iconSet>
    </cfRule>
    <cfRule type="dataBar" priority="3354">
      <dataBar>
        <cfvo type="num" val="0"/>
        <cfvo type="num" val="1"/>
        <color theme="4" tint="0.79998168889431442"/>
      </dataBar>
      <extLst>
        <ext xmlns:x14="http://schemas.microsoft.com/office/spreadsheetml/2009/9/main" uri="{B025F937-C7B1-47D3-B67F-A62EFF666E3E}">
          <x14:id>{BF075670-43F1-40E9-BA01-BB8F6509E3B8}</x14:id>
        </ext>
      </extLst>
    </cfRule>
  </conditionalFormatting>
  <conditionalFormatting sqref="Y214">
    <cfRule type="dataBar" priority="3352">
      <dataBar>
        <cfvo type="num" val="0"/>
        <cfvo type="num" val="1"/>
        <color theme="4" tint="0.79998168889431442"/>
      </dataBar>
      <extLst>
        <ext xmlns:x14="http://schemas.microsoft.com/office/spreadsheetml/2009/9/main" uri="{B025F937-C7B1-47D3-B67F-A62EFF666E3E}">
          <x14:id>{BDE4B28E-7AB4-42B5-8481-78873AC41A70}</x14:id>
        </ext>
      </extLst>
    </cfRule>
    <cfRule type="iconSet" priority="3351">
      <iconSet iconSet="3Arrows">
        <cfvo type="percent" val="0"/>
        <cfvo type="num" val="0.7"/>
        <cfvo type="num" val="1"/>
      </iconSet>
    </cfRule>
  </conditionalFormatting>
  <conditionalFormatting sqref="Y216">
    <cfRule type="dataBar" priority="3350">
      <dataBar>
        <cfvo type="num" val="0"/>
        <cfvo type="num" val="1"/>
        <color theme="4" tint="0.79998168889431442"/>
      </dataBar>
      <extLst>
        <ext xmlns:x14="http://schemas.microsoft.com/office/spreadsheetml/2009/9/main" uri="{B025F937-C7B1-47D3-B67F-A62EFF666E3E}">
          <x14:id>{FEE3FCAD-1BE6-4136-BAF3-AD6460A6AAEA}</x14:id>
        </ext>
      </extLst>
    </cfRule>
    <cfRule type="iconSet" priority="3349">
      <iconSet iconSet="3Arrows">
        <cfvo type="percent" val="0"/>
        <cfvo type="num" val="0.7"/>
        <cfvo type="num" val="1"/>
      </iconSet>
    </cfRule>
  </conditionalFormatting>
  <conditionalFormatting sqref="Y218">
    <cfRule type="dataBar" priority="3348">
      <dataBar>
        <cfvo type="num" val="0"/>
        <cfvo type="num" val="1"/>
        <color theme="4" tint="0.79998168889431442"/>
      </dataBar>
      <extLst>
        <ext xmlns:x14="http://schemas.microsoft.com/office/spreadsheetml/2009/9/main" uri="{B025F937-C7B1-47D3-B67F-A62EFF666E3E}">
          <x14:id>{3D23ECA1-EFBA-4671-B76A-984716950E00}</x14:id>
        </ext>
      </extLst>
    </cfRule>
    <cfRule type="iconSet" priority="3347">
      <iconSet iconSet="3Arrows">
        <cfvo type="percent" val="0"/>
        <cfvo type="num" val="0.7"/>
        <cfvo type="num" val="1"/>
      </iconSet>
    </cfRule>
  </conditionalFormatting>
  <conditionalFormatting sqref="Y220">
    <cfRule type="dataBar" priority="3346">
      <dataBar>
        <cfvo type="num" val="0"/>
        <cfvo type="num" val="1"/>
        <color theme="4" tint="0.79998168889431442"/>
      </dataBar>
      <extLst>
        <ext xmlns:x14="http://schemas.microsoft.com/office/spreadsheetml/2009/9/main" uri="{B025F937-C7B1-47D3-B67F-A62EFF666E3E}">
          <x14:id>{90B1048D-C5A6-4E3E-BE88-B8BB74A25D7C}</x14:id>
        </ext>
      </extLst>
    </cfRule>
    <cfRule type="iconSet" priority="3345">
      <iconSet iconSet="3Arrows">
        <cfvo type="percent" val="0"/>
        <cfvo type="num" val="0.7"/>
        <cfvo type="num" val="1"/>
      </iconSet>
    </cfRule>
  </conditionalFormatting>
  <conditionalFormatting sqref="Y222">
    <cfRule type="iconSet" priority="3343">
      <iconSet iconSet="3Arrows">
        <cfvo type="percent" val="0"/>
        <cfvo type="num" val="0.7"/>
        <cfvo type="num" val="1"/>
      </iconSet>
    </cfRule>
    <cfRule type="dataBar" priority="3344">
      <dataBar>
        <cfvo type="num" val="0"/>
        <cfvo type="num" val="1"/>
        <color theme="4" tint="0.79998168889431442"/>
      </dataBar>
      <extLst>
        <ext xmlns:x14="http://schemas.microsoft.com/office/spreadsheetml/2009/9/main" uri="{B025F937-C7B1-47D3-B67F-A62EFF666E3E}">
          <x14:id>{0A0D5FC8-6CC1-4B26-9362-B3F2C2F29632}</x14:id>
        </ext>
      </extLst>
    </cfRule>
  </conditionalFormatting>
  <conditionalFormatting sqref="Y224">
    <cfRule type="dataBar" priority="3342">
      <dataBar>
        <cfvo type="num" val="0"/>
        <cfvo type="num" val="1"/>
        <color theme="4" tint="0.79998168889431442"/>
      </dataBar>
      <extLst>
        <ext xmlns:x14="http://schemas.microsoft.com/office/spreadsheetml/2009/9/main" uri="{B025F937-C7B1-47D3-B67F-A62EFF666E3E}">
          <x14:id>{203E0F37-0181-4299-BB9B-23C23D42493E}</x14:id>
        </ext>
      </extLst>
    </cfRule>
    <cfRule type="iconSet" priority="3341">
      <iconSet iconSet="3Arrows">
        <cfvo type="percent" val="0"/>
        <cfvo type="num" val="0.7"/>
        <cfvo type="num" val="1"/>
      </iconSet>
    </cfRule>
  </conditionalFormatting>
  <conditionalFormatting sqref="Y226">
    <cfRule type="dataBar" priority="3340">
      <dataBar>
        <cfvo type="num" val="0"/>
        <cfvo type="num" val="1"/>
        <color theme="4" tint="0.79998168889431442"/>
      </dataBar>
      <extLst>
        <ext xmlns:x14="http://schemas.microsoft.com/office/spreadsheetml/2009/9/main" uri="{B025F937-C7B1-47D3-B67F-A62EFF666E3E}">
          <x14:id>{C6D8E634-8E30-48EA-8A6A-77DC9169B0D8}</x14:id>
        </ext>
      </extLst>
    </cfRule>
    <cfRule type="iconSet" priority="3339">
      <iconSet iconSet="3Arrows">
        <cfvo type="percent" val="0"/>
        <cfvo type="num" val="0.7"/>
        <cfvo type="num" val="1"/>
      </iconSet>
    </cfRule>
  </conditionalFormatting>
  <conditionalFormatting sqref="Y228">
    <cfRule type="dataBar" priority="3338">
      <dataBar>
        <cfvo type="num" val="0"/>
        <cfvo type="num" val="1"/>
        <color theme="4" tint="0.79998168889431442"/>
      </dataBar>
      <extLst>
        <ext xmlns:x14="http://schemas.microsoft.com/office/spreadsheetml/2009/9/main" uri="{B025F937-C7B1-47D3-B67F-A62EFF666E3E}">
          <x14:id>{0F3E3AFD-91D4-4AE6-B36C-2D58C4BC22EB}</x14:id>
        </ext>
      </extLst>
    </cfRule>
    <cfRule type="iconSet" priority="3337">
      <iconSet iconSet="3Arrows">
        <cfvo type="percent" val="0"/>
        <cfvo type="num" val="0.7"/>
        <cfvo type="num" val="1"/>
      </iconSet>
    </cfRule>
  </conditionalFormatting>
  <conditionalFormatting sqref="Y232">
    <cfRule type="dataBar" priority="3336">
      <dataBar>
        <cfvo type="num" val="0"/>
        <cfvo type="num" val="1"/>
        <color theme="4" tint="0.79998168889431442"/>
      </dataBar>
      <extLst>
        <ext xmlns:x14="http://schemas.microsoft.com/office/spreadsheetml/2009/9/main" uri="{B025F937-C7B1-47D3-B67F-A62EFF666E3E}">
          <x14:id>{BA0993D3-F38B-43D7-B8D3-7E6B96F339BD}</x14:id>
        </ext>
      </extLst>
    </cfRule>
    <cfRule type="iconSet" priority="3335">
      <iconSet iconSet="3Arrows">
        <cfvo type="percent" val="0"/>
        <cfvo type="num" val="0.7"/>
        <cfvo type="num" val="1"/>
      </iconSet>
    </cfRule>
  </conditionalFormatting>
  <conditionalFormatting sqref="Y234">
    <cfRule type="dataBar" priority="3334">
      <dataBar>
        <cfvo type="num" val="0"/>
        <cfvo type="num" val="1"/>
        <color theme="4" tint="0.79998168889431442"/>
      </dataBar>
      <extLst>
        <ext xmlns:x14="http://schemas.microsoft.com/office/spreadsheetml/2009/9/main" uri="{B025F937-C7B1-47D3-B67F-A62EFF666E3E}">
          <x14:id>{A4D4371D-EF3C-4273-8EA3-08795B24DF2B}</x14:id>
        </ext>
      </extLst>
    </cfRule>
    <cfRule type="iconSet" priority="3333">
      <iconSet iconSet="3Arrows">
        <cfvo type="percent" val="0"/>
        <cfvo type="num" val="0.7"/>
        <cfvo type="num" val="1"/>
      </iconSet>
    </cfRule>
  </conditionalFormatting>
  <conditionalFormatting sqref="Y236">
    <cfRule type="dataBar" priority="3332">
      <dataBar>
        <cfvo type="num" val="0"/>
        <cfvo type="num" val="1"/>
        <color theme="4" tint="0.79998168889431442"/>
      </dataBar>
      <extLst>
        <ext xmlns:x14="http://schemas.microsoft.com/office/spreadsheetml/2009/9/main" uri="{B025F937-C7B1-47D3-B67F-A62EFF666E3E}">
          <x14:id>{BB03E262-40AC-4F64-8265-276BE4CFCA96}</x14:id>
        </ext>
      </extLst>
    </cfRule>
    <cfRule type="iconSet" priority="3331">
      <iconSet iconSet="3Arrows">
        <cfvo type="percent" val="0"/>
        <cfvo type="num" val="0.7"/>
        <cfvo type="num" val="1"/>
      </iconSet>
    </cfRule>
  </conditionalFormatting>
  <conditionalFormatting sqref="Y238">
    <cfRule type="iconSet" priority="3329">
      <iconSet iconSet="3Arrows">
        <cfvo type="percent" val="0"/>
        <cfvo type="num" val="0.7"/>
        <cfvo type="num" val="1"/>
      </iconSet>
    </cfRule>
    <cfRule type="dataBar" priority="3330">
      <dataBar>
        <cfvo type="num" val="0"/>
        <cfvo type="num" val="1"/>
        <color theme="4" tint="0.79998168889431442"/>
      </dataBar>
      <extLst>
        <ext xmlns:x14="http://schemas.microsoft.com/office/spreadsheetml/2009/9/main" uri="{B025F937-C7B1-47D3-B67F-A62EFF666E3E}">
          <x14:id>{13725887-CAF9-49FE-BF5C-8087771215EF}</x14:id>
        </ext>
      </extLst>
    </cfRule>
  </conditionalFormatting>
  <conditionalFormatting sqref="Y240">
    <cfRule type="iconSet" priority="3327">
      <iconSet iconSet="3Arrows">
        <cfvo type="percent" val="0"/>
        <cfvo type="num" val="0.7"/>
        <cfvo type="num" val="1"/>
      </iconSet>
    </cfRule>
    <cfRule type="dataBar" priority="3328">
      <dataBar>
        <cfvo type="num" val="0"/>
        <cfvo type="num" val="1"/>
        <color theme="4" tint="0.79998168889431442"/>
      </dataBar>
      <extLst>
        <ext xmlns:x14="http://schemas.microsoft.com/office/spreadsheetml/2009/9/main" uri="{B025F937-C7B1-47D3-B67F-A62EFF666E3E}">
          <x14:id>{93EAC1EB-888D-4A70-8435-E55F9E39442A}</x14:id>
        </ext>
      </extLst>
    </cfRule>
  </conditionalFormatting>
  <conditionalFormatting sqref="Y242">
    <cfRule type="dataBar" priority="3326">
      <dataBar>
        <cfvo type="num" val="0"/>
        <cfvo type="num" val="1"/>
        <color theme="4" tint="0.79998168889431442"/>
      </dataBar>
      <extLst>
        <ext xmlns:x14="http://schemas.microsoft.com/office/spreadsheetml/2009/9/main" uri="{B025F937-C7B1-47D3-B67F-A62EFF666E3E}">
          <x14:id>{DEF72D4F-E07B-46E1-BB14-E19E96289A68}</x14:id>
        </ext>
      </extLst>
    </cfRule>
    <cfRule type="iconSet" priority="3325">
      <iconSet iconSet="3Arrows">
        <cfvo type="percent" val="0"/>
        <cfvo type="num" val="0.7"/>
        <cfvo type="num" val="1"/>
      </iconSet>
    </cfRule>
  </conditionalFormatting>
  <conditionalFormatting sqref="Y244">
    <cfRule type="dataBar" priority="3324">
      <dataBar>
        <cfvo type="num" val="0"/>
        <cfvo type="num" val="1"/>
        <color theme="4" tint="0.79998168889431442"/>
      </dataBar>
      <extLst>
        <ext xmlns:x14="http://schemas.microsoft.com/office/spreadsheetml/2009/9/main" uri="{B025F937-C7B1-47D3-B67F-A62EFF666E3E}">
          <x14:id>{A1D8877A-FE3A-4940-829A-E210A037DF13}</x14:id>
        </ext>
      </extLst>
    </cfRule>
    <cfRule type="iconSet" priority="3323">
      <iconSet iconSet="3Arrows">
        <cfvo type="percent" val="0"/>
        <cfvo type="num" val="0.7"/>
        <cfvo type="num" val="1"/>
      </iconSet>
    </cfRule>
  </conditionalFormatting>
  <conditionalFormatting sqref="Y246">
    <cfRule type="dataBar" priority="3322">
      <dataBar>
        <cfvo type="num" val="0"/>
        <cfvo type="num" val="1"/>
        <color theme="4" tint="0.79998168889431442"/>
      </dataBar>
      <extLst>
        <ext xmlns:x14="http://schemas.microsoft.com/office/spreadsheetml/2009/9/main" uri="{B025F937-C7B1-47D3-B67F-A62EFF666E3E}">
          <x14:id>{DD4BAC9C-9CD2-4D00-B7E4-CA3546C72BA8}</x14:id>
        </ext>
      </extLst>
    </cfRule>
    <cfRule type="iconSet" priority="3321">
      <iconSet iconSet="3Arrows">
        <cfvo type="percent" val="0"/>
        <cfvo type="num" val="0.7"/>
        <cfvo type="num" val="1"/>
      </iconSet>
    </cfRule>
  </conditionalFormatting>
  <conditionalFormatting sqref="Y248">
    <cfRule type="dataBar" priority="3320">
      <dataBar>
        <cfvo type="num" val="0"/>
        <cfvo type="num" val="1"/>
        <color theme="4" tint="0.79998168889431442"/>
      </dataBar>
      <extLst>
        <ext xmlns:x14="http://schemas.microsoft.com/office/spreadsheetml/2009/9/main" uri="{B025F937-C7B1-47D3-B67F-A62EFF666E3E}">
          <x14:id>{45B61F08-838B-497C-A6F5-FC656A79C339}</x14:id>
        </ext>
      </extLst>
    </cfRule>
    <cfRule type="iconSet" priority="3319">
      <iconSet iconSet="3Arrows">
        <cfvo type="percent" val="0"/>
        <cfvo type="num" val="0.7"/>
        <cfvo type="num" val="1"/>
      </iconSet>
    </cfRule>
  </conditionalFormatting>
  <conditionalFormatting sqref="Y250">
    <cfRule type="dataBar" priority="3318">
      <dataBar>
        <cfvo type="num" val="0"/>
        <cfvo type="num" val="1"/>
        <color theme="4" tint="0.79998168889431442"/>
      </dataBar>
      <extLst>
        <ext xmlns:x14="http://schemas.microsoft.com/office/spreadsheetml/2009/9/main" uri="{B025F937-C7B1-47D3-B67F-A62EFF666E3E}">
          <x14:id>{4840CFC8-07C0-4E73-B756-8650257D7E26}</x14:id>
        </ext>
      </extLst>
    </cfRule>
    <cfRule type="iconSet" priority="3317">
      <iconSet iconSet="3Arrows">
        <cfvo type="percent" val="0"/>
        <cfvo type="num" val="0.7"/>
        <cfvo type="num" val="1"/>
      </iconSet>
    </cfRule>
  </conditionalFormatting>
  <conditionalFormatting sqref="Y252">
    <cfRule type="dataBar" priority="3316">
      <dataBar>
        <cfvo type="num" val="0"/>
        <cfvo type="num" val="1"/>
        <color theme="4" tint="0.79998168889431442"/>
      </dataBar>
      <extLst>
        <ext xmlns:x14="http://schemas.microsoft.com/office/spreadsheetml/2009/9/main" uri="{B025F937-C7B1-47D3-B67F-A62EFF666E3E}">
          <x14:id>{4AC0DF56-FB61-49E7-807E-C0CCF7F7C838}</x14:id>
        </ext>
      </extLst>
    </cfRule>
    <cfRule type="iconSet" priority="3315">
      <iconSet iconSet="3Arrows">
        <cfvo type="percent" val="0"/>
        <cfvo type="num" val="0.7"/>
        <cfvo type="num" val="1"/>
      </iconSet>
    </cfRule>
  </conditionalFormatting>
  <conditionalFormatting sqref="Y254">
    <cfRule type="dataBar" priority="3314">
      <dataBar>
        <cfvo type="num" val="0"/>
        <cfvo type="num" val="1"/>
        <color theme="4" tint="0.79998168889431442"/>
      </dataBar>
      <extLst>
        <ext xmlns:x14="http://schemas.microsoft.com/office/spreadsheetml/2009/9/main" uri="{B025F937-C7B1-47D3-B67F-A62EFF666E3E}">
          <x14:id>{78550355-A909-444A-9A79-BE152B6792C3}</x14:id>
        </ext>
      </extLst>
    </cfRule>
    <cfRule type="iconSet" priority="3313">
      <iconSet iconSet="3Arrows">
        <cfvo type="percent" val="0"/>
        <cfvo type="num" val="0.7"/>
        <cfvo type="num" val="1"/>
      </iconSet>
    </cfRule>
  </conditionalFormatting>
  <conditionalFormatting sqref="Y256">
    <cfRule type="dataBar" priority="3312">
      <dataBar>
        <cfvo type="num" val="0"/>
        <cfvo type="num" val="1"/>
        <color theme="4" tint="0.79998168889431442"/>
      </dataBar>
      <extLst>
        <ext xmlns:x14="http://schemas.microsoft.com/office/spreadsheetml/2009/9/main" uri="{B025F937-C7B1-47D3-B67F-A62EFF666E3E}">
          <x14:id>{DAA2593E-9511-4EEE-8EB7-AFD43B9D9E5A}</x14:id>
        </ext>
      </extLst>
    </cfRule>
    <cfRule type="iconSet" priority="3311">
      <iconSet iconSet="3Arrows">
        <cfvo type="percent" val="0"/>
        <cfvo type="num" val="0.7"/>
        <cfvo type="num" val="1"/>
      </iconSet>
    </cfRule>
  </conditionalFormatting>
  <conditionalFormatting sqref="Y258">
    <cfRule type="dataBar" priority="3310">
      <dataBar>
        <cfvo type="num" val="0"/>
        <cfvo type="num" val="1"/>
        <color theme="4" tint="0.79998168889431442"/>
      </dataBar>
      <extLst>
        <ext xmlns:x14="http://schemas.microsoft.com/office/spreadsheetml/2009/9/main" uri="{B025F937-C7B1-47D3-B67F-A62EFF666E3E}">
          <x14:id>{8E444AE9-7F12-464E-991F-5DC82A4D9C17}</x14:id>
        </ext>
      </extLst>
    </cfRule>
    <cfRule type="iconSet" priority="3309">
      <iconSet iconSet="3Arrows">
        <cfvo type="percent" val="0"/>
        <cfvo type="num" val="0.7"/>
        <cfvo type="num" val="1"/>
      </iconSet>
    </cfRule>
  </conditionalFormatting>
  <conditionalFormatting sqref="Y260">
    <cfRule type="dataBar" priority="3308">
      <dataBar>
        <cfvo type="num" val="0"/>
        <cfvo type="num" val="1"/>
        <color theme="4" tint="0.79998168889431442"/>
      </dataBar>
      <extLst>
        <ext xmlns:x14="http://schemas.microsoft.com/office/spreadsheetml/2009/9/main" uri="{B025F937-C7B1-47D3-B67F-A62EFF666E3E}">
          <x14:id>{9DF4CD53-8328-419C-A591-BA5F488B6960}</x14:id>
        </ext>
      </extLst>
    </cfRule>
    <cfRule type="iconSet" priority="3307">
      <iconSet iconSet="3Arrows">
        <cfvo type="percent" val="0"/>
        <cfvo type="num" val="0.7"/>
        <cfvo type="num" val="1"/>
      </iconSet>
    </cfRule>
  </conditionalFormatting>
  <conditionalFormatting sqref="Y262">
    <cfRule type="dataBar" priority="3306">
      <dataBar>
        <cfvo type="num" val="0"/>
        <cfvo type="num" val="1"/>
        <color theme="4" tint="0.79998168889431442"/>
      </dataBar>
      <extLst>
        <ext xmlns:x14="http://schemas.microsoft.com/office/spreadsheetml/2009/9/main" uri="{B025F937-C7B1-47D3-B67F-A62EFF666E3E}">
          <x14:id>{CE2351C1-F2AA-41E2-A478-4633DEE25DF5}</x14:id>
        </ext>
      </extLst>
    </cfRule>
    <cfRule type="iconSet" priority="3305">
      <iconSet iconSet="3Arrows">
        <cfvo type="percent" val="0"/>
        <cfvo type="num" val="0.7"/>
        <cfvo type="num" val="1"/>
      </iconSet>
    </cfRule>
  </conditionalFormatting>
  <conditionalFormatting sqref="Y264">
    <cfRule type="iconSet" priority="3303">
      <iconSet iconSet="3Arrows">
        <cfvo type="percent" val="0"/>
        <cfvo type="num" val="0.7"/>
        <cfvo type="num" val="1"/>
      </iconSet>
    </cfRule>
    <cfRule type="dataBar" priority="3304">
      <dataBar>
        <cfvo type="num" val="0"/>
        <cfvo type="num" val="1"/>
        <color theme="4" tint="0.79998168889431442"/>
      </dataBar>
      <extLst>
        <ext xmlns:x14="http://schemas.microsoft.com/office/spreadsheetml/2009/9/main" uri="{B025F937-C7B1-47D3-B67F-A62EFF666E3E}">
          <x14:id>{629A871C-AE42-4E8F-A285-094C9573253E}</x14:id>
        </ext>
      </extLst>
    </cfRule>
  </conditionalFormatting>
  <conditionalFormatting sqref="Y266">
    <cfRule type="dataBar" priority="3302">
      <dataBar>
        <cfvo type="num" val="0"/>
        <cfvo type="num" val="1"/>
        <color theme="4" tint="0.79998168889431442"/>
      </dataBar>
      <extLst>
        <ext xmlns:x14="http://schemas.microsoft.com/office/spreadsheetml/2009/9/main" uri="{B025F937-C7B1-47D3-B67F-A62EFF666E3E}">
          <x14:id>{7AD0218B-6112-4BF4-B520-0351552E80C5}</x14:id>
        </ext>
      </extLst>
    </cfRule>
    <cfRule type="iconSet" priority="3301">
      <iconSet iconSet="3Arrows">
        <cfvo type="percent" val="0"/>
        <cfvo type="num" val="0.7"/>
        <cfvo type="num" val="1"/>
      </iconSet>
    </cfRule>
  </conditionalFormatting>
  <conditionalFormatting sqref="Y268">
    <cfRule type="dataBar" priority="3300">
      <dataBar>
        <cfvo type="num" val="0"/>
        <cfvo type="num" val="1"/>
        <color theme="4" tint="0.79998168889431442"/>
      </dataBar>
      <extLst>
        <ext xmlns:x14="http://schemas.microsoft.com/office/spreadsheetml/2009/9/main" uri="{B025F937-C7B1-47D3-B67F-A62EFF666E3E}">
          <x14:id>{021C36D0-7EAC-43F5-A190-9583E7198531}</x14:id>
        </ext>
      </extLst>
    </cfRule>
    <cfRule type="iconSet" priority="3299">
      <iconSet iconSet="3Arrows">
        <cfvo type="percent" val="0"/>
        <cfvo type="num" val="0.7"/>
        <cfvo type="num" val="1"/>
      </iconSet>
    </cfRule>
  </conditionalFormatting>
  <conditionalFormatting sqref="Y270">
    <cfRule type="dataBar" priority="3298">
      <dataBar>
        <cfvo type="num" val="0"/>
        <cfvo type="num" val="1"/>
        <color theme="4" tint="0.79998168889431442"/>
      </dataBar>
      <extLst>
        <ext xmlns:x14="http://schemas.microsoft.com/office/spreadsheetml/2009/9/main" uri="{B025F937-C7B1-47D3-B67F-A62EFF666E3E}">
          <x14:id>{8636684F-26C2-44D1-804D-05DDB2EDC448}</x14:id>
        </ext>
      </extLst>
    </cfRule>
    <cfRule type="iconSet" priority="3297">
      <iconSet iconSet="3Arrows">
        <cfvo type="percent" val="0"/>
        <cfvo type="num" val="0.7"/>
        <cfvo type="num" val="1"/>
      </iconSet>
    </cfRule>
  </conditionalFormatting>
  <conditionalFormatting sqref="Y272">
    <cfRule type="dataBar" priority="3296">
      <dataBar>
        <cfvo type="num" val="0"/>
        <cfvo type="num" val="1"/>
        <color theme="4" tint="0.79998168889431442"/>
      </dataBar>
      <extLst>
        <ext xmlns:x14="http://schemas.microsoft.com/office/spreadsheetml/2009/9/main" uri="{B025F937-C7B1-47D3-B67F-A62EFF666E3E}">
          <x14:id>{9B221186-FE4E-4719-9FF0-7DCD8E0EC446}</x14:id>
        </ext>
      </extLst>
    </cfRule>
    <cfRule type="iconSet" priority="3295">
      <iconSet iconSet="3Arrows">
        <cfvo type="percent" val="0"/>
        <cfvo type="num" val="0.7"/>
        <cfvo type="num" val="1"/>
      </iconSet>
    </cfRule>
  </conditionalFormatting>
  <conditionalFormatting sqref="Y274">
    <cfRule type="dataBar" priority="3294">
      <dataBar>
        <cfvo type="num" val="0"/>
        <cfvo type="num" val="1"/>
        <color theme="4" tint="0.79998168889431442"/>
      </dataBar>
      <extLst>
        <ext xmlns:x14="http://schemas.microsoft.com/office/spreadsheetml/2009/9/main" uri="{B025F937-C7B1-47D3-B67F-A62EFF666E3E}">
          <x14:id>{B52F4FA5-FD95-437C-ACEF-FB5CE57198F6}</x14:id>
        </ext>
      </extLst>
    </cfRule>
    <cfRule type="iconSet" priority="3293">
      <iconSet iconSet="3Arrows">
        <cfvo type="percent" val="0"/>
        <cfvo type="num" val="0.7"/>
        <cfvo type="num" val="1"/>
      </iconSet>
    </cfRule>
  </conditionalFormatting>
  <conditionalFormatting sqref="Y276">
    <cfRule type="dataBar" priority="3292">
      <dataBar>
        <cfvo type="num" val="0"/>
        <cfvo type="num" val="1"/>
        <color theme="4" tint="0.79998168889431442"/>
      </dataBar>
      <extLst>
        <ext xmlns:x14="http://schemas.microsoft.com/office/spreadsheetml/2009/9/main" uri="{B025F937-C7B1-47D3-B67F-A62EFF666E3E}">
          <x14:id>{07DEE460-A915-4AD9-A1CB-45F747D6BC35}</x14:id>
        </ext>
      </extLst>
    </cfRule>
    <cfRule type="iconSet" priority="3291">
      <iconSet iconSet="3Arrows">
        <cfvo type="percent" val="0"/>
        <cfvo type="num" val="0.7"/>
        <cfvo type="num" val="1"/>
      </iconSet>
    </cfRule>
  </conditionalFormatting>
  <conditionalFormatting sqref="Y278">
    <cfRule type="dataBar" priority="3290">
      <dataBar>
        <cfvo type="num" val="0"/>
        <cfvo type="num" val="1"/>
        <color theme="4" tint="0.79998168889431442"/>
      </dataBar>
      <extLst>
        <ext xmlns:x14="http://schemas.microsoft.com/office/spreadsheetml/2009/9/main" uri="{B025F937-C7B1-47D3-B67F-A62EFF666E3E}">
          <x14:id>{AD9535E3-A1AB-415A-9001-1F9CDCBAA6AE}</x14:id>
        </ext>
      </extLst>
    </cfRule>
    <cfRule type="iconSet" priority="3289">
      <iconSet iconSet="3Arrows">
        <cfvo type="percent" val="0"/>
        <cfvo type="num" val="0.7"/>
        <cfvo type="num" val="1"/>
      </iconSet>
    </cfRule>
  </conditionalFormatting>
  <conditionalFormatting sqref="Y280">
    <cfRule type="dataBar" priority="3288">
      <dataBar>
        <cfvo type="num" val="0"/>
        <cfvo type="num" val="1"/>
        <color theme="4" tint="0.79998168889431442"/>
      </dataBar>
      <extLst>
        <ext xmlns:x14="http://schemas.microsoft.com/office/spreadsheetml/2009/9/main" uri="{B025F937-C7B1-47D3-B67F-A62EFF666E3E}">
          <x14:id>{60DB7D3D-592C-4636-B414-6FE6B1F8DFB6}</x14:id>
        </ext>
      </extLst>
    </cfRule>
    <cfRule type="iconSet" priority="3287">
      <iconSet iconSet="3Arrows">
        <cfvo type="percent" val="0"/>
        <cfvo type="num" val="0.7"/>
        <cfvo type="num" val="1"/>
      </iconSet>
    </cfRule>
  </conditionalFormatting>
  <conditionalFormatting sqref="Y282">
    <cfRule type="dataBar" priority="3286">
      <dataBar>
        <cfvo type="num" val="0"/>
        <cfvo type="num" val="1"/>
        <color theme="4" tint="0.79998168889431442"/>
      </dataBar>
      <extLst>
        <ext xmlns:x14="http://schemas.microsoft.com/office/spreadsheetml/2009/9/main" uri="{B025F937-C7B1-47D3-B67F-A62EFF666E3E}">
          <x14:id>{74F448B5-3134-40D8-92D4-6817CFFF37D6}</x14:id>
        </ext>
      </extLst>
    </cfRule>
    <cfRule type="iconSet" priority="3285">
      <iconSet iconSet="3Arrows">
        <cfvo type="percent" val="0"/>
        <cfvo type="num" val="0.7"/>
        <cfvo type="num" val="1"/>
      </iconSet>
    </cfRule>
  </conditionalFormatting>
  <conditionalFormatting sqref="Y284">
    <cfRule type="dataBar" priority="3284">
      <dataBar>
        <cfvo type="num" val="0"/>
        <cfvo type="num" val="1"/>
        <color theme="4" tint="0.79998168889431442"/>
      </dataBar>
      <extLst>
        <ext xmlns:x14="http://schemas.microsoft.com/office/spreadsheetml/2009/9/main" uri="{B025F937-C7B1-47D3-B67F-A62EFF666E3E}">
          <x14:id>{0451C4CA-8B76-48CE-AD81-789D73F5DAD6}</x14:id>
        </ext>
      </extLst>
    </cfRule>
    <cfRule type="iconSet" priority="3283">
      <iconSet iconSet="3Arrows">
        <cfvo type="percent" val="0"/>
        <cfvo type="num" val="0.7"/>
        <cfvo type="num" val="1"/>
      </iconSet>
    </cfRule>
  </conditionalFormatting>
  <conditionalFormatting sqref="Y286">
    <cfRule type="dataBar" priority="3282">
      <dataBar>
        <cfvo type="num" val="0"/>
        <cfvo type="num" val="1"/>
        <color theme="4" tint="0.79998168889431442"/>
      </dataBar>
      <extLst>
        <ext xmlns:x14="http://schemas.microsoft.com/office/spreadsheetml/2009/9/main" uri="{B025F937-C7B1-47D3-B67F-A62EFF666E3E}">
          <x14:id>{892518B2-0551-42E0-A9AB-A72A2C98BBC0}</x14:id>
        </ext>
      </extLst>
    </cfRule>
    <cfRule type="iconSet" priority="3281">
      <iconSet iconSet="3Arrows">
        <cfvo type="percent" val="0"/>
        <cfvo type="num" val="0.7"/>
        <cfvo type="num" val="1"/>
      </iconSet>
    </cfRule>
  </conditionalFormatting>
  <conditionalFormatting sqref="Y288">
    <cfRule type="dataBar" priority="3280">
      <dataBar>
        <cfvo type="num" val="0"/>
        <cfvo type="num" val="1"/>
        <color theme="4" tint="0.79998168889431442"/>
      </dataBar>
      <extLst>
        <ext xmlns:x14="http://schemas.microsoft.com/office/spreadsheetml/2009/9/main" uri="{B025F937-C7B1-47D3-B67F-A62EFF666E3E}">
          <x14:id>{839ED7BB-251A-4648-9A89-4EFC4EEC01D0}</x14:id>
        </ext>
      </extLst>
    </cfRule>
    <cfRule type="iconSet" priority="3279">
      <iconSet iconSet="3Arrows">
        <cfvo type="percent" val="0"/>
        <cfvo type="num" val="0.7"/>
        <cfvo type="num" val="1"/>
      </iconSet>
    </cfRule>
  </conditionalFormatting>
  <conditionalFormatting sqref="Y290">
    <cfRule type="dataBar" priority="3278">
      <dataBar>
        <cfvo type="num" val="0"/>
        <cfvo type="num" val="1"/>
        <color theme="4" tint="0.79998168889431442"/>
      </dataBar>
      <extLst>
        <ext xmlns:x14="http://schemas.microsoft.com/office/spreadsheetml/2009/9/main" uri="{B025F937-C7B1-47D3-B67F-A62EFF666E3E}">
          <x14:id>{A5691028-0265-4FE1-9D8C-BCCF48F2060D}</x14:id>
        </ext>
      </extLst>
    </cfRule>
    <cfRule type="iconSet" priority="3277">
      <iconSet iconSet="3Arrows">
        <cfvo type="percent" val="0"/>
        <cfvo type="num" val="0.7"/>
        <cfvo type="num" val="1"/>
      </iconSet>
    </cfRule>
  </conditionalFormatting>
  <conditionalFormatting sqref="Y292">
    <cfRule type="dataBar" priority="3276">
      <dataBar>
        <cfvo type="num" val="0"/>
        <cfvo type="num" val="1"/>
        <color theme="4" tint="0.79998168889431442"/>
      </dataBar>
      <extLst>
        <ext xmlns:x14="http://schemas.microsoft.com/office/spreadsheetml/2009/9/main" uri="{B025F937-C7B1-47D3-B67F-A62EFF666E3E}">
          <x14:id>{617B5364-360E-4295-AC01-4E99518369A4}</x14:id>
        </ext>
      </extLst>
    </cfRule>
    <cfRule type="iconSet" priority="3275">
      <iconSet iconSet="3Arrows">
        <cfvo type="percent" val="0"/>
        <cfvo type="num" val="0.7"/>
        <cfvo type="num" val="1"/>
      </iconSet>
    </cfRule>
  </conditionalFormatting>
  <conditionalFormatting sqref="Y294">
    <cfRule type="dataBar" priority="3274">
      <dataBar>
        <cfvo type="num" val="0"/>
        <cfvo type="num" val="1"/>
        <color theme="4" tint="0.79998168889431442"/>
      </dataBar>
      <extLst>
        <ext xmlns:x14="http://schemas.microsoft.com/office/spreadsheetml/2009/9/main" uri="{B025F937-C7B1-47D3-B67F-A62EFF666E3E}">
          <x14:id>{394BE9DE-3DFC-489E-8AB9-5B9A448E807D}</x14:id>
        </ext>
      </extLst>
    </cfRule>
    <cfRule type="iconSet" priority="3273">
      <iconSet iconSet="3Arrows">
        <cfvo type="percent" val="0"/>
        <cfvo type="num" val="0.7"/>
        <cfvo type="num" val="1"/>
      </iconSet>
    </cfRule>
  </conditionalFormatting>
  <conditionalFormatting sqref="Y296">
    <cfRule type="dataBar" priority="3272">
      <dataBar>
        <cfvo type="num" val="0"/>
        <cfvo type="num" val="1"/>
        <color theme="4" tint="0.79998168889431442"/>
      </dataBar>
      <extLst>
        <ext xmlns:x14="http://schemas.microsoft.com/office/spreadsheetml/2009/9/main" uri="{B025F937-C7B1-47D3-B67F-A62EFF666E3E}">
          <x14:id>{38AA5452-3111-46CE-897C-90BCE2ACF3D2}</x14:id>
        </ext>
      </extLst>
    </cfRule>
    <cfRule type="iconSet" priority="3271">
      <iconSet iconSet="3Arrows">
        <cfvo type="percent" val="0"/>
        <cfvo type="num" val="0.7"/>
        <cfvo type="num" val="1"/>
      </iconSet>
    </cfRule>
  </conditionalFormatting>
  <conditionalFormatting sqref="Y298">
    <cfRule type="dataBar" priority="3270">
      <dataBar>
        <cfvo type="num" val="0"/>
        <cfvo type="num" val="1"/>
        <color theme="4" tint="0.79998168889431442"/>
      </dataBar>
      <extLst>
        <ext xmlns:x14="http://schemas.microsoft.com/office/spreadsheetml/2009/9/main" uri="{B025F937-C7B1-47D3-B67F-A62EFF666E3E}">
          <x14:id>{18D5DBCC-3975-4846-9F10-AD6934756AA0}</x14:id>
        </ext>
      </extLst>
    </cfRule>
    <cfRule type="iconSet" priority="3269">
      <iconSet iconSet="3Arrows">
        <cfvo type="percent" val="0"/>
        <cfvo type="num" val="0.7"/>
        <cfvo type="num" val="1"/>
      </iconSet>
    </cfRule>
  </conditionalFormatting>
  <conditionalFormatting sqref="Y300">
    <cfRule type="dataBar" priority="3268">
      <dataBar>
        <cfvo type="num" val="0"/>
        <cfvo type="num" val="1"/>
        <color theme="4" tint="0.79998168889431442"/>
      </dataBar>
      <extLst>
        <ext xmlns:x14="http://schemas.microsoft.com/office/spreadsheetml/2009/9/main" uri="{B025F937-C7B1-47D3-B67F-A62EFF666E3E}">
          <x14:id>{32380105-2326-4667-99A6-4DD2C183C363}</x14:id>
        </ext>
      </extLst>
    </cfRule>
    <cfRule type="iconSet" priority="3267">
      <iconSet iconSet="3Arrows">
        <cfvo type="percent" val="0"/>
        <cfvo type="num" val="0.7"/>
        <cfvo type="num" val="1"/>
      </iconSet>
    </cfRule>
  </conditionalFormatting>
  <conditionalFormatting sqref="Y302">
    <cfRule type="dataBar" priority="3266">
      <dataBar>
        <cfvo type="num" val="0"/>
        <cfvo type="num" val="1"/>
        <color theme="4" tint="0.79998168889431442"/>
      </dataBar>
      <extLst>
        <ext xmlns:x14="http://schemas.microsoft.com/office/spreadsheetml/2009/9/main" uri="{B025F937-C7B1-47D3-B67F-A62EFF666E3E}">
          <x14:id>{2DFD37EA-C809-415C-9C0D-941C8C691C36}</x14:id>
        </ext>
      </extLst>
    </cfRule>
    <cfRule type="iconSet" priority="3265">
      <iconSet iconSet="3Arrows">
        <cfvo type="percent" val="0"/>
        <cfvo type="num" val="0.7"/>
        <cfvo type="num" val="1"/>
      </iconSet>
    </cfRule>
  </conditionalFormatting>
  <conditionalFormatting sqref="Y304">
    <cfRule type="dataBar" priority="3264">
      <dataBar>
        <cfvo type="num" val="0"/>
        <cfvo type="num" val="1"/>
        <color theme="4" tint="0.79998168889431442"/>
      </dataBar>
      <extLst>
        <ext xmlns:x14="http://schemas.microsoft.com/office/spreadsheetml/2009/9/main" uri="{B025F937-C7B1-47D3-B67F-A62EFF666E3E}">
          <x14:id>{9383DBD5-7669-43CE-B897-94308D00E57F}</x14:id>
        </ext>
      </extLst>
    </cfRule>
    <cfRule type="iconSet" priority="3263">
      <iconSet iconSet="3Arrows">
        <cfvo type="percent" val="0"/>
        <cfvo type="num" val="0.7"/>
        <cfvo type="num" val="1"/>
      </iconSet>
    </cfRule>
  </conditionalFormatting>
  <conditionalFormatting sqref="Y306">
    <cfRule type="dataBar" priority="3262">
      <dataBar>
        <cfvo type="num" val="0"/>
        <cfvo type="num" val="1"/>
        <color theme="4" tint="0.79998168889431442"/>
      </dataBar>
      <extLst>
        <ext xmlns:x14="http://schemas.microsoft.com/office/spreadsheetml/2009/9/main" uri="{B025F937-C7B1-47D3-B67F-A62EFF666E3E}">
          <x14:id>{C4681EE9-29A8-48C2-B9EF-D422C35D424B}</x14:id>
        </ext>
      </extLst>
    </cfRule>
    <cfRule type="iconSet" priority="3261">
      <iconSet iconSet="3Arrows">
        <cfvo type="percent" val="0"/>
        <cfvo type="num" val="0.7"/>
        <cfvo type="num" val="1"/>
      </iconSet>
    </cfRule>
  </conditionalFormatting>
  <conditionalFormatting sqref="Y310">
    <cfRule type="dataBar" priority="3260">
      <dataBar>
        <cfvo type="num" val="0"/>
        <cfvo type="num" val="1"/>
        <color theme="4" tint="0.79998168889431442"/>
      </dataBar>
      <extLst>
        <ext xmlns:x14="http://schemas.microsoft.com/office/spreadsheetml/2009/9/main" uri="{B025F937-C7B1-47D3-B67F-A62EFF666E3E}">
          <x14:id>{4F16314E-2BA9-4A39-A48C-0FF7E065BFF4}</x14:id>
        </ext>
      </extLst>
    </cfRule>
    <cfRule type="iconSet" priority="3259">
      <iconSet iconSet="3Arrows">
        <cfvo type="percent" val="0"/>
        <cfvo type="num" val="0.7"/>
        <cfvo type="num" val="1"/>
      </iconSet>
    </cfRule>
  </conditionalFormatting>
  <conditionalFormatting sqref="Y312">
    <cfRule type="dataBar" priority="3258">
      <dataBar>
        <cfvo type="num" val="0"/>
        <cfvo type="num" val="1"/>
        <color theme="4" tint="0.79998168889431442"/>
      </dataBar>
      <extLst>
        <ext xmlns:x14="http://schemas.microsoft.com/office/spreadsheetml/2009/9/main" uri="{B025F937-C7B1-47D3-B67F-A62EFF666E3E}">
          <x14:id>{3ED950C9-636A-4600-BAA5-B422EDD8288A}</x14:id>
        </ext>
      </extLst>
    </cfRule>
    <cfRule type="iconSet" priority="3257">
      <iconSet iconSet="3Arrows">
        <cfvo type="percent" val="0"/>
        <cfvo type="num" val="0.7"/>
        <cfvo type="num" val="1"/>
      </iconSet>
    </cfRule>
  </conditionalFormatting>
  <conditionalFormatting sqref="Y314">
    <cfRule type="dataBar" priority="3256">
      <dataBar>
        <cfvo type="num" val="0"/>
        <cfvo type="num" val="1"/>
        <color theme="4" tint="0.79998168889431442"/>
      </dataBar>
      <extLst>
        <ext xmlns:x14="http://schemas.microsoft.com/office/spreadsheetml/2009/9/main" uri="{B025F937-C7B1-47D3-B67F-A62EFF666E3E}">
          <x14:id>{8FC11377-F56E-4530-94E1-9F163823494E}</x14:id>
        </ext>
      </extLst>
    </cfRule>
    <cfRule type="iconSet" priority="3255">
      <iconSet iconSet="3Arrows">
        <cfvo type="percent" val="0"/>
        <cfvo type="num" val="0.7"/>
        <cfvo type="num" val="1"/>
      </iconSet>
    </cfRule>
  </conditionalFormatting>
  <conditionalFormatting sqref="Y316">
    <cfRule type="dataBar" priority="3254">
      <dataBar>
        <cfvo type="num" val="0"/>
        <cfvo type="num" val="1"/>
        <color theme="4" tint="0.79998168889431442"/>
      </dataBar>
      <extLst>
        <ext xmlns:x14="http://schemas.microsoft.com/office/spreadsheetml/2009/9/main" uri="{B025F937-C7B1-47D3-B67F-A62EFF666E3E}">
          <x14:id>{7D55B130-3A57-44EB-A6D3-2F79C5416E13}</x14:id>
        </ext>
      </extLst>
    </cfRule>
    <cfRule type="iconSet" priority="3253">
      <iconSet iconSet="3Arrows">
        <cfvo type="percent" val="0"/>
        <cfvo type="num" val="0.7"/>
        <cfvo type="num" val="1"/>
      </iconSet>
    </cfRule>
  </conditionalFormatting>
  <conditionalFormatting sqref="Y318">
    <cfRule type="dataBar" priority="3252">
      <dataBar>
        <cfvo type="num" val="0"/>
        <cfvo type="num" val="1"/>
        <color theme="4" tint="0.79998168889431442"/>
      </dataBar>
      <extLst>
        <ext xmlns:x14="http://schemas.microsoft.com/office/spreadsheetml/2009/9/main" uri="{B025F937-C7B1-47D3-B67F-A62EFF666E3E}">
          <x14:id>{597E3DC7-524F-477A-8656-FC95FEB63E30}</x14:id>
        </ext>
      </extLst>
    </cfRule>
    <cfRule type="iconSet" priority="3251">
      <iconSet iconSet="3Arrows">
        <cfvo type="percent" val="0"/>
        <cfvo type="num" val="0.7"/>
        <cfvo type="num" val="1"/>
      </iconSet>
    </cfRule>
  </conditionalFormatting>
  <conditionalFormatting sqref="Y320">
    <cfRule type="dataBar" priority="3250">
      <dataBar>
        <cfvo type="num" val="0"/>
        <cfvo type="num" val="1"/>
        <color theme="4" tint="0.79998168889431442"/>
      </dataBar>
      <extLst>
        <ext xmlns:x14="http://schemas.microsoft.com/office/spreadsheetml/2009/9/main" uri="{B025F937-C7B1-47D3-B67F-A62EFF666E3E}">
          <x14:id>{7FF88A5F-830A-4B8A-914C-D4DA612F2C0C}</x14:id>
        </ext>
      </extLst>
    </cfRule>
    <cfRule type="iconSet" priority="3249">
      <iconSet iconSet="3Arrows">
        <cfvo type="percent" val="0"/>
        <cfvo type="num" val="0.7"/>
        <cfvo type="num" val="1"/>
      </iconSet>
    </cfRule>
  </conditionalFormatting>
  <conditionalFormatting sqref="Y322">
    <cfRule type="dataBar" priority="3248">
      <dataBar>
        <cfvo type="num" val="0"/>
        <cfvo type="num" val="1"/>
        <color theme="4" tint="0.79998168889431442"/>
      </dataBar>
      <extLst>
        <ext xmlns:x14="http://schemas.microsoft.com/office/spreadsheetml/2009/9/main" uri="{B025F937-C7B1-47D3-B67F-A62EFF666E3E}">
          <x14:id>{161B6F5A-0CE0-4D74-8049-1F3735977A0D}</x14:id>
        </ext>
      </extLst>
    </cfRule>
    <cfRule type="iconSet" priority="3247">
      <iconSet iconSet="3Arrows">
        <cfvo type="percent" val="0"/>
        <cfvo type="num" val="0.7"/>
        <cfvo type="num" val="1"/>
      </iconSet>
    </cfRule>
  </conditionalFormatting>
  <conditionalFormatting sqref="Y324">
    <cfRule type="dataBar" priority="3246">
      <dataBar>
        <cfvo type="num" val="0"/>
        <cfvo type="num" val="1"/>
        <color theme="4" tint="0.79998168889431442"/>
      </dataBar>
      <extLst>
        <ext xmlns:x14="http://schemas.microsoft.com/office/spreadsheetml/2009/9/main" uri="{B025F937-C7B1-47D3-B67F-A62EFF666E3E}">
          <x14:id>{CB6F8DCB-461F-4995-B5CD-BFB3E888FCE7}</x14:id>
        </ext>
      </extLst>
    </cfRule>
    <cfRule type="iconSet" priority="3245">
      <iconSet iconSet="3Arrows">
        <cfvo type="percent" val="0"/>
        <cfvo type="num" val="0.7"/>
        <cfvo type="num" val="1"/>
      </iconSet>
    </cfRule>
  </conditionalFormatting>
  <conditionalFormatting sqref="Y326">
    <cfRule type="dataBar" priority="3244">
      <dataBar>
        <cfvo type="num" val="0"/>
        <cfvo type="num" val="1"/>
        <color theme="4" tint="0.79998168889431442"/>
      </dataBar>
      <extLst>
        <ext xmlns:x14="http://schemas.microsoft.com/office/spreadsheetml/2009/9/main" uri="{B025F937-C7B1-47D3-B67F-A62EFF666E3E}">
          <x14:id>{71E7FA57-406D-4AE7-A106-7C0196ADA177}</x14:id>
        </ext>
      </extLst>
    </cfRule>
    <cfRule type="iconSet" priority="3243">
      <iconSet iconSet="3Arrows">
        <cfvo type="percent" val="0"/>
        <cfvo type="num" val="0.7"/>
        <cfvo type="num" val="1"/>
      </iconSet>
    </cfRule>
  </conditionalFormatting>
  <conditionalFormatting sqref="Y328">
    <cfRule type="iconSet" priority="3241">
      <iconSet iconSet="3Arrows">
        <cfvo type="percent" val="0"/>
        <cfvo type="num" val="0.7"/>
        <cfvo type="num" val="1"/>
      </iconSet>
    </cfRule>
    <cfRule type="dataBar" priority="3242">
      <dataBar>
        <cfvo type="num" val="0"/>
        <cfvo type="num" val="1"/>
        <color theme="4" tint="0.79998168889431442"/>
      </dataBar>
      <extLst>
        <ext xmlns:x14="http://schemas.microsoft.com/office/spreadsheetml/2009/9/main" uri="{B025F937-C7B1-47D3-B67F-A62EFF666E3E}">
          <x14:id>{93A70809-33A2-41B0-82C7-2D417288489B}</x14:id>
        </ext>
      </extLst>
    </cfRule>
  </conditionalFormatting>
  <conditionalFormatting sqref="Y330">
    <cfRule type="iconSet" priority="3239">
      <iconSet iconSet="3Arrows">
        <cfvo type="percent" val="0"/>
        <cfvo type="num" val="0.7"/>
        <cfvo type="num" val="1"/>
      </iconSet>
    </cfRule>
    <cfRule type="dataBar" priority="3240">
      <dataBar>
        <cfvo type="num" val="0"/>
        <cfvo type="num" val="1"/>
        <color theme="4" tint="0.79998168889431442"/>
      </dataBar>
      <extLst>
        <ext xmlns:x14="http://schemas.microsoft.com/office/spreadsheetml/2009/9/main" uri="{B025F937-C7B1-47D3-B67F-A62EFF666E3E}">
          <x14:id>{EBE8F81A-0E71-47A3-92F5-B057B2B1E42A}</x14:id>
        </ext>
      </extLst>
    </cfRule>
  </conditionalFormatting>
  <conditionalFormatting sqref="Y332">
    <cfRule type="iconSet" priority="3237">
      <iconSet iconSet="3Arrows">
        <cfvo type="percent" val="0"/>
        <cfvo type="num" val="0.7"/>
        <cfvo type="num" val="1"/>
      </iconSet>
    </cfRule>
    <cfRule type="dataBar" priority="3238">
      <dataBar>
        <cfvo type="num" val="0"/>
        <cfvo type="num" val="1"/>
        <color theme="4" tint="0.79998168889431442"/>
      </dataBar>
      <extLst>
        <ext xmlns:x14="http://schemas.microsoft.com/office/spreadsheetml/2009/9/main" uri="{B025F937-C7B1-47D3-B67F-A62EFF666E3E}">
          <x14:id>{306B6A4D-1B89-4BD5-B5E1-A277DDA37F61}</x14:id>
        </ext>
      </extLst>
    </cfRule>
  </conditionalFormatting>
  <conditionalFormatting sqref="Y334">
    <cfRule type="iconSet" priority="3235">
      <iconSet iconSet="3Arrows">
        <cfvo type="percent" val="0"/>
        <cfvo type="num" val="0.7"/>
        <cfvo type="num" val="1"/>
      </iconSet>
    </cfRule>
    <cfRule type="dataBar" priority="3236">
      <dataBar>
        <cfvo type="num" val="0"/>
        <cfvo type="num" val="1"/>
        <color theme="4" tint="0.79998168889431442"/>
      </dataBar>
      <extLst>
        <ext xmlns:x14="http://schemas.microsoft.com/office/spreadsheetml/2009/9/main" uri="{B025F937-C7B1-47D3-B67F-A62EFF666E3E}">
          <x14:id>{EE26A059-012F-4761-9A35-898802B93849}</x14:id>
        </ext>
      </extLst>
    </cfRule>
  </conditionalFormatting>
  <conditionalFormatting sqref="Y336">
    <cfRule type="iconSet" priority="3233">
      <iconSet iconSet="3Arrows">
        <cfvo type="percent" val="0"/>
        <cfvo type="num" val="0.7"/>
        <cfvo type="num" val="1"/>
      </iconSet>
    </cfRule>
    <cfRule type="dataBar" priority="3234">
      <dataBar>
        <cfvo type="num" val="0"/>
        <cfvo type="num" val="1"/>
        <color theme="4" tint="0.79998168889431442"/>
      </dataBar>
      <extLst>
        <ext xmlns:x14="http://schemas.microsoft.com/office/spreadsheetml/2009/9/main" uri="{B025F937-C7B1-47D3-B67F-A62EFF666E3E}">
          <x14:id>{19E80BB8-E326-4EA4-8B63-264D1C477AE6}</x14:id>
        </ext>
      </extLst>
    </cfRule>
  </conditionalFormatting>
  <conditionalFormatting sqref="Y338">
    <cfRule type="iconSet" priority="3231">
      <iconSet iconSet="3Arrows">
        <cfvo type="percent" val="0"/>
        <cfvo type="num" val="0.7"/>
        <cfvo type="num" val="1"/>
      </iconSet>
    </cfRule>
    <cfRule type="dataBar" priority="3232">
      <dataBar>
        <cfvo type="num" val="0"/>
        <cfvo type="num" val="1"/>
        <color theme="4" tint="0.79998168889431442"/>
      </dataBar>
      <extLst>
        <ext xmlns:x14="http://schemas.microsoft.com/office/spreadsheetml/2009/9/main" uri="{B025F937-C7B1-47D3-B67F-A62EFF666E3E}">
          <x14:id>{D15BD722-D40F-4404-891B-37F6272CDA77}</x14:id>
        </ext>
      </extLst>
    </cfRule>
  </conditionalFormatting>
  <conditionalFormatting sqref="Y340">
    <cfRule type="dataBar" priority="3230">
      <dataBar>
        <cfvo type="num" val="0"/>
        <cfvo type="num" val="1"/>
        <color theme="4" tint="0.79998168889431442"/>
      </dataBar>
      <extLst>
        <ext xmlns:x14="http://schemas.microsoft.com/office/spreadsheetml/2009/9/main" uri="{B025F937-C7B1-47D3-B67F-A62EFF666E3E}">
          <x14:id>{7C0ABCB4-CED9-4F20-83C1-669782339044}</x14:id>
        </ext>
      </extLst>
    </cfRule>
    <cfRule type="iconSet" priority="3229">
      <iconSet iconSet="3Arrows">
        <cfvo type="percent" val="0"/>
        <cfvo type="num" val="0.7"/>
        <cfvo type="num" val="1"/>
      </iconSet>
    </cfRule>
  </conditionalFormatting>
  <conditionalFormatting sqref="Y342">
    <cfRule type="dataBar" priority="3228">
      <dataBar>
        <cfvo type="num" val="0"/>
        <cfvo type="num" val="1"/>
        <color theme="4" tint="0.79998168889431442"/>
      </dataBar>
      <extLst>
        <ext xmlns:x14="http://schemas.microsoft.com/office/spreadsheetml/2009/9/main" uri="{B025F937-C7B1-47D3-B67F-A62EFF666E3E}">
          <x14:id>{4AB5665C-F739-46F7-B930-ACAFE8988850}</x14:id>
        </ext>
      </extLst>
    </cfRule>
    <cfRule type="iconSet" priority="3227">
      <iconSet iconSet="3Arrows">
        <cfvo type="percent" val="0"/>
        <cfvo type="num" val="0.7"/>
        <cfvo type="num" val="1"/>
      </iconSet>
    </cfRule>
  </conditionalFormatting>
  <conditionalFormatting sqref="Y344">
    <cfRule type="iconSet" priority="3225">
      <iconSet iconSet="3Arrows">
        <cfvo type="percent" val="0"/>
        <cfvo type="num" val="0.7"/>
        <cfvo type="num" val="1"/>
      </iconSet>
    </cfRule>
    <cfRule type="dataBar" priority="3226">
      <dataBar>
        <cfvo type="num" val="0"/>
        <cfvo type="num" val="1"/>
        <color theme="4" tint="0.79998168889431442"/>
      </dataBar>
      <extLst>
        <ext xmlns:x14="http://schemas.microsoft.com/office/spreadsheetml/2009/9/main" uri="{B025F937-C7B1-47D3-B67F-A62EFF666E3E}">
          <x14:id>{175D53A3-8528-4B8C-A242-7AB866297574}</x14:id>
        </ext>
      </extLst>
    </cfRule>
  </conditionalFormatting>
  <conditionalFormatting sqref="Y346">
    <cfRule type="dataBar" priority="3224">
      <dataBar>
        <cfvo type="num" val="0"/>
        <cfvo type="num" val="1"/>
        <color theme="4" tint="0.79998168889431442"/>
      </dataBar>
      <extLst>
        <ext xmlns:x14="http://schemas.microsoft.com/office/spreadsheetml/2009/9/main" uri="{B025F937-C7B1-47D3-B67F-A62EFF666E3E}">
          <x14:id>{C3022AAC-EF91-4708-93D3-B35283F96574}</x14:id>
        </ext>
      </extLst>
    </cfRule>
    <cfRule type="iconSet" priority="3223">
      <iconSet iconSet="3Arrows">
        <cfvo type="percent" val="0"/>
        <cfvo type="num" val="0.7"/>
        <cfvo type="num" val="1"/>
      </iconSet>
    </cfRule>
  </conditionalFormatting>
  <conditionalFormatting sqref="Y348">
    <cfRule type="iconSet" priority="3221">
      <iconSet iconSet="3Arrows">
        <cfvo type="percent" val="0"/>
        <cfvo type="num" val="0.7"/>
        <cfvo type="num" val="1"/>
      </iconSet>
    </cfRule>
    <cfRule type="dataBar" priority="3222">
      <dataBar>
        <cfvo type="num" val="0"/>
        <cfvo type="num" val="1"/>
        <color theme="4" tint="0.79998168889431442"/>
      </dataBar>
      <extLst>
        <ext xmlns:x14="http://schemas.microsoft.com/office/spreadsheetml/2009/9/main" uri="{B025F937-C7B1-47D3-B67F-A62EFF666E3E}">
          <x14:id>{9A258838-06A7-47D8-9C0B-A9CE3CB37BC3}</x14:id>
        </ext>
      </extLst>
    </cfRule>
  </conditionalFormatting>
  <conditionalFormatting sqref="Y350">
    <cfRule type="iconSet" priority="3219">
      <iconSet iconSet="3Arrows">
        <cfvo type="percent" val="0"/>
        <cfvo type="num" val="0.7"/>
        <cfvo type="num" val="1"/>
      </iconSet>
    </cfRule>
    <cfRule type="dataBar" priority="3220">
      <dataBar>
        <cfvo type="num" val="0"/>
        <cfvo type="num" val="1"/>
        <color theme="4" tint="0.79998168889431442"/>
      </dataBar>
      <extLst>
        <ext xmlns:x14="http://schemas.microsoft.com/office/spreadsheetml/2009/9/main" uri="{B025F937-C7B1-47D3-B67F-A62EFF666E3E}">
          <x14:id>{E5E64885-7C99-4564-908B-9EE54B1C9CFC}</x14:id>
        </ext>
      </extLst>
    </cfRule>
  </conditionalFormatting>
  <conditionalFormatting sqref="Y352">
    <cfRule type="iconSet" priority="3217">
      <iconSet iconSet="3Arrows">
        <cfvo type="percent" val="0"/>
        <cfvo type="num" val="0.7"/>
        <cfvo type="num" val="1"/>
      </iconSet>
    </cfRule>
    <cfRule type="dataBar" priority="3218">
      <dataBar>
        <cfvo type="num" val="0"/>
        <cfvo type="num" val="1"/>
        <color theme="4" tint="0.79998168889431442"/>
      </dataBar>
      <extLst>
        <ext xmlns:x14="http://schemas.microsoft.com/office/spreadsheetml/2009/9/main" uri="{B025F937-C7B1-47D3-B67F-A62EFF666E3E}">
          <x14:id>{A3669B13-7BEC-402F-AFE2-1F592A595349}</x14:id>
        </ext>
      </extLst>
    </cfRule>
  </conditionalFormatting>
  <conditionalFormatting sqref="Y354">
    <cfRule type="iconSet" priority="3215">
      <iconSet iconSet="3Arrows">
        <cfvo type="percent" val="0"/>
        <cfvo type="num" val="0.7"/>
        <cfvo type="num" val="1"/>
      </iconSet>
    </cfRule>
    <cfRule type="dataBar" priority="3216">
      <dataBar>
        <cfvo type="num" val="0"/>
        <cfvo type="num" val="1"/>
        <color theme="4" tint="0.79998168889431442"/>
      </dataBar>
      <extLst>
        <ext xmlns:x14="http://schemas.microsoft.com/office/spreadsheetml/2009/9/main" uri="{B025F937-C7B1-47D3-B67F-A62EFF666E3E}">
          <x14:id>{45555B2A-F951-4727-AD90-65685F5EF061}</x14:id>
        </ext>
      </extLst>
    </cfRule>
  </conditionalFormatting>
  <conditionalFormatting sqref="Y356">
    <cfRule type="dataBar" priority="3214">
      <dataBar>
        <cfvo type="num" val="0"/>
        <cfvo type="num" val="1"/>
        <color theme="4" tint="0.79998168889431442"/>
      </dataBar>
      <extLst>
        <ext xmlns:x14="http://schemas.microsoft.com/office/spreadsheetml/2009/9/main" uri="{B025F937-C7B1-47D3-B67F-A62EFF666E3E}">
          <x14:id>{D40AE800-0402-496C-8B6D-BD55F32AB6A0}</x14:id>
        </ext>
      </extLst>
    </cfRule>
    <cfRule type="iconSet" priority="3213">
      <iconSet iconSet="3Arrows">
        <cfvo type="percent" val="0"/>
        <cfvo type="num" val="0.7"/>
        <cfvo type="num" val="1"/>
      </iconSet>
    </cfRule>
  </conditionalFormatting>
  <conditionalFormatting sqref="Y358">
    <cfRule type="iconSet" priority="3211">
      <iconSet iconSet="3Arrows">
        <cfvo type="percent" val="0"/>
        <cfvo type="num" val="0.7"/>
        <cfvo type="num" val="1"/>
      </iconSet>
    </cfRule>
    <cfRule type="dataBar" priority="3212">
      <dataBar>
        <cfvo type="num" val="0"/>
        <cfvo type="num" val="1"/>
        <color theme="4" tint="0.79998168889431442"/>
      </dataBar>
      <extLst>
        <ext xmlns:x14="http://schemas.microsoft.com/office/spreadsheetml/2009/9/main" uri="{B025F937-C7B1-47D3-B67F-A62EFF666E3E}">
          <x14:id>{AE9DD214-81F1-4C4A-94A5-87690BC2409B}</x14:id>
        </ext>
      </extLst>
    </cfRule>
  </conditionalFormatting>
  <conditionalFormatting sqref="Y360">
    <cfRule type="iconSet" priority="3209">
      <iconSet iconSet="3Arrows">
        <cfvo type="percent" val="0"/>
        <cfvo type="num" val="0.7"/>
        <cfvo type="num" val="1"/>
      </iconSet>
    </cfRule>
    <cfRule type="dataBar" priority="3210">
      <dataBar>
        <cfvo type="num" val="0"/>
        <cfvo type="num" val="1"/>
        <color theme="4" tint="0.79998168889431442"/>
      </dataBar>
      <extLst>
        <ext xmlns:x14="http://schemas.microsoft.com/office/spreadsheetml/2009/9/main" uri="{B025F937-C7B1-47D3-B67F-A62EFF666E3E}">
          <x14:id>{2AC77970-34D4-48F3-8D8A-24904622FF00}</x14:id>
        </ext>
      </extLst>
    </cfRule>
  </conditionalFormatting>
  <conditionalFormatting sqref="Y362">
    <cfRule type="iconSet" priority="3207">
      <iconSet iconSet="3Arrows">
        <cfvo type="percent" val="0"/>
        <cfvo type="num" val="0.7"/>
        <cfvo type="num" val="1"/>
      </iconSet>
    </cfRule>
    <cfRule type="dataBar" priority="3208">
      <dataBar>
        <cfvo type="num" val="0"/>
        <cfvo type="num" val="1"/>
        <color theme="4" tint="0.79998168889431442"/>
      </dataBar>
      <extLst>
        <ext xmlns:x14="http://schemas.microsoft.com/office/spreadsheetml/2009/9/main" uri="{B025F937-C7B1-47D3-B67F-A62EFF666E3E}">
          <x14:id>{A998FDA7-C218-4834-A37D-A36755087C6B}</x14:id>
        </ext>
      </extLst>
    </cfRule>
  </conditionalFormatting>
  <conditionalFormatting sqref="Y365">
    <cfRule type="dataBar" priority="3206">
      <dataBar>
        <cfvo type="num" val="0"/>
        <cfvo type="num" val="1"/>
        <color theme="4" tint="0.79998168889431442"/>
      </dataBar>
      <extLst>
        <ext xmlns:x14="http://schemas.microsoft.com/office/spreadsheetml/2009/9/main" uri="{B025F937-C7B1-47D3-B67F-A62EFF666E3E}">
          <x14:id>{FEE53666-B8F6-445C-AB33-83D89E6DC9AD}</x14:id>
        </ext>
      </extLst>
    </cfRule>
    <cfRule type="iconSet" priority="3205">
      <iconSet iconSet="3Arrows">
        <cfvo type="percent" val="0"/>
        <cfvo type="num" val="0.7"/>
        <cfvo type="num" val="1"/>
      </iconSet>
    </cfRule>
  </conditionalFormatting>
  <conditionalFormatting sqref="Y369">
    <cfRule type="dataBar" priority="3204">
      <dataBar>
        <cfvo type="num" val="0"/>
        <cfvo type="num" val="1"/>
        <color theme="4" tint="0.79998168889431442"/>
      </dataBar>
      <extLst>
        <ext xmlns:x14="http://schemas.microsoft.com/office/spreadsheetml/2009/9/main" uri="{B025F937-C7B1-47D3-B67F-A62EFF666E3E}">
          <x14:id>{195EBBF5-00B4-43CA-8800-229BE46AD9FC}</x14:id>
        </ext>
      </extLst>
    </cfRule>
    <cfRule type="iconSet" priority="3203">
      <iconSet iconSet="3Arrows">
        <cfvo type="percent" val="0"/>
        <cfvo type="num" val="0.7"/>
        <cfvo type="num" val="1"/>
      </iconSet>
    </cfRule>
  </conditionalFormatting>
  <conditionalFormatting sqref="Y371">
    <cfRule type="dataBar" priority="3202">
      <dataBar>
        <cfvo type="num" val="0"/>
        <cfvo type="num" val="1"/>
        <color theme="4" tint="0.79998168889431442"/>
      </dataBar>
      <extLst>
        <ext xmlns:x14="http://schemas.microsoft.com/office/spreadsheetml/2009/9/main" uri="{B025F937-C7B1-47D3-B67F-A62EFF666E3E}">
          <x14:id>{94852032-8B4C-46B5-B7D9-6DBBE968501A}</x14:id>
        </ext>
      </extLst>
    </cfRule>
    <cfRule type="iconSet" priority="3201">
      <iconSet iconSet="3Arrows">
        <cfvo type="percent" val="0"/>
        <cfvo type="num" val="0.7"/>
        <cfvo type="num" val="1"/>
      </iconSet>
    </cfRule>
  </conditionalFormatting>
  <conditionalFormatting sqref="Y373">
    <cfRule type="dataBar" priority="3200">
      <dataBar>
        <cfvo type="num" val="0"/>
        <cfvo type="num" val="1"/>
        <color theme="4" tint="0.79998168889431442"/>
      </dataBar>
      <extLst>
        <ext xmlns:x14="http://schemas.microsoft.com/office/spreadsheetml/2009/9/main" uri="{B025F937-C7B1-47D3-B67F-A62EFF666E3E}">
          <x14:id>{F855F324-276E-43C0-B93A-D2CDB277CE64}</x14:id>
        </ext>
      </extLst>
    </cfRule>
    <cfRule type="iconSet" priority="3199">
      <iconSet iconSet="3Arrows">
        <cfvo type="percent" val="0"/>
        <cfvo type="num" val="0.7"/>
        <cfvo type="num" val="1"/>
      </iconSet>
    </cfRule>
  </conditionalFormatting>
  <conditionalFormatting sqref="Y375">
    <cfRule type="dataBar" priority="3198">
      <dataBar>
        <cfvo type="num" val="0"/>
        <cfvo type="num" val="1"/>
        <color theme="4" tint="0.79998168889431442"/>
      </dataBar>
      <extLst>
        <ext xmlns:x14="http://schemas.microsoft.com/office/spreadsheetml/2009/9/main" uri="{B025F937-C7B1-47D3-B67F-A62EFF666E3E}">
          <x14:id>{119817A5-65A6-43C8-8235-B3D74FCA7E03}</x14:id>
        </ext>
      </extLst>
    </cfRule>
    <cfRule type="iconSet" priority="3197">
      <iconSet iconSet="3Arrows">
        <cfvo type="percent" val="0"/>
        <cfvo type="num" val="0.7"/>
        <cfvo type="num" val="1"/>
      </iconSet>
    </cfRule>
  </conditionalFormatting>
  <conditionalFormatting sqref="Y377">
    <cfRule type="dataBar" priority="3196">
      <dataBar>
        <cfvo type="num" val="0"/>
        <cfvo type="num" val="1"/>
        <color theme="4" tint="0.79998168889431442"/>
      </dataBar>
      <extLst>
        <ext xmlns:x14="http://schemas.microsoft.com/office/spreadsheetml/2009/9/main" uri="{B025F937-C7B1-47D3-B67F-A62EFF666E3E}">
          <x14:id>{BBF4BD37-AF0C-4FA0-9F5B-FDFFB1D4C42D}</x14:id>
        </ext>
      </extLst>
    </cfRule>
    <cfRule type="iconSet" priority="3195">
      <iconSet iconSet="3Arrows">
        <cfvo type="percent" val="0"/>
        <cfvo type="num" val="0.7"/>
        <cfvo type="num" val="1"/>
      </iconSet>
    </cfRule>
  </conditionalFormatting>
  <conditionalFormatting sqref="Y380">
    <cfRule type="dataBar" priority="3194">
      <dataBar>
        <cfvo type="num" val="0"/>
        <cfvo type="num" val="1"/>
        <color theme="4" tint="0.79998168889431442"/>
      </dataBar>
      <extLst>
        <ext xmlns:x14="http://schemas.microsoft.com/office/spreadsheetml/2009/9/main" uri="{B025F937-C7B1-47D3-B67F-A62EFF666E3E}">
          <x14:id>{9405E74C-BC01-44C4-A3BA-7BC26EBF953A}</x14:id>
        </ext>
      </extLst>
    </cfRule>
    <cfRule type="iconSet" priority="3193">
      <iconSet iconSet="3Arrows">
        <cfvo type="percent" val="0"/>
        <cfvo type="num" val="0.7"/>
        <cfvo type="num" val="1"/>
      </iconSet>
    </cfRule>
  </conditionalFormatting>
  <conditionalFormatting sqref="Y382">
    <cfRule type="iconSet" priority="3191">
      <iconSet iconSet="3Arrows">
        <cfvo type="percent" val="0"/>
        <cfvo type="num" val="0.7"/>
        <cfvo type="num" val="1"/>
      </iconSet>
    </cfRule>
    <cfRule type="dataBar" priority="3192">
      <dataBar>
        <cfvo type="num" val="0"/>
        <cfvo type="num" val="1"/>
        <color theme="4" tint="0.79998168889431442"/>
      </dataBar>
      <extLst>
        <ext xmlns:x14="http://schemas.microsoft.com/office/spreadsheetml/2009/9/main" uri="{B025F937-C7B1-47D3-B67F-A62EFF666E3E}">
          <x14:id>{D346B921-84EA-474A-AFC8-CFAD99B6390A}</x14:id>
        </ext>
      </extLst>
    </cfRule>
  </conditionalFormatting>
  <conditionalFormatting sqref="Y384">
    <cfRule type="dataBar" priority="3190">
      <dataBar>
        <cfvo type="num" val="0"/>
        <cfvo type="num" val="1"/>
        <color theme="4" tint="0.79998168889431442"/>
      </dataBar>
      <extLst>
        <ext xmlns:x14="http://schemas.microsoft.com/office/spreadsheetml/2009/9/main" uri="{B025F937-C7B1-47D3-B67F-A62EFF666E3E}">
          <x14:id>{A8A774EB-653D-42DA-AA5E-1957B935BC1B}</x14:id>
        </ext>
      </extLst>
    </cfRule>
    <cfRule type="iconSet" priority="3189">
      <iconSet iconSet="3Arrows">
        <cfvo type="percent" val="0"/>
        <cfvo type="num" val="0.7"/>
        <cfvo type="num" val="1"/>
      </iconSet>
    </cfRule>
  </conditionalFormatting>
  <conditionalFormatting sqref="Y386">
    <cfRule type="dataBar" priority="3188">
      <dataBar>
        <cfvo type="num" val="0"/>
        <cfvo type="num" val="1"/>
        <color theme="4" tint="0.79998168889431442"/>
      </dataBar>
      <extLst>
        <ext xmlns:x14="http://schemas.microsoft.com/office/spreadsheetml/2009/9/main" uri="{B025F937-C7B1-47D3-B67F-A62EFF666E3E}">
          <x14:id>{73420162-E9DA-4F6E-B3FB-C665D9CEDC8B}</x14:id>
        </ext>
      </extLst>
    </cfRule>
    <cfRule type="iconSet" priority="3187">
      <iconSet iconSet="3Arrows">
        <cfvo type="percent" val="0"/>
        <cfvo type="num" val="0.7"/>
        <cfvo type="num" val="1"/>
      </iconSet>
    </cfRule>
  </conditionalFormatting>
  <conditionalFormatting sqref="Y388">
    <cfRule type="dataBar" priority="3186">
      <dataBar>
        <cfvo type="num" val="0"/>
        <cfvo type="num" val="1"/>
        <color theme="4" tint="0.79998168889431442"/>
      </dataBar>
      <extLst>
        <ext xmlns:x14="http://schemas.microsoft.com/office/spreadsheetml/2009/9/main" uri="{B025F937-C7B1-47D3-B67F-A62EFF666E3E}">
          <x14:id>{05239639-DB7B-4CB4-9DF6-4F1AC7DD3E3C}</x14:id>
        </ext>
      </extLst>
    </cfRule>
    <cfRule type="iconSet" priority="3185">
      <iconSet iconSet="3Arrows">
        <cfvo type="percent" val="0"/>
        <cfvo type="num" val="0.7"/>
        <cfvo type="num" val="1"/>
      </iconSet>
    </cfRule>
  </conditionalFormatting>
  <conditionalFormatting sqref="Y390">
    <cfRule type="dataBar" priority="3184">
      <dataBar>
        <cfvo type="num" val="0"/>
        <cfvo type="num" val="1"/>
        <color theme="4" tint="0.79998168889431442"/>
      </dataBar>
      <extLst>
        <ext xmlns:x14="http://schemas.microsoft.com/office/spreadsheetml/2009/9/main" uri="{B025F937-C7B1-47D3-B67F-A62EFF666E3E}">
          <x14:id>{3188C5BF-2C1B-4191-841C-E6D9AB785C99}</x14:id>
        </ext>
      </extLst>
    </cfRule>
    <cfRule type="iconSet" priority="3183">
      <iconSet iconSet="3Arrows">
        <cfvo type="percent" val="0"/>
        <cfvo type="num" val="0.7"/>
        <cfvo type="num" val="1"/>
      </iconSet>
    </cfRule>
  </conditionalFormatting>
  <conditionalFormatting sqref="Y392">
    <cfRule type="dataBar" priority="3182">
      <dataBar>
        <cfvo type="num" val="0"/>
        <cfvo type="num" val="1"/>
        <color theme="4" tint="0.79998168889431442"/>
      </dataBar>
      <extLst>
        <ext xmlns:x14="http://schemas.microsoft.com/office/spreadsheetml/2009/9/main" uri="{B025F937-C7B1-47D3-B67F-A62EFF666E3E}">
          <x14:id>{ED15BA6D-E1B4-4A13-9418-F17F3608642F}</x14:id>
        </ext>
      </extLst>
    </cfRule>
    <cfRule type="iconSet" priority="3181">
      <iconSet iconSet="3Arrows">
        <cfvo type="percent" val="0"/>
        <cfvo type="num" val="0.7"/>
        <cfvo type="num" val="1"/>
      </iconSet>
    </cfRule>
  </conditionalFormatting>
  <conditionalFormatting sqref="Y395">
    <cfRule type="dataBar" priority="3180">
      <dataBar>
        <cfvo type="num" val="0"/>
        <cfvo type="num" val="1"/>
        <color theme="4" tint="0.79998168889431442"/>
      </dataBar>
      <extLst>
        <ext xmlns:x14="http://schemas.microsoft.com/office/spreadsheetml/2009/9/main" uri="{B025F937-C7B1-47D3-B67F-A62EFF666E3E}">
          <x14:id>{6C49A5D6-8A13-48D3-8E7A-447589E9CCCE}</x14:id>
        </ext>
      </extLst>
    </cfRule>
    <cfRule type="iconSet" priority="3179">
      <iconSet iconSet="3Arrows">
        <cfvo type="percent" val="0"/>
        <cfvo type="num" val="0.7"/>
        <cfvo type="num" val="1"/>
      </iconSet>
    </cfRule>
  </conditionalFormatting>
  <conditionalFormatting sqref="Y397">
    <cfRule type="dataBar" priority="3178">
      <dataBar>
        <cfvo type="num" val="0"/>
        <cfvo type="num" val="1"/>
        <color theme="4" tint="0.79998168889431442"/>
      </dataBar>
      <extLst>
        <ext xmlns:x14="http://schemas.microsoft.com/office/spreadsheetml/2009/9/main" uri="{B025F937-C7B1-47D3-B67F-A62EFF666E3E}">
          <x14:id>{E2EA95E7-CC1D-4C4C-A1CF-985E3F37B070}</x14:id>
        </ext>
      </extLst>
    </cfRule>
    <cfRule type="iconSet" priority="3177">
      <iconSet iconSet="3Arrows">
        <cfvo type="percent" val="0"/>
        <cfvo type="num" val="0.7"/>
        <cfvo type="num" val="1"/>
      </iconSet>
    </cfRule>
  </conditionalFormatting>
  <conditionalFormatting sqref="Y399">
    <cfRule type="dataBar" priority="3176">
      <dataBar>
        <cfvo type="num" val="0"/>
        <cfvo type="num" val="1"/>
        <color theme="4" tint="0.79998168889431442"/>
      </dataBar>
      <extLst>
        <ext xmlns:x14="http://schemas.microsoft.com/office/spreadsheetml/2009/9/main" uri="{B025F937-C7B1-47D3-B67F-A62EFF666E3E}">
          <x14:id>{27AC3D81-7475-4E34-8205-B6407588E7C8}</x14:id>
        </ext>
      </extLst>
    </cfRule>
    <cfRule type="iconSet" priority="3175">
      <iconSet iconSet="3Arrows">
        <cfvo type="percent" val="0"/>
        <cfvo type="num" val="0.7"/>
        <cfvo type="num" val="1"/>
      </iconSet>
    </cfRule>
  </conditionalFormatting>
  <conditionalFormatting sqref="Y401">
    <cfRule type="dataBar" priority="3174">
      <dataBar>
        <cfvo type="num" val="0"/>
        <cfvo type="num" val="1"/>
        <color theme="4" tint="0.79998168889431442"/>
      </dataBar>
      <extLst>
        <ext xmlns:x14="http://schemas.microsoft.com/office/spreadsheetml/2009/9/main" uri="{B025F937-C7B1-47D3-B67F-A62EFF666E3E}">
          <x14:id>{424059A8-40A9-4748-998A-834878B47139}</x14:id>
        </ext>
      </extLst>
    </cfRule>
    <cfRule type="iconSet" priority="3173">
      <iconSet iconSet="3Arrows">
        <cfvo type="percent" val="0"/>
        <cfvo type="num" val="0.7"/>
        <cfvo type="num" val="1"/>
      </iconSet>
    </cfRule>
  </conditionalFormatting>
  <conditionalFormatting sqref="Y404">
    <cfRule type="dataBar" priority="3172">
      <dataBar>
        <cfvo type="num" val="0"/>
        <cfvo type="num" val="1"/>
        <color theme="4" tint="0.79998168889431442"/>
      </dataBar>
      <extLst>
        <ext xmlns:x14="http://schemas.microsoft.com/office/spreadsheetml/2009/9/main" uri="{B025F937-C7B1-47D3-B67F-A62EFF666E3E}">
          <x14:id>{9EDDF1F3-DBC0-4035-BF17-62DD1C81AECF}</x14:id>
        </ext>
      </extLst>
    </cfRule>
    <cfRule type="iconSet" priority="3171">
      <iconSet iconSet="3Arrows">
        <cfvo type="percent" val="0"/>
        <cfvo type="num" val="0.7"/>
        <cfvo type="num" val="1"/>
      </iconSet>
    </cfRule>
  </conditionalFormatting>
  <conditionalFormatting sqref="Y406">
    <cfRule type="dataBar" priority="3170">
      <dataBar>
        <cfvo type="num" val="0"/>
        <cfvo type="num" val="1"/>
        <color theme="4" tint="0.79998168889431442"/>
      </dataBar>
      <extLst>
        <ext xmlns:x14="http://schemas.microsoft.com/office/spreadsheetml/2009/9/main" uri="{B025F937-C7B1-47D3-B67F-A62EFF666E3E}">
          <x14:id>{AEF32029-8EF3-4C99-B991-2E5DB2F21923}</x14:id>
        </ext>
      </extLst>
    </cfRule>
    <cfRule type="iconSet" priority="3169">
      <iconSet iconSet="3Arrows">
        <cfvo type="percent" val="0"/>
        <cfvo type="num" val="0.7"/>
        <cfvo type="num" val="1"/>
      </iconSet>
    </cfRule>
  </conditionalFormatting>
  <conditionalFormatting sqref="Y409">
    <cfRule type="dataBar" priority="3168">
      <dataBar>
        <cfvo type="num" val="0"/>
        <cfvo type="num" val="1"/>
        <color theme="4" tint="0.79998168889431442"/>
      </dataBar>
      <extLst>
        <ext xmlns:x14="http://schemas.microsoft.com/office/spreadsheetml/2009/9/main" uri="{B025F937-C7B1-47D3-B67F-A62EFF666E3E}">
          <x14:id>{8D40F2FB-E78E-40E9-B72F-B3EB234AD849}</x14:id>
        </ext>
      </extLst>
    </cfRule>
    <cfRule type="iconSet" priority="3167">
      <iconSet iconSet="3Arrows">
        <cfvo type="percent" val="0"/>
        <cfvo type="num" val="0.7"/>
        <cfvo type="num" val="1"/>
      </iconSet>
    </cfRule>
  </conditionalFormatting>
  <conditionalFormatting sqref="Y412">
    <cfRule type="dataBar" priority="3166">
      <dataBar>
        <cfvo type="num" val="0"/>
        <cfvo type="num" val="1"/>
        <color theme="4" tint="0.79998168889431442"/>
      </dataBar>
      <extLst>
        <ext xmlns:x14="http://schemas.microsoft.com/office/spreadsheetml/2009/9/main" uri="{B025F937-C7B1-47D3-B67F-A62EFF666E3E}">
          <x14:id>{0F7AA449-F2CC-482A-BD72-C36248A78895}</x14:id>
        </ext>
      </extLst>
    </cfRule>
    <cfRule type="iconSet" priority="3165">
      <iconSet iconSet="3Arrows">
        <cfvo type="percent" val="0"/>
        <cfvo type="num" val="0.7"/>
        <cfvo type="num" val="1"/>
      </iconSet>
    </cfRule>
  </conditionalFormatting>
  <conditionalFormatting sqref="Y414">
    <cfRule type="dataBar" priority="3164">
      <dataBar>
        <cfvo type="num" val="0"/>
        <cfvo type="num" val="1"/>
        <color theme="4" tint="0.79998168889431442"/>
      </dataBar>
      <extLst>
        <ext xmlns:x14="http://schemas.microsoft.com/office/spreadsheetml/2009/9/main" uri="{B025F937-C7B1-47D3-B67F-A62EFF666E3E}">
          <x14:id>{5BECE68A-8F8F-45B6-A0BC-C05E73DC2FFF}</x14:id>
        </ext>
      </extLst>
    </cfRule>
    <cfRule type="iconSet" priority="3163">
      <iconSet iconSet="3Arrows">
        <cfvo type="percent" val="0"/>
        <cfvo type="num" val="0.7"/>
        <cfvo type="num" val="1"/>
      </iconSet>
    </cfRule>
  </conditionalFormatting>
  <conditionalFormatting sqref="Y422">
    <cfRule type="iconSet" priority="3161">
      <iconSet iconSet="3Arrows">
        <cfvo type="percent" val="0"/>
        <cfvo type="num" val="0.7"/>
        <cfvo type="num" val="1"/>
      </iconSet>
    </cfRule>
    <cfRule type="dataBar" priority="3162">
      <dataBar>
        <cfvo type="num" val="0"/>
        <cfvo type="num" val="1"/>
        <color theme="4" tint="0.79998168889431442"/>
      </dataBar>
      <extLst>
        <ext xmlns:x14="http://schemas.microsoft.com/office/spreadsheetml/2009/9/main" uri="{B025F937-C7B1-47D3-B67F-A62EFF666E3E}">
          <x14:id>{20ACE8EE-6DE9-4910-8723-9B36C83A72C4}</x14:id>
        </ext>
      </extLst>
    </cfRule>
  </conditionalFormatting>
  <conditionalFormatting sqref="Y424 Y426 Y428 Y430">
    <cfRule type="iconSet" priority="3159">
      <iconSet iconSet="3Arrows">
        <cfvo type="percent" val="0"/>
        <cfvo type="num" val="0.7"/>
        <cfvo type="num" val="1"/>
      </iconSet>
    </cfRule>
    <cfRule type="dataBar" priority="3160">
      <dataBar>
        <cfvo type="num" val="0"/>
        <cfvo type="num" val="1"/>
        <color theme="4" tint="0.79998168889431442"/>
      </dataBar>
      <extLst>
        <ext xmlns:x14="http://schemas.microsoft.com/office/spreadsheetml/2009/9/main" uri="{B025F937-C7B1-47D3-B67F-A62EFF666E3E}">
          <x14:id>{F3DA170B-0819-413F-8062-DC5BA427DE13}</x14:id>
        </ext>
      </extLst>
    </cfRule>
  </conditionalFormatting>
  <conditionalFormatting sqref="Y432">
    <cfRule type="dataBar" priority="3158">
      <dataBar>
        <cfvo type="num" val="0"/>
        <cfvo type="num" val="1"/>
        <color theme="4" tint="0.79998168889431442"/>
      </dataBar>
      <extLst>
        <ext xmlns:x14="http://schemas.microsoft.com/office/spreadsheetml/2009/9/main" uri="{B025F937-C7B1-47D3-B67F-A62EFF666E3E}">
          <x14:id>{FC2DF701-74DE-4528-B770-7CD83CB748D3}</x14:id>
        </ext>
      </extLst>
    </cfRule>
    <cfRule type="iconSet" priority="3157">
      <iconSet iconSet="3Arrows">
        <cfvo type="percent" val="0"/>
        <cfvo type="num" val="0.7"/>
        <cfvo type="num" val="1"/>
      </iconSet>
    </cfRule>
  </conditionalFormatting>
  <conditionalFormatting sqref="Y434 Y436 Y438 Y440">
    <cfRule type="iconSet" priority="3155">
      <iconSet iconSet="3Arrows">
        <cfvo type="percent" val="0"/>
        <cfvo type="num" val="0.7"/>
        <cfvo type="num" val="1"/>
      </iconSet>
    </cfRule>
    <cfRule type="dataBar" priority="3156">
      <dataBar>
        <cfvo type="num" val="0"/>
        <cfvo type="num" val="1"/>
        <color theme="4" tint="0.79998168889431442"/>
      </dataBar>
      <extLst>
        <ext xmlns:x14="http://schemas.microsoft.com/office/spreadsheetml/2009/9/main" uri="{B025F937-C7B1-47D3-B67F-A62EFF666E3E}">
          <x14:id>{C7BAC1BD-0CD2-4DA1-9635-3AD6CA55E3ED}</x14:id>
        </ext>
      </extLst>
    </cfRule>
  </conditionalFormatting>
  <conditionalFormatting sqref="Y442">
    <cfRule type="iconSet" priority="3153">
      <iconSet iconSet="3Arrows">
        <cfvo type="percent" val="0"/>
        <cfvo type="num" val="0.7"/>
        <cfvo type="num" val="1"/>
      </iconSet>
    </cfRule>
    <cfRule type="dataBar" priority="3154">
      <dataBar>
        <cfvo type="num" val="0"/>
        <cfvo type="num" val="1"/>
        <color theme="4" tint="0.79998168889431442"/>
      </dataBar>
      <extLst>
        <ext xmlns:x14="http://schemas.microsoft.com/office/spreadsheetml/2009/9/main" uri="{B025F937-C7B1-47D3-B67F-A62EFF666E3E}">
          <x14:id>{4E4DC24A-3853-476D-B115-EBF33191105F}</x14:id>
        </ext>
      </extLst>
    </cfRule>
  </conditionalFormatting>
  <conditionalFormatting sqref="Y444 Y446 Y448 Y450">
    <cfRule type="iconSet" priority="3151">
      <iconSet iconSet="3Arrows">
        <cfvo type="percent" val="0"/>
        <cfvo type="num" val="0.7"/>
        <cfvo type="num" val="1"/>
      </iconSet>
    </cfRule>
    <cfRule type="dataBar" priority="3152">
      <dataBar>
        <cfvo type="num" val="0"/>
        <cfvo type="num" val="1"/>
        <color theme="4" tint="0.79998168889431442"/>
      </dataBar>
      <extLst>
        <ext xmlns:x14="http://schemas.microsoft.com/office/spreadsheetml/2009/9/main" uri="{B025F937-C7B1-47D3-B67F-A62EFF666E3E}">
          <x14:id>{B68020C9-E4D7-4CDD-9062-830D5C1C125E}</x14:id>
        </ext>
      </extLst>
    </cfRule>
  </conditionalFormatting>
  <conditionalFormatting sqref="Y454">
    <cfRule type="dataBar" priority="3150">
      <dataBar>
        <cfvo type="num" val="0"/>
        <cfvo type="num" val="1"/>
        <color theme="4" tint="0.79998168889431442"/>
      </dataBar>
      <extLst>
        <ext xmlns:x14="http://schemas.microsoft.com/office/spreadsheetml/2009/9/main" uri="{B025F937-C7B1-47D3-B67F-A62EFF666E3E}">
          <x14:id>{6C02FA87-74B6-44E0-A202-4DF1D68AD18D}</x14:id>
        </ext>
      </extLst>
    </cfRule>
    <cfRule type="iconSet" priority="3149">
      <iconSet iconSet="3Arrows">
        <cfvo type="percent" val="0"/>
        <cfvo type="num" val="0.7"/>
        <cfvo type="num" val="1"/>
      </iconSet>
    </cfRule>
  </conditionalFormatting>
  <conditionalFormatting sqref="Y456 Y490 Y458 Y460 Y462">
    <cfRule type="dataBar" priority="3136">
      <dataBar>
        <cfvo type="num" val="0"/>
        <cfvo type="num" val="1"/>
        <color theme="4" tint="0.79998168889431442"/>
      </dataBar>
      <extLst>
        <ext xmlns:x14="http://schemas.microsoft.com/office/spreadsheetml/2009/9/main" uri="{B025F937-C7B1-47D3-B67F-A62EFF666E3E}">
          <x14:id>{0CF5A6DC-FD07-4E4E-8B30-83B56FDBCE24}</x14:id>
        </ext>
      </extLst>
    </cfRule>
    <cfRule type="iconSet" priority="3135">
      <iconSet iconSet="3Arrows">
        <cfvo type="percent" val="0"/>
        <cfvo type="num" val="0.7"/>
        <cfvo type="num" val="1"/>
      </iconSet>
    </cfRule>
  </conditionalFormatting>
  <conditionalFormatting sqref="Y464">
    <cfRule type="dataBar" priority="3148">
      <dataBar>
        <cfvo type="num" val="0"/>
        <cfvo type="num" val="1"/>
        <color theme="4" tint="0.79998168889431442"/>
      </dataBar>
      <extLst>
        <ext xmlns:x14="http://schemas.microsoft.com/office/spreadsheetml/2009/9/main" uri="{B025F937-C7B1-47D3-B67F-A62EFF666E3E}">
          <x14:id>{DFE38405-FA2F-4BC7-8CEB-F1232F1A4035}</x14:id>
        </ext>
      </extLst>
    </cfRule>
    <cfRule type="iconSet" priority="3147">
      <iconSet iconSet="3Arrows">
        <cfvo type="percent" val="0"/>
        <cfvo type="num" val="0.7"/>
        <cfvo type="num" val="1"/>
      </iconSet>
    </cfRule>
  </conditionalFormatting>
  <conditionalFormatting sqref="Y466 Y468 Y470 Y472">
    <cfRule type="iconSet" priority="3145">
      <iconSet iconSet="3Arrows">
        <cfvo type="percent" val="0"/>
        <cfvo type="num" val="0.7"/>
        <cfvo type="num" val="1"/>
      </iconSet>
    </cfRule>
    <cfRule type="dataBar" priority="3146">
      <dataBar>
        <cfvo type="num" val="0"/>
        <cfvo type="num" val="1"/>
        <color theme="4" tint="0.79998168889431442"/>
      </dataBar>
      <extLst>
        <ext xmlns:x14="http://schemas.microsoft.com/office/spreadsheetml/2009/9/main" uri="{B025F937-C7B1-47D3-B67F-A62EFF666E3E}">
          <x14:id>{C118D3E2-AE5A-4569-A813-EB6CFEB1B024}</x14:id>
        </ext>
      </extLst>
    </cfRule>
  </conditionalFormatting>
  <conditionalFormatting sqref="Y474">
    <cfRule type="iconSet" priority="3143">
      <iconSet iconSet="3Arrows">
        <cfvo type="percent" val="0"/>
        <cfvo type="num" val="0.7"/>
        <cfvo type="num" val="1"/>
      </iconSet>
    </cfRule>
    <cfRule type="dataBar" priority="3144">
      <dataBar>
        <cfvo type="num" val="0"/>
        <cfvo type="num" val="1"/>
        <color theme="4" tint="0.79998168889431442"/>
      </dataBar>
      <extLst>
        <ext xmlns:x14="http://schemas.microsoft.com/office/spreadsheetml/2009/9/main" uri="{B025F937-C7B1-47D3-B67F-A62EFF666E3E}">
          <x14:id>{BAFB14FE-8C74-48BA-85CE-A3283695FCE4}</x14:id>
        </ext>
      </extLst>
    </cfRule>
  </conditionalFormatting>
  <conditionalFormatting sqref="Y476 Y478 Y480 Y482">
    <cfRule type="iconSet" priority="3141">
      <iconSet iconSet="3Arrows">
        <cfvo type="percent" val="0"/>
        <cfvo type="num" val="0.7"/>
        <cfvo type="num" val="1"/>
      </iconSet>
    </cfRule>
    <cfRule type="dataBar" priority="3142">
      <dataBar>
        <cfvo type="num" val="0"/>
        <cfvo type="num" val="1"/>
        <color theme="4" tint="0.79998168889431442"/>
      </dataBar>
      <extLst>
        <ext xmlns:x14="http://schemas.microsoft.com/office/spreadsheetml/2009/9/main" uri="{B025F937-C7B1-47D3-B67F-A62EFF666E3E}">
          <x14:id>{9DA0FA65-A250-43A8-A37C-A446B6728179}</x14:id>
        </ext>
      </extLst>
    </cfRule>
  </conditionalFormatting>
  <conditionalFormatting sqref="Y484">
    <cfRule type="dataBar" priority="3140">
      <dataBar>
        <cfvo type="num" val="0"/>
        <cfvo type="num" val="1"/>
        <color theme="4" tint="0.79998168889431442"/>
      </dataBar>
      <extLst>
        <ext xmlns:x14="http://schemas.microsoft.com/office/spreadsheetml/2009/9/main" uri="{B025F937-C7B1-47D3-B67F-A62EFF666E3E}">
          <x14:id>{72D8AA8A-91CD-4268-9003-7AB9D5ED5F83}</x14:id>
        </ext>
      </extLst>
    </cfRule>
    <cfRule type="iconSet" priority="3139">
      <iconSet iconSet="3Arrows">
        <cfvo type="percent" val="0"/>
        <cfvo type="num" val="0.7"/>
        <cfvo type="num" val="1"/>
      </iconSet>
    </cfRule>
  </conditionalFormatting>
  <conditionalFormatting sqref="Y486 Y488">
    <cfRule type="iconSet" priority="3137">
      <iconSet iconSet="3Arrows">
        <cfvo type="percent" val="0"/>
        <cfvo type="num" val="0.7"/>
        <cfvo type="num" val="1"/>
      </iconSet>
    </cfRule>
    <cfRule type="dataBar" priority="3138">
      <dataBar>
        <cfvo type="num" val="0"/>
        <cfvo type="num" val="1"/>
        <color theme="4" tint="0.79998168889431442"/>
      </dataBar>
      <extLst>
        <ext xmlns:x14="http://schemas.microsoft.com/office/spreadsheetml/2009/9/main" uri="{B025F937-C7B1-47D3-B67F-A62EFF666E3E}">
          <x14:id>{92910D27-B257-4EBD-A95C-0063B2958CB8}</x14:id>
        </ext>
      </extLst>
    </cfRule>
  </conditionalFormatting>
  <conditionalFormatting sqref="Y492">
    <cfRule type="iconSet" priority="3133">
      <iconSet iconSet="3Arrows">
        <cfvo type="percent" val="0"/>
        <cfvo type="num" val="0.7"/>
        <cfvo type="num" val="1"/>
      </iconSet>
    </cfRule>
    <cfRule type="dataBar" priority="3134">
      <dataBar>
        <cfvo type="num" val="0"/>
        <cfvo type="num" val="1"/>
        <color theme="4" tint="0.79998168889431442"/>
      </dataBar>
      <extLst>
        <ext xmlns:x14="http://schemas.microsoft.com/office/spreadsheetml/2009/9/main" uri="{B025F937-C7B1-47D3-B67F-A62EFF666E3E}">
          <x14:id>{5EF50019-76D8-4F2A-BE84-C1E9B12B4E90}</x14:id>
        </ext>
      </extLst>
    </cfRule>
  </conditionalFormatting>
  <conditionalFormatting sqref="Y494 Y496 Y498 Y500">
    <cfRule type="iconSet" priority="3131">
      <iconSet iconSet="3Arrows">
        <cfvo type="percent" val="0"/>
        <cfvo type="num" val="0.7"/>
        <cfvo type="num" val="1"/>
      </iconSet>
    </cfRule>
    <cfRule type="dataBar" priority="3132">
      <dataBar>
        <cfvo type="num" val="0"/>
        <cfvo type="num" val="1"/>
        <color theme="4" tint="0.79998168889431442"/>
      </dataBar>
      <extLst>
        <ext xmlns:x14="http://schemas.microsoft.com/office/spreadsheetml/2009/9/main" uri="{B025F937-C7B1-47D3-B67F-A62EFF666E3E}">
          <x14:id>{3B96142D-4C9B-40A5-8DEB-46A1910594AE}</x14:id>
        </ext>
      </extLst>
    </cfRule>
  </conditionalFormatting>
  <conditionalFormatting sqref="Y502">
    <cfRule type="iconSet" priority="3129">
      <iconSet iconSet="3Arrows">
        <cfvo type="percent" val="0"/>
        <cfvo type="num" val="0.7"/>
        <cfvo type="num" val="1"/>
      </iconSet>
    </cfRule>
    <cfRule type="dataBar" priority="3130">
      <dataBar>
        <cfvo type="num" val="0"/>
        <cfvo type="num" val="1"/>
        <color theme="4" tint="0.79998168889431442"/>
      </dataBar>
      <extLst>
        <ext xmlns:x14="http://schemas.microsoft.com/office/spreadsheetml/2009/9/main" uri="{B025F937-C7B1-47D3-B67F-A62EFF666E3E}">
          <x14:id>{A5FF837E-FCE1-4297-88FB-7611EC934219}</x14:id>
        </ext>
      </extLst>
    </cfRule>
  </conditionalFormatting>
  <conditionalFormatting sqref="Y510">
    <cfRule type="iconSet" priority="3127">
      <iconSet iconSet="3Arrows">
        <cfvo type="percent" val="0"/>
        <cfvo type="num" val="0.7"/>
        <cfvo type="num" val="1"/>
      </iconSet>
    </cfRule>
    <cfRule type="dataBar" priority="3128">
      <dataBar>
        <cfvo type="num" val="0"/>
        <cfvo type="num" val="1"/>
        <color theme="4" tint="0.79998168889431442"/>
      </dataBar>
      <extLst>
        <ext xmlns:x14="http://schemas.microsoft.com/office/spreadsheetml/2009/9/main" uri="{B025F937-C7B1-47D3-B67F-A62EFF666E3E}">
          <x14:id>{B3BE7AF4-C7C0-40AD-B95E-E1556ECD839E}</x14:id>
        </ext>
      </extLst>
    </cfRule>
  </conditionalFormatting>
  <conditionalFormatting sqref="Y512">
    <cfRule type="iconSet" priority="3125">
      <iconSet iconSet="3Arrows">
        <cfvo type="percent" val="0"/>
        <cfvo type="num" val="0.7"/>
        <cfvo type="num" val="1"/>
      </iconSet>
    </cfRule>
    <cfRule type="dataBar" priority="3126">
      <dataBar>
        <cfvo type="num" val="0"/>
        <cfvo type="num" val="1"/>
        <color theme="4" tint="0.79998168889431442"/>
      </dataBar>
      <extLst>
        <ext xmlns:x14="http://schemas.microsoft.com/office/spreadsheetml/2009/9/main" uri="{B025F937-C7B1-47D3-B67F-A62EFF666E3E}">
          <x14:id>{FF8CA615-69E6-4601-B732-440FC43821B5}</x14:id>
        </ext>
      </extLst>
    </cfRule>
  </conditionalFormatting>
  <conditionalFormatting sqref="Y514 Y416 Y418 Y420 Y452">
    <cfRule type="iconSet" priority="3123">
      <iconSet iconSet="3Arrows">
        <cfvo type="percent" val="0"/>
        <cfvo type="num" val="0.7"/>
        <cfvo type="num" val="1"/>
      </iconSet>
    </cfRule>
    <cfRule type="dataBar" priority="3124">
      <dataBar>
        <cfvo type="num" val="0"/>
        <cfvo type="num" val="1"/>
        <color theme="4" tint="0.79998168889431442"/>
      </dataBar>
      <extLst>
        <ext xmlns:x14="http://schemas.microsoft.com/office/spreadsheetml/2009/9/main" uri="{B025F937-C7B1-47D3-B67F-A62EFF666E3E}">
          <x14:id>{9BC15503-58CC-4554-A560-3938A61F239F}</x14:id>
        </ext>
      </extLst>
    </cfRule>
  </conditionalFormatting>
  <conditionalFormatting sqref="Y516">
    <cfRule type="iconSet" priority="3121">
      <iconSet iconSet="3Arrows">
        <cfvo type="percent" val="0"/>
        <cfvo type="num" val="0.7"/>
        <cfvo type="num" val="1"/>
      </iconSet>
    </cfRule>
    <cfRule type="dataBar" priority="3122">
      <dataBar>
        <cfvo type="num" val="0"/>
        <cfvo type="num" val="1"/>
        <color theme="4" tint="0.79998168889431442"/>
      </dataBar>
      <extLst>
        <ext xmlns:x14="http://schemas.microsoft.com/office/spreadsheetml/2009/9/main" uri="{B025F937-C7B1-47D3-B67F-A62EFF666E3E}">
          <x14:id>{3F6BC370-38D4-44F3-8D82-C93D39AAD62F}</x14:id>
        </ext>
      </extLst>
    </cfRule>
  </conditionalFormatting>
  <conditionalFormatting sqref="Y520">
    <cfRule type="iconSet" priority="3119">
      <iconSet iconSet="3Arrows">
        <cfvo type="percent" val="0"/>
        <cfvo type="num" val="0.7"/>
        <cfvo type="num" val="1"/>
      </iconSet>
    </cfRule>
    <cfRule type="dataBar" priority="3120">
      <dataBar>
        <cfvo type="num" val="0"/>
        <cfvo type="num" val="1"/>
        <color theme="4" tint="0.79998168889431442"/>
      </dataBar>
      <extLst>
        <ext xmlns:x14="http://schemas.microsoft.com/office/spreadsheetml/2009/9/main" uri="{B025F937-C7B1-47D3-B67F-A62EFF666E3E}">
          <x14:id>{998EC994-78FC-4F98-BB29-2ED0C1BD0FCB}</x14:id>
        </ext>
      </extLst>
    </cfRule>
  </conditionalFormatting>
  <conditionalFormatting sqref="Y522">
    <cfRule type="iconSet" priority="3117">
      <iconSet iconSet="3Arrows">
        <cfvo type="percent" val="0"/>
        <cfvo type="num" val="0.7"/>
        <cfvo type="num" val="1"/>
      </iconSet>
    </cfRule>
    <cfRule type="dataBar" priority="3118">
      <dataBar>
        <cfvo type="num" val="0"/>
        <cfvo type="num" val="1"/>
        <color theme="4" tint="0.79998168889431442"/>
      </dataBar>
      <extLst>
        <ext xmlns:x14="http://schemas.microsoft.com/office/spreadsheetml/2009/9/main" uri="{B025F937-C7B1-47D3-B67F-A62EFF666E3E}">
          <x14:id>{4AAD2B26-A691-4AF7-B46A-2A5071BCA238}</x14:id>
        </ext>
      </extLst>
    </cfRule>
  </conditionalFormatting>
  <conditionalFormatting sqref="Y524">
    <cfRule type="dataBar" priority="3116">
      <dataBar>
        <cfvo type="num" val="0"/>
        <cfvo type="num" val="1"/>
        <color theme="4" tint="0.79998168889431442"/>
      </dataBar>
      <extLst>
        <ext xmlns:x14="http://schemas.microsoft.com/office/spreadsheetml/2009/9/main" uri="{B025F937-C7B1-47D3-B67F-A62EFF666E3E}">
          <x14:id>{2548F843-AF93-4A74-9826-425C23D61C37}</x14:id>
        </ext>
      </extLst>
    </cfRule>
    <cfRule type="iconSet" priority="3115">
      <iconSet iconSet="3Arrows">
        <cfvo type="percent" val="0"/>
        <cfvo type="num" val="0.7"/>
        <cfvo type="num" val="1"/>
      </iconSet>
    </cfRule>
  </conditionalFormatting>
  <conditionalFormatting sqref="Y526">
    <cfRule type="iconSet" priority="3113">
      <iconSet iconSet="3Arrows">
        <cfvo type="percent" val="0"/>
        <cfvo type="num" val="0.7"/>
        <cfvo type="num" val="1"/>
      </iconSet>
    </cfRule>
    <cfRule type="dataBar" priority="3114">
      <dataBar>
        <cfvo type="num" val="0"/>
        <cfvo type="num" val="1"/>
        <color theme="4" tint="0.79998168889431442"/>
      </dataBar>
      <extLst>
        <ext xmlns:x14="http://schemas.microsoft.com/office/spreadsheetml/2009/9/main" uri="{B025F937-C7B1-47D3-B67F-A62EFF666E3E}">
          <x14:id>{6EF274C0-4C61-44BD-8B4A-0AC72460F488}</x14:id>
        </ext>
      </extLst>
    </cfRule>
  </conditionalFormatting>
  <conditionalFormatting sqref="Y528">
    <cfRule type="dataBar" priority="3112">
      <dataBar>
        <cfvo type="num" val="0"/>
        <cfvo type="num" val="1"/>
        <color theme="4" tint="0.79998168889431442"/>
      </dataBar>
      <extLst>
        <ext xmlns:x14="http://schemas.microsoft.com/office/spreadsheetml/2009/9/main" uri="{B025F937-C7B1-47D3-B67F-A62EFF666E3E}">
          <x14:id>{18B1437C-B0BA-4A83-BAC0-C99A15DEC6F1}</x14:id>
        </ext>
      </extLst>
    </cfRule>
    <cfRule type="iconSet" priority="3111">
      <iconSet iconSet="3Arrows">
        <cfvo type="percent" val="0"/>
        <cfvo type="num" val="0.7"/>
        <cfvo type="num" val="1"/>
      </iconSet>
    </cfRule>
  </conditionalFormatting>
  <conditionalFormatting sqref="Y530">
    <cfRule type="dataBar" priority="3110">
      <dataBar>
        <cfvo type="num" val="0"/>
        <cfvo type="num" val="1"/>
        <color theme="4" tint="0.79998168889431442"/>
      </dataBar>
      <extLst>
        <ext xmlns:x14="http://schemas.microsoft.com/office/spreadsheetml/2009/9/main" uri="{B025F937-C7B1-47D3-B67F-A62EFF666E3E}">
          <x14:id>{C4ADC330-8282-4EFC-B8E0-2D0FE55DE891}</x14:id>
        </ext>
      </extLst>
    </cfRule>
    <cfRule type="iconSet" priority="3109">
      <iconSet iconSet="3Arrows">
        <cfvo type="percent" val="0"/>
        <cfvo type="num" val="0.7"/>
        <cfvo type="num" val="1"/>
      </iconSet>
    </cfRule>
  </conditionalFormatting>
  <conditionalFormatting sqref="Y533">
    <cfRule type="dataBar" priority="3108">
      <dataBar>
        <cfvo type="num" val="0"/>
        <cfvo type="num" val="1"/>
        <color theme="4" tint="0.79998168889431442"/>
      </dataBar>
      <extLst>
        <ext xmlns:x14="http://schemas.microsoft.com/office/spreadsheetml/2009/9/main" uri="{B025F937-C7B1-47D3-B67F-A62EFF666E3E}">
          <x14:id>{AC33B302-3BDF-4508-BE41-B6C223915EBD}</x14:id>
        </ext>
      </extLst>
    </cfRule>
    <cfRule type="iconSet" priority="3107">
      <iconSet iconSet="3Arrows">
        <cfvo type="percent" val="0"/>
        <cfvo type="num" val="0.7"/>
        <cfvo type="num" val="1"/>
      </iconSet>
    </cfRule>
  </conditionalFormatting>
  <conditionalFormatting sqref="Y535">
    <cfRule type="dataBar" priority="3106">
      <dataBar>
        <cfvo type="num" val="0"/>
        <cfvo type="num" val="1"/>
        <color theme="4" tint="0.79998168889431442"/>
      </dataBar>
      <extLst>
        <ext xmlns:x14="http://schemas.microsoft.com/office/spreadsheetml/2009/9/main" uri="{B025F937-C7B1-47D3-B67F-A62EFF666E3E}">
          <x14:id>{F632721B-C539-436D-8027-F5ADAF2C0569}</x14:id>
        </ext>
      </extLst>
    </cfRule>
    <cfRule type="iconSet" priority="3105">
      <iconSet iconSet="3Arrows">
        <cfvo type="percent" val="0"/>
        <cfvo type="num" val="0.7"/>
        <cfvo type="num" val="1"/>
      </iconSet>
    </cfRule>
  </conditionalFormatting>
  <conditionalFormatting sqref="Y537">
    <cfRule type="dataBar" priority="3104">
      <dataBar>
        <cfvo type="num" val="0"/>
        <cfvo type="num" val="1"/>
        <color theme="4" tint="0.79998168889431442"/>
      </dataBar>
      <extLst>
        <ext xmlns:x14="http://schemas.microsoft.com/office/spreadsheetml/2009/9/main" uri="{B025F937-C7B1-47D3-B67F-A62EFF666E3E}">
          <x14:id>{9C335AA6-1163-47F6-A077-8AB203ED3FE0}</x14:id>
        </ext>
      </extLst>
    </cfRule>
    <cfRule type="iconSet" priority="3103">
      <iconSet iconSet="3Arrows">
        <cfvo type="percent" val="0"/>
        <cfvo type="num" val="0.7"/>
        <cfvo type="num" val="1"/>
      </iconSet>
    </cfRule>
  </conditionalFormatting>
  <conditionalFormatting sqref="Y539">
    <cfRule type="iconSet" priority="3101">
      <iconSet iconSet="3Arrows">
        <cfvo type="percent" val="0"/>
        <cfvo type="num" val="0.7"/>
        <cfvo type="num" val="1"/>
      </iconSet>
    </cfRule>
    <cfRule type="dataBar" priority="3102">
      <dataBar>
        <cfvo type="num" val="0"/>
        <cfvo type="num" val="1"/>
        <color theme="4" tint="0.79998168889431442"/>
      </dataBar>
      <extLst>
        <ext xmlns:x14="http://schemas.microsoft.com/office/spreadsheetml/2009/9/main" uri="{B025F937-C7B1-47D3-B67F-A62EFF666E3E}">
          <x14:id>{FA5E0979-24DE-48E0-AC29-7DFD51DDFCC0}</x14:id>
        </ext>
      </extLst>
    </cfRule>
  </conditionalFormatting>
  <conditionalFormatting sqref="Y541 Y545 Y549 Y553 Y557 Y561">
    <cfRule type="iconSet" priority="3099">
      <iconSet iconSet="3Arrows">
        <cfvo type="percent" val="0"/>
        <cfvo type="num" val="0.7"/>
        <cfvo type="num" val="1"/>
      </iconSet>
    </cfRule>
    <cfRule type="dataBar" priority="3100">
      <dataBar>
        <cfvo type="num" val="0"/>
        <cfvo type="num" val="1"/>
        <color theme="4" tint="0.79998168889431442"/>
      </dataBar>
      <extLst>
        <ext xmlns:x14="http://schemas.microsoft.com/office/spreadsheetml/2009/9/main" uri="{B025F937-C7B1-47D3-B67F-A62EFF666E3E}">
          <x14:id>{F169A6EB-8B8D-41B9-A041-7D2A6D7F3BB2}</x14:id>
        </ext>
      </extLst>
    </cfRule>
  </conditionalFormatting>
  <conditionalFormatting sqref="Y543 Y547 Y551 Y555 Y559 Y563">
    <cfRule type="iconSet" priority="3097">
      <iconSet iconSet="3Arrows">
        <cfvo type="percent" val="0"/>
        <cfvo type="num" val="0.7"/>
        <cfvo type="num" val="1"/>
      </iconSet>
    </cfRule>
    <cfRule type="dataBar" priority="3098">
      <dataBar>
        <cfvo type="num" val="0"/>
        <cfvo type="num" val="1"/>
        <color theme="4" tint="0.79998168889431442"/>
      </dataBar>
      <extLst>
        <ext xmlns:x14="http://schemas.microsoft.com/office/spreadsheetml/2009/9/main" uri="{B025F937-C7B1-47D3-B67F-A62EFF666E3E}">
          <x14:id>{CDFE0710-7889-46DB-9DC7-860750118227}</x14:id>
        </ext>
      </extLst>
    </cfRule>
  </conditionalFormatting>
  <conditionalFormatting sqref="Y565">
    <cfRule type="dataBar" priority="3096">
      <dataBar>
        <cfvo type="num" val="0"/>
        <cfvo type="num" val="1"/>
        <color theme="4" tint="0.79998168889431442"/>
      </dataBar>
      <extLst>
        <ext xmlns:x14="http://schemas.microsoft.com/office/spreadsheetml/2009/9/main" uri="{B025F937-C7B1-47D3-B67F-A62EFF666E3E}">
          <x14:id>{24833F55-44F6-49A9-BB38-CDDDE86CC103}</x14:id>
        </ext>
      </extLst>
    </cfRule>
    <cfRule type="iconSet" priority="3095">
      <iconSet iconSet="3Arrows">
        <cfvo type="percent" val="0"/>
        <cfvo type="num" val="0.7"/>
        <cfvo type="num" val="1"/>
      </iconSet>
    </cfRule>
  </conditionalFormatting>
  <conditionalFormatting sqref="Y567">
    <cfRule type="iconSet" priority="3093">
      <iconSet iconSet="3Arrows">
        <cfvo type="percent" val="0"/>
        <cfvo type="num" val="0.7"/>
        <cfvo type="num" val="1"/>
      </iconSet>
    </cfRule>
    <cfRule type="dataBar" priority="3094">
      <dataBar>
        <cfvo type="num" val="0"/>
        <cfvo type="num" val="1"/>
        <color theme="4" tint="0.79998168889431442"/>
      </dataBar>
      <extLst>
        <ext xmlns:x14="http://schemas.microsoft.com/office/spreadsheetml/2009/9/main" uri="{B025F937-C7B1-47D3-B67F-A62EFF666E3E}">
          <x14:id>{8EE6C4B3-93F3-452F-94D5-75AC8B4EE014}</x14:id>
        </ext>
      </extLst>
    </cfRule>
  </conditionalFormatting>
  <conditionalFormatting sqref="Y573 Y569 Y577 Y583 Y587 Y591">
    <cfRule type="iconSet" priority="3091">
      <iconSet iconSet="3Arrows">
        <cfvo type="percent" val="0"/>
        <cfvo type="num" val="0.7"/>
        <cfvo type="num" val="1"/>
      </iconSet>
    </cfRule>
    <cfRule type="dataBar" priority="3092">
      <dataBar>
        <cfvo type="num" val="0"/>
        <cfvo type="num" val="1"/>
        <color theme="4" tint="0.79998168889431442"/>
      </dataBar>
      <extLst>
        <ext xmlns:x14="http://schemas.microsoft.com/office/spreadsheetml/2009/9/main" uri="{B025F937-C7B1-47D3-B67F-A62EFF666E3E}">
          <x14:id>{79240C22-D278-468D-A30C-D6B20BA22414}</x14:id>
        </ext>
      </extLst>
    </cfRule>
  </conditionalFormatting>
  <conditionalFormatting sqref="Y575 Y571 Y581 Y585 Y589 Y593">
    <cfRule type="iconSet" priority="3089">
      <iconSet iconSet="3Arrows">
        <cfvo type="percent" val="0"/>
        <cfvo type="num" val="0.7"/>
        <cfvo type="num" val="1"/>
      </iconSet>
    </cfRule>
    <cfRule type="dataBar" priority="3090">
      <dataBar>
        <cfvo type="num" val="0"/>
        <cfvo type="num" val="1"/>
        <color theme="4" tint="0.79998168889431442"/>
      </dataBar>
      <extLst>
        <ext xmlns:x14="http://schemas.microsoft.com/office/spreadsheetml/2009/9/main" uri="{B025F937-C7B1-47D3-B67F-A62EFF666E3E}">
          <x14:id>{9166E4B9-5C0D-44F4-92F8-8802E6DAC2E3}</x14:id>
        </ext>
      </extLst>
    </cfRule>
  </conditionalFormatting>
  <conditionalFormatting sqref="Y579 Y504 Y506 Y508">
    <cfRule type="iconSet" priority="3087">
      <iconSet iconSet="3Arrows">
        <cfvo type="percent" val="0"/>
        <cfvo type="num" val="0.7"/>
        <cfvo type="num" val="1"/>
      </iconSet>
    </cfRule>
    <cfRule type="dataBar" priority="3088">
      <dataBar>
        <cfvo type="num" val="0"/>
        <cfvo type="num" val="1"/>
        <color theme="4" tint="0.79998168889431442"/>
      </dataBar>
      <extLst>
        <ext xmlns:x14="http://schemas.microsoft.com/office/spreadsheetml/2009/9/main" uri="{B025F937-C7B1-47D3-B67F-A62EFF666E3E}">
          <x14:id>{80B818FF-0815-4D8B-B9D1-799D238D7E67}</x14:id>
        </ext>
      </extLst>
    </cfRule>
  </conditionalFormatting>
  <conditionalFormatting sqref="Y595">
    <cfRule type="dataBar" priority="3086">
      <dataBar>
        <cfvo type="num" val="0"/>
        <cfvo type="num" val="1"/>
        <color theme="4" tint="0.79998168889431442"/>
      </dataBar>
      <extLst>
        <ext xmlns:x14="http://schemas.microsoft.com/office/spreadsheetml/2009/9/main" uri="{B025F937-C7B1-47D3-B67F-A62EFF666E3E}">
          <x14:id>{413C7848-83B5-4095-9648-211CB05CF1F4}</x14:id>
        </ext>
      </extLst>
    </cfRule>
    <cfRule type="iconSet" priority="3085">
      <iconSet iconSet="3Arrows">
        <cfvo type="percent" val="0"/>
        <cfvo type="num" val="0.7"/>
        <cfvo type="num" val="1"/>
      </iconSet>
    </cfRule>
  </conditionalFormatting>
  <conditionalFormatting sqref="Y597">
    <cfRule type="dataBar" priority="3084">
      <dataBar>
        <cfvo type="num" val="0"/>
        <cfvo type="num" val="1"/>
        <color theme="4" tint="0.79998168889431442"/>
      </dataBar>
      <extLst>
        <ext xmlns:x14="http://schemas.microsoft.com/office/spreadsheetml/2009/9/main" uri="{B025F937-C7B1-47D3-B67F-A62EFF666E3E}">
          <x14:id>{CFCA0637-9666-40D9-9D31-0EC766515EE7}</x14:id>
        </ext>
      </extLst>
    </cfRule>
    <cfRule type="iconSet" priority="3083">
      <iconSet iconSet="3Arrows">
        <cfvo type="percent" val="0"/>
        <cfvo type="num" val="0.7"/>
        <cfvo type="num" val="1"/>
      </iconSet>
    </cfRule>
  </conditionalFormatting>
  <conditionalFormatting sqref="Y599 Y603 Y607 Y611 Y615 Y619">
    <cfRule type="iconSet" priority="3081">
      <iconSet iconSet="3Arrows">
        <cfvo type="percent" val="0"/>
        <cfvo type="num" val="0.7"/>
        <cfvo type="num" val="1"/>
      </iconSet>
    </cfRule>
    <cfRule type="dataBar" priority="3082">
      <dataBar>
        <cfvo type="num" val="0"/>
        <cfvo type="num" val="1"/>
        <color theme="4" tint="0.79998168889431442"/>
      </dataBar>
      <extLst>
        <ext xmlns:x14="http://schemas.microsoft.com/office/spreadsheetml/2009/9/main" uri="{B025F937-C7B1-47D3-B67F-A62EFF666E3E}">
          <x14:id>{0CDC5BF3-3AEC-493E-89C2-46804BAE94D5}</x14:id>
        </ext>
      </extLst>
    </cfRule>
  </conditionalFormatting>
  <conditionalFormatting sqref="Y601 Y605 Y609 Y613 Y617 Y621">
    <cfRule type="dataBar" priority="3080">
      <dataBar>
        <cfvo type="num" val="0"/>
        <cfvo type="num" val="1"/>
        <color theme="4" tint="0.79998168889431442"/>
      </dataBar>
      <extLst>
        <ext xmlns:x14="http://schemas.microsoft.com/office/spreadsheetml/2009/9/main" uri="{B025F937-C7B1-47D3-B67F-A62EFF666E3E}">
          <x14:id>{8415BE48-1726-4ED5-8BDF-A5FDA44CC365}</x14:id>
        </ext>
      </extLst>
    </cfRule>
    <cfRule type="iconSet" priority="3079">
      <iconSet iconSet="3Arrows">
        <cfvo type="percent" val="0"/>
        <cfvo type="num" val="0.7"/>
        <cfvo type="num" val="1"/>
      </iconSet>
    </cfRule>
  </conditionalFormatting>
  <conditionalFormatting sqref="Y623">
    <cfRule type="dataBar" priority="3078">
      <dataBar>
        <cfvo type="num" val="0"/>
        <cfvo type="num" val="1"/>
        <color theme="4" tint="0.79998168889431442"/>
      </dataBar>
      <extLst>
        <ext xmlns:x14="http://schemas.microsoft.com/office/spreadsheetml/2009/9/main" uri="{B025F937-C7B1-47D3-B67F-A62EFF666E3E}">
          <x14:id>{C14B9227-5CC0-48E7-B2FA-52C28B50D5F3}</x14:id>
        </ext>
      </extLst>
    </cfRule>
    <cfRule type="iconSet" priority="3077">
      <iconSet iconSet="3Arrows">
        <cfvo type="percent" val="0"/>
        <cfvo type="num" val="0.7"/>
        <cfvo type="num" val="1"/>
      </iconSet>
    </cfRule>
  </conditionalFormatting>
  <conditionalFormatting sqref="Y625">
    <cfRule type="dataBar" priority="3076">
      <dataBar>
        <cfvo type="num" val="0"/>
        <cfvo type="num" val="1"/>
        <color theme="4" tint="0.79998168889431442"/>
      </dataBar>
      <extLst>
        <ext xmlns:x14="http://schemas.microsoft.com/office/spreadsheetml/2009/9/main" uri="{B025F937-C7B1-47D3-B67F-A62EFF666E3E}">
          <x14:id>{F09A8469-568F-4BE7-8745-F73B0A764D23}</x14:id>
        </ext>
      </extLst>
    </cfRule>
    <cfRule type="iconSet" priority="3075">
      <iconSet iconSet="3Arrows">
        <cfvo type="percent" val="0"/>
        <cfvo type="num" val="0.7"/>
        <cfvo type="num" val="1"/>
      </iconSet>
    </cfRule>
  </conditionalFormatting>
  <conditionalFormatting sqref="Y627 Y645 Y631 Y635 Y639">
    <cfRule type="iconSet" priority="3073">
      <iconSet iconSet="3Arrows">
        <cfvo type="percent" val="0"/>
        <cfvo type="num" val="0.7"/>
        <cfvo type="num" val="1"/>
      </iconSet>
    </cfRule>
    <cfRule type="dataBar" priority="3074">
      <dataBar>
        <cfvo type="num" val="0"/>
        <cfvo type="num" val="1"/>
        <color theme="4" tint="0.79998168889431442"/>
      </dataBar>
      <extLst>
        <ext xmlns:x14="http://schemas.microsoft.com/office/spreadsheetml/2009/9/main" uri="{B025F937-C7B1-47D3-B67F-A62EFF666E3E}">
          <x14:id>{A5B87444-D184-415B-88E9-1839B32EFE43}</x14:id>
        </ext>
      </extLst>
    </cfRule>
  </conditionalFormatting>
  <conditionalFormatting sqref="Y633 Y629 Y637 Y641">
    <cfRule type="dataBar" priority="3072">
      <dataBar>
        <cfvo type="num" val="0"/>
        <cfvo type="num" val="1"/>
        <color theme="4" tint="0.79998168889431442"/>
      </dataBar>
      <extLst>
        <ext xmlns:x14="http://schemas.microsoft.com/office/spreadsheetml/2009/9/main" uri="{B025F937-C7B1-47D3-B67F-A62EFF666E3E}">
          <x14:id>{0B62925E-4448-4068-800C-68258E5B7FFC}</x14:id>
        </ext>
      </extLst>
    </cfRule>
    <cfRule type="iconSet" priority="3071">
      <iconSet iconSet="3Arrows">
        <cfvo type="percent" val="0"/>
        <cfvo type="num" val="0.7"/>
        <cfvo type="num" val="1"/>
      </iconSet>
    </cfRule>
  </conditionalFormatting>
  <conditionalFormatting sqref="Y643">
    <cfRule type="dataBar" priority="3070">
      <dataBar>
        <cfvo type="num" val="0"/>
        <cfvo type="num" val="1"/>
        <color theme="4" tint="0.79998168889431442"/>
      </dataBar>
      <extLst>
        <ext xmlns:x14="http://schemas.microsoft.com/office/spreadsheetml/2009/9/main" uri="{B025F937-C7B1-47D3-B67F-A62EFF666E3E}">
          <x14:id>{CE1FB4DF-56A8-422B-8363-C05E17F61CBF}</x14:id>
        </ext>
      </extLst>
    </cfRule>
    <cfRule type="iconSet" priority="3069">
      <iconSet iconSet="3Arrows">
        <cfvo type="percent" val="0"/>
        <cfvo type="num" val="0.7"/>
        <cfvo type="num" val="1"/>
      </iconSet>
    </cfRule>
  </conditionalFormatting>
  <conditionalFormatting sqref="Y647">
    <cfRule type="dataBar" priority="3068">
      <dataBar>
        <cfvo type="num" val="0"/>
        <cfvo type="num" val="1"/>
        <color theme="4" tint="0.79998168889431442"/>
      </dataBar>
      <extLst>
        <ext xmlns:x14="http://schemas.microsoft.com/office/spreadsheetml/2009/9/main" uri="{B025F937-C7B1-47D3-B67F-A62EFF666E3E}">
          <x14:id>{EB202949-A416-4DC0-9E44-B2761CE98744}</x14:id>
        </ext>
      </extLst>
    </cfRule>
    <cfRule type="iconSet" priority="3067">
      <iconSet iconSet="3Arrows">
        <cfvo type="percent" val="0"/>
        <cfvo type="num" val="0.7"/>
        <cfvo type="num" val="1"/>
      </iconSet>
    </cfRule>
  </conditionalFormatting>
  <conditionalFormatting sqref="Y649">
    <cfRule type="iconSet" priority="3065">
      <iconSet iconSet="3Arrows">
        <cfvo type="percent" val="0"/>
        <cfvo type="num" val="0.7"/>
        <cfvo type="num" val="1"/>
      </iconSet>
    </cfRule>
    <cfRule type="dataBar" priority="3066">
      <dataBar>
        <cfvo type="num" val="0"/>
        <cfvo type="num" val="1"/>
        <color theme="4" tint="0.79998168889431442"/>
      </dataBar>
      <extLst>
        <ext xmlns:x14="http://schemas.microsoft.com/office/spreadsheetml/2009/9/main" uri="{B025F937-C7B1-47D3-B67F-A62EFF666E3E}">
          <x14:id>{610B136D-5522-4C14-BFCA-DE67515654A9}</x14:id>
        </ext>
      </extLst>
    </cfRule>
  </conditionalFormatting>
  <conditionalFormatting sqref="Y652">
    <cfRule type="iconSet" priority="3063">
      <iconSet iconSet="3Arrows">
        <cfvo type="percent" val="0"/>
        <cfvo type="num" val="0.7"/>
        <cfvo type="num" val="1"/>
      </iconSet>
    </cfRule>
    <cfRule type="dataBar" priority="3064">
      <dataBar>
        <cfvo type="num" val="0"/>
        <cfvo type="num" val="1"/>
        <color theme="4" tint="0.79998168889431442"/>
      </dataBar>
      <extLst>
        <ext xmlns:x14="http://schemas.microsoft.com/office/spreadsheetml/2009/9/main" uri="{B025F937-C7B1-47D3-B67F-A62EFF666E3E}">
          <x14:id>{B116BEF4-F651-4CA1-A6B7-50C77D46980A}</x14:id>
        </ext>
      </extLst>
    </cfRule>
  </conditionalFormatting>
  <conditionalFormatting sqref="Y654">
    <cfRule type="dataBar" priority="3062">
      <dataBar>
        <cfvo type="num" val="0"/>
        <cfvo type="num" val="1"/>
        <color theme="4" tint="0.79998168889431442"/>
      </dataBar>
      <extLst>
        <ext xmlns:x14="http://schemas.microsoft.com/office/spreadsheetml/2009/9/main" uri="{B025F937-C7B1-47D3-B67F-A62EFF666E3E}">
          <x14:id>{F809BF08-97EB-4687-A3D8-BAD667E96159}</x14:id>
        </ext>
      </extLst>
    </cfRule>
    <cfRule type="iconSet" priority="3061">
      <iconSet iconSet="3Arrows">
        <cfvo type="percent" val="0"/>
        <cfvo type="num" val="0.7"/>
        <cfvo type="num" val="1"/>
      </iconSet>
    </cfRule>
  </conditionalFormatting>
  <conditionalFormatting sqref="Y656">
    <cfRule type="dataBar" priority="3060">
      <dataBar>
        <cfvo type="num" val="0"/>
        <cfvo type="num" val="1"/>
        <color theme="4" tint="0.79998168889431442"/>
      </dataBar>
      <extLst>
        <ext xmlns:x14="http://schemas.microsoft.com/office/spreadsheetml/2009/9/main" uri="{B025F937-C7B1-47D3-B67F-A62EFF666E3E}">
          <x14:id>{42344B5B-AE03-4EA1-9612-7265BC83A117}</x14:id>
        </ext>
      </extLst>
    </cfRule>
    <cfRule type="iconSet" priority="3059">
      <iconSet iconSet="3Arrows">
        <cfvo type="percent" val="0"/>
        <cfvo type="num" val="0.7"/>
        <cfvo type="num" val="1"/>
      </iconSet>
    </cfRule>
  </conditionalFormatting>
  <conditionalFormatting sqref="Y658">
    <cfRule type="dataBar" priority="3058">
      <dataBar>
        <cfvo type="num" val="0"/>
        <cfvo type="num" val="1"/>
        <color theme="4" tint="0.79998168889431442"/>
      </dataBar>
      <extLst>
        <ext xmlns:x14="http://schemas.microsoft.com/office/spreadsheetml/2009/9/main" uri="{B025F937-C7B1-47D3-B67F-A62EFF666E3E}">
          <x14:id>{300059E2-E8A4-4721-AD33-F194B4F46238}</x14:id>
        </ext>
      </extLst>
    </cfRule>
    <cfRule type="iconSet" priority="3057">
      <iconSet iconSet="3Arrows">
        <cfvo type="percent" val="0"/>
        <cfvo type="num" val="0.7"/>
        <cfvo type="num" val="1"/>
      </iconSet>
    </cfRule>
  </conditionalFormatting>
  <conditionalFormatting sqref="Y660">
    <cfRule type="dataBar" priority="3056">
      <dataBar>
        <cfvo type="num" val="0"/>
        <cfvo type="num" val="1"/>
        <color theme="4" tint="0.79998168889431442"/>
      </dataBar>
      <extLst>
        <ext xmlns:x14="http://schemas.microsoft.com/office/spreadsheetml/2009/9/main" uri="{B025F937-C7B1-47D3-B67F-A62EFF666E3E}">
          <x14:id>{892C469F-1762-4A27-AF42-6E91DEEDADE5}</x14:id>
        </ext>
      </extLst>
    </cfRule>
    <cfRule type="iconSet" priority="3055">
      <iconSet iconSet="3Arrows">
        <cfvo type="percent" val="0"/>
        <cfvo type="num" val="0.7"/>
        <cfvo type="num" val="1"/>
      </iconSet>
    </cfRule>
  </conditionalFormatting>
  <conditionalFormatting sqref="Y662">
    <cfRule type="dataBar" priority="3054">
      <dataBar>
        <cfvo type="num" val="0"/>
        <cfvo type="num" val="1"/>
        <color theme="4" tint="0.79998168889431442"/>
      </dataBar>
      <extLst>
        <ext xmlns:x14="http://schemas.microsoft.com/office/spreadsheetml/2009/9/main" uri="{B025F937-C7B1-47D3-B67F-A62EFF666E3E}">
          <x14:id>{CA3ACD93-E6A4-4C4D-9D65-93779E3487C8}</x14:id>
        </ext>
      </extLst>
    </cfRule>
    <cfRule type="iconSet" priority="3053">
      <iconSet iconSet="3Arrows">
        <cfvo type="percent" val="0"/>
        <cfvo type="num" val="0.7"/>
        <cfvo type="num" val="1"/>
      </iconSet>
    </cfRule>
  </conditionalFormatting>
  <conditionalFormatting sqref="Y664">
    <cfRule type="dataBar" priority="3052">
      <dataBar>
        <cfvo type="num" val="0"/>
        <cfvo type="num" val="1"/>
        <color theme="4" tint="0.79998168889431442"/>
      </dataBar>
      <extLst>
        <ext xmlns:x14="http://schemas.microsoft.com/office/spreadsheetml/2009/9/main" uri="{B025F937-C7B1-47D3-B67F-A62EFF666E3E}">
          <x14:id>{E4877DC0-36F5-4654-8200-0069F5A1E0B5}</x14:id>
        </ext>
      </extLst>
    </cfRule>
    <cfRule type="iconSet" priority="3051">
      <iconSet iconSet="3Arrows">
        <cfvo type="percent" val="0"/>
        <cfvo type="num" val="0.7"/>
        <cfvo type="num" val="1"/>
      </iconSet>
    </cfRule>
  </conditionalFormatting>
  <conditionalFormatting sqref="Y666">
    <cfRule type="dataBar" priority="3050">
      <dataBar>
        <cfvo type="num" val="0"/>
        <cfvo type="num" val="1"/>
        <color theme="4" tint="0.79998168889431442"/>
      </dataBar>
      <extLst>
        <ext xmlns:x14="http://schemas.microsoft.com/office/spreadsheetml/2009/9/main" uri="{B025F937-C7B1-47D3-B67F-A62EFF666E3E}">
          <x14:id>{CE558AF5-02C9-4EB9-9340-34439B6C158E}</x14:id>
        </ext>
      </extLst>
    </cfRule>
    <cfRule type="iconSet" priority="3049">
      <iconSet iconSet="3Arrows">
        <cfvo type="percent" val="0"/>
        <cfvo type="num" val="0.7"/>
        <cfvo type="num" val="1"/>
      </iconSet>
    </cfRule>
  </conditionalFormatting>
  <conditionalFormatting sqref="Y668">
    <cfRule type="dataBar" priority="3048">
      <dataBar>
        <cfvo type="num" val="0"/>
        <cfvo type="num" val="1"/>
        <color theme="4" tint="0.79998168889431442"/>
      </dataBar>
      <extLst>
        <ext xmlns:x14="http://schemas.microsoft.com/office/spreadsheetml/2009/9/main" uri="{B025F937-C7B1-47D3-B67F-A62EFF666E3E}">
          <x14:id>{942905C0-83A8-4E52-A528-9B34B6F28599}</x14:id>
        </ext>
      </extLst>
    </cfRule>
    <cfRule type="iconSet" priority="3047">
      <iconSet iconSet="3Arrows">
        <cfvo type="percent" val="0"/>
        <cfvo type="num" val="0.7"/>
        <cfvo type="num" val="1"/>
      </iconSet>
    </cfRule>
  </conditionalFormatting>
  <conditionalFormatting sqref="Y670">
    <cfRule type="dataBar" priority="3046">
      <dataBar>
        <cfvo type="num" val="0"/>
        <cfvo type="num" val="1"/>
        <color theme="4" tint="0.79998168889431442"/>
      </dataBar>
      <extLst>
        <ext xmlns:x14="http://schemas.microsoft.com/office/spreadsheetml/2009/9/main" uri="{B025F937-C7B1-47D3-B67F-A62EFF666E3E}">
          <x14:id>{BBF1BC8E-3AB8-43C1-86D7-14B4656629A7}</x14:id>
        </ext>
      </extLst>
    </cfRule>
    <cfRule type="iconSet" priority="3045">
      <iconSet iconSet="3Arrows">
        <cfvo type="percent" val="0"/>
        <cfvo type="num" val="0.7"/>
        <cfvo type="num" val="1"/>
      </iconSet>
    </cfRule>
  </conditionalFormatting>
  <conditionalFormatting sqref="Y672">
    <cfRule type="dataBar" priority="3044">
      <dataBar>
        <cfvo type="num" val="0"/>
        <cfvo type="num" val="1"/>
        <color theme="4" tint="0.79998168889431442"/>
      </dataBar>
      <extLst>
        <ext xmlns:x14="http://schemas.microsoft.com/office/spreadsheetml/2009/9/main" uri="{B025F937-C7B1-47D3-B67F-A62EFF666E3E}">
          <x14:id>{098AD683-3660-4A81-ACA5-0909FED0604F}</x14:id>
        </ext>
      </extLst>
    </cfRule>
    <cfRule type="iconSet" priority="3043">
      <iconSet iconSet="3Arrows">
        <cfvo type="percent" val="0"/>
        <cfvo type="num" val="0.7"/>
        <cfvo type="num" val="1"/>
      </iconSet>
    </cfRule>
  </conditionalFormatting>
  <conditionalFormatting sqref="Y674">
    <cfRule type="iconSet" priority="3041">
      <iconSet iconSet="3Arrows">
        <cfvo type="percent" val="0"/>
        <cfvo type="num" val="0.7"/>
        <cfvo type="num" val="1"/>
      </iconSet>
    </cfRule>
    <cfRule type="dataBar" priority="3042">
      <dataBar>
        <cfvo type="num" val="0"/>
        <cfvo type="num" val="1"/>
        <color theme="4" tint="0.79998168889431442"/>
      </dataBar>
      <extLst>
        <ext xmlns:x14="http://schemas.microsoft.com/office/spreadsheetml/2009/9/main" uri="{B025F937-C7B1-47D3-B67F-A62EFF666E3E}">
          <x14:id>{51886C89-D09D-4E18-8527-15BD7B336EF3}</x14:id>
        </ext>
      </extLst>
    </cfRule>
  </conditionalFormatting>
  <conditionalFormatting sqref="Y676">
    <cfRule type="iconSet" priority="3039">
      <iconSet iconSet="3Arrows">
        <cfvo type="percent" val="0"/>
        <cfvo type="num" val="0.7"/>
        <cfvo type="num" val="1"/>
      </iconSet>
    </cfRule>
    <cfRule type="dataBar" priority="3040">
      <dataBar>
        <cfvo type="num" val="0"/>
        <cfvo type="num" val="1"/>
        <color theme="4" tint="0.79998168889431442"/>
      </dataBar>
      <extLst>
        <ext xmlns:x14="http://schemas.microsoft.com/office/spreadsheetml/2009/9/main" uri="{B025F937-C7B1-47D3-B67F-A62EFF666E3E}">
          <x14:id>{91B59464-B37E-4A32-B3E4-ADF63010C426}</x14:id>
        </ext>
      </extLst>
    </cfRule>
  </conditionalFormatting>
  <conditionalFormatting sqref="Y678">
    <cfRule type="iconSet" priority="3037">
      <iconSet iconSet="3Arrows">
        <cfvo type="percent" val="0"/>
        <cfvo type="num" val="0.7"/>
        <cfvo type="num" val="1"/>
      </iconSet>
    </cfRule>
    <cfRule type="dataBar" priority="3038">
      <dataBar>
        <cfvo type="num" val="0"/>
        <cfvo type="num" val="1"/>
        <color theme="4" tint="0.79998168889431442"/>
      </dataBar>
      <extLst>
        <ext xmlns:x14="http://schemas.microsoft.com/office/spreadsheetml/2009/9/main" uri="{B025F937-C7B1-47D3-B67F-A62EFF666E3E}">
          <x14:id>{3319FCF1-2710-4B88-858E-33149BB104B6}</x14:id>
        </ext>
      </extLst>
    </cfRule>
  </conditionalFormatting>
  <conditionalFormatting sqref="Y680">
    <cfRule type="iconSet" priority="3035">
      <iconSet iconSet="3Arrows">
        <cfvo type="percent" val="0"/>
        <cfvo type="num" val="0.7"/>
        <cfvo type="num" val="1"/>
      </iconSet>
    </cfRule>
    <cfRule type="dataBar" priority="3036">
      <dataBar>
        <cfvo type="num" val="0"/>
        <cfvo type="num" val="1"/>
        <color theme="4" tint="0.79998168889431442"/>
      </dataBar>
      <extLst>
        <ext xmlns:x14="http://schemas.microsoft.com/office/spreadsheetml/2009/9/main" uri="{B025F937-C7B1-47D3-B67F-A62EFF666E3E}">
          <x14:id>{DBC2EFCF-C1D3-4D45-9488-C955BDEF984B}</x14:id>
        </ext>
      </extLst>
    </cfRule>
  </conditionalFormatting>
  <conditionalFormatting sqref="Y682">
    <cfRule type="dataBar" priority="3034">
      <dataBar>
        <cfvo type="num" val="0"/>
        <cfvo type="num" val="1"/>
        <color theme="4" tint="0.79998168889431442"/>
      </dataBar>
      <extLst>
        <ext xmlns:x14="http://schemas.microsoft.com/office/spreadsheetml/2009/9/main" uri="{B025F937-C7B1-47D3-B67F-A62EFF666E3E}">
          <x14:id>{B5FD045C-DDE8-47E9-9C3C-A9D170262690}</x14:id>
        </ext>
      </extLst>
    </cfRule>
    <cfRule type="iconSet" priority="3033">
      <iconSet iconSet="3Arrows">
        <cfvo type="percent" val="0"/>
        <cfvo type="num" val="0.7"/>
        <cfvo type="num" val="1"/>
      </iconSet>
    </cfRule>
  </conditionalFormatting>
  <conditionalFormatting sqref="Y684">
    <cfRule type="iconSet" priority="3031">
      <iconSet iconSet="3Arrows">
        <cfvo type="percent" val="0"/>
        <cfvo type="num" val="0.7"/>
        <cfvo type="num" val="1"/>
      </iconSet>
    </cfRule>
    <cfRule type="dataBar" priority="3032">
      <dataBar>
        <cfvo type="num" val="0"/>
        <cfvo type="num" val="1"/>
        <color theme="4" tint="0.79998168889431442"/>
      </dataBar>
      <extLst>
        <ext xmlns:x14="http://schemas.microsoft.com/office/spreadsheetml/2009/9/main" uri="{B025F937-C7B1-47D3-B67F-A62EFF666E3E}">
          <x14:id>{82036743-4CDA-4889-AF9B-CAAFE574485B}</x14:id>
        </ext>
      </extLst>
    </cfRule>
  </conditionalFormatting>
  <conditionalFormatting sqref="Y686">
    <cfRule type="iconSet" priority="3029">
      <iconSet iconSet="3Arrows">
        <cfvo type="percent" val="0"/>
        <cfvo type="num" val="0.7"/>
        <cfvo type="num" val="1"/>
      </iconSet>
    </cfRule>
    <cfRule type="dataBar" priority="3030">
      <dataBar>
        <cfvo type="num" val="0"/>
        <cfvo type="num" val="1"/>
        <color theme="4" tint="0.79998168889431442"/>
      </dataBar>
      <extLst>
        <ext xmlns:x14="http://schemas.microsoft.com/office/spreadsheetml/2009/9/main" uri="{B025F937-C7B1-47D3-B67F-A62EFF666E3E}">
          <x14:id>{4AD80851-860A-44D9-AE14-6D6F58663905}</x14:id>
        </ext>
      </extLst>
    </cfRule>
  </conditionalFormatting>
  <conditionalFormatting sqref="Y688">
    <cfRule type="iconSet" priority="3027">
      <iconSet iconSet="3Arrows">
        <cfvo type="percent" val="0"/>
        <cfvo type="num" val="0.7"/>
        <cfvo type="num" val="1"/>
      </iconSet>
    </cfRule>
    <cfRule type="dataBar" priority="3028">
      <dataBar>
        <cfvo type="num" val="0"/>
        <cfvo type="num" val="1"/>
        <color theme="4" tint="0.79998168889431442"/>
      </dataBar>
      <extLst>
        <ext xmlns:x14="http://schemas.microsoft.com/office/spreadsheetml/2009/9/main" uri="{B025F937-C7B1-47D3-B67F-A62EFF666E3E}">
          <x14:id>{DF3EC68D-B451-4AC0-877C-C5FF7CF5F7D5}</x14:id>
        </ext>
      </extLst>
    </cfRule>
  </conditionalFormatting>
  <conditionalFormatting sqref="Y690">
    <cfRule type="iconSet" priority="3025">
      <iconSet iconSet="3Arrows">
        <cfvo type="percent" val="0"/>
        <cfvo type="num" val="0.7"/>
        <cfvo type="num" val="1"/>
      </iconSet>
    </cfRule>
    <cfRule type="dataBar" priority="3026">
      <dataBar>
        <cfvo type="num" val="0"/>
        <cfvo type="num" val="1"/>
        <color theme="4" tint="0.79998168889431442"/>
      </dataBar>
      <extLst>
        <ext xmlns:x14="http://schemas.microsoft.com/office/spreadsheetml/2009/9/main" uri="{B025F937-C7B1-47D3-B67F-A62EFF666E3E}">
          <x14:id>{09C908A0-468E-4784-8045-B870AA5A44AC}</x14:id>
        </ext>
      </extLst>
    </cfRule>
  </conditionalFormatting>
  <conditionalFormatting sqref="Y692">
    <cfRule type="iconSet" priority="3023">
      <iconSet iconSet="3Arrows">
        <cfvo type="percent" val="0"/>
        <cfvo type="num" val="0.7"/>
        <cfvo type="num" val="1"/>
      </iconSet>
    </cfRule>
    <cfRule type="dataBar" priority="3024">
      <dataBar>
        <cfvo type="num" val="0"/>
        <cfvo type="num" val="1"/>
        <color theme="4" tint="0.79998168889431442"/>
      </dataBar>
      <extLst>
        <ext xmlns:x14="http://schemas.microsoft.com/office/spreadsheetml/2009/9/main" uri="{B025F937-C7B1-47D3-B67F-A62EFF666E3E}">
          <x14:id>{A1A3703B-9159-4187-BC85-5B8E499D5D99}</x14:id>
        </ext>
      </extLst>
    </cfRule>
  </conditionalFormatting>
  <conditionalFormatting sqref="Y694">
    <cfRule type="dataBar" priority="3022">
      <dataBar>
        <cfvo type="num" val="0"/>
        <cfvo type="num" val="1"/>
        <color theme="4" tint="0.79998168889431442"/>
      </dataBar>
      <extLst>
        <ext xmlns:x14="http://schemas.microsoft.com/office/spreadsheetml/2009/9/main" uri="{B025F937-C7B1-47D3-B67F-A62EFF666E3E}">
          <x14:id>{20742076-B17A-41E8-9B2C-F1D12145762B}</x14:id>
        </ext>
      </extLst>
    </cfRule>
    <cfRule type="iconSet" priority="3021">
      <iconSet iconSet="3Arrows">
        <cfvo type="percent" val="0"/>
        <cfvo type="num" val="0.7"/>
        <cfvo type="num" val="1"/>
      </iconSet>
    </cfRule>
  </conditionalFormatting>
  <conditionalFormatting sqref="Y696">
    <cfRule type="dataBar" priority="3020">
      <dataBar>
        <cfvo type="num" val="0"/>
        <cfvo type="num" val="1"/>
        <color theme="4" tint="0.79998168889431442"/>
      </dataBar>
      <extLst>
        <ext xmlns:x14="http://schemas.microsoft.com/office/spreadsheetml/2009/9/main" uri="{B025F937-C7B1-47D3-B67F-A62EFF666E3E}">
          <x14:id>{AB045454-0F99-4E3F-96EF-81017B459072}</x14:id>
        </ext>
      </extLst>
    </cfRule>
    <cfRule type="iconSet" priority="3019">
      <iconSet iconSet="3Arrows">
        <cfvo type="percent" val="0"/>
        <cfvo type="num" val="0.7"/>
        <cfvo type="num" val="1"/>
      </iconSet>
    </cfRule>
  </conditionalFormatting>
  <conditionalFormatting sqref="Y698">
    <cfRule type="dataBar" priority="3018">
      <dataBar>
        <cfvo type="num" val="0"/>
        <cfvo type="num" val="1"/>
        <color theme="4" tint="0.79998168889431442"/>
      </dataBar>
      <extLst>
        <ext xmlns:x14="http://schemas.microsoft.com/office/spreadsheetml/2009/9/main" uri="{B025F937-C7B1-47D3-B67F-A62EFF666E3E}">
          <x14:id>{170553AC-B7D6-463F-8A5D-F27326202FC2}</x14:id>
        </ext>
      </extLst>
    </cfRule>
    <cfRule type="iconSet" priority="3017">
      <iconSet iconSet="3Arrows">
        <cfvo type="percent" val="0"/>
        <cfvo type="num" val="0.7"/>
        <cfvo type="num" val="1"/>
      </iconSet>
    </cfRule>
  </conditionalFormatting>
  <conditionalFormatting sqref="Y700">
    <cfRule type="dataBar" priority="3016">
      <dataBar>
        <cfvo type="num" val="0"/>
        <cfvo type="num" val="1"/>
        <color theme="4" tint="0.79998168889431442"/>
      </dataBar>
      <extLst>
        <ext xmlns:x14="http://schemas.microsoft.com/office/spreadsheetml/2009/9/main" uri="{B025F937-C7B1-47D3-B67F-A62EFF666E3E}">
          <x14:id>{EF0179A7-26E9-4F06-937C-F12FB19A0803}</x14:id>
        </ext>
      </extLst>
    </cfRule>
    <cfRule type="iconSet" priority="3015">
      <iconSet iconSet="3Arrows">
        <cfvo type="percent" val="0"/>
        <cfvo type="num" val="0.7"/>
        <cfvo type="num" val="1"/>
      </iconSet>
    </cfRule>
  </conditionalFormatting>
  <conditionalFormatting sqref="Y703">
    <cfRule type="iconSet" priority="3013">
      <iconSet iconSet="3Arrows">
        <cfvo type="percent" val="0"/>
        <cfvo type="num" val="0.7"/>
        <cfvo type="num" val="1"/>
      </iconSet>
    </cfRule>
    <cfRule type="dataBar" priority="3014">
      <dataBar>
        <cfvo type="num" val="0"/>
        <cfvo type="num" val="1"/>
        <color theme="4" tint="0.79998168889431442"/>
      </dataBar>
      <extLst>
        <ext xmlns:x14="http://schemas.microsoft.com/office/spreadsheetml/2009/9/main" uri="{B025F937-C7B1-47D3-B67F-A62EFF666E3E}">
          <x14:id>{322D1C11-A100-40C5-ACD7-8EF649EA3C45}</x14:id>
        </ext>
      </extLst>
    </cfRule>
  </conditionalFormatting>
  <conditionalFormatting sqref="Y705">
    <cfRule type="dataBar" priority="3012">
      <dataBar>
        <cfvo type="num" val="0"/>
        <cfvo type="num" val="1"/>
        <color theme="4" tint="0.79998168889431442"/>
      </dataBar>
      <extLst>
        <ext xmlns:x14="http://schemas.microsoft.com/office/spreadsheetml/2009/9/main" uri="{B025F937-C7B1-47D3-B67F-A62EFF666E3E}">
          <x14:id>{A2E7B50E-DFF8-4B99-8732-52717D02896D}</x14:id>
        </ext>
      </extLst>
    </cfRule>
    <cfRule type="iconSet" priority="3011">
      <iconSet iconSet="3Arrows">
        <cfvo type="percent" val="0"/>
        <cfvo type="num" val="0.7"/>
        <cfvo type="num" val="1"/>
      </iconSet>
    </cfRule>
  </conditionalFormatting>
  <conditionalFormatting sqref="Y707">
    <cfRule type="dataBar" priority="3010">
      <dataBar>
        <cfvo type="num" val="0"/>
        <cfvo type="num" val="1"/>
        <color theme="4" tint="0.79998168889431442"/>
      </dataBar>
      <extLst>
        <ext xmlns:x14="http://schemas.microsoft.com/office/spreadsheetml/2009/9/main" uri="{B025F937-C7B1-47D3-B67F-A62EFF666E3E}">
          <x14:id>{EA6CBB3D-A9EF-42ED-96B8-ECF72ACD48CA}</x14:id>
        </ext>
      </extLst>
    </cfRule>
    <cfRule type="iconSet" priority="3009">
      <iconSet iconSet="3Arrows">
        <cfvo type="percent" val="0"/>
        <cfvo type="num" val="0.7"/>
        <cfvo type="num" val="1"/>
      </iconSet>
    </cfRule>
  </conditionalFormatting>
  <conditionalFormatting sqref="Y709">
    <cfRule type="dataBar" priority="3008">
      <dataBar>
        <cfvo type="num" val="0"/>
        <cfvo type="num" val="1"/>
        <color theme="4" tint="0.79998168889431442"/>
      </dataBar>
      <extLst>
        <ext xmlns:x14="http://schemas.microsoft.com/office/spreadsheetml/2009/9/main" uri="{B025F937-C7B1-47D3-B67F-A62EFF666E3E}">
          <x14:id>{3C052766-C294-412D-BDB7-5C20D57258E8}</x14:id>
        </ext>
      </extLst>
    </cfRule>
    <cfRule type="iconSet" priority="3007">
      <iconSet iconSet="3Arrows">
        <cfvo type="percent" val="0"/>
        <cfvo type="num" val="0.7"/>
        <cfvo type="num" val="1"/>
      </iconSet>
    </cfRule>
  </conditionalFormatting>
  <conditionalFormatting sqref="Y711">
    <cfRule type="iconSet" priority="3005">
      <iconSet iconSet="3Arrows">
        <cfvo type="percent" val="0"/>
        <cfvo type="num" val="0.7"/>
        <cfvo type="num" val="1"/>
      </iconSet>
    </cfRule>
    <cfRule type="dataBar" priority="3006">
      <dataBar>
        <cfvo type="num" val="0"/>
        <cfvo type="num" val="1"/>
        <color theme="4" tint="0.79998168889431442"/>
      </dataBar>
      <extLst>
        <ext xmlns:x14="http://schemas.microsoft.com/office/spreadsheetml/2009/9/main" uri="{B025F937-C7B1-47D3-B67F-A62EFF666E3E}">
          <x14:id>{D54A4035-AF2D-4E3B-9B97-5172E9DB6B21}</x14:id>
        </ext>
      </extLst>
    </cfRule>
  </conditionalFormatting>
  <conditionalFormatting sqref="Y713">
    <cfRule type="dataBar" priority="3004">
      <dataBar>
        <cfvo type="num" val="0"/>
        <cfvo type="num" val="1"/>
        <color theme="4" tint="0.79998168889431442"/>
      </dataBar>
      <extLst>
        <ext xmlns:x14="http://schemas.microsoft.com/office/spreadsheetml/2009/9/main" uri="{B025F937-C7B1-47D3-B67F-A62EFF666E3E}">
          <x14:id>{96D84C45-6379-4F75-BEA5-19F4CBEC0AFF}</x14:id>
        </ext>
      </extLst>
    </cfRule>
    <cfRule type="iconSet" priority="3003">
      <iconSet iconSet="3Arrows">
        <cfvo type="percent" val="0"/>
        <cfvo type="num" val="0.7"/>
        <cfvo type="num" val="1"/>
      </iconSet>
    </cfRule>
  </conditionalFormatting>
  <conditionalFormatting sqref="Y715">
    <cfRule type="dataBar" priority="3002">
      <dataBar>
        <cfvo type="num" val="0"/>
        <cfvo type="num" val="1"/>
        <color theme="4" tint="0.79998168889431442"/>
      </dataBar>
      <extLst>
        <ext xmlns:x14="http://schemas.microsoft.com/office/spreadsheetml/2009/9/main" uri="{B025F937-C7B1-47D3-B67F-A62EFF666E3E}">
          <x14:id>{BCEC63F8-7E80-43F4-9A8E-B03258B1FD16}</x14:id>
        </ext>
      </extLst>
    </cfRule>
    <cfRule type="iconSet" priority="3001">
      <iconSet iconSet="3Arrows">
        <cfvo type="percent" val="0"/>
        <cfvo type="num" val="0.7"/>
        <cfvo type="num" val="1"/>
      </iconSet>
    </cfRule>
  </conditionalFormatting>
  <conditionalFormatting sqref="Y717">
    <cfRule type="dataBar" priority="3000">
      <dataBar>
        <cfvo type="num" val="0"/>
        <cfvo type="num" val="1"/>
        <color theme="4" tint="0.79998168889431442"/>
      </dataBar>
      <extLst>
        <ext xmlns:x14="http://schemas.microsoft.com/office/spreadsheetml/2009/9/main" uri="{B025F937-C7B1-47D3-B67F-A62EFF666E3E}">
          <x14:id>{AB176846-EA12-4D30-91E5-4ABA9F43330E}</x14:id>
        </ext>
      </extLst>
    </cfRule>
    <cfRule type="iconSet" priority="2999">
      <iconSet iconSet="3Arrows">
        <cfvo type="percent" val="0"/>
        <cfvo type="num" val="0.7"/>
        <cfvo type="num" val="1"/>
      </iconSet>
    </cfRule>
  </conditionalFormatting>
  <conditionalFormatting sqref="Y719">
    <cfRule type="iconSet" priority="2997">
      <iconSet iconSet="3Arrows">
        <cfvo type="percent" val="0"/>
        <cfvo type="num" val="0.7"/>
        <cfvo type="num" val="1"/>
      </iconSet>
    </cfRule>
    <cfRule type="dataBar" priority="2998">
      <dataBar>
        <cfvo type="num" val="0"/>
        <cfvo type="num" val="1"/>
        <color theme="4" tint="0.79998168889431442"/>
      </dataBar>
      <extLst>
        <ext xmlns:x14="http://schemas.microsoft.com/office/spreadsheetml/2009/9/main" uri="{B025F937-C7B1-47D3-B67F-A62EFF666E3E}">
          <x14:id>{2716601E-D7D2-417F-BE58-67639F814F29}</x14:id>
        </ext>
      </extLst>
    </cfRule>
  </conditionalFormatting>
  <conditionalFormatting sqref="Y721">
    <cfRule type="iconSet" priority="2995">
      <iconSet iconSet="3Arrows">
        <cfvo type="percent" val="0"/>
        <cfvo type="num" val="0.7"/>
        <cfvo type="num" val="1"/>
      </iconSet>
    </cfRule>
    <cfRule type="dataBar" priority="2996">
      <dataBar>
        <cfvo type="num" val="0"/>
        <cfvo type="num" val="1"/>
        <color theme="4" tint="0.79998168889431442"/>
      </dataBar>
      <extLst>
        <ext xmlns:x14="http://schemas.microsoft.com/office/spreadsheetml/2009/9/main" uri="{B025F937-C7B1-47D3-B67F-A62EFF666E3E}">
          <x14:id>{8AEDDA39-A7C7-412F-B042-1C0A687CA7EC}</x14:id>
        </ext>
      </extLst>
    </cfRule>
  </conditionalFormatting>
  <conditionalFormatting sqref="Y723">
    <cfRule type="iconSet" priority="2993">
      <iconSet iconSet="3Arrows">
        <cfvo type="percent" val="0"/>
        <cfvo type="num" val="0.7"/>
        <cfvo type="num" val="1"/>
      </iconSet>
    </cfRule>
    <cfRule type="dataBar" priority="2994">
      <dataBar>
        <cfvo type="num" val="0"/>
        <cfvo type="num" val="1"/>
        <color theme="4" tint="0.79998168889431442"/>
      </dataBar>
      <extLst>
        <ext xmlns:x14="http://schemas.microsoft.com/office/spreadsheetml/2009/9/main" uri="{B025F937-C7B1-47D3-B67F-A62EFF666E3E}">
          <x14:id>{476D6627-DAB6-4BCA-B87F-F278C206BF6A}</x14:id>
        </ext>
      </extLst>
    </cfRule>
  </conditionalFormatting>
  <conditionalFormatting sqref="Y725">
    <cfRule type="iconSet" priority="2991">
      <iconSet iconSet="3Arrows">
        <cfvo type="percent" val="0"/>
        <cfvo type="num" val="0.7"/>
        <cfvo type="num" val="1"/>
      </iconSet>
    </cfRule>
    <cfRule type="dataBar" priority="2992">
      <dataBar>
        <cfvo type="num" val="0"/>
        <cfvo type="num" val="1"/>
        <color theme="4" tint="0.79998168889431442"/>
      </dataBar>
      <extLst>
        <ext xmlns:x14="http://schemas.microsoft.com/office/spreadsheetml/2009/9/main" uri="{B025F937-C7B1-47D3-B67F-A62EFF666E3E}">
          <x14:id>{54345C52-C516-466E-930E-151ED039ED33}</x14:id>
        </ext>
      </extLst>
    </cfRule>
  </conditionalFormatting>
  <conditionalFormatting sqref="Y727">
    <cfRule type="dataBar" priority="2990">
      <dataBar>
        <cfvo type="num" val="0"/>
        <cfvo type="num" val="1"/>
        <color theme="4" tint="0.79998168889431442"/>
      </dataBar>
      <extLst>
        <ext xmlns:x14="http://schemas.microsoft.com/office/spreadsheetml/2009/9/main" uri="{B025F937-C7B1-47D3-B67F-A62EFF666E3E}">
          <x14:id>{4AEB5376-01BD-4FAD-989B-ECF68543B813}</x14:id>
        </ext>
      </extLst>
    </cfRule>
    <cfRule type="iconSet" priority="2989">
      <iconSet iconSet="3Arrows">
        <cfvo type="percent" val="0"/>
        <cfvo type="num" val="0.7"/>
        <cfvo type="num" val="1"/>
      </iconSet>
    </cfRule>
  </conditionalFormatting>
  <conditionalFormatting sqref="Y729">
    <cfRule type="dataBar" priority="2988">
      <dataBar>
        <cfvo type="num" val="0"/>
        <cfvo type="num" val="1"/>
        <color theme="4" tint="0.79998168889431442"/>
      </dataBar>
      <extLst>
        <ext xmlns:x14="http://schemas.microsoft.com/office/spreadsheetml/2009/9/main" uri="{B025F937-C7B1-47D3-B67F-A62EFF666E3E}">
          <x14:id>{ED764926-D75A-45DF-ADF3-9F47D3DF4EF3}</x14:id>
        </ext>
      </extLst>
    </cfRule>
    <cfRule type="iconSet" priority="2987">
      <iconSet iconSet="3Arrows">
        <cfvo type="percent" val="0"/>
        <cfvo type="num" val="0.7"/>
        <cfvo type="num" val="1"/>
      </iconSet>
    </cfRule>
  </conditionalFormatting>
  <conditionalFormatting sqref="Y731">
    <cfRule type="dataBar" priority="2986">
      <dataBar>
        <cfvo type="num" val="0"/>
        <cfvo type="num" val="1"/>
        <color theme="4" tint="0.79998168889431442"/>
      </dataBar>
      <extLst>
        <ext xmlns:x14="http://schemas.microsoft.com/office/spreadsheetml/2009/9/main" uri="{B025F937-C7B1-47D3-B67F-A62EFF666E3E}">
          <x14:id>{DDAE2F6C-8A4A-446C-9996-2F966D37E89C}</x14:id>
        </ext>
      </extLst>
    </cfRule>
    <cfRule type="iconSet" priority="2985">
      <iconSet iconSet="3Arrows">
        <cfvo type="percent" val="0"/>
        <cfvo type="num" val="0.7"/>
        <cfvo type="num" val="1"/>
      </iconSet>
    </cfRule>
  </conditionalFormatting>
  <conditionalFormatting sqref="Y733">
    <cfRule type="iconSet" priority="2983">
      <iconSet iconSet="3Arrows">
        <cfvo type="percent" val="0"/>
        <cfvo type="num" val="0.7"/>
        <cfvo type="num" val="1"/>
      </iconSet>
    </cfRule>
    <cfRule type="dataBar" priority="2984">
      <dataBar>
        <cfvo type="num" val="0"/>
        <cfvo type="num" val="1"/>
        <color theme="4" tint="0.79998168889431442"/>
      </dataBar>
      <extLst>
        <ext xmlns:x14="http://schemas.microsoft.com/office/spreadsheetml/2009/9/main" uri="{B025F937-C7B1-47D3-B67F-A62EFF666E3E}">
          <x14:id>{E273E38A-7E1A-457D-9709-655AB9497233}</x14:id>
        </ext>
      </extLst>
    </cfRule>
  </conditionalFormatting>
  <conditionalFormatting sqref="Y735">
    <cfRule type="dataBar" priority="2982">
      <dataBar>
        <cfvo type="num" val="0"/>
        <cfvo type="num" val="1"/>
        <color theme="4" tint="0.79998168889431442"/>
      </dataBar>
      <extLst>
        <ext xmlns:x14="http://schemas.microsoft.com/office/spreadsheetml/2009/9/main" uri="{B025F937-C7B1-47D3-B67F-A62EFF666E3E}">
          <x14:id>{32A08AAD-059F-40A4-9323-EF14F834452C}</x14:id>
        </ext>
      </extLst>
    </cfRule>
    <cfRule type="iconSet" priority="2981">
      <iconSet iconSet="3Arrows">
        <cfvo type="percent" val="0"/>
        <cfvo type="num" val="0.7"/>
        <cfvo type="num" val="1"/>
      </iconSet>
    </cfRule>
  </conditionalFormatting>
  <conditionalFormatting sqref="Y737">
    <cfRule type="dataBar" priority="2980">
      <dataBar>
        <cfvo type="num" val="0"/>
        <cfvo type="num" val="1"/>
        <color theme="4" tint="0.79998168889431442"/>
      </dataBar>
      <extLst>
        <ext xmlns:x14="http://schemas.microsoft.com/office/spreadsheetml/2009/9/main" uri="{B025F937-C7B1-47D3-B67F-A62EFF666E3E}">
          <x14:id>{F556FF3E-2375-44FF-B401-6D488B23A572}</x14:id>
        </ext>
      </extLst>
    </cfRule>
    <cfRule type="iconSet" priority="2979">
      <iconSet iconSet="3Arrows">
        <cfvo type="percent" val="0"/>
        <cfvo type="num" val="0.7"/>
        <cfvo type="num" val="1"/>
      </iconSet>
    </cfRule>
  </conditionalFormatting>
  <conditionalFormatting sqref="Y739">
    <cfRule type="dataBar" priority="2978">
      <dataBar>
        <cfvo type="num" val="0"/>
        <cfvo type="num" val="1"/>
        <color theme="4" tint="0.79998168889431442"/>
      </dataBar>
      <extLst>
        <ext xmlns:x14="http://schemas.microsoft.com/office/spreadsheetml/2009/9/main" uri="{B025F937-C7B1-47D3-B67F-A62EFF666E3E}">
          <x14:id>{C10999E3-AD89-44E6-AF2D-BD76E6E5A41D}</x14:id>
        </ext>
      </extLst>
    </cfRule>
    <cfRule type="iconSet" priority="2977">
      <iconSet iconSet="3Arrows">
        <cfvo type="percent" val="0"/>
        <cfvo type="num" val="0.7"/>
        <cfvo type="num" val="1"/>
      </iconSet>
    </cfRule>
  </conditionalFormatting>
  <conditionalFormatting sqref="Y741">
    <cfRule type="iconSet" priority="2975">
      <iconSet iconSet="3Arrows">
        <cfvo type="percent" val="0"/>
        <cfvo type="num" val="0.7"/>
        <cfvo type="num" val="1"/>
      </iconSet>
    </cfRule>
    <cfRule type="dataBar" priority="2976">
      <dataBar>
        <cfvo type="num" val="0"/>
        <cfvo type="num" val="1"/>
        <color theme="4" tint="0.79998168889431442"/>
      </dataBar>
      <extLst>
        <ext xmlns:x14="http://schemas.microsoft.com/office/spreadsheetml/2009/9/main" uri="{B025F937-C7B1-47D3-B67F-A62EFF666E3E}">
          <x14:id>{239B6A14-E8B0-498D-AE08-0F278FF0FC7B}</x14:id>
        </ext>
      </extLst>
    </cfRule>
  </conditionalFormatting>
  <conditionalFormatting sqref="Y743">
    <cfRule type="dataBar" priority="2974">
      <dataBar>
        <cfvo type="num" val="0"/>
        <cfvo type="num" val="1"/>
        <color theme="4" tint="0.79998168889431442"/>
      </dataBar>
      <extLst>
        <ext xmlns:x14="http://schemas.microsoft.com/office/spreadsheetml/2009/9/main" uri="{B025F937-C7B1-47D3-B67F-A62EFF666E3E}">
          <x14:id>{04B9F0B1-87AD-44D0-A763-F558469C14FF}</x14:id>
        </ext>
      </extLst>
    </cfRule>
    <cfRule type="iconSet" priority="2973">
      <iconSet iconSet="3Arrows">
        <cfvo type="percent" val="0"/>
        <cfvo type="num" val="0.7"/>
        <cfvo type="num" val="1"/>
      </iconSet>
    </cfRule>
  </conditionalFormatting>
  <conditionalFormatting sqref="Y745">
    <cfRule type="dataBar" priority="2972">
      <dataBar>
        <cfvo type="num" val="0"/>
        <cfvo type="num" val="1"/>
        <color theme="4" tint="0.79998168889431442"/>
      </dataBar>
      <extLst>
        <ext xmlns:x14="http://schemas.microsoft.com/office/spreadsheetml/2009/9/main" uri="{B025F937-C7B1-47D3-B67F-A62EFF666E3E}">
          <x14:id>{E5943EF3-42BF-4C99-BB9C-BDFFFB6BA043}</x14:id>
        </ext>
      </extLst>
    </cfRule>
    <cfRule type="iconSet" priority="2971">
      <iconSet iconSet="3Arrows">
        <cfvo type="percent" val="0"/>
        <cfvo type="num" val="0.7"/>
        <cfvo type="num" val="1"/>
      </iconSet>
    </cfRule>
  </conditionalFormatting>
  <conditionalFormatting sqref="Y747">
    <cfRule type="iconSet" priority="2969">
      <iconSet iconSet="3Arrows">
        <cfvo type="percent" val="0"/>
        <cfvo type="num" val="0.7"/>
        <cfvo type="num" val="1"/>
      </iconSet>
    </cfRule>
    <cfRule type="dataBar" priority="2970">
      <dataBar>
        <cfvo type="num" val="0"/>
        <cfvo type="num" val="1"/>
        <color theme="4" tint="0.79998168889431442"/>
      </dataBar>
      <extLst>
        <ext xmlns:x14="http://schemas.microsoft.com/office/spreadsheetml/2009/9/main" uri="{B025F937-C7B1-47D3-B67F-A62EFF666E3E}">
          <x14:id>{3D51640D-D8C3-4503-8517-FF2AA9641942}</x14:id>
        </ext>
      </extLst>
    </cfRule>
  </conditionalFormatting>
  <conditionalFormatting sqref="Y749">
    <cfRule type="dataBar" priority="2968">
      <dataBar>
        <cfvo type="num" val="0"/>
        <cfvo type="num" val="1"/>
        <color theme="4" tint="0.79998168889431442"/>
      </dataBar>
      <extLst>
        <ext xmlns:x14="http://schemas.microsoft.com/office/spreadsheetml/2009/9/main" uri="{B025F937-C7B1-47D3-B67F-A62EFF666E3E}">
          <x14:id>{7327B978-27D0-4973-AA2C-844E287D8FAD}</x14:id>
        </ext>
      </extLst>
    </cfRule>
    <cfRule type="iconSet" priority="2967">
      <iconSet iconSet="3Arrows">
        <cfvo type="percent" val="0"/>
        <cfvo type="num" val="0.7"/>
        <cfvo type="num" val="1"/>
      </iconSet>
    </cfRule>
  </conditionalFormatting>
  <conditionalFormatting sqref="Y751">
    <cfRule type="dataBar" priority="2966">
      <dataBar>
        <cfvo type="num" val="0"/>
        <cfvo type="num" val="1"/>
        <color theme="4" tint="0.79998168889431442"/>
      </dataBar>
      <extLst>
        <ext xmlns:x14="http://schemas.microsoft.com/office/spreadsheetml/2009/9/main" uri="{B025F937-C7B1-47D3-B67F-A62EFF666E3E}">
          <x14:id>{BC49330E-9871-4002-A515-6D072A8D0DDC}</x14:id>
        </ext>
      </extLst>
    </cfRule>
    <cfRule type="iconSet" priority="2965">
      <iconSet iconSet="3Arrows">
        <cfvo type="percent" val="0"/>
        <cfvo type="num" val="0.7"/>
        <cfvo type="num" val="1"/>
      </iconSet>
    </cfRule>
  </conditionalFormatting>
  <conditionalFormatting sqref="Y753">
    <cfRule type="iconSet" priority="2963">
      <iconSet iconSet="3Arrows">
        <cfvo type="percent" val="0"/>
        <cfvo type="num" val="0.7"/>
        <cfvo type="num" val="1"/>
      </iconSet>
    </cfRule>
    <cfRule type="dataBar" priority="2964">
      <dataBar>
        <cfvo type="num" val="0"/>
        <cfvo type="num" val="1"/>
        <color theme="4" tint="0.79998168889431442"/>
      </dataBar>
      <extLst>
        <ext xmlns:x14="http://schemas.microsoft.com/office/spreadsheetml/2009/9/main" uri="{B025F937-C7B1-47D3-B67F-A62EFF666E3E}">
          <x14:id>{7A3B1786-116C-4FC4-A45E-283257F9B787}</x14:id>
        </ext>
      </extLst>
    </cfRule>
  </conditionalFormatting>
  <conditionalFormatting sqref="Y755">
    <cfRule type="iconSet" priority="2961">
      <iconSet iconSet="3Arrows">
        <cfvo type="percent" val="0"/>
        <cfvo type="num" val="0.7"/>
        <cfvo type="num" val="1"/>
      </iconSet>
    </cfRule>
    <cfRule type="dataBar" priority="2962">
      <dataBar>
        <cfvo type="num" val="0"/>
        <cfvo type="num" val="1"/>
        <color theme="4" tint="0.79998168889431442"/>
      </dataBar>
      <extLst>
        <ext xmlns:x14="http://schemas.microsoft.com/office/spreadsheetml/2009/9/main" uri="{B025F937-C7B1-47D3-B67F-A62EFF666E3E}">
          <x14:id>{CD741D10-4049-47C3-944D-901ED09A6132}</x14:id>
        </ext>
      </extLst>
    </cfRule>
  </conditionalFormatting>
  <conditionalFormatting sqref="Y757">
    <cfRule type="dataBar" priority="2960">
      <dataBar>
        <cfvo type="num" val="0"/>
        <cfvo type="num" val="1"/>
        <color theme="4" tint="0.79998168889431442"/>
      </dataBar>
      <extLst>
        <ext xmlns:x14="http://schemas.microsoft.com/office/spreadsheetml/2009/9/main" uri="{B025F937-C7B1-47D3-B67F-A62EFF666E3E}">
          <x14:id>{C7DCB388-EFD5-4264-BE31-46EFEA33C837}</x14:id>
        </ext>
      </extLst>
    </cfRule>
    <cfRule type="iconSet" priority="2959">
      <iconSet iconSet="3Arrows">
        <cfvo type="percent" val="0"/>
        <cfvo type="num" val="0.7"/>
        <cfvo type="num" val="1"/>
      </iconSet>
    </cfRule>
  </conditionalFormatting>
  <conditionalFormatting sqref="Y759 Y518">
    <cfRule type="iconSet" priority="2957">
      <iconSet iconSet="3Arrows">
        <cfvo type="percent" val="0"/>
        <cfvo type="num" val="0.7"/>
        <cfvo type="num" val="1"/>
      </iconSet>
    </cfRule>
    <cfRule type="dataBar" priority="2958">
      <dataBar>
        <cfvo type="num" val="0"/>
        <cfvo type="num" val="1"/>
        <color theme="4" tint="0.79998168889431442"/>
      </dataBar>
      <extLst>
        <ext xmlns:x14="http://schemas.microsoft.com/office/spreadsheetml/2009/9/main" uri="{B025F937-C7B1-47D3-B67F-A62EFF666E3E}">
          <x14:id>{BB738394-B3BB-4219-893A-1E27FFDB6B47}</x14:id>
        </ext>
      </extLst>
    </cfRule>
  </conditionalFormatting>
  <conditionalFormatting sqref="Y761">
    <cfRule type="iconSet" priority="2955">
      <iconSet iconSet="3Arrows">
        <cfvo type="percent" val="0"/>
        <cfvo type="num" val="0.7"/>
        <cfvo type="num" val="1"/>
      </iconSet>
    </cfRule>
    <cfRule type="dataBar" priority="2956">
      <dataBar>
        <cfvo type="num" val="0"/>
        <cfvo type="num" val="1"/>
        <color theme="4" tint="0.79998168889431442"/>
      </dataBar>
      <extLst>
        <ext xmlns:x14="http://schemas.microsoft.com/office/spreadsheetml/2009/9/main" uri="{B025F937-C7B1-47D3-B67F-A62EFF666E3E}">
          <x14:id>{067E92A9-758B-4719-86E1-B807A00AFF84}</x14:id>
        </ext>
      </extLst>
    </cfRule>
  </conditionalFormatting>
  <conditionalFormatting sqref="Y763">
    <cfRule type="dataBar" priority="2954">
      <dataBar>
        <cfvo type="num" val="0"/>
        <cfvo type="num" val="1"/>
        <color theme="4" tint="0.79998168889431442"/>
      </dataBar>
      <extLst>
        <ext xmlns:x14="http://schemas.microsoft.com/office/spreadsheetml/2009/9/main" uri="{B025F937-C7B1-47D3-B67F-A62EFF666E3E}">
          <x14:id>{BD7853CB-49D5-45BE-AA77-F862797F6807}</x14:id>
        </ext>
      </extLst>
    </cfRule>
    <cfRule type="iconSet" priority="2953">
      <iconSet iconSet="3Arrows">
        <cfvo type="percent" val="0"/>
        <cfvo type="num" val="0.7"/>
        <cfvo type="num" val="1"/>
      </iconSet>
    </cfRule>
  </conditionalFormatting>
  <conditionalFormatting sqref="Y765">
    <cfRule type="dataBar" priority="2952">
      <dataBar>
        <cfvo type="num" val="0"/>
        <cfvo type="num" val="1"/>
        <color theme="4" tint="0.79998168889431442"/>
      </dataBar>
      <extLst>
        <ext xmlns:x14="http://schemas.microsoft.com/office/spreadsheetml/2009/9/main" uri="{B025F937-C7B1-47D3-B67F-A62EFF666E3E}">
          <x14:id>{BCF27BF2-B977-4242-AD13-A9CA11517F9D}</x14:id>
        </ext>
      </extLst>
    </cfRule>
    <cfRule type="iconSet" priority="2951">
      <iconSet iconSet="3Arrows">
        <cfvo type="percent" val="0"/>
        <cfvo type="num" val="0.7"/>
        <cfvo type="num" val="1"/>
      </iconSet>
    </cfRule>
  </conditionalFormatting>
  <conditionalFormatting sqref="Y767">
    <cfRule type="iconSet" priority="2949">
      <iconSet iconSet="3Arrows">
        <cfvo type="percent" val="0"/>
        <cfvo type="num" val="0.7"/>
        <cfvo type="num" val="1"/>
      </iconSet>
    </cfRule>
    <cfRule type="dataBar" priority="2950">
      <dataBar>
        <cfvo type="num" val="0"/>
        <cfvo type="num" val="1"/>
        <color theme="4" tint="0.79998168889431442"/>
      </dataBar>
      <extLst>
        <ext xmlns:x14="http://schemas.microsoft.com/office/spreadsheetml/2009/9/main" uri="{B025F937-C7B1-47D3-B67F-A62EFF666E3E}">
          <x14:id>{FB586CD1-34AF-4177-BEF5-0F4A0E3980BF}</x14:id>
        </ext>
      </extLst>
    </cfRule>
  </conditionalFormatting>
  <conditionalFormatting sqref="Y769">
    <cfRule type="iconSet" priority="2947">
      <iconSet iconSet="3Arrows">
        <cfvo type="percent" val="0"/>
        <cfvo type="num" val="0.7"/>
        <cfvo type="num" val="1"/>
      </iconSet>
    </cfRule>
    <cfRule type="dataBar" priority="2948">
      <dataBar>
        <cfvo type="num" val="0"/>
        <cfvo type="num" val="1"/>
        <color theme="4" tint="0.79998168889431442"/>
      </dataBar>
      <extLst>
        <ext xmlns:x14="http://schemas.microsoft.com/office/spreadsheetml/2009/9/main" uri="{B025F937-C7B1-47D3-B67F-A62EFF666E3E}">
          <x14:id>{9DDDE4EC-4B7F-4358-B836-37B3811208C3}</x14:id>
        </ext>
      </extLst>
    </cfRule>
  </conditionalFormatting>
  <conditionalFormatting sqref="Y771">
    <cfRule type="iconSet" priority="2945">
      <iconSet iconSet="3Arrows">
        <cfvo type="percent" val="0"/>
        <cfvo type="num" val="0.7"/>
        <cfvo type="num" val="1"/>
      </iconSet>
    </cfRule>
    <cfRule type="dataBar" priority="2946">
      <dataBar>
        <cfvo type="num" val="0"/>
        <cfvo type="num" val="1"/>
        <color theme="4" tint="0.79998168889431442"/>
      </dataBar>
      <extLst>
        <ext xmlns:x14="http://schemas.microsoft.com/office/spreadsheetml/2009/9/main" uri="{B025F937-C7B1-47D3-B67F-A62EFF666E3E}">
          <x14:id>{0B254AA7-A332-4EAE-88D3-A32446E93794}</x14:id>
        </ext>
      </extLst>
    </cfRule>
  </conditionalFormatting>
  <conditionalFormatting sqref="Y773">
    <cfRule type="iconSet" priority="2943">
      <iconSet iconSet="3Arrows">
        <cfvo type="percent" val="0"/>
        <cfvo type="num" val="0.7"/>
        <cfvo type="num" val="1"/>
      </iconSet>
    </cfRule>
    <cfRule type="dataBar" priority="2944">
      <dataBar>
        <cfvo type="num" val="0"/>
        <cfvo type="num" val="1"/>
        <color theme="4" tint="0.79998168889431442"/>
      </dataBar>
      <extLst>
        <ext xmlns:x14="http://schemas.microsoft.com/office/spreadsheetml/2009/9/main" uri="{B025F937-C7B1-47D3-B67F-A62EFF666E3E}">
          <x14:id>{E1760B1E-C748-447B-87E1-D21FA9067280}</x14:id>
        </ext>
      </extLst>
    </cfRule>
  </conditionalFormatting>
  <conditionalFormatting sqref="Y775">
    <cfRule type="iconSet" priority="2941">
      <iconSet iconSet="3Arrows">
        <cfvo type="percent" val="0"/>
        <cfvo type="num" val="0.7"/>
        <cfvo type="num" val="1"/>
      </iconSet>
    </cfRule>
    <cfRule type="dataBar" priority="2942">
      <dataBar>
        <cfvo type="num" val="0"/>
        <cfvo type="num" val="1"/>
        <color theme="4" tint="0.79998168889431442"/>
      </dataBar>
      <extLst>
        <ext xmlns:x14="http://schemas.microsoft.com/office/spreadsheetml/2009/9/main" uri="{B025F937-C7B1-47D3-B67F-A62EFF666E3E}">
          <x14:id>{BFACB7D1-DA65-4BC0-B8E8-D72C04A2FF85}</x14:id>
        </ext>
      </extLst>
    </cfRule>
  </conditionalFormatting>
  <conditionalFormatting sqref="Y777">
    <cfRule type="iconSet" priority="2939">
      <iconSet iconSet="3Arrows">
        <cfvo type="percent" val="0"/>
        <cfvo type="num" val="0.7"/>
        <cfvo type="num" val="1"/>
      </iconSet>
    </cfRule>
    <cfRule type="dataBar" priority="2940">
      <dataBar>
        <cfvo type="num" val="0"/>
        <cfvo type="num" val="1"/>
        <color theme="4" tint="0.79998168889431442"/>
      </dataBar>
      <extLst>
        <ext xmlns:x14="http://schemas.microsoft.com/office/spreadsheetml/2009/9/main" uri="{B025F937-C7B1-47D3-B67F-A62EFF666E3E}">
          <x14:id>{06EBC4B7-00A0-4B8E-B5C8-AA5D611261A1}</x14:id>
        </ext>
      </extLst>
    </cfRule>
  </conditionalFormatting>
  <conditionalFormatting sqref="Y781">
    <cfRule type="iconSet" priority="2937">
      <iconSet iconSet="3Arrows">
        <cfvo type="percent" val="0"/>
        <cfvo type="num" val="0.7"/>
        <cfvo type="num" val="1"/>
      </iconSet>
    </cfRule>
    <cfRule type="dataBar" priority="2938">
      <dataBar>
        <cfvo type="num" val="0"/>
        <cfvo type="num" val="1"/>
        <color theme="4" tint="0.79998168889431442"/>
      </dataBar>
      <extLst>
        <ext xmlns:x14="http://schemas.microsoft.com/office/spreadsheetml/2009/9/main" uri="{B025F937-C7B1-47D3-B67F-A62EFF666E3E}">
          <x14:id>{4704DDF4-714D-4CBA-AD4D-B0AA3C54366B}</x14:id>
        </ext>
      </extLst>
    </cfRule>
  </conditionalFormatting>
  <conditionalFormatting sqref="Y783">
    <cfRule type="dataBar" priority="2936">
      <dataBar>
        <cfvo type="num" val="0"/>
        <cfvo type="num" val="1"/>
        <color theme="4" tint="0.79998168889431442"/>
      </dataBar>
      <extLst>
        <ext xmlns:x14="http://schemas.microsoft.com/office/spreadsheetml/2009/9/main" uri="{B025F937-C7B1-47D3-B67F-A62EFF666E3E}">
          <x14:id>{07888A85-1E57-4899-9AF9-DEAD32B3226F}</x14:id>
        </ext>
      </extLst>
    </cfRule>
    <cfRule type="iconSet" priority="2935">
      <iconSet iconSet="3Arrows">
        <cfvo type="percent" val="0"/>
        <cfvo type="num" val="0.7"/>
        <cfvo type="num" val="1"/>
      </iconSet>
    </cfRule>
  </conditionalFormatting>
  <conditionalFormatting sqref="Y785">
    <cfRule type="iconSet" priority="2933">
      <iconSet iconSet="3Arrows">
        <cfvo type="percent" val="0"/>
        <cfvo type="num" val="0.7"/>
        <cfvo type="num" val="1"/>
      </iconSet>
    </cfRule>
    <cfRule type="dataBar" priority="2934">
      <dataBar>
        <cfvo type="num" val="0"/>
        <cfvo type="num" val="1"/>
        <color theme="4" tint="0.79998168889431442"/>
      </dataBar>
      <extLst>
        <ext xmlns:x14="http://schemas.microsoft.com/office/spreadsheetml/2009/9/main" uri="{B025F937-C7B1-47D3-B67F-A62EFF666E3E}">
          <x14:id>{8745F3A3-1FDA-4DA6-8D72-13B07DD7AD02}</x14:id>
        </ext>
      </extLst>
    </cfRule>
  </conditionalFormatting>
  <conditionalFormatting sqref="Y787">
    <cfRule type="dataBar" priority="2932">
      <dataBar>
        <cfvo type="num" val="0"/>
        <cfvo type="num" val="1"/>
        <color theme="4" tint="0.79998168889431442"/>
      </dataBar>
      <extLst>
        <ext xmlns:x14="http://schemas.microsoft.com/office/spreadsheetml/2009/9/main" uri="{B025F937-C7B1-47D3-B67F-A62EFF666E3E}">
          <x14:id>{C2A6B408-419F-4FB3-978C-B0D85A73D6FD}</x14:id>
        </ext>
      </extLst>
    </cfRule>
    <cfRule type="iconSet" priority="2931">
      <iconSet iconSet="3Arrows">
        <cfvo type="percent" val="0"/>
        <cfvo type="num" val="0.7"/>
        <cfvo type="num" val="1"/>
      </iconSet>
    </cfRule>
  </conditionalFormatting>
  <conditionalFormatting sqref="Y789">
    <cfRule type="dataBar" priority="2930">
      <dataBar>
        <cfvo type="num" val="0"/>
        <cfvo type="num" val="1"/>
        <color theme="4" tint="0.79998168889431442"/>
      </dataBar>
      <extLst>
        <ext xmlns:x14="http://schemas.microsoft.com/office/spreadsheetml/2009/9/main" uri="{B025F937-C7B1-47D3-B67F-A62EFF666E3E}">
          <x14:id>{5B358E9F-F7D1-4262-8A8A-FA0DC3303B07}</x14:id>
        </ext>
      </extLst>
    </cfRule>
    <cfRule type="iconSet" priority="2929">
      <iconSet iconSet="3Arrows">
        <cfvo type="percent" val="0"/>
        <cfvo type="num" val="0.7"/>
        <cfvo type="num" val="1"/>
      </iconSet>
    </cfRule>
  </conditionalFormatting>
  <conditionalFormatting sqref="Y791">
    <cfRule type="iconSet" priority="2927">
      <iconSet iconSet="3Arrows">
        <cfvo type="percent" val="0"/>
        <cfvo type="num" val="0.7"/>
        <cfvo type="num" val="1"/>
      </iconSet>
    </cfRule>
    <cfRule type="dataBar" priority="2928">
      <dataBar>
        <cfvo type="num" val="0"/>
        <cfvo type="num" val="1"/>
        <color theme="4" tint="0.79998168889431442"/>
      </dataBar>
      <extLst>
        <ext xmlns:x14="http://schemas.microsoft.com/office/spreadsheetml/2009/9/main" uri="{B025F937-C7B1-47D3-B67F-A62EFF666E3E}">
          <x14:id>{FCF0B105-6D39-4117-9253-F30701C6E394}</x14:id>
        </ext>
      </extLst>
    </cfRule>
  </conditionalFormatting>
  <conditionalFormatting sqref="Y793">
    <cfRule type="iconSet" priority="2925">
      <iconSet iconSet="3Arrows">
        <cfvo type="percent" val="0"/>
        <cfvo type="num" val="0.7"/>
        <cfvo type="num" val="1"/>
      </iconSet>
    </cfRule>
    <cfRule type="dataBar" priority="2926">
      <dataBar>
        <cfvo type="num" val="0"/>
        <cfvo type="num" val="1"/>
        <color theme="4" tint="0.79998168889431442"/>
      </dataBar>
      <extLst>
        <ext xmlns:x14="http://schemas.microsoft.com/office/spreadsheetml/2009/9/main" uri="{B025F937-C7B1-47D3-B67F-A62EFF666E3E}">
          <x14:id>{424DC756-5CBE-4675-8E79-F09B3BD4A2C5}</x14:id>
        </ext>
      </extLst>
    </cfRule>
  </conditionalFormatting>
  <conditionalFormatting sqref="Y795">
    <cfRule type="iconSet" priority="2923">
      <iconSet iconSet="3Arrows">
        <cfvo type="percent" val="0"/>
        <cfvo type="num" val="0.7"/>
        <cfvo type="num" val="1"/>
      </iconSet>
    </cfRule>
    <cfRule type="dataBar" priority="2924">
      <dataBar>
        <cfvo type="num" val="0"/>
        <cfvo type="num" val="1"/>
        <color theme="4" tint="0.79998168889431442"/>
      </dataBar>
      <extLst>
        <ext xmlns:x14="http://schemas.microsoft.com/office/spreadsheetml/2009/9/main" uri="{B025F937-C7B1-47D3-B67F-A62EFF666E3E}">
          <x14:id>{CF1F704E-CC21-4BFC-A75F-6F5938E10E32}</x14:id>
        </ext>
      </extLst>
    </cfRule>
  </conditionalFormatting>
  <conditionalFormatting sqref="Y797">
    <cfRule type="dataBar" priority="2922">
      <dataBar>
        <cfvo type="num" val="0"/>
        <cfvo type="num" val="1"/>
        <color theme="4" tint="0.79998168889431442"/>
      </dataBar>
      <extLst>
        <ext xmlns:x14="http://schemas.microsoft.com/office/spreadsheetml/2009/9/main" uri="{B025F937-C7B1-47D3-B67F-A62EFF666E3E}">
          <x14:id>{076E11BE-02EF-4B04-9D64-C772E7934076}</x14:id>
        </ext>
      </extLst>
    </cfRule>
    <cfRule type="iconSet" priority="2921">
      <iconSet iconSet="3Arrows">
        <cfvo type="percent" val="0"/>
        <cfvo type="num" val="0.7"/>
        <cfvo type="num" val="1"/>
      </iconSet>
    </cfRule>
  </conditionalFormatting>
  <conditionalFormatting sqref="Y799">
    <cfRule type="dataBar" priority="2920">
      <dataBar>
        <cfvo type="num" val="0"/>
        <cfvo type="num" val="1"/>
        <color theme="4" tint="0.79998168889431442"/>
      </dataBar>
      <extLst>
        <ext xmlns:x14="http://schemas.microsoft.com/office/spreadsheetml/2009/9/main" uri="{B025F937-C7B1-47D3-B67F-A62EFF666E3E}">
          <x14:id>{4A3F2B07-1420-4780-9A44-443F5FB1A850}</x14:id>
        </ext>
      </extLst>
    </cfRule>
    <cfRule type="iconSet" priority="2919">
      <iconSet iconSet="3Arrows">
        <cfvo type="percent" val="0"/>
        <cfvo type="num" val="0.7"/>
        <cfvo type="num" val="1"/>
      </iconSet>
    </cfRule>
  </conditionalFormatting>
  <conditionalFormatting sqref="Y801">
    <cfRule type="dataBar" priority="2918">
      <dataBar>
        <cfvo type="num" val="0"/>
        <cfvo type="num" val="1"/>
        <color theme="4" tint="0.79998168889431442"/>
      </dataBar>
      <extLst>
        <ext xmlns:x14="http://schemas.microsoft.com/office/spreadsheetml/2009/9/main" uri="{B025F937-C7B1-47D3-B67F-A62EFF666E3E}">
          <x14:id>{D8180A4B-94CA-45CC-BF68-47816069F5A1}</x14:id>
        </ext>
      </extLst>
    </cfRule>
    <cfRule type="iconSet" priority="2917">
      <iconSet iconSet="3Arrows">
        <cfvo type="percent" val="0"/>
        <cfvo type="num" val="0.7"/>
        <cfvo type="num" val="1"/>
      </iconSet>
    </cfRule>
  </conditionalFormatting>
  <conditionalFormatting sqref="Y803">
    <cfRule type="dataBar" priority="2916">
      <dataBar>
        <cfvo type="num" val="0"/>
        <cfvo type="num" val="1"/>
        <color theme="4" tint="0.79998168889431442"/>
      </dataBar>
      <extLst>
        <ext xmlns:x14="http://schemas.microsoft.com/office/spreadsheetml/2009/9/main" uri="{B025F937-C7B1-47D3-B67F-A62EFF666E3E}">
          <x14:id>{B90EE2D8-8790-4AC2-9AA1-15755F9433B8}</x14:id>
        </ext>
      </extLst>
    </cfRule>
    <cfRule type="iconSet" priority="2915">
      <iconSet iconSet="3Arrows">
        <cfvo type="percent" val="0"/>
        <cfvo type="num" val="0.7"/>
        <cfvo type="num" val="1"/>
      </iconSet>
    </cfRule>
  </conditionalFormatting>
  <conditionalFormatting sqref="Y805">
    <cfRule type="dataBar" priority="2914">
      <dataBar>
        <cfvo type="num" val="0"/>
        <cfvo type="num" val="1"/>
        <color theme="4" tint="0.79998168889431442"/>
      </dataBar>
      <extLst>
        <ext xmlns:x14="http://schemas.microsoft.com/office/spreadsheetml/2009/9/main" uri="{B025F937-C7B1-47D3-B67F-A62EFF666E3E}">
          <x14:id>{94DAFCCB-F463-441C-8978-DC1A598CAE0F}</x14:id>
        </ext>
      </extLst>
    </cfRule>
    <cfRule type="iconSet" priority="2913">
      <iconSet iconSet="3Arrows">
        <cfvo type="percent" val="0"/>
        <cfvo type="num" val="0.7"/>
        <cfvo type="num" val="1"/>
      </iconSet>
    </cfRule>
  </conditionalFormatting>
  <conditionalFormatting sqref="Y807">
    <cfRule type="dataBar" priority="2912">
      <dataBar>
        <cfvo type="num" val="0"/>
        <cfvo type="num" val="1"/>
        <color theme="4" tint="0.79998168889431442"/>
      </dataBar>
      <extLst>
        <ext xmlns:x14="http://schemas.microsoft.com/office/spreadsheetml/2009/9/main" uri="{B025F937-C7B1-47D3-B67F-A62EFF666E3E}">
          <x14:id>{5DA9C883-AE01-4D84-A28A-63D37AB4A5E4}</x14:id>
        </ext>
      </extLst>
    </cfRule>
    <cfRule type="iconSet" priority="2911">
      <iconSet iconSet="3Arrows">
        <cfvo type="percent" val="0"/>
        <cfvo type="num" val="0.7"/>
        <cfvo type="num" val="1"/>
      </iconSet>
    </cfRule>
  </conditionalFormatting>
  <conditionalFormatting sqref="Y809">
    <cfRule type="dataBar" priority="2910">
      <dataBar>
        <cfvo type="num" val="0"/>
        <cfvo type="num" val="1"/>
        <color theme="4" tint="0.79998168889431442"/>
      </dataBar>
      <extLst>
        <ext xmlns:x14="http://schemas.microsoft.com/office/spreadsheetml/2009/9/main" uri="{B025F937-C7B1-47D3-B67F-A62EFF666E3E}">
          <x14:id>{2EAB8D36-46CF-4F23-8D64-71ED8D1FDC6B}</x14:id>
        </ext>
      </extLst>
    </cfRule>
    <cfRule type="iconSet" priority="2909">
      <iconSet iconSet="3Arrows">
        <cfvo type="percent" val="0"/>
        <cfvo type="num" val="0.7"/>
        <cfvo type="num" val="1"/>
      </iconSet>
    </cfRule>
  </conditionalFormatting>
  <conditionalFormatting sqref="Y811">
    <cfRule type="iconSet" priority="2907">
      <iconSet iconSet="3Arrows">
        <cfvo type="percent" val="0"/>
        <cfvo type="num" val="0.7"/>
        <cfvo type="num" val="1"/>
      </iconSet>
    </cfRule>
    <cfRule type="dataBar" priority="2908">
      <dataBar>
        <cfvo type="num" val="0"/>
        <cfvo type="num" val="1"/>
        <color theme="4" tint="0.79998168889431442"/>
      </dataBar>
      <extLst>
        <ext xmlns:x14="http://schemas.microsoft.com/office/spreadsheetml/2009/9/main" uri="{B025F937-C7B1-47D3-B67F-A62EFF666E3E}">
          <x14:id>{B370B782-43C2-4CC2-8FB5-71CF530B731C}</x14:id>
        </ext>
      </extLst>
    </cfRule>
  </conditionalFormatting>
  <conditionalFormatting sqref="Y813">
    <cfRule type="iconSet" priority="2905">
      <iconSet iconSet="3Arrows">
        <cfvo type="percent" val="0"/>
        <cfvo type="num" val="0.7"/>
        <cfvo type="num" val="1"/>
      </iconSet>
    </cfRule>
    <cfRule type="dataBar" priority="2906">
      <dataBar>
        <cfvo type="num" val="0"/>
        <cfvo type="num" val="1"/>
        <color theme="4" tint="0.79998168889431442"/>
      </dataBar>
      <extLst>
        <ext xmlns:x14="http://schemas.microsoft.com/office/spreadsheetml/2009/9/main" uri="{B025F937-C7B1-47D3-B67F-A62EFF666E3E}">
          <x14:id>{EF8FC9DD-C8EF-47B1-B66C-6739EF2EED2A}</x14:id>
        </ext>
      </extLst>
    </cfRule>
  </conditionalFormatting>
  <conditionalFormatting sqref="Y815">
    <cfRule type="iconSet" priority="2903">
      <iconSet iconSet="3Arrows">
        <cfvo type="percent" val="0"/>
        <cfvo type="num" val="0.7"/>
        <cfvo type="num" val="1"/>
      </iconSet>
    </cfRule>
    <cfRule type="dataBar" priority="2904">
      <dataBar>
        <cfvo type="num" val="0"/>
        <cfvo type="num" val="1"/>
        <color theme="4" tint="0.79998168889431442"/>
      </dataBar>
      <extLst>
        <ext xmlns:x14="http://schemas.microsoft.com/office/spreadsheetml/2009/9/main" uri="{B025F937-C7B1-47D3-B67F-A62EFF666E3E}">
          <x14:id>{2DD30C69-180C-4357-97F9-CF6BB6B98892}</x14:id>
        </ext>
      </extLst>
    </cfRule>
  </conditionalFormatting>
  <conditionalFormatting sqref="Y817">
    <cfRule type="iconSet" priority="2901">
      <iconSet iconSet="3Arrows">
        <cfvo type="percent" val="0"/>
        <cfvo type="num" val="0.7"/>
        <cfvo type="num" val="1"/>
      </iconSet>
    </cfRule>
    <cfRule type="dataBar" priority="2902">
      <dataBar>
        <cfvo type="num" val="0"/>
        <cfvo type="num" val="1"/>
        <color theme="4" tint="0.79998168889431442"/>
      </dataBar>
      <extLst>
        <ext xmlns:x14="http://schemas.microsoft.com/office/spreadsheetml/2009/9/main" uri="{B025F937-C7B1-47D3-B67F-A62EFF666E3E}">
          <x14:id>{A3658495-FCFD-4F30-A167-CC382F26D629}</x14:id>
        </ext>
      </extLst>
    </cfRule>
  </conditionalFormatting>
  <conditionalFormatting sqref="Y819">
    <cfRule type="iconSet" priority="2899">
      <iconSet iconSet="3Arrows">
        <cfvo type="percent" val="0"/>
        <cfvo type="num" val="0.7"/>
        <cfvo type="num" val="1"/>
      </iconSet>
    </cfRule>
    <cfRule type="dataBar" priority="2900">
      <dataBar>
        <cfvo type="num" val="0"/>
        <cfvo type="num" val="1"/>
        <color theme="4" tint="0.79998168889431442"/>
      </dataBar>
      <extLst>
        <ext xmlns:x14="http://schemas.microsoft.com/office/spreadsheetml/2009/9/main" uri="{B025F937-C7B1-47D3-B67F-A62EFF666E3E}">
          <x14:id>{BB654586-D067-4FBB-8F4F-1EBCCB5123A0}</x14:id>
        </ext>
      </extLst>
    </cfRule>
  </conditionalFormatting>
  <conditionalFormatting sqref="Y821">
    <cfRule type="iconSet" priority="2897">
      <iconSet iconSet="3Arrows">
        <cfvo type="percent" val="0"/>
        <cfvo type="num" val="0.7"/>
        <cfvo type="num" val="1"/>
      </iconSet>
    </cfRule>
    <cfRule type="dataBar" priority="2898">
      <dataBar>
        <cfvo type="num" val="0"/>
        <cfvo type="num" val="1"/>
        <color theme="4" tint="0.79998168889431442"/>
      </dataBar>
      <extLst>
        <ext xmlns:x14="http://schemas.microsoft.com/office/spreadsheetml/2009/9/main" uri="{B025F937-C7B1-47D3-B67F-A62EFF666E3E}">
          <x14:id>{D1E5F561-9987-4B60-8058-23CC78665F0D}</x14:id>
        </ext>
      </extLst>
    </cfRule>
  </conditionalFormatting>
  <conditionalFormatting sqref="Y823">
    <cfRule type="iconSet" priority="2895">
      <iconSet iconSet="3Arrows">
        <cfvo type="percent" val="0"/>
        <cfvo type="num" val="0.7"/>
        <cfvo type="num" val="1"/>
      </iconSet>
    </cfRule>
    <cfRule type="dataBar" priority="2896">
      <dataBar>
        <cfvo type="num" val="0"/>
        <cfvo type="num" val="1"/>
        <color theme="4" tint="0.79998168889431442"/>
      </dataBar>
      <extLst>
        <ext xmlns:x14="http://schemas.microsoft.com/office/spreadsheetml/2009/9/main" uri="{B025F937-C7B1-47D3-B67F-A62EFF666E3E}">
          <x14:id>{AD450A2C-1970-4C02-AFA6-78043F0FE16C}</x14:id>
        </ext>
      </extLst>
    </cfRule>
  </conditionalFormatting>
  <conditionalFormatting sqref="Y825">
    <cfRule type="iconSet" priority="2893">
      <iconSet iconSet="3Arrows">
        <cfvo type="percent" val="0"/>
        <cfvo type="num" val="0.7"/>
        <cfvo type="num" val="1"/>
      </iconSet>
    </cfRule>
    <cfRule type="dataBar" priority="2894">
      <dataBar>
        <cfvo type="num" val="0"/>
        <cfvo type="num" val="1"/>
        <color theme="4" tint="0.79998168889431442"/>
      </dataBar>
      <extLst>
        <ext xmlns:x14="http://schemas.microsoft.com/office/spreadsheetml/2009/9/main" uri="{B025F937-C7B1-47D3-B67F-A62EFF666E3E}">
          <x14:id>{43E2DBE6-5FAB-4231-9B36-D712058AD17E}</x14:id>
        </ext>
      </extLst>
    </cfRule>
  </conditionalFormatting>
  <conditionalFormatting sqref="Y827">
    <cfRule type="iconSet" priority="2891">
      <iconSet iconSet="3Arrows">
        <cfvo type="percent" val="0"/>
        <cfvo type="num" val="0.7"/>
        <cfvo type="num" val="1"/>
      </iconSet>
    </cfRule>
    <cfRule type="dataBar" priority="2892">
      <dataBar>
        <cfvo type="num" val="0"/>
        <cfvo type="num" val="1"/>
        <color theme="4" tint="0.79998168889431442"/>
      </dataBar>
      <extLst>
        <ext xmlns:x14="http://schemas.microsoft.com/office/spreadsheetml/2009/9/main" uri="{B025F937-C7B1-47D3-B67F-A62EFF666E3E}">
          <x14:id>{A3463E83-55C1-40B9-8422-54F1AD118B3D}</x14:id>
        </ext>
      </extLst>
    </cfRule>
  </conditionalFormatting>
  <conditionalFormatting sqref="Y829">
    <cfRule type="dataBar" priority="2890">
      <dataBar>
        <cfvo type="num" val="0"/>
        <cfvo type="num" val="1"/>
        <color theme="4" tint="0.79998168889431442"/>
      </dataBar>
      <extLst>
        <ext xmlns:x14="http://schemas.microsoft.com/office/spreadsheetml/2009/9/main" uri="{B025F937-C7B1-47D3-B67F-A62EFF666E3E}">
          <x14:id>{73D01A3A-3D78-424E-91E8-60F9C4A09B4C}</x14:id>
        </ext>
      </extLst>
    </cfRule>
    <cfRule type="iconSet" priority="2889">
      <iconSet iconSet="3Arrows">
        <cfvo type="percent" val="0"/>
        <cfvo type="num" val="0.7"/>
        <cfvo type="num" val="1"/>
      </iconSet>
    </cfRule>
  </conditionalFormatting>
  <conditionalFormatting sqref="Y831">
    <cfRule type="dataBar" priority="2888">
      <dataBar>
        <cfvo type="num" val="0"/>
        <cfvo type="num" val="1"/>
        <color theme="4" tint="0.79998168889431442"/>
      </dataBar>
      <extLst>
        <ext xmlns:x14="http://schemas.microsoft.com/office/spreadsheetml/2009/9/main" uri="{B025F937-C7B1-47D3-B67F-A62EFF666E3E}">
          <x14:id>{04836EEF-7140-401B-8D0F-4D1DE9C8AFB8}</x14:id>
        </ext>
      </extLst>
    </cfRule>
    <cfRule type="iconSet" priority="2887">
      <iconSet iconSet="3Arrows">
        <cfvo type="percent" val="0"/>
        <cfvo type="num" val="0.7"/>
        <cfvo type="num" val="1"/>
      </iconSet>
    </cfRule>
  </conditionalFormatting>
  <conditionalFormatting sqref="Y833">
    <cfRule type="iconSet" priority="2885">
      <iconSet iconSet="3Arrows">
        <cfvo type="percent" val="0"/>
        <cfvo type="num" val="0.7"/>
        <cfvo type="num" val="1"/>
      </iconSet>
    </cfRule>
    <cfRule type="dataBar" priority="2886">
      <dataBar>
        <cfvo type="num" val="0"/>
        <cfvo type="num" val="1"/>
        <color theme="4" tint="0.79998168889431442"/>
      </dataBar>
      <extLst>
        <ext xmlns:x14="http://schemas.microsoft.com/office/spreadsheetml/2009/9/main" uri="{B025F937-C7B1-47D3-B67F-A62EFF666E3E}">
          <x14:id>{4014997F-BC3C-43FC-A13F-0B83FDE1AD5F}</x14:id>
        </ext>
      </extLst>
    </cfRule>
  </conditionalFormatting>
  <conditionalFormatting sqref="Y835">
    <cfRule type="dataBar" priority="2884">
      <dataBar>
        <cfvo type="num" val="0"/>
        <cfvo type="num" val="1"/>
        <color theme="4" tint="0.79998168889431442"/>
      </dataBar>
      <extLst>
        <ext xmlns:x14="http://schemas.microsoft.com/office/spreadsheetml/2009/9/main" uri="{B025F937-C7B1-47D3-B67F-A62EFF666E3E}">
          <x14:id>{4FAAF0D9-2A44-44A1-AD24-8810483EF9B8}</x14:id>
        </ext>
      </extLst>
    </cfRule>
    <cfRule type="iconSet" priority="2883">
      <iconSet iconSet="3Arrows">
        <cfvo type="percent" val="0"/>
        <cfvo type="num" val="0.7"/>
        <cfvo type="num" val="1"/>
      </iconSet>
    </cfRule>
  </conditionalFormatting>
  <conditionalFormatting sqref="Y837">
    <cfRule type="dataBar" priority="2882">
      <dataBar>
        <cfvo type="num" val="0"/>
        <cfvo type="num" val="1"/>
        <color theme="4" tint="0.79998168889431442"/>
      </dataBar>
      <extLst>
        <ext xmlns:x14="http://schemas.microsoft.com/office/spreadsheetml/2009/9/main" uri="{B025F937-C7B1-47D3-B67F-A62EFF666E3E}">
          <x14:id>{81F9AA87-82F2-46BD-A6B5-793021F2050D}</x14:id>
        </ext>
      </extLst>
    </cfRule>
    <cfRule type="iconSet" priority="2881">
      <iconSet iconSet="3Arrows">
        <cfvo type="percent" val="0"/>
        <cfvo type="num" val="0.7"/>
        <cfvo type="num" val="1"/>
      </iconSet>
    </cfRule>
  </conditionalFormatting>
  <conditionalFormatting sqref="Y839">
    <cfRule type="dataBar" priority="2880">
      <dataBar>
        <cfvo type="num" val="0"/>
        <cfvo type="num" val="1"/>
        <color theme="4" tint="0.79998168889431442"/>
      </dataBar>
      <extLst>
        <ext xmlns:x14="http://schemas.microsoft.com/office/spreadsheetml/2009/9/main" uri="{B025F937-C7B1-47D3-B67F-A62EFF666E3E}">
          <x14:id>{2ACFAA2F-598B-4E45-B33A-72D53305068F}</x14:id>
        </ext>
      </extLst>
    </cfRule>
    <cfRule type="iconSet" priority="2879">
      <iconSet iconSet="3Arrows">
        <cfvo type="percent" val="0"/>
        <cfvo type="num" val="0.7"/>
        <cfvo type="num" val="1"/>
      </iconSet>
    </cfRule>
  </conditionalFormatting>
  <conditionalFormatting sqref="Y841">
    <cfRule type="dataBar" priority="2878">
      <dataBar>
        <cfvo type="num" val="0"/>
        <cfvo type="num" val="1"/>
        <color theme="4" tint="0.79998168889431442"/>
      </dataBar>
      <extLst>
        <ext xmlns:x14="http://schemas.microsoft.com/office/spreadsheetml/2009/9/main" uri="{B025F937-C7B1-47D3-B67F-A62EFF666E3E}">
          <x14:id>{08919B27-B707-4565-B0B5-4D392463A5E9}</x14:id>
        </ext>
      </extLst>
    </cfRule>
    <cfRule type="iconSet" priority="2877">
      <iconSet iconSet="3Arrows">
        <cfvo type="percent" val="0"/>
        <cfvo type="num" val="0.7"/>
        <cfvo type="num" val="1"/>
      </iconSet>
    </cfRule>
  </conditionalFormatting>
  <conditionalFormatting sqref="Y843">
    <cfRule type="dataBar" priority="2876">
      <dataBar>
        <cfvo type="num" val="0"/>
        <cfvo type="num" val="1"/>
        <color theme="4" tint="0.79998168889431442"/>
      </dataBar>
      <extLst>
        <ext xmlns:x14="http://schemas.microsoft.com/office/spreadsheetml/2009/9/main" uri="{B025F937-C7B1-47D3-B67F-A62EFF666E3E}">
          <x14:id>{256C21F8-2F01-417F-A021-17C0018123BA}</x14:id>
        </ext>
      </extLst>
    </cfRule>
    <cfRule type="iconSet" priority="2875">
      <iconSet iconSet="3Arrows">
        <cfvo type="percent" val="0"/>
        <cfvo type="num" val="0.7"/>
        <cfvo type="num" val="1"/>
      </iconSet>
    </cfRule>
  </conditionalFormatting>
  <conditionalFormatting sqref="Y845">
    <cfRule type="dataBar" priority="2874">
      <dataBar>
        <cfvo type="num" val="0"/>
        <cfvo type="num" val="1"/>
        <color theme="4" tint="0.79998168889431442"/>
      </dataBar>
      <extLst>
        <ext xmlns:x14="http://schemas.microsoft.com/office/spreadsheetml/2009/9/main" uri="{B025F937-C7B1-47D3-B67F-A62EFF666E3E}">
          <x14:id>{99BA734D-C508-4FD1-94E3-910CE8701102}</x14:id>
        </ext>
      </extLst>
    </cfRule>
    <cfRule type="iconSet" priority="2873">
      <iconSet iconSet="3Arrows">
        <cfvo type="percent" val="0"/>
        <cfvo type="num" val="0.7"/>
        <cfvo type="num" val="1"/>
      </iconSet>
    </cfRule>
  </conditionalFormatting>
  <conditionalFormatting sqref="Y848">
    <cfRule type="iconSet" priority="2871">
      <iconSet iconSet="3Arrows">
        <cfvo type="percent" val="0"/>
        <cfvo type="num" val="0.7"/>
        <cfvo type="num" val="1"/>
      </iconSet>
    </cfRule>
    <cfRule type="dataBar" priority="2872">
      <dataBar>
        <cfvo type="num" val="0"/>
        <cfvo type="num" val="1"/>
        <color theme="4" tint="0.79998168889431442"/>
      </dataBar>
      <extLst>
        <ext xmlns:x14="http://schemas.microsoft.com/office/spreadsheetml/2009/9/main" uri="{B025F937-C7B1-47D3-B67F-A62EFF666E3E}">
          <x14:id>{D739C539-5668-416A-9F3D-FB474E0584B0}</x14:id>
        </ext>
      </extLst>
    </cfRule>
  </conditionalFormatting>
  <conditionalFormatting sqref="Y851">
    <cfRule type="dataBar" priority="2870">
      <dataBar>
        <cfvo type="num" val="0"/>
        <cfvo type="num" val="1"/>
        <color theme="4" tint="0.79998168889431442"/>
      </dataBar>
      <extLst>
        <ext xmlns:x14="http://schemas.microsoft.com/office/spreadsheetml/2009/9/main" uri="{B025F937-C7B1-47D3-B67F-A62EFF666E3E}">
          <x14:id>{7C9F3E81-83BF-46C0-B4F5-159781A385B4}</x14:id>
        </ext>
      </extLst>
    </cfRule>
    <cfRule type="iconSet" priority="2869">
      <iconSet iconSet="3Arrows">
        <cfvo type="percent" val="0"/>
        <cfvo type="num" val="0.7"/>
        <cfvo type="num" val="1"/>
      </iconSet>
    </cfRule>
  </conditionalFormatting>
  <conditionalFormatting sqref="Y853">
    <cfRule type="dataBar" priority="2868">
      <dataBar>
        <cfvo type="num" val="0"/>
        <cfvo type="num" val="1"/>
        <color theme="4" tint="0.79998168889431442"/>
      </dataBar>
      <extLst>
        <ext xmlns:x14="http://schemas.microsoft.com/office/spreadsheetml/2009/9/main" uri="{B025F937-C7B1-47D3-B67F-A62EFF666E3E}">
          <x14:id>{FD53EE5E-357E-4C05-ACF5-5CB00268A2E3}</x14:id>
        </ext>
      </extLst>
    </cfRule>
    <cfRule type="iconSet" priority="2867">
      <iconSet iconSet="3Arrows">
        <cfvo type="percent" val="0"/>
        <cfvo type="num" val="0.7"/>
        <cfvo type="num" val="1"/>
      </iconSet>
    </cfRule>
  </conditionalFormatting>
  <conditionalFormatting sqref="Y855">
    <cfRule type="dataBar" priority="2866">
      <dataBar>
        <cfvo type="num" val="0"/>
        <cfvo type="num" val="1"/>
        <color theme="4" tint="0.79998168889431442"/>
      </dataBar>
      <extLst>
        <ext xmlns:x14="http://schemas.microsoft.com/office/spreadsheetml/2009/9/main" uri="{B025F937-C7B1-47D3-B67F-A62EFF666E3E}">
          <x14:id>{58E3F1CF-E9D8-4EEE-BF11-B60A3288DDAF}</x14:id>
        </ext>
      </extLst>
    </cfRule>
    <cfRule type="iconSet" priority="2865">
      <iconSet iconSet="3Arrows">
        <cfvo type="percent" val="0"/>
        <cfvo type="num" val="0.7"/>
        <cfvo type="num" val="1"/>
      </iconSet>
    </cfRule>
  </conditionalFormatting>
  <conditionalFormatting sqref="Y857">
    <cfRule type="dataBar" priority="2864">
      <dataBar>
        <cfvo type="num" val="0"/>
        <cfvo type="num" val="1"/>
        <color theme="4" tint="0.79998168889431442"/>
      </dataBar>
      <extLst>
        <ext xmlns:x14="http://schemas.microsoft.com/office/spreadsheetml/2009/9/main" uri="{B025F937-C7B1-47D3-B67F-A62EFF666E3E}">
          <x14:id>{077D5164-AAE2-4F0F-A931-5BE9BEB7C82F}</x14:id>
        </ext>
      </extLst>
    </cfRule>
    <cfRule type="iconSet" priority="2863">
      <iconSet iconSet="3Arrows">
        <cfvo type="percent" val="0"/>
        <cfvo type="num" val="0.7"/>
        <cfvo type="num" val="1"/>
      </iconSet>
    </cfRule>
  </conditionalFormatting>
  <conditionalFormatting sqref="Y859 Y861 Y863 Y865 Y867 Y869">
    <cfRule type="iconSet" priority="2861">
      <iconSet iconSet="3Arrows">
        <cfvo type="percent" val="0"/>
        <cfvo type="num" val="0.7"/>
        <cfvo type="num" val="1"/>
      </iconSet>
    </cfRule>
    <cfRule type="dataBar" priority="2862">
      <dataBar>
        <cfvo type="num" val="0"/>
        <cfvo type="num" val="1"/>
        <color theme="4" tint="0.79998168889431442"/>
      </dataBar>
      <extLst>
        <ext xmlns:x14="http://schemas.microsoft.com/office/spreadsheetml/2009/9/main" uri="{B025F937-C7B1-47D3-B67F-A62EFF666E3E}">
          <x14:id>{454F8241-E58B-4CF7-8360-79AD613C1233}</x14:id>
        </ext>
      </extLst>
    </cfRule>
  </conditionalFormatting>
  <conditionalFormatting sqref="Y871 Y873 Y875 Y877 Y879">
    <cfRule type="iconSet" priority="2859">
      <iconSet iconSet="3Arrows">
        <cfvo type="percent" val="0"/>
        <cfvo type="num" val="0.7"/>
        <cfvo type="num" val="1"/>
      </iconSet>
    </cfRule>
    <cfRule type="dataBar" priority="2860">
      <dataBar>
        <cfvo type="num" val="0"/>
        <cfvo type="num" val="1"/>
        <color theme="4" tint="0.79998168889431442"/>
      </dataBar>
      <extLst>
        <ext xmlns:x14="http://schemas.microsoft.com/office/spreadsheetml/2009/9/main" uri="{B025F937-C7B1-47D3-B67F-A62EFF666E3E}">
          <x14:id>{35562234-EC37-4512-93BE-DB6939FA3119}</x14:id>
        </ext>
      </extLst>
    </cfRule>
  </conditionalFormatting>
  <conditionalFormatting sqref="Y881">
    <cfRule type="dataBar" priority="2858">
      <dataBar>
        <cfvo type="num" val="0"/>
        <cfvo type="num" val="1"/>
        <color theme="4" tint="0.79998168889431442"/>
      </dataBar>
      <extLst>
        <ext xmlns:x14="http://schemas.microsoft.com/office/spreadsheetml/2009/9/main" uri="{B025F937-C7B1-47D3-B67F-A62EFF666E3E}">
          <x14:id>{D7779B75-BDB0-4A60-9E76-F5D2452D0E91}</x14:id>
        </ext>
      </extLst>
    </cfRule>
    <cfRule type="iconSet" priority="2857">
      <iconSet iconSet="3Arrows">
        <cfvo type="percent" val="0"/>
        <cfvo type="num" val="0.7"/>
        <cfvo type="num" val="1"/>
      </iconSet>
    </cfRule>
  </conditionalFormatting>
  <conditionalFormatting sqref="Y883">
    <cfRule type="dataBar" priority="2856">
      <dataBar>
        <cfvo type="num" val="0"/>
        <cfvo type="num" val="1"/>
        <color theme="4" tint="0.79998168889431442"/>
      </dataBar>
      <extLst>
        <ext xmlns:x14="http://schemas.microsoft.com/office/spreadsheetml/2009/9/main" uri="{B025F937-C7B1-47D3-B67F-A62EFF666E3E}">
          <x14:id>{26377A2D-B661-4A09-B042-650038AC2DA8}</x14:id>
        </ext>
      </extLst>
    </cfRule>
    <cfRule type="iconSet" priority="2855">
      <iconSet iconSet="3Arrows">
        <cfvo type="percent" val="0"/>
        <cfvo type="num" val="0.7"/>
        <cfvo type="num" val="1"/>
      </iconSet>
    </cfRule>
  </conditionalFormatting>
  <conditionalFormatting sqref="Y886">
    <cfRule type="dataBar" priority="2854">
      <dataBar>
        <cfvo type="num" val="0"/>
        <cfvo type="num" val="1"/>
        <color theme="4" tint="0.79998168889431442"/>
      </dataBar>
      <extLst>
        <ext xmlns:x14="http://schemas.microsoft.com/office/spreadsheetml/2009/9/main" uri="{B025F937-C7B1-47D3-B67F-A62EFF666E3E}">
          <x14:id>{F54D053D-4BA1-4AC1-AD21-C30504043595}</x14:id>
        </ext>
      </extLst>
    </cfRule>
    <cfRule type="iconSet" priority="2853">
      <iconSet iconSet="3Arrows">
        <cfvo type="percent" val="0"/>
        <cfvo type="num" val="0.7"/>
        <cfvo type="num" val="1"/>
      </iconSet>
    </cfRule>
  </conditionalFormatting>
  <conditionalFormatting sqref="Y888">
    <cfRule type="dataBar" priority="2852">
      <dataBar>
        <cfvo type="num" val="0"/>
        <cfvo type="num" val="1"/>
        <color theme="4" tint="0.79998168889431442"/>
      </dataBar>
      <extLst>
        <ext xmlns:x14="http://schemas.microsoft.com/office/spreadsheetml/2009/9/main" uri="{B025F937-C7B1-47D3-B67F-A62EFF666E3E}">
          <x14:id>{F1A457E3-F633-4718-9E19-47B42A9AFACB}</x14:id>
        </ext>
      </extLst>
    </cfRule>
    <cfRule type="iconSet" priority="2851">
      <iconSet iconSet="3Arrows">
        <cfvo type="percent" val="0"/>
        <cfvo type="num" val="0.7"/>
        <cfvo type="num" val="1"/>
      </iconSet>
    </cfRule>
  </conditionalFormatting>
  <conditionalFormatting sqref="Y890 Y892">
    <cfRule type="dataBar" priority="2850">
      <dataBar>
        <cfvo type="num" val="0"/>
        <cfvo type="num" val="1"/>
        <color theme="4" tint="0.79998168889431442"/>
      </dataBar>
      <extLst>
        <ext xmlns:x14="http://schemas.microsoft.com/office/spreadsheetml/2009/9/main" uri="{B025F937-C7B1-47D3-B67F-A62EFF666E3E}">
          <x14:id>{72ED4B87-4930-4BD3-9D54-E51096AAC115}</x14:id>
        </ext>
      </extLst>
    </cfRule>
    <cfRule type="iconSet" priority="2849">
      <iconSet iconSet="3Arrows">
        <cfvo type="percent" val="0"/>
        <cfvo type="num" val="0.7"/>
        <cfvo type="num" val="1"/>
      </iconSet>
    </cfRule>
  </conditionalFormatting>
  <conditionalFormatting sqref="Y894">
    <cfRule type="dataBar" priority="2848">
      <dataBar>
        <cfvo type="num" val="0"/>
        <cfvo type="num" val="1"/>
        <color theme="4" tint="0.79998168889431442"/>
      </dataBar>
      <extLst>
        <ext xmlns:x14="http://schemas.microsoft.com/office/spreadsheetml/2009/9/main" uri="{B025F937-C7B1-47D3-B67F-A62EFF666E3E}">
          <x14:id>{2A818B56-D713-4AF0-A7DC-4429189077F5}</x14:id>
        </ext>
      </extLst>
    </cfRule>
    <cfRule type="iconSet" priority="2847">
      <iconSet iconSet="3Arrows">
        <cfvo type="percent" val="0"/>
        <cfvo type="num" val="0.7"/>
        <cfvo type="num" val="1"/>
      </iconSet>
    </cfRule>
  </conditionalFormatting>
  <conditionalFormatting sqref="Y896 Y898">
    <cfRule type="dataBar" priority="2846">
      <dataBar>
        <cfvo type="num" val="0"/>
        <cfvo type="num" val="1"/>
        <color theme="4" tint="0.79998168889431442"/>
      </dataBar>
      <extLst>
        <ext xmlns:x14="http://schemas.microsoft.com/office/spreadsheetml/2009/9/main" uri="{B025F937-C7B1-47D3-B67F-A62EFF666E3E}">
          <x14:id>{60CADD27-2609-409F-9E71-233EE0AE7AC9}</x14:id>
        </ext>
      </extLst>
    </cfRule>
    <cfRule type="iconSet" priority="2845">
      <iconSet iconSet="3Arrows">
        <cfvo type="percent" val="0"/>
        <cfvo type="num" val="0.7"/>
        <cfvo type="num" val="1"/>
      </iconSet>
    </cfRule>
  </conditionalFormatting>
  <conditionalFormatting sqref="Y900">
    <cfRule type="dataBar" priority="2844">
      <dataBar>
        <cfvo type="num" val="0"/>
        <cfvo type="num" val="1"/>
        <color theme="4" tint="0.79998168889431442"/>
      </dataBar>
      <extLst>
        <ext xmlns:x14="http://schemas.microsoft.com/office/spreadsheetml/2009/9/main" uri="{B025F937-C7B1-47D3-B67F-A62EFF666E3E}">
          <x14:id>{18006BC9-C095-4F3D-BB96-10C233F5C2DB}</x14:id>
        </ext>
      </extLst>
    </cfRule>
    <cfRule type="iconSet" priority="2843">
      <iconSet iconSet="3Arrows">
        <cfvo type="percent" val="0"/>
        <cfvo type="num" val="0.7"/>
        <cfvo type="num" val="1"/>
      </iconSet>
    </cfRule>
  </conditionalFormatting>
  <conditionalFormatting sqref="Y902 Y904">
    <cfRule type="dataBar" priority="2842">
      <dataBar>
        <cfvo type="num" val="0"/>
        <cfvo type="num" val="1"/>
        <color theme="4" tint="0.79998168889431442"/>
      </dataBar>
      <extLst>
        <ext xmlns:x14="http://schemas.microsoft.com/office/spreadsheetml/2009/9/main" uri="{B025F937-C7B1-47D3-B67F-A62EFF666E3E}">
          <x14:id>{49A197EA-670F-49A7-8364-5AB01C9798D0}</x14:id>
        </ext>
      </extLst>
    </cfRule>
    <cfRule type="iconSet" priority="2841">
      <iconSet iconSet="3Arrows">
        <cfvo type="percent" val="0"/>
        <cfvo type="num" val="0.7"/>
        <cfvo type="num" val="1"/>
      </iconSet>
    </cfRule>
  </conditionalFormatting>
  <conditionalFormatting sqref="Y906">
    <cfRule type="dataBar" priority="2840">
      <dataBar>
        <cfvo type="num" val="0"/>
        <cfvo type="num" val="1"/>
        <color theme="4" tint="0.79998168889431442"/>
      </dataBar>
      <extLst>
        <ext xmlns:x14="http://schemas.microsoft.com/office/spreadsheetml/2009/9/main" uri="{B025F937-C7B1-47D3-B67F-A62EFF666E3E}">
          <x14:id>{764134A9-695E-491D-B220-B7369BD8DEF2}</x14:id>
        </ext>
      </extLst>
    </cfRule>
    <cfRule type="iconSet" priority="2839">
      <iconSet iconSet="3Arrows">
        <cfvo type="percent" val="0"/>
        <cfvo type="num" val="0.7"/>
        <cfvo type="num" val="1"/>
      </iconSet>
    </cfRule>
  </conditionalFormatting>
  <conditionalFormatting sqref="Y908 Y910">
    <cfRule type="dataBar" priority="2838">
      <dataBar>
        <cfvo type="num" val="0"/>
        <cfvo type="num" val="1"/>
        <color theme="4" tint="0.79998168889431442"/>
      </dataBar>
      <extLst>
        <ext xmlns:x14="http://schemas.microsoft.com/office/spreadsheetml/2009/9/main" uri="{B025F937-C7B1-47D3-B67F-A62EFF666E3E}">
          <x14:id>{33AB8110-73A8-49DF-AFF2-9F2E0C5DD74F}</x14:id>
        </ext>
      </extLst>
    </cfRule>
    <cfRule type="iconSet" priority="2837">
      <iconSet iconSet="3Arrows">
        <cfvo type="percent" val="0"/>
        <cfvo type="num" val="0.7"/>
        <cfvo type="num" val="1"/>
      </iconSet>
    </cfRule>
  </conditionalFormatting>
  <conditionalFormatting sqref="Y912">
    <cfRule type="dataBar" priority="2836">
      <dataBar>
        <cfvo type="num" val="0"/>
        <cfvo type="num" val="1"/>
        <color theme="4" tint="0.79998168889431442"/>
      </dataBar>
      <extLst>
        <ext xmlns:x14="http://schemas.microsoft.com/office/spreadsheetml/2009/9/main" uri="{B025F937-C7B1-47D3-B67F-A62EFF666E3E}">
          <x14:id>{819DEEE5-966F-495F-8501-72F03AC6EE0B}</x14:id>
        </ext>
      </extLst>
    </cfRule>
    <cfRule type="iconSet" priority="2835">
      <iconSet iconSet="3Arrows">
        <cfvo type="percent" val="0"/>
        <cfvo type="num" val="0.7"/>
        <cfvo type="num" val="1"/>
      </iconSet>
    </cfRule>
  </conditionalFormatting>
  <conditionalFormatting sqref="Y914 Y916">
    <cfRule type="dataBar" priority="2834">
      <dataBar>
        <cfvo type="num" val="0"/>
        <cfvo type="num" val="1"/>
        <color theme="4" tint="0.79998168889431442"/>
      </dataBar>
      <extLst>
        <ext xmlns:x14="http://schemas.microsoft.com/office/spreadsheetml/2009/9/main" uri="{B025F937-C7B1-47D3-B67F-A62EFF666E3E}">
          <x14:id>{91AE8AA3-E54F-4615-B735-A75E3196E6E9}</x14:id>
        </ext>
      </extLst>
    </cfRule>
    <cfRule type="iconSet" priority="2833">
      <iconSet iconSet="3Arrows">
        <cfvo type="percent" val="0"/>
        <cfvo type="num" val="0.7"/>
        <cfvo type="num" val="1"/>
      </iconSet>
    </cfRule>
  </conditionalFormatting>
  <conditionalFormatting sqref="Y918">
    <cfRule type="dataBar" priority="2832">
      <dataBar>
        <cfvo type="num" val="0"/>
        <cfvo type="num" val="1"/>
        <color theme="4" tint="0.79998168889431442"/>
      </dataBar>
      <extLst>
        <ext xmlns:x14="http://schemas.microsoft.com/office/spreadsheetml/2009/9/main" uri="{B025F937-C7B1-47D3-B67F-A62EFF666E3E}">
          <x14:id>{230B678D-1705-46A8-BE90-CF4A439B8F31}</x14:id>
        </ext>
      </extLst>
    </cfRule>
    <cfRule type="iconSet" priority="2831">
      <iconSet iconSet="3Arrows">
        <cfvo type="percent" val="0"/>
        <cfvo type="num" val="0.7"/>
        <cfvo type="num" val="1"/>
      </iconSet>
    </cfRule>
  </conditionalFormatting>
  <conditionalFormatting sqref="Y920">
    <cfRule type="dataBar" priority="2830">
      <dataBar>
        <cfvo type="num" val="0"/>
        <cfvo type="num" val="1"/>
        <color theme="4" tint="0.79998168889431442"/>
      </dataBar>
      <extLst>
        <ext xmlns:x14="http://schemas.microsoft.com/office/spreadsheetml/2009/9/main" uri="{B025F937-C7B1-47D3-B67F-A62EFF666E3E}">
          <x14:id>{622E1EF4-14E0-41B4-BBF2-F2CA3F75132E}</x14:id>
        </ext>
      </extLst>
    </cfRule>
    <cfRule type="iconSet" priority="2829">
      <iconSet iconSet="3Arrows">
        <cfvo type="percent" val="0"/>
        <cfvo type="num" val="0.7"/>
        <cfvo type="num" val="1"/>
      </iconSet>
    </cfRule>
  </conditionalFormatting>
  <conditionalFormatting sqref="Y924">
    <cfRule type="dataBar" priority="2828">
      <dataBar>
        <cfvo type="num" val="0"/>
        <cfvo type="num" val="1"/>
        <color theme="4" tint="0.79998168889431442"/>
      </dataBar>
      <extLst>
        <ext xmlns:x14="http://schemas.microsoft.com/office/spreadsheetml/2009/9/main" uri="{B025F937-C7B1-47D3-B67F-A62EFF666E3E}">
          <x14:id>{25E84709-78D5-4DE8-9B21-2745EBDE4972}</x14:id>
        </ext>
      </extLst>
    </cfRule>
    <cfRule type="iconSet" priority="2827">
      <iconSet iconSet="3Arrows">
        <cfvo type="percent" val="0"/>
        <cfvo type="num" val="0.7"/>
        <cfvo type="num" val="1"/>
      </iconSet>
    </cfRule>
  </conditionalFormatting>
  <conditionalFormatting sqref="Y926">
    <cfRule type="dataBar" priority="2826">
      <dataBar>
        <cfvo type="num" val="0"/>
        <cfvo type="num" val="1"/>
        <color theme="4" tint="0.79998168889431442"/>
      </dataBar>
      <extLst>
        <ext xmlns:x14="http://schemas.microsoft.com/office/spreadsheetml/2009/9/main" uri="{B025F937-C7B1-47D3-B67F-A62EFF666E3E}">
          <x14:id>{4CD8DE19-A231-48B3-B153-F3446E687937}</x14:id>
        </ext>
      </extLst>
    </cfRule>
    <cfRule type="iconSet" priority="2825">
      <iconSet iconSet="3Arrows">
        <cfvo type="percent" val="0"/>
        <cfvo type="num" val="0.7"/>
        <cfvo type="num" val="1"/>
      </iconSet>
    </cfRule>
  </conditionalFormatting>
  <conditionalFormatting sqref="Y928 Y930">
    <cfRule type="dataBar" priority="2824">
      <dataBar>
        <cfvo type="num" val="0"/>
        <cfvo type="num" val="1"/>
        <color theme="4" tint="0.79998168889431442"/>
      </dataBar>
      <extLst>
        <ext xmlns:x14="http://schemas.microsoft.com/office/spreadsheetml/2009/9/main" uri="{B025F937-C7B1-47D3-B67F-A62EFF666E3E}">
          <x14:id>{8973F498-B98C-421E-8F2F-2C1C6A0DC616}</x14:id>
        </ext>
      </extLst>
    </cfRule>
    <cfRule type="iconSet" priority="2823">
      <iconSet iconSet="3Arrows">
        <cfvo type="percent" val="0"/>
        <cfvo type="num" val="0.7"/>
        <cfvo type="num" val="1"/>
      </iconSet>
    </cfRule>
  </conditionalFormatting>
  <conditionalFormatting sqref="Y932">
    <cfRule type="dataBar" priority="2822">
      <dataBar>
        <cfvo type="num" val="0"/>
        <cfvo type="num" val="1"/>
        <color theme="4" tint="0.79998168889431442"/>
      </dataBar>
      <extLst>
        <ext xmlns:x14="http://schemas.microsoft.com/office/spreadsheetml/2009/9/main" uri="{B025F937-C7B1-47D3-B67F-A62EFF666E3E}">
          <x14:id>{9B2E22FF-D075-4773-B76A-DD8BD984B83F}</x14:id>
        </ext>
      </extLst>
    </cfRule>
    <cfRule type="iconSet" priority="2821">
      <iconSet iconSet="3Arrows">
        <cfvo type="percent" val="0"/>
        <cfvo type="num" val="0.7"/>
        <cfvo type="num" val="1"/>
      </iconSet>
    </cfRule>
  </conditionalFormatting>
  <conditionalFormatting sqref="Y934 Y936">
    <cfRule type="dataBar" priority="2820">
      <dataBar>
        <cfvo type="num" val="0"/>
        <cfvo type="num" val="1"/>
        <color theme="4" tint="0.79998168889431442"/>
      </dataBar>
      <extLst>
        <ext xmlns:x14="http://schemas.microsoft.com/office/spreadsheetml/2009/9/main" uri="{B025F937-C7B1-47D3-B67F-A62EFF666E3E}">
          <x14:id>{4DD4EC99-05FF-4763-B48E-8DD16E8304FE}</x14:id>
        </ext>
      </extLst>
    </cfRule>
    <cfRule type="iconSet" priority="2819">
      <iconSet iconSet="3Arrows">
        <cfvo type="percent" val="0"/>
        <cfvo type="num" val="0.7"/>
        <cfvo type="num" val="1"/>
      </iconSet>
    </cfRule>
  </conditionalFormatting>
  <conditionalFormatting sqref="Y938">
    <cfRule type="dataBar" priority="2818">
      <dataBar>
        <cfvo type="num" val="0"/>
        <cfvo type="num" val="1"/>
        <color theme="4" tint="0.79998168889431442"/>
      </dataBar>
      <extLst>
        <ext xmlns:x14="http://schemas.microsoft.com/office/spreadsheetml/2009/9/main" uri="{B025F937-C7B1-47D3-B67F-A62EFF666E3E}">
          <x14:id>{01F01073-E009-4C04-908C-06B82C2B25F7}</x14:id>
        </ext>
      </extLst>
    </cfRule>
    <cfRule type="iconSet" priority="2817">
      <iconSet iconSet="3Arrows">
        <cfvo type="percent" val="0"/>
        <cfvo type="num" val="0.7"/>
        <cfvo type="num" val="1"/>
      </iconSet>
    </cfRule>
  </conditionalFormatting>
  <conditionalFormatting sqref="Y941">
    <cfRule type="dataBar" priority="2816">
      <dataBar>
        <cfvo type="num" val="0"/>
        <cfvo type="num" val="1"/>
        <color theme="4" tint="0.79998168889431442"/>
      </dataBar>
      <extLst>
        <ext xmlns:x14="http://schemas.microsoft.com/office/spreadsheetml/2009/9/main" uri="{B025F937-C7B1-47D3-B67F-A62EFF666E3E}">
          <x14:id>{63948F0F-A912-455B-BF04-29F9D724BEE7}</x14:id>
        </ext>
      </extLst>
    </cfRule>
    <cfRule type="iconSet" priority="2815">
      <iconSet iconSet="3Arrows">
        <cfvo type="percent" val="0"/>
        <cfvo type="num" val="0.7"/>
        <cfvo type="num" val="1"/>
      </iconSet>
    </cfRule>
  </conditionalFormatting>
  <conditionalFormatting sqref="Y943">
    <cfRule type="dataBar" priority="2814">
      <dataBar>
        <cfvo type="num" val="0"/>
        <cfvo type="num" val="1"/>
        <color theme="4" tint="0.79998168889431442"/>
      </dataBar>
      <extLst>
        <ext xmlns:x14="http://schemas.microsoft.com/office/spreadsheetml/2009/9/main" uri="{B025F937-C7B1-47D3-B67F-A62EFF666E3E}">
          <x14:id>{311D6735-FEB1-4DEA-A65B-BA31EA8E0105}</x14:id>
        </ext>
      </extLst>
    </cfRule>
    <cfRule type="iconSet" priority="2813">
      <iconSet iconSet="3Arrows">
        <cfvo type="percent" val="0"/>
        <cfvo type="num" val="0.7"/>
        <cfvo type="num" val="1"/>
      </iconSet>
    </cfRule>
  </conditionalFormatting>
  <conditionalFormatting sqref="Y945 Y947">
    <cfRule type="dataBar" priority="2812">
      <dataBar>
        <cfvo type="num" val="0"/>
        <cfvo type="num" val="1"/>
        <color theme="4" tint="0.79998168889431442"/>
      </dataBar>
      <extLst>
        <ext xmlns:x14="http://schemas.microsoft.com/office/spreadsheetml/2009/9/main" uri="{B025F937-C7B1-47D3-B67F-A62EFF666E3E}">
          <x14:id>{25917F5B-8D26-4574-B9EA-D0B6BFF817DF}</x14:id>
        </ext>
      </extLst>
    </cfRule>
    <cfRule type="iconSet" priority="2811">
      <iconSet iconSet="3Arrows">
        <cfvo type="percent" val="0"/>
        <cfvo type="num" val="0.7"/>
        <cfvo type="num" val="1"/>
      </iconSet>
    </cfRule>
  </conditionalFormatting>
  <conditionalFormatting sqref="Y949">
    <cfRule type="dataBar" priority="2810">
      <dataBar>
        <cfvo type="num" val="0"/>
        <cfvo type="num" val="1"/>
        <color theme="4" tint="0.79998168889431442"/>
      </dataBar>
      <extLst>
        <ext xmlns:x14="http://schemas.microsoft.com/office/spreadsheetml/2009/9/main" uri="{B025F937-C7B1-47D3-B67F-A62EFF666E3E}">
          <x14:id>{A2FFEAAA-47A1-40A5-8E6C-27BC3DBDD5A2}</x14:id>
        </ext>
      </extLst>
    </cfRule>
    <cfRule type="iconSet" priority="2809">
      <iconSet iconSet="3Arrows">
        <cfvo type="percent" val="0"/>
        <cfvo type="num" val="0.7"/>
        <cfvo type="num" val="1"/>
      </iconSet>
    </cfRule>
  </conditionalFormatting>
  <conditionalFormatting sqref="Y951 Y953">
    <cfRule type="dataBar" priority="2808">
      <dataBar>
        <cfvo type="num" val="0"/>
        <cfvo type="num" val="1"/>
        <color theme="4" tint="0.79998168889431442"/>
      </dataBar>
      <extLst>
        <ext xmlns:x14="http://schemas.microsoft.com/office/spreadsheetml/2009/9/main" uri="{B025F937-C7B1-47D3-B67F-A62EFF666E3E}">
          <x14:id>{AED99246-C6C4-4380-8B0D-874B1EB0EF34}</x14:id>
        </ext>
      </extLst>
    </cfRule>
    <cfRule type="iconSet" priority="2807">
      <iconSet iconSet="3Arrows">
        <cfvo type="percent" val="0"/>
        <cfvo type="num" val="0.7"/>
        <cfvo type="num" val="1"/>
      </iconSet>
    </cfRule>
  </conditionalFormatting>
  <conditionalFormatting sqref="Y955">
    <cfRule type="dataBar" priority="2806">
      <dataBar>
        <cfvo type="num" val="0"/>
        <cfvo type="num" val="1"/>
        <color theme="4" tint="0.79998168889431442"/>
      </dataBar>
      <extLst>
        <ext xmlns:x14="http://schemas.microsoft.com/office/spreadsheetml/2009/9/main" uri="{B025F937-C7B1-47D3-B67F-A62EFF666E3E}">
          <x14:id>{85D2A584-A1ED-4A01-A8E6-1BB8175A7A06}</x14:id>
        </ext>
      </extLst>
    </cfRule>
    <cfRule type="iconSet" priority="2805">
      <iconSet iconSet="3Arrows">
        <cfvo type="percent" val="0"/>
        <cfvo type="num" val="0.7"/>
        <cfvo type="num" val="1"/>
      </iconSet>
    </cfRule>
  </conditionalFormatting>
  <conditionalFormatting sqref="Y957 Y959">
    <cfRule type="dataBar" priority="2804">
      <dataBar>
        <cfvo type="num" val="0"/>
        <cfvo type="num" val="1"/>
        <color theme="4" tint="0.79998168889431442"/>
      </dataBar>
      <extLst>
        <ext xmlns:x14="http://schemas.microsoft.com/office/spreadsheetml/2009/9/main" uri="{B025F937-C7B1-47D3-B67F-A62EFF666E3E}">
          <x14:id>{707C8911-6DFE-48F1-9DF5-1B3914324AE7}</x14:id>
        </ext>
      </extLst>
    </cfRule>
    <cfRule type="iconSet" priority="2803">
      <iconSet iconSet="3Arrows">
        <cfvo type="percent" val="0"/>
        <cfvo type="num" val="0.7"/>
        <cfvo type="num" val="1"/>
      </iconSet>
    </cfRule>
  </conditionalFormatting>
  <conditionalFormatting sqref="Y961">
    <cfRule type="dataBar" priority="2802">
      <dataBar>
        <cfvo type="num" val="0"/>
        <cfvo type="num" val="1"/>
        <color theme="4" tint="0.79998168889431442"/>
      </dataBar>
      <extLst>
        <ext xmlns:x14="http://schemas.microsoft.com/office/spreadsheetml/2009/9/main" uri="{B025F937-C7B1-47D3-B67F-A62EFF666E3E}">
          <x14:id>{3A076C59-2C4C-4AE5-AECC-EEACF364F674}</x14:id>
        </ext>
      </extLst>
    </cfRule>
    <cfRule type="iconSet" priority="2801">
      <iconSet iconSet="3Arrows">
        <cfvo type="percent" val="0"/>
        <cfvo type="num" val="0.7"/>
        <cfvo type="num" val="1"/>
      </iconSet>
    </cfRule>
  </conditionalFormatting>
  <conditionalFormatting sqref="Y963 Y965">
    <cfRule type="dataBar" priority="2800">
      <dataBar>
        <cfvo type="num" val="0"/>
        <cfvo type="num" val="1"/>
        <color theme="4" tint="0.79998168889431442"/>
      </dataBar>
      <extLst>
        <ext xmlns:x14="http://schemas.microsoft.com/office/spreadsheetml/2009/9/main" uri="{B025F937-C7B1-47D3-B67F-A62EFF666E3E}">
          <x14:id>{827D51F8-8C04-445E-9933-003B997D0789}</x14:id>
        </ext>
      </extLst>
    </cfRule>
    <cfRule type="iconSet" priority="2799">
      <iconSet iconSet="3Arrows">
        <cfvo type="percent" val="0"/>
        <cfvo type="num" val="0.7"/>
        <cfvo type="num" val="1"/>
      </iconSet>
    </cfRule>
  </conditionalFormatting>
  <conditionalFormatting sqref="Y967">
    <cfRule type="dataBar" priority="2798">
      <dataBar>
        <cfvo type="num" val="0"/>
        <cfvo type="num" val="1"/>
        <color theme="4" tint="0.79998168889431442"/>
      </dataBar>
      <extLst>
        <ext xmlns:x14="http://schemas.microsoft.com/office/spreadsheetml/2009/9/main" uri="{B025F937-C7B1-47D3-B67F-A62EFF666E3E}">
          <x14:id>{D52B7167-EE76-4ABB-89DA-FE03CAA8ED7E}</x14:id>
        </ext>
      </extLst>
    </cfRule>
    <cfRule type="iconSet" priority="2797">
      <iconSet iconSet="3Arrows">
        <cfvo type="percent" val="0"/>
        <cfvo type="num" val="0.7"/>
        <cfvo type="num" val="1"/>
      </iconSet>
    </cfRule>
  </conditionalFormatting>
  <conditionalFormatting sqref="Y971">
    <cfRule type="dataBar" priority="2796">
      <dataBar>
        <cfvo type="num" val="0"/>
        <cfvo type="num" val="1"/>
        <color theme="4" tint="0.79998168889431442"/>
      </dataBar>
      <extLst>
        <ext xmlns:x14="http://schemas.microsoft.com/office/spreadsheetml/2009/9/main" uri="{B025F937-C7B1-47D3-B67F-A62EFF666E3E}">
          <x14:id>{B70E6EAC-0687-4E1B-B6F6-F84DE3BD233E}</x14:id>
        </ext>
      </extLst>
    </cfRule>
    <cfRule type="iconSet" priority="2795">
      <iconSet iconSet="3Arrows">
        <cfvo type="percent" val="0"/>
        <cfvo type="num" val="0.7"/>
        <cfvo type="num" val="1"/>
      </iconSet>
    </cfRule>
  </conditionalFormatting>
  <conditionalFormatting sqref="Y973">
    <cfRule type="dataBar" priority="2794">
      <dataBar>
        <cfvo type="num" val="0"/>
        <cfvo type="num" val="1"/>
        <color theme="4" tint="0.79998168889431442"/>
      </dataBar>
      <extLst>
        <ext xmlns:x14="http://schemas.microsoft.com/office/spreadsheetml/2009/9/main" uri="{B025F937-C7B1-47D3-B67F-A62EFF666E3E}">
          <x14:id>{F20F6605-E78D-4FEB-8C9A-A56108DDFD05}</x14:id>
        </ext>
      </extLst>
    </cfRule>
    <cfRule type="iconSet" priority="2793">
      <iconSet iconSet="3Arrows">
        <cfvo type="percent" val="0"/>
        <cfvo type="num" val="0.7"/>
        <cfvo type="num" val="1"/>
      </iconSet>
    </cfRule>
  </conditionalFormatting>
  <conditionalFormatting sqref="Y975 Y977">
    <cfRule type="dataBar" priority="2792">
      <dataBar>
        <cfvo type="num" val="0"/>
        <cfvo type="num" val="1"/>
        <color theme="4" tint="0.79998168889431442"/>
      </dataBar>
      <extLst>
        <ext xmlns:x14="http://schemas.microsoft.com/office/spreadsheetml/2009/9/main" uri="{B025F937-C7B1-47D3-B67F-A62EFF666E3E}">
          <x14:id>{E55C30DC-5521-47E3-AEBF-D146440686D0}</x14:id>
        </ext>
      </extLst>
    </cfRule>
    <cfRule type="iconSet" priority="2791">
      <iconSet iconSet="3Arrows">
        <cfvo type="percent" val="0"/>
        <cfvo type="num" val="0.7"/>
        <cfvo type="num" val="1"/>
      </iconSet>
    </cfRule>
  </conditionalFormatting>
  <conditionalFormatting sqref="Y979">
    <cfRule type="dataBar" priority="2790">
      <dataBar>
        <cfvo type="num" val="0"/>
        <cfvo type="num" val="1"/>
        <color theme="4" tint="0.79998168889431442"/>
      </dataBar>
      <extLst>
        <ext xmlns:x14="http://schemas.microsoft.com/office/spreadsheetml/2009/9/main" uri="{B025F937-C7B1-47D3-B67F-A62EFF666E3E}">
          <x14:id>{30B30F1F-665E-49FB-8E26-109D16E5FF47}</x14:id>
        </ext>
      </extLst>
    </cfRule>
    <cfRule type="iconSet" priority="2789">
      <iconSet iconSet="3Arrows">
        <cfvo type="percent" val="0"/>
        <cfvo type="num" val="0.7"/>
        <cfvo type="num" val="1"/>
      </iconSet>
    </cfRule>
  </conditionalFormatting>
  <conditionalFormatting sqref="Y981 Y983">
    <cfRule type="dataBar" priority="2788">
      <dataBar>
        <cfvo type="num" val="0"/>
        <cfvo type="num" val="1"/>
        <color theme="4" tint="0.79998168889431442"/>
      </dataBar>
      <extLst>
        <ext xmlns:x14="http://schemas.microsoft.com/office/spreadsheetml/2009/9/main" uri="{B025F937-C7B1-47D3-B67F-A62EFF666E3E}">
          <x14:id>{80A98242-D5A1-4BA8-A0DE-3CB977FA7077}</x14:id>
        </ext>
      </extLst>
    </cfRule>
    <cfRule type="iconSet" priority="2787">
      <iconSet iconSet="3Arrows">
        <cfvo type="percent" val="0"/>
        <cfvo type="num" val="0.7"/>
        <cfvo type="num" val="1"/>
      </iconSet>
    </cfRule>
  </conditionalFormatting>
  <conditionalFormatting sqref="Y985">
    <cfRule type="dataBar" priority="2786">
      <dataBar>
        <cfvo type="num" val="0"/>
        <cfvo type="num" val="1"/>
        <color theme="4" tint="0.79998168889431442"/>
      </dataBar>
      <extLst>
        <ext xmlns:x14="http://schemas.microsoft.com/office/spreadsheetml/2009/9/main" uri="{B025F937-C7B1-47D3-B67F-A62EFF666E3E}">
          <x14:id>{EA7EF3AC-B388-442F-A6CD-6F8A4A5E1466}</x14:id>
        </ext>
      </extLst>
    </cfRule>
    <cfRule type="iconSet" priority="2785">
      <iconSet iconSet="3Arrows">
        <cfvo type="percent" val="0"/>
        <cfvo type="num" val="0.7"/>
        <cfvo type="num" val="1"/>
      </iconSet>
    </cfRule>
  </conditionalFormatting>
  <conditionalFormatting sqref="Y987 Y989">
    <cfRule type="dataBar" priority="2784">
      <dataBar>
        <cfvo type="num" val="0"/>
        <cfvo type="num" val="1"/>
        <color theme="4" tint="0.79998168889431442"/>
      </dataBar>
      <extLst>
        <ext xmlns:x14="http://schemas.microsoft.com/office/spreadsheetml/2009/9/main" uri="{B025F937-C7B1-47D3-B67F-A62EFF666E3E}">
          <x14:id>{4FE6D372-FE30-44E1-BC03-83BC5DF678FD}</x14:id>
        </ext>
      </extLst>
    </cfRule>
    <cfRule type="iconSet" priority="2783">
      <iconSet iconSet="3Arrows">
        <cfvo type="percent" val="0"/>
        <cfvo type="num" val="0.7"/>
        <cfvo type="num" val="1"/>
      </iconSet>
    </cfRule>
  </conditionalFormatting>
  <conditionalFormatting sqref="Y991">
    <cfRule type="dataBar" priority="2782">
      <dataBar>
        <cfvo type="num" val="0"/>
        <cfvo type="num" val="1"/>
        <color theme="4" tint="0.79998168889431442"/>
      </dataBar>
      <extLst>
        <ext xmlns:x14="http://schemas.microsoft.com/office/spreadsheetml/2009/9/main" uri="{B025F937-C7B1-47D3-B67F-A62EFF666E3E}">
          <x14:id>{AE1BBC6E-3CF5-4E94-B646-E03AC6945A97}</x14:id>
        </ext>
      </extLst>
    </cfRule>
    <cfRule type="iconSet" priority="2781">
      <iconSet iconSet="3Arrows">
        <cfvo type="percent" val="0"/>
        <cfvo type="num" val="0.7"/>
        <cfvo type="num" val="1"/>
      </iconSet>
    </cfRule>
  </conditionalFormatting>
  <conditionalFormatting sqref="Y994">
    <cfRule type="dataBar" priority="2780">
      <dataBar>
        <cfvo type="num" val="0"/>
        <cfvo type="num" val="1"/>
        <color theme="4" tint="0.79998168889431442"/>
      </dataBar>
      <extLst>
        <ext xmlns:x14="http://schemas.microsoft.com/office/spreadsheetml/2009/9/main" uri="{B025F937-C7B1-47D3-B67F-A62EFF666E3E}">
          <x14:id>{3B5C87C0-2275-4013-BDF1-4EC926BF5E27}</x14:id>
        </ext>
      </extLst>
    </cfRule>
    <cfRule type="iconSet" priority="2779">
      <iconSet iconSet="3Arrows">
        <cfvo type="percent" val="0"/>
        <cfvo type="num" val="0.7"/>
        <cfvo type="num" val="1"/>
      </iconSet>
    </cfRule>
  </conditionalFormatting>
  <conditionalFormatting sqref="Y997">
    <cfRule type="dataBar" priority="2778">
      <dataBar>
        <cfvo type="num" val="0"/>
        <cfvo type="num" val="1"/>
        <color theme="4" tint="0.79998168889431442"/>
      </dataBar>
      <extLst>
        <ext xmlns:x14="http://schemas.microsoft.com/office/spreadsheetml/2009/9/main" uri="{B025F937-C7B1-47D3-B67F-A62EFF666E3E}">
          <x14:id>{00C3760C-50AA-4C9C-93A3-82F770632ABD}</x14:id>
        </ext>
      </extLst>
    </cfRule>
    <cfRule type="iconSet" priority="2777">
      <iconSet iconSet="3Arrows">
        <cfvo type="percent" val="0"/>
        <cfvo type="num" val="0.7"/>
        <cfvo type="num" val="1"/>
      </iconSet>
    </cfRule>
  </conditionalFormatting>
  <conditionalFormatting sqref="Y999 Y1001 Y1003">
    <cfRule type="dataBar" priority="2776">
      <dataBar>
        <cfvo type="num" val="0"/>
        <cfvo type="num" val="1"/>
        <color theme="4" tint="0.79998168889431442"/>
      </dataBar>
      <extLst>
        <ext xmlns:x14="http://schemas.microsoft.com/office/spreadsheetml/2009/9/main" uri="{B025F937-C7B1-47D3-B67F-A62EFF666E3E}">
          <x14:id>{7FC5214F-A4D1-4A18-A7C3-7434F8D22B03}</x14:id>
        </ext>
      </extLst>
    </cfRule>
    <cfRule type="iconSet" priority="2775">
      <iconSet iconSet="3Arrows">
        <cfvo type="percent" val="0"/>
        <cfvo type="num" val="0.7"/>
        <cfvo type="num" val="1"/>
      </iconSet>
    </cfRule>
  </conditionalFormatting>
  <conditionalFormatting sqref="Y1005">
    <cfRule type="dataBar" priority="2774">
      <dataBar>
        <cfvo type="num" val="0"/>
        <cfvo type="num" val="1"/>
        <color theme="4" tint="0.79998168889431442"/>
      </dataBar>
      <extLst>
        <ext xmlns:x14="http://schemas.microsoft.com/office/spreadsheetml/2009/9/main" uri="{B025F937-C7B1-47D3-B67F-A62EFF666E3E}">
          <x14:id>{024C6910-F92A-455D-B7FC-F65002F01B4E}</x14:id>
        </ext>
      </extLst>
    </cfRule>
    <cfRule type="iconSet" priority="2773">
      <iconSet iconSet="3Arrows">
        <cfvo type="percent" val="0"/>
        <cfvo type="num" val="0.7"/>
        <cfvo type="num" val="1"/>
      </iconSet>
    </cfRule>
  </conditionalFormatting>
  <conditionalFormatting sqref="Y1007">
    <cfRule type="dataBar" priority="2772">
      <dataBar>
        <cfvo type="num" val="0"/>
        <cfvo type="num" val="1"/>
        <color theme="4" tint="0.79998168889431442"/>
      </dataBar>
      <extLst>
        <ext xmlns:x14="http://schemas.microsoft.com/office/spreadsheetml/2009/9/main" uri="{B025F937-C7B1-47D3-B67F-A62EFF666E3E}">
          <x14:id>{FA44DABD-B706-4681-9688-7C52D37043FA}</x14:id>
        </ext>
      </extLst>
    </cfRule>
    <cfRule type="iconSet" priority="2771">
      <iconSet iconSet="3Arrows">
        <cfvo type="percent" val="0"/>
        <cfvo type="num" val="0.7"/>
        <cfvo type="num" val="1"/>
      </iconSet>
    </cfRule>
  </conditionalFormatting>
  <conditionalFormatting sqref="Y1009">
    <cfRule type="dataBar" priority="2770">
      <dataBar>
        <cfvo type="num" val="0"/>
        <cfvo type="num" val="1"/>
        <color theme="4" tint="0.79998168889431442"/>
      </dataBar>
      <extLst>
        <ext xmlns:x14="http://schemas.microsoft.com/office/spreadsheetml/2009/9/main" uri="{B025F937-C7B1-47D3-B67F-A62EFF666E3E}">
          <x14:id>{F45FE257-262E-4C5B-B5B1-9F6B09299397}</x14:id>
        </ext>
      </extLst>
    </cfRule>
    <cfRule type="iconSet" priority="2769">
      <iconSet iconSet="3Arrows">
        <cfvo type="percent" val="0"/>
        <cfvo type="num" val="0.7"/>
        <cfvo type="num" val="1"/>
      </iconSet>
    </cfRule>
  </conditionalFormatting>
  <conditionalFormatting sqref="Y1011">
    <cfRule type="dataBar" priority="2768">
      <dataBar>
        <cfvo type="num" val="0"/>
        <cfvo type="num" val="1"/>
        <color theme="4" tint="0.79998168889431442"/>
      </dataBar>
      <extLst>
        <ext xmlns:x14="http://schemas.microsoft.com/office/spreadsheetml/2009/9/main" uri="{B025F937-C7B1-47D3-B67F-A62EFF666E3E}">
          <x14:id>{100F8AB4-B83E-40F4-B94A-A794643FBFC7}</x14:id>
        </ext>
      </extLst>
    </cfRule>
    <cfRule type="iconSet" priority="2767">
      <iconSet iconSet="3Arrows">
        <cfvo type="percent" val="0"/>
        <cfvo type="num" val="0.7"/>
        <cfvo type="num" val="1"/>
      </iconSet>
    </cfRule>
  </conditionalFormatting>
  <conditionalFormatting sqref="Y1013">
    <cfRule type="dataBar" priority="2766">
      <dataBar>
        <cfvo type="num" val="0"/>
        <cfvo type="num" val="1"/>
        <color theme="4" tint="0.79998168889431442"/>
      </dataBar>
      <extLst>
        <ext xmlns:x14="http://schemas.microsoft.com/office/spreadsheetml/2009/9/main" uri="{B025F937-C7B1-47D3-B67F-A62EFF666E3E}">
          <x14:id>{7D0F0375-FC65-4C09-829D-34C568D2BA48}</x14:id>
        </ext>
      </extLst>
    </cfRule>
    <cfRule type="iconSet" priority="2765">
      <iconSet iconSet="3Arrows">
        <cfvo type="percent" val="0"/>
        <cfvo type="num" val="0.7"/>
        <cfvo type="num" val="1"/>
      </iconSet>
    </cfRule>
  </conditionalFormatting>
  <conditionalFormatting sqref="Y1015">
    <cfRule type="dataBar" priority="2764">
      <dataBar>
        <cfvo type="num" val="0"/>
        <cfvo type="num" val="1"/>
        <color theme="4" tint="0.79998168889431442"/>
      </dataBar>
      <extLst>
        <ext xmlns:x14="http://schemas.microsoft.com/office/spreadsheetml/2009/9/main" uri="{B025F937-C7B1-47D3-B67F-A62EFF666E3E}">
          <x14:id>{BB1A59C0-B593-4810-A5E0-2ED508BDC9A6}</x14:id>
        </ext>
      </extLst>
    </cfRule>
    <cfRule type="iconSet" priority="2763">
      <iconSet iconSet="3Arrows">
        <cfvo type="percent" val="0"/>
        <cfvo type="num" val="0.7"/>
        <cfvo type="num" val="1"/>
      </iconSet>
    </cfRule>
  </conditionalFormatting>
  <conditionalFormatting sqref="Y1017">
    <cfRule type="iconSet" priority="2761">
      <iconSet iconSet="3Arrows">
        <cfvo type="percent" val="0"/>
        <cfvo type="num" val="0.7"/>
        <cfvo type="num" val="1"/>
      </iconSet>
    </cfRule>
    <cfRule type="dataBar" priority="2762">
      <dataBar>
        <cfvo type="num" val="0"/>
        <cfvo type="num" val="1"/>
        <color theme="4" tint="0.79998168889431442"/>
      </dataBar>
      <extLst>
        <ext xmlns:x14="http://schemas.microsoft.com/office/spreadsheetml/2009/9/main" uri="{B025F937-C7B1-47D3-B67F-A62EFF666E3E}">
          <x14:id>{D2E82101-111A-43F0-AB3B-6008BEF22C28}</x14:id>
        </ext>
      </extLst>
    </cfRule>
  </conditionalFormatting>
  <conditionalFormatting sqref="Y1020">
    <cfRule type="iconSet" priority="2759">
      <iconSet iconSet="3Arrows">
        <cfvo type="percent" val="0"/>
        <cfvo type="num" val="0.7"/>
        <cfvo type="num" val="1"/>
      </iconSet>
    </cfRule>
    <cfRule type="dataBar" priority="2760">
      <dataBar>
        <cfvo type="num" val="0"/>
        <cfvo type="num" val="1"/>
        <color theme="4" tint="0.79998168889431442"/>
      </dataBar>
      <extLst>
        <ext xmlns:x14="http://schemas.microsoft.com/office/spreadsheetml/2009/9/main" uri="{B025F937-C7B1-47D3-B67F-A62EFF666E3E}">
          <x14:id>{E662D9B2-BDC9-458F-83D3-6CE560899938}</x14:id>
        </ext>
      </extLst>
    </cfRule>
  </conditionalFormatting>
  <conditionalFormatting sqref="Y1022 Y1024 Y1026">
    <cfRule type="dataBar" priority="2758">
      <dataBar>
        <cfvo type="num" val="0"/>
        <cfvo type="num" val="1"/>
        <color theme="4" tint="0.79998168889431442"/>
      </dataBar>
      <extLst>
        <ext xmlns:x14="http://schemas.microsoft.com/office/spreadsheetml/2009/9/main" uri="{B025F937-C7B1-47D3-B67F-A62EFF666E3E}">
          <x14:id>{CA59A48B-6AEC-48D8-8EB1-04E7ED2EAC54}</x14:id>
        </ext>
      </extLst>
    </cfRule>
    <cfRule type="iconSet" priority="2757">
      <iconSet iconSet="3Arrows">
        <cfvo type="percent" val="0"/>
        <cfvo type="num" val="0.7"/>
        <cfvo type="num" val="1"/>
      </iconSet>
    </cfRule>
  </conditionalFormatting>
  <conditionalFormatting sqref="Y1028 Y1030 Y1032">
    <cfRule type="dataBar" priority="2756">
      <dataBar>
        <cfvo type="num" val="0"/>
        <cfvo type="num" val="1"/>
        <color theme="4" tint="0.79998168889431442"/>
      </dataBar>
      <extLst>
        <ext xmlns:x14="http://schemas.microsoft.com/office/spreadsheetml/2009/9/main" uri="{B025F937-C7B1-47D3-B67F-A62EFF666E3E}">
          <x14:id>{CD4F55C1-3C16-4318-B253-36D18BEE924F}</x14:id>
        </ext>
      </extLst>
    </cfRule>
    <cfRule type="iconSet" priority="2755">
      <iconSet iconSet="3Arrows">
        <cfvo type="percent" val="0"/>
        <cfvo type="num" val="0.7"/>
        <cfvo type="num" val="1"/>
      </iconSet>
    </cfRule>
  </conditionalFormatting>
  <conditionalFormatting sqref="Y1034 Y1036 Y1038">
    <cfRule type="dataBar" priority="2754">
      <dataBar>
        <cfvo type="num" val="0"/>
        <cfvo type="num" val="1"/>
        <color theme="4" tint="0.79998168889431442"/>
      </dataBar>
      <extLst>
        <ext xmlns:x14="http://schemas.microsoft.com/office/spreadsheetml/2009/9/main" uri="{B025F937-C7B1-47D3-B67F-A62EFF666E3E}">
          <x14:id>{126ACAA1-B0FB-4641-B252-BD9D7873A4C8}</x14:id>
        </ext>
      </extLst>
    </cfRule>
    <cfRule type="iconSet" priority="2753">
      <iconSet iconSet="3Arrows">
        <cfvo type="percent" val="0"/>
        <cfvo type="num" val="0.7"/>
        <cfvo type="num" val="1"/>
      </iconSet>
    </cfRule>
  </conditionalFormatting>
  <conditionalFormatting sqref="Y1040 Y1042 Y1044">
    <cfRule type="iconSet" priority="2751">
      <iconSet iconSet="3Arrows">
        <cfvo type="percent" val="0"/>
        <cfvo type="num" val="0.7"/>
        <cfvo type="num" val="1"/>
      </iconSet>
    </cfRule>
    <cfRule type="dataBar" priority="2752">
      <dataBar>
        <cfvo type="num" val="0"/>
        <cfvo type="num" val="1"/>
        <color theme="4" tint="0.79998168889431442"/>
      </dataBar>
      <extLst>
        <ext xmlns:x14="http://schemas.microsoft.com/office/spreadsheetml/2009/9/main" uri="{B025F937-C7B1-47D3-B67F-A62EFF666E3E}">
          <x14:id>{F58339CA-7D2B-4013-8845-77473F9E6822}</x14:id>
        </ext>
      </extLst>
    </cfRule>
  </conditionalFormatting>
  <conditionalFormatting sqref="Y1046 Y1048 Y1050">
    <cfRule type="iconSet" priority="2749">
      <iconSet iconSet="3Arrows">
        <cfvo type="percent" val="0"/>
        <cfvo type="num" val="0.7"/>
        <cfvo type="num" val="1"/>
      </iconSet>
    </cfRule>
    <cfRule type="dataBar" priority="2750">
      <dataBar>
        <cfvo type="num" val="0"/>
        <cfvo type="num" val="1"/>
        <color theme="4" tint="0.79998168889431442"/>
      </dataBar>
      <extLst>
        <ext xmlns:x14="http://schemas.microsoft.com/office/spreadsheetml/2009/9/main" uri="{B025F937-C7B1-47D3-B67F-A62EFF666E3E}">
          <x14:id>{11EEABF3-C593-4526-B5AD-A42C915982C4}</x14:id>
        </ext>
      </extLst>
    </cfRule>
  </conditionalFormatting>
  <conditionalFormatting sqref="Y1052 Y1054 Y1056">
    <cfRule type="dataBar" priority="2748">
      <dataBar>
        <cfvo type="num" val="0"/>
        <cfvo type="num" val="1"/>
        <color theme="4" tint="0.79998168889431442"/>
      </dataBar>
      <extLst>
        <ext xmlns:x14="http://schemas.microsoft.com/office/spreadsheetml/2009/9/main" uri="{B025F937-C7B1-47D3-B67F-A62EFF666E3E}">
          <x14:id>{8BB87850-3700-4CFB-9C93-7E63BD5B5476}</x14:id>
        </ext>
      </extLst>
    </cfRule>
    <cfRule type="iconSet" priority="2747">
      <iconSet iconSet="3Arrows">
        <cfvo type="percent" val="0"/>
        <cfvo type="num" val="0.7"/>
        <cfvo type="num" val="1"/>
      </iconSet>
    </cfRule>
  </conditionalFormatting>
  <conditionalFormatting sqref="Y1058 Y1060 Y1062">
    <cfRule type="iconSet" priority="2745">
      <iconSet iconSet="3Arrows">
        <cfvo type="percent" val="0"/>
        <cfvo type="num" val="0.7"/>
        <cfvo type="num" val="1"/>
      </iconSet>
    </cfRule>
    <cfRule type="dataBar" priority="2746">
      <dataBar>
        <cfvo type="num" val="0"/>
        <cfvo type="num" val="1"/>
        <color theme="4" tint="0.79998168889431442"/>
      </dataBar>
      <extLst>
        <ext xmlns:x14="http://schemas.microsoft.com/office/spreadsheetml/2009/9/main" uri="{B025F937-C7B1-47D3-B67F-A62EFF666E3E}">
          <x14:id>{95C86F16-7B69-4589-B351-23AA31C6505A}</x14:id>
        </ext>
      </extLst>
    </cfRule>
  </conditionalFormatting>
  <conditionalFormatting sqref="Y1064 Y1066 Y1068">
    <cfRule type="iconSet" priority="2743">
      <iconSet iconSet="3Arrows">
        <cfvo type="percent" val="0"/>
        <cfvo type="num" val="0.7"/>
        <cfvo type="num" val="1"/>
      </iconSet>
    </cfRule>
    <cfRule type="dataBar" priority="2744">
      <dataBar>
        <cfvo type="num" val="0"/>
        <cfvo type="num" val="1"/>
        <color theme="4" tint="0.79998168889431442"/>
      </dataBar>
      <extLst>
        <ext xmlns:x14="http://schemas.microsoft.com/office/spreadsheetml/2009/9/main" uri="{B025F937-C7B1-47D3-B67F-A62EFF666E3E}">
          <x14:id>{4E6AF255-2A95-476F-990C-4E61927540B5}</x14:id>
        </ext>
      </extLst>
    </cfRule>
  </conditionalFormatting>
  <conditionalFormatting sqref="Y1070 Y1072 Y1074">
    <cfRule type="iconSet" priority="2741">
      <iconSet iconSet="3Arrows">
        <cfvo type="percent" val="0"/>
        <cfvo type="num" val="0.7"/>
        <cfvo type="num" val="1"/>
      </iconSet>
    </cfRule>
    <cfRule type="dataBar" priority="2742">
      <dataBar>
        <cfvo type="num" val="0"/>
        <cfvo type="num" val="1"/>
        <color theme="4" tint="0.79998168889431442"/>
      </dataBar>
      <extLst>
        <ext xmlns:x14="http://schemas.microsoft.com/office/spreadsheetml/2009/9/main" uri="{B025F937-C7B1-47D3-B67F-A62EFF666E3E}">
          <x14:id>{8310EB32-1B2D-4928-869A-20EF1BCA4826}</x14:id>
        </ext>
      </extLst>
    </cfRule>
  </conditionalFormatting>
  <conditionalFormatting sqref="Y1076 Y1080">
    <cfRule type="dataBar" priority="2740">
      <dataBar>
        <cfvo type="num" val="0"/>
        <cfvo type="num" val="1"/>
        <color theme="4" tint="0.79998168889431442"/>
      </dataBar>
      <extLst>
        <ext xmlns:x14="http://schemas.microsoft.com/office/spreadsheetml/2009/9/main" uri="{B025F937-C7B1-47D3-B67F-A62EFF666E3E}">
          <x14:id>{7323AEC5-40E3-46F7-A735-4A16F765215D}</x14:id>
        </ext>
      </extLst>
    </cfRule>
    <cfRule type="iconSet" priority="2739">
      <iconSet iconSet="3Arrows">
        <cfvo type="percent" val="0"/>
        <cfvo type="num" val="0.7"/>
        <cfvo type="num" val="1"/>
      </iconSet>
    </cfRule>
  </conditionalFormatting>
  <conditionalFormatting sqref="Y1078">
    <cfRule type="iconSet" priority="2737">
      <iconSet iconSet="3Arrows">
        <cfvo type="percent" val="0"/>
        <cfvo type="num" val="0.7"/>
        <cfvo type="num" val="1"/>
      </iconSet>
    </cfRule>
    <cfRule type="dataBar" priority="2738">
      <dataBar>
        <cfvo type="num" val="0"/>
        <cfvo type="num" val="1"/>
        <color theme="4" tint="0.79998168889431442"/>
      </dataBar>
      <extLst>
        <ext xmlns:x14="http://schemas.microsoft.com/office/spreadsheetml/2009/9/main" uri="{B025F937-C7B1-47D3-B67F-A62EFF666E3E}">
          <x14:id>{AE1CF48A-AE24-48F5-BE41-A35A2F51B37F}</x14:id>
        </ext>
      </extLst>
    </cfRule>
  </conditionalFormatting>
  <conditionalFormatting sqref="Y1082">
    <cfRule type="iconSet" priority="2735">
      <iconSet iconSet="3Arrows">
        <cfvo type="percent" val="0"/>
        <cfvo type="num" val="0.7"/>
        <cfvo type="num" val="1"/>
      </iconSet>
    </cfRule>
    <cfRule type="dataBar" priority="2736">
      <dataBar>
        <cfvo type="num" val="0"/>
        <cfvo type="num" val="1"/>
        <color theme="4" tint="0.79998168889431442"/>
      </dataBar>
      <extLst>
        <ext xmlns:x14="http://schemas.microsoft.com/office/spreadsheetml/2009/9/main" uri="{B025F937-C7B1-47D3-B67F-A62EFF666E3E}">
          <x14:id>{FD677AA8-78D7-4B90-B475-6B0C83B81F1E}</x14:id>
        </ext>
      </extLst>
    </cfRule>
  </conditionalFormatting>
  <conditionalFormatting sqref="Y1085">
    <cfRule type="dataBar" priority="2734">
      <dataBar>
        <cfvo type="num" val="0"/>
        <cfvo type="num" val="1"/>
        <color theme="4" tint="0.79998168889431442"/>
      </dataBar>
      <extLst>
        <ext xmlns:x14="http://schemas.microsoft.com/office/spreadsheetml/2009/9/main" uri="{B025F937-C7B1-47D3-B67F-A62EFF666E3E}">
          <x14:id>{789598B8-81F2-473F-8C5E-C21F155E0FF3}</x14:id>
        </ext>
      </extLst>
    </cfRule>
    <cfRule type="iconSet" priority="2733">
      <iconSet iconSet="3Arrows">
        <cfvo type="percent" val="0"/>
        <cfvo type="num" val="0.7"/>
        <cfvo type="num" val="1"/>
      </iconSet>
    </cfRule>
  </conditionalFormatting>
  <conditionalFormatting sqref="Y1087">
    <cfRule type="dataBar" priority="2732">
      <dataBar>
        <cfvo type="num" val="0"/>
        <cfvo type="num" val="1"/>
        <color theme="4" tint="0.79998168889431442"/>
      </dataBar>
      <extLst>
        <ext xmlns:x14="http://schemas.microsoft.com/office/spreadsheetml/2009/9/main" uri="{B025F937-C7B1-47D3-B67F-A62EFF666E3E}">
          <x14:id>{2B4C3BAA-CB18-4613-B0B2-3DBF2E95E2FC}</x14:id>
        </ext>
      </extLst>
    </cfRule>
    <cfRule type="iconSet" priority="2731">
      <iconSet iconSet="3Arrows">
        <cfvo type="percent" val="0"/>
        <cfvo type="num" val="0.7"/>
        <cfvo type="num" val="1"/>
      </iconSet>
    </cfRule>
  </conditionalFormatting>
  <conditionalFormatting sqref="Y1089 Y1091 Y1093 Y1095 Y1097 Y1099 Y1101 Y1103">
    <cfRule type="dataBar" priority="2730">
      <dataBar>
        <cfvo type="num" val="0"/>
        <cfvo type="num" val="1"/>
        <color theme="4" tint="0.79998168889431442"/>
      </dataBar>
      <extLst>
        <ext xmlns:x14="http://schemas.microsoft.com/office/spreadsheetml/2009/9/main" uri="{B025F937-C7B1-47D3-B67F-A62EFF666E3E}">
          <x14:id>{C902CEF0-4D45-41C6-BB1E-EE5ADC963770}</x14:id>
        </ext>
      </extLst>
    </cfRule>
    <cfRule type="iconSet" priority="2729">
      <iconSet iconSet="3Arrows">
        <cfvo type="percent" val="0"/>
        <cfvo type="num" val="0.7"/>
        <cfvo type="num" val="1"/>
      </iconSet>
    </cfRule>
  </conditionalFormatting>
  <conditionalFormatting sqref="Y1105 Y1107 Y1109 Y1111 Y1113 Y1115 Y1117">
    <cfRule type="iconSet" priority="2727">
      <iconSet iconSet="3Arrows">
        <cfvo type="percent" val="0"/>
        <cfvo type="num" val="0.7"/>
        <cfvo type="num" val="1"/>
      </iconSet>
    </cfRule>
    <cfRule type="dataBar" priority="2728">
      <dataBar>
        <cfvo type="num" val="0"/>
        <cfvo type="num" val="1"/>
        <color theme="4" tint="0.79998168889431442"/>
      </dataBar>
      <extLst>
        <ext xmlns:x14="http://schemas.microsoft.com/office/spreadsheetml/2009/9/main" uri="{B025F937-C7B1-47D3-B67F-A62EFF666E3E}">
          <x14:id>{F9232A32-1176-4AAC-9839-3E94BC601F4F}</x14:id>
        </ext>
      </extLst>
    </cfRule>
  </conditionalFormatting>
  <conditionalFormatting sqref="Y1119">
    <cfRule type="dataBar" priority="2726">
      <dataBar>
        <cfvo type="num" val="0"/>
        <cfvo type="num" val="1"/>
        <color theme="4" tint="0.79998168889431442"/>
      </dataBar>
      <extLst>
        <ext xmlns:x14="http://schemas.microsoft.com/office/spreadsheetml/2009/9/main" uri="{B025F937-C7B1-47D3-B67F-A62EFF666E3E}">
          <x14:id>{D745D98C-1BB7-4F8D-95F2-EC0FCCC50E6F}</x14:id>
        </ext>
      </extLst>
    </cfRule>
    <cfRule type="iconSet" priority="2725">
      <iconSet iconSet="3Arrows">
        <cfvo type="percent" val="0"/>
        <cfvo type="num" val="0.7"/>
        <cfvo type="num" val="1"/>
      </iconSet>
    </cfRule>
  </conditionalFormatting>
  <conditionalFormatting sqref="Y1121">
    <cfRule type="dataBar" priority="2724">
      <dataBar>
        <cfvo type="num" val="0"/>
        <cfvo type="num" val="1"/>
        <color theme="4" tint="0.79998168889431442"/>
      </dataBar>
      <extLst>
        <ext xmlns:x14="http://schemas.microsoft.com/office/spreadsheetml/2009/9/main" uri="{B025F937-C7B1-47D3-B67F-A62EFF666E3E}">
          <x14:id>{3FD01770-05C3-46A8-B0A5-9A4238C8A4B6}</x14:id>
        </ext>
      </extLst>
    </cfRule>
    <cfRule type="iconSet" priority="2723">
      <iconSet iconSet="3Arrows">
        <cfvo type="percent" val="0"/>
        <cfvo type="num" val="0.7"/>
        <cfvo type="num" val="1"/>
      </iconSet>
    </cfRule>
  </conditionalFormatting>
  <conditionalFormatting sqref="Y1125">
    <cfRule type="dataBar" priority="2722">
      <dataBar>
        <cfvo type="num" val="0"/>
        <cfvo type="num" val="1"/>
        <color theme="4" tint="0.79998168889431442"/>
      </dataBar>
      <extLst>
        <ext xmlns:x14="http://schemas.microsoft.com/office/spreadsheetml/2009/9/main" uri="{B025F937-C7B1-47D3-B67F-A62EFF666E3E}">
          <x14:id>{028883B8-C277-4DC8-AA36-D927CB093829}</x14:id>
        </ext>
      </extLst>
    </cfRule>
    <cfRule type="iconSet" priority="2721">
      <iconSet iconSet="3Arrows">
        <cfvo type="percent" val="0"/>
        <cfvo type="num" val="0.7"/>
        <cfvo type="num" val="1"/>
      </iconSet>
    </cfRule>
  </conditionalFormatting>
  <conditionalFormatting sqref="Y1128">
    <cfRule type="dataBar" priority="2720">
      <dataBar>
        <cfvo type="num" val="0"/>
        <cfvo type="num" val="1"/>
        <color theme="4" tint="0.79998168889431442"/>
      </dataBar>
      <extLst>
        <ext xmlns:x14="http://schemas.microsoft.com/office/spreadsheetml/2009/9/main" uri="{B025F937-C7B1-47D3-B67F-A62EFF666E3E}">
          <x14:id>{42BF5404-C12D-478F-B78F-3AC32DDDE6C8}</x14:id>
        </ext>
      </extLst>
    </cfRule>
    <cfRule type="iconSet" priority="2719">
      <iconSet iconSet="3Arrows">
        <cfvo type="percent" val="0"/>
        <cfvo type="num" val="0.7"/>
        <cfvo type="num" val="1"/>
      </iconSet>
    </cfRule>
  </conditionalFormatting>
  <conditionalFormatting sqref="Y1130 Y1132 Y1134">
    <cfRule type="dataBar" priority="2718">
      <dataBar>
        <cfvo type="num" val="0"/>
        <cfvo type="num" val="1"/>
        <color theme="4" tint="0.79998168889431442"/>
      </dataBar>
      <extLst>
        <ext xmlns:x14="http://schemas.microsoft.com/office/spreadsheetml/2009/9/main" uri="{B025F937-C7B1-47D3-B67F-A62EFF666E3E}">
          <x14:id>{A034080F-4967-4115-871A-A785F5265E16}</x14:id>
        </ext>
      </extLst>
    </cfRule>
    <cfRule type="iconSet" priority="2717">
      <iconSet iconSet="3Arrows">
        <cfvo type="percent" val="0"/>
        <cfvo type="num" val="0.7"/>
        <cfvo type="num" val="1"/>
      </iconSet>
    </cfRule>
  </conditionalFormatting>
  <conditionalFormatting sqref="Y1136 Y1138">
    <cfRule type="dataBar" priority="2716">
      <dataBar>
        <cfvo type="num" val="0"/>
        <cfvo type="num" val="1"/>
        <color theme="4" tint="0.79998168889431442"/>
      </dataBar>
      <extLst>
        <ext xmlns:x14="http://schemas.microsoft.com/office/spreadsheetml/2009/9/main" uri="{B025F937-C7B1-47D3-B67F-A62EFF666E3E}">
          <x14:id>{0F751899-E028-4397-91C7-F876FEFD733F}</x14:id>
        </ext>
      </extLst>
    </cfRule>
    <cfRule type="iconSet" priority="2715">
      <iconSet iconSet="3Arrows">
        <cfvo type="percent" val="0"/>
        <cfvo type="num" val="0.7"/>
        <cfvo type="num" val="1"/>
      </iconSet>
    </cfRule>
  </conditionalFormatting>
  <conditionalFormatting sqref="Y1140 Y1142 Y1144">
    <cfRule type="dataBar" priority="2714">
      <dataBar>
        <cfvo type="num" val="0"/>
        <cfvo type="num" val="1"/>
        <color theme="4" tint="0.79998168889431442"/>
      </dataBar>
      <extLst>
        <ext xmlns:x14="http://schemas.microsoft.com/office/spreadsheetml/2009/9/main" uri="{B025F937-C7B1-47D3-B67F-A62EFF666E3E}">
          <x14:id>{EB33E597-586A-4D05-85BE-35809807EBE6}</x14:id>
        </ext>
      </extLst>
    </cfRule>
    <cfRule type="iconSet" priority="2713">
      <iconSet iconSet="3Arrows">
        <cfvo type="percent" val="0"/>
        <cfvo type="num" val="0.7"/>
        <cfvo type="num" val="1"/>
      </iconSet>
    </cfRule>
  </conditionalFormatting>
  <conditionalFormatting sqref="Y1146 Y1148 Y1150">
    <cfRule type="dataBar" priority="2712">
      <dataBar>
        <cfvo type="num" val="0"/>
        <cfvo type="num" val="1"/>
        <color theme="4" tint="0.79998168889431442"/>
      </dataBar>
      <extLst>
        <ext xmlns:x14="http://schemas.microsoft.com/office/spreadsheetml/2009/9/main" uri="{B025F937-C7B1-47D3-B67F-A62EFF666E3E}">
          <x14:id>{26A70DA1-D5A2-485B-8497-E564ADB9B0CF}</x14:id>
        </ext>
      </extLst>
    </cfRule>
    <cfRule type="iconSet" priority="2711">
      <iconSet iconSet="3Arrows">
        <cfvo type="percent" val="0"/>
        <cfvo type="num" val="0.7"/>
        <cfvo type="num" val="1"/>
      </iconSet>
    </cfRule>
  </conditionalFormatting>
  <conditionalFormatting sqref="Y1152 Y1154 Y1156">
    <cfRule type="iconSet" priority="2709">
      <iconSet iconSet="3Arrows">
        <cfvo type="percent" val="0"/>
        <cfvo type="num" val="0.7"/>
        <cfvo type="num" val="1"/>
      </iconSet>
    </cfRule>
    <cfRule type="dataBar" priority="2710">
      <dataBar>
        <cfvo type="num" val="0"/>
        <cfvo type="num" val="1"/>
        <color theme="4" tint="0.79998168889431442"/>
      </dataBar>
      <extLst>
        <ext xmlns:x14="http://schemas.microsoft.com/office/spreadsheetml/2009/9/main" uri="{B025F937-C7B1-47D3-B67F-A62EFF666E3E}">
          <x14:id>{15DD0D2A-EBFC-4585-BF79-122CAF87607E}</x14:id>
        </ext>
      </extLst>
    </cfRule>
  </conditionalFormatting>
  <conditionalFormatting sqref="Y1158 Y1160 Y1162">
    <cfRule type="iconSet" priority="2707">
      <iconSet iconSet="3Arrows">
        <cfvo type="percent" val="0"/>
        <cfvo type="num" val="0.7"/>
        <cfvo type="num" val="1"/>
      </iconSet>
    </cfRule>
    <cfRule type="dataBar" priority="2708">
      <dataBar>
        <cfvo type="num" val="0"/>
        <cfvo type="num" val="1"/>
        <color theme="4" tint="0.79998168889431442"/>
      </dataBar>
      <extLst>
        <ext xmlns:x14="http://schemas.microsoft.com/office/spreadsheetml/2009/9/main" uri="{B025F937-C7B1-47D3-B67F-A62EFF666E3E}">
          <x14:id>{622785E0-D974-4BE4-B609-54C01A98B084}</x14:id>
        </ext>
      </extLst>
    </cfRule>
  </conditionalFormatting>
  <conditionalFormatting sqref="Y1164 Y1166 Y1168">
    <cfRule type="iconSet" priority="2705">
      <iconSet iconSet="3Arrows">
        <cfvo type="percent" val="0"/>
        <cfvo type="num" val="0.7"/>
        <cfvo type="num" val="1"/>
      </iconSet>
    </cfRule>
    <cfRule type="dataBar" priority="2706">
      <dataBar>
        <cfvo type="num" val="0"/>
        <cfvo type="num" val="1"/>
        <color theme="4" tint="0.79998168889431442"/>
      </dataBar>
      <extLst>
        <ext xmlns:x14="http://schemas.microsoft.com/office/spreadsheetml/2009/9/main" uri="{B025F937-C7B1-47D3-B67F-A62EFF666E3E}">
          <x14:id>{5A1C2DB0-D3AF-4FCF-A914-D03C6B31CD8A}</x14:id>
        </ext>
      </extLst>
    </cfRule>
  </conditionalFormatting>
  <conditionalFormatting sqref="Y1170 Y1172 Y1174">
    <cfRule type="iconSet" priority="2703">
      <iconSet iconSet="3Arrows">
        <cfvo type="percent" val="0"/>
        <cfvo type="num" val="0.7"/>
        <cfvo type="num" val="1"/>
      </iconSet>
    </cfRule>
    <cfRule type="dataBar" priority="2704">
      <dataBar>
        <cfvo type="num" val="0"/>
        <cfvo type="num" val="1"/>
        <color theme="4" tint="0.79998168889431442"/>
      </dataBar>
      <extLst>
        <ext xmlns:x14="http://schemas.microsoft.com/office/spreadsheetml/2009/9/main" uri="{B025F937-C7B1-47D3-B67F-A62EFF666E3E}">
          <x14:id>{82BA3174-D5F0-4711-9FF5-4B2CCF6DCC95}</x14:id>
        </ext>
      </extLst>
    </cfRule>
  </conditionalFormatting>
  <conditionalFormatting sqref="Y1176 Y1178 Y1180">
    <cfRule type="iconSet" priority="2701">
      <iconSet iconSet="3Arrows">
        <cfvo type="percent" val="0"/>
        <cfvo type="num" val="0.7"/>
        <cfvo type="num" val="1"/>
      </iconSet>
    </cfRule>
    <cfRule type="dataBar" priority="2702">
      <dataBar>
        <cfvo type="num" val="0"/>
        <cfvo type="num" val="1"/>
        <color theme="4" tint="0.79998168889431442"/>
      </dataBar>
      <extLst>
        <ext xmlns:x14="http://schemas.microsoft.com/office/spreadsheetml/2009/9/main" uri="{B025F937-C7B1-47D3-B67F-A62EFF666E3E}">
          <x14:id>{49522515-95F9-41F8-9A49-FA2724A80042}</x14:id>
        </ext>
      </extLst>
    </cfRule>
  </conditionalFormatting>
  <conditionalFormatting sqref="Y1182 Y1184 Y1186">
    <cfRule type="dataBar" priority="2700">
      <dataBar>
        <cfvo type="num" val="0"/>
        <cfvo type="num" val="1"/>
        <color theme="4" tint="0.79998168889431442"/>
      </dataBar>
      <extLst>
        <ext xmlns:x14="http://schemas.microsoft.com/office/spreadsheetml/2009/9/main" uri="{B025F937-C7B1-47D3-B67F-A62EFF666E3E}">
          <x14:id>{4F4327DE-A9E1-428A-A0A0-0D93D4517AAD}</x14:id>
        </ext>
      </extLst>
    </cfRule>
    <cfRule type="iconSet" priority="2699">
      <iconSet iconSet="3Arrows">
        <cfvo type="percent" val="0"/>
        <cfvo type="num" val="0.7"/>
        <cfvo type="num" val="1"/>
      </iconSet>
    </cfRule>
  </conditionalFormatting>
  <conditionalFormatting sqref="Y1188 Y1190 Y1192">
    <cfRule type="dataBar" priority="2698">
      <dataBar>
        <cfvo type="num" val="0"/>
        <cfvo type="num" val="1"/>
        <color theme="4" tint="0.79998168889431442"/>
      </dataBar>
      <extLst>
        <ext xmlns:x14="http://schemas.microsoft.com/office/spreadsheetml/2009/9/main" uri="{B025F937-C7B1-47D3-B67F-A62EFF666E3E}">
          <x14:id>{2C93A75C-FE49-4CD0-8AE5-B92C5C2D6B38}</x14:id>
        </ext>
      </extLst>
    </cfRule>
    <cfRule type="iconSet" priority="2697">
      <iconSet iconSet="3Arrows">
        <cfvo type="percent" val="0"/>
        <cfvo type="num" val="0.7"/>
        <cfvo type="num" val="1"/>
      </iconSet>
    </cfRule>
  </conditionalFormatting>
  <conditionalFormatting sqref="Y1194 Y1196">
    <cfRule type="dataBar" priority="2696">
      <dataBar>
        <cfvo type="num" val="0"/>
        <cfvo type="num" val="1"/>
        <color theme="4" tint="0.79998168889431442"/>
      </dataBar>
      <extLst>
        <ext xmlns:x14="http://schemas.microsoft.com/office/spreadsheetml/2009/9/main" uri="{B025F937-C7B1-47D3-B67F-A62EFF666E3E}">
          <x14:id>{F4538980-2E81-4E67-B1F6-AB8EEAD12A7A}</x14:id>
        </ext>
      </extLst>
    </cfRule>
    <cfRule type="iconSet" priority="2695">
      <iconSet iconSet="3Arrows">
        <cfvo type="percent" val="0"/>
        <cfvo type="num" val="0.7"/>
        <cfvo type="num" val="1"/>
      </iconSet>
    </cfRule>
  </conditionalFormatting>
  <conditionalFormatting sqref="Y1199">
    <cfRule type="dataBar" priority="2694">
      <dataBar>
        <cfvo type="num" val="0"/>
        <cfvo type="num" val="1"/>
        <color theme="4" tint="0.79998168889431442"/>
      </dataBar>
      <extLst>
        <ext xmlns:x14="http://schemas.microsoft.com/office/spreadsheetml/2009/9/main" uri="{B025F937-C7B1-47D3-B67F-A62EFF666E3E}">
          <x14:id>{68E57855-1873-47E2-A92F-7AE3FD7DC8D4}</x14:id>
        </ext>
      </extLst>
    </cfRule>
    <cfRule type="iconSet" priority="2693">
      <iconSet iconSet="3Arrows">
        <cfvo type="percent" val="0"/>
        <cfvo type="num" val="0.7"/>
        <cfvo type="num" val="1"/>
      </iconSet>
    </cfRule>
  </conditionalFormatting>
  <conditionalFormatting sqref="Y1201">
    <cfRule type="dataBar" priority="2692">
      <dataBar>
        <cfvo type="num" val="0"/>
        <cfvo type="num" val="1"/>
        <color theme="4" tint="0.79998168889431442"/>
      </dataBar>
      <extLst>
        <ext xmlns:x14="http://schemas.microsoft.com/office/spreadsheetml/2009/9/main" uri="{B025F937-C7B1-47D3-B67F-A62EFF666E3E}">
          <x14:id>{1FABBC6A-C8B0-4E15-964A-7D7A1E1A4ADF}</x14:id>
        </ext>
      </extLst>
    </cfRule>
    <cfRule type="iconSet" priority="2691">
      <iconSet iconSet="3Arrows">
        <cfvo type="percent" val="0"/>
        <cfvo type="num" val="0.7"/>
        <cfvo type="num" val="1"/>
      </iconSet>
    </cfRule>
  </conditionalFormatting>
  <conditionalFormatting sqref="Y1203 Y1205 Y1207 Y1209 Y1211 Y1213">
    <cfRule type="dataBar" priority="2690">
      <dataBar>
        <cfvo type="num" val="0"/>
        <cfvo type="num" val="1"/>
        <color theme="4" tint="0.79998168889431442"/>
      </dataBar>
      <extLst>
        <ext xmlns:x14="http://schemas.microsoft.com/office/spreadsheetml/2009/9/main" uri="{B025F937-C7B1-47D3-B67F-A62EFF666E3E}">
          <x14:id>{1927EB59-2ABD-46E6-ABA8-7122C9916117}</x14:id>
        </ext>
      </extLst>
    </cfRule>
    <cfRule type="iconSet" priority="2689">
      <iconSet iconSet="3Arrows">
        <cfvo type="percent" val="0"/>
        <cfvo type="num" val="0.7"/>
        <cfvo type="num" val="1"/>
      </iconSet>
    </cfRule>
  </conditionalFormatting>
  <conditionalFormatting sqref="Y1215 Y1217 Y1219 Y1221 Y1223 Y1225">
    <cfRule type="dataBar" priority="2688">
      <dataBar>
        <cfvo type="num" val="0"/>
        <cfvo type="num" val="1"/>
        <color theme="4" tint="0.79998168889431442"/>
      </dataBar>
      <extLst>
        <ext xmlns:x14="http://schemas.microsoft.com/office/spreadsheetml/2009/9/main" uri="{B025F937-C7B1-47D3-B67F-A62EFF666E3E}">
          <x14:id>{D8A71400-F9E2-4B37-A2E1-4E4BBA1B07DC}</x14:id>
        </ext>
      </extLst>
    </cfRule>
    <cfRule type="iconSet" priority="2687">
      <iconSet iconSet="3Arrows">
        <cfvo type="percent" val="0"/>
        <cfvo type="num" val="0.7"/>
        <cfvo type="num" val="1"/>
      </iconSet>
    </cfRule>
  </conditionalFormatting>
  <conditionalFormatting sqref="Y1227">
    <cfRule type="iconSet" priority="2685">
      <iconSet iconSet="3Arrows">
        <cfvo type="percent" val="0"/>
        <cfvo type="num" val="0.7"/>
        <cfvo type="num" val="1"/>
      </iconSet>
    </cfRule>
    <cfRule type="dataBar" priority="2686">
      <dataBar>
        <cfvo type="num" val="0"/>
        <cfvo type="num" val="1"/>
        <color theme="4" tint="0.79998168889431442"/>
      </dataBar>
      <extLst>
        <ext xmlns:x14="http://schemas.microsoft.com/office/spreadsheetml/2009/9/main" uri="{B025F937-C7B1-47D3-B67F-A62EFF666E3E}">
          <x14:id>{5349587D-163A-4AF5-8852-B1016C9114F0}</x14:id>
        </ext>
      </extLst>
    </cfRule>
  </conditionalFormatting>
  <conditionalFormatting sqref="Y1229 Y1231 Y1233 Y1235 Y1237 Y1239">
    <cfRule type="dataBar" priority="2684">
      <dataBar>
        <cfvo type="num" val="0"/>
        <cfvo type="num" val="1"/>
        <color theme="4" tint="0.79998168889431442"/>
      </dataBar>
      <extLst>
        <ext xmlns:x14="http://schemas.microsoft.com/office/spreadsheetml/2009/9/main" uri="{B025F937-C7B1-47D3-B67F-A62EFF666E3E}">
          <x14:id>{C6D6AA1C-958A-4317-8580-7F8FA1E7626B}</x14:id>
        </ext>
      </extLst>
    </cfRule>
    <cfRule type="iconSet" priority="2683">
      <iconSet iconSet="3Arrows">
        <cfvo type="percent" val="0"/>
        <cfvo type="num" val="0.7"/>
        <cfvo type="num" val="1"/>
      </iconSet>
    </cfRule>
  </conditionalFormatting>
  <conditionalFormatting sqref="Y1241 Y1243 Y1245 Y1247 Y1249 Y1251">
    <cfRule type="dataBar" priority="2682">
      <dataBar>
        <cfvo type="num" val="0"/>
        <cfvo type="num" val="1"/>
        <color theme="4" tint="0.79998168889431442"/>
      </dataBar>
      <extLst>
        <ext xmlns:x14="http://schemas.microsoft.com/office/spreadsheetml/2009/9/main" uri="{B025F937-C7B1-47D3-B67F-A62EFF666E3E}">
          <x14:id>{7118C7E9-1A8A-4A2C-907A-59F25108CA09}</x14:id>
        </ext>
      </extLst>
    </cfRule>
    <cfRule type="iconSet" priority="2681">
      <iconSet iconSet="3Arrows">
        <cfvo type="percent" val="0"/>
        <cfvo type="num" val="0.7"/>
        <cfvo type="num" val="1"/>
      </iconSet>
    </cfRule>
  </conditionalFormatting>
  <conditionalFormatting sqref="Y1253">
    <cfRule type="dataBar" priority="2680">
      <dataBar>
        <cfvo type="num" val="0"/>
        <cfvo type="num" val="1"/>
        <color theme="4" tint="0.79998168889431442"/>
      </dataBar>
      <extLst>
        <ext xmlns:x14="http://schemas.microsoft.com/office/spreadsheetml/2009/9/main" uri="{B025F937-C7B1-47D3-B67F-A62EFF666E3E}">
          <x14:id>{FA4AEA61-5914-4A84-A5F9-47969811EE85}</x14:id>
        </ext>
      </extLst>
    </cfRule>
    <cfRule type="iconSet" priority="2679">
      <iconSet iconSet="3Arrows">
        <cfvo type="percent" val="0"/>
        <cfvo type="num" val="0.7"/>
        <cfvo type="num" val="1"/>
      </iconSet>
    </cfRule>
  </conditionalFormatting>
  <conditionalFormatting sqref="Y1255 Y1257 Y1259 Y1261 Y1263 Y1265">
    <cfRule type="dataBar" priority="2678">
      <dataBar>
        <cfvo type="num" val="0"/>
        <cfvo type="num" val="1"/>
        <color theme="4" tint="0.79998168889431442"/>
      </dataBar>
      <extLst>
        <ext xmlns:x14="http://schemas.microsoft.com/office/spreadsheetml/2009/9/main" uri="{B025F937-C7B1-47D3-B67F-A62EFF666E3E}">
          <x14:id>{E8044921-8A61-47AB-8426-52A51F92D296}</x14:id>
        </ext>
      </extLst>
    </cfRule>
    <cfRule type="iconSet" priority="2677">
      <iconSet iconSet="3Arrows">
        <cfvo type="percent" val="0"/>
        <cfvo type="num" val="0.7"/>
        <cfvo type="num" val="1"/>
      </iconSet>
    </cfRule>
  </conditionalFormatting>
  <conditionalFormatting sqref="Y1267 Y1269 Y1271 Y1273 Y1275 Y1277">
    <cfRule type="dataBar" priority="2676">
      <dataBar>
        <cfvo type="num" val="0"/>
        <cfvo type="num" val="1"/>
        <color theme="4" tint="0.79998168889431442"/>
      </dataBar>
      <extLst>
        <ext xmlns:x14="http://schemas.microsoft.com/office/spreadsheetml/2009/9/main" uri="{B025F937-C7B1-47D3-B67F-A62EFF666E3E}">
          <x14:id>{494A491F-C412-408A-AB41-57EF5210DD67}</x14:id>
        </ext>
      </extLst>
    </cfRule>
    <cfRule type="iconSet" priority="2675">
      <iconSet iconSet="3Arrows">
        <cfvo type="percent" val="0"/>
        <cfvo type="num" val="0.7"/>
        <cfvo type="num" val="1"/>
      </iconSet>
    </cfRule>
  </conditionalFormatting>
  <conditionalFormatting sqref="Y1279">
    <cfRule type="dataBar" priority="2674">
      <dataBar>
        <cfvo type="num" val="0"/>
        <cfvo type="num" val="1"/>
        <color theme="4" tint="0.79998168889431442"/>
      </dataBar>
      <extLst>
        <ext xmlns:x14="http://schemas.microsoft.com/office/spreadsheetml/2009/9/main" uri="{B025F937-C7B1-47D3-B67F-A62EFF666E3E}">
          <x14:id>{328B88BF-62E2-4B7B-8C66-9AD22CCD19CF}</x14:id>
        </ext>
      </extLst>
    </cfRule>
    <cfRule type="iconSet" priority="2673">
      <iconSet iconSet="3Arrows">
        <cfvo type="percent" val="0"/>
        <cfvo type="num" val="0.7"/>
        <cfvo type="num" val="1"/>
      </iconSet>
    </cfRule>
  </conditionalFormatting>
  <conditionalFormatting sqref="Y1281 Y1283 Y1285 Y1287 Y1289 Y1291">
    <cfRule type="dataBar" priority="2672">
      <dataBar>
        <cfvo type="num" val="0"/>
        <cfvo type="num" val="1"/>
        <color theme="4" tint="0.79998168889431442"/>
      </dataBar>
      <extLst>
        <ext xmlns:x14="http://schemas.microsoft.com/office/spreadsheetml/2009/9/main" uri="{B025F937-C7B1-47D3-B67F-A62EFF666E3E}">
          <x14:id>{80A707C9-FA2E-441F-B10D-B71A20F37344}</x14:id>
        </ext>
      </extLst>
    </cfRule>
    <cfRule type="iconSet" priority="2671">
      <iconSet iconSet="3Arrows">
        <cfvo type="percent" val="0"/>
        <cfvo type="num" val="0.7"/>
        <cfvo type="num" val="1"/>
      </iconSet>
    </cfRule>
  </conditionalFormatting>
  <conditionalFormatting sqref="Y1293 Y1295 Y1297 Y1299 Y1301 Y1303">
    <cfRule type="dataBar" priority="2670">
      <dataBar>
        <cfvo type="num" val="0"/>
        <cfvo type="num" val="1"/>
        <color theme="4" tint="0.79998168889431442"/>
      </dataBar>
      <extLst>
        <ext xmlns:x14="http://schemas.microsoft.com/office/spreadsheetml/2009/9/main" uri="{B025F937-C7B1-47D3-B67F-A62EFF666E3E}">
          <x14:id>{E0EF1396-587C-4F2E-BF71-59C8B5BA4E1C}</x14:id>
        </ext>
      </extLst>
    </cfRule>
    <cfRule type="iconSet" priority="2669">
      <iconSet iconSet="3Arrows">
        <cfvo type="percent" val="0"/>
        <cfvo type="num" val="0.7"/>
        <cfvo type="num" val="1"/>
      </iconSet>
    </cfRule>
  </conditionalFormatting>
  <conditionalFormatting sqref="Y1305 Y1307 Y1309 Y1311 Y1313">
    <cfRule type="iconSet" priority="2667">
      <iconSet iconSet="3Arrows">
        <cfvo type="percent" val="0"/>
        <cfvo type="num" val="0.7"/>
        <cfvo type="num" val="1"/>
      </iconSet>
    </cfRule>
    <cfRule type="dataBar" priority="2668">
      <dataBar>
        <cfvo type="num" val="0"/>
        <cfvo type="num" val="1"/>
        <color theme="4" tint="0.79998168889431442"/>
      </dataBar>
      <extLst>
        <ext xmlns:x14="http://schemas.microsoft.com/office/spreadsheetml/2009/9/main" uri="{B025F937-C7B1-47D3-B67F-A62EFF666E3E}">
          <x14:id>{D9E384D3-4CA5-4663-A256-80EEC48F4622}</x14:id>
        </ext>
      </extLst>
    </cfRule>
  </conditionalFormatting>
  <conditionalFormatting sqref="Y1315 Y1317 Y1319 Y1321 Y1323 Y1325">
    <cfRule type="iconSet" priority="2665">
      <iconSet iconSet="3Arrows">
        <cfvo type="percent" val="0"/>
        <cfvo type="num" val="0.7"/>
        <cfvo type="num" val="1"/>
      </iconSet>
    </cfRule>
    <cfRule type="dataBar" priority="2666">
      <dataBar>
        <cfvo type="num" val="0"/>
        <cfvo type="num" val="1"/>
        <color theme="4" tint="0.79998168889431442"/>
      </dataBar>
      <extLst>
        <ext xmlns:x14="http://schemas.microsoft.com/office/spreadsheetml/2009/9/main" uri="{B025F937-C7B1-47D3-B67F-A62EFF666E3E}">
          <x14:id>{516ECF20-097E-4979-A10B-376DDEFEB07C}</x14:id>
        </ext>
      </extLst>
    </cfRule>
  </conditionalFormatting>
  <conditionalFormatting sqref="Y1327 Y1329 Y1331 Y1333 Y1335">
    <cfRule type="iconSet" priority="2663">
      <iconSet iconSet="3Arrows">
        <cfvo type="percent" val="0"/>
        <cfvo type="num" val="0.7"/>
        <cfvo type="num" val="1"/>
      </iconSet>
    </cfRule>
    <cfRule type="dataBar" priority="2664">
      <dataBar>
        <cfvo type="num" val="0"/>
        <cfvo type="num" val="1"/>
        <color theme="4" tint="0.79998168889431442"/>
      </dataBar>
      <extLst>
        <ext xmlns:x14="http://schemas.microsoft.com/office/spreadsheetml/2009/9/main" uri="{B025F937-C7B1-47D3-B67F-A62EFF666E3E}">
          <x14:id>{7DB9D2F7-98CA-4EED-B2FB-99E4E192D586}</x14:id>
        </ext>
      </extLst>
    </cfRule>
  </conditionalFormatting>
  <conditionalFormatting sqref="Y1337 Y1339 Y1341 Y1343 Y1345 Y1347">
    <cfRule type="dataBar" priority="2662">
      <dataBar>
        <cfvo type="num" val="0"/>
        <cfvo type="num" val="1"/>
        <color theme="4" tint="0.79998168889431442"/>
      </dataBar>
      <extLst>
        <ext xmlns:x14="http://schemas.microsoft.com/office/spreadsheetml/2009/9/main" uri="{B025F937-C7B1-47D3-B67F-A62EFF666E3E}">
          <x14:id>{8A2308C8-6DE9-4948-BF2E-83FBEBD4A568}</x14:id>
        </ext>
      </extLst>
    </cfRule>
    <cfRule type="iconSet" priority="2661">
      <iconSet iconSet="3Arrows">
        <cfvo type="percent" val="0"/>
        <cfvo type="num" val="0.7"/>
        <cfvo type="num" val="1"/>
      </iconSet>
    </cfRule>
  </conditionalFormatting>
  <conditionalFormatting sqref="Y1349 Y1351 Y1353 Y1355">
    <cfRule type="iconSet" priority="2659">
      <iconSet iconSet="3Arrows">
        <cfvo type="percent" val="0"/>
        <cfvo type="num" val="0.7"/>
        <cfvo type="num" val="1"/>
      </iconSet>
    </cfRule>
    <cfRule type="dataBar" priority="2660">
      <dataBar>
        <cfvo type="num" val="0"/>
        <cfvo type="num" val="1"/>
        <color theme="4" tint="0.79998168889431442"/>
      </dataBar>
      <extLst>
        <ext xmlns:x14="http://schemas.microsoft.com/office/spreadsheetml/2009/9/main" uri="{B025F937-C7B1-47D3-B67F-A62EFF666E3E}">
          <x14:id>{E044F498-6A92-491D-9788-F3C158F39824}</x14:id>
        </ext>
      </extLst>
    </cfRule>
  </conditionalFormatting>
  <conditionalFormatting sqref="Y1357">
    <cfRule type="iconSet" priority="2657">
      <iconSet iconSet="3Arrows">
        <cfvo type="percent" val="0"/>
        <cfvo type="num" val="0.7"/>
        <cfvo type="num" val="1"/>
      </iconSet>
    </cfRule>
    <cfRule type="dataBar" priority="2658">
      <dataBar>
        <cfvo type="num" val="0"/>
        <cfvo type="num" val="1"/>
        <color theme="4" tint="0.79998168889431442"/>
      </dataBar>
      <extLst>
        <ext xmlns:x14="http://schemas.microsoft.com/office/spreadsheetml/2009/9/main" uri="{B025F937-C7B1-47D3-B67F-A62EFF666E3E}">
          <x14:id>{56A172C2-BCA0-4E67-9C72-3EB9D55BBDA7}</x14:id>
        </ext>
      </extLst>
    </cfRule>
  </conditionalFormatting>
  <conditionalFormatting sqref="Y1359">
    <cfRule type="iconSet" priority="2655">
      <iconSet iconSet="3Arrows">
        <cfvo type="percent" val="0"/>
        <cfvo type="num" val="0.7"/>
        <cfvo type="num" val="1"/>
      </iconSet>
    </cfRule>
    <cfRule type="dataBar" priority="2656">
      <dataBar>
        <cfvo type="num" val="0"/>
        <cfvo type="num" val="1"/>
        <color theme="4" tint="0.79998168889431442"/>
      </dataBar>
      <extLst>
        <ext xmlns:x14="http://schemas.microsoft.com/office/spreadsheetml/2009/9/main" uri="{B025F937-C7B1-47D3-B67F-A62EFF666E3E}">
          <x14:id>{26F39EDC-E10F-45A1-A900-0189DF22F699}</x14:id>
        </ext>
      </extLst>
    </cfRule>
  </conditionalFormatting>
  <conditionalFormatting sqref="Y1362">
    <cfRule type="iconSet" priority="2653">
      <iconSet iconSet="3Arrows">
        <cfvo type="percent" val="0"/>
        <cfvo type="num" val="0.7"/>
        <cfvo type="num" val="1"/>
      </iconSet>
    </cfRule>
    <cfRule type="dataBar" priority="2654">
      <dataBar>
        <cfvo type="num" val="0"/>
        <cfvo type="num" val="1"/>
        <color theme="4" tint="0.79998168889431442"/>
      </dataBar>
      <extLst>
        <ext xmlns:x14="http://schemas.microsoft.com/office/spreadsheetml/2009/9/main" uri="{B025F937-C7B1-47D3-B67F-A62EFF666E3E}">
          <x14:id>{EADA4140-74A7-49D1-9E8F-6EAA8AD3921A}</x14:id>
        </ext>
      </extLst>
    </cfRule>
  </conditionalFormatting>
  <conditionalFormatting sqref="Y1364 Y1366 Y1368 Y1370 Y1372 Y1374 Y1376 Y1378 Y1380 Y1382 Y1384">
    <cfRule type="dataBar" priority="2652">
      <dataBar>
        <cfvo type="num" val="0"/>
        <cfvo type="num" val="1"/>
        <color theme="4" tint="0.79998168889431442"/>
      </dataBar>
      <extLst>
        <ext xmlns:x14="http://schemas.microsoft.com/office/spreadsheetml/2009/9/main" uri="{B025F937-C7B1-47D3-B67F-A62EFF666E3E}">
          <x14:id>{049D76AF-7CB9-4B0E-928C-76042BD7CBD4}</x14:id>
        </ext>
      </extLst>
    </cfRule>
    <cfRule type="iconSet" priority="2651">
      <iconSet iconSet="3Arrows">
        <cfvo type="percent" val="0"/>
        <cfvo type="num" val="0.7"/>
        <cfvo type="num" val="1"/>
      </iconSet>
    </cfRule>
  </conditionalFormatting>
  <conditionalFormatting sqref="Y1386 Y1388 Y1390 Y1392 Y1394 Y1396 Y1398 Y1400 Y1402 Y1404 Y1406">
    <cfRule type="iconSet" priority="2649">
      <iconSet iconSet="3Arrows">
        <cfvo type="percent" val="0"/>
        <cfvo type="num" val="0.7"/>
        <cfvo type="num" val="1"/>
      </iconSet>
    </cfRule>
    <cfRule type="dataBar" priority="2650">
      <dataBar>
        <cfvo type="num" val="0"/>
        <cfvo type="num" val="1"/>
        <color theme="4" tint="0.79998168889431442"/>
      </dataBar>
      <extLst>
        <ext xmlns:x14="http://schemas.microsoft.com/office/spreadsheetml/2009/9/main" uri="{B025F937-C7B1-47D3-B67F-A62EFF666E3E}">
          <x14:id>{BB9FFA95-AD08-4675-96E5-C7C7126512D0}</x14:id>
        </ext>
      </extLst>
    </cfRule>
  </conditionalFormatting>
  <conditionalFormatting sqref="Y1408 Y1410 Y1412 Y1414 Y1416 Y1418 Y1420 Y1422 Y1424">
    <cfRule type="iconSet" priority="2647">
      <iconSet iconSet="3Arrows">
        <cfvo type="percent" val="0"/>
        <cfvo type="num" val="0.7"/>
        <cfvo type="num" val="1"/>
      </iconSet>
    </cfRule>
    <cfRule type="dataBar" priority="2648">
      <dataBar>
        <cfvo type="num" val="0"/>
        <cfvo type="num" val="1"/>
        <color theme="4" tint="0.79998168889431442"/>
      </dataBar>
      <extLst>
        <ext xmlns:x14="http://schemas.microsoft.com/office/spreadsheetml/2009/9/main" uri="{B025F937-C7B1-47D3-B67F-A62EFF666E3E}">
          <x14:id>{A00796B3-F1A5-41B8-B5F8-B12DD7E1817B}</x14:id>
        </ext>
      </extLst>
    </cfRule>
  </conditionalFormatting>
  <conditionalFormatting sqref="Y1426 Y1428 Y1430 Y1432 Y1434 Y1436">
    <cfRule type="iconSet" priority="2645">
      <iconSet iconSet="3Arrows">
        <cfvo type="percent" val="0"/>
        <cfvo type="num" val="0.7"/>
        <cfvo type="num" val="1"/>
      </iconSet>
    </cfRule>
    <cfRule type="dataBar" priority="2646">
      <dataBar>
        <cfvo type="num" val="0"/>
        <cfvo type="num" val="1"/>
        <color theme="4" tint="0.79998168889431442"/>
      </dataBar>
      <extLst>
        <ext xmlns:x14="http://schemas.microsoft.com/office/spreadsheetml/2009/9/main" uri="{B025F937-C7B1-47D3-B67F-A62EFF666E3E}">
          <x14:id>{5133479C-059D-4D4D-B74B-3D5BB0A97CEF}</x14:id>
        </ext>
      </extLst>
    </cfRule>
  </conditionalFormatting>
  <conditionalFormatting sqref="Y1442">
    <cfRule type="iconSet" priority="2643">
      <iconSet iconSet="3Arrows">
        <cfvo type="percent" val="0"/>
        <cfvo type="num" val="0.7"/>
        <cfvo type="num" val="1"/>
      </iconSet>
    </cfRule>
    <cfRule type="dataBar" priority="2644">
      <dataBar>
        <cfvo type="num" val="0"/>
        <cfvo type="num" val="1"/>
        <color theme="4" tint="0.79998168889431442"/>
      </dataBar>
      <extLst>
        <ext xmlns:x14="http://schemas.microsoft.com/office/spreadsheetml/2009/9/main" uri="{B025F937-C7B1-47D3-B67F-A62EFF666E3E}">
          <x14:id>{DCFF2D72-2DA8-4C38-B2D4-2F85224550A2}</x14:id>
        </ext>
      </extLst>
    </cfRule>
  </conditionalFormatting>
  <conditionalFormatting sqref="Y1445">
    <cfRule type="iconSet" priority="2641">
      <iconSet iconSet="3Arrows">
        <cfvo type="percent" val="0"/>
        <cfvo type="num" val="0.7"/>
        <cfvo type="num" val="1"/>
      </iconSet>
    </cfRule>
    <cfRule type="dataBar" priority="2642">
      <dataBar>
        <cfvo type="num" val="0"/>
        <cfvo type="num" val="1"/>
        <color theme="4" tint="0.79998168889431442"/>
      </dataBar>
      <extLst>
        <ext xmlns:x14="http://schemas.microsoft.com/office/spreadsheetml/2009/9/main" uri="{B025F937-C7B1-47D3-B67F-A62EFF666E3E}">
          <x14:id>{8011DADE-35F9-4699-8E01-8EE944957123}</x14:id>
        </ext>
      </extLst>
    </cfRule>
  </conditionalFormatting>
  <conditionalFormatting sqref="Y1448">
    <cfRule type="iconSet" priority="2639">
      <iconSet iconSet="3Arrows">
        <cfvo type="percent" val="0"/>
        <cfvo type="num" val="0.7"/>
        <cfvo type="num" val="1"/>
      </iconSet>
    </cfRule>
    <cfRule type="dataBar" priority="2640">
      <dataBar>
        <cfvo type="num" val="0"/>
        <cfvo type="num" val="1"/>
        <color theme="4" tint="0.79998168889431442"/>
      </dataBar>
      <extLst>
        <ext xmlns:x14="http://schemas.microsoft.com/office/spreadsheetml/2009/9/main" uri="{B025F937-C7B1-47D3-B67F-A62EFF666E3E}">
          <x14:id>{9FEB099F-6A93-46AF-80A2-0BCB76D7A49D}</x14:id>
        </ext>
      </extLst>
    </cfRule>
  </conditionalFormatting>
  <conditionalFormatting sqref="Y1452">
    <cfRule type="dataBar" priority="2638">
      <dataBar>
        <cfvo type="num" val="0"/>
        <cfvo type="num" val="1"/>
        <color theme="4" tint="0.79998168889431442"/>
      </dataBar>
      <extLst>
        <ext xmlns:x14="http://schemas.microsoft.com/office/spreadsheetml/2009/9/main" uri="{B025F937-C7B1-47D3-B67F-A62EFF666E3E}">
          <x14:id>{72CC80EC-996E-4185-BDFA-CCA9DAC991FD}</x14:id>
        </ext>
      </extLst>
    </cfRule>
    <cfRule type="iconSet" priority="2637">
      <iconSet iconSet="3Arrows">
        <cfvo type="percent" val="0"/>
        <cfvo type="num" val="0.7"/>
        <cfvo type="num" val="1"/>
      </iconSet>
    </cfRule>
  </conditionalFormatting>
  <conditionalFormatting sqref="Y1454">
    <cfRule type="iconSet" priority="2635">
      <iconSet iconSet="3Arrows">
        <cfvo type="percent" val="0"/>
        <cfvo type="num" val="0.7"/>
        <cfvo type="num" val="1"/>
      </iconSet>
    </cfRule>
    <cfRule type="dataBar" priority="2636">
      <dataBar>
        <cfvo type="num" val="0"/>
        <cfvo type="num" val="1"/>
        <color theme="4" tint="0.79998168889431442"/>
      </dataBar>
      <extLst>
        <ext xmlns:x14="http://schemas.microsoft.com/office/spreadsheetml/2009/9/main" uri="{B025F937-C7B1-47D3-B67F-A62EFF666E3E}">
          <x14:id>{3DB759CB-F220-4F1F-B444-035D0736FD16}</x14:id>
        </ext>
      </extLst>
    </cfRule>
  </conditionalFormatting>
  <conditionalFormatting sqref="Y1456 Y1462 Y1458 Y1460 Y1464 Y1466">
    <cfRule type="dataBar" priority="2634">
      <dataBar>
        <cfvo type="num" val="0"/>
        <cfvo type="num" val="1"/>
        <color theme="4" tint="0.79998168889431442"/>
      </dataBar>
      <extLst>
        <ext xmlns:x14="http://schemas.microsoft.com/office/spreadsheetml/2009/9/main" uri="{B025F937-C7B1-47D3-B67F-A62EFF666E3E}">
          <x14:id>{A68F2198-8375-444C-AE59-3EFA9A78713D}</x14:id>
        </ext>
      </extLst>
    </cfRule>
    <cfRule type="iconSet" priority="2633">
      <iconSet iconSet="3Arrows">
        <cfvo type="percent" val="0"/>
        <cfvo type="num" val="0.7"/>
        <cfvo type="num" val="1"/>
      </iconSet>
    </cfRule>
  </conditionalFormatting>
  <conditionalFormatting sqref="Y1468">
    <cfRule type="iconSet" priority="2631">
      <iconSet iconSet="3Arrows">
        <cfvo type="percent" val="0"/>
        <cfvo type="num" val="0.7"/>
        <cfvo type="num" val="1"/>
      </iconSet>
    </cfRule>
    <cfRule type="dataBar" priority="2632">
      <dataBar>
        <cfvo type="num" val="0"/>
        <cfvo type="num" val="1"/>
        <color theme="4" tint="0.79998168889431442"/>
      </dataBar>
      <extLst>
        <ext xmlns:x14="http://schemas.microsoft.com/office/spreadsheetml/2009/9/main" uri="{B025F937-C7B1-47D3-B67F-A62EFF666E3E}">
          <x14:id>{49B4E7AF-143E-4223-926C-79F26A08629A}</x14:id>
        </ext>
      </extLst>
    </cfRule>
  </conditionalFormatting>
  <conditionalFormatting sqref="Y1470 Y1472 Y1474 Y1476 Y1478 Y1480 Y1482">
    <cfRule type="iconSet" priority="2629">
      <iconSet iconSet="3Arrows">
        <cfvo type="percent" val="0"/>
        <cfvo type="num" val="0.7"/>
        <cfvo type="num" val="1"/>
      </iconSet>
    </cfRule>
    <cfRule type="dataBar" priority="2630">
      <dataBar>
        <cfvo type="num" val="0"/>
        <cfvo type="num" val="1"/>
        <color theme="4" tint="0.79998168889431442"/>
      </dataBar>
      <extLst>
        <ext xmlns:x14="http://schemas.microsoft.com/office/spreadsheetml/2009/9/main" uri="{B025F937-C7B1-47D3-B67F-A62EFF666E3E}">
          <x14:id>{A36A5522-4799-4CCF-ABC1-84AE856F5625}</x14:id>
        </ext>
      </extLst>
    </cfRule>
  </conditionalFormatting>
  <conditionalFormatting sqref="Y1484">
    <cfRule type="dataBar" priority="2628">
      <dataBar>
        <cfvo type="num" val="0"/>
        <cfvo type="num" val="1"/>
        <color theme="4" tint="0.79998168889431442"/>
      </dataBar>
      <extLst>
        <ext xmlns:x14="http://schemas.microsoft.com/office/spreadsheetml/2009/9/main" uri="{B025F937-C7B1-47D3-B67F-A62EFF666E3E}">
          <x14:id>{EC836FEE-8825-41C1-AD01-9225FF9CF1A4}</x14:id>
        </ext>
      </extLst>
    </cfRule>
    <cfRule type="iconSet" priority="2627">
      <iconSet iconSet="3Arrows">
        <cfvo type="percent" val="0"/>
        <cfvo type="num" val="0.7"/>
        <cfvo type="num" val="1"/>
      </iconSet>
    </cfRule>
  </conditionalFormatting>
  <conditionalFormatting sqref="Y1486 Y1488 Y1490 Y1492 Y1494 Y1496 Y1498">
    <cfRule type="iconSet" priority="2625">
      <iconSet iconSet="3Arrows">
        <cfvo type="percent" val="0"/>
        <cfvo type="num" val="0.7"/>
        <cfvo type="num" val="1"/>
      </iconSet>
    </cfRule>
    <cfRule type="dataBar" priority="2626">
      <dataBar>
        <cfvo type="num" val="0"/>
        <cfvo type="num" val="1"/>
        <color theme="4" tint="0.79998168889431442"/>
      </dataBar>
      <extLst>
        <ext xmlns:x14="http://schemas.microsoft.com/office/spreadsheetml/2009/9/main" uri="{B025F937-C7B1-47D3-B67F-A62EFF666E3E}">
          <x14:id>{3316B688-064E-442A-86AD-2A9C0D27833E}</x14:id>
        </ext>
      </extLst>
    </cfRule>
  </conditionalFormatting>
  <conditionalFormatting sqref="Y1500">
    <cfRule type="dataBar" priority="2624">
      <dataBar>
        <cfvo type="num" val="0"/>
        <cfvo type="num" val="1"/>
        <color theme="4" tint="0.79998168889431442"/>
      </dataBar>
      <extLst>
        <ext xmlns:x14="http://schemas.microsoft.com/office/spreadsheetml/2009/9/main" uri="{B025F937-C7B1-47D3-B67F-A62EFF666E3E}">
          <x14:id>{F9F7F2B9-F187-48D1-A7EC-6823BBBB5764}</x14:id>
        </ext>
      </extLst>
    </cfRule>
    <cfRule type="iconSet" priority="2623">
      <iconSet iconSet="3Arrows">
        <cfvo type="percent" val="0"/>
        <cfvo type="num" val="0.7"/>
        <cfvo type="num" val="1"/>
      </iconSet>
    </cfRule>
  </conditionalFormatting>
  <conditionalFormatting sqref="Y1502 Y1504 Y1506 Y1508 Y1510 Y1512 Y1514">
    <cfRule type="iconSet" priority="2621">
      <iconSet iconSet="3Arrows">
        <cfvo type="percent" val="0"/>
        <cfvo type="num" val="0.7"/>
        <cfvo type="num" val="1"/>
      </iconSet>
    </cfRule>
    <cfRule type="dataBar" priority="2622">
      <dataBar>
        <cfvo type="num" val="0"/>
        <cfvo type="num" val="1"/>
        <color theme="4" tint="0.79998168889431442"/>
      </dataBar>
      <extLst>
        <ext xmlns:x14="http://schemas.microsoft.com/office/spreadsheetml/2009/9/main" uri="{B025F937-C7B1-47D3-B67F-A62EFF666E3E}">
          <x14:id>{7357FA90-2CDC-4E63-A895-7A6318A5F05F}</x14:id>
        </ext>
      </extLst>
    </cfRule>
  </conditionalFormatting>
  <conditionalFormatting sqref="Y1516">
    <cfRule type="iconSet" priority="2619">
      <iconSet iconSet="3Arrows">
        <cfvo type="percent" val="0"/>
        <cfvo type="num" val="0.7"/>
        <cfvo type="num" val="1"/>
      </iconSet>
    </cfRule>
    <cfRule type="dataBar" priority="2620">
      <dataBar>
        <cfvo type="num" val="0"/>
        <cfvo type="num" val="1"/>
        <color theme="4" tint="0.79998168889431442"/>
      </dataBar>
      <extLst>
        <ext xmlns:x14="http://schemas.microsoft.com/office/spreadsheetml/2009/9/main" uri="{B025F937-C7B1-47D3-B67F-A62EFF666E3E}">
          <x14:id>{5719ECF6-6F8A-4098-8F70-FB4FA3B3B58D}</x14:id>
        </ext>
      </extLst>
    </cfRule>
  </conditionalFormatting>
  <conditionalFormatting sqref="Y1518 Y1520">
    <cfRule type="dataBar" priority="2618">
      <dataBar>
        <cfvo type="num" val="0"/>
        <cfvo type="num" val="1"/>
        <color theme="4" tint="0.79998168889431442"/>
      </dataBar>
      <extLst>
        <ext xmlns:x14="http://schemas.microsoft.com/office/spreadsheetml/2009/9/main" uri="{B025F937-C7B1-47D3-B67F-A62EFF666E3E}">
          <x14:id>{B787EF02-3B05-4407-9DF5-BAC1444629D1}</x14:id>
        </ext>
      </extLst>
    </cfRule>
    <cfRule type="iconSet" priority="2617">
      <iconSet iconSet="3Arrows">
        <cfvo type="percent" val="0"/>
        <cfvo type="num" val="0.7"/>
        <cfvo type="num" val="1"/>
      </iconSet>
    </cfRule>
  </conditionalFormatting>
  <conditionalFormatting sqref="Y1522">
    <cfRule type="iconSet" priority="2615">
      <iconSet iconSet="3Arrows">
        <cfvo type="percent" val="0"/>
        <cfvo type="num" val="0.7"/>
        <cfvo type="num" val="1"/>
      </iconSet>
    </cfRule>
    <cfRule type="dataBar" priority="2616">
      <dataBar>
        <cfvo type="num" val="0"/>
        <cfvo type="num" val="1"/>
        <color theme="4" tint="0.79998168889431442"/>
      </dataBar>
      <extLst>
        <ext xmlns:x14="http://schemas.microsoft.com/office/spreadsheetml/2009/9/main" uri="{B025F937-C7B1-47D3-B67F-A62EFF666E3E}">
          <x14:id>{DD9E42DF-626B-46C0-B1C9-BD5593848911}</x14:id>
        </ext>
      </extLst>
    </cfRule>
  </conditionalFormatting>
  <conditionalFormatting sqref="Y1524">
    <cfRule type="dataBar" priority="2614">
      <dataBar>
        <cfvo type="num" val="0"/>
        <cfvo type="num" val="1"/>
        <color theme="4" tint="0.79998168889431442"/>
      </dataBar>
      <extLst>
        <ext xmlns:x14="http://schemas.microsoft.com/office/spreadsheetml/2009/9/main" uri="{B025F937-C7B1-47D3-B67F-A62EFF666E3E}">
          <x14:id>{5C4BF6F2-224A-47FB-91F7-34AE77F00E79}</x14:id>
        </ext>
      </extLst>
    </cfRule>
    <cfRule type="iconSet" priority="2613">
      <iconSet iconSet="3Arrows">
        <cfvo type="percent" val="0"/>
        <cfvo type="num" val="0.7"/>
        <cfvo type="num" val="1"/>
      </iconSet>
    </cfRule>
  </conditionalFormatting>
  <conditionalFormatting sqref="Y1526">
    <cfRule type="dataBar" priority="2612">
      <dataBar>
        <cfvo type="num" val="0"/>
        <cfvo type="num" val="1"/>
        <color theme="4" tint="0.79998168889431442"/>
      </dataBar>
      <extLst>
        <ext xmlns:x14="http://schemas.microsoft.com/office/spreadsheetml/2009/9/main" uri="{B025F937-C7B1-47D3-B67F-A62EFF666E3E}">
          <x14:id>{FE5EB649-FC5C-4168-A449-0A242807DAD1}</x14:id>
        </ext>
      </extLst>
    </cfRule>
    <cfRule type="iconSet" priority="2611">
      <iconSet iconSet="3Arrows">
        <cfvo type="percent" val="0"/>
        <cfvo type="num" val="0.7"/>
        <cfvo type="num" val="1"/>
      </iconSet>
    </cfRule>
  </conditionalFormatting>
  <conditionalFormatting sqref="Y1528">
    <cfRule type="dataBar" priority="2610">
      <dataBar>
        <cfvo type="num" val="0"/>
        <cfvo type="num" val="1"/>
        <color theme="4" tint="0.79998168889431442"/>
      </dataBar>
      <extLst>
        <ext xmlns:x14="http://schemas.microsoft.com/office/spreadsheetml/2009/9/main" uri="{B025F937-C7B1-47D3-B67F-A62EFF666E3E}">
          <x14:id>{D2DC26B2-B1AE-4911-A777-99E7E5AA5DF1}</x14:id>
        </ext>
      </extLst>
    </cfRule>
    <cfRule type="iconSet" priority="2609">
      <iconSet iconSet="3Arrows">
        <cfvo type="percent" val="0"/>
        <cfvo type="num" val="0.7"/>
        <cfvo type="num" val="1"/>
      </iconSet>
    </cfRule>
  </conditionalFormatting>
  <conditionalFormatting sqref="Y1531">
    <cfRule type="iconSet" priority="2607">
      <iconSet iconSet="3Arrows">
        <cfvo type="percent" val="0"/>
        <cfvo type="num" val="0.7"/>
        <cfvo type="num" val="1"/>
      </iconSet>
    </cfRule>
    <cfRule type="dataBar" priority="2608">
      <dataBar>
        <cfvo type="num" val="0"/>
        <cfvo type="num" val="1"/>
        <color theme="4" tint="0.79998168889431442"/>
      </dataBar>
      <extLst>
        <ext xmlns:x14="http://schemas.microsoft.com/office/spreadsheetml/2009/9/main" uri="{B025F937-C7B1-47D3-B67F-A62EFF666E3E}">
          <x14:id>{B8B73F7C-BAEC-4E91-AAAF-83A887257A5E}</x14:id>
        </ext>
      </extLst>
    </cfRule>
  </conditionalFormatting>
  <conditionalFormatting sqref="Y1533">
    <cfRule type="dataBar" priority="2606">
      <dataBar>
        <cfvo type="num" val="0"/>
        <cfvo type="num" val="1"/>
        <color theme="4" tint="0.79998168889431442"/>
      </dataBar>
      <extLst>
        <ext xmlns:x14="http://schemas.microsoft.com/office/spreadsheetml/2009/9/main" uri="{B025F937-C7B1-47D3-B67F-A62EFF666E3E}">
          <x14:id>{97A20A7C-3F21-4643-960C-B681C2CDD767}</x14:id>
        </ext>
      </extLst>
    </cfRule>
    <cfRule type="iconSet" priority="2605">
      <iconSet iconSet="3Arrows">
        <cfvo type="percent" val="0"/>
        <cfvo type="num" val="0.7"/>
        <cfvo type="num" val="1"/>
      </iconSet>
    </cfRule>
  </conditionalFormatting>
  <conditionalFormatting sqref="Y1535">
    <cfRule type="iconSet" priority="2603">
      <iconSet iconSet="3Arrows">
        <cfvo type="percent" val="0"/>
        <cfvo type="num" val="0.7"/>
        <cfvo type="num" val="1"/>
      </iconSet>
    </cfRule>
    <cfRule type="dataBar" priority="2604">
      <dataBar>
        <cfvo type="num" val="0"/>
        <cfvo type="num" val="1"/>
        <color theme="4" tint="0.79998168889431442"/>
      </dataBar>
      <extLst>
        <ext xmlns:x14="http://schemas.microsoft.com/office/spreadsheetml/2009/9/main" uri="{B025F937-C7B1-47D3-B67F-A62EFF666E3E}">
          <x14:id>{9635C823-130A-4AC0-BF90-F9554DF5502F}</x14:id>
        </ext>
      </extLst>
    </cfRule>
  </conditionalFormatting>
  <conditionalFormatting sqref="Y1537">
    <cfRule type="dataBar" priority="2602">
      <dataBar>
        <cfvo type="num" val="0"/>
        <cfvo type="num" val="1"/>
        <color theme="4" tint="0.79998168889431442"/>
      </dataBar>
      <extLst>
        <ext xmlns:x14="http://schemas.microsoft.com/office/spreadsheetml/2009/9/main" uri="{B025F937-C7B1-47D3-B67F-A62EFF666E3E}">
          <x14:id>{458A3CF7-4424-4BE8-9B17-FDBAA921D8E5}</x14:id>
        </ext>
      </extLst>
    </cfRule>
    <cfRule type="iconSet" priority="2601">
      <iconSet iconSet="3Arrows">
        <cfvo type="percent" val="0"/>
        <cfvo type="num" val="0.7"/>
        <cfvo type="num" val="1"/>
      </iconSet>
    </cfRule>
  </conditionalFormatting>
  <conditionalFormatting sqref="Y1539">
    <cfRule type="dataBar" priority="2600">
      <dataBar>
        <cfvo type="num" val="0"/>
        <cfvo type="num" val="1"/>
        <color theme="4" tint="0.79998168889431442"/>
      </dataBar>
      <extLst>
        <ext xmlns:x14="http://schemas.microsoft.com/office/spreadsheetml/2009/9/main" uri="{B025F937-C7B1-47D3-B67F-A62EFF666E3E}">
          <x14:id>{AA063AA1-B5AE-4DA9-9A75-7291C2948BFA}</x14:id>
        </ext>
      </extLst>
    </cfRule>
    <cfRule type="iconSet" priority="2599">
      <iconSet iconSet="3Arrows">
        <cfvo type="percent" val="0"/>
        <cfvo type="num" val="0.7"/>
        <cfvo type="num" val="1"/>
      </iconSet>
    </cfRule>
  </conditionalFormatting>
  <conditionalFormatting sqref="Y1541">
    <cfRule type="iconSet" priority="2597">
      <iconSet iconSet="3Arrows">
        <cfvo type="percent" val="0"/>
        <cfvo type="num" val="0.7"/>
        <cfvo type="num" val="1"/>
      </iconSet>
    </cfRule>
    <cfRule type="dataBar" priority="2598">
      <dataBar>
        <cfvo type="num" val="0"/>
        <cfvo type="num" val="1"/>
        <color theme="4" tint="0.79998168889431442"/>
      </dataBar>
      <extLst>
        <ext xmlns:x14="http://schemas.microsoft.com/office/spreadsheetml/2009/9/main" uri="{B025F937-C7B1-47D3-B67F-A62EFF666E3E}">
          <x14:id>{874067C8-2DFF-4B03-A483-B5B39CFB5294}</x14:id>
        </ext>
      </extLst>
    </cfRule>
  </conditionalFormatting>
  <conditionalFormatting sqref="Y1543">
    <cfRule type="dataBar" priority="2596">
      <dataBar>
        <cfvo type="num" val="0"/>
        <cfvo type="num" val="1"/>
        <color theme="4" tint="0.79998168889431442"/>
      </dataBar>
      <extLst>
        <ext xmlns:x14="http://schemas.microsoft.com/office/spreadsheetml/2009/9/main" uri="{B025F937-C7B1-47D3-B67F-A62EFF666E3E}">
          <x14:id>{88892415-9A39-4118-A34D-F31AAFF7050B}</x14:id>
        </ext>
      </extLst>
    </cfRule>
    <cfRule type="iconSet" priority="2595">
      <iconSet iconSet="3Arrows">
        <cfvo type="percent" val="0"/>
        <cfvo type="num" val="0.7"/>
        <cfvo type="num" val="1"/>
      </iconSet>
    </cfRule>
  </conditionalFormatting>
  <conditionalFormatting sqref="Y1545">
    <cfRule type="iconSet" priority="2593">
      <iconSet iconSet="3Arrows">
        <cfvo type="percent" val="0"/>
        <cfvo type="num" val="0.7"/>
        <cfvo type="num" val="1"/>
      </iconSet>
    </cfRule>
    <cfRule type="dataBar" priority="2594">
      <dataBar>
        <cfvo type="num" val="0"/>
        <cfvo type="num" val="1"/>
        <color theme="4" tint="0.79998168889431442"/>
      </dataBar>
      <extLst>
        <ext xmlns:x14="http://schemas.microsoft.com/office/spreadsheetml/2009/9/main" uri="{B025F937-C7B1-47D3-B67F-A62EFF666E3E}">
          <x14:id>{4C4F3B56-E654-4D62-B015-9FCE013EFDE5}</x14:id>
        </ext>
      </extLst>
    </cfRule>
  </conditionalFormatting>
  <conditionalFormatting sqref="Y1547">
    <cfRule type="iconSet" priority="2591">
      <iconSet iconSet="3Arrows">
        <cfvo type="percent" val="0"/>
        <cfvo type="num" val="0.7"/>
        <cfvo type="num" val="1"/>
      </iconSet>
    </cfRule>
    <cfRule type="dataBar" priority="2592">
      <dataBar>
        <cfvo type="num" val="0"/>
        <cfvo type="num" val="1"/>
        <color theme="4" tint="0.79998168889431442"/>
      </dataBar>
      <extLst>
        <ext xmlns:x14="http://schemas.microsoft.com/office/spreadsheetml/2009/9/main" uri="{B025F937-C7B1-47D3-B67F-A62EFF666E3E}">
          <x14:id>{C43E7FA7-4377-4172-B207-564CCC10FE41}</x14:id>
        </ext>
      </extLst>
    </cfRule>
  </conditionalFormatting>
  <conditionalFormatting sqref="Y1549">
    <cfRule type="dataBar" priority="2590">
      <dataBar>
        <cfvo type="num" val="0"/>
        <cfvo type="num" val="1"/>
        <color theme="4" tint="0.79998168889431442"/>
      </dataBar>
      <extLst>
        <ext xmlns:x14="http://schemas.microsoft.com/office/spreadsheetml/2009/9/main" uri="{B025F937-C7B1-47D3-B67F-A62EFF666E3E}">
          <x14:id>{B328EEF6-DCE3-4204-824F-E99CECCE0E3C}</x14:id>
        </ext>
      </extLst>
    </cfRule>
    <cfRule type="iconSet" priority="2589">
      <iconSet iconSet="3Arrows">
        <cfvo type="percent" val="0"/>
        <cfvo type="num" val="0.7"/>
        <cfvo type="num" val="1"/>
      </iconSet>
    </cfRule>
  </conditionalFormatting>
  <conditionalFormatting sqref="Y1551">
    <cfRule type="dataBar" priority="2588">
      <dataBar>
        <cfvo type="num" val="0"/>
        <cfvo type="num" val="1"/>
        <color theme="4" tint="0.79998168889431442"/>
      </dataBar>
      <extLst>
        <ext xmlns:x14="http://schemas.microsoft.com/office/spreadsheetml/2009/9/main" uri="{B025F937-C7B1-47D3-B67F-A62EFF666E3E}">
          <x14:id>{DBA75807-59FA-42BB-BA7D-07E3C145F112}</x14:id>
        </ext>
      </extLst>
    </cfRule>
    <cfRule type="iconSet" priority="2587">
      <iconSet iconSet="3Arrows">
        <cfvo type="percent" val="0"/>
        <cfvo type="num" val="0.7"/>
        <cfvo type="num" val="1"/>
      </iconSet>
    </cfRule>
  </conditionalFormatting>
  <conditionalFormatting sqref="Y1553">
    <cfRule type="dataBar" priority="2586">
      <dataBar>
        <cfvo type="num" val="0"/>
        <cfvo type="num" val="1"/>
        <color theme="4" tint="0.79998168889431442"/>
      </dataBar>
      <extLst>
        <ext xmlns:x14="http://schemas.microsoft.com/office/spreadsheetml/2009/9/main" uri="{B025F937-C7B1-47D3-B67F-A62EFF666E3E}">
          <x14:id>{29376C1F-BD5F-48B6-899E-8F488C92F4C5}</x14:id>
        </ext>
      </extLst>
    </cfRule>
    <cfRule type="iconSet" priority="2585">
      <iconSet iconSet="3Arrows">
        <cfvo type="percent" val="0"/>
        <cfvo type="num" val="0.7"/>
        <cfvo type="num" val="1"/>
      </iconSet>
    </cfRule>
  </conditionalFormatting>
  <conditionalFormatting sqref="Y1555">
    <cfRule type="iconSet" priority="2583">
      <iconSet iconSet="3Arrows">
        <cfvo type="percent" val="0"/>
        <cfvo type="num" val="0.7"/>
        <cfvo type="num" val="1"/>
      </iconSet>
    </cfRule>
    <cfRule type="dataBar" priority="2584">
      <dataBar>
        <cfvo type="num" val="0"/>
        <cfvo type="num" val="1"/>
        <color theme="4" tint="0.79998168889431442"/>
      </dataBar>
      <extLst>
        <ext xmlns:x14="http://schemas.microsoft.com/office/spreadsheetml/2009/9/main" uri="{B025F937-C7B1-47D3-B67F-A62EFF666E3E}">
          <x14:id>{6406E0BA-9D13-4651-9B6B-80A15669A660}</x14:id>
        </ext>
      </extLst>
    </cfRule>
  </conditionalFormatting>
  <conditionalFormatting sqref="Y1557">
    <cfRule type="dataBar" priority="2582">
      <dataBar>
        <cfvo type="num" val="0"/>
        <cfvo type="num" val="1"/>
        <color theme="4" tint="0.79998168889431442"/>
      </dataBar>
      <extLst>
        <ext xmlns:x14="http://schemas.microsoft.com/office/spreadsheetml/2009/9/main" uri="{B025F937-C7B1-47D3-B67F-A62EFF666E3E}">
          <x14:id>{5C2FDFFF-36DC-4DD9-864E-61DDCFEEB2DE}</x14:id>
        </ext>
      </extLst>
    </cfRule>
    <cfRule type="iconSet" priority="2581">
      <iconSet iconSet="3Arrows">
        <cfvo type="percent" val="0"/>
        <cfvo type="num" val="0.7"/>
        <cfvo type="num" val="1"/>
      </iconSet>
    </cfRule>
  </conditionalFormatting>
  <conditionalFormatting sqref="Y1559">
    <cfRule type="iconSet" priority="2579">
      <iconSet iconSet="3Arrows">
        <cfvo type="percent" val="0"/>
        <cfvo type="num" val="0.7"/>
        <cfvo type="num" val="1"/>
      </iconSet>
    </cfRule>
    <cfRule type="dataBar" priority="2580">
      <dataBar>
        <cfvo type="num" val="0"/>
        <cfvo type="num" val="1"/>
        <color theme="4" tint="0.79998168889431442"/>
      </dataBar>
      <extLst>
        <ext xmlns:x14="http://schemas.microsoft.com/office/spreadsheetml/2009/9/main" uri="{B025F937-C7B1-47D3-B67F-A62EFF666E3E}">
          <x14:id>{9C909ADB-7CE4-4080-BBCB-2E95943A704E}</x14:id>
        </ext>
      </extLst>
    </cfRule>
  </conditionalFormatting>
  <conditionalFormatting sqref="Y1561">
    <cfRule type="dataBar" priority="2578">
      <dataBar>
        <cfvo type="num" val="0"/>
        <cfvo type="num" val="1"/>
        <color theme="4" tint="0.79998168889431442"/>
      </dataBar>
      <extLst>
        <ext xmlns:x14="http://schemas.microsoft.com/office/spreadsheetml/2009/9/main" uri="{B025F937-C7B1-47D3-B67F-A62EFF666E3E}">
          <x14:id>{80D33AFA-968A-4589-872B-CA25DA69051C}</x14:id>
        </ext>
      </extLst>
    </cfRule>
    <cfRule type="iconSet" priority="2577">
      <iconSet iconSet="3Arrows">
        <cfvo type="percent" val="0"/>
        <cfvo type="num" val="0.7"/>
        <cfvo type="num" val="1"/>
      </iconSet>
    </cfRule>
  </conditionalFormatting>
  <conditionalFormatting sqref="Y1563">
    <cfRule type="dataBar" priority="2576">
      <dataBar>
        <cfvo type="num" val="0"/>
        <cfvo type="num" val="1"/>
        <color theme="4" tint="0.79998168889431442"/>
      </dataBar>
      <extLst>
        <ext xmlns:x14="http://schemas.microsoft.com/office/spreadsheetml/2009/9/main" uri="{B025F937-C7B1-47D3-B67F-A62EFF666E3E}">
          <x14:id>{8D72C1AE-46FA-45E9-9322-A62D54205A4A}</x14:id>
        </ext>
      </extLst>
    </cfRule>
    <cfRule type="iconSet" priority="2575">
      <iconSet iconSet="3Arrows">
        <cfvo type="percent" val="0"/>
        <cfvo type="num" val="0.7"/>
        <cfvo type="num" val="1"/>
      </iconSet>
    </cfRule>
  </conditionalFormatting>
  <conditionalFormatting sqref="Y1565">
    <cfRule type="iconSet" priority="2573">
      <iconSet iconSet="3Arrows">
        <cfvo type="percent" val="0"/>
        <cfvo type="num" val="0.7"/>
        <cfvo type="num" val="1"/>
      </iconSet>
    </cfRule>
    <cfRule type="dataBar" priority="2574">
      <dataBar>
        <cfvo type="num" val="0"/>
        <cfvo type="num" val="1"/>
        <color theme="4" tint="0.79998168889431442"/>
      </dataBar>
      <extLst>
        <ext xmlns:x14="http://schemas.microsoft.com/office/spreadsheetml/2009/9/main" uri="{B025F937-C7B1-47D3-B67F-A62EFF666E3E}">
          <x14:id>{61B51850-72A7-43B5-A901-812BBD30261D}</x14:id>
        </ext>
      </extLst>
    </cfRule>
  </conditionalFormatting>
  <conditionalFormatting sqref="Y1567">
    <cfRule type="iconSet" priority="2571">
      <iconSet iconSet="3Arrows">
        <cfvo type="percent" val="0"/>
        <cfvo type="num" val="0.7"/>
        <cfvo type="num" val="1"/>
      </iconSet>
    </cfRule>
    <cfRule type="dataBar" priority="2572">
      <dataBar>
        <cfvo type="num" val="0"/>
        <cfvo type="num" val="1"/>
        <color theme="4" tint="0.79998168889431442"/>
      </dataBar>
      <extLst>
        <ext xmlns:x14="http://schemas.microsoft.com/office/spreadsheetml/2009/9/main" uri="{B025F937-C7B1-47D3-B67F-A62EFF666E3E}">
          <x14:id>{C577E237-215F-47B3-8359-8FE70FF24BA5}</x14:id>
        </ext>
      </extLst>
    </cfRule>
  </conditionalFormatting>
  <conditionalFormatting sqref="Y1569">
    <cfRule type="dataBar" priority="2570">
      <dataBar>
        <cfvo type="num" val="0"/>
        <cfvo type="num" val="1"/>
        <color theme="4" tint="0.79998168889431442"/>
      </dataBar>
      <extLst>
        <ext xmlns:x14="http://schemas.microsoft.com/office/spreadsheetml/2009/9/main" uri="{B025F937-C7B1-47D3-B67F-A62EFF666E3E}">
          <x14:id>{2C7B96A4-F7B0-47DE-9706-59D7B54955DE}</x14:id>
        </ext>
      </extLst>
    </cfRule>
    <cfRule type="iconSet" priority="2569">
      <iconSet iconSet="3Arrows">
        <cfvo type="percent" val="0"/>
        <cfvo type="num" val="0.7"/>
        <cfvo type="num" val="1"/>
      </iconSet>
    </cfRule>
  </conditionalFormatting>
  <conditionalFormatting sqref="Y1571">
    <cfRule type="dataBar" priority="2568">
      <dataBar>
        <cfvo type="num" val="0"/>
        <cfvo type="num" val="1"/>
        <color theme="4" tint="0.79998168889431442"/>
      </dataBar>
      <extLst>
        <ext xmlns:x14="http://schemas.microsoft.com/office/spreadsheetml/2009/9/main" uri="{B025F937-C7B1-47D3-B67F-A62EFF666E3E}">
          <x14:id>{BEE76C3C-D608-4627-8542-3BBC8D564AD6}</x14:id>
        </ext>
      </extLst>
    </cfRule>
    <cfRule type="iconSet" priority="2567">
      <iconSet iconSet="3Arrows">
        <cfvo type="percent" val="0"/>
        <cfvo type="num" val="0.7"/>
        <cfvo type="num" val="1"/>
      </iconSet>
    </cfRule>
  </conditionalFormatting>
  <conditionalFormatting sqref="Y1573">
    <cfRule type="iconSet" priority="2565">
      <iconSet iconSet="3Arrows">
        <cfvo type="percent" val="0"/>
        <cfvo type="num" val="0.7"/>
        <cfvo type="num" val="1"/>
      </iconSet>
    </cfRule>
    <cfRule type="dataBar" priority="2566">
      <dataBar>
        <cfvo type="num" val="0"/>
        <cfvo type="num" val="1"/>
        <color theme="4" tint="0.79998168889431442"/>
      </dataBar>
      <extLst>
        <ext xmlns:x14="http://schemas.microsoft.com/office/spreadsheetml/2009/9/main" uri="{B025F937-C7B1-47D3-B67F-A62EFF666E3E}">
          <x14:id>{BC855708-FD71-44BB-BB52-7C39AE7E3E18}</x14:id>
        </ext>
      </extLst>
    </cfRule>
  </conditionalFormatting>
  <conditionalFormatting sqref="Y1575">
    <cfRule type="dataBar" priority="2564">
      <dataBar>
        <cfvo type="num" val="0"/>
        <cfvo type="num" val="1"/>
        <color theme="4" tint="0.79998168889431442"/>
      </dataBar>
      <extLst>
        <ext xmlns:x14="http://schemas.microsoft.com/office/spreadsheetml/2009/9/main" uri="{B025F937-C7B1-47D3-B67F-A62EFF666E3E}">
          <x14:id>{4EDCE684-1E24-43A3-8C54-A0CB9BE2A7AB}</x14:id>
        </ext>
      </extLst>
    </cfRule>
    <cfRule type="iconSet" priority="2563">
      <iconSet iconSet="3Arrows">
        <cfvo type="percent" val="0"/>
        <cfvo type="num" val="0.7"/>
        <cfvo type="num" val="1"/>
      </iconSet>
    </cfRule>
  </conditionalFormatting>
  <conditionalFormatting sqref="Y1577">
    <cfRule type="dataBar" priority="2562">
      <dataBar>
        <cfvo type="num" val="0"/>
        <cfvo type="num" val="1"/>
        <color theme="4" tint="0.79998168889431442"/>
      </dataBar>
      <extLst>
        <ext xmlns:x14="http://schemas.microsoft.com/office/spreadsheetml/2009/9/main" uri="{B025F937-C7B1-47D3-B67F-A62EFF666E3E}">
          <x14:id>{F52CE6FA-B832-4DBB-BBF5-D652EDCDFCB3}</x14:id>
        </ext>
      </extLst>
    </cfRule>
    <cfRule type="iconSet" priority="2561">
      <iconSet iconSet="3Arrows">
        <cfvo type="percent" val="0"/>
        <cfvo type="num" val="0.7"/>
        <cfvo type="num" val="1"/>
      </iconSet>
    </cfRule>
  </conditionalFormatting>
  <conditionalFormatting sqref="Y1579">
    <cfRule type="dataBar" priority="2560">
      <dataBar>
        <cfvo type="num" val="0"/>
        <cfvo type="num" val="1"/>
        <color theme="4" tint="0.79998168889431442"/>
      </dataBar>
      <extLst>
        <ext xmlns:x14="http://schemas.microsoft.com/office/spreadsheetml/2009/9/main" uri="{B025F937-C7B1-47D3-B67F-A62EFF666E3E}">
          <x14:id>{738B3144-6495-4271-B63E-C814C7FE9384}</x14:id>
        </ext>
      </extLst>
    </cfRule>
    <cfRule type="iconSet" priority="2559">
      <iconSet iconSet="3Arrows">
        <cfvo type="percent" val="0"/>
        <cfvo type="num" val="0.7"/>
        <cfvo type="num" val="1"/>
      </iconSet>
    </cfRule>
  </conditionalFormatting>
  <conditionalFormatting sqref="Y1581">
    <cfRule type="dataBar" priority="2558">
      <dataBar>
        <cfvo type="num" val="0"/>
        <cfvo type="num" val="1"/>
        <color theme="4" tint="0.79998168889431442"/>
      </dataBar>
      <extLst>
        <ext xmlns:x14="http://schemas.microsoft.com/office/spreadsheetml/2009/9/main" uri="{B025F937-C7B1-47D3-B67F-A62EFF666E3E}">
          <x14:id>{E945F408-2262-42C8-B14C-E76E283161B0}</x14:id>
        </ext>
      </extLst>
    </cfRule>
    <cfRule type="iconSet" priority="2557">
      <iconSet iconSet="3Arrows">
        <cfvo type="percent" val="0"/>
        <cfvo type="num" val="0.7"/>
        <cfvo type="num" val="1"/>
      </iconSet>
    </cfRule>
  </conditionalFormatting>
  <conditionalFormatting sqref="Y1583">
    <cfRule type="dataBar" priority="2556">
      <dataBar>
        <cfvo type="num" val="0"/>
        <cfvo type="num" val="1"/>
        <color theme="4" tint="0.79998168889431442"/>
      </dataBar>
      <extLst>
        <ext xmlns:x14="http://schemas.microsoft.com/office/spreadsheetml/2009/9/main" uri="{B025F937-C7B1-47D3-B67F-A62EFF666E3E}">
          <x14:id>{38EA494C-44C4-49F4-BDF4-4FDF73DA0628}</x14:id>
        </ext>
      </extLst>
    </cfRule>
    <cfRule type="iconSet" priority="2555">
      <iconSet iconSet="3Arrows">
        <cfvo type="percent" val="0"/>
        <cfvo type="num" val="0.7"/>
        <cfvo type="num" val="1"/>
      </iconSet>
    </cfRule>
  </conditionalFormatting>
  <conditionalFormatting sqref="Y1585">
    <cfRule type="dataBar" priority="2554">
      <dataBar>
        <cfvo type="num" val="0"/>
        <cfvo type="num" val="1"/>
        <color theme="4" tint="0.79998168889431442"/>
      </dataBar>
      <extLst>
        <ext xmlns:x14="http://schemas.microsoft.com/office/spreadsheetml/2009/9/main" uri="{B025F937-C7B1-47D3-B67F-A62EFF666E3E}">
          <x14:id>{E3D3D4C4-440C-4EAC-BA66-798AC7A6BB14}</x14:id>
        </ext>
      </extLst>
    </cfRule>
    <cfRule type="iconSet" priority="2553">
      <iconSet iconSet="3Arrows">
        <cfvo type="percent" val="0"/>
        <cfvo type="num" val="0.7"/>
        <cfvo type="num" val="1"/>
      </iconSet>
    </cfRule>
  </conditionalFormatting>
  <conditionalFormatting sqref="Y1587">
    <cfRule type="dataBar" priority="2552">
      <dataBar>
        <cfvo type="num" val="0"/>
        <cfvo type="num" val="1"/>
        <color theme="4" tint="0.79998168889431442"/>
      </dataBar>
      <extLst>
        <ext xmlns:x14="http://schemas.microsoft.com/office/spreadsheetml/2009/9/main" uri="{B025F937-C7B1-47D3-B67F-A62EFF666E3E}">
          <x14:id>{69BCDB33-E6A0-4DF6-98AD-F741CFF6630C}</x14:id>
        </ext>
      </extLst>
    </cfRule>
    <cfRule type="iconSet" priority="2551">
      <iconSet iconSet="3Arrows">
        <cfvo type="percent" val="0"/>
        <cfvo type="num" val="0.7"/>
        <cfvo type="num" val="1"/>
      </iconSet>
    </cfRule>
  </conditionalFormatting>
  <conditionalFormatting sqref="Y1589">
    <cfRule type="iconSet" priority="2549">
      <iconSet iconSet="3Arrows">
        <cfvo type="percent" val="0"/>
        <cfvo type="num" val="0.7"/>
        <cfvo type="num" val="1"/>
      </iconSet>
    </cfRule>
    <cfRule type="dataBar" priority="2550">
      <dataBar>
        <cfvo type="num" val="0"/>
        <cfvo type="num" val="1"/>
        <color theme="4" tint="0.79998168889431442"/>
      </dataBar>
      <extLst>
        <ext xmlns:x14="http://schemas.microsoft.com/office/spreadsheetml/2009/9/main" uri="{B025F937-C7B1-47D3-B67F-A62EFF666E3E}">
          <x14:id>{928DFC07-C9D4-4D94-ADD6-067EE2FA506D}</x14:id>
        </ext>
      </extLst>
    </cfRule>
  </conditionalFormatting>
  <conditionalFormatting sqref="Y1591">
    <cfRule type="dataBar" priority="2548">
      <dataBar>
        <cfvo type="num" val="0"/>
        <cfvo type="num" val="1"/>
        <color theme="4" tint="0.79998168889431442"/>
      </dataBar>
      <extLst>
        <ext xmlns:x14="http://schemas.microsoft.com/office/spreadsheetml/2009/9/main" uri="{B025F937-C7B1-47D3-B67F-A62EFF666E3E}">
          <x14:id>{3EAF1B73-41F7-4AB8-9BDE-972AA22DF42B}</x14:id>
        </ext>
      </extLst>
    </cfRule>
    <cfRule type="iconSet" priority="2547">
      <iconSet iconSet="3Arrows">
        <cfvo type="percent" val="0"/>
        <cfvo type="num" val="0.7"/>
        <cfvo type="num" val="1"/>
      </iconSet>
    </cfRule>
  </conditionalFormatting>
  <conditionalFormatting sqref="Y1593">
    <cfRule type="dataBar" priority="2546">
      <dataBar>
        <cfvo type="num" val="0"/>
        <cfvo type="num" val="1"/>
        <color theme="4" tint="0.79998168889431442"/>
      </dataBar>
      <extLst>
        <ext xmlns:x14="http://schemas.microsoft.com/office/spreadsheetml/2009/9/main" uri="{B025F937-C7B1-47D3-B67F-A62EFF666E3E}">
          <x14:id>{75D2D912-9A08-44DA-8BF7-F36BD3369825}</x14:id>
        </ext>
      </extLst>
    </cfRule>
    <cfRule type="iconSet" priority="2545">
      <iconSet iconSet="3Arrows">
        <cfvo type="percent" val="0"/>
        <cfvo type="num" val="0.7"/>
        <cfvo type="num" val="1"/>
      </iconSet>
    </cfRule>
  </conditionalFormatting>
  <conditionalFormatting sqref="Y1595">
    <cfRule type="dataBar" priority="2544">
      <dataBar>
        <cfvo type="num" val="0"/>
        <cfvo type="num" val="1"/>
        <color theme="4" tint="0.79998168889431442"/>
      </dataBar>
      <extLst>
        <ext xmlns:x14="http://schemas.microsoft.com/office/spreadsheetml/2009/9/main" uri="{B025F937-C7B1-47D3-B67F-A62EFF666E3E}">
          <x14:id>{B1E1055A-8BA6-4147-BDF6-31CD0EA166DB}</x14:id>
        </ext>
      </extLst>
    </cfRule>
    <cfRule type="iconSet" priority="2543">
      <iconSet iconSet="3Arrows">
        <cfvo type="percent" val="0"/>
        <cfvo type="num" val="0.7"/>
        <cfvo type="num" val="1"/>
      </iconSet>
    </cfRule>
  </conditionalFormatting>
  <conditionalFormatting sqref="Y1597">
    <cfRule type="dataBar" priority="2542">
      <dataBar>
        <cfvo type="num" val="0"/>
        <cfvo type="num" val="1"/>
        <color theme="4" tint="0.79998168889431442"/>
      </dataBar>
      <extLst>
        <ext xmlns:x14="http://schemas.microsoft.com/office/spreadsheetml/2009/9/main" uri="{B025F937-C7B1-47D3-B67F-A62EFF666E3E}">
          <x14:id>{40ACEEBD-1C2E-48B7-BB5B-4A1114736A3F}</x14:id>
        </ext>
      </extLst>
    </cfRule>
    <cfRule type="iconSet" priority="2541">
      <iconSet iconSet="3Arrows">
        <cfvo type="percent" val="0"/>
        <cfvo type="num" val="0.7"/>
        <cfvo type="num" val="1"/>
      </iconSet>
    </cfRule>
  </conditionalFormatting>
  <conditionalFormatting sqref="Y1599">
    <cfRule type="dataBar" priority="2540">
      <dataBar>
        <cfvo type="num" val="0"/>
        <cfvo type="num" val="1"/>
        <color theme="4" tint="0.79998168889431442"/>
      </dataBar>
      <extLst>
        <ext xmlns:x14="http://schemas.microsoft.com/office/spreadsheetml/2009/9/main" uri="{B025F937-C7B1-47D3-B67F-A62EFF666E3E}">
          <x14:id>{223E1606-D704-4552-90B6-8EFF17D01717}</x14:id>
        </ext>
      </extLst>
    </cfRule>
    <cfRule type="iconSet" priority="2539">
      <iconSet iconSet="3Arrows">
        <cfvo type="percent" val="0"/>
        <cfvo type="num" val="0.7"/>
        <cfvo type="num" val="1"/>
      </iconSet>
    </cfRule>
  </conditionalFormatting>
  <conditionalFormatting sqref="Y1601">
    <cfRule type="dataBar" priority="2538">
      <dataBar>
        <cfvo type="num" val="0"/>
        <cfvo type="num" val="1"/>
        <color theme="4" tint="0.79998168889431442"/>
      </dataBar>
      <extLst>
        <ext xmlns:x14="http://schemas.microsoft.com/office/spreadsheetml/2009/9/main" uri="{B025F937-C7B1-47D3-B67F-A62EFF666E3E}">
          <x14:id>{9B447E93-320A-4ED0-B430-DC0B4FEE9E3C}</x14:id>
        </ext>
      </extLst>
    </cfRule>
    <cfRule type="iconSet" priority="2537">
      <iconSet iconSet="3Arrows">
        <cfvo type="percent" val="0"/>
        <cfvo type="num" val="0.7"/>
        <cfvo type="num" val="1"/>
      </iconSet>
    </cfRule>
  </conditionalFormatting>
  <conditionalFormatting sqref="Y1603">
    <cfRule type="dataBar" priority="2536">
      <dataBar>
        <cfvo type="num" val="0"/>
        <cfvo type="num" val="1"/>
        <color theme="4" tint="0.79998168889431442"/>
      </dataBar>
      <extLst>
        <ext xmlns:x14="http://schemas.microsoft.com/office/spreadsheetml/2009/9/main" uri="{B025F937-C7B1-47D3-B67F-A62EFF666E3E}">
          <x14:id>{E2721323-EC21-4045-8FEF-96ABEAB82C83}</x14:id>
        </ext>
      </extLst>
    </cfRule>
    <cfRule type="iconSet" priority="2535">
      <iconSet iconSet="3Arrows">
        <cfvo type="percent" val="0"/>
        <cfvo type="num" val="0.7"/>
        <cfvo type="num" val="1"/>
      </iconSet>
    </cfRule>
  </conditionalFormatting>
  <conditionalFormatting sqref="Y1605">
    <cfRule type="dataBar" priority="2534">
      <dataBar>
        <cfvo type="num" val="0"/>
        <cfvo type="num" val="1"/>
        <color theme="4" tint="0.79998168889431442"/>
      </dataBar>
      <extLst>
        <ext xmlns:x14="http://schemas.microsoft.com/office/spreadsheetml/2009/9/main" uri="{B025F937-C7B1-47D3-B67F-A62EFF666E3E}">
          <x14:id>{CFCED988-9589-4EF9-98EE-0E18DD7CB20F}</x14:id>
        </ext>
      </extLst>
    </cfRule>
    <cfRule type="iconSet" priority="2533">
      <iconSet iconSet="3Arrows">
        <cfvo type="percent" val="0"/>
        <cfvo type="num" val="0.7"/>
        <cfvo type="num" val="1"/>
      </iconSet>
    </cfRule>
  </conditionalFormatting>
  <conditionalFormatting sqref="Y1607">
    <cfRule type="dataBar" priority="2532">
      <dataBar>
        <cfvo type="num" val="0"/>
        <cfvo type="num" val="1"/>
        <color theme="4" tint="0.79998168889431442"/>
      </dataBar>
      <extLst>
        <ext xmlns:x14="http://schemas.microsoft.com/office/spreadsheetml/2009/9/main" uri="{B025F937-C7B1-47D3-B67F-A62EFF666E3E}">
          <x14:id>{AB931152-03B3-4EA9-BFA8-2455F0187825}</x14:id>
        </ext>
      </extLst>
    </cfRule>
    <cfRule type="iconSet" priority="2531">
      <iconSet iconSet="3Arrows">
        <cfvo type="percent" val="0"/>
        <cfvo type="num" val="0.7"/>
        <cfvo type="num" val="1"/>
      </iconSet>
    </cfRule>
  </conditionalFormatting>
  <conditionalFormatting sqref="Y1609">
    <cfRule type="dataBar" priority="2530">
      <dataBar>
        <cfvo type="num" val="0"/>
        <cfvo type="num" val="1"/>
        <color theme="4" tint="0.79998168889431442"/>
      </dataBar>
      <extLst>
        <ext xmlns:x14="http://schemas.microsoft.com/office/spreadsheetml/2009/9/main" uri="{B025F937-C7B1-47D3-B67F-A62EFF666E3E}">
          <x14:id>{DBA470C7-A0B3-432F-8D88-E4D90C6B82A4}</x14:id>
        </ext>
      </extLst>
    </cfRule>
    <cfRule type="iconSet" priority="2529">
      <iconSet iconSet="3Arrows">
        <cfvo type="percent" val="0"/>
        <cfvo type="num" val="0.7"/>
        <cfvo type="num" val="1"/>
      </iconSet>
    </cfRule>
  </conditionalFormatting>
  <conditionalFormatting sqref="Y1611">
    <cfRule type="dataBar" priority="2528">
      <dataBar>
        <cfvo type="num" val="0"/>
        <cfvo type="num" val="1"/>
        <color theme="4" tint="0.79998168889431442"/>
      </dataBar>
      <extLst>
        <ext xmlns:x14="http://schemas.microsoft.com/office/spreadsheetml/2009/9/main" uri="{B025F937-C7B1-47D3-B67F-A62EFF666E3E}">
          <x14:id>{31040649-CDD8-4B6B-B6B6-47E3C8C4BF6E}</x14:id>
        </ext>
      </extLst>
    </cfRule>
    <cfRule type="iconSet" priority="2527">
      <iconSet iconSet="3Arrows">
        <cfvo type="percent" val="0"/>
        <cfvo type="num" val="0.7"/>
        <cfvo type="num" val="1"/>
      </iconSet>
    </cfRule>
  </conditionalFormatting>
  <conditionalFormatting sqref="Y1613">
    <cfRule type="dataBar" priority="2526">
      <dataBar>
        <cfvo type="num" val="0"/>
        <cfvo type="num" val="1"/>
        <color theme="4" tint="0.79998168889431442"/>
      </dataBar>
      <extLst>
        <ext xmlns:x14="http://schemas.microsoft.com/office/spreadsheetml/2009/9/main" uri="{B025F937-C7B1-47D3-B67F-A62EFF666E3E}">
          <x14:id>{EBC57C7A-8948-4B0F-8151-7F864259CB42}</x14:id>
        </ext>
      </extLst>
    </cfRule>
    <cfRule type="iconSet" priority="2525">
      <iconSet iconSet="3Arrows">
        <cfvo type="percent" val="0"/>
        <cfvo type="num" val="0.7"/>
        <cfvo type="num" val="1"/>
      </iconSet>
    </cfRule>
  </conditionalFormatting>
  <conditionalFormatting sqref="Y1617">
    <cfRule type="dataBar" priority="2524">
      <dataBar>
        <cfvo type="num" val="0"/>
        <cfvo type="num" val="1"/>
        <color theme="4" tint="0.79998168889431442"/>
      </dataBar>
      <extLst>
        <ext xmlns:x14="http://schemas.microsoft.com/office/spreadsheetml/2009/9/main" uri="{B025F937-C7B1-47D3-B67F-A62EFF666E3E}">
          <x14:id>{9F09C56E-4AF9-4BDA-A659-B512D94C5FBA}</x14:id>
        </ext>
      </extLst>
    </cfRule>
    <cfRule type="iconSet" priority="2523">
      <iconSet iconSet="3Arrows">
        <cfvo type="percent" val="0"/>
        <cfvo type="num" val="0.7"/>
        <cfvo type="num" val="1"/>
      </iconSet>
    </cfRule>
  </conditionalFormatting>
  <conditionalFormatting sqref="Y1619">
    <cfRule type="dataBar" priority="2522">
      <dataBar>
        <cfvo type="num" val="0"/>
        <cfvo type="num" val="1"/>
        <color theme="4" tint="0.79998168889431442"/>
      </dataBar>
      <extLst>
        <ext xmlns:x14="http://schemas.microsoft.com/office/spreadsheetml/2009/9/main" uri="{B025F937-C7B1-47D3-B67F-A62EFF666E3E}">
          <x14:id>{868CDDF4-C108-44F0-94D2-3151D8084805}</x14:id>
        </ext>
      </extLst>
    </cfRule>
    <cfRule type="iconSet" priority="2521">
      <iconSet iconSet="3Arrows">
        <cfvo type="percent" val="0"/>
        <cfvo type="num" val="0.7"/>
        <cfvo type="num" val="1"/>
      </iconSet>
    </cfRule>
  </conditionalFormatting>
  <conditionalFormatting sqref="Y1621 Y1623 Y1625">
    <cfRule type="iconSet" priority="2519">
      <iconSet iconSet="3Arrows">
        <cfvo type="percent" val="0"/>
        <cfvo type="num" val="0.7"/>
        <cfvo type="num" val="1"/>
      </iconSet>
    </cfRule>
    <cfRule type="dataBar" priority="2520">
      <dataBar>
        <cfvo type="num" val="0"/>
        <cfvo type="num" val="1"/>
        <color theme="4" tint="0.79998168889431442"/>
      </dataBar>
      <extLst>
        <ext xmlns:x14="http://schemas.microsoft.com/office/spreadsheetml/2009/9/main" uri="{B025F937-C7B1-47D3-B67F-A62EFF666E3E}">
          <x14:id>{05F7B4D9-D38E-445D-BBCB-54D4AD80F969}</x14:id>
        </ext>
      </extLst>
    </cfRule>
  </conditionalFormatting>
  <conditionalFormatting sqref="Y1627">
    <cfRule type="dataBar" priority="2518">
      <dataBar>
        <cfvo type="num" val="0"/>
        <cfvo type="num" val="1"/>
        <color theme="4" tint="0.79998168889431442"/>
      </dataBar>
      <extLst>
        <ext xmlns:x14="http://schemas.microsoft.com/office/spreadsheetml/2009/9/main" uri="{B025F937-C7B1-47D3-B67F-A62EFF666E3E}">
          <x14:id>{2ABAC635-0962-4795-B55B-BE0DC04BC648}</x14:id>
        </ext>
      </extLst>
    </cfRule>
    <cfRule type="iconSet" priority="2517">
      <iconSet iconSet="3Arrows">
        <cfvo type="percent" val="0"/>
        <cfvo type="num" val="0.7"/>
        <cfvo type="num" val="1"/>
      </iconSet>
    </cfRule>
  </conditionalFormatting>
  <conditionalFormatting sqref="Y1630">
    <cfRule type="dataBar" priority="2516">
      <dataBar>
        <cfvo type="num" val="0"/>
        <cfvo type="num" val="1"/>
        <color theme="4" tint="0.79998168889431442"/>
      </dataBar>
      <extLst>
        <ext xmlns:x14="http://schemas.microsoft.com/office/spreadsheetml/2009/9/main" uri="{B025F937-C7B1-47D3-B67F-A62EFF666E3E}">
          <x14:id>{0DBE8A88-8889-46C6-8C84-89E3EF662000}</x14:id>
        </ext>
      </extLst>
    </cfRule>
    <cfRule type="iconSet" priority="2515">
      <iconSet iconSet="3Arrows">
        <cfvo type="percent" val="0"/>
        <cfvo type="num" val="0.7"/>
        <cfvo type="num" val="1"/>
      </iconSet>
    </cfRule>
  </conditionalFormatting>
  <conditionalFormatting sqref="Y1632">
    <cfRule type="dataBar" priority="2514">
      <dataBar>
        <cfvo type="num" val="0"/>
        <cfvo type="num" val="1"/>
        <color theme="4" tint="0.79998168889431442"/>
      </dataBar>
      <extLst>
        <ext xmlns:x14="http://schemas.microsoft.com/office/spreadsheetml/2009/9/main" uri="{B025F937-C7B1-47D3-B67F-A62EFF666E3E}">
          <x14:id>{B8B66141-814F-46D3-8CE7-98C38E520662}</x14:id>
        </ext>
      </extLst>
    </cfRule>
    <cfRule type="iconSet" priority="2513">
      <iconSet iconSet="3Arrows">
        <cfvo type="percent" val="0"/>
        <cfvo type="num" val="0.7"/>
        <cfvo type="num" val="1"/>
      </iconSet>
    </cfRule>
  </conditionalFormatting>
  <conditionalFormatting sqref="Y1634 Y1636 Y1638">
    <cfRule type="dataBar" priority="2512">
      <dataBar>
        <cfvo type="num" val="0"/>
        <cfvo type="num" val="1"/>
        <color theme="4" tint="0.79998168889431442"/>
      </dataBar>
      <extLst>
        <ext xmlns:x14="http://schemas.microsoft.com/office/spreadsheetml/2009/9/main" uri="{B025F937-C7B1-47D3-B67F-A62EFF666E3E}">
          <x14:id>{E3070D94-047C-4793-BA87-74DF52BBA297}</x14:id>
        </ext>
      </extLst>
    </cfRule>
    <cfRule type="iconSet" priority="2511">
      <iconSet iconSet="3Arrows">
        <cfvo type="percent" val="0"/>
        <cfvo type="num" val="0.7"/>
        <cfvo type="num" val="1"/>
      </iconSet>
    </cfRule>
  </conditionalFormatting>
  <conditionalFormatting sqref="Y1640">
    <cfRule type="dataBar" priority="2510">
      <dataBar>
        <cfvo type="num" val="0"/>
        <cfvo type="num" val="1"/>
        <color theme="4" tint="0.79998168889431442"/>
      </dataBar>
      <extLst>
        <ext xmlns:x14="http://schemas.microsoft.com/office/spreadsheetml/2009/9/main" uri="{B025F937-C7B1-47D3-B67F-A62EFF666E3E}">
          <x14:id>{F03597C6-F7BC-4EAE-9682-29586931BEFB}</x14:id>
        </ext>
      </extLst>
    </cfRule>
    <cfRule type="iconSet" priority="2509">
      <iconSet iconSet="3Arrows">
        <cfvo type="percent" val="0"/>
        <cfvo type="num" val="0.7"/>
        <cfvo type="num" val="1"/>
      </iconSet>
    </cfRule>
  </conditionalFormatting>
  <conditionalFormatting sqref="Y1642 Y1644 Y1646">
    <cfRule type="dataBar" priority="2508">
      <dataBar>
        <cfvo type="num" val="0"/>
        <cfvo type="num" val="1"/>
        <color theme="4" tint="0.79998168889431442"/>
      </dataBar>
      <extLst>
        <ext xmlns:x14="http://schemas.microsoft.com/office/spreadsheetml/2009/9/main" uri="{B025F937-C7B1-47D3-B67F-A62EFF666E3E}">
          <x14:id>{E528B7E9-B9BC-43FA-BBCA-CD69CB777F79}</x14:id>
        </ext>
      </extLst>
    </cfRule>
    <cfRule type="iconSet" priority="2507">
      <iconSet iconSet="3Arrows">
        <cfvo type="percent" val="0"/>
        <cfvo type="num" val="0.7"/>
        <cfvo type="num" val="1"/>
      </iconSet>
    </cfRule>
  </conditionalFormatting>
  <conditionalFormatting sqref="Y1648">
    <cfRule type="iconSet" priority="2505">
      <iconSet iconSet="3Arrows">
        <cfvo type="percent" val="0"/>
        <cfvo type="num" val="0.7"/>
        <cfvo type="num" val="1"/>
      </iconSet>
    </cfRule>
    <cfRule type="dataBar" priority="2506">
      <dataBar>
        <cfvo type="num" val="0"/>
        <cfvo type="num" val="1"/>
        <color theme="4" tint="0.79998168889431442"/>
      </dataBar>
      <extLst>
        <ext xmlns:x14="http://schemas.microsoft.com/office/spreadsheetml/2009/9/main" uri="{B025F937-C7B1-47D3-B67F-A62EFF666E3E}">
          <x14:id>{D7DB3A6E-28CB-48C2-BEEE-060BC77B965E}</x14:id>
        </ext>
      </extLst>
    </cfRule>
  </conditionalFormatting>
  <conditionalFormatting sqref="Y1650 Y1652 Y1654">
    <cfRule type="dataBar" priority="2504">
      <dataBar>
        <cfvo type="num" val="0"/>
        <cfvo type="num" val="1"/>
        <color theme="4" tint="0.79998168889431442"/>
      </dataBar>
      <extLst>
        <ext xmlns:x14="http://schemas.microsoft.com/office/spreadsheetml/2009/9/main" uri="{B025F937-C7B1-47D3-B67F-A62EFF666E3E}">
          <x14:id>{2DA5954B-2A3A-4793-A37E-975507C6123D}</x14:id>
        </ext>
      </extLst>
    </cfRule>
    <cfRule type="iconSet" priority="2503">
      <iconSet iconSet="3Arrows">
        <cfvo type="percent" val="0"/>
        <cfvo type="num" val="0.7"/>
        <cfvo type="num" val="1"/>
      </iconSet>
    </cfRule>
  </conditionalFormatting>
  <conditionalFormatting sqref="Y1656">
    <cfRule type="dataBar" priority="2502">
      <dataBar>
        <cfvo type="num" val="0"/>
        <cfvo type="num" val="1"/>
        <color theme="4" tint="0.79998168889431442"/>
      </dataBar>
      <extLst>
        <ext xmlns:x14="http://schemas.microsoft.com/office/spreadsheetml/2009/9/main" uri="{B025F937-C7B1-47D3-B67F-A62EFF666E3E}">
          <x14:id>{5D245908-37A8-4A66-93A3-E1C67DB8D626}</x14:id>
        </ext>
      </extLst>
    </cfRule>
    <cfRule type="iconSet" priority="2501">
      <iconSet iconSet="3Arrows">
        <cfvo type="percent" val="0"/>
        <cfvo type="num" val="0.7"/>
        <cfvo type="num" val="1"/>
      </iconSet>
    </cfRule>
  </conditionalFormatting>
  <conditionalFormatting sqref="Y1658 Y1660 Y1662">
    <cfRule type="iconSet" priority="2499">
      <iconSet iconSet="3Arrows">
        <cfvo type="percent" val="0"/>
        <cfvo type="num" val="0.7"/>
        <cfvo type="num" val="1"/>
      </iconSet>
    </cfRule>
    <cfRule type="dataBar" priority="2500">
      <dataBar>
        <cfvo type="num" val="0"/>
        <cfvo type="num" val="1"/>
        <color theme="4" tint="0.79998168889431442"/>
      </dataBar>
      <extLst>
        <ext xmlns:x14="http://schemas.microsoft.com/office/spreadsheetml/2009/9/main" uri="{B025F937-C7B1-47D3-B67F-A62EFF666E3E}">
          <x14:id>{A29994BD-96BF-4664-93FF-0F227F3599F2}</x14:id>
        </ext>
      </extLst>
    </cfRule>
  </conditionalFormatting>
  <conditionalFormatting sqref="Y1664">
    <cfRule type="dataBar" priority="2498">
      <dataBar>
        <cfvo type="num" val="0"/>
        <cfvo type="num" val="1"/>
        <color theme="4" tint="0.79998168889431442"/>
      </dataBar>
      <extLst>
        <ext xmlns:x14="http://schemas.microsoft.com/office/spreadsheetml/2009/9/main" uri="{B025F937-C7B1-47D3-B67F-A62EFF666E3E}">
          <x14:id>{E3896BE8-788F-48E9-98EA-A9960384A48A}</x14:id>
        </ext>
      </extLst>
    </cfRule>
    <cfRule type="iconSet" priority="2497">
      <iconSet iconSet="3Arrows">
        <cfvo type="percent" val="0"/>
        <cfvo type="num" val="0.7"/>
        <cfvo type="num" val="1"/>
      </iconSet>
    </cfRule>
  </conditionalFormatting>
  <conditionalFormatting sqref="Y1666 Y1668 Y1670">
    <cfRule type="dataBar" priority="2496">
      <dataBar>
        <cfvo type="num" val="0"/>
        <cfvo type="num" val="1"/>
        <color theme="4" tint="0.79998168889431442"/>
      </dataBar>
      <extLst>
        <ext xmlns:x14="http://schemas.microsoft.com/office/spreadsheetml/2009/9/main" uri="{B025F937-C7B1-47D3-B67F-A62EFF666E3E}">
          <x14:id>{B05D212A-11D9-4576-A476-72D560E6F330}</x14:id>
        </ext>
      </extLst>
    </cfRule>
    <cfRule type="iconSet" priority="2495">
      <iconSet iconSet="3Arrows">
        <cfvo type="percent" val="0"/>
        <cfvo type="num" val="0.7"/>
        <cfvo type="num" val="1"/>
      </iconSet>
    </cfRule>
  </conditionalFormatting>
  <conditionalFormatting sqref="Y1672">
    <cfRule type="iconSet" priority="2493">
      <iconSet iconSet="3Arrows">
        <cfvo type="percent" val="0"/>
        <cfvo type="num" val="0.7"/>
        <cfvo type="num" val="1"/>
      </iconSet>
    </cfRule>
    <cfRule type="dataBar" priority="2494">
      <dataBar>
        <cfvo type="num" val="0"/>
        <cfvo type="num" val="1"/>
        <color theme="4" tint="0.79998168889431442"/>
      </dataBar>
      <extLst>
        <ext xmlns:x14="http://schemas.microsoft.com/office/spreadsheetml/2009/9/main" uri="{B025F937-C7B1-47D3-B67F-A62EFF666E3E}">
          <x14:id>{33E032CA-000F-44B8-A65A-458661B2B16A}</x14:id>
        </ext>
      </extLst>
    </cfRule>
  </conditionalFormatting>
  <conditionalFormatting sqref="Y1674 Y1676 Y1678">
    <cfRule type="dataBar" priority="2492">
      <dataBar>
        <cfvo type="num" val="0"/>
        <cfvo type="num" val="1"/>
        <color theme="4" tint="0.79998168889431442"/>
      </dataBar>
      <extLst>
        <ext xmlns:x14="http://schemas.microsoft.com/office/spreadsheetml/2009/9/main" uri="{B025F937-C7B1-47D3-B67F-A62EFF666E3E}">
          <x14:id>{1FC98380-5746-47BD-B774-85EDD75E9A61}</x14:id>
        </ext>
      </extLst>
    </cfRule>
    <cfRule type="iconSet" priority="2491">
      <iconSet iconSet="3Arrows">
        <cfvo type="percent" val="0"/>
        <cfvo type="num" val="0.7"/>
        <cfvo type="num" val="1"/>
      </iconSet>
    </cfRule>
  </conditionalFormatting>
  <conditionalFormatting sqref="Y1680">
    <cfRule type="iconSet" priority="2489">
      <iconSet iconSet="3Arrows">
        <cfvo type="percent" val="0"/>
        <cfvo type="num" val="0.7"/>
        <cfvo type="num" val="1"/>
      </iconSet>
    </cfRule>
    <cfRule type="dataBar" priority="2490">
      <dataBar>
        <cfvo type="num" val="0"/>
        <cfvo type="num" val="1"/>
        <color theme="4" tint="0.79998168889431442"/>
      </dataBar>
      <extLst>
        <ext xmlns:x14="http://schemas.microsoft.com/office/spreadsheetml/2009/9/main" uri="{B025F937-C7B1-47D3-B67F-A62EFF666E3E}">
          <x14:id>{36A1C11E-3185-4918-9195-8A82343A4BF8}</x14:id>
        </ext>
      </extLst>
    </cfRule>
  </conditionalFormatting>
  <conditionalFormatting sqref="Y1682 Y1684 Y1686">
    <cfRule type="iconSet" priority="2487">
      <iconSet iconSet="3Arrows">
        <cfvo type="percent" val="0"/>
        <cfvo type="num" val="0.7"/>
        <cfvo type="num" val="1"/>
      </iconSet>
    </cfRule>
    <cfRule type="dataBar" priority="2488">
      <dataBar>
        <cfvo type="num" val="0"/>
        <cfvo type="num" val="1"/>
        <color theme="4" tint="0.79998168889431442"/>
      </dataBar>
      <extLst>
        <ext xmlns:x14="http://schemas.microsoft.com/office/spreadsheetml/2009/9/main" uri="{B025F937-C7B1-47D3-B67F-A62EFF666E3E}">
          <x14:id>{81BEC1B7-2662-4A73-8DF3-0175692C9E6F}</x14:id>
        </ext>
      </extLst>
    </cfRule>
  </conditionalFormatting>
  <conditionalFormatting sqref="Y1688">
    <cfRule type="iconSet" priority="2485">
      <iconSet iconSet="3Arrows">
        <cfvo type="percent" val="0"/>
        <cfvo type="num" val="0.7"/>
        <cfvo type="num" val="1"/>
      </iconSet>
    </cfRule>
    <cfRule type="dataBar" priority="2486">
      <dataBar>
        <cfvo type="num" val="0"/>
        <cfvo type="num" val="1"/>
        <color theme="4" tint="0.79998168889431442"/>
      </dataBar>
      <extLst>
        <ext xmlns:x14="http://schemas.microsoft.com/office/spreadsheetml/2009/9/main" uri="{B025F937-C7B1-47D3-B67F-A62EFF666E3E}">
          <x14:id>{544A7167-7831-451A-8FDA-213435CBC2F0}</x14:id>
        </ext>
      </extLst>
    </cfRule>
  </conditionalFormatting>
  <conditionalFormatting sqref="Y1690 Y1692 Y1694">
    <cfRule type="iconSet" priority="2483">
      <iconSet iconSet="3Arrows">
        <cfvo type="percent" val="0"/>
        <cfvo type="num" val="0.7"/>
        <cfvo type="num" val="1"/>
      </iconSet>
    </cfRule>
    <cfRule type="dataBar" priority="2484">
      <dataBar>
        <cfvo type="num" val="0"/>
        <cfvo type="num" val="1"/>
        <color theme="4" tint="0.79998168889431442"/>
      </dataBar>
      <extLst>
        <ext xmlns:x14="http://schemas.microsoft.com/office/spreadsheetml/2009/9/main" uri="{B025F937-C7B1-47D3-B67F-A62EFF666E3E}">
          <x14:id>{19464C19-4700-47E0-AAA1-192D4EB8D8C5}</x14:id>
        </ext>
      </extLst>
    </cfRule>
  </conditionalFormatting>
  <conditionalFormatting sqref="Y1698">
    <cfRule type="dataBar" priority="2482">
      <dataBar>
        <cfvo type="num" val="0"/>
        <cfvo type="num" val="1"/>
        <color theme="4" tint="0.79998168889431442"/>
      </dataBar>
      <extLst>
        <ext xmlns:x14="http://schemas.microsoft.com/office/spreadsheetml/2009/9/main" uri="{B025F937-C7B1-47D3-B67F-A62EFF666E3E}">
          <x14:id>{04A25023-37C4-459B-8AAF-47F2A52DC206}</x14:id>
        </ext>
      </extLst>
    </cfRule>
    <cfRule type="iconSet" priority="2481">
      <iconSet iconSet="3Arrows">
        <cfvo type="percent" val="0"/>
        <cfvo type="num" val="0.7"/>
        <cfvo type="num" val="1"/>
      </iconSet>
    </cfRule>
  </conditionalFormatting>
  <conditionalFormatting sqref="Y1700">
    <cfRule type="iconSet" priority="2479">
      <iconSet iconSet="3Arrows">
        <cfvo type="percent" val="0"/>
        <cfvo type="num" val="0.7"/>
        <cfvo type="num" val="1"/>
      </iconSet>
    </cfRule>
    <cfRule type="dataBar" priority="2480">
      <dataBar>
        <cfvo type="num" val="0"/>
        <cfvo type="num" val="1"/>
        <color theme="4" tint="0.79998168889431442"/>
      </dataBar>
      <extLst>
        <ext xmlns:x14="http://schemas.microsoft.com/office/spreadsheetml/2009/9/main" uri="{B025F937-C7B1-47D3-B67F-A62EFF666E3E}">
          <x14:id>{995BFF7C-6279-45F9-BAD4-636B0C613D38}</x14:id>
        </ext>
      </extLst>
    </cfRule>
  </conditionalFormatting>
  <conditionalFormatting sqref="Y1702 Y1704">
    <cfRule type="dataBar" priority="2478">
      <dataBar>
        <cfvo type="num" val="0"/>
        <cfvo type="num" val="1"/>
        <color theme="4" tint="0.79998168889431442"/>
      </dataBar>
      <extLst>
        <ext xmlns:x14="http://schemas.microsoft.com/office/spreadsheetml/2009/9/main" uri="{B025F937-C7B1-47D3-B67F-A62EFF666E3E}">
          <x14:id>{136B92EA-F5F0-4EB9-B443-23125E373AF0}</x14:id>
        </ext>
      </extLst>
    </cfRule>
    <cfRule type="iconSet" priority="2477">
      <iconSet iconSet="3Arrows">
        <cfvo type="percent" val="0"/>
        <cfvo type="num" val="0.7"/>
        <cfvo type="num" val="1"/>
      </iconSet>
    </cfRule>
  </conditionalFormatting>
  <conditionalFormatting sqref="Y1706">
    <cfRule type="dataBar" priority="2476">
      <dataBar>
        <cfvo type="num" val="0"/>
        <cfvo type="num" val="1"/>
        <color theme="4" tint="0.79998168889431442"/>
      </dataBar>
      <extLst>
        <ext xmlns:x14="http://schemas.microsoft.com/office/spreadsheetml/2009/9/main" uri="{B025F937-C7B1-47D3-B67F-A62EFF666E3E}">
          <x14:id>{7F90F056-4F4D-427C-9B27-6F73028B7101}</x14:id>
        </ext>
      </extLst>
    </cfRule>
    <cfRule type="iconSet" priority="2475">
      <iconSet iconSet="3Arrows">
        <cfvo type="percent" val="0"/>
        <cfvo type="num" val="0.7"/>
        <cfvo type="num" val="1"/>
      </iconSet>
    </cfRule>
  </conditionalFormatting>
  <conditionalFormatting sqref="Y1708">
    <cfRule type="dataBar" priority="2474">
      <dataBar>
        <cfvo type="num" val="0"/>
        <cfvo type="num" val="1"/>
        <color theme="4" tint="0.79998168889431442"/>
      </dataBar>
      <extLst>
        <ext xmlns:x14="http://schemas.microsoft.com/office/spreadsheetml/2009/9/main" uri="{B025F937-C7B1-47D3-B67F-A62EFF666E3E}">
          <x14:id>{54000BC7-67FF-4508-A3D0-DEA8B2AC1B0A}</x14:id>
        </ext>
      </extLst>
    </cfRule>
    <cfRule type="iconSet" priority="2473">
      <iconSet iconSet="3Arrows">
        <cfvo type="percent" val="0"/>
        <cfvo type="num" val="0.7"/>
        <cfvo type="num" val="1"/>
      </iconSet>
    </cfRule>
  </conditionalFormatting>
  <conditionalFormatting sqref="Y1710">
    <cfRule type="dataBar" priority="2472">
      <dataBar>
        <cfvo type="num" val="0"/>
        <cfvo type="num" val="1"/>
        <color theme="4" tint="0.79998168889431442"/>
      </dataBar>
      <extLst>
        <ext xmlns:x14="http://schemas.microsoft.com/office/spreadsheetml/2009/9/main" uri="{B025F937-C7B1-47D3-B67F-A62EFF666E3E}">
          <x14:id>{36AA8574-EC2B-4241-894B-3E57DCFCF288}</x14:id>
        </ext>
      </extLst>
    </cfRule>
    <cfRule type="iconSet" priority="2471">
      <iconSet iconSet="3Arrows">
        <cfvo type="percent" val="0"/>
        <cfvo type="num" val="0.7"/>
        <cfvo type="num" val="1"/>
      </iconSet>
    </cfRule>
  </conditionalFormatting>
  <conditionalFormatting sqref="Y1712">
    <cfRule type="iconSet" priority="2469">
      <iconSet iconSet="3Arrows">
        <cfvo type="percent" val="0"/>
        <cfvo type="num" val="0.7"/>
        <cfvo type="num" val="1"/>
      </iconSet>
    </cfRule>
    <cfRule type="dataBar" priority="2470">
      <dataBar>
        <cfvo type="num" val="0"/>
        <cfvo type="num" val="1"/>
        <color theme="4" tint="0.79998168889431442"/>
      </dataBar>
      <extLst>
        <ext xmlns:x14="http://schemas.microsoft.com/office/spreadsheetml/2009/9/main" uri="{B025F937-C7B1-47D3-B67F-A62EFF666E3E}">
          <x14:id>{E5191620-B863-43A3-9B0A-988005F6EF53}</x14:id>
        </ext>
      </extLst>
    </cfRule>
  </conditionalFormatting>
  <conditionalFormatting sqref="Y1714">
    <cfRule type="iconSet" priority="2467">
      <iconSet iconSet="3Arrows">
        <cfvo type="percent" val="0"/>
        <cfvo type="num" val="0.7"/>
        <cfvo type="num" val="1"/>
      </iconSet>
    </cfRule>
    <cfRule type="dataBar" priority="2468">
      <dataBar>
        <cfvo type="num" val="0"/>
        <cfvo type="num" val="1"/>
        <color theme="4" tint="0.79998168889431442"/>
      </dataBar>
      <extLst>
        <ext xmlns:x14="http://schemas.microsoft.com/office/spreadsheetml/2009/9/main" uri="{B025F937-C7B1-47D3-B67F-A62EFF666E3E}">
          <x14:id>{0FB3EFE6-A0EA-4ECE-9610-92E8E200A4E3}</x14:id>
        </ext>
      </extLst>
    </cfRule>
  </conditionalFormatting>
  <conditionalFormatting sqref="Y1716">
    <cfRule type="iconSet" priority="2465">
      <iconSet iconSet="3Arrows">
        <cfvo type="percent" val="0"/>
        <cfvo type="num" val="0.7"/>
        <cfvo type="num" val="1"/>
      </iconSet>
    </cfRule>
    <cfRule type="dataBar" priority="2466">
      <dataBar>
        <cfvo type="num" val="0"/>
        <cfvo type="num" val="1"/>
        <color theme="4" tint="0.79998168889431442"/>
      </dataBar>
      <extLst>
        <ext xmlns:x14="http://schemas.microsoft.com/office/spreadsheetml/2009/9/main" uri="{B025F937-C7B1-47D3-B67F-A62EFF666E3E}">
          <x14:id>{222B3DE8-B648-45BF-A641-B0AAA93F38D3}</x14:id>
        </ext>
      </extLst>
    </cfRule>
  </conditionalFormatting>
  <conditionalFormatting sqref="Y1718 Y1720">
    <cfRule type="iconSet" priority="2463">
      <iconSet iconSet="3Arrows">
        <cfvo type="percent" val="0"/>
        <cfvo type="num" val="0.7"/>
        <cfvo type="num" val="1"/>
      </iconSet>
    </cfRule>
    <cfRule type="dataBar" priority="2464">
      <dataBar>
        <cfvo type="num" val="0"/>
        <cfvo type="num" val="1"/>
        <color theme="4" tint="0.79998168889431442"/>
      </dataBar>
      <extLst>
        <ext xmlns:x14="http://schemas.microsoft.com/office/spreadsheetml/2009/9/main" uri="{B025F937-C7B1-47D3-B67F-A62EFF666E3E}">
          <x14:id>{7B18FF09-A498-4ED9-BE43-8E9811885C5C}</x14:id>
        </ext>
      </extLst>
    </cfRule>
  </conditionalFormatting>
  <conditionalFormatting sqref="Y1722">
    <cfRule type="dataBar" priority="2462">
      <dataBar>
        <cfvo type="num" val="0"/>
        <cfvo type="num" val="1"/>
        <color theme="4" tint="0.79998168889431442"/>
      </dataBar>
      <extLst>
        <ext xmlns:x14="http://schemas.microsoft.com/office/spreadsheetml/2009/9/main" uri="{B025F937-C7B1-47D3-B67F-A62EFF666E3E}">
          <x14:id>{CE46AE03-915E-4A53-B278-B346F54CD0B8}</x14:id>
        </ext>
      </extLst>
    </cfRule>
    <cfRule type="iconSet" priority="2461">
      <iconSet iconSet="3Arrows">
        <cfvo type="percent" val="0"/>
        <cfvo type="num" val="0.7"/>
        <cfvo type="num" val="1"/>
      </iconSet>
    </cfRule>
  </conditionalFormatting>
  <conditionalFormatting sqref="Y1724">
    <cfRule type="iconSet" priority="2459">
      <iconSet iconSet="3Arrows">
        <cfvo type="percent" val="0"/>
        <cfvo type="num" val="0.7"/>
        <cfvo type="num" val="1"/>
      </iconSet>
    </cfRule>
    <cfRule type="dataBar" priority="2460">
      <dataBar>
        <cfvo type="num" val="0"/>
        <cfvo type="num" val="1"/>
        <color theme="4" tint="0.79998168889431442"/>
      </dataBar>
      <extLst>
        <ext xmlns:x14="http://schemas.microsoft.com/office/spreadsheetml/2009/9/main" uri="{B025F937-C7B1-47D3-B67F-A62EFF666E3E}">
          <x14:id>{752772C9-58AD-4C09-A9A6-BF21860BD7B2}</x14:id>
        </ext>
      </extLst>
    </cfRule>
  </conditionalFormatting>
  <conditionalFormatting sqref="Y1726">
    <cfRule type="iconSet" priority="2457">
      <iconSet iconSet="3Arrows">
        <cfvo type="percent" val="0"/>
        <cfvo type="num" val="0.7"/>
        <cfvo type="num" val="1"/>
      </iconSet>
    </cfRule>
    <cfRule type="dataBar" priority="2458">
      <dataBar>
        <cfvo type="num" val="0"/>
        <cfvo type="num" val="1"/>
        <color theme="4" tint="0.79998168889431442"/>
      </dataBar>
      <extLst>
        <ext xmlns:x14="http://schemas.microsoft.com/office/spreadsheetml/2009/9/main" uri="{B025F937-C7B1-47D3-B67F-A62EFF666E3E}">
          <x14:id>{F039903C-1B73-4B6C-93C8-AC7FC1B0B89B}</x14:id>
        </ext>
      </extLst>
    </cfRule>
  </conditionalFormatting>
  <conditionalFormatting sqref="Y1728">
    <cfRule type="iconSet" priority="2455">
      <iconSet iconSet="3Arrows">
        <cfvo type="percent" val="0"/>
        <cfvo type="num" val="0.7"/>
        <cfvo type="num" val="1"/>
      </iconSet>
    </cfRule>
    <cfRule type="dataBar" priority="2456">
      <dataBar>
        <cfvo type="num" val="0"/>
        <cfvo type="num" val="1"/>
        <color theme="4" tint="0.79998168889431442"/>
      </dataBar>
      <extLst>
        <ext xmlns:x14="http://schemas.microsoft.com/office/spreadsheetml/2009/9/main" uri="{B025F937-C7B1-47D3-B67F-A62EFF666E3E}">
          <x14:id>{AA99FACC-2276-42A3-9EBE-73939B543D24}</x14:id>
        </ext>
      </extLst>
    </cfRule>
  </conditionalFormatting>
  <conditionalFormatting sqref="Y1730">
    <cfRule type="iconSet" priority="2453">
      <iconSet iconSet="3Arrows">
        <cfvo type="percent" val="0"/>
        <cfvo type="num" val="0.7"/>
        <cfvo type="num" val="1"/>
      </iconSet>
    </cfRule>
    <cfRule type="dataBar" priority="2454">
      <dataBar>
        <cfvo type="num" val="0"/>
        <cfvo type="num" val="1"/>
        <color theme="4" tint="0.79998168889431442"/>
      </dataBar>
      <extLst>
        <ext xmlns:x14="http://schemas.microsoft.com/office/spreadsheetml/2009/9/main" uri="{B025F937-C7B1-47D3-B67F-A62EFF666E3E}">
          <x14:id>{E253A27C-5761-41EF-A6A0-9DBB450CD2BF}</x14:id>
        </ext>
      </extLst>
    </cfRule>
  </conditionalFormatting>
  <conditionalFormatting sqref="Y1732">
    <cfRule type="iconSet" priority="2451">
      <iconSet iconSet="3Arrows">
        <cfvo type="percent" val="0"/>
        <cfvo type="num" val="0.7"/>
        <cfvo type="num" val="1"/>
      </iconSet>
    </cfRule>
    <cfRule type="dataBar" priority="2452">
      <dataBar>
        <cfvo type="num" val="0"/>
        <cfvo type="num" val="1"/>
        <color theme="4" tint="0.79998168889431442"/>
      </dataBar>
      <extLst>
        <ext xmlns:x14="http://schemas.microsoft.com/office/spreadsheetml/2009/9/main" uri="{B025F937-C7B1-47D3-B67F-A62EFF666E3E}">
          <x14:id>{055556C8-84B4-4690-B3AC-CC9184F97743}</x14:id>
        </ext>
      </extLst>
    </cfRule>
  </conditionalFormatting>
  <conditionalFormatting sqref="Y1734 Y1736">
    <cfRule type="dataBar" priority="2450">
      <dataBar>
        <cfvo type="num" val="0"/>
        <cfvo type="num" val="1"/>
        <color theme="4" tint="0.79998168889431442"/>
      </dataBar>
      <extLst>
        <ext xmlns:x14="http://schemas.microsoft.com/office/spreadsheetml/2009/9/main" uri="{B025F937-C7B1-47D3-B67F-A62EFF666E3E}">
          <x14:id>{6F4581BF-DBC4-42D0-9DF7-0F438A8E479A}</x14:id>
        </ext>
      </extLst>
    </cfRule>
    <cfRule type="iconSet" priority="2449">
      <iconSet iconSet="3Arrows">
        <cfvo type="percent" val="0"/>
        <cfvo type="num" val="0.7"/>
        <cfvo type="num" val="1"/>
      </iconSet>
    </cfRule>
  </conditionalFormatting>
  <conditionalFormatting sqref="Y1738">
    <cfRule type="iconSet" priority="2447">
      <iconSet iconSet="3Arrows">
        <cfvo type="percent" val="0"/>
        <cfvo type="num" val="0.7"/>
        <cfvo type="num" val="1"/>
      </iconSet>
    </cfRule>
    <cfRule type="dataBar" priority="2448">
      <dataBar>
        <cfvo type="num" val="0"/>
        <cfvo type="num" val="1"/>
        <color theme="4" tint="0.79998168889431442"/>
      </dataBar>
      <extLst>
        <ext xmlns:x14="http://schemas.microsoft.com/office/spreadsheetml/2009/9/main" uri="{B025F937-C7B1-47D3-B67F-A62EFF666E3E}">
          <x14:id>{A535D82C-A037-422E-8C71-E4B87E609C9E}</x14:id>
        </ext>
      </extLst>
    </cfRule>
  </conditionalFormatting>
  <conditionalFormatting sqref="Y1740">
    <cfRule type="iconSet" priority="2445">
      <iconSet iconSet="3Arrows">
        <cfvo type="percent" val="0"/>
        <cfvo type="num" val="0.7"/>
        <cfvo type="num" val="1"/>
      </iconSet>
    </cfRule>
    <cfRule type="dataBar" priority="2446">
      <dataBar>
        <cfvo type="num" val="0"/>
        <cfvo type="num" val="1"/>
        <color theme="4" tint="0.79998168889431442"/>
      </dataBar>
      <extLst>
        <ext xmlns:x14="http://schemas.microsoft.com/office/spreadsheetml/2009/9/main" uri="{B025F937-C7B1-47D3-B67F-A62EFF666E3E}">
          <x14:id>{16A3D7B8-C3FB-49AF-8840-66BEA9CCF428}</x14:id>
        </ext>
      </extLst>
    </cfRule>
  </conditionalFormatting>
  <conditionalFormatting sqref="Y1742">
    <cfRule type="iconSet" priority="2443">
      <iconSet iconSet="3Arrows">
        <cfvo type="percent" val="0"/>
        <cfvo type="num" val="0.7"/>
        <cfvo type="num" val="1"/>
      </iconSet>
    </cfRule>
    <cfRule type="dataBar" priority="2444">
      <dataBar>
        <cfvo type="num" val="0"/>
        <cfvo type="num" val="1"/>
        <color theme="4" tint="0.79998168889431442"/>
      </dataBar>
      <extLst>
        <ext xmlns:x14="http://schemas.microsoft.com/office/spreadsheetml/2009/9/main" uri="{B025F937-C7B1-47D3-B67F-A62EFF666E3E}">
          <x14:id>{238153FF-E9A3-4A52-B16E-DA53F229B3D4}</x14:id>
        </ext>
      </extLst>
    </cfRule>
  </conditionalFormatting>
  <conditionalFormatting sqref="Y1744">
    <cfRule type="iconSet" priority="2441">
      <iconSet iconSet="3Arrows">
        <cfvo type="percent" val="0"/>
        <cfvo type="num" val="0.7"/>
        <cfvo type="num" val="1"/>
      </iconSet>
    </cfRule>
    <cfRule type="dataBar" priority="2442">
      <dataBar>
        <cfvo type="num" val="0"/>
        <cfvo type="num" val="1"/>
        <color theme="4" tint="0.79998168889431442"/>
      </dataBar>
      <extLst>
        <ext xmlns:x14="http://schemas.microsoft.com/office/spreadsheetml/2009/9/main" uri="{B025F937-C7B1-47D3-B67F-A62EFF666E3E}">
          <x14:id>{A086CCF9-9363-46F8-83E8-6BB35C5B2294}</x14:id>
        </ext>
      </extLst>
    </cfRule>
  </conditionalFormatting>
  <conditionalFormatting sqref="Y1746">
    <cfRule type="iconSet" priority="2439">
      <iconSet iconSet="3Arrows">
        <cfvo type="percent" val="0"/>
        <cfvo type="num" val="0.7"/>
        <cfvo type="num" val="1"/>
      </iconSet>
    </cfRule>
    <cfRule type="dataBar" priority="2440">
      <dataBar>
        <cfvo type="num" val="0"/>
        <cfvo type="num" val="1"/>
        <color theme="4" tint="0.79998168889431442"/>
      </dataBar>
      <extLst>
        <ext xmlns:x14="http://schemas.microsoft.com/office/spreadsheetml/2009/9/main" uri="{B025F937-C7B1-47D3-B67F-A62EFF666E3E}">
          <x14:id>{D5CCBB87-ADC1-4135-8A39-C22B0410F0FF}</x14:id>
        </ext>
      </extLst>
    </cfRule>
  </conditionalFormatting>
  <conditionalFormatting sqref="Y1748">
    <cfRule type="dataBar" priority="2438">
      <dataBar>
        <cfvo type="num" val="0"/>
        <cfvo type="num" val="1"/>
        <color theme="4" tint="0.79998168889431442"/>
      </dataBar>
      <extLst>
        <ext xmlns:x14="http://schemas.microsoft.com/office/spreadsheetml/2009/9/main" uri="{B025F937-C7B1-47D3-B67F-A62EFF666E3E}">
          <x14:id>{A59E4402-623E-4A0E-B1C6-647A3074C0A0}</x14:id>
        </ext>
      </extLst>
    </cfRule>
    <cfRule type="iconSet" priority="2437">
      <iconSet iconSet="3Arrows">
        <cfvo type="percent" val="0"/>
        <cfvo type="num" val="0.7"/>
        <cfvo type="num" val="1"/>
      </iconSet>
    </cfRule>
  </conditionalFormatting>
  <conditionalFormatting sqref="Y1750 Y1752">
    <cfRule type="iconSet" priority="2435">
      <iconSet iconSet="3Arrows">
        <cfvo type="percent" val="0"/>
        <cfvo type="num" val="0.7"/>
        <cfvo type="num" val="1"/>
      </iconSet>
    </cfRule>
    <cfRule type="dataBar" priority="2436">
      <dataBar>
        <cfvo type="num" val="0"/>
        <cfvo type="num" val="1"/>
        <color theme="4" tint="0.79998168889431442"/>
      </dataBar>
      <extLst>
        <ext xmlns:x14="http://schemas.microsoft.com/office/spreadsheetml/2009/9/main" uri="{B025F937-C7B1-47D3-B67F-A62EFF666E3E}">
          <x14:id>{2510A939-6E56-40AB-84C8-1603BEE7C69E}</x14:id>
        </ext>
      </extLst>
    </cfRule>
  </conditionalFormatting>
  <conditionalFormatting sqref="Y1754">
    <cfRule type="dataBar" priority="2434">
      <dataBar>
        <cfvo type="num" val="0"/>
        <cfvo type="num" val="1"/>
        <color theme="4" tint="0.79998168889431442"/>
      </dataBar>
      <extLst>
        <ext xmlns:x14="http://schemas.microsoft.com/office/spreadsheetml/2009/9/main" uri="{B025F937-C7B1-47D3-B67F-A62EFF666E3E}">
          <x14:id>{7E416D32-F18C-455F-A08D-CE19D9D2F0C1}</x14:id>
        </ext>
      </extLst>
    </cfRule>
    <cfRule type="iconSet" priority="2433">
      <iconSet iconSet="3Arrows">
        <cfvo type="percent" val="0"/>
        <cfvo type="num" val="0.7"/>
        <cfvo type="num" val="1"/>
      </iconSet>
    </cfRule>
  </conditionalFormatting>
  <conditionalFormatting sqref="Y1756">
    <cfRule type="dataBar" priority="2432">
      <dataBar>
        <cfvo type="num" val="0"/>
        <cfvo type="num" val="1"/>
        <color theme="4" tint="0.79998168889431442"/>
      </dataBar>
      <extLst>
        <ext xmlns:x14="http://schemas.microsoft.com/office/spreadsheetml/2009/9/main" uri="{B025F937-C7B1-47D3-B67F-A62EFF666E3E}">
          <x14:id>{178649B4-F373-484D-A7EA-7366697800C8}</x14:id>
        </ext>
      </extLst>
    </cfRule>
    <cfRule type="iconSet" priority="2431">
      <iconSet iconSet="3Arrows">
        <cfvo type="percent" val="0"/>
        <cfvo type="num" val="0.7"/>
        <cfvo type="num" val="1"/>
      </iconSet>
    </cfRule>
  </conditionalFormatting>
  <conditionalFormatting sqref="Y1758">
    <cfRule type="iconSet" priority="2429">
      <iconSet iconSet="3Arrows">
        <cfvo type="percent" val="0"/>
        <cfvo type="num" val="0.7"/>
        <cfvo type="num" val="1"/>
      </iconSet>
    </cfRule>
    <cfRule type="dataBar" priority="2430">
      <dataBar>
        <cfvo type="num" val="0"/>
        <cfvo type="num" val="1"/>
        <color theme="4" tint="0.79998168889431442"/>
      </dataBar>
      <extLst>
        <ext xmlns:x14="http://schemas.microsoft.com/office/spreadsheetml/2009/9/main" uri="{B025F937-C7B1-47D3-B67F-A62EFF666E3E}">
          <x14:id>{09220707-7608-4121-B3FA-2D093794932D}</x14:id>
        </ext>
      </extLst>
    </cfRule>
  </conditionalFormatting>
  <conditionalFormatting sqref="Y1760">
    <cfRule type="dataBar" priority="2428">
      <dataBar>
        <cfvo type="num" val="0"/>
        <cfvo type="num" val="1"/>
        <color theme="4" tint="0.79998168889431442"/>
      </dataBar>
      <extLst>
        <ext xmlns:x14="http://schemas.microsoft.com/office/spreadsheetml/2009/9/main" uri="{B025F937-C7B1-47D3-B67F-A62EFF666E3E}">
          <x14:id>{40CB0151-F9D7-49C0-A805-2D7E291B3A8D}</x14:id>
        </ext>
      </extLst>
    </cfRule>
    <cfRule type="iconSet" priority="2427">
      <iconSet iconSet="3Arrows">
        <cfvo type="percent" val="0"/>
        <cfvo type="num" val="0.7"/>
        <cfvo type="num" val="1"/>
      </iconSet>
    </cfRule>
  </conditionalFormatting>
  <conditionalFormatting sqref="Y1762">
    <cfRule type="iconSet" priority="2425">
      <iconSet iconSet="3Arrows">
        <cfvo type="percent" val="0"/>
        <cfvo type="num" val="0.7"/>
        <cfvo type="num" val="1"/>
      </iconSet>
    </cfRule>
    <cfRule type="dataBar" priority="2426">
      <dataBar>
        <cfvo type="num" val="0"/>
        <cfvo type="num" val="1"/>
        <color theme="4" tint="0.79998168889431442"/>
      </dataBar>
      <extLst>
        <ext xmlns:x14="http://schemas.microsoft.com/office/spreadsheetml/2009/9/main" uri="{B025F937-C7B1-47D3-B67F-A62EFF666E3E}">
          <x14:id>{D4D0EF38-AED5-45A2-88FA-D206E77EA131}</x14:id>
        </ext>
      </extLst>
    </cfRule>
  </conditionalFormatting>
  <conditionalFormatting sqref="Y1764">
    <cfRule type="iconSet" priority="2423">
      <iconSet iconSet="3Arrows">
        <cfvo type="percent" val="0"/>
        <cfvo type="num" val="0.7"/>
        <cfvo type="num" val="1"/>
      </iconSet>
    </cfRule>
    <cfRule type="dataBar" priority="2424">
      <dataBar>
        <cfvo type="num" val="0"/>
        <cfvo type="num" val="1"/>
        <color theme="4" tint="0.79998168889431442"/>
      </dataBar>
      <extLst>
        <ext xmlns:x14="http://schemas.microsoft.com/office/spreadsheetml/2009/9/main" uri="{B025F937-C7B1-47D3-B67F-A62EFF666E3E}">
          <x14:id>{C0035A37-DF7A-4E17-8CF8-435F535D6DAB}</x14:id>
        </ext>
      </extLst>
    </cfRule>
  </conditionalFormatting>
  <conditionalFormatting sqref="Y1766">
    <cfRule type="dataBar" priority="2422">
      <dataBar>
        <cfvo type="num" val="0"/>
        <cfvo type="num" val="1"/>
        <color theme="4" tint="0.79998168889431442"/>
      </dataBar>
      <extLst>
        <ext xmlns:x14="http://schemas.microsoft.com/office/spreadsheetml/2009/9/main" uri="{B025F937-C7B1-47D3-B67F-A62EFF666E3E}">
          <x14:id>{EEB4DB96-7BD8-498B-ADA4-3D52B74D94DA}</x14:id>
        </ext>
      </extLst>
    </cfRule>
    <cfRule type="iconSet" priority="2421">
      <iconSet iconSet="3Arrows">
        <cfvo type="percent" val="0"/>
        <cfvo type="num" val="0.7"/>
        <cfvo type="num" val="1"/>
      </iconSet>
    </cfRule>
  </conditionalFormatting>
  <conditionalFormatting sqref="Y1770">
    <cfRule type="dataBar" priority="2420">
      <dataBar>
        <cfvo type="num" val="0"/>
        <cfvo type="num" val="1"/>
        <color theme="4" tint="0.79998168889431442"/>
      </dataBar>
      <extLst>
        <ext xmlns:x14="http://schemas.microsoft.com/office/spreadsheetml/2009/9/main" uri="{B025F937-C7B1-47D3-B67F-A62EFF666E3E}">
          <x14:id>{3ED047AC-4A4F-44EE-A3F1-82958CB49D34}</x14:id>
        </ext>
      </extLst>
    </cfRule>
    <cfRule type="iconSet" priority="2419">
      <iconSet iconSet="3Arrows">
        <cfvo type="percent" val="0"/>
        <cfvo type="num" val="0.7"/>
        <cfvo type="num" val="1"/>
      </iconSet>
    </cfRule>
  </conditionalFormatting>
  <conditionalFormatting sqref="Y1773">
    <cfRule type="dataBar" priority="2418">
      <dataBar>
        <cfvo type="num" val="0"/>
        <cfvo type="num" val="1"/>
        <color theme="4" tint="0.79998168889431442"/>
      </dataBar>
      <extLst>
        <ext xmlns:x14="http://schemas.microsoft.com/office/spreadsheetml/2009/9/main" uri="{B025F937-C7B1-47D3-B67F-A62EFF666E3E}">
          <x14:id>{4FCAD30B-D1D6-4B54-8544-46A48CC2755E}</x14:id>
        </ext>
      </extLst>
    </cfRule>
    <cfRule type="iconSet" priority="2417">
      <iconSet iconSet="3Arrows">
        <cfvo type="percent" val="0"/>
        <cfvo type="num" val="0.7"/>
        <cfvo type="num" val="1"/>
      </iconSet>
    </cfRule>
  </conditionalFormatting>
  <conditionalFormatting sqref="Y1775">
    <cfRule type="dataBar" priority="2416">
      <dataBar>
        <cfvo type="num" val="0"/>
        <cfvo type="num" val="1"/>
        <color theme="4" tint="0.79998168889431442"/>
      </dataBar>
      <extLst>
        <ext xmlns:x14="http://schemas.microsoft.com/office/spreadsheetml/2009/9/main" uri="{B025F937-C7B1-47D3-B67F-A62EFF666E3E}">
          <x14:id>{8877CAA7-0525-4C6D-9D66-08BBEE717D84}</x14:id>
        </ext>
      </extLst>
    </cfRule>
    <cfRule type="iconSet" priority="2415">
      <iconSet iconSet="3Arrows">
        <cfvo type="percent" val="0"/>
        <cfvo type="num" val="0.7"/>
        <cfvo type="num" val="1"/>
      </iconSet>
    </cfRule>
  </conditionalFormatting>
  <conditionalFormatting sqref="Y1777">
    <cfRule type="dataBar" priority="2414">
      <dataBar>
        <cfvo type="num" val="0"/>
        <cfvo type="num" val="1"/>
        <color theme="4" tint="0.79998168889431442"/>
      </dataBar>
      <extLst>
        <ext xmlns:x14="http://schemas.microsoft.com/office/spreadsheetml/2009/9/main" uri="{B025F937-C7B1-47D3-B67F-A62EFF666E3E}">
          <x14:id>{4CDAD1E5-50DD-47DA-A8EB-6A99779C6C8B}</x14:id>
        </ext>
      </extLst>
    </cfRule>
    <cfRule type="iconSet" priority="2413">
      <iconSet iconSet="3Arrows">
        <cfvo type="percent" val="0"/>
        <cfvo type="num" val="0.7"/>
        <cfvo type="num" val="1"/>
      </iconSet>
    </cfRule>
  </conditionalFormatting>
  <conditionalFormatting sqref="Y1779">
    <cfRule type="dataBar" priority="2412">
      <dataBar>
        <cfvo type="num" val="0"/>
        <cfvo type="num" val="1"/>
        <color theme="4" tint="0.79998168889431442"/>
      </dataBar>
      <extLst>
        <ext xmlns:x14="http://schemas.microsoft.com/office/spreadsheetml/2009/9/main" uri="{B025F937-C7B1-47D3-B67F-A62EFF666E3E}">
          <x14:id>{CE9864E3-7C1E-48B1-803C-E568400E5CBF}</x14:id>
        </ext>
      </extLst>
    </cfRule>
    <cfRule type="iconSet" priority="2411">
      <iconSet iconSet="3Arrows">
        <cfvo type="percent" val="0"/>
        <cfvo type="num" val="0.7"/>
        <cfvo type="num" val="1"/>
      </iconSet>
    </cfRule>
  </conditionalFormatting>
  <conditionalFormatting sqref="Y1781">
    <cfRule type="dataBar" priority="2410">
      <dataBar>
        <cfvo type="num" val="0"/>
        <cfvo type="num" val="1"/>
        <color theme="4" tint="0.79998168889431442"/>
      </dataBar>
      <extLst>
        <ext xmlns:x14="http://schemas.microsoft.com/office/spreadsheetml/2009/9/main" uri="{B025F937-C7B1-47D3-B67F-A62EFF666E3E}">
          <x14:id>{7D2C5995-9813-4A93-8CB8-381A28DC6BF8}</x14:id>
        </ext>
      </extLst>
    </cfRule>
    <cfRule type="iconSet" priority="2409">
      <iconSet iconSet="3Arrows">
        <cfvo type="percent" val="0"/>
        <cfvo type="num" val="0.7"/>
        <cfvo type="num" val="1"/>
      </iconSet>
    </cfRule>
  </conditionalFormatting>
  <conditionalFormatting sqref="Y1783">
    <cfRule type="dataBar" priority="2408">
      <dataBar>
        <cfvo type="num" val="0"/>
        <cfvo type="num" val="1"/>
        <color theme="4" tint="0.79998168889431442"/>
      </dataBar>
      <extLst>
        <ext xmlns:x14="http://schemas.microsoft.com/office/spreadsheetml/2009/9/main" uri="{B025F937-C7B1-47D3-B67F-A62EFF666E3E}">
          <x14:id>{6E222E17-5FBC-4D75-A2A7-FF04A8696105}</x14:id>
        </ext>
      </extLst>
    </cfRule>
    <cfRule type="iconSet" priority="2407">
      <iconSet iconSet="3Arrows">
        <cfvo type="percent" val="0"/>
        <cfvo type="num" val="0.7"/>
        <cfvo type="num" val="1"/>
      </iconSet>
    </cfRule>
  </conditionalFormatting>
  <conditionalFormatting sqref="Y1785 Y1787">
    <cfRule type="dataBar" priority="2406">
      <dataBar>
        <cfvo type="num" val="0"/>
        <cfvo type="num" val="1"/>
        <color theme="4" tint="0.79998168889431442"/>
      </dataBar>
      <extLst>
        <ext xmlns:x14="http://schemas.microsoft.com/office/spreadsheetml/2009/9/main" uri="{B025F937-C7B1-47D3-B67F-A62EFF666E3E}">
          <x14:id>{506FDAE7-04A7-4708-83FD-F80C7A271DDB}</x14:id>
        </ext>
      </extLst>
    </cfRule>
    <cfRule type="iconSet" priority="2405">
      <iconSet iconSet="3Arrows">
        <cfvo type="percent" val="0"/>
        <cfvo type="num" val="0.7"/>
        <cfvo type="num" val="1"/>
      </iconSet>
    </cfRule>
  </conditionalFormatting>
  <conditionalFormatting sqref="Y1789">
    <cfRule type="dataBar" priority="2404">
      <dataBar>
        <cfvo type="num" val="0"/>
        <cfvo type="num" val="1"/>
        <color theme="4" tint="0.79998168889431442"/>
      </dataBar>
      <extLst>
        <ext xmlns:x14="http://schemas.microsoft.com/office/spreadsheetml/2009/9/main" uri="{B025F937-C7B1-47D3-B67F-A62EFF666E3E}">
          <x14:id>{EB1729C8-D88E-4D16-956A-E2EF6BA1B459}</x14:id>
        </ext>
      </extLst>
    </cfRule>
    <cfRule type="iconSet" priority="2403">
      <iconSet iconSet="3Arrows">
        <cfvo type="percent" val="0"/>
        <cfvo type="num" val="0.7"/>
        <cfvo type="num" val="1"/>
      </iconSet>
    </cfRule>
  </conditionalFormatting>
  <conditionalFormatting sqref="Y1791">
    <cfRule type="dataBar" priority="2402">
      <dataBar>
        <cfvo type="num" val="0"/>
        <cfvo type="num" val="1"/>
        <color theme="4" tint="0.79998168889431442"/>
      </dataBar>
      <extLst>
        <ext xmlns:x14="http://schemas.microsoft.com/office/spreadsheetml/2009/9/main" uri="{B025F937-C7B1-47D3-B67F-A62EFF666E3E}">
          <x14:id>{BE8FA130-CFEC-4F89-BE4D-9887A0F6B433}</x14:id>
        </ext>
      </extLst>
    </cfRule>
    <cfRule type="iconSet" priority="2401">
      <iconSet iconSet="3Arrows">
        <cfvo type="percent" val="0"/>
        <cfvo type="num" val="0.7"/>
        <cfvo type="num" val="1"/>
      </iconSet>
    </cfRule>
  </conditionalFormatting>
  <conditionalFormatting sqref="Y1793">
    <cfRule type="dataBar" priority="2400">
      <dataBar>
        <cfvo type="num" val="0"/>
        <cfvo type="num" val="1"/>
        <color theme="4" tint="0.79998168889431442"/>
      </dataBar>
      <extLst>
        <ext xmlns:x14="http://schemas.microsoft.com/office/spreadsheetml/2009/9/main" uri="{B025F937-C7B1-47D3-B67F-A62EFF666E3E}">
          <x14:id>{B0EDB1DA-E968-45FC-8C7F-E9C1725A7AD3}</x14:id>
        </ext>
      </extLst>
    </cfRule>
    <cfRule type="iconSet" priority="2399">
      <iconSet iconSet="3Arrows">
        <cfvo type="percent" val="0"/>
        <cfvo type="num" val="0.7"/>
        <cfvo type="num" val="1"/>
      </iconSet>
    </cfRule>
  </conditionalFormatting>
  <conditionalFormatting sqref="Y1795">
    <cfRule type="dataBar" priority="2398">
      <dataBar>
        <cfvo type="num" val="0"/>
        <cfvo type="num" val="1"/>
        <color theme="4" tint="0.79998168889431442"/>
      </dataBar>
      <extLst>
        <ext xmlns:x14="http://schemas.microsoft.com/office/spreadsheetml/2009/9/main" uri="{B025F937-C7B1-47D3-B67F-A62EFF666E3E}">
          <x14:id>{CC8120FC-7995-42E5-B834-FFFBF3B3FA44}</x14:id>
        </ext>
      </extLst>
    </cfRule>
    <cfRule type="iconSet" priority="2397">
      <iconSet iconSet="3Arrows">
        <cfvo type="percent" val="0"/>
        <cfvo type="num" val="0.7"/>
        <cfvo type="num" val="1"/>
      </iconSet>
    </cfRule>
  </conditionalFormatting>
  <conditionalFormatting sqref="Y1797 Y1799">
    <cfRule type="dataBar" priority="2396">
      <dataBar>
        <cfvo type="num" val="0"/>
        <cfvo type="num" val="1"/>
        <color theme="4" tint="0.79998168889431442"/>
      </dataBar>
      <extLst>
        <ext xmlns:x14="http://schemas.microsoft.com/office/spreadsheetml/2009/9/main" uri="{B025F937-C7B1-47D3-B67F-A62EFF666E3E}">
          <x14:id>{F4146D9F-911F-4320-A815-FB29D4D6844E}</x14:id>
        </ext>
      </extLst>
    </cfRule>
    <cfRule type="iconSet" priority="2395">
      <iconSet iconSet="3Arrows">
        <cfvo type="percent" val="0"/>
        <cfvo type="num" val="0.7"/>
        <cfvo type="num" val="1"/>
      </iconSet>
    </cfRule>
  </conditionalFormatting>
  <conditionalFormatting sqref="Y1801">
    <cfRule type="iconSet" priority="2393">
      <iconSet iconSet="3Arrows">
        <cfvo type="percent" val="0"/>
        <cfvo type="num" val="0.7"/>
        <cfvo type="num" val="1"/>
      </iconSet>
    </cfRule>
    <cfRule type="dataBar" priority="2394">
      <dataBar>
        <cfvo type="num" val="0"/>
        <cfvo type="num" val="1"/>
        <color theme="4" tint="0.79998168889431442"/>
      </dataBar>
      <extLst>
        <ext xmlns:x14="http://schemas.microsoft.com/office/spreadsheetml/2009/9/main" uri="{B025F937-C7B1-47D3-B67F-A62EFF666E3E}">
          <x14:id>{690C2CE3-880D-4026-B5A7-4D201ACAD475}</x14:id>
        </ext>
      </extLst>
    </cfRule>
  </conditionalFormatting>
  <conditionalFormatting sqref="Y1803">
    <cfRule type="dataBar" priority="2392">
      <dataBar>
        <cfvo type="num" val="0"/>
        <cfvo type="num" val="1"/>
        <color theme="4" tint="0.79998168889431442"/>
      </dataBar>
      <extLst>
        <ext xmlns:x14="http://schemas.microsoft.com/office/spreadsheetml/2009/9/main" uri="{B025F937-C7B1-47D3-B67F-A62EFF666E3E}">
          <x14:id>{41FA007D-AB22-4C91-98E6-166CF633CC6D}</x14:id>
        </ext>
      </extLst>
    </cfRule>
    <cfRule type="iconSet" priority="2391">
      <iconSet iconSet="3Arrows">
        <cfvo type="percent" val="0"/>
        <cfvo type="num" val="0.7"/>
        <cfvo type="num" val="1"/>
      </iconSet>
    </cfRule>
  </conditionalFormatting>
  <conditionalFormatting sqref="Y1806">
    <cfRule type="iconSet" priority="2389">
      <iconSet iconSet="3Arrows">
        <cfvo type="percent" val="0"/>
        <cfvo type="num" val="0.7"/>
        <cfvo type="num" val="1"/>
      </iconSet>
    </cfRule>
    <cfRule type="dataBar" priority="2390">
      <dataBar>
        <cfvo type="num" val="0"/>
        <cfvo type="num" val="1"/>
        <color theme="4" tint="0.79998168889431442"/>
      </dataBar>
      <extLst>
        <ext xmlns:x14="http://schemas.microsoft.com/office/spreadsheetml/2009/9/main" uri="{B025F937-C7B1-47D3-B67F-A62EFF666E3E}">
          <x14:id>{8ED02554-10D2-4098-A1F2-2576E1BE1F3E}</x14:id>
        </ext>
      </extLst>
    </cfRule>
  </conditionalFormatting>
  <conditionalFormatting sqref="Y1808">
    <cfRule type="dataBar" priority="2388">
      <dataBar>
        <cfvo type="num" val="0"/>
        <cfvo type="num" val="1"/>
        <color theme="4" tint="0.79998168889431442"/>
      </dataBar>
      <extLst>
        <ext xmlns:x14="http://schemas.microsoft.com/office/spreadsheetml/2009/9/main" uri="{B025F937-C7B1-47D3-B67F-A62EFF666E3E}">
          <x14:id>{B945FB15-FE7A-4A30-BFB1-019226D392B5}</x14:id>
        </ext>
      </extLst>
    </cfRule>
    <cfRule type="iconSet" priority="2387">
      <iconSet iconSet="3Arrows">
        <cfvo type="percent" val="0"/>
        <cfvo type="num" val="0.7"/>
        <cfvo type="num" val="1"/>
      </iconSet>
    </cfRule>
  </conditionalFormatting>
  <conditionalFormatting sqref="Y1810">
    <cfRule type="dataBar" priority="2386">
      <dataBar>
        <cfvo type="num" val="0"/>
        <cfvo type="num" val="1"/>
        <color theme="4" tint="0.79998168889431442"/>
      </dataBar>
      <extLst>
        <ext xmlns:x14="http://schemas.microsoft.com/office/spreadsheetml/2009/9/main" uri="{B025F937-C7B1-47D3-B67F-A62EFF666E3E}">
          <x14:id>{E13376F0-03F3-4252-9FA1-DBE2F53C97E7}</x14:id>
        </ext>
      </extLst>
    </cfRule>
    <cfRule type="iconSet" priority="2385">
      <iconSet iconSet="3Arrows">
        <cfvo type="percent" val="0"/>
        <cfvo type="num" val="0.7"/>
        <cfvo type="num" val="1"/>
      </iconSet>
    </cfRule>
  </conditionalFormatting>
  <conditionalFormatting sqref="Y1812">
    <cfRule type="dataBar" priority="2384">
      <dataBar>
        <cfvo type="num" val="0"/>
        <cfvo type="num" val="1"/>
        <color theme="4" tint="0.79998168889431442"/>
      </dataBar>
      <extLst>
        <ext xmlns:x14="http://schemas.microsoft.com/office/spreadsheetml/2009/9/main" uri="{B025F937-C7B1-47D3-B67F-A62EFF666E3E}">
          <x14:id>{99C91A70-23EF-4782-8E0B-17D3E91FC922}</x14:id>
        </ext>
      </extLst>
    </cfRule>
    <cfRule type="iconSet" priority="2383">
      <iconSet iconSet="3Arrows">
        <cfvo type="percent" val="0"/>
        <cfvo type="num" val="0.7"/>
        <cfvo type="num" val="1"/>
      </iconSet>
    </cfRule>
  </conditionalFormatting>
  <conditionalFormatting sqref="Y1814">
    <cfRule type="dataBar" priority="2382">
      <dataBar>
        <cfvo type="num" val="0"/>
        <cfvo type="num" val="1"/>
        <color theme="4" tint="0.79998168889431442"/>
      </dataBar>
      <extLst>
        <ext xmlns:x14="http://schemas.microsoft.com/office/spreadsheetml/2009/9/main" uri="{B025F937-C7B1-47D3-B67F-A62EFF666E3E}">
          <x14:id>{A9275231-C5CC-4E1C-87F8-48EF402A31E7}</x14:id>
        </ext>
      </extLst>
    </cfRule>
    <cfRule type="iconSet" priority="2381">
      <iconSet iconSet="3Arrows">
        <cfvo type="percent" val="0"/>
        <cfvo type="num" val="0.7"/>
        <cfvo type="num" val="1"/>
      </iconSet>
    </cfRule>
  </conditionalFormatting>
  <conditionalFormatting sqref="Y1816">
    <cfRule type="dataBar" priority="2380">
      <dataBar>
        <cfvo type="num" val="0"/>
        <cfvo type="num" val="1"/>
        <color theme="4" tint="0.79998168889431442"/>
      </dataBar>
      <extLst>
        <ext xmlns:x14="http://schemas.microsoft.com/office/spreadsheetml/2009/9/main" uri="{B025F937-C7B1-47D3-B67F-A62EFF666E3E}">
          <x14:id>{C0FA64C5-5291-48B0-9C2F-A352D7792DB1}</x14:id>
        </ext>
      </extLst>
    </cfRule>
    <cfRule type="iconSet" priority="2379">
      <iconSet iconSet="3Arrows">
        <cfvo type="percent" val="0"/>
        <cfvo type="num" val="0.7"/>
        <cfvo type="num" val="1"/>
      </iconSet>
    </cfRule>
  </conditionalFormatting>
  <conditionalFormatting sqref="Y1818">
    <cfRule type="iconSet" priority="2377">
      <iconSet iconSet="3Arrows">
        <cfvo type="percent" val="0"/>
        <cfvo type="num" val="0.7"/>
        <cfvo type="num" val="1"/>
      </iconSet>
    </cfRule>
    <cfRule type="dataBar" priority="2378">
      <dataBar>
        <cfvo type="num" val="0"/>
        <cfvo type="num" val="1"/>
        <color theme="4" tint="0.79998168889431442"/>
      </dataBar>
      <extLst>
        <ext xmlns:x14="http://schemas.microsoft.com/office/spreadsheetml/2009/9/main" uri="{B025F937-C7B1-47D3-B67F-A62EFF666E3E}">
          <x14:id>{C640A127-135E-4A5B-B9B6-BDA57000307F}</x14:id>
        </ext>
      </extLst>
    </cfRule>
  </conditionalFormatting>
  <conditionalFormatting sqref="Y1820">
    <cfRule type="dataBar" priority="2376">
      <dataBar>
        <cfvo type="num" val="0"/>
        <cfvo type="num" val="1"/>
        <color theme="4" tint="0.79998168889431442"/>
      </dataBar>
      <extLst>
        <ext xmlns:x14="http://schemas.microsoft.com/office/spreadsheetml/2009/9/main" uri="{B025F937-C7B1-47D3-B67F-A62EFF666E3E}">
          <x14:id>{21C0BE1F-11E2-4AE7-A5DF-D215EA6F4CAE}</x14:id>
        </ext>
      </extLst>
    </cfRule>
    <cfRule type="iconSet" priority="2375">
      <iconSet iconSet="3Arrows">
        <cfvo type="percent" val="0"/>
        <cfvo type="num" val="0.7"/>
        <cfvo type="num" val="1"/>
      </iconSet>
    </cfRule>
  </conditionalFormatting>
  <conditionalFormatting sqref="Y1822">
    <cfRule type="dataBar" priority="2374">
      <dataBar>
        <cfvo type="num" val="0"/>
        <cfvo type="num" val="1"/>
        <color theme="4" tint="0.79998168889431442"/>
      </dataBar>
      <extLst>
        <ext xmlns:x14="http://schemas.microsoft.com/office/spreadsheetml/2009/9/main" uri="{B025F937-C7B1-47D3-B67F-A62EFF666E3E}">
          <x14:id>{BE905124-FD5A-44A2-B8BC-222F6BEF404A}</x14:id>
        </ext>
      </extLst>
    </cfRule>
    <cfRule type="iconSet" priority="2373">
      <iconSet iconSet="3Arrows">
        <cfvo type="percent" val="0"/>
        <cfvo type="num" val="0.7"/>
        <cfvo type="num" val="1"/>
      </iconSet>
    </cfRule>
  </conditionalFormatting>
  <conditionalFormatting sqref="Y1824">
    <cfRule type="dataBar" priority="2372">
      <dataBar>
        <cfvo type="num" val="0"/>
        <cfvo type="num" val="1"/>
        <color theme="4" tint="0.79998168889431442"/>
      </dataBar>
      <extLst>
        <ext xmlns:x14="http://schemas.microsoft.com/office/spreadsheetml/2009/9/main" uri="{B025F937-C7B1-47D3-B67F-A62EFF666E3E}">
          <x14:id>{9D9FA0DA-AAB0-42C7-8F31-F30A83F8D51D}</x14:id>
        </ext>
      </extLst>
    </cfRule>
    <cfRule type="iconSet" priority="2371">
      <iconSet iconSet="3Arrows">
        <cfvo type="percent" val="0"/>
        <cfvo type="num" val="0.7"/>
        <cfvo type="num" val="1"/>
      </iconSet>
    </cfRule>
  </conditionalFormatting>
  <conditionalFormatting sqref="Y1826">
    <cfRule type="iconSet" priority="2369">
      <iconSet iconSet="3Arrows">
        <cfvo type="percent" val="0"/>
        <cfvo type="num" val="0.7"/>
        <cfvo type="num" val="1"/>
      </iconSet>
    </cfRule>
    <cfRule type="dataBar" priority="2370">
      <dataBar>
        <cfvo type="num" val="0"/>
        <cfvo type="num" val="1"/>
        <color theme="4" tint="0.79998168889431442"/>
      </dataBar>
      <extLst>
        <ext xmlns:x14="http://schemas.microsoft.com/office/spreadsheetml/2009/9/main" uri="{B025F937-C7B1-47D3-B67F-A62EFF666E3E}">
          <x14:id>{42E6F073-EDF3-437B-A5A6-22CCD0DF69F9}</x14:id>
        </ext>
      </extLst>
    </cfRule>
  </conditionalFormatting>
  <conditionalFormatting sqref="Y1828">
    <cfRule type="dataBar" priority="2368">
      <dataBar>
        <cfvo type="num" val="0"/>
        <cfvo type="num" val="1"/>
        <color theme="4" tint="0.79998168889431442"/>
      </dataBar>
      <extLst>
        <ext xmlns:x14="http://schemas.microsoft.com/office/spreadsheetml/2009/9/main" uri="{B025F937-C7B1-47D3-B67F-A62EFF666E3E}">
          <x14:id>{EDD73DAC-2B2A-4D2F-BD23-856371F7EF6B}</x14:id>
        </ext>
      </extLst>
    </cfRule>
    <cfRule type="iconSet" priority="2367">
      <iconSet iconSet="3Arrows">
        <cfvo type="percent" val="0"/>
        <cfvo type="num" val="0.7"/>
        <cfvo type="num" val="1"/>
      </iconSet>
    </cfRule>
  </conditionalFormatting>
  <conditionalFormatting sqref="Y1830">
    <cfRule type="iconSet" priority="2365">
      <iconSet iconSet="3Arrows">
        <cfvo type="percent" val="0"/>
        <cfvo type="num" val="0.7"/>
        <cfvo type="num" val="1"/>
      </iconSet>
    </cfRule>
    <cfRule type="dataBar" priority="2366">
      <dataBar>
        <cfvo type="num" val="0"/>
        <cfvo type="num" val="1"/>
        <color theme="4" tint="0.79998168889431442"/>
      </dataBar>
      <extLst>
        <ext xmlns:x14="http://schemas.microsoft.com/office/spreadsheetml/2009/9/main" uri="{B025F937-C7B1-47D3-B67F-A62EFF666E3E}">
          <x14:id>{DA83E177-0740-4BD7-AF39-E45629636706}</x14:id>
        </ext>
      </extLst>
    </cfRule>
  </conditionalFormatting>
  <conditionalFormatting sqref="Y1832">
    <cfRule type="iconSet" priority="2363">
      <iconSet iconSet="3Arrows">
        <cfvo type="percent" val="0"/>
        <cfvo type="num" val="0.7"/>
        <cfvo type="num" val="1"/>
      </iconSet>
    </cfRule>
    <cfRule type="dataBar" priority="2364">
      <dataBar>
        <cfvo type="num" val="0"/>
        <cfvo type="num" val="1"/>
        <color theme="4" tint="0.79998168889431442"/>
      </dataBar>
      <extLst>
        <ext xmlns:x14="http://schemas.microsoft.com/office/spreadsheetml/2009/9/main" uri="{B025F937-C7B1-47D3-B67F-A62EFF666E3E}">
          <x14:id>{41613171-0738-4EF4-9ED1-9622B6F6FCDA}</x14:id>
        </ext>
      </extLst>
    </cfRule>
  </conditionalFormatting>
  <conditionalFormatting sqref="Y1834">
    <cfRule type="iconSet" priority="2361">
      <iconSet iconSet="3Arrows">
        <cfvo type="percent" val="0"/>
        <cfvo type="num" val="0.7"/>
        <cfvo type="num" val="1"/>
      </iconSet>
    </cfRule>
    <cfRule type="dataBar" priority="2362">
      <dataBar>
        <cfvo type="num" val="0"/>
        <cfvo type="num" val="1"/>
        <color theme="4" tint="0.79998168889431442"/>
      </dataBar>
      <extLst>
        <ext xmlns:x14="http://schemas.microsoft.com/office/spreadsheetml/2009/9/main" uri="{B025F937-C7B1-47D3-B67F-A62EFF666E3E}">
          <x14:id>{061414F8-302C-4E60-A8FC-50BDC8F9945E}</x14:id>
        </ext>
      </extLst>
    </cfRule>
  </conditionalFormatting>
  <conditionalFormatting sqref="Y1836">
    <cfRule type="dataBar" priority="2360">
      <dataBar>
        <cfvo type="num" val="0"/>
        <cfvo type="num" val="1"/>
        <color theme="4" tint="0.79998168889431442"/>
      </dataBar>
      <extLst>
        <ext xmlns:x14="http://schemas.microsoft.com/office/spreadsheetml/2009/9/main" uri="{B025F937-C7B1-47D3-B67F-A62EFF666E3E}">
          <x14:id>{2B83E328-A5E3-42FC-B9FB-53C7A622C60C}</x14:id>
        </ext>
      </extLst>
    </cfRule>
    <cfRule type="iconSet" priority="2359">
      <iconSet iconSet="3Arrows">
        <cfvo type="percent" val="0"/>
        <cfvo type="num" val="0.7"/>
        <cfvo type="num" val="1"/>
      </iconSet>
    </cfRule>
  </conditionalFormatting>
  <conditionalFormatting sqref="Y1838">
    <cfRule type="dataBar" priority="2358">
      <dataBar>
        <cfvo type="num" val="0"/>
        <cfvo type="num" val="1"/>
        <color theme="4" tint="0.79998168889431442"/>
      </dataBar>
      <extLst>
        <ext xmlns:x14="http://schemas.microsoft.com/office/spreadsheetml/2009/9/main" uri="{B025F937-C7B1-47D3-B67F-A62EFF666E3E}">
          <x14:id>{71799CC5-D035-4DA5-8F5F-448477E80FC5}</x14:id>
        </ext>
      </extLst>
    </cfRule>
    <cfRule type="iconSet" priority="2357">
      <iconSet iconSet="3Arrows">
        <cfvo type="percent" val="0"/>
        <cfvo type="num" val="0.7"/>
        <cfvo type="num" val="1"/>
      </iconSet>
    </cfRule>
  </conditionalFormatting>
  <conditionalFormatting sqref="Y1840">
    <cfRule type="dataBar" priority="2356">
      <dataBar>
        <cfvo type="num" val="0"/>
        <cfvo type="num" val="1"/>
        <color theme="4" tint="0.79998168889431442"/>
      </dataBar>
      <extLst>
        <ext xmlns:x14="http://schemas.microsoft.com/office/spreadsheetml/2009/9/main" uri="{B025F937-C7B1-47D3-B67F-A62EFF666E3E}">
          <x14:id>{B1993EB2-5146-46DE-90B7-0543BAAC6A4F}</x14:id>
        </ext>
      </extLst>
    </cfRule>
    <cfRule type="iconSet" priority="2355">
      <iconSet iconSet="3Arrows">
        <cfvo type="percent" val="0"/>
        <cfvo type="num" val="0.7"/>
        <cfvo type="num" val="1"/>
      </iconSet>
    </cfRule>
  </conditionalFormatting>
  <conditionalFormatting sqref="Y1842">
    <cfRule type="dataBar" priority="2354">
      <dataBar>
        <cfvo type="num" val="0"/>
        <cfvo type="num" val="1"/>
        <color theme="4" tint="0.79998168889431442"/>
      </dataBar>
      <extLst>
        <ext xmlns:x14="http://schemas.microsoft.com/office/spreadsheetml/2009/9/main" uri="{B025F937-C7B1-47D3-B67F-A62EFF666E3E}">
          <x14:id>{5C31A48C-5234-4AFC-A4E3-95A0DAF6D6EC}</x14:id>
        </ext>
      </extLst>
    </cfRule>
    <cfRule type="iconSet" priority="2353">
      <iconSet iconSet="3Arrows">
        <cfvo type="percent" val="0"/>
        <cfvo type="num" val="0.7"/>
        <cfvo type="num" val="1"/>
      </iconSet>
    </cfRule>
  </conditionalFormatting>
  <conditionalFormatting sqref="Y1844">
    <cfRule type="dataBar" priority="2352">
      <dataBar>
        <cfvo type="num" val="0"/>
        <cfvo type="num" val="1"/>
        <color theme="4" tint="0.79998168889431442"/>
      </dataBar>
      <extLst>
        <ext xmlns:x14="http://schemas.microsoft.com/office/spreadsheetml/2009/9/main" uri="{B025F937-C7B1-47D3-B67F-A62EFF666E3E}">
          <x14:id>{61AF533A-EFAD-4D50-8430-111E32942D2E}</x14:id>
        </ext>
      </extLst>
    </cfRule>
    <cfRule type="iconSet" priority="2351">
      <iconSet iconSet="3Arrows">
        <cfvo type="percent" val="0"/>
        <cfvo type="num" val="0.7"/>
        <cfvo type="num" val="1"/>
      </iconSet>
    </cfRule>
  </conditionalFormatting>
  <conditionalFormatting sqref="Y1847">
    <cfRule type="dataBar" priority="2350">
      <dataBar>
        <cfvo type="num" val="0"/>
        <cfvo type="num" val="1"/>
        <color theme="4" tint="0.79998168889431442"/>
      </dataBar>
      <extLst>
        <ext xmlns:x14="http://schemas.microsoft.com/office/spreadsheetml/2009/9/main" uri="{B025F937-C7B1-47D3-B67F-A62EFF666E3E}">
          <x14:id>{C580B612-ECD0-4C71-858E-FF7835D264D1}</x14:id>
        </ext>
      </extLst>
    </cfRule>
    <cfRule type="iconSet" priority="2349">
      <iconSet iconSet="3Arrows">
        <cfvo type="percent" val="0"/>
        <cfvo type="num" val="0.7"/>
        <cfvo type="num" val="1"/>
      </iconSet>
    </cfRule>
  </conditionalFormatting>
  <conditionalFormatting sqref="Y1849">
    <cfRule type="dataBar" priority="2348">
      <dataBar>
        <cfvo type="num" val="0"/>
        <cfvo type="num" val="1"/>
        <color theme="4" tint="0.79998168889431442"/>
      </dataBar>
      <extLst>
        <ext xmlns:x14="http://schemas.microsoft.com/office/spreadsheetml/2009/9/main" uri="{B025F937-C7B1-47D3-B67F-A62EFF666E3E}">
          <x14:id>{9233F447-B3B6-4F41-A307-193B94D1EB29}</x14:id>
        </ext>
      </extLst>
    </cfRule>
    <cfRule type="iconSet" priority="2347">
      <iconSet iconSet="3Arrows">
        <cfvo type="percent" val="0"/>
        <cfvo type="num" val="0.7"/>
        <cfvo type="num" val="1"/>
      </iconSet>
    </cfRule>
  </conditionalFormatting>
  <conditionalFormatting sqref="Y1851">
    <cfRule type="dataBar" priority="2346">
      <dataBar>
        <cfvo type="num" val="0"/>
        <cfvo type="num" val="1"/>
        <color theme="4" tint="0.79998168889431442"/>
      </dataBar>
      <extLst>
        <ext xmlns:x14="http://schemas.microsoft.com/office/spreadsheetml/2009/9/main" uri="{B025F937-C7B1-47D3-B67F-A62EFF666E3E}">
          <x14:id>{DB00293E-8142-49FF-9072-938A5F3A7CD7}</x14:id>
        </ext>
      </extLst>
    </cfRule>
    <cfRule type="iconSet" priority="2345">
      <iconSet iconSet="3Arrows">
        <cfvo type="percent" val="0"/>
        <cfvo type="num" val="0.7"/>
        <cfvo type="num" val="1"/>
      </iconSet>
    </cfRule>
  </conditionalFormatting>
  <conditionalFormatting sqref="Y1853">
    <cfRule type="iconSet" priority="2343">
      <iconSet iconSet="3Arrows">
        <cfvo type="percent" val="0"/>
        <cfvo type="num" val="0.7"/>
        <cfvo type="num" val="1"/>
      </iconSet>
    </cfRule>
    <cfRule type="dataBar" priority="2344">
      <dataBar>
        <cfvo type="num" val="0"/>
        <cfvo type="num" val="1"/>
        <color theme="4" tint="0.79998168889431442"/>
      </dataBar>
      <extLst>
        <ext xmlns:x14="http://schemas.microsoft.com/office/spreadsheetml/2009/9/main" uri="{B025F937-C7B1-47D3-B67F-A62EFF666E3E}">
          <x14:id>{47DAD51F-0BBE-4B6B-BDB0-4544FD9E3775}</x14:id>
        </ext>
      </extLst>
    </cfRule>
  </conditionalFormatting>
  <conditionalFormatting sqref="Y1855">
    <cfRule type="iconSet" priority="2341">
      <iconSet iconSet="3Arrows">
        <cfvo type="percent" val="0"/>
        <cfvo type="num" val="0.7"/>
        <cfvo type="num" val="1"/>
      </iconSet>
    </cfRule>
    <cfRule type="dataBar" priority="2342">
      <dataBar>
        <cfvo type="num" val="0"/>
        <cfvo type="num" val="1"/>
        <color theme="4" tint="0.79998168889431442"/>
      </dataBar>
      <extLst>
        <ext xmlns:x14="http://schemas.microsoft.com/office/spreadsheetml/2009/9/main" uri="{B025F937-C7B1-47D3-B67F-A62EFF666E3E}">
          <x14:id>{19A33E43-434F-42EF-8ACE-FA383C046B68}</x14:id>
        </ext>
      </extLst>
    </cfRule>
  </conditionalFormatting>
  <conditionalFormatting sqref="Y1857">
    <cfRule type="iconSet" priority="2339">
      <iconSet iconSet="3Arrows">
        <cfvo type="percent" val="0"/>
        <cfvo type="num" val="0.7"/>
        <cfvo type="num" val="1"/>
      </iconSet>
    </cfRule>
    <cfRule type="dataBar" priority="2340">
      <dataBar>
        <cfvo type="num" val="0"/>
        <cfvo type="num" val="1"/>
        <color theme="4" tint="0.79998168889431442"/>
      </dataBar>
      <extLst>
        <ext xmlns:x14="http://schemas.microsoft.com/office/spreadsheetml/2009/9/main" uri="{B025F937-C7B1-47D3-B67F-A62EFF666E3E}">
          <x14:id>{6734966C-9675-453D-8D53-7858563C8166}</x14:id>
        </ext>
      </extLst>
    </cfRule>
  </conditionalFormatting>
  <conditionalFormatting sqref="Y1860">
    <cfRule type="dataBar" priority="2338">
      <dataBar>
        <cfvo type="num" val="0"/>
        <cfvo type="num" val="1"/>
        <color theme="4" tint="0.79998168889431442"/>
      </dataBar>
      <extLst>
        <ext xmlns:x14="http://schemas.microsoft.com/office/spreadsheetml/2009/9/main" uri="{B025F937-C7B1-47D3-B67F-A62EFF666E3E}">
          <x14:id>{0AF6E172-3A97-4F81-B6C4-C27FBA7BC69A}</x14:id>
        </ext>
      </extLst>
    </cfRule>
    <cfRule type="iconSet" priority="2337">
      <iconSet iconSet="3Arrows">
        <cfvo type="percent" val="0"/>
        <cfvo type="num" val="0.7"/>
        <cfvo type="num" val="1"/>
      </iconSet>
    </cfRule>
  </conditionalFormatting>
  <conditionalFormatting sqref="Y1862 Y1864 Y1866">
    <cfRule type="iconSet" priority="2335">
      <iconSet iconSet="3Arrows">
        <cfvo type="percent" val="0"/>
        <cfvo type="num" val="0.7"/>
        <cfvo type="num" val="1"/>
      </iconSet>
    </cfRule>
    <cfRule type="dataBar" priority="2336">
      <dataBar>
        <cfvo type="num" val="0"/>
        <cfvo type="num" val="1"/>
        <color theme="4" tint="0.79998168889431442"/>
      </dataBar>
      <extLst>
        <ext xmlns:x14="http://schemas.microsoft.com/office/spreadsheetml/2009/9/main" uri="{B025F937-C7B1-47D3-B67F-A62EFF666E3E}">
          <x14:id>{2A748791-D185-4256-86C0-04C9961EDE60}</x14:id>
        </ext>
      </extLst>
    </cfRule>
  </conditionalFormatting>
  <conditionalFormatting sqref="Y1868 Y1870 Y1872">
    <cfRule type="iconSet" priority="2333">
      <iconSet iconSet="3Arrows">
        <cfvo type="percent" val="0"/>
        <cfvo type="num" val="0.7"/>
        <cfvo type="num" val="1"/>
      </iconSet>
    </cfRule>
    <cfRule type="dataBar" priority="2334">
      <dataBar>
        <cfvo type="num" val="0"/>
        <cfvo type="num" val="1"/>
        <color theme="4" tint="0.79998168889431442"/>
      </dataBar>
      <extLst>
        <ext xmlns:x14="http://schemas.microsoft.com/office/spreadsheetml/2009/9/main" uri="{B025F937-C7B1-47D3-B67F-A62EFF666E3E}">
          <x14:id>{961CFF5D-F97E-4797-A331-C83A77619D3B}</x14:id>
        </ext>
      </extLst>
    </cfRule>
  </conditionalFormatting>
  <conditionalFormatting sqref="Y1874 Y1876 Y1878">
    <cfRule type="dataBar" priority="2332">
      <dataBar>
        <cfvo type="num" val="0"/>
        <cfvo type="num" val="1"/>
        <color theme="4" tint="0.79998168889431442"/>
      </dataBar>
      <extLst>
        <ext xmlns:x14="http://schemas.microsoft.com/office/spreadsheetml/2009/9/main" uri="{B025F937-C7B1-47D3-B67F-A62EFF666E3E}">
          <x14:id>{9B9FC02C-1612-4EB6-AC3F-01F9CB3B42E6}</x14:id>
        </ext>
      </extLst>
    </cfRule>
    <cfRule type="iconSet" priority="2331">
      <iconSet iconSet="3Arrows">
        <cfvo type="percent" val="0"/>
        <cfvo type="num" val="0.7"/>
        <cfvo type="num" val="1"/>
      </iconSet>
    </cfRule>
  </conditionalFormatting>
  <conditionalFormatting sqref="Y1882">
    <cfRule type="iconSet" priority="2329">
      <iconSet iconSet="3Arrows">
        <cfvo type="percent" val="0"/>
        <cfvo type="num" val="0.7"/>
        <cfvo type="num" val="1"/>
      </iconSet>
    </cfRule>
    <cfRule type="dataBar" priority="2330">
      <dataBar>
        <cfvo type="num" val="0"/>
        <cfvo type="num" val="1"/>
        <color theme="4" tint="0.79998168889431442"/>
      </dataBar>
      <extLst>
        <ext xmlns:x14="http://schemas.microsoft.com/office/spreadsheetml/2009/9/main" uri="{B025F937-C7B1-47D3-B67F-A62EFF666E3E}">
          <x14:id>{E86B0FFA-89C9-479A-A1B2-787B984BFAE6}</x14:id>
        </ext>
      </extLst>
    </cfRule>
  </conditionalFormatting>
  <conditionalFormatting sqref="Y1884 Y1894 Y1886 Y1888 Y1890 Y1892 Y1896">
    <cfRule type="iconSet" priority="2327">
      <iconSet iconSet="3Arrows">
        <cfvo type="percent" val="0"/>
        <cfvo type="num" val="0.7"/>
        <cfvo type="num" val="1"/>
      </iconSet>
    </cfRule>
    <cfRule type="dataBar" priority="2328">
      <dataBar>
        <cfvo type="num" val="0"/>
        <cfvo type="num" val="1"/>
        <color theme="4" tint="0.79998168889431442"/>
      </dataBar>
      <extLst>
        <ext xmlns:x14="http://schemas.microsoft.com/office/spreadsheetml/2009/9/main" uri="{B025F937-C7B1-47D3-B67F-A62EFF666E3E}">
          <x14:id>{2AD3DC06-08FC-42B1-8C14-45479998361C}</x14:id>
        </ext>
      </extLst>
    </cfRule>
  </conditionalFormatting>
  <conditionalFormatting sqref="Y1898">
    <cfRule type="iconSet" priority="2325">
      <iconSet iconSet="3Arrows">
        <cfvo type="percent" val="0"/>
        <cfvo type="num" val="0.7"/>
        <cfvo type="num" val="1"/>
      </iconSet>
    </cfRule>
    <cfRule type="dataBar" priority="2326">
      <dataBar>
        <cfvo type="num" val="0"/>
        <cfvo type="num" val="1"/>
        <color theme="4" tint="0.79998168889431442"/>
      </dataBar>
      <extLst>
        <ext xmlns:x14="http://schemas.microsoft.com/office/spreadsheetml/2009/9/main" uri="{B025F937-C7B1-47D3-B67F-A62EFF666E3E}">
          <x14:id>{44171FA2-BE43-422C-AE5D-5798C572B02D}</x14:id>
        </ext>
      </extLst>
    </cfRule>
  </conditionalFormatting>
  <conditionalFormatting sqref="Y1903">
    <cfRule type="dataBar" priority="2324">
      <dataBar>
        <cfvo type="num" val="0"/>
        <cfvo type="num" val="1"/>
        <color theme="4" tint="0.79998168889431442"/>
      </dataBar>
      <extLst>
        <ext xmlns:x14="http://schemas.microsoft.com/office/spreadsheetml/2009/9/main" uri="{B025F937-C7B1-47D3-B67F-A62EFF666E3E}">
          <x14:id>{9C297618-462F-4BCC-93E0-CF22F3789814}</x14:id>
        </ext>
      </extLst>
    </cfRule>
    <cfRule type="iconSet" priority="2323">
      <iconSet iconSet="3Arrows">
        <cfvo type="percent" val="0"/>
        <cfvo type="num" val="0.7"/>
        <cfvo type="num" val="1"/>
      </iconSet>
    </cfRule>
  </conditionalFormatting>
  <conditionalFormatting sqref="Y1907">
    <cfRule type="dataBar" priority="2322">
      <dataBar>
        <cfvo type="num" val="0"/>
        <cfvo type="num" val="1"/>
        <color theme="4" tint="0.79998168889431442"/>
      </dataBar>
      <extLst>
        <ext xmlns:x14="http://schemas.microsoft.com/office/spreadsheetml/2009/9/main" uri="{B025F937-C7B1-47D3-B67F-A62EFF666E3E}">
          <x14:id>{EA872E5C-9202-462D-8BB5-3B14D096D75D}</x14:id>
        </ext>
      </extLst>
    </cfRule>
    <cfRule type="iconSet" priority="2321">
      <iconSet iconSet="3Arrows">
        <cfvo type="percent" val="0"/>
        <cfvo type="num" val="0.7"/>
        <cfvo type="num" val="1"/>
      </iconSet>
    </cfRule>
  </conditionalFormatting>
  <conditionalFormatting sqref="Y1909 Y1913 Y1915 Y1917 Y1919 Y1921 Y1923">
    <cfRule type="dataBar" priority="2320">
      <dataBar>
        <cfvo type="num" val="0"/>
        <cfvo type="num" val="1"/>
        <color theme="4" tint="0.79998168889431442"/>
      </dataBar>
      <extLst>
        <ext xmlns:x14="http://schemas.microsoft.com/office/spreadsheetml/2009/9/main" uri="{B025F937-C7B1-47D3-B67F-A62EFF666E3E}">
          <x14:id>{3ED79B0C-DDAE-4F82-868D-28E9CE99C178}</x14:id>
        </ext>
      </extLst>
    </cfRule>
    <cfRule type="iconSet" priority="2319">
      <iconSet iconSet="3Arrows">
        <cfvo type="percent" val="0"/>
        <cfvo type="num" val="0.7"/>
        <cfvo type="num" val="1"/>
      </iconSet>
    </cfRule>
  </conditionalFormatting>
  <conditionalFormatting sqref="Y1911">
    <cfRule type="dataBar" priority="2318">
      <dataBar>
        <cfvo type="num" val="0"/>
        <cfvo type="num" val="1"/>
        <color theme="4" tint="0.79998168889431442"/>
      </dataBar>
      <extLst>
        <ext xmlns:x14="http://schemas.microsoft.com/office/spreadsheetml/2009/9/main" uri="{B025F937-C7B1-47D3-B67F-A62EFF666E3E}">
          <x14:id>{9143F5FC-282A-4AFC-8216-0925C80331B2}</x14:id>
        </ext>
      </extLst>
    </cfRule>
    <cfRule type="iconSet" priority="2317">
      <iconSet iconSet="3Arrows">
        <cfvo type="percent" val="0"/>
        <cfvo type="num" val="0.7"/>
        <cfvo type="num" val="1"/>
      </iconSet>
    </cfRule>
  </conditionalFormatting>
  <conditionalFormatting sqref="Y1925">
    <cfRule type="dataBar" priority="2316">
      <dataBar>
        <cfvo type="num" val="0"/>
        <cfvo type="num" val="1"/>
        <color theme="4" tint="0.79998168889431442"/>
      </dataBar>
      <extLst>
        <ext xmlns:x14="http://schemas.microsoft.com/office/spreadsheetml/2009/9/main" uri="{B025F937-C7B1-47D3-B67F-A62EFF666E3E}">
          <x14:id>{AA77BC64-18A2-4425-BF60-6685CFE3DD49}</x14:id>
        </ext>
      </extLst>
    </cfRule>
    <cfRule type="iconSet" priority="2315">
      <iconSet iconSet="3Arrows">
        <cfvo type="percent" val="0"/>
        <cfvo type="num" val="0.7"/>
        <cfvo type="num" val="1"/>
      </iconSet>
    </cfRule>
  </conditionalFormatting>
  <conditionalFormatting sqref="Y1927">
    <cfRule type="iconSet" priority="2313">
      <iconSet iconSet="3Arrows">
        <cfvo type="percent" val="0"/>
        <cfvo type="num" val="0.7"/>
        <cfvo type="num" val="1"/>
      </iconSet>
    </cfRule>
    <cfRule type="dataBar" priority="2314">
      <dataBar>
        <cfvo type="num" val="0"/>
        <cfvo type="num" val="1"/>
        <color theme="4" tint="0.79998168889431442"/>
      </dataBar>
      <extLst>
        <ext xmlns:x14="http://schemas.microsoft.com/office/spreadsheetml/2009/9/main" uri="{B025F937-C7B1-47D3-B67F-A62EFF666E3E}">
          <x14:id>{72CE024A-E7FB-4008-966F-73FDAC7C2AAA}</x14:id>
        </ext>
      </extLst>
    </cfRule>
  </conditionalFormatting>
  <conditionalFormatting sqref="Y1929">
    <cfRule type="iconSet" priority="2311">
      <iconSet iconSet="3Arrows">
        <cfvo type="percent" val="0"/>
        <cfvo type="num" val="0.7"/>
        <cfvo type="num" val="1"/>
      </iconSet>
    </cfRule>
    <cfRule type="dataBar" priority="2312">
      <dataBar>
        <cfvo type="num" val="0"/>
        <cfvo type="num" val="1"/>
        <color theme="4" tint="0.79998168889431442"/>
      </dataBar>
      <extLst>
        <ext xmlns:x14="http://schemas.microsoft.com/office/spreadsheetml/2009/9/main" uri="{B025F937-C7B1-47D3-B67F-A62EFF666E3E}">
          <x14:id>{31C42E07-5128-4895-9838-307AE9CC8BA4}</x14:id>
        </ext>
      </extLst>
    </cfRule>
  </conditionalFormatting>
  <conditionalFormatting sqref="Y1931">
    <cfRule type="iconSet" priority="2309">
      <iconSet iconSet="3Arrows">
        <cfvo type="percent" val="0"/>
        <cfvo type="num" val="0.7"/>
        <cfvo type="num" val="1"/>
      </iconSet>
    </cfRule>
    <cfRule type="dataBar" priority="2310">
      <dataBar>
        <cfvo type="num" val="0"/>
        <cfvo type="num" val="1"/>
        <color theme="4" tint="0.79998168889431442"/>
      </dataBar>
      <extLst>
        <ext xmlns:x14="http://schemas.microsoft.com/office/spreadsheetml/2009/9/main" uri="{B025F937-C7B1-47D3-B67F-A62EFF666E3E}">
          <x14:id>{FFEA754D-A61A-468E-9ABD-ECE8A045E3EA}</x14:id>
        </ext>
      </extLst>
    </cfRule>
  </conditionalFormatting>
  <conditionalFormatting sqref="Y1933">
    <cfRule type="iconSet" priority="2307">
      <iconSet iconSet="3Arrows">
        <cfvo type="percent" val="0"/>
        <cfvo type="num" val="0.7"/>
        <cfvo type="num" val="1"/>
      </iconSet>
    </cfRule>
    <cfRule type="dataBar" priority="2308">
      <dataBar>
        <cfvo type="num" val="0"/>
        <cfvo type="num" val="1"/>
        <color theme="4" tint="0.79998168889431442"/>
      </dataBar>
      <extLst>
        <ext xmlns:x14="http://schemas.microsoft.com/office/spreadsheetml/2009/9/main" uri="{B025F937-C7B1-47D3-B67F-A62EFF666E3E}">
          <x14:id>{C3404954-765B-4CDA-8244-61231AE54FE3}</x14:id>
        </ext>
      </extLst>
    </cfRule>
  </conditionalFormatting>
  <conditionalFormatting sqref="Y1935">
    <cfRule type="iconSet" priority="2305">
      <iconSet iconSet="3Arrows">
        <cfvo type="percent" val="0"/>
        <cfvo type="num" val="0.7"/>
        <cfvo type="num" val="1"/>
      </iconSet>
    </cfRule>
    <cfRule type="dataBar" priority="2306">
      <dataBar>
        <cfvo type="num" val="0"/>
        <cfvo type="num" val="1"/>
        <color theme="4" tint="0.79998168889431442"/>
      </dataBar>
      <extLst>
        <ext xmlns:x14="http://schemas.microsoft.com/office/spreadsheetml/2009/9/main" uri="{B025F937-C7B1-47D3-B67F-A62EFF666E3E}">
          <x14:id>{97967592-6E88-4A8D-A584-C06BF936F986}</x14:id>
        </ext>
      </extLst>
    </cfRule>
  </conditionalFormatting>
  <conditionalFormatting sqref="Y1937">
    <cfRule type="iconSet" priority="2303">
      <iconSet iconSet="3Arrows">
        <cfvo type="percent" val="0"/>
        <cfvo type="num" val="0.7"/>
        <cfvo type="num" val="1"/>
      </iconSet>
    </cfRule>
    <cfRule type="dataBar" priority="2304">
      <dataBar>
        <cfvo type="num" val="0"/>
        <cfvo type="num" val="1"/>
        <color theme="4" tint="0.79998168889431442"/>
      </dataBar>
      <extLst>
        <ext xmlns:x14="http://schemas.microsoft.com/office/spreadsheetml/2009/9/main" uri="{B025F937-C7B1-47D3-B67F-A62EFF666E3E}">
          <x14:id>{055EF534-1599-4F52-ABF7-FB33B9D7F395}</x14:id>
        </ext>
      </extLst>
    </cfRule>
  </conditionalFormatting>
  <conditionalFormatting sqref="Y1939">
    <cfRule type="iconSet" priority="2301">
      <iconSet iconSet="3Arrows">
        <cfvo type="percent" val="0"/>
        <cfvo type="num" val="0.7"/>
        <cfvo type="num" val="1"/>
      </iconSet>
    </cfRule>
    <cfRule type="dataBar" priority="2302">
      <dataBar>
        <cfvo type="num" val="0"/>
        <cfvo type="num" val="1"/>
        <color theme="4" tint="0.79998168889431442"/>
      </dataBar>
      <extLst>
        <ext xmlns:x14="http://schemas.microsoft.com/office/spreadsheetml/2009/9/main" uri="{B025F937-C7B1-47D3-B67F-A62EFF666E3E}">
          <x14:id>{817F4D1D-7768-4A93-B1A3-249EEC661B35}</x14:id>
        </ext>
      </extLst>
    </cfRule>
  </conditionalFormatting>
  <conditionalFormatting sqref="Y1941">
    <cfRule type="iconSet" priority="2299">
      <iconSet iconSet="3Arrows">
        <cfvo type="percent" val="0"/>
        <cfvo type="num" val="0.7"/>
        <cfvo type="num" val="1"/>
      </iconSet>
    </cfRule>
    <cfRule type="dataBar" priority="2300">
      <dataBar>
        <cfvo type="num" val="0"/>
        <cfvo type="num" val="1"/>
        <color theme="4" tint="0.79998168889431442"/>
      </dataBar>
      <extLst>
        <ext xmlns:x14="http://schemas.microsoft.com/office/spreadsheetml/2009/9/main" uri="{B025F937-C7B1-47D3-B67F-A62EFF666E3E}">
          <x14:id>{638E4669-2A6A-499A-96FC-67C6D6A00E84}</x14:id>
        </ext>
      </extLst>
    </cfRule>
  </conditionalFormatting>
  <conditionalFormatting sqref="Y1943">
    <cfRule type="dataBar" priority="2298">
      <dataBar>
        <cfvo type="num" val="0"/>
        <cfvo type="num" val="1"/>
        <color theme="4" tint="0.79998168889431442"/>
      </dataBar>
      <extLst>
        <ext xmlns:x14="http://schemas.microsoft.com/office/spreadsheetml/2009/9/main" uri="{B025F937-C7B1-47D3-B67F-A62EFF666E3E}">
          <x14:id>{5607D863-F7CF-42A7-B74B-3A0BD43B3EFD}</x14:id>
        </ext>
      </extLst>
    </cfRule>
    <cfRule type="iconSet" priority="2297">
      <iconSet iconSet="3Arrows">
        <cfvo type="percent" val="0"/>
        <cfvo type="num" val="0.7"/>
        <cfvo type="num" val="1"/>
      </iconSet>
    </cfRule>
  </conditionalFormatting>
  <conditionalFormatting sqref="Y1945">
    <cfRule type="dataBar" priority="2296">
      <dataBar>
        <cfvo type="num" val="0"/>
        <cfvo type="num" val="1"/>
        <color theme="4" tint="0.79998168889431442"/>
      </dataBar>
      <extLst>
        <ext xmlns:x14="http://schemas.microsoft.com/office/spreadsheetml/2009/9/main" uri="{B025F937-C7B1-47D3-B67F-A62EFF666E3E}">
          <x14:id>{6FA48EE1-2C27-47F3-886F-09FD59D0BFA6}</x14:id>
        </ext>
      </extLst>
    </cfRule>
    <cfRule type="iconSet" priority="2295">
      <iconSet iconSet="3Arrows">
        <cfvo type="percent" val="0"/>
        <cfvo type="num" val="0.7"/>
        <cfvo type="num" val="1"/>
      </iconSet>
    </cfRule>
  </conditionalFormatting>
  <conditionalFormatting sqref="Y1947">
    <cfRule type="iconSet" priority="2293">
      <iconSet iconSet="3Arrows">
        <cfvo type="percent" val="0"/>
        <cfvo type="num" val="0.7"/>
        <cfvo type="num" val="1"/>
      </iconSet>
    </cfRule>
    <cfRule type="dataBar" priority="2294">
      <dataBar>
        <cfvo type="num" val="0"/>
        <cfvo type="num" val="1"/>
        <color theme="4" tint="0.79998168889431442"/>
      </dataBar>
      <extLst>
        <ext xmlns:x14="http://schemas.microsoft.com/office/spreadsheetml/2009/9/main" uri="{B025F937-C7B1-47D3-B67F-A62EFF666E3E}">
          <x14:id>{BD157929-6354-4BD2-A0AC-43C18131DD62}</x14:id>
        </ext>
      </extLst>
    </cfRule>
  </conditionalFormatting>
  <conditionalFormatting sqref="Y1949">
    <cfRule type="iconSet" priority="2291">
      <iconSet iconSet="3Arrows">
        <cfvo type="percent" val="0"/>
        <cfvo type="num" val="0.7"/>
        <cfvo type="num" val="1"/>
      </iconSet>
    </cfRule>
    <cfRule type="dataBar" priority="2292">
      <dataBar>
        <cfvo type="num" val="0"/>
        <cfvo type="num" val="1"/>
        <color theme="4" tint="0.79998168889431442"/>
      </dataBar>
      <extLst>
        <ext xmlns:x14="http://schemas.microsoft.com/office/spreadsheetml/2009/9/main" uri="{B025F937-C7B1-47D3-B67F-A62EFF666E3E}">
          <x14:id>{7786DE08-AE50-41CD-B9BC-8682083176E3}</x14:id>
        </ext>
      </extLst>
    </cfRule>
  </conditionalFormatting>
  <conditionalFormatting sqref="Y1951">
    <cfRule type="iconSet" priority="2289">
      <iconSet iconSet="3Arrows">
        <cfvo type="percent" val="0"/>
        <cfvo type="num" val="0.7"/>
        <cfvo type="num" val="1"/>
      </iconSet>
    </cfRule>
    <cfRule type="dataBar" priority="2290">
      <dataBar>
        <cfvo type="num" val="0"/>
        <cfvo type="num" val="1"/>
        <color theme="4" tint="0.79998168889431442"/>
      </dataBar>
      <extLst>
        <ext xmlns:x14="http://schemas.microsoft.com/office/spreadsheetml/2009/9/main" uri="{B025F937-C7B1-47D3-B67F-A62EFF666E3E}">
          <x14:id>{1833D501-BDCE-44BB-977F-E27FE6FE1267}</x14:id>
        </ext>
      </extLst>
    </cfRule>
  </conditionalFormatting>
  <conditionalFormatting sqref="Y1953">
    <cfRule type="iconSet" priority="2287">
      <iconSet iconSet="3Arrows">
        <cfvo type="percent" val="0"/>
        <cfvo type="num" val="0.7"/>
        <cfvo type="num" val="1"/>
      </iconSet>
    </cfRule>
    <cfRule type="dataBar" priority="2288">
      <dataBar>
        <cfvo type="num" val="0"/>
        <cfvo type="num" val="1"/>
        <color theme="4" tint="0.79998168889431442"/>
      </dataBar>
      <extLst>
        <ext xmlns:x14="http://schemas.microsoft.com/office/spreadsheetml/2009/9/main" uri="{B025F937-C7B1-47D3-B67F-A62EFF666E3E}">
          <x14:id>{F59E3015-D534-4985-852D-80392C2949C8}</x14:id>
        </ext>
      </extLst>
    </cfRule>
  </conditionalFormatting>
  <conditionalFormatting sqref="Y1955">
    <cfRule type="dataBar" priority="2286">
      <dataBar>
        <cfvo type="num" val="0"/>
        <cfvo type="num" val="1"/>
        <color theme="4" tint="0.79998168889431442"/>
      </dataBar>
      <extLst>
        <ext xmlns:x14="http://schemas.microsoft.com/office/spreadsheetml/2009/9/main" uri="{B025F937-C7B1-47D3-B67F-A62EFF666E3E}">
          <x14:id>{DB155060-5398-4315-A11D-D7FA59BA45DB}</x14:id>
        </ext>
      </extLst>
    </cfRule>
    <cfRule type="iconSet" priority="2285">
      <iconSet iconSet="3Arrows">
        <cfvo type="percent" val="0"/>
        <cfvo type="num" val="0.7"/>
        <cfvo type="num" val="1"/>
      </iconSet>
    </cfRule>
  </conditionalFormatting>
  <conditionalFormatting sqref="Y1957">
    <cfRule type="iconSet" priority="2283">
      <iconSet iconSet="3Arrows">
        <cfvo type="percent" val="0"/>
        <cfvo type="num" val="0.7"/>
        <cfvo type="num" val="1"/>
      </iconSet>
    </cfRule>
    <cfRule type="dataBar" priority="2284">
      <dataBar>
        <cfvo type="num" val="0"/>
        <cfvo type="num" val="1"/>
        <color theme="4" tint="0.79998168889431442"/>
      </dataBar>
      <extLst>
        <ext xmlns:x14="http://schemas.microsoft.com/office/spreadsheetml/2009/9/main" uri="{B025F937-C7B1-47D3-B67F-A62EFF666E3E}">
          <x14:id>{1E9B1ACF-C3C1-441E-919F-F76FE3C76DD3}</x14:id>
        </ext>
      </extLst>
    </cfRule>
  </conditionalFormatting>
  <conditionalFormatting sqref="Y1959">
    <cfRule type="dataBar" priority="2282">
      <dataBar>
        <cfvo type="num" val="0"/>
        <cfvo type="num" val="1"/>
        <color theme="4" tint="0.79998168889431442"/>
      </dataBar>
      <extLst>
        <ext xmlns:x14="http://schemas.microsoft.com/office/spreadsheetml/2009/9/main" uri="{B025F937-C7B1-47D3-B67F-A62EFF666E3E}">
          <x14:id>{26F49FFA-9676-45C7-8722-110AB815CBCC}</x14:id>
        </ext>
      </extLst>
    </cfRule>
    <cfRule type="iconSet" priority="2281">
      <iconSet iconSet="3Arrows">
        <cfvo type="percent" val="0"/>
        <cfvo type="num" val="0.7"/>
        <cfvo type="num" val="1"/>
      </iconSet>
    </cfRule>
  </conditionalFormatting>
  <conditionalFormatting sqref="Y1961">
    <cfRule type="dataBar" priority="2280">
      <dataBar>
        <cfvo type="num" val="0"/>
        <cfvo type="num" val="1"/>
        <color theme="4" tint="0.79998168889431442"/>
      </dataBar>
      <extLst>
        <ext xmlns:x14="http://schemas.microsoft.com/office/spreadsheetml/2009/9/main" uri="{B025F937-C7B1-47D3-B67F-A62EFF666E3E}">
          <x14:id>{1A223D0E-933B-4AA1-AFBF-F1A6567E8FB5}</x14:id>
        </ext>
      </extLst>
    </cfRule>
    <cfRule type="iconSet" priority="2279">
      <iconSet iconSet="3Arrows">
        <cfvo type="percent" val="0"/>
        <cfvo type="num" val="0.7"/>
        <cfvo type="num" val="1"/>
      </iconSet>
    </cfRule>
  </conditionalFormatting>
  <conditionalFormatting sqref="Y1963">
    <cfRule type="dataBar" priority="2278">
      <dataBar>
        <cfvo type="num" val="0"/>
        <cfvo type="num" val="1"/>
        <color theme="4" tint="0.79998168889431442"/>
      </dataBar>
      <extLst>
        <ext xmlns:x14="http://schemas.microsoft.com/office/spreadsheetml/2009/9/main" uri="{B025F937-C7B1-47D3-B67F-A62EFF666E3E}">
          <x14:id>{91634C24-B315-4309-A7D2-31672521CEC1}</x14:id>
        </ext>
      </extLst>
    </cfRule>
    <cfRule type="iconSet" priority="2277">
      <iconSet iconSet="3Arrows">
        <cfvo type="percent" val="0"/>
        <cfvo type="num" val="0.7"/>
        <cfvo type="num" val="1"/>
      </iconSet>
    </cfRule>
  </conditionalFormatting>
  <conditionalFormatting sqref="Y1965">
    <cfRule type="dataBar" priority="2276">
      <dataBar>
        <cfvo type="num" val="0"/>
        <cfvo type="num" val="1"/>
        <color theme="4" tint="0.79998168889431442"/>
      </dataBar>
      <extLst>
        <ext xmlns:x14="http://schemas.microsoft.com/office/spreadsheetml/2009/9/main" uri="{B025F937-C7B1-47D3-B67F-A62EFF666E3E}">
          <x14:id>{B83A14A2-7CBE-4A35-8188-0B47216B3C22}</x14:id>
        </ext>
      </extLst>
    </cfRule>
    <cfRule type="iconSet" priority="2275">
      <iconSet iconSet="3Arrows">
        <cfvo type="percent" val="0"/>
        <cfvo type="num" val="0.7"/>
        <cfvo type="num" val="1"/>
      </iconSet>
    </cfRule>
  </conditionalFormatting>
  <conditionalFormatting sqref="Y1967">
    <cfRule type="dataBar" priority="2274">
      <dataBar>
        <cfvo type="num" val="0"/>
        <cfvo type="num" val="1"/>
        <color theme="4" tint="0.79998168889431442"/>
      </dataBar>
      <extLst>
        <ext xmlns:x14="http://schemas.microsoft.com/office/spreadsheetml/2009/9/main" uri="{B025F937-C7B1-47D3-B67F-A62EFF666E3E}">
          <x14:id>{F7D84FFD-F998-452C-AF36-B18DDE5F9425}</x14:id>
        </ext>
      </extLst>
    </cfRule>
    <cfRule type="iconSet" priority="2273">
      <iconSet iconSet="3Arrows">
        <cfvo type="percent" val="0"/>
        <cfvo type="num" val="0.7"/>
        <cfvo type="num" val="1"/>
      </iconSet>
    </cfRule>
  </conditionalFormatting>
  <conditionalFormatting sqref="Y1969">
    <cfRule type="dataBar" priority="2272">
      <dataBar>
        <cfvo type="num" val="0"/>
        <cfvo type="num" val="1"/>
        <color theme="4" tint="0.79998168889431442"/>
      </dataBar>
      <extLst>
        <ext xmlns:x14="http://schemas.microsoft.com/office/spreadsheetml/2009/9/main" uri="{B025F937-C7B1-47D3-B67F-A62EFF666E3E}">
          <x14:id>{D9788A44-902B-4AD3-9EA6-814414131F71}</x14:id>
        </ext>
      </extLst>
    </cfRule>
    <cfRule type="iconSet" priority="2271">
      <iconSet iconSet="3Arrows">
        <cfvo type="percent" val="0"/>
        <cfvo type="num" val="0.7"/>
        <cfvo type="num" val="1"/>
      </iconSet>
    </cfRule>
  </conditionalFormatting>
  <conditionalFormatting sqref="Y1971">
    <cfRule type="iconSet" priority="2269">
      <iconSet iconSet="3Arrows">
        <cfvo type="percent" val="0"/>
        <cfvo type="num" val="0.7"/>
        <cfvo type="num" val="1"/>
      </iconSet>
    </cfRule>
    <cfRule type="dataBar" priority="2270">
      <dataBar>
        <cfvo type="num" val="0"/>
        <cfvo type="num" val="1"/>
        <color theme="4" tint="0.79998168889431442"/>
      </dataBar>
      <extLst>
        <ext xmlns:x14="http://schemas.microsoft.com/office/spreadsheetml/2009/9/main" uri="{B025F937-C7B1-47D3-B67F-A62EFF666E3E}">
          <x14:id>{EC3CBE8E-D84D-4244-9E65-CDBC43C93009}</x14:id>
        </ext>
      </extLst>
    </cfRule>
  </conditionalFormatting>
  <conditionalFormatting sqref="Y1973">
    <cfRule type="dataBar" priority="2268">
      <dataBar>
        <cfvo type="num" val="0"/>
        <cfvo type="num" val="1"/>
        <color theme="4" tint="0.79998168889431442"/>
      </dataBar>
      <extLst>
        <ext xmlns:x14="http://schemas.microsoft.com/office/spreadsheetml/2009/9/main" uri="{B025F937-C7B1-47D3-B67F-A62EFF666E3E}">
          <x14:id>{5B774392-2274-4E70-A78F-133F6846F54B}</x14:id>
        </ext>
      </extLst>
    </cfRule>
    <cfRule type="iconSet" priority="2267">
      <iconSet iconSet="3Arrows">
        <cfvo type="percent" val="0"/>
        <cfvo type="num" val="0.7"/>
        <cfvo type="num" val="1"/>
      </iconSet>
    </cfRule>
  </conditionalFormatting>
  <conditionalFormatting sqref="Y1975">
    <cfRule type="dataBar" priority="2266">
      <dataBar>
        <cfvo type="num" val="0"/>
        <cfvo type="num" val="1"/>
        <color theme="4" tint="0.79998168889431442"/>
      </dataBar>
      <extLst>
        <ext xmlns:x14="http://schemas.microsoft.com/office/spreadsheetml/2009/9/main" uri="{B025F937-C7B1-47D3-B67F-A62EFF666E3E}">
          <x14:id>{DDF226B1-AEEA-449C-9464-B3CD350BD86A}</x14:id>
        </ext>
      </extLst>
    </cfRule>
    <cfRule type="iconSet" priority="2265">
      <iconSet iconSet="3Arrows">
        <cfvo type="percent" val="0"/>
        <cfvo type="num" val="0.7"/>
        <cfvo type="num" val="1"/>
      </iconSet>
    </cfRule>
  </conditionalFormatting>
  <conditionalFormatting sqref="Y1977">
    <cfRule type="dataBar" priority="2264">
      <dataBar>
        <cfvo type="num" val="0"/>
        <cfvo type="num" val="1"/>
        <color theme="4" tint="0.79998168889431442"/>
      </dataBar>
      <extLst>
        <ext xmlns:x14="http://schemas.microsoft.com/office/spreadsheetml/2009/9/main" uri="{B025F937-C7B1-47D3-B67F-A62EFF666E3E}">
          <x14:id>{D13A97E0-FDBB-4F07-938C-ABCAEC0E5FB8}</x14:id>
        </ext>
      </extLst>
    </cfRule>
    <cfRule type="iconSet" priority="2263">
      <iconSet iconSet="3Arrows">
        <cfvo type="percent" val="0"/>
        <cfvo type="num" val="0.7"/>
        <cfvo type="num" val="1"/>
      </iconSet>
    </cfRule>
  </conditionalFormatting>
  <conditionalFormatting sqref="Y1979">
    <cfRule type="dataBar" priority="2262">
      <dataBar>
        <cfvo type="num" val="0"/>
        <cfvo type="num" val="1"/>
        <color theme="4" tint="0.79998168889431442"/>
      </dataBar>
      <extLst>
        <ext xmlns:x14="http://schemas.microsoft.com/office/spreadsheetml/2009/9/main" uri="{B025F937-C7B1-47D3-B67F-A62EFF666E3E}">
          <x14:id>{71F06DB3-84BE-4FEE-86E5-0B555FC308C1}</x14:id>
        </ext>
      </extLst>
    </cfRule>
    <cfRule type="iconSet" priority="2261">
      <iconSet iconSet="3Arrows">
        <cfvo type="percent" val="0"/>
        <cfvo type="num" val="0.7"/>
        <cfvo type="num" val="1"/>
      </iconSet>
    </cfRule>
  </conditionalFormatting>
  <conditionalFormatting sqref="Y1981">
    <cfRule type="dataBar" priority="2260">
      <dataBar>
        <cfvo type="num" val="0"/>
        <cfvo type="num" val="1"/>
        <color theme="4" tint="0.79998168889431442"/>
      </dataBar>
      <extLst>
        <ext xmlns:x14="http://schemas.microsoft.com/office/spreadsheetml/2009/9/main" uri="{B025F937-C7B1-47D3-B67F-A62EFF666E3E}">
          <x14:id>{E22F77A3-6549-493A-B46D-F62B838F210B}</x14:id>
        </ext>
      </extLst>
    </cfRule>
    <cfRule type="iconSet" priority="2259">
      <iconSet iconSet="3Arrows">
        <cfvo type="percent" val="0"/>
        <cfvo type="num" val="0.7"/>
        <cfvo type="num" val="1"/>
      </iconSet>
    </cfRule>
  </conditionalFormatting>
  <conditionalFormatting sqref="Y1983">
    <cfRule type="iconSet" priority="2257">
      <iconSet iconSet="3Arrows">
        <cfvo type="percent" val="0"/>
        <cfvo type="num" val="0.7"/>
        <cfvo type="num" val="1"/>
      </iconSet>
    </cfRule>
    <cfRule type="dataBar" priority="2258">
      <dataBar>
        <cfvo type="num" val="0"/>
        <cfvo type="num" val="1"/>
        <color theme="4" tint="0.79998168889431442"/>
      </dataBar>
      <extLst>
        <ext xmlns:x14="http://schemas.microsoft.com/office/spreadsheetml/2009/9/main" uri="{B025F937-C7B1-47D3-B67F-A62EFF666E3E}">
          <x14:id>{0A862EAD-FEAF-4BAC-873A-16CFB85E2B16}</x14:id>
        </ext>
      </extLst>
    </cfRule>
  </conditionalFormatting>
  <conditionalFormatting sqref="Y1985">
    <cfRule type="iconSet" priority="2255">
      <iconSet iconSet="3Arrows">
        <cfvo type="percent" val="0"/>
        <cfvo type="num" val="0.7"/>
        <cfvo type="num" val="1"/>
      </iconSet>
    </cfRule>
    <cfRule type="dataBar" priority="2256">
      <dataBar>
        <cfvo type="num" val="0"/>
        <cfvo type="num" val="1"/>
        <color theme="4" tint="0.79998168889431442"/>
      </dataBar>
      <extLst>
        <ext xmlns:x14="http://schemas.microsoft.com/office/spreadsheetml/2009/9/main" uri="{B025F937-C7B1-47D3-B67F-A62EFF666E3E}">
          <x14:id>{7D403D06-7B2B-43E2-98C8-9516CB6548DC}</x14:id>
        </ext>
      </extLst>
    </cfRule>
  </conditionalFormatting>
  <conditionalFormatting sqref="Y1987">
    <cfRule type="iconSet" priority="2253">
      <iconSet iconSet="3Arrows">
        <cfvo type="percent" val="0"/>
        <cfvo type="num" val="0.7"/>
        <cfvo type="num" val="1"/>
      </iconSet>
    </cfRule>
    <cfRule type="dataBar" priority="2254">
      <dataBar>
        <cfvo type="num" val="0"/>
        <cfvo type="num" val="1"/>
        <color theme="4" tint="0.79998168889431442"/>
      </dataBar>
      <extLst>
        <ext xmlns:x14="http://schemas.microsoft.com/office/spreadsheetml/2009/9/main" uri="{B025F937-C7B1-47D3-B67F-A62EFF666E3E}">
          <x14:id>{F755128A-1ED8-4C56-94C0-C1A133A31E9B}</x14:id>
        </ext>
      </extLst>
    </cfRule>
  </conditionalFormatting>
  <conditionalFormatting sqref="Y1989">
    <cfRule type="dataBar" priority="2252">
      <dataBar>
        <cfvo type="num" val="0"/>
        <cfvo type="num" val="1"/>
        <color theme="4" tint="0.79998168889431442"/>
      </dataBar>
      <extLst>
        <ext xmlns:x14="http://schemas.microsoft.com/office/spreadsheetml/2009/9/main" uri="{B025F937-C7B1-47D3-B67F-A62EFF666E3E}">
          <x14:id>{3AAD47D8-4E4F-407A-AE22-8CD70B77E085}</x14:id>
        </ext>
      </extLst>
    </cfRule>
    <cfRule type="iconSet" priority="2251">
      <iconSet iconSet="3Arrows">
        <cfvo type="percent" val="0"/>
        <cfvo type="num" val="0.7"/>
        <cfvo type="num" val="1"/>
      </iconSet>
    </cfRule>
  </conditionalFormatting>
  <conditionalFormatting sqref="Y1991">
    <cfRule type="dataBar" priority="2250">
      <dataBar>
        <cfvo type="num" val="0"/>
        <cfvo type="num" val="1"/>
        <color theme="4" tint="0.79998168889431442"/>
      </dataBar>
      <extLst>
        <ext xmlns:x14="http://schemas.microsoft.com/office/spreadsheetml/2009/9/main" uri="{B025F937-C7B1-47D3-B67F-A62EFF666E3E}">
          <x14:id>{E9F79273-2EF0-4F2D-8FF5-F22D32AD72DE}</x14:id>
        </ext>
      </extLst>
    </cfRule>
    <cfRule type="iconSet" priority="2249">
      <iconSet iconSet="3Arrows">
        <cfvo type="percent" val="0"/>
        <cfvo type="num" val="0.7"/>
        <cfvo type="num" val="1"/>
      </iconSet>
    </cfRule>
  </conditionalFormatting>
  <conditionalFormatting sqref="Y1993">
    <cfRule type="dataBar" priority="2248">
      <dataBar>
        <cfvo type="num" val="0"/>
        <cfvo type="num" val="1"/>
        <color theme="4" tint="0.79998168889431442"/>
      </dataBar>
      <extLst>
        <ext xmlns:x14="http://schemas.microsoft.com/office/spreadsheetml/2009/9/main" uri="{B025F937-C7B1-47D3-B67F-A62EFF666E3E}">
          <x14:id>{C4B58F59-6F06-43D0-9F66-A34978F83737}</x14:id>
        </ext>
      </extLst>
    </cfRule>
    <cfRule type="iconSet" priority="2247">
      <iconSet iconSet="3Arrows">
        <cfvo type="percent" val="0"/>
        <cfvo type="num" val="0.7"/>
        <cfvo type="num" val="1"/>
      </iconSet>
    </cfRule>
  </conditionalFormatting>
  <conditionalFormatting sqref="Y1995">
    <cfRule type="dataBar" priority="2246">
      <dataBar>
        <cfvo type="num" val="0"/>
        <cfvo type="num" val="1"/>
        <color theme="4" tint="0.79998168889431442"/>
      </dataBar>
      <extLst>
        <ext xmlns:x14="http://schemas.microsoft.com/office/spreadsheetml/2009/9/main" uri="{B025F937-C7B1-47D3-B67F-A62EFF666E3E}">
          <x14:id>{6CA9DB7D-80CF-496A-9A9C-042EAFD9FB93}</x14:id>
        </ext>
      </extLst>
    </cfRule>
    <cfRule type="iconSet" priority="2245">
      <iconSet iconSet="3Arrows">
        <cfvo type="percent" val="0"/>
        <cfvo type="num" val="0.7"/>
        <cfvo type="num" val="1"/>
      </iconSet>
    </cfRule>
  </conditionalFormatting>
  <conditionalFormatting sqref="Y1998">
    <cfRule type="dataBar" priority="2244">
      <dataBar>
        <cfvo type="num" val="0"/>
        <cfvo type="num" val="1"/>
        <color theme="4" tint="0.79998168889431442"/>
      </dataBar>
      <extLst>
        <ext xmlns:x14="http://schemas.microsoft.com/office/spreadsheetml/2009/9/main" uri="{B025F937-C7B1-47D3-B67F-A62EFF666E3E}">
          <x14:id>{CDF60594-75FF-4942-8AE0-222D18629C33}</x14:id>
        </ext>
      </extLst>
    </cfRule>
    <cfRule type="iconSet" priority="2243">
      <iconSet iconSet="3Arrows">
        <cfvo type="percent" val="0"/>
        <cfvo type="num" val="0.7"/>
        <cfvo type="num" val="1"/>
      </iconSet>
    </cfRule>
  </conditionalFormatting>
  <conditionalFormatting sqref="Y2000 Y2002 Y2004 Y2006 Y2008">
    <cfRule type="dataBar" priority="2242">
      <dataBar>
        <cfvo type="num" val="0"/>
        <cfvo type="num" val="1"/>
        <color theme="4" tint="0.79998168889431442"/>
      </dataBar>
      <extLst>
        <ext xmlns:x14="http://schemas.microsoft.com/office/spreadsheetml/2009/9/main" uri="{B025F937-C7B1-47D3-B67F-A62EFF666E3E}">
          <x14:id>{4C2C1E0F-CF26-41B1-8368-55D73425CA45}</x14:id>
        </ext>
      </extLst>
    </cfRule>
    <cfRule type="iconSet" priority="2241">
      <iconSet iconSet="3Arrows">
        <cfvo type="percent" val="0"/>
        <cfvo type="num" val="0.7"/>
        <cfvo type="num" val="1"/>
      </iconSet>
    </cfRule>
  </conditionalFormatting>
  <conditionalFormatting sqref="Y2010 Y2012 Y2014 Y2016 Y2018">
    <cfRule type="dataBar" priority="2240">
      <dataBar>
        <cfvo type="num" val="0"/>
        <cfvo type="num" val="1"/>
        <color theme="4" tint="0.79998168889431442"/>
      </dataBar>
      <extLst>
        <ext xmlns:x14="http://schemas.microsoft.com/office/spreadsheetml/2009/9/main" uri="{B025F937-C7B1-47D3-B67F-A62EFF666E3E}">
          <x14:id>{DD10624D-4056-46F1-AAD7-AA1F758995AC}</x14:id>
        </ext>
      </extLst>
    </cfRule>
    <cfRule type="iconSet" priority="2239">
      <iconSet iconSet="3Arrows">
        <cfvo type="percent" val="0"/>
        <cfvo type="num" val="0.7"/>
        <cfvo type="num" val="1"/>
      </iconSet>
    </cfRule>
  </conditionalFormatting>
  <conditionalFormatting sqref="Y2020 Y2022 Y2024 Y2026 Y2028">
    <cfRule type="dataBar" priority="2238">
      <dataBar>
        <cfvo type="num" val="0"/>
        <cfvo type="num" val="1"/>
        <color theme="4" tint="0.79998168889431442"/>
      </dataBar>
      <extLst>
        <ext xmlns:x14="http://schemas.microsoft.com/office/spreadsheetml/2009/9/main" uri="{B025F937-C7B1-47D3-B67F-A62EFF666E3E}">
          <x14:id>{0067C9DE-5A0C-4446-9039-F4DC8E643DE1}</x14:id>
        </ext>
      </extLst>
    </cfRule>
    <cfRule type="iconSet" priority="2237">
      <iconSet iconSet="3Arrows">
        <cfvo type="percent" val="0"/>
        <cfvo type="num" val="0.7"/>
        <cfvo type="num" val="1"/>
      </iconSet>
    </cfRule>
  </conditionalFormatting>
  <conditionalFormatting sqref="Y2030 Y2032 Y2034 Y2036 Y2038">
    <cfRule type="dataBar" priority="2236">
      <dataBar>
        <cfvo type="num" val="0"/>
        <cfvo type="num" val="1"/>
        <color theme="4" tint="0.79998168889431442"/>
      </dataBar>
      <extLst>
        <ext xmlns:x14="http://schemas.microsoft.com/office/spreadsheetml/2009/9/main" uri="{B025F937-C7B1-47D3-B67F-A62EFF666E3E}">
          <x14:id>{5D723AB3-F6E2-48E2-BA46-081FE71B2331}</x14:id>
        </ext>
      </extLst>
    </cfRule>
    <cfRule type="iconSet" priority="2235">
      <iconSet iconSet="3Arrows">
        <cfvo type="percent" val="0"/>
        <cfvo type="num" val="0.7"/>
        <cfvo type="num" val="1"/>
      </iconSet>
    </cfRule>
  </conditionalFormatting>
  <conditionalFormatting sqref="Y2040 Y2042 Y2044 Y2046 Y2048">
    <cfRule type="dataBar" priority="2234">
      <dataBar>
        <cfvo type="num" val="0"/>
        <cfvo type="num" val="1"/>
        <color theme="4" tint="0.79998168889431442"/>
      </dataBar>
      <extLst>
        <ext xmlns:x14="http://schemas.microsoft.com/office/spreadsheetml/2009/9/main" uri="{B025F937-C7B1-47D3-B67F-A62EFF666E3E}">
          <x14:id>{E1E1DD45-9B47-4849-88AC-9EB83143690F}</x14:id>
        </ext>
      </extLst>
    </cfRule>
    <cfRule type="iconSet" priority="2233">
      <iconSet iconSet="3Arrows">
        <cfvo type="percent" val="0"/>
        <cfvo type="num" val="0.7"/>
        <cfvo type="num" val="1"/>
      </iconSet>
    </cfRule>
  </conditionalFormatting>
  <conditionalFormatting sqref="Y2050 Y2052 Y2054 Y2056 Y2058">
    <cfRule type="dataBar" priority="2232">
      <dataBar>
        <cfvo type="num" val="0"/>
        <cfvo type="num" val="1"/>
        <color theme="4" tint="0.79998168889431442"/>
      </dataBar>
      <extLst>
        <ext xmlns:x14="http://schemas.microsoft.com/office/spreadsheetml/2009/9/main" uri="{B025F937-C7B1-47D3-B67F-A62EFF666E3E}">
          <x14:id>{ABC6B363-8ADF-46CF-809A-F062DDBC40B8}</x14:id>
        </ext>
      </extLst>
    </cfRule>
    <cfRule type="iconSet" priority="2231">
      <iconSet iconSet="3Arrows">
        <cfvo type="percent" val="0"/>
        <cfvo type="num" val="0.7"/>
        <cfvo type="num" val="1"/>
      </iconSet>
    </cfRule>
  </conditionalFormatting>
  <conditionalFormatting sqref="Y2060 Y2062 Y2064 Y2066 Y2068">
    <cfRule type="dataBar" priority="2230">
      <dataBar>
        <cfvo type="num" val="0"/>
        <cfvo type="num" val="1"/>
        <color theme="4" tint="0.79998168889431442"/>
      </dataBar>
      <extLst>
        <ext xmlns:x14="http://schemas.microsoft.com/office/spreadsheetml/2009/9/main" uri="{B025F937-C7B1-47D3-B67F-A62EFF666E3E}">
          <x14:id>{979F25E0-3C59-44C3-9C25-CA3131546E9D}</x14:id>
        </ext>
      </extLst>
    </cfRule>
    <cfRule type="iconSet" priority="2229">
      <iconSet iconSet="3Arrows">
        <cfvo type="percent" val="0"/>
        <cfvo type="num" val="0.7"/>
        <cfvo type="num" val="1"/>
      </iconSet>
    </cfRule>
  </conditionalFormatting>
  <conditionalFormatting sqref="Y2070 Y2074 Y2072 Y2076">
    <cfRule type="dataBar" priority="2228">
      <dataBar>
        <cfvo type="num" val="0"/>
        <cfvo type="num" val="1"/>
        <color theme="4" tint="0.79998168889431442"/>
      </dataBar>
      <extLst>
        <ext xmlns:x14="http://schemas.microsoft.com/office/spreadsheetml/2009/9/main" uri="{B025F937-C7B1-47D3-B67F-A62EFF666E3E}">
          <x14:id>{E210125D-C03A-48ED-B08F-6F18CAF6D6FD}</x14:id>
        </ext>
      </extLst>
    </cfRule>
    <cfRule type="iconSet" priority="2227">
      <iconSet iconSet="3Arrows">
        <cfvo type="percent" val="0"/>
        <cfvo type="num" val="0.7"/>
        <cfvo type="num" val="1"/>
      </iconSet>
    </cfRule>
  </conditionalFormatting>
  <conditionalFormatting sqref="Y2078">
    <cfRule type="dataBar" priority="2226">
      <dataBar>
        <cfvo type="num" val="0"/>
        <cfvo type="num" val="1"/>
        <color theme="4" tint="0.79998168889431442"/>
      </dataBar>
      <extLst>
        <ext xmlns:x14="http://schemas.microsoft.com/office/spreadsheetml/2009/9/main" uri="{B025F937-C7B1-47D3-B67F-A62EFF666E3E}">
          <x14:id>{A4C9C397-FFE1-4329-89F3-7573FF0F4B4D}</x14:id>
        </ext>
      </extLst>
    </cfRule>
    <cfRule type="iconSet" priority="2225">
      <iconSet iconSet="3Arrows">
        <cfvo type="percent" val="0"/>
        <cfvo type="num" val="0.7"/>
        <cfvo type="num" val="1"/>
      </iconSet>
    </cfRule>
  </conditionalFormatting>
  <conditionalFormatting sqref="Y2080">
    <cfRule type="dataBar" priority="2224">
      <dataBar>
        <cfvo type="num" val="0"/>
        <cfvo type="num" val="1"/>
        <color theme="4" tint="0.79998168889431442"/>
      </dataBar>
      <extLst>
        <ext xmlns:x14="http://schemas.microsoft.com/office/spreadsheetml/2009/9/main" uri="{B025F937-C7B1-47D3-B67F-A62EFF666E3E}">
          <x14:id>{C98C88BE-AB67-4D95-BACE-2F457324A9CB}</x14:id>
        </ext>
      </extLst>
    </cfRule>
    <cfRule type="iconSet" priority="2223">
      <iconSet iconSet="3Arrows">
        <cfvo type="percent" val="0"/>
        <cfvo type="num" val="0.7"/>
        <cfvo type="num" val="1"/>
      </iconSet>
    </cfRule>
  </conditionalFormatting>
  <conditionalFormatting sqref="Y2084">
    <cfRule type="dataBar" priority="2222">
      <dataBar>
        <cfvo type="num" val="0"/>
        <cfvo type="num" val="1"/>
        <color theme="4" tint="0.79998168889431442"/>
      </dataBar>
      <extLst>
        <ext xmlns:x14="http://schemas.microsoft.com/office/spreadsheetml/2009/9/main" uri="{B025F937-C7B1-47D3-B67F-A62EFF666E3E}">
          <x14:id>{AA2D6E61-7269-448C-B957-4957C3712171}</x14:id>
        </ext>
      </extLst>
    </cfRule>
    <cfRule type="iconSet" priority="2221">
      <iconSet iconSet="3Arrows">
        <cfvo type="percent" val="0"/>
        <cfvo type="num" val="0.7"/>
        <cfvo type="num" val="1"/>
      </iconSet>
    </cfRule>
  </conditionalFormatting>
  <conditionalFormatting sqref="Y2086 Y2088">
    <cfRule type="dataBar" priority="2220">
      <dataBar>
        <cfvo type="num" val="0"/>
        <cfvo type="num" val="1"/>
        <color theme="4" tint="0.79998168889431442"/>
      </dataBar>
      <extLst>
        <ext xmlns:x14="http://schemas.microsoft.com/office/spreadsheetml/2009/9/main" uri="{B025F937-C7B1-47D3-B67F-A62EFF666E3E}">
          <x14:id>{8782ECB4-60AD-4548-AF41-BB830C2C15D1}</x14:id>
        </ext>
      </extLst>
    </cfRule>
    <cfRule type="iconSet" priority="2219">
      <iconSet iconSet="3Arrows">
        <cfvo type="percent" val="0"/>
        <cfvo type="num" val="0.7"/>
        <cfvo type="num" val="1"/>
      </iconSet>
    </cfRule>
  </conditionalFormatting>
  <conditionalFormatting sqref="Y2090">
    <cfRule type="dataBar" priority="2218">
      <dataBar>
        <cfvo type="num" val="0"/>
        <cfvo type="num" val="1"/>
        <color theme="4" tint="0.79998168889431442"/>
      </dataBar>
      <extLst>
        <ext xmlns:x14="http://schemas.microsoft.com/office/spreadsheetml/2009/9/main" uri="{B025F937-C7B1-47D3-B67F-A62EFF666E3E}">
          <x14:id>{0ADB046F-23F9-44C3-AE3F-7F45C169CD2A}</x14:id>
        </ext>
      </extLst>
    </cfRule>
    <cfRule type="iconSet" priority="2217">
      <iconSet iconSet="3Arrows">
        <cfvo type="percent" val="0"/>
        <cfvo type="num" val="0.7"/>
        <cfvo type="num" val="1"/>
      </iconSet>
    </cfRule>
  </conditionalFormatting>
  <conditionalFormatting sqref="Y2092 Y2094">
    <cfRule type="dataBar" priority="2216">
      <dataBar>
        <cfvo type="num" val="0"/>
        <cfvo type="num" val="1"/>
        <color theme="4" tint="0.79998168889431442"/>
      </dataBar>
      <extLst>
        <ext xmlns:x14="http://schemas.microsoft.com/office/spreadsheetml/2009/9/main" uri="{B025F937-C7B1-47D3-B67F-A62EFF666E3E}">
          <x14:id>{08624345-21D9-4F0D-814F-BD5E38F157BE}</x14:id>
        </ext>
      </extLst>
    </cfRule>
    <cfRule type="iconSet" priority="2215">
      <iconSet iconSet="3Arrows">
        <cfvo type="percent" val="0"/>
        <cfvo type="num" val="0.7"/>
        <cfvo type="num" val="1"/>
      </iconSet>
    </cfRule>
  </conditionalFormatting>
  <conditionalFormatting sqref="Y2096">
    <cfRule type="dataBar" priority="2214">
      <dataBar>
        <cfvo type="num" val="0"/>
        <cfvo type="num" val="1"/>
        <color theme="4" tint="0.79998168889431442"/>
      </dataBar>
      <extLst>
        <ext xmlns:x14="http://schemas.microsoft.com/office/spreadsheetml/2009/9/main" uri="{B025F937-C7B1-47D3-B67F-A62EFF666E3E}">
          <x14:id>{785B5768-9296-4DC2-9047-650B69878F17}</x14:id>
        </ext>
      </extLst>
    </cfRule>
    <cfRule type="iconSet" priority="2213">
      <iconSet iconSet="3Arrows">
        <cfvo type="percent" val="0"/>
        <cfvo type="num" val="0.7"/>
        <cfvo type="num" val="1"/>
      </iconSet>
    </cfRule>
  </conditionalFormatting>
  <conditionalFormatting sqref="Y2098">
    <cfRule type="dataBar" priority="2212">
      <dataBar>
        <cfvo type="num" val="0"/>
        <cfvo type="num" val="1"/>
        <color theme="4" tint="0.79998168889431442"/>
      </dataBar>
      <extLst>
        <ext xmlns:x14="http://schemas.microsoft.com/office/spreadsheetml/2009/9/main" uri="{B025F937-C7B1-47D3-B67F-A62EFF666E3E}">
          <x14:id>{25CB070D-35ED-458A-9249-CC0A0B37FD67}</x14:id>
        </ext>
      </extLst>
    </cfRule>
    <cfRule type="iconSet" priority="2211">
      <iconSet iconSet="3Arrows">
        <cfvo type="percent" val="0"/>
        <cfvo type="num" val="0.7"/>
        <cfvo type="num" val="1"/>
      </iconSet>
    </cfRule>
  </conditionalFormatting>
  <conditionalFormatting sqref="Y2100">
    <cfRule type="dataBar" priority="2210">
      <dataBar>
        <cfvo type="num" val="0"/>
        <cfvo type="num" val="1"/>
        <color theme="4" tint="0.79998168889431442"/>
      </dataBar>
      <extLst>
        <ext xmlns:x14="http://schemas.microsoft.com/office/spreadsheetml/2009/9/main" uri="{B025F937-C7B1-47D3-B67F-A62EFF666E3E}">
          <x14:id>{C186CE00-41AD-4BEE-B6F9-F9AE4447C96F}</x14:id>
        </ext>
      </extLst>
    </cfRule>
    <cfRule type="iconSet" priority="2209">
      <iconSet iconSet="3Arrows">
        <cfvo type="percent" val="0"/>
        <cfvo type="num" val="0.7"/>
        <cfvo type="num" val="1"/>
      </iconSet>
    </cfRule>
  </conditionalFormatting>
  <conditionalFormatting sqref="Y2102 Y2104">
    <cfRule type="dataBar" priority="2208">
      <dataBar>
        <cfvo type="num" val="0"/>
        <cfvo type="num" val="1"/>
        <color theme="4" tint="0.79998168889431442"/>
      </dataBar>
      <extLst>
        <ext xmlns:x14="http://schemas.microsoft.com/office/spreadsheetml/2009/9/main" uri="{B025F937-C7B1-47D3-B67F-A62EFF666E3E}">
          <x14:id>{D38E4348-87C7-4029-B425-F4E11388A4CF}</x14:id>
        </ext>
      </extLst>
    </cfRule>
    <cfRule type="iconSet" priority="2207">
      <iconSet iconSet="3Arrows">
        <cfvo type="percent" val="0"/>
        <cfvo type="num" val="0.7"/>
        <cfvo type="num" val="1"/>
      </iconSet>
    </cfRule>
  </conditionalFormatting>
  <conditionalFormatting sqref="Y2106">
    <cfRule type="dataBar" priority="2206">
      <dataBar>
        <cfvo type="num" val="0"/>
        <cfvo type="num" val="1"/>
        <color theme="4" tint="0.79998168889431442"/>
      </dataBar>
      <extLst>
        <ext xmlns:x14="http://schemas.microsoft.com/office/spreadsheetml/2009/9/main" uri="{B025F937-C7B1-47D3-B67F-A62EFF666E3E}">
          <x14:id>{D8D79C9F-D4BF-4F71-A78C-6848D2ACB7F0}</x14:id>
        </ext>
      </extLst>
    </cfRule>
    <cfRule type="iconSet" priority="2205">
      <iconSet iconSet="3Arrows">
        <cfvo type="percent" val="0"/>
        <cfvo type="num" val="0.7"/>
        <cfvo type="num" val="1"/>
      </iconSet>
    </cfRule>
  </conditionalFormatting>
  <conditionalFormatting sqref="Y2108">
    <cfRule type="dataBar" priority="2204">
      <dataBar>
        <cfvo type="num" val="0"/>
        <cfvo type="num" val="1"/>
        <color theme="4" tint="0.79998168889431442"/>
      </dataBar>
      <extLst>
        <ext xmlns:x14="http://schemas.microsoft.com/office/spreadsheetml/2009/9/main" uri="{B025F937-C7B1-47D3-B67F-A62EFF666E3E}">
          <x14:id>{BCB41C8B-2B31-4354-99A8-0F521AF9BE65}</x14:id>
        </ext>
      </extLst>
    </cfRule>
    <cfRule type="iconSet" priority="2203">
      <iconSet iconSet="3Arrows">
        <cfvo type="percent" val="0"/>
        <cfvo type="num" val="0.7"/>
        <cfvo type="num" val="1"/>
      </iconSet>
    </cfRule>
  </conditionalFormatting>
  <conditionalFormatting sqref="Y2110 Y2112">
    <cfRule type="dataBar" priority="2202">
      <dataBar>
        <cfvo type="num" val="0"/>
        <cfvo type="num" val="1"/>
        <color theme="4" tint="0.79998168889431442"/>
      </dataBar>
      <extLst>
        <ext xmlns:x14="http://schemas.microsoft.com/office/spreadsheetml/2009/9/main" uri="{B025F937-C7B1-47D3-B67F-A62EFF666E3E}">
          <x14:id>{2108D975-170E-4E0D-8812-6DEC5F851525}</x14:id>
        </ext>
      </extLst>
    </cfRule>
    <cfRule type="iconSet" priority="2201">
      <iconSet iconSet="3Arrows">
        <cfvo type="percent" val="0"/>
        <cfvo type="num" val="0.7"/>
        <cfvo type="num" val="1"/>
      </iconSet>
    </cfRule>
  </conditionalFormatting>
  <conditionalFormatting sqref="Y2114">
    <cfRule type="dataBar" priority="2200">
      <dataBar>
        <cfvo type="num" val="0"/>
        <cfvo type="num" val="1"/>
        <color theme="4" tint="0.79998168889431442"/>
      </dataBar>
      <extLst>
        <ext xmlns:x14="http://schemas.microsoft.com/office/spreadsheetml/2009/9/main" uri="{B025F937-C7B1-47D3-B67F-A62EFF666E3E}">
          <x14:id>{B3CCBEB6-9790-4B6C-9705-A8DCDFF9D951}</x14:id>
        </ext>
      </extLst>
    </cfRule>
    <cfRule type="iconSet" priority="2199">
      <iconSet iconSet="3Arrows">
        <cfvo type="percent" val="0"/>
        <cfvo type="num" val="0.7"/>
        <cfvo type="num" val="1"/>
      </iconSet>
    </cfRule>
  </conditionalFormatting>
  <conditionalFormatting sqref="Y2116">
    <cfRule type="dataBar" priority="2198">
      <dataBar>
        <cfvo type="num" val="0"/>
        <cfvo type="num" val="1"/>
        <color theme="4" tint="0.79998168889431442"/>
      </dataBar>
      <extLst>
        <ext xmlns:x14="http://schemas.microsoft.com/office/spreadsheetml/2009/9/main" uri="{B025F937-C7B1-47D3-B67F-A62EFF666E3E}">
          <x14:id>{E045E6F1-0B9F-4FF3-A763-261399D07E27}</x14:id>
        </ext>
      </extLst>
    </cfRule>
    <cfRule type="iconSet" priority="2197">
      <iconSet iconSet="3Arrows">
        <cfvo type="percent" val="0"/>
        <cfvo type="num" val="0.7"/>
        <cfvo type="num" val="1"/>
      </iconSet>
    </cfRule>
  </conditionalFormatting>
  <conditionalFormatting sqref="Y2118">
    <cfRule type="dataBar" priority="2196">
      <dataBar>
        <cfvo type="num" val="0"/>
        <cfvo type="num" val="1"/>
        <color theme="4" tint="0.79998168889431442"/>
      </dataBar>
      <extLst>
        <ext xmlns:x14="http://schemas.microsoft.com/office/spreadsheetml/2009/9/main" uri="{B025F937-C7B1-47D3-B67F-A62EFF666E3E}">
          <x14:id>{F610242A-80B5-4F8E-92EC-D9A2943B31AB}</x14:id>
        </ext>
      </extLst>
    </cfRule>
    <cfRule type="iconSet" priority="2195">
      <iconSet iconSet="3Arrows">
        <cfvo type="percent" val="0"/>
        <cfvo type="num" val="0.7"/>
        <cfvo type="num" val="1"/>
      </iconSet>
    </cfRule>
  </conditionalFormatting>
  <conditionalFormatting sqref="Y2120 Y2122">
    <cfRule type="dataBar" priority="2194">
      <dataBar>
        <cfvo type="num" val="0"/>
        <cfvo type="num" val="1"/>
        <color theme="4" tint="0.79998168889431442"/>
      </dataBar>
      <extLst>
        <ext xmlns:x14="http://schemas.microsoft.com/office/spreadsheetml/2009/9/main" uri="{B025F937-C7B1-47D3-B67F-A62EFF666E3E}">
          <x14:id>{217AEC5B-FC52-4648-A908-4A619FB4CD0E}</x14:id>
        </ext>
      </extLst>
    </cfRule>
    <cfRule type="iconSet" priority="2193">
      <iconSet iconSet="3Arrows">
        <cfvo type="percent" val="0"/>
        <cfvo type="num" val="0.7"/>
        <cfvo type="num" val="1"/>
      </iconSet>
    </cfRule>
  </conditionalFormatting>
  <conditionalFormatting sqref="Y2124">
    <cfRule type="dataBar" priority="2192">
      <dataBar>
        <cfvo type="num" val="0"/>
        <cfvo type="num" val="1"/>
        <color theme="4" tint="0.79998168889431442"/>
      </dataBar>
      <extLst>
        <ext xmlns:x14="http://schemas.microsoft.com/office/spreadsheetml/2009/9/main" uri="{B025F937-C7B1-47D3-B67F-A62EFF666E3E}">
          <x14:id>{51F810A9-5EA4-42B8-8356-DC22FBF66131}</x14:id>
        </ext>
      </extLst>
    </cfRule>
    <cfRule type="iconSet" priority="2191">
      <iconSet iconSet="3Arrows">
        <cfvo type="percent" val="0"/>
        <cfvo type="num" val="0.7"/>
        <cfvo type="num" val="1"/>
      </iconSet>
    </cfRule>
  </conditionalFormatting>
  <conditionalFormatting sqref="Y2127">
    <cfRule type="dataBar" priority="2190">
      <dataBar>
        <cfvo type="num" val="0"/>
        <cfvo type="num" val="1"/>
        <color theme="4" tint="0.79998168889431442"/>
      </dataBar>
      <extLst>
        <ext xmlns:x14="http://schemas.microsoft.com/office/spreadsheetml/2009/9/main" uri="{B025F937-C7B1-47D3-B67F-A62EFF666E3E}">
          <x14:id>{E17B89CB-FF74-4CD8-A0D7-BC76C5A606B2}</x14:id>
        </ext>
      </extLst>
    </cfRule>
    <cfRule type="iconSet" priority="2189">
      <iconSet iconSet="3Arrows">
        <cfvo type="percent" val="0"/>
        <cfvo type="num" val="0.7"/>
        <cfvo type="num" val="1"/>
      </iconSet>
    </cfRule>
  </conditionalFormatting>
  <conditionalFormatting sqref="Y2129 Y2131 Y2133">
    <cfRule type="dataBar" priority="2188">
      <dataBar>
        <cfvo type="num" val="0"/>
        <cfvo type="num" val="1"/>
        <color theme="4" tint="0.79998168889431442"/>
      </dataBar>
      <extLst>
        <ext xmlns:x14="http://schemas.microsoft.com/office/spreadsheetml/2009/9/main" uri="{B025F937-C7B1-47D3-B67F-A62EFF666E3E}">
          <x14:id>{DBBFC431-EDCD-4C09-9D1D-79EFF8B2350A}</x14:id>
        </ext>
      </extLst>
    </cfRule>
    <cfRule type="iconSet" priority="2187">
      <iconSet iconSet="3Arrows">
        <cfvo type="percent" val="0"/>
        <cfvo type="num" val="0.7"/>
        <cfvo type="num" val="1"/>
      </iconSet>
    </cfRule>
  </conditionalFormatting>
  <conditionalFormatting sqref="Y2135 Y2137 Y2139">
    <cfRule type="dataBar" priority="2186">
      <dataBar>
        <cfvo type="num" val="0"/>
        <cfvo type="num" val="1"/>
        <color theme="4" tint="0.79998168889431442"/>
      </dataBar>
      <extLst>
        <ext xmlns:x14="http://schemas.microsoft.com/office/spreadsheetml/2009/9/main" uri="{B025F937-C7B1-47D3-B67F-A62EFF666E3E}">
          <x14:id>{E0411CCC-3BE6-49D4-B8BC-0D8027AC66C0}</x14:id>
        </ext>
      </extLst>
    </cfRule>
    <cfRule type="iconSet" priority="2185">
      <iconSet iconSet="3Arrows">
        <cfvo type="percent" val="0"/>
        <cfvo type="num" val="0.7"/>
        <cfvo type="num" val="1"/>
      </iconSet>
    </cfRule>
  </conditionalFormatting>
  <conditionalFormatting sqref="Y2141 Y2143 Y2145">
    <cfRule type="dataBar" priority="2184">
      <dataBar>
        <cfvo type="num" val="0"/>
        <cfvo type="num" val="1"/>
        <color theme="4" tint="0.79998168889431442"/>
      </dataBar>
      <extLst>
        <ext xmlns:x14="http://schemas.microsoft.com/office/spreadsheetml/2009/9/main" uri="{B025F937-C7B1-47D3-B67F-A62EFF666E3E}">
          <x14:id>{5D4939BC-9D27-405B-8FCD-6EC6E0695A2C}</x14:id>
        </ext>
      </extLst>
    </cfRule>
    <cfRule type="iconSet" priority="2183">
      <iconSet iconSet="3Arrows">
        <cfvo type="percent" val="0"/>
        <cfvo type="num" val="0.7"/>
        <cfvo type="num" val="1"/>
      </iconSet>
    </cfRule>
  </conditionalFormatting>
  <conditionalFormatting sqref="Y2147 Y2149 Y2151">
    <cfRule type="dataBar" priority="2182">
      <dataBar>
        <cfvo type="num" val="0"/>
        <cfvo type="num" val="1"/>
        <color theme="4" tint="0.79998168889431442"/>
      </dataBar>
      <extLst>
        <ext xmlns:x14="http://schemas.microsoft.com/office/spreadsheetml/2009/9/main" uri="{B025F937-C7B1-47D3-B67F-A62EFF666E3E}">
          <x14:id>{3EB6E11D-6273-4417-9FE6-212EA153A86F}</x14:id>
        </ext>
      </extLst>
    </cfRule>
    <cfRule type="iconSet" priority="2181">
      <iconSet iconSet="3Arrows">
        <cfvo type="percent" val="0"/>
        <cfvo type="num" val="0.7"/>
        <cfvo type="num" val="1"/>
      </iconSet>
    </cfRule>
  </conditionalFormatting>
  <conditionalFormatting sqref="Y2153 Y2155 Y2157">
    <cfRule type="dataBar" priority="2180">
      <dataBar>
        <cfvo type="num" val="0"/>
        <cfvo type="num" val="1"/>
        <color theme="4" tint="0.79998168889431442"/>
      </dataBar>
      <extLst>
        <ext xmlns:x14="http://schemas.microsoft.com/office/spreadsheetml/2009/9/main" uri="{B025F937-C7B1-47D3-B67F-A62EFF666E3E}">
          <x14:id>{9BDBAB48-2F79-48E0-A584-65851CE3A5B8}</x14:id>
        </ext>
      </extLst>
    </cfRule>
    <cfRule type="iconSet" priority="2179">
      <iconSet iconSet="3Arrows">
        <cfvo type="percent" val="0"/>
        <cfvo type="num" val="0.7"/>
        <cfvo type="num" val="1"/>
      </iconSet>
    </cfRule>
  </conditionalFormatting>
  <conditionalFormatting sqref="Y2159 Y2161 Y2163">
    <cfRule type="iconSet" priority="2177">
      <iconSet iconSet="3Arrows">
        <cfvo type="percent" val="0"/>
        <cfvo type="num" val="0.7"/>
        <cfvo type="num" val="1"/>
      </iconSet>
    </cfRule>
    <cfRule type="dataBar" priority="2178">
      <dataBar>
        <cfvo type="num" val="0"/>
        <cfvo type="num" val="1"/>
        <color theme="4" tint="0.79998168889431442"/>
      </dataBar>
      <extLst>
        <ext xmlns:x14="http://schemas.microsoft.com/office/spreadsheetml/2009/9/main" uri="{B025F937-C7B1-47D3-B67F-A62EFF666E3E}">
          <x14:id>{EE0C84E1-BC9D-4111-B74D-AB257FB058CA}</x14:id>
        </ext>
      </extLst>
    </cfRule>
  </conditionalFormatting>
  <conditionalFormatting sqref="Y2165 Y2167">
    <cfRule type="iconSet" priority="2175">
      <iconSet iconSet="3Arrows">
        <cfvo type="percent" val="0"/>
        <cfvo type="num" val="0.7"/>
        <cfvo type="num" val="1"/>
      </iconSet>
    </cfRule>
    <cfRule type="dataBar" priority="2176">
      <dataBar>
        <cfvo type="num" val="0"/>
        <cfvo type="num" val="1"/>
        <color theme="4" tint="0.79998168889431442"/>
      </dataBar>
      <extLst>
        <ext xmlns:x14="http://schemas.microsoft.com/office/spreadsheetml/2009/9/main" uri="{B025F937-C7B1-47D3-B67F-A62EFF666E3E}">
          <x14:id>{0A757B74-B955-4BF8-ACC7-692A857D2CE6}</x14:id>
        </ext>
      </extLst>
    </cfRule>
  </conditionalFormatting>
  <conditionalFormatting sqref="Y2169 Y2171 Y2173">
    <cfRule type="iconSet" priority="2173">
      <iconSet iconSet="3Arrows">
        <cfvo type="percent" val="0"/>
        <cfvo type="num" val="0.7"/>
        <cfvo type="num" val="1"/>
      </iconSet>
    </cfRule>
    <cfRule type="dataBar" priority="2174">
      <dataBar>
        <cfvo type="num" val="0"/>
        <cfvo type="num" val="1"/>
        <color theme="4" tint="0.79998168889431442"/>
      </dataBar>
      <extLst>
        <ext xmlns:x14="http://schemas.microsoft.com/office/spreadsheetml/2009/9/main" uri="{B025F937-C7B1-47D3-B67F-A62EFF666E3E}">
          <x14:id>{64FAB2E0-D59E-42D7-B461-D51679C610F3}</x14:id>
        </ext>
      </extLst>
    </cfRule>
  </conditionalFormatting>
  <conditionalFormatting sqref="Y2175 Y2177 Y2179">
    <cfRule type="dataBar" priority="2172">
      <dataBar>
        <cfvo type="num" val="0"/>
        <cfvo type="num" val="1"/>
        <color theme="4" tint="0.79998168889431442"/>
      </dataBar>
      <extLst>
        <ext xmlns:x14="http://schemas.microsoft.com/office/spreadsheetml/2009/9/main" uri="{B025F937-C7B1-47D3-B67F-A62EFF666E3E}">
          <x14:id>{08D2D10B-0FB8-49EC-BA00-04D2BAF41443}</x14:id>
        </ext>
      </extLst>
    </cfRule>
    <cfRule type="iconSet" priority="2171">
      <iconSet iconSet="3Arrows">
        <cfvo type="percent" val="0"/>
        <cfvo type="num" val="0.7"/>
        <cfvo type="num" val="1"/>
      </iconSet>
    </cfRule>
  </conditionalFormatting>
  <conditionalFormatting sqref="Y2181 Y2183 Y2185">
    <cfRule type="iconSet" priority="2169">
      <iconSet iconSet="3Arrows">
        <cfvo type="percent" val="0"/>
        <cfvo type="num" val="0.7"/>
        <cfvo type="num" val="1"/>
      </iconSet>
    </cfRule>
    <cfRule type="dataBar" priority="2170">
      <dataBar>
        <cfvo type="num" val="0"/>
        <cfvo type="num" val="1"/>
        <color theme="4" tint="0.79998168889431442"/>
      </dataBar>
      <extLst>
        <ext xmlns:x14="http://schemas.microsoft.com/office/spreadsheetml/2009/9/main" uri="{B025F937-C7B1-47D3-B67F-A62EFF666E3E}">
          <x14:id>{660BA43A-690A-4063-8334-1EC133FC2DC0}</x14:id>
        </ext>
      </extLst>
    </cfRule>
  </conditionalFormatting>
  <conditionalFormatting sqref="Y2187 Y2189 Y2191">
    <cfRule type="dataBar" priority="2168">
      <dataBar>
        <cfvo type="num" val="0"/>
        <cfvo type="num" val="1"/>
        <color theme="4" tint="0.79998168889431442"/>
      </dataBar>
      <extLst>
        <ext xmlns:x14="http://schemas.microsoft.com/office/spreadsheetml/2009/9/main" uri="{B025F937-C7B1-47D3-B67F-A62EFF666E3E}">
          <x14:id>{6556F2CD-B66C-4D7A-B2FB-F285A17EAFEE}</x14:id>
        </ext>
      </extLst>
    </cfRule>
    <cfRule type="iconSet" priority="2167">
      <iconSet iconSet="3Arrows">
        <cfvo type="percent" val="0"/>
        <cfvo type="num" val="0.7"/>
        <cfvo type="num" val="1"/>
      </iconSet>
    </cfRule>
  </conditionalFormatting>
  <conditionalFormatting sqref="Y2193 Y2195 Y2197">
    <cfRule type="dataBar" priority="2166">
      <dataBar>
        <cfvo type="num" val="0"/>
        <cfvo type="num" val="1"/>
        <color theme="4" tint="0.79998168889431442"/>
      </dataBar>
      <extLst>
        <ext xmlns:x14="http://schemas.microsoft.com/office/spreadsheetml/2009/9/main" uri="{B025F937-C7B1-47D3-B67F-A62EFF666E3E}">
          <x14:id>{D6634B77-E47D-43D1-9D2E-EABF4E297B64}</x14:id>
        </ext>
      </extLst>
    </cfRule>
    <cfRule type="iconSet" priority="2165">
      <iconSet iconSet="3Arrows">
        <cfvo type="percent" val="0"/>
        <cfvo type="num" val="0.7"/>
        <cfvo type="num" val="1"/>
      </iconSet>
    </cfRule>
  </conditionalFormatting>
  <conditionalFormatting sqref="Y2199 Y2201 Y2203">
    <cfRule type="iconSet" priority="2163">
      <iconSet iconSet="3Arrows">
        <cfvo type="percent" val="0"/>
        <cfvo type="num" val="0.7"/>
        <cfvo type="num" val="1"/>
      </iconSet>
    </cfRule>
    <cfRule type="dataBar" priority="2164">
      <dataBar>
        <cfvo type="num" val="0"/>
        <cfvo type="num" val="1"/>
        <color theme="4" tint="0.79998168889431442"/>
      </dataBar>
      <extLst>
        <ext xmlns:x14="http://schemas.microsoft.com/office/spreadsheetml/2009/9/main" uri="{B025F937-C7B1-47D3-B67F-A62EFF666E3E}">
          <x14:id>{37B52CE2-14DB-4371-BB46-C02F1E27B7A8}</x14:id>
        </ext>
      </extLst>
    </cfRule>
  </conditionalFormatting>
  <conditionalFormatting sqref="Y2205 Y2209">
    <cfRule type="iconSet" priority="2161">
      <iconSet iconSet="3Arrows">
        <cfvo type="percent" val="0"/>
        <cfvo type="num" val="0.7"/>
        <cfvo type="num" val="1"/>
      </iconSet>
    </cfRule>
    <cfRule type="dataBar" priority="2162">
      <dataBar>
        <cfvo type="num" val="0"/>
        <cfvo type="num" val="1"/>
        <color theme="4" tint="0.79998168889431442"/>
      </dataBar>
      <extLst>
        <ext xmlns:x14="http://schemas.microsoft.com/office/spreadsheetml/2009/9/main" uri="{B025F937-C7B1-47D3-B67F-A62EFF666E3E}">
          <x14:id>{AD798D5D-1150-4561-9E52-FB39B9D920BE}</x14:id>
        </ext>
      </extLst>
    </cfRule>
  </conditionalFormatting>
  <conditionalFormatting sqref="Y2207">
    <cfRule type="dataBar" priority="2160">
      <dataBar>
        <cfvo type="num" val="0"/>
        <cfvo type="num" val="1"/>
        <color theme="4" tint="0.79998168889431442"/>
      </dataBar>
      <extLst>
        <ext xmlns:x14="http://schemas.microsoft.com/office/spreadsheetml/2009/9/main" uri="{B025F937-C7B1-47D3-B67F-A62EFF666E3E}">
          <x14:id>{978D301A-5CD1-4C59-828D-73BB1510C316}</x14:id>
        </ext>
      </extLst>
    </cfRule>
    <cfRule type="iconSet" priority="2159">
      <iconSet iconSet="3Arrows">
        <cfvo type="percent" val="0"/>
        <cfvo type="num" val="0.7"/>
        <cfvo type="num" val="1"/>
      </iconSet>
    </cfRule>
  </conditionalFormatting>
  <conditionalFormatting sqref="Y2213">
    <cfRule type="dataBar" priority="2158">
      <dataBar>
        <cfvo type="num" val="0"/>
        <cfvo type="num" val="1"/>
        <color theme="4" tint="0.79998168889431442"/>
      </dataBar>
      <extLst>
        <ext xmlns:x14="http://schemas.microsoft.com/office/spreadsheetml/2009/9/main" uri="{B025F937-C7B1-47D3-B67F-A62EFF666E3E}">
          <x14:id>{77F13AD9-23F4-4EFE-8EAA-B8DC69CBA3CA}</x14:id>
        </ext>
      </extLst>
    </cfRule>
    <cfRule type="iconSet" priority="2157">
      <iconSet iconSet="3Arrows">
        <cfvo type="percent" val="0"/>
        <cfvo type="num" val="0.7"/>
        <cfvo type="num" val="1"/>
      </iconSet>
    </cfRule>
  </conditionalFormatting>
  <conditionalFormatting sqref="Y2215 Y2217">
    <cfRule type="dataBar" priority="2156">
      <dataBar>
        <cfvo type="num" val="0"/>
        <cfvo type="num" val="1"/>
        <color theme="4" tint="0.79998168889431442"/>
      </dataBar>
      <extLst>
        <ext xmlns:x14="http://schemas.microsoft.com/office/spreadsheetml/2009/9/main" uri="{B025F937-C7B1-47D3-B67F-A62EFF666E3E}">
          <x14:id>{138FA75B-C23D-4E6D-9DD7-D26AD8EE5134}</x14:id>
        </ext>
      </extLst>
    </cfRule>
    <cfRule type="iconSet" priority="2155">
      <iconSet iconSet="3Arrows">
        <cfvo type="percent" val="0"/>
        <cfvo type="num" val="0.7"/>
        <cfvo type="num" val="1"/>
      </iconSet>
    </cfRule>
  </conditionalFormatting>
  <conditionalFormatting sqref="Y2219">
    <cfRule type="dataBar" priority="2154">
      <dataBar>
        <cfvo type="num" val="0"/>
        <cfvo type="num" val="1"/>
        <color theme="4" tint="0.79998168889431442"/>
      </dataBar>
      <extLst>
        <ext xmlns:x14="http://schemas.microsoft.com/office/spreadsheetml/2009/9/main" uri="{B025F937-C7B1-47D3-B67F-A62EFF666E3E}">
          <x14:id>{0F0E10A3-69AC-4267-AD26-77CA84991094}</x14:id>
        </ext>
      </extLst>
    </cfRule>
    <cfRule type="iconSet" priority="2153">
      <iconSet iconSet="3Arrows">
        <cfvo type="percent" val="0"/>
        <cfvo type="num" val="0.7"/>
        <cfvo type="num" val="1"/>
      </iconSet>
    </cfRule>
  </conditionalFormatting>
  <conditionalFormatting sqref="Y2221 Y2223 Y2225">
    <cfRule type="iconSet" priority="2151">
      <iconSet iconSet="3Arrows">
        <cfvo type="percent" val="0"/>
        <cfvo type="num" val="0.7"/>
        <cfvo type="num" val="1"/>
      </iconSet>
    </cfRule>
    <cfRule type="dataBar" priority="2152">
      <dataBar>
        <cfvo type="num" val="0"/>
        <cfvo type="num" val="1"/>
        <color theme="4" tint="0.79998168889431442"/>
      </dataBar>
      <extLst>
        <ext xmlns:x14="http://schemas.microsoft.com/office/spreadsheetml/2009/9/main" uri="{B025F937-C7B1-47D3-B67F-A62EFF666E3E}">
          <x14:id>{8C9DAEC1-4A1B-4CE6-AC31-1224FB0702A7}</x14:id>
        </ext>
      </extLst>
    </cfRule>
  </conditionalFormatting>
  <conditionalFormatting sqref="Y2227 Y2229">
    <cfRule type="dataBar" priority="2150">
      <dataBar>
        <cfvo type="num" val="0"/>
        <cfvo type="num" val="1"/>
        <color theme="4" tint="0.79998168889431442"/>
      </dataBar>
      <extLst>
        <ext xmlns:x14="http://schemas.microsoft.com/office/spreadsheetml/2009/9/main" uri="{B025F937-C7B1-47D3-B67F-A62EFF666E3E}">
          <x14:id>{836936CB-4E6F-41FF-924F-8D9FA0E0D5A8}</x14:id>
        </ext>
      </extLst>
    </cfRule>
    <cfRule type="iconSet" priority="2149">
      <iconSet iconSet="3Arrows">
        <cfvo type="percent" val="0"/>
        <cfvo type="num" val="0.7"/>
        <cfvo type="num" val="1"/>
      </iconSet>
    </cfRule>
  </conditionalFormatting>
  <conditionalFormatting sqref="Y2231">
    <cfRule type="iconSet" priority="2147">
      <iconSet iconSet="3Arrows">
        <cfvo type="percent" val="0"/>
        <cfvo type="num" val="0.7"/>
        <cfvo type="num" val="1"/>
      </iconSet>
    </cfRule>
    <cfRule type="dataBar" priority="2148">
      <dataBar>
        <cfvo type="num" val="0"/>
        <cfvo type="num" val="1"/>
        <color theme="4" tint="0.79998168889431442"/>
      </dataBar>
      <extLst>
        <ext xmlns:x14="http://schemas.microsoft.com/office/spreadsheetml/2009/9/main" uri="{B025F937-C7B1-47D3-B67F-A62EFF666E3E}">
          <x14:id>{48B560EB-C17C-4F7F-B4B9-17C271E8C36A}</x14:id>
        </ext>
      </extLst>
    </cfRule>
  </conditionalFormatting>
  <conditionalFormatting sqref="Y2233 Y2235 Y2237">
    <cfRule type="dataBar" priority="2146">
      <dataBar>
        <cfvo type="num" val="0"/>
        <cfvo type="num" val="1"/>
        <color theme="4" tint="0.79998168889431442"/>
      </dataBar>
      <extLst>
        <ext xmlns:x14="http://schemas.microsoft.com/office/spreadsheetml/2009/9/main" uri="{B025F937-C7B1-47D3-B67F-A62EFF666E3E}">
          <x14:id>{DE049E97-F066-4E9B-9979-1C908EA1DE5B}</x14:id>
        </ext>
      </extLst>
    </cfRule>
    <cfRule type="iconSet" priority="2145">
      <iconSet iconSet="3Arrows">
        <cfvo type="percent" val="0"/>
        <cfvo type="num" val="0.7"/>
        <cfvo type="num" val="1"/>
      </iconSet>
    </cfRule>
  </conditionalFormatting>
  <conditionalFormatting sqref="Y2239">
    <cfRule type="dataBar" priority="2144">
      <dataBar>
        <cfvo type="num" val="0"/>
        <cfvo type="num" val="1"/>
        <color theme="4" tint="0.79998168889431442"/>
      </dataBar>
      <extLst>
        <ext xmlns:x14="http://schemas.microsoft.com/office/spreadsheetml/2009/9/main" uri="{B025F937-C7B1-47D3-B67F-A62EFF666E3E}">
          <x14:id>{0335CC71-CBD1-4FE9-8DD4-4F6D4CC1A507}</x14:id>
        </ext>
      </extLst>
    </cfRule>
    <cfRule type="iconSet" priority="2143">
      <iconSet iconSet="3Arrows">
        <cfvo type="percent" val="0"/>
        <cfvo type="num" val="0.7"/>
        <cfvo type="num" val="1"/>
      </iconSet>
    </cfRule>
  </conditionalFormatting>
  <conditionalFormatting sqref="Y2241">
    <cfRule type="dataBar" priority="2142">
      <dataBar>
        <cfvo type="num" val="0"/>
        <cfvo type="num" val="1"/>
        <color theme="4" tint="0.79998168889431442"/>
      </dataBar>
      <extLst>
        <ext xmlns:x14="http://schemas.microsoft.com/office/spreadsheetml/2009/9/main" uri="{B025F937-C7B1-47D3-B67F-A62EFF666E3E}">
          <x14:id>{7D08D50C-D3EF-414F-A788-D72E601E0DE4}</x14:id>
        </ext>
      </extLst>
    </cfRule>
    <cfRule type="iconSet" priority="2141">
      <iconSet iconSet="3Arrows">
        <cfvo type="percent" val="0"/>
        <cfvo type="num" val="0.7"/>
        <cfvo type="num" val="1"/>
      </iconSet>
    </cfRule>
  </conditionalFormatting>
  <conditionalFormatting sqref="Y2243">
    <cfRule type="dataBar" priority="2140">
      <dataBar>
        <cfvo type="num" val="0"/>
        <cfvo type="num" val="1"/>
        <color theme="4" tint="0.79998168889431442"/>
      </dataBar>
      <extLst>
        <ext xmlns:x14="http://schemas.microsoft.com/office/spreadsheetml/2009/9/main" uri="{B025F937-C7B1-47D3-B67F-A62EFF666E3E}">
          <x14:id>{B520A7AF-05AF-4DBE-A9EF-07DCB95DDCDF}</x14:id>
        </ext>
      </extLst>
    </cfRule>
    <cfRule type="iconSet" priority="2139">
      <iconSet iconSet="3Arrows">
        <cfvo type="percent" val="0"/>
        <cfvo type="num" val="0.7"/>
        <cfvo type="num" val="1"/>
      </iconSet>
    </cfRule>
  </conditionalFormatting>
  <conditionalFormatting sqref="Y2245">
    <cfRule type="iconSet" priority="2137">
      <iconSet iconSet="3Arrows">
        <cfvo type="percent" val="0"/>
        <cfvo type="num" val="0.7"/>
        <cfvo type="num" val="1"/>
      </iconSet>
    </cfRule>
    <cfRule type="dataBar" priority="2138">
      <dataBar>
        <cfvo type="num" val="0"/>
        <cfvo type="num" val="1"/>
        <color theme="4" tint="0.79998168889431442"/>
      </dataBar>
      <extLst>
        <ext xmlns:x14="http://schemas.microsoft.com/office/spreadsheetml/2009/9/main" uri="{B025F937-C7B1-47D3-B67F-A62EFF666E3E}">
          <x14:id>{6AD1672F-9EED-40D0-8BC9-134F725333E1}</x14:id>
        </ext>
      </extLst>
    </cfRule>
  </conditionalFormatting>
  <conditionalFormatting sqref="Y2247">
    <cfRule type="dataBar" priority="2136">
      <dataBar>
        <cfvo type="num" val="0"/>
        <cfvo type="num" val="1"/>
        <color theme="4" tint="0.79998168889431442"/>
      </dataBar>
      <extLst>
        <ext xmlns:x14="http://schemas.microsoft.com/office/spreadsheetml/2009/9/main" uri="{B025F937-C7B1-47D3-B67F-A62EFF666E3E}">
          <x14:id>{7A62AB9A-6B1A-4BD5-A693-9E759EC87CB1}</x14:id>
        </ext>
      </extLst>
    </cfRule>
    <cfRule type="iconSet" priority="2135">
      <iconSet iconSet="3Arrows">
        <cfvo type="percent" val="0"/>
        <cfvo type="num" val="0.7"/>
        <cfvo type="num" val="1"/>
      </iconSet>
    </cfRule>
  </conditionalFormatting>
  <conditionalFormatting sqref="Y2249">
    <cfRule type="iconSet" priority="2133">
      <iconSet iconSet="3Arrows">
        <cfvo type="percent" val="0"/>
        <cfvo type="num" val="0.7"/>
        <cfvo type="num" val="1"/>
      </iconSet>
    </cfRule>
    <cfRule type="dataBar" priority="2134">
      <dataBar>
        <cfvo type="num" val="0"/>
        <cfvo type="num" val="1"/>
        <color theme="4" tint="0.79998168889431442"/>
      </dataBar>
      <extLst>
        <ext xmlns:x14="http://schemas.microsoft.com/office/spreadsheetml/2009/9/main" uri="{B025F937-C7B1-47D3-B67F-A62EFF666E3E}">
          <x14:id>{5A344508-4382-438E-95FB-DDC16BCC71D1}</x14:id>
        </ext>
      </extLst>
    </cfRule>
  </conditionalFormatting>
  <conditionalFormatting sqref="Y2251">
    <cfRule type="dataBar" priority="2132">
      <dataBar>
        <cfvo type="num" val="0"/>
        <cfvo type="num" val="1"/>
        <color theme="4" tint="0.79998168889431442"/>
      </dataBar>
      <extLst>
        <ext xmlns:x14="http://schemas.microsoft.com/office/spreadsheetml/2009/9/main" uri="{B025F937-C7B1-47D3-B67F-A62EFF666E3E}">
          <x14:id>{2F9CABCB-A9A1-4FC0-9DA2-379FBAED4854}</x14:id>
        </ext>
      </extLst>
    </cfRule>
    <cfRule type="iconSet" priority="2131">
      <iconSet iconSet="3Arrows">
        <cfvo type="percent" val="0"/>
        <cfvo type="num" val="0.7"/>
        <cfvo type="num" val="1"/>
      </iconSet>
    </cfRule>
  </conditionalFormatting>
  <conditionalFormatting sqref="Y2253">
    <cfRule type="dataBar" priority="2130">
      <dataBar>
        <cfvo type="num" val="0"/>
        <cfvo type="num" val="1"/>
        <color theme="4" tint="0.79998168889431442"/>
      </dataBar>
      <extLst>
        <ext xmlns:x14="http://schemas.microsoft.com/office/spreadsheetml/2009/9/main" uri="{B025F937-C7B1-47D3-B67F-A62EFF666E3E}">
          <x14:id>{648FAF6B-F4C1-48E3-8701-CD6E588C8340}</x14:id>
        </ext>
      </extLst>
    </cfRule>
    <cfRule type="iconSet" priority="2129">
      <iconSet iconSet="3Arrows">
        <cfvo type="percent" val="0"/>
        <cfvo type="num" val="0.7"/>
        <cfvo type="num" val="1"/>
      </iconSet>
    </cfRule>
  </conditionalFormatting>
  <conditionalFormatting sqref="Y2255">
    <cfRule type="dataBar" priority="2128">
      <dataBar>
        <cfvo type="num" val="0"/>
        <cfvo type="num" val="1"/>
        <color theme="4" tint="0.79998168889431442"/>
      </dataBar>
      <extLst>
        <ext xmlns:x14="http://schemas.microsoft.com/office/spreadsheetml/2009/9/main" uri="{B025F937-C7B1-47D3-B67F-A62EFF666E3E}">
          <x14:id>{D45CA876-3828-4556-B09E-2358AC60C527}</x14:id>
        </ext>
      </extLst>
    </cfRule>
    <cfRule type="iconSet" priority="2127">
      <iconSet iconSet="3Arrows">
        <cfvo type="percent" val="0"/>
        <cfvo type="num" val="0.7"/>
        <cfvo type="num" val="1"/>
      </iconSet>
    </cfRule>
  </conditionalFormatting>
  <conditionalFormatting sqref="Y2257">
    <cfRule type="dataBar" priority="2126">
      <dataBar>
        <cfvo type="num" val="0"/>
        <cfvo type="num" val="1"/>
        <color theme="4" tint="0.79998168889431442"/>
      </dataBar>
      <extLst>
        <ext xmlns:x14="http://schemas.microsoft.com/office/spreadsheetml/2009/9/main" uri="{B025F937-C7B1-47D3-B67F-A62EFF666E3E}">
          <x14:id>{5C7A151A-BDCC-4EF9-9258-616F405E723F}</x14:id>
        </ext>
      </extLst>
    </cfRule>
    <cfRule type="iconSet" priority="2125">
      <iconSet iconSet="3Arrows">
        <cfvo type="percent" val="0"/>
        <cfvo type="num" val="0.7"/>
        <cfvo type="num" val="1"/>
      </iconSet>
    </cfRule>
  </conditionalFormatting>
  <conditionalFormatting sqref="Y2259">
    <cfRule type="dataBar" priority="2124">
      <dataBar>
        <cfvo type="num" val="0"/>
        <cfvo type="num" val="1"/>
        <color theme="4" tint="0.79998168889431442"/>
      </dataBar>
      <extLst>
        <ext xmlns:x14="http://schemas.microsoft.com/office/spreadsheetml/2009/9/main" uri="{B025F937-C7B1-47D3-B67F-A62EFF666E3E}">
          <x14:id>{E24D1DA5-9E49-4865-9366-84C40AAC7792}</x14:id>
        </ext>
      </extLst>
    </cfRule>
    <cfRule type="iconSet" priority="2123">
      <iconSet iconSet="3Arrows">
        <cfvo type="percent" val="0"/>
        <cfvo type="num" val="0.7"/>
        <cfvo type="num" val="1"/>
      </iconSet>
    </cfRule>
  </conditionalFormatting>
  <conditionalFormatting sqref="Y2261">
    <cfRule type="dataBar" priority="2122">
      <dataBar>
        <cfvo type="num" val="0"/>
        <cfvo type="num" val="1"/>
        <color theme="4" tint="0.79998168889431442"/>
      </dataBar>
      <extLst>
        <ext xmlns:x14="http://schemas.microsoft.com/office/spreadsheetml/2009/9/main" uri="{B025F937-C7B1-47D3-B67F-A62EFF666E3E}">
          <x14:id>{5299AC93-BEA9-414B-930A-6952F949CBBE}</x14:id>
        </ext>
      </extLst>
    </cfRule>
    <cfRule type="iconSet" priority="2121">
      <iconSet iconSet="3Arrows">
        <cfvo type="percent" val="0"/>
        <cfvo type="num" val="0.7"/>
        <cfvo type="num" val="1"/>
      </iconSet>
    </cfRule>
  </conditionalFormatting>
  <conditionalFormatting sqref="Y2263 Y2265">
    <cfRule type="dataBar" priority="2120">
      <dataBar>
        <cfvo type="num" val="0"/>
        <cfvo type="num" val="1"/>
        <color theme="4" tint="0.79998168889431442"/>
      </dataBar>
      <extLst>
        <ext xmlns:x14="http://schemas.microsoft.com/office/spreadsheetml/2009/9/main" uri="{B025F937-C7B1-47D3-B67F-A62EFF666E3E}">
          <x14:id>{41532AD0-D440-4A6E-AF85-303A52D3C89C}</x14:id>
        </ext>
      </extLst>
    </cfRule>
    <cfRule type="iconSet" priority="2119">
      <iconSet iconSet="3Arrows">
        <cfvo type="percent" val="0"/>
        <cfvo type="num" val="0.7"/>
        <cfvo type="num" val="1"/>
      </iconSet>
    </cfRule>
  </conditionalFormatting>
  <conditionalFormatting sqref="Y2267">
    <cfRule type="iconSet" priority="2117">
      <iconSet iconSet="3Arrows">
        <cfvo type="percent" val="0"/>
        <cfvo type="num" val="0.7"/>
        <cfvo type="num" val="1"/>
      </iconSet>
    </cfRule>
    <cfRule type="dataBar" priority="2118">
      <dataBar>
        <cfvo type="num" val="0"/>
        <cfvo type="num" val="1"/>
        <color theme="4" tint="0.79998168889431442"/>
      </dataBar>
      <extLst>
        <ext xmlns:x14="http://schemas.microsoft.com/office/spreadsheetml/2009/9/main" uri="{B025F937-C7B1-47D3-B67F-A62EFF666E3E}">
          <x14:id>{3253EECC-AA71-4759-959E-984F985AC682}</x14:id>
        </ext>
      </extLst>
    </cfRule>
  </conditionalFormatting>
  <conditionalFormatting sqref="Y2269 Y2271">
    <cfRule type="iconSet" priority="2115">
      <iconSet iconSet="3Arrows">
        <cfvo type="percent" val="0"/>
        <cfvo type="num" val="0.7"/>
        <cfvo type="num" val="1"/>
      </iconSet>
    </cfRule>
    <cfRule type="dataBar" priority="2116">
      <dataBar>
        <cfvo type="num" val="0"/>
        <cfvo type="num" val="1"/>
        <color theme="4" tint="0.79998168889431442"/>
      </dataBar>
      <extLst>
        <ext xmlns:x14="http://schemas.microsoft.com/office/spreadsheetml/2009/9/main" uri="{B025F937-C7B1-47D3-B67F-A62EFF666E3E}">
          <x14:id>{A4FB41F4-4136-406E-8B60-A0CD813F152F}</x14:id>
        </ext>
      </extLst>
    </cfRule>
  </conditionalFormatting>
  <conditionalFormatting sqref="Y2273 Y2275">
    <cfRule type="dataBar" priority="2114">
      <dataBar>
        <cfvo type="num" val="0"/>
        <cfvo type="num" val="1"/>
        <color theme="4" tint="0.79998168889431442"/>
      </dataBar>
      <extLst>
        <ext xmlns:x14="http://schemas.microsoft.com/office/spreadsheetml/2009/9/main" uri="{B025F937-C7B1-47D3-B67F-A62EFF666E3E}">
          <x14:id>{373CAF2D-1EC8-4A0F-8DEE-C9D02C2AAE8E}</x14:id>
        </ext>
      </extLst>
    </cfRule>
    <cfRule type="iconSet" priority="2113">
      <iconSet iconSet="3Arrows">
        <cfvo type="percent" val="0"/>
        <cfvo type="num" val="0.7"/>
        <cfvo type="num" val="1"/>
      </iconSet>
    </cfRule>
  </conditionalFormatting>
  <conditionalFormatting sqref="Y2277">
    <cfRule type="iconSet" priority="2111">
      <iconSet iconSet="3Arrows">
        <cfvo type="percent" val="0"/>
        <cfvo type="num" val="0.7"/>
        <cfvo type="num" val="1"/>
      </iconSet>
    </cfRule>
    <cfRule type="dataBar" priority="2112">
      <dataBar>
        <cfvo type="num" val="0"/>
        <cfvo type="num" val="1"/>
        <color theme="4" tint="0.79998168889431442"/>
      </dataBar>
      <extLst>
        <ext xmlns:x14="http://schemas.microsoft.com/office/spreadsheetml/2009/9/main" uri="{B025F937-C7B1-47D3-B67F-A62EFF666E3E}">
          <x14:id>{50BA4CA2-566A-4D38-801C-B12CE5BC3668}</x14:id>
        </ext>
      </extLst>
    </cfRule>
  </conditionalFormatting>
  <conditionalFormatting sqref="Y2279">
    <cfRule type="iconSet" priority="2109">
      <iconSet iconSet="3Arrows">
        <cfvo type="percent" val="0"/>
        <cfvo type="num" val="0.7"/>
        <cfvo type="num" val="1"/>
      </iconSet>
    </cfRule>
    <cfRule type="dataBar" priority="2110">
      <dataBar>
        <cfvo type="num" val="0"/>
        <cfvo type="num" val="1"/>
        <color theme="4" tint="0.79998168889431442"/>
      </dataBar>
      <extLst>
        <ext xmlns:x14="http://schemas.microsoft.com/office/spreadsheetml/2009/9/main" uri="{B025F937-C7B1-47D3-B67F-A62EFF666E3E}">
          <x14:id>{D01144CC-CD07-48B5-A64E-3272BF870760}</x14:id>
        </ext>
      </extLst>
    </cfRule>
  </conditionalFormatting>
  <conditionalFormatting sqref="Y2281">
    <cfRule type="iconSet" priority="2107">
      <iconSet iconSet="3Arrows">
        <cfvo type="percent" val="0"/>
        <cfvo type="num" val="0.7"/>
        <cfvo type="num" val="1"/>
      </iconSet>
    </cfRule>
    <cfRule type="dataBar" priority="2108">
      <dataBar>
        <cfvo type="num" val="0"/>
        <cfvo type="num" val="1"/>
        <color theme="4" tint="0.79998168889431442"/>
      </dataBar>
      <extLst>
        <ext xmlns:x14="http://schemas.microsoft.com/office/spreadsheetml/2009/9/main" uri="{B025F937-C7B1-47D3-B67F-A62EFF666E3E}">
          <x14:id>{6E094A37-87A6-41E7-A1B4-BB43C1BAAAD1}</x14:id>
        </ext>
      </extLst>
    </cfRule>
  </conditionalFormatting>
  <conditionalFormatting sqref="Y2283">
    <cfRule type="iconSet" priority="2105">
      <iconSet iconSet="3Arrows">
        <cfvo type="percent" val="0"/>
        <cfvo type="num" val="0.7"/>
        <cfvo type="num" val="1"/>
      </iconSet>
    </cfRule>
    <cfRule type="dataBar" priority="2106">
      <dataBar>
        <cfvo type="num" val="0"/>
        <cfvo type="num" val="1"/>
        <color theme="4" tint="0.79998168889431442"/>
      </dataBar>
      <extLst>
        <ext xmlns:x14="http://schemas.microsoft.com/office/spreadsheetml/2009/9/main" uri="{B025F937-C7B1-47D3-B67F-A62EFF666E3E}">
          <x14:id>{1DF088C6-15B4-4C04-AD65-896A5BA060AF}</x14:id>
        </ext>
      </extLst>
    </cfRule>
  </conditionalFormatting>
  <conditionalFormatting sqref="Y2285">
    <cfRule type="dataBar" priority="2104">
      <dataBar>
        <cfvo type="num" val="0"/>
        <cfvo type="num" val="1"/>
        <color theme="4" tint="0.79998168889431442"/>
      </dataBar>
      <extLst>
        <ext xmlns:x14="http://schemas.microsoft.com/office/spreadsheetml/2009/9/main" uri="{B025F937-C7B1-47D3-B67F-A62EFF666E3E}">
          <x14:id>{A0E849DE-2AF7-4BA9-B7CC-4A4E7A685892}</x14:id>
        </ext>
      </extLst>
    </cfRule>
    <cfRule type="iconSet" priority="2103">
      <iconSet iconSet="3Arrows">
        <cfvo type="percent" val="0"/>
        <cfvo type="num" val="0.7"/>
        <cfvo type="num" val="1"/>
      </iconSet>
    </cfRule>
  </conditionalFormatting>
  <conditionalFormatting sqref="Y2287">
    <cfRule type="dataBar" priority="2102">
      <dataBar>
        <cfvo type="num" val="0"/>
        <cfvo type="num" val="1"/>
        <color theme="4" tint="0.79998168889431442"/>
      </dataBar>
      <extLst>
        <ext xmlns:x14="http://schemas.microsoft.com/office/spreadsheetml/2009/9/main" uri="{B025F937-C7B1-47D3-B67F-A62EFF666E3E}">
          <x14:id>{22436878-5DEB-438D-8601-6D1DC5285879}</x14:id>
        </ext>
      </extLst>
    </cfRule>
    <cfRule type="iconSet" priority="2101">
      <iconSet iconSet="3Arrows">
        <cfvo type="percent" val="0"/>
        <cfvo type="num" val="0.7"/>
        <cfvo type="num" val="1"/>
      </iconSet>
    </cfRule>
  </conditionalFormatting>
  <conditionalFormatting sqref="Y2291">
    <cfRule type="dataBar" priority="2100">
      <dataBar>
        <cfvo type="num" val="0"/>
        <cfvo type="num" val="1"/>
        <color theme="4" tint="0.79998168889431442"/>
      </dataBar>
      <extLst>
        <ext xmlns:x14="http://schemas.microsoft.com/office/spreadsheetml/2009/9/main" uri="{B025F937-C7B1-47D3-B67F-A62EFF666E3E}">
          <x14:id>{FD417E23-0F92-4EBC-8BA3-32A1182E8735}</x14:id>
        </ext>
      </extLst>
    </cfRule>
    <cfRule type="iconSet" priority="2099">
      <iconSet iconSet="3Arrows">
        <cfvo type="percent" val="0"/>
        <cfvo type="num" val="0.7"/>
        <cfvo type="num" val="1"/>
      </iconSet>
    </cfRule>
  </conditionalFormatting>
  <conditionalFormatting sqref="Y2295">
    <cfRule type="dataBar" priority="2098">
      <dataBar>
        <cfvo type="num" val="0"/>
        <cfvo type="num" val="1"/>
        <color theme="4" tint="0.79998168889431442"/>
      </dataBar>
      <extLst>
        <ext xmlns:x14="http://schemas.microsoft.com/office/spreadsheetml/2009/9/main" uri="{B025F937-C7B1-47D3-B67F-A62EFF666E3E}">
          <x14:id>{B404ECD3-2D61-4D08-BCE4-1E7EE3ACDC1A}</x14:id>
        </ext>
      </extLst>
    </cfRule>
    <cfRule type="iconSet" priority="2097">
      <iconSet iconSet="3Arrows">
        <cfvo type="percent" val="0"/>
        <cfvo type="num" val="0.7"/>
        <cfvo type="num" val="1"/>
      </iconSet>
    </cfRule>
  </conditionalFormatting>
  <conditionalFormatting sqref="Y2297 Y2301">
    <cfRule type="dataBar" priority="2096">
      <dataBar>
        <cfvo type="num" val="0"/>
        <cfvo type="num" val="1"/>
        <color theme="4" tint="0.79998168889431442"/>
      </dataBar>
      <extLst>
        <ext xmlns:x14="http://schemas.microsoft.com/office/spreadsheetml/2009/9/main" uri="{B025F937-C7B1-47D3-B67F-A62EFF666E3E}">
          <x14:id>{699CF576-2C50-4DC8-A714-41F4D54BB94D}</x14:id>
        </ext>
      </extLst>
    </cfRule>
    <cfRule type="iconSet" priority="2095">
      <iconSet iconSet="3Arrows">
        <cfvo type="percent" val="0"/>
        <cfvo type="num" val="0.7"/>
        <cfvo type="num" val="1"/>
      </iconSet>
    </cfRule>
  </conditionalFormatting>
  <conditionalFormatting sqref="Y2299">
    <cfRule type="dataBar" priority="2094">
      <dataBar>
        <cfvo type="num" val="0"/>
        <cfvo type="num" val="1"/>
        <color theme="4" tint="0.79998168889431442"/>
      </dataBar>
      <extLst>
        <ext xmlns:x14="http://schemas.microsoft.com/office/spreadsheetml/2009/9/main" uri="{B025F937-C7B1-47D3-B67F-A62EFF666E3E}">
          <x14:id>{62C2FEE7-DEDF-4BA0-8530-A1CD5215CDEE}</x14:id>
        </ext>
      </extLst>
    </cfRule>
    <cfRule type="iconSet" priority="2093">
      <iconSet iconSet="3Arrows">
        <cfvo type="percent" val="0"/>
        <cfvo type="num" val="0.7"/>
        <cfvo type="num" val="1"/>
      </iconSet>
    </cfRule>
  </conditionalFormatting>
  <conditionalFormatting sqref="Y2303">
    <cfRule type="iconSet" priority="2091">
      <iconSet iconSet="3Arrows">
        <cfvo type="percent" val="0"/>
        <cfvo type="num" val="0.7"/>
        <cfvo type="num" val="1"/>
      </iconSet>
    </cfRule>
    <cfRule type="dataBar" priority="2092">
      <dataBar>
        <cfvo type="num" val="0"/>
        <cfvo type="num" val="1"/>
        <color theme="4" tint="0.79998168889431442"/>
      </dataBar>
      <extLst>
        <ext xmlns:x14="http://schemas.microsoft.com/office/spreadsheetml/2009/9/main" uri="{B025F937-C7B1-47D3-B67F-A62EFF666E3E}">
          <x14:id>{E53CDD45-14D4-4E69-9709-BEDA602FA765}</x14:id>
        </ext>
      </extLst>
    </cfRule>
  </conditionalFormatting>
  <conditionalFormatting sqref="Y2305">
    <cfRule type="iconSet" priority="2089">
      <iconSet iconSet="3Arrows">
        <cfvo type="percent" val="0"/>
        <cfvo type="num" val="0.7"/>
        <cfvo type="num" val="1"/>
      </iconSet>
    </cfRule>
    <cfRule type="dataBar" priority="2090">
      <dataBar>
        <cfvo type="num" val="0"/>
        <cfvo type="num" val="1"/>
        <color theme="4" tint="0.79998168889431442"/>
      </dataBar>
      <extLst>
        <ext xmlns:x14="http://schemas.microsoft.com/office/spreadsheetml/2009/9/main" uri="{B025F937-C7B1-47D3-B67F-A62EFF666E3E}">
          <x14:id>{8AAF5450-5AD1-4987-BDE1-AA562CD39867}</x14:id>
        </ext>
      </extLst>
    </cfRule>
  </conditionalFormatting>
  <conditionalFormatting sqref="Y2307 Y2309">
    <cfRule type="dataBar" priority="2088">
      <dataBar>
        <cfvo type="num" val="0"/>
        <cfvo type="num" val="1"/>
        <color theme="4" tint="0.79998168889431442"/>
      </dataBar>
      <extLst>
        <ext xmlns:x14="http://schemas.microsoft.com/office/spreadsheetml/2009/9/main" uri="{B025F937-C7B1-47D3-B67F-A62EFF666E3E}">
          <x14:id>{9007010B-3706-42A8-A483-5147C78EBCF9}</x14:id>
        </ext>
      </extLst>
    </cfRule>
    <cfRule type="iconSet" priority="2087">
      <iconSet iconSet="3Arrows">
        <cfvo type="percent" val="0"/>
        <cfvo type="num" val="0.7"/>
        <cfvo type="num" val="1"/>
      </iconSet>
    </cfRule>
  </conditionalFormatting>
  <conditionalFormatting sqref="Y2311">
    <cfRule type="dataBar" priority="2086">
      <dataBar>
        <cfvo type="num" val="0"/>
        <cfvo type="num" val="1"/>
        <color theme="4" tint="0.79998168889431442"/>
      </dataBar>
      <extLst>
        <ext xmlns:x14="http://schemas.microsoft.com/office/spreadsheetml/2009/9/main" uri="{B025F937-C7B1-47D3-B67F-A62EFF666E3E}">
          <x14:id>{32A423CE-85B2-48B0-9B3A-95408ED06FB5}</x14:id>
        </ext>
      </extLst>
    </cfRule>
    <cfRule type="iconSet" priority="2085">
      <iconSet iconSet="3Arrows">
        <cfvo type="percent" val="0"/>
        <cfvo type="num" val="0.7"/>
        <cfvo type="num" val="1"/>
      </iconSet>
    </cfRule>
  </conditionalFormatting>
  <conditionalFormatting sqref="Y2313">
    <cfRule type="dataBar" priority="2084">
      <dataBar>
        <cfvo type="num" val="0"/>
        <cfvo type="num" val="1"/>
        <color theme="4" tint="0.79998168889431442"/>
      </dataBar>
      <extLst>
        <ext xmlns:x14="http://schemas.microsoft.com/office/spreadsheetml/2009/9/main" uri="{B025F937-C7B1-47D3-B67F-A62EFF666E3E}">
          <x14:id>{4EE055F3-A639-4AE2-92C9-75206DAF709D}</x14:id>
        </ext>
      </extLst>
    </cfRule>
    <cfRule type="iconSet" priority="2083">
      <iconSet iconSet="3Arrows">
        <cfvo type="percent" val="0"/>
        <cfvo type="num" val="0.7"/>
        <cfvo type="num" val="1"/>
      </iconSet>
    </cfRule>
  </conditionalFormatting>
  <conditionalFormatting sqref="Y2315">
    <cfRule type="iconSet" priority="2081">
      <iconSet iconSet="3Arrows">
        <cfvo type="percent" val="0"/>
        <cfvo type="num" val="0.7"/>
        <cfvo type="num" val="1"/>
      </iconSet>
    </cfRule>
    <cfRule type="dataBar" priority="2082">
      <dataBar>
        <cfvo type="num" val="0"/>
        <cfvo type="num" val="1"/>
        <color theme="4" tint="0.79998168889431442"/>
      </dataBar>
      <extLst>
        <ext xmlns:x14="http://schemas.microsoft.com/office/spreadsheetml/2009/9/main" uri="{B025F937-C7B1-47D3-B67F-A62EFF666E3E}">
          <x14:id>{B3513032-0B47-4FA3-B409-7024DF12BAE7}</x14:id>
        </ext>
      </extLst>
    </cfRule>
  </conditionalFormatting>
  <conditionalFormatting sqref="Y2317">
    <cfRule type="iconSet" priority="2079">
      <iconSet iconSet="3Arrows">
        <cfvo type="percent" val="0"/>
        <cfvo type="num" val="0.7"/>
        <cfvo type="num" val="1"/>
      </iconSet>
    </cfRule>
    <cfRule type="dataBar" priority="2080">
      <dataBar>
        <cfvo type="num" val="0"/>
        <cfvo type="num" val="1"/>
        <color theme="4" tint="0.79998168889431442"/>
      </dataBar>
      <extLst>
        <ext xmlns:x14="http://schemas.microsoft.com/office/spreadsheetml/2009/9/main" uri="{B025F937-C7B1-47D3-B67F-A62EFF666E3E}">
          <x14:id>{6938AD72-6B2F-49C4-90A3-23A37BA778AD}</x14:id>
        </ext>
      </extLst>
    </cfRule>
  </conditionalFormatting>
  <conditionalFormatting sqref="Y2320">
    <cfRule type="dataBar" priority="2078">
      <dataBar>
        <cfvo type="num" val="0"/>
        <cfvo type="num" val="1"/>
        <color theme="4" tint="0.79998168889431442"/>
      </dataBar>
      <extLst>
        <ext xmlns:x14="http://schemas.microsoft.com/office/spreadsheetml/2009/9/main" uri="{B025F937-C7B1-47D3-B67F-A62EFF666E3E}">
          <x14:id>{9E1E244C-F90E-4B1D-84D2-61F3D6B02FB9}</x14:id>
        </ext>
      </extLst>
    </cfRule>
    <cfRule type="iconSet" priority="2077">
      <iconSet iconSet="3Arrows">
        <cfvo type="percent" val="0"/>
        <cfvo type="num" val="0.7"/>
        <cfvo type="num" val="1"/>
      </iconSet>
    </cfRule>
  </conditionalFormatting>
  <conditionalFormatting sqref="Y2322 Y2324">
    <cfRule type="iconSet" priority="2075">
      <iconSet iconSet="3Arrows">
        <cfvo type="percent" val="0"/>
        <cfvo type="num" val="0.7"/>
        <cfvo type="num" val="1"/>
      </iconSet>
    </cfRule>
    <cfRule type="dataBar" priority="2076">
      <dataBar>
        <cfvo type="num" val="0"/>
        <cfvo type="num" val="1"/>
        <color theme="4" tint="0.79998168889431442"/>
      </dataBar>
      <extLst>
        <ext xmlns:x14="http://schemas.microsoft.com/office/spreadsheetml/2009/9/main" uri="{B025F937-C7B1-47D3-B67F-A62EFF666E3E}">
          <x14:id>{B0EA9AD6-0C52-4E33-8D3C-13D81F22ABAC}</x14:id>
        </ext>
      </extLst>
    </cfRule>
  </conditionalFormatting>
  <conditionalFormatting sqref="Y2326">
    <cfRule type="iconSet" priority="2073">
      <iconSet iconSet="3Arrows">
        <cfvo type="percent" val="0"/>
        <cfvo type="num" val="0.7"/>
        <cfvo type="num" val="1"/>
      </iconSet>
    </cfRule>
    <cfRule type="dataBar" priority="2074">
      <dataBar>
        <cfvo type="num" val="0"/>
        <cfvo type="num" val="1"/>
        <color theme="4" tint="0.79998168889431442"/>
      </dataBar>
      <extLst>
        <ext xmlns:x14="http://schemas.microsoft.com/office/spreadsheetml/2009/9/main" uri="{B025F937-C7B1-47D3-B67F-A62EFF666E3E}">
          <x14:id>{6490FE35-D13E-4F1C-8FA4-4A22F1AAFC58}</x14:id>
        </ext>
      </extLst>
    </cfRule>
  </conditionalFormatting>
  <conditionalFormatting sqref="Y2328">
    <cfRule type="iconSet" priority="2071">
      <iconSet iconSet="3Arrows">
        <cfvo type="percent" val="0"/>
        <cfvo type="num" val="0.7"/>
        <cfvo type="num" val="1"/>
      </iconSet>
    </cfRule>
    <cfRule type="dataBar" priority="2072">
      <dataBar>
        <cfvo type="num" val="0"/>
        <cfvo type="num" val="1"/>
        <color theme="4" tint="0.79998168889431442"/>
      </dataBar>
      <extLst>
        <ext xmlns:x14="http://schemas.microsoft.com/office/spreadsheetml/2009/9/main" uri="{B025F937-C7B1-47D3-B67F-A62EFF666E3E}">
          <x14:id>{4C38FEF0-31FC-40AC-A61E-AEBDEB978CEB}</x14:id>
        </ext>
      </extLst>
    </cfRule>
  </conditionalFormatting>
  <conditionalFormatting sqref="Y2330">
    <cfRule type="dataBar" priority="2070">
      <dataBar>
        <cfvo type="num" val="0"/>
        <cfvo type="num" val="1"/>
        <color theme="4" tint="0.79998168889431442"/>
      </dataBar>
      <extLst>
        <ext xmlns:x14="http://schemas.microsoft.com/office/spreadsheetml/2009/9/main" uri="{B025F937-C7B1-47D3-B67F-A62EFF666E3E}">
          <x14:id>{CDD26D7B-F0C7-44B0-8AE1-BDA86356C08A}</x14:id>
        </ext>
      </extLst>
    </cfRule>
    <cfRule type="iconSet" priority="2069">
      <iconSet iconSet="3Arrows">
        <cfvo type="percent" val="0"/>
        <cfvo type="num" val="0.7"/>
        <cfvo type="num" val="1"/>
      </iconSet>
    </cfRule>
  </conditionalFormatting>
  <conditionalFormatting sqref="Y2333">
    <cfRule type="dataBar" priority="2068">
      <dataBar>
        <cfvo type="num" val="0"/>
        <cfvo type="num" val="1"/>
        <color theme="4" tint="0.79998168889431442"/>
      </dataBar>
      <extLst>
        <ext xmlns:x14="http://schemas.microsoft.com/office/spreadsheetml/2009/9/main" uri="{B025F937-C7B1-47D3-B67F-A62EFF666E3E}">
          <x14:id>{29E0CC09-35AF-4C9F-9993-5FAAE7F28A8A}</x14:id>
        </ext>
      </extLst>
    </cfRule>
    <cfRule type="iconSet" priority="2067">
      <iconSet iconSet="3Arrows">
        <cfvo type="percent" val="0"/>
        <cfvo type="num" val="0.7"/>
        <cfvo type="num" val="1"/>
      </iconSet>
    </cfRule>
  </conditionalFormatting>
  <conditionalFormatting sqref="Y2335 Y2337 Y2339">
    <cfRule type="iconSet" priority="2065">
      <iconSet iconSet="3Arrows">
        <cfvo type="percent" val="0"/>
        <cfvo type="num" val="0.7"/>
        <cfvo type="num" val="1"/>
      </iconSet>
    </cfRule>
    <cfRule type="dataBar" priority="2066">
      <dataBar>
        <cfvo type="num" val="0"/>
        <cfvo type="num" val="1"/>
        <color theme="4" tint="0.79998168889431442"/>
      </dataBar>
      <extLst>
        <ext xmlns:x14="http://schemas.microsoft.com/office/spreadsheetml/2009/9/main" uri="{B025F937-C7B1-47D3-B67F-A62EFF666E3E}">
          <x14:id>{99C4EB0D-1599-4503-B010-ADB663ED3A2A}</x14:id>
        </ext>
      </extLst>
    </cfRule>
  </conditionalFormatting>
  <conditionalFormatting sqref="Y2341">
    <cfRule type="iconSet" priority="2063">
      <iconSet iconSet="3Arrows">
        <cfvo type="percent" val="0"/>
        <cfvo type="num" val="0.7"/>
        <cfvo type="num" val="1"/>
      </iconSet>
    </cfRule>
    <cfRule type="dataBar" priority="2064">
      <dataBar>
        <cfvo type="num" val="0"/>
        <cfvo type="num" val="1"/>
        <color theme="4" tint="0.79998168889431442"/>
      </dataBar>
      <extLst>
        <ext xmlns:x14="http://schemas.microsoft.com/office/spreadsheetml/2009/9/main" uri="{B025F937-C7B1-47D3-B67F-A62EFF666E3E}">
          <x14:id>{16EE845F-2644-41CE-8F2C-48D8B1947826}</x14:id>
        </ext>
      </extLst>
    </cfRule>
  </conditionalFormatting>
  <conditionalFormatting sqref="Y2345">
    <cfRule type="dataBar" priority="2062">
      <dataBar>
        <cfvo type="num" val="0"/>
        <cfvo type="num" val="1"/>
        <color theme="4" tint="0.79998168889431442"/>
      </dataBar>
      <extLst>
        <ext xmlns:x14="http://schemas.microsoft.com/office/spreadsheetml/2009/9/main" uri="{B025F937-C7B1-47D3-B67F-A62EFF666E3E}">
          <x14:id>{2B6E4970-CF34-4C2C-A15E-82CB8D157DA7}</x14:id>
        </ext>
      </extLst>
    </cfRule>
    <cfRule type="iconSet" priority="2061">
      <iconSet iconSet="3Arrows">
        <cfvo type="percent" val="0"/>
        <cfvo type="num" val="0.7"/>
        <cfvo type="num" val="1"/>
      </iconSet>
    </cfRule>
  </conditionalFormatting>
  <conditionalFormatting sqref="Y2347 Y2349 Y2351">
    <cfRule type="iconSet" priority="2059">
      <iconSet iconSet="3Arrows">
        <cfvo type="percent" val="0"/>
        <cfvo type="num" val="0.7"/>
        <cfvo type="num" val="1"/>
      </iconSet>
    </cfRule>
    <cfRule type="dataBar" priority="2060">
      <dataBar>
        <cfvo type="num" val="0"/>
        <cfvo type="num" val="1"/>
        <color theme="4" tint="0.79998168889431442"/>
      </dataBar>
      <extLst>
        <ext xmlns:x14="http://schemas.microsoft.com/office/spreadsheetml/2009/9/main" uri="{B025F937-C7B1-47D3-B67F-A62EFF666E3E}">
          <x14:id>{913D2AB5-ACEE-4CC0-8038-93BD298D7C4C}</x14:id>
        </ext>
      </extLst>
    </cfRule>
  </conditionalFormatting>
  <conditionalFormatting sqref="Y2353 Y2355">
    <cfRule type="iconSet" priority="2057">
      <iconSet iconSet="3Arrows">
        <cfvo type="percent" val="0"/>
        <cfvo type="num" val="0.7"/>
        <cfvo type="num" val="1"/>
      </iconSet>
    </cfRule>
    <cfRule type="dataBar" priority="2058">
      <dataBar>
        <cfvo type="num" val="0"/>
        <cfvo type="num" val="1"/>
        <color theme="4" tint="0.79998168889431442"/>
      </dataBar>
      <extLst>
        <ext xmlns:x14="http://schemas.microsoft.com/office/spreadsheetml/2009/9/main" uri="{B025F937-C7B1-47D3-B67F-A62EFF666E3E}">
          <x14:id>{CB82D2B8-496B-4599-8080-1422993DE99F}</x14:id>
        </ext>
      </extLst>
    </cfRule>
  </conditionalFormatting>
  <conditionalFormatting sqref="Y2359">
    <cfRule type="iconSet" priority="2055">
      <iconSet iconSet="3Arrows">
        <cfvo type="percent" val="0"/>
        <cfvo type="num" val="0.7"/>
        <cfvo type="num" val="1"/>
      </iconSet>
    </cfRule>
    <cfRule type="dataBar" priority="2056">
      <dataBar>
        <cfvo type="num" val="0"/>
        <cfvo type="num" val="1"/>
        <color theme="4" tint="0.79998168889431442"/>
      </dataBar>
      <extLst>
        <ext xmlns:x14="http://schemas.microsoft.com/office/spreadsheetml/2009/9/main" uri="{B025F937-C7B1-47D3-B67F-A62EFF666E3E}">
          <x14:id>{072B6373-7534-4853-9777-4AC94F187E71}</x14:id>
        </ext>
      </extLst>
    </cfRule>
  </conditionalFormatting>
  <conditionalFormatting sqref="Y2361 Y2363 Y2365">
    <cfRule type="iconSet" priority="2053">
      <iconSet iconSet="3Arrows">
        <cfvo type="percent" val="0"/>
        <cfvo type="num" val="0.7"/>
        <cfvo type="num" val="1"/>
      </iconSet>
    </cfRule>
    <cfRule type="dataBar" priority="2054">
      <dataBar>
        <cfvo type="num" val="0"/>
        <cfvo type="num" val="1"/>
        <color theme="4" tint="0.79998168889431442"/>
      </dataBar>
      <extLst>
        <ext xmlns:x14="http://schemas.microsoft.com/office/spreadsheetml/2009/9/main" uri="{B025F937-C7B1-47D3-B67F-A62EFF666E3E}">
          <x14:id>{0CB32764-0B55-43C3-BDD5-264E617CDE88}</x14:id>
        </ext>
      </extLst>
    </cfRule>
  </conditionalFormatting>
  <conditionalFormatting sqref="Y2367 Y2369">
    <cfRule type="dataBar" priority="2052">
      <dataBar>
        <cfvo type="num" val="0"/>
        <cfvo type="num" val="1"/>
        <color theme="4" tint="0.79998168889431442"/>
      </dataBar>
      <extLst>
        <ext xmlns:x14="http://schemas.microsoft.com/office/spreadsheetml/2009/9/main" uri="{B025F937-C7B1-47D3-B67F-A62EFF666E3E}">
          <x14:id>{450404FC-C6A6-43ED-B2E0-F9EF698808EF}</x14:id>
        </ext>
      </extLst>
    </cfRule>
    <cfRule type="iconSet" priority="2051">
      <iconSet iconSet="3Arrows">
        <cfvo type="percent" val="0"/>
        <cfvo type="num" val="0.7"/>
        <cfvo type="num" val="1"/>
      </iconSet>
    </cfRule>
  </conditionalFormatting>
  <conditionalFormatting sqref="Y2371">
    <cfRule type="dataBar" priority="2050">
      <dataBar>
        <cfvo type="num" val="0"/>
        <cfvo type="num" val="1"/>
        <color theme="4" tint="0.79998168889431442"/>
      </dataBar>
      <extLst>
        <ext xmlns:x14="http://schemas.microsoft.com/office/spreadsheetml/2009/9/main" uri="{B025F937-C7B1-47D3-B67F-A62EFF666E3E}">
          <x14:id>{8ABC43C4-3048-4D1A-BC8E-45608E1A237B}</x14:id>
        </ext>
      </extLst>
    </cfRule>
    <cfRule type="iconSet" priority="2049">
      <iconSet iconSet="3Arrows">
        <cfvo type="percent" val="0"/>
        <cfvo type="num" val="0.7"/>
        <cfvo type="num" val="1"/>
      </iconSet>
    </cfRule>
  </conditionalFormatting>
  <conditionalFormatting sqref="Y2375">
    <cfRule type="dataBar" priority="2048">
      <dataBar>
        <cfvo type="num" val="0"/>
        <cfvo type="num" val="1"/>
        <color theme="4" tint="0.79998168889431442"/>
      </dataBar>
      <extLst>
        <ext xmlns:x14="http://schemas.microsoft.com/office/spreadsheetml/2009/9/main" uri="{B025F937-C7B1-47D3-B67F-A62EFF666E3E}">
          <x14:id>{BA3307F9-F1DA-4A55-B16B-7473B40C3E34}</x14:id>
        </ext>
      </extLst>
    </cfRule>
    <cfRule type="iconSet" priority="2047">
      <iconSet iconSet="3Arrows">
        <cfvo type="percent" val="0"/>
        <cfvo type="num" val="0.7"/>
        <cfvo type="num" val="1"/>
      </iconSet>
    </cfRule>
  </conditionalFormatting>
  <conditionalFormatting sqref="Y2379">
    <cfRule type="iconSet" priority="2045">
      <iconSet iconSet="3Arrows">
        <cfvo type="percent" val="0"/>
        <cfvo type="num" val="0.7"/>
        <cfvo type="num" val="1"/>
      </iconSet>
    </cfRule>
    <cfRule type="dataBar" priority="2046">
      <dataBar>
        <cfvo type="num" val="0"/>
        <cfvo type="num" val="1"/>
        <color theme="4" tint="0.79998168889431442"/>
      </dataBar>
      <extLst>
        <ext xmlns:x14="http://schemas.microsoft.com/office/spreadsheetml/2009/9/main" uri="{B025F937-C7B1-47D3-B67F-A62EFF666E3E}">
          <x14:id>{FCA0905B-B80B-4E0D-80D7-F91CCE98B8DF}</x14:id>
        </ext>
      </extLst>
    </cfRule>
  </conditionalFormatting>
  <conditionalFormatting sqref="Y2381 Y2383 Y2385">
    <cfRule type="dataBar" priority="2044">
      <dataBar>
        <cfvo type="num" val="0"/>
        <cfvo type="num" val="1"/>
        <color theme="4" tint="0.79998168889431442"/>
      </dataBar>
      <extLst>
        <ext xmlns:x14="http://schemas.microsoft.com/office/spreadsheetml/2009/9/main" uri="{B025F937-C7B1-47D3-B67F-A62EFF666E3E}">
          <x14:id>{A3469124-AACD-42BD-B210-F6C703BA0452}</x14:id>
        </ext>
      </extLst>
    </cfRule>
    <cfRule type="iconSet" priority="2043">
      <iconSet iconSet="3Arrows">
        <cfvo type="percent" val="0"/>
        <cfvo type="num" val="0.7"/>
        <cfvo type="num" val="1"/>
      </iconSet>
    </cfRule>
  </conditionalFormatting>
  <conditionalFormatting sqref="Y2387">
    <cfRule type="dataBar" priority="2042">
      <dataBar>
        <cfvo type="num" val="0"/>
        <cfvo type="num" val="1"/>
        <color theme="4" tint="0.79998168889431442"/>
      </dataBar>
      <extLst>
        <ext xmlns:x14="http://schemas.microsoft.com/office/spreadsheetml/2009/9/main" uri="{B025F937-C7B1-47D3-B67F-A62EFF666E3E}">
          <x14:id>{BF89F3A5-62EB-40B4-9D94-4EDAB7F42684}</x14:id>
        </ext>
      </extLst>
    </cfRule>
    <cfRule type="iconSet" priority="2041">
      <iconSet iconSet="3Arrows">
        <cfvo type="percent" val="0"/>
        <cfvo type="num" val="0.7"/>
        <cfvo type="num" val="1"/>
      </iconSet>
    </cfRule>
  </conditionalFormatting>
  <conditionalFormatting sqref="Y2389">
    <cfRule type="iconSet" priority="2039">
      <iconSet iconSet="3Arrows">
        <cfvo type="percent" val="0"/>
        <cfvo type="num" val="0.7"/>
        <cfvo type="num" val="1"/>
      </iconSet>
    </cfRule>
    <cfRule type="dataBar" priority="2040">
      <dataBar>
        <cfvo type="num" val="0"/>
        <cfvo type="num" val="1"/>
        <color theme="4" tint="0.79998168889431442"/>
      </dataBar>
      <extLst>
        <ext xmlns:x14="http://schemas.microsoft.com/office/spreadsheetml/2009/9/main" uri="{B025F937-C7B1-47D3-B67F-A62EFF666E3E}">
          <x14:id>{8C288C2F-C074-483E-8735-9D7B8CA983E9}</x14:id>
        </ext>
      </extLst>
    </cfRule>
  </conditionalFormatting>
  <conditionalFormatting sqref="Y2393">
    <cfRule type="dataBar" priority="2038">
      <dataBar>
        <cfvo type="num" val="0"/>
        <cfvo type="num" val="1"/>
        <color theme="4" tint="0.79998168889431442"/>
      </dataBar>
      <extLst>
        <ext xmlns:x14="http://schemas.microsoft.com/office/spreadsheetml/2009/9/main" uri="{B025F937-C7B1-47D3-B67F-A62EFF666E3E}">
          <x14:id>{BC7C0053-B967-494D-B907-B480FC983EBB}</x14:id>
        </ext>
      </extLst>
    </cfRule>
    <cfRule type="iconSet" priority="2037">
      <iconSet iconSet="3Arrows">
        <cfvo type="percent" val="0"/>
        <cfvo type="num" val="0.7"/>
        <cfvo type="num" val="1"/>
      </iconSet>
    </cfRule>
  </conditionalFormatting>
  <conditionalFormatting sqref="Y2395">
    <cfRule type="dataBar" priority="2036">
      <dataBar>
        <cfvo type="num" val="0"/>
        <cfvo type="num" val="1"/>
        <color theme="4" tint="0.79998168889431442"/>
      </dataBar>
      <extLst>
        <ext xmlns:x14="http://schemas.microsoft.com/office/spreadsheetml/2009/9/main" uri="{B025F937-C7B1-47D3-B67F-A62EFF666E3E}">
          <x14:id>{E57C0969-DEC8-4D42-847C-5DC4648252A8}</x14:id>
        </ext>
      </extLst>
    </cfRule>
    <cfRule type="iconSet" priority="2035">
      <iconSet iconSet="3Arrows">
        <cfvo type="percent" val="0"/>
        <cfvo type="num" val="0.7"/>
        <cfvo type="num" val="1"/>
      </iconSet>
    </cfRule>
  </conditionalFormatting>
  <conditionalFormatting sqref="Y2397">
    <cfRule type="dataBar" priority="2034">
      <dataBar>
        <cfvo type="num" val="0"/>
        <cfvo type="num" val="1"/>
        <color theme="4" tint="0.79998168889431442"/>
      </dataBar>
      <extLst>
        <ext xmlns:x14="http://schemas.microsoft.com/office/spreadsheetml/2009/9/main" uri="{B025F937-C7B1-47D3-B67F-A62EFF666E3E}">
          <x14:id>{63A65051-4375-431A-9569-3007CF173EEC}</x14:id>
        </ext>
      </extLst>
    </cfRule>
    <cfRule type="iconSet" priority="2033">
      <iconSet iconSet="3Arrows">
        <cfvo type="percent" val="0"/>
        <cfvo type="num" val="0.7"/>
        <cfvo type="num" val="1"/>
      </iconSet>
    </cfRule>
  </conditionalFormatting>
  <conditionalFormatting sqref="Y2401">
    <cfRule type="dataBar" priority="2032">
      <dataBar>
        <cfvo type="num" val="0"/>
        <cfvo type="num" val="1"/>
        <color theme="4" tint="0.79998168889431442"/>
      </dataBar>
      <extLst>
        <ext xmlns:x14="http://schemas.microsoft.com/office/spreadsheetml/2009/9/main" uri="{B025F937-C7B1-47D3-B67F-A62EFF666E3E}">
          <x14:id>{E44F7309-ACB9-4C69-B990-EA2197179E4B}</x14:id>
        </ext>
      </extLst>
    </cfRule>
    <cfRule type="iconSet" priority="2031">
      <iconSet iconSet="3Arrows">
        <cfvo type="percent" val="0"/>
        <cfvo type="num" val="0.7"/>
        <cfvo type="num" val="1"/>
      </iconSet>
    </cfRule>
  </conditionalFormatting>
  <conditionalFormatting sqref="Y2405">
    <cfRule type="dataBar" priority="2030">
      <dataBar>
        <cfvo type="num" val="0"/>
        <cfvo type="num" val="1"/>
        <color theme="4" tint="0.79998168889431442"/>
      </dataBar>
      <extLst>
        <ext xmlns:x14="http://schemas.microsoft.com/office/spreadsheetml/2009/9/main" uri="{B025F937-C7B1-47D3-B67F-A62EFF666E3E}">
          <x14:id>{23085659-307D-4FC3-B109-B30C425F09F8}</x14:id>
        </ext>
      </extLst>
    </cfRule>
    <cfRule type="iconSet" priority="2029">
      <iconSet iconSet="3Arrows">
        <cfvo type="percent" val="0"/>
        <cfvo type="num" val="0.7"/>
        <cfvo type="num" val="1"/>
      </iconSet>
    </cfRule>
  </conditionalFormatting>
  <conditionalFormatting sqref="Y2407 Y2411 Y2415 Y2419 Y2409 Y2413 Y2417 Y2421">
    <cfRule type="iconSet" priority="2027">
      <iconSet iconSet="3Arrows">
        <cfvo type="percent" val="0"/>
        <cfvo type="num" val="0.7"/>
        <cfvo type="num" val="1"/>
      </iconSet>
    </cfRule>
    <cfRule type="dataBar" priority="2028">
      <dataBar>
        <cfvo type="num" val="0"/>
        <cfvo type="num" val="1"/>
        <color theme="4" tint="0.79998168889431442"/>
      </dataBar>
      <extLst>
        <ext xmlns:x14="http://schemas.microsoft.com/office/spreadsheetml/2009/9/main" uri="{B025F937-C7B1-47D3-B67F-A62EFF666E3E}">
          <x14:id>{30E435F8-42A5-423F-9FA3-F82DCB65BEFC}</x14:id>
        </ext>
      </extLst>
    </cfRule>
  </conditionalFormatting>
  <conditionalFormatting sqref="Y2423 Y2427 Y2431 Y2435 Y2425 Y2429 Y2433 Y2437">
    <cfRule type="iconSet" priority="2025">
      <iconSet iconSet="3Arrows">
        <cfvo type="percent" val="0"/>
        <cfvo type="num" val="0.7"/>
        <cfvo type="num" val="1"/>
      </iconSet>
    </cfRule>
    <cfRule type="dataBar" priority="2026">
      <dataBar>
        <cfvo type="num" val="0"/>
        <cfvo type="num" val="1"/>
        <color theme="4" tint="0.79998168889431442"/>
      </dataBar>
      <extLst>
        <ext xmlns:x14="http://schemas.microsoft.com/office/spreadsheetml/2009/9/main" uri="{B025F937-C7B1-47D3-B67F-A62EFF666E3E}">
          <x14:id>{EA66BDE2-D183-4183-A1C5-F058D137757A}</x14:id>
        </ext>
      </extLst>
    </cfRule>
  </conditionalFormatting>
  <conditionalFormatting sqref="Y2439">
    <cfRule type="dataBar" priority="2024">
      <dataBar>
        <cfvo type="num" val="0"/>
        <cfvo type="num" val="1"/>
        <color theme="4" tint="0.79998168889431442"/>
      </dataBar>
      <extLst>
        <ext xmlns:x14="http://schemas.microsoft.com/office/spreadsheetml/2009/9/main" uri="{B025F937-C7B1-47D3-B67F-A62EFF666E3E}">
          <x14:id>{4EC63664-841E-4B1D-8662-EAE45703F8BE}</x14:id>
        </ext>
      </extLst>
    </cfRule>
    <cfRule type="iconSet" priority="2023">
      <iconSet iconSet="3Arrows">
        <cfvo type="percent" val="0"/>
        <cfvo type="num" val="0.7"/>
        <cfvo type="num" val="1"/>
      </iconSet>
    </cfRule>
  </conditionalFormatting>
  <conditionalFormatting sqref="Y2441 Y2449 Y2443 Y2445 Y2447 Y2451">
    <cfRule type="dataBar" priority="2022">
      <dataBar>
        <cfvo type="num" val="0"/>
        <cfvo type="num" val="1"/>
        <color theme="4" tint="0.79998168889431442"/>
      </dataBar>
      <extLst>
        <ext xmlns:x14="http://schemas.microsoft.com/office/spreadsheetml/2009/9/main" uri="{B025F937-C7B1-47D3-B67F-A62EFF666E3E}">
          <x14:id>{BCA872B4-25FB-4E04-BA0D-AB5E5ACACFFC}</x14:id>
        </ext>
      </extLst>
    </cfRule>
    <cfRule type="iconSet" priority="2021">
      <iconSet iconSet="3Arrows">
        <cfvo type="percent" val="0"/>
        <cfvo type="num" val="0.7"/>
        <cfvo type="num" val="1"/>
      </iconSet>
    </cfRule>
  </conditionalFormatting>
  <conditionalFormatting sqref="Y2453">
    <cfRule type="iconSet" priority="2019">
      <iconSet iconSet="3Arrows">
        <cfvo type="percent" val="0"/>
        <cfvo type="num" val="0.7"/>
        <cfvo type="num" val="1"/>
      </iconSet>
    </cfRule>
    <cfRule type="dataBar" priority="2020">
      <dataBar>
        <cfvo type="num" val="0"/>
        <cfvo type="num" val="1"/>
        <color theme="4" tint="0.79998168889431442"/>
      </dataBar>
      <extLst>
        <ext xmlns:x14="http://schemas.microsoft.com/office/spreadsheetml/2009/9/main" uri="{B025F937-C7B1-47D3-B67F-A62EFF666E3E}">
          <x14:id>{581D07A3-FCFF-4BBB-928B-1514BC78E76F}</x14:id>
        </ext>
      </extLst>
    </cfRule>
  </conditionalFormatting>
  <conditionalFormatting sqref="Y2457">
    <cfRule type="dataBar" priority="2018">
      <dataBar>
        <cfvo type="num" val="0"/>
        <cfvo type="num" val="1"/>
        <color theme="4" tint="0.79998168889431442"/>
      </dataBar>
      <extLst>
        <ext xmlns:x14="http://schemas.microsoft.com/office/spreadsheetml/2009/9/main" uri="{B025F937-C7B1-47D3-B67F-A62EFF666E3E}">
          <x14:id>{704B2DD5-7248-4EE8-996B-EE34559E72B5}</x14:id>
        </ext>
      </extLst>
    </cfRule>
    <cfRule type="iconSet" priority="2017">
      <iconSet iconSet="3Arrows">
        <cfvo type="percent" val="0"/>
        <cfvo type="num" val="0.7"/>
        <cfvo type="num" val="1"/>
      </iconSet>
    </cfRule>
  </conditionalFormatting>
  <conditionalFormatting sqref="Y2459 Y2461">
    <cfRule type="iconSet" priority="2015">
      <iconSet iconSet="3Arrows">
        <cfvo type="percent" val="0"/>
        <cfvo type="num" val="0.7"/>
        <cfvo type="num" val="1"/>
      </iconSet>
    </cfRule>
    <cfRule type="dataBar" priority="2016">
      <dataBar>
        <cfvo type="num" val="0"/>
        <cfvo type="num" val="1"/>
        <color theme="4" tint="0.79998168889431442"/>
      </dataBar>
      <extLst>
        <ext xmlns:x14="http://schemas.microsoft.com/office/spreadsheetml/2009/9/main" uri="{B025F937-C7B1-47D3-B67F-A62EFF666E3E}">
          <x14:id>{21E5974B-BC59-4973-BB01-5F462A7C7CAA}</x14:id>
        </ext>
      </extLst>
    </cfRule>
  </conditionalFormatting>
  <conditionalFormatting sqref="Y2463 Y2465">
    <cfRule type="dataBar" priority="2014">
      <dataBar>
        <cfvo type="num" val="0"/>
        <cfvo type="num" val="1"/>
        <color theme="4" tint="0.79998168889431442"/>
      </dataBar>
      <extLst>
        <ext xmlns:x14="http://schemas.microsoft.com/office/spreadsheetml/2009/9/main" uri="{B025F937-C7B1-47D3-B67F-A62EFF666E3E}">
          <x14:id>{7DF793A6-68B9-48D5-AF1E-0F6DEDEBA252}</x14:id>
        </ext>
      </extLst>
    </cfRule>
    <cfRule type="iconSet" priority="2013">
      <iconSet iconSet="3Arrows">
        <cfvo type="percent" val="0"/>
        <cfvo type="num" val="0.7"/>
        <cfvo type="num" val="1"/>
      </iconSet>
    </cfRule>
  </conditionalFormatting>
  <conditionalFormatting sqref="Y2467 Y2469">
    <cfRule type="dataBar" priority="2012">
      <dataBar>
        <cfvo type="num" val="0"/>
        <cfvo type="num" val="1"/>
        <color theme="4" tint="0.79998168889431442"/>
      </dataBar>
      <extLst>
        <ext xmlns:x14="http://schemas.microsoft.com/office/spreadsheetml/2009/9/main" uri="{B025F937-C7B1-47D3-B67F-A62EFF666E3E}">
          <x14:id>{3FFC3F3F-25A8-455D-85B4-EB5754FE9D1E}</x14:id>
        </ext>
      </extLst>
    </cfRule>
    <cfRule type="iconSet" priority="2011">
      <iconSet iconSet="3Arrows">
        <cfvo type="percent" val="0"/>
        <cfvo type="num" val="0.7"/>
        <cfvo type="num" val="1"/>
      </iconSet>
    </cfRule>
  </conditionalFormatting>
  <conditionalFormatting sqref="Y2471 Y2473">
    <cfRule type="dataBar" priority="2010">
      <dataBar>
        <cfvo type="num" val="0"/>
        <cfvo type="num" val="1"/>
        <color theme="4" tint="0.79998168889431442"/>
      </dataBar>
      <extLst>
        <ext xmlns:x14="http://schemas.microsoft.com/office/spreadsheetml/2009/9/main" uri="{B025F937-C7B1-47D3-B67F-A62EFF666E3E}">
          <x14:id>{77F15731-2E6E-48ED-8473-B382B4EE5B77}</x14:id>
        </ext>
      </extLst>
    </cfRule>
    <cfRule type="iconSet" priority="2009">
      <iconSet iconSet="3Arrows">
        <cfvo type="percent" val="0"/>
        <cfvo type="num" val="0.7"/>
        <cfvo type="num" val="1"/>
      </iconSet>
    </cfRule>
  </conditionalFormatting>
  <conditionalFormatting sqref="Y2475 Y2477">
    <cfRule type="iconSet" priority="2007">
      <iconSet iconSet="3Arrows">
        <cfvo type="percent" val="0"/>
        <cfvo type="num" val="0.7"/>
        <cfvo type="num" val="1"/>
      </iconSet>
    </cfRule>
    <cfRule type="dataBar" priority="2008">
      <dataBar>
        <cfvo type="num" val="0"/>
        <cfvo type="num" val="1"/>
        <color theme="4" tint="0.79998168889431442"/>
      </dataBar>
      <extLst>
        <ext xmlns:x14="http://schemas.microsoft.com/office/spreadsheetml/2009/9/main" uri="{B025F937-C7B1-47D3-B67F-A62EFF666E3E}">
          <x14:id>{E89D53FC-2B6E-404D-AC26-6463616B645B}</x14:id>
        </ext>
      </extLst>
    </cfRule>
  </conditionalFormatting>
  <conditionalFormatting sqref="Y2479 Y2481">
    <cfRule type="dataBar" priority="2006">
      <dataBar>
        <cfvo type="num" val="0"/>
        <cfvo type="num" val="1"/>
        <color theme="4" tint="0.79998168889431442"/>
      </dataBar>
      <extLst>
        <ext xmlns:x14="http://schemas.microsoft.com/office/spreadsheetml/2009/9/main" uri="{B025F937-C7B1-47D3-B67F-A62EFF666E3E}">
          <x14:id>{6B1BFA17-6972-4080-A444-3294E7B98D31}</x14:id>
        </ext>
      </extLst>
    </cfRule>
    <cfRule type="iconSet" priority="2005">
      <iconSet iconSet="3Arrows">
        <cfvo type="percent" val="0"/>
        <cfvo type="num" val="0.7"/>
        <cfvo type="num" val="1"/>
      </iconSet>
    </cfRule>
  </conditionalFormatting>
  <conditionalFormatting sqref="Y2483 Y2485">
    <cfRule type="iconSet" priority="2003">
      <iconSet iconSet="3Arrows">
        <cfvo type="percent" val="0"/>
        <cfvo type="num" val="0.7"/>
        <cfvo type="num" val="1"/>
      </iconSet>
    </cfRule>
    <cfRule type="dataBar" priority="2004">
      <dataBar>
        <cfvo type="num" val="0"/>
        <cfvo type="num" val="1"/>
        <color theme="4" tint="0.79998168889431442"/>
      </dataBar>
      <extLst>
        <ext xmlns:x14="http://schemas.microsoft.com/office/spreadsheetml/2009/9/main" uri="{B025F937-C7B1-47D3-B67F-A62EFF666E3E}">
          <x14:id>{1C52929E-CB38-41F5-ABE7-FE534D2342E2}</x14:id>
        </ext>
      </extLst>
    </cfRule>
  </conditionalFormatting>
  <conditionalFormatting sqref="Y2487 Y2489">
    <cfRule type="dataBar" priority="2002">
      <dataBar>
        <cfvo type="num" val="0"/>
        <cfvo type="num" val="1"/>
        <color theme="4" tint="0.79998168889431442"/>
      </dataBar>
      <extLst>
        <ext xmlns:x14="http://schemas.microsoft.com/office/spreadsheetml/2009/9/main" uri="{B025F937-C7B1-47D3-B67F-A62EFF666E3E}">
          <x14:id>{512BA4E3-3E68-4C6F-9FE5-006BEF34E04D}</x14:id>
        </ext>
      </extLst>
    </cfRule>
    <cfRule type="iconSet" priority="2001">
      <iconSet iconSet="3Arrows">
        <cfvo type="percent" val="0"/>
        <cfvo type="num" val="0.7"/>
        <cfvo type="num" val="1"/>
      </iconSet>
    </cfRule>
  </conditionalFormatting>
  <conditionalFormatting sqref="Y2491 Y2493">
    <cfRule type="dataBar" priority="2000">
      <dataBar>
        <cfvo type="num" val="0"/>
        <cfvo type="num" val="1"/>
        <color theme="4" tint="0.79998168889431442"/>
      </dataBar>
      <extLst>
        <ext xmlns:x14="http://schemas.microsoft.com/office/spreadsheetml/2009/9/main" uri="{B025F937-C7B1-47D3-B67F-A62EFF666E3E}">
          <x14:id>{051934D9-9E7E-4279-A826-0863695398AC}</x14:id>
        </ext>
      </extLst>
    </cfRule>
    <cfRule type="iconSet" priority="1999">
      <iconSet iconSet="3Arrows">
        <cfvo type="percent" val="0"/>
        <cfvo type="num" val="0.7"/>
        <cfvo type="num" val="1"/>
      </iconSet>
    </cfRule>
  </conditionalFormatting>
  <conditionalFormatting sqref="Y2495 Y2497">
    <cfRule type="dataBar" priority="1998">
      <dataBar>
        <cfvo type="num" val="0"/>
        <cfvo type="num" val="1"/>
        <color theme="4" tint="0.79998168889431442"/>
      </dataBar>
      <extLst>
        <ext xmlns:x14="http://schemas.microsoft.com/office/spreadsheetml/2009/9/main" uri="{B025F937-C7B1-47D3-B67F-A62EFF666E3E}">
          <x14:id>{B0ED0436-67D2-4739-9C56-B58B74F048A7}</x14:id>
        </ext>
      </extLst>
    </cfRule>
    <cfRule type="iconSet" priority="1997">
      <iconSet iconSet="3Arrows">
        <cfvo type="percent" val="0"/>
        <cfvo type="num" val="0.7"/>
        <cfvo type="num" val="1"/>
      </iconSet>
    </cfRule>
  </conditionalFormatting>
  <conditionalFormatting sqref="Y2499">
    <cfRule type="iconSet" priority="1995">
      <iconSet iconSet="3Arrows">
        <cfvo type="percent" val="0"/>
        <cfvo type="num" val="0.7"/>
        <cfvo type="num" val="1"/>
      </iconSet>
    </cfRule>
    <cfRule type="dataBar" priority="1996">
      <dataBar>
        <cfvo type="num" val="0"/>
        <cfvo type="num" val="1"/>
        <color theme="4" tint="0.79998168889431442"/>
      </dataBar>
      <extLst>
        <ext xmlns:x14="http://schemas.microsoft.com/office/spreadsheetml/2009/9/main" uri="{B025F937-C7B1-47D3-B67F-A62EFF666E3E}">
          <x14:id>{B31FF160-ED70-4F20-8F7E-0EBB9A5C7024}</x14:id>
        </ext>
      </extLst>
    </cfRule>
  </conditionalFormatting>
  <conditionalFormatting sqref="Y2501 Y2503">
    <cfRule type="dataBar" priority="1994">
      <dataBar>
        <cfvo type="num" val="0"/>
        <cfvo type="num" val="1"/>
        <color theme="4" tint="0.79998168889431442"/>
      </dataBar>
      <extLst>
        <ext xmlns:x14="http://schemas.microsoft.com/office/spreadsheetml/2009/9/main" uri="{B025F937-C7B1-47D3-B67F-A62EFF666E3E}">
          <x14:id>{1738B347-8CAC-442B-8171-305088512E55}</x14:id>
        </ext>
      </extLst>
    </cfRule>
    <cfRule type="iconSet" priority="1993">
      <iconSet iconSet="3Arrows">
        <cfvo type="percent" val="0"/>
        <cfvo type="num" val="0.7"/>
        <cfvo type="num" val="1"/>
      </iconSet>
    </cfRule>
  </conditionalFormatting>
  <conditionalFormatting sqref="Y2505 Y2507">
    <cfRule type="dataBar" priority="1992">
      <dataBar>
        <cfvo type="num" val="0"/>
        <cfvo type="num" val="1"/>
        <color theme="4" tint="0.79998168889431442"/>
      </dataBar>
      <extLst>
        <ext xmlns:x14="http://schemas.microsoft.com/office/spreadsheetml/2009/9/main" uri="{B025F937-C7B1-47D3-B67F-A62EFF666E3E}">
          <x14:id>{8A8A23EA-8A1F-44E6-9702-381A93C43602}</x14:id>
        </ext>
      </extLst>
    </cfRule>
    <cfRule type="iconSet" priority="1991">
      <iconSet iconSet="3Arrows">
        <cfvo type="percent" val="0"/>
        <cfvo type="num" val="0.7"/>
        <cfvo type="num" val="1"/>
      </iconSet>
    </cfRule>
  </conditionalFormatting>
  <conditionalFormatting sqref="Y2509 Y2511">
    <cfRule type="iconSet" priority="1989">
      <iconSet iconSet="3Arrows">
        <cfvo type="percent" val="0"/>
        <cfvo type="num" val="0.7"/>
        <cfvo type="num" val="1"/>
      </iconSet>
    </cfRule>
    <cfRule type="dataBar" priority="1990">
      <dataBar>
        <cfvo type="num" val="0"/>
        <cfvo type="num" val="1"/>
        <color theme="4" tint="0.79998168889431442"/>
      </dataBar>
      <extLst>
        <ext xmlns:x14="http://schemas.microsoft.com/office/spreadsheetml/2009/9/main" uri="{B025F937-C7B1-47D3-B67F-A62EFF666E3E}">
          <x14:id>{AA24AB07-2F5F-44F0-8EAF-37CD02ABEDC2}</x14:id>
        </ext>
      </extLst>
    </cfRule>
  </conditionalFormatting>
  <conditionalFormatting sqref="Y2513 Y2515">
    <cfRule type="dataBar" priority="1988">
      <dataBar>
        <cfvo type="num" val="0"/>
        <cfvo type="num" val="1"/>
        <color theme="4" tint="0.79998168889431442"/>
      </dataBar>
      <extLst>
        <ext xmlns:x14="http://schemas.microsoft.com/office/spreadsheetml/2009/9/main" uri="{B025F937-C7B1-47D3-B67F-A62EFF666E3E}">
          <x14:id>{99619EE7-7AAF-4466-9EEF-44A4D64FC322}</x14:id>
        </ext>
      </extLst>
    </cfRule>
    <cfRule type="iconSet" priority="1987">
      <iconSet iconSet="3Arrows">
        <cfvo type="percent" val="0"/>
        <cfvo type="num" val="0.7"/>
        <cfvo type="num" val="1"/>
      </iconSet>
    </cfRule>
  </conditionalFormatting>
  <conditionalFormatting sqref="Y2517 Y2519">
    <cfRule type="iconSet" priority="1985">
      <iconSet iconSet="3Arrows">
        <cfvo type="percent" val="0"/>
        <cfvo type="num" val="0.7"/>
        <cfvo type="num" val="1"/>
      </iconSet>
    </cfRule>
    <cfRule type="dataBar" priority="1986">
      <dataBar>
        <cfvo type="num" val="0"/>
        <cfvo type="num" val="1"/>
        <color theme="4" tint="0.79998168889431442"/>
      </dataBar>
      <extLst>
        <ext xmlns:x14="http://schemas.microsoft.com/office/spreadsheetml/2009/9/main" uri="{B025F937-C7B1-47D3-B67F-A62EFF666E3E}">
          <x14:id>{7D73AEFE-BB8A-45EF-A980-EEEC8182CE56}</x14:id>
        </ext>
      </extLst>
    </cfRule>
  </conditionalFormatting>
  <conditionalFormatting sqref="Y2521">
    <cfRule type="iconSet" priority="1983">
      <iconSet iconSet="3Arrows">
        <cfvo type="percent" val="0"/>
        <cfvo type="num" val="0.7"/>
        <cfvo type="num" val="1"/>
      </iconSet>
    </cfRule>
    <cfRule type="dataBar" priority="1984">
      <dataBar>
        <cfvo type="num" val="0"/>
        <cfvo type="num" val="1"/>
        <color theme="4" tint="0.79998168889431442"/>
      </dataBar>
      <extLst>
        <ext xmlns:x14="http://schemas.microsoft.com/office/spreadsheetml/2009/9/main" uri="{B025F937-C7B1-47D3-B67F-A62EFF666E3E}">
          <x14:id>{3B87A271-AD73-453E-B675-F2B62EECB8E8}</x14:id>
        </ext>
      </extLst>
    </cfRule>
  </conditionalFormatting>
  <conditionalFormatting sqref="Y2523">
    <cfRule type="iconSet" priority="1981">
      <iconSet iconSet="3Arrows">
        <cfvo type="percent" val="0"/>
        <cfvo type="num" val="0.7"/>
        <cfvo type="num" val="1"/>
      </iconSet>
    </cfRule>
    <cfRule type="dataBar" priority="1982">
      <dataBar>
        <cfvo type="num" val="0"/>
        <cfvo type="num" val="1"/>
        <color theme="4" tint="0.79998168889431442"/>
      </dataBar>
      <extLst>
        <ext xmlns:x14="http://schemas.microsoft.com/office/spreadsheetml/2009/9/main" uri="{B025F937-C7B1-47D3-B67F-A62EFF666E3E}">
          <x14:id>{242E9343-95D0-416B-B79F-525262F51D15}</x14:id>
        </ext>
      </extLst>
    </cfRule>
  </conditionalFormatting>
  <conditionalFormatting sqref="Y2527">
    <cfRule type="iconSet" priority="1979">
      <iconSet iconSet="3Arrows">
        <cfvo type="percent" val="0"/>
        <cfvo type="num" val="0.7"/>
        <cfvo type="num" val="1"/>
      </iconSet>
    </cfRule>
    <cfRule type="dataBar" priority="1980">
      <dataBar>
        <cfvo type="num" val="0"/>
        <cfvo type="num" val="1"/>
        <color theme="4" tint="0.79998168889431442"/>
      </dataBar>
      <extLst>
        <ext xmlns:x14="http://schemas.microsoft.com/office/spreadsheetml/2009/9/main" uri="{B025F937-C7B1-47D3-B67F-A62EFF666E3E}">
          <x14:id>{EA9A9102-2746-40D0-8E75-493572E0F701}</x14:id>
        </ext>
      </extLst>
    </cfRule>
  </conditionalFormatting>
  <conditionalFormatting sqref="Y2529">
    <cfRule type="iconSet" priority="1977">
      <iconSet iconSet="3Arrows">
        <cfvo type="percent" val="0"/>
        <cfvo type="num" val="0.7"/>
        <cfvo type="num" val="1"/>
      </iconSet>
    </cfRule>
    <cfRule type="dataBar" priority="1978">
      <dataBar>
        <cfvo type="num" val="0"/>
        <cfvo type="num" val="1"/>
        <color theme="4" tint="0.79998168889431442"/>
      </dataBar>
      <extLst>
        <ext xmlns:x14="http://schemas.microsoft.com/office/spreadsheetml/2009/9/main" uri="{B025F937-C7B1-47D3-B67F-A62EFF666E3E}">
          <x14:id>{E4F57E4B-1FD9-4CF3-9DF1-30046F23A959}</x14:id>
        </ext>
      </extLst>
    </cfRule>
  </conditionalFormatting>
  <conditionalFormatting sqref="Y2531 Y2533">
    <cfRule type="iconSet" priority="1975">
      <iconSet iconSet="3Arrows">
        <cfvo type="percent" val="0"/>
        <cfvo type="num" val="0.7"/>
        <cfvo type="num" val="1"/>
      </iconSet>
    </cfRule>
    <cfRule type="dataBar" priority="1976">
      <dataBar>
        <cfvo type="num" val="0"/>
        <cfvo type="num" val="1"/>
        <color theme="4" tint="0.79998168889431442"/>
      </dataBar>
      <extLst>
        <ext xmlns:x14="http://schemas.microsoft.com/office/spreadsheetml/2009/9/main" uri="{B025F937-C7B1-47D3-B67F-A62EFF666E3E}">
          <x14:id>{955A57CE-928F-4DFA-9855-0CE94F55C97B}</x14:id>
        </ext>
      </extLst>
    </cfRule>
  </conditionalFormatting>
  <conditionalFormatting sqref="Y2537">
    <cfRule type="iconSet" priority="1973">
      <iconSet iconSet="3Arrows">
        <cfvo type="percent" val="0"/>
        <cfvo type="num" val="0.7"/>
        <cfvo type="num" val="1"/>
      </iconSet>
    </cfRule>
    <cfRule type="dataBar" priority="1974">
      <dataBar>
        <cfvo type="num" val="0"/>
        <cfvo type="num" val="1"/>
        <color theme="4" tint="0.79998168889431442"/>
      </dataBar>
      <extLst>
        <ext xmlns:x14="http://schemas.microsoft.com/office/spreadsheetml/2009/9/main" uri="{B025F937-C7B1-47D3-B67F-A62EFF666E3E}">
          <x14:id>{D14AA230-FADF-470E-B099-4A921170D8D7}</x14:id>
        </ext>
      </extLst>
    </cfRule>
  </conditionalFormatting>
  <conditionalFormatting sqref="Y2539 Y2541 Y2543">
    <cfRule type="dataBar" priority="1972">
      <dataBar>
        <cfvo type="num" val="0"/>
        <cfvo type="num" val="1"/>
        <color theme="4" tint="0.79998168889431442"/>
      </dataBar>
      <extLst>
        <ext xmlns:x14="http://schemas.microsoft.com/office/spreadsheetml/2009/9/main" uri="{B025F937-C7B1-47D3-B67F-A62EFF666E3E}">
          <x14:id>{CA9DE8F2-2AB4-4849-8159-3C968E35CA29}</x14:id>
        </ext>
      </extLst>
    </cfRule>
    <cfRule type="iconSet" priority="1971">
      <iconSet iconSet="3Arrows">
        <cfvo type="percent" val="0"/>
        <cfvo type="num" val="0.7"/>
        <cfvo type="num" val="1"/>
      </iconSet>
    </cfRule>
  </conditionalFormatting>
  <conditionalFormatting sqref="Y2545 Y2547 Y2549">
    <cfRule type="dataBar" priority="1970">
      <dataBar>
        <cfvo type="num" val="0"/>
        <cfvo type="num" val="1"/>
        <color theme="4" tint="0.79998168889431442"/>
      </dataBar>
      <extLst>
        <ext xmlns:x14="http://schemas.microsoft.com/office/spreadsheetml/2009/9/main" uri="{B025F937-C7B1-47D3-B67F-A62EFF666E3E}">
          <x14:id>{30F470DF-0778-466A-B4B1-D6415AB79051}</x14:id>
        </ext>
      </extLst>
    </cfRule>
    <cfRule type="iconSet" priority="1969">
      <iconSet iconSet="3Arrows">
        <cfvo type="percent" val="0"/>
        <cfvo type="num" val="0.7"/>
        <cfvo type="num" val="1"/>
      </iconSet>
    </cfRule>
  </conditionalFormatting>
  <conditionalFormatting sqref="Y2551 Y2553">
    <cfRule type="dataBar" priority="1968">
      <dataBar>
        <cfvo type="num" val="0"/>
        <cfvo type="num" val="1"/>
        <color theme="4" tint="0.79998168889431442"/>
      </dataBar>
      <extLst>
        <ext xmlns:x14="http://schemas.microsoft.com/office/spreadsheetml/2009/9/main" uri="{B025F937-C7B1-47D3-B67F-A62EFF666E3E}">
          <x14:id>{04C465D4-A7AA-4D0E-A38D-CAA6F4D9E3A2}</x14:id>
        </ext>
      </extLst>
    </cfRule>
    <cfRule type="iconSet" priority="1967">
      <iconSet iconSet="3Arrows">
        <cfvo type="percent" val="0"/>
        <cfvo type="num" val="0.7"/>
        <cfvo type="num" val="1"/>
      </iconSet>
    </cfRule>
  </conditionalFormatting>
  <conditionalFormatting sqref="Y2555 Y2557 Y2559">
    <cfRule type="dataBar" priority="1966">
      <dataBar>
        <cfvo type="num" val="0"/>
        <cfvo type="num" val="1"/>
        <color theme="4" tint="0.79998168889431442"/>
      </dataBar>
      <extLst>
        <ext xmlns:x14="http://schemas.microsoft.com/office/spreadsheetml/2009/9/main" uri="{B025F937-C7B1-47D3-B67F-A62EFF666E3E}">
          <x14:id>{727E54A0-9A32-4717-B7FD-63CDB052BC0B}</x14:id>
        </ext>
      </extLst>
    </cfRule>
    <cfRule type="iconSet" priority="1965">
      <iconSet iconSet="3Arrows">
        <cfvo type="percent" val="0"/>
        <cfvo type="num" val="0.7"/>
        <cfvo type="num" val="1"/>
      </iconSet>
    </cfRule>
  </conditionalFormatting>
  <conditionalFormatting sqref="Y2563">
    <cfRule type="dataBar" priority="1964">
      <dataBar>
        <cfvo type="num" val="0"/>
        <cfvo type="num" val="1"/>
        <color theme="4" tint="0.79998168889431442"/>
      </dataBar>
      <extLst>
        <ext xmlns:x14="http://schemas.microsoft.com/office/spreadsheetml/2009/9/main" uri="{B025F937-C7B1-47D3-B67F-A62EFF666E3E}">
          <x14:id>{08904736-8E9F-451A-A6DF-F28B886E6F54}</x14:id>
        </ext>
      </extLst>
    </cfRule>
    <cfRule type="iconSet" priority="1963">
      <iconSet iconSet="3Arrows">
        <cfvo type="percent" val="0"/>
        <cfvo type="num" val="0.7"/>
        <cfvo type="num" val="1"/>
      </iconSet>
    </cfRule>
  </conditionalFormatting>
  <conditionalFormatting sqref="Y2565 Y2567 Y2569">
    <cfRule type="iconSet" priority="1961">
      <iconSet iconSet="3Arrows">
        <cfvo type="percent" val="0"/>
        <cfvo type="num" val="0.7"/>
        <cfvo type="num" val="1"/>
      </iconSet>
    </cfRule>
    <cfRule type="dataBar" priority="1962">
      <dataBar>
        <cfvo type="num" val="0"/>
        <cfvo type="num" val="1"/>
        <color theme="4" tint="0.79998168889431442"/>
      </dataBar>
      <extLst>
        <ext xmlns:x14="http://schemas.microsoft.com/office/spreadsheetml/2009/9/main" uri="{B025F937-C7B1-47D3-B67F-A62EFF666E3E}">
          <x14:id>{BF8411AB-C568-4B45-8EEB-21BAE9913822}</x14:id>
        </ext>
      </extLst>
    </cfRule>
  </conditionalFormatting>
  <conditionalFormatting sqref="Y2571 Y2573 Y2575">
    <cfRule type="iconSet" priority="1959">
      <iconSet iconSet="3Arrows">
        <cfvo type="percent" val="0"/>
        <cfvo type="num" val="0.7"/>
        <cfvo type="num" val="1"/>
      </iconSet>
    </cfRule>
    <cfRule type="dataBar" priority="1960">
      <dataBar>
        <cfvo type="num" val="0"/>
        <cfvo type="num" val="1"/>
        <color theme="4" tint="0.79998168889431442"/>
      </dataBar>
      <extLst>
        <ext xmlns:x14="http://schemas.microsoft.com/office/spreadsheetml/2009/9/main" uri="{B025F937-C7B1-47D3-B67F-A62EFF666E3E}">
          <x14:id>{CA307CFE-5623-428D-83E6-119A8AC0B3AF}</x14:id>
        </ext>
      </extLst>
    </cfRule>
  </conditionalFormatting>
  <conditionalFormatting sqref="Y2577 Y2579 Y2581">
    <cfRule type="iconSet" priority="1957">
      <iconSet iconSet="3Arrows">
        <cfvo type="percent" val="0"/>
        <cfvo type="num" val="0.7"/>
        <cfvo type="num" val="1"/>
      </iconSet>
    </cfRule>
    <cfRule type="dataBar" priority="1958">
      <dataBar>
        <cfvo type="num" val="0"/>
        <cfvo type="num" val="1"/>
        <color theme="4" tint="0.79998168889431442"/>
      </dataBar>
      <extLst>
        <ext xmlns:x14="http://schemas.microsoft.com/office/spreadsheetml/2009/9/main" uri="{B025F937-C7B1-47D3-B67F-A62EFF666E3E}">
          <x14:id>{FB8E7857-DFA7-4E4E-BDBD-C39544013027}</x14:id>
        </ext>
      </extLst>
    </cfRule>
  </conditionalFormatting>
  <conditionalFormatting sqref="Y2583 Y2585 Y2587">
    <cfRule type="iconSet" priority="1955">
      <iconSet iconSet="3Arrows">
        <cfvo type="percent" val="0"/>
        <cfvo type="num" val="0.7"/>
        <cfvo type="num" val="1"/>
      </iconSet>
    </cfRule>
    <cfRule type="dataBar" priority="1956">
      <dataBar>
        <cfvo type="num" val="0"/>
        <cfvo type="num" val="1"/>
        <color theme="4" tint="0.79998168889431442"/>
      </dataBar>
      <extLst>
        <ext xmlns:x14="http://schemas.microsoft.com/office/spreadsheetml/2009/9/main" uri="{B025F937-C7B1-47D3-B67F-A62EFF666E3E}">
          <x14:id>{6F1472AB-342B-45BA-93E8-1B45BD185BE6}</x14:id>
        </ext>
      </extLst>
    </cfRule>
  </conditionalFormatting>
  <conditionalFormatting sqref="Y2589 Y2591 Y2593">
    <cfRule type="dataBar" priority="1954">
      <dataBar>
        <cfvo type="num" val="0"/>
        <cfvo type="num" val="1"/>
        <color theme="4" tint="0.79998168889431442"/>
      </dataBar>
      <extLst>
        <ext xmlns:x14="http://schemas.microsoft.com/office/spreadsheetml/2009/9/main" uri="{B025F937-C7B1-47D3-B67F-A62EFF666E3E}">
          <x14:id>{0B2876F7-8F22-4877-81F4-85964C6EF783}</x14:id>
        </ext>
      </extLst>
    </cfRule>
    <cfRule type="iconSet" priority="1953">
      <iconSet iconSet="3Arrows">
        <cfvo type="percent" val="0"/>
        <cfvo type="num" val="0.7"/>
        <cfvo type="num" val="1"/>
      </iconSet>
    </cfRule>
  </conditionalFormatting>
  <conditionalFormatting sqref="Y2595 Y2597 Y2599">
    <cfRule type="iconSet" priority="1951">
      <iconSet iconSet="3Arrows">
        <cfvo type="percent" val="0"/>
        <cfvo type="num" val="0.7"/>
        <cfvo type="num" val="1"/>
      </iconSet>
    </cfRule>
    <cfRule type="dataBar" priority="1952">
      <dataBar>
        <cfvo type="num" val="0"/>
        <cfvo type="num" val="1"/>
        <color theme="4" tint="0.79998168889431442"/>
      </dataBar>
      <extLst>
        <ext xmlns:x14="http://schemas.microsoft.com/office/spreadsheetml/2009/9/main" uri="{B025F937-C7B1-47D3-B67F-A62EFF666E3E}">
          <x14:id>{659565FF-8311-46CC-A626-2E3CE9093E2A}</x14:id>
        </ext>
      </extLst>
    </cfRule>
  </conditionalFormatting>
  <conditionalFormatting sqref="Y2601">
    <cfRule type="dataBar" priority="1950">
      <dataBar>
        <cfvo type="num" val="0"/>
        <cfvo type="num" val="1"/>
        <color theme="4" tint="0.79998168889431442"/>
      </dataBar>
      <extLst>
        <ext xmlns:x14="http://schemas.microsoft.com/office/spreadsheetml/2009/9/main" uri="{B025F937-C7B1-47D3-B67F-A62EFF666E3E}">
          <x14:id>{70468120-F380-427F-AF21-BE6F3B8FB2DE}</x14:id>
        </ext>
      </extLst>
    </cfRule>
    <cfRule type="iconSet" priority="1949">
      <iconSet iconSet="3Arrows">
        <cfvo type="percent" val="0"/>
        <cfvo type="num" val="0.7"/>
        <cfvo type="num" val="1"/>
      </iconSet>
    </cfRule>
  </conditionalFormatting>
  <conditionalFormatting sqref="Y2605">
    <cfRule type="dataBar" priority="1948">
      <dataBar>
        <cfvo type="num" val="0"/>
        <cfvo type="num" val="1"/>
        <color theme="4" tint="0.79998168889431442"/>
      </dataBar>
      <extLst>
        <ext xmlns:x14="http://schemas.microsoft.com/office/spreadsheetml/2009/9/main" uri="{B025F937-C7B1-47D3-B67F-A62EFF666E3E}">
          <x14:id>{88B763BF-F6EC-40C6-B844-C68C03153549}</x14:id>
        </ext>
      </extLst>
    </cfRule>
    <cfRule type="iconSet" priority="1947">
      <iconSet iconSet="3Arrows">
        <cfvo type="percent" val="0"/>
        <cfvo type="num" val="0.7"/>
        <cfvo type="num" val="1"/>
      </iconSet>
    </cfRule>
  </conditionalFormatting>
  <conditionalFormatting sqref="Y2609">
    <cfRule type="dataBar" priority="1946">
      <dataBar>
        <cfvo type="num" val="0"/>
        <cfvo type="num" val="1"/>
        <color theme="4" tint="0.79998168889431442"/>
      </dataBar>
      <extLst>
        <ext xmlns:x14="http://schemas.microsoft.com/office/spreadsheetml/2009/9/main" uri="{B025F937-C7B1-47D3-B67F-A62EFF666E3E}">
          <x14:id>{98F068A4-BFF5-49FB-AF0A-63138DC0523D}</x14:id>
        </ext>
      </extLst>
    </cfRule>
    <cfRule type="iconSet" priority="1945">
      <iconSet iconSet="3Arrows">
        <cfvo type="percent" val="0"/>
        <cfvo type="num" val="0.7"/>
        <cfvo type="num" val="1"/>
      </iconSet>
    </cfRule>
  </conditionalFormatting>
  <conditionalFormatting sqref="Y2611">
    <cfRule type="dataBar" priority="1944">
      <dataBar>
        <cfvo type="num" val="0"/>
        <cfvo type="num" val="1"/>
        <color theme="4" tint="0.79998168889431442"/>
      </dataBar>
      <extLst>
        <ext xmlns:x14="http://schemas.microsoft.com/office/spreadsheetml/2009/9/main" uri="{B025F937-C7B1-47D3-B67F-A62EFF666E3E}">
          <x14:id>{49734C4B-C75B-4C66-B53A-2814D9962396}</x14:id>
        </ext>
      </extLst>
    </cfRule>
    <cfRule type="iconSet" priority="1943">
      <iconSet iconSet="3Arrows">
        <cfvo type="percent" val="0"/>
        <cfvo type="num" val="0.7"/>
        <cfvo type="num" val="1"/>
      </iconSet>
    </cfRule>
  </conditionalFormatting>
  <conditionalFormatting sqref="Y2613 Y2615">
    <cfRule type="iconSet" priority="1941">
      <iconSet iconSet="3Arrows">
        <cfvo type="percent" val="0"/>
        <cfvo type="num" val="0.7"/>
        <cfvo type="num" val="1"/>
      </iconSet>
    </cfRule>
    <cfRule type="dataBar" priority="1942">
      <dataBar>
        <cfvo type="num" val="0"/>
        <cfvo type="num" val="1"/>
        <color theme="4" tint="0.79998168889431442"/>
      </dataBar>
      <extLst>
        <ext xmlns:x14="http://schemas.microsoft.com/office/spreadsheetml/2009/9/main" uri="{B025F937-C7B1-47D3-B67F-A62EFF666E3E}">
          <x14:id>{933944A9-36EB-4429-9935-C34333112A67}</x14:id>
        </ext>
      </extLst>
    </cfRule>
  </conditionalFormatting>
  <conditionalFormatting sqref="Y2617">
    <cfRule type="dataBar" priority="1940">
      <dataBar>
        <cfvo type="num" val="0"/>
        <cfvo type="num" val="1"/>
        <color theme="4" tint="0.79998168889431442"/>
      </dataBar>
      <extLst>
        <ext xmlns:x14="http://schemas.microsoft.com/office/spreadsheetml/2009/9/main" uri="{B025F937-C7B1-47D3-B67F-A62EFF666E3E}">
          <x14:id>{1918F0A3-10E9-4C57-A2CD-F1812196975D}</x14:id>
        </ext>
      </extLst>
    </cfRule>
    <cfRule type="iconSet" priority="1939">
      <iconSet iconSet="3Arrows">
        <cfvo type="percent" val="0"/>
        <cfvo type="num" val="0.7"/>
        <cfvo type="num" val="1"/>
      </iconSet>
    </cfRule>
  </conditionalFormatting>
  <conditionalFormatting sqref="Y2619 Y2621">
    <cfRule type="iconSet" priority="1937">
      <iconSet iconSet="3Arrows">
        <cfvo type="percent" val="0"/>
        <cfvo type="num" val="0.7"/>
        <cfvo type="num" val="1"/>
      </iconSet>
    </cfRule>
    <cfRule type="dataBar" priority="1938">
      <dataBar>
        <cfvo type="num" val="0"/>
        <cfvo type="num" val="1"/>
        <color theme="4" tint="0.79998168889431442"/>
      </dataBar>
      <extLst>
        <ext xmlns:x14="http://schemas.microsoft.com/office/spreadsheetml/2009/9/main" uri="{B025F937-C7B1-47D3-B67F-A62EFF666E3E}">
          <x14:id>{3CE3F5C7-7525-409D-8674-EAA7BCE3C1F9}</x14:id>
        </ext>
      </extLst>
    </cfRule>
  </conditionalFormatting>
  <conditionalFormatting sqref="Y2623">
    <cfRule type="iconSet" priority="1935">
      <iconSet iconSet="3Arrows">
        <cfvo type="percent" val="0"/>
        <cfvo type="num" val="0.7"/>
        <cfvo type="num" val="1"/>
      </iconSet>
    </cfRule>
    <cfRule type="dataBar" priority="1936">
      <dataBar>
        <cfvo type="num" val="0"/>
        <cfvo type="num" val="1"/>
        <color theme="4" tint="0.79998168889431442"/>
      </dataBar>
      <extLst>
        <ext xmlns:x14="http://schemas.microsoft.com/office/spreadsheetml/2009/9/main" uri="{B025F937-C7B1-47D3-B67F-A62EFF666E3E}">
          <x14:id>{F4C3528B-A792-43EF-AE90-2D3A4BE45D67}</x14:id>
        </ext>
      </extLst>
    </cfRule>
  </conditionalFormatting>
  <conditionalFormatting sqref="Y2625">
    <cfRule type="dataBar" priority="1934">
      <dataBar>
        <cfvo type="num" val="0"/>
        <cfvo type="num" val="1"/>
        <color theme="4" tint="0.79998168889431442"/>
      </dataBar>
      <extLst>
        <ext xmlns:x14="http://schemas.microsoft.com/office/spreadsheetml/2009/9/main" uri="{B025F937-C7B1-47D3-B67F-A62EFF666E3E}">
          <x14:id>{66BB4595-1938-457F-BDC2-545347856343}</x14:id>
        </ext>
      </extLst>
    </cfRule>
    <cfRule type="iconSet" priority="1933">
      <iconSet iconSet="3Arrows">
        <cfvo type="percent" val="0"/>
        <cfvo type="num" val="0.7"/>
        <cfvo type="num" val="1"/>
      </iconSet>
    </cfRule>
  </conditionalFormatting>
  <conditionalFormatting sqref="Y2627">
    <cfRule type="dataBar" priority="1932">
      <dataBar>
        <cfvo type="num" val="0"/>
        <cfvo type="num" val="1"/>
        <color theme="4" tint="0.79998168889431442"/>
      </dataBar>
      <extLst>
        <ext xmlns:x14="http://schemas.microsoft.com/office/spreadsheetml/2009/9/main" uri="{B025F937-C7B1-47D3-B67F-A62EFF666E3E}">
          <x14:id>{F05701C8-1AF2-43A1-9D13-0D64791220A4}</x14:id>
        </ext>
      </extLst>
    </cfRule>
    <cfRule type="iconSet" priority="1931">
      <iconSet iconSet="3Arrows">
        <cfvo type="percent" val="0"/>
        <cfvo type="num" val="0.7"/>
        <cfvo type="num" val="1"/>
      </iconSet>
    </cfRule>
  </conditionalFormatting>
  <conditionalFormatting sqref="Y2629">
    <cfRule type="dataBar" priority="1930">
      <dataBar>
        <cfvo type="num" val="0"/>
        <cfvo type="num" val="1"/>
        <color theme="4" tint="0.79998168889431442"/>
      </dataBar>
      <extLst>
        <ext xmlns:x14="http://schemas.microsoft.com/office/spreadsheetml/2009/9/main" uri="{B025F937-C7B1-47D3-B67F-A62EFF666E3E}">
          <x14:id>{86AFDFA9-29C6-4A9C-9CB2-AA559872999A}</x14:id>
        </ext>
      </extLst>
    </cfRule>
    <cfRule type="iconSet" priority="1929">
      <iconSet iconSet="3Arrows">
        <cfvo type="percent" val="0"/>
        <cfvo type="num" val="0.7"/>
        <cfvo type="num" val="1"/>
      </iconSet>
    </cfRule>
  </conditionalFormatting>
  <conditionalFormatting sqref="Y2631 Y2633">
    <cfRule type="dataBar" priority="1928">
      <dataBar>
        <cfvo type="num" val="0"/>
        <cfvo type="num" val="1"/>
        <color theme="4" tint="0.79998168889431442"/>
      </dataBar>
      <extLst>
        <ext xmlns:x14="http://schemas.microsoft.com/office/spreadsheetml/2009/9/main" uri="{B025F937-C7B1-47D3-B67F-A62EFF666E3E}">
          <x14:id>{8ABBCA42-F9A3-40A9-8540-37E50A7C455B}</x14:id>
        </ext>
      </extLst>
    </cfRule>
    <cfRule type="iconSet" priority="1927">
      <iconSet iconSet="3Arrows">
        <cfvo type="percent" val="0"/>
        <cfvo type="num" val="0.7"/>
        <cfvo type="num" val="1"/>
      </iconSet>
    </cfRule>
  </conditionalFormatting>
  <conditionalFormatting sqref="Y2635">
    <cfRule type="dataBar" priority="1926">
      <dataBar>
        <cfvo type="num" val="0"/>
        <cfvo type="num" val="1"/>
        <color theme="4" tint="0.79998168889431442"/>
      </dataBar>
      <extLst>
        <ext xmlns:x14="http://schemas.microsoft.com/office/spreadsheetml/2009/9/main" uri="{B025F937-C7B1-47D3-B67F-A62EFF666E3E}">
          <x14:id>{99B9A135-08AB-40EA-BAF7-F67C36D2DE21}</x14:id>
        </ext>
      </extLst>
    </cfRule>
    <cfRule type="iconSet" priority="1925">
      <iconSet iconSet="3Arrows">
        <cfvo type="percent" val="0"/>
        <cfvo type="num" val="0.7"/>
        <cfvo type="num" val="1"/>
      </iconSet>
    </cfRule>
  </conditionalFormatting>
  <conditionalFormatting sqref="Y2637 Y2639">
    <cfRule type="dataBar" priority="1924">
      <dataBar>
        <cfvo type="num" val="0"/>
        <cfvo type="num" val="1"/>
        <color theme="4" tint="0.79998168889431442"/>
      </dataBar>
      <extLst>
        <ext xmlns:x14="http://schemas.microsoft.com/office/spreadsheetml/2009/9/main" uri="{B025F937-C7B1-47D3-B67F-A62EFF666E3E}">
          <x14:id>{41CC178C-90FC-42BC-9C39-BB7D115FC0D8}</x14:id>
        </ext>
      </extLst>
    </cfRule>
    <cfRule type="iconSet" priority="1923">
      <iconSet iconSet="3Arrows">
        <cfvo type="percent" val="0"/>
        <cfvo type="num" val="0.7"/>
        <cfvo type="num" val="1"/>
      </iconSet>
    </cfRule>
  </conditionalFormatting>
  <conditionalFormatting sqref="Y2641">
    <cfRule type="dataBar" priority="1922">
      <dataBar>
        <cfvo type="num" val="0"/>
        <cfvo type="num" val="1"/>
        <color theme="4" tint="0.79998168889431442"/>
      </dataBar>
      <extLst>
        <ext xmlns:x14="http://schemas.microsoft.com/office/spreadsheetml/2009/9/main" uri="{B025F937-C7B1-47D3-B67F-A62EFF666E3E}">
          <x14:id>{A8648799-0616-4B27-8AA6-028374F80212}</x14:id>
        </ext>
      </extLst>
    </cfRule>
    <cfRule type="iconSet" priority="1921">
      <iconSet iconSet="3Arrows">
        <cfvo type="percent" val="0"/>
        <cfvo type="num" val="0.7"/>
        <cfvo type="num" val="1"/>
      </iconSet>
    </cfRule>
  </conditionalFormatting>
  <conditionalFormatting sqref="Y2643 Y2645">
    <cfRule type="iconSet" priority="1919">
      <iconSet iconSet="3Arrows">
        <cfvo type="percent" val="0"/>
        <cfvo type="num" val="0.7"/>
        <cfvo type="num" val="1"/>
      </iconSet>
    </cfRule>
    <cfRule type="dataBar" priority="1920">
      <dataBar>
        <cfvo type="num" val="0"/>
        <cfvo type="num" val="1"/>
        <color theme="4" tint="0.79998168889431442"/>
      </dataBar>
      <extLst>
        <ext xmlns:x14="http://schemas.microsoft.com/office/spreadsheetml/2009/9/main" uri="{B025F937-C7B1-47D3-B67F-A62EFF666E3E}">
          <x14:id>{5274CD32-6460-4ACA-93CA-22AF63ECB491}</x14:id>
        </ext>
      </extLst>
    </cfRule>
  </conditionalFormatting>
  <conditionalFormatting sqref="Y2647">
    <cfRule type="dataBar" priority="1918">
      <dataBar>
        <cfvo type="num" val="0"/>
        <cfvo type="num" val="1"/>
        <color theme="4" tint="0.79998168889431442"/>
      </dataBar>
      <extLst>
        <ext xmlns:x14="http://schemas.microsoft.com/office/spreadsheetml/2009/9/main" uri="{B025F937-C7B1-47D3-B67F-A62EFF666E3E}">
          <x14:id>{2F4FF4C7-6B79-4CC8-9D08-866F66D88A03}</x14:id>
        </ext>
      </extLst>
    </cfRule>
    <cfRule type="iconSet" priority="1917">
      <iconSet iconSet="3Arrows">
        <cfvo type="percent" val="0"/>
        <cfvo type="num" val="0.7"/>
        <cfvo type="num" val="1"/>
      </iconSet>
    </cfRule>
  </conditionalFormatting>
  <conditionalFormatting sqref="Y2649 Y2651">
    <cfRule type="dataBar" priority="1916">
      <dataBar>
        <cfvo type="num" val="0"/>
        <cfvo type="num" val="1"/>
        <color theme="4" tint="0.79998168889431442"/>
      </dataBar>
      <extLst>
        <ext xmlns:x14="http://schemas.microsoft.com/office/spreadsheetml/2009/9/main" uri="{B025F937-C7B1-47D3-B67F-A62EFF666E3E}">
          <x14:id>{00BC3749-2A23-44EE-8936-D45238885FE7}</x14:id>
        </ext>
      </extLst>
    </cfRule>
    <cfRule type="iconSet" priority="1915">
      <iconSet iconSet="3Arrows">
        <cfvo type="percent" val="0"/>
        <cfvo type="num" val="0.7"/>
        <cfvo type="num" val="1"/>
      </iconSet>
    </cfRule>
  </conditionalFormatting>
  <conditionalFormatting sqref="Y2653">
    <cfRule type="iconSet" priority="1913">
      <iconSet iconSet="3Arrows">
        <cfvo type="percent" val="0"/>
        <cfvo type="num" val="0.7"/>
        <cfvo type="num" val="1"/>
      </iconSet>
    </cfRule>
    <cfRule type="dataBar" priority="1914">
      <dataBar>
        <cfvo type="num" val="0"/>
        <cfvo type="num" val="1"/>
        <color theme="4" tint="0.79998168889431442"/>
      </dataBar>
      <extLst>
        <ext xmlns:x14="http://schemas.microsoft.com/office/spreadsheetml/2009/9/main" uri="{B025F937-C7B1-47D3-B67F-A62EFF666E3E}">
          <x14:id>{82B5FE23-DEA8-4253-B6FC-DADCE45B0700}</x14:id>
        </ext>
      </extLst>
    </cfRule>
  </conditionalFormatting>
  <conditionalFormatting sqref="Y2655 Y2657">
    <cfRule type="iconSet" priority="1911">
      <iconSet iconSet="3Arrows">
        <cfvo type="percent" val="0"/>
        <cfvo type="num" val="0.7"/>
        <cfvo type="num" val="1"/>
      </iconSet>
    </cfRule>
    <cfRule type="dataBar" priority="1912">
      <dataBar>
        <cfvo type="num" val="0"/>
        <cfvo type="num" val="1"/>
        <color theme="4" tint="0.79998168889431442"/>
      </dataBar>
      <extLst>
        <ext xmlns:x14="http://schemas.microsoft.com/office/spreadsheetml/2009/9/main" uri="{B025F937-C7B1-47D3-B67F-A62EFF666E3E}">
          <x14:id>{877DC6F4-BB12-4ACF-A5EB-B2C1E1CE86CE}</x14:id>
        </ext>
      </extLst>
    </cfRule>
  </conditionalFormatting>
  <conditionalFormatting sqref="Y2659">
    <cfRule type="iconSet" priority="1909">
      <iconSet iconSet="3Arrows">
        <cfvo type="percent" val="0"/>
        <cfvo type="num" val="0.7"/>
        <cfvo type="num" val="1"/>
      </iconSet>
    </cfRule>
    <cfRule type="dataBar" priority="1910">
      <dataBar>
        <cfvo type="num" val="0"/>
        <cfvo type="num" val="1"/>
        <color theme="4" tint="0.79998168889431442"/>
      </dataBar>
      <extLst>
        <ext xmlns:x14="http://schemas.microsoft.com/office/spreadsheetml/2009/9/main" uri="{B025F937-C7B1-47D3-B67F-A62EFF666E3E}">
          <x14:id>{847D4DD1-DC88-46A8-A8C3-570B93A93BED}</x14:id>
        </ext>
      </extLst>
    </cfRule>
  </conditionalFormatting>
  <conditionalFormatting sqref="Y2661 Y2663">
    <cfRule type="iconSet" priority="1907">
      <iconSet iconSet="3Arrows">
        <cfvo type="percent" val="0"/>
        <cfvo type="num" val="0.7"/>
        <cfvo type="num" val="1"/>
      </iconSet>
    </cfRule>
    <cfRule type="dataBar" priority="1908">
      <dataBar>
        <cfvo type="num" val="0"/>
        <cfvo type="num" val="1"/>
        <color theme="4" tint="0.79998168889431442"/>
      </dataBar>
      <extLst>
        <ext xmlns:x14="http://schemas.microsoft.com/office/spreadsheetml/2009/9/main" uri="{B025F937-C7B1-47D3-B67F-A62EFF666E3E}">
          <x14:id>{DD25C093-0F6D-4A54-A580-CA2C092CB377}</x14:id>
        </ext>
      </extLst>
    </cfRule>
  </conditionalFormatting>
  <conditionalFormatting sqref="Y2665">
    <cfRule type="iconSet" priority="1905">
      <iconSet iconSet="3Arrows">
        <cfvo type="percent" val="0"/>
        <cfvo type="num" val="0.7"/>
        <cfvo type="num" val="1"/>
      </iconSet>
    </cfRule>
    <cfRule type="dataBar" priority="1906">
      <dataBar>
        <cfvo type="num" val="0"/>
        <cfvo type="num" val="1"/>
        <color theme="4" tint="0.79998168889431442"/>
      </dataBar>
      <extLst>
        <ext xmlns:x14="http://schemas.microsoft.com/office/spreadsheetml/2009/9/main" uri="{B025F937-C7B1-47D3-B67F-A62EFF666E3E}">
          <x14:id>{7CA7A769-42FD-433B-B7FE-50E8432D5321}</x14:id>
        </ext>
      </extLst>
    </cfRule>
  </conditionalFormatting>
  <conditionalFormatting sqref="Y2667 Y2669">
    <cfRule type="iconSet" priority="1903">
      <iconSet iconSet="3Arrows">
        <cfvo type="percent" val="0"/>
        <cfvo type="num" val="0.7"/>
        <cfvo type="num" val="1"/>
      </iconSet>
    </cfRule>
    <cfRule type="dataBar" priority="1904">
      <dataBar>
        <cfvo type="num" val="0"/>
        <cfvo type="num" val="1"/>
        <color theme="4" tint="0.79998168889431442"/>
      </dataBar>
      <extLst>
        <ext xmlns:x14="http://schemas.microsoft.com/office/spreadsheetml/2009/9/main" uri="{B025F937-C7B1-47D3-B67F-A62EFF666E3E}">
          <x14:id>{DAC08FA9-9B3B-41EC-812E-8E4067AC895E}</x14:id>
        </ext>
      </extLst>
    </cfRule>
  </conditionalFormatting>
  <conditionalFormatting sqref="Y2672">
    <cfRule type="iconSet" priority="1901">
      <iconSet iconSet="3Arrows">
        <cfvo type="percent" val="0"/>
        <cfvo type="num" val="0.7"/>
        <cfvo type="num" val="1"/>
      </iconSet>
    </cfRule>
    <cfRule type="dataBar" priority="1902">
      <dataBar>
        <cfvo type="num" val="0"/>
        <cfvo type="num" val="1"/>
        <color theme="4" tint="0.79998168889431442"/>
      </dataBar>
      <extLst>
        <ext xmlns:x14="http://schemas.microsoft.com/office/spreadsheetml/2009/9/main" uri="{B025F937-C7B1-47D3-B67F-A62EFF666E3E}">
          <x14:id>{E8B48020-F299-4157-84C4-3C641E2095AF}</x14:id>
        </ext>
      </extLst>
    </cfRule>
  </conditionalFormatting>
  <conditionalFormatting sqref="Y2674">
    <cfRule type="iconSet" priority="1899">
      <iconSet iconSet="3Arrows">
        <cfvo type="percent" val="0"/>
        <cfvo type="num" val="0.7"/>
        <cfvo type="num" val="1"/>
      </iconSet>
    </cfRule>
    <cfRule type="dataBar" priority="1900">
      <dataBar>
        <cfvo type="num" val="0"/>
        <cfvo type="num" val="1"/>
        <color theme="4" tint="0.79998168889431442"/>
      </dataBar>
      <extLst>
        <ext xmlns:x14="http://schemas.microsoft.com/office/spreadsheetml/2009/9/main" uri="{B025F937-C7B1-47D3-B67F-A62EFF666E3E}">
          <x14:id>{9C01B365-2130-4809-A805-742B41E257F5}</x14:id>
        </ext>
      </extLst>
    </cfRule>
  </conditionalFormatting>
  <conditionalFormatting sqref="Y2676">
    <cfRule type="iconSet" priority="1897">
      <iconSet iconSet="3Arrows">
        <cfvo type="percent" val="0"/>
        <cfvo type="num" val="0.7"/>
        <cfvo type="num" val="1"/>
      </iconSet>
    </cfRule>
    <cfRule type="dataBar" priority="1898">
      <dataBar>
        <cfvo type="num" val="0"/>
        <cfvo type="num" val="1"/>
        <color theme="4" tint="0.79998168889431442"/>
      </dataBar>
      <extLst>
        <ext xmlns:x14="http://schemas.microsoft.com/office/spreadsheetml/2009/9/main" uri="{B025F937-C7B1-47D3-B67F-A62EFF666E3E}">
          <x14:id>{CC0A3F83-9506-4F88-BFA1-1AA097AA9930}</x14:id>
        </ext>
      </extLst>
    </cfRule>
  </conditionalFormatting>
  <conditionalFormatting sqref="Y2678">
    <cfRule type="dataBar" priority="1896">
      <dataBar>
        <cfvo type="num" val="0"/>
        <cfvo type="num" val="1"/>
        <color theme="4" tint="0.79998168889431442"/>
      </dataBar>
      <extLst>
        <ext xmlns:x14="http://schemas.microsoft.com/office/spreadsheetml/2009/9/main" uri="{B025F937-C7B1-47D3-B67F-A62EFF666E3E}">
          <x14:id>{A1ACA484-7870-4E44-8E7B-253B85A3616C}</x14:id>
        </ext>
      </extLst>
    </cfRule>
    <cfRule type="iconSet" priority="1895">
      <iconSet iconSet="3Arrows">
        <cfvo type="percent" val="0"/>
        <cfvo type="num" val="0.7"/>
        <cfvo type="num" val="1"/>
      </iconSet>
    </cfRule>
  </conditionalFormatting>
  <conditionalFormatting sqref="Y2680 Y2682">
    <cfRule type="iconSet" priority="1893">
      <iconSet iconSet="3Arrows">
        <cfvo type="percent" val="0"/>
        <cfvo type="num" val="0.7"/>
        <cfvo type="num" val="1"/>
      </iconSet>
    </cfRule>
    <cfRule type="dataBar" priority="1894">
      <dataBar>
        <cfvo type="num" val="0"/>
        <cfvo type="num" val="1"/>
        <color theme="4" tint="0.79998168889431442"/>
      </dataBar>
      <extLst>
        <ext xmlns:x14="http://schemas.microsoft.com/office/spreadsheetml/2009/9/main" uri="{B025F937-C7B1-47D3-B67F-A62EFF666E3E}">
          <x14:id>{01CCF4B4-99E6-47BC-B5F7-31085C2746D1}</x14:id>
        </ext>
      </extLst>
    </cfRule>
  </conditionalFormatting>
  <conditionalFormatting sqref="Y2684">
    <cfRule type="iconSet" priority="1891">
      <iconSet iconSet="3Arrows">
        <cfvo type="percent" val="0"/>
        <cfvo type="num" val="0.7"/>
        <cfvo type="num" val="1"/>
      </iconSet>
    </cfRule>
    <cfRule type="dataBar" priority="1892">
      <dataBar>
        <cfvo type="num" val="0"/>
        <cfvo type="num" val="1"/>
        <color theme="4" tint="0.79998168889431442"/>
      </dataBar>
      <extLst>
        <ext xmlns:x14="http://schemas.microsoft.com/office/spreadsheetml/2009/9/main" uri="{B025F937-C7B1-47D3-B67F-A62EFF666E3E}">
          <x14:id>{0CF5DD39-D7A1-4C91-81F5-E4AC191BA91C}</x14:id>
        </ext>
      </extLst>
    </cfRule>
  </conditionalFormatting>
  <conditionalFormatting sqref="Y2686 Y2688">
    <cfRule type="iconSet" priority="1889">
      <iconSet iconSet="3Arrows">
        <cfvo type="percent" val="0"/>
        <cfvo type="num" val="0.7"/>
        <cfvo type="num" val="1"/>
      </iconSet>
    </cfRule>
    <cfRule type="dataBar" priority="1890">
      <dataBar>
        <cfvo type="num" val="0"/>
        <cfvo type="num" val="1"/>
        <color theme="4" tint="0.79998168889431442"/>
      </dataBar>
      <extLst>
        <ext xmlns:x14="http://schemas.microsoft.com/office/spreadsheetml/2009/9/main" uri="{B025F937-C7B1-47D3-B67F-A62EFF666E3E}">
          <x14:id>{99E47AB8-65AD-40E9-A012-627D0A73BB26}</x14:id>
        </ext>
      </extLst>
    </cfRule>
  </conditionalFormatting>
  <conditionalFormatting sqref="Y2690">
    <cfRule type="iconSet" priority="1887">
      <iconSet iconSet="3Arrows">
        <cfvo type="percent" val="0"/>
        <cfvo type="num" val="0.7"/>
        <cfvo type="num" val="1"/>
      </iconSet>
    </cfRule>
    <cfRule type="dataBar" priority="1888">
      <dataBar>
        <cfvo type="num" val="0"/>
        <cfvo type="num" val="1"/>
        <color theme="4" tint="0.79998168889431442"/>
      </dataBar>
      <extLst>
        <ext xmlns:x14="http://schemas.microsoft.com/office/spreadsheetml/2009/9/main" uri="{B025F937-C7B1-47D3-B67F-A62EFF666E3E}">
          <x14:id>{63963D9C-FAE4-48DF-AF89-E486EEDDD193}</x14:id>
        </ext>
      </extLst>
    </cfRule>
  </conditionalFormatting>
  <conditionalFormatting sqref="Y2692">
    <cfRule type="iconSet" priority="1885">
      <iconSet iconSet="3Arrows">
        <cfvo type="percent" val="0"/>
        <cfvo type="num" val="0.7"/>
        <cfvo type="num" val="1"/>
      </iconSet>
    </cfRule>
    <cfRule type="dataBar" priority="1886">
      <dataBar>
        <cfvo type="num" val="0"/>
        <cfvo type="num" val="1"/>
        <color theme="4" tint="0.79998168889431442"/>
      </dataBar>
      <extLst>
        <ext xmlns:x14="http://schemas.microsoft.com/office/spreadsheetml/2009/9/main" uri="{B025F937-C7B1-47D3-B67F-A62EFF666E3E}">
          <x14:id>{C04E9568-2BB4-479A-BE9C-6DF31A57B528}</x14:id>
        </ext>
      </extLst>
    </cfRule>
  </conditionalFormatting>
  <conditionalFormatting sqref="Y2694">
    <cfRule type="iconSet" priority="1883">
      <iconSet iconSet="3Arrows">
        <cfvo type="percent" val="0"/>
        <cfvo type="num" val="0.7"/>
        <cfvo type="num" val="1"/>
      </iconSet>
    </cfRule>
    <cfRule type="dataBar" priority="1884">
      <dataBar>
        <cfvo type="num" val="0"/>
        <cfvo type="num" val="1"/>
        <color theme="4" tint="0.79998168889431442"/>
      </dataBar>
      <extLst>
        <ext xmlns:x14="http://schemas.microsoft.com/office/spreadsheetml/2009/9/main" uri="{B025F937-C7B1-47D3-B67F-A62EFF666E3E}">
          <x14:id>{B808364D-8AAC-486D-ACDF-710080884AFD}</x14:id>
        </ext>
      </extLst>
    </cfRule>
  </conditionalFormatting>
  <conditionalFormatting sqref="Y2696 Y2698">
    <cfRule type="iconSet" priority="1881">
      <iconSet iconSet="3Arrows">
        <cfvo type="percent" val="0"/>
        <cfvo type="num" val="0.7"/>
        <cfvo type="num" val="1"/>
      </iconSet>
    </cfRule>
    <cfRule type="dataBar" priority="1882">
      <dataBar>
        <cfvo type="num" val="0"/>
        <cfvo type="num" val="1"/>
        <color theme="4" tint="0.79998168889431442"/>
      </dataBar>
      <extLst>
        <ext xmlns:x14="http://schemas.microsoft.com/office/spreadsheetml/2009/9/main" uri="{B025F937-C7B1-47D3-B67F-A62EFF666E3E}">
          <x14:id>{5E15C274-18D3-45B1-8B34-E76ACE2DBA5D}</x14:id>
        </ext>
      </extLst>
    </cfRule>
  </conditionalFormatting>
  <conditionalFormatting sqref="Y2700">
    <cfRule type="iconSet" priority="1879">
      <iconSet iconSet="3Arrows">
        <cfvo type="percent" val="0"/>
        <cfvo type="num" val="0.7"/>
        <cfvo type="num" val="1"/>
      </iconSet>
    </cfRule>
    <cfRule type="dataBar" priority="1880">
      <dataBar>
        <cfvo type="num" val="0"/>
        <cfvo type="num" val="1"/>
        <color theme="4" tint="0.79998168889431442"/>
      </dataBar>
      <extLst>
        <ext xmlns:x14="http://schemas.microsoft.com/office/spreadsheetml/2009/9/main" uri="{B025F937-C7B1-47D3-B67F-A62EFF666E3E}">
          <x14:id>{F9C69B0A-758D-47C8-8B3F-A28476C1AC55}</x14:id>
        </ext>
      </extLst>
    </cfRule>
  </conditionalFormatting>
  <conditionalFormatting sqref="Y2702 Y2704">
    <cfRule type="iconSet" priority="1877">
      <iconSet iconSet="3Arrows">
        <cfvo type="percent" val="0"/>
        <cfvo type="num" val="0.7"/>
        <cfvo type="num" val="1"/>
      </iconSet>
    </cfRule>
    <cfRule type="dataBar" priority="1878">
      <dataBar>
        <cfvo type="num" val="0"/>
        <cfvo type="num" val="1"/>
        <color theme="4" tint="0.79998168889431442"/>
      </dataBar>
      <extLst>
        <ext xmlns:x14="http://schemas.microsoft.com/office/spreadsheetml/2009/9/main" uri="{B025F937-C7B1-47D3-B67F-A62EFF666E3E}">
          <x14:id>{050499F9-9B38-4C08-A642-3C912F8D4196}</x14:id>
        </ext>
      </extLst>
    </cfRule>
  </conditionalFormatting>
  <conditionalFormatting sqref="Y2706">
    <cfRule type="dataBar" priority="1876">
      <dataBar>
        <cfvo type="num" val="0"/>
        <cfvo type="num" val="1"/>
        <color theme="4" tint="0.79998168889431442"/>
      </dataBar>
      <extLst>
        <ext xmlns:x14="http://schemas.microsoft.com/office/spreadsheetml/2009/9/main" uri="{B025F937-C7B1-47D3-B67F-A62EFF666E3E}">
          <x14:id>{9E6689F1-05E5-47C3-B557-1C6699272477}</x14:id>
        </ext>
      </extLst>
    </cfRule>
    <cfRule type="iconSet" priority="1875">
      <iconSet iconSet="3Arrows">
        <cfvo type="percent" val="0"/>
        <cfvo type="num" val="0.7"/>
        <cfvo type="num" val="1"/>
      </iconSet>
    </cfRule>
  </conditionalFormatting>
  <conditionalFormatting sqref="Y2708">
    <cfRule type="dataBar" priority="1874">
      <dataBar>
        <cfvo type="num" val="0"/>
        <cfvo type="num" val="1"/>
        <color theme="4" tint="0.79998168889431442"/>
      </dataBar>
      <extLst>
        <ext xmlns:x14="http://schemas.microsoft.com/office/spreadsheetml/2009/9/main" uri="{B025F937-C7B1-47D3-B67F-A62EFF666E3E}">
          <x14:id>{FBBD0ABA-7824-42AE-BC6B-3FBF0378AC81}</x14:id>
        </ext>
      </extLst>
    </cfRule>
    <cfRule type="iconSet" priority="1873">
      <iconSet iconSet="3Arrows">
        <cfvo type="percent" val="0"/>
        <cfvo type="num" val="0.7"/>
        <cfvo type="num" val="1"/>
      </iconSet>
    </cfRule>
  </conditionalFormatting>
  <conditionalFormatting sqref="Y2710">
    <cfRule type="iconSet" priority="1871">
      <iconSet iconSet="3Arrows">
        <cfvo type="percent" val="0"/>
        <cfvo type="num" val="0.7"/>
        <cfvo type="num" val="1"/>
      </iconSet>
    </cfRule>
    <cfRule type="dataBar" priority="1872">
      <dataBar>
        <cfvo type="num" val="0"/>
        <cfvo type="num" val="1"/>
        <color theme="4" tint="0.79998168889431442"/>
      </dataBar>
      <extLst>
        <ext xmlns:x14="http://schemas.microsoft.com/office/spreadsheetml/2009/9/main" uri="{B025F937-C7B1-47D3-B67F-A62EFF666E3E}">
          <x14:id>{EC78938A-E5B5-477A-9F5A-6DBA9D1171AB}</x14:id>
        </ext>
      </extLst>
    </cfRule>
  </conditionalFormatting>
  <conditionalFormatting sqref="Y2712 Y2714">
    <cfRule type="iconSet" priority="1869">
      <iconSet iconSet="3Arrows">
        <cfvo type="percent" val="0"/>
        <cfvo type="num" val="0.7"/>
        <cfvo type="num" val="1"/>
      </iconSet>
    </cfRule>
    <cfRule type="dataBar" priority="1870">
      <dataBar>
        <cfvo type="num" val="0"/>
        <cfvo type="num" val="1"/>
        <color theme="4" tint="0.79998168889431442"/>
      </dataBar>
      <extLst>
        <ext xmlns:x14="http://schemas.microsoft.com/office/spreadsheetml/2009/9/main" uri="{B025F937-C7B1-47D3-B67F-A62EFF666E3E}">
          <x14:id>{DD94BD80-CBBC-4DA5-8115-8F2806B070EE}</x14:id>
        </ext>
      </extLst>
    </cfRule>
  </conditionalFormatting>
  <conditionalFormatting sqref="Y2716">
    <cfRule type="dataBar" priority="1868">
      <dataBar>
        <cfvo type="num" val="0"/>
        <cfvo type="num" val="1"/>
        <color theme="4" tint="0.79998168889431442"/>
      </dataBar>
      <extLst>
        <ext xmlns:x14="http://schemas.microsoft.com/office/spreadsheetml/2009/9/main" uri="{B025F937-C7B1-47D3-B67F-A62EFF666E3E}">
          <x14:id>{3867314B-FB82-4D50-849F-224C75FEBA58}</x14:id>
        </ext>
      </extLst>
    </cfRule>
    <cfRule type="iconSet" priority="1867">
      <iconSet iconSet="3Arrows">
        <cfvo type="percent" val="0"/>
        <cfvo type="num" val="0.7"/>
        <cfvo type="num" val="1"/>
      </iconSet>
    </cfRule>
  </conditionalFormatting>
  <conditionalFormatting sqref="Y2718 Y2720">
    <cfRule type="dataBar" priority="1866">
      <dataBar>
        <cfvo type="num" val="0"/>
        <cfvo type="num" val="1"/>
        <color theme="4" tint="0.79998168889431442"/>
      </dataBar>
      <extLst>
        <ext xmlns:x14="http://schemas.microsoft.com/office/spreadsheetml/2009/9/main" uri="{B025F937-C7B1-47D3-B67F-A62EFF666E3E}">
          <x14:id>{F78C284D-B89D-4CC9-BAAD-B8EE78CF707E}</x14:id>
        </ext>
      </extLst>
    </cfRule>
    <cfRule type="iconSet" priority="1865">
      <iconSet iconSet="3Arrows">
        <cfvo type="percent" val="0"/>
        <cfvo type="num" val="0.7"/>
        <cfvo type="num" val="1"/>
      </iconSet>
    </cfRule>
  </conditionalFormatting>
  <conditionalFormatting sqref="Y2722">
    <cfRule type="iconSet" priority="1863">
      <iconSet iconSet="3Arrows">
        <cfvo type="percent" val="0"/>
        <cfvo type="num" val="0.7"/>
        <cfvo type="num" val="1"/>
      </iconSet>
    </cfRule>
    <cfRule type="dataBar" priority="1864">
      <dataBar>
        <cfvo type="num" val="0"/>
        <cfvo type="num" val="1"/>
        <color theme="4" tint="0.79998168889431442"/>
      </dataBar>
      <extLst>
        <ext xmlns:x14="http://schemas.microsoft.com/office/spreadsheetml/2009/9/main" uri="{B025F937-C7B1-47D3-B67F-A62EFF666E3E}">
          <x14:id>{60574433-9BF0-4074-ABA6-130BC129AA4D}</x14:id>
        </ext>
      </extLst>
    </cfRule>
  </conditionalFormatting>
  <conditionalFormatting sqref="Y2724">
    <cfRule type="iconSet" priority="1861">
      <iconSet iconSet="3Arrows">
        <cfvo type="percent" val="0"/>
        <cfvo type="num" val="0.7"/>
        <cfvo type="num" val="1"/>
      </iconSet>
    </cfRule>
    <cfRule type="dataBar" priority="1862">
      <dataBar>
        <cfvo type="num" val="0"/>
        <cfvo type="num" val="1"/>
        <color theme="4" tint="0.79998168889431442"/>
      </dataBar>
      <extLst>
        <ext xmlns:x14="http://schemas.microsoft.com/office/spreadsheetml/2009/9/main" uri="{B025F937-C7B1-47D3-B67F-A62EFF666E3E}">
          <x14:id>{DF4638F5-FB62-446C-9321-6CCE6A9DE693}</x14:id>
        </ext>
      </extLst>
    </cfRule>
  </conditionalFormatting>
  <conditionalFormatting sqref="Y2726">
    <cfRule type="iconSet" priority="1859">
      <iconSet iconSet="3Arrows">
        <cfvo type="percent" val="0"/>
        <cfvo type="num" val="0.7"/>
        <cfvo type="num" val="1"/>
      </iconSet>
    </cfRule>
    <cfRule type="dataBar" priority="1860">
      <dataBar>
        <cfvo type="num" val="0"/>
        <cfvo type="num" val="1"/>
        <color theme="4" tint="0.79998168889431442"/>
      </dataBar>
      <extLst>
        <ext xmlns:x14="http://schemas.microsoft.com/office/spreadsheetml/2009/9/main" uri="{B025F937-C7B1-47D3-B67F-A62EFF666E3E}">
          <x14:id>{A329324F-B4C9-429F-A3FE-0AEEBC56CF31}</x14:id>
        </ext>
      </extLst>
    </cfRule>
  </conditionalFormatting>
  <conditionalFormatting sqref="Y2728">
    <cfRule type="iconSet" priority="1857">
      <iconSet iconSet="3Arrows">
        <cfvo type="percent" val="0"/>
        <cfvo type="num" val="0.7"/>
        <cfvo type="num" val="1"/>
      </iconSet>
    </cfRule>
    <cfRule type="dataBar" priority="1858">
      <dataBar>
        <cfvo type="num" val="0"/>
        <cfvo type="num" val="1"/>
        <color theme="4" tint="0.79998168889431442"/>
      </dataBar>
      <extLst>
        <ext xmlns:x14="http://schemas.microsoft.com/office/spreadsheetml/2009/9/main" uri="{B025F937-C7B1-47D3-B67F-A62EFF666E3E}">
          <x14:id>{B8B1C54C-80E9-459B-BDAD-12BBDEC4C622}</x14:id>
        </ext>
      </extLst>
    </cfRule>
  </conditionalFormatting>
  <conditionalFormatting sqref="Y2730 Y2732">
    <cfRule type="iconSet" priority="1855">
      <iconSet iconSet="3Arrows">
        <cfvo type="percent" val="0"/>
        <cfvo type="num" val="0.7"/>
        <cfvo type="num" val="1"/>
      </iconSet>
    </cfRule>
    <cfRule type="dataBar" priority="1856">
      <dataBar>
        <cfvo type="num" val="0"/>
        <cfvo type="num" val="1"/>
        <color theme="4" tint="0.79998168889431442"/>
      </dataBar>
      <extLst>
        <ext xmlns:x14="http://schemas.microsoft.com/office/spreadsheetml/2009/9/main" uri="{B025F937-C7B1-47D3-B67F-A62EFF666E3E}">
          <x14:id>{D1173B5F-F9E4-44C2-80CF-4E4669545A2C}</x14:id>
        </ext>
      </extLst>
    </cfRule>
  </conditionalFormatting>
  <conditionalFormatting sqref="Y2734">
    <cfRule type="iconSet" priority="1853">
      <iconSet iconSet="3Arrows">
        <cfvo type="percent" val="0"/>
        <cfvo type="num" val="0.7"/>
        <cfvo type="num" val="1"/>
      </iconSet>
    </cfRule>
    <cfRule type="dataBar" priority="1854">
      <dataBar>
        <cfvo type="num" val="0"/>
        <cfvo type="num" val="1"/>
        <color theme="4" tint="0.79998168889431442"/>
      </dataBar>
      <extLst>
        <ext xmlns:x14="http://schemas.microsoft.com/office/spreadsheetml/2009/9/main" uri="{B025F937-C7B1-47D3-B67F-A62EFF666E3E}">
          <x14:id>{8669100A-FBFF-43DB-9A3F-756E3BDE8F30}</x14:id>
        </ext>
      </extLst>
    </cfRule>
  </conditionalFormatting>
  <conditionalFormatting sqref="Y2738">
    <cfRule type="dataBar" priority="1852">
      <dataBar>
        <cfvo type="num" val="0"/>
        <cfvo type="num" val="1"/>
        <color theme="4" tint="0.79998168889431442"/>
      </dataBar>
      <extLst>
        <ext xmlns:x14="http://schemas.microsoft.com/office/spreadsheetml/2009/9/main" uri="{B025F937-C7B1-47D3-B67F-A62EFF666E3E}">
          <x14:id>{761C1571-5B7E-474E-95C6-0FC5FFBF1753}</x14:id>
        </ext>
      </extLst>
    </cfRule>
    <cfRule type="iconSet" priority="1851">
      <iconSet iconSet="3Arrows">
        <cfvo type="percent" val="0"/>
        <cfvo type="num" val="0.7"/>
        <cfvo type="num" val="1"/>
      </iconSet>
    </cfRule>
  </conditionalFormatting>
  <conditionalFormatting sqref="Y2740 Y2742">
    <cfRule type="dataBar" priority="1850">
      <dataBar>
        <cfvo type="num" val="0"/>
        <cfvo type="num" val="1"/>
        <color theme="4" tint="0.79998168889431442"/>
      </dataBar>
      <extLst>
        <ext xmlns:x14="http://schemas.microsoft.com/office/spreadsheetml/2009/9/main" uri="{B025F937-C7B1-47D3-B67F-A62EFF666E3E}">
          <x14:id>{A3F60F72-7CA0-4CE7-B9BE-ABDB6B01EC13}</x14:id>
        </ext>
      </extLst>
    </cfRule>
    <cfRule type="iconSet" priority="1849">
      <iconSet iconSet="3Arrows">
        <cfvo type="percent" val="0"/>
        <cfvo type="num" val="0.7"/>
        <cfvo type="num" val="1"/>
      </iconSet>
    </cfRule>
  </conditionalFormatting>
  <conditionalFormatting sqref="Y2744 Y2746">
    <cfRule type="iconSet" priority="1847">
      <iconSet iconSet="3Arrows">
        <cfvo type="percent" val="0"/>
        <cfvo type="num" val="0.7"/>
        <cfvo type="num" val="1"/>
      </iconSet>
    </cfRule>
    <cfRule type="dataBar" priority="1848">
      <dataBar>
        <cfvo type="num" val="0"/>
        <cfvo type="num" val="1"/>
        <color theme="4" tint="0.79998168889431442"/>
      </dataBar>
      <extLst>
        <ext xmlns:x14="http://schemas.microsoft.com/office/spreadsheetml/2009/9/main" uri="{B025F937-C7B1-47D3-B67F-A62EFF666E3E}">
          <x14:id>{A6840121-342B-4490-AF68-0537D8307657}</x14:id>
        </ext>
      </extLst>
    </cfRule>
  </conditionalFormatting>
  <conditionalFormatting sqref="Y2748">
    <cfRule type="iconSet" priority="1845">
      <iconSet iconSet="3Arrows">
        <cfvo type="percent" val="0"/>
        <cfvo type="num" val="0.7"/>
        <cfvo type="num" val="1"/>
      </iconSet>
    </cfRule>
    <cfRule type="dataBar" priority="1846">
      <dataBar>
        <cfvo type="num" val="0"/>
        <cfvo type="num" val="1"/>
        <color theme="4" tint="0.79998168889431442"/>
      </dataBar>
      <extLst>
        <ext xmlns:x14="http://schemas.microsoft.com/office/spreadsheetml/2009/9/main" uri="{B025F937-C7B1-47D3-B67F-A62EFF666E3E}">
          <x14:id>{56C5431D-9035-4E9B-82B4-2D4A51A341EF}</x14:id>
        </ext>
      </extLst>
    </cfRule>
  </conditionalFormatting>
  <conditionalFormatting sqref="Y2750 Y2752">
    <cfRule type="dataBar" priority="1844">
      <dataBar>
        <cfvo type="num" val="0"/>
        <cfvo type="num" val="1"/>
        <color theme="4" tint="0.79998168889431442"/>
      </dataBar>
      <extLst>
        <ext xmlns:x14="http://schemas.microsoft.com/office/spreadsheetml/2009/9/main" uri="{B025F937-C7B1-47D3-B67F-A62EFF666E3E}">
          <x14:id>{15ADC5AE-A779-43B0-937E-4851299F9D18}</x14:id>
        </ext>
      </extLst>
    </cfRule>
    <cfRule type="iconSet" priority="1843">
      <iconSet iconSet="3Arrows">
        <cfvo type="percent" val="0"/>
        <cfvo type="num" val="0.7"/>
        <cfvo type="num" val="1"/>
      </iconSet>
    </cfRule>
  </conditionalFormatting>
  <conditionalFormatting sqref="Y2754 Y2756">
    <cfRule type="iconSet" priority="1841">
      <iconSet iconSet="3Arrows">
        <cfvo type="percent" val="0"/>
        <cfvo type="num" val="0.7"/>
        <cfvo type="num" val="1"/>
      </iconSet>
    </cfRule>
    <cfRule type="dataBar" priority="1842">
      <dataBar>
        <cfvo type="num" val="0"/>
        <cfvo type="num" val="1"/>
        <color theme="4" tint="0.79998168889431442"/>
      </dataBar>
      <extLst>
        <ext xmlns:x14="http://schemas.microsoft.com/office/spreadsheetml/2009/9/main" uri="{B025F937-C7B1-47D3-B67F-A62EFF666E3E}">
          <x14:id>{972C80EC-9195-49EA-9DBE-B2F65FFF4BD0}</x14:id>
        </ext>
      </extLst>
    </cfRule>
  </conditionalFormatting>
  <conditionalFormatting sqref="Y2758">
    <cfRule type="dataBar" priority="1840">
      <dataBar>
        <cfvo type="num" val="0"/>
        <cfvo type="num" val="1"/>
        <color theme="4" tint="0.79998168889431442"/>
      </dataBar>
      <extLst>
        <ext xmlns:x14="http://schemas.microsoft.com/office/spreadsheetml/2009/9/main" uri="{B025F937-C7B1-47D3-B67F-A62EFF666E3E}">
          <x14:id>{1318530C-1DDA-40E1-84D6-C2F1BDFD19FD}</x14:id>
        </ext>
      </extLst>
    </cfRule>
    <cfRule type="iconSet" priority="1839">
      <iconSet iconSet="3Arrows">
        <cfvo type="percent" val="0"/>
        <cfvo type="num" val="0.7"/>
        <cfvo type="num" val="1"/>
      </iconSet>
    </cfRule>
  </conditionalFormatting>
  <conditionalFormatting sqref="Y2760">
    <cfRule type="iconSet" priority="1837">
      <iconSet iconSet="3Arrows">
        <cfvo type="percent" val="0"/>
        <cfvo type="num" val="0.7"/>
        <cfvo type="num" val="1"/>
      </iconSet>
    </cfRule>
    <cfRule type="dataBar" priority="1838">
      <dataBar>
        <cfvo type="num" val="0"/>
        <cfvo type="num" val="1"/>
        <color theme="4" tint="0.79998168889431442"/>
      </dataBar>
      <extLst>
        <ext xmlns:x14="http://schemas.microsoft.com/office/spreadsheetml/2009/9/main" uri="{B025F937-C7B1-47D3-B67F-A62EFF666E3E}">
          <x14:id>{7FCAFE44-B321-494C-BB2F-959B99CF3735}</x14:id>
        </ext>
      </extLst>
    </cfRule>
  </conditionalFormatting>
  <conditionalFormatting sqref="Y2764">
    <cfRule type="iconSet" priority="1835">
      <iconSet iconSet="3Arrows">
        <cfvo type="percent" val="0"/>
        <cfvo type="num" val="0.7"/>
        <cfvo type="num" val="1"/>
      </iconSet>
    </cfRule>
    <cfRule type="dataBar" priority="1836">
      <dataBar>
        <cfvo type="num" val="0"/>
        <cfvo type="num" val="1"/>
        <color theme="4" tint="0.79998168889431442"/>
      </dataBar>
      <extLst>
        <ext xmlns:x14="http://schemas.microsoft.com/office/spreadsheetml/2009/9/main" uri="{B025F937-C7B1-47D3-B67F-A62EFF666E3E}">
          <x14:id>{3DC51135-6FB1-458D-8D09-47CC5E3F0588}</x14:id>
        </ext>
      </extLst>
    </cfRule>
  </conditionalFormatting>
  <conditionalFormatting sqref="Y2766 Y2768 Y2770">
    <cfRule type="dataBar" priority="1834">
      <dataBar>
        <cfvo type="num" val="0"/>
        <cfvo type="num" val="1"/>
        <color theme="4" tint="0.79998168889431442"/>
      </dataBar>
      <extLst>
        <ext xmlns:x14="http://schemas.microsoft.com/office/spreadsheetml/2009/9/main" uri="{B025F937-C7B1-47D3-B67F-A62EFF666E3E}">
          <x14:id>{6C89E545-30C6-49CF-87BB-7006537F20C1}</x14:id>
        </ext>
      </extLst>
    </cfRule>
    <cfRule type="iconSet" priority="1833">
      <iconSet iconSet="3Arrows">
        <cfvo type="percent" val="0"/>
        <cfvo type="num" val="0.7"/>
        <cfvo type="num" val="1"/>
      </iconSet>
    </cfRule>
  </conditionalFormatting>
  <conditionalFormatting sqref="Y2772 Y2774 Y2776">
    <cfRule type="dataBar" priority="1832">
      <dataBar>
        <cfvo type="num" val="0"/>
        <cfvo type="num" val="1"/>
        <color theme="4" tint="0.79998168889431442"/>
      </dataBar>
      <extLst>
        <ext xmlns:x14="http://schemas.microsoft.com/office/spreadsheetml/2009/9/main" uri="{B025F937-C7B1-47D3-B67F-A62EFF666E3E}">
          <x14:id>{8D1BA823-6863-4EE8-9BE1-3E8FA6AD77C2}</x14:id>
        </ext>
      </extLst>
    </cfRule>
    <cfRule type="iconSet" priority="1831">
      <iconSet iconSet="3Arrows">
        <cfvo type="percent" val="0"/>
        <cfvo type="num" val="0.7"/>
        <cfvo type="num" val="1"/>
      </iconSet>
    </cfRule>
  </conditionalFormatting>
  <conditionalFormatting sqref="Y2778 Y2780 Y2782">
    <cfRule type="dataBar" priority="1830">
      <dataBar>
        <cfvo type="num" val="0"/>
        <cfvo type="num" val="1"/>
        <color theme="4" tint="0.79998168889431442"/>
      </dataBar>
      <extLst>
        <ext xmlns:x14="http://schemas.microsoft.com/office/spreadsheetml/2009/9/main" uri="{B025F937-C7B1-47D3-B67F-A62EFF666E3E}">
          <x14:id>{1D00D45F-E5A6-4940-BDDA-B0D7C1079271}</x14:id>
        </ext>
      </extLst>
    </cfRule>
    <cfRule type="iconSet" priority="1829">
      <iconSet iconSet="3Arrows">
        <cfvo type="percent" val="0"/>
        <cfvo type="num" val="0.7"/>
        <cfvo type="num" val="1"/>
      </iconSet>
    </cfRule>
  </conditionalFormatting>
  <conditionalFormatting sqref="Y2784 Y2786 Y2788">
    <cfRule type="iconSet" priority="1827">
      <iconSet iconSet="3Arrows">
        <cfvo type="percent" val="0"/>
        <cfvo type="num" val="0.7"/>
        <cfvo type="num" val="1"/>
      </iconSet>
    </cfRule>
    <cfRule type="dataBar" priority="1828">
      <dataBar>
        <cfvo type="num" val="0"/>
        <cfvo type="num" val="1"/>
        <color theme="4" tint="0.79998168889431442"/>
      </dataBar>
      <extLst>
        <ext xmlns:x14="http://schemas.microsoft.com/office/spreadsheetml/2009/9/main" uri="{B025F937-C7B1-47D3-B67F-A62EFF666E3E}">
          <x14:id>{B75B2881-9BC8-4985-A993-8320B58D2F21}</x14:id>
        </ext>
      </extLst>
    </cfRule>
  </conditionalFormatting>
  <conditionalFormatting sqref="Y2790 Y2792 Y2794">
    <cfRule type="iconSet" priority="1825">
      <iconSet iconSet="3Arrows">
        <cfvo type="percent" val="0"/>
        <cfvo type="num" val="0.7"/>
        <cfvo type="num" val="1"/>
      </iconSet>
    </cfRule>
    <cfRule type="dataBar" priority="1826">
      <dataBar>
        <cfvo type="num" val="0"/>
        <cfvo type="num" val="1"/>
        <color theme="4" tint="0.79998168889431442"/>
      </dataBar>
      <extLst>
        <ext xmlns:x14="http://schemas.microsoft.com/office/spreadsheetml/2009/9/main" uri="{B025F937-C7B1-47D3-B67F-A62EFF666E3E}">
          <x14:id>{707535DD-FCFE-48F8-B71B-1E006D243899}</x14:id>
        </ext>
      </extLst>
    </cfRule>
  </conditionalFormatting>
  <conditionalFormatting sqref="Y2796 Y2798 Y2800">
    <cfRule type="iconSet" priority="1823">
      <iconSet iconSet="3Arrows">
        <cfvo type="percent" val="0"/>
        <cfvo type="num" val="0.7"/>
        <cfvo type="num" val="1"/>
      </iconSet>
    </cfRule>
    <cfRule type="dataBar" priority="1824">
      <dataBar>
        <cfvo type="num" val="0"/>
        <cfvo type="num" val="1"/>
        <color theme="4" tint="0.79998168889431442"/>
      </dataBar>
      <extLst>
        <ext xmlns:x14="http://schemas.microsoft.com/office/spreadsheetml/2009/9/main" uri="{B025F937-C7B1-47D3-B67F-A62EFF666E3E}">
          <x14:id>{7DFAF211-EA23-4D75-8818-B29D709A9484}</x14:id>
        </ext>
      </extLst>
    </cfRule>
  </conditionalFormatting>
  <conditionalFormatting sqref="Y2802 Y2804 Y2806">
    <cfRule type="iconSet" priority="1821">
      <iconSet iconSet="3Arrows">
        <cfvo type="percent" val="0"/>
        <cfvo type="num" val="0.7"/>
        <cfvo type="num" val="1"/>
      </iconSet>
    </cfRule>
    <cfRule type="dataBar" priority="1822">
      <dataBar>
        <cfvo type="num" val="0"/>
        <cfvo type="num" val="1"/>
        <color theme="4" tint="0.79998168889431442"/>
      </dataBar>
      <extLst>
        <ext xmlns:x14="http://schemas.microsoft.com/office/spreadsheetml/2009/9/main" uri="{B025F937-C7B1-47D3-B67F-A62EFF666E3E}">
          <x14:id>{BEDB227C-77C1-4C25-B5D3-DE5722196C7C}</x14:id>
        </ext>
      </extLst>
    </cfRule>
  </conditionalFormatting>
  <conditionalFormatting sqref="Y2810 Y2822 Y2808">
    <cfRule type="iconSet" priority="1819">
      <iconSet iconSet="3Arrows">
        <cfvo type="percent" val="0"/>
        <cfvo type="num" val="0.7"/>
        <cfvo type="num" val="1"/>
      </iconSet>
    </cfRule>
    <cfRule type="dataBar" priority="1820">
      <dataBar>
        <cfvo type="num" val="0"/>
        <cfvo type="num" val="1"/>
        <color theme="4" tint="0.79998168889431442"/>
      </dataBar>
      <extLst>
        <ext xmlns:x14="http://schemas.microsoft.com/office/spreadsheetml/2009/9/main" uri="{B025F937-C7B1-47D3-B67F-A62EFF666E3E}">
          <x14:id>{2290C9E2-1C96-4675-BD6F-9EC3B8888CE8}</x14:id>
        </ext>
      </extLst>
    </cfRule>
  </conditionalFormatting>
  <conditionalFormatting sqref="Y2814">
    <cfRule type="dataBar" priority="1818">
      <dataBar>
        <cfvo type="num" val="0"/>
        <cfvo type="num" val="1"/>
        <color theme="4" tint="0.79998168889431442"/>
      </dataBar>
      <extLst>
        <ext xmlns:x14="http://schemas.microsoft.com/office/spreadsheetml/2009/9/main" uri="{B025F937-C7B1-47D3-B67F-A62EFF666E3E}">
          <x14:id>{A18E169D-0CC3-4FE4-B075-4BA894BF06E5}</x14:id>
        </ext>
      </extLst>
    </cfRule>
    <cfRule type="iconSet" priority="1817">
      <iconSet iconSet="3Arrows">
        <cfvo type="percent" val="0"/>
        <cfvo type="num" val="0.7"/>
        <cfvo type="num" val="1"/>
      </iconSet>
    </cfRule>
  </conditionalFormatting>
  <conditionalFormatting sqref="Y2816">
    <cfRule type="iconSet" priority="1815">
      <iconSet iconSet="3Arrows">
        <cfvo type="percent" val="0"/>
        <cfvo type="num" val="0.7"/>
        <cfvo type="num" val="1"/>
      </iconSet>
    </cfRule>
    <cfRule type="dataBar" priority="1816">
      <dataBar>
        <cfvo type="num" val="0"/>
        <cfvo type="num" val="1"/>
        <color theme="4" tint="0.79998168889431442"/>
      </dataBar>
      <extLst>
        <ext xmlns:x14="http://schemas.microsoft.com/office/spreadsheetml/2009/9/main" uri="{B025F937-C7B1-47D3-B67F-A62EFF666E3E}">
          <x14:id>{25A3066A-D4CE-4FF8-B047-E99A0AF359E7}</x14:id>
        </ext>
      </extLst>
    </cfRule>
  </conditionalFormatting>
  <conditionalFormatting sqref="Y2818">
    <cfRule type="iconSet" priority="1813">
      <iconSet iconSet="3Arrows">
        <cfvo type="percent" val="0"/>
        <cfvo type="num" val="0.7"/>
        <cfvo type="num" val="1"/>
      </iconSet>
    </cfRule>
    <cfRule type="dataBar" priority="1814">
      <dataBar>
        <cfvo type="num" val="0"/>
        <cfvo type="num" val="1"/>
        <color theme="4" tint="0.79998168889431442"/>
      </dataBar>
      <extLst>
        <ext xmlns:x14="http://schemas.microsoft.com/office/spreadsheetml/2009/9/main" uri="{B025F937-C7B1-47D3-B67F-A62EFF666E3E}">
          <x14:id>{764BF1B2-6490-4805-9BF1-560FBAA761F9}</x14:id>
        </ext>
      </extLst>
    </cfRule>
  </conditionalFormatting>
  <conditionalFormatting sqref="Y2820">
    <cfRule type="dataBar" priority="1812">
      <dataBar>
        <cfvo type="num" val="0"/>
        <cfvo type="num" val="1"/>
        <color theme="4" tint="0.79998168889431442"/>
      </dataBar>
      <extLst>
        <ext xmlns:x14="http://schemas.microsoft.com/office/spreadsheetml/2009/9/main" uri="{B025F937-C7B1-47D3-B67F-A62EFF666E3E}">
          <x14:id>{364F9950-060B-40AE-A13F-C725E1F33079}</x14:id>
        </ext>
      </extLst>
    </cfRule>
    <cfRule type="iconSet" priority="1811">
      <iconSet iconSet="3Arrows">
        <cfvo type="percent" val="0"/>
        <cfvo type="num" val="0.7"/>
        <cfvo type="num" val="1"/>
      </iconSet>
    </cfRule>
  </conditionalFormatting>
  <conditionalFormatting sqref="Y2824 Y2826 Y2828">
    <cfRule type="dataBar" priority="1810">
      <dataBar>
        <cfvo type="num" val="0"/>
        <cfvo type="num" val="1"/>
        <color theme="4" tint="0.79998168889431442"/>
      </dataBar>
      <extLst>
        <ext xmlns:x14="http://schemas.microsoft.com/office/spreadsheetml/2009/9/main" uri="{B025F937-C7B1-47D3-B67F-A62EFF666E3E}">
          <x14:id>{B0DA884A-68CF-44C4-AD2A-B0103A97744C}</x14:id>
        </ext>
      </extLst>
    </cfRule>
    <cfRule type="iconSet" priority="1809">
      <iconSet iconSet="3Arrows">
        <cfvo type="percent" val="0"/>
        <cfvo type="num" val="0.7"/>
        <cfvo type="num" val="1"/>
      </iconSet>
    </cfRule>
  </conditionalFormatting>
  <conditionalFormatting sqref="Y2830 Y2832 Y2834">
    <cfRule type="dataBar" priority="1808">
      <dataBar>
        <cfvo type="num" val="0"/>
        <cfvo type="num" val="1"/>
        <color theme="4" tint="0.79998168889431442"/>
      </dataBar>
      <extLst>
        <ext xmlns:x14="http://schemas.microsoft.com/office/spreadsheetml/2009/9/main" uri="{B025F937-C7B1-47D3-B67F-A62EFF666E3E}">
          <x14:id>{C85D7771-7ED1-4C63-B93F-28CEE0713375}</x14:id>
        </ext>
      </extLst>
    </cfRule>
    <cfRule type="iconSet" priority="1807">
      <iconSet iconSet="3Arrows">
        <cfvo type="percent" val="0"/>
        <cfvo type="num" val="0.7"/>
        <cfvo type="num" val="1"/>
      </iconSet>
    </cfRule>
  </conditionalFormatting>
  <conditionalFormatting sqref="Y2836 Y2838 Y2840">
    <cfRule type="dataBar" priority="1806">
      <dataBar>
        <cfvo type="num" val="0"/>
        <cfvo type="num" val="1"/>
        <color theme="4" tint="0.79998168889431442"/>
      </dataBar>
      <extLst>
        <ext xmlns:x14="http://schemas.microsoft.com/office/spreadsheetml/2009/9/main" uri="{B025F937-C7B1-47D3-B67F-A62EFF666E3E}">
          <x14:id>{FB16EF30-3CC9-4C3A-96B6-EE1E892639C3}</x14:id>
        </ext>
      </extLst>
    </cfRule>
    <cfRule type="iconSet" priority="1805">
      <iconSet iconSet="3Arrows">
        <cfvo type="percent" val="0"/>
        <cfvo type="num" val="0.7"/>
        <cfvo type="num" val="1"/>
      </iconSet>
    </cfRule>
  </conditionalFormatting>
  <conditionalFormatting sqref="Y2842 Y2844 Y2846">
    <cfRule type="dataBar" priority="1804">
      <dataBar>
        <cfvo type="num" val="0"/>
        <cfvo type="num" val="1"/>
        <color theme="4" tint="0.79998168889431442"/>
      </dataBar>
      <extLst>
        <ext xmlns:x14="http://schemas.microsoft.com/office/spreadsheetml/2009/9/main" uri="{B025F937-C7B1-47D3-B67F-A62EFF666E3E}">
          <x14:id>{20CCD948-4F05-4BEA-9A51-9CFDCEEAB22D}</x14:id>
        </ext>
      </extLst>
    </cfRule>
    <cfRule type="iconSet" priority="1803">
      <iconSet iconSet="3Arrows">
        <cfvo type="percent" val="0"/>
        <cfvo type="num" val="0.7"/>
        <cfvo type="num" val="1"/>
      </iconSet>
    </cfRule>
  </conditionalFormatting>
  <conditionalFormatting sqref="Y2848">
    <cfRule type="dataBar" priority="1802">
      <dataBar>
        <cfvo type="num" val="0"/>
        <cfvo type="num" val="1"/>
        <color theme="4" tint="0.79998168889431442"/>
      </dataBar>
      <extLst>
        <ext xmlns:x14="http://schemas.microsoft.com/office/spreadsheetml/2009/9/main" uri="{B025F937-C7B1-47D3-B67F-A62EFF666E3E}">
          <x14:id>{EB9868AE-1968-45A9-803A-6DCB5682224E}</x14:id>
        </ext>
      </extLst>
    </cfRule>
    <cfRule type="iconSet" priority="1801">
      <iconSet iconSet="3Arrows">
        <cfvo type="percent" val="0"/>
        <cfvo type="num" val="0.7"/>
        <cfvo type="num" val="1"/>
      </iconSet>
    </cfRule>
  </conditionalFormatting>
  <conditionalFormatting sqref="Y2852">
    <cfRule type="dataBar" priority="1800">
      <dataBar>
        <cfvo type="num" val="0"/>
        <cfvo type="num" val="1"/>
        <color theme="4" tint="0.79998168889431442"/>
      </dataBar>
      <extLst>
        <ext xmlns:x14="http://schemas.microsoft.com/office/spreadsheetml/2009/9/main" uri="{B025F937-C7B1-47D3-B67F-A62EFF666E3E}">
          <x14:id>{BABA4B8D-84E1-4605-825C-F83EB808641F}</x14:id>
        </ext>
      </extLst>
    </cfRule>
    <cfRule type="iconSet" priority="1799">
      <iconSet iconSet="3Arrows">
        <cfvo type="percent" val="0"/>
        <cfvo type="num" val="0.7"/>
        <cfvo type="num" val="1"/>
      </iconSet>
    </cfRule>
  </conditionalFormatting>
  <conditionalFormatting sqref="Y2856">
    <cfRule type="dataBar" priority="1798">
      <dataBar>
        <cfvo type="num" val="0"/>
        <cfvo type="num" val="1"/>
        <color theme="4" tint="0.79998168889431442"/>
      </dataBar>
      <extLst>
        <ext xmlns:x14="http://schemas.microsoft.com/office/spreadsheetml/2009/9/main" uri="{B025F937-C7B1-47D3-B67F-A62EFF666E3E}">
          <x14:id>{764968B3-D1D0-4A62-AA10-12F356036794}</x14:id>
        </ext>
      </extLst>
    </cfRule>
    <cfRule type="iconSet" priority="1797">
      <iconSet iconSet="3Arrows">
        <cfvo type="percent" val="0"/>
        <cfvo type="num" val="0.7"/>
        <cfvo type="num" val="1"/>
      </iconSet>
    </cfRule>
  </conditionalFormatting>
  <conditionalFormatting sqref="Y2858">
    <cfRule type="dataBar" priority="1796">
      <dataBar>
        <cfvo type="num" val="0"/>
        <cfvo type="num" val="1"/>
        <color theme="4" tint="0.79998168889431442"/>
      </dataBar>
      <extLst>
        <ext xmlns:x14="http://schemas.microsoft.com/office/spreadsheetml/2009/9/main" uri="{B025F937-C7B1-47D3-B67F-A62EFF666E3E}">
          <x14:id>{A466527A-307F-4B6C-B6D2-DB282F32AD04}</x14:id>
        </ext>
      </extLst>
    </cfRule>
    <cfRule type="iconSet" priority="1795">
      <iconSet iconSet="3Arrows">
        <cfvo type="percent" val="0"/>
        <cfvo type="num" val="0.7"/>
        <cfvo type="num" val="1"/>
      </iconSet>
    </cfRule>
  </conditionalFormatting>
  <conditionalFormatting sqref="Y2860">
    <cfRule type="dataBar" priority="1794">
      <dataBar>
        <cfvo type="num" val="0"/>
        <cfvo type="num" val="1"/>
        <color theme="4" tint="0.79998168889431442"/>
      </dataBar>
      <extLst>
        <ext xmlns:x14="http://schemas.microsoft.com/office/spreadsheetml/2009/9/main" uri="{B025F937-C7B1-47D3-B67F-A62EFF666E3E}">
          <x14:id>{2594C116-FCFD-4FB7-B2AE-8BAA18ABC7D9}</x14:id>
        </ext>
      </extLst>
    </cfRule>
    <cfRule type="iconSet" priority="1793">
      <iconSet iconSet="3Arrows">
        <cfvo type="percent" val="0"/>
        <cfvo type="num" val="0.7"/>
        <cfvo type="num" val="1"/>
      </iconSet>
    </cfRule>
  </conditionalFormatting>
  <conditionalFormatting sqref="Y2862">
    <cfRule type="dataBar" priority="1792">
      <dataBar>
        <cfvo type="num" val="0"/>
        <cfvo type="num" val="1"/>
        <color theme="4" tint="0.79998168889431442"/>
      </dataBar>
      <extLst>
        <ext xmlns:x14="http://schemas.microsoft.com/office/spreadsheetml/2009/9/main" uri="{B025F937-C7B1-47D3-B67F-A62EFF666E3E}">
          <x14:id>{39190256-276F-4915-9426-2AB5BEC09724}</x14:id>
        </ext>
      </extLst>
    </cfRule>
    <cfRule type="iconSet" priority="1791">
      <iconSet iconSet="3Arrows">
        <cfvo type="percent" val="0"/>
        <cfvo type="num" val="0.7"/>
        <cfvo type="num" val="1"/>
      </iconSet>
    </cfRule>
  </conditionalFormatting>
  <conditionalFormatting sqref="Y2864">
    <cfRule type="iconSet" priority="1789">
      <iconSet iconSet="3Arrows">
        <cfvo type="percent" val="0"/>
        <cfvo type="num" val="0.7"/>
        <cfvo type="num" val="1"/>
      </iconSet>
    </cfRule>
    <cfRule type="dataBar" priority="1790">
      <dataBar>
        <cfvo type="num" val="0"/>
        <cfvo type="num" val="1"/>
        <color theme="4" tint="0.79998168889431442"/>
      </dataBar>
      <extLst>
        <ext xmlns:x14="http://schemas.microsoft.com/office/spreadsheetml/2009/9/main" uri="{B025F937-C7B1-47D3-B67F-A62EFF666E3E}">
          <x14:id>{C45C1054-124C-4145-B5A3-A52812C79B69}</x14:id>
        </ext>
      </extLst>
    </cfRule>
  </conditionalFormatting>
  <conditionalFormatting sqref="Y2866">
    <cfRule type="dataBar" priority="1788">
      <dataBar>
        <cfvo type="num" val="0"/>
        <cfvo type="num" val="1"/>
        <color theme="4" tint="0.79998168889431442"/>
      </dataBar>
      <extLst>
        <ext xmlns:x14="http://schemas.microsoft.com/office/spreadsheetml/2009/9/main" uri="{B025F937-C7B1-47D3-B67F-A62EFF666E3E}">
          <x14:id>{F885F4FC-FC87-42B8-8A79-07C796983524}</x14:id>
        </ext>
      </extLst>
    </cfRule>
    <cfRule type="iconSet" priority="1787">
      <iconSet iconSet="3Arrows">
        <cfvo type="percent" val="0"/>
        <cfvo type="num" val="0.7"/>
        <cfvo type="num" val="1"/>
      </iconSet>
    </cfRule>
  </conditionalFormatting>
  <conditionalFormatting sqref="Y2868">
    <cfRule type="iconSet" priority="1785">
      <iconSet iconSet="3Arrows">
        <cfvo type="percent" val="0"/>
        <cfvo type="num" val="0.7"/>
        <cfvo type="num" val="1"/>
      </iconSet>
    </cfRule>
    <cfRule type="dataBar" priority="1786">
      <dataBar>
        <cfvo type="num" val="0"/>
        <cfvo type="num" val="1"/>
        <color theme="4" tint="0.79998168889431442"/>
      </dataBar>
      <extLst>
        <ext xmlns:x14="http://schemas.microsoft.com/office/spreadsheetml/2009/9/main" uri="{B025F937-C7B1-47D3-B67F-A62EFF666E3E}">
          <x14:id>{BEBA2227-8ADA-499B-ABE5-14C28E28CB60}</x14:id>
        </ext>
      </extLst>
    </cfRule>
  </conditionalFormatting>
  <conditionalFormatting sqref="Y2870">
    <cfRule type="dataBar" priority="1784">
      <dataBar>
        <cfvo type="num" val="0"/>
        <cfvo type="num" val="1"/>
        <color theme="4" tint="0.79998168889431442"/>
      </dataBar>
      <extLst>
        <ext xmlns:x14="http://schemas.microsoft.com/office/spreadsheetml/2009/9/main" uri="{B025F937-C7B1-47D3-B67F-A62EFF666E3E}">
          <x14:id>{CBA6ACC7-6DDF-491B-B87C-FED1A1B49B3F}</x14:id>
        </ext>
      </extLst>
    </cfRule>
    <cfRule type="iconSet" priority="1783">
      <iconSet iconSet="3Arrows">
        <cfvo type="percent" val="0"/>
        <cfvo type="num" val="0.7"/>
        <cfvo type="num" val="1"/>
      </iconSet>
    </cfRule>
  </conditionalFormatting>
  <conditionalFormatting sqref="Y2872">
    <cfRule type="dataBar" priority="1782">
      <dataBar>
        <cfvo type="num" val="0"/>
        <cfvo type="num" val="1"/>
        <color theme="4" tint="0.79998168889431442"/>
      </dataBar>
      <extLst>
        <ext xmlns:x14="http://schemas.microsoft.com/office/spreadsheetml/2009/9/main" uri="{B025F937-C7B1-47D3-B67F-A62EFF666E3E}">
          <x14:id>{26CD4625-49F8-46D4-A8D5-190A18B9427C}</x14:id>
        </ext>
      </extLst>
    </cfRule>
    <cfRule type="iconSet" priority="1781">
      <iconSet iconSet="3Arrows">
        <cfvo type="percent" val="0"/>
        <cfvo type="num" val="0.7"/>
        <cfvo type="num" val="1"/>
      </iconSet>
    </cfRule>
  </conditionalFormatting>
  <conditionalFormatting sqref="Y2874">
    <cfRule type="dataBar" priority="1780">
      <dataBar>
        <cfvo type="num" val="0"/>
        <cfvo type="num" val="1"/>
        <color theme="4" tint="0.79998168889431442"/>
      </dataBar>
      <extLst>
        <ext xmlns:x14="http://schemas.microsoft.com/office/spreadsheetml/2009/9/main" uri="{B025F937-C7B1-47D3-B67F-A62EFF666E3E}">
          <x14:id>{6F88BA30-B244-495D-AB9B-B013735AAF34}</x14:id>
        </ext>
      </extLst>
    </cfRule>
    <cfRule type="iconSet" priority="1779">
      <iconSet iconSet="3Arrows">
        <cfvo type="percent" val="0"/>
        <cfvo type="num" val="0.7"/>
        <cfvo type="num" val="1"/>
      </iconSet>
    </cfRule>
  </conditionalFormatting>
  <conditionalFormatting sqref="Y2876">
    <cfRule type="iconSet" priority="1777">
      <iconSet iconSet="3Arrows">
        <cfvo type="percent" val="0"/>
        <cfvo type="num" val="0.7"/>
        <cfvo type="num" val="1"/>
      </iconSet>
    </cfRule>
    <cfRule type="dataBar" priority="1778">
      <dataBar>
        <cfvo type="num" val="0"/>
        <cfvo type="num" val="1"/>
        <color theme="4" tint="0.79998168889431442"/>
      </dataBar>
      <extLst>
        <ext xmlns:x14="http://schemas.microsoft.com/office/spreadsheetml/2009/9/main" uri="{B025F937-C7B1-47D3-B67F-A62EFF666E3E}">
          <x14:id>{0FDE2D8B-EAC8-4509-A1AC-0068DEE50C47}</x14:id>
        </ext>
      </extLst>
    </cfRule>
  </conditionalFormatting>
  <conditionalFormatting sqref="Y2878">
    <cfRule type="dataBar" priority="1776">
      <dataBar>
        <cfvo type="num" val="0"/>
        <cfvo type="num" val="1"/>
        <color theme="4" tint="0.79998168889431442"/>
      </dataBar>
      <extLst>
        <ext xmlns:x14="http://schemas.microsoft.com/office/spreadsheetml/2009/9/main" uri="{B025F937-C7B1-47D3-B67F-A62EFF666E3E}">
          <x14:id>{146B34B1-E896-4097-95AF-9276463E75D3}</x14:id>
        </ext>
      </extLst>
    </cfRule>
    <cfRule type="iconSet" priority="1775">
      <iconSet iconSet="3Arrows">
        <cfvo type="percent" val="0"/>
        <cfvo type="num" val="0.7"/>
        <cfvo type="num" val="1"/>
      </iconSet>
    </cfRule>
  </conditionalFormatting>
  <conditionalFormatting sqref="Y2880">
    <cfRule type="dataBar" priority="1774">
      <dataBar>
        <cfvo type="num" val="0"/>
        <cfvo type="num" val="1"/>
        <color theme="4" tint="0.79998168889431442"/>
      </dataBar>
      <extLst>
        <ext xmlns:x14="http://schemas.microsoft.com/office/spreadsheetml/2009/9/main" uri="{B025F937-C7B1-47D3-B67F-A62EFF666E3E}">
          <x14:id>{CC8F84E1-37F7-4D82-A272-B1D5504B7E34}</x14:id>
        </ext>
      </extLst>
    </cfRule>
    <cfRule type="iconSet" priority="1773">
      <iconSet iconSet="3Arrows">
        <cfvo type="percent" val="0"/>
        <cfvo type="num" val="0.7"/>
        <cfvo type="num" val="1"/>
      </iconSet>
    </cfRule>
  </conditionalFormatting>
  <conditionalFormatting sqref="Y2882">
    <cfRule type="dataBar" priority="1772">
      <dataBar>
        <cfvo type="num" val="0"/>
        <cfvo type="num" val="1"/>
        <color theme="4" tint="0.79998168889431442"/>
      </dataBar>
      <extLst>
        <ext xmlns:x14="http://schemas.microsoft.com/office/spreadsheetml/2009/9/main" uri="{B025F937-C7B1-47D3-B67F-A62EFF666E3E}">
          <x14:id>{D8A9EDA6-0FB5-43A5-9FE6-64FD39DE7B2C}</x14:id>
        </ext>
      </extLst>
    </cfRule>
    <cfRule type="iconSet" priority="1771">
      <iconSet iconSet="3Arrows">
        <cfvo type="percent" val="0"/>
        <cfvo type="num" val="0.7"/>
        <cfvo type="num" val="1"/>
      </iconSet>
    </cfRule>
  </conditionalFormatting>
  <conditionalFormatting sqref="Y2884">
    <cfRule type="dataBar" priority="1770">
      <dataBar>
        <cfvo type="num" val="0"/>
        <cfvo type="num" val="1"/>
        <color theme="4" tint="0.79998168889431442"/>
      </dataBar>
      <extLst>
        <ext xmlns:x14="http://schemas.microsoft.com/office/spreadsheetml/2009/9/main" uri="{B025F937-C7B1-47D3-B67F-A62EFF666E3E}">
          <x14:id>{42ED68E3-340A-4E88-BEE3-315F63D28B0C}</x14:id>
        </ext>
      </extLst>
    </cfRule>
    <cfRule type="iconSet" priority="1769">
      <iconSet iconSet="3Arrows">
        <cfvo type="percent" val="0"/>
        <cfvo type="num" val="0.7"/>
        <cfvo type="num" val="1"/>
      </iconSet>
    </cfRule>
  </conditionalFormatting>
  <conditionalFormatting sqref="Y2886">
    <cfRule type="dataBar" priority="1768">
      <dataBar>
        <cfvo type="num" val="0"/>
        <cfvo type="num" val="1"/>
        <color theme="4" tint="0.79998168889431442"/>
      </dataBar>
      <extLst>
        <ext xmlns:x14="http://schemas.microsoft.com/office/spreadsheetml/2009/9/main" uri="{B025F937-C7B1-47D3-B67F-A62EFF666E3E}">
          <x14:id>{3E883F55-43DB-434C-8FD8-7ECB30E0DC11}</x14:id>
        </ext>
      </extLst>
    </cfRule>
    <cfRule type="iconSet" priority="1767">
      <iconSet iconSet="3Arrows">
        <cfvo type="percent" val="0"/>
        <cfvo type="num" val="0.7"/>
        <cfvo type="num" val="1"/>
      </iconSet>
    </cfRule>
  </conditionalFormatting>
  <conditionalFormatting sqref="Y2888">
    <cfRule type="dataBar" priority="1766">
      <dataBar>
        <cfvo type="num" val="0"/>
        <cfvo type="num" val="1"/>
        <color theme="4" tint="0.79998168889431442"/>
      </dataBar>
      <extLst>
        <ext xmlns:x14="http://schemas.microsoft.com/office/spreadsheetml/2009/9/main" uri="{B025F937-C7B1-47D3-B67F-A62EFF666E3E}">
          <x14:id>{9485DFBB-8F6D-4EB2-8968-AD22167ECB8C}</x14:id>
        </ext>
      </extLst>
    </cfRule>
    <cfRule type="iconSet" priority="1765">
      <iconSet iconSet="3Arrows">
        <cfvo type="percent" val="0"/>
        <cfvo type="num" val="0.7"/>
        <cfvo type="num" val="1"/>
      </iconSet>
    </cfRule>
  </conditionalFormatting>
  <conditionalFormatting sqref="Y2890">
    <cfRule type="dataBar" priority="1764">
      <dataBar>
        <cfvo type="num" val="0"/>
        <cfvo type="num" val="1"/>
        <color theme="4" tint="0.79998168889431442"/>
      </dataBar>
      <extLst>
        <ext xmlns:x14="http://schemas.microsoft.com/office/spreadsheetml/2009/9/main" uri="{B025F937-C7B1-47D3-B67F-A62EFF666E3E}">
          <x14:id>{2FE89998-ACA1-4AA0-B4B7-35426A1947A4}</x14:id>
        </ext>
      </extLst>
    </cfRule>
    <cfRule type="iconSet" priority="1763">
      <iconSet iconSet="3Arrows">
        <cfvo type="percent" val="0"/>
        <cfvo type="num" val="0.7"/>
        <cfvo type="num" val="1"/>
      </iconSet>
    </cfRule>
  </conditionalFormatting>
  <conditionalFormatting sqref="Y2892">
    <cfRule type="dataBar" priority="1762">
      <dataBar>
        <cfvo type="num" val="0"/>
        <cfvo type="num" val="1"/>
        <color theme="4" tint="0.79998168889431442"/>
      </dataBar>
      <extLst>
        <ext xmlns:x14="http://schemas.microsoft.com/office/spreadsheetml/2009/9/main" uri="{B025F937-C7B1-47D3-B67F-A62EFF666E3E}">
          <x14:id>{DC802E45-0F82-4DE0-9754-67229FFD094B}</x14:id>
        </ext>
      </extLst>
    </cfRule>
    <cfRule type="iconSet" priority="1761">
      <iconSet iconSet="3Arrows">
        <cfvo type="percent" val="0"/>
        <cfvo type="num" val="0.7"/>
        <cfvo type="num" val="1"/>
      </iconSet>
    </cfRule>
  </conditionalFormatting>
  <conditionalFormatting sqref="Y2894">
    <cfRule type="dataBar" priority="1760">
      <dataBar>
        <cfvo type="num" val="0"/>
        <cfvo type="num" val="1"/>
        <color theme="4" tint="0.79998168889431442"/>
      </dataBar>
      <extLst>
        <ext xmlns:x14="http://schemas.microsoft.com/office/spreadsheetml/2009/9/main" uri="{B025F937-C7B1-47D3-B67F-A62EFF666E3E}">
          <x14:id>{5AEAAF64-589F-4FFE-BCAB-3DFCD35213F0}</x14:id>
        </ext>
      </extLst>
    </cfRule>
    <cfRule type="iconSet" priority="1759">
      <iconSet iconSet="3Arrows">
        <cfvo type="percent" val="0"/>
        <cfvo type="num" val="0.7"/>
        <cfvo type="num" val="1"/>
      </iconSet>
    </cfRule>
  </conditionalFormatting>
  <conditionalFormatting sqref="Y2896">
    <cfRule type="dataBar" priority="1758">
      <dataBar>
        <cfvo type="num" val="0"/>
        <cfvo type="num" val="1"/>
        <color theme="4" tint="0.79998168889431442"/>
      </dataBar>
      <extLst>
        <ext xmlns:x14="http://schemas.microsoft.com/office/spreadsheetml/2009/9/main" uri="{B025F937-C7B1-47D3-B67F-A62EFF666E3E}">
          <x14:id>{980FD263-DC5A-48D0-9FE0-E5FDDD565888}</x14:id>
        </ext>
      </extLst>
    </cfRule>
    <cfRule type="iconSet" priority="1757">
      <iconSet iconSet="3Arrows">
        <cfvo type="percent" val="0"/>
        <cfvo type="num" val="0.7"/>
        <cfvo type="num" val="1"/>
      </iconSet>
    </cfRule>
  </conditionalFormatting>
  <conditionalFormatting sqref="Y2898">
    <cfRule type="dataBar" priority="1756">
      <dataBar>
        <cfvo type="num" val="0"/>
        <cfvo type="num" val="1"/>
        <color theme="4" tint="0.79998168889431442"/>
      </dataBar>
      <extLst>
        <ext xmlns:x14="http://schemas.microsoft.com/office/spreadsheetml/2009/9/main" uri="{B025F937-C7B1-47D3-B67F-A62EFF666E3E}">
          <x14:id>{B8C84FE2-A020-4B1F-B5AA-C675AA02C7FF}</x14:id>
        </ext>
      </extLst>
    </cfRule>
    <cfRule type="iconSet" priority="1755">
      <iconSet iconSet="3Arrows">
        <cfvo type="percent" val="0"/>
        <cfvo type="num" val="0.7"/>
        <cfvo type="num" val="1"/>
      </iconSet>
    </cfRule>
  </conditionalFormatting>
  <conditionalFormatting sqref="Y2900">
    <cfRule type="dataBar" priority="1754">
      <dataBar>
        <cfvo type="num" val="0"/>
        <cfvo type="num" val="1"/>
        <color theme="4" tint="0.79998168889431442"/>
      </dataBar>
      <extLst>
        <ext xmlns:x14="http://schemas.microsoft.com/office/spreadsheetml/2009/9/main" uri="{B025F937-C7B1-47D3-B67F-A62EFF666E3E}">
          <x14:id>{18BB6504-4E14-4722-9241-BC00CCB708E4}</x14:id>
        </ext>
      </extLst>
    </cfRule>
    <cfRule type="iconSet" priority="1753">
      <iconSet iconSet="3Arrows">
        <cfvo type="percent" val="0"/>
        <cfvo type="num" val="0.7"/>
        <cfvo type="num" val="1"/>
      </iconSet>
    </cfRule>
  </conditionalFormatting>
  <conditionalFormatting sqref="Y2902">
    <cfRule type="dataBar" priority="1752">
      <dataBar>
        <cfvo type="num" val="0"/>
        <cfvo type="num" val="1"/>
        <color theme="4" tint="0.79998168889431442"/>
      </dataBar>
      <extLst>
        <ext xmlns:x14="http://schemas.microsoft.com/office/spreadsheetml/2009/9/main" uri="{B025F937-C7B1-47D3-B67F-A62EFF666E3E}">
          <x14:id>{18172192-D69B-47D4-8A14-1A09F59B6DB9}</x14:id>
        </ext>
      </extLst>
    </cfRule>
    <cfRule type="iconSet" priority="1751">
      <iconSet iconSet="3Arrows">
        <cfvo type="percent" val="0"/>
        <cfvo type="num" val="0.7"/>
        <cfvo type="num" val="1"/>
      </iconSet>
    </cfRule>
  </conditionalFormatting>
  <conditionalFormatting sqref="Y2904">
    <cfRule type="dataBar" priority="1750">
      <dataBar>
        <cfvo type="num" val="0"/>
        <cfvo type="num" val="1"/>
        <color theme="4" tint="0.79998168889431442"/>
      </dataBar>
      <extLst>
        <ext xmlns:x14="http://schemas.microsoft.com/office/spreadsheetml/2009/9/main" uri="{B025F937-C7B1-47D3-B67F-A62EFF666E3E}">
          <x14:id>{76CCD927-467C-4BDE-B649-3A24EFED5376}</x14:id>
        </ext>
      </extLst>
    </cfRule>
    <cfRule type="iconSet" priority="1749">
      <iconSet iconSet="3Arrows">
        <cfvo type="percent" val="0"/>
        <cfvo type="num" val="0.7"/>
        <cfvo type="num" val="1"/>
      </iconSet>
    </cfRule>
  </conditionalFormatting>
  <conditionalFormatting sqref="Y2906">
    <cfRule type="dataBar" priority="1748">
      <dataBar>
        <cfvo type="num" val="0"/>
        <cfvo type="num" val="1"/>
        <color theme="4" tint="0.79998168889431442"/>
      </dataBar>
      <extLst>
        <ext xmlns:x14="http://schemas.microsoft.com/office/spreadsheetml/2009/9/main" uri="{B025F937-C7B1-47D3-B67F-A62EFF666E3E}">
          <x14:id>{3BAF916F-5F9F-442B-A013-1BC60CBD124D}</x14:id>
        </ext>
      </extLst>
    </cfRule>
    <cfRule type="iconSet" priority="1747">
      <iconSet iconSet="3Arrows">
        <cfvo type="percent" val="0"/>
        <cfvo type="num" val="0.7"/>
        <cfvo type="num" val="1"/>
      </iconSet>
    </cfRule>
  </conditionalFormatting>
  <conditionalFormatting sqref="Y2908">
    <cfRule type="dataBar" priority="1746">
      <dataBar>
        <cfvo type="num" val="0"/>
        <cfvo type="num" val="1"/>
        <color theme="4" tint="0.79998168889431442"/>
      </dataBar>
      <extLst>
        <ext xmlns:x14="http://schemas.microsoft.com/office/spreadsheetml/2009/9/main" uri="{B025F937-C7B1-47D3-B67F-A62EFF666E3E}">
          <x14:id>{44EFAFFB-938E-4707-A12B-90FCE75D0B41}</x14:id>
        </ext>
      </extLst>
    </cfRule>
    <cfRule type="iconSet" priority="1745">
      <iconSet iconSet="3Arrows">
        <cfvo type="percent" val="0"/>
        <cfvo type="num" val="0.7"/>
        <cfvo type="num" val="1"/>
      </iconSet>
    </cfRule>
  </conditionalFormatting>
  <conditionalFormatting sqref="Y2910">
    <cfRule type="dataBar" priority="1744">
      <dataBar>
        <cfvo type="num" val="0"/>
        <cfvo type="num" val="1"/>
        <color theme="4" tint="0.79998168889431442"/>
      </dataBar>
      <extLst>
        <ext xmlns:x14="http://schemas.microsoft.com/office/spreadsheetml/2009/9/main" uri="{B025F937-C7B1-47D3-B67F-A62EFF666E3E}">
          <x14:id>{51EF1922-ED75-489C-9DCF-E46E9D33C8B7}</x14:id>
        </ext>
      </extLst>
    </cfRule>
    <cfRule type="iconSet" priority="1743">
      <iconSet iconSet="3Arrows">
        <cfvo type="percent" val="0"/>
        <cfvo type="num" val="0.7"/>
        <cfvo type="num" val="1"/>
      </iconSet>
    </cfRule>
  </conditionalFormatting>
  <conditionalFormatting sqref="Y2912">
    <cfRule type="dataBar" priority="1742">
      <dataBar>
        <cfvo type="num" val="0"/>
        <cfvo type="num" val="1"/>
        <color theme="4" tint="0.79998168889431442"/>
      </dataBar>
      <extLst>
        <ext xmlns:x14="http://schemas.microsoft.com/office/spreadsheetml/2009/9/main" uri="{B025F937-C7B1-47D3-B67F-A62EFF666E3E}">
          <x14:id>{B1069C40-4657-41E9-BBD8-9E68455D58A1}</x14:id>
        </ext>
      </extLst>
    </cfRule>
    <cfRule type="iconSet" priority="1741">
      <iconSet iconSet="3Arrows">
        <cfvo type="percent" val="0"/>
        <cfvo type="num" val="0.7"/>
        <cfvo type="num" val="1"/>
      </iconSet>
    </cfRule>
  </conditionalFormatting>
  <conditionalFormatting sqref="Y2914">
    <cfRule type="dataBar" priority="1740">
      <dataBar>
        <cfvo type="num" val="0"/>
        <cfvo type="num" val="1"/>
        <color theme="4" tint="0.79998168889431442"/>
      </dataBar>
      <extLst>
        <ext xmlns:x14="http://schemas.microsoft.com/office/spreadsheetml/2009/9/main" uri="{B025F937-C7B1-47D3-B67F-A62EFF666E3E}">
          <x14:id>{B74677CF-1F68-4DF2-BFE9-73A269CA0E29}</x14:id>
        </ext>
      </extLst>
    </cfRule>
    <cfRule type="iconSet" priority="1739">
      <iconSet iconSet="3Arrows">
        <cfvo type="percent" val="0"/>
        <cfvo type="num" val="0.7"/>
        <cfvo type="num" val="1"/>
      </iconSet>
    </cfRule>
  </conditionalFormatting>
  <conditionalFormatting sqref="Y2916">
    <cfRule type="dataBar" priority="1738">
      <dataBar>
        <cfvo type="num" val="0"/>
        <cfvo type="num" val="1"/>
        <color theme="4" tint="0.79998168889431442"/>
      </dataBar>
      <extLst>
        <ext xmlns:x14="http://schemas.microsoft.com/office/spreadsheetml/2009/9/main" uri="{B025F937-C7B1-47D3-B67F-A62EFF666E3E}">
          <x14:id>{139D860E-2397-43AD-9F19-CEF846CBA024}</x14:id>
        </ext>
      </extLst>
    </cfRule>
    <cfRule type="iconSet" priority="1737">
      <iconSet iconSet="3Arrows">
        <cfvo type="percent" val="0"/>
        <cfvo type="num" val="0.7"/>
        <cfvo type="num" val="1"/>
      </iconSet>
    </cfRule>
  </conditionalFormatting>
  <conditionalFormatting sqref="Y2918">
    <cfRule type="dataBar" priority="1736">
      <dataBar>
        <cfvo type="num" val="0"/>
        <cfvo type="num" val="1"/>
        <color theme="4" tint="0.79998168889431442"/>
      </dataBar>
      <extLst>
        <ext xmlns:x14="http://schemas.microsoft.com/office/spreadsheetml/2009/9/main" uri="{B025F937-C7B1-47D3-B67F-A62EFF666E3E}">
          <x14:id>{D317F304-3E6F-43D4-B76E-0910109DAC8B}</x14:id>
        </ext>
      </extLst>
    </cfRule>
    <cfRule type="iconSet" priority="1735">
      <iconSet iconSet="3Arrows">
        <cfvo type="percent" val="0"/>
        <cfvo type="num" val="0.7"/>
        <cfvo type="num" val="1"/>
      </iconSet>
    </cfRule>
  </conditionalFormatting>
  <conditionalFormatting sqref="Y2920">
    <cfRule type="dataBar" priority="1734">
      <dataBar>
        <cfvo type="num" val="0"/>
        <cfvo type="num" val="1"/>
        <color theme="4" tint="0.79998168889431442"/>
      </dataBar>
      <extLst>
        <ext xmlns:x14="http://schemas.microsoft.com/office/spreadsheetml/2009/9/main" uri="{B025F937-C7B1-47D3-B67F-A62EFF666E3E}">
          <x14:id>{A4DA7F87-FE1A-49F2-A3C3-15D2ACE1A71C}</x14:id>
        </ext>
      </extLst>
    </cfRule>
    <cfRule type="iconSet" priority="1733">
      <iconSet iconSet="3Arrows">
        <cfvo type="percent" val="0"/>
        <cfvo type="num" val="0.7"/>
        <cfvo type="num" val="1"/>
      </iconSet>
    </cfRule>
  </conditionalFormatting>
  <conditionalFormatting sqref="Y2922">
    <cfRule type="dataBar" priority="1732">
      <dataBar>
        <cfvo type="num" val="0"/>
        <cfvo type="num" val="1"/>
        <color theme="4" tint="0.79998168889431442"/>
      </dataBar>
      <extLst>
        <ext xmlns:x14="http://schemas.microsoft.com/office/spreadsheetml/2009/9/main" uri="{B025F937-C7B1-47D3-B67F-A62EFF666E3E}">
          <x14:id>{6ABDAF8C-32BF-4E2F-892F-B32ECAB3CFFB}</x14:id>
        </ext>
      </extLst>
    </cfRule>
    <cfRule type="iconSet" priority="1731">
      <iconSet iconSet="3Arrows">
        <cfvo type="percent" val="0"/>
        <cfvo type="num" val="0.7"/>
        <cfvo type="num" val="1"/>
      </iconSet>
    </cfRule>
  </conditionalFormatting>
  <conditionalFormatting sqref="Y2924">
    <cfRule type="dataBar" priority="1730">
      <dataBar>
        <cfvo type="num" val="0"/>
        <cfvo type="num" val="1"/>
        <color theme="4" tint="0.79998168889431442"/>
      </dataBar>
      <extLst>
        <ext xmlns:x14="http://schemas.microsoft.com/office/spreadsheetml/2009/9/main" uri="{B025F937-C7B1-47D3-B67F-A62EFF666E3E}">
          <x14:id>{CB9B4BB9-C9F8-42CC-A5BC-9178B5C757C9}</x14:id>
        </ext>
      </extLst>
    </cfRule>
    <cfRule type="iconSet" priority="1729">
      <iconSet iconSet="3Arrows">
        <cfvo type="percent" val="0"/>
        <cfvo type="num" val="0.7"/>
        <cfvo type="num" val="1"/>
      </iconSet>
    </cfRule>
  </conditionalFormatting>
  <conditionalFormatting sqref="Y2926">
    <cfRule type="dataBar" priority="1728">
      <dataBar>
        <cfvo type="num" val="0"/>
        <cfvo type="num" val="1"/>
        <color theme="4" tint="0.79998168889431442"/>
      </dataBar>
      <extLst>
        <ext xmlns:x14="http://schemas.microsoft.com/office/spreadsheetml/2009/9/main" uri="{B025F937-C7B1-47D3-B67F-A62EFF666E3E}">
          <x14:id>{BFB9EDAE-3A00-4537-B190-8D6ED2D55719}</x14:id>
        </ext>
      </extLst>
    </cfRule>
    <cfRule type="iconSet" priority="1727">
      <iconSet iconSet="3Arrows">
        <cfvo type="percent" val="0"/>
        <cfvo type="num" val="0.7"/>
        <cfvo type="num" val="1"/>
      </iconSet>
    </cfRule>
  </conditionalFormatting>
  <conditionalFormatting sqref="Y2928">
    <cfRule type="iconSet" priority="1725">
      <iconSet iconSet="3Arrows">
        <cfvo type="percent" val="0"/>
        <cfvo type="num" val="0.7"/>
        <cfvo type="num" val="1"/>
      </iconSet>
    </cfRule>
    <cfRule type="dataBar" priority="1726">
      <dataBar>
        <cfvo type="num" val="0"/>
        <cfvo type="num" val="1"/>
        <color theme="4" tint="0.79998168889431442"/>
      </dataBar>
      <extLst>
        <ext xmlns:x14="http://schemas.microsoft.com/office/spreadsheetml/2009/9/main" uri="{B025F937-C7B1-47D3-B67F-A62EFF666E3E}">
          <x14:id>{1E547CB1-D0D1-4EFC-90A4-FA3938A02F2F}</x14:id>
        </ext>
      </extLst>
    </cfRule>
  </conditionalFormatting>
  <conditionalFormatting sqref="Y2930">
    <cfRule type="dataBar" priority="1724">
      <dataBar>
        <cfvo type="num" val="0"/>
        <cfvo type="num" val="1"/>
        <color theme="4" tint="0.79998168889431442"/>
      </dataBar>
      <extLst>
        <ext xmlns:x14="http://schemas.microsoft.com/office/spreadsheetml/2009/9/main" uri="{B025F937-C7B1-47D3-B67F-A62EFF666E3E}">
          <x14:id>{0A489D51-8CBC-4367-AB4C-9473D39D0A76}</x14:id>
        </ext>
      </extLst>
    </cfRule>
    <cfRule type="iconSet" priority="1723">
      <iconSet iconSet="3Arrows">
        <cfvo type="percent" val="0"/>
        <cfvo type="num" val="0.7"/>
        <cfvo type="num" val="1"/>
      </iconSet>
    </cfRule>
  </conditionalFormatting>
  <conditionalFormatting sqref="Y2932">
    <cfRule type="dataBar" priority="1722">
      <dataBar>
        <cfvo type="num" val="0"/>
        <cfvo type="num" val="1"/>
        <color theme="4" tint="0.79998168889431442"/>
      </dataBar>
      <extLst>
        <ext xmlns:x14="http://schemas.microsoft.com/office/spreadsheetml/2009/9/main" uri="{B025F937-C7B1-47D3-B67F-A62EFF666E3E}">
          <x14:id>{3974A6F0-08B0-4572-925C-F5C18161E5FF}</x14:id>
        </ext>
      </extLst>
    </cfRule>
    <cfRule type="iconSet" priority="1721">
      <iconSet iconSet="3Arrows">
        <cfvo type="percent" val="0"/>
        <cfvo type="num" val="0.7"/>
        <cfvo type="num" val="1"/>
      </iconSet>
    </cfRule>
  </conditionalFormatting>
  <conditionalFormatting sqref="Y2934">
    <cfRule type="dataBar" priority="1720">
      <dataBar>
        <cfvo type="num" val="0"/>
        <cfvo type="num" val="1"/>
        <color theme="4" tint="0.79998168889431442"/>
      </dataBar>
      <extLst>
        <ext xmlns:x14="http://schemas.microsoft.com/office/spreadsheetml/2009/9/main" uri="{B025F937-C7B1-47D3-B67F-A62EFF666E3E}">
          <x14:id>{A9342FF1-1A35-4081-954E-A0D3EC7A22E7}</x14:id>
        </ext>
      </extLst>
    </cfRule>
    <cfRule type="iconSet" priority="1719">
      <iconSet iconSet="3Arrows">
        <cfvo type="percent" val="0"/>
        <cfvo type="num" val="0.7"/>
        <cfvo type="num" val="1"/>
      </iconSet>
    </cfRule>
  </conditionalFormatting>
  <conditionalFormatting sqref="Y2936">
    <cfRule type="dataBar" priority="1718">
      <dataBar>
        <cfvo type="num" val="0"/>
        <cfvo type="num" val="1"/>
        <color theme="4" tint="0.79998168889431442"/>
      </dataBar>
      <extLst>
        <ext xmlns:x14="http://schemas.microsoft.com/office/spreadsheetml/2009/9/main" uri="{B025F937-C7B1-47D3-B67F-A62EFF666E3E}">
          <x14:id>{37DAE763-7241-4EED-8D11-636533C39FC3}</x14:id>
        </ext>
      </extLst>
    </cfRule>
    <cfRule type="iconSet" priority="1717">
      <iconSet iconSet="3Arrows">
        <cfvo type="percent" val="0"/>
        <cfvo type="num" val="0.7"/>
        <cfvo type="num" val="1"/>
      </iconSet>
    </cfRule>
  </conditionalFormatting>
  <conditionalFormatting sqref="Y2938">
    <cfRule type="dataBar" priority="1716">
      <dataBar>
        <cfvo type="num" val="0"/>
        <cfvo type="num" val="1"/>
        <color theme="4" tint="0.79998168889431442"/>
      </dataBar>
      <extLst>
        <ext xmlns:x14="http://schemas.microsoft.com/office/spreadsheetml/2009/9/main" uri="{B025F937-C7B1-47D3-B67F-A62EFF666E3E}">
          <x14:id>{9D4C5D66-910F-4F4A-8085-B4A6A26B8007}</x14:id>
        </ext>
      </extLst>
    </cfRule>
    <cfRule type="iconSet" priority="1715">
      <iconSet iconSet="3Arrows">
        <cfvo type="percent" val="0"/>
        <cfvo type="num" val="0.7"/>
        <cfvo type="num" val="1"/>
      </iconSet>
    </cfRule>
  </conditionalFormatting>
  <conditionalFormatting sqref="Y2940">
    <cfRule type="dataBar" priority="1714">
      <dataBar>
        <cfvo type="num" val="0"/>
        <cfvo type="num" val="1"/>
        <color theme="4" tint="0.79998168889431442"/>
      </dataBar>
      <extLst>
        <ext xmlns:x14="http://schemas.microsoft.com/office/spreadsheetml/2009/9/main" uri="{B025F937-C7B1-47D3-B67F-A62EFF666E3E}">
          <x14:id>{21502391-68E8-4FA3-B686-19BE983A6BD3}</x14:id>
        </ext>
      </extLst>
    </cfRule>
    <cfRule type="iconSet" priority="1713">
      <iconSet iconSet="3Arrows">
        <cfvo type="percent" val="0"/>
        <cfvo type="num" val="0.7"/>
        <cfvo type="num" val="1"/>
      </iconSet>
    </cfRule>
  </conditionalFormatting>
  <conditionalFormatting sqref="Y2942">
    <cfRule type="dataBar" priority="1712">
      <dataBar>
        <cfvo type="num" val="0"/>
        <cfvo type="num" val="1"/>
        <color theme="4" tint="0.79998168889431442"/>
      </dataBar>
      <extLst>
        <ext xmlns:x14="http://schemas.microsoft.com/office/spreadsheetml/2009/9/main" uri="{B025F937-C7B1-47D3-B67F-A62EFF666E3E}">
          <x14:id>{EB5E4F22-E7A0-43CC-9809-DED252D68AFA}</x14:id>
        </ext>
      </extLst>
    </cfRule>
    <cfRule type="iconSet" priority="1711">
      <iconSet iconSet="3Arrows">
        <cfvo type="percent" val="0"/>
        <cfvo type="num" val="0.7"/>
        <cfvo type="num" val="1"/>
      </iconSet>
    </cfRule>
  </conditionalFormatting>
  <conditionalFormatting sqref="Y2944">
    <cfRule type="iconSet" priority="1709">
      <iconSet iconSet="3Arrows">
        <cfvo type="percent" val="0"/>
        <cfvo type="num" val="0.7"/>
        <cfvo type="num" val="1"/>
      </iconSet>
    </cfRule>
    <cfRule type="dataBar" priority="1710">
      <dataBar>
        <cfvo type="num" val="0"/>
        <cfvo type="num" val="1"/>
        <color theme="4" tint="0.79998168889431442"/>
      </dataBar>
      <extLst>
        <ext xmlns:x14="http://schemas.microsoft.com/office/spreadsheetml/2009/9/main" uri="{B025F937-C7B1-47D3-B67F-A62EFF666E3E}">
          <x14:id>{D37DAA67-E357-432C-A3AE-CD7A7F206C02}</x14:id>
        </ext>
      </extLst>
    </cfRule>
  </conditionalFormatting>
  <conditionalFormatting sqref="Y2946">
    <cfRule type="dataBar" priority="1708">
      <dataBar>
        <cfvo type="num" val="0"/>
        <cfvo type="num" val="1"/>
        <color theme="4" tint="0.79998168889431442"/>
      </dataBar>
      <extLst>
        <ext xmlns:x14="http://schemas.microsoft.com/office/spreadsheetml/2009/9/main" uri="{B025F937-C7B1-47D3-B67F-A62EFF666E3E}">
          <x14:id>{7AB175DA-28CB-4C99-89F4-79A32EFC1232}</x14:id>
        </ext>
      </extLst>
    </cfRule>
    <cfRule type="iconSet" priority="1707">
      <iconSet iconSet="3Arrows">
        <cfvo type="percent" val="0"/>
        <cfvo type="num" val="0.7"/>
        <cfvo type="num" val="1"/>
      </iconSet>
    </cfRule>
  </conditionalFormatting>
  <conditionalFormatting sqref="Y2948">
    <cfRule type="dataBar" priority="1706">
      <dataBar>
        <cfvo type="num" val="0"/>
        <cfvo type="num" val="1"/>
        <color theme="4" tint="0.79998168889431442"/>
      </dataBar>
      <extLst>
        <ext xmlns:x14="http://schemas.microsoft.com/office/spreadsheetml/2009/9/main" uri="{B025F937-C7B1-47D3-B67F-A62EFF666E3E}">
          <x14:id>{A6B5D8CE-8EEF-41D4-BD33-C1068503D0AD}</x14:id>
        </ext>
      </extLst>
    </cfRule>
    <cfRule type="iconSet" priority="1705">
      <iconSet iconSet="3Arrows">
        <cfvo type="percent" val="0"/>
        <cfvo type="num" val="0.7"/>
        <cfvo type="num" val="1"/>
      </iconSet>
    </cfRule>
  </conditionalFormatting>
  <conditionalFormatting sqref="Y2950">
    <cfRule type="iconSet" priority="1703">
      <iconSet iconSet="3Arrows">
        <cfvo type="percent" val="0"/>
        <cfvo type="num" val="0.7"/>
        <cfvo type="num" val="1"/>
      </iconSet>
    </cfRule>
    <cfRule type="dataBar" priority="1704">
      <dataBar>
        <cfvo type="num" val="0"/>
        <cfvo type="num" val="1"/>
        <color theme="4" tint="0.79998168889431442"/>
      </dataBar>
      <extLst>
        <ext xmlns:x14="http://schemas.microsoft.com/office/spreadsheetml/2009/9/main" uri="{B025F937-C7B1-47D3-B67F-A62EFF666E3E}">
          <x14:id>{81C0A303-E268-4EBC-9B44-29A5E5D852C3}</x14:id>
        </ext>
      </extLst>
    </cfRule>
  </conditionalFormatting>
  <conditionalFormatting sqref="Y2952">
    <cfRule type="dataBar" priority="1702">
      <dataBar>
        <cfvo type="num" val="0"/>
        <cfvo type="num" val="1"/>
        <color theme="4" tint="0.79998168889431442"/>
      </dataBar>
      <extLst>
        <ext xmlns:x14="http://schemas.microsoft.com/office/spreadsheetml/2009/9/main" uri="{B025F937-C7B1-47D3-B67F-A62EFF666E3E}">
          <x14:id>{8113333B-0609-4D5E-9D81-598114AFFF3C}</x14:id>
        </ext>
      </extLst>
    </cfRule>
    <cfRule type="iconSet" priority="1701">
      <iconSet iconSet="3Arrows">
        <cfvo type="percent" val="0"/>
        <cfvo type="num" val="0.7"/>
        <cfvo type="num" val="1"/>
      </iconSet>
    </cfRule>
  </conditionalFormatting>
  <conditionalFormatting sqref="Y2954">
    <cfRule type="dataBar" priority="1700">
      <dataBar>
        <cfvo type="num" val="0"/>
        <cfvo type="num" val="1"/>
        <color theme="4" tint="0.79998168889431442"/>
      </dataBar>
      <extLst>
        <ext xmlns:x14="http://schemas.microsoft.com/office/spreadsheetml/2009/9/main" uri="{B025F937-C7B1-47D3-B67F-A62EFF666E3E}">
          <x14:id>{272C7B52-BF9B-4FD2-BBBE-D9E5F0DE6B63}</x14:id>
        </ext>
      </extLst>
    </cfRule>
    <cfRule type="iconSet" priority="1699">
      <iconSet iconSet="3Arrows">
        <cfvo type="percent" val="0"/>
        <cfvo type="num" val="0.7"/>
        <cfvo type="num" val="1"/>
      </iconSet>
    </cfRule>
  </conditionalFormatting>
  <conditionalFormatting sqref="Y2956">
    <cfRule type="dataBar" priority="1698">
      <dataBar>
        <cfvo type="num" val="0"/>
        <cfvo type="num" val="1"/>
        <color theme="4" tint="0.79998168889431442"/>
      </dataBar>
      <extLst>
        <ext xmlns:x14="http://schemas.microsoft.com/office/spreadsheetml/2009/9/main" uri="{B025F937-C7B1-47D3-B67F-A62EFF666E3E}">
          <x14:id>{95C7236C-C7D7-4F0A-B8C3-78A49DF7D692}</x14:id>
        </ext>
      </extLst>
    </cfRule>
    <cfRule type="iconSet" priority="1697">
      <iconSet iconSet="3Arrows">
        <cfvo type="percent" val="0"/>
        <cfvo type="num" val="0.7"/>
        <cfvo type="num" val="1"/>
      </iconSet>
    </cfRule>
  </conditionalFormatting>
  <conditionalFormatting sqref="Y2960">
    <cfRule type="dataBar" priority="1696">
      <dataBar>
        <cfvo type="num" val="0"/>
        <cfvo type="num" val="1"/>
        <color theme="4" tint="0.79998168889431442"/>
      </dataBar>
      <extLst>
        <ext xmlns:x14="http://schemas.microsoft.com/office/spreadsheetml/2009/9/main" uri="{B025F937-C7B1-47D3-B67F-A62EFF666E3E}">
          <x14:id>{60E91061-2D46-420C-BE46-E3616284195D}</x14:id>
        </ext>
      </extLst>
    </cfRule>
    <cfRule type="iconSet" priority="1695">
      <iconSet iconSet="3Arrows">
        <cfvo type="percent" val="0"/>
        <cfvo type="num" val="0.7"/>
        <cfvo type="num" val="1"/>
      </iconSet>
    </cfRule>
  </conditionalFormatting>
  <conditionalFormatting sqref="Y2962 Y2964 Y2966 Y2968">
    <cfRule type="dataBar" priority="1694">
      <dataBar>
        <cfvo type="num" val="0"/>
        <cfvo type="num" val="1"/>
        <color theme="4" tint="0.79998168889431442"/>
      </dataBar>
      <extLst>
        <ext xmlns:x14="http://schemas.microsoft.com/office/spreadsheetml/2009/9/main" uri="{B025F937-C7B1-47D3-B67F-A62EFF666E3E}">
          <x14:id>{16B529A0-E824-4575-9C7F-869E16A3CEC8}</x14:id>
        </ext>
      </extLst>
    </cfRule>
    <cfRule type="iconSet" priority="1693">
      <iconSet iconSet="3Arrows">
        <cfvo type="percent" val="0"/>
        <cfvo type="num" val="0.7"/>
        <cfvo type="num" val="1"/>
      </iconSet>
    </cfRule>
  </conditionalFormatting>
  <conditionalFormatting sqref="Y2970 Y2972 Y2974 Y2976">
    <cfRule type="dataBar" priority="1692">
      <dataBar>
        <cfvo type="num" val="0"/>
        <cfvo type="num" val="1"/>
        <color theme="4" tint="0.79998168889431442"/>
      </dataBar>
      <extLst>
        <ext xmlns:x14="http://schemas.microsoft.com/office/spreadsheetml/2009/9/main" uri="{B025F937-C7B1-47D3-B67F-A62EFF666E3E}">
          <x14:id>{E868510D-7B5A-4D5E-B262-C91E54C3AE45}</x14:id>
        </ext>
      </extLst>
    </cfRule>
    <cfRule type="iconSet" priority="1691">
      <iconSet iconSet="3Arrows">
        <cfvo type="percent" val="0"/>
        <cfvo type="num" val="0.7"/>
        <cfvo type="num" val="1"/>
      </iconSet>
    </cfRule>
  </conditionalFormatting>
  <conditionalFormatting sqref="Y2978 Y2980 Y2982 Y2984">
    <cfRule type="iconSet" priority="1689">
      <iconSet iconSet="3Arrows">
        <cfvo type="percent" val="0"/>
        <cfvo type="num" val="0.7"/>
        <cfvo type="num" val="1"/>
      </iconSet>
    </cfRule>
    <cfRule type="dataBar" priority="1690">
      <dataBar>
        <cfvo type="num" val="0"/>
        <cfvo type="num" val="1"/>
        <color theme="4" tint="0.79998168889431442"/>
      </dataBar>
      <extLst>
        <ext xmlns:x14="http://schemas.microsoft.com/office/spreadsheetml/2009/9/main" uri="{B025F937-C7B1-47D3-B67F-A62EFF666E3E}">
          <x14:id>{25041B70-16D6-4307-BB5F-C4211869D86F}</x14:id>
        </ext>
      </extLst>
    </cfRule>
  </conditionalFormatting>
  <conditionalFormatting sqref="Y2986 Y2988 Y2990 Y2992">
    <cfRule type="iconSet" priority="1687">
      <iconSet iconSet="3Arrows">
        <cfvo type="percent" val="0"/>
        <cfvo type="num" val="0.7"/>
        <cfvo type="num" val="1"/>
      </iconSet>
    </cfRule>
    <cfRule type="dataBar" priority="1688">
      <dataBar>
        <cfvo type="num" val="0"/>
        <cfvo type="num" val="1"/>
        <color theme="4" tint="0.79998168889431442"/>
      </dataBar>
      <extLst>
        <ext xmlns:x14="http://schemas.microsoft.com/office/spreadsheetml/2009/9/main" uri="{B025F937-C7B1-47D3-B67F-A62EFF666E3E}">
          <x14:id>{A4CD3A6C-06EB-48AE-BFD1-E41310A4C23E}</x14:id>
        </ext>
      </extLst>
    </cfRule>
  </conditionalFormatting>
  <conditionalFormatting sqref="Y2994 Y2996 Y2998 Y3000">
    <cfRule type="dataBar" priority="1686">
      <dataBar>
        <cfvo type="num" val="0"/>
        <cfvo type="num" val="1"/>
        <color theme="4" tint="0.79998168889431442"/>
      </dataBar>
      <extLst>
        <ext xmlns:x14="http://schemas.microsoft.com/office/spreadsheetml/2009/9/main" uri="{B025F937-C7B1-47D3-B67F-A62EFF666E3E}">
          <x14:id>{4460E4C7-39BA-4877-9208-C5330E13BD2F}</x14:id>
        </ext>
      </extLst>
    </cfRule>
    <cfRule type="iconSet" priority="1685">
      <iconSet iconSet="3Arrows">
        <cfvo type="percent" val="0"/>
        <cfvo type="num" val="0.7"/>
        <cfvo type="num" val="1"/>
      </iconSet>
    </cfRule>
  </conditionalFormatting>
  <conditionalFormatting sqref="Y3002 Y3004 Y3006 Y3008">
    <cfRule type="dataBar" priority="1684">
      <dataBar>
        <cfvo type="num" val="0"/>
        <cfvo type="num" val="1"/>
        <color theme="4" tint="0.79998168889431442"/>
      </dataBar>
      <extLst>
        <ext xmlns:x14="http://schemas.microsoft.com/office/spreadsheetml/2009/9/main" uri="{B025F937-C7B1-47D3-B67F-A62EFF666E3E}">
          <x14:id>{2B77F514-0FFF-49C6-A1DE-10968392C96F}</x14:id>
        </ext>
      </extLst>
    </cfRule>
    <cfRule type="iconSet" priority="1683">
      <iconSet iconSet="3Arrows">
        <cfvo type="percent" val="0"/>
        <cfvo type="num" val="0.7"/>
        <cfvo type="num" val="1"/>
      </iconSet>
    </cfRule>
  </conditionalFormatting>
  <conditionalFormatting sqref="Y3010 Y3012 Y3014 Y3016">
    <cfRule type="dataBar" priority="1682">
      <dataBar>
        <cfvo type="num" val="0"/>
        <cfvo type="num" val="1"/>
        <color theme="4" tint="0.79998168889431442"/>
      </dataBar>
      <extLst>
        <ext xmlns:x14="http://schemas.microsoft.com/office/spreadsheetml/2009/9/main" uri="{B025F937-C7B1-47D3-B67F-A62EFF666E3E}">
          <x14:id>{C30286E2-D51D-415F-B62A-1A2BE317F3CC}</x14:id>
        </ext>
      </extLst>
    </cfRule>
    <cfRule type="iconSet" priority="1681">
      <iconSet iconSet="3Arrows">
        <cfvo type="percent" val="0"/>
        <cfvo type="num" val="0.7"/>
        <cfvo type="num" val="1"/>
      </iconSet>
    </cfRule>
  </conditionalFormatting>
  <conditionalFormatting sqref="Y3018 Y3020 Y3022 Y3024">
    <cfRule type="iconSet" priority="1679">
      <iconSet iconSet="3Arrows">
        <cfvo type="percent" val="0"/>
        <cfvo type="num" val="0.7"/>
        <cfvo type="num" val="1"/>
      </iconSet>
    </cfRule>
    <cfRule type="dataBar" priority="1680">
      <dataBar>
        <cfvo type="num" val="0"/>
        <cfvo type="num" val="1"/>
        <color theme="4" tint="0.79998168889431442"/>
      </dataBar>
      <extLst>
        <ext xmlns:x14="http://schemas.microsoft.com/office/spreadsheetml/2009/9/main" uri="{B025F937-C7B1-47D3-B67F-A62EFF666E3E}">
          <x14:id>{7FC74030-1C16-4368-834F-F55110B6D1B1}</x14:id>
        </ext>
      </extLst>
    </cfRule>
  </conditionalFormatting>
  <conditionalFormatting sqref="Y3026 Y3028">
    <cfRule type="iconSet" priority="1677">
      <iconSet iconSet="3Arrows">
        <cfvo type="percent" val="0"/>
        <cfvo type="num" val="0.7"/>
        <cfvo type="num" val="1"/>
      </iconSet>
    </cfRule>
    <cfRule type="dataBar" priority="1678">
      <dataBar>
        <cfvo type="num" val="0"/>
        <cfvo type="num" val="1"/>
        <color theme="4" tint="0.79998168889431442"/>
      </dataBar>
      <extLst>
        <ext xmlns:x14="http://schemas.microsoft.com/office/spreadsheetml/2009/9/main" uri="{B025F937-C7B1-47D3-B67F-A62EFF666E3E}">
          <x14:id>{BC7F8B6D-CA52-412F-B68E-8C75F62CDD1C}</x14:id>
        </ext>
      </extLst>
    </cfRule>
  </conditionalFormatting>
  <conditionalFormatting sqref="Y3030 Y3032 Y3034 Y3036">
    <cfRule type="iconSet" priority="1675">
      <iconSet iconSet="3Arrows">
        <cfvo type="percent" val="0"/>
        <cfvo type="num" val="0.7"/>
        <cfvo type="num" val="1"/>
      </iconSet>
    </cfRule>
    <cfRule type="dataBar" priority="1676">
      <dataBar>
        <cfvo type="num" val="0"/>
        <cfvo type="num" val="1"/>
        <color theme="4" tint="0.79998168889431442"/>
      </dataBar>
      <extLst>
        <ext xmlns:x14="http://schemas.microsoft.com/office/spreadsheetml/2009/9/main" uri="{B025F937-C7B1-47D3-B67F-A62EFF666E3E}">
          <x14:id>{41FB9599-3A71-4950-BE93-92788410EF56}</x14:id>
        </ext>
      </extLst>
    </cfRule>
  </conditionalFormatting>
  <conditionalFormatting sqref="Y3038 Y3040 Y3042 Y3044">
    <cfRule type="iconSet" priority="1673">
      <iconSet iconSet="3Arrows">
        <cfvo type="percent" val="0"/>
        <cfvo type="num" val="0.7"/>
        <cfvo type="num" val="1"/>
      </iconSet>
    </cfRule>
    <cfRule type="dataBar" priority="1674">
      <dataBar>
        <cfvo type="num" val="0"/>
        <cfvo type="num" val="1"/>
        <color theme="4" tint="0.79998168889431442"/>
      </dataBar>
      <extLst>
        <ext xmlns:x14="http://schemas.microsoft.com/office/spreadsheetml/2009/9/main" uri="{B025F937-C7B1-47D3-B67F-A62EFF666E3E}">
          <x14:id>{0128AAEF-291E-47CC-988B-E15021431C65}</x14:id>
        </ext>
      </extLst>
    </cfRule>
  </conditionalFormatting>
  <conditionalFormatting sqref="Y3046 Y3048">
    <cfRule type="iconSet" priority="1671">
      <iconSet iconSet="3Arrows">
        <cfvo type="percent" val="0"/>
        <cfvo type="num" val="0.7"/>
        <cfvo type="num" val="1"/>
      </iconSet>
    </cfRule>
    <cfRule type="dataBar" priority="1672">
      <dataBar>
        <cfvo type="num" val="0"/>
        <cfvo type="num" val="1"/>
        <color theme="4" tint="0.79998168889431442"/>
      </dataBar>
      <extLst>
        <ext xmlns:x14="http://schemas.microsoft.com/office/spreadsheetml/2009/9/main" uri="{B025F937-C7B1-47D3-B67F-A62EFF666E3E}">
          <x14:id>{874D9B89-665F-421D-A319-D9ED86A21C97}</x14:id>
        </ext>
      </extLst>
    </cfRule>
  </conditionalFormatting>
  <conditionalFormatting sqref="Y3050 Y3052 Y3054 Y3056">
    <cfRule type="iconSet" priority="1669">
      <iconSet iconSet="3Arrows">
        <cfvo type="percent" val="0"/>
        <cfvo type="num" val="0.7"/>
        <cfvo type="num" val="1"/>
      </iconSet>
    </cfRule>
    <cfRule type="dataBar" priority="1670">
      <dataBar>
        <cfvo type="num" val="0"/>
        <cfvo type="num" val="1"/>
        <color theme="4" tint="0.79998168889431442"/>
      </dataBar>
      <extLst>
        <ext xmlns:x14="http://schemas.microsoft.com/office/spreadsheetml/2009/9/main" uri="{B025F937-C7B1-47D3-B67F-A62EFF666E3E}">
          <x14:id>{9135E878-B494-4714-9854-5A19ABEA1FCA}</x14:id>
        </ext>
      </extLst>
    </cfRule>
  </conditionalFormatting>
  <conditionalFormatting sqref="Y3058">
    <cfRule type="dataBar" priority="1668">
      <dataBar>
        <cfvo type="num" val="0"/>
        <cfvo type="num" val="1"/>
        <color theme="4" tint="0.79998168889431442"/>
      </dataBar>
      <extLst>
        <ext xmlns:x14="http://schemas.microsoft.com/office/spreadsheetml/2009/9/main" uri="{B025F937-C7B1-47D3-B67F-A62EFF666E3E}">
          <x14:id>{8C373E19-B785-44AB-87F6-A3F64410BEC9}</x14:id>
        </ext>
      </extLst>
    </cfRule>
    <cfRule type="iconSet" priority="1667">
      <iconSet iconSet="3Arrows">
        <cfvo type="percent" val="0"/>
        <cfvo type="num" val="0.7"/>
        <cfvo type="num" val="1"/>
      </iconSet>
    </cfRule>
  </conditionalFormatting>
  <conditionalFormatting sqref="Y3060">
    <cfRule type="dataBar" priority="1666">
      <dataBar>
        <cfvo type="num" val="0"/>
        <cfvo type="num" val="1"/>
        <color theme="4" tint="0.79998168889431442"/>
      </dataBar>
      <extLst>
        <ext xmlns:x14="http://schemas.microsoft.com/office/spreadsheetml/2009/9/main" uri="{B025F937-C7B1-47D3-B67F-A62EFF666E3E}">
          <x14:id>{D5F9FA66-0B7D-4A3E-B9D3-CBE82CF067CD}</x14:id>
        </ext>
      </extLst>
    </cfRule>
    <cfRule type="iconSet" priority="1665">
      <iconSet iconSet="3Arrows">
        <cfvo type="percent" val="0"/>
        <cfvo type="num" val="0.7"/>
        <cfvo type="num" val="1"/>
      </iconSet>
    </cfRule>
  </conditionalFormatting>
  <conditionalFormatting sqref="Y3063">
    <cfRule type="dataBar" priority="1664">
      <dataBar>
        <cfvo type="num" val="0"/>
        <cfvo type="num" val="1"/>
        <color theme="4" tint="0.79998168889431442"/>
      </dataBar>
      <extLst>
        <ext xmlns:x14="http://schemas.microsoft.com/office/spreadsheetml/2009/9/main" uri="{B025F937-C7B1-47D3-B67F-A62EFF666E3E}">
          <x14:id>{92005329-CD45-4510-9214-69E502D8E88A}</x14:id>
        </ext>
      </extLst>
    </cfRule>
    <cfRule type="iconSet" priority="1663">
      <iconSet iconSet="3Arrows">
        <cfvo type="percent" val="0"/>
        <cfvo type="num" val="0.7"/>
        <cfvo type="num" val="1"/>
      </iconSet>
    </cfRule>
  </conditionalFormatting>
  <conditionalFormatting sqref="Y3065 Y3067 Y3069">
    <cfRule type="dataBar" priority="1662">
      <dataBar>
        <cfvo type="num" val="0"/>
        <cfvo type="num" val="1"/>
        <color theme="4" tint="0.79998168889431442"/>
      </dataBar>
      <extLst>
        <ext xmlns:x14="http://schemas.microsoft.com/office/spreadsheetml/2009/9/main" uri="{B025F937-C7B1-47D3-B67F-A62EFF666E3E}">
          <x14:id>{7FAD225E-3A40-47D1-B4EC-C63E03C638D1}</x14:id>
        </ext>
      </extLst>
    </cfRule>
    <cfRule type="iconSet" priority="1661">
      <iconSet iconSet="3Arrows">
        <cfvo type="percent" val="0"/>
        <cfvo type="num" val="0.7"/>
        <cfvo type="num" val="1"/>
      </iconSet>
    </cfRule>
  </conditionalFormatting>
  <conditionalFormatting sqref="Y3071">
    <cfRule type="dataBar" priority="1660">
      <dataBar>
        <cfvo type="num" val="0"/>
        <cfvo type="num" val="1"/>
        <color theme="4" tint="0.79998168889431442"/>
      </dataBar>
      <extLst>
        <ext xmlns:x14="http://schemas.microsoft.com/office/spreadsheetml/2009/9/main" uri="{B025F937-C7B1-47D3-B67F-A62EFF666E3E}">
          <x14:id>{9283A353-161F-496B-90AC-B909D2A565D1}</x14:id>
        </ext>
      </extLst>
    </cfRule>
    <cfRule type="iconSet" priority="1659">
      <iconSet iconSet="3Arrows">
        <cfvo type="percent" val="0"/>
        <cfvo type="num" val="0.7"/>
        <cfvo type="num" val="1"/>
      </iconSet>
    </cfRule>
  </conditionalFormatting>
  <conditionalFormatting sqref="Y3073 Y3075">
    <cfRule type="dataBar" priority="1658">
      <dataBar>
        <cfvo type="num" val="0"/>
        <cfvo type="num" val="1"/>
        <color theme="4" tint="0.79998168889431442"/>
      </dataBar>
      <extLst>
        <ext xmlns:x14="http://schemas.microsoft.com/office/spreadsheetml/2009/9/main" uri="{B025F937-C7B1-47D3-B67F-A62EFF666E3E}">
          <x14:id>{E5B23683-8ABA-476A-950C-37CB48FFB088}</x14:id>
        </ext>
      </extLst>
    </cfRule>
    <cfRule type="iconSet" priority="1657">
      <iconSet iconSet="3Arrows">
        <cfvo type="percent" val="0"/>
        <cfvo type="num" val="0.7"/>
        <cfvo type="num" val="1"/>
      </iconSet>
    </cfRule>
  </conditionalFormatting>
  <conditionalFormatting sqref="Y3077 Y3079 Y3081 Y3083">
    <cfRule type="dataBar" priority="1656">
      <dataBar>
        <cfvo type="num" val="0"/>
        <cfvo type="num" val="1"/>
        <color theme="4" tint="0.79998168889431442"/>
      </dataBar>
      <extLst>
        <ext xmlns:x14="http://schemas.microsoft.com/office/spreadsheetml/2009/9/main" uri="{B025F937-C7B1-47D3-B67F-A62EFF666E3E}">
          <x14:id>{909282AB-91C9-4C29-ABFD-F4DFAC9362BC}</x14:id>
        </ext>
      </extLst>
    </cfRule>
    <cfRule type="iconSet" priority="1655">
      <iconSet iconSet="3Arrows">
        <cfvo type="percent" val="0"/>
        <cfvo type="num" val="0.7"/>
        <cfvo type="num" val="1"/>
      </iconSet>
    </cfRule>
  </conditionalFormatting>
  <conditionalFormatting sqref="Y3085 Y3087 Y3089">
    <cfRule type="iconSet" priority="1653">
      <iconSet iconSet="3Arrows">
        <cfvo type="percent" val="0"/>
        <cfvo type="num" val="0.7"/>
        <cfvo type="num" val="1"/>
      </iconSet>
    </cfRule>
    <cfRule type="dataBar" priority="1654">
      <dataBar>
        <cfvo type="num" val="0"/>
        <cfvo type="num" val="1"/>
        <color theme="4" tint="0.79998168889431442"/>
      </dataBar>
      <extLst>
        <ext xmlns:x14="http://schemas.microsoft.com/office/spreadsheetml/2009/9/main" uri="{B025F937-C7B1-47D3-B67F-A62EFF666E3E}">
          <x14:id>{18DD81FC-1974-4176-8737-452404F52EBE}</x14:id>
        </ext>
      </extLst>
    </cfRule>
  </conditionalFormatting>
  <conditionalFormatting sqref="Y3091">
    <cfRule type="dataBar" priority="1652">
      <dataBar>
        <cfvo type="num" val="0"/>
        <cfvo type="num" val="1"/>
        <color theme="4" tint="0.79998168889431442"/>
      </dataBar>
      <extLst>
        <ext xmlns:x14="http://schemas.microsoft.com/office/spreadsheetml/2009/9/main" uri="{B025F937-C7B1-47D3-B67F-A62EFF666E3E}">
          <x14:id>{156D2E1E-E60E-4DAA-96BB-32B0319A2F42}</x14:id>
        </ext>
      </extLst>
    </cfRule>
    <cfRule type="iconSet" priority="1651">
      <iconSet iconSet="3Arrows">
        <cfvo type="percent" val="0"/>
        <cfvo type="num" val="0.7"/>
        <cfvo type="num" val="1"/>
      </iconSet>
    </cfRule>
  </conditionalFormatting>
  <conditionalFormatting sqref="Y3093">
    <cfRule type="iconSet" priority="1649">
      <iconSet iconSet="3Arrows">
        <cfvo type="percent" val="0"/>
        <cfvo type="num" val="0.7"/>
        <cfvo type="num" val="1"/>
      </iconSet>
    </cfRule>
    <cfRule type="dataBar" priority="1650">
      <dataBar>
        <cfvo type="num" val="0"/>
        <cfvo type="num" val="1"/>
        <color theme="4" tint="0.79998168889431442"/>
      </dataBar>
      <extLst>
        <ext xmlns:x14="http://schemas.microsoft.com/office/spreadsheetml/2009/9/main" uri="{B025F937-C7B1-47D3-B67F-A62EFF666E3E}">
          <x14:id>{1CEB29E0-AE6C-4128-94B7-736976A5DF4F}</x14:id>
        </ext>
      </extLst>
    </cfRule>
  </conditionalFormatting>
  <conditionalFormatting sqref="Y3095">
    <cfRule type="dataBar" priority="1648">
      <dataBar>
        <cfvo type="num" val="0"/>
        <cfvo type="num" val="1"/>
        <color theme="4" tint="0.79998168889431442"/>
      </dataBar>
      <extLst>
        <ext xmlns:x14="http://schemas.microsoft.com/office/spreadsheetml/2009/9/main" uri="{B025F937-C7B1-47D3-B67F-A62EFF666E3E}">
          <x14:id>{5D1408DE-F08E-40F5-93EB-4E66E23D6CB0}</x14:id>
        </ext>
      </extLst>
    </cfRule>
    <cfRule type="iconSet" priority="1647">
      <iconSet iconSet="3Arrows">
        <cfvo type="percent" val="0"/>
        <cfvo type="num" val="0.7"/>
        <cfvo type="num" val="1"/>
      </iconSet>
    </cfRule>
  </conditionalFormatting>
  <conditionalFormatting sqref="Y3097">
    <cfRule type="iconSet" priority="1645">
      <iconSet iconSet="3Arrows">
        <cfvo type="percent" val="0"/>
        <cfvo type="num" val="0.7"/>
        <cfvo type="num" val="1"/>
      </iconSet>
    </cfRule>
    <cfRule type="dataBar" priority="1646">
      <dataBar>
        <cfvo type="num" val="0"/>
        <cfvo type="num" val="1"/>
        <color theme="4" tint="0.79998168889431442"/>
      </dataBar>
      <extLst>
        <ext xmlns:x14="http://schemas.microsoft.com/office/spreadsheetml/2009/9/main" uri="{B025F937-C7B1-47D3-B67F-A62EFF666E3E}">
          <x14:id>{5E000650-502B-4AC4-A9BF-61DBB94EE710}</x14:id>
        </ext>
      </extLst>
    </cfRule>
  </conditionalFormatting>
  <conditionalFormatting sqref="Y3101">
    <cfRule type="dataBar" priority="1644">
      <dataBar>
        <cfvo type="num" val="0"/>
        <cfvo type="num" val="1"/>
        <color theme="4" tint="0.79998168889431442"/>
      </dataBar>
      <extLst>
        <ext xmlns:x14="http://schemas.microsoft.com/office/spreadsheetml/2009/9/main" uri="{B025F937-C7B1-47D3-B67F-A62EFF666E3E}">
          <x14:id>{375275E3-6469-493B-81F6-38AB3C0B22FB}</x14:id>
        </ext>
      </extLst>
    </cfRule>
    <cfRule type="iconSet" priority="1643">
      <iconSet iconSet="3Arrows">
        <cfvo type="percent" val="0"/>
        <cfvo type="num" val="0.7"/>
        <cfvo type="num" val="1"/>
      </iconSet>
    </cfRule>
  </conditionalFormatting>
  <conditionalFormatting sqref="Y3103">
    <cfRule type="dataBar" priority="1642">
      <dataBar>
        <cfvo type="num" val="0"/>
        <cfvo type="num" val="1"/>
        <color theme="4" tint="0.79998168889431442"/>
      </dataBar>
      <extLst>
        <ext xmlns:x14="http://schemas.microsoft.com/office/spreadsheetml/2009/9/main" uri="{B025F937-C7B1-47D3-B67F-A62EFF666E3E}">
          <x14:id>{56C8143D-2DA3-4255-886C-E48A42009D7C}</x14:id>
        </ext>
      </extLst>
    </cfRule>
    <cfRule type="iconSet" priority="1641">
      <iconSet iconSet="3Arrows">
        <cfvo type="percent" val="0"/>
        <cfvo type="num" val="0.7"/>
        <cfvo type="num" val="1"/>
      </iconSet>
    </cfRule>
  </conditionalFormatting>
  <conditionalFormatting sqref="Y3105 Y3107">
    <cfRule type="dataBar" priority="1640">
      <dataBar>
        <cfvo type="num" val="0"/>
        <cfvo type="num" val="1"/>
        <color theme="4" tint="0.79998168889431442"/>
      </dataBar>
      <extLst>
        <ext xmlns:x14="http://schemas.microsoft.com/office/spreadsheetml/2009/9/main" uri="{B025F937-C7B1-47D3-B67F-A62EFF666E3E}">
          <x14:id>{99C01BEA-FAF4-487C-B01A-9920CED698C7}</x14:id>
        </ext>
      </extLst>
    </cfRule>
    <cfRule type="iconSet" priority="1639">
      <iconSet iconSet="3Arrows">
        <cfvo type="percent" val="0"/>
        <cfvo type="num" val="0.7"/>
        <cfvo type="num" val="1"/>
      </iconSet>
    </cfRule>
  </conditionalFormatting>
  <conditionalFormatting sqref="Y3109">
    <cfRule type="dataBar" priority="1638">
      <dataBar>
        <cfvo type="num" val="0"/>
        <cfvo type="num" val="1"/>
        <color theme="4" tint="0.79998168889431442"/>
      </dataBar>
      <extLst>
        <ext xmlns:x14="http://schemas.microsoft.com/office/spreadsheetml/2009/9/main" uri="{B025F937-C7B1-47D3-B67F-A62EFF666E3E}">
          <x14:id>{2EF747C5-0FA1-4B57-950E-C8AEEC32BD09}</x14:id>
        </ext>
      </extLst>
    </cfRule>
    <cfRule type="iconSet" priority="1637">
      <iconSet iconSet="3Arrows">
        <cfvo type="percent" val="0"/>
        <cfvo type="num" val="0.7"/>
        <cfvo type="num" val="1"/>
      </iconSet>
    </cfRule>
  </conditionalFormatting>
  <conditionalFormatting sqref="Y3111 Y3113">
    <cfRule type="dataBar" priority="1636">
      <dataBar>
        <cfvo type="num" val="0"/>
        <cfvo type="num" val="1"/>
        <color theme="4" tint="0.79998168889431442"/>
      </dataBar>
      <extLst>
        <ext xmlns:x14="http://schemas.microsoft.com/office/spreadsheetml/2009/9/main" uri="{B025F937-C7B1-47D3-B67F-A62EFF666E3E}">
          <x14:id>{7A849FCE-A43F-4FC1-BB47-68731F3B7CB1}</x14:id>
        </ext>
      </extLst>
    </cfRule>
    <cfRule type="iconSet" priority="1635">
      <iconSet iconSet="3Arrows">
        <cfvo type="percent" val="0"/>
        <cfvo type="num" val="0.7"/>
        <cfvo type="num" val="1"/>
      </iconSet>
    </cfRule>
  </conditionalFormatting>
  <conditionalFormatting sqref="Y3115">
    <cfRule type="dataBar" priority="1634">
      <dataBar>
        <cfvo type="num" val="0"/>
        <cfvo type="num" val="1"/>
        <color theme="4" tint="0.79998168889431442"/>
      </dataBar>
      <extLst>
        <ext xmlns:x14="http://schemas.microsoft.com/office/spreadsheetml/2009/9/main" uri="{B025F937-C7B1-47D3-B67F-A62EFF666E3E}">
          <x14:id>{83989EBD-842A-4D75-88E6-3167181721C5}</x14:id>
        </ext>
      </extLst>
    </cfRule>
    <cfRule type="iconSet" priority="1633">
      <iconSet iconSet="3Arrows">
        <cfvo type="percent" val="0"/>
        <cfvo type="num" val="0.7"/>
        <cfvo type="num" val="1"/>
      </iconSet>
    </cfRule>
  </conditionalFormatting>
  <conditionalFormatting sqref="Y3117 Y3119">
    <cfRule type="dataBar" priority="1632">
      <dataBar>
        <cfvo type="num" val="0"/>
        <cfvo type="num" val="1"/>
        <color theme="4" tint="0.79998168889431442"/>
      </dataBar>
      <extLst>
        <ext xmlns:x14="http://schemas.microsoft.com/office/spreadsheetml/2009/9/main" uri="{B025F937-C7B1-47D3-B67F-A62EFF666E3E}">
          <x14:id>{AA7B88BE-40FB-46CD-BCCA-7B90A1B2F5C1}</x14:id>
        </ext>
      </extLst>
    </cfRule>
    <cfRule type="iconSet" priority="1631">
      <iconSet iconSet="3Arrows">
        <cfvo type="percent" val="0"/>
        <cfvo type="num" val="0.7"/>
        <cfvo type="num" val="1"/>
      </iconSet>
    </cfRule>
  </conditionalFormatting>
  <conditionalFormatting sqref="Y3121">
    <cfRule type="iconSet" priority="1629">
      <iconSet iconSet="3Arrows">
        <cfvo type="percent" val="0"/>
        <cfvo type="num" val="0.7"/>
        <cfvo type="num" val="1"/>
      </iconSet>
    </cfRule>
    <cfRule type="dataBar" priority="1630">
      <dataBar>
        <cfvo type="num" val="0"/>
        <cfvo type="num" val="1"/>
        <color theme="4" tint="0.79998168889431442"/>
      </dataBar>
      <extLst>
        <ext xmlns:x14="http://schemas.microsoft.com/office/spreadsheetml/2009/9/main" uri="{B025F937-C7B1-47D3-B67F-A62EFF666E3E}">
          <x14:id>{854623DB-EA94-4435-956A-CAD89792152F}</x14:id>
        </ext>
      </extLst>
    </cfRule>
  </conditionalFormatting>
  <conditionalFormatting sqref="Y3123 Y3125">
    <cfRule type="dataBar" priority="1628">
      <dataBar>
        <cfvo type="num" val="0"/>
        <cfvo type="num" val="1"/>
        <color theme="4" tint="0.79998168889431442"/>
      </dataBar>
      <extLst>
        <ext xmlns:x14="http://schemas.microsoft.com/office/spreadsheetml/2009/9/main" uri="{B025F937-C7B1-47D3-B67F-A62EFF666E3E}">
          <x14:id>{4FCE6F0C-A239-466E-8BD5-678A030CCFBD}</x14:id>
        </ext>
      </extLst>
    </cfRule>
    <cfRule type="iconSet" priority="1627">
      <iconSet iconSet="3Arrows">
        <cfvo type="percent" val="0"/>
        <cfvo type="num" val="0.7"/>
        <cfvo type="num" val="1"/>
      </iconSet>
    </cfRule>
  </conditionalFormatting>
  <conditionalFormatting sqref="Y3127 Y3129">
    <cfRule type="dataBar" priority="1626">
      <dataBar>
        <cfvo type="num" val="0"/>
        <cfvo type="num" val="1"/>
        <color theme="4" tint="0.79998168889431442"/>
      </dataBar>
      <extLst>
        <ext xmlns:x14="http://schemas.microsoft.com/office/spreadsheetml/2009/9/main" uri="{B025F937-C7B1-47D3-B67F-A62EFF666E3E}">
          <x14:id>{378E8420-A6B5-4B40-BA2D-FB946ABEB6AC}</x14:id>
        </ext>
      </extLst>
    </cfRule>
    <cfRule type="iconSet" priority="1625">
      <iconSet iconSet="3Arrows">
        <cfvo type="percent" val="0"/>
        <cfvo type="num" val="0.7"/>
        <cfvo type="num" val="1"/>
      </iconSet>
    </cfRule>
  </conditionalFormatting>
  <conditionalFormatting sqref="Y3131">
    <cfRule type="dataBar" priority="1624">
      <dataBar>
        <cfvo type="num" val="0"/>
        <cfvo type="num" val="1"/>
        <color theme="4" tint="0.79998168889431442"/>
      </dataBar>
      <extLst>
        <ext xmlns:x14="http://schemas.microsoft.com/office/spreadsheetml/2009/9/main" uri="{B025F937-C7B1-47D3-B67F-A62EFF666E3E}">
          <x14:id>{7F3978B3-0FDC-45E7-BC32-A108B08E9E9C}</x14:id>
        </ext>
      </extLst>
    </cfRule>
    <cfRule type="iconSet" priority="1623">
      <iconSet iconSet="3Arrows">
        <cfvo type="percent" val="0"/>
        <cfvo type="num" val="0.7"/>
        <cfvo type="num" val="1"/>
      </iconSet>
    </cfRule>
  </conditionalFormatting>
  <conditionalFormatting sqref="Y3133 Y3135">
    <cfRule type="iconSet" priority="1621">
      <iconSet iconSet="3Arrows">
        <cfvo type="percent" val="0"/>
        <cfvo type="num" val="0.7"/>
        <cfvo type="num" val="1"/>
      </iconSet>
    </cfRule>
    <cfRule type="dataBar" priority="1622">
      <dataBar>
        <cfvo type="num" val="0"/>
        <cfvo type="num" val="1"/>
        <color theme="4" tint="0.79998168889431442"/>
      </dataBar>
      <extLst>
        <ext xmlns:x14="http://schemas.microsoft.com/office/spreadsheetml/2009/9/main" uri="{B025F937-C7B1-47D3-B67F-A62EFF666E3E}">
          <x14:id>{CDD772AD-1E24-406D-82FA-140B9B65A595}</x14:id>
        </ext>
      </extLst>
    </cfRule>
  </conditionalFormatting>
  <conditionalFormatting sqref="Y3137">
    <cfRule type="dataBar" priority="1620">
      <dataBar>
        <cfvo type="num" val="0"/>
        <cfvo type="num" val="1"/>
        <color theme="4" tint="0.79998168889431442"/>
      </dataBar>
      <extLst>
        <ext xmlns:x14="http://schemas.microsoft.com/office/spreadsheetml/2009/9/main" uri="{B025F937-C7B1-47D3-B67F-A62EFF666E3E}">
          <x14:id>{7D727155-975A-4829-A556-08556D812AA2}</x14:id>
        </ext>
      </extLst>
    </cfRule>
    <cfRule type="iconSet" priority="1619">
      <iconSet iconSet="3Arrows">
        <cfvo type="percent" val="0"/>
        <cfvo type="num" val="0.7"/>
        <cfvo type="num" val="1"/>
      </iconSet>
    </cfRule>
  </conditionalFormatting>
  <conditionalFormatting sqref="Y3139 Y3141">
    <cfRule type="iconSet" priority="1617">
      <iconSet iconSet="3Arrows">
        <cfvo type="percent" val="0"/>
        <cfvo type="num" val="0.7"/>
        <cfvo type="num" val="1"/>
      </iconSet>
    </cfRule>
    <cfRule type="dataBar" priority="1618">
      <dataBar>
        <cfvo type="num" val="0"/>
        <cfvo type="num" val="1"/>
        <color theme="4" tint="0.79998168889431442"/>
      </dataBar>
      <extLst>
        <ext xmlns:x14="http://schemas.microsoft.com/office/spreadsheetml/2009/9/main" uri="{B025F937-C7B1-47D3-B67F-A62EFF666E3E}">
          <x14:id>{62F7A3AA-024A-4E64-B99E-BE0C92E534CD}</x14:id>
        </ext>
      </extLst>
    </cfRule>
  </conditionalFormatting>
  <conditionalFormatting sqref="Y3143">
    <cfRule type="dataBar" priority="1616">
      <dataBar>
        <cfvo type="num" val="0"/>
        <cfvo type="num" val="1"/>
        <color theme="4" tint="0.79998168889431442"/>
      </dataBar>
      <extLst>
        <ext xmlns:x14="http://schemas.microsoft.com/office/spreadsheetml/2009/9/main" uri="{B025F937-C7B1-47D3-B67F-A62EFF666E3E}">
          <x14:id>{6593E42F-0D45-4BEF-ACC6-85FED3462FF0}</x14:id>
        </ext>
      </extLst>
    </cfRule>
    <cfRule type="iconSet" priority="1615">
      <iconSet iconSet="3Arrows">
        <cfvo type="percent" val="0"/>
        <cfvo type="num" val="0.7"/>
        <cfvo type="num" val="1"/>
      </iconSet>
    </cfRule>
  </conditionalFormatting>
  <conditionalFormatting sqref="Y3145">
    <cfRule type="dataBar" priority="1614">
      <dataBar>
        <cfvo type="num" val="0"/>
        <cfvo type="num" val="1"/>
        <color theme="4" tint="0.79998168889431442"/>
      </dataBar>
      <extLst>
        <ext xmlns:x14="http://schemas.microsoft.com/office/spreadsheetml/2009/9/main" uri="{B025F937-C7B1-47D3-B67F-A62EFF666E3E}">
          <x14:id>{3149E075-1222-4E46-8030-5746D90EDF70}</x14:id>
        </ext>
      </extLst>
    </cfRule>
    <cfRule type="iconSet" priority="1613">
      <iconSet iconSet="3Arrows">
        <cfvo type="percent" val="0"/>
        <cfvo type="num" val="0.7"/>
        <cfvo type="num" val="1"/>
      </iconSet>
    </cfRule>
  </conditionalFormatting>
  <conditionalFormatting sqref="Y3147">
    <cfRule type="dataBar" priority="1612">
      <dataBar>
        <cfvo type="num" val="0"/>
        <cfvo type="num" val="1"/>
        <color theme="4" tint="0.79998168889431442"/>
      </dataBar>
      <extLst>
        <ext xmlns:x14="http://schemas.microsoft.com/office/spreadsheetml/2009/9/main" uri="{B025F937-C7B1-47D3-B67F-A62EFF666E3E}">
          <x14:id>{1C3E01DF-4938-4DEC-AA10-5C92702BC923}</x14:id>
        </ext>
      </extLst>
    </cfRule>
    <cfRule type="iconSet" priority="1611">
      <iconSet iconSet="3Arrows">
        <cfvo type="percent" val="0"/>
        <cfvo type="num" val="0.7"/>
        <cfvo type="num" val="1"/>
      </iconSet>
    </cfRule>
  </conditionalFormatting>
  <conditionalFormatting sqref="Y3151">
    <cfRule type="iconSet" priority="1609">
      <iconSet iconSet="3Arrows">
        <cfvo type="percent" val="0"/>
        <cfvo type="num" val="0.7"/>
        <cfvo type="num" val="1"/>
      </iconSet>
    </cfRule>
    <cfRule type="dataBar" priority="1610">
      <dataBar>
        <cfvo type="num" val="0"/>
        <cfvo type="num" val="1"/>
        <color theme="4" tint="0.79998168889431442"/>
      </dataBar>
      <extLst>
        <ext xmlns:x14="http://schemas.microsoft.com/office/spreadsheetml/2009/9/main" uri="{B025F937-C7B1-47D3-B67F-A62EFF666E3E}">
          <x14:id>{F78D1AB4-982D-4794-8D9A-0913DAC914BA}</x14:id>
        </ext>
      </extLst>
    </cfRule>
  </conditionalFormatting>
  <conditionalFormatting sqref="Y3153 Y3155 Y3157">
    <cfRule type="dataBar" priority="1608">
      <dataBar>
        <cfvo type="num" val="0"/>
        <cfvo type="num" val="1"/>
        <color theme="4" tint="0.79998168889431442"/>
      </dataBar>
      <extLst>
        <ext xmlns:x14="http://schemas.microsoft.com/office/spreadsheetml/2009/9/main" uri="{B025F937-C7B1-47D3-B67F-A62EFF666E3E}">
          <x14:id>{023E88C4-5EAD-4379-9DEC-1827219031B7}</x14:id>
        </ext>
      </extLst>
    </cfRule>
    <cfRule type="iconSet" priority="1607">
      <iconSet iconSet="3Arrows">
        <cfvo type="percent" val="0"/>
        <cfvo type="num" val="0.7"/>
        <cfvo type="num" val="1"/>
      </iconSet>
    </cfRule>
  </conditionalFormatting>
  <conditionalFormatting sqref="Y3159 Y3161 Y3163">
    <cfRule type="dataBar" priority="1606">
      <dataBar>
        <cfvo type="num" val="0"/>
        <cfvo type="num" val="1"/>
        <color theme="4" tint="0.79998168889431442"/>
      </dataBar>
      <extLst>
        <ext xmlns:x14="http://schemas.microsoft.com/office/spreadsheetml/2009/9/main" uri="{B025F937-C7B1-47D3-B67F-A62EFF666E3E}">
          <x14:id>{F51E4043-DC75-45FA-A9AE-1B45E1AA960B}</x14:id>
        </ext>
      </extLst>
    </cfRule>
    <cfRule type="iconSet" priority="1605">
      <iconSet iconSet="3Arrows">
        <cfvo type="percent" val="0"/>
        <cfvo type="num" val="0.7"/>
        <cfvo type="num" val="1"/>
      </iconSet>
    </cfRule>
  </conditionalFormatting>
  <conditionalFormatting sqref="Y3165 Y3167 Y3169">
    <cfRule type="dataBar" priority="1604">
      <dataBar>
        <cfvo type="num" val="0"/>
        <cfvo type="num" val="1"/>
        <color theme="4" tint="0.79998168889431442"/>
      </dataBar>
      <extLst>
        <ext xmlns:x14="http://schemas.microsoft.com/office/spreadsheetml/2009/9/main" uri="{B025F937-C7B1-47D3-B67F-A62EFF666E3E}">
          <x14:id>{7A2F7D4F-74A3-4D8F-9647-FE1081BFB3F8}</x14:id>
        </ext>
      </extLst>
    </cfRule>
    <cfRule type="iconSet" priority="1603">
      <iconSet iconSet="3Arrows">
        <cfvo type="percent" val="0"/>
        <cfvo type="num" val="0.7"/>
        <cfvo type="num" val="1"/>
      </iconSet>
    </cfRule>
  </conditionalFormatting>
  <conditionalFormatting sqref="Y3171 Y3173 Y3175">
    <cfRule type="dataBar" priority="1602">
      <dataBar>
        <cfvo type="num" val="0"/>
        <cfvo type="num" val="1"/>
        <color theme="4" tint="0.79998168889431442"/>
      </dataBar>
      <extLst>
        <ext xmlns:x14="http://schemas.microsoft.com/office/spreadsheetml/2009/9/main" uri="{B025F937-C7B1-47D3-B67F-A62EFF666E3E}">
          <x14:id>{A335BE1A-0CC6-4846-A0A3-EC9FE13CBA45}</x14:id>
        </ext>
      </extLst>
    </cfRule>
    <cfRule type="iconSet" priority="1601">
      <iconSet iconSet="3Arrows">
        <cfvo type="percent" val="0"/>
        <cfvo type="num" val="0.7"/>
        <cfvo type="num" val="1"/>
      </iconSet>
    </cfRule>
  </conditionalFormatting>
  <conditionalFormatting sqref="Y3177 Y3179 Y3181">
    <cfRule type="iconSet" priority="1599">
      <iconSet iconSet="3Arrows">
        <cfvo type="percent" val="0"/>
        <cfvo type="num" val="0.7"/>
        <cfvo type="num" val="1"/>
      </iconSet>
    </cfRule>
    <cfRule type="dataBar" priority="1600">
      <dataBar>
        <cfvo type="num" val="0"/>
        <cfvo type="num" val="1"/>
        <color theme="4" tint="0.79998168889431442"/>
      </dataBar>
      <extLst>
        <ext xmlns:x14="http://schemas.microsoft.com/office/spreadsheetml/2009/9/main" uri="{B025F937-C7B1-47D3-B67F-A62EFF666E3E}">
          <x14:id>{BB88CC79-2F69-45B4-8E8B-F9ED9F1A2240}</x14:id>
        </ext>
      </extLst>
    </cfRule>
  </conditionalFormatting>
  <conditionalFormatting sqref="Y3183 Y3185 Y3187">
    <cfRule type="dataBar" priority="1598">
      <dataBar>
        <cfvo type="num" val="0"/>
        <cfvo type="num" val="1"/>
        <color theme="4" tint="0.79998168889431442"/>
      </dataBar>
      <extLst>
        <ext xmlns:x14="http://schemas.microsoft.com/office/spreadsheetml/2009/9/main" uri="{B025F937-C7B1-47D3-B67F-A62EFF666E3E}">
          <x14:id>{BE06B649-D218-4174-B6EF-56147B4C0726}</x14:id>
        </ext>
      </extLst>
    </cfRule>
    <cfRule type="iconSet" priority="1597">
      <iconSet iconSet="3Arrows">
        <cfvo type="percent" val="0"/>
        <cfvo type="num" val="0.7"/>
        <cfvo type="num" val="1"/>
      </iconSet>
    </cfRule>
  </conditionalFormatting>
  <conditionalFormatting sqref="Y3189 Y3191 Y3193">
    <cfRule type="dataBar" priority="1596">
      <dataBar>
        <cfvo type="num" val="0"/>
        <cfvo type="num" val="1"/>
        <color theme="4" tint="0.79998168889431442"/>
      </dataBar>
      <extLst>
        <ext xmlns:x14="http://schemas.microsoft.com/office/spreadsheetml/2009/9/main" uri="{B025F937-C7B1-47D3-B67F-A62EFF666E3E}">
          <x14:id>{E7BC119E-2F22-4EDF-AE87-7F21C5BBED42}</x14:id>
        </ext>
      </extLst>
    </cfRule>
    <cfRule type="iconSet" priority="1595">
      <iconSet iconSet="3Arrows">
        <cfvo type="percent" val="0"/>
        <cfvo type="num" val="0.7"/>
        <cfvo type="num" val="1"/>
      </iconSet>
    </cfRule>
  </conditionalFormatting>
  <conditionalFormatting sqref="Y3195 Y3197 Y3199">
    <cfRule type="dataBar" priority="1594">
      <dataBar>
        <cfvo type="num" val="0"/>
        <cfvo type="num" val="1"/>
        <color theme="4" tint="0.79998168889431442"/>
      </dataBar>
      <extLst>
        <ext xmlns:x14="http://schemas.microsoft.com/office/spreadsheetml/2009/9/main" uri="{B025F937-C7B1-47D3-B67F-A62EFF666E3E}">
          <x14:id>{5F699CF9-513B-4529-AAFB-365D93EC64C8}</x14:id>
        </ext>
      </extLst>
    </cfRule>
    <cfRule type="iconSet" priority="1593">
      <iconSet iconSet="3Arrows">
        <cfvo type="percent" val="0"/>
        <cfvo type="num" val="0.7"/>
        <cfvo type="num" val="1"/>
      </iconSet>
    </cfRule>
  </conditionalFormatting>
  <conditionalFormatting sqref="Y3201 Y3203 Y3205">
    <cfRule type="iconSet" priority="1591">
      <iconSet iconSet="3Arrows">
        <cfvo type="percent" val="0"/>
        <cfvo type="num" val="0.7"/>
        <cfvo type="num" val="1"/>
      </iconSet>
    </cfRule>
    <cfRule type="dataBar" priority="1592">
      <dataBar>
        <cfvo type="num" val="0"/>
        <cfvo type="num" val="1"/>
        <color theme="4" tint="0.79998168889431442"/>
      </dataBar>
      <extLst>
        <ext xmlns:x14="http://schemas.microsoft.com/office/spreadsheetml/2009/9/main" uri="{B025F937-C7B1-47D3-B67F-A62EFF666E3E}">
          <x14:id>{E365EC28-E014-46E6-ABE8-0B01BFA332AE}</x14:id>
        </ext>
      </extLst>
    </cfRule>
  </conditionalFormatting>
  <conditionalFormatting sqref="Y3207 Y3209 Y3211">
    <cfRule type="dataBar" priority="1590">
      <dataBar>
        <cfvo type="num" val="0"/>
        <cfvo type="num" val="1"/>
        <color theme="4" tint="0.79998168889431442"/>
      </dataBar>
      <extLst>
        <ext xmlns:x14="http://schemas.microsoft.com/office/spreadsheetml/2009/9/main" uri="{B025F937-C7B1-47D3-B67F-A62EFF666E3E}">
          <x14:id>{B31E9A2A-5843-40F9-A58C-B467FF7671D3}</x14:id>
        </ext>
      </extLst>
    </cfRule>
    <cfRule type="iconSet" priority="1589">
      <iconSet iconSet="3Arrows">
        <cfvo type="percent" val="0"/>
        <cfvo type="num" val="0.7"/>
        <cfvo type="num" val="1"/>
      </iconSet>
    </cfRule>
  </conditionalFormatting>
  <conditionalFormatting sqref="Y3213 Y3215 Y3217">
    <cfRule type="iconSet" priority="1587">
      <iconSet iconSet="3Arrows">
        <cfvo type="percent" val="0"/>
        <cfvo type="num" val="0.7"/>
        <cfvo type="num" val="1"/>
      </iconSet>
    </cfRule>
    <cfRule type="dataBar" priority="1588">
      <dataBar>
        <cfvo type="num" val="0"/>
        <cfvo type="num" val="1"/>
        <color theme="4" tint="0.79998168889431442"/>
      </dataBar>
      <extLst>
        <ext xmlns:x14="http://schemas.microsoft.com/office/spreadsheetml/2009/9/main" uri="{B025F937-C7B1-47D3-B67F-A62EFF666E3E}">
          <x14:id>{4E02518A-46BF-4DDC-AC7D-824450046C8C}</x14:id>
        </ext>
      </extLst>
    </cfRule>
  </conditionalFormatting>
  <conditionalFormatting sqref="Y3219 Y3221">
    <cfRule type="dataBar" priority="1586">
      <dataBar>
        <cfvo type="num" val="0"/>
        <cfvo type="num" val="1"/>
        <color theme="4" tint="0.79998168889431442"/>
      </dataBar>
      <extLst>
        <ext xmlns:x14="http://schemas.microsoft.com/office/spreadsheetml/2009/9/main" uri="{B025F937-C7B1-47D3-B67F-A62EFF666E3E}">
          <x14:id>{A1BCB8F4-7711-4109-9D76-C0EC73EF5F5B}</x14:id>
        </ext>
      </extLst>
    </cfRule>
    <cfRule type="iconSet" priority="1585">
      <iconSet iconSet="3Arrows">
        <cfvo type="percent" val="0"/>
        <cfvo type="num" val="0.7"/>
        <cfvo type="num" val="1"/>
      </iconSet>
    </cfRule>
  </conditionalFormatting>
  <conditionalFormatting sqref="Y3224">
    <cfRule type="dataBar" priority="1584">
      <dataBar>
        <cfvo type="num" val="0"/>
        <cfvo type="num" val="1"/>
        <color theme="4" tint="0.79998168889431442"/>
      </dataBar>
      <extLst>
        <ext xmlns:x14="http://schemas.microsoft.com/office/spreadsheetml/2009/9/main" uri="{B025F937-C7B1-47D3-B67F-A62EFF666E3E}">
          <x14:id>{88C2A2E7-1171-4B19-9D18-0C6154B0909A}</x14:id>
        </ext>
      </extLst>
    </cfRule>
    <cfRule type="iconSet" priority="1583">
      <iconSet iconSet="3Arrows">
        <cfvo type="percent" val="0"/>
        <cfvo type="num" val="0.7"/>
        <cfvo type="num" val="1"/>
      </iconSet>
    </cfRule>
  </conditionalFormatting>
  <conditionalFormatting sqref="Y3228">
    <cfRule type="dataBar" priority="1582">
      <dataBar>
        <cfvo type="num" val="0"/>
        <cfvo type="num" val="1"/>
        <color theme="4" tint="0.79998168889431442"/>
      </dataBar>
      <extLst>
        <ext xmlns:x14="http://schemas.microsoft.com/office/spreadsheetml/2009/9/main" uri="{B025F937-C7B1-47D3-B67F-A62EFF666E3E}">
          <x14:id>{C7D814EF-5090-4D34-8346-343BE359EE92}</x14:id>
        </ext>
      </extLst>
    </cfRule>
    <cfRule type="iconSet" priority="1581">
      <iconSet iconSet="3Arrows">
        <cfvo type="percent" val="0"/>
        <cfvo type="num" val="0.7"/>
        <cfvo type="num" val="1"/>
      </iconSet>
    </cfRule>
  </conditionalFormatting>
  <conditionalFormatting sqref="Y3230">
    <cfRule type="dataBar" priority="1580">
      <dataBar>
        <cfvo type="num" val="0"/>
        <cfvo type="num" val="1"/>
        <color theme="4" tint="0.79998168889431442"/>
      </dataBar>
      <extLst>
        <ext xmlns:x14="http://schemas.microsoft.com/office/spreadsheetml/2009/9/main" uri="{B025F937-C7B1-47D3-B67F-A62EFF666E3E}">
          <x14:id>{B56B50AC-42AE-48A6-895F-426615592992}</x14:id>
        </ext>
      </extLst>
    </cfRule>
    <cfRule type="iconSet" priority="1579">
      <iconSet iconSet="3Arrows">
        <cfvo type="percent" val="0"/>
        <cfvo type="num" val="0.7"/>
        <cfvo type="num" val="1"/>
      </iconSet>
    </cfRule>
  </conditionalFormatting>
  <conditionalFormatting sqref="Y3232 Y3234 Y3236">
    <cfRule type="dataBar" priority="1578">
      <dataBar>
        <cfvo type="num" val="0"/>
        <cfvo type="num" val="1"/>
        <color theme="4" tint="0.79998168889431442"/>
      </dataBar>
      <extLst>
        <ext xmlns:x14="http://schemas.microsoft.com/office/spreadsheetml/2009/9/main" uri="{B025F937-C7B1-47D3-B67F-A62EFF666E3E}">
          <x14:id>{A7E5955E-944E-48D9-A148-FE2DDDD8DB7B}</x14:id>
        </ext>
      </extLst>
    </cfRule>
    <cfRule type="iconSet" priority="1577">
      <iconSet iconSet="3Arrows">
        <cfvo type="percent" val="0"/>
        <cfvo type="num" val="0.7"/>
        <cfvo type="num" val="1"/>
      </iconSet>
    </cfRule>
  </conditionalFormatting>
  <conditionalFormatting sqref="Y3238">
    <cfRule type="dataBar" priority="1576">
      <dataBar>
        <cfvo type="num" val="0"/>
        <cfvo type="num" val="1"/>
        <color theme="4" tint="0.79998168889431442"/>
      </dataBar>
      <extLst>
        <ext xmlns:x14="http://schemas.microsoft.com/office/spreadsheetml/2009/9/main" uri="{B025F937-C7B1-47D3-B67F-A62EFF666E3E}">
          <x14:id>{0D24B2B6-E7BB-448C-AD46-34F073742A30}</x14:id>
        </ext>
      </extLst>
    </cfRule>
    <cfRule type="iconSet" priority="1575">
      <iconSet iconSet="3Arrows">
        <cfvo type="percent" val="0"/>
        <cfvo type="num" val="0.7"/>
        <cfvo type="num" val="1"/>
      </iconSet>
    </cfRule>
  </conditionalFormatting>
  <conditionalFormatting sqref="Y3240">
    <cfRule type="iconSet" priority="1573">
      <iconSet iconSet="3Arrows">
        <cfvo type="percent" val="0"/>
        <cfvo type="num" val="0.7"/>
        <cfvo type="num" val="1"/>
      </iconSet>
    </cfRule>
    <cfRule type="dataBar" priority="1574">
      <dataBar>
        <cfvo type="num" val="0"/>
        <cfvo type="num" val="1"/>
        <color theme="4" tint="0.79998168889431442"/>
      </dataBar>
      <extLst>
        <ext xmlns:x14="http://schemas.microsoft.com/office/spreadsheetml/2009/9/main" uri="{B025F937-C7B1-47D3-B67F-A62EFF666E3E}">
          <x14:id>{DEE45F7F-96AC-4227-A5AB-B3667DA8A634}</x14:id>
        </ext>
      </extLst>
    </cfRule>
  </conditionalFormatting>
  <conditionalFormatting sqref="Y3242">
    <cfRule type="iconSet" priority="1571">
      <iconSet iconSet="3Arrows">
        <cfvo type="percent" val="0"/>
        <cfvo type="num" val="0.7"/>
        <cfvo type="num" val="1"/>
      </iconSet>
    </cfRule>
    <cfRule type="dataBar" priority="1572">
      <dataBar>
        <cfvo type="num" val="0"/>
        <cfvo type="num" val="1"/>
        <color theme="4" tint="0.79998168889431442"/>
      </dataBar>
      <extLst>
        <ext xmlns:x14="http://schemas.microsoft.com/office/spreadsheetml/2009/9/main" uri="{B025F937-C7B1-47D3-B67F-A62EFF666E3E}">
          <x14:id>{8FF170E6-87C8-4DCE-9E74-603852FA011A}</x14:id>
        </ext>
      </extLst>
    </cfRule>
  </conditionalFormatting>
  <conditionalFormatting sqref="Y3244">
    <cfRule type="iconSet" priority="1569">
      <iconSet iconSet="3Arrows">
        <cfvo type="percent" val="0"/>
        <cfvo type="num" val="0.7"/>
        <cfvo type="num" val="1"/>
      </iconSet>
    </cfRule>
    <cfRule type="dataBar" priority="1570">
      <dataBar>
        <cfvo type="num" val="0"/>
        <cfvo type="num" val="1"/>
        <color theme="4" tint="0.79998168889431442"/>
      </dataBar>
      <extLst>
        <ext xmlns:x14="http://schemas.microsoft.com/office/spreadsheetml/2009/9/main" uri="{B025F937-C7B1-47D3-B67F-A62EFF666E3E}">
          <x14:id>{F4A5760C-3FDA-45D1-9DB5-122104660146}</x14:id>
        </ext>
      </extLst>
    </cfRule>
  </conditionalFormatting>
  <conditionalFormatting sqref="Y3246">
    <cfRule type="iconSet" priority="1567">
      <iconSet iconSet="3Arrows">
        <cfvo type="percent" val="0"/>
        <cfvo type="num" val="0.7"/>
        <cfvo type="num" val="1"/>
      </iconSet>
    </cfRule>
    <cfRule type="dataBar" priority="1568">
      <dataBar>
        <cfvo type="num" val="0"/>
        <cfvo type="num" val="1"/>
        <color theme="4" tint="0.79998168889431442"/>
      </dataBar>
      <extLst>
        <ext xmlns:x14="http://schemas.microsoft.com/office/spreadsheetml/2009/9/main" uri="{B025F937-C7B1-47D3-B67F-A62EFF666E3E}">
          <x14:id>{396DB96B-DB93-45C6-B2F6-7D144CF12AD1}</x14:id>
        </ext>
      </extLst>
    </cfRule>
  </conditionalFormatting>
  <conditionalFormatting sqref="Y3248">
    <cfRule type="iconSet" priority="1565">
      <iconSet iconSet="3Arrows">
        <cfvo type="percent" val="0"/>
        <cfvo type="num" val="0.7"/>
        <cfvo type="num" val="1"/>
      </iconSet>
    </cfRule>
    <cfRule type="dataBar" priority="1566">
      <dataBar>
        <cfvo type="num" val="0"/>
        <cfvo type="num" val="1"/>
        <color theme="4" tint="0.79998168889431442"/>
      </dataBar>
      <extLst>
        <ext xmlns:x14="http://schemas.microsoft.com/office/spreadsheetml/2009/9/main" uri="{B025F937-C7B1-47D3-B67F-A62EFF666E3E}">
          <x14:id>{C146CB54-B6A1-4952-8747-6E320DAE58C7}</x14:id>
        </ext>
      </extLst>
    </cfRule>
  </conditionalFormatting>
  <conditionalFormatting sqref="Y3252">
    <cfRule type="iconSet" priority="1563">
      <iconSet iconSet="3Arrows">
        <cfvo type="percent" val="0"/>
        <cfvo type="num" val="0.7"/>
        <cfvo type="num" val="1"/>
      </iconSet>
    </cfRule>
    <cfRule type="dataBar" priority="1564">
      <dataBar>
        <cfvo type="num" val="0"/>
        <cfvo type="num" val="1"/>
        <color theme="4" tint="0.79998168889431442"/>
      </dataBar>
      <extLst>
        <ext xmlns:x14="http://schemas.microsoft.com/office/spreadsheetml/2009/9/main" uri="{B025F937-C7B1-47D3-B67F-A62EFF666E3E}">
          <x14:id>{FBB16469-BEE5-468C-8642-DEBBE4B1698C}</x14:id>
        </ext>
      </extLst>
    </cfRule>
  </conditionalFormatting>
  <conditionalFormatting sqref="Y3254">
    <cfRule type="iconSet" priority="1561">
      <iconSet iconSet="3Arrows">
        <cfvo type="percent" val="0"/>
        <cfvo type="num" val="0.7"/>
        <cfvo type="num" val="1"/>
      </iconSet>
    </cfRule>
    <cfRule type="dataBar" priority="1562">
      <dataBar>
        <cfvo type="num" val="0"/>
        <cfvo type="num" val="1"/>
        <color theme="4" tint="0.79998168889431442"/>
      </dataBar>
      <extLst>
        <ext xmlns:x14="http://schemas.microsoft.com/office/spreadsheetml/2009/9/main" uri="{B025F937-C7B1-47D3-B67F-A62EFF666E3E}">
          <x14:id>{96D40AE7-BB10-47AC-8B87-32C7015C31DF}</x14:id>
        </ext>
      </extLst>
    </cfRule>
  </conditionalFormatting>
  <conditionalFormatting sqref="Y3256">
    <cfRule type="dataBar" priority="1560">
      <dataBar>
        <cfvo type="num" val="0"/>
        <cfvo type="num" val="1"/>
        <color theme="4" tint="0.79998168889431442"/>
      </dataBar>
      <extLst>
        <ext xmlns:x14="http://schemas.microsoft.com/office/spreadsheetml/2009/9/main" uri="{B025F937-C7B1-47D3-B67F-A62EFF666E3E}">
          <x14:id>{FE845ECC-B0FE-4B35-82E7-36BFC9E926F1}</x14:id>
        </ext>
      </extLst>
    </cfRule>
    <cfRule type="iconSet" priority="1559">
      <iconSet iconSet="3Arrows">
        <cfvo type="percent" val="0"/>
        <cfvo type="num" val="0.7"/>
        <cfvo type="num" val="1"/>
      </iconSet>
    </cfRule>
  </conditionalFormatting>
  <conditionalFormatting sqref="Y3258">
    <cfRule type="dataBar" priority="1558">
      <dataBar>
        <cfvo type="num" val="0"/>
        <cfvo type="num" val="1"/>
        <color theme="4" tint="0.79998168889431442"/>
      </dataBar>
      <extLst>
        <ext xmlns:x14="http://schemas.microsoft.com/office/spreadsheetml/2009/9/main" uri="{B025F937-C7B1-47D3-B67F-A62EFF666E3E}">
          <x14:id>{8FA9EEE5-8DB1-47B5-BA6D-2FC3AB6581E3}</x14:id>
        </ext>
      </extLst>
    </cfRule>
    <cfRule type="iconSet" priority="1557">
      <iconSet iconSet="3Arrows">
        <cfvo type="percent" val="0"/>
        <cfvo type="num" val="0.7"/>
        <cfvo type="num" val="1"/>
      </iconSet>
    </cfRule>
  </conditionalFormatting>
  <conditionalFormatting sqref="Y3260">
    <cfRule type="iconSet" priority="1555">
      <iconSet iconSet="3Arrows">
        <cfvo type="percent" val="0"/>
        <cfvo type="num" val="0.7"/>
        <cfvo type="num" val="1"/>
      </iconSet>
    </cfRule>
    <cfRule type="dataBar" priority="1556">
      <dataBar>
        <cfvo type="num" val="0"/>
        <cfvo type="num" val="1"/>
        <color theme="4" tint="0.79998168889431442"/>
      </dataBar>
      <extLst>
        <ext xmlns:x14="http://schemas.microsoft.com/office/spreadsheetml/2009/9/main" uri="{B025F937-C7B1-47D3-B67F-A62EFF666E3E}">
          <x14:id>{C8A506DE-0C2C-4827-B39B-BF834580B5AA}</x14:id>
        </ext>
      </extLst>
    </cfRule>
  </conditionalFormatting>
  <conditionalFormatting sqref="Y3262">
    <cfRule type="dataBar" priority="1554">
      <dataBar>
        <cfvo type="num" val="0"/>
        <cfvo type="num" val="1"/>
        <color theme="4" tint="0.79998168889431442"/>
      </dataBar>
      <extLst>
        <ext xmlns:x14="http://schemas.microsoft.com/office/spreadsheetml/2009/9/main" uri="{B025F937-C7B1-47D3-B67F-A62EFF666E3E}">
          <x14:id>{2658814E-5A3E-4B1E-80A0-97059DED28AA}</x14:id>
        </ext>
      </extLst>
    </cfRule>
    <cfRule type="iconSet" priority="1553">
      <iconSet iconSet="3Arrows">
        <cfvo type="percent" val="0"/>
        <cfvo type="num" val="0.7"/>
        <cfvo type="num" val="1"/>
      </iconSet>
    </cfRule>
  </conditionalFormatting>
  <conditionalFormatting sqref="Y3264">
    <cfRule type="dataBar" priority="1552">
      <dataBar>
        <cfvo type="num" val="0"/>
        <cfvo type="num" val="1"/>
        <color theme="4" tint="0.79998168889431442"/>
      </dataBar>
      <extLst>
        <ext xmlns:x14="http://schemas.microsoft.com/office/spreadsheetml/2009/9/main" uri="{B025F937-C7B1-47D3-B67F-A62EFF666E3E}">
          <x14:id>{C8EEC04E-BF34-4184-ADC2-E8F73615CBBF}</x14:id>
        </ext>
      </extLst>
    </cfRule>
    <cfRule type="iconSet" priority="1551">
      <iconSet iconSet="3Arrows">
        <cfvo type="percent" val="0"/>
        <cfvo type="num" val="0.7"/>
        <cfvo type="num" val="1"/>
      </iconSet>
    </cfRule>
  </conditionalFormatting>
  <conditionalFormatting sqref="Y3266">
    <cfRule type="dataBar" priority="1550">
      <dataBar>
        <cfvo type="num" val="0"/>
        <cfvo type="num" val="1"/>
        <color theme="4" tint="0.79998168889431442"/>
      </dataBar>
      <extLst>
        <ext xmlns:x14="http://schemas.microsoft.com/office/spreadsheetml/2009/9/main" uri="{B025F937-C7B1-47D3-B67F-A62EFF666E3E}">
          <x14:id>{DAA9DD9D-770B-4EA6-AC2C-DFDBEA63B618}</x14:id>
        </ext>
      </extLst>
    </cfRule>
    <cfRule type="iconSet" priority="1549">
      <iconSet iconSet="3Arrows">
        <cfvo type="percent" val="0"/>
        <cfvo type="num" val="0.7"/>
        <cfvo type="num" val="1"/>
      </iconSet>
    </cfRule>
  </conditionalFormatting>
  <conditionalFormatting sqref="Y3268">
    <cfRule type="dataBar" priority="1548">
      <dataBar>
        <cfvo type="num" val="0"/>
        <cfvo type="num" val="1"/>
        <color theme="4" tint="0.79998168889431442"/>
      </dataBar>
      <extLst>
        <ext xmlns:x14="http://schemas.microsoft.com/office/spreadsheetml/2009/9/main" uri="{B025F937-C7B1-47D3-B67F-A62EFF666E3E}">
          <x14:id>{EE8F2A7A-24DA-4EAB-8820-FA4A3B36D87A}</x14:id>
        </ext>
      </extLst>
    </cfRule>
    <cfRule type="iconSet" priority="1547">
      <iconSet iconSet="3Arrows">
        <cfvo type="percent" val="0"/>
        <cfvo type="num" val="0.7"/>
        <cfvo type="num" val="1"/>
      </iconSet>
    </cfRule>
  </conditionalFormatting>
  <conditionalFormatting sqref="Y3270">
    <cfRule type="dataBar" priority="1546">
      <dataBar>
        <cfvo type="num" val="0"/>
        <cfvo type="num" val="1"/>
        <color theme="4" tint="0.79998168889431442"/>
      </dataBar>
      <extLst>
        <ext xmlns:x14="http://schemas.microsoft.com/office/spreadsheetml/2009/9/main" uri="{B025F937-C7B1-47D3-B67F-A62EFF666E3E}">
          <x14:id>{79932354-563D-4660-9E1D-13F6C6BFE356}</x14:id>
        </ext>
      </extLst>
    </cfRule>
    <cfRule type="iconSet" priority="1545">
      <iconSet iconSet="3Arrows">
        <cfvo type="percent" val="0"/>
        <cfvo type="num" val="0.7"/>
        <cfvo type="num" val="1"/>
      </iconSet>
    </cfRule>
  </conditionalFormatting>
  <conditionalFormatting sqref="Y3272">
    <cfRule type="dataBar" priority="1544">
      <dataBar>
        <cfvo type="num" val="0"/>
        <cfvo type="num" val="1"/>
        <color theme="4" tint="0.79998168889431442"/>
      </dataBar>
      <extLst>
        <ext xmlns:x14="http://schemas.microsoft.com/office/spreadsheetml/2009/9/main" uri="{B025F937-C7B1-47D3-B67F-A62EFF666E3E}">
          <x14:id>{AB98BF8B-D159-4ADC-B7DA-F1CADB980D9C}</x14:id>
        </ext>
      </extLst>
    </cfRule>
    <cfRule type="iconSet" priority="1543">
      <iconSet iconSet="3Arrows">
        <cfvo type="percent" val="0"/>
        <cfvo type="num" val="0.7"/>
        <cfvo type="num" val="1"/>
      </iconSet>
    </cfRule>
  </conditionalFormatting>
  <conditionalFormatting sqref="Y3274">
    <cfRule type="dataBar" priority="1542">
      <dataBar>
        <cfvo type="num" val="0"/>
        <cfvo type="num" val="1"/>
        <color theme="4" tint="0.79998168889431442"/>
      </dataBar>
      <extLst>
        <ext xmlns:x14="http://schemas.microsoft.com/office/spreadsheetml/2009/9/main" uri="{B025F937-C7B1-47D3-B67F-A62EFF666E3E}">
          <x14:id>{DD1354FC-5E33-4B11-870F-37311215E6FB}</x14:id>
        </ext>
      </extLst>
    </cfRule>
    <cfRule type="iconSet" priority="1541">
      <iconSet iconSet="3Arrows">
        <cfvo type="percent" val="0"/>
        <cfvo type="num" val="0.7"/>
        <cfvo type="num" val="1"/>
      </iconSet>
    </cfRule>
  </conditionalFormatting>
  <conditionalFormatting sqref="Y3277">
    <cfRule type="dataBar" priority="1540">
      <dataBar>
        <cfvo type="num" val="0"/>
        <cfvo type="num" val="1"/>
        <color theme="4" tint="0.79998168889431442"/>
      </dataBar>
      <extLst>
        <ext xmlns:x14="http://schemas.microsoft.com/office/spreadsheetml/2009/9/main" uri="{B025F937-C7B1-47D3-B67F-A62EFF666E3E}">
          <x14:id>{5FA9C75E-F0C4-4480-B1E6-5578F81C1250}</x14:id>
        </ext>
      </extLst>
    </cfRule>
    <cfRule type="iconSet" priority="1539">
      <iconSet iconSet="3Arrows">
        <cfvo type="percent" val="0"/>
        <cfvo type="num" val="0.7"/>
        <cfvo type="num" val="1"/>
      </iconSet>
    </cfRule>
  </conditionalFormatting>
  <conditionalFormatting sqref="Y3279 Y3281 Y3283">
    <cfRule type="iconSet" priority="1537">
      <iconSet iconSet="3Arrows">
        <cfvo type="percent" val="0"/>
        <cfvo type="num" val="0.7"/>
        <cfvo type="num" val="1"/>
      </iconSet>
    </cfRule>
    <cfRule type="dataBar" priority="1538">
      <dataBar>
        <cfvo type="num" val="0"/>
        <cfvo type="num" val="1"/>
        <color theme="4" tint="0.79998168889431442"/>
      </dataBar>
      <extLst>
        <ext xmlns:x14="http://schemas.microsoft.com/office/spreadsheetml/2009/9/main" uri="{B025F937-C7B1-47D3-B67F-A62EFF666E3E}">
          <x14:id>{055165C3-F2C8-4B81-8942-F498DA23B665}</x14:id>
        </ext>
      </extLst>
    </cfRule>
  </conditionalFormatting>
  <conditionalFormatting sqref="Y3285">
    <cfRule type="dataBar" priority="1536">
      <dataBar>
        <cfvo type="num" val="0"/>
        <cfvo type="num" val="1"/>
        <color theme="4" tint="0.79998168889431442"/>
      </dataBar>
      <extLst>
        <ext xmlns:x14="http://schemas.microsoft.com/office/spreadsheetml/2009/9/main" uri="{B025F937-C7B1-47D3-B67F-A62EFF666E3E}">
          <x14:id>{00521AD2-A054-49C3-A0A9-FF987CDAAFD6}</x14:id>
        </ext>
      </extLst>
    </cfRule>
    <cfRule type="iconSet" priority="1535">
      <iconSet iconSet="3Arrows">
        <cfvo type="percent" val="0"/>
        <cfvo type="num" val="0.7"/>
        <cfvo type="num" val="1"/>
      </iconSet>
    </cfRule>
  </conditionalFormatting>
  <conditionalFormatting sqref="Y3289">
    <cfRule type="iconSet" priority="1533">
      <iconSet iconSet="3Arrows">
        <cfvo type="percent" val="0"/>
        <cfvo type="num" val="0.7"/>
        <cfvo type="num" val="1"/>
      </iconSet>
    </cfRule>
    <cfRule type="dataBar" priority="1534">
      <dataBar>
        <cfvo type="num" val="0"/>
        <cfvo type="num" val="1"/>
        <color theme="4" tint="0.79998168889431442"/>
      </dataBar>
      <extLst>
        <ext xmlns:x14="http://schemas.microsoft.com/office/spreadsheetml/2009/9/main" uri="{B025F937-C7B1-47D3-B67F-A62EFF666E3E}">
          <x14:id>{6D4EE6D5-6D4C-46C7-80F7-4A829925C534}</x14:id>
        </ext>
      </extLst>
    </cfRule>
  </conditionalFormatting>
  <conditionalFormatting sqref="Y3291">
    <cfRule type="dataBar" priority="1532">
      <dataBar>
        <cfvo type="num" val="0"/>
        <cfvo type="num" val="1"/>
        <color theme="4" tint="0.79998168889431442"/>
      </dataBar>
      <extLst>
        <ext xmlns:x14="http://schemas.microsoft.com/office/spreadsheetml/2009/9/main" uri="{B025F937-C7B1-47D3-B67F-A62EFF666E3E}">
          <x14:id>{9F14FE3A-81EF-4928-9414-0C9C2BEA96C0}</x14:id>
        </ext>
      </extLst>
    </cfRule>
    <cfRule type="iconSet" priority="1531">
      <iconSet iconSet="3Arrows">
        <cfvo type="percent" val="0"/>
        <cfvo type="num" val="0.7"/>
        <cfvo type="num" val="1"/>
      </iconSet>
    </cfRule>
  </conditionalFormatting>
  <conditionalFormatting sqref="Y3293">
    <cfRule type="dataBar" priority="1530">
      <dataBar>
        <cfvo type="num" val="0"/>
        <cfvo type="num" val="1"/>
        <color theme="4" tint="0.79998168889431442"/>
      </dataBar>
      <extLst>
        <ext xmlns:x14="http://schemas.microsoft.com/office/spreadsheetml/2009/9/main" uri="{B025F937-C7B1-47D3-B67F-A62EFF666E3E}">
          <x14:id>{DAB12854-A00F-4E17-8104-B808E1B57518}</x14:id>
        </ext>
      </extLst>
    </cfRule>
    <cfRule type="iconSet" priority="1529">
      <iconSet iconSet="3Arrows">
        <cfvo type="percent" val="0"/>
        <cfvo type="num" val="0.7"/>
        <cfvo type="num" val="1"/>
      </iconSet>
    </cfRule>
  </conditionalFormatting>
  <conditionalFormatting sqref="Y3295">
    <cfRule type="dataBar" priority="1528">
      <dataBar>
        <cfvo type="num" val="0"/>
        <cfvo type="num" val="1"/>
        <color theme="4" tint="0.79998168889431442"/>
      </dataBar>
      <extLst>
        <ext xmlns:x14="http://schemas.microsoft.com/office/spreadsheetml/2009/9/main" uri="{B025F937-C7B1-47D3-B67F-A62EFF666E3E}">
          <x14:id>{F1D0FBA0-A277-4AA3-B5B3-402C5E952CED}</x14:id>
        </ext>
      </extLst>
    </cfRule>
    <cfRule type="iconSet" priority="1527">
      <iconSet iconSet="3Arrows">
        <cfvo type="percent" val="0"/>
        <cfvo type="num" val="0.7"/>
        <cfvo type="num" val="1"/>
      </iconSet>
    </cfRule>
  </conditionalFormatting>
  <conditionalFormatting sqref="Y3297 Y3299 Y3301">
    <cfRule type="dataBar" priority="1526">
      <dataBar>
        <cfvo type="num" val="0"/>
        <cfvo type="num" val="1"/>
        <color theme="4" tint="0.79998168889431442"/>
      </dataBar>
      <extLst>
        <ext xmlns:x14="http://schemas.microsoft.com/office/spreadsheetml/2009/9/main" uri="{B025F937-C7B1-47D3-B67F-A62EFF666E3E}">
          <x14:id>{6531DF95-C7BB-49DC-A77C-AAE420901B5E}</x14:id>
        </ext>
      </extLst>
    </cfRule>
    <cfRule type="iconSet" priority="1525">
      <iconSet iconSet="3Arrows">
        <cfvo type="percent" val="0"/>
        <cfvo type="num" val="0.7"/>
        <cfvo type="num" val="1"/>
      </iconSet>
    </cfRule>
  </conditionalFormatting>
  <conditionalFormatting sqref="Y3303">
    <cfRule type="dataBar" priority="1524">
      <dataBar>
        <cfvo type="num" val="0"/>
        <cfvo type="num" val="1"/>
        <color theme="4" tint="0.79998168889431442"/>
      </dataBar>
      <extLst>
        <ext xmlns:x14="http://schemas.microsoft.com/office/spreadsheetml/2009/9/main" uri="{B025F937-C7B1-47D3-B67F-A62EFF666E3E}">
          <x14:id>{565B431F-B628-4A0F-92A6-EC220415D16F}</x14:id>
        </ext>
      </extLst>
    </cfRule>
    <cfRule type="iconSet" priority="1523">
      <iconSet iconSet="3Arrows">
        <cfvo type="percent" val="0"/>
        <cfvo type="num" val="0.7"/>
        <cfvo type="num" val="1"/>
      </iconSet>
    </cfRule>
  </conditionalFormatting>
  <conditionalFormatting sqref="Y3305">
    <cfRule type="dataBar" priority="1522">
      <dataBar>
        <cfvo type="num" val="0"/>
        <cfvo type="num" val="1"/>
        <color theme="4" tint="0.79998168889431442"/>
      </dataBar>
      <extLst>
        <ext xmlns:x14="http://schemas.microsoft.com/office/spreadsheetml/2009/9/main" uri="{B025F937-C7B1-47D3-B67F-A62EFF666E3E}">
          <x14:id>{AD4F5459-FBD8-49F5-9099-34671AFE2CC9}</x14:id>
        </ext>
      </extLst>
    </cfRule>
    <cfRule type="iconSet" priority="1521">
      <iconSet iconSet="3Arrows">
        <cfvo type="percent" val="0"/>
        <cfvo type="num" val="0.7"/>
        <cfvo type="num" val="1"/>
      </iconSet>
    </cfRule>
  </conditionalFormatting>
  <conditionalFormatting sqref="Y3309">
    <cfRule type="iconSet" priority="1519">
      <iconSet iconSet="3Arrows">
        <cfvo type="percent" val="0"/>
        <cfvo type="num" val="0.7"/>
        <cfvo type="num" val="1"/>
      </iconSet>
    </cfRule>
    <cfRule type="dataBar" priority="1520">
      <dataBar>
        <cfvo type="num" val="0"/>
        <cfvo type="num" val="1"/>
        <color theme="4" tint="0.79998168889431442"/>
      </dataBar>
      <extLst>
        <ext xmlns:x14="http://schemas.microsoft.com/office/spreadsheetml/2009/9/main" uri="{B025F937-C7B1-47D3-B67F-A62EFF666E3E}">
          <x14:id>{2C913694-C06F-47DA-9ABF-259CF147E880}</x14:id>
        </ext>
      </extLst>
    </cfRule>
  </conditionalFormatting>
  <conditionalFormatting sqref="Y3311">
    <cfRule type="dataBar" priority="1518">
      <dataBar>
        <cfvo type="num" val="0"/>
        <cfvo type="num" val="1"/>
        <color theme="4" tint="0.79998168889431442"/>
      </dataBar>
      <extLst>
        <ext xmlns:x14="http://schemas.microsoft.com/office/spreadsheetml/2009/9/main" uri="{B025F937-C7B1-47D3-B67F-A62EFF666E3E}">
          <x14:id>{B458C968-1C53-41BD-9D66-8603CFF4DB56}</x14:id>
        </ext>
      </extLst>
    </cfRule>
    <cfRule type="iconSet" priority="1517">
      <iconSet iconSet="3Arrows">
        <cfvo type="percent" val="0"/>
        <cfvo type="num" val="0.7"/>
        <cfvo type="num" val="1"/>
      </iconSet>
    </cfRule>
  </conditionalFormatting>
  <conditionalFormatting sqref="Y3313 Y3315">
    <cfRule type="dataBar" priority="1516">
      <dataBar>
        <cfvo type="num" val="0"/>
        <cfvo type="num" val="1"/>
        <color theme="4" tint="0.79998168889431442"/>
      </dataBar>
      <extLst>
        <ext xmlns:x14="http://schemas.microsoft.com/office/spreadsheetml/2009/9/main" uri="{B025F937-C7B1-47D3-B67F-A62EFF666E3E}">
          <x14:id>{304AB677-4624-443B-A375-D45B45BCC95F}</x14:id>
        </ext>
      </extLst>
    </cfRule>
    <cfRule type="iconSet" priority="1515">
      <iconSet iconSet="3Arrows">
        <cfvo type="percent" val="0"/>
        <cfvo type="num" val="0.7"/>
        <cfvo type="num" val="1"/>
      </iconSet>
    </cfRule>
  </conditionalFormatting>
  <conditionalFormatting sqref="Y3317">
    <cfRule type="dataBar" priority="1514">
      <dataBar>
        <cfvo type="num" val="0"/>
        <cfvo type="num" val="1"/>
        <color theme="4" tint="0.79998168889431442"/>
      </dataBar>
      <extLst>
        <ext xmlns:x14="http://schemas.microsoft.com/office/spreadsheetml/2009/9/main" uri="{B025F937-C7B1-47D3-B67F-A62EFF666E3E}">
          <x14:id>{A6504B77-9387-4A49-970C-5CFE8EF2B6C9}</x14:id>
        </ext>
      </extLst>
    </cfRule>
    <cfRule type="iconSet" priority="1513">
      <iconSet iconSet="3Arrows">
        <cfvo type="percent" val="0"/>
        <cfvo type="num" val="0.7"/>
        <cfvo type="num" val="1"/>
      </iconSet>
    </cfRule>
  </conditionalFormatting>
  <conditionalFormatting sqref="Y3319 Y3321">
    <cfRule type="dataBar" priority="1512">
      <dataBar>
        <cfvo type="num" val="0"/>
        <cfvo type="num" val="1"/>
        <color theme="4" tint="0.79998168889431442"/>
      </dataBar>
      <extLst>
        <ext xmlns:x14="http://schemas.microsoft.com/office/spreadsheetml/2009/9/main" uri="{B025F937-C7B1-47D3-B67F-A62EFF666E3E}">
          <x14:id>{33BF8B59-A508-44FA-AEFE-28584DABFC80}</x14:id>
        </ext>
      </extLst>
    </cfRule>
    <cfRule type="iconSet" priority="1511">
      <iconSet iconSet="3Arrows">
        <cfvo type="percent" val="0"/>
        <cfvo type="num" val="0.7"/>
        <cfvo type="num" val="1"/>
      </iconSet>
    </cfRule>
  </conditionalFormatting>
  <conditionalFormatting sqref="Y3325">
    <cfRule type="dataBar" priority="1510">
      <dataBar>
        <cfvo type="num" val="0"/>
        <cfvo type="num" val="1"/>
        <color theme="4" tint="0.79998168889431442"/>
      </dataBar>
      <extLst>
        <ext xmlns:x14="http://schemas.microsoft.com/office/spreadsheetml/2009/9/main" uri="{B025F937-C7B1-47D3-B67F-A62EFF666E3E}">
          <x14:id>{F5E94AE3-6B20-45CD-922A-78AD1B56A5FD}</x14:id>
        </ext>
      </extLst>
    </cfRule>
    <cfRule type="iconSet" priority="1509">
      <iconSet iconSet="3Arrows">
        <cfvo type="percent" val="0"/>
        <cfvo type="num" val="0.7"/>
        <cfvo type="num" val="1"/>
      </iconSet>
    </cfRule>
  </conditionalFormatting>
  <conditionalFormatting sqref="Y3329">
    <cfRule type="dataBar" priority="1508">
      <dataBar>
        <cfvo type="num" val="0"/>
        <cfvo type="num" val="1"/>
        <color theme="4" tint="0.79998168889431442"/>
      </dataBar>
      <extLst>
        <ext xmlns:x14="http://schemas.microsoft.com/office/spreadsheetml/2009/9/main" uri="{B025F937-C7B1-47D3-B67F-A62EFF666E3E}">
          <x14:id>{AB6C605A-BCB4-4FAB-BC7A-7E4A21FA1FFF}</x14:id>
        </ext>
      </extLst>
    </cfRule>
    <cfRule type="iconSet" priority="1507">
      <iconSet iconSet="3Arrows">
        <cfvo type="percent" val="0"/>
        <cfvo type="num" val="0.7"/>
        <cfvo type="num" val="1"/>
      </iconSet>
    </cfRule>
  </conditionalFormatting>
  <conditionalFormatting sqref="Y3331">
    <cfRule type="dataBar" priority="1506">
      <dataBar>
        <cfvo type="num" val="0"/>
        <cfvo type="num" val="1"/>
        <color theme="4" tint="0.79998168889431442"/>
      </dataBar>
      <extLst>
        <ext xmlns:x14="http://schemas.microsoft.com/office/spreadsheetml/2009/9/main" uri="{B025F937-C7B1-47D3-B67F-A62EFF666E3E}">
          <x14:id>{1EEDAF82-4FB5-47DC-B438-90225B3140F6}</x14:id>
        </ext>
      </extLst>
    </cfRule>
    <cfRule type="iconSet" priority="1505">
      <iconSet iconSet="3Arrows">
        <cfvo type="percent" val="0"/>
        <cfvo type="num" val="0.7"/>
        <cfvo type="num" val="1"/>
      </iconSet>
    </cfRule>
  </conditionalFormatting>
  <conditionalFormatting sqref="Y3333">
    <cfRule type="dataBar" priority="1504">
      <dataBar>
        <cfvo type="num" val="0"/>
        <cfvo type="num" val="1"/>
        <color theme="4" tint="0.79998168889431442"/>
      </dataBar>
      <extLst>
        <ext xmlns:x14="http://schemas.microsoft.com/office/spreadsheetml/2009/9/main" uri="{B025F937-C7B1-47D3-B67F-A62EFF666E3E}">
          <x14:id>{F30F98C4-A1C0-4078-ADE5-73988D6BA36B}</x14:id>
        </ext>
      </extLst>
    </cfRule>
    <cfRule type="iconSet" priority="1503">
      <iconSet iconSet="3Arrows">
        <cfvo type="percent" val="0"/>
        <cfvo type="num" val="0.7"/>
        <cfvo type="num" val="1"/>
      </iconSet>
    </cfRule>
  </conditionalFormatting>
  <conditionalFormatting sqref="Y3335">
    <cfRule type="dataBar" priority="1502">
      <dataBar>
        <cfvo type="num" val="0"/>
        <cfvo type="num" val="1"/>
        <color theme="4" tint="0.79998168889431442"/>
      </dataBar>
      <extLst>
        <ext xmlns:x14="http://schemas.microsoft.com/office/spreadsheetml/2009/9/main" uri="{B025F937-C7B1-47D3-B67F-A62EFF666E3E}">
          <x14:id>{C24409AD-4CE8-49F3-A5BC-7EB0A4C2DCA8}</x14:id>
        </ext>
      </extLst>
    </cfRule>
    <cfRule type="iconSet" priority="1501">
      <iconSet iconSet="3Arrows">
        <cfvo type="percent" val="0"/>
        <cfvo type="num" val="0.7"/>
        <cfvo type="num" val="1"/>
      </iconSet>
    </cfRule>
  </conditionalFormatting>
  <conditionalFormatting sqref="Y3337">
    <cfRule type="dataBar" priority="1500">
      <dataBar>
        <cfvo type="num" val="0"/>
        <cfvo type="num" val="1"/>
        <color theme="4" tint="0.79998168889431442"/>
      </dataBar>
      <extLst>
        <ext xmlns:x14="http://schemas.microsoft.com/office/spreadsheetml/2009/9/main" uri="{B025F937-C7B1-47D3-B67F-A62EFF666E3E}">
          <x14:id>{01CD6483-24CD-43A5-A458-64762BFD0827}</x14:id>
        </ext>
      </extLst>
    </cfRule>
    <cfRule type="iconSet" priority="1499">
      <iconSet iconSet="3Arrows">
        <cfvo type="percent" val="0"/>
        <cfvo type="num" val="0.7"/>
        <cfvo type="num" val="1"/>
      </iconSet>
    </cfRule>
  </conditionalFormatting>
  <conditionalFormatting sqref="Y3339">
    <cfRule type="dataBar" priority="1498">
      <dataBar>
        <cfvo type="num" val="0"/>
        <cfvo type="num" val="1"/>
        <color theme="4" tint="0.79998168889431442"/>
      </dataBar>
      <extLst>
        <ext xmlns:x14="http://schemas.microsoft.com/office/spreadsheetml/2009/9/main" uri="{B025F937-C7B1-47D3-B67F-A62EFF666E3E}">
          <x14:id>{12A5F673-B2C8-4275-90AC-FDBADA844F34}</x14:id>
        </ext>
      </extLst>
    </cfRule>
    <cfRule type="iconSet" priority="1497">
      <iconSet iconSet="3Arrows">
        <cfvo type="percent" val="0"/>
        <cfvo type="num" val="0.7"/>
        <cfvo type="num" val="1"/>
      </iconSet>
    </cfRule>
  </conditionalFormatting>
  <conditionalFormatting sqref="Y3341">
    <cfRule type="iconSet" priority="1495">
      <iconSet iconSet="3Arrows">
        <cfvo type="percent" val="0"/>
        <cfvo type="num" val="0.7"/>
        <cfvo type="num" val="1"/>
      </iconSet>
    </cfRule>
    <cfRule type="dataBar" priority="1496">
      <dataBar>
        <cfvo type="num" val="0"/>
        <cfvo type="num" val="1"/>
        <color theme="4" tint="0.79998168889431442"/>
      </dataBar>
      <extLst>
        <ext xmlns:x14="http://schemas.microsoft.com/office/spreadsheetml/2009/9/main" uri="{B025F937-C7B1-47D3-B67F-A62EFF666E3E}">
          <x14:id>{193CA682-CA71-407F-9219-22FADA7C939C}</x14:id>
        </ext>
      </extLst>
    </cfRule>
  </conditionalFormatting>
  <conditionalFormatting sqref="Y3343">
    <cfRule type="dataBar" priority="1494">
      <dataBar>
        <cfvo type="num" val="0"/>
        <cfvo type="num" val="1"/>
        <color theme="4" tint="0.79998168889431442"/>
      </dataBar>
      <extLst>
        <ext xmlns:x14="http://schemas.microsoft.com/office/spreadsheetml/2009/9/main" uri="{B025F937-C7B1-47D3-B67F-A62EFF666E3E}">
          <x14:id>{A9CFBFB0-76BD-4E34-A252-D15B81864644}</x14:id>
        </ext>
      </extLst>
    </cfRule>
    <cfRule type="iconSet" priority="1493">
      <iconSet iconSet="3Arrows">
        <cfvo type="percent" val="0"/>
        <cfvo type="num" val="0.7"/>
        <cfvo type="num" val="1"/>
      </iconSet>
    </cfRule>
  </conditionalFormatting>
  <conditionalFormatting sqref="Y3345">
    <cfRule type="iconSet" priority="1491">
      <iconSet iconSet="3Arrows">
        <cfvo type="percent" val="0"/>
        <cfvo type="num" val="0.7"/>
        <cfvo type="num" val="1"/>
      </iconSet>
    </cfRule>
    <cfRule type="dataBar" priority="1492">
      <dataBar>
        <cfvo type="num" val="0"/>
        <cfvo type="num" val="1"/>
        <color theme="4" tint="0.79998168889431442"/>
      </dataBar>
      <extLst>
        <ext xmlns:x14="http://schemas.microsoft.com/office/spreadsheetml/2009/9/main" uri="{B025F937-C7B1-47D3-B67F-A62EFF666E3E}">
          <x14:id>{E648DA53-9A8B-4E18-97E5-9734D0AFC46B}</x14:id>
        </ext>
      </extLst>
    </cfRule>
  </conditionalFormatting>
  <conditionalFormatting sqref="Y3347">
    <cfRule type="dataBar" priority="1490">
      <dataBar>
        <cfvo type="num" val="0"/>
        <cfvo type="num" val="1"/>
        <color theme="4" tint="0.79998168889431442"/>
      </dataBar>
      <extLst>
        <ext xmlns:x14="http://schemas.microsoft.com/office/spreadsheetml/2009/9/main" uri="{B025F937-C7B1-47D3-B67F-A62EFF666E3E}">
          <x14:id>{49881C93-A91D-48E4-AC04-04DDC7530971}</x14:id>
        </ext>
      </extLst>
    </cfRule>
    <cfRule type="iconSet" priority="1489">
      <iconSet iconSet="3Arrows">
        <cfvo type="percent" val="0"/>
        <cfvo type="num" val="0.7"/>
        <cfvo type="num" val="1"/>
      </iconSet>
    </cfRule>
  </conditionalFormatting>
  <conditionalFormatting sqref="Y3350">
    <cfRule type="dataBar" priority="1488">
      <dataBar>
        <cfvo type="num" val="0"/>
        <cfvo type="num" val="1"/>
        <color theme="4" tint="0.79998168889431442"/>
      </dataBar>
      <extLst>
        <ext xmlns:x14="http://schemas.microsoft.com/office/spreadsheetml/2009/9/main" uri="{B025F937-C7B1-47D3-B67F-A62EFF666E3E}">
          <x14:id>{A70865FB-28FB-4756-9DD2-21748FFA8CE5}</x14:id>
        </ext>
      </extLst>
    </cfRule>
    <cfRule type="iconSet" priority="1487">
      <iconSet iconSet="3Arrows">
        <cfvo type="percent" val="0"/>
        <cfvo type="num" val="0.7"/>
        <cfvo type="num" val="1"/>
      </iconSet>
    </cfRule>
  </conditionalFormatting>
  <conditionalFormatting sqref="Y3352">
    <cfRule type="iconSet" priority="1485">
      <iconSet iconSet="3Arrows">
        <cfvo type="percent" val="0"/>
        <cfvo type="num" val="0.7"/>
        <cfvo type="num" val="1"/>
      </iconSet>
    </cfRule>
    <cfRule type="dataBar" priority="1486">
      <dataBar>
        <cfvo type="num" val="0"/>
        <cfvo type="num" val="1"/>
        <color theme="4" tint="0.79998168889431442"/>
      </dataBar>
      <extLst>
        <ext xmlns:x14="http://schemas.microsoft.com/office/spreadsheetml/2009/9/main" uri="{B025F937-C7B1-47D3-B67F-A62EFF666E3E}">
          <x14:id>{1AA47165-072A-492B-B66E-88A7D02536F8}</x14:id>
        </ext>
      </extLst>
    </cfRule>
  </conditionalFormatting>
  <conditionalFormatting sqref="Y3354">
    <cfRule type="iconSet" priority="1483">
      <iconSet iconSet="3Arrows">
        <cfvo type="percent" val="0"/>
        <cfvo type="num" val="0.7"/>
        <cfvo type="num" val="1"/>
      </iconSet>
    </cfRule>
    <cfRule type="dataBar" priority="1484">
      <dataBar>
        <cfvo type="num" val="0"/>
        <cfvo type="num" val="1"/>
        <color theme="4" tint="0.79998168889431442"/>
      </dataBar>
      <extLst>
        <ext xmlns:x14="http://schemas.microsoft.com/office/spreadsheetml/2009/9/main" uri="{B025F937-C7B1-47D3-B67F-A62EFF666E3E}">
          <x14:id>{2F36C772-7812-4417-B10A-8FBDBB8ACC37}</x14:id>
        </ext>
      </extLst>
    </cfRule>
  </conditionalFormatting>
  <conditionalFormatting sqref="Y3356">
    <cfRule type="dataBar" priority="1482">
      <dataBar>
        <cfvo type="num" val="0"/>
        <cfvo type="num" val="1"/>
        <color theme="4" tint="0.79998168889431442"/>
      </dataBar>
      <extLst>
        <ext xmlns:x14="http://schemas.microsoft.com/office/spreadsheetml/2009/9/main" uri="{B025F937-C7B1-47D3-B67F-A62EFF666E3E}">
          <x14:id>{E7151B32-ED3D-4075-9504-060BE513792D}</x14:id>
        </ext>
      </extLst>
    </cfRule>
    <cfRule type="iconSet" priority="1481">
      <iconSet iconSet="3Arrows">
        <cfvo type="percent" val="0"/>
        <cfvo type="num" val="0.7"/>
        <cfvo type="num" val="1"/>
      </iconSet>
    </cfRule>
  </conditionalFormatting>
  <conditionalFormatting sqref="Y3358">
    <cfRule type="iconSet" priority="1479">
      <iconSet iconSet="3Arrows">
        <cfvo type="percent" val="0"/>
        <cfvo type="num" val="0.7"/>
        <cfvo type="num" val="1"/>
      </iconSet>
    </cfRule>
    <cfRule type="dataBar" priority="1480">
      <dataBar>
        <cfvo type="num" val="0"/>
        <cfvo type="num" val="1"/>
        <color theme="4" tint="0.79998168889431442"/>
      </dataBar>
      <extLst>
        <ext xmlns:x14="http://schemas.microsoft.com/office/spreadsheetml/2009/9/main" uri="{B025F937-C7B1-47D3-B67F-A62EFF666E3E}">
          <x14:id>{92828F97-A034-4B32-ACA9-1B9311EB8668}</x14:id>
        </ext>
      </extLst>
    </cfRule>
  </conditionalFormatting>
  <conditionalFormatting sqref="Y3360">
    <cfRule type="iconSet" priority="1477">
      <iconSet iconSet="3Arrows">
        <cfvo type="percent" val="0"/>
        <cfvo type="num" val="0.7"/>
        <cfvo type="num" val="1"/>
      </iconSet>
    </cfRule>
    <cfRule type="dataBar" priority="1478">
      <dataBar>
        <cfvo type="num" val="0"/>
        <cfvo type="num" val="1"/>
        <color theme="4" tint="0.79998168889431442"/>
      </dataBar>
      <extLst>
        <ext xmlns:x14="http://schemas.microsoft.com/office/spreadsheetml/2009/9/main" uri="{B025F937-C7B1-47D3-B67F-A62EFF666E3E}">
          <x14:id>{42CB2C32-DA75-4F70-8EBB-A80C5137F6E7}</x14:id>
        </ext>
      </extLst>
    </cfRule>
  </conditionalFormatting>
  <conditionalFormatting sqref="Y3362">
    <cfRule type="dataBar" priority="1476">
      <dataBar>
        <cfvo type="num" val="0"/>
        <cfvo type="num" val="1"/>
        <color theme="4" tint="0.79998168889431442"/>
      </dataBar>
      <extLst>
        <ext xmlns:x14="http://schemas.microsoft.com/office/spreadsheetml/2009/9/main" uri="{B025F937-C7B1-47D3-B67F-A62EFF666E3E}">
          <x14:id>{24755D7A-A1E8-4DE7-B6CC-A7E4910CC0F9}</x14:id>
        </ext>
      </extLst>
    </cfRule>
    <cfRule type="iconSet" priority="1475">
      <iconSet iconSet="3Arrows">
        <cfvo type="percent" val="0"/>
        <cfvo type="num" val="0.7"/>
        <cfvo type="num" val="1"/>
      </iconSet>
    </cfRule>
  </conditionalFormatting>
  <conditionalFormatting sqref="Y3365">
    <cfRule type="dataBar" priority="1474">
      <dataBar>
        <cfvo type="num" val="0"/>
        <cfvo type="num" val="1"/>
        <color theme="4" tint="0.79998168889431442"/>
      </dataBar>
      <extLst>
        <ext xmlns:x14="http://schemas.microsoft.com/office/spreadsheetml/2009/9/main" uri="{B025F937-C7B1-47D3-B67F-A62EFF666E3E}">
          <x14:id>{2B484CFE-47AD-44BD-80EB-8F609A77C05F}</x14:id>
        </ext>
      </extLst>
    </cfRule>
    <cfRule type="iconSet" priority="1473">
      <iconSet iconSet="3Arrows">
        <cfvo type="percent" val="0"/>
        <cfvo type="num" val="0.7"/>
        <cfvo type="num" val="1"/>
      </iconSet>
    </cfRule>
  </conditionalFormatting>
  <conditionalFormatting sqref="Y3367">
    <cfRule type="dataBar" priority="1472">
      <dataBar>
        <cfvo type="num" val="0"/>
        <cfvo type="num" val="1"/>
        <color theme="4" tint="0.79998168889431442"/>
      </dataBar>
      <extLst>
        <ext xmlns:x14="http://schemas.microsoft.com/office/spreadsheetml/2009/9/main" uri="{B025F937-C7B1-47D3-B67F-A62EFF666E3E}">
          <x14:id>{D52E3173-1C85-48DD-B0C9-53C5ACD9A535}</x14:id>
        </ext>
      </extLst>
    </cfRule>
    <cfRule type="iconSet" priority="1471">
      <iconSet iconSet="3Arrows">
        <cfvo type="percent" val="0"/>
        <cfvo type="num" val="0.7"/>
        <cfvo type="num" val="1"/>
      </iconSet>
    </cfRule>
  </conditionalFormatting>
  <conditionalFormatting sqref="Y3369">
    <cfRule type="dataBar" priority="1470">
      <dataBar>
        <cfvo type="num" val="0"/>
        <cfvo type="num" val="1"/>
        <color theme="4" tint="0.79998168889431442"/>
      </dataBar>
      <extLst>
        <ext xmlns:x14="http://schemas.microsoft.com/office/spreadsheetml/2009/9/main" uri="{B025F937-C7B1-47D3-B67F-A62EFF666E3E}">
          <x14:id>{6122EA86-CD28-4A50-97A3-15ECCC88F55C}</x14:id>
        </ext>
      </extLst>
    </cfRule>
    <cfRule type="iconSet" priority="1469">
      <iconSet iconSet="3Arrows">
        <cfvo type="percent" val="0"/>
        <cfvo type="num" val="0.7"/>
        <cfvo type="num" val="1"/>
      </iconSet>
    </cfRule>
  </conditionalFormatting>
  <conditionalFormatting sqref="Y3371">
    <cfRule type="dataBar" priority="1468">
      <dataBar>
        <cfvo type="num" val="0"/>
        <cfvo type="num" val="1"/>
        <color theme="4" tint="0.79998168889431442"/>
      </dataBar>
      <extLst>
        <ext xmlns:x14="http://schemas.microsoft.com/office/spreadsheetml/2009/9/main" uri="{B025F937-C7B1-47D3-B67F-A62EFF666E3E}">
          <x14:id>{1D606313-B071-4D91-B19D-B8B927659595}</x14:id>
        </ext>
      </extLst>
    </cfRule>
    <cfRule type="iconSet" priority="1467">
      <iconSet iconSet="3Arrows">
        <cfvo type="percent" val="0"/>
        <cfvo type="num" val="0.7"/>
        <cfvo type="num" val="1"/>
      </iconSet>
    </cfRule>
  </conditionalFormatting>
  <conditionalFormatting sqref="Y3373">
    <cfRule type="iconSet" priority="1465">
      <iconSet iconSet="3Arrows">
        <cfvo type="percent" val="0"/>
        <cfvo type="num" val="0.7"/>
        <cfvo type="num" val="1"/>
      </iconSet>
    </cfRule>
    <cfRule type="dataBar" priority="1466">
      <dataBar>
        <cfvo type="num" val="0"/>
        <cfvo type="num" val="1"/>
        <color theme="4" tint="0.79998168889431442"/>
      </dataBar>
      <extLst>
        <ext xmlns:x14="http://schemas.microsoft.com/office/spreadsheetml/2009/9/main" uri="{B025F937-C7B1-47D3-B67F-A62EFF666E3E}">
          <x14:id>{6EEEFE3B-1B18-4E5B-90D1-7BC23A8014FB}</x14:id>
        </ext>
      </extLst>
    </cfRule>
  </conditionalFormatting>
  <conditionalFormatting sqref="Y3377">
    <cfRule type="dataBar" priority="1464">
      <dataBar>
        <cfvo type="num" val="0"/>
        <cfvo type="num" val="1"/>
        <color theme="4" tint="0.79998168889431442"/>
      </dataBar>
      <extLst>
        <ext xmlns:x14="http://schemas.microsoft.com/office/spreadsheetml/2009/9/main" uri="{B025F937-C7B1-47D3-B67F-A62EFF666E3E}">
          <x14:id>{E06D390C-99FA-4372-A0D5-F1CD7D763FE8}</x14:id>
        </ext>
      </extLst>
    </cfRule>
    <cfRule type="iconSet" priority="1463">
      <iconSet iconSet="3Arrows">
        <cfvo type="percent" val="0"/>
        <cfvo type="num" val="0.7"/>
        <cfvo type="num" val="1"/>
      </iconSet>
    </cfRule>
  </conditionalFormatting>
  <conditionalFormatting sqref="Y3381">
    <cfRule type="iconSet" priority="1461">
      <iconSet iconSet="3Arrows">
        <cfvo type="percent" val="0"/>
        <cfvo type="num" val="0.7"/>
        <cfvo type="num" val="1"/>
      </iconSet>
    </cfRule>
    <cfRule type="dataBar" priority="1462">
      <dataBar>
        <cfvo type="num" val="0"/>
        <cfvo type="num" val="1"/>
        <color theme="4" tint="0.79998168889431442"/>
      </dataBar>
      <extLst>
        <ext xmlns:x14="http://schemas.microsoft.com/office/spreadsheetml/2009/9/main" uri="{B025F937-C7B1-47D3-B67F-A62EFF666E3E}">
          <x14:id>{8CE8ED18-FEDA-40B2-B969-5A21A2848091}</x14:id>
        </ext>
      </extLst>
    </cfRule>
  </conditionalFormatting>
  <conditionalFormatting sqref="Y3383 Y3385 Y3387">
    <cfRule type="dataBar" priority="1460">
      <dataBar>
        <cfvo type="num" val="0"/>
        <cfvo type="num" val="1"/>
        <color theme="4" tint="0.79998168889431442"/>
      </dataBar>
      <extLst>
        <ext xmlns:x14="http://schemas.microsoft.com/office/spreadsheetml/2009/9/main" uri="{B025F937-C7B1-47D3-B67F-A62EFF666E3E}">
          <x14:id>{97CE1A0C-0318-46DE-91EC-BBC4833856F8}</x14:id>
        </ext>
      </extLst>
    </cfRule>
    <cfRule type="iconSet" priority="1459">
      <iconSet iconSet="3Arrows">
        <cfvo type="percent" val="0"/>
        <cfvo type="num" val="0.7"/>
        <cfvo type="num" val="1"/>
      </iconSet>
    </cfRule>
  </conditionalFormatting>
  <conditionalFormatting sqref="Y3389">
    <cfRule type="iconSet" priority="1457">
      <iconSet iconSet="3Arrows">
        <cfvo type="percent" val="0"/>
        <cfvo type="num" val="0.7"/>
        <cfvo type="num" val="1"/>
      </iconSet>
    </cfRule>
    <cfRule type="dataBar" priority="1458">
      <dataBar>
        <cfvo type="num" val="0"/>
        <cfvo type="num" val="1"/>
        <color theme="4" tint="0.79998168889431442"/>
      </dataBar>
      <extLst>
        <ext xmlns:x14="http://schemas.microsoft.com/office/spreadsheetml/2009/9/main" uri="{B025F937-C7B1-47D3-B67F-A62EFF666E3E}">
          <x14:id>{05D92B8B-D70C-4A3C-9BA3-1143639A7C73}</x14:id>
        </ext>
      </extLst>
    </cfRule>
  </conditionalFormatting>
  <conditionalFormatting sqref="Y3391 Y3393">
    <cfRule type="iconSet" priority="1455">
      <iconSet iconSet="3Arrows">
        <cfvo type="percent" val="0"/>
        <cfvo type="num" val="0.7"/>
        <cfvo type="num" val="1"/>
      </iconSet>
    </cfRule>
    <cfRule type="dataBar" priority="1456">
      <dataBar>
        <cfvo type="num" val="0"/>
        <cfvo type="num" val="1"/>
        <color theme="4" tint="0.79998168889431442"/>
      </dataBar>
      <extLst>
        <ext xmlns:x14="http://schemas.microsoft.com/office/spreadsheetml/2009/9/main" uri="{B025F937-C7B1-47D3-B67F-A62EFF666E3E}">
          <x14:id>{FF210764-440E-4F0D-93B4-D4D399E73579}</x14:id>
        </ext>
      </extLst>
    </cfRule>
  </conditionalFormatting>
  <conditionalFormatting sqref="Y3395">
    <cfRule type="dataBar" priority="1454">
      <dataBar>
        <cfvo type="num" val="0"/>
        <cfvo type="num" val="1"/>
        <color theme="4" tint="0.79998168889431442"/>
      </dataBar>
      <extLst>
        <ext xmlns:x14="http://schemas.microsoft.com/office/spreadsheetml/2009/9/main" uri="{B025F937-C7B1-47D3-B67F-A62EFF666E3E}">
          <x14:id>{6CF2A047-FE21-4F08-97CC-FF5DE3EBBEF8}</x14:id>
        </ext>
      </extLst>
    </cfRule>
    <cfRule type="iconSet" priority="1453">
      <iconSet iconSet="3Arrows">
        <cfvo type="percent" val="0"/>
        <cfvo type="num" val="0.7"/>
        <cfvo type="num" val="1"/>
      </iconSet>
    </cfRule>
  </conditionalFormatting>
  <conditionalFormatting sqref="Y3397">
    <cfRule type="iconSet" priority="1451">
      <iconSet iconSet="3Arrows">
        <cfvo type="percent" val="0"/>
        <cfvo type="num" val="0.7"/>
        <cfvo type="num" val="1"/>
      </iconSet>
    </cfRule>
    <cfRule type="dataBar" priority="1452">
      <dataBar>
        <cfvo type="num" val="0"/>
        <cfvo type="num" val="1"/>
        <color theme="4" tint="0.79998168889431442"/>
      </dataBar>
      <extLst>
        <ext xmlns:x14="http://schemas.microsoft.com/office/spreadsheetml/2009/9/main" uri="{B025F937-C7B1-47D3-B67F-A62EFF666E3E}">
          <x14:id>{2C5DF15C-A3A8-4EE8-8C8B-CB9BD4C6BA9C}</x14:id>
        </ext>
      </extLst>
    </cfRule>
  </conditionalFormatting>
  <conditionalFormatting sqref="Y3399">
    <cfRule type="dataBar" priority="1450">
      <dataBar>
        <cfvo type="num" val="0"/>
        <cfvo type="num" val="1"/>
        <color theme="4" tint="0.79998168889431442"/>
      </dataBar>
      <extLst>
        <ext xmlns:x14="http://schemas.microsoft.com/office/spreadsheetml/2009/9/main" uri="{B025F937-C7B1-47D3-B67F-A62EFF666E3E}">
          <x14:id>{0A9ACF35-691F-48E5-876F-A767D0712551}</x14:id>
        </ext>
      </extLst>
    </cfRule>
    <cfRule type="iconSet" priority="1449">
      <iconSet iconSet="3Arrows">
        <cfvo type="percent" val="0"/>
        <cfvo type="num" val="0.7"/>
        <cfvo type="num" val="1"/>
      </iconSet>
    </cfRule>
  </conditionalFormatting>
  <conditionalFormatting sqref="Y3401">
    <cfRule type="dataBar" priority="1448">
      <dataBar>
        <cfvo type="num" val="0"/>
        <cfvo type="num" val="1"/>
        <color theme="4" tint="0.79998168889431442"/>
      </dataBar>
      <extLst>
        <ext xmlns:x14="http://schemas.microsoft.com/office/spreadsheetml/2009/9/main" uri="{B025F937-C7B1-47D3-B67F-A62EFF666E3E}">
          <x14:id>{C9B3DBFD-FF43-4FD6-9F10-6E23AA281F69}</x14:id>
        </ext>
      </extLst>
    </cfRule>
    <cfRule type="iconSet" priority="1447">
      <iconSet iconSet="3Arrows">
        <cfvo type="percent" val="0"/>
        <cfvo type="num" val="0.7"/>
        <cfvo type="num" val="1"/>
      </iconSet>
    </cfRule>
  </conditionalFormatting>
  <conditionalFormatting sqref="Y3403">
    <cfRule type="dataBar" priority="1446">
      <dataBar>
        <cfvo type="num" val="0"/>
        <cfvo type="num" val="1"/>
        <color theme="4" tint="0.79998168889431442"/>
      </dataBar>
      <extLst>
        <ext xmlns:x14="http://schemas.microsoft.com/office/spreadsheetml/2009/9/main" uri="{B025F937-C7B1-47D3-B67F-A62EFF666E3E}">
          <x14:id>{B4C8B080-D6D9-4750-B45C-E659F9CE848C}</x14:id>
        </ext>
      </extLst>
    </cfRule>
    <cfRule type="iconSet" priority="1445">
      <iconSet iconSet="3Arrows">
        <cfvo type="percent" val="0"/>
        <cfvo type="num" val="0.7"/>
        <cfvo type="num" val="1"/>
      </iconSet>
    </cfRule>
  </conditionalFormatting>
  <conditionalFormatting sqref="Y3405">
    <cfRule type="dataBar" priority="1444">
      <dataBar>
        <cfvo type="num" val="0"/>
        <cfvo type="num" val="1"/>
        <color theme="4" tint="0.79998168889431442"/>
      </dataBar>
      <extLst>
        <ext xmlns:x14="http://schemas.microsoft.com/office/spreadsheetml/2009/9/main" uri="{B025F937-C7B1-47D3-B67F-A62EFF666E3E}">
          <x14:id>{CFFBE348-C128-46ED-9643-45F715055545}</x14:id>
        </ext>
      </extLst>
    </cfRule>
    <cfRule type="iconSet" priority="1443">
      <iconSet iconSet="3Arrows">
        <cfvo type="percent" val="0"/>
        <cfvo type="num" val="0.7"/>
        <cfvo type="num" val="1"/>
      </iconSet>
    </cfRule>
  </conditionalFormatting>
  <conditionalFormatting sqref="Y3407">
    <cfRule type="iconSet" priority="1441">
      <iconSet iconSet="3Arrows">
        <cfvo type="percent" val="0"/>
        <cfvo type="num" val="0.7"/>
        <cfvo type="num" val="1"/>
      </iconSet>
    </cfRule>
    <cfRule type="dataBar" priority="1442">
      <dataBar>
        <cfvo type="num" val="0"/>
        <cfvo type="num" val="1"/>
        <color theme="4" tint="0.79998168889431442"/>
      </dataBar>
      <extLst>
        <ext xmlns:x14="http://schemas.microsoft.com/office/spreadsheetml/2009/9/main" uri="{B025F937-C7B1-47D3-B67F-A62EFF666E3E}">
          <x14:id>{0E31AD1B-6A03-4675-821B-AC4A4801E3AF}</x14:id>
        </ext>
      </extLst>
    </cfRule>
  </conditionalFormatting>
  <conditionalFormatting sqref="Y3409">
    <cfRule type="dataBar" priority="1440">
      <dataBar>
        <cfvo type="num" val="0"/>
        <cfvo type="num" val="1"/>
        <color theme="4" tint="0.79998168889431442"/>
      </dataBar>
      <extLst>
        <ext xmlns:x14="http://schemas.microsoft.com/office/spreadsheetml/2009/9/main" uri="{B025F937-C7B1-47D3-B67F-A62EFF666E3E}">
          <x14:id>{C984229C-F264-46BE-BAD8-D5698E9B2E5D}</x14:id>
        </ext>
      </extLst>
    </cfRule>
    <cfRule type="iconSet" priority="1439">
      <iconSet iconSet="3Arrows">
        <cfvo type="percent" val="0"/>
        <cfvo type="num" val="0.7"/>
        <cfvo type="num" val="1"/>
      </iconSet>
    </cfRule>
  </conditionalFormatting>
  <conditionalFormatting sqref="Y3411">
    <cfRule type="iconSet" priority="1437">
      <iconSet iconSet="3Arrows">
        <cfvo type="percent" val="0"/>
        <cfvo type="num" val="0.7"/>
        <cfvo type="num" val="1"/>
      </iconSet>
    </cfRule>
    <cfRule type="dataBar" priority="1438">
      <dataBar>
        <cfvo type="num" val="0"/>
        <cfvo type="num" val="1"/>
        <color theme="4" tint="0.79998168889431442"/>
      </dataBar>
      <extLst>
        <ext xmlns:x14="http://schemas.microsoft.com/office/spreadsheetml/2009/9/main" uri="{B025F937-C7B1-47D3-B67F-A62EFF666E3E}">
          <x14:id>{524BD49D-D621-4950-995A-7B309EBA1791}</x14:id>
        </ext>
      </extLst>
    </cfRule>
  </conditionalFormatting>
  <conditionalFormatting sqref="Y3413">
    <cfRule type="iconSet" priority="1435">
      <iconSet iconSet="3Arrows">
        <cfvo type="percent" val="0"/>
        <cfvo type="num" val="0.7"/>
        <cfvo type="num" val="1"/>
      </iconSet>
    </cfRule>
    <cfRule type="dataBar" priority="1436">
      <dataBar>
        <cfvo type="num" val="0"/>
        <cfvo type="num" val="1"/>
        <color theme="4" tint="0.79998168889431442"/>
      </dataBar>
      <extLst>
        <ext xmlns:x14="http://schemas.microsoft.com/office/spreadsheetml/2009/9/main" uri="{B025F937-C7B1-47D3-B67F-A62EFF666E3E}">
          <x14:id>{C7D8DCFA-2A37-4C61-98EF-68B929BB03EB}</x14:id>
        </ext>
      </extLst>
    </cfRule>
  </conditionalFormatting>
  <conditionalFormatting sqref="Y3416">
    <cfRule type="iconSet" priority="1433">
      <iconSet iconSet="3Arrows">
        <cfvo type="percent" val="0"/>
        <cfvo type="num" val="0.7"/>
        <cfvo type="num" val="1"/>
      </iconSet>
    </cfRule>
    <cfRule type="dataBar" priority="1434">
      <dataBar>
        <cfvo type="num" val="0"/>
        <cfvo type="num" val="1"/>
        <color theme="4" tint="0.79998168889431442"/>
      </dataBar>
      <extLst>
        <ext xmlns:x14="http://schemas.microsoft.com/office/spreadsheetml/2009/9/main" uri="{B025F937-C7B1-47D3-B67F-A62EFF666E3E}">
          <x14:id>{59C255B8-C127-4FCC-8744-DC8841FCB35C}</x14:id>
        </ext>
      </extLst>
    </cfRule>
  </conditionalFormatting>
  <conditionalFormatting sqref="Y3418">
    <cfRule type="iconSet" priority="1431">
      <iconSet iconSet="3Arrows">
        <cfvo type="percent" val="0"/>
        <cfvo type="num" val="0.7"/>
        <cfvo type="num" val="1"/>
      </iconSet>
    </cfRule>
    <cfRule type="dataBar" priority="1432">
      <dataBar>
        <cfvo type="num" val="0"/>
        <cfvo type="num" val="1"/>
        <color theme="4" tint="0.79998168889431442"/>
      </dataBar>
      <extLst>
        <ext xmlns:x14="http://schemas.microsoft.com/office/spreadsheetml/2009/9/main" uri="{B025F937-C7B1-47D3-B67F-A62EFF666E3E}">
          <x14:id>{932E2DBE-A840-4C90-AFD0-FDC3F65D4A9A}</x14:id>
        </ext>
      </extLst>
    </cfRule>
  </conditionalFormatting>
  <conditionalFormatting sqref="Y3420">
    <cfRule type="iconSet" priority="1429">
      <iconSet iconSet="3Arrows">
        <cfvo type="percent" val="0"/>
        <cfvo type="num" val="0.7"/>
        <cfvo type="num" val="1"/>
      </iconSet>
    </cfRule>
    <cfRule type="dataBar" priority="1430">
      <dataBar>
        <cfvo type="num" val="0"/>
        <cfvo type="num" val="1"/>
        <color theme="4" tint="0.79998168889431442"/>
      </dataBar>
      <extLst>
        <ext xmlns:x14="http://schemas.microsoft.com/office/spreadsheetml/2009/9/main" uri="{B025F937-C7B1-47D3-B67F-A62EFF666E3E}">
          <x14:id>{4144B059-B748-414C-B12F-CBC3C25B3532}</x14:id>
        </ext>
      </extLst>
    </cfRule>
  </conditionalFormatting>
  <conditionalFormatting sqref="Y3422">
    <cfRule type="dataBar" priority="1428">
      <dataBar>
        <cfvo type="num" val="0"/>
        <cfvo type="num" val="1"/>
        <color theme="4" tint="0.79998168889431442"/>
      </dataBar>
      <extLst>
        <ext xmlns:x14="http://schemas.microsoft.com/office/spreadsheetml/2009/9/main" uri="{B025F937-C7B1-47D3-B67F-A62EFF666E3E}">
          <x14:id>{0CC9E085-E823-4533-B3B4-AEFCDA1C4240}</x14:id>
        </ext>
      </extLst>
    </cfRule>
    <cfRule type="iconSet" priority="1427">
      <iconSet iconSet="3Arrows">
        <cfvo type="percent" val="0"/>
        <cfvo type="num" val="0.7"/>
        <cfvo type="num" val="1"/>
      </iconSet>
    </cfRule>
  </conditionalFormatting>
  <conditionalFormatting sqref="Y3424">
    <cfRule type="iconSet" priority="1425">
      <iconSet iconSet="3Arrows">
        <cfvo type="percent" val="0"/>
        <cfvo type="num" val="0.7"/>
        <cfvo type="num" val="1"/>
      </iconSet>
    </cfRule>
    <cfRule type="dataBar" priority="1426">
      <dataBar>
        <cfvo type="num" val="0"/>
        <cfvo type="num" val="1"/>
        <color theme="4" tint="0.79998168889431442"/>
      </dataBar>
      <extLst>
        <ext xmlns:x14="http://schemas.microsoft.com/office/spreadsheetml/2009/9/main" uri="{B025F937-C7B1-47D3-B67F-A62EFF666E3E}">
          <x14:id>{573A4BAD-8159-4C81-8A50-2E48BB51DAB2}</x14:id>
        </ext>
      </extLst>
    </cfRule>
  </conditionalFormatting>
  <conditionalFormatting sqref="Y3426">
    <cfRule type="iconSet" priority="1423">
      <iconSet iconSet="3Arrows">
        <cfvo type="percent" val="0"/>
        <cfvo type="num" val="0.7"/>
        <cfvo type="num" val="1"/>
      </iconSet>
    </cfRule>
    <cfRule type="dataBar" priority="1424">
      <dataBar>
        <cfvo type="num" val="0"/>
        <cfvo type="num" val="1"/>
        <color theme="4" tint="0.79998168889431442"/>
      </dataBar>
      <extLst>
        <ext xmlns:x14="http://schemas.microsoft.com/office/spreadsheetml/2009/9/main" uri="{B025F937-C7B1-47D3-B67F-A62EFF666E3E}">
          <x14:id>{AE456B09-9A5E-4FBA-A6CD-95293E97F122}</x14:id>
        </ext>
      </extLst>
    </cfRule>
  </conditionalFormatting>
  <conditionalFormatting sqref="Y3428">
    <cfRule type="iconSet" priority="1421">
      <iconSet iconSet="3Arrows">
        <cfvo type="percent" val="0"/>
        <cfvo type="num" val="0.7"/>
        <cfvo type="num" val="1"/>
      </iconSet>
    </cfRule>
    <cfRule type="dataBar" priority="1422">
      <dataBar>
        <cfvo type="num" val="0"/>
        <cfvo type="num" val="1"/>
        <color theme="4" tint="0.79998168889431442"/>
      </dataBar>
      <extLst>
        <ext xmlns:x14="http://schemas.microsoft.com/office/spreadsheetml/2009/9/main" uri="{B025F937-C7B1-47D3-B67F-A62EFF666E3E}">
          <x14:id>{24D1C705-F6A5-4B40-ABB5-9812FD65D93D}</x14:id>
        </ext>
      </extLst>
    </cfRule>
  </conditionalFormatting>
  <conditionalFormatting sqref="Y3430">
    <cfRule type="iconSet" priority="1419">
      <iconSet iconSet="3Arrows">
        <cfvo type="percent" val="0"/>
        <cfvo type="num" val="0.7"/>
        <cfvo type="num" val="1"/>
      </iconSet>
    </cfRule>
    <cfRule type="dataBar" priority="1420">
      <dataBar>
        <cfvo type="num" val="0"/>
        <cfvo type="num" val="1"/>
        <color theme="4" tint="0.79998168889431442"/>
      </dataBar>
      <extLst>
        <ext xmlns:x14="http://schemas.microsoft.com/office/spreadsheetml/2009/9/main" uri="{B025F937-C7B1-47D3-B67F-A62EFF666E3E}">
          <x14:id>{04E42ED6-B334-4916-BFAE-ED82064F4E6E}</x14:id>
        </ext>
      </extLst>
    </cfRule>
  </conditionalFormatting>
  <conditionalFormatting sqref="Y3432">
    <cfRule type="dataBar" priority="1418">
      <dataBar>
        <cfvo type="num" val="0"/>
        <cfvo type="num" val="1"/>
        <color theme="4" tint="0.79998168889431442"/>
      </dataBar>
      <extLst>
        <ext xmlns:x14="http://schemas.microsoft.com/office/spreadsheetml/2009/9/main" uri="{B025F937-C7B1-47D3-B67F-A62EFF666E3E}">
          <x14:id>{6C62D5E9-273C-450A-985D-F8956E733893}</x14:id>
        </ext>
      </extLst>
    </cfRule>
    <cfRule type="iconSet" priority="1417">
      <iconSet iconSet="3Arrows">
        <cfvo type="percent" val="0"/>
        <cfvo type="num" val="0.7"/>
        <cfvo type="num" val="1"/>
      </iconSet>
    </cfRule>
  </conditionalFormatting>
  <conditionalFormatting sqref="Y3434">
    <cfRule type="dataBar" priority="1416">
      <dataBar>
        <cfvo type="num" val="0"/>
        <cfvo type="num" val="1"/>
        <color theme="4" tint="0.79998168889431442"/>
      </dataBar>
      <extLst>
        <ext xmlns:x14="http://schemas.microsoft.com/office/spreadsheetml/2009/9/main" uri="{B025F937-C7B1-47D3-B67F-A62EFF666E3E}">
          <x14:id>{904900E5-6EB2-48D1-80F4-78275BCF22BE}</x14:id>
        </ext>
      </extLst>
    </cfRule>
    <cfRule type="iconSet" priority="1415">
      <iconSet iconSet="3Arrows">
        <cfvo type="percent" val="0"/>
        <cfvo type="num" val="0.7"/>
        <cfvo type="num" val="1"/>
      </iconSet>
    </cfRule>
  </conditionalFormatting>
  <conditionalFormatting sqref="Y3436">
    <cfRule type="iconSet" priority="1413">
      <iconSet iconSet="3Arrows">
        <cfvo type="percent" val="0"/>
        <cfvo type="num" val="0.7"/>
        <cfvo type="num" val="1"/>
      </iconSet>
    </cfRule>
    <cfRule type="dataBar" priority="1414">
      <dataBar>
        <cfvo type="num" val="0"/>
        <cfvo type="num" val="1"/>
        <color theme="4" tint="0.79998168889431442"/>
      </dataBar>
      <extLst>
        <ext xmlns:x14="http://schemas.microsoft.com/office/spreadsheetml/2009/9/main" uri="{B025F937-C7B1-47D3-B67F-A62EFF666E3E}">
          <x14:id>{189B1AB6-C7FF-4EC3-BBB8-946EF1A09482}</x14:id>
        </ext>
      </extLst>
    </cfRule>
  </conditionalFormatting>
  <conditionalFormatting sqref="Y3438">
    <cfRule type="iconSet" priority="1411">
      <iconSet iconSet="3Arrows">
        <cfvo type="percent" val="0"/>
        <cfvo type="num" val="0.7"/>
        <cfvo type="num" val="1"/>
      </iconSet>
    </cfRule>
    <cfRule type="dataBar" priority="1412">
      <dataBar>
        <cfvo type="num" val="0"/>
        <cfvo type="num" val="1"/>
        <color theme="4" tint="0.79998168889431442"/>
      </dataBar>
      <extLst>
        <ext xmlns:x14="http://schemas.microsoft.com/office/spreadsheetml/2009/9/main" uri="{B025F937-C7B1-47D3-B67F-A62EFF666E3E}">
          <x14:id>{332B3596-9AD3-474C-84FC-D278058A0529}</x14:id>
        </ext>
      </extLst>
    </cfRule>
  </conditionalFormatting>
  <conditionalFormatting sqref="Y3440">
    <cfRule type="iconSet" priority="1409">
      <iconSet iconSet="3Arrows">
        <cfvo type="percent" val="0"/>
        <cfvo type="num" val="0.7"/>
        <cfvo type="num" val="1"/>
      </iconSet>
    </cfRule>
    <cfRule type="dataBar" priority="1410">
      <dataBar>
        <cfvo type="num" val="0"/>
        <cfvo type="num" val="1"/>
        <color theme="4" tint="0.79998168889431442"/>
      </dataBar>
      <extLst>
        <ext xmlns:x14="http://schemas.microsoft.com/office/spreadsheetml/2009/9/main" uri="{B025F937-C7B1-47D3-B67F-A62EFF666E3E}">
          <x14:id>{31A63C0E-6BCD-4EC1-8FFD-17C72A7E3D2E}</x14:id>
        </ext>
      </extLst>
    </cfRule>
  </conditionalFormatting>
  <conditionalFormatting sqref="Y3442">
    <cfRule type="iconSet" priority="1407">
      <iconSet iconSet="3Arrows">
        <cfvo type="percent" val="0"/>
        <cfvo type="num" val="0.7"/>
        <cfvo type="num" val="1"/>
      </iconSet>
    </cfRule>
    <cfRule type="dataBar" priority="1408">
      <dataBar>
        <cfvo type="num" val="0"/>
        <cfvo type="num" val="1"/>
        <color theme="4" tint="0.79998168889431442"/>
      </dataBar>
      <extLst>
        <ext xmlns:x14="http://schemas.microsoft.com/office/spreadsheetml/2009/9/main" uri="{B025F937-C7B1-47D3-B67F-A62EFF666E3E}">
          <x14:id>{62F5AE62-8BAD-45A6-9147-0406EF874A29}</x14:id>
        </ext>
      </extLst>
    </cfRule>
  </conditionalFormatting>
  <conditionalFormatting sqref="Y3444">
    <cfRule type="dataBar" priority="1406">
      <dataBar>
        <cfvo type="num" val="0"/>
        <cfvo type="num" val="1"/>
        <color theme="4" tint="0.79998168889431442"/>
      </dataBar>
      <extLst>
        <ext xmlns:x14="http://schemas.microsoft.com/office/spreadsheetml/2009/9/main" uri="{B025F937-C7B1-47D3-B67F-A62EFF666E3E}">
          <x14:id>{C6792A8F-D406-409D-ABF9-11F297F8D9A9}</x14:id>
        </ext>
      </extLst>
    </cfRule>
    <cfRule type="iconSet" priority="1405">
      <iconSet iconSet="3Arrows">
        <cfvo type="percent" val="0"/>
        <cfvo type="num" val="0.7"/>
        <cfvo type="num" val="1"/>
      </iconSet>
    </cfRule>
  </conditionalFormatting>
  <conditionalFormatting sqref="Y3446">
    <cfRule type="iconSet" priority="1403">
      <iconSet iconSet="3Arrows">
        <cfvo type="percent" val="0"/>
        <cfvo type="num" val="0.7"/>
        <cfvo type="num" val="1"/>
      </iconSet>
    </cfRule>
    <cfRule type="dataBar" priority="1404">
      <dataBar>
        <cfvo type="num" val="0"/>
        <cfvo type="num" val="1"/>
        <color theme="4" tint="0.79998168889431442"/>
      </dataBar>
      <extLst>
        <ext xmlns:x14="http://schemas.microsoft.com/office/spreadsheetml/2009/9/main" uri="{B025F937-C7B1-47D3-B67F-A62EFF666E3E}">
          <x14:id>{769A6E1C-7B00-49D4-BF5A-2318B29B42FC}</x14:id>
        </ext>
      </extLst>
    </cfRule>
  </conditionalFormatting>
  <conditionalFormatting sqref="Y3448">
    <cfRule type="dataBar" priority="1402">
      <dataBar>
        <cfvo type="num" val="0"/>
        <cfvo type="num" val="1"/>
        <color theme="4" tint="0.79998168889431442"/>
      </dataBar>
      <extLst>
        <ext xmlns:x14="http://schemas.microsoft.com/office/spreadsheetml/2009/9/main" uri="{B025F937-C7B1-47D3-B67F-A62EFF666E3E}">
          <x14:id>{373EB234-1AFE-4C62-B7F6-E68784FF9075}</x14:id>
        </ext>
      </extLst>
    </cfRule>
    <cfRule type="iconSet" priority="1401">
      <iconSet iconSet="3Arrows">
        <cfvo type="percent" val="0"/>
        <cfvo type="num" val="0.7"/>
        <cfvo type="num" val="1"/>
      </iconSet>
    </cfRule>
  </conditionalFormatting>
  <conditionalFormatting sqref="Y3450">
    <cfRule type="dataBar" priority="1400">
      <dataBar>
        <cfvo type="num" val="0"/>
        <cfvo type="num" val="1"/>
        <color theme="4" tint="0.79998168889431442"/>
      </dataBar>
      <extLst>
        <ext xmlns:x14="http://schemas.microsoft.com/office/spreadsheetml/2009/9/main" uri="{B025F937-C7B1-47D3-B67F-A62EFF666E3E}">
          <x14:id>{89976F63-FED7-4BCB-A31F-45B4551EABA5}</x14:id>
        </ext>
      </extLst>
    </cfRule>
    <cfRule type="iconSet" priority="1399">
      <iconSet iconSet="3Arrows">
        <cfvo type="percent" val="0"/>
        <cfvo type="num" val="0.7"/>
        <cfvo type="num" val="1"/>
      </iconSet>
    </cfRule>
  </conditionalFormatting>
  <conditionalFormatting sqref="Y3452">
    <cfRule type="iconSet" priority="1397">
      <iconSet iconSet="3Arrows">
        <cfvo type="percent" val="0"/>
        <cfvo type="num" val="0.7"/>
        <cfvo type="num" val="1"/>
      </iconSet>
    </cfRule>
    <cfRule type="dataBar" priority="1398">
      <dataBar>
        <cfvo type="num" val="0"/>
        <cfvo type="num" val="1"/>
        <color theme="4" tint="0.79998168889431442"/>
      </dataBar>
      <extLst>
        <ext xmlns:x14="http://schemas.microsoft.com/office/spreadsheetml/2009/9/main" uri="{B025F937-C7B1-47D3-B67F-A62EFF666E3E}">
          <x14:id>{EF1F7E71-BFEA-4821-A4A6-62A6CC1451D5}</x14:id>
        </ext>
      </extLst>
    </cfRule>
  </conditionalFormatting>
  <conditionalFormatting sqref="Y3454">
    <cfRule type="dataBar" priority="1396">
      <dataBar>
        <cfvo type="num" val="0"/>
        <cfvo type="num" val="1"/>
        <color theme="4" tint="0.79998168889431442"/>
      </dataBar>
      <extLst>
        <ext xmlns:x14="http://schemas.microsoft.com/office/spreadsheetml/2009/9/main" uri="{B025F937-C7B1-47D3-B67F-A62EFF666E3E}">
          <x14:id>{561E5029-B4A7-4D8B-A526-3AF06A7B91DA}</x14:id>
        </ext>
      </extLst>
    </cfRule>
    <cfRule type="iconSet" priority="1395">
      <iconSet iconSet="3Arrows">
        <cfvo type="percent" val="0"/>
        <cfvo type="num" val="0.7"/>
        <cfvo type="num" val="1"/>
      </iconSet>
    </cfRule>
  </conditionalFormatting>
  <conditionalFormatting sqref="Y3456">
    <cfRule type="iconSet" priority="1393">
      <iconSet iconSet="3Arrows">
        <cfvo type="percent" val="0"/>
        <cfvo type="num" val="0.7"/>
        <cfvo type="num" val="1"/>
      </iconSet>
    </cfRule>
    <cfRule type="dataBar" priority="1394">
      <dataBar>
        <cfvo type="num" val="0"/>
        <cfvo type="num" val="1"/>
        <color theme="4" tint="0.79998168889431442"/>
      </dataBar>
      <extLst>
        <ext xmlns:x14="http://schemas.microsoft.com/office/spreadsheetml/2009/9/main" uri="{B025F937-C7B1-47D3-B67F-A62EFF666E3E}">
          <x14:id>{58B4DA8D-BE1A-4277-9E98-70F67DF71BD5}</x14:id>
        </ext>
      </extLst>
    </cfRule>
  </conditionalFormatting>
  <conditionalFormatting sqref="Y3458">
    <cfRule type="dataBar" priority="1392">
      <dataBar>
        <cfvo type="num" val="0"/>
        <cfvo type="num" val="1"/>
        <color theme="4" tint="0.79998168889431442"/>
      </dataBar>
      <extLst>
        <ext xmlns:x14="http://schemas.microsoft.com/office/spreadsheetml/2009/9/main" uri="{B025F937-C7B1-47D3-B67F-A62EFF666E3E}">
          <x14:id>{00F6AA9F-965E-4F08-9DC0-E45A90B11B11}</x14:id>
        </ext>
      </extLst>
    </cfRule>
    <cfRule type="iconSet" priority="1391">
      <iconSet iconSet="3Arrows">
        <cfvo type="percent" val="0"/>
        <cfvo type="num" val="0.7"/>
        <cfvo type="num" val="1"/>
      </iconSet>
    </cfRule>
  </conditionalFormatting>
  <conditionalFormatting sqref="Y3460">
    <cfRule type="dataBar" priority="1390">
      <dataBar>
        <cfvo type="num" val="0"/>
        <cfvo type="num" val="1"/>
        <color theme="4" tint="0.79998168889431442"/>
      </dataBar>
      <extLst>
        <ext xmlns:x14="http://schemas.microsoft.com/office/spreadsheetml/2009/9/main" uri="{B025F937-C7B1-47D3-B67F-A62EFF666E3E}">
          <x14:id>{D400F50B-B907-41BA-B3E5-9EC91191731C}</x14:id>
        </ext>
      </extLst>
    </cfRule>
    <cfRule type="iconSet" priority="1389">
      <iconSet iconSet="3Arrows">
        <cfvo type="percent" val="0"/>
        <cfvo type="num" val="0.7"/>
        <cfvo type="num" val="1"/>
      </iconSet>
    </cfRule>
  </conditionalFormatting>
  <conditionalFormatting sqref="Y3462">
    <cfRule type="iconSet" priority="1387">
      <iconSet iconSet="3Arrows">
        <cfvo type="percent" val="0"/>
        <cfvo type="num" val="0.7"/>
        <cfvo type="num" val="1"/>
      </iconSet>
    </cfRule>
    <cfRule type="dataBar" priority="1388">
      <dataBar>
        <cfvo type="num" val="0"/>
        <cfvo type="num" val="1"/>
        <color theme="4" tint="0.79998168889431442"/>
      </dataBar>
      <extLst>
        <ext xmlns:x14="http://schemas.microsoft.com/office/spreadsheetml/2009/9/main" uri="{B025F937-C7B1-47D3-B67F-A62EFF666E3E}">
          <x14:id>{DBEA049F-34E8-4F9B-8037-CA6F7F5723A4}</x14:id>
        </ext>
      </extLst>
    </cfRule>
  </conditionalFormatting>
  <conditionalFormatting sqref="Y3464">
    <cfRule type="dataBar" priority="1386">
      <dataBar>
        <cfvo type="num" val="0"/>
        <cfvo type="num" val="1"/>
        <color theme="4" tint="0.79998168889431442"/>
      </dataBar>
      <extLst>
        <ext xmlns:x14="http://schemas.microsoft.com/office/spreadsheetml/2009/9/main" uri="{B025F937-C7B1-47D3-B67F-A62EFF666E3E}">
          <x14:id>{42458CDC-A8B3-47C0-80E1-4A1E1659BBA5}</x14:id>
        </ext>
      </extLst>
    </cfRule>
    <cfRule type="iconSet" priority="1385">
      <iconSet iconSet="3Arrows">
        <cfvo type="percent" val="0"/>
        <cfvo type="num" val="0.7"/>
        <cfvo type="num" val="1"/>
      </iconSet>
    </cfRule>
  </conditionalFormatting>
  <conditionalFormatting sqref="Y3466">
    <cfRule type="iconSet" priority="1383">
      <iconSet iconSet="3Arrows">
        <cfvo type="percent" val="0"/>
        <cfvo type="num" val="0.7"/>
        <cfvo type="num" val="1"/>
      </iconSet>
    </cfRule>
    <cfRule type="dataBar" priority="1384">
      <dataBar>
        <cfvo type="num" val="0"/>
        <cfvo type="num" val="1"/>
        <color theme="4" tint="0.79998168889431442"/>
      </dataBar>
      <extLst>
        <ext xmlns:x14="http://schemas.microsoft.com/office/spreadsheetml/2009/9/main" uri="{B025F937-C7B1-47D3-B67F-A62EFF666E3E}">
          <x14:id>{AE9DBD90-C53F-498B-82EE-CB96E6D8042E}</x14:id>
        </ext>
      </extLst>
    </cfRule>
  </conditionalFormatting>
  <conditionalFormatting sqref="Y3468">
    <cfRule type="dataBar" priority="1382">
      <dataBar>
        <cfvo type="num" val="0"/>
        <cfvo type="num" val="1"/>
        <color theme="4" tint="0.79998168889431442"/>
      </dataBar>
      <extLst>
        <ext xmlns:x14="http://schemas.microsoft.com/office/spreadsheetml/2009/9/main" uri="{B025F937-C7B1-47D3-B67F-A62EFF666E3E}">
          <x14:id>{18CED0E4-5C54-411C-83FE-E5846A04D0E2}</x14:id>
        </ext>
      </extLst>
    </cfRule>
    <cfRule type="iconSet" priority="1381">
      <iconSet iconSet="3Arrows">
        <cfvo type="percent" val="0"/>
        <cfvo type="num" val="0.7"/>
        <cfvo type="num" val="1"/>
      </iconSet>
    </cfRule>
  </conditionalFormatting>
  <conditionalFormatting sqref="Y3470">
    <cfRule type="iconSet" priority="1379">
      <iconSet iconSet="3Arrows">
        <cfvo type="percent" val="0"/>
        <cfvo type="num" val="0.7"/>
        <cfvo type="num" val="1"/>
      </iconSet>
    </cfRule>
    <cfRule type="dataBar" priority="1380">
      <dataBar>
        <cfvo type="num" val="0"/>
        <cfvo type="num" val="1"/>
        <color theme="4" tint="0.79998168889431442"/>
      </dataBar>
      <extLst>
        <ext xmlns:x14="http://schemas.microsoft.com/office/spreadsheetml/2009/9/main" uri="{B025F937-C7B1-47D3-B67F-A62EFF666E3E}">
          <x14:id>{84429514-1BBF-4773-A671-29554FB3672F}</x14:id>
        </ext>
      </extLst>
    </cfRule>
  </conditionalFormatting>
  <conditionalFormatting sqref="Y3472">
    <cfRule type="iconSet" priority="1377">
      <iconSet iconSet="3Arrows">
        <cfvo type="percent" val="0"/>
        <cfvo type="num" val="0.7"/>
        <cfvo type="num" val="1"/>
      </iconSet>
    </cfRule>
    <cfRule type="dataBar" priority="1378">
      <dataBar>
        <cfvo type="num" val="0"/>
        <cfvo type="num" val="1"/>
        <color theme="4" tint="0.79998168889431442"/>
      </dataBar>
      <extLst>
        <ext xmlns:x14="http://schemas.microsoft.com/office/spreadsheetml/2009/9/main" uri="{B025F937-C7B1-47D3-B67F-A62EFF666E3E}">
          <x14:id>{3DF7D2BC-4446-4485-9448-82D4D67DF7F0}</x14:id>
        </ext>
      </extLst>
    </cfRule>
  </conditionalFormatting>
  <conditionalFormatting sqref="Y3474">
    <cfRule type="dataBar" priority="1376">
      <dataBar>
        <cfvo type="num" val="0"/>
        <cfvo type="num" val="1"/>
        <color theme="4" tint="0.79998168889431442"/>
      </dataBar>
      <extLst>
        <ext xmlns:x14="http://schemas.microsoft.com/office/spreadsheetml/2009/9/main" uri="{B025F937-C7B1-47D3-B67F-A62EFF666E3E}">
          <x14:id>{75F2B84B-75A4-49B3-826E-B55EBF2080DA}</x14:id>
        </ext>
      </extLst>
    </cfRule>
    <cfRule type="iconSet" priority="1375">
      <iconSet iconSet="3Arrows">
        <cfvo type="percent" val="0"/>
        <cfvo type="num" val="0.7"/>
        <cfvo type="num" val="1"/>
      </iconSet>
    </cfRule>
  </conditionalFormatting>
  <conditionalFormatting sqref="Y3476">
    <cfRule type="iconSet" priority="1373">
      <iconSet iconSet="3Arrows">
        <cfvo type="percent" val="0"/>
        <cfvo type="num" val="0.7"/>
        <cfvo type="num" val="1"/>
      </iconSet>
    </cfRule>
    <cfRule type="dataBar" priority="1374">
      <dataBar>
        <cfvo type="num" val="0"/>
        <cfvo type="num" val="1"/>
        <color theme="4" tint="0.79998168889431442"/>
      </dataBar>
      <extLst>
        <ext xmlns:x14="http://schemas.microsoft.com/office/spreadsheetml/2009/9/main" uri="{B025F937-C7B1-47D3-B67F-A62EFF666E3E}">
          <x14:id>{F9AC1AAB-AC05-4CC7-A269-18384C7FACEA}</x14:id>
        </ext>
      </extLst>
    </cfRule>
  </conditionalFormatting>
  <conditionalFormatting sqref="Y3478">
    <cfRule type="dataBar" priority="1372">
      <dataBar>
        <cfvo type="num" val="0"/>
        <cfvo type="num" val="1"/>
        <color theme="4" tint="0.79998168889431442"/>
      </dataBar>
      <extLst>
        <ext xmlns:x14="http://schemas.microsoft.com/office/spreadsheetml/2009/9/main" uri="{B025F937-C7B1-47D3-B67F-A62EFF666E3E}">
          <x14:id>{401C252E-BEB2-49CC-A085-946BCD7534BC}</x14:id>
        </ext>
      </extLst>
    </cfRule>
    <cfRule type="iconSet" priority="1371">
      <iconSet iconSet="3Arrows">
        <cfvo type="percent" val="0"/>
        <cfvo type="num" val="0.7"/>
        <cfvo type="num" val="1"/>
      </iconSet>
    </cfRule>
  </conditionalFormatting>
  <conditionalFormatting sqref="Y3480">
    <cfRule type="iconSet" priority="1369">
      <iconSet iconSet="3Arrows">
        <cfvo type="percent" val="0"/>
        <cfvo type="num" val="0.7"/>
        <cfvo type="num" val="1"/>
      </iconSet>
    </cfRule>
    <cfRule type="dataBar" priority="1370">
      <dataBar>
        <cfvo type="num" val="0"/>
        <cfvo type="num" val="1"/>
        <color theme="4" tint="0.79998168889431442"/>
      </dataBar>
      <extLst>
        <ext xmlns:x14="http://schemas.microsoft.com/office/spreadsheetml/2009/9/main" uri="{B025F937-C7B1-47D3-B67F-A62EFF666E3E}">
          <x14:id>{18685379-A2CD-4524-84D7-38DB7403C107}</x14:id>
        </ext>
      </extLst>
    </cfRule>
  </conditionalFormatting>
  <conditionalFormatting sqref="Y3482">
    <cfRule type="iconSet" priority="1367">
      <iconSet iconSet="3Arrows">
        <cfvo type="percent" val="0"/>
        <cfvo type="num" val="0.7"/>
        <cfvo type="num" val="1"/>
      </iconSet>
    </cfRule>
    <cfRule type="dataBar" priority="1368">
      <dataBar>
        <cfvo type="num" val="0"/>
        <cfvo type="num" val="1"/>
        <color theme="4" tint="0.79998168889431442"/>
      </dataBar>
      <extLst>
        <ext xmlns:x14="http://schemas.microsoft.com/office/spreadsheetml/2009/9/main" uri="{B025F937-C7B1-47D3-B67F-A62EFF666E3E}">
          <x14:id>{31015E40-5379-4F5E-A897-7D08FA86BA4C}</x14:id>
        </ext>
      </extLst>
    </cfRule>
  </conditionalFormatting>
  <conditionalFormatting sqref="Y3484">
    <cfRule type="dataBar" priority="1366">
      <dataBar>
        <cfvo type="num" val="0"/>
        <cfvo type="num" val="1"/>
        <color theme="4" tint="0.79998168889431442"/>
      </dataBar>
      <extLst>
        <ext xmlns:x14="http://schemas.microsoft.com/office/spreadsheetml/2009/9/main" uri="{B025F937-C7B1-47D3-B67F-A62EFF666E3E}">
          <x14:id>{DAEB7676-2744-4846-922B-939A84A4EC74}</x14:id>
        </ext>
      </extLst>
    </cfRule>
    <cfRule type="iconSet" priority="1365">
      <iconSet iconSet="3Arrows">
        <cfvo type="percent" val="0"/>
        <cfvo type="num" val="0.7"/>
        <cfvo type="num" val="1"/>
      </iconSet>
    </cfRule>
  </conditionalFormatting>
  <conditionalFormatting sqref="Y3486">
    <cfRule type="iconSet" priority="1363">
      <iconSet iconSet="3Arrows">
        <cfvo type="percent" val="0"/>
        <cfvo type="num" val="0.7"/>
        <cfvo type="num" val="1"/>
      </iconSet>
    </cfRule>
    <cfRule type="dataBar" priority="1364">
      <dataBar>
        <cfvo type="num" val="0"/>
        <cfvo type="num" val="1"/>
        <color theme="4" tint="0.79998168889431442"/>
      </dataBar>
      <extLst>
        <ext xmlns:x14="http://schemas.microsoft.com/office/spreadsheetml/2009/9/main" uri="{B025F937-C7B1-47D3-B67F-A62EFF666E3E}">
          <x14:id>{48453305-E034-4B85-9293-26FDCB955344}</x14:id>
        </ext>
      </extLst>
    </cfRule>
  </conditionalFormatting>
  <conditionalFormatting sqref="Y3489">
    <cfRule type="dataBar" priority="1362">
      <dataBar>
        <cfvo type="num" val="0"/>
        <cfvo type="num" val="1"/>
        <color theme="4" tint="0.79998168889431442"/>
      </dataBar>
      <extLst>
        <ext xmlns:x14="http://schemas.microsoft.com/office/spreadsheetml/2009/9/main" uri="{B025F937-C7B1-47D3-B67F-A62EFF666E3E}">
          <x14:id>{CC285E1F-3672-4B6E-B4E9-B7EA3347D508}</x14:id>
        </ext>
      </extLst>
    </cfRule>
    <cfRule type="iconSet" priority="1361">
      <iconSet iconSet="3Arrows">
        <cfvo type="percent" val="0"/>
        <cfvo type="num" val="0.7"/>
        <cfvo type="num" val="1"/>
      </iconSet>
    </cfRule>
  </conditionalFormatting>
  <conditionalFormatting sqref="Y3491">
    <cfRule type="dataBar" priority="1360">
      <dataBar>
        <cfvo type="num" val="0"/>
        <cfvo type="num" val="1"/>
        <color theme="4" tint="0.79998168889431442"/>
      </dataBar>
      <extLst>
        <ext xmlns:x14="http://schemas.microsoft.com/office/spreadsheetml/2009/9/main" uri="{B025F937-C7B1-47D3-B67F-A62EFF666E3E}">
          <x14:id>{E2DDE3F0-EB7C-40C7-8215-7A984B151DAB}</x14:id>
        </ext>
      </extLst>
    </cfRule>
    <cfRule type="iconSet" priority="1359">
      <iconSet iconSet="3Arrows">
        <cfvo type="percent" val="0"/>
        <cfvo type="num" val="0.7"/>
        <cfvo type="num" val="1"/>
      </iconSet>
    </cfRule>
  </conditionalFormatting>
  <conditionalFormatting sqref="Y3493">
    <cfRule type="dataBar" priority="1358">
      <dataBar>
        <cfvo type="num" val="0"/>
        <cfvo type="num" val="1"/>
        <color theme="4" tint="0.79998168889431442"/>
      </dataBar>
      <extLst>
        <ext xmlns:x14="http://schemas.microsoft.com/office/spreadsheetml/2009/9/main" uri="{B025F937-C7B1-47D3-B67F-A62EFF666E3E}">
          <x14:id>{9B0AF245-459D-4A0B-9CCB-DB92126DAF72}</x14:id>
        </ext>
      </extLst>
    </cfRule>
    <cfRule type="iconSet" priority="1357">
      <iconSet iconSet="3Arrows">
        <cfvo type="percent" val="0"/>
        <cfvo type="num" val="0.7"/>
        <cfvo type="num" val="1"/>
      </iconSet>
    </cfRule>
  </conditionalFormatting>
  <conditionalFormatting sqref="Y3495">
    <cfRule type="iconSet" priority="1355">
      <iconSet iconSet="3Arrows">
        <cfvo type="percent" val="0"/>
        <cfvo type="num" val="0.7"/>
        <cfvo type="num" val="1"/>
      </iconSet>
    </cfRule>
    <cfRule type="dataBar" priority="1356">
      <dataBar>
        <cfvo type="num" val="0"/>
        <cfvo type="num" val="1"/>
        <color theme="4" tint="0.79998168889431442"/>
      </dataBar>
      <extLst>
        <ext xmlns:x14="http://schemas.microsoft.com/office/spreadsheetml/2009/9/main" uri="{B025F937-C7B1-47D3-B67F-A62EFF666E3E}">
          <x14:id>{87C2D8CF-8818-4D0F-A2B9-1ABD31373161}</x14:id>
        </ext>
      </extLst>
    </cfRule>
  </conditionalFormatting>
  <conditionalFormatting sqref="Y3497">
    <cfRule type="iconSet" priority="1353">
      <iconSet iconSet="3Arrows">
        <cfvo type="percent" val="0"/>
        <cfvo type="num" val="0.7"/>
        <cfvo type="num" val="1"/>
      </iconSet>
    </cfRule>
    <cfRule type="dataBar" priority="1354">
      <dataBar>
        <cfvo type="num" val="0"/>
        <cfvo type="num" val="1"/>
        <color theme="4" tint="0.79998168889431442"/>
      </dataBar>
      <extLst>
        <ext xmlns:x14="http://schemas.microsoft.com/office/spreadsheetml/2009/9/main" uri="{B025F937-C7B1-47D3-B67F-A62EFF666E3E}">
          <x14:id>{1B0601D9-9B02-4DD9-98F7-355B6EF98AC5}</x14:id>
        </ext>
      </extLst>
    </cfRule>
  </conditionalFormatting>
  <conditionalFormatting sqref="Y3499">
    <cfRule type="iconSet" priority="1351">
      <iconSet iconSet="3Arrows">
        <cfvo type="percent" val="0"/>
        <cfvo type="num" val="0.7"/>
        <cfvo type="num" val="1"/>
      </iconSet>
    </cfRule>
    <cfRule type="dataBar" priority="1352">
      <dataBar>
        <cfvo type="num" val="0"/>
        <cfvo type="num" val="1"/>
        <color theme="4" tint="0.79998168889431442"/>
      </dataBar>
      <extLst>
        <ext xmlns:x14="http://schemas.microsoft.com/office/spreadsheetml/2009/9/main" uri="{B025F937-C7B1-47D3-B67F-A62EFF666E3E}">
          <x14:id>{BD058863-9924-42E0-A697-ADD8A428A2B7}</x14:id>
        </ext>
      </extLst>
    </cfRule>
  </conditionalFormatting>
  <conditionalFormatting sqref="Y3503">
    <cfRule type="dataBar" priority="1350">
      <dataBar>
        <cfvo type="num" val="0"/>
        <cfvo type="num" val="1"/>
        <color theme="4" tint="0.79998168889431442"/>
      </dataBar>
      <extLst>
        <ext xmlns:x14="http://schemas.microsoft.com/office/spreadsheetml/2009/9/main" uri="{B025F937-C7B1-47D3-B67F-A62EFF666E3E}">
          <x14:id>{ECCE0FD1-6F93-4074-AB9B-E502C7E4B8FF}</x14:id>
        </ext>
      </extLst>
    </cfRule>
    <cfRule type="iconSet" priority="1349">
      <iconSet iconSet="3Arrows">
        <cfvo type="percent" val="0"/>
        <cfvo type="num" val="0.7"/>
        <cfvo type="num" val="1"/>
      </iconSet>
    </cfRule>
  </conditionalFormatting>
  <conditionalFormatting sqref="Y3506">
    <cfRule type="dataBar" priority="1348">
      <dataBar>
        <cfvo type="num" val="0"/>
        <cfvo type="num" val="1"/>
        <color theme="4" tint="0.79998168889431442"/>
      </dataBar>
      <extLst>
        <ext xmlns:x14="http://schemas.microsoft.com/office/spreadsheetml/2009/9/main" uri="{B025F937-C7B1-47D3-B67F-A62EFF666E3E}">
          <x14:id>{D78D4ECD-6686-4EA3-8E8E-17B0A227CC32}</x14:id>
        </ext>
      </extLst>
    </cfRule>
    <cfRule type="iconSet" priority="1347">
      <iconSet iconSet="3Arrows">
        <cfvo type="percent" val="0"/>
        <cfvo type="num" val="0.7"/>
        <cfvo type="num" val="1"/>
      </iconSet>
    </cfRule>
  </conditionalFormatting>
  <conditionalFormatting sqref="Y3508">
    <cfRule type="dataBar" priority="1346">
      <dataBar>
        <cfvo type="num" val="0"/>
        <cfvo type="num" val="1"/>
        <color theme="4" tint="0.79998168889431442"/>
      </dataBar>
      <extLst>
        <ext xmlns:x14="http://schemas.microsoft.com/office/spreadsheetml/2009/9/main" uri="{B025F937-C7B1-47D3-B67F-A62EFF666E3E}">
          <x14:id>{AE25DD39-5D3C-4BFD-A8CE-3A0D123786E3}</x14:id>
        </ext>
      </extLst>
    </cfRule>
    <cfRule type="iconSet" priority="1345">
      <iconSet iconSet="3Arrows">
        <cfvo type="percent" val="0"/>
        <cfvo type="num" val="0.7"/>
        <cfvo type="num" val="1"/>
      </iconSet>
    </cfRule>
  </conditionalFormatting>
  <conditionalFormatting sqref="Y3510">
    <cfRule type="iconSet" priority="1343">
      <iconSet iconSet="3Arrows">
        <cfvo type="percent" val="0"/>
        <cfvo type="num" val="0.7"/>
        <cfvo type="num" val="1"/>
      </iconSet>
    </cfRule>
    <cfRule type="dataBar" priority="1344">
      <dataBar>
        <cfvo type="num" val="0"/>
        <cfvo type="num" val="1"/>
        <color theme="4" tint="0.79998168889431442"/>
      </dataBar>
      <extLst>
        <ext xmlns:x14="http://schemas.microsoft.com/office/spreadsheetml/2009/9/main" uri="{B025F937-C7B1-47D3-B67F-A62EFF666E3E}">
          <x14:id>{F59BFAD4-398F-43F4-975E-64478BC16308}</x14:id>
        </ext>
      </extLst>
    </cfRule>
  </conditionalFormatting>
  <conditionalFormatting sqref="Y3512">
    <cfRule type="iconSet" priority="1341">
      <iconSet iconSet="3Arrows">
        <cfvo type="percent" val="0"/>
        <cfvo type="num" val="0.7"/>
        <cfvo type="num" val="1"/>
      </iconSet>
    </cfRule>
    <cfRule type="dataBar" priority="1342">
      <dataBar>
        <cfvo type="num" val="0"/>
        <cfvo type="num" val="1"/>
        <color theme="4" tint="0.79998168889431442"/>
      </dataBar>
      <extLst>
        <ext xmlns:x14="http://schemas.microsoft.com/office/spreadsheetml/2009/9/main" uri="{B025F937-C7B1-47D3-B67F-A62EFF666E3E}">
          <x14:id>{0CDD7D37-A68F-43BC-9F07-349ADF11E51E}</x14:id>
        </ext>
      </extLst>
    </cfRule>
  </conditionalFormatting>
  <conditionalFormatting sqref="Y3514">
    <cfRule type="iconSet" priority="1339">
      <iconSet iconSet="3Arrows">
        <cfvo type="percent" val="0"/>
        <cfvo type="num" val="0.7"/>
        <cfvo type="num" val="1"/>
      </iconSet>
    </cfRule>
    <cfRule type="dataBar" priority="1340">
      <dataBar>
        <cfvo type="num" val="0"/>
        <cfvo type="num" val="1"/>
        <color theme="4" tint="0.79998168889431442"/>
      </dataBar>
      <extLst>
        <ext xmlns:x14="http://schemas.microsoft.com/office/spreadsheetml/2009/9/main" uri="{B025F937-C7B1-47D3-B67F-A62EFF666E3E}">
          <x14:id>{FA885BA0-F3CF-473B-8EB4-6BD1DA5723CE}</x14:id>
        </ext>
      </extLst>
    </cfRule>
  </conditionalFormatting>
  <conditionalFormatting sqref="AA14:AC15 AF1087:AF3515">
    <cfRule type="cellIs" dxfId="839" priority="1338" operator="lessThan">
      <formula>0</formula>
    </cfRule>
  </conditionalFormatting>
  <conditionalFormatting sqref="AD10">
    <cfRule type="iconSet" priority="1336">
      <iconSet iconSet="3Arrows">
        <cfvo type="percent" val="0"/>
        <cfvo type="num" val="0.7"/>
        <cfvo type="num" val="1"/>
      </iconSet>
    </cfRule>
    <cfRule type="dataBar" priority="1337">
      <dataBar>
        <cfvo type="num" val="0"/>
        <cfvo type="num" val="1"/>
        <color theme="4" tint="0.79998168889431442"/>
      </dataBar>
      <extLst>
        <ext xmlns:x14="http://schemas.microsoft.com/office/spreadsheetml/2009/9/main" uri="{B025F937-C7B1-47D3-B67F-A62EFF666E3E}">
          <x14:id>{01161941-D34A-44C6-A936-517B1580AA82}</x14:id>
        </ext>
      </extLst>
    </cfRule>
  </conditionalFormatting>
  <conditionalFormatting sqref="AD14">
    <cfRule type="iconSet" priority="1334">
      <iconSet iconSet="3Arrows">
        <cfvo type="percent" val="0"/>
        <cfvo type="num" val="0.7"/>
        <cfvo type="num" val="1"/>
      </iconSet>
    </cfRule>
    <cfRule type="dataBar" priority="1335">
      <dataBar>
        <cfvo type="num" val="0"/>
        <cfvo type="num" val="1"/>
        <color theme="4" tint="0.79998168889431442"/>
      </dataBar>
      <extLst>
        <ext xmlns:x14="http://schemas.microsoft.com/office/spreadsheetml/2009/9/main" uri="{B025F937-C7B1-47D3-B67F-A62EFF666E3E}">
          <x14:id>{E5066AB3-65B6-492F-8B49-F2B4D3E77861}</x14:id>
        </ext>
      </extLst>
    </cfRule>
  </conditionalFormatting>
  <conditionalFormatting sqref="AD16">
    <cfRule type="dataBar" priority="1333">
      <dataBar>
        <cfvo type="num" val="0"/>
        <cfvo type="num" val="1"/>
        <color theme="4" tint="0.79998168889431442"/>
      </dataBar>
      <extLst>
        <ext xmlns:x14="http://schemas.microsoft.com/office/spreadsheetml/2009/9/main" uri="{B025F937-C7B1-47D3-B67F-A62EFF666E3E}">
          <x14:id>{FD7C8C21-6BBF-4997-A481-C0FDCBF767DE}</x14:id>
        </ext>
      </extLst>
    </cfRule>
    <cfRule type="iconSet" priority="1332">
      <iconSet iconSet="3Arrows">
        <cfvo type="percent" val="0"/>
        <cfvo type="num" val="0.7"/>
        <cfvo type="num" val="1"/>
      </iconSet>
    </cfRule>
  </conditionalFormatting>
  <conditionalFormatting sqref="AD18 AD72 AD20 AD22 AD24 AD26 AD28 AD30 AD32 AD34 AD36 AD38 AD40 AD42 AD44 AD46 AD48 AD50 AD52 AD54 AD56 AD58 AD60 AD62 AD64 AD66 AD68">
    <cfRule type="dataBar" priority="1331">
      <dataBar>
        <cfvo type="num" val="0"/>
        <cfvo type="num" val="1"/>
        <color theme="4" tint="0.79998168889431442"/>
      </dataBar>
      <extLst>
        <ext xmlns:x14="http://schemas.microsoft.com/office/spreadsheetml/2009/9/main" uri="{B025F937-C7B1-47D3-B67F-A62EFF666E3E}">
          <x14:id>{910A78CB-C637-4491-8A71-8ED4786658FE}</x14:id>
        </ext>
      </extLst>
    </cfRule>
    <cfRule type="iconSet" priority="1330">
      <iconSet iconSet="3Arrows">
        <cfvo type="percent" val="0"/>
        <cfvo type="num" val="0.7"/>
        <cfvo type="num" val="1"/>
      </iconSet>
    </cfRule>
  </conditionalFormatting>
  <conditionalFormatting sqref="AD70">
    <cfRule type="dataBar" priority="1329">
      <dataBar>
        <cfvo type="num" val="0"/>
        <cfvo type="num" val="1"/>
        <color theme="4" tint="0.79998168889431442"/>
      </dataBar>
      <extLst>
        <ext xmlns:x14="http://schemas.microsoft.com/office/spreadsheetml/2009/9/main" uri="{B025F937-C7B1-47D3-B67F-A62EFF666E3E}">
          <x14:id>{14E88DE9-2E5E-43F1-B6CD-54E89258D8B3}</x14:id>
        </ext>
      </extLst>
    </cfRule>
    <cfRule type="iconSet" priority="1328">
      <iconSet iconSet="3Arrows">
        <cfvo type="percent" val="0"/>
        <cfvo type="num" val="0.7"/>
        <cfvo type="num" val="1"/>
      </iconSet>
    </cfRule>
  </conditionalFormatting>
  <conditionalFormatting sqref="AD74 AD156 AD104 AD106 AD108 AD110 AD112 AD114 AD116 AD118 AD120 AD122 AD124 AD126 AD128 AD130 AD132 AD134 AD136 AD138 AD140 AD142 AD144 AD146 AD148 AD150 AD152 AD154 AD158 AD162">
    <cfRule type="dataBar" priority="1327">
      <dataBar>
        <cfvo type="num" val="0"/>
        <cfvo type="num" val="1"/>
        <color theme="4" tint="0.79998168889431442"/>
      </dataBar>
      <extLst>
        <ext xmlns:x14="http://schemas.microsoft.com/office/spreadsheetml/2009/9/main" uri="{B025F937-C7B1-47D3-B67F-A62EFF666E3E}">
          <x14:id>{3D05A9F9-E69D-4899-8292-AFB99DBD3B72}</x14:id>
        </ext>
      </extLst>
    </cfRule>
    <cfRule type="iconSet" priority="1326">
      <iconSet iconSet="3Arrows">
        <cfvo type="percent" val="0"/>
        <cfvo type="num" val="0.7"/>
        <cfvo type="num" val="1"/>
      </iconSet>
    </cfRule>
  </conditionalFormatting>
  <conditionalFormatting sqref="AD76">
    <cfRule type="dataBar" priority="1325">
      <dataBar>
        <cfvo type="num" val="0"/>
        <cfvo type="num" val="1"/>
        <color theme="4" tint="0.79998168889431442"/>
      </dataBar>
      <extLst>
        <ext xmlns:x14="http://schemas.microsoft.com/office/spreadsheetml/2009/9/main" uri="{B025F937-C7B1-47D3-B67F-A62EFF666E3E}">
          <x14:id>{E8662BC8-BFA5-4211-8C88-831ABF74084B}</x14:id>
        </ext>
      </extLst>
    </cfRule>
    <cfRule type="iconSet" priority="1324">
      <iconSet iconSet="3Arrows">
        <cfvo type="percent" val="0"/>
        <cfvo type="num" val="0.7"/>
        <cfvo type="num" val="1"/>
      </iconSet>
    </cfRule>
  </conditionalFormatting>
  <conditionalFormatting sqref="AD78">
    <cfRule type="dataBar" priority="1323">
      <dataBar>
        <cfvo type="num" val="0"/>
        <cfvo type="num" val="1"/>
        <color theme="4" tint="0.79998168889431442"/>
      </dataBar>
      <extLst>
        <ext xmlns:x14="http://schemas.microsoft.com/office/spreadsheetml/2009/9/main" uri="{B025F937-C7B1-47D3-B67F-A62EFF666E3E}">
          <x14:id>{1AECC507-BBD1-4625-81BC-AE6B2BCCE78F}</x14:id>
        </ext>
      </extLst>
    </cfRule>
    <cfRule type="iconSet" priority="1322">
      <iconSet iconSet="3Arrows">
        <cfvo type="percent" val="0"/>
        <cfvo type="num" val="0.7"/>
        <cfvo type="num" val="1"/>
      </iconSet>
    </cfRule>
  </conditionalFormatting>
  <conditionalFormatting sqref="AD80">
    <cfRule type="dataBar" priority="1321">
      <dataBar>
        <cfvo type="num" val="0"/>
        <cfvo type="num" val="1"/>
        <color theme="4" tint="0.79998168889431442"/>
      </dataBar>
      <extLst>
        <ext xmlns:x14="http://schemas.microsoft.com/office/spreadsheetml/2009/9/main" uri="{B025F937-C7B1-47D3-B67F-A62EFF666E3E}">
          <x14:id>{6ADCBE1E-B153-4335-9B62-EBD47A11DDC4}</x14:id>
        </ext>
      </extLst>
    </cfRule>
    <cfRule type="iconSet" priority="1320">
      <iconSet iconSet="3Arrows">
        <cfvo type="percent" val="0"/>
        <cfvo type="num" val="0.7"/>
        <cfvo type="num" val="1"/>
      </iconSet>
    </cfRule>
  </conditionalFormatting>
  <conditionalFormatting sqref="AD82">
    <cfRule type="iconSet" priority="1318">
      <iconSet iconSet="3Arrows">
        <cfvo type="percent" val="0"/>
        <cfvo type="num" val="0.7"/>
        <cfvo type="num" val="1"/>
      </iconSet>
    </cfRule>
    <cfRule type="dataBar" priority="1319">
      <dataBar>
        <cfvo type="num" val="0"/>
        <cfvo type="num" val="1"/>
        <color theme="4" tint="0.79998168889431442"/>
      </dataBar>
      <extLst>
        <ext xmlns:x14="http://schemas.microsoft.com/office/spreadsheetml/2009/9/main" uri="{B025F937-C7B1-47D3-B67F-A62EFF666E3E}">
          <x14:id>{E5D9A6FF-7AFE-41E2-85A6-99E6737FD602}</x14:id>
        </ext>
      </extLst>
    </cfRule>
  </conditionalFormatting>
  <conditionalFormatting sqref="AD84">
    <cfRule type="dataBar" priority="1317">
      <dataBar>
        <cfvo type="num" val="0"/>
        <cfvo type="num" val="1"/>
        <color theme="4" tint="0.79998168889431442"/>
      </dataBar>
      <extLst>
        <ext xmlns:x14="http://schemas.microsoft.com/office/spreadsheetml/2009/9/main" uri="{B025F937-C7B1-47D3-B67F-A62EFF666E3E}">
          <x14:id>{E301A871-3285-41FA-B441-A6B0CCCE9B1A}</x14:id>
        </ext>
      </extLst>
    </cfRule>
    <cfRule type="iconSet" priority="1316">
      <iconSet iconSet="3Arrows">
        <cfvo type="percent" val="0"/>
        <cfvo type="num" val="0.7"/>
        <cfvo type="num" val="1"/>
      </iconSet>
    </cfRule>
  </conditionalFormatting>
  <conditionalFormatting sqref="AD86">
    <cfRule type="iconSet" priority="1314">
      <iconSet iconSet="3Arrows">
        <cfvo type="percent" val="0"/>
        <cfvo type="num" val="0.7"/>
        <cfvo type="num" val="1"/>
      </iconSet>
    </cfRule>
    <cfRule type="dataBar" priority="1315">
      <dataBar>
        <cfvo type="num" val="0"/>
        <cfvo type="num" val="1"/>
        <color theme="4" tint="0.79998168889431442"/>
      </dataBar>
      <extLst>
        <ext xmlns:x14="http://schemas.microsoft.com/office/spreadsheetml/2009/9/main" uri="{B025F937-C7B1-47D3-B67F-A62EFF666E3E}">
          <x14:id>{B9E5EFB4-955F-4A23-BBB9-3FC7FE17EB9A}</x14:id>
        </ext>
      </extLst>
    </cfRule>
  </conditionalFormatting>
  <conditionalFormatting sqref="AD88">
    <cfRule type="dataBar" priority="1313">
      <dataBar>
        <cfvo type="num" val="0"/>
        <cfvo type="num" val="1"/>
        <color theme="4" tint="0.79998168889431442"/>
      </dataBar>
      <extLst>
        <ext xmlns:x14="http://schemas.microsoft.com/office/spreadsheetml/2009/9/main" uri="{B025F937-C7B1-47D3-B67F-A62EFF666E3E}">
          <x14:id>{C1077203-4990-4D3C-9C67-39759A6E1D7E}</x14:id>
        </ext>
      </extLst>
    </cfRule>
    <cfRule type="iconSet" priority="1312">
      <iconSet iconSet="3Arrows">
        <cfvo type="percent" val="0"/>
        <cfvo type="num" val="0.7"/>
        <cfvo type="num" val="1"/>
      </iconSet>
    </cfRule>
  </conditionalFormatting>
  <conditionalFormatting sqref="AD90">
    <cfRule type="dataBar" priority="1311">
      <dataBar>
        <cfvo type="num" val="0"/>
        <cfvo type="num" val="1"/>
        <color theme="4" tint="0.79998168889431442"/>
      </dataBar>
      <extLst>
        <ext xmlns:x14="http://schemas.microsoft.com/office/spreadsheetml/2009/9/main" uri="{B025F937-C7B1-47D3-B67F-A62EFF666E3E}">
          <x14:id>{0394FD5B-3D80-4AAB-820B-BB69A189EFF5}</x14:id>
        </ext>
      </extLst>
    </cfRule>
    <cfRule type="iconSet" priority="1310">
      <iconSet iconSet="3Arrows">
        <cfvo type="percent" val="0"/>
        <cfvo type="num" val="0.7"/>
        <cfvo type="num" val="1"/>
      </iconSet>
    </cfRule>
  </conditionalFormatting>
  <conditionalFormatting sqref="AD92">
    <cfRule type="dataBar" priority="1309">
      <dataBar>
        <cfvo type="num" val="0"/>
        <cfvo type="num" val="1"/>
        <color theme="4" tint="0.79998168889431442"/>
      </dataBar>
      <extLst>
        <ext xmlns:x14="http://schemas.microsoft.com/office/spreadsheetml/2009/9/main" uri="{B025F937-C7B1-47D3-B67F-A62EFF666E3E}">
          <x14:id>{B5D40478-A958-44F8-961E-BDA6EDBDA1C7}</x14:id>
        </ext>
      </extLst>
    </cfRule>
    <cfRule type="iconSet" priority="1308">
      <iconSet iconSet="3Arrows">
        <cfvo type="percent" val="0"/>
        <cfvo type="num" val="0.7"/>
        <cfvo type="num" val="1"/>
      </iconSet>
    </cfRule>
  </conditionalFormatting>
  <conditionalFormatting sqref="AD94">
    <cfRule type="iconSet" priority="1306">
      <iconSet iconSet="3Arrows">
        <cfvo type="percent" val="0"/>
        <cfvo type="num" val="0.7"/>
        <cfvo type="num" val="1"/>
      </iconSet>
    </cfRule>
    <cfRule type="dataBar" priority="1307">
      <dataBar>
        <cfvo type="num" val="0"/>
        <cfvo type="num" val="1"/>
        <color theme="4" tint="0.79998168889431442"/>
      </dataBar>
      <extLst>
        <ext xmlns:x14="http://schemas.microsoft.com/office/spreadsheetml/2009/9/main" uri="{B025F937-C7B1-47D3-B67F-A62EFF666E3E}">
          <x14:id>{C303AA53-4A1A-466E-A916-40673253979C}</x14:id>
        </ext>
      </extLst>
    </cfRule>
  </conditionalFormatting>
  <conditionalFormatting sqref="AD96">
    <cfRule type="dataBar" priority="1305">
      <dataBar>
        <cfvo type="num" val="0"/>
        <cfvo type="num" val="1"/>
        <color theme="4" tint="0.79998168889431442"/>
      </dataBar>
      <extLst>
        <ext xmlns:x14="http://schemas.microsoft.com/office/spreadsheetml/2009/9/main" uri="{B025F937-C7B1-47D3-B67F-A62EFF666E3E}">
          <x14:id>{1A9FA727-F24E-4ACD-A9F6-16966CF55E05}</x14:id>
        </ext>
      </extLst>
    </cfRule>
    <cfRule type="iconSet" priority="1304">
      <iconSet iconSet="3Arrows">
        <cfvo type="percent" val="0"/>
        <cfvo type="num" val="0.7"/>
        <cfvo type="num" val="1"/>
      </iconSet>
    </cfRule>
  </conditionalFormatting>
  <conditionalFormatting sqref="AD98">
    <cfRule type="dataBar" priority="1303">
      <dataBar>
        <cfvo type="num" val="0"/>
        <cfvo type="num" val="1"/>
        <color theme="4" tint="0.79998168889431442"/>
      </dataBar>
      <extLst>
        <ext xmlns:x14="http://schemas.microsoft.com/office/spreadsheetml/2009/9/main" uri="{B025F937-C7B1-47D3-B67F-A62EFF666E3E}">
          <x14:id>{C550A7B8-DB97-432E-985A-BE8966FB21A8}</x14:id>
        </ext>
      </extLst>
    </cfRule>
    <cfRule type="iconSet" priority="1302">
      <iconSet iconSet="3Arrows">
        <cfvo type="percent" val="0"/>
        <cfvo type="num" val="0.7"/>
        <cfvo type="num" val="1"/>
      </iconSet>
    </cfRule>
  </conditionalFormatting>
  <conditionalFormatting sqref="AD102">
    <cfRule type="dataBar" priority="1301">
      <dataBar>
        <cfvo type="num" val="0"/>
        <cfvo type="num" val="1"/>
        <color theme="4" tint="0.79998168889431442"/>
      </dataBar>
      <extLst>
        <ext xmlns:x14="http://schemas.microsoft.com/office/spreadsheetml/2009/9/main" uri="{B025F937-C7B1-47D3-B67F-A62EFF666E3E}">
          <x14:id>{6E391B6E-F381-4DC4-83F7-35027E602596}</x14:id>
        </ext>
      </extLst>
    </cfRule>
    <cfRule type="iconSet" priority="1300">
      <iconSet iconSet="3Arrows">
        <cfvo type="percent" val="0"/>
        <cfvo type="num" val="0.7"/>
        <cfvo type="num" val="1"/>
      </iconSet>
    </cfRule>
  </conditionalFormatting>
  <conditionalFormatting sqref="AD160">
    <cfRule type="iconSet" priority="1298">
      <iconSet iconSet="3Arrows">
        <cfvo type="percent" val="0"/>
        <cfvo type="num" val="0.7"/>
        <cfvo type="num" val="1"/>
      </iconSet>
    </cfRule>
    <cfRule type="dataBar" priority="1299">
      <dataBar>
        <cfvo type="num" val="0"/>
        <cfvo type="num" val="1"/>
        <color theme="4" tint="0.79998168889431442"/>
      </dataBar>
      <extLst>
        <ext xmlns:x14="http://schemas.microsoft.com/office/spreadsheetml/2009/9/main" uri="{B025F937-C7B1-47D3-B67F-A62EFF666E3E}">
          <x14:id>{E7A3292C-EEFA-4E1B-9272-4CFFBB5432D2}</x14:id>
        </ext>
      </extLst>
    </cfRule>
  </conditionalFormatting>
  <conditionalFormatting sqref="AD164">
    <cfRule type="dataBar" priority="1297">
      <dataBar>
        <cfvo type="num" val="0"/>
        <cfvo type="num" val="1"/>
        <color theme="4" tint="0.79998168889431442"/>
      </dataBar>
      <extLst>
        <ext xmlns:x14="http://schemas.microsoft.com/office/spreadsheetml/2009/9/main" uri="{B025F937-C7B1-47D3-B67F-A62EFF666E3E}">
          <x14:id>{28B37515-99DC-42C7-93DE-BD0F780AE6E0}</x14:id>
        </ext>
      </extLst>
    </cfRule>
    <cfRule type="iconSet" priority="1296">
      <iconSet iconSet="3Arrows">
        <cfvo type="percent" val="0"/>
        <cfvo type="num" val="0.7"/>
        <cfvo type="num" val="1"/>
      </iconSet>
    </cfRule>
  </conditionalFormatting>
  <conditionalFormatting sqref="AD166">
    <cfRule type="iconSet" priority="1294">
      <iconSet iconSet="3Arrows">
        <cfvo type="percent" val="0"/>
        <cfvo type="num" val="0.7"/>
        <cfvo type="num" val="1"/>
      </iconSet>
    </cfRule>
    <cfRule type="dataBar" priority="1295">
      <dataBar>
        <cfvo type="num" val="0"/>
        <cfvo type="num" val="1"/>
        <color theme="4" tint="0.79998168889431442"/>
      </dataBar>
      <extLst>
        <ext xmlns:x14="http://schemas.microsoft.com/office/spreadsheetml/2009/9/main" uri="{B025F937-C7B1-47D3-B67F-A62EFF666E3E}">
          <x14:id>{CA5E4991-5C4E-4CCE-A329-C58B347598CF}</x14:id>
        </ext>
      </extLst>
    </cfRule>
  </conditionalFormatting>
  <conditionalFormatting sqref="AD168">
    <cfRule type="iconSet" priority="1292">
      <iconSet iconSet="3Arrows">
        <cfvo type="percent" val="0"/>
        <cfvo type="num" val="0.7"/>
        <cfvo type="num" val="1"/>
      </iconSet>
    </cfRule>
    <cfRule type="dataBar" priority="1293">
      <dataBar>
        <cfvo type="num" val="0"/>
        <cfvo type="num" val="1"/>
        <color theme="4" tint="0.79998168889431442"/>
      </dataBar>
      <extLst>
        <ext xmlns:x14="http://schemas.microsoft.com/office/spreadsheetml/2009/9/main" uri="{B025F937-C7B1-47D3-B67F-A62EFF666E3E}">
          <x14:id>{98F4AAA2-C24E-44E5-82B6-B508FD72A4F9}</x14:id>
        </ext>
      </extLst>
    </cfRule>
  </conditionalFormatting>
  <conditionalFormatting sqref="AD170">
    <cfRule type="dataBar" priority="1291">
      <dataBar>
        <cfvo type="num" val="0"/>
        <cfvo type="num" val="1"/>
        <color theme="4" tint="0.79998168889431442"/>
      </dataBar>
      <extLst>
        <ext xmlns:x14="http://schemas.microsoft.com/office/spreadsheetml/2009/9/main" uri="{B025F937-C7B1-47D3-B67F-A62EFF666E3E}">
          <x14:id>{F216E675-2BE0-4627-9E68-310E8CE03EBC}</x14:id>
        </ext>
      </extLst>
    </cfRule>
    <cfRule type="iconSet" priority="1290">
      <iconSet iconSet="3Arrows">
        <cfvo type="percent" val="0"/>
        <cfvo type="num" val="0.7"/>
        <cfvo type="num" val="1"/>
      </iconSet>
    </cfRule>
  </conditionalFormatting>
  <conditionalFormatting sqref="AD172">
    <cfRule type="dataBar" priority="1289">
      <dataBar>
        <cfvo type="num" val="0"/>
        <cfvo type="num" val="1"/>
        <color theme="4" tint="0.79998168889431442"/>
      </dataBar>
      <extLst>
        <ext xmlns:x14="http://schemas.microsoft.com/office/spreadsheetml/2009/9/main" uri="{B025F937-C7B1-47D3-B67F-A62EFF666E3E}">
          <x14:id>{2F80F9E7-70D8-42C6-A7EF-E833DBE0B15B}</x14:id>
        </ext>
      </extLst>
    </cfRule>
    <cfRule type="iconSet" priority="1288">
      <iconSet iconSet="3Arrows">
        <cfvo type="percent" val="0"/>
        <cfvo type="num" val="0.7"/>
        <cfvo type="num" val="1"/>
      </iconSet>
    </cfRule>
  </conditionalFormatting>
  <conditionalFormatting sqref="AD176">
    <cfRule type="dataBar" priority="1287">
      <dataBar>
        <cfvo type="num" val="0"/>
        <cfvo type="num" val="1"/>
        <color theme="4" tint="0.79998168889431442"/>
      </dataBar>
      <extLst>
        <ext xmlns:x14="http://schemas.microsoft.com/office/spreadsheetml/2009/9/main" uri="{B025F937-C7B1-47D3-B67F-A62EFF666E3E}">
          <x14:id>{CDF4E37C-464E-4E7E-BFC9-032C5F36C57E}</x14:id>
        </ext>
      </extLst>
    </cfRule>
    <cfRule type="iconSet" priority="1286">
      <iconSet iconSet="3Arrows">
        <cfvo type="percent" val="0"/>
        <cfvo type="num" val="0.7"/>
        <cfvo type="num" val="1"/>
      </iconSet>
    </cfRule>
  </conditionalFormatting>
  <conditionalFormatting sqref="AD196 AD178 AD180 AD182 AD184 AD186 AD188 AD190 AD192 AD194 AD198 AD200 AD202 AD204">
    <cfRule type="iconSet" priority="1284">
      <iconSet iconSet="3Arrows">
        <cfvo type="percent" val="0"/>
        <cfvo type="num" val="0.7"/>
        <cfvo type="num" val="1"/>
      </iconSet>
    </cfRule>
    <cfRule type="dataBar" priority="1285">
      <dataBar>
        <cfvo type="num" val="0"/>
        <cfvo type="num" val="1"/>
        <color theme="4" tint="0.79998168889431442"/>
      </dataBar>
      <extLst>
        <ext xmlns:x14="http://schemas.microsoft.com/office/spreadsheetml/2009/9/main" uri="{B025F937-C7B1-47D3-B67F-A62EFF666E3E}">
          <x14:id>{310F9369-67F4-4F3B-8F37-28DEA27AC462}</x14:id>
        </ext>
      </extLst>
    </cfRule>
  </conditionalFormatting>
  <conditionalFormatting sqref="AD206">
    <cfRule type="dataBar" priority="1283">
      <dataBar>
        <cfvo type="num" val="0"/>
        <cfvo type="num" val="1"/>
        <color theme="4" tint="0.79998168889431442"/>
      </dataBar>
      <extLst>
        <ext xmlns:x14="http://schemas.microsoft.com/office/spreadsheetml/2009/9/main" uri="{B025F937-C7B1-47D3-B67F-A62EFF666E3E}">
          <x14:id>{2CEB4273-B7F5-48B5-A4FC-A107B25723BD}</x14:id>
        </ext>
      </extLst>
    </cfRule>
    <cfRule type="iconSet" priority="1282">
      <iconSet iconSet="3Arrows">
        <cfvo type="percent" val="0"/>
        <cfvo type="num" val="0.7"/>
        <cfvo type="num" val="1"/>
      </iconSet>
    </cfRule>
  </conditionalFormatting>
  <conditionalFormatting sqref="AD208">
    <cfRule type="dataBar" priority="1281">
      <dataBar>
        <cfvo type="num" val="0"/>
        <cfvo type="num" val="1"/>
        <color theme="4" tint="0.79998168889431442"/>
      </dataBar>
      <extLst>
        <ext xmlns:x14="http://schemas.microsoft.com/office/spreadsheetml/2009/9/main" uri="{B025F937-C7B1-47D3-B67F-A62EFF666E3E}">
          <x14:id>{D7567200-5D13-451B-8DD0-58B4199F61A2}</x14:id>
        </ext>
      </extLst>
    </cfRule>
    <cfRule type="iconSet" priority="1280">
      <iconSet iconSet="3Arrows">
        <cfvo type="percent" val="0"/>
        <cfvo type="num" val="0.7"/>
        <cfvo type="num" val="1"/>
      </iconSet>
    </cfRule>
  </conditionalFormatting>
  <conditionalFormatting sqref="AD210">
    <cfRule type="dataBar" priority="1279">
      <dataBar>
        <cfvo type="num" val="0"/>
        <cfvo type="num" val="1"/>
        <color theme="4" tint="0.79998168889431442"/>
      </dataBar>
      <extLst>
        <ext xmlns:x14="http://schemas.microsoft.com/office/spreadsheetml/2009/9/main" uri="{B025F937-C7B1-47D3-B67F-A62EFF666E3E}">
          <x14:id>{B0931B26-9361-4EA6-984A-5907BCF6821C}</x14:id>
        </ext>
      </extLst>
    </cfRule>
    <cfRule type="iconSet" priority="1278">
      <iconSet iconSet="3Arrows">
        <cfvo type="percent" val="0"/>
        <cfvo type="num" val="0.7"/>
        <cfvo type="num" val="1"/>
      </iconSet>
    </cfRule>
  </conditionalFormatting>
  <conditionalFormatting sqref="AD212">
    <cfRule type="dataBar" priority="1277">
      <dataBar>
        <cfvo type="num" val="0"/>
        <cfvo type="num" val="1"/>
        <color theme="4" tint="0.79998168889431442"/>
      </dataBar>
      <extLst>
        <ext xmlns:x14="http://schemas.microsoft.com/office/spreadsheetml/2009/9/main" uri="{B025F937-C7B1-47D3-B67F-A62EFF666E3E}">
          <x14:id>{8664CA38-1B59-4387-B708-69B0DB6234E8}</x14:id>
        </ext>
      </extLst>
    </cfRule>
    <cfRule type="iconSet" priority="1276">
      <iconSet iconSet="3Arrows">
        <cfvo type="percent" val="0"/>
        <cfvo type="num" val="0.7"/>
        <cfvo type="num" val="1"/>
      </iconSet>
    </cfRule>
  </conditionalFormatting>
  <conditionalFormatting sqref="AD214">
    <cfRule type="dataBar" priority="1275">
      <dataBar>
        <cfvo type="num" val="0"/>
        <cfvo type="num" val="1"/>
        <color theme="4" tint="0.79998168889431442"/>
      </dataBar>
      <extLst>
        <ext xmlns:x14="http://schemas.microsoft.com/office/spreadsheetml/2009/9/main" uri="{B025F937-C7B1-47D3-B67F-A62EFF666E3E}">
          <x14:id>{14556FD5-2C27-4041-9DB2-7D2E0D7AE207}</x14:id>
        </ext>
      </extLst>
    </cfRule>
    <cfRule type="iconSet" priority="1274">
      <iconSet iconSet="3Arrows">
        <cfvo type="percent" val="0"/>
        <cfvo type="num" val="0.7"/>
        <cfvo type="num" val="1"/>
      </iconSet>
    </cfRule>
  </conditionalFormatting>
  <conditionalFormatting sqref="AD216">
    <cfRule type="dataBar" priority="1273">
      <dataBar>
        <cfvo type="num" val="0"/>
        <cfvo type="num" val="1"/>
        <color theme="4" tint="0.79998168889431442"/>
      </dataBar>
      <extLst>
        <ext xmlns:x14="http://schemas.microsoft.com/office/spreadsheetml/2009/9/main" uri="{B025F937-C7B1-47D3-B67F-A62EFF666E3E}">
          <x14:id>{75C3D431-68DD-477C-B02A-FBF49E1FEB3C}</x14:id>
        </ext>
      </extLst>
    </cfRule>
    <cfRule type="iconSet" priority="1272">
      <iconSet iconSet="3Arrows">
        <cfvo type="percent" val="0"/>
        <cfvo type="num" val="0.7"/>
        <cfvo type="num" val="1"/>
      </iconSet>
    </cfRule>
  </conditionalFormatting>
  <conditionalFormatting sqref="AD218">
    <cfRule type="dataBar" priority="1271">
      <dataBar>
        <cfvo type="num" val="0"/>
        <cfvo type="num" val="1"/>
        <color theme="4" tint="0.79998168889431442"/>
      </dataBar>
      <extLst>
        <ext xmlns:x14="http://schemas.microsoft.com/office/spreadsheetml/2009/9/main" uri="{B025F937-C7B1-47D3-B67F-A62EFF666E3E}">
          <x14:id>{796481A1-1F0A-4061-A2D1-62B6A97920BB}</x14:id>
        </ext>
      </extLst>
    </cfRule>
    <cfRule type="iconSet" priority="1270">
      <iconSet iconSet="3Arrows">
        <cfvo type="percent" val="0"/>
        <cfvo type="num" val="0.7"/>
        <cfvo type="num" val="1"/>
      </iconSet>
    </cfRule>
  </conditionalFormatting>
  <conditionalFormatting sqref="AD220">
    <cfRule type="iconSet" priority="1268">
      <iconSet iconSet="3Arrows">
        <cfvo type="percent" val="0"/>
        <cfvo type="num" val="0.7"/>
        <cfvo type="num" val="1"/>
      </iconSet>
    </cfRule>
    <cfRule type="dataBar" priority="1269">
      <dataBar>
        <cfvo type="num" val="0"/>
        <cfvo type="num" val="1"/>
        <color theme="4" tint="0.79998168889431442"/>
      </dataBar>
      <extLst>
        <ext xmlns:x14="http://schemas.microsoft.com/office/spreadsheetml/2009/9/main" uri="{B025F937-C7B1-47D3-B67F-A62EFF666E3E}">
          <x14:id>{4704505E-0290-4C94-A16D-884B43A60096}</x14:id>
        </ext>
      </extLst>
    </cfRule>
  </conditionalFormatting>
  <conditionalFormatting sqref="AD222">
    <cfRule type="dataBar" priority="1267">
      <dataBar>
        <cfvo type="num" val="0"/>
        <cfvo type="num" val="1"/>
        <color theme="4" tint="0.79998168889431442"/>
      </dataBar>
      <extLst>
        <ext xmlns:x14="http://schemas.microsoft.com/office/spreadsheetml/2009/9/main" uri="{B025F937-C7B1-47D3-B67F-A62EFF666E3E}">
          <x14:id>{64D2BC8B-A71F-4784-B560-48A573F6F41E}</x14:id>
        </ext>
      </extLst>
    </cfRule>
    <cfRule type="iconSet" priority="1266">
      <iconSet iconSet="3Arrows">
        <cfvo type="percent" val="0"/>
        <cfvo type="num" val="0.7"/>
        <cfvo type="num" val="1"/>
      </iconSet>
    </cfRule>
  </conditionalFormatting>
  <conditionalFormatting sqref="AD224">
    <cfRule type="iconSet" priority="1264">
      <iconSet iconSet="3Arrows">
        <cfvo type="percent" val="0"/>
        <cfvo type="num" val="0.7"/>
        <cfvo type="num" val="1"/>
      </iconSet>
    </cfRule>
    <cfRule type="dataBar" priority="1265">
      <dataBar>
        <cfvo type="num" val="0"/>
        <cfvo type="num" val="1"/>
        <color theme="4" tint="0.79998168889431442"/>
      </dataBar>
      <extLst>
        <ext xmlns:x14="http://schemas.microsoft.com/office/spreadsheetml/2009/9/main" uri="{B025F937-C7B1-47D3-B67F-A62EFF666E3E}">
          <x14:id>{9B70DCE0-1544-45CA-B1B5-4E44F3041DCB}</x14:id>
        </ext>
      </extLst>
    </cfRule>
  </conditionalFormatting>
  <conditionalFormatting sqref="AD226">
    <cfRule type="dataBar" priority="1263">
      <dataBar>
        <cfvo type="num" val="0"/>
        <cfvo type="num" val="1"/>
        <color theme="4" tint="0.79998168889431442"/>
      </dataBar>
      <extLst>
        <ext xmlns:x14="http://schemas.microsoft.com/office/spreadsheetml/2009/9/main" uri="{B025F937-C7B1-47D3-B67F-A62EFF666E3E}">
          <x14:id>{5D8C812C-DA24-4EA0-9E2C-2D916646AA8C}</x14:id>
        </ext>
      </extLst>
    </cfRule>
    <cfRule type="iconSet" priority="1262">
      <iconSet iconSet="3Arrows">
        <cfvo type="percent" val="0"/>
        <cfvo type="num" val="0.7"/>
        <cfvo type="num" val="1"/>
      </iconSet>
    </cfRule>
  </conditionalFormatting>
  <conditionalFormatting sqref="AD228">
    <cfRule type="dataBar" priority="1261">
      <dataBar>
        <cfvo type="num" val="0"/>
        <cfvo type="num" val="1"/>
        <color theme="4" tint="0.79998168889431442"/>
      </dataBar>
      <extLst>
        <ext xmlns:x14="http://schemas.microsoft.com/office/spreadsheetml/2009/9/main" uri="{B025F937-C7B1-47D3-B67F-A62EFF666E3E}">
          <x14:id>{1896E702-E79B-464A-8C14-2F26E3D9CFC4}</x14:id>
        </ext>
      </extLst>
    </cfRule>
    <cfRule type="iconSet" priority="1260">
      <iconSet iconSet="3Arrows">
        <cfvo type="percent" val="0"/>
        <cfvo type="num" val="0.7"/>
        <cfvo type="num" val="1"/>
      </iconSet>
    </cfRule>
  </conditionalFormatting>
  <conditionalFormatting sqref="AD232">
    <cfRule type="dataBar" priority="1259">
      <dataBar>
        <cfvo type="num" val="0"/>
        <cfvo type="num" val="1"/>
        <color theme="4" tint="0.79998168889431442"/>
      </dataBar>
      <extLst>
        <ext xmlns:x14="http://schemas.microsoft.com/office/spreadsheetml/2009/9/main" uri="{B025F937-C7B1-47D3-B67F-A62EFF666E3E}">
          <x14:id>{558CF5A7-DBB0-4FB8-8F2F-26CB418CE672}</x14:id>
        </ext>
      </extLst>
    </cfRule>
    <cfRule type="iconSet" priority="1258">
      <iconSet iconSet="3Arrows">
        <cfvo type="percent" val="0"/>
        <cfvo type="num" val="0.7"/>
        <cfvo type="num" val="1"/>
      </iconSet>
    </cfRule>
  </conditionalFormatting>
  <conditionalFormatting sqref="AD234 AD282 AD284 AD236 AD238 AD240 AD242 AD244 AD246 AD248 AD250 AD252 AD254 AD256 AD258 AD260 AD262 AD264 AD266 AD268 AD270 AD272 AD274 AD276 AD278 AD280">
    <cfRule type="dataBar" priority="1257">
      <dataBar>
        <cfvo type="num" val="0"/>
        <cfvo type="num" val="1"/>
        <color theme="4" tint="0.79998168889431442"/>
      </dataBar>
      <extLst>
        <ext xmlns:x14="http://schemas.microsoft.com/office/spreadsheetml/2009/9/main" uri="{B025F937-C7B1-47D3-B67F-A62EFF666E3E}">
          <x14:id>{E1E31234-3C0C-43AA-8288-B0D385BAF03B}</x14:id>
        </ext>
      </extLst>
    </cfRule>
    <cfRule type="iconSet" priority="1256">
      <iconSet iconSet="3Arrows">
        <cfvo type="percent" val="0"/>
        <cfvo type="num" val="0.7"/>
        <cfvo type="num" val="1"/>
      </iconSet>
    </cfRule>
  </conditionalFormatting>
  <conditionalFormatting sqref="AD286">
    <cfRule type="dataBar" priority="1255">
      <dataBar>
        <cfvo type="num" val="0"/>
        <cfvo type="num" val="1"/>
        <color theme="4" tint="0.79998168889431442"/>
      </dataBar>
      <extLst>
        <ext xmlns:x14="http://schemas.microsoft.com/office/spreadsheetml/2009/9/main" uri="{B025F937-C7B1-47D3-B67F-A62EFF666E3E}">
          <x14:id>{F3EFDE5A-1794-41C2-948F-97340BB10844}</x14:id>
        </ext>
      </extLst>
    </cfRule>
    <cfRule type="iconSet" priority="1254">
      <iconSet iconSet="3Arrows">
        <cfvo type="percent" val="0"/>
        <cfvo type="num" val="0.7"/>
        <cfvo type="num" val="1"/>
      </iconSet>
    </cfRule>
  </conditionalFormatting>
  <conditionalFormatting sqref="AD288">
    <cfRule type="dataBar" priority="1253">
      <dataBar>
        <cfvo type="num" val="0"/>
        <cfvo type="num" val="1"/>
        <color theme="4" tint="0.79998168889431442"/>
      </dataBar>
      <extLst>
        <ext xmlns:x14="http://schemas.microsoft.com/office/spreadsheetml/2009/9/main" uri="{B025F937-C7B1-47D3-B67F-A62EFF666E3E}">
          <x14:id>{AB9D2B4A-5796-4D19-8E39-81C51C23A629}</x14:id>
        </ext>
      </extLst>
    </cfRule>
    <cfRule type="iconSet" priority="1252">
      <iconSet iconSet="3Arrows">
        <cfvo type="percent" val="0"/>
        <cfvo type="num" val="0.7"/>
        <cfvo type="num" val="1"/>
      </iconSet>
    </cfRule>
  </conditionalFormatting>
  <conditionalFormatting sqref="AD290">
    <cfRule type="dataBar" priority="1251">
      <dataBar>
        <cfvo type="num" val="0"/>
        <cfvo type="num" val="1"/>
        <color theme="4" tint="0.79998168889431442"/>
      </dataBar>
      <extLst>
        <ext xmlns:x14="http://schemas.microsoft.com/office/spreadsheetml/2009/9/main" uri="{B025F937-C7B1-47D3-B67F-A62EFF666E3E}">
          <x14:id>{A3AFC85C-02A6-4ACA-864B-38AF141DA260}</x14:id>
        </ext>
      </extLst>
    </cfRule>
    <cfRule type="iconSet" priority="1250">
      <iconSet iconSet="3Arrows">
        <cfvo type="percent" val="0"/>
        <cfvo type="num" val="0.7"/>
        <cfvo type="num" val="1"/>
      </iconSet>
    </cfRule>
  </conditionalFormatting>
  <conditionalFormatting sqref="AD292">
    <cfRule type="dataBar" priority="1249">
      <dataBar>
        <cfvo type="num" val="0"/>
        <cfvo type="num" val="1"/>
        <color theme="4" tint="0.79998168889431442"/>
      </dataBar>
      <extLst>
        <ext xmlns:x14="http://schemas.microsoft.com/office/spreadsheetml/2009/9/main" uri="{B025F937-C7B1-47D3-B67F-A62EFF666E3E}">
          <x14:id>{8FE688A2-1CB0-4AD1-A089-25F827F21C36}</x14:id>
        </ext>
      </extLst>
    </cfRule>
    <cfRule type="iconSet" priority="1248">
      <iconSet iconSet="3Arrows">
        <cfvo type="percent" val="0"/>
        <cfvo type="num" val="0.7"/>
        <cfvo type="num" val="1"/>
      </iconSet>
    </cfRule>
  </conditionalFormatting>
  <conditionalFormatting sqref="AD294">
    <cfRule type="dataBar" priority="1247">
      <dataBar>
        <cfvo type="num" val="0"/>
        <cfvo type="num" val="1"/>
        <color theme="4" tint="0.79998168889431442"/>
      </dataBar>
      <extLst>
        <ext xmlns:x14="http://schemas.microsoft.com/office/spreadsheetml/2009/9/main" uri="{B025F937-C7B1-47D3-B67F-A62EFF666E3E}">
          <x14:id>{D9AB9016-16B8-4E53-8A23-668EEFAE3ED7}</x14:id>
        </ext>
      </extLst>
    </cfRule>
    <cfRule type="iconSet" priority="1246">
      <iconSet iconSet="3Arrows">
        <cfvo type="percent" val="0"/>
        <cfvo type="num" val="0.7"/>
        <cfvo type="num" val="1"/>
      </iconSet>
    </cfRule>
  </conditionalFormatting>
  <conditionalFormatting sqref="AD296">
    <cfRule type="dataBar" priority="1245">
      <dataBar>
        <cfvo type="num" val="0"/>
        <cfvo type="num" val="1"/>
        <color theme="4" tint="0.79998168889431442"/>
      </dataBar>
      <extLst>
        <ext xmlns:x14="http://schemas.microsoft.com/office/spreadsheetml/2009/9/main" uri="{B025F937-C7B1-47D3-B67F-A62EFF666E3E}">
          <x14:id>{274C0854-33DE-4F67-824F-169FB8172A29}</x14:id>
        </ext>
      </extLst>
    </cfRule>
    <cfRule type="iconSet" priority="1244">
      <iconSet iconSet="3Arrows">
        <cfvo type="percent" val="0"/>
        <cfvo type="num" val="0.7"/>
        <cfvo type="num" val="1"/>
      </iconSet>
    </cfRule>
  </conditionalFormatting>
  <conditionalFormatting sqref="AD298">
    <cfRule type="iconSet" priority="1242">
      <iconSet iconSet="3Arrows">
        <cfvo type="percent" val="0"/>
        <cfvo type="num" val="0.7"/>
        <cfvo type="num" val="1"/>
      </iconSet>
    </cfRule>
    <cfRule type="dataBar" priority="1243">
      <dataBar>
        <cfvo type="num" val="0"/>
        <cfvo type="num" val="1"/>
        <color theme="4" tint="0.79998168889431442"/>
      </dataBar>
      <extLst>
        <ext xmlns:x14="http://schemas.microsoft.com/office/spreadsheetml/2009/9/main" uri="{B025F937-C7B1-47D3-B67F-A62EFF666E3E}">
          <x14:id>{C5284628-0D8F-49E9-A29A-9CA2CDA6E820}</x14:id>
        </ext>
      </extLst>
    </cfRule>
  </conditionalFormatting>
  <conditionalFormatting sqref="AD300">
    <cfRule type="dataBar" priority="1241">
      <dataBar>
        <cfvo type="num" val="0"/>
        <cfvo type="num" val="1"/>
        <color theme="4" tint="0.79998168889431442"/>
      </dataBar>
      <extLst>
        <ext xmlns:x14="http://schemas.microsoft.com/office/spreadsheetml/2009/9/main" uri="{B025F937-C7B1-47D3-B67F-A62EFF666E3E}">
          <x14:id>{537E8F3E-CFD2-44E5-A1C9-78F347C41192}</x14:id>
        </ext>
      </extLst>
    </cfRule>
    <cfRule type="iconSet" priority="1240">
      <iconSet iconSet="3Arrows">
        <cfvo type="percent" val="0"/>
        <cfvo type="num" val="0.7"/>
        <cfvo type="num" val="1"/>
      </iconSet>
    </cfRule>
  </conditionalFormatting>
  <conditionalFormatting sqref="AD302">
    <cfRule type="dataBar" priority="1239">
      <dataBar>
        <cfvo type="num" val="0"/>
        <cfvo type="num" val="1"/>
        <color theme="4" tint="0.79998168889431442"/>
      </dataBar>
      <extLst>
        <ext xmlns:x14="http://schemas.microsoft.com/office/spreadsheetml/2009/9/main" uri="{B025F937-C7B1-47D3-B67F-A62EFF666E3E}">
          <x14:id>{9FFEF436-159F-4869-85DF-58D2D5DC5396}</x14:id>
        </ext>
      </extLst>
    </cfRule>
    <cfRule type="iconSet" priority="1238">
      <iconSet iconSet="3Arrows">
        <cfvo type="percent" val="0"/>
        <cfvo type="num" val="0.7"/>
        <cfvo type="num" val="1"/>
      </iconSet>
    </cfRule>
  </conditionalFormatting>
  <conditionalFormatting sqref="AD304">
    <cfRule type="dataBar" priority="1237">
      <dataBar>
        <cfvo type="num" val="0"/>
        <cfvo type="num" val="1"/>
        <color theme="4" tint="0.79998168889431442"/>
      </dataBar>
      <extLst>
        <ext xmlns:x14="http://schemas.microsoft.com/office/spreadsheetml/2009/9/main" uri="{B025F937-C7B1-47D3-B67F-A62EFF666E3E}">
          <x14:id>{D6393FBE-1B2A-4B13-9DBA-88905B4D7D4B}</x14:id>
        </ext>
      </extLst>
    </cfRule>
    <cfRule type="iconSet" priority="1236">
      <iconSet iconSet="3Arrows">
        <cfvo type="percent" val="0"/>
        <cfvo type="num" val="0.7"/>
        <cfvo type="num" val="1"/>
      </iconSet>
    </cfRule>
  </conditionalFormatting>
  <conditionalFormatting sqref="AD306">
    <cfRule type="dataBar" priority="1235">
      <dataBar>
        <cfvo type="num" val="0"/>
        <cfvo type="num" val="1"/>
        <color theme="4" tint="0.79998168889431442"/>
      </dataBar>
      <extLst>
        <ext xmlns:x14="http://schemas.microsoft.com/office/spreadsheetml/2009/9/main" uri="{B025F937-C7B1-47D3-B67F-A62EFF666E3E}">
          <x14:id>{B0974DB2-D390-4E97-AFC2-6EA19A2293C9}</x14:id>
        </ext>
      </extLst>
    </cfRule>
    <cfRule type="iconSet" priority="1234">
      <iconSet iconSet="3Arrows">
        <cfvo type="percent" val="0"/>
        <cfvo type="num" val="0.7"/>
        <cfvo type="num" val="1"/>
      </iconSet>
    </cfRule>
  </conditionalFormatting>
  <conditionalFormatting sqref="AD310">
    <cfRule type="dataBar" priority="1233">
      <dataBar>
        <cfvo type="num" val="0"/>
        <cfvo type="num" val="1"/>
        <color theme="4" tint="0.79998168889431442"/>
      </dataBar>
      <extLst>
        <ext xmlns:x14="http://schemas.microsoft.com/office/spreadsheetml/2009/9/main" uri="{B025F937-C7B1-47D3-B67F-A62EFF666E3E}">
          <x14:id>{B2A14B6B-B997-4417-BDC7-AA4FA71F4B2D}</x14:id>
        </ext>
      </extLst>
    </cfRule>
    <cfRule type="iconSet" priority="1232">
      <iconSet iconSet="3Arrows">
        <cfvo type="percent" val="0"/>
        <cfvo type="num" val="0.7"/>
        <cfvo type="num" val="1"/>
      </iconSet>
    </cfRule>
  </conditionalFormatting>
  <conditionalFormatting sqref="AD312 AD340 AD314 AD316 AD318 AD320 AD322 AD324 AD326 AD328 AD330 AD332 AD334 AD336 AD338 AD344 AD352">
    <cfRule type="dataBar" priority="1231">
      <dataBar>
        <cfvo type="num" val="0"/>
        <cfvo type="num" val="1"/>
        <color theme="4" tint="0.79998168889431442"/>
      </dataBar>
      <extLst>
        <ext xmlns:x14="http://schemas.microsoft.com/office/spreadsheetml/2009/9/main" uri="{B025F937-C7B1-47D3-B67F-A62EFF666E3E}">
          <x14:id>{641881ED-9D3C-41D1-B935-F7BAA886496E}</x14:id>
        </ext>
      </extLst>
    </cfRule>
    <cfRule type="iconSet" priority="1230">
      <iconSet iconSet="3Arrows">
        <cfvo type="percent" val="0"/>
        <cfvo type="num" val="0.7"/>
        <cfvo type="num" val="1"/>
      </iconSet>
    </cfRule>
  </conditionalFormatting>
  <conditionalFormatting sqref="AD342">
    <cfRule type="dataBar" priority="1229">
      <dataBar>
        <cfvo type="num" val="0"/>
        <cfvo type="num" val="1"/>
        <color theme="4" tint="0.79998168889431442"/>
      </dataBar>
      <extLst>
        <ext xmlns:x14="http://schemas.microsoft.com/office/spreadsheetml/2009/9/main" uri="{B025F937-C7B1-47D3-B67F-A62EFF666E3E}">
          <x14:id>{7F55D88D-EDA0-4E37-90E0-0D34D7C75C48}</x14:id>
        </ext>
      </extLst>
    </cfRule>
    <cfRule type="iconSet" priority="1228">
      <iconSet iconSet="3Arrows">
        <cfvo type="percent" val="0"/>
        <cfvo type="num" val="0.7"/>
        <cfvo type="num" val="1"/>
      </iconSet>
    </cfRule>
  </conditionalFormatting>
  <conditionalFormatting sqref="AD346">
    <cfRule type="dataBar" priority="1227">
      <dataBar>
        <cfvo type="num" val="0"/>
        <cfvo type="num" val="1"/>
        <color theme="4" tint="0.79998168889431442"/>
      </dataBar>
      <extLst>
        <ext xmlns:x14="http://schemas.microsoft.com/office/spreadsheetml/2009/9/main" uri="{B025F937-C7B1-47D3-B67F-A62EFF666E3E}">
          <x14:id>{40204B36-D23B-4080-8D84-A2E16A33D8E3}</x14:id>
        </ext>
      </extLst>
    </cfRule>
    <cfRule type="iconSet" priority="1226">
      <iconSet iconSet="3Arrows">
        <cfvo type="percent" val="0"/>
        <cfvo type="num" val="0.7"/>
        <cfvo type="num" val="1"/>
      </iconSet>
    </cfRule>
  </conditionalFormatting>
  <conditionalFormatting sqref="AD348">
    <cfRule type="dataBar" priority="1225">
      <dataBar>
        <cfvo type="num" val="0"/>
        <cfvo type="num" val="1"/>
        <color theme="4" tint="0.79998168889431442"/>
      </dataBar>
      <extLst>
        <ext xmlns:x14="http://schemas.microsoft.com/office/spreadsheetml/2009/9/main" uri="{B025F937-C7B1-47D3-B67F-A62EFF666E3E}">
          <x14:id>{5B3649D6-B47B-400D-ACE8-056FD51EDB84}</x14:id>
        </ext>
      </extLst>
    </cfRule>
    <cfRule type="iconSet" priority="1224">
      <iconSet iconSet="3Arrows">
        <cfvo type="percent" val="0"/>
        <cfvo type="num" val="0.7"/>
        <cfvo type="num" val="1"/>
      </iconSet>
    </cfRule>
  </conditionalFormatting>
  <conditionalFormatting sqref="AD350">
    <cfRule type="dataBar" priority="1223">
      <dataBar>
        <cfvo type="num" val="0"/>
        <cfvo type="num" val="1"/>
        <color theme="4" tint="0.79998168889431442"/>
      </dataBar>
      <extLst>
        <ext xmlns:x14="http://schemas.microsoft.com/office/spreadsheetml/2009/9/main" uri="{B025F937-C7B1-47D3-B67F-A62EFF666E3E}">
          <x14:id>{248DE7F8-B517-4D9F-A1C2-A46E4D8B6632}</x14:id>
        </ext>
      </extLst>
    </cfRule>
    <cfRule type="iconSet" priority="1222">
      <iconSet iconSet="3Arrows">
        <cfvo type="percent" val="0"/>
        <cfvo type="num" val="0.7"/>
        <cfvo type="num" val="1"/>
      </iconSet>
    </cfRule>
  </conditionalFormatting>
  <conditionalFormatting sqref="AD354">
    <cfRule type="dataBar" priority="1221">
      <dataBar>
        <cfvo type="num" val="0"/>
        <cfvo type="num" val="1"/>
        <color theme="4" tint="0.79998168889431442"/>
      </dataBar>
      <extLst>
        <ext xmlns:x14="http://schemas.microsoft.com/office/spreadsheetml/2009/9/main" uri="{B025F937-C7B1-47D3-B67F-A62EFF666E3E}">
          <x14:id>{C8E13796-B3A4-47E6-8ED4-6FC52CA5E07E}</x14:id>
        </ext>
      </extLst>
    </cfRule>
    <cfRule type="iconSet" priority="1220">
      <iconSet iconSet="3Arrows">
        <cfvo type="percent" val="0"/>
        <cfvo type="num" val="0.7"/>
        <cfvo type="num" val="1"/>
      </iconSet>
    </cfRule>
  </conditionalFormatting>
  <conditionalFormatting sqref="AD356">
    <cfRule type="dataBar" priority="1219">
      <dataBar>
        <cfvo type="num" val="0"/>
        <cfvo type="num" val="1"/>
        <color theme="4" tint="0.79998168889431442"/>
      </dataBar>
      <extLst>
        <ext xmlns:x14="http://schemas.microsoft.com/office/spreadsheetml/2009/9/main" uri="{B025F937-C7B1-47D3-B67F-A62EFF666E3E}">
          <x14:id>{FDB40F42-153D-4961-839C-A0FD02B5D9EC}</x14:id>
        </ext>
      </extLst>
    </cfRule>
    <cfRule type="iconSet" priority="1218">
      <iconSet iconSet="3Arrows">
        <cfvo type="percent" val="0"/>
        <cfvo type="num" val="0.7"/>
        <cfvo type="num" val="1"/>
      </iconSet>
    </cfRule>
  </conditionalFormatting>
  <conditionalFormatting sqref="AD358">
    <cfRule type="dataBar" priority="1217">
      <dataBar>
        <cfvo type="num" val="0"/>
        <cfvo type="num" val="1"/>
        <color theme="4" tint="0.79998168889431442"/>
      </dataBar>
      <extLst>
        <ext xmlns:x14="http://schemas.microsoft.com/office/spreadsheetml/2009/9/main" uri="{B025F937-C7B1-47D3-B67F-A62EFF666E3E}">
          <x14:id>{764157CE-5882-44B7-AED3-16CE50DC0FA3}</x14:id>
        </ext>
      </extLst>
    </cfRule>
    <cfRule type="iconSet" priority="1216">
      <iconSet iconSet="3Arrows">
        <cfvo type="percent" val="0"/>
        <cfvo type="num" val="0.7"/>
        <cfvo type="num" val="1"/>
      </iconSet>
    </cfRule>
  </conditionalFormatting>
  <conditionalFormatting sqref="AD360">
    <cfRule type="dataBar" priority="1215">
      <dataBar>
        <cfvo type="num" val="0"/>
        <cfvo type="num" val="1"/>
        <color theme="4" tint="0.79998168889431442"/>
      </dataBar>
      <extLst>
        <ext xmlns:x14="http://schemas.microsoft.com/office/spreadsheetml/2009/9/main" uri="{B025F937-C7B1-47D3-B67F-A62EFF666E3E}">
          <x14:id>{52E404DB-F8D9-41F4-BBBE-0D64787D9177}</x14:id>
        </ext>
      </extLst>
    </cfRule>
    <cfRule type="iconSet" priority="1214">
      <iconSet iconSet="3Arrows">
        <cfvo type="percent" val="0"/>
        <cfvo type="num" val="0.7"/>
        <cfvo type="num" val="1"/>
      </iconSet>
    </cfRule>
  </conditionalFormatting>
  <conditionalFormatting sqref="AD362">
    <cfRule type="dataBar" priority="1213">
      <dataBar>
        <cfvo type="num" val="0"/>
        <cfvo type="num" val="1"/>
        <color theme="4" tint="0.79998168889431442"/>
      </dataBar>
      <extLst>
        <ext xmlns:x14="http://schemas.microsoft.com/office/spreadsheetml/2009/9/main" uri="{B025F937-C7B1-47D3-B67F-A62EFF666E3E}">
          <x14:id>{09BB68C2-20F9-4C93-B632-4BBB66B5BAEC}</x14:id>
        </ext>
      </extLst>
    </cfRule>
    <cfRule type="iconSet" priority="1212">
      <iconSet iconSet="3Arrows">
        <cfvo type="percent" val="0"/>
        <cfvo type="num" val="0.7"/>
        <cfvo type="num" val="1"/>
      </iconSet>
    </cfRule>
  </conditionalFormatting>
  <conditionalFormatting sqref="AD365">
    <cfRule type="dataBar" priority="1211">
      <dataBar>
        <cfvo type="num" val="0"/>
        <cfvo type="num" val="1"/>
        <color theme="4" tint="0.79998168889431442"/>
      </dataBar>
      <extLst>
        <ext xmlns:x14="http://schemas.microsoft.com/office/spreadsheetml/2009/9/main" uri="{B025F937-C7B1-47D3-B67F-A62EFF666E3E}">
          <x14:id>{A54254B2-AC17-4DE7-A4AC-0351106343E8}</x14:id>
        </ext>
      </extLst>
    </cfRule>
    <cfRule type="iconSet" priority="1210">
      <iconSet iconSet="3Arrows">
        <cfvo type="percent" val="0"/>
        <cfvo type="num" val="0.7"/>
        <cfvo type="num" val="1"/>
      </iconSet>
    </cfRule>
  </conditionalFormatting>
  <conditionalFormatting sqref="AD369">
    <cfRule type="dataBar" priority="1209">
      <dataBar>
        <cfvo type="num" val="0"/>
        <cfvo type="num" val="1"/>
        <color theme="4" tint="0.79998168889431442"/>
      </dataBar>
      <extLst>
        <ext xmlns:x14="http://schemas.microsoft.com/office/spreadsheetml/2009/9/main" uri="{B025F937-C7B1-47D3-B67F-A62EFF666E3E}">
          <x14:id>{167AD84B-D68F-47D5-AB69-0FB214A9B762}</x14:id>
        </ext>
      </extLst>
    </cfRule>
    <cfRule type="iconSet" priority="1208">
      <iconSet iconSet="3Arrows">
        <cfvo type="percent" val="0"/>
        <cfvo type="num" val="0.7"/>
        <cfvo type="num" val="1"/>
      </iconSet>
    </cfRule>
  </conditionalFormatting>
  <conditionalFormatting sqref="AD371">
    <cfRule type="dataBar" priority="1207">
      <dataBar>
        <cfvo type="num" val="0"/>
        <cfvo type="num" val="1"/>
        <color theme="4" tint="0.79998168889431442"/>
      </dataBar>
      <extLst>
        <ext xmlns:x14="http://schemas.microsoft.com/office/spreadsheetml/2009/9/main" uri="{B025F937-C7B1-47D3-B67F-A62EFF666E3E}">
          <x14:id>{ED2984B7-8F65-44FD-98E2-B4F926B21348}</x14:id>
        </ext>
      </extLst>
    </cfRule>
    <cfRule type="iconSet" priority="1206">
      <iconSet iconSet="3Arrows">
        <cfvo type="percent" val="0"/>
        <cfvo type="num" val="0.7"/>
        <cfvo type="num" val="1"/>
      </iconSet>
    </cfRule>
  </conditionalFormatting>
  <conditionalFormatting sqref="AD373">
    <cfRule type="dataBar" priority="1205">
      <dataBar>
        <cfvo type="num" val="0"/>
        <cfvo type="num" val="1"/>
        <color theme="4" tint="0.79998168889431442"/>
      </dataBar>
      <extLst>
        <ext xmlns:x14="http://schemas.microsoft.com/office/spreadsheetml/2009/9/main" uri="{B025F937-C7B1-47D3-B67F-A62EFF666E3E}">
          <x14:id>{747E2D48-8519-410F-B6D2-4E544658F0B1}</x14:id>
        </ext>
      </extLst>
    </cfRule>
    <cfRule type="iconSet" priority="1204">
      <iconSet iconSet="3Arrows">
        <cfvo type="percent" val="0"/>
        <cfvo type="num" val="0.7"/>
        <cfvo type="num" val="1"/>
      </iconSet>
    </cfRule>
  </conditionalFormatting>
  <conditionalFormatting sqref="AD375">
    <cfRule type="dataBar" priority="1203">
      <dataBar>
        <cfvo type="num" val="0"/>
        <cfvo type="num" val="1"/>
        <color theme="4" tint="0.79998168889431442"/>
      </dataBar>
      <extLst>
        <ext xmlns:x14="http://schemas.microsoft.com/office/spreadsheetml/2009/9/main" uri="{B025F937-C7B1-47D3-B67F-A62EFF666E3E}">
          <x14:id>{C4D0B5EA-B17B-4D37-9978-33004B0A1972}</x14:id>
        </ext>
      </extLst>
    </cfRule>
    <cfRule type="iconSet" priority="1202">
      <iconSet iconSet="3Arrows">
        <cfvo type="percent" val="0"/>
        <cfvo type="num" val="0.7"/>
        <cfvo type="num" val="1"/>
      </iconSet>
    </cfRule>
  </conditionalFormatting>
  <conditionalFormatting sqref="AD377">
    <cfRule type="dataBar" priority="1201">
      <dataBar>
        <cfvo type="num" val="0"/>
        <cfvo type="num" val="1"/>
        <color theme="4" tint="0.79998168889431442"/>
      </dataBar>
      <extLst>
        <ext xmlns:x14="http://schemas.microsoft.com/office/spreadsheetml/2009/9/main" uri="{B025F937-C7B1-47D3-B67F-A62EFF666E3E}">
          <x14:id>{0773E5F3-A170-4FF0-8228-4F7645026306}</x14:id>
        </ext>
      </extLst>
    </cfRule>
    <cfRule type="iconSet" priority="1200">
      <iconSet iconSet="3Arrows">
        <cfvo type="percent" val="0"/>
        <cfvo type="num" val="0.7"/>
        <cfvo type="num" val="1"/>
      </iconSet>
    </cfRule>
  </conditionalFormatting>
  <conditionalFormatting sqref="AD380">
    <cfRule type="dataBar" priority="1199">
      <dataBar>
        <cfvo type="num" val="0"/>
        <cfvo type="num" val="1"/>
        <color theme="4" tint="0.79998168889431442"/>
      </dataBar>
      <extLst>
        <ext xmlns:x14="http://schemas.microsoft.com/office/spreadsheetml/2009/9/main" uri="{B025F937-C7B1-47D3-B67F-A62EFF666E3E}">
          <x14:id>{04AC6C75-E350-4154-ABE7-6A9C84977471}</x14:id>
        </ext>
      </extLst>
    </cfRule>
    <cfRule type="iconSet" priority="1198">
      <iconSet iconSet="3Arrows">
        <cfvo type="percent" val="0"/>
        <cfvo type="num" val="0.7"/>
        <cfvo type="num" val="1"/>
      </iconSet>
    </cfRule>
  </conditionalFormatting>
  <conditionalFormatting sqref="AD382 AD384 AD388 AD390 AD392">
    <cfRule type="dataBar" priority="1197">
      <dataBar>
        <cfvo type="num" val="0"/>
        <cfvo type="num" val="1"/>
        <color theme="4" tint="0.79998168889431442"/>
      </dataBar>
      <extLst>
        <ext xmlns:x14="http://schemas.microsoft.com/office/spreadsheetml/2009/9/main" uri="{B025F937-C7B1-47D3-B67F-A62EFF666E3E}">
          <x14:id>{5D061217-5397-4928-B598-E78ECA317269}</x14:id>
        </ext>
      </extLst>
    </cfRule>
    <cfRule type="iconSet" priority="1196">
      <iconSet iconSet="3Arrows">
        <cfvo type="percent" val="0"/>
        <cfvo type="num" val="0.7"/>
        <cfvo type="num" val="1"/>
      </iconSet>
    </cfRule>
  </conditionalFormatting>
  <conditionalFormatting sqref="AD386">
    <cfRule type="dataBar" priority="1195">
      <dataBar>
        <cfvo type="num" val="0"/>
        <cfvo type="num" val="1"/>
        <color theme="4" tint="0.79998168889431442"/>
      </dataBar>
      <extLst>
        <ext xmlns:x14="http://schemas.microsoft.com/office/spreadsheetml/2009/9/main" uri="{B025F937-C7B1-47D3-B67F-A62EFF666E3E}">
          <x14:id>{000FB6FD-3514-4686-88C3-57F81591E58A}</x14:id>
        </ext>
      </extLst>
    </cfRule>
    <cfRule type="iconSet" priority="1194">
      <iconSet iconSet="3Arrows">
        <cfvo type="percent" val="0"/>
        <cfvo type="num" val="0.7"/>
        <cfvo type="num" val="1"/>
      </iconSet>
    </cfRule>
  </conditionalFormatting>
  <conditionalFormatting sqref="AD395">
    <cfRule type="dataBar" priority="1193">
      <dataBar>
        <cfvo type="num" val="0"/>
        <cfvo type="num" val="1"/>
        <color theme="4" tint="0.79998168889431442"/>
      </dataBar>
      <extLst>
        <ext xmlns:x14="http://schemas.microsoft.com/office/spreadsheetml/2009/9/main" uri="{B025F937-C7B1-47D3-B67F-A62EFF666E3E}">
          <x14:id>{899AE43E-9214-4C10-9A2B-A5BBA4A487FF}</x14:id>
        </ext>
      </extLst>
    </cfRule>
    <cfRule type="iconSet" priority="1192">
      <iconSet iconSet="3Arrows">
        <cfvo type="percent" val="0"/>
        <cfvo type="num" val="0.7"/>
        <cfvo type="num" val="1"/>
      </iconSet>
    </cfRule>
  </conditionalFormatting>
  <conditionalFormatting sqref="AD397">
    <cfRule type="dataBar" priority="1191">
      <dataBar>
        <cfvo type="num" val="0"/>
        <cfvo type="num" val="1"/>
        <color theme="4" tint="0.79998168889431442"/>
      </dataBar>
      <extLst>
        <ext xmlns:x14="http://schemas.microsoft.com/office/spreadsheetml/2009/9/main" uri="{B025F937-C7B1-47D3-B67F-A62EFF666E3E}">
          <x14:id>{649E3A6A-21A9-4E1E-9106-C8C949A8AE36}</x14:id>
        </ext>
      </extLst>
    </cfRule>
    <cfRule type="iconSet" priority="1190">
      <iconSet iconSet="3Arrows">
        <cfvo type="percent" val="0"/>
        <cfvo type="num" val="0.7"/>
        <cfvo type="num" val="1"/>
      </iconSet>
    </cfRule>
  </conditionalFormatting>
  <conditionalFormatting sqref="AD399">
    <cfRule type="dataBar" priority="1189">
      <dataBar>
        <cfvo type="num" val="0"/>
        <cfvo type="num" val="1"/>
        <color theme="4" tint="0.79998168889431442"/>
      </dataBar>
      <extLst>
        <ext xmlns:x14="http://schemas.microsoft.com/office/spreadsheetml/2009/9/main" uri="{B025F937-C7B1-47D3-B67F-A62EFF666E3E}">
          <x14:id>{8F6FB239-718B-4F06-9CE7-8074A8EA8A63}</x14:id>
        </ext>
      </extLst>
    </cfRule>
    <cfRule type="iconSet" priority="1188">
      <iconSet iconSet="3Arrows">
        <cfvo type="percent" val="0"/>
        <cfvo type="num" val="0.7"/>
        <cfvo type="num" val="1"/>
      </iconSet>
    </cfRule>
  </conditionalFormatting>
  <conditionalFormatting sqref="AD401">
    <cfRule type="dataBar" priority="1187">
      <dataBar>
        <cfvo type="num" val="0"/>
        <cfvo type="num" val="1"/>
        <color theme="4" tint="0.79998168889431442"/>
      </dataBar>
      <extLst>
        <ext xmlns:x14="http://schemas.microsoft.com/office/spreadsheetml/2009/9/main" uri="{B025F937-C7B1-47D3-B67F-A62EFF666E3E}">
          <x14:id>{6BC0442F-3185-459A-AA26-AE2DDEFE2BFD}</x14:id>
        </ext>
      </extLst>
    </cfRule>
    <cfRule type="iconSet" priority="1186">
      <iconSet iconSet="3Arrows">
        <cfvo type="percent" val="0"/>
        <cfvo type="num" val="0.7"/>
        <cfvo type="num" val="1"/>
      </iconSet>
    </cfRule>
  </conditionalFormatting>
  <conditionalFormatting sqref="AD404">
    <cfRule type="dataBar" priority="1185">
      <dataBar>
        <cfvo type="num" val="0"/>
        <cfvo type="num" val="1"/>
        <color theme="4" tint="0.79998168889431442"/>
      </dataBar>
      <extLst>
        <ext xmlns:x14="http://schemas.microsoft.com/office/spreadsheetml/2009/9/main" uri="{B025F937-C7B1-47D3-B67F-A62EFF666E3E}">
          <x14:id>{21E04945-FB09-4CB9-AF9A-3F797371B999}</x14:id>
        </ext>
      </extLst>
    </cfRule>
    <cfRule type="iconSet" priority="1184">
      <iconSet iconSet="3Arrows">
        <cfvo type="percent" val="0"/>
        <cfvo type="num" val="0.7"/>
        <cfvo type="num" val="1"/>
      </iconSet>
    </cfRule>
  </conditionalFormatting>
  <conditionalFormatting sqref="AD406">
    <cfRule type="dataBar" priority="1183">
      <dataBar>
        <cfvo type="num" val="0"/>
        <cfvo type="num" val="1"/>
        <color theme="4" tint="0.79998168889431442"/>
      </dataBar>
      <extLst>
        <ext xmlns:x14="http://schemas.microsoft.com/office/spreadsheetml/2009/9/main" uri="{B025F937-C7B1-47D3-B67F-A62EFF666E3E}">
          <x14:id>{AB846CA2-9E88-4313-AC32-590D04F3E0F8}</x14:id>
        </ext>
      </extLst>
    </cfRule>
    <cfRule type="iconSet" priority="1182">
      <iconSet iconSet="3Arrows">
        <cfvo type="percent" val="0"/>
        <cfvo type="num" val="0.7"/>
        <cfvo type="num" val="1"/>
      </iconSet>
    </cfRule>
  </conditionalFormatting>
  <conditionalFormatting sqref="AD409">
    <cfRule type="dataBar" priority="1181">
      <dataBar>
        <cfvo type="num" val="0"/>
        <cfvo type="num" val="1"/>
        <color theme="4" tint="0.79998168889431442"/>
      </dataBar>
      <extLst>
        <ext xmlns:x14="http://schemas.microsoft.com/office/spreadsheetml/2009/9/main" uri="{B025F937-C7B1-47D3-B67F-A62EFF666E3E}">
          <x14:id>{034265AB-6544-4804-81F2-CC1ED86875D7}</x14:id>
        </ext>
      </extLst>
    </cfRule>
    <cfRule type="iconSet" priority="1180">
      <iconSet iconSet="3Arrows">
        <cfvo type="percent" val="0"/>
        <cfvo type="num" val="0.7"/>
        <cfvo type="num" val="1"/>
      </iconSet>
    </cfRule>
  </conditionalFormatting>
  <conditionalFormatting sqref="AD412">
    <cfRule type="dataBar" priority="1179">
      <dataBar>
        <cfvo type="num" val="0"/>
        <cfvo type="num" val="1"/>
        <color theme="4" tint="0.79998168889431442"/>
      </dataBar>
      <extLst>
        <ext xmlns:x14="http://schemas.microsoft.com/office/spreadsheetml/2009/9/main" uri="{B025F937-C7B1-47D3-B67F-A62EFF666E3E}">
          <x14:id>{DE05130E-AC50-41CC-BB82-98A4CE269A01}</x14:id>
        </ext>
      </extLst>
    </cfRule>
    <cfRule type="iconSet" priority="1178">
      <iconSet iconSet="3Arrows">
        <cfvo type="percent" val="0"/>
        <cfvo type="num" val="0.7"/>
        <cfvo type="num" val="1"/>
      </iconSet>
    </cfRule>
  </conditionalFormatting>
  <conditionalFormatting sqref="AD522">
    <cfRule type="dataBar" priority="1175">
      <dataBar>
        <cfvo type="num" val="0"/>
        <cfvo type="num" val="1"/>
        <color theme="4" tint="0.79998168889431442"/>
      </dataBar>
      <extLst>
        <ext xmlns:x14="http://schemas.microsoft.com/office/spreadsheetml/2009/9/main" uri="{B025F937-C7B1-47D3-B67F-A62EFF666E3E}">
          <x14:id>{EEE154C7-2A49-4760-B4A4-2DE552931B39}</x14:id>
        </ext>
      </extLst>
    </cfRule>
    <cfRule type="iconSet" priority="1174">
      <iconSet iconSet="3Arrows">
        <cfvo type="percent" val="0"/>
        <cfvo type="num" val="0.7"/>
        <cfvo type="num" val="1"/>
      </iconSet>
    </cfRule>
  </conditionalFormatting>
  <conditionalFormatting sqref="AD524">
    <cfRule type="dataBar" priority="1173">
      <dataBar>
        <cfvo type="num" val="0"/>
        <cfvo type="num" val="1"/>
        <color theme="4" tint="0.79998168889431442"/>
      </dataBar>
      <extLst>
        <ext xmlns:x14="http://schemas.microsoft.com/office/spreadsheetml/2009/9/main" uri="{B025F937-C7B1-47D3-B67F-A62EFF666E3E}">
          <x14:id>{4D39E687-99F2-43EB-AFD9-0ECB563C8B4D}</x14:id>
        </ext>
      </extLst>
    </cfRule>
    <cfRule type="iconSet" priority="1172">
      <iconSet iconSet="3Arrows">
        <cfvo type="percent" val="0"/>
        <cfvo type="num" val="0.7"/>
        <cfvo type="num" val="1"/>
      </iconSet>
    </cfRule>
  </conditionalFormatting>
  <conditionalFormatting sqref="AD526">
    <cfRule type="dataBar" priority="1171">
      <dataBar>
        <cfvo type="num" val="0"/>
        <cfvo type="num" val="1"/>
        <color theme="4" tint="0.79998168889431442"/>
      </dataBar>
      <extLst>
        <ext xmlns:x14="http://schemas.microsoft.com/office/spreadsheetml/2009/9/main" uri="{B025F937-C7B1-47D3-B67F-A62EFF666E3E}">
          <x14:id>{201AF5CA-6563-4428-8AA2-03012C4AFA2F}</x14:id>
        </ext>
      </extLst>
    </cfRule>
    <cfRule type="iconSet" priority="1170">
      <iconSet iconSet="3Arrows">
        <cfvo type="percent" val="0"/>
        <cfvo type="num" val="0.7"/>
        <cfvo type="num" val="1"/>
      </iconSet>
    </cfRule>
  </conditionalFormatting>
  <conditionalFormatting sqref="AD528">
    <cfRule type="dataBar" priority="1169">
      <dataBar>
        <cfvo type="num" val="0"/>
        <cfvo type="num" val="1"/>
        <color theme="4" tint="0.79998168889431442"/>
      </dataBar>
      <extLst>
        <ext xmlns:x14="http://schemas.microsoft.com/office/spreadsheetml/2009/9/main" uri="{B025F937-C7B1-47D3-B67F-A62EFF666E3E}">
          <x14:id>{9ACED949-41A1-4098-BDD3-CFF12DF2F366}</x14:id>
        </ext>
      </extLst>
    </cfRule>
    <cfRule type="iconSet" priority="1168">
      <iconSet iconSet="3Arrows">
        <cfvo type="percent" val="0"/>
        <cfvo type="num" val="0.7"/>
        <cfvo type="num" val="1"/>
      </iconSet>
    </cfRule>
  </conditionalFormatting>
  <conditionalFormatting sqref="AD530">
    <cfRule type="iconSet" priority="1166">
      <iconSet iconSet="3Arrows">
        <cfvo type="percent" val="0"/>
        <cfvo type="num" val="0.7"/>
        <cfvo type="num" val="1"/>
      </iconSet>
    </cfRule>
    <cfRule type="dataBar" priority="1167">
      <dataBar>
        <cfvo type="num" val="0"/>
        <cfvo type="num" val="1"/>
        <color theme="4" tint="0.79998168889431442"/>
      </dataBar>
      <extLst>
        <ext xmlns:x14="http://schemas.microsoft.com/office/spreadsheetml/2009/9/main" uri="{B025F937-C7B1-47D3-B67F-A62EFF666E3E}">
          <x14:id>{FD4AB2A3-7151-4B6A-B748-34E319379E31}</x14:id>
        </ext>
      </extLst>
    </cfRule>
  </conditionalFormatting>
  <conditionalFormatting sqref="AD533">
    <cfRule type="dataBar" priority="1165">
      <dataBar>
        <cfvo type="num" val="0"/>
        <cfvo type="num" val="1"/>
        <color theme="4" tint="0.79998168889431442"/>
      </dataBar>
      <extLst>
        <ext xmlns:x14="http://schemas.microsoft.com/office/spreadsheetml/2009/9/main" uri="{B025F937-C7B1-47D3-B67F-A62EFF666E3E}">
          <x14:id>{E85FC0CD-2915-48D1-960E-8C1DCD9649F6}</x14:id>
        </ext>
      </extLst>
    </cfRule>
    <cfRule type="iconSet" priority="1164">
      <iconSet iconSet="3Arrows">
        <cfvo type="percent" val="0"/>
        <cfvo type="num" val="0.7"/>
        <cfvo type="num" val="1"/>
      </iconSet>
    </cfRule>
  </conditionalFormatting>
  <conditionalFormatting sqref="AD579 AD414 AD416 AD418 AD420 AD422 AD424 AD426 AD428 AD430 AD432 AD434 AD436 AD438 AD440 AD442 AD444 AD446 AD448 AD450 AD452 AD454 AD456 AD458 AD460 AD462 AD464 AD466 AD468 AD470 AD472 AD474 AD476 AD478 AD480 AD482 AD484 AD486 AD488 AD490 AD492 AD494 AD496 AD498 AD500 AD502 AD504 AD506 AD508 AD510 AD512 AD514 AD516 AD520">
    <cfRule type="dataBar" priority="1177">
      <dataBar>
        <cfvo type="num" val="0"/>
        <cfvo type="num" val="1"/>
        <color theme="4" tint="0.79998168889431442"/>
      </dataBar>
      <extLst>
        <ext xmlns:x14="http://schemas.microsoft.com/office/spreadsheetml/2009/9/main" uri="{B025F937-C7B1-47D3-B67F-A62EFF666E3E}">
          <x14:id>{3479D2C8-B766-4DAF-94B5-18414326AE99}</x14:id>
        </ext>
      </extLst>
    </cfRule>
    <cfRule type="iconSet" priority="1176">
      <iconSet iconSet="3Arrows">
        <cfvo type="percent" val="0"/>
        <cfvo type="num" val="0.7"/>
        <cfvo type="num" val="1"/>
      </iconSet>
    </cfRule>
  </conditionalFormatting>
  <conditionalFormatting sqref="AD643 AD518 AD535 AD537 AD539 AD541 AD543 AD545 AD547 AD549 AD551 AD553 AD555 AD557 AD559 AD561 AD563 AD565 AD567 AD569 AD571 AD573 AD575 AD577 AD581 AD583 AD585 AD587 AD589 AD591 AD593 AD595 AD597 AD599 AD601 AD603 AD605 AD607 AD609 AD611 AD613 AD615 AD617 AD619 AD621 AD623 AD625 AD627 AD629 AD631 AD633 AD635 AD637 AD639 AD641 AD645">
    <cfRule type="iconSet" priority="1162">
      <iconSet iconSet="3Arrows">
        <cfvo type="percent" val="0"/>
        <cfvo type="num" val="0.7"/>
        <cfvo type="num" val="1"/>
      </iconSet>
    </cfRule>
    <cfRule type="dataBar" priority="1163">
      <dataBar>
        <cfvo type="num" val="0"/>
        <cfvo type="num" val="1"/>
        <color theme="4" tint="0.79998168889431442"/>
      </dataBar>
      <extLst>
        <ext xmlns:x14="http://schemas.microsoft.com/office/spreadsheetml/2009/9/main" uri="{B025F937-C7B1-47D3-B67F-A62EFF666E3E}">
          <x14:id>{48F131C6-7070-413A-9BF3-5F308C51E09B}</x14:id>
        </ext>
      </extLst>
    </cfRule>
  </conditionalFormatting>
  <conditionalFormatting sqref="AD647">
    <cfRule type="iconSet" priority="1160">
      <iconSet iconSet="3Arrows">
        <cfvo type="percent" val="0"/>
        <cfvo type="num" val="0.7"/>
        <cfvo type="num" val="1"/>
      </iconSet>
    </cfRule>
    <cfRule type="dataBar" priority="1161">
      <dataBar>
        <cfvo type="num" val="0"/>
        <cfvo type="num" val="1"/>
        <color theme="4" tint="0.79998168889431442"/>
      </dataBar>
      <extLst>
        <ext xmlns:x14="http://schemas.microsoft.com/office/spreadsheetml/2009/9/main" uri="{B025F937-C7B1-47D3-B67F-A62EFF666E3E}">
          <x14:id>{26374238-2D69-4606-AFFF-23E285D466F5}</x14:id>
        </ext>
      </extLst>
    </cfRule>
  </conditionalFormatting>
  <conditionalFormatting sqref="AD652">
    <cfRule type="iconSet" priority="1156">
      <iconSet iconSet="3Arrows">
        <cfvo type="percent" val="0"/>
        <cfvo type="num" val="0.7"/>
        <cfvo type="num" val="1"/>
      </iconSet>
    </cfRule>
    <cfRule type="dataBar" priority="1157">
      <dataBar>
        <cfvo type="num" val="0"/>
        <cfvo type="num" val="1"/>
        <color theme="4" tint="0.79998168889431442"/>
      </dataBar>
      <extLst>
        <ext xmlns:x14="http://schemas.microsoft.com/office/spreadsheetml/2009/9/main" uri="{B025F937-C7B1-47D3-B67F-A62EFF666E3E}">
          <x14:id>{A975E55C-9500-44FA-85A5-E949ADDE432D}</x14:id>
        </ext>
      </extLst>
    </cfRule>
  </conditionalFormatting>
  <conditionalFormatting sqref="AD664">
    <cfRule type="iconSet" priority="1154">
      <iconSet iconSet="3Arrows">
        <cfvo type="percent" val="0"/>
        <cfvo type="num" val="0.7"/>
        <cfvo type="num" val="1"/>
      </iconSet>
    </cfRule>
    <cfRule type="dataBar" priority="1155">
      <dataBar>
        <cfvo type="num" val="0"/>
        <cfvo type="num" val="1"/>
        <color theme="4" tint="0.79998168889431442"/>
      </dataBar>
      <extLst>
        <ext xmlns:x14="http://schemas.microsoft.com/office/spreadsheetml/2009/9/main" uri="{B025F937-C7B1-47D3-B67F-A62EFF666E3E}">
          <x14:id>{23D564FD-94EE-460A-AEA9-9A540DD4A52A}</x14:id>
        </ext>
      </extLst>
    </cfRule>
  </conditionalFormatting>
  <conditionalFormatting sqref="AD686 AD649 AD654 AD658 AD656 AD660 AD662 AD666 AD668 AD670 AD672 AD674 AD676 AD678 AD680 AD682 AD684">
    <cfRule type="iconSet" priority="1158">
      <iconSet iconSet="3Arrows">
        <cfvo type="percent" val="0"/>
        <cfvo type="num" val="0.7"/>
        <cfvo type="num" val="1"/>
      </iconSet>
    </cfRule>
    <cfRule type="dataBar" priority="1159">
      <dataBar>
        <cfvo type="num" val="0"/>
        <cfvo type="num" val="1"/>
        <color theme="4" tint="0.79998168889431442"/>
      </dataBar>
      <extLst>
        <ext xmlns:x14="http://schemas.microsoft.com/office/spreadsheetml/2009/9/main" uri="{B025F937-C7B1-47D3-B67F-A62EFF666E3E}">
          <x14:id>{2728816E-21F7-489E-BF37-65F6B4524450}</x14:id>
        </ext>
      </extLst>
    </cfRule>
  </conditionalFormatting>
  <conditionalFormatting sqref="AD688">
    <cfRule type="iconSet" priority="1152">
      <iconSet iconSet="3Arrows">
        <cfvo type="percent" val="0"/>
        <cfvo type="num" val="0.7"/>
        <cfvo type="num" val="1"/>
      </iconSet>
    </cfRule>
    <cfRule type="dataBar" priority="1153">
      <dataBar>
        <cfvo type="num" val="0"/>
        <cfvo type="num" val="1"/>
        <color theme="4" tint="0.79998168889431442"/>
      </dataBar>
      <extLst>
        <ext xmlns:x14="http://schemas.microsoft.com/office/spreadsheetml/2009/9/main" uri="{B025F937-C7B1-47D3-B67F-A62EFF666E3E}">
          <x14:id>{2558C4E7-D42A-4270-8215-14673D6DD4A8}</x14:id>
        </ext>
      </extLst>
    </cfRule>
  </conditionalFormatting>
  <conditionalFormatting sqref="AD690">
    <cfRule type="iconSet" priority="1150">
      <iconSet iconSet="3Arrows">
        <cfvo type="percent" val="0"/>
        <cfvo type="num" val="0.7"/>
        <cfvo type="num" val="1"/>
      </iconSet>
    </cfRule>
    <cfRule type="dataBar" priority="1151">
      <dataBar>
        <cfvo type="num" val="0"/>
        <cfvo type="num" val="1"/>
        <color theme="4" tint="0.79998168889431442"/>
      </dataBar>
      <extLst>
        <ext xmlns:x14="http://schemas.microsoft.com/office/spreadsheetml/2009/9/main" uri="{B025F937-C7B1-47D3-B67F-A62EFF666E3E}">
          <x14:id>{EEE61220-6E51-4BD0-A1D4-BCEBE1AA39E2}</x14:id>
        </ext>
      </extLst>
    </cfRule>
  </conditionalFormatting>
  <conditionalFormatting sqref="AD692">
    <cfRule type="iconSet" priority="1148">
      <iconSet iconSet="3Arrows">
        <cfvo type="percent" val="0"/>
        <cfvo type="num" val="0.7"/>
        <cfvo type="num" val="1"/>
      </iconSet>
    </cfRule>
    <cfRule type="dataBar" priority="1149">
      <dataBar>
        <cfvo type="num" val="0"/>
        <cfvo type="num" val="1"/>
        <color theme="4" tint="0.79998168889431442"/>
      </dataBar>
      <extLst>
        <ext xmlns:x14="http://schemas.microsoft.com/office/spreadsheetml/2009/9/main" uri="{B025F937-C7B1-47D3-B67F-A62EFF666E3E}">
          <x14:id>{407D13D3-53FF-4CA4-BE64-412A8FE6A0EB}</x14:id>
        </ext>
      </extLst>
    </cfRule>
  </conditionalFormatting>
  <conditionalFormatting sqref="AD694">
    <cfRule type="iconSet" priority="1146">
      <iconSet iconSet="3Arrows">
        <cfvo type="percent" val="0"/>
        <cfvo type="num" val="0.7"/>
        <cfvo type="num" val="1"/>
      </iconSet>
    </cfRule>
    <cfRule type="dataBar" priority="1147">
      <dataBar>
        <cfvo type="num" val="0"/>
        <cfvo type="num" val="1"/>
        <color theme="4" tint="0.79998168889431442"/>
      </dataBar>
      <extLst>
        <ext xmlns:x14="http://schemas.microsoft.com/office/spreadsheetml/2009/9/main" uri="{B025F937-C7B1-47D3-B67F-A62EFF666E3E}">
          <x14:id>{11D210EF-0187-4A7C-9F27-6D58B30CAFB4}</x14:id>
        </ext>
      </extLst>
    </cfRule>
  </conditionalFormatting>
  <conditionalFormatting sqref="AD696">
    <cfRule type="iconSet" priority="1144">
      <iconSet iconSet="3Arrows">
        <cfvo type="percent" val="0"/>
        <cfvo type="num" val="0.7"/>
        <cfvo type="num" val="1"/>
      </iconSet>
    </cfRule>
    <cfRule type="dataBar" priority="1145">
      <dataBar>
        <cfvo type="num" val="0"/>
        <cfvo type="num" val="1"/>
        <color theme="4" tint="0.79998168889431442"/>
      </dataBar>
      <extLst>
        <ext xmlns:x14="http://schemas.microsoft.com/office/spreadsheetml/2009/9/main" uri="{B025F937-C7B1-47D3-B67F-A62EFF666E3E}">
          <x14:id>{B5ECDF63-281B-442C-816B-30E9FA9200A8}</x14:id>
        </ext>
      </extLst>
    </cfRule>
  </conditionalFormatting>
  <conditionalFormatting sqref="AD698">
    <cfRule type="iconSet" priority="1142">
      <iconSet iconSet="3Arrows">
        <cfvo type="percent" val="0"/>
        <cfvo type="num" val="0.7"/>
        <cfvo type="num" val="1"/>
      </iconSet>
    </cfRule>
    <cfRule type="dataBar" priority="1143">
      <dataBar>
        <cfvo type="num" val="0"/>
        <cfvo type="num" val="1"/>
        <color theme="4" tint="0.79998168889431442"/>
      </dataBar>
      <extLst>
        <ext xmlns:x14="http://schemas.microsoft.com/office/spreadsheetml/2009/9/main" uri="{B025F937-C7B1-47D3-B67F-A62EFF666E3E}">
          <x14:id>{9288CCE3-5840-41A0-B67F-F1C97C2D1C71}</x14:id>
        </ext>
      </extLst>
    </cfRule>
  </conditionalFormatting>
  <conditionalFormatting sqref="AD700">
    <cfRule type="iconSet" priority="1140">
      <iconSet iconSet="3Arrows">
        <cfvo type="percent" val="0"/>
        <cfvo type="num" val="0.7"/>
        <cfvo type="num" val="1"/>
      </iconSet>
    </cfRule>
    <cfRule type="dataBar" priority="1141">
      <dataBar>
        <cfvo type="num" val="0"/>
        <cfvo type="num" val="1"/>
        <color theme="4" tint="0.79998168889431442"/>
      </dataBar>
      <extLst>
        <ext xmlns:x14="http://schemas.microsoft.com/office/spreadsheetml/2009/9/main" uri="{B025F937-C7B1-47D3-B67F-A62EFF666E3E}">
          <x14:id>{27A42D7E-B321-4C14-810C-78838A7EBDFF}</x14:id>
        </ext>
      </extLst>
    </cfRule>
  </conditionalFormatting>
  <conditionalFormatting sqref="AD703">
    <cfRule type="iconSet" priority="1138">
      <iconSet iconSet="3Arrows">
        <cfvo type="percent" val="0"/>
        <cfvo type="num" val="0.7"/>
        <cfvo type="num" val="1"/>
      </iconSet>
    </cfRule>
    <cfRule type="dataBar" priority="1139">
      <dataBar>
        <cfvo type="num" val="0"/>
        <cfvo type="num" val="1"/>
        <color theme="4" tint="0.79998168889431442"/>
      </dataBar>
      <extLst>
        <ext xmlns:x14="http://schemas.microsoft.com/office/spreadsheetml/2009/9/main" uri="{B025F937-C7B1-47D3-B67F-A62EFF666E3E}">
          <x14:id>{120E26CB-05F8-4A93-AFB8-F027225774A1}</x14:id>
        </ext>
      </extLst>
    </cfRule>
  </conditionalFormatting>
  <conditionalFormatting sqref="AD705 AD741 AD707 AD709 AD711 AD713 AD715 AD717 AD719 AD721 AD723 AD725 AD727 AD729 AD731 AD733 AD735 AD737 AD739 AD743 AD745 AD747 AD749 AD751 AD753 AD755 AD757 AD759">
    <cfRule type="iconSet" priority="1136">
      <iconSet iconSet="3Arrows">
        <cfvo type="percent" val="0"/>
        <cfvo type="num" val="0.7"/>
        <cfvo type="num" val="1"/>
      </iconSet>
    </cfRule>
    <cfRule type="dataBar" priority="1137">
      <dataBar>
        <cfvo type="num" val="0"/>
        <cfvo type="num" val="1"/>
        <color theme="4" tint="0.79998168889431442"/>
      </dataBar>
      <extLst>
        <ext xmlns:x14="http://schemas.microsoft.com/office/spreadsheetml/2009/9/main" uri="{B025F937-C7B1-47D3-B67F-A62EFF666E3E}">
          <x14:id>{469F2BAE-BE02-45EA-8E61-6D96E0DE3228}</x14:id>
        </ext>
      </extLst>
    </cfRule>
  </conditionalFormatting>
  <conditionalFormatting sqref="AD761 AD763 AD765 AD767 AD773">
    <cfRule type="dataBar" priority="1135">
      <dataBar>
        <cfvo type="num" val="0"/>
        <cfvo type="num" val="1"/>
        <color theme="4" tint="0.79998168889431442"/>
      </dataBar>
      <extLst>
        <ext xmlns:x14="http://schemas.microsoft.com/office/spreadsheetml/2009/9/main" uri="{B025F937-C7B1-47D3-B67F-A62EFF666E3E}">
          <x14:id>{2C2310D9-D84D-481C-AC27-AA7DB85C5F1B}</x14:id>
        </ext>
      </extLst>
    </cfRule>
    <cfRule type="iconSet" priority="1134">
      <iconSet iconSet="3Arrows">
        <cfvo type="percent" val="0"/>
        <cfvo type="num" val="0.7"/>
        <cfvo type="num" val="1"/>
      </iconSet>
    </cfRule>
  </conditionalFormatting>
  <conditionalFormatting sqref="AD769">
    <cfRule type="iconSet" priority="1132">
      <iconSet iconSet="3Arrows">
        <cfvo type="percent" val="0"/>
        <cfvo type="num" val="0.7"/>
        <cfvo type="num" val="1"/>
      </iconSet>
    </cfRule>
    <cfRule type="dataBar" priority="1133">
      <dataBar>
        <cfvo type="num" val="0"/>
        <cfvo type="num" val="1"/>
        <color theme="4" tint="0.79998168889431442"/>
      </dataBar>
      <extLst>
        <ext xmlns:x14="http://schemas.microsoft.com/office/spreadsheetml/2009/9/main" uri="{B025F937-C7B1-47D3-B67F-A62EFF666E3E}">
          <x14:id>{5654DC39-8B01-40C2-9CFC-7639D011344C}</x14:id>
        </ext>
      </extLst>
    </cfRule>
  </conditionalFormatting>
  <conditionalFormatting sqref="AD771">
    <cfRule type="iconSet" priority="1130">
      <iconSet iconSet="3Arrows">
        <cfvo type="percent" val="0"/>
        <cfvo type="num" val="0.7"/>
        <cfvo type="num" val="1"/>
      </iconSet>
    </cfRule>
    <cfRule type="dataBar" priority="1131">
      <dataBar>
        <cfvo type="num" val="0"/>
        <cfvo type="num" val="1"/>
        <color theme="4" tint="0.79998168889431442"/>
      </dataBar>
      <extLst>
        <ext xmlns:x14="http://schemas.microsoft.com/office/spreadsheetml/2009/9/main" uri="{B025F937-C7B1-47D3-B67F-A62EFF666E3E}">
          <x14:id>{F6EBE9D1-EF1E-4A75-8328-506CFD59971C}</x14:id>
        </ext>
      </extLst>
    </cfRule>
  </conditionalFormatting>
  <conditionalFormatting sqref="AD775">
    <cfRule type="iconSet" priority="1128">
      <iconSet iconSet="3Arrows">
        <cfvo type="percent" val="0"/>
        <cfvo type="num" val="0.7"/>
        <cfvo type="num" val="1"/>
      </iconSet>
    </cfRule>
    <cfRule type="dataBar" priority="1129">
      <dataBar>
        <cfvo type="num" val="0"/>
        <cfvo type="num" val="1"/>
        <color theme="4" tint="0.79998168889431442"/>
      </dataBar>
      <extLst>
        <ext xmlns:x14="http://schemas.microsoft.com/office/spreadsheetml/2009/9/main" uri="{B025F937-C7B1-47D3-B67F-A62EFF666E3E}">
          <x14:id>{65E96324-94E5-4223-8EE9-B8598FD968DF}</x14:id>
        </ext>
      </extLst>
    </cfRule>
  </conditionalFormatting>
  <conditionalFormatting sqref="AD777">
    <cfRule type="dataBar" priority="1127">
      <dataBar>
        <cfvo type="num" val="0"/>
        <cfvo type="num" val="1"/>
        <color theme="4" tint="0.79998168889431442"/>
      </dataBar>
      <extLst>
        <ext xmlns:x14="http://schemas.microsoft.com/office/spreadsheetml/2009/9/main" uri="{B025F937-C7B1-47D3-B67F-A62EFF666E3E}">
          <x14:id>{80485280-CD82-4BDC-8084-02F51CA55B1D}</x14:id>
        </ext>
      </extLst>
    </cfRule>
    <cfRule type="iconSet" priority="1126">
      <iconSet iconSet="3Arrows">
        <cfvo type="percent" val="0"/>
        <cfvo type="num" val="0.7"/>
        <cfvo type="num" val="1"/>
      </iconSet>
    </cfRule>
  </conditionalFormatting>
  <conditionalFormatting sqref="AD781 AD848">
    <cfRule type="dataBar" priority="1125">
      <dataBar>
        <cfvo type="num" val="0"/>
        <cfvo type="num" val="1"/>
        <color theme="4" tint="0.79998168889431442"/>
      </dataBar>
      <extLst>
        <ext xmlns:x14="http://schemas.microsoft.com/office/spreadsheetml/2009/9/main" uri="{B025F937-C7B1-47D3-B67F-A62EFF666E3E}">
          <x14:id>{C2D18B7C-9382-48B2-BABE-2DC606312846}</x14:id>
        </ext>
      </extLst>
    </cfRule>
    <cfRule type="iconSet" priority="1124">
      <iconSet iconSet="3Arrows">
        <cfvo type="percent" val="0"/>
        <cfvo type="num" val="0.7"/>
        <cfvo type="num" val="1"/>
      </iconSet>
    </cfRule>
  </conditionalFormatting>
  <conditionalFormatting sqref="AD783 AD811 AD785 AD787 AD789 AD791 AD793 AD795 AD797 AD799 AD801 AD803 AD805 AD807 AD809 AD813 AD815 AD817 AD819 AD821 AD823 AD825 AD827">
    <cfRule type="dataBar" priority="1123">
      <dataBar>
        <cfvo type="num" val="0"/>
        <cfvo type="num" val="1"/>
        <color theme="4" tint="0.79998168889431442"/>
      </dataBar>
      <extLst>
        <ext xmlns:x14="http://schemas.microsoft.com/office/spreadsheetml/2009/9/main" uri="{B025F937-C7B1-47D3-B67F-A62EFF666E3E}">
          <x14:id>{CFC850A5-E6C2-46C5-AA6C-FD63EE2646C9}</x14:id>
        </ext>
      </extLst>
    </cfRule>
    <cfRule type="iconSet" priority="1122">
      <iconSet iconSet="3Arrows">
        <cfvo type="percent" val="0"/>
        <cfvo type="num" val="0.7"/>
        <cfvo type="num" val="1"/>
      </iconSet>
    </cfRule>
  </conditionalFormatting>
  <conditionalFormatting sqref="AD829">
    <cfRule type="dataBar" priority="1121">
      <dataBar>
        <cfvo type="num" val="0"/>
        <cfvo type="num" val="1"/>
        <color theme="4" tint="0.79998168889431442"/>
      </dataBar>
      <extLst>
        <ext xmlns:x14="http://schemas.microsoft.com/office/spreadsheetml/2009/9/main" uri="{B025F937-C7B1-47D3-B67F-A62EFF666E3E}">
          <x14:id>{082A96DC-CAB4-47EA-B76A-A3586AE6290B}</x14:id>
        </ext>
      </extLst>
    </cfRule>
    <cfRule type="iconSet" priority="1120">
      <iconSet iconSet="3Arrows">
        <cfvo type="percent" val="0"/>
        <cfvo type="num" val="0.7"/>
        <cfvo type="num" val="1"/>
      </iconSet>
    </cfRule>
  </conditionalFormatting>
  <conditionalFormatting sqref="AD831">
    <cfRule type="dataBar" priority="1119">
      <dataBar>
        <cfvo type="num" val="0"/>
        <cfvo type="num" val="1"/>
        <color theme="4" tint="0.79998168889431442"/>
      </dataBar>
      <extLst>
        <ext xmlns:x14="http://schemas.microsoft.com/office/spreadsheetml/2009/9/main" uri="{B025F937-C7B1-47D3-B67F-A62EFF666E3E}">
          <x14:id>{898C717B-FA66-4607-8111-4EFEBE4FC9ED}</x14:id>
        </ext>
      </extLst>
    </cfRule>
    <cfRule type="iconSet" priority="1118">
      <iconSet iconSet="3Arrows">
        <cfvo type="percent" val="0"/>
        <cfvo type="num" val="0.7"/>
        <cfvo type="num" val="1"/>
      </iconSet>
    </cfRule>
  </conditionalFormatting>
  <conditionalFormatting sqref="AD833">
    <cfRule type="dataBar" priority="1117">
      <dataBar>
        <cfvo type="num" val="0"/>
        <cfvo type="num" val="1"/>
        <color theme="4" tint="0.79998168889431442"/>
      </dataBar>
      <extLst>
        <ext xmlns:x14="http://schemas.microsoft.com/office/spreadsheetml/2009/9/main" uri="{B025F937-C7B1-47D3-B67F-A62EFF666E3E}">
          <x14:id>{0A063E22-6391-44E3-BE4D-EF06552DAF21}</x14:id>
        </ext>
      </extLst>
    </cfRule>
    <cfRule type="iconSet" priority="1116">
      <iconSet iconSet="3Arrows">
        <cfvo type="percent" val="0"/>
        <cfvo type="num" val="0.7"/>
        <cfvo type="num" val="1"/>
      </iconSet>
    </cfRule>
  </conditionalFormatting>
  <conditionalFormatting sqref="AD835">
    <cfRule type="dataBar" priority="1115">
      <dataBar>
        <cfvo type="num" val="0"/>
        <cfvo type="num" val="1"/>
        <color theme="4" tint="0.79998168889431442"/>
      </dataBar>
      <extLst>
        <ext xmlns:x14="http://schemas.microsoft.com/office/spreadsheetml/2009/9/main" uri="{B025F937-C7B1-47D3-B67F-A62EFF666E3E}">
          <x14:id>{74088569-E85B-476F-AB31-359C07F09F75}</x14:id>
        </ext>
      </extLst>
    </cfRule>
    <cfRule type="iconSet" priority="1114">
      <iconSet iconSet="3Arrows">
        <cfvo type="percent" val="0"/>
        <cfvo type="num" val="0.7"/>
        <cfvo type="num" val="1"/>
      </iconSet>
    </cfRule>
  </conditionalFormatting>
  <conditionalFormatting sqref="AD837">
    <cfRule type="dataBar" priority="1113">
      <dataBar>
        <cfvo type="num" val="0"/>
        <cfvo type="num" val="1"/>
        <color theme="4" tint="0.79998168889431442"/>
      </dataBar>
      <extLst>
        <ext xmlns:x14="http://schemas.microsoft.com/office/spreadsheetml/2009/9/main" uri="{B025F937-C7B1-47D3-B67F-A62EFF666E3E}">
          <x14:id>{D8E0146B-1F4C-4862-AC8A-7A71748D5A3A}</x14:id>
        </ext>
      </extLst>
    </cfRule>
    <cfRule type="iconSet" priority="1112">
      <iconSet iconSet="3Arrows">
        <cfvo type="percent" val="0"/>
        <cfvo type="num" val="0.7"/>
        <cfvo type="num" val="1"/>
      </iconSet>
    </cfRule>
  </conditionalFormatting>
  <conditionalFormatting sqref="AD839">
    <cfRule type="iconSet" priority="1110">
      <iconSet iconSet="3Arrows">
        <cfvo type="percent" val="0"/>
        <cfvo type="num" val="0.7"/>
        <cfvo type="num" val="1"/>
      </iconSet>
    </cfRule>
    <cfRule type="dataBar" priority="1111">
      <dataBar>
        <cfvo type="num" val="0"/>
        <cfvo type="num" val="1"/>
        <color theme="4" tint="0.79998168889431442"/>
      </dataBar>
      <extLst>
        <ext xmlns:x14="http://schemas.microsoft.com/office/spreadsheetml/2009/9/main" uri="{B025F937-C7B1-47D3-B67F-A62EFF666E3E}">
          <x14:id>{282516FD-03C6-4652-871E-95D3A0EC4B62}</x14:id>
        </ext>
      </extLst>
    </cfRule>
  </conditionalFormatting>
  <conditionalFormatting sqref="AD841">
    <cfRule type="iconSet" priority="1108">
      <iconSet iconSet="3Arrows">
        <cfvo type="percent" val="0"/>
        <cfvo type="num" val="0.7"/>
        <cfvo type="num" val="1"/>
      </iconSet>
    </cfRule>
    <cfRule type="dataBar" priority="1109">
      <dataBar>
        <cfvo type="num" val="0"/>
        <cfvo type="num" val="1"/>
        <color theme="4" tint="0.79998168889431442"/>
      </dataBar>
      <extLst>
        <ext xmlns:x14="http://schemas.microsoft.com/office/spreadsheetml/2009/9/main" uri="{B025F937-C7B1-47D3-B67F-A62EFF666E3E}">
          <x14:id>{48EA5A6B-F522-4CAF-A0C7-B1C3601BFB7C}</x14:id>
        </ext>
      </extLst>
    </cfRule>
  </conditionalFormatting>
  <conditionalFormatting sqref="AD843">
    <cfRule type="iconSet" priority="1106">
      <iconSet iconSet="3Arrows">
        <cfvo type="percent" val="0"/>
        <cfvo type="num" val="0.7"/>
        <cfvo type="num" val="1"/>
      </iconSet>
    </cfRule>
    <cfRule type="dataBar" priority="1107">
      <dataBar>
        <cfvo type="num" val="0"/>
        <cfvo type="num" val="1"/>
        <color theme="4" tint="0.79998168889431442"/>
      </dataBar>
      <extLst>
        <ext xmlns:x14="http://schemas.microsoft.com/office/spreadsheetml/2009/9/main" uri="{B025F937-C7B1-47D3-B67F-A62EFF666E3E}">
          <x14:id>{D31CA707-18C7-481F-AFA1-D6E7D3102274}</x14:id>
        </ext>
      </extLst>
    </cfRule>
  </conditionalFormatting>
  <conditionalFormatting sqref="AD845">
    <cfRule type="iconSet" priority="1104">
      <iconSet iconSet="3Arrows">
        <cfvo type="percent" val="0"/>
        <cfvo type="num" val="0.7"/>
        <cfvo type="num" val="1"/>
      </iconSet>
    </cfRule>
    <cfRule type="dataBar" priority="1105">
      <dataBar>
        <cfvo type="num" val="0"/>
        <cfvo type="num" val="1"/>
        <color theme="4" tint="0.79998168889431442"/>
      </dataBar>
      <extLst>
        <ext xmlns:x14="http://schemas.microsoft.com/office/spreadsheetml/2009/9/main" uri="{B025F937-C7B1-47D3-B67F-A62EFF666E3E}">
          <x14:id>{BC0038CD-B8F5-4C6A-A61C-990EA4B28D6C}</x14:id>
        </ext>
      </extLst>
    </cfRule>
  </conditionalFormatting>
  <conditionalFormatting sqref="AD851">
    <cfRule type="iconSet" priority="1102">
      <iconSet iconSet="3Arrows">
        <cfvo type="percent" val="0"/>
        <cfvo type="num" val="0.7"/>
        <cfvo type="num" val="1"/>
      </iconSet>
    </cfRule>
    <cfRule type="dataBar" priority="1103">
      <dataBar>
        <cfvo type="num" val="0"/>
        <cfvo type="num" val="1"/>
        <color theme="4" tint="0.79998168889431442"/>
      </dataBar>
      <extLst>
        <ext xmlns:x14="http://schemas.microsoft.com/office/spreadsheetml/2009/9/main" uri="{B025F937-C7B1-47D3-B67F-A62EFF666E3E}">
          <x14:id>{15CB5842-690A-4518-BA51-4D3759D33C97}</x14:id>
        </ext>
      </extLst>
    </cfRule>
  </conditionalFormatting>
  <conditionalFormatting sqref="AD853">
    <cfRule type="iconSet" priority="1100">
      <iconSet iconSet="3Arrows">
        <cfvo type="percent" val="0"/>
        <cfvo type="num" val="0.7"/>
        <cfvo type="num" val="1"/>
      </iconSet>
    </cfRule>
    <cfRule type="dataBar" priority="1101">
      <dataBar>
        <cfvo type="num" val="0"/>
        <cfvo type="num" val="1"/>
        <color theme="4" tint="0.79998168889431442"/>
      </dataBar>
      <extLst>
        <ext xmlns:x14="http://schemas.microsoft.com/office/spreadsheetml/2009/9/main" uri="{B025F937-C7B1-47D3-B67F-A62EFF666E3E}">
          <x14:id>{5AAFB768-DAC6-4045-83AC-421CC3B53BF6}</x14:id>
        </ext>
      </extLst>
    </cfRule>
  </conditionalFormatting>
  <conditionalFormatting sqref="AD855">
    <cfRule type="iconSet" priority="1098">
      <iconSet iconSet="3Arrows">
        <cfvo type="percent" val="0"/>
        <cfvo type="num" val="0.7"/>
        <cfvo type="num" val="1"/>
      </iconSet>
    </cfRule>
    <cfRule type="dataBar" priority="1099">
      <dataBar>
        <cfvo type="num" val="0"/>
        <cfvo type="num" val="1"/>
        <color theme="4" tint="0.79998168889431442"/>
      </dataBar>
      <extLst>
        <ext xmlns:x14="http://schemas.microsoft.com/office/spreadsheetml/2009/9/main" uri="{B025F937-C7B1-47D3-B67F-A62EFF666E3E}">
          <x14:id>{FFDF628F-8079-45C3-8030-C106CD430E8E}</x14:id>
        </ext>
      </extLst>
    </cfRule>
  </conditionalFormatting>
  <conditionalFormatting sqref="AD857">
    <cfRule type="dataBar" priority="1097">
      <dataBar>
        <cfvo type="num" val="0"/>
        <cfvo type="num" val="1"/>
        <color theme="4" tint="0.79998168889431442"/>
      </dataBar>
      <extLst>
        <ext xmlns:x14="http://schemas.microsoft.com/office/spreadsheetml/2009/9/main" uri="{B025F937-C7B1-47D3-B67F-A62EFF666E3E}">
          <x14:id>{ED83EDD9-84C3-449B-9468-1D898B6D7E93}</x14:id>
        </ext>
      </extLst>
    </cfRule>
    <cfRule type="iconSet" priority="1096">
      <iconSet iconSet="3Arrows">
        <cfvo type="percent" val="0"/>
        <cfvo type="num" val="0.7"/>
        <cfvo type="num" val="1"/>
      </iconSet>
    </cfRule>
  </conditionalFormatting>
  <conditionalFormatting sqref="AD859 AD861 AD863 AD865 AD867 AD869">
    <cfRule type="iconSet" priority="1094">
      <iconSet iconSet="3Arrows">
        <cfvo type="percent" val="0"/>
        <cfvo type="num" val="0.7"/>
        <cfvo type="num" val="1"/>
      </iconSet>
    </cfRule>
    <cfRule type="dataBar" priority="1095">
      <dataBar>
        <cfvo type="num" val="0"/>
        <cfvo type="num" val="1"/>
        <color theme="4" tint="0.79998168889431442"/>
      </dataBar>
      <extLst>
        <ext xmlns:x14="http://schemas.microsoft.com/office/spreadsheetml/2009/9/main" uri="{B025F937-C7B1-47D3-B67F-A62EFF666E3E}">
          <x14:id>{4114F832-5BAD-4B20-81B7-1EF829415E97}</x14:id>
        </ext>
      </extLst>
    </cfRule>
  </conditionalFormatting>
  <conditionalFormatting sqref="AD871 AD873 AD875 AD877 AD879">
    <cfRule type="iconSet" priority="1092">
      <iconSet iconSet="3Arrows">
        <cfvo type="percent" val="0"/>
        <cfvo type="num" val="0.7"/>
        <cfvo type="num" val="1"/>
      </iconSet>
    </cfRule>
    <cfRule type="dataBar" priority="1093">
      <dataBar>
        <cfvo type="num" val="0"/>
        <cfvo type="num" val="1"/>
        <color theme="4" tint="0.79998168889431442"/>
      </dataBar>
      <extLst>
        <ext xmlns:x14="http://schemas.microsoft.com/office/spreadsheetml/2009/9/main" uri="{B025F937-C7B1-47D3-B67F-A62EFF666E3E}">
          <x14:id>{CFB20E33-D24F-4843-A45E-B241F38B4C11}</x14:id>
        </ext>
      </extLst>
    </cfRule>
  </conditionalFormatting>
  <conditionalFormatting sqref="AD881">
    <cfRule type="iconSet" priority="1090">
      <iconSet iconSet="3Arrows">
        <cfvo type="percent" val="0"/>
        <cfvo type="num" val="0.7"/>
        <cfvo type="num" val="1"/>
      </iconSet>
    </cfRule>
    <cfRule type="dataBar" priority="1091">
      <dataBar>
        <cfvo type="num" val="0"/>
        <cfvo type="num" val="1"/>
        <color theme="4" tint="0.79998168889431442"/>
      </dataBar>
      <extLst>
        <ext xmlns:x14="http://schemas.microsoft.com/office/spreadsheetml/2009/9/main" uri="{B025F937-C7B1-47D3-B67F-A62EFF666E3E}">
          <x14:id>{4A88DDAD-0121-4E9D-861F-FF3652E34E88}</x14:id>
        </ext>
      </extLst>
    </cfRule>
  </conditionalFormatting>
  <conditionalFormatting sqref="AD883">
    <cfRule type="iconSet" priority="1088">
      <iconSet iconSet="3Arrows">
        <cfvo type="percent" val="0"/>
        <cfvo type="num" val="0.7"/>
        <cfvo type="num" val="1"/>
      </iconSet>
    </cfRule>
    <cfRule type="dataBar" priority="1089">
      <dataBar>
        <cfvo type="num" val="0"/>
        <cfvo type="num" val="1"/>
        <color theme="4" tint="0.79998168889431442"/>
      </dataBar>
      <extLst>
        <ext xmlns:x14="http://schemas.microsoft.com/office/spreadsheetml/2009/9/main" uri="{B025F937-C7B1-47D3-B67F-A62EFF666E3E}">
          <x14:id>{F8A1665F-9CAF-44BE-903B-98DC825F050B}</x14:id>
        </ext>
      </extLst>
    </cfRule>
  </conditionalFormatting>
  <conditionalFormatting sqref="AD886">
    <cfRule type="dataBar" priority="1087">
      <dataBar>
        <cfvo type="num" val="0"/>
        <cfvo type="num" val="1"/>
        <color theme="4" tint="0.79998168889431442"/>
      </dataBar>
      <extLst>
        <ext xmlns:x14="http://schemas.microsoft.com/office/spreadsheetml/2009/9/main" uri="{B025F937-C7B1-47D3-B67F-A62EFF666E3E}">
          <x14:id>{591C85C4-9C23-4EF8-BFEA-4EB51580155D}</x14:id>
        </ext>
      </extLst>
    </cfRule>
    <cfRule type="iconSet" priority="1086">
      <iconSet iconSet="3Arrows">
        <cfvo type="percent" val="0"/>
        <cfvo type="num" val="0.7"/>
        <cfvo type="num" val="1"/>
      </iconSet>
    </cfRule>
  </conditionalFormatting>
  <conditionalFormatting sqref="AD888">
    <cfRule type="dataBar" priority="1085">
      <dataBar>
        <cfvo type="num" val="0"/>
        <cfvo type="num" val="1"/>
        <color theme="4" tint="0.79998168889431442"/>
      </dataBar>
      <extLst>
        <ext xmlns:x14="http://schemas.microsoft.com/office/spreadsheetml/2009/9/main" uri="{B025F937-C7B1-47D3-B67F-A62EFF666E3E}">
          <x14:id>{94315E26-5BFA-41E1-BA56-B508EE989529}</x14:id>
        </ext>
      </extLst>
    </cfRule>
    <cfRule type="iconSet" priority="1084">
      <iconSet iconSet="3Arrows">
        <cfvo type="percent" val="0"/>
        <cfvo type="num" val="0.7"/>
        <cfvo type="num" val="1"/>
      </iconSet>
    </cfRule>
  </conditionalFormatting>
  <conditionalFormatting sqref="AD890 AD892">
    <cfRule type="iconSet" priority="1082">
      <iconSet iconSet="3Arrows">
        <cfvo type="percent" val="0"/>
        <cfvo type="num" val="0.7"/>
        <cfvo type="num" val="1"/>
      </iconSet>
    </cfRule>
    <cfRule type="dataBar" priority="1083">
      <dataBar>
        <cfvo type="num" val="0"/>
        <cfvo type="num" val="1"/>
        <color theme="4" tint="0.79998168889431442"/>
      </dataBar>
      <extLst>
        <ext xmlns:x14="http://schemas.microsoft.com/office/spreadsheetml/2009/9/main" uri="{B025F937-C7B1-47D3-B67F-A62EFF666E3E}">
          <x14:id>{7053AA02-B27E-41E6-A371-9D53B45FB5D9}</x14:id>
        </ext>
      </extLst>
    </cfRule>
  </conditionalFormatting>
  <conditionalFormatting sqref="AD894">
    <cfRule type="iconSet" priority="1080">
      <iconSet iconSet="3Arrows">
        <cfvo type="percent" val="0"/>
        <cfvo type="num" val="0.7"/>
        <cfvo type="num" val="1"/>
      </iconSet>
    </cfRule>
    <cfRule type="dataBar" priority="1081">
      <dataBar>
        <cfvo type="num" val="0"/>
        <cfvo type="num" val="1"/>
        <color theme="4" tint="0.79998168889431442"/>
      </dataBar>
      <extLst>
        <ext xmlns:x14="http://schemas.microsoft.com/office/spreadsheetml/2009/9/main" uri="{B025F937-C7B1-47D3-B67F-A62EFF666E3E}">
          <x14:id>{BD20A2C3-76EA-4792-8C93-200849DAE986}</x14:id>
        </ext>
      </extLst>
    </cfRule>
  </conditionalFormatting>
  <conditionalFormatting sqref="AD896 AD898">
    <cfRule type="dataBar" priority="1079">
      <dataBar>
        <cfvo type="num" val="0"/>
        <cfvo type="num" val="1"/>
        <color theme="4" tint="0.79998168889431442"/>
      </dataBar>
      <extLst>
        <ext xmlns:x14="http://schemas.microsoft.com/office/spreadsheetml/2009/9/main" uri="{B025F937-C7B1-47D3-B67F-A62EFF666E3E}">
          <x14:id>{736A046B-81BD-418C-A713-625BE5C4AC4E}</x14:id>
        </ext>
      </extLst>
    </cfRule>
    <cfRule type="iconSet" priority="1078">
      <iconSet iconSet="3Arrows">
        <cfvo type="percent" val="0"/>
        <cfvo type="num" val="0.7"/>
        <cfvo type="num" val="1"/>
      </iconSet>
    </cfRule>
  </conditionalFormatting>
  <conditionalFormatting sqref="AD900">
    <cfRule type="dataBar" priority="1077">
      <dataBar>
        <cfvo type="num" val="0"/>
        <cfvo type="num" val="1"/>
        <color theme="4" tint="0.79998168889431442"/>
      </dataBar>
      <extLst>
        <ext xmlns:x14="http://schemas.microsoft.com/office/spreadsheetml/2009/9/main" uri="{B025F937-C7B1-47D3-B67F-A62EFF666E3E}">
          <x14:id>{D236C1D1-29BF-487B-9DF1-0D6516731D12}</x14:id>
        </ext>
      </extLst>
    </cfRule>
    <cfRule type="iconSet" priority="1076">
      <iconSet iconSet="3Arrows">
        <cfvo type="percent" val="0"/>
        <cfvo type="num" val="0.7"/>
        <cfvo type="num" val="1"/>
      </iconSet>
    </cfRule>
  </conditionalFormatting>
  <conditionalFormatting sqref="AD902 AD904">
    <cfRule type="dataBar" priority="1075">
      <dataBar>
        <cfvo type="num" val="0"/>
        <cfvo type="num" val="1"/>
        <color theme="4" tint="0.79998168889431442"/>
      </dataBar>
      <extLst>
        <ext xmlns:x14="http://schemas.microsoft.com/office/spreadsheetml/2009/9/main" uri="{B025F937-C7B1-47D3-B67F-A62EFF666E3E}">
          <x14:id>{09D453ED-3774-4114-A876-7047CCE191D8}</x14:id>
        </ext>
      </extLst>
    </cfRule>
    <cfRule type="iconSet" priority="1074">
      <iconSet iconSet="3Arrows">
        <cfvo type="percent" val="0"/>
        <cfvo type="num" val="0.7"/>
        <cfvo type="num" val="1"/>
      </iconSet>
    </cfRule>
  </conditionalFormatting>
  <conditionalFormatting sqref="AD906">
    <cfRule type="dataBar" priority="1073">
      <dataBar>
        <cfvo type="num" val="0"/>
        <cfvo type="num" val="1"/>
        <color theme="4" tint="0.79998168889431442"/>
      </dataBar>
      <extLst>
        <ext xmlns:x14="http://schemas.microsoft.com/office/spreadsheetml/2009/9/main" uri="{B025F937-C7B1-47D3-B67F-A62EFF666E3E}">
          <x14:id>{F6B324E8-AC0A-4BB1-960E-AE0B8A501C20}</x14:id>
        </ext>
      </extLst>
    </cfRule>
    <cfRule type="iconSet" priority="1072">
      <iconSet iconSet="3Arrows">
        <cfvo type="percent" val="0"/>
        <cfvo type="num" val="0.7"/>
        <cfvo type="num" val="1"/>
      </iconSet>
    </cfRule>
  </conditionalFormatting>
  <conditionalFormatting sqref="AD908 AD910">
    <cfRule type="iconSet" priority="1070">
      <iconSet iconSet="3Arrows">
        <cfvo type="percent" val="0"/>
        <cfvo type="num" val="0.7"/>
        <cfvo type="num" val="1"/>
      </iconSet>
    </cfRule>
    <cfRule type="dataBar" priority="1071">
      <dataBar>
        <cfvo type="num" val="0"/>
        <cfvo type="num" val="1"/>
        <color theme="4" tint="0.79998168889431442"/>
      </dataBar>
      <extLst>
        <ext xmlns:x14="http://schemas.microsoft.com/office/spreadsheetml/2009/9/main" uri="{B025F937-C7B1-47D3-B67F-A62EFF666E3E}">
          <x14:id>{CAC64C74-0506-4ECA-821A-1CF84D5473E1}</x14:id>
        </ext>
      </extLst>
    </cfRule>
  </conditionalFormatting>
  <conditionalFormatting sqref="AD912">
    <cfRule type="dataBar" priority="1069">
      <dataBar>
        <cfvo type="num" val="0"/>
        <cfvo type="num" val="1"/>
        <color theme="4" tint="0.79998168889431442"/>
      </dataBar>
      <extLst>
        <ext xmlns:x14="http://schemas.microsoft.com/office/spreadsheetml/2009/9/main" uri="{B025F937-C7B1-47D3-B67F-A62EFF666E3E}">
          <x14:id>{808F5AC4-5842-481C-8076-C01FE4D4BF87}</x14:id>
        </ext>
      </extLst>
    </cfRule>
    <cfRule type="iconSet" priority="1068">
      <iconSet iconSet="3Arrows">
        <cfvo type="percent" val="0"/>
        <cfvo type="num" val="0.7"/>
        <cfvo type="num" val="1"/>
      </iconSet>
    </cfRule>
  </conditionalFormatting>
  <conditionalFormatting sqref="AD914 AD916">
    <cfRule type="iconSet" priority="1066">
      <iconSet iconSet="3Arrows">
        <cfvo type="percent" val="0"/>
        <cfvo type="num" val="0.7"/>
        <cfvo type="num" val="1"/>
      </iconSet>
    </cfRule>
    <cfRule type="dataBar" priority="1067">
      <dataBar>
        <cfvo type="num" val="0"/>
        <cfvo type="num" val="1"/>
        <color theme="4" tint="0.79998168889431442"/>
      </dataBar>
      <extLst>
        <ext xmlns:x14="http://schemas.microsoft.com/office/spreadsheetml/2009/9/main" uri="{B025F937-C7B1-47D3-B67F-A62EFF666E3E}">
          <x14:id>{C3E4EEFF-4649-4BC8-9403-2E1F8FDDB625}</x14:id>
        </ext>
      </extLst>
    </cfRule>
  </conditionalFormatting>
  <conditionalFormatting sqref="AD918">
    <cfRule type="iconSet" priority="1064">
      <iconSet iconSet="3Arrows">
        <cfvo type="percent" val="0"/>
        <cfvo type="num" val="0.7"/>
        <cfvo type="num" val="1"/>
      </iconSet>
    </cfRule>
    <cfRule type="dataBar" priority="1065">
      <dataBar>
        <cfvo type="num" val="0"/>
        <cfvo type="num" val="1"/>
        <color theme="4" tint="0.79998168889431442"/>
      </dataBar>
      <extLst>
        <ext xmlns:x14="http://schemas.microsoft.com/office/spreadsheetml/2009/9/main" uri="{B025F937-C7B1-47D3-B67F-A62EFF666E3E}">
          <x14:id>{557BB593-92E7-4807-BA66-D251154F5669}</x14:id>
        </ext>
      </extLst>
    </cfRule>
  </conditionalFormatting>
  <conditionalFormatting sqref="AD920">
    <cfRule type="iconSet" priority="1062">
      <iconSet iconSet="3Arrows">
        <cfvo type="percent" val="0"/>
        <cfvo type="num" val="0.7"/>
        <cfvo type="num" val="1"/>
      </iconSet>
    </cfRule>
    <cfRule type="dataBar" priority="1063">
      <dataBar>
        <cfvo type="num" val="0"/>
        <cfvo type="num" val="1"/>
        <color theme="4" tint="0.79998168889431442"/>
      </dataBar>
      <extLst>
        <ext xmlns:x14="http://schemas.microsoft.com/office/spreadsheetml/2009/9/main" uri="{B025F937-C7B1-47D3-B67F-A62EFF666E3E}">
          <x14:id>{CFC63C1E-058E-4DA2-A244-84B571219C82}</x14:id>
        </ext>
      </extLst>
    </cfRule>
  </conditionalFormatting>
  <conditionalFormatting sqref="AD924">
    <cfRule type="dataBar" priority="1061">
      <dataBar>
        <cfvo type="num" val="0"/>
        <cfvo type="num" val="1"/>
        <color theme="4" tint="0.79998168889431442"/>
      </dataBar>
      <extLst>
        <ext xmlns:x14="http://schemas.microsoft.com/office/spreadsheetml/2009/9/main" uri="{B025F937-C7B1-47D3-B67F-A62EFF666E3E}">
          <x14:id>{BC55D733-C788-4949-B4E4-B91A7FD6AD6F}</x14:id>
        </ext>
      </extLst>
    </cfRule>
    <cfRule type="iconSet" priority="1060">
      <iconSet iconSet="3Arrows">
        <cfvo type="percent" val="0"/>
        <cfvo type="num" val="0.7"/>
        <cfvo type="num" val="1"/>
      </iconSet>
    </cfRule>
  </conditionalFormatting>
  <conditionalFormatting sqref="AD926">
    <cfRule type="iconSet" priority="1058">
      <iconSet iconSet="3Arrows">
        <cfvo type="percent" val="0"/>
        <cfvo type="num" val="0.7"/>
        <cfvo type="num" val="1"/>
      </iconSet>
    </cfRule>
    <cfRule type="dataBar" priority="1059">
      <dataBar>
        <cfvo type="num" val="0"/>
        <cfvo type="num" val="1"/>
        <color theme="4" tint="0.79998168889431442"/>
      </dataBar>
      <extLst>
        <ext xmlns:x14="http://schemas.microsoft.com/office/spreadsheetml/2009/9/main" uri="{B025F937-C7B1-47D3-B67F-A62EFF666E3E}">
          <x14:id>{18035758-40A8-4144-A731-7E685B4DF8CB}</x14:id>
        </ext>
      </extLst>
    </cfRule>
  </conditionalFormatting>
  <conditionalFormatting sqref="AD928 AD930">
    <cfRule type="dataBar" priority="1057">
      <dataBar>
        <cfvo type="num" val="0"/>
        <cfvo type="num" val="1"/>
        <color theme="4" tint="0.79998168889431442"/>
      </dataBar>
      <extLst>
        <ext xmlns:x14="http://schemas.microsoft.com/office/spreadsheetml/2009/9/main" uri="{B025F937-C7B1-47D3-B67F-A62EFF666E3E}">
          <x14:id>{B92EB612-9E94-4CB6-836F-AC6E6933016B}</x14:id>
        </ext>
      </extLst>
    </cfRule>
    <cfRule type="iconSet" priority="1056">
      <iconSet iconSet="3Arrows">
        <cfvo type="percent" val="0"/>
        <cfvo type="num" val="0.7"/>
        <cfvo type="num" val="1"/>
      </iconSet>
    </cfRule>
  </conditionalFormatting>
  <conditionalFormatting sqref="AD932">
    <cfRule type="dataBar" priority="1055">
      <dataBar>
        <cfvo type="num" val="0"/>
        <cfvo type="num" val="1"/>
        <color theme="4" tint="0.79998168889431442"/>
      </dataBar>
      <extLst>
        <ext xmlns:x14="http://schemas.microsoft.com/office/spreadsheetml/2009/9/main" uri="{B025F937-C7B1-47D3-B67F-A62EFF666E3E}">
          <x14:id>{8AEE2A1D-D1F4-48D0-A485-B6F0F23EBB6E}</x14:id>
        </ext>
      </extLst>
    </cfRule>
    <cfRule type="iconSet" priority="1054">
      <iconSet iconSet="3Arrows">
        <cfvo type="percent" val="0"/>
        <cfvo type="num" val="0.7"/>
        <cfvo type="num" val="1"/>
      </iconSet>
    </cfRule>
  </conditionalFormatting>
  <conditionalFormatting sqref="AD934 AD936">
    <cfRule type="dataBar" priority="1053">
      <dataBar>
        <cfvo type="num" val="0"/>
        <cfvo type="num" val="1"/>
        <color theme="4" tint="0.79998168889431442"/>
      </dataBar>
      <extLst>
        <ext xmlns:x14="http://schemas.microsoft.com/office/spreadsheetml/2009/9/main" uri="{B025F937-C7B1-47D3-B67F-A62EFF666E3E}">
          <x14:id>{8942E9FE-D37E-4A62-8F52-6D704C90C0C8}</x14:id>
        </ext>
      </extLst>
    </cfRule>
    <cfRule type="iconSet" priority="1052">
      <iconSet iconSet="3Arrows">
        <cfvo type="percent" val="0"/>
        <cfvo type="num" val="0.7"/>
        <cfvo type="num" val="1"/>
      </iconSet>
    </cfRule>
  </conditionalFormatting>
  <conditionalFormatting sqref="AD938">
    <cfRule type="dataBar" priority="1051">
      <dataBar>
        <cfvo type="num" val="0"/>
        <cfvo type="num" val="1"/>
        <color theme="4" tint="0.79998168889431442"/>
      </dataBar>
      <extLst>
        <ext xmlns:x14="http://schemas.microsoft.com/office/spreadsheetml/2009/9/main" uri="{B025F937-C7B1-47D3-B67F-A62EFF666E3E}">
          <x14:id>{D1A5BA4A-AEC6-40F1-94F6-6B58C73F6DE1}</x14:id>
        </ext>
      </extLst>
    </cfRule>
    <cfRule type="iconSet" priority="1050">
      <iconSet iconSet="3Arrows">
        <cfvo type="percent" val="0"/>
        <cfvo type="num" val="0.7"/>
        <cfvo type="num" val="1"/>
      </iconSet>
    </cfRule>
  </conditionalFormatting>
  <conditionalFormatting sqref="AD941">
    <cfRule type="dataBar" priority="1049">
      <dataBar>
        <cfvo type="num" val="0"/>
        <cfvo type="num" val="1"/>
        <color theme="4" tint="0.79998168889431442"/>
      </dataBar>
      <extLst>
        <ext xmlns:x14="http://schemas.microsoft.com/office/spreadsheetml/2009/9/main" uri="{B025F937-C7B1-47D3-B67F-A62EFF666E3E}">
          <x14:id>{8F928A4D-DA95-4A51-A73D-931805D25E5C}</x14:id>
        </ext>
      </extLst>
    </cfRule>
    <cfRule type="iconSet" priority="1048">
      <iconSet iconSet="3Arrows">
        <cfvo type="percent" val="0"/>
        <cfvo type="num" val="0.7"/>
        <cfvo type="num" val="1"/>
      </iconSet>
    </cfRule>
  </conditionalFormatting>
  <conditionalFormatting sqref="AD943">
    <cfRule type="dataBar" priority="1047">
      <dataBar>
        <cfvo type="num" val="0"/>
        <cfvo type="num" val="1"/>
        <color theme="4" tint="0.79998168889431442"/>
      </dataBar>
      <extLst>
        <ext xmlns:x14="http://schemas.microsoft.com/office/spreadsheetml/2009/9/main" uri="{B025F937-C7B1-47D3-B67F-A62EFF666E3E}">
          <x14:id>{B652E4AA-1735-4505-975E-41269803D73A}</x14:id>
        </ext>
      </extLst>
    </cfRule>
    <cfRule type="iconSet" priority="1046">
      <iconSet iconSet="3Arrows">
        <cfvo type="percent" val="0"/>
        <cfvo type="num" val="0.7"/>
        <cfvo type="num" val="1"/>
      </iconSet>
    </cfRule>
  </conditionalFormatting>
  <conditionalFormatting sqref="AD945 AD947">
    <cfRule type="iconSet" priority="1044">
      <iconSet iconSet="3Arrows">
        <cfvo type="percent" val="0"/>
        <cfvo type="num" val="0.7"/>
        <cfvo type="num" val="1"/>
      </iconSet>
    </cfRule>
    <cfRule type="dataBar" priority="1045">
      <dataBar>
        <cfvo type="num" val="0"/>
        <cfvo type="num" val="1"/>
        <color theme="4" tint="0.79998168889431442"/>
      </dataBar>
      <extLst>
        <ext xmlns:x14="http://schemas.microsoft.com/office/spreadsheetml/2009/9/main" uri="{B025F937-C7B1-47D3-B67F-A62EFF666E3E}">
          <x14:id>{E790373D-8C54-4E2D-951E-CF3CFCE46C1B}</x14:id>
        </ext>
      </extLst>
    </cfRule>
  </conditionalFormatting>
  <conditionalFormatting sqref="AD949">
    <cfRule type="dataBar" priority="1043">
      <dataBar>
        <cfvo type="num" val="0"/>
        <cfvo type="num" val="1"/>
        <color theme="4" tint="0.79998168889431442"/>
      </dataBar>
      <extLst>
        <ext xmlns:x14="http://schemas.microsoft.com/office/spreadsheetml/2009/9/main" uri="{B025F937-C7B1-47D3-B67F-A62EFF666E3E}">
          <x14:id>{27435022-85E1-4CD9-BA4C-DB0A2802D904}</x14:id>
        </ext>
      </extLst>
    </cfRule>
    <cfRule type="iconSet" priority="1042">
      <iconSet iconSet="3Arrows">
        <cfvo type="percent" val="0"/>
        <cfvo type="num" val="0.7"/>
        <cfvo type="num" val="1"/>
      </iconSet>
    </cfRule>
  </conditionalFormatting>
  <conditionalFormatting sqref="AD951 AD953">
    <cfRule type="dataBar" priority="1041">
      <dataBar>
        <cfvo type="num" val="0"/>
        <cfvo type="num" val="1"/>
        <color theme="4" tint="0.79998168889431442"/>
      </dataBar>
      <extLst>
        <ext xmlns:x14="http://schemas.microsoft.com/office/spreadsheetml/2009/9/main" uri="{B025F937-C7B1-47D3-B67F-A62EFF666E3E}">
          <x14:id>{8E9BD97B-9CEC-4B1E-A3D0-2EE2835B9063}</x14:id>
        </ext>
      </extLst>
    </cfRule>
    <cfRule type="iconSet" priority="1040">
      <iconSet iconSet="3Arrows">
        <cfvo type="percent" val="0"/>
        <cfvo type="num" val="0.7"/>
        <cfvo type="num" val="1"/>
      </iconSet>
    </cfRule>
  </conditionalFormatting>
  <conditionalFormatting sqref="AD955">
    <cfRule type="dataBar" priority="1039">
      <dataBar>
        <cfvo type="num" val="0"/>
        <cfvo type="num" val="1"/>
        <color theme="4" tint="0.79998168889431442"/>
      </dataBar>
      <extLst>
        <ext xmlns:x14="http://schemas.microsoft.com/office/spreadsheetml/2009/9/main" uri="{B025F937-C7B1-47D3-B67F-A62EFF666E3E}">
          <x14:id>{E742BA73-C7DA-4B4A-A76D-F94C829A618C}</x14:id>
        </ext>
      </extLst>
    </cfRule>
    <cfRule type="iconSet" priority="1038">
      <iconSet iconSet="3Arrows">
        <cfvo type="percent" val="0"/>
        <cfvo type="num" val="0.7"/>
        <cfvo type="num" val="1"/>
      </iconSet>
    </cfRule>
  </conditionalFormatting>
  <conditionalFormatting sqref="AD957 AD959">
    <cfRule type="dataBar" priority="1037">
      <dataBar>
        <cfvo type="num" val="0"/>
        <cfvo type="num" val="1"/>
        <color theme="4" tint="0.79998168889431442"/>
      </dataBar>
      <extLst>
        <ext xmlns:x14="http://schemas.microsoft.com/office/spreadsheetml/2009/9/main" uri="{B025F937-C7B1-47D3-B67F-A62EFF666E3E}">
          <x14:id>{CE995190-6D96-4C7F-A220-308750907BD8}</x14:id>
        </ext>
      </extLst>
    </cfRule>
    <cfRule type="iconSet" priority="1036">
      <iconSet iconSet="3Arrows">
        <cfvo type="percent" val="0"/>
        <cfvo type="num" val="0.7"/>
        <cfvo type="num" val="1"/>
      </iconSet>
    </cfRule>
  </conditionalFormatting>
  <conditionalFormatting sqref="AD961">
    <cfRule type="dataBar" priority="1035">
      <dataBar>
        <cfvo type="num" val="0"/>
        <cfvo type="num" val="1"/>
        <color theme="4" tint="0.79998168889431442"/>
      </dataBar>
      <extLst>
        <ext xmlns:x14="http://schemas.microsoft.com/office/spreadsheetml/2009/9/main" uri="{B025F937-C7B1-47D3-B67F-A62EFF666E3E}">
          <x14:id>{71CDEBA9-4211-4755-B6D6-CB8C64F0DF10}</x14:id>
        </ext>
      </extLst>
    </cfRule>
    <cfRule type="iconSet" priority="1034">
      <iconSet iconSet="3Arrows">
        <cfvo type="percent" val="0"/>
        <cfvo type="num" val="0.7"/>
        <cfvo type="num" val="1"/>
      </iconSet>
    </cfRule>
  </conditionalFormatting>
  <conditionalFormatting sqref="AD963 AD965">
    <cfRule type="dataBar" priority="1033">
      <dataBar>
        <cfvo type="num" val="0"/>
        <cfvo type="num" val="1"/>
        <color theme="4" tint="0.79998168889431442"/>
      </dataBar>
      <extLst>
        <ext xmlns:x14="http://schemas.microsoft.com/office/spreadsheetml/2009/9/main" uri="{B025F937-C7B1-47D3-B67F-A62EFF666E3E}">
          <x14:id>{5930898E-7B18-4BE3-8BB4-332C6AEB1BC0}</x14:id>
        </ext>
      </extLst>
    </cfRule>
    <cfRule type="iconSet" priority="1032">
      <iconSet iconSet="3Arrows">
        <cfvo type="percent" val="0"/>
        <cfvo type="num" val="0.7"/>
        <cfvo type="num" val="1"/>
      </iconSet>
    </cfRule>
  </conditionalFormatting>
  <conditionalFormatting sqref="AD967">
    <cfRule type="dataBar" priority="1031">
      <dataBar>
        <cfvo type="num" val="0"/>
        <cfvo type="num" val="1"/>
        <color theme="4" tint="0.79998168889431442"/>
      </dataBar>
      <extLst>
        <ext xmlns:x14="http://schemas.microsoft.com/office/spreadsheetml/2009/9/main" uri="{B025F937-C7B1-47D3-B67F-A62EFF666E3E}">
          <x14:id>{44230003-2BC3-4F79-8B10-64DC159823A1}</x14:id>
        </ext>
      </extLst>
    </cfRule>
    <cfRule type="iconSet" priority="1030">
      <iconSet iconSet="3Arrows">
        <cfvo type="percent" val="0"/>
        <cfvo type="num" val="0.7"/>
        <cfvo type="num" val="1"/>
      </iconSet>
    </cfRule>
  </conditionalFormatting>
  <conditionalFormatting sqref="AD971">
    <cfRule type="iconSet" priority="1029">
      <iconSet iconSet="3Signs">
        <cfvo type="percent" val="0"/>
        <cfvo type="num" val="0.75"/>
        <cfvo type="num" val="1"/>
      </iconSet>
    </cfRule>
  </conditionalFormatting>
  <conditionalFormatting sqref="AD973">
    <cfRule type="iconSet" priority="1027">
      <iconSet iconSet="3Arrows">
        <cfvo type="percent" val="0"/>
        <cfvo type="num" val="0.7"/>
        <cfvo type="num" val="1"/>
      </iconSet>
    </cfRule>
    <cfRule type="dataBar" priority="1028">
      <dataBar>
        <cfvo type="num" val="0"/>
        <cfvo type="num" val="1"/>
        <color theme="4" tint="0.79998168889431442"/>
      </dataBar>
      <extLst>
        <ext xmlns:x14="http://schemas.microsoft.com/office/spreadsheetml/2009/9/main" uri="{B025F937-C7B1-47D3-B67F-A62EFF666E3E}">
          <x14:id>{44F61445-2562-4E6D-8C46-8E6B415B1BA0}</x14:id>
        </ext>
      </extLst>
    </cfRule>
  </conditionalFormatting>
  <conditionalFormatting sqref="AD975 AD977">
    <cfRule type="iconSet" priority="1025">
      <iconSet iconSet="3Arrows">
        <cfvo type="percent" val="0"/>
        <cfvo type="num" val="0.7"/>
        <cfvo type="num" val="1"/>
      </iconSet>
    </cfRule>
    <cfRule type="dataBar" priority="1026">
      <dataBar>
        <cfvo type="num" val="0"/>
        <cfvo type="num" val="1"/>
        <color theme="4" tint="0.79998168889431442"/>
      </dataBar>
      <extLst>
        <ext xmlns:x14="http://schemas.microsoft.com/office/spreadsheetml/2009/9/main" uri="{B025F937-C7B1-47D3-B67F-A62EFF666E3E}">
          <x14:id>{93620174-1EF5-4DC2-8EDA-F00932C87098}</x14:id>
        </ext>
      </extLst>
    </cfRule>
  </conditionalFormatting>
  <conditionalFormatting sqref="AD979">
    <cfRule type="iconSet" priority="1023">
      <iconSet iconSet="3Arrows">
        <cfvo type="percent" val="0"/>
        <cfvo type="num" val="0.7"/>
        <cfvo type="num" val="1"/>
      </iconSet>
    </cfRule>
    <cfRule type="dataBar" priority="1024">
      <dataBar>
        <cfvo type="num" val="0"/>
        <cfvo type="num" val="1"/>
        <color theme="4" tint="0.79998168889431442"/>
      </dataBar>
      <extLst>
        <ext xmlns:x14="http://schemas.microsoft.com/office/spreadsheetml/2009/9/main" uri="{B025F937-C7B1-47D3-B67F-A62EFF666E3E}">
          <x14:id>{806B5AB9-3071-4E1A-AB32-D88D83D16427}</x14:id>
        </ext>
      </extLst>
    </cfRule>
  </conditionalFormatting>
  <conditionalFormatting sqref="AD981 AD983">
    <cfRule type="dataBar" priority="1022">
      <dataBar>
        <cfvo type="num" val="0"/>
        <cfvo type="num" val="1"/>
        <color theme="4" tint="0.79998168889431442"/>
      </dataBar>
      <extLst>
        <ext xmlns:x14="http://schemas.microsoft.com/office/spreadsheetml/2009/9/main" uri="{B025F937-C7B1-47D3-B67F-A62EFF666E3E}">
          <x14:id>{C03A1D89-172C-4663-A11D-1A4FC985A6DE}</x14:id>
        </ext>
      </extLst>
    </cfRule>
    <cfRule type="iconSet" priority="1021">
      <iconSet iconSet="3Arrows">
        <cfvo type="percent" val="0"/>
        <cfvo type="num" val="0.7"/>
        <cfvo type="num" val="1"/>
      </iconSet>
    </cfRule>
  </conditionalFormatting>
  <conditionalFormatting sqref="AD985">
    <cfRule type="iconSet" priority="1019">
      <iconSet iconSet="3Arrows">
        <cfvo type="percent" val="0"/>
        <cfvo type="num" val="0.7"/>
        <cfvo type="num" val="1"/>
      </iconSet>
    </cfRule>
    <cfRule type="dataBar" priority="1020">
      <dataBar>
        <cfvo type="num" val="0"/>
        <cfvo type="num" val="1"/>
        <color theme="4" tint="0.79998168889431442"/>
      </dataBar>
      <extLst>
        <ext xmlns:x14="http://schemas.microsoft.com/office/spreadsheetml/2009/9/main" uri="{B025F937-C7B1-47D3-B67F-A62EFF666E3E}">
          <x14:id>{78584FE7-02F5-4017-8733-C044EF060411}</x14:id>
        </ext>
      </extLst>
    </cfRule>
  </conditionalFormatting>
  <conditionalFormatting sqref="AD987 AD989">
    <cfRule type="dataBar" priority="1018">
      <dataBar>
        <cfvo type="num" val="0"/>
        <cfvo type="num" val="1"/>
        <color theme="4" tint="0.79998168889431442"/>
      </dataBar>
      <extLst>
        <ext xmlns:x14="http://schemas.microsoft.com/office/spreadsheetml/2009/9/main" uri="{B025F937-C7B1-47D3-B67F-A62EFF666E3E}">
          <x14:id>{F8B6BF3C-F526-4090-A981-9BC516EC2017}</x14:id>
        </ext>
      </extLst>
    </cfRule>
    <cfRule type="iconSet" priority="1017">
      <iconSet iconSet="3Arrows">
        <cfvo type="percent" val="0"/>
        <cfvo type="num" val="0.7"/>
        <cfvo type="num" val="1"/>
      </iconSet>
    </cfRule>
  </conditionalFormatting>
  <conditionalFormatting sqref="AD991">
    <cfRule type="dataBar" priority="1016">
      <dataBar>
        <cfvo type="num" val="0"/>
        <cfvo type="num" val="1"/>
        <color theme="4" tint="0.79998168889431442"/>
      </dataBar>
      <extLst>
        <ext xmlns:x14="http://schemas.microsoft.com/office/spreadsheetml/2009/9/main" uri="{B025F937-C7B1-47D3-B67F-A62EFF666E3E}">
          <x14:id>{7B2F9FEF-C6CF-4F96-A297-E527AB5AF85A}</x14:id>
        </ext>
      </extLst>
    </cfRule>
    <cfRule type="iconSet" priority="1015">
      <iconSet iconSet="3Arrows">
        <cfvo type="percent" val="0"/>
        <cfvo type="num" val="0.7"/>
        <cfvo type="num" val="1"/>
      </iconSet>
    </cfRule>
  </conditionalFormatting>
  <conditionalFormatting sqref="AD994">
    <cfRule type="dataBar" priority="1014">
      <dataBar>
        <cfvo type="num" val="0"/>
        <cfvo type="num" val="1"/>
        <color theme="4" tint="0.79998168889431442"/>
      </dataBar>
      <extLst>
        <ext xmlns:x14="http://schemas.microsoft.com/office/spreadsheetml/2009/9/main" uri="{B025F937-C7B1-47D3-B67F-A62EFF666E3E}">
          <x14:id>{375364E2-0D1E-4770-9499-E74AB0EA17A8}</x14:id>
        </ext>
      </extLst>
    </cfRule>
    <cfRule type="iconSet" priority="1013">
      <iconSet iconSet="3Arrows">
        <cfvo type="percent" val="0"/>
        <cfvo type="num" val="0.7"/>
        <cfvo type="num" val="1"/>
      </iconSet>
    </cfRule>
  </conditionalFormatting>
  <conditionalFormatting sqref="AD997">
    <cfRule type="iconSet" priority="1011">
      <iconSet iconSet="3Arrows">
        <cfvo type="percent" val="0"/>
        <cfvo type="num" val="0.7"/>
        <cfvo type="num" val="1"/>
      </iconSet>
    </cfRule>
    <cfRule type="dataBar" priority="1012">
      <dataBar>
        <cfvo type="num" val="0"/>
        <cfvo type="num" val="1"/>
        <color theme="4" tint="0.79998168889431442"/>
      </dataBar>
      <extLst>
        <ext xmlns:x14="http://schemas.microsoft.com/office/spreadsheetml/2009/9/main" uri="{B025F937-C7B1-47D3-B67F-A62EFF666E3E}">
          <x14:id>{1932ED43-82AB-4B41-B394-4513BAD431DF}</x14:id>
        </ext>
      </extLst>
    </cfRule>
  </conditionalFormatting>
  <conditionalFormatting sqref="AD999 AD1001 AD1003">
    <cfRule type="dataBar" priority="1010">
      <dataBar>
        <cfvo type="num" val="0"/>
        <cfvo type="num" val="1"/>
        <color theme="4" tint="0.79998168889431442"/>
      </dataBar>
      <extLst>
        <ext xmlns:x14="http://schemas.microsoft.com/office/spreadsheetml/2009/9/main" uri="{B025F937-C7B1-47D3-B67F-A62EFF666E3E}">
          <x14:id>{104BCF4F-6136-44AB-8C79-078D0895011D}</x14:id>
        </ext>
      </extLst>
    </cfRule>
    <cfRule type="iconSet" priority="1009">
      <iconSet iconSet="3Arrows">
        <cfvo type="percent" val="0"/>
        <cfvo type="num" val="0.7"/>
        <cfvo type="num" val="1"/>
      </iconSet>
    </cfRule>
  </conditionalFormatting>
  <conditionalFormatting sqref="AD1005">
    <cfRule type="dataBar" priority="1008">
      <dataBar>
        <cfvo type="num" val="0"/>
        <cfvo type="num" val="1"/>
        <color theme="4" tint="0.79998168889431442"/>
      </dataBar>
      <extLst>
        <ext xmlns:x14="http://schemas.microsoft.com/office/spreadsheetml/2009/9/main" uri="{B025F937-C7B1-47D3-B67F-A62EFF666E3E}">
          <x14:id>{DBF98FF7-F922-4ABB-8661-C586CBDE6D17}</x14:id>
        </ext>
      </extLst>
    </cfRule>
    <cfRule type="iconSet" priority="1007">
      <iconSet iconSet="3Arrows">
        <cfvo type="percent" val="0"/>
        <cfvo type="num" val="0.7"/>
        <cfvo type="num" val="1"/>
      </iconSet>
    </cfRule>
  </conditionalFormatting>
  <conditionalFormatting sqref="AD1007">
    <cfRule type="dataBar" priority="1006">
      <dataBar>
        <cfvo type="num" val="0"/>
        <cfvo type="num" val="1"/>
        <color theme="4" tint="0.79998168889431442"/>
      </dataBar>
      <extLst>
        <ext xmlns:x14="http://schemas.microsoft.com/office/spreadsheetml/2009/9/main" uri="{B025F937-C7B1-47D3-B67F-A62EFF666E3E}">
          <x14:id>{504AE4E5-72E2-47A2-8779-30B51870D7FF}</x14:id>
        </ext>
      </extLst>
    </cfRule>
    <cfRule type="iconSet" priority="1005">
      <iconSet iconSet="3Arrows">
        <cfvo type="percent" val="0"/>
        <cfvo type="num" val="0.7"/>
        <cfvo type="num" val="1"/>
      </iconSet>
    </cfRule>
  </conditionalFormatting>
  <conditionalFormatting sqref="AD1009">
    <cfRule type="dataBar" priority="1004">
      <dataBar>
        <cfvo type="num" val="0"/>
        <cfvo type="num" val="1"/>
        <color theme="4" tint="0.79998168889431442"/>
      </dataBar>
      <extLst>
        <ext xmlns:x14="http://schemas.microsoft.com/office/spreadsheetml/2009/9/main" uri="{B025F937-C7B1-47D3-B67F-A62EFF666E3E}">
          <x14:id>{709BD638-3A3E-4FF7-96F2-29D11BD4A7B2}</x14:id>
        </ext>
      </extLst>
    </cfRule>
    <cfRule type="iconSet" priority="1003">
      <iconSet iconSet="3Arrows">
        <cfvo type="percent" val="0"/>
        <cfvo type="num" val="0.7"/>
        <cfvo type="num" val="1"/>
      </iconSet>
    </cfRule>
  </conditionalFormatting>
  <conditionalFormatting sqref="AD1011">
    <cfRule type="dataBar" priority="1002">
      <dataBar>
        <cfvo type="num" val="0"/>
        <cfvo type="num" val="1"/>
        <color theme="4" tint="0.79998168889431442"/>
      </dataBar>
      <extLst>
        <ext xmlns:x14="http://schemas.microsoft.com/office/spreadsheetml/2009/9/main" uri="{B025F937-C7B1-47D3-B67F-A62EFF666E3E}">
          <x14:id>{EDA86564-D7C5-4BC7-971B-BDB6AE023BFE}</x14:id>
        </ext>
      </extLst>
    </cfRule>
    <cfRule type="iconSet" priority="1001">
      <iconSet iconSet="3Arrows">
        <cfvo type="percent" val="0"/>
        <cfvo type="num" val="0.7"/>
        <cfvo type="num" val="1"/>
      </iconSet>
    </cfRule>
  </conditionalFormatting>
  <conditionalFormatting sqref="AD1013">
    <cfRule type="iconSet" priority="999">
      <iconSet iconSet="3Arrows">
        <cfvo type="percent" val="0"/>
        <cfvo type="num" val="0.7"/>
        <cfvo type="num" val="1"/>
      </iconSet>
    </cfRule>
    <cfRule type="dataBar" priority="1000">
      <dataBar>
        <cfvo type="num" val="0"/>
        <cfvo type="num" val="1"/>
        <color theme="4" tint="0.79998168889431442"/>
      </dataBar>
      <extLst>
        <ext xmlns:x14="http://schemas.microsoft.com/office/spreadsheetml/2009/9/main" uri="{B025F937-C7B1-47D3-B67F-A62EFF666E3E}">
          <x14:id>{7942F696-58B7-4A14-8275-EE42751FAF96}</x14:id>
        </ext>
      </extLst>
    </cfRule>
  </conditionalFormatting>
  <conditionalFormatting sqref="AD1015">
    <cfRule type="iconSet" priority="997">
      <iconSet iconSet="3Arrows">
        <cfvo type="percent" val="0"/>
        <cfvo type="num" val="0.7"/>
        <cfvo type="num" val="1"/>
      </iconSet>
    </cfRule>
    <cfRule type="dataBar" priority="998">
      <dataBar>
        <cfvo type="num" val="0"/>
        <cfvo type="num" val="1"/>
        <color theme="4" tint="0.79998168889431442"/>
      </dataBar>
      <extLst>
        <ext xmlns:x14="http://schemas.microsoft.com/office/spreadsheetml/2009/9/main" uri="{B025F937-C7B1-47D3-B67F-A62EFF666E3E}">
          <x14:id>{2F96ECD2-E697-4E1A-BF43-66DFA37B2394}</x14:id>
        </ext>
      </extLst>
    </cfRule>
  </conditionalFormatting>
  <conditionalFormatting sqref="AD1017">
    <cfRule type="dataBar" priority="996">
      <dataBar>
        <cfvo type="num" val="0"/>
        <cfvo type="num" val="1"/>
        <color theme="4" tint="0.79998168889431442"/>
      </dataBar>
      <extLst>
        <ext xmlns:x14="http://schemas.microsoft.com/office/spreadsheetml/2009/9/main" uri="{B025F937-C7B1-47D3-B67F-A62EFF666E3E}">
          <x14:id>{89B8213E-08AA-41AA-9598-2555237A3182}</x14:id>
        </ext>
      </extLst>
    </cfRule>
    <cfRule type="iconSet" priority="995">
      <iconSet iconSet="3Arrows">
        <cfvo type="percent" val="0"/>
        <cfvo type="num" val="0.7"/>
        <cfvo type="num" val="1"/>
      </iconSet>
    </cfRule>
  </conditionalFormatting>
  <conditionalFormatting sqref="AD1020">
    <cfRule type="iconSet" priority="993">
      <iconSet iconSet="3Arrows">
        <cfvo type="percent" val="0"/>
        <cfvo type="num" val="0.7"/>
        <cfvo type="num" val="1"/>
      </iconSet>
    </cfRule>
    <cfRule type="dataBar" priority="994">
      <dataBar>
        <cfvo type="num" val="0"/>
        <cfvo type="num" val="1"/>
        <color theme="4" tint="0.79998168889431442"/>
      </dataBar>
      <extLst>
        <ext xmlns:x14="http://schemas.microsoft.com/office/spreadsheetml/2009/9/main" uri="{B025F937-C7B1-47D3-B67F-A62EFF666E3E}">
          <x14:id>{2692B77E-AD96-4624-89AC-6A3A60E9D628}</x14:id>
        </ext>
      </extLst>
    </cfRule>
  </conditionalFormatting>
  <conditionalFormatting sqref="AD1022 AD1024 AD1026">
    <cfRule type="dataBar" priority="992">
      <dataBar>
        <cfvo type="num" val="0"/>
        <cfvo type="num" val="1"/>
        <color theme="4" tint="0.79998168889431442"/>
      </dataBar>
      <extLst>
        <ext xmlns:x14="http://schemas.microsoft.com/office/spreadsheetml/2009/9/main" uri="{B025F937-C7B1-47D3-B67F-A62EFF666E3E}">
          <x14:id>{F7AAAF87-508A-46E4-AB0D-2519CDA54349}</x14:id>
        </ext>
      </extLst>
    </cfRule>
    <cfRule type="iconSet" priority="991">
      <iconSet iconSet="3Arrows">
        <cfvo type="percent" val="0"/>
        <cfvo type="num" val="0.7"/>
        <cfvo type="num" val="1"/>
      </iconSet>
    </cfRule>
  </conditionalFormatting>
  <conditionalFormatting sqref="AD1028 AD1030 AD1032">
    <cfRule type="dataBar" priority="990">
      <dataBar>
        <cfvo type="num" val="0"/>
        <cfvo type="num" val="1"/>
        <color theme="4" tint="0.79998168889431442"/>
      </dataBar>
      <extLst>
        <ext xmlns:x14="http://schemas.microsoft.com/office/spreadsheetml/2009/9/main" uri="{B025F937-C7B1-47D3-B67F-A62EFF666E3E}">
          <x14:id>{D5DE6EA2-7F0F-4C36-88E4-F1832826C9EA}</x14:id>
        </ext>
      </extLst>
    </cfRule>
    <cfRule type="iconSet" priority="989">
      <iconSet iconSet="3Arrows">
        <cfvo type="percent" val="0"/>
        <cfvo type="num" val="0.7"/>
        <cfvo type="num" val="1"/>
      </iconSet>
    </cfRule>
  </conditionalFormatting>
  <conditionalFormatting sqref="AD1034 AD1036 AD1038">
    <cfRule type="dataBar" priority="988">
      <dataBar>
        <cfvo type="num" val="0"/>
        <cfvo type="num" val="1"/>
        <color theme="4" tint="0.79998168889431442"/>
      </dataBar>
      <extLst>
        <ext xmlns:x14="http://schemas.microsoft.com/office/spreadsheetml/2009/9/main" uri="{B025F937-C7B1-47D3-B67F-A62EFF666E3E}">
          <x14:id>{AD7FF494-C53D-4346-97E9-93A9D59067DB}</x14:id>
        </ext>
      </extLst>
    </cfRule>
    <cfRule type="iconSet" priority="987">
      <iconSet iconSet="3Arrows">
        <cfvo type="percent" val="0"/>
        <cfvo type="num" val="0.7"/>
        <cfvo type="num" val="1"/>
      </iconSet>
    </cfRule>
  </conditionalFormatting>
  <conditionalFormatting sqref="AD1040 AD1042 AD1044">
    <cfRule type="dataBar" priority="986">
      <dataBar>
        <cfvo type="num" val="0"/>
        <cfvo type="num" val="1"/>
        <color theme="4" tint="0.79998168889431442"/>
      </dataBar>
      <extLst>
        <ext xmlns:x14="http://schemas.microsoft.com/office/spreadsheetml/2009/9/main" uri="{B025F937-C7B1-47D3-B67F-A62EFF666E3E}">
          <x14:id>{BB7C0ED0-3DC7-4320-AA90-46EC95EB34A2}</x14:id>
        </ext>
      </extLst>
    </cfRule>
    <cfRule type="iconSet" priority="985">
      <iconSet iconSet="3Arrows">
        <cfvo type="percent" val="0"/>
        <cfvo type="num" val="0.7"/>
        <cfvo type="num" val="1"/>
      </iconSet>
    </cfRule>
  </conditionalFormatting>
  <conditionalFormatting sqref="AD1046 AD1048 AD1050">
    <cfRule type="iconSet" priority="983">
      <iconSet iconSet="3Arrows">
        <cfvo type="percent" val="0"/>
        <cfvo type="num" val="0.7"/>
        <cfvo type="num" val="1"/>
      </iconSet>
    </cfRule>
    <cfRule type="dataBar" priority="984">
      <dataBar>
        <cfvo type="num" val="0"/>
        <cfvo type="num" val="1"/>
        <color theme="4" tint="0.79998168889431442"/>
      </dataBar>
      <extLst>
        <ext xmlns:x14="http://schemas.microsoft.com/office/spreadsheetml/2009/9/main" uri="{B025F937-C7B1-47D3-B67F-A62EFF666E3E}">
          <x14:id>{7E0D63C3-8220-42DC-B4BE-1CD26D10A39E}</x14:id>
        </ext>
      </extLst>
    </cfRule>
  </conditionalFormatting>
  <conditionalFormatting sqref="AD1052 AD1054 AD1056">
    <cfRule type="dataBar" priority="982">
      <dataBar>
        <cfvo type="num" val="0"/>
        <cfvo type="num" val="1"/>
        <color theme="4" tint="0.79998168889431442"/>
      </dataBar>
      <extLst>
        <ext xmlns:x14="http://schemas.microsoft.com/office/spreadsheetml/2009/9/main" uri="{B025F937-C7B1-47D3-B67F-A62EFF666E3E}">
          <x14:id>{421F244A-1B58-40AB-B42B-5A9DDE44C32F}</x14:id>
        </ext>
      </extLst>
    </cfRule>
    <cfRule type="iconSet" priority="981">
      <iconSet iconSet="3Arrows">
        <cfvo type="percent" val="0"/>
        <cfvo type="num" val="0.7"/>
        <cfvo type="num" val="1"/>
      </iconSet>
    </cfRule>
  </conditionalFormatting>
  <conditionalFormatting sqref="AD1058 AD1060 AD1062">
    <cfRule type="iconSet" priority="979">
      <iconSet iconSet="3Arrows">
        <cfvo type="percent" val="0"/>
        <cfvo type="num" val="0.7"/>
        <cfvo type="num" val="1"/>
      </iconSet>
    </cfRule>
    <cfRule type="dataBar" priority="980">
      <dataBar>
        <cfvo type="num" val="0"/>
        <cfvo type="num" val="1"/>
        <color theme="4" tint="0.79998168889431442"/>
      </dataBar>
      <extLst>
        <ext xmlns:x14="http://schemas.microsoft.com/office/spreadsheetml/2009/9/main" uri="{B025F937-C7B1-47D3-B67F-A62EFF666E3E}">
          <x14:id>{5EA4CA9D-4C21-402B-AEC5-4D7BEE1E11EE}</x14:id>
        </ext>
      </extLst>
    </cfRule>
  </conditionalFormatting>
  <conditionalFormatting sqref="AD1064 AD1066 AD1068">
    <cfRule type="iconSet" priority="977">
      <iconSet iconSet="3Arrows">
        <cfvo type="percent" val="0"/>
        <cfvo type="num" val="0.7"/>
        <cfvo type="num" val="1"/>
      </iconSet>
    </cfRule>
    <cfRule type="dataBar" priority="978">
      <dataBar>
        <cfvo type="num" val="0"/>
        <cfvo type="num" val="1"/>
        <color theme="4" tint="0.79998168889431442"/>
      </dataBar>
      <extLst>
        <ext xmlns:x14="http://schemas.microsoft.com/office/spreadsheetml/2009/9/main" uri="{B025F937-C7B1-47D3-B67F-A62EFF666E3E}">
          <x14:id>{873C3EFC-4AAD-43A6-AEE5-86BDAE503F3C}</x14:id>
        </ext>
      </extLst>
    </cfRule>
  </conditionalFormatting>
  <conditionalFormatting sqref="AD1070 AD1072 AD1074">
    <cfRule type="dataBar" priority="976">
      <dataBar>
        <cfvo type="num" val="0"/>
        <cfvo type="num" val="1"/>
        <color theme="4" tint="0.79998168889431442"/>
      </dataBar>
      <extLst>
        <ext xmlns:x14="http://schemas.microsoft.com/office/spreadsheetml/2009/9/main" uri="{B025F937-C7B1-47D3-B67F-A62EFF666E3E}">
          <x14:id>{FC02E8CA-8401-4C27-9A87-3FD4C3D4CF0B}</x14:id>
        </ext>
      </extLst>
    </cfRule>
    <cfRule type="iconSet" priority="975">
      <iconSet iconSet="3Arrows">
        <cfvo type="percent" val="0"/>
        <cfvo type="num" val="0.7"/>
        <cfvo type="num" val="1"/>
      </iconSet>
    </cfRule>
  </conditionalFormatting>
  <conditionalFormatting sqref="AD1076 AD1080">
    <cfRule type="dataBar" priority="974">
      <dataBar>
        <cfvo type="num" val="0"/>
        <cfvo type="num" val="1"/>
        <color theme="4" tint="0.79998168889431442"/>
      </dataBar>
      <extLst>
        <ext xmlns:x14="http://schemas.microsoft.com/office/spreadsheetml/2009/9/main" uri="{B025F937-C7B1-47D3-B67F-A62EFF666E3E}">
          <x14:id>{63684DA2-DBF7-4144-B026-3A78EC624912}</x14:id>
        </ext>
      </extLst>
    </cfRule>
    <cfRule type="iconSet" priority="973">
      <iconSet iconSet="3Arrows">
        <cfvo type="percent" val="0"/>
        <cfvo type="num" val="0.7"/>
        <cfvo type="num" val="1"/>
      </iconSet>
    </cfRule>
  </conditionalFormatting>
  <conditionalFormatting sqref="AD1078">
    <cfRule type="iconSet" priority="971">
      <iconSet iconSet="3Arrows">
        <cfvo type="percent" val="0"/>
        <cfvo type="num" val="0.7"/>
        <cfvo type="num" val="1"/>
      </iconSet>
    </cfRule>
    <cfRule type="dataBar" priority="972">
      <dataBar>
        <cfvo type="num" val="0"/>
        <cfvo type="num" val="1"/>
        <color theme="4" tint="0.79998168889431442"/>
      </dataBar>
      <extLst>
        <ext xmlns:x14="http://schemas.microsoft.com/office/spreadsheetml/2009/9/main" uri="{B025F937-C7B1-47D3-B67F-A62EFF666E3E}">
          <x14:id>{0044B9D5-E48A-4CBA-B03B-236508D496B5}</x14:id>
        </ext>
      </extLst>
    </cfRule>
  </conditionalFormatting>
  <conditionalFormatting sqref="AD1082">
    <cfRule type="dataBar" priority="970">
      <dataBar>
        <cfvo type="num" val="0"/>
        <cfvo type="num" val="1"/>
        <color theme="4" tint="0.79998168889431442"/>
      </dataBar>
      <extLst>
        <ext xmlns:x14="http://schemas.microsoft.com/office/spreadsheetml/2009/9/main" uri="{B025F937-C7B1-47D3-B67F-A62EFF666E3E}">
          <x14:id>{EEEA1151-75F5-4294-A2CC-7DE9E9A2FEFE}</x14:id>
        </ext>
      </extLst>
    </cfRule>
    <cfRule type="iconSet" priority="969">
      <iconSet iconSet="3Arrows">
        <cfvo type="percent" val="0"/>
        <cfvo type="num" val="0.7"/>
        <cfvo type="num" val="1"/>
      </iconSet>
    </cfRule>
  </conditionalFormatting>
  <conditionalFormatting sqref="AD1085">
    <cfRule type="dataBar" priority="968">
      <dataBar>
        <cfvo type="num" val="0"/>
        <cfvo type="num" val="1"/>
        <color theme="4" tint="0.79998168889431442"/>
      </dataBar>
      <extLst>
        <ext xmlns:x14="http://schemas.microsoft.com/office/spreadsheetml/2009/9/main" uri="{B025F937-C7B1-47D3-B67F-A62EFF666E3E}">
          <x14:id>{6870BCF7-345A-40CF-A5DD-0BB388E2F535}</x14:id>
        </ext>
      </extLst>
    </cfRule>
    <cfRule type="iconSet" priority="967">
      <iconSet iconSet="3Arrows">
        <cfvo type="percent" val="0"/>
        <cfvo type="num" val="0.7"/>
        <cfvo type="num" val="1"/>
      </iconSet>
    </cfRule>
  </conditionalFormatting>
  <conditionalFormatting sqref="AD1087">
    <cfRule type="dataBar" priority="966">
      <dataBar>
        <cfvo type="num" val="0"/>
        <cfvo type="num" val="1"/>
        <color theme="4" tint="0.79998168889431442"/>
      </dataBar>
      <extLst>
        <ext xmlns:x14="http://schemas.microsoft.com/office/spreadsheetml/2009/9/main" uri="{B025F937-C7B1-47D3-B67F-A62EFF666E3E}">
          <x14:id>{6F5D0506-4813-495F-8EE2-BAA3E536DC30}</x14:id>
        </ext>
      </extLst>
    </cfRule>
    <cfRule type="iconSet" priority="965">
      <iconSet iconSet="3Arrows">
        <cfvo type="percent" val="0"/>
        <cfvo type="num" val="0.7"/>
        <cfvo type="num" val="1"/>
      </iconSet>
    </cfRule>
  </conditionalFormatting>
  <conditionalFormatting sqref="AD1089 AD1091 AD1093 AD1095 AD1097 AD1099 AD1101 AD1103">
    <cfRule type="dataBar" priority="964">
      <dataBar>
        <cfvo type="num" val="0"/>
        <cfvo type="num" val="1"/>
        <color theme="4" tint="0.79998168889431442"/>
      </dataBar>
      <extLst>
        <ext xmlns:x14="http://schemas.microsoft.com/office/spreadsheetml/2009/9/main" uri="{B025F937-C7B1-47D3-B67F-A62EFF666E3E}">
          <x14:id>{96EEA3F1-89B2-4171-B58E-7BB1FE2D013E}</x14:id>
        </ext>
      </extLst>
    </cfRule>
    <cfRule type="iconSet" priority="963">
      <iconSet iconSet="3Arrows">
        <cfvo type="percent" val="0"/>
        <cfvo type="num" val="0.7"/>
        <cfvo type="num" val="1"/>
      </iconSet>
    </cfRule>
  </conditionalFormatting>
  <conditionalFormatting sqref="AD1105 AD1107 AD1109 AD1111 AD1113 AD1115 AD1117">
    <cfRule type="dataBar" priority="962">
      <dataBar>
        <cfvo type="num" val="0"/>
        <cfvo type="num" val="1"/>
        <color theme="4" tint="0.79998168889431442"/>
      </dataBar>
      <extLst>
        <ext xmlns:x14="http://schemas.microsoft.com/office/spreadsheetml/2009/9/main" uri="{B025F937-C7B1-47D3-B67F-A62EFF666E3E}">
          <x14:id>{AF365311-202B-48FF-9E36-568EC6E24E3E}</x14:id>
        </ext>
      </extLst>
    </cfRule>
    <cfRule type="iconSet" priority="961">
      <iconSet iconSet="3Arrows">
        <cfvo type="percent" val="0"/>
        <cfvo type="num" val="0.7"/>
        <cfvo type="num" val="1"/>
      </iconSet>
    </cfRule>
  </conditionalFormatting>
  <conditionalFormatting sqref="AD1119">
    <cfRule type="dataBar" priority="960">
      <dataBar>
        <cfvo type="num" val="0"/>
        <cfvo type="num" val="1"/>
        <color theme="4" tint="0.79998168889431442"/>
      </dataBar>
      <extLst>
        <ext xmlns:x14="http://schemas.microsoft.com/office/spreadsheetml/2009/9/main" uri="{B025F937-C7B1-47D3-B67F-A62EFF666E3E}">
          <x14:id>{DBBA4043-C8CE-406C-8249-0AA3A5187A3B}</x14:id>
        </ext>
      </extLst>
    </cfRule>
    <cfRule type="iconSet" priority="959">
      <iconSet iconSet="3Arrows">
        <cfvo type="percent" val="0"/>
        <cfvo type="num" val="0.7"/>
        <cfvo type="num" val="1"/>
      </iconSet>
    </cfRule>
  </conditionalFormatting>
  <conditionalFormatting sqref="AD1121">
    <cfRule type="iconSet" priority="957">
      <iconSet iconSet="3Arrows">
        <cfvo type="percent" val="0"/>
        <cfvo type="num" val="0.7"/>
        <cfvo type="num" val="1"/>
      </iconSet>
    </cfRule>
    <cfRule type="dataBar" priority="958">
      <dataBar>
        <cfvo type="num" val="0"/>
        <cfvo type="num" val="1"/>
        <color theme="4" tint="0.79998168889431442"/>
      </dataBar>
      <extLst>
        <ext xmlns:x14="http://schemas.microsoft.com/office/spreadsheetml/2009/9/main" uri="{B025F937-C7B1-47D3-B67F-A62EFF666E3E}">
          <x14:id>{14C934EC-1162-4D02-81C2-EC17E93502D1}</x14:id>
        </ext>
      </extLst>
    </cfRule>
  </conditionalFormatting>
  <conditionalFormatting sqref="AD1125">
    <cfRule type="iconSet" priority="955">
      <iconSet iconSet="3Arrows">
        <cfvo type="percent" val="0"/>
        <cfvo type="num" val="0.7"/>
        <cfvo type="num" val="1"/>
      </iconSet>
    </cfRule>
    <cfRule type="dataBar" priority="956">
      <dataBar>
        <cfvo type="num" val="0"/>
        <cfvo type="num" val="1"/>
        <color theme="4" tint="0.79998168889431442"/>
      </dataBar>
      <extLst>
        <ext xmlns:x14="http://schemas.microsoft.com/office/spreadsheetml/2009/9/main" uri="{B025F937-C7B1-47D3-B67F-A62EFF666E3E}">
          <x14:id>{9CE44C2E-0FC9-4109-8564-80CC90A3FA7A}</x14:id>
        </ext>
      </extLst>
    </cfRule>
  </conditionalFormatting>
  <conditionalFormatting sqref="AD1128">
    <cfRule type="iconSet" priority="953">
      <iconSet iconSet="3Arrows">
        <cfvo type="percent" val="0"/>
        <cfvo type="num" val="0.7"/>
        <cfvo type="num" val="1"/>
      </iconSet>
    </cfRule>
    <cfRule type="dataBar" priority="954">
      <dataBar>
        <cfvo type="num" val="0"/>
        <cfvo type="num" val="1"/>
        <color theme="4" tint="0.79998168889431442"/>
      </dataBar>
      <extLst>
        <ext xmlns:x14="http://schemas.microsoft.com/office/spreadsheetml/2009/9/main" uri="{B025F937-C7B1-47D3-B67F-A62EFF666E3E}">
          <x14:id>{A7B864E0-4B31-43F0-9862-7FC7EF0ACC75}</x14:id>
        </ext>
      </extLst>
    </cfRule>
  </conditionalFormatting>
  <conditionalFormatting sqref="AD1130 AD1132 AD1134">
    <cfRule type="iconSet" priority="951">
      <iconSet iconSet="3Arrows">
        <cfvo type="percent" val="0"/>
        <cfvo type="num" val="0.7"/>
        <cfvo type="num" val="1"/>
      </iconSet>
    </cfRule>
    <cfRule type="dataBar" priority="952">
      <dataBar>
        <cfvo type="num" val="0"/>
        <cfvo type="num" val="1"/>
        <color theme="4" tint="0.79998168889431442"/>
      </dataBar>
      <extLst>
        <ext xmlns:x14="http://schemas.microsoft.com/office/spreadsheetml/2009/9/main" uri="{B025F937-C7B1-47D3-B67F-A62EFF666E3E}">
          <x14:id>{C4CC753E-3C37-4ABB-9E68-334D489CCBFC}</x14:id>
        </ext>
      </extLst>
    </cfRule>
  </conditionalFormatting>
  <conditionalFormatting sqref="AD1136 AD1138">
    <cfRule type="iconSet" priority="949">
      <iconSet iconSet="3Arrows">
        <cfvo type="percent" val="0"/>
        <cfvo type="num" val="0.7"/>
        <cfvo type="num" val="1"/>
      </iconSet>
    </cfRule>
    <cfRule type="dataBar" priority="950">
      <dataBar>
        <cfvo type="num" val="0"/>
        <cfvo type="num" val="1"/>
        <color theme="4" tint="0.79998168889431442"/>
      </dataBar>
      <extLst>
        <ext xmlns:x14="http://schemas.microsoft.com/office/spreadsheetml/2009/9/main" uri="{B025F937-C7B1-47D3-B67F-A62EFF666E3E}">
          <x14:id>{E8ACF0AD-7911-4F7B-B6BE-F2C03E076C8A}</x14:id>
        </ext>
      </extLst>
    </cfRule>
  </conditionalFormatting>
  <conditionalFormatting sqref="AD1140 AD1142 AD1144">
    <cfRule type="dataBar" priority="948">
      <dataBar>
        <cfvo type="num" val="0"/>
        <cfvo type="num" val="1"/>
        <color theme="4" tint="0.79998168889431442"/>
      </dataBar>
      <extLst>
        <ext xmlns:x14="http://schemas.microsoft.com/office/spreadsheetml/2009/9/main" uri="{B025F937-C7B1-47D3-B67F-A62EFF666E3E}">
          <x14:id>{721BEEB3-1228-49D0-B108-73FA30926AD0}</x14:id>
        </ext>
      </extLst>
    </cfRule>
    <cfRule type="iconSet" priority="947">
      <iconSet iconSet="3Arrows">
        <cfvo type="percent" val="0"/>
        <cfvo type="num" val="0.7"/>
        <cfvo type="num" val="1"/>
      </iconSet>
    </cfRule>
  </conditionalFormatting>
  <conditionalFormatting sqref="AD1146 AD1148 AD1150">
    <cfRule type="iconSet" priority="945">
      <iconSet iconSet="3Arrows">
        <cfvo type="percent" val="0"/>
        <cfvo type="num" val="0.7"/>
        <cfvo type="num" val="1"/>
      </iconSet>
    </cfRule>
    <cfRule type="dataBar" priority="946">
      <dataBar>
        <cfvo type="num" val="0"/>
        <cfvo type="num" val="1"/>
        <color theme="4" tint="0.79998168889431442"/>
      </dataBar>
      <extLst>
        <ext xmlns:x14="http://schemas.microsoft.com/office/spreadsheetml/2009/9/main" uri="{B025F937-C7B1-47D3-B67F-A62EFF666E3E}">
          <x14:id>{01AB24A5-4625-4661-85DD-578780C1B19F}</x14:id>
        </ext>
      </extLst>
    </cfRule>
  </conditionalFormatting>
  <conditionalFormatting sqref="AD1152 AD1154 AD1156">
    <cfRule type="dataBar" priority="944">
      <dataBar>
        <cfvo type="num" val="0"/>
        <cfvo type="num" val="1"/>
        <color theme="4" tint="0.79998168889431442"/>
      </dataBar>
      <extLst>
        <ext xmlns:x14="http://schemas.microsoft.com/office/spreadsheetml/2009/9/main" uri="{B025F937-C7B1-47D3-B67F-A62EFF666E3E}">
          <x14:id>{84FB3904-EF1E-49CE-AD9C-A7F0885C1B1D}</x14:id>
        </ext>
      </extLst>
    </cfRule>
    <cfRule type="iconSet" priority="943">
      <iconSet iconSet="3Arrows">
        <cfvo type="percent" val="0"/>
        <cfvo type="num" val="0.7"/>
        <cfvo type="num" val="1"/>
      </iconSet>
    </cfRule>
  </conditionalFormatting>
  <conditionalFormatting sqref="AD1158 AD1160 AD1162">
    <cfRule type="iconSet" priority="941">
      <iconSet iconSet="3Arrows">
        <cfvo type="percent" val="0"/>
        <cfvo type="num" val="0.7"/>
        <cfvo type="num" val="1"/>
      </iconSet>
    </cfRule>
    <cfRule type="dataBar" priority="942">
      <dataBar>
        <cfvo type="num" val="0"/>
        <cfvo type="num" val="1"/>
        <color theme="4" tint="0.79998168889431442"/>
      </dataBar>
      <extLst>
        <ext xmlns:x14="http://schemas.microsoft.com/office/spreadsheetml/2009/9/main" uri="{B025F937-C7B1-47D3-B67F-A62EFF666E3E}">
          <x14:id>{BEB6E84B-065A-4672-8FB4-0C10D856A98A}</x14:id>
        </ext>
      </extLst>
    </cfRule>
  </conditionalFormatting>
  <conditionalFormatting sqref="AD1166 AD1164 AD1168">
    <cfRule type="iconSet" priority="939">
      <iconSet iconSet="3Arrows">
        <cfvo type="percent" val="0"/>
        <cfvo type="num" val="0.7"/>
        <cfvo type="num" val="1"/>
      </iconSet>
    </cfRule>
    <cfRule type="dataBar" priority="940">
      <dataBar>
        <cfvo type="num" val="0"/>
        <cfvo type="num" val="1"/>
        <color theme="4" tint="0.79998168889431442"/>
      </dataBar>
      <extLst>
        <ext xmlns:x14="http://schemas.microsoft.com/office/spreadsheetml/2009/9/main" uri="{B025F937-C7B1-47D3-B67F-A62EFF666E3E}">
          <x14:id>{7650FC42-68AB-4B1F-AAE7-0C569E9678A0}</x14:id>
        </ext>
      </extLst>
    </cfRule>
  </conditionalFormatting>
  <conditionalFormatting sqref="AD1172 AD1170 AD1174">
    <cfRule type="iconSet" priority="937">
      <iconSet iconSet="3Arrows">
        <cfvo type="percent" val="0"/>
        <cfvo type="num" val="0.7"/>
        <cfvo type="num" val="1"/>
      </iconSet>
    </cfRule>
    <cfRule type="dataBar" priority="938">
      <dataBar>
        <cfvo type="num" val="0"/>
        <cfvo type="num" val="1"/>
        <color theme="4" tint="0.79998168889431442"/>
      </dataBar>
      <extLst>
        <ext xmlns:x14="http://schemas.microsoft.com/office/spreadsheetml/2009/9/main" uri="{B025F937-C7B1-47D3-B67F-A62EFF666E3E}">
          <x14:id>{E820D480-8E9B-400B-B9C4-124F3B7BA130}</x14:id>
        </ext>
      </extLst>
    </cfRule>
  </conditionalFormatting>
  <conditionalFormatting sqref="AD1178 AD1176 AD1180">
    <cfRule type="iconSet" priority="935">
      <iconSet iconSet="3Arrows">
        <cfvo type="percent" val="0"/>
        <cfvo type="num" val="0.7"/>
        <cfvo type="num" val="1"/>
      </iconSet>
    </cfRule>
    <cfRule type="dataBar" priority="936">
      <dataBar>
        <cfvo type="num" val="0"/>
        <cfvo type="num" val="1"/>
        <color theme="4" tint="0.79998168889431442"/>
      </dataBar>
      <extLst>
        <ext xmlns:x14="http://schemas.microsoft.com/office/spreadsheetml/2009/9/main" uri="{B025F937-C7B1-47D3-B67F-A62EFF666E3E}">
          <x14:id>{1B953332-E7A2-40C1-9269-379B093C1A0F}</x14:id>
        </ext>
      </extLst>
    </cfRule>
  </conditionalFormatting>
  <conditionalFormatting sqref="AD1182 AD1184 AD1186">
    <cfRule type="dataBar" priority="934">
      <dataBar>
        <cfvo type="num" val="0"/>
        <cfvo type="num" val="1"/>
        <color theme="4" tint="0.79998168889431442"/>
      </dataBar>
      <extLst>
        <ext xmlns:x14="http://schemas.microsoft.com/office/spreadsheetml/2009/9/main" uri="{B025F937-C7B1-47D3-B67F-A62EFF666E3E}">
          <x14:id>{6B6487DD-B06E-46FF-ACA4-9C7EFDE34D1D}</x14:id>
        </ext>
      </extLst>
    </cfRule>
    <cfRule type="iconSet" priority="933">
      <iconSet iconSet="3Arrows">
        <cfvo type="percent" val="0"/>
        <cfvo type="num" val="0.7"/>
        <cfvo type="num" val="1"/>
      </iconSet>
    </cfRule>
  </conditionalFormatting>
  <conditionalFormatting sqref="AD1188 AD1190 AD1192">
    <cfRule type="dataBar" priority="932">
      <dataBar>
        <cfvo type="num" val="0"/>
        <cfvo type="num" val="1"/>
        <color theme="4" tint="0.79998168889431442"/>
      </dataBar>
      <extLst>
        <ext xmlns:x14="http://schemas.microsoft.com/office/spreadsheetml/2009/9/main" uri="{B025F937-C7B1-47D3-B67F-A62EFF666E3E}">
          <x14:id>{7D0C7C13-D0A6-414B-B6AD-487CF754AFBB}</x14:id>
        </ext>
      </extLst>
    </cfRule>
    <cfRule type="iconSet" priority="931">
      <iconSet iconSet="3Arrows">
        <cfvo type="percent" val="0"/>
        <cfvo type="num" val="0.7"/>
        <cfvo type="num" val="1"/>
      </iconSet>
    </cfRule>
  </conditionalFormatting>
  <conditionalFormatting sqref="AD1194 AD1196">
    <cfRule type="iconSet" priority="929">
      <iconSet iconSet="3Arrows">
        <cfvo type="percent" val="0"/>
        <cfvo type="num" val="0.7"/>
        <cfvo type="num" val="1"/>
      </iconSet>
    </cfRule>
    <cfRule type="dataBar" priority="930">
      <dataBar>
        <cfvo type="num" val="0"/>
        <cfvo type="num" val="1"/>
        <color theme="4" tint="0.79998168889431442"/>
      </dataBar>
      <extLst>
        <ext xmlns:x14="http://schemas.microsoft.com/office/spreadsheetml/2009/9/main" uri="{B025F937-C7B1-47D3-B67F-A62EFF666E3E}">
          <x14:id>{77D049F1-1848-47DD-956A-D3126FF3F747}</x14:id>
        </ext>
      </extLst>
    </cfRule>
  </conditionalFormatting>
  <conditionalFormatting sqref="AD1199">
    <cfRule type="iconSet" priority="927">
      <iconSet iconSet="3Arrows">
        <cfvo type="percent" val="0"/>
        <cfvo type="num" val="0.7"/>
        <cfvo type="num" val="1"/>
      </iconSet>
    </cfRule>
    <cfRule type="dataBar" priority="928">
      <dataBar>
        <cfvo type="num" val="0"/>
        <cfvo type="num" val="1"/>
        <color theme="4" tint="0.79998168889431442"/>
      </dataBar>
      <extLst>
        <ext xmlns:x14="http://schemas.microsoft.com/office/spreadsheetml/2009/9/main" uri="{B025F937-C7B1-47D3-B67F-A62EFF666E3E}">
          <x14:id>{C19332BF-2458-4604-850B-8B2D57AFFD0D}</x14:id>
        </ext>
      </extLst>
    </cfRule>
  </conditionalFormatting>
  <conditionalFormatting sqref="AD1201">
    <cfRule type="iconSet" priority="925">
      <iconSet iconSet="3Arrows">
        <cfvo type="percent" val="0"/>
        <cfvo type="num" val="0.7"/>
        <cfvo type="num" val="1"/>
      </iconSet>
    </cfRule>
    <cfRule type="dataBar" priority="926">
      <dataBar>
        <cfvo type="num" val="0"/>
        <cfvo type="num" val="1"/>
        <color theme="4" tint="0.79998168889431442"/>
      </dataBar>
      <extLst>
        <ext xmlns:x14="http://schemas.microsoft.com/office/spreadsheetml/2009/9/main" uri="{B025F937-C7B1-47D3-B67F-A62EFF666E3E}">
          <x14:id>{780FD30C-6BE7-4BDD-B233-8059BA68A131}</x14:id>
        </ext>
      </extLst>
    </cfRule>
  </conditionalFormatting>
  <conditionalFormatting sqref="AD1203 AD1205 AD1207 AD1209 AD1211 AD1213">
    <cfRule type="iconSet" priority="923">
      <iconSet iconSet="3Arrows">
        <cfvo type="percent" val="0"/>
        <cfvo type="num" val="0.7"/>
        <cfvo type="num" val="1"/>
      </iconSet>
    </cfRule>
    <cfRule type="dataBar" priority="924">
      <dataBar>
        <cfvo type="num" val="0"/>
        <cfvo type="num" val="1"/>
        <color theme="4" tint="0.79998168889431442"/>
      </dataBar>
      <extLst>
        <ext xmlns:x14="http://schemas.microsoft.com/office/spreadsheetml/2009/9/main" uri="{B025F937-C7B1-47D3-B67F-A62EFF666E3E}">
          <x14:id>{B9CD401B-EDB7-46E3-AA3A-AD5FDDC0F624}</x14:id>
        </ext>
      </extLst>
    </cfRule>
  </conditionalFormatting>
  <conditionalFormatting sqref="AD1215 AD1217 AD1219 AD1221 AD1223 AD1225">
    <cfRule type="iconSet" priority="921">
      <iconSet iconSet="3Arrows">
        <cfvo type="percent" val="0"/>
        <cfvo type="num" val="0.7"/>
        <cfvo type="num" val="1"/>
      </iconSet>
    </cfRule>
    <cfRule type="dataBar" priority="922">
      <dataBar>
        <cfvo type="num" val="0"/>
        <cfvo type="num" val="1"/>
        <color theme="4" tint="0.79998168889431442"/>
      </dataBar>
      <extLst>
        <ext xmlns:x14="http://schemas.microsoft.com/office/spreadsheetml/2009/9/main" uri="{B025F937-C7B1-47D3-B67F-A62EFF666E3E}">
          <x14:id>{4BAA91AA-7A3B-4503-BD07-2DD05A059B4C}</x14:id>
        </ext>
      </extLst>
    </cfRule>
  </conditionalFormatting>
  <conditionalFormatting sqref="AD1227">
    <cfRule type="iconSet" priority="919">
      <iconSet iconSet="3Arrows">
        <cfvo type="percent" val="0"/>
        <cfvo type="num" val="0.7"/>
        <cfvo type="num" val="1"/>
      </iconSet>
    </cfRule>
    <cfRule type="dataBar" priority="920">
      <dataBar>
        <cfvo type="num" val="0"/>
        <cfvo type="num" val="1"/>
        <color theme="4" tint="0.79998168889431442"/>
      </dataBar>
      <extLst>
        <ext xmlns:x14="http://schemas.microsoft.com/office/spreadsheetml/2009/9/main" uri="{B025F937-C7B1-47D3-B67F-A62EFF666E3E}">
          <x14:id>{D7452820-4FB3-497C-B7F0-E56D328CA64D}</x14:id>
        </ext>
      </extLst>
    </cfRule>
  </conditionalFormatting>
  <conditionalFormatting sqref="AD1229 AD1231 AD1233 AD1235 AD1237 AD1239">
    <cfRule type="iconSet" priority="917">
      <iconSet iconSet="3Arrows">
        <cfvo type="percent" val="0"/>
        <cfvo type="num" val="0.7"/>
        <cfvo type="num" val="1"/>
      </iconSet>
    </cfRule>
    <cfRule type="dataBar" priority="918">
      <dataBar>
        <cfvo type="num" val="0"/>
        <cfvo type="num" val="1"/>
        <color theme="4" tint="0.79998168889431442"/>
      </dataBar>
      <extLst>
        <ext xmlns:x14="http://schemas.microsoft.com/office/spreadsheetml/2009/9/main" uri="{B025F937-C7B1-47D3-B67F-A62EFF666E3E}">
          <x14:id>{EA7AE886-2127-4905-AA32-DDE0AB4701EC}</x14:id>
        </ext>
      </extLst>
    </cfRule>
  </conditionalFormatting>
  <conditionalFormatting sqref="AD1241 AD1243 AD1245 AD1247 AD1249 AD1251">
    <cfRule type="iconSet" priority="915">
      <iconSet iconSet="3Arrows">
        <cfvo type="percent" val="0"/>
        <cfvo type="num" val="0.7"/>
        <cfvo type="num" val="1"/>
      </iconSet>
    </cfRule>
    <cfRule type="dataBar" priority="916">
      <dataBar>
        <cfvo type="num" val="0"/>
        <cfvo type="num" val="1"/>
        <color theme="4" tint="0.79998168889431442"/>
      </dataBar>
      <extLst>
        <ext xmlns:x14="http://schemas.microsoft.com/office/spreadsheetml/2009/9/main" uri="{B025F937-C7B1-47D3-B67F-A62EFF666E3E}">
          <x14:id>{4C5BBBEF-E85D-428E-BE9A-681CD795F759}</x14:id>
        </ext>
      </extLst>
    </cfRule>
  </conditionalFormatting>
  <conditionalFormatting sqref="AD1253">
    <cfRule type="dataBar" priority="914">
      <dataBar>
        <cfvo type="num" val="0"/>
        <cfvo type="num" val="1"/>
        <color theme="4" tint="0.79998168889431442"/>
      </dataBar>
      <extLst>
        <ext xmlns:x14="http://schemas.microsoft.com/office/spreadsheetml/2009/9/main" uri="{B025F937-C7B1-47D3-B67F-A62EFF666E3E}">
          <x14:id>{B254933D-196B-48ED-9055-56E85D1ACF78}</x14:id>
        </ext>
      </extLst>
    </cfRule>
    <cfRule type="iconSet" priority="913">
      <iconSet iconSet="3Arrows">
        <cfvo type="percent" val="0"/>
        <cfvo type="num" val="0.7"/>
        <cfvo type="num" val="1"/>
      </iconSet>
    </cfRule>
  </conditionalFormatting>
  <conditionalFormatting sqref="AD1255 AD1257 AD1259 AD1261 AD1263 AD1265">
    <cfRule type="iconSet" priority="911">
      <iconSet iconSet="3Arrows">
        <cfvo type="percent" val="0"/>
        <cfvo type="num" val="0.7"/>
        <cfvo type="num" val="1"/>
      </iconSet>
    </cfRule>
    <cfRule type="dataBar" priority="912">
      <dataBar>
        <cfvo type="num" val="0"/>
        <cfvo type="num" val="1"/>
        <color theme="4" tint="0.79998168889431442"/>
      </dataBar>
      <extLst>
        <ext xmlns:x14="http://schemas.microsoft.com/office/spreadsheetml/2009/9/main" uri="{B025F937-C7B1-47D3-B67F-A62EFF666E3E}">
          <x14:id>{A8F6CFE2-199F-4A23-9086-4960345AAC40}</x14:id>
        </ext>
      </extLst>
    </cfRule>
  </conditionalFormatting>
  <conditionalFormatting sqref="AD1267 AD1269 AD1271 AD1273 AD1275 AD1277">
    <cfRule type="iconSet" priority="909">
      <iconSet iconSet="3Arrows">
        <cfvo type="percent" val="0"/>
        <cfvo type="num" val="0.7"/>
        <cfvo type="num" val="1"/>
      </iconSet>
    </cfRule>
    <cfRule type="dataBar" priority="910">
      <dataBar>
        <cfvo type="num" val="0"/>
        <cfvo type="num" val="1"/>
        <color theme="4" tint="0.79998168889431442"/>
      </dataBar>
      <extLst>
        <ext xmlns:x14="http://schemas.microsoft.com/office/spreadsheetml/2009/9/main" uri="{B025F937-C7B1-47D3-B67F-A62EFF666E3E}">
          <x14:id>{1724D40A-45A0-46F8-A4E3-44DDB73D39C4}</x14:id>
        </ext>
      </extLst>
    </cfRule>
  </conditionalFormatting>
  <conditionalFormatting sqref="AD1279">
    <cfRule type="dataBar" priority="908">
      <dataBar>
        <cfvo type="num" val="0"/>
        <cfvo type="num" val="1"/>
        <color theme="4" tint="0.79998168889431442"/>
      </dataBar>
      <extLst>
        <ext xmlns:x14="http://schemas.microsoft.com/office/spreadsheetml/2009/9/main" uri="{B025F937-C7B1-47D3-B67F-A62EFF666E3E}">
          <x14:id>{96E9A944-D472-4CFE-BC4B-823025BCE0F1}</x14:id>
        </ext>
      </extLst>
    </cfRule>
    <cfRule type="iconSet" priority="907">
      <iconSet iconSet="3Arrows">
        <cfvo type="percent" val="0"/>
        <cfvo type="num" val="0.7"/>
        <cfvo type="num" val="1"/>
      </iconSet>
    </cfRule>
  </conditionalFormatting>
  <conditionalFormatting sqref="AD1281 AD1283 AD1285 AD1287 AD1289 AD1291">
    <cfRule type="iconSet" priority="905">
      <iconSet iconSet="3Arrows">
        <cfvo type="percent" val="0"/>
        <cfvo type="num" val="0.7"/>
        <cfvo type="num" val="1"/>
      </iconSet>
    </cfRule>
    <cfRule type="dataBar" priority="906">
      <dataBar>
        <cfvo type="num" val="0"/>
        <cfvo type="num" val="1"/>
        <color theme="4" tint="0.79998168889431442"/>
      </dataBar>
      <extLst>
        <ext xmlns:x14="http://schemas.microsoft.com/office/spreadsheetml/2009/9/main" uri="{B025F937-C7B1-47D3-B67F-A62EFF666E3E}">
          <x14:id>{7F423F8F-1241-46BD-8B06-3EDD06B09922}</x14:id>
        </ext>
      </extLst>
    </cfRule>
  </conditionalFormatting>
  <conditionalFormatting sqref="AD1293 AD1295 AD1297 AD1299 AD1301 AD1303">
    <cfRule type="iconSet" priority="903">
      <iconSet iconSet="3Arrows">
        <cfvo type="percent" val="0"/>
        <cfvo type="num" val="0.7"/>
        <cfvo type="num" val="1"/>
      </iconSet>
    </cfRule>
    <cfRule type="dataBar" priority="904">
      <dataBar>
        <cfvo type="num" val="0"/>
        <cfvo type="num" val="1"/>
        <color theme="4" tint="0.79998168889431442"/>
      </dataBar>
      <extLst>
        <ext xmlns:x14="http://schemas.microsoft.com/office/spreadsheetml/2009/9/main" uri="{B025F937-C7B1-47D3-B67F-A62EFF666E3E}">
          <x14:id>{11BA5010-29EE-43D5-BCA5-5A9FFA767C53}</x14:id>
        </ext>
      </extLst>
    </cfRule>
  </conditionalFormatting>
  <conditionalFormatting sqref="AD1305 AD1307 AD1309 AD1311 AD1313">
    <cfRule type="iconSet" priority="901">
      <iconSet iconSet="3Arrows">
        <cfvo type="percent" val="0"/>
        <cfvo type="num" val="0.7"/>
        <cfvo type="num" val="1"/>
      </iconSet>
    </cfRule>
    <cfRule type="dataBar" priority="902">
      <dataBar>
        <cfvo type="num" val="0"/>
        <cfvo type="num" val="1"/>
        <color theme="4" tint="0.79998168889431442"/>
      </dataBar>
      <extLst>
        <ext xmlns:x14="http://schemas.microsoft.com/office/spreadsheetml/2009/9/main" uri="{B025F937-C7B1-47D3-B67F-A62EFF666E3E}">
          <x14:id>{3124CB9F-A685-43D7-8C5A-0F4F03960507}</x14:id>
        </ext>
      </extLst>
    </cfRule>
  </conditionalFormatting>
  <conditionalFormatting sqref="AD1315 AD1317 AD1319 AD1321 AD1323 AD1325">
    <cfRule type="iconSet" priority="899">
      <iconSet iconSet="3Arrows">
        <cfvo type="percent" val="0"/>
        <cfvo type="num" val="0.7"/>
        <cfvo type="num" val="1"/>
      </iconSet>
    </cfRule>
    <cfRule type="dataBar" priority="900">
      <dataBar>
        <cfvo type="num" val="0"/>
        <cfvo type="num" val="1"/>
        <color theme="4" tint="0.79998168889431442"/>
      </dataBar>
      <extLst>
        <ext xmlns:x14="http://schemas.microsoft.com/office/spreadsheetml/2009/9/main" uri="{B025F937-C7B1-47D3-B67F-A62EFF666E3E}">
          <x14:id>{CA8E60BE-4B85-44D5-A5C1-1829C4CF7AC9}</x14:id>
        </ext>
      </extLst>
    </cfRule>
  </conditionalFormatting>
  <conditionalFormatting sqref="AD1327 AD1329 AD1331 AD1333 AD1335">
    <cfRule type="iconSet" priority="897">
      <iconSet iconSet="3Arrows">
        <cfvo type="percent" val="0"/>
        <cfvo type="num" val="0.7"/>
        <cfvo type="num" val="1"/>
      </iconSet>
    </cfRule>
    <cfRule type="dataBar" priority="898">
      <dataBar>
        <cfvo type="num" val="0"/>
        <cfvo type="num" val="1"/>
        <color theme="4" tint="0.79998168889431442"/>
      </dataBar>
      <extLst>
        <ext xmlns:x14="http://schemas.microsoft.com/office/spreadsheetml/2009/9/main" uri="{B025F937-C7B1-47D3-B67F-A62EFF666E3E}">
          <x14:id>{2951F88C-35B7-49E8-945A-6E41F0095474}</x14:id>
        </ext>
      </extLst>
    </cfRule>
  </conditionalFormatting>
  <conditionalFormatting sqref="AD1339 AD1337 AD1341 AD1343 AD1345 AD1347">
    <cfRule type="dataBar" priority="896">
      <dataBar>
        <cfvo type="num" val="0"/>
        <cfvo type="num" val="1"/>
        <color theme="4" tint="0.79998168889431442"/>
      </dataBar>
      <extLst>
        <ext xmlns:x14="http://schemas.microsoft.com/office/spreadsheetml/2009/9/main" uri="{B025F937-C7B1-47D3-B67F-A62EFF666E3E}">
          <x14:id>{A3F8CEFB-BFB0-40BC-A8EA-04628E94DB6E}</x14:id>
        </ext>
      </extLst>
    </cfRule>
    <cfRule type="iconSet" priority="895">
      <iconSet iconSet="3Arrows">
        <cfvo type="percent" val="0"/>
        <cfvo type="num" val="0.7"/>
        <cfvo type="num" val="1"/>
      </iconSet>
    </cfRule>
  </conditionalFormatting>
  <conditionalFormatting sqref="AD1349 AD1351 AD1353 AD1355">
    <cfRule type="dataBar" priority="894">
      <dataBar>
        <cfvo type="num" val="0"/>
        <cfvo type="num" val="1"/>
        <color theme="4" tint="0.79998168889431442"/>
      </dataBar>
      <extLst>
        <ext xmlns:x14="http://schemas.microsoft.com/office/spreadsheetml/2009/9/main" uri="{B025F937-C7B1-47D3-B67F-A62EFF666E3E}">
          <x14:id>{8539D973-994D-4A09-A487-55B6AF8A655A}</x14:id>
        </ext>
      </extLst>
    </cfRule>
    <cfRule type="iconSet" priority="893">
      <iconSet iconSet="3Arrows">
        <cfvo type="percent" val="0"/>
        <cfvo type="num" val="0.7"/>
        <cfvo type="num" val="1"/>
      </iconSet>
    </cfRule>
  </conditionalFormatting>
  <conditionalFormatting sqref="AD1357">
    <cfRule type="iconSet" priority="891">
      <iconSet iconSet="3Arrows">
        <cfvo type="percent" val="0"/>
        <cfvo type="num" val="0.7"/>
        <cfvo type="num" val="1"/>
      </iconSet>
    </cfRule>
    <cfRule type="dataBar" priority="892">
      <dataBar>
        <cfvo type="num" val="0"/>
        <cfvo type="num" val="1"/>
        <color theme="4" tint="0.79998168889431442"/>
      </dataBar>
      <extLst>
        <ext xmlns:x14="http://schemas.microsoft.com/office/spreadsheetml/2009/9/main" uri="{B025F937-C7B1-47D3-B67F-A62EFF666E3E}">
          <x14:id>{CE7841E6-C1F3-4CCD-BA97-5D5BBDAAB1FE}</x14:id>
        </ext>
      </extLst>
    </cfRule>
  </conditionalFormatting>
  <conditionalFormatting sqref="AD1359">
    <cfRule type="iconSet" priority="889">
      <iconSet iconSet="3Arrows">
        <cfvo type="percent" val="0"/>
        <cfvo type="num" val="0.7"/>
        <cfvo type="num" val="1"/>
      </iconSet>
    </cfRule>
    <cfRule type="dataBar" priority="890">
      <dataBar>
        <cfvo type="num" val="0"/>
        <cfvo type="num" val="1"/>
        <color theme="4" tint="0.79998168889431442"/>
      </dataBar>
      <extLst>
        <ext xmlns:x14="http://schemas.microsoft.com/office/spreadsheetml/2009/9/main" uri="{B025F937-C7B1-47D3-B67F-A62EFF666E3E}">
          <x14:id>{E97505B0-8A81-42E5-AA60-CBFA81B8B2D0}</x14:id>
        </ext>
      </extLst>
    </cfRule>
  </conditionalFormatting>
  <conditionalFormatting sqref="AD1362">
    <cfRule type="iconSet" priority="887">
      <iconSet iconSet="3Arrows">
        <cfvo type="percent" val="0"/>
        <cfvo type="num" val="0.7"/>
        <cfvo type="num" val="1"/>
      </iconSet>
    </cfRule>
    <cfRule type="dataBar" priority="888">
      <dataBar>
        <cfvo type="num" val="0"/>
        <cfvo type="num" val="1"/>
        <color theme="4" tint="0.79998168889431442"/>
      </dataBar>
      <extLst>
        <ext xmlns:x14="http://schemas.microsoft.com/office/spreadsheetml/2009/9/main" uri="{B025F937-C7B1-47D3-B67F-A62EFF666E3E}">
          <x14:id>{73AA2BCE-50C9-4694-875E-835596B6866C}</x14:id>
        </ext>
      </extLst>
    </cfRule>
  </conditionalFormatting>
  <conditionalFormatting sqref="AD1364 AD1366 AD1368 AD1370 AD1372 AD1374 AD1376 AD1378 AD1380 AD1382 AD1384">
    <cfRule type="dataBar" priority="886">
      <dataBar>
        <cfvo type="num" val="0"/>
        <cfvo type="num" val="1"/>
        <color theme="4" tint="0.79998168889431442"/>
      </dataBar>
      <extLst>
        <ext xmlns:x14="http://schemas.microsoft.com/office/spreadsheetml/2009/9/main" uri="{B025F937-C7B1-47D3-B67F-A62EFF666E3E}">
          <x14:id>{25B30292-1903-4874-A303-50A9A5690CA0}</x14:id>
        </ext>
      </extLst>
    </cfRule>
    <cfRule type="iconSet" priority="885">
      <iconSet iconSet="3Arrows">
        <cfvo type="percent" val="0"/>
        <cfvo type="num" val="0.7"/>
        <cfvo type="num" val="1"/>
      </iconSet>
    </cfRule>
  </conditionalFormatting>
  <conditionalFormatting sqref="AD1386 AD1388 AD1390 AD1392 AD1394 AD1396 AD1398 AD1400 AD1402 AD1404 AD1406">
    <cfRule type="dataBar" priority="884">
      <dataBar>
        <cfvo type="num" val="0"/>
        <cfvo type="num" val="1"/>
        <color theme="4" tint="0.79998168889431442"/>
      </dataBar>
      <extLst>
        <ext xmlns:x14="http://schemas.microsoft.com/office/spreadsheetml/2009/9/main" uri="{B025F937-C7B1-47D3-B67F-A62EFF666E3E}">
          <x14:id>{5A7E63A1-2095-4A21-9DBE-6E9A5542DFA0}</x14:id>
        </ext>
      </extLst>
    </cfRule>
    <cfRule type="iconSet" priority="883">
      <iconSet iconSet="3Arrows">
        <cfvo type="percent" val="0"/>
        <cfvo type="num" val="0.7"/>
        <cfvo type="num" val="1"/>
      </iconSet>
    </cfRule>
  </conditionalFormatting>
  <conditionalFormatting sqref="AD1408 AD1410 AD1412 AD1414 AD1416 AD1418 AD1420 AD1422 AD1424">
    <cfRule type="dataBar" priority="882">
      <dataBar>
        <cfvo type="num" val="0"/>
        <cfvo type="num" val="1"/>
        <color theme="4" tint="0.79998168889431442"/>
      </dataBar>
      <extLst>
        <ext xmlns:x14="http://schemas.microsoft.com/office/spreadsheetml/2009/9/main" uri="{B025F937-C7B1-47D3-B67F-A62EFF666E3E}">
          <x14:id>{1EA8C51B-1933-436B-AB01-4FF594B53D2A}</x14:id>
        </ext>
      </extLst>
    </cfRule>
    <cfRule type="iconSet" priority="881">
      <iconSet iconSet="3Arrows">
        <cfvo type="percent" val="0"/>
        <cfvo type="num" val="0.7"/>
        <cfvo type="num" val="1"/>
      </iconSet>
    </cfRule>
  </conditionalFormatting>
  <conditionalFormatting sqref="AD1426 AD1428 AD1430 AD1432 AD1434 AD1436">
    <cfRule type="dataBar" priority="880">
      <dataBar>
        <cfvo type="num" val="0"/>
        <cfvo type="num" val="1"/>
        <color theme="4" tint="0.79998168889431442"/>
      </dataBar>
      <extLst>
        <ext xmlns:x14="http://schemas.microsoft.com/office/spreadsheetml/2009/9/main" uri="{B025F937-C7B1-47D3-B67F-A62EFF666E3E}">
          <x14:id>{B255375C-B66C-412E-8B6B-FB89706B394B}</x14:id>
        </ext>
      </extLst>
    </cfRule>
    <cfRule type="iconSet" priority="879">
      <iconSet iconSet="3Arrows">
        <cfvo type="percent" val="0"/>
        <cfvo type="num" val="0.7"/>
        <cfvo type="num" val="1"/>
      </iconSet>
    </cfRule>
  </conditionalFormatting>
  <conditionalFormatting sqref="AD1442">
    <cfRule type="dataBar" priority="878">
      <dataBar>
        <cfvo type="num" val="0"/>
        <cfvo type="num" val="1"/>
        <color theme="4" tint="0.79998168889431442"/>
      </dataBar>
      <extLst>
        <ext xmlns:x14="http://schemas.microsoft.com/office/spreadsheetml/2009/9/main" uri="{B025F937-C7B1-47D3-B67F-A62EFF666E3E}">
          <x14:id>{A9120B0D-9A5C-4EA3-B36A-DD3552696A76}</x14:id>
        </ext>
      </extLst>
    </cfRule>
    <cfRule type="iconSet" priority="877">
      <iconSet iconSet="3Arrows">
        <cfvo type="percent" val="0"/>
        <cfvo type="num" val="0.7"/>
        <cfvo type="num" val="1"/>
      </iconSet>
    </cfRule>
  </conditionalFormatting>
  <conditionalFormatting sqref="AD1445">
    <cfRule type="dataBar" priority="876">
      <dataBar>
        <cfvo type="num" val="0"/>
        <cfvo type="num" val="1"/>
        <color theme="4" tint="0.79998168889431442"/>
      </dataBar>
      <extLst>
        <ext xmlns:x14="http://schemas.microsoft.com/office/spreadsheetml/2009/9/main" uri="{B025F937-C7B1-47D3-B67F-A62EFF666E3E}">
          <x14:id>{D15E2864-6748-450F-BBC1-312F59CDBEFA}</x14:id>
        </ext>
      </extLst>
    </cfRule>
    <cfRule type="iconSet" priority="875">
      <iconSet iconSet="3Arrows">
        <cfvo type="percent" val="0"/>
        <cfvo type="num" val="0.7"/>
        <cfvo type="num" val="1"/>
      </iconSet>
    </cfRule>
  </conditionalFormatting>
  <conditionalFormatting sqref="AD1448">
    <cfRule type="iconSet" priority="873">
      <iconSet iconSet="3Arrows">
        <cfvo type="percent" val="0"/>
        <cfvo type="num" val="0.7"/>
        <cfvo type="num" val="1"/>
      </iconSet>
    </cfRule>
    <cfRule type="dataBar" priority="874">
      <dataBar>
        <cfvo type="num" val="0"/>
        <cfvo type="num" val="1"/>
        <color theme="4" tint="0.79998168889431442"/>
      </dataBar>
      <extLst>
        <ext xmlns:x14="http://schemas.microsoft.com/office/spreadsheetml/2009/9/main" uri="{B025F937-C7B1-47D3-B67F-A62EFF666E3E}">
          <x14:id>{04487585-4AC7-45F4-B79B-0A64F693E23F}</x14:id>
        </ext>
      </extLst>
    </cfRule>
  </conditionalFormatting>
  <conditionalFormatting sqref="AD1450 AD1460 AD1452 AD1454 AD1456 AD1458 AD1472 AD1484 AD1496 AD1508 AD1520 AD1462 AD1474 AD1486 AD1498 AD1510 AD1522 AD1464 AD1476 AD1488 AD1500 AD1512 AD1466 AD1478 AD1490 AD1502 AD1514 AD1468 AD1480 AD1492 AD1504 AD1516 AD1470 AD1482 AD1494 AD1506 AD1518">
    <cfRule type="iconSet" priority="871">
      <iconSet iconSet="3Arrows">
        <cfvo type="percent" val="0"/>
        <cfvo type="num" val="0.7"/>
        <cfvo type="num" val="1"/>
      </iconSet>
    </cfRule>
    <cfRule type="dataBar" priority="872">
      <dataBar>
        <cfvo type="num" val="0"/>
        <cfvo type="num" val="1"/>
        <color theme="4" tint="0.79998168889431442"/>
      </dataBar>
      <extLst>
        <ext xmlns:x14="http://schemas.microsoft.com/office/spreadsheetml/2009/9/main" uri="{B025F937-C7B1-47D3-B67F-A62EFF666E3E}">
          <x14:id>{8999F6D6-B117-4B82-BD2A-F80DC2D4A87A}</x14:id>
        </ext>
      </extLst>
    </cfRule>
  </conditionalFormatting>
  <conditionalFormatting sqref="AD1524">
    <cfRule type="iconSet" priority="869">
      <iconSet iconSet="3Arrows">
        <cfvo type="percent" val="0"/>
        <cfvo type="num" val="0.7"/>
        <cfvo type="num" val="1"/>
      </iconSet>
    </cfRule>
    <cfRule type="dataBar" priority="870">
      <dataBar>
        <cfvo type="num" val="0"/>
        <cfvo type="num" val="1"/>
        <color theme="4" tint="0.79998168889431442"/>
      </dataBar>
      <extLst>
        <ext xmlns:x14="http://schemas.microsoft.com/office/spreadsheetml/2009/9/main" uri="{B025F937-C7B1-47D3-B67F-A62EFF666E3E}">
          <x14:id>{2FC12A4B-AB53-4BF3-880B-5D20DBC18D66}</x14:id>
        </ext>
      </extLst>
    </cfRule>
  </conditionalFormatting>
  <conditionalFormatting sqref="AD1526">
    <cfRule type="dataBar" priority="868">
      <dataBar>
        <cfvo type="num" val="0"/>
        <cfvo type="num" val="1"/>
        <color theme="4" tint="0.79998168889431442"/>
      </dataBar>
      <extLst>
        <ext xmlns:x14="http://schemas.microsoft.com/office/spreadsheetml/2009/9/main" uri="{B025F937-C7B1-47D3-B67F-A62EFF666E3E}">
          <x14:id>{67A1E33F-304F-4C58-A3B3-1F8044F645C3}</x14:id>
        </ext>
      </extLst>
    </cfRule>
    <cfRule type="iconSet" priority="867">
      <iconSet iconSet="3Arrows">
        <cfvo type="percent" val="0"/>
        <cfvo type="num" val="0.7"/>
        <cfvo type="num" val="1"/>
      </iconSet>
    </cfRule>
  </conditionalFormatting>
  <conditionalFormatting sqref="AD1528">
    <cfRule type="dataBar" priority="866">
      <dataBar>
        <cfvo type="num" val="0"/>
        <cfvo type="num" val="1"/>
        <color theme="4" tint="0.79998168889431442"/>
      </dataBar>
      <extLst>
        <ext xmlns:x14="http://schemas.microsoft.com/office/spreadsheetml/2009/9/main" uri="{B025F937-C7B1-47D3-B67F-A62EFF666E3E}">
          <x14:id>{70AE2F89-82D8-4D1A-A575-78FC15DFF235}</x14:id>
        </ext>
      </extLst>
    </cfRule>
    <cfRule type="iconSet" priority="865">
      <iconSet iconSet="3Arrows">
        <cfvo type="percent" val="0"/>
        <cfvo type="num" val="0.7"/>
        <cfvo type="num" val="1"/>
      </iconSet>
    </cfRule>
  </conditionalFormatting>
  <conditionalFormatting sqref="AD1531">
    <cfRule type="iconSet" priority="863">
      <iconSet iconSet="3Arrows">
        <cfvo type="percent" val="0"/>
        <cfvo type="num" val="0.7"/>
        <cfvo type="num" val="1"/>
      </iconSet>
    </cfRule>
    <cfRule type="dataBar" priority="864">
      <dataBar>
        <cfvo type="num" val="0"/>
        <cfvo type="num" val="1"/>
        <color theme="4" tint="0.79998168889431442"/>
      </dataBar>
      <extLst>
        <ext xmlns:x14="http://schemas.microsoft.com/office/spreadsheetml/2009/9/main" uri="{B025F937-C7B1-47D3-B67F-A62EFF666E3E}">
          <x14:id>{456901C5-4786-4FDF-96D2-76436C7CC526}</x14:id>
        </ext>
      </extLst>
    </cfRule>
  </conditionalFormatting>
  <conditionalFormatting sqref="AD1599 AD1533 AD1537 AD1539 AD1541 AD1543 AD1545 AD1547 AD1549 AD1551 AD1553 AD1555 AD1557 AD1559 AD1561 AD1563 AD1565 AD1567 AD1569 AD1571 AD1573 AD1575 AD1577 AD1579 AD1581 AD1583 AD1585 AD1587 AD1589 AD1591 AD1593 AD1595 AD1597 AD1535">
    <cfRule type="iconSet" priority="861">
      <iconSet iconSet="3Arrows">
        <cfvo type="percent" val="0"/>
        <cfvo type="num" val="0.7"/>
        <cfvo type="num" val="1"/>
      </iconSet>
    </cfRule>
    <cfRule type="dataBar" priority="862">
      <dataBar>
        <cfvo type="num" val="0"/>
        <cfvo type="num" val="1"/>
        <color theme="4" tint="0.79998168889431442"/>
      </dataBar>
      <extLst>
        <ext xmlns:x14="http://schemas.microsoft.com/office/spreadsheetml/2009/9/main" uri="{B025F937-C7B1-47D3-B67F-A62EFF666E3E}">
          <x14:id>{E80F9FDA-459D-4CAE-901A-04BA99BC4935}</x14:id>
        </ext>
      </extLst>
    </cfRule>
  </conditionalFormatting>
  <conditionalFormatting sqref="AD1601">
    <cfRule type="dataBar" priority="860">
      <dataBar>
        <cfvo type="num" val="0"/>
        <cfvo type="num" val="1"/>
        <color theme="4" tint="0.79998168889431442"/>
      </dataBar>
      <extLst>
        <ext xmlns:x14="http://schemas.microsoft.com/office/spreadsheetml/2009/9/main" uri="{B025F937-C7B1-47D3-B67F-A62EFF666E3E}">
          <x14:id>{F23C0B58-BFF8-4D1A-BB9C-CDD61C49A2DB}</x14:id>
        </ext>
      </extLst>
    </cfRule>
    <cfRule type="iconSet" priority="859">
      <iconSet iconSet="3Arrows">
        <cfvo type="percent" val="0"/>
        <cfvo type="num" val="0.7"/>
        <cfvo type="num" val="1"/>
      </iconSet>
    </cfRule>
  </conditionalFormatting>
  <conditionalFormatting sqref="AD1603">
    <cfRule type="dataBar" priority="858">
      <dataBar>
        <cfvo type="num" val="0"/>
        <cfvo type="num" val="1"/>
        <color theme="4" tint="0.79998168889431442"/>
      </dataBar>
      <extLst>
        <ext xmlns:x14="http://schemas.microsoft.com/office/spreadsheetml/2009/9/main" uri="{B025F937-C7B1-47D3-B67F-A62EFF666E3E}">
          <x14:id>{85E5909E-BFFB-40D4-98C7-AAF90EB6CBB1}</x14:id>
        </ext>
      </extLst>
    </cfRule>
    <cfRule type="iconSet" priority="857">
      <iconSet iconSet="3Arrows">
        <cfvo type="percent" val="0"/>
        <cfvo type="num" val="0.7"/>
        <cfvo type="num" val="1"/>
      </iconSet>
    </cfRule>
  </conditionalFormatting>
  <conditionalFormatting sqref="AD1605">
    <cfRule type="dataBar" priority="856">
      <dataBar>
        <cfvo type="num" val="0"/>
        <cfvo type="num" val="1"/>
        <color theme="4" tint="0.79998168889431442"/>
      </dataBar>
      <extLst>
        <ext xmlns:x14="http://schemas.microsoft.com/office/spreadsheetml/2009/9/main" uri="{B025F937-C7B1-47D3-B67F-A62EFF666E3E}">
          <x14:id>{FBF3A117-3B11-44B1-B09C-A190E47134BE}</x14:id>
        </ext>
      </extLst>
    </cfRule>
    <cfRule type="iconSet" priority="855">
      <iconSet iconSet="3Arrows">
        <cfvo type="percent" val="0"/>
        <cfvo type="num" val="0.7"/>
        <cfvo type="num" val="1"/>
      </iconSet>
    </cfRule>
  </conditionalFormatting>
  <conditionalFormatting sqref="AD1607">
    <cfRule type="iconSet" priority="853">
      <iconSet iconSet="3Arrows">
        <cfvo type="percent" val="0"/>
        <cfvo type="num" val="0.7"/>
        <cfvo type="num" val="1"/>
      </iconSet>
    </cfRule>
    <cfRule type="dataBar" priority="854">
      <dataBar>
        <cfvo type="num" val="0"/>
        <cfvo type="num" val="1"/>
        <color theme="4" tint="0.79998168889431442"/>
      </dataBar>
      <extLst>
        <ext xmlns:x14="http://schemas.microsoft.com/office/spreadsheetml/2009/9/main" uri="{B025F937-C7B1-47D3-B67F-A62EFF666E3E}">
          <x14:id>{4BEF5906-12D9-4E31-BCA8-0E889E1EBCF1}</x14:id>
        </ext>
      </extLst>
    </cfRule>
  </conditionalFormatting>
  <conditionalFormatting sqref="AD1609">
    <cfRule type="iconSet" priority="851">
      <iconSet iconSet="3Arrows">
        <cfvo type="percent" val="0"/>
        <cfvo type="num" val="0.7"/>
        <cfvo type="num" val="1"/>
      </iconSet>
    </cfRule>
    <cfRule type="dataBar" priority="852">
      <dataBar>
        <cfvo type="num" val="0"/>
        <cfvo type="num" val="1"/>
        <color theme="4" tint="0.79998168889431442"/>
      </dataBar>
      <extLst>
        <ext xmlns:x14="http://schemas.microsoft.com/office/spreadsheetml/2009/9/main" uri="{B025F937-C7B1-47D3-B67F-A62EFF666E3E}">
          <x14:id>{656BF2AB-AD49-4F54-91E7-152422C61AC8}</x14:id>
        </ext>
      </extLst>
    </cfRule>
  </conditionalFormatting>
  <conditionalFormatting sqref="AD1611">
    <cfRule type="dataBar" priority="850">
      <dataBar>
        <cfvo type="num" val="0"/>
        <cfvo type="num" val="1"/>
        <color theme="4" tint="0.79998168889431442"/>
      </dataBar>
      <extLst>
        <ext xmlns:x14="http://schemas.microsoft.com/office/spreadsheetml/2009/9/main" uri="{B025F937-C7B1-47D3-B67F-A62EFF666E3E}">
          <x14:id>{D273FFC1-4614-41EC-84E9-728B133A0157}</x14:id>
        </ext>
      </extLst>
    </cfRule>
    <cfRule type="iconSet" priority="849">
      <iconSet iconSet="3Arrows">
        <cfvo type="percent" val="0"/>
        <cfvo type="num" val="0.7"/>
        <cfvo type="num" val="1"/>
      </iconSet>
    </cfRule>
  </conditionalFormatting>
  <conditionalFormatting sqref="AD1613">
    <cfRule type="iconSet" priority="847">
      <iconSet iconSet="3Arrows">
        <cfvo type="percent" val="0"/>
        <cfvo type="num" val="0.7"/>
        <cfvo type="num" val="1"/>
      </iconSet>
    </cfRule>
    <cfRule type="dataBar" priority="848">
      <dataBar>
        <cfvo type="num" val="0"/>
        <cfvo type="num" val="1"/>
        <color theme="4" tint="0.79998168889431442"/>
      </dataBar>
      <extLst>
        <ext xmlns:x14="http://schemas.microsoft.com/office/spreadsheetml/2009/9/main" uri="{B025F937-C7B1-47D3-B67F-A62EFF666E3E}">
          <x14:id>{C4F03B2F-F8E8-4C8C-9732-131AE9E19DF5}</x14:id>
        </ext>
      </extLst>
    </cfRule>
  </conditionalFormatting>
  <conditionalFormatting sqref="AD1617">
    <cfRule type="dataBar" priority="846">
      <dataBar>
        <cfvo type="num" val="0"/>
        <cfvo type="num" val="1"/>
        <color theme="4" tint="0.79998168889431442"/>
      </dataBar>
      <extLst>
        <ext xmlns:x14="http://schemas.microsoft.com/office/spreadsheetml/2009/9/main" uri="{B025F937-C7B1-47D3-B67F-A62EFF666E3E}">
          <x14:id>{261622C5-71B1-447E-9E02-F4DB624A8088}</x14:id>
        </ext>
      </extLst>
    </cfRule>
    <cfRule type="iconSet" priority="845">
      <iconSet iconSet="3Arrows">
        <cfvo type="percent" val="0"/>
        <cfvo type="num" val="0.7"/>
        <cfvo type="num" val="1"/>
      </iconSet>
    </cfRule>
  </conditionalFormatting>
  <conditionalFormatting sqref="AD1619">
    <cfRule type="iconSet" priority="843">
      <iconSet iconSet="3Arrows">
        <cfvo type="percent" val="0"/>
        <cfvo type="num" val="0.7"/>
        <cfvo type="num" val="1"/>
      </iconSet>
    </cfRule>
    <cfRule type="dataBar" priority="844">
      <dataBar>
        <cfvo type="num" val="0"/>
        <cfvo type="num" val="1"/>
        <color theme="4" tint="0.79998168889431442"/>
      </dataBar>
      <extLst>
        <ext xmlns:x14="http://schemas.microsoft.com/office/spreadsheetml/2009/9/main" uri="{B025F937-C7B1-47D3-B67F-A62EFF666E3E}">
          <x14:id>{696D292B-BD7E-4B6A-A5CA-8E336BEFC08F}</x14:id>
        </ext>
      </extLst>
    </cfRule>
  </conditionalFormatting>
  <conditionalFormatting sqref="AD1621">
    <cfRule type="dataBar" priority="842">
      <dataBar>
        <cfvo type="num" val="0"/>
        <cfvo type="num" val="1"/>
        <color theme="4" tint="0.79998168889431442"/>
      </dataBar>
      <extLst>
        <ext xmlns:x14="http://schemas.microsoft.com/office/spreadsheetml/2009/9/main" uri="{B025F937-C7B1-47D3-B67F-A62EFF666E3E}">
          <x14:id>{776AEC59-92DF-4594-B220-337E04F2A7F5}</x14:id>
        </ext>
      </extLst>
    </cfRule>
    <cfRule type="iconSet" priority="841">
      <iconSet iconSet="3Arrows">
        <cfvo type="percent" val="0"/>
        <cfvo type="num" val="0.7"/>
        <cfvo type="num" val="1"/>
      </iconSet>
    </cfRule>
  </conditionalFormatting>
  <conditionalFormatting sqref="AD1623">
    <cfRule type="dataBar" priority="840">
      <dataBar>
        <cfvo type="num" val="0"/>
        <cfvo type="num" val="1"/>
        <color theme="4" tint="0.79998168889431442"/>
      </dataBar>
      <extLst>
        <ext xmlns:x14="http://schemas.microsoft.com/office/spreadsheetml/2009/9/main" uri="{B025F937-C7B1-47D3-B67F-A62EFF666E3E}">
          <x14:id>{6156A7DE-01D6-4CF8-AD2C-E3F5277FA86B}</x14:id>
        </ext>
      </extLst>
    </cfRule>
    <cfRule type="iconSet" priority="839">
      <iconSet iconSet="3Arrows">
        <cfvo type="percent" val="0"/>
        <cfvo type="num" val="0.7"/>
        <cfvo type="num" val="1"/>
      </iconSet>
    </cfRule>
  </conditionalFormatting>
  <conditionalFormatting sqref="AD1625">
    <cfRule type="dataBar" priority="838">
      <dataBar>
        <cfvo type="num" val="0"/>
        <cfvo type="num" val="1"/>
        <color theme="4" tint="0.79998168889431442"/>
      </dataBar>
      <extLst>
        <ext xmlns:x14="http://schemas.microsoft.com/office/spreadsheetml/2009/9/main" uri="{B025F937-C7B1-47D3-B67F-A62EFF666E3E}">
          <x14:id>{CF768744-923A-4CC3-B743-A01F68D7B31E}</x14:id>
        </ext>
      </extLst>
    </cfRule>
    <cfRule type="iconSet" priority="837">
      <iconSet iconSet="3Arrows">
        <cfvo type="percent" val="0"/>
        <cfvo type="num" val="0.7"/>
        <cfvo type="num" val="1"/>
      </iconSet>
    </cfRule>
  </conditionalFormatting>
  <conditionalFormatting sqref="AD1627">
    <cfRule type="dataBar" priority="836">
      <dataBar>
        <cfvo type="num" val="0"/>
        <cfvo type="num" val="1"/>
        <color theme="4" tint="0.79998168889431442"/>
      </dataBar>
      <extLst>
        <ext xmlns:x14="http://schemas.microsoft.com/office/spreadsheetml/2009/9/main" uri="{B025F937-C7B1-47D3-B67F-A62EFF666E3E}">
          <x14:id>{7CEC71AD-5ECB-4CAD-91FB-EAEE6B56E255}</x14:id>
        </ext>
      </extLst>
    </cfRule>
    <cfRule type="iconSet" priority="835">
      <iconSet iconSet="3Arrows">
        <cfvo type="percent" val="0"/>
        <cfvo type="num" val="0.7"/>
        <cfvo type="num" val="1"/>
      </iconSet>
    </cfRule>
  </conditionalFormatting>
  <conditionalFormatting sqref="AD1630">
    <cfRule type="iconSet" priority="833">
      <iconSet iconSet="3Arrows">
        <cfvo type="percent" val="0"/>
        <cfvo type="num" val="0.7"/>
        <cfvo type="num" val="1"/>
      </iconSet>
    </cfRule>
    <cfRule type="dataBar" priority="834">
      <dataBar>
        <cfvo type="num" val="0"/>
        <cfvo type="num" val="1"/>
        <color theme="4" tint="0.79998168889431442"/>
      </dataBar>
      <extLst>
        <ext xmlns:x14="http://schemas.microsoft.com/office/spreadsheetml/2009/9/main" uri="{B025F937-C7B1-47D3-B67F-A62EFF666E3E}">
          <x14:id>{423A4BDE-74E6-44B2-8836-EBCA525EEC1F}</x14:id>
        </ext>
      </extLst>
    </cfRule>
  </conditionalFormatting>
  <conditionalFormatting sqref="AD1632 AD1634 AD1636 AD1638 AD1640 AD1642 AD1644 AD1646 AD1648 AD1650 AD1652 AD1654 AD1656 AD1658 AD1660 AD1662 AD1664 AD1666 AD1668 AD1670 AD1672 AD1674 AD1676 AD1678 AD1680 AD1682 AD1684 AD1686 AD1688 AD1690 AD1692 AD1694">
    <cfRule type="iconSet" priority="831">
      <iconSet iconSet="3Arrows">
        <cfvo type="percent" val="0"/>
        <cfvo type="num" val="0.7"/>
        <cfvo type="num" val="1"/>
      </iconSet>
    </cfRule>
    <cfRule type="dataBar" priority="832">
      <dataBar>
        <cfvo type="num" val="0"/>
        <cfvo type="num" val="1"/>
        <color theme="4" tint="0.79998168889431442"/>
      </dataBar>
      <extLst>
        <ext xmlns:x14="http://schemas.microsoft.com/office/spreadsheetml/2009/9/main" uri="{B025F937-C7B1-47D3-B67F-A62EFF666E3E}">
          <x14:id>{FFF3408A-03CF-4E38-B253-9C4D32614299}</x14:id>
        </ext>
      </extLst>
    </cfRule>
  </conditionalFormatting>
  <conditionalFormatting sqref="AD1698">
    <cfRule type="iconSet" priority="829">
      <iconSet iconSet="3Arrows">
        <cfvo type="percent" val="0"/>
        <cfvo type="num" val="0.7"/>
        <cfvo type="num" val="1"/>
      </iconSet>
    </cfRule>
    <cfRule type="dataBar" priority="830">
      <dataBar>
        <cfvo type="num" val="0"/>
        <cfvo type="num" val="1"/>
        <color theme="4" tint="0.79998168889431442"/>
      </dataBar>
      <extLst>
        <ext xmlns:x14="http://schemas.microsoft.com/office/spreadsheetml/2009/9/main" uri="{B025F937-C7B1-47D3-B67F-A62EFF666E3E}">
          <x14:id>{A2611AD1-4E46-4FAD-85F2-A7E8FD3A5170}</x14:id>
        </ext>
      </extLst>
    </cfRule>
  </conditionalFormatting>
  <conditionalFormatting sqref="AD1700 AD1702 AD1704 AD1706 AD1708 AD1710 AD1712 AD1714 AD1716 AD1718 AD1720 AD1722 AD1724 AD1726 AD1728 AD1730 AD1732 AD1734 AD1736 AD1738 AD1740 AD1742 AD1744 AD1746 AD1748 AD1750 AD1752 AD1754 AD1756 AD1758 AD1760 AD1766">
    <cfRule type="iconSet" priority="827">
      <iconSet iconSet="3Arrows">
        <cfvo type="percent" val="0"/>
        <cfvo type="num" val="0.7"/>
        <cfvo type="num" val="1"/>
      </iconSet>
    </cfRule>
    <cfRule type="dataBar" priority="828">
      <dataBar>
        <cfvo type="num" val="0"/>
        <cfvo type="num" val="1"/>
        <color theme="4" tint="0.79998168889431442"/>
      </dataBar>
      <extLst>
        <ext xmlns:x14="http://schemas.microsoft.com/office/spreadsheetml/2009/9/main" uri="{B025F937-C7B1-47D3-B67F-A62EFF666E3E}">
          <x14:id>{A8E2BF53-033F-42F7-A014-B4C6819D2644}</x14:id>
        </ext>
      </extLst>
    </cfRule>
  </conditionalFormatting>
  <conditionalFormatting sqref="AD1762">
    <cfRule type="iconSet" priority="825">
      <iconSet iconSet="3Arrows">
        <cfvo type="percent" val="0"/>
        <cfvo type="num" val="0.7"/>
        <cfvo type="num" val="1"/>
      </iconSet>
    </cfRule>
    <cfRule type="dataBar" priority="826">
      <dataBar>
        <cfvo type="num" val="0"/>
        <cfvo type="num" val="1"/>
        <color theme="4" tint="0.79998168889431442"/>
      </dataBar>
      <extLst>
        <ext xmlns:x14="http://schemas.microsoft.com/office/spreadsheetml/2009/9/main" uri="{B025F937-C7B1-47D3-B67F-A62EFF666E3E}">
          <x14:id>{763F5155-F46B-4A18-AB43-6E6D22014CA2}</x14:id>
        </ext>
      </extLst>
    </cfRule>
  </conditionalFormatting>
  <conditionalFormatting sqref="AD1764">
    <cfRule type="dataBar" priority="824">
      <dataBar>
        <cfvo type="num" val="0"/>
        <cfvo type="num" val="1"/>
        <color theme="4" tint="0.79998168889431442"/>
      </dataBar>
      <extLst>
        <ext xmlns:x14="http://schemas.microsoft.com/office/spreadsheetml/2009/9/main" uri="{B025F937-C7B1-47D3-B67F-A62EFF666E3E}">
          <x14:id>{ACE4018D-0894-42D9-92BA-A33285A7FC22}</x14:id>
        </ext>
      </extLst>
    </cfRule>
    <cfRule type="iconSet" priority="823">
      <iconSet iconSet="3Arrows">
        <cfvo type="percent" val="0"/>
        <cfvo type="num" val="0.7"/>
        <cfvo type="num" val="1"/>
      </iconSet>
    </cfRule>
  </conditionalFormatting>
  <conditionalFormatting sqref="AD1770">
    <cfRule type="dataBar" priority="822">
      <dataBar>
        <cfvo type="num" val="0"/>
        <cfvo type="num" val="1"/>
        <color theme="4" tint="0.79998168889431442"/>
      </dataBar>
      <extLst>
        <ext xmlns:x14="http://schemas.microsoft.com/office/spreadsheetml/2009/9/main" uri="{B025F937-C7B1-47D3-B67F-A62EFF666E3E}">
          <x14:id>{C541B345-FBD5-4DFD-B492-9D578812170D}</x14:id>
        </ext>
      </extLst>
    </cfRule>
    <cfRule type="iconSet" priority="821">
      <iconSet iconSet="3Arrows">
        <cfvo type="percent" val="0"/>
        <cfvo type="num" val="0.7"/>
        <cfvo type="num" val="1"/>
      </iconSet>
    </cfRule>
  </conditionalFormatting>
  <conditionalFormatting sqref="AD1773">
    <cfRule type="dataBar" priority="820">
      <dataBar>
        <cfvo type="num" val="0"/>
        <cfvo type="num" val="1"/>
        <color theme="4" tint="0.79998168889431442"/>
      </dataBar>
      <extLst>
        <ext xmlns:x14="http://schemas.microsoft.com/office/spreadsheetml/2009/9/main" uri="{B025F937-C7B1-47D3-B67F-A62EFF666E3E}">
          <x14:id>{424DC90A-02CE-4FA1-8DAC-0F59994EC385}</x14:id>
        </ext>
      </extLst>
    </cfRule>
    <cfRule type="iconSet" priority="819">
      <iconSet iconSet="3Arrows">
        <cfvo type="percent" val="0"/>
        <cfvo type="num" val="0.7"/>
        <cfvo type="num" val="1"/>
      </iconSet>
    </cfRule>
  </conditionalFormatting>
  <conditionalFormatting sqref="AD1801 AD1797 AD1775 AD1777 AD1779 AD1781 AD1783 AD1785 AD1787 AD1789 AD1791 AD1795 AD1799 AD1803 AD1793">
    <cfRule type="iconSet" priority="817">
      <iconSet iconSet="3Arrows">
        <cfvo type="percent" val="0"/>
        <cfvo type="num" val="0.7"/>
        <cfvo type="num" val="1"/>
      </iconSet>
    </cfRule>
    <cfRule type="dataBar" priority="818">
      <dataBar>
        <cfvo type="num" val="0"/>
        <cfvo type="num" val="1"/>
        <color theme="4" tint="0.79998168889431442"/>
      </dataBar>
      <extLst>
        <ext xmlns:x14="http://schemas.microsoft.com/office/spreadsheetml/2009/9/main" uri="{B025F937-C7B1-47D3-B67F-A62EFF666E3E}">
          <x14:id>{E04A1832-EEF9-4371-B1FC-7DFE634BE687}</x14:id>
        </ext>
      </extLst>
    </cfRule>
  </conditionalFormatting>
  <conditionalFormatting sqref="AD1806">
    <cfRule type="iconSet" priority="815">
      <iconSet iconSet="3Arrows">
        <cfvo type="percent" val="0"/>
        <cfvo type="num" val="0.7"/>
        <cfvo type="num" val="1"/>
      </iconSet>
    </cfRule>
    <cfRule type="dataBar" priority="816">
      <dataBar>
        <cfvo type="num" val="0"/>
        <cfvo type="num" val="1"/>
        <color theme="4" tint="0.79998168889431442"/>
      </dataBar>
      <extLst>
        <ext xmlns:x14="http://schemas.microsoft.com/office/spreadsheetml/2009/9/main" uri="{B025F937-C7B1-47D3-B67F-A62EFF666E3E}">
          <x14:id>{0D1EAD20-F82A-467F-92D2-828A4347C0AB}</x14:id>
        </ext>
      </extLst>
    </cfRule>
  </conditionalFormatting>
  <conditionalFormatting sqref="AD1840 AD1810 AD1808 AD1812 AD1814 AD1816 AD1818 AD1820 AD1822 AD1824 AD1826 AD1828 AD1830 AD1832 AD1834 AD1836 AD1838">
    <cfRule type="iconSet" priority="813">
      <iconSet iconSet="3Arrows">
        <cfvo type="percent" val="0"/>
        <cfvo type="num" val="0.7"/>
        <cfvo type="num" val="1"/>
      </iconSet>
    </cfRule>
    <cfRule type="dataBar" priority="814">
      <dataBar>
        <cfvo type="num" val="0"/>
        <cfvo type="num" val="1"/>
        <color theme="4" tint="0.79998168889431442"/>
      </dataBar>
      <extLst>
        <ext xmlns:x14="http://schemas.microsoft.com/office/spreadsheetml/2009/9/main" uri="{B025F937-C7B1-47D3-B67F-A62EFF666E3E}">
          <x14:id>{26229BC7-FD83-42FC-8696-F31439223902}</x14:id>
        </ext>
      </extLst>
    </cfRule>
  </conditionalFormatting>
  <conditionalFormatting sqref="AD1842">
    <cfRule type="iconSet" priority="811">
      <iconSet iconSet="3Arrows">
        <cfvo type="percent" val="0"/>
        <cfvo type="num" val="0.7"/>
        <cfvo type="num" val="1"/>
      </iconSet>
    </cfRule>
    <cfRule type="dataBar" priority="812">
      <dataBar>
        <cfvo type="num" val="0"/>
        <cfvo type="num" val="1"/>
        <color theme="4" tint="0.79998168889431442"/>
      </dataBar>
      <extLst>
        <ext xmlns:x14="http://schemas.microsoft.com/office/spreadsheetml/2009/9/main" uri="{B025F937-C7B1-47D3-B67F-A62EFF666E3E}">
          <x14:id>{78FB3B32-85C3-471D-B1CE-FDFC6230A815}</x14:id>
        </ext>
      </extLst>
    </cfRule>
  </conditionalFormatting>
  <conditionalFormatting sqref="AD1844">
    <cfRule type="dataBar" priority="810">
      <dataBar>
        <cfvo type="num" val="0"/>
        <cfvo type="num" val="1"/>
        <color theme="4" tint="0.79998168889431442"/>
      </dataBar>
      <extLst>
        <ext xmlns:x14="http://schemas.microsoft.com/office/spreadsheetml/2009/9/main" uri="{B025F937-C7B1-47D3-B67F-A62EFF666E3E}">
          <x14:id>{35F6354B-E69F-41D3-9972-5AD8F3E398EB}</x14:id>
        </ext>
      </extLst>
    </cfRule>
    <cfRule type="iconSet" priority="809">
      <iconSet iconSet="3Arrows">
        <cfvo type="percent" val="0"/>
        <cfvo type="num" val="0.7"/>
        <cfvo type="num" val="1"/>
      </iconSet>
    </cfRule>
  </conditionalFormatting>
  <conditionalFormatting sqref="AD1847">
    <cfRule type="iconSet" priority="807">
      <iconSet iconSet="3Arrows">
        <cfvo type="percent" val="0"/>
        <cfvo type="num" val="0.7"/>
        <cfvo type="num" val="1"/>
      </iconSet>
    </cfRule>
    <cfRule type="dataBar" priority="808">
      <dataBar>
        <cfvo type="num" val="0"/>
        <cfvo type="num" val="1"/>
        <color theme="4" tint="0.79998168889431442"/>
      </dataBar>
      <extLst>
        <ext xmlns:x14="http://schemas.microsoft.com/office/spreadsheetml/2009/9/main" uri="{B025F937-C7B1-47D3-B67F-A62EFF666E3E}">
          <x14:id>{BF355E5D-56AE-4A0A-97E2-9EEB56DE5901}</x14:id>
        </ext>
      </extLst>
    </cfRule>
  </conditionalFormatting>
  <conditionalFormatting sqref="AD1849 AD1851 AD1853 AD1855 AD1857">
    <cfRule type="iconSet" priority="805">
      <iconSet iconSet="3Arrows">
        <cfvo type="percent" val="0"/>
        <cfvo type="num" val="0.7"/>
        <cfvo type="num" val="1"/>
      </iconSet>
    </cfRule>
    <cfRule type="dataBar" priority="806">
      <dataBar>
        <cfvo type="num" val="0"/>
        <cfvo type="num" val="1"/>
        <color theme="4" tint="0.79998168889431442"/>
      </dataBar>
      <extLst>
        <ext xmlns:x14="http://schemas.microsoft.com/office/spreadsheetml/2009/9/main" uri="{B025F937-C7B1-47D3-B67F-A62EFF666E3E}">
          <x14:id>{8CCF3EC0-CBDA-4CE2-9C3F-1863673DF075}</x14:id>
        </ext>
      </extLst>
    </cfRule>
  </conditionalFormatting>
  <conditionalFormatting sqref="AD1860">
    <cfRule type="dataBar" priority="804">
      <dataBar>
        <cfvo type="num" val="0"/>
        <cfvo type="num" val="1"/>
        <color theme="4" tint="0.79998168889431442"/>
      </dataBar>
      <extLst>
        <ext xmlns:x14="http://schemas.microsoft.com/office/spreadsheetml/2009/9/main" uri="{B025F937-C7B1-47D3-B67F-A62EFF666E3E}">
          <x14:id>{36608B9F-E0BA-4339-B889-B9A80DA379F1}</x14:id>
        </ext>
      </extLst>
    </cfRule>
    <cfRule type="iconSet" priority="803">
      <iconSet iconSet="3Arrows">
        <cfvo type="percent" val="0"/>
        <cfvo type="num" val="0.7"/>
        <cfvo type="num" val="1"/>
      </iconSet>
    </cfRule>
  </conditionalFormatting>
  <conditionalFormatting sqref="AD1862 AD1864 AD1866 AD1868 AD1870 AD1872 AD1874 AD1876 AD1878">
    <cfRule type="iconSet" priority="801">
      <iconSet iconSet="3Arrows">
        <cfvo type="percent" val="0"/>
        <cfvo type="num" val="0.7"/>
        <cfvo type="num" val="1"/>
      </iconSet>
    </cfRule>
    <cfRule type="dataBar" priority="802">
      <dataBar>
        <cfvo type="num" val="0"/>
        <cfvo type="num" val="1"/>
        <color theme="4" tint="0.79998168889431442"/>
      </dataBar>
      <extLst>
        <ext xmlns:x14="http://schemas.microsoft.com/office/spreadsheetml/2009/9/main" uri="{B025F937-C7B1-47D3-B67F-A62EFF666E3E}">
          <x14:id>{64802CDA-F4DA-4C0C-A7AD-BC20A21D081D}</x14:id>
        </ext>
      </extLst>
    </cfRule>
  </conditionalFormatting>
  <conditionalFormatting sqref="AD1882">
    <cfRule type="iconSet" priority="799">
      <iconSet iconSet="3Arrows">
        <cfvo type="percent" val="0"/>
        <cfvo type="num" val="0.7"/>
        <cfvo type="num" val="1"/>
      </iconSet>
    </cfRule>
    <cfRule type="dataBar" priority="800">
      <dataBar>
        <cfvo type="num" val="0"/>
        <cfvo type="num" val="1"/>
        <color theme="4" tint="0.79998168889431442"/>
      </dataBar>
      <extLst>
        <ext xmlns:x14="http://schemas.microsoft.com/office/spreadsheetml/2009/9/main" uri="{B025F937-C7B1-47D3-B67F-A62EFF666E3E}">
          <x14:id>{9A1E7059-4014-408D-A6BF-7E5E3A2BB437}</x14:id>
        </ext>
      </extLst>
    </cfRule>
  </conditionalFormatting>
  <conditionalFormatting sqref="AD1884 AD1894 AD1886 AD1888 AD1890 AD1892 AD1896 AD1898">
    <cfRule type="iconSet" priority="797">
      <iconSet iconSet="3Arrows">
        <cfvo type="percent" val="0"/>
        <cfvo type="num" val="0.7"/>
        <cfvo type="num" val="1"/>
      </iconSet>
    </cfRule>
    <cfRule type="dataBar" priority="798">
      <dataBar>
        <cfvo type="num" val="0"/>
        <cfvo type="num" val="1"/>
        <color theme="4" tint="0.79998168889431442"/>
      </dataBar>
      <extLst>
        <ext xmlns:x14="http://schemas.microsoft.com/office/spreadsheetml/2009/9/main" uri="{B025F937-C7B1-47D3-B67F-A62EFF666E3E}">
          <x14:id>{7967B28B-E121-454E-A53C-2E17A08C5828}</x14:id>
        </ext>
      </extLst>
    </cfRule>
  </conditionalFormatting>
  <conditionalFormatting sqref="AD1903">
    <cfRule type="dataBar" priority="796">
      <dataBar>
        <cfvo type="num" val="0"/>
        <cfvo type="num" val="1"/>
        <color theme="4" tint="0.79998168889431442"/>
      </dataBar>
      <extLst>
        <ext xmlns:x14="http://schemas.microsoft.com/office/spreadsheetml/2009/9/main" uri="{B025F937-C7B1-47D3-B67F-A62EFF666E3E}">
          <x14:id>{8A66B296-408E-4AC8-9D52-118A7FCD7BA7}</x14:id>
        </ext>
      </extLst>
    </cfRule>
    <cfRule type="iconSet" priority="795">
      <iconSet iconSet="3Arrows">
        <cfvo type="percent" val="0"/>
        <cfvo type="num" val="0.7"/>
        <cfvo type="num" val="1"/>
      </iconSet>
    </cfRule>
  </conditionalFormatting>
  <conditionalFormatting sqref="AD1907">
    <cfRule type="dataBar" priority="794">
      <dataBar>
        <cfvo type="num" val="0"/>
        <cfvo type="num" val="1"/>
        <color theme="4" tint="0.79998168889431442"/>
      </dataBar>
      <extLst>
        <ext xmlns:x14="http://schemas.microsoft.com/office/spreadsheetml/2009/9/main" uri="{B025F937-C7B1-47D3-B67F-A62EFF666E3E}">
          <x14:id>{86F9BFE1-ECE4-4472-9408-DFBFE2B26CAB}</x14:id>
        </ext>
      </extLst>
    </cfRule>
    <cfRule type="iconSet" priority="793">
      <iconSet iconSet="3Arrows">
        <cfvo type="percent" val="0"/>
        <cfvo type="num" val="0.7"/>
        <cfvo type="num" val="1"/>
      </iconSet>
    </cfRule>
  </conditionalFormatting>
  <conditionalFormatting sqref="AD1989 AD1909 AD1911 AD1913 AD1915 AD1917 AD1919 AD1921 AD1923 AD1925 AD1927 AD1929 AD1931 AD1933 AD1935 AD1937 AD1939 AD1941 AD1943 AD1945 AD1947 AD1949 AD1951 AD1953 AD1955 AD1957 AD1959 AD1961 AD1963 AD1967 AD1969 AD1971 AD1973 AD1975 AD1977 AD1979 AD1981 AD1983 AD1985 AD1987 AD1993 AD1965">
    <cfRule type="dataBar" priority="792">
      <dataBar>
        <cfvo type="num" val="0"/>
        <cfvo type="num" val="1"/>
        <color theme="4" tint="0.79998168889431442"/>
      </dataBar>
      <extLst>
        <ext xmlns:x14="http://schemas.microsoft.com/office/spreadsheetml/2009/9/main" uri="{B025F937-C7B1-47D3-B67F-A62EFF666E3E}">
          <x14:id>{BA99689C-A81C-4ACA-A77B-1D70F08B74B0}</x14:id>
        </ext>
      </extLst>
    </cfRule>
    <cfRule type="iconSet" priority="791">
      <iconSet iconSet="3Arrows">
        <cfvo type="percent" val="0"/>
        <cfvo type="num" val="0.7"/>
        <cfvo type="num" val="1"/>
      </iconSet>
    </cfRule>
  </conditionalFormatting>
  <conditionalFormatting sqref="AD1991">
    <cfRule type="dataBar" priority="790">
      <dataBar>
        <cfvo type="num" val="0"/>
        <cfvo type="num" val="1"/>
        <color theme="4" tint="0.79998168889431442"/>
      </dataBar>
      <extLst>
        <ext xmlns:x14="http://schemas.microsoft.com/office/spreadsheetml/2009/9/main" uri="{B025F937-C7B1-47D3-B67F-A62EFF666E3E}">
          <x14:id>{1A5522E4-E774-40FA-A09F-9EC202977220}</x14:id>
        </ext>
      </extLst>
    </cfRule>
    <cfRule type="iconSet" priority="789">
      <iconSet iconSet="3Arrows">
        <cfvo type="percent" val="0"/>
        <cfvo type="num" val="0.7"/>
        <cfvo type="num" val="1"/>
      </iconSet>
    </cfRule>
  </conditionalFormatting>
  <conditionalFormatting sqref="AD1995">
    <cfRule type="dataBar" priority="788">
      <dataBar>
        <cfvo type="num" val="0"/>
        <cfvo type="num" val="1"/>
        <color theme="4" tint="0.79998168889431442"/>
      </dataBar>
      <extLst>
        <ext xmlns:x14="http://schemas.microsoft.com/office/spreadsheetml/2009/9/main" uri="{B025F937-C7B1-47D3-B67F-A62EFF666E3E}">
          <x14:id>{64751A07-0C8A-461B-9444-5AECD5D7D8E1}</x14:id>
        </ext>
      </extLst>
    </cfRule>
    <cfRule type="iconSet" priority="787">
      <iconSet iconSet="3Arrows">
        <cfvo type="percent" val="0"/>
        <cfvo type="num" val="0.7"/>
        <cfvo type="num" val="1"/>
      </iconSet>
    </cfRule>
  </conditionalFormatting>
  <conditionalFormatting sqref="AD1998">
    <cfRule type="dataBar" priority="786">
      <dataBar>
        <cfvo type="num" val="0"/>
        <cfvo type="num" val="1"/>
        <color theme="4" tint="0.79998168889431442"/>
      </dataBar>
      <extLst>
        <ext xmlns:x14="http://schemas.microsoft.com/office/spreadsheetml/2009/9/main" uri="{B025F937-C7B1-47D3-B67F-A62EFF666E3E}">
          <x14:id>{A8FD7F03-0E6C-4A9C-90B2-A1648B564037}</x14:id>
        </ext>
      </extLst>
    </cfRule>
    <cfRule type="iconSet" priority="785">
      <iconSet iconSet="3Arrows">
        <cfvo type="percent" val="0"/>
        <cfvo type="num" val="0.7"/>
        <cfvo type="num" val="1"/>
      </iconSet>
    </cfRule>
  </conditionalFormatting>
  <conditionalFormatting sqref="AD2000 AD2002 AD2004 AD2006 AD2008">
    <cfRule type="dataBar" priority="784">
      <dataBar>
        <cfvo type="num" val="0"/>
        <cfvo type="num" val="1"/>
        <color theme="4" tint="0.79998168889431442"/>
      </dataBar>
      <extLst>
        <ext xmlns:x14="http://schemas.microsoft.com/office/spreadsheetml/2009/9/main" uri="{B025F937-C7B1-47D3-B67F-A62EFF666E3E}">
          <x14:id>{1D35BD4D-D5A7-4B89-AAFA-12F20018D929}</x14:id>
        </ext>
      </extLst>
    </cfRule>
    <cfRule type="iconSet" priority="783">
      <iconSet iconSet="3Arrows">
        <cfvo type="percent" val="0"/>
        <cfvo type="num" val="0.7"/>
        <cfvo type="num" val="1"/>
      </iconSet>
    </cfRule>
  </conditionalFormatting>
  <conditionalFormatting sqref="AD2012 AD2010 AD2014 AD2016 AD2018">
    <cfRule type="iconSet" priority="781">
      <iconSet iconSet="3Arrows">
        <cfvo type="percent" val="0"/>
        <cfvo type="num" val="0.7"/>
        <cfvo type="num" val="1"/>
      </iconSet>
    </cfRule>
    <cfRule type="dataBar" priority="782">
      <dataBar>
        <cfvo type="num" val="0"/>
        <cfvo type="num" val="1"/>
        <color theme="4" tint="0.79998168889431442"/>
      </dataBar>
      <extLst>
        <ext xmlns:x14="http://schemas.microsoft.com/office/spreadsheetml/2009/9/main" uri="{B025F937-C7B1-47D3-B67F-A62EFF666E3E}">
          <x14:id>{B2F481E6-3728-4962-A8DB-FDB11C21D438}</x14:id>
        </ext>
      </extLst>
    </cfRule>
  </conditionalFormatting>
  <conditionalFormatting sqref="AD2020 AD2022 AD2024 AD2026 AD2028">
    <cfRule type="dataBar" priority="780">
      <dataBar>
        <cfvo type="num" val="0"/>
        <cfvo type="num" val="1"/>
        <color theme="4" tint="0.79998168889431442"/>
      </dataBar>
      <extLst>
        <ext xmlns:x14="http://schemas.microsoft.com/office/spreadsheetml/2009/9/main" uri="{B025F937-C7B1-47D3-B67F-A62EFF666E3E}">
          <x14:id>{8B819996-476B-4562-A7AB-5605916C8A6C}</x14:id>
        </ext>
      </extLst>
    </cfRule>
    <cfRule type="iconSet" priority="779">
      <iconSet iconSet="3Arrows">
        <cfvo type="percent" val="0"/>
        <cfvo type="num" val="0.7"/>
        <cfvo type="num" val="1"/>
      </iconSet>
    </cfRule>
  </conditionalFormatting>
  <conditionalFormatting sqref="AD2032 AD2030 AD2034 AD2036 AD2038">
    <cfRule type="dataBar" priority="778">
      <dataBar>
        <cfvo type="num" val="0"/>
        <cfvo type="num" val="1"/>
        <color theme="4" tint="0.79998168889431442"/>
      </dataBar>
      <extLst>
        <ext xmlns:x14="http://schemas.microsoft.com/office/spreadsheetml/2009/9/main" uri="{B025F937-C7B1-47D3-B67F-A62EFF666E3E}">
          <x14:id>{8C715593-21F7-4801-BD21-B27C69521AA2}</x14:id>
        </ext>
      </extLst>
    </cfRule>
    <cfRule type="iconSet" priority="777">
      <iconSet iconSet="3Arrows">
        <cfvo type="percent" val="0"/>
        <cfvo type="num" val="0.7"/>
        <cfvo type="num" val="1"/>
      </iconSet>
    </cfRule>
  </conditionalFormatting>
  <conditionalFormatting sqref="AD2040 AD2042 AD2044 AD2046 AD2048">
    <cfRule type="dataBar" priority="776">
      <dataBar>
        <cfvo type="num" val="0"/>
        <cfvo type="num" val="1"/>
        <color theme="4" tint="0.79998168889431442"/>
      </dataBar>
      <extLst>
        <ext xmlns:x14="http://schemas.microsoft.com/office/spreadsheetml/2009/9/main" uri="{B025F937-C7B1-47D3-B67F-A62EFF666E3E}">
          <x14:id>{ADAA3B4D-FB33-406D-A932-3C92BA34CD5F}</x14:id>
        </ext>
      </extLst>
    </cfRule>
    <cfRule type="iconSet" priority="775">
      <iconSet iconSet="3Arrows">
        <cfvo type="percent" val="0"/>
        <cfvo type="num" val="0.7"/>
        <cfvo type="num" val="1"/>
      </iconSet>
    </cfRule>
  </conditionalFormatting>
  <conditionalFormatting sqref="AD2052 AD2050 AD2054 AD2056 AD2058">
    <cfRule type="dataBar" priority="774">
      <dataBar>
        <cfvo type="num" val="0"/>
        <cfvo type="num" val="1"/>
        <color theme="4" tint="0.79998168889431442"/>
      </dataBar>
      <extLst>
        <ext xmlns:x14="http://schemas.microsoft.com/office/spreadsheetml/2009/9/main" uri="{B025F937-C7B1-47D3-B67F-A62EFF666E3E}">
          <x14:id>{3B72D516-2C32-4A14-8762-631AB6FC8B5C}</x14:id>
        </ext>
      </extLst>
    </cfRule>
    <cfRule type="iconSet" priority="773">
      <iconSet iconSet="3Arrows">
        <cfvo type="percent" val="0"/>
        <cfvo type="num" val="0.7"/>
        <cfvo type="num" val="1"/>
      </iconSet>
    </cfRule>
  </conditionalFormatting>
  <conditionalFormatting sqref="AD2060 AD2062 AD2064 AD2066 AD2068">
    <cfRule type="iconSet" priority="771">
      <iconSet iconSet="3Arrows">
        <cfvo type="percent" val="0"/>
        <cfvo type="num" val="0.7"/>
        <cfvo type="num" val="1"/>
      </iconSet>
    </cfRule>
    <cfRule type="dataBar" priority="772">
      <dataBar>
        <cfvo type="num" val="0"/>
        <cfvo type="num" val="1"/>
        <color theme="4" tint="0.79998168889431442"/>
      </dataBar>
      <extLst>
        <ext xmlns:x14="http://schemas.microsoft.com/office/spreadsheetml/2009/9/main" uri="{B025F937-C7B1-47D3-B67F-A62EFF666E3E}">
          <x14:id>{42B617AB-7092-4520-BAF3-2272EA34DEC3}</x14:id>
        </ext>
      </extLst>
    </cfRule>
  </conditionalFormatting>
  <conditionalFormatting sqref="AD2070 AD2074 AD2072 AD2076">
    <cfRule type="iconSet" priority="769">
      <iconSet iconSet="3Arrows">
        <cfvo type="percent" val="0"/>
        <cfvo type="num" val="0.7"/>
        <cfvo type="num" val="1"/>
      </iconSet>
    </cfRule>
    <cfRule type="dataBar" priority="770">
      <dataBar>
        <cfvo type="num" val="0"/>
        <cfvo type="num" val="1"/>
        <color theme="4" tint="0.79998168889431442"/>
      </dataBar>
      <extLst>
        <ext xmlns:x14="http://schemas.microsoft.com/office/spreadsheetml/2009/9/main" uri="{B025F937-C7B1-47D3-B67F-A62EFF666E3E}">
          <x14:id>{215878D0-7E08-467D-9E86-26D698904C6D}</x14:id>
        </ext>
      </extLst>
    </cfRule>
  </conditionalFormatting>
  <conditionalFormatting sqref="AD2078">
    <cfRule type="dataBar" priority="768">
      <dataBar>
        <cfvo type="num" val="0"/>
        <cfvo type="num" val="1"/>
        <color theme="4" tint="0.79998168889431442"/>
      </dataBar>
      <extLst>
        <ext xmlns:x14="http://schemas.microsoft.com/office/spreadsheetml/2009/9/main" uri="{B025F937-C7B1-47D3-B67F-A62EFF666E3E}">
          <x14:id>{41175E12-9F52-449A-B500-5AE09E24E7BA}</x14:id>
        </ext>
      </extLst>
    </cfRule>
    <cfRule type="iconSet" priority="767">
      <iconSet iconSet="3Arrows">
        <cfvo type="percent" val="0"/>
        <cfvo type="num" val="0.7"/>
        <cfvo type="num" val="1"/>
      </iconSet>
    </cfRule>
  </conditionalFormatting>
  <conditionalFormatting sqref="AD2080">
    <cfRule type="dataBar" priority="766">
      <dataBar>
        <cfvo type="num" val="0"/>
        <cfvo type="num" val="1"/>
        <color theme="4" tint="0.79998168889431442"/>
      </dataBar>
      <extLst>
        <ext xmlns:x14="http://schemas.microsoft.com/office/spreadsheetml/2009/9/main" uri="{B025F937-C7B1-47D3-B67F-A62EFF666E3E}">
          <x14:id>{4BE956F6-D3AB-48EF-9F2C-B8A548C897EE}</x14:id>
        </ext>
      </extLst>
    </cfRule>
    <cfRule type="iconSet" priority="765">
      <iconSet iconSet="3Arrows">
        <cfvo type="percent" val="0"/>
        <cfvo type="num" val="0.7"/>
        <cfvo type="num" val="1"/>
      </iconSet>
    </cfRule>
  </conditionalFormatting>
  <conditionalFormatting sqref="AD2084">
    <cfRule type="dataBar" priority="764">
      <dataBar>
        <cfvo type="num" val="0"/>
        <cfvo type="num" val="1"/>
        <color theme="4" tint="0.79998168889431442"/>
      </dataBar>
      <extLst>
        <ext xmlns:x14="http://schemas.microsoft.com/office/spreadsheetml/2009/9/main" uri="{B025F937-C7B1-47D3-B67F-A62EFF666E3E}">
          <x14:id>{5313811F-5E11-4A0F-B0FC-CF142626525C}</x14:id>
        </ext>
      </extLst>
    </cfRule>
    <cfRule type="iconSet" priority="763">
      <iconSet iconSet="3Arrows">
        <cfvo type="percent" val="0"/>
        <cfvo type="num" val="0.7"/>
        <cfvo type="num" val="1"/>
      </iconSet>
    </cfRule>
  </conditionalFormatting>
  <conditionalFormatting sqref="AD2086 AD2088">
    <cfRule type="dataBar" priority="762">
      <dataBar>
        <cfvo type="num" val="0"/>
        <cfvo type="num" val="1"/>
        <color theme="4" tint="0.79998168889431442"/>
      </dataBar>
      <extLst>
        <ext xmlns:x14="http://schemas.microsoft.com/office/spreadsheetml/2009/9/main" uri="{B025F937-C7B1-47D3-B67F-A62EFF666E3E}">
          <x14:id>{3047B5E2-AAD0-45E7-8009-BF97EE6A5B06}</x14:id>
        </ext>
      </extLst>
    </cfRule>
    <cfRule type="iconSet" priority="761">
      <iconSet iconSet="3Arrows">
        <cfvo type="percent" val="0"/>
        <cfvo type="num" val="0.7"/>
        <cfvo type="num" val="1"/>
      </iconSet>
    </cfRule>
  </conditionalFormatting>
  <conditionalFormatting sqref="AD2090">
    <cfRule type="dataBar" priority="760">
      <dataBar>
        <cfvo type="num" val="0"/>
        <cfvo type="num" val="1"/>
        <color theme="4" tint="0.79998168889431442"/>
      </dataBar>
      <extLst>
        <ext xmlns:x14="http://schemas.microsoft.com/office/spreadsheetml/2009/9/main" uri="{B025F937-C7B1-47D3-B67F-A62EFF666E3E}">
          <x14:id>{D3A7165E-EB16-402C-AB88-88C5772B8637}</x14:id>
        </ext>
      </extLst>
    </cfRule>
    <cfRule type="iconSet" priority="759">
      <iconSet iconSet="3Arrows">
        <cfvo type="percent" val="0"/>
        <cfvo type="num" val="0.7"/>
        <cfvo type="num" val="1"/>
      </iconSet>
    </cfRule>
  </conditionalFormatting>
  <conditionalFormatting sqref="AD2094 AD2092">
    <cfRule type="dataBar" priority="758">
      <dataBar>
        <cfvo type="num" val="0"/>
        <cfvo type="num" val="1"/>
        <color theme="4" tint="0.79998168889431442"/>
      </dataBar>
      <extLst>
        <ext xmlns:x14="http://schemas.microsoft.com/office/spreadsheetml/2009/9/main" uri="{B025F937-C7B1-47D3-B67F-A62EFF666E3E}">
          <x14:id>{B7F6389C-44D7-495E-9DD2-AD5FA07CC6E7}</x14:id>
        </ext>
      </extLst>
    </cfRule>
    <cfRule type="iconSet" priority="757">
      <iconSet iconSet="3Arrows">
        <cfvo type="percent" val="0"/>
        <cfvo type="num" val="0.7"/>
        <cfvo type="num" val="1"/>
      </iconSet>
    </cfRule>
  </conditionalFormatting>
  <conditionalFormatting sqref="AD2096">
    <cfRule type="iconSet" priority="755">
      <iconSet iconSet="3Arrows">
        <cfvo type="percent" val="0"/>
        <cfvo type="num" val="0.7"/>
        <cfvo type="num" val="1"/>
      </iconSet>
    </cfRule>
    <cfRule type="dataBar" priority="756">
      <dataBar>
        <cfvo type="num" val="0"/>
        <cfvo type="num" val="1"/>
        <color theme="4" tint="0.79998168889431442"/>
      </dataBar>
      <extLst>
        <ext xmlns:x14="http://schemas.microsoft.com/office/spreadsheetml/2009/9/main" uri="{B025F937-C7B1-47D3-B67F-A62EFF666E3E}">
          <x14:id>{E9577886-16CA-4EDB-8A37-BC996A6364E7}</x14:id>
        </ext>
      </extLst>
    </cfRule>
  </conditionalFormatting>
  <conditionalFormatting sqref="AD2098">
    <cfRule type="dataBar" priority="754">
      <dataBar>
        <cfvo type="num" val="0"/>
        <cfvo type="num" val="1"/>
        <color theme="4" tint="0.79998168889431442"/>
      </dataBar>
      <extLst>
        <ext xmlns:x14="http://schemas.microsoft.com/office/spreadsheetml/2009/9/main" uri="{B025F937-C7B1-47D3-B67F-A62EFF666E3E}">
          <x14:id>{4943CC72-2EF7-4137-A442-C855DFEB46C6}</x14:id>
        </ext>
      </extLst>
    </cfRule>
    <cfRule type="iconSet" priority="753">
      <iconSet iconSet="3Arrows">
        <cfvo type="percent" val="0"/>
        <cfvo type="num" val="0.7"/>
        <cfvo type="num" val="1"/>
      </iconSet>
    </cfRule>
  </conditionalFormatting>
  <conditionalFormatting sqref="AD2100">
    <cfRule type="dataBar" priority="752">
      <dataBar>
        <cfvo type="num" val="0"/>
        <cfvo type="num" val="1"/>
        <color theme="4" tint="0.79998168889431442"/>
      </dataBar>
      <extLst>
        <ext xmlns:x14="http://schemas.microsoft.com/office/spreadsheetml/2009/9/main" uri="{B025F937-C7B1-47D3-B67F-A62EFF666E3E}">
          <x14:id>{7A1AAF0C-1969-47E6-A728-39193C747460}</x14:id>
        </ext>
      </extLst>
    </cfRule>
    <cfRule type="iconSet" priority="751">
      <iconSet iconSet="3Arrows">
        <cfvo type="percent" val="0"/>
        <cfvo type="num" val="0.7"/>
        <cfvo type="num" val="1"/>
      </iconSet>
    </cfRule>
  </conditionalFormatting>
  <conditionalFormatting sqref="AD2102 AD2104">
    <cfRule type="dataBar" priority="750">
      <dataBar>
        <cfvo type="num" val="0"/>
        <cfvo type="num" val="1"/>
        <color theme="4" tint="0.79998168889431442"/>
      </dataBar>
      <extLst>
        <ext xmlns:x14="http://schemas.microsoft.com/office/spreadsheetml/2009/9/main" uri="{B025F937-C7B1-47D3-B67F-A62EFF666E3E}">
          <x14:id>{9CE0553F-5AD6-4A6E-9FB4-916FB09B8CF7}</x14:id>
        </ext>
      </extLst>
    </cfRule>
    <cfRule type="iconSet" priority="749">
      <iconSet iconSet="3Arrows">
        <cfvo type="percent" val="0"/>
        <cfvo type="num" val="0.7"/>
        <cfvo type="num" val="1"/>
      </iconSet>
    </cfRule>
  </conditionalFormatting>
  <conditionalFormatting sqref="AD2106">
    <cfRule type="dataBar" priority="748">
      <dataBar>
        <cfvo type="num" val="0"/>
        <cfvo type="num" val="1"/>
        <color theme="4" tint="0.79998168889431442"/>
      </dataBar>
      <extLst>
        <ext xmlns:x14="http://schemas.microsoft.com/office/spreadsheetml/2009/9/main" uri="{B025F937-C7B1-47D3-B67F-A62EFF666E3E}">
          <x14:id>{A5DD4FCD-79B9-4098-874F-A90E83C286F9}</x14:id>
        </ext>
      </extLst>
    </cfRule>
    <cfRule type="iconSet" priority="747">
      <iconSet iconSet="3Arrows">
        <cfvo type="percent" val="0"/>
        <cfvo type="num" val="0.7"/>
        <cfvo type="num" val="1"/>
      </iconSet>
    </cfRule>
  </conditionalFormatting>
  <conditionalFormatting sqref="AD2108">
    <cfRule type="dataBar" priority="746">
      <dataBar>
        <cfvo type="num" val="0"/>
        <cfvo type="num" val="1"/>
        <color theme="4" tint="0.79998168889431442"/>
      </dataBar>
      <extLst>
        <ext xmlns:x14="http://schemas.microsoft.com/office/spreadsheetml/2009/9/main" uri="{B025F937-C7B1-47D3-B67F-A62EFF666E3E}">
          <x14:id>{159F6116-74D5-40DF-B9D7-B27573AF783D}</x14:id>
        </ext>
      </extLst>
    </cfRule>
    <cfRule type="iconSet" priority="745">
      <iconSet iconSet="3Arrows">
        <cfvo type="percent" val="0"/>
        <cfvo type="num" val="0.7"/>
        <cfvo type="num" val="1"/>
      </iconSet>
    </cfRule>
  </conditionalFormatting>
  <conditionalFormatting sqref="AD2110 AD2112">
    <cfRule type="iconSet" priority="743">
      <iconSet iconSet="3Arrows">
        <cfvo type="percent" val="0"/>
        <cfvo type="num" val="0.7"/>
        <cfvo type="num" val="1"/>
      </iconSet>
    </cfRule>
    <cfRule type="dataBar" priority="744">
      <dataBar>
        <cfvo type="num" val="0"/>
        <cfvo type="num" val="1"/>
        <color theme="4" tint="0.79998168889431442"/>
      </dataBar>
      <extLst>
        <ext xmlns:x14="http://schemas.microsoft.com/office/spreadsheetml/2009/9/main" uri="{B025F937-C7B1-47D3-B67F-A62EFF666E3E}">
          <x14:id>{8D51BB48-91C7-4E27-BA26-BA4DFAC8C112}</x14:id>
        </ext>
      </extLst>
    </cfRule>
  </conditionalFormatting>
  <conditionalFormatting sqref="AD2114">
    <cfRule type="iconSet" priority="741">
      <iconSet iconSet="3Arrows">
        <cfvo type="percent" val="0"/>
        <cfvo type="num" val="0.7"/>
        <cfvo type="num" val="1"/>
      </iconSet>
    </cfRule>
    <cfRule type="dataBar" priority="742">
      <dataBar>
        <cfvo type="num" val="0"/>
        <cfvo type="num" val="1"/>
        <color theme="4" tint="0.79998168889431442"/>
      </dataBar>
      <extLst>
        <ext xmlns:x14="http://schemas.microsoft.com/office/spreadsheetml/2009/9/main" uri="{B025F937-C7B1-47D3-B67F-A62EFF666E3E}">
          <x14:id>{89D01E65-5368-4A75-B9F6-F3C6AE89C687}</x14:id>
        </ext>
      </extLst>
    </cfRule>
  </conditionalFormatting>
  <conditionalFormatting sqref="AD2116">
    <cfRule type="dataBar" priority="740">
      <dataBar>
        <cfvo type="num" val="0"/>
        <cfvo type="num" val="1"/>
        <color theme="4" tint="0.79998168889431442"/>
      </dataBar>
      <extLst>
        <ext xmlns:x14="http://schemas.microsoft.com/office/spreadsheetml/2009/9/main" uri="{B025F937-C7B1-47D3-B67F-A62EFF666E3E}">
          <x14:id>{4CD16CFA-2414-4FC1-9E04-412F47DA3C9B}</x14:id>
        </ext>
      </extLst>
    </cfRule>
    <cfRule type="iconSet" priority="739">
      <iconSet iconSet="3Arrows">
        <cfvo type="percent" val="0"/>
        <cfvo type="num" val="0.7"/>
        <cfvo type="num" val="1"/>
      </iconSet>
    </cfRule>
  </conditionalFormatting>
  <conditionalFormatting sqref="AD2118">
    <cfRule type="dataBar" priority="738">
      <dataBar>
        <cfvo type="num" val="0"/>
        <cfvo type="num" val="1"/>
        <color theme="4" tint="0.79998168889431442"/>
      </dataBar>
      <extLst>
        <ext xmlns:x14="http://schemas.microsoft.com/office/spreadsheetml/2009/9/main" uri="{B025F937-C7B1-47D3-B67F-A62EFF666E3E}">
          <x14:id>{3023DB94-4A73-40DC-839D-0C58C3FBD0C6}</x14:id>
        </ext>
      </extLst>
    </cfRule>
    <cfRule type="iconSet" priority="737">
      <iconSet iconSet="3Arrows">
        <cfvo type="percent" val="0"/>
        <cfvo type="num" val="0.7"/>
        <cfvo type="num" val="1"/>
      </iconSet>
    </cfRule>
  </conditionalFormatting>
  <conditionalFormatting sqref="AD2120 AD2122">
    <cfRule type="iconSet" priority="735">
      <iconSet iconSet="3Arrows">
        <cfvo type="percent" val="0"/>
        <cfvo type="num" val="0.7"/>
        <cfvo type="num" val="1"/>
      </iconSet>
    </cfRule>
    <cfRule type="dataBar" priority="736">
      <dataBar>
        <cfvo type="num" val="0"/>
        <cfvo type="num" val="1"/>
        <color theme="4" tint="0.79998168889431442"/>
      </dataBar>
      <extLst>
        <ext xmlns:x14="http://schemas.microsoft.com/office/spreadsheetml/2009/9/main" uri="{B025F937-C7B1-47D3-B67F-A62EFF666E3E}">
          <x14:id>{E22DDC35-AC79-487F-97E0-BF5134189204}</x14:id>
        </ext>
      </extLst>
    </cfRule>
  </conditionalFormatting>
  <conditionalFormatting sqref="AD2124">
    <cfRule type="dataBar" priority="734">
      <dataBar>
        <cfvo type="num" val="0"/>
        <cfvo type="num" val="1"/>
        <color theme="4" tint="0.79998168889431442"/>
      </dataBar>
      <extLst>
        <ext xmlns:x14="http://schemas.microsoft.com/office/spreadsheetml/2009/9/main" uri="{B025F937-C7B1-47D3-B67F-A62EFF666E3E}">
          <x14:id>{B202BA19-1E47-46DA-A4D2-34828FC0FCD2}</x14:id>
        </ext>
      </extLst>
    </cfRule>
    <cfRule type="iconSet" priority="733">
      <iconSet iconSet="3Arrows">
        <cfvo type="percent" val="0"/>
        <cfvo type="num" val="0.7"/>
        <cfvo type="num" val="1"/>
      </iconSet>
    </cfRule>
  </conditionalFormatting>
  <conditionalFormatting sqref="AD2127">
    <cfRule type="dataBar" priority="732">
      <dataBar>
        <cfvo type="num" val="0"/>
        <cfvo type="num" val="1"/>
        <color theme="4" tint="0.79998168889431442"/>
      </dataBar>
      <extLst>
        <ext xmlns:x14="http://schemas.microsoft.com/office/spreadsheetml/2009/9/main" uri="{B025F937-C7B1-47D3-B67F-A62EFF666E3E}">
          <x14:id>{1AB330C7-1EF9-46CD-9587-755B2F82AC28}</x14:id>
        </ext>
      </extLst>
    </cfRule>
    <cfRule type="iconSet" priority="731">
      <iconSet iconSet="3Arrows">
        <cfvo type="percent" val="0"/>
        <cfvo type="num" val="0.7"/>
        <cfvo type="num" val="1"/>
      </iconSet>
    </cfRule>
  </conditionalFormatting>
  <conditionalFormatting sqref="AD2129 AD2131 AD2133">
    <cfRule type="dataBar" priority="730">
      <dataBar>
        <cfvo type="num" val="0"/>
        <cfvo type="num" val="1"/>
        <color theme="4" tint="0.79998168889431442"/>
      </dataBar>
      <extLst>
        <ext xmlns:x14="http://schemas.microsoft.com/office/spreadsheetml/2009/9/main" uri="{B025F937-C7B1-47D3-B67F-A62EFF666E3E}">
          <x14:id>{00F46758-0AF0-4058-B1CC-E6E9D7D8A9E0}</x14:id>
        </ext>
      </extLst>
    </cfRule>
    <cfRule type="iconSet" priority="729">
      <iconSet iconSet="3Arrows">
        <cfvo type="percent" val="0"/>
        <cfvo type="num" val="0.7"/>
        <cfvo type="num" val="1"/>
      </iconSet>
    </cfRule>
  </conditionalFormatting>
  <conditionalFormatting sqref="AD2135 AD2137 AD2139">
    <cfRule type="dataBar" priority="728">
      <dataBar>
        <cfvo type="num" val="0"/>
        <cfvo type="num" val="1"/>
        <color theme="4" tint="0.79998168889431442"/>
      </dataBar>
      <extLst>
        <ext xmlns:x14="http://schemas.microsoft.com/office/spreadsheetml/2009/9/main" uri="{B025F937-C7B1-47D3-B67F-A62EFF666E3E}">
          <x14:id>{05F17E0E-1C94-42E2-AE96-5A0F406F5461}</x14:id>
        </ext>
      </extLst>
    </cfRule>
    <cfRule type="iconSet" priority="727">
      <iconSet iconSet="3Arrows">
        <cfvo type="percent" val="0"/>
        <cfvo type="num" val="0.7"/>
        <cfvo type="num" val="1"/>
      </iconSet>
    </cfRule>
  </conditionalFormatting>
  <conditionalFormatting sqref="AD2141 AD2143 AD2145">
    <cfRule type="dataBar" priority="726">
      <dataBar>
        <cfvo type="num" val="0"/>
        <cfvo type="num" val="1"/>
        <color theme="4" tint="0.79998168889431442"/>
      </dataBar>
      <extLst>
        <ext xmlns:x14="http://schemas.microsoft.com/office/spreadsheetml/2009/9/main" uri="{B025F937-C7B1-47D3-B67F-A62EFF666E3E}">
          <x14:id>{06150FB8-F52C-4EB8-A0FC-89441ECEF2D0}</x14:id>
        </ext>
      </extLst>
    </cfRule>
    <cfRule type="iconSet" priority="725">
      <iconSet iconSet="3Arrows">
        <cfvo type="percent" val="0"/>
        <cfvo type="num" val="0.7"/>
        <cfvo type="num" val="1"/>
      </iconSet>
    </cfRule>
  </conditionalFormatting>
  <conditionalFormatting sqref="AD2147 AD2149 AD2151">
    <cfRule type="dataBar" priority="724">
      <dataBar>
        <cfvo type="num" val="0"/>
        <cfvo type="num" val="1"/>
        <color theme="4" tint="0.79998168889431442"/>
      </dataBar>
      <extLst>
        <ext xmlns:x14="http://schemas.microsoft.com/office/spreadsheetml/2009/9/main" uri="{B025F937-C7B1-47D3-B67F-A62EFF666E3E}">
          <x14:id>{757A79F8-B822-4FB8-AE11-E4B71AF836DA}</x14:id>
        </ext>
      </extLst>
    </cfRule>
    <cfRule type="iconSet" priority="723">
      <iconSet iconSet="3Arrows">
        <cfvo type="percent" val="0"/>
        <cfvo type="num" val="0.7"/>
        <cfvo type="num" val="1"/>
      </iconSet>
    </cfRule>
  </conditionalFormatting>
  <conditionalFormatting sqref="AD2155 AD2153 AD2157">
    <cfRule type="dataBar" priority="722">
      <dataBar>
        <cfvo type="num" val="0"/>
        <cfvo type="num" val="1"/>
        <color theme="4" tint="0.79998168889431442"/>
      </dataBar>
      <extLst>
        <ext xmlns:x14="http://schemas.microsoft.com/office/spreadsheetml/2009/9/main" uri="{B025F937-C7B1-47D3-B67F-A62EFF666E3E}">
          <x14:id>{FE47363C-7DFC-40BD-AF6C-FDF4297680F2}</x14:id>
        </ext>
      </extLst>
    </cfRule>
    <cfRule type="iconSet" priority="721">
      <iconSet iconSet="3Arrows">
        <cfvo type="percent" val="0"/>
        <cfvo type="num" val="0.7"/>
        <cfvo type="num" val="1"/>
      </iconSet>
    </cfRule>
  </conditionalFormatting>
  <conditionalFormatting sqref="AD2159 AD2161 AD2163">
    <cfRule type="dataBar" priority="720">
      <dataBar>
        <cfvo type="num" val="0"/>
        <cfvo type="num" val="1"/>
        <color theme="4" tint="0.79998168889431442"/>
      </dataBar>
      <extLst>
        <ext xmlns:x14="http://schemas.microsoft.com/office/spreadsheetml/2009/9/main" uri="{B025F937-C7B1-47D3-B67F-A62EFF666E3E}">
          <x14:id>{9B5D8D50-C819-4072-9902-A85A437FA0AB}</x14:id>
        </ext>
      </extLst>
    </cfRule>
    <cfRule type="iconSet" priority="719">
      <iconSet iconSet="3Arrows">
        <cfvo type="percent" val="0"/>
        <cfvo type="num" val="0.7"/>
        <cfvo type="num" val="1"/>
      </iconSet>
    </cfRule>
  </conditionalFormatting>
  <conditionalFormatting sqref="AD2165 AD2167">
    <cfRule type="dataBar" priority="718">
      <dataBar>
        <cfvo type="num" val="0"/>
        <cfvo type="num" val="1"/>
        <color theme="4" tint="0.79998168889431442"/>
      </dataBar>
      <extLst>
        <ext xmlns:x14="http://schemas.microsoft.com/office/spreadsheetml/2009/9/main" uri="{B025F937-C7B1-47D3-B67F-A62EFF666E3E}">
          <x14:id>{CDFCAA70-5E01-462B-899F-88CDEAD7D9FA}</x14:id>
        </ext>
      </extLst>
    </cfRule>
    <cfRule type="iconSet" priority="717">
      <iconSet iconSet="3Arrows">
        <cfvo type="percent" val="0"/>
        <cfvo type="num" val="0.7"/>
        <cfvo type="num" val="1"/>
      </iconSet>
    </cfRule>
  </conditionalFormatting>
  <conditionalFormatting sqref="AD2169 AD2171 AD2173">
    <cfRule type="dataBar" priority="716">
      <dataBar>
        <cfvo type="num" val="0"/>
        <cfvo type="num" val="1"/>
        <color theme="4" tint="0.79998168889431442"/>
      </dataBar>
      <extLst>
        <ext xmlns:x14="http://schemas.microsoft.com/office/spreadsheetml/2009/9/main" uri="{B025F937-C7B1-47D3-B67F-A62EFF666E3E}">
          <x14:id>{9489C9B7-667B-4A81-AACA-E9871AD2A761}</x14:id>
        </ext>
      </extLst>
    </cfRule>
    <cfRule type="iconSet" priority="715">
      <iconSet iconSet="3Arrows">
        <cfvo type="percent" val="0"/>
        <cfvo type="num" val="0.7"/>
        <cfvo type="num" val="1"/>
      </iconSet>
    </cfRule>
  </conditionalFormatting>
  <conditionalFormatting sqref="AD2175 AD2177 AD2179">
    <cfRule type="dataBar" priority="714">
      <dataBar>
        <cfvo type="num" val="0"/>
        <cfvo type="num" val="1"/>
        <color theme="4" tint="0.79998168889431442"/>
      </dataBar>
      <extLst>
        <ext xmlns:x14="http://schemas.microsoft.com/office/spreadsheetml/2009/9/main" uri="{B025F937-C7B1-47D3-B67F-A62EFF666E3E}">
          <x14:id>{760373E9-25AF-469E-BA9D-BB388D3E5F58}</x14:id>
        </ext>
      </extLst>
    </cfRule>
    <cfRule type="iconSet" priority="713">
      <iconSet iconSet="3Arrows">
        <cfvo type="percent" val="0"/>
        <cfvo type="num" val="0.7"/>
        <cfvo type="num" val="1"/>
      </iconSet>
    </cfRule>
  </conditionalFormatting>
  <conditionalFormatting sqref="AD2181 AD2183 AD2185">
    <cfRule type="dataBar" priority="712">
      <dataBar>
        <cfvo type="num" val="0"/>
        <cfvo type="num" val="1"/>
        <color theme="4" tint="0.79998168889431442"/>
      </dataBar>
      <extLst>
        <ext xmlns:x14="http://schemas.microsoft.com/office/spreadsheetml/2009/9/main" uri="{B025F937-C7B1-47D3-B67F-A62EFF666E3E}">
          <x14:id>{7318300D-0CF3-44AF-BF12-E48B385CDDF4}</x14:id>
        </ext>
      </extLst>
    </cfRule>
    <cfRule type="iconSet" priority="711">
      <iconSet iconSet="3Arrows">
        <cfvo type="percent" val="0"/>
        <cfvo type="num" val="0.7"/>
        <cfvo type="num" val="1"/>
      </iconSet>
    </cfRule>
  </conditionalFormatting>
  <conditionalFormatting sqref="AD2187 AD2189 AD2191">
    <cfRule type="dataBar" priority="710">
      <dataBar>
        <cfvo type="num" val="0"/>
        <cfvo type="num" val="1"/>
        <color theme="4" tint="0.79998168889431442"/>
      </dataBar>
      <extLst>
        <ext xmlns:x14="http://schemas.microsoft.com/office/spreadsheetml/2009/9/main" uri="{B025F937-C7B1-47D3-B67F-A62EFF666E3E}">
          <x14:id>{C082FF14-174A-4844-BEA8-FA01A8381ACA}</x14:id>
        </ext>
      </extLst>
    </cfRule>
    <cfRule type="iconSet" priority="709">
      <iconSet iconSet="3Arrows">
        <cfvo type="percent" val="0"/>
        <cfvo type="num" val="0.7"/>
        <cfvo type="num" val="1"/>
      </iconSet>
    </cfRule>
  </conditionalFormatting>
  <conditionalFormatting sqref="AD2195 AD2193 AD2197">
    <cfRule type="dataBar" priority="708">
      <dataBar>
        <cfvo type="num" val="0"/>
        <cfvo type="num" val="1"/>
        <color theme="4" tint="0.79998168889431442"/>
      </dataBar>
      <extLst>
        <ext xmlns:x14="http://schemas.microsoft.com/office/spreadsheetml/2009/9/main" uri="{B025F937-C7B1-47D3-B67F-A62EFF666E3E}">
          <x14:id>{C0621AC1-B335-4746-A91B-72944E147A41}</x14:id>
        </ext>
      </extLst>
    </cfRule>
    <cfRule type="iconSet" priority="707">
      <iconSet iconSet="3Arrows">
        <cfvo type="percent" val="0"/>
        <cfvo type="num" val="0.7"/>
        <cfvo type="num" val="1"/>
      </iconSet>
    </cfRule>
  </conditionalFormatting>
  <conditionalFormatting sqref="AD2199 AD2201 AD2203">
    <cfRule type="dataBar" priority="706">
      <dataBar>
        <cfvo type="num" val="0"/>
        <cfvo type="num" val="1"/>
        <color theme="4" tint="0.79998168889431442"/>
      </dataBar>
      <extLst>
        <ext xmlns:x14="http://schemas.microsoft.com/office/spreadsheetml/2009/9/main" uri="{B025F937-C7B1-47D3-B67F-A62EFF666E3E}">
          <x14:id>{C69ACD37-1D55-4CF1-88E7-2C5751D368DE}</x14:id>
        </ext>
      </extLst>
    </cfRule>
    <cfRule type="iconSet" priority="705">
      <iconSet iconSet="3Arrows">
        <cfvo type="percent" val="0"/>
        <cfvo type="num" val="0.7"/>
        <cfvo type="num" val="1"/>
      </iconSet>
    </cfRule>
  </conditionalFormatting>
  <conditionalFormatting sqref="AD2205 AD2209">
    <cfRule type="dataBar" priority="704">
      <dataBar>
        <cfvo type="num" val="0"/>
        <cfvo type="num" val="1"/>
        <color theme="4" tint="0.79998168889431442"/>
      </dataBar>
      <extLst>
        <ext xmlns:x14="http://schemas.microsoft.com/office/spreadsheetml/2009/9/main" uri="{B025F937-C7B1-47D3-B67F-A62EFF666E3E}">
          <x14:id>{22821950-B8B7-42EB-9C81-5A97CF1E895A}</x14:id>
        </ext>
      </extLst>
    </cfRule>
    <cfRule type="iconSet" priority="703">
      <iconSet iconSet="3Arrows">
        <cfvo type="percent" val="0"/>
        <cfvo type="num" val="0.7"/>
        <cfvo type="num" val="1"/>
      </iconSet>
    </cfRule>
  </conditionalFormatting>
  <conditionalFormatting sqref="AD2207">
    <cfRule type="dataBar" priority="702">
      <dataBar>
        <cfvo type="num" val="0"/>
        <cfvo type="num" val="1"/>
        <color theme="4" tint="0.79998168889431442"/>
      </dataBar>
      <extLst>
        <ext xmlns:x14="http://schemas.microsoft.com/office/spreadsheetml/2009/9/main" uri="{B025F937-C7B1-47D3-B67F-A62EFF666E3E}">
          <x14:id>{9FEFCBF2-43F9-46F8-A4B3-FA19EFDCBDCB}</x14:id>
        </ext>
      </extLst>
    </cfRule>
    <cfRule type="iconSet" priority="701">
      <iconSet iconSet="3Arrows">
        <cfvo type="percent" val="0"/>
        <cfvo type="num" val="0.7"/>
        <cfvo type="num" val="1"/>
      </iconSet>
    </cfRule>
  </conditionalFormatting>
  <conditionalFormatting sqref="AD2213">
    <cfRule type="dataBar" priority="700">
      <dataBar>
        <cfvo type="num" val="0"/>
        <cfvo type="num" val="1"/>
        <color theme="4" tint="0.79998168889431442"/>
      </dataBar>
      <extLst>
        <ext xmlns:x14="http://schemas.microsoft.com/office/spreadsheetml/2009/9/main" uri="{B025F937-C7B1-47D3-B67F-A62EFF666E3E}">
          <x14:id>{99F6AD9B-EEFA-4652-8314-BB4E19C0F60D}</x14:id>
        </ext>
      </extLst>
    </cfRule>
    <cfRule type="iconSet" priority="699">
      <iconSet iconSet="3Arrows">
        <cfvo type="percent" val="0"/>
        <cfvo type="num" val="0.7"/>
        <cfvo type="num" val="1"/>
      </iconSet>
    </cfRule>
  </conditionalFormatting>
  <conditionalFormatting sqref="AD2217 AD2215 AD2219 AD2221 AD2223 AD2225 AD2227 AD2229 AD2231 AD2233 AD2235 AD2237 AD2239 AD2241 AD2243 AD2245 AD2247 AD2249 AD2251 AD2253 AD2255 AD2257 AD2259 AD2261 AD2263 AD2265 AD2267 AD2269 AD2271 AD2273 AD2275">
    <cfRule type="dataBar" priority="698">
      <dataBar>
        <cfvo type="num" val="0"/>
        <cfvo type="num" val="1"/>
        <color theme="4" tint="0.79998168889431442"/>
      </dataBar>
      <extLst>
        <ext xmlns:x14="http://schemas.microsoft.com/office/spreadsheetml/2009/9/main" uri="{B025F937-C7B1-47D3-B67F-A62EFF666E3E}">
          <x14:id>{8420B027-EB37-4264-8A6C-2AEA06341A58}</x14:id>
        </ext>
      </extLst>
    </cfRule>
    <cfRule type="iconSet" priority="697">
      <iconSet iconSet="3Arrows">
        <cfvo type="percent" val="0"/>
        <cfvo type="num" val="0.7"/>
        <cfvo type="num" val="1"/>
      </iconSet>
    </cfRule>
  </conditionalFormatting>
  <conditionalFormatting sqref="AD2277">
    <cfRule type="dataBar" priority="696">
      <dataBar>
        <cfvo type="num" val="0"/>
        <cfvo type="num" val="1"/>
        <color theme="4" tint="0.79998168889431442"/>
      </dataBar>
      <extLst>
        <ext xmlns:x14="http://schemas.microsoft.com/office/spreadsheetml/2009/9/main" uri="{B025F937-C7B1-47D3-B67F-A62EFF666E3E}">
          <x14:id>{DE2F9855-4532-4727-BF00-785DA96EF5B9}</x14:id>
        </ext>
      </extLst>
    </cfRule>
    <cfRule type="iconSet" priority="695">
      <iconSet iconSet="3Arrows">
        <cfvo type="percent" val="0"/>
        <cfvo type="num" val="0.7"/>
        <cfvo type="num" val="1"/>
      </iconSet>
    </cfRule>
  </conditionalFormatting>
  <conditionalFormatting sqref="AD2279">
    <cfRule type="dataBar" priority="694">
      <dataBar>
        <cfvo type="num" val="0"/>
        <cfvo type="num" val="1"/>
        <color theme="4" tint="0.79998168889431442"/>
      </dataBar>
      <extLst>
        <ext xmlns:x14="http://schemas.microsoft.com/office/spreadsheetml/2009/9/main" uri="{B025F937-C7B1-47D3-B67F-A62EFF666E3E}">
          <x14:id>{638E625A-4E7F-454B-B6ED-5BA7B2F3B031}</x14:id>
        </ext>
      </extLst>
    </cfRule>
    <cfRule type="iconSet" priority="693">
      <iconSet iconSet="3Arrows">
        <cfvo type="percent" val="0"/>
        <cfvo type="num" val="0.7"/>
        <cfvo type="num" val="1"/>
      </iconSet>
    </cfRule>
  </conditionalFormatting>
  <conditionalFormatting sqref="AD2281">
    <cfRule type="dataBar" priority="692">
      <dataBar>
        <cfvo type="num" val="0"/>
        <cfvo type="num" val="1"/>
        <color theme="4" tint="0.79998168889431442"/>
      </dataBar>
      <extLst>
        <ext xmlns:x14="http://schemas.microsoft.com/office/spreadsheetml/2009/9/main" uri="{B025F937-C7B1-47D3-B67F-A62EFF666E3E}">
          <x14:id>{B92B4B7D-D310-4FE0-9D07-9A3D04F0ECCA}</x14:id>
        </ext>
      </extLst>
    </cfRule>
    <cfRule type="iconSet" priority="691">
      <iconSet iconSet="3Arrows">
        <cfvo type="percent" val="0"/>
        <cfvo type="num" val="0.7"/>
        <cfvo type="num" val="1"/>
      </iconSet>
    </cfRule>
  </conditionalFormatting>
  <conditionalFormatting sqref="AD2283">
    <cfRule type="dataBar" priority="690">
      <dataBar>
        <cfvo type="num" val="0"/>
        <cfvo type="num" val="1"/>
        <color theme="4" tint="0.79998168889431442"/>
      </dataBar>
      <extLst>
        <ext xmlns:x14="http://schemas.microsoft.com/office/spreadsheetml/2009/9/main" uri="{B025F937-C7B1-47D3-B67F-A62EFF666E3E}">
          <x14:id>{1DE864AD-8EFE-4CFC-9D52-18D9A4B585AF}</x14:id>
        </ext>
      </extLst>
    </cfRule>
    <cfRule type="iconSet" priority="689">
      <iconSet iconSet="3Arrows">
        <cfvo type="percent" val="0"/>
        <cfvo type="num" val="0.7"/>
        <cfvo type="num" val="1"/>
      </iconSet>
    </cfRule>
  </conditionalFormatting>
  <conditionalFormatting sqref="AD2285">
    <cfRule type="dataBar" priority="688">
      <dataBar>
        <cfvo type="num" val="0"/>
        <cfvo type="num" val="1"/>
        <color theme="4" tint="0.79998168889431442"/>
      </dataBar>
      <extLst>
        <ext xmlns:x14="http://schemas.microsoft.com/office/spreadsheetml/2009/9/main" uri="{B025F937-C7B1-47D3-B67F-A62EFF666E3E}">
          <x14:id>{E40258FE-B81F-4370-9DDC-E9767E9C2184}</x14:id>
        </ext>
      </extLst>
    </cfRule>
    <cfRule type="iconSet" priority="687">
      <iconSet iconSet="3Arrows">
        <cfvo type="percent" val="0"/>
        <cfvo type="num" val="0.7"/>
        <cfvo type="num" val="1"/>
      </iconSet>
    </cfRule>
  </conditionalFormatting>
  <conditionalFormatting sqref="AD2287">
    <cfRule type="dataBar" priority="686">
      <dataBar>
        <cfvo type="num" val="0"/>
        <cfvo type="num" val="1"/>
        <color theme="4" tint="0.79998168889431442"/>
      </dataBar>
      <extLst>
        <ext xmlns:x14="http://schemas.microsoft.com/office/spreadsheetml/2009/9/main" uri="{B025F937-C7B1-47D3-B67F-A62EFF666E3E}">
          <x14:id>{5498556B-56A0-4355-BB53-0113AEABCC72}</x14:id>
        </ext>
      </extLst>
    </cfRule>
    <cfRule type="iconSet" priority="685">
      <iconSet iconSet="3Arrows">
        <cfvo type="percent" val="0"/>
        <cfvo type="num" val="0.7"/>
        <cfvo type="num" val="1"/>
      </iconSet>
    </cfRule>
  </conditionalFormatting>
  <conditionalFormatting sqref="AD2291">
    <cfRule type="dataBar" priority="684">
      <dataBar>
        <cfvo type="num" val="0"/>
        <cfvo type="num" val="1"/>
        <color theme="4" tint="0.79998168889431442"/>
      </dataBar>
      <extLst>
        <ext xmlns:x14="http://schemas.microsoft.com/office/spreadsheetml/2009/9/main" uri="{B025F937-C7B1-47D3-B67F-A62EFF666E3E}">
          <x14:id>{FB019C5F-99C4-4C10-9355-E7E1EA63D081}</x14:id>
        </ext>
      </extLst>
    </cfRule>
    <cfRule type="iconSet" priority="683">
      <iconSet iconSet="3Arrows">
        <cfvo type="percent" val="0"/>
        <cfvo type="num" val="0.7"/>
        <cfvo type="num" val="1"/>
      </iconSet>
    </cfRule>
  </conditionalFormatting>
  <conditionalFormatting sqref="AD2295">
    <cfRule type="dataBar" priority="682">
      <dataBar>
        <cfvo type="num" val="0"/>
        <cfvo type="num" val="1"/>
        <color theme="4" tint="0.79998168889431442"/>
      </dataBar>
      <extLst>
        <ext xmlns:x14="http://schemas.microsoft.com/office/spreadsheetml/2009/9/main" uri="{B025F937-C7B1-47D3-B67F-A62EFF666E3E}">
          <x14:id>{8C16FBD1-D597-4B32-94C5-57EEAFC651B9}</x14:id>
        </ext>
      </extLst>
    </cfRule>
    <cfRule type="iconSet" priority="681">
      <iconSet iconSet="3Arrows">
        <cfvo type="percent" val="0"/>
        <cfvo type="num" val="0.7"/>
        <cfvo type="num" val="1"/>
      </iconSet>
    </cfRule>
  </conditionalFormatting>
  <conditionalFormatting sqref="AD2299">
    <cfRule type="dataBar" priority="678">
      <dataBar>
        <cfvo type="num" val="0"/>
        <cfvo type="num" val="1"/>
        <color theme="4" tint="0.79998168889431442"/>
      </dataBar>
      <extLst>
        <ext xmlns:x14="http://schemas.microsoft.com/office/spreadsheetml/2009/9/main" uri="{B025F937-C7B1-47D3-B67F-A62EFF666E3E}">
          <x14:id>{3924A463-1586-4503-84EF-7F8F5868FE33}</x14:id>
        </ext>
      </extLst>
    </cfRule>
    <cfRule type="iconSet" priority="677">
      <iconSet iconSet="3Arrows">
        <cfvo type="percent" val="0"/>
        <cfvo type="num" val="0.7"/>
        <cfvo type="num" val="1"/>
      </iconSet>
    </cfRule>
  </conditionalFormatting>
  <conditionalFormatting sqref="AD2301 AD2297">
    <cfRule type="dataBar" priority="680">
      <dataBar>
        <cfvo type="num" val="0"/>
        <cfvo type="num" val="1"/>
        <color theme="4" tint="0.79998168889431442"/>
      </dataBar>
      <extLst>
        <ext xmlns:x14="http://schemas.microsoft.com/office/spreadsheetml/2009/9/main" uri="{B025F937-C7B1-47D3-B67F-A62EFF666E3E}">
          <x14:id>{C68E72B9-F709-4100-89E8-8F04B918A8E4}</x14:id>
        </ext>
      </extLst>
    </cfRule>
    <cfRule type="iconSet" priority="679">
      <iconSet iconSet="3Arrows">
        <cfvo type="percent" val="0"/>
        <cfvo type="num" val="0.7"/>
        <cfvo type="num" val="1"/>
      </iconSet>
    </cfRule>
  </conditionalFormatting>
  <conditionalFormatting sqref="AD2303">
    <cfRule type="dataBar" priority="676">
      <dataBar>
        <cfvo type="num" val="0"/>
        <cfvo type="num" val="1"/>
        <color theme="4" tint="0.79998168889431442"/>
      </dataBar>
      <extLst>
        <ext xmlns:x14="http://schemas.microsoft.com/office/spreadsheetml/2009/9/main" uri="{B025F937-C7B1-47D3-B67F-A62EFF666E3E}">
          <x14:id>{68132024-2AE6-4366-A470-1E6323A65BA7}</x14:id>
        </ext>
      </extLst>
    </cfRule>
    <cfRule type="iconSet" priority="675">
      <iconSet iconSet="3Arrows">
        <cfvo type="percent" val="0"/>
        <cfvo type="num" val="0.7"/>
        <cfvo type="num" val="1"/>
      </iconSet>
    </cfRule>
  </conditionalFormatting>
  <conditionalFormatting sqref="AD2305">
    <cfRule type="dataBar" priority="674">
      <dataBar>
        <cfvo type="num" val="0"/>
        <cfvo type="num" val="1"/>
        <color theme="4" tint="0.79998168889431442"/>
      </dataBar>
      <extLst>
        <ext xmlns:x14="http://schemas.microsoft.com/office/spreadsheetml/2009/9/main" uri="{B025F937-C7B1-47D3-B67F-A62EFF666E3E}">
          <x14:id>{35247D4B-F8F3-4242-B2A9-9CA9BDB26447}</x14:id>
        </ext>
      </extLst>
    </cfRule>
    <cfRule type="iconSet" priority="673">
      <iconSet iconSet="3Arrows">
        <cfvo type="percent" val="0"/>
        <cfvo type="num" val="0.7"/>
        <cfvo type="num" val="1"/>
      </iconSet>
    </cfRule>
  </conditionalFormatting>
  <conditionalFormatting sqref="AD2307 AD2309">
    <cfRule type="dataBar" priority="672">
      <dataBar>
        <cfvo type="num" val="0"/>
        <cfvo type="num" val="1"/>
        <color theme="4" tint="0.79998168889431442"/>
      </dataBar>
      <extLst>
        <ext xmlns:x14="http://schemas.microsoft.com/office/spreadsheetml/2009/9/main" uri="{B025F937-C7B1-47D3-B67F-A62EFF666E3E}">
          <x14:id>{87E2B5F9-A4A8-43B9-A3D3-C95074356C36}</x14:id>
        </ext>
      </extLst>
    </cfRule>
    <cfRule type="iconSet" priority="671">
      <iconSet iconSet="3Arrows">
        <cfvo type="percent" val="0"/>
        <cfvo type="num" val="0.7"/>
        <cfvo type="num" val="1"/>
      </iconSet>
    </cfRule>
  </conditionalFormatting>
  <conditionalFormatting sqref="AD2311">
    <cfRule type="dataBar" priority="670">
      <dataBar>
        <cfvo type="num" val="0"/>
        <cfvo type="num" val="1"/>
        <color theme="4" tint="0.79998168889431442"/>
      </dataBar>
      <extLst>
        <ext xmlns:x14="http://schemas.microsoft.com/office/spreadsheetml/2009/9/main" uri="{B025F937-C7B1-47D3-B67F-A62EFF666E3E}">
          <x14:id>{83D02146-32E0-4CA8-A634-68C910F1840F}</x14:id>
        </ext>
      </extLst>
    </cfRule>
    <cfRule type="iconSet" priority="669">
      <iconSet iconSet="3Arrows">
        <cfvo type="percent" val="0"/>
        <cfvo type="num" val="0.7"/>
        <cfvo type="num" val="1"/>
      </iconSet>
    </cfRule>
  </conditionalFormatting>
  <conditionalFormatting sqref="AD2313">
    <cfRule type="dataBar" priority="668">
      <dataBar>
        <cfvo type="num" val="0"/>
        <cfvo type="num" val="1"/>
        <color theme="4" tint="0.79998168889431442"/>
      </dataBar>
      <extLst>
        <ext xmlns:x14="http://schemas.microsoft.com/office/spreadsheetml/2009/9/main" uri="{B025F937-C7B1-47D3-B67F-A62EFF666E3E}">
          <x14:id>{F33093FD-C584-4FDD-8AA6-8EF4AD0A5C69}</x14:id>
        </ext>
      </extLst>
    </cfRule>
    <cfRule type="iconSet" priority="667">
      <iconSet iconSet="3Arrows">
        <cfvo type="percent" val="0"/>
        <cfvo type="num" val="0.7"/>
        <cfvo type="num" val="1"/>
      </iconSet>
    </cfRule>
  </conditionalFormatting>
  <conditionalFormatting sqref="AD2315">
    <cfRule type="dataBar" priority="666">
      <dataBar>
        <cfvo type="num" val="0"/>
        <cfvo type="num" val="1"/>
        <color theme="4" tint="0.79998168889431442"/>
      </dataBar>
      <extLst>
        <ext xmlns:x14="http://schemas.microsoft.com/office/spreadsheetml/2009/9/main" uri="{B025F937-C7B1-47D3-B67F-A62EFF666E3E}">
          <x14:id>{4191E6C9-8756-44BF-A5DE-58F23DC0C977}</x14:id>
        </ext>
      </extLst>
    </cfRule>
    <cfRule type="iconSet" priority="665">
      <iconSet iconSet="3Arrows">
        <cfvo type="percent" val="0"/>
        <cfvo type="num" val="0.7"/>
        <cfvo type="num" val="1"/>
      </iconSet>
    </cfRule>
  </conditionalFormatting>
  <conditionalFormatting sqref="AD2317">
    <cfRule type="dataBar" priority="664">
      <dataBar>
        <cfvo type="num" val="0"/>
        <cfvo type="num" val="1"/>
        <color theme="4" tint="0.79998168889431442"/>
      </dataBar>
      <extLst>
        <ext xmlns:x14="http://schemas.microsoft.com/office/spreadsheetml/2009/9/main" uri="{B025F937-C7B1-47D3-B67F-A62EFF666E3E}">
          <x14:id>{EDD1E0FA-36DE-4A10-99AE-2BAC7871B356}</x14:id>
        </ext>
      </extLst>
    </cfRule>
    <cfRule type="iconSet" priority="663">
      <iconSet iconSet="3Arrows">
        <cfvo type="percent" val="0"/>
        <cfvo type="num" val="0.7"/>
        <cfvo type="num" val="1"/>
      </iconSet>
    </cfRule>
  </conditionalFormatting>
  <conditionalFormatting sqref="AD2320">
    <cfRule type="dataBar" priority="662">
      <dataBar>
        <cfvo type="num" val="0"/>
        <cfvo type="num" val="1"/>
        <color theme="4" tint="0.79998168889431442"/>
      </dataBar>
      <extLst>
        <ext xmlns:x14="http://schemas.microsoft.com/office/spreadsheetml/2009/9/main" uri="{B025F937-C7B1-47D3-B67F-A62EFF666E3E}">
          <x14:id>{24C6D6BD-B234-4959-AEBB-F109713C5038}</x14:id>
        </ext>
      </extLst>
    </cfRule>
    <cfRule type="iconSet" priority="661">
      <iconSet iconSet="3Arrows">
        <cfvo type="percent" val="0"/>
        <cfvo type="num" val="0.7"/>
        <cfvo type="num" val="1"/>
      </iconSet>
    </cfRule>
  </conditionalFormatting>
  <conditionalFormatting sqref="AD2322 AD2326 AD2324 AD2328 AD2330">
    <cfRule type="dataBar" priority="660">
      <dataBar>
        <cfvo type="num" val="0"/>
        <cfvo type="num" val="1"/>
        <color theme="4" tint="0.79998168889431442"/>
      </dataBar>
      <extLst>
        <ext xmlns:x14="http://schemas.microsoft.com/office/spreadsheetml/2009/9/main" uri="{B025F937-C7B1-47D3-B67F-A62EFF666E3E}">
          <x14:id>{6965A55C-3E2F-4357-AA6D-993D731F7B0C}</x14:id>
        </ext>
      </extLst>
    </cfRule>
    <cfRule type="iconSet" priority="659">
      <iconSet iconSet="3Arrows">
        <cfvo type="percent" val="0"/>
        <cfvo type="num" val="0.7"/>
        <cfvo type="num" val="1"/>
      </iconSet>
    </cfRule>
  </conditionalFormatting>
  <conditionalFormatting sqref="AD2333">
    <cfRule type="iconSet" priority="657">
      <iconSet iconSet="3Arrows">
        <cfvo type="percent" val="0"/>
        <cfvo type="num" val="0.7"/>
        <cfvo type="num" val="1"/>
      </iconSet>
    </cfRule>
    <cfRule type="dataBar" priority="658">
      <dataBar>
        <cfvo type="num" val="0"/>
        <cfvo type="num" val="1"/>
        <color theme="4" tint="0.79998168889431442"/>
      </dataBar>
      <extLst>
        <ext xmlns:x14="http://schemas.microsoft.com/office/spreadsheetml/2009/9/main" uri="{B025F937-C7B1-47D3-B67F-A62EFF666E3E}">
          <x14:id>{F947A879-6B01-47DC-8C1A-7221F13E2E48}</x14:id>
        </ext>
      </extLst>
    </cfRule>
  </conditionalFormatting>
  <conditionalFormatting sqref="AD2335 AD2337 AD2339 AD2341">
    <cfRule type="iconSet" priority="655">
      <iconSet iconSet="3Arrows">
        <cfvo type="percent" val="0"/>
        <cfvo type="num" val="0.7"/>
        <cfvo type="num" val="1"/>
      </iconSet>
    </cfRule>
    <cfRule type="dataBar" priority="656">
      <dataBar>
        <cfvo type="num" val="0"/>
        <cfvo type="num" val="1"/>
        <color theme="4" tint="0.79998168889431442"/>
      </dataBar>
      <extLst>
        <ext xmlns:x14="http://schemas.microsoft.com/office/spreadsheetml/2009/9/main" uri="{B025F937-C7B1-47D3-B67F-A62EFF666E3E}">
          <x14:id>{ABD477EE-713D-4D24-86A5-5A3FBD1043B6}</x14:id>
        </ext>
      </extLst>
    </cfRule>
  </conditionalFormatting>
  <conditionalFormatting sqref="AD2345">
    <cfRule type="iconSet" priority="653">
      <iconSet iconSet="3Arrows">
        <cfvo type="percent" val="0"/>
        <cfvo type="num" val="0.7"/>
        <cfvo type="num" val="1"/>
      </iconSet>
    </cfRule>
    <cfRule type="dataBar" priority="654">
      <dataBar>
        <cfvo type="num" val="0"/>
        <cfvo type="num" val="1"/>
        <color theme="4" tint="0.79998168889431442"/>
      </dataBar>
      <extLst>
        <ext xmlns:x14="http://schemas.microsoft.com/office/spreadsheetml/2009/9/main" uri="{B025F937-C7B1-47D3-B67F-A62EFF666E3E}">
          <x14:id>{BF639A63-1BDD-46AB-AAB6-9443F4210AEF}</x14:id>
        </ext>
      </extLst>
    </cfRule>
  </conditionalFormatting>
  <conditionalFormatting sqref="AD2347 AD2349 AD2351 AD2353 AD2355">
    <cfRule type="iconSet" priority="651">
      <iconSet iconSet="3Arrows">
        <cfvo type="percent" val="0"/>
        <cfvo type="num" val="0.7"/>
        <cfvo type="num" val="1"/>
      </iconSet>
    </cfRule>
    <cfRule type="dataBar" priority="652">
      <dataBar>
        <cfvo type="num" val="0"/>
        <cfvo type="num" val="1"/>
        <color theme="4" tint="0.79998168889431442"/>
      </dataBar>
      <extLst>
        <ext xmlns:x14="http://schemas.microsoft.com/office/spreadsheetml/2009/9/main" uri="{B025F937-C7B1-47D3-B67F-A62EFF666E3E}">
          <x14:id>{36DDFEC0-676F-4051-AC59-F84454964081}</x14:id>
        </ext>
      </extLst>
    </cfRule>
  </conditionalFormatting>
  <conditionalFormatting sqref="AD2359">
    <cfRule type="iconSet" priority="649">
      <iconSet iconSet="3Arrows">
        <cfvo type="percent" val="0"/>
        <cfvo type="num" val="0.7"/>
        <cfvo type="num" val="1"/>
      </iconSet>
    </cfRule>
    <cfRule type="dataBar" priority="650">
      <dataBar>
        <cfvo type="num" val="0"/>
        <cfvo type="num" val="1"/>
        <color theme="4" tint="0.79998168889431442"/>
      </dataBar>
      <extLst>
        <ext xmlns:x14="http://schemas.microsoft.com/office/spreadsheetml/2009/9/main" uri="{B025F937-C7B1-47D3-B67F-A62EFF666E3E}">
          <x14:id>{6F07DFB1-D895-4837-8899-CB361D5EDA27}</x14:id>
        </ext>
      </extLst>
    </cfRule>
  </conditionalFormatting>
  <conditionalFormatting sqref="AD2361 AD2363 AD2365 AD2367 AD2369">
    <cfRule type="iconSet" priority="647">
      <iconSet iconSet="3Arrows">
        <cfvo type="percent" val="0"/>
        <cfvo type="num" val="0.7"/>
        <cfvo type="num" val="1"/>
      </iconSet>
    </cfRule>
    <cfRule type="dataBar" priority="648">
      <dataBar>
        <cfvo type="num" val="0"/>
        <cfvo type="num" val="1"/>
        <color theme="4" tint="0.79998168889431442"/>
      </dataBar>
      <extLst>
        <ext xmlns:x14="http://schemas.microsoft.com/office/spreadsheetml/2009/9/main" uri="{B025F937-C7B1-47D3-B67F-A62EFF666E3E}">
          <x14:id>{0C556E5F-271B-4EB8-90C0-8D57F3FDE1A6}</x14:id>
        </ext>
      </extLst>
    </cfRule>
  </conditionalFormatting>
  <conditionalFormatting sqref="AD2371">
    <cfRule type="dataBar" priority="646">
      <dataBar>
        <cfvo type="num" val="0"/>
        <cfvo type="num" val="1"/>
        <color theme="4" tint="0.79998168889431442"/>
      </dataBar>
      <extLst>
        <ext xmlns:x14="http://schemas.microsoft.com/office/spreadsheetml/2009/9/main" uri="{B025F937-C7B1-47D3-B67F-A62EFF666E3E}">
          <x14:id>{721E1FC6-E8A3-434A-8DCA-5E87FAB6A5B8}</x14:id>
        </ext>
      </extLst>
    </cfRule>
    <cfRule type="iconSet" priority="645">
      <iconSet iconSet="3Arrows">
        <cfvo type="percent" val="0"/>
        <cfvo type="num" val="0.7"/>
        <cfvo type="num" val="1"/>
      </iconSet>
    </cfRule>
  </conditionalFormatting>
  <conditionalFormatting sqref="AD2375">
    <cfRule type="iconSet" priority="643">
      <iconSet iconSet="3Arrows">
        <cfvo type="percent" val="0"/>
        <cfvo type="num" val="0.7"/>
        <cfvo type="num" val="1"/>
      </iconSet>
    </cfRule>
    <cfRule type="dataBar" priority="644">
      <dataBar>
        <cfvo type="num" val="0"/>
        <cfvo type="num" val="1"/>
        <color theme="4" tint="0.79998168889431442"/>
      </dataBar>
      <extLst>
        <ext xmlns:x14="http://schemas.microsoft.com/office/spreadsheetml/2009/9/main" uri="{B025F937-C7B1-47D3-B67F-A62EFF666E3E}">
          <x14:id>{A75CED04-E660-4688-8A5B-823B271228A2}</x14:id>
        </ext>
      </extLst>
    </cfRule>
  </conditionalFormatting>
  <conditionalFormatting sqref="AD2379">
    <cfRule type="dataBar" priority="642">
      <dataBar>
        <cfvo type="num" val="0"/>
        <cfvo type="num" val="1"/>
        <color theme="4" tint="0.79998168889431442"/>
      </dataBar>
      <extLst>
        <ext xmlns:x14="http://schemas.microsoft.com/office/spreadsheetml/2009/9/main" uri="{B025F937-C7B1-47D3-B67F-A62EFF666E3E}">
          <x14:id>{96CBB08F-BB31-4658-B58C-C8A85D9C818F}</x14:id>
        </ext>
      </extLst>
    </cfRule>
    <cfRule type="iconSet" priority="641">
      <iconSet iconSet="3Arrows">
        <cfvo type="percent" val="0"/>
        <cfvo type="num" val="0.7"/>
        <cfvo type="num" val="1"/>
      </iconSet>
    </cfRule>
  </conditionalFormatting>
  <conditionalFormatting sqref="AD2381 AD2383 AD2385 AD2387">
    <cfRule type="iconSet" priority="639">
      <iconSet iconSet="3Arrows">
        <cfvo type="percent" val="0"/>
        <cfvo type="num" val="0.7"/>
        <cfvo type="num" val="1"/>
      </iconSet>
    </cfRule>
    <cfRule type="dataBar" priority="640">
      <dataBar>
        <cfvo type="num" val="0"/>
        <cfvo type="num" val="1"/>
        <color theme="4" tint="0.79998168889431442"/>
      </dataBar>
      <extLst>
        <ext xmlns:x14="http://schemas.microsoft.com/office/spreadsheetml/2009/9/main" uri="{B025F937-C7B1-47D3-B67F-A62EFF666E3E}">
          <x14:id>{5003BDFB-4E47-423C-B4AE-EB5BA1D73FA3}</x14:id>
        </ext>
      </extLst>
    </cfRule>
  </conditionalFormatting>
  <conditionalFormatting sqref="AD2389">
    <cfRule type="dataBar" priority="638">
      <dataBar>
        <cfvo type="num" val="0"/>
        <cfvo type="num" val="1"/>
        <color theme="4" tint="0.79998168889431442"/>
      </dataBar>
      <extLst>
        <ext xmlns:x14="http://schemas.microsoft.com/office/spreadsheetml/2009/9/main" uri="{B025F937-C7B1-47D3-B67F-A62EFF666E3E}">
          <x14:id>{5CA19673-7027-421E-BBA7-1C6FCAC21361}</x14:id>
        </ext>
      </extLst>
    </cfRule>
    <cfRule type="iconSet" priority="637">
      <iconSet iconSet="3Arrows">
        <cfvo type="percent" val="0"/>
        <cfvo type="num" val="0.7"/>
        <cfvo type="num" val="1"/>
      </iconSet>
    </cfRule>
  </conditionalFormatting>
  <conditionalFormatting sqref="AD2393">
    <cfRule type="iconSet" priority="635">
      <iconSet iconSet="3Arrows">
        <cfvo type="percent" val="0"/>
        <cfvo type="num" val="0.7"/>
        <cfvo type="num" val="1"/>
      </iconSet>
    </cfRule>
    <cfRule type="dataBar" priority="636">
      <dataBar>
        <cfvo type="num" val="0"/>
        <cfvo type="num" val="1"/>
        <color theme="4" tint="0.79998168889431442"/>
      </dataBar>
      <extLst>
        <ext xmlns:x14="http://schemas.microsoft.com/office/spreadsheetml/2009/9/main" uri="{B025F937-C7B1-47D3-B67F-A62EFF666E3E}">
          <x14:id>{80546558-DA75-408A-8109-5CA447BE17EF}</x14:id>
        </ext>
      </extLst>
    </cfRule>
  </conditionalFormatting>
  <conditionalFormatting sqref="AD2395">
    <cfRule type="dataBar" priority="634">
      <dataBar>
        <cfvo type="num" val="0"/>
        <cfvo type="num" val="1"/>
        <color theme="4" tint="0.79998168889431442"/>
      </dataBar>
      <extLst>
        <ext xmlns:x14="http://schemas.microsoft.com/office/spreadsheetml/2009/9/main" uri="{B025F937-C7B1-47D3-B67F-A62EFF666E3E}">
          <x14:id>{0219F8EA-0B4D-472D-A991-62B6CE361EAC}</x14:id>
        </ext>
      </extLst>
    </cfRule>
    <cfRule type="iconSet" priority="633">
      <iconSet iconSet="3Arrows">
        <cfvo type="percent" val="0"/>
        <cfvo type="num" val="0.7"/>
        <cfvo type="num" val="1"/>
      </iconSet>
    </cfRule>
  </conditionalFormatting>
  <conditionalFormatting sqref="AD2397">
    <cfRule type="iconSet" priority="631">
      <iconSet iconSet="3Arrows">
        <cfvo type="percent" val="0"/>
        <cfvo type="num" val="0.7"/>
        <cfvo type="num" val="1"/>
      </iconSet>
    </cfRule>
    <cfRule type="dataBar" priority="632">
      <dataBar>
        <cfvo type="num" val="0"/>
        <cfvo type="num" val="1"/>
        <color theme="4" tint="0.79998168889431442"/>
      </dataBar>
      <extLst>
        <ext xmlns:x14="http://schemas.microsoft.com/office/spreadsheetml/2009/9/main" uri="{B025F937-C7B1-47D3-B67F-A62EFF666E3E}">
          <x14:id>{6CD0BBCF-C237-4C40-B0EE-3C70F38F36FA}</x14:id>
        </ext>
      </extLst>
    </cfRule>
  </conditionalFormatting>
  <conditionalFormatting sqref="AD2401">
    <cfRule type="dataBar" priority="630">
      <dataBar>
        <cfvo type="num" val="0"/>
        <cfvo type="num" val="1"/>
        <color theme="4" tint="0.79998168889431442"/>
      </dataBar>
      <extLst>
        <ext xmlns:x14="http://schemas.microsoft.com/office/spreadsheetml/2009/9/main" uri="{B025F937-C7B1-47D3-B67F-A62EFF666E3E}">
          <x14:id>{DE72CF4E-0328-43D3-80B7-31C3BB359B47}</x14:id>
        </ext>
      </extLst>
    </cfRule>
    <cfRule type="iconSet" priority="629">
      <iconSet iconSet="3Arrows">
        <cfvo type="percent" val="0"/>
        <cfvo type="num" val="0.7"/>
        <cfvo type="num" val="1"/>
      </iconSet>
    </cfRule>
  </conditionalFormatting>
  <conditionalFormatting sqref="AD2405">
    <cfRule type="iconSet" priority="627">
      <iconSet iconSet="3Arrows">
        <cfvo type="percent" val="0"/>
        <cfvo type="num" val="0.7"/>
        <cfvo type="num" val="1"/>
      </iconSet>
    </cfRule>
    <cfRule type="dataBar" priority="628">
      <dataBar>
        <cfvo type="num" val="0"/>
        <cfvo type="num" val="1"/>
        <color theme="4" tint="0.79998168889431442"/>
      </dataBar>
      <extLst>
        <ext xmlns:x14="http://schemas.microsoft.com/office/spreadsheetml/2009/9/main" uri="{B025F937-C7B1-47D3-B67F-A62EFF666E3E}">
          <x14:id>{69F6CBB8-50E5-4EDF-B88A-0760BCA68101}</x14:id>
        </ext>
      </extLst>
    </cfRule>
  </conditionalFormatting>
  <conditionalFormatting sqref="AD2447 AD2407 AD2445 AD2409 AD2411 AD2413 AD2415 AD2417 AD2419 AD2421 AD2423 AD2425 AD2427 AD2429 AD2431 AD2433 AD2435 AD2437 AD2439 AD2441 AD2443 AD2449 AD2451">
    <cfRule type="dataBar" priority="626">
      <dataBar>
        <cfvo type="num" val="0"/>
        <cfvo type="num" val="1"/>
        <color theme="4" tint="0.79998168889431442"/>
      </dataBar>
      <extLst>
        <ext xmlns:x14="http://schemas.microsoft.com/office/spreadsheetml/2009/9/main" uri="{B025F937-C7B1-47D3-B67F-A62EFF666E3E}">
          <x14:id>{8DAED7F1-9B45-467D-86A3-EC3FCB9A04BC}</x14:id>
        </ext>
      </extLst>
    </cfRule>
    <cfRule type="iconSet" priority="625">
      <iconSet iconSet="3Arrows">
        <cfvo type="percent" val="0"/>
        <cfvo type="num" val="0.7"/>
        <cfvo type="num" val="1"/>
      </iconSet>
    </cfRule>
  </conditionalFormatting>
  <conditionalFormatting sqref="AD2453">
    <cfRule type="dataBar" priority="624">
      <dataBar>
        <cfvo type="num" val="0"/>
        <cfvo type="num" val="1"/>
        <color theme="4" tint="0.79998168889431442"/>
      </dataBar>
      <extLst>
        <ext xmlns:x14="http://schemas.microsoft.com/office/spreadsheetml/2009/9/main" uri="{B025F937-C7B1-47D3-B67F-A62EFF666E3E}">
          <x14:id>{DB1766A9-8781-4F76-9829-06A87A83A7AD}</x14:id>
        </ext>
      </extLst>
    </cfRule>
    <cfRule type="iconSet" priority="623">
      <iconSet iconSet="3Arrows">
        <cfvo type="percent" val="0"/>
        <cfvo type="num" val="0.7"/>
        <cfvo type="num" val="1"/>
      </iconSet>
    </cfRule>
  </conditionalFormatting>
  <conditionalFormatting sqref="AD2457">
    <cfRule type="dataBar" priority="622">
      <dataBar>
        <cfvo type="num" val="0"/>
        <cfvo type="num" val="1"/>
        <color theme="4" tint="0.79998168889431442"/>
      </dataBar>
      <extLst>
        <ext xmlns:x14="http://schemas.microsoft.com/office/spreadsheetml/2009/9/main" uri="{B025F937-C7B1-47D3-B67F-A62EFF666E3E}">
          <x14:id>{97CD57D1-3ED7-48B6-8FFB-E109DD56CB62}</x14:id>
        </ext>
      </extLst>
    </cfRule>
    <cfRule type="iconSet" priority="621">
      <iconSet iconSet="3Arrows">
        <cfvo type="percent" val="0"/>
        <cfvo type="num" val="0.7"/>
        <cfvo type="num" val="1"/>
      </iconSet>
    </cfRule>
  </conditionalFormatting>
  <conditionalFormatting sqref="AD2499 AD2459 AD2461 AD2463 AD2465 AD2467 AD2469 AD2471 AD2473 AD2475 AD2477 AD2479 AD2481 AD2483 AD2485 AD2487 AD2489 AD2491 AD2493 AD2495 AD2497 AD2501 AD2503 AD2505 AD2507 AD2509 AD2511 AD2513 AD2515 AD2517 AD2519 AD2521">
    <cfRule type="dataBar" priority="620">
      <dataBar>
        <cfvo type="num" val="0"/>
        <cfvo type="num" val="1"/>
        <color theme="4" tint="0.79998168889431442"/>
      </dataBar>
      <extLst>
        <ext xmlns:x14="http://schemas.microsoft.com/office/spreadsheetml/2009/9/main" uri="{B025F937-C7B1-47D3-B67F-A62EFF666E3E}">
          <x14:id>{30E32055-A187-44E4-ADC8-710A63CBE193}</x14:id>
        </ext>
      </extLst>
    </cfRule>
    <cfRule type="iconSet" priority="619">
      <iconSet iconSet="3Arrows">
        <cfvo type="percent" val="0"/>
        <cfvo type="num" val="0.7"/>
        <cfvo type="num" val="1"/>
      </iconSet>
    </cfRule>
  </conditionalFormatting>
  <conditionalFormatting sqref="AD2523">
    <cfRule type="dataBar" priority="618">
      <dataBar>
        <cfvo type="num" val="0"/>
        <cfvo type="num" val="1"/>
        <color theme="4" tint="0.79998168889431442"/>
      </dataBar>
      <extLst>
        <ext xmlns:x14="http://schemas.microsoft.com/office/spreadsheetml/2009/9/main" uri="{B025F937-C7B1-47D3-B67F-A62EFF666E3E}">
          <x14:id>{6D67F7E4-C900-4645-8350-9C97CD8EDB90}</x14:id>
        </ext>
      </extLst>
    </cfRule>
    <cfRule type="iconSet" priority="617">
      <iconSet iconSet="3Arrows">
        <cfvo type="percent" val="0"/>
        <cfvo type="num" val="0.7"/>
        <cfvo type="num" val="1"/>
      </iconSet>
    </cfRule>
  </conditionalFormatting>
  <conditionalFormatting sqref="AD2527">
    <cfRule type="dataBar" priority="616">
      <dataBar>
        <cfvo type="num" val="0"/>
        <cfvo type="num" val="1"/>
        <color theme="4" tint="0.79998168889431442"/>
      </dataBar>
      <extLst>
        <ext xmlns:x14="http://schemas.microsoft.com/office/spreadsheetml/2009/9/main" uri="{B025F937-C7B1-47D3-B67F-A62EFF666E3E}">
          <x14:id>{E9AD1865-E5CA-47FF-BF3A-2D630D9697B9}</x14:id>
        </ext>
      </extLst>
    </cfRule>
    <cfRule type="iconSet" priority="615">
      <iconSet iconSet="3Arrows">
        <cfvo type="percent" val="0"/>
        <cfvo type="num" val="0.7"/>
        <cfvo type="num" val="1"/>
      </iconSet>
    </cfRule>
  </conditionalFormatting>
  <conditionalFormatting sqref="AD2531 AD2529 AD2533">
    <cfRule type="dataBar" priority="614">
      <dataBar>
        <cfvo type="num" val="0"/>
        <cfvo type="num" val="1"/>
        <color theme="4" tint="0.79998168889431442"/>
      </dataBar>
      <extLst>
        <ext xmlns:x14="http://schemas.microsoft.com/office/spreadsheetml/2009/9/main" uri="{B025F937-C7B1-47D3-B67F-A62EFF666E3E}">
          <x14:id>{2CB0C649-49E4-480C-80AF-E8B5ECA6B232}</x14:id>
        </ext>
      </extLst>
    </cfRule>
    <cfRule type="iconSet" priority="613">
      <iconSet iconSet="3Arrows">
        <cfvo type="percent" val="0"/>
        <cfvo type="num" val="0.7"/>
        <cfvo type="num" val="1"/>
      </iconSet>
    </cfRule>
  </conditionalFormatting>
  <conditionalFormatting sqref="AD2537">
    <cfRule type="iconSet" priority="611">
      <iconSet iconSet="3Arrows">
        <cfvo type="percent" val="0"/>
        <cfvo type="num" val="0.7"/>
        <cfvo type="num" val="1"/>
      </iconSet>
    </cfRule>
    <cfRule type="dataBar" priority="612">
      <dataBar>
        <cfvo type="num" val="0"/>
        <cfvo type="num" val="1"/>
        <color theme="4" tint="0.79998168889431442"/>
      </dataBar>
      <extLst>
        <ext xmlns:x14="http://schemas.microsoft.com/office/spreadsheetml/2009/9/main" uri="{B025F937-C7B1-47D3-B67F-A62EFF666E3E}">
          <x14:id>{D082D9F8-7294-47E9-AA41-5FCD3B5E0A0D}</x14:id>
        </ext>
      </extLst>
    </cfRule>
  </conditionalFormatting>
  <conditionalFormatting sqref="AD2539 AD2541 AD2543 AD2545 AD2547 AD2549 AD2551 AD2553 AD2555 AD2557 AD2559">
    <cfRule type="dataBar" priority="610">
      <dataBar>
        <cfvo type="num" val="0"/>
        <cfvo type="num" val="1"/>
        <color theme="4" tint="0.79998168889431442"/>
      </dataBar>
      <extLst>
        <ext xmlns:x14="http://schemas.microsoft.com/office/spreadsheetml/2009/9/main" uri="{B025F937-C7B1-47D3-B67F-A62EFF666E3E}">
          <x14:id>{0C68DDB4-2C8C-4BD8-B962-B0385A119C86}</x14:id>
        </ext>
      </extLst>
    </cfRule>
    <cfRule type="iconSet" priority="609">
      <iconSet iconSet="3Arrows">
        <cfvo type="percent" val="0"/>
        <cfvo type="num" val="0.7"/>
        <cfvo type="num" val="1"/>
      </iconSet>
    </cfRule>
  </conditionalFormatting>
  <conditionalFormatting sqref="AD2563">
    <cfRule type="dataBar" priority="608">
      <dataBar>
        <cfvo type="num" val="0"/>
        <cfvo type="num" val="1"/>
        <color theme="4" tint="0.79998168889431442"/>
      </dataBar>
      <extLst>
        <ext xmlns:x14="http://schemas.microsoft.com/office/spreadsheetml/2009/9/main" uri="{B025F937-C7B1-47D3-B67F-A62EFF666E3E}">
          <x14:id>{A3A34790-7F55-433D-A9F6-154362090919}</x14:id>
        </ext>
      </extLst>
    </cfRule>
    <cfRule type="iconSet" priority="607">
      <iconSet iconSet="3Arrows">
        <cfvo type="percent" val="0"/>
        <cfvo type="num" val="0.7"/>
        <cfvo type="num" val="1"/>
      </iconSet>
    </cfRule>
  </conditionalFormatting>
  <conditionalFormatting sqref="AD2565 AD2567 AD2569 AD2571 AD2573 AD2575 AD2577 AD2579 AD2581 AD2583 AD2585 AD2587 AD2589 AD2591 AD2593 AD2595 AD2597 AD2599 AD2601">
    <cfRule type="dataBar" priority="606">
      <dataBar>
        <cfvo type="num" val="0"/>
        <cfvo type="num" val="1"/>
        <color theme="4" tint="0.79998168889431442"/>
      </dataBar>
      <extLst>
        <ext xmlns:x14="http://schemas.microsoft.com/office/spreadsheetml/2009/9/main" uri="{B025F937-C7B1-47D3-B67F-A62EFF666E3E}">
          <x14:id>{3F0C105B-3DE6-4431-9BB9-BF6EB1191D89}</x14:id>
        </ext>
      </extLst>
    </cfRule>
    <cfRule type="iconSet" priority="605">
      <iconSet iconSet="3Arrows">
        <cfvo type="percent" val="0"/>
        <cfvo type="num" val="0.7"/>
        <cfvo type="num" val="1"/>
      </iconSet>
    </cfRule>
  </conditionalFormatting>
  <conditionalFormatting sqref="AD2605">
    <cfRule type="dataBar" priority="604">
      <dataBar>
        <cfvo type="num" val="0"/>
        <cfvo type="num" val="1"/>
        <color theme="4" tint="0.79998168889431442"/>
      </dataBar>
      <extLst>
        <ext xmlns:x14="http://schemas.microsoft.com/office/spreadsheetml/2009/9/main" uri="{B025F937-C7B1-47D3-B67F-A62EFF666E3E}">
          <x14:id>{536E648C-D723-441D-8B4E-A84C0E0EB81F}</x14:id>
        </ext>
      </extLst>
    </cfRule>
    <cfRule type="iconSet" priority="603">
      <iconSet iconSet="3Arrows">
        <cfvo type="percent" val="0"/>
        <cfvo type="num" val="0.7"/>
        <cfvo type="num" val="1"/>
      </iconSet>
    </cfRule>
  </conditionalFormatting>
  <conditionalFormatting sqref="AD2613 AD2611 AD2615 AD2617 AD2619 AD2621 AD2623 AD2627 AD2629 AD2631 AD2633 AD2635 AD2637 AD2639 AD2641 AD2643 AD2645 AD2647 AD2649 AD2651 AD2653 AD2655 AD2657 AD2659 AD2661 AD2663 AD2665 AD2667 AD2669 AD2625">
    <cfRule type="iconSet" priority="599">
      <iconSet iconSet="3Arrows">
        <cfvo type="percent" val="0"/>
        <cfvo type="num" val="0.7"/>
        <cfvo type="num" val="1"/>
      </iconSet>
    </cfRule>
    <cfRule type="dataBar" priority="600">
      <dataBar>
        <cfvo type="num" val="0"/>
        <cfvo type="num" val="1"/>
        <color theme="4" tint="0.79998168889431442"/>
      </dataBar>
      <extLst>
        <ext xmlns:x14="http://schemas.microsoft.com/office/spreadsheetml/2009/9/main" uri="{B025F937-C7B1-47D3-B67F-A62EFF666E3E}">
          <x14:id>{80D94C52-5D06-40EE-85FF-1FB129031041}</x14:id>
        </ext>
      </extLst>
    </cfRule>
  </conditionalFormatting>
  <conditionalFormatting sqref="AD2674 AD2676 AD2678 AD2680 AD2682 AD2684 AD2686 AD2688 AD2690 AD2692 AD2694 AD2696 AD2698 AD2700 AD2702 AD2704 AD2706 AD2708 AD2710 AD2712 AD2714 AD2716 AD2718 AD2720 AD2722 AD2724 AD2726 AD2728 AD2730 AD2732 AD2734">
    <cfRule type="dataBar" priority="598">
      <dataBar>
        <cfvo type="num" val="0"/>
        <cfvo type="num" val="1"/>
        <color theme="4" tint="0.79998168889431442"/>
      </dataBar>
      <extLst>
        <ext xmlns:x14="http://schemas.microsoft.com/office/spreadsheetml/2009/9/main" uri="{B025F937-C7B1-47D3-B67F-A62EFF666E3E}">
          <x14:id>{FFB0D428-A0C3-405D-A8BD-9D3CB60A36C6}</x14:id>
        </ext>
      </extLst>
    </cfRule>
    <cfRule type="iconSet" priority="597">
      <iconSet iconSet="3Arrows">
        <cfvo type="percent" val="0"/>
        <cfvo type="num" val="0.7"/>
        <cfvo type="num" val="1"/>
      </iconSet>
    </cfRule>
  </conditionalFormatting>
  <conditionalFormatting sqref="AD2738 AD2609 AD2672 AD2764 AD2814">
    <cfRule type="dataBar" priority="602">
      <dataBar>
        <cfvo type="num" val="0"/>
        <cfvo type="num" val="1"/>
        <color theme="4" tint="0.79998168889431442"/>
      </dataBar>
      <extLst>
        <ext xmlns:x14="http://schemas.microsoft.com/office/spreadsheetml/2009/9/main" uri="{B025F937-C7B1-47D3-B67F-A62EFF666E3E}">
          <x14:id>{511782C3-E472-4607-9077-917197E610E5}</x14:id>
        </ext>
      </extLst>
    </cfRule>
    <cfRule type="iconSet" priority="601">
      <iconSet iconSet="3Arrows">
        <cfvo type="percent" val="0"/>
        <cfvo type="num" val="0.7"/>
        <cfvo type="num" val="1"/>
      </iconSet>
    </cfRule>
  </conditionalFormatting>
  <conditionalFormatting sqref="AD2740 AD2742 AD2744 AD2746 AD2748 AD2750 AD2752 AD2754 AD2756 AD2758 AD2760">
    <cfRule type="dataBar" priority="596">
      <dataBar>
        <cfvo type="num" val="0"/>
        <cfvo type="num" val="1"/>
        <color theme="4" tint="0.79998168889431442"/>
      </dataBar>
      <extLst>
        <ext xmlns:x14="http://schemas.microsoft.com/office/spreadsheetml/2009/9/main" uri="{B025F937-C7B1-47D3-B67F-A62EFF666E3E}">
          <x14:id>{9D1CA7CC-BD5C-408E-A571-E004D927963E}</x14:id>
        </ext>
      </extLst>
    </cfRule>
    <cfRule type="iconSet" priority="595">
      <iconSet iconSet="3Arrows">
        <cfvo type="percent" val="0"/>
        <cfvo type="num" val="0.7"/>
        <cfvo type="num" val="1"/>
      </iconSet>
    </cfRule>
  </conditionalFormatting>
  <conditionalFormatting sqref="AD2766 AD2768 AD2770 AD2772 AD2774 AD2776 AD2778 AD2780 AD2782 AD2784 AD2786 AD2788 AD2790 AD2792 AD2794 AD2796 AD2798 AD2800 AD2802 AD2804 AD2806 AD2808 AD2810">
    <cfRule type="dataBar" priority="594">
      <dataBar>
        <cfvo type="num" val="0"/>
        <cfvo type="num" val="1"/>
        <color theme="4" tint="0.79998168889431442"/>
      </dataBar>
      <extLst>
        <ext xmlns:x14="http://schemas.microsoft.com/office/spreadsheetml/2009/9/main" uri="{B025F937-C7B1-47D3-B67F-A62EFF666E3E}">
          <x14:id>{67947AE5-850C-4F10-AF3B-DE0104967044}</x14:id>
        </ext>
      </extLst>
    </cfRule>
    <cfRule type="iconSet" priority="593">
      <iconSet iconSet="3Arrows">
        <cfvo type="percent" val="0"/>
        <cfvo type="num" val="0.7"/>
        <cfvo type="num" val="1"/>
      </iconSet>
    </cfRule>
  </conditionalFormatting>
  <conditionalFormatting sqref="AD2816 AD2818 AD2820 AD2822 AD2824 AD2826 AD2828 AD2830 AD2832 AD2834 AD2836 AD2838 AD2840 AD2842 AD2844 AD2846 AD2848">
    <cfRule type="dataBar" priority="592">
      <dataBar>
        <cfvo type="num" val="0"/>
        <cfvo type="num" val="1"/>
        <color theme="4" tint="0.79998168889431442"/>
      </dataBar>
      <extLst>
        <ext xmlns:x14="http://schemas.microsoft.com/office/spreadsheetml/2009/9/main" uri="{B025F937-C7B1-47D3-B67F-A62EFF666E3E}">
          <x14:id>{26D23BAA-C3CE-4A3D-9D35-4D59E6D30F11}</x14:id>
        </ext>
      </extLst>
    </cfRule>
    <cfRule type="iconSet" priority="591">
      <iconSet iconSet="3Arrows">
        <cfvo type="percent" val="0"/>
        <cfvo type="num" val="0.7"/>
        <cfvo type="num" val="1"/>
      </iconSet>
    </cfRule>
  </conditionalFormatting>
  <conditionalFormatting sqref="AD2852">
    <cfRule type="dataBar" priority="590">
      <dataBar>
        <cfvo type="num" val="0"/>
        <cfvo type="num" val="1"/>
        <color theme="4" tint="0.79998168889431442"/>
      </dataBar>
      <extLst>
        <ext xmlns:x14="http://schemas.microsoft.com/office/spreadsheetml/2009/9/main" uri="{B025F937-C7B1-47D3-B67F-A62EFF666E3E}">
          <x14:id>{24C005E9-9D7E-44D5-8DF2-33B3176DD818}</x14:id>
        </ext>
      </extLst>
    </cfRule>
    <cfRule type="iconSet" priority="589">
      <iconSet iconSet="3Arrows">
        <cfvo type="percent" val="0"/>
        <cfvo type="num" val="0.7"/>
        <cfvo type="num" val="1"/>
      </iconSet>
    </cfRule>
  </conditionalFormatting>
  <conditionalFormatting sqref="AD2920 AD2858 AD2860 AD2862 AD2864 AD2866 AD2868 AD2870 AD2872 AD2874 AD2876 AD2878 AD2880 AD2882 AD2884 AD2886 AD2888 AD2890 AD2892 AD2894 AD2896 AD2898 AD2900 AD2902 AD2904 AD2906 AD2908 AD2910 AD2912 AD2914 AD2916 AD2918 AD2922 AD2924 AD2926 AD2928 AD2930 AD2932 AD2934 AD2936 AD2938 AD2940 AD2942 AD2944 AD2946 AD2948 AD2950 AD2952">
    <cfRule type="dataBar" priority="588">
      <dataBar>
        <cfvo type="num" val="0"/>
        <cfvo type="num" val="1"/>
        <color theme="4" tint="0.79998168889431442"/>
      </dataBar>
      <extLst>
        <ext xmlns:x14="http://schemas.microsoft.com/office/spreadsheetml/2009/9/main" uri="{B025F937-C7B1-47D3-B67F-A62EFF666E3E}">
          <x14:id>{B3596A8A-A578-47A0-87A8-07E02F69CF20}</x14:id>
        </ext>
      </extLst>
    </cfRule>
    <cfRule type="iconSet" priority="587">
      <iconSet iconSet="3Arrows">
        <cfvo type="percent" val="0"/>
        <cfvo type="num" val="0.7"/>
        <cfvo type="num" val="1"/>
      </iconSet>
    </cfRule>
  </conditionalFormatting>
  <conditionalFormatting sqref="AD2954">
    <cfRule type="dataBar" priority="586">
      <dataBar>
        <cfvo type="num" val="0"/>
        <cfvo type="num" val="1"/>
        <color theme="4" tint="0.79998168889431442"/>
      </dataBar>
      <extLst>
        <ext xmlns:x14="http://schemas.microsoft.com/office/spreadsheetml/2009/9/main" uri="{B025F937-C7B1-47D3-B67F-A62EFF666E3E}">
          <x14:id>{5B915BAB-4979-4C18-B4B8-6B40410973D8}</x14:id>
        </ext>
      </extLst>
    </cfRule>
    <cfRule type="iconSet" priority="585">
      <iconSet iconSet="3Arrows">
        <cfvo type="percent" val="0"/>
        <cfvo type="num" val="0.7"/>
        <cfvo type="num" val="1"/>
      </iconSet>
    </cfRule>
  </conditionalFormatting>
  <conditionalFormatting sqref="AD2956">
    <cfRule type="dataBar" priority="584">
      <dataBar>
        <cfvo type="num" val="0"/>
        <cfvo type="num" val="1"/>
        <color theme="4" tint="0.79998168889431442"/>
      </dataBar>
      <extLst>
        <ext xmlns:x14="http://schemas.microsoft.com/office/spreadsheetml/2009/9/main" uri="{B025F937-C7B1-47D3-B67F-A62EFF666E3E}">
          <x14:id>{FED8B4C8-34CA-4EEB-AB36-495929DF2538}</x14:id>
        </ext>
      </extLst>
    </cfRule>
    <cfRule type="iconSet" priority="583">
      <iconSet iconSet="3Arrows">
        <cfvo type="percent" val="0"/>
        <cfvo type="num" val="0.7"/>
        <cfvo type="num" val="1"/>
      </iconSet>
    </cfRule>
  </conditionalFormatting>
  <conditionalFormatting sqref="AD2962 AD2964 AD2966 AD2968 AD2970 AD2972 AD2974 AD2976 AD2978 AD2980 AD2982 AD2984 AD2986 AD2988 AD2990 AD2992 AD2994 AD2996 AD2998 AD3000 AD3002 AD3004 AD3006 AD3008 AD3010 AD3012 AD3014 AD3016 AD3018 AD3020 AD3022 AD3024 AD3026 AD3028 AD3030 AD3032 AD3034 AD3036 AD3038 AD3040 AD3042 AD3044 AD3046 AD3048 AD3050 AD3052 AD3054 AD3056 AD3058">
    <cfRule type="dataBar" priority="582">
      <dataBar>
        <cfvo type="num" val="0"/>
        <cfvo type="num" val="1"/>
        <color theme="4" tint="0.79998168889431442"/>
      </dataBar>
      <extLst>
        <ext xmlns:x14="http://schemas.microsoft.com/office/spreadsheetml/2009/9/main" uri="{B025F937-C7B1-47D3-B67F-A62EFF666E3E}">
          <x14:id>{43840402-88F0-4912-B30F-78BA33E12855}</x14:id>
        </ext>
      </extLst>
    </cfRule>
    <cfRule type="iconSet" priority="581">
      <iconSet iconSet="3Arrows">
        <cfvo type="percent" val="0"/>
        <cfvo type="num" val="0.7"/>
        <cfvo type="num" val="1"/>
      </iconSet>
    </cfRule>
  </conditionalFormatting>
  <conditionalFormatting sqref="AD3060">
    <cfRule type="dataBar" priority="580">
      <dataBar>
        <cfvo type="num" val="0"/>
        <cfvo type="num" val="1"/>
        <color theme="4" tint="0.79998168889431442"/>
      </dataBar>
      <extLst>
        <ext xmlns:x14="http://schemas.microsoft.com/office/spreadsheetml/2009/9/main" uri="{B025F937-C7B1-47D3-B67F-A62EFF666E3E}">
          <x14:id>{2470FE42-057F-47B5-8F82-4B985A4E9E9B}</x14:id>
        </ext>
      </extLst>
    </cfRule>
    <cfRule type="iconSet" priority="579">
      <iconSet iconSet="3Arrows">
        <cfvo type="percent" val="0"/>
        <cfvo type="num" val="0.7"/>
        <cfvo type="num" val="1"/>
      </iconSet>
    </cfRule>
  </conditionalFormatting>
  <conditionalFormatting sqref="AD3063 AD3151 AD2856 AD2960 AD3101">
    <cfRule type="dataBar" priority="578">
      <dataBar>
        <cfvo type="num" val="0"/>
        <cfvo type="num" val="1"/>
        <color theme="4" tint="0.79998168889431442"/>
      </dataBar>
      <extLst>
        <ext xmlns:x14="http://schemas.microsoft.com/office/spreadsheetml/2009/9/main" uri="{B025F937-C7B1-47D3-B67F-A62EFF666E3E}">
          <x14:id>{453885F1-109F-4FAC-9762-411B0FB0B8C5}</x14:id>
        </ext>
      </extLst>
    </cfRule>
    <cfRule type="iconSet" priority="577">
      <iconSet iconSet="3Arrows">
        <cfvo type="percent" val="0"/>
        <cfvo type="num" val="0.7"/>
        <cfvo type="num" val="1"/>
      </iconSet>
    </cfRule>
  </conditionalFormatting>
  <conditionalFormatting sqref="AD3067 AD3065 AD3069 AD3071 AD3073 AD3075 AD3077 AD3079 AD3081 AD3083 AD3085 AD3087 AD3089">
    <cfRule type="dataBar" priority="576">
      <dataBar>
        <cfvo type="num" val="0"/>
        <cfvo type="num" val="1"/>
        <color theme="4" tint="0.79998168889431442"/>
      </dataBar>
      <extLst>
        <ext xmlns:x14="http://schemas.microsoft.com/office/spreadsheetml/2009/9/main" uri="{B025F937-C7B1-47D3-B67F-A62EFF666E3E}">
          <x14:id>{116D4AC3-E78C-4385-A067-EF50A318844B}</x14:id>
        </ext>
      </extLst>
    </cfRule>
    <cfRule type="iconSet" priority="575">
      <iconSet iconSet="3Arrows">
        <cfvo type="percent" val="0"/>
        <cfvo type="num" val="0.7"/>
        <cfvo type="num" val="1"/>
      </iconSet>
    </cfRule>
  </conditionalFormatting>
  <conditionalFormatting sqref="AD3091">
    <cfRule type="dataBar" priority="574">
      <dataBar>
        <cfvo type="num" val="0"/>
        <cfvo type="num" val="1"/>
        <color theme="4" tint="0.79998168889431442"/>
      </dataBar>
      <extLst>
        <ext xmlns:x14="http://schemas.microsoft.com/office/spreadsheetml/2009/9/main" uri="{B025F937-C7B1-47D3-B67F-A62EFF666E3E}">
          <x14:id>{AF9EA6E4-9D6B-4566-BF7C-4D6360DDC7AB}</x14:id>
        </ext>
      </extLst>
    </cfRule>
    <cfRule type="iconSet" priority="573">
      <iconSet iconSet="3Arrows">
        <cfvo type="percent" val="0"/>
        <cfvo type="num" val="0.7"/>
        <cfvo type="num" val="1"/>
      </iconSet>
    </cfRule>
  </conditionalFormatting>
  <conditionalFormatting sqref="AD3093">
    <cfRule type="dataBar" priority="572">
      <dataBar>
        <cfvo type="num" val="0"/>
        <cfvo type="num" val="1"/>
        <color theme="4" tint="0.79998168889431442"/>
      </dataBar>
      <extLst>
        <ext xmlns:x14="http://schemas.microsoft.com/office/spreadsheetml/2009/9/main" uri="{B025F937-C7B1-47D3-B67F-A62EFF666E3E}">
          <x14:id>{48C90BC4-6CA2-42C1-995E-3B2B8811191D}</x14:id>
        </ext>
      </extLst>
    </cfRule>
    <cfRule type="iconSet" priority="571">
      <iconSet iconSet="3Arrows">
        <cfvo type="percent" val="0"/>
        <cfvo type="num" val="0.7"/>
        <cfvo type="num" val="1"/>
      </iconSet>
    </cfRule>
  </conditionalFormatting>
  <conditionalFormatting sqref="AD3095">
    <cfRule type="dataBar" priority="570">
      <dataBar>
        <cfvo type="num" val="0"/>
        <cfvo type="num" val="1"/>
        <color theme="4" tint="0.79998168889431442"/>
      </dataBar>
      <extLst>
        <ext xmlns:x14="http://schemas.microsoft.com/office/spreadsheetml/2009/9/main" uri="{B025F937-C7B1-47D3-B67F-A62EFF666E3E}">
          <x14:id>{819C7034-3593-4F0D-9784-ED3A4AC50D6B}</x14:id>
        </ext>
      </extLst>
    </cfRule>
    <cfRule type="iconSet" priority="569">
      <iconSet iconSet="3Arrows">
        <cfvo type="percent" val="0"/>
        <cfvo type="num" val="0.7"/>
        <cfvo type="num" val="1"/>
      </iconSet>
    </cfRule>
  </conditionalFormatting>
  <conditionalFormatting sqref="AD3097">
    <cfRule type="dataBar" priority="568">
      <dataBar>
        <cfvo type="num" val="0"/>
        <cfvo type="num" val="1"/>
        <color theme="4" tint="0.79998168889431442"/>
      </dataBar>
      <extLst>
        <ext xmlns:x14="http://schemas.microsoft.com/office/spreadsheetml/2009/9/main" uri="{B025F937-C7B1-47D3-B67F-A62EFF666E3E}">
          <x14:id>{B2BAD3E9-6114-412E-9778-C8A35D903014}</x14:id>
        </ext>
      </extLst>
    </cfRule>
    <cfRule type="iconSet" priority="567">
      <iconSet iconSet="3Arrows">
        <cfvo type="percent" val="0"/>
        <cfvo type="num" val="0.7"/>
        <cfvo type="num" val="1"/>
      </iconSet>
    </cfRule>
  </conditionalFormatting>
  <conditionalFormatting sqref="AD3105 AD3147 AD3103 AD3107 AD3109 AD3111 AD3113 AD3115 AD3117 AD3119 AD3121 AD3123 AD3125 AD3127 AD3129 AD3131 AD3133 AD3135 AD3137 AD3139 AD3141 AD3143 AD3145">
    <cfRule type="dataBar" priority="566">
      <dataBar>
        <cfvo type="num" val="0"/>
        <cfvo type="num" val="1"/>
        <color theme="4" tint="0.79998168889431442"/>
      </dataBar>
      <extLst>
        <ext xmlns:x14="http://schemas.microsoft.com/office/spreadsheetml/2009/9/main" uri="{B025F937-C7B1-47D3-B67F-A62EFF666E3E}">
          <x14:id>{37D75F8B-A9E0-4C18-967C-03F0D22135DB}</x14:id>
        </ext>
      </extLst>
    </cfRule>
    <cfRule type="iconSet" priority="565">
      <iconSet iconSet="3Arrows">
        <cfvo type="percent" val="0"/>
        <cfvo type="num" val="0.7"/>
        <cfvo type="num" val="1"/>
      </iconSet>
    </cfRule>
  </conditionalFormatting>
  <conditionalFormatting sqref="AD3153 AD3155 AD3157 AD3159 AD3161 AD3163 AD3165 AD3167 AD3169 AD3171 AD3173 AD3175 AD3177 AD3179 AD3181 AD3183 AD3185 AD3187 AD3189 AD3191 AD3193 AD3195 AD3197 AD3199 AD3201 AD3203 AD3205 AD3207 AD3209 AD3211 AD3213 AD3215 AD3217 AD3219 AD3221">
    <cfRule type="iconSet" priority="563">
      <iconSet iconSet="3Arrows">
        <cfvo type="percent" val="0"/>
        <cfvo type="num" val="0.7"/>
        <cfvo type="num" val="1"/>
      </iconSet>
    </cfRule>
    <cfRule type="dataBar" priority="564">
      <dataBar>
        <cfvo type="num" val="0"/>
        <cfvo type="num" val="1"/>
        <color theme="4" tint="0.79998168889431442"/>
      </dataBar>
      <extLst>
        <ext xmlns:x14="http://schemas.microsoft.com/office/spreadsheetml/2009/9/main" uri="{B025F937-C7B1-47D3-B67F-A62EFF666E3E}">
          <x14:id>{9DFE8FBA-83D6-4391-A004-DDDCCDC3A43F}</x14:id>
        </ext>
      </extLst>
    </cfRule>
  </conditionalFormatting>
  <conditionalFormatting sqref="AD3224">
    <cfRule type="iconSet" priority="561">
      <iconSet iconSet="3Arrows">
        <cfvo type="percent" val="0"/>
        <cfvo type="num" val="0.7"/>
        <cfvo type="num" val="1"/>
      </iconSet>
    </cfRule>
    <cfRule type="dataBar" priority="562">
      <dataBar>
        <cfvo type="num" val="0"/>
        <cfvo type="num" val="1"/>
        <color theme="4" tint="0.79998168889431442"/>
      </dataBar>
      <extLst>
        <ext xmlns:x14="http://schemas.microsoft.com/office/spreadsheetml/2009/9/main" uri="{B025F937-C7B1-47D3-B67F-A62EFF666E3E}">
          <x14:id>{A545ECB1-AAE2-424A-8CCE-53E923D810A9}</x14:id>
        </ext>
      </extLst>
    </cfRule>
  </conditionalFormatting>
  <conditionalFormatting sqref="AD3228">
    <cfRule type="iconSet" priority="559">
      <iconSet iconSet="3Arrows">
        <cfvo type="percent" val="0"/>
        <cfvo type="num" val="0.7"/>
        <cfvo type="num" val="1"/>
      </iconSet>
    </cfRule>
    <cfRule type="dataBar" priority="560">
      <dataBar>
        <cfvo type="num" val="0"/>
        <cfvo type="num" val="1"/>
        <color theme="4" tint="0.79998168889431442"/>
      </dataBar>
      <extLst>
        <ext xmlns:x14="http://schemas.microsoft.com/office/spreadsheetml/2009/9/main" uri="{B025F937-C7B1-47D3-B67F-A62EFF666E3E}">
          <x14:id>{503B200A-89A2-4B95-B33E-1801DD482EDE}</x14:id>
        </ext>
      </extLst>
    </cfRule>
  </conditionalFormatting>
  <conditionalFormatting sqref="AD3230">
    <cfRule type="iconSet" priority="557">
      <iconSet iconSet="3Arrows">
        <cfvo type="percent" val="0"/>
        <cfvo type="num" val="0.7"/>
        <cfvo type="num" val="1"/>
      </iconSet>
    </cfRule>
    <cfRule type="dataBar" priority="558">
      <dataBar>
        <cfvo type="num" val="0"/>
        <cfvo type="num" val="1"/>
        <color theme="4" tint="0.79998168889431442"/>
      </dataBar>
      <extLst>
        <ext xmlns:x14="http://schemas.microsoft.com/office/spreadsheetml/2009/9/main" uri="{B025F937-C7B1-47D3-B67F-A62EFF666E3E}">
          <x14:id>{65DADF06-E871-4669-9AAE-174701BCDBF1}</x14:id>
        </ext>
      </extLst>
    </cfRule>
  </conditionalFormatting>
  <conditionalFormatting sqref="AD3232 AD3234 AD3236 AD3238">
    <cfRule type="dataBar" priority="556">
      <dataBar>
        <cfvo type="num" val="0"/>
        <cfvo type="num" val="1"/>
        <color theme="4" tint="0.79998168889431442"/>
      </dataBar>
      <extLst>
        <ext xmlns:x14="http://schemas.microsoft.com/office/spreadsheetml/2009/9/main" uri="{B025F937-C7B1-47D3-B67F-A62EFF666E3E}">
          <x14:id>{1456FAF3-A2B8-4D47-B562-C5DD0482DAF0}</x14:id>
        </ext>
      </extLst>
    </cfRule>
    <cfRule type="iconSet" priority="555">
      <iconSet iconSet="3Arrows">
        <cfvo type="percent" val="0"/>
        <cfvo type="num" val="0.7"/>
        <cfvo type="num" val="1"/>
      </iconSet>
    </cfRule>
  </conditionalFormatting>
  <conditionalFormatting sqref="AD3240 AD3242 AD3244 AD3246 AD3248">
    <cfRule type="iconSet" priority="553">
      <iconSet iconSet="3Arrows">
        <cfvo type="percent" val="0"/>
        <cfvo type="num" val="0.7"/>
        <cfvo type="num" val="1"/>
      </iconSet>
    </cfRule>
    <cfRule type="dataBar" priority="554">
      <dataBar>
        <cfvo type="num" val="0"/>
        <cfvo type="num" val="1"/>
        <color theme="4" tint="0.79998168889431442"/>
      </dataBar>
      <extLst>
        <ext xmlns:x14="http://schemas.microsoft.com/office/spreadsheetml/2009/9/main" uri="{B025F937-C7B1-47D3-B67F-A62EFF666E3E}">
          <x14:id>{077835DF-7390-4E41-9BAF-0CE9178CE153}</x14:id>
        </ext>
      </extLst>
    </cfRule>
  </conditionalFormatting>
  <conditionalFormatting sqref="AD3252">
    <cfRule type="dataBar" priority="552">
      <dataBar>
        <cfvo type="num" val="0"/>
        <cfvo type="num" val="1"/>
        <color theme="4" tint="0.79998168889431442"/>
      </dataBar>
      <extLst>
        <ext xmlns:x14="http://schemas.microsoft.com/office/spreadsheetml/2009/9/main" uri="{B025F937-C7B1-47D3-B67F-A62EFF666E3E}">
          <x14:id>{0E07C625-5EB7-44B0-9327-6E77DEB7260C}</x14:id>
        </ext>
      </extLst>
    </cfRule>
    <cfRule type="iconSet" priority="551">
      <iconSet iconSet="3Arrows">
        <cfvo type="percent" val="0"/>
        <cfvo type="num" val="0.7"/>
        <cfvo type="num" val="1"/>
      </iconSet>
    </cfRule>
  </conditionalFormatting>
  <conditionalFormatting sqref="AD3254">
    <cfRule type="dataBar" priority="550">
      <dataBar>
        <cfvo type="num" val="0"/>
        <cfvo type="num" val="1"/>
        <color theme="4" tint="0.79998168889431442"/>
      </dataBar>
      <extLst>
        <ext xmlns:x14="http://schemas.microsoft.com/office/spreadsheetml/2009/9/main" uri="{B025F937-C7B1-47D3-B67F-A62EFF666E3E}">
          <x14:id>{BDC30ECC-E8F3-47CF-89F2-43A24BF65F59}</x14:id>
        </ext>
      </extLst>
    </cfRule>
    <cfRule type="iconSet" priority="549">
      <iconSet iconSet="3Arrows">
        <cfvo type="percent" val="0"/>
        <cfvo type="num" val="0.7"/>
        <cfvo type="num" val="1"/>
      </iconSet>
    </cfRule>
  </conditionalFormatting>
  <conditionalFormatting sqref="AD3256 AD3258 AD3260 AD3262 AD3264 AD3266 AD3268 AD3270 AD3272 AD3274">
    <cfRule type="dataBar" priority="548">
      <dataBar>
        <cfvo type="num" val="0"/>
        <cfvo type="num" val="1"/>
        <color theme="4" tint="0.79998168889431442"/>
      </dataBar>
      <extLst>
        <ext xmlns:x14="http://schemas.microsoft.com/office/spreadsheetml/2009/9/main" uri="{B025F937-C7B1-47D3-B67F-A62EFF666E3E}">
          <x14:id>{58F323BC-189D-4BA6-B0EB-E88327CB70BE}</x14:id>
        </ext>
      </extLst>
    </cfRule>
    <cfRule type="iconSet" priority="547">
      <iconSet iconSet="3Arrows">
        <cfvo type="percent" val="0"/>
        <cfvo type="num" val="0.7"/>
        <cfvo type="num" val="1"/>
      </iconSet>
    </cfRule>
  </conditionalFormatting>
  <conditionalFormatting sqref="AD3277">
    <cfRule type="dataBar" priority="546">
      <dataBar>
        <cfvo type="num" val="0"/>
        <cfvo type="num" val="1"/>
        <color theme="4" tint="0.79998168889431442"/>
      </dataBar>
      <extLst>
        <ext xmlns:x14="http://schemas.microsoft.com/office/spreadsheetml/2009/9/main" uri="{B025F937-C7B1-47D3-B67F-A62EFF666E3E}">
          <x14:id>{14766161-FD81-4930-B173-B6F0BBF71448}</x14:id>
        </ext>
      </extLst>
    </cfRule>
    <cfRule type="iconSet" priority="545">
      <iconSet iconSet="3Arrows">
        <cfvo type="percent" val="0"/>
        <cfvo type="num" val="0.7"/>
        <cfvo type="num" val="1"/>
      </iconSet>
    </cfRule>
  </conditionalFormatting>
  <conditionalFormatting sqref="AD3279 AD3281 AD3283 AD3285">
    <cfRule type="dataBar" priority="544">
      <dataBar>
        <cfvo type="num" val="0"/>
        <cfvo type="num" val="1"/>
        <color theme="4" tint="0.79998168889431442"/>
      </dataBar>
      <extLst>
        <ext xmlns:x14="http://schemas.microsoft.com/office/spreadsheetml/2009/9/main" uri="{B025F937-C7B1-47D3-B67F-A62EFF666E3E}">
          <x14:id>{B50A1B0B-FB14-4F54-A72A-91F07FEBA8F8}</x14:id>
        </ext>
      </extLst>
    </cfRule>
    <cfRule type="iconSet" priority="543">
      <iconSet iconSet="3Arrows">
        <cfvo type="percent" val="0"/>
        <cfvo type="num" val="0.7"/>
        <cfvo type="num" val="1"/>
      </iconSet>
    </cfRule>
  </conditionalFormatting>
  <conditionalFormatting sqref="AD3289">
    <cfRule type="iconSet" priority="541">
      <iconSet iconSet="3Arrows">
        <cfvo type="percent" val="0"/>
        <cfvo type="num" val="0.7"/>
        <cfvo type="num" val="1"/>
      </iconSet>
    </cfRule>
    <cfRule type="dataBar" priority="542">
      <dataBar>
        <cfvo type="num" val="0"/>
        <cfvo type="num" val="1"/>
        <color theme="4" tint="0.79998168889431442"/>
      </dataBar>
      <extLst>
        <ext xmlns:x14="http://schemas.microsoft.com/office/spreadsheetml/2009/9/main" uri="{B025F937-C7B1-47D3-B67F-A62EFF666E3E}">
          <x14:id>{8F2A29A9-165E-462B-95D2-12953EB332C2}</x14:id>
        </ext>
      </extLst>
    </cfRule>
  </conditionalFormatting>
  <conditionalFormatting sqref="AD3291 AD3293 AD3295 AD3297 AD3299 AD3301 AD3303 AD3305">
    <cfRule type="dataBar" priority="540">
      <dataBar>
        <cfvo type="num" val="0"/>
        <cfvo type="num" val="1"/>
        <color theme="4" tint="0.79998168889431442"/>
      </dataBar>
      <extLst>
        <ext xmlns:x14="http://schemas.microsoft.com/office/spreadsheetml/2009/9/main" uri="{B025F937-C7B1-47D3-B67F-A62EFF666E3E}">
          <x14:id>{6FC5EC3F-7002-4432-98E4-6F8C1CE94695}</x14:id>
        </ext>
      </extLst>
    </cfRule>
    <cfRule type="iconSet" priority="539">
      <iconSet iconSet="3Arrows">
        <cfvo type="percent" val="0"/>
        <cfvo type="num" val="0.7"/>
        <cfvo type="num" val="1"/>
      </iconSet>
    </cfRule>
  </conditionalFormatting>
  <conditionalFormatting sqref="AD3309">
    <cfRule type="iconSet" priority="537">
      <iconSet iconSet="3Arrows">
        <cfvo type="percent" val="0"/>
        <cfvo type="num" val="0.7"/>
        <cfvo type="num" val="1"/>
      </iconSet>
    </cfRule>
    <cfRule type="dataBar" priority="538">
      <dataBar>
        <cfvo type="num" val="0"/>
        <cfvo type="num" val="1"/>
        <color theme="4" tint="0.79998168889431442"/>
      </dataBar>
      <extLst>
        <ext xmlns:x14="http://schemas.microsoft.com/office/spreadsheetml/2009/9/main" uri="{B025F937-C7B1-47D3-B67F-A62EFF666E3E}">
          <x14:id>{85B967E6-2C9C-473E-A920-7DA9889CD56E}</x14:id>
        </ext>
      </extLst>
    </cfRule>
  </conditionalFormatting>
  <conditionalFormatting sqref="AD3311 AD3313 AD3315 AD3317 AD3319 AD3321">
    <cfRule type="dataBar" priority="536">
      <dataBar>
        <cfvo type="num" val="0"/>
        <cfvo type="num" val="1"/>
        <color theme="4" tint="0.79998168889431442"/>
      </dataBar>
      <extLst>
        <ext xmlns:x14="http://schemas.microsoft.com/office/spreadsheetml/2009/9/main" uri="{B025F937-C7B1-47D3-B67F-A62EFF666E3E}">
          <x14:id>{56A09B38-89BE-476A-98FC-E1EE8512AFC6}</x14:id>
        </ext>
      </extLst>
    </cfRule>
    <cfRule type="iconSet" priority="535">
      <iconSet iconSet="3Arrows">
        <cfvo type="percent" val="0"/>
        <cfvo type="num" val="0.7"/>
        <cfvo type="num" val="1"/>
      </iconSet>
    </cfRule>
  </conditionalFormatting>
  <conditionalFormatting sqref="AD3325">
    <cfRule type="iconSet" priority="533">
      <iconSet iconSet="3Arrows">
        <cfvo type="percent" val="0"/>
        <cfvo type="num" val="0.7"/>
        <cfvo type="num" val="1"/>
      </iconSet>
    </cfRule>
    <cfRule type="dataBar" priority="534">
      <dataBar>
        <cfvo type="num" val="0"/>
        <cfvo type="num" val="1"/>
        <color theme="4" tint="0.79998168889431442"/>
      </dataBar>
      <extLst>
        <ext xmlns:x14="http://schemas.microsoft.com/office/spreadsheetml/2009/9/main" uri="{B025F937-C7B1-47D3-B67F-A62EFF666E3E}">
          <x14:id>{39A01461-031F-4590-ACB1-ADB16BAD1780}</x14:id>
        </ext>
      </extLst>
    </cfRule>
  </conditionalFormatting>
  <conditionalFormatting sqref="AD3329">
    <cfRule type="dataBar" priority="532">
      <dataBar>
        <cfvo type="num" val="0"/>
        <cfvo type="num" val="1"/>
        <color theme="4" tint="0.79998168889431442"/>
      </dataBar>
      <extLst>
        <ext xmlns:x14="http://schemas.microsoft.com/office/spreadsheetml/2009/9/main" uri="{B025F937-C7B1-47D3-B67F-A62EFF666E3E}">
          <x14:id>{A363DC0C-632A-40DD-A21A-9D6785982299}</x14:id>
        </ext>
      </extLst>
    </cfRule>
    <cfRule type="iconSet" priority="531">
      <iconSet iconSet="3Arrows">
        <cfvo type="percent" val="0"/>
        <cfvo type="num" val="0.7"/>
        <cfvo type="num" val="1"/>
      </iconSet>
    </cfRule>
  </conditionalFormatting>
  <conditionalFormatting sqref="AD3331">
    <cfRule type="dataBar" priority="530">
      <dataBar>
        <cfvo type="num" val="0"/>
        <cfvo type="num" val="1"/>
        <color theme="4" tint="0.79998168889431442"/>
      </dataBar>
      <extLst>
        <ext xmlns:x14="http://schemas.microsoft.com/office/spreadsheetml/2009/9/main" uri="{B025F937-C7B1-47D3-B67F-A62EFF666E3E}">
          <x14:id>{AC6D198F-0F26-4313-BCE3-5E3993257381}</x14:id>
        </ext>
      </extLst>
    </cfRule>
    <cfRule type="iconSet" priority="529">
      <iconSet iconSet="3Arrows">
        <cfvo type="percent" val="0"/>
        <cfvo type="num" val="0.7"/>
        <cfvo type="num" val="1"/>
      </iconSet>
    </cfRule>
  </conditionalFormatting>
  <conditionalFormatting sqref="AD3333">
    <cfRule type="dataBar" priority="528">
      <dataBar>
        <cfvo type="num" val="0"/>
        <cfvo type="num" val="1"/>
        <color theme="4" tint="0.79998168889431442"/>
      </dataBar>
      <extLst>
        <ext xmlns:x14="http://schemas.microsoft.com/office/spreadsheetml/2009/9/main" uri="{B025F937-C7B1-47D3-B67F-A62EFF666E3E}">
          <x14:id>{4D6E6594-0205-4FA1-9F2F-39307B8F04DE}</x14:id>
        </ext>
      </extLst>
    </cfRule>
    <cfRule type="iconSet" priority="527">
      <iconSet iconSet="3Arrows">
        <cfvo type="percent" val="0"/>
        <cfvo type="num" val="0.7"/>
        <cfvo type="num" val="1"/>
      </iconSet>
    </cfRule>
  </conditionalFormatting>
  <conditionalFormatting sqref="AD3335">
    <cfRule type="dataBar" priority="526">
      <dataBar>
        <cfvo type="num" val="0"/>
        <cfvo type="num" val="1"/>
        <color theme="4" tint="0.79998168889431442"/>
      </dataBar>
      <extLst>
        <ext xmlns:x14="http://schemas.microsoft.com/office/spreadsheetml/2009/9/main" uri="{B025F937-C7B1-47D3-B67F-A62EFF666E3E}">
          <x14:id>{309EFC29-76BA-4A47-B0A8-B4F6B3C6A171}</x14:id>
        </ext>
      </extLst>
    </cfRule>
    <cfRule type="iconSet" priority="525">
      <iconSet iconSet="3Arrows">
        <cfvo type="percent" val="0"/>
        <cfvo type="num" val="0.7"/>
        <cfvo type="num" val="1"/>
      </iconSet>
    </cfRule>
  </conditionalFormatting>
  <conditionalFormatting sqref="AD3337">
    <cfRule type="dataBar" priority="524">
      <dataBar>
        <cfvo type="num" val="0"/>
        <cfvo type="num" val="1"/>
        <color theme="4" tint="0.79998168889431442"/>
      </dataBar>
      <extLst>
        <ext xmlns:x14="http://schemas.microsoft.com/office/spreadsheetml/2009/9/main" uri="{B025F937-C7B1-47D3-B67F-A62EFF666E3E}">
          <x14:id>{240D8860-9557-4E8B-AFE6-7DF0CE50A41B}</x14:id>
        </ext>
      </extLst>
    </cfRule>
    <cfRule type="iconSet" priority="523">
      <iconSet iconSet="3Arrows">
        <cfvo type="percent" val="0"/>
        <cfvo type="num" val="0.7"/>
        <cfvo type="num" val="1"/>
      </iconSet>
    </cfRule>
  </conditionalFormatting>
  <conditionalFormatting sqref="AD3339">
    <cfRule type="iconSet" priority="521">
      <iconSet iconSet="3Arrows">
        <cfvo type="percent" val="0"/>
        <cfvo type="num" val="0.7"/>
        <cfvo type="num" val="1"/>
      </iconSet>
    </cfRule>
    <cfRule type="dataBar" priority="522">
      <dataBar>
        <cfvo type="num" val="0"/>
        <cfvo type="num" val="1"/>
        <color theme="4" tint="0.79998168889431442"/>
      </dataBar>
      <extLst>
        <ext xmlns:x14="http://schemas.microsoft.com/office/spreadsheetml/2009/9/main" uri="{B025F937-C7B1-47D3-B67F-A62EFF666E3E}">
          <x14:id>{CB6C776A-C0BC-4E66-8D65-D7B280BC84CE}</x14:id>
        </ext>
      </extLst>
    </cfRule>
  </conditionalFormatting>
  <conditionalFormatting sqref="AD3341">
    <cfRule type="dataBar" priority="520">
      <dataBar>
        <cfvo type="num" val="0"/>
        <cfvo type="num" val="1"/>
        <color theme="4" tint="0.79998168889431442"/>
      </dataBar>
      <extLst>
        <ext xmlns:x14="http://schemas.microsoft.com/office/spreadsheetml/2009/9/main" uri="{B025F937-C7B1-47D3-B67F-A62EFF666E3E}">
          <x14:id>{2F22C572-6231-4F57-AD97-035CCB41D489}</x14:id>
        </ext>
      </extLst>
    </cfRule>
    <cfRule type="iconSet" priority="519">
      <iconSet iconSet="3Arrows">
        <cfvo type="percent" val="0"/>
        <cfvo type="num" val="0.7"/>
        <cfvo type="num" val="1"/>
      </iconSet>
    </cfRule>
  </conditionalFormatting>
  <conditionalFormatting sqref="AD3343">
    <cfRule type="dataBar" priority="518">
      <dataBar>
        <cfvo type="num" val="0"/>
        <cfvo type="num" val="1"/>
        <color theme="4" tint="0.79998168889431442"/>
      </dataBar>
      <extLst>
        <ext xmlns:x14="http://schemas.microsoft.com/office/spreadsheetml/2009/9/main" uri="{B025F937-C7B1-47D3-B67F-A62EFF666E3E}">
          <x14:id>{38BAF692-9308-4BC7-ABF1-D50ED5A1A4A5}</x14:id>
        </ext>
      </extLst>
    </cfRule>
    <cfRule type="iconSet" priority="517">
      <iconSet iconSet="3Arrows">
        <cfvo type="percent" val="0"/>
        <cfvo type="num" val="0.7"/>
        <cfvo type="num" val="1"/>
      </iconSet>
    </cfRule>
  </conditionalFormatting>
  <conditionalFormatting sqref="AD3345">
    <cfRule type="iconSet" priority="515">
      <iconSet iconSet="3Arrows">
        <cfvo type="percent" val="0"/>
        <cfvo type="num" val="0.7"/>
        <cfvo type="num" val="1"/>
      </iconSet>
    </cfRule>
    <cfRule type="dataBar" priority="516">
      <dataBar>
        <cfvo type="num" val="0"/>
        <cfvo type="num" val="1"/>
        <color theme="4" tint="0.79998168889431442"/>
      </dataBar>
      <extLst>
        <ext xmlns:x14="http://schemas.microsoft.com/office/spreadsheetml/2009/9/main" uri="{B025F937-C7B1-47D3-B67F-A62EFF666E3E}">
          <x14:id>{03E4B71F-37F9-48CC-B655-9B9ACBA02F0C}</x14:id>
        </ext>
      </extLst>
    </cfRule>
  </conditionalFormatting>
  <conditionalFormatting sqref="AD3347">
    <cfRule type="dataBar" priority="514">
      <dataBar>
        <cfvo type="num" val="0"/>
        <cfvo type="num" val="1"/>
        <color theme="4" tint="0.79998168889431442"/>
      </dataBar>
      <extLst>
        <ext xmlns:x14="http://schemas.microsoft.com/office/spreadsheetml/2009/9/main" uri="{B025F937-C7B1-47D3-B67F-A62EFF666E3E}">
          <x14:id>{C5B2B864-579E-4107-ABFB-0272E8DC51AD}</x14:id>
        </ext>
      </extLst>
    </cfRule>
    <cfRule type="iconSet" priority="513">
      <iconSet iconSet="3Arrows">
        <cfvo type="percent" val="0"/>
        <cfvo type="num" val="0.7"/>
        <cfvo type="num" val="1"/>
      </iconSet>
    </cfRule>
  </conditionalFormatting>
  <conditionalFormatting sqref="AD3350">
    <cfRule type="dataBar" priority="512">
      <dataBar>
        <cfvo type="num" val="0"/>
        <cfvo type="num" val="1"/>
        <color theme="4" tint="0.79998168889431442"/>
      </dataBar>
      <extLst>
        <ext xmlns:x14="http://schemas.microsoft.com/office/spreadsheetml/2009/9/main" uri="{B025F937-C7B1-47D3-B67F-A62EFF666E3E}">
          <x14:id>{2EB6FF14-2CD8-4320-9A60-407F285791FF}</x14:id>
        </ext>
      </extLst>
    </cfRule>
    <cfRule type="iconSet" priority="511">
      <iconSet iconSet="3Arrows">
        <cfvo type="percent" val="0"/>
        <cfvo type="num" val="0.7"/>
        <cfvo type="num" val="1"/>
      </iconSet>
    </cfRule>
  </conditionalFormatting>
  <conditionalFormatting sqref="AD3352">
    <cfRule type="dataBar" priority="510">
      <dataBar>
        <cfvo type="num" val="0"/>
        <cfvo type="num" val="1"/>
        <color theme="4" tint="0.79998168889431442"/>
      </dataBar>
      <extLst>
        <ext xmlns:x14="http://schemas.microsoft.com/office/spreadsheetml/2009/9/main" uri="{B025F937-C7B1-47D3-B67F-A62EFF666E3E}">
          <x14:id>{EFC544E9-D594-4752-A77B-D8ECDACDCFBD}</x14:id>
        </ext>
      </extLst>
    </cfRule>
    <cfRule type="iconSet" priority="509">
      <iconSet iconSet="3Arrows">
        <cfvo type="percent" val="0"/>
        <cfvo type="num" val="0.7"/>
        <cfvo type="num" val="1"/>
      </iconSet>
    </cfRule>
  </conditionalFormatting>
  <conditionalFormatting sqref="AD3354">
    <cfRule type="dataBar" priority="508">
      <dataBar>
        <cfvo type="num" val="0"/>
        <cfvo type="num" val="1"/>
        <color theme="4" tint="0.79998168889431442"/>
      </dataBar>
      <extLst>
        <ext xmlns:x14="http://schemas.microsoft.com/office/spreadsheetml/2009/9/main" uri="{B025F937-C7B1-47D3-B67F-A62EFF666E3E}">
          <x14:id>{223FA341-2FFE-495A-94BD-DD13366504D2}</x14:id>
        </ext>
      </extLst>
    </cfRule>
    <cfRule type="iconSet" priority="507">
      <iconSet iconSet="3Arrows">
        <cfvo type="percent" val="0"/>
        <cfvo type="num" val="0.7"/>
        <cfvo type="num" val="1"/>
      </iconSet>
    </cfRule>
  </conditionalFormatting>
  <conditionalFormatting sqref="AD3356">
    <cfRule type="iconSet" priority="505">
      <iconSet iconSet="3Arrows">
        <cfvo type="percent" val="0"/>
        <cfvo type="num" val="0.7"/>
        <cfvo type="num" val="1"/>
      </iconSet>
    </cfRule>
    <cfRule type="dataBar" priority="506">
      <dataBar>
        <cfvo type="num" val="0"/>
        <cfvo type="num" val="1"/>
        <color theme="4" tint="0.79998168889431442"/>
      </dataBar>
      <extLst>
        <ext xmlns:x14="http://schemas.microsoft.com/office/spreadsheetml/2009/9/main" uri="{B025F937-C7B1-47D3-B67F-A62EFF666E3E}">
          <x14:id>{844EA8D7-A9BE-48F4-BFB5-CD7E1A78F836}</x14:id>
        </ext>
      </extLst>
    </cfRule>
  </conditionalFormatting>
  <conditionalFormatting sqref="AD3358">
    <cfRule type="dataBar" priority="504">
      <dataBar>
        <cfvo type="num" val="0"/>
        <cfvo type="num" val="1"/>
        <color theme="4" tint="0.79998168889431442"/>
      </dataBar>
      <extLst>
        <ext xmlns:x14="http://schemas.microsoft.com/office/spreadsheetml/2009/9/main" uri="{B025F937-C7B1-47D3-B67F-A62EFF666E3E}">
          <x14:id>{49D2EBFD-EB44-40F8-8B19-1690CD5EF784}</x14:id>
        </ext>
      </extLst>
    </cfRule>
    <cfRule type="iconSet" priority="503">
      <iconSet iconSet="3Arrows">
        <cfvo type="percent" val="0"/>
        <cfvo type="num" val="0.7"/>
        <cfvo type="num" val="1"/>
      </iconSet>
    </cfRule>
  </conditionalFormatting>
  <conditionalFormatting sqref="AD3360">
    <cfRule type="dataBar" priority="502">
      <dataBar>
        <cfvo type="num" val="0"/>
        <cfvo type="num" val="1"/>
        <color theme="4" tint="0.79998168889431442"/>
      </dataBar>
      <extLst>
        <ext xmlns:x14="http://schemas.microsoft.com/office/spreadsheetml/2009/9/main" uri="{B025F937-C7B1-47D3-B67F-A62EFF666E3E}">
          <x14:id>{B2067F0D-F525-47AB-A3CC-0951436BBC31}</x14:id>
        </ext>
      </extLst>
    </cfRule>
    <cfRule type="iconSet" priority="501">
      <iconSet iconSet="3Arrows">
        <cfvo type="percent" val="0"/>
        <cfvo type="num" val="0.7"/>
        <cfvo type="num" val="1"/>
      </iconSet>
    </cfRule>
  </conditionalFormatting>
  <conditionalFormatting sqref="AD3362">
    <cfRule type="dataBar" priority="500">
      <dataBar>
        <cfvo type="num" val="0"/>
        <cfvo type="num" val="1"/>
        <color theme="4" tint="0.79998168889431442"/>
      </dataBar>
      <extLst>
        <ext xmlns:x14="http://schemas.microsoft.com/office/spreadsheetml/2009/9/main" uri="{B025F937-C7B1-47D3-B67F-A62EFF666E3E}">
          <x14:id>{A0D4E2EC-DA05-45C9-B85C-4E4DAE2F8B70}</x14:id>
        </ext>
      </extLst>
    </cfRule>
    <cfRule type="iconSet" priority="499">
      <iconSet iconSet="3Arrows">
        <cfvo type="percent" val="0"/>
        <cfvo type="num" val="0.7"/>
        <cfvo type="num" val="1"/>
      </iconSet>
    </cfRule>
  </conditionalFormatting>
  <conditionalFormatting sqref="AD3365">
    <cfRule type="iconSet" priority="497">
      <iconSet iconSet="3Arrows">
        <cfvo type="percent" val="0"/>
        <cfvo type="num" val="0.7"/>
        <cfvo type="num" val="1"/>
      </iconSet>
    </cfRule>
    <cfRule type="dataBar" priority="498">
      <dataBar>
        <cfvo type="num" val="0"/>
        <cfvo type="num" val="1"/>
        <color theme="4" tint="0.79998168889431442"/>
      </dataBar>
      <extLst>
        <ext xmlns:x14="http://schemas.microsoft.com/office/spreadsheetml/2009/9/main" uri="{B025F937-C7B1-47D3-B67F-A62EFF666E3E}">
          <x14:id>{8D5C3A54-9A5D-4215-B34C-5F9F65BAB55E}</x14:id>
        </ext>
      </extLst>
    </cfRule>
  </conditionalFormatting>
  <conditionalFormatting sqref="AD3367">
    <cfRule type="iconSet" priority="495">
      <iconSet iconSet="3Arrows">
        <cfvo type="percent" val="0"/>
        <cfvo type="num" val="0.7"/>
        <cfvo type="num" val="1"/>
      </iconSet>
    </cfRule>
    <cfRule type="dataBar" priority="496">
      <dataBar>
        <cfvo type="num" val="0"/>
        <cfvo type="num" val="1"/>
        <color theme="4" tint="0.79998168889431442"/>
      </dataBar>
      <extLst>
        <ext xmlns:x14="http://schemas.microsoft.com/office/spreadsheetml/2009/9/main" uri="{B025F937-C7B1-47D3-B67F-A62EFF666E3E}">
          <x14:id>{30B4476B-5CE5-41F0-A8AF-7F5637F3D0C4}</x14:id>
        </ext>
      </extLst>
    </cfRule>
  </conditionalFormatting>
  <conditionalFormatting sqref="AD3369">
    <cfRule type="iconSet" priority="493">
      <iconSet iconSet="3Arrows">
        <cfvo type="percent" val="0"/>
        <cfvo type="num" val="0.7"/>
        <cfvo type="num" val="1"/>
      </iconSet>
    </cfRule>
    <cfRule type="dataBar" priority="494">
      <dataBar>
        <cfvo type="num" val="0"/>
        <cfvo type="num" val="1"/>
        <color theme="4" tint="0.79998168889431442"/>
      </dataBar>
      <extLst>
        <ext xmlns:x14="http://schemas.microsoft.com/office/spreadsheetml/2009/9/main" uri="{B025F937-C7B1-47D3-B67F-A62EFF666E3E}">
          <x14:id>{0082C42F-0716-46A6-80B0-5F8080CF0CB5}</x14:id>
        </ext>
      </extLst>
    </cfRule>
  </conditionalFormatting>
  <conditionalFormatting sqref="AD3371">
    <cfRule type="iconSet" priority="491">
      <iconSet iconSet="3Arrows">
        <cfvo type="percent" val="0"/>
        <cfvo type="num" val="0.7"/>
        <cfvo type="num" val="1"/>
      </iconSet>
    </cfRule>
    <cfRule type="dataBar" priority="492">
      <dataBar>
        <cfvo type="num" val="0"/>
        <cfvo type="num" val="1"/>
        <color theme="4" tint="0.79998168889431442"/>
      </dataBar>
      <extLst>
        <ext xmlns:x14="http://schemas.microsoft.com/office/spreadsheetml/2009/9/main" uri="{B025F937-C7B1-47D3-B67F-A62EFF666E3E}">
          <x14:id>{95B9DB5F-0D43-4EF3-B6CB-9A6783DA10F8}</x14:id>
        </ext>
      </extLst>
    </cfRule>
  </conditionalFormatting>
  <conditionalFormatting sqref="AD3373">
    <cfRule type="dataBar" priority="490">
      <dataBar>
        <cfvo type="num" val="0"/>
        <cfvo type="num" val="1"/>
        <color theme="4" tint="0.79998168889431442"/>
      </dataBar>
      <extLst>
        <ext xmlns:x14="http://schemas.microsoft.com/office/spreadsheetml/2009/9/main" uri="{B025F937-C7B1-47D3-B67F-A62EFF666E3E}">
          <x14:id>{71C8A2D8-318F-4CA1-AE1A-2C3F460CDE34}</x14:id>
        </ext>
      </extLst>
    </cfRule>
    <cfRule type="iconSet" priority="489">
      <iconSet iconSet="3Arrows">
        <cfvo type="percent" val="0"/>
        <cfvo type="num" val="0.7"/>
        <cfvo type="num" val="1"/>
      </iconSet>
    </cfRule>
  </conditionalFormatting>
  <conditionalFormatting sqref="AD3377">
    <cfRule type="dataBar" priority="488">
      <dataBar>
        <cfvo type="num" val="0"/>
        <cfvo type="num" val="1"/>
        <color theme="4" tint="0.79998168889431442"/>
      </dataBar>
      <extLst>
        <ext xmlns:x14="http://schemas.microsoft.com/office/spreadsheetml/2009/9/main" uri="{B025F937-C7B1-47D3-B67F-A62EFF666E3E}">
          <x14:id>{48C9DD6D-312F-49C0-95C4-413D1BD4E39B}</x14:id>
        </ext>
      </extLst>
    </cfRule>
    <cfRule type="iconSet" priority="487">
      <iconSet iconSet="3Arrows">
        <cfvo type="percent" val="0"/>
        <cfvo type="num" val="0.7"/>
        <cfvo type="num" val="1"/>
      </iconSet>
    </cfRule>
  </conditionalFormatting>
  <conditionalFormatting sqref="AD3381">
    <cfRule type="dataBar" priority="486">
      <dataBar>
        <cfvo type="num" val="0"/>
        <cfvo type="num" val="1"/>
        <color theme="4" tint="0.79998168889431442"/>
      </dataBar>
      <extLst>
        <ext xmlns:x14="http://schemas.microsoft.com/office/spreadsheetml/2009/9/main" uri="{B025F937-C7B1-47D3-B67F-A62EFF666E3E}">
          <x14:id>{FB5C1556-F585-475E-8B54-F7FA68E2FB59}</x14:id>
        </ext>
      </extLst>
    </cfRule>
    <cfRule type="iconSet" priority="485">
      <iconSet iconSet="3Arrows">
        <cfvo type="percent" val="0"/>
        <cfvo type="num" val="0.7"/>
        <cfvo type="num" val="1"/>
      </iconSet>
    </cfRule>
  </conditionalFormatting>
  <conditionalFormatting sqref="AD3383 AD3385 AD3387 AD3389">
    <cfRule type="dataBar" priority="484">
      <dataBar>
        <cfvo type="num" val="0"/>
        <cfvo type="num" val="1"/>
        <color theme="4" tint="0.79998168889431442"/>
      </dataBar>
      <extLst>
        <ext xmlns:x14="http://schemas.microsoft.com/office/spreadsheetml/2009/9/main" uri="{B025F937-C7B1-47D3-B67F-A62EFF666E3E}">
          <x14:id>{0297830D-0B13-43C3-886A-503B1CFDDEFD}</x14:id>
        </ext>
      </extLst>
    </cfRule>
    <cfRule type="iconSet" priority="483">
      <iconSet iconSet="3Arrows">
        <cfvo type="percent" val="0"/>
        <cfvo type="num" val="0.7"/>
        <cfvo type="num" val="1"/>
      </iconSet>
    </cfRule>
  </conditionalFormatting>
  <conditionalFormatting sqref="AD3391 AD3393 AD3395">
    <cfRule type="dataBar" priority="482">
      <dataBar>
        <cfvo type="num" val="0"/>
        <cfvo type="num" val="1"/>
        <color theme="4" tint="0.79998168889431442"/>
      </dataBar>
      <extLst>
        <ext xmlns:x14="http://schemas.microsoft.com/office/spreadsheetml/2009/9/main" uri="{B025F937-C7B1-47D3-B67F-A62EFF666E3E}">
          <x14:id>{9E4C3B97-2EB1-4054-9C37-1652AE5FA1AA}</x14:id>
        </ext>
      </extLst>
    </cfRule>
    <cfRule type="iconSet" priority="481">
      <iconSet iconSet="3Arrows">
        <cfvo type="percent" val="0"/>
        <cfvo type="num" val="0.7"/>
        <cfvo type="num" val="1"/>
      </iconSet>
    </cfRule>
  </conditionalFormatting>
  <conditionalFormatting sqref="AD3397">
    <cfRule type="dataBar" priority="480">
      <dataBar>
        <cfvo type="num" val="0"/>
        <cfvo type="num" val="1"/>
        <color theme="4" tint="0.79998168889431442"/>
      </dataBar>
      <extLst>
        <ext xmlns:x14="http://schemas.microsoft.com/office/spreadsheetml/2009/9/main" uri="{B025F937-C7B1-47D3-B67F-A62EFF666E3E}">
          <x14:id>{A4564889-86FC-4EDD-9D32-A682AB6C0C53}</x14:id>
        </ext>
      </extLst>
    </cfRule>
    <cfRule type="iconSet" priority="479">
      <iconSet iconSet="3Arrows">
        <cfvo type="percent" val="0"/>
        <cfvo type="num" val="0.7"/>
        <cfvo type="num" val="1"/>
      </iconSet>
    </cfRule>
  </conditionalFormatting>
  <conditionalFormatting sqref="AD3399">
    <cfRule type="dataBar" priority="478">
      <dataBar>
        <cfvo type="num" val="0"/>
        <cfvo type="num" val="1"/>
        <color theme="4" tint="0.79998168889431442"/>
      </dataBar>
      <extLst>
        <ext xmlns:x14="http://schemas.microsoft.com/office/spreadsheetml/2009/9/main" uri="{B025F937-C7B1-47D3-B67F-A62EFF666E3E}">
          <x14:id>{25250380-485F-4499-B8BF-2B6E9861DE38}</x14:id>
        </ext>
      </extLst>
    </cfRule>
    <cfRule type="iconSet" priority="477">
      <iconSet iconSet="3Arrows">
        <cfvo type="percent" val="0"/>
        <cfvo type="num" val="0.7"/>
        <cfvo type="num" val="1"/>
      </iconSet>
    </cfRule>
  </conditionalFormatting>
  <conditionalFormatting sqref="AD3401">
    <cfRule type="dataBar" priority="476">
      <dataBar>
        <cfvo type="num" val="0"/>
        <cfvo type="num" val="1"/>
        <color theme="4" tint="0.79998168889431442"/>
      </dataBar>
      <extLst>
        <ext xmlns:x14="http://schemas.microsoft.com/office/spreadsheetml/2009/9/main" uri="{B025F937-C7B1-47D3-B67F-A62EFF666E3E}">
          <x14:id>{61ED3BF6-5B74-49BA-ABBF-79A7183F2625}</x14:id>
        </ext>
      </extLst>
    </cfRule>
    <cfRule type="iconSet" priority="475">
      <iconSet iconSet="3Arrows">
        <cfvo type="percent" val="0"/>
        <cfvo type="num" val="0.7"/>
        <cfvo type="num" val="1"/>
      </iconSet>
    </cfRule>
  </conditionalFormatting>
  <conditionalFormatting sqref="AD3403">
    <cfRule type="iconSet" priority="473">
      <iconSet iconSet="3Arrows">
        <cfvo type="percent" val="0"/>
        <cfvo type="num" val="0.7"/>
        <cfvo type="num" val="1"/>
      </iconSet>
    </cfRule>
    <cfRule type="dataBar" priority="474">
      <dataBar>
        <cfvo type="num" val="0"/>
        <cfvo type="num" val="1"/>
        <color theme="4" tint="0.79998168889431442"/>
      </dataBar>
      <extLst>
        <ext xmlns:x14="http://schemas.microsoft.com/office/spreadsheetml/2009/9/main" uri="{B025F937-C7B1-47D3-B67F-A62EFF666E3E}">
          <x14:id>{1D0F55D9-F3DD-4484-B94D-9B7B9C309847}</x14:id>
        </ext>
      </extLst>
    </cfRule>
  </conditionalFormatting>
  <conditionalFormatting sqref="AD3405">
    <cfRule type="dataBar" priority="472">
      <dataBar>
        <cfvo type="num" val="0"/>
        <cfvo type="num" val="1"/>
        <color theme="4" tint="0.79998168889431442"/>
      </dataBar>
      <extLst>
        <ext xmlns:x14="http://schemas.microsoft.com/office/spreadsheetml/2009/9/main" uri="{B025F937-C7B1-47D3-B67F-A62EFF666E3E}">
          <x14:id>{D68641A4-A8B3-4056-9629-447924BC290F}</x14:id>
        </ext>
      </extLst>
    </cfRule>
    <cfRule type="iconSet" priority="471">
      <iconSet iconSet="3Arrows">
        <cfvo type="percent" val="0"/>
        <cfvo type="num" val="0.7"/>
        <cfvo type="num" val="1"/>
      </iconSet>
    </cfRule>
  </conditionalFormatting>
  <conditionalFormatting sqref="AD3407">
    <cfRule type="iconSet" priority="469">
      <iconSet iconSet="3Arrows">
        <cfvo type="percent" val="0"/>
        <cfvo type="num" val="0.7"/>
        <cfvo type="num" val="1"/>
      </iconSet>
    </cfRule>
    <cfRule type="dataBar" priority="470">
      <dataBar>
        <cfvo type="num" val="0"/>
        <cfvo type="num" val="1"/>
        <color theme="4" tint="0.79998168889431442"/>
      </dataBar>
      <extLst>
        <ext xmlns:x14="http://schemas.microsoft.com/office/spreadsheetml/2009/9/main" uri="{B025F937-C7B1-47D3-B67F-A62EFF666E3E}">
          <x14:id>{F3FDCA04-6BF7-420F-8B06-F357CEEA2DC1}</x14:id>
        </ext>
      </extLst>
    </cfRule>
  </conditionalFormatting>
  <conditionalFormatting sqref="AD3409">
    <cfRule type="dataBar" priority="468">
      <dataBar>
        <cfvo type="num" val="0"/>
        <cfvo type="num" val="1"/>
        <color theme="4" tint="0.79998168889431442"/>
      </dataBar>
      <extLst>
        <ext xmlns:x14="http://schemas.microsoft.com/office/spreadsheetml/2009/9/main" uri="{B025F937-C7B1-47D3-B67F-A62EFF666E3E}">
          <x14:id>{C4E30B05-214F-4663-8D09-7AB0176F44F6}</x14:id>
        </ext>
      </extLst>
    </cfRule>
    <cfRule type="iconSet" priority="467">
      <iconSet iconSet="3Arrows">
        <cfvo type="percent" val="0"/>
        <cfvo type="num" val="0.7"/>
        <cfvo type="num" val="1"/>
      </iconSet>
    </cfRule>
  </conditionalFormatting>
  <conditionalFormatting sqref="AD3411">
    <cfRule type="dataBar" priority="466">
      <dataBar>
        <cfvo type="num" val="0"/>
        <cfvo type="num" val="1"/>
        <color theme="4" tint="0.79998168889431442"/>
      </dataBar>
      <extLst>
        <ext xmlns:x14="http://schemas.microsoft.com/office/spreadsheetml/2009/9/main" uri="{B025F937-C7B1-47D3-B67F-A62EFF666E3E}">
          <x14:id>{217107F2-A93C-4E4D-A5F4-AD6EFDEB2485}</x14:id>
        </ext>
      </extLst>
    </cfRule>
    <cfRule type="iconSet" priority="465">
      <iconSet iconSet="3Arrows">
        <cfvo type="percent" val="0"/>
        <cfvo type="num" val="0.7"/>
        <cfvo type="num" val="1"/>
      </iconSet>
    </cfRule>
  </conditionalFormatting>
  <conditionalFormatting sqref="AD3413">
    <cfRule type="iconSet" priority="463">
      <iconSet iconSet="3Arrows">
        <cfvo type="percent" val="0"/>
        <cfvo type="num" val="0.7"/>
        <cfvo type="num" val="1"/>
      </iconSet>
    </cfRule>
    <cfRule type="dataBar" priority="464">
      <dataBar>
        <cfvo type="num" val="0"/>
        <cfvo type="num" val="1"/>
        <color theme="4" tint="0.79998168889431442"/>
      </dataBar>
      <extLst>
        <ext xmlns:x14="http://schemas.microsoft.com/office/spreadsheetml/2009/9/main" uri="{B025F937-C7B1-47D3-B67F-A62EFF666E3E}">
          <x14:id>{85737507-F36E-4B25-AA85-2B75164AAC3C}</x14:id>
        </ext>
      </extLst>
    </cfRule>
  </conditionalFormatting>
  <conditionalFormatting sqref="AD3416">
    <cfRule type="dataBar" priority="462">
      <dataBar>
        <cfvo type="num" val="0"/>
        <cfvo type="num" val="1"/>
        <color theme="4" tint="0.79998168889431442"/>
      </dataBar>
      <extLst>
        <ext xmlns:x14="http://schemas.microsoft.com/office/spreadsheetml/2009/9/main" uri="{B025F937-C7B1-47D3-B67F-A62EFF666E3E}">
          <x14:id>{4BF89161-8104-4D36-9974-3ED5D9FC1F20}</x14:id>
        </ext>
      </extLst>
    </cfRule>
    <cfRule type="iconSet" priority="461">
      <iconSet iconSet="3Arrows">
        <cfvo type="percent" val="0"/>
        <cfvo type="num" val="0.7"/>
        <cfvo type="num" val="1"/>
      </iconSet>
    </cfRule>
  </conditionalFormatting>
  <conditionalFormatting sqref="AD3418">
    <cfRule type="iconSet" priority="459">
      <iconSet iconSet="3Arrows">
        <cfvo type="percent" val="0"/>
        <cfvo type="num" val="0.7"/>
        <cfvo type="num" val="1"/>
      </iconSet>
    </cfRule>
    <cfRule type="dataBar" priority="460">
      <dataBar>
        <cfvo type="num" val="0"/>
        <cfvo type="num" val="1"/>
        <color theme="4" tint="0.79998168889431442"/>
      </dataBar>
      <extLst>
        <ext xmlns:x14="http://schemas.microsoft.com/office/spreadsheetml/2009/9/main" uri="{B025F937-C7B1-47D3-B67F-A62EFF666E3E}">
          <x14:id>{58C108A1-AFD1-435D-9F5F-000F07B539C3}</x14:id>
        </ext>
      </extLst>
    </cfRule>
  </conditionalFormatting>
  <conditionalFormatting sqref="AD3420">
    <cfRule type="dataBar" priority="458">
      <dataBar>
        <cfvo type="num" val="0"/>
        <cfvo type="num" val="1"/>
        <color theme="4" tint="0.79998168889431442"/>
      </dataBar>
      <extLst>
        <ext xmlns:x14="http://schemas.microsoft.com/office/spreadsheetml/2009/9/main" uri="{B025F937-C7B1-47D3-B67F-A62EFF666E3E}">
          <x14:id>{3E040417-ABAA-41CE-A553-0740DD254092}</x14:id>
        </ext>
      </extLst>
    </cfRule>
    <cfRule type="iconSet" priority="457">
      <iconSet iconSet="3Arrows">
        <cfvo type="percent" val="0"/>
        <cfvo type="num" val="0.7"/>
        <cfvo type="num" val="1"/>
      </iconSet>
    </cfRule>
  </conditionalFormatting>
  <conditionalFormatting sqref="AD3422">
    <cfRule type="dataBar" priority="456">
      <dataBar>
        <cfvo type="num" val="0"/>
        <cfvo type="num" val="1"/>
        <color theme="4" tint="0.79998168889431442"/>
      </dataBar>
      <extLst>
        <ext xmlns:x14="http://schemas.microsoft.com/office/spreadsheetml/2009/9/main" uri="{B025F937-C7B1-47D3-B67F-A62EFF666E3E}">
          <x14:id>{B6A7EA7E-6599-4B18-A998-F69941C38607}</x14:id>
        </ext>
      </extLst>
    </cfRule>
    <cfRule type="iconSet" priority="455">
      <iconSet iconSet="3Arrows">
        <cfvo type="percent" val="0"/>
        <cfvo type="num" val="0.7"/>
        <cfvo type="num" val="1"/>
      </iconSet>
    </cfRule>
  </conditionalFormatting>
  <conditionalFormatting sqref="AD3424">
    <cfRule type="iconSet" priority="453">
      <iconSet iconSet="3Arrows">
        <cfvo type="percent" val="0"/>
        <cfvo type="num" val="0.7"/>
        <cfvo type="num" val="1"/>
      </iconSet>
    </cfRule>
    <cfRule type="dataBar" priority="454">
      <dataBar>
        <cfvo type="num" val="0"/>
        <cfvo type="num" val="1"/>
        <color theme="4" tint="0.79998168889431442"/>
      </dataBar>
      <extLst>
        <ext xmlns:x14="http://schemas.microsoft.com/office/spreadsheetml/2009/9/main" uri="{B025F937-C7B1-47D3-B67F-A62EFF666E3E}">
          <x14:id>{0126011B-8FFA-45CC-B32C-AE1DA5162FDC}</x14:id>
        </ext>
      </extLst>
    </cfRule>
  </conditionalFormatting>
  <conditionalFormatting sqref="AD3426">
    <cfRule type="iconSet" priority="451">
      <iconSet iconSet="3Arrows">
        <cfvo type="percent" val="0"/>
        <cfvo type="num" val="0.7"/>
        <cfvo type="num" val="1"/>
      </iconSet>
    </cfRule>
    <cfRule type="dataBar" priority="452">
      <dataBar>
        <cfvo type="num" val="0"/>
        <cfvo type="num" val="1"/>
        <color theme="4" tint="0.79998168889431442"/>
      </dataBar>
      <extLst>
        <ext xmlns:x14="http://schemas.microsoft.com/office/spreadsheetml/2009/9/main" uri="{B025F937-C7B1-47D3-B67F-A62EFF666E3E}">
          <x14:id>{901E47D4-8816-4736-9485-B7EC3B4B8704}</x14:id>
        </ext>
      </extLst>
    </cfRule>
  </conditionalFormatting>
  <conditionalFormatting sqref="AD3428">
    <cfRule type="dataBar" priority="450">
      <dataBar>
        <cfvo type="num" val="0"/>
        <cfvo type="num" val="1"/>
        <color theme="4" tint="0.79998168889431442"/>
      </dataBar>
      <extLst>
        <ext xmlns:x14="http://schemas.microsoft.com/office/spreadsheetml/2009/9/main" uri="{B025F937-C7B1-47D3-B67F-A62EFF666E3E}">
          <x14:id>{AC2DF999-B39C-4CC1-97DA-5C8121FE0754}</x14:id>
        </ext>
      </extLst>
    </cfRule>
    <cfRule type="iconSet" priority="449">
      <iconSet iconSet="3Arrows">
        <cfvo type="percent" val="0"/>
        <cfvo type="num" val="0.7"/>
        <cfvo type="num" val="1"/>
      </iconSet>
    </cfRule>
  </conditionalFormatting>
  <conditionalFormatting sqref="AD3430">
    <cfRule type="dataBar" priority="448">
      <dataBar>
        <cfvo type="num" val="0"/>
        <cfvo type="num" val="1"/>
        <color theme="4" tint="0.79998168889431442"/>
      </dataBar>
      <extLst>
        <ext xmlns:x14="http://schemas.microsoft.com/office/spreadsheetml/2009/9/main" uri="{B025F937-C7B1-47D3-B67F-A62EFF666E3E}">
          <x14:id>{68C8F483-8842-4C48-800F-4A1F274AE54D}</x14:id>
        </ext>
      </extLst>
    </cfRule>
    <cfRule type="iconSet" priority="447">
      <iconSet iconSet="3Arrows">
        <cfvo type="percent" val="0"/>
        <cfvo type="num" val="0.7"/>
        <cfvo type="num" val="1"/>
      </iconSet>
    </cfRule>
  </conditionalFormatting>
  <conditionalFormatting sqref="AD3432">
    <cfRule type="dataBar" priority="446">
      <dataBar>
        <cfvo type="num" val="0"/>
        <cfvo type="num" val="1"/>
        <color theme="4" tint="0.79998168889431442"/>
      </dataBar>
      <extLst>
        <ext xmlns:x14="http://schemas.microsoft.com/office/spreadsheetml/2009/9/main" uri="{B025F937-C7B1-47D3-B67F-A62EFF666E3E}">
          <x14:id>{2B86AB0D-A61C-4BC3-AAFA-C16B5881DFFB}</x14:id>
        </ext>
      </extLst>
    </cfRule>
    <cfRule type="iconSet" priority="445">
      <iconSet iconSet="3Arrows">
        <cfvo type="percent" val="0"/>
        <cfvo type="num" val="0.7"/>
        <cfvo type="num" val="1"/>
      </iconSet>
    </cfRule>
  </conditionalFormatting>
  <conditionalFormatting sqref="AD3434">
    <cfRule type="dataBar" priority="444">
      <dataBar>
        <cfvo type="num" val="0"/>
        <cfvo type="num" val="1"/>
        <color theme="4" tint="0.79998168889431442"/>
      </dataBar>
      <extLst>
        <ext xmlns:x14="http://schemas.microsoft.com/office/spreadsheetml/2009/9/main" uri="{B025F937-C7B1-47D3-B67F-A62EFF666E3E}">
          <x14:id>{78DDFF8F-40C5-4C36-AC12-955B55EF0443}</x14:id>
        </ext>
      </extLst>
    </cfRule>
    <cfRule type="iconSet" priority="443">
      <iconSet iconSet="3Arrows">
        <cfvo type="percent" val="0"/>
        <cfvo type="num" val="0.7"/>
        <cfvo type="num" val="1"/>
      </iconSet>
    </cfRule>
  </conditionalFormatting>
  <conditionalFormatting sqref="AD3436">
    <cfRule type="dataBar" priority="442">
      <dataBar>
        <cfvo type="num" val="0"/>
        <cfvo type="num" val="1"/>
        <color theme="4" tint="0.79998168889431442"/>
      </dataBar>
      <extLst>
        <ext xmlns:x14="http://schemas.microsoft.com/office/spreadsheetml/2009/9/main" uri="{B025F937-C7B1-47D3-B67F-A62EFF666E3E}">
          <x14:id>{628CE174-C737-4F62-BFF0-22D14EC77966}</x14:id>
        </ext>
      </extLst>
    </cfRule>
    <cfRule type="iconSet" priority="441">
      <iconSet iconSet="3Arrows">
        <cfvo type="percent" val="0"/>
        <cfvo type="num" val="0.7"/>
        <cfvo type="num" val="1"/>
      </iconSet>
    </cfRule>
  </conditionalFormatting>
  <conditionalFormatting sqref="AD3438">
    <cfRule type="iconSet" priority="439">
      <iconSet iconSet="3Arrows">
        <cfvo type="percent" val="0"/>
        <cfvo type="num" val="0.7"/>
        <cfvo type="num" val="1"/>
      </iconSet>
    </cfRule>
    <cfRule type="dataBar" priority="440">
      <dataBar>
        <cfvo type="num" val="0"/>
        <cfvo type="num" val="1"/>
        <color theme="4" tint="0.79998168889431442"/>
      </dataBar>
      <extLst>
        <ext xmlns:x14="http://schemas.microsoft.com/office/spreadsheetml/2009/9/main" uri="{B025F937-C7B1-47D3-B67F-A62EFF666E3E}">
          <x14:id>{1BBF186A-B270-4016-B319-99FE93BDD071}</x14:id>
        </ext>
      </extLst>
    </cfRule>
  </conditionalFormatting>
  <conditionalFormatting sqref="AD3440">
    <cfRule type="dataBar" priority="438">
      <dataBar>
        <cfvo type="num" val="0"/>
        <cfvo type="num" val="1"/>
        <color theme="4" tint="0.79998168889431442"/>
      </dataBar>
      <extLst>
        <ext xmlns:x14="http://schemas.microsoft.com/office/spreadsheetml/2009/9/main" uri="{B025F937-C7B1-47D3-B67F-A62EFF666E3E}">
          <x14:id>{274174E7-038A-4E16-A0F1-374159D3CAA3}</x14:id>
        </ext>
      </extLst>
    </cfRule>
    <cfRule type="iconSet" priority="437">
      <iconSet iconSet="3Arrows">
        <cfvo type="percent" val="0"/>
        <cfvo type="num" val="0.7"/>
        <cfvo type="num" val="1"/>
      </iconSet>
    </cfRule>
  </conditionalFormatting>
  <conditionalFormatting sqref="AD3442">
    <cfRule type="dataBar" priority="436">
      <dataBar>
        <cfvo type="num" val="0"/>
        <cfvo type="num" val="1"/>
        <color theme="4" tint="0.79998168889431442"/>
      </dataBar>
      <extLst>
        <ext xmlns:x14="http://schemas.microsoft.com/office/spreadsheetml/2009/9/main" uri="{B025F937-C7B1-47D3-B67F-A62EFF666E3E}">
          <x14:id>{0159A321-0B26-4B54-B210-575DFC9EA172}</x14:id>
        </ext>
      </extLst>
    </cfRule>
    <cfRule type="iconSet" priority="435">
      <iconSet iconSet="3Arrows">
        <cfvo type="percent" val="0"/>
        <cfvo type="num" val="0.7"/>
        <cfvo type="num" val="1"/>
      </iconSet>
    </cfRule>
  </conditionalFormatting>
  <conditionalFormatting sqref="AD3444">
    <cfRule type="dataBar" priority="434">
      <dataBar>
        <cfvo type="num" val="0"/>
        <cfvo type="num" val="1"/>
        <color theme="4" tint="0.79998168889431442"/>
      </dataBar>
      <extLst>
        <ext xmlns:x14="http://schemas.microsoft.com/office/spreadsheetml/2009/9/main" uri="{B025F937-C7B1-47D3-B67F-A62EFF666E3E}">
          <x14:id>{04513864-B3A2-4B7A-8F77-0F3A531C2082}</x14:id>
        </ext>
      </extLst>
    </cfRule>
    <cfRule type="iconSet" priority="433">
      <iconSet iconSet="3Arrows">
        <cfvo type="percent" val="0"/>
        <cfvo type="num" val="0.7"/>
        <cfvo type="num" val="1"/>
      </iconSet>
    </cfRule>
  </conditionalFormatting>
  <conditionalFormatting sqref="AD3446">
    <cfRule type="dataBar" priority="432">
      <dataBar>
        <cfvo type="num" val="0"/>
        <cfvo type="num" val="1"/>
        <color theme="4" tint="0.79998168889431442"/>
      </dataBar>
      <extLst>
        <ext xmlns:x14="http://schemas.microsoft.com/office/spreadsheetml/2009/9/main" uri="{B025F937-C7B1-47D3-B67F-A62EFF666E3E}">
          <x14:id>{EBCE60C0-528A-4F48-B7A4-511A92459331}</x14:id>
        </ext>
      </extLst>
    </cfRule>
    <cfRule type="iconSet" priority="431">
      <iconSet iconSet="3Arrows">
        <cfvo type="percent" val="0"/>
        <cfvo type="num" val="0.7"/>
        <cfvo type="num" val="1"/>
      </iconSet>
    </cfRule>
  </conditionalFormatting>
  <conditionalFormatting sqref="AD3448">
    <cfRule type="iconSet" priority="429">
      <iconSet iconSet="3Arrows">
        <cfvo type="percent" val="0"/>
        <cfvo type="num" val="0.7"/>
        <cfvo type="num" val="1"/>
      </iconSet>
    </cfRule>
    <cfRule type="dataBar" priority="430">
      <dataBar>
        <cfvo type="num" val="0"/>
        <cfvo type="num" val="1"/>
        <color theme="4" tint="0.79998168889431442"/>
      </dataBar>
      <extLst>
        <ext xmlns:x14="http://schemas.microsoft.com/office/spreadsheetml/2009/9/main" uri="{B025F937-C7B1-47D3-B67F-A62EFF666E3E}">
          <x14:id>{7177224C-73AA-430D-90A7-68E0D9040283}</x14:id>
        </ext>
      </extLst>
    </cfRule>
  </conditionalFormatting>
  <conditionalFormatting sqref="AD3450">
    <cfRule type="iconSet" priority="427">
      <iconSet iconSet="3Arrows">
        <cfvo type="percent" val="0"/>
        <cfvo type="num" val="0.7"/>
        <cfvo type="num" val="1"/>
      </iconSet>
    </cfRule>
    <cfRule type="dataBar" priority="428">
      <dataBar>
        <cfvo type="num" val="0"/>
        <cfvo type="num" val="1"/>
        <color theme="4" tint="0.79998168889431442"/>
      </dataBar>
      <extLst>
        <ext xmlns:x14="http://schemas.microsoft.com/office/spreadsheetml/2009/9/main" uri="{B025F937-C7B1-47D3-B67F-A62EFF666E3E}">
          <x14:id>{5E3A5B9F-B670-438A-A183-876DF5F560B0}</x14:id>
        </ext>
      </extLst>
    </cfRule>
  </conditionalFormatting>
  <conditionalFormatting sqref="AD3452">
    <cfRule type="dataBar" priority="426">
      <dataBar>
        <cfvo type="num" val="0"/>
        <cfvo type="num" val="1"/>
        <color theme="4" tint="0.79998168889431442"/>
      </dataBar>
      <extLst>
        <ext xmlns:x14="http://schemas.microsoft.com/office/spreadsheetml/2009/9/main" uri="{B025F937-C7B1-47D3-B67F-A62EFF666E3E}">
          <x14:id>{9B131EDC-8DC7-4A90-859C-DCEB8FB9244D}</x14:id>
        </ext>
      </extLst>
    </cfRule>
    <cfRule type="iconSet" priority="425">
      <iconSet iconSet="3Arrows">
        <cfvo type="percent" val="0"/>
        <cfvo type="num" val="0.7"/>
        <cfvo type="num" val="1"/>
      </iconSet>
    </cfRule>
  </conditionalFormatting>
  <conditionalFormatting sqref="AD3454">
    <cfRule type="dataBar" priority="424">
      <dataBar>
        <cfvo type="num" val="0"/>
        <cfvo type="num" val="1"/>
        <color theme="4" tint="0.79998168889431442"/>
      </dataBar>
      <extLst>
        <ext xmlns:x14="http://schemas.microsoft.com/office/spreadsheetml/2009/9/main" uri="{B025F937-C7B1-47D3-B67F-A62EFF666E3E}">
          <x14:id>{B19FED52-63DF-47A9-AE0E-E813E30B2C90}</x14:id>
        </ext>
      </extLst>
    </cfRule>
    <cfRule type="iconSet" priority="423">
      <iconSet iconSet="3Arrows">
        <cfvo type="percent" val="0"/>
        <cfvo type="num" val="0.7"/>
        <cfvo type="num" val="1"/>
      </iconSet>
    </cfRule>
  </conditionalFormatting>
  <conditionalFormatting sqref="AD3456">
    <cfRule type="dataBar" priority="422">
      <dataBar>
        <cfvo type="num" val="0"/>
        <cfvo type="num" val="1"/>
        <color theme="4" tint="0.79998168889431442"/>
      </dataBar>
      <extLst>
        <ext xmlns:x14="http://schemas.microsoft.com/office/spreadsheetml/2009/9/main" uri="{B025F937-C7B1-47D3-B67F-A62EFF666E3E}">
          <x14:id>{1530C827-ED0D-4B14-9A03-2A03D27834BE}</x14:id>
        </ext>
      </extLst>
    </cfRule>
    <cfRule type="iconSet" priority="421">
      <iconSet iconSet="3Arrows">
        <cfvo type="percent" val="0"/>
        <cfvo type="num" val="0.7"/>
        <cfvo type="num" val="1"/>
      </iconSet>
    </cfRule>
  </conditionalFormatting>
  <conditionalFormatting sqref="AD3458">
    <cfRule type="dataBar" priority="420">
      <dataBar>
        <cfvo type="num" val="0"/>
        <cfvo type="num" val="1"/>
        <color theme="4" tint="0.79998168889431442"/>
      </dataBar>
      <extLst>
        <ext xmlns:x14="http://schemas.microsoft.com/office/spreadsheetml/2009/9/main" uri="{B025F937-C7B1-47D3-B67F-A62EFF666E3E}">
          <x14:id>{3E082065-E8A7-489E-A908-DA1EE7555E42}</x14:id>
        </ext>
      </extLst>
    </cfRule>
    <cfRule type="iconSet" priority="419">
      <iconSet iconSet="3Arrows">
        <cfvo type="percent" val="0"/>
        <cfvo type="num" val="0.7"/>
        <cfvo type="num" val="1"/>
      </iconSet>
    </cfRule>
  </conditionalFormatting>
  <conditionalFormatting sqref="AD3460">
    <cfRule type="dataBar" priority="418">
      <dataBar>
        <cfvo type="num" val="0"/>
        <cfvo type="num" val="1"/>
        <color theme="4" tint="0.79998168889431442"/>
      </dataBar>
      <extLst>
        <ext xmlns:x14="http://schemas.microsoft.com/office/spreadsheetml/2009/9/main" uri="{B025F937-C7B1-47D3-B67F-A62EFF666E3E}">
          <x14:id>{F251EEF5-81B7-4F27-BA8B-A98740C9A31D}</x14:id>
        </ext>
      </extLst>
    </cfRule>
    <cfRule type="iconSet" priority="417">
      <iconSet iconSet="3Arrows">
        <cfvo type="percent" val="0"/>
        <cfvo type="num" val="0.7"/>
        <cfvo type="num" val="1"/>
      </iconSet>
    </cfRule>
  </conditionalFormatting>
  <conditionalFormatting sqref="AD3462">
    <cfRule type="dataBar" priority="416">
      <dataBar>
        <cfvo type="num" val="0"/>
        <cfvo type="num" val="1"/>
        <color theme="4" tint="0.79998168889431442"/>
      </dataBar>
      <extLst>
        <ext xmlns:x14="http://schemas.microsoft.com/office/spreadsheetml/2009/9/main" uri="{B025F937-C7B1-47D3-B67F-A62EFF666E3E}">
          <x14:id>{C013B25D-8AC2-437B-883B-258CC0391640}</x14:id>
        </ext>
      </extLst>
    </cfRule>
    <cfRule type="iconSet" priority="415">
      <iconSet iconSet="3Arrows">
        <cfvo type="percent" val="0"/>
        <cfvo type="num" val="0.7"/>
        <cfvo type="num" val="1"/>
      </iconSet>
    </cfRule>
  </conditionalFormatting>
  <conditionalFormatting sqref="AD3464">
    <cfRule type="dataBar" priority="414">
      <dataBar>
        <cfvo type="num" val="0"/>
        <cfvo type="num" val="1"/>
        <color theme="4" tint="0.79998168889431442"/>
      </dataBar>
      <extLst>
        <ext xmlns:x14="http://schemas.microsoft.com/office/spreadsheetml/2009/9/main" uri="{B025F937-C7B1-47D3-B67F-A62EFF666E3E}">
          <x14:id>{221A50D3-0246-4A24-92C3-C020D48A8499}</x14:id>
        </ext>
      </extLst>
    </cfRule>
    <cfRule type="iconSet" priority="413">
      <iconSet iconSet="3Arrows">
        <cfvo type="percent" val="0"/>
        <cfvo type="num" val="0.7"/>
        <cfvo type="num" val="1"/>
      </iconSet>
    </cfRule>
  </conditionalFormatting>
  <conditionalFormatting sqref="AD3466">
    <cfRule type="iconSet" priority="411">
      <iconSet iconSet="3Arrows">
        <cfvo type="percent" val="0"/>
        <cfvo type="num" val="0.7"/>
        <cfvo type="num" val="1"/>
      </iconSet>
    </cfRule>
    <cfRule type="dataBar" priority="412">
      <dataBar>
        <cfvo type="num" val="0"/>
        <cfvo type="num" val="1"/>
        <color theme="4" tint="0.79998168889431442"/>
      </dataBar>
      <extLst>
        <ext xmlns:x14="http://schemas.microsoft.com/office/spreadsheetml/2009/9/main" uri="{B025F937-C7B1-47D3-B67F-A62EFF666E3E}">
          <x14:id>{EAA4F952-96F1-45FF-8595-8543DB6956F0}</x14:id>
        </ext>
      </extLst>
    </cfRule>
  </conditionalFormatting>
  <conditionalFormatting sqref="AD3468">
    <cfRule type="dataBar" priority="410">
      <dataBar>
        <cfvo type="num" val="0"/>
        <cfvo type="num" val="1"/>
        <color theme="4" tint="0.79998168889431442"/>
      </dataBar>
      <extLst>
        <ext xmlns:x14="http://schemas.microsoft.com/office/spreadsheetml/2009/9/main" uri="{B025F937-C7B1-47D3-B67F-A62EFF666E3E}">
          <x14:id>{D0740002-0514-4868-8179-C575A595A7CD}</x14:id>
        </ext>
      </extLst>
    </cfRule>
    <cfRule type="iconSet" priority="409">
      <iconSet iconSet="3Arrows">
        <cfvo type="percent" val="0"/>
        <cfvo type="num" val="0.7"/>
        <cfvo type="num" val="1"/>
      </iconSet>
    </cfRule>
  </conditionalFormatting>
  <conditionalFormatting sqref="AD3470">
    <cfRule type="iconSet" priority="407">
      <iconSet iconSet="3Arrows">
        <cfvo type="percent" val="0"/>
        <cfvo type="num" val="0.7"/>
        <cfvo type="num" val="1"/>
      </iconSet>
    </cfRule>
    <cfRule type="dataBar" priority="408">
      <dataBar>
        <cfvo type="num" val="0"/>
        <cfvo type="num" val="1"/>
        <color theme="4" tint="0.79998168889431442"/>
      </dataBar>
      <extLst>
        <ext xmlns:x14="http://schemas.microsoft.com/office/spreadsheetml/2009/9/main" uri="{B025F937-C7B1-47D3-B67F-A62EFF666E3E}">
          <x14:id>{EAF703C2-D26D-4ED9-8751-8E07BBC0ABCE}</x14:id>
        </ext>
      </extLst>
    </cfRule>
  </conditionalFormatting>
  <conditionalFormatting sqref="AD3472">
    <cfRule type="iconSet" priority="405">
      <iconSet iconSet="3Arrows">
        <cfvo type="percent" val="0"/>
        <cfvo type="num" val="0.7"/>
        <cfvo type="num" val="1"/>
      </iconSet>
    </cfRule>
    <cfRule type="dataBar" priority="406">
      <dataBar>
        <cfvo type="num" val="0"/>
        <cfvo type="num" val="1"/>
        <color theme="4" tint="0.79998168889431442"/>
      </dataBar>
      <extLst>
        <ext xmlns:x14="http://schemas.microsoft.com/office/spreadsheetml/2009/9/main" uri="{B025F937-C7B1-47D3-B67F-A62EFF666E3E}">
          <x14:id>{1B591077-D27F-48CA-90D3-FE02186475F5}</x14:id>
        </ext>
      </extLst>
    </cfRule>
  </conditionalFormatting>
  <conditionalFormatting sqref="AD3474">
    <cfRule type="iconSet" priority="403">
      <iconSet iconSet="3Arrows">
        <cfvo type="percent" val="0"/>
        <cfvo type="num" val="0.7"/>
        <cfvo type="num" val="1"/>
      </iconSet>
    </cfRule>
    <cfRule type="dataBar" priority="404">
      <dataBar>
        <cfvo type="num" val="0"/>
        <cfvo type="num" val="1"/>
        <color theme="4" tint="0.79998168889431442"/>
      </dataBar>
      <extLst>
        <ext xmlns:x14="http://schemas.microsoft.com/office/spreadsheetml/2009/9/main" uri="{B025F937-C7B1-47D3-B67F-A62EFF666E3E}">
          <x14:id>{90527F7C-6EC3-4EBB-93A6-940B266D8748}</x14:id>
        </ext>
      </extLst>
    </cfRule>
  </conditionalFormatting>
  <conditionalFormatting sqref="AD3476">
    <cfRule type="dataBar" priority="402">
      <dataBar>
        <cfvo type="num" val="0"/>
        <cfvo type="num" val="1"/>
        <color theme="4" tint="0.79998168889431442"/>
      </dataBar>
      <extLst>
        <ext xmlns:x14="http://schemas.microsoft.com/office/spreadsheetml/2009/9/main" uri="{B025F937-C7B1-47D3-B67F-A62EFF666E3E}">
          <x14:id>{D409B957-009B-4D7C-9398-3AC15845EB91}</x14:id>
        </ext>
      </extLst>
    </cfRule>
    <cfRule type="iconSet" priority="401">
      <iconSet iconSet="3Arrows">
        <cfvo type="percent" val="0"/>
        <cfvo type="num" val="0.7"/>
        <cfvo type="num" val="1"/>
      </iconSet>
    </cfRule>
  </conditionalFormatting>
  <conditionalFormatting sqref="AD3478">
    <cfRule type="dataBar" priority="400">
      <dataBar>
        <cfvo type="num" val="0"/>
        <cfvo type="num" val="1"/>
        <color theme="4" tint="0.79998168889431442"/>
      </dataBar>
      <extLst>
        <ext xmlns:x14="http://schemas.microsoft.com/office/spreadsheetml/2009/9/main" uri="{B025F937-C7B1-47D3-B67F-A62EFF666E3E}">
          <x14:id>{39EA0CEE-8D1D-4C80-A876-BAE0E5C1F090}</x14:id>
        </ext>
      </extLst>
    </cfRule>
    <cfRule type="iconSet" priority="399">
      <iconSet iconSet="3Arrows">
        <cfvo type="percent" val="0"/>
        <cfvo type="num" val="0.7"/>
        <cfvo type="num" val="1"/>
      </iconSet>
    </cfRule>
  </conditionalFormatting>
  <conditionalFormatting sqref="AD3480">
    <cfRule type="dataBar" priority="398">
      <dataBar>
        <cfvo type="num" val="0"/>
        <cfvo type="num" val="1"/>
        <color theme="4" tint="0.79998168889431442"/>
      </dataBar>
      <extLst>
        <ext xmlns:x14="http://schemas.microsoft.com/office/spreadsheetml/2009/9/main" uri="{B025F937-C7B1-47D3-B67F-A62EFF666E3E}">
          <x14:id>{B1AA1852-FA89-4C35-B0C8-897B2A0979BC}</x14:id>
        </ext>
      </extLst>
    </cfRule>
    <cfRule type="iconSet" priority="397">
      <iconSet iconSet="3Arrows">
        <cfvo type="percent" val="0"/>
        <cfvo type="num" val="0.7"/>
        <cfvo type="num" val="1"/>
      </iconSet>
    </cfRule>
  </conditionalFormatting>
  <conditionalFormatting sqref="AD3482">
    <cfRule type="dataBar" priority="396">
      <dataBar>
        <cfvo type="num" val="0"/>
        <cfvo type="num" val="1"/>
        <color theme="4" tint="0.79998168889431442"/>
      </dataBar>
      <extLst>
        <ext xmlns:x14="http://schemas.microsoft.com/office/spreadsheetml/2009/9/main" uri="{B025F937-C7B1-47D3-B67F-A62EFF666E3E}">
          <x14:id>{F8D1AD77-60AB-413A-8143-33F245D97596}</x14:id>
        </ext>
      </extLst>
    </cfRule>
    <cfRule type="iconSet" priority="395">
      <iconSet iconSet="3Arrows">
        <cfvo type="percent" val="0"/>
        <cfvo type="num" val="0.7"/>
        <cfvo type="num" val="1"/>
      </iconSet>
    </cfRule>
  </conditionalFormatting>
  <conditionalFormatting sqref="AD3484">
    <cfRule type="dataBar" priority="394">
      <dataBar>
        <cfvo type="num" val="0"/>
        <cfvo type="num" val="1"/>
        <color theme="4" tint="0.79998168889431442"/>
      </dataBar>
      <extLst>
        <ext xmlns:x14="http://schemas.microsoft.com/office/spreadsheetml/2009/9/main" uri="{B025F937-C7B1-47D3-B67F-A62EFF666E3E}">
          <x14:id>{AA1F35BF-9256-478A-AF7E-B536C5230A7F}</x14:id>
        </ext>
      </extLst>
    </cfRule>
    <cfRule type="iconSet" priority="393">
      <iconSet iconSet="3Arrows">
        <cfvo type="percent" val="0"/>
        <cfvo type="num" val="0.7"/>
        <cfvo type="num" val="1"/>
      </iconSet>
    </cfRule>
  </conditionalFormatting>
  <conditionalFormatting sqref="AD3486">
    <cfRule type="iconSet" priority="391">
      <iconSet iconSet="3Arrows">
        <cfvo type="percent" val="0"/>
        <cfvo type="num" val="0.7"/>
        <cfvo type="num" val="1"/>
      </iconSet>
    </cfRule>
    <cfRule type="dataBar" priority="392">
      <dataBar>
        <cfvo type="num" val="0"/>
        <cfvo type="num" val="1"/>
        <color theme="4" tint="0.79998168889431442"/>
      </dataBar>
      <extLst>
        <ext xmlns:x14="http://schemas.microsoft.com/office/spreadsheetml/2009/9/main" uri="{B025F937-C7B1-47D3-B67F-A62EFF666E3E}">
          <x14:id>{4EADC6CD-C48D-42CC-AE35-BFE3ED7E0EF1}</x14:id>
        </ext>
      </extLst>
    </cfRule>
  </conditionalFormatting>
  <conditionalFormatting sqref="AD3489">
    <cfRule type="iconSet" priority="389">
      <iconSet iconSet="3Arrows">
        <cfvo type="percent" val="0"/>
        <cfvo type="num" val="0.7"/>
        <cfvo type="num" val="1"/>
      </iconSet>
    </cfRule>
    <cfRule type="dataBar" priority="390">
      <dataBar>
        <cfvo type="num" val="0"/>
        <cfvo type="num" val="1"/>
        <color theme="4" tint="0.79998168889431442"/>
      </dataBar>
      <extLst>
        <ext xmlns:x14="http://schemas.microsoft.com/office/spreadsheetml/2009/9/main" uri="{B025F937-C7B1-47D3-B67F-A62EFF666E3E}">
          <x14:id>{4E958018-45B8-4C0E-BA3F-2E6C0740D84D}</x14:id>
        </ext>
      </extLst>
    </cfRule>
  </conditionalFormatting>
  <conditionalFormatting sqref="AD3491">
    <cfRule type="iconSet" priority="387">
      <iconSet iconSet="3Arrows">
        <cfvo type="percent" val="0"/>
        <cfvo type="num" val="0.7"/>
        <cfvo type="num" val="1"/>
      </iconSet>
    </cfRule>
    <cfRule type="dataBar" priority="388">
      <dataBar>
        <cfvo type="num" val="0"/>
        <cfvo type="num" val="1"/>
        <color theme="4" tint="0.79998168889431442"/>
      </dataBar>
      <extLst>
        <ext xmlns:x14="http://schemas.microsoft.com/office/spreadsheetml/2009/9/main" uri="{B025F937-C7B1-47D3-B67F-A62EFF666E3E}">
          <x14:id>{E2B38FF7-BE6A-4AF1-8EB0-63598F294826}</x14:id>
        </ext>
      </extLst>
    </cfRule>
  </conditionalFormatting>
  <conditionalFormatting sqref="AD3493">
    <cfRule type="iconSet" priority="385">
      <iconSet iconSet="3Arrows">
        <cfvo type="percent" val="0"/>
        <cfvo type="num" val="0.7"/>
        <cfvo type="num" val="1"/>
      </iconSet>
    </cfRule>
    <cfRule type="dataBar" priority="386">
      <dataBar>
        <cfvo type="num" val="0"/>
        <cfvo type="num" val="1"/>
        <color theme="4" tint="0.79998168889431442"/>
      </dataBar>
      <extLst>
        <ext xmlns:x14="http://schemas.microsoft.com/office/spreadsheetml/2009/9/main" uri="{B025F937-C7B1-47D3-B67F-A62EFF666E3E}">
          <x14:id>{22A5C580-7B0E-4D00-808B-E1DB13ACECC9}</x14:id>
        </ext>
      </extLst>
    </cfRule>
  </conditionalFormatting>
  <conditionalFormatting sqref="AD3495">
    <cfRule type="iconSet" priority="383">
      <iconSet iconSet="3Arrows">
        <cfvo type="percent" val="0"/>
        <cfvo type="num" val="0.7"/>
        <cfvo type="num" val="1"/>
      </iconSet>
    </cfRule>
    <cfRule type="dataBar" priority="384">
      <dataBar>
        <cfvo type="num" val="0"/>
        <cfvo type="num" val="1"/>
        <color theme="4" tint="0.79998168889431442"/>
      </dataBar>
      <extLst>
        <ext xmlns:x14="http://schemas.microsoft.com/office/spreadsheetml/2009/9/main" uri="{B025F937-C7B1-47D3-B67F-A62EFF666E3E}">
          <x14:id>{F7C6DF72-0BF5-4F6D-B815-0D956024752C}</x14:id>
        </ext>
      </extLst>
    </cfRule>
  </conditionalFormatting>
  <conditionalFormatting sqref="AD3497">
    <cfRule type="iconSet" priority="381">
      <iconSet iconSet="3Arrows">
        <cfvo type="percent" val="0"/>
        <cfvo type="num" val="0.7"/>
        <cfvo type="num" val="1"/>
      </iconSet>
    </cfRule>
    <cfRule type="dataBar" priority="382">
      <dataBar>
        <cfvo type="num" val="0"/>
        <cfvo type="num" val="1"/>
        <color theme="4" tint="0.79998168889431442"/>
      </dataBar>
      <extLst>
        <ext xmlns:x14="http://schemas.microsoft.com/office/spreadsheetml/2009/9/main" uri="{B025F937-C7B1-47D3-B67F-A62EFF666E3E}">
          <x14:id>{0622DCF8-A5CC-4C5B-94E7-7963BA24D7D0}</x14:id>
        </ext>
      </extLst>
    </cfRule>
  </conditionalFormatting>
  <conditionalFormatting sqref="AD3499">
    <cfRule type="iconSet" priority="379">
      <iconSet iconSet="3Arrows">
        <cfvo type="percent" val="0"/>
        <cfvo type="num" val="0.7"/>
        <cfvo type="num" val="1"/>
      </iconSet>
    </cfRule>
    <cfRule type="dataBar" priority="380">
      <dataBar>
        <cfvo type="num" val="0"/>
        <cfvo type="num" val="1"/>
        <color theme="4" tint="0.79998168889431442"/>
      </dataBar>
      <extLst>
        <ext xmlns:x14="http://schemas.microsoft.com/office/spreadsheetml/2009/9/main" uri="{B025F937-C7B1-47D3-B67F-A62EFF666E3E}">
          <x14:id>{56687A30-D7BB-4CB4-84EE-A8E3BC1AE9FA}</x14:id>
        </ext>
      </extLst>
    </cfRule>
  </conditionalFormatting>
  <conditionalFormatting sqref="AD3503">
    <cfRule type="iconSet" priority="377">
      <iconSet iconSet="3Arrows">
        <cfvo type="percent" val="0"/>
        <cfvo type="num" val="0.7"/>
        <cfvo type="num" val="1"/>
      </iconSet>
    </cfRule>
    <cfRule type="dataBar" priority="378">
      <dataBar>
        <cfvo type="num" val="0"/>
        <cfvo type="num" val="1"/>
        <color theme="4" tint="0.79998168889431442"/>
      </dataBar>
      <extLst>
        <ext xmlns:x14="http://schemas.microsoft.com/office/spreadsheetml/2009/9/main" uri="{B025F937-C7B1-47D3-B67F-A62EFF666E3E}">
          <x14:id>{032E0E54-4593-4709-BD2D-9CD409EBAB12}</x14:id>
        </ext>
      </extLst>
    </cfRule>
  </conditionalFormatting>
  <conditionalFormatting sqref="AD3506">
    <cfRule type="iconSet" priority="375">
      <iconSet iconSet="3Arrows">
        <cfvo type="percent" val="0"/>
        <cfvo type="num" val="0.7"/>
        <cfvo type="num" val="1"/>
      </iconSet>
    </cfRule>
    <cfRule type="dataBar" priority="376">
      <dataBar>
        <cfvo type="num" val="0"/>
        <cfvo type="num" val="1"/>
        <color theme="4" tint="0.79998168889431442"/>
      </dataBar>
      <extLst>
        <ext xmlns:x14="http://schemas.microsoft.com/office/spreadsheetml/2009/9/main" uri="{B025F937-C7B1-47D3-B67F-A62EFF666E3E}">
          <x14:id>{926B8815-4912-4DFC-9500-FF1D9C0D5B91}</x14:id>
        </ext>
      </extLst>
    </cfRule>
  </conditionalFormatting>
  <conditionalFormatting sqref="AD3508">
    <cfRule type="iconSet" priority="373">
      <iconSet iconSet="3Arrows">
        <cfvo type="percent" val="0"/>
        <cfvo type="num" val="0.7"/>
        <cfvo type="num" val="1"/>
      </iconSet>
    </cfRule>
    <cfRule type="dataBar" priority="374">
      <dataBar>
        <cfvo type="num" val="0"/>
        <cfvo type="num" val="1"/>
        <color theme="4" tint="0.79998168889431442"/>
      </dataBar>
      <extLst>
        <ext xmlns:x14="http://schemas.microsoft.com/office/spreadsheetml/2009/9/main" uri="{B025F937-C7B1-47D3-B67F-A62EFF666E3E}">
          <x14:id>{96D1E5FA-1961-4E31-8F03-B0802012D3B4}</x14:id>
        </ext>
      </extLst>
    </cfRule>
  </conditionalFormatting>
  <conditionalFormatting sqref="AD3510">
    <cfRule type="iconSet" priority="371">
      <iconSet iconSet="3Arrows">
        <cfvo type="percent" val="0"/>
        <cfvo type="num" val="0.7"/>
        <cfvo type="num" val="1"/>
      </iconSet>
    </cfRule>
    <cfRule type="dataBar" priority="372">
      <dataBar>
        <cfvo type="num" val="0"/>
        <cfvo type="num" val="1"/>
        <color theme="4" tint="0.79998168889431442"/>
      </dataBar>
      <extLst>
        <ext xmlns:x14="http://schemas.microsoft.com/office/spreadsheetml/2009/9/main" uri="{B025F937-C7B1-47D3-B67F-A62EFF666E3E}">
          <x14:id>{A9E9F220-D1CA-4D5A-A0F7-24AA9180AF85}</x14:id>
        </ext>
      </extLst>
    </cfRule>
  </conditionalFormatting>
  <conditionalFormatting sqref="AD3512">
    <cfRule type="iconSet" priority="369">
      <iconSet iconSet="3Arrows">
        <cfvo type="percent" val="0"/>
        <cfvo type="num" val="0.7"/>
        <cfvo type="num" val="1"/>
      </iconSet>
    </cfRule>
    <cfRule type="dataBar" priority="370">
      <dataBar>
        <cfvo type="num" val="0"/>
        <cfvo type="num" val="1"/>
        <color theme="4" tint="0.79998168889431442"/>
      </dataBar>
      <extLst>
        <ext xmlns:x14="http://schemas.microsoft.com/office/spreadsheetml/2009/9/main" uri="{B025F937-C7B1-47D3-B67F-A62EFF666E3E}">
          <x14:id>{0DC840E3-45E4-4EF9-BD37-433C2C4E97BC}</x14:id>
        </ext>
      </extLst>
    </cfRule>
  </conditionalFormatting>
  <conditionalFormatting sqref="AD3514">
    <cfRule type="dataBar" priority="368">
      <dataBar>
        <cfvo type="num" val="0"/>
        <cfvo type="num" val="1"/>
        <color theme="4" tint="0.79998168889431442"/>
      </dataBar>
      <extLst>
        <ext xmlns:x14="http://schemas.microsoft.com/office/spreadsheetml/2009/9/main" uri="{B025F937-C7B1-47D3-B67F-A62EFF666E3E}">
          <x14:id>{91027E92-56D2-44D6-9C3E-57A033D30916}</x14:id>
        </ext>
      </extLst>
    </cfRule>
    <cfRule type="iconSet" priority="367">
      <iconSet iconSet="3Arrows">
        <cfvo type="percent" val="0"/>
        <cfvo type="num" val="0.7"/>
        <cfvo type="num" val="1"/>
      </iconSet>
    </cfRule>
  </conditionalFormatting>
  <conditionalFormatting sqref="AF1:AF13 AF16:AF1084">
    <cfRule type="cellIs" dxfId="838" priority="366" operator="lessThan">
      <formula>0</formula>
    </cfRule>
  </conditionalFormatting>
  <conditionalFormatting sqref="AF14:AL15">
    <cfRule type="cellIs" dxfId="837" priority="365" operator="lessThan">
      <formula>0</formula>
    </cfRule>
  </conditionalFormatting>
  <conditionalFormatting sqref="AG1450">
    <cfRule type="iconSet" priority="364">
      <iconSet iconSet="3Signs">
        <cfvo type="percent" val="0"/>
        <cfvo type="num" val="0.75"/>
        <cfvo type="num" val="1"/>
      </iconSet>
    </cfRule>
  </conditionalFormatting>
  <conditionalFormatting sqref="AG102:AL103">
    <cfRule type="cellIs" dxfId="836" priority="363" operator="lessThan">
      <formula>0</formula>
    </cfRule>
  </conditionalFormatting>
  <conditionalFormatting sqref="AI1450:AJ1450">
    <cfRule type="iconSet" priority="362">
      <iconSet iconSet="3Signs">
        <cfvo type="percent" val="0"/>
        <cfvo type="num" val="0.75"/>
        <cfvo type="num" val="1"/>
      </iconSet>
    </cfRule>
  </conditionalFormatting>
  <conditionalFormatting sqref="AM10">
    <cfRule type="iconSet" priority="361">
      <iconSet iconSet="3Signs">
        <cfvo type="percent" val="0"/>
        <cfvo type="num" val="0.75"/>
        <cfvo type="num" val="1"/>
      </iconSet>
    </cfRule>
  </conditionalFormatting>
  <conditionalFormatting sqref="AM14">
    <cfRule type="iconSet" priority="360">
      <iconSet iconSet="3Signs">
        <cfvo type="percent" val="0"/>
        <cfvo type="num" val="0.75"/>
        <cfvo type="num" val="1"/>
      </iconSet>
    </cfRule>
  </conditionalFormatting>
  <conditionalFormatting sqref="AM16">
    <cfRule type="iconSet" priority="359">
      <iconSet iconSet="3Signs">
        <cfvo type="percent" val="0"/>
        <cfvo type="num" val="0.75"/>
        <cfvo type="num" val="1"/>
      </iconSet>
    </cfRule>
  </conditionalFormatting>
  <conditionalFormatting sqref="AM18 AM20 AM22 AM24 AM26 AM28 AM30 AM32 AM34 AM36 AM38 AM40 AM42 AM44 AM46 AM48 AM50 AM52">
    <cfRule type="iconSet" priority="358">
      <iconSet iconSet="3Signs">
        <cfvo type="percent" val="0"/>
        <cfvo type="num" val="0.75"/>
        <cfvo type="num" val="1"/>
      </iconSet>
    </cfRule>
  </conditionalFormatting>
  <conditionalFormatting sqref="AM54">
    <cfRule type="iconSet" priority="357">
      <iconSet iconSet="3Signs">
        <cfvo type="percent" val="0"/>
        <cfvo type="num" val="0.75"/>
        <cfvo type="num" val="1"/>
      </iconSet>
    </cfRule>
  </conditionalFormatting>
  <conditionalFormatting sqref="AM56 AM58 AM60">
    <cfRule type="iconSet" priority="356">
      <iconSet iconSet="3Signs">
        <cfvo type="percent" val="0"/>
        <cfvo type="num" val="0.75"/>
        <cfvo type="num" val="1"/>
      </iconSet>
    </cfRule>
  </conditionalFormatting>
  <conditionalFormatting sqref="AM62">
    <cfRule type="iconSet" priority="355">
      <iconSet iconSet="3Signs">
        <cfvo type="percent" val="0"/>
        <cfvo type="num" val="0.75"/>
        <cfvo type="num" val="1"/>
      </iconSet>
    </cfRule>
  </conditionalFormatting>
  <conditionalFormatting sqref="AM72 AM64 AM66 AM68 AM70 AM76 AM80">
    <cfRule type="iconSet" priority="354">
      <iconSet iconSet="3Signs">
        <cfvo type="percent" val="0"/>
        <cfvo type="num" val="0.75"/>
        <cfvo type="num" val="1"/>
      </iconSet>
    </cfRule>
  </conditionalFormatting>
  <conditionalFormatting sqref="AM78">
    <cfRule type="iconSet" priority="353">
      <iconSet iconSet="3Signs">
        <cfvo type="percent" val="0"/>
        <cfvo type="num" val="0.75"/>
        <cfvo type="num" val="1"/>
      </iconSet>
    </cfRule>
  </conditionalFormatting>
  <conditionalFormatting sqref="AM82">
    <cfRule type="iconSet" priority="352">
      <iconSet iconSet="3Signs">
        <cfvo type="percent" val="0"/>
        <cfvo type="num" val="0.75"/>
        <cfvo type="num" val="1"/>
      </iconSet>
    </cfRule>
  </conditionalFormatting>
  <conditionalFormatting sqref="AM84">
    <cfRule type="iconSet" priority="351">
      <iconSet iconSet="3Signs">
        <cfvo type="percent" val="0"/>
        <cfvo type="num" val="0.75"/>
        <cfvo type="num" val="1"/>
      </iconSet>
    </cfRule>
  </conditionalFormatting>
  <conditionalFormatting sqref="AM86">
    <cfRule type="iconSet" priority="350">
      <iconSet iconSet="3Signs">
        <cfvo type="percent" val="0"/>
        <cfvo type="num" val="0.75"/>
        <cfvo type="num" val="1"/>
      </iconSet>
    </cfRule>
  </conditionalFormatting>
  <conditionalFormatting sqref="AM88">
    <cfRule type="iconSet" priority="349">
      <iconSet iconSet="3Signs">
        <cfvo type="percent" val="0"/>
        <cfvo type="num" val="0.75"/>
        <cfvo type="num" val="1"/>
      </iconSet>
    </cfRule>
  </conditionalFormatting>
  <conditionalFormatting sqref="AM90">
    <cfRule type="iconSet" priority="348">
      <iconSet iconSet="3Signs">
        <cfvo type="percent" val="0"/>
        <cfvo type="num" val="0.75"/>
        <cfvo type="num" val="1"/>
      </iconSet>
    </cfRule>
  </conditionalFormatting>
  <conditionalFormatting sqref="AM92">
    <cfRule type="iconSet" priority="347">
      <iconSet iconSet="3Signs">
        <cfvo type="percent" val="0"/>
        <cfvo type="num" val="0.75"/>
        <cfvo type="num" val="1"/>
      </iconSet>
    </cfRule>
  </conditionalFormatting>
  <conditionalFormatting sqref="AM94">
    <cfRule type="iconSet" priority="346">
      <iconSet iconSet="3Signs">
        <cfvo type="percent" val="0"/>
        <cfvo type="num" val="0.75"/>
        <cfvo type="num" val="1"/>
      </iconSet>
    </cfRule>
  </conditionalFormatting>
  <conditionalFormatting sqref="AM96">
    <cfRule type="iconSet" priority="345">
      <iconSet iconSet="3Signs">
        <cfvo type="percent" val="0"/>
        <cfvo type="num" val="0.75"/>
        <cfvo type="num" val="1"/>
      </iconSet>
    </cfRule>
  </conditionalFormatting>
  <conditionalFormatting sqref="AM98">
    <cfRule type="iconSet" priority="344">
      <iconSet iconSet="3Signs">
        <cfvo type="percent" val="0"/>
        <cfvo type="num" val="0.75"/>
        <cfvo type="num" val="1"/>
      </iconSet>
    </cfRule>
  </conditionalFormatting>
  <conditionalFormatting sqref="AM102">
    <cfRule type="iconSet" priority="343">
      <iconSet iconSet="3Signs">
        <cfvo type="percent" val="0"/>
        <cfvo type="num" val="0.75"/>
        <cfvo type="num" val="1"/>
      </iconSet>
    </cfRule>
  </conditionalFormatting>
  <conditionalFormatting sqref="AM104 AM106">
    <cfRule type="iconSet" priority="342">
      <iconSet iconSet="3Signs">
        <cfvo type="percent" val="0"/>
        <cfvo type="num" val="0.75"/>
        <cfvo type="num" val="1"/>
      </iconSet>
    </cfRule>
  </conditionalFormatting>
  <conditionalFormatting sqref="AM108">
    <cfRule type="iconSet" priority="341">
      <iconSet iconSet="3Signs">
        <cfvo type="percent" val="0"/>
        <cfvo type="num" val="0.75"/>
        <cfvo type="num" val="1"/>
      </iconSet>
    </cfRule>
  </conditionalFormatting>
  <conditionalFormatting sqref="AM110 AM112 AM114 AM116 AM118 AM120 AM122 AM124 AM126 AM128 AM130 AM132 AM134 AM136 AM138 AM140 AM142">
    <cfRule type="iconSet" priority="340">
      <iconSet iconSet="3Signs">
        <cfvo type="percent" val="0"/>
        <cfvo type="num" val="0.75"/>
        <cfvo type="num" val="1"/>
      </iconSet>
    </cfRule>
  </conditionalFormatting>
  <conditionalFormatting sqref="AM144">
    <cfRule type="iconSet" priority="339">
      <iconSet iconSet="3Signs">
        <cfvo type="percent" val="0"/>
        <cfvo type="num" val="0.75"/>
        <cfvo type="num" val="1"/>
      </iconSet>
    </cfRule>
  </conditionalFormatting>
  <conditionalFormatting sqref="AM156 AM74 AM146 AM148 AM150 AM152 AM154 AM158 AM160 AM162">
    <cfRule type="iconSet" priority="338">
      <iconSet iconSet="3Signs">
        <cfvo type="percent" val="0"/>
        <cfvo type="num" val="0.75"/>
        <cfvo type="num" val="1"/>
      </iconSet>
    </cfRule>
  </conditionalFormatting>
  <conditionalFormatting sqref="AM164">
    <cfRule type="iconSet" priority="337">
      <iconSet iconSet="3Signs">
        <cfvo type="percent" val="0"/>
        <cfvo type="num" val="0.75"/>
        <cfvo type="num" val="1"/>
      </iconSet>
    </cfRule>
  </conditionalFormatting>
  <conditionalFormatting sqref="AM166">
    <cfRule type="iconSet" priority="336">
      <iconSet iconSet="3Signs">
        <cfvo type="percent" val="0"/>
        <cfvo type="num" val="0.75"/>
        <cfvo type="num" val="1"/>
      </iconSet>
    </cfRule>
  </conditionalFormatting>
  <conditionalFormatting sqref="AM168">
    <cfRule type="iconSet" priority="335">
      <iconSet iconSet="3Signs">
        <cfvo type="percent" val="0"/>
        <cfvo type="num" val="0.75"/>
        <cfvo type="num" val="1"/>
      </iconSet>
    </cfRule>
  </conditionalFormatting>
  <conditionalFormatting sqref="AM170">
    <cfRule type="iconSet" priority="334">
      <iconSet iconSet="3Signs">
        <cfvo type="percent" val="0"/>
        <cfvo type="num" val="0.75"/>
        <cfvo type="num" val="1"/>
      </iconSet>
    </cfRule>
  </conditionalFormatting>
  <conditionalFormatting sqref="AM172">
    <cfRule type="iconSet" priority="333">
      <iconSet iconSet="3Signs">
        <cfvo type="percent" val="0"/>
        <cfvo type="num" val="0.75"/>
        <cfvo type="num" val="1"/>
      </iconSet>
    </cfRule>
  </conditionalFormatting>
  <conditionalFormatting sqref="AM176">
    <cfRule type="iconSet" priority="332">
      <iconSet iconSet="3Signs">
        <cfvo type="percent" val="0"/>
        <cfvo type="num" val="0.75"/>
        <cfvo type="num" val="1"/>
      </iconSet>
    </cfRule>
  </conditionalFormatting>
  <conditionalFormatting sqref="AM178 AM180 AM182 AM184 AM186 AM188 AM190 AM192">
    <cfRule type="iconSet" priority="331">
      <iconSet iconSet="3Signs">
        <cfvo type="percent" val="0"/>
        <cfvo type="num" val="0.75"/>
        <cfvo type="num" val="1"/>
      </iconSet>
    </cfRule>
  </conditionalFormatting>
  <conditionalFormatting sqref="AM194">
    <cfRule type="iconSet" priority="330">
      <iconSet iconSet="3Signs">
        <cfvo type="percent" val="0"/>
        <cfvo type="num" val="0.75"/>
        <cfvo type="num" val="1"/>
      </iconSet>
    </cfRule>
  </conditionalFormatting>
  <conditionalFormatting sqref="AM196 AM198 AM200 AM202 AM204 AM206 AM208 AM210 AM212 AM214 AM216 AM218">
    <cfRule type="iconSet" priority="329">
      <iconSet iconSet="3Signs">
        <cfvo type="percent" val="0"/>
        <cfvo type="num" val="0.75"/>
        <cfvo type="num" val="1"/>
      </iconSet>
    </cfRule>
  </conditionalFormatting>
  <conditionalFormatting sqref="AM220">
    <cfRule type="iconSet" priority="328">
      <iconSet iconSet="3Signs">
        <cfvo type="percent" val="0"/>
        <cfvo type="num" val="0.75"/>
        <cfvo type="num" val="1"/>
      </iconSet>
    </cfRule>
  </conditionalFormatting>
  <conditionalFormatting sqref="AM222">
    <cfRule type="iconSet" priority="327">
      <iconSet iconSet="3Signs">
        <cfvo type="percent" val="0"/>
        <cfvo type="num" val="0.75"/>
        <cfvo type="num" val="1"/>
      </iconSet>
    </cfRule>
  </conditionalFormatting>
  <conditionalFormatting sqref="AM224">
    <cfRule type="iconSet" priority="326">
      <iconSet iconSet="3Signs">
        <cfvo type="percent" val="0"/>
        <cfvo type="num" val="0.75"/>
        <cfvo type="num" val="1"/>
      </iconSet>
    </cfRule>
  </conditionalFormatting>
  <conditionalFormatting sqref="AM226">
    <cfRule type="iconSet" priority="325">
      <iconSet iconSet="3Signs">
        <cfvo type="percent" val="0"/>
        <cfvo type="num" val="0.75"/>
        <cfvo type="num" val="1"/>
      </iconSet>
    </cfRule>
  </conditionalFormatting>
  <conditionalFormatting sqref="AM228">
    <cfRule type="iconSet" priority="324">
      <iconSet iconSet="3Signs">
        <cfvo type="percent" val="0"/>
        <cfvo type="num" val="0.75"/>
        <cfvo type="num" val="1"/>
      </iconSet>
    </cfRule>
  </conditionalFormatting>
  <conditionalFormatting sqref="AM232">
    <cfRule type="iconSet" priority="323">
      <iconSet iconSet="3Signs">
        <cfvo type="percent" val="0"/>
        <cfvo type="num" val="0.75"/>
        <cfvo type="num" val="1"/>
      </iconSet>
    </cfRule>
  </conditionalFormatting>
  <conditionalFormatting sqref="AM282 AM234 AM236 AM238 AM240 AM242 AM244 AM246 AM248 AM250 AM252 AM254 AM256 AM258 AM260 AM262 AM264 AM266 AM268 AM270 AM272 AM274 AM276 AM278 AM280 AM284">
    <cfRule type="iconSet" priority="322">
      <iconSet iconSet="3Signs">
        <cfvo type="percent" val="0"/>
        <cfvo type="num" val="0.75"/>
        <cfvo type="num" val="1"/>
      </iconSet>
    </cfRule>
  </conditionalFormatting>
  <conditionalFormatting sqref="AM286">
    <cfRule type="iconSet" priority="321">
      <iconSet iconSet="3Signs">
        <cfvo type="percent" val="0"/>
        <cfvo type="num" val="0.75"/>
        <cfvo type="num" val="1"/>
      </iconSet>
    </cfRule>
  </conditionalFormatting>
  <conditionalFormatting sqref="AM288">
    <cfRule type="iconSet" priority="320">
      <iconSet iconSet="3Signs">
        <cfvo type="percent" val="0"/>
        <cfvo type="num" val="0.75"/>
        <cfvo type="num" val="1"/>
      </iconSet>
    </cfRule>
  </conditionalFormatting>
  <conditionalFormatting sqref="AM290">
    <cfRule type="iconSet" priority="319">
      <iconSet iconSet="3Signs">
        <cfvo type="percent" val="0"/>
        <cfvo type="num" val="0.75"/>
        <cfvo type="num" val="1"/>
      </iconSet>
    </cfRule>
  </conditionalFormatting>
  <conditionalFormatting sqref="AM292">
    <cfRule type="iconSet" priority="318">
      <iconSet iconSet="3Signs">
        <cfvo type="percent" val="0"/>
        <cfvo type="num" val="0.75"/>
        <cfvo type="num" val="1"/>
      </iconSet>
    </cfRule>
  </conditionalFormatting>
  <conditionalFormatting sqref="AM294">
    <cfRule type="iconSet" priority="317">
      <iconSet iconSet="3Signs">
        <cfvo type="percent" val="0"/>
        <cfvo type="num" val="0.75"/>
        <cfvo type="num" val="1"/>
      </iconSet>
    </cfRule>
  </conditionalFormatting>
  <conditionalFormatting sqref="AM296">
    <cfRule type="iconSet" priority="316">
      <iconSet iconSet="3Signs">
        <cfvo type="percent" val="0"/>
        <cfvo type="num" val="0.75"/>
        <cfvo type="num" val="1"/>
      </iconSet>
    </cfRule>
  </conditionalFormatting>
  <conditionalFormatting sqref="AM298">
    <cfRule type="iconSet" priority="315">
      <iconSet iconSet="3Signs">
        <cfvo type="percent" val="0"/>
        <cfvo type="num" val="0.75"/>
        <cfvo type="num" val="1"/>
      </iconSet>
    </cfRule>
  </conditionalFormatting>
  <conditionalFormatting sqref="AM300">
    <cfRule type="iconSet" priority="314">
      <iconSet iconSet="3Signs">
        <cfvo type="percent" val="0"/>
        <cfvo type="num" val="0.75"/>
        <cfvo type="num" val="1"/>
      </iconSet>
    </cfRule>
  </conditionalFormatting>
  <conditionalFormatting sqref="AM302">
    <cfRule type="iconSet" priority="313">
      <iconSet iconSet="3Signs">
        <cfvo type="percent" val="0"/>
        <cfvo type="num" val="0.75"/>
        <cfvo type="num" val="1"/>
      </iconSet>
    </cfRule>
  </conditionalFormatting>
  <conditionalFormatting sqref="AM304">
    <cfRule type="iconSet" priority="312">
      <iconSet iconSet="3Signs">
        <cfvo type="percent" val="0"/>
        <cfvo type="num" val="0.75"/>
        <cfvo type="num" val="1"/>
      </iconSet>
    </cfRule>
  </conditionalFormatting>
  <conditionalFormatting sqref="AM306">
    <cfRule type="iconSet" priority="311">
      <iconSet iconSet="3Signs">
        <cfvo type="percent" val="0"/>
        <cfvo type="num" val="0.75"/>
        <cfvo type="num" val="1"/>
      </iconSet>
    </cfRule>
  </conditionalFormatting>
  <conditionalFormatting sqref="AM310">
    <cfRule type="iconSet" priority="310">
      <iconSet iconSet="3Signs">
        <cfvo type="percent" val="0"/>
        <cfvo type="num" val="0.75"/>
        <cfvo type="num" val="1"/>
      </iconSet>
    </cfRule>
  </conditionalFormatting>
  <conditionalFormatting sqref="AM312 AM314 AM316 AM318 AM320 AM322 AM324 AM326 AM328 AM330 AM332 AM334 AM336">
    <cfRule type="iconSet" priority="309">
      <iconSet iconSet="3Signs">
        <cfvo type="percent" val="0"/>
        <cfvo type="num" val="0.75"/>
        <cfvo type="num" val="1"/>
      </iconSet>
    </cfRule>
  </conditionalFormatting>
  <conditionalFormatting sqref="AM338">
    <cfRule type="iconSet" priority="308">
      <iconSet iconSet="3Signs">
        <cfvo type="percent" val="0"/>
        <cfvo type="num" val="0.75"/>
        <cfvo type="num" val="1"/>
      </iconSet>
    </cfRule>
  </conditionalFormatting>
  <conditionalFormatting sqref="AM340">
    <cfRule type="iconSet" priority="307">
      <iconSet iconSet="3Signs">
        <cfvo type="percent" val="0"/>
        <cfvo type="num" val="0.75"/>
        <cfvo type="num" val="1"/>
      </iconSet>
    </cfRule>
  </conditionalFormatting>
  <conditionalFormatting sqref="AM342">
    <cfRule type="iconSet" priority="306">
      <iconSet iconSet="3Signs">
        <cfvo type="percent" val="0"/>
        <cfvo type="num" val="0.75"/>
        <cfvo type="num" val="1"/>
      </iconSet>
    </cfRule>
  </conditionalFormatting>
  <conditionalFormatting sqref="AM344 AM352">
    <cfRule type="iconSet" priority="305">
      <iconSet iconSet="3Signs">
        <cfvo type="percent" val="0"/>
        <cfvo type="num" val="0.75"/>
        <cfvo type="num" val="1"/>
      </iconSet>
    </cfRule>
  </conditionalFormatting>
  <conditionalFormatting sqref="AM346">
    <cfRule type="iconSet" priority="304">
      <iconSet iconSet="3Signs">
        <cfvo type="percent" val="0"/>
        <cfvo type="num" val="0.75"/>
        <cfvo type="num" val="1"/>
      </iconSet>
    </cfRule>
  </conditionalFormatting>
  <conditionalFormatting sqref="AM348">
    <cfRule type="iconSet" priority="303">
      <iconSet iconSet="3Signs">
        <cfvo type="percent" val="0"/>
        <cfvo type="num" val="0.75"/>
        <cfvo type="num" val="1"/>
      </iconSet>
    </cfRule>
  </conditionalFormatting>
  <conditionalFormatting sqref="AM350">
    <cfRule type="iconSet" priority="302">
      <iconSet iconSet="3Signs">
        <cfvo type="percent" val="0"/>
        <cfvo type="num" val="0.75"/>
        <cfvo type="num" val="1"/>
      </iconSet>
    </cfRule>
  </conditionalFormatting>
  <conditionalFormatting sqref="AM354">
    <cfRule type="iconSet" priority="301">
      <iconSet iconSet="3Signs">
        <cfvo type="percent" val="0"/>
        <cfvo type="num" val="0.75"/>
        <cfvo type="num" val="1"/>
      </iconSet>
    </cfRule>
  </conditionalFormatting>
  <conditionalFormatting sqref="AM356">
    <cfRule type="iconSet" priority="300">
      <iconSet iconSet="3Signs">
        <cfvo type="percent" val="0"/>
        <cfvo type="num" val="0.75"/>
        <cfvo type="num" val="1"/>
      </iconSet>
    </cfRule>
  </conditionalFormatting>
  <conditionalFormatting sqref="AM358">
    <cfRule type="iconSet" priority="299">
      <iconSet iconSet="3Signs">
        <cfvo type="percent" val="0"/>
        <cfvo type="num" val="0.75"/>
        <cfvo type="num" val="1"/>
      </iconSet>
    </cfRule>
  </conditionalFormatting>
  <conditionalFormatting sqref="AM360">
    <cfRule type="iconSet" priority="298">
      <iconSet iconSet="3Signs">
        <cfvo type="percent" val="0"/>
        <cfvo type="num" val="0.75"/>
        <cfvo type="num" val="1"/>
      </iconSet>
    </cfRule>
  </conditionalFormatting>
  <conditionalFormatting sqref="AM362">
    <cfRule type="iconSet" priority="297">
      <iconSet iconSet="3Signs">
        <cfvo type="percent" val="0"/>
        <cfvo type="num" val="0.75"/>
        <cfvo type="num" val="1"/>
      </iconSet>
    </cfRule>
  </conditionalFormatting>
  <conditionalFormatting sqref="AM365">
    <cfRule type="iconSet" priority="296">
      <iconSet iconSet="3Signs">
        <cfvo type="percent" val="0"/>
        <cfvo type="num" val="0.75"/>
        <cfvo type="num" val="1"/>
      </iconSet>
    </cfRule>
  </conditionalFormatting>
  <conditionalFormatting sqref="AM369">
    <cfRule type="iconSet" priority="295">
      <iconSet iconSet="3Signs">
        <cfvo type="percent" val="0"/>
        <cfvo type="num" val="0.75"/>
        <cfvo type="num" val="1"/>
      </iconSet>
    </cfRule>
  </conditionalFormatting>
  <conditionalFormatting sqref="AM371 AM373 AM375 AM377">
    <cfRule type="iconSet" priority="294">
      <iconSet iconSet="3Signs">
        <cfvo type="percent" val="0"/>
        <cfvo type="num" val="0.75"/>
        <cfvo type="num" val="1"/>
      </iconSet>
    </cfRule>
  </conditionalFormatting>
  <conditionalFormatting sqref="AM380">
    <cfRule type="iconSet" priority="293">
      <iconSet iconSet="3Signs">
        <cfvo type="percent" val="0"/>
        <cfvo type="num" val="0.75"/>
        <cfvo type="num" val="1"/>
      </iconSet>
    </cfRule>
  </conditionalFormatting>
  <conditionalFormatting sqref="AM382 AM384 AM388 AM390 AM392">
    <cfRule type="iconSet" priority="292">
      <iconSet iconSet="3Signs">
        <cfvo type="percent" val="0"/>
        <cfvo type="num" val="0.75"/>
        <cfvo type="num" val="1"/>
      </iconSet>
    </cfRule>
  </conditionalFormatting>
  <conditionalFormatting sqref="AM386">
    <cfRule type="iconSet" priority="291">
      <iconSet iconSet="3Signs">
        <cfvo type="percent" val="0"/>
        <cfvo type="num" val="0.75"/>
        <cfvo type="num" val="1"/>
      </iconSet>
    </cfRule>
  </conditionalFormatting>
  <conditionalFormatting sqref="AM395">
    <cfRule type="iconSet" priority="290">
      <iconSet iconSet="3Signs">
        <cfvo type="percent" val="0"/>
        <cfvo type="num" val="0.75"/>
        <cfvo type="num" val="1"/>
      </iconSet>
    </cfRule>
  </conditionalFormatting>
  <conditionalFormatting sqref="AM397">
    <cfRule type="iconSet" priority="289">
      <iconSet iconSet="3Signs">
        <cfvo type="percent" val="0"/>
        <cfvo type="num" val="0.75"/>
        <cfvo type="num" val="1"/>
      </iconSet>
    </cfRule>
  </conditionalFormatting>
  <conditionalFormatting sqref="AM399">
    <cfRule type="iconSet" priority="288">
      <iconSet iconSet="3Signs">
        <cfvo type="percent" val="0"/>
        <cfvo type="num" val="0.75"/>
        <cfvo type="num" val="1"/>
      </iconSet>
    </cfRule>
  </conditionalFormatting>
  <conditionalFormatting sqref="AM401">
    <cfRule type="iconSet" priority="287">
      <iconSet iconSet="3Signs">
        <cfvo type="percent" val="0"/>
        <cfvo type="num" val="0.75"/>
        <cfvo type="num" val="1"/>
      </iconSet>
    </cfRule>
  </conditionalFormatting>
  <conditionalFormatting sqref="AM404">
    <cfRule type="iconSet" priority="286">
      <iconSet iconSet="3Signs">
        <cfvo type="percent" val="0"/>
        <cfvo type="num" val="0.75"/>
        <cfvo type="num" val="1"/>
      </iconSet>
    </cfRule>
  </conditionalFormatting>
  <conditionalFormatting sqref="AM406">
    <cfRule type="iconSet" priority="285">
      <iconSet iconSet="3Signs">
        <cfvo type="percent" val="0"/>
        <cfvo type="num" val="0.75"/>
        <cfvo type="num" val="1"/>
      </iconSet>
    </cfRule>
  </conditionalFormatting>
  <conditionalFormatting sqref="AM409">
    <cfRule type="iconSet" priority="284">
      <iconSet iconSet="3Signs">
        <cfvo type="percent" val="0"/>
        <cfvo type="num" val="0.75"/>
        <cfvo type="num" val="1"/>
      </iconSet>
    </cfRule>
  </conditionalFormatting>
  <conditionalFormatting sqref="AM412">
    <cfRule type="iconSet" priority="283">
      <iconSet iconSet="3Signs">
        <cfvo type="percent" val="0"/>
        <cfvo type="num" val="0.75"/>
        <cfvo type="num" val="1"/>
      </iconSet>
    </cfRule>
  </conditionalFormatting>
  <conditionalFormatting sqref="AM414 AM416 AM418 AM420 AM422 AM424 AM426 AM428 AM430 AM432 AM434 AM436 AM438 AM440 AM442 AM444 AM446 AM448 AM450 AM452 AM454 AM456 AM458 AM460 AM462 AM464 AM466 AM468 AM470 AM472 AM474 AM476 AM478 AM480 AM482">
    <cfRule type="iconSet" priority="282">
      <iconSet iconSet="3Signs">
        <cfvo type="percent" val="0"/>
        <cfvo type="num" val="0.75"/>
        <cfvo type="num" val="1"/>
      </iconSet>
    </cfRule>
  </conditionalFormatting>
  <conditionalFormatting sqref="AM484">
    <cfRule type="iconSet" priority="281">
      <iconSet iconSet="3Signs">
        <cfvo type="percent" val="0"/>
        <cfvo type="num" val="0.75"/>
        <cfvo type="num" val="1"/>
      </iconSet>
    </cfRule>
  </conditionalFormatting>
  <conditionalFormatting sqref="AM524">
    <cfRule type="iconSet" priority="280">
      <iconSet iconSet="3Signs">
        <cfvo type="percent" val="0"/>
        <cfvo type="num" val="0.75"/>
        <cfvo type="num" val="1"/>
      </iconSet>
    </cfRule>
  </conditionalFormatting>
  <conditionalFormatting sqref="AM526">
    <cfRule type="iconSet" priority="279">
      <iconSet iconSet="3Signs">
        <cfvo type="percent" val="0"/>
        <cfvo type="num" val="0.75"/>
        <cfvo type="num" val="1"/>
      </iconSet>
    </cfRule>
  </conditionalFormatting>
  <conditionalFormatting sqref="AM528">
    <cfRule type="iconSet" priority="278">
      <iconSet iconSet="3Signs">
        <cfvo type="percent" val="0"/>
        <cfvo type="num" val="0.75"/>
        <cfvo type="num" val="1"/>
      </iconSet>
    </cfRule>
  </conditionalFormatting>
  <conditionalFormatting sqref="AM530">
    <cfRule type="iconSet" priority="277">
      <iconSet iconSet="3Signs">
        <cfvo type="percent" val="0"/>
        <cfvo type="num" val="0.75"/>
        <cfvo type="num" val="1"/>
      </iconSet>
    </cfRule>
  </conditionalFormatting>
  <conditionalFormatting sqref="AM533">
    <cfRule type="iconSet" priority="276">
      <iconSet iconSet="3Signs">
        <cfvo type="percent" val="0"/>
        <cfvo type="num" val="0.75"/>
        <cfvo type="num" val="1"/>
      </iconSet>
    </cfRule>
  </conditionalFormatting>
  <conditionalFormatting sqref="AM535 AM537 AM539 AM541 AM543 AM545 AM547 AM549 AM551 AM553 AM555 AM557 AM559 AM561 AM563 AM565 AM567 AM569 AM571 AM573 AM575 AM577 AM581 AM583 AM585 AM587 AM589">
    <cfRule type="iconSet" priority="275">
      <iconSet iconSet="3Signs">
        <cfvo type="percent" val="0"/>
        <cfvo type="num" val="0.75"/>
        <cfvo type="num" val="1"/>
      </iconSet>
    </cfRule>
  </conditionalFormatting>
  <conditionalFormatting sqref="AM579 AM486 AM488 AM490 AM492 AM494 AM496 AM498 AM500 AM502 AM504 AM506 AM508 AM510 AM512 AM514 AM516 AM520 AM522">
    <cfRule type="iconSet" priority="274">
      <iconSet iconSet="3Signs">
        <cfvo type="percent" val="0"/>
        <cfvo type="num" val="0.75"/>
        <cfvo type="num" val="1"/>
      </iconSet>
    </cfRule>
  </conditionalFormatting>
  <conditionalFormatting sqref="AM591">
    <cfRule type="iconSet" priority="273">
      <iconSet iconSet="3Signs">
        <cfvo type="percent" val="0"/>
        <cfvo type="num" val="0.75"/>
        <cfvo type="num" val="1"/>
      </iconSet>
    </cfRule>
  </conditionalFormatting>
  <conditionalFormatting sqref="AM643 AM518 AM593 AM595 AM597 AM599 AM601 AM603 AM605 AM607 AM609 AM611 AM613 AM615 AM617 AM619 AM621 AM623 AM625 AM627 AM629 AM631 AM633 AM635 AM637 AM639 AM641 AM645">
    <cfRule type="iconSet" priority="272">
      <iconSet iconSet="3Signs">
        <cfvo type="percent" val="0"/>
        <cfvo type="num" val="0.75"/>
        <cfvo type="num" val="1"/>
      </iconSet>
    </cfRule>
  </conditionalFormatting>
  <conditionalFormatting sqref="AM647">
    <cfRule type="iconSet" priority="271">
      <iconSet iconSet="3Signs">
        <cfvo type="percent" val="0"/>
        <cfvo type="num" val="0.75"/>
        <cfvo type="num" val="1"/>
      </iconSet>
    </cfRule>
  </conditionalFormatting>
  <conditionalFormatting sqref="AM652">
    <cfRule type="iconSet" priority="270">
      <iconSet iconSet="3Signs">
        <cfvo type="percent" val="0"/>
        <cfvo type="num" val="0.75"/>
        <cfvo type="num" val="1"/>
      </iconSet>
    </cfRule>
  </conditionalFormatting>
  <conditionalFormatting sqref="AM654 AM656 AM658 AM660 AM662 AM666 AM668">
    <cfRule type="iconSet" priority="269">
      <iconSet iconSet="3Signs">
        <cfvo type="percent" val="0"/>
        <cfvo type="num" val="0.75"/>
        <cfvo type="num" val="1"/>
      </iconSet>
    </cfRule>
  </conditionalFormatting>
  <conditionalFormatting sqref="AM664">
    <cfRule type="iconSet" priority="268">
      <iconSet iconSet="3Signs">
        <cfvo type="percent" val="0"/>
        <cfvo type="num" val="0.75"/>
        <cfvo type="num" val="1"/>
      </iconSet>
    </cfRule>
  </conditionalFormatting>
  <conditionalFormatting sqref="AM670">
    <cfRule type="iconSet" priority="267">
      <iconSet iconSet="3Signs">
        <cfvo type="percent" val="0"/>
        <cfvo type="num" val="0.75"/>
        <cfvo type="num" val="1"/>
      </iconSet>
    </cfRule>
  </conditionalFormatting>
  <conditionalFormatting sqref="AM686 AM649 AM672 AM674 AM676 AM678 AM680 AM682 AM684 AM690 AM694">
    <cfRule type="iconSet" priority="266">
      <iconSet iconSet="3Signs">
        <cfvo type="percent" val="0"/>
        <cfvo type="num" val="0.75"/>
        <cfvo type="num" val="1"/>
      </iconSet>
    </cfRule>
  </conditionalFormatting>
  <conditionalFormatting sqref="AM688">
    <cfRule type="iconSet" priority="265">
      <iconSet iconSet="3Signs">
        <cfvo type="percent" val="0"/>
        <cfvo type="num" val="0.75"/>
        <cfvo type="num" val="1"/>
      </iconSet>
    </cfRule>
  </conditionalFormatting>
  <conditionalFormatting sqref="AM692">
    <cfRule type="iconSet" priority="264">
      <iconSet iconSet="3Signs">
        <cfvo type="percent" val="0"/>
        <cfvo type="num" val="0.75"/>
        <cfvo type="num" val="1"/>
      </iconSet>
    </cfRule>
  </conditionalFormatting>
  <conditionalFormatting sqref="AM696">
    <cfRule type="iconSet" priority="263">
      <iconSet iconSet="3Signs">
        <cfvo type="percent" val="0"/>
        <cfvo type="num" val="0.75"/>
        <cfvo type="num" val="1"/>
      </iconSet>
    </cfRule>
  </conditionalFormatting>
  <conditionalFormatting sqref="AM698">
    <cfRule type="iconSet" priority="262">
      <iconSet iconSet="3Signs">
        <cfvo type="percent" val="0"/>
        <cfvo type="num" val="0.75"/>
        <cfvo type="num" val="1"/>
      </iconSet>
    </cfRule>
  </conditionalFormatting>
  <conditionalFormatting sqref="AM700">
    <cfRule type="iconSet" priority="261">
      <iconSet iconSet="3Signs">
        <cfvo type="percent" val="0"/>
        <cfvo type="num" val="0.75"/>
        <cfvo type="num" val="1"/>
      </iconSet>
    </cfRule>
  </conditionalFormatting>
  <conditionalFormatting sqref="AM703">
    <cfRule type="iconSet" priority="260">
      <iconSet iconSet="3Signs">
        <cfvo type="percent" val="0"/>
        <cfvo type="num" val="0.75"/>
        <cfvo type="num" val="1"/>
      </iconSet>
    </cfRule>
  </conditionalFormatting>
  <conditionalFormatting sqref="AM705 AM707 AM709 AM711 AM713 AM715 AM717 AM719 AM721 AM723 AM725 AM727 AM729 AM731 AM733 AM735 AM737 AM739 AM741 AM743 AM745 AM747 AM749 AM751 AM753 AM755 AM757 AM759 AM761 AM763 AM777">
    <cfRule type="iconSet" priority="259">
      <iconSet iconSet="3Signs">
        <cfvo type="percent" val="0"/>
        <cfvo type="num" val="0.75"/>
        <cfvo type="num" val="1"/>
      </iconSet>
    </cfRule>
  </conditionalFormatting>
  <conditionalFormatting sqref="AM765">
    <cfRule type="iconSet" priority="258">
      <iconSet iconSet="3Signs">
        <cfvo type="percent" val="0"/>
        <cfvo type="num" val="0.75"/>
        <cfvo type="num" val="1"/>
      </iconSet>
    </cfRule>
  </conditionalFormatting>
  <conditionalFormatting sqref="AM767">
    <cfRule type="iconSet" priority="257">
      <iconSet iconSet="3Signs">
        <cfvo type="percent" val="0"/>
        <cfvo type="num" val="0.75"/>
        <cfvo type="num" val="1"/>
      </iconSet>
    </cfRule>
  </conditionalFormatting>
  <conditionalFormatting sqref="AM769">
    <cfRule type="iconSet" priority="256">
      <iconSet iconSet="3Signs">
        <cfvo type="percent" val="0"/>
        <cfvo type="num" val="0.75"/>
        <cfvo type="num" val="1"/>
      </iconSet>
    </cfRule>
  </conditionalFormatting>
  <conditionalFormatting sqref="AM771">
    <cfRule type="iconSet" priority="255">
      <iconSet iconSet="3Signs">
        <cfvo type="percent" val="0"/>
        <cfvo type="num" val="0.75"/>
        <cfvo type="num" val="1"/>
      </iconSet>
    </cfRule>
  </conditionalFormatting>
  <conditionalFormatting sqref="AM773">
    <cfRule type="iconSet" priority="254">
      <iconSet iconSet="3Signs">
        <cfvo type="percent" val="0"/>
        <cfvo type="num" val="0.75"/>
        <cfvo type="num" val="1"/>
      </iconSet>
    </cfRule>
  </conditionalFormatting>
  <conditionalFormatting sqref="AM775">
    <cfRule type="iconSet" priority="253">
      <iconSet iconSet="3Signs">
        <cfvo type="percent" val="0"/>
        <cfvo type="num" val="0.75"/>
        <cfvo type="num" val="1"/>
      </iconSet>
    </cfRule>
  </conditionalFormatting>
  <conditionalFormatting sqref="AM781">
    <cfRule type="iconSet" priority="252">
      <iconSet iconSet="3Signs">
        <cfvo type="percent" val="0"/>
        <cfvo type="num" val="0.75"/>
        <cfvo type="num" val="1"/>
      </iconSet>
    </cfRule>
  </conditionalFormatting>
  <conditionalFormatting sqref="AM831 AM829 AM783 AM785 AM787 AM789 AM791 AM793 AM795 AM797 AM799 AM801 AM803 AM805 AM807 AM809 AM811 AM813 AM815 AM817 AM819 AM821 AM823 AM825 AM827 AM833 AM835 AM837">
    <cfRule type="iconSet" priority="251">
      <iconSet iconSet="3Signs">
        <cfvo type="percent" val="0"/>
        <cfvo type="num" val="0.75"/>
        <cfvo type="num" val="1"/>
      </iconSet>
    </cfRule>
  </conditionalFormatting>
  <conditionalFormatting sqref="AM839">
    <cfRule type="iconSet" priority="250">
      <iconSet iconSet="3Signs">
        <cfvo type="percent" val="0"/>
        <cfvo type="num" val="0.75"/>
        <cfvo type="num" val="1"/>
      </iconSet>
    </cfRule>
  </conditionalFormatting>
  <conditionalFormatting sqref="AM841">
    <cfRule type="iconSet" priority="249">
      <iconSet iconSet="3Signs">
        <cfvo type="percent" val="0"/>
        <cfvo type="num" val="0.75"/>
        <cfvo type="num" val="1"/>
      </iconSet>
    </cfRule>
  </conditionalFormatting>
  <conditionalFormatting sqref="AM843">
    <cfRule type="iconSet" priority="248">
      <iconSet iconSet="3Signs">
        <cfvo type="percent" val="0"/>
        <cfvo type="num" val="0.75"/>
        <cfvo type="num" val="1"/>
      </iconSet>
    </cfRule>
  </conditionalFormatting>
  <conditionalFormatting sqref="AM845">
    <cfRule type="iconSet" priority="247">
      <iconSet iconSet="3Signs">
        <cfvo type="percent" val="0"/>
        <cfvo type="num" val="0.75"/>
        <cfvo type="num" val="1"/>
      </iconSet>
    </cfRule>
  </conditionalFormatting>
  <conditionalFormatting sqref="AM848">
    <cfRule type="iconSet" priority="246">
      <iconSet iconSet="3Signs">
        <cfvo type="percent" val="0"/>
        <cfvo type="num" val="0.75"/>
        <cfvo type="num" val="1"/>
      </iconSet>
    </cfRule>
  </conditionalFormatting>
  <conditionalFormatting sqref="AM851">
    <cfRule type="iconSet" priority="245">
      <iconSet iconSet="3Signs">
        <cfvo type="percent" val="0"/>
        <cfvo type="num" val="0.75"/>
        <cfvo type="num" val="1"/>
      </iconSet>
    </cfRule>
  </conditionalFormatting>
  <conditionalFormatting sqref="AM853 AM855 AM857 AM859 AM861 AM863 AM865 AM867 AM869 AM871 AM873 AM875 AM877 AM879 AM881 AM883">
    <cfRule type="iconSet" priority="244">
      <iconSet iconSet="3Signs">
        <cfvo type="percent" val="0"/>
        <cfvo type="num" val="0.75"/>
        <cfvo type="num" val="1"/>
      </iconSet>
    </cfRule>
  </conditionalFormatting>
  <conditionalFormatting sqref="AM886">
    <cfRule type="iconSet" priority="243">
      <iconSet iconSet="3Signs">
        <cfvo type="percent" val="0"/>
        <cfvo type="num" val="0.75"/>
        <cfvo type="num" val="1"/>
      </iconSet>
    </cfRule>
  </conditionalFormatting>
  <conditionalFormatting sqref="AM888 AM890 AM892 AM894 AM896 AM898 AM900 AM902 AM904 AM906 AM908 AM910 AM912 AM914 AM916 AM918 AM920">
    <cfRule type="iconSet" priority="242">
      <iconSet iconSet="3Signs">
        <cfvo type="percent" val="0"/>
        <cfvo type="num" val="0.75"/>
        <cfvo type="num" val="1"/>
      </iconSet>
    </cfRule>
  </conditionalFormatting>
  <conditionalFormatting sqref="AM924">
    <cfRule type="iconSet" priority="241">
      <iconSet iconSet="3Signs">
        <cfvo type="percent" val="0"/>
        <cfvo type="num" val="0.75"/>
        <cfvo type="num" val="1"/>
      </iconSet>
    </cfRule>
  </conditionalFormatting>
  <conditionalFormatting sqref="AM926 AM928 AM930 AM932 AM934 AM936 AM938">
    <cfRule type="iconSet" priority="240">
      <iconSet iconSet="3Signs">
        <cfvo type="percent" val="0"/>
        <cfvo type="num" val="0.75"/>
        <cfvo type="num" val="1"/>
      </iconSet>
    </cfRule>
  </conditionalFormatting>
  <conditionalFormatting sqref="AM941">
    <cfRule type="iconSet" priority="239">
      <iconSet iconSet="3Signs">
        <cfvo type="percent" val="0"/>
        <cfvo type="num" val="0.75"/>
        <cfvo type="num" val="1"/>
      </iconSet>
    </cfRule>
  </conditionalFormatting>
  <conditionalFormatting sqref="AM943 AM945 AM947 AM949 AM951 AM953 AM955 AM957 AM959 AM961 AM963 AM965 AM967">
    <cfRule type="iconSet" priority="238">
      <iconSet iconSet="3Signs">
        <cfvo type="percent" val="0"/>
        <cfvo type="num" val="0.75"/>
        <cfvo type="num" val="1"/>
      </iconSet>
    </cfRule>
  </conditionalFormatting>
  <conditionalFormatting sqref="AM971">
    <cfRule type="iconSet" priority="237">
      <iconSet iconSet="3Signs">
        <cfvo type="percent" val="0"/>
        <cfvo type="num" val="0.75"/>
        <cfvo type="num" val="1"/>
      </iconSet>
    </cfRule>
  </conditionalFormatting>
  <conditionalFormatting sqref="AM973 AM975 AM977 AM979 AM981 AM983 AM985 AM987 AM989 AM991">
    <cfRule type="iconSet" priority="236">
      <iconSet iconSet="3Signs">
        <cfvo type="percent" val="0"/>
        <cfvo type="num" val="0.75"/>
        <cfvo type="num" val="1"/>
      </iconSet>
    </cfRule>
  </conditionalFormatting>
  <conditionalFormatting sqref="AM994">
    <cfRule type="iconSet" priority="235">
      <iconSet iconSet="3Signs">
        <cfvo type="percent" val="0"/>
        <cfvo type="num" val="0.75"/>
        <cfvo type="num" val="1"/>
      </iconSet>
    </cfRule>
  </conditionalFormatting>
  <conditionalFormatting sqref="AM997">
    <cfRule type="iconSet" priority="234">
      <iconSet iconSet="3Signs">
        <cfvo type="percent" val="0"/>
        <cfvo type="num" val="0.75"/>
        <cfvo type="num" val="1"/>
      </iconSet>
    </cfRule>
  </conditionalFormatting>
  <conditionalFormatting sqref="AM999 AM1001 AM1003 AM1005 AM1007 AM1009 AM1011 AM1013 AM1015 AM1017">
    <cfRule type="iconSet" priority="233">
      <iconSet iconSet="3Signs">
        <cfvo type="percent" val="0"/>
        <cfvo type="num" val="0.75"/>
        <cfvo type="num" val="1"/>
      </iconSet>
    </cfRule>
  </conditionalFormatting>
  <conditionalFormatting sqref="AM1020">
    <cfRule type="iconSet" priority="232">
      <iconSet iconSet="3Signs">
        <cfvo type="percent" val="0"/>
        <cfvo type="num" val="0.75"/>
        <cfvo type="num" val="1"/>
      </iconSet>
    </cfRule>
  </conditionalFormatting>
  <conditionalFormatting sqref="AM1022 AM1024 AM1026 AM1028 AM1030 AM1032 AM1034 AM1036 AM1038 AM1040 AM1042 AM1044 AM1046 AM1048 AM1050 AM1052 AM1054 AM1056 AM1058 AM1060 AM1062 AM1064 AM1066 AM1068 AM1070 AM1072 AM1074 AM1076 AM1080">
    <cfRule type="iconSet" priority="231">
      <iconSet iconSet="3Signs">
        <cfvo type="percent" val="0"/>
        <cfvo type="num" val="0.75"/>
        <cfvo type="num" val="1"/>
      </iconSet>
    </cfRule>
  </conditionalFormatting>
  <conditionalFormatting sqref="AM1078">
    <cfRule type="iconSet" priority="230">
      <iconSet iconSet="3Signs">
        <cfvo type="percent" val="0"/>
        <cfvo type="num" val="0.75"/>
        <cfvo type="num" val="1"/>
      </iconSet>
    </cfRule>
  </conditionalFormatting>
  <conditionalFormatting sqref="AM1082">
    <cfRule type="iconSet" priority="229">
      <iconSet iconSet="3Signs">
        <cfvo type="percent" val="0"/>
        <cfvo type="num" val="0.75"/>
        <cfvo type="num" val="1"/>
      </iconSet>
    </cfRule>
  </conditionalFormatting>
  <conditionalFormatting sqref="AM1085">
    <cfRule type="iconSet" priority="228">
      <iconSet iconSet="3Signs">
        <cfvo type="percent" val="0"/>
        <cfvo type="num" val="0.75"/>
        <cfvo type="num" val="1"/>
      </iconSet>
    </cfRule>
  </conditionalFormatting>
  <conditionalFormatting sqref="AM1087 AM1089 AM1091 AM1093 AM1095 AM1097 AM1099 AM1101 AM1103 AM1105 AM1107 AM1109 AM1111 AM1113 AM1115 AM1117">
    <cfRule type="iconSet" priority="227">
      <iconSet iconSet="3Signs">
        <cfvo type="percent" val="0"/>
        <cfvo type="num" val="0.75"/>
        <cfvo type="num" val="1"/>
      </iconSet>
    </cfRule>
  </conditionalFormatting>
  <conditionalFormatting sqref="AM1119">
    <cfRule type="iconSet" priority="226">
      <iconSet iconSet="3Signs">
        <cfvo type="percent" val="0"/>
        <cfvo type="num" val="0.75"/>
        <cfvo type="num" val="1"/>
      </iconSet>
    </cfRule>
  </conditionalFormatting>
  <conditionalFormatting sqref="AM1121">
    <cfRule type="iconSet" priority="225">
      <iconSet iconSet="3Signs">
        <cfvo type="percent" val="0"/>
        <cfvo type="num" val="0.75"/>
        <cfvo type="num" val="1"/>
      </iconSet>
    </cfRule>
  </conditionalFormatting>
  <conditionalFormatting sqref="AM1125">
    <cfRule type="iconSet" priority="224">
      <iconSet iconSet="3Signs">
        <cfvo type="percent" val="0"/>
        <cfvo type="num" val="0.75"/>
        <cfvo type="num" val="1"/>
      </iconSet>
    </cfRule>
  </conditionalFormatting>
  <conditionalFormatting sqref="AM1128">
    <cfRule type="iconSet" priority="223">
      <iconSet iconSet="3Signs">
        <cfvo type="percent" val="0"/>
        <cfvo type="num" val="0.75"/>
        <cfvo type="num" val="1"/>
      </iconSet>
    </cfRule>
  </conditionalFormatting>
  <conditionalFormatting sqref="AM1136 AM1130 AM1132 AM1134 AM1138 AM1140 AM1142 AM1144 AM1146 AM1148 AM1150 AM1152 AM1154 AM1156 AM1158 AM1160 AM1162 AM1164 AM1166 AM1168 AM1170 AM1172 AM1174 AM1176 AM1178 AM1180 AM1182 AM1184 AM1186 AM1188 AM1190 AM1192 AM1194 AM1196">
    <cfRule type="iconSet" priority="222">
      <iconSet iconSet="3Signs">
        <cfvo type="percent" val="0"/>
        <cfvo type="num" val="0.75"/>
        <cfvo type="num" val="1"/>
      </iconSet>
    </cfRule>
  </conditionalFormatting>
  <conditionalFormatting sqref="AM1199">
    <cfRule type="iconSet" priority="221">
      <iconSet iconSet="3Signs">
        <cfvo type="percent" val="0"/>
        <cfvo type="num" val="0.75"/>
        <cfvo type="num" val="1"/>
      </iconSet>
    </cfRule>
  </conditionalFormatting>
  <conditionalFormatting sqref="AM1201 AM1203 AM1205 AM1207 AM1209 AM1211 AM1213 AM1215 AM1217 AM1219 AM1221 AM1223 AM1225 AM1227 AM1229 AM1231 AM1233 AM1235 AM1237 AM1239 AM1241 AM1243 AM1245 AM1247 AM1249 AM1251 AM1253 AM1255 AM1257 AM1259 AM1261 AM1263 AM1265 AM1267 AM1269 AM1271 AM1273 AM1275 AM1277 AM1279 AM1281 AM1283 AM1285 AM1287 AM1289 AM1291 AM1293 AM1295 AM1297 AM1299 AM1301 AM1303 AM1305 AM1307 AM1309 AM1311 AM1313 AM1315 AM1317 AM1319 AM1321 AM1323 AM1325 AM1327 AM1329 AM1331 AM1333 AM1335 AM1337 AM1339 AM1341 AM1343 AM1345 AM1347 AM1349 AM1351 AM1353 AM1355">
    <cfRule type="iconSet" priority="220">
      <iconSet iconSet="3Signs">
        <cfvo type="percent" val="0"/>
        <cfvo type="num" val="0.75"/>
        <cfvo type="num" val="1"/>
      </iconSet>
    </cfRule>
  </conditionalFormatting>
  <conditionalFormatting sqref="AM1357">
    <cfRule type="iconSet" priority="219">
      <iconSet iconSet="3Signs">
        <cfvo type="percent" val="0"/>
        <cfvo type="num" val="0.75"/>
        <cfvo type="num" val="1"/>
      </iconSet>
    </cfRule>
  </conditionalFormatting>
  <conditionalFormatting sqref="AM1359">
    <cfRule type="iconSet" priority="218">
      <iconSet iconSet="3Signs">
        <cfvo type="percent" val="0"/>
        <cfvo type="num" val="0.75"/>
        <cfvo type="num" val="1"/>
      </iconSet>
    </cfRule>
  </conditionalFormatting>
  <conditionalFormatting sqref="AM1362">
    <cfRule type="iconSet" priority="217">
      <iconSet iconSet="3Signs">
        <cfvo type="percent" val="0"/>
        <cfvo type="num" val="0.75"/>
        <cfvo type="num" val="1"/>
      </iconSet>
    </cfRule>
  </conditionalFormatting>
  <conditionalFormatting sqref="AM1364 AM1366 AM1368 AM1370 AM1372 AM1374 AM1376 AM1378 AM1380 AM1382 AM1384 AM1386 AM1388 AM1390 AM1392 AM1394 AM1396 AM1398 AM1400 AM1402 AM1404 AM1406 AM1408 AM1410 AM1412 AM1414 AM1416 AM1418 AM1420 AM1422 AM1424 AM1426 AM1428 AM1430 AM1432 AM1434 AM1436">
    <cfRule type="iconSet" priority="216">
      <iconSet iconSet="3Signs">
        <cfvo type="percent" val="0"/>
        <cfvo type="num" val="0.75"/>
        <cfvo type="num" val="1"/>
      </iconSet>
    </cfRule>
  </conditionalFormatting>
  <conditionalFormatting sqref="AM1442">
    <cfRule type="iconSet" priority="215">
      <iconSet iconSet="3Signs">
        <cfvo type="percent" val="0"/>
        <cfvo type="num" val="0.75"/>
        <cfvo type="num" val="1"/>
      </iconSet>
    </cfRule>
  </conditionalFormatting>
  <conditionalFormatting sqref="AM1445">
    <cfRule type="iconSet" priority="214">
      <iconSet iconSet="3Signs">
        <cfvo type="percent" val="0"/>
        <cfvo type="num" val="0.75"/>
        <cfvo type="num" val="1"/>
      </iconSet>
    </cfRule>
  </conditionalFormatting>
  <conditionalFormatting sqref="AM1448">
    <cfRule type="iconSet" priority="213">
      <iconSet iconSet="3Signs">
        <cfvo type="percent" val="0"/>
        <cfvo type="num" val="0.75"/>
        <cfvo type="num" val="1"/>
      </iconSet>
    </cfRule>
  </conditionalFormatting>
  <conditionalFormatting sqref="AM1528 AM1450 AM1452 AM1454 AM1456 AM1458 AM1460 AM1462 AM1464 AM1466 AM1468 AM1470 AM1472 AM1474 AM1476 AM1478 AM1480 AM1482 AM1484 AM1486 AM1488 AM1490 AM1492 AM1494 AM1496 AM1498 AM1500 AM1502 AM1504 AM1506 AM1508 AM1510 AM1512 AM1514 AM1516 AM1518 AM1520 AM1522 AM1524 AM1526">
    <cfRule type="iconSet" priority="212">
      <iconSet iconSet="3Signs">
        <cfvo type="percent" val="0"/>
        <cfvo type="num" val="0.75"/>
        <cfvo type="num" val="1"/>
      </iconSet>
    </cfRule>
  </conditionalFormatting>
  <conditionalFormatting sqref="AM1531">
    <cfRule type="iconSet" priority="211">
      <iconSet iconSet="3Signs">
        <cfvo type="percent" val="0"/>
        <cfvo type="num" val="0.75"/>
        <cfvo type="num" val="1"/>
      </iconSet>
    </cfRule>
  </conditionalFormatting>
  <conditionalFormatting sqref="AM1599 AM1533 AM1535 AM1537 AM1539 AM1541 AM1543 AM1545 AM1547 AM1549 AM1551 AM1553 AM1555 AM1557 AM1559 AM1561 AM1563 AM1565 AM1567 AM1569 AM1571 AM1573 AM1575 AM1577 AM1579 AM1581 AM1583 AM1585 AM1587 AM1589 AM1591 AM1593 AM1595 AM1597 AM1601 AM1603 AM1605 AM1607 AM1609 AM1611">
    <cfRule type="iconSet" priority="210">
      <iconSet iconSet="3Signs">
        <cfvo type="percent" val="0"/>
        <cfvo type="num" val="0.75"/>
        <cfvo type="num" val="1"/>
      </iconSet>
    </cfRule>
  </conditionalFormatting>
  <conditionalFormatting sqref="AM1613">
    <cfRule type="iconSet" priority="209">
      <iconSet iconSet="3Signs">
        <cfvo type="percent" val="0"/>
        <cfvo type="num" val="0.75"/>
        <cfvo type="num" val="1"/>
      </iconSet>
    </cfRule>
  </conditionalFormatting>
  <conditionalFormatting sqref="AM1617">
    <cfRule type="iconSet" priority="208">
      <iconSet iconSet="3Signs">
        <cfvo type="percent" val="0"/>
        <cfvo type="num" val="0.75"/>
        <cfvo type="num" val="1"/>
      </iconSet>
    </cfRule>
  </conditionalFormatting>
  <conditionalFormatting sqref="AM1619 AM1621 AM1623 AM1625">
    <cfRule type="iconSet" priority="207">
      <iconSet iconSet="3Signs">
        <cfvo type="percent" val="0"/>
        <cfvo type="num" val="0.75"/>
        <cfvo type="num" val="1"/>
      </iconSet>
    </cfRule>
  </conditionalFormatting>
  <conditionalFormatting sqref="AM1627">
    <cfRule type="iconSet" priority="206">
      <iconSet iconSet="3Signs">
        <cfvo type="percent" val="0"/>
        <cfvo type="num" val="0.75"/>
        <cfvo type="num" val="1"/>
      </iconSet>
    </cfRule>
  </conditionalFormatting>
  <conditionalFormatting sqref="AM1630">
    <cfRule type="iconSet" priority="205">
      <iconSet iconSet="3Signs">
        <cfvo type="percent" val="0"/>
        <cfvo type="num" val="0.75"/>
        <cfvo type="num" val="1"/>
      </iconSet>
    </cfRule>
  </conditionalFormatting>
  <conditionalFormatting sqref="AM1632 AM1634 AM1636 AM1638 AM1640 AM1642 AM1644 AM1646 AM1648 AM1650 AM1652 AM1654 AM1656 AM1658 AM1660 AM1662 AM1664 AM1666 AM1668 AM1670 AM1672 AM1674 AM1676 AM1678 AM1680 AM1682 AM1684 AM1686 AM1688 AM1690 AM1692 AM1694">
    <cfRule type="iconSet" priority="204">
      <iconSet iconSet="3Signs">
        <cfvo type="percent" val="0"/>
        <cfvo type="num" val="0.75"/>
        <cfvo type="num" val="1"/>
      </iconSet>
    </cfRule>
  </conditionalFormatting>
  <conditionalFormatting sqref="AM1698">
    <cfRule type="iconSet" priority="203">
      <iconSet iconSet="3Signs">
        <cfvo type="percent" val="0"/>
        <cfvo type="num" val="0.75"/>
        <cfvo type="num" val="1"/>
      </iconSet>
    </cfRule>
  </conditionalFormatting>
  <conditionalFormatting sqref="AM1700 AM1702 AM1704 AM1706 AM1708 AM1710 AM1712 AM1714 AM1716 AM1718 AM1720 AM1722 AM1724 AM1726 AM1728 AM1730 AM1732 AM1734 AM1736 AM1738 AM1740 AM1742 AM1744 AM1746 AM1748 AM1750 AM1752 AM1754 AM1756 AM1758 AM1760 AM1766">
    <cfRule type="iconSet" priority="202">
      <iconSet iconSet="3Signs">
        <cfvo type="percent" val="0"/>
        <cfvo type="num" val="0.75"/>
        <cfvo type="num" val="1"/>
      </iconSet>
    </cfRule>
  </conditionalFormatting>
  <conditionalFormatting sqref="AM1762">
    <cfRule type="iconSet" priority="201">
      <iconSet iconSet="3Signs">
        <cfvo type="percent" val="0"/>
        <cfvo type="num" val="0.75"/>
        <cfvo type="num" val="1"/>
      </iconSet>
    </cfRule>
  </conditionalFormatting>
  <conditionalFormatting sqref="AM1764">
    <cfRule type="iconSet" priority="200">
      <iconSet iconSet="3Signs">
        <cfvo type="percent" val="0"/>
        <cfvo type="num" val="0.75"/>
        <cfvo type="num" val="1"/>
      </iconSet>
    </cfRule>
  </conditionalFormatting>
  <conditionalFormatting sqref="AM1770">
    <cfRule type="iconSet" priority="199">
      <iconSet iconSet="3Signs">
        <cfvo type="percent" val="0"/>
        <cfvo type="num" val="0.75"/>
        <cfvo type="num" val="1"/>
      </iconSet>
    </cfRule>
  </conditionalFormatting>
  <conditionalFormatting sqref="AM1773">
    <cfRule type="iconSet" priority="198">
      <iconSet iconSet="3Signs">
        <cfvo type="percent" val="0"/>
        <cfvo type="num" val="0.75"/>
        <cfvo type="num" val="1"/>
      </iconSet>
    </cfRule>
  </conditionalFormatting>
  <conditionalFormatting sqref="AM1775 AM1777 AM1779 AM1781 AM1783 AM1785 AM1787 AM1789 AM1791 AM1795 AM1797 AM1799 AM1801 AM1803">
    <cfRule type="iconSet" priority="197">
      <iconSet iconSet="3Signs">
        <cfvo type="percent" val="0"/>
        <cfvo type="num" val="0.75"/>
        <cfvo type="num" val="1"/>
      </iconSet>
    </cfRule>
  </conditionalFormatting>
  <conditionalFormatting sqref="AM1793">
    <cfRule type="iconSet" priority="196">
      <iconSet iconSet="3Signs">
        <cfvo type="percent" val="0"/>
        <cfvo type="num" val="0.75"/>
        <cfvo type="num" val="1"/>
      </iconSet>
    </cfRule>
  </conditionalFormatting>
  <conditionalFormatting sqref="AM1806">
    <cfRule type="iconSet" priority="195">
      <iconSet iconSet="3Signs">
        <cfvo type="percent" val="0"/>
        <cfvo type="num" val="0.75"/>
        <cfvo type="num" val="1"/>
      </iconSet>
    </cfRule>
  </conditionalFormatting>
  <conditionalFormatting sqref="AM1808 AM1810 AM1812 AM1814 AM1816 AM1818 AM1820 AM1822 AM1824 AM1826 AM1828 AM1830 AM1832 AM1834 AM1836">
    <cfRule type="iconSet" priority="194">
      <iconSet iconSet="3Signs">
        <cfvo type="percent" val="0"/>
        <cfvo type="num" val="0.75"/>
        <cfvo type="num" val="1"/>
      </iconSet>
    </cfRule>
  </conditionalFormatting>
  <conditionalFormatting sqref="AM1838">
    <cfRule type="iconSet" priority="193">
      <iconSet iconSet="3Signs">
        <cfvo type="percent" val="0"/>
        <cfvo type="num" val="0.75"/>
        <cfvo type="num" val="1"/>
      </iconSet>
    </cfRule>
  </conditionalFormatting>
  <conditionalFormatting sqref="AM1840">
    <cfRule type="iconSet" priority="192">
      <iconSet iconSet="3Signs">
        <cfvo type="percent" val="0"/>
        <cfvo type="num" val="0.75"/>
        <cfvo type="num" val="1"/>
      </iconSet>
    </cfRule>
  </conditionalFormatting>
  <conditionalFormatting sqref="AM1842">
    <cfRule type="iconSet" priority="191">
      <iconSet iconSet="3Signs">
        <cfvo type="percent" val="0"/>
        <cfvo type="num" val="0.75"/>
        <cfvo type="num" val="1"/>
      </iconSet>
    </cfRule>
  </conditionalFormatting>
  <conditionalFormatting sqref="AM1844">
    <cfRule type="iconSet" priority="190">
      <iconSet iconSet="3Signs">
        <cfvo type="percent" val="0"/>
        <cfvo type="num" val="0.75"/>
        <cfvo type="num" val="1"/>
      </iconSet>
    </cfRule>
  </conditionalFormatting>
  <conditionalFormatting sqref="AM1847">
    <cfRule type="iconSet" priority="189">
      <iconSet iconSet="3Signs">
        <cfvo type="percent" val="0"/>
        <cfvo type="num" val="0.75"/>
        <cfvo type="num" val="1"/>
      </iconSet>
    </cfRule>
  </conditionalFormatting>
  <conditionalFormatting sqref="AM1849 AM1851 AM1853 AM1855 AM1857">
    <cfRule type="iconSet" priority="188">
      <iconSet iconSet="3Signs">
        <cfvo type="percent" val="0"/>
        <cfvo type="num" val="0.75"/>
        <cfvo type="num" val="1"/>
      </iconSet>
    </cfRule>
  </conditionalFormatting>
  <conditionalFormatting sqref="AM1860">
    <cfRule type="iconSet" priority="187">
      <iconSet iconSet="3Signs">
        <cfvo type="percent" val="0"/>
        <cfvo type="num" val="0.75"/>
        <cfvo type="num" val="1"/>
      </iconSet>
    </cfRule>
  </conditionalFormatting>
  <conditionalFormatting sqref="AM1862 AM1864 AM1866 AM1868 AM1870 AM1872 AM1874 AM1876 AM1878">
    <cfRule type="iconSet" priority="186">
      <iconSet iconSet="3Signs">
        <cfvo type="percent" val="0"/>
        <cfvo type="num" val="0.75"/>
        <cfvo type="num" val="1"/>
      </iconSet>
    </cfRule>
  </conditionalFormatting>
  <conditionalFormatting sqref="AM1882">
    <cfRule type="iconSet" priority="185">
      <iconSet iconSet="3Signs">
        <cfvo type="percent" val="0"/>
        <cfvo type="num" val="0.75"/>
        <cfvo type="num" val="1"/>
      </iconSet>
    </cfRule>
  </conditionalFormatting>
  <conditionalFormatting sqref="AM1894 AM1884 AM1886 AM1888 AM1890 AM1892 AM1896 AM1898">
    <cfRule type="iconSet" priority="184">
      <iconSet iconSet="3Signs">
        <cfvo type="percent" val="0"/>
        <cfvo type="num" val="0.75"/>
        <cfvo type="num" val="1"/>
      </iconSet>
    </cfRule>
  </conditionalFormatting>
  <conditionalFormatting sqref="AM1903">
    <cfRule type="iconSet" priority="183">
      <iconSet iconSet="3Signs">
        <cfvo type="percent" val="0"/>
        <cfvo type="num" val="0.75"/>
        <cfvo type="num" val="1"/>
      </iconSet>
    </cfRule>
  </conditionalFormatting>
  <conditionalFormatting sqref="AM1907">
    <cfRule type="iconSet" priority="182">
      <iconSet iconSet="3Signs">
        <cfvo type="percent" val="0"/>
        <cfvo type="num" val="0.75"/>
        <cfvo type="num" val="1"/>
      </iconSet>
    </cfRule>
  </conditionalFormatting>
  <conditionalFormatting sqref="AM1967 AM1911 AM1909 AM1913 AM1915 AM1917 AM1919 AM1921 AM1923 AM1925 AM1927 AM1929 AM1931 AM1933 AM1935 AM1937 AM1939 AM1941 AM1943 AM1945 AM1947 AM1949 AM1951 AM1953 AM1955 AM1957 AM1959 AM1961 AM1963 AM1969 AM1971 AM1973 AM1975 AM1977 AM1979 AM1981 AM1985 AM1987 AM1989 AM1991 AM1993 AM1995 AM1965">
    <cfRule type="iconSet" priority="181">
      <iconSet iconSet="3Signs">
        <cfvo type="percent" val="0"/>
        <cfvo type="num" val="0.75"/>
        <cfvo type="num" val="1"/>
      </iconSet>
    </cfRule>
  </conditionalFormatting>
  <conditionalFormatting sqref="AM1983">
    <cfRule type="iconSet" priority="180">
      <iconSet iconSet="3Signs">
        <cfvo type="percent" val="0"/>
        <cfvo type="num" val="0.75"/>
        <cfvo type="num" val="1"/>
      </iconSet>
    </cfRule>
  </conditionalFormatting>
  <conditionalFormatting sqref="AM1998">
    <cfRule type="iconSet" priority="179">
      <iconSet iconSet="3Signs">
        <cfvo type="percent" val="0"/>
        <cfvo type="num" val="0.75"/>
        <cfvo type="num" val="1"/>
      </iconSet>
    </cfRule>
  </conditionalFormatting>
  <conditionalFormatting sqref="AM2074 AM2000 AM2002 AM2004 AM2006 AM2008 AM2012 AM2014 AM2016 AM2018 AM2020 AM2022 AM2024 AM2026 AM2028 AM2030 AM2032 AM2034 AM2036 AM2038 AM2040 AM2042 AM2044 AM2046 AM2048 AM2050 AM2052 AM2054 AM2056 AM2058 AM2060 AM2062 AM2064 AM2066 AM2068 AM2070 AM2072 AM2076 AM2078 AM2010">
    <cfRule type="iconSet" priority="178">
      <iconSet iconSet="3Signs">
        <cfvo type="percent" val="0"/>
        <cfvo type="num" val="0.75"/>
        <cfvo type="num" val="1"/>
      </iconSet>
    </cfRule>
  </conditionalFormatting>
  <conditionalFormatting sqref="AM2080">
    <cfRule type="iconSet" priority="177">
      <iconSet iconSet="3Signs">
        <cfvo type="percent" val="0"/>
        <cfvo type="num" val="0.75"/>
        <cfvo type="num" val="1"/>
      </iconSet>
    </cfRule>
  </conditionalFormatting>
  <conditionalFormatting sqref="AM2084">
    <cfRule type="iconSet" priority="176">
      <iconSet iconSet="3Signs">
        <cfvo type="percent" val="0"/>
        <cfvo type="num" val="0.75"/>
        <cfvo type="num" val="1"/>
      </iconSet>
    </cfRule>
  </conditionalFormatting>
  <conditionalFormatting sqref="AM2086 AM2088 AM2090 AM2092 AM2094 AM2096 AM2098 AM2100 AM2102 AM2104 AM2106 AM2108 AM2110 AM2112 AM2114 AM2116 AM2118 AM2120 AM2122 AM2124">
    <cfRule type="iconSet" priority="175">
      <iconSet iconSet="3Signs">
        <cfvo type="percent" val="0"/>
        <cfvo type="num" val="0.75"/>
        <cfvo type="num" val="1"/>
      </iconSet>
    </cfRule>
  </conditionalFormatting>
  <conditionalFormatting sqref="AM2127">
    <cfRule type="iconSet" priority="174">
      <iconSet iconSet="3Signs">
        <cfvo type="percent" val="0"/>
        <cfvo type="num" val="0.75"/>
        <cfvo type="num" val="1"/>
      </iconSet>
    </cfRule>
  </conditionalFormatting>
  <conditionalFormatting sqref="AM2129 AM2131 AM2133 AM2135 AM2137 AM2139 AM2141 AM2143 AM2145 AM2147 AM2149 AM2151 AM2153 AM2155 AM2157 AM2159 AM2161 AM2163 AM2165 AM2167 AM2169 AM2171 AM2173 AM2175 AM2177 AM2179 AM2181 AM2183 AM2185 AM2187 AM2189 AM2191 AM2193 AM2195 AM2197 AM2199 AM2201 AM2203 AM2205 AM2209">
    <cfRule type="iconSet" priority="173">
      <iconSet iconSet="3Signs">
        <cfvo type="percent" val="0"/>
        <cfvo type="num" val="0.75"/>
        <cfvo type="num" val="1"/>
      </iconSet>
    </cfRule>
  </conditionalFormatting>
  <conditionalFormatting sqref="AM2207">
    <cfRule type="iconSet" priority="172">
      <iconSet iconSet="3Signs">
        <cfvo type="percent" val="0"/>
        <cfvo type="num" val="0.75"/>
        <cfvo type="num" val="1"/>
      </iconSet>
    </cfRule>
  </conditionalFormatting>
  <conditionalFormatting sqref="AM2213">
    <cfRule type="iconSet" priority="171">
      <iconSet iconSet="3Signs">
        <cfvo type="percent" val="0"/>
        <cfvo type="num" val="0.75"/>
        <cfvo type="num" val="1"/>
      </iconSet>
    </cfRule>
  </conditionalFormatting>
  <conditionalFormatting sqref="AM2277 AM2215 AM2217 AM2219 AM2221 AM2223 AM2225 AM2227 AM2229 AM2231 AM2233 AM2235 AM2237 AM2239 AM2241 AM2243 AM2245 AM2247 AM2249 AM2251 AM2253 AM2255 AM2257 AM2259 AM2261 AM2263 AM2265 AM2267 AM2269 AM2271 AM2273 AM2275 AM2279 AM2283">
    <cfRule type="iconSet" priority="170">
      <iconSet iconSet="3Signs">
        <cfvo type="percent" val="0"/>
        <cfvo type="num" val="0.75"/>
        <cfvo type="num" val="1"/>
      </iconSet>
    </cfRule>
  </conditionalFormatting>
  <conditionalFormatting sqref="AM2281">
    <cfRule type="iconSet" priority="169">
      <iconSet iconSet="3Signs">
        <cfvo type="percent" val="0"/>
        <cfvo type="num" val="0.75"/>
        <cfvo type="num" val="1"/>
      </iconSet>
    </cfRule>
  </conditionalFormatting>
  <conditionalFormatting sqref="AM2285">
    <cfRule type="iconSet" priority="168">
      <iconSet iconSet="3Signs">
        <cfvo type="percent" val="0"/>
        <cfvo type="num" val="0.75"/>
        <cfvo type="num" val="1"/>
      </iconSet>
    </cfRule>
  </conditionalFormatting>
  <conditionalFormatting sqref="AM2287">
    <cfRule type="iconSet" priority="167">
      <iconSet iconSet="3Signs">
        <cfvo type="percent" val="0"/>
        <cfvo type="num" val="0.75"/>
        <cfvo type="num" val="1"/>
      </iconSet>
    </cfRule>
  </conditionalFormatting>
  <conditionalFormatting sqref="AM2291">
    <cfRule type="iconSet" priority="166">
      <iconSet iconSet="3Signs">
        <cfvo type="percent" val="0"/>
        <cfvo type="num" val="0.75"/>
        <cfvo type="num" val="1"/>
      </iconSet>
    </cfRule>
  </conditionalFormatting>
  <conditionalFormatting sqref="AM2295">
    <cfRule type="iconSet" priority="165">
      <iconSet iconSet="3Signs">
        <cfvo type="percent" val="0"/>
        <cfvo type="num" val="0.75"/>
        <cfvo type="num" val="1"/>
      </iconSet>
    </cfRule>
  </conditionalFormatting>
  <conditionalFormatting sqref="AM2297 AM2301 AM2303 AM2305 AM2307 AM2309 AM2311 AM2313 AM2315 AM2317">
    <cfRule type="iconSet" priority="164">
      <iconSet iconSet="3Signs">
        <cfvo type="percent" val="0"/>
        <cfvo type="num" val="0.75"/>
        <cfvo type="num" val="1"/>
      </iconSet>
    </cfRule>
  </conditionalFormatting>
  <conditionalFormatting sqref="AM2299">
    <cfRule type="iconSet" priority="163">
      <iconSet iconSet="3Signs">
        <cfvo type="percent" val="0"/>
        <cfvo type="num" val="0.75"/>
        <cfvo type="num" val="1"/>
      </iconSet>
    </cfRule>
  </conditionalFormatting>
  <conditionalFormatting sqref="AM2320">
    <cfRule type="iconSet" priority="162">
      <iconSet iconSet="3Signs">
        <cfvo type="percent" val="0"/>
        <cfvo type="num" val="0.75"/>
        <cfvo type="num" val="1"/>
      </iconSet>
    </cfRule>
  </conditionalFormatting>
  <conditionalFormatting sqref="AM2322 AM2324 AM2326 AM2328 AM2330">
    <cfRule type="iconSet" priority="161">
      <iconSet iconSet="3Signs">
        <cfvo type="percent" val="0"/>
        <cfvo type="num" val="0.75"/>
        <cfvo type="num" val="1"/>
      </iconSet>
    </cfRule>
  </conditionalFormatting>
  <conditionalFormatting sqref="AM2333">
    <cfRule type="iconSet" priority="160">
      <iconSet iconSet="3Signs">
        <cfvo type="percent" val="0"/>
        <cfvo type="num" val="0.75"/>
        <cfvo type="num" val="1"/>
      </iconSet>
    </cfRule>
  </conditionalFormatting>
  <conditionalFormatting sqref="AM2335 AM2337 AM2339 AM2341">
    <cfRule type="iconSet" priority="159">
      <iconSet iconSet="3Signs">
        <cfvo type="percent" val="0"/>
        <cfvo type="num" val="0.75"/>
        <cfvo type="num" val="1"/>
      </iconSet>
    </cfRule>
  </conditionalFormatting>
  <conditionalFormatting sqref="AM2345">
    <cfRule type="iconSet" priority="158">
      <iconSet iconSet="3Signs">
        <cfvo type="percent" val="0"/>
        <cfvo type="num" val="0.75"/>
        <cfvo type="num" val="1"/>
      </iconSet>
    </cfRule>
  </conditionalFormatting>
  <conditionalFormatting sqref="AM2347 AM2349 AM2351 AM2353 AM2355">
    <cfRule type="iconSet" priority="157">
      <iconSet iconSet="3Signs">
        <cfvo type="percent" val="0"/>
        <cfvo type="num" val="0.75"/>
        <cfvo type="num" val="1"/>
      </iconSet>
    </cfRule>
  </conditionalFormatting>
  <conditionalFormatting sqref="AM2359">
    <cfRule type="iconSet" priority="156">
      <iconSet iconSet="3Signs">
        <cfvo type="percent" val="0"/>
        <cfvo type="num" val="0.75"/>
        <cfvo type="num" val="1"/>
      </iconSet>
    </cfRule>
  </conditionalFormatting>
  <conditionalFormatting sqref="AM2361 AM2363 AM2365 AM2367 AM2369 AM2371">
    <cfRule type="iconSet" priority="155">
      <iconSet iconSet="3Signs">
        <cfvo type="percent" val="0"/>
        <cfvo type="num" val="0.75"/>
        <cfvo type="num" val="1"/>
      </iconSet>
    </cfRule>
  </conditionalFormatting>
  <conditionalFormatting sqref="AM2375">
    <cfRule type="iconSet" priority="154">
      <iconSet iconSet="3Signs">
        <cfvo type="percent" val="0"/>
        <cfvo type="num" val="0.75"/>
        <cfvo type="num" val="1"/>
      </iconSet>
    </cfRule>
  </conditionalFormatting>
  <conditionalFormatting sqref="AM2379">
    <cfRule type="iconSet" priority="153">
      <iconSet iconSet="3Signs">
        <cfvo type="percent" val="0"/>
        <cfvo type="num" val="0.75"/>
        <cfvo type="num" val="1"/>
      </iconSet>
    </cfRule>
  </conditionalFormatting>
  <conditionalFormatting sqref="AM2381 AM2383 AM2385">
    <cfRule type="iconSet" priority="152">
      <iconSet iconSet="3Signs">
        <cfvo type="percent" val="0"/>
        <cfvo type="num" val="0.75"/>
        <cfvo type="num" val="1"/>
      </iconSet>
    </cfRule>
  </conditionalFormatting>
  <conditionalFormatting sqref="AM2387">
    <cfRule type="iconSet" priority="151">
      <iconSet iconSet="3Signs">
        <cfvo type="percent" val="0"/>
        <cfvo type="num" val="0.75"/>
        <cfvo type="num" val="1"/>
      </iconSet>
    </cfRule>
  </conditionalFormatting>
  <conditionalFormatting sqref="AM2389">
    <cfRule type="iconSet" priority="150">
      <iconSet iconSet="3Signs">
        <cfvo type="percent" val="0"/>
        <cfvo type="num" val="0.75"/>
        <cfvo type="num" val="1"/>
      </iconSet>
    </cfRule>
  </conditionalFormatting>
  <conditionalFormatting sqref="AM2393">
    <cfRule type="iconSet" priority="149">
      <iconSet iconSet="3Signs">
        <cfvo type="percent" val="0"/>
        <cfvo type="num" val="0.75"/>
        <cfvo type="num" val="1"/>
      </iconSet>
    </cfRule>
  </conditionalFormatting>
  <conditionalFormatting sqref="AM2395">
    <cfRule type="iconSet" priority="148">
      <iconSet iconSet="3Signs">
        <cfvo type="percent" val="0"/>
        <cfvo type="num" val="0.75"/>
        <cfvo type="num" val="1"/>
      </iconSet>
    </cfRule>
  </conditionalFormatting>
  <conditionalFormatting sqref="AM2397">
    <cfRule type="iconSet" priority="147">
      <iconSet iconSet="3Signs">
        <cfvo type="percent" val="0"/>
        <cfvo type="num" val="0.75"/>
        <cfvo type="num" val="1"/>
      </iconSet>
    </cfRule>
  </conditionalFormatting>
  <conditionalFormatting sqref="AM2401">
    <cfRule type="iconSet" priority="146">
      <iconSet iconSet="3Signs">
        <cfvo type="percent" val="0"/>
        <cfvo type="num" val="0.75"/>
        <cfvo type="num" val="1"/>
      </iconSet>
    </cfRule>
  </conditionalFormatting>
  <conditionalFormatting sqref="AM2405">
    <cfRule type="iconSet" priority="145">
      <iconSet iconSet="3Signs">
        <cfvo type="percent" val="0"/>
        <cfvo type="num" val="0.75"/>
        <cfvo type="num" val="1"/>
      </iconSet>
    </cfRule>
  </conditionalFormatting>
  <conditionalFormatting sqref="AM2407 AM2409 AM2411 AM2413 AM2415">
    <cfRule type="iconSet" priority="144">
      <iconSet iconSet="3Signs">
        <cfvo type="percent" val="0"/>
        <cfvo type="num" val="0.75"/>
        <cfvo type="num" val="1"/>
      </iconSet>
    </cfRule>
  </conditionalFormatting>
  <conditionalFormatting sqref="AM2417">
    <cfRule type="iconSet" priority="143">
      <iconSet iconSet="3Signs">
        <cfvo type="percent" val="0"/>
        <cfvo type="num" val="0.75"/>
        <cfvo type="num" val="1"/>
      </iconSet>
    </cfRule>
  </conditionalFormatting>
  <conditionalFormatting sqref="AM2419 AM2421 AM2423 AM2425 AM2427 AM2429 AM2431 AM2433 AM2435 AM2437 AM2439 AM2441 AM2443 AM2445 AM2447 AM2449 AM2451">
    <cfRule type="iconSet" priority="142">
      <iconSet iconSet="3Signs">
        <cfvo type="percent" val="0"/>
        <cfvo type="num" val="0.75"/>
        <cfvo type="num" val="1"/>
      </iconSet>
    </cfRule>
  </conditionalFormatting>
  <conditionalFormatting sqref="AM2453">
    <cfRule type="iconSet" priority="141">
      <iconSet iconSet="3Signs">
        <cfvo type="percent" val="0"/>
        <cfvo type="num" val="0.75"/>
        <cfvo type="num" val="1"/>
      </iconSet>
    </cfRule>
  </conditionalFormatting>
  <conditionalFormatting sqref="AM2457">
    <cfRule type="iconSet" priority="140">
      <iconSet iconSet="3Signs">
        <cfvo type="percent" val="0"/>
        <cfvo type="num" val="0.75"/>
        <cfvo type="num" val="1"/>
      </iconSet>
    </cfRule>
  </conditionalFormatting>
  <conditionalFormatting sqref="AM2499 AM2459 AM2461 AM2463 AM2465 AM2467 AM2469 AM2471 AM2473 AM2475 AM2477 AM2479 AM2481 AM2483 AM2485 AM2487 AM2489 AM2491 AM2493 AM2495 AM2497 AM2501 AM2503 AM2505 AM2507 AM2509 AM2511 AM2513 AM2515 AM2517 AM2519 AM2521">
    <cfRule type="iconSet" priority="139">
      <iconSet iconSet="3Signs">
        <cfvo type="percent" val="0"/>
        <cfvo type="num" val="0.75"/>
        <cfvo type="num" val="1"/>
      </iconSet>
    </cfRule>
  </conditionalFormatting>
  <conditionalFormatting sqref="AM2523">
    <cfRule type="iconSet" priority="138">
      <iconSet iconSet="3Signs">
        <cfvo type="percent" val="0"/>
        <cfvo type="num" val="0.75"/>
        <cfvo type="num" val="1"/>
      </iconSet>
    </cfRule>
  </conditionalFormatting>
  <conditionalFormatting sqref="AM2527">
    <cfRule type="iconSet" priority="137">
      <iconSet iconSet="3Signs">
        <cfvo type="percent" val="0"/>
        <cfvo type="num" val="0.75"/>
        <cfvo type="num" val="1"/>
      </iconSet>
    </cfRule>
  </conditionalFormatting>
  <conditionalFormatting sqref="AM2529">
    <cfRule type="iconSet" priority="136">
      <iconSet iconSet="3Signs">
        <cfvo type="percent" val="0"/>
        <cfvo type="num" val="0.75"/>
        <cfvo type="num" val="1"/>
      </iconSet>
    </cfRule>
  </conditionalFormatting>
  <conditionalFormatting sqref="AM2531 AM2533">
    <cfRule type="iconSet" priority="135">
      <iconSet iconSet="3Signs">
        <cfvo type="percent" val="0"/>
        <cfvo type="num" val="0.75"/>
        <cfvo type="num" val="1"/>
      </iconSet>
    </cfRule>
  </conditionalFormatting>
  <conditionalFormatting sqref="AM2537">
    <cfRule type="iconSet" priority="134">
      <iconSet iconSet="3Signs">
        <cfvo type="percent" val="0"/>
        <cfvo type="num" val="0.75"/>
        <cfvo type="num" val="1"/>
      </iconSet>
    </cfRule>
  </conditionalFormatting>
  <conditionalFormatting sqref="AM2539 AM2541 AM2543 AM2545 AM2547 AM2549 AM2551 AM2553 AM2555 AM2557 AM2559">
    <cfRule type="iconSet" priority="133">
      <iconSet iconSet="3Signs">
        <cfvo type="percent" val="0"/>
        <cfvo type="num" val="0.75"/>
        <cfvo type="num" val="1"/>
      </iconSet>
    </cfRule>
  </conditionalFormatting>
  <conditionalFormatting sqref="AM2563">
    <cfRule type="iconSet" priority="132">
      <iconSet iconSet="3Signs">
        <cfvo type="percent" val="0"/>
        <cfvo type="num" val="0.75"/>
        <cfvo type="num" val="1"/>
      </iconSet>
    </cfRule>
  </conditionalFormatting>
  <conditionalFormatting sqref="AM2565 AM2567 AM2569 AM2571 AM2573 AM2575 AM2577 AM2579 AM2581 AM2583 AM2585 AM2587 AM2589 AM2591 AM2593 AM2595 AM2597 AM2599 AM2601">
    <cfRule type="iconSet" priority="131">
      <iconSet iconSet="3Signs">
        <cfvo type="percent" val="0"/>
        <cfvo type="num" val="0.75"/>
        <cfvo type="num" val="1"/>
      </iconSet>
    </cfRule>
  </conditionalFormatting>
  <conditionalFormatting sqref="AM2605">
    <cfRule type="iconSet" priority="130">
      <iconSet iconSet="3Signs">
        <cfvo type="percent" val="0"/>
        <cfvo type="num" val="0.75"/>
        <cfvo type="num" val="1"/>
      </iconSet>
    </cfRule>
  </conditionalFormatting>
  <conditionalFormatting sqref="AM2609">
    <cfRule type="iconSet" priority="129">
      <iconSet iconSet="3Signs">
        <cfvo type="percent" val="0"/>
        <cfvo type="num" val="0.75"/>
        <cfvo type="num" val="1"/>
      </iconSet>
    </cfRule>
  </conditionalFormatting>
  <conditionalFormatting sqref="AM2611 AM2613 AM2615 AM2617 AM2619 AM2621 AM2623 AM2625 AM2627 AM2629 AM2631 AM2633 AM2635 AM2637 AM2639 AM2641 AM2643 AM2645 AM2647 AM2649 AM2651 AM2653 AM2655 AM2657 AM2659 AM2661 AM2663 AM2665 AM2667 AM2669">
    <cfRule type="iconSet" priority="128">
      <iconSet iconSet="3Signs">
        <cfvo type="percent" val="0"/>
        <cfvo type="num" val="0.75"/>
        <cfvo type="num" val="1"/>
      </iconSet>
    </cfRule>
  </conditionalFormatting>
  <conditionalFormatting sqref="AM2672">
    <cfRule type="iconSet" priority="127">
      <iconSet iconSet="3Signs">
        <cfvo type="percent" val="0"/>
        <cfvo type="num" val="0.75"/>
        <cfvo type="num" val="1"/>
      </iconSet>
    </cfRule>
  </conditionalFormatting>
  <conditionalFormatting sqref="AM2674 AM2676 AM2678 AM2680 AM2682 AM2684 AM2686 AM2688 AM2690 AM2692 AM2694 AM2696 AM2698 AM2700 AM2702 AM2704 AM2706 AM2708 AM2710 AM2712 AM2714 AM2716 AM2718 AM2720 AM2722 AM2724 AM2726 AM2728 AM2730 AM2732 AM2734">
    <cfRule type="iconSet" priority="126">
      <iconSet iconSet="3Signs">
        <cfvo type="percent" val="0"/>
        <cfvo type="num" val="0.75"/>
        <cfvo type="num" val="1"/>
      </iconSet>
    </cfRule>
  </conditionalFormatting>
  <conditionalFormatting sqref="AM2738">
    <cfRule type="iconSet" priority="125">
      <iconSet iconSet="3Signs">
        <cfvo type="percent" val="0"/>
        <cfvo type="num" val="0.75"/>
        <cfvo type="num" val="1"/>
      </iconSet>
    </cfRule>
  </conditionalFormatting>
  <conditionalFormatting sqref="AM2740 AM2742 AM2744 AM2746 AM2748 AM2750 AM2752 AM2754 AM2756 AM2758 AM2760">
    <cfRule type="iconSet" priority="124">
      <iconSet iconSet="3Signs">
        <cfvo type="percent" val="0"/>
        <cfvo type="num" val="0.75"/>
        <cfvo type="num" val="1"/>
      </iconSet>
    </cfRule>
  </conditionalFormatting>
  <conditionalFormatting sqref="AM2764">
    <cfRule type="iconSet" priority="123">
      <iconSet iconSet="3Signs">
        <cfvo type="percent" val="0"/>
        <cfvo type="num" val="0.75"/>
        <cfvo type="num" val="1"/>
      </iconSet>
    </cfRule>
  </conditionalFormatting>
  <conditionalFormatting sqref="AM2766 AM2768 AM2770 AM2772 AM2774 AM2776 AM2778 AM2780 AM2782 AM2784 AM2786 AM2788 AM2790 AM2792 AM2794 AM2796 AM2798 AM2800 AM2802 AM2804 AM2806 AM2808 AM2810">
    <cfRule type="iconSet" priority="122">
      <iconSet iconSet="3Signs">
        <cfvo type="percent" val="0"/>
        <cfvo type="num" val="0.75"/>
        <cfvo type="num" val="1"/>
      </iconSet>
    </cfRule>
  </conditionalFormatting>
  <conditionalFormatting sqref="AM2814">
    <cfRule type="iconSet" priority="121">
      <iconSet iconSet="3Signs">
        <cfvo type="percent" val="0"/>
        <cfvo type="num" val="0.75"/>
        <cfvo type="num" val="1"/>
      </iconSet>
    </cfRule>
  </conditionalFormatting>
  <conditionalFormatting sqref="AM2816 AM2818 AM2820 AM2822 AM2824 AM2826 AM2828 AM2830 AM2832 AM2834 AM2836 AM2838 AM2840 AM2842 AM2844 AM2846 AM2848">
    <cfRule type="iconSet" priority="120">
      <iconSet iconSet="3Signs">
        <cfvo type="percent" val="0"/>
        <cfvo type="num" val="0.75"/>
        <cfvo type="num" val="1"/>
      </iconSet>
    </cfRule>
  </conditionalFormatting>
  <conditionalFormatting sqref="AM2852">
    <cfRule type="iconSet" priority="119">
      <iconSet iconSet="3Signs">
        <cfvo type="percent" val="0"/>
        <cfvo type="num" val="0.75"/>
        <cfvo type="num" val="1"/>
      </iconSet>
    </cfRule>
  </conditionalFormatting>
  <conditionalFormatting sqref="AM2856">
    <cfRule type="iconSet" priority="118">
      <iconSet iconSet="3Signs">
        <cfvo type="percent" val="0"/>
        <cfvo type="num" val="0.75"/>
        <cfvo type="num" val="1"/>
      </iconSet>
    </cfRule>
  </conditionalFormatting>
  <conditionalFormatting sqref="AM2858 AM2860 AM2862 AM2864 AM2866 AM2868 AM2870 AM2872 AM2874 AM2876 AM2878 AM2880 AM2882 AM2884 AM2886 AM2888 AM2890 AM2892 AM2894 AM2896 AM2898 AM2900 AM2902 AM2904 AM2906 AM2908 AM2910 AM2912 AM2914 AM2916 AM2918 AM2920 AM2922 AM2924 AM2926 AM2928 AM2930 AM2932 AM2934 AM2936 AM2938 AM2940 AM2942 AM2944 AM2946 AM2948 AM2950 AM2952">
    <cfRule type="iconSet" priority="117">
      <iconSet iconSet="3Signs">
        <cfvo type="percent" val="0"/>
        <cfvo type="num" val="0.75"/>
        <cfvo type="num" val="1"/>
      </iconSet>
    </cfRule>
  </conditionalFormatting>
  <conditionalFormatting sqref="AM2954">
    <cfRule type="iconSet" priority="116">
      <iconSet iconSet="3Signs">
        <cfvo type="percent" val="0"/>
        <cfvo type="num" val="0.75"/>
        <cfvo type="num" val="1"/>
      </iconSet>
    </cfRule>
  </conditionalFormatting>
  <conditionalFormatting sqref="AM2956">
    <cfRule type="iconSet" priority="115">
      <iconSet iconSet="3Signs">
        <cfvo type="percent" val="0"/>
        <cfvo type="num" val="0.75"/>
        <cfvo type="num" val="1"/>
      </iconSet>
    </cfRule>
  </conditionalFormatting>
  <conditionalFormatting sqref="AM2960">
    <cfRule type="iconSet" priority="114">
      <iconSet iconSet="3Signs">
        <cfvo type="percent" val="0"/>
        <cfvo type="num" val="0.75"/>
        <cfvo type="num" val="1"/>
      </iconSet>
    </cfRule>
  </conditionalFormatting>
  <conditionalFormatting sqref="AM2962 AM2964 AM2966 AM2968 AM2970 AM2972 AM2974 AM2976 AM2978 AM2980 AM2982 AM2984 AM2986 AM2988 AM2990 AM2992 AM2994 AM2996 AM2998 AM3000 AM3002 AM3004 AM3006 AM3008 AM3010 AM3012 AM3014 AM3016 AM3018 AM3020 AM3022 AM3024 AM3026 AM3028 AM3030 AM3032 AM3034 AM3036 AM3038 AM3040 AM3042 AM3044 AM3046 AM3048 AM3050 AM3052 AM3054 AM3056 AM3058">
    <cfRule type="iconSet" priority="113">
      <iconSet iconSet="3Signs">
        <cfvo type="percent" val="0"/>
        <cfvo type="num" val="0.75"/>
        <cfvo type="num" val="1"/>
      </iconSet>
    </cfRule>
  </conditionalFormatting>
  <conditionalFormatting sqref="AM3060">
    <cfRule type="iconSet" priority="112">
      <iconSet iconSet="3Signs">
        <cfvo type="percent" val="0"/>
        <cfvo type="num" val="0.75"/>
        <cfvo type="num" val="1"/>
      </iconSet>
    </cfRule>
  </conditionalFormatting>
  <conditionalFormatting sqref="AM3063">
    <cfRule type="iconSet" priority="111">
      <iconSet iconSet="3Signs">
        <cfvo type="percent" val="0"/>
        <cfvo type="num" val="0.75"/>
        <cfvo type="num" val="1"/>
      </iconSet>
    </cfRule>
  </conditionalFormatting>
  <conditionalFormatting sqref="AM3065 AM3067 AM3069 AM3071 AM3073 AM3075 AM3077 AM3079 AM3081 AM3083 AM3085 AM3087 AM3089">
    <cfRule type="iconSet" priority="110">
      <iconSet iconSet="3Signs">
        <cfvo type="percent" val="0"/>
        <cfvo type="num" val="0.75"/>
        <cfvo type="num" val="1"/>
      </iconSet>
    </cfRule>
  </conditionalFormatting>
  <conditionalFormatting sqref="AM3091">
    <cfRule type="iconSet" priority="109">
      <iconSet iconSet="3Signs">
        <cfvo type="percent" val="0"/>
        <cfvo type="num" val="0.75"/>
        <cfvo type="num" val="1"/>
      </iconSet>
    </cfRule>
  </conditionalFormatting>
  <conditionalFormatting sqref="AM3093">
    <cfRule type="iconSet" priority="108">
      <iconSet iconSet="3Signs">
        <cfvo type="percent" val="0"/>
        <cfvo type="num" val="0.75"/>
        <cfvo type="num" val="1"/>
      </iconSet>
    </cfRule>
  </conditionalFormatting>
  <conditionalFormatting sqref="AM3095">
    <cfRule type="iconSet" priority="107">
      <iconSet iconSet="3Signs">
        <cfvo type="percent" val="0"/>
        <cfvo type="num" val="0.75"/>
        <cfvo type="num" val="1"/>
      </iconSet>
    </cfRule>
  </conditionalFormatting>
  <conditionalFormatting sqref="AM3097">
    <cfRule type="iconSet" priority="106">
      <iconSet iconSet="3Signs">
        <cfvo type="percent" val="0"/>
        <cfvo type="num" val="0.75"/>
        <cfvo type="num" val="1"/>
      </iconSet>
    </cfRule>
  </conditionalFormatting>
  <conditionalFormatting sqref="AM3101">
    <cfRule type="iconSet" priority="105">
      <iconSet iconSet="3Signs">
        <cfvo type="percent" val="0"/>
        <cfvo type="num" val="0.75"/>
        <cfvo type="num" val="1"/>
      </iconSet>
    </cfRule>
  </conditionalFormatting>
  <conditionalFormatting sqref="AM3147 AM3103 AM3105 AM3107 AM3109 AM3111 AM3113 AM3115 AM3117 AM3119 AM3121 AM3123 AM3125 AM3127 AM3129 AM3131 AM3133 AM3135 AM3137 AM3139 AM3141 AM3143 AM3145">
    <cfRule type="iconSet" priority="104">
      <iconSet iconSet="3Signs">
        <cfvo type="percent" val="0"/>
        <cfvo type="num" val="0.75"/>
        <cfvo type="num" val="1"/>
      </iconSet>
    </cfRule>
  </conditionalFormatting>
  <conditionalFormatting sqref="AM3151">
    <cfRule type="iconSet" priority="103">
      <iconSet iconSet="3Signs">
        <cfvo type="percent" val="0"/>
        <cfvo type="num" val="0.75"/>
        <cfvo type="num" val="1"/>
      </iconSet>
    </cfRule>
  </conditionalFormatting>
  <conditionalFormatting sqref="AM3153 AM3155 AM3157 AM3159 AM3161 AM3163 AM3165 AM3167 AM3169 AM3171 AM3173 AM3175 AM3177 AM3179 AM3181 AM3183 AM3185 AM3187 AM3189 AM3191 AM3193 AM3195 AM3197 AM3199 AM3201 AM3203 AM3205 AM3207 AM3209 AM3211 AM3213 AM3215 AM3217 AM3219 AM3221">
    <cfRule type="iconSet" priority="102">
      <iconSet iconSet="3Signs">
        <cfvo type="percent" val="0"/>
        <cfvo type="num" val="0.75"/>
        <cfvo type="num" val="1"/>
      </iconSet>
    </cfRule>
  </conditionalFormatting>
  <conditionalFormatting sqref="AM3224">
    <cfRule type="iconSet" priority="101">
      <iconSet iconSet="3Signs">
        <cfvo type="percent" val="0"/>
        <cfvo type="num" val="0.75"/>
        <cfvo type="num" val="1"/>
      </iconSet>
    </cfRule>
  </conditionalFormatting>
  <conditionalFormatting sqref="AM3228">
    <cfRule type="iconSet" priority="100">
      <iconSet iconSet="3Signs">
        <cfvo type="percent" val="0"/>
        <cfvo type="num" val="0.75"/>
        <cfvo type="num" val="1"/>
      </iconSet>
    </cfRule>
  </conditionalFormatting>
  <conditionalFormatting sqref="AM3230 AM3232 AM3234 AM3236 AM3238 AM3240 AM3242 AM3244 AM3246 AM3248">
    <cfRule type="iconSet" priority="99">
      <iconSet iconSet="3Signs">
        <cfvo type="percent" val="0"/>
        <cfvo type="num" val="0.75"/>
        <cfvo type="num" val="1"/>
      </iconSet>
    </cfRule>
  </conditionalFormatting>
  <conditionalFormatting sqref="AM3252">
    <cfRule type="iconSet" priority="98">
      <iconSet iconSet="3Signs">
        <cfvo type="percent" val="0"/>
        <cfvo type="num" val="0.75"/>
        <cfvo type="num" val="1"/>
      </iconSet>
    </cfRule>
  </conditionalFormatting>
  <conditionalFormatting sqref="AM3254 AM3256 AM3258 AM3260 AM3262 AM3264 AM3266 AM3268 AM3270 AM3272 AM3274">
    <cfRule type="iconSet" priority="97">
      <iconSet iconSet="3Signs">
        <cfvo type="percent" val="0"/>
        <cfvo type="num" val="0.75"/>
        <cfvo type="num" val="1"/>
      </iconSet>
    </cfRule>
  </conditionalFormatting>
  <conditionalFormatting sqref="AM3277">
    <cfRule type="iconSet" priority="96">
      <iconSet iconSet="3Signs">
        <cfvo type="percent" val="0"/>
        <cfvo type="num" val="0.75"/>
        <cfvo type="num" val="1"/>
      </iconSet>
    </cfRule>
  </conditionalFormatting>
  <conditionalFormatting sqref="AM3279 AM3281 AM3283 AM3285">
    <cfRule type="iconSet" priority="95">
      <iconSet iconSet="3Signs">
        <cfvo type="percent" val="0"/>
        <cfvo type="num" val="0.75"/>
        <cfvo type="num" val="1"/>
      </iconSet>
    </cfRule>
  </conditionalFormatting>
  <conditionalFormatting sqref="AM3289">
    <cfRule type="iconSet" priority="94">
      <iconSet iconSet="3Signs">
        <cfvo type="percent" val="0"/>
        <cfvo type="num" val="0.75"/>
        <cfvo type="num" val="1"/>
      </iconSet>
    </cfRule>
  </conditionalFormatting>
  <conditionalFormatting sqref="AM3291 AM3293 AM3295 AM3297 AM3299 AM3301 AM3303 AM3305">
    <cfRule type="iconSet" priority="93">
      <iconSet iconSet="3Signs">
        <cfvo type="percent" val="0"/>
        <cfvo type="num" val="0.75"/>
        <cfvo type="num" val="1"/>
      </iconSet>
    </cfRule>
  </conditionalFormatting>
  <conditionalFormatting sqref="AM3309">
    <cfRule type="iconSet" priority="92">
      <iconSet iconSet="3Signs">
        <cfvo type="percent" val="0"/>
        <cfvo type="num" val="0.75"/>
        <cfvo type="num" val="1"/>
      </iconSet>
    </cfRule>
  </conditionalFormatting>
  <conditionalFormatting sqref="AM3311 AM3313 AM3315 AM3317 AM3319 AM3321">
    <cfRule type="iconSet" priority="91">
      <iconSet iconSet="3Signs">
        <cfvo type="percent" val="0"/>
        <cfvo type="num" val="0.75"/>
        <cfvo type="num" val="1"/>
      </iconSet>
    </cfRule>
  </conditionalFormatting>
  <conditionalFormatting sqref="AM3325">
    <cfRule type="iconSet" priority="90">
      <iconSet iconSet="3Signs">
        <cfvo type="percent" val="0"/>
        <cfvo type="num" val="0.75"/>
        <cfvo type="num" val="1"/>
      </iconSet>
    </cfRule>
  </conditionalFormatting>
  <conditionalFormatting sqref="AM3329">
    <cfRule type="iconSet" priority="89">
      <iconSet iconSet="3Signs">
        <cfvo type="percent" val="0"/>
        <cfvo type="num" val="0.75"/>
        <cfvo type="num" val="1"/>
      </iconSet>
    </cfRule>
  </conditionalFormatting>
  <conditionalFormatting sqref="AM3331">
    <cfRule type="iconSet" priority="88">
      <iconSet iconSet="3Signs">
        <cfvo type="percent" val="0"/>
        <cfvo type="num" val="0.75"/>
        <cfvo type="num" val="1"/>
      </iconSet>
    </cfRule>
  </conditionalFormatting>
  <conditionalFormatting sqref="AM3333">
    <cfRule type="iconSet" priority="87">
      <iconSet iconSet="3Signs">
        <cfvo type="percent" val="0"/>
        <cfvo type="num" val="0.75"/>
        <cfvo type="num" val="1"/>
      </iconSet>
    </cfRule>
  </conditionalFormatting>
  <conditionalFormatting sqref="AM3335">
    <cfRule type="iconSet" priority="86">
      <iconSet iconSet="3Signs">
        <cfvo type="percent" val="0"/>
        <cfvo type="num" val="0.75"/>
        <cfvo type="num" val="1"/>
      </iconSet>
    </cfRule>
  </conditionalFormatting>
  <conditionalFormatting sqref="AM3337">
    <cfRule type="iconSet" priority="85">
      <iconSet iconSet="3Signs">
        <cfvo type="percent" val="0"/>
        <cfvo type="num" val="0.75"/>
        <cfvo type="num" val="1"/>
      </iconSet>
    </cfRule>
  </conditionalFormatting>
  <conditionalFormatting sqref="AM3339">
    <cfRule type="iconSet" priority="84">
      <iconSet iconSet="3Signs">
        <cfvo type="percent" val="0"/>
        <cfvo type="num" val="0.75"/>
        <cfvo type="num" val="1"/>
      </iconSet>
    </cfRule>
  </conditionalFormatting>
  <conditionalFormatting sqref="AM3341">
    <cfRule type="iconSet" priority="83">
      <iconSet iconSet="3Signs">
        <cfvo type="percent" val="0"/>
        <cfvo type="num" val="0.75"/>
        <cfvo type="num" val="1"/>
      </iconSet>
    </cfRule>
  </conditionalFormatting>
  <conditionalFormatting sqref="AM3343">
    <cfRule type="iconSet" priority="82">
      <iconSet iconSet="3Signs">
        <cfvo type="percent" val="0"/>
        <cfvo type="num" val="0.75"/>
        <cfvo type="num" val="1"/>
      </iconSet>
    </cfRule>
  </conditionalFormatting>
  <conditionalFormatting sqref="AM3345">
    <cfRule type="iconSet" priority="81">
      <iconSet iconSet="3Signs">
        <cfvo type="percent" val="0"/>
        <cfvo type="num" val="0.75"/>
        <cfvo type="num" val="1"/>
      </iconSet>
    </cfRule>
  </conditionalFormatting>
  <conditionalFormatting sqref="AM3347">
    <cfRule type="iconSet" priority="80">
      <iconSet iconSet="3Signs">
        <cfvo type="percent" val="0"/>
        <cfvo type="num" val="0.75"/>
        <cfvo type="num" val="1"/>
      </iconSet>
    </cfRule>
  </conditionalFormatting>
  <conditionalFormatting sqref="AM3350">
    <cfRule type="iconSet" priority="79">
      <iconSet iconSet="3Signs">
        <cfvo type="percent" val="0"/>
        <cfvo type="num" val="0.75"/>
        <cfvo type="num" val="1"/>
      </iconSet>
    </cfRule>
  </conditionalFormatting>
  <conditionalFormatting sqref="AM3352">
    <cfRule type="iconSet" priority="78">
      <iconSet iconSet="3Signs">
        <cfvo type="percent" val="0"/>
        <cfvo type="num" val="0.75"/>
        <cfvo type="num" val="1"/>
      </iconSet>
    </cfRule>
  </conditionalFormatting>
  <conditionalFormatting sqref="AM3354">
    <cfRule type="iconSet" priority="77">
      <iconSet iconSet="3Signs">
        <cfvo type="percent" val="0"/>
        <cfvo type="num" val="0.75"/>
        <cfvo type="num" val="1"/>
      </iconSet>
    </cfRule>
  </conditionalFormatting>
  <conditionalFormatting sqref="AM3356">
    <cfRule type="iconSet" priority="76">
      <iconSet iconSet="3Signs">
        <cfvo type="percent" val="0"/>
        <cfvo type="num" val="0.75"/>
        <cfvo type="num" val="1"/>
      </iconSet>
    </cfRule>
  </conditionalFormatting>
  <conditionalFormatting sqref="AM3358">
    <cfRule type="iconSet" priority="75">
      <iconSet iconSet="3Signs">
        <cfvo type="percent" val="0"/>
        <cfvo type="num" val="0.75"/>
        <cfvo type="num" val="1"/>
      </iconSet>
    </cfRule>
  </conditionalFormatting>
  <conditionalFormatting sqref="AM3360">
    <cfRule type="iconSet" priority="74">
      <iconSet iconSet="3Signs">
        <cfvo type="percent" val="0"/>
        <cfvo type="num" val="0.75"/>
        <cfvo type="num" val="1"/>
      </iconSet>
    </cfRule>
  </conditionalFormatting>
  <conditionalFormatting sqref="AM3362">
    <cfRule type="iconSet" priority="73">
      <iconSet iconSet="3Signs">
        <cfvo type="percent" val="0"/>
        <cfvo type="num" val="0.75"/>
        <cfvo type="num" val="1"/>
      </iconSet>
    </cfRule>
  </conditionalFormatting>
  <conditionalFormatting sqref="AM3365">
    <cfRule type="iconSet" priority="72">
      <iconSet iconSet="3Signs">
        <cfvo type="percent" val="0"/>
        <cfvo type="num" val="0.75"/>
        <cfvo type="num" val="1"/>
      </iconSet>
    </cfRule>
  </conditionalFormatting>
  <conditionalFormatting sqref="AM3367">
    <cfRule type="iconSet" priority="71">
      <iconSet iconSet="3Signs">
        <cfvo type="percent" val="0"/>
        <cfvo type="num" val="0.75"/>
        <cfvo type="num" val="1"/>
      </iconSet>
    </cfRule>
  </conditionalFormatting>
  <conditionalFormatting sqref="AM3369">
    <cfRule type="iconSet" priority="70">
      <iconSet iconSet="3Signs">
        <cfvo type="percent" val="0"/>
        <cfvo type="num" val="0.75"/>
        <cfvo type="num" val="1"/>
      </iconSet>
    </cfRule>
  </conditionalFormatting>
  <conditionalFormatting sqref="AM3371">
    <cfRule type="iconSet" priority="69">
      <iconSet iconSet="3Signs">
        <cfvo type="percent" val="0"/>
        <cfvo type="num" val="0.75"/>
        <cfvo type="num" val="1"/>
      </iconSet>
    </cfRule>
  </conditionalFormatting>
  <conditionalFormatting sqref="AM3373">
    <cfRule type="iconSet" priority="68">
      <iconSet iconSet="3Signs">
        <cfvo type="percent" val="0"/>
        <cfvo type="num" val="0.75"/>
        <cfvo type="num" val="1"/>
      </iconSet>
    </cfRule>
  </conditionalFormatting>
  <conditionalFormatting sqref="AM3377">
    <cfRule type="iconSet" priority="67">
      <iconSet iconSet="3Signs">
        <cfvo type="percent" val="0"/>
        <cfvo type="num" val="0.75"/>
        <cfvo type="num" val="1"/>
      </iconSet>
    </cfRule>
  </conditionalFormatting>
  <conditionalFormatting sqref="AM3381">
    <cfRule type="iconSet" priority="66">
      <iconSet iconSet="3Signs">
        <cfvo type="percent" val="0"/>
        <cfvo type="num" val="0.75"/>
        <cfvo type="num" val="1"/>
      </iconSet>
    </cfRule>
  </conditionalFormatting>
  <conditionalFormatting sqref="AM3383 AM3385">
    <cfRule type="iconSet" priority="65">
      <iconSet iconSet="3Signs">
        <cfvo type="percent" val="0"/>
        <cfvo type="num" val="0.75"/>
        <cfvo type="num" val="1"/>
      </iconSet>
    </cfRule>
  </conditionalFormatting>
  <conditionalFormatting sqref="AM3387">
    <cfRule type="iconSet" priority="64">
      <iconSet iconSet="3Signs">
        <cfvo type="percent" val="0"/>
        <cfvo type="num" val="0.75"/>
        <cfvo type="num" val="1"/>
      </iconSet>
    </cfRule>
  </conditionalFormatting>
  <conditionalFormatting sqref="AM3389">
    <cfRule type="iconSet" priority="63">
      <iconSet iconSet="3Signs">
        <cfvo type="percent" val="0"/>
        <cfvo type="num" val="0.75"/>
        <cfvo type="num" val="1"/>
      </iconSet>
    </cfRule>
  </conditionalFormatting>
  <conditionalFormatting sqref="AM3391">
    <cfRule type="iconSet" priority="62">
      <iconSet iconSet="3Signs">
        <cfvo type="percent" val="0"/>
        <cfvo type="num" val="0.75"/>
        <cfvo type="num" val="1"/>
      </iconSet>
    </cfRule>
  </conditionalFormatting>
  <conditionalFormatting sqref="AM3393">
    <cfRule type="iconSet" priority="61">
      <iconSet iconSet="3Signs">
        <cfvo type="percent" val="0"/>
        <cfvo type="num" val="0.75"/>
        <cfvo type="num" val="1"/>
      </iconSet>
    </cfRule>
  </conditionalFormatting>
  <conditionalFormatting sqref="AM3395">
    <cfRule type="iconSet" priority="60">
      <iconSet iconSet="3Signs">
        <cfvo type="percent" val="0"/>
        <cfvo type="num" val="0.75"/>
        <cfvo type="num" val="1"/>
      </iconSet>
    </cfRule>
  </conditionalFormatting>
  <conditionalFormatting sqref="AM3397">
    <cfRule type="iconSet" priority="59">
      <iconSet iconSet="3Signs">
        <cfvo type="percent" val="0"/>
        <cfvo type="num" val="0.75"/>
        <cfvo type="num" val="1"/>
      </iconSet>
    </cfRule>
  </conditionalFormatting>
  <conditionalFormatting sqref="AM3399">
    <cfRule type="iconSet" priority="58">
      <iconSet iconSet="3Signs">
        <cfvo type="percent" val="0"/>
        <cfvo type="num" val="0.75"/>
        <cfvo type="num" val="1"/>
      </iconSet>
    </cfRule>
  </conditionalFormatting>
  <conditionalFormatting sqref="AM3401">
    <cfRule type="iconSet" priority="57">
      <iconSet iconSet="3Signs">
        <cfvo type="percent" val="0"/>
        <cfvo type="num" val="0.75"/>
        <cfvo type="num" val="1"/>
      </iconSet>
    </cfRule>
  </conditionalFormatting>
  <conditionalFormatting sqref="AM3403">
    <cfRule type="iconSet" priority="56">
      <iconSet iconSet="3Signs">
        <cfvo type="percent" val="0"/>
        <cfvo type="num" val="0.75"/>
        <cfvo type="num" val="1"/>
      </iconSet>
    </cfRule>
  </conditionalFormatting>
  <conditionalFormatting sqref="AM3405">
    <cfRule type="iconSet" priority="55">
      <iconSet iconSet="3Signs">
        <cfvo type="percent" val="0"/>
        <cfvo type="num" val="0.75"/>
        <cfvo type="num" val="1"/>
      </iconSet>
    </cfRule>
  </conditionalFormatting>
  <conditionalFormatting sqref="AM3407">
    <cfRule type="iconSet" priority="54">
      <iconSet iconSet="3Signs">
        <cfvo type="percent" val="0"/>
        <cfvo type="num" val="0.75"/>
        <cfvo type="num" val="1"/>
      </iconSet>
    </cfRule>
  </conditionalFormatting>
  <conditionalFormatting sqref="AM3409">
    <cfRule type="iconSet" priority="53">
      <iconSet iconSet="3Signs">
        <cfvo type="percent" val="0"/>
        <cfvo type="num" val="0.75"/>
        <cfvo type="num" val="1"/>
      </iconSet>
    </cfRule>
  </conditionalFormatting>
  <conditionalFormatting sqref="AM3411">
    <cfRule type="iconSet" priority="52">
      <iconSet iconSet="3Signs">
        <cfvo type="percent" val="0"/>
        <cfvo type="num" val="0.75"/>
        <cfvo type="num" val="1"/>
      </iconSet>
    </cfRule>
  </conditionalFormatting>
  <conditionalFormatting sqref="AM3413">
    <cfRule type="iconSet" priority="51">
      <iconSet iconSet="3Signs">
        <cfvo type="percent" val="0"/>
        <cfvo type="num" val="0.75"/>
        <cfvo type="num" val="1"/>
      </iconSet>
    </cfRule>
  </conditionalFormatting>
  <conditionalFormatting sqref="AM3416">
    <cfRule type="iconSet" priority="50">
      <iconSet iconSet="3Signs">
        <cfvo type="percent" val="0"/>
        <cfvo type="num" val="0.75"/>
        <cfvo type="num" val="1"/>
      </iconSet>
    </cfRule>
  </conditionalFormatting>
  <conditionalFormatting sqref="AM3418">
    <cfRule type="iconSet" priority="49">
      <iconSet iconSet="3Signs">
        <cfvo type="percent" val="0"/>
        <cfvo type="num" val="0.75"/>
        <cfvo type="num" val="1"/>
      </iconSet>
    </cfRule>
  </conditionalFormatting>
  <conditionalFormatting sqref="AM3420">
    <cfRule type="iconSet" priority="48">
      <iconSet iconSet="3Signs">
        <cfvo type="percent" val="0"/>
        <cfvo type="num" val="0.75"/>
        <cfvo type="num" val="1"/>
      </iconSet>
    </cfRule>
  </conditionalFormatting>
  <conditionalFormatting sqref="AM3422">
    <cfRule type="iconSet" priority="47">
      <iconSet iconSet="3Signs">
        <cfvo type="percent" val="0"/>
        <cfvo type="num" val="0.75"/>
        <cfvo type="num" val="1"/>
      </iconSet>
    </cfRule>
  </conditionalFormatting>
  <conditionalFormatting sqref="AM3424">
    <cfRule type="iconSet" priority="46">
      <iconSet iconSet="3Signs">
        <cfvo type="percent" val="0"/>
        <cfvo type="num" val="0.75"/>
        <cfvo type="num" val="1"/>
      </iconSet>
    </cfRule>
  </conditionalFormatting>
  <conditionalFormatting sqref="AM3426">
    <cfRule type="iconSet" priority="45">
      <iconSet iconSet="3Signs">
        <cfvo type="percent" val="0"/>
        <cfvo type="num" val="0.75"/>
        <cfvo type="num" val="1"/>
      </iconSet>
    </cfRule>
  </conditionalFormatting>
  <conditionalFormatting sqref="AM3428">
    <cfRule type="iconSet" priority="44">
      <iconSet iconSet="3Signs">
        <cfvo type="percent" val="0"/>
        <cfvo type="num" val="0.75"/>
        <cfvo type="num" val="1"/>
      </iconSet>
    </cfRule>
  </conditionalFormatting>
  <conditionalFormatting sqref="AM3430">
    <cfRule type="iconSet" priority="43">
      <iconSet iconSet="3Signs">
        <cfvo type="percent" val="0"/>
        <cfvo type="num" val="0.75"/>
        <cfvo type="num" val="1"/>
      </iconSet>
    </cfRule>
  </conditionalFormatting>
  <conditionalFormatting sqref="AM3432">
    <cfRule type="iconSet" priority="42">
      <iconSet iconSet="3Signs">
        <cfvo type="percent" val="0"/>
        <cfvo type="num" val="0.75"/>
        <cfvo type="num" val="1"/>
      </iconSet>
    </cfRule>
  </conditionalFormatting>
  <conditionalFormatting sqref="AM3434">
    <cfRule type="iconSet" priority="41">
      <iconSet iconSet="3Signs">
        <cfvo type="percent" val="0"/>
        <cfvo type="num" val="0.75"/>
        <cfvo type="num" val="1"/>
      </iconSet>
    </cfRule>
  </conditionalFormatting>
  <conditionalFormatting sqref="AM3436">
    <cfRule type="iconSet" priority="40">
      <iconSet iconSet="3Signs">
        <cfvo type="percent" val="0"/>
        <cfvo type="num" val="0.75"/>
        <cfvo type="num" val="1"/>
      </iconSet>
    </cfRule>
  </conditionalFormatting>
  <conditionalFormatting sqref="AM3438">
    <cfRule type="iconSet" priority="39">
      <iconSet iconSet="3Signs">
        <cfvo type="percent" val="0"/>
        <cfvo type="num" val="0.75"/>
        <cfvo type="num" val="1"/>
      </iconSet>
    </cfRule>
  </conditionalFormatting>
  <conditionalFormatting sqref="AM3440">
    <cfRule type="iconSet" priority="38">
      <iconSet iconSet="3Signs">
        <cfvo type="percent" val="0"/>
        <cfvo type="num" val="0.75"/>
        <cfvo type="num" val="1"/>
      </iconSet>
    </cfRule>
  </conditionalFormatting>
  <conditionalFormatting sqref="AM3442">
    <cfRule type="iconSet" priority="37">
      <iconSet iconSet="3Signs">
        <cfvo type="percent" val="0"/>
        <cfvo type="num" val="0.75"/>
        <cfvo type="num" val="1"/>
      </iconSet>
    </cfRule>
  </conditionalFormatting>
  <conditionalFormatting sqref="AM3444">
    <cfRule type="iconSet" priority="36">
      <iconSet iconSet="3Signs">
        <cfvo type="percent" val="0"/>
        <cfvo type="num" val="0.75"/>
        <cfvo type="num" val="1"/>
      </iconSet>
    </cfRule>
  </conditionalFormatting>
  <conditionalFormatting sqref="AM3446">
    <cfRule type="iconSet" priority="35">
      <iconSet iconSet="3Signs">
        <cfvo type="percent" val="0"/>
        <cfvo type="num" val="0.75"/>
        <cfvo type="num" val="1"/>
      </iconSet>
    </cfRule>
  </conditionalFormatting>
  <conditionalFormatting sqref="AM3448">
    <cfRule type="iconSet" priority="34">
      <iconSet iconSet="3Signs">
        <cfvo type="percent" val="0"/>
        <cfvo type="num" val="0.75"/>
        <cfvo type="num" val="1"/>
      </iconSet>
    </cfRule>
  </conditionalFormatting>
  <conditionalFormatting sqref="AM3450">
    <cfRule type="iconSet" priority="33">
      <iconSet iconSet="3Signs">
        <cfvo type="percent" val="0"/>
        <cfvo type="num" val="0.75"/>
        <cfvo type="num" val="1"/>
      </iconSet>
    </cfRule>
  </conditionalFormatting>
  <conditionalFormatting sqref="AM3452">
    <cfRule type="iconSet" priority="32">
      <iconSet iconSet="3Signs">
        <cfvo type="percent" val="0"/>
        <cfvo type="num" val="0.75"/>
        <cfvo type="num" val="1"/>
      </iconSet>
    </cfRule>
  </conditionalFormatting>
  <conditionalFormatting sqref="AM3454">
    <cfRule type="iconSet" priority="31">
      <iconSet iconSet="3Signs">
        <cfvo type="percent" val="0"/>
        <cfvo type="num" val="0.75"/>
        <cfvo type="num" val="1"/>
      </iconSet>
    </cfRule>
  </conditionalFormatting>
  <conditionalFormatting sqref="AM3456">
    <cfRule type="iconSet" priority="30">
      <iconSet iconSet="3Signs">
        <cfvo type="percent" val="0"/>
        <cfvo type="num" val="0.75"/>
        <cfvo type="num" val="1"/>
      </iconSet>
    </cfRule>
  </conditionalFormatting>
  <conditionalFormatting sqref="AM3458">
    <cfRule type="iconSet" priority="29">
      <iconSet iconSet="3Signs">
        <cfvo type="percent" val="0"/>
        <cfvo type="num" val="0.75"/>
        <cfvo type="num" val="1"/>
      </iconSet>
    </cfRule>
  </conditionalFormatting>
  <conditionalFormatting sqref="AM3460">
    <cfRule type="iconSet" priority="28">
      <iconSet iconSet="3Signs">
        <cfvo type="percent" val="0"/>
        <cfvo type="num" val="0.75"/>
        <cfvo type="num" val="1"/>
      </iconSet>
    </cfRule>
  </conditionalFormatting>
  <conditionalFormatting sqref="AM3462">
    <cfRule type="iconSet" priority="27">
      <iconSet iconSet="3Signs">
        <cfvo type="percent" val="0"/>
        <cfvo type="num" val="0.75"/>
        <cfvo type="num" val="1"/>
      </iconSet>
    </cfRule>
  </conditionalFormatting>
  <conditionalFormatting sqref="AM3464">
    <cfRule type="iconSet" priority="26">
      <iconSet iconSet="3Signs">
        <cfvo type="percent" val="0"/>
        <cfvo type="num" val="0.75"/>
        <cfvo type="num" val="1"/>
      </iconSet>
    </cfRule>
  </conditionalFormatting>
  <conditionalFormatting sqref="AM3466">
    <cfRule type="iconSet" priority="25">
      <iconSet iconSet="3Signs">
        <cfvo type="percent" val="0"/>
        <cfvo type="num" val="0.75"/>
        <cfvo type="num" val="1"/>
      </iconSet>
    </cfRule>
  </conditionalFormatting>
  <conditionalFormatting sqref="AM3468">
    <cfRule type="iconSet" priority="24">
      <iconSet iconSet="3Signs">
        <cfvo type="percent" val="0"/>
        <cfvo type="num" val="0.75"/>
        <cfvo type="num" val="1"/>
      </iconSet>
    </cfRule>
  </conditionalFormatting>
  <conditionalFormatting sqref="AM3470">
    <cfRule type="iconSet" priority="23">
      <iconSet iconSet="3Signs">
        <cfvo type="percent" val="0"/>
        <cfvo type="num" val="0.75"/>
        <cfvo type="num" val="1"/>
      </iconSet>
    </cfRule>
  </conditionalFormatting>
  <conditionalFormatting sqref="AM3472">
    <cfRule type="iconSet" priority="22">
      <iconSet iconSet="3Signs">
        <cfvo type="percent" val="0"/>
        <cfvo type="num" val="0.75"/>
        <cfvo type="num" val="1"/>
      </iconSet>
    </cfRule>
  </conditionalFormatting>
  <conditionalFormatting sqref="AM3474">
    <cfRule type="iconSet" priority="21">
      <iconSet iconSet="3Signs">
        <cfvo type="percent" val="0"/>
        <cfvo type="num" val="0.75"/>
        <cfvo type="num" val="1"/>
      </iconSet>
    </cfRule>
  </conditionalFormatting>
  <conditionalFormatting sqref="AM3476">
    <cfRule type="iconSet" priority="20">
      <iconSet iconSet="3Signs">
        <cfvo type="percent" val="0"/>
        <cfvo type="num" val="0.75"/>
        <cfvo type="num" val="1"/>
      </iconSet>
    </cfRule>
  </conditionalFormatting>
  <conditionalFormatting sqref="AM3478">
    <cfRule type="iconSet" priority="19">
      <iconSet iconSet="3Signs">
        <cfvo type="percent" val="0"/>
        <cfvo type="num" val="0.75"/>
        <cfvo type="num" val="1"/>
      </iconSet>
    </cfRule>
  </conditionalFormatting>
  <conditionalFormatting sqref="AM3480">
    <cfRule type="iconSet" priority="18">
      <iconSet iconSet="3Signs">
        <cfvo type="percent" val="0"/>
        <cfvo type="num" val="0.75"/>
        <cfvo type="num" val="1"/>
      </iconSet>
    </cfRule>
  </conditionalFormatting>
  <conditionalFormatting sqref="AM3482">
    <cfRule type="iconSet" priority="17">
      <iconSet iconSet="3Signs">
        <cfvo type="percent" val="0"/>
        <cfvo type="num" val="0.75"/>
        <cfvo type="num" val="1"/>
      </iconSet>
    </cfRule>
  </conditionalFormatting>
  <conditionalFormatting sqref="AM3484">
    <cfRule type="iconSet" priority="16">
      <iconSet iconSet="3Signs">
        <cfvo type="percent" val="0"/>
        <cfvo type="num" val="0.75"/>
        <cfvo type="num" val="1"/>
      </iconSet>
    </cfRule>
  </conditionalFormatting>
  <conditionalFormatting sqref="AM3486">
    <cfRule type="iconSet" priority="15">
      <iconSet iconSet="3Signs">
        <cfvo type="percent" val="0"/>
        <cfvo type="num" val="0.75"/>
        <cfvo type="num" val="1"/>
      </iconSet>
    </cfRule>
  </conditionalFormatting>
  <conditionalFormatting sqref="AM3489">
    <cfRule type="iconSet" priority="14">
      <iconSet iconSet="3Signs">
        <cfvo type="percent" val="0"/>
        <cfvo type="num" val="0.75"/>
        <cfvo type="num" val="1"/>
      </iconSet>
    </cfRule>
  </conditionalFormatting>
  <conditionalFormatting sqref="AM3491">
    <cfRule type="iconSet" priority="13">
      <iconSet iconSet="3Signs">
        <cfvo type="percent" val="0"/>
        <cfvo type="num" val="0.75"/>
        <cfvo type="num" val="1"/>
      </iconSet>
    </cfRule>
  </conditionalFormatting>
  <conditionalFormatting sqref="AM3493">
    <cfRule type="iconSet" priority="12">
      <iconSet iconSet="3Signs">
        <cfvo type="percent" val="0"/>
        <cfvo type="num" val="0.75"/>
        <cfvo type="num" val="1"/>
      </iconSet>
    </cfRule>
  </conditionalFormatting>
  <conditionalFormatting sqref="AM3495">
    <cfRule type="iconSet" priority="11">
      <iconSet iconSet="3Signs">
        <cfvo type="percent" val="0"/>
        <cfvo type="num" val="0.75"/>
        <cfvo type="num" val="1"/>
      </iconSet>
    </cfRule>
  </conditionalFormatting>
  <conditionalFormatting sqref="AM3497">
    <cfRule type="iconSet" priority="10">
      <iconSet iconSet="3Signs">
        <cfvo type="percent" val="0"/>
        <cfvo type="num" val="0.75"/>
        <cfvo type="num" val="1"/>
      </iconSet>
    </cfRule>
  </conditionalFormatting>
  <conditionalFormatting sqref="AM3499">
    <cfRule type="iconSet" priority="9">
      <iconSet iconSet="3Signs">
        <cfvo type="percent" val="0"/>
        <cfvo type="num" val="0.75"/>
        <cfvo type="num" val="1"/>
      </iconSet>
    </cfRule>
  </conditionalFormatting>
  <conditionalFormatting sqref="AM3503">
    <cfRule type="iconSet" priority="8">
      <iconSet iconSet="3Signs">
        <cfvo type="percent" val="0"/>
        <cfvo type="num" val="0.75"/>
        <cfvo type="num" val="1"/>
      </iconSet>
    </cfRule>
  </conditionalFormatting>
  <conditionalFormatting sqref="AM3506">
    <cfRule type="iconSet" priority="7">
      <iconSet iconSet="3Signs">
        <cfvo type="percent" val="0"/>
        <cfvo type="num" val="0.75"/>
        <cfvo type="num" val="1"/>
      </iconSet>
    </cfRule>
  </conditionalFormatting>
  <conditionalFormatting sqref="AM3508">
    <cfRule type="iconSet" priority="6">
      <iconSet iconSet="3Signs">
        <cfvo type="percent" val="0"/>
        <cfvo type="num" val="0.75"/>
        <cfvo type="num" val="1"/>
      </iconSet>
    </cfRule>
  </conditionalFormatting>
  <conditionalFormatting sqref="AM3510">
    <cfRule type="iconSet" priority="5">
      <iconSet iconSet="3Signs">
        <cfvo type="percent" val="0"/>
        <cfvo type="num" val="0.75"/>
        <cfvo type="num" val="1"/>
      </iconSet>
    </cfRule>
  </conditionalFormatting>
  <conditionalFormatting sqref="AM3512">
    <cfRule type="iconSet" priority="4">
      <iconSet iconSet="3Signs">
        <cfvo type="percent" val="0"/>
        <cfvo type="num" val="0.75"/>
        <cfvo type="num" val="1"/>
      </iconSet>
    </cfRule>
  </conditionalFormatting>
  <conditionalFormatting sqref="AM3514">
    <cfRule type="iconSet" priority="3">
      <iconSet iconSet="3Signs">
        <cfvo type="percent" val="0"/>
        <cfvo type="num" val="0.75"/>
        <cfvo type="num" val="1"/>
      </iconSet>
    </cfRule>
  </conditionalFormatting>
  <conditionalFormatting sqref="AO14:AP15">
    <cfRule type="cellIs" dxfId="835" priority="2" operator="lessThan">
      <formula>0</formula>
    </cfRule>
  </conditionalFormatting>
  <conditionalFormatting sqref="AO102:AP103">
    <cfRule type="cellIs" dxfId="834" priority="1" operator="lessThan">
      <formula>0</formula>
    </cfRule>
  </conditionalFormatting>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D261936F-D94E-42C9-84A1-D2D8D877D956}">
            <x14:dataBar minLength="0" maxLength="100" border="1" gradient="0">
              <x14:cfvo type="num">
                <xm:f>0</xm:f>
              </x14:cfvo>
              <x14:cfvo type="num">
                <xm:f>1</xm:f>
              </x14:cfvo>
              <x14:borderColor theme="0"/>
              <x14:negativeFillColor rgb="FFFF0000"/>
              <x14:axisColor rgb="FF000000"/>
            </x14:dataBar>
          </x14:cfRule>
          <xm:sqref>J10</xm:sqref>
        </x14:conditionalFormatting>
        <x14:conditionalFormatting xmlns:xm="http://schemas.microsoft.com/office/excel/2006/main">
          <x14:cfRule type="dataBar" id="{3055D4E8-D146-433C-B959-34707F08158C}">
            <x14:dataBar minLength="0" maxLength="100" border="1" gradient="0">
              <x14:cfvo type="num">
                <xm:f>0</xm:f>
              </x14:cfvo>
              <x14:cfvo type="num">
                <xm:f>1</xm:f>
              </x14:cfvo>
              <x14:borderColor theme="0"/>
              <x14:negativeFillColor rgb="FFFF0000"/>
              <x14:axisColor rgb="FF000000"/>
            </x14:dataBar>
          </x14:cfRule>
          <xm:sqref>J14</xm:sqref>
        </x14:conditionalFormatting>
        <x14:conditionalFormatting xmlns:xm="http://schemas.microsoft.com/office/excel/2006/main">
          <x14:cfRule type="dataBar" id="{B25A34C1-D6A6-448A-ACA1-694008EBA136}">
            <x14:dataBar minLength="0" maxLength="100" border="1" gradient="0">
              <x14:cfvo type="num">
                <xm:f>0</xm:f>
              </x14:cfvo>
              <x14:cfvo type="num">
                <xm:f>1</xm:f>
              </x14:cfvo>
              <x14:borderColor theme="0"/>
              <x14:negativeFillColor rgb="FFFF0000"/>
              <x14:axisColor rgb="FF000000"/>
            </x14:dataBar>
          </x14:cfRule>
          <xm:sqref>J16</xm:sqref>
        </x14:conditionalFormatting>
        <x14:conditionalFormatting xmlns:xm="http://schemas.microsoft.com/office/excel/2006/main">
          <x14:cfRule type="dataBar" id="{52472070-21B4-4E4B-AA32-E13E3E89596B}">
            <x14:dataBar minLength="0" maxLength="100" border="1" gradient="0">
              <x14:cfvo type="num">
                <xm:f>0</xm:f>
              </x14:cfvo>
              <x14:cfvo type="num">
                <xm:f>1</xm:f>
              </x14:cfvo>
              <x14:borderColor theme="0"/>
              <x14:negativeFillColor rgb="FFFF0000"/>
              <x14:axisColor rgb="FF000000"/>
            </x14:dataBar>
          </x14:cfRule>
          <xm:sqref>J18 J72 J20 J22 J24 J26 J28 J30 J32 J34 J36 J38 J40 J42 J44 J46 J48 J50 J52 J54 J56 J58 J60 J62 J64 J66 J68</xm:sqref>
        </x14:conditionalFormatting>
        <x14:conditionalFormatting xmlns:xm="http://schemas.microsoft.com/office/excel/2006/main">
          <x14:cfRule type="dataBar" id="{03831338-BB57-4ACD-A7FA-842BBCBBF36B}">
            <x14:dataBar minLength="0" maxLength="100" border="1" gradient="0">
              <x14:cfvo type="num">
                <xm:f>0</xm:f>
              </x14:cfvo>
              <x14:cfvo type="num">
                <xm:f>1</xm:f>
              </x14:cfvo>
              <x14:borderColor theme="0"/>
              <x14:negativeFillColor rgb="FFFF0000"/>
              <x14:axisColor rgb="FF000000"/>
            </x14:dataBar>
          </x14:cfRule>
          <xm:sqref>J70</xm:sqref>
        </x14:conditionalFormatting>
        <x14:conditionalFormatting xmlns:xm="http://schemas.microsoft.com/office/excel/2006/main">
          <x14:cfRule type="dataBar" id="{E0BCE5C1-4D01-4895-A97D-933D07C1740D}">
            <x14:dataBar minLength="0" maxLength="100" border="1" gradient="0">
              <x14:cfvo type="num">
                <xm:f>0</xm:f>
              </x14:cfvo>
              <x14:cfvo type="num">
                <xm:f>1</xm:f>
              </x14:cfvo>
              <x14:borderColor theme="0"/>
              <x14:negativeFillColor rgb="FFFF0000"/>
              <x14:axisColor rgb="FF000000"/>
            </x14:dataBar>
          </x14:cfRule>
          <xm:sqref>J74</xm:sqref>
        </x14:conditionalFormatting>
        <x14:conditionalFormatting xmlns:xm="http://schemas.microsoft.com/office/excel/2006/main">
          <x14:cfRule type="dataBar" id="{6A944AD6-0C93-4681-9781-8E118E1FBB6A}">
            <x14:dataBar minLength="0" maxLength="100" border="1" gradient="0">
              <x14:cfvo type="num">
                <xm:f>0</xm:f>
              </x14:cfvo>
              <x14:cfvo type="num">
                <xm:f>1</xm:f>
              </x14:cfvo>
              <x14:borderColor theme="0"/>
              <x14:negativeFillColor rgb="FFFF0000"/>
              <x14:axisColor rgb="FF000000"/>
            </x14:dataBar>
          </x14:cfRule>
          <xm:sqref>J76</xm:sqref>
        </x14:conditionalFormatting>
        <x14:conditionalFormatting xmlns:xm="http://schemas.microsoft.com/office/excel/2006/main">
          <x14:cfRule type="dataBar" id="{77748648-7F6F-4213-A393-B9BA7216A2B9}">
            <x14:dataBar minLength="0" maxLength="100" border="1" gradient="0">
              <x14:cfvo type="num">
                <xm:f>0</xm:f>
              </x14:cfvo>
              <x14:cfvo type="num">
                <xm:f>1</xm:f>
              </x14:cfvo>
              <x14:borderColor theme="0"/>
              <x14:negativeFillColor rgb="FFFF0000"/>
              <x14:axisColor rgb="FF000000"/>
            </x14:dataBar>
          </x14:cfRule>
          <xm:sqref>J78</xm:sqref>
        </x14:conditionalFormatting>
        <x14:conditionalFormatting xmlns:xm="http://schemas.microsoft.com/office/excel/2006/main">
          <x14:cfRule type="dataBar" id="{8CF40089-C551-4C37-8061-99E3E4B0538F}">
            <x14:dataBar minLength="0" maxLength="100" border="1" gradient="0">
              <x14:cfvo type="num">
                <xm:f>0</xm:f>
              </x14:cfvo>
              <x14:cfvo type="num">
                <xm:f>1</xm:f>
              </x14:cfvo>
              <x14:borderColor theme="0"/>
              <x14:negativeFillColor rgb="FFFF0000"/>
              <x14:axisColor rgb="FF000000"/>
            </x14:dataBar>
          </x14:cfRule>
          <xm:sqref>J80</xm:sqref>
        </x14:conditionalFormatting>
        <x14:conditionalFormatting xmlns:xm="http://schemas.microsoft.com/office/excel/2006/main">
          <x14:cfRule type="dataBar" id="{E3278B49-8488-4BDB-AB1C-23C2F8BCECCC}">
            <x14:dataBar minLength="0" maxLength="100" border="1" gradient="0">
              <x14:cfvo type="num">
                <xm:f>0</xm:f>
              </x14:cfvo>
              <x14:cfvo type="num">
                <xm:f>1</xm:f>
              </x14:cfvo>
              <x14:borderColor theme="0"/>
              <x14:negativeFillColor rgb="FFFF0000"/>
              <x14:axisColor rgb="FF000000"/>
            </x14:dataBar>
          </x14:cfRule>
          <xm:sqref>J82</xm:sqref>
        </x14:conditionalFormatting>
        <x14:conditionalFormatting xmlns:xm="http://schemas.microsoft.com/office/excel/2006/main">
          <x14:cfRule type="dataBar" id="{D3B990F2-9064-4B2D-86F1-3BD292585971}">
            <x14:dataBar minLength="0" maxLength="100" border="1" gradient="0">
              <x14:cfvo type="num">
                <xm:f>0</xm:f>
              </x14:cfvo>
              <x14:cfvo type="num">
                <xm:f>1</xm:f>
              </x14:cfvo>
              <x14:borderColor theme="0"/>
              <x14:negativeFillColor rgb="FFFF0000"/>
              <x14:axisColor rgb="FF000000"/>
            </x14:dataBar>
          </x14:cfRule>
          <xm:sqref>J84</xm:sqref>
        </x14:conditionalFormatting>
        <x14:conditionalFormatting xmlns:xm="http://schemas.microsoft.com/office/excel/2006/main">
          <x14:cfRule type="dataBar" id="{933FA334-1E79-40EB-8CC2-CF707BCFC8C4}">
            <x14:dataBar minLength="0" maxLength="100" border="1" gradient="0">
              <x14:cfvo type="num">
                <xm:f>0</xm:f>
              </x14:cfvo>
              <x14:cfvo type="num">
                <xm:f>1</xm:f>
              </x14:cfvo>
              <x14:borderColor theme="0"/>
              <x14:negativeFillColor rgb="FFFF0000"/>
              <x14:axisColor rgb="FF000000"/>
            </x14:dataBar>
          </x14:cfRule>
          <xm:sqref>J86</xm:sqref>
        </x14:conditionalFormatting>
        <x14:conditionalFormatting xmlns:xm="http://schemas.microsoft.com/office/excel/2006/main">
          <x14:cfRule type="dataBar" id="{B9392609-F5C1-448E-AAAE-50021489E932}">
            <x14:dataBar minLength="0" maxLength="100" border="1" gradient="0">
              <x14:cfvo type="num">
                <xm:f>0</xm:f>
              </x14:cfvo>
              <x14:cfvo type="num">
                <xm:f>1</xm:f>
              </x14:cfvo>
              <x14:borderColor theme="0"/>
              <x14:negativeFillColor rgb="FFFF0000"/>
              <x14:axisColor rgb="FF000000"/>
            </x14:dataBar>
          </x14:cfRule>
          <xm:sqref>J88</xm:sqref>
        </x14:conditionalFormatting>
        <x14:conditionalFormatting xmlns:xm="http://schemas.microsoft.com/office/excel/2006/main">
          <x14:cfRule type="dataBar" id="{712BC31D-9778-43E7-A803-BDEB8CC1EA6A}">
            <x14:dataBar minLength="0" maxLength="100" border="1" gradient="0">
              <x14:cfvo type="num">
                <xm:f>0</xm:f>
              </x14:cfvo>
              <x14:cfvo type="num">
                <xm:f>1</xm:f>
              </x14:cfvo>
              <x14:borderColor theme="0"/>
              <x14:negativeFillColor rgb="FFFF0000"/>
              <x14:axisColor rgb="FF000000"/>
            </x14:dataBar>
          </x14:cfRule>
          <xm:sqref>J90</xm:sqref>
        </x14:conditionalFormatting>
        <x14:conditionalFormatting xmlns:xm="http://schemas.microsoft.com/office/excel/2006/main">
          <x14:cfRule type="dataBar" id="{9CC0DB35-9647-41DF-8CD9-E3CF354ED875}">
            <x14:dataBar minLength="0" maxLength="100" border="1" gradient="0">
              <x14:cfvo type="num">
                <xm:f>0</xm:f>
              </x14:cfvo>
              <x14:cfvo type="num">
                <xm:f>1</xm:f>
              </x14:cfvo>
              <x14:borderColor theme="0"/>
              <x14:negativeFillColor rgb="FFFF0000"/>
              <x14:axisColor rgb="FF000000"/>
            </x14:dataBar>
          </x14:cfRule>
          <xm:sqref>J92</xm:sqref>
        </x14:conditionalFormatting>
        <x14:conditionalFormatting xmlns:xm="http://schemas.microsoft.com/office/excel/2006/main">
          <x14:cfRule type="dataBar" id="{AA259CC5-C5C9-4FA3-8315-72037CCC89A4}">
            <x14:dataBar minLength="0" maxLength="100" border="1" gradient="0">
              <x14:cfvo type="num">
                <xm:f>0</xm:f>
              </x14:cfvo>
              <x14:cfvo type="num">
                <xm:f>1</xm:f>
              </x14:cfvo>
              <x14:borderColor theme="0"/>
              <x14:negativeFillColor rgb="FFFF0000"/>
              <x14:axisColor rgb="FF000000"/>
            </x14:dataBar>
          </x14:cfRule>
          <xm:sqref>J94</xm:sqref>
        </x14:conditionalFormatting>
        <x14:conditionalFormatting xmlns:xm="http://schemas.microsoft.com/office/excel/2006/main">
          <x14:cfRule type="dataBar" id="{A88BAA40-4FDA-48DC-95B3-BC25EC331D01}">
            <x14:dataBar minLength="0" maxLength="100" border="1" gradient="0">
              <x14:cfvo type="num">
                <xm:f>0</xm:f>
              </x14:cfvo>
              <x14:cfvo type="num">
                <xm:f>1</xm:f>
              </x14:cfvo>
              <x14:borderColor theme="0"/>
              <x14:negativeFillColor rgb="FFFF0000"/>
              <x14:axisColor rgb="FF000000"/>
            </x14:dataBar>
          </x14:cfRule>
          <xm:sqref>J96</xm:sqref>
        </x14:conditionalFormatting>
        <x14:conditionalFormatting xmlns:xm="http://schemas.microsoft.com/office/excel/2006/main">
          <x14:cfRule type="dataBar" id="{373A5321-665E-4593-AFD2-FC290171F448}">
            <x14:dataBar minLength="0" maxLength="100" border="1" gradient="0">
              <x14:cfvo type="num">
                <xm:f>0</xm:f>
              </x14:cfvo>
              <x14:cfvo type="num">
                <xm:f>1</xm:f>
              </x14:cfvo>
              <x14:borderColor theme="0"/>
              <x14:negativeFillColor rgb="FFFF0000"/>
              <x14:axisColor rgb="FF000000"/>
            </x14:dataBar>
          </x14:cfRule>
          <xm:sqref>J98</xm:sqref>
        </x14:conditionalFormatting>
        <x14:conditionalFormatting xmlns:xm="http://schemas.microsoft.com/office/excel/2006/main">
          <x14:cfRule type="dataBar" id="{904D7143-F6AC-46CD-AA91-3AED820BCD9C}">
            <x14:dataBar minLength="0" maxLength="100" border="1" gradient="0">
              <x14:cfvo type="num">
                <xm:f>0</xm:f>
              </x14:cfvo>
              <x14:cfvo type="num">
                <xm:f>1</xm:f>
              </x14:cfvo>
              <x14:borderColor theme="0"/>
              <x14:negativeFillColor rgb="FFFF0000"/>
              <x14:axisColor rgb="FF000000"/>
            </x14:dataBar>
          </x14:cfRule>
          <xm:sqref>J102</xm:sqref>
        </x14:conditionalFormatting>
        <x14:conditionalFormatting xmlns:xm="http://schemas.microsoft.com/office/excel/2006/main">
          <x14:cfRule type="dataBar" id="{2481E2A7-582E-4619-AA46-65A57226242D}">
            <x14:dataBar minLength="0" maxLength="100" border="1" gradient="0">
              <x14:cfvo type="num">
                <xm:f>0</xm:f>
              </x14:cfvo>
              <x14:cfvo type="num">
                <xm:f>1</xm:f>
              </x14:cfvo>
              <x14:borderColor theme="0"/>
              <x14:negativeFillColor rgb="FFFF0000"/>
              <x14:axisColor rgb="FF000000"/>
            </x14:dataBar>
          </x14:cfRule>
          <xm:sqref>J104</xm:sqref>
        </x14:conditionalFormatting>
        <x14:conditionalFormatting xmlns:xm="http://schemas.microsoft.com/office/excel/2006/main">
          <x14:cfRule type="dataBar" id="{B1E6A721-EF1D-408C-9B96-E5929887FC8A}">
            <x14:dataBar minLength="0" maxLength="100" border="1" gradient="0">
              <x14:cfvo type="num">
                <xm:f>0</xm:f>
              </x14:cfvo>
              <x14:cfvo type="num">
                <xm:f>1</xm:f>
              </x14:cfvo>
              <x14:borderColor theme="0"/>
              <x14:negativeFillColor rgb="FFFF0000"/>
              <x14:axisColor rgb="FF000000"/>
            </x14:dataBar>
          </x14:cfRule>
          <xm:sqref>J106</xm:sqref>
        </x14:conditionalFormatting>
        <x14:conditionalFormatting xmlns:xm="http://schemas.microsoft.com/office/excel/2006/main">
          <x14:cfRule type="dataBar" id="{61511ADE-7AAE-4DD8-A9DF-87C538927969}">
            <x14:dataBar minLength="0" maxLength="100" border="1" gradient="0">
              <x14:cfvo type="num">
                <xm:f>0</xm:f>
              </x14:cfvo>
              <x14:cfvo type="num">
                <xm:f>1</xm:f>
              </x14:cfvo>
              <x14:borderColor theme="0"/>
              <x14:negativeFillColor rgb="FFFF0000"/>
              <x14:axisColor rgb="FF000000"/>
            </x14:dataBar>
          </x14:cfRule>
          <xm:sqref>J108</xm:sqref>
        </x14:conditionalFormatting>
        <x14:conditionalFormatting xmlns:xm="http://schemas.microsoft.com/office/excel/2006/main">
          <x14:cfRule type="dataBar" id="{D35422E0-6D63-4B66-92B7-04839E4AED45}">
            <x14:dataBar minLength="0" maxLength="100" border="1" gradient="0">
              <x14:cfvo type="num">
                <xm:f>0</xm:f>
              </x14:cfvo>
              <x14:cfvo type="num">
                <xm:f>1</xm:f>
              </x14:cfvo>
              <x14:borderColor theme="0"/>
              <x14:negativeFillColor rgb="FFFF0000"/>
              <x14:axisColor rgb="FF000000"/>
            </x14:dataBar>
          </x14:cfRule>
          <xm:sqref>J110</xm:sqref>
        </x14:conditionalFormatting>
        <x14:conditionalFormatting xmlns:xm="http://schemas.microsoft.com/office/excel/2006/main">
          <x14:cfRule type="dataBar" id="{14DB2012-3A75-419A-B942-AB9F005580D6}">
            <x14:dataBar minLength="0" maxLength="100" border="1" gradient="0">
              <x14:cfvo type="num">
                <xm:f>0</xm:f>
              </x14:cfvo>
              <x14:cfvo type="num">
                <xm:f>1</xm:f>
              </x14:cfvo>
              <x14:borderColor theme="0"/>
              <x14:negativeFillColor rgb="FFFF0000"/>
              <x14:axisColor rgb="FF000000"/>
            </x14:dataBar>
          </x14:cfRule>
          <xm:sqref>J112</xm:sqref>
        </x14:conditionalFormatting>
        <x14:conditionalFormatting xmlns:xm="http://schemas.microsoft.com/office/excel/2006/main">
          <x14:cfRule type="dataBar" id="{5F87A8A5-0E80-4598-A656-81BBC22B2E04}">
            <x14:dataBar minLength="0" maxLength="100" border="1" gradient="0">
              <x14:cfvo type="num">
                <xm:f>0</xm:f>
              </x14:cfvo>
              <x14:cfvo type="num">
                <xm:f>1</xm:f>
              </x14:cfvo>
              <x14:borderColor theme="0"/>
              <x14:negativeFillColor rgb="FFFF0000"/>
              <x14:axisColor rgb="FF000000"/>
            </x14:dataBar>
          </x14:cfRule>
          <xm:sqref>J114</xm:sqref>
        </x14:conditionalFormatting>
        <x14:conditionalFormatting xmlns:xm="http://schemas.microsoft.com/office/excel/2006/main">
          <x14:cfRule type="dataBar" id="{A7EB2B8C-D054-4ECD-B981-DE34512D1680}">
            <x14:dataBar minLength="0" maxLength="100" border="1" gradient="0">
              <x14:cfvo type="num">
                <xm:f>0</xm:f>
              </x14:cfvo>
              <x14:cfvo type="num">
                <xm:f>1</xm:f>
              </x14:cfvo>
              <x14:borderColor theme="0"/>
              <x14:negativeFillColor rgb="FFFF0000"/>
              <x14:axisColor rgb="FF000000"/>
            </x14:dataBar>
          </x14:cfRule>
          <xm:sqref>J116</xm:sqref>
        </x14:conditionalFormatting>
        <x14:conditionalFormatting xmlns:xm="http://schemas.microsoft.com/office/excel/2006/main">
          <x14:cfRule type="dataBar" id="{97750473-F8EB-494E-9CD9-B7D92051D81B}">
            <x14:dataBar minLength="0" maxLength="100" border="1" gradient="0">
              <x14:cfvo type="num">
                <xm:f>0</xm:f>
              </x14:cfvo>
              <x14:cfvo type="num">
                <xm:f>1</xm:f>
              </x14:cfvo>
              <x14:borderColor theme="0"/>
              <x14:negativeFillColor rgb="FFFF0000"/>
              <x14:axisColor rgb="FF000000"/>
            </x14:dataBar>
          </x14:cfRule>
          <xm:sqref>J118</xm:sqref>
        </x14:conditionalFormatting>
        <x14:conditionalFormatting xmlns:xm="http://schemas.microsoft.com/office/excel/2006/main">
          <x14:cfRule type="dataBar" id="{8A3B4841-E11D-4FFE-A14E-D6BCAD900A76}">
            <x14:dataBar minLength="0" maxLength="100" border="1" gradient="0">
              <x14:cfvo type="num">
                <xm:f>0</xm:f>
              </x14:cfvo>
              <x14:cfvo type="num">
                <xm:f>1</xm:f>
              </x14:cfvo>
              <x14:borderColor theme="0"/>
              <x14:negativeFillColor rgb="FFFF0000"/>
              <x14:axisColor rgb="FF000000"/>
            </x14:dataBar>
          </x14:cfRule>
          <xm:sqref>J120</xm:sqref>
        </x14:conditionalFormatting>
        <x14:conditionalFormatting xmlns:xm="http://schemas.microsoft.com/office/excel/2006/main">
          <x14:cfRule type="dataBar" id="{DD17009A-A604-4805-9BF0-347976A8E2E0}">
            <x14:dataBar minLength="0" maxLength="100" border="1" gradient="0">
              <x14:cfvo type="num">
                <xm:f>0</xm:f>
              </x14:cfvo>
              <x14:cfvo type="num">
                <xm:f>1</xm:f>
              </x14:cfvo>
              <x14:borderColor theme="0"/>
              <x14:negativeFillColor rgb="FFFF0000"/>
              <x14:axisColor rgb="FF000000"/>
            </x14:dataBar>
          </x14:cfRule>
          <xm:sqref>J122</xm:sqref>
        </x14:conditionalFormatting>
        <x14:conditionalFormatting xmlns:xm="http://schemas.microsoft.com/office/excel/2006/main">
          <x14:cfRule type="dataBar" id="{79E0AE60-8293-49C5-98B7-258F981D9040}">
            <x14:dataBar minLength="0" maxLength="100" border="1" gradient="0">
              <x14:cfvo type="num">
                <xm:f>0</xm:f>
              </x14:cfvo>
              <x14:cfvo type="num">
                <xm:f>1</xm:f>
              </x14:cfvo>
              <x14:borderColor theme="0"/>
              <x14:negativeFillColor rgb="FFFF0000"/>
              <x14:axisColor rgb="FF000000"/>
            </x14:dataBar>
          </x14:cfRule>
          <xm:sqref>J124</xm:sqref>
        </x14:conditionalFormatting>
        <x14:conditionalFormatting xmlns:xm="http://schemas.microsoft.com/office/excel/2006/main">
          <x14:cfRule type="dataBar" id="{BE7417EC-2D3F-4443-BE46-A791CD625E82}">
            <x14:dataBar minLength="0" maxLength="100" border="1" gradient="0">
              <x14:cfvo type="num">
                <xm:f>0</xm:f>
              </x14:cfvo>
              <x14:cfvo type="num">
                <xm:f>1</xm:f>
              </x14:cfvo>
              <x14:borderColor theme="0"/>
              <x14:negativeFillColor rgb="FFFF0000"/>
              <x14:axisColor rgb="FF000000"/>
            </x14:dataBar>
          </x14:cfRule>
          <xm:sqref>J126</xm:sqref>
        </x14:conditionalFormatting>
        <x14:conditionalFormatting xmlns:xm="http://schemas.microsoft.com/office/excel/2006/main">
          <x14:cfRule type="dataBar" id="{53468C1E-7B72-4F97-8787-93A621BD72CF}">
            <x14:dataBar minLength="0" maxLength="100" border="1" gradient="0">
              <x14:cfvo type="num">
                <xm:f>0</xm:f>
              </x14:cfvo>
              <x14:cfvo type="num">
                <xm:f>1</xm:f>
              </x14:cfvo>
              <x14:borderColor theme="0"/>
              <x14:negativeFillColor rgb="FFFF0000"/>
              <x14:axisColor rgb="FF000000"/>
            </x14:dataBar>
          </x14:cfRule>
          <xm:sqref>J128</xm:sqref>
        </x14:conditionalFormatting>
        <x14:conditionalFormatting xmlns:xm="http://schemas.microsoft.com/office/excel/2006/main">
          <x14:cfRule type="dataBar" id="{4EE8A5B5-975C-4210-90FE-018ACBC93800}">
            <x14:dataBar minLength="0" maxLength="100" border="1" gradient="0">
              <x14:cfvo type="num">
                <xm:f>0</xm:f>
              </x14:cfvo>
              <x14:cfvo type="num">
                <xm:f>1</xm:f>
              </x14:cfvo>
              <x14:borderColor theme="0"/>
              <x14:negativeFillColor rgb="FFFF0000"/>
              <x14:axisColor rgb="FF000000"/>
            </x14:dataBar>
          </x14:cfRule>
          <xm:sqref>J130</xm:sqref>
        </x14:conditionalFormatting>
        <x14:conditionalFormatting xmlns:xm="http://schemas.microsoft.com/office/excel/2006/main">
          <x14:cfRule type="dataBar" id="{D3B31C55-56F6-4839-97D8-DB3A5F383AEE}">
            <x14:dataBar minLength="0" maxLength="100" border="1" gradient="0">
              <x14:cfvo type="num">
                <xm:f>0</xm:f>
              </x14:cfvo>
              <x14:cfvo type="num">
                <xm:f>1</xm:f>
              </x14:cfvo>
              <x14:borderColor theme="0"/>
              <x14:negativeFillColor rgb="FFFF0000"/>
              <x14:axisColor rgb="FF000000"/>
            </x14:dataBar>
          </x14:cfRule>
          <xm:sqref>J132</xm:sqref>
        </x14:conditionalFormatting>
        <x14:conditionalFormatting xmlns:xm="http://schemas.microsoft.com/office/excel/2006/main">
          <x14:cfRule type="dataBar" id="{27F31E77-0E78-4599-8AE2-EB367770883E}">
            <x14:dataBar minLength="0" maxLength="100" border="1" gradient="0">
              <x14:cfvo type="num">
                <xm:f>0</xm:f>
              </x14:cfvo>
              <x14:cfvo type="num">
                <xm:f>1</xm:f>
              </x14:cfvo>
              <x14:borderColor theme="0"/>
              <x14:negativeFillColor rgb="FFFF0000"/>
              <x14:axisColor rgb="FF000000"/>
            </x14:dataBar>
          </x14:cfRule>
          <xm:sqref>J134</xm:sqref>
        </x14:conditionalFormatting>
        <x14:conditionalFormatting xmlns:xm="http://schemas.microsoft.com/office/excel/2006/main">
          <x14:cfRule type="dataBar" id="{CAD40727-8AF2-4C5E-ABCC-CB924A321DCE}">
            <x14:dataBar minLength="0" maxLength="100" border="1" gradient="0">
              <x14:cfvo type="num">
                <xm:f>0</xm:f>
              </x14:cfvo>
              <x14:cfvo type="num">
                <xm:f>1</xm:f>
              </x14:cfvo>
              <x14:borderColor theme="0"/>
              <x14:negativeFillColor rgb="FFFF0000"/>
              <x14:axisColor rgb="FF000000"/>
            </x14:dataBar>
          </x14:cfRule>
          <xm:sqref>J136</xm:sqref>
        </x14:conditionalFormatting>
        <x14:conditionalFormatting xmlns:xm="http://schemas.microsoft.com/office/excel/2006/main">
          <x14:cfRule type="dataBar" id="{9CCF427A-1EEE-4403-837B-4AD63EA323C9}">
            <x14:dataBar minLength="0" maxLength="100" border="1" gradient="0">
              <x14:cfvo type="num">
                <xm:f>0</xm:f>
              </x14:cfvo>
              <x14:cfvo type="num">
                <xm:f>1</xm:f>
              </x14:cfvo>
              <x14:borderColor theme="0"/>
              <x14:negativeFillColor rgb="FFFF0000"/>
              <x14:axisColor rgb="FF000000"/>
            </x14:dataBar>
          </x14:cfRule>
          <xm:sqref>J138</xm:sqref>
        </x14:conditionalFormatting>
        <x14:conditionalFormatting xmlns:xm="http://schemas.microsoft.com/office/excel/2006/main">
          <x14:cfRule type="dataBar" id="{75E701DE-E3EC-4888-B463-E33CD0DD4D03}">
            <x14:dataBar minLength="0" maxLength="100" border="1" gradient="0">
              <x14:cfvo type="num">
                <xm:f>0</xm:f>
              </x14:cfvo>
              <x14:cfvo type="num">
                <xm:f>1</xm:f>
              </x14:cfvo>
              <x14:borderColor theme="0"/>
              <x14:negativeFillColor rgb="FFFF0000"/>
              <x14:axisColor rgb="FF000000"/>
            </x14:dataBar>
          </x14:cfRule>
          <xm:sqref>J140</xm:sqref>
        </x14:conditionalFormatting>
        <x14:conditionalFormatting xmlns:xm="http://schemas.microsoft.com/office/excel/2006/main">
          <x14:cfRule type="dataBar" id="{E1AE5415-3B9E-4FD9-BEC8-CB3858D2ECE9}">
            <x14:dataBar minLength="0" maxLength="100" border="1" gradient="0">
              <x14:cfvo type="num">
                <xm:f>0</xm:f>
              </x14:cfvo>
              <x14:cfvo type="num">
                <xm:f>1</xm:f>
              </x14:cfvo>
              <x14:borderColor theme="0"/>
              <x14:negativeFillColor rgb="FFFF0000"/>
              <x14:axisColor rgb="FF000000"/>
            </x14:dataBar>
          </x14:cfRule>
          <xm:sqref>J142</xm:sqref>
        </x14:conditionalFormatting>
        <x14:conditionalFormatting xmlns:xm="http://schemas.microsoft.com/office/excel/2006/main">
          <x14:cfRule type="dataBar" id="{FDD49820-C66A-4DCE-840F-3AB1A25D4071}">
            <x14:dataBar minLength="0" maxLength="100" border="1" gradient="0">
              <x14:cfvo type="num">
                <xm:f>0</xm:f>
              </x14:cfvo>
              <x14:cfvo type="num">
                <xm:f>1</xm:f>
              </x14:cfvo>
              <x14:borderColor theme="0"/>
              <x14:negativeFillColor rgb="FFFF0000"/>
              <x14:axisColor rgb="FF000000"/>
            </x14:dataBar>
          </x14:cfRule>
          <xm:sqref>J144</xm:sqref>
        </x14:conditionalFormatting>
        <x14:conditionalFormatting xmlns:xm="http://schemas.microsoft.com/office/excel/2006/main">
          <x14:cfRule type="dataBar" id="{FE8A19F2-63BD-4C30-9C2F-9A0D94D88CEB}">
            <x14:dataBar minLength="0" maxLength="100" border="1" gradient="0">
              <x14:cfvo type="num">
                <xm:f>0</xm:f>
              </x14:cfvo>
              <x14:cfvo type="num">
                <xm:f>1</xm:f>
              </x14:cfvo>
              <x14:borderColor theme="0"/>
              <x14:negativeFillColor rgb="FFFF0000"/>
              <x14:axisColor rgb="FF000000"/>
            </x14:dataBar>
          </x14:cfRule>
          <xm:sqref>J146</xm:sqref>
        </x14:conditionalFormatting>
        <x14:conditionalFormatting xmlns:xm="http://schemas.microsoft.com/office/excel/2006/main">
          <x14:cfRule type="dataBar" id="{D53B003B-129F-4CDE-8355-EC8EBD958580}">
            <x14:dataBar minLength="0" maxLength="100" border="1" gradient="0">
              <x14:cfvo type="num">
                <xm:f>0</xm:f>
              </x14:cfvo>
              <x14:cfvo type="num">
                <xm:f>1</xm:f>
              </x14:cfvo>
              <x14:borderColor theme="0"/>
              <x14:negativeFillColor rgb="FFFF0000"/>
              <x14:axisColor rgb="FF000000"/>
            </x14:dataBar>
          </x14:cfRule>
          <xm:sqref>J148</xm:sqref>
        </x14:conditionalFormatting>
        <x14:conditionalFormatting xmlns:xm="http://schemas.microsoft.com/office/excel/2006/main">
          <x14:cfRule type="dataBar" id="{15D9164D-F179-4997-AB5B-37DC7C74CB32}">
            <x14:dataBar minLength="0" maxLength="100" border="1" gradient="0">
              <x14:cfvo type="num">
                <xm:f>0</xm:f>
              </x14:cfvo>
              <x14:cfvo type="num">
                <xm:f>1</xm:f>
              </x14:cfvo>
              <x14:borderColor theme="0"/>
              <x14:negativeFillColor rgb="FFFF0000"/>
              <x14:axisColor rgb="FF000000"/>
            </x14:dataBar>
          </x14:cfRule>
          <xm:sqref>J150</xm:sqref>
        </x14:conditionalFormatting>
        <x14:conditionalFormatting xmlns:xm="http://schemas.microsoft.com/office/excel/2006/main">
          <x14:cfRule type="dataBar" id="{2B812241-F544-4CCD-932D-73C36CF59F36}">
            <x14:dataBar minLength="0" maxLength="100" border="1" gradient="0">
              <x14:cfvo type="num">
                <xm:f>0</xm:f>
              </x14:cfvo>
              <x14:cfvo type="num">
                <xm:f>1</xm:f>
              </x14:cfvo>
              <x14:borderColor theme="0"/>
              <x14:negativeFillColor rgb="FFFF0000"/>
              <x14:axisColor rgb="FF000000"/>
            </x14:dataBar>
          </x14:cfRule>
          <xm:sqref>J152</xm:sqref>
        </x14:conditionalFormatting>
        <x14:conditionalFormatting xmlns:xm="http://schemas.microsoft.com/office/excel/2006/main">
          <x14:cfRule type="dataBar" id="{D809FDF8-A1D3-434B-AFF3-0253DFC816B3}">
            <x14:dataBar minLength="0" maxLength="100" border="1" gradient="0">
              <x14:cfvo type="num">
                <xm:f>0</xm:f>
              </x14:cfvo>
              <x14:cfvo type="num">
                <xm:f>1</xm:f>
              </x14:cfvo>
              <x14:borderColor theme="0"/>
              <x14:negativeFillColor rgb="FFFF0000"/>
              <x14:axisColor rgb="FF000000"/>
            </x14:dataBar>
          </x14:cfRule>
          <xm:sqref>J154</xm:sqref>
        </x14:conditionalFormatting>
        <x14:conditionalFormatting xmlns:xm="http://schemas.microsoft.com/office/excel/2006/main">
          <x14:cfRule type="dataBar" id="{022CED48-73AC-4C5E-8C94-B792F7365560}">
            <x14:dataBar minLength="0" maxLength="100" border="1" gradient="0">
              <x14:cfvo type="num">
                <xm:f>0</xm:f>
              </x14:cfvo>
              <x14:cfvo type="num">
                <xm:f>1</xm:f>
              </x14:cfvo>
              <x14:borderColor theme="0"/>
              <x14:negativeFillColor rgb="FFFF0000"/>
              <x14:axisColor rgb="FF000000"/>
            </x14:dataBar>
          </x14:cfRule>
          <xm:sqref>J156</xm:sqref>
        </x14:conditionalFormatting>
        <x14:conditionalFormatting xmlns:xm="http://schemas.microsoft.com/office/excel/2006/main">
          <x14:cfRule type="dataBar" id="{AE701C41-A6B9-40C5-872D-02DB807DAA70}">
            <x14:dataBar minLength="0" maxLength="100" border="1" gradient="0">
              <x14:cfvo type="num">
                <xm:f>0</xm:f>
              </x14:cfvo>
              <x14:cfvo type="num">
                <xm:f>1</xm:f>
              </x14:cfvo>
              <x14:borderColor theme="0"/>
              <x14:negativeFillColor rgb="FFFF0000"/>
              <x14:axisColor rgb="FF000000"/>
            </x14:dataBar>
          </x14:cfRule>
          <xm:sqref>J158</xm:sqref>
        </x14:conditionalFormatting>
        <x14:conditionalFormatting xmlns:xm="http://schemas.microsoft.com/office/excel/2006/main">
          <x14:cfRule type="dataBar" id="{93211A9F-A29D-4FC5-9BD9-E6B51B8748DB}">
            <x14:dataBar minLength="0" maxLength="100" border="1" gradient="0">
              <x14:cfvo type="num">
                <xm:f>0</xm:f>
              </x14:cfvo>
              <x14:cfvo type="num">
                <xm:f>1</xm:f>
              </x14:cfvo>
              <x14:borderColor theme="0"/>
              <x14:negativeFillColor rgb="FFFF0000"/>
              <x14:axisColor rgb="FF000000"/>
            </x14:dataBar>
          </x14:cfRule>
          <xm:sqref>J160</xm:sqref>
        </x14:conditionalFormatting>
        <x14:conditionalFormatting xmlns:xm="http://schemas.microsoft.com/office/excel/2006/main">
          <x14:cfRule type="dataBar" id="{675F2316-DEAB-4C34-992B-B2164836E7B5}">
            <x14:dataBar minLength="0" maxLength="100" border="1" gradient="0">
              <x14:cfvo type="num">
                <xm:f>0</xm:f>
              </x14:cfvo>
              <x14:cfvo type="num">
                <xm:f>1</xm:f>
              </x14:cfvo>
              <x14:borderColor theme="0"/>
              <x14:negativeFillColor rgb="FFFF0000"/>
              <x14:axisColor rgb="FF000000"/>
            </x14:dataBar>
          </x14:cfRule>
          <xm:sqref>J162</xm:sqref>
        </x14:conditionalFormatting>
        <x14:conditionalFormatting xmlns:xm="http://schemas.microsoft.com/office/excel/2006/main">
          <x14:cfRule type="dataBar" id="{6C362AD7-BB95-47EF-A7EC-0CFD97A86C32}">
            <x14:dataBar minLength="0" maxLength="100" border="1" gradient="0">
              <x14:cfvo type="num">
                <xm:f>0</xm:f>
              </x14:cfvo>
              <x14:cfvo type="num">
                <xm:f>1</xm:f>
              </x14:cfvo>
              <x14:borderColor theme="0"/>
              <x14:negativeFillColor rgb="FFFF0000"/>
              <x14:axisColor rgb="FF000000"/>
            </x14:dataBar>
          </x14:cfRule>
          <xm:sqref>J164</xm:sqref>
        </x14:conditionalFormatting>
        <x14:conditionalFormatting xmlns:xm="http://schemas.microsoft.com/office/excel/2006/main">
          <x14:cfRule type="dataBar" id="{4B24CEE1-061C-4D0C-B4EF-D3788B4BE196}">
            <x14:dataBar minLength="0" maxLength="100" border="1" gradient="0">
              <x14:cfvo type="num">
                <xm:f>0</xm:f>
              </x14:cfvo>
              <x14:cfvo type="num">
                <xm:f>1</xm:f>
              </x14:cfvo>
              <x14:borderColor theme="0"/>
              <x14:negativeFillColor rgb="FFFF0000"/>
              <x14:axisColor rgb="FF000000"/>
            </x14:dataBar>
          </x14:cfRule>
          <xm:sqref>J166</xm:sqref>
        </x14:conditionalFormatting>
        <x14:conditionalFormatting xmlns:xm="http://schemas.microsoft.com/office/excel/2006/main">
          <x14:cfRule type="dataBar" id="{55EB2827-CEEB-4AB5-A602-ABB70779B453}">
            <x14:dataBar minLength="0" maxLength="100" border="1" gradient="0">
              <x14:cfvo type="num">
                <xm:f>0</xm:f>
              </x14:cfvo>
              <x14:cfvo type="num">
                <xm:f>1</xm:f>
              </x14:cfvo>
              <x14:borderColor theme="0"/>
              <x14:negativeFillColor rgb="FFFF0000"/>
              <x14:axisColor rgb="FF000000"/>
            </x14:dataBar>
          </x14:cfRule>
          <xm:sqref>J168</xm:sqref>
        </x14:conditionalFormatting>
        <x14:conditionalFormatting xmlns:xm="http://schemas.microsoft.com/office/excel/2006/main">
          <x14:cfRule type="dataBar" id="{27BD0736-CCEA-4FE7-8CC5-947FDDEAA391}">
            <x14:dataBar minLength="0" maxLength="100" border="1" gradient="0">
              <x14:cfvo type="num">
                <xm:f>0</xm:f>
              </x14:cfvo>
              <x14:cfvo type="num">
                <xm:f>1</xm:f>
              </x14:cfvo>
              <x14:borderColor theme="0"/>
              <x14:negativeFillColor rgb="FFFF0000"/>
              <x14:axisColor rgb="FF000000"/>
            </x14:dataBar>
          </x14:cfRule>
          <xm:sqref>J170</xm:sqref>
        </x14:conditionalFormatting>
        <x14:conditionalFormatting xmlns:xm="http://schemas.microsoft.com/office/excel/2006/main">
          <x14:cfRule type="dataBar" id="{7ACE4DAA-C3B1-4B05-8991-943EBE58731D}">
            <x14:dataBar minLength="0" maxLength="100" border="1" gradient="0">
              <x14:cfvo type="num">
                <xm:f>0</xm:f>
              </x14:cfvo>
              <x14:cfvo type="num">
                <xm:f>1</xm:f>
              </x14:cfvo>
              <x14:borderColor theme="0"/>
              <x14:negativeFillColor rgb="FFFF0000"/>
              <x14:axisColor rgb="FF000000"/>
            </x14:dataBar>
          </x14:cfRule>
          <xm:sqref>J172</xm:sqref>
        </x14:conditionalFormatting>
        <x14:conditionalFormatting xmlns:xm="http://schemas.microsoft.com/office/excel/2006/main">
          <x14:cfRule type="dataBar" id="{5122CDE1-5AD2-427E-89A7-4D1C52ED196D}">
            <x14:dataBar minLength="0" maxLength="100" border="1" gradient="0">
              <x14:cfvo type="num">
                <xm:f>0</xm:f>
              </x14:cfvo>
              <x14:cfvo type="num">
                <xm:f>1</xm:f>
              </x14:cfvo>
              <x14:borderColor theme="0"/>
              <x14:negativeFillColor rgb="FFFF0000"/>
              <x14:axisColor rgb="FF000000"/>
            </x14:dataBar>
          </x14:cfRule>
          <xm:sqref>J176</xm:sqref>
        </x14:conditionalFormatting>
        <x14:conditionalFormatting xmlns:xm="http://schemas.microsoft.com/office/excel/2006/main">
          <x14:cfRule type="dataBar" id="{FF402813-2691-44C3-BE66-EA5684DB404B}">
            <x14:dataBar minLength="0" maxLength="100" border="1" gradient="0">
              <x14:cfvo type="num">
                <xm:f>0</xm:f>
              </x14:cfvo>
              <x14:cfvo type="num">
                <xm:f>1</xm:f>
              </x14:cfvo>
              <x14:borderColor theme="0"/>
              <x14:negativeFillColor rgb="FFFF0000"/>
              <x14:axisColor rgb="FF000000"/>
            </x14:dataBar>
          </x14:cfRule>
          <xm:sqref>J178</xm:sqref>
        </x14:conditionalFormatting>
        <x14:conditionalFormatting xmlns:xm="http://schemas.microsoft.com/office/excel/2006/main">
          <x14:cfRule type="dataBar" id="{08BF243C-124B-4309-87BD-5E186EBEB93A}">
            <x14:dataBar minLength="0" maxLength="100" border="1" gradient="0">
              <x14:cfvo type="num">
                <xm:f>0</xm:f>
              </x14:cfvo>
              <x14:cfvo type="num">
                <xm:f>1</xm:f>
              </x14:cfvo>
              <x14:borderColor theme="0"/>
              <x14:negativeFillColor rgb="FFFF0000"/>
              <x14:axisColor rgb="FF000000"/>
            </x14:dataBar>
          </x14:cfRule>
          <xm:sqref>J180</xm:sqref>
        </x14:conditionalFormatting>
        <x14:conditionalFormatting xmlns:xm="http://schemas.microsoft.com/office/excel/2006/main">
          <x14:cfRule type="dataBar" id="{E74C0772-0917-48AB-BA44-070A25FD0D5A}">
            <x14:dataBar minLength="0" maxLength="100" border="1" gradient="0">
              <x14:cfvo type="num">
                <xm:f>0</xm:f>
              </x14:cfvo>
              <x14:cfvo type="num">
                <xm:f>1</xm:f>
              </x14:cfvo>
              <x14:borderColor theme="0"/>
              <x14:negativeFillColor rgb="FFFF0000"/>
              <x14:axisColor rgb="FF000000"/>
            </x14:dataBar>
          </x14:cfRule>
          <xm:sqref>J182</xm:sqref>
        </x14:conditionalFormatting>
        <x14:conditionalFormatting xmlns:xm="http://schemas.microsoft.com/office/excel/2006/main">
          <x14:cfRule type="dataBar" id="{C0A81B0C-4D32-4069-BB68-3D1D013D3926}">
            <x14:dataBar minLength="0" maxLength="100" border="1" gradient="0">
              <x14:cfvo type="num">
                <xm:f>0</xm:f>
              </x14:cfvo>
              <x14:cfvo type="num">
                <xm:f>1</xm:f>
              </x14:cfvo>
              <x14:borderColor theme="0"/>
              <x14:negativeFillColor rgb="FFFF0000"/>
              <x14:axisColor rgb="FF000000"/>
            </x14:dataBar>
          </x14:cfRule>
          <xm:sqref>J184</xm:sqref>
        </x14:conditionalFormatting>
        <x14:conditionalFormatting xmlns:xm="http://schemas.microsoft.com/office/excel/2006/main">
          <x14:cfRule type="dataBar" id="{3620D5DE-04A6-43B1-9998-A95CE5E539E3}">
            <x14:dataBar minLength="0" maxLength="100" border="1" gradient="0">
              <x14:cfvo type="num">
                <xm:f>0</xm:f>
              </x14:cfvo>
              <x14:cfvo type="num">
                <xm:f>1</xm:f>
              </x14:cfvo>
              <x14:borderColor theme="0"/>
              <x14:negativeFillColor rgb="FFFF0000"/>
              <x14:axisColor rgb="FF000000"/>
            </x14:dataBar>
          </x14:cfRule>
          <xm:sqref>J186</xm:sqref>
        </x14:conditionalFormatting>
        <x14:conditionalFormatting xmlns:xm="http://schemas.microsoft.com/office/excel/2006/main">
          <x14:cfRule type="dataBar" id="{672E12FD-51B5-41B1-866A-07554682C9C7}">
            <x14:dataBar minLength="0" maxLength="100" border="1" gradient="0">
              <x14:cfvo type="num">
                <xm:f>0</xm:f>
              </x14:cfvo>
              <x14:cfvo type="num">
                <xm:f>1</xm:f>
              </x14:cfvo>
              <x14:borderColor theme="0"/>
              <x14:negativeFillColor rgb="FFFF0000"/>
              <x14:axisColor rgb="FF000000"/>
            </x14:dataBar>
          </x14:cfRule>
          <xm:sqref>J188</xm:sqref>
        </x14:conditionalFormatting>
        <x14:conditionalFormatting xmlns:xm="http://schemas.microsoft.com/office/excel/2006/main">
          <x14:cfRule type="dataBar" id="{B49B2E0F-30DD-4599-820D-A9492CABF510}">
            <x14:dataBar minLength="0" maxLength="100" border="1" gradient="0">
              <x14:cfvo type="num">
                <xm:f>0</xm:f>
              </x14:cfvo>
              <x14:cfvo type="num">
                <xm:f>1</xm:f>
              </x14:cfvo>
              <x14:borderColor theme="0"/>
              <x14:negativeFillColor rgb="FFFF0000"/>
              <x14:axisColor rgb="FF000000"/>
            </x14:dataBar>
          </x14:cfRule>
          <xm:sqref>J190</xm:sqref>
        </x14:conditionalFormatting>
        <x14:conditionalFormatting xmlns:xm="http://schemas.microsoft.com/office/excel/2006/main">
          <x14:cfRule type="dataBar" id="{006CECFB-74FF-4267-ABFC-86C41A1A64C6}">
            <x14:dataBar minLength="0" maxLength="100" border="1" gradient="0">
              <x14:cfvo type="num">
                <xm:f>0</xm:f>
              </x14:cfvo>
              <x14:cfvo type="num">
                <xm:f>1</xm:f>
              </x14:cfvo>
              <x14:borderColor theme="0"/>
              <x14:negativeFillColor rgb="FFFF0000"/>
              <x14:axisColor rgb="FF000000"/>
            </x14:dataBar>
          </x14:cfRule>
          <xm:sqref>J192</xm:sqref>
        </x14:conditionalFormatting>
        <x14:conditionalFormatting xmlns:xm="http://schemas.microsoft.com/office/excel/2006/main">
          <x14:cfRule type="dataBar" id="{8C2DD260-FD4D-44CF-8D1C-DFBCE3EE816E}">
            <x14:dataBar minLength="0" maxLength="100" border="1" gradient="0">
              <x14:cfvo type="num">
                <xm:f>0</xm:f>
              </x14:cfvo>
              <x14:cfvo type="num">
                <xm:f>1</xm:f>
              </x14:cfvo>
              <x14:borderColor theme="0"/>
              <x14:negativeFillColor rgb="FFFF0000"/>
              <x14:axisColor rgb="FF000000"/>
            </x14:dataBar>
          </x14:cfRule>
          <xm:sqref>J194</xm:sqref>
        </x14:conditionalFormatting>
        <x14:conditionalFormatting xmlns:xm="http://schemas.microsoft.com/office/excel/2006/main">
          <x14:cfRule type="dataBar" id="{FC638EC3-3C41-4454-AD23-405753EB6FEE}">
            <x14:dataBar minLength="0" maxLength="100" border="1" gradient="0">
              <x14:cfvo type="num">
                <xm:f>0</xm:f>
              </x14:cfvo>
              <x14:cfvo type="num">
                <xm:f>1</xm:f>
              </x14:cfvo>
              <x14:borderColor theme="0"/>
              <x14:negativeFillColor rgb="FFFF0000"/>
              <x14:axisColor rgb="FF000000"/>
            </x14:dataBar>
          </x14:cfRule>
          <xm:sqref>J196</xm:sqref>
        </x14:conditionalFormatting>
        <x14:conditionalFormatting xmlns:xm="http://schemas.microsoft.com/office/excel/2006/main">
          <x14:cfRule type="dataBar" id="{1DC1BFE3-B402-49D6-8347-BAD62B20ED03}">
            <x14:dataBar minLength="0" maxLength="100" border="1" gradient="0">
              <x14:cfvo type="num">
                <xm:f>0</xm:f>
              </x14:cfvo>
              <x14:cfvo type="num">
                <xm:f>1</xm:f>
              </x14:cfvo>
              <x14:borderColor theme="0"/>
              <x14:negativeFillColor rgb="FFFF0000"/>
              <x14:axisColor rgb="FF000000"/>
            </x14:dataBar>
          </x14:cfRule>
          <xm:sqref>J198</xm:sqref>
        </x14:conditionalFormatting>
        <x14:conditionalFormatting xmlns:xm="http://schemas.microsoft.com/office/excel/2006/main">
          <x14:cfRule type="dataBar" id="{80298D52-F825-4053-8B48-ECD3AC01603A}">
            <x14:dataBar minLength="0" maxLength="100" border="1" gradient="0">
              <x14:cfvo type="num">
                <xm:f>0</xm:f>
              </x14:cfvo>
              <x14:cfvo type="num">
                <xm:f>1</xm:f>
              </x14:cfvo>
              <x14:borderColor theme="0"/>
              <x14:negativeFillColor rgb="FFFF0000"/>
              <x14:axisColor rgb="FF000000"/>
            </x14:dataBar>
          </x14:cfRule>
          <xm:sqref>J200</xm:sqref>
        </x14:conditionalFormatting>
        <x14:conditionalFormatting xmlns:xm="http://schemas.microsoft.com/office/excel/2006/main">
          <x14:cfRule type="dataBar" id="{3B40059A-2089-4FCD-99DF-37356B2BE44B}">
            <x14:dataBar minLength="0" maxLength="100" border="1" gradient="0">
              <x14:cfvo type="num">
                <xm:f>0</xm:f>
              </x14:cfvo>
              <x14:cfvo type="num">
                <xm:f>1</xm:f>
              </x14:cfvo>
              <x14:borderColor theme="0"/>
              <x14:negativeFillColor rgb="FFFF0000"/>
              <x14:axisColor rgb="FF000000"/>
            </x14:dataBar>
          </x14:cfRule>
          <xm:sqref>J202</xm:sqref>
        </x14:conditionalFormatting>
        <x14:conditionalFormatting xmlns:xm="http://schemas.microsoft.com/office/excel/2006/main">
          <x14:cfRule type="dataBar" id="{AE9F373D-93AF-425C-A3EA-FE7C95764BE1}">
            <x14:dataBar minLength="0" maxLength="100" border="1" gradient="0">
              <x14:cfvo type="num">
                <xm:f>0</xm:f>
              </x14:cfvo>
              <x14:cfvo type="num">
                <xm:f>1</xm:f>
              </x14:cfvo>
              <x14:borderColor theme="0"/>
              <x14:negativeFillColor rgb="FFFF0000"/>
              <x14:axisColor rgb="FF000000"/>
            </x14:dataBar>
          </x14:cfRule>
          <xm:sqref>J204</xm:sqref>
        </x14:conditionalFormatting>
        <x14:conditionalFormatting xmlns:xm="http://schemas.microsoft.com/office/excel/2006/main">
          <x14:cfRule type="dataBar" id="{BEC257BA-44EE-4D24-9054-E86717E2863E}">
            <x14:dataBar minLength="0" maxLength="100" border="1" gradient="0">
              <x14:cfvo type="num">
                <xm:f>0</xm:f>
              </x14:cfvo>
              <x14:cfvo type="num">
                <xm:f>1</xm:f>
              </x14:cfvo>
              <x14:borderColor theme="0"/>
              <x14:negativeFillColor rgb="FFFF0000"/>
              <x14:axisColor rgb="FF000000"/>
            </x14:dataBar>
          </x14:cfRule>
          <xm:sqref>J206</xm:sqref>
        </x14:conditionalFormatting>
        <x14:conditionalFormatting xmlns:xm="http://schemas.microsoft.com/office/excel/2006/main">
          <x14:cfRule type="dataBar" id="{0F7A10C0-E0EF-4BA1-9C36-E70D16936BFC}">
            <x14:dataBar minLength="0" maxLength="100" border="1" gradient="0">
              <x14:cfvo type="num">
                <xm:f>0</xm:f>
              </x14:cfvo>
              <x14:cfvo type="num">
                <xm:f>1</xm:f>
              </x14:cfvo>
              <x14:borderColor theme="0"/>
              <x14:negativeFillColor rgb="FFFF0000"/>
              <x14:axisColor rgb="FF000000"/>
            </x14:dataBar>
          </x14:cfRule>
          <xm:sqref>J208</xm:sqref>
        </x14:conditionalFormatting>
        <x14:conditionalFormatting xmlns:xm="http://schemas.microsoft.com/office/excel/2006/main">
          <x14:cfRule type="dataBar" id="{57702CA8-B356-4DC2-A1CB-D1C44833A55F}">
            <x14:dataBar minLength="0" maxLength="100" border="1" gradient="0">
              <x14:cfvo type="num">
                <xm:f>0</xm:f>
              </x14:cfvo>
              <x14:cfvo type="num">
                <xm:f>1</xm:f>
              </x14:cfvo>
              <x14:borderColor theme="0"/>
              <x14:negativeFillColor rgb="FFFF0000"/>
              <x14:axisColor rgb="FF000000"/>
            </x14:dataBar>
          </x14:cfRule>
          <xm:sqref>J210</xm:sqref>
        </x14:conditionalFormatting>
        <x14:conditionalFormatting xmlns:xm="http://schemas.microsoft.com/office/excel/2006/main">
          <x14:cfRule type="dataBar" id="{73A2BC05-E52E-4AAD-A6C4-E0BDE4F99FCC}">
            <x14:dataBar minLength="0" maxLength="100" border="1" gradient="0">
              <x14:cfvo type="num">
                <xm:f>0</xm:f>
              </x14:cfvo>
              <x14:cfvo type="num">
                <xm:f>1</xm:f>
              </x14:cfvo>
              <x14:borderColor theme="0"/>
              <x14:negativeFillColor rgb="FFFF0000"/>
              <x14:axisColor rgb="FF000000"/>
            </x14:dataBar>
          </x14:cfRule>
          <xm:sqref>J212</xm:sqref>
        </x14:conditionalFormatting>
        <x14:conditionalFormatting xmlns:xm="http://schemas.microsoft.com/office/excel/2006/main">
          <x14:cfRule type="dataBar" id="{CF8C0C7C-FCAA-4BC8-81F7-D6B32700B5B9}">
            <x14:dataBar minLength="0" maxLength="100" border="1" gradient="0">
              <x14:cfvo type="num">
                <xm:f>0</xm:f>
              </x14:cfvo>
              <x14:cfvo type="num">
                <xm:f>1</xm:f>
              </x14:cfvo>
              <x14:borderColor theme="0"/>
              <x14:negativeFillColor rgb="FFFF0000"/>
              <x14:axisColor rgb="FF000000"/>
            </x14:dataBar>
          </x14:cfRule>
          <xm:sqref>J214</xm:sqref>
        </x14:conditionalFormatting>
        <x14:conditionalFormatting xmlns:xm="http://schemas.microsoft.com/office/excel/2006/main">
          <x14:cfRule type="dataBar" id="{81DBD823-C8BF-4EC1-8382-FE96E360F489}">
            <x14:dataBar minLength="0" maxLength="100" border="1" gradient="0">
              <x14:cfvo type="num">
                <xm:f>0</xm:f>
              </x14:cfvo>
              <x14:cfvo type="num">
                <xm:f>1</xm:f>
              </x14:cfvo>
              <x14:borderColor theme="0"/>
              <x14:negativeFillColor rgb="FFFF0000"/>
              <x14:axisColor rgb="FF000000"/>
            </x14:dataBar>
          </x14:cfRule>
          <xm:sqref>J216</xm:sqref>
        </x14:conditionalFormatting>
        <x14:conditionalFormatting xmlns:xm="http://schemas.microsoft.com/office/excel/2006/main">
          <x14:cfRule type="dataBar" id="{828FC4D9-EBCE-4026-98CA-B5784482FE89}">
            <x14:dataBar minLength="0" maxLength="100" border="1" gradient="0">
              <x14:cfvo type="num">
                <xm:f>0</xm:f>
              </x14:cfvo>
              <x14:cfvo type="num">
                <xm:f>1</xm:f>
              </x14:cfvo>
              <x14:borderColor theme="0"/>
              <x14:negativeFillColor rgb="FFFF0000"/>
              <x14:axisColor rgb="FF000000"/>
            </x14:dataBar>
          </x14:cfRule>
          <xm:sqref>J218</xm:sqref>
        </x14:conditionalFormatting>
        <x14:conditionalFormatting xmlns:xm="http://schemas.microsoft.com/office/excel/2006/main">
          <x14:cfRule type="dataBar" id="{EF593E55-2084-4E78-B180-F7F6DA12E634}">
            <x14:dataBar minLength="0" maxLength="100" border="1" gradient="0">
              <x14:cfvo type="num">
                <xm:f>0</xm:f>
              </x14:cfvo>
              <x14:cfvo type="num">
                <xm:f>1</xm:f>
              </x14:cfvo>
              <x14:borderColor theme="0"/>
              <x14:negativeFillColor rgb="FFFF0000"/>
              <x14:axisColor rgb="FF000000"/>
            </x14:dataBar>
          </x14:cfRule>
          <xm:sqref>J220</xm:sqref>
        </x14:conditionalFormatting>
        <x14:conditionalFormatting xmlns:xm="http://schemas.microsoft.com/office/excel/2006/main">
          <x14:cfRule type="dataBar" id="{AD5A1C02-D18F-4C2F-994E-6462E05C0784}">
            <x14:dataBar minLength="0" maxLength="100" border="1" gradient="0">
              <x14:cfvo type="num">
                <xm:f>0</xm:f>
              </x14:cfvo>
              <x14:cfvo type="num">
                <xm:f>1</xm:f>
              </x14:cfvo>
              <x14:borderColor theme="0"/>
              <x14:negativeFillColor rgb="FFFF0000"/>
              <x14:axisColor rgb="FF000000"/>
            </x14:dataBar>
          </x14:cfRule>
          <xm:sqref>J222</xm:sqref>
        </x14:conditionalFormatting>
        <x14:conditionalFormatting xmlns:xm="http://schemas.microsoft.com/office/excel/2006/main">
          <x14:cfRule type="dataBar" id="{F7DBE398-E960-46F5-B1CC-AD643D718AF1}">
            <x14:dataBar minLength="0" maxLength="100" border="1" gradient="0">
              <x14:cfvo type="num">
                <xm:f>0</xm:f>
              </x14:cfvo>
              <x14:cfvo type="num">
                <xm:f>1</xm:f>
              </x14:cfvo>
              <x14:borderColor theme="0"/>
              <x14:negativeFillColor rgb="FFFF0000"/>
              <x14:axisColor rgb="FF000000"/>
            </x14:dataBar>
          </x14:cfRule>
          <xm:sqref>J224</xm:sqref>
        </x14:conditionalFormatting>
        <x14:conditionalFormatting xmlns:xm="http://schemas.microsoft.com/office/excel/2006/main">
          <x14:cfRule type="dataBar" id="{5E386DE7-AE65-470C-8A06-1235D285E264}">
            <x14:dataBar minLength="0" maxLength="100" border="1" gradient="0">
              <x14:cfvo type="num">
                <xm:f>0</xm:f>
              </x14:cfvo>
              <x14:cfvo type="num">
                <xm:f>1</xm:f>
              </x14:cfvo>
              <x14:borderColor theme="0"/>
              <x14:negativeFillColor rgb="FFFF0000"/>
              <x14:axisColor rgb="FF000000"/>
            </x14:dataBar>
          </x14:cfRule>
          <xm:sqref>J226</xm:sqref>
        </x14:conditionalFormatting>
        <x14:conditionalFormatting xmlns:xm="http://schemas.microsoft.com/office/excel/2006/main">
          <x14:cfRule type="dataBar" id="{DE85C426-50A5-4849-BE5A-CA1DA9852999}">
            <x14:dataBar minLength="0" maxLength="100" border="1" gradient="0">
              <x14:cfvo type="num">
                <xm:f>0</xm:f>
              </x14:cfvo>
              <x14:cfvo type="num">
                <xm:f>1</xm:f>
              </x14:cfvo>
              <x14:borderColor theme="0"/>
              <x14:negativeFillColor rgb="FFFF0000"/>
              <x14:axisColor rgb="FF000000"/>
            </x14:dataBar>
          </x14:cfRule>
          <xm:sqref>J228</xm:sqref>
        </x14:conditionalFormatting>
        <x14:conditionalFormatting xmlns:xm="http://schemas.microsoft.com/office/excel/2006/main">
          <x14:cfRule type="dataBar" id="{C8D41E6D-FE4D-461A-B69E-DED717BB1425}">
            <x14:dataBar minLength="0" maxLength="100" border="1" gradient="0">
              <x14:cfvo type="num">
                <xm:f>0</xm:f>
              </x14:cfvo>
              <x14:cfvo type="num">
                <xm:f>1</xm:f>
              </x14:cfvo>
              <x14:borderColor theme="0"/>
              <x14:negativeFillColor rgb="FFFF0000"/>
              <x14:axisColor rgb="FF000000"/>
            </x14:dataBar>
          </x14:cfRule>
          <xm:sqref>J232</xm:sqref>
        </x14:conditionalFormatting>
        <x14:conditionalFormatting xmlns:xm="http://schemas.microsoft.com/office/excel/2006/main">
          <x14:cfRule type="dataBar" id="{5FCE0778-442C-4FBE-82F8-86C20E430684}">
            <x14:dataBar minLength="0" maxLength="100" border="1" gradient="0">
              <x14:cfvo type="num">
                <xm:f>0</xm:f>
              </x14:cfvo>
              <x14:cfvo type="num">
                <xm:f>1</xm:f>
              </x14:cfvo>
              <x14:borderColor theme="0"/>
              <x14:negativeFillColor rgb="FFFF0000"/>
              <x14:axisColor rgb="FF000000"/>
            </x14:dataBar>
          </x14:cfRule>
          <xm:sqref>J234</xm:sqref>
        </x14:conditionalFormatting>
        <x14:conditionalFormatting xmlns:xm="http://schemas.microsoft.com/office/excel/2006/main">
          <x14:cfRule type="dataBar" id="{36232D90-EAAB-4302-B844-8C7A578089FB}">
            <x14:dataBar minLength="0" maxLength="100" border="1" gradient="0">
              <x14:cfvo type="num">
                <xm:f>0</xm:f>
              </x14:cfvo>
              <x14:cfvo type="num">
                <xm:f>1</xm:f>
              </x14:cfvo>
              <x14:borderColor theme="0"/>
              <x14:negativeFillColor rgb="FFFF0000"/>
              <x14:axisColor rgb="FF000000"/>
            </x14:dataBar>
          </x14:cfRule>
          <xm:sqref>J236</xm:sqref>
        </x14:conditionalFormatting>
        <x14:conditionalFormatting xmlns:xm="http://schemas.microsoft.com/office/excel/2006/main">
          <x14:cfRule type="dataBar" id="{7E62C0B6-3AA1-4F2F-A335-CD4336DC6C22}">
            <x14:dataBar minLength="0" maxLength="100" border="1" gradient="0">
              <x14:cfvo type="num">
                <xm:f>0</xm:f>
              </x14:cfvo>
              <x14:cfvo type="num">
                <xm:f>1</xm:f>
              </x14:cfvo>
              <x14:borderColor theme="0"/>
              <x14:negativeFillColor rgb="FFFF0000"/>
              <x14:axisColor rgb="FF000000"/>
            </x14:dataBar>
          </x14:cfRule>
          <xm:sqref>J238</xm:sqref>
        </x14:conditionalFormatting>
        <x14:conditionalFormatting xmlns:xm="http://schemas.microsoft.com/office/excel/2006/main">
          <x14:cfRule type="dataBar" id="{46255FB8-F52E-47F7-8109-B376D88EF653}">
            <x14:dataBar minLength="0" maxLength="100" border="1" gradient="0">
              <x14:cfvo type="num">
                <xm:f>0</xm:f>
              </x14:cfvo>
              <x14:cfvo type="num">
                <xm:f>1</xm:f>
              </x14:cfvo>
              <x14:borderColor theme="0"/>
              <x14:negativeFillColor rgb="FFFF0000"/>
              <x14:axisColor rgb="FF000000"/>
            </x14:dataBar>
          </x14:cfRule>
          <xm:sqref>J240</xm:sqref>
        </x14:conditionalFormatting>
        <x14:conditionalFormatting xmlns:xm="http://schemas.microsoft.com/office/excel/2006/main">
          <x14:cfRule type="dataBar" id="{86CA4E52-3633-4780-B083-25FCE532B0E9}">
            <x14:dataBar minLength="0" maxLength="100" border="1" gradient="0">
              <x14:cfvo type="num">
                <xm:f>0</xm:f>
              </x14:cfvo>
              <x14:cfvo type="num">
                <xm:f>1</xm:f>
              </x14:cfvo>
              <x14:borderColor theme="0"/>
              <x14:negativeFillColor rgb="FFFF0000"/>
              <x14:axisColor rgb="FF000000"/>
            </x14:dataBar>
          </x14:cfRule>
          <xm:sqref>J242</xm:sqref>
        </x14:conditionalFormatting>
        <x14:conditionalFormatting xmlns:xm="http://schemas.microsoft.com/office/excel/2006/main">
          <x14:cfRule type="dataBar" id="{2BDB500E-CCC3-4521-A5F9-85DC1D8B8639}">
            <x14:dataBar minLength="0" maxLength="100" border="1" gradient="0">
              <x14:cfvo type="num">
                <xm:f>0</xm:f>
              </x14:cfvo>
              <x14:cfvo type="num">
                <xm:f>1</xm:f>
              </x14:cfvo>
              <x14:borderColor theme="0"/>
              <x14:negativeFillColor rgb="FFFF0000"/>
              <x14:axisColor rgb="FF000000"/>
            </x14:dataBar>
          </x14:cfRule>
          <xm:sqref>J244</xm:sqref>
        </x14:conditionalFormatting>
        <x14:conditionalFormatting xmlns:xm="http://schemas.microsoft.com/office/excel/2006/main">
          <x14:cfRule type="dataBar" id="{48E037AE-2AC5-44ED-B788-E6BD49B442D7}">
            <x14:dataBar minLength="0" maxLength="100" border="1" gradient="0">
              <x14:cfvo type="num">
                <xm:f>0</xm:f>
              </x14:cfvo>
              <x14:cfvo type="num">
                <xm:f>1</xm:f>
              </x14:cfvo>
              <x14:borderColor theme="0"/>
              <x14:negativeFillColor rgb="FFFF0000"/>
              <x14:axisColor rgb="FF000000"/>
            </x14:dataBar>
          </x14:cfRule>
          <xm:sqref>J246</xm:sqref>
        </x14:conditionalFormatting>
        <x14:conditionalFormatting xmlns:xm="http://schemas.microsoft.com/office/excel/2006/main">
          <x14:cfRule type="dataBar" id="{36B5E8C3-40CD-42ED-B3DC-9EB65A0279A3}">
            <x14:dataBar minLength="0" maxLength="100" border="1" gradient="0">
              <x14:cfvo type="num">
                <xm:f>0</xm:f>
              </x14:cfvo>
              <x14:cfvo type="num">
                <xm:f>1</xm:f>
              </x14:cfvo>
              <x14:borderColor theme="0"/>
              <x14:negativeFillColor rgb="FFFF0000"/>
              <x14:axisColor rgb="FF000000"/>
            </x14:dataBar>
          </x14:cfRule>
          <xm:sqref>J248</xm:sqref>
        </x14:conditionalFormatting>
        <x14:conditionalFormatting xmlns:xm="http://schemas.microsoft.com/office/excel/2006/main">
          <x14:cfRule type="dataBar" id="{E06F6B87-3909-44B6-A32B-9A0F36B554F2}">
            <x14:dataBar minLength="0" maxLength="100" border="1" gradient="0">
              <x14:cfvo type="num">
                <xm:f>0</xm:f>
              </x14:cfvo>
              <x14:cfvo type="num">
                <xm:f>1</xm:f>
              </x14:cfvo>
              <x14:borderColor theme="0"/>
              <x14:negativeFillColor rgb="FFFF0000"/>
              <x14:axisColor rgb="FF000000"/>
            </x14:dataBar>
          </x14:cfRule>
          <xm:sqref>J250</xm:sqref>
        </x14:conditionalFormatting>
        <x14:conditionalFormatting xmlns:xm="http://schemas.microsoft.com/office/excel/2006/main">
          <x14:cfRule type="dataBar" id="{CD9DAAA0-B02F-48E8-B80F-D6E6BC647A59}">
            <x14:dataBar minLength="0" maxLength="100" border="1" gradient="0">
              <x14:cfvo type="num">
                <xm:f>0</xm:f>
              </x14:cfvo>
              <x14:cfvo type="num">
                <xm:f>1</xm:f>
              </x14:cfvo>
              <x14:borderColor theme="0"/>
              <x14:negativeFillColor rgb="FFFF0000"/>
              <x14:axisColor rgb="FF000000"/>
            </x14:dataBar>
          </x14:cfRule>
          <xm:sqref>J252</xm:sqref>
        </x14:conditionalFormatting>
        <x14:conditionalFormatting xmlns:xm="http://schemas.microsoft.com/office/excel/2006/main">
          <x14:cfRule type="dataBar" id="{F1A2EF4D-2A68-47BF-A8DE-781977508DCC}">
            <x14:dataBar minLength="0" maxLength="100" border="1" gradient="0">
              <x14:cfvo type="num">
                <xm:f>0</xm:f>
              </x14:cfvo>
              <x14:cfvo type="num">
                <xm:f>1</xm:f>
              </x14:cfvo>
              <x14:borderColor theme="0"/>
              <x14:negativeFillColor rgb="FFFF0000"/>
              <x14:axisColor rgb="FF000000"/>
            </x14:dataBar>
          </x14:cfRule>
          <xm:sqref>J254</xm:sqref>
        </x14:conditionalFormatting>
        <x14:conditionalFormatting xmlns:xm="http://schemas.microsoft.com/office/excel/2006/main">
          <x14:cfRule type="dataBar" id="{3D1DD4F4-24C3-4D45-9AFE-ED954C19922F}">
            <x14:dataBar minLength="0" maxLength="100" border="1" gradient="0">
              <x14:cfvo type="num">
                <xm:f>0</xm:f>
              </x14:cfvo>
              <x14:cfvo type="num">
                <xm:f>1</xm:f>
              </x14:cfvo>
              <x14:borderColor theme="0"/>
              <x14:negativeFillColor rgb="FFFF0000"/>
              <x14:axisColor rgb="FF000000"/>
            </x14:dataBar>
          </x14:cfRule>
          <xm:sqref>J256</xm:sqref>
        </x14:conditionalFormatting>
        <x14:conditionalFormatting xmlns:xm="http://schemas.microsoft.com/office/excel/2006/main">
          <x14:cfRule type="dataBar" id="{1D919C09-2EEE-481E-A832-F17C93715801}">
            <x14:dataBar minLength="0" maxLength="100" border="1" gradient="0">
              <x14:cfvo type="num">
                <xm:f>0</xm:f>
              </x14:cfvo>
              <x14:cfvo type="num">
                <xm:f>1</xm:f>
              </x14:cfvo>
              <x14:borderColor theme="0"/>
              <x14:negativeFillColor rgb="FFFF0000"/>
              <x14:axisColor rgb="FF000000"/>
            </x14:dataBar>
          </x14:cfRule>
          <xm:sqref>J258</xm:sqref>
        </x14:conditionalFormatting>
        <x14:conditionalFormatting xmlns:xm="http://schemas.microsoft.com/office/excel/2006/main">
          <x14:cfRule type="dataBar" id="{7325CB06-ED34-4E62-BD6D-DD8F2C48C717}">
            <x14:dataBar minLength="0" maxLength="100" border="1" gradient="0">
              <x14:cfvo type="num">
                <xm:f>0</xm:f>
              </x14:cfvo>
              <x14:cfvo type="num">
                <xm:f>1</xm:f>
              </x14:cfvo>
              <x14:borderColor theme="0"/>
              <x14:negativeFillColor rgb="FFFF0000"/>
              <x14:axisColor rgb="FF000000"/>
            </x14:dataBar>
          </x14:cfRule>
          <xm:sqref>J260</xm:sqref>
        </x14:conditionalFormatting>
        <x14:conditionalFormatting xmlns:xm="http://schemas.microsoft.com/office/excel/2006/main">
          <x14:cfRule type="dataBar" id="{3AF01ABA-6265-4067-8513-4B20AFB3F0AF}">
            <x14:dataBar minLength="0" maxLength="100" border="1" gradient="0">
              <x14:cfvo type="num">
                <xm:f>0</xm:f>
              </x14:cfvo>
              <x14:cfvo type="num">
                <xm:f>1</xm:f>
              </x14:cfvo>
              <x14:borderColor theme="0"/>
              <x14:negativeFillColor rgb="FFFF0000"/>
              <x14:axisColor rgb="FF000000"/>
            </x14:dataBar>
          </x14:cfRule>
          <xm:sqref>J262</xm:sqref>
        </x14:conditionalFormatting>
        <x14:conditionalFormatting xmlns:xm="http://schemas.microsoft.com/office/excel/2006/main">
          <x14:cfRule type="dataBar" id="{D3FDE2AC-F00C-4AC4-BD8B-0A2767650596}">
            <x14:dataBar minLength="0" maxLength="100" border="1" gradient="0">
              <x14:cfvo type="num">
                <xm:f>0</xm:f>
              </x14:cfvo>
              <x14:cfvo type="num">
                <xm:f>1</xm:f>
              </x14:cfvo>
              <x14:borderColor theme="0"/>
              <x14:negativeFillColor rgb="FFFF0000"/>
              <x14:axisColor rgb="FF000000"/>
            </x14:dataBar>
          </x14:cfRule>
          <xm:sqref>J264</xm:sqref>
        </x14:conditionalFormatting>
        <x14:conditionalFormatting xmlns:xm="http://schemas.microsoft.com/office/excel/2006/main">
          <x14:cfRule type="dataBar" id="{7F346F76-9F54-4F15-B122-32951B7BEC5F}">
            <x14:dataBar minLength="0" maxLength="100" border="1" gradient="0">
              <x14:cfvo type="num">
                <xm:f>0</xm:f>
              </x14:cfvo>
              <x14:cfvo type="num">
                <xm:f>1</xm:f>
              </x14:cfvo>
              <x14:borderColor theme="0"/>
              <x14:negativeFillColor rgb="FFFF0000"/>
              <x14:axisColor rgb="FF000000"/>
            </x14:dataBar>
          </x14:cfRule>
          <xm:sqref>J266</xm:sqref>
        </x14:conditionalFormatting>
        <x14:conditionalFormatting xmlns:xm="http://schemas.microsoft.com/office/excel/2006/main">
          <x14:cfRule type="dataBar" id="{1B78403A-1FB8-4510-A4CE-B3712E99E5AA}">
            <x14:dataBar minLength="0" maxLength="100" border="1" gradient="0">
              <x14:cfvo type="num">
                <xm:f>0</xm:f>
              </x14:cfvo>
              <x14:cfvo type="num">
                <xm:f>1</xm:f>
              </x14:cfvo>
              <x14:borderColor theme="0"/>
              <x14:negativeFillColor rgb="FFFF0000"/>
              <x14:axisColor rgb="FF000000"/>
            </x14:dataBar>
          </x14:cfRule>
          <xm:sqref>J268</xm:sqref>
        </x14:conditionalFormatting>
        <x14:conditionalFormatting xmlns:xm="http://schemas.microsoft.com/office/excel/2006/main">
          <x14:cfRule type="dataBar" id="{51C37CD1-8519-4BFC-B2CC-064F8C57B2BB}">
            <x14:dataBar minLength="0" maxLength="100" border="1" gradient="0">
              <x14:cfvo type="num">
                <xm:f>0</xm:f>
              </x14:cfvo>
              <x14:cfvo type="num">
                <xm:f>1</xm:f>
              </x14:cfvo>
              <x14:borderColor theme="0"/>
              <x14:negativeFillColor rgb="FFFF0000"/>
              <x14:axisColor rgb="FF000000"/>
            </x14:dataBar>
          </x14:cfRule>
          <xm:sqref>J270</xm:sqref>
        </x14:conditionalFormatting>
        <x14:conditionalFormatting xmlns:xm="http://schemas.microsoft.com/office/excel/2006/main">
          <x14:cfRule type="dataBar" id="{21789C23-BB8C-4EEC-851A-B145F635A58C}">
            <x14:dataBar minLength="0" maxLength="100" border="1" gradient="0">
              <x14:cfvo type="num">
                <xm:f>0</xm:f>
              </x14:cfvo>
              <x14:cfvo type="num">
                <xm:f>1</xm:f>
              </x14:cfvo>
              <x14:borderColor theme="0"/>
              <x14:negativeFillColor rgb="FFFF0000"/>
              <x14:axisColor rgb="FF000000"/>
            </x14:dataBar>
          </x14:cfRule>
          <xm:sqref>J272</xm:sqref>
        </x14:conditionalFormatting>
        <x14:conditionalFormatting xmlns:xm="http://schemas.microsoft.com/office/excel/2006/main">
          <x14:cfRule type="dataBar" id="{9201C1A2-E04B-4293-AF8F-6E8542CE6742}">
            <x14:dataBar minLength="0" maxLength="100" border="1" gradient="0">
              <x14:cfvo type="num">
                <xm:f>0</xm:f>
              </x14:cfvo>
              <x14:cfvo type="num">
                <xm:f>1</xm:f>
              </x14:cfvo>
              <x14:borderColor theme="0"/>
              <x14:negativeFillColor rgb="FFFF0000"/>
              <x14:axisColor rgb="FF000000"/>
            </x14:dataBar>
          </x14:cfRule>
          <xm:sqref>J274</xm:sqref>
        </x14:conditionalFormatting>
        <x14:conditionalFormatting xmlns:xm="http://schemas.microsoft.com/office/excel/2006/main">
          <x14:cfRule type="dataBar" id="{03C12D3E-1009-44FA-A48F-F15CA52CAAAD}">
            <x14:dataBar minLength="0" maxLength="100" border="1" gradient="0">
              <x14:cfvo type="num">
                <xm:f>0</xm:f>
              </x14:cfvo>
              <x14:cfvo type="num">
                <xm:f>1</xm:f>
              </x14:cfvo>
              <x14:borderColor theme="0"/>
              <x14:negativeFillColor rgb="FFFF0000"/>
              <x14:axisColor rgb="FF000000"/>
            </x14:dataBar>
          </x14:cfRule>
          <xm:sqref>J276</xm:sqref>
        </x14:conditionalFormatting>
        <x14:conditionalFormatting xmlns:xm="http://schemas.microsoft.com/office/excel/2006/main">
          <x14:cfRule type="dataBar" id="{0CC9CCC2-9EB3-4043-9C59-86BA74C86F94}">
            <x14:dataBar minLength="0" maxLength="100" border="1" gradient="0">
              <x14:cfvo type="num">
                <xm:f>0</xm:f>
              </x14:cfvo>
              <x14:cfvo type="num">
                <xm:f>1</xm:f>
              </x14:cfvo>
              <x14:borderColor theme="0"/>
              <x14:negativeFillColor rgb="FFFF0000"/>
              <x14:axisColor rgb="FF000000"/>
            </x14:dataBar>
          </x14:cfRule>
          <xm:sqref>J278</xm:sqref>
        </x14:conditionalFormatting>
        <x14:conditionalFormatting xmlns:xm="http://schemas.microsoft.com/office/excel/2006/main">
          <x14:cfRule type="dataBar" id="{7527EE54-58CA-4098-9953-FCB2D3AD32DA}">
            <x14:dataBar minLength="0" maxLength="100" border="1" gradient="0">
              <x14:cfvo type="num">
                <xm:f>0</xm:f>
              </x14:cfvo>
              <x14:cfvo type="num">
                <xm:f>1</xm:f>
              </x14:cfvo>
              <x14:borderColor theme="0"/>
              <x14:negativeFillColor rgb="FFFF0000"/>
              <x14:axisColor rgb="FF000000"/>
            </x14:dataBar>
          </x14:cfRule>
          <xm:sqref>J280</xm:sqref>
        </x14:conditionalFormatting>
        <x14:conditionalFormatting xmlns:xm="http://schemas.microsoft.com/office/excel/2006/main">
          <x14:cfRule type="dataBar" id="{7056997C-0040-4593-B2F9-53C5802E2AB0}">
            <x14:dataBar minLength="0" maxLength="100" border="1" gradient="0">
              <x14:cfvo type="num">
                <xm:f>0</xm:f>
              </x14:cfvo>
              <x14:cfvo type="num">
                <xm:f>1</xm:f>
              </x14:cfvo>
              <x14:borderColor theme="0"/>
              <x14:negativeFillColor rgb="FFFF0000"/>
              <x14:axisColor rgb="FF000000"/>
            </x14:dataBar>
          </x14:cfRule>
          <xm:sqref>J282</xm:sqref>
        </x14:conditionalFormatting>
        <x14:conditionalFormatting xmlns:xm="http://schemas.microsoft.com/office/excel/2006/main">
          <x14:cfRule type="dataBar" id="{4E2A0C45-22F7-4C37-887B-6D2DE0A53EC9}">
            <x14:dataBar minLength="0" maxLength="100" border="1" gradient="0">
              <x14:cfvo type="num">
                <xm:f>0</xm:f>
              </x14:cfvo>
              <x14:cfvo type="num">
                <xm:f>1</xm:f>
              </x14:cfvo>
              <x14:borderColor theme="0"/>
              <x14:negativeFillColor rgb="FFFF0000"/>
              <x14:axisColor rgb="FF000000"/>
            </x14:dataBar>
          </x14:cfRule>
          <xm:sqref>J284</xm:sqref>
        </x14:conditionalFormatting>
        <x14:conditionalFormatting xmlns:xm="http://schemas.microsoft.com/office/excel/2006/main">
          <x14:cfRule type="dataBar" id="{DF735000-4D62-43CC-BE4A-593BFB7478BE}">
            <x14:dataBar minLength="0" maxLength="100" border="1" gradient="0">
              <x14:cfvo type="num">
                <xm:f>0</xm:f>
              </x14:cfvo>
              <x14:cfvo type="num">
                <xm:f>1</xm:f>
              </x14:cfvo>
              <x14:borderColor theme="0"/>
              <x14:negativeFillColor rgb="FFFF0000"/>
              <x14:axisColor rgb="FF000000"/>
            </x14:dataBar>
          </x14:cfRule>
          <xm:sqref>J286</xm:sqref>
        </x14:conditionalFormatting>
        <x14:conditionalFormatting xmlns:xm="http://schemas.microsoft.com/office/excel/2006/main">
          <x14:cfRule type="dataBar" id="{C4613D6A-A3C4-4A00-8262-ADB75C6FA413}">
            <x14:dataBar minLength="0" maxLength="100" border="1" gradient="0">
              <x14:cfvo type="num">
                <xm:f>0</xm:f>
              </x14:cfvo>
              <x14:cfvo type="num">
                <xm:f>1</xm:f>
              </x14:cfvo>
              <x14:borderColor theme="0"/>
              <x14:negativeFillColor rgb="FFFF0000"/>
              <x14:axisColor rgb="FF000000"/>
            </x14:dataBar>
          </x14:cfRule>
          <xm:sqref>J288</xm:sqref>
        </x14:conditionalFormatting>
        <x14:conditionalFormatting xmlns:xm="http://schemas.microsoft.com/office/excel/2006/main">
          <x14:cfRule type="dataBar" id="{E9D9D662-3DC0-491C-A208-C34D85D6F9A7}">
            <x14:dataBar minLength="0" maxLength="100" border="1" gradient="0">
              <x14:cfvo type="num">
                <xm:f>0</xm:f>
              </x14:cfvo>
              <x14:cfvo type="num">
                <xm:f>1</xm:f>
              </x14:cfvo>
              <x14:borderColor theme="0"/>
              <x14:negativeFillColor rgb="FFFF0000"/>
              <x14:axisColor rgb="FF000000"/>
            </x14:dataBar>
          </x14:cfRule>
          <xm:sqref>J290</xm:sqref>
        </x14:conditionalFormatting>
        <x14:conditionalFormatting xmlns:xm="http://schemas.microsoft.com/office/excel/2006/main">
          <x14:cfRule type="dataBar" id="{7092DAE7-2045-48A4-95A4-6A6A2E030E24}">
            <x14:dataBar minLength="0" maxLength="100" border="1" gradient="0">
              <x14:cfvo type="num">
                <xm:f>0</xm:f>
              </x14:cfvo>
              <x14:cfvo type="num">
                <xm:f>1</xm:f>
              </x14:cfvo>
              <x14:borderColor theme="0"/>
              <x14:negativeFillColor rgb="FFFF0000"/>
              <x14:axisColor rgb="FF000000"/>
            </x14:dataBar>
          </x14:cfRule>
          <xm:sqref>J292</xm:sqref>
        </x14:conditionalFormatting>
        <x14:conditionalFormatting xmlns:xm="http://schemas.microsoft.com/office/excel/2006/main">
          <x14:cfRule type="dataBar" id="{86A316C8-A9E8-4507-8026-7871EEFC5A4A}">
            <x14:dataBar minLength="0" maxLength="100" border="1" gradient="0">
              <x14:cfvo type="num">
                <xm:f>0</xm:f>
              </x14:cfvo>
              <x14:cfvo type="num">
                <xm:f>1</xm:f>
              </x14:cfvo>
              <x14:borderColor theme="0"/>
              <x14:negativeFillColor rgb="FFFF0000"/>
              <x14:axisColor rgb="FF000000"/>
            </x14:dataBar>
          </x14:cfRule>
          <xm:sqref>J294</xm:sqref>
        </x14:conditionalFormatting>
        <x14:conditionalFormatting xmlns:xm="http://schemas.microsoft.com/office/excel/2006/main">
          <x14:cfRule type="dataBar" id="{CAC3E7FB-931A-41C7-804F-DCB007FE3913}">
            <x14:dataBar minLength="0" maxLength="100" border="1" gradient="0">
              <x14:cfvo type="num">
                <xm:f>0</xm:f>
              </x14:cfvo>
              <x14:cfvo type="num">
                <xm:f>1</xm:f>
              </x14:cfvo>
              <x14:borderColor theme="0"/>
              <x14:negativeFillColor rgb="FFFF0000"/>
              <x14:axisColor rgb="FF000000"/>
            </x14:dataBar>
          </x14:cfRule>
          <xm:sqref>J296</xm:sqref>
        </x14:conditionalFormatting>
        <x14:conditionalFormatting xmlns:xm="http://schemas.microsoft.com/office/excel/2006/main">
          <x14:cfRule type="dataBar" id="{6F6F1D99-6587-4921-BA68-8B8A5731043E}">
            <x14:dataBar minLength="0" maxLength="100" border="1" gradient="0">
              <x14:cfvo type="num">
                <xm:f>0</xm:f>
              </x14:cfvo>
              <x14:cfvo type="num">
                <xm:f>1</xm:f>
              </x14:cfvo>
              <x14:borderColor theme="0"/>
              <x14:negativeFillColor rgb="FFFF0000"/>
              <x14:axisColor rgb="FF000000"/>
            </x14:dataBar>
          </x14:cfRule>
          <xm:sqref>J298</xm:sqref>
        </x14:conditionalFormatting>
        <x14:conditionalFormatting xmlns:xm="http://schemas.microsoft.com/office/excel/2006/main">
          <x14:cfRule type="dataBar" id="{72635863-DA96-4212-AF04-1888C55EED56}">
            <x14:dataBar minLength="0" maxLength="100" border="1" gradient="0">
              <x14:cfvo type="num">
                <xm:f>0</xm:f>
              </x14:cfvo>
              <x14:cfvo type="num">
                <xm:f>1</xm:f>
              </x14:cfvo>
              <x14:borderColor theme="0"/>
              <x14:negativeFillColor rgb="FFFF0000"/>
              <x14:axisColor rgb="FF000000"/>
            </x14:dataBar>
          </x14:cfRule>
          <xm:sqref>J300</xm:sqref>
        </x14:conditionalFormatting>
        <x14:conditionalFormatting xmlns:xm="http://schemas.microsoft.com/office/excel/2006/main">
          <x14:cfRule type="dataBar" id="{0F1AA524-5CE1-4DA5-85D9-61ABE56FB5BC}">
            <x14:dataBar minLength="0" maxLength="100" border="1" gradient="0">
              <x14:cfvo type="num">
                <xm:f>0</xm:f>
              </x14:cfvo>
              <x14:cfvo type="num">
                <xm:f>1</xm:f>
              </x14:cfvo>
              <x14:borderColor theme="0"/>
              <x14:negativeFillColor rgb="FFFF0000"/>
              <x14:axisColor rgb="FF000000"/>
            </x14:dataBar>
          </x14:cfRule>
          <xm:sqref>J302</xm:sqref>
        </x14:conditionalFormatting>
        <x14:conditionalFormatting xmlns:xm="http://schemas.microsoft.com/office/excel/2006/main">
          <x14:cfRule type="dataBar" id="{54921FC5-6F5C-4A98-BF4E-BE3B12CB61DD}">
            <x14:dataBar minLength="0" maxLength="100" border="1" gradient="0">
              <x14:cfvo type="num">
                <xm:f>0</xm:f>
              </x14:cfvo>
              <x14:cfvo type="num">
                <xm:f>1</xm:f>
              </x14:cfvo>
              <x14:borderColor theme="0"/>
              <x14:negativeFillColor rgb="FFFF0000"/>
              <x14:axisColor rgb="FF000000"/>
            </x14:dataBar>
          </x14:cfRule>
          <xm:sqref>J304</xm:sqref>
        </x14:conditionalFormatting>
        <x14:conditionalFormatting xmlns:xm="http://schemas.microsoft.com/office/excel/2006/main">
          <x14:cfRule type="dataBar" id="{357E0CA0-9B5B-4081-8524-4309C7E5F801}">
            <x14:dataBar minLength="0" maxLength="100" border="1" gradient="0">
              <x14:cfvo type="num">
                <xm:f>0</xm:f>
              </x14:cfvo>
              <x14:cfvo type="num">
                <xm:f>1</xm:f>
              </x14:cfvo>
              <x14:borderColor theme="0"/>
              <x14:negativeFillColor rgb="FFFF0000"/>
              <x14:axisColor rgb="FF000000"/>
            </x14:dataBar>
          </x14:cfRule>
          <xm:sqref>J306</xm:sqref>
        </x14:conditionalFormatting>
        <x14:conditionalFormatting xmlns:xm="http://schemas.microsoft.com/office/excel/2006/main">
          <x14:cfRule type="dataBar" id="{59660CF4-6F19-4B35-8509-077BCC737182}">
            <x14:dataBar minLength="0" maxLength="100" border="1" gradient="0">
              <x14:cfvo type="num">
                <xm:f>0</xm:f>
              </x14:cfvo>
              <x14:cfvo type="num">
                <xm:f>1</xm:f>
              </x14:cfvo>
              <x14:borderColor theme="0"/>
              <x14:negativeFillColor rgb="FFFF0000"/>
              <x14:axisColor rgb="FF000000"/>
            </x14:dataBar>
          </x14:cfRule>
          <xm:sqref>J310</xm:sqref>
        </x14:conditionalFormatting>
        <x14:conditionalFormatting xmlns:xm="http://schemas.microsoft.com/office/excel/2006/main">
          <x14:cfRule type="dataBar" id="{DC271986-FC9C-4471-AF20-3B5243D5D0D9}">
            <x14:dataBar minLength="0" maxLength="100" border="1" gradient="0">
              <x14:cfvo type="num">
                <xm:f>0</xm:f>
              </x14:cfvo>
              <x14:cfvo type="num">
                <xm:f>1</xm:f>
              </x14:cfvo>
              <x14:borderColor theme="0"/>
              <x14:negativeFillColor rgb="FFFF0000"/>
              <x14:axisColor rgb="FF000000"/>
            </x14:dataBar>
          </x14:cfRule>
          <xm:sqref>J312</xm:sqref>
        </x14:conditionalFormatting>
        <x14:conditionalFormatting xmlns:xm="http://schemas.microsoft.com/office/excel/2006/main">
          <x14:cfRule type="dataBar" id="{4CF3AC33-DDC2-47BC-A4A3-7928AE14993B}">
            <x14:dataBar minLength="0" maxLength="100" border="1" gradient="0">
              <x14:cfvo type="num">
                <xm:f>0</xm:f>
              </x14:cfvo>
              <x14:cfvo type="num">
                <xm:f>1</xm:f>
              </x14:cfvo>
              <x14:borderColor theme="0"/>
              <x14:negativeFillColor rgb="FFFF0000"/>
              <x14:axisColor rgb="FF000000"/>
            </x14:dataBar>
          </x14:cfRule>
          <xm:sqref>J314</xm:sqref>
        </x14:conditionalFormatting>
        <x14:conditionalFormatting xmlns:xm="http://schemas.microsoft.com/office/excel/2006/main">
          <x14:cfRule type="dataBar" id="{29B7996B-F7BC-4F35-88DC-AD24B5548604}">
            <x14:dataBar minLength="0" maxLength="100" border="1" gradient="0">
              <x14:cfvo type="num">
                <xm:f>0</xm:f>
              </x14:cfvo>
              <x14:cfvo type="num">
                <xm:f>1</xm:f>
              </x14:cfvo>
              <x14:borderColor theme="0"/>
              <x14:negativeFillColor rgb="FFFF0000"/>
              <x14:axisColor rgb="FF000000"/>
            </x14:dataBar>
          </x14:cfRule>
          <xm:sqref>J316</xm:sqref>
        </x14:conditionalFormatting>
        <x14:conditionalFormatting xmlns:xm="http://schemas.microsoft.com/office/excel/2006/main">
          <x14:cfRule type="dataBar" id="{15C7B1F4-1509-45D9-9E5B-8C94B9DFED52}">
            <x14:dataBar minLength="0" maxLength="100" border="1" gradient="0">
              <x14:cfvo type="num">
                <xm:f>0</xm:f>
              </x14:cfvo>
              <x14:cfvo type="num">
                <xm:f>1</xm:f>
              </x14:cfvo>
              <x14:borderColor theme="0"/>
              <x14:negativeFillColor rgb="FFFF0000"/>
              <x14:axisColor rgb="FF000000"/>
            </x14:dataBar>
          </x14:cfRule>
          <xm:sqref>J318</xm:sqref>
        </x14:conditionalFormatting>
        <x14:conditionalFormatting xmlns:xm="http://schemas.microsoft.com/office/excel/2006/main">
          <x14:cfRule type="dataBar" id="{69B86484-B84B-4762-A345-FE58CC911DBD}">
            <x14:dataBar minLength="0" maxLength="100" border="1" gradient="0">
              <x14:cfvo type="num">
                <xm:f>0</xm:f>
              </x14:cfvo>
              <x14:cfvo type="num">
                <xm:f>1</xm:f>
              </x14:cfvo>
              <x14:borderColor theme="0"/>
              <x14:negativeFillColor rgb="FFFF0000"/>
              <x14:axisColor rgb="FF000000"/>
            </x14:dataBar>
          </x14:cfRule>
          <xm:sqref>J320</xm:sqref>
        </x14:conditionalFormatting>
        <x14:conditionalFormatting xmlns:xm="http://schemas.microsoft.com/office/excel/2006/main">
          <x14:cfRule type="dataBar" id="{2D276A70-2774-4A49-A7ED-7478575DFF4E}">
            <x14:dataBar minLength="0" maxLength="100" border="1" gradient="0">
              <x14:cfvo type="num">
                <xm:f>0</xm:f>
              </x14:cfvo>
              <x14:cfvo type="num">
                <xm:f>1</xm:f>
              </x14:cfvo>
              <x14:borderColor theme="0"/>
              <x14:negativeFillColor rgb="FFFF0000"/>
              <x14:axisColor rgb="FF000000"/>
            </x14:dataBar>
          </x14:cfRule>
          <xm:sqref>J322</xm:sqref>
        </x14:conditionalFormatting>
        <x14:conditionalFormatting xmlns:xm="http://schemas.microsoft.com/office/excel/2006/main">
          <x14:cfRule type="dataBar" id="{AF2E6AB7-03AC-475A-ABA0-437A54A4A91C}">
            <x14:dataBar minLength="0" maxLength="100" border="1" gradient="0">
              <x14:cfvo type="num">
                <xm:f>0</xm:f>
              </x14:cfvo>
              <x14:cfvo type="num">
                <xm:f>1</xm:f>
              </x14:cfvo>
              <x14:borderColor theme="0"/>
              <x14:negativeFillColor rgb="FFFF0000"/>
              <x14:axisColor rgb="FF000000"/>
            </x14:dataBar>
          </x14:cfRule>
          <xm:sqref>J324</xm:sqref>
        </x14:conditionalFormatting>
        <x14:conditionalFormatting xmlns:xm="http://schemas.microsoft.com/office/excel/2006/main">
          <x14:cfRule type="dataBar" id="{2755D436-476C-4357-9E9F-8DC6076976D9}">
            <x14:dataBar minLength="0" maxLength="100" border="1" gradient="0">
              <x14:cfvo type="num">
                <xm:f>0</xm:f>
              </x14:cfvo>
              <x14:cfvo type="num">
                <xm:f>1</xm:f>
              </x14:cfvo>
              <x14:borderColor theme="0"/>
              <x14:negativeFillColor rgb="FFFF0000"/>
              <x14:axisColor rgb="FF000000"/>
            </x14:dataBar>
          </x14:cfRule>
          <xm:sqref>J326</xm:sqref>
        </x14:conditionalFormatting>
        <x14:conditionalFormatting xmlns:xm="http://schemas.microsoft.com/office/excel/2006/main">
          <x14:cfRule type="dataBar" id="{FA89773B-F493-4EC9-92D0-C36A1B3953FE}">
            <x14:dataBar minLength="0" maxLength="100" border="1" gradient="0">
              <x14:cfvo type="num">
                <xm:f>0</xm:f>
              </x14:cfvo>
              <x14:cfvo type="num">
                <xm:f>1</xm:f>
              </x14:cfvo>
              <x14:borderColor theme="0"/>
              <x14:negativeFillColor rgb="FFFF0000"/>
              <x14:axisColor rgb="FF000000"/>
            </x14:dataBar>
          </x14:cfRule>
          <xm:sqref>J328</xm:sqref>
        </x14:conditionalFormatting>
        <x14:conditionalFormatting xmlns:xm="http://schemas.microsoft.com/office/excel/2006/main">
          <x14:cfRule type="dataBar" id="{2882A459-13FF-42C0-A7D4-8FA2AC9D08FE}">
            <x14:dataBar minLength="0" maxLength="100" border="1" gradient="0">
              <x14:cfvo type="num">
                <xm:f>0</xm:f>
              </x14:cfvo>
              <x14:cfvo type="num">
                <xm:f>1</xm:f>
              </x14:cfvo>
              <x14:borderColor theme="0"/>
              <x14:negativeFillColor rgb="FFFF0000"/>
              <x14:axisColor rgb="FF000000"/>
            </x14:dataBar>
          </x14:cfRule>
          <xm:sqref>J330</xm:sqref>
        </x14:conditionalFormatting>
        <x14:conditionalFormatting xmlns:xm="http://schemas.microsoft.com/office/excel/2006/main">
          <x14:cfRule type="dataBar" id="{F036DBB6-D571-4D8B-9639-6FD175CAEBD0}">
            <x14:dataBar minLength="0" maxLength="100" border="1" gradient="0">
              <x14:cfvo type="num">
                <xm:f>0</xm:f>
              </x14:cfvo>
              <x14:cfvo type="num">
                <xm:f>1</xm:f>
              </x14:cfvo>
              <x14:borderColor theme="0"/>
              <x14:negativeFillColor rgb="FFFF0000"/>
              <x14:axisColor rgb="FF000000"/>
            </x14:dataBar>
          </x14:cfRule>
          <xm:sqref>J332</xm:sqref>
        </x14:conditionalFormatting>
        <x14:conditionalFormatting xmlns:xm="http://schemas.microsoft.com/office/excel/2006/main">
          <x14:cfRule type="dataBar" id="{51242543-86F8-4E9F-8A34-0F2F89037DCC}">
            <x14:dataBar minLength="0" maxLength="100" border="1" gradient="0">
              <x14:cfvo type="num">
                <xm:f>0</xm:f>
              </x14:cfvo>
              <x14:cfvo type="num">
                <xm:f>1</xm:f>
              </x14:cfvo>
              <x14:borderColor theme="0"/>
              <x14:negativeFillColor rgb="FFFF0000"/>
              <x14:axisColor rgb="FF000000"/>
            </x14:dataBar>
          </x14:cfRule>
          <xm:sqref>J334</xm:sqref>
        </x14:conditionalFormatting>
        <x14:conditionalFormatting xmlns:xm="http://schemas.microsoft.com/office/excel/2006/main">
          <x14:cfRule type="dataBar" id="{045CF9CE-ACB8-4C12-A96A-2EE068799401}">
            <x14:dataBar minLength="0" maxLength="100" border="1" gradient="0">
              <x14:cfvo type="num">
                <xm:f>0</xm:f>
              </x14:cfvo>
              <x14:cfvo type="num">
                <xm:f>1</xm:f>
              </x14:cfvo>
              <x14:borderColor theme="0"/>
              <x14:negativeFillColor rgb="FFFF0000"/>
              <x14:axisColor rgb="FF000000"/>
            </x14:dataBar>
          </x14:cfRule>
          <xm:sqref>J336</xm:sqref>
        </x14:conditionalFormatting>
        <x14:conditionalFormatting xmlns:xm="http://schemas.microsoft.com/office/excel/2006/main">
          <x14:cfRule type="dataBar" id="{1442A949-014D-4369-8655-8A9BCA6DF40B}">
            <x14:dataBar minLength="0" maxLength="100" border="1" gradient="0">
              <x14:cfvo type="num">
                <xm:f>0</xm:f>
              </x14:cfvo>
              <x14:cfvo type="num">
                <xm:f>1</xm:f>
              </x14:cfvo>
              <x14:borderColor theme="0"/>
              <x14:negativeFillColor rgb="FFFF0000"/>
              <x14:axisColor rgb="FF000000"/>
            </x14:dataBar>
          </x14:cfRule>
          <xm:sqref>J338</xm:sqref>
        </x14:conditionalFormatting>
        <x14:conditionalFormatting xmlns:xm="http://schemas.microsoft.com/office/excel/2006/main">
          <x14:cfRule type="dataBar" id="{F2A0009C-9092-4600-A35D-AE98BB63F74C}">
            <x14:dataBar minLength="0" maxLength="100" border="1" gradient="0">
              <x14:cfvo type="num">
                <xm:f>0</xm:f>
              </x14:cfvo>
              <x14:cfvo type="num">
                <xm:f>1</xm:f>
              </x14:cfvo>
              <x14:borderColor theme="0"/>
              <x14:negativeFillColor rgb="FFFF0000"/>
              <x14:axisColor rgb="FF000000"/>
            </x14:dataBar>
          </x14:cfRule>
          <xm:sqref>J340 J344</xm:sqref>
        </x14:conditionalFormatting>
        <x14:conditionalFormatting xmlns:xm="http://schemas.microsoft.com/office/excel/2006/main">
          <x14:cfRule type="dataBar" id="{FA5889EE-C3CE-45D5-8ECF-D9C3B332D364}">
            <x14:dataBar minLength="0" maxLength="100" border="1" gradient="0">
              <x14:cfvo type="num">
                <xm:f>0</xm:f>
              </x14:cfvo>
              <x14:cfvo type="num">
                <xm:f>1</xm:f>
              </x14:cfvo>
              <x14:borderColor theme="0"/>
              <x14:negativeFillColor rgb="FFFF0000"/>
              <x14:axisColor rgb="FF000000"/>
            </x14:dataBar>
          </x14:cfRule>
          <xm:sqref>J342</xm:sqref>
        </x14:conditionalFormatting>
        <x14:conditionalFormatting xmlns:xm="http://schemas.microsoft.com/office/excel/2006/main">
          <x14:cfRule type="dataBar" id="{45F05644-62B5-44D1-8DC1-B077EB2C9001}">
            <x14:dataBar minLength="0" maxLength="100" border="1" gradient="0">
              <x14:cfvo type="num">
                <xm:f>0</xm:f>
              </x14:cfvo>
              <x14:cfvo type="num">
                <xm:f>1</xm:f>
              </x14:cfvo>
              <x14:borderColor theme="0"/>
              <x14:negativeFillColor rgb="FFFF0000"/>
              <x14:axisColor rgb="FF000000"/>
            </x14:dataBar>
          </x14:cfRule>
          <xm:sqref>J346</xm:sqref>
        </x14:conditionalFormatting>
        <x14:conditionalFormatting xmlns:xm="http://schemas.microsoft.com/office/excel/2006/main">
          <x14:cfRule type="dataBar" id="{5B035851-A53D-4271-987B-CA12C2807773}">
            <x14:dataBar minLength="0" maxLength="100" border="1" gradient="0">
              <x14:cfvo type="num">
                <xm:f>0</xm:f>
              </x14:cfvo>
              <x14:cfvo type="num">
                <xm:f>1</xm:f>
              </x14:cfvo>
              <x14:borderColor theme="0"/>
              <x14:negativeFillColor rgb="FFFF0000"/>
              <x14:axisColor rgb="FF000000"/>
            </x14:dataBar>
          </x14:cfRule>
          <xm:sqref>J348</xm:sqref>
        </x14:conditionalFormatting>
        <x14:conditionalFormatting xmlns:xm="http://schemas.microsoft.com/office/excel/2006/main">
          <x14:cfRule type="dataBar" id="{BAD52E3B-3210-484E-8CE1-7A1F4D2A1DC3}">
            <x14:dataBar minLength="0" maxLength="100" border="1" gradient="0">
              <x14:cfvo type="num">
                <xm:f>0</xm:f>
              </x14:cfvo>
              <x14:cfvo type="num">
                <xm:f>1</xm:f>
              </x14:cfvo>
              <x14:borderColor theme="0"/>
              <x14:negativeFillColor rgb="FFFF0000"/>
              <x14:axisColor rgb="FF000000"/>
            </x14:dataBar>
          </x14:cfRule>
          <xm:sqref>J350</xm:sqref>
        </x14:conditionalFormatting>
        <x14:conditionalFormatting xmlns:xm="http://schemas.microsoft.com/office/excel/2006/main">
          <x14:cfRule type="dataBar" id="{D0D36646-1047-40BC-BA72-CA8CA35AFA5D}">
            <x14:dataBar minLength="0" maxLength="100" border="1" gradient="0">
              <x14:cfvo type="num">
                <xm:f>0</xm:f>
              </x14:cfvo>
              <x14:cfvo type="num">
                <xm:f>1</xm:f>
              </x14:cfvo>
              <x14:borderColor theme="0"/>
              <x14:negativeFillColor rgb="FFFF0000"/>
              <x14:axisColor rgb="FF000000"/>
            </x14:dataBar>
          </x14:cfRule>
          <xm:sqref>J352</xm:sqref>
        </x14:conditionalFormatting>
        <x14:conditionalFormatting xmlns:xm="http://schemas.microsoft.com/office/excel/2006/main">
          <x14:cfRule type="dataBar" id="{24691B77-6A6F-42D6-853C-00196A106F82}">
            <x14:dataBar minLength="0" maxLength="100" border="1" gradient="0">
              <x14:cfvo type="num">
                <xm:f>0</xm:f>
              </x14:cfvo>
              <x14:cfvo type="num">
                <xm:f>1</xm:f>
              </x14:cfvo>
              <x14:borderColor theme="0"/>
              <x14:negativeFillColor rgb="FFFF0000"/>
              <x14:axisColor rgb="FF000000"/>
            </x14:dataBar>
          </x14:cfRule>
          <xm:sqref>J354</xm:sqref>
        </x14:conditionalFormatting>
        <x14:conditionalFormatting xmlns:xm="http://schemas.microsoft.com/office/excel/2006/main">
          <x14:cfRule type="dataBar" id="{7934686A-1CDE-49A3-B8A0-55D3DC507528}">
            <x14:dataBar minLength="0" maxLength="100" border="1" gradient="0">
              <x14:cfvo type="num">
                <xm:f>0</xm:f>
              </x14:cfvo>
              <x14:cfvo type="num">
                <xm:f>1</xm:f>
              </x14:cfvo>
              <x14:borderColor theme="0"/>
              <x14:negativeFillColor rgb="FFFF0000"/>
              <x14:axisColor rgb="FF000000"/>
            </x14:dataBar>
          </x14:cfRule>
          <xm:sqref>J356</xm:sqref>
        </x14:conditionalFormatting>
        <x14:conditionalFormatting xmlns:xm="http://schemas.microsoft.com/office/excel/2006/main">
          <x14:cfRule type="dataBar" id="{6C559861-38CE-4FB0-BBEC-341841479C52}">
            <x14:dataBar minLength="0" maxLength="100" border="1" gradient="0">
              <x14:cfvo type="num">
                <xm:f>0</xm:f>
              </x14:cfvo>
              <x14:cfvo type="num">
                <xm:f>1</xm:f>
              </x14:cfvo>
              <x14:borderColor theme="0"/>
              <x14:negativeFillColor rgb="FFFF0000"/>
              <x14:axisColor rgb="FF000000"/>
            </x14:dataBar>
          </x14:cfRule>
          <xm:sqref>J358</xm:sqref>
        </x14:conditionalFormatting>
        <x14:conditionalFormatting xmlns:xm="http://schemas.microsoft.com/office/excel/2006/main">
          <x14:cfRule type="dataBar" id="{7C846E8A-D700-414D-9BCF-95E4157EB3CA}">
            <x14:dataBar minLength="0" maxLength="100" border="1" gradient="0">
              <x14:cfvo type="num">
                <xm:f>0</xm:f>
              </x14:cfvo>
              <x14:cfvo type="num">
                <xm:f>1</xm:f>
              </x14:cfvo>
              <x14:borderColor theme="0"/>
              <x14:negativeFillColor rgb="FFFF0000"/>
              <x14:axisColor rgb="FF000000"/>
            </x14:dataBar>
          </x14:cfRule>
          <xm:sqref>J360</xm:sqref>
        </x14:conditionalFormatting>
        <x14:conditionalFormatting xmlns:xm="http://schemas.microsoft.com/office/excel/2006/main">
          <x14:cfRule type="dataBar" id="{A72F5BF7-9DFD-4623-AB2F-E6A8E20D2D14}">
            <x14:dataBar minLength="0" maxLength="100" border="1" gradient="0">
              <x14:cfvo type="num">
                <xm:f>0</xm:f>
              </x14:cfvo>
              <x14:cfvo type="num">
                <xm:f>1</xm:f>
              </x14:cfvo>
              <x14:borderColor theme="0"/>
              <x14:negativeFillColor rgb="FFFF0000"/>
              <x14:axisColor rgb="FF000000"/>
            </x14:dataBar>
          </x14:cfRule>
          <xm:sqref>J362</xm:sqref>
        </x14:conditionalFormatting>
        <x14:conditionalFormatting xmlns:xm="http://schemas.microsoft.com/office/excel/2006/main">
          <x14:cfRule type="dataBar" id="{ABC93418-AFFF-43A6-907A-6A347D7890AC}">
            <x14:dataBar minLength="0" maxLength="100" border="1" gradient="0">
              <x14:cfvo type="num">
                <xm:f>0</xm:f>
              </x14:cfvo>
              <x14:cfvo type="num">
                <xm:f>1</xm:f>
              </x14:cfvo>
              <x14:borderColor theme="0"/>
              <x14:negativeFillColor rgb="FFFF0000"/>
              <x14:axisColor rgb="FF000000"/>
            </x14:dataBar>
          </x14:cfRule>
          <xm:sqref>J365</xm:sqref>
        </x14:conditionalFormatting>
        <x14:conditionalFormatting xmlns:xm="http://schemas.microsoft.com/office/excel/2006/main">
          <x14:cfRule type="dataBar" id="{401687C4-997B-4830-9292-8F1AB09E6C7E}">
            <x14:dataBar minLength="0" maxLength="100" border="1" gradient="0">
              <x14:cfvo type="num">
                <xm:f>0</xm:f>
              </x14:cfvo>
              <x14:cfvo type="num">
                <xm:f>1</xm:f>
              </x14:cfvo>
              <x14:borderColor theme="0"/>
              <x14:negativeFillColor rgb="FFFF0000"/>
              <x14:axisColor rgb="FF000000"/>
            </x14:dataBar>
          </x14:cfRule>
          <xm:sqref>J369</xm:sqref>
        </x14:conditionalFormatting>
        <x14:conditionalFormatting xmlns:xm="http://schemas.microsoft.com/office/excel/2006/main">
          <x14:cfRule type="dataBar" id="{6BA0FBF5-F309-460D-915F-2678FDE812B7}">
            <x14:dataBar minLength="0" maxLength="100" border="1" gradient="0">
              <x14:cfvo type="num">
                <xm:f>0</xm:f>
              </x14:cfvo>
              <x14:cfvo type="num">
                <xm:f>1</xm:f>
              </x14:cfvo>
              <x14:borderColor theme="0"/>
              <x14:negativeFillColor rgb="FFFF0000"/>
              <x14:axisColor rgb="FF000000"/>
            </x14:dataBar>
          </x14:cfRule>
          <xm:sqref>J371</xm:sqref>
        </x14:conditionalFormatting>
        <x14:conditionalFormatting xmlns:xm="http://schemas.microsoft.com/office/excel/2006/main">
          <x14:cfRule type="dataBar" id="{73F005B7-DFF6-4237-AFBA-2EC9FA7009BA}">
            <x14:dataBar minLength="0" maxLength="100" border="1" gradient="0">
              <x14:cfvo type="num">
                <xm:f>0</xm:f>
              </x14:cfvo>
              <x14:cfvo type="num">
                <xm:f>1</xm:f>
              </x14:cfvo>
              <x14:borderColor theme="0"/>
              <x14:negativeFillColor rgb="FFFF0000"/>
              <x14:axisColor rgb="FF000000"/>
            </x14:dataBar>
          </x14:cfRule>
          <xm:sqref>J373</xm:sqref>
        </x14:conditionalFormatting>
        <x14:conditionalFormatting xmlns:xm="http://schemas.microsoft.com/office/excel/2006/main">
          <x14:cfRule type="dataBar" id="{7F00EF74-128B-4B75-9F1E-476A3A2B68BD}">
            <x14:dataBar minLength="0" maxLength="100" border="1" gradient="0">
              <x14:cfvo type="num">
                <xm:f>0</xm:f>
              </x14:cfvo>
              <x14:cfvo type="num">
                <xm:f>1</xm:f>
              </x14:cfvo>
              <x14:borderColor theme="0"/>
              <x14:negativeFillColor rgb="FFFF0000"/>
              <x14:axisColor rgb="FF000000"/>
            </x14:dataBar>
          </x14:cfRule>
          <xm:sqref>J375</xm:sqref>
        </x14:conditionalFormatting>
        <x14:conditionalFormatting xmlns:xm="http://schemas.microsoft.com/office/excel/2006/main">
          <x14:cfRule type="dataBar" id="{5F7821AD-1165-449A-8D7B-B6D2F0E6E3A8}">
            <x14:dataBar minLength="0" maxLength="100" border="1" gradient="0">
              <x14:cfvo type="num">
                <xm:f>0</xm:f>
              </x14:cfvo>
              <x14:cfvo type="num">
                <xm:f>1</xm:f>
              </x14:cfvo>
              <x14:borderColor theme="0"/>
              <x14:negativeFillColor rgb="FFFF0000"/>
              <x14:axisColor rgb="FF000000"/>
            </x14:dataBar>
          </x14:cfRule>
          <xm:sqref>J377</xm:sqref>
        </x14:conditionalFormatting>
        <x14:conditionalFormatting xmlns:xm="http://schemas.microsoft.com/office/excel/2006/main">
          <x14:cfRule type="dataBar" id="{5DB37554-23AF-4D20-8E06-BFE2623246C2}">
            <x14:dataBar minLength="0" maxLength="100" border="1" gradient="0">
              <x14:cfvo type="num">
                <xm:f>0</xm:f>
              </x14:cfvo>
              <x14:cfvo type="num">
                <xm:f>1</xm:f>
              </x14:cfvo>
              <x14:borderColor theme="0"/>
              <x14:negativeFillColor rgb="FFFF0000"/>
              <x14:axisColor rgb="FF000000"/>
            </x14:dataBar>
          </x14:cfRule>
          <xm:sqref>J380</xm:sqref>
        </x14:conditionalFormatting>
        <x14:conditionalFormatting xmlns:xm="http://schemas.microsoft.com/office/excel/2006/main">
          <x14:cfRule type="dataBar" id="{5554F397-DE0F-4039-96A2-B74BA3BA32B5}">
            <x14:dataBar minLength="0" maxLength="100" border="1" gradient="0">
              <x14:cfvo type="num">
                <xm:f>0</xm:f>
              </x14:cfvo>
              <x14:cfvo type="num">
                <xm:f>1</xm:f>
              </x14:cfvo>
              <x14:borderColor theme="0"/>
              <x14:negativeFillColor rgb="FFFF0000"/>
              <x14:axisColor rgb="FF000000"/>
            </x14:dataBar>
          </x14:cfRule>
          <xm:sqref>J382</xm:sqref>
        </x14:conditionalFormatting>
        <x14:conditionalFormatting xmlns:xm="http://schemas.microsoft.com/office/excel/2006/main">
          <x14:cfRule type="dataBar" id="{57BD1115-A6B6-4429-BD86-03834DA759E2}">
            <x14:dataBar minLength="0" maxLength="100" border="1" gradient="0">
              <x14:cfvo type="num">
                <xm:f>0</xm:f>
              </x14:cfvo>
              <x14:cfvo type="num">
                <xm:f>1</xm:f>
              </x14:cfvo>
              <x14:borderColor theme="0"/>
              <x14:negativeFillColor rgb="FFFF0000"/>
              <x14:axisColor rgb="FF000000"/>
            </x14:dataBar>
          </x14:cfRule>
          <xm:sqref>J384</xm:sqref>
        </x14:conditionalFormatting>
        <x14:conditionalFormatting xmlns:xm="http://schemas.microsoft.com/office/excel/2006/main">
          <x14:cfRule type="dataBar" id="{29405F67-F853-465F-898A-FCAA348B8DE1}">
            <x14:dataBar minLength="0" maxLength="100" border="1" gradient="0">
              <x14:cfvo type="num">
                <xm:f>0</xm:f>
              </x14:cfvo>
              <x14:cfvo type="num">
                <xm:f>1</xm:f>
              </x14:cfvo>
              <x14:borderColor theme="0"/>
              <x14:negativeFillColor rgb="FFFF0000"/>
              <x14:axisColor rgb="FF000000"/>
            </x14:dataBar>
          </x14:cfRule>
          <xm:sqref>J386</xm:sqref>
        </x14:conditionalFormatting>
        <x14:conditionalFormatting xmlns:xm="http://schemas.microsoft.com/office/excel/2006/main">
          <x14:cfRule type="dataBar" id="{F4013378-59E6-4148-94AE-1E6DB739906E}">
            <x14:dataBar minLength="0" maxLength="100" border="1" gradient="0">
              <x14:cfvo type="num">
                <xm:f>0</xm:f>
              </x14:cfvo>
              <x14:cfvo type="num">
                <xm:f>1</xm:f>
              </x14:cfvo>
              <x14:borderColor theme="0"/>
              <x14:negativeFillColor rgb="FFFF0000"/>
              <x14:axisColor rgb="FF000000"/>
            </x14:dataBar>
          </x14:cfRule>
          <xm:sqref>J388</xm:sqref>
        </x14:conditionalFormatting>
        <x14:conditionalFormatting xmlns:xm="http://schemas.microsoft.com/office/excel/2006/main">
          <x14:cfRule type="dataBar" id="{4C8C1C37-AA5A-4B08-AD0D-1F77C7D53660}">
            <x14:dataBar minLength="0" maxLength="100" border="1" gradient="0">
              <x14:cfvo type="num">
                <xm:f>0</xm:f>
              </x14:cfvo>
              <x14:cfvo type="num">
                <xm:f>1</xm:f>
              </x14:cfvo>
              <x14:borderColor theme="0"/>
              <x14:negativeFillColor rgb="FFFF0000"/>
              <x14:axisColor rgb="FF000000"/>
            </x14:dataBar>
          </x14:cfRule>
          <xm:sqref>J390</xm:sqref>
        </x14:conditionalFormatting>
        <x14:conditionalFormatting xmlns:xm="http://schemas.microsoft.com/office/excel/2006/main">
          <x14:cfRule type="dataBar" id="{69E69AF0-6313-45DF-B404-0222012A0787}">
            <x14:dataBar minLength="0" maxLength="100" border="1" gradient="0">
              <x14:cfvo type="num">
                <xm:f>0</xm:f>
              </x14:cfvo>
              <x14:cfvo type="num">
                <xm:f>1</xm:f>
              </x14:cfvo>
              <x14:borderColor theme="0"/>
              <x14:negativeFillColor rgb="FFFF0000"/>
              <x14:axisColor rgb="FF000000"/>
            </x14:dataBar>
          </x14:cfRule>
          <xm:sqref>J392</xm:sqref>
        </x14:conditionalFormatting>
        <x14:conditionalFormatting xmlns:xm="http://schemas.microsoft.com/office/excel/2006/main">
          <x14:cfRule type="dataBar" id="{ABD41ACD-DDA1-4114-BF4E-0267B64BF6EA}">
            <x14:dataBar minLength="0" maxLength="100" border="1" gradient="0">
              <x14:cfvo type="num">
                <xm:f>0</xm:f>
              </x14:cfvo>
              <x14:cfvo type="num">
                <xm:f>1</xm:f>
              </x14:cfvo>
              <x14:borderColor theme="0"/>
              <x14:negativeFillColor rgb="FFFF0000"/>
              <x14:axisColor rgb="FF000000"/>
            </x14:dataBar>
          </x14:cfRule>
          <xm:sqref>J395</xm:sqref>
        </x14:conditionalFormatting>
        <x14:conditionalFormatting xmlns:xm="http://schemas.microsoft.com/office/excel/2006/main">
          <x14:cfRule type="dataBar" id="{98A25F59-5F28-43C0-B3F8-341C4C8F7B14}">
            <x14:dataBar minLength="0" maxLength="100" border="1" gradient="0">
              <x14:cfvo type="num">
                <xm:f>0</xm:f>
              </x14:cfvo>
              <x14:cfvo type="num">
                <xm:f>1</xm:f>
              </x14:cfvo>
              <x14:borderColor theme="0"/>
              <x14:negativeFillColor rgb="FFFF0000"/>
              <x14:axisColor rgb="FF000000"/>
            </x14:dataBar>
          </x14:cfRule>
          <xm:sqref>J397</xm:sqref>
        </x14:conditionalFormatting>
        <x14:conditionalFormatting xmlns:xm="http://schemas.microsoft.com/office/excel/2006/main">
          <x14:cfRule type="dataBar" id="{7A68B72E-C60D-42FD-B98B-F8297BFAF80B}">
            <x14:dataBar minLength="0" maxLength="100" border="1" gradient="0">
              <x14:cfvo type="num">
                <xm:f>0</xm:f>
              </x14:cfvo>
              <x14:cfvo type="num">
                <xm:f>1</xm:f>
              </x14:cfvo>
              <x14:borderColor theme="0"/>
              <x14:negativeFillColor rgb="FFFF0000"/>
              <x14:axisColor rgb="FF000000"/>
            </x14:dataBar>
          </x14:cfRule>
          <xm:sqref>J399</xm:sqref>
        </x14:conditionalFormatting>
        <x14:conditionalFormatting xmlns:xm="http://schemas.microsoft.com/office/excel/2006/main">
          <x14:cfRule type="dataBar" id="{FEA23E9A-F907-47DC-94BA-C328B9981C8C}">
            <x14:dataBar minLength="0" maxLength="100" border="1" gradient="0">
              <x14:cfvo type="num">
                <xm:f>0</xm:f>
              </x14:cfvo>
              <x14:cfvo type="num">
                <xm:f>1</xm:f>
              </x14:cfvo>
              <x14:borderColor theme="0"/>
              <x14:negativeFillColor rgb="FFFF0000"/>
              <x14:axisColor rgb="FF000000"/>
            </x14:dataBar>
          </x14:cfRule>
          <xm:sqref>J401</xm:sqref>
        </x14:conditionalFormatting>
        <x14:conditionalFormatting xmlns:xm="http://schemas.microsoft.com/office/excel/2006/main">
          <x14:cfRule type="dataBar" id="{BDBDC7A3-72E2-40DB-B66E-8AFEBF066128}">
            <x14:dataBar minLength="0" maxLength="100" border="1" gradient="0">
              <x14:cfvo type="num">
                <xm:f>0</xm:f>
              </x14:cfvo>
              <x14:cfvo type="num">
                <xm:f>1</xm:f>
              </x14:cfvo>
              <x14:borderColor theme="0"/>
              <x14:negativeFillColor rgb="FFFF0000"/>
              <x14:axisColor rgb="FF000000"/>
            </x14:dataBar>
          </x14:cfRule>
          <xm:sqref>J404</xm:sqref>
        </x14:conditionalFormatting>
        <x14:conditionalFormatting xmlns:xm="http://schemas.microsoft.com/office/excel/2006/main">
          <x14:cfRule type="dataBar" id="{61913353-ACE5-45BD-BB8B-DCE62900D9EE}">
            <x14:dataBar minLength="0" maxLength="100" border="1" gradient="0">
              <x14:cfvo type="num">
                <xm:f>0</xm:f>
              </x14:cfvo>
              <x14:cfvo type="num">
                <xm:f>1</xm:f>
              </x14:cfvo>
              <x14:borderColor theme="0"/>
              <x14:negativeFillColor rgb="FFFF0000"/>
              <x14:axisColor rgb="FF000000"/>
            </x14:dataBar>
          </x14:cfRule>
          <xm:sqref>J406</xm:sqref>
        </x14:conditionalFormatting>
        <x14:conditionalFormatting xmlns:xm="http://schemas.microsoft.com/office/excel/2006/main">
          <x14:cfRule type="dataBar" id="{C50ADBB4-D45F-4F64-A56F-BE0E9450117F}">
            <x14:dataBar minLength="0" maxLength="100" border="1" gradient="0">
              <x14:cfvo type="num">
                <xm:f>0</xm:f>
              </x14:cfvo>
              <x14:cfvo type="num">
                <xm:f>1</xm:f>
              </x14:cfvo>
              <x14:borderColor theme="0"/>
              <x14:negativeFillColor rgb="FFFF0000"/>
              <x14:axisColor rgb="FF000000"/>
            </x14:dataBar>
          </x14:cfRule>
          <xm:sqref>J412</xm:sqref>
        </x14:conditionalFormatting>
        <x14:conditionalFormatting xmlns:xm="http://schemas.microsoft.com/office/excel/2006/main">
          <x14:cfRule type="dataBar" id="{02569A0D-9AD1-4BB4-9575-CE088CB5A75F}">
            <x14:dataBar minLength="0" maxLength="100" border="1" gradient="0">
              <x14:cfvo type="num">
                <xm:f>0</xm:f>
              </x14:cfvo>
              <x14:cfvo type="num">
                <xm:f>1</xm:f>
              </x14:cfvo>
              <x14:borderColor theme="0"/>
              <x14:negativeFillColor rgb="FFFF0000"/>
              <x14:axisColor rgb="FF000000"/>
            </x14:dataBar>
          </x14:cfRule>
          <xm:sqref>J414</xm:sqref>
        </x14:conditionalFormatting>
        <x14:conditionalFormatting xmlns:xm="http://schemas.microsoft.com/office/excel/2006/main">
          <x14:cfRule type="dataBar" id="{7170510A-EBA7-4F81-84E9-F2028CC953FF}">
            <x14:dataBar minLength="0" maxLength="100" border="1" gradient="0">
              <x14:cfvo type="num">
                <xm:f>0</xm:f>
              </x14:cfvo>
              <x14:cfvo type="num">
                <xm:f>1</xm:f>
              </x14:cfvo>
              <x14:borderColor theme="0"/>
              <x14:negativeFillColor rgb="FFFF0000"/>
              <x14:axisColor rgb="FF000000"/>
            </x14:dataBar>
          </x14:cfRule>
          <xm:sqref>J416 J514 J418 J420 J452</xm:sqref>
        </x14:conditionalFormatting>
        <x14:conditionalFormatting xmlns:xm="http://schemas.microsoft.com/office/excel/2006/main">
          <x14:cfRule type="dataBar" id="{35F5494C-CFC8-4CB9-80A4-A8B5AB90B14B}">
            <x14:dataBar minLength="0" maxLength="100" border="1" gradient="0">
              <x14:cfvo type="num">
                <xm:f>0</xm:f>
              </x14:cfvo>
              <x14:cfvo type="num">
                <xm:f>1</xm:f>
              </x14:cfvo>
              <x14:borderColor theme="0"/>
              <x14:negativeFillColor rgb="FFFF0000"/>
              <x14:axisColor rgb="FF000000"/>
            </x14:dataBar>
          </x14:cfRule>
          <xm:sqref>J422</xm:sqref>
        </x14:conditionalFormatting>
        <x14:conditionalFormatting xmlns:xm="http://schemas.microsoft.com/office/excel/2006/main">
          <x14:cfRule type="dataBar" id="{9070FF0F-7894-4F47-A9EB-3540D0853BA6}">
            <x14:dataBar minLength="0" maxLength="100" border="1" gradient="0">
              <x14:cfvo type="num">
                <xm:f>0</xm:f>
              </x14:cfvo>
              <x14:cfvo type="num">
                <xm:f>1</xm:f>
              </x14:cfvo>
              <x14:borderColor theme="0"/>
              <x14:negativeFillColor rgb="FFFF0000"/>
              <x14:axisColor rgb="FF000000"/>
            </x14:dataBar>
          </x14:cfRule>
          <xm:sqref>J424 J426 J428 J430</xm:sqref>
        </x14:conditionalFormatting>
        <x14:conditionalFormatting xmlns:xm="http://schemas.microsoft.com/office/excel/2006/main">
          <x14:cfRule type="dataBar" id="{E573CC3B-1A2C-4059-AD23-568575765718}">
            <x14:dataBar minLength="0" maxLength="100" border="1" gradient="0">
              <x14:cfvo type="num">
                <xm:f>0</xm:f>
              </x14:cfvo>
              <x14:cfvo type="num">
                <xm:f>1</xm:f>
              </x14:cfvo>
              <x14:borderColor theme="0"/>
              <x14:negativeFillColor rgb="FFFF0000"/>
              <x14:axisColor rgb="FF000000"/>
            </x14:dataBar>
          </x14:cfRule>
          <xm:sqref>J432</xm:sqref>
        </x14:conditionalFormatting>
        <x14:conditionalFormatting xmlns:xm="http://schemas.microsoft.com/office/excel/2006/main">
          <x14:cfRule type="dataBar" id="{D8A776FE-B70F-4C20-BA9A-7752E8059693}">
            <x14:dataBar minLength="0" maxLength="100" border="1" gradient="0">
              <x14:cfvo type="num">
                <xm:f>0</xm:f>
              </x14:cfvo>
              <x14:cfvo type="num">
                <xm:f>1</xm:f>
              </x14:cfvo>
              <x14:borderColor theme="0"/>
              <x14:negativeFillColor rgb="FFFF0000"/>
              <x14:axisColor rgb="FF000000"/>
            </x14:dataBar>
          </x14:cfRule>
          <xm:sqref>J434 J436 J438 J440</xm:sqref>
        </x14:conditionalFormatting>
        <x14:conditionalFormatting xmlns:xm="http://schemas.microsoft.com/office/excel/2006/main">
          <x14:cfRule type="dataBar" id="{E4497EBE-2F8B-476B-A430-05A24D9E65E5}">
            <x14:dataBar minLength="0" maxLength="100" border="1" gradient="0">
              <x14:cfvo type="num">
                <xm:f>0</xm:f>
              </x14:cfvo>
              <x14:cfvo type="num">
                <xm:f>1</xm:f>
              </x14:cfvo>
              <x14:borderColor theme="0"/>
              <x14:negativeFillColor rgb="FFFF0000"/>
              <x14:axisColor rgb="FF000000"/>
            </x14:dataBar>
          </x14:cfRule>
          <xm:sqref>J442</xm:sqref>
        </x14:conditionalFormatting>
        <x14:conditionalFormatting xmlns:xm="http://schemas.microsoft.com/office/excel/2006/main">
          <x14:cfRule type="dataBar" id="{929783AE-41CE-4E21-93F3-E6F3EE8AB8B9}">
            <x14:dataBar minLength="0" maxLength="100" border="1" gradient="0">
              <x14:cfvo type="num">
                <xm:f>0</xm:f>
              </x14:cfvo>
              <x14:cfvo type="num">
                <xm:f>1</xm:f>
              </x14:cfvo>
              <x14:borderColor theme="0"/>
              <x14:negativeFillColor rgb="FFFF0000"/>
              <x14:axisColor rgb="FF000000"/>
            </x14:dataBar>
          </x14:cfRule>
          <xm:sqref>J444 J446 J448 J450</xm:sqref>
        </x14:conditionalFormatting>
        <x14:conditionalFormatting xmlns:xm="http://schemas.microsoft.com/office/excel/2006/main">
          <x14:cfRule type="dataBar" id="{246880C8-B849-4EE3-B75E-4854BF75D3B3}">
            <x14:dataBar minLength="0" maxLength="100" border="1" gradient="0">
              <x14:cfvo type="num">
                <xm:f>0</xm:f>
              </x14:cfvo>
              <x14:cfvo type="num">
                <xm:f>1</xm:f>
              </x14:cfvo>
              <x14:borderColor theme="0"/>
              <x14:negativeFillColor rgb="FFFF0000"/>
              <x14:axisColor rgb="FF000000"/>
            </x14:dataBar>
          </x14:cfRule>
          <xm:sqref>J454</xm:sqref>
        </x14:conditionalFormatting>
        <x14:conditionalFormatting xmlns:xm="http://schemas.microsoft.com/office/excel/2006/main">
          <x14:cfRule type="dataBar" id="{AAD3DA8A-1A1A-4C1D-BD36-CD89DF88BEA2}">
            <x14:dataBar minLength="0" maxLength="100" border="1" gradient="0">
              <x14:cfvo type="num">
                <xm:f>0</xm:f>
              </x14:cfvo>
              <x14:cfvo type="num">
                <xm:f>1</xm:f>
              </x14:cfvo>
              <x14:borderColor theme="0"/>
              <x14:negativeFillColor rgb="FFFF0000"/>
              <x14:axisColor rgb="FF000000"/>
            </x14:dataBar>
          </x14:cfRule>
          <xm:sqref>J464</xm:sqref>
        </x14:conditionalFormatting>
        <x14:conditionalFormatting xmlns:xm="http://schemas.microsoft.com/office/excel/2006/main">
          <x14:cfRule type="dataBar" id="{32EB6410-A65C-4F1C-8047-A5DCD4D640FD}">
            <x14:dataBar minLength="0" maxLength="100" border="1" gradient="0">
              <x14:cfvo type="num">
                <xm:f>0</xm:f>
              </x14:cfvo>
              <x14:cfvo type="num">
                <xm:f>1</xm:f>
              </x14:cfvo>
              <x14:borderColor theme="0"/>
              <x14:negativeFillColor rgb="FFFF0000"/>
              <x14:axisColor rgb="FF000000"/>
            </x14:dataBar>
          </x14:cfRule>
          <xm:sqref>J466 J468 J470 J472</xm:sqref>
        </x14:conditionalFormatting>
        <x14:conditionalFormatting xmlns:xm="http://schemas.microsoft.com/office/excel/2006/main">
          <x14:cfRule type="dataBar" id="{0571735E-89E5-448E-BC3A-F42F00901488}">
            <x14:dataBar minLength="0" maxLength="100" border="1" gradient="0">
              <x14:cfvo type="num">
                <xm:f>0</xm:f>
              </x14:cfvo>
              <x14:cfvo type="num">
                <xm:f>1</xm:f>
              </x14:cfvo>
              <x14:borderColor theme="0"/>
              <x14:negativeFillColor rgb="FFFF0000"/>
              <x14:axisColor rgb="FF000000"/>
            </x14:dataBar>
          </x14:cfRule>
          <xm:sqref>J474</xm:sqref>
        </x14:conditionalFormatting>
        <x14:conditionalFormatting xmlns:xm="http://schemas.microsoft.com/office/excel/2006/main">
          <x14:cfRule type="dataBar" id="{6E1982B5-54B0-43C7-BB88-B187DD991593}">
            <x14:dataBar minLength="0" maxLength="100" border="1" gradient="0">
              <x14:cfvo type="num">
                <xm:f>0</xm:f>
              </x14:cfvo>
              <x14:cfvo type="num">
                <xm:f>1</xm:f>
              </x14:cfvo>
              <x14:borderColor theme="0"/>
              <x14:negativeFillColor rgb="FFFF0000"/>
              <x14:axisColor rgb="FF000000"/>
            </x14:dataBar>
          </x14:cfRule>
          <xm:sqref>J476 J478 J480 J482</xm:sqref>
        </x14:conditionalFormatting>
        <x14:conditionalFormatting xmlns:xm="http://schemas.microsoft.com/office/excel/2006/main">
          <x14:cfRule type="dataBar" id="{D262F516-FF94-43FA-B7B2-D0578C8705CA}">
            <x14:dataBar minLength="0" maxLength="100" border="1" gradient="0">
              <x14:cfvo type="num">
                <xm:f>0</xm:f>
              </x14:cfvo>
              <x14:cfvo type="num">
                <xm:f>1</xm:f>
              </x14:cfvo>
              <x14:borderColor theme="0"/>
              <x14:negativeFillColor rgb="FFFF0000"/>
              <x14:axisColor rgb="FF000000"/>
            </x14:dataBar>
          </x14:cfRule>
          <xm:sqref>J484</xm:sqref>
        </x14:conditionalFormatting>
        <x14:conditionalFormatting xmlns:xm="http://schemas.microsoft.com/office/excel/2006/main">
          <x14:cfRule type="dataBar" id="{791C0F57-0043-4D59-96B2-CDAAFD5D01BC}">
            <x14:dataBar minLength="0" maxLength="100" border="1" gradient="0">
              <x14:cfvo type="num">
                <xm:f>0</xm:f>
              </x14:cfvo>
              <x14:cfvo type="num">
                <xm:f>1</xm:f>
              </x14:cfvo>
              <x14:borderColor theme="0"/>
              <x14:negativeFillColor rgb="FFFF0000"/>
              <x14:axisColor rgb="FF000000"/>
            </x14:dataBar>
          </x14:cfRule>
          <xm:sqref>J486 J488</xm:sqref>
        </x14:conditionalFormatting>
        <x14:conditionalFormatting xmlns:xm="http://schemas.microsoft.com/office/excel/2006/main">
          <x14:cfRule type="dataBar" id="{77CE991B-E925-45A3-B7F0-0D00BECB46C5}">
            <x14:dataBar minLength="0" maxLength="100" border="1" gradient="0">
              <x14:cfvo type="num">
                <xm:f>0</xm:f>
              </x14:cfvo>
              <x14:cfvo type="num">
                <xm:f>1</xm:f>
              </x14:cfvo>
              <x14:borderColor theme="0"/>
              <x14:negativeFillColor rgb="FFFF0000"/>
              <x14:axisColor rgb="FF000000"/>
            </x14:dataBar>
          </x14:cfRule>
          <xm:sqref>J490 J456 J458 J460 J462</xm:sqref>
        </x14:conditionalFormatting>
        <x14:conditionalFormatting xmlns:xm="http://schemas.microsoft.com/office/excel/2006/main">
          <x14:cfRule type="dataBar" id="{BAE4ADB1-5F22-4F35-8CBA-AD03AB36545B}">
            <x14:dataBar minLength="0" maxLength="100" border="1" gradient="0">
              <x14:cfvo type="num">
                <xm:f>0</xm:f>
              </x14:cfvo>
              <x14:cfvo type="num">
                <xm:f>1</xm:f>
              </x14:cfvo>
              <x14:borderColor theme="0"/>
              <x14:negativeFillColor rgb="FFFF0000"/>
              <x14:axisColor rgb="FF000000"/>
            </x14:dataBar>
          </x14:cfRule>
          <xm:sqref>J492</xm:sqref>
        </x14:conditionalFormatting>
        <x14:conditionalFormatting xmlns:xm="http://schemas.microsoft.com/office/excel/2006/main">
          <x14:cfRule type="dataBar" id="{F97B234E-49FC-43E4-BC10-A38170D88B95}">
            <x14:dataBar minLength="0" maxLength="100" border="1" gradient="0">
              <x14:cfvo type="num">
                <xm:f>0</xm:f>
              </x14:cfvo>
              <x14:cfvo type="num">
                <xm:f>1</xm:f>
              </x14:cfvo>
              <x14:borderColor theme="0"/>
              <x14:negativeFillColor rgb="FFFF0000"/>
              <x14:axisColor rgb="FF000000"/>
            </x14:dataBar>
          </x14:cfRule>
          <xm:sqref>J494 J496 J498 J500</xm:sqref>
        </x14:conditionalFormatting>
        <x14:conditionalFormatting xmlns:xm="http://schemas.microsoft.com/office/excel/2006/main">
          <x14:cfRule type="dataBar" id="{3913A477-543E-465E-B353-6B5BBD8155F1}">
            <x14:dataBar minLength="0" maxLength="100" border="1" gradient="0">
              <x14:cfvo type="num">
                <xm:f>0</xm:f>
              </x14:cfvo>
              <x14:cfvo type="num">
                <xm:f>1</xm:f>
              </x14:cfvo>
              <x14:borderColor theme="0"/>
              <x14:negativeFillColor rgb="FFFF0000"/>
              <x14:axisColor rgb="FF000000"/>
            </x14:dataBar>
          </x14:cfRule>
          <xm:sqref>J502</xm:sqref>
        </x14:conditionalFormatting>
        <x14:conditionalFormatting xmlns:xm="http://schemas.microsoft.com/office/excel/2006/main">
          <x14:cfRule type="dataBar" id="{47CBDBD3-B22A-403C-8EE9-0FCDBB77B737}">
            <x14:dataBar minLength="0" maxLength="100" border="1" gradient="0">
              <x14:cfvo type="num">
                <xm:f>0</xm:f>
              </x14:cfvo>
              <x14:cfvo type="num">
                <xm:f>1</xm:f>
              </x14:cfvo>
              <x14:borderColor theme="0"/>
              <x14:negativeFillColor rgb="FFFF0000"/>
              <x14:axisColor rgb="FF000000"/>
            </x14:dataBar>
          </x14:cfRule>
          <xm:sqref>J504 J579 J506 J508</xm:sqref>
        </x14:conditionalFormatting>
        <x14:conditionalFormatting xmlns:xm="http://schemas.microsoft.com/office/excel/2006/main">
          <x14:cfRule type="dataBar" id="{CAB81127-A118-4904-BD36-441CDD39F87A}">
            <x14:dataBar minLength="0" maxLength="100" border="1" gradient="0">
              <x14:cfvo type="num">
                <xm:f>0</xm:f>
              </x14:cfvo>
              <x14:cfvo type="num">
                <xm:f>1</xm:f>
              </x14:cfvo>
              <x14:borderColor theme="0"/>
              <x14:negativeFillColor rgb="FFFF0000"/>
              <x14:axisColor rgb="FF000000"/>
            </x14:dataBar>
          </x14:cfRule>
          <xm:sqref>J510</xm:sqref>
        </x14:conditionalFormatting>
        <x14:conditionalFormatting xmlns:xm="http://schemas.microsoft.com/office/excel/2006/main">
          <x14:cfRule type="dataBar" id="{E0E0A9B6-88CF-497A-B102-03405382E843}">
            <x14:dataBar minLength="0" maxLength="100" border="1" gradient="0">
              <x14:cfvo type="num">
                <xm:f>0</xm:f>
              </x14:cfvo>
              <x14:cfvo type="num">
                <xm:f>1</xm:f>
              </x14:cfvo>
              <x14:borderColor theme="0"/>
              <x14:negativeFillColor rgb="FFFF0000"/>
              <x14:axisColor rgb="FF000000"/>
            </x14:dataBar>
          </x14:cfRule>
          <xm:sqref>J512</xm:sqref>
        </x14:conditionalFormatting>
        <x14:conditionalFormatting xmlns:xm="http://schemas.microsoft.com/office/excel/2006/main">
          <x14:cfRule type="dataBar" id="{58951742-3750-401E-8158-192349BE784F}">
            <x14:dataBar minLength="0" maxLength="100" border="1" gradient="0">
              <x14:cfvo type="num">
                <xm:f>0</xm:f>
              </x14:cfvo>
              <x14:cfvo type="num">
                <xm:f>1</xm:f>
              </x14:cfvo>
              <x14:borderColor theme="0"/>
              <x14:negativeFillColor rgb="FFFF0000"/>
              <x14:axisColor rgb="FF000000"/>
            </x14:dataBar>
          </x14:cfRule>
          <xm:sqref>J516</xm:sqref>
        </x14:conditionalFormatting>
        <x14:conditionalFormatting xmlns:xm="http://schemas.microsoft.com/office/excel/2006/main">
          <x14:cfRule type="dataBar" id="{A180C5BC-E616-4CFA-BD6A-F5276EB0F2E7}">
            <x14:dataBar minLength="0" maxLength="100" border="1" gradient="0">
              <x14:cfvo type="num">
                <xm:f>0</xm:f>
              </x14:cfvo>
              <x14:cfvo type="num">
                <xm:f>1</xm:f>
              </x14:cfvo>
              <x14:borderColor theme="0"/>
              <x14:negativeFillColor rgb="FFFF0000"/>
              <x14:axisColor rgb="FF000000"/>
            </x14:dataBar>
          </x14:cfRule>
          <xm:sqref>J518 J759</xm:sqref>
        </x14:conditionalFormatting>
        <x14:conditionalFormatting xmlns:xm="http://schemas.microsoft.com/office/excel/2006/main">
          <x14:cfRule type="dataBar" id="{C6E89296-D50C-41D1-90A3-3AA727B01A6C}">
            <x14:dataBar minLength="0" maxLength="100" border="1" gradient="0">
              <x14:cfvo type="num">
                <xm:f>0</xm:f>
              </x14:cfvo>
              <x14:cfvo type="num">
                <xm:f>1</xm:f>
              </x14:cfvo>
              <x14:borderColor theme="0"/>
              <x14:negativeFillColor rgb="FFFF0000"/>
              <x14:axisColor rgb="FF000000"/>
            </x14:dataBar>
          </x14:cfRule>
          <xm:sqref>J520</xm:sqref>
        </x14:conditionalFormatting>
        <x14:conditionalFormatting xmlns:xm="http://schemas.microsoft.com/office/excel/2006/main">
          <x14:cfRule type="dataBar" id="{B5B6DFD7-E591-4C83-AD69-B5C503B03444}">
            <x14:dataBar minLength="0" maxLength="100" border="1" gradient="0">
              <x14:cfvo type="num">
                <xm:f>0</xm:f>
              </x14:cfvo>
              <x14:cfvo type="num">
                <xm:f>1</xm:f>
              </x14:cfvo>
              <x14:borderColor theme="0"/>
              <x14:negativeFillColor rgb="FFFF0000"/>
              <x14:axisColor rgb="FF000000"/>
            </x14:dataBar>
          </x14:cfRule>
          <xm:sqref>J522</xm:sqref>
        </x14:conditionalFormatting>
        <x14:conditionalFormatting xmlns:xm="http://schemas.microsoft.com/office/excel/2006/main">
          <x14:cfRule type="dataBar" id="{64899C55-2B0C-4A18-9663-D889C6EF89D3}">
            <x14:dataBar minLength="0" maxLength="100" border="1" gradient="0">
              <x14:cfvo type="num">
                <xm:f>0</xm:f>
              </x14:cfvo>
              <x14:cfvo type="num">
                <xm:f>1</xm:f>
              </x14:cfvo>
              <x14:borderColor theme="0"/>
              <x14:negativeFillColor rgb="FFFF0000"/>
              <x14:axisColor rgb="FF000000"/>
            </x14:dataBar>
          </x14:cfRule>
          <xm:sqref>J524</xm:sqref>
        </x14:conditionalFormatting>
        <x14:conditionalFormatting xmlns:xm="http://schemas.microsoft.com/office/excel/2006/main">
          <x14:cfRule type="dataBar" id="{A66F696C-8DDA-418B-BBC0-6D6F7230BB5B}">
            <x14:dataBar minLength="0" maxLength="100" border="1" gradient="0">
              <x14:cfvo type="num">
                <xm:f>0</xm:f>
              </x14:cfvo>
              <x14:cfvo type="num">
                <xm:f>1</xm:f>
              </x14:cfvo>
              <x14:borderColor theme="0"/>
              <x14:negativeFillColor rgb="FFFF0000"/>
              <x14:axisColor rgb="FF000000"/>
            </x14:dataBar>
          </x14:cfRule>
          <xm:sqref>J526</xm:sqref>
        </x14:conditionalFormatting>
        <x14:conditionalFormatting xmlns:xm="http://schemas.microsoft.com/office/excel/2006/main">
          <x14:cfRule type="dataBar" id="{0603516B-28E5-4B79-B4A0-9BD5C3E67598}">
            <x14:dataBar minLength="0" maxLength="100" border="1" gradient="0">
              <x14:cfvo type="num">
                <xm:f>0</xm:f>
              </x14:cfvo>
              <x14:cfvo type="num">
                <xm:f>1</xm:f>
              </x14:cfvo>
              <x14:borderColor theme="0"/>
              <x14:negativeFillColor rgb="FFFF0000"/>
              <x14:axisColor rgb="FF000000"/>
            </x14:dataBar>
          </x14:cfRule>
          <xm:sqref>J528</xm:sqref>
        </x14:conditionalFormatting>
        <x14:conditionalFormatting xmlns:xm="http://schemas.microsoft.com/office/excel/2006/main">
          <x14:cfRule type="dataBar" id="{D0395F6D-B20D-41A8-982C-F17CA021F8F0}">
            <x14:dataBar minLength="0" maxLength="100" border="1" gradient="0">
              <x14:cfvo type="num">
                <xm:f>0</xm:f>
              </x14:cfvo>
              <x14:cfvo type="num">
                <xm:f>1</xm:f>
              </x14:cfvo>
              <x14:borderColor theme="0"/>
              <x14:negativeFillColor rgb="FFFF0000"/>
              <x14:axisColor rgb="FF000000"/>
            </x14:dataBar>
          </x14:cfRule>
          <xm:sqref>J530</xm:sqref>
        </x14:conditionalFormatting>
        <x14:conditionalFormatting xmlns:xm="http://schemas.microsoft.com/office/excel/2006/main">
          <x14:cfRule type="dataBar" id="{2E244F88-CD11-441A-BB86-0C109542FEC7}">
            <x14:dataBar minLength="0" maxLength="100" border="1" gradient="0">
              <x14:cfvo type="num">
                <xm:f>0</xm:f>
              </x14:cfvo>
              <x14:cfvo type="num">
                <xm:f>1</xm:f>
              </x14:cfvo>
              <x14:borderColor theme="0"/>
              <x14:negativeFillColor rgb="FFFF0000"/>
              <x14:axisColor rgb="FF000000"/>
            </x14:dataBar>
          </x14:cfRule>
          <xm:sqref>J533</xm:sqref>
        </x14:conditionalFormatting>
        <x14:conditionalFormatting xmlns:xm="http://schemas.microsoft.com/office/excel/2006/main">
          <x14:cfRule type="dataBar" id="{A9049C3B-D82A-45D8-927A-0543075C9B59}">
            <x14:dataBar minLength="0" maxLength="100" border="1" gradient="0">
              <x14:cfvo type="num">
                <xm:f>0</xm:f>
              </x14:cfvo>
              <x14:cfvo type="num">
                <xm:f>1</xm:f>
              </x14:cfvo>
              <x14:borderColor theme="0"/>
              <x14:negativeFillColor rgb="FFFF0000"/>
              <x14:axisColor rgb="FF000000"/>
            </x14:dataBar>
          </x14:cfRule>
          <xm:sqref>J535 J537 J539 J409</xm:sqref>
        </x14:conditionalFormatting>
        <x14:conditionalFormatting xmlns:xm="http://schemas.microsoft.com/office/excel/2006/main">
          <x14:cfRule type="dataBar" id="{98C94755-180E-4B08-B1B1-A0B0E4A48219}">
            <x14:dataBar minLength="0" maxLength="100" border="1" gradient="0">
              <x14:cfvo type="num">
                <xm:f>0</xm:f>
              </x14:cfvo>
              <x14:cfvo type="num">
                <xm:f>1</xm:f>
              </x14:cfvo>
              <x14:borderColor theme="0"/>
              <x14:negativeFillColor rgb="FFFF0000"/>
              <x14:axisColor rgb="FF000000"/>
            </x14:dataBar>
          </x14:cfRule>
          <xm:sqref>J541 J545 J549 J553 J557 J561 J543 J547 J551 J555 J559 J563</xm:sqref>
        </x14:conditionalFormatting>
        <x14:conditionalFormatting xmlns:xm="http://schemas.microsoft.com/office/excel/2006/main">
          <x14:cfRule type="dataBar" id="{26F96F96-C504-4BA4-B2BE-7C2042A0B872}">
            <x14:dataBar minLength="0" maxLength="100" border="1" gradient="0">
              <x14:cfvo type="num">
                <xm:f>0</xm:f>
              </x14:cfvo>
              <x14:cfvo type="num">
                <xm:f>1</xm:f>
              </x14:cfvo>
              <x14:borderColor theme="0"/>
              <x14:negativeFillColor rgb="FFFF0000"/>
              <x14:axisColor rgb="FF000000"/>
            </x14:dataBar>
          </x14:cfRule>
          <xm:sqref>J565 J567</xm:sqref>
        </x14:conditionalFormatting>
        <x14:conditionalFormatting xmlns:xm="http://schemas.microsoft.com/office/excel/2006/main">
          <x14:cfRule type="dataBar" id="{3675017A-FAF7-4BE6-9613-D0956CAC1303}">
            <x14:dataBar minLength="0" maxLength="100" border="1" gradient="0">
              <x14:cfvo type="num">
                <xm:f>0</xm:f>
              </x14:cfvo>
              <x14:cfvo type="num">
                <xm:f>1</xm:f>
              </x14:cfvo>
              <x14:borderColor theme="0"/>
              <x14:negativeFillColor rgb="FFFF0000"/>
              <x14:axisColor rgb="FF000000"/>
            </x14:dataBar>
          </x14:cfRule>
          <xm:sqref>J569 J573 J577 J583 J587 J591 J571 J575 J581 J585 J589 J593</xm:sqref>
        </x14:conditionalFormatting>
        <x14:conditionalFormatting xmlns:xm="http://schemas.microsoft.com/office/excel/2006/main">
          <x14:cfRule type="dataBar" id="{2B8B1EE5-1521-4AC1-9F20-B1E7112393DF}">
            <x14:dataBar minLength="0" maxLength="100" border="1" gradient="0">
              <x14:cfvo type="num">
                <xm:f>0</xm:f>
              </x14:cfvo>
              <x14:cfvo type="num">
                <xm:f>1</xm:f>
              </x14:cfvo>
              <x14:borderColor theme="0"/>
              <x14:negativeFillColor rgb="FFFF0000"/>
              <x14:axisColor rgb="FF000000"/>
            </x14:dataBar>
          </x14:cfRule>
          <xm:sqref>J595 J597</xm:sqref>
        </x14:conditionalFormatting>
        <x14:conditionalFormatting xmlns:xm="http://schemas.microsoft.com/office/excel/2006/main">
          <x14:cfRule type="dataBar" id="{62AA063E-6211-47FC-92ED-B17CED53DF85}">
            <x14:dataBar minLength="0" maxLength="100" border="1" gradient="0">
              <x14:cfvo type="num">
                <xm:f>0</xm:f>
              </x14:cfvo>
              <x14:cfvo type="num">
                <xm:f>1</xm:f>
              </x14:cfvo>
              <x14:borderColor theme="0"/>
              <x14:negativeFillColor rgb="FFFF0000"/>
              <x14:axisColor rgb="FF000000"/>
            </x14:dataBar>
          </x14:cfRule>
          <xm:sqref>J599 J603 J607 J611 J615 J619 J601 J605 J609 J613 J617 J621</xm:sqref>
        </x14:conditionalFormatting>
        <x14:conditionalFormatting xmlns:xm="http://schemas.microsoft.com/office/excel/2006/main">
          <x14:cfRule type="dataBar" id="{073D333E-FD09-45A1-959C-3571253DC70F}">
            <x14:dataBar minLength="0" maxLength="100" border="1" gradient="0">
              <x14:cfvo type="num">
                <xm:f>0</xm:f>
              </x14:cfvo>
              <x14:cfvo type="num">
                <xm:f>1</xm:f>
              </x14:cfvo>
              <x14:borderColor theme="0"/>
              <x14:negativeFillColor rgb="FFFF0000"/>
              <x14:axisColor rgb="FF000000"/>
            </x14:dataBar>
          </x14:cfRule>
          <xm:sqref>J625 J623</xm:sqref>
        </x14:conditionalFormatting>
        <x14:conditionalFormatting xmlns:xm="http://schemas.microsoft.com/office/excel/2006/main">
          <x14:cfRule type="dataBar" id="{58C2EA89-1D63-4C3A-B168-FBBC5BC57511}">
            <x14:dataBar minLength="0" maxLength="100" border="1" gradient="0">
              <x14:cfvo type="num">
                <xm:f>0</xm:f>
              </x14:cfvo>
              <x14:cfvo type="num">
                <xm:f>1</xm:f>
              </x14:cfvo>
              <x14:borderColor theme="0"/>
              <x14:negativeFillColor rgb="FFFF0000"/>
              <x14:axisColor rgb="FF000000"/>
            </x14:dataBar>
          </x14:cfRule>
          <xm:sqref>J643</xm:sqref>
        </x14:conditionalFormatting>
        <x14:conditionalFormatting xmlns:xm="http://schemas.microsoft.com/office/excel/2006/main">
          <x14:cfRule type="dataBar" id="{C1252886-C5DC-48CB-A372-79A97C985A6B}">
            <x14:dataBar minLength="0" maxLength="100" border="1" gradient="0">
              <x14:cfvo type="num">
                <xm:f>0</xm:f>
              </x14:cfvo>
              <x14:cfvo type="num">
                <xm:f>1</xm:f>
              </x14:cfvo>
              <x14:borderColor theme="0"/>
              <x14:negativeFillColor rgb="FFFF0000"/>
              <x14:axisColor rgb="FF000000"/>
            </x14:dataBar>
          </x14:cfRule>
          <xm:sqref>J645 J627 J631 J635 J639 J629 J633 J637 J641</xm:sqref>
        </x14:conditionalFormatting>
        <x14:conditionalFormatting xmlns:xm="http://schemas.microsoft.com/office/excel/2006/main">
          <x14:cfRule type="dataBar" id="{DE59E6B9-9DF1-4D18-B7BB-276A20525280}">
            <x14:dataBar minLength="0" maxLength="100" border="1" gradient="0">
              <x14:cfvo type="num">
                <xm:f>0</xm:f>
              </x14:cfvo>
              <x14:cfvo type="num">
                <xm:f>1</xm:f>
              </x14:cfvo>
              <x14:borderColor theme="0"/>
              <x14:negativeFillColor rgb="FFFF0000"/>
              <x14:axisColor rgb="FF000000"/>
            </x14:dataBar>
          </x14:cfRule>
          <xm:sqref>J647</xm:sqref>
        </x14:conditionalFormatting>
        <x14:conditionalFormatting xmlns:xm="http://schemas.microsoft.com/office/excel/2006/main">
          <x14:cfRule type="dataBar" id="{6D50FDFF-0A78-424F-BFDD-C26D7C8ABDF7}">
            <x14:dataBar minLength="0" maxLength="100" border="1" gradient="0">
              <x14:cfvo type="num">
                <xm:f>0</xm:f>
              </x14:cfvo>
              <x14:cfvo type="num">
                <xm:f>1</xm:f>
              </x14:cfvo>
              <x14:borderColor theme="0"/>
              <x14:negativeFillColor rgb="FFFF0000"/>
              <x14:axisColor rgb="FF000000"/>
            </x14:dataBar>
          </x14:cfRule>
          <xm:sqref>J649</xm:sqref>
        </x14:conditionalFormatting>
        <x14:conditionalFormatting xmlns:xm="http://schemas.microsoft.com/office/excel/2006/main">
          <x14:cfRule type="dataBar" id="{7CE5045D-3AA2-4A15-BC85-CF4B6447B734}">
            <x14:dataBar minLength="0" maxLength="100" border="1" gradient="0">
              <x14:cfvo type="num">
                <xm:f>0</xm:f>
              </x14:cfvo>
              <x14:cfvo type="num">
                <xm:f>1</xm:f>
              </x14:cfvo>
              <x14:borderColor theme="0"/>
              <x14:negativeFillColor rgb="FFFF0000"/>
              <x14:axisColor rgb="FF000000"/>
            </x14:dataBar>
          </x14:cfRule>
          <xm:sqref>J652</xm:sqref>
        </x14:conditionalFormatting>
        <x14:conditionalFormatting xmlns:xm="http://schemas.microsoft.com/office/excel/2006/main">
          <x14:cfRule type="dataBar" id="{1EC3C377-CCD3-46C9-B817-62BF74526467}">
            <x14:dataBar minLength="0" maxLength="100" border="1" gradient="0">
              <x14:cfvo type="num">
                <xm:f>0</xm:f>
              </x14:cfvo>
              <x14:cfvo type="num">
                <xm:f>1</xm:f>
              </x14:cfvo>
              <x14:borderColor theme="0"/>
              <x14:negativeFillColor rgb="FFFF0000"/>
              <x14:axisColor rgb="FF000000"/>
            </x14:dataBar>
          </x14:cfRule>
          <xm:sqref>J654</xm:sqref>
        </x14:conditionalFormatting>
        <x14:conditionalFormatting xmlns:xm="http://schemas.microsoft.com/office/excel/2006/main">
          <x14:cfRule type="dataBar" id="{6D44A50A-5493-4C32-8C7F-837B9DE94C77}">
            <x14:dataBar minLength="0" maxLength="100" border="1" gradient="0">
              <x14:cfvo type="num">
                <xm:f>0</xm:f>
              </x14:cfvo>
              <x14:cfvo type="num">
                <xm:f>1</xm:f>
              </x14:cfvo>
              <x14:borderColor theme="0"/>
              <x14:negativeFillColor rgb="FFFF0000"/>
              <x14:axisColor rgb="FF000000"/>
            </x14:dataBar>
          </x14:cfRule>
          <xm:sqref>J656</xm:sqref>
        </x14:conditionalFormatting>
        <x14:conditionalFormatting xmlns:xm="http://schemas.microsoft.com/office/excel/2006/main">
          <x14:cfRule type="dataBar" id="{B87905F6-470E-418D-BE8C-F3DB7FE04FB7}">
            <x14:dataBar minLength="0" maxLength="100" border="1" gradient="0">
              <x14:cfvo type="num">
                <xm:f>0</xm:f>
              </x14:cfvo>
              <x14:cfvo type="num">
                <xm:f>1</xm:f>
              </x14:cfvo>
              <x14:borderColor theme="0"/>
              <x14:negativeFillColor rgb="FFFF0000"/>
              <x14:axisColor rgb="FF000000"/>
            </x14:dataBar>
          </x14:cfRule>
          <xm:sqref>J658</xm:sqref>
        </x14:conditionalFormatting>
        <x14:conditionalFormatting xmlns:xm="http://schemas.microsoft.com/office/excel/2006/main">
          <x14:cfRule type="dataBar" id="{42CCE69E-6C4E-4691-ADD6-83BD18D994D5}">
            <x14:dataBar minLength="0" maxLength="100" border="1" gradient="0">
              <x14:cfvo type="num">
                <xm:f>0</xm:f>
              </x14:cfvo>
              <x14:cfvo type="num">
                <xm:f>1</xm:f>
              </x14:cfvo>
              <x14:borderColor theme="0"/>
              <x14:negativeFillColor rgb="FFFF0000"/>
              <x14:axisColor rgb="FF000000"/>
            </x14:dataBar>
          </x14:cfRule>
          <xm:sqref>J660</xm:sqref>
        </x14:conditionalFormatting>
        <x14:conditionalFormatting xmlns:xm="http://schemas.microsoft.com/office/excel/2006/main">
          <x14:cfRule type="dataBar" id="{3CF880C8-08A1-4245-84D1-51D47C51AA06}">
            <x14:dataBar minLength="0" maxLength="100" border="1" gradient="0">
              <x14:cfvo type="num">
                <xm:f>0</xm:f>
              </x14:cfvo>
              <x14:cfvo type="num">
                <xm:f>1</xm:f>
              </x14:cfvo>
              <x14:borderColor theme="0"/>
              <x14:negativeFillColor rgb="FFFF0000"/>
              <x14:axisColor rgb="FF000000"/>
            </x14:dataBar>
          </x14:cfRule>
          <xm:sqref>J662</xm:sqref>
        </x14:conditionalFormatting>
        <x14:conditionalFormatting xmlns:xm="http://schemas.microsoft.com/office/excel/2006/main">
          <x14:cfRule type="dataBar" id="{A7EC1153-A5A8-472C-994B-E6EA81CDFFC6}">
            <x14:dataBar minLength="0" maxLength="100" border="1" gradient="0">
              <x14:cfvo type="num">
                <xm:f>0</xm:f>
              </x14:cfvo>
              <x14:cfvo type="num">
                <xm:f>1</xm:f>
              </x14:cfvo>
              <x14:borderColor theme="0"/>
              <x14:negativeFillColor rgb="FFFF0000"/>
              <x14:axisColor rgb="FF000000"/>
            </x14:dataBar>
          </x14:cfRule>
          <xm:sqref>J664</xm:sqref>
        </x14:conditionalFormatting>
        <x14:conditionalFormatting xmlns:xm="http://schemas.microsoft.com/office/excel/2006/main">
          <x14:cfRule type="dataBar" id="{3478464E-142E-44C9-A94E-4E37CBD0FD7E}">
            <x14:dataBar minLength="0" maxLength="100" border="1" gradient="0">
              <x14:cfvo type="num">
                <xm:f>0</xm:f>
              </x14:cfvo>
              <x14:cfvo type="num">
                <xm:f>1</xm:f>
              </x14:cfvo>
              <x14:borderColor theme="0"/>
              <x14:negativeFillColor rgb="FFFF0000"/>
              <x14:axisColor rgb="FF000000"/>
            </x14:dataBar>
          </x14:cfRule>
          <xm:sqref>J666</xm:sqref>
        </x14:conditionalFormatting>
        <x14:conditionalFormatting xmlns:xm="http://schemas.microsoft.com/office/excel/2006/main">
          <x14:cfRule type="dataBar" id="{781A1E1C-0B29-4677-8617-94FF42625DCA}">
            <x14:dataBar minLength="0" maxLength="100" border="1" gradient="0">
              <x14:cfvo type="num">
                <xm:f>0</xm:f>
              </x14:cfvo>
              <x14:cfvo type="num">
                <xm:f>1</xm:f>
              </x14:cfvo>
              <x14:borderColor theme="0"/>
              <x14:negativeFillColor rgb="FFFF0000"/>
              <x14:axisColor rgb="FF000000"/>
            </x14:dataBar>
          </x14:cfRule>
          <xm:sqref>J668</xm:sqref>
        </x14:conditionalFormatting>
        <x14:conditionalFormatting xmlns:xm="http://schemas.microsoft.com/office/excel/2006/main">
          <x14:cfRule type="dataBar" id="{F311DAC8-D890-4011-A594-61899E210F76}">
            <x14:dataBar minLength="0" maxLength="100" border="1" gradient="0">
              <x14:cfvo type="num">
                <xm:f>0</xm:f>
              </x14:cfvo>
              <x14:cfvo type="num">
                <xm:f>1</xm:f>
              </x14:cfvo>
              <x14:borderColor theme="0"/>
              <x14:negativeFillColor rgb="FFFF0000"/>
              <x14:axisColor rgb="FF000000"/>
            </x14:dataBar>
          </x14:cfRule>
          <xm:sqref>J670</xm:sqref>
        </x14:conditionalFormatting>
        <x14:conditionalFormatting xmlns:xm="http://schemas.microsoft.com/office/excel/2006/main">
          <x14:cfRule type="dataBar" id="{09F175F1-3558-4D1D-BB6B-80189DAAF203}">
            <x14:dataBar minLength="0" maxLength="100" border="1" gradient="0">
              <x14:cfvo type="num">
                <xm:f>0</xm:f>
              </x14:cfvo>
              <x14:cfvo type="num">
                <xm:f>1</xm:f>
              </x14:cfvo>
              <x14:borderColor theme="0"/>
              <x14:negativeFillColor rgb="FFFF0000"/>
              <x14:axisColor rgb="FF000000"/>
            </x14:dataBar>
          </x14:cfRule>
          <xm:sqref>J672</xm:sqref>
        </x14:conditionalFormatting>
        <x14:conditionalFormatting xmlns:xm="http://schemas.microsoft.com/office/excel/2006/main">
          <x14:cfRule type="dataBar" id="{CEE1076C-1850-4ACB-9E2A-19BB88B89096}">
            <x14:dataBar minLength="0" maxLength="100" border="1" gradient="0">
              <x14:cfvo type="num">
                <xm:f>0</xm:f>
              </x14:cfvo>
              <x14:cfvo type="num">
                <xm:f>1</xm:f>
              </x14:cfvo>
              <x14:borderColor theme="0"/>
              <x14:negativeFillColor rgb="FFFF0000"/>
              <x14:axisColor rgb="FF000000"/>
            </x14:dataBar>
          </x14:cfRule>
          <xm:sqref>J674</xm:sqref>
        </x14:conditionalFormatting>
        <x14:conditionalFormatting xmlns:xm="http://schemas.microsoft.com/office/excel/2006/main">
          <x14:cfRule type="dataBar" id="{0905EACF-1224-49FC-BB2A-8CEBC3636468}">
            <x14:dataBar minLength="0" maxLength="100" border="1" gradient="0">
              <x14:cfvo type="num">
                <xm:f>0</xm:f>
              </x14:cfvo>
              <x14:cfvo type="num">
                <xm:f>1</xm:f>
              </x14:cfvo>
              <x14:borderColor theme="0"/>
              <x14:negativeFillColor rgb="FFFF0000"/>
              <x14:axisColor rgb="FF000000"/>
            </x14:dataBar>
          </x14:cfRule>
          <xm:sqref>J676</xm:sqref>
        </x14:conditionalFormatting>
        <x14:conditionalFormatting xmlns:xm="http://schemas.microsoft.com/office/excel/2006/main">
          <x14:cfRule type="dataBar" id="{A69B2C40-B09B-4DD2-A588-1FDFFFDA4CC5}">
            <x14:dataBar minLength="0" maxLength="100" border="1" gradient="0">
              <x14:cfvo type="num">
                <xm:f>0</xm:f>
              </x14:cfvo>
              <x14:cfvo type="num">
                <xm:f>1</xm:f>
              </x14:cfvo>
              <x14:borderColor theme="0"/>
              <x14:negativeFillColor rgb="FFFF0000"/>
              <x14:axisColor rgb="FF000000"/>
            </x14:dataBar>
          </x14:cfRule>
          <xm:sqref>J678</xm:sqref>
        </x14:conditionalFormatting>
        <x14:conditionalFormatting xmlns:xm="http://schemas.microsoft.com/office/excel/2006/main">
          <x14:cfRule type="dataBar" id="{A302A9F2-BB73-498F-8D40-C35EA5C5E9C2}">
            <x14:dataBar minLength="0" maxLength="100" border="1" gradient="0">
              <x14:cfvo type="num">
                <xm:f>0</xm:f>
              </x14:cfvo>
              <x14:cfvo type="num">
                <xm:f>1</xm:f>
              </x14:cfvo>
              <x14:borderColor theme="0"/>
              <x14:negativeFillColor rgb="FFFF0000"/>
              <x14:axisColor rgb="FF000000"/>
            </x14:dataBar>
          </x14:cfRule>
          <xm:sqref>J680</xm:sqref>
        </x14:conditionalFormatting>
        <x14:conditionalFormatting xmlns:xm="http://schemas.microsoft.com/office/excel/2006/main">
          <x14:cfRule type="dataBar" id="{0F83F51D-535E-4B60-B516-712114BA92CF}">
            <x14:dataBar minLength="0" maxLength="100" border="1" gradient="0">
              <x14:cfvo type="num">
                <xm:f>0</xm:f>
              </x14:cfvo>
              <x14:cfvo type="num">
                <xm:f>1</xm:f>
              </x14:cfvo>
              <x14:borderColor theme="0"/>
              <x14:negativeFillColor rgb="FFFF0000"/>
              <x14:axisColor rgb="FF000000"/>
            </x14:dataBar>
          </x14:cfRule>
          <xm:sqref>J682</xm:sqref>
        </x14:conditionalFormatting>
        <x14:conditionalFormatting xmlns:xm="http://schemas.microsoft.com/office/excel/2006/main">
          <x14:cfRule type="dataBar" id="{3CFC9E51-C1E2-4B61-96EC-D50126050CCA}">
            <x14:dataBar minLength="0" maxLength="100" border="1" gradient="0">
              <x14:cfvo type="num">
                <xm:f>0</xm:f>
              </x14:cfvo>
              <x14:cfvo type="num">
                <xm:f>1</xm:f>
              </x14:cfvo>
              <x14:borderColor theme="0"/>
              <x14:negativeFillColor rgb="FFFF0000"/>
              <x14:axisColor rgb="FF000000"/>
            </x14:dataBar>
          </x14:cfRule>
          <xm:sqref>J684</xm:sqref>
        </x14:conditionalFormatting>
        <x14:conditionalFormatting xmlns:xm="http://schemas.microsoft.com/office/excel/2006/main">
          <x14:cfRule type="dataBar" id="{800C5F9E-B720-493D-9B38-726824AD7AEA}">
            <x14:dataBar minLength="0" maxLength="100" border="1" gradient="0">
              <x14:cfvo type="num">
                <xm:f>0</xm:f>
              </x14:cfvo>
              <x14:cfvo type="num">
                <xm:f>1</xm:f>
              </x14:cfvo>
              <x14:borderColor theme="0"/>
              <x14:negativeFillColor rgb="FFFF0000"/>
              <x14:axisColor rgb="FF000000"/>
            </x14:dataBar>
          </x14:cfRule>
          <xm:sqref>J686</xm:sqref>
        </x14:conditionalFormatting>
        <x14:conditionalFormatting xmlns:xm="http://schemas.microsoft.com/office/excel/2006/main">
          <x14:cfRule type="dataBar" id="{4B3B1BB7-512B-4FD4-A543-76CA979A8521}">
            <x14:dataBar minLength="0" maxLength="100" border="1" gradient="0">
              <x14:cfvo type="num">
                <xm:f>0</xm:f>
              </x14:cfvo>
              <x14:cfvo type="num">
                <xm:f>1</xm:f>
              </x14:cfvo>
              <x14:borderColor theme="0"/>
              <x14:negativeFillColor rgb="FFFF0000"/>
              <x14:axisColor rgb="FF000000"/>
            </x14:dataBar>
          </x14:cfRule>
          <xm:sqref>J688</xm:sqref>
        </x14:conditionalFormatting>
        <x14:conditionalFormatting xmlns:xm="http://schemas.microsoft.com/office/excel/2006/main">
          <x14:cfRule type="dataBar" id="{DD0E4E31-1502-40F1-92C8-F0B88769C260}">
            <x14:dataBar minLength="0" maxLength="100" border="1" gradient="0">
              <x14:cfvo type="num">
                <xm:f>0</xm:f>
              </x14:cfvo>
              <x14:cfvo type="num">
                <xm:f>1</xm:f>
              </x14:cfvo>
              <x14:borderColor theme="0"/>
              <x14:negativeFillColor rgb="FFFF0000"/>
              <x14:axisColor rgb="FF000000"/>
            </x14:dataBar>
          </x14:cfRule>
          <xm:sqref>J690</xm:sqref>
        </x14:conditionalFormatting>
        <x14:conditionalFormatting xmlns:xm="http://schemas.microsoft.com/office/excel/2006/main">
          <x14:cfRule type="dataBar" id="{EA62D2BF-7169-4877-9B42-69E4FFF2B5E6}">
            <x14:dataBar minLength="0" maxLength="100" border="1" gradient="0">
              <x14:cfvo type="num">
                <xm:f>0</xm:f>
              </x14:cfvo>
              <x14:cfvo type="num">
                <xm:f>1</xm:f>
              </x14:cfvo>
              <x14:borderColor theme="0"/>
              <x14:negativeFillColor rgb="FFFF0000"/>
              <x14:axisColor rgb="FF000000"/>
            </x14:dataBar>
          </x14:cfRule>
          <xm:sqref>J692</xm:sqref>
        </x14:conditionalFormatting>
        <x14:conditionalFormatting xmlns:xm="http://schemas.microsoft.com/office/excel/2006/main">
          <x14:cfRule type="dataBar" id="{83345943-6B58-42AC-828E-980C7F901BA8}">
            <x14:dataBar minLength="0" maxLength="100" border="1" gradient="0">
              <x14:cfvo type="num">
                <xm:f>0</xm:f>
              </x14:cfvo>
              <x14:cfvo type="num">
                <xm:f>1</xm:f>
              </x14:cfvo>
              <x14:borderColor theme="0"/>
              <x14:negativeFillColor rgb="FFFF0000"/>
              <x14:axisColor rgb="FF000000"/>
            </x14:dataBar>
          </x14:cfRule>
          <xm:sqref>J694</xm:sqref>
        </x14:conditionalFormatting>
        <x14:conditionalFormatting xmlns:xm="http://schemas.microsoft.com/office/excel/2006/main">
          <x14:cfRule type="dataBar" id="{1F5538CA-3D34-462C-83B0-FF536086AFED}">
            <x14:dataBar minLength="0" maxLength="100" border="1" gradient="0">
              <x14:cfvo type="num">
                <xm:f>0</xm:f>
              </x14:cfvo>
              <x14:cfvo type="num">
                <xm:f>1</xm:f>
              </x14:cfvo>
              <x14:borderColor theme="0"/>
              <x14:negativeFillColor rgb="FFFF0000"/>
              <x14:axisColor rgb="FF000000"/>
            </x14:dataBar>
          </x14:cfRule>
          <xm:sqref>J696</xm:sqref>
        </x14:conditionalFormatting>
        <x14:conditionalFormatting xmlns:xm="http://schemas.microsoft.com/office/excel/2006/main">
          <x14:cfRule type="dataBar" id="{45C9F434-2453-4CC4-B05E-7F05C1C1A07E}">
            <x14:dataBar minLength="0" maxLength="100" border="1" gradient="0">
              <x14:cfvo type="num">
                <xm:f>0</xm:f>
              </x14:cfvo>
              <x14:cfvo type="num">
                <xm:f>1</xm:f>
              </x14:cfvo>
              <x14:borderColor theme="0"/>
              <x14:negativeFillColor rgb="FFFF0000"/>
              <x14:axisColor rgb="FF000000"/>
            </x14:dataBar>
          </x14:cfRule>
          <xm:sqref>J698</xm:sqref>
        </x14:conditionalFormatting>
        <x14:conditionalFormatting xmlns:xm="http://schemas.microsoft.com/office/excel/2006/main">
          <x14:cfRule type="dataBar" id="{39C7F537-7F50-4FD6-A11F-3E04F6ECDEF6}">
            <x14:dataBar minLength="0" maxLength="100" border="1" gradient="0">
              <x14:cfvo type="num">
                <xm:f>0</xm:f>
              </x14:cfvo>
              <x14:cfvo type="num">
                <xm:f>1</xm:f>
              </x14:cfvo>
              <x14:borderColor theme="0"/>
              <x14:negativeFillColor rgb="FFFF0000"/>
              <x14:axisColor rgb="FF000000"/>
            </x14:dataBar>
          </x14:cfRule>
          <xm:sqref>J700</xm:sqref>
        </x14:conditionalFormatting>
        <x14:conditionalFormatting xmlns:xm="http://schemas.microsoft.com/office/excel/2006/main">
          <x14:cfRule type="dataBar" id="{A7AA07A6-513A-42B9-A6EB-30AEA2A8784E}">
            <x14:dataBar minLength="0" maxLength="100" border="1" gradient="0">
              <x14:cfvo type="num">
                <xm:f>0</xm:f>
              </x14:cfvo>
              <x14:cfvo type="num">
                <xm:f>1</xm:f>
              </x14:cfvo>
              <x14:borderColor theme="0"/>
              <x14:negativeFillColor rgb="FFFF0000"/>
              <x14:axisColor rgb="FF000000"/>
            </x14:dataBar>
          </x14:cfRule>
          <xm:sqref>J703</xm:sqref>
        </x14:conditionalFormatting>
        <x14:conditionalFormatting xmlns:xm="http://schemas.microsoft.com/office/excel/2006/main">
          <x14:cfRule type="dataBar" id="{E0CD12D8-B0E5-4432-AEED-3A5ED88A1B3F}">
            <x14:dataBar minLength="0" maxLength="100" border="1" gradient="0">
              <x14:cfvo type="num">
                <xm:f>0</xm:f>
              </x14:cfvo>
              <x14:cfvo type="num">
                <xm:f>1</xm:f>
              </x14:cfvo>
              <x14:borderColor theme="0"/>
              <x14:negativeFillColor rgb="FFFF0000"/>
              <x14:axisColor rgb="FF000000"/>
            </x14:dataBar>
          </x14:cfRule>
          <xm:sqref>J705</xm:sqref>
        </x14:conditionalFormatting>
        <x14:conditionalFormatting xmlns:xm="http://schemas.microsoft.com/office/excel/2006/main">
          <x14:cfRule type="dataBar" id="{EC212735-739B-4348-99CF-35F541AE5B6A}">
            <x14:dataBar minLength="0" maxLength="100" border="1" gradient="0">
              <x14:cfvo type="num">
                <xm:f>0</xm:f>
              </x14:cfvo>
              <x14:cfvo type="num">
                <xm:f>1</xm:f>
              </x14:cfvo>
              <x14:borderColor theme="0"/>
              <x14:negativeFillColor rgb="FFFF0000"/>
              <x14:axisColor rgb="FF000000"/>
            </x14:dataBar>
          </x14:cfRule>
          <xm:sqref>J707</xm:sqref>
        </x14:conditionalFormatting>
        <x14:conditionalFormatting xmlns:xm="http://schemas.microsoft.com/office/excel/2006/main">
          <x14:cfRule type="dataBar" id="{F4013653-5D1B-4D71-8B27-DE593E2CE1AC}">
            <x14:dataBar minLength="0" maxLength="100" border="1" gradient="0">
              <x14:cfvo type="num">
                <xm:f>0</xm:f>
              </x14:cfvo>
              <x14:cfvo type="num">
                <xm:f>1</xm:f>
              </x14:cfvo>
              <x14:borderColor theme="0"/>
              <x14:negativeFillColor rgb="FFFF0000"/>
              <x14:axisColor rgb="FF000000"/>
            </x14:dataBar>
          </x14:cfRule>
          <xm:sqref>J709</xm:sqref>
        </x14:conditionalFormatting>
        <x14:conditionalFormatting xmlns:xm="http://schemas.microsoft.com/office/excel/2006/main">
          <x14:cfRule type="dataBar" id="{0F66219C-9AAB-497E-A4A7-E6FB948BB66D}">
            <x14:dataBar minLength="0" maxLength="100" border="1" gradient="0">
              <x14:cfvo type="num">
                <xm:f>0</xm:f>
              </x14:cfvo>
              <x14:cfvo type="num">
                <xm:f>1</xm:f>
              </x14:cfvo>
              <x14:borderColor theme="0"/>
              <x14:negativeFillColor rgb="FFFF0000"/>
              <x14:axisColor rgb="FF000000"/>
            </x14:dataBar>
          </x14:cfRule>
          <xm:sqref>J711</xm:sqref>
        </x14:conditionalFormatting>
        <x14:conditionalFormatting xmlns:xm="http://schemas.microsoft.com/office/excel/2006/main">
          <x14:cfRule type="dataBar" id="{5E8F3903-941D-477C-8452-4AE9FEA3CDAA}">
            <x14:dataBar minLength="0" maxLength="100" border="1" gradient="0">
              <x14:cfvo type="num">
                <xm:f>0</xm:f>
              </x14:cfvo>
              <x14:cfvo type="num">
                <xm:f>1</xm:f>
              </x14:cfvo>
              <x14:borderColor theme="0"/>
              <x14:negativeFillColor rgb="FFFF0000"/>
              <x14:axisColor rgb="FF000000"/>
            </x14:dataBar>
          </x14:cfRule>
          <xm:sqref>J713</xm:sqref>
        </x14:conditionalFormatting>
        <x14:conditionalFormatting xmlns:xm="http://schemas.microsoft.com/office/excel/2006/main">
          <x14:cfRule type="dataBar" id="{B7854E69-36D2-4BAA-A08B-FE6EA0761C87}">
            <x14:dataBar minLength="0" maxLength="100" border="1" gradient="0">
              <x14:cfvo type="num">
                <xm:f>0</xm:f>
              </x14:cfvo>
              <x14:cfvo type="num">
                <xm:f>1</xm:f>
              </x14:cfvo>
              <x14:borderColor theme="0"/>
              <x14:negativeFillColor rgb="FFFF0000"/>
              <x14:axisColor rgb="FF000000"/>
            </x14:dataBar>
          </x14:cfRule>
          <xm:sqref>J715</xm:sqref>
        </x14:conditionalFormatting>
        <x14:conditionalFormatting xmlns:xm="http://schemas.microsoft.com/office/excel/2006/main">
          <x14:cfRule type="dataBar" id="{A2E9E86E-E1E7-4094-AE3B-5CB047F09998}">
            <x14:dataBar minLength="0" maxLength="100" border="1" gradient="0">
              <x14:cfvo type="num">
                <xm:f>0</xm:f>
              </x14:cfvo>
              <x14:cfvo type="num">
                <xm:f>1</xm:f>
              </x14:cfvo>
              <x14:borderColor theme="0"/>
              <x14:negativeFillColor rgb="FFFF0000"/>
              <x14:axisColor rgb="FF000000"/>
            </x14:dataBar>
          </x14:cfRule>
          <xm:sqref>J717</xm:sqref>
        </x14:conditionalFormatting>
        <x14:conditionalFormatting xmlns:xm="http://schemas.microsoft.com/office/excel/2006/main">
          <x14:cfRule type="dataBar" id="{D0419F6B-79CD-4493-9809-5708F5E8EE42}">
            <x14:dataBar minLength="0" maxLength="100" border="1" gradient="0">
              <x14:cfvo type="num">
                <xm:f>0</xm:f>
              </x14:cfvo>
              <x14:cfvo type="num">
                <xm:f>1</xm:f>
              </x14:cfvo>
              <x14:borderColor theme="0"/>
              <x14:negativeFillColor rgb="FFFF0000"/>
              <x14:axisColor rgb="FF000000"/>
            </x14:dataBar>
          </x14:cfRule>
          <xm:sqref>J719</xm:sqref>
        </x14:conditionalFormatting>
        <x14:conditionalFormatting xmlns:xm="http://schemas.microsoft.com/office/excel/2006/main">
          <x14:cfRule type="dataBar" id="{E21B05C1-0EFD-4BC7-A093-D16FD7E9BD2B}">
            <x14:dataBar minLength="0" maxLength="100" border="1" gradient="0">
              <x14:cfvo type="num">
                <xm:f>0</xm:f>
              </x14:cfvo>
              <x14:cfvo type="num">
                <xm:f>1</xm:f>
              </x14:cfvo>
              <x14:borderColor theme="0"/>
              <x14:negativeFillColor rgb="FFFF0000"/>
              <x14:axisColor rgb="FF000000"/>
            </x14:dataBar>
          </x14:cfRule>
          <xm:sqref>J721</xm:sqref>
        </x14:conditionalFormatting>
        <x14:conditionalFormatting xmlns:xm="http://schemas.microsoft.com/office/excel/2006/main">
          <x14:cfRule type="dataBar" id="{6E85EC53-A7CA-437B-B6F7-3A277DDF0790}">
            <x14:dataBar minLength="0" maxLength="100" border="1" gradient="0">
              <x14:cfvo type="num">
                <xm:f>0</xm:f>
              </x14:cfvo>
              <x14:cfvo type="num">
                <xm:f>1</xm:f>
              </x14:cfvo>
              <x14:borderColor theme="0"/>
              <x14:negativeFillColor rgb="FFFF0000"/>
              <x14:axisColor rgb="FF000000"/>
            </x14:dataBar>
          </x14:cfRule>
          <xm:sqref>J723</xm:sqref>
        </x14:conditionalFormatting>
        <x14:conditionalFormatting xmlns:xm="http://schemas.microsoft.com/office/excel/2006/main">
          <x14:cfRule type="dataBar" id="{35BB966A-F245-402D-8E0A-9AA232255284}">
            <x14:dataBar minLength="0" maxLength="100" border="1" gradient="0">
              <x14:cfvo type="num">
                <xm:f>0</xm:f>
              </x14:cfvo>
              <x14:cfvo type="num">
                <xm:f>1</xm:f>
              </x14:cfvo>
              <x14:borderColor theme="0"/>
              <x14:negativeFillColor rgb="FFFF0000"/>
              <x14:axisColor rgb="FF000000"/>
            </x14:dataBar>
          </x14:cfRule>
          <xm:sqref>J725</xm:sqref>
        </x14:conditionalFormatting>
        <x14:conditionalFormatting xmlns:xm="http://schemas.microsoft.com/office/excel/2006/main">
          <x14:cfRule type="dataBar" id="{2BEF3398-0D16-478E-9DCB-82D70977424F}">
            <x14:dataBar minLength="0" maxLength="100" border="1" gradient="0">
              <x14:cfvo type="num">
                <xm:f>0</xm:f>
              </x14:cfvo>
              <x14:cfvo type="num">
                <xm:f>1</xm:f>
              </x14:cfvo>
              <x14:borderColor theme="0"/>
              <x14:negativeFillColor rgb="FFFF0000"/>
              <x14:axisColor rgb="FF000000"/>
            </x14:dataBar>
          </x14:cfRule>
          <xm:sqref>J727</xm:sqref>
        </x14:conditionalFormatting>
        <x14:conditionalFormatting xmlns:xm="http://schemas.microsoft.com/office/excel/2006/main">
          <x14:cfRule type="dataBar" id="{C7B443FC-EF07-4E23-A501-EE2ACAFD579C}">
            <x14:dataBar minLength="0" maxLength="100" border="1" gradient="0">
              <x14:cfvo type="num">
                <xm:f>0</xm:f>
              </x14:cfvo>
              <x14:cfvo type="num">
                <xm:f>1</xm:f>
              </x14:cfvo>
              <x14:borderColor theme="0"/>
              <x14:negativeFillColor rgb="FFFF0000"/>
              <x14:axisColor rgb="FF000000"/>
            </x14:dataBar>
          </x14:cfRule>
          <xm:sqref>J729</xm:sqref>
        </x14:conditionalFormatting>
        <x14:conditionalFormatting xmlns:xm="http://schemas.microsoft.com/office/excel/2006/main">
          <x14:cfRule type="dataBar" id="{FADE20F4-58C2-4259-AA4E-5B48DB6C3E4C}">
            <x14:dataBar minLength="0" maxLength="100" border="1" gradient="0">
              <x14:cfvo type="num">
                <xm:f>0</xm:f>
              </x14:cfvo>
              <x14:cfvo type="num">
                <xm:f>1</xm:f>
              </x14:cfvo>
              <x14:borderColor theme="0"/>
              <x14:negativeFillColor rgb="FFFF0000"/>
              <x14:axisColor rgb="FF000000"/>
            </x14:dataBar>
          </x14:cfRule>
          <xm:sqref>J731</xm:sqref>
        </x14:conditionalFormatting>
        <x14:conditionalFormatting xmlns:xm="http://schemas.microsoft.com/office/excel/2006/main">
          <x14:cfRule type="dataBar" id="{A071606B-3A18-46F9-8E05-B60D6DE5269E}">
            <x14:dataBar minLength="0" maxLength="100" border="1" gradient="0">
              <x14:cfvo type="num">
                <xm:f>0</xm:f>
              </x14:cfvo>
              <x14:cfvo type="num">
                <xm:f>1</xm:f>
              </x14:cfvo>
              <x14:borderColor theme="0"/>
              <x14:negativeFillColor rgb="FFFF0000"/>
              <x14:axisColor rgb="FF000000"/>
            </x14:dataBar>
          </x14:cfRule>
          <xm:sqref>J733</xm:sqref>
        </x14:conditionalFormatting>
        <x14:conditionalFormatting xmlns:xm="http://schemas.microsoft.com/office/excel/2006/main">
          <x14:cfRule type="dataBar" id="{C601875A-E7E0-4ACE-9EAE-6110A291AF03}">
            <x14:dataBar minLength="0" maxLength="100" border="1" gradient="0">
              <x14:cfvo type="num">
                <xm:f>0</xm:f>
              </x14:cfvo>
              <x14:cfvo type="num">
                <xm:f>1</xm:f>
              </x14:cfvo>
              <x14:borderColor theme="0"/>
              <x14:negativeFillColor rgb="FFFF0000"/>
              <x14:axisColor rgb="FF000000"/>
            </x14:dataBar>
          </x14:cfRule>
          <xm:sqref>J735</xm:sqref>
        </x14:conditionalFormatting>
        <x14:conditionalFormatting xmlns:xm="http://schemas.microsoft.com/office/excel/2006/main">
          <x14:cfRule type="dataBar" id="{A1986112-20A7-4062-BEF5-10179F3B86E4}">
            <x14:dataBar minLength="0" maxLength="100" border="1" gradient="0">
              <x14:cfvo type="num">
                <xm:f>0</xm:f>
              </x14:cfvo>
              <x14:cfvo type="num">
                <xm:f>1</xm:f>
              </x14:cfvo>
              <x14:borderColor theme="0"/>
              <x14:negativeFillColor rgb="FFFF0000"/>
              <x14:axisColor rgb="FF000000"/>
            </x14:dataBar>
          </x14:cfRule>
          <xm:sqref>J737</xm:sqref>
        </x14:conditionalFormatting>
        <x14:conditionalFormatting xmlns:xm="http://schemas.microsoft.com/office/excel/2006/main">
          <x14:cfRule type="dataBar" id="{29782729-8974-452E-8D3B-E608463E458A}">
            <x14:dataBar minLength="0" maxLength="100" border="1" gradient="0">
              <x14:cfvo type="num">
                <xm:f>0</xm:f>
              </x14:cfvo>
              <x14:cfvo type="num">
                <xm:f>1</xm:f>
              </x14:cfvo>
              <x14:borderColor theme="0"/>
              <x14:negativeFillColor rgb="FFFF0000"/>
              <x14:axisColor rgb="FF000000"/>
            </x14:dataBar>
          </x14:cfRule>
          <xm:sqref>J739</xm:sqref>
        </x14:conditionalFormatting>
        <x14:conditionalFormatting xmlns:xm="http://schemas.microsoft.com/office/excel/2006/main">
          <x14:cfRule type="dataBar" id="{50BEC7D7-0850-48B4-A232-CA1A24EB854D}">
            <x14:dataBar minLength="0" maxLength="100" border="1" gradient="0">
              <x14:cfvo type="num">
                <xm:f>0</xm:f>
              </x14:cfvo>
              <x14:cfvo type="num">
                <xm:f>1</xm:f>
              </x14:cfvo>
              <x14:borderColor theme="0"/>
              <x14:negativeFillColor rgb="FFFF0000"/>
              <x14:axisColor rgb="FF000000"/>
            </x14:dataBar>
          </x14:cfRule>
          <xm:sqref>J741</xm:sqref>
        </x14:conditionalFormatting>
        <x14:conditionalFormatting xmlns:xm="http://schemas.microsoft.com/office/excel/2006/main">
          <x14:cfRule type="dataBar" id="{E4CC0CC0-AC53-4809-B55B-FD6BF9CD47C1}">
            <x14:dataBar minLength="0" maxLength="100" border="1" gradient="0">
              <x14:cfvo type="num">
                <xm:f>0</xm:f>
              </x14:cfvo>
              <x14:cfvo type="num">
                <xm:f>1</xm:f>
              </x14:cfvo>
              <x14:borderColor theme="0"/>
              <x14:negativeFillColor rgb="FFFF0000"/>
              <x14:axisColor rgb="FF000000"/>
            </x14:dataBar>
          </x14:cfRule>
          <xm:sqref>J743</xm:sqref>
        </x14:conditionalFormatting>
        <x14:conditionalFormatting xmlns:xm="http://schemas.microsoft.com/office/excel/2006/main">
          <x14:cfRule type="dataBar" id="{A3B20E0A-DEE9-4658-B09E-500B50CED3BB}">
            <x14:dataBar minLength="0" maxLength="100" border="1" gradient="0">
              <x14:cfvo type="num">
                <xm:f>0</xm:f>
              </x14:cfvo>
              <x14:cfvo type="num">
                <xm:f>1</xm:f>
              </x14:cfvo>
              <x14:borderColor theme="0"/>
              <x14:negativeFillColor rgb="FFFF0000"/>
              <x14:axisColor rgb="FF000000"/>
            </x14:dataBar>
          </x14:cfRule>
          <xm:sqref>J745</xm:sqref>
        </x14:conditionalFormatting>
        <x14:conditionalFormatting xmlns:xm="http://schemas.microsoft.com/office/excel/2006/main">
          <x14:cfRule type="dataBar" id="{7C64A581-F70D-47C7-9149-21049EEE8298}">
            <x14:dataBar minLength="0" maxLength="100" border="1" gradient="0">
              <x14:cfvo type="num">
                <xm:f>0</xm:f>
              </x14:cfvo>
              <x14:cfvo type="num">
                <xm:f>1</xm:f>
              </x14:cfvo>
              <x14:borderColor theme="0"/>
              <x14:negativeFillColor rgb="FFFF0000"/>
              <x14:axisColor rgb="FF000000"/>
            </x14:dataBar>
          </x14:cfRule>
          <xm:sqref>J747</xm:sqref>
        </x14:conditionalFormatting>
        <x14:conditionalFormatting xmlns:xm="http://schemas.microsoft.com/office/excel/2006/main">
          <x14:cfRule type="dataBar" id="{CC5F24E8-0B87-43E6-A1E6-2D3482919E0D}">
            <x14:dataBar minLength="0" maxLength="100" border="1" gradient="0">
              <x14:cfvo type="num">
                <xm:f>0</xm:f>
              </x14:cfvo>
              <x14:cfvo type="num">
                <xm:f>1</xm:f>
              </x14:cfvo>
              <x14:borderColor theme="0"/>
              <x14:negativeFillColor rgb="FFFF0000"/>
              <x14:axisColor rgb="FF000000"/>
            </x14:dataBar>
          </x14:cfRule>
          <xm:sqref>J749</xm:sqref>
        </x14:conditionalFormatting>
        <x14:conditionalFormatting xmlns:xm="http://schemas.microsoft.com/office/excel/2006/main">
          <x14:cfRule type="dataBar" id="{D3B1AE5B-62CF-4107-A663-C93FEBDB7DDF}">
            <x14:dataBar minLength="0" maxLength="100" border="1" gradient="0">
              <x14:cfvo type="num">
                <xm:f>0</xm:f>
              </x14:cfvo>
              <x14:cfvo type="num">
                <xm:f>1</xm:f>
              </x14:cfvo>
              <x14:borderColor theme="0"/>
              <x14:negativeFillColor rgb="FFFF0000"/>
              <x14:axisColor rgb="FF000000"/>
            </x14:dataBar>
          </x14:cfRule>
          <xm:sqref>J751</xm:sqref>
        </x14:conditionalFormatting>
        <x14:conditionalFormatting xmlns:xm="http://schemas.microsoft.com/office/excel/2006/main">
          <x14:cfRule type="dataBar" id="{84C1279D-C4CE-4F89-8E52-630B6674B723}">
            <x14:dataBar minLength="0" maxLength="100" border="1" gradient="0">
              <x14:cfvo type="num">
                <xm:f>0</xm:f>
              </x14:cfvo>
              <x14:cfvo type="num">
                <xm:f>1</xm:f>
              </x14:cfvo>
              <x14:borderColor theme="0"/>
              <x14:negativeFillColor rgb="FFFF0000"/>
              <x14:axisColor rgb="FF000000"/>
            </x14:dataBar>
          </x14:cfRule>
          <xm:sqref>J753</xm:sqref>
        </x14:conditionalFormatting>
        <x14:conditionalFormatting xmlns:xm="http://schemas.microsoft.com/office/excel/2006/main">
          <x14:cfRule type="dataBar" id="{57C00D0F-DE38-4BAA-AB45-637F5D5294F7}">
            <x14:dataBar minLength="0" maxLength="100" border="1" gradient="0">
              <x14:cfvo type="num">
                <xm:f>0</xm:f>
              </x14:cfvo>
              <x14:cfvo type="num">
                <xm:f>1</xm:f>
              </x14:cfvo>
              <x14:borderColor theme="0"/>
              <x14:negativeFillColor rgb="FFFF0000"/>
              <x14:axisColor rgb="FF000000"/>
            </x14:dataBar>
          </x14:cfRule>
          <xm:sqref>J755</xm:sqref>
        </x14:conditionalFormatting>
        <x14:conditionalFormatting xmlns:xm="http://schemas.microsoft.com/office/excel/2006/main">
          <x14:cfRule type="dataBar" id="{3CA9A400-F186-491A-9494-7FBCD79A71C2}">
            <x14:dataBar minLength="0" maxLength="100" border="1" gradient="0">
              <x14:cfvo type="num">
                <xm:f>0</xm:f>
              </x14:cfvo>
              <x14:cfvo type="num">
                <xm:f>1</xm:f>
              </x14:cfvo>
              <x14:borderColor theme="0"/>
              <x14:negativeFillColor rgb="FFFF0000"/>
              <x14:axisColor rgb="FF000000"/>
            </x14:dataBar>
          </x14:cfRule>
          <xm:sqref>J757</xm:sqref>
        </x14:conditionalFormatting>
        <x14:conditionalFormatting xmlns:xm="http://schemas.microsoft.com/office/excel/2006/main">
          <x14:cfRule type="dataBar" id="{28210A2C-0C17-491C-A4C9-50FAEE329781}">
            <x14:dataBar minLength="0" maxLength="100" border="1" gradient="0">
              <x14:cfvo type="num">
                <xm:f>0</xm:f>
              </x14:cfvo>
              <x14:cfvo type="num">
                <xm:f>1</xm:f>
              </x14:cfvo>
              <x14:borderColor theme="0"/>
              <x14:negativeFillColor rgb="FFFF0000"/>
              <x14:axisColor rgb="FF000000"/>
            </x14:dataBar>
          </x14:cfRule>
          <xm:sqref>J761</xm:sqref>
        </x14:conditionalFormatting>
        <x14:conditionalFormatting xmlns:xm="http://schemas.microsoft.com/office/excel/2006/main">
          <x14:cfRule type="dataBar" id="{B2B387A0-14A9-44C9-A6D3-5E97AD2E0279}">
            <x14:dataBar minLength="0" maxLength="100" border="1" gradient="0">
              <x14:cfvo type="num">
                <xm:f>0</xm:f>
              </x14:cfvo>
              <x14:cfvo type="num">
                <xm:f>1</xm:f>
              </x14:cfvo>
              <x14:borderColor theme="0"/>
              <x14:negativeFillColor rgb="FFFF0000"/>
              <x14:axisColor rgb="FF000000"/>
            </x14:dataBar>
          </x14:cfRule>
          <xm:sqref>J763</xm:sqref>
        </x14:conditionalFormatting>
        <x14:conditionalFormatting xmlns:xm="http://schemas.microsoft.com/office/excel/2006/main">
          <x14:cfRule type="dataBar" id="{2F210923-D390-4BCE-AD4D-D351AE3F4E46}">
            <x14:dataBar minLength="0" maxLength="100" border="1" gradient="0">
              <x14:cfvo type="num">
                <xm:f>0</xm:f>
              </x14:cfvo>
              <x14:cfvo type="num">
                <xm:f>1</xm:f>
              </x14:cfvo>
              <x14:borderColor theme="0"/>
              <x14:negativeFillColor rgb="FFFF0000"/>
              <x14:axisColor rgb="FF000000"/>
            </x14:dataBar>
          </x14:cfRule>
          <xm:sqref>J765</xm:sqref>
        </x14:conditionalFormatting>
        <x14:conditionalFormatting xmlns:xm="http://schemas.microsoft.com/office/excel/2006/main">
          <x14:cfRule type="dataBar" id="{836D97C5-6A9D-4856-8D3B-675DB17409A8}">
            <x14:dataBar minLength="0" maxLength="100" border="1" gradient="0">
              <x14:cfvo type="num">
                <xm:f>0</xm:f>
              </x14:cfvo>
              <x14:cfvo type="num">
                <xm:f>1</xm:f>
              </x14:cfvo>
              <x14:borderColor theme="0"/>
              <x14:negativeFillColor rgb="FFFF0000"/>
              <x14:axisColor rgb="FF000000"/>
            </x14:dataBar>
          </x14:cfRule>
          <xm:sqref>J767</xm:sqref>
        </x14:conditionalFormatting>
        <x14:conditionalFormatting xmlns:xm="http://schemas.microsoft.com/office/excel/2006/main">
          <x14:cfRule type="dataBar" id="{FD828C32-99E3-4D19-A0FD-7C3AE9603088}">
            <x14:dataBar minLength="0" maxLength="100" border="1" gradient="0">
              <x14:cfvo type="num">
                <xm:f>0</xm:f>
              </x14:cfvo>
              <x14:cfvo type="num">
                <xm:f>1</xm:f>
              </x14:cfvo>
              <x14:borderColor theme="0"/>
              <x14:negativeFillColor rgb="FFFF0000"/>
              <x14:axisColor rgb="FF000000"/>
            </x14:dataBar>
          </x14:cfRule>
          <xm:sqref>J769</xm:sqref>
        </x14:conditionalFormatting>
        <x14:conditionalFormatting xmlns:xm="http://schemas.microsoft.com/office/excel/2006/main">
          <x14:cfRule type="dataBar" id="{75197828-03E4-4B1D-A7F2-C64E79323C30}">
            <x14:dataBar minLength="0" maxLength="100" border="1" gradient="0">
              <x14:cfvo type="num">
                <xm:f>0</xm:f>
              </x14:cfvo>
              <x14:cfvo type="num">
                <xm:f>1</xm:f>
              </x14:cfvo>
              <x14:borderColor theme="0"/>
              <x14:negativeFillColor rgb="FFFF0000"/>
              <x14:axisColor rgb="FF000000"/>
            </x14:dataBar>
          </x14:cfRule>
          <xm:sqref>J771</xm:sqref>
        </x14:conditionalFormatting>
        <x14:conditionalFormatting xmlns:xm="http://schemas.microsoft.com/office/excel/2006/main">
          <x14:cfRule type="dataBar" id="{B22220F3-82A7-4A94-9E8A-AE25CECE97AB}">
            <x14:dataBar minLength="0" maxLength="100" border="1" gradient="0">
              <x14:cfvo type="num">
                <xm:f>0</xm:f>
              </x14:cfvo>
              <x14:cfvo type="num">
                <xm:f>1</xm:f>
              </x14:cfvo>
              <x14:borderColor theme="0"/>
              <x14:negativeFillColor rgb="FFFF0000"/>
              <x14:axisColor rgb="FF000000"/>
            </x14:dataBar>
          </x14:cfRule>
          <xm:sqref>J773</xm:sqref>
        </x14:conditionalFormatting>
        <x14:conditionalFormatting xmlns:xm="http://schemas.microsoft.com/office/excel/2006/main">
          <x14:cfRule type="dataBar" id="{EB915F4A-B945-4CCB-8E8B-FA2EB5822F35}">
            <x14:dataBar minLength="0" maxLength="100" border="1" gradient="0">
              <x14:cfvo type="num">
                <xm:f>0</xm:f>
              </x14:cfvo>
              <x14:cfvo type="num">
                <xm:f>1</xm:f>
              </x14:cfvo>
              <x14:borderColor theme="0"/>
              <x14:negativeFillColor rgb="FFFF0000"/>
              <x14:axisColor rgb="FF000000"/>
            </x14:dataBar>
          </x14:cfRule>
          <xm:sqref>J775</xm:sqref>
        </x14:conditionalFormatting>
        <x14:conditionalFormatting xmlns:xm="http://schemas.microsoft.com/office/excel/2006/main">
          <x14:cfRule type="dataBar" id="{240733CF-2FFA-4DE1-8373-E7FCEA3993E6}">
            <x14:dataBar minLength="0" maxLength="100" border="1" gradient="0">
              <x14:cfvo type="num">
                <xm:f>0</xm:f>
              </x14:cfvo>
              <x14:cfvo type="num">
                <xm:f>1</xm:f>
              </x14:cfvo>
              <x14:borderColor theme="0"/>
              <x14:negativeFillColor rgb="FFFF0000"/>
              <x14:axisColor rgb="FF000000"/>
            </x14:dataBar>
          </x14:cfRule>
          <xm:sqref>J777</xm:sqref>
        </x14:conditionalFormatting>
        <x14:conditionalFormatting xmlns:xm="http://schemas.microsoft.com/office/excel/2006/main">
          <x14:cfRule type="dataBar" id="{DB1E6A89-1FDE-468C-9F90-D031C751BCB0}">
            <x14:dataBar minLength="0" maxLength="100" border="1" gradient="0">
              <x14:cfvo type="num">
                <xm:f>0</xm:f>
              </x14:cfvo>
              <x14:cfvo type="num">
                <xm:f>1</xm:f>
              </x14:cfvo>
              <x14:borderColor theme="0"/>
              <x14:negativeFillColor rgb="FFFF0000"/>
              <x14:axisColor rgb="FF000000"/>
            </x14:dataBar>
          </x14:cfRule>
          <xm:sqref>J781</xm:sqref>
        </x14:conditionalFormatting>
        <x14:conditionalFormatting xmlns:xm="http://schemas.microsoft.com/office/excel/2006/main">
          <x14:cfRule type="dataBar" id="{A2B9B4C8-047D-4F52-8273-16343E807B88}">
            <x14:dataBar minLength="0" maxLength="100" border="1" gradient="0">
              <x14:cfvo type="num">
                <xm:f>0</xm:f>
              </x14:cfvo>
              <x14:cfvo type="num">
                <xm:f>1</xm:f>
              </x14:cfvo>
              <x14:borderColor theme="0"/>
              <x14:negativeFillColor rgb="FFFF0000"/>
              <x14:axisColor rgb="FF000000"/>
            </x14:dataBar>
          </x14:cfRule>
          <xm:sqref>J783 J785</xm:sqref>
        </x14:conditionalFormatting>
        <x14:conditionalFormatting xmlns:xm="http://schemas.microsoft.com/office/excel/2006/main">
          <x14:cfRule type="dataBar" id="{DAC63D18-5891-46E9-9DD7-C0AD17BD511F}">
            <x14:dataBar minLength="0" maxLength="100" border="1" gradient="0">
              <x14:cfvo type="num">
                <xm:f>0</xm:f>
              </x14:cfvo>
              <x14:cfvo type="num">
                <xm:f>1</xm:f>
              </x14:cfvo>
              <x14:borderColor theme="0"/>
              <x14:negativeFillColor rgb="FFFF0000"/>
              <x14:axisColor rgb="FF000000"/>
            </x14:dataBar>
          </x14:cfRule>
          <xm:sqref>J787 J789</xm:sqref>
        </x14:conditionalFormatting>
        <x14:conditionalFormatting xmlns:xm="http://schemas.microsoft.com/office/excel/2006/main">
          <x14:cfRule type="dataBar" id="{179FCB5A-9CAC-4305-ACAB-F30F1891D9F2}">
            <x14:dataBar minLength="0" maxLength="100" border="1" gradient="0">
              <x14:cfvo type="num">
                <xm:f>0</xm:f>
              </x14:cfvo>
              <x14:cfvo type="num">
                <xm:f>1</xm:f>
              </x14:cfvo>
              <x14:borderColor theme="0"/>
              <x14:negativeFillColor rgb="FFFF0000"/>
              <x14:axisColor rgb="FF000000"/>
            </x14:dataBar>
          </x14:cfRule>
          <xm:sqref>J791 J793</xm:sqref>
        </x14:conditionalFormatting>
        <x14:conditionalFormatting xmlns:xm="http://schemas.microsoft.com/office/excel/2006/main">
          <x14:cfRule type="dataBar" id="{0C15C2D8-F966-4171-89F4-F122EDACF69C}">
            <x14:dataBar minLength="0" maxLength="100" border="1" gradient="0">
              <x14:cfvo type="num">
                <xm:f>0</xm:f>
              </x14:cfvo>
              <x14:cfvo type="num">
                <xm:f>1</xm:f>
              </x14:cfvo>
              <x14:borderColor theme="0"/>
              <x14:negativeFillColor rgb="FFFF0000"/>
              <x14:axisColor rgb="FF000000"/>
            </x14:dataBar>
          </x14:cfRule>
          <xm:sqref>J795 J797</xm:sqref>
        </x14:conditionalFormatting>
        <x14:conditionalFormatting xmlns:xm="http://schemas.microsoft.com/office/excel/2006/main">
          <x14:cfRule type="dataBar" id="{D753D62E-E33B-4040-87D6-D966CA6ECE09}">
            <x14:dataBar minLength="0" maxLength="100" border="1" gradient="0">
              <x14:cfvo type="num">
                <xm:f>0</xm:f>
              </x14:cfvo>
              <x14:cfvo type="num">
                <xm:f>1</xm:f>
              </x14:cfvo>
              <x14:borderColor theme="0"/>
              <x14:negativeFillColor rgb="FFFF0000"/>
              <x14:axisColor rgb="FF000000"/>
            </x14:dataBar>
          </x14:cfRule>
          <xm:sqref>J799 J801</xm:sqref>
        </x14:conditionalFormatting>
        <x14:conditionalFormatting xmlns:xm="http://schemas.microsoft.com/office/excel/2006/main">
          <x14:cfRule type="dataBar" id="{8E9FD1AD-3F17-4A4E-B161-08E217C36B89}">
            <x14:dataBar minLength="0" maxLength="100" border="1" gradient="0">
              <x14:cfvo type="num">
                <xm:f>0</xm:f>
              </x14:cfvo>
              <x14:cfvo type="num">
                <xm:f>1</xm:f>
              </x14:cfvo>
              <x14:borderColor theme="0"/>
              <x14:negativeFillColor rgb="FFFF0000"/>
              <x14:axisColor rgb="FF000000"/>
            </x14:dataBar>
          </x14:cfRule>
          <xm:sqref>J803 J805</xm:sqref>
        </x14:conditionalFormatting>
        <x14:conditionalFormatting xmlns:xm="http://schemas.microsoft.com/office/excel/2006/main">
          <x14:cfRule type="dataBar" id="{9EA586DC-C262-471B-AF9D-B2227D0347A2}">
            <x14:dataBar minLength="0" maxLength="100" border="1" gradient="0">
              <x14:cfvo type="num">
                <xm:f>0</xm:f>
              </x14:cfvo>
              <x14:cfvo type="num">
                <xm:f>1</xm:f>
              </x14:cfvo>
              <x14:borderColor theme="0"/>
              <x14:negativeFillColor rgb="FFFF0000"/>
              <x14:axisColor rgb="FF000000"/>
            </x14:dataBar>
          </x14:cfRule>
          <xm:sqref>J807 J809</xm:sqref>
        </x14:conditionalFormatting>
        <x14:conditionalFormatting xmlns:xm="http://schemas.microsoft.com/office/excel/2006/main">
          <x14:cfRule type="dataBar" id="{FCA75126-84F2-43E7-83AE-2BF452213499}">
            <x14:dataBar minLength="0" maxLength="100" border="1" gradient="0">
              <x14:cfvo type="num">
                <xm:f>0</xm:f>
              </x14:cfvo>
              <x14:cfvo type="num">
                <xm:f>1</xm:f>
              </x14:cfvo>
              <x14:borderColor theme="0"/>
              <x14:negativeFillColor rgb="FFFF0000"/>
              <x14:axisColor rgb="FF000000"/>
            </x14:dataBar>
          </x14:cfRule>
          <xm:sqref>J811</xm:sqref>
        </x14:conditionalFormatting>
        <x14:conditionalFormatting xmlns:xm="http://schemas.microsoft.com/office/excel/2006/main">
          <x14:cfRule type="dataBar" id="{47C961D4-1BE4-4A7B-AB36-BCD9BE9EC0E0}">
            <x14:dataBar minLength="0" maxLength="100" border="1" gradient="0">
              <x14:cfvo type="num">
                <xm:f>0</xm:f>
              </x14:cfvo>
              <x14:cfvo type="num">
                <xm:f>1</xm:f>
              </x14:cfvo>
              <x14:borderColor theme="0"/>
              <x14:negativeFillColor rgb="FFFF0000"/>
              <x14:axisColor rgb="FF000000"/>
            </x14:dataBar>
          </x14:cfRule>
          <xm:sqref>J813 J815</xm:sqref>
        </x14:conditionalFormatting>
        <x14:conditionalFormatting xmlns:xm="http://schemas.microsoft.com/office/excel/2006/main">
          <x14:cfRule type="dataBar" id="{2FB2408A-C88A-43E9-B64F-8422F1639DD9}">
            <x14:dataBar minLength="0" maxLength="100" border="1" gradient="0">
              <x14:cfvo type="num">
                <xm:f>0</xm:f>
              </x14:cfvo>
              <x14:cfvo type="num">
                <xm:f>1</xm:f>
              </x14:cfvo>
              <x14:borderColor theme="0"/>
              <x14:negativeFillColor rgb="FFFF0000"/>
              <x14:axisColor rgb="FF000000"/>
            </x14:dataBar>
          </x14:cfRule>
          <xm:sqref>J817 J819</xm:sqref>
        </x14:conditionalFormatting>
        <x14:conditionalFormatting xmlns:xm="http://schemas.microsoft.com/office/excel/2006/main">
          <x14:cfRule type="dataBar" id="{53D8756F-C8C9-4673-9038-189FA9F9D244}">
            <x14:dataBar minLength="0" maxLength="100" border="1" gradient="0">
              <x14:cfvo type="num">
                <xm:f>0</xm:f>
              </x14:cfvo>
              <x14:cfvo type="num">
                <xm:f>1</xm:f>
              </x14:cfvo>
              <x14:borderColor theme="0"/>
              <x14:negativeFillColor rgb="FFFF0000"/>
              <x14:axisColor rgb="FF000000"/>
            </x14:dataBar>
          </x14:cfRule>
          <xm:sqref>J821 J823</xm:sqref>
        </x14:conditionalFormatting>
        <x14:conditionalFormatting xmlns:xm="http://schemas.microsoft.com/office/excel/2006/main">
          <x14:cfRule type="dataBar" id="{DCECC2ED-3254-472A-A0A9-BB6B72FB1887}">
            <x14:dataBar minLength="0" maxLength="100" border="1" gradient="0">
              <x14:cfvo type="num">
                <xm:f>0</xm:f>
              </x14:cfvo>
              <x14:cfvo type="num">
                <xm:f>1</xm:f>
              </x14:cfvo>
              <x14:borderColor theme="0"/>
              <x14:negativeFillColor rgb="FFFF0000"/>
              <x14:axisColor rgb="FF000000"/>
            </x14:dataBar>
          </x14:cfRule>
          <xm:sqref>J825 J827</xm:sqref>
        </x14:conditionalFormatting>
        <x14:conditionalFormatting xmlns:xm="http://schemas.microsoft.com/office/excel/2006/main">
          <x14:cfRule type="dataBar" id="{B0557891-F47B-46BA-A0F0-3C26C44C0DC9}">
            <x14:dataBar minLength="0" maxLength="100" border="1" gradient="0">
              <x14:cfvo type="num">
                <xm:f>0</xm:f>
              </x14:cfvo>
              <x14:cfvo type="num">
                <xm:f>1</xm:f>
              </x14:cfvo>
              <x14:borderColor theme="0"/>
              <x14:negativeFillColor rgb="FFFF0000"/>
              <x14:axisColor rgb="FF000000"/>
            </x14:dataBar>
          </x14:cfRule>
          <xm:sqref>J829</xm:sqref>
        </x14:conditionalFormatting>
        <x14:conditionalFormatting xmlns:xm="http://schemas.microsoft.com/office/excel/2006/main">
          <x14:cfRule type="dataBar" id="{4F755AD3-09C5-4B25-AE69-886CBE972F43}">
            <x14:dataBar minLength="0" maxLength="100" border="1" gradient="0">
              <x14:cfvo type="num">
                <xm:f>0</xm:f>
              </x14:cfvo>
              <x14:cfvo type="num">
                <xm:f>1</xm:f>
              </x14:cfvo>
              <x14:borderColor theme="0"/>
              <x14:negativeFillColor rgb="FFFF0000"/>
              <x14:axisColor rgb="FF000000"/>
            </x14:dataBar>
          </x14:cfRule>
          <xm:sqref>J831</xm:sqref>
        </x14:conditionalFormatting>
        <x14:conditionalFormatting xmlns:xm="http://schemas.microsoft.com/office/excel/2006/main">
          <x14:cfRule type="dataBar" id="{1E240D66-2DCB-44D6-B4D8-222264825723}">
            <x14:dataBar minLength="0" maxLength="100" border="1" gradient="0">
              <x14:cfvo type="num">
                <xm:f>0</xm:f>
              </x14:cfvo>
              <x14:cfvo type="num">
                <xm:f>1</xm:f>
              </x14:cfvo>
              <x14:borderColor theme="0"/>
              <x14:negativeFillColor rgb="FFFF0000"/>
              <x14:axisColor rgb="FF000000"/>
            </x14:dataBar>
          </x14:cfRule>
          <xm:sqref>J833</xm:sqref>
        </x14:conditionalFormatting>
        <x14:conditionalFormatting xmlns:xm="http://schemas.microsoft.com/office/excel/2006/main">
          <x14:cfRule type="dataBar" id="{1B930450-6697-4DE1-8846-818585B758DD}">
            <x14:dataBar minLength="0" maxLength="100" border="1" gradient="0">
              <x14:cfvo type="num">
                <xm:f>0</xm:f>
              </x14:cfvo>
              <x14:cfvo type="num">
                <xm:f>1</xm:f>
              </x14:cfvo>
              <x14:borderColor theme="0"/>
              <x14:negativeFillColor rgb="FFFF0000"/>
              <x14:axisColor rgb="FF000000"/>
            </x14:dataBar>
          </x14:cfRule>
          <xm:sqref>J835</xm:sqref>
        </x14:conditionalFormatting>
        <x14:conditionalFormatting xmlns:xm="http://schemas.microsoft.com/office/excel/2006/main">
          <x14:cfRule type="dataBar" id="{37479716-8206-4748-AFF8-1D93E2C760CF}">
            <x14:dataBar minLength="0" maxLength="100" border="1" gradient="0">
              <x14:cfvo type="num">
                <xm:f>0</xm:f>
              </x14:cfvo>
              <x14:cfvo type="num">
                <xm:f>1</xm:f>
              </x14:cfvo>
              <x14:borderColor theme="0"/>
              <x14:negativeFillColor rgb="FFFF0000"/>
              <x14:axisColor rgb="FF000000"/>
            </x14:dataBar>
          </x14:cfRule>
          <xm:sqref>J837</xm:sqref>
        </x14:conditionalFormatting>
        <x14:conditionalFormatting xmlns:xm="http://schemas.microsoft.com/office/excel/2006/main">
          <x14:cfRule type="dataBar" id="{369A1C97-AB64-4A0A-82B0-A576AF756FBA}">
            <x14:dataBar minLength="0" maxLength="100" border="1" gradient="0">
              <x14:cfvo type="num">
                <xm:f>0</xm:f>
              </x14:cfvo>
              <x14:cfvo type="num">
                <xm:f>1</xm:f>
              </x14:cfvo>
              <x14:borderColor theme="0"/>
              <x14:negativeFillColor rgb="FFFF0000"/>
              <x14:axisColor rgb="FF000000"/>
            </x14:dataBar>
          </x14:cfRule>
          <xm:sqref>J839</xm:sqref>
        </x14:conditionalFormatting>
        <x14:conditionalFormatting xmlns:xm="http://schemas.microsoft.com/office/excel/2006/main">
          <x14:cfRule type="dataBar" id="{F7106A2F-2587-4BFB-9ADB-9359BA44C094}">
            <x14:dataBar minLength="0" maxLength="100" border="1" gradient="0">
              <x14:cfvo type="num">
                <xm:f>0</xm:f>
              </x14:cfvo>
              <x14:cfvo type="num">
                <xm:f>1</xm:f>
              </x14:cfvo>
              <x14:borderColor theme="0"/>
              <x14:negativeFillColor rgb="FFFF0000"/>
              <x14:axisColor rgb="FF000000"/>
            </x14:dataBar>
          </x14:cfRule>
          <xm:sqref>J841</xm:sqref>
        </x14:conditionalFormatting>
        <x14:conditionalFormatting xmlns:xm="http://schemas.microsoft.com/office/excel/2006/main">
          <x14:cfRule type="dataBar" id="{1F2EE464-AF7B-49A1-9BB6-32400094C77D}">
            <x14:dataBar minLength="0" maxLength="100" border="1" gradient="0">
              <x14:cfvo type="num">
                <xm:f>0</xm:f>
              </x14:cfvo>
              <x14:cfvo type="num">
                <xm:f>1</xm:f>
              </x14:cfvo>
              <x14:borderColor theme="0"/>
              <x14:negativeFillColor rgb="FFFF0000"/>
              <x14:axisColor rgb="FF000000"/>
            </x14:dataBar>
          </x14:cfRule>
          <xm:sqref>J843</xm:sqref>
        </x14:conditionalFormatting>
        <x14:conditionalFormatting xmlns:xm="http://schemas.microsoft.com/office/excel/2006/main">
          <x14:cfRule type="dataBar" id="{4B75B62E-6A4B-470E-91E3-86A67D7333B8}">
            <x14:dataBar minLength="0" maxLength="100" border="1" gradient="0">
              <x14:cfvo type="num">
                <xm:f>0</xm:f>
              </x14:cfvo>
              <x14:cfvo type="num">
                <xm:f>1</xm:f>
              </x14:cfvo>
              <x14:borderColor theme="0"/>
              <x14:negativeFillColor rgb="FFFF0000"/>
              <x14:axisColor rgb="FF000000"/>
            </x14:dataBar>
          </x14:cfRule>
          <xm:sqref>J845</xm:sqref>
        </x14:conditionalFormatting>
        <x14:conditionalFormatting xmlns:xm="http://schemas.microsoft.com/office/excel/2006/main">
          <x14:cfRule type="dataBar" id="{808BC09B-F1E7-49EE-8B7E-2E05C3606F23}">
            <x14:dataBar minLength="0" maxLength="100" border="1" gradient="0">
              <x14:cfvo type="num">
                <xm:f>0</xm:f>
              </x14:cfvo>
              <x14:cfvo type="num">
                <xm:f>1</xm:f>
              </x14:cfvo>
              <x14:borderColor theme="0"/>
              <x14:negativeFillColor rgb="FFFF0000"/>
              <x14:axisColor rgb="FF000000"/>
            </x14:dataBar>
          </x14:cfRule>
          <xm:sqref>J848</xm:sqref>
        </x14:conditionalFormatting>
        <x14:conditionalFormatting xmlns:xm="http://schemas.microsoft.com/office/excel/2006/main">
          <x14:cfRule type="dataBar" id="{DCF22CBE-A5C6-4B8A-ACB0-F8DCF76CCA3E}">
            <x14:dataBar minLength="0" maxLength="100" border="1" gradient="0">
              <x14:cfvo type="num">
                <xm:f>0</xm:f>
              </x14:cfvo>
              <x14:cfvo type="num">
                <xm:f>1</xm:f>
              </x14:cfvo>
              <x14:borderColor theme="0"/>
              <x14:negativeFillColor rgb="FFFF0000"/>
              <x14:axisColor rgb="FF000000"/>
            </x14:dataBar>
          </x14:cfRule>
          <xm:sqref>J851</xm:sqref>
        </x14:conditionalFormatting>
        <x14:conditionalFormatting xmlns:xm="http://schemas.microsoft.com/office/excel/2006/main">
          <x14:cfRule type="dataBar" id="{C2E4D78D-7048-4832-A3BC-48CB3DFB0256}">
            <x14:dataBar minLength="0" maxLength="100" border="1" gradient="0">
              <x14:cfvo type="num">
                <xm:f>0</xm:f>
              </x14:cfvo>
              <x14:cfvo type="num">
                <xm:f>1</xm:f>
              </x14:cfvo>
              <x14:borderColor theme="0"/>
              <x14:negativeFillColor rgb="FFFF0000"/>
              <x14:axisColor rgb="FF000000"/>
            </x14:dataBar>
          </x14:cfRule>
          <xm:sqref>J853</xm:sqref>
        </x14:conditionalFormatting>
        <x14:conditionalFormatting xmlns:xm="http://schemas.microsoft.com/office/excel/2006/main">
          <x14:cfRule type="dataBar" id="{21472416-4F57-4342-918B-3347C53C3046}">
            <x14:dataBar minLength="0" maxLength="100" border="1" gradient="0">
              <x14:cfvo type="num">
                <xm:f>0</xm:f>
              </x14:cfvo>
              <x14:cfvo type="num">
                <xm:f>1</xm:f>
              </x14:cfvo>
              <x14:borderColor theme="0"/>
              <x14:negativeFillColor rgb="FFFF0000"/>
              <x14:axisColor rgb="FF000000"/>
            </x14:dataBar>
          </x14:cfRule>
          <xm:sqref>J855</xm:sqref>
        </x14:conditionalFormatting>
        <x14:conditionalFormatting xmlns:xm="http://schemas.microsoft.com/office/excel/2006/main">
          <x14:cfRule type="dataBar" id="{96EAE0F1-57AE-4BEC-9E8A-723D830880BA}">
            <x14:dataBar minLength="0" maxLength="100" border="1" gradient="0">
              <x14:cfvo type="num">
                <xm:f>0</xm:f>
              </x14:cfvo>
              <x14:cfvo type="num">
                <xm:f>1</xm:f>
              </x14:cfvo>
              <x14:borderColor theme="0"/>
              <x14:negativeFillColor rgb="FFFF0000"/>
              <x14:axisColor rgb="FF000000"/>
            </x14:dataBar>
          </x14:cfRule>
          <xm:sqref>J857</xm:sqref>
        </x14:conditionalFormatting>
        <x14:conditionalFormatting xmlns:xm="http://schemas.microsoft.com/office/excel/2006/main">
          <x14:cfRule type="dataBar" id="{6AB55999-58FD-440C-AFAA-545C99B9BBA6}">
            <x14:dataBar minLength="0" maxLength="100" border="1" gradient="0">
              <x14:cfvo type="num">
                <xm:f>0</xm:f>
              </x14:cfvo>
              <x14:cfvo type="num">
                <xm:f>1</xm:f>
              </x14:cfvo>
              <x14:borderColor theme="0"/>
              <x14:negativeFillColor rgb="FFFF0000"/>
              <x14:axisColor rgb="FF000000"/>
            </x14:dataBar>
          </x14:cfRule>
          <xm:sqref>J859 J861 J863 J865 J867 J869</xm:sqref>
        </x14:conditionalFormatting>
        <x14:conditionalFormatting xmlns:xm="http://schemas.microsoft.com/office/excel/2006/main">
          <x14:cfRule type="dataBar" id="{4FD8DCC0-A6EB-4736-9AAC-639A9013D494}">
            <x14:dataBar minLength="0" maxLength="100" border="1" gradient="0">
              <x14:cfvo type="num">
                <xm:f>0</xm:f>
              </x14:cfvo>
              <x14:cfvo type="num">
                <xm:f>1</xm:f>
              </x14:cfvo>
              <x14:borderColor theme="0"/>
              <x14:negativeFillColor rgb="FFFF0000"/>
              <x14:axisColor rgb="FF000000"/>
            </x14:dataBar>
          </x14:cfRule>
          <xm:sqref>J871 J873 J875 J877 J879</xm:sqref>
        </x14:conditionalFormatting>
        <x14:conditionalFormatting xmlns:xm="http://schemas.microsoft.com/office/excel/2006/main">
          <x14:cfRule type="dataBar" id="{DF8EA49A-0D81-4541-91FA-F424F007686A}">
            <x14:dataBar minLength="0" maxLength="100" border="1" gradient="0">
              <x14:cfvo type="num">
                <xm:f>0</xm:f>
              </x14:cfvo>
              <x14:cfvo type="num">
                <xm:f>1</xm:f>
              </x14:cfvo>
              <x14:borderColor theme="0"/>
              <x14:negativeFillColor rgb="FFFF0000"/>
              <x14:axisColor rgb="FF000000"/>
            </x14:dataBar>
          </x14:cfRule>
          <xm:sqref>J881</xm:sqref>
        </x14:conditionalFormatting>
        <x14:conditionalFormatting xmlns:xm="http://schemas.microsoft.com/office/excel/2006/main">
          <x14:cfRule type="dataBar" id="{1CB1DD90-47DC-4E4C-AAF8-B7700192C123}">
            <x14:dataBar minLength="0" maxLength="100" border="1" gradient="0">
              <x14:cfvo type="num">
                <xm:f>0</xm:f>
              </x14:cfvo>
              <x14:cfvo type="num">
                <xm:f>1</xm:f>
              </x14:cfvo>
              <x14:borderColor theme="0"/>
              <x14:negativeFillColor rgb="FFFF0000"/>
              <x14:axisColor rgb="FF000000"/>
            </x14:dataBar>
          </x14:cfRule>
          <xm:sqref>J883</xm:sqref>
        </x14:conditionalFormatting>
        <x14:conditionalFormatting xmlns:xm="http://schemas.microsoft.com/office/excel/2006/main">
          <x14:cfRule type="dataBar" id="{84B893DD-B509-4D2C-B8F0-29D7FBF6E06D}">
            <x14:dataBar minLength="0" maxLength="100" border="1" gradient="0">
              <x14:cfvo type="num">
                <xm:f>0</xm:f>
              </x14:cfvo>
              <x14:cfvo type="num">
                <xm:f>1</xm:f>
              </x14:cfvo>
              <x14:borderColor theme="0"/>
              <x14:negativeFillColor rgb="FFFF0000"/>
              <x14:axisColor rgb="FF000000"/>
            </x14:dataBar>
          </x14:cfRule>
          <xm:sqref>J886</xm:sqref>
        </x14:conditionalFormatting>
        <x14:conditionalFormatting xmlns:xm="http://schemas.microsoft.com/office/excel/2006/main">
          <x14:cfRule type="dataBar" id="{A39675B2-E59B-4B8D-B52D-6D2A5FA00C59}">
            <x14:dataBar minLength="0" maxLength="100" border="1" gradient="0">
              <x14:cfvo type="num">
                <xm:f>0</xm:f>
              </x14:cfvo>
              <x14:cfvo type="num">
                <xm:f>1</xm:f>
              </x14:cfvo>
              <x14:borderColor theme="0"/>
              <x14:negativeFillColor rgb="FFFF0000"/>
              <x14:axisColor rgb="FF000000"/>
            </x14:dataBar>
          </x14:cfRule>
          <xm:sqref>J888</xm:sqref>
        </x14:conditionalFormatting>
        <x14:conditionalFormatting xmlns:xm="http://schemas.microsoft.com/office/excel/2006/main">
          <x14:cfRule type="dataBar" id="{47F9CF43-DC83-4FF7-BF8E-FF0FD2D25F18}">
            <x14:dataBar minLength="0" maxLength="100" border="1" gradient="0">
              <x14:cfvo type="num">
                <xm:f>0</xm:f>
              </x14:cfvo>
              <x14:cfvo type="num">
                <xm:f>1</xm:f>
              </x14:cfvo>
              <x14:borderColor theme="0"/>
              <x14:negativeFillColor rgb="FFFF0000"/>
              <x14:axisColor rgb="FF000000"/>
            </x14:dataBar>
          </x14:cfRule>
          <xm:sqref>J890 J892</xm:sqref>
        </x14:conditionalFormatting>
        <x14:conditionalFormatting xmlns:xm="http://schemas.microsoft.com/office/excel/2006/main">
          <x14:cfRule type="dataBar" id="{528E0945-B33B-4E35-8604-8B4A48850F3C}">
            <x14:dataBar minLength="0" maxLength="100" border="1" gradient="0">
              <x14:cfvo type="num">
                <xm:f>0</xm:f>
              </x14:cfvo>
              <x14:cfvo type="num">
                <xm:f>1</xm:f>
              </x14:cfvo>
              <x14:borderColor theme="0"/>
              <x14:negativeFillColor rgb="FFFF0000"/>
              <x14:axisColor rgb="FF000000"/>
            </x14:dataBar>
          </x14:cfRule>
          <xm:sqref>J894</xm:sqref>
        </x14:conditionalFormatting>
        <x14:conditionalFormatting xmlns:xm="http://schemas.microsoft.com/office/excel/2006/main">
          <x14:cfRule type="dataBar" id="{2510548D-1D9B-46CD-87DE-83CD6B2D75AB}">
            <x14:dataBar minLength="0" maxLength="100" border="1" gradient="0">
              <x14:cfvo type="num">
                <xm:f>0</xm:f>
              </x14:cfvo>
              <x14:cfvo type="num">
                <xm:f>1</xm:f>
              </x14:cfvo>
              <x14:borderColor theme="0"/>
              <x14:negativeFillColor rgb="FFFF0000"/>
              <x14:axisColor rgb="FF000000"/>
            </x14:dataBar>
          </x14:cfRule>
          <xm:sqref>J896 J898</xm:sqref>
        </x14:conditionalFormatting>
        <x14:conditionalFormatting xmlns:xm="http://schemas.microsoft.com/office/excel/2006/main">
          <x14:cfRule type="dataBar" id="{FDFEE02D-9FE4-47A1-B93A-D8A61C998D7B}">
            <x14:dataBar minLength="0" maxLength="100" border="1" gradient="0">
              <x14:cfvo type="num">
                <xm:f>0</xm:f>
              </x14:cfvo>
              <x14:cfvo type="num">
                <xm:f>1</xm:f>
              </x14:cfvo>
              <x14:borderColor theme="0"/>
              <x14:negativeFillColor rgb="FFFF0000"/>
              <x14:axisColor rgb="FF000000"/>
            </x14:dataBar>
          </x14:cfRule>
          <xm:sqref>J900</xm:sqref>
        </x14:conditionalFormatting>
        <x14:conditionalFormatting xmlns:xm="http://schemas.microsoft.com/office/excel/2006/main">
          <x14:cfRule type="dataBar" id="{CA72C3F8-D1B0-4CF3-83D7-13D325259E32}">
            <x14:dataBar minLength="0" maxLength="100" border="1" gradient="0">
              <x14:cfvo type="num">
                <xm:f>0</xm:f>
              </x14:cfvo>
              <x14:cfvo type="num">
                <xm:f>1</xm:f>
              </x14:cfvo>
              <x14:borderColor theme="0"/>
              <x14:negativeFillColor rgb="FFFF0000"/>
              <x14:axisColor rgb="FF000000"/>
            </x14:dataBar>
          </x14:cfRule>
          <xm:sqref>J902 J904</xm:sqref>
        </x14:conditionalFormatting>
        <x14:conditionalFormatting xmlns:xm="http://schemas.microsoft.com/office/excel/2006/main">
          <x14:cfRule type="dataBar" id="{4F20F205-2860-4229-9127-8D02F515D195}">
            <x14:dataBar minLength="0" maxLength="100" border="1" gradient="0">
              <x14:cfvo type="num">
                <xm:f>0</xm:f>
              </x14:cfvo>
              <x14:cfvo type="num">
                <xm:f>1</xm:f>
              </x14:cfvo>
              <x14:borderColor theme="0"/>
              <x14:negativeFillColor rgb="FFFF0000"/>
              <x14:axisColor rgb="FF000000"/>
            </x14:dataBar>
          </x14:cfRule>
          <xm:sqref>J906</xm:sqref>
        </x14:conditionalFormatting>
        <x14:conditionalFormatting xmlns:xm="http://schemas.microsoft.com/office/excel/2006/main">
          <x14:cfRule type="dataBar" id="{9B89AF9B-A285-4A12-AD0D-A0B398A26367}">
            <x14:dataBar minLength="0" maxLength="100" border="1" gradient="0">
              <x14:cfvo type="num">
                <xm:f>0</xm:f>
              </x14:cfvo>
              <x14:cfvo type="num">
                <xm:f>1</xm:f>
              </x14:cfvo>
              <x14:borderColor theme="0"/>
              <x14:negativeFillColor rgb="FFFF0000"/>
              <x14:axisColor rgb="FF000000"/>
            </x14:dataBar>
          </x14:cfRule>
          <xm:sqref>J908 J910</xm:sqref>
        </x14:conditionalFormatting>
        <x14:conditionalFormatting xmlns:xm="http://schemas.microsoft.com/office/excel/2006/main">
          <x14:cfRule type="dataBar" id="{F1224300-FA80-4E33-B4DB-407D959AFB8C}">
            <x14:dataBar minLength="0" maxLength="100" border="1" gradient="0">
              <x14:cfvo type="num">
                <xm:f>0</xm:f>
              </x14:cfvo>
              <x14:cfvo type="num">
                <xm:f>1</xm:f>
              </x14:cfvo>
              <x14:borderColor theme="0"/>
              <x14:negativeFillColor rgb="FFFF0000"/>
              <x14:axisColor rgb="FF000000"/>
            </x14:dataBar>
          </x14:cfRule>
          <xm:sqref>J912</xm:sqref>
        </x14:conditionalFormatting>
        <x14:conditionalFormatting xmlns:xm="http://schemas.microsoft.com/office/excel/2006/main">
          <x14:cfRule type="dataBar" id="{6516FA5B-0B18-4A42-86C7-F00AEBA5DE08}">
            <x14:dataBar minLength="0" maxLength="100" border="1" gradient="0">
              <x14:cfvo type="num">
                <xm:f>0</xm:f>
              </x14:cfvo>
              <x14:cfvo type="num">
                <xm:f>1</xm:f>
              </x14:cfvo>
              <x14:borderColor theme="0"/>
              <x14:negativeFillColor rgb="FFFF0000"/>
              <x14:axisColor rgb="FF000000"/>
            </x14:dataBar>
          </x14:cfRule>
          <xm:sqref>J914 J916</xm:sqref>
        </x14:conditionalFormatting>
        <x14:conditionalFormatting xmlns:xm="http://schemas.microsoft.com/office/excel/2006/main">
          <x14:cfRule type="dataBar" id="{8FDD29B2-B8A7-4A9E-8A41-69C490F168CF}">
            <x14:dataBar minLength="0" maxLength="100" border="1" gradient="0">
              <x14:cfvo type="num">
                <xm:f>0</xm:f>
              </x14:cfvo>
              <x14:cfvo type="num">
                <xm:f>1</xm:f>
              </x14:cfvo>
              <x14:borderColor theme="0"/>
              <x14:negativeFillColor rgb="FFFF0000"/>
              <x14:axisColor rgb="FF000000"/>
            </x14:dataBar>
          </x14:cfRule>
          <xm:sqref>J918</xm:sqref>
        </x14:conditionalFormatting>
        <x14:conditionalFormatting xmlns:xm="http://schemas.microsoft.com/office/excel/2006/main">
          <x14:cfRule type="dataBar" id="{E4A8BD63-6A7B-4CE9-846B-6D4DFD2051A4}">
            <x14:dataBar minLength="0" maxLength="100" border="1" gradient="0">
              <x14:cfvo type="num">
                <xm:f>0</xm:f>
              </x14:cfvo>
              <x14:cfvo type="num">
                <xm:f>1</xm:f>
              </x14:cfvo>
              <x14:borderColor theme="0"/>
              <x14:negativeFillColor rgb="FFFF0000"/>
              <x14:axisColor rgb="FF000000"/>
            </x14:dataBar>
          </x14:cfRule>
          <xm:sqref>J920</xm:sqref>
        </x14:conditionalFormatting>
        <x14:conditionalFormatting xmlns:xm="http://schemas.microsoft.com/office/excel/2006/main">
          <x14:cfRule type="dataBar" id="{AC9BF030-8CF5-4B00-8A74-CEECC2D7B966}">
            <x14:dataBar minLength="0" maxLength="100" border="1" gradient="0">
              <x14:cfvo type="num">
                <xm:f>0</xm:f>
              </x14:cfvo>
              <x14:cfvo type="num">
                <xm:f>1</xm:f>
              </x14:cfvo>
              <x14:borderColor theme="0"/>
              <x14:negativeFillColor rgb="FFFF0000"/>
              <x14:axisColor rgb="FF000000"/>
            </x14:dataBar>
          </x14:cfRule>
          <xm:sqref>J924</xm:sqref>
        </x14:conditionalFormatting>
        <x14:conditionalFormatting xmlns:xm="http://schemas.microsoft.com/office/excel/2006/main">
          <x14:cfRule type="dataBar" id="{8A3436EF-98A6-44FB-8A47-C9B789E78E59}">
            <x14:dataBar minLength="0" maxLength="100" border="1" gradient="0">
              <x14:cfvo type="num">
                <xm:f>0</xm:f>
              </x14:cfvo>
              <x14:cfvo type="num">
                <xm:f>1</xm:f>
              </x14:cfvo>
              <x14:borderColor theme="0"/>
              <x14:negativeFillColor rgb="FFFF0000"/>
              <x14:axisColor rgb="FF000000"/>
            </x14:dataBar>
          </x14:cfRule>
          <xm:sqref>J926</xm:sqref>
        </x14:conditionalFormatting>
        <x14:conditionalFormatting xmlns:xm="http://schemas.microsoft.com/office/excel/2006/main">
          <x14:cfRule type="dataBar" id="{E0562CFB-004F-4D28-AE98-24DFBE14ED78}">
            <x14:dataBar minLength="0" maxLength="100" border="1" gradient="0">
              <x14:cfvo type="num">
                <xm:f>0</xm:f>
              </x14:cfvo>
              <x14:cfvo type="num">
                <xm:f>1</xm:f>
              </x14:cfvo>
              <x14:borderColor theme="0"/>
              <x14:negativeFillColor rgb="FFFF0000"/>
              <x14:axisColor rgb="FF000000"/>
            </x14:dataBar>
          </x14:cfRule>
          <xm:sqref>J928 J930</xm:sqref>
        </x14:conditionalFormatting>
        <x14:conditionalFormatting xmlns:xm="http://schemas.microsoft.com/office/excel/2006/main">
          <x14:cfRule type="dataBar" id="{EA0EFF3C-4D47-43FC-B306-08F4F22043B4}">
            <x14:dataBar minLength="0" maxLength="100" border="1" gradient="0">
              <x14:cfvo type="num">
                <xm:f>0</xm:f>
              </x14:cfvo>
              <x14:cfvo type="num">
                <xm:f>1</xm:f>
              </x14:cfvo>
              <x14:borderColor theme="0"/>
              <x14:negativeFillColor rgb="FFFF0000"/>
              <x14:axisColor rgb="FF000000"/>
            </x14:dataBar>
          </x14:cfRule>
          <xm:sqref>J932</xm:sqref>
        </x14:conditionalFormatting>
        <x14:conditionalFormatting xmlns:xm="http://schemas.microsoft.com/office/excel/2006/main">
          <x14:cfRule type="dataBar" id="{20C85902-1580-4D0D-9178-A348F2F6CBF4}">
            <x14:dataBar minLength="0" maxLength="100" border="1" gradient="0">
              <x14:cfvo type="num">
                <xm:f>0</xm:f>
              </x14:cfvo>
              <x14:cfvo type="num">
                <xm:f>1</xm:f>
              </x14:cfvo>
              <x14:borderColor theme="0"/>
              <x14:negativeFillColor rgb="FFFF0000"/>
              <x14:axisColor rgb="FF000000"/>
            </x14:dataBar>
          </x14:cfRule>
          <xm:sqref>J934 J936</xm:sqref>
        </x14:conditionalFormatting>
        <x14:conditionalFormatting xmlns:xm="http://schemas.microsoft.com/office/excel/2006/main">
          <x14:cfRule type="dataBar" id="{5E9446B4-B092-4973-8FAE-E0EE9A1A5160}">
            <x14:dataBar minLength="0" maxLength="100" border="1" gradient="0">
              <x14:cfvo type="num">
                <xm:f>0</xm:f>
              </x14:cfvo>
              <x14:cfvo type="num">
                <xm:f>1</xm:f>
              </x14:cfvo>
              <x14:borderColor theme="0"/>
              <x14:negativeFillColor rgb="FFFF0000"/>
              <x14:axisColor rgb="FF000000"/>
            </x14:dataBar>
          </x14:cfRule>
          <xm:sqref>J938</xm:sqref>
        </x14:conditionalFormatting>
        <x14:conditionalFormatting xmlns:xm="http://schemas.microsoft.com/office/excel/2006/main">
          <x14:cfRule type="dataBar" id="{8D2C0C11-A88F-4BEC-81FC-2F156B042ACC}">
            <x14:dataBar minLength="0" maxLength="100" border="1" gradient="0">
              <x14:cfvo type="num">
                <xm:f>0</xm:f>
              </x14:cfvo>
              <x14:cfvo type="num">
                <xm:f>1</xm:f>
              </x14:cfvo>
              <x14:borderColor theme="0"/>
              <x14:negativeFillColor rgb="FFFF0000"/>
              <x14:axisColor rgb="FF000000"/>
            </x14:dataBar>
          </x14:cfRule>
          <xm:sqref>J941</xm:sqref>
        </x14:conditionalFormatting>
        <x14:conditionalFormatting xmlns:xm="http://schemas.microsoft.com/office/excel/2006/main">
          <x14:cfRule type="dataBar" id="{D8E7D873-69A9-4F81-AB3A-E9384EE38E85}">
            <x14:dataBar minLength="0" maxLength="100" border="1" gradient="0">
              <x14:cfvo type="num">
                <xm:f>0</xm:f>
              </x14:cfvo>
              <x14:cfvo type="num">
                <xm:f>1</xm:f>
              </x14:cfvo>
              <x14:borderColor theme="0"/>
              <x14:negativeFillColor rgb="FFFF0000"/>
              <x14:axisColor rgb="FF000000"/>
            </x14:dataBar>
          </x14:cfRule>
          <xm:sqref>J943</xm:sqref>
        </x14:conditionalFormatting>
        <x14:conditionalFormatting xmlns:xm="http://schemas.microsoft.com/office/excel/2006/main">
          <x14:cfRule type="dataBar" id="{93B331C1-38CD-4DCD-BD23-C634077CD188}">
            <x14:dataBar minLength="0" maxLength="100" border="1" gradient="0">
              <x14:cfvo type="num">
                <xm:f>0</xm:f>
              </x14:cfvo>
              <x14:cfvo type="num">
                <xm:f>1</xm:f>
              </x14:cfvo>
              <x14:borderColor theme="0"/>
              <x14:negativeFillColor rgb="FFFF0000"/>
              <x14:axisColor rgb="FF000000"/>
            </x14:dataBar>
          </x14:cfRule>
          <xm:sqref>J945 J947</xm:sqref>
        </x14:conditionalFormatting>
        <x14:conditionalFormatting xmlns:xm="http://schemas.microsoft.com/office/excel/2006/main">
          <x14:cfRule type="dataBar" id="{B8903D14-5669-4249-86E5-FF5B4254A156}">
            <x14:dataBar minLength="0" maxLength="100" border="1" gradient="0">
              <x14:cfvo type="num">
                <xm:f>0</xm:f>
              </x14:cfvo>
              <x14:cfvo type="num">
                <xm:f>1</xm:f>
              </x14:cfvo>
              <x14:borderColor theme="0"/>
              <x14:negativeFillColor rgb="FFFF0000"/>
              <x14:axisColor rgb="FF000000"/>
            </x14:dataBar>
          </x14:cfRule>
          <xm:sqref>J949</xm:sqref>
        </x14:conditionalFormatting>
        <x14:conditionalFormatting xmlns:xm="http://schemas.microsoft.com/office/excel/2006/main">
          <x14:cfRule type="dataBar" id="{A799D09B-18C5-41C7-9B84-10B4BBA4183C}">
            <x14:dataBar minLength="0" maxLength="100" border="1" gradient="0">
              <x14:cfvo type="num">
                <xm:f>0</xm:f>
              </x14:cfvo>
              <x14:cfvo type="num">
                <xm:f>1</xm:f>
              </x14:cfvo>
              <x14:borderColor theme="0"/>
              <x14:negativeFillColor rgb="FFFF0000"/>
              <x14:axisColor rgb="FF000000"/>
            </x14:dataBar>
          </x14:cfRule>
          <xm:sqref>J951 J953</xm:sqref>
        </x14:conditionalFormatting>
        <x14:conditionalFormatting xmlns:xm="http://schemas.microsoft.com/office/excel/2006/main">
          <x14:cfRule type="dataBar" id="{9EE1B597-0764-470E-A2CD-2C09BE8DB5D3}">
            <x14:dataBar minLength="0" maxLength="100" border="1" gradient="0">
              <x14:cfvo type="num">
                <xm:f>0</xm:f>
              </x14:cfvo>
              <x14:cfvo type="num">
                <xm:f>1</xm:f>
              </x14:cfvo>
              <x14:borderColor theme="0"/>
              <x14:negativeFillColor rgb="FFFF0000"/>
              <x14:axisColor rgb="FF000000"/>
            </x14:dataBar>
          </x14:cfRule>
          <xm:sqref>J955</xm:sqref>
        </x14:conditionalFormatting>
        <x14:conditionalFormatting xmlns:xm="http://schemas.microsoft.com/office/excel/2006/main">
          <x14:cfRule type="dataBar" id="{63A50209-86F3-4B8E-B647-646054F20608}">
            <x14:dataBar minLength="0" maxLength="100" border="1" gradient="0">
              <x14:cfvo type="num">
                <xm:f>0</xm:f>
              </x14:cfvo>
              <x14:cfvo type="num">
                <xm:f>1</xm:f>
              </x14:cfvo>
              <x14:borderColor theme="0"/>
              <x14:negativeFillColor rgb="FFFF0000"/>
              <x14:axisColor rgb="FF000000"/>
            </x14:dataBar>
          </x14:cfRule>
          <xm:sqref>J957 J959</xm:sqref>
        </x14:conditionalFormatting>
        <x14:conditionalFormatting xmlns:xm="http://schemas.microsoft.com/office/excel/2006/main">
          <x14:cfRule type="dataBar" id="{A8734D69-DE01-4642-B094-F20B077C1682}">
            <x14:dataBar minLength="0" maxLength="100" border="1" gradient="0">
              <x14:cfvo type="num">
                <xm:f>0</xm:f>
              </x14:cfvo>
              <x14:cfvo type="num">
                <xm:f>1</xm:f>
              </x14:cfvo>
              <x14:borderColor theme="0"/>
              <x14:negativeFillColor rgb="FFFF0000"/>
              <x14:axisColor rgb="FF000000"/>
            </x14:dataBar>
          </x14:cfRule>
          <xm:sqref>J961</xm:sqref>
        </x14:conditionalFormatting>
        <x14:conditionalFormatting xmlns:xm="http://schemas.microsoft.com/office/excel/2006/main">
          <x14:cfRule type="dataBar" id="{55A659CC-5D4C-4F27-9F4E-657B56B3A3EE}">
            <x14:dataBar minLength="0" maxLength="100" border="1" gradient="0">
              <x14:cfvo type="num">
                <xm:f>0</xm:f>
              </x14:cfvo>
              <x14:cfvo type="num">
                <xm:f>1</xm:f>
              </x14:cfvo>
              <x14:borderColor theme="0"/>
              <x14:negativeFillColor rgb="FFFF0000"/>
              <x14:axisColor rgb="FF000000"/>
            </x14:dataBar>
          </x14:cfRule>
          <xm:sqref>J963 J965</xm:sqref>
        </x14:conditionalFormatting>
        <x14:conditionalFormatting xmlns:xm="http://schemas.microsoft.com/office/excel/2006/main">
          <x14:cfRule type="dataBar" id="{13F42880-702C-43AA-B635-7D3C5FA97416}">
            <x14:dataBar minLength="0" maxLength="100" border="1" gradient="0">
              <x14:cfvo type="num">
                <xm:f>0</xm:f>
              </x14:cfvo>
              <x14:cfvo type="num">
                <xm:f>1</xm:f>
              </x14:cfvo>
              <x14:borderColor theme="0"/>
              <x14:negativeFillColor rgb="FFFF0000"/>
              <x14:axisColor rgb="FF000000"/>
            </x14:dataBar>
          </x14:cfRule>
          <xm:sqref>J967</xm:sqref>
        </x14:conditionalFormatting>
        <x14:conditionalFormatting xmlns:xm="http://schemas.microsoft.com/office/excel/2006/main">
          <x14:cfRule type="dataBar" id="{5AA91DC7-5813-4D6B-BE2C-DB4BAD841D4A}">
            <x14:dataBar minLength="0" maxLength="100" border="1" gradient="0">
              <x14:cfvo type="num">
                <xm:f>0</xm:f>
              </x14:cfvo>
              <x14:cfvo type="num">
                <xm:f>1</xm:f>
              </x14:cfvo>
              <x14:borderColor theme="0"/>
              <x14:negativeFillColor rgb="FFFF0000"/>
              <x14:axisColor rgb="FF000000"/>
            </x14:dataBar>
          </x14:cfRule>
          <xm:sqref>J971</xm:sqref>
        </x14:conditionalFormatting>
        <x14:conditionalFormatting xmlns:xm="http://schemas.microsoft.com/office/excel/2006/main">
          <x14:cfRule type="dataBar" id="{6FBD5DD0-2367-4CA2-B7F0-BEAAD86B33F0}">
            <x14:dataBar minLength="0" maxLength="100" border="1" gradient="0">
              <x14:cfvo type="num">
                <xm:f>0</xm:f>
              </x14:cfvo>
              <x14:cfvo type="num">
                <xm:f>1</xm:f>
              </x14:cfvo>
              <x14:borderColor theme="0"/>
              <x14:negativeFillColor rgb="FFFF0000"/>
              <x14:axisColor rgb="FF000000"/>
            </x14:dataBar>
          </x14:cfRule>
          <xm:sqref>J973</xm:sqref>
        </x14:conditionalFormatting>
        <x14:conditionalFormatting xmlns:xm="http://schemas.microsoft.com/office/excel/2006/main">
          <x14:cfRule type="dataBar" id="{95D8672D-7E7B-40E8-8226-72E55298992C}">
            <x14:dataBar minLength="0" maxLength="100" border="1" gradient="0">
              <x14:cfvo type="num">
                <xm:f>0</xm:f>
              </x14:cfvo>
              <x14:cfvo type="num">
                <xm:f>1</xm:f>
              </x14:cfvo>
              <x14:borderColor theme="0"/>
              <x14:negativeFillColor rgb="FFFF0000"/>
              <x14:axisColor rgb="FF000000"/>
            </x14:dataBar>
          </x14:cfRule>
          <xm:sqref>J975</xm:sqref>
        </x14:conditionalFormatting>
        <x14:conditionalFormatting xmlns:xm="http://schemas.microsoft.com/office/excel/2006/main">
          <x14:cfRule type="dataBar" id="{10C854B6-A837-4176-834E-9EA0B7779CAE}">
            <x14:dataBar minLength="0" maxLength="100" border="1" gradient="0">
              <x14:cfvo type="num">
                <xm:f>0</xm:f>
              </x14:cfvo>
              <x14:cfvo type="num">
                <xm:f>1</xm:f>
              </x14:cfvo>
              <x14:borderColor theme="0"/>
              <x14:negativeFillColor rgb="FFFF0000"/>
              <x14:axisColor rgb="FF000000"/>
            </x14:dataBar>
          </x14:cfRule>
          <xm:sqref>J977</xm:sqref>
        </x14:conditionalFormatting>
        <x14:conditionalFormatting xmlns:xm="http://schemas.microsoft.com/office/excel/2006/main">
          <x14:cfRule type="dataBar" id="{EAA1F35A-7F1A-472B-B42F-25CC6C7831BB}">
            <x14:dataBar minLength="0" maxLength="100" border="1" gradient="0">
              <x14:cfvo type="num">
                <xm:f>0</xm:f>
              </x14:cfvo>
              <x14:cfvo type="num">
                <xm:f>1</xm:f>
              </x14:cfvo>
              <x14:borderColor theme="0"/>
              <x14:negativeFillColor rgb="FFFF0000"/>
              <x14:axisColor rgb="FF000000"/>
            </x14:dataBar>
          </x14:cfRule>
          <xm:sqref>J979</xm:sqref>
        </x14:conditionalFormatting>
        <x14:conditionalFormatting xmlns:xm="http://schemas.microsoft.com/office/excel/2006/main">
          <x14:cfRule type="dataBar" id="{70C8EC98-3A21-4BD1-9476-BBBC02671969}">
            <x14:dataBar minLength="0" maxLength="100" border="1" gradient="0">
              <x14:cfvo type="num">
                <xm:f>0</xm:f>
              </x14:cfvo>
              <x14:cfvo type="num">
                <xm:f>1</xm:f>
              </x14:cfvo>
              <x14:borderColor theme="0"/>
              <x14:negativeFillColor rgb="FFFF0000"/>
              <x14:axisColor rgb="FF000000"/>
            </x14:dataBar>
          </x14:cfRule>
          <xm:sqref>J981 J983</xm:sqref>
        </x14:conditionalFormatting>
        <x14:conditionalFormatting xmlns:xm="http://schemas.microsoft.com/office/excel/2006/main">
          <x14:cfRule type="dataBar" id="{43512741-0267-4DEC-AF6B-41417B178BBD}">
            <x14:dataBar minLength="0" maxLength="100" border="1" gradient="0">
              <x14:cfvo type="num">
                <xm:f>0</xm:f>
              </x14:cfvo>
              <x14:cfvo type="num">
                <xm:f>1</xm:f>
              </x14:cfvo>
              <x14:borderColor theme="0"/>
              <x14:negativeFillColor rgb="FFFF0000"/>
              <x14:axisColor rgb="FF000000"/>
            </x14:dataBar>
          </x14:cfRule>
          <xm:sqref>J985</xm:sqref>
        </x14:conditionalFormatting>
        <x14:conditionalFormatting xmlns:xm="http://schemas.microsoft.com/office/excel/2006/main">
          <x14:cfRule type="dataBar" id="{ADB34067-79DD-44CF-8D56-323AB3CEF00A}">
            <x14:dataBar minLength="0" maxLength="100" border="1" gradient="0">
              <x14:cfvo type="num">
                <xm:f>0</xm:f>
              </x14:cfvo>
              <x14:cfvo type="num">
                <xm:f>1</xm:f>
              </x14:cfvo>
              <x14:borderColor theme="0"/>
              <x14:negativeFillColor rgb="FFFF0000"/>
              <x14:axisColor rgb="FF000000"/>
            </x14:dataBar>
          </x14:cfRule>
          <xm:sqref>J987 J989</xm:sqref>
        </x14:conditionalFormatting>
        <x14:conditionalFormatting xmlns:xm="http://schemas.microsoft.com/office/excel/2006/main">
          <x14:cfRule type="dataBar" id="{CB53B97D-BB9D-4EE4-824E-51776BE0C103}">
            <x14:dataBar minLength="0" maxLength="100" border="1" gradient="0">
              <x14:cfvo type="num">
                <xm:f>0</xm:f>
              </x14:cfvo>
              <x14:cfvo type="num">
                <xm:f>1</xm:f>
              </x14:cfvo>
              <x14:borderColor theme="0"/>
              <x14:negativeFillColor rgb="FFFF0000"/>
              <x14:axisColor rgb="FF000000"/>
            </x14:dataBar>
          </x14:cfRule>
          <xm:sqref>J991</xm:sqref>
        </x14:conditionalFormatting>
        <x14:conditionalFormatting xmlns:xm="http://schemas.microsoft.com/office/excel/2006/main">
          <x14:cfRule type="dataBar" id="{1C1488F5-396A-4120-8A9E-D7B12FBEE493}">
            <x14:dataBar minLength="0" maxLength="100" border="1" gradient="0">
              <x14:cfvo type="num">
                <xm:f>0</xm:f>
              </x14:cfvo>
              <x14:cfvo type="num">
                <xm:f>1</xm:f>
              </x14:cfvo>
              <x14:borderColor theme="0"/>
              <x14:negativeFillColor rgb="FFFF0000"/>
              <x14:axisColor rgb="FF000000"/>
            </x14:dataBar>
          </x14:cfRule>
          <xm:sqref>J994</xm:sqref>
        </x14:conditionalFormatting>
        <x14:conditionalFormatting xmlns:xm="http://schemas.microsoft.com/office/excel/2006/main">
          <x14:cfRule type="dataBar" id="{93306AE1-AF4F-43E7-BA40-920844B1FD3C}">
            <x14:dataBar minLength="0" maxLength="100" border="1" gradient="0">
              <x14:cfvo type="num">
                <xm:f>0</xm:f>
              </x14:cfvo>
              <x14:cfvo type="num">
                <xm:f>1</xm:f>
              </x14:cfvo>
              <x14:borderColor theme="0"/>
              <x14:negativeFillColor rgb="FFFF0000"/>
              <x14:axisColor rgb="FF000000"/>
            </x14:dataBar>
          </x14:cfRule>
          <xm:sqref>J997</xm:sqref>
        </x14:conditionalFormatting>
        <x14:conditionalFormatting xmlns:xm="http://schemas.microsoft.com/office/excel/2006/main">
          <x14:cfRule type="dataBar" id="{7005D75E-F3E3-4B0A-A106-FACF6CF0FC85}">
            <x14:dataBar minLength="0" maxLength="100" border="1" gradient="0">
              <x14:cfvo type="num">
                <xm:f>0</xm:f>
              </x14:cfvo>
              <x14:cfvo type="num">
                <xm:f>1</xm:f>
              </x14:cfvo>
              <x14:borderColor theme="0"/>
              <x14:negativeFillColor rgb="FFFF0000"/>
              <x14:axisColor rgb="FF000000"/>
            </x14:dataBar>
          </x14:cfRule>
          <xm:sqref>J999 J1001 J1003</xm:sqref>
        </x14:conditionalFormatting>
        <x14:conditionalFormatting xmlns:xm="http://schemas.microsoft.com/office/excel/2006/main">
          <x14:cfRule type="dataBar" id="{A2A6A2B5-CB27-4057-A405-21BD0D482324}">
            <x14:dataBar minLength="0" maxLength="100" border="1" gradient="0">
              <x14:cfvo type="num">
                <xm:f>0</xm:f>
              </x14:cfvo>
              <x14:cfvo type="num">
                <xm:f>1</xm:f>
              </x14:cfvo>
              <x14:borderColor theme="0"/>
              <x14:negativeFillColor rgb="FFFF0000"/>
              <x14:axisColor rgb="FF000000"/>
            </x14:dataBar>
          </x14:cfRule>
          <xm:sqref>J1005</xm:sqref>
        </x14:conditionalFormatting>
        <x14:conditionalFormatting xmlns:xm="http://schemas.microsoft.com/office/excel/2006/main">
          <x14:cfRule type="dataBar" id="{E1341BE5-1312-4C12-89FF-FB6C65C2EF70}">
            <x14:dataBar minLength="0" maxLength="100" border="1" gradient="0">
              <x14:cfvo type="num">
                <xm:f>0</xm:f>
              </x14:cfvo>
              <x14:cfvo type="num">
                <xm:f>1</xm:f>
              </x14:cfvo>
              <x14:borderColor theme="0"/>
              <x14:negativeFillColor rgb="FFFF0000"/>
              <x14:axisColor rgb="FF000000"/>
            </x14:dataBar>
          </x14:cfRule>
          <xm:sqref>J1007</xm:sqref>
        </x14:conditionalFormatting>
        <x14:conditionalFormatting xmlns:xm="http://schemas.microsoft.com/office/excel/2006/main">
          <x14:cfRule type="dataBar" id="{8E80ACF0-EC43-44C9-B864-7DF5EC47948E}">
            <x14:dataBar minLength="0" maxLength="100" border="1" gradient="0">
              <x14:cfvo type="num">
                <xm:f>0</xm:f>
              </x14:cfvo>
              <x14:cfvo type="num">
                <xm:f>1</xm:f>
              </x14:cfvo>
              <x14:borderColor theme="0"/>
              <x14:negativeFillColor rgb="FFFF0000"/>
              <x14:axisColor rgb="FF000000"/>
            </x14:dataBar>
          </x14:cfRule>
          <xm:sqref>J1009</xm:sqref>
        </x14:conditionalFormatting>
        <x14:conditionalFormatting xmlns:xm="http://schemas.microsoft.com/office/excel/2006/main">
          <x14:cfRule type="dataBar" id="{EF25C8BB-6FAA-4477-9DE5-E9B39C6B66D1}">
            <x14:dataBar minLength="0" maxLength="100" border="1" gradient="0">
              <x14:cfvo type="num">
                <xm:f>0</xm:f>
              </x14:cfvo>
              <x14:cfvo type="num">
                <xm:f>1</xm:f>
              </x14:cfvo>
              <x14:borderColor theme="0"/>
              <x14:negativeFillColor rgb="FFFF0000"/>
              <x14:axisColor rgb="FF000000"/>
            </x14:dataBar>
          </x14:cfRule>
          <xm:sqref>J1011</xm:sqref>
        </x14:conditionalFormatting>
        <x14:conditionalFormatting xmlns:xm="http://schemas.microsoft.com/office/excel/2006/main">
          <x14:cfRule type="dataBar" id="{849BAF8E-F816-497E-8F3F-A624208A5ECF}">
            <x14:dataBar minLength="0" maxLength="100" border="1" gradient="0">
              <x14:cfvo type="num">
                <xm:f>0</xm:f>
              </x14:cfvo>
              <x14:cfvo type="num">
                <xm:f>1</xm:f>
              </x14:cfvo>
              <x14:borderColor theme="0"/>
              <x14:negativeFillColor rgb="FFFF0000"/>
              <x14:axisColor rgb="FF000000"/>
            </x14:dataBar>
          </x14:cfRule>
          <xm:sqref>J1013</xm:sqref>
        </x14:conditionalFormatting>
        <x14:conditionalFormatting xmlns:xm="http://schemas.microsoft.com/office/excel/2006/main">
          <x14:cfRule type="dataBar" id="{EA1F8DA5-3515-4657-BE61-9EFCE7AEDA93}">
            <x14:dataBar minLength="0" maxLength="100" border="1" gradient="0">
              <x14:cfvo type="num">
                <xm:f>0</xm:f>
              </x14:cfvo>
              <x14:cfvo type="num">
                <xm:f>1</xm:f>
              </x14:cfvo>
              <x14:borderColor theme="0"/>
              <x14:negativeFillColor rgb="FFFF0000"/>
              <x14:axisColor rgb="FF000000"/>
            </x14:dataBar>
          </x14:cfRule>
          <xm:sqref>J1015</xm:sqref>
        </x14:conditionalFormatting>
        <x14:conditionalFormatting xmlns:xm="http://schemas.microsoft.com/office/excel/2006/main">
          <x14:cfRule type="dataBar" id="{F38BF0A7-11B2-4B57-A54A-907876A68C63}">
            <x14:dataBar minLength="0" maxLength="100" border="1" gradient="0">
              <x14:cfvo type="num">
                <xm:f>0</xm:f>
              </x14:cfvo>
              <x14:cfvo type="num">
                <xm:f>1</xm:f>
              </x14:cfvo>
              <x14:borderColor theme="0"/>
              <x14:negativeFillColor rgb="FFFF0000"/>
              <x14:axisColor rgb="FF000000"/>
            </x14:dataBar>
          </x14:cfRule>
          <xm:sqref>J1017</xm:sqref>
        </x14:conditionalFormatting>
        <x14:conditionalFormatting xmlns:xm="http://schemas.microsoft.com/office/excel/2006/main">
          <x14:cfRule type="dataBar" id="{87A5886E-19D1-4FE5-94FF-F5BA59E2CBEB}">
            <x14:dataBar minLength="0" maxLength="100" border="1" gradient="0">
              <x14:cfvo type="num">
                <xm:f>0</xm:f>
              </x14:cfvo>
              <x14:cfvo type="num">
                <xm:f>1</xm:f>
              </x14:cfvo>
              <x14:borderColor theme="0"/>
              <x14:negativeFillColor rgb="FFFF0000"/>
              <x14:axisColor rgb="FF000000"/>
            </x14:dataBar>
          </x14:cfRule>
          <xm:sqref>J1020</xm:sqref>
        </x14:conditionalFormatting>
        <x14:conditionalFormatting xmlns:xm="http://schemas.microsoft.com/office/excel/2006/main">
          <x14:cfRule type="dataBar" id="{5D40C35B-38E7-413D-A37B-9CD123C9ACA5}">
            <x14:dataBar minLength="0" maxLength="100" border="1" gradient="0">
              <x14:cfvo type="num">
                <xm:f>0</xm:f>
              </x14:cfvo>
              <x14:cfvo type="num">
                <xm:f>1</xm:f>
              </x14:cfvo>
              <x14:borderColor theme="0"/>
              <x14:negativeFillColor rgb="FFFF0000"/>
              <x14:axisColor rgb="FF000000"/>
            </x14:dataBar>
          </x14:cfRule>
          <xm:sqref>J1022 J1024 J1026</xm:sqref>
        </x14:conditionalFormatting>
        <x14:conditionalFormatting xmlns:xm="http://schemas.microsoft.com/office/excel/2006/main">
          <x14:cfRule type="dataBar" id="{DC669A3C-EC18-4013-9BD0-DDAE51C7A555}">
            <x14:dataBar minLength="0" maxLength="100" border="1" gradient="0">
              <x14:cfvo type="num">
                <xm:f>0</xm:f>
              </x14:cfvo>
              <x14:cfvo type="num">
                <xm:f>1</xm:f>
              </x14:cfvo>
              <x14:borderColor theme="0"/>
              <x14:negativeFillColor rgb="FFFF0000"/>
              <x14:axisColor rgb="FF000000"/>
            </x14:dataBar>
          </x14:cfRule>
          <xm:sqref>J1028 J1030 J1032</xm:sqref>
        </x14:conditionalFormatting>
        <x14:conditionalFormatting xmlns:xm="http://schemas.microsoft.com/office/excel/2006/main">
          <x14:cfRule type="dataBar" id="{028DAEF0-C9E7-48A3-A902-D34D0E90A185}">
            <x14:dataBar minLength="0" maxLength="100" border="1" gradient="0">
              <x14:cfvo type="num">
                <xm:f>0</xm:f>
              </x14:cfvo>
              <x14:cfvo type="num">
                <xm:f>1</xm:f>
              </x14:cfvo>
              <x14:borderColor theme="0"/>
              <x14:negativeFillColor rgb="FFFF0000"/>
              <x14:axisColor rgb="FF000000"/>
            </x14:dataBar>
          </x14:cfRule>
          <xm:sqref>J1034 J1036 J1038</xm:sqref>
        </x14:conditionalFormatting>
        <x14:conditionalFormatting xmlns:xm="http://schemas.microsoft.com/office/excel/2006/main">
          <x14:cfRule type="dataBar" id="{CB869566-36A0-4E5F-B5CF-971348FE123F}">
            <x14:dataBar minLength="0" maxLength="100" border="1" gradient="0">
              <x14:cfvo type="num">
                <xm:f>0</xm:f>
              </x14:cfvo>
              <x14:cfvo type="num">
                <xm:f>1</xm:f>
              </x14:cfvo>
              <x14:borderColor theme="0"/>
              <x14:negativeFillColor rgb="FFFF0000"/>
              <x14:axisColor rgb="FF000000"/>
            </x14:dataBar>
          </x14:cfRule>
          <xm:sqref>J1040 J1042 J1044</xm:sqref>
        </x14:conditionalFormatting>
        <x14:conditionalFormatting xmlns:xm="http://schemas.microsoft.com/office/excel/2006/main">
          <x14:cfRule type="dataBar" id="{DDDB7181-9376-4B56-A7B6-A68D8B55FBF4}">
            <x14:dataBar minLength="0" maxLength="100" border="1" gradient="0">
              <x14:cfvo type="num">
                <xm:f>0</xm:f>
              </x14:cfvo>
              <x14:cfvo type="num">
                <xm:f>1</xm:f>
              </x14:cfvo>
              <x14:borderColor theme="0"/>
              <x14:negativeFillColor rgb="FFFF0000"/>
              <x14:axisColor rgb="FF000000"/>
            </x14:dataBar>
          </x14:cfRule>
          <xm:sqref>J1046 J1048 J1050</xm:sqref>
        </x14:conditionalFormatting>
        <x14:conditionalFormatting xmlns:xm="http://schemas.microsoft.com/office/excel/2006/main">
          <x14:cfRule type="dataBar" id="{86C341C4-D2D3-4DCA-BA83-42A1EA8A0ED5}">
            <x14:dataBar minLength="0" maxLength="100" border="1" gradient="0">
              <x14:cfvo type="num">
                <xm:f>0</xm:f>
              </x14:cfvo>
              <x14:cfvo type="num">
                <xm:f>1</xm:f>
              </x14:cfvo>
              <x14:borderColor theme="0"/>
              <x14:negativeFillColor rgb="FFFF0000"/>
              <x14:axisColor rgb="FF000000"/>
            </x14:dataBar>
          </x14:cfRule>
          <xm:sqref>J1052 J1054 J1056</xm:sqref>
        </x14:conditionalFormatting>
        <x14:conditionalFormatting xmlns:xm="http://schemas.microsoft.com/office/excel/2006/main">
          <x14:cfRule type="dataBar" id="{F29991BA-5D15-484F-B5A0-022152BEDB4D}">
            <x14:dataBar minLength="0" maxLength="100" border="1" gradient="0">
              <x14:cfvo type="num">
                <xm:f>0</xm:f>
              </x14:cfvo>
              <x14:cfvo type="num">
                <xm:f>1</xm:f>
              </x14:cfvo>
              <x14:borderColor theme="0"/>
              <x14:negativeFillColor rgb="FFFF0000"/>
              <x14:axisColor rgb="FF000000"/>
            </x14:dataBar>
          </x14:cfRule>
          <xm:sqref>J1058 J1060 J1062</xm:sqref>
        </x14:conditionalFormatting>
        <x14:conditionalFormatting xmlns:xm="http://schemas.microsoft.com/office/excel/2006/main">
          <x14:cfRule type="dataBar" id="{958C6C53-8FD8-4BB4-956F-674D2A5BA854}">
            <x14:dataBar minLength="0" maxLength="100" border="1" gradient="0">
              <x14:cfvo type="num">
                <xm:f>0</xm:f>
              </x14:cfvo>
              <x14:cfvo type="num">
                <xm:f>1</xm:f>
              </x14:cfvo>
              <x14:borderColor theme="0"/>
              <x14:negativeFillColor rgb="FFFF0000"/>
              <x14:axisColor rgb="FF000000"/>
            </x14:dataBar>
          </x14:cfRule>
          <xm:sqref>J1064 J1066 J1068</xm:sqref>
        </x14:conditionalFormatting>
        <x14:conditionalFormatting xmlns:xm="http://schemas.microsoft.com/office/excel/2006/main">
          <x14:cfRule type="dataBar" id="{D35DEDFB-03A4-4560-A608-09206F6819BD}">
            <x14:dataBar minLength="0" maxLength="100" border="1" gradient="0">
              <x14:cfvo type="num">
                <xm:f>0</xm:f>
              </x14:cfvo>
              <x14:cfvo type="num">
                <xm:f>1</xm:f>
              </x14:cfvo>
              <x14:borderColor theme="0"/>
              <x14:negativeFillColor rgb="FFFF0000"/>
              <x14:axisColor rgb="FF000000"/>
            </x14:dataBar>
          </x14:cfRule>
          <xm:sqref>J1070 J1072 J1074</xm:sqref>
        </x14:conditionalFormatting>
        <x14:conditionalFormatting xmlns:xm="http://schemas.microsoft.com/office/excel/2006/main">
          <x14:cfRule type="dataBar" id="{B688959B-8FFE-4801-A531-0C534AB433A1}">
            <x14:dataBar minLength="0" maxLength="100" border="1" gradient="0">
              <x14:cfvo type="num">
                <xm:f>0</xm:f>
              </x14:cfvo>
              <x14:cfvo type="num">
                <xm:f>1</xm:f>
              </x14:cfvo>
              <x14:borderColor theme="0"/>
              <x14:negativeFillColor rgb="FFFF0000"/>
              <x14:axisColor rgb="FF000000"/>
            </x14:dataBar>
          </x14:cfRule>
          <xm:sqref>J1076 J1080</xm:sqref>
        </x14:conditionalFormatting>
        <x14:conditionalFormatting xmlns:xm="http://schemas.microsoft.com/office/excel/2006/main">
          <x14:cfRule type="dataBar" id="{6CE09B02-74EB-4B79-A653-879BCD9C565F}">
            <x14:dataBar minLength="0" maxLength="100" border="1" gradient="0">
              <x14:cfvo type="num">
                <xm:f>0</xm:f>
              </x14:cfvo>
              <x14:cfvo type="num">
                <xm:f>1</xm:f>
              </x14:cfvo>
              <x14:borderColor theme="0"/>
              <x14:negativeFillColor rgb="FFFF0000"/>
              <x14:axisColor rgb="FF000000"/>
            </x14:dataBar>
          </x14:cfRule>
          <xm:sqref>J1078</xm:sqref>
        </x14:conditionalFormatting>
        <x14:conditionalFormatting xmlns:xm="http://schemas.microsoft.com/office/excel/2006/main">
          <x14:cfRule type="dataBar" id="{1372D929-418B-4E2C-BF2F-A647D46C5193}">
            <x14:dataBar minLength="0" maxLength="100" border="1" gradient="0">
              <x14:cfvo type="num">
                <xm:f>0</xm:f>
              </x14:cfvo>
              <x14:cfvo type="num">
                <xm:f>1</xm:f>
              </x14:cfvo>
              <x14:borderColor theme="0"/>
              <x14:negativeFillColor rgb="FFFF0000"/>
              <x14:axisColor rgb="FF000000"/>
            </x14:dataBar>
          </x14:cfRule>
          <xm:sqref>J1082</xm:sqref>
        </x14:conditionalFormatting>
        <x14:conditionalFormatting xmlns:xm="http://schemas.microsoft.com/office/excel/2006/main">
          <x14:cfRule type="dataBar" id="{699ACC42-5A32-4ED6-AA4D-2105CB958D28}">
            <x14:dataBar minLength="0" maxLength="100" border="1" gradient="0">
              <x14:cfvo type="num">
                <xm:f>0</xm:f>
              </x14:cfvo>
              <x14:cfvo type="num">
                <xm:f>1</xm:f>
              </x14:cfvo>
              <x14:borderColor theme="0"/>
              <x14:negativeFillColor rgb="FFFF0000"/>
              <x14:axisColor rgb="FF000000"/>
            </x14:dataBar>
          </x14:cfRule>
          <xm:sqref>J1085</xm:sqref>
        </x14:conditionalFormatting>
        <x14:conditionalFormatting xmlns:xm="http://schemas.microsoft.com/office/excel/2006/main">
          <x14:cfRule type="dataBar" id="{5E06967F-82DD-4694-A5C9-A92F90F94C40}">
            <x14:dataBar minLength="0" maxLength="100" border="1" gradient="0">
              <x14:cfvo type="num">
                <xm:f>0</xm:f>
              </x14:cfvo>
              <x14:cfvo type="num">
                <xm:f>1</xm:f>
              </x14:cfvo>
              <x14:borderColor theme="0"/>
              <x14:negativeFillColor rgb="FFFF0000"/>
              <x14:axisColor rgb="FF000000"/>
            </x14:dataBar>
          </x14:cfRule>
          <xm:sqref>J1087</xm:sqref>
        </x14:conditionalFormatting>
        <x14:conditionalFormatting xmlns:xm="http://schemas.microsoft.com/office/excel/2006/main">
          <x14:cfRule type="dataBar" id="{D740A43A-33D3-496F-98F0-D3172EB7A3A1}">
            <x14:dataBar minLength="0" maxLength="100" border="1" gradient="0">
              <x14:cfvo type="num">
                <xm:f>0</xm:f>
              </x14:cfvo>
              <x14:cfvo type="num">
                <xm:f>1</xm:f>
              </x14:cfvo>
              <x14:borderColor theme="0"/>
              <x14:negativeFillColor rgb="FFFF0000"/>
              <x14:axisColor rgb="FF000000"/>
            </x14:dataBar>
          </x14:cfRule>
          <xm:sqref>J1089 J1091 J1093 J1095 J1097 J1099 J1101 J1103</xm:sqref>
        </x14:conditionalFormatting>
        <x14:conditionalFormatting xmlns:xm="http://schemas.microsoft.com/office/excel/2006/main">
          <x14:cfRule type="dataBar" id="{C360997B-44FF-4FE4-B486-54AC5FE28037}">
            <x14:dataBar minLength="0" maxLength="100" border="1" gradient="0">
              <x14:cfvo type="num">
                <xm:f>0</xm:f>
              </x14:cfvo>
              <x14:cfvo type="num">
                <xm:f>1</xm:f>
              </x14:cfvo>
              <x14:borderColor theme="0"/>
              <x14:negativeFillColor rgb="FFFF0000"/>
              <x14:axisColor rgb="FF000000"/>
            </x14:dataBar>
          </x14:cfRule>
          <xm:sqref>J1105 J1107 J1109 J1111 J1113 J1115 J1117</xm:sqref>
        </x14:conditionalFormatting>
        <x14:conditionalFormatting xmlns:xm="http://schemas.microsoft.com/office/excel/2006/main">
          <x14:cfRule type="dataBar" id="{5DC4AF03-B9C5-4B4B-BA3A-6491DC52315A}">
            <x14:dataBar minLength="0" maxLength="100" border="1" gradient="0">
              <x14:cfvo type="num">
                <xm:f>0</xm:f>
              </x14:cfvo>
              <x14:cfvo type="num">
                <xm:f>1</xm:f>
              </x14:cfvo>
              <x14:borderColor theme="0"/>
              <x14:negativeFillColor rgb="FFFF0000"/>
              <x14:axisColor rgb="FF000000"/>
            </x14:dataBar>
          </x14:cfRule>
          <xm:sqref>J1119</xm:sqref>
        </x14:conditionalFormatting>
        <x14:conditionalFormatting xmlns:xm="http://schemas.microsoft.com/office/excel/2006/main">
          <x14:cfRule type="dataBar" id="{276E010C-8D41-493A-86C2-9005EF0F6DC8}">
            <x14:dataBar minLength="0" maxLength="100" border="1" gradient="0">
              <x14:cfvo type="num">
                <xm:f>0</xm:f>
              </x14:cfvo>
              <x14:cfvo type="num">
                <xm:f>1</xm:f>
              </x14:cfvo>
              <x14:borderColor theme="0"/>
              <x14:negativeFillColor rgb="FFFF0000"/>
              <x14:axisColor rgb="FF000000"/>
            </x14:dataBar>
          </x14:cfRule>
          <xm:sqref>J1121</xm:sqref>
        </x14:conditionalFormatting>
        <x14:conditionalFormatting xmlns:xm="http://schemas.microsoft.com/office/excel/2006/main">
          <x14:cfRule type="dataBar" id="{71338F94-2F42-45C2-ABE3-97F4836116E9}">
            <x14:dataBar minLength="0" maxLength="100" border="1" gradient="0">
              <x14:cfvo type="num">
                <xm:f>0</xm:f>
              </x14:cfvo>
              <x14:cfvo type="num">
                <xm:f>1</xm:f>
              </x14:cfvo>
              <x14:borderColor theme="0"/>
              <x14:negativeFillColor rgb="FFFF0000"/>
              <x14:axisColor rgb="FF000000"/>
            </x14:dataBar>
          </x14:cfRule>
          <xm:sqref>J1125</xm:sqref>
        </x14:conditionalFormatting>
        <x14:conditionalFormatting xmlns:xm="http://schemas.microsoft.com/office/excel/2006/main">
          <x14:cfRule type="dataBar" id="{F3DAD89D-7A14-413D-A7EC-90B095FC725F}">
            <x14:dataBar minLength="0" maxLength="100" border="1" gradient="0">
              <x14:cfvo type="num">
                <xm:f>0</xm:f>
              </x14:cfvo>
              <x14:cfvo type="num">
                <xm:f>1</xm:f>
              </x14:cfvo>
              <x14:borderColor theme="0"/>
              <x14:negativeFillColor rgb="FFFF0000"/>
              <x14:axisColor rgb="FF000000"/>
            </x14:dataBar>
          </x14:cfRule>
          <xm:sqref>J1128</xm:sqref>
        </x14:conditionalFormatting>
        <x14:conditionalFormatting xmlns:xm="http://schemas.microsoft.com/office/excel/2006/main">
          <x14:cfRule type="dataBar" id="{FACDF1E7-549D-4B63-813F-117A45069219}">
            <x14:dataBar minLength="0" maxLength="100" border="1" gradient="0">
              <x14:cfvo type="num">
                <xm:f>0</xm:f>
              </x14:cfvo>
              <x14:cfvo type="num">
                <xm:f>1</xm:f>
              </x14:cfvo>
              <x14:borderColor theme="0"/>
              <x14:negativeFillColor rgb="FFFF0000"/>
              <x14:axisColor rgb="FF000000"/>
            </x14:dataBar>
          </x14:cfRule>
          <xm:sqref>J1130 J1132 J1134</xm:sqref>
        </x14:conditionalFormatting>
        <x14:conditionalFormatting xmlns:xm="http://schemas.microsoft.com/office/excel/2006/main">
          <x14:cfRule type="dataBar" id="{9406D767-96AE-4D16-9D88-70F2ACB11DE1}">
            <x14:dataBar minLength="0" maxLength="100" border="1" gradient="0">
              <x14:cfvo type="num">
                <xm:f>0</xm:f>
              </x14:cfvo>
              <x14:cfvo type="num">
                <xm:f>1</xm:f>
              </x14:cfvo>
              <x14:borderColor theme="0"/>
              <x14:negativeFillColor rgb="FFFF0000"/>
              <x14:axisColor rgb="FF000000"/>
            </x14:dataBar>
          </x14:cfRule>
          <xm:sqref>J1136 J1138</xm:sqref>
        </x14:conditionalFormatting>
        <x14:conditionalFormatting xmlns:xm="http://schemas.microsoft.com/office/excel/2006/main">
          <x14:cfRule type="dataBar" id="{6CAD1410-CE0C-47CB-A69B-52FD9E9D802F}">
            <x14:dataBar minLength="0" maxLength="100" border="1" gradient="0">
              <x14:cfvo type="num">
                <xm:f>0</xm:f>
              </x14:cfvo>
              <x14:cfvo type="num">
                <xm:f>1</xm:f>
              </x14:cfvo>
              <x14:borderColor theme="0"/>
              <x14:negativeFillColor rgb="FFFF0000"/>
              <x14:axisColor rgb="FF000000"/>
            </x14:dataBar>
          </x14:cfRule>
          <xm:sqref>J1140 J1142 J1144</xm:sqref>
        </x14:conditionalFormatting>
        <x14:conditionalFormatting xmlns:xm="http://schemas.microsoft.com/office/excel/2006/main">
          <x14:cfRule type="dataBar" id="{F7611774-E67F-4DE3-965C-B389E20AB756}">
            <x14:dataBar minLength="0" maxLength="100" border="1" gradient="0">
              <x14:cfvo type="num">
                <xm:f>0</xm:f>
              </x14:cfvo>
              <x14:cfvo type="num">
                <xm:f>1</xm:f>
              </x14:cfvo>
              <x14:borderColor theme="0"/>
              <x14:negativeFillColor rgb="FFFF0000"/>
              <x14:axisColor rgb="FF000000"/>
            </x14:dataBar>
          </x14:cfRule>
          <xm:sqref>J1146 J1148 J1150</xm:sqref>
        </x14:conditionalFormatting>
        <x14:conditionalFormatting xmlns:xm="http://schemas.microsoft.com/office/excel/2006/main">
          <x14:cfRule type="dataBar" id="{2A86F0B4-14BA-44C8-A289-5421CF5FCB30}">
            <x14:dataBar minLength="0" maxLength="100" border="1" gradient="0">
              <x14:cfvo type="num">
                <xm:f>0</xm:f>
              </x14:cfvo>
              <x14:cfvo type="num">
                <xm:f>1</xm:f>
              </x14:cfvo>
              <x14:borderColor theme="0"/>
              <x14:negativeFillColor rgb="FFFF0000"/>
              <x14:axisColor rgb="FF000000"/>
            </x14:dataBar>
          </x14:cfRule>
          <xm:sqref>J1152 J1154 J1156</xm:sqref>
        </x14:conditionalFormatting>
        <x14:conditionalFormatting xmlns:xm="http://schemas.microsoft.com/office/excel/2006/main">
          <x14:cfRule type="dataBar" id="{70451C90-5454-404C-800C-13DC53770C72}">
            <x14:dataBar minLength="0" maxLength="100" border="1" gradient="0">
              <x14:cfvo type="num">
                <xm:f>0</xm:f>
              </x14:cfvo>
              <x14:cfvo type="num">
                <xm:f>1</xm:f>
              </x14:cfvo>
              <x14:borderColor theme="0"/>
              <x14:negativeFillColor rgb="FFFF0000"/>
              <x14:axisColor rgb="FF000000"/>
            </x14:dataBar>
          </x14:cfRule>
          <xm:sqref>J1158 J1160 J1162</xm:sqref>
        </x14:conditionalFormatting>
        <x14:conditionalFormatting xmlns:xm="http://schemas.microsoft.com/office/excel/2006/main">
          <x14:cfRule type="dataBar" id="{DF6AD551-FEDB-4962-9675-B2F8104E9A5B}">
            <x14:dataBar minLength="0" maxLength="100" border="1" gradient="0">
              <x14:cfvo type="num">
                <xm:f>0</xm:f>
              </x14:cfvo>
              <x14:cfvo type="num">
                <xm:f>1</xm:f>
              </x14:cfvo>
              <x14:borderColor theme="0"/>
              <x14:negativeFillColor rgb="FFFF0000"/>
              <x14:axisColor rgb="FF000000"/>
            </x14:dataBar>
          </x14:cfRule>
          <xm:sqref>J1164 J1166 J1168</xm:sqref>
        </x14:conditionalFormatting>
        <x14:conditionalFormatting xmlns:xm="http://schemas.microsoft.com/office/excel/2006/main">
          <x14:cfRule type="dataBar" id="{498F8CDE-8A69-4539-8FD9-E0CF58EE7462}">
            <x14:dataBar minLength="0" maxLength="100" border="1" gradient="0">
              <x14:cfvo type="num">
                <xm:f>0</xm:f>
              </x14:cfvo>
              <x14:cfvo type="num">
                <xm:f>1</xm:f>
              </x14:cfvo>
              <x14:borderColor theme="0"/>
              <x14:negativeFillColor rgb="FFFF0000"/>
              <x14:axisColor rgb="FF000000"/>
            </x14:dataBar>
          </x14:cfRule>
          <xm:sqref>J1170 J1172 J1174</xm:sqref>
        </x14:conditionalFormatting>
        <x14:conditionalFormatting xmlns:xm="http://schemas.microsoft.com/office/excel/2006/main">
          <x14:cfRule type="dataBar" id="{B66FA4E3-9067-476D-A09E-D1D43C4EC35D}">
            <x14:dataBar minLength="0" maxLength="100" border="1" gradient="0">
              <x14:cfvo type="num">
                <xm:f>0</xm:f>
              </x14:cfvo>
              <x14:cfvo type="num">
                <xm:f>1</xm:f>
              </x14:cfvo>
              <x14:borderColor theme="0"/>
              <x14:negativeFillColor rgb="FFFF0000"/>
              <x14:axisColor rgb="FF000000"/>
            </x14:dataBar>
          </x14:cfRule>
          <xm:sqref>J1176 J1178 J1180</xm:sqref>
        </x14:conditionalFormatting>
        <x14:conditionalFormatting xmlns:xm="http://schemas.microsoft.com/office/excel/2006/main">
          <x14:cfRule type="dataBar" id="{EB0A1F51-31BF-48B1-BCF1-BC7B41B06325}">
            <x14:dataBar minLength="0" maxLength="100" border="1" gradient="0">
              <x14:cfvo type="num">
                <xm:f>0</xm:f>
              </x14:cfvo>
              <x14:cfvo type="num">
                <xm:f>1</xm:f>
              </x14:cfvo>
              <x14:borderColor theme="0"/>
              <x14:negativeFillColor rgb="FFFF0000"/>
              <x14:axisColor rgb="FF000000"/>
            </x14:dataBar>
          </x14:cfRule>
          <xm:sqref>J1182 J1184 J1186</xm:sqref>
        </x14:conditionalFormatting>
        <x14:conditionalFormatting xmlns:xm="http://schemas.microsoft.com/office/excel/2006/main">
          <x14:cfRule type="dataBar" id="{62BA4527-9D25-47AC-AE8C-A8CF8783C175}">
            <x14:dataBar minLength="0" maxLength="100" border="1" gradient="0">
              <x14:cfvo type="num">
                <xm:f>0</xm:f>
              </x14:cfvo>
              <x14:cfvo type="num">
                <xm:f>1</xm:f>
              </x14:cfvo>
              <x14:borderColor theme="0"/>
              <x14:negativeFillColor rgb="FFFF0000"/>
              <x14:axisColor rgb="FF000000"/>
            </x14:dataBar>
          </x14:cfRule>
          <xm:sqref>J1188 J1190 J1192</xm:sqref>
        </x14:conditionalFormatting>
        <x14:conditionalFormatting xmlns:xm="http://schemas.microsoft.com/office/excel/2006/main">
          <x14:cfRule type="dataBar" id="{2C50B7FD-AEDC-43C1-83C1-141A2BFA6819}">
            <x14:dataBar minLength="0" maxLength="100" border="1" gradient="0">
              <x14:cfvo type="num">
                <xm:f>0</xm:f>
              </x14:cfvo>
              <x14:cfvo type="num">
                <xm:f>1</xm:f>
              </x14:cfvo>
              <x14:borderColor theme="0"/>
              <x14:negativeFillColor rgb="FFFF0000"/>
              <x14:axisColor rgb="FF000000"/>
            </x14:dataBar>
          </x14:cfRule>
          <xm:sqref>J1194 J1196</xm:sqref>
        </x14:conditionalFormatting>
        <x14:conditionalFormatting xmlns:xm="http://schemas.microsoft.com/office/excel/2006/main">
          <x14:cfRule type="dataBar" id="{6E02E5C6-FDB3-4244-90E6-918BC9C3D1F6}">
            <x14:dataBar minLength="0" maxLength="100" border="1" gradient="0">
              <x14:cfvo type="num">
                <xm:f>0</xm:f>
              </x14:cfvo>
              <x14:cfvo type="num">
                <xm:f>1</xm:f>
              </x14:cfvo>
              <x14:borderColor theme="0"/>
              <x14:negativeFillColor rgb="FFFF0000"/>
              <x14:axisColor rgb="FF000000"/>
            </x14:dataBar>
          </x14:cfRule>
          <xm:sqref>J1199</xm:sqref>
        </x14:conditionalFormatting>
        <x14:conditionalFormatting xmlns:xm="http://schemas.microsoft.com/office/excel/2006/main">
          <x14:cfRule type="dataBar" id="{D0D8C1CB-C19F-4D30-BDE7-DE48B6FC3365}">
            <x14:dataBar minLength="0" maxLength="100" border="1" gradient="0">
              <x14:cfvo type="num">
                <xm:f>0</xm:f>
              </x14:cfvo>
              <x14:cfvo type="num">
                <xm:f>1</xm:f>
              </x14:cfvo>
              <x14:borderColor theme="0"/>
              <x14:negativeFillColor rgb="FFFF0000"/>
              <x14:axisColor rgb="FF000000"/>
            </x14:dataBar>
          </x14:cfRule>
          <xm:sqref>J1201</xm:sqref>
        </x14:conditionalFormatting>
        <x14:conditionalFormatting xmlns:xm="http://schemas.microsoft.com/office/excel/2006/main">
          <x14:cfRule type="dataBar" id="{3F20E730-0BA3-4AD9-A5C6-07E4C6486BC2}">
            <x14:dataBar minLength="0" maxLength="100" border="1" gradient="0">
              <x14:cfvo type="num">
                <xm:f>0</xm:f>
              </x14:cfvo>
              <x14:cfvo type="num">
                <xm:f>1</xm:f>
              </x14:cfvo>
              <x14:borderColor theme="0"/>
              <x14:negativeFillColor rgb="FFFF0000"/>
              <x14:axisColor rgb="FF000000"/>
            </x14:dataBar>
          </x14:cfRule>
          <xm:sqref>J1203 J1205 J1207 J1209 J1211 J1213</xm:sqref>
        </x14:conditionalFormatting>
        <x14:conditionalFormatting xmlns:xm="http://schemas.microsoft.com/office/excel/2006/main">
          <x14:cfRule type="dataBar" id="{7A6D355C-9DC1-4267-9010-0F65B4CF3F2B}">
            <x14:dataBar minLength="0" maxLength="100" border="1" gradient="0">
              <x14:cfvo type="num">
                <xm:f>0</xm:f>
              </x14:cfvo>
              <x14:cfvo type="num">
                <xm:f>1</xm:f>
              </x14:cfvo>
              <x14:borderColor theme="0"/>
              <x14:negativeFillColor rgb="FFFF0000"/>
              <x14:axisColor rgb="FF000000"/>
            </x14:dataBar>
          </x14:cfRule>
          <xm:sqref>J1215 J1217 J1219 J1221 J1223 J1225</xm:sqref>
        </x14:conditionalFormatting>
        <x14:conditionalFormatting xmlns:xm="http://schemas.microsoft.com/office/excel/2006/main">
          <x14:cfRule type="dataBar" id="{65818297-1032-4D10-8FBA-B78FA8E87610}">
            <x14:dataBar minLength="0" maxLength="100" border="1" gradient="0">
              <x14:cfvo type="num">
                <xm:f>0</xm:f>
              </x14:cfvo>
              <x14:cfvo type="num">
                <xm:f>1</xm:f>
              </x14:cfvo>
              <x14:borderColor theme="0"/>
              <x14:negativeFillColor rgb="FFFF0000"/>
              <x14:axisColor rgb="FF000000"/>
            </x14:dataBar>
          </x14:cfRule>
          <xm:sqref>J1227</xm:sqref>
        </x14:conditionalFormatting>
        <x14:conditionalFormatting xmlns:xm="http://schemas.microsoft.com/office/excel/2006/main">
          <x14:cfRule type="dataBar" id="{55D7171D-F466-446E-8B48-6C93901EC8E5}">
            <x14:dataBar minLength="0" maxLength="100" border="1" gradient="0">
              <x14:cfvo type="num">
                <xm:f>0</xm:f>
              </x14:cfvo>
              <x14:cfvo type="num">
                <xm:f>1</xm:f>
              </x14:cfvo>
              <x14:borderColor theme="0"/>
              <x14:negativeFillColor rgb="FFFF0000"/>
              <x14:axisColor rgb="FF000000"/>
            </x14:dataBar>
          </x14:cfRule>
          <xm:sqref>J1229 J1231 J1233 J1235 J1237 J1239</xm:sqref>
        </x14:conditionalFormatting>
        <x14:conditionalFormatting xmlns:xm="http://schemas.microsoft.com/office/excel/2006/main">
          <x14:cfRule type="dataBar" id="{9935D594-5C37-45D0-98BD-32D33B9BEE89}">
            <x14:dataBar minLength="0" maxLength="100" border="1" gradient="0">
              <x14:cfvo type="num">
                <xm:f>0</xm:f>
              </x14:cfvo>
              <x14:cfvo type="num">
                <xm:f>1</xm:f>
              </x14:cfvo>
              <x14:borderColor theme="0"/>
              <x14:negativeFillColor rgb="FFFF0000"/>
              <x14:axisColor rgb="FF000000"/>
            </x14:dataBar>
          </x14:cfRule>
          <xm:sqref>J1241 J1243 J1245 J1247 J1249 J1251</xm:sqref>
        </x14:conditionalFormatting>
        <x14:conditionalFormatting xmlns:xm="http://schemas.microsoft.com/office/excel/2006/main">
          <x14:cfRule type="dataBar" id="{BB78FF37-D0BE-4B04-B3F0-B73CE4A46A8E}">
            <x14:dataBar minLength="0" maxLength="100" border="1" gradient="0">
              <x14:cfvo type="num">
                <xm:f>0</xm:f>
              </x14:cfvo>
              <x14:cfvo type="num">
                <xm:f>1</xm:f>
              </x14:cfvo>
              <x14:borderColor theme="0"/>
              <x14:negativeFillColor rgb="FFFF0000"/>
              <x14:axisColor rgb="FF000000"/>
            </x14:dataBar>
          </x14:cfRule>
          <xm:sqref>J1253</xm:sqref>
        </x14:conditionalFormatting>
        <x14:conditionalFormatting xmlns:xm="http://schemas.microsoft.com/office/excel/2006/main">
          <x14:cfRule type="dataBar" id="{FBA8CF13-1C51-4090-87FB-DE62FDC6F329}">
            <x14:dataBar minLength="0" maxLength="100" border="1" gradient="0">
              <x14:cfvo type="num">
                <xm:f>0</xm:f>
              </x14:cfvo>
              <x14:cfvo type="num">
                <xm:f>1</xm:f>
              </x14:cfvo>
              <x14:borderColor theme="0"/>
              <x14:negativeFillColor rgb="FFFF0000"/>
              <x14:axisColor rgb="FF000000"/>
            </x14:dataBar>
          </x14:cfRule>
          <xm:sqref>J1255 J1257 J1259 J1261 J1263 J1265</xm:sqref>
        </x14:conditionalFormatting>
        <x14:conditionalFormatting xmlns:xm="http://schemas.microsoft.com/office/excel/2006/main">
          <x14:cfRule type="dataBar" id="{BACBE979-AE3F-4666-9965-457EC892E558}">
            <x14:dataBar minLength="0" maxLength="100" border="1" gradient="0">
              <x14:cfvo type="num">
                <xm:f>0</xm:f>
              </x14:cfvo>
              <x14:cfvo type="num">
                <xm:f>1</xm:f>
              </x14:cfvo>
              <x14:borderColor theme="0"/>
              <x14:negativeFillColor rgb="FFFF0000"/>
              <x14:axisColor rgb="FF000000"/>
            </x14:dataBar>
          </x14:cfRule>
          <xm:sqref>J1267 J1269 J1271 J1273 J1275 J1277</xm:sqref>
        </x14:conditionalFormatting>
        <x14:conditionalFormatting xmlns:xm="http://schemas.microsoft.com/office/excel/2006/main">
          <x14:cfRule type="dataBar" id="{28AFCCA4-BE25-49E0-8690-3D8D7AD4D244}">
            <x14:dataBar minLength="0" maxLength="100" border="1" gradient="0">
              <x14:cfvo type="num">
                <xm:f>0</xm:f>
              </x14:cfvo>
              <x14:cfvo type="num">
                <xm:f>1</xm:f>
              </x14:cfvo>
              <x14:borderColor theme="0"/>
              <x14:negativeFillColor rgb="FFFF0000"/>
              <x14:axisColor rgb="FF000000"/>
            </x14:dataBar>
          </x14:cfRule>
          <xm:sqref>J1279</xm:sqref>
        </x14:conditionalFormatting>
        <x14:conditionalFormatting xmlns:xm="http://schemas.microsoft.com/office/excel/2006/main">
          <x14:cfRule type="dataBar" id="{571EEDE2-A65B-4873-BB1C-45EDC626AF49}">
            <x14:dataBar minLength="0" maxLength="100" border="1" gradient="0">
              <x14:cfvo type="num">
                <xm:f>0</xm:f>
              </x14:cfvo>
              <x14:cfvo type="num">
                <xm:f>1</xm:f>
              </x14:cfvo>
              <x14:borderColor theme="0"/>
              <x14:negativeFillColor rgb="FFFF0000"/>
              <x14:axisColor rgb="FF000000"/>
            </x14:dataBar>
          </x14:cfRule>
          <xm:sqref>J1281 J1283 J1285 J1287 J1289 J1291</xm:sqref>
        </x14:conditionalFormatting>
        <x14:conditionalFormatting xmlns:xm="http://schemas.microsoft.com/office/excel/2006/main">
          <x14:cfRule type="dataBar" id="{40FC348A-CE2F-4603-A7C9-2C05A2DEE2DD}">
            <x14:dataBar minLength="0" maxLength="100" border="1" gradient="0">
              <x14:cfvo type="num">
                <xm:f>0</xm:f>
              </x14:cfvo>
              <x14:cfvo type="num">
                <xm:f>1</xm:f>
              </x14:cfvo>
              <x14:borderColor theme="0"/>
              <x14:negativeFillColor rgb="FFFF0000"/>
              <x14:axisColor rgb="FF000000"/>
            </x14:dataBar>
          </x14:cfRule>
          <xm:sqref>J1293 J1295 J1297 J1299 J1301 J1303</xm:sqref>
        </x14:conditionalFormatting>
        <x14:conditionalFormatting xmlns:xm="http://schemas.microsoft.com/office/excel/2006/main">
          <x14:cfRule type="dataBar" id="{4E1AB6C9-22CF-4DBE-8067-7426647CFC11}">
            <x14:dataBar minLength="0" maxLength="100" border="1" gradient="0">
              <x14:cfvo type="num">
                <xm:f>0</xm:f>
              </x14:cfvo>
              <x14:cfvo type="num">
                <xm:f>1</xm:f>
              </x14:cfvo>
              <x14:borderColor theme="0"/>
              <x14:negativeFillColor rgb="FFFF0000"/>
              <x14:axisColor rgb="FF000000"/>
            </x14:dataBar>
          </x14:cfRule>
          <xm:sqref>J1305 J1307 J1309 J1311 J1313</xm:sqref>
        </x14:conditionalFormatting>
        <x14:conditionalFormatting xmlns:xm="http://schemas.microsoft.com/office/excel/2006/main">
          <x14:cfRule type="dataBar" id="{1A2ECBE7-339D-4791-AE3D-EE262AE26754}">
            <x14:dataBar minLength="0" maxLength="100" border="1" gradient="0">
              <x14:cfvo type="num">
                <xm:f>0</xm:f>
              </x14:cfvo>
              <x14:cfvo type="num">
                <xm:f>1</xm:f>
              </x14:cfvo>
              <x14:borderColor theme="0"/>
              <x14:negativeFillColor rgb="FFFF0000"/>
              <x14:axisColor rgb="FF000000"/>
            </x14:dataBar>
          </x14:cfRule>
          <xm:sqref>J1315 J1317 J1319 J1321 J1323 J1325</xm:sqref>
        </x14:conditionalFormatting>
        <x14:conditionalFormatting xmlns:xm="http://schemas.microsoft.com/office/excel/2006/main">
          <x14:cfRule type="dataBar" id="{4B7BAAA8-844B-4A9F-B448-75FF77C5D7D6}">
            <x14:dataBar minLength="0" maxLength="100" border="1" gradient="0">
              <x14:cfvo type="num">
                <xm:f>0</xm:f>
              </x14:cfvo>
              <x14:cfvo type="num">
                <xm:f>1</xm:f>
              </x14:cfvo>
              <x14:borderColor theme="0"/>
              <x14:negativeFillColor rgb="FFFF0000"/>
              <x14:axisColor rgb="FF000000"/>
            </x14:dataBar>
          </x14:cfRule>
          <xm:sqref>J1327 J1329 J1331 J1333 J1335</xm:sqref>
        </x14:conditionalFormatting>
        <x14:conditionalFormatting xmlns:xm="http://schemas.microsoft.com/office/excel/2006/main">
          <x14:cfRule type="dataBar" id="{DCF7A676-C331-403B-A60E-F5BA983C1C2E}">
            <x14:dataBar minLength="0" maxLength="100" border="1" gradient="0">
              <x14:cfvo type="num">
                <xm:f>0</xm:f>
              </x14:cfvo>
              <x14:cfvo type="num">
                <xm:f>1</xm:f>
              </x14:cfvo>
              <x14:borderColor theme="0"/>
              <x14:negativeFillColor rgb="FFFF0000"/>
              <x14:axisColor rgb="FF000000"/>
            </x14:dataBar>
          </x14:cfRule>
          <xm:sqref>J1337 J1339 J1341 J1343 J1345 J1347</xm:sqref>
        </x14:conditionalFormatting>
        <x14:conditionalFormatting xmlns:xm="http://schemas.microsoft.com/office/excel/2006/main">
          <x14:cfRule type="dataBar" id="{34F52806-BECE-45A1-A7DA-5C63B7002C15}">
            <x14:dataBar minLength="0" maxLength="100" border="1" gradient="0">
              <x14:cfvo type="num">
                <xm:f>0</xm:f>
              </x14:cfvo>
              <x14:cfvo type="num">
                <xm:f>1</xm:f>
              </x14:cfvo>
              <x14:borderColor theme="0"/>
              <x14:negativeFillColor rgb="FFFF0000"/>
              <x14:axisColor rgb="FF000000"/>
            </x14:dataBar>
          </x14:cfRule>
          <xm:sqref>J1349 J1351 J1353 J1355</xm:sqref>
        </x14:conditionalFormatting>
        <x14:conditionalFormatting xmlns:xm="http://schemas.microsoft.com/office/excel/2006/main">
          <x14:cfRule type="dataBar" id="{93113462-5A58-44EF-9676-65AAE84C278E}">
            <x14:dataBar minLength="0" maxLength="100" border="1" gradient="0">
              <x14:cfvo type="num">
                <xm:f>0</xm:f>
              </x14:cfvo>
              <x14:cfvo type="num">
                <xm:f>1</xm:f>
              </x14:cfvo>
              <x14:borderColor theme="0"/>
              <x14:negativeFillColor rgb="FFFF0000"/>
              <x14:axisColor rgb="FF000000"/>
            </x14:dataBar>
          </x14:cfRule>
          <xm:sqref>J1357</xm:sqref>
        </x14:conditionalFormatting>
        <x14:conditionalFormatting xmlns:xm="http://schemas.microsoft.com/office/excel/2006/main">
          <x14:cfRule type="dataBar" id="{7B6358FD-ACC9-4681-8F42-78E375BD2163}">
            <x14:dataBar minLength="0" maxLength="100" border="1" gradient="0">
              <x14:cfvo type="num">
                <xm:f>0</xm:f>
              </x14:cfvo>
              <x14:cfvo type="num">
                <xm:f>1</xm:f>
              </x14:cfvo>
              <x14:borderColor theme="0"/>
              <x14:negativeFillColor rgb="FFFF0000"/>
              <x14:axisColor rgb="FF000000"/>
            </x14:dataBar>
          </x14:cfRule>
          <xm:sqref>J1359</xm:sqref>
        </x14:conditionalFormatting>
        <x14:conditionalFormatting xmlns:xm="http://schemas.microsoft.com/office/excel/2006/main">
          <x14:cfRule type="dataBar" id="{64261B37-7195-42B8-9A14-53B0746EAC6F}">
            <x14:dataBar minLength="0" maxLength="100" border="1" gradient="0">
              <x14:cfvo type="num">
                <xm:f>0</xm:f>
              </x14:cfvo>
              <x14:cfvo type="num">
                <xm:f>1</xm:f>
              </x14:cfvo>
              <x14:borderColor theme="0"/>
              <x14:negativeFillColor rgb="FFFF0000"/>
              <x14:axisColor rgb="FF000000"/>
            </x14:dataBar>
          </x14:cfRule>
          <xm:sqref>J1362</xm:sqref>
        </x14:conditionalFormatting>
        <x14:conditionalFormatting xmlns:xm="http://schemas.microsoft.com/office/excel/2006/main">
          <x14:cfRule type="dataBar" id="{A86D8B20-16EE-4B5D-B8A2-F9D414653131}">
            <x14:dataBar minLength="0" maxLength="100" border="1" gradient="0">
              <x14:cfvo type="num">
                <xm:f>0</xm:f>
              </x14:cfvo>
              <x14:cfvo type="num">
                <xm:f>1</xm:f>
              </x14:cfvo>
              <x14:borderColor theme="0"/>
              <x14:negativeFillColor rgb="FFFF0000"/>
              <x14:axisColor rgb="FF000000"/>
            </x14:dataBar>
          </x14:cfRule>
          <xm:sqref>J1364 J1366 J1368 J1370 J1372 J1374 J1376 J1378 J1380 J1382 J1384</xm:sqref>
        </x14:conditionalFormatting>
        <x14:conditionalFormatting xmlns:xm="http://schemas.microsoft.com/office/excel/2006/main">
          <x14:cfRule type="dataBar" id="{9C0D92F6-445E-4AD0-8ACF-0FBDACC9A724}">
            <x14:dataBar minLength="0" maxLength="100" border="1" gradient="0">
              <x14:cfvo type="num">
                <xm:f>0</xm:f>
              </x14:cfvo>
              <x14:cfvo type="num">
                <xm:f>1</xm:f>
              </x14:cfvo>
              <x14:borderColor theme="0"/>
              <x14:negativeFillColor rgb="FFFF0000"/>
              <x14:axisColor rgb="FF000000"/>
            </x14:dataBar>
          </x14:cfRule>
          <xm:sqref>J1386 J1388 J1390 J1392 J1394 J1396 J1398 J1400 J1402 J1404 J1406</xm:sqref>
        </x14:conditionalFormatting>
        <x14:conditionalFormatting xmlns:xm="http://schemas.microsoft.com/office/excel/2006/main">
          <x14:cfRule type="dataBar" id="{9FF2D2C1-4C7E-484D-B040-4C5D14869CB9}">
            <x14:dataBar minLength="0" maxLength="100" border="1" gradient="0">
              <x14:cfvo type="num">
                <xm:f>0</xm:f>
              </x14:cfvo>
              <x14:cfvo type="num">
                <xm:f>1</xm:f>
              </x14:cfvo>
              <x14:borderColor theme="0"/>
              <x14:negativeFillColor rgb="FFFF0000"/>
              <x14:axisColor rgb="FF000000"/>
            </x14:dataBar>
          </x14:cfRule>
          <xm:sqref>J1408 J1410 J1412 J1414 J1416 J1418 J1420 J1422 J1424</xm:sqref>
        </x14:conditionalFormatting>
        <x14:conditionalFormatting xmlns:xm="http://schemas.microsoft.com/office/excel/2006/main">
          <x14:cfRule type="dataBar" id="{5BACF845-CE40-4664-A42E-88849FA11ED3}">
            <x14:dataBar minLength="0" maxLength="100" border="1" gradient="0">
              <x14:cfvo type="num">
                <xm:f>0</xm:f>
              </x14:cfvo>
              <x14:cfvo type="num">
                <xm:f>1</xm:f>
              </x14:cfvo>
              <x14:borderColor theme="0"/>
              <x14:negativeFillColor rgb="FFFF0000"/>
              <x14:axisColor rgb="FF000000"/>
            </x14:dataBar>
          </x14:cfRule>
          <xm:sqref>J1426 J1428 J1430 J1432 J1434 J1436</xm:sqref>
        </x14:conditionalFormatting>
        <x14:conditionalFormatting xmlns:xm="http://schemas.microsoft.com/office/excel/2006/main">
          <x14:cfRule type="dataBar" id="{D0242A49-B92A-4414-9CBE-2C40A94EDA1D}">
            <x14:dataBar minLength="0" maxLength="100" border="1" gradient="0">
              <x14:cfvo type="num">
                <xm:f>0</xm:f>
              </x14:cfvo>
              <x14:cfvo type="num">
                <xm:f>1</xm:f>
              </x14:cfvo>
              <x14:borderColor theme="0"/>
              <x14:negativeFillColor rgb="FFFF0000"/>
              <x14:axisColor rgb="FF000000"/>
            </x14:dataBar>
          </x14:cfRule>
          <xm:sqref>J1442</xm:sqref>
        </x14:conditionalFormatting>
        <x14:conditionalFormatting xmlns:xm="http://schemas.microsoft.com/office/excel/2006/main">
          <x14:cfRule type="dataBar" id="{17411421-D12D-4EDC-A5CD-0E5CA638D70E}">
            <x14:dataBar minLength="0" maxLength="100" border="1" gradient="0">
              <x14:cfvo type="num">
                <xm:f>0</xm:f>
              </x14:cfvo>
              <x14:cfvo type="num">
                <xm:f>1</xm:f>
              </x14:cfvo>
              <x14:borderColor theme="0"/>
              <x14:negativeFillColor rgb="FFFF0000"/>
              <x14:axisColor rgb="FF000000"/>
            </x14:dataBar>
          </x14:cfRule>
          <xm:sqref>J1445</xm:sqref>
        </x14:conditionalFormatting>
        <x14:conditionalFormatting xmlns:xm="http://schemas.microsoft.com/office/excel/2006/main">
          <x14:cfRule type="dataBar" id="{29D56FC6-D510-4245-9F8E-D23CDB917E1D}">
            <x14:dataBar minLength="0" maxLength="100" border="1" gradient="0">
              <x14:cfvo type="num">
                <xm:f>0</xm:f>
              </x14:cfvo>
              <x14:cfvo type="num">
                <xm:f>1</xm:f>
              </x14:cfvo>
              <x14:borderColor theme="0"/>
              <x14:negativeFillColor rgb="FFFF0000"/>
              <x14:axisColor rgb="FF000000"/>
            </x14:dataBar>
          </x14:cfRule>
          <xm:sqref>J1448</xm:sqref>
        </x14:conditionalFormatting>
        <x14:conditionalFormatting xmlns:xm="http://schemas.microsoft.com/office/excel/2006/main">
          <x14:cfRule type="dataBar" id="{B4962E80-659B-489A-B219-25F5A2DE0A4F}">
            <x14:dataBar minLength="0" maxLength="100" border="1" gradient="0">
              <x14:cfvo type="num">
                <xm:f>0</xm:f>
              </x14:cfvo>
              <x14:cfvo type="num">
                <xm:f>1</xm:f>
              </x14:cfvo>
              <x14:borderColor theme="0"/>
              <x14:negativeFillColor rgb="FFFF0000"/>
              <x14:axisColor rgb="FF000000"/>
            </x14:dataBar>
          </x14:cfRule>
          <xm:sqref>J1450</xm:sqref>
        </x14:conditionalFormatting>
        <x14:conditionalFormatting xmlns:xm="http://schemas.microsoft.com/office/excel/2006/main">
          <x14:cfRule type="dataBar" id="{19A99AE5-DE1C-4573-A416-D93C36D21383}">
            <x14:dataBar minLength="0" maxLength="100" border="1" gradient="0">
              <x14:cfvo type="num">
                <xm:f>0</xm:f>
              </x14:cfvo>
              <x14:cfvo type="num">
                <xm:f>1</xm:f>
              </x14:cfvo>
              <x14:borderColor theme="0"/>
              <x14:negativeFillColor rgb="FFFF0000"/>
              <x14:axisColor rgb="FF000000"/>
            </x14:dataBar>
          </x14:cfRule>
          <xm:sqref>J1452</xm:sqref>
        </x14:conditionalFormatting>
        <x14:conditionalFormatting xmlns:xm="http://schemas.microsoft.com/office/excel/2006/main">
          <x14:cfRule type="dataBar" id="{A97C17B1-E6E5-4146-A519-9C028A579942}">
            <x14:dataBar minLength="0" maxLength="100" border="1" gradient="0">
              <x14:cfvo type="num">
                <xm:f>0</xm:f>
              </x14:cfvo>
              <x14:cfvo type="num">
                <xm:f>1</xm:f>
              </x14:cfvo>
              <x14:borderColor theme="0"/>
              <x14:negativeFillColor rgb="FFFF0000"/>
              <x14:axisColor rgb="FF000000"/>
            </x14:dataBar>
          </x14:cfRule>
          <xm:sqref>J1454</xm:sqref>
        </x14:conditionalFormatting>
        <x14:conditionalFormatting xmlns:xm="http://schemas.microsoft.com/office/excel/2006/main">
          <x14:cfRule type="dataBar" id="{A378006D-F1AD-48C7-ADB8-1D04C1D85606}">
            <x14:dataBar minLength="0" maxLength="100" border="1" gradient="0">
              <x14:cfvo type="num">
                <xm:f>0</xm:f>
              </x14:cfvo>
              <x14:cfvo type="num">
                <xm:f>1</xm:f>
              </x14:cfvo>
              <x14:borderColor theme="0"/>
              <x14:negativeFillColor rgb="FFFF0000"/>
              <x14:axisColor rgb="FF000000"/>
            </x14:dataBar>
          </x14:cfRule>
          <xm:sqref>J1456 J1462 J1458 J1460 J1464 J1466</xm:sqref>
        </x14:conditionalFormatting>
        <x14:conditionalFormatting xmlns:xm="http://schemas.microsoft.com/office/excel/2006/main">
          <x14:cfRule type="dataBar" id="{5A400B0E-8B54-4A87-91FC-8017702AF3B2}">
            <x14:dataBar minLength="0" maxLength="100" border="1" gradient="0">
              <x14:cfvo type="num">
                <xm:f>0</xm:f>
              </x14:cfvo>
              <x14:cfvo type="num">
                <xm:f>1</xm:f>
              </x14:cfvo>
              <x14:borderColor theme="0"/>
              <x14:negativeFillColor rgb="FFFF0000"/>
              <x14:axisColor rgb="FF000000"/>
            </x14:dataBar>
          </x14:cfRule>
          <xm:sqref>J1468</xm:sqref>
        </x14:conditionalFormatting>
        <x14:conditionalFormatting xmlns:xm="http://schemas.microsoft.com/office/excel/2006/main">
          <x14:cfRule type="dataBar" id="{E945B241-5251-4D44-9294-1D00416A1360}">
            <x14:dataBar minLength="0" maxLength="100" border="1" gradient="0">
              <x14:cfvo type="num">
                <xm:f>0</xm:f>
              </x14:cfvo>
              <x14:cfvo type="num">
                <xm:f>1</xm:f>
              </x14:cfvo>
              <x14:borderColor theme="0"/>
              <x14:negativeFillColor rgb="FFFF0000"/>
              <x14:axisColor rgb="FF000000"/>
            </x14:dataBar>
          </x14:cfRule>
          <xm:sqref>J1470 J1472 J1474 J1476 J1478 J1480 J1482</xm:sqref>
        </x14:conditionalFormatting>
        <x14:conditionalFormatting xmlns:xm="http://schemas.microsoft.com/office/excel/2006/main">
          <x14:cfRule type="dataBar" id="{FCB10318-7077-4D59-ACFD-2A0421D6CEA4}">
            <x14:dataBar minLength="0" maxLength="100" border="1" gradient="0">
              <x14:cfvo type="num">
                <xm:f>0</xm:f>
              </x14:cfvo>
              <x14:cfvo type="num">
                <xm:f>1</xm:f>
              </x14:cfvo>
              <x14:borderColor theme="0"/>
              <x14:negativeFillColor rgb="FFFF0000"/>
              <x14:axisColor rgb="FF000000"/>
            </x14:dataBar>
          </x14:cfRule>
          <xm:sqref>J1484</xm:sqref>
        </x14:conditionalFormatting>
        <x14:conditionalFormatting xmlns:xm="http://schemas.microsoft.com/office/excel/2006/main">
          <x14:cfRule type="dataBar" id="{46410C07-8A8F-4132-9F65-5A7E437370B6}">
            <x14:dataBar minLength="0" maxLength="100" border="1" gradient="0">
              <x14:cfvo type="num">
                <xm:f>0</xm:f>
              </x14:cfvo>
              <x14:cfvo type="num">
                <xm:f>1</xm:f>
              </x14:cfvo>
              <x14:borderColor theme="0"/>
              <x14:negativeFillColor rgb="FFFF0000"/>
              <x14:axisColor rgb="FF000000"/>
            </x14:dataBar>
          </x14:cfRule>
          <xm:sqref>J1486 J1488 J1490 J1492 J1494 J1496 J1498</xm:sqref>
        </x14:conditionalFormatting>
        <x14:conditionalFormatting xmlns:xm="http://schemas.microsoft.com/office/excel/2006/main">
          <x14:cfRule type="dataBar" id="{77560BA2-5A12-4098-9902-19B2B4B5EA31}">
            <x14:dataBar minLength="0" maxLength="100" border="1" gradient="0">
              <x14:cfvo type="num">
                <xm:f>0</xm:f>
              </x14:cfvo>
              <x14:cfvo type="num">
                <xm:f>1</xm:f>
              </x14:cfvo>
              <x14:borderColor theme="0"/>
              <x14:negativeFillColor rgb="FFFF0000"/>
              <x14:axisColor rgb="FF000000"/>
            </x14:dataBar>
          </x14:cfRule>
          <xm:sqref>J1500</xm:sqref>
        </x14:conditionalFormatting>
        <x14:conditionalFormatting xmlns:xm="http://schemas.microsoft.com/office/excel/2006/main">
          <x14:cfRule type="dataBar" id="{FBE08F6C-B764-4A62-8CDA-9BA4F8B68558}">
            <x14:dataBar minLength="0" maxLength="100" border="1" gradient="0">
              <x14:cfvo type="num">
                <xm:f>0</xm:f>
              </x14:cfvo>
              <x14:cfvo type="num">
                <xm:f>1</xm:f>
              </x14:cfvo>
              <x14:borderColor theme="0"/>
              <x14:negativeFillColor rgb="FFFF0000"/>
              <x14:axisColor rgb="FF000000"/>
            </x14:dataBar>
          </x14:cfRule>
          <xm:sqref>J1502 J1504 J1506 J1508 J1510 J1512 J1514</xm:sqref>
        </x14:conditionalFormatting>
        <x14:conditionalFormatting xmlns:xm="http://schemas.microsoft.com/office/excel/2006/main">
          <x14:cfRule type="dataBar" id="{62A7BF6E-E374-4F1B-8292-154E4AAF2B8E}">
            <x14:dataBar minLength="0" maxLength="100" border="1" gradient="0">
              <x14:cfvo type="num">
                <xm:f>0</xm:f>
              </x14:cfvo>
              <x14:cfvo type="num">
                <xm:f>1</xm:f>
              </x14:cfvo>
              <x14:borderColor theme="0"/>
              <x14:negativeFillColor rgb="FFFF0000"/>
              <x14:axisColor rgb="FF000000"/>
            </x14:dataBar>
          </x14:cfRule>
          <xm:sqref>J1516</xm:sqref>
        </x14:conditionalFormatting>
        <x14:conditionalFormatting xmlns:xm="http://schemas.microsoft.com/office/excel/2006/main">
          <x14:cfRule type="dataBar" id="{12F6A60A-9AB7-4262-8082-012851D629F4}">
            <x14:dataBar minLength="0" maxLength="100" border="1" gradient="0">
              <x14:cfvo type="num">
                <xm:f>0</xm:f>
              </x14:cfvo>
              <x14:cfvo type="num">
                <xm:f>1</xm:f>
              </x14:cfvo>
              <x14:borderColor theme="0"/>
              <x14:negativeFillColor rgb="FFFF0000"/>
              <x14:axisColor rgb="FF000000"/>
            </x14:dataBar>
          </x14:cfRule>
          <xm:sqref>J1518 J1520</xm:sqref>
        </x14:conditionalFormatting>
        <x14:conditionalFormatting xmlns:xm="http://schemas.microsoft.com/office/excel/2006/main">
          <x14:cfRule type="dataBar" id="{AF767A73-81F7-4FA2-9D84-EB0400521D65}">
            <x14:dataBar minLength="0" maxLength="100" border="1" gradient="0">
              <x14:cfvo type="num">
                <xm:f>0</xm:f>
              </x14:cfvo>
              <x14:cfvo type="num">
                <xm:f>1</xm:f>
              </x14:cfvo>
              <x14:borderColor theme="0"/>
              <x14:negativeFillColor rgb="FFFF0000"/>
              <x14:axisColor rgb="FF000000"/>
            </x14:dataBar>
          </x14:cfRule>
          <xm:sqref>J1522</xm:sqref>
        </x14:conditionalFormatting>
        <x14:conditionalFormatting xmlns:xm="http://schemas.microsoft.com/office/excel/2006/main">
          <x14:cfRule type="dataBar" id="{FB2F52DD-A0DF-4267-AEC2-EE9B0932AB84}">
            <x14:dataBar minLength="0" maxLength="100" border="1" gradient="0">
              <x14:cfvo type="num">
                <xm:f>0</xm:f>
              </x14:cfvo>
              <x14:cfvo type="num">
                <xm:f>1</xm:f>
              </x14:cfvo>
              <x14:borderColor theme="0"/>
              <x14:negativeFillColor rgb="FFFF0000"/>
              <x14:axisColor rgb="FF000000"/>
            </x14:dataBar>
          </x14:cfRule>
          <xm:sqref>J1524</xm:sqref>
        </x14:conditionalFormatting>
        <x14:conditionalFormatting xmlns:xm="http://schemas.microsoft.com/office/excel/2006/main">
          <x14:cfRule type="dataBar" id="{8843A66C-BA8A-4FEB-90F6-5676229DBF66}">
            <x14:dataBar minLength="0" maxLength="100" border="1" gradient="0">
              <x14:cfvo type="num">
                <xm:f>0</xm:f>
              </x14:cfvo>
              <x14:cfvo type="num">
                <xm:f>1</xm:f>
              </x14:cfvo>
              <x14:borderColor theme="0"/>
              <x14:negativeFillColor rgb="FFFF0000"/>
              <x14:axisColor rgb="FF000000"/>
            </x14:dataBar>
          </x14:cfRule>
          <xm:sqref>J1526</xm:sqref>
        </x14:conditionalFormatting>
        <x14:conditionalFormatting xmlns:xm="http://schemas.microsoft.com/office/excel/2006/main">
          <x14:cfRule type="dataBar" id="{F90B0EB1-C559-40D7-B874-D123BA342478}">
            <x14:dataBar minLength="0" maxLength="100" border="1" gradient="0">
              <x14:cfvo type="num">
                <xm:f>0</xm:f>
              </x14:cfvo>
              <x14:cfvo type="num">
                <xm:f>1</xm:f>
              </x14:cfvo>
              <x14:borderColor theme="0"/>
              <x14:negativeFillColor rgb="FFFF0000"/>
              <x14:axisColor rgb="FF000000"/>
            </x14:dataBar>
          </x14:cfRule>
          <xm:sqref>J1528</xm:sqref>
        </x14:conditionalFormatting>
        <x14:conditionalFormatting xmlns:xm="http://schemas.microsoft.com/office/excel/2006/main">
          <x14:cfRule type="dataBar" id="{59BC0F3A-29A5-4642-A067-9858F4E347C5}">
            <x14:dataBar minLength="0" maxLength="100" border="1" gradient="0">
              <x14:cfvo type="num">
                <xm:f>0</xm:f>
              </x14:cfvo>
              <x14:cfvo type="num">
                <xm:f>1</xm:f>
              </x14:cfvo>
              <x14:borderColor theme="0"/>
              <x14:negativeFillColor rgb="FFFF0000"/>
              <x14:axisColor rgb="FF000000"/>
            </x14:dataBar>
          </x14:cfRule>
          <xm:sqref>J1531</xm:sqref>
        </x14:conditionalFormatting>
        <x14:conditionalFormatting xmlns:xm="http://schemas.microsoft.com/office/excel/2006/main">
          <x14:cfRule type="dataBar" id="{0F476570-3930-46F7-987E-843D125E2830}">
            <x14:dataBar minLength="0" maxLength="100" border="1" gradient="0">
              <x14:cfvo type="num">
                <xm:f>0</xm:f>
              </x14:cfvo>
              <x14:cfvo type="num">
                <xm:f>1</xm:f>
              </x14:cfvo>
              <x14:borderColor theme="0"/>
              <x14:negativeFillColor rgb="FFFF0000"/>
              <x14:axisColor rgb="FF000000"/>
            </x14:dataBar>
          </x14:cfRule>
          <xm:sqref>J1533</xm:sqref>
        </x14:conditionalFormatting>
        <x14:conditionalFormatting xmlns:xm="http://schemas.microsoft.com/office/excel/2006/main">
          <x14:cfRule type="dataBar" id="{9CD31CAB-FE42-4832-A358-7828EC5722B9}">
            <x14:dataBar minLength="0" maxLength="100" border="1" gradient="0">
              <x14:cfvo type="num">
                <xm:f>0</xm:f>
              </x14:cfvo>
              <x14:cfvo type="num">
                <xm:f>1</xm:f>
              </x14:cfvo>
              <x14:borderColor theme="0"/>
              <x14:negativeFillColor rgb="FFFF0000"/>
              <x14:axisColor rgb="FF000000"/>
            </x14:dataBar>
          </x14:cfRule>
          <xm:sqref>J1535</xm:sqref>
        </x14:conditionalFormatting>
        <x14:conditionalFormatting xmlns:xm="http://schemas.microsoft.com/office/excel/2006/main">
          <x14:cfRule type="dataBar" id="{4C46D369-5A8B-4111-BC6B-C1063EDD539F}">
            <x14:dataBar minLength="0" maxLength="100" border="1" gradient="0">
              <x14:cfvo type="num">
                <xm:f>0</xm:f>
              </x14:cfvo>
              <x14:cfvo type="num">
                <xm:f>1</xm:f>
              </x14:cfvo>
              <x14:borderColor theme="0"/>
              <x14:negativeFillColor rgb="FFFF0000"/>
              <x14:axisColor rgb="FF000000"/>
            </x14:dataBar>
          </x14:cfRule>
          <xm:sqref>J1537</xm:sqref>
        </x14:conditionalFormatting>
        <x14:conditionalFormatting xmlns:xm="http://schemas.microsoft.com/office/excel/2006/main">
          <x14:cfRule type="dataBar" id="{6D928053-071C-4E0F-9CBF-0B6BDEFA9026}">
            <x14:dataBar minLength="0" maxLength="100" border="1" gradient="0">
              <x14:cfvo type="num">
                <xm:f>0</xm:f>
              </x14:cfvo>
              <x14:cfvo type="num">
                <xm:f>1</xm:f>
              </x14:cfvo>
              <x14:borderColor theme="0"/>
              <x14:negativeFillColor rgb="FFFF0000"/>
              <x14:axisColor rgb="FF000000"/>
            </x14:dataBar>
          </x14:cfRule>
          <xm:sqref>J1539</xm:sqref>
        </x14:conditionalFormatting>
        <x14:conditionalFormatting xmlns:xm="http://schemas.microsoft.com/office/excel/2006/main">
          <x14:cfRule type="dataBar" id="{FEABC383-1076-4BC3-AEC9-6CE1CE5ABC7F}">
            <x14:dataBar minLength="0" maxLength="100" border="1" gradient="0">
              <x14:cfvo type="num">
                <xm:f>0</xm:f>
              </x14:cfvo>
              <x14:cfvo type="num">
                <xm:f>1</xm:f>
              </x14:cfvo>
              <x14:borderColor theme="0"/>
              <x14:negativeFillColor rgb="FFFF0000"/>
              <x14:axisColor rgb="FF000000"/>
            </x14:dataBar>
          </x14:cfRule>
          <xm:sqref>J1541</xm:sqref>
        </x14:conditionalFormatting>
        <x14:conditionalFormatting xmlns:xm="http://schemas.microsoft.com/office/excel/2006/main">
          <x14:cfRule type="dataBar" id="{10066448-F0CA-4D3C-9477-65379535EDAF}">
            <x14:dataBar minLength="0" maxLength="100" border="1" gradient="0">
              <x14:cfvo type="num">
                <xm:f>0</xm:f>
              </x14:cfvo>
              <x14:cfvo type="num">
                <xm:f>1</xm:f>
              </x14:cfvo>
              <x14:borderColor theme="0"/>
              <x14:negativeFillColor rgb="FFFF0000"/>
              <x14:axisColor rgb="FF000000"/>
            </x14:dataBar>
          </x14:cfRule>
          <xm:sqref>J1543</xm:sqref>
        </x14:conditionalFormatting>
        <x14:conditionalFormatting xmlns:xm="http://schemas.microsoft.com/office/excel/2006/main">
          <x14:cfRule type="dataBar" id="{EC70E6BA-D4D9-4EDE-B5FB-3B4F4B1011F5}">
            <x14:dataBar minLength="0" maxLength="100" border="1" gradient="0">
              <x14:cfvo type="num">
                <xm:f>0</xm:f>
              </x14:cfvo>
              <x14:cfvo type="num">
                <xm:f>1</xm:f>
              </x14:cfvo>
              <x14:borderColor theme="0"/>
              <x14:negativeFillColor rgb="FFFF0000"/>
              <x14:axisColor rgb="FF000000"/>
            </x14:dataBar>
          </x14:cfRule>
          <xm:sqref>J1545</xm:sqref>
        </x14:conditionalFormatting>
        <x14:conditionalFormatting xmlns:xm="http://schemas.microsoft.com/office/excel/2006/main">
          <x14:cfRule type="dataBar" id="{6B1A5BA0-81C1-403E-9859-E777ACEB5A35}">
            <x14:dataBar minLength="0" maxLength="100" border="1" gradient="0">
              <x14:cfvo type="num">
                <xm:f>0</xm:f>
              </x14:cfvo>
              <x14:cfvo type="num">
                <xm:f>1</xm:f>
              </x14:cfvo>
              <x14:borderColor theme="0"/>
              <x14:negativeFillColor rgb="FFFF0000"/>
              <x14:axisColor rgb="FF000000"/>
            </x14:dataBar>
          </x14:cfRule>
          <xm:sqref>J1547</xm:sqref>
        </x14:conditionalFormatting>
        <x14:conditionalFormatting xmlns:xm="http://schemas.microsoft.com/office/excel/2006/main">
          <x14:cfRule type="dataBar" id="{53CBC893-6BF4-4926-8CBA-6B33D34F08B3}">
            <x14:dataBar minLength="0" maxLength="100" border="1" gradient="0">
              <x14:cfvo type="num">
                <xm:f>0</xm:f>
              </x14:cfvo>
              <x14:cfvo type="num">
                <xm:f>1</xm:f>
              </x14:cfvo>
              <x14:borderColor theme="0"/>
              <x14:negativeFillColor rgb="FFFF0000"/>
              <x14:axisColor rgb="FF000000"/>
            </x14:dataBar>
          </x14:cfRule>
          <xm:sqref>J1549</xm:sqref>
        </x14:conditionalFormatting>
        <x14:conditionalFormatting xmlns:xm="http://schemas.microsoft.com/office/excel/2006/main">
          <x14:cfRule type="dataBar" id="{F9A79118-FB3C-4104-A59A-00E713E846A9}">
            <x14:dataBar minLength="0" maxLength="100" border="1" gradient="0">
              <x14:cfvo type="num">
                <xm:f>0</xm:f>
              </x14:cfvo>
              <x14:cfvo type="num">
                <xm:f>1</xm:f>
              </x14:cfvo>
              <x14:borderColor theme="0"/>
              <x14:negativeFillColor rgb="FFFF0000"/>
              <x14:axisColor rgb="FF000000"/>
            </x14:dataBar>
          </x14:cfRule>
          <xm:sqref>J1551</xm:sqref>
        </x14:conditionalFormatting>
        <x14:conditionalFormatting xmlns:xm="http://schemas.microsoft.com/office/excel/2006/main">
          <x14:cfRule type="dataBar" id="{8C4F739E-ED3A-4BF2-8CF8-7B104F17C381}">
            <x14:dataBar minLength="0" maxLength="100" border="1" gradient="0">
              <x14:cfvo type="num">
                <xm:f>0</xm:f>
              </x14:cfvo>
              <x14:cfvo type="num">
                <xm:f>1</xm:f>
              </x14:cfvo>
              <x14:borderColor theme="0"/>
              <x14:negativeFillColor rgb="FFFF0000"/>
              <x14:axisColor rgb="FF000000"/>
            </x14:dataBar>
          </x14:cfRule>
          <xm:sqref>J1553</xm:sqref>
        </x14:conditionalFormatting>
        <x14:conditionalFormatting xmlns:xm="http://schemas.microsoft.com/office/excel/2006/main">
          <x14:cfRule type="dataBar" id="{0E3BAEA0-B497-4BCF-AAD7-FCD67F19697B}">
            <x14:dataBar minLength="0" maxLength="100" border="1" gradient="0">
              <x14:cfvo type="num">
                <xm:f>0</xm:f>
              </x14:cfvo>
              <x14:cfvo type="num">
                <xm:f>1</xm:f>
              </x14:cfvo>
              <x14:borderColor theme="0"/>
              <x14:negativeFillColor rgb="FFFF0000"/>
              <x14:axisColor rgb="FF000000"/>
            </x14:dataBar>
          </x14:cfRule>
          <xm:sqref>J1555</xm:sqref>
        </x14:conditionalFormatting>
        <x14:conditionalFormatting xmlns:xm="http://schemas.microsoft.com/office/excel/2006/main">
          <x14:cfRule type="dataBar" id="{45D383AA-625C-4EE8-AD70-638A12BC26FA}">
            <x14:dataBar minLength="0" maxLength="100" border="1" gradient="0">
              <x14:cfvo type="num">
                <xm:f>0</xm:f>
              </x14:cfvo>
              <x14:cfvo type="num">
                <xm:f>1</xm:f>
              </x14:cfvo>
              <x14:borderColor theme="0"/>
              <x14:negativeFillColor rgb="FFFF0000"/>
              <x14:axisColor rgb="FF000000"/>
            </x14:dataBar>
          </x14:cfRule>
          <xm:sqref>J1557</xm:sqref>
        </x14:conditionalFormatting>
        <x14:conditionalFormatting xmlns:xm="http://schemas.microsoft.com/office/excel/2006/main">
          <x14:cfRule type="dataBar" id="{3669E18A-4BD4-4BD1-8F68-CFD17DD61C62}">
            <x14:dataBar minLength="0" maxLength="100" border="1" gradient="0">
              <x14:cfvo type="num">
                <xm:f>0</xm:f>
              </x14:cfvo>
              <x14:cfvo type="num">
                <xm:f>1</xm:f>
              </x14:cfvo>
              <x14:borderColor theme="0"/>
              <x14:negativeFillColor rgb="FFFF0000"/>
              <x14:axisColor rgb="FF000000"/>
            </x14:dataBar>
          </x14:cfRule>
          <xm:sqref>J1559</xm:sqref>
        </x14:conditionalFormatting>
        <x14:conditionalFormatting xmlns:xm="http://schemas.microsoft.com/office/excel/2006/main">
          <x14:cfRule type="dataBar" id="{C7F0645A-CF34-4995-B018-FE094CB55792}">
            <x14:dataBar minLength="0" maxLength="100" border="1" gradient="0">
              <x14:cfvo type="num">
                <xm:f>0</xm:f>
              </x14:cfvo>
              <x14:cfvo type="num">
                <xm:f>1</xm:f>
              </x14:cfvo>
              <x14:borderColor theme="0"/>
              <x14:negativeFillColor rgb="FFFF0000"/>
              <x14:axisColor rgb="FF000000"/>
            </x14:dataBar>
          </x14:cfRule>
          <xm:sqref>J1561</xm:sqref>
        </x14:conditionalFormatting>
        <x14:conditionalFormatting xmlns:xm="http://schemas.microsoft.com/office/excel/2006/main">
          <x14:cfRule type="dataBar" id="{D7A3E0B7-9C47-4A60-B485-DEECBDDA55C8}">
            <x14:dataBar minLength="0" maxLength="100" border="1" gradient="0">
              <x14:cfvo type="num">
                <xm:f>0</xm:f>
              </x14:cfvo>
              <x14:cfvo type="num">
                <xm:f>1</xm:f>
              </x14:cfvo>
              <x14:borderColor theme="0"/>
              <x14:negativeFillColor rgb="FFFF0000"/>
              <x14:axisColor rgb="FF000000"/>
            </x14:dataBar>
          </x14:cfRule>
          <xm:sqref>J1563</xm:sqref>
        </x14:conditionalFormatting>
        <x14:conditionalFormatting xmlns:xm="http://schemas.microsoft.com/office/excel/2006/main">
          <x14:cfRule type="dataBar" id="{F24F3DB4-B5F2-425E-A026-F98DDB696376}">
            <x14:dataBar minLength="0" maxLength="100" border="1" gradient="0">
              <x14:cfvo type="num">
                <xm:f>0</xm:f>
              </x14:cfvo>
              <x14:cfvo type="num">
                <xm:f>1</xm:f>
              </x14:cfvo>
              <x14:borderColor theme="0"/>
              <x14:negativeFillColor rgb="FFFF0000"/>
              <x14:axisColor rgb="FF000000"/>
            </x14:dataBar>
          </x14:cfRule>
          <xm:sqref>J1565</xm:sqref>
        </x14:conditionalFormatting>
        <x14:conditionalFormatting xmlns:xm="http://schemas.microsoft.com/office/excel/2006/main">
          <x14:cfRule type="dataBar" id="{738E2281-9844-4E94-9B55-FB55302E8281}">
            <x14:dataBar minLength="0" maxLength="100" border="1" gradient="0">
              <x14:cfvo type="num">
                <xm:f>0</xm:f>
              </x14:cfvo>
              <x14:cfvo type="num">
                <xm:f>1</xm:f>
              </x14:cfvo>
              <x14:borderColor theme="0"/>
              <x14:negativeFillColor rgb="FFFF0000"/>
              <x14:axisColor rgb="FF000000"/>
            </x14:dataBar>
          </x14:cfRule>
          <xm:sqref>J1567</xm:sqref>
        </x14:conditionalFormatting>
        <x14:conditionalFormatting xmlns:xm="http://schemas.microsoft.com/office/excel/2006/main">
          <x14:cfRule type="dataBar" id="{44893086-17C9-4345-8929-4432606C2BA4}">
            <x14:dataBar minLength="0" maxLength="100" border="1" gradient="0">
              <x14:cfvo type="num">
                <xm:f>0</xm:f>
              </x14:cfvo>
              <x14:cfvo type="num">
                <xm:f>1</xm:f>
              </x14:cfvo>
              <x14:borderColor theme="0"/>
              <x14:negativeFillColor rgb="FFFF0000"/>
              <x14:axisColor rgb="FF000000"/>
            </x14:dataBar>
          </x14:cfRule>
          <xm:sqref>J1569</xm:sqref>
        </x14:conditionalFormatting>
        <x14:conditionalFormatting xmlns:xm="http://schemas.microsoft.com/office/excel/2006/main">
          <x14:cfRule type="dataBar" id="{588169D5-F7DC-4064-A77D-B8752371A54F}">
            <x14:dataBar minLength="0" maxLength="100" border="1" gradient="0">
              <x14:cfvo type="num">
                <xm:f>0</xm:f>
              </x14:cfvo>
              <x14:cfvo type="num">
                <xm:f>1</xm:f>
              </x14:cfvo>
              <x14:borderColor theme="0"/>
              <x14:negativeFillColor rgb="FFFF0000"/>
              <x14:axisColor rgb="FF000000"/>
            </x14:dataBar>
          </x14:cfRule>
          <xm:sqref>J1571</xm:sqref>
        </x14:conditionalFormatting>
        <x14:conditionalFormatting xmlns:xm="http://schemas.microsoft.com/office/excel/2006/main">
          <x14:cfRule type="dataBar" id="{0D015145-190E-4D4D-9E1D-DE78FD521858}">
            <x14:dataBar minLength="0" maxLength="100" border="1" gradient="0">
              <x14:cfvo type="num">
                <xm:f>0</xm:f>
              </x14:cfvo>
              <x14:cfvo type="num">
                <xm:f>1</xm:f>
              </x14:cfvo>
              <x14:borderColor theme="0"/>
              <x14:negativeFillColor rgb="FFFF0000"/>
              <x14:axisColor rgb="FF000000"/>
            </x14:dataBar>
          </x14:cfRule>
          <xm:sqref>J1573</xm:sqref>
        </x14:conditionalFormatting>
        <x14:conditionalFormatting xmlns:xm="http://schemas.microsoft.com/office/excel/2006/main">
          <x14:cfRule type="dataBar" id="{A68CEB6B-89D4-4CE9-923A-F25E886D033D}">
            <x14:dataBar minLength="0" maxLength="100" border="1" gradient="0">
              <x14:cfvo type="num">
                <xm:f>0</xm:f>
              </x14:cfvo>
              <x14:cfvo type="num">
                <xm:f>1</xm:f>
              </x14:cfvo>
              <x14:borderColor theme="0"/>
              <x14:negativeFillColor rgb="FFFF0000"/>
              <x14:axisColor rgb="FF000000"/>
            </x14:dataBar>
          </x14:cfRule>
          <xm:sqref>J1575</xm:sqref>
        </x14:conditionalFormatting>
        <x14:conditionalFormatting xmlns:xm="http://schemas.microsoft.com/office/excel/2006/main">
          <x14:cfRule type="dataBar" id="{2D70A184-9365-4264-AF74-4DAC28670DB6}">
            <x14:dataBar minLength="0" maxLength="100" border="1" gradient="0">
              <x14:cfvo type="num">
                <xm:f>0</xm:f>
              </x14:cfvo>
              <x14:cfvo type="num">
                <xm:f>1</xm:f>
              </x14:cfvo>
              <x14:borderColor theme="0"/>
              <x14:negativeFillColor rgb="FFFF0000"/>
              <x14:axisColor rgb="FF000000"/>
            </x14:dataBar>
          </x14:cfRule>
          <xm:sqref>J1577</xm:sqref>
        </x14:conditionalFormatting>
        <x14:conditionalFormatting xmlns:xm="http://schemas.microsoft.com/office/excel/2006/main">
          <x14:cfRule type="dataBar" id="{208A9B8A-49BD-423F-895C-5B5EE7217684}">
            <x14:dataBar minLength="0" maxLength="100" border="1" gradient="0">
              <x14:cfvo type="num">
                <xm:f>0</xm:f>
              </x14:cfvo>
              <x14:cfvo type="num">
                <xm:f>1</xm:f>
              </x14:cfvo>
              <x14:borderColor theme="0"/>
              <x14:negativeFillColor rgb="FFFF0000"/>
              <x14:axisColor rgb="FF000000"/>
            </x14:dataBar>
          </x14:cfRule>
          <xm:sqref>J1579</xm:sqref>
        </x14:conditionalFormatting>
        <x14:conditionalFormatting xmlns:xm="http://schemas.microsoft.com/office/excel/2006/main">
          <x14:cfRule type="dataBar" id="{CA2D15EA-FBB7-4BF6-B936-403642B1BAE9}">
            <x14:dataBar minLength="0" maxLength="100" border="1" gradient="0">
              <x14:cfvo type="num">
                <xm:f>0</xm:f>
              </x14:cfvo>
              <x14:cfvo type="num">
                <xm:f>1</xm:f>
              </x14:cfvo>
              <x14:borderColor theme="0"/>
              <x14:negativeFillColor rgb="FFFF0000"/>
              <x14:axisColor rgb="FF000000"/>
            </x14:dataBar>
          </x14:cfRule>
          <xm:sqref>J1581</xm:sqref>
        </x14:conditionalFormatting>
        <x14:conditionalFormatting xmlns:xm="http://schemas.microsoft.com/office/excel/2006/main">
          <x14:cfRule type="dataBar" id="{F80C24F3-BE75-4EA0-9E8C-9AF0CCCC7E65}">
            <x14:dataBar minLength="0" maxLength="100" border="1" gradient="0">
              <x14:cfvo type="num">
                <xm:f>0</xm:f>
              </x14:cfvo>
              <x14:cfvo type="num">
                <xm:f>1</xm:f>
              </x14:cfvo>
              <x14:borderColor theme="0"/>
              <x14:negativeFillColor rgb="FFFF0000"/>
              <x14:axisColor rgb="FF000000"/>
            </x14:dataBar>
          </x14:cfRule>
          <xm:sqref>J1583</xm:sqref>
        </x14:conditionalFormatting>
        <x14:conditionalFormatting xmlns:xm="http://schemas.microsoft.com/office/excel/2006/main">
          <x14:cfRule type="dataBar" id="{6FDBC806-1A57-46BF-9DEF-C0C73F9EA889}">
            <x14:dataBar minLength="0" maxLength="100" border="1" gradient="0">
              <x14:cfvo type="num">
                <xm:f>0</xm:f>
              </x14:cfvo>
              <x14:cfvo type="num">
                <xm:f>1</xm:f>
              </x14:cfvo>
              <x14:borderColor theme="0"/>
              <x14:negativeFillColor rgb="FFFF0000"/>
              <x14:axisColor rgb="FF000000"/>
            </x14:dataBar>
          </x14:cfRule>
          <xm:sqref>J1585</xm:sqref>
        </x14:conditionalFormatting>
        <x14:conditionalFormatting xmlns:xm="http://schemas.microsoft.com/office/excel/2006/main">
          <x14:cfRule type="dataBar" id="{74F3D7FB-5F81-438D-AF42-DCCC8D7B202D}">
            <x14:dataBar minLength="0" maxLength="100" border="1" gradient="0">
              <x14:cfvo type="num">
                <xm:f>0</xm:f>
              </x14:cfvo>
              <x14:cfvo type="num">
                <xm:f>1</xm:f>
              </x14:cfvo>
              <x14:borderColor theme="0"/>
              <x14:negativeFillColor rgb="FFFF0000"/>
              <x14:axisColor rgb="FF000000"/>
            </x14:dataBar>
          </x14:cfRule>
          <xm:sqref>J1587</xm:sqref>
        </x14:conditionalFormatting>
        <x14:conditionalFormatting xmlns:xm="http://schemas.microsoft.com/office/excel/2006/main">
          <x14:cfRule type="dataBar" id="{B9980A72-D13E-43A6-BFAA-FE14A03A1DCA}">
            <x14:dataBar minLength="0" maxLength="100" border="1" gradient="0">
              <x14:cfvo type="num">
                <xm:f>0</xm:f>
              </x14:cfvo>
              <x14:cfvo type="num">
                <xm:f>1</xm:f>
              </x14:cfvo>
              <x14:borderColor theme="0"/>
              <x14:negativeFillColor rgb="FFFF0000"/>
              <x14:axisColor rgb="FF000000"/>
            </x14:dataBar>
          </x14:cfRule>
          <xm:sqref>J1589</xm:sqref>
        </x14:conditionalFormatting>
        <x14:conditionalFormatting xmlns:xm="http://schemas.microsoft.com/office/excel/2006/main">
          <x14:cfRule type="dataBar" id="{4AEEE479-BA8C-454A-BB08-EF615B6ACCB7}">
            <x14:dataBar minLength="0" maxLength="100" border="1" gradient="0">
              <x14:cfvo type="num">
                <xm:f>0</xm:f>
              </x14:cfvo>
              <x14:cfvo type="num">
                <xm:f>1</xm:f>
              </x14:cfvo>
              <x14:borderColor theme="0"/>
              <x14:negativeFillColor rgb="FFFF0000"/>
              <x14:axisColor rgb="FF000000"/>
            </x14:dataBar>
          </x14:cfRule>
          <xm:sqref>J1591</xm:sqref>
        </x14:conditionalFormatting>
        <x14:conditionalFormatting xmlns:xm="http://schemas.microsoft.com/office/excel/2006/main">
          <x14:cfRule type="dataBar" id="{1D8E092B-2B1D-40EF-8453-73B2A2D653D8}">
            <x14:dataBar minLength="0" maxLength="100" border="1" gradient="0">
              <x14:cfvo type="num">
                <xm:f>0</xm:f>
              </x14:cfvo>
              <x14:cfvo type="num">
                <xm:f>1</xm:f>
              </x14:cfvo>
              <x14:borderColor theme="0"/>
              <x14:negativeFillColor rgb="FFFF0000"/>
              <x14:axisColor rgb="FF000000"/>
            </x14:dataBar>
          </x14:cfRule>
          <xm:sqref>J1593</xm:sqref>
        </x14:conditionalFormatting>
        <x14:conditionalFormatting xmlns:xm="http://schemas.microsoft.com/office/excel/2006/main">
          <x14:cfRule type="dataBar" id="{3E42921F-9442-4A97-9150-E4D477B291F0}">
            <x14:dataBar minLength="0" maxLength="100" border="1" gradient="0">
              <x14:cfvo type="num">
                <xm:f>0</xm:f>
              </x14:cfvo>
              <x14:cfvo type="num">
                <xm:f>1</xm:f>
              </x14:cfvo>
              <x14:borderColor theme="0"/>
              <x14:negativeFillColor rgb="FFFF0000"/>
              <x14:axisColor rgb="FF000000"/>
            </x14:dataBar>
          </x14:cfRule>
          <xm:sqref>J1595</xm:sqref>
        </x14:conditionalFormatting>
        <x14:conditionalFormatting xmlns:xm="http://schemas.microsoft.com/office/excel/2006/main">
          <x14:cfRule type="dataBar" id="{BF5A493B-D4DF-44DA-AD35-CD84EAAE13B1}">
            <x14:dataBar minLength="0" maxLength="100" border="1" gradient="0">
              <x14:cfvo type="num">
                <xm:f>0</xm:f>
              </x14:cfvo>
              <x14:cfvo type="num">
                <xm:f>1</xm:f>
              </x14:cfvo>
              <x14:borderColor theme="0"/>
              <x14:negativeFillColor rgb="FFFF0000"/>
              <x14:axisColor rgb="FF000000"/>
            </x14:dataBar>
          </x14:cfRule>
          <xm:sqref>J1597</xm:sqref>
        </x14:conditionalFormatting>
        <x14:conditionalFormatting xmlns:xm="http://schemas.microsoft.com/office/excel/2006/main">
          <x14:cfRule type="dataBar" id="{EBAD9497-75AF-473B-BEAE-513A746933D4}">
            <x14:dataBar minLength="0" maxLength="100" border="1" gradient="0">
              <x14:cfvo type="num">
                <xm:f>0</xm:f>
              </x14:cfvo>
              <x14:cfvo type="num">
                <xm:f>1</xm:f>
              </x14:cfvo>
              <x14:borderColor theme="0"/>
              <x14:negativeFillColor rgb="FFFF0000"/>
              <x14:axisColor rgb="FF000000"/>
            </x14:dataBar>
          </x14:cfRule>
          <xm:sqref>J1599</xm:sqref>
        </x14:conditionalFormatting>
        <x14:conditionalFormatting xmlns:xm="http://schemas.microsoft.com/office/excel/2006/main">
          <x14:cfRule type="dataBar" id="{7EE0B243-D375-4169-9831-57628F20E9A3}">
            <x14:dataBar minLength="0" maxLength="100" border="1" gradient="0">
              <x14:cfvo type="num">
                <xm:f>0</xm:f>
              </x14:cfvo>
              <x14:cfvo type="num">
                <xm:f>1</xm:f>
              </x14:cfvo>
              <x14:borderColor theme="0"/>
              <x14:negativeFillColor rgb="FFFF0000"/>
              <x14:axisColor rgb="FF000000"/>
            </x14:dataBar>
          </x14:cfRule>
          <xm:sqref>J1601</xm:sqref>
        </x14:conditionalFormatting>
        <x14:conditionalFormatting xmlns:xm="http://schemas.microsoft.com/office/excel/2006/main">
          <x14:cfRule type="dataBar" id="{45A91538-E884-4CE1-B545-80CE09F2861F}">
            <x14:dataBar minLength="0" maxLength="100" border="1" gradient="0">
              <x14:cfvo type="num">
                <xm:f>0</xm:f>
              </x14:cfvo>
              <x14:cfvo type="num">
                <xm:f>1</xm:f>
              </x14:cfvo>
              <x14:borderColor theme="0"/>
              <x14:negativeFillColor rgb="FFFF0000"/>
              <x14:axisColor rgb="FF000000"/>
            </x14:dataBar>
          </x14:cfRule>
          <xm:sqref>J1603</xm:sqref>
        </x14:conditionalFormatting>
        <x14:conditionalFormatting xmlns:xm="http://schemas.microsoft.com/office/excel/2006/main">
          <x14:cfRule type="dataBar" id="{C8D65686-6963-4C34-9681-CD26B7FC3F6A}">
            <x14:dataBar minLength="0" maxLength="100" border="1" gradient="0">
              <x14:cfvo type="num">
                <xm:f>0</xm:f>
              </x14:cfvo>
              <x14:cfvo type="num">
                <xm:f>1</xm:f>
              </x14:cfvo>
              <x14:borderColor theme="0"/>
              <x14:negativeFillColor rgb="FFFF0000"/>
              <x14:axisColor rgb="FF000000"/>
            </x14:dataBar>
          </x14:cfRule>
          <xm:sqref>J1605</xm:sqref>
        </x14:conditionalFormatting>
        <x14:conditionalFormatting xmlns:xm="http://schemas.microsoft.com/office/excel/2006/main">
          <x14:cfRule type="dataBar" id="{E9EFCA5A-C076-445D-81FF-2839511697F3}">
            <x14:dataBar minLength="0" maxLength="100" border="1" gradient="0">
              <x14:cfvo type="num">
                <xm:f>0</xm:f>
              </x14:cfvo>
              <x14:cfvo type="num">
                <xm:f>1</xm:f>
              </x14:cfvo>
              <x14:borderColor theme="0"/>
              <x14:negativeFillColor rgb="FFFF0000"/>
              <x14:axisColor rgb="FF000000"/>
            </x14:dataBar>
          </x14:cfRule>
          <xm:sqref>J1607</xm:sqref>
        </x14:conditionalFormatting>
        <x14:conditionalFormatting xmlns:xm="http://schemas.microsoft.com/office/excel/2006/main">
          <x14:cfRule type="dataBar" id="{D31610D0-05E4-4A1A-A221-5102AC8604FD}">
            <x14:dataBar minLength="0" maxLength="100" border="1" gradient="0">
              <x14:cfvo type="num">
                <xm:f>0</xm:f>
              </x14:cfvo>
              <x14:cfvo type="num">
                <xm:f>1</xm:f>
              </x14:cfvo>
              <x14:borderColor theme="0"/>
              <x14:negativeFillColor rgb="FFFF0000"/>
              <x14:axisColor rgb="FF000000"/>
            </x14:dataBar>
          </x14:cfRule>
          <xm:sqref>J1609</xm:sqref>
        </x14:conditionalFormatting>
        <x14:conditionalFormatting xmlns:xm="http://schemas.microsoft.com/office/excel/2006/main">
          <x14:cfRule type="dataBar" id="{A1A84129-3E4E-4358-BC8B-3422A1DEAC3C}">
            <x14:dataBar minLength="0" maxLength="100" border="1" gradient="0">
              <x14:cfvo type="num">
                <xm:f>0</xm:f>
              </x14:cfvo>
              <x14:cfvo type="num">
                <xm:f>1</xm:f>
              </x14:cfvo>
              <x14:borderColor theme="0"/>
              <x14:negativeFillColor rgb="FFFF0000"/>
              <x14:axisColor rgb="FF000000"/>
            </x14:dataBar>
          </x14:cfRule>
          <xm:sqref>J1611</xm:sqref>
        </x14:conditionalFormatting>
        <x14:conditionalFormatting xmlns:xm="http://schemas.microsoft.com/office/excel/2006/main">
          <x14:cfRule type="dataBar" id="{85A2C145-0E2E-47D5-BC3F-44DA98C33655}">
            <x14:dataBar minLength="0" maxLength="100" border="1" gradient="0">
              <x14:cfvo type="num">
                <xm:f>0</xm:f>
              </x14:cfvo>
              <x14:cfvo type="num">
                <xm:f>1</xm:f>
              </x14:cfvo>
              <x14:borderColor theme="0"/>
              <x14:negativeFillColor rgb="FFFF0000"/>
              <x14:axisColor rgb="FF000000"/>
            </x14:dataBar>
          </x14:cfRule>
          <xm:sqref>J1613</xm:sqref>
        </x14:conditionalFormatting>
        <x14:conditionalFormatting xmlns:xm="http://schemas.microsoft.com/office/excel/2006/main">
          <x14:cfRule type="dataBar" id="{93A0EBB1-9044-4FAD-9A89-19250EB522AC}">
            <x14:dataBar minLength="0" maxLength="100" border="1" gradient="0">
              <x14:cfvo type="num">
                <xm:f>0</xm:f>
              </x14:cfvo>
              <x14:cfvo type="num">
                <xm:f>1</xm:f>
              </x14:cfvo>
              <x14:borderColor theme="0"/>
              <x14:negativeFillColor rgb="FFFF0000"/>
              <x14:axisColor rgb="FF000000"/>
            </x14:dataBar>
          </x14:cfRule>
          <xm:sqref>J1617</xm:sqref>
        </x14:conditionalFormatting>
        <x14:conditionalFormatting xmlns:xm="http://schemas.microsoft.com/office/excel/2006/main">
          <x14:cfRule type="dataBar" id="{91490C32-2E0C-4865-98F6-4D39F4228E0C}">
            <x14:dataBar minLength="0" maxLength="100" border="1" gradient="0">
              <x14:cfvo type="num">
                <xm:f>0</xm:f>
              </x14:cfvo>
              <x14:cfvo type="num">
                <xm:f>1</xm:f>
              </x14:cfvo>
              <x14:borderColor theme="0"/>
              <x14:negativeFillColor rgb="FFFF0000"/>
              <x14:axisColor rgb="FF000000"/>
            </x14:dataBar>
          </x14:cfRule>
          <xm:sqref>J1619</xm:sqref>
        </x14:conditionalFormatting>
        <x14:conditionalFormatting xmlns:xm="http://schemas.microsoft.com/office/excel/2006/main">
          <x14:cfRule type="dataBar" id="{1C4713D3-388C-4F3B-8773-DFF64D21FC1A}">
            <x14:dataBar minLength="0" maxLength="100" border="1" gradient="0">
              <x14:cfvo type="num">
                <xm:f>0</xm:f>
              </x14:cfvo>
              <x14:cfvo type="num">
                <xm:f>1</xm:f>
              </x14:cfvo>
              <x14:borderColor theme="0"/>
              <x14:negativeFillColor rgb="FFFF0000"/>
              <x14:axisColor rgb="FF000000"/>
            </x14:dataBar>
          </x14:cfRule>
          <xm:sqref>J1621 J1623 J1625</xm:sqref>
        </x14:conditionalFormatting>
        <x14:conditionalFormatting xmlns:xm="http://schemas.microsoft.com/office/excel/2006/main">
          <x14:cfRule type="dataBar" id="{AD4458DE-529E-4BC5-B00F-1EDE43CE7609}">
            <x14:dataBar minLength="0" maxLength="100" border="1" gradient="0">
              <x14:cfvo type="num">
                <xm:f>0</xm:f>
              </x14:cfvo>
              <x14:cfvo type="num">
                <xm:f>1</xm:f>
              </x14:cfvo>
              <x14:borderColor theme="0"/>
              <x14:negativeFillColor rgb="FFFF0000"/>
              <x14:axisColor rgb="FF000000"/>
            </x14:dataBar>
          </x14:cfRule>
          <xm:sqref>J1627</xm:sqref>
        </x14:conditionalFormatting>
        <x14:conditionalFormatting xmlns:xm="http://schemas.microsoft.com/office/excel/2006/main">
          <x14:cfRule type="dataBar" id="{B9603329-3922-4A90-96F0-56F45D38C413}">
            <x14:dataBar minLength="0" maxLength="100" border="1" gradient="0">
              <x14:cfvo type="num">
                <xm:f>0</xm:f>
              </x14:cfvo>
              <x14:cfvo type="num">
                <xm:f>1</xm:f>
              </x14:cfvo>
              <x14:borderColor theme="0"/>
              <x14:negativeFillColor rgb="FFFF0000"/>
              <x14:axisColor rgb="FF000000"/>
            </x14:dataBar>
          </x14:cfRule>
          <xm:sqref>J1630</xm:sqref>
        </x14:conditionalFormatting>
        <x14:conditionalFormatting xmlns:xm="http://schemas.microsoft.com/office/excel/2006/main">
          <x14:cfRule type="dataBar" id="{3995D223-2833-4408-B31A-5DE8239EB743}">
            <x14:dataBar minLength="0" maxLength="100" border="1" gradient="0">
              <x14:cfvo type="num">
                <xm:f>0</xm:f>
              </x14:cfvo>
              <x14:cfvo type="num">
                <xm:f>1</xm:f>
              </x14:cfvo>
              <x14:borderColor theme="0"/>
              <x14:negativeFillColor rgb="FFFF0000"/>
              <x14:axisColor rgb="FF000000"/>
            </x14:dataBar>
          </x14:cfRule>
          <xm:sqref>J1632</xm:sqref>
        </x14:conditionalFormatting>
        <x14:conditionalFormatting xmlns:xm="http://schemas.microsoft.com/office/excel/2006/main">
          <x14:cfRule type="dataBar" id="{598AA10A-1CE1-4559-90E0-FDBB1D7B0D78}">
            <x14:dataBar minLength="0" maxLength="100" border="1" gradient="0">
              <x14:cfvo type="num">
                <xm:f>0</xm:f>
              </x14:cfvo>
              <x14:cfvo type="num">
                <xm:f>1</xm:f>
              </x14:cfvo>
              <x14:borderColor theme="0"/>
              <x14:negativeFillColor rgb="FFFF0000"/>
              <x14:axisColor rgb="FF000000"/>
            </x14:dataBar>
          </x14:cfRule>
          <xm:sqref>J1634 J1636 J1638</xm:sqref>
        </x14:conditionalFormatting>
        <x14:conditionalFormatting xmlns:xm="http://schemas.microsoft.com/office/excel/2006/main">
          <x14:cfRule type="dataBar" id="{0DEE7F43-C2D0-4566-9839-C531A5F63380}">
            <x14:dataBar minLength="0" maxLength="100" border="1" gradient="0">
              <x14:cfvo type="num">
                <xm:f>0</xm:f>
              </x14:cfvo>
              <x14:cfvo type="num">
                <xm:f>1</xm:f>
              </x14:cfvo>
              <x14:borderColor theme="0"/>
              <x14:negativeFillColor rgb="FFFF0000"/>
              <x14:axisColor rgb="FF000000"/>
            </x14:dataBar>
          </x14:cfRule>
          <xm:sqref>J1640</xm:sqref>
        </x14:conditionalFormatting>
        <x14:conditionalFormatting xmlns:xm="http://schemas.microsoft.com/office/excel/2006/main">
          <x14:cfRule type="dataBar" id="{68EC0506-E3EB-4D61-9D64-6715628DACEA}">
            <x14:dataBar minLength="0" maxLength="100" border="1" gradient="0">
              <x14:cfvo type="num">
                <xm:f>0</xm:f>
              </x14:cfvo>
              <x14:cfvo type="num">
                <xm:f>1</xm:f>
              </x14:cfvo>
              <x14:borderColor theme="0"/>
              <x14:negativeFillColor rgb="FFFF0000"/>
              <x14:axisColor rgb="FF000000"/>
            </x14:dataBar>
          </x14:cfRule>
          <xm:sqref>J1642 J1644 J1646</xm:sqref>
        </x14:conditionalFormatting>
        <x14:conditionalFormatting xmlns:xm="http://schemas.microsoft.com/office/excel/2006/main">
          <x14:cfRule type="dataBar" id="{6B2C00FB-E2B7-41A7-85EA-BB2C44E94699}">
            <x14:dataBar minLength="0" maxLength="100" border="1" gradient="0">
              <x14:cfvo type="num">
                <xm:f>0</xm:f>
              </x14:cfvo>
              <x14:cfvo type="num">
                <xm:f>1</xm:f>
              </x14:cfvo>
              <x14:borderColor theme="0"/>
              <x14:negativeFillColor rgb="FFFF0000"/>
              <x14:axisColor rgb="FF000000"/>
            </x14:dataBar>
          </x14:cfRule>
          <xm:sqref>J1648</xm:sqref>
        </x14:conditionalFormatting>
        <x14:conditionalFormatting xmlns:xm="http://schemas.microsoft.com/office/excel/2006/main">
          <x14:cfRule type="dataBar" id="{D20A5E42-5BA1-491C-A089-97C11722723E}">
            <x14:dataBar minLength="0" maxLength="100" border="1" gradient="0">
              <x14:cfvo type="num">
                <xm:f>0</xm:f>
              </x14:cfvo>
              <x14:cfvo type="num">
                <xm:f>1</xm:f>
              </x14:cfvo>
              <x14:borderColor theme="0"/>
              <x14:negativeFillColor rgb="FFFF0000"/>
              <x14:axisColor rgb="FF000000"/>
            </x14:dataBar>
          </x14:cfRule>
          <xm:sqref>J1650 J1652 J1654</xm:sqref>
        </x14:conditionalFormatting>
        <x14:conditionalFormatting xmlns:xm="http://schemas.microsoft.com/office/excel/2006/main">
          <x14:cfRule type="dataBar" id="{ACF4C9C8-1DCD-4B05-8806-8A46F348CAE2}">
            <x14:dataBar minLength="0" maxLength="100" border="1" gradient="0">
              <x14:cfvo type="num">
                <xm:f>0</xm:f>
              </x14:cfvo>
              <x14:cfvo type="num">
                <xm:f>1</xm:f>
              </x14:cfvo>
              <x14:borderColor theme="0"/>
              <x14:negativeFillColor rgb="FFFF0000"/>
              <x14:axisColor rgb="FF000000"/>
            </x14:dataBar>
          </x14:cfRule>
          <xm:sqref>J1656</xm:sqref>
        </x14:conditionalFormatting>
        <x14:conditionalFormatting xmlns:xm="http://schemas.microsoft.com/office/excel/2006/main">
          <x14:cfRule type="dataBar" id="{A08D64FF-A2DC-40BE-A362-F936DBAE5B4C}">
            <x14:dataBar minLength="0" maxLength="100" border="1" gradient="0">
              <x14:cfvo type="num">
                <xm:f>0</xm:f>
              </x14:cfvo>
              <x14:cfvo type="num">
                <xm:f>1</xm:f>
              </x14:cfvo>
              <x14:borderColor theme="0"/>
              <x14:negativeFillColor rgb="FFFF0000"/>
              <x14:axisColor rgb="FF000000"/>
            </x14:dataBar>
          </x14:cfRule>
          <xm:sqref>J1658 J1660 J1662</xm:sqref>
        </x14:conditionalFormatting>
        <x14:conditionalFormatting xmlns:xm="http://schemas.microsoft.com/office/excel/2006/main">
          <x14:cfRule type="dataBar" id="{FAC5998F-BAEF-420A-883A-36C306BB3373}">
            <x14:dataBar minLength="0" maxLength="100" border="1" gradient="0">
              <x14:cfvo type="num">
                <xm:f>0</xm:f>
              </x14:cfvo>
              <x14:cfvo type="num">
                <xm:f>1</xm:f>
              </x14:cfvo>
              <x14:borderColor theme="0"/>
              <x14:negativeFillColor rgb="FFFF0000"/>
              <x14:axisColor rgb="FF000000"/>
            </x14:dataBar>
          </x14:cfRule>
          <xm:sqref>J1664</xm:sqref>
        </x14:conditionalFormatting>
        <x14:conditionalFormatting xmlns:xm="http://schemas.microsoft.com/office/excel/2006/main">
          <x14:cfRule type="dataBar" id="{6FDD8E91-2E8E-453B-944E-F7DF558CFCAC}">
            <x14:dataBar minLength="0" maxLength="100" border="1" gradient="0">
              <x14:cfvo type="num">
                <xm:f>0</xm:f>
              </x14:cfvo>
              <x14:cfvo type="num">
                <xm:f>1</xm:f>
              </x14:cfvo>
              <x14:borderColor theme="0"/>
              <x14:negativeFillColor rgb="FFFF0000"/>
              <x14:axisColor rgb="FF000000"/>
            </x14:dataBar>
          </x14:cfRule>
          <xm:sqref>J1666 J1668 J1670</xm:sqref>
        </x14:conditionalFormatting>
        <x14:conditionalFormatting xmlns:xm="http://schemas.microsoft.com/office/excel/2006/main">
          <x14:cfRule type="dataBar" id="{ADDC6829-C723-4DF7-9F71-8F915C58DB14}">
            <x14:dataBar minLength="0" maxLength="100" border="1" gradient="0">
              <x14:cfvo type="num">
                <xm:f>0</xm:f>
              </x14:cfvo>
              <x14:cfvo type="num">
                <xm:f>1</xm:f>
              </x14:cfvo>
              <x14:borderColor theme="0"/>
              <x14:negativeFillColor rgb="FFFF0000"/>
              <x14:axisColor rgb="FF000000"/>
            </x14:dataBar>
          </x14:cfRule>
          <xm:sqref>J1672</xm:sqref>
        </x14:conditionalFormatting>
        <x14:conditionalFormatting xmlns:xm="http://schemas.microsoft.com/office/excel/2006/main">
          <x14:cfRule type="dataBar" id="{C7265CAA-1D70-4FEB-B43E-5C011C2FAD0F}">
            <x14:dataBar minLength="0" maxLength="100" border="1" gradient="0">
              <x14:cfvo type="num">
                <xm:f>0</xm:f>
              </x14:cfvo>
              <x14:cfvo type="num">
                <xm:f>1</xm:f>
              </x14:cfvo>
              <x14:borderColor theme="0"/>
              <x14:negativeFillColor rgb="FFFF0000"/>
              <x14:axisColor rgb="FF000000"/>
            </x14:dataBar>
          </x14:cfRule>
          <xm:sqref>J1674 J1676 J1678</xm:sqref>
        </x14:conditionalFormatting>
        <x14:conditionalFormatting xmlns:xm="http://schemas.microsoft.com/office/excel/2006/main">
          <x14:cfRule type="dataBar" id="{51246FA5-8DD5-41F6-AB40-318EDBBAA309}">
            <x14:dataBar minLength="0" maxLength="100" border="1" gradient="0">
              <x14:cfvo type="num">
                <xm:f>0</xm:f>
              </x14:cfvo>
              <x14:cfvo type="num">
                <xm:f>1</xm:f>
              </x14:cfvo>
              <x14:borderColor theme="0"/>
              <x14:negativeFillColor rgb="FFFF0000"/>
              <x14:axisColor rgb="FF000000"/>
            </x14:dataBar>
          </x14:cfRule>
          <xm:sqref>J1680</xm:sqref>
        </x14:conditionalFormatting>
        <x14:conditionalFormatting xmlns:xm="http://schemas.microsoft.com/office/excel/2006/main">
          <x14:cfRule type="dataBar" id="{23A40734-AD1D-4261-B6F8-BCE37168A067}">
            <x14:dataBar minLength="0" maxLength="100" border="1" gradient="0">
              <x14:cfvo type="num">
                <xm:f>0</xm:f>
              </x14:cfvo>
              <x14:cfvo type="num">
                <xm:f>1</xm:f>
              </x14:cfvo>
              <x14:borderColor theme="0"/>
              <x14:negativeFillColor rgb="FFFF0000"/>
              <x14:axisColor rgb="FF000000"/>
            </x14:dataBar>
          </x14:cfRule>
          <xm:sqref>J1682 J1684 J1686</xm:sqref>
        </x14:conditionalFormatting>
        <x14:conditionalFormatting xmlns:xm="http://schemas.microsoft.com/office/excel/2006/main">
          <x14:cfRule type="dataBar" id="{E65799F2-5DFC-4E8A-9BCA-03ABE3539695}">
            <x14:dataBar minLength="0" maxLength="100" border="1" gradient="0">
              <x14:cfvo type="num">
                <xm:f>0</xm:f>
              </x14:cfvo>
              <x14:cfvo type="num">
                <xm:f>1</xm:f>
              </x14:cfvo>
              <x14:borderColor theme="0"/>
              <x14:negativeFillColor rgb="FFFF0000"/>
              <x14:axisColor rgb="FF000000"/>
            </x14:dataBar>
          </x14:cfRule>
          <xm:sqref>J1688</xm:sqref>
        </x14:conditionalFormatting>
        <x14:conditionalFormatting xmlns:xm="http://schemas.microsoft.com/office/excel/2006/main">
          <x14:cfRule type="dataBar" id="{B6B48409-94B1-4597-A550-083602B2A9B1}">
            <x14:dataBar minLength="0" maxLength="100" border="1" gradient="0">
              <x14:cfvo type="num">
                <xm:f>0</xm:f>
              </x14:cfvo>
              <x14:cfvo type="num">
                <xm:f>1</xm:f>
              </x14:cfvo>
              <x14:borderColor theme="0"/>
              <x14:negativeFillColor rgb="FFFF0000"/>
              <x14:axisColor rgb="FF000000"/>
            </x14:dataBar>
          </x14:cfRule>
          <xm:sqref>J1690 J1692 J1694</xm:sqref>
        </x14:conditionalFormatting>
        <x14:conditionalFormatting xmlns:xm="http://schemas.microsoft.com/office/excel/2006/main">
          <x14:cfRule type="dataBar" id="{1620F5F1-92F8-4E7A-81C6-BC083DF5AC54}">
            <x14:dataBar minLength="0" maxLength="100" border="1" gradient="0">
              <x14:cfvo type="num">
                <xm:f>0</xm:f>
              </x14:cfvo>
              <x14:cfvo type="num">
                <xm:f>1</xm:f>
              </x14:cfvo>
              <x14:borderColor theme="0"/>
              <x14:negativeFillColor rgb="FFFF0000"/>
              <x14:axisColor rgb="FF000000"/>
            </x14:dataBar>
          </x14:cfRule>
          <xm:sqref>J1698</xm:sqref>
        </x14:conditionalFormatting>
        <x14:conditionalFormatting xmlns:xm="http://schemas.microsoft.com/office/excel/2006/main">
          <x14:cfRule type="dataBar" id="{67539875-8431-4F10-9AFF-DE98F6458378}">
            <x14:dataBar minLength="0" maxLength="100" border="1" gradient="0">
              <x14:cfvo type="num">
                <xm:f>0</xm:f>
              </x14:cfvo>
              <x14:cfvo type="num">
                <xm:f>1</xm:f>
              </x14:cfvo>
              <x14:borderColor theme="0"/>
              <x14:negativeFillColor rgb="FFFF0000"/>
              <x14:axisColor rgb="FF000000"/>
            </x14:dataBar>
          </x14:cfRule>
          <xm:sqref>J1700</xm:sqref>
        </x14:conditionalFormatting>
        <x14:conditionalFormatting xmlns:xm="http://schemas.microsoft.com/office/excel/2006/main">
          <x14:cfRule type="dataBar" id="{B6368265-1BC5-479C-867F-24FA09A68B70}">
            <x14:dataBar minLength="0" maxLength="100" border="1" gradient="0">
              <x14:cfvo type="num">
                <xm:f>0</xm:f>
              </x14:cfvo>
              <x14:cfvo type="num">
                <xm:f>1</xm:f>
              </x14:cfvo>
              <x14:borderColor theme="0"/>
              <x14:negativeFillColor rgb="FFFF0000"/>
              <x14:axisColor rgb="FF000000"/>
            </x14:dataBar>
          </x14:cfRule>
          <xm:sqref>J1702 J1704</xm:sqref>
        </x14:conditionalFormatting>
        <x14:conditionalFormatting xmlns:xm="http://schemas.microsoft.com/office/excel/2006/main">
          <x14:cfRule type="dataBar" id="{A64A2D73-67B0-44B7-980A-CBC881926EDD}">
            <x14:dataBar minLength="0" maxLength="100" border="1" gradient="0">
              <x14:cfvo type="num">
                <xm:f>0</xm:f>
              </x14:cfvo>
              <x14:cfvo type="num">
                <xm:f>1</xm:f>
              </x14:cfvo>
              <x14:borderColor theme="0"/>
              <x14:negativeFillColor rgb="FFFF0000"/>
              <x14:axisColor rgb="FF000000"/>
            </x14:dataBar>
          </x14:cfRule>
          <xm:sqref>J1706</xm:sqref>
        </x14:conditionalFormatting>
        <x14:conditionalFormatting xmlns:xm="http://schemas.microsoft.com/office/excel/2006/main">
          <x14:cfRule type="dataBar" id="{2FA8920A-122E-43A3-9EFF-BEA2661FED09}">
            <x14:dataBar minLength="0" maxLength="100" border="1" gradient="0">
              <x14:cfvo type="num">
                <xm:f>0</xm:f>
              </x14:cfvo>
              <x14:cfvo type="num">
                <xm:f>1</xm:f>
              </x14:cfvo>
              <x14:borderColor theme="0"/>
              <x14:negativeFillColor rgb="FFFF0000"/>
              <x14:axisColor rgb="FF000000"/>
            </x14:dataBar>
          </x14:cfRule>
          <xm:sqref>J1708</xm:sqref>
        </x14:conditionalFormatting>
        <x14:conditionalFormatting xmlns:xm="http://schemas.microsoft.com/office/excel/2006/main">
          <x14:cfRule type="dataBar" id="{9DDF62E0-DBF6-4E79-8394-F1B847B56544}">
            <x14:dataBar minLength="0" maxLength="100" border="1" gradient="0">
              <x14:cfvo type="num">
                <xm:f>0</xm:f>
              </x14:cfvo>
              <x14:cfvo type="num">
                <xm:f>1</xm:f>
              </x14:cfvo>
              <x14:borderColor theme="0"/>
              <x14:negativeFillColor rgb="FFFF0000"/>
              <x14:axisColor rgb="FF000000"/>
            </x14:dataBar>
          </x14:cfRule>
          <xm:sqref>J1710</xm:sqref>
        </x14:conditionalFormatting>
        <x14:conditionalFormatting xmlns:xm="http://schemas.microsoft.com/office/excel/2006/main">
          <x14:cfRule type="dataBar" id="{ED4424AC-A0A2-48DA-B553-61FB85C753A3}">
            <x14:dataBar minLength="0" maxLength="100" border="1" gradient="0">
              <x14:cfvo type="num">
                <xm:f>0</xm:f>
              </x14:cfvo>
              <x14:cfvo type="num">
                <xm:f>1</xm:f>
              </x14:cfvo>
              <x14:borderColor theme="0"/>
              <x14:negativeFillColor rgb="FFFF0000"/>
              <x14:axisColor rgb="FF000000"/>
            </x14:dataBar>
          </x14:cfRule>
          <xm:sqref>J1712</xm:sqref>
        </x14:conditionalFormatting>
        <x14:conditionalFormatting xmlns:xm="http://schemas.microsoft.com/office/excel/2006/main">
          <x14:cfRule type="dataBar" id="{D53BB20C-C71E-47CF-BD17-C9B2C1AC3AEE}">
            <x14:dataBar minLength="0" maxLength="100" border="1" gradient="0">
              <x14:cfvo type="num">
                <xm:f>0</xm:f>
              </x14:cfvo>
              <x14:cfvo type="num">
                <xm:f>1</xm:f>
              </x14:cfvo>
              <x14:borderColor theme="0"/>
              <x14:negativeFillColor rgb="FFFF0000"/>
              <x14:axisColor rgb="FF000000"/>
            </x14:dataBar>
          </x14:cfRule>
          <xm:sqref>J1714</xm:sqref>
        </x14:conditionalFormatting>
        <x14:conditionalFormatting xmlns:xm="http://schemas.microsoft.com/office/excel/2006/main">
          <x14:cfRule type="dataBar" id="{D00B4313-64F5-4115-90A9-ADC338B709AA}">
            <x14:dataBar minLength="0" maxLength="100" border="1" gradient="0">
              <x14:cfvo type="num">
                <xm:f>0</xm:f>
              </x14:cfvo>
              <x14:cfvo type="num">
                <xm:f>1</xm:f>
              </x14:cfvo>
              <x14:borderColor theme="0"/>
              <x14:negativeFillColor rgb="FFFF0000"/>
              <x14:axisColor rgb="FF000000"/>
            </x14:dataBar>
          </x14:cfRule>
          <xm:sqref>J1716</xm:sqref>
        </x14:conditionalFormatting>
        <x14:conditionalFormatting xmlns:xm="http://schemas.microsoft.com/office/excel/2006/main">
          <x14:cfRule type="dataBar" id="{FB3006B6-0398-40D8-93B9-9AF599F4AE46}">
            <x14:dataBar minLength="0" maxLength="100" border="1" gradient="0">
              <x14:cfvo type="num">
                <xm:f>0</xm:f>
              </x14:cfvo>
              <x14:cfvo type="num">
                <xm:f>1</xm:f>
              </x14:cfvo>
              <x14:borderColor theme="0"/>
              <x14:negativeFillColor rgb="FFFF0000"/>
              <x14:axisColor rgb="FF000000"/>
            </x14:dataBar>
          </x14:cfRule>
          <xm:sqref>J1718 J1720</xm:sqref>
        </x14:conditionalFormatting>
        <x14:conditionalFormatting xmlns:xm="http://schemas.microsoft.com/office/excel/2006/main">
          <x14:cfRule type="dataBar" id="{695730A3-D016-4701-9E08-21BF03795DF0}">
            <x14:dataBar minLength="0" maxLength="100" border="1" gradient="0">
              <x14:cfvo type="num">
                <xm:f>0</xm:f>
              </x14:cfvo>
              <x14:cfvo type="num">
                <xm:f>1</xm:f>
              </x14:cfvo>
              <x14:borderColor theme="0"/>
              <x14:negativeFillColor rgb="FFFF0000"/>
              <x14:axisColor rgb="FF000000"/>
            </x14:dataBar>
          </x14:cfRule>
          <xm:sqref>J1722</xm:sqref>
        </x14:conditionalFormatting>
        <x14:conditionalFormatting xmlns:xm="http://schemas.microsoft.com/office/excel/2006/main">
          <x14:cfRule type="dataBar" id="{561F55C6-070B-4AA6-8942-0742EB1CA040}">
            <x14:dataBar minLength="0" maxLength="100" border="1" gradient="0">
              <x14:cfvo type="num">
                <xm:f>0</xm:f>
              </x14:cfvo>
              <x14:cfvo type="num">
                <xm:f>1</xm:f>
              </x14:cfvo>
              <x14:borderColor theme="0"/>
              <x14:negativeFillColor rgb="FFFF0000"/>
              <x14:axisColor rgb="FF000000"/>
            </x14:dataBar>
          </x14:cfRule>
          <xm:sqref>J1724</xm:sqref>
        </x14:conditionalFormatting>
        <x14:conditionalFormatting xmlns:xm="http://schemas.microsoft.com/office/excel/2006/main">
          <x14:cfRule type="dataBar" id="{09C7BE09-3B64-4CA3-8FAB-36D4E09610E6}">
            <x14:dataBar minLength="0" maxLength="100" border="1" gradient="0">
              <x14:cfvo type="num">
                <xm:f>0</xm:f>
              </x14:cfvo>
              <x14:cfvo type="num">
                <xm:f>1</xm:f>
              </x14:cfvo>
              <x14:borderColor theme="0"/>
              <x14:negativeFillColor rgb="FFFF0000"/>
              <x14:axisColor rgb="FF000000"/>
            </x14:dataBar>
          </x14:cfRule>
          <xm:sqref>J1726</xm:sqref>
        </x14:conditionalFormatting>
        <x14:conditionalFormatting xmlns:xm="http://schemas.microsoft.com/office/excel/2006/main">
          <x14:cfRule type="dataBar" id="{563728A1-C3E1-48E9-8BA6-30339E0EE651}">
            <x14:dataBar minLength="0" maxLength="100" border="1" gradient="0">
              <x14:cfvo type="num">
                <xm:f>0</xm:f>
              </x14:cfvo>
              <x14:cfvo type="num">
                <xm:f>1</xm:f>
              </x14:cfvo>
              <x14:borderColor theme="0"/>
              <x14:negativeFillColor rgb="FFFF0000"/>
              <x14:axisColor rgb="FF000000"/>
            </x14:dataBar>
          </x14:cfRule>
          <xm:sqref>J1728</xm:sqref>
        </x14:conditionalFormatting>
        <x14:conditionalFormatting xmlns:xm="http://schemas.microsoft.com/office/excel/2006/main">
          <x14:cfRule type="dataBar" id="{8EFFF755-3B9A-43F6-96D6-E744927BBCBC}">
            <x14:dataBar minLength="0" maxLength="100" border="1" gradient="0">
              <x14:cfvo type="num">
                <xm:f>0</xm:f>
              </x14:cfvo>
              <x14:cfvo type="num">
                <xm:f>1</xm:f>
              </x14:cfvo>
              <x14:borderColor theme="0"/>
              <x14:negativeFillColor rgb="FFFF0000"/>
              <x14:axisColor rgb="FF000000"/>
            </x14:dataBar>
          </x14:cfRule>
          <xm:sqref>J1730</xm:sqref>
        </x14:conditionalFormatting>
        <x14:conditionalFormatting xmlns:xm="http://schemas.microsoft.com/office/excel/2006/main">
          <x14:cfRule type="dataBar" id="{EA2A915F-DB8F-4E72-A84B-43B82E574A31}">
            <x14:dataBar minLength="0" maxLength="100" border="1" gradient="0">
              <x14:cfvo type="num">
                <xm:f>0</xm:f>
              </x14:cfvo>
              <x14:cfvo type="num">
                <xm:f>1</xm:f>
              </x14:cfvo>
              <x14:borderColor theme="0"/>
              <x14:negativeFillColor rgb="FFFF0000"/>
              <x14:axisColor rgb="FF000000"/>
            </x14:dataBar>
          </x14:cfRule>
          <xm:sqref>J1732</xm:sqref>
        </x14:conditionalFormatting>
        <x14:conditionalFormatting xmlns:xm="http://schemas.microsoft.com/office/excel/2006/main">
          <x14:cfRule type="dataBar" id="{AA8696C4-0631-4BD0-82C2-59E64852E0B0}">
            <x14:dataBar minLength="0" maxLength="100" border="1" gradient="0">
              <x14:cfvo type="num">
                <xm:f>0</xm:f>
              </x14:cfvo>
              <x14:cfvo type="num">
                <xm:f>1</xm:f>
              </x14:cfvo>
              <x14:borderColor theme="0"/>
              <x14:negativeFillColor rgb="FFFF0000"/>
              <x14:axisColor rgb="FF000000"/>
            </x14:dataBar>
          </x14:cfRule>
          <xm:sqref>J1734 J1736</xm:sqref>
        </x14:conditionalFormatting>
        <x14:conditionalFormatting xmlns:xm="http://schemas.microsoft.com/office/excel/2006/main">
          <x14:cfRule type="dataBar" id="{395F3439-FA32-4568-962C-73D124B0E3CC}">
            <x14:dataBar minLength="0" maxLength="100" border="1" gradient="0">
              <x14:cfvo type="num">
                <xm:f>0</xm:f>
              </x14:cfvo>
              <x14:cfvo type="num">
                <xm:f>1</xm:f>
              </x14:cfvo>
              <x14:borderColor theme="0"/>
              <x14:negativeFillColor rgb="FFFF0000"/>
              <x14:axisColor rgb="FF000000"/>
            </x14:dataBar>
          </x14:cfRule>
          <xm:sqref>J1738</xm:sqref>
        </x14:conditionalFormatting>
        <x14:conditionalFormatting xmlns:xm="http://schemas.microsoft.com/office/excel/2006/main">
          <x14:cfRule type="dataBar" id="{1F59077B-BAFB-455E-A5FF-249EA942E42C}">
            <x14:dataBar minLength="0" maxLength="100" border="1" gradient="0">
              <x14:cfvo type="num">
                <xm:f>0</xm:f>
              </x14:cfvo>
              <x14:cfvo type="num">
                <xm:f>1</xm:f>
              </x14:cfvo>
              <x14:borderColor theme="0"/>
              <x14:negativeFillColor rgb="FFFF0000"/>
              <x14:axisColor rgb="FF000000"/>
            </x14:dataBar>
          </x14:cfRule>
          <xm:sqref>J1740</xm:sqref>
        </x14:conditionalFormatting>
        <x14:conditionalFormatting xmlns:xm="http://schemas.microsoft.com/office/excel/2006/main">
          <x14:cfRule type="dataBar" id="{A162FD3C-DAC2-47B7-A0A5-06E27820F715}">
            <x14:dataBar minLength="0" maxLength="100" border="1" gradient="0">
              <x14:cfvo type="num">
                <xm:f>0</xm:f>
              </x14:cfvo>
              <x14:cfvo type="num">
                <xm:f>1</xm:f>
              </x14:cfvo>
              <x14:borderColor theme="0"/>
              <x14:negativeFillColor rgb="FFFF0000"/>
              <x14:axisColor rgb="FF000000"/>
            </x14:dataBar>
          </x14:cfRule>
          <xm:sqref>J1742</xm:sqref>
        </x14:conditionalFormatting>
        <x14:conditionalFormatting xmlns:xm="http://schemas.microsoft.com/office/excel/2006/main">
          <x14:cfRule type="dataBar" id="{25386CC8-6686-449D-9778-5EAA76833A4C}">
            <x14:dataBar minLength="0" maxLength="100" border="1" gradient="0">
              <x14:cfvo type="num">
                <xm:f>0</xm:f>
              </x14:cfvo>
              <x14:cfvo type="num">
                <xm:f>1</xm:f>
              </x14:cfvo>
              <x14:borderColor theme="0"/>
              <x14:negativeFillColor rgb="FFFF0000"/>
              <x14:axisColor rgb="FF000000"/>
            </x14:dataBar>
          </x14:cfRule>
          <xm:sqref>J1744</xm:sqref>
        </x14:conditionalFormatting>
        <x14:conditionalFormatting xmlns:xm="http://schemas.microsoft.com/office/excel/2006/main">
          <x14:cfRule type="dataBar" id="{63BB49BA-92F2-473C-8C9D-C5F7599558A0}">
            <x14:dataBar minLength="0" maxLength="100" border="1" gradient="0">
              <x14:cfvo type="num">
                <xm:f>0</xm:f>
              </x14:cfvo>
              <x14:cfvo type="num">
                <xm:f>1</xm:f>
              </x14:cfvo>
              <x14:borderColor theme="0"/>
              <x14:negativeFillColor rgb="FFFF0000"/>
              <x14:axisColor rgb="FF000000"/>
            </x14:dataBar>
          </x14:cfRule>
          <xm:sqref>J1746</xm:sqref>
        </x14:conditionalFormatting>
        <x14:conditionalFormatting xmlns:xm="http://schemas.microsoft.com/office/excel/2006/main">
          <x14:cfRule type="dataBar" id="{AB1F5048-DA02-434A-8641-A5DF20CD8FF9}">
            <x14:dataBar minLength="0" maxLength="100" border="1" gradient="0">
              <x14:cfvo type="num">
                <xm:f>0</xm:f>
              </x14:cfvo>
              <x14:cfvo type="num">
                <xm:f>1</xm:f>
              </x14:cfvo>
              <x14:borderColor theme="0"/>
              <x14:negativeFillColor rgb="FFFF0000"/>
              <x14:axisColor rgb="FF000000"/>
            </x14:dataBar>
          </x14:cfRule>
          <xm:sqref>J1748</xm:sqref>
        </x14:conditionalFormatting>
        <x14:conditionalFormatting xmlns:xm="http://schemas.microsoft.com/office/excel/2006/main">
          <x14:cfRule type="dataBar" id="{D6390F33-1574-4DE9-9C71-E080024A3F03}">
            <x14:dataBar minLength="0" maxLength="100" border="1" gradient="0">
              <x14:cfvo type="num">
                <xm:f>0</xm:f>
              </x14:cfvo>
              <x14:cfvo type="num">
                <xm:f>1</xm:f>
              </x14:cfvo>
              <x14:borderColor theme="0"/>
              <x14:negativeFillColor rgb="FFFF0000"/>
              <x14:axisColor rgb="FF000000"/>
            </x14:dataBar>
          </x14:cfRule>
          <xm:sqref>J1750 J1752</xm:sqref>
        </x14:conditionalFormatting>
        <x14:conditionalFormatting xmlns:xm="http://schemas.microsoft.com/office/excel/2006/main">
          <x14:cfRule type="dataBar" id="{594C5EED-5A8A-4673-B02E-31870609B183}">
            <x14:dataBar minLength="0" maxLength="100" border="1" gradient="0">
              <x14:cfvo type="num">
                <xm:f>0</xm:f>
              </x14:cfvo>
              <x14:cfvo type="num">
                <xm:f>1</xm:f>
              </x14:cfvo>
              <x14:borderColor theme="0"/>
              <x14:negativeFillColor rgb="FFFF0000"/>
              <x14:axisColor rgb="FF000000"/>
            </x14:dataBar>
          </x14:cfRule>
          <xm:sqref>J1754</xm:sqref>
        </x14:conditionalFormatting>
        <x14:conditionalFormatting xmlns:xm="http://schemas.microsoft.com/office/excel/2006/main">
          <x14:cfRule type="dataBar" id="{2A8E23CD-7CEE-4B95-B1EC-34A9A5F2B805}">
            <x14:dataBar minLength="0" maxLength="100" border="1" gradient="0">
              <x14:cfvo type="num">
                <xm:f>0</xm:f>
              </x14:cfvo>
              <x14:cfvo type="num">
                <xm:f>1</xm:f>
              </x14:cfvo>
              <x14:borderColor theme="0"/>
              <x14:negativeFillColor rgb="FFFF0000"/>
              <x14:axisColor rgb="FF000000"/>
            </x14:dataBar>
          </x14:cfRule>
          <xm:sqref>J1756</xm:sqref>
        </x14:conditionalFormatting>
        <x14:conditionalFormatting xmlns:xm="http://schemas.microsoft.com/office/excel/2006/main">
          <x14:cfRule type="dataBar" id="{0A8BA297-0A14-4FC6-BEE5-190EAC1D713B}">
            <x14:dataBar minLength="0" maxLength="100" border="1" gradient="0">
              <x14:cfvo type="num">
                <xm:f>0</xm:f>
              </x14:cfvo>
              <x14:cfvo type="num">
                <xm:f>1</xm:f>
              </x14:cfvo>
              <x14:borderColor theme="0"/>
              <x14:negativeFillColor rgb="FFFF0000"/>
              <x14:axisColor rgb="FF000000"/>
            </x14:dataBar>
          </x14:cfRule>
          <xm:sqref>J1758</xm:sqref>
        </x14:conditionalFormatting>
        <x14:conditionalFormatting xmlns:xm="http://schemas.microsoft.com/office/excel/2006/main">
          <x14:cfRule type="dataBar" id="{AFED2BDB-3799-48CE-9535-6CC488F0F172}">
            <x14:dataBar minLength="0" maxLength="100" border="1" gradient="0">
              <x14:cfvo type="num">
                <xm:f>0</xm:f>
              </x14:cfvo>
              <x14:cfvo type="num">
                <xm:f>1</xm:f>
              </x14:cfvo>
              <x14:borderColor theme="0"/>
              <x14:negativeFillColor rgb="FFFF0000"/>
              <x14:axisColor rgb="FF000000"/>
            </x14:dataBar>
          </x14:cfRule>
          <xm:sqref>J1760</xm:sqref>
        </x14:conditionalFormatting>
        <x14:conditionalFormatting xmlns:xm="http://schemas.microsoft.com/office/excel/2006/main">
          <x14:cfRule type="dataBar" id="{3F18694D-391E-4E5D-82F5-1532D324BD8F}">
            <x14:dataBar minLength="0" maxLength="100" border="1" gradient="0">
              <x14:cfvo type="num">
                <xm:f>0</xm:f>
              </x14:cfvo>
              <x14:cfvo type="num">
                <xm:f>1</xm:f>
              </x14:cfvo>
              <x14:borderColor theme="0"/>
              <x14:negativeFillColor rgb="FFFF0000"/>
              <x14:axisColor rgb="FF000000"/>
            </x14:dataBar>
          </x14:cfRule>
          <xm:sqref>J1762</xm:sqref>
        </x14:conditionalFormatting>
        <x14:conditionalFormatting xmlns:xm="http://schemas.microsoft.com/office/excel/2006/main">
          <x14:cfRule type="dataBar" id="{E25EFD1D-FF3D-4919-A183-B0B310BB8F0B}">
            <x14:dataBar minLength="0" maxLength="100" border="1" gradient="0">
              <x14:cfvo type="num">
                <xm:f>0</xm:f>
              </x14:cfvo>
              <x14:cfvo type="num">
                <xm:f>1</xm:f>
              </x14:cfvo>
              <x14:borderColor theme="0"/>
              <x14:negativeFillColor rgb="FFFF0000"/>
              <x14:axisColor rgb="FF000000"/>
            </x14:dataBar>
          </x14:cfRule>
          <xm:sqref>J1764</xm:sqref>
        </x14:conditionalFormatting>
        <x14:conditionalFormatting xmlns:xm="http://schemas.microsoft.com/office/excel/2006/main">
          <x14:cfRule type="dataBar" id="{52AF568F-DC6F-4B8F-9AFD-9A0F580F40C6}">
            <x14:dataBar minLength="0" maxLength="100" border="1" gradient="0">
              <x14:cfvo type="num">
                <xm:f>0</xm:f>
              </x14:cfvo>
              <x14:cfvo type="num">
                <xm:f>1</xm:f>
              </x14:cfvo>
              <x14:borderColor theme="0"/>
              <x14:negativeFillColor rgb="FFFF0000"/>
              <x14:axisColor rgb="FF000000"/>
            </x14:dataBar>
          </x14:cfRule>
          <xm:sqref>J1766</xm:sqref>
        </x14:conditionalFormatting>
        <x14:conditionalFormatting xmlns:xm="http://schemas.microsoft.com/office/excel/2006/main">
          <x14:cfRule type="dataBar" id="{E970A6AC-C800-4794-ABDA-0FF110D54CB5}">
            <x14:dataBar minLength="0" maxLength="100" border="1" gradient="0">
              <x14:cfvo type="num">
                <xm:f>0</xm:f>
              </x14:cfvo>
              <x14:cfvo type="num">
                <xm:f>1</xm:f>
              </x14:cfvo>
              <x14:borderColor theme="0"/>
              <x14:negativeFillColor rgb="FFFF0000"/>
              <x14:axisColor rgb="FF000000"/>
            </x14:dataBar>
          </x14:cfRule>
          <xm:sqref>J1770</xm:sqref>
        </x14:conditionalFormatting>
        <x14:conditionalFormatting xmlns:xm="http://schemas.microsoft.com/office/excel/2006/main">
          <x14:cfRule type="dataBar" id="{107CA71A-DC9D-47C6-A566-78E8D0182230}">
            <x14:dataBar minLength="0" maxLength="100" border="1" gradient="0">
              <x14:cfvo type="num">
                <xm:f>0</xm:f>
              </x14:cfvo>
              <x14:cfvo type="num">
                <xm:f>1</xm:f>
              </x14:cfvo>
              <x14:borderColor theme="0"/>
              <x14:negativeFillColor rgb="FFFF0000"/>
              <x14:axisColor rgb="FF000000"/>
            </x14:dataBar>
          </x14:cfRule>
          <xm:sqref>J1773</xm:sqref>
        </x14:conditionalFormatting>
        <x14:conditionalFormatting xmlns:xm="http://schemas.microsoft.com/office/excel/2006/main">
          <x14:cfRule type="dataBar" id="{74C4328E-D931-4E9A-98BC-A2548C3E90C8}">
            <x14:dataBar minLength="0" maxLength="100" border="1" gradient="0">
              <x14:cfvo type="num">
                <xm:f>0</xm:f>
              </x14:cfvo>
              <x14:cfvo type="num">
                <xm:f>1</xm:f>
              </x14:cfvo>
              <x14:borderColor theme="0"/>
              <x14:negativeFillColor rgb="FFFF0000"/>
              <x14:axisColor rgb="FF000000"/>
            </x14:dataBar>
          </x14:cfRule>
          <xm:sqref>J1775</xm:sqref>
        </x14:conditionalFormatting>
        <x14:conditionalFormatting xmlns:xm="http://schemas.microsoft.com/office/excel/2006/main">
          <x14:cfRule type="dataBar" id="{BBA43849-AE37-42C1-8CED-DA1E5C432D3F}">
            <x14:dataBar minLength="0" maxLength="100" border="1" gradient="0">
              <x14:cfvo type="num">
                <xm:f>0</xm:f>
              </x14:cfvo>
              <x14:cfvo type="num">
                <xm:f>1</xm:f>
              </x14:cfvo>
              <x14:borderColor theme="0"/>
              <x14:negativeFillColor rgb="FFFF0000"/>
              <x14:axisColor rgb="FF000000"/>
            </x14:dataBar>
          </x14:cfRule>
          <xm:sqref>J1777</xm:sqref>
        </x14:conditionalFormatting>
        <x14:conditionalFormatting xmlns:xm="http://schemas.microsoft.com/office/excel/2006/main">
          <x14:cfRule type="dataBar" id="{1C5B7707-A367-4102-AF1B-8623AE0ACB8C}">
            <x14:dataBar minLength="0" maxLength="100" border="1" gradient="0">
              <x14:cfvo type="num">
                <xm:f>0</xm:f>
              </x14:cfvo>
              <x14:cfvo type="num">
                <xm:f>1</xm:f>
              </x14:cfvo>
              <x14:borderColor theme="0"/>
              <x14:negativeFillColor rgb="FFFF0000"/>
              <x14:axisColor rgb="FF000000"/>
            </x14:dataBar>
          </x14:cfRule>
          <xm:sqref>J1779</xm:sqref>
        </x14:conditionalFormatting>
        <x14:conditionalFormatting xmlns:xm="http://schemas.microsoft.com/office/excel/2006/main">
          <x14:cfRule type="dataBar" id="{9B221A6C-1CC7-40A2-BCD0-B3DD2F029D64}">
            <x14:dataBar minLength="0" maxLength="100" border="1" gradient="0">
              <x14:cfvo type="num">
                <xm:f>0</xm:f>
              </x14:cfvo>
              <x14:cfvo type="num">
                <xm:f>1</xm:f>
              </x14:cfvo>
              <x14:borderColor theme="0"/>
              <x14:negativeFillColor rgb="FFFF0000"/>
              <x14:axisColor rgb="FF000000"/>
            </x14:dataBar>
          </x14:cfRule>
          <xm:sqref>J1781</xm:sqref>
        </x14:conditionalFormatting>
        <x14:conditionalFormatting xmlns:xm="http://schemas.microsoft.com/office/excel/2006/main">
          <x14:cfRule type="dataBar" id="{E855C71B-10D1-4F0F-81C7-5B51727B3CB8}">
            <x14:dataBar minLength="0" maxLength="100" border="1" gradient="0">
              <x14:cfvo type="num">
                <xm:f>0</xm:f>
              </x14:cfvo>
              <x14:cfvo type="num">
                <xm:f>1</xm:f>
              </x14:cfvo>
              <x14:borderColor theme="0"/>
              <x14:negativeFillColor rgb="FFFF0000"/>
              <x14:axisColor rgb="FF000000"/>
            </x14:dataBar>
          </x14:cfRule>
          <xm:sqref>J1783</xm:sqref>
        </x14:conditionalFormatting>
        <x14:conditionalFormatting xmlns:xm="http://schemas.microsoft.com/office/excel/2006/main">
          <x14:cfRule type="dataBar" id="{D1AB5F66-8501-4B62-8E22-18F9366AB15B}">
            <x14:dataBar minLength="0" maxLength="100" border="1" gradient="0">
              <x14:cfvo type="num">
                <xm:f>0</xm:f>
              </x14:cfvo>
              <x14:cfvo type="num">
                <xm:f>1</xm:f>
              </x14:cfvo>
              <x14:borderColor theme="0"/>
              <x14:negativeFillColor rgb="FFFF0000"/>
              <x14:axisColor rgb="FF000000"/>
            </x14:dataBar>
          </x14:cfRule>
          <xm:sqref>J1785 J1787</xm:sqref>
        </x14:conditionalFormatting>
        <x14:conditionalFormatting xmlns:xm="http://schemas.microsoft.com/office/excel/2006/main">
          <x14:cfRule type="dataBar" id="{ECD7B663-B1E5-402F-9DB8-64A48A23C5F0}">
            <x14:dataBar minLength="0" maxLength="100" border="1" gradient="0">
              <x14:cfvo type="num">
                <xm:f>0</xm:f>
              </x14:cfvo>
              <x14:cfvo type="num">
                <xm:f>1</xm:f>
              </x14:cfvo>
              <x14:borderColor theme="0"/>
              <x14:negativeFillColor rgb="FFFF0000"/>
              <x14:axisColor rgb="FF000000"/>
            </x14:dataBar>
          </x14:cfRule>
          <xm:sqref>J1789</xm:sqref>
        </x14:conditionalFormatting>
        <x14:conditionalFormatting xmlns:xm="http://schemas.microsoft.com/office/excel/2006/main">
          <x14:cfRule type="dataBar" id="{94C0A45F-E429-4887-95FE-F8390DCDBF86}">
            <x14:dataBar minLength="0" maxLength="100" border="1" gradient="0">
              <x14:cfvo type="num">
                <xm:f>0</xm:f>
              </x14:cfvo>
              <x14:cfvo type="num">
                <xm:f>1</xm:f>
              </x14:cfvo>
              <x14:borderColor theme="0"/>
              <x14:negativeFillColor rgb="FFFF0000"/>
              <x14:axisColor rgb="FF000000"/>
            </x14:dataBar>
          </x14:cfRule>
          <xm:sqref>J1791</xm:sqref>
        </x14:conditionalFormatting>
        <x14:conditionalFormatting xmlns:xm="http://schemas.microsoft.com/office/excel/2006/main">
          <x14:cfRule type="dataBar" id="{F9EB97C1-DC09-4920-8EB5-58D948D03197}">
            <x14:dataBar minLength="0" maxLength="100" border="1" gradient="0">
              <x14:cfvo type="num">
                <xm:f>0</xm:f>
              </x14:cfvo>
              <x14:cfvo type="num">
                <xm:f>1</xm:f>
              </x14:cfvo>
              <x14:borderColor theme="0"/>
              <x14:negativeFillColor rgb="FFFF0000"/>
              <x14:axisColor rgb="FF000000"/>
            </x14:dataBar>
          </x14:cfRule>
          <xm:sqref>J1793</xm:sqref>
        </x14:conditionalFormatting>
        <x14:conditionalFormatting xmlns:xm="http://schemas.microsoft.com/office/excel/2006/main">
          <x14:cfRule type="dataBar" id="{2A9B9FA3-9172-4CBB-96D7-ACC32F31FCDB}">
            <x14:dataBar minLength="0" maxLength="100" border="1" gradient="0">
              <x14:cfvo type="num">
                <xm:f>0</xm:f>
              </x14:cfvo>
              <x14:cfvo type="num">
                <xm:f>1</xm:f>
              </x14:cfvo>
              <x14:borderColor theme="0"/>
              <x14:negativeFillColor rgb="FFFF0000"/>
              <x14:axisColor rgb="FF000000"/>
            </x14:dataBar>
          </x14:cfRule>
          <xm:sqref>J1795</xm:sqref>
        </x14:conditionalFormatting>
        <x14:conditionalFormatting xmlns:xm="http://schemas.microsoft.com/office/excel/2006/main">
          <x14:cfRule type="dataBar" id="{9BD155E7-1A36-4FAB-8B9C-5C8DB69DCEE8}">
            <x14:dataBar minLength="0" maxLength="100" border="1" gradient="0">
              <x14:cfvo type="num">
                <xm:f>0</xm:f>
              </x14:cfvo>
              <x14:cfvo type="num">
                <xm:f>1</xm:f>
              </x14:cfvo>
              <x14:borderColor theme="0"/>
              <x14:negativeFillColor rgb="FFFF0000"/>
              <x14:axisColor rgb="FF000000"/>
            </x14:dataBar>
          </x14:cfRule>
          <xm:sqref>J1797 J1799</xm:sqref>
        </x14:conditionalFormatting>
        <x14:conditionalFormatting xmlns:xm="http://schemas.microsoft.com/office/excel/2006/main">
          <x14:cfRule type="dataBar" id="{56031F39-3583-4342-A767-6098BB3AC106}">
            <x14:dataBar minLength="0" maxLength="100" border="1" gradient="0">
              <x14:cfvo type="num">
                <xm:f>0</xm:f>
              </x14:cfvo>
              <x14:cfvo type="num">
                <xm:f>1</xm:f>
              </x14:cfvo>
              <x14:borderColor theme="0"/>
              <x14:negativeFillColor rgb="FFFF0000"/>
              <x14:axisColor rgb="FF000000"/>
            </x14:dataBar>
          </x14:cfRule>
          <xm:sqref>J1801</xm:sqref>
        </x14:conditionalFormatting>
        <x14:conditionalFormatting xmlns:xm="http://schemas.microsoft.com/office/excel/2006/main">
          <x14:cfRule type="dataBar" id="{4821B167-52D7-4C72-BA96-9DD193E71247}">
            <x14:dataBar minLength="0" maxLength="100" border="1" gradient="0">
              <x14:cfvo type="num">
                <xm:f>0</xm:f>
              </x14:cfvo>
              <x14:cfvo type="num">
                <xm:f>1</xm:f>
              </x14:cfvo>
              <x14:borderColor theme="0"/>
              <x14:negativeFillColor rgb="FFFF0000"/>
              <x14:axisColor rgb="FF000000"/>
            </x14:dataBar>
          </x14:cfRule>
          <xm:sqref>J1803</xm:sqref>
        </x14:conditionalFormatting>
        <x14:conditionalFormatting xmlns:xm="http://schemas.microsoft.com/office/excel/2006/main">
          <x14:cfRule type="dataBar" id="{CCECBED9-EBDC-4C8C-B533-845B52D5E1A9}">
            <x14:dataBar minLength="0" maxLength="100" border="1" gradient="0">
              <x14:cfvo type="num">
                <xm:f>0</xm:f>
              </x14:cfvo>
              <x14:cfvo type="num">
                <xm:f>1</xm:f>
              </x14:cfvo>
              <x14:borderColor theme="0"/>
              <x14:negativeFillColor rgb="FFFF0000"/>
              <x14:axisColor rgb="FF000000"/>
            </x14:dataBar>
          </x14:cfRule>
          <xm:sqref>J1806</xm:sqref>
        </x14:conditionalFormatting>
        <x14:conditionalFormatting xmlns:xm="http://schemas.microsoft.com/office/excel/2006/main">
          <x14:cfRule type="dataBar" id="{5A5F0937-E50C-403E-BB37-67EAC25F1F92}">
            <x14:dataBar minLength="0" maxLength="100" border="1" gradient="0">
              <x14:cfvo type="num">
                <xm:f>0</xm:f>
              </x14:cfvo>
              <x14:cfvo type="num">
                <xm:f>1</xm:f>
              </x14:cfvo>
              <x14:borderColor theme="0"/>
              <x14:negativeFillColor rgb="FFFF0000"/>
              <x14:axisColor rgb="FF000000"/>
            </x14:dataBar>
          </x14:cfRule>
          <xm:sqref>J1808</xm:sqref>
        </x14:conditionalFormatting>
        <x14:conditionalFormatting xmlns:xm="http://schemas.microsoft.com/office/excel/2006/main">
          <x14:cfRule type="dataBar" id="{A13A19B8-8580-4482-8D1B-2CD0F126452C}">
            <x14:dataBar minLength="0" maxLength="100" border="1" gradient="0">
              <x14:cfvo type="num">
                <xm:f>0</xm:f>
              </x14:cfvo>
              <x14:cfvo type="num">
                <xm:f>1</xm:f>
              </x14:cfvo>
              <x14:borderColor theme="0"/>
              <x14:negativeFillColor rgb="FFFF0000"/>
              <x14:axisColor rgb="FF000000"/>
            </x14:dataBar>
          </x14:cfRule>
          <xm:sqref>J1810</xm:sqref>
        </x14:conditionalFormatting>
        <x14:conditionalFormatting xmlns:xm="http://schemas.microsoft.com/office/excel/2006/main">
          <x14:cfRule type="dataBar" id="{A6340ABF-896F-4B8E-BD30-D8D9D0F8D1C4}">
            <x14:dataBar minLength="0" maxLength="100" border="1" gradient="0">
              <x14:cfvo type="num">
                <xm:f>0</xm:f>
              </x14:cfvo>
              <x14:cfvo type="num">
                <xm:f>1</xm:f>
              </x14:cfvo>
              <x14:borderColor theme="0"/>
              <x14:negativeFillColor rgb="FFFF0000"/>
              <x14:axisColor rgb="FF000000"/>
            </x14:dataBar>
          </x14:cfRule>
          <xm:sqref>J1812</xm:sqref>
        </x14:conditionalFormatting>
        <x14:conditionalFormatting xmlns:xm="http://schemas.microsoft.com/office/excel/2006/main">
          <x14:cfRule type="dataBar" id="{D8AD32EF-FADA-4230-B10D-AD16E9667833}">
            <x14:dataBar minLength="0" maxLength="100" border="1" gradient="0">
              <x14:cfvo type="num">
                <xm:f>0</xm:f>
              </x14:cfvo>
              <x14:cfvo type="num">
                <xm:f>1</xm:f>
              </x14:cfvo>
              <x14:borderColor theme="0"/>
              <x14:negativeFillColor rgb="FFFF0000"/>
              <x14:axisColor rgb="FF000000"/>
            </x14:dataBar>
          </x14:cfRule>
          <xm:sqref>J1814</xm:sqref>
        </x14:conditionalFormatting>
        <x14:conditionalFormatting xmlns:xm="http://schemas.microsoft.com/office/excel/2006/main">
          <x14:cfRule type="dataBar" id="{7E1D6D5F-D6FB-4ACF-8EFA-C9FC6E26CFC0}">
            <x14:dataBar minLength="0" maxLength="100" border="1" gradient="0">
              <x14:cfvo type="num">
                <xm:f>0</xm:f>
              </x14:cfvo>
              <x14:cfvo type="num">
                <xm:f>1</xm:f>
              </x14:cfvo>
              <x14:borderColor theme="0"/>
              <x14:negativeFillColor rgb="FFFF0000"/>
              <x14:axisColor rgb="FF000000"/>
            </x14:dataBar>
          </x14:cfRule>
          <xm:sqref>J1816 J1818</xm:sqref>
        </x14:conditionalFormatting>
        <x14:conditionalFormatting xmlns:xm="http://schemas.microsoft.com/office/excel/2006/main">
          <x14:cfRule type="dataBar" id="{1B48F223-3119-44CB-B645-7E2E0482BFF1}">
            <x14:dataBar minLength="0" maxLength="100" border="1" gradient="0">
              <x14:cfvo type="num">
                <xm:f>0</xm:f>
              </x14:cfvo>
              <x14:cfvo type="num">
                <xm:f>1</xm:f>
              </x14:cfvo>
              <x14:borderColor theme="0"/>
              <x14:negativeFillColor rgb="FFFF0000"/>
              <x14:axisColor rgb="FF000000"/>
            </x14:dataBar>
          </x14:cfRule>
          <xm:sqref>J1820</xm:sqref>
        </x14:conditionalFormatting>
        <x14:conditionalFormatting xmlns:xm="http://schemas.microsoft.com/office/excel/2006/main">
          <x14:cfRule type="dataBar" id="{86B7B782-E23D-4BB5-AEC4-C2DA8E912AEC}">
            <x14:dataBar minLength="0" maxLength="100" border="1" gradient="0">
              <x14:cfvo type="num">
                <xm:f>0</xm:f>
              </x14:cfvo>
              <x14:cfvo type="num">
                <xm:f>1</xm:f>
              </x14:cfvo>
              <x14:borderColor theme="0"/>
              <x14:negativeFillColor rgb="FFFF0000"/>
              <x14:axisColor rgb="FF000000"/>
            </x14:dataBar>
          </x14:cfRule>
          <xm:sqref>J1822</xm:sqref>
        </x14:conditionalFormatting>
        <x14:conditionalFormatting xmlns:xm="http://schemas.microsoft.com/office/excel/2006/main">
          <x14:cfRule type="dataBar" id="{F215195A-A8C3-4C17-995C-44A5F9109B8D}">
            <x14:dataBar minLength="0" maxLength="100" border="1" gradient="0">
              <x14:cfvo type="num">
                <xm:f>0</xm:f>
              </x14:cfvo>
              <x14:cfvo type="num">
                <xm:f>1</xm:f>
              </x14:cfvo>
              <x14:borderColor theme="0"/>
              <x14:negativeFillColor rgb="FFFF0000"/>
              <x14:axisColor rgb="FF000000"/>
            </x14:dataBar>
          </x14:cfRule>
          <xm:sqref>J1824 J1826</xm:sqref>
        </x14:conditionalFormatting>
        <x14:conditionalFormatting xmlns:xm="http://schemas.microsoft.com/office/excel/2006/main">
          <x14:cfRule type="dataBar" id="{32FAD71D-CC2E-4301-98E7-4C21B3001DA2}">
            <x14:dataBar minLength="0" maxLength="100" border="1" gradient="0">
              <x14:cfvo type="num">
                <xm:f>0</xm:f>
              </x14:cfvo>
              <x14:cfvo type="num">
                <xm:f>1</xm:f>
              </x14:cfvo>
              <x14:borderColor theme="0"/>
              <x14:negativeFillColor rgb="FFFF0000"/>
              <x14:axisColor rgb="FF000000"/>
            </x14:dataBar>
          </x14:cfRule>
          <xm:sqref>J1828</xm:sqref>
        </x14:conditionalFormatting>
        <x14:conditionalFormatting xmlns:xm="http://schemas.microsoft.com/office/excel/2006/main">
          <x14:cfRule type="dataBar" id="{76087F98-E7DF-4CB4-92A0-0AE25D7A0B6A}">
            <x14:dataBar minLength="0" maxLength="100" border="1" gradient="0">
              <x14:cfvo type="num">
                <xm:f>0</xm:f>
              </x14:cfvo>
              <x14:cfvo type="num">
                <xm:f>1</xm:f>
              </x14:cfvo>
              <x14:borderColor theme="0"/>
              <x14:negativeFillColor rgb="FFFF0000"/>
              <x14:axisColor rgb="FF000000"/>
            </x14:dataBar>
          </x14:cfRule>
          <xm:sqref>J1830</xm:sqref>
        </x14:conditionalFormatting>
        <x14:conditionalFormatting xmlns:xm="http://schemas.microsoft.com/office/excel/2006/main">
          <x14:cfRule type="dataBar" id="{F5AE30BD-0A23-46A7-9BFC-9861996E420A}">
            <x14:dataBar minLength="0" maxLength="100" border="1" gradient="0">
              <x14:cfvo type="num">
                <xm:f>0</xm:f>
              </x14:cfvo>
              <x14:cfvo type="num">
                <xm:f>1</xm:f>
              </x14:cfvo>
              <x14:borderColor theme="0"/>
              <x14:negativeFillColor rgb="FFFF0000"/>
              <x14:axisColor rgb="FF000000"/>
            </x14:dataBar>
          </x14:cfRule>
          <xm:sqref>J1832 J1834</xm:sqref>
        </x14:conditionalFormatting>
        <x14:conditionalFormatting xmlns:xm="http://schemas.microsoft.com/office/excel/2006/main">
          <x14:cfRule type="dataBar" id="{F961968C-7E45-4BCD-92B0-D22560587761}">
            <x14:dataBar minLength="0" maxLength="100" border="1" gradient="0">
              <x14:cfvo type="num">
                <xm:f>0</xm:f>
              </x14:cfvo>
              <x14:cfvo type="num">
                <xm:f>1</xm:f>
              </x14:cfvo>
              <x14:borderColor theme="0"/>
              <x14:negativeFillColor rgb="FFFF0000"/>
              <x14:axisColor rgb="FF000000"/>
            </x14:dataBar>
          </x14:cfRule>
          <xm:sqref>J1836</xm:sqref>
        </x14:conditionalFormatting>
        <x14:conditionalFormatting xmlns:xm="http://schemas.microsoft.com/office/excel/2006/main">
          <x14:cfRule type="dataBar" id="{EAABE7E0-DE19-421B-88B4-DB6C6AE922C7}">
            <x14:dataBar minLength="0" maxLength="100" border="1" gradient="0">
              <x14:cfvo type="num">
                <xm:f>0</xm:f>
              </x14:cfvo>
              <x14:cfvo type="num">
                <xm:f>1</xm:f>
              </x14:cfvo>
              <x14:borderColor theme="0"/>
              <x14:negativeFillColor rgb="FFFF0000"/>
              <x14:axisColor rgb="FF000000"/>
            </x14:dataBar>
          </x14:cfRule>
          <xm:sqref>J1838</xm:sqref>
        </x14:conditionalFormatting>
        <x14:conditionalFormatting xmlns:xm="http://schemas.microsoft.com/office/excel/2006/main">
          <x14:cfRule type="dataBar" id="{220112BB-38A3-4F2D-ACF2-A5D8E182C3A0}">
            <x14:dataBar minLength="0" maxLength="100" border="1" gradient="0">
              <x14:cfvo type="num">
                <xm:f>0</xm:f>
              </x14:cfvo>
              <x14:cfvo type="num">
                <xm:f>1</xm:f>
              </x14:cfvo>
              <x14:borderColor theme="0"/>
              <x14:negativeFillColor rgb="FFFF0000"/>
              <x14:axisColor rgb="FF000000"/>
            </x14:dataBar>
          </x14:cfRule>
          <xm:sqref>J1840</xm:sqref>
        </x14:conditionalFormatting>
        <x14:conditionalFormatting xmlns:xm="http://schemas.microsoft.com/office/excel/2006/main">
          <x14:cfRule type="dataBar" id="{2CE556E4-8A7B-47F4-A694-4F703F99643A}">
            <x14:dataBar minLength="0" maxLength="100" border="1" gradient="0">
              <x14:cfvo type="num">
                <xm:f>0</xm:f>
              </x14:cfvo>
              <x14:cfvo type="num">
                <xm:f>1</xm:f>
              </x14:cfvo>
              <x14:borderColor theme="0"/>
              <x14:negativeFillColor rgb="FFFF0000"/>
              <x14:axisColor rgb="FF000000"/>
            </x14:dataBar>
          </x14:cfRule>
          <xm:sqref>J1842</xm:sqref>
        </x14:conditionalFormatting>
        <x14:conditionalFormatting xmlns:xm="http://schemas.microsoft.com/office/excel/2006/main">
          <x14:cfRule type="dataBar" id="{EB343D31-FDF3-41A0-9026-5FAAF333445E}">
            <x14:dataBar minLength="0" maxLength="100" border="1" gradient="0">
              <x14:cfvo type="num">
                <xm:f>0</xm:f>
              </x14:cfvo>
              <x14:cfvo type="num">
                <xm:f>1</xm:f>
              </x14:cfvo>
              <x14:borderColor theme="0"/>
              <x14:negativeFillColor rgb="FFFF0000"/>
              <x14:axisColor rgb="FF000000"/>
            </x14:dataBar>
          </x14:cfRule>
          <xm:sqref>J1844</xm:sqref>
        </x14:conditionalFormatting>
        <x14:conditionalFormatting xmlns:xm="http://schemas.microsoft.com/office/excel/2006/main">
          <x14:cfRule type="dataBar" id="{09A9AC97-5B2B-4ADE-9787-8114AB5DBA53}">
            <x14:dataBar minLength="0" maxLength="100" border="1" gradient="0">
              <x14:cfvo type="num">
                <xm:f>0</xm:f>
              </x14:cfvo>
              <x14:cfvo type="num">
                <xm:f>1</xm:f>
              </x14:cfvo>
              <x14:borderColor theme="0"/>
              <x14:negativeFillColor rgb="FFFF0000"/>
              <x14:axisColor rgb="FF000000"/>
            </x14:dataBar>
          </x14:cfRule>
          <xm:sqref>J1847</xm:sqref>
        </x14:conditionalFormatting>
        <x14:conditionalFormatting xmlns:xm="http://schemas.microsoft.com/office/excel/2006/main">
          <x14:cfRule type="dataBar" id="{2D1E7ECD-2106-4B4B-8BC1-8B404E65BC13}">
            <x14:dataBar minLength="0" maxLength="100" border="1" gradient="0">
              <x14:cfvo type="num">
                <xm:f>0</xm:f>
              </x14:cfvo>
              <x14:cfvo type="num">
                <xm:f>1</xm:f>
              </x14:cfvo>
              <x14:borderColor theme="0"/>
              <x14:negativeFillColor rgb="FFFF0000"/>
              <x14:axisColor rgb="FF000000"/>
            </x14:dataBar>
          </x14:cfRule>
          <xm:sqref>J1849</xm:sqref>
        </x14:conditionalFormatting>
        <x14:conditionalFormatting xmlns:xm="http://schemas.microsoft.com/office/excel/2006/main">
          <x14:cfRule type="dataBar" id="{CD02F65A-73B8-4361-BEE5-B9C7361A85D3}">
            <x14:dataBar minLength="0" maxLength="100" border="1" gradient="0">
              <x14:cfvo type="num">
                <xm:f>0</xm:f>
              </x14:cfvo>
              <x14:cfvo type="num">
                <xm:f>1</xm:f>
              </x14:cfvo>
              <x14:borderColor theme="0"/>
              <x14:negativeFillColor rgb="FFFF0000"/>
              <x14:axisColor rgb="FF000000"/>
            </x14:dataBar>
          </x14:cfRule>
          <xm:sqref>J1851</xm:sqref>
        </x14:conditionalFormatting>
        <x14:conditionalFormatting xmlns:xm="http://schemas.microsoft.com/office/excel/2006/main">
          <x14:cfRule type="dataBar" id="{A463135B-F015-4069-940E-60F2665CE729}">
            <x14:dataBar minLength="0" maxLength="100" border="1" gradient="0">
              <x14:cfvo type="num">
                <xm:f>0</xm:f>
              </x14:cfvo>
              <x14:cfvo type="num">
                <xm:f>1</xm:f>
              </x14:cfvo>
              <x14:borderColor theme="0"/>
              <x14:negativeFillColor rgb="FFFF0000"/>
              <x14:axisColor rgb="FF000000"/>
            </x14:dataBar>
          </x14:cfRule>
          <xm:sqref>J1853</xm:sqref>
        </x14:conditionalFormatting>
        <x14:conditionalFormatting xmlns:xm="http://schemas.microsoft.com/office/excel/2006/main">
          <x14:cfRule type="dataBar" id="{C536EB02-6BF1-4506-8209-9491E0648033}">
            <x14:dataBar minLength="0" maxLength="100" border="1" gradient="0">
              <x14:cfvo type="num">
                <xm:f>0</xm:f>
              </x14:cfvo>
              <x14:cfvo type="num">
                <xm:f>1</xm:f>
              </x14:cfvo>
              <x14:borderColor theme="0"/>
              <x14:negativeFillColor rgb="FFFF0000"/>
              <x14:axisColor rgb="FF000000"/>
            </x14:dataBar>
          </x14:cfRule>
          <xm:sqref>J1855</xm:sqref>
        </x14:conditionalFormatting>
        <x14:conditionalFormatting xmlns:xm="http://schemas.microsoft.com/office/excel/2006/main">
          <x14:cfRule type="dataBar" id="{18F9CD0C-7DB2-4B72-A57A-3F8596E6E188}">
            <x14:dataBar minLength="0" maxLength="100" border="1" gradient="0">
              <x14:cfvo type="num">
                <xm:f>0</xm:f>
              </x14:cfvo>
              <x14:cfvo type="num">
                <xm:f>1</xm:f>
              </x14:cfvo>
              <x14:borderColor theme="0"/>
              <x14:negativeFillColor rgb="FFFF0000"/>
              <x14:axisColor rgb="FF000000"/>
            </x14:dataBar>
          </x14:cfRule>
          <xm:sqref>J1857</xm:sqref>
        </x14:conditionalFormatting>
        <x14:conditionalFormatting xmlns:xm="http://schemas.microsoft.com/office/excel/2006/main">
          <x14:cfRule type="dataBar" id="{989A830F-406F-4DED-B27F-3B9A34E11811}">
            <x14:dataBar minLength="0" maxLength="100" border="1" gradient="0">
              <x14:cfvo type="num">
                <xm:f>0</xm:f>
              </x14:cfvo>
              <x14:cfvo type="num">
                <xm:f>1</xm:f>
              </x14:cfvo>
              <x14:borderColor theme="0"/>
              <x14:negativeFillColor rgb="FFFF0000"/>
              <x14:axisColor rgb="FF000000"/>
            </x14:dataBar>
          </x14:cfRule>
          <xm:sqref>J1860</xm:sqref>
        </x14:conditionalFormatting>
        <x14:conditionalFormatting xmlns:xm="http://schemas.microsoft.com/office/excel/2006/main">
          <x14:cfRule type="dataBar" id="{9906E70D-D38E-48E4-9456-25FEEEEF1AF2}">
            <x14:dataBar minLength="0" maxLength="100" border="1" gradient="0">
              <x14:cfvo type="num">
                <xm:f>0</xm:f>
              </x14:cfvo>
              <x14:cfvo type="num">
                <xm:f>1</xm:f>
              </x14:cfvo>
              <x14:borderColor theme="0"/>
              <x14:negativeFillColor rgb="FFFF0000"/>
              <x14:axisColor rgb="FF000000"/>
            </x14:dataBar>
          </x14:cfRule>
          <xm:sqref>J1862 J1864 J1866</xm:sqref>
        </x14:conditionalFormatting>
        <x14:conditionalFormatting xmlns:xm="http://schemas.microsoft.com/office/excel/2006/main">
          <x14:cfRule type="dataBar" id="{C89CD3CA-40CB-4E94-833F-1A47B004D760}">
            <x14:dataBar minLength="0" maxLength="100" border="1" gradient="0">
              <x14:cfvo type="num">
                <xm:f>0</xm:f>
              </x14:cfvo>
              <x14:cfvo type="num">
                <xm:f>1</xm:f>
              </x14:cfvo>
              <x14:borderColor theme="0"/>
              <x14:negativeFillColor rgb="FFFF0000"/>
              <x14:axisColor rgb="FF000000"/>
            </x14:dataBar>
          </x14:cfRule>
          <xm:sqref>J1868 J1870 J1872</xm:sqref>
        </x14:conditionalFormatting>
        <x14:conditionalFormatting xmlns:xm="http://schemas.microsoft.com/office/excel/2006/main">
          <x14:cfRule type="dataBar" id="{E1DFA9EC-E919-4E33-89BF-A166E6008934}">
            <x14:dataBar minLength="0" maxLength="100" border="1" gradient="0">
              <x14:cfvo type="num">
                <xm:f>0</xm:f>
              </x14:cfvo>
              <x14:cfvo type="num">
                <xm:f>1</xm:f>
              </x14:cfvo>
              <x14:borderColor theme="0"/>
              <x14:negativeFillColor rgb="FFFF0000"/>
              <x14:axisColor rgb="FF000000"/>
            </x14:dataBar>
          </x14:cfRule>
          <xm:sqref>J1874 J1876 J1878</xm:sqref>
        </x14:conditionalFormatting>
        <x14:conditionalFormatting xmlns:xm="http://schemas.microsoft.com/office/excel/2006/main">
          <x14:cfRule type="dataBar" id="{BCB87F86-3285-4B6E-8D63-187D40CD3250}">
            <x14:dataBar minLength="0" maxLength="100" border="1" gradient="0">
              <x14:cfvo type="num">
                <xm:f>0</xm:f>
              </x14:cfvo>
              <x14:cfvo type="num">
                <xm:f>1</xm:f>
              </x14:cfvo>
              <x14:borderColor theme="0"/>
              <x14:negativeFillColor rgb="FFFF0000"/>
              <x14:axisColor rgb="FF000000"/>
            </x14:dataBar>
          </x14:cfRule>
          <xm:sqref>J1882</xm:sqref>
        </x14:conditionalFormatting>
        <x14:conditionalFormatting xmlns:xm="http://schemas.microsoft.com/office/excel/2006/main">
          <x14:cfRule type="dataBar" id="{9609A78B-3F7F-424A-A5FC-431ADBADA891}">
            <x14:dataBar minLength="0" maxLength="100" border="1" gradient="0">
              <x14:cfvo type="num">
                <xm:f>0</xm:f>
              </x14:cfvo>
              <x14:cfvo type="num">
                <xm:f>1</xm:f>
              </x14:cfvo>
              <x14:borderColor theme="0"/>
              <x14:negativeFillColor rgb="FFFF0000"/>
              <x14:axisColor rgb="FF000000"/>
            </x14:dataBar>
          </x14:cfRule>
          <xm:sqref>J1884 J1894 J1886 J1888 J1890 J1892 J1896</xm:sqref>
        </x14:conditionalFormatting>
        <x14:conditionalFormatting xmlns:xm="http://schemas.microsoft.com/office/excel/2006/main">
          <x14:cfRule type="dataBar" id="{81473269-8571-4569-B747-00BE64DD5FF3}">
            <x14:dataBar minLength="0" maxLength="100" border="1" gradient="0">
              <x14:cfvo type="num">
                <xm:f>0</xm:f>
              </x14:cfvo>
              <x14:cfvo type="num">
                <xm:f>1</xm:f>
              </x14:cfvo>
              <x14:borderColor theme="0"/>
              <x14:negativeFillColor rgb="FFFF0000"/>
              <x14:axisColor rgb="FF000000"/>
            </x14:dataBar>
          </x14:cfRule>
          <xm:sqref>J1898</xm:sqref>
        </x14:conditionalFormatting>
        <x14:conditionalFormatting xmlns:xm="http://schemas.microsoft.com/office/excel/2006/main">
          <x14:cfRule type="dataBar" id="{B7443F1B-0A2A-4D24-B862-01D506D1D2BA}">
            <x14:dataBar minLength="0" maxLength="100" border="1" gradient="0">
              <x14:cfvo type="num">
                <xm:f>0</xm:f>
              </x14:cfvo>
              <x14:cfvo type="num">
                <xm:f>1</xm:f>
              </x14:cfvo>
              <x14:borderColor theme="0"/>
              <x14:negativeFillColor rgb="FFFF0000"/>
              <x14:axisColor rgb="FF000000"/>
            </x14:dataBar>
          </x14:cfRule>
          <xm:sqref>J1903</xm:sqref>
        </x14:conditionalFormatting>
        <x14:conditionalFormatting xmlns:xm="http://schemas.microsoft.com/office/excel/2006/main">
          <x14:cfRule type="dataBar" id="{5EBD5936-9997-4B02-AE9E-11B813EEF313}">
            <x14:dataBar minLength="0" maxLength="100" border="1" gradient="0">
              <x14:cfvo type="num">
                <xm:f>0</xm:f>
              </x14:cfvo>
              <x14:cfvo type="num">
                <xm:f>1</xm:f>
              </x14:cfvo>
              <x14:borderColor theme="0"/>
              <x14:negativeFillColor rgb="FFFF0000"/>
              <x14:axisColor rgb="FF000000"/>
            </x14:dataBar>
          </x14:cfRule>
          <xm:sqref>J1907</xm:sqref>
        </x14:conditionalFormatting>
        <x14:conditionalFormatting xmlns:xm="http://schemas.microsoft.com/office/excel/2006/main">
          <x14:cfRule type="dataBar" id="{AE468460-9384-4C0F-8B08-19D781B27CDF}">
            <x14:dataBar minLength="0" maxLength="100" border="1" gradient="0">
              <x14:cfvo type="num">
                <xm:f>0</xm:f>
              </x14:cfvo>
              <x14:cfvo type="num">
                <xm:f>1</xm:f>
              </x14:cfvo>
              <x14:borderColor theme="0"/>
              <x14:negativeFillColor rgb="FFFF0000"/>
              <x14:axisColor rgb="FF000000"/>
            </x14:dataBar>
          </x14:cfRule>
          <xm:sqref>J1909 J1913 J1915 J1917 J1919 J1921 J1923</xm:sqref>
        </x14:conditionalFormatting>
        <x14:conditionalFormatting xmlns:xm="http://schemas.microsoft.com/office/excel/2006/main">
          <x14:cfRule type="dataBar" id="{8514F801-8CD5-45E2-A0A9-F4B31C614AD0}">
            <x14:dataBar minLength="0" maxLength="100" border="1" gradient="0">
              <x14:cfvo type="num">
                <xm:f>0</xm:f>
              </x14:cfvo>
              <x14:cfvo type="num">
                <xm:f>1</xm:f>
              </x14:cfvo>
              <x14:borderColor theme="0"/>
              <x14:negativeFillColor rgb="FFFF0000"/>
              <x14:axisColor rgb="FF000000"/>
            </x14:dataBar>
          </x14:cfRule>
          <xm:sqref>J1911</xm:sqref>
        </x14:conditionalFormatting>
        <x14:conditionalFormatting xmlns:xm="http://schemas.microsoft.com/office/excel/2006/main">
          <x14:cfRule type="dataBar" id="{8835175E-C31B-4E42-815D-7D675907D1EF}">
            <x14:dataBar minLength="0" maxLength="100" border="1" gradient="0">
              <x14:cfvo type="num">
                <xm:f>0</xm:f>
              </x14:cfvo>
              <x14:cfvo type="num">
                <xm:f>1</xm:f>
              </x14:cfvo>
              <x14:borderColor theme="0"/>
              <x14:negativeFillColor rgb="FFFF0000"/>
              <x14:axisColor rgb="FF000000"/>
            </x14:dataBar>
          </x14:cfRule>
          <xm:sqref>J1925</xm:sqref>
        </x14:conditionalFormatting>
        <x14:conditionalFormatting xmlns:xm="http://schemas.microsoft.com/office/excel/2006/main">
          <x14:cfRule type="dataBar" id="{E08CF0FC-39DE-4657-B758-803D9BECAADD}">
            <x14:dataBar minLength="0" maxLength="100" border="1" gradient="0">
              <x14:cfvo type="num">
                <xm:f>0</xm:f>
              </x14:cfvo>
              <x14:cfvo type="num">
                <xm:f>1</xm:f>
              </x14:cfvo>
              <x14:borderColor theme="0"/>
              <x14:negativeFillColor rgb="FFFF0000"/>
              <x14:axisColor rgb="FF000000"/>
            </x14:dataBar>
          </x14:cfRule>
          <xm:sqref>J1927</xm:sqref>
        </x14:conditionalFormatting>
        <x14:conditionalFormatting xmlns:xm="http://schemas.microsoft.com/office/excel/2006/main">
          <x14:cfRule type="dataBar" id="{2E6BBCED-F06A-4333-BC48-4256D6A4DAA4}">
            <x14:dataBar minLength="0" maxLength="100" border="1" gradient="0">
              <x14:cfvo type="num">
                <xm:f>0</xm:f>
              </x14:cfvo>
              <x14:cfvo type="num">
                <xm:f>1</xm:f>
              </x14:cfvo>
              <x14:borderColor theme="0"/>
              <x14:negativeFillColor rgb="FFFF0000"/>
              <x14:axisColor rgb="FF000000"/>
            </x14:dataBar>
          </x14:cfRule>
          <xm:sqref>J1929</xm:sqref>
        </x14:conditionalFormatting>
        <x14:conditionalFormatting xmlns:xm="http://schemas.microsoft.com/office/excel/2006/main">
          <x14:cfRule type="dataBar" id="{AAF65436-A74F-4CC3-A0C0-D9EA8E9E9E9A}">
            <x14:dataBar minLength="0" maxLength="100" border="1" gradient="0">
              <x14:cfvo type="num">
                <xm:f>0</xm:f>
              </x14:cfvo>
              <x14:cfvo type="num">
                <xm:f>1</xm:f>
              </x14:cfvo>
              <x14:borderColor theme="0"/>
              <x14:negativeFillColor rgb="FFFF0000"/>
              <x14:axisColor rgb="FF000000"/>
            </x14:dataBar>
          </x14:cfRule>
          <xm:sqref>J1931</xm:sqref>
        </x14:conditionalFormatting>
        <x14:conditionalFormatting xmlns:xm="http://schemas.microsoft.com/office/excel/2006/main">
          <x14:cfRule type="dataBar" id="{5E674BAD-9616-4814-9A54-57F99558F355}">
            <x14:dataBar minLength="0" maxLength="100" border="1" gradient="0">
              <x14:cfvo type="num">
                <xm:f>0</xm:f>
              </x14:cfvo>
              <x14:cfvo type="num">
                <xm:f>1</xm:f>
              </x14:cfvo>
              <x14:borderColor theme="0"/>
              <x14:negativeFillColor rgb="FFFF0000"/>
              <x14:axisColor rgb="FF000000"/>
            </x14:dataBar>
          </x14:cfRule>
          <xm:sqref>J1933</xm:sqref>
        </x14:conditionalFormatting>
        <x14:conditionalFormatting xmlns:xm="http://schemas.microsoft.com/office/excel/2006/main">
          <x14:cfRule type="dataBar" id="{6F08E38F-CBD5-4E7A-A189-F3F02706C492}">
            <x14:dataBar minLength="0" maxLength="100" border="1" gradient="0">
              <x14:cfvo type="num">
                <xm:f>0</xm:f>
              </x14:cfvo>
              <x14:cfvo type="num">
                <xm:f>1</xm:f>
              </x14:cfvo>
              <x14:borderColor theme="0"/>
              <x14:negativeFillColor rgb="FFFF0000"/>
              <x14:axisColor rgb="FF000000"/>
            </x14:dataBar>
          </x14:cfRule>
          <xm:sqref>J1935</xm:sqref>
        </x14:conditionalFormatting>
        <x14:conditionalFormatting xmlns:xm="http://schemas.microsoft.com/office/excel/2006/main">
          <x14:cfRule type="dataBar" id="{8A681FD4-DF74-4677-8153-13F311FB4076}">
            <x14:dataBar minLength="0" maxLength="100" border="1" gradient="0">
              <x14:cfvo type="num">
                <xm:f>0</xm:f>
              </x14:cfvo>
              <x14:cfvo type="num">
                <xm:f>1</xm:f>
              </x14:cfvo>
              <x14:borderColor theme="0"/>
              <x14:negativeFillColor rgb="FFFF0000"/>
              <x14:axisColor rgb="FF000000"/>
            </x14:dataBar>
          </x14:cfRule>
          <xm:sqref>J1937</xm:sqref>
        </x14:conditionalFormatting>
        <x14:conditionalFormatting xmlns:xm="http://schemas.microsoft.com/office/excel/2006/main">
          <x14:cfRule type="dataBar" id="{EF1ACD69-F0B6-4AF1-9740-85C15CAEF8E2}">
            <x14:dataBar minLength="0" maxLength="100" border="1" gradient="0">
              <x14:cfvo type="num">
                <xm:f>0</xm:f>
              </x14:cfvo>
              <x14:cfvo type="num">
                <xm:f>1</xm:f>
              </x14:cfvo>
              <x14:borderColor theme="0"/>
              <x14:negativeFillColor rgb="FFFF0000"/>
              <x14:axisColor rgb="FF000000"/>
            </x14:dataBar>
          </x14:cfRule>
          <xm:sqref>J1939</xm:sqref>
        </x14:conditionalFormatting>
        <x14:conditionalFormatting xmlns:xm="http://schemas.microsoft.com/office/excel/2006/main">
          <x14:cfRule type="dataBar" id="{D8C66910-A782-4DE1-BF4E-40D3B29EC14C}">
            <x14:dataBar minLength="0" maxLength="100" border="1" gradient="0">
              <x14:cfvo type="num">
                <xm:f>0</xm:f>
              </x14:cfvo>
              <x14:cfvo type="num">
                <xm:f>1</xm:f>
              </x14:cfvo>
              <x14:borderColor theme="0"/>
              <x14:negativeFillColor rgb="FFFF0000"/>
              <x14:axisColor rgb="FF000000"/>
            </x14:dataBar>
          </x14:cfRule>
          <xm:sqref>J1941</xm:sqref>
        </x14:conditionalFormatting>
        <x14:conditionalFormatting xmlns:xm="http://schemas.microsoft.com/office/excel/2006/main">
          <x14:cfRule type="dataBar" id="{CA064A13-47FF-47EE-A283-D6460B3E5BA5}">
            <x14:dataBar minLength="0" maxLength="100" border="1" gradient="0">
              <x14:cfvo type="num">
                <xm:f>0</xm:f>
              </x14:cfvo>
              <x14:cfvo type="num">
                <xm:f>1</xm:f>
              </x14:cfvo>
              <x14:borderColor theme="0"/>
              <x14:negativeFillColor rgb="FFFF0000"/>
              <x14:axisColor rgb="FF000000"/>
            </x14:dataBar>
          </x14:cfRule>
          <xm:sqref>J1943</xm:sqref>
        </x14:conditionalFormatting>
        <x14:conditionalFormatting xmlns:xm="http://schemas.microsoft.com/office/excel/2006/main">
          <x14:cfRule type="dataBar" id="{9FF6F7FF-BB0A-4B12-BE97-2791DA8286BB}">
            <x14:dataBar minLength="0" maxLength="100" border="1" gradient="0">
              <x14:cfvo type="num">
                <xm:f>0</xm:f>
              </x14:cfvo>
              <x14:cfvo type="num">
                <xm:f>1</xm:f>
              </x14:cfvo>
              <x14:borderColor theme="0"/>
              <x14:negativeFillColor rgb="FFFF0000"/>
              <x14:axisColor rgb="FF000000"/>
            </x14:dataBar>
          </x14:cfRule>
          <xm:sqref>J1945</xm:sqref>
        </x14:conditionalFormatting>
        <x14:conditionalFormatting xmlns:xm="http://schemas.microsoft.com/office/excel/2006/main">
          <x14:cfRule type="dataBar" id="{3A8A1195-1215-4B79-9476-ACA246F717B8}">
            <x14:dataBar minLength="0" maxLength="100" border="1" gradient="0">
              <x14:cfvo type="num">
                <xm:f>0</xm:f>
              </x14:cfvo>
              <x14:cfvo type="num">
                <xm:f>1</xm:f>
              </x14:cfvo>
              <x14:borderColor theme="0"/>
              <x14:negativeFillColor rgb="FFFF0000"/>
              <x14:axisColor rgb="FF000000"/>
            </x14:dataBar>
          </x14:cfRule>
          <xm:sqref>J1947</xm:sqref>
        </x14:conditionalFormatting>
        <x14:conditionalFormatting xmlns:xm="http://schemas.microsoft.com/office/excel/2006/main">
          <x14:cfRule type="dataBar" id="{2E171EF6-1E2C-4264-A351-3B488533EDA5}">
            <x14:dataBar minLength="0" maxLength="100" border="1" gradient="0">
              <x14:cfvo type="num">
                <xm:f>0</xm:f>
              </x14:cfvo>
              <x14:cfvo type="num">
                <xm:f>1</xm:f>
              </x14:cfvo>
              <x14:borderColor theme="0"/>
              <x14:negativeFillColor rgb="FFFF0000"/>
              <x14:axisColor rgb="FF000000"/>
            </x14:dataBar>
          </x14:cfRule>
          <xm:sqref>J1949</xm:sqref>
        </x14:conditionalFormatting>
        <x14:conditionalFormatting xmlns:xm="http://schemas.microsoft.com/office/excel/2006/main">
          <x14:cfRule type="dataBar" id="{039762C8-EBD0-4788-B4E0-EC2B785E7614}">
            <x14:dataBar minLength="0" maxLength="100" border="1" gradient="0">
              <x14:cfvo type="num">
                <xm:f>0</xm:f>
              </x14:cfvo>
              <x14:cfvo type="num">
                <xm:f>1</xm:f>
              </x14:cfvo>
              <x14:borderColor theme="0"/>
              <x14:negativeFillColor rgb="FFFF0000"/>
              <x14:axisColor rgb="FF000000"/>
            </x14:dataBar>
          </x14:cfRule>
          <xm:sqref>J1951</xm:sqref>
        </x14:conditionalFormatting>
        <x14:conditionalFormatting xmlns:xm="http://schemas.microsoft.com/office/excel/2006/main">
          <x14:cfRule type="dataBar" id="{35B16EE7-BB99-4E75-8537-477072857693}">
            <x14:dataBar minLength="0" maxLength="100" border="1" gradient="0">
              <x14:cfvo type="num">
                <xm:f>0</xm:f>
              </x14:cfvo>
              <x14:cfvo type="num">
                <xm:f>1</xm:f>
              </x14:cfvo>
              <x14:borderColor theme="0"/>
              <x14:negativeFillColor rgb="FFFF0000"/>
              <x14:axisColor rgb="FF000000"/>
            </x14:dataBar>
          </x14:cfRule>
          <xm:sqref>J1953</xm:sqref>
        </x14:conditionalFormatting>
        <x14:conditionalFormatting xmlns:xm="http://schemas.microsoft.com/office/excel/2006/main">
          <x14:cfRule type="dataBar" id="{73303235-B4CF-4F75-8598-325527BD64A1}">
            <x14:dataBar minLength="0" maxLength="100" border="1" gradient="0">
              <x14:cfvo type="num">
                <xm:f>0</xm:f>
              </x14:cfvo>
              <x14:cfvo type="num">
                <xm:f>1</xm:f>
              </x14:cfvo>
              <x14:borderColor theme="0"/>
              <x14:negativeFillColor rgb="FFFF0000"/>
              <x14:axisColor rgb="FF000000"/>
            </x14:dataBar>
          </x14:cfRule>
          <xm:sqref>J1955</xm:sqref>
        </x14:conditionalFormatting>
        <x14:conditionalFormatting xmlns:xm="http://schemas.microsoft.com/office/excel/2006/main">
          <x14:cfRule type="dataBar" id="{1BB64BCC-1A86-4572-B37B-82C81F944074}">
            <x14:dataBar minLength="0" maxLength="100" border="1" gradient="0">
              <x14:cfvo type="num">
                <xm:f>0</xm:f>
              </x14:cfvo>
              <x14:cfvo type="num">
                <xm:f>1</xm:f>
              </x14:cfvo>
              <x14:borderColor theme="0"/>
              <x14:negativeFillColor rgb="FFFF0000"/>
              <x14:axisColor rgb="FF000000"/>
            </x14:dataBar>
          </x14:cfRule>
          <xm:sqref>J1957</xm:sqref>
        </x14:conditionalFormatting>
        <x14:conditionalFormatting xmlns:xm="http://schemas.microsoft.com/office/excel/2006/main">
          <x14:cfRule type="dataBar" id="{063229A3-9533-489D-A9A3-EC4D288F4874}">
            <x14:dataBar minLength="0" maxLength="100" border="1" gradient="0">
              <x14:cfvo type="num">
                <xm:f>0</xm:f>
              </x14:cfvo>
              <x14:cfvo type="num">
                <xm:f>1</xm:f>
              </x14:cfvo>
              <x14:borderColor theme="0"/>
              <x14:negativeFillColor rgb="FFFF0000"/>
              <x14:axisColor rgb="FF000000"/>
            </x14:dataBar>
          </x14:cfRule>
          <xm:sqref>J1959</xm:sqref>
        </x14:conditionalFormatting>
        <x14:conditionalFormatting xmlns:xm="http://schemas.microsoft.com/office/excel/2006/main">
          <x14:cfRule type="dataBar" id="{2F4C267D-A906-4A93-97CE-31F61A238D4A}">
            <x14:dataBar minLength="0" maxLength="100" border="1" gradient="0">
              <x14:cfvo type="num">
                <xm:f>0</xm:f>
              </x14:cfvo>
              <x14:cfvo type="num">
                <xm:f>1</xm:f>
              </x14:cfvo>
              <x14:borderColor theme="0"/>
              <x14:negativeFillColor rgb="FFFF0000"/>
              <x14:axisColor rgb="FF000000"/>
            </x14:dataBar>
          </x14:cfRule>
          <xm:sqref>J1961</xm:sqref>
        </x14:conditionalFormatting>
        <x14:conditionalFormatting xmlns:xm="http://schemas.microsoft.com/office/excel/2006/main">
          <x14:cfRule type="dataBar" id="{68D8F21D-934B-4C84-B244-EF85CA284D41}">
            <x14:dataBar minLength="0" maxLength="100" border="1" gradient="0">
              <x14:cfvo type="num">
                <xm:f>0</xm:f>
              </x14:cfvo>
              <x14:cfvo type="num">
                <xm:f>1</xm:f>
              </x14:cfvo>
              <x14:borderColor theme="0"/>
              <x14:negativeFillColor rgb="FFFF0000"/>
              <x14:axisColor rgb="FF000000"/>
            </x14:dataBar>
          </x14:cfRule>
          <xm:sqref>J1963</xm:sqref>
        </x14:conditionalFormatting>
        <x14:conditionalFormatting xmlns:xm="http://schemas.microsoft.com/office/excel/2006/main">
          <x14:cfRule type="dataBar" id="{9678B265-3A18-406B-916F-186BB9724EFE}">
            <x14:dataBar minLength="0" maxLength="100" border="1" gradient="0">
              <x14:cfvo type="num">
                <xm:f>0</xm:f>
              </x14:cfvo>
              <x14:cfvo type="num">
                <xm:f>1</xm:f>
              </x14:cfvo>
              <x14:borderColor theme="0"/>
              <x14:negativeFillColor rgb="FFFF0000"/>
              <x14:axisColor rgb="FF000000"/>
            </x14:dataBar>
          </x14:cfRule>
          <xm:sqref>J1965</xm:sqref>
        </x14:conditionalFormatting>
        <x14:conditionalFormatting xmlns:xm="http://schemas.microsoft.com/office/excel/2006/main">
          <x14:cfRule type="dataBar" id="{FA1AC946-4654-4162-8B97-733F55C8B880}">
            <x14:dataBar minLength="0" maxLength="100" border="1" gradient="0">
              <x14:cfvo type="num">
                <xm:f>0</xm:f>
              </x14:cfvo>
              <x14:cfvo type="num">
                <xm:f>1</xm:f>
              </x14:cfvo>
              <x14:borderColor theme="0"/>
              <x14:negativeFillColor rgb="FFFF0000"/>
              <x14:axisColor rgb="FF000000"/>
            </x14:dataBar>
          </x14:cfRule>
          <xm:sqref>J1967</xm:sqref>
        </x14:conditionalFormatting>
        <x14:conditionalFormatting xmlns:xm="http://schemas.microsoft.com/office/excel/2006/main">
          <x14:cfRule type="dataBar" id="{4E4D0E98-48E4-4482-B04B-C19FFA863083}">
            <x14:dataBar minLength="0" maxLength="100" border="1" gradient="0">
              <x14:cfvo type="num">
                <xm:f>0</xm:f>
              </x14:cfvo>
              <x14:cfvo type="num">
                <xm:f>1</xm:f>
              </x14:cfvo>
              <x14:borderColor theme="0"/>
              <x14:negativeFillColor rgb="FFFF0000"/>
              <x14:axisColor rgb="FF000000"/>
            </x14:dataBar>
          </x14:cfRule>
          <xm:sqref>J1969</xm:sqref>
        </x14:conditionalFormatting>
        <x14:conditionalFormatting xmlns:xm="http://schemas.microsoft.com/office/excel/2006/main">
          <x14:cfRule type="dataBar" id="{61BA74A2-814F-4BF9-8351-50038FB6CA7A}">
            <x14:dataBar minLength="0" maxLength="100" border="1" gradient="0">
              <x14:cfvo type="num">
                <xm:f>0</xm:f>
              </x14:cfvo>
              <x14:cfvo type="num">
                <xm:f>1</xm:f>
              </x14:cfvo>
              <x14:borderColor theme="0"/>
              <x14:negativeFillColor rgb="FFFF0000"/>
              <x14:axisColor rgb="FF000000"/>
            </x14:dataBar>
          </x14:cfRule>
          <xm:sqref>J1971</xm:sqref>
        </x14:conditionalFormatting>
        <x14:conditionalFormatting xmlns:xm="http://schemas.microsoft.com/office/excel/2006/main">
          <x14:cfRule type="dataBar" id="{F57EC974-7F51-47F7-8904-10DA5D69D966}">
            <x14:dataBar minLength="0" maxLength="100" border="1" gradient="0">
              <x14:cfvo type="num">
                <xm:f>0</xm:f>
              </x14:cfvo>
              <x14:cfvo type="num">
                <xm:f>1</xm:f>
              </x14:cfvo>
              <x14:borderColor theme="0"/>
              <x14:negativeFillColor rgb="FFFF0000"/>
              <x14:axisColor rgb="FF000000"/>
            </x14:dataBar>
          </x14:cfRule>
          <xm:sqref>J1973</xm:sqref>
        </x14:conditionalFormatting>
        <x14:conditionalFormatting xmlns:xm="http://schemas.microsoft.com/office/excel/2006/main">
          <x14:cfRule type="dataBar" id="{E75DF091-553B-4709-AE36-F67B7D909EDA}">
            <x14:dataBar minLength="0" maxLength="100" border="1" gradient="0">
              <x14:cfvo type="num">
                <xm:f>0</xm:f>
              </x14:cfvo>
              <x14:cfvo type="num">
                <xm:f>1</xm:f>
              </x14:cfvo>
              <x14:borderColor theme="0"/>
              <x14:negativeFillColor rgb="FFFF0000"/>
              <x14:axisColor rgb="FF000000"/>
            </x14:dataBar>
          </x14:cfRule>
          <xm:sqref>J1975</xm:sqref>
        </x14:conditionalFormatting>
        <x14:conditionalFormatting xmlns:xm="http://schemas.microsoft.com/office/excel/2006/main">
          <x14:cfRule type="dataBar" id="{3B35329E-87B3-450C-B199-09B2E51C8647}">
            <x14:dataBar minLength="0" maxLength="100" border="1" gradient="0">
              <x14:cfvo type="num">
                <xm:f>0</xm:f>
              </x14:cfvo>
              <x14:cfvo type="num">
                <xm:f>1</xm:f>
              </x14:cfvo>
              <x14:borderColor theme="0"/>
              <x14:negativeFillColor rgb="FFFF0000"/>
              <x14:axisColor rgb="FF000000"/>
            </x14:dataBar>
          </x14:cfRule>
          <xm:sqref>J1977</xm:sqref>
        </x14:conditionalFormatting>
        <x14:conditionalFormatting xmlns:xm="http://schemas.microsoft.com/office/excel/2006/main">
          <x14:cfRule type="dataBar" id="{23C5F00F-8E26-4373-9D44-A7C0C8820D62}">
            <x14:dataBar minLength="0" maxLength="100" border="1" gradient="0">
              <x14:cfvo type="num">
                <xm:f>0</xm:f>
              </x14:cfvo>
              <x14:cfvo type="num">
                <xm:f>1</xm:f>
              </x14:cfvo>
              <x14:borderColor theme="0"/>
              <x14:negativeFillColor rgb="FFFF0000"/>
              <x14:axisColor rgb="FF000000"/>
            </x14:dataBar>
          </x14:cfRule>
          <xm:sqref>J1979</xm:sqref>
        </x14:conditionalFormatting>
        <x14:conditionalFormatting xmlns:xm="http://schemas.microsoft.com/office/excel/2006/main">
          <x14:cfRule type="dataBar" id="{94AD62A3-20FC-4A41-AE00-E95142C98BC1}">
            <x14:dataBar minLength="0" maxLength="100" border="1" gradient="0">
              <x14:cfvo type="num">
                <xm:f>0</xm:f>
              </x14:cfvo>
              <x14:cfvo type="num">
                <xm:f>1</xm:f>
              </x14:cfvo>
              <x14:borderColor theme="0"/>
              <x14:negativeFillColor rgb="FFFF0000"/>
              <x14:axisColor rgb="FF000000"/>
            </x14:dataBar>
          </x14:cfRule>
          <xm:sqref>J1981</xm:sqref>
        </x14:conditionalFormatting>
        <x14:conditionalFormatting xmlns:xm="http://schemas.microsoft.com/office/excel/2006/main">
          <x14:cfRule type="dataBar" id="{83B850BA-D204-41DA-8571-94DEF5BCCAE6}">
            <x14:dataBar minLength="0" maxLength="100" border="1" gradient="0">
              <x14:cfvo type="num">
                <xm:f>0</xm:f>
              </x14:cfvo>
              <x14:cfvo type="num">
                <xm:f>1</xm:f>
              </x14:cfvo>
              <x14:borderColor theme="0"/>
              <x14:negativeFillColor rgb="FFFF0000"/>
              <x14:axisColor rgb="FF000000"/>
            </x14:dataBar>
          </x14:cfRule>
          <xm:sqref>J1983</xm:sqref>
        </x14:conditionalFormatting>
        <x14:conditionalFormatting xmlns:xm="http://schemas.microsoft.com/office/excel/2006/main">
          <x14:cfRule type="dataBar" id="{5AF253DB-6F3C-4668-8A7A-78CE81603C8D}">
            <x14:dataBar minLength="0" maxLength="100" border="1" gradient="0">
              <x14:cfvo type="num">
                <xm:f>0</xm:f>
              </x14:cfvo>
              <x14:cfvo type="num">
                <xm:f>1</xm:f>
              </x14:cfvo>
              <x14:borderColor theme="0"/>
              <x14:negativeFillColor rgb="FFFF0000"/>
              <x14:axisColor rgb="FF000000"/>
            </x14:dataBar>
          </x14:cfRule>
          <xm:sqref>J1985</xm:sqref>
        </x14:conditionalFormatting>
        <x14:conditionalFormatting xmlns:xm="http://schemas.microsoft.com/office/excel/2006/main">
          <x14:cfRule type="dataBar" id="{3892F8E7-40A6-4077-8B5F-C991A9467F64}">
            <x14:dataBar minLength="0" maxLength="100" border="1" gradient="0">
              <x14:cfvo type="num">
                <xm:f>0</xm:f>
              </x14:cfvo>
              <x14:cfvo type="num">
                <xm:f>1</xm:f>
              </x14:cfvo>
              <x14:borderColor theme="0"/>
              <x14:negativeFillColor rgb="FFFF0000"/>
              <x14:axisColor rgb="FF000000"/>
            </x14:dataBar>
          </x14:cfRule>
          <xm:sqref>J1987</xm:sqref>
        </x14:conditionalFormatting>
        <x14:conditionalFormatting xmlns:xm="http://schemas.microsoft.com/office/excel/2006/main">
          <x14:cfRule type="dataBar" id="{CFBC20AE-5426-4824-A28C-026FF97834E0}">
            <x14:dataBar minLength="0" maxLength="100" border="1" gradient="0">
              <x14:cfvo type="num">
                <xm:f>0</xm:f>
              </x14:cfvo>
              <x14:cfvo type="num">
                <xm:f>1</xm:f>
              </x14:cfvo>
              <x14:borderColor theme="0"/>
              <x14:negativeFillColor rgb="FFFF0000"/>
              <x14:axisColor rgb="FF000000"/>
            </x14:dataBar>
          </x14:cfRule>
          <xm:sqref>J1989</xm:sqref>
        </x14:conditionalFormatting>
        <x14:conditionalFormatting xmlns:xm="http://schemas.microsoft.com/office/excel/2006/main">
          <x14:cfRule type="dataBar" id="{6A44B4BA-A3C4-4492-A819-DB2D23BA1791}">
            <x14:dataBar minLength="0" maxLength="100" border="1" gradient="0">
              <x14:cfvo type="num">
                <xm:f>0</xm:f>
              </x14:cfvo>
              <x14:cfvo type="num">
                <xm:f>1</xm:f>
              </x14:cfvo>
              <x14:borderColor theme="0"/>
              <x14:negativeFillColor rgb="FFFF0000"/>
              <x14:axisColor rgb="FF000000"/>
            </x14:dataBar>
          </x14:cfRule>
          <xm:sqref>J1991</xm:sqref>
        </x14:conditionalFormatting>
        <x14:conditionalFormatting xmlns:xm="http://schemas.microsoft.com/office/excel/2006/main">
          <x14:cfRule type="dataBar" id="{89981A02-C805-4FE8-B3AB-0E6BDA9A116B}">
            <x14:dataBar minLength="0" maxLength="100" border="1" gradient="0">
              <x14:cfvo type="num">
                <xm:f>0</xm:f>
              </x14:cfvo>
              <x14:cfvo type="num">
                <xm:f>1</xm:f>
              </x14:cfvo>
              <x14:borderColor theme="0"/>
              <x14:negativeFillColor rgb="FFFF0000"/>
              <x14:axisColor rgb="FF000000"/>
            </x14:dataBar>
          </x14:cfRule>
          <xm:sqref>J1993</xm:sqref>
        </x14:conditionalFormatting>
        <x14:conditionalFormatting xmlns:xm="http://schemas.microsoft.com/office/excel/2006/main">
          <x14:cfRule type="dataBar" id="{881029BF-E3F1-456F-ADA4-1570F77D077F}">
            <x14:dataBar minLength="0" maxLength="100" border="1" gradient="0">
              <x14:cfvo type="num">
                <xm:f>0</xm:f>
              </x14:cfvo>
              <x14:cfvo type="num">
                <xm:f>1</xm:f>
              </x14:cfvo>
              <x14:borderColor theme="0"/>
              <x14:negativeFillColor rgb="FFFF0000"/>
              <x14:axisColor rgb="FF000000"/>
            </x14:dataBar>
          </x14:cfRule>
          <xm:sqref>J1995</xm:sqref>
        </x14:conditionalFormatting>
        <x14:conditionalFormatting xmlns:xm="http://schemas.microsoft.com/office/excel/2006/main">
          <x14:cfRule type="dataBar" id="{1EA5EDE2-B3FD-44A2-9D1D-2D2A191122CC}">
            <x14:dataBar minLength="0" maxLength="100" border="1" gradient="0">
              <x14:cfvo type="num">
                <xm:f>0</xm:f>
              </x14:cfvo>
              <x14:cfvo type="num">
                <xm:f>1</xm:f>
              </x14:cfvo>
              <x14:borderColor theme="0"/>
              <x14:negativeFillColor rgb="FFFF0000"/>
              <x14:axisColor rgb="FF000000"/>
            </x14:dataBar>
          </x14:cfRule>
          <xm:sqref>J1998</xm:sqref>
        </x14:conditionalFormatting>
        <x14:conditionalFormatting xmlns:xm="http://schemas.microsoft.com/office/excel/2006/main">
          <x14:cfRule type="dataBar" id="{01CE29FA-1EDA-49CA-B813-90DCB866B377}">
            <x14:dataBar minLength="0" maxLength="100" border="1" gradient="0">
              <x14:cfvo type="num">
                <xm:f>0</xm:f>
              </x14:cfvo>
              <x14:cfvo type="num">
                <xm:f>1</xm:f>
              </x14:cfvo>
              <x14:borderColor theme="0"/>
              <x14:negativeFillColor rgb="FFFF0000"/>
              <x14:axisColor rgb="FF000000"/>
            </x14:dataBar>
          </x14:cfRule>
          <xm:sqref>J2000 J2002 J2004 J2006 J2008</xm:sqref>
        </x14:conditionalFormatting>
        <x14:conditionalFormatting xmlns:xm="http://schemas.microsoft.com/office/excel/2006/main">
          <x14:cfRule type="dataBar" id="{22FAC354-6943-491E-A705-E2ED8520AEDA}">
            <x14:dataBar minLength="0" maxLength="100" border="1" gradient="0">
              <x14:cfvo type="num">
                <xm:f>0</xm:f>
              </x14:cfvo>
              <x14:cfvo type="num">
                <xm:f>1</xm:f>
              </x14:cfvo>
              <x14:borderColor theme="0"/>
              <x14:negativeFillColor rgb="FFFF0000"/>
              <x14:axisColor rgb="FF000000"/>
            </x14:dataBar>
          </x14:cfRule>
          <xm:sqref>J2010 J2012 J2014 J2016 J2018</xm:sqref>
        </x14:conditionalFormatting>
        <x14:conditionalFormatting xmlns:xm="http://schemas.microsoft.com/office/excel/2006/main">
          <x14:cfRule type="dataBar" id="{C2F527AF-E740-4247-8A69-C584A91D9C7F}">
            <x14:dataBar minLength="0" maxLength="100" border="1" gradient="0">
              <x14:cfvo type="num">
                <xm:f>0</xm:f>
              </x14:cfvo>
              <x14:cfvo type="num">
                <xm:f>1</xm:f>
              </x14:cfvo>
              <x14:borderColor theme="0"/>
              <x14:negativeFillColor rgb="FFFF0000"/>
              <x14:axisColor rgb="FF000000"/>
            </x14:dataBar>
          </x14:cfRule>
          <xm:sqref>J2020 J2022 J2024 J2026 J2028</xm:sqref>
        </x14:conditionalFormatting>
        <x14:conditionalFormatting xmlns:xm="http://schemas.microsoft.com/office/excel/2006/main">
          <x14:cfRule type="dataBar" id="{4A2CF06D-6C93-4EF2-955F-44C8E5FA2C0E}">
            <x14:dataBar minLength="0" maxLength="100" border="1" gradient="0">
              <x14:cfvo type="num">
                <xm:f>0</xm:f>
              </x14:cfvo>
              <x14:cfvo type="num">
                <xm:f>1</xm:f>
              </x14:cfvo>
              <x14:borderColor theme="0"/>
              <x14:negativeFillColor rgb="FFFF0000"/>
              <x14:axisColor rgb="FF000000"/>
            </x14:dataBar>
          </x14:cfRule>
          <xm:sqref>J2030 J2032 J2034 J2036 J2038</xm:sqref>
        </x14:conditionalFormatting>
        <x14:conditionalFormatting xmlns:xm="http://schemas.microsoft.com/office/excel/2006/main">
          <x14:cfRule type="dataBar" id="{23F210A6-C7D8-4466-9FEF-6C4389BD6982}">
            <x14:dataBar minLength="0" maxLength="100" border="1" gradient="0">
              <x14:cfvo type="num">
                <xm:f>0</xm:f>
              </x14:cfvo>
              <x14:cfvo type="num">
                <xm:f>1</xm:f>
              </x14:cfvo>
              <x14:borderColor theme="0"/>
              <x14:negativeFillColor rgb="FFFF0000"/>
              <x14:axisColor rgb="FF000000"/>
            </x14:dataBar>
          </x14:cfRule>
          <xm:sqref>J2040 J2042 J2044 J2046 J2048</xm:sqref>
        </x14:conditionalFormatting>
        <x14:conditionalFormatting xmlns:xm="http://schemas.microsoft.com/office/excel/2006/main">
          <x14:cfRule type="dataBar" id="{E99297B8-8EC9-46CD-988C-95DB0AEA41F8}">
            <x14:dataBar minLength="0" maxLength="100" border="1" gradient="0">
              <x14:cfvo type="num">
                <xm:f>0</xm:f>
              </x14:cfvo>
              <x14:cfvo type="num">
                <xm:f>1</xm:f>
              </x14:cfvo>
              <x14:borderColor theme="0"/>
              <x14:negativeFillColor rgb="FFFF0000"/>
              <x14:axisColor rgb="FF000000"/>
            </x14:dataBar>
          </x14:cfRule>
          <xm:sqref>J2050 J2052 J2054 J2056 J2058</xm:sqref>
        </x14:conditionalFormatting>
        <x14:conditionalFormatting xmlns:xm="http://schemas.microsoft.com/office/excel/2006/main">
          <x14:cfRule type="dataBar" id="{55F5D966-D2CA-48E9-859B-3FA078437647}">
            <x14:dataBar minLength="0" maxLength="100" border="1" gradient="0">
              <x14:cfvo type="num">
                <xm:f>0</xm:f>
              </x14:cfvo>
              <x14:cfvo type="num">
                <xm:f>1</xm:f>
              </x14:cfvo>
              <x14:borderColor theme="0"/>
              <x14:negativeFillColor rgb="FFFF0000"/>
              <x14:axisColor rgb="FF000000"/>
            </x14:dataBar>
          </x14:cfRule>
          <xm:sqref>J2060 J2062 J2064 J2066 J2068</xm:sqref>
        </x14:conditionalFormatting>
        <x14:conditionalFormatting xmlns:xm="http://schemas.microsoft.com/office/excel/2006/main">
          <x14:cfRule type="dataBar" id="{7C8CBC57-EF1D-4C55-BC3D-1BFE7F1C7958}">
            <x14:dataBar minLength="0" maxLength="100" border="1" gradient="0">
              <x14:cfvo type="num">
                <xm:f>0</xm:f>
              </x14:cfvo>
              <x14:cfvo type="num">
                <xm:f>1</xm:f>
              </x14:cfvo>
              <x14:borderColor theme="0"/>
              <x14:negativeFillColor rgb="FFFF0000"/>
              <x14:axisColor rgb="FF000000"/>
            </x14:dataBar>
          </x14:cfRule>
          <xm:sqref>J2070 J2074 J2072 J2076</xm:sqref>
        </x14:conditionalFormatting>
        <x14:conditionalFormatting xmlns:xm="http://schemas.microsoft.com/office/excel/2006/main">
          <x14:cfRule type="dataBar" id="{F60F4455-CE8B-4359-8238-3DFEA5F20222}">
            <x14:dataBar minLength="0" maxLength="100" border="1" gradient="0">
              <x14:cfvo type="num">
                <xm:f>0</xm:f>
              </x14:cfvo>
              <x14:cfvo type="num">
                <xm:f>1</xm:f>
              </x14:cfvo>
              <x14:borderColor theme="0"/>
              <x14:negativeFillColor rgb="FFFF0000"/>
              <x14:axisColor rgb="FF000000"/>
            </x14:dataBar>
          </x14:cfRule>
          <xm:sqref>J2078</xm:sqref>
        </x14:conditionalFormatting>
        <x14:conditionalFormatting xmlns:xm="http://schemas.microsoft.com/office/excel/2006/main">
          <x14:cfRule type="dataBar" id="{BF7F4A45-DF52-41AB-B4AC-C456A54AD0CF}">
            <x14:dataBar minLength="0" maxLength="100" border="1" gradient="0">
              <x14:cfvo type="num">
                <xm:f>0</xm:f>
              </x14:cfvo>
              <x14:cfvo type="num">
                <xm:f>1</xm:f>
              </x14:cfvo>
              <x14:borderColor theme="0"/>
              <x14:negativeFillColor rgb="FFFF0000"/>
              <x14:axisColor rgb="FF000000"/>
            </x14:dataBar>
          </x14:cfRule>
          <xm:sqref>J2080</xm:sqref>
        </x14:conditionalFormatting>
        <x14:conditionalFormatting xmlns:xm="http://schemas.microsoft.com/office/excel/2006/main">
          <x14:cfRule type="dataBar" id="{50E95C4D-A35F-437F-8553-668E0D3A48B6}">
            <x14:dataBar minLength="0" maxLength="100" border="1" gradient="0">
              <x14:cfvo type="num">
                <xm:f>0</xm:f>
              </x14:cfvo>
              <x14:cfvo type="num">
                <xm:f>1</xm:f>
              </x14:cfvo>
              <x14:borderColor theme="0"/>
              <x14:negativeFillColor rgb="FFFF0000"/>
              <x14:axisColor rgb="FF000000"/>
            </x14:dataBar>
          </x14:cfRule>
          <xm:sqref>J2084</xm:sqref>
        </x14:conditionalFormatting>
        <x14:conditionalFormatting xmlns:xm="http://schemas.microsoft.com/office/excel/2006/main">
          <x14:cfRule type="dataBar" id="{C0E64C30-12C2-4644-B366-B34394CDFA00}">
            <x14:dataBar minLength="0" maxLength="100" border="1" gradient="0">
              <x14:cfvo type="num">
                <xm:f>0</xm:f>
              </x14:cfvo>
              <x14:cfvo type="num">
                <xm:f>1</xm:f>
              </x14:cfvo>
              <x14:borderColor theme="0"/>
              <x14:negativeFillColor rgb="FFFF0000"/>
              <x14:axisColor rgb="FF000000"/>
            </x14:dataBar>
          </x14:cfRule>
          <xm:sqref>J2086 J2088</xm:sqref>
        </x14:conditionalFormatting>
        <x14:conditionalFormatting xmlns:xm="http://schemas.microsoft.com/office/excel/2006/main">
          <x14:cfRule type="dataBar" id="{183A8E75-88A3-413E-8316-AAF330B6A148}">
            <x14:dataBar minLength="0" maxLength="100" border="1" gradient="0">
              <x14:cfvo type="num">
                <xm:f>0</xm:f>
              </x14:cfvo>
              <x14:cfvo type="num">
                <xm:f>1</xm:f>
              </x14:cfvo>
              <x14:borderColor theme="0"/>
              <x14:negativeFillColor rgb="FFFF0000"/>
              <x14:axisColor rgb="FF000000"/>
            </x14:dataBar>
          </x14:cfRule>
          <xm:sqref>J2090</xm:sqref>
        </x14:conditionalFormatting>
        <x14:conditionalFormatting xmlns:xm="http://schemas.microsoft.com/office/excel/2006/main">
          <x14:cfRule type="dataBar" id="{4A597D71-A67F-45F4-B816-CAFE4C9ED176}">
            <x14:dataBar minLength="0" maxLength="100" border="1" gradient="0">
              <x14:cfvo type="num">
                <xm:f>0</xm:f>
              </x14:cfvo>
              <x14:cfvo type="num">
                <xm:f>1</xm:f>
              </x14:cfvo>
              <x14:borderColor theme="0"/>
              <x14:negativeFillColor rgb="FFFF0000"/>
              <x14:axisColor rgb="FF000000"/>
            </x14:dataBar>
          </x14:cfRule>
          <xm:sqref>J2092 J2094</xm:sqref>
        </x14:conditionalFormatting>
        <x14:conditionalFormatting xmlns:xm="http://schemas.microsoft.com/office/excel/2006/main">
          <x14:cfRule type="dataBar" id="{118267F6-D03E-4571-BC6E-F29E21DEF9A3}">
            <x14:dataBar minLength="0" maxLength="100" border="1" gradient="0">
              <x14:cfvo type="num">
                <xm:f>0</xm:f>
              </x14:cfvo>
              <x14:cfvo type="num">
                <xm:f>1</xm:f>
              </x14:cfvo>
              <x14:borderColor theme="0"/>
              <x14:negativeFillColor rgb="FFFF0000"/>
              <x14:axisColor rgb="FF000000"/>
            </x14:dataBar>
          </x14:cfRule>
          <xm:sqref>J2096</xm:sqref>
        </x14:conditionalFormatting>
        <x14:conditionalFormatting xmlns:xm="http://schemas.microsoft.com/office/excel/2006/main">
          <x14:cfRule type="dataBar" id="{BC7D0324-563F-4BDA-AB38-4B54B6B23142}">
            <x14:dataBar minLength="0" maxLength="100" border="1" gradient="0">
              <x14:cfvo type="num">
                <xm:f>0</xm:f>
              </x14:cfvo>
              <x14:cfvo type="num">
                <xm:f>1</xm:f>
              </x14:cfvo>
              <x14:borderColor theme="0"/>
              <x14:negativeFillColor rgb="FFFF0000"/>
              <x14:axisColor rgb="FF000000"/>
            </x14:dataBar>
          </x14:cfRule>
          <xm:sqref>J2098</xm:sqref>
        </x14:conditionalFormatting>
        <x14:conditionalFormatting xmlns:xm="http://schemas.microsoft.com/office/excel/2006/main">
          <x14:cfRule type="dataBar" id="{EBE59578-F10B-48E9-A210-E0988BE71080}">
            <x14:dataBar minLength="0" maxLength="100" border="1" gradient="0">
              <x14:cfvo type="num">
                <xm:f>0</xm:f>
              </x14:cfvo>
              <x14:cfvo type="num">
                <xm:f>1</xm:f>
              </x14:cfvo>
              <x14:borderColor theme="0"/>
              <x14:negativeFillColor rgb="FFFF0000"/>
              <x14:axisColor rgb="FF000000"/>
            </x14:dataBar>
          </x14:cfRule>
          <xm:sqref>J2100</xm:sqref>
        </x14:conditionalFormatting>
        <x14:conditionalFormatting xmlns:xm="http://schemas.microsoft.com/office/excel/2006/main">
          <x14:cfRule type="dataBar" id="{7F889462-2B12-40B8-A7AA-823987D91238}">
            <x14:dataBar minLength="0" maxLength="100" border="1" gradient="0">
              <x14:cfvo type="num">
                <xm:f>0</xm:f>
              </x14:cfvo>
              <x14:cfvo type="num">
                <xm:f>1</xm:f>
              </x14:cfvo>
              <x14:borderColor theme="0"/>
              <x14:negativeFillColor rgb="FFFF0000"/>
              <x14:axisColor rgb="FF000000"/>
            </x14:dataBar>
          </x14:cfRule>
          <xm:sqref>J2102 J2104</xm:sqref>
        </x14:conditionalFormatting>
        <x14:conditionalFormatting xmlns:xm="http://schemas.microsoft.com/office/excel/2006/main">
          <x14:cfRule type="dataBar" id="{0789E27B-C7F4-4C98-8E57-D9CDB5C7896D}">
            <x14:dataBar minLength="0" maxLength="100" border="1" gradient="0">
              <x14:cfvo type="num">
                <xm:f>0</xm:f>
              </x14:cfvo>
              <x14:cfvo type="num">
                <xm:f>1</xm:f>
              </x14:cfvo>
              <x14:borderColor theme="0"/>
              <x14:negativeFillColor rgb="FFFF0000"/>
              <x14:axisColor rgb="FF000000"/>
            </x14:dataBar>
          </x14:cfRule>
          <xm:sqref>J2106</xm:sqref>
        </x14:conditionalFormatting>
        <x14:conditionalFormatting xmlns:xm="http://schemas.microsoft.com/office/excel/2006/main">
          <x14:cfRule type="dataBar" id="{92910743-8F5B-4FE3-8A2F-9EDA9DB0D409}">
            <x14:dataBar minLength="0" maxLength="100" border="1" gradient="0">
              <x14:cfvo type="num">
                <xm:f>0</xm:f>
              </x14:cfvo>
              <x14:cfvo type="num">
                <xm:f>1</xm:f>
              </x14:cfvo>
              <x14:borderColor theme="0"/>
              <x14:negativeFillColor rgb="FFFF0000"/>
              <x14:axisColor rgb="FF000000"/>
            </x14:dataBar>
          </x14:cfRule>
          <xm:sqref>J2108</xm:sqref>
        </x14:conditionalFormatting>
        <x14:conditionalFormatting xmlns:xm="http://schemas.microsoft.com/office/excel/2006/main">
          <x14:cfRule type="dataBar" id="{A051456C-665B-4EFA-8FCA-D0AB903CE243}">
            <x14:dataBar minLength="0" maxLength="100" border="1" gradient="0">
              <x14:cfvo type="num">
                <xm:f>0</xm:f>
              </x14:cfvo>
              <x14:cfvo type="num">
                <xm:f>1</xm:f>
              </x14:cfvo>
              <x14:borderColor theme="0"/>
              <x14:negativeFillColor rgb="FFFF0000"/>
              <x14:axisColor rgb="FF000000"/>
            </x14:dataBar>
          </x14:cfRule>
          <xm:sqref>J2110 J2112</xm:sqref>
        </x14:conditionalFormatting>
        <x14:conditionalFormatting xmlns:xm="http://schemas.microsoft.com/office/excel/2006/main">
          <x14:cfRule type="dataBar" id="{307DDCAA-5C8B-4DB9-A544-18574CE5B4F8}">
            <x14:dataBar minLength="0" maxLength="100" border="1" gradient="0">
              <x14:cfvo type="num">
                <xm:f>0</xm:f>
              </x14:cfvo>
              <x14:cfvo type="num">
                <xm:f>1</xm:f>
              </x14:cfvo>
              <x14:borderColor theme="0"/>
              <x14:negativeFillColor rgb="FFFF0000"/>
              <x14:axisColor rgb="FF000000"/>
            </x14:dataBar>
          </x14:cfRule>
          <xm:sqref>J2114</xm:sqref>
        </x14:conditionalFormatting>
        <x14:conditionalFormatting xmlns:xm="http://schemas.microsoft.com/office/excel/2006/main">
          <x14:cfRule type="dataBar" id="{F6F6C0FC-74A9-4C00-A7AB-291B4F4D5386}">
            <x14:dataBar minLength="0" maxLength="100" border="1" gradient="0">
              <x14:cfvo type="num">
                <xm:f>0</xm:f>
              </x14:cfvo>
              <x14:cfvo type="num">
                <xm:f>1</xm:f>
              </x14:cfvo>
              <x14:borderColor theme="0"/>
              <x14:negativeFillColor rgb="FFFF0000"/>
              <x14:axisColor rgb="FF000000"/>
            </x14:dataBar>
          </x14:cfRule>
          <xm:sqref>J2116</xm:sqref>
        </x14:conditionalFormatting>
        <x14:conditionalFormatting xmlns:xm="http://schemas.microsoft.com/office/excel/2006/main">
          <x14:cfRule type="dataBar" id="{FD24C917-2653-4823-95AF-14FCC8A19CB9}">
            <x14:dataBar minLength="0" maxLength="100" border="1" gradient="0">
              <x14:cfvo type="num">
                <xm:f>0</xm:f>
              </x14:cfvo>
              <x14:cfvo type="num">
                <xm:f>1</xm:f>
              </x14:cfvo>
              <x14:borderColor theme="0"/>
              <x14:negativeFillColor rgb="FFFF0000"/>
              <x14:axisColor rgb="FF000000"/>
            </x14:dataBar>
          </x14:cfRule>
          <xm:sqref>J2118</xm:sqref>
        </x14:conditionalFormatting>
        <x14:conditionalFormatting xmlns:xm="http://schemas.microsoft.com/office/excel/2006/main">
          <x14:cfRule type="dataBar" id="{8BF895DE-613C-41C9-A74A-0B1F6F991A44}">
            <x14:dataBar minLength="0" maxLength="100" border="1" gradient="0">
              <x14:cfvo type="num">
                <xm:f>0</xm:f>
              </x14:cfvo>
              <x14:cfvo type="num">
                <xm:f>1</xm:f>
              </x14:cfvo>
              <x14:borderColor theme="0"/>
              <x14:negativeFillColor rgb="FFFF0000"/>
              <x14:axisColor rgb="FF000000"/>
            </x14:dataBar>
          </x14:cfRule>
          <xm:sqref>J2120 J2122</xm:sqref>
        </x14:conditionalFormatting>
        <x14:conditionalFormatting xmlns:xm="http://schemas.microsoft.com/office/excel/2006/main">
          <x14:cfRule type="dataBar" id="{D73A0A1D-4E6D-4F8D-8616-B386642A3E81}">
            <x14:dataBar minLength="0" maxLength="100" border="1" gradient="0">
              <x14:cfvo type="num">
                <xm:f>0</xm:f>
              </x14:cfvo>
              <x14:cfvo type="num">
                <xm:f>1</xm:f>
              </x14:cfvo>
              <x14:borderColor theme="0"/>
              <x14:negativeFillColor rgb="FFFF0000"/>
              <x14:axisColor rgb="FF000000"/>
            </x14:dataBar>
          </x14:cfRule>
          <xm:sqref>J2124</xm:sqref>
        </x14:conditionalFormatting>
        <x14:conditionalFormatting xmlns:xm="http://schemas.microsoft.com/office/excel/2006/main">
          <x14:cfRule type="dataBar" id="{0A489C55-D453-4A69-9EF9-4EFC16DBF9BF}">
            <x14:dataBar minLength="0" maxLength="100" border="1" gradient="0">
              <x14:cfvo type="num">
                <xm:f>0</xm:f>
              </x14:cfvo>
              <x14:cfvo type="num">
                <xm:f>1</xm:f>
              </x14:cfvo>
              <x14:borderColor theme="0"/>
              <x14:negativeFillColor rgb="FFFF0000"/>
              <x14:axisColor rgb="FF000000"/>
            </x14:dataBar>
          </x14:cfRule>
          <xm:sqref>J2127</xm:sqref>
        </x14:conditionalFormatting>
        <x14:conditionalFormatting xmlns:xm="http://schemas.microsoft.com/office/excel/2006/main">
          <x14:cfRule type="dataBar" id="{8965C824-57CF-4C8D-A0D1-FEEE1F30CE38}">
            <x14:dataBar minLength="0" maxLength="100" border="1" gradient="0">
              <x14:cfvo type="num">
                <xm:f>0</xm:f>
              </x14:cfvo>
              <x14:cfvo type="num">
                <xm:f>1</xm:f>
              </x14:cfvo>
              <x14:borderColor theme="0"/>
              <x14:negativeFillColor rgb="FFFF0000"/>
              <x14:axisColor rgb="FF000000"/>
            </x14:dataBar>
          </x14:cfRule>
          <xm:sqref>J2129 J2131 J2133</xm:sqref>
        </x14:conditionalFormatting>
        <x14:conditionalFormatting xmlns:xm="http://schemas.microsoft.com/office/excel/2006/main">
          <x14:cfRule type="dataBar" id="{DA147A3A-C039-4DA8-A862-B80AC6A81A91}">
            <x14:dataBar minLength="0" maxLength="100" border="1" gradient="0">
              <x14:cfvo type="num">
                <xm:f>0</xm:f>
              </x14:cfvo>
              <x14:cfvo type="num">
                <xm:f>1</xm:f>
              </x14:cfvo>
              <x14:borderColor theme="0"/>
              <x14:negativeFillColor rgb="FFFF0000"/>
              <x14:axisColor rgb="FF000000"/>
            </x14:dataBar>
          </x14:cfRule>
          <xm:sqref>J2135 J2137 J2139</xm:sqref>
        </x14:conditionalFormatting>
        <x14:conditionalFormatting xmlns:xm="http://schemas.microsoft.com/office/excel/2006/main">
          <x14:cfRule type="dataBar" id="{A7DFAB84-6BF2-4D49-A1EB-1D0421EAB93C}">
            <x14:dataBar minLength="0" maxLength="100" border="1" gradient="0">
              <x14:cfvo type="num">
                <xm:f>0</xm:f>
              </x14:cfvo>
              <x14:cfvo type="num">
                <xm:f>1</xm:f>
              </x14:cfvo>
              <x14:borderColor theme="0"/>
              <x14:negativeFillColor rgb="FFFF0000"/>
              <x14:axisColor rgb="FF000000"/>
            </x14:dataBar>
          </x14:cfRule>
          <xm:sqref>J2141 J2143 J2145</xm:sqref>
        </x14:conditionalFormatting>
        <x14:conditionalFormatting xmlns:xm="http://schemas.microsoft.com/office/excel/2006/main">
          <x14:cfRule type="dataBar" id="{6FB75CC6-A781-4F2F-8ECF-C673BE9E38ED}">
            <x14:dataBar minLength="0" maxLength="100" border="1" gradient="0">
              <x14:cfvo type="num">
                <xm:f>0</xm:f>
              </x14:cfvo>
              <x14:cfvo type="num">
                <xm:f>1</xm:f>
              </x14:cfvo>
              <x14:borderColor theme="0"/>
              <x14:negativeFillColor rgb="FFFF0000"/>
              <x14:axisColor rgb="FF000000"/>
            </x14:dataBar>
          </x14:cfRule>
          <xm:sqref>J2147 J2149 J2151</xm:sqref>
        </x14:conditionalFormatting>
        <x14:conditionalFormatting xmlns:xm="http://schemas.microsoft.com/office/excel/2006/main">
          <x14:cfRule type="dataBar" id="{B6D850E2-53CD-4036-A198-0AE8FE8F67EA}">
            <x14:dataBar minLength="0" maxLength="100" border="1" gradient="0">
              <x14:cfvo type="num">
                <xm:f>0</xm:f>
              </x14:cfvo>
              <x14:cfvo type="num">
                <xm:f>1</xm:f>
              </x14:cfvo>
              <x14:borderColor theme="0"/>
              <x14:negativeFillColor rgb="FFFF0000"/>
              <x14:axisColor rgb="FF000000"/>
            </x14:dataBar>
          </x14:cfRule>
          <xm:sqref>J2153 J2155 J2157</xm:sqref>
        </x14:conditionalFormatting>
        <x14:conditionalFormatting xmlns:xm="http://schemas.microsoft.com/office/excel/2006/main">
          <x14:cfRule type="dataBar" id="{601D7EC8-1436-400F-9C0C-FB3B7CDC4E54}">
            <x14:dataBar minLength="0" maxLength="100" border="1" gradient="0">
              <x14:cfvo type="num">
                <xm:f>0</xm:f>
              </x14:cfvo>
              <x14:cfvo type="num">
                <xm:f>1</xm:f>
              </x14:cfvo>
              <x14:borderColor theme="0"/>
              <x14:negativeFillColor rgb="FFFF0000"/>
              <x14:axisColor rgb="FF000000"/>
            </x14:dataBar>
          </x14:cfRule>
          <xm:sqref>J2159 J2161 J2163</xm:sqref>
        </x14:conditionalFormatting>
        <x14:conditionalFormatting xmlns:xm="http://schemas.microsoft.com/office/excel/2006/main">
          <x14:cfRule type="dataBar" id="{C484EB45-80CA-4AC8-A05F-B94BD2EFD775}">
            <x14:dataBar minLength="0" maxLength="100" border="1" gradient="0">
              <x14:cfvo type="num">
                <xm:f>0</xm:f>
              </x14:cfvo>
              <x14:cfvo type="num">
                <xm:f>1</xm:f>
              </x14:cfvo>
              <x14:borderColor theme="0"/>
              <x14:negativeFillColor rgb="FFFF0000"/>
              <x14:axisColor rgb="FF000000"/>
            </x14:dataBar>
          </x14:cfRule>
          <xm:sqref>J2165 J2167</xm:sqref>
        </x14:conditionalFormatting>
        <x14:conditionalFormatting xmlns:xm="http://schemas.microsoft.com/office/excel/2006/main">
          <x14:cfRule type="dataBar" id="{312F1FBF-70ED-4EE0-8037-2BFF43832BE1}">
            <x14:dataBar minLength="0" maxLength="100" border="1" gradient="0">
              <x14:cfvo type="num">
                <xm:f>0</xm:f>
              </x14:cfvo>
              <x14:cfvo type="num">
                <xm:f>1</xm:f>
              </x14:cfvo>
              <x14:borderColor theme="0"/>
              <x14:negativeFillColor rgb="FFFF0000"/>
              <x14:axisColor rgb="FF000000"/>
            </x14:dataBar>
          </x14:cfRule>
          <xm:sqref>J2169 J2171 J2173</xm:sqref>
        </x14:conditionalFormatting>
        <x14:conditionalFormatting xmlns:xm="http://schemas.microsoft.com/office/excel/2006/main">
          <x14:cfRule type="dataBar" id="{31E9D08D-024B-43E2-93F6-09DC16CA5109}">
            <x14:dataBar minLength="0" maxLength="100" border="1" gradient="0">
              <x14:cfvo type="num">
                <xm:f>0</xm:f>
              </x14:cfvo>
              <x14:cfvo type="num">
                <xm:f>1</xm:f>
              </x14:cfvo>
              <x14:borderColor theme="0"/>
              <x14:negativeFillColor rgb="FFFF0000"/>
              <x14:axisColor rgb="FF000000"/>
            </x14:dataBar>
          </x14:cfRule>
          <xm:sqref>J2175 J2177 J2179</xm:sqref>
        </x14:conditionalFormatting>
        <x14:conditionalFormatting xmlns:xm="http://schemas.microsoft.com/office/excel/2006/main">
          <x14:cfRule type="dataBar" id="{314254BC-60D4-4046-B134-5DF9A25CFD04}">
            <x14:dataBar minLength="0" maxLength="100" border="1" gradient="0">
              <x14:cfvo type="num">
                <xm:f>0</xm:f>
              </x14:cfvo>
              <x14:cfvo type="num">
                <xm:f>1</xm:f>
              </x14:cfvo>
              <x14:borderColor theme="0"/>
              <x14:negativeFillColor rgb="FFFF0000"/>
              <x14:axisColor rgb="FF000000"/>
            </x14:dataBar>
          </x14:cfRule>
          <xm:sqref>J2181 J2183 J2185</xm:sqref>
        </x14:conditionalFormatting>
        <x14:conditionalFormatting xmlns:xm="http://schemas.microsoft.com/office/excel/2006/main">
          <x14:cfRule type="dataBar" id="{3E3245D2-8479-4644-B7D0-4B96487AC8CE}">
            <x14:dataBar minLength="0" maxLength="100" border="1" gradient="0">
              <x14:cfvo type="num">
                <xm:f>0</xm:f>
              </x14:cfvo>
              <x14:cfvo type="num">
                <xm:f>1</xm:f>
              </x14:cfvo>
              <x14:borderColor theme="0"/>
              <x14:negativeFillColor rgb="FFFF0000"/>
              <x14:axisColor rgb="FF000000"/>
            </x14:dataBar>
          </x14:cfRule>
          <xm:sqref>J2187 J2189 J2191</xm:sqref>
        </x14:conditionalFormatting>
        <x14:conditionalFormatting xmlns:xm="http://schemas.microsoft.com/office/excel/2006/main">
          <x14:cfRule type="dataBar" id="{EF19B06C-DF98-4588-864D-AE9DF626F3AF}">
            <x14:dataBar minLength="0" maxLength="100" border="1" gradient="0">
              <x14:cfvo type="num">
                <xm:f>0</xm:f>
              </x14:cfvo>
              <x14:cfvo type="num">
                <xm:f>1</xm:f>
              </x14:cfvo>
              <x14:borderColor theme="0"/>
              <x14:negativeFillColor rgb="FFFF0000"/>
              <x14:axisColor rgb="FF000000"/>
            </x14:dataBar>
          </x14:cfRule>
          <xm:sqref>J2193 J2195 J2197</xm:sqref>
        </x14:conditionalFormatting>
        <x14:conditionalFormatting xmlns:xm="http://schemas.microsoft.com/office/excel/2006/main">
          <x14:cfRule type="dataBar" id="{9F986B39-1BD5-440B-A672-F618807DFF81}">
            <x14:dataBar minLength="0" maxLength="100" border="1" gradient="0">
              <x14:cfvo type="num">
                <xm:f>0</xm:f>
              </x14:cfvo>
              <x14:cfvo type="num">
                <xm:f>1</xm:f>
              </x14:cfvo>
              <x14:borderColor theme="0"/>
              <x14:negativeFillColor rgb="FFFF0000"/>
              <x14:axisColor rgb="FF000000"/>
            </x14:dataBar>
          </x14:cfRule>
          <xm:sqref>J2199 J2201 J2203</xm:sqref>
        </x14:conditionalFormatting>
        <x14:conditionalFormatting xmlns:xm="http://schemas.microsoft.com/office/excel/2006/main">
          <x14:cfRule type="dataBar" id="{529C0B4E-90FC-4B55-B58F-4B1122AC0F9B}">
            <x14:dataBar minLength="0" maxLength="100" border="1" gradient="0">
              <x14:cfvo type="num">
                <xm:f>0</xm:f>
              </x14:cfvo>
              <x14:cfvo type="num">
                <xm:f>1</xm:f>
              </x14:cfvo>
              <x14:borderColor theme="0"/>
              <x14:negativeFillColor rgb="FFFF0000"/>
              <x14:axisColor rgb="FF000000"/>
            </x14:dataBar>
          </x14:cfRule>
          <xm:sqref>J2205 J2209</xm:sqref>
        </x14:conditionalFormatting>
        <x14:conditionalFormatting xmlns:xm="http://schemas.microsoft.com/office/excel/2006/main">
          <x14:cfRule type="dataBar" id="{709E13A4-2833-44B1-8EA8-601E72E3CF5B}">
            <x14:dataBar minLength="0" maxLength="100" border="1" gradient="0">
              <x14:cfvo type="num">
                <xm:f>0</xm:f>
              </x14:cfvo>
              <x14:cfvo type="num">
                <xm:f>1</xm:f>
              </x14:cfvo>
              <x14:borderColor theme="0"/>
              <x14:negativeFillColor rgb="FFFF0000"/>
              <x14:axisColor rgb="FF000000"/>
            </x14:dataBar>
          </x14:cfRule>
          <xm:sqref>J2207</xm:sqref>
        </x14:conditionalFormatting>
        <x14:conditionalFormatting xmlns:xm="http://schemas.microsoft.com/office/excel/2006/main">
          <x14:cfRule type="dataBar" id="{C28113F9-248B-4D88-B7DE-0FA1CD76F041}">
            <x14:dataBar minLength="0" maxLength="100" border="1" gradient="0">
              <x14:cfvo type="num">
                <xm:f>0</xm:f>
              </x14:cfvo>
              <x14:cfvo type="num">
                <xm:f>1</xm:f>
              </x14:cfvo>
              <x14:borderColor theme="0"/>
              <x14:negativeFillColor rgb="FFFF0000"/>
              <x14:axisColor rgb="FF000000"/>
            </x14:dataBar>
          </x14:cfRule>
          <xm:sqref>J2213</xm:sqref>
        </x14:conditionalFormatting>
        <x14:conditionalFormatting xmlns:xm="http://schemas.microsoft.com/office/excel/2006/main">
          <x14:cfRule type="dataBar" id="{024DA630-1714-488A-8C3F-099051244B38}">
            <x14:dataBar minLength="0" maxLength="100" border="1" gradient="0">
              <x14:cfvo type="num">
                <xm:f>0</xm:f>
              </x14:cfvo>
              <x14:cfvo type="num">
                <xm:f>1</xm:f>
              </x14:cfvo>
              <x14:borderColor theme="0"/>
              <x14:negativeFillColor rgb="FFFF0000"/>
              <x14:axisColor rgb="FF000000"/>
            </x14:dataBar>
          </x14:cfRule>
          <xm:sqref>J2215 J2217</xm:sqref>
        </x14:conditionalFormatting>
        <x14:conditionalFormatting xmlns:xm="http://schemas.microsoft.com/office/excel/2006/main">
          <x14:cfRule type="dataBar" id="{48013115-4506-47A2-96F7-6D2F1EA7270C}">
            <x14:dataBar minLength="0" maxLength="100" border="1" gradient="0">
              <x14:cfvo type="num">
                <xm:f>0</xm:f>
              </x14:cfvo>
              <x14:cfvo type="num">
                <xm:f>1</xm:f>
              </x14:cfvo>
              <x14:borderColor theme="0"/>
              <x14:negativeFillColor rgb="FFFF0000"/>
              <x14:axisColor rgb="FF000000"/>
            </x14:dataBar>
          </x14:cfRule>
          <xm:sqref>J2219</xm:sqref>
        </x14:conditionalFormatting>
        <x14:conditionalFormatting xmlns:xm="http://schemas.microsoft.com/office/excel/2006/main">
          <x14:cfRule type="dataBar" id="{89838755-AB74-4CE1-BC1D-185825BBAEE0}">
            <x14:dataBar minLength="0" maxLength="100" border="1" gradient="0">
              <x14:cfvo type="num">
                <xm:f>0</xm:f>
              </x14:cfvo>
              <x14:cfvo type="num">
                <xm:f>1</xm:f>
              </x14:cfvo>
              <x14:borderColor theme="0"/>
              <x14:negativeFillColor rgb="FFFF0000"/>
              <x14:axisColor rgb="FF000000"/>
            </x14:dataBar>
          </x14:cfRule>
          <xm:sqref>J2221 J2223 J2225</xm:sqref>
        </x14:conditionalFormatting>
        <x14:conditionalFormatting xmlns:xm="http://schemas.microsoft.com/office/excel/2006/main">
          <x14:cfRule type="dataBar" id="{795715DE-5AB1-4F55-B001-3F344508AA67}">
            <x14:dataBar minLength="0" maxLength="100" border="1" gradient="0">
              <x14:cfvo type="num">
                <xm:f>0</xm:f>
              </x14:cfvo>
              <x14:cfvo type="num">
                <xm:f>1</xm:f>
              </x14:cfvo>
              <x14:borderColor theme="0"/>
              <x14:negativeFillColor rgb="FFFF0000"/>
              <x14:axisColor rgb="FF000000"/>
            </x14:dataBar>
          </x14:cfRule>
          <xm:sqref>J2227 J2229</xm:sqref>
        </x14:conditionalFormatting>
        <x14:conditionalFormatting xmlns:xm="http://schemas.microsoft.com/office/excel/2006/main">
          <x14:cfRule type="dataBar" id="{B66AD2DF-116A-4B42-8B8C-82375882EE9E}">
            <x14:dataBar minLength="0" maxLength="100" border="1" gradient="0">
              <x14:cfvo type="num">
                <xm:f>0</xm:f>
              </x14:cfvo>
              <x14:cfvo type="num">
                <xm:f>1</xm:f>
              </x14:cfvo>
              <x14:borderColor theme="0"/>
              <x14:negativeFillColor rgb="FFFF0000"/>
              <x14:axisColor rgb="FF000000"/>
            </x14:dataBar>
          </x14:cfRule>
          <xm:sqref>J2231</xm:sqref>
        </x14:conditionalFormatting>
        <x14:conditionalFormatting xmlns:xm="http://schemas.microsoft.com/office/excel/2006/main">
          <x14:cfRule type="dataBar" id="{A16FA9A5-B5D6-4761-8D62-21E1F4E94620}">
            <x14:dataBar minLength="0" maxLength="100" border="1" gradient="0">
              <x14:cfvo type="num">
                <xm:f>0</xm:f>
              </x14:cfvo>
              <x14:cfvo type="num">
                <xm:f>1</xm:f>
              </x14:cfvo>
              <x14:borderColor theme="0"/>
              <x14:negativeFillColor rgb="FFFF0000"/>
              <x14:axisColor rgb="FF000000"/>
            </x14:dataBar>
          </x14:cfRule>
          <xm:sqref>J2233 J2235 J2237</xm:sqref>
        </x14:conditionalFormatting>
        <x14:conditionalFormatting xmlns:xm="http://schemas.microsoft.com/office/excel/2006/main">
          <x14:cfRule type="dataBar" id="{0F2D047D-E483-4C58-A011-E289AE5D4731}">
            <x14:dataBar minLength="0" maxLength="100" border="1" gradient="0">
              <x14:cfvo type="num">
                <xm:f>0</xm:f>
              </x14:cfvo>
              <x14:cfvo type="num">
                <xm:f>1</xm:f>
              </x14:cfvo>
              <x14:borderColor theme="0"/>
              <x14:negativeFillColor rgb="FFFF0000"/>
              <x14:axisColor rgb="FF000000"/>
            </x14:dataBar>
          </x14:cfRule>
          <xm:sqref>J2239</xm:sqref>
        </x14:conditionalFormatting>
        <x14:conditionalFormatting xmlns:xm="http://schemas.microsoft.com/office/excel/2006/main">
          <x14:cfRule type="dataBar" id="{2E319C04-3C61-457A-8965-1966593190C2}">
            <x14:dataBar minLength="0" maxLength="100" border="1" gradient="0">
              <x14:cfvo type="num">
                <xm:f>0</xm:f>
              </x14:cfvo>
              <x14:cfvo type="num">
                <xm:f>1</xm:f>
              </x14:cfvo>
              <x14:borderColor theme="0"/>
              <x14:negativeFillColor rgb="FFFF0000"/>
              <x14:axisColor rgb="FF000000"/>
            </x14:dataBar>
          </x14:cfRule>
          <xm:sqref>J2241</xm:sqref>
        </x14:conditionalFormatting>
        <x14:conditionalFormatting xmlns:xm="http://schemas.microsoft.com/office/excel/2006/main">
          <x14:cfRule type="dataBar" id="{C2FA8635-EEA7-4EC7-9713-966870E3ED3A}">
            <x14:dataBar minLength="0" maxLength="100" border="1" gradient="0">
              <x14:cfvo type="num">
                <xm:f>0</xm:f>
              </x14:cfvo>
              <x14:cfvo type="num">
                <xm:f>1</xm:f>
              </x14:cfvo>
              <x14:borderColor theme="0"/>
              <x14:negativeFillColor rgb="FFFF0000"/>
              <x14:axisColor rgb="FF000000"/>
            </x14:dataBar>
          </x14:cfRule>
          <xm:sqref>J2243</xm:sqref>
        </x14:conditionalFormatting>
        <x14:conditionalFormatting xmlns:xm="http://schemas.microsoft.com/office/excel/2006/main">
          <x14:cfRule type="dataBar" id="{5377C143-7FE3-4089-8FBF-868448EE4F7F}">
            <x14:dataBar minLength="0" maxLength="100" border="1" gradient="0">
              <x14:cfvo type="num">
                <xm:f>0</xm:f>
              </x14:cfvo>
              <x14:cfvo type="num">
                <xm:f>1</xm:f>
              </x14:cfvo>
              <x14:borderColor theme="0"/>
              <x14:negativeFillColor rgb="FFFF0000"/>
              <x14:axisColor rgb="FF000000"/>
            </x14:dataBar>
          </x14:cfRule>
          <xm:sqref>J2245</xm:sqref>
        </x14:conditionalFormatting>
        <x14:conditionalFormatting xmlns:xm="http://schemas.microsoft.com/office/excel/2006/main">
          <x14:cfRule type="dataBar" id="{1CCC5F91-AF30-44EB-B91D-E306C6CC62B4}">
            <x14:dataBar minLength="0" maxLength="100" border="1" gradient="0">
              <x14:cfvo type="num">
                <xm:f>0</xm:f>
              </x14:cfvo>
              <x14:cfvo type="num">
                <xm:f>1</xm:f>
              </x14:cfvo>
              <x14:borderColor theme="0"/>
              <x14:negativeFillColor rgb="FFFF0000"/>
              <x14:axisColor rgb="FF000000"/>
            </x14:dataBar>
          </x14:cfRule>
          <xm:sqref>J2247</xm:sqref>
        </x14:conditionalFormatting>
        <x14:conditionalFormatting xmlns:xm="http://schemas.microsoft.com/office/excel/2006/main">
          <x14:cfRule type="dataBar" id="{AF534139-04E1-4823-8E0C-9AA9882E2699}">
            <x14:dataBar minLength="0" maxLength="100" border="1" gradient="0">
              <x14:cfvo type="num">
                <xm:f>0</xm:f>
              </x14:cfvo>
              <x14:cfvo type="num">
                <xm:f>1</xm:f>
              </x14:cfvo>
              <x14:borderColor theme="0"/>
              <x14:negativeFillColor rgb="FFFF0000"/>
              <x14:axisColor rgb="FF000000"/>
            </x14:dataBar>
          </x14:cfRule>
          <xm:sqref>J2249</xm:sqref>
        </x14:conditionalFormatting>
        <x14:conditionalFormatting xmlns:xm="http://schemas.microsoft.com/office/excel/2006/main">
          <x14:cfRule type="dataBar" id="{70933044-F3E8-43EC-A889-213EB533A8B4}">
            <x14:dataBar minLength="0" maxLength="100" border="1" gradient="0">
              <x14:cfvo type="num">
                <xm:f>0</xm:f>
              </x14:cfvo>
              <x14:cfvo type="num">
                <xm:f>1</xm:f>
              </x14:cfvo>
              <x14:borderColor theme="0"/>
              <x14:negativeFillColor rgb="FFFF0000"/>
              <x14:axisColor rgb="FF000000"/>
            </x14:dataBar>
          </x14:cfRule>
          <xm:sqref>J2251</xm:sqref>
        </x14:conditionalFormatting>
        <x14:conditionalFormatting xmlns:xm="http://schemas.microsoft.com/office/excel/2006/main">
          <x14:cfRule type="dataBar" id="{22E30C7B-1F41-4260-87CD-EF701B251588}">
            <x14:dataBar minLength="0" maxLength="100" border="1" gradient="0">
              <x14:cfvo type="num">
                <xm:f>0</xm:f>
              </x14:cfvo>
              <x14:cfvo type="num">
                <xm:f>1</xm:f>
              </x14:cfvo>
              <x14:borderColor theme="0"/>
              <x14:negativeFillColor rgb="FFFF0000"/>
              <x14:axisColor rgb="FF000000"/>
            </x14:dataBar>
          </x14:cfRule>
          <xm:sqref>J2253</xm:sqref>
        </x14:conditionalFormatting>
        <x14:conditionalFormatting xmlns:xm="http://schemas.microsoft.com/office/excel/2006/main">
          <x14:cfRule type="dataBar" id="{3772BCB4-0FD6-41F4-B400-99346A9E3207}">
            <x14:dataBar minLength="0" maxLength="100" border="1" gradient="0">
              <x14:cfvo type="num">
                <xm:f>0</xm:f>
              </x14:cfvo>
              <x14:cfvo type="num">
                <xm:f>1</xm:f>
              </x14:cfvo>
              <x14:borderColor theme="0"/>
              <x14:negativeFillColor rgb="FFFF0000"/>
              <x14:axisColor rgb="FF000000"/>
            </x14:dataBar>
          </x14:cfRule>
          <xm:sqref>J2255</xm:sqref>
        </x14:conditionalFormatting>
        <x14:conditionalFormatting xmlns:xm="http://schemas.microsoft.com/office/excel/2006/main">
          <x14:cfRule type="dataBar" id="{E6709FED-8F72-4C9C-8064-78F1DDB0ACAF}">
            <x14:dataBar minLength="0" maxLength="100" border="1" gradient="0">
              <x14:cfvo type="num">
                <xm:f>0</xm:f>
              </x14:cfvo>
              <x14:cfvo type="num">
                <xm:f>1</xm:f>
              </x14:cfvo>
              <x14:borderColor theme="0"/>
              <x14:negativeFillColor rgb="FFFF0000"/>
              <x14:axisColor rgb="FF000000"/>
            </x14:dataBar>
          </x14:cfRule>
          <xm:sqref>J2257</xm:sqref>
        </x14:conditionalFormatting>
        <x14:conditionalFormatting xmlns:xm="http://schemas.microsoft.com/office/excel/2006/main">
          <x14:cfRule type="dataBar" id="{0D61C755-7D60-4477-9997-198E0CD5EF3E}">
            <x14:dataBar minLength="0" maxLength="100" border="1" gradient="0">
              <x14:cfvo type="num">
                <xm:f>0</xm:f>
              </x14:cfvo>
              <x14:cfvo type="num">
                <xm:f>1</xm:f>
              </x14:cfvo>
              <x14:borderColor theme="0"/>
              <x14:negativeFillColor rgb="FFFF0000"/>
              <x14:axisColor rgb="FF000000"/>
            </x14:dataBar>
          </x14:cfRule>
          <xm:sqref>J2259</xm:sqref>
        </x14:conditionalFormatting>
        <x14:conditionalFormatting xmlns:xm="http://schemas.microsoft.com/office/excel/2006/main">
          <x14:cfRule type="dataBar" id="{680BC41B-87F8-4E2A-A6DC-871A9C9551A3}">
            <x14:dataBar minLength="0" maxLength="100" border="1" gradient="0">
              <x14:cfvo type="num">
                <xm:f>0</xm:f>
              </x14:cfvo>
              <x14:cfvo type="num">
                <xm:f>1</xm:f>
              </x14:cfvo>
              <x14:borderColor theme="0"/>
              <x14:negativeFillColor rgb="FFFF0000"/>
              <x14:axisColor rgb="FF000000"/>
            </x14:dataBar>
          </x14:cfRule>
          <xm:sqref>J2261</xm:sqref>
        </x14:conditionalFormatting>
        <x14:conditionalFormatting xmlns:xm="http://schemas.microsoft.com/office/excel/2006/main">
          <x14:cfRule type="dataBar" id="{C3CB7A34-66F0-414D-B28E-29AF78154538}">
            <x14:dataBar minLength="0" maxLength="100" border="1" gradient="0">
              <x14:cfvo type="num">
                <xm:f>0</xm:f>
              </x14:cfvo>
              <x14:cfvo type="num">
                <xm:f>1</xm:f>
              </x14:cfvo>
              <x14:borderColor theme="0"/>
              <x14:negativeFillColor rgb="FFFF0000"/>
              <x14:axisColor rgb="FF000000"/>
            </x14:dataBar>
          </x14:cfRule>
          <xm:sqref>J2263 J2265</xm:sqref>
        </x14:conditionalFormatting>
        <x14:conditionalFormatting xmlns:xm="http://schemas.microsoft.com/office/excel/2006/main">
          <x14:cfRule type="dataBar" id="{C0F8994D-D87A-4A93-A0C8-D81D533F8A80}">
            <x14:dataBar minLength="0" maxLength="100" border="1" gradient="0">
              <x14:cfvo type="num">
                <xm:f>0</xm:f>
              </x14:cfvo>
              <x14:cfvo type="num">
                <xm:f>1</xm:f>
              </x14:cfvo>
              <x14:borderColor theme="0"/>
              <x14:negativeFillColor rgb="FFFF0000"/>
              <x14:axisColor rgb="FF000000"/>
            </x14:dataBar>
          </x14:cfRule>
          <xm:sqref>J2267</xm:sqref>
        </x14:conditionalFormatting>
        <x14:conditionalFormatting xmlns:xm="http://schemas.microsoft.com/office/excel/2006/main">
          <x14:cfRule type="dataBar" id="{53409ADE-D395-4D6C-9138-21CCC87AB8D4}">
            <x14:dataBar minLength="0" maxLength="100" border="1" gradient="0">
              <x14:cfvo type="num">
                <xm:f>0</xm:f>
              </x14:cfvo>
              <x14:cfvo type="num">
                <xm:f>1</xm:f>
              </x14:cfvo>
              <x14:borderColor theme="0"/>
              <x14:negativeFillColor rgb="FFFF0000"/>
              <x14:axisColor rgb="FF000000"/>
            </x14:dataBar>
          </x14:cfRule>
          <xm:sqref>J2269 J2271</xm:sqref>
        </x14:conditionalFormatting>
        <x14:conditionalFormatting xmlns:xm="http://schemas.microsoft.com/office/excel/2006/main">
          <x14:cfRule type="dataBar" id="{21DE9E32-99C5-4F40-8E46-B086CC3FA1A6}">
            <x14:dataBar minLength="0" maxLength="100" border="1" gradient="0">
              <x14:cfvo type="num">
                <xm:f>0</xm:f>
              </x14:cfvo>
              <x14:cfvo type="num">
                <xm:f>1</xm:f>
              </x14:cfvo>
              <x14:borderColor theme="0"/>
              <x14:negativeFillColor rgb="FFFF0000"/>
              <x14:axisColor rgb="FF000000"/>
            </x14:dataBar>
          </x14:cfRule>
          <xm:sqref>J2273 J2275</xm:sqref>
        </x14:conditionalFormatting>
        <x14:conditionalFormatting xmlns:xm="http://schemas.microsoft.com/office/excel/2006/main">
          <x14:cfRule type="dataBar" id="{942D24D0-6D58-452C-9A09-9510CB6D041C}">
            <x14:dataBar minLength="0" maxLength="100" border="1" gradient="0">
              <x14:cfvo type="num">
                <xm:f>0</xm:f>
              </x14:cfvo>
              <x14:cfvo type="num">
                <xm:f>1</xm:f>
              </x14:cfvo>
              <x14:borderColor theme="0"/>
              <x14:negativeFillColor rgb="FFFF0000"/>
              <x14:axisColor rgb="FF000000"/>
            </x14:dataBar>
          </x14:cfRule>
          <xm:sqref>J2277</xm:sqref>
        </x14:conditionalFormatting>
        <x14:conditionalFormatting xmlns:xm="http://schemas.microsoft.com/office/excel/2006/main">
          <x14:cfRule type="dataBar" id="{715B6685-83A4-422A-9A1D-B2D2BA5989C7}">
            <x14:dataBar minLength="0" maxLength="100" border="1" gradient="0">
              <x14:cfvo type="num">
                <xm:f>0</xm:f>
              </x14:cfvo>
              <x14:cfvo type="num">
                <xm:f>1</xm:f>
              </x14:cfvo>
              <x14:borderColor theme="0"/>
              <x14:negativeFillColor rgb="FFFF0000"/>
              <x14:axisColor rgb="FF000000"/>
            </x14:dataBar>
          </x14:cfRule>
          <xm:sqref>J2279</xm:sqref>
        </x14:conditionalFormatting>
        <x14:conditionalFormatting xmlns:xm="http://schemas.microsoft.com/office/excel/2006/main">
          <x14:cfRule type="dataBar" id="{402554AB-A442-4072-8F57-0221DE951757}">
            <x14:dataBar minLength="0" maxLength="100" border="1" gradient="0">
              <x14:cfvo type="num">
                <xm:f>0</xm:f>
              </x14:cfvo>
              <x14:cfvo type="num">
                <xm:f>1</xm:f>
              </x14:cfvo>
              <x14:borderColor theme="0"/>
              <x14:negativeFillColor rgb="FFFF0000"/>
              <x14:axisColor rgb="FF000000"/>
            </x14:dataBar>
          </x14:cfRule>
          <xm:sqref>J2281</xm:sqref>
        </x14:conditionalFormatting>
        <x14:conditionalFormatting xmlns:xm="http://schemas.microsoft.com/office/excel/2006/main">
          <x14:cfRule type="dataBar" id="{C6429B32-622A-4116-86C1-6DFECA122366}">
            <x14:dataBar minLength="0" maxLength="100" border="1" gradient="0">
              <x14:cfvo type="num">
                <xm:f>0</xm:f>
              </x14:cfvo>
              <x14:cfvo type="num">
                <xm:f>1</xm:f>
              </x14:cfvo>
              <x14:borderColor theme="0"/>
              <x14:negativeFillColor rgb="FFFF0000"/>
              <x14:axisColor rgb="FF000000"/>
            </x14:dataBar>
          </x14:cfRule>
          <xm:sqref>J2283</xm:sqref>
        </x14:conditionalFormatting>
        <x14:conditionalFormatting xmlns:xm="http://schemas.microsoft.com/office/excel/2006/main">
          <x14:cfRule type="dataBar" id="{F56BE243-8BEC-46ED-81D1-B4EE1A8DC39E}">
            <x14:dataBar minLength="0" maxLength="100" border="1" gradient="0">
              <x14:cfvo type="num">
                <xm:f>0</xm:f>
              </x14:cfvo>
              <x14:cfvo type="num">
                <xm:f>1</xm:f>
              </x14:cfvo>
              <x14:borderColor theme="0"/>
              <x14:negativeFillColor rgb="FFFF0000"/>
              <x14:axisColor rgb="FF000000"/>
            </x14:dataBar>
          </x14:cfRule>
          <xm:sqref>J2285</xm:sqref>
        </x14:conditionalFormatting>
        <x14:conditionalFormatting xmlns:xm="http://schemas.microsoft.com/office/excel/2006/main">
          <x14:cfRule type="dataBar" id="{1ABE4137-81F7-43B8-945C-C2F95EA48CC3}">
            <x14:dataBar minLength="0" maxLength="100" border="1" gradient="0">
              <x14:cfvo type="num">
                <xm:f>0</xm:f>
              </x14:cfvo>
              <x14:cfvo type="num">
                <xm:f>1</xm:f>
              </x14:cfvo>
              <x14:borderColor theme="0"/>
              <x14:negativeFillColor rgb="FFFF0000"/>
              <x14:axisColor rgb="FF000000"/>
            </x14:dataBar>
          </x14:cfRule>
          <xm:sqref>J2287</xm:sqref>
        </x14:conditionalFormatting>
        <x14:conditionalFormatting xmlns:xm="http://schemas.microsoft.com/office/excel/2006/main">
          <x14:cfRule type="dataBar" id="{26820BF7-6026-4905-BD15-1994434D463D}">
            <x14:dataBar minLength="0" maxLength="100" border="1" gradient="0">
              <x14:cfvo type="num">
                <xm:f>0</xm:f>
              </x14:cfvo>
              <x14:cfvo type="num">
                <xm:f>1</xm:f>
              </x14:cfvo>
              <x14:borderColor theme="0"/>
              <x14:negativeFillColor rgb="FFFF0000"/>
              <x14:axisColor rgb="FF000000"/>
            </x14:dataBar>
          </x14:cfRule>
          <xm:sqref>J2291</xm:sqref>
        </x14:conditionalFormatting>
        <x14:conditionalFormatting xmlns:xm="http://schemas.microsoft.com/office/excel/2006/main">
          <x14:cfRule type="dataBar" id="{A6E89275-533A-4914-91AE-F7575980488B}">
            <x14:dataBar minLength="0" maxLength="100" border="1" gradient="0">
              <x14:cfvo type="num">
                <xm:f>0</xm:f>
              </x14:cfvo>
              <x14:cfvo type="num">
                <xm:f>1</xm:f>
              </x14:cfvo>
              <x14:borderColor theme="0"/>
              <x14:negativeFillColor rgb="FFFF0000"/>
              <x14:axisColor rgb="FF000000"/>
            </x14:dataBar>
          </x14:cfRule>
          <xm:sqref>J2295</xm:sqref>
        </x14:conditionalFormatting>
        <x14:conditionalFormatting xmlns:xm="http://schemas.microsoft.com/office/excel/2006/main">
          <x14:cfRule type="dataBar" id="{8A8A62B4-1241-44A2-8BB6-D7D29ACCB6C8}">
            <x14:dataBar minLength="0" maxLength="100" border="1" gradient="0">
              <x14:cfvo type="num">
                <xm:f>0</xm:f>
              </x14:cfvo>
              <x14:cfvo type="num">
                <xm:f>1</xm:f>
              </x14:cfvo>
              <x14:borderColor theme="0"/>
              <x14:negativeFillColor rgb="FFFF0000"/>
              <x14:axisColor rgb="FF000000"/>
            </x14:dataBar>
          </x14:cfRule>
          <xm:sqref>J2297 J2301</xm:sqref>
        </x14:conditionalFormatting>
        <x14:conditionalFormatting xmlns:xm="http://schemas.microsoft.com/office/excel/2006/main">
          <x14:cfRule type="dataBar" id="{B9ECFF94-DA8F-4B7A-90D7-98BAD5887F8D}">
            <x14:dataBar minLength="0" maxLength="100" border="1" gradient="0">
              <x14:cfvo type="num">
                <xm:f>0</xm:f>
              </x14:cfvo>
              <x14:cfvo type="num">
                <xm:f>1</xm:f>
              </x14:cfvo>
              <x14:borderColor theme="0"/>
              <x14:negativeFillColor rgb="FFFF0000"/>
              <x14:axisColor rgb="FF000000"/>
            </x14:dataBar>
          </x14:cfRule>
          <xm:sqref>J2299</xm:sqref>
        </x14:conditionalFormatting>
        <x14:conditionalFormatting xmlns:xm="http://schemas.microsoft.com/office/excel/2006/main">
          <x14:cfRule type="dataBar" id="{A63B69C2-F78F-4CD1-BE0D-70E7B5434060}">
            <x14:dataBar minLength="0" maxLength="100" border="1" gradient="0">
              <x14:cfvo type="num">
                <xm:f>0</xm:f>
              </x14:cfvo>
              <x14:cfvo type="num">
                <xm:f>1</xm:f>
              </x14:cfvo>
              <x14:borderColor theme="0"/>
              <x14:negativeFillColor rgb="FFFF0000"/>
              <x14:axisColor rgb="FF000000"/>
            </x14:dataBar>
          </x14:cfRule>
          <xm:sqref>J2303</xm:sqref>
        </x14:conditionalFormatting>
        <x14:conditionalFormatting xmlns:xm="http://schemas.microsoft.com/office/excel/2006/main">
          <x14:cfRule type="dataBar" id="{4AA10631-9080-4EB6-ACF8-CB5E4C84A5A5}">
            <x14:dataBar minLength="0" maxLength="100" border="1" gradient="0">
              <x14:cfvo type="num">
                <xm:f>0</xm:f>
              </x14:cfvo>
              <x14:cfvo type="num">
                <xm:f>1</xm:f>
              </x14:cfvo>
              <x14:borderColor theme="0"/>
              <x14:negativeFillColor rgb="FFFF0000"/>
              <x14:axisColor rgb="FF000000"/>
            </x14:dataBar>
          </x14:cfRule>
          <xm:sqref>J2305</xm:sqref>
        </x14:conditionalFormatting>
        <x14:conditionalFormatting xmlns:xm="http://schemas.microsoft.com/office/excel/2006/main">
          <x14:cfRule type="dataBar" id="{7B718C6A-3F28-463A-93DB-7457E846B186}">
            <x14:dataBar minLength="0" maxLength="100" border="1" gradient="0">
              <x14:cfvo type="num">
                <xm:f>0</xm:f>
              </x14:cfvo>
              <x14:cfvo type="num">
                <xm:f>1</xm:f>
              </x14:cfvo>
              <x14:borderColor theme="0"/>
              <x14:negativeFillColor rgb="FFFF0000"/>
              <x14:axisColor rgb="FF000000"/>
            </x14:dataBar>
          </x14:cfRule>
          <xm:sqref>J2307 J2309</xm:sqref>
        </x14:conditionalFormatting>
        <x14:conditionalFormatting xmlns:xm="http://schemas.microsoft.com/office/excel/2006/main">
          <x14:cfRule type="dataBar" id="{FB849C9C-F06A-4343-AB0D-F9A7C17805CB}">
            <x14:dataBar minLength="0" maxLength="100" border="1" gradient="0">
              <x14:cfvo type="num">
                <xm:f>0</xm:f>
              </x14:cfvo>
              <x14:cfvo type="num">
                <xm:f>1</xm:f>
              </x14:cfvo>
              <x14:borderColor theme="0"/>
              <x14:negativeFillColor rgb="FFFF0000"/>
              <x14:axisColor rgb="FF000000"/>
            </x14:dataBar>
          </x14:cfRule>
          <xm:sqref>J2311</xm:sqref>
        </x14:conditionalFormatting>
        <x14:conditionalFormatting xmlns:xm="http://schemas.microsoft.com/office/excel/2006/main">
          <x14:cfRule type="dataBar" id="{1A695C9B-4F8D-4AA3-9103-5219C5B344A1}">
            <x14:dataBar minLength="0" maxLength="100" border="1" gradient="0">
              <x14:cfvo type="num">
                <xm:f>0</xm:f>
              </x14:cfvo>
              <x14:cfvo type="num">
                <xm:f>1</xm:f>
              </x14:cfvo>
              <x14:borderColor theme="0"/>
              <x14:negativeFillColor rgb="FFFF0000"/>
              <x14:axisColor rgb="FF000000"/>
            </x14:dataBar>
          </x14:cfRule>
          <xm:sqref>J2313</xm:sqref>
        </x14:conditionalFormatting>
        <x14:conditionalFormatting xmlns:xm="http://schemas.microsoft.com/office/excel/2006/main">
          <x14:cfRule type="dataBar" id="{F9B2953D-D734-498E-9A48-851041C8D6A5}">
            <x14:dataBar minLength="0" maxLength="100" border="1" gradient="0">
              <x14:cfvo type="num">
                <xm:f>0</xm:f>
              </x14:cfvo>
              <x14:cfvo type="num">
                <xm:f>1</xm:f>
              </x14:cfvo>
              <x14:borderColor theme="0"/>
              <x14:negativeFillColor rgb="FFFF0000"/>
              <x14:axisColor rgb="FF000000"/>
            </x14:dataBar>
          </x14:cfRule>
          <xm:sqref>J2315</xm:sqref>
        </x14:conditionalFormatting>
        <x14:conditionalFormatting xmlns:xm="http://schemas.microsoft.com/office/excel/2006/main">
          <x14:cfRule type="dataBar" id="{904C4F6A-40D9-464E-8E6D-EF60049D3BC0}">
            <x14:dataBar minLength="0" maxLength="100" border="1" gradient="0">
              <x14:cfvo type="num">
                <xm:f>0</xm:f>
              </x14:cfvo>
              <x14:cfvo type="num">
                <xm:f>1</xm:f>
              </x14:cfvo>
              <x14:borderColor theme="0"/>
              <x14:negativeFillColor rgb="FFFF0000"/>
              <x14:axisColor rgb="FF000000"/>
            </x14:dataBar>
          </x14:cfRule>
          <xm:sqref>J2317</xm:sqref>
        </x14:conditionalFormatting>
        <x14:conditionalFormatting xmlns:xm="http://schemas.microsoft.com/office/excel/2006/main">
          <x14:cfRule type="dataBar" id="{9B24C0AD-E056-4F9A-A0E8-15F5EA4A4B56}">
            <x14:dataBar minLength="0" maxLength="100" border="1" gradient="0">
              <x14:cfvo type="num">
                <xm:f>0</xm:f>
              </x14:cfvo>
              <x14:cfvo type="num">
                <xm:f>1</xm:f>
              </x14:cfvo>
              <x14:borderColor theme="0"/>
              <x14:negativeFillColor rgb="FFFF0000"/>
              <x14:axisColor rgb="FF000000"/>
            </x14:dataBar>
          </x14:cfRule>
          <xm:sqref>J2320</xm:sqref>
        </x14:conditionalFormatting>
        <x14:conditionalFormatting xmlns:xm="http://schemas.microsoft.com/office/excel/2006/main">
          <x14:cfRule type="dataBar" id="{18BBD8B2-28AC-469E-B5F8-F54CDB1929BB}">
            <x14:dataBar minLength="0" maxLength="100" border="1" gradient="0">
              <x14:cfvo type="num">
                <xm:f>0</xm:f>
              </x14:cfvo>
              <x14:cfvo type="num">
                <xm:f>1</xm:f>
              </x14:cfvo>
              <x14:borderColor theme="0"/>
              <x14:negativeFillColor rgb="FFFF0000"/>
              <x14:axisColor rgb="FF000000"/>
            </x14:dataBar>
          </x14:cfRule>
          <xm:sqref>J2322 J2324</xm:sqref>
        </x14:conditionalFormatting>
        <x14:conditionalFormatting xmlns:xm="http://schemas.microsoft.com/office/excel/2006/main">
          <x14:cfRule type="dataBar" id="{EA914C19-93F7-498E-9408-E646D86FC260}">
            <x14:dataBar minLength="0" maxLength="100" border="1" gradient="0">
              <x14:cfvo type="num">
                <xm:f>0</xm:f>
              </x14:cfvo>
              <x14:cfvo type="num">
                <xm:f>1</xm:f>
              </x14:cfvo>
              <x14:borderColor theme="0"/>
              <x14:negativeFillColor rgb="FFFF0000"/>
              <x14:axisColor rgb="FF000000"/>
            </x14:dataBar>
          </x14:cfRule>
          <xm:sqref>J2326</xm:sqref>
        </x14:conditionalFormatting>
        <x14:conditionalFormatting xmlns:xm="http://schemas.microsoft.com/office/excel/2006/main">
          <x14:cfRule type="dataBar" id="{FECF59AF-680C-411B-B784-752D1ED7E761}">
            <x14:dataBar minLength="0" maxLength="100" border="1" gradient="0">
              <x14:cfvo type="num">
                <xm:f>0</xm:f>
              </x14:cfvo>
              <x14:cfvo type="num">
                <xm:f>1</xm:f>
              </x14:cfvo>
              <x14:borderColor theme="0"/>
              <x14:negativeFillColor rgb="FFFF0000"/>
              <x14:axisColor rgb="FF000000"/>
            </x14:dataBar>
          </x14:cfRule>
          <xm:sqref>J2328</xm:sqref>
        </x14:conditionalFormatting>
        <x14:conditionalFormatting xmlns:xm="http://schemas.microsoft.com/office/excel/2006/main">
          <x14:cfRule type="dataBar" id="{9AB960A2-0136-4F37-85FC-22BC6DDA572A}">
            <x14:dataBar minLength="0" maxLength="100" border="1" gradient="0">
              <x14:cfvo type="num">
                <xm:f>0</xm:f>
              </x14:cfvo>
              <x14:cfvo type="num">
                <xm:f>1</xm:f>
              </x14:cfvo>
              <x14:borderColor theme="0"/>
              <x14:negativeFillColor rgb="FFFF0000"/>
              <x14:axisColor rgb="FF000000"/>
            </x14:dataBar>
          </x14:cfRule>
          <xm:sqref>J2330</xm:sqref>
        </x14:conditionalFormatting>
        <x14:conditionalFormatting xmlns:xm="http://schemas.microsoft.com/office/excel/2006/main">
          <x14:cfRule type="dataBar" id="{ADA893D6-4FA5-4A9E-804C-6FA295681E7F}">
            <x14:dataBar minLength="0" maxLength="100" border="1" gradient="0">
              <x14:cfvo type="num">
                <xm:f>0</xm:f>
              </x14:cfvo>
              <x14:cfvo type="num">
                <xm:f>1</xm:f>
              </x14:cfvo>
              <x14:borderColor theme="0"/>
              <x14:negativeFillColor rgb="FFFF0000"/>
              <x14:axisColor rgb="FF000000"/>
            </x14:dataBar>
          </x14:cfRule>
          <xm:sqref>J2333</xm:sqref>
        </x14:conditionalFormatting>
        <x14:conditionalFormatting xmlns:xm="http://schemas.microsoft.com/office/excel/2006/main">
          <x14:cfRule type="dataBar" id="{73C9FC09-676B-44AD-9E51-A405856E6DC0}">
            <x14:dataBar minLength="0" maxLength="100" border="1" gradient="0">
              <x14:cfvo type="num">
                <xm:f>0</xm:f>
              </x14:cfvo>
              <x14:cfvo type="num">
                <xm:f>1</xm:f>
              </x14:cfvo>
              <x14:borderColor theme="0"/>
              <x14:negativeFillColor rgb="FFFF0000"/>
              <x14:axisColor rgb="FF000000"/>
            </x14:dataBar>
          </x14:cfRule>
          <xm:sqref>J2335 J2337 J2339</xm:sqref>
        </x14:conditionalFormatting>
        <x14:conditionalFormatting xmlns:xm="http://schemas.microsoft.com/office/excel/2006/main">
          <x14:cfRule type="dataBar" id="{214FB07A-210B-487B-B0FB-99BC1EDE015D}">
            <x14:dataBar minLength="0" maxLength="100" border="1" gradient="0">
              <x14:cfvo type="num">
                <xm:f>0</xm:f>
              </x14:cfvo>
              <x14:cfvo type="num">
                <xm:f>1</xm:f>
              </x14:cfvo>
              <x14:borderColor theme="0"/>
              <x14:negativeFillColor rgb="FFFF0000"/>
              <x14:axisColor rgb="FF000000"/>
            </x14:dataBar>
          </x14:cfRule>
          <xm:sqref>J2341</xm:sqref>
        </x14:conditionalFormatting>
        <x14:conditionalFormatting xmlns:xm="http://schemas.microsoft.com/office/excel/2006/main">
          <x14:cfRule type="dataBar" id="{42F0052D-B31F-4146-B590-C68CBF77A45F}">
            <x14:dataBar minLength="0" maxLength="100" border="1" gradient="0">
              <x14:cfvo type="num">
                <xm:f>0</xm:f>
              </x14:cfvo>
              <x14:cfvo type="num">
                <xm:f>1</xm:f>
              </x14:cfvo>
              <x14:borderColor theme="0"/>
              <x14:negativeFillColor rgb="FFFF0000"/>
              <x14:axisColor rgb="FF000000"/>
            </x14:dataBar>
          </x14:cfRule>
          <xm:sqref>J2345</xm:sqref>
        </x14:conditionalFormatting>
        <x14:conditionalFormatting xmlns:xm="http://schemas.microsoft.com/office/excel/2006/main">
          <x14:cfRule type="dataBar" id="{2569E601-E9B7-481D-BF36-E3195B55936C}">
            <x14:dataBar minLength="0" maxLength="100" border="1" gradient="0">
              <x14:cfvo type="num">
                <xm:f>0</xm:f>
              </x14:cfvo>
              <x14:cfvo type="num">
                <xm:f>1</xm:f>
              </x14:cfvo>
              <x14:borderColor theme="0"/>
              <x14:negativeFillColor rgb="FFFF0000"/>
              <x14:axisColor rgb="FF000000"/>
            </x14:dataBar>
          </x14:cfRule>
          <xm:sqref>J2347 J2349 J2351</xm:sqref>
        </x14:conditionalFormatting>
        <x14:conditionalFormatting xmlns:xm="http://schemas.microsoft.com/office/excel/2006/main">
          <x14:cfRule type="dataBar" id="{E4590450-4263-42A4-92F3-0E2A6BEBC8D6}">
            <x14:dataBar minLength="0" maxLength="100" border="1" gradient="0">
              <x14:cfvo type="num">
                <xm:f>0</xm:f>
              </x14:cfvo>
              <x14:cfvo type="num">
                <xm:f>1</xm:f>
              </x14:cfvo>
              <x14:borderColor theme="0"/>
              <x14:negativeFillColor rgb="FFFF0000"/>
              <x14:axisColor rgb="FF000000"/>
            </x14:dataBar>
          </x14:cfRule>
          <xm:sqref>J2353 J2355</xm:sqref>
        </x14:conditionalFormatting>
        <x14:conditionalFormatting xmlns:xm="http://schemas.microsoft.com/office/excel/2006/main">
          <x14:cfRule type="dataBar" id="{3A94465A-E392-4D1F-8F11-97DDE4DD31C4}">
            <x14:dataBar minLength="0" maxLength="100" border="1" gradient="0">
              <x14:cfvo type="num">
                <xm:f>0</xm:f>
              </x14:cfvo>
              <x14:cfvo type="num">
                <xm:f>1</xm:f>
              </x14:cfvo>
              <x14:borderColor theme="0"/>
              <x14:negativeFillColor rgb="FFFF0000"/>
              <x14:axisColor rgb="FF000000"/>
            </x14:dataBar>
          </x14:cfRule>
          <xm:sqref>J2359</xm:sqref>
        </x14:conditionalFormatting>
        <x14:conditionalFormatting xmlns:xm="http://schemas.microsoft.com/office/excel/2006/main">
          <x14:cfRule type="dataBar" id="{E3E1D8F1-B786-4F69-9731-2623AA1848DE}">
            <x14:dataBar minLength="0" maxLength="100" border="1" gradient="0">
              <x14:cfvo type="num">
                <xm:f>0</xm:f>
              </x14:cfvo>
              <x14:cfvo type="num">
                <xm:f>1</xm:f>
              </x14:cfvo>
              <x14:borderColor theme="0"/>
              <x14:negativeFillColor rgb="FFFF0000"/>
              <x14:axisColor rgb="FF000000"/>
            </x14:dataBar>
          </x14:cfRule>
          <xm:sqref>J2361 J2363 J2365</xm:sqref>
        </x14:conditionalFormatting>
        <x14:conditionalFormatting xmlns:xm="http://schemas.microsoft.com/office/excel/2006/main">
          <x14:cfRule type="dataBar" id="{FF945BE6-0A1A-4D61-A846-3B936EAE7194}">
            <x14:dataBar minLength="0" maxLength="100" border="1" gradient="0">
              <x14:cfvo type="num">
                <xm:f>0</xm:f>
              </x14:cfvo>
              <x14:cfvo type="num">
                <xm:f>1</xm:f>
              </x14:cfvo>
              <x14:borderColor theme="0"/>
              <x14:negativeFillColor rgb="FFFF0000"/>
              <x14:axisColor rgb="FF000000"/>
            </x14:dataBar>
          </x14:cfRule>
          <xm:sqref>J2367 J2369</xm:sqref>
        </x14:conditionalFormatting>
        <x14:conditionalFormatting xmlns:xm="http://schemas.microsoft.com/office/excel/2006/main">
          <x14:cfRule type="dataBar" id="{89EF0B90-BF89-419F-A183-E6806359EF93}">
            <x14:dataBar minLength="0" maxLength="100" border="1" gradient="0">
              <x14:cfvo type="num">
                <xm:f>0</xm:f>
              </x14:cfvo>
              <x14:cfvo type="num">
                <xm:f>1</xm:f>
              </x14:cfvo>
              <x14:borderColor theme="0"/>
              <x14:negativeFillColor rgb="FFFF0000"/>
              <x14:axisColor rgb="FF000000"/>
            </x14:dataBar>
          </x14:cfRule>
          <xm:sqref>J2371</xm:sqref>
        </x14:conditionalFormatting>
        <x14:conditionalFormatting xmlns:xm="http://schemas.microsoft.com/office/excel/2006/main">
          <x14:cfRule type="dataBar" id="{824E50DB-CE5C-4FF3-B1F8-5F3904B510F0}">
            <x14:dataBar minLength="0" maxLength="100" border="1" gradient="0">
              <x14:cfvo type="num">
                <xm:f>0</xm:f>
              </x14:cfvo>
              <x14:cfvo type="num">
                <xm:f>1</xm:f>
              </x14:cfvo>
              <x14:borderColor theme="0"/>
              <x14:negativeFillColor rgb="FFFF0000"/>
              <x14:axisColor rgb="FF000000"/>
            </x14:dataBar>
          </x14:cfRule>
          <xm:sqref>J2375</xm:sqref>
        </x14:conditionalFormatting>
        <x14:conditionalFormatting xmlns:xm="http://schemas.microsoft.com/office/excel/2006/main">
          <x14:cfRule type="dataBar" id="{917FD18B-6569-4DF1-A762-AF7753A5CC69}">
            <x14:dataBar minLength="0" maxLength="100" border="1" gradient="0">
              <x14:cfvo type="num">
                <xm:f>0</xm:f>
              </x14:cfvo>
              <x14:cfvo type="num">
                <xm:f>1</xm:f>
              </x14:cfvo>
              <x14:borderColor theme="0"/>
              <x14:negativeFillColor rgb="FFFF0000"/>
              <x14:axisColor rgb="FF000000"/>
            </x14:dataBar>
          </x14:cfRule>
          <xm:sqref>J2379</xm:sqref>
        </x14:conditionalFormatting>
        <x14:conditionalFormatting xmlns:xm="http://schemas.microsoft.com/office/excel/2006/main">
          <x14:cfRule type="dataBar" id="{9613DC5C-91E4-48FD-91C7-826852DB0FAE}">
            <x14:dataBar minLength="0" maxLength="100" border="1" gradient="0">
              <x14:cfvo type="num">
                <xm:f>0</xm:f>
              </x14:cfvo>
              <x14:cfvo type="num">
                <xm:f>1</xm:f>
              </x14:cfvo>
              <x14:borderColor theme="0"/>
              <x14:negativeFillColor rgb="FFFF0000"/>
              <x14:axisColor rgb="FF000000"/>
            </x14:dataBar>
          </x14:cfRule>
          <xm:sqref>J2381 J2383 J2385</xm:sqref>
        </x14:conditionalFormatting>
        <x14:conditionalFormatting xmlns:xm="http://schemas.microsoft.com/office/excel/2006/main">
          <x14:cfRule type="dataBar" id="{4CD3A1EE-385D-4EF8-A5BA-9CB43A44849B}">
            <x14:dataBar minLength="0" maxLength="100" border="1" gradient="0">
              <x14:cfvo type="num">
                <xm:f>0</xm:f>
              </x14:cfvo>
              <x14:cfvo type="num">
                <xm:f>1</xm:f>
              </x14:cfvo>
              <x14:borderColor theme="0"/>
              <x14:negativeFillColor rgb="FFFF0000"/>
              <x14:axisColor rgb="FF000000"/>
            </x14:dataBar>
          </x14:cfRule>
          <xm:sqref>J2387</xm:sqref>
        </x14:conditionalFormatting>
        <x14:conditionalFormatting xmlns:xm="http://schemas.microsoft.com/office/excel/2006/main">
          <x14:cfRule type="dataBar" id="{ADD465C0-2055-43D6-B64B-46D362BE1388}">
            <x14:dataBar minLength="0" maxLength="100" border="1" gradient="0">
              <x14:cfvo type="num">
                <xm:f>0</xm:f>
              </x14:cfvo>
              <x14:cfvo type="num">
                <xm:f>1</xm:f>
              </x14:cfvo>
              <x14:borderColor theme="0"/>
              <x14:negativeFillColor rgb="FFFF0000"/>
              <x14:axisColor rgb="FF000000"/>
            </x14:dataBar>
          </x14:cfRule>
          <xm:sqref>J2389</xm:sqref>
        </x14:conditionalFormatting>
        <x14:conditionalFormatting xmlns:xm="http://schemas.microsoft.com/office/excel/2006/main">
          <x14:cfRule type="dataBar" id="{D2010E10-67F1-4C7A-B142-E8D28222F63F}">
            <x14:dataBar minLength="0" maxLength="100" border="1" gradient="0">
              <x14:cfvo type="num">
                <xm:f>0</xm:f>
              </x14:cfvo>
              <x14:cfvo type="num">
                <xm:f>1</xm:f>
              </x14:cfvo>
              <x14:borderColor theme="0"/>
              <x14:negativeFillColor rgb="FFFF0000"/>
              <x14:axisColor rgb="FF000000"/>
            </x14:dataBar>
          </x14:cfRule>
          <xm:sqref>J2393</xm:sqref>
        </x14:conditionalFormatting>
        <x14:conditionalFormatting xmlns:xm="http://schemas.microsoft.com/office/excel/2006/main">
          <x14:cfRule type="dataBar" id="{59CF9B14-8BBD-48CA-A1EE-BAA339357845}">
            <x14:dataBar minLength="0" maxLength="100" border="1" gradient="0">
              <x14:cfvo type="num">
                <xm:f>0</xm:f>
              </x14:cfvo>
              <x14:cfvo type="num">
                <xm:f>1</xm:f>
              </x14:cfvo>
              <x14:borderColor theme="0"/>
              <x14:negativeFillColor rgb="FFFF0000"/>
              <x14:axisColor rgb="FF000000"/>
            </x14:dataBar>
          </x14:cfRule>
          <xm:sqref>J2395</xm:sqref>
        </x14:conditionalFormatting>
        <x14:conditionalFormatting xmlns:xm="http://schemas.microsoft.com/office/excel/2006/main">
          <x14:cfRule type="dataBar" id="{78E4E007-608E-4A25-8AD0-09094795F8B8}">
            <x14:dataBar minLength="0" maxLength="100" border="1" gradient="0">
              <x14:cfvo type="num">
                <xm:f>0</xm:f>
              </x14:cfvo>
              <x14:cfvo type="num">
                <xm:f>1</xm:f>
              </x14:cfvo>
              <x14:borderColor theme="0"/>
              <x14:negativeFillColor rgb="FFFF0000"/>
              <x14:axisColor rgb="FF000000"/>
            </x14:dataBar>
          </x14:cfRule>
          <xm:sqref>J2397</xm:sqref>
        </x14:conditionalFormatting>
        <x14:conditionalFormatting xmlns:xm="http://schemas.microsoft.com/office/excel/2006/main">
          <x14:cfRule type="dataBar" id="{D967C44E-C61F-4759-A598-9231B83948A7}">
            <x14:dataBar minLength="0" maxLength="100" border="1" gradient="0">
              <x14:cfvo type="num">
                <xm:f>0</xm:f>
              </x14:cfvo>
              <x14:cfvo type="num">
                <xm:f>1</xm:f>
              </x14:cfvo>
              <x14:borderColor theme="0"/>
              <x14:negativeFillColor rgb="FFFF0000"/>
              <x14:axisColor rgb="FF000000"/>
            </x14:dataBar>
          </x14:cfRule>
          <xm:sqref>J2401</xm:sqref>
        </x14:conditionalFormatting>
        <x14:conditionalFormatting xmlns:xm="http://schemas.microsoft.com/office/excel/2006/main">
          <x14:cfRule type="dataBar" id="{E6504AAE-6B18-42DF-A794-E9D25596F4E1}">
            <x14:dataBar minLength="0" maxLength="100" border="1" gradient="0">
              <x14:cfvo type="num">
                <xm:f>0</xm:f>
              </x14:cfvo>
              <x14:cfvo type="num">
                <xm:f>1</xm:f>
              </x14:cfvo>
              <x14:borderColor theme="0"/>
              <x14:negativeFillColor rgb="FFFF0000"/>
              <x14:axisColor rgb="FF000000"/>
            </x14:dataBar>
          </x14:cfRule>
          <xm:sqref>J2405</xm:sqref>
        </x14:conditionalFormatting>
        <x14:conditionalFormatting xmlns:xm="http://schemas.microsoft.com/office/excel/2006/main">
          <x14:cfRule type="dataBar" id="{CC0B359F-CF8B-48E2-85D2-DF99DBFB36B1}">
            <x14:dataBar minLength="0" maxLength="100" border="1" gradient="0">
              <x14:cfvo type="num">
                <xm:f>0</xm:f>
              </x14:cfvo>
              <x14:cfvo type="num">
                <xm:f>1</xm:f>
              </x14:cfvo>
              <x14:borderColor theme="0"/>
              <x14:negativeFillColor rgb="FFFF0000"/>
              <x14:axisColor rgb="FF000000"/>
            </x14:dataBar>
          </x14:cfRule>
          <xm:sqref>J2407 J2411 J2415 J2419 J2409 J2413 J2417 J2421</xm:sqref>
        </x14:conditionalFormatting>
        <x14:conditionalFormatting xmlns:xm="http://schemas.microsoft.com/office/excel/2006/main">
          <x14:cfRule type="dataBar" id="{DD139D14-70C9-4570-B755-24630DBD042E}">
            <x14:dataBar minLength="0" maxLength="100" border="1" gradient="0">
              <x14:cfvo type="num">
                <xm:f>0</xm:f>
              </x14:cfvo>
              <x14:cfvo type="num">
                <xm:f>1</xm:f>
              </x14:cfvo>
              <x14:borderColor theme="0"/>
              <x14:negativeFillColor rgb="FFFF0000"/>
              <x14:axisColor rgb="FF000000"/>
            </x14:dataBar>
          </x14:cfRule>
          <xm:sqref>J2423 J2427 J2431 J2435 J2425 J2429 J2433 J2437</xm:sqref>
        </x14:conditionalFormatting>
        <x14:conditionalFormatting xmlns:xm="http://schemas.microsoft.com/office/excel/2006/main">
          <x14:cfRule type="dataBar" id="{5B025A6F-2487-4A9D-B8A6-03D532FEFB29}">
            <x14:dataBar minLength="0" maxLength="100" border="1" gradient="0">
              <x14:cfvo type="num">
                <xm:f>0</xm:f>
              </x14:cfvo>
              <x14:cfvo type="num">
                <xm:f>1</xm:f>
              </x14:cfvo>
              <x14:borderColor theme="0"/>
              <x14:negativeFillColor rgb="FFFF0000"/>
              <x14:axisColor rgb="FF000000"/>
            </x14:dataBar>
          </x14:cfRule>
          <xm:sqref>J2439</xm:sqref>
        </x14:conditionalFormatting>
        <x14:conditionalFormatting xmlns:xm="http://schemas.microsoft.com/office/excel/2006/main">
          <x14:cfRule type="dataBar" id="{E29AED30-CA13-47ED-9B94-32E20D8BA1EC}">
            <x14:dataBar minLength="0" maxLength="100" border="1" gradient="0">
              <x14:cfvo type="num">
                <xm:f>0</xm:f>
              </x14:cfvo>
              <x14:cfvo type="num">
                <xm:f>1</xm:f>
              </x14:cfvo>
              <x14:borderColor theme="0"/>
              <x14:negativeFillColor rgb="FFFF0000"/>
              <x14:axisColor rgb="FF000000"/>
            </x14:dataBar>
          </x14:cfRule>
          <xm:sqref>J2441 J2449 J2443 J2445 J2447 J2451</xm:sqref>
        </x14:conditionalFormatting>
        <x14:conditionalFormatting xmlns:xm="http://schemas.microsoft.com/office/excel/2006/main">
          <x14:cfRule type="dataBar" id="{93E429F2-2233-462A-A2AA-68A2C18DBC0F}">
            <x14:dataBar minLength="0" maxLength="100" border="1" gradient="0">
              <x14:cfvo type="num">
                <xm:f>0</xm:f>
              </x14:cfvo>
              <x14:cfvo type="num">
                <xm:f>1</xm:f>
              </x14:cfvo>
              <x14:borderColor theme="0"/>
              <x14:negativeFillColor rgb="FFFF0000"/>
              <x14:axisColor rgb="FF000000"/>
            </x14:dataBar>
          </x14:cfRule>
          <xm:sqref>J2453</xm:sqref>
        </x14:conditionalFormatting>
        <x14:conditionalFormatting xmlns:xm="http://schemas.microsoft.com/office/excel/2006/main">
          <x14:cfRule type="dataBar" id="{6058FEC8-3FD9-41EA-8D75-D913D1DF7602}">
            <x14:dataBar minLength="0" maxLength="100" border="1" gradient="0">
              <x14:cfvo type="num">
                <xm:f>0</xm:f>
              </x14:cfvo>
              <x14:cfvo type="num">
                <xm:f>1</xm:f>
              </x14:cfvo>
              <x14:borderColor theme="0"/>
              <x14:negativeFillColor rgb="FFFF0000"/>
              <x14:axisColor rgb="FF000000"/>
            </x14:dataBar>
          </x14:cfRule>
          <xm:sqref>J2457</xm:sqref>
        </x14:conditionalFormatting>
        <x14:conditionalFormatting xmlns:xm="http://schemas.microsoft.com/office/excel/2006/main">
          <x14:cfRule type="dataBar" id="{4C968487-0BDA-4340-92E2-69AB9D546ACB}">
            <x14:dataBar minLength="0" maxLength="100" border="1" gradient="0">
              <x14:cfvo type="num">
                <xm:f>0</xm:f>
              </x14:cfvo>
              <x14:cfvo type="num">
                <xm:f>1</xm:f>
              </x14:cfvo>
              <x14:borderColor theme="0"/>
              <x14:negativeFillColor rgb="FFFF0000"/>
              <x14:axisColor rgb="FF000000"/>
            </x14:dataBar>
          </x14:cfRule>
          <xm:sqref>J2461 J2459</xm:sqref>
        </x14:conditionalFormatting>
        <x14:conditionalFormatting xmlns:xm="http://schemas.microsoft.com/office/excel/2006/main">
          <x14:cfRule type="dataBar" id="{ED4CDA78-AC73-4401-A0C0-72FE43BEBF1E}">
            <x14:dataBar minLength="0" maxLength="100" border="1" gradient="0">
              <x14:cfvo type="num">
                <xm:f>0</xm:f>
              </x14:cfvo>
              <x14:cfvo type="num">
                <xm:f>1</xm:f>
              </x14:cfvo>
              <x14:borderColor theme="0"/>
              <x14:negativeFillColor rgb="FFFF0000"/>
              <x14:axisColor rgb="FF000000"/>
            </x14:dataBar>
          </x14:cfRule>
          <xm:sqref>J2465 J2463</xm:sqref>
        </x14:conditionalFormatting>
        <x14:conditionalFormatting xmlns:xm="http://schemas.microsoft.com/office/excel/2006/main">
          <x14:cfRule type="dataBar" id="{33F10DDE-C085-4FC2-8CF6-1A6C9A878BDD}">
            <x14:dataBar minLength="0" maxLength="100" border="1" gradient="0">
              <x14:cfvo type="num">
                <xm:f>0</xm:f>
              </x14:cfvo>
              <x14:cfvo type="num">
                <xm:f>1</xm:f>
              </x14:cfvo>
              <x14:borderColor theme="0"/>
              <x14:negativeFillColor rgb="FFFF0000"/>
              <x14:axisColor rgb="FF000000"/>
            </x14:dataBar>
          </x14:cfRule>
          <xm:sqref>J2467 J2469</xm:sqref>
        </x14:conditionalFormatting>
        <x14:conditionalFormatting xmlns:xm="http://schemas.microsoft.com/office/excel/2006/main">
          <x14:cfRule type="dataBar" id="{1A4DB37A-06F9-4449-8767-928804836EA0}">
            <x14:dataBar minLength="0" maxLength="100" border="1" gradient="0">
              <x14:cfvo type="num">
                <xm:f>0</xm:f>
              </x14:cfvo>
              <x14:cfvo type="num">
                <xm:f>1</xm:f>
              </x14:cfvo>
              <x14:borderColor theme="0"/>
              <x14:negativeFillColor rgb="FFFF0000"/>
              <x14:axisColor rgb="FF000000"/>
            </x14:dataBar>
          </x14:cfRule>
          <xm:sqref>J2471 J2473</xm:sqref>
        </x14:conditionalFormatting>
        <x14:conditionalFormatting xmlns:xm="http://schemas.microsoft.com/office/excel/2006/main">
          <x14:cfRule type="dataBar" id="{53B0B8E1-1B4E-47C3-93FD-FB518A49AB4E}">
            <x14:dataBar minLength="0" maxLength="100" border="1" gradient="0">
              <x14:cfvo type="num">
                <xm:f>0</xm:f>
              </x14:cfvo>
              <x14:cfvo type="num">
                <xm:f>1</xm:f>
              </x14:cfvo>
              <x14:borderColor theme="0"/>
              <x14:negativeFillColor rgb="FFFF0000"/>
              <x14:axisColor rgb="FF000000"/>
            </x14:dataBar>
          </x14:cfRule>
          <xm:sqref>J2475 J2477</xm:sqref>
        </x14:conditionalFormatting>
        <x14:conditionalFormatting xmlns:xm="http://schemas.microsoft.com/office/excel/2006/main">
          <x14:cfRule type="dataBar" id="{203D7D54-B4AE-43D0-9790-1E0D72D50C66}">
            <x14:dataBar minLength="0" maxLength="100" border="1" gradient="0">
              <x14:cfvo type="num">
                <xm:f>0</xm:f>
              </x14:cfvo>
              <x14:cfvo type="num">
                <xm:f>1</xm:f>
              </x14:cfvo>
              <x14:borderColor theme="0"/>
              <x14:negativeFillColor rgb="FFFF0000"/>
              <x14:axisColor rgb="FF000000"/>
            </x14:dataBar>
          </x14:cfRule>
          <xm:sqref>J2479 J2481</xm:sqref>
        </x14:conditionalFormatting>
        <x14:conditionalFormatting xmlns:xm="http://schemas.microsoft.com/office/excel/2006/main">
          <x14:cfRule type="dataBar" id="{0B602894-C69B-4540-9D5B-8580CD52F799}">
            <x14:dataBar minLength="0" maxLength="100" border="1" gradient="0">
              <x14:cfvo type="num">
                <xm:f>0</xm:f>
              </x14:cfvo>
              <x14:cfvo type="num">
                <xm:f>1</xm:f>
              </x14:cfvo>
              <x14:borderColor theme="0"/>
              <x14:negativeFillColor rgb="FFFF0000"/>
              <x14:axisColor rgb="FF000000"/>
            </x14:dataBar>
          </x14:cfRule>
          <xm:sqref>J2483 J2485</xm:sqref>
        </x14:conditionalFormatting>
        <x14:conditionalFormatting xmlns:xm="http://schemas.microsoft.com/office/excel/2006/main">
          <x14:cfRule type="dataBar" id="{5DD5A542-A424-4594-96F8-4D29DA99AD5D}">
            <x14:dataBar minLength="0" maxLength="100" border="1" gradient="0">
              <x14:cfvo type="num">
                <xm:f>0</xm:f>
              </x14:cfvo>
              <x14:cfvo type="num">
                <xm:f>1</xm:f>
              </x14:cfvo>
              <x14:borderColor theme="0"/>
              <x14:negativeFillColor rgb="FFFF0000"/>
              <x14:axisColor rgb="FF000000"/>
            </x14:dataBar>
          </x14:cfRule>
          <xm:sqref>J2487 J2489</xm:sqref>
        </x14:conditionalFormatting>
        <x14:conditionalFormatting xmlns:xm="http://schemas.microsoft.com/office/excel/2006/main">
          <x14:cfRule type="dataBar" id="{58D68FD8-C9E5-4873-88CF-A58EF65F53D9}">
            <x14:dataBar minLength="0" maxLength="100" border="1" gradient="0">
              <x14:cfvo type="num">
                <xm:f>0</xm:f>
              </x14:cfvo>
              <x14:cfvo type="num">
                <xm:f>1</xm:f>
              </x14:cfvo>
              <x14:borderColor theme="0"/>
              <x14:negativeFillColor rgb="FFFF0000"/>
              <x14:axisColor rgb="FF000000"/>
            </x14:dataBar>
          </x14:cfRule>
          <xm:sqref>J2491 J2493</xm:sqref>
        </x14:conditionalFormatting>
        <x14:conditionalFormatting xmlns:xm="http://schemas.microsoft.com/office/excel/2006/main">
          <x14:cfRule type="dataBar" id="{90FE66B2-C4F7-48A7-A8A2-AF5F7994EB84}">
            <x14:dataBar minLength="0" maxLength="100" border="1" gradient="0">
              <x14:cfvo type="num">
                <xm:f>0</xm:f>
              </x14:cfvo>
              <x14:cfvo type="num">
                <xm:f>1</xm:f>
              </x14:cfvo>
              <x14:borderColor theme="0"/>
              <x14:negativeFillColor rgb="FFFF0000"/>
              <x14:axisColor rgb="FF000000"/>
            </x14:dataBar>
          </x14:cfRule>
          <xm:sqref>J2495 J2497</xm:sqref>
        </x14:conditionalFormatting>
        <x14:conditionalFormatting xmlns:xm="http://schemas.microsoft.com/office/excel/2006/main">
          <x14:cfRule type="dataBar" id="{DE0F0EF3-257B-4E51-BB59-22646DCE03AA}">
            <x14:dataBar minLength="0" maxLength="100" border="1" gradient="0">
              <x14:cfvo type="num">
                <xm:f>0</xm:f>
              </x14:cfvo>
              <x14:cfvo type="num">
                <xm:f>1</xm:f>
              </x14:cfvo>
              <x14:borderColor theme="0"/>
              <x14:negativeFillColor rgb="FFFF0000"/>
              <x14:axisColor rgb="FF000000"/>
            </x14:dataBar>
          </x14:cfRule>
          <xm:sqref>J2499</xm:sqref>
        </x14:conditionalFormatting>
        <x14:conditionalFormatting xmlns:xm="http://schemas.microsoft.com/office/excel/2006/main">
          <x14:cfRule type="dataBar" id="{317B3566-BDE0-4811-BC68-C0529D1B9F26}">
            <x14:dataBar minLength="0" maxLength="100" border="1" gradient="0">
              <x14:cfvo type="num">
                <xm:f>0</xm:f>
              </x14:cfvo>
              <x14:cfvo type="num">
                <xm:f>1</xm:f>
              </x14:cfvo>
              <x14:borderColor theme="0"/>
              <x14:negativeFillColor rgb="FFFF0000"/>
              <x14:axisColor rgb="FF000000"/>
            </x14:dataBar>
          </x14:cfRule>
          <xm:sqref>J2501 J2503</xm:sqref>
        </x14:conditionalFormatting>
        <x14:conditionalFormatting xmlns:xm="http://schemas.microsoft.com/office/excel/2006/main">
          <x14:cfRule type="dataBar" id="{DB12C35F-AF52-43CB-8601-1D1FCADDEABE}">
            <x14:dataBar minLength="0" maxLength="100" border="1" gradient="0">
              <x14:cfvo type="num">
                <xm:f>0</xm:f>
              </x14:cfvo>
              <x14:cfvo type="num">
                <xm:f>1</xm:f>
              </x14:cfvo>
              <x14:borderColor theme="0"/>
              <x14:negativeFillColor rgb="FFFF0000"/>
              <x14:axisColor rgb="FF000000"/>
            </x14:dataBar>
          </x14:cfRule>
          <xm:sqref>J2505 J2507</xm:sqref>
        </x14:conditionalFormatting>
        <x14:conditionalFormatting xmlns:xm="http://schemas.microsoft.com/office/excel/2006/main">
          <x14:cfRule type="dataBar" id="{DCD7C351-6AA5-43FB-8230-FEEF771414CE}">
            <x14:dataBar minLength="0" maxLength="100" border="1" gradient="0">
              <x14:cfvo type="num">
                <xm:f>0</xm:f>
              </x14:cfvo>
              <x14:cfvo type="num">
                <xm:f>1</xm:f>
              </x14:cfvo>
              <x14:borderColor theme="0"/>
              <x14:negativeFillColor rgb="FFFF0000"/>
              <x14:axisColor rgb="FF000000"/>
            </x14:dataBar>
          </x14:cfRule>
          <xm:sqref>J2509 J2511</xm:sqref>
        </x14:conditionalFormatting>
        <x14:conditionalFormatting xmlns:xm="http://schemas.microsoft.com/office/excel/2006/main">
          <x14:cfRule type="dataBar" id="{0D3680C5-3883-4F7C-BABC-B63A0DD83188}">
            <x14:dataBar minLength="0" maxLength="100" border="1" gradient="0">
              <x14:cfvo type="num">
                <xm:f>0</xm:f>
              </x14:cfvo>
              <x14:cfvo type="num">
                <xm:f>1</xm:f>
              </x14:cfvo>
              <x14:borderColor theme="0"/>
              <x14:negativeFillColor rgb="FFFF0000"/>
              <x14:axisColor rgb="FF000000"/>
            </x14:dataBar>
          </x14:cfRule>
          <xm:sqref>J2513 J2515</xm:sqref>
        </x14:conditionalFormatting>
        <x14:conditionalFormatting xmlns:xm="http://schemas.microsoft.com/office/excel/2006/main">
          <x14:cfRule type="dataBar" id="{8783E28F-14D0-4D76-988E-A8CFBD8318A9}">
            <x14:dataBar minLength="0" maxLength="100" border="1" gradient="0">
              <x14:cfvo type="num">
                <xm:f>0</xm:f>
              </x14:cfvo>
              <x14:cfvo type="num">
                <xm:f>1</xm:f>
              </x14:cfvo>
              <x14:borderColor theme="0"/>
              <x14:negativeFillColor rgb="FFFF0000"/>
              <x14:axisColor rgb="FF000000"/>
            </x14:dataBar>
          </x14:cfRule>
          <xm:sqref>J2517 J2519</xm:sqref>
        </x14:conditionalFormatting>
        <x14:conditionalFormatting xmlns:xm="http://schemas.microsoft.com/office/excel/2006/main">
          <x14:cfRule type="dataBar" id="{39BA88E7-2C0B-4CD7-AA6A-5C03B18A59E9}">
            <x14:dataBar minLength="0" maxLength="100" border="1" gradient="0">
              <x14:cfvo type="num">
                <xm:f>0</xm:f>
              </x14:cfvo>
              <x14:cfvo type="num">
                <xm:f>1</xm:f>
              </x14:cfvo>
              <x14:borderColor theme="0"/>
              <x14:negativeFillColor rgb="FFFF0000"/>
              <x14:axisColor rgb="FF000000"/>
            </x14:dataBar>
          </x14:cfRule>
          <xm:sqref>J2521</xm:sqref>
        </x14:conditionalFormatting>
        <x14:conditionalFormatting xmlns:xm="http://schemas.microsoft.com/office/excel/2006/main">
          <x14:cfRule type="dataBar" id="{81E0695C-E3DE-48F0-B30C-4108E0A2BD30}">
            <x14:dataBar minLength="0" maxLength="100" border="1" gradient="0">
              <x14:cfvo type="num">
                <xm:f>0</xm:f>
              </x14:cfvo>
              <x14:cfvo type="num">
                <xm:f>1</xm:f>
              </x14:cfvo>
              <x14:borderColor theme="0"/>
              <x14:negativeFillColor rgb="FFFF0000"/>
              <x14:axisColor rgb="FF000000"/>
            </x14:dataBar>
          </x14:cfRule>
          <xm:sqref>J2523</xm:sqref>
        </x14:conditionalFormatting>
        <x14:conditionalFormatting xmlns:xm="http://schemas.microsoft.com/office/excel/2006/main">
          <x14:cfRule type="dataBar" id="{FD3ED242-D65D-4B64-B555-2419246A5399}">
            <x14:dataBar minLength="0" maxLength="100" border="1" gradient="0">
              <x14:cfvo type="num">
                <xm:f>0</xm:f>
              </x14:cfvo>
              <x14:cfvo type="num">
                <xm:f>1</xm:f>
              </x14:cfvo>
              <x14:borderColor theme="0"/>
              <x14:negativeFillColor rgb="FFFF0000"/>
              <x14:axisColor rgb="FF000000"/>
            </x14:dataBar>
          </x14:cfRule>
          <xm:sqref>J2527</xm:sqref>
        </x14:conditionalFormatting>
        <x14:conditionalFormatting xmlns:xm="http://schemas.microsoft.com/office/excel/2006/main">
          <x14:cfRule type="dataBar" id="{E8180BD5-D7D5-4BB8-BB42-F7241DFC6A91}">
            <x14:dataBar minLength="0" maxLength="100" border="1" gradient="0">
              <x14:cfvo type="num">
                <xm:f>0</xm:f>
              </x14:cfvo>
              <x14:cfvo type="num">
                <xm:f>1</xm:f>
              </x14:cfvo>
              <x14:borderColor theme="0"/>
              <x14:negativeFillColor rgb="FFFF0000"/>
              <x14:axisColor rgb="FF000000"/>
            </x14:dataBar>
          </x14:cfRule>
          <xm:sqref>J2529</xm:sqref>
        </x14:conditionalFormatting>
        <x14:conditionalFormatting xmlns:xm="http://schemas.microsoft.com/office/excel/2006/main">
          <x14:cfRule type="dataBar" id="{75D06CFE-45C7-47E6-9532-DCB728BBFF25}">
            <x14:dataBar minLength="0" maxLength="100" border="1" gradient="0">
              <x14:cfvo type="num">
                <xm:f>0</xm:f>
              </x14:cfvo>
              <x14:cfvo type="num">
                <xm:f>1</xm:f>
              </x14:cfvo>
              <x14:borderColor theme="0"/>
              <x14:negativeFillColor rgb="FFFF0000"/>
              <x14:axisColor rgb="FF000000"/>
            </x14:dataBar>
          </x14:cfRule>
          <xm:sqref>J2531 J2533</xm:sqref>
        </x14:conditionalFormatting>
        <x14:conditionalFormatting xmlns:xm="http://schemas.microsoft.com/office/excel/2006/main">
          <x14:cfRule type="dataBar" id="{82873DE6-09D5-4B25-94AF-08FDAACACD1C}">
            <x14:dataBar minLength="0" maxLength="100" border="1" gradient="0">
              <x14:cfvo type="num">
                <xm:f>0</xm:f>
              </x14:cfvo>
              <x14:cfvo type="num">
                <xm:f>1</xm:f>
              </x14:cfvo>
              <x14:borderColor theme="0"/>
              <x14:negativeFillColor rgb="FFFF0000"/>
              <x14:axisColor rgb="FF000000"/>
            </x14:dataBar>
          </x14:cfRule>
          <xm:sqref>J2537</xm:sqref>
        </x14:conditionalFormatting>
        <x14:conditionalFormatting xmlns:xm="http://schemas.microsoft.com/office/excel/2006/main">
          <x14:cfRule type="dataBar" id="{5762E2CB-85D0-488B-8F36-22C8AA8BB050}">
            <x14:dataBar minLength="0" maxLength="100" border="1" gradient="0">
              <x14:cfvo type="num">
                <xm:f>0</xm:f>
              </x14:cfvo>
              <x14:cfvo type="num">
                <xm:f>1</xm:f>
              </x14:cfvo>
              <x14:borderColor theme="0"/>
              <x14:negativeFillColor rgb="FFFF0000"/>
              <x14:axisColor rgb="FF000000"/>
            </x14:dataBar>
          </x14:cfRule>
          <xm:sqref>J2539 J2541 J2543</xm:sqref>
        </x14:conditionalFormatting>
        <x14:conditionalFormatting xmlns:xm="http://schemas.microsoft.com/office/excel/2006/main">
          <x14:cfRule type="dataBar" id="{B82ACB84-8F94-4054-83FA-C8AB0E2D24D0}">
            <x14:dataBar minLength="0" maxLength="100" border="1" gradient="0">
              <x14:cfvo type="num">
                <xm:f>0</xm:f>
              </x14:cfvo>
              <x14:cfvo type="num">
                <xm:f>1</xm:f>
              </x14:cfvo>
              <x14:borderColor theme="0"/>
              <x14:negativeFillColor rgb="FFFF0000"/>
              <x14:axisColor rgb="FF000000"/>
            </x14:dataBar>
          </x14:cfRule>
          <xm:sqref>J2545 J2547 J2549</xm:sqref>
        </x14:conditionalFormatting>
        <x14:conditionalFormatting xmlns:xm="http://schemas.microsoft.com/office/excel/2006/main">
          <x14:cfRule type="dataBar" id="{A8E58C68-77AC-4231-9FCC-E4962C1476A7}">
            <x14:dataBar minLength="0" maxLength="100" border="1" gradient="0">
              <x14:cfvo type="num">
                <xm:f>0</xm:f>
              </x14:cfvo>
              <x14:cfvo type="num">
                <xm:f>1</xm:f>
              </x14:cfvo>
              <x14:borderColor theme="0"/>
              <x14:negativeFillColor rgb="FFFF0000"/>
              <x14:axisColor rgb="FF000000"/>
            </x14:dataBar>
          </x14:cfRule>
          <xm:sqref>J2551 J2553</xm:sqref>
        </x14:conditionalFormatting>
        <x14:conditionalFormatting xmlns:xm="http://schemas.microsoft.com/office/excel/2006/main">
          <x14:cfRule type="dataBar" id="{C7136F6E-ECF2-47AF-A60D-095C67F78F8B}">
            <x14:dataBar minLength="0" maxLength="100" border="1" gradient="0">
              <x14:cfvo type="num">
                <xm:f>0</xm:f>
              </x14:cfvo>
              <x14:cfvo type="num">
                <xm:f>1</xm:f>
              </x14:cfvo>
              <x14:borderColor theme="0"/>
              <x14:negativeFillColor rgb="FFFF0000"/>
              <x14:axisColor rgb="FF000000"/>
            </x14:dataBar>
          </x14:cfRule>
          <xm:sqref>J2555 J2557 J2559</xm:sqref>
        </x14:conditionalFormatting>
        <x14:conditionalFormatting xmlns:xm="http://schemas.microsoft.com/office/excel/2006/main">
          <x14:cfRule type="dataBar" id="{C72F77DE-42BB-4653-9626-B18BA4DAD77F}">
            <x14:dataBar minLength="0" maxLength="100" border="1" gradient="0">
              <x14:cfvo type="num">
                <xm:f>0</xm:f>
              </x14:cfvo>
              <x14:cfvo type="num">
                <xm:f>1</xm:f>
              </x14:cfvo>
              <x14:borderColor theme="0"/>
              <x14:negativeFillColor rgb="FFFF0000"/>
              <x14:axisColor rgb="FF000000"/>
            </x14:dataBar>
          </x14:cfRule>
          <xm:sqref>J2563</xm:sqref>
        </x14:conditionalFormatting>
        <x14:conditionalFormatting xmlns:xm="http://schemas.microsoft.com/office/excel/2006/main">
          <x14:cfRule type="dataBar" id="{C81B1544-0E1D-4271-B3F6-79F3E3C442E8}">
            <x14:dataBar minLength="0" maxLength="100" border="1" gradient="0">
              <x14:cfvo type="num">
                <xm:f>0</xm:f>
              </x14:cfvo>
              <x14:cfvo type="num">
                <xm:f>1</xm:f>
              </x14:cfvo>
              <x14:borderColor theme="0"/>
              <x14:negativeFillColor rgb="FFFF0000"/>
              <x14:axisColor rgb="FF000000"/>
            </x14:dataBar>
          </x14:cfRule>
          <xm:sqref>J2565 J2567 J2569</xm:sqref>
        </x14:conditionalFormatting>
        <x14:conditionalFormatting xmlns:xm="http://schemas.microsoft.com/office/excel/2006/main">
          <x14:cfRule type="dataBar" id="{6B2C424D-DF4E-41C4-B50A-9C323CCAC36C}">
            <x14:dataBar minLength="0" maxLength="100" border="1" gradient="0">
              <x14:cfvo type="num">
                <xm:f>0</xm:f>
              </x14:cfvo>
              <x14:cfvo type="num">
                <xm:f>1</xm:f>
              </x14:cfvo>
              <x14:borderColor theme="0"/>
              <x14:negativeFillColor rgb="FFFF0000"/>
              <x14:axisColor rgb="FF000000"/>
            </x14:dataBar>
          </x14:cfRule>
          <xm:sqref>J2571 J2573 J2575</xm:sqref>
        </x14:conditionalFormatting>
        <x14:conditionalFormatting xmlns:xm="http://schemas.microsoft.com/office/excel/2006/main">
          <x14:cfRule type="dataBar" id="{8A1539D0-B699-4B95-AA55-73F0A6290FB0}">
            <x14:dataBar minLength="0" maxLength="100" border="1" gradient="0">
              <x14:cfvo type="num">
                <xm:f>0</xm:f>
              </x14:cfvo>
              <x14:cfvo type="num">
                <xm:f>1</xm:f>
              </x14:cfvo>
              <x14:borderColor theme="0"/>
              <x14:negativeFillColor rgb="FFFF0000"/>
              <x14:axisColor rgb="FF000000"/>
            </x14:dataBar>
          </x14:cfRule>
          <xm:sqref>J2577 J2579 J2581</xm:sqref>
        </x14:conditionalFormatting>
        <x14:conditionalFormatting xmlns:xm="http://schemas.microsoft.com/office/excel/2006/main">
          <x14:cfRule type="dataBar" id="{4DF2E1BB-36D0-46B8-B70C-244C0E0814B0}">
            <x14:dataBar minLength="0" maxLength="100" border="1" gradient="0">
              <x14:cfvo type="num">
                <xm:f>0</xm:f>
              </x14:cfvo>
              <x14:cfvo type="num">
                <xm:f>1</xm:f>
              </x14:cfvo>
              <x14:borderColor theme="0"/>
              <x14:negativeFillColor rgb="FFFF0000"/>
              <x14:axisColor rgb="FF000000"/>
            </x14:dataBar>
          </x14:cfRule>
          <xm:sqref>J2583 J2585 J2587</xm:sqref>
        </x14:conditionalFormatting>
        <x14:conditionalFormatting xmlns:xm="http://schemas.microsoft.com/office/excel/2006/main">
          <x14:cfRule type="dataBar" id="{E3304DDE-E1D8-4F20-BCC4-CF502EAD8832}">
            <x14:dataBar minLength="0" maxLength="100" border="1" gradient="0">
              <x14:cfvo type="num">
                <xm:f>0</xm:f>
              </x14:cfvo>
              <x14:cfvo type="num">
                <xm:f>1</xm:f>
              </x14:cfvo>
              <x14:borderColor theme="0"/>
              <x14:negativeFillColor rgb="FFFF0000"/>
              <x14:axisColor rgb="FF000000"/>
            </x14:dataBar>
          </x14:cfRule>
          <xm:sqref>J2589 J2591 J2593</xm:sqref>
        </x14:conditionalFormatting>
        <x14:conditionalFormatting xmlns:xm="http://schemas.microsoft.com/office/excel/2006/main">
          <x14:cfRule type="dataBar" id="{FEA13657-45EC-4642-85CF-2EE8628117CF}">
            <x14:dataBar minLength="0" maxLength="100" border="1" gradient="0">
              <x14:cfvo type="num">
                <xm:f>0</xm:f>
              </x14:cfvo>
              <x14:cfvo type="num">
                <xm:f>1</xm:f>
              </x14:cfvo>
              <x14:borderColor theme="0"/>
              <x14:negativeFillColor rgb="FFFF0000"/>
              <x14:axisColor rgb="FF000000"/>
            </x14:dataBar>
          </x14:cfRule>
          <xm:sqref>J2595 J2597 J2599</xm:sqref>
        </x14:conditionalFormatting>
        <x14:conditionalFormatting xmlns:xm="http://schemas.microsoft.com/office/excel/2006/main">
          <x14:cfRule type="dataBar" id="{E8DAFB91-77CC-4FB3-A0F6-61F5DE9238FF}">
            <x14:dataBar minLength="0" maxLength="100" border="1" gradient="0">
              <x14:cfvo type="num">
                <xm:f>0</xm:f>
              </x14:cfvo>
              <x14:cfvo type="num">
                <xm:f>1</xm:f>
              </x14:cfvo>
              <x14:borderColor theme="0"/>
              <x14:negativeFillColor rgb="FFFF0000"/>
              <x14:axisColor rgb="FF000000"/>
            </x14:dataBar>
          </x14:cfRule>
          <xm:sqref>J2601</xm:sqref>
        </x14:conditionalFormatting>
        <x14:conditionalFormatting xmlns:xm="http://schemas.microsoft.com/office/excel/2006/main">
          <x14:cfRule type="dataBar" id="{3563F799-0C9F-48AE-AC29-083FC3ED2A90}">
            <x14:dataBar minLength="0" maxLength="100" border="1" gradient="0">
              <x14:cfvo type="num">
                <xm:f>0</xm:f>
              </x14:cfvo>
              <x14:cfvo type="num">
                <xm:f>1</xm:f>
              </x14:cfvo>
              <x14:borderColor theme="0"/>
              <x14:negativeFillColor rgb="FFFF0000"/>
              <x14:axisColor rgb="FF000000"/>
            </x14:dataBar>
          </x14:cfRule>
          <xm:sqref>J2605</xm:sqref>
        </x14:conditionalFormatting>
        <x14:conditionalFormatting xmlns:xm="http://schemas.microsoft.com/office/excel/2006/main">
          <x14:cfRule type="dataBar" id="{54F2CDC1-9BB9-490D-B76C-3752311216CB}">
            <x14:dataBar minLength="0" maxLength="100" border="1" gradient="0">
              <x14:cfvo type="num">
                <xm:f>0</xm:f>
              </x14:cfvo>
              <x14:cfvo type="num">
                <xm:f>1</xm:f>
              </x14:cfvo>
              <x14:borderColor theme="0"/>
              <x14:negativeFillColor rgb="FFFF0000"/>
              <x14:axisColor rgb="FF000000"/>
            </x14:dataBar>
          </x14:cfRule>
          <xm:sqref>J2609</xm:sqref>
        </x14:conditionalFormatting>
        <x14:conditionalFormatting xmlns:xm="http://schemas.microsoft.com/office/excel/2006/main">
          <x14:cfRule type="dataBar" id="{7844D858-5CAE-4F53-8663-B97F262E858C}">
            <x14:dataBar minLength="0" maxLength="100" border="1" gradient="0">
              <x14:cfvo type="num">
                <xm:f>0</xm:f>
              </x14:cfvo>
              <x14:cfvo type="num">
                <xm:f>1</xm:f>
              </x14:cfvo>
              <x14:borderColor theme="0"/>
              <x14:negativeFillColor rgb="FFFF0000"/>
              <x14:axisColor rgb="FF000000"/>
            </x14:dataBar>
          </x14:cfRule>
          <xm:sqref>J2611</xm:sqref>
        </x14:conditionalFormatting>
        <x14:conditionalFormatting xmlns:xm="http://schemas.microsoft.com/office/excel/2006/main">
          <x14:cfRule type="dataBar" id="{EF742C49-CADA-4C5C-927B-8268EB3ED36C}">
            <x14:dataBar minLength="0" maxLength="100" border="1" gradient="0">
              <x14:cfvo type="num">
                <xm:f>0</xm:f>
              </x14:cfvo>
              <x14:cfvo type="num">
                <xm:f>1</xm:f>
              </x14:cfvo>
              <x14:borderColor theme="0"/>
              <x14:negativeFillColor rgb="FFFF0000"/>
              <x14:axisColor rgb="FF000000"/>
            </x14:dataBar>
          </x14:cfRule>
          <xm:sqref>J2613 J2615</xm:sqref>
        </x14:conditionalFormatting>
        <x14:conditionalFormatting xmlns:xm="http://schemas.microsoft.com/office/excel/2006/main">
          <x14:cfRule type="dataBar" id="{C0A09564-ED35-4268-BF77-CEF675A5EE29}">
            <x14:dataBar minLength="0" maxLength="100" border="1" gradient="0">
              <x14:cfvo type="num">
                <xm:f>0</xm:f>
              </x14:cfvo>
              <x14:cfvo type="num">
                <xm:f>1</xm:f>
              </x14:cfvo>
              <x14:borderColor theme="0"/>
              <x14:negativeFillColor rgb="FFFF0000"/>
              <x14:axisColor rgb="FF000000"/>
            </x14:dataBar>
          </x14:cfRule>
          <xm:sqref>J2617</xm:sqref>
        </x14:conditionalFormatting>
        <x14:conditionalFormatting xmlns:xm="http://schemas.microsoft.com/office/excel/2006/main">
          <x14:cfRule type="dataBar" id="{5E30634D-1FCD-4EC9-B67D-9456E39EA431}">
            <x14:dataBar minLength="0" maxLength="100" border="1" gradient="0">
              <x14:cfvo type="num">
                <xm:f>0</xm:f>
              </x14:cfvo>
              <x14:cfvo type="num">
                <xm:f>1</xm:f>
              </x14:cfvo>
              <x14:borderColor theme="0"/>
              <x14:negativeFillColor rgb="FFFF0000"/>
              <x14:axisColor rgb="FF000000"/>
            </x14:dataBar>
          </x14:cfRule>
          <xm:sqref>J2619 J2621</xm:sqref>
        </x14:conditionalFormatting>
        <x14:conditionalFormatting xmlns:xm="http://schemas.microsoft.com/office/excel/2006/main">
          <x14:cfRule type="dataBar" id="{D75CB73A-91A8-4A48-9F14-18BA9C2C4FCD}">
            <x14:dataBar minLength="0" maxLength="100" border="1" gradient="0">
              <x14:cfvo type="num">
                <xm:f>0</xm:f>
              </x14:cfvo>
              <x14:cfvo type="num">
                <xm:f>1</xm:f>
              </x14:cfvo>
              <x14:borderColor theme="0"/>
              <x14:negativeFillColor rgb="FFFF0000"/>
              <x14:axisColor rgb="FF000000"/>
            </x14:dataBar>
          </x14:cfRule>
          <xm:sqref>J2623</xm:sqref>
        </x14:conditionalFormatting>
        <x14:conditionalFormatting xmlns:xm="http://schemas.microsoft.com/office/excel/2006/main">
          <x14:cfRule type="dataBar" id="{B153DF4E-DDA9-4F10-A428-4F3A2C35E9E5}">
            <x14:dataBar minLength="0" maxLength="100" border="1" gradient="0">
              <x14:cfvo type="num">
                <xm:f>0</xm:f>
              </x14:cfvo>
              <x14:cfvo type="num">
                <xm:f>1</xm:f>
              </x14:cfvo>
              <x14:borderColor theme="0"/>
              <x14:negativeFillColor rgb="FFFF0000"/>
              <x14:axisColor rgb="FF000000"/>
            </x14:dataBar>
          </x14:cfRule>
          <xm:sqref>J2625</xm:sqref>
        </x14:conditionalFormatting>
        <x14:conditionalFormatting xmlns:xm="http://schemas.microsoft.com/office/excel/2006/main">
          <x14:cfRule type="dataBar" id="{70E68876-BC4A-4A1A-914F-274F95A5394E}">
            <x14:dataBar minLength="0" maxLength="100" border="1" gradient="0">
              <x14:cfvo type="num">
                <xm:f>0</xm:f>
              </x14:cfvo>
              <x14:cfvo type="num">
                <xm:f>1</xm:f>
              </x14:cfvo>
              <x14:borderColor theme="0"/>
              <x14:negativeFillColor rgb="FFFF0000"/>
              <x14:axisColor rgb="FF000000"/>
            </x14:dataBar>
          </x14:cfRule>
          <xm:sqref>J2627</xm:sqref>
        </x14:conditionalFormatting>
        <x14:conditionalFormatting xmlns:xm="http://schemas.microsoft.com/office/excel/2006/main">
          <x14:cfRule type="dataBar" id="{4BBCECB0-CA2C-483C-B89D-F23225D2AA6A}">
            <x14:dataBar minLength="0" maxLength="100" border="1" gradient="0">
              <x14:cfvo type="num">
                <xm:f>0</xm:f>
              </x14:cfvo>
              <x14:cfvo type="num">
                <xm:f>1</xm:f>
              </x14:cfvo>
              <x14:borderColor theme="0"/>
              <x14:negativeFillColor rgb="FFFF0000"/>
              <x14:axisColor rgb="FF000000"/>
            </x14:dataBar>
          </x14:cfRule>
          <xm:sqref>J2629</xm:sqref>
        </x14:conditionalFormatting>
        <x14:conditionalFormatting xmlns:xm="http://schemas.microsoft.com/office/excel/2006/main">
          <x14:cfRule type="dataBar" id="{96805869-7854-4867-BB02-B39FB2A1D8F6}">
            <x14:dataBar minLength="0" maxLength="100" border="1" gradient="0">
              <x14:cfvo type="num">
                <xm:f>0</xm:f>
              </x14:cfvo>
              <x14:cfvo type="num">
                <xm:f>1</xm:f>
              </x14:cfvo>
              <x14:borderColor theme="0"/>
              <x14:negativeFillColor rgb="FFFF0000"/>
              <x14:axisColor rgb="FF000000"/>
            </x14:dataBar>
          </x14:cfRule>
          <xm:sqref>J2631 J2633</xm:sqref>
        </x14:conditionalFormatting>
        <x14:conditionalFormatting xmlns:xm="http://schemas.microsoft.com/office/excel/2006/main">
          <x14:cfRule type="dataBar" id="{A4D6AC7A-C510-40D4-9FBF-69285A15B8C2}">
            <x14:dataBar minLength="0" maxLength="100" border="1" gradient="0">
              <x14:cfvo type="num">
                <xm:f>0</xm:f>
              </x14:cfvo>
              <x14:cfvo type="num">
                <xm:f>1</xm:f>
              </x14:cfvo>
              <x14:borderColor theme="0"/>
              <x14:negativeFillColor rgb="FFFF0000"/>
              <x14:axisColor rgb="FF000000"/>
            </x14:dataBar>
          </x14:cfRule>
          <xm:sqref>J2635</xm:sqref>
        </x14:conditionalFormatting>
        <x14:conditionalFormatting xmlns:xm="http://schemas.microsoft.com/office/excel/2006/main">
          <x14:cfRule type="dataBar" id="{8D14BB04-2E95-404A-97C9-850E52B3260F}">
            <x14:dataBar minLength="0" maxLength="100" border="1" gradient="0">
              <x14:cfvo type="num">
                <xm:f>0</xm:f>
              </x14:cfvo>
              <x14:cfvo type="num">
                <xm:f>1</xm:f>
              </x14:cfvo>
              <x14:borderColor theme="0"/>
              <x14:negativeFillColor rgb="FFFF0000"/>
              <x14:axisColor rgb="FF000000"/>
            </x14:dataBar>
          </x14:cfRule>
          <xm:sqref>J2637 J2639</xm:sqref>
        </x14:conditionalFormatting>
        <x14:conditionalFormatting xmlns:xm="http://schemas.microsoft.com/office/excel/2006/main">
          <x14:cfRule type="dataBar" id="{FBA5AF62-1F65-4646-A671-B0CF0ABBE00A}">
            <x14:dataBar minLength="0" maxLength="100" border="1" gradient="0">
              <x14:cfvo type="num">
                <xm:f>0</xm:f>
              </x14:cfvo>
              <x14:cfvo type="num">
                <xm:f>1</xm:f>
              </x14:cfvo>
              <x14:borderColor theme="0"/>
              <x14:negativeFillColor rgb="FFFF0000"/>
              <x14:axisColor rgb="FF000000"/>
            </x14:dataBar>
          </x14:cfRule>
          <xm:sqref>J2641</xm:sqref>
        </x14:conditionalFormatting>
        <x14:conditionalFormatting xmlns:xm="http://schemas.microsoft.com/office/excel/2006/main">
          <x14:cfRule type="dataBar" id="{9497096D-A053-456E-AF34-C03A87AA9EAA}">
            <x14:dataBar minLength="0" maxLength="100" border="1" gradient="0">
              <x14:cfvo type="num">
                <xm:f>0</xm:f>
              </x14:cfvo>
              <x14:cfvo type="num">
                <xm:f>1</xm:f>
              </x14:cfvo>
              <x14:borderColor theme="0"/>
              <x14:negativeFillColor rgb="FFFF0000"/>
              <x14:axisColor rgb="FF000000"/>
            </x14:dataBar>
          </x14:cfRule>
          <xm:sqref>J2643 J2645</xm:sqref>
        </x14:conditionalFormatting>
        <x14:conditionalFormatting xmlns:xm="http://schemas.microsoft.com/office/excel/2006/main">
          <x14:cfRule type="dataBar" id="{4175AE1F-DE35-470B-86B1-B946860F55CE}">
            <x14:dataBar minLength="0" maxLength="100" border="1" gradient="0">
              <x14:cfvo type="num">
                <xm:f>0</xm:f>
              </x14:cfvo>
              <x14:cfvo type="num">
                <xm:f>1</xm:f>
              </x14:cfvo>
              <x14:borderColor theme="0"/>
              <x14:negativeFillColor rgb="FFFF0000"/>
              <x14:axisColor rgb="FF000000"/>
            </x14:dataBar>
          </x14:cfRule>
          <xm:sqref>J2647</xm:sqref>
        </x14:conditionalFormatting>
        <x14:conditionalFormatting xmlns:xm="http://schemas.microsoft.com/office/excel/2006/main">
          <x14:cfRule type="dataBar" id="{483ED66C-9B76-47D1-8AD5-2CDC4803F2A7}">
            <x14:dataBar minLength="0" maxLength="100" border="1" gradient="0">
              <x14:cfvo type="num">
                <xm:f>0</xm:f>
              </x14:cfvo>
              <x14:cfvo type="num">
                <xm:f>1</xm:f>
              </x14:cfvo>
              <x14:borderColor theme="0"/>
              <x14:negativeFillColor rgb="FFFF0000"/>
              <x14:axisColor rgb="FF000000"/>
            </x14:dataBar>
          </x14:cfRule>
          <xm:sqref>J2649 J2651</xm:sqref>
        </x14:conditionalFormatting>
        <x14:conditionalFormatting xmlns:xm="http://schemas.microsoft.com/office/excel/2006/main">
          <x14:cfRule type="dataBar" id="{359C6279-3630-4D0F-B3FA-6F4F2A3F4BDB}">
            <x14:dataBar minLength="0" maxLength="100" border="1" gradient="0">
              <x14:cfvo type="num">
                <xm:f>0</xm:f>
              </x14:cfvo>
              <x14:cfvo type="num">
                <xm:f>1</xm:f>
              </x14:cfvo>
              <x14:borderColor theme="0"/>
              <x14:negativeFillColor rgb="FFFF0000"/>
              <x14:axisColor rgb="FF000000"/>
            </x14:dataBar>
          </x14:cfRule>
          <xm:sqref>J2653</xm:sqref>
        </x14:conditionalFormatting>
        <x14:conditionalFormatting xmlns:xm="http://schemas.microsoft.com/office/excel/2006/main">
          <x14:cfRule type="dataBar" id="{BA7C7B7D-D7C8-425B-AF79-45EC5B7BF2CC}">
            <x14:dataBar minLength="0" maxLength="100" border="1" gradient="0">
              <x14:cfvo type="num">
                <xm:f>0</xm:f>
              </x14:cfvo>
              <x14:cfvo type="num">
                <xm:f>1</xm:f>
              </x14:cfvo>
              <x14:borderColor theme="0"/>
              <x14:negativeFillColor rgb="FFFF0000"/>
              <x14:axisColor rgb="FF000000"/>
            </x14:dataBar>
          </x14:cfRule>
          <xm:sqref>J2655 J2657</xm:sqref>
        </x14:conditionalFormatting>
        <x14:conditionalFormatting xmlns:xm="http://schemas.microsoft.com/office/excel/2006/main">
          <x14:cfRule type="dataBar" id="{567BB2CA-AD9B-4FAF-A6D5-E32DFB71C29D}">
            <x14:dataBar minLength="0" maxLength="100" border="1" gradient="0">
              <x14:cfvo type="num">
                <xm:f>0</xm:f>
              </x14:cfvo>
              <x14:cfvo type="num">
                <xm:f>1</xm:f>
              </x14:cfvo>
              <x14:borderColor theme="0"/>
              <x14:negativeFillColor rgb="FFFF0000"/>
              <x14:axisColor rgb="FF000000"/>
            </x14:dataBar>
          </x14:cfRule>
          <xm:sqref>J2659</xm:sqref>
        </x14:conditionalFormatting>
        <x14:conditionalFormatting xmlns:xm="http://schemas.microsoft.com/office/excel/2006/main">
          <x14:cfRule type="dataBar" id="{97687479-0AD0-4722-8D28-12D2D43BB2A3}">
            <x14:dataBar minLength="0" maxLength="100" border="1" gradient="0">
              <x14:cfvo type="num">
                <xm:f>0</xm:f>
              </x14:cfvo>
              <x14:cfvo type="num">
                <xm:f>1</xm:f>
              </x14:cfvo>
              <x14:borderColor theme="0"/>
              <x14:negativeFillColor rgb="FFFF0000"/>
              <x14:axisColor rgb="FF000000"/>
            </x14:dataBar>
          </x14:cfRule>
          <xm:sqref>J2661 J2663</xm:sqref>
        </x14:conditionalFormatting>
        <x14:conditionalFormatting xmlns:xm="http://schemas.microsoft.com/office/excel/2006/main">
          <x14:cfRule type="dataBar" id="{C55C69AD-287F-4E05-96DA-2409773EE313}">
            <x14:dataBar minLength="0" maxLength="100" border="1" gradient="0">
              <x14:cfvo type="num">
                <xm:f>0</xm:f>
              </x14:cfvo>
              <x14:cfvo type="num">
                <xm:f>1</xm:f>
              </x14:cfvo>
              <x14:borderColor theme="0"/>
              <x14:negativeFillColor rgb="FFFF0000"/>
              <x14:axisColor rgb="FF000000"/>
            </x14:dataBar>
          </x14:cfRule>
          <xm:sqref>J2665</xm:sqref>
        </x14:conditionalFormatting>
        <x14:conditionalFormatting xmlns:xm="http://schemas.microsoft.com/office/excel/2006/main">
          <x14:cfRule type="dataBar" id="{60444735-56C8-4294-B6BB-0F517D8417E5}">
            <x14:dataBar minLength="0" maxLength="100" border="1" gradient="0">
              <x14:cfvo type="num">
                <xm:f>0</xm:f>
              </x14:cfvo>
              <x14:cfvo type="num">
                <xm:f>1</xm:f>
              </x14:cfvo>
              <x14:borderColor theme="0"/>
              <x14:negativeFillColor rgb="FFFF0000"/>
              <x14:axisColor rgb="FF000000"/>
            </x14:dataBar>
          </x14:cfRule>
          <xm:sqref>J2667 J2669</xm:sqref>
        </x14:conditionalFormatting>
        <x14:conditionalFormatting xmlns:xm="http://schemas.microsoft.com/office/excel/2006/main">
          <x14:cfRule type="dataBar" id="{AC5EDC8A-BC4F-4852-A194-FB810718E9F4}">
            <x14:dataBar minLength="0" maxLength="100" border="1" gradient="0">
              <x14:cfvo type="num">
                <xm:f>0</xm:f>
              </x14:cfvo>
              <x14:cfvo type="num">
                <xm:f>1</xm:f>
              </x14:cfvo>
              <x14:borderColor theme="0"/>
              <x14:negativeFillColor rgb="FFFF0000"/>
              <x14:axisColor rgb="FF000000"/>
            </x14:dataBar>
          </x14:cfRule>
          <xm:sqref>J2672</xm:sqref>
        </x14:conditionalFormatting>
        <x14:conditionalFormatting xmlns:xm="http://schemas.microsoft.com/office/excel/2006/main">
          <x14:cfRule type="dataBar" id="{934321CA-6C0A-4F63-A5DF-03409F01F203}">
            <x14:dataBar minLength="0" maxLength="100" border="1" gradient="0">
              <x14:cfvo type="num">
                <xm:f>0</xm:f>
              </x14:cfvo>
              <x14:cfvo type="num">
                <xm:f>1</xm:f>
              </x14:cfvo>
              <x14:borderColor theme="0"/>
              <x14:negativeFillColor rgb="FFFF0000"/>
              <x14:axisColor rgb="FF000000"/>
            </x14:dataBar>
          </x14:cfRule>
          <xm:sqref>J2674</xm:sqref>
        </x14:conditionalFormatting>
        <x14:conditionalFormatting xmlns:xm="http://schemas.microsoft.com/office/excel/2006/main">
          <x14:cfRule type="dataBar" id="{285389AE-D88D-48E0-A99B-EDDF88412128}">
            <x14:dataBar minLength="0" maxLength="100" border="1" gradient="0">
              <x14:cfvo type="num">
                <xm:f>0</xm:f>
              </x14:cfvo>
              <x14:cfvo type="num">
                <xm:f>1</xm:f>
              </x14:cfvo>
              <x14:borderColor theme="0"/>
              <x14:negativeFillColor rgb="FFFF0000"/>
              <x14:axisColor rgb="FF000000"/>
            </x14:dataBar>
          </x14:cfRule>
          <xm:sqref>J2676 J2678</xm:sqref>
        </x14:conditionalFormatting>
        <x14:conditionalFormatting xmlns:xm="http://schemas.microsoft.com/office/excel/2006/main">
          <x14:cfRule type="dataBar" id="{23995183-AD7D-4EB8-AF32-1BEF70F72BE4}">
            <x14:dataBar minLength="0" maxLength="100" border="1" gradient="0">
              <x14:cfvo type="num">
                <xm:f>0</xm:f>
              </x14:cfvo>
              <x14:cfvo type="num">
                <xm:f>1</xm:f>
              </x14:cfvo>
              <x14:borderColor theme="0"/>
              <x14:negativeFillColor rgb="FFFF0000"/>
              <x14:axisColor rgb="FF000000"/>
            </x14:dataBar>
          </x14:cfRule>
          <xm:sqref>J2680 J2682</xm:sqref>
        </x14:conditionalFormatting>
        <x14:conditionalFormatting xmlns:xm="http://schemas.microsoft.com/office/excel/2006/main">
          <x14:cfRule type="dataBar" id="{8BA268B0-042E-405A-B16F-913A8E80C0B4}">
            <x14:dataBar minLength="0" maxLength="100" border="1" gradient="0">
              <x14:cfvo type="num">
                <xm:f>0</xm:f>
              </x14:cfvo>
              <x14:cfvo type="num">
                <xm:f>1</xm:f>
              </x14:cfvo>
              <x14:borderColor theme="0"/>
              <x14:negativeFillColor rgb="FFFF0000"/>
              <x14:axisColor rgb="FF000000"/>
            </x14:dataBar>
          </x14:cfRule>
          <xm:sqref>J2684</xm:sqref>
        </x14:conditionalFormatting>
        <x14:conditionalFormatting xmlns:xm="http://schemas.microsoft.com/office/excel/2006/main">
          <x14:cfRule type="dataBar" id="{6CCC563A-DDD9-43F9-9F00-1320DCE0923C}">
            <x14:dataBar minLength="0" maxLength="100" border="1" gradient="0">
              <x14:cfvo type="num">
                <xm:f>0</xm:f>
              </x14:cfvo>
              <x14:cfvo type="num">
                <xm:f>1</xm:f>
              </x14:cfvo>
              <x14:borderColor theme="0"/>
              <x14:negativeFillColor rgb="FFFF0000"/>
              <x14:axisColor rgb="FF000000"/>
            </x14:dataBar>
          </x14:cfRule>
          <xm:sqref>J2686 J2688</xm:sqref>
        </x14:conditionalFormatting>
        <x14:conditionalFormatting xmlns:xm="http://schemas.microsoft.com/office/excel/2006/main">
          <x14:cfRule type="dataBar" id="{8FC4554D-9CB9-44EB-AD5C-ABDC137C76FF}">
            <x14:dataBar minLength="0" maxLength="100" border="1" gradient="0">
              <x14:cfvo type="num">
                <xm:f>0</xm:f>
              </x14:cfvo>
              <x14:cfvo type="num">
                <xm:f>1</xm:f>
              </x14:cfvo>
              <x14:borderColor theme="0"/>
              <x14:negativeFillColor rgb="FFFF0000"/>
              <x14:axisColor rgb="FF000000"/>
            </x14:dataBar>
          </x14:cfRule>
          <xm:sqref>J2690</xm:sqref>
        </x14:conditionalFormatting>
        <x14:conditionalFormatting xmlns:xm="http://schemas.microsoft.com/office/excel/2006/main">
          <x14:cfRule type="dataBar" id="{3462939D-6E8A-4AE5-94AF-7EE216219FAB}">
            <x14:dataBar minLength="0" maxLength="100" border="1" gradient="0">
              <x14:cfvo type="num">
                <xm:f>0</xm:f>
              </x14:cfvo>
              <x14:cfvo type="num">
                <xm:f>1</xm:f>
              </x14:cfvo>
              <x14:borderColor theme="0"/>
              <x14:negativeFillColor rgb="FFFF0000"/>
              <x14:axisColor rgb="FF000000"/>
            </x14:dataBar>
          </x14:cfRule>
          <xm:sqref>J2692 J2694</xm:sqref>
        </x14:conditionalFormatting>
        <x14:conditionalFormatting xmlns:xm="http://schemas.microsoft.com/office/excel/2006/main">
          <x14:cfRule type="dataBar" id="{6E463955-EC6D-43D9-A218-9A15CB3E6C70}">
            <x14:dataBar minLength="0" maxLength="100" border="1" gradient="0">
              <x14:cfvo type="num">
                <xm:f>0</xm:f>
              </x14:cfvo>
              <x14:cfvo type="num">
                <xm:f>1</xm:f>
              </x14:cfvo>
              <x14:borderColor theme="0"/>
              <x14:negativeFillColor rgb="FFFF0000"/>
              <x14:axisColor rgb="FF000000"/>
            </x14:dataBar>
          </x14:cfRule>
          <xm:sqref>J2696 J2698</xm:sqref>
        </x14:conditionalFormatting>
        <x14:conditionalFormatting xmlns:xm="http://schemas.microsoft.com/office/excel/2006/main">
          <x14:cfRule type="dataBar" id="{CE5F9C85-C418-4BE9-9497-99DE103A63F3}">
            <x14:dataBar minLength="0" maxLength="100" border="1" gradient="0">
              <x14:cfvo type="num">
                <xm:f>0</xm:f>
              </x14:cfvo>
              <x14:cfvo type="num">
                <xm:f>1</xm:f>
              </x14:cfvo>
              <x14:borderColor theme="0"/>
              <x14:negativeFillColor rgb="FFFF0000"/>
              <x14:axisColor rgb="FF000000"/>
            </x14:dataBar>
          </x14:cfRule>
          <xm:sqref>J2700</xm:sqref>
        </x14:conditionalFormatting>
        <x14:conditionalFormatting xmlns:xm="http://schemas.microsoft.com/office/excel/2006/main">
          <x14:cfRule type="dataBar" id="{663A3996-58E9-4959-8908-78ED493F4CBD}">
            <x14:dataBar minLength="0" maxLength="100" border="1" gradient="0">
              <x14:cfvo type="num">
                <xm:f>0</xm:f>
              </x14:cfvo>
              <x14:cfvo type="num">
                <xm:f>1</xm:f>
              </x14:cfvo>
              <x14:borderColor theme="0"/>
              <x14:negativeFillColor rgb="FFFF0000"/>
              <x14:axisColor rgb="FF000000"/>
            </x14:dataBar>
          </x14:cfRule>
          <xm:sqref>J2702 J2704</xm:sqref>
        </x14:conditionalFormatting>
        <x14:conditionalFormatting xmlns:xm="http://schemas.microsoft.com/office/excel/2006/main">
          <x14:cfRule type="dataBar" id="{B0555151-217B-4BAA-A1BB-26476608C356}">
            <x14:dataBar minLength="0" maxLength="100" border="1" gradient="0">
              <x14:cfvo type="num">
                <xm:f>0</xm:f>
              </x14:cfvo>
              <x14:cfvo type="num">
                <xm:f>1</xm:f>
              </x14:cfvo>
              <x14:borderColor theme="0"/>
              <x14:negativeFillColor rgb="FFFF0000"/>
              <x14:axisColor rgb="FF000000"/>
            </x14:dataBar>
          </x14:cfRule>
          <xm:sqref>J2706</xm:sqref>
        </x14:conditionalFormatting>
        <x14:conditionalFormatting xmlns:xm="http://schemas.microsoft.com/office/excel/2006/main">
          <x14:cfRule type="dataBar" id="{8B640F70-0A47-46D5-9124-D27602BD9BDC}">
            <x14:dataBar minLength="0" maxLength="100" border="1" gradient="0">
              <x14:cfvo type="num">
                <xm:f>0</xm:f>
              </x14:cfvo>
              <x14:cfvo type="num">
                <xm:f>1</xm:f>
              </x14:cfvo>
              <x14:borderColor theme="0"/>
              <x14:negativeFillColor rgb="FFFF0000"/>
              <x14:axisColor rgb="FF000000"/>
            </x14:dataBar>
          </x14:cfRule>
          <xm:sqref>J2708 J2710</xm:sqref>
        </x14:conditionalFormatting>
        <x14:conditionalFormatting xmlns:xm="http://schemas.microsoft.com/office/excel/2006/main">
          <x14:cfRule type="dataBar" id="{F2A91D4D-D5C5-49BD-A516-92566D2BB3FC}">
            <x14:dataBar minLength="0" maxLength="100" border="1" gradient="0">
              <x14:cfvo type="num">
                <xm:f>0</xm:f>
              </x14:cfvo>
              <x14:cfvo type="num">
                <xm:f>1</xm:f>
              </x14:cfvo>
              <x14:borderColor theme="0"/>
              <x14:negativeFillColor rgb="FFFF0000"/>
              <x14:axisColor rgb="FF000000"/>
            </x14:dataBar>
          </x14:cfRule>
          <xm:sqref>J2712 J2714</xm:sqref>
        </x14:conditionalFormatting>
        <x14:conditionalFormatting xmlns:xm="http://schemas.microsoft.com/office/excel/2006/main">
          <x14:cfRule type="dataBar" id="{30933658-C989-450F-B208-294675C8DDD7}">
            <x14:dataBar minLength="0" maxLength="100" border="1" gradient="0">
              <x14:cfvo type="num">
                <xm:f>0</xm:f>
              </x14:cfvo>
              <x14:cfvo type="num">
                <xm:f>1</xm:f>
              </x14:cfvo>
              <x14:borderColor theme="0"/>
              <x14:negativeFillColor rgb="FFFF0000"/>
              <x14:axisColor rgb="FF000000"/>
            </x14:dataBar>
          </x14:cfRule>
          <xm:sqref>J2716</xm:sqref>
        </x14:conditionalFormatting>
        <x14:conditionalFormatting xmlns:xm="http://schemas.microsoft.com/office/excel/2006/main">
          <x14:cfRule type="dataBar" id="{F09A9F38-B6E5-424F-BAEB-68904DA30A89}">
            <x14:dataBar minLength="0" maxLength="100" border="1" gradient="0">
              <x14:cfvo type="num">
                <xm:f>0</xm:f>
              </x14:cfvo>
              <x14:cfvo type="num">
                <xm:f>1</xm:f>
              </x14:cfvo>
              <x14:borderColor theme="0"/>
              <x14:negativeFillColor rgb="FFFF0000"/>
              <x14:axisColor rgb="FF000000"/>
            </x14:dataBar>
          </x14:cfRule>
          <xm:sqref>J2718 J2720</xm:sqref>
        </x14:conditionalFormatting>
        <x14:conditionalFormatting xmlns:xm="http://schemas.microsoft.com/office/excel/2006/main">
          <x14:cfRule type="dataBar" id="{4BB8BD04-44A4-4F59-8677-32D5E8B2A668}">
            <x14:dataBar minLength="0" maxLength="100" border="1" gradient="0">
              <x14:cfvo type="num">
                <xm:f>0</xm:f>
              </x14:cfvo>
              <x14:cfvo type="num">
                <xm:f>1</xm:f>
              </x14:cfvo>
              <x14:borderColor theme="0"/>
              <x14:negativeFillColor rgb="FFFF0000"/>
              <x14:axisColor rgb="FF000000"/>
            </x14:dataBar>
          </x14:cfRule>
          <xm:sqref>J2722</xm:sqref>
        </x14:conditionalFormatting>
        <x14:conditionalFormatting xmlns:xm="http://schemas.microsoft.com/office/excel/2006/main">
          <x14:cfRule type="dataBar" id="{89D6911D-E4C5-411E-A803-42F79BF5980F}">
            <x14:dataBar minLength="0" maxLength="100" border="1" gradient="0">
              <x14:cfvo type="num">
                <xm:f>0</xm:f>
              </x14:cfvo>
              <x14:cfvo type="num">
                <xm:f>1</xm:f>
              </x14:cfvo>
              <x14:borderColor theme="0"/>
              <x14:negativeFillColor rgb="FFFF0000"/>
              <x14:axisColor rgb="FF000000"/>
            </x14:dataBar>
          </x14:cfRule>
          <xm:sqref>J2724</xm:sqref>
        </x14:conditionalFormatting>
        <x14:conditionalFormatting xmlns:xm="http://schemas.microsoft.com/office/excel/2006/main">
          <x14:cfRule type="dataBar" id="{4BF4C115-74A3-428B-9C3D-F5B76E188695}">
            <x14:dataBar minLength="0" maxLength="100" border="1" gradient="0">
              <x14:cfvo type="num">
                <xm:f>0</xm:f>
              </x14:cfvo>
              <x14:cfvo type="num">
                <xm:f>1</xm:f>
              </x14:cfvo>
              <x14:borderColor theme="0"/>
              <x14:negativeFillColor rgb="FFFF0000"/>
              <x14:axisColor rgb="FF000000"/>
            </x14:dataBar>
          </x14:cfRule>
          <xm:sqref>J2726 J2728</xm:sqref>
        </x14:conditionalFormatting>
        <x14:conditionalFormatting xmlns:xm="http://schemas.microsoft.com/office/excel/2006/main">
          <x14:cfRule type="dataBar" id="{7338CADC-7A3B-4D67-B376-101E30492E6A}">
            <x14:dataBar minLength="0" maxLength="100" border="1" gradient="0">
              <x14:cfvo type="num">
                <xm:f>0</xm:f>
              </x14:cfvo>
              <x14:cfvo type="num">
                <xm:f>1</xm:f>
              </x14:cfvo>
              <x14:borderColor theme="0"/>
              <x14:negativeFillColor rgb="FFFF0000"/>
              <x14:axisColor rgb="FF000000"/>
            </x14:dataBar>
          </x14:cfRule>
          <xm:sqref>J2730 J2732</xm:sqref>
        </x14:conditionalFormatting>
        <x14:conditionalFormatting xmlns:xm="http://schemas.microsoft.com/office/excel/2006/main">
          <x14:cfRule type="dataBar" id="{55DB3308-C55A-4095-A9B5-52F75DE4CA0F}">
            <x14:dataBar minLength="0" maxLength="100" border="1" gradient="0">
              <x14:cfvo type="num">
                <xm:f>0</xm:f>
              </x14:cfvo>
              <x14:cfvo type="num">
                <xm:f>1</xm:f>
              </x14:cfvo>
              <x14:borderColor theme="0"/>
              <x14:negativeFillColor rgb="FFFF0000"/>
              <x14:axisColor rgb="FF000000"/>
            </x14:dataBar>
          </x14:cfRule>
          <xm:sqref>J2734</xm:sqref>
        </x14:conditionalFormatting>
        <x14:conditionalFormatting xmlns:xm="http://schemas.microsoft.com/office/excel/2006/main">
          <x14:cfRule type="dataBar" id="{5F2328F0-9C0C-4DB9-934A-6C3587CF47E6}">
            <x14:dataBar minLength="0" maxLength="100" border="1" gradient="0">
              <x14:cfvo type="num">
                <xm:f>0</xm:f>
              </x14:cfvo>
              <x14:cfvo type="num">
                <xm:f>1</xm:f>
              </x14:cfvo>
              <x14:borderColor theme="0"/>
              <x14:negativeFillColor rgb="FFFF0000"/>
              <x14:axisColor rgb="FF000000"/>
            </x14:dataBar>
          </x14:cfRule>
          <xm:sqref>J2738</xm:sqref>
        </x14:conditionalFormatting>
        <x14:conditionalFormatting xmlns:xm="http://schemas.microsoft.com/office/excel/2006/main">
          <x14:cfRule type="dataBar" id="{4A10AB3D-AF70-455B-8F0A-6B467A2671E0}">
            <x14:dataBar minLength="0" maxLength="100" border="1" gradient="0">
              <x14:cfvo type="num">
                <xm:f>0</xm:f>
              </x14:cfvo>
              <x14:cfvo type="num">
                <xm:f>1</xm:f>
              </x14:cfvo>
              <x14:borderColor theme="0"/>
              <x14:negativeFillColor rgb="FFFF0000"/>
              <x14:axisColor rgb="FF000000"/>
            </x14:dataBar>
          </x14:cfRule>
          <xm:sqref>J2740 J2742</xm:sqref>
        </x14:conditionalFormatting>
        <x14:conditionalFormatting xmlns:xm="http://schemas.microsoft.com/office/excel/2006/main">
          <x14:cfRule type="dataBar" id="{83C93E20-14DE-4EF9-9866-A229AE64899A}">
            <x14:dataBar minLength="0" maxLength="100" border="1" gradient="0">
              <x14:cfvo type="num">
                <xm:f>0</xm:f>
              </x14:cfvo>
              <x14:cfvo type="num">
                <xm:f>1</xm:f>
              </x14:cfvo>
              <x14:borderColor theme="0"/>
              <x14:negativeFillColor rgb="FFFF0000"/>
              <x14:axisColor rgb="FF000000"/>
            </x14:dataBar>
          </x14:cfRule>
          <xm:sqref>J2744 J2746</xm:sqref>
        </x14:conditionalFormatting>
        <x14:conditionalFormatting xmlns:xm="http://schemas.microsoft.com/office/excel/2006/main">
          <x14:cfRule type="dataBar" id="{58E0E068-70F8-4F92-8391-1BB273398017}">
            <x14:dataBar minLength="0" maxLength="100" border="1" gradient="0">
              <x14:cfvo type="num">
                <xm:f>0</xm:f>
              </x14:cfvo>
              <x14:cfvo type="num">
                <xm:f>1</xm:f>
              </x14:cfvo>
              <x14:borderColor theme="0"/>
              <x14:negativeFillColor rgb="FFFF0000"/>
              <x14:axisColor rgb="FF000000"/>
            </x14:dataBar>
          </x14:cfRule>
          <xm:sqref>J2748</xm:sqref>
        </x14:conditionalFormatting>
        <x14:conditionalFormatting xmlns:xm="http://schemas.microsoft.com/office/excel/2006/main">
          <x14:cfRule type="dataBar" id="{074CF253-0B89-43E6-8F67-BB4661A956A2}">
            <x14:dataBar minLength="0" maxLength="100" border="1" gradient="0">
              <x14:cfvo type="num">
                <xm:f>0</xm:f>
              </x14:cfvo>
              <x14:cfvo type="num">
                <xm:f>1</xm:f>
              </x14:cfvo>
              <x14:borderColor theme="0"/>
              <x14:negativeFillColor rgb="FFFF0000"/>
              <x14:axisColor rgb="FF000000"/>
            </x14:dataBar>
          </x14:cfRule>
          <xm:sqref>J2750 J2752</xm:sqref>
        </x14:conditionalFormatting>
        <x14:conditionalFormatting xmlns:xm="http://schemas.microsoft.com/office/excel/2006/main">
          <x14:cfRule type="dataBar" id="{5BD98CA1-B06A-44FA-80BA-3D16F0FDD953}">
            <x14:dataBar minLength="0" maxLength="100" border="1" gradient="0">
              <x14:cfvo type="num">
                <xm:f>0</xm:f>
              </x14:cfvo>
              <x14:cfvo type="num">
                <xm:f>1</xm:f>
              </x14:cfvo>
              <x14:borderColor theme="0"/>
              <x14:negativeFillColor rgb="FFFF0000"/>
              <x14:axisColor rgb="FF000000"/>
            </x14:dataBar>
          </x14:cfRule>
          <xm:sqref>J2754 J2756</xm:sqref>
        </x14:conditionalFormatting>
        <x14:conditionalFormatting xmlns:xm="http://schemas.microsoft.com/office/excel/2006/main">
          <x14:cfRule type="dataBar" id="{4EB06E62-9385-4DEF-A382-CFC689893DF0}">
            <x14:dataBar minLength="0" maxLength="100" border="1" gradient="0">
              <x14:cfvo type="num">
                <xm:f>0</xm:f>
              </x14:cfvo>
              <x14:cfvo type="num">
                <xm:f>1</xm:f>
              </x14:cfvo>
              <x14:borderColor theme="0"/>
              <x14:negativeFillColor rgb="FFFF0000"/>
              <x14:axisColor rgb="FF000000"/>
            </x14:dataBar>
          </x14:cfRule>
          <xm:sqref>J2758</xm:sqref>
        </x14:conditionalFormatting>
        <x14:conditionalFormatting xmlns:xm="http://schemas.microsoft.com/office/excel/2006/main">
          <x14:cfRule type="dataBar" id="{E40CF49A-9F9D-4585-84D4-2081512752C6}">
            <x14:dataBar minLength="0" maxLength="100" border="1" gradient="0">
              <x14:cfvo type="num">
                <xm:f>0</xm:f>
              </x14:cfvo>
              <x14:cfvo type="num">
                <xm:f>1</xm:f>
              </x14:cfvo>
              <x14:borderColor theme="0"/>
              <x14:negativeFillColor rgb="FFFF0000"/>
              <x14:axisColor rgb="FF000000"/>
            </x14:dataBar>
          </x14:cfRule>
          <xm:sqref>J2760</xm:sqref>
        </x14:conditionalFormatting>
        <x14:conditionalFormatting xmlns:xm="http://schemas.microsoft.com/office/excel/2006/main">
          <x14:cfRule type="dataBar" id="{69E72EDB-FD9B-4360-80AB-C80FAC3B4258}">
            <x14:dataBar minLength="0" maxLength="100" border="1" gradient="0">
              <x14:cfvo type="num">
                <xm:f>0</xm:f>
              </x14:cfvo>
              <x14:cfvo type="num">
                <xm:f>1</xm:f>
              </x14:cfvo>
              <x14:borderColor theme="0"/>
              <x14:negativeFillColor rgb="FFFF0000"/>
              <x14:axisColor rgb="FF000000"/>
            </x14:dataBar>
          </x14:cfRule>
          <xm:sqref>J2764</xm:sqref>
        </x14:conditionalFormatting>
        <x14:conditionalFormatting xmlns:xm="http://schemas.microsoft.com/office/excel/2006/main">
          <x14:cfRule type="dataBar" id="{93D7B870-C726-4F7C-8B1D-FC4FCBEDC1F7}">
            <x14:dataBar minLength="0" maxLength="100" border="1" gradient="0">
              <x14:cfvo type="num">
                <xm:f>0</xm:f>
              </x14:cfvo>
              <x14:cfvo type="num">
                <xm:f>1</xm:f>
              </x14:cfvo>
              <x14:borderColor theme="0"/>
              <x14:negativeFillColor rgb="FFFF0000"/>
              <x14:axisColor rgb="FF000000"/>
            </x14:dataBar>
          </x14:cfRule>
          <xm:sqref>J2766 J2768 J2770</xm:sqref>
        </x14:conditionalFormatting>
        <x14:conditionalFormatting xmlns:xm="http://schemas.microsoft.com/office/excel/2006/main">
          <x14:cfRule type="dataBar" id="{6DD29EA1-9C79-4826-BF6D-1753A04BEDED}">
            <x14:dataBar minLength="0" maxLength="100" border="1" gradient="0">
              <x14:cfvo type="num">
                <xm:f>0</xm:f>
              </x14:cfvo>
              <x14:cfvo type="num">
                <xm:f>1</xm:f>
              </x14:cfvo>
              <x14:borderColor theme="0"/>
              <x14:negativeFillColor rgb="FFFF0000"/>
              <x14:axisColor rgb="FF000000"/>
            </x14:dataBar>
          </x14:cfRule>
          <xm:sqref>J2772 J2774 J2776</xm:sqref>
        </x14:conditionalFormatting>
        <x14:conditionalFormatting xmlns:xm="http://schemas.microsoft.com/office/excel/2006/main">
          <x14:cfRule type="dataBar" id="{B15F67EF-4EC6-4687-A1DB-5A259EB3BBB9}">
            <x14:dataBar minLength="0" maxLength="100" border="1" gradient="0">
              <x14:cfvo type="num">
                <xm:f>0</xm:f>
              </x14:cfvo>
              <x14:cfvo type="num">
                <xm:f>1</xm:f>
              </x14:cfvo>
              <x14:borderColor theme="0"/>
              <x14:negativeFillColor rgb="FFFF0000"/>
              <x14:axisColor rgb="FF000000"/>
            </x14:dataBar>
          </x14:cfRule>
          <xm:sqref>J2778 J2780 J2782</xm:sqref>
        </x14:conditionalFormatting>
        <x14:conditionalFormatting xmlns:xm="http://schemas.microsoft.com/office/excel/2006/main">
          <x14:cfRule type="dataBar" id="{600BB6A9-D494-4FD3-B0C4-7D3475EEAC8F}">
            <x14:dataBar minLength="0" maxLength="100" border="1" gradient="0">
              <x14:cfvo type="num">
                <xm:f>0</xm:f>
              </x14:cfvo>
              <x14:cfvo type="num">
                <xm:f>1</xm:f>
              </x14:cfvo>
              <x14:borderColor theme="0"/>
              <x14:negativeFillColor rgb="FFFF0000"/>
              <x14:axisColor rgb="FF000000"/>
            </x14:dataBar>
          </x14:cfRule>
          <xm:sqref>J2784 J2786 J2788</xm:sqref>
        </x14:conditionalFormatting>
        <x14:conditionalFormatting xmlns:xm="http://schemas.microsoft.com/office/excel/2006/main">
          <x14:cfRule type="dataBar" id="{EB0500CE-B391-491E-B566-7482EF0C1BCC}">
            <x14:dataBar minLength="0" maxLength="100" border="1" gradient="0">
              <x14:cfvo type="num">
                <xm:f>0</xm:f>
              </x14:cfvo>
              <x14:cfvo type="num">
                <xm:f>1</xm:f>
              </x14:cfvo>
              <x14:borderColor theme="0"/>
              <x14:negativeFillColor rgb="FFFF0000"/>
              <x14:axisColor rgb="FF000000"/>
            </x14:dataBar>
          </x14:cfRule>
          <xm:sqref>J2792 J2790 J2794</xm:sqref>
        </x14:conditionalFormatting>
        <x14:conditionalFormatting xmlns:xm="http://schemas.microsoft.com/office/excel/2006/main">
          <x14:cfRule type="dataBar" id="{B1202324-DE30-41DE-B827-8C394F1E3E18}">
            <x14:dataBar minLength="0" maxLength="100" border="1" gradient="0">
              <x14:cfvo type="num">
                <xm:f>0</xm:f>
              </x14:cfvo>
              <x14:cfvo type="num">
                <xm:f>1</xm:f>
              </x14:cfvo>
              <x14:borderColor theme="0"/>
              <x14:negativeFillColor rgb="FFFF0000"/>
              <x14:axisColor rgb="FF000000"/>
            </x14:dataBar>
          </x14:cfRule>
          <xm:sqref>J2796 J2798 J2800</xm:sqref>
        </x14:conditionalFormatting>
        <x14:conditionalFormatting xmlns:xm="http://schemas.microsoft.com/office/excel/2006/main">
          <x14:cfRule type="dataBar" id="{E460E9CC-CADA-4416-B42C-1CA6656DD97B}">
            <x14:dataBar minLength="0" maxLength="100" border="1" gradient="0">
              <x14:cfvo type="num">
                <xm:f>0</xm:f>
              </x14:cfvo>
              <x14:cfvo type="num">
                <xm:f>1</xm:f>
              </x14:cfvo>
              <x14:borderColor theme="0"/>
              <x14:negativeFillColor rgb="FFFF0000"/>
              <x14:axisColor rgb="FF000000"/>
            </x14:dataBar>
          </x14:cfRule>
          <xm:sqref>J2804 J2802 J2806</xm:sqref>
        </x14:conditionalFormatting>
        <x14:conditionalFormatting xmlns:xm="http://schemas.microsoft.com/office/excel/2006/main">
          <x14:cfRule type="dataBar" id="{53D2A07D-D9F5-40E7-A46D-DEAA893BC057}">
            <x14:dataBar minLength="0" maxLength="100" border="1" gradient="0">
              <x14:cfvo type="num">
                <xm:f>0</xm:f>
              </x14:cfvo>
              <x14:cfvo type="num">
                <xm:f>1</xm:f>
              </x14:cfvo>
              <x14:borderColor theme="0"/>
              <x14:negativeFillColor rgb="FFFF0000"/>
              <x14:axisColor rgb="FF000000"/>
            </x14:dataBar>
          </x14:cfRule>
          <xm:sqref>J2810 J2822 J2808</xm:sqref>
        </x14:conditionalFormatting>
        <x14:conditionalFormatting xmlns:xm="http://schemas.microsoft.com/office/excel/2006/main">
          <x14:cfRule type="dataBar" id="{4EC8A7DB-3B59-4544-AB34-40E2B3DFB4D9}">
            <x14:dataBar minLength="0" maxLength="100" border="1" gradient="0">
              <x14:cfvo type="num">
                <xm:f>0</xm:f>
              </x14:cfvo>
              <x14:cfvo type="num">
                <xm:f>1</xm:f>
              </x14:cfvo>
              <x14:borderColor theme="0"/>
              <x14:negativeFillColor rgb="FFFF0000"/>
              <x14:axisColor rgb="FF000000"/>
            </x14:dataBar>
          </x14:cfRule>
          <xm:sqref>J2814</xm:sqref>
        </x14:conditionalFormatting>
        <x14:conditionalFormatting xmlns:xm="http://schemas.microsoft.com/office/excel/2006/main">
          <x14:cfRule type="dataBar" id="{C7A629AA-8D93-4458-BAC7-62993F411FDF}">
            <x14:dataBar minLength="0" maxLength="100" border="1" gradient="0">
              <x14:cfvo type="num">
                <xm:f>0</xm:f>
              </x14:cfvo>
              <x14:cfvo type="num">
                <xm:f>1</xm:f>
              </x14:cfvo>
              <x14:borderColor theme="0"/>
              <x14:negativeFillColor rgb="FFFF0000"/>
              <x14:axisColor rgb="FF000000"/>
            </x14:dataBar>
          </x14:cfRule>
          <xm:sqref>J2816 J2818 J2820</xm:sqref>
        </x14:conditionalFormatting>
        <x14:conditionalFormatting xmlns:xm="http://schemas.microsoft.com/office/excel/2006/main">
          <x14:cfRule type="dataBar" id="{7E2555DC-DFFE-4D2F-B411-4F8EA5826294}">
            <x14:dataBar minLength="0" maxLength="100" border="1" gradient="0">
              <x14:cfvo type="num">
                <xm:f>0</xm:f>
              </x14:cfvo>
              <x14:cfvo type="num">
                <xm:f>1</xm:f>
              </x14:cfvo>
              <x14:borderColor theme="0"/>
              <x14:negativeFillColor rgb="FFFF0000"/>
              <x14:axisColor rgb="FF000000"/>
            </x14:dataBar>
          </x14:cfRule>
          <xm:sqref>J2824 J2826 J2828</xm:sqref>
        </x14:conditionalFormatting>
        <x14:conditionalFormatting xmlns:xm="http://schemas.microsoft.com/office/excel/2006/main">
          <x14:cfRule type="dataBar" id="{D6AFC241-5A4B-4E34-BA57-7687FEB30A9D}">
            <x14:dataBar minLength="0" maxLength="100" border="1" gradient="0">
              <x14:cfvo type="num">
                <xm:f>0</xm:f>
              </x14:cfvo>
              <x14:cfvo type="num">
                <xm:f>1</xm:f>
              </x14:cfvo>
              <x14:borderColor theme="0"/>
              <x14:negativeFillColor rgb="FFFF0000"/>
              <x14:axisColor rgb="FF000000"/>
            </x14:dataBar>
          </x14:cfRule>
          <xm:sqref>J2830 J2832 J2834</xm:sqref>
        </x14:conditionalFormatting>
        <x14:conditionalFormatting xmlns:xm="http://schemas.microsoft.com/office/excel/2006/main">
          <x14:cfRule type="dataBar" id="{43883CAD-077C-41CE-AB30-B63F495E81E4}">
            <x14:dataBar minLength="0" maxLength="100" border="1" gradient="0">
              <x14:cfvo type="num">
                <xm:f>0</xm:f>
              </x14:cfvo>
              <x14:cfvo type="num">
                <xm:f>1</xm:f>
              </x14:cfvo>
              <x14:borderColor theme="0"/>
              <x14:negativeFillColor rgb="FFFF0000"/>
              <x14:axisColor rgb="FF000000"/>
            </x14:dataBar>
          </x14:cfRule>
          <xm:sqref>J2836 J2838 J2840</xm:sqref>
        </x14:conditionalFormatting>
        <x14:conditionalFormatting xmlns:xm="http://schemas.microsoft.com/office/excel/2006/main">
          <x14:cfRule type="dataBar" id="{C337D552-B27F-43A8-9399-BFF9AD06B082}">
            <x14:dataBar minLength="0" maxLength="100" border="1" gradient="0">
              <x14:cfvo type="num">
                <xm:f>0</xm:f>
              </x14:cfvo>
              <x14:cfvo type="num">
                <xm:f>1</xm:f>
              </x14:cfvo>
              <x14:borderColor theme="0"/>
              <x14:negativeFillColor rgb="FFFF0000"/>
              <x14:axisColor rgb="FF000000"/>
            </x14:dataBar>
          </x14:cfRule>
          <xm:sqref>J2842 J2844 J2846</xm:sqref>
        </x14:conditionalFormatting>
        <x14:conditionalFormatting xmlns:xm="http://schemas.microsoft.com/office/excel/2006/main">
          <x14:cfRule type="dataBar" id="{54B7D193-5F85-409A-A078-EC142C2C82AA}">
            <x14:dataBar minLength="0" maxLength="100" border="1" gradient="0">
              <x14:cfvo type="num">
                <xm:f>0</xm:f>
              </x14:cfvo>
              <x14:cfvo type="num">
                <xm:f>1</xm:f>
              </x14:cfvo>
              <x14:borderColor theme="0"/>
              <x14:negativeFillColor rgb="FFFF0000"/>
              <x14:axisColor rgb="FF000000"/>
            </x14:dataBar>
          </x14:cfRule>
          <xm:sqref>J2848</xm:sqref>
        </x14:conditionalFormatting>
        <x14:conditionalFormatting xmlns:xm="http://schemas.microsoft.com/office/excel/2006/main">
          <x14:cfRule type="dataBar" id="{98AEB840-3A20-46B8-8A1F-89F9725B9E9A}">
            <x14:dataBar minLength="0" maxLength="100" border="1" gradient="0">
              <x14:cfvo type="num">
                <xm:f>0</xm:f>
              </x14:cfvo>
              <x14:cfvo type="num">
                <xm:f>1</xm:f>
              </x14:cfvo>
              <x14:borderColor theme="0"/>
              <x14:negativeFillColor rgb="FFFF0000"/>
              <x14:axisColor rgb="FF000000"/>
            </x14:dataBar>
          </x14:cfRule>
          <xm:sqref>J2852</xm:sqref>
        </x14:conditionalFormatting>
        <x14:conditionalFormatting xmlns:xm="http://schemas.microsoft.com/office/excel/2006/main">
          <x14:cfRule type="dataBar" id="{8DE61673-03F0-463B-90A6-FB12BAA18576}">
            <x14:dataBar minLength="0" maxLength="100" border="1" gradient="0">
              <x14:cfvo type="num">
                <xm:f>0</xm:f>
              </x14:cfvo>
              <x14:cfvo type="num">
                <xm:f>1</xm:f>
              </x14:cfvo>
              <x14:borderColor theme="0"/>
              <x14:negativeFillColor rgb="FFFF0000"/>
              <x14:axisColor rgb="FF000000"/>
            </x14:dataBar>
          </x14:cfRule>
          <xm:sqref>J2856</xm:sqref>
        </x14:conditionalFormatting>
        <x14:conditionalFormatting xmlns:xm="http://schemas.microsoft.com/office/excel/2006/main">
          <x14:cfRule type="dataBar" id="{E6C3515C-21DF-4E9C-B9C8-BAAB2F341B42}">
            <x14:dataBar minLength="0" maxLength="100" border="1" gradient="0">
              <x14:cfvo type="num">
                <xm:f>0</xm:f>
              </x14:cfvo>
              <x14:cfvo type="num">
                <xm:f>1</xm:f>
              </x14:cfvo>
              <x14:borderColor theme="0"/>
              <x14:negativeFillColor rgb="FFFF0000"/>
              <x14:axisColor rgb="FF000000"/>
            </x14:dataBar>
          </x14:cfRule>
          <xm:sqref>J2858</xm:sqref>
        </x14:conditionalFormatting>
        <x14:conditionalFormatting xmlns:xm="http://schemas.microsoft.com/office/excel/2006/main">
          <x14:cfRule type="dataBar" id="{F3B45744-6E40-4905-978F-2DCCFEFBA732}">
            <x14:dataBar minLength="0" maxLength="100" border="1" gradient="0">
              <x14:cfvo type="num">
                <xm:f>0</xm:f>
              </x14:cfvo>
              <x14:cfvo type="num">
                <xm:f>1</xm:f>
              </x14:cfvo>
              <x14:borderColor theme="0"/>
              <x14:negativeFillColor rgb="FFFF0000"/>
              <x14:axisColor rgb="FF000000"/>
            </x14:dataBar>
          </x14:cfRule>
          <xm:sqref>J2860</xm:sqref>
        </x14:conditionalFormatting>
        <x14:conditionalFormatting xmlns:xm="http://schemas.microsoft.com/office/excel/2006/main">
          <x14:cfRule type="dataBar" id="{7888AA51-964B-48F9-ACF9-41D89F2EC305}">
            <x14:dataBar minLength="0" maxLength="100" border="1" gradient="0">
              <x14:cfvo type="num">
                <xm:f>0</xm:f>
              </x14:cfvo>
              <x14:cfvo type="num">
                <xm:f>1</xm:f>
              </x14:cfvo>
              <x14:borderColor theme="0"/>
              <x14:negativeFillColor rgb="FFFF0000"/>
              <x14:axisColor rgb="FF000000"/>
            </x14:dataBar>
          </x14:cfRule>
          <xm:sqref>J2862</xm:sqref>
        </x14:conditionalFormatting>
        <x14:conditionalFormatting xmlns:xm="http://schemas.microsoft.com/office/excel/2006/main">
          <x14:cfRule type="dataBar" id="{35D49590-FB04-491C-87B5-D777803B74B6}">
            <x14:dataBar minLength="0" maxLength="100" border="1" gradient="0">
              <x14:cfvo type="num">
                <xm:f>0</xm:f>
              </x14:cfvo>
              <x14:cfvo type="num">
                <xm:f>1</xm:f>
              </x14:cfvo>
              <x14:borderColor theme="0"/>
              <x14:negativeFillColor rgb="FFFF0000"/>
              <x14:axisColor rgb="FF000000"/>
            </x14:dataBar>
          </x14:cfRule>
          <xm:sqref>J2864</xm:sqref>
        </x14:conditionalFormatting>
        <x14:conditionalFormatting xmlns:xm="http://schemas.microsoft.com/office/excel/2006/main">
          <x14:cfRule type="dataBar" id="{65B69281-E665-41E8-85BB-C40899F692B3}">
            <x14:dataBar minLength="0" maxLength="100" border="1" gradient="0">
              <x14:cfvo type="num">
                <xm:f>0</xm:f>
              </x14:cfvo>
              <x14:cfvo type="num">
                <xm:f>1</xm:f>
              </x14:cfvo>
              <x14:borderColor theme="0"/>
              <x14:negativeFillColor rgb="FFFF0000"/>
              <x14:axisColor rgb="FF000000"/>
            </x14:dataBar>
          </x14:cfRule>
          <xm:sqref>J2866</xm:sqref>
        </x14:conditionalFormatting>
        <x14:conditionalFormatting xmlns:xm="http://schemas.microsoft.com/office/excel/2006/main">
          <x14:cfRule type="dataBar" id="{0D23D7B3-0048-463F-9102-A6CEA412C789}">
            <x14:dataBar minLength="0" maxLength="100" border="1" gradient="0">
              <x14:cfvo type="num">
                <xm:f>0</xm:f>
              </x14:cfvo>
              <x14:cfvo type="num">
                <xm:f>1</xm:f>
              </x14:cfvo>
              <x14:borderColor theme="0"/>
              <x14:negativeFillColor rgb="FFFF0000"/>
              <x14:axisColor rgb="FF000000"/>
            </x14:dataBar>
          </x14:cfRule>
          <xm:sqref>J2868</xm:sqref>
        </x14:conditionalFormatting>
        <x14:conditionalFormatting xmlns:xm="http://schemas.microsoft.com/office/excel/2006/main">
          <x14:cfRule type="dataBar" id="{850E5969-E827-4A8F-B3A0-291119D9EC67}">
            <x14:dataBar minLength="0" maxLength="100" border="1" gradient="0">
              <x14:cfvo type="num">
                <xm:f>0</xm:f>
              </x14:cfvo>
              <x14:cfvo type="num">
                <xm:f>1</xm:f>
              </x14:cfvo>
              <x14:borderColor theme="0"/>
              <x14:negativeFillColor rgb="FFFF0000"/>
              <x14:axisColor rgb="FF000000"/>
            </x14:dataBar>
          </x14:cfRule>
          <xm:sqref>J2870</xm:sqref>
        </x14:conditionalFormatting>
        <x14:conditionalFormatting xmlns:xm="http://schemas.microsoft.com/office/excel/2006/main">
          <x14:cfRule type="dataBar" id="{983D5054-7AF8-482F-8030-F99518E06706}">
            <x14:dataBar minLength="0" maxLength="100" border="1" gradient="0">
              <x14:cfvo type="num">
                <xm:f>0</xm:f>
              </x14:cfvo>
              <x14:cfvo type="num">
                <xm:f>1</xm:f>
              </x14:cfvo>
              <x14:borderColor theme="0"/>
              <x14:negativeFillColor rgb="FFFF0000"/>
              <x14:axisColor rgb="FF000000"/>
            </x14:dataBar>
          </x14:cfRule>
          <xm:sqref>J2872</xm:sqref>
        </x14:conditionalFormatting>
        <x14:conditionalFormatting xmlns:xm="http://schemas.microsoft.com/office/excel/2006/main">
          <x14:cfRule type="dataBar" id="{4C03982D-7EC6-4A38-819D-116DA23B8C17}">
            <x14:dataBar minLength="0" maxLength="100" border="1" gradient="0">
              <x14:cfvo type="num">
                <xm:f>0</xm:f>
              </x14:cfvo>
              <x14:cfvo type="num">
                <xm:f>1</xm:f>
              </x14:cfvo>
              <x14:borderColor theme="0"/>
              <x14:negativeFillColor rgb="FFFF0000"/>
              <x14:axisColor rgb="FF000000"/>
            </x14:dataBar>
          </x14:cfRule>
          <xm:sqref>J2874</xm:sqref>
        </x14:conditionalFormatting>
        <x14:conditionalFormatting xmlns:xm="http://schemas.microsoft.com/office/excel/2006/main">
          <x14:cfRule type="dataBar" id="{FCAD3000-39A9-481B-8627-AB9A4AAFEC9E}">
            <x14:dataBar minLength="0" maxLength="100" border="1" gradient="0">
              <x14:cfvo type="num">
                <xm:f>0</xm:f>
              </x14:cfvo>
              <x14:cfvo type="num">
                <xm:f>1</xm:f>
              </x14:cfvo>
              <x14:borderColor theme="0"/>
              <x14:negativeFillColor rgb="FFFF0000"/>
              <x14:axisColor rgb="FF000000"/>
            </x14:dataBar>
          </x14:cfRule>
          <xm:sqref>J2876</xm:sqref>
        </x14:conditionalFormatting>
        <x14:conditionalFormatting xmlns:xm="http://schemas.microsoft.com/office/excel/2006/main">
          <x14:cfRule type="dataBar" id="{9346DDC0-07FA-4219-8CDB-4AD6E390BB76}">
            <x14:dataBar minLength="0" maxLength="100" border="1" gradient="0">
              <x14:cfvo type="num">
                <xm:f>0</xm:f>
              </x14:cfvo>
              <x14:cfvo type="num">
                <xm:f>1</xm:f>
              </x14:cfvo>
              <x14:borderColor theme="0"/>
              <x14:negativeFillColor rgb="FFFF0000"/>
              <x14:axisColor rgb="FF000000"/>
            </x14:dataBar>
          </x14:cfRule>
          <xm:sqref>J2878</xm:sqref>
        </x14:conditionalFormatting>
        <x14:conditionalFormatting xmlns:xm="http://schemas.microsoft.com/office/excel/2006/main">
          <x14:cfRule type="dataBar" id="{5D6577DF-3EAF-4CE9-A438-F3F34D566C23}">
            <x14:dataBar minLength="0" maxLength="100" border="1" gradient="0">
              <x14:cfvo type="num">
                <xm:f>0</xm:f>
              </x14:cfvo>
              <x14:cfvo type="num">
                <xm:f>1</xm:f>
              </x14:cfvo>
              <x14:borderColor theme="0"/>
              <x14:negativeFillColor rgb="FFFF0000"/>
              <x14:axisColor rgb="FF000000"/>
            </x14:dataBar>
          </x14:cfRule>
          <xm:sqref>J2880</xm:sqref>
        </x14:conditionalFormatting>
        <x14:conditionalFormatting xmlns:xm="http://schemas.microsoft.com/office/excel/2006/main">
          <x14:cfRule type="dataBar" id="{658C6D4C-AE8F-4D8D-8193-B4437315D494}">
            <x14:dataBar minLength="0" maxLength="100" border="1" gradient="0">
              <x14:cfvo type="num">
                <xm:f>0</xm:f>
              </x14:cfvo>
              <x14:cfvo type="num">
                <xm:f>1</xm:f>
              </x14:cfvo>
              <x14:borderColor theme="0"/>
              <x14:negativeFillColor rgb="FFFF0000"/>
              <x14:axisColor rgb="FF000000"/>
            </x14:dataBar>
          </x14:cfRule>
          <xm:sqref>J2882</xm:sqref>
        </x14:conditionalFormatting>
        <x14:conditionalFormatting xmlns:xm="http://schemas.microsoft.com/office/excel/2006/main">
          <x14:cfRule type="dataBar" id="{834CD4EC-8896-456F-824A-B34C9CDC5973}">
            <x14:dataBar minLength="0" maxLength="100" border="1" gradient="0">
              <x14:cfvo type="num">
                <xm:f>0</xm:f>
              </x14:cfvo>
              <x14:cfvo type="num">
                <xm:f>1</xm:f>
              </x14:cfvo>
              <x14:borderColor theme="0"/>
              <x14:negativeFillColor rgb="FFFF0000"/>
              <x14:axisColor rgb="FF000000"/>
            </x14:dataBar>
          </x14:cfRule>
          <xm:sqref>J2884</xm:sqref>
        </x14:conditionalFormatting>
        <x14:conditionalFormatting xmlns:xm="http://schemas.microsoft.com/office/excel/2006/main">
          <x14:cfRule type="dataBar" id="{1D1AEBEC-457E-4831-9ED7-661C46091960}">
            <x14:dataBar minLength="0" maxLength="100" border="1" gradient="0">
              <x14:cfvo type="num">
                <xm:f>0</xm:f>
              </x14:cfvo>
              <x14:cfvo type="num">
                <xm:f>1</xm:f>
              </x14:cfvo>
              <x14:borderColor theme="0"/>
              <x14:negativeFillColor rgb="FFFF0000"/>
              <x14:axisColor rgb="FF000000"/>
            </x14:dataBar>
          </x14:cfRule>
          <xm:sqref>J2886</xm:sqref>
        </x14:conditionalFormatting>
        <x14:conditionalFormatting xmlns:xm="http://schemas.microsoft.com/office/excel/2006/main">
          <x14:cfRule type="dataBar" id="{8DEE81ED-8205-444F-924F-43C61BF33FA6}">
            <x14:dataBar minLength="0" maxLength="100" border="1" gradient="0">
              <x14:cfvo type="num">
                <xm:f>0</xm:f>
              </x14:cfvo>
              <x14:cfvo type="num">
                <xm:f>1</xm:f>
              </x14:cfvo>
              <x14:borderColor theme="0"/>
              <x14:negativeFillColor rgb="FFFF0000"/>
              <x14:axisColor rgb="FF000000"/>
            </x14:dataBar>
          </x14:cfRule>
          <xm:sqref>J2888</xm:sqref>
        </x14:conditionalFormatting>
        <x14:conditionalFormatting xmlns:xm="http://schemas.microsoft.com/office/excel/2006/main">
          <x14:cfRule type="dataBar" id="{31A16864-26BD-4D01-B116-A7D025146570}">
            <x14:dataBar minLength="0" maxLength="100" border="1" gradient="0">
              <x14:cfvo type="num">
                <xm:f>0</xm:f>
              </x14:cfvo>
              <x14:cfvo type="num">
                <xm:f>1</xm:f>
              </x14:cfvo>
              <x14:borderColor theme="0"/>
              <x14:negativeFillColor rgb="FFFF0000"/>
              <x14:axisColor rgb="FF000000"/>
            </x14:dataBar>
          </x14:cfRule>
          <xm:sqref>J2890</xm:sqref>
        </x14:conditionalFormatting>
        <x14:conditionalFormatting xmlns:xm="http://schemas.microsoft.com/office/excel/2006/main">
          <x14:cfRule type="dataBar" id="{24F0BA8A-594A-4585-A6E2-9B0BD366EE52}">
            <x14:dataBar minLength="0" maxLength="100" border="1" gradient="0">
              <x14:cfvo type="num">
                <xm:f>0</xm:f>
              </x14:cfvo>
              <x14:cfvo type="num">
                <xm:f>1</xm:f>
              </x14:cfvo>
              <x14:borderColor theme="0"/>
              <x14:negativeFillColor rgb="FFFF0000"/>
              <x14:axisColor rgb="FF000000"/>
            </x14:dataBar>
          </x14:cfRule>
          <xm:sqref>J2892</xm:sqref>
        </x14:conditionalFormatting>
        <x14:conditionalFormatting xmlns:xm="http://schemas.microsoft.com/office/excel/2006/main">
          <x14:cfRule type="dataBar" id="{A120D7F7-1DA0-494B-A368-4B53FD5383A4}">
            <x14:dataBar minLength="0" maxLength="100" border="1" gradient="0">
              <x14:cfvo type="num">
                <xm:f>0</xm:f>
              </x14:cfvo>
              <x14:cfvo type="num">
                <xm:f>1</xm:f>
              </x14:cfvo>
              <x14:borderColor theme="0"/>
              <x14:negativeFillColor rgb="FFFF0000"/>
              <x14:axisColor rgb="FF000000"/>
            </x14:dataBar>
          </x14:cfRule>
          <xm:sqref>J2894</xm:sqref>
        </x14:conditionalFormatting>
        <x14:conditionalFormatting xmlns:xm="http://schemas.microsoft.com/office/excel/2006/main">
          <x14:cfRule type="dataBar" id="{E3029832-CEC4-4FFB-A93D-FB782049F4F6}">
            <x14:dataBar minLength="0" maxLength="100" border="1" gradient="0">
              <x14:cfvo type="num">
                <xm:f>0</xm:f>
              </x14:cfvo>
              <x14:cfvo type="num">
                <xm:f>1</xm:f>
              </x14:cfvo>
              <x14:borderColor theme="0"/>
              <x14:negativeFillColor rgb="FFFF0000"/>
              <x14:axisColor rgb="FF000000"/>
            </x14:dataBar>
          </x14:cfRule>
          <xm:sqref>J2896</xm:sqref>
        </x14:conditionalFormatting>
        <x14:conditionalFormatting xmlns:xm="http://schemas.microsoft.com/office/excel/2006/main">
          <x14:cfRule type="dataBar" id="{E21AB61C-9280-4167-973E-A3E0863FE456}">
            <x14:dataBar minLength="0" maxLength="100" border="1" gradient="0">
              <x14:cfvo type="num">
                <xm:f>0</xm:f>
              </x14:cfvo>
              <x14:cfvo type="num">
                <xm:f>1</xm:f>
              </x14:cfvo>
              <x14:borderColor theme="0"/>
              <x14:negativeFillColor rgb="FFFF0000"/>
              <x14:axisColor rgb="FF000000"/>
            </x14:dataBar>
          </x14:cfRule>
          <xm:sqref>J2898</xm:sqref>
        </x14:conditionalFormatting>
        <x14:conditionalFormatting xmlns:xm="http://schemas.microsoft.com/office/excel/2006/main">
          <x14:cfRule type="dataBar" id="{499ACF47-A184-48C5-98BB-EDFA6E52B4C7}">
            <x14:dataBar minLength="0" maxLength="100" border="1" gradient="0">
              <x14:cfvo type="num">
                <xm:f>0</xm:f>
              </x14:cfvo>
              <x14:cfvo type="num">
                <xm:f>1</xm:f>
              </x14:cfvo>
              <x14:borderColor theme="0"/>
              <x14:negativeFillColor rgb="FFFF0000"/>
              <x14:axisColor rgb="FF000000"/>
            </x14:dataBar>
          </x14:cfRule>
          <xm:sqref>J2900</xm:sqref>
        </x14:conditionalFormatting>
        <x14:conditionalFormatting xmlns:xm="http://schemas.microsoft.com/office/excel/2006/main">
          <x14:cfRule type="dataBar" id="{61A2BBBA-EC58-479F-B976-06452C042522}">
            <x14:dataBar minLength="0" maxLength="100" border="1" gradient="0">
              <x14:cfvo type="num">
                <xm:f>0</xm:f>
              </x14:cfvo>
              <x14:cfvo type="num">
                <xm:f>1</xm:f>
              </x14:cfvo>
              <x14:borderColor theme="0"/>
              <x14:negativeFillColor rgb="FFFF0000"/>
              <x14:axisColor rgb="FF000000"/>
            </x14:dataBar>
          </x14:cfRule>
          <xm:sqref>J2902</xm:sqref>
        </x14:conditionalFormatting>
        <x14:conditionalFormatting xmlns:xm="http://schemas.microsoft.com/office/excel/2006/main">
          <x14:cfRule type="dataBar" id="{CF554100-AA6D-4C1A-AA03-C82D07642091}">
            <x14:dataBar minLength="0" maxLength="100" border="1" gradient="0">
              <x14:cfvo type="num">
                <xm:f>0</xm:f>
              </x14:cfvo>
              <x14:cfvo type="num">
                <xm:f>1</xm:f>
              </x14:cfvo>
              <x14:borderColor theme="0"/>
              <x14:negativeFillColor rgb="FFFF0000"/>
              <x14:axisColor rgb="FF000000"/>
            </x14:dataBar>
          </x14:cfRule>
          <xm:sqref>J2904</xm:sqref>
        </x14:conditionalFormatting>
        <x14:conditionalFormatting xmlns:xm="http://schemas.microsoft.com/office/excel/2006/main">
          <x14:cfRule type="dataBar" id="{9DAB5A67-CF54-4704-B9EF-1E5246F9B060}">
            <x14:dataBar minLength="0" maxLength="100" border="1" gradient="0">
              <x14:cfvo type="num">
                <xm:f>0</xm:f>
              </x14:cfvo>
              <x14:cfvo type="num">
                <xm:f>1</xm:f>
              </x14:cfvo>
              <x14:borderColor theme="0"/>
              <x14:negativeFillColor rgb="FFFF0000"/>
              <x14:axisColor rgb="FF000000"/>
            </x14:dataBar>
          </x14:cfRule>
          <xm:sqref>J2906</xm:sqref>
        </x14:conditionalFormatting>
        <x14:conditionalFormatting xmlns:xm="http://schemas.microsoft.com/office/excel/2006/main">
          <x14:cfRule type="dataBar" id="{8B6D647F-7205-4137-A92B-50C2F951D3A9}">
            <x14:dataBar minLength="0" maxLength="100" border="1" gradient="0">
              <x14:cfvo type="num">
                <xm:f>0</xm:f>
              </x14:cfvo>
              <x14:cfvo type="num">
                <xm:f>1</xm:f>
              </x14:cfvo>
              <x14:borderColor theme="0"/>
              <x14:negativeFillColor rgb="FFFF0000"/>
              <x14:axisColor rgb="FF000000"/>
            </x14:dataBar>
          </x14:cfRule>
          <xm:sqref>J2908</xm:sqref>
        </x14:conditionalFormatting>
        <x14:conditionalFormatting xmlns:xm="http://schemas.microsoft.com/office/excel/2006/main">
          <x14:cfRule type="dataBar" id="{3807D9CD-5B73-47F4-8BAD-F6B8E689DC06}">
            <x14:dataBar minLength="0" maxLength="100" border="1" gradient="0">
              <x14:cfvo type="num">
                <xm:f>0</xm:f>
              </x14:cfvo>
              <x14:cfvo type="num">
                <xm:f>1</xm:f>
              </x14:cfvo>
              <x14:borderColor theme="0"/>
              <x14:negativeFillColor rgb="FFFF0000"/>
              <x14:axisColor rgb="FF000000"/>
            </x14:dataBar>
          </x14:cfRule>
          <xm:sqref>J2910</xm:sqref>
        </x14:conditionalFormatting>
        <x14:conditionalFormatting xmlns:xm="http://schemas.microsoft.com/office/excel/2006/main">
          <x14:cfRule type="dataBar" id="{9C0BCD8F-67D4-41B7-807F-8A9F2D6125ED}">
            <x14:dataBar minLength="0" maxLength="100" border="1" gradient="0">
              <x14:cfvo type="num">
                <xm:f>0</xm:f>
              </x14:cfvo>
              <x14:cfvo type="num">
                <xm:f>1</xm:f>
              </x14:cfvo>
              <x14:borderColor theme="0"/>
              <x14:negativeFillColor rgb="FFFF0000"/>
              <x14:axisColor rgb="FF000000"/>
            </x14:dataBar>
          </x14:cfRule>
          <xm:sqref>J2912</xm:sqref>
        </x14:conditionalFormatting>
        <x14:conditionalFormatting xmlns:xm="http://schemas.microsoft.com/office/excel/2006/main">
          <x14:cfRule type="dataBar" id="{82C21988-3429-4B62-9408-9DF44B9B34C9}">
            <x14:dataBar minLength="0" maxLength="100" border="1" gradient="0">
              <x14:cfvo type="num">
                <xm:f>0</xm:f>
              </x14:cfvo>
              <x14:cfvo type="num">
                <xm:f>1</xm:f>
              </x14:cfvo>
              <x14:borderColor theme="0"/>
              <x14:negativeFillColor rgb="FFFF0000"/>
              <x14:axisColor rgb="FF000000"/>
            </x14:dataBar>
          </x14:cfRule>
          <xm:sqref>J2914</xm:sqref>
        </x14:conditionalFormatting>
        <x14:conditionalFormatting xmlns:xm="http://schemas.microsoft.com/office/excel/2006/main">
          <x14:cfRule type="dataBar" id="{0CCC5A70-337B-41E2-8D96-216CD6F2CD78}">
            <x14:dataBar minLength="0" maxLength="100" border="1" gradient="0">
              <x14:cfvo type="num">
                <xm:f>0</xm:f>
              </x14:cfvo>
              <x14:cfvo type="num">
                <xm:f>1</xm:f>
              </x14:cfvo>
              <x14:borderColor theme="0"/>
              <x14:negativeFillColor rgb="FFFF0000"/>
              <x14:axisColor rgb="FF000000"/>
            </x14:dataBar>
          </x14:cfRule>
          <xm:sqref>J2916</xm:sqref>
        </x14:conditionalFormatting>
        <x14:conditionalFormatting xmlns:xm="http://schemas.microsoft.com/office/excel/2006/main">
          <x14:cfRule type="dataBar" id="{CC1F94AA-3424-4E5F-B2A8-68EC5542A57D}">
            <x14:dataBar minLength="0" maxLength="100" border="1" gradient="0">
              <x14:cfvo type="num">
                <xm:f>0</xm:f>
              </x14:cfvo>
              <x14:cfvo type="num">
                <xm:f>1</xm:f>
              </x14:cfvo>
              <x14:borderColor theme="0"/>
              <x14:negativeFillColor rgb="FFFF0000"/>
              <x14:axisColor rgb="FF000000"/>
            </x14:dataBar>
          </x14:cfRule>
          <xm:sqref>J2918</xm:sqref>
        </x14:conditionalFormatting>
        <x14:conditionalFormatting xmlns:xm="http://schemas.microsoft.com/office/excel/2006/main">
          <x14:cfRule type="dataBar" id="{03A117E2-1DFD-4845-8C23-278890DAE6E6}">
            <x14:dataBar minLength="0" maxLength="100" border="1" gradient="0">
              <x14:cfvo type="num">
                <xm:f>0</xm:f>
              </x14:cfvo>
              <x14:cfvo type="num">
                <xm:f>1</xm:f>
              </x14:cfvo>
              <x14:borderColor theme="0"/>
              <x14:negativeFillColor rgb="FFFF0000"/>
              <x14:axisColor rgb="FF000000"/>
            </x14:dataBar>
          </x14:cfRule>
          <xm:sqref>J2920</xm:sqref>
        </x14:conditionalFormatting>
        <x14:conditionalFormatting xmlns:xm="http://schemas.microsoft.com/office/excel/2006/main">
          <x14:cfRule type="dataBar" id="{B9EFBA80-0F04-4650-B46E-6AD94FB5002B}">
            <x14:dataBar minLength="0" maxLength="100" border="1" gradient="0">
              <x14:cfvo type="num">
                <xm:f>0</xm:f>
              </x14:cfvo>
              <x14:cfvo type="num">
                <xm:f>1</xm:f>
              </x14:cfvo>
              <x14:borderColor theme="0"/>
              <x14:negativeFillColor rgb="FFFF0000"/>
              <x14:axisColor rgb="FF000000"/>
            </x14:dataBar>
          </x14:cfRule>
          <xm:sqref>J2922</xm:sqref>
        </x14:conditionalFormatting>
        <x14:conditionalFormatting xmlns:xm="http://schemas.microsoft.com/office/excel/2006/main">
          <x14:cfRule type="dataBar" id="{7003C544-F6E3-40B2-BBB3-590CF0626F85}">
            <x14:dataBar minLength="0" maxLength="100" border="1" gradient="0">
              <x14:cfvo type="num">
                <xm:f>0</xm:f>
              </x14:cfvo>
              <x14:cfvo type="num">
                <xm:f>1</xm:f>
              </x14:cfvo>
              <x14:borderColor theme="0"/>
              <x14:negativeFillColor rgb="FFFF0000"/>
              <x14:axisColor rgb="FF000000"/>
            </x14:dataBar>
          </x14:cfRule>
          <xm:sqref>J2924</xm:sqref>
        </x14:conditionalFormatting>
        <x14:conditionalFormatting xmlns:xm="http://schemas.microsoft.com/office/excel/2006/main">
          <x14:cfRule type="dataBar" id="{31EA5114-EDD6-42D0-A8EF-4F9B57998A00}">
            <x14:dataBar minLength="0" maxLength="100" border="1" gradient="0">
              <x14:cfvo type="num">
                <xm:f>0</xm:f>
              </x14:cfvo>
              <x14:cfvo type="num">
                <xm:f>1</xm:f>
              </x14:cfvo>
              <x14:borderColor theme="0"/>
              <x14:negativeFillColor rgb="FFFF0000"/>
              <x14:axisColor rgb="FF000000"/>
            </x14:dataBar>
          </x14:cfRule>
          <xm:sqref>J2926</xm:sqref>
        </x14:conditionalFormatting>
        <x14:conditionalFormatting xmlns:xm="http://schemas.microsoft.com/office/excel/2006/main">
          <x14:cfRule type="dataBar" id="{24691F09-BE37-4060-8A0B-A91E6AA0F36B}">
            <x14:dataBar minLength="0" maxLength="100" border="1" gradient="0">
              <x14:cfvo type="num">
                <xm:f>0</xm:f>
              </x14:cfvo>
              <x14:cfvo type="num">
                <xm:f>1</xm:f>
              </x14:cfvo>
              <x14:borderColor theme="0"/>
              <x14:negativeFillColor rgb="FFFF0000"/>
              <x14:axisColor rgb="FF000000"/>
            </x14:dataBar>
          </x14:cfRule>
          <xm:sqref>J2928</xm:sqref>
        </x14:conditionalFormatting>
        <x14:conditionalFormatting xmlns:xm="http://schemas.microsoft.com/office/excel/2006/main">
          <x14:cfRule type="dataBar" id="{77A45755-C445-4DCC-8EF0-9A0F8515C5AF}">
            <x14:dataBar minLength="0" maxLength="100" border="1" gradient="0">
              <x14:cfvo type="num">
                <xm:f>0</xm:f>
              </x14:cfvo>
              <x14:cfvo type="num">
                <xm:f>1</xm:f>
              </x14:cfvo>
              <x14:borderColor theme="0"/>
              <x14:negativeFillColor rgb="FFFF0000"/>
              <x14:axisColor rgb="FF000000"/>
            </x14:dataBar>
          </x14:cfRule>
          <xm:sqref>J2930</xm:sqref>
        </x14:conditionalFormatting>
        <x14:conditionalFormatting xmlns:xm="http://schemas.microsoft.com/office/excel/2006/main">
          <x14:cfRule type="dataBar" id="{C0A9ED89-773D-4B7F-A74D-68E428825FE1}">
            <x14:dataBar minLength="0" maxLength="100" border="1" gradient="0">
              <x14:cfvo type="num">
                <xm:f>0</xm:f>
              </x14:cfvo>
              <x14:cfvo type="num">
                <xm:f>1</xm:f>
              </x14:cfvo>
              <x14:borderColor theme="0"/>
              <x14:negativeFillColor rgb="FFFF0000"/>
              <x14:axisColor rgb="FF000000"/>
            </x14:dataBar>
          </x14:cfRule>
          <xm:sqref>J2932</xm:sqref>
        </x14:conditionalFormatting>
        <x14:conditionalFormatting xmlns:xm="http://schemas.microsoft.com/office/excel/2006/main">
          <x14:cfRule type="dataBar" id="{A08B6F41-FD8E-4CAB-82DE-C570B6A61964}">
            <x14:dataBar minLength="0" maxLength="100" border="1" gradient="0">
              <x14:cfvo type="num">
                <xm:f>0</xm:f>
              </x14:cfvo>
              <x14:cfvo type="num">
                <xm:f>1</xm:f>
              </x14:cfvo>
              <x14:borderColor theme="0"/>
              <x14:negativeFillColor rgb="FFFF0000"/>
              <x14:axisColor rgb="FF000000"/>
            </x14:dataBar>
          </x14:cfRule>
          <xm:sqref>J2934</xm:sqref>
        </x14:conditionalFormatting>
        <x14:conditionalFormatting xmlns:xm="http://schemas.microsoft.com/office/excel/2006/main">
          <x14:cfRule type="dataBar" id="{F30F8B15-5A83-45FC-9CF1-BC893F93BA34}">
            <x14:dataBar minLength="0" maxLength="100" border="1" gradient="0">
              <x14:cfvo type="num">
                <xm:f>0</xm:f>
              </x14:cfvo>
              <x14:cfvo type="num">
                <xm:f>1</xm:f>
              </x14:cfvo>
              <x14:borderColor theme="0"/>
              <x14:negativeFillColor rgb="FFFF0000"/>
              <x14:axisColor rgb="FF000000"/>
            </x14:dataBar>
          </x14:cfRule>
          <xm:sqref>J2936</xm:sqref>
        </x14:conditionalFormatting>
        <x14:conditionalFormatting xmlns:xm="http://schemas.microsoft.com/office/excel/2006/main">
          <x14:cfRule type="dataBar" id="{7BC67C22-078E-4E07-BA8E-4090BD40F143}">
            <x14:dataBar minLength="0" maxLength="100" border="1" gradient="0">
              <x14:cfvo type="num">
                <xm:f>0</xm:f>
              </x14:cfvo>
              <x14:cfvo type="num">
                <xm:f>1</xm:f>
              </x14:cfvo>
              <x14:borderColor theme="0"/>
              <x14:negativeFillColor rgb="FFFF0000"/>
              <x14:axisColor rgb="FF000000"/>
            </x14:dataBar>
          </x14:cfRule>
          <xm:sqref>J2938</xm:sqref>
        </x14:conditionalFormatting>
        <x14:conditionalFormatting xmlns:xm="http://schemas.microsoft.com/office/excel/2006/main">
          <x14:cfRule type="dataBar" id="{E2EB6C7F-1365-48B9-9D3F-C97B9D5F71CA}">
            <x14:dataBar minLength="0" maxLength="100" border="1" gradient="0">
              <x14:cfvo type="num">
                <xm:f>0</xm:f>
              </x14:cfvo>
              <x14:cfvo type="num">
                <xm:f>1</xm:f>
              </x14:cfvo>
              <x14:borderColor theme="0"/>
              <x14:negativeFillColor rgb="FFFF0000"/>
              <x14:axisColor rgb="FF000000"/>
            </x14:dataBar>
          </x14:cfRule>
          <xm:sqref>J2940</xm:sqref>
        </x14:conditionalFormatting>
        <x14:conditionalFormatting xmlns:xm="http://schemas.microsoft.com/office/excel/2006/main">
          <x14:cfRule type="dataBar" id="{075E02B0-153F-475E-8BDA-D14CD4AA998B}">
            <x14:dataBar minLength="0" maxLength="100" border="1" gradient="0">
              <x14:cfvo type="num">
                <xm:f>0</xm:f>
              </x14:cfvo>
              <x14:cfvo type="num">
                <xm:f>1</xm:f>
              </x14:cfvo>
              <x14:borderColor theme="0"/>
              <x14:negativeFillColor rgb="FFFF0000"/>
              <x14:axisColor rgb="FF000000"/>
            </x14:dataBar>
          </x14:cfRule>
          <xm:sqref>J2942</xm:sqref>
        </x14:conditionalFormatting>
        <x14:conditionalFormatting xmlns:xm="http://schemas.microsoft.com/office/excel/2006/main">
          <x14:cfRule type="dataBar" id="{3CFE8401-6D54-4C53-93F2-58E58EB02F6A}">
            <x14:dataBar minLength="0" maxLength="100" border="1" gradient="0">
              <x14:cfvo type="num">
                <xm:f>0</xm:f>
              </x14:cfvo>
              <x14:cfvo type="num">
                <xm:f>1</xm:f>
              </x14:cfvo>
              <x14:borderColor theme="0"/>
              <x14:negativeFillColor rgb="FFFF0000"/>
              <x14:axisColor rgb="FF000000"/>
            </x14:dataBar>
          </x14:cfRule>
          <xm:sqref>J2944</xm:sqref>
        </x14:conditionalFormatting>
        <x14:conditionalFormatting xmlns:xm="http://schemas.microsoft.com/office/excel/2006/main">
          <x14:cfRule type="dataBar" id="{04DF233D-811D-474B-8949-37CE50DF6DFF}">
            <x14:dataBar minLength="0" maxLength="100" border="1" gradient="0">
              <x14:cfvo type="num">
                <xm:f>0</xm:f>
              </x14:cfvo>
              <x14:cfvo type="num">
                <xm:f>1</xm:f>
              </x14:cfvo>
              <x14:borderColor theme="0"/>
              <x14:negativeFillColor rgb="FFFF0000"/>
              <x14:axisColor rgb="FF000000"/>
            </x14:dataBar>
          </x14:cfRule>
          <xm:sqref>J2946</xm:sqref>
        </x14:conditionalFormatting>
        <x14:conditionalFormatting xmlns:xm="http://schemas.microsoft.com/office/excel/2006/main">
          <x14:cfRule type="dataBar" id="{4EBE19A1-E9DD-4B7A-B776-933C3F8FC332}">
            <x14:dataBar minLength="0" maxLength="100" border="1" gradient="0">
              <x14:cfvo type="num">
                <xm:f>0</xm:f>
              </x14:cfvo>
              <x14:cfvo type="num">
                <xm:f>1</xm:f>
              </x14:cfvo>
              <x14:borderColor theme="0"/>
              <x14:negativeFillColor rgb="FFFF0000"/>
              <x14:axisColor rgb="FF000000"/>
            </x14:dataBar>
          </x14:cfRule>
          <xm:sqref>J2948</xm:sqref>
        </x14:conditionalFormatting>
        <x14:conditionalFormatting xmlns:xm="http://schemas.microsoft.com/office/excel/2006/main">
          <x14:cfRule type="dataBar" id="{869FACDD-65CA-48C2-8F7A-77D6BF8EE546}">
            <x14:dataBar minLength="0" maxLength="100" border="1" gradient="0">
              <x14:cfvo type="num">
                <xm:f>0</xm:f>
              </x14:cfvo>
              <x14:cfvo type="num">
                <xm:f>1</xm:f>
              </x14:cfvo>
              <x14:borderColor theme="0"/>
              <x14:negativeFillColor rgb="FFFF0000"/>
              <x14:axisColor rgb="FF000000"/>
            </x14:dataBar>
          </x14:cfRule>
          <xm:sqref>J2950</xm:sqref>
        </x14:conditionalFormatting>
        <x14:conditionalFormatting xmlns:xm="http://schemas.microsoft.com/office/excel/2006/main">
          <x14:cfRule type="dataBar" id="{23AB3BDE-CC15-48F5-83F7-C546DB7E5581}">
            <x14:dataBar minLength="0" maxLength="100" border="1" gradient="0">
              <x14:cfvo type="num">
                <xm:f>0</xm:f>
              </x14:cfvo>
              <x14:cfvo type="num">
                <xm:f>1</xm:f>
              </x14:cfvo>
              <x14:borderColor theme="0"/>
              <x14:negativeFillColor rgb="FFFF0000"/>
              <x14:axisColor rgb="FF000000"/>
            </x14:dataBar>
          </x14:cfRule>
          <xm:sqref>J2952</xm:sqref>
        </x14:conditionalFormatting>
        <x14:conditionalFormatting xmlns:xm="http://schemas.microsoft.com/office/excel/2006/main">
          <x14:cfRule type="dataBar" id="{3B5958DD-1DC2-4CCA-9B0B-F32A061F9DAC}">
            <x14:dataBar minLength="0" maxLength="100" border="1" gradient="0">
              <x14:cfvo type="num">
                <xm:f>0</xm:f>
              </x14:cfvo>
              <x14:cfvo type="num">
                <xm:f>1</xm:f>
              </x14:cfvo>
              <x14:borderColor theme="0"/>
              <x14:negativeFillColor rgb="FFFF0000"/>
              <x14:axisColor rgb="FF000000"/>
            </x14:dataBar>
          </x14:cfRule>
          <xm:sqref>J2954</xm:sqref>
        </x14:conditionalFormatting>
        <x14:conditionalFormatting xmlns:xm="http://schemas.microsoft.com/office/excel/2006/main">
          <x14:cfRule type="dataBar" id="{4BB620CF-F1D9-427F-A793-09CF8C86DB35}">
            <x14:dataBar minLength="0" maxLength="100" border="1" gradient="0">
              <x14:cfvo type="num">
                <xm:f>0</xm:f>
              </x14:cfvo>
              <x14:cfvo type="num">
                <xm:f>1</xm:f>
              </x14:cfvo>
              <x14:borderColor theme="0"/>
              <x14:negativeFillColor rgb="FFFF0000"/>
              <x14:axisColor rgb="FF000000"/>
            </x14:dataBar>
          </x14:cfRule>
          <xm:sqref>J2956</xm:sqref>
        </x14:conditionalFormatting>
        <x14:conditionalFormatting xmlns:xm="http://schemas.microsoft.com/office/excel/2006/main">
          <x14:cfRule type="dataBar" id="{9689CBCC-628D-4091-BBE4-03B5A65DBB96}">
            <x14:dataBar minLength="0" maxLength="100" border="1" gradient="0">
              <x14:cfvo type="num">
                <xm:f>0</xm:f>
              </x14:cfvo>
              <x14:cfvo type="num">
                <xm:f>1</xm:f>
              </x14:cfvo>
              <x14:borderColor theme="0"/>
              <x14:negativeFillColor rgb="FFFF0000"/>
              <x14:axisColor rgb="FF000000"/>
            </x14:dataBar>
          </x14:cfRule>
          <xm:sqref>J2960</xm:sqref>
        </x14:conditionalFormatting>
        <x14:conditionalFormatting xmlns:xm="http://schemas.microsoft.com/office/excel/2006/main">
          <x14:cfRule type="dataBar" id="{88FFC86E-07B0-484A-9F1F-A0FD4B788A2E}">
            <x14:dataBar minLength="0" maxLength="100" border="1" gradient="0">
              <x14:cfvo type="num">
                <xm:f>0</xm:f>
              </x14:cfvo>
              <x14:cfvo type="num">
                <xm:f>1</xm:f>
              </x14:cfvo>
              <x14:borderColor theme="0"/>
              <x14:negativeFillColor rgb="FFFF0000"/>
              <x14:axisColor rgb="FF000000"/>
            </x14:dataBar>
          </x14:cfRule>
          <xm:sqref>J2962 J2964 J2966 J2968</xm:sqref>
        </x14:conditionalFormatting>
        <x14:conditionalFormatting xmlns:xm="http://schemas.microsoft.com/office/excel/2006/main">
          <x14:cfRule type="dataBar" id="{ADF9F529-4EAC-4D8F-A832-C0CD9A941140}">
            <x14:dataBar minLength="0" maxLength="100" border="1" gradient="0">
              <x14:cfvo type="num">
                <xm:f>0</xm:f>
              </x14:cfvo>
              <x14:cfvo type="num">
                <xm:f>1</xm:f>
              </x14:cfvo>
              <x14:borderColor theme="0"/>
              <x14:negativeFillColor rgb="FFFF0000"/>
              <x14:axisColor rgb="FF000000"/>
            </x14:dataBar>
          </x14:cfRule>
          <xm:sqref>J2970 J2972 J2974 J2976</xm:sqref>
        </x14:conditionalFormatting>
        <x14:conditionalFormatting xmlns:xm="http://schemas.microsoft.com/office/excel/2006/main">
          <x14:cfRule type="dataBar" id="{5AF37CB7-C170-4CE9-A50C-AB8392F53BFF}">
            <x14:dataBar minLength="0" maxLength="100" border="1" gradient="0">
              <x14:cfvo type="num">
                <xm:f>0</xm:f>
              </x14:cfvo>
              <x14:cfvo type="num">
                <xm:f>1</xm:f>
              </x14:cfvo>
              <x14:borderColor theme="0"/>
              <x14:negativeFillColor rgb="FFFF0000"/>
              <x14:axisColor rgb="FF000000"/>
            </x14:dataBar>
          </x14:cfRule>
          <xm:sqref>J2978 J2980 J2982 J2984</xm:sqref>
        </x14:conditionalFormatting>
        <x14:conditionalFormatting xmlns:xm="http://schemas.microsoft.com/office/excel/2006/main">
          <x14:cfRule type="dataBar" id="{2809B7E4-0EA0-4E8D-A299-847BD7F64EB4}">
            <x14:dataBar minLength="0" maxLength="100" border="1" gradient="0">
              <x14:cfvo type="num">
                <xm:f>0</xm:f>
              </x14:cfvo>
              <x14:cfvo type="num">
                <xm:f>1</xm:f>
              </x14:cfvo>
              <x14:borderColor theme="0"/>
              <x14:negativeFillColor rgb="FFFF0000"/>
              <x14:axisColor rgb="FF000000"/>
            </x14:dataBar>
          </x14:cfRule>
          <xm:sqref>J2986 J2988 J2990 J2992</xm:sqref>
        </x14:conditionalFormatting>
        <x14:conditionalFormatting xmlns:xm="http://schemas.microsoft.com/office/excel/2006/main">
          <x14:cfRule type="dataBar" id="{B929C9DE-12E2-4DF8-BCB9-6FF8E8959E8D}">
            <x14:dataBar minLength="0" maxLength="100" border="1" gradient="0">
              <x14:cfvo type="num">
                <xm:f>0</xm:f>
              </x14:cfvo>
              <x14:cfvo type="num">
                <xm:f>1</xm:f>
              </x14:cfvo>
              <x14:borderColor theme="0"/>
              <x14:negativeFillColor rgb="FFFF0000"/>
              <x14:axisColor rgb="FF000000"/>
            </x14:dataBar>
          </x14:cfRule>
          <xm:sqref>J2994 J2996 J2998 J3000</xm:sqref>
        </x14:conditionalFormatting>
        <x14:conditionalFormatting xmlns:xm="http://schemas.microsoft.com/office/excel/2006/main">
          <x14:cfRule type="dataBar" id="{AFA6BB47-4CDC-4739-8273-A06D6F8507FA}">
            <x14:dataBar minLength="0" maxLength="100" border="1" gradient="0">
              <x14:cfvo type="num">
                <xm:f>0</xm:f>
              </x14:cfvo>
              <x14:cfvo type="num">
                <xm:f>1</xm:f>
              </x14:cfvo>
              <x14:borderColor theme="0"/>
              <x14:negativeFillColor rgb="FFFF0000"/>
              <x14:axisColor rgb="FF000000"/>
            </x14:dataBar>
          </x14:cfRule>
          <xm:sqref>J3002 J3004 J3006 J3008</xm:sqref>
        </x14:conditionalFormatting>
        <x14:conditionalFormatting xmlns:xm="http://schemas.microsoft.com/office/excel/2006/main">
          <x14:cfRule type="dataBar" id="{D45AB720-44A1-45DE-A782-D0EA21270D3D}">
            <x14:dataBar minLength="0" maxLength="100" border="1" gradient="0">
              <x14:cfvo type="num">
                <xm:f>0</xm:f>
              </x14:cfvo>
              <x14:cfvo type="num">
                <xm:f>1</xm:f>
              </x14:cfvo>
              <x14:borderColor theme="0"/>
              <x14:negativeFillColor rgb="FFFF0000"/>
              <x14:axisColor rgb="FF000000"/>
            </x14:dataBar>
          </x14:cfRule>
          <xm:sqref>J3010 J3012 J3014 J3016</xm:sqref>
        </x14:conditionalFormatting>
        <x14:conditionalFormatting xmlns:xm="http://schemas.microsoft.com/office/excel/2006/main">
          <x14:cfRule type="dataBar" id="{C197024E-B395-4BCA-8904-FB334D368591}">
            <x14:dataBar minLength="0" maxLength="100" border="1" gradient="0">
              <x14:cfvo type="num">
                <xm:f>0</xm:f>
              </x14:cfvo>
              <x14:cfvo type="num">
                <xm:f>1</xm:f>
              </x14:cfvo>
              <x14:borderColor theme="0"/>
              <x14:negativeFillColor rgb="FFFF0000"/>
              <x14:axisColor rgb="FF000000"/>
            </x14:dataBar>
          </x14:cfRule>
          <xm:sqref>J3018 J3020 J3022 J3024</xm:sqref>
        </x14:conditionalFormatting>
        <x14:conditionalFormatting xmlns:xm="http://schemas.microsoft.com/office/excel/2006/main">
          <x14:cfRule type="dataBar" id="{D9676B9E-B6C9-4E65-AF7B-F55E8DF36F0D}">
            <x14:dataBar minLength="0" maxLength="100" border="1" gradient="0">
              <x14:cfvo type="num">
                <xm:f>0</xm:f>
              </x14:cfvo>
              <x14:cfvo type="num">
                <xm:f>1</xm:f>
              </x14:cfvo>
              <x14:borderColor theme="0"/>
              <x14:negativeFillColor rgb="FFFF0000"/>
              <x14:axisColor rgb="FF000000"/>
            </x14:dataBar>
          </x14:cfRule>
          <xm:sqref>J3026 J3028</xm:sqref>
        </x14:conditionalFormatting>
        <x14:conditionalFormatting xmlns:xm="http://schemas.microsoft.com/office/excel/2006/main">
          <x14:cfRule type="dataBar" id="{2E4D837C-5DC0-49EE-A5BF-FAB15C98650F}">
            <x14:dataBar minLength="0" maxLength="100" border="1" gradient="0">
              <x14:cfvo type="num">
                <xm:f>0</xm:f>
              </x14:cfvo>
              <x14:cfvo type="num">
                <xm:f>1</xm:f>
              </x14:cfvo>
              <x14:borderColor theme="0"/>
              <x14:negativeFillColor rgb="FFFF0000"/>
              <x14:axisColor rgb="FF000000"/>
            </x14:dataBar>
          </x14:cfRule>
          <xm:sqref>J3030 J3032 J3034 J3036</xm:sqref>
        </x14:conditionalFormatting>
        <x14:conditionalFormatting xmlns:xm="http://schemas.microsoft.com/office/excel/2006/main">
          <x14:cfRule type="dataBar" id="{E5445A22-7B55-4256-BDA2-81BD69A494E3}">
            <x14:dataBar minLength="0" maxLength="100" border="1" gradient="0">
              <x14:cfvo type="num">
                <xm:f>0</xm:f>
              </x14:cfvo>
              <x14:cfvo type="num">
                <xm:f>1</xm:f>
              </x14:cfvo>
              <x14:borderColor theme="0"/>
              <x14:negativeFillColor rgb="FFFF0000"/>
              <x14:axisColor rgb="FF000000"/>
            </x14:dataBar>
          </x14:cfRule>
          <xm:sqref>J3038 J3040 J3042 J3044</xm:sqref>
        </x14:conditionalFormatting>
        <x14:conditionalFormatting xmlns:xm="http://schemas.microsoft.com/office/excel/2006/main">
          <x14:cfRule type="dataBar" id="{D3017AD7-2D80-4CDA-A6FA-D5CD4796EA7B}">
            <x14:dataBar minLength="0" maxLength="100" border="1" gradient="0">
              <x14:cfvo type="num">
                <xm:f>0</xm:f>
              </x14:cfvo>
              <x14:cfvo type="num">
                <xm:f>1</xm:f>
              </x14:cfvo>
              <x14:borderColor theme="0"/>
              <x14:negativeFillColor rgb="FFFF0000"/>
              <x14:axisColor rgb="FF000000"/>
            </x14:dataBar>
          </x14:cfRule>
          <xm:sqref>J3046 J3048</xm:sqref>
        </x14:conditionalFormatting>
        <x14:conditionalFormatting xmlns:xm="http://schemas.microsoft.com/office/excel/2006/main">
          <x14:cfRule type="dataBar" id="{B3B8B3ED-339E-4E6A-8989-9FB1EDFA2245}">
            <x14:dataBar minLength="0" maxLength="100" border="1" gradient="0">
              <x14:cfvo type="num">
                <xm:f>0</xm:f>
              </x14:cfvo>
              <x14:cfvo type="num">
                <xm:f>1</xm:f>
              </x14:cfvo>
              <x14:borderColor theme="0"/>
              <x14:negativeFillColor rgb="FFFF0000"/>
              <x14:axisColor rgb="FF000000"/>
            </x14:dataBar>
          </x14:cfRule>
          <xm:sqref>J3050 J3052 J3054 J3056</xm:sqref>
        </x14:conditionalFormatting>
        <x14:conditionalFormatting xmlns:xm="http://schemas.microsoft.com/office/excel/2006/main">
          <x14:cfRule type="dataBar" id="{42F4DCDD-5CF4-4D48-833B-678B0F96E4B1}">
            <x14:dataBar minLength="0" maxLength="100" border="1" gradient="0">
              <x14:cfvo type="num">
                <xm:f>0</xm:f>
              </x14:cfvo>
              <x14:cfvo type="num">
                <xm:f>1</xm:f>
              </x14:cfvo>
              <x14:borderColor theme="0"/>
              <x14:negativeFillColor rgb="FFFF0000"/>
              <x14:axisColor rgb="FF000000"/>
            </x14:dataBar>
          </x14:cfRule>
          <xm:sqref>J3058</xm:sqref>
        </x14:conditionalFormatting>
        <x14:conditionalFormatting xmlns:xm="http://schemas.microsoft.com/office/excel/2006/main">
          <x14:cfRule type="dataBar" id="{F4E13E0A-CB98-4170-B4B8-1B8D289071D5}">
            <x14:dataBar minLength="0" maxLength="100" border="1" gradient="0">
              <x14:cfvo type="num">
                <xm:f>0</xm:f>
              </x14:cfvo>
              <x14:cfvo type="num">
                <xm:f>1</xm:f>
              </x14:cfvo>
              <x14:borderColor theme="0"/>
              <x14:negativeFillColor rgb="FFFF0000"/>
              <x14:axisColor rgb="FF000000"/>
            </x14:dataBar>
          </x14:cfRule>
          <xm:sqref>J3060</xm:sqref>
        </x14:conditionalFormatting>
        <x14:conditionalFormatting xmlns:xm="http://schemas.microsoft.com/office/excel/2006/main">
          <x14:cfRule type="dataBar" id="{E7FADC48-3229-421E-BC95-A4A5BDF75B70}">
            <x14:dataBar minLength="0" maxLength="100" border="1" gradient="0">
              <x14:cfvo type="num">
                <xm:f>0</xm:f>
              </x14:cfvo>
              <x14:cfvo type="num">
                <xm:f>1</xm:f>
              </x14:cfvo>
              <x14:borderColor theme="0"/>
              <x14:negativeFillColor rgb="FFFF0000"/>
              <x14:axisColor rgb="FF000000"/>
            </x14:dataBar>
          </x14:cfRule>
          <xm:sqref>J3063</xm:sqref>
        </x14:conditionalFormatting>
        <x14:conditionalFormatting xmlns:xm="http://schemas.microsoft.com/office/excel/2006/main">
          <x14:cfRule type="dataBar" id="{B9DDC410-5735-43AB-9C62-487BDB3572A9}">
            <x14:dataBar minLength="0" maxLength="100" border="1" gradient="0">
              <x14:cfvo type="num">
                <xm:f>0</xm:f>
              </x14:cfvo>
              <x14:cfvo type="num">
                <xm:f>1</xm:f>
              </x14:cfvo>
              <x14:borderColor theme="0"/>
              <x14:negativeFillColor rgb="FFFF0000"/>
              <x14:axisColor rgb="FF000000"/>
            </x14:dataBar>
          </x14:cfRule>
          <xm:sqref>J3065 J3067 J3069</xm:sqref>
        </x14:conditionalFormatting>
        <x14:conditionalFormatting xmlns:xm="http://schemas.microsoft.com/office/excel/2006/main">
          <x14:cfRule type="dataBar" id="{10B41F4A-2503-4402-A595-7A4EF1EA5C6B}">
            <x14:dataBar minLength="0" maxLength="100" border="1" gradient="0">
              <x14:cfvo type="num">
                <xm:f>0</xm:f>
              </x14:cfvo>
              <x14:cfvo type="num">
                <xm:f>1</xm:f>
              </x14:cfvo>
              <x14:borderColor theme="0"/>
              <x14:negativeFillColor rgb="FFFF0000"/>
              <x14:axisColor rgb="FF000000"/>
            </x14:dataBar>
          </x14:cfRule>
          <xm:sqref>J3071</xm:sqref>
        </x14:conditionalFormatting>
        <x14:conditionalFormatting xmlns:xm="http://schemas.microsoft.com/office/excel/2006/main">
          <x14:cfRule type="dataBar" id="{A6293A75-3D3C-484C-A120-943FB3E09E3D}">
            <x14:dataBar minLength="0" maxLength="100" border="1" gradient="0">
              <x14:cfvo type="num">
                <xm:f>0</xm:f>
              </x14:cfvo>
              <x14:cfvo type="num">
                <xm:f>1</xm:f>
              </x14:cfvo>
              <x14:borderColor theme="0"/>
              <x14:negativeFillColor rgb="FFFF0000"/>
              <x14:axisColor rgb="FF000000"/>
            </x14:dataBar>
          </x14:cfRule>
          <xm:sqref>J3073 J3075</xm:sqref>
        </x14:conditionalFormatting>
        <x14:conditionalFormatting xmlns:xm="http://schemas.microsoft.com/office/excel/2006/main">
          <x14:cfRule type="dataBar" id="{799D9F1F-527B-4758-85C4-704A3AFE159B}">
            <x14:dataBar minLength="0" maxLength="100" border="1" gradient="0">
              <x14:cfvo type="num">
                <xm:f>0</xm:f>
              </x14:cfvo>
              <x14:cfvo type="num">
                <xm:f>1</xm:f>
              </x14:cfvo>
              <x14:borderColor theme="0"/>
              <x14:negativeFillColor rgb="FFFF0000"/>
              <x14:axisColor rgb="FF000000"/>
            </x14:dataBar>
          </x14:cfRule>
          <xm:sqref>J3077 J3079 J3081 J3083</xm:sqref>
        </x14:conditionalFormatting>
        <x14:conditionalFormatting xmlns:xm="http://schemas.microsoft.com/office/excel/2006/main">
          <x14:cfRule type="dataBar" id="{C6928DF2-609C-47AF-A3E2-3C637B008EC1}">
            <x14:dataBar minLength="0" maxLength="100" border="1" gradient="0">
              <x14:cfvo type="num">
                <xm:f>0</xm:f>
              </x14:cfvo>
              <x14:cfvo type="num">
                <xm:f>1</xm:f>
              </x14:cfvo>
              <x14:borderColor theme="0"/>
              <x14:negativeFillColor rgb="FFFF0000"/>
              <x14:axisColor rgb="FF000000"/>
            </x14:dataBar>
          </x14:cfRule>
          <xm:sqref>J3085 J3087 J3089</xm:sqref>
        </x14:conditionalFormatting>
        <x14:conditionalFormatting xmlns:xm="http://schemas.microsoft.com/office/excel/2006/main">
          <x14:cfRule type="dataBar" id="{17A70F3B-95B3-4DD3-A813-EF4645355818}">
            <x14:dataBar minLength="0" maxLength="100" border="1" gradient="0">
              <x14:cfvo type="num">
                <xm:f>0</xm:f>
              </x14:cfvo>
              <x14:cfvo type="num">
                <xm:f>1</xm:f>
              </x14:cfvo>
              <x14:borderColor theme="0"/>
              <x14:negativeFillColor rgb="FFFF0000"/>
              <x14:axisColor rgb="FF000000"/>
            </x14:dataBar>
          </x14:cfRule>
          <xm:sqref>J3091</xm:sqref>
        </x14:conditionalFormatting>
        <x14:conditionalFormatting xmlns:xm="http://schemas.microsoft.com/office/excel/2006/main">
          <x14:cfRule type="dataBar" id="{73EAB6AF-018E-4ABC-B390-D5CDD01AC20B}">
            <x14:dataBar minLength="0" maxLength="100" border="1" gradient="0">
              <x14:cfvo type="num">
                <xm:f>0</xm:f>
              </x14:cfvo>
              <x14:cfvo type="num">
                <xm:f>1</xm:f>
              </x14:cfvo>
              <x14:borderColor theme="0"/>
              <x14:negativeFillColor rgb="FFFF0000"/>
              <x14:axisColor rgb="FF000000"/>
            </x14:dataBar>
          </x14:cfRule>
          <xm:sqref>J3093</xm:sqref>
        </x14:conditionalFormatting>
        <x14:conditionalFormatting xmlns:xm="http://schemas.microsoft.com/office/excel/2006/main">
          <x14:cfRule type="dataBar" id="{AF624DB0-898C-48A7-B3BF-7E9E31C69705}">
            <x14:dataBar minLength="0" maxLength="100" border="1" gradient="0">
              <x14:cfvo type="num">
                <xm:f>0</xm:f>
              </x14:cfvo>
              <x14:cfvo type="num">
                <xm:f>1</xm:f>
              </x14:cfvo>
              <x14:borderColor theme="0"/>
              <x14:negativeFillColor rgb="FFFF0000"/>
              <x14:axisColor rgb="FF000000"/>
            </x14:dataBar>
          </x14:cfRule>
          <xm:sqref>J3095</xm:sqref>
        </x14:conditionalFormatting>
        <x14:conditionalFormatting xmlns:xm="http://schemas.microsoft.com/office/excel/2006/main">
          <x14:cfRule type="dataBar" id="{091CA060-1292-4790-AA3B-54E9861C7F38}">
            <x14:dataBar minLength="0" maxLength="100" border="1" gradient="0">
              <x14:cfvo type="num">
                <xm:f>0</xm:f>
              </x14:cfvo>
              <x14:cfvo type="num">
                <xm:f>1</xm:f>
              </x14:cfvo>
              <x14:borderColor theme="0"/>
              <x14:negativeFillColor rgb="FFFF0000"/>
              <x14:axisColor rgb="FF000000"/>
            </x14:dataBar>
          </x14:cfRule>
          <xm:sqref>J3097</xm:sqref>
        </x14:conditionalFormatting>
        <x14:conditionalFormatting xmlns:xm="http://schemas.microsoft.com/office/excel/2006/main">
          <x14:cfRule type="dataBar" id="{786A960B-D3B1-4559-93DC-15ECFCC17F35}">
            <x14:dataBar minLength="0" maxLength="100" border="1" gradient="0">
              <x14:cfvo type="num">
                <xm:f>0</xm:f>
              </x14:cfvo>
              <x14:cfvo type="num">
                <xm:f>1</xm:f>
              </x14:cfvo>
              <x14:borderColor theme="0"/>
              <x14:negativeFillColor rgb="FFFF0000"/>
              <x14:axisColor rgb="FF000000"/>
            </x14:dataBar>
          </x14:cfRule>
          <xm:sqref>J3101</xm:sqref>
        </x14:conditionalFormatting>
        <x14:conditionalFormatting xmlns:xm="http://schemas.microsoft.com/office/excel/2006/main">
          <x14:cfRule type="dataBar" id="{5F4F5063-6C34-44AA-BDF6-82A757107A1A}">
            <x14:dataBar minLength="0" maxLength="100" border="1" gradient="0">
              <x14:cfvo type="num">
                <xm:f>0</xm:f>
              </x14:cfvo>
              <x14:cfvo type="num">
                <xm:f>1</xm:f>
              </x14:cfvo>
              <x14:borderColor theme="0"/>
              <x14:negativeFillColor rgb="FFFF0000"/>
              <x14:axisColor rgb="FF000000"/>
            </x14:dataBar>
          </x14:cfRule>
          <xm:sqref>J3103</xm:sqref>
        </x14:conditionalFormatting>
        <x14:conditionalFormatting xmlns:xm="http://schemas.microsoft.com/office/excel/2006/main">
          <x14:cfRule type="dataBar" id="{B1717051-A5E0-4A17-AB3F-393EFCEFA7C1}">
            <x14:dataBar minLength="0" maxLength="100" border="1" gradient="0">
              <x14:cfvo type="num">
                <xm:f>0</xm:f>
              </x14:cfvo>
              <x14:cfvo type="num">
                <xm:f>1</xm:f>
              </x14:cfvo>
              <x14:borderColor theme="0"/>
              <x14:negativeFillColor rgb="FFFF0000"/>
              <x14:axisColor rgb="FF000000"/>
            </x14:dataBar>
          </x14:cfRule>
          <xm:sqref>J3105 J3107</xm:sqref>
        </x14:conditionalFormatting>
        <x14:conditionalFormatting xmlns:xm="http://schemas.microsoft.com/office/excel/2006/main">
          <x14:cfRule type="dataBar" id="{C8530A5D-553F-4892-85E1-1EFD04942BB8}">
            <x14:dataBar minLength="0" maxLength="100" border="1" gradient="0">
              <x14:cfvo type="num">
                <xm:f>0</xm:f>
              </x14:cfvo>
              <x14:cfvo type="num">
                <xm:f>1</xm:f>
              </x14:cfvo>
              <x14:borderColor theme="0"/>
              <x14:negativeFillColor rgb="FFFF0000"/>
              <x14:axisColor rgb="FF000000"/>
            </x14:dataBar>
          </x14:cfRule>
          <xm:sqref>J3109</xm:sqref>
        </x14:conditionalFormatting>
        <x14:conditionalFormatting xmlns:xm="http://schemas.microsoft.com/office/excel/2006/main">
          <x14:cfRule type="dataBar" id="{AD486823-73CD-491E-990F-29695C441267}">
            <x14:dataBar minLength="0" maxLength="100" border="1" gradient="0">
              <x14:cfvo type="num">
                <xm:f>0</xm:f>
              </x14:cfvo>
              <x14:cfvo type="num">
                <xm:f>1</xm:f>
              </x14:cfvo>
              <x14:borderColor theme="0"/>
              <x14:negativeFillColor rgb="FFFF0000"/>
              <x14:axisColor rgb="FF000000"/>
            </x14:dataBar>
          </x14:cfRule>
          <xm:sqref>J3111 J3113</xm:sqref>
        </x14:conditionalFormatting>
        <x14:conditionalFormatting xmlns:xm="http://schemas.microsoft.com/office/excel/2006/main">
          <x14:cfRule type="dataBar" id="{80296BCE-FB13-45A2-BCB8-6CFEE06FD828}">
            <x14:dataBar minLength="0" maxLength="100" border="1" gradient="0">
              <x14:cfvo type="num">
                <xm:f>0</xm:f>
              </x14:cfvo>
              <x14:cfvo type="num">
                <xm:f>1</xm:f>
              </x14:cfvo>
              <x14:borderColor theme="0"/>
              <x14:negativeFillColor rgb="FFFF0000"/>
              <x14:axisColor rgb="FF000000"/>
            </x14:dataBar>
          </x14:cfRule>
          <xm:sqref>J3115</xm:sqref>
        </x14:conditionalFormatting>
        <x14:conditionalFormatting xmlns:xm="http://schemas.microsoft.com/office/excel/2006/main">
          <x14:cfRule type="dataBar" id="{32CA4238-7956-4E75-9BA6-A55264D3FB0A}">
            <x14:dataBar minLength="0" maxLength="100" border="1" gradient="0">
              <x14:cfvo type="num">
                <xm:f>0</xm:f>
              </x14:cfvo>
              <x14:cfvo type="num">
                <xm:f>1</xm:f>
              </x14:cfvo>
              <x14:borderColor theme="0"/>
              <x14:negativeFillColor rgb="FFFF0000"/>
              <x14:axisColor rgb="FF000000"/>
            </x14:dataBar>
          </x14:cfRule>
          <xm:sqref>J3117 J3119</xm:sqref>
        </x14:conditionalFormatting>
        <x14:conditionalFormatting xmlns:xm="http://schemas.microsoft.com/office/excel/2006/main">
          <x14:cfRule type="dataBar" id="{5B5589CB-A87A-45C9-A4D7-F16086C6E140}">
            <x14:dataBar minLength="0" maxLength="100" border="1" gradient="0">
              <x14:cfvo type="num">
                <xm:f>0</xm:f>
              </x14:cfvo>
              <x14:cfvo type="num">
                <xm:f>1</xm:f>
              </x14:cfvo>
              <x14:borderColor theme="0"/>
              <x14:negativeFillColor rgb="FFFF0000"/>
              <x14:axisColor rgb="FF000000"/>
            </x14:dataBar>
          </x14:cfRule>
          <xm:sqref>J3121</xm:sqref>
        </x14:conditionalFormatting>
        <x14:conditionalFormatting xmlns:xm="http://schemas.microsoft.com/office/excel/2006/main">
          <x14:cfRule type="dataBar" id="{5DA6129A-85C0-4C5E-8B87-FF11E32791C6}">
            <x14:dataBar minLength="0" maxLength="100" border="1" gradient="0">
              <x14:cfvo type="num">
                <xm:f>0</xm:f>
              </x14:cfvo>
              <x14:cfvo type="num">
                <xm:f>1</xm:f>
              </x14:cfvo>
              <x14:borderColor theme="0"/>
              <x14:negativeFillColor rgb="FFFF0000"/>
              <x14:axisColor rgb="FF000000"/>
            </x14:dataBar>
          </x14:cfRule>
          <xm:sqref>J3123 J3125</xm:sqref>
        </x14:conditionalFormatting>
        <x14:conditionalFormatting xmlns:xm="http://schemas.microsoft.com/office/excel/2006/main">
          <x14:cfRule type="dataBar" id="{EC569ED8-2E42-4822-8773-44726284A44C}">
            <x14:dataBar minLength="0" maxLength="100" border="1" gradient="0">
              <x14:cfvo type="num">
                <xm:f>0</xm:f>
              </x14:cfvo>
              <x14:cfvo type="num">
                <xm:f>1</xm:f>
              </x14:cfvo>
              <x14:borderColor theme="0"/>
              <x14:negativeFillColor rgb="FFFF0000"/>
              <x14:axisColor rgb="FF000000"/>
            </x14:dataBar>
          </x14:cfRule>
          <xm:sqref>J3127 J3129</xm:sqref>
        </x14:conditionalFormatting>
        <x14:conditionalFormatting xmlns:xm="http://schemas.microsoft.com/office/excel/2006/main">
          <x14:cfRule type="dataBar" id="{5D89F368-1400-4246-902C-DBB91863FD47}">
            <x14:dataBar minLength="0" maxLength="100" border="1" gradient="0">
              <x14:cfvo type="num">
                <xm:f>0</xm:f>
              </x14:cfvo>
              <x14:cfvo type="num">
                <xm:f>1</xm:f>
              </x14:cfvo>
              <x14:borderColor theme="0"/>
              <x14:negativeFillColor rgb="FFFF0000"/>
              <x14:axisColor rgb="FF000000"/>
            </x14:dataBar>
          </x14:cfRule>
          <xm:sqref>J3131</xm:sqref>
        </x14:conditionalFormatting>
        <x14:conditionalFormatting xmlns:xm="http://schemas.microsoft.com/office/excel/2006/main">
          <x14:cfRule type="dataBar" id="{E61A1E5F-2F39-4145-935E-7CC363EC2D61}">
            <x14:dataBar minLength="0" maxLength="100" border="1" gradient="0">
              <x14:cfvo type="num">
                <xm:f>0</xm:f>
              </x14:cfvo>
              <x14:cfvo type="num">
                <xm:f>1</xm:f>
              </x14:cfvo>
              <x14:borderColor theme="0"/>
              <x14:negativeFillColor rgb="FFFF0000"/>
              <x14:axisColor rgb="FF000000"/>
            </x14:dataBar>
          </x14:cfRule>
          <xm:sqref>J3133 J3135</xm:sqref>
        </x14:conditionalFormatting>
        <x14:conditionalFormatting xmlns:xm="http://schemas.microsoft.com/office/excel/2006/main">
          <x14:cfRule type="dataBar" id="{EA2219F8-1436-4041-B8F8-28A75EE54275}">
            <x14:dataBar minLength="0" maxLength="100" border="1" gradient="0">
              <x14:cfvo type="num">
                <xm:f>0</xm:f>
              </x14:cfvo>
              <x14:cfvo type="num">
                <xm:f>1</xm:f>
              </x14:cfvo>
              <x14:borderColor theme="0"/>
              <x14:negativeFillColor rgb="FFFF0000"/>
              <x14:axisColor rgb="FF000000"/>
            </x14:dataBar>
          </x14:cfRule>
          <xm:sqref>J3137</xm:sqref>
        </x14:conditionalFormatting>
        <x14:conditionalFormatting xmlns:xm="http://schemas.microsoft.com/office/excel/2006/main">
          <x14:cfRule type="dataBar" id="{E57B3D41-E1B1-4553-9910-28C534E91AED}">
            <x14:dataBar minLength="0" maxLength="100" border="1" gradient="0">
              <x14:cfvo type="num">
                <xm:f>0</xm:f>
              </x14:cfvo>
              <x14:cfvo type="num">
                <xm:f>1</xm:f>
              </x14:cfvo>
              <x14:borderColor theme="0"/>
              <x14:negativeFillColor rgb="FFFF0000"/>
              <x14:axisColor rgb="FF000000"/>
            </x14:dataBar>
          </x14:cfRule>
          <xm:sqref>J3139 J3141</xm:sqref>
        </x14:conditionalFormatting>
        <x14:conditionalFormatting xmlns:xm="http://schemas.microsoft.com/office/excel/2006/main">
          <x14:cfRule type="dataBar" id="{F0758967-93A8-49FD-92EA-8CC4E6ACD392}">
            <x14:dataBar minLength="0" maxLength="100" border="1" gradient="0">
              <x14:cfvo type="num">
                <xm:f>0</xm:f>
              </x14:cfvo>
              <x14:cfvo type="num">
                <xm:f>1</xm:f>
              </x14:cfvo>
              <x14:borderColor theme="0"/>
              <x14:negativeFillColor rgb="FFFF0000"/>
              <x14:axisColor rgb="FF000000"/>
            </x14:dataBar>
          </x14:cfRule>
          <xm:sqref>J3143</xm:sqref>
        </x14:conditionalFormatting>
        <x14:conditionalFormatting xmlns:xm="http://schemas.microsoft.com/office/excel/2006/main">
          <x14:cfRule type="dataBar" id="{E101E0AD-8B5D-497B-AA54-EA2504986A78}">
            <x14:dataBar minLength="0" maxLength="100" border="1" gradient="0">
              <x14:cfvo type="num">
                <xm:f>0</xm:f>
              </x14:cfvo>
              <x14:cfvo type="num">
                <xm:f>1</xm:f>
              </x14:cfvo>
              <x14:borderColor theme="0"/>
              <x14:negativeFillColor rgb="FFFF0000"/>
              <x14:axisColor rgb="FF000000"/>
            </x14:dataBar>
          </x14:cfRule>
          <xm:sqref>J3145</xm:sqref>
        </x14:conditionalFormatting>
        <x14:conditionalFormatting xmlns:xm="http://schemas.microsoft.com/office/excel/2006/main">
          <x14:cfRule type="dataBar" id="{594F46AA-C1F5-49EC-A39A-71B424381D0D}">
            <x14:dataBar minLength="0" maxLength="100" border="1" gradient="0">
              <x14:cfvo type="num">
                <xm:f>0</xm:f>
              </x14:cfvo>
              <x14:cfvo type="num">
                <xm:f>1</xm:f>
              </x14:cfvo>
              <x14:borderColor theme="0"/>
              <x14:negativeFillColor rgb="FFFF0000"/>
              <x14:axisColor rgb="FF000000"/>
            </x14:dataBar>
          </x14:cfRule>
          <xm:sqref>J3147</xm:sqref>
        </x14:conditionalFormatting>
        <x14:conditionalFormatting xmlns:xm="http://schemas.microsoft.com/office/excel/2006/main">
          <x14:cfRule type="dataBar" id="{3EBD8B0C-36DC-4A79-87BB-766873C3F388}">
            <x14:dataBar minLength="0" maxLength="100" border="1" gradient="0">
              <x14:cfvo type="num">
                <xm:f>0</xm:f>
              </x14:cfvo>
              <x14:cfvo type="num">
                <xm:f>1</xm:f>
              </x14:cfvo>
              <x14:borderColor theme="0"/>
              <x14:negativeFillColor rgb="FFFF0000"/>
              <x14:axisColor rgb="FF000000"/>
            </x14:dataBar>
          </x14:cfRule>
          <xm:sqref>J3151</xm:sqref>
        </x14:conditionalFormatting>
        <x14:conditionalFormatting xmlns:xm="http://schemas.microsoft.com/office/excel/2006/main">
          <x14:cfRule type="dataBar" id="{2A337AE2-B527-4612-9F55-CF9F6675C229}">
            <x14:dataBar minLength="0" maxLength="100" border="1" gradient="0">
              <x14:cfvo type="num">
                <xm:f>0</xm:f>
              </x14:cfvo>
              <x14:cfvo type="num">
                <xm:f>1</xm:f>
              </x14:cfvo>
              <x14:borderColor theme="0"/>
              <x14:negativeFillColor rgb="FFFF0000"/>
              <x14:axisColor rgb="FF000000"/>
            </x14:dataBar>
          </x14:cfRule>
          <xm:sqref>J3153 J3155 J3157</xm:sqref>
        </x14:conditionalFormatting>
        <x14:conditionalFormatting xmlns:xm="http://schemas.microsoft.com/office/excel/2006/main">
          <x14:cfRule type="dataBar" id="{06D54363-1AEB-4EA7-B499-0835372E5DD3}">
            <x14:dataBar minLength="0" maxLength="100" border="1" gradient="0">
              <x14:cfvo type="num">
                <xm:f>0</xm:f>
              </x14:cfvo>
              <x14:cfvo type="num">
                <xm:f>1</xm:f>
              </x14:cfvo>
              <x14:borderColor theme="0"/>
              <x14:negativeFillColor rgb="FFFF0000"/>
              <x14:axisColor rgb="FF000000"/>
            </x14:dataBar>
          </x14:cfRule>
          <xm:sqref>J3159 J3161 J3163</xm:sqref>
        </x14:conditionalFormatting>
        <x14:conditionalFormatting xmlns:xm="http://schemas.microsoft.com/office/excel/2006/main">
          <x14:cfRule type="dataBar" id="{0E1F1DE7-D85D-4638-9F62-BDBB094B3526}">
            <x14:dataBar minLength="0" maxLength="100" border="1" gradient="0">
              <x14:cfvo type="num">
                <xm:f>0</xm:f>
              </x14:cfvo>
              <x14:cfvo type="num">
                <xm:f>1</xm:f>
              </x14:cfvo>
              <x14:borderColor theme="0"/>
              <x14:negativeFillColor rgb="FFFF0000"/>
              <x14:axisColor rgb="FF000000"/>
            </x14:dataBar>
          </x14:cfRule>
          <xm:sqref>J3165 J3167 J3169</xm:sqref>
        </x14:conditionalFormatting>
        <x14:conditionalFormatting xmlns:xm="http://schemas.microsoft.com/office/excel/2006/main">
          <x14:cfRule type="dataBar" id="{7E50B90B-B392-46D3-90C4-70CE5A008010}">
            <x14:dataBar minLength="0" maxLength="100" border="1" gradient="0">
              <x14:cfvo type="num">
                <xm:f>0</xm:f>
              </x14:cfvo>
              <x14:cfvo type="num">
                <xm:f>1</xm:f>
              </x14:cfvo>
              <x14:borderColor theme="0"/>
              <x14:negativeFillColor rgb="FFFF0000"/>
              <x14:axisColor rgb="FF000000"/>
            </x14:dataBar>
          </x14:cfRule>
          <xm:sqref>J3171 J3173 J3175</xm:sqref>
        </x14:conditionalFormatting>
        <x14:conditionalFormatting xmlns:xm="http://schemas.microsoft.com/office/excel/2006/main">
          <x14:cfRule type="dataBar" id="{5984EF63-F23E-4F2A-9B1B-0E0DAA9C1CE4}">
            <x14:dataBar minLength="0" maxLength="100" border="1" gradient="0">
              <x14:cfvo type="num">
                <xm:f>0</xm:f>
              </x14:cfvo>
              <x14:cfvo type="num">
                <xm:f>1</xm:f>
              </x14:cfvo>
              <x14:borderColor theme="0"/>
              <x14:negativeFillColor rgb="FFFF0000"/>
              <x14:axisColor rgb="FF000000"/>
            </x14:dataBar>
          </x14:cfRule>
          <xm:sqref>J3177 J3179 J3181</xm:sqref>
        </x14:conditionalFormatting>
        <x14:conditionalFormatting xmlns:xm="http://schemas.microsoft.com/office/excel/2006/main">
          <x14:cfRule type="dataBar" id="{C7AB8D8C-9F35-41DA-94CB-5B57C0144F10}">
            <x14:dataBar minLength="0" maxLength="100" border="1" gradient="0">
              <x14:cfvo type="num">
                <xm:f>0</xm:f>
              </x14:cfvo>
              <x14:cfvo type="num">
                <xm:f>1</xm:f>
              </x14:cfvo>
              <x14:borderColor theme="0"/>
              <x14:negativeFillColor rgb="FFFF0000"/>
              <x14:axisColor rgb="FF000000"/>
            </x14:dataBar>
          </x14:cfRule>
          <xm:sqref>J3183 J3185 J3187</xm:sqref>
        </x14:conditionalFormatting>
        <x14:conditionalFormatting xmlns:xm="http://schemas.microsoft.com/office/excel/2006/main">
          <x14:cfRule type="dataBar" id="{1468573D-8544-47D1-B08E-6B5F1CF0EC76}">
            <x14:dataBar minLength="0" maxLength="100" border="1" gradient="0">
              <x14:cfvo type="num">
                <xm:f>0</xm:f>
              </x14:cfvo>
              <x14:cfvo type="num">
                <xm:f>1</xm:f>
              </x14:cfvo>
              <x14:borderColor theme="0"/>
              <x14:negativeFillColor rgb="FFFF0000"/>
              <x14:axisColor rgb="FF000000"/>
            </x14:dataBar>
          </x14:cfRule>
          <xm:sqref>J3189 J3191 J3193</xm:sqref>
        </x14:conditionalFormatting>
        <x14:conditionalFormatting xmlns:xm="http://schemas.microsoft.com/office/excel/2006/main">
          <x14:cfRule type="dataBar" id="{02A77655-8314-4279-8CB5-E9D725480C18}">
            <x14:dataBar minLength="0" maxLength="100" border="1" gradient="0">
              <x14:cfvo type="num">
                <xm:f>0</xm:f>
              </x14:cfvo>
              <x14:cfvo type="num">
                <xm:f>1</xm:f>
              </x14:cfvo>
              <x14:borderColor theme="0"/>
              <x14:negativeFillColor rgb="FFFF0000"/>
              <x14:axisColor rgb="FF000000"/>
            </x14:dataBar>
          </x14:cfRule>
          <xm:sqref>J3195 J3197 J3199</xm:sqref>
        </x14:conditionalFormatting>
        <x14:conditionalFormatting xmlns:xm="http://schemas.microsoft.com/office/excel/2006/main">
          <x14:cfRule type="dataBar" id="{C1DA36A4-EF08-44E0-9DC0-9224298487CC}">
            <x14:dataBar minLength="0" maxLength="100" border="1" gradient="0">
              <x14:cfvo type="num">
                <xm:f>0</xm:f>
              </x14:cfvo>
              <x14:cfvo type="num">
                <xm:f>1</xm:f>
              </x14:cfvo>
              <x14:borderColor theme="0"/>
              <x14:negativeFillColor rgb="FFFF0000"/>
              <x14:axisColor rgb="FF000000"/>
            </x14:dataBar>
          </x14:cfRule>
          <xm:sqref>J3201 J3203 J3205</xm:sqref>
        </x14:conditionalFormatting>
        <x14:conditionalFormatting xmlns:xm="http://schemas.microsoft.com/office/excel/2006/main">
          <x14:cfRule type="dataBar" id="{5F27654F-8178-4994-98C7-AF338979138D}">
            <x14:dataBar minLength="0" maxLength="100" border="1" gradient="0">
              <x14:cfvo type="num">
                <xm:f>0</xm:f>
              </x14:cfvo>
              <x14:cfvo type="num">
                <xm:f>1</xm:f>
              </x14:cfvo>
              <x14:borderColor theme="0"/>
              <x14:negativeFillColor rgb="FFFF0000"/>
              <x14:axisColor rgb="FF000000"/>
            </x14:dataBar>
          </x14:cfRule>
          <xm:sqref>J3207 J3209 J3211</xm:sqref>
        </x14:conditionalFormatting>
        <x14:conditionalFormatting xmlns:xm="http://schemas.microsoft.com/office/excel/2006/main">
          <x14:cfRule type="dataBar" id="{CCDD7447-7F34-43A8-AFC7-A2D73841C07A}">
            <x14:dataBar minLength="0" maxLength="100" border="1" gradient="0">
              <x14:cfvo type="num">
                <xm:f>0</xm:f>
              </x14:cfvo>
              <x14:cfvo type="num">
                <xm:f>1</xm:f>
              </x14:cfvo>
              <x14:borderColor theme="0"/>
              <x14:negativeFillColor rgb="FFFF0000"/>
              <x14:axisColor rgb="FF000000"/>
            </x14:dataBar>
          </x14:cfRule>
          <xm:sqref>J3213 J3215 J3217</xm:sqref>
        </x14:conditionalFormatting>
        <x14:conditionalFormatting xmlns:xm="http://schemas.microsoft.com/office/excel/2006/main">
          <x14:cfRule type="dataBar" id="{42218F34-6125-4421-B165-5654D20EB00B}">
            <x14:dataBar minLength="0" maxLength="100" border="1" gradient="0">
              <x14:cfvo type="num">
                <xm:f>0</xm:f>
              </x14:cfvo>
              <x14:cfvo type="num">
                <xm:f>1</xm:f>
              </x14:cfvo>
              <x14:borderColor theme="0"/>
              <x14:negativeFillColor rgb="FFFF0000"/>
              <x14:axisColor rgb="FF000000"/>
            </x14:dataBar>
          </x14:cfRule>
          <xm:sqref>J3219 J3221</xm:sqref>
        </x14:conditionalFormatting>
        <x14:conditionalFormatting xmlns:xm="http://schemas.microsoft.com/office/excel/2006/main">
          <x14:cfRule type="dataBar" id="{5840E445-61B0-4FDB-B43F-027B19F42050}">
            <x14:dataBar minLength="0" maxLength="100" border="1" gradient="0">
              <x14:cfvo type="num">
                <xm:f>0</xm:f>
              </x14:cfvo>
              <x14:cfvo type="num">
                <xm:f>1</xm:f>
              </x14:cfvo>
              <x14:borderColor theme="0"/>
              <x14:negativeFillColor rgb="FFFF0000"/>
              <x14:axisColor rgb="FF000000"/>
            </x14:dataBar>
          </x14:cfRule>
          <xm:sqref>J3224</xm:sqref>
        </x14:conditionalFormatting>
        <x14:conditionalFormatting xmlns:xm="http://schemas.microsoft.com/office/excel/2006/main">
          <x14:cfRule type="dataBar" id="{9FA317C8-3029-4BFD-8338-AF3BD7AA17CE}">
            <x14:dataBar minLength="0" maxLength="100" border="1" gradient="0">
              <x14:cfvo type="num">
                <xm:f>0</xm:f>
              </x14:cfvo>
              <x14:cfvo type="num">
                <xm:f>1</xm:f>
              </x14:cfvo>
              <x14:borderColor theme="0"/>
              <x14:negativeFillColor rgb="FFFF0000"/>
              <x14:axisColor rgb="FF000000"/>
            </x14:dataBar>
          </x14:cfRule>
          <xm:sqref>J3228</xm:sqref>
        </x14:conditionalFormatting>
        <x14:conditionalFormatting xmlns:xm="http://schemas.microsoft.com/office/excel/2006/main">
          <x14:cfRule type="dataBar" id="{637D8689-2115-4EF5-9B18-3593E08C67A3}">
            <x14:dataBar minLength="0" maxLength="100" border="1" gradient="0">
              <x14:cfvo type="num">
                <xm:f>0</xm:f>
              </x14:cfvo>
              <x14:cfvo type="num">
                <xm:f>1</xm:f>
              </x14:cfvo>
              <x14:borderColor theme="0"/>
              <x14:negativeFillColor rgb="FFFF0000"/>
              <x14:axisColor rgb="FF000000"/>
            </x14:dataBar>
          </x14:cfRule>
          <xm:sqref>J3230</xm:sqref>
        </x14:conditionalFormatting>
        <x14:conditionalFormatting xmlns:xm="http://schemas.microsoft.com/office/excel/2006/main">
          <x14:cfRule type="dataBar" id="{07C6BA1C-A7AA-40AD-A019-63C1A9D5F66C}">
            <x14:dataBar minLength="0" maxLength="100" border="1" gradient="0">
              <x14:cfvo type="num">
                <xm:f>0</xm:f>
              </x14:cfvo>
              <x14:cfvo type="num">
                <xm:f>1</xm:f>
              </x14:cfvo>
              <x14:borderColor theme="0"/>
              <x14:negativeFillColor rgb="FFFF0000"/>
              <x14:axisColor rgb="FF000000"/>
            </x14:dataBar>
          </x14:cfRule>
          <xm:sqref>J3232 J3234 J3236</xm:sqref>
        </x14:conditionalFormatting>
        <x14:conditionalFormatting xmlns:xm="http://schemas.microsoft.com/office/excel/2006/main">
          <x14:cfRule type="dataBar" id="{BDEF319D-7C54-4337-B6FB-61E282616EEC}">
            <x14:dataBar minLength="0" maxLength="100" border="1" gradient="0">
              <x14:cfvo type="num">
                <xm:f>0</xm:f>
              </x14:cfvo>
              <x14:cfvo type="num">
                <xm:f>1</xm:f>
              </x14:cfvo>
              <x14:borderColor theme="0"/>
              <x14:negativeFillColor rgb="FFFF0000"/>
              <x14:axisColor rgb="FF000000"/>
            </x14:dataBar>
          </x14:cfRule>
          <xm:sqref>J3238</xm:sqref>
        </x14:conditionalFormatting>
        <x14:conditionalFormatting xmlns:xm="http://schemas.microsoft.com/office/excel/2006/main">
          <x14:cfRule type="dataBar" id="{08F5C3B5-45BA-47D0-B28F-D6DF92229142}">
            <x14:dataBar minLength="0" maxLength="100" border="1" gradient="0">
              <x14:cfvo type="num">
                <xm:f>0</xm:f>
              </x14:cfvo>
              <x14:cfvo type="num">
                <xm:f>1</xm:f>
              </x14:cfvo>
              <x14:borderColor theme="0"/>
              <x14:negativeFillColor rgb="FFFF0000"/>
              <x14:axisColor rgb="FF000000"/>
            </x14:dataBar>
          </x14:cfRule>
          <xm:sqref>J3240</xm:sqref>
        </x14:conditionalFormatting>
        <x14:conditionalFormatting xmlns:xm="http://schemas.microsoft.com/office/excel/2006/main">
          <x14:cfRule type="dataBar" id="{A2B330C0-B42C-4E59-98D7-7E7451510091}">
            <x14:dataBar minLength="0" maxLength="100" border="1" gradient="0">
              <x14:cfvo type="num">
                <xm:f>0</xm:f>
              </x14:cfvo>
              <x14:cfvo type="num">
                <xm:f>1</xm:f>
              </x14:cfvo>
              <x14:borderColor theme="0"/>
              <x14:negativeFillColor rgb="FFFF0000"/>
              <x14:axisColor rgb="FF000000"/>
            </x14:dataBar>
          </x14:cfRule>
          <xm:sqref>J3242</xm:sqref>
        </x14:conditionalFormatting>
        <x14:conditionalFormatting xmlns:xm="http://schemas.microsoft.com/office/excel/2006/main">
          <x14:cfRule type="dataBar" id="{40D8C906-DAA5-4DEC-BD64-E0274219E2A8}">
            <x14:dataBar minLength="0" maxLength="100" border="1" gradient="0">
              <x14:cfvo type="num">
                <xm:f>0</xm:f>
              </x14:cfvo>
              <x14:cfvo type="num">
                <xm:f>1</xm:f>
              </x14:cfvo>
              <x14:borderColor theme="0"/>
              <x14:negativeFillColor rgb="FFFF0000"/>
              <x14:axisColor rgb="FF000000"/>
            </x14:dataBar>
          </x14:cfRule>
          <xm:sqref>J3244</xm:sqref>
        </x14:conditionalFormatting>
        <x14:conditionalFormatting xmlns:xm="http://schemas.microsoft.com/office/excel/2006/main">
          <x14:cfRule type="dataBar" id="{BFD53E48-04C0-4132-88B4-908D191F1350}">
            <x14:dataBar minLength="0" maxLength="100" border="1" gradient="0">
              <x14:cfvo type="num">
                <xm:f>0</xm:f>
              </x14:cfvo>
              <x14:cfvo type="num">
                <xm:f>1</xm:f>
              </x14:cfvo>
              <x14:borderColor theme="0"/>
              <x14:negativeFillColor rgb="FFFF0000"/>
              <x14:axisColor rgb="FF000000"/>
            </x14:dataBar>
          </x14:cfRule>
          <xm:sqref>J3246</xm:sqref>
        </x14:conditionalFormatting>
        <x14:conditionalFormatting xmlns:xm="http://schemas.microsoft.com/office/excel/2006/main">
          <x14:cfRule type="dataBar" id="{6709C936-CEFC-4174-B290-085F618A53FF}">
            <x14:dataBar minLength="0" maxLength="100" border="1" gradient="0">
              <x14:cfvo type="num">
                <xm:f>0</xm:f>
              </x14:cfvo>
              <x14:cfvo type="num">
                <xm:f>1</xm:f>
              </x14:cfvo>
              <x14:borderColor theme="0"/>
              <x14:negativeFillColor rgb="FFFF0000"/>
              <x14:axisColor rgb="FF000000"/>
            </x14:dataBar>
          </x14:cfRule>
          <xm:sqref>J3248</xm:sqref>
        </x14:conditionalFormatting>
        <x14:conditionalFormatting xmlns:xm="http://schemas.microsoft.com/office/excel/2006/main">
          <x14:cfRule type="dataBar" id="{EB879D7E-96F1-402B-B04D-F4DDD3EC9C04}">
            <x14:dataBar minLength="0" maxLength="100" border="1" gradient="0">
              <x14:cfvo type="num">
                <xm:f>0</xm:f>
              </x14:cfvo>
              <x14:cfvo type="num">
                <xm:f>1</xm:f>
              </x14:cfvo>
              <x14:borderColor theme="0"/>
              <x14:negativeFillColor rgb="FFFF0000"/>
              <x14:axisColor rgb="FF000000"/>
            </x14:dataBar>
          </x14:cfRule>
          <xm:sqref>J3252</xm:sqref>
        </x14:conditionalFormatting>
        <x14:conditionalFormatting xmlns:xm="http://schemas.microsoft.com/office/excel/2006/main">
          <x14:cfRule type="dataBar" id="{C778A024-6E91-4309-8A5F-39EE3F98B393}">
            <x14:dataBar minLength="0" maxLength="100" border="1" gradient="0">
              <x14:cfvo type="num">
                <xm:f>0</xm:f>
              </x14:cfvo>
              <x14:cfvo type="num">
                <xm:f>1</xm:f>
              </x14:cfvo>
              <x14:borderColor theme="0"/>
              <x14:negativeFillColor rgb="FFFF0000"/>
              <x14:axisColor rgb="FF000000"/>
            </x14:dataBar>
          </x14:cfRule>
          <xm:sqref>J3254</xm:sqref>
        </x14:conditionalFormatting>
        <x14:conditionalFormatting xmlns:xm="http://schemas.microsoft.com/office/excel/2006/main">
          <x14:cfRule type="dataBar" id="{2827DC6F-23A3-4BB8-9070-759B444EFC08}">
            <x14:dataBar minLength="0" maxLength="100" border="1" gradient="0">
              <x14:cfvo type="num">
                <xm:f>0</xm:f>
              </x14:cfvo>
              <x14:cfvo type="num">
                <xm:f>1</xm:f>
              </x14:cfvo>
              <x14:borderColor theme="0"/>
              <x14:negativeFillColor rgb="FFFF0000"/>
              <x14:axisColor rgb="FF000000"/>
            </x14:dataBar>
          </x14:cfRule>
          <xm:sqref>J3256</xm:sqref>
        </x14:conditionalFormatting>
        <x14:conditionalFormatting xmlns:xm="http://schemas.microsoft.com/office/excel/2006/main">
          <x14:cfRule type="dataBar" id="{48D01503-82A4-40E3-9448-AB443A5AEA31}">
            <x14:dataBar minLength="0" maxLength="100" border="1" gradient="0">
              <x14:cfvo type="num">
                <xm:f>0</xm:f>
              </x14:cfvo>
              <x14:cfvo type="num">
                <xm:f>1</xm:f>
              </x14:cfvo>
              <x14:borderColor theme="0"/>
              <x14:negativeFillColor rgb="FFFF0000"/>
              <x14:axisColor rgb="FF000000"/>
            </x14:dataBar>
          </x14:cfRule>
          <xm:sqref>J3258</xm:sqref>
        </x14:conditionalFormatting>
        <x14:conditionalFormatting xmlns:xm="http://schemas.microsoft.com/office/excel/2006/main">
          <x14:cfRule type="dataBar" id="{0FC79581-5075-4812-A527-0241AAD50975}">
            <x14:dataBar minLength="0" maxLength="100" border="1" gradient="0">
              <x14:cfvo type="num">
                <xm:f>0</xm:f>
              </x14:cfvo>
              <x14:cfvo type="num">
                <xm:f>1</xm:f>
              </x14:cfvo>
              <x14:borderColor theme="0"/>
              <x14:negativeFillColor rgb="FFFF0000"/>
              <x14:axisColor rgb="FF000000"/>
            </x14:dataBar>
          </x14:cfRule>
          <xm:sqref>J3260</xm:sqref>
        </x14:conditionalFormatting>
        <x14:conditionalFormatting xmlns:xm="http://schemas.microsoft.com/office/excel/2006/main">
          <x14:cfRule type="dataBar" id="{0B641E0A-1809-48A7-9889-2870A80A4959}">
            <x14:dataBar minLength="0" maxLength="100" border="1" gradient="0">
              <x14:cfvo type="num">
                <xm:f>0</xm:f>
              </x14:cfvo>
              <x14:cfvo type="num">
                <xm:f>1</xm:f>
              </x14:cfvo>
              <x14:borderColor theme="0"/>
              <x14:negativeFillColor rgb="FFFF0000"/>
              <x14:axisColor rgb="FF000000"/>
            </x14:dataBar>
          </x14:cfRule>
          <xm:sqref>J3262</xm:sqref>
        </x14:conditionalFormatting>
        <x14:conditionalFormatting xmlns:xm="http://schemas.microsoft.com/office/excel/2006/main">
          <x14:cfRule type="dataBar" id="{8C39FAA4-F50B-4213-B74F-5D5436EDC6BA}">
            <x14:dataBar minLength="0" maxLength="100" border="1" gradient="0">
              <x14:cfvo type="num">
                <xm:f>0</xm:f>
              </x14:cfvo>
              <x14:cfvo type="num">
                <xm:f>1</xm:f>
              </x14:cfvo>
              <x14:borderColor theme="0"/>
              <x14:negativeFillColor rgb="FFFF0000"/>
              <x14:axisColor rgb="FF000000"/>
            </x14:dataBar>
          </x14:cfRule>
          <xm:sqref>J3264</xm:sqref>
        </x14:conditionalFormatting>
        <x14:conditionalFormatting xmlns:xm="http://schemas.microsoft.com/office/excel/2006/main">
          <x14:cfRule type="dataBar" id="{AC2819DE-B71C-4A27-BCAC-2EA91554E278}">
            <x14:dataBar minLength="0" maxLength="100" border="1" gradient="0">
              <x14:cfvo type="num">
                <xm:f>0</xm:f>
              </x14:cfvo>
              <x14:cfvo type="num">
                <xm:f>1</xm:f>
              </x14:cfvo>
              <x14:borderColor theme="0"/>
              <x14:negativeFillColor rgb="FFFF0000"/>
              <x14:axisColor rgb="FF000000"/>
            </x14:dataBar>
          </x14:cfRule>
          <xm:sqref>J3266</xm:sqref>
        </x14:conditionalFormatting>
        <x14:conditionalFormatting xmlns:xm="http://schemas.microsoft.com/office/excel/2006/main">
          <x14:cfRule type="dataBar" id="{400BE6B7-0FA5-4023-9EAF-B1A141FBE787}">
            <x14:dataBar minLength="0" maxLength="100" border="1" gradient="0">
              <x14:cfvo type="num">
                <xm:f>0</xm:f>
              </x14:cfvo>
              <x14:cfvo type="num">
                <xm:f>1</xm:f>
              </x14:cfvo>
              <x14:borderColor theme="0"/>
              <x14:negativeFillColor rgb="FFFF0000"/>
              <x14:axisColor rgb="FF000000"/>
            </x14:dataBar>
          </x14:cfRule>
          <xm:sqref>J3268</xm:sqref>
        </x14:conditionalFormatting>
        <x14:conditionalFormatting xmlns:xm="http://schemas.microsoft.com/office/excel/2006/main">
          <x14:cfRule type="dataBar" id="{4803DE9E-3259-4914-8A8F-CAFA80C01570}">
            <x14:dataBar minLength="0" maxLength="100" border="1" gradient="0">
              <x14:cfvo type="num">
                <xm:f>0</xm:f>
              </x14:cfvo>
              <x14:cfvo type="num">
                <xm:f>1</xm:f>
              </x14:cfvo>
              <x14:borderColor theme="0"/>
              <x14:negativeFillColor rgb="FFFF0000"/>
              <x14:axisColor rgb="FF000000"/>
            </x14:dataBar>
          </x14:cfRule>
          <xm:sqref>J3270</xm:sqref>
        </x14:conditionalFormatting>
        <x14:conditionalFormatting xmlns:xm="http://schemas.microsoft.com/office/excel/2006/main">
          <x14:cfRule type="dataBar" id="{E82C971E-84E6-44B3-8EAF-01A8A8AC37CA}">
            <x14:dataBar minLength="0" maxLength="100" border="1" gradient="0">
              <x14:cfvo type="num">
                <xm:f>0</xm:f>
              </x14:cfvo>
              <x14:cfvo type="num">
                <xm:f>1</xm:f>
              </x14:cfvo>
              <x14:borderColor theme="0"/>
              <x14:negativeFillColor rgb="FFFF0000"/>
              <x14:axisColor rgb="FF000000"/>
            </x14:dataBar>
          </x14:cfRule>
          <xm:sqref>J3272</xm:sqref>
        </x14:conditionalFormatting>
        <x14:conditionalFormatting xmlns:xm="http://schemas.microsoft.com/office/excel/2006/main">
          <x14:cfRule type="dataBar" id="{AC102FB3-2EB8-4A89-BBA9-FDB56F449EB9}">
            <x14:dataBar minLength="0" maxLength="100" border="1" gradient="0">
              <x14:cfvo type="num">
                <xm:f>0</xm:f>
              </x14:cfvo>
              <x14:cfvo type="num">
                <xm:f>1</xm:f>
              </x14:cfvo>
              <x14:borderColor theme="0"/>
              <x14:negativeFillColor rgb="FFFF0000"/>
              <x14:axisColor rgb="FF000000"/>
            </x14:dataBar>
          </x14:cfRule>
          <xm:sqref>J3274</xm:sqref>
        </x14:conditionalFormatting>
        <x14:conditionalFormatting xmlns:xm="http://schemas.microsoft.com/office/excel/2006/main">
          <x14:cfRule type="dataBar" id="{8D36CD32-9711-4CF5-8875-61486DBC4C68}">
            <x14:dataBar minLength="0" maxLength="100" border="1" gradient="0">
              <x14:cfvo type="num">
                <xm:f>0</xm:f>
              </x14:cfvo>
              <x14:cfvo type="num">
                <xm:f>1</xm:f>
              </x14:cfvo>
              <x14:borderColor theme="0"/>
              <x14:negativeFillColor rgb="FFFF0000"/>
              <x14:axisColor rgb="FF000000"/>
            </x14:dataBar>
          </x14:cfRule>
          <xm:sqref>J3277</xm:sqref>
        </x14:conditionalFormatting>
        <x14:conditionalFormatting xmlns:xm="http://schemas.microsoft.com/office/excel/2006/main">
          <x14:cfRule type="dataBar" id="{52CDD16F-16D6-46FD-B47E-A5DCA1065EF7}">
            <x14:dataBar minLength="0" maxLength="100" border="1" gradient="0">
              <x14:cfvo type="num">
                <xm:f>0</xm:f>
              </x14:cfvo>
              <x14:cfvo type="num">
                <xm:f>1</xm:f>
              </x14:cfvo>
              <x14:borderColor theme="0"/>
              <x14:negativeFillColor rgb="FFFF0000"/>
              <x14:axisColor rgb="FF000000"/>
            </x14:dataBar>
          </x14:cfRule>
          <xm:sqref>J3279 J3281 J3283</xm:sqref>
        </x14:conditionalFormatting>
        <x14:conditionalFormatting xmlns:xm="http://schemas.microsoft.com/office/excel/2006/main">
          <x14:cfRule type="dataBar" id="{8ECCACF9-92C8-4813-8869-9B6ECC977E41}">
            <x14:dataBar minLength="0" maxLength="100" border="1" gradient="0">
              <x14:cfvo type="num">
                <xm:f>0</xm:f>
              </x14:cfvo>
              <x14:cfvo type="num">
                <xm:f>1</xm:f>
              </x14:cfvo>
              <x14:borderColor theme="0"/>
              <x14:negativeFillColor rgb="FFFF0000"/>
              <x14:axisColor rgb="FF000000"/>
            </x14:dataBar>
          </x14:cfRule>
          <xm:sqref>J3285</xm:sqref>
        </x14:conditionalFormatting>
        <x14:conditionalFormatting xmlns:xm="http://schemas.microsoft.com/office/excel/2006/main">
          <x14:cfRule type="dataBar" id="{1D23A369-395E-450F-B3DA-5D5D56A53455}">
            <x14:dataBar minLength="0" maxLength="100" border="1" gradient="0">
              <x14:cfvo type="num">
                <xm:f>0</xm:f>
              </x14:cfvo>
              <x14:cfvo type="num">
                <xm:f>1</xm:f>
              </x14:cfvo>
              <x14:borderColor theme="0"/>
              <x14:negativeFillColor rgb="FFFF0000"/>
              <x14:axisColor rgb="FF000000"/>
            </x14:dataBar>
          </x14:cfRule>
          <xm:sqref>J3289</xm:sqref>
        </x14:conditionalFormatting>
        <x14:conditionalFormatting xmlns:xm="http://schemas.microsoft.com/office/excel/2006/main">
          <x14:cfRule type="dataBar" id="{79FC3E7E-B20D-4321-93F6-5FDA2E76752C}">
            <x14:dataBar minLength="0" maxLength="100" border="1" gradient="0">
              <x14:cfvo type="num">
                <xm:f>0</xm:f>
              </x14:cfvo>
              <x14:cfvo type="num">
                <xm:f>1</xm:f>
              </x14:cfvo>
              <x14:borderColor theme="0"/>
              <x14:negativeFillColor rgb="FFFF0000"/>
              <x14:axisColor rgb="FF000000"/>
            </x14:dataBar>
          </x14:cfRule>
          <xm:sqref>J3291 J3293 J3295</xm:sqref>
        </x14:conditionalFormatting>
        <x14:conditionalFormatting xmlns:xm="http://schemas.microsoft.com/office/excel/2006/main">
          <x14:cfRule type="dataBar" id="{3E54FD96-3695-4325-99D5-A6996F195A14}">
            <x14:dataBar minLength="0" maxLength="100" border="1" gradient="0">
              <x14:cfvo type="num">
                <xm:f>0</xm:f>
              </x14:cfvo>
              <x14:cfvo type="num">
                <xm:f>1</xm:f>
              </x14:cfvo>
              <x14:borderColor theme="0"/>
              <x14:negativeFillColor rgb="FFFF0000"/>
              <x14:axisColor rgb="FF000000"/>
            </x14:dataBar>
          </x14:cfRule>
          <xm:sqref>J3297 J3299 J3301</xm:sqref>
        </x14:conditionalFormatting>
        <x14:conditionalFormatting xmlns:xm="http://schemas.microsoft.com/office/excel/2006/main">
          <x14:cfRule type="dataBar" id="{DB722270-C91B-4CE7-8061-9CCD63D21706}">
            <x14:dataBar minLength="0" maxLength="100" border="1" gradient="0">
              <x14:cfvo type="num">
                <xm:f>0</xm:f>
              </x14:cfvo>
              <x14:cfvo type="num">
                <xm:f>1</xm:f>
              </x14:cfvo>
              <x14:borderColor theme="0"/>
              <x14:negativeFillColor rgb="FFFF0000"/>
              <x14:axisColor rgb="FF000000"/>
            </x14:dataBar>
          </x14:cfRule>
          <xm:sqref>J3303</xm:sqref>
        </x14:conditionalFormatting>
        <x14:conditionalFormatting xmlns:xm="http://schemas.microsoft.com/office/excel/2006/main">
          <x14:cfRule type="dataBar" id="{91469025-01DF-4420-BD85-A8D175D48D6E}">
            <x14:dataBar minLength="0" maxLength="100" border="1" gradient="0">
              <x14:cfvo type="num">
                <xm:f>0</xm:f>
              </x14:cfvo>
              <x14:cfvo type="num">
                <xm:f>1</xm:f>
              </x14:cfvo>
              <x14:borderColor theme="0"/>
              <x14:negativeFillColor rgb="FFFF0000"/>
              <x14:axisColor rgb="FF000000"/>
            </x14:dataBar>
          </x14:cfRule>
          <xm:sqref>J3305</xm:sqref>
        </x14:conditionalFormatting>
        <x14:conditionalFormatting xmlns:xm="http://schemas.microsoft.com/office/excel/2006/main">
          <x14:cfRule type="dataBar" id="{A47B8B44-E12C-40AF-9855-23D7CCF7A77C}">
            <x14:dataBar minLength="0" maxLength="100" border="1" gradient="0">
              <x14:cfvo type="num">
                <xm:f>0</xm:f>
              </x14:cfvo>
              <x14:cfvo type="num">
                <xm:f>1</xm:f>
              </x14:cfvo>
              <x14:borderColor theme="0"/>
              <x14:negativeFillColor rgb="FFFF0000"/>
              <x14:axisColor rgb="FF000000"/>
            </x14:dataBar>
          </x14:cfRule>
          <xm:sqref>J3309</xm:sqref>
        </x14:conditionalFormatting>
        <x14:conditionalFormatting xmlns:xm="http://schemas.microsoft.com/office/excel/2006/main">
          <x14:cfRule type="dataBar" id="{C78F2120-8958-44E7-B308-ABE641D5CB4B}">
            <x14:dataBar minLength="0" maxLength="100" border="1" gradient="0">
              <x14:cfvo type="num">
                <xm:f>0</xm:f>
              </x14:cfvo>
              <x14:cfvo type="num">
                <xm:f>1</xm:f>
              </x14:cfvo>
              <x14:borderColor theme="0"/>
              <x14:negativeFillColor rgb="FFFF0000"/>
              <x14:axisColor rgb="FF000000"/>
            </x14:dataBar>
          </x14:cfRule>
          <xm:sqref>J3311</xm:sqref>
        </x14:conditionalFormatting>
        <x14:conditionalFormatting xmlns:xm="http://schemas.microsoft.com/office/excel/2006/main">
          <x14:cfRule type="dataBar" id="{36ED95EC-1F4E-49F9-8D28-B037CDEDD0D6}">
            <x14:dataBar minLength="0" maxLength="100" border="1" gradient="0">
              <x14:cfvo type="num">
                <xm:f>0</xm:f>
              </x14:cfvo>
              <x14:cfvo type="num">
                <xm:f>1</xm:f>
              </x14:cfvo>
              <x14:borderColor theme="0"/>
              <x14:negativeFillColor rgb="FFFF0000"/>
              <x14:axisColor rgb="FF000000"/>
            </x14:dataBar>
          </x14:cfRule>
          <xm:sqref>J3313 J3315</xm:sqref>
        </x14:conditionalFormatting>
        <x14:conditionalFormatting xmlns:xm="http://schemas.microsoft.com/office/excel/2006/main">
          <x14:cfRule type="dataBar" id="{86002926-95BC-4B44-A87E-94A88D7CEBBF}">
            <x14:dataBar minLength="0" maxLength="100" border="1" gradient="0">
              <x14:cfvo type="num">
                <xm:f>0</xm:f>
              </x14:cfvo>
              <x14:cfvo type="num">
                <xm:f>1</xm:f>
              </x14:cfvo>
              <x14:borderColor theme="0"/>
              <x14:negativeFillColor rgb="FFFF0000"/>
              <x14:axisColor rgb="FF000000"/>
            </x14:dataBar>
          </x14:cfRule>
          <xm:sqref>J3317</xm:sqref>
        </x14:conditionalFormatting>
        <x14:conditionalFormatting xmlns:xm="http://schemas.microsoft.com/office/excel/2006/main">
          <x14:cfRule type="dataBar" id="{730640E2-57D7-4A8A-970A-126663A254D4}">
            <x14:dataBar minLength="0" maxLength="100" border="1" gradient="0">
              <x14:cfvo type="num">
                <xm:f>0</xm:f>
              </x14:cfvo>
              <x14:cfvo type="num">
                <xm:f>1</xm:f>
              </x14:cfvo>
              <x14:borderColor theme="0"/>
              <x14:negativeFillColor rgb="FFFF0000"/>
              <x14:axisColor rgb="FF000000"/>
            </x14:dataBar>
          </x14:cfRule>
          <xm:sqref>J3319 J3321</xm:sqref>
        </x14:conditionalFormatting>
        <x14:conditionalFormatting xmlns:xm="http://schemas.microsoft.com/office/excel/2006/main">
          <x14:cfRule type="dataBar" id="{4619815A-355A-426E-A1FB-662E92A1C530}">
            <x14:dataBar minLength="0" maxLength="100" border="1" gradient="0">
              <x14:cfvo type="num">
                <xm:f>0</xm:f>
              </x14:cfvo>
              <x14:cfvo type="num">
                <xm:f>1</xm:f>
              </x14:cfvo>
              <x14:borderColor theme="0"/>
              <x14:negativeFillColor rgb="FFFF0000"/>
              <x14:axisColor rgb="FF000000"/>
            </x14:dataBar>
          </x14:cfRule>
          <xm:sqref>J3325</xm:sqref>
        </x14:conditionalFormatting>
        <x14:conditionalFormatting xmlns:xm="http://schemas.microsoft.com/office/excel/2006/main">
          <x14:cfRule type="dataBar" id="{16BB4AC4-B17F-404F-B474-92082CA46257}">
            <x14:dataBar minLength="0" maxLength="100" border="1" gradient="0">
              <x14:cfvo type="num">
                <xm:f>0</xm:f>
              </x14:cfvo>
              <x14:cfvo type="num">
                <xm:f>1</xm:f>
              </x14:cfvo>
              <x14:borderColor theme="0"/>
              <x14:negativeFillColor rgb="FFFF0000"/>
              <x14:axisColor rgb="FF000000"/>
            </x14:dataBar>
          </x14:cfRule>
          <xm:sqref>J3329</xm:sqref>
        </x14:conditionalFormatting>
        <x14:conditionalFormatting xmlns:xm="http://schemas.microsoft.com/office/excel/2006/main">
          <x14:cfRule type="dataBar" id="{A7920E77-F652-452D-8973-CB8E4A3FC7CA}">
            <x14:dataBar minLength="0" maxLength="100" border="1" gradient="0">
              <x14:cfvo type="num">
                <xm:f>0</xm:f>
              </x14:cfvo>
              <x14:cfvo type="num">
                <xm:f>1</xm:f>
              </x14:cfvo>
              <x14:borderColor theme="0"/>
              <x14:negativeFillColor rgb="FFFF0000"/>
              <x14:axisColor rgb="FF000000"/>
            </x14:dataBar>
          </x14:cfRule>
          <xm:sqref>J3331</xm:sqref>
        </x14:conditionalFormatting>
        <x14:conditionalFormatting xmlns:xm="http://schemas.microsoft.com/office/excel/2006/main">
          <x14:cfRule type="dataBar" id="{1C90DE07-0C02-40CA-B70B-584D7650F9E7}">
            <x14:dataBar minLength="0" maxLength="100" border="1" gradient="0">
              <x14:cfvo type="num">
                <xm:f>0</xm:f>
              </x14:cfvo>
              <x14:cfvo type="num">
                <xm:f>1</xm:f>
              </x14:cfvo>
              <x14:borderColor theme="0"/>
              <x14:negativeFillColor rgb="FFFF0000"/>
              <x14:axisColor rgb="FF000000"/>
            </x14:dataBar>
          </x14:cfRule>
          <xm:sqref>J3333</xm:sqref>
        </x14:conditionalFormatting>
        <x14:conditionalFormatting xmlns:xm="http://schemas.microsoft.com/office/excel/2006/main">
          <x14:cfRule type="dataBar" id="{C238F7E3-C209-4B68-864C-3DA2D93D9C95}">
            <x14:dataBar minLength="0" maxLength="100" border="1" gradient="0">
              <x14:cfvo type="num">
                <xm:f>0</xm:f>
              </x14:cfvo>
              <x14:cfvo type="num">
                <xm:f>1</xm:f>
              </x14:cfvo>
              <x14:borderColor theme="0"/>
              <x14:negativeFillColor rgb="FFFF0000"/>
              <x14:axisColor rgb="FF000000"/>
            </x14:dataBar>
          </x14:cfRule>
          <xm:sqref>J3335</xm:sqref>
        </x14:conditionalFormatting>
        <x14:conditionalFormatting xmlns:xm="http://schemas.microsoft.com/office/excel/2006/main">
          <x14:cfRule type="dataBar" id="{2CF69011-E0DD-40C1-BFBA-46AB2150A3F5}">
            <x14:dataBar minLength="0" maxLength="100" border="1" gradient="0">
              <x14:cfvo type="num">
                <xm:f>0</xm:f>
              </x14:cfvo>
              <x14:cfvo type="num">
                <xm:f>1</xm:f>
              </x14:cfvo>
              <x14:borderColor theme="0"/>
              <x14:negativeFillColor rgb="FFFF0000"/>
              <x14:axisColor rgb="FF000000"/>
            </x14:dataBar>
          </x14:cfRule>
          <xm:sqref>J3337</xm:sqref>
        </x14:conditionalFormatting>
        <x14:conditionalFormatting xmlns:xm="http://schemas.microsoft.com/office/excel/2006/main">
          <x14:cfRule type="dataBar" id="{27809204-CA70-455C-8B9C-47F70C6B7042}">
            <x14:dataBar minLength="0" maxLength="100" border="1" gradient="0">
              <x14:cfvo type="num">
                <xm:f>0</xm:f>
              </x14:cfvo>
              <x14:cfvo type="num">
                <xm:f>1</xm:f>
              </x14:cfvo>
              <x14:borderColor theme="0"/>
              <x14:negativeFillColor rgb="FFFF0000"/>
              <x14:axisColor rgb="FF000000"/>
            </x14:dataBar>
          </x14:cfRule>
          <xm:sqref>J3339</xm:sqref>
        </x14:conditionalFormatting>
        <x14:conditionalFormatting xmlns:xm="http://schemas.microsoft.com/office/excel/2006/main">
          <x14:cfRule type="dataBar" id="{245EF410-DB52-49AE-A748-9154E9D0327B}">
            <x14:dataBar minLength="0" maxLength="100" border="1" gradient="0">
              <x14:cfvo type="num">
                <xm:f>0</xm:f>
              </x14:cfvo>
              <x14:cfvo type="num">
                <xm:f>1</xm:f>
              </x14:cfvo>
              <x14:borderColor theme="0"/>
              <x14:negativeFillColor rgb="FFFF0000"/>
              <x14:axisColor rgb="FF000000"/>
            </x14:dataBar>
          </x14:cfRule>
          <xm:sqref>J3341</xm:sqref>
        </x14:conditionalFormatting>
        <x14:conditionalFormatting xmlns:xm="http://schemas.microsoft.com/office/excel/2006/main">
          <x14:cfRule type="dataBar" id="{89164D89-FBD1-420F-9D1D-84F5036CA5D1}">
            <x14:dataBar minLength="0" maxLength="100" border="1" gradient="0">
              <x14:cfvo type="num">
                <xm:f>0</xm:f>
              </x14:cfvo>
              <x14:cfvo type="num">
                <xm:f>1</xm:f>
              </x14:cfvo>
              <x14:borderColor theme="0"/>
              <x14:negativeFillColor rgb="FFFF0000"/>
              <x14:axisColor rgb="FF000000"/>
            </x14:dataBar>
          </x14:cfRule>
          <xm:sqref>J3343</xm:sqref>
        </x14:conditionalFormatting>
        <x14:conditionalFormatting xmlns:xm="http://schemas.microsoft.com/office/excel/2006/main">
          <x14:cfRule type="dataBar" id="{9BD0F3EF-5A88-4540-875C-E76391FE46EA}">
            <x14:dataBar minLength="0" maxLength="100" border="1" gradient="0">
              <x14:cfvo type="num">
                <xm:f>0</xm:f>
              </x14:cfvo>
              <x14:cfvo type="num">
                <xm:f>1</xm:f>
              </x14:cfvo>
              <x14:borderColor theme="0"/>
              <x14:negativeFillColor rgb="FFFF0000"/>
              <x14:axisColor rgb="FF000000"/>
            </x14:dataBar>
          </x14:cfRule>
          <xm:sqref>J3345</xm:sqref>
        </x14:conditionalFormatting>
        <x14:conditionalFormatting xmlns:xm="http://schemas.microsoft.com/office/excel/2006/main">
          <x14:cfRule type="dataBar" id="{33C47A11-BC8F-40AB-A54D-C2BA56751069}">
            <x14:dataBar minLength="0" maxLength="100" border="1" gradient="0">
              <x14:cfvo type="num">
                <xm:f>0</xm:f>
              </x14:cfvo>
              <x14:cfvo type="num">
                <xm:f>1</xm:f>
              </x14:cfvo>
              <x14:borderColor theme="0"/>
              <x14:negativeFillColor rgb="FFFF0000"/>
              <x14:axisColor rgb="FF000000"/>
            </x14:dataBar>
          </x14:cfRule>
          <xm:sqref>J3347</xm:sqref>
        </x14:conditionalFormatting>
        <x14:conditionalFormatting xmlns:xm="http://schemas.microsoft.com/office/excel/2006/main">
          <x14:cfRule type="dataBar" id="{EFEA2BC6-E2E4-4582-9D0E-41F98EA21AEB}">
            <x14:dataBar minLength="0" maxLength="100" border="1" gradient="0">
              <x14:cfvo type="num">
                <xm:f>0</xm:f>
              </x14:cfvo>
              <x14:cfvo type="num">
                <xm:f>1</xm:f>
              </x14:cfvo>
              <x14:borderColor theme="0"/>
              <x14:negativeFillColor rgb="FFFF0000"/>
              <x14:axisColor rgb="FF000000"/>
            </x14:dataBar>
          </x14:cfRule>
          <xm:sqref>J3350</xm:sqref>
        </x14:conditionalFormatting>
        <x14:conditionalFormatting xmlns:xm="http://schemas.microsoft.com/office/excel/2006/main">
          <x14:cfRule type="dataBar" id="{B7D8092E-B675-4751-9DF2-C7CBF4C56AF3}">
            <x14:dataBar minLength="0" maxLength="100" border="1" gradient="0">
              <x14:cfvo type="num">
                <xm:f>0</xm:f>
              </x14:cfvo>
              <x14:cfvo type="num">
                <xm:f>1</xm:f>
              </x14:cfvo>
              <x14:borderColor theme="0"/>
              <x14:negativeFillColor rgb="FFFF0000"/>
              <x14:axisColor rgb="FF000000"/>
            </x14:dataBar>
          </x14:cfRule>
          <xm:sqref>J3352</xm:sqref>
        </x14:conditionalFormatting>
        <x14:conditionalFormatting xmlns:xm="http://schemas.microsoft.com/office/excel/2006/main">
          <x14:cfRule type="dataBar" id="{C6990CA5-1156-40AE-B55E-7832620CCCA6}">
            <x14:dataBar minLength="0" maxLength="100" border="1" gradient="0">
              <x14:cfvo type="num">
                <xm:f>0</xm:f>
              </x14:cfvo>
              <x14:cfvo type="num">
                <xm:f>1</xm:f>
              </x14:cfvo>
              <x14:borderColor theme="0"/>
              <x14:negativeFillColor rgb="FFFF0000"/>
              <x14:axisColor rgb="FF000000"/>
            </x14:dataBar>
          </x14:cfRule>
          <xm:sqref>J3354</xm:sqref>
        </x14:conditionalFormatting>
        <x14:conditionalFormatting xmlns:xm="http://schemas.microsoft.com/office/excel/2006/main">
          <x14:cfRule type="dataBar" id="{9D922163-5C98-4733-A465-2DCB0793E620}">
            <x14:dataBar minLength="0" maxLength="100" border="1" gradient="0">
              <x14:cfvo type="num">
                <xm:f>0</xm:f>
              </x14:cfvo>
              <x14:cfvo type="num">
                <xm:f>1</xm:f>
              </x14:cfvo>
              <x14:borderColor theme="0"/>
              <x14:negativeFillColor rgb="FFFF0000"/>
              <x14:axisColor rgb="FF000000"/>
            </x14:dataBar>
          </x14:cfRule>
          <xm:sqref>J3356</xm:sqref>
        </x14:conditionalFormatting>
        <x14:conditionalFormatting xmlns:xm="http://schemas.microsoft.com/office/excel/2006/main">
          <x14:cfRule type="dataBar" id="{2EFAA843-E012-4EA0-96AE-9D35D3C2C185}">
            <x14:dataBar minLength="0" maxLength="100" border="1" gradient="0">
              <x14:cfvo type="num">
                <xm:f>0</xm:f>
              </x14:cfvo>
              <x14:cfvo type="num">
                <xm:f>1</xm:f>
              </x14:cfvo>
              <x14:borderColor theme="0"/>
              <x14:negativeFillColor rgb="FFFF0000"/>
              <x14:axisColor rgb="FF000000"/>
            </x14:dataBar>
          </x14:cfRule>
          <xm:sqref>J3358</xm:sqref>
        </x14:conditionalFormatting>
        <x14:conditionalFormatting xmlns:xm="http://schemas.microsoft.com/office/excel/2006/main">
          <x14:cfRule type="dataBar" id="{8439B986-38FC-481A-8898-0DF637FBE5B2}">
            <x14:dataBar minLength="0" maxLength="100" border="1" gradient="0">
              <x14:cfvo type="num">
                <xm:f>0</xm:f>
              </x14:cfvo>
              <x14:cfvo type="num">
                <xm:f>1</xm:f>
              </x14:cfvo>
              <x14:borderColor theme="0"/>
              <x14:negativeFillColor rgb="FFFF0000"/>
              <x14:axisColor rgb="FF000000"/>
            </x14:dataBar>
          </x14:cfRule>
          <xm:sqref>J3360</xm:sqref>
        </x14:conditionalFormatting>
        <x14:conditionalFormatting xmlns:xm="http://schemas.microsoft.com/office/excel/2006/main">
          <x14:cfRule type="dataBar" id="{6B5B5EED-3C8F-49C2-A738-B6B795580FA7}">
            <x14:dataBar minLength="0" maxLength="100" border="1" gradient="0">
              <x14:cfvo type="num">
                <xm:f>0</xm:f>
              </x14:cfvo>
              <x14:cfvo type="num">
                <xm:f>1</xm:f>
              </x14:cfvo>
              <x14:borderColor theme="0"/>
              <x14:negativeFillColor rgb="FFFF0000"/>
              <x14:axisColor rgb="FF000000"/>
            </x14:dataBar>
          </x14:cfRule>
          <xm:sqref>J3362</xm:sqref>
        </x14:conditionalFormatting>
        <x14:conditionalFormatting xmlns:xm="http://schemas.microsoft.com/office/excel/2006/main">
          <x14:cfRule type="dataBar" id="{601B7CBD-06FA-4475-8C08-4612A96ABF48}">
            <x14:dataBar minLength="0" maxLength="100" border="1" gradient="0">
              <x14:cfvo type="num">
                <xm:f>0</xm:f>
              </x14:cfvo>
              <x14:cfvo type="num">
                <xm:f>1</xm:f>
              </x14:cfvo>
              <x14:borderColor theme="0"/>
              <x14:negativeFillColor rgb="FFFF0000"/>
              <x14:axisColor rgb="FF000000"/>
            </x14:dataBar>
          </x14:cfRule>
          <xm:sqref>J3365</xm:sqref>
        </x14:conditionalFormatting>
        <x14:conditionalFormatting xmlns:xm="http://schemas.microsoft.com/office/excel/2006/main">
          <x14:cfRule type="dataBar" id="{96D2F543-24B6-4C16-91AE-F051CEE17908}">
            <x14:dataBar minLength="0" maxLength="100" border="1" gradient="0">
              <x14:cfvo type="num">
                <xm:f>0</xm:f>
              </x14:cfvo>
              <x14:cfvo type="num">
                <xm:f>1</xm:f>
              </x14:cfvo>
              <x14:borderColor theme="0"/>
              <x14:negativeFillColor rgb="FFFF0000"/>
              <x14:axisColor rgb="FF000000"/>
            </x14:dataBar>
          </x14:cfRule>
          <xm:sqref>J3367</xm:sqref>
        </x14:conditionalFormatting>
        <x14:conditionalFormatting xmlns:xm="http://schemas.microsoft.com/office/excel/2006/main">
          <x14:cfRule type="dataBar" id="{038452E5-FCCB-4C21-9614-A8730B1095F5}">
            <x14:dataBar minLength="0" maxLength="100" border="1" gradient="0">
              <x14:cfvo type="num">
                <xm:f>0</xm:f>
              </x14:cfvo>
              <x14:cfvo type="num">
                <xm:f>1</xm:f>
              </x14:cfvo>
              <x14:borderColor theme="0"/>
              <x14:negativeFillColor rgb="FFFF0000"/>
              <x14:axisColor rgb="FF000000"/>
            </x14:dataBar>
          </x14:cfRule>
          <xm:sqref>J3369</xm:sqref>
        </x14:conditionalFormatting>
        <x14:conditionalFormatting xmlns:xm="http://schemas.microsoft.com/office/excel/2006/main">
          <x14:cfRule type="dataBar" id="{A91665E8-19A1-44AA-AD1D-382F703308E8}">
            <x14:dataBar minLength="0" maxLength="100" border="1" gradient="0">
              <x14:cfvo type="num">
                <xm:f>0</xm:f>
              </x14:cfvo>
              <x14:cfvo type="num">
                <xm:f>1</xm:f>
              </x14:cfvo>
              <x14:borderColor theme="0"/>
              <x14:negativeFillColor rgb="FFFF0000"/>
              <x14:axisColor rgb="FF000000"/>
            </x14:dataBar>
          </x14:cfRule>
          <xm:sqref>J3371</xm:sqref>
        </x14:conditionalFormatting>
        <x14:conditionalFormatting xmlns:xm="http://schemas.microsoft.com/office/excel/2006/main">
          <x14:cfRule type="dataBar" id="{E5C05F4D-BA2D-4B2D-9F90-48CFEAF917F7}">
            <x14:dataBar minLength="0" maxLength="100" border="1" gradient="0">
              <x14:cfvo type="num">
                <xm:f>0</xm:f>
              </x14:cfvo>
              <x14:cfvo type="num">
                <xm:f>1</xm:f>
              </x14:cfvo>
              <x14:borderColor theme="0"/>
              <x14:negativeFillColor rgb="FFFF0000"/>
              <x14:axisColor rgb="FF000000"/>
            </x14:dataBar>
          </x14:cfRule>
          <xm:sqref>J3373</xm:sqref>
        </x14:conditionalFormatting>
        <x14:conditionalFormatting xmlns:xm="http://schemas.microsoft.com/office/excel/2006/main">
          <x14:cfRule type="dataBar" id="{E33E7D4F-86E1-46C9-A382-0E4188481AF9}">
            <x14:dataBar minLength="0" maxLength="100" border="1" gradient="0">
              <x14:cfvo type="num">
                <xm:f>0</xm:f>
              </x14:cfvo>
              <x14:cfvo type="num">
                <xm:f>1</xm:f>
              </x14:cfvo>
              <x14:borderColor theme="0"/>
              <x14:negativeFillColor rgb="FFFF0000"/>
              <x14:axisColor rgb="FF000000"/>
            </x14:dataBar>
          </x14:cfRule>
          <xm:sqref>J3377</xm:sqref>
        </x14:conditionalFormatting>
        <x14:conditionalFormatting xmlns:xm="http://schemas.microsoft.com/office/excel/2006/main">
          <x14:cfRule type="dataBar" id="{3BF0DF35-622E-43BB-B40D-894A52225672}">
            <x14:dataBar minLength="0" maxLength="100" border="1" gradient="0">
              <x14:cfvo type="num">
                <xm:f>0</xm:f>
              </x14:cfvo>
              <x14:cfvo type="num">
                <xm:f>1</xm:f>
              </x14:cfvo>
              <x14:borderColor theme="0"/>
              <x14:negativeFillColor rgb="FFFF0000"/>
              <x14:axisColor rgb="FF000000"/>
            </x14:dataBar>
          </x14:cfRule>
          <xm:sqref>J3381</xm:sqref>
        </x14:conditionalFormatting>
        <x14:conditionalFormatting xmlns:xm="http://schemas.microsoft.com/office/excel/2006/main">
          <x14:cfRule type="dataBar" id="{2B9BC5B5-57D5-4F4A-A611-2888445BD630}">
            <x14:dataBar minLength="0" maxLength="100" border="1" gradient="0">
              <x14:cfvo type="num">
                <xm:f>0</xm:f>
              </x14:cfvo>
              <x14:cfvo type="num">
                <xm:f>1</xm:f>
              </x14:cfvo>
              <x14:borderColor theme="0"/>
              <x14:negativeFillColor rgb="FFFF0000"/>
              <x14:axisColor rgb="FF000000"/>
            </x14:dataBar>
          </x14:cfRule>
          <xm:sqref>J3383 J3385</xm:sqref>
        </x14:conditionalFormatting>
        <x14:conditionalFormatting xmlns:xm="http://schemas.microsoft.com/office/excel/2006/main">
          <x14:cfRule type="dataBar" id="{32C069E5-08D2-43A1-92AF-16E6BEFC6F27}">
            <x14:dataBar minLength="0" maxLength="100" border="1" gradient="0">
              <x14:cfvo type="num">
                <xm:f>0</xm:f>
              </x14:cfvo>
              <x14:cfvo type="num">
                <xm:f>1</xm:f>
              </x14:cfvo>
              <x14:borderColor theme="0"/>
              <x14:negativeFillColor rgb="FFFF0000"/>
              <x14:axisColor rgb="FF000000"/>
            </x14:dataBar>
          </x14:cfRule>
          <xm:sqref>J3387</xm:sqref>
        </x14:conditionalFormatting>
        <x14:conditionalFormatting xmlns:xm="http://schemas.microsoft.com/office/excel/2006/main">
          <x14:cfRule type="dataBar" id="{CD82492F-1F0F-4264-B71A-66A959CF90EB}">
            <x14:dataBar minLength="0" maxLength="100" border="1" gradient="0">
              <x14:cfvo type="num">
                <xm:f>0</xm:f>
              </x14:cfvo>
              <x14:cfvo type="num">
                <xm:f>1</xm:f>
              </x14:cfvo>
              <x14:borderColor theme="0"/>
              <x14:negativeFillColor rgb="FFFF0000"/>
              <x14:axisColor rgb="FF000000"/>
            </x14:dataBar>
          </x14:cfRule>
          <xm:sqref>J3389</xm:sqref>
        </x14:conditionalFormatting>
        <x14:conditionalFormatting xmlns:xm="http://schemas.microsoft.com/office/excel/2006/main">
          <x14:cfRule type="dataBar" id="{2A00E8E8-B175-4572-A837-1883844F78DE}">
            <x14:dataBar minLength="0" maxLength="100" border="1" gradient="0">
              <x14:cfvo type="num">
                <xm:f>0</xm:f>
              </x14:cfvo>
              <x14:cfvo type="num">
                <xm:f>1</xm:f>
              </x14:cfvo>
              <x14:borderColor theme="0"/>
              <x14:negativeFillColor rgb="FFFF0000"/>
              <x14:axisColor rgb="FF000000"/>
            </x14:dataBar>
          </x14:cfRule>
          <xm:sqref>J3391</xm:sqref>
        </x14:conditionalFormatting>
        <x14:conditionalFormatting xmlns:xm="http://schemas.microsoft.com/office/excel/2006/main">
          <x14:cfRule type="dataBar" id="{827AEB3E-C956-4DCC-8160-D81F2D7F37F9}">
            <x14:dataBar minLength="0" maxLength="100" border="1" gradient="0">
              <x14:cfvo type="num">
                <xm:f>0</xm:f>
              </x14:cfvo>
              <x14:cfvo type="num">
                <xm:f>1</xm:f>
              </x14:cfvo>
              <x14:borderColor theme="0"/>
              <x14:negativeFillColor rgb="FFFF0000"/>
              <x14:axisColor rgb="FF000000"/>
            </x14:dataBar>
          </x14:cfRule>
          <xm:sqref>J3393</xm:sqref>
        </x14:conditionalFormatting>
        <x14:conditionalFormatting xmlns:xm="http://schemas.microsoft.com/office/excel/2006/main">
          <x14:cfRule type="dataBar" id="{AA033119-A434-4C09-8AE4-1C8F79F3080A}">
            <x14:dataBar minLength="0" maxLength="100" border="1" gradient="0">
              <x14:cfvo type="num">
                <xm:f>0</xm:f>
              </x14:cfvo>
              <x14:cfvo type="num">
                <xm:f>1</xm:f>
              </x14:cfvo>
              <x14:borderColor theme="0"/>
              <x14:negativeFillColor rgb="FFFF0000"/>
              <x14:axisColor rgb="FF000000"/>
            </x14:dataBar>
          </x14:cfRule>
          <xm:sqref>J3395</xm:sqref>
        </x14:conditionalFormatting>
        <x14:conditionalFormatting xmlns:xm="http://schemas.microsoft.com/office/excel/2006/main">
          <x14:cfRule type="dataBar" id="{18A362F0-4D75-4160-B397-9DE2811BB472}">
            <x14:dataBar minLength="0" maxLength="100" border="1" gradient="0">
              <x14:cfvo type="num">
                <xm:f>0</xm:f>
              </x14:cfvo>
              <x14:cfvo type="num">
                <xm:f>1</xm:f>
              </x14:cfvo>
              <x14:borderColor theme="0"/>
              <x14:negativeFillColor rgb="FFFF0000"/>
              <x14:axisColor rgb="FF000000"/>
            </x14:dataBar>
          </x14:cfRule>
          <xm:sqref>J3397</xm:sqref>
        </x14:conditionalFormatting>
        <x14:conditionalFormatting xmlns:xm="http://schemas.microsoft.com/office/excel/2006/main">
          <x14:cfRule type="dataBar" id="{9127668D-DB4D-492C-B436-604175D1B9B3}">
            <x14:dataBar minLength="0" maxLength="100" border="1" gradient="0">
              <x14:cfvo type="num">
                <xm:f>0</xm:f>
              </x14:cfvo>
              <x14:cfvo type="num">
                <xm:f>1</xm:f>
              </x14:cfvo>
              <x14:borderColor theme="0"/>
              <x14:negativeFillColor rgb="FFFF0000"/>
              <x14:axisColor rgb="FF000000"/>
            </x14:dataBar>
          </x14:cfRule>
          <xm:sqref>J3399</xm:sqref>
        </x14:conditionalFormatting>
        <x14:conditionalFormatting xmlns:xm="http://schemas.microsoft.com/office/excel/2006/main">
          <x14:cfRule type="dataBar" id="{D585369B-4D4F-4840-BDBF-BF9225B95313}">
            <x14:dataBar minLength="0" maxLength="100" border="1" gradient="0">
              <x14:cfvo type="num">
                <xm:f>0</xm:f>
              </x14:cfvo>
              <x14:cfvo type="num">
                <xm:f>1</xm:f>
              </x14:cfvo>
              <x14:borderColor theme="0"/>
              <x14:negativeFillColor rgb="FFFF0000"/>
              <x14:axisColor rgb="FF000000"/>
            </x14:dataBar>
          </x14:cfRule>
          <xm:sqref>J3401</xm:sqref>
        </x14:conditionalFormatting>
        <x14:conditionalFormatting xmlns:xm="http://schemas.microsoft.com/office/excel/2006/main">
          <x14:cfRule type="dataBar" id="{32E5A675-5986-4E22-BF78-F28859D759EB}">
            <x14:dataBar minLength="0" maxLength="100" border="1" gradient="0">
              <x14:cfvo type="num">
                <xm:f>0</xm:f>
              </x14:cfvo>
              <x14:cfvo type="num">
                <xm:f>1</xm:f>
              </x14:cfvo>
              <x14:borderColor theme="0"/>
              <x14:negativeFillColor rgb="FFFF0000"/>
              <x14:axisColor rgb="FF000000"/>
            </x14:dataBar>
          </x14:cfRule>
          <xm:sqref>J3403</xm:sqref>
        </x14:conditionalFormatting>
        <x14:conditionalFormatting xmlns:xm="http://schemas.microsoft.com/office/excel/2006/main">
          <x14:cfRule type="dataBar" id="{8A6C75AD-A727-4DB1-A321-B0A47E8DD604}">
            <x14:dataBar minLength="0" maxLength="100" border="1" gradient="0">
              <x14:cfvo type="num">
                <xm:f>0</xm:f>
              </x14:cfvo>
              <x14:cfvo type="num">
                <xm:f>1</xm:f>
              </x14:cfvo>
              <x14:borderColor theme="0"/>
              <x14:negativeFillColor rgb="FFFF0000"/>
              <x14:axisColor rgb="FF000000"/>
            </x14:dataBar>
          </x14:cfRule>
          <xm:sqref>J3405</xm:sqref>
        </x14:conditionalFormatting>
        <x14:conditionalFormatting xmlns:xm="http://schemas.microsoft.com/office/excel/2006/main">
          <x14:cfRule type="dataBar" id="{D18D6234-17AB-439C-B4B6-D192E1C11060}">
            <x14:dataBar minLength="0" maxLength="100" border="1" gradient="0">
              <x14:cfvo type="num">
                <xm:f>0</xm:f>
              </x14:cfvo>
              <x14:cfvo type="num">
                <xm:f>1</xm:f>
              </x14:cfvo>
              <x14:borderColor theme="0"/>
              <x14:negativeFillColor rgb="FFFF0000"/>
              <x14:axisColor rgb="FF000000"/>
            </x14:dataBar>
          </x14:cfRule>
          <xm:sqref>J3407</xm:sqref>
        </x14:conditionalFormatting>
        <x14:conditionalFormatting xmlns:xm="http://schemas.microsoft.com/office/excel/2006/main">
          <x14:cfRule type="dataBar" id="{4F7807EC-D94B-4678-8043-85B65554A089}">
            <x14:dataBar minLength="0" maxLength="100" border="1" gradient="0">
              <x14:cfvo type="num">
                <xm:f>0</xm:f>
              </x14:cfvo>
              <x14:cfvo type="num">
                <xm:f>1</xm:f>
              </x14:cfvo>
              <x14:borderColor theme="0"/>
              <x14:negativeFillColor rgb="FFFF0000"/>
              <x14:axisColor rgb="FF000000"/>
            </x14:dataBar>
          </x14:cfRule>
          <xm:sqref>J3409</xm:sqref>
        </x14:conditionalFormatting>
        <x14:conditionalFormatting xmlns:xm="http://schemas.microsoft.com/office/excel/2006/main">
          <x14:cfRule type="dataBar" id="{8047C063-B204-42D5-B30F-70DA05938531}">
            <x14:dataBar minLength="0" maxLength="100" border="1" gradient="0">
              <x14:cfvo type="num">
                <xm:f>0</xm:f>
              </x14:cfvo>
              <x14:cfvo type="num">
                <xm:f>1</xm:f>
              </x14:cfvo>
              <x14:borderColor theme="0"/>
              <x14:negativeFillColor rgb="FFFF0000"/>
              <x14:axisColor rgb="FF000000"/>
            </x14:dataBar>
          </x14:cfRule>
          <xm:sqref>J3411</xm:sqref>
        </x14:conditionalFormatting>
        <x14:conditionalFormatting xmlns:xm="http://schemas.microsoft.com/office/excel/2006/main">
          <x14:cfRule type="dataBar" id="{6F58474A-D324-49BC-8EAA-FE11618E78CA}">
            <x14:dataBar minLength="0" maxLength="100" border="1" gradient="0">
              <x14:cfvo type="num">
                <xm:f>0</xm:f>
              </x14:cfvo>
              <x14:cfvo type="num">
                <xm:f>1</xm:f>
              </x14:cfvo>
              <x14:borderColor theme="0"/>
              <x14:negativeFillColor rgb="FFFF0000"/>
              <x14:axisColor rgb="FF000000"/>
            </x14:dataBar>
          </x14:cfRule>
          <xm:sqref>J3413</xm:sqref>
        </x14:conditionalFormatting>
        <x14:conditionalFormatting xmlns:xm="http://schemas.microsoft.com/office/excel/2006/main">
          <x14:cfRule type="dataBar" id="{1316AC30-80FA-4BD3-A4A3-E813FF95AF0A}">
            <x14:dataBar minLength="0" maxLength="100" border="1" gradient="0">
              <x14:cfvo type="num">
                <xm:f>0</xm:f>
              </x14:cfvo>
              <x14:cfvo type="num">
                <xm:f>1</xm:f>
              </x14:cfvo>
              <x14:borderColor theme="0"/>
              <x14:negativeFillColor rgb="FFFF0000"/>
              <x14:axisColor rgb="FF000000"/>
            </x14:dataBar>
          </x14:cfRule>
          <xm:sqref>J3416</xm:sqref>
        </x14:conditionalFormatting>
        <x14:conditionalFormatting xmlns:xm="http://schemas.microsoft.com/office/excel/2006/main">
          <x14:cfRule type="dataBar" id="{ED1C64EB-3DC1-43DF-909F-FBA127F7BFF6}">
            <x14:dataBar minLength="0" maxLength="100" border="1" gradient="0">
              <x14:cfvo type="num">
                <xm:f>0</xm:f>
              </x14:cfvo>
              <x14:cfvo type="num">
                <xm:f>1</xm:f>
              </x14:cfvo>
              <x14:borderColor theme="0"/>
              <x14:negativeFillColor rgb="FFFF0000"/>
              <x14:axisColor rgb="FF000000"/>
            </x14:dataBar>
          </x14:cfRule>
          <xm:sqref>J3418</xm:sqref>
        </x14:conditionalFormatting>
        <x14:conditionalFormatting xmlns:xm="http://schemas.microsoft.com/office/excel/2006/main">
          <x14:cfRule type="dataBar" id="{020A992F-5975-4792-95CC-06CF3D5BDD3B}">
            <x14:dataBar minLength="0" maxLength="100" border="1" gradient="0">
              <x14:cfvo type="num">
                <xm:f>0</xm:f>
              </x14:cfvo>
              <x14:cfvo type="num">
                <xm:f>1</xm:f>
              </x14:cfvo>
              <x14:borderColor theme="0"/>
              <x14:negativeFillColor rgb="FFFF0000"/>
              <x14:axisColor rgb="FF000000"/>
            </x14:dataBar>
          </x14:cfRule>
          <xm:sqref>J3420</xm:sqref>
        </x14:conditionalFormatting>
        <x14:conditionalFormatting xmlns:xm="http://schemas.microsoft.com/office/excel/2006/main">
          <x14:cfRule type="dataBar" id="{AA6B5DE2-1576-47B9-9418-DFD1187CB277}">
            <x14:dataBar minLength="0" maxLength="100" border="1" gradient="0">
              <x14:cfvo type="num">
                <xm:f>0</xm:f>
              </x14:cfvo>
              <x14:cfvo type="num">
                <xm:f>1</xm:f>
              </x14:cfvo>
              <x14:borderColor theme="0"/>
              <x14:negativeFillColor rgb="FFFF0000"/>
              <x14:axisColor rgb="FF000000"/>
            </x14:dataBar>
          </x14:cfRule>
          <xm:sqref>J3422</xm:sqref>
        </x14:conditionalFormatting>
        <x14:conditionalFormatting xmlns:xm="http://schemas.microsoft.com/office/excel/2006/main">
          <x14:cfRule type="dataBar" id="{96C2E5DF-C9B6-4ECD-98E3-B81A485E061A}">
            <x14:dataBar minLength="0" maxLength="100" border="1" gradient="0">
              <x14:cfvo type="num">
                <xm:f>0</xm:f>
              </x14:cfvo>
              <x14:cfvo type="num">
                <xm:f>1</xm:f>
              </x14:cfvo>
              <x14:borderColor theme="0"/>
              <x14:negativeFillColor rgb="FFFF0000"/>
              <x14:axisColor rgb="FF000000"/>
            </x14:dataBar>
          </x14:cfRule>
          <xm:sqref>J3424</xm:sqref>
        </x14:conditionalFormatting>
        <x14:conditionalFormatting xmlns:xm="http://schemas.microsoft.com/office/excel/2006/main">
          <x14:cfRule type="dataBar" id="{926D502F-1FAE-4124-AADE-CC228F4E70A2}">
            <x14:dataBar minLength="0" maxLength="100" border="1" gradient="0">
              <x14:cfvo type="num">
                <xm:f>0</xm:f>
              </x14:cfvo>
              <x14:cfvo type="num">
                <xm:f>1</xm:f>
              </x14:cfvo>
              <x14:borderColor theme="0"/>
              <x14:negativeFillColor rgb="FFFF0000"/>
              <x14:axisColor rgb="FF000000"/>
            </x14:dataBar>
          </x14:cfRule>
          <xm:sqref>J3426</xm:sqref>
        </x14:conditionalFormatting>
        <x14:conditionalFormatting xmlns:xm="http://schemas.microsoft.com/office/excel/2006/main">
          <x14:cfRule type="dataBar" id="{159AA791-8BF4-4000-BD6A-7E21E6195214}">
            <x14:dataBar minLength="0" maxLength="100" border="1" gradient="0">
              <x14:cfvo type="num">
                <xm:f>0</xm:f>
              </x14:cfvo>
              <x14:cfvo type="num">
                <xm:f>1</xm:f>
              </x14:cfvo>
              <x14:borderColor theme="0"/>
              <x14:negativeFillColor rgb="FFFF0000"/>
              <x14:axisColor rgb="FF000000"/>
            </x14:dataBar>
          </x14:cfRule>
          <xm:sqref>J3428</xm:sqref>
        </x14:conditionalFormatting>
        <x14:conditionalFormatting xmlns:xm="http://schemas.microsoft.com/office/excel/2006/main">
          <x14:cfRule type="dataBar" id="{94BB2699-FA22-4CAB-AA08-FCF1D0D3E1B0}">
            <x14:dataBar minLength="0" maxLength="100" border="1" gradient="0">
              <x14:cfvo type="num">
                <xm:f>0</xm:f>
              </x14:cfvo>
              <x14:cfvo type="num">
                <xm:f>1</xm:f>
              </x14:cfvo>
              <x14:borderColor theme="0"/>
              <x14:negativeFillColor rgb="FFFF0000"/>
              <x14:axisColor rgb="FF000000"/>
            </x14:dataBar>
          </x14:cfRule>
          <xm:sqref>J3430</xm:sqref>
        </x14:conditionalFormatting>
        <x14:conditionalFormatting xmlns:xm="http://schemas.microsoft.com/office/excel/2006/main">
          <x14:cfRule type="dataBar" id="{FE0FE88F-DFCA-4C09-BE30-5E20E3E52582}">
            <x14:dataBar minLength="0" maxLength="100" border="1" gradient="0">
              <x14:cfvo type="num">
                <xm:f>0</xm:f>
              </x14:cfvo>
              <x14:cfvo type="num">
                <xm:f>1</xm:f>
              </x14:cfvo>
              <x14:borderColor theme="0"/>
              <x14:negativeFillColor rgb="FFFF0000"/>
              <x14:axisColor rgb="FF000000"/>
            </x14:dataBar>
          </x14:cfRule>
          <xm:sqref>J3432</xm:sqref>
        </x14:conditionalFormatting>
        <x14:conditionalFormatting xmlns:xm="http://schemas.microsoft.com/office/excel/2006/main">
          <x14:cfRule type="dataBar" id="{5F2F6CD4-27D6-427F-8A81-ECADE6244B21}">
            <x14:dataBar minLength="0" maxLength="100" border="1" gradient="0">
              <x14:cfvo type="num">
                <xm:f>0</xm:f>
              </x14:cfvo>
              <x14:cfvo type="num">
                <xm:f>1</xm:f>
              </x14:cfvo>
              <x14:borderColor theme="0"/>
              <x14:negativeFillColor rgb="FFFF0000"/>
              <x14:axisColor rgb="FF000000"/>
            </x14:dataBar>
          </x14:cfRule>
          <xm:sqref>J3434</xm:sqref>
        </x14:conditionalFormatting>
        <x14:conditionalFormatting xmlns:xm="http://schemas.microsoft.com/office/excel/2006/main">
          <x14:cfRule type="dataBar" id="{8949E309-7954-4B3F-9F52-FAD0FF547341}">
            <x14:dataBar minLength="0" maxLength="100" border="1" gradient="0">
              <x14:cfvo type="num">
                <xm:f>0</xm:f>
              </x14:cfvo>
              <x14:cfvo type="num">
                <xm:f>1</xm:f>
              </x14:cfvo>
              <x14:borderColor theme="0"/>
              <x14:negativeFillColor rgb="FFFF0000"/>
              <x14:axisColor rgb="FF000000"/>
            </x14:dataBar>
          </x14:cfRule>
          <xm:sqref>J3436</xm:sqref>
        </x14:conditionalFormatting>
        <x14:conditionalFormatting xmlns:xm="http://schemas.microsoft.com/office/excel/2006/main">
          <x14:cfRule type="dataBar" id="{5094D915-382D-4511-88A1-86B8846456DC}">
            <x14:dataBar minLength="0" maxLength="100" border="1" gradient="0">
              <x14:cfvo type="num">
                <xm:f>0</xm:f>
              </x14:cfvo>
              <x14:cfvo type="num">
                <xm:f>1</xm:f>
              </x14:cfvo>
              <x14:borderColor theme="0"/>
              <x14:negativeFillColor rgb="FFFF0000"/>
              <x14:axisColor rgb="FF000000"/>
            </x14:dataBar>
          </x14:cfRule>
          <xm:sqref>J3438</xm:sqref>
        </x14:conditionalFormatting>
        <x14:conditionalFormatting xmlns:xm="http://schemas.microsoft.com/office/excel/2006/main">
          <x14:cfRule type="dataBar" id="{8B084609-1EA1-464A-AB22-D0F1725465C4}">
            <x14:dataBar minLength="0" maxLength="100" border="1" gradient="0">
              <x14:cfvo type="num">
                <xm:f>0</xm:f>
              </x14:cfvo>
              <x14:cfvo type="num">
                <xm:f>1</xm:f>
              </x14:cfvo>
              <x14:borderColor theme="0"/>
              <x14:negativeFillColor rgb="FFFF0000"/>
              <x14:axisColor rgb="FF000000"/>
            </x14:dataBar>
          </x14:cfRule>
          <xm:sqref>J3440</xm:sqref>
        </x14:conditionalFormatting>
        <x14:conditionalFormatting xmlns:xm="http://schemas.microsoft.com/office/excel/2006/main">
          <x14:cfRule type="dataBar" id="{CA318C2A-D722-44B1-BF4B-7E7733358065}">
            <x14:dataBar minLength="0" maxLength="100" border="1" gradient="0">
              <x14:cfvo type="num">
                <xm:f>0</xm:f>
              </x14:cfvo>
              <x14:cfvo type="num">
                <xm:f>1</xm:f>
              </x14:cfvo>
              <x14:borderColor theme="0"/>
              <x14:negativeFillColor rgb="FFFF0000"/>
              <x14:axisColor rgb="FF000000"/>
            </x14:dataBar>
          </x14:cfRule>
          <xm:sqref>J3442</xm:sqref>
        </x14:conditionalFormatting>
        <x14:conditionalFormatting xmlns:xm="http://schemas.microsoft.com/office/excel/2006/main">
          <x14:cfRule type="dataBar" id="{A24B3277-717B-40AA-B47B-D84752EA9869}">
            <x14:dataBar minLength="0" maxLength="100" border="1" gradient="0">
              <x14:cfvo type="num">
                <xm:f>0</xm:f>
              </x14:cfvo>
              <x14:cfvo type="num">
                <xm:f>1</xm:f>
              </x14:cfvo>
              <x14:borderColor theme="0"/>
              <x14:negativeFillColor rgb="FFFF0000"/>
              <x14:axisColor rgb="FF000000"/>
            </x14:dataBar>
          </x14:cfRule>
          <xm:sqref>J3444</xm:sqref>
        </x14:conditionalFormatting>
        <x14:conditionalFormatting xmlns:xm="http://schemas.microsoft.com/office/excel/2006/main">
          <x14:cfRule type="dataBar" id="{C76DF975-B793-48AC-BBFE-3698277FD364}">
            <x14:dataBar minLength="0" maxLength="100" border="1" gradient="0">
              <x14:cfvo type="num">
                <xm:f>0</xm:f>
              </x14:cfvo>
              <x14:cfvo type="num">
                <xm:f>1</xm:f>
              </x14:cfvo>
              <x14:borderColor theme="0"/>
              <x14:negativeFillColor rgb="FFFF0000"/>
              <x14:axisColor rgb="FF000000"/>
            </x14:dataBar>
          </x14:cfRule>
          <xm:sqref>J3446</xm:sqref>
        </x14:conditionalFormatting>
        <x14:conditionalFormatting xmlns:xm="http://schemas.microsoft.com/office/excel/2006/main">
          <x14:cfRule type="dataBar" id="{B557A773-D53B-456A-B66C-26BD71F375B4}">
            <x14:dataBar minLength="0" maxLength="100" border="1" gradient="0">
              <x14:cfvo type="num">
                <xm:f>0</xm:f>
              </x14:cfvo>
              <x14:cfvo type="num">
                <xm:f>1</xm:f>
              </x14:cfvo>
              <x14:borderColor theme="0"/>
              <x14:negativeFillColor rgb="FFFF0000"/>
              <x14:axisColor rgb="FF000000"/>
            </x14:dataBar>
          </x14:cfRule>
          <xm:sqref>J3448</xm:sqref>
        </x14:conditionalFormatting>
        <x14:conditionalFormatting xmlns:xm="http://schemas.microsoft.com/office/excel/2006/main">
          <x14:cfRule type="dataBar" id="{18472FC2-4CD2-431D-A6EF-C9C5D262AAB0}">
            <x14:dataBar minLength="0" maxLength="100" border="1" gradient="0">
              <x14:cfvo type="num">
                <xm:f>0</xm:f>
              </x14:cfvo>
              <x14:cfvo type="num">
                <xm:f>1</xm:f>
              </x14:cfvo>
              <x14:borderColor theme="0"/>
              <x14:negativeFillColor rgb="FFFF0000"/>
              <x14:axisColor rgb="FF000000"/>
            </x14:dataBar>
          </x14:cfRule>
          <xm:sqref>J3450</xm:sqref>
        </x14:conditionalFormatting>
        <x14:conditionalFormatting xmlns:xm="http://schemas.microsoft.com/office/excel/2006/main">
          <x14:cfRule type="dataBar" id="{7A33914E-F0D6-4AA8-84CB-D6E8E206B3C5}">
            <x14:dataBar minLength="0" maxLength="100" border="1" gradient="0">
              <x14:cfvo type="num">
                <xm:f>0</xm:f>
              </x14:cfvo>
              <x14:cfvo type="num">
                <xm:f>1</xm:f>
              </x14:cfvo>
              <x14:borderColor theme="0"/>
              <x14:negativeFillColor rgb="FFFF0000"/>
              <x14:axisColor rgb="FF000000"/>
            </x14:dataBar>
          </x14:cfRule>
          <xm:sqref>J3452</xm:sqref>
        </x14:conditionalFormatting>
        <x14:conditionalFormatting xmlns:xm="http://schemas.microsoft.com/office/excel/2006/main">
          <x14:cfRule type="dataBar" id="{BA2259E7-E2D7-49A9-A4D0-1A216FC4166F}">
            <x14:dataBar minLength="0" maxLength="100" border="1" gradient="0">
              <x14:cfvo type="num">
                <xm:f>0</xm:f>
              </x14:cfvo>
              <x14:cfvo type="num">
                <xm:f>1</xm:f>
              </x14:cfvo>
              <x14:borderColor theme="0"/>
              <x14:negativeFillColor rgb="FFFF0000"/>
              <x14:axisColor rgb="FF000000"/>
            </x14:dataBar>
          </x14:cfRule>
          <xm:sqref>J3454</xm:sqref>
        </x14:conditionalFormatting>
        <x14:conditionalFormatting xmlns:xm="http://schemas.microsoft.com/office/excel/2006/main">
          <x14:cfRule type="dataBar" id="{3A1004D4-64D6-4F0C-9297-93E9148EEC59}">
            <x14:dataBar minLength="0" maxLength="100" border="1" gradient="0">
              <x14:cfvo type="num">
                <xm:f>0</xm:f>
              </x14:cfvo>
              <x14:cfvo type="num">
                <xm:f>1</xm:f>
              </x14:cfvo>
              <x14:borderColor theme="0"/>
              <x14:negativeFillColor rgb="FFFF0000"/>
              <x14:axisColor rgb="FF000000"/>
            </x14:dataBar>
          </x14:cfRule>
          <xm:sqref>J3456</xm:sqref>
        </x14:conditionalFormatting>
        <x14:conditionalFormatting xmlns:xm="http://schemas.microsoft.com/office/excel/2006/main">
          <x14:cfRule type="dataBar" id="{828D0820-C3A2-428F-AF89-4135308C97E4}">
            <x14:dataBar minLength="0" maxLength="100" border="1" gradient="0">
              <x14:cfvo type="num">
                <xm:f>0</xm:f>
              </x14:cfvo>
              <x14:cfvo type="num">
                <xm:f>1</xm:f>
              </x14:cfvo>
              <x14:borderColor theme="0"/>
              <x14:negativeFillColor rgb="FFFF0000"/>
              <x14:axisColor rgb="FF000000"/>
            </x14:dataBar>
          </x14:cfRule>
          <xm:sqref>J3458</xm:sqref>
        </x14:conditionalFormatting>
        <x14:conditionalFormatting xmlns:xm="http://schemas.microsoft.com/office/excel/2006/main">
          <x14:cfRule type="dataBar" id="{C968C48A-926B-48D8-962D-D2167DF119AF}">
            <x14:dataBar minLength="0" maxLength="100" border="1" gradient="0">
              <x14:cfvo type="num">
                <xm:f>0</xm:f>
              </x14:cfvo>
              <x14:cfvo type="num">
                <xm:f>1</xm:f>
              </x14:cfvo>
              <x14:borderColor theme="0"/>
              <x14:negativeFillColor rgb="FFFF0000"/>
              <x14:axisColor rgb="FF000000"/>
            </x14:dataBar>
          </x14:cfRule>
          <xm:sqref>J3460</xm:sqref>
        </x14:conditionalFormatting>
        <x14:conditionalFormatting xmlns:xm="http://schemas.microsoft.com/office/excel/2006/main">
          <x14:cfRule type="dataBar" id="{886264C2-1181-40CD-92E1-A622B4A0AAB0}">
            <x14:dataBar minLength="0" maxLength="100" border="1" gradient="0">
              <x14:cfvo type="num">
                <xm:f>0</xm:f>
              </x14:cfvo>
              <x14:cfvo type="num">
                <xm:f>1</xm:f>
              </x14:cfvo>
              <x14:borderColor theme="0"/>
              <x14:negativeFillColor rgb="FFFF0000"/>
              <x14:axisColor rgb="FF000000"/>
            </x14:dataBar>
          </x14:cfRule>
          <xm:sqref>J3462</xm:sqref>
        </x14:conditionalFormatting>
        <x14:conditionalFormatting xmlns:xm="http://schemas.microsoft.com/office/excel/2006/main">
          <x14:cfRule type="dataBar" id="{22A5A0C0-572F-4EE1-B57F-74BF19C4CEFC}">
            <x14:dataBar minLength="0" maxLength="100" border="1" gradient="0">
              <x14:cfvo type="num">
                <xm:f>0</xm:f>
              </x14:cfvo>
              <x14:cfvo type="num">
                <xm:f>1</xm:f>
              </x14:cfvo>
              <x14:borderColor theme="0"/>
              <x14:negativeFillColor rgb="FFFF0000"/>
              <x14:axisColor rgb="FF000000"/>
            </x14:dataBar>
          </x14:cfRule>
          <xm:sqref>J3464</xm:sqref>
        </x14:conditionalFormatting>
        <x14:conditionalFormatting xmlns:xm="http://schemas.microsoft.com/office/excel/2006/main">
          <x14:cfRule type="dataBar" id="{982D7046-0663-46F5-8FFC-DE7788E011A9}">
            <x14:dataBar minLength="0" maxLength="100" border="1" gradient="0">
              <x14:cfvo type="num">
                <xm:f>0</xm:f>
              </x14:cfvo>
              <x14:cfvo type="num">
                <xm:f>1</xm:f>
              </x14:cfvo>
              <x14:borderColor theme="0"/>
              <x14:negativeFillColor rgb="FFFF0000"/>
              <x14:axisColor rgb="FF000000"/>
            </x14:dataBar>
          </x14:cfRule>
          <xm:sqref>J3466</xm:sqref>
        </x14:conditionalFormatting>
        <x14:conditionalFormatting xmlns:xm="http://schemas.microsoft.com/office/excel/2006/main">
          <x14:cfRule type="dataBar" id="{824E0F40-0FB5-4129-B22F-5D9F3BB900BB}">
            <x14:dataBar minLength="0" maxLength="100" border="1" gradient="0">
              <x14:cfvo type="num">
                <xm:f>0</xm:f>
              </x14:cfvo>
              <x14:cfvo type="num">
                <xm:f>1</xm:f>
              </x14:cfvo>
              <x14:borderColor theme="0"/>
              <x14:negativeFillColor rgb="FFFF0000"/>
              <x14:axisColor rgb="FF000000"/>
            </x14:dataBar>
          </x14:cfRule>
          <xm:sqref>J3468</xm:sqref>
        </x14:conditionalFormatting>
        <x14:conditionalFormatting xmlns:xm="http://schemas.microsoft.com/office/excel/2006/main">
          <x14:cfRule type="dataBar" id="{11D9F320-0C03-472A-8EA5-F4934EE97556}">
            <x14:dataBar minLength="0" maxLength="100" border="1" gradient="0">
              <x14:cfvo type="num">
                <xm:f>0</xm:f>
              </x14:cfvo>
              <x14:cfvo type="num">
                <xm:f>1</xm:f>
              </x14:cfvo>
              <x14:borderColor theme="0"/>
              <x14:negativeFillColor rgb="FFFF0000"/>
              <x14:axisColor rgb="FF000000"/>
            </x14:dataBar>
          </x14:cfRule>
          <xm:sqref>J3470</xm:sqref>
        </x14:conditionalFormatting>
        <x14:conditionalFormatting xmlns:xm="http://schemas.microsoft.com/office/excel/2006/main">
          <x14:cfRule type="dataBar" id="{AC3832DD-8742-4C1E-A379-450922543FCB}">
            <x14:dataBar minLength="0" maxLength="100" border="1" gradient="0">
              <x14:cfvo type="num">
                <xm:f>0</xm:f>
              </x14:cfvo>
              <x14:cfvo type="num">
                <xm:f>1</xm:f>
              </x14:cfvo>
              <x14:borderColor theme="0"/>
              <x14:negativeFillColor rgb="FFFF0000"/>
              <x14:axisColor rgb="FF000000"/>
            </x14:dataBar>
          </x14:cfRule>
          <xm:sqref>J3472</xm:sqref>
        </x14:conditionalFormatting>
        <x14:conditionalFormatting xmlns:xm="http://schemas.microsoft.com/office/excel/2006/main">
          <x14:cfRule type="dataBar" id="{6D9CE7B3-1697-45BE-A192-697A59D06DB5}">
            <x14:dataBar minLength="0" maxLength="100" border="1" gradient="0">
              <x14:cfvo type="num">
                <xm:f>0</xm:f>
              </x14:cfvo>
              <x14:cfvo type="num">
                <xm:f>1</xm:f>
              </x14:cfvo>
              <x14:borderColor theme="0"/>
              <x14:negativeFillColor rgb="FFFF0000"/>
              <x14:axisColor rgb="FF000000"/>
            </x14:dataBar>
          </x14:cfRule>
          <xm:sqref>J3474</xm:sqref>
        </x14:conditionalFormatting>
        <x14:conditionalFormatting xmlns:xm="http://schemas.microsoft.com/office/excel/2006/main">
          <x14:cfRule type="dataBar" id="{CE66FCA4-A151-4048-86B2-128949EBCB3F}">
            <x14:dataBar minLength="0" maxLength="100" border="1" gradient="0">
              <x14:cfvo type="num">
                <xm:f>0</xm:f>
              </x14:cfvo>
              <x14:cfvo type="num">
                <xm:f>1</xm:f>
              </x14:cfvo>
              <x14:borderColor theme="0"/>
              <x14:negativeFillColor rgb="FFFF0000"/>
              <x14:axisColor rgb="FF000000"/>
            </x14:dataBar>
          </x14:cfRule>
          <xm:sqref>J3476</xm:sqref>
        </x14:conditionalFormatting>
        <x14:conditionalFormatting xmlns:xm="http://schemas.microsoft.com/office/excel/2006/main">
          <x14:cfRule type="dataBar" id="{7EAB632C-3FF9-4E23-A63E-072BE79EBCA9}">
            <x14:dataBar minLength="0" maxLength="100" border="1" gradient="0">
              <x14:cfvo type="num">
                <xm:f>0</xm:f>
              </x14:cfvo>
              <x14:cfvo type="num">
                <xm:f>1</xm:f>
              </x14:cfvo>
              <x14:borderColor theme="0"/>
              <x14:negativeFillColor rgb="FFFF0000"/>
              <x14:axisColor rgb="FF000000"/>
            </x14:dataBar>
          </x14:cfRule>
          <xm:sqref>J3478</xm:sqref>
        </x14:conditionalFormatting>
        <x14:conditionalFormatting xmlns:xm="http://schemas.microsoft.com/office/excel/2006/main">
          <x14:cfRule type="dataBar" id="{22EAEE70-64E3-4310-B904-AE48EBAFAB6D}">
            <x14:dataBar minLength="0" maxLength="100" border="1" gradient="0">
              <x14:cfvo type="num">
                <xm:f>0</xm:f>
              </x14:cfvo>
              <x14:cfvo type="num">
                <xm:f>1</xm:f>
              </x14:cfvo>
              <x14:borderColor theme="0"/>
              <x14:negativeFillColor rgb="FFFF0000"/>
              <x14:axisColor rgb="FF000000"/>
            </x14:dataBar>
          </x14:cfRule>
          <xm:sqref>J3480</xm:sqref>
        </x14:conditionalFormatting>
        <x14:conditionalFormatting xmlns:xm="http://schemas.microsoft.com/office/excel/2006/main">
          <x14:cfRule type="dataBar" id="{E8E07AC1-4A34-4281-94F7-0BB287BCA3FF}">
            <x14:dataBar minLength="0" maxLength="100" border="1" gradient="0">
              <x14:cfvo type="num">
                <xm:f>0</xm:f>
              </x14:cfvo>
              <x14:cfvo type="num">
                <xm:f>1</xm:f>
              </x14:cfvo>
              <x14:borderColor theme="0"/>
              <x14:negativeFillColor rgb="FFFF0000"/>
              <x14:axisColor rgb="FF000000"/>
            </x14:dataBar>
          </x14:cfRule>
          <xm:sqref>J3482</xm:sqref>
        </x14:conditionalFormatting>
        <x14:conditionalFormatting xmlns:xm="http://schemas.microsoft.com/office/excel/2006/main">
          <x14:cfRule type="dataBar" id="{D1F96683-9673-4E6C-B3CA-BBA68E84563D}">
            <x14:dataBar minLength="0" maxLength="100" border="1" gradient="0">
              <x14:cfvo type="num">
                <xm:f>0</xm:f>
              </x14:cfvo>
              <x14:cfvo type="num">
                <xm:f>1</xm:f>
              </x14:cfvo>
              <x14:borderColor theme="0"/>
              <x14:negativeFillColor rgb="FFFF0000"/>
              <x14:axisColor rgb="FF000000"/>
            </x14:dataBar>
          </x14:cfRule>
          <xm:sqref>J3484</xm:sqref>
        </x14:conditionalFormatting>
        <x14:conditionalFormatting xmlns:xm="http://schemas.microsoft.com/office/excel/2006/main">
          <x14:cfRule type="dataBar" id="{25DB5739-2EE8-4D4D-B7FC-5BD936CC6072}">
            <x14:dataBar minLength="0" maxLength="100" border="1" gradient="0">
              <x14:cfvo type="num">
                <xm:f>0</xm:f>
              </x14:cfvo>
              <x14:cfvo type="num">
                <xm:f>1</xm:f>
              </x14:cfvo>
              <x14:borderColor theme="0"/>
              <x14:negativeFillColor rgb="FFFF0000"/>
              <x14:axisColor rgb="FF000000"/>
            </x14:dataBar>
          </x14:cfRule>
          <xm:sqref>J3486</xm:sqref>
        </x14:conditionalFormatting>
        <x14:conditionalFormatting xmlns:xm="http://schemas.microsoft.com/office/excel/2006/main">
          <x14:cfRule type="dataBar" id="{35A8C46E-E0A9-45B5-984E-3E14E551063B}">
            <x14:dataBar minLength="0" maxLength="100" border="1" gradient="0">
              <x14:cfvo type="num">
                <xm:f>0</xm:f>
              </x14:cfvo>
              <x14:cfvo type="num">
                <xm:f>1</xm:f>
              </x14:cfvo>
              <x14:borderColor theme="0"/>
              <x14:negativeFillColor rgb="FFFF0000"/>
              <x14:axisColor rgb="FF000000"/>
            </x14:dataBar>
          </x14:cfRule>
          <xm:sqref>J3489</xm:sqref>
        </x14:conditionalFormatting>
        <x14:conditionalFormatting xmlns:xm="http://schemas.microsoft.com/office/excel/2006/main">
          <x14:cfRule type="dataBar" id="{675E5455-79FF-4A9D-86E3-ABBF47390261}">
            <x14:dataBar minLength="0" maxLength="100" border="1" gradient="0">
              <x14:cfvo type="num">
                <xm:f>0</xm:f>
              </x14:cfvo>
              <x14:cfvo type="num">
                <xm:f>1</xm:f>
              </x14:cfvo>
              <x14:borderColor theme="0"/>
              <x14:negativeFillColor rgb="FFFF0000"/>
              <x14:axisColor rgb="FF000000"/>
            </x14:dataBar>
          </x14:cfRule>
          <xm:sqref>J3491</xm:sqref>
        </x14:conditionalFormatting>
        <x14:conditionalFormatting xmlns:xm="http://schemas.microsoft.com/office/excel/2006/main">
          <x14:cfRule type="dataBar" id="{B0BD68C5-15B3-41F1-8C95-7421FF6C4B0B}">
            <x14:dataBar minLength="0" maxLength="100" border="1" gradient="0">
              <x14:cfvo type="num">
                <xm:f>0</xm:f>
              </x14:cfvo>
              <x14:cfvo type="num">
                <xm:f>1</xm:f>
              </x14:cfvo>
              <x14:borderColor theme="0"/>
              <x14:negativeFillColor rgb="FFFF0000"/>
              <x14:axisColor rgb="FF000000"/>
            </x14:dataBar>
          </x14:cfRule>
          <xm:sqref>J3493</xm:sqref>
        </x14:conditionalFormatting>
        <x14:conditionalFormatting xmlns:xm="http://schemas.microsoft.com/office/excel/2006/main">
          <x14:cfRule type="dataBar" id="{A9953412-6363-4676-826A-0AAD4FC5CF19}">
            <x14:dataBar minLength="0" maxLength="100" border="1" gradient="0">
              <x14:cfvo type="num">
                <xm:f>0</xm:f>
              </x14:cfvo>
              <x14:cfvo type="num">
                <xm:f>1</xm:f>
              </x14:cfvo>
              <x14:borderColor theme="0"/>
              <x14:negativeFillColor rgb="FFFF0000"/>
              <x14:axisColor rgb="FF000000"/>
            </x14:dataBar>
          </x14:cfRule>
          <xm:sqref>J3495</xm:sqref>
        </x14:conditionalFormatting>
        <x14:conditionalFormatting xmlns:xm="http://schemas.microsoft.com/office/excel/2006/main">
          <x14:cfRule type="dataBar" id="{031F451D-1BE2-4204-B780-431F5338F147}">
            <x14:dataBar minLength="0" maxLength="100" border="1" gradient="0">
              <x14:cfvo type="num">
                <xm:f>0</xm:f>
              </x14:cfvo>
              <x14:cfvo type="num">
                <xm:f>1</xm:f>
              </x14:cfvo>
              <x14:borderColor theme="0"/>
              <x14:negativeFillColor rgb="FFFF0000"/>
              <x14:axisColor rgb="FF000000"/>
            </x14:dataBar>
          </x14:cfRule>
          <xm:sqref>J3497</xm:sqref>
        </x14:conditionalFormatting>
        <x14:conditionalFormatting xmlns:xm="http://schemas.microsoft.com/office/excel/2006/main">
          <x14:cfRule type="dataBar" id="{7DF78B8D-38FF-4FBB-8943-4FC626920480}">
            <x14:dataBar minLength="0" maxLength="100" border="1" gradient="0">
              <x14:cfvo type="num">
                <xm:f>0</xm:f>
              </x14:cfvo>
              <x14:cfvo type="num">
                <xm:f>1</xm:f>
              </x14:cfvo>
              <x14:borderColor theme="0"/>
              <x14:negativeFillColor rgb="FFFF0000"/>
              <x14:axisColor rgb="FF000000"/>
            </x14:dataBar>
          </x14:cfRule>
          <xm:sqref>J3499</xm:sqref>
        </x14:conditionalFormatting>
        <x14:conditionalFormatting xmlns:xm="http://schemas.microsoft.com/office/excel/2006/main">
          <x14:cfRule type="dataBar" id="{3988EBBF-6365-4CB4-9075-FF1556714392}">
            <x14:dataBar minLength="0" maxLength="100" border="1" gradient="0">
              <x14:cfvo type="num">
                <xm:f>0</xm:f>
              </x14:cfvo>
              <x14:cfvo type="num">
                <xm:f>1</xm:f>
              </x14:cfvo>
              <x14:borderColor theme="0"/>
              <x14:negativeFillColor rgb="FFFF0000"/>
              <x14:axisColor rgb="FF000000"/>
            </x14:dataBar>
          </x14:cfRule>
          <xm:sqref>J3503</xm:sqref>
        </x14:conditionalFormatting>
        <x14:conditionalFormatting xmlns:xm="http://schemas.microsoft.com/office/excel/2006/main">
          <x14:cfRule type="dataBar" id="{A4F7AB75-35F2-43BA-9807-074141930600}">
            <x14:dataBar minLength="0" maxLength="100" border="1" gradient="0">
              <x14:cfvo type="num">
                <xm:f>0</xm:f>
              </x14:cfvo>
              <x14:cfvo type="num">
                <xm:f>1</xm:f>
              </x14:cfvo>
              <x14:borderColor theme="0"/>
              <x14:negativeFillColor rgb="FFFF0000"/>
              <x14:axisColor rgb="FF000000"/>
            </x14:dataBar>
          </x14:cfRule>
          <xm:sqref>J3506</xm:sqref>
        </x14:conditionalFormatting>
        <x14:conditionalFormatting xmlns:xm="http://schemas.microsoft.com/office/excel/2006/main">
          <x14:cfRule type="dataBar" id="{448F1292-8281-4784-A39F-C188CE5FE671}">
            <x14:dataBar minLength="0" maxLength="100" border="1" gradient="0">
              <x14:cfvo type="num">
                <xm:f>0</xm:f>
              </x14:cfvo>
              <x14:cfvo type="num">
                <xm:f>1</xm:f>
              </x14:cfvo>
              <x14:borderColor theme="0"/>
              <x14:negativeFillColor rgb="FFFF0000"/>
              <x14:axisColor rgb="FF000000"/>
            </x14:dataBar>
          </x14:cfRule>
          <xm:sqref>J3508</xm:sqref>
        </x14:conditionalFormatting>
        <x14:conditionalFormatting xmlns:xm="http://schemas.microsoft.com/office/excel/2006/main">
          <x14:cfRule type="dataBar" id="{65257DCD-7251-4E5A-95EF-58F9EEB0A70C}">
            <x14:dataBar minLength="0" maxLength="100" border="1" gradient="0">
              <x14:cfvo type="num">
                <xm:f>0</xm:f>
              </x14:cfvo>
              <x14:cfvo type="num">
                <xm:f>1</xm:f>
              </x14:cfvo>
              <x14:borderColor theme="0"/>
              <x14:negativeFillColor rgb="FFFF0000"/>
              <x14:axisColor rgb="FF000000"/>
            </x14:dataBar>
          </x14:cfRule>
          <xm:sqref>J3510</xm:sqref>
        </x14:conditionalFormatting>
        <x14:conditionalFormatting xmlns:xm="http://schemas.microsoft.com/office/excel/2006/main">
          <x14:cfRule type="dataBar" id="{1C697DB7-67BC-4C35-9F21-3DABEE815683}">
            <x14:dataBar minLength="0" maxLength="100" border="1" gradient="0">
              <x14:cfvo type="num">
                <xm:f>0</xm:f>
              </x14:cfvo>
              <x14:cfvo type="num">
                <xm:f>1</xm:f>
              </x14:cfvo>
              <x14:borderColor theme="0"/>
              <x14:negativeFillColor rgb="FFFF0000"/>
              <x14:axisColor rgb="FF000000"/>
            </x14:dataBar>
          </x14:cfRule>
          <xm:sqref>J3512</xm:sqref>
        </x14:conditionalFormatting>
        <x14:conditionalFormatting xmlns:xm="http://schemas.microsoft.com/office/excel/2006/main">
          <x14:cfRule type="dataBar" id="{96AE1B13-2030-4453-ABCA-5A504AB1F475}">
            <x14:dataBar minLength="0" maxLength="100" border="1" gradient="0">
              <x14:cfvo type="num">
                <xm:f>0</xm:f>
              </x14:cfvo>
              <x14:cfvo type="num">
                <xm:f>1</xm:f>
              </x14:cfvo>
              <x14:borderColor theme="0"/>
              <x14:negativeFillColor rgb="FFFF0000"/>
              <x14:axisColor rgb="FF000000"/>
            </x14:dataBar>
          </x14:cfRule>
          <xm:sqref>J3514</xm:sqref>
        </x14:conditionalFormatting>
        <x14:conditionalFormatting xmlns:xm="http://schemas.microsoft.com/office/excel/2006/main">
          <x14:cfRule type="dataBar" id="{46934B8F-F8B8-4912-A7A9-8CF69D5F271A}">
            <x14:dataBar minLength="0" maxLength="100" border="1" gradient="0">
              <x14:cfvo type="num">
                <xm:f>0</xm:f>
              </x14:cfvo>
              <x14:cfvo type="num">
                <xm:f>1</xm:f>
              </x14:cfvo>
              <x14:borderColor theme="0"/>
              <x14:negativeFillColor rgb="FFFF0000"/>
              <x14:axisColor rgb="FF000000"/>
            </x14:dataBar>
          </x14:cfRule>
          <xm:sqref>N10</xm:sqref>
        </x14:conditionalFormatting>
        <x14:conditionalFormatting xmlns:xm="http://schemas.microsoft.com/office/excel/2006/main">
          <x14:cfRule type="dataBar" id="{A191493B-5BCB-4740-8120-9C3233801CF6}">
            <x14:dataBar minLength="0" maxLength="100" border="1" gradient="0">
              <x14:cfvo type="num">
                <xm:f>0</xm:f>
              </x14:cfvo>
              <x14:cfvo type="num">
                <xm:f>1</xm:f>
              </x14:cfvo>
              <x14:borderColor theme="0"/>
              <x14:negativeFillColor rgb="FFFF0000"/>
              <x14:axisColor rgb="FF000000"/>
            </x14:dataBar>
          </x14:cfRule>
          <xm:sqref>N14</xm:sqref>
        </x14:conditionalFormatting>
        <x14:conditionalFormatting xmlns:xm="http://schemas.microsoft.com/office/excel/2006/main">
          <x14:cfRule type="dataBar" id="{26E2655C-4863-4ADC-9876-E9BC963DC2E8}">
            <x14:dataBar minLength="0" maxLength="100" border="1" gradient="0">
              <x14:cfvo type="num">
                <xm:f>0</xm:f>
              </x14:cfvo>
              <x14:cfvo type="num">
                <xm:f>1</xm:f>
              </x14:cfvo>
              <x14:borderColor theme="0"/>
              <x14:negativeFillColor rgb="FFFF0000"/>
              <x14:axisColor rgb="FF000000"/>
            </x14:dataBar>
          </x14:cfRule>
          <xm:sqref>N16</xm:sqref>
        </x14:conditionalFormatting>
        <x14:conditionalFormatting xmlns:xm="http://schemas.microsoft.com/office/excel/2006/main">
          <x14:cfRule type="dataBar" id="{48077674-19D7-4D12-BF8C-8C234F22088E}">
            <x14:dataBar minLength="0" maxLength="100" border="1" gradient="0">
              <x14:cfvo type="num">
                <xm:f>0</xm:f>
              </x14:cfvo>
              <x14:cfvo type="num">
                <xm:f>1</xm:f>
              </x14:cfvo>
              <x14:borderColor theme="0"/>
              <x14:negativeFillColor rgb="FFFF0000"/>
              <x14:axisColor rgb="FF000000"/>
            </x14:dataBar>
          </x14:cfRule>
          <xm:sqref>N18</xm:sqref>
        </x14:conditionalFormatting>
        <x14:conditionalFormatting xmlns:xm="http://schemas.microsoft.com/office/excel/2006/main">
          <x14:cfRule type="dataBar" id="{9DA25537-83FC-4DB2-9108-E026BAAFDE10}">
            <x14:dataBar minLength="0" maxLength="100" border="1" gradient="0">
              <x14:cfvo type="num">
                <xm:f>0</xm:f>
              </x14:cfvo>
              <x14:cfvo type="num">
                <xm:f>1</xm:f>
              </x14:cfvo>
              <x14:borderColor theme="0"/>
              <x14:negativeFillColor rgb="FFFF0000"/>
              <x14:axisColor rgb="FF000000"/>
            </x14:dataBar>
          </x14:cfRule>
          <xm:sqref>N20</xm:sqref>
        </x14:conditionalFormatting>
        <x14:conditionalFormatting xmlns:xm="http://schemas.microsoft.com/office/excel/2006/main">
          <x14:cfRule type="dataBar" id="{9A5E8B55-3480-40D9-B803-1175E57C86D9}">
            <x14:dataBar minLength="0" maxLength="100" border="1" gradient="0">
              <x14:cfvo type="num">
                <xm:f>0</xm:f>
              </x14:cfvo>
              <x14:cfvo type="num">
                <xm:f>1</xm:f>
              </x14:cfvo>
              <x14:borderColor theme="0"/>
              <x14:negativeFillColor rgb="FFFF0000"/>
              <x14:axisColor rgb="FF000000"/>
            </x14:dataBar>
          </x14:cfRule>
          <xm:sqref>N22</xm:sqref>
        </x14:conditionalFormatting>
        <x14:conditionalFormatting xmlns:xm="http://schemas.microsoft.com/office/excel/2006/main">
          <x14:cfRule type="dataBar" id="{5FD76B25-3063-46B1-B59F-26446CE884BC}">
            <x14:dataBar minLength="0" maxLength="100" border="1" gradient="0">
              <x14:cfvo type="num">
                <xm:f>0</xm:f>
              </x14:cfvo>
              <x14:cfvo type="num">
                <xm:f>1</xm:f>
              </x14:cfvo>
              <x14:borderColor theme="0"/>
              <x14:negativeFillColor rgb="FFFF0000"/>
              <x14:axisColor rgb="FF000000"/>
            </x14:dataBar>
          </x14:cfRule>
          <xm:sqref>N24</xm:sqref>
        </x14:conditionalFormatting>
        <x14:conditionalFormatting xmlns:xm="http://schemas.microsoft.com/office/excel/2006/main">
          <x14:cfRule type="dataBar" id="{58AEA3DE-88B6-4342-B231-EB8DDE33CA99}">
            <x14:dataBar minLength="0" maxLength="100" border="1" gradient="0">
              <x14:cfvo type="num">
                <xm:f>0</xm:f>
              </x14:cfvo>
              <x14:cfvo type="num">
                <xm:f>1</xm:f>
              </x14:cfvo>
              <x14:borderColor theme="0"/>
              <x14:negativeFillColor rgb="FFFF0000"/>
              <x14:axisColor rgb="FF000000"/>
            </x14:dataBar>
          </x14:cfRule>
          <xm:sqref>N26</xm:sqref>
        </x14:conditionalFormatting>
        <x14:conditionalFormatting xmlns:xm="http://schemas.microsoft.com/office/excel/2006/main">
          <x14:cfRule type="dataBar" id="{032272B2-1A05-49F5-911E-E416B662A1C3}">
            <x14:dataBar minLength="0" maxLength="100" border="1" gradient="0">
              <x14:cfvo type="num">
                <xm:f>0</xm:f>
              </x14:cfvo>
              <x14:cfvo type="num">
                <xm:f>1</xm:f>
              </x14:cfvo>
              <x14:borderColor theme="0"/>
              <x14:negativeFillColor rgb="FFFF0000"/>
              <x14:axisColor rgb="FF000000"/>
            </x14:dataBar>
          </x14:cfRule>
          <xm:sqref>N28</xm:sqref>
        </x14:conditionalFormatting>
        <x14:conditionalFormatting xmlns:xm="http://schemas.microsoft.com/office/excel/2006/main">
          <x14:cfRule type="dataBar" id="{3F4FE322-5072-49D4-ADF4-3A4B9B4F3834}">
            <x14:dataBar minLength="0" maxLength="100" border="1" gradient="0">
              <x14:cfvo type="num">
                <xm:f>0</xm:f>
              </x14:cfvo>
              <x14:cfvo type="num">
                <xm:f>1</xm:f>
              </x14:cfvo>
              <x14:borderColor theme="0"/>
              <x14:negativeFillColor rgb="FFFF0000"/>
              <x14:axisColor rgb="FF000000"/>
            </x14:dataBar>
          </x14:cfRule>
          <xm:sqref>N30</xm:sqref>
        </x14:conditionalFormatting>
        <x14:conditionalFormatting xmlns:xm="http://schemas.microsoft.com/office/excel/2006/main">
          <x14:cfRule type="dataBar" id="{DEE05ED0-0322-4DF3-A5BF-7534BB9BAB0F}">
            <x14:dataBar minLength="0" maxLength="100" border="1" gradient="0">
              <x14:cfvo type="num">
                <xm:f>0</xm:f>
              </x14:cfvo>
              <x14:cfvo type="num">
                <xm:f>1</xm:f>
              </x14:cfvo>
              <x14:borderColor theme="0"/>
              <x14:negativeFillColor rgb="FFFF0000"/>
              <x14:axisColor rgb="FF000000"/>
            </x14:dataBar>
          </x14:cfRule>
          <xm:sqref>N32</xm:sqref>
        </x14:conditionalFormatting>
        <x14:conditionalFormatting xmlns:xm="http://schemas.microsoft.com/office/excel/2006/main">
          <x14:cfRule type="dataBar" id="{98EAE025-21A3-4AA1-B720-4F71943C5513}">
            <x14:dataBar minLength="0" maxLength="100" border="1" gradient="0">
              <x14:cfvo type="num">
                <xm:f>0</xm:f>
              </x14:cfvo>
              <x14:cfvo type="num">
                <xm:f>1</xm:f>
              </x14:cfvo>
              <x14:borderColor theme="0"/>
              <x14:negativeFillColor rgb="FFFF0000"/>
              <x14:axisColor rgb="FF000000"/>
            </x14:dataBar>
          </x14:cfRule>
          <xm:sqref>N34</xm:sqref>
        </x14:conditionalFormatting>
        <x14:conditionalFormatting xmlns:xm="http://schemas.microsoft.com/office/excel/2006/main">
          <x14:cfRule type="dataBar" id="{280AC3C5-71CE-47FF-B68A-0F42901BB996}">
            <x14:dataBar minLength="0" maxLength="100" border="1" gradient="0">
              <x14:cfvo type="num">
                <xm:f>0</xm:f>
              </x14:cfvo>
              <x14:cfvo type="num">
                <xm:f>1</xm:f>
              </x14:cfvo>
              <x14:borderColor theme="0"/>
              <x14:negativeFillColor rgb="FFFF0000"/>
              <x14:axisColor rgb="FF000000"/>
            </x14:dataBar>
          </x14:cfRule>
          <xm:sqref>N36</xm:sqref>
        </x14:conditionalFormatting>
        <x14:conditionalFormatting xmlns:xm="http://schemas.microsoft.com/office/excel/2006/main">
          <x14:cfRule type="dataBar" id="{41632D4A-C825-4262-903D-86F230EE3972}">
            <x14:dataBar minLength="0" maxLength="100" border="1" gradient="0">
              <x14:cfvo type="num">
                <xm:f>0</xm:f>
              </x14:cfvo>
              <x14:cfvo type="num">
                <xm:f>1</xm:f>
              </x14:cfvo>
              <x14:borderColor theme="0"/>
              <x14:negativeFillColor rgb="FFFF0000"/>
              <x14:axisColor rgb="FF000000"/>
            </x14:dataBar>
          </x14:cfRule>
          <xm:sqref>N38</xm:sqref>
        </x14:conditionalFormatting>
        <x14:conditionalFormatting xmlns:xm="http://schemas.microsoft.com/office/excel/2006/main">
          <x14:cfRule type="dataBar" id="{EEB8AC63-DEE6-466D-8896-A17494215F6A}">
            <x14:dataBar minLength="0" maxLength="100" border="1" gradient="0">
              <x14:cfvo type="num">
                <xm:f>0</xm:f>
              </x14:cfvo>
              <x14:cfvo type="num">
                <xm:f>1</xm:f>
              </x14:cfvo>
              <x14:borderColor theme="0"/>
              <x14:negativeFillColor rgb="FFFF0000"/>
              <x14:axisColor rgb="FF000000"/>
            </x14:dataBar>
          </x14:cfRule>
          <xm:sqref>N40</xm:sqref>
        </x14:conditionalFormatting>
        <x14:conditionalFormatting xmlns:xm="http://schemas.microsoft.com/office/excel/2006/main">
          <x14:cfRule type="dataBar" id="{31C69C4D-DBB5-4124-95A0-3C4E0195F73D}">
            <x14:dataBar minLength="0" maxLength="100" border="1" gradient="0">
              <x14:cfvo type="num">
                <xm:f>0</xm:f>
              </x14:cfvo>
              <x14:cfvo type="num">
                <xm:f>1</xm:f>
              </x14:cfvo>
              <x14:borderColor theme="0"/>
              <x14:negativeFillColor rgb="FFFF0000"/>
              <x14:axisColor rgb="FF000000"/>
            </x14:dataBar>
          </x14:cfRule>
          <xm:sqref>N42</xm:sqref>
        </x14:conditionalFormatting>
        <x14:conditionalFormatting xmlns:xm="http://schemas.microsoft.com/office/excel/2006/main">
          <x14:cfRule type="dataBar" id="{EBC1350B-3339-474D-84A2-F00417D2D74F}">
            <x14:dataBar minLength="0" maxLength="100" border="1" gradient="0">
              <x14:cfvo type="num">
                <xm:f>0</xm:f>
              </x14:cfvo>
              <x14:cfvo type="num">
                <xm:f>1</xm:f>
              </x14:cfvo>
              <x14:borderColor theme="0"/>
              <x14:negativeFillColor rgb="FFFF0000"/>
              <x14:axisColor rgb="FF000000"/>
            </x14:dataBar>
          </x14:cfRule>
          <xm:sqref>N44</xm:sqref>
        </x14:conditionalFormatting>
        <x14:conditionalFormatting xmlns:xm="http://schemas.microsoft.com/office/excel/2006/main">
          <x14:cfRule type="dataBar" id="{94719DA7-31C0-4101-8091-77E72272201A}">
            <x14:dataBar minLength="0" maxLength="100" border="1" gradient="0">
              <x14:cfvo type="num">
                <xm:f>0</xm:f>
              </x14:cfvo>
              <x14:cfvo type="num">
                <xm:f>1</xm:f>
              </x14:cfvo>
              <x14:borderColor theme="0"/>
              <x14:negativeFillColor rgb="FFFF0000"/>
              <x14:axisColor rgb="FF000000"/>
            </x14:dataBar>
          </x14:cfRule>
          <xm:sqref>N46</xm:sqref>
        </x14:conditionalFormatting>
        <x14:conditionalFormatting xmlns:xm="http://schemas.microsoft.com/office/excel/2006/main">
          <x14:cfRule type="dataBar" id="{1BDC9066-7E08-448C-893A-9F576965A3FC}">
            <x14:dataBar minLength="0" maxLength="100" border="1" gradient="0">
              <x14:cfvo type="num">
                <xm:f>0</xm:f>
              </x14:cfvo>
              <x14:cfvo type="num">
                <xm:f>1</xm:f>
              </x14:cfvo>
              <x14:borderColor theme="0"/>
              <x14:negativeFillColor rgb="FFFF0000"/>
              <x14:axisColor rgb="FF000000"/>
            </x14:dataBar>
          </x14:cfRule>
          <xm:sqref>N48</xm:sqref>
        </x14:conditionalFormatting>
        <x14:conditionalFormatting xmlns:xm="http://schemas.microsoft.com/office/excel/2006/main">
          <x14:cfRule type="dataBar" id="{C9E140E7-D793-46EC-8B1B-D7B6E16538F0}">
            <x14:dataBar minLength="0" maxLength="100" border="1" gradient="0">
              <x14:cfvo type="num">
                <xm:f>0</xm:f>
              </x14:cfvo>
              <x14:cfvo type="num">
                <xm:f>1</xm:f>
              </x14:cfvo>
              <x14:borderColor theme="0"/>
              <x14:negativeFillColor rgb="FFFF0000"/>
              <x14:axisColor rgb="FF000000"/>
            </x14:dataBar>
          </x14:cfRule>
          <xm:sqref>N50</xm:sqref>
        </x14:conditionalFormatting>
        <x14:conditionalFormatting xmlns:xm="http://schemas.microsoft.com/office/excel/2006/main">
          <x14:cfRule type="dataBar" id="{93B2771A-966B-4F2D-8AC9-595A09D1E0BC}">
            <x14:dataBar minLength="0" maxLength="100" border="1" gradient="0">
              <x14:cfvo type="num">
                <xm:f>0</xm:f>
              </x14:cfvo>
              <x14:cfvo type="num">
                <xm:f>1</xm:f>
              </x14:cfvo>
              <x14:borderColor theme="0"/>
              <x14:negativeFillColor rgb="FFFF0000"/>
              <x14:axisColor rgb="FF000000"/>
            </x14:dataBar>
          </x14:cfRule>
          <xm:sqref>N52</xm:sqref>
        </x14:conditionalFormatting>
        <x14:conditionalFormatting xmlns:xm="http://schemas.microsoft.com/office/excel/2006/main">
          <x14:cfRule type="dataBar" id="{4C8E0EB9-3924-4F11-B854-4E8D19CB7E09}">
            <x14:dataBar minLength="0" maxLength="100" border="1" gradient="0">
              <x14:cfvo type="num">
                <xm:f>0</xm:f>
              </x14:cfvo>
              <x14:cfvo type="num">
                <xm:f>1</xm:f>
              </x14:cfvo>
              <x14:borderColor theme="0"/>
              <x14:negativeFillColor rgb="FFFF0000"/>
              <x14:axisColor rgb="FF000000"/>
            </x14:dataBar>
          </x14:cfRule>
          <xm:sqref>N54</xm:sqref>
        </x14:conditionalFormatting>
        <x14:conditionalFormatting xmlns:xm="http://schemas.microsoft.com/office/excel/2006/main">
          <x14:cfRule type="dataBar" id="{F792FF68-31D6-4920-910B-5F366DB1D7FA}">
            <x14:dataBar minLength="0" maxLength="100" border="1" gradient="0">
              <x14:cfvo type="num">
                <xm:f>0</xm:f>
              </x14:cfvo>
              <x14:cfvo type="num">
                <xm:f>1</xm:f>
              </x14:cfvo>
              <x14:borderColor theme="0"/>
              <x14:negativeFillColor rgb="FFFF0000"/>
              <x14:axisColor rgb="FF000000"/>
            </x14:dataBar>
          </x14:cfRule>
          <xm:sqref>N56</xm:sqref>
        </x14:conditionalFormatting>
        <x14:conditionalFormatting xmlns:xm="http://schemas.microsoft.com/office/excel/2006/main">
          <x14:cfRule type="dataBar" id="{6FC8B888-12F5-40C4-AC81-3248E09DA5AE}">
            <x14:dataBar minLength="0" maxLength="100" border="1" gradient="0">
              <x14:cfvo type="num">
                <xm:f>0</xm:f>
              </x14:cfvo>
              <x14:cfvo type="num">
                <xm:f>1</xm:f>
              </x14:cfvo>
              <x14:borderColor theme="0"/>
              <x14:negativeFillColor rgb="FFFF0000"/>
              <x14:axisColor rgb="FF000000"/>
            </x14:dataBar>
          </x14:cfRule>
          <xm:sqref>N58</xm:sqref>
        </x14:conditionalFormatting>
        <x14:conditionalFormatting xmlns:xm="http://schemas.microsoft.com/office/excel/2006/main">
          <x14:cfRule type="dataBar" id="{C0687A2B-EB19-4767-85BF-FC08FF480FEB}">
            <x14:dataBar minLength="0" maxLength="100" border="1" gradient="0">
              <x14:cfvo type="num">
                <xm:f>0</xm:f>
              </x14:cfvo>
              <x14:cfvo type="num">
                <xm:f>1</xm:f>
              </x14:cfvo>
              <x14:borderColor theme="0"/>
              <x14:negativeFillColor rgb="FFFF0000"/>
              <x14:axisColor rgb="FF000000"/>
            </x14:dataBar>
          </x14:cfRule>
          <xm:sqref>N60</xm:sqref>
        </x14:conditionalFormatting>
        <x14:conditionalFormatting xmlns:xm="http://schemas.microsoft.com/office/excel/2006/main">
          <x14:cfRule type="dataBar" id="{62C706C8-69C6-497E-813B-186737772E78}">
            <x14:dataBar minLength="0" maxLength="100" border="1" gradient="0">
              <x14:cfvo type="num">
                <xm:f>0</xm:f>
              </x14:cfvo>
              <x14:cfvo type="num">
                <xm:f>1</xm:f>
              </x14:cfvo>
              <x14:borderColor theme="0"/>
              <x14:negativeFillColor rgb="FFFF0000"/>
              <x14:axisColor rgb="FF000000"/>
            </x14:dataBar>
          </x14:cfRule>
          <xm:sqref>N62</xm:sqref>
        </x14:conditionalFormatting>
        <x14:conditionalFormatting xmlns:xm="http://schemas.microsoft.com/office/excel/2006/main">
          <x14:cfRule type="dataBar" id="{5F669480-AB5B-432F-90D2-2256E6CB66AB}">
            <x14:dataBar minLength="0" maxLength="100" border="1" gradient="0">
              <x14:cfvo type="num">
                <xm:f>0</xm:f>
              </x14:cfvo>
              <x14:cfvo type="num">
                <xm:f>1</xm:f>
              </x14:cfvo>
              <x14:borderColor theme="0"/>
              <x14:negativeFillColor rgb="FFFF0000"/>
              <x14:axisColor rgb="FF000000"/>
            </x14:dataBar>
          </x14:cfRule>
          <xm:sqref>N64</xm:sqref>
        </x14:conditionalFormatting>
        <x14:conditionalFormatting xmlns:xm="http://schemas.microsoft.com/office/excel/2006/main">
          <x14:cfRule type="dataBar" id="{4EF81FFE-0985-4173-9068-BC306C14575C}">
            <x14:dataBar minLength="0" maxLength="100" border="1" gradient="0">
              <x14:cfvo type="num">
                <xm:f>0</xm:f>
              </x14:cfvo>
              <x14:cfvo type="num">
                <xm:f>1</xm:f>
              </x14:cfvo>
              <x14:borderColor theme="0"/>
              <x14:negativeFillColor rgb="FFFF0000"/>
              <x14:axisColor rgb="FF000000"/>
            </x14:dataBar>
          </x14:cfRule>
          <xm:sqref>N66</xm:sqref>
        </x14:conditionalFormatting>
        <x14:conditionalFormatting xmlns:xm="http://schemas.microsoft.com/office/excel/2006/main">
          <x14:cfRule type="dataBar" id="{B991FC30-A7D1-432C-B791-7A4112381F51}">
            <x14:dataBar minLength="0" maxLength="100" border="1" gradient="0">
              <x14:cfvo type="num">
                <xm:f>0</xm:f>
              </x14:cfvo>
              <x14:cfvo type="num">
                <xm:f>1</xm:f>
              </x14:cfvo>
              <x14:borderColor theme="0"/>
              <x14:negativeFillColor rgb="FFFF0000"/>
              <x14:axisColor rgb="FF000000"/>
            </x14:dataBar>
          </x14:cfRule>
          <xm:sqref>N68</xm:sqref>
        </x14:conditionalFormatting>
        <x14:conditionalFormatting xmlns:xm="http://schemas.microsoft.com/office/excel/2006/main">
          <x14:cfRule type="dataBar" id="{2289594A-E6A7-4B64-85EA-902959DF996A}">
            <x14:dataBar minLength="0" maxLength="100" border="1" gradient="0">
              <x14:cfvo type="num">
                <xm:f>0</xm:f>
              </x14:cfvo>
              <x14:cfvo type="num">
                <xm:f>1</xm:f>
              </x14:cfvo>
              <x14:borderColor theme="0"/>
              <x14:negativeFillColor rgb="FFFF0000"/>
              <x14:axisColor rgb="FF000000"/>
            </x14:dataBar>
          </x14:cfRule>
          <xm:sqref>N70</xm:sqref>
        </x14:conditionalFormatting>
        <x14:conditionalFormatting xmlns:xm="http://schemas.microsoft.com/office/excel/2006/main">
          <x14:cfRule type="dataBar" id="{217B2666-AA62-45AC-8D8A-2988B4A96875}">
            <x14:dataBar minLength="0" maxLength="100" border="1" gradient="0">
              <x14:cfvo type="num">
                <xm:f>0</xm:f>
              </x14:cfvo>
              <x14:cfvo type="num">
                <xm:f>1</xm:f>
              </x14:cfvo>
              <x14:borderColor theme="0"/>
              <x14:negativeFillColor rgb="FFFF0000"/>
              <x14:axisColor rgb="FF000000"/>
            </x14:dataBar>
          </x14:cfRule>
          <xm:sqref>N72</xm:sqref>
        </x14:conditionalFormatting>
        <x14:conditionalFormatting xmlns:xm="http://schemas.microsoft.com/office/excel/2006/main">
          <x14:cfRule type="dataBar" id="{BFA576D6-5BF8-4A8B-802A-AA74254E6FF2}">
            <x14:dataBar minLength="0" maxLength="100" border="1" gradient="0">
              <x14:cfvo type="num">
                <xm:f>0</xm:f>
              </x14:cfvo>
              <x14:cfvo type="num">
                <xm:f>1</xm:f>
              </x14:cfvo>
              <x14:borderColor theme="0"/>
              <x14:negativeFillColor rgb="FFFF0000"/>
              <x14:axisColor rgb="FF000000"/>
            </x14:dataBar>
          </x14:cfRule>
          <xm:sqref>N74</xm:sqref>
        </x14:conditionalFormatting>
        <x14:conditionalFormatting xmlns:xm="http://schemas.microsoft.com/office/excel/2006/main">
          <x14:cfRule type="dataBar" id="{C08A25B0-4D0F-4936-A0CF-D4BE28829A38}">
            <x14:dataBar minLength="0" maxLength="100" border="1" gradient="0">
              <x14:cfvo type="num">
                <xm:f>0</xm:f>
              </x14:cfvo>
              <x14:cfvo type="num">
                <xm:f>1</xm:f>
              </x14:cfvo>
              <x14:borderColor theme="0"/>
              <x14:negativeFillColor rgb="FFFF0000"/>
              <x14:axisColor rgb="FF000000"/>
            </x14:dataBar>
          </x14:cfRule>
          <xm:sqref>N76</xm:sqref>
        </x14:conditionalFormatting>
        <x14:conditionalFormatting xmlns:xm="http://schemas.microsoft.com/office/excel/2006/main">
          <x14:cfRule type="dataBar" id="{FC00D3DA-2948-4FB3-8A92-8D00BBBAB1AF}">
            <x14:dataBar minLength="0" maxLength="100" border="1" gradient="0">
              <x14:cfvo type="num">
                <xm:f>0</xm:f>
              </x14:cfvo>
              <x14:cfvo type="num">
                <xm:f>1</xm:f>
              </x14:cfvo>
              <x14:borderColor theme="0"/>
              <x14:negativeFillColor rgb="FFFF0000"/>
              <x14:axisColor rgb="FF000000"/>
            </x14:dataBar>
          </x14:cfRule>
          <xm:sqref>N78</xm:sqref>
        </x14:conditionalFormatting>
        <x14:conditionalFormatting xmlns:xm="http://schemas.microsoft.com/office/excel/2006/main">
          <x14:cfRule type="dataBar" id="{CF09957C-4E42-4F0B-98F6-502FABF8B4FC}">
            <x14:dataBar minLength="0" maxLength="100" border="1" gradient="0">
              <x14:cfvo type="num">
                <xm:f>0</xm:f>
              </x14:cfvo>
              <x14:cfvo type="num">
                <xm:f>1</xm:f>
              </x14:cfvo>
              <x14:borderColor theme="0"/>
              <x14:negativeFillColor rgb="FFFF0000"/>
              <x14:axisColor rgb="FF000000"/>
            </x14:dataBar>
          </x14:cfRule>
          <xm:sqref>N80</xm:sqref>
        </x14:conditionalFormatting>
        <x14:conditionalFormatting xmlns:xm="http://schemas.microsoft.com/office/excel/2006/main">
          <x14:cfRule type="dataBar" id="{60BB22FD-2271-40F6-A32F-5EF50D0E1C55}">
            <x14:dataBar minLength="0" maxLength="100" border="1" gradient="0">
              <x14:cfvo type="num">
                <xm:f>0</xm:f>
              </x14:cfvo>
              <x14:cfvo type="num">
                <xm:f>1</xm:f>
              </x14:cfvo>
              <x14:borderColor theme="0"/>
              <x14:negativeFillColor rgb="FFFF0000"/>
              <x14:axisColor rgb="FF000000"/>
            </x14:dataBar>
          </x14:cfRule>
          <xm:sqref>N82</xm:sqref>
        </x14:conditionalFormatting>
        <x14:conditionalFormatting xmlns:xm="http://schemas.microsoft.com/office/excel/2006/main">
          <x14:cfRule type="dataBar" id="{67B5B5BC-358A-42F4-B0F1-3043F5A16D99}">
            <x14:dataBar minLength="0" maxLength="100" border="1" gradient="0">
              <x14:cfvo type="num">
                <xm:f>0</xm:f>
              </x14:cfvo>
              <x14:cfvo type="num">
                <xm:f>1</xm:f>
              </x14:cfvo>
              <x14:borderColor theme="0"/>
              <x14:negativeFillColor rgb="FFFF0000"/>
              <x14:axisColor rgb="FF000000"/>
            </x14:dataBar>
          </x14:cfRule>
          <xm:sqref>N84</xm:sqref>
        </x14:conditionalFormatting>
        <x14:conditionalFormatting xmlns:xm="http://schemas.microsoft.com/office/excel/2006/main">
          <x14:cfRule type="dataBar" id="{8BD3124C-700B-4438-87C3-2C661C0D166C}">
            <x14:dataBar minLength="0" maxLength="100" border="1" gradient="0">
              <x14:cfvo type="num">
                <xm:f>0</xm:f>
              </x14:cfvo>
              <x14:cfvo type="num">
                <xm:f>1</xm:f>
              </x14:cfvo>
              <x14:borderColor theme="0"/>
              <x14:negativeFillColor rgb="FFFF0000"/>
              <x14:axisColor rgb="FF000000"/>
            </x14:dataBar>
          </x14:cfRule>
          <xm:sqref>N86</xm:sqref>
        </x14:conditionalFormatting>
        <x14:conditionalFormatting xmlns:xm="http://schemas.microsoft.com/office/excel/2006/main">
          <x14:cfRule type="dataBar" id="{E24D732A-8F99-4968-A6A2-FEB8FA122282}">
            <x14:dataBar minLength="0" maxLength="100" border="1" gradient="0">
              <x14:cfvo type="num">
                <xm:f>0</xm:f>
              </x14:cfvo>
              <x14:cfvo type="num">
                <xm:f>1</xm:f>
              </x14:cfvo>
              <x14:borderColor theme="0"/>
              <x14:negativeFillColor rgb="FFFF0000"/>
              <x14:axisColor rgb="FF000000"/>
            </x14:dataBar>
          </x14:cfRule>
          <xm:sqref>N88</xm:sqref>
        </x14:conditionalFormatting>
        <x14:conditionalFormatting xmlns:xm="http://schemas.microsoft.com/office/excel/2006/main">
          <x14:cfRule type="dataBar" id="{1700683F-F7DD-4065-93C3-91197DA963E1}">
            <x14:dataBar minLength="0" maxLength="100" border="1" gradient="0">
              <x14:cfvo type="num">
                <xm:f>0</xm:f>
              </x14:cfvo>
              <x14:cfvo type="num">
                <xm:f>1</xm:f>
              </x14:cfvo>
              <x14:borderColor theme="0"/>
              <x14:negativeFillColor rgb="FFFF0000"/>
              <x14:axisColor rgb="FF000000"/>
            </x14:dataBar>
          </x14:cfRule>
          <xm:sqref>N90</xm:sqref>
        </x14:conditionalFormatting>
        <x14:conditionalFormatting xmlns:xm="http://schemas.microsoft.com/office/excel/2006/main">
          <x14:cfRule type="dataBar" id="{046F46C0-7B61-4105-A949-C02E25E5510F}">
            <x14:dataBar minLength="0" maxLength="100" border="1" gradient="0">
              <x14:cfvo type="num">
                <xm:f>0</xm:f>
              </x14:cfvo>
              <x14:cfvo type="num">
                <xm:f>1</xm:f>
              </x14:cfvo>
              <x14:borderColor theme="0"/>
              <x14:negativeFillColor rgb="FFFF0000"/>
              <x14:axisColor rgb="FF000000"/>
            </x14:dataBar>
          </x14:cfRule>
          <xm:sqref>N92</xm:sqref>
        </x14:conditionalFormatting>
        <x14:conditionalFormatting xmlns:xm="http://schemas.microsoft.com/office/excel/2006/main">
          <x14:cfRule type="dataBar" id="{972CF424-C42A-4822-9BDE-52BA0B44641A}">
            <x14:dataBar minLength="0" maxLength="100" border="1" gradient="0">
              <x14:cfvo type="num">
                <xm:f>0</xm:f>
              </x14:cfvo>
              <x14:cfvo type="num">
                <xm:f>1</xm:f>
              </x14:cfvo>
              <x14:borderColor theme="0"/>
              <x14:negativeFillColor rgb="FFFF0000"/>
              <x14:axisColor rgb="FF000000"/>
            </x14:dataBar>
          </x14:cfRule>
          <xm:sqref>N94</xm:sqref>
        </x14:conditionalFormatting>
        <x14:conditionalFormatting xmlns:xm="http://schemas.microsoft.com/office/excel/2006/main">
          <x14:cfRule type="dataBar" id="{08DF398E-EED9-4E8B-8544-2396E7A8061A}">
            <x14:dataBar minLength="0" maxLength="100" border="1" gradient="0">
              <x14:cfvo type="num">
                <xm:f>0</xm:f>
              </x14:cfvo>
              <x14:cfvo type="num">
                <xm:f>1</xm:f>
              </x14:cfvo>
              <x14:borderColor theme="0"/>
              <x14:negativeFillColor rgb="FFFF0000"/>
              <x14:axisColor rgb="FF000000"/>
            </x14:dataBar>
          </x14:cfRule>
          <xm:sqref>N96</xm:sqref>
        </x14:conditionalFormatting>
        <x14:conditionalFormatting xmlns:xm="http://schemas.microsoft.com/office/excel/2006/main">
          <x14:cfRule type="dataBar" id="{07BF0C8F-902F-42EF-895D-C5C494055C86}">
            <x14:dataBar minLength="0" maxLength="100" border="1" gradient="0">
              <x14:cfvo type="num">
                <xm:f>0</xm:f>
              </x14:cfvo>
              <x14:cfvo type="num">
                <xm:f>1</xm:f>
              </x14:cfvo>
              <x14:borderColor theme="0"/>
              <x14:negativeFillColor rgb="FFFF0000"/>
              <x14:axisColor rgb="FF000000"/>
            </x14:dataBar>
          </x14:cfRule>
          <xm:sqref>N98</xm:sqref>
        </x14:conditionalFormatting>
        <x14:conditionalFormatting xmlns:xm="http://schemas.microsoft.com/office/excel/2006/main">
          <x14:cfRule type="dataBar" id="{6601601E-5F05-44F2-BD94-1314406F7443}">
            <x14:dataBar minLength="0" maxLength="100" border="1" gradient="0">
              <x14:cfvo type="num">
                <xm:f>0</xm:f>
              </x14:cfvo>
              <x14:cfvo type="num">
                <xm:f>1</xm:f>
              </x14:cfvo>
              <x14:borderColor theme="0"/>
              <x14:negativeFillColor rgb="FFFF0000"/>
              <x14:axisColor rgb="FF000000"/>
            </x14:dataBar>
          </x14:cfRule>
          <xm:sqref>N102</xm:sqref>
        </x14:conditionalFormatting>
        <x14:conditionalFormatting xmlns:xm="http://schemas.microsoft.com/office/excel/2006/main">
          <x14:cfRule type="dataBar" id="{8C9C1CC4-8AEE-4114-8646-6102AC902D27}">
            <x14:dataBar minLength="0" maxLength="100" border="1" gradient="0">
              <x14:cfvo type="num">
                <xm:f>0</xm:f>
              </x14:cfvo>
              <x14:cfvo type="num">
                <xm:f>1</xm:f>
              </x14:cfvo>
              <x14:borderColor theme="0"/>
              <x14:negativeFillColor rgb="FFFF0000"/>
              <x14:axisColor rgb="FF000000"/>
            </x14:dataBar>
          </x14:cfRule>
          <xm:sqref>N104</xm:sqref>
        </x14:conditionalFormatting>
        <x14:conditionalFormatting xmlns:xm="http://schemas.microsoft.com/office/excel/2006/main">
          <x14:cfRule type="dataBar" id="{AE97F45F-D33F-42D3-ADD7-9FA7A1057C68}">
            <x14:dataBar minLength="0" maxLength="100" border="1" gradient="0">
              <x14:cfvo type="num">
                <xm:f>0</xm:f>
              </x14:cfvo>
              <x14:cfvo type="num">
                <xm:f>1</xm:f>
              </x14:cfvo>
              <x14:borderColor theme="0"/>
              <x14:negativeFillColor rgb="FFFF0000"/>
              <x14:axisColor rgb="FF000000"/>
            </x14:dataBar>
          </x14:cfRule>
          <xm:sqref>N106</xm:sqref>
        </x14:conditionalFormatting>
        <x14:conditionalFormatting xmlns:xm="http://schemas.microsoft.com/office/excel/2006/main">
          <x14:cfRule type="dataBar" id="{B939135D-A88D-46EB-82E3-BE5EB1F95773}">
            <x14:dataBar minLength="0" maxLength="100" border="1" gradient="0">
              <x14:cfvo type="num">
                <xm:f>0</xm:f>
              </x14:cfvo>
              <x14:cfvo type="num">
                <xm:f>1</xm:f>
              </x14:cfvo>
              <x14:borderColor theme="0"/>
              <x14:negativeFillColor rgb="FFFF0000"/>
              <x14:axisColor rgb="FF000000"/>
            </x14:dataBar>
          </x14:cfRule>
          <xm:sqref>N108</xm:sqref>
        </x14:conditionalFormatting>
        <x14:conditionalFormatting xmlns:xm="http://schemas.microsoft.com/office/excel/2006/main">
          <x14:cfRule type="dataBar" id="{5F7AB01D-8CEF-413F-BD5B-3A62722F6AED}">
            <x14:dataBar minLength="0" maxLength="100" border="1" gradient="0">
              <x14:cfvo type="num">
                <xm:f>0</xm:f>
              </x14:cfvo>
              <x14:cfvo type="num">
                <xm:f>1</xm:f>
              </x14:cfvo>
              <x14:borderColor theme="0"/>
              <x14:negativeFillColor rgb="FFFF0000"/>
              <x14:axisColor rgb="FF000000"/>
            </x14:dataBar>
          </x14:cfRule>
          <xm:sqref>N110</xm:sqref>
        </x14:conditionalFormatting>
        <x14:conditionalFormatting xmlns:xm="http://schemas.microsoft.com/office/excel/2006/main">
          <x14:cfRule type="dataBar" id="{FD98C835-2D14-4675-B425-54E1566B37EC}">
            <x14:dataBar minLength="0" maxLength="100" border="1" gradient="0">
              <x14:cfvo type="num">
                <xm:f>0</xm:f>
              </x14:cfvo>
              <x14:cfvo type="num">
                <xm:f>1</xm:f>
              </x14:cfvo>
              <x14:borderColor theme="0"/>
              <x14:negativeFillColor rgb="FFFF0000"/>
              <x14:axisColor rgb="FF000000"/>
            </x14:dataBar>
          </x14:cfRule>
          <xm:sqref>N112</xm:sqref>
        </x14:conditionalFormatting>
        <x14:conditionalFormatting xmlns:xm="http://schemas.microsoft.com/office/excel/2006/main">
          <x14:cfRule type="dataBar" id="{28A17571-22C2-4E4C-BBA3-1F0326A42013}">
            <x14:dataBar minLength="0" maxLength="100" border="1" gradient="0">
              <x14:cfvo type="num">
                <xm:f>0</xm:f>
              </x14:cfvo>
              <x14:cfvo type="num">
                <xm:f>1</xm:f>
              </x14:cfvo>
              <x14:borderColor theme="0"/>
              <x14:negativeFillColor rgb="FFFF0000"/>
              <x14:axisColor rgb="FF000000"/>
            </x14:dataBar>
          </x14:cfRule>
          <xm:sqref>N114</xm:sqref>
        </x14:conditionalFormatting>
        <x14:conditionalFormatting xmlns:xm="http://schemas.microsoft.com/office/excel/2006/main">
          <x14:cfRule type="dataBar" id="{A00556F7-620C-4D6F-833C-C42CD0666E54}">
            <x14:dataBar minLength="0" maxLength="100" border="1" gradient="0">
              <x14:cfvo type="num">
                <xm:f>0</xm:f>
              </x14:cfvo>
              <x14:cfvo type="num">
                <xm:f>1</xm:f>
              </x14:cfvo>
              <x14:borderColor theme="0"/>
              <x14:negativeFillColor rgb="FFFF0000"/>
              <x14:axisColor rgb="FF000000"/>
            </x14:dataBar>
          </x14:cfRule>
          <xm:sqref>N116</xm:sqref>
        </x14:conditionalFormatting>
        <x14:conditionalFormatting xmlns:xm="http://schemas.microsoft.com/office/excel/2006/main">
          <x14:cfRule type="dataBar" id="{89ADC545-9C28-490C-966F-570847A5FF26}">
            <x14:dataBar minLength="0" maxLength="100" border="1" gradient="0">
              <x14:cfvo type="num">
                <xm:f>0</xm:f>
              </x14:cfvo>
              <x14:cfvo type="num">
                <xm:f>1</xm:f>
              </x14:cfvo>
              <x14:borderColor theme="0"/>
              <x14:negativeFillColor rgb="FFFF0000"/>
              <x14:axisColor rgb="FF000000"/>
            </x14:dataBar>
          </x14:cfRule>
          <xm:sqref>N118</xm:sqref>
        </x14:conditionalFormatting>
        <x14:conditionalFormatting xmlns:xm="http://schemas.microsoft.com/office/excel/2006/main">
          <x14:cfRule type="dataBar" id="{0500D860-EAF3-42F7-867B-8B30C1E0D970}">
            <x14:dataBar minLength="0" maxLength="100" border="1" gradient="0">
              <x14:cfvo type="num">
                <xm:f>0</xm:f>
              </x14:cfvo>
              <x14:cfvo type="num">
                <xm:f>1</xm:f>
              </x14:cfvo>
              <x14:borderColor theme="0"/>
              <x14:negativeFillColor rgb="FFFF0000"/>
              <x14:axisColor rgb="FF000000"/>
            </x14:dataBar>
          </x14:cfRule>
          <xm:sqref>N120</xm:sqref>
        </x14:conditionalFormatting>
        <x14:conditionalFormatting xmlns:xm="http://schemas.microsoft.com/office/excel/2006/main">
          <x14:cfRule type="dataBar" id="{8CD53F6D-CEF2-49C5-AF4B-BF323D86EAE6}">
            <x14:dataBar minLength="0" maxLength="100" border="1" gradient="0">
              <x14:cfvo type="num">
                <xm:f>0</xm:f>
              </x14:cfvo>
              <x14:cfvo type="num">
                <xm:f>1</xm:f>
              </x14:cfvo>
              <x14:borderColor theme="0"/>
              <x14:negativeFillColor rgb="FFFF0000"/>
              <x14:axisColor rgb="FF000000"/>
            </x14:dataBar>
          </x14:cfRule>
          <xm:sqref>N122</xm:sqref>
        </x14:conditionalFormatting>
        <x14:conditionalFormatting xmlns:xm="http://schemas.microsoft.com/office/excel/2006/main">
          <x14:cfRule type="dataBar" id="{4270FAC3-ABE8-43B3-9C7C-5558FBEE5699}">
            <x14:dataBar minLength="0" maxLength="100" border="1" gradient="0">
              <x14:cfvo type="num">
                <xm:f>0</xm:f>
              </x14:cfvo>
              <x14:cfvo type="num">
                <xm:f>1</xm:f>
              </x14:cfvo>
              <x14:borderColor theme="0"/>
              <x14:negativeFillColor rgb="FFFF0000"/>
              <x14:axisColor rgb="FF000000"/>
            </x14:dataBar>
          </x14:cfRule>
          <xm:sqref>N124</xm:sqref>
        </x14:conditionalFormatting>
        <x14:conditionalFormatting xmlns:xm="http://schemas.microsoft.com/office/excel/2006/main">
          <x14:cfRule type="dataBar" id="{751C7DC0-8F09-410C-8976-1DA2ADBBC775}">
            <x14:dataBar minLength="0" maxLength="100" border="1" gradient="0">
              <x14:cfvo type="num">
                <xm:f>0</xm:f>
              </x14:cfvo>
              <x14:cfvo type="num">
                <xm:f>1</xm:f>
              </x14:cfvo>
              <x14:borderColor theme="0"/>
              <x14:negativeFillColor rgb="FFFF0000"/>
              <x14:axisColor rgb="FF000000"/>
            </x14:dataBar>
          </x14:cfRule>
          <xm:sqref>N126</xm:sqref>
        </x14:conditionalFormatting>
        <x14:conditionalFormatting xmlns:xm="http://schemas.microsoft.com/office/excel/2006/main">
          <x14:cfRule type="dataBar" id="{5318C972-9B05-4774-9D91-8C300D36B475}">
            <x14:dataBar minLength="0" maxLength="100" border="1" gradient="0">
              <x14:cfvo type="num">
                <xm:f>0</xm:f>
              </x14:cfvo>
              <x14:cfvo type="num">
                <xm:f>1</xm:f>
              </x14:cfvo>
              <x14:borderColor theme="0"/>
              <x14:negativeFillColor rgb="FFFF0000"/>
              <x14:axisColor rgb="FF000000"/>
            </x14:dataBar>
          </x14:cfRule>
          <xm:sqref>N128</xm:sqref>
        </x14:conditionalFormatting>
        <x14:conditionalFormatting xmlns:xm="http://schemas.microsoft.com/office/excel/2006/main">
          <x14:cfRule type="dataBar" id="{8595CF7B-8F2E-4F4C-A591-24CE2AB55967}">
            <x14:dataBar minLength="0" maxLength="100" border="1" gradient="0">
              <x14:cfvo type="num">
                <xm:f>0</xm:f>
              </x14:cfvo>
              <x14:cfvo type="num">
                <xm:f>1</xm:f>
              </x14:cfvo>
              <x14:borderColor theme="0"/>
              <x14:negativeFillColor rgb="FFFF0000"/>
              <x14:axisColor rgb="FF000000"/>
            </x14:dataBar>
          </x14:cfRule>
          <xm:sqref>N130</xm:sqref>
        </x14:conditionalFormatting>
        <x14:conditionalFormatting xmlns:xm="http://schemas.microsoft.com/office/excel/2006/main">
          <x14:cfRule type="dataBar" id="{009D05BD-2E84-4592-8656-6C45D9037497}">
            <x14:dataBar minLength="0" maxLength="100" border="1" gradient="0">
              <x14:cfvo type="num">
                <xm:f>0</xm:f>
              </x14:cfvo>
              <x14:cfvo type="num">
                <xm:f>1</xm:f>
              </x14:cfvo>
              <x14:borderColor theme="0"/>
              <x14:negativeFillColor rgb="FFFF0000"/>
              <x14:axisColor rgb="FF000000"/>
            </x14:dataBar>
          </x14:cfRule>
          <xm:sqref>N132</xm:sqref>
        </x14:conditionalFormatting>
        <x14:conditionalFormatting xmlns:xm="http://schemas.microsoft.com/office/excel/2006/main">
          <x14:cfRule type="dataBar" id="{E16AA506-25B8-4EF6-B958-94AD9A99C31E}">
            <x14:dataBar minLength="0" maxLength="100" border="1" gradient="0">
              <x14:cfvo type="num">
                <xm:f>0</xm:f>
              </x14:cfvo>
              <x14:cfvo type="num">
                <xm:f>1</xm:f>
              </x14:cfvo>
              <x14:borderColor theme="0"/>
              <x14:negativeFillColor rgb="FFFF0000"/>
              <x14:axisColor rgb="FF000000"/>
            </x14:dataBar>
          </x14:cfRule>
          <xm:sqref>N134</xm:sqref>
        </x14:conditionalFormatting>
        <x14:conditionalFormatting xmlns:xm="http://schemas.microsoft.com/office/excel/2006/main">
          <x14:cfRule type="dataBar" id="{47F9052D-A247-4A60-A7EF-0C50536D7CB5}">
            <x14:dataBar minLength="0" maxLength="100" border="1" gradient="0">
              <x14:cfvo type="num">
                <xm:f>0</xm:f>
              </x14:cfvo>
              <x14:cfvo type="num">
                <xm:f>1</xm:f>
              </x14:cfvo>
              <x14:borderColor theme="0"/>
              <x14:negativeFillColor rgb="FFFF0000"/>
              <x14:axisColor rgb="FF000000"/>
            </x14:dataBar>
          </x14:cfRule>
          <xm:sqref>N136</xm:sqref>
        </x14:conditionalFormatting>
        <x14:conditionalFormatting xmlns:xm="http://schemas.microsoft.com/office/excel/2006/main">
          <x14:cfRule type="dataBar" id="{59D0AA12-B9E9-4F7B-A24D-2216620BC29D}">
            <x14:dataBar minLength="0" maxLength="100" border="1" gradient="0">
              <x14:cfvo type="num">
                <xm:f>0</xm:f>
              </x14:cfvo>
              <x14:cfvo type="num">
                <xm:f>1</xm:f>
              </x14:cfvo>
              <x14:borderColor theme="0"/>
              <x14:negativeFillColor rgb="FFFF0000"/>
              <x14:axisColor rgb="FF000000"/>
            </x14:dataBar>
          </x14:cfRule>
          <xm:sqref>N138</xm:sqref>
        </x14:conditionalFormatting>
        <x14:conditionalFormatting xmlns:xm="http://schemas.microsoft.com/office/excel/2006/main">
          <x14:cfRule type="dataBar" id="{4B181EEF-D007-4B7A-8493-C744169B33D3}">
            <x14:dataBar minLength="0" maxLength="100" border="1" gradient="0">
              <x14:cfvo type="num">
                <xm:f>0</xm:f>
              </x14:cfvo>
              <x14:cfvo type="num">
                <xm:f>1</xm:f>
              </x14:cfvo>
              <x14:borderColor theme="0"/>
              <x14:negativeFillColor rgb="FFFF0000"/>
              <x14:axisColor rgb="FF000000"/>
            </x14:dataBar>
          </x14:cfRule>
          <xm:sqref>N140</xm:sqref>
        </x14:conditionalFormatting>
        <x14:conditionalFormatting xmlns:xm="http://schemas.microsoft.com/office/excel/2006/main">
          <x14:cfRule type="dataBar" id="{FBFDD6C7-B400-4EE4-A271-A6C92681E1E0}">
            <x14:dataBar minLength="0" maxLength="100" border="1" gradient="0">
              <x14:cfvo type="num">
                <xm:f>0</xm:f>
              </x14:cfvo>
              <x14:cfvo type="num">
                <xm:f>1</xm:f>
              </x14:cfvo>
              <x14:borderColor theme="0"/>
              <x14:negativeFillColor rgb="FFFF0000"/>
              <x14:axisColor rgb="FF000000"/>
            </x14:dataBar>
          </x14:cfRule>
          <xm:sqref>N142</xm:sqref>
        </x14:conditionalFormatting>
        <x14:conditionalFormatting xmlns:xm="http://schemas.microsoft.com/office/excel/2006/main">
          <x14:cfRule type="dataBar" id="{BF5A6A5E-A165-49A5-B062-E10E9D15CDAD}">
            <x14:dataBar minLength="0" maxLength="100" border="1" gradient="0">
              <x14:cfvo type="num">
                <xm:f>0</xm:f>
              </x14:cfvo>
              <x14:cfvo type="num">
                <xm:f>1</xm:f>
              </x14:cfvo>
              <x14:borderColor theme="0"/>
              <x14:negativeFillColor rgb="FFFF0000"/>
              <x14:axisColor rgb="FF000000"/>
            </x14:dataBar>
          </x14:cfRule>
          <xm:sqref>N144</xm:sqref>
        </x14:conditionalFormatting>
        <x14:conditionalFormatting xmlns:xm="http://schemas.microsoft.com/office/excel/2006/main">
          <x14:cfRule type="dataBar" id="{5200BB9C-FC91-4295-8F63-EEB8D64B70DA}">
            <x14:dataBar minLength="0" maxLength="100" border="1" gradient="0">
              <x14:cfvo type="num">
                <xm:f>0</xm:f>
              </x14:cfvo>
              <x14:cfvo type="num">
                <xm:f>1</xm:f>
              </x14:cfvo>
              <x14:borderColor theme="0"/>
              <x14:negativeFillColor rgb="FFFF0000"/>
              <x14:axisColor rgb="FF000000"/>
            </x14:dataBar>
          </x14:cfRule>
          <xm:sqref>N146</xm:sqref>
        </x14:conditionalFormatting>
        <x14:conditionalFormatting xmlns:xm="http://schemas.microsoft.com/office/excel/2006/main">
          <x14:cfRule type="dataBar" id="{0AF8659F-0AAC-43AF-A942-FDB5670E08A9}">
            <x14:dataBar minLength="0" maxLength="100" border="1" gradient="0">
              <x14:cfvo type="num">
                <xm:f>0</xm:f>
              </x14:cfvo>
              <x14:cfvo type="num">
                <xm:f>1</xm:f>
              </x14:cfvo>
              <x14:borderColor theme="0"/>
              <x14:negativeFillColor rgb="FFFF0000"/>
              <x14:axisColor rgb="FF000000"/>
            </x14:dataBar>
          </x14:cfRule>
          <xm:sqref>N148</xm:sqref>
        </x14:conditionalFormatting>
        <x14:conditionalFormatting xmlns:xm="http://schemas.microsoft.com/office/excel/2006/main">
          <x14:cfRule type="dataBar" id="{1E2AF7E9-09C7-4FD8-962D-500AFD93F80B}">
            <x14:dataBar minLength="0" maxLength="100" border="1" gradient="0">
              <x14:cfvo type="num">
                <xm:f>0</xm:f>
              </x14:cfvo>
              <x14:cfvo type="num">
                <xm:f>1</xm:f>
              </x14:cfvo>
              <x14:borderColor theme="0"/>
              <x14:negativeFillColor rgb="FFFF0000"/>
              <x14:axisColor rgb="FF000000"/>
            </x14:dataBar>
          </x14:cfRule>
          <xm:sqref>N150</xm:sqref>
        </x14:conditionalFormatting>
        <x14:conditionalFormatting xmlns:xm="http://schemas.microsoft.com/office/excel/2006/main">
          <x14:cfRule type="dataBar" id="{630ED744-FD96-4B4E-851F-7CF9931A811E}">
            <x14:dataBar minLength="0" maxLength="100" border="1" gradient="0">
              <x14:cfvo type="num">
                <xm:f>0</xm:f>
              </x14:cfvo>
              <x14:cfvo type="num">
                <xm:f>1</xm:f>
              </x14:cfvo>
              <x14:borderColor theme="0"/>
              <x14:negativeFillColor rgb="FFFF0000"/>
              <x14:axisColor rgb="FF000000"/>
            </x14:dataBar>
          </x14:cfRule>
          <xm:sqref>N152</xm:sqref>
        </x14:conditionalFormatting>
        <x14:conditionalFormatting xmlns:xm="http://schemas.microsoft.com/office/excel/2006/main">
          <x14:cfRule type="dataBar" id="{397BF973-BF35-4347-9EE4-A136E552C4C9}">
            <x14:dataBar minLength="0" maxLength="100" border="1" gradient="0">
              <x14:cfvo type="num">
                <xm:f>0</xm:f>
              </x14:cfvo>
              <x14:cfvo type="num">
                <xm:f>1</xm:f>
              </x14:cfvo>
              <x14:borderColor theme="0"/>
              <x14:negativeFillColor rgb="FFFF0000"/>
              <x14:axisColor rgb="FF000000"/>
            </x14:dataBar>
          </x14:cfRule>
          <xm:sqref>N154</xm:sqref>
        </x14:conditionalFormatting>
        <x14:conditionalFormatting xmlns:xm="http://schemas.microsoft.com/office/excel/2006/main">
          <x14:cfRule type="dataBar" id="{352FC7D2-745D-4362-988F-A410BDA2A663}">
            <x14:dataBar minLength="0" maxLength="100" border="1" gradient="0">
              <x14:cfvo type="num">
                <xm:f>0</xm:f>
              </x14:cfvo>
              <x14:cfvo type="num">
                <xm:f>1</xm:f>
              </x14:cfvo>
              <x14:borderColor theme="0"/>
              <x14:negativeFillColor rgb="FFFF0000"/>
              <x14:axisColor rgb="FF000000"/>
            </x14:dataBar>
          </x14:cfRule>
          <xm:sqref>N156</xm:sqref>
        </x14:conditionalFormatting>
        <x14:conditionalFormatting xmlns:xm="http://schemas.microsoft.com/office/excel/2006/main">
          <x14:cfRule type="dataBar" id="{AC0C5424-0824-4AA1-9512-2376E87B9A2D}">
            <x14:dataBar minLength="0" maxLength="100" border="1" gradient="0">
              <x14:cfvo type="num">
                <xm:f>0</xm:f>
              </x14:cfvo>
              <x14:cfvo type="num">
                <xm:f>1</xm:f>
              </x14:cfvo>
              <x14:borderColor theme="0"/>
              <x14:negativeFillColor rgb="FFFF0000"/>
              <x14:axisColor rgb="FF000000"/>
            </x14:dataBar>
          </x14:cfRule>
          <xm:sqref>N158</xm:sqref>
        </x14:conditionalFormatting>
        <x14:conditionalFormatting xmlns:xm="http://schemas.microsoft.com/office/excel/2006/main">
          <x14:cfRule type="dataBar" id="{8548D121-EA21-4038-8C69-256ED0ED70DD}">
            <x14:dataBar minLength="0" maxLength="100" border="1" gradient="0">
              <x14:cfvo type="num">
                <xm:f>0</xm:f>
              </x14:cfvo>
              <x14:cfvo type="num">
                <xm:f>1</xm:f>
              </x14:cfvo>
              <x14:borderColor theme="0"/>
              <x14:negativeFillColor rgb="FFFF0000"/>
              <x14:axisColor rgb="FF000000"/>
            </x14:dataBar>
          </x14:cfRule>
          <xm:sqref>N160</xm:sqref>
        </x14:conditionalFormatting>
        <x14:conditionalFormatting xmlns:xm="http://schemas.microsoft.com/office/excel/2006/main">
          <x14:cfRule type="dataBar" id="{9F6244BB-941C-4177-B14D-3BE9A6C494F8}">
            <x14:dataBar minLength="0" maxLength="100" border="1" gradient="0">
              <x14:cfvo type="num">
                <xm:f>0</xm:f>
              </x14:cfvo>
              <x14:cfvo type="num">
                <xm:f>1</xm:f>
              </x14:cfvo>
              <x14:borderColor theme="0"/>
              <x14:negativeFillColor rgb="FFFF0000"/>
              <x14:axisColor rgb="FF000000"/>
            </x14:dataBar>
          </x14:cfRule>
          <xm:sqref>N162</xm:sqref>
        </x14:conditionalFormatting>
        <x14:conditionalFormatting xmlns:xm="http://schemas.microsoft.com/office/excel/2006/main">
          <x14:cfRule type="dataBar" id="{136765CD-5F51-4D27-B240-84E1C59D39F6}">
            <x14:dataBar minLength="0" maxLength="100" border="1" gradient="0">
              <x14:cfvo type="num">
                <xm:f>0</xm:f>
              </x14:cfvo>
              <x14:cfvo type="num">
                <xm:f>1</xm:f>
              </x14:cfvo>
              <x14:borderColor theme="0"/>
              <x14:negativeFillColor rgb="FFFF0000"/>
              <x14:axisColor rgb="FF000000"/>
            </x14:dataBar>
          </x14:cfRule>
          <xm:sqref>N164</xm:sqref>
        </x14:conditionalFormatting>
        <x14:conditionalFormatting xmlns:xm="http://schemas.microsoft.com/office/excel/2006/main">
          <x14:cfRule type="dataBar" id="{AC9F2514-B97F-46CF-B8AF-97A1E147D1C6}">
            <x14:dataBar minLength="0" maxLength="100" border="1" gradient="0">
              <x14:cfvo type="num">
                <xm:f>0</xm:f>
              </x14:cfvo>
              <x14:cfvo type="num">
                <xm:f>1</xm:f>
              </x14:cfvo>
              <x14:borderColor theme="0"/>
              <x14:negativeFillColor rgb="FFFF0000"/>
              <x14:axisColor rgb="FF000000"/>
            </x14:dataBar>
          </x14:cfRule>
          <xm:sqref>N166</xm:sqref>
        </x14:conditionalFormatting>
        <x14:conditionalFormatting xmlns:xm="http://schemas.microsoft.com/office/excel/2006/main">
          <x14:cfRule type="dataBar" id="{71A52319-90FC-4987-B0F7-2FD7024A000E}">
            <x14:dataBar minLength="0" maxLength="100" border="1" gradient="0">
              <x14:cfvo type="num">
                <xm:f>0</xm:f>
              </x14:cfvo>
              <x14:cfvo type="num">
                <xm:f>1</xm:f>
              </x14:cfvo>
              <x14:borderColor theme="0"/>
              <x14:negativeFillColor rgb="FFFF0000"/>
              <x14:axisColor rgb="FF000000"/>
            </x14:dataBar>
          </x14:cfRule>
          <xm:sqref>N168</xm:sqref>
        </x14:conditionalFormatting>
        <x14:conditionalFormatting xmlns:xm="http://schemas.microsoft.com/office/excel/2006/main">
          <x14:cfRule type="dataBar" id="{8191ECA4-B192-47F0-AB6B-8C2D0E489BEB}">
            <x14:dataBar minLength="0" maxLength="100" border="1" gradient="0">
              <x14:cfvo type="num">
                <xm:f>0</xm:f>
              </x14:cfvo>
              <x14:cfvo type="num">
                <xm:f>1</xm:f>
              </x14:cfvo>
              <x14:borderColor theme="0"/>
              <x14:negativeFillColor rgb="FFFF0000"/>
              <x14:axisColor rgb="FF000000"/>
            </x14:dataBar>
          </x14:cfRule>
          <xm:sqref>N170</xm:sqref>
        </x14:conditionalFormatting>
        <x14:conditionalFormatting xmlns:xm="http://schemas.microsoft.com/office/excel/2006/main">
          <x14:cfRule type="dataBar" id="{9D45C0A4-3EAA-41E3-A5E0-B0A5D92EEDDF}">
            <x14:dataBar minLength="0" maxLength="100" border="1" gradient="0">
              <x14:cfvo type="num">
                <xm:f>0</xm:f>
              </x14:cfvo>
              <x14:cfvo type="num">
                <xm:f>1</xm:f>
              </x14:cfvo>
              <x14:borderColor theme="0"/>
              <x14:negativeFillColor rgb="FFFF0000"/>
              <x14:axisColor rgb="FF000000"/>
            </x14:dataBar>
          </x14:cfRule>
          <xm:sqref>N172</xm:sqref>
        </x14:conditionalFormatting>
        <x14:conditionalFormatting xmlns:xm="http://schemas.microsoft.com/office/excel/2006/main">
          <x14:cfRule type="dataBar" id="{67855592-FB6E-480B-BDEF-7D177A49D2B3}">
            <x14:dataBar minLength="0" maxLength="100" border="1" gradient="0">
              <x14:cfvo type="num">
                <xm:f>0</xm:f>
              </x14:cfvo>
              <x14:cfvo type="num">
                <xm:f>1</xm:f>
              </x14:cfvo>
              <x14:borderColor theme="0"/>
              <x14:negativeFillColor rgb="FFFF0000"/>
              <x14:axisColor rgb="FF000000"/>
            </x14:dataBar>
          </x14:cfRule>
          <xm:sqref>N176</xm:sqref>
        </x14:conditionalFormatting>
        <x14:conditionalFormatting xmlns:xm="http://schemas.microsoft.com/office/excel/2006/main">
          <x14:cfRule type="dataBar" id="{929009B4-9800-4434-A218-062F2F081BBA}">
            <x14:dataBar minLength="0" maxLength="100" border="1" gradient="0">
              <x14:cfvo type="num">
                <xm:f>0</xm:f>
              </x14:cfvo>
              <x14:cfvo type="num">
                <xm:f>1</xm:f>
              </x14:cfvo>
              <x14:borderColor theme="0"/>
              <x14:negativeFillColor rgb="FFFF0000"/>
              <x14:axisColor rgb="FF000000"/>
            </x14:dataBar>
          </x14:cfRule>
          <xm:sqref>N178</xm:sqref>
        </x14:conditionalFormatting>
        <x14:conditionalFormatting xmlns:xm="http://schemas.microsoft.com/office/excel/2006/main">
          <x14:cfRule type="dataBar" id="{B7866BAB-20D7-4613-861F-B09F8573BCF4}">
            <x14:dataBar minLength="0" maxLength="100" border="1" gradient="0">
              <x14:cfvo type="num">
                <xm:f>0</xm:f>
              </x14:cfvo>
              <x14:cfvo type="num">
                <xm:f>1</xm:f>
              </x14:cfvo>
              <x14:borderColor theme="0"/>
              <x14:negativeFillColor rgb="FFFF0000"/>
              <x14:axisColor rgb="FF000000"/>
            </x14:dataBar>
          </x14:cfRule>
          <xm:sqref>N180</xm:sqref>
        </x14:conditionalFormatting>
        <x14:conditionalFormatting xmlns:xm="http://schemas.microsoft.com/office/excel/2006/main">
          <x14:cfRule type="dataBar" id="{FCEF3611-64F1-4C50-BE6C-1064963276C9}">
            <x14:dataBar minLength="0" maxLength="100" border="1" gradient="0">
              <x14:cfvo type="num">
                <xm:f>0</xm:f>
              </x14:cfvo>
              <x14:cfvo type="num">
                <xm:f>1</xm:f>
              </x14:cfvo>
              <x14:borderColor theme="0"/>
              <x14:negativeFillColor rgb="FFFF0000"/>
              <x14:axisColor rgb="FF000000"/>
            </x14:dataBar>
          </x14:cfRule>
          <xm:sqref>N182</xm:sqref>
        </x14:conditionalFormatting>
        <x14:conditionalFormatting xmlns:xm="http://schemas.microsoft.com/office/excel/2006/main">
          <x14:cfRule type="dataBar" id="{DF6D5628-4D6F-4220-88F4-52D13684616F}">
            <x14:dataBar minLength="0" maxLength="100" border="1" gradient="0">
              <x14:cfvo type="num">
                <xm:f>0</xm:f>
              </x14:cfvo>
              <x14:cfvo type="num">
                <xm:f>1</xm:f>
              </x14:cfvo>
              <x14:borderColor theme="0"/>
              <x14:negativeFillColor rgb="FFFF0000"/>
              <x14:axisColor rgb="FF000000"/>
            </x14:dataBar>
          </x14:cfRule>
          <xm:sqref>N184</xm:sqref>
        </x14:conditionalFormatting>
        <x14:conditionalFormatting xmlns:xm="http://schemas.microsoft.com/office/excel/2006/main">
          <x14:cfRule type="dataBar" id="{E90D98EA-42BF-4F37-90DB-064FC09DE62C}">
            <x14:dataBar minLength="0" maxLength="100" border="1" gradient="0">
              <x14:cfvo type="num">
                <xm:f>0</xm:f>
              </x14:cfvo>
              <x14:cfvo type="num">
                <xm:f>1</xm:f>
              </x14:cfvo>
              <x14:borderColor theme="0"/>
              <x14:negativeFillColor rgb="FFFF0000"/>
              <x14:axisColor rgb="FF000000"/>
            </x14:dataBar>
          </x14:cfRule>
          <xm:sqref>N186</xm:sqref>
        </x14:conditionalFormatting>
        <x14:conditionalFormatting xmlns:xm="http://schemas.microsoft.com/office/excel/2006/main">
          <x14:cfRule type="dataBar" id="{6697EF1B-83AF-4DA2-915A-4791B68D2289}">
            <x14:dataBar minLength="0" maxLength="100" border="1" gradient="0">
              <x14:cfvo type="num">
                <xm:f>0</xm:f>
              </x14:cfvo>
              <x14:cfvo type="num">
                <xm:f>1</xm:f>
              </x14:cfvo>
              <x14:borderColor theme="0"/>
              <x14:negativeFillColor rgb="FFFF0000"/>
              <x14:axisColor rgb="FF000000"/>
            </x14:dataBar>
          </x14:cfRule>
          <xm:sqref>N188</xm:sqref>
        </x14:conditionalFormatting>
        <x14:conditionalFormatting xmlns:xm="http://schemas.microsoft.com/office/excel/2006/main">
          <x14:cfRule type="dataBar" id="{33BEE520-2469-4645-9675-3D0A836E8979}">
            <x14:dataBar minLength="0" maxLength="100" border="1" gradient="0">
              <x14:cfvo type="num">
                <xm:f>0</xm:f>
              </x14:cfvo>
              <x14:cfvo type="num">
                <xm:f>1</xm:f>
              </x14:cfvo>
              <x14:borderColor theme="0"/>
              <x14:negativeFillColor rgb="FFFF0000"/>
              <x14:axisColor rgb="FF000000"/>
            </x14:dataBar>
          </x14:cfRule>
          <xm:sqref>N190</xm:sqref>
        </x14:conditionalFormatting>
        <x14:conditionalFormatting xmlns:xm="http://schemas.microsoft.com/office/excel/2006/main">
          <x14:cfRule type="dataBar" id="{8B3ABA92-DBAF-439F-BC12-0E1E290F5E42}">
            <x14:dataBar minLength="0" maxLength="100" border="1" gradient="0">
              <x14:cfvo type="num">
                <xm:f>0</xm:f>
              </x14:cfvo>
              <x14:cfvo type="num">
                <xm:f>1</xm:f>
              </x14:cfvo>
              <x14:borderColor theme="0"/>
              <x14:negativeFillColor rgb="FFFF0000"/>
              <x14:axisColor rgb="FF000000"/>
            </x14:dataBar>
          </x14:cfRule>
          <xm:sqref>N192</xm:sqref>
        </x14:conditionalFormatting>
        <x14:conditionalFormatting xmlns:xm="http://schemas.microsoft.com/office/excel/2006/main">
          <x14:cfRule type="dataBar" id="{B5A223AE-CB0C-4F00-BC92-E10387BE8E3F}">
            <x14:dataBar minLength="0" maxLength="100" border="1" gradient="0">
              <x14:cfvo type="num">
                <xm:f>0</xm:f>
              </x14:cfvo>
              <x14:cfvo type="num">
                <xm:f>1</xm:f>
              </x14:cfvo>
              <x14:borderColor theme="0"/>
              <x14:negativeFillColor rgb="FFFF0000"/>
              <x14:axisColor rgb="FF000000"/>
            </x14:dataBar>
          </x14:cfRule>
          <xm:sqref>N194</xm:sqref>
        </x14:conditionalFormatting>
        <x14:conditionalFormatting xmlns:xm="http://schemas.microsoft.com/office/excel/2006/main">
          <x14:cfRule type="dataBar" id="{9CE8C89F-E995-4834-B959-690FCD0E476C}">
            <x14:dataBar minLength="0" maxLength="100" border="1" gradient="0">
              <x14:cfvo type="num">
                <xm:f>0</xm:f>
              </x14:cfvo>
              <x14:cfvo type="num">
                <xm:f>1</xm:f>
              </x14:cfvo>
              <x14:borderColor theme="0"/>
              <x14:negativeFillColor rgb="FFFF0000"/>
              <x14:axisColor rgb="FF000000"/>
            </x14:dataBar>
          </x14:cfRule>
          <xm:sqref>N196</xm:sqref>
        </x14:conditionalFormatting>
        <x14:conditionalFormatting xmlns:xm="http://schemas.microsoft.com/office/excel/2006/main">
          <x14:cfRule type="dataBar" id="{079F8E1A-9250-4286-9748-3B7498AE554D}">
            <x14:dataBar minLength="0" maxLength="100" border="1" gradient="0">
              <x14:cfvo type="num">
                <xm:f>0</xm:f>
              </x14:cfvo>
              <x14:cfvo type="num">
                <xm:f>1</xm:f>
              </x14:cfvo>
              <x14:borderColor theme="0"/>
              <x14:negativeFillColor rgb="FFFF0000"/>
              <x14:axisColor rgb="FF000000"/>
            </x14:dataBar>
          </x14:cfRule>
          <xm:sqref>N198</xm:sqref>
        </x14:conditionalFormatting>
        <x14:conditionalFormatting xmlns:xm="http://schemas.microsoft.com/office/excel/2006/main">
          <x14:cfRule type="dataBar" id="{CD03E940-A8A0-4940-BE5F-5D4E7B477FE3}">
            <x14:dataBar minLength="0" maxLength="100" border="1" gradient="0">
              <x14:cfvo type="num">
                <xm:f>0</xm:f>
              </x14:cfvo>
              <x14:cfvo type="num">
                <xm:f>1</xm:f>
              </x14:cfvo>
              <x14:borderColor theme="0"/>
              <x14:negativeFillColor rgb="FFFF0000"/>
              <x14:axisColor rgb="FF000000"/>
            </x14:dataBar>
          </x14:cfRule>
          <xm:sqref>N200</xm:sqref>
        </x14:conditionalFormatting>
        <x14:conditionalFormatting xmlns:xm="http://schemas.microsoft.com/office/excel/2006/main">
          <x14:cfRule type="dataBar" id="{12F8123C-3302-487B-84F8-A41B844C664B}">
            <x14:dataBar minLength="0" maxLength="100" border="1" gradient="0">
              <x14:cfvo type="num">
                <xm:f>0</xm:f>
              </x14:cfvo>
              <x14:cfvo type="num">
                <xm:f>1</xm:f>
              </x14:cfvo>
              <x14:borderColor theme="0"/>
              <x14:negativeFillColor rgb="FFFF0000"/>
              <x14:axisColor rgb="FF000000"/>
            </x14:dataBar>
          </x14:cfRule>
          <xm:sqref>N202</xm:sqref>
        </x14:conditionalFormatting>
        <x14:conditionalFormatting xmlns:xm="http://schemas.microsoft.com/office/excel/2006/main">
          <x14:cfRule type="dataBar" id="{F1679243-8D98-4BF3-BCD9-CF1B03402CDC}">
            <x14:dataBar minLength="0" maxLength="100" border="1" gradient="0">
              <x14:cfvo type="num">
                <xm:f>0</xm:f>
              </x14:cfvo>
              <x14:cfvo type="num">
                <xm:f>1</xm:f>
              </x14:cfvo>
              <x14:borderColor theme="0"/>
              <x14:negativeFillColor rgb="FFFF0000"/>
              <x14:axisColor rgb="FF000000"/>
            </x14:dataBar>
          </x14:cfRule>
          <xm:sqref>N204</xm:sqref>
        </x14:conditionalFormatting>
        <x14:conditionalFormatting xmlns:xm="http://schemas.microsoft.com/office/excel/2006/main">
          <x14:cfRule type="dataBar" id="{5E22F7D2-70AD-4B95-A97D-FDDF915E80BE}">
            <x14:dataBar minLength="0" maxLength="100" border="1" gradient="0">
              <x14:cfvo type="num">
                <xm:f>0</xm:f>
              </x14:cfvo>
              <x14:cfvo type="num">
                <xm:f>1</xm:f>
              </x14:cfvo>
              <x14:borderColor theme="0"/>
              <x14:negativeFillColor rgb="FFFF0000"/>
              <x14:axisColor rgb="FF000000"/>
            </x14:dataBar>
          </x14:cfRule>
          <xm:sqref>N206</xm:sqref>
        </x14:conditionalFormatting>
        <x14:conditionalFormatting xmlns:xm="http://schemas.microsoft.com/office/excel/2006/main">
          <x14:cfRule type="dataBar" id="{D3093060-7B75-4316-964A-4D2258431C87}">
            <x14:dataBar minLength="0" maxLength="100" border="1" gradient="0">
              <x14:cfvo type="num">
                <xm:f>0</xm:f>
              </x14:cfvo>
              <x14:cfvo type="num">
                <xm:f>1</xm:f>
              </x14:cfvo>
              <x14:borderColor theme="0"/>
              <x14:negativeFillColor rgb="FFFF0000"/>
              <x14:axisColor rgb="FF000000"/>
            </x14:dataBar>
          </x14:cfRule>
          <xm:sqref>N208</xm:sqref>
        </x14:conditionalFormatting>
        <x14:conditionalFormatting xmlns:xm="http://schemas.microsoft.com/office/excel/2006/main">
          <x14:cfRule type="dataBar" id="{A1E59B42-0378-45BB-8D9A-6427D2E3A284}">
            <x14:dataBar minLength="0" maxLength="100" border="1" gradient="0">
              <x14:cfvo type="num">
                <xm:f>0</xm:f>
              </x14:cfvo>
              <x14:cfvo type="num">
                <xm:f>1</xm:f>
              </x14:cfvo>
              <x14:borderColor theme="0"/>
              <x14:negativeFillColor rgb="FFFF0000"/>
              <x14:axisColor rgb="FF000000"/>
            </x14:dataBar>
          </x14:cfRule>
          <xm:sqref>N210</xm:sqref>
        </x14:conditionalFormatting>
        <x14:conditionalFormatting xmlns:xm="http://schemas.microsoft.com/office/excel/2006/main">
          <x14:cfRule type="dataBar" id="{63A8020B-7E8D-40F9-BD26-803A5248B499}">
            <x14:dataBar minLength="0" maxLength="100" border="1" gradient="0">
              <x14:cfvo type="num">
                <xm:f>0</xm:f>
              </x14:cfvo>
              <x14:cfvo type="num">
                <xm:f>1</xm:f>
              </x14:cfvo>
              <x14:borderColor theme="0"/>
              <x14:negativeFillColor rgb="FFFF0000"/>
              <x14:axisColor rgb="FF000000"/>
            </x14:dataBar>
          </x14:cfRule>
          <xm:sqref>N212</xm:sqref>
        </x14:conditionalFormatting>
        <x14:conditionalFormatting xmlns:xm="http://schemas.microsoft.com/office/excel/2006/main">
          <x14:cfRule type="dataBar" id="{D8DF38D4-D5E5-4EA5-A2AB-4A06EBA8B530}">
            <x14:dataBar minLength="0" maxLength="100" border="1" gradient="0">
              <x14:cfvo type="num">
                <xm:f>0</xm:f>
              </x14:cfvo>
              <x14:cfvo type="num">
                <xm:f>1</xm:f>
              </x14:cfvo>
              <x14:borderColor theme="0"/>
              <x14:negativeFillColor rgb="FFFF0000"/>
              <x14:axisColor rgb="FF000000"/>
            </x14:dataBar>
          </x14:cfRule>
          <xm:sqref>N214</xm:sqref>
        </x14:conditionalFormatting>
        <x14:conditionalFormatting xmlns:xm="http://schemas.microsoft.com/office/excel/2006/main">
          <x14:cfRule type="dataBar" id="{EADCB35E-C492-4D6D-892C-8A1AC121CA84}">
            <x14:dataBar minLength="0" maxLength="100" border="1" gradient="0">
              <x14:cfvo type="num">
                <xm:f>0</xm:f>
              </x14:cfvo>
              <x14:cfvo type="num">
                <xm:f>1</xm:f>
              </x14:cfvo>
              <x14:borderColor theme="0"/>
              <x14:negativeFillColor rgb="FFFF0000"/>
              <x14:axisColor rgb="FF000000"/>
            </x14:dataBar>
          </x14:cfRule>
          <xm:sqref>N216</xm:sqref>
        </x14:conditionalFormatting>
        <x14:conditionalFormatting xmlns:xm="http://schemas.microsoft.com/office/excel/2006/main">
          <x14:cfRule type="dataBar" id="{2BADCD4B-5576-4CC4-BCFC-51F4A01B70C8}">
            <x14:dataBar minLength="0" maxLength="100" border="1" gradient="0">
              <x14:cfvo type="num">
                <xm:f>0</xm:f>
              </x14:cfvo>
              <x14:cfvo type="num">
                <xm:f>1</xm:f>
              </x14:cfvo>
              <x14:borderColor theme="0"/>
              <x14:negativeFillColor rgb="FFFF0000"/>
              <x14:axisColor rgb="FF000000"/>
            </x14:dataBar>
          </x14:cfRule>
          <xm:sqref>N218</xm:sqref>
        </x14:conditionalFormatting>
        <x14:conditionalFormatting xmlns:xm="http://schemas.microsoft.com/office/excel/2006/main">
          <x14:cfRule type="dataBar" id="{7B4FCB46-745F-44E8-8E09-F79D0087D74F}">
            <x14:dataBar minLength="0" maxLength="100" border="1" gradient="0">
              <x14:cfvo type="num">
                <xm:f>0</xm:f>
              </x14:cfvo>
              <x14:cfvo type="num">
                <xm:f>1</xm:f>
              </x14:cfvo>
              <x14:borderColor theme="0"/>
              <x14:negativeFillColor rgb="FFFF0000"/>
              <x14:axisColor rgb="FF000000"/>
            </x14:dataBar>
          </x14:cfRule>
          <xm:sqref>N220</xm:sqref>
        </x14:conditionalFormatting>
        <x14:conditionalFormatting xmlns:xm="http://schemas.microsoft.com/office/excel/2006/main">
          <x14:cfRule type="dataBar" id="{CECF27EF-1B4C-4EB8-A07B-EC4E4B407888}">
            <x14:dataBar minLength="0" maxLength="100" border="1" gradient="0">
              <x14:cfvo type="num">
                <xm:f>0</xm:f>
              </x14:cfvo>
              <x14:cfvo type="num">
                <xm:f>1</xm:f>
              </x14:cfvo>
              <x14:borderColor theme="0"/>
              <x14:negativeFillColor rgb="FFFF0000"/>
              <x14:axisColor rgb="FF000000"/>
            </x14:dataBar>
          </x14:cfRule>
          <xm:sqref>N222</xm:sqref>
        </x14:conditionalFormatting>
        <x14:conditionalFormatting xmlns:xm="http://schemas.microsoft.com/office/excel/2006/main">
          <x14:cfRule type="dataBar" id="{802F14FB-D4E9-4DEB-9A5E-298669C1A8DA}">
            <x14:dataBar minLength="0" maxLength="100" border="1" gradient="0">
              <x14:cfvo type="num">
                <xm:f>0</xm:f>
              </x14:cfvo>
              <x14:cfvo type="num">
                <xm:f>1</xm:f>
              </x14:cfvo>
              <x14:borderColor theme="0"/>
              <x14:negativeFillColor rgb="FFFF0000"/>
              <x14:axisColor rgb="FF000000"/>
            </x14:dataBar>
          </x14:cfRule>
          <xm:sqref>N224</xm:sqref>
        </x14:conditionalFormatting>
        <x14:conditionalFormatting xmlns:xm="http://schemas.microsoft.com/office/excel/2006/main">
          <x14:cfRule type="dataBar" id="{28892733-2E1E-48C2-A469-29FE8372A082}">
            <x14:dataBar minLength="0" maxLength="100" border="1" gradient="0">
              <x14:cfvo type="num">
                <xm:f>0</xm:f>
              </x14:cfvo>
              <x14:cfvo type="num">
                <xm:f>1</xm:f>
              </x14:cfvo>
              <x14:borderColor theme="0"/>
              <x14:negativeFillColor rgb="FFFF0000"/>
              <x14:axisColor rgb="FF000000"/>
            </x14:dataBar>
          </x14:cfRule>
          <xm:sqref>N226</xm:sqref>
        </x14:conditionalFormatting>
        <x14:conditionalFormatting xmlns:xm="http://schemas.microsoft.com/office/excel/2006/main">
          <x14:cfRule type="dataBar" id="{358A0F43-7EB1-4D13-9934-0739D670441C}">
            <x14:dataBar minLength="0" maxLength="100" border="1" gradient="0">
              <x14:cfvo type="num">
                <xm:f>0</xm:f>
              </x14:cfvo>
              <x14:cfvo type="num">
                <xm:f>1</xm:f>
              </x14:cfvo>
              <x14:borderColor theme="0"/>
              <x14:negativeFillColor rgb="FFFF0000"/>
              <x14:axisColor rgb="FF000000"/>
            </x14:dataBar>
          </x14:cfRule>
          <xm:sqref>N228</xm:sqref>
        </x14:conditionalFormatting>
        <x14:conditionalFormatting xmlns:xm="http://schemas.microsoft.com/office/excel/2006/main">
          <x14:cfRule type="dataBar" id="{93A7BB14-6E82-49EE-A631-C8AC1278A33A}">
            <x14:dataBar minLength="0" maxLength="100" border="1" gradient="0">
              <x14:cfvo type="num">
                <xm:f>0</xm:f>
              </x14:cfvo>
              <x14:cfvo type="num">
                <xm:f>1</xm:f>
              </x14:cfvo>
              <x14:borderColor theme="0"/>
              <x14:negativeFillColor rgb="FFFF0000"/>
              <x14:axisColor rgb="FF000000"/>
            </x14:dataBar>
          </x14:cfRule>
          <xm:sqref>N232</xm:sqref>
        </x14:conditionalFormatting>
        <x14:conditionalFormatting xmlns:xm="http://schemas.microsoft.com/office/excel/2006/main">
          <x14:cfRule type="dataBar" id="{BDAB429A-3BE8-47BB-A10C-A3876EB4BA42}">
            <x14:dataBar minLength="0" maxLength="100" border="1" gradient="0">
              <x14:cfvo type="num">
                <xm:f>0</xm:f>
              </x14:cfvo>
              <x14:cfvo type="num">
                <xm:f>1</xm:f>
              </x14:cfvo>
              <x14:borderColor theme="0"/>
              <x14:negativeFillColor rgb="FFFF0000"/>
              <x14:axisColor rgb="FF000000"/>
            </x14:dataBar>
          </x14:cfRule>
          <xm:sqref>N234</xm:sqref>
        </x14:conditionalFormatting>
        <x14:conditionalFormatting xmlns:xm="http://schemas.microsoft.com/office/excel/2006/main">
          <x14:cfRule type="dataBar" id="{164C7935-1DEA-4781-8B2D-A3D52AECB081}">
            <x14:dataBar minLength="0" maxLength="100" border="1" gradient="0">
              <x14:cfvo type="num">
                <xm:f>0</xm:f>
              </x14:cfvo>
              <x14:cfvo type="num">
                <xm:f>1</xm:f>
              </x14:cfvo>
              <x14:borderColor theme="0"/>
              <x14:negativeFillColor rgb="FFFF0000"/>
              <x14:axisColor rgb="FF000000"/>
            </x14:dataBar>
          </x14:cfRule>
          <xm:sqref>N236</xm:sqref>
        </x14:conditionalFormatting>
        <x14:conditionalFormatting xmlns:xm="http://schemas.microsoft.com/office/excel/2006/main">
          <x14:cfRule type="dataBar" id="{3EC8869C-F4E0-41DA-8799-0B132123A557}">
            <x14:dataBar minLength="0" maxLength="100" border="1" gradient="0">
              <x14:cfvo type="num">
                <xm:f>0</xm:f>
              </x14:cfvo>
              <x14:cfvo type="num">
                <xm:f>1</xm:f>
              </x14:cfvo>
              <x14:borderColor theme="0"/>
              <x14:negativeFillColor rgb="FFFF0000"/>
              <x14:axisColor rgb="FF000000"/>
            </x14:dataBar>
          </x14:cfRule>
          <xm:sqref>N238</xm:sqref>
        </x14:conditionalFormatting>
        <x14:conditionalFormatting xmlns:xm="http://schemas.microsoft.com/office/excel/2006/main">
          <x14:cfRule type="dataBar" id="{32B3E8A1-C59A-41ED-A303-E7BEC5BCBA46}">
            <x14:dataBar minLength="0" maxLength="100" border="1" gradient="0">
              <x14:cfvo type="num">
                <xm:f>0</xm:f>
              </x14:cfvo>
              <x14:cfvo type="num">
                <xm:f>1</xm:f>
              </x14:cfvo>
              <x14:borderColor theme="0"/>
              <x14:negativeFillColor rgb="FFFF0000"/>
              <x14:axisColor rgb="FF000000"/>
            </x14:dataBar>
          </x14:cfRule>
          <xm:sqref>N240</xm:sqref>
        </x14:conditionalFormatting>
        <x14:conditionalFormatting xmlns:xm="http://schemas.microsoft.com/office/excel/2006/main">
          <x14:cfRule type="dataBar" id="{A76EA505-14EA-4285-81F4-9FEBF003AC89}">
            <x14:dataBar minLength="0" maxLength="100" border="1" gradient="0">
              <x14:cfvo type="num">
                <xm:f>0</xm:f>
              </x14:cfvo>
              <x14:cfvo type="num">
                <xm:f>1</xm:f>
              </x14:cfvo>
              <x14:borderColor theme="0"/>
              <x14:negativeFillColor rgb="FFFF0000"/>
              <x14:axisColor rgb="FF000000"/>
            </x14:dataBar>
          </x14:cfRule>
          <xm:sqref>N242</xm:sqref>
        </x14:conditionalFormatting>
        <x14:conditionalFormatting xmlns:xm="http://schemas.microsoft.com/office/excel/2006/main">
          <x14:cfRule type="dataBar" id="{3867F1C7-A80A-46BD-B7B5-7EA9EF2D0087}">
            <x14:dataBar minLength="0" maxLength="100" border="1" gradient="0">
              <x14:cfvo type="num">
                <xm:f>0</xm:f>
              </x14:cfvo>
              <x14:cfvo type="num">
                <xm:f>1</xm:f>
              </x14:cfvo>
              <x14:borderColor theme="0"/>
              <x14:negativeFillColor rgb="FFFF0000"/>
              <x14:axisColor rgb="FF000000"/>
            </x14:dataBar>
          </x14:cfRule>
          <xm:sqref>N244</xm:sqref>
        </x14:conditionalFormatting>
        <x14:conditionalFormatting xmlns:xm="http://schemas.microsoft.com/office/excel/2006/main">
          <x14:cfRule type="dataBar" id="{7E153B98-8EBA-487C-B10D-13CC3E2D1C40}">
            <x14:dataBar minLength="0" maxLength="100" border="1" gradient="0">
              <x14:cfvo type="num">
                <xm:f>0</xm:f>
              </x14:cfvo>
              <x14:cfvo type="num">
                <xm:f>1</xm:f>
              </x14:cfvo>
              <x14:borderColor theme="0"/>
              <x14:negativeFillColor rgb="FFFF0000"/>
              <x14:axisColor rgb="FF000000"/>
            </x14:dataBar>
          </x14:cfRule>
          <xm:sqref>N246</xm:sqref>
        </x14:conditionalFormatting>
        <x14:conditionalFormatting xmlns:xm="http://schemas.microsoft.com/office/excel/2006/main">
          <x14:cfRule type="dataBar" id="{C79AD499-9E4C-4908-BB66-6B7378446A7F}">
            <x14:dataBar minLength="0" maxLength="100" border="1" gradient="0">
              <x14:cfvo type="num">
                <xm:f>0</xm:f>
              </x14:cfvo>
              <x14:cfvo type="num">
                <xm:f>1</xm:f>
              </x14:cfvo>
              <x14:borderColor theme="0"/>
              <x14:negativeFillColor rgb="FFFF0000"/>
              <x14:axisColor rgb="FF000000"/>
            </x14:dataBar>
          </x14:cfRule>
          <xm:sqref>N248</xm:sqref>
        </x14:conditionalFormatting>
        <x14:conditionalFormatting xmlns:xm="http://schemas.microsoft.com/office/excel/2006/main">
          <x14:cfRule type="dataBar" id="{89DDAB22-ADFA-41C9-9809-CB2533D1BE78}">
            <x14:dataBar minLength="0" maxLength="100" border="1" gradient="0">
              <x14:cfvo type="num">
                <xm:f>0</xm:f>
              </x14:cfvo>
              <x14:cfvo type="num">
                <xm:f>1</xm:f>
              </x14:cfvo>
              <x14:borderColor theme="0"/>
              <x14:negativeFillColor rgb="FFFF0000"/>
              <x14:axisColor rgb="FF000000"/>
            </x14:dataBar>
          </x14:cfRule>
          <xm:sqref>N250</xm:sqref>
        </x14:conditionalFormatting>
        <x14:conditionalFormatting xmlns:xm="http://schemas.microsoft.com/office/excel/2006/main">
          <x14:cfRule type="dataBar" id="{E9328691-859B-4EDD-8E1E-51ED84CCFEAF}">
            <x14:dataBar minLength="0" maxLength="100" border="1" gradient="0">
              <x14:cfvo type="num">
                <xm:f>0</xm:f>
              </x14:cfvo>
              <x14:cfvo type="num">
                <xm:f>1</xm:f>
              </x14:cfvo>
              <x14:borderColor theme="0"/>
              <x14:negativeFillColor rgb="FFFF0000"/>
              <x14:axisColor rgb="FF000000"/>
            </x14:dataBar>
          </x14:cfRule>
          <xm:sqref>N252</xm:sqref>
        </x14:conditionalFormatting>
        <x14:conditionalFormatting xmlns:xm="http://schemas.microsoft.com/office/excel/2006/main">
          <x14:cfRule type="dataBar" id="{F7F33071-1E35-48A7-AC46-E3BD29A086D8}">
            <x14:dataBar minLength="0" maxLength="100" border="1" gradient="0">
              <x14:cfvo type="num">
                <xm:f>0</xm:f>
              </x14:cfvo>
              <x14:cfvo type="num">
                <xm:f>1</xm:f>
              </x14:cfvo>
              <x14:borderColor theme="0"/>
              <x14:negativeFillColor rgb="FFFF0000"/>
              <x14:axisColor rgb="FF000000"/>
            </x14:dataBar>
          </x14:cfRule>
          <xm:sqref>N254</xm:sqref>
        </x14:conditionalFormatting>
        <x14:conditionalFormatting xmlns:xm="http://schemas.microsoft.com/office/excel/2006/main">
          <x14:cfRule type="dataBar" id="{325A0400-BD03-4935-B2ED-F2CDEA26ABA8}">
            <x14:dataBar minLength="0" maxLength="100" border="1" gradient="0">
              <x14:cfvo type="num">
                <xm:f>0</xm:f>
              </x14:cfvo>
              <x14:cfvo type="num">
                <xm:f>1</xm:f>
              </x14:cfvo>
              <x14:borderColor theme="0"/>
              <x14:negativeFillColor rgb="FFFF0000"/>
              <x14:axisColor rgb="FF000000"/>
            </x14:dataBar>
          </x14:cfRule>
          <xm:sqref>N256</xm:sqref>
        </x14:conditionalFormatting>
        <x14:conditionalFormatting xmlns:xm="http://schemas.microsoft.com/office/excel/2006/main">
          <x14:cfRule type="dataBar" id="{93F03F9E-519F-4FE2-B89A-2BF5C1E0478C}">
            <x14:dataBar minLength="0" maxLength="100" border="1" gradient="0">
              <x14:cfvo type="num">
                <xm:f>0</xm:f>
              </x14:cfvo>
              <x14:cfvo type="num">
                <xm:f>1</xm:f>
              </x14:cfvo>
              <x14:borderColor theme="0"/>
              <x14:negativeFillColor rgb="FFFF0000"/>
              <x14:axisColor rgb="FF000000"/>
            </x14:dataBar>
          </x14:cfRule>
          <xm:sqref>N258</xm:sqref>
        </x14:conditionalFormatting>
        <x14:conditionalFormatting xmlns:xm="http://schemas.microsoft.com/office/excel/2006/main">
          <x14:cfRule type="dataBar" id="{E0744DD4-0722-4F9C-83B3-9F037A467A9F}">
            <x14:dataBar minLength="0" maxLength="100" border="1" gradient="0">
              <x14:cfvo type="num">
                <xm:f>0</xm:f>
              </x14:cfvo>
              <x14:cfvo type="num">
                <xm:f>1</xm:f>
              </x14:cfvo>
              <x14:borderColor theme="0"/>
              <x14:negativeFillColor rgb="FFFF0000"/>
              <x14:axisColor rgb="FF000000"/>
            </x14:dataBar>
          </x14:cfRule>
          <xm:sqref>N260</xm:sqref>
        </x14:conditionalFormatting>
        <x14:conditionalFormatting xmlns:xm="http://schemas.microsoft.com/office/excel/2006/main">
          <x14:cfRule type="dataBar" id="{9408F8BE-5EF0-481B-9D4E-7A57BDB40DC5}">
            <x14:dataBar minLength="0" maxLength="100" border="1" gradient="0">
              <x14:cfvo type="num">
                <xm:f>0</xm:f>
              </x14:cfvo>
              <x14:cfvo type="num">
                <xm:f>1</xm:f>
              </x14:cfvo>
              <x14:borderColor theme="0"/>
              <x14:negativeFillColor rgb="FFFF0000"/>
              <x14:axisColor rgb="FF000000"/>
            </x14:dataBar>
          </x14:cfRule>
          <xm:sqref>N262</xm:sqref>
        </x14:conditionalFormatting>
        <x14:conditionalFormatting xmlns:xm="http://schemas.microsoft.com/office/excel/2006/main">
          <x14:cfRule type="dataBar" id="{E95EA19E-1195-4258-839F-924272127C29}">
            <x14:dataBar minLength="0" maxLength="100" border="1" gradient="0">
              <x14:cfvo type="num">
                <xm:f>0</xm:f>
              </x14:cfvo>
              <x14:cfvo type="num">
                <xm:f>1</xm:f>
              </x14:cfvo>
              <x14:borderColor theme="0"/>
              <x14:negativeFillColor rgb="FFFF0000"/>
              <x14:axisColor rgb="FF000000"/>
            </x14:dataBar>
          </x14:cfRule>
          <xm:sqref>N264</xm:sqref>
        </x14:conditionalFormatting>
        <x14:conditionalFormatting xmlns:xm="http://schemas.microsoft.com/office/excel/2006/main">
          <x14:cfRule type="dataBar" id="{19D7B25C-771F-4512-92F7-1602DB15D7BC}">
            <x14:dataBar minLength="0" maxLength="100" border="1" gradient="0">
              <x14:cfvo type="num">
                <xm:f>0</xm:f>
              </x14:cfvo>
              <x14:cfvo type="num">
                <xm:f>1</xm:f>
              </x14:cfvo>
              <x14:borderColor theme="0"/>
              <x14:negativeFillColor rgb="FFFF0000"/>
              <x14:axisColor rgb="FF000000"/>
            </x14:dataBar>
          </x14:cfRule>
          <xm:sqref>N266</xm:sqref>
        </x14:conditionalFormatting>
        <x14:conditionalFormatting xmlns:xm="http://schemas.microsoft.com/office/excel/2006/main">
          <x14:cfRule type="dataBar" id="{6591939F-BF0F-4B0E-A207-A3BA39CC2B81}">
            <x14:dataBar minLength="0" maxLength="100" border="1" gradient="0">
              <x14:cfvo type="num">
                <xm:f>0</xm:f>
              </x14:cfvo>
              <x14:cfvo type="num">
                <xm:f>1</xm:f>
              </x14:cfvo>
              <x14:borderColor theme="0"/>
              <x14:negativeFillColor rgb="FFFF0000"/>
              <x14:axisColor rgb="FF000000"/>
            </x14:dataBar>
          </x14:cfRule>
          <xm:sqref>N268</xm:sqref>
        </x14:conditionalFormatting>
        <x14:conditionalFormatting xmlns:xm="http://schemas.microsoft.com/office/excel/2006/main">
          <x14:cfRule type="dataBar" id="{46787A0D-9AB5-4114-B44F-4C3657893A92}">
            <x14:dataBar minLength="0" maxLength="100" border="1" gradient="0">
              <x14:cfvo type="num">
                <xm:f>0</xm:f>
              </x14:cfvo>
              <x14:cfvo type="num">
                <xm:f>1</xm:f>
              </x14:cfvo>
              <x14:borderColor theme="0"/>
              <x14:negativeFillColor rgb="FFFF0000"/>
              <x14:axisColor rgb="FF000000"/>
            </x14:dataBar>
          </x14:cfRule>
          <xm:sqref>N270</xm:sqref>
        </x14:conditionalFormatting>
        <x14:conditionalFormatting xmlns:xm="http://schemas.microsoft.com/office/excel/2006/main">
          <x14:cfRule type="dataBar" id="{EA96B081-3A7B-473A-BC4F-6F37AC79B439}">
            <x14:dataBar minLength="0" maxLength="100" border="1" gradient="0">
              <x14:cfvo type="num">
                <xm:f>0</xm:f>
              </x14:cfvo>
              <x14:cfvo type="num">
                <xm:f>1</xm:f>
              </x14:cfvo>
              <x14:borderColor theme="0"/>
              <x14:negativeFillColor rgb="FFFF0000"/>
              <x14:axisColor rgb="FF000000"/>
            </x14:dataBar>
          </x14:cfRule>
          <xm:sqref>N272</xm:sqref>
        </x14:conditionalFormatting>
        <x14:conditionalFormatting xmlns:xm="http://schemas.microsoft.com/office/excel/2006/main">
          <x14:cfRule type="dataBar" id="{8A953B5A-F383-4F06-82DE-7AB50576AEB6}">
            <x14:dataBar minLength="0" maxLength="100" border="1" gradient="0">
              <x14:cfvo type="num">
                <xm:f>0</xm:f>
              </x14:cfvo>
              <x14:cfvo type="num">
                <xm:f>1</xm:f>
              </x14:cfvo>
              <x14:borderColor theme="0"/>
              <x14:negativeFillColor rgb="FFFF0000"/>
              <x14:axisColor rgb="FF000000"/>
            </x14:dataBar>
          </x14:cfRule>
          <xm:sqref>N274</xm:sqref>
        </x14:conditionalFormatting>
        <x14:conditionalFormatting xmlns:xm="http://schemas.microsoft.com/office/excel/2006/main">
          <x14:cfRule type="dataBar" id="{392B359F-D8B1-4EAA-8233-CC1EC7482631}">
            <x14:dataBar minLength="0" maxLength="100" border="1" gradient="0">
              <x14:cfvo type="num">
                <xm:f>0</xm:f>
              </x14:cfvo>
              <x14:cfvo type="num">
                <xm:f>1</xm:f>
              </x14:cfvo>
              <x14:borderColor theme="0"/>
              <x14:negativeFillColor rgb="FFFF0000"/>
              <x14:axisColor rgb="FF000000"/>
            </x14:dataBar>
          </x14:cfRule>
          <xm:sqref>N276</xm:sqref>
        </x14:conditionalFormatting>
        <x14:conditionalFormatting xmlns:xm="http://schemas.microsoft.com/office/excel/2006/main">
          <x14:cfRule type="dataBar" id="{37DACF2D-4B4A-4819-BC8D-6D3F6DA743BE}">
            <x14:dataBar minLength="0" maxLength="100" border="1" gradient="0">
              <x14:cfvo type="num">
                <xm:f>0</xm:f>
              </x14:cfvo>
              <x14:cfvo type="num">
                <xm:f>1</xm:f>
              </x14:cfvo>
              <x14:borderColor theme="0"/>
              <x14:negativeFillColor rgb="FFFF0000"/>
              <x14:axisColor rgb="FF000000"/>
            </x14:dataBar>
          </x14:cfRule>
          <xm:sqref>N278</xm:sqref>
        </x14:conditionalFormatting>
        <x14:conditionalFormatting xmlns:xm="http://schemas.microsoft.com/office/excel/2006/main">
          <x14:cfRule type="dataBar" id="{29D5504D-D60F-451A-95C3-CFDBA6116548}">
            <x14:dataBar minLength="0" maxLength="100" border="1" gradient="0">
              <x14:cfvo type="num">
                <xm:f>0</xm:f>
              </x14:cfvo>
              <x14:cfvo type="num">
                <xm:f>1</xm:f>
              </x14:cfvo>
              <x14:borderColor theme="0"/>
              <x14:negativeFillColor rgb="FFFF0000"/>
              <x14:axisColor rgb="FF000000"/>
            </x14:dataBar>
          </x14:cfRule>
          <xm:sqref>N280</xm:sqref>
        </x14:conditionalFormatting>
        <x14:conditionalFormatting xmlns:xm="http://schemas.microsoft.com/office/excel/2006/main">
          <x14:cfRule type="dataBar" id="{FAF48A66-F120-4FF8-844F-9CF4E0D4ADD7}">
            <x14:dataBar minLength="0" maxLength="100" border="1" gradient="0">
              <x14:cfvo type="num">
                <xm:f>0</xm:f>
              </x14:cfvo>
              <x14:cfvo type="num">
                <xm:f>1</xm:f>
              </x14:cfvo>
              <x14:borderColor theme="0"/>
              <x14:negativeFillColor rgb="FFFF0000"/>
              <x14:axisColor rgb="FF000000"/>
            </x14:dataBar>
          </x14:cfRule>
          <xm:sqref>N282</xm:sqref>
        </x14:conditionalFormatting>
        <x14:conditionalFormatting xmlns:xm="http://schemas.microsoft.com/office/excel/2006/main">
          <x14:cfRule type="dataBar" id="{409A76F0-5B5C-4626-803E-6EE959934D2B}">
            <x14:dataBar minLength="0" maxLength="100" border="1" gradient="0">
              <x14:cfvo type="num">
                <xm:f>0</xm:f>
              </x14:cfvo>
              <x14:cfvo type="num">
                <xm:f>1</xm:f>
              </x14:cfvo>
              <x14:borderColor theme="0"/>
              <x14:negativeFillColor rgb="FFFF0000"/>
              <x14:axisColor rgb="FF000000"/>
            </x14:dataBar>
          </x14:cfRule>
          <xm:sqref>N284</xm:sqref>
        </x14:conditionalFormatting>
        <x14:conditionalFormatting xmlns:xm="http://schemas.microsoft.com/office/excel/2006/main">
          <x14:cfRule type="dataBar" id="{DFF96034-FB56-45FE-B33A-5C2F6B3D01E5}">
            <x14:dataBar minLength="0" maxLength="100" border="1" gradient="0">
              <x14:cfvo type="num">
                <xm:f>0</xm:f>
              </x14:cfvo>
              <x14:cfvo type="num">
                <xm:f>1</xm:f>
              </x14:cfvo>
              <x14:borderColor theme="0"/>
              <x14:negativeFillColor rgb="FFFF0000"/>
              <x14:axisColor rgb="FF000000"/>
            </x14:dataBar>
          </x14:cfRule>
          <xm:sqref>N286</xm:sqref>
        </x14:conditionalFormatting>
        <x14:conditionalFormatting xmlns:xm="http://schemas.microsoft.com/office/excel/2006/main">
          <x14:cfRule type="dataBar" id="{BD74C347-320C-4CEE-9413-A4CE41CD522A}">
            <x14:dataBar minLength="0" maxLength="100" border="1" gradient="0">
              <x14:cfvo type="num">
                <xm:f>0</xm:f>
              </x14:cfvo>
              <x14:cfvo type="num">
                <xm:f>1</xm:f>
              </x14:cfvo>
              <x14:borderColor theme="0"/>
              <x14:negativeFillColor rgb="FFFF0000"/>
              <x14:axisColor rgb="FF000000"/>
            </x14:dataBar>
          </x14:cfRule>
          <xm:sqref>N288</xm:sqref>
        </x14:conditionalFormatting>
        <x14:conditionalFormatting xmlns:xm="http://schemas.microsoft.com/office/excel/2006/main">
          <x14:cfRule type="dataBar" id="{9BF6BBF6-739B-4F02-967D-5CBFD9818B04}">
            <x14:dataBar minLength="0" maxLength="100" border="1" gradient="0">
              <x14:cfvo type="num">
                <xm:f>0</xm:f>
              </x14:cfvo>
              <x14:cfvo type="num">
                <xm:f>1</xm:f>
              </x14:cfvo>
              <x14:borderColor theme="0"/>
              <x14:negativeFillColor rgb="FFFF0000"/>
              <x14:axisColor rgb="FF000000"/>
            </x14:dataBar>
          </x14:cfRule>
          <xm:sqref>N290</xm:sqref>
        </x14:conditionalFormatting>
        <x14:conditionalFormatting xmlns:xm="http://schemas.microsoft.com/office/excel/2006/main">
          <x14:cfRule type="dataBar" id="{B71DB7F9-7489-4AE6-8136-12CF3C5F45C8}">
            <x14:dataBar minLength="0" maxLength="100" border="1" gradient="0">
              <x14:cfvo type="num">
                <xm:f>0</xm:f>
              </x14:cfvo>
              <x14:cfvo type="num">
                <xm:f>1</xm:f>
              </x14:cfvo>
              <x14:borderColor theme="0"/>
              <x14:negativeFillColor rgb="FFFF0000"/>
              <x14:axisColor rgb="FF000000"/>
            </x14:dataBar>
          </x14:cfRule>
          <xm:sqref>N292</xm:sqref>
        </x14:conditionalFormatting>
        <x14:conditionalFormatting xmlns:xm="http://schemas.microsoft.com/office/excel/2006/main">
          <x14:cfRule type="dataBar" id="{99FCB6F4-DE08-495B-A094-9790DAF94397}">
            <x14:dataBar minLength="0" maxLength="100" border="1" gradient="0">
              <x14:cfvo type="num">
                <xm:f>0</xm:f>
              </x14:cfvo>
              <x14:cfvo type="num">
                <xm:f>1</xm:f>
              </x14:cfvo>
              <x14:borderColor theme="0"/>
              <x14:negativeFillColor rgb="FFFF0000"/>
              <x14:axisColor rgb="FF000000"/>
            </x14:dataBar>
          </x14:cfRule>
          <xm:sqref>N294</xm:sqref>
        </x14:conditionalFormatting>
        <x14:conditionalFormatting xmlns:xm="http://schemas.microsoft.com/office/excel/2006/main">
          <x14:cfRule type="dataBar" id="{173642DD-A1DD-4D57-A607-8A57B1C267C1}">
            <x14:dataBar minLength="0" maxLength="100" border="1" gradient="0">
              <x14:cfvo type="num">
                <xm:f>0</xm:f>
              </x14:cfvo>
              <x14:cfvo type="num">
                <xm:f>1</xm:f>
              </x14:cfvo>
              <x14:borderColor theme="0"/>
              <x14:negativeFillColor rgb="FFFF0000"/>
              <x14:axisColor rgb="FF000000"/>
            </x14:dataBar>
          </x14:cfRule>
          <xm:sqref>N296</xm:sqref>
        </x14:conditionalFormatting>
        <x14:conditionalFormatting xmlns:xm="http://schemas.microsoft.com/office/excel/2006/main">
          <x14:cfRule type="dataBar" id="{E7BC6216-8D0D-4035-91E7-AAE35719F3F7}">
            <x14:dataBar minLength="0" maxLength="100" border="1" gradient="0">
              <x14:cfvo type="num">
                <xm:f>0</xm:f>
              </x14:cfvo>
              <x14:cfvo type="num">
                <xm:f>1</xm:f>
              </x14:cfvo>
              <x14:borderColor theme="0"/>
              <x14:negativeFillColor rgb="FFFF0000"/>
              <x14:axisColor rgb="FF000000"/>
            </x14:dataBar>
          </x14:cfRule>
          <xm:sqref>N298</xm:sqref>
        </x14:conditionalFormatting>
        <x14:conditionalFormatting xmlns:xm="http://schemas.microsoft.com/office/excel/2006/main">
          <x14:cfRule type="dataBar" id="{0303876C-FA27-464D-BE2A-D93CC7152F5D}">
            <x14:dataBar minLength="0" maxLength="100" border="1" gradient="0">
              <x14:cfvo type="num">
                <xm:f>0</xm:f>
              </x14:cfvo>
              <x14:cfvo type="num">
                <xm:f>1</xm:f>
              </x14:cfvo>
              <x14:borderColor theme="0"/>
              <x14:negativeFillColor rgb="FFFF0000"/>
              <x14:axisColor rgb="FF000000"/>
            </x14:dataBar>
          </x14:cfRule>
          <xm:sqref>N300</xm:sqref>
        </x14:conditionalFormatting>
        <x14:conditionalFormatting xmlns:xm="http://schemas.microsoft.com/office/excel/2006/main">
          <x14:cfRule type="dataBar" id="{7CEA0BAA-0622-4366-A301-D2CB02DB9F2C}">
            <x14:dataBar minLength="0" maxLength="100" border="1" gradient="0">
              <x14:cfvo type="num">
                <xm:f>0</xm:f>
              </x14:cfvo>
              <x14:cfvo type="num">
                <xm:f>1</xm:f>
              </x14:cfvo>
              <x14:borderColor theme="0"/>
              <x14:negativeFillColor rgb="FFFF0000"/>
              <x14:axisColor rgb="FF000000"/>
            </x14:dataBar>
          </x14:cfRule>
          <xm:sqref>N302</xm:sqref>
        </x14:conditionalFormatting>
        <x14:conditionalFormatting xmlns:xm="http://schemas.microsoft.com/office/excel/2006/main">
          <x14:cfRule type="dataBar" id="{71DD8E0D-531F-4234-9885-43EEF3243B78}">
            <x14:dataBar minLength="0" maxLength="100" border="1" gradient="0">
              <x14:cfvo type="num">
                <xm:f>0</xm:f>
              </x14:cfvo>
              <x14:cfvo type="num">
                <xm:f>1</xm:f>
              </x14:cfvo>
              <x14:borderColor theme="0"/>
              <x14:negativeFillColor rgb="FFFF0000"/>
              <x14:axisColor rgb="FF000000"/>
            </x14:dataBar>
          </x14:cfRule>
          <xm:sqref>N304</xm:sqref>
        </x14:conditionalFormatting>
        <x14:conditionalFormatting xmlns:xm="http://schemas.microsoft.com/office/excel/2006/main">
          <x14:cfRule type="dataBar" id="{AC93E9C9-C27A-471A-A6DC-8E7845F69FB0}">
            <x14:dataBar minLength="0" maxLength="100" border="1" gradient="0">
              <x14:cfvo type="num">
                <xm:f>0</xm:f>
              </x14:cfvo>
              <x14:cfvo type="num">
                <xm:f>1</xm:f>
              </x14:cfvo>
              <x14:borderColor theme="0"/>
              <x14:negativeFillColor rgb="FFFF0000"/>
              <x14:axisColor rgb="FF000000"/>
            </x14:dataBar>
          </x14:cfRule>
          <xm:sqref>N306</xm:sqref>
        </x14:conditionalFormatting>
        <x14:conditionalFormatting xmlns:xm="http://schemas.microsoft.com/office/excel/2006/main">
          <x14:cfRule type="dataBar" id="{64C78A4E-C0F6-4BE1-8D9D-81A2DA01B8D1}">
            <x14:dataBar minLength="0" maxLength="100" border="1" gradient="0">
              <x14:cfvo type="num">
                <xm:f>0</xm:f>
              </x14:cfvo>
              <x14:cfvo type="num">
                <xm:f>1</xm:f>
              </x14:cfvo>
              <x14:borderColor theme="0"/>
              <x14:negativeFillColor rgb="FFFF0000"/>
              <x14:axisColor rgb="FF000000"/>
            </x14:dataBar>
          </x14:cfRule>
          <xm:sqref>N310</xm:sqref>
        </x14:conditionalFormatting>
        <x14:conditionalFormatting xmlns:xm="http://schemas.microsoft.com/office/excel/2006/main">
          <x14:cfRule type="dataBar" id="{4D542499-F648-4F6D-BCF7-7FD9C7E47A6F}">
            <x14:dataBar minLength="0" maxLength="100" border="1" gradient="0">
              <x14:cfvo type="num">
                <xm:f>0</xm:f>
              </x14:cfvo>
              <x14:cfvo type="num">
                <xm:f>1</xm:f>
              </x14:cfvo>
              <x14:borderColor theme="0"/>
              <x14:negativeFillColor rgb="FFFF0000"/>
              <x14:axisColor rgb="FF000000"/>
            </x14:dataBar>
          </x14:cfRule>
          <xm:sqref>N312</xm:sqref>
        </x14:conditionalFormatting>
        <x14:conditionalFormatting xmlns:xm="http://schemas.microsoft.com/office/excel/2006/main">
          <x14:cfRule type="dataBar" id="{9BDCCD39-A928-42BD-A3D9-3E312FFCBF60}">
            <x14:dataBar minLength="0" maxLength="100" border="1" gradient="0">
              <x14:cfvo type="num">
                <xm:f>0</xm:f>
              </x14:cfvo>
              <x14:cfvo type="num">
                <xm:f>1</xm:f>
              </x14:cfvo>
              <x14:borderColor theme="0"/>
              <x14:negativeFillColor rgb="FFFF0000"/>
              <x14:axisColor rgb="FF000000"/>
            </x14:dataBar>
          </x14:cfRule>
          <xm:sqref>N314</xm:sqref>
        </x14:conditionalFormatting>
        <x14:conditionalFormatting xmlns:xm="http://schemas.microsoft.com/office/excel/2006/main">
          <x14:cfRule type="dataBar" id="{BA3AD02A-017A-4FE4-95B0-61A7EDA7C2BE}">
            <x14:dataBar minLength="0" maxLength="100" border="1" gradient="0">
              <x14:cfvo type="num">
                <xm:f>0</xm:f>
              </x14:cfvo>
              <x14:cfvo type="num">
                <xm:f>1</xm:f>
              </x14:cfvo>
              <x14:borderColor theme="0"/>
              <x14:negativeFillColor rgb="FFFF0000"/>
              <x14:axisColor rgb="FF000000"/>
            </x14:dataBar>
          </x14:cfRule>
          <xm:sqref>N316</xm:sqref>
        </x14:conditionalFormatting>
        <x14:conditionalFormatting xmlns:xm="http://schemas.microsoft.com/office/excel/2006/main">
          <x14:cfRule type="dataBar" id="{EAB7AB20-1FBA-4BFA-B3E1-AB778CB85EF8}">
            <x14:dataBar minLength="0" maxLength="100" border="1" gradient="0">
              <x14:cfvo type="num">
                <xm:f>0</xm:f>
              </x14:cfvo>
              <x14:cfvo type="num">
                <xm:f>1</xm:f>
              </x14:cfvo>
              <x14:borderColor theme="0"/>
              <x14:negativeFillColor rgb="FFFF0000"/>
              <x14:axisColor rgb="FF000000"/>
            </x14:dataBar>
          </x14:cfRule>
          <xm:sqref>N318</xm:sqref>
        </x14:conditionalFormatting>
        <x14:conditionalFormatting xmlns:xm="http://schemas.microsoft.com/office/excel/2006/main">
          <x14:cfRule type="dataBar" id="{9EAB437A-B379-4DF0-84B0-5AE6822A115A}">
            <x14:dataBar minLength="0" maxLength="100" border="1" gradient="0">
              <x14:cfvo type="num">
                <xm:f>0</xm:f>
              </x14:cfvo>
              <x14:cfvo type="num">
                <xm:f>1</xm:f>
              </x14:cfvo>
              <x14:borderColor theme="0"/>
              <x14:negativeFillColor rgb="FFFF0000"/>
              <x14:axisColor rgb="FF000000"/>
            </x14:dataBar>
          </x14:cfRule>
          <xm:sqref>N320</xm:sqref>
        </x14:conditionalFormatting>
        <x14:conditionalFormatting xmlns:xm="http://schemas.microsoft.com/office/excel/2006/main">
          <x14:cfRule type="dataBar" id="{009DD8CF-BECA-4767-B68C-D196407FC6F3}">
            <x14:dataBar minLength="0" maxLength="100" border="1" gradient="0">
              <x14:cfvo type="num">
                <xm:f>0</xm:f>
              </x14:cfvo>
              <x14:cfvo type="num">
                <xm:f>1</xm:f>
              </x14:cfvo>
              <x14:borderColor theme="0"/>
              <x14:negativeFillColor rgb="FFFF0000"/>
              <x14:axisColor rgb="FF000000"/>
            </x14:dataBar>
          </x14:cfRule>
          <xm:sqref>N322</xm:sqref>
        </x14:conditionalFormatting>
        <x14:conditionalFormatting xmlns:xm="http://schemas.microsoft.com/office/excel/2006/main">
          <x14:cfRule type="dataBar" id="{5A3174A9-BCCA-4402-9F4C-B0B7AF4D4A09}">
            <x14:dataBar minLength="0" maxLength="100" border="1" gradient="0">
              <x14:cfvo type="num">
                <xm:f>0</xm:f>
              </x14:cfvo>
              <x14:cfvo type="num">
                <xm:f>1</xm:f>
              </x14:cfvo>
              <x14:borderColor theme="0"/>
              <x14:negativeFillColor rgb="FFFF0000"/>
              <x14:axisColor rgb="FF000000"/>
            </x14:dataBar>
          </x14:cfRule>
          <xm:sqref>N324</xm:sqref>
        </x14:conditionalFormatting>
        <x14:conditionalFormatting xmlns:xm="http://schemas.microsoft.com/office/excel/2006/main">
          <x14:cfRule type="dataBar" id="{B1C7A4F6-8755-455F-9E16-E6C12FBE2818}">
            <x14:dataBar minLength="0" maxLength="100" border="1" gradient="0">
              <x14:cfvo type="num">
                <xm:f>0</xm:f>
              </x14:cfvo>
              <x14:cfvo type="num">
                <xm:f>1</xm:f>
              </x14:cfvo>
              <x14:borderColor theme="0"/>
              <x14:negativeFillColor rgb="FFFF0000"/>
              <x14:axisColor rgb="FF000000"/>
            </x14:dataBar>
          </x14:cfRule>
          <xm:sqref>N326</xm:sqref>
        </x14:conditionalFormatting>
        <x14:conditionalFormatting xmlns:xm="http://schemas.microsoft.com/office/excel/2006/main">
          <x14:cfRule type="dataBar" id="{87B83297-6454-448F-B4CC-EBB317C0D080}">
            <x14:dataBar minLength="0" maxLength="100" border="1" gradient="0">
              <x14:cfvo type="num">
                <xm:f>0</xm:f>
              </x14:cfvo>
              <x14:cfvo type="num">
                <xm:f>1</xm:f>
              </x14:cfvo>
              <x14:borderColor theme="0"/>
              <x14:negativeFillColor rgb="FFFF0000"/>
              <x14:axisColor rgb="FF000000"/>
            </x14:dataBar>
          </x14:cfRule>
          <xm:sqref>N328</xm:sqref>
        </x14:conditionalFormatting>
        <x14:conditionalFormatting xmlns:xm="http://schemas.microsoft.com/office/excel/2006/main">
          <x14:cfRule type="dataBar" id="{D333CB0D-DEA9-4C9B-9178-5BB86693516B}">
            <x14:dataBar minLength="0" maxLength="100" border="1" gradient="0">
              <x14:cfvo type="num">
                <xm:f>0</xm:f>
              </x14:cfvo>
              <x14:cfvo type="num">
                <xm:f>1</xm:f>
              </x14:cfvo>
              <x14:borderColor theme="0"/>
              <x14:negativeFillColor rgb="FFFF0000"/>
              <x14:axisColor rgb="FF000000"/>
            </x14:dataBar>
          </x14:cfRule>
          <xm:sqref>N330</xm:sqref>
        </x14:conditionalFormatting>
        <x14:conditionalFormatting xmlns:xm="http://schemas.microsoft.com/office/excel/2006/main">
          <x14:cfRule type="dataBar" id="{616B8A3C-3418-4465-B625-7F97DC688FC9}">
            <x14:dataBar minLength="0" maxLength="100" border="1" gradient="0">
              <x14:cfvo type="num">
                <xm:f>0</xm:f>
              </x14:cfvo>
              <x14:cfvo type="num">
                <xm:f>1</xm:f>
              </x14:cfvo>
              <x14:borderColor theme="0"/>
              <x14:negativeFillColor rgb="FFFF0000"/>
              <x14:axisColor rgb="FF000000"/>
            </x14:dataBar>
          </x14:cfRule>
          <xm:sqref>N332</xm:sqref>
        </x14:conditionalFormatting>
        <x14:conditionalFormatting xmlns:xm="http://schemas.microsoft.com/office/excel/2006/main">
          <x14:cfRule type="dataBar" id="{82CC8961-33F7-44EA-A8C2-1FC82C2C00E1}">
            <x14:dataBar minLength="0" maxLength="100" border="1" gradient="0">
              <x14:cfvo type="num">
                <xm:f>0</xm:f>
              </x14:cfvo>
              <x14:cfvo type="num">
                <xm:f>1</xm:f>
              </x14:cfvo>
              <x14:borderColor theme="0"/>
              <x14:negativeFillColor rgb="FFFF0000"/>
              <x14:axisColor rgb="FF000000"/>
            </x14:dataBar>
          </x14:cfRule>
          <xm:sqref>N334</xm:sqref>
        </x14:conditionalFormatting>
        <x14:conditionalFormatting xmlns:xm="http://schemas.microsoft.com/office/excel/2006/main">
          <x14:cfRule type="dataBar" id="{EC1F902D-4F9A-47DF-8A15-B021F47F408C}">
            <x14:dataBar minLength="0" maxLength="100" border="1" gradient="0">
              <x14:cfvo type="num">
                <xm:f>0</xm:f>
              </x14:cfvo>
              <x14:cfvo type="num">
                <xm:f>1</xm:f>
              </x14:cfvo>
              <x14:borderColor theme="0"/>
              <x14:negativeFillColor rgb="FFFF0000"/>
              <x14:axisColor rgb="FF000000"/>
            </x14:dataBar>
          </x14:cfRule>
          <xm:sqref>N336</xm:sqref>
        </x14:conditionalFormatting>
        <x14:conditionalFormatting xmlns:xm="http://schemas.microsoft.com/office/excel/2006/main">
          <x14:cfRule type="dataBar" id="{0E70A46E-7AEA-4D2A-ABEC-1D94745852CC}">
            <x14:dataBar minLength="0" maxLength="100" border="1" gradient="0">
              <x14:cfvo type="num">
                <xm:f>0</xm:f>
              </x14:cfvo>
              <x14:cfvo type="num">
                <xm:f>1</xm:f>
              </x14:cfvo>
              <x14:borderColor theme="0"/>
              <x14:negativeFillColor rgb="FFFF0000"/>
              <x14:axisColor rgb="FF000000"/>
            </x14:dataBar>
          </x14:cfRule>
          <xm:sqref>N338</xm:sqref>
        </x14:conditionalFormatting>
        <x14:conditionalFormatting xmlns:xm="http://schemas.microsoft.com/office/excel/2006/main">
          <x14:cfRule type="dataBar" id="{11A99623-348F-4A09-987A-876290DA3087}">
            <x14:dataBar minLength="0" maxLength="100" border="1" gradient="0">
              <x14:cfvo type="num">
                <xm:f>0</xm:f>
              </x14:cfvo>
              <x14:cfvo type="num">
                <xm:f>1</xm:f>
              </x14:cfvo>
              <x14:borderColor theme="0"/>
              <x14:negativeFillColor rgb="FFFF0000"/>
              <x14:axisColor rgb="FF000000"/>
            </x14:dataBar>
          </x14:cfRule>
          <xm:sqref>N340</xm:sqref>
        </x14:conditionalFormatting>
        <x14:conditionalFormatting xmlns:xm="http://schemas.microsoft.com/office/excel/2006/main">
          <x14:cfRule type="dataBar" id="{FB968F2C-992F-49E1-9BF1-59DEC9D29D35}">
            <x14:dataBar minLength="0" maxLength="100" border="1" gradient="0">
              <x14:cfvo type="num">
                <xm:f>0</xm:f>
              </x14:cfvo>
              <x14:cfvo type="num">
                <xm:f>1</xm:f>
              </x14:cfvo>
              <x14:borderColor theme="0"/>
              <x14:negativeFillColor rgb="FFFF0000"/>
              <x14:axisColor rgb="FF000000"/>
            </x14:dataBar>
          </x14:cfRule>
          <xm:sqref>N342</xm:sqref>
        </x14:conditionalFormatting>
        <x14:conditionalFormatting xmlns:xm="http://schemas.microsoft.com/office/excel/2006/main">
          <x14:cfRule type="dataBar" id="{72179224-CA15-4061-9708-0BD6B1A08311}">
            <x14:dataBar minLength="0" maxLength="100" border="1" gradient="0">
              <x14:cfvo type="num">
                <xm:f>0</xm:f>
              </x14:cfvo>
              <x14:cfvo type="num">
                <xm:f>1</xm:f>
              </x14:cfvo>
              <x14:borderColor theme="0"/>
              <x14:negativeFillColor rgb="FFFF0000"/>
              <x14:axisColor rgb="FF000000"/>
            </x14:dataBar>
          </x14:cfRule>
          <xm:sqref>N344</xm:sqref>
        </x14:conditionalFormatting>
        <x14:conditionalFormatting xmlns:xm="http://schemas.microsoft.com/office/excel/2006/main">
          <x14:cfRule type="dataBar" id="{E13681E5-D8E3-489B-9EAC-EA3C46B2136D}">
            <x14:dataBar minLength="0" maxLength="100" border="1" gradient="0">
              <x14:cfvo type="num">
                <xm:f>0</xm:f>
              </x14:cfvo>
              <x14:cfvo type="num">
                <xm:f>1</xm:f>
              </x14:cfvo>
              <x14:borderColor theme="0"/>
              <x14:negativeFillColor rgb="FFFF0000"/>
              <x14:axisColor rgb="FF000000"/>
            </x14:dataBar>
          </x14:cfRule>
          <xm:sqref>N346</xm:sqref>
        </x14:conditionalFormatting>
        <x14:conditionalFormatting xmlns:xm="http://schemas.microsoft.com/office/excel/2006/main">
          <x14:cfRule type="dataBar" id="{DDBF66AB-EA56-418F-93AB-F0F568D0DE7D}">
            <x14:dataBar minLength="0" maxLength="100" border="1" gradient="0">
              <x14:cfvo type="num">
                <xm:f>0</xm:f>
              </x14:cfvo>
              <x14:cfvo type="num">
                <xm:f>1</xm:f>
              </x14:cfvo>
              <x14:borderColor theme="0"/>
              <x14:negativeFillColor rgb="FFFF0000"/>
              <x14:axisColor rgb="FF000000"/>
            </x14:dataBar>
          </x14:cfRule>
          <xm:sqref>N348</xm:sqref>
        </x14:conditionalFormatting>
        <x14:conditionalFormatting xmlns:xm="http://schemas.microsoft.com/office/excel/2006/main">
          <x14:cfRule type="dataBar" id="{AB632B7E-7658-4E2F-88EA-468A9ADEBDEE}">
            <x14:dataBar minLength="0" maxLength="100" border="1" gradient="0">
              <x14:cfvo type="num">
                <xm:f>0</xm:f>
              </x14:cfvo>
              <x14:cfvo type="num">
                <xm:f>1</xm:f>
              </x14:cfvo>
              <x14:borderColor theme="0"/>
              <x14:negativeFillColor rgb="FFFF0000"/>
              <x14:axisColor rgb="FF000000"/>
            </x14:dataBar>
          </x14:cfRule>
          <xm:sqref>N350</xm:sqref>
        </x14:conditionalFormatting>
        <x14:conditionalFormatting xmlns:xm="http://schemas.microsoft.com/office/excel/2006/main">
          <x14:cfRule type="dataBar" id="{E71C6AB7-F433-48FD-A9E5-80187FB1FB30}">
            <x14:dataBar minLength="0" maxLength="100" border="1" gradient="0">
              <x14:cfvo type="num">
                <xm:f>0</xm:f>
              </x14:cfvo>
              <x14:cfvo type="num">
                <xm:f>1</xm:f>
              </x14:cfvo>
              <x14:borderColor theme="0"/>
              <x14:negativeFillColor rgb="FFFF0000"/>
              <x14:axisColor rgb="FF000000"/>
            </x14:dataBar>
          </x14:cfRule>
          <xm:sqref>N352</xm:sqref>
        </x14:conditionalFormatting>
        <x14:conditionalFormatting xmlns:xm="http://schemas.microsoft.com/office/excel/2006/main">
          <x14:cfRule type="dataBar" id="{012A11D5-DF10-475F-B860-A68F8406C331}">
            <x14:dataBar minLength="0" maxLength="100" border="1" gradient="0">
              <x14:cfvo type="num">
                <xm:f>0</xm:f>
              </x14:cfvo>
              <x14:cfvo type="num">
                <xm:f>1</xm:f>
              </x14:cfvo>
              <x14:borderColor theme="0"/>
              <x14:negativeFillColor rgb="FFFF0000"/>
              <x14:axisColor rgb="FF000000"/>
            </x14:dataBar>
          </x14:cfRule>
          <xm:sqref>N354</xm:sqref>
        </x14:conditionalFormatting>
        <x14:conditionalFormatting xmlns:xm="http://schemas.microsoft.com/office/excel/2006/main">
          <x14:cfRule type="dataBar" id="{201056F0-E50C-4961-A0BB-E83BE595B3C6}">
            <x14:dataBar minLength="0" maxLength="100" border="1" gradient="0">
              <x14:cfvo type="num">
                <xm:f>0</xm:f>
              </x14:cfvo>
              <x14:cfvo type="num">
                <xm:f>1</xm:f>
              </x14:cfvo>
              <x14:borderColor theme="0"/>
              <x14:negativeFillColor rgb="FFFF0000"/>
              <x14:axisColor rgb="FF000000"/>
            </x14:dataBar>
          </x14:cfRule>
          <xm:sqref>N356</xm:sqref>
        </x14:conditionalFormatting>
        <x14:conditionalFormatting xmlns:xm="http://schemas.microsoft.com/office/excel/2006/main">
          <x14:cfRule type="dataBar" id="{05C6E22E-F9E1-4D1E-B05F-962C0809A97C}">
            <x14:dataBar minLength="0" maxLength="100" border="1" gradient="0">
              <x14:cfvo type="num">
                <xm:f>0</xm:f>
              </x14:cfvo>
              <x14:cfvo type="num">
                <xm:f>1</xm:f>
              </x14:cfvo>
              <x14:borderColor theme="0"/>
              <x14:negativeFillColor rgb="FFFF0000"/>
              <x14:axisColor rgb="FF000000"/>
            </x14:dataBar>
          </x14:cfRule>
          <xm:sqref>N358</xm:sqref>
        </x14:conditionalFormatting>
        <x14:conditionalFormatting xmlns:xm="http://schemas.microsoft.com/office/excel/2006/main">
          <x14:cfRule type="dataBar" id="{E907FABF-7870-47FD-881B-6F2977674527}">
            <x14:dataBar minLength="0" maxLength="100" border="1" gradient="0">
              <x14:cfvo type="num">
                <xm:f>0</xm:f>
              </x14:cfvo>
              <x14:cfvo type="num">
                <xm:f>1</xm:f>
              </x14:cfvo>
              <x14:borderColor theme="0"/>
              <x14:negativeFillColor rgb="FFFF0000"/>
              <x14:axisColor rgb="FF000000"/>
            </x14:dataBar>
          </x14:cfRule>
          <xm:sqref>N360</xm:sqref>
        </x14:conditionalFormatting>
        <x14:conditionalFormatting xmlns:xm="http://schemas.microsoft.com/office/excel/2006/main">
          <x14:cfRule type="dataBar" id="{C15D9D83-FED5-493F-A415-37212B575B49}">
            <x14:dataBar minLength="0" maxLength="100" border="1" gradient="0">
              <x14:cfvo type="num">
                <xm:f>0</xm:f>
              </x14:cfvo>
              <x14:cfvo type="num">
                <xm:f>1</xm:f>
              </x14:cfvo>
              <x14:borderColor theme="0"/>
              <x14:negativeFillColor rgb="FFFF0000"/>
              <x14:axisColor rgb="FF000000"/>
            </x14:dataBar>
          </x14:cfRule>
          <xm:sqref>N362</xm:sqref>
        </x14:conditionalFormatting>
        <x14:conditionalFormatting xmlns:xm="http://schemas.microsoft.com/office/excel/2006/main">
          <x14:cfRule type="dataBar" id="{A899917B-F7D2-4E86-9F37-F25CCA307E53}">
            <x14:dataBar minLength="0" maxLength="100" border="1" gradient="0">
              <x14:cfvo type="num">
                <xm:f>0</xm:f>
              </x14:cfvo>
              <x14:cfvo type="num">
                <xm:f>1</xm:f>
              </x14:cfvo>
              <x14:borderColor theme="0"/>
              <x14:negativeFillColor rgb="FFFF0000"/>
              <x14:axisColor rgb="FF000000"/>
            </x14:dataBar>
          </x14:cfRule>
          <xm:sqref>N365</xm:sqref>
        </x14:conditionalFormatting>
        <x14:conditionalFormatting xmlns:xm="http://schemas.microsoft.com/office/excel/2006/main">
          <x14:cfRule type="dataBar" id="{11DE122B-F493-44D9-910B-71C032D2525F}">
            <x14:dataBar minLength="0" maxLength="100" border="1" gradient="0">
              <x14:cfvo type="num">
                <xm:f>0</xm:f>
              </x14:cfvo>
              <x14:cfvo type="num">
                <xm:f>1</xm:f>
              </x14:cfvo>
              <x14:borderColor theme="0"/>
              <x14:negativeFillColor rgb="FFFF0000"/>
              <x14:axisColor rgb="FF000000"/>
            </x14:dataBar>
          </x14:cfRule>
          <xm:sqref>N369</xm:sqref>
        </x14:conditionalFormatting>
        <x14:conditionalFormatting xmlns:xm="http://schemas.microsoft.com/office/excel/2006/main">
          <x14:cfRule type="dataBar" id="{C2A8CE94-3C1C-4B3A-9AEE-C0D63473BCD4}">
            <x14:dataBar minLength="0" maxLength="100" border="1" gradient="0">
              <x14:cfvo type="num">
                <xm:f>0</xm:f>
              </x14:cfvo>
              <x14:cfvo type="num">
                <xm:f>1</xm:f>
              </x14:cfvo>
              <x14:borderColor theme="0"/>
              <x14:negativeFillColor rgb="FFFF0000"/>
              <x14:axisColor rgb="FF000000"/>
            </x14:dataBar>
          </x14:cfRule>
          <xm:sqref>N371</xm:sqref>
        </x14:conditionalFormatting>
        <x14:conditionalFormatting xmlns:xm="http://schemas.microsoft.com/office/excel/2006/main">
          <x14:cfRule type="dataBar" id="{145D0BF0-BFE9-4053-9F43-169E9E87AC38}">
            <x14:dataBar minLength="0" maxLength="100" border="1" gradient="0">
              <x14:cfvo type="num">
                <xm:f>0</xm:f>
              </x14:cfvo>
              <x14:cfvo type="num">
                <xm:f>1</xm:f>
              </x14:cfvo>
              <x14:borderColor theme="0"/>
              <x14:negativeFillColor rgb="FFFF0000"/>
              <x14:axisColor rgb="FF000000"/>
            </x14:dataBar>
          </x14:cfRule>
          <xm:sqref>N373</xm:sqref>
        </x14:conditionalFormatting>
        <x14:conditionalFormatting xmlns:xm="http://schemas.microsoft.com/office/excel/2006/main">
          <x14:cfRule type="dataBar" id="{EBDAFBA9-9BE9-4112-A8CF-FA50FF678288}">
            <x14:dataBar minLength="0" maxLength="100" border="1" gradient="0">
              <x14:cfvo type="num">
                <xm:f>0</xm:f>
              </x14:cfvo>
              <x14:cfvo type="num">
                <xm:f>1</xm:f>
              </x14:cfvo>
              <x14:borderColor theme="0"/>
              <x14:negativeFillColor rgb="FFFF0000"/>
              <x14:axisColor rgb="FF000000"/>
            </x14:dataBar>
          </x14:cfRule>
          <xm:sqref>N375</xm:sqref>
        </x14:conditionalFormatting>
        <x14:conditionalFormatting xmlns:xm="http://schemas.microsoft.com/office/excel/2006/main">
          <x14:cfRule type="dataBar" id="{624B9593-9914-4FDA-9BC7-65432A1F0676}">
            <x14:dataBar minLength="0" maxLength="100" border="1" gradient="0">
              <x14:cfvo type="num">
                <xm:f>0</xm:f>
              </x14:cfvo>
              <x14:cfvo type="num">
                <xm:f>1</xm:f>
              </x14:cfvo>
              <x14:borderColor theme="0"/>
              <x14:negativeFillColor rgb="FFFF0000"/>
              <x14:axisColor rgb="FF000000"/>
            </x14:dataBar>
          </x14:cfRule>
          <xm:sqref>N377</xm:sqref>
        </x14:conditionalFormatting>
        <x14:conditionalFormatting xmlns:xm="http://schemas.microsoft.com/office/excel/2006/main">
          <x14:cfRule type="dataBar" id="{CCF35C17-A8D9-4DAB-B662-7A9B571F9CF8}">
            <x14:dataBar minLength="0" maxLength="100" border="1" gradient="0">
              <x14:cfvo type="num">
                <xm:f>0</xm:f>
              </x14:cfvo>
              <x14:cfvo type="num">
                <xm:f>1</xm:f>
              </x14:cfvo>
              <x14:borderColor theme="0"/>
              <x14:negativeFillColor rgb="FFFF0000"/>
              <x14:axisColor rgb="FF000000"/>
            </x14:dataBar>
          </x14:cfRule>
          <xm:sqref>N380</xm:sqref>
        </x14:conditionalFormatting>
        <x14:conditionalFormatting xmlns:xm="http://schemas.microsoft.com/office/excel/2006/main">
          <x14:cfRule type="dataBar" id="{A9BA8D5D-2B91-488F-8669-5FF9082C2B89}">
            <x14:dataBar minLength="0" maxLength="100" border="1" gradient="0">
              <x14:cfvo type="num">
                <xm:f>0</xm:f>
              </x14:cfvo>
              <x14:cfvo type="num">
                <xm:f>1</xm:f>
              </x14:cfvo>
              <x14:borderColor theme="0"/>
              <x14:negativeFillColor rgb="FFFF0000"/>
              <x14:axisColor rgb="FF000000"/>
            </x14:dataBar>
          </x14:cfRule>
          <xm:sqref>N382</xm:sqref>
        </x14:conditionalFormatting>
        <x14:conditionalFormatting xmlns:xm="http://schemas.microsoft.com/office/excel/2006/main">
          <x14:cfRule type="dataBar" id="{4D950334-7D73-47CE-9AE6-3BA73A0782CE}">
            <x14:dataBar minLength="0" maxLength="100" border="1" gradient="0">
              <x14:cfvo type="num">
                <xm:f>0</xm:f>
              </x14:cfvo>
              <x14:cfvo type="num">
                <xm:f>1</xm:f>
              </x14:cfvo>
              <x14:borderColor theme="0"/>
              <x14:negativeFillColor rgb="FFFF0000"/>
              <x14:axisColor rgb="FF000000"/>
            </x14:dataBar>
          </x14:cfRule>
          <xm:sqref>N384</xm:sqref>
        </x14:conditionalFormatting>
        <x14:conditionalFormatting xmlns:xm="http://schemas.microsoft.com/office/excel/2006/main">
          <x14:cfRule type="dataBar" id="{01357EFB-9800-4362-81FC-9548B318F0B8}">
            <x14:dataBar minLength="0" maxLength="100" border="1" gradient="0">
              <x14:cfvo type="num">
                <xm:f>0</xm:f>
              </x14:cfvo>
              <x14:cfvo type="num">
                <xm:f>1</xm:f>
              </x14:cfvo>
              <x14:borderColor theme="0"/>
              <x14:negativeFillColor rgb="FFFF0000"/>
              <x14:axisColor rgb="FF000000"/>
            </x14:dataBar>
          </x14:cfRule>
          <xm:sqref>N386</xm:sqref>
        </x14:conditionalFormatting>
        <x14:conditionalFormatting xmlns:xm="http://schemas.microsoft.com/office/excel/2006/main">
          <x14:cfRule type="dataBar" id="{C94E8194-7CD5-4BE3-AEA5-D189F5F58D9B}">
            <x14:dataBar minLength="0" maxLength="100" border="1" gradient="0">
              <x14:cfvo type="num">
                <xm:f>0</xm:f>
              </x14:cfvo>
              <x14:cfvo type="num">
                <xm:f>1</xm:f>
              </x14:cfvo>
              <x14:borderColor theme="0"/>
              <x14:negativeFillColor rgb="FFFF0000"/>
              <x14:axisColor rgb="FF000000"/>
            </x14:dataBar>
          </x14:cfRule>
          <xm:sqref>N388</xm:sqref>
        </x14:conditionalFormatting>
        <x14:conditionalFormatting xmlns:xm="http://schemas.microsoft.com/office/excel/2006/main">
          <x14:cfRule type="dataBar" id="{4064BF71-5E77-44CC-94F2-67836DBEABEC}">
            <x14:dataBar minLength="0" maxLength="100" border="1" gradient="0">
              <x14:cfvo type="num">
                <xm:f>0</xm:f>
              </x14:cfvo>
              <x14:cfvo type="num">
                <xm:f>1</xm:f>
              </x14:cfvo>
              <x14:borderColor theme="0"/>
              <x14:negativeFillColor rgb="FFFF0000"/>
              <x14:axisColor rgb="FF000000"/>
            </x14:dataBar>
          </x14:cfRule>
          <xm:sqref>N390</xm:sqref>
        </x14:conditionalFormatting>
        <x14:conditionalFormatting xmlns:xm="http://schemas.microsoft.com/office/excel/2006/main">
          <x14:cfRule type="dataBar" id="{73D0B1F9-5DE3-429A-97B3-379B24BE8265}">
            <x14:dataBar minLength="0" maxLength="100" border="1" gradient="0">
              <x14:cfvo type="num">
                <xm:f>0</xm:f>
              </x14:cfvo>
              <x14:cfvo type="num">
                <xm:f>1</xm:f>
              </x14:cfvo>
              <x14:borderColor theme="0"/>
              <x14:negativeFillColor rgb="FFFF0000"/>
              <x14:axisColor rgb="FF000000"/>
            </x14:dataBar>
          </x14:cfRule>
          <xm:sqref>N392</xm:sqref>
        </x14:conditionalFormatting>
        <x14:conditionalFormatting xmlns:xm="http://schemas.microsoft.com/office/excel/2006/main">
          <x14:cfRule type="dataBar" id="{7EDA5390-283B-4408-A403-807E72A79952}">
            <x14:dataBar minLength="0" maxLength="100" border="1" gradient="0">
              <x14:cfvo type="num">
                <xm:f>0</xm:f>
              </x14:cfvo>
              <x14:cfvo type="num">
                <xm:f>1</xm:f>
              </x14:cfvo>
              <x14:borderColor theme="0"/>
              <x14:negativeFillColor rgb="FFFF0000"/>
              <x14:axisColor rgb="FF000000"/>
            </x14:dataBar>
          </x14:cfRule>
          <xm:sqref>N395</xm:sqref>
        </x14:conditionalFormatting>
        <x14:conditionalFormatting xmlns:xm="http://schemas.microsoft.com/office/excel/2006/main">
          <x14:cfRule type="dataBar" id="{FD71A731-AAC2-4387-A24B-F728F6AC25D4}">
            <x14:dataBar minLength="0" maxLength="100" border="1" gradient="0">
              <x14:cfvo type="num">
                <xm:f>0</xm:f>
              </x14:cfvo>
              <x14:cfvo type="num">
                <xm:f>1</xm:f>
              </x14:cfvo>
              <x14:borderColor theme="0"/>
              <x14:negativeFillColor rgb="FFFF0000"/>
              <x14:axisColor rgb="FF000000"/>
            </x14:dataBar>
          </x14:cfRule>
          <xm:sqref>N397</xm:sqref>
        </x14:conditionalFormatting>
        <x14:conditionalFormatting xmlns:xm="http://schemas.microsoft.com/office/excel/2006/main">
          <x14:cfRule type="dataBar" id="{87737D41-E226-4501-B165-04F7E799227D}">
            <x14:dataBar minLength="0" maxLength="100" border="1" gradient="0">
              <x14:cfvo type="num">
                <xm:f>0</xm:f>
              </x14:cfvo>
              <x14:cfvo type="num">
                <xm:f>1</xm:f>
              </x14:cfvo>
              <x14:borderColor theme="0"/>
              <x14:negativeFillColor rgb="FFFF0000"/>
              <x14:axisColor rgb="FF000000"/>
            </x14:dataBar>
          </x14:cfRule>
          <xm:sqref>N399</xm:sqref>
        </x14:conditionalFormatting>
        <x14:conditionalFormatting xmlns:xm="http://schemas.microsoft.com/office/excel/2006/main">
          <x14:cfRule type="dataBar" id="{69DA33C8-1030-43E9-A912-57F5A94CB742}">
            <x14:dataBar minLength="0" maxLength="100" border="1" gradient="0">
              <x14:cfvo type="num">
                <xm:f>0</xm:f>
              </x14:cfvo>
              <x14:cfvo type="num">
                <xm:f>1</xm:f>
              </x14:cfvo>
              <x14:borderColor theme="0"/>
              <x14:negativeFillColor rgb="FFFF0000"/>
              <x14:axisColor rgb="FF000000"/>
            </x14:dataBar>
          </x14:cfRule>
          <xm:sqref>N401</xm:sqref>
        </x14:conditionalFormatting>
        <x14:conditionalFormatting xmlns:xm="http://schemas.microsoft.com/office/excel/2006/main">
          <x14:cfRule type="dataBar" id="{31FE50CE-66A0-4285-AA18-16944B0FF7D7}">
            <x14:dataBar minLength="0" maxLength="100" border="1" gradient="0">
              <x14:cfvo type="num">
                <xm:f>0</xm:f>
              </x14:cfvo>
              <x14:cfvo type="num">
                <xm:f>1</xm:f>
              </x14:cfvo>
              <x14:borderColor theme="0"/>
              <x14:negativeFillColor rgb="FFFF0000"/>
              <x14:axisColor rgb="FF000000"/>
            </x14:dataBar>
          </x14:cfRule>
          <xm:sqref>N404</xm:sqref>
        </x14:conditionalFormatting>
        <x14:conditionalFormatting xmlns:xm="http://schemas.microsoft.com/office/excel/2006/main">
          <x14:cfRule type="dataBar" id="{1C79C42F-8163-490D-BE3A-1EC28FF3CC8B}">
            <x14:dataBar minLength="0" maxLength="100" border="1" gradient="0">
              <x14:cfvo type="num">
                <xm:f>0</xm:f>
              </x14:cfvo>
              <x14:cfvo type="num">
                <xm:f>1</xm:f>
              </x14:cfvo>
              <x14:borderColor theme="0"/>
              <x14:negativeFillColor rgb="FFFF0000"/>
              <x14:axisColor rgb="FF000000"/>
            </x14:dataBar>
          </x14:cfRule>
          <xm:sqref>N406</xm:sqref>
        </x14:conditionalFormatting>
        <x14:conditionalFormatting xmlns:xm="http://schemas.microsoft.com/office/excel/2006/main">
          <x14:cfRule type="dataBar" id="{5F8BE5B3-2EF5-4885-9487-DD9AEA8036C1}">
            <x14:dataBar minLength="0" maxLength="100" border="1" gradient="0">
              <x14:cfvo type="num">
                <xm:f>0</xm:f>
              </x14:cfvo>
              <x14:cfvo type="num">
                <xm:f>1</xm:f>
              </x14:cfvo>
              <x14:borderColor theme="0"/>
              <x14:negativeFillColor rgb="FFFF0000"/>
              <x14:axisColor rgb="FF000000"/>
            </x14:dataBar>
          </x14:cfRule>
          <xm:sqref>N412</xm:sqref>
        </x14:conditionalFormatting>
        <x14:conditionalFormatting xmlns:xm="http://schemas.microsoft.com/office/excel/2006/main">
          <x14:cfRule type="dataBar" id="{497E062E-8EE9-42E5-B317-FE4FAD30A0FB}">
            <x14:dataBar minLength="0" maxLength="100" border="1" gradient="0">
              <x14:cfvo type="num">
                <xm:f>0</xm:f>
              </x14:cfvo>
              <x14:cfvo type="num">
                <xm:f>1</xm:f>
              </x14:cfvo>
              <x14:borderColor theme="0"/>
              <x14:negativeFillColor rgb="FFFF0000"/>
              <x14:axisColor rgb="FF000000"/>
            </x14:dataBar>
          </x14:cfRule>
          <xm:sqref>N414</xm:sqref>
        </x14:conditionalFormatting>
        <x14:conditionalFormatting xmlns:xm="http://schemas.microsoft.com/office/excel/2006/main">
          <x14:cfRule type="dataBar" id="{10B2FB76-A73E-49B1-B185-78DFDCDD5C40}">
            <x14:dataBar minLength="0" maxLength="100" border="1" gradient="0">
              <x14:cfvo type="num">
                <xm:f>0</xm:f>
              </x14:cfvo>
              <x14:cfvo type="num">
                <xm:f>1</xm:f>
              </x14:cfvo>
              <x14:borderColor theme="0"/>
              <x14:negativeFillColor rgb="FFFF0000"/>
              <x14:axisColor rgb="FF000000"/>
            </x14:dataBar>
          </x14:cfRule>
          <xm:sqref>N416 N514 N418 N420 N452</xm:sqref>
        </x14:conditionalFormatting>
        <x14:conditionalFormatting xmlns:xm="http://schemas.microsoft.com/office/excel/2006/main">
          <x14:cfRule type="dataBar" id="{5BCCEE09-C802-4BE9-A96E-3CFF8A605A8C}">
            <x14:dataBar minLength="0" maxLength="100" border="1" gradient="0">
              <x14:cfvo type="num">
                <xm:f>0</xm:f>
              </x14:cfvo>
              <x14:cfvo type="num">
                <xm:f>1</xm:f>
              </x14:cfvo>
              <x14:borderColor theme="0"/>
              <x14:negativeFillColor rgb="FFFF0000"/>
              <x14:axisColor rgb="FF000000"/>
            </x14:dataBar>
          </x14:cfRule>
          <xm:sqref>N422</xm:sqref>
        </x14:conditionalFormatting>
        <x14:conditionalFormatting xmlns:xm="http://schemas.microsoft.com/office/excel/2006/main">
          <x14:cfRule type="dataBar" id="{9F89EDE4-DF60-4A22-92BD-4DDA17943048}">
            <x14:dataBar minLength="0" maxLength="100" border="1" gradient="0">
              <x14:cfvo type="num">
                <xm:f>0</xm:f>
              </x14:cfvo>
              <x14:cfvo type="num">
                <xm:f>1</xm:f>
              </x14:cfvo>
              <x14:borderColor theme="0"/>
              <x14:negativeFillColor rgb="FFFF0000"/>
              <x14:axisColor rgb="FF000000"/>
            </x14:dataBar>
          </x14:cfRule>
          <xm:sqref>N424 N426 N428 N430</xm:sqref>
        </x14:conditionalFormatting>
        <x14:conditionalFormatting xmlns:xm="http://schemas.microsoft.com/office/excel/2006/main">
          <x14:cfRule type="dataBar" id="{104ED63F-0FD6-439F-ABDF-4411432E1BCA}">
            <x14:dataBar minLength="0" maxLength="100" border="1" gradient="0">
              <x14:cfvo type="num">
                <xm:f>0</xm:f>
              </x14:cfvo>
              <x14:cfvo type="num">
                <xm:f>1</xm:f>
              </x14:cfvo>
              <x14:borderColor theme="0"/>
              <x14:negativeFillColor rgb="FFFF0000"/>
              <x14:axisColor rgb="FF000000"/>
            </x14:dataBar>
          </x14:cfRule>
          <xm:sqref>N432</xm:sqref>
        </x14:conditionalFormatting>
        <x14:conditionalFormatting xmlns:xm="http://schemas.microsoft.com/office/excel/2006/main">
          <x14:cfRule type="dataBar" id="{2FFEEA4B-AE44-4A14-BD58-7253E87B35E4}">
            <x14:dataBar minLength="0" maxLength="100" border="1" gradient="0">
              <x14:cfvo type="num">
                <xm:f>0</xm:f>
              </x14:cfvo>
              <x14:cfvo type="num">
                <xm:f>1</xm:f>
              </x14:cfvo>
              <x14:borderColor theme="0"/>
              <x14:negativeFillColor rgb="FFFF0000"/>
              <x14:axisColor rgb="FF000000"/>
            </x14:dataBar>
          </x14:cfRule>
          <xm:sqref>N434 N436 N438 N440</xm:sqref>
        </x14:conditionalFormatting>
        <x14:conditionalFormatting xmlns:xm="http://schemas.microsoft.com/office/excel/2006/main">
          <x14:cfRule type="dataBar" id="{48E625AC-32C0-4EF0-BE5F-BB56859E8FD9}">
            <x14:dataBar minLength="0" maxLength="100" border="1" gradient="0">
              <x14:cfvo type="num">
                <xm:f>0</xm:f>
              </x14:cfvo>
              <x14:cfvo type="num">
                <xm:f>1</xm:f>
              </x14:cfvo>
              <x14:borderColor theme="0"/>
              <x14:negativeFillColor rgb="FFFF0000"/>
              <x14:axisColor rgb="FF000000"/>
            </x14:dataBar>
          </x14:cfRule>
          <xm:sqref>N442</xm:sqref>
        </x14:conditionalFormatting>
        <x14:conditionalFormatting xmlns:xm="http://schemas.microsoft.com/office/excel/2006/main">
          <x14:cfRule type="dataBar" id="{A08F3458-CD8B-4B8E-B339-9C7F9BB9CE16}">
            <x14:dataBar minLength="0" maxLength="100" border="1" gradient="0">
              <x14:cfvo type="num">
                <xm:f>0</xm:f>
              </x14:cfvo>
              <x14:cfvo type="num">
                <xm:f>1</xm:f>
              </x14:cfvo>
              <x14:borderColor theme="0"/>
              <x14:negativeFillColor rgb="FFFF0000"/>
              <x14:axisColor rgb="FF000000"/>
            </x14:dataBar>
          </x14:cfRule>
          <xm:sqref>N444 N446 N448 N450</xm:sqref>
        </x14:conditionalFormatting>
        <x14:conditionalFormatting xmlns:xm="http://schemas.microsoft.com/office/excel/2006/main">
          <x14:cfRule type="dataBar" id="{AFD5BA56-C891-4B5C-894C-B745CF2E98DD}">
            <x14:dataBar minLength="0" maxLength="100" border="1" gradient="0">
              <x14:cfvo type="num">
                <xm:f>0</xm:f>
              </x14:cfvo>
              <x14:cfvo type="num">
                <xm:f>1</xm:f>
              </x14:cfvo>
              <x14:borderColor theme="0"/>
              <x14:negativeFillColor rgb="FFFF0000"/>
              <x14:axisColor rgb="FF000000"/>
            </x14:dataBar>
          </x14:cfRule>
          <xm:sqref>N454</xm:sqref>
        </x14:conditionalFormatting>
        <x14:conditionalFormatting xmlns:xm="http://schemas.microsoft.com/office/excel/2006/main">
          <x14:cfRule type="dataBar" id="{26888A54-0736-44C7-863A-1AAB7019592A}">
            <x14:dataBar minLength="0" maxLength="100" border="1" gradient="0">
              <x14:cfvo type="num">
                <xm:f>0</xm:f>
              </x14:cfvo>
              <x14:cfvo type="num">
                <xm:f>1</xm:f>
              </x14:cfvo>
              <x14:borderColor theme="0"/>
              <x14:negativeFillColor rgb="FFFF0000"/>
              <x14:axisColor rgb="FF000000"/>
            </x14:dataBar>
          </x14:cfRule>
          <xm:sqref>N456 N490 N458 N460 N462</xm:sqref>
        </x14:conditionalFormatting>
        <x14:conditionalFormatting xmlns:xm="http://schemas.microsoft.com/office/excel/2006/main">
          <x14:cfRule type="dataBar" id="{28A36096-AA5D-4E99-B0B3-29516496D513}">
            <x14:dataBar minLength="0" maxLength="100" border="1" gradient="0">
              <x14:cfvo type="num">
                <xm:f>0</xm:f>
              </x14:cfvo>
              <x14:cfvo type="num">
                <xm:f>1</xm:f>
              </x14:cfvo>
              <x14:borderColor theme="0"/>
              <x14:negativeFillColor rgb="FFFF0000"/>
              <x14:axisColor rgb="FF000000"/>
            </x14:dataBar>
          </x14:cfRule>
          <xm:sqref>N464</xm:sqref>
        </x14:conditionalFormatting>
        <x14:conditionalFormatting xmlns:xm="http://schemas.microsoft.com/office/excel/2006/main">
          <x14:cfRule type="dataBar" id="{E26758FC-554A-40D2-9DAB-715CD889DB7E}">
            <x14:dataBar minLength="0" maxLength="100" border="1" gradient="0">
              <x14:cfvo type="num">
                <xm:f>0</xm:f>
              </x14:cfvo>
              <x14:cfvo type="num">
                <xm:f>1</xm:f>
              </x14:cfvo>
              <x14:borderColor theme="0"/>
              <x14:negativeFillColor rgb="FFFF0000"/>
              <x14:axisColor rgb="FF000000"/>
            </x14:dataBar>
          </x14:cfRule>
          <xm:sqref>N466 N468 N470 N472</xm:sqref>
        </x14:conditionalFormatting>
        <x14:conditionalFormatting xmlns:xm="http://schemas.microsoft.com/office/excel/2006/main">
          <x14:cfRule type="dataBar" id="{D858D075-44CF-44DB-B082-71156F86FC4B}">
            <x14:dataBar minLength="0" maxLength="100" border="1" gradient="0">
              <x14:cfvo type="num">
                <xm:f>0</xm:f>
              </x14:cfvo>
              <x14:cfvo type="num">
                <xm:f>1</xm:f>
              </x14:cfvo>
              <x14:borderColor theme="0"/>
              <x14:negativeFillColor rgb="FFFF0000"/>
              <x14:axisColor rgb="FF000000"/>
            </x14:dataBar>
          </x14:cfRule>
          <xm:sqref>N474</xm:sqref>
        </x14:conditionalFormatting>
        <x14:conditionalFormatting xmlns:xm="http://schemas.microsoft.com/office/excel/2006/main">
          <x14:cfRule type="dataBar" id="{65E7430D-BBF0-4357-99FB-D3A57D15F1F5}">
            <x14:dataBar minLength="0" maxLength="100" border="1" gradient="0">
              <x14:cfvo type="num">
                <xm:f>0</xm:f>
              </x14:cfvo>
              <x14:cfvo type="num">
                <xm:f>1</xm:f>
              </x14:cfvo>
              <x14:borderColor theme="0"/>
              <x14:negativeFillColor rgb="FFFF0000"/>
              <x14:axisColor rgb="FF000000"/>
            </x14:dataBar>
          </x14:cfRule>
          <xm:sqref>N476 N478 N480 N482</xm:sqref>
        </x14:conditionalFormatting>
        <x14:conditionalFormatting xmlns:xm="http://schemas.microsoft.com/office/excel/2006/main">
          <x14:cfRule type="dataBar" id="{2246D52B-B8AA-4382-821A-77F68B84AF7C}">
            <x14:dataBar minLength="0" maxLength="100" border="1" gradient="0">
              <x14:cfvo type="num">
                <xm:f>0</xm:f>
              </x14:cfvo>
              <x14:cfvo type="num">
                <xm:f>1</xm:f>
              </x14:cfvo>
              <x14:borderColor theme="0"/>
              <x14:negativeFillColor rgb="FFFF0000"/>
              <x14:axisColor rgb="FF000000"/>
            </x14:dataBar>
          </x14:cfRule>
          <xm:sqref>N484</xm:sqref>
        </x14:conditionalFormatting>
        <x14:conditionalFormatting xmlns:xm="http://schemas.microsoft.com/office/excel/2006/main">
          <x14:cfRule type="dataBar" id="{73B5450F-A46D-41C0-9194-009D90028F73}">
            <x14:dataBar minLength="0" maxLength="100" border="1" gradient="0">
              <x14:cfvo type="num">
                <xm:f>0</xm:f>
              </x14:cfvo>
              <x14:cfvo type="num">
                <xm:f>1</xm:f>
              </x14:cfvo>
              <x14:borderColor theme="0"/>
              <x14:negativeFillColor rgb="FFFF0000"/>
              <x14:axisColor rgb="FF000000"/>
            </x14:dataBar>
          </x14:cfRule>
          <xm:sqref>N486 N488</xm:sqref>
        </x14:conditionalFormatting>
        <x14:conditionalFormatting xmlns:xm="http://schemas.microsoft.com/office/excel/2006/main">
          <x14:cfRule type="dataBar" id="{4F5AEA54-1023-4C19-B073-59B6C92C8314}">
            <x14:dataBar minLength="0" maxLength="100" border="1" gradient="0">
              <x14:cfvo type="num">
                <xm:f>0</xm:f>
              </x14:cfvo>
              <x14:cfvo type="num">
                <xm:f>1</xm:f>
              </x14:cfvo>
              <x14:borderColor theme="0"/>
              <x14:negativeFillColor rgb="FFFF0000"/>
              <x14:axisColor rgb="FF000000"/>
            </x14:dataBar>
          </x14:cfRule>
          <xm:sqref>N492</xm:sqref>
        </x14:conditionalFormatting>
        <x14:conditionalFormatting xmlns:xm="http://schemas.microsoft.com/office/excel/2006/main">
          <x14:cfRule type="dataBar" id="{34F64FD6-C324-4EF9-B155-D90AF4D8B8EA}">
            <x14:dataBar minLength="0" maxLength="100" border="1" gradient="0">
              <x14:cfvo type="num">
                <xm:f>0</xm:f>
              </x14:cfvo>
              <x14:cfvo type="num">
                <xm:f>1</xm:f>
              </x14:cfvo>
              <x14:borderColor theme="0"/>
              <x14:negativeFillColor rgb="FFFF0000"/>
              <x14:axisColor rgb="FF000000"/>
            </x14:dataBar>
          </x14:cfRule>
          <xm:sqref>N494 N496 N498 N500</xm:sqref>
        </x14:conditionalFormatting>
        <x14:conditionalFormatting xmlns:xm="http://schemas.microsoft.com/office/excel/2006/main">
          <x14:cfRule type="dataBar" id="{B27EFFD6-F7F4-4D5E-A3A5-2F453C688E84}">
            <x14:dataBar minLength="0" maxLength="100" border="1" gradient="0">
              <x14:cfvo type="num">
                <xm:f>0</xm:f>
              </x14:cfvo>
              <x14:cfvo type="num">
                <xm:f>1</xm:f>
              </x14:cfvo>
              <x14:borderColor theme="0"/>
              <x14:negativeFillColor rgb="FFFF0000"/>
              <x14:axisColor rgb="FF000000"/>
            </x14:dataBar>
          </x14:cfRule>
          <xm:sqref>N502</xm:sqref>
        </x14:conditionalFormatting>
        <x14:conditionalFormatting xmlns:xm="http://schemas.microsoft.com/office/excel/2006/main">
          <x14:cfRule type="dataBar" id="{3E77A621-FEA8-461D-98D1-0B87CF0E15D7}">
            <x14:dataBar minLength="0" maxLength="100" border="1" gradient="0">
              <x14:cfvo type="num">
                <xm:f>0</xm:f>
              </x14:cfvo>
              <x14:cfvo type="num">
                <xm:f>1</xm:f>
              </x14:cfvo>
              <x14:borderColor theme="0"/>
              <x14:negativeFillColor rgb="FFFF0000"/>
              <x14:axisColor rgb="FF000000"/>
            </x14:dataBar>
          </x14:cfRule>
          <xm:sqref>N504 N579 N506 N508</xm:sqref>
        </x14:conditionalFormatting>
        <x14:conditionalFormatting xmlns:xm="http://schemas.microsoft.com/office/excel/2006/main">
          <x14:cfRule type="dataBar" id="{58BAA2DB-FD26-4B93-B354-1D4C493286B7}">
            <x14:dataBar minLength="0" maxLength="100" border="1" gradient="0">
              <x14:cfvo type="num">
                <xm:f>0</xm:f>
              </x14:cfvo>
              <x14:cfvo type="num">
                <xm:f>1</xm:f>
              </x14:cfvo>
              <x14:borderColor theme="0"/>
              <x14:negativeFillColor rgb="FFFF0000"/>
              <x14:axisColor rgb="FF000000"/>
            </x14:dataBar>
          </x14:cfRule>
          <xm:sqref>N510</xm:sqref>
        </x14:conditionalFormatting>
        <x14:conditionalFormatting xmlns:xm="http://schemas.microsoft.com/office/excel/2006/main">
          <x14:cfRule type="dataBar" id="{98DCB2C6-EFB9-4958-B340-571BC3C0E31E}">
            <x14:dataBar minLength="0" maxLength="100" border="1" gradient="0">
              <x14:cfvo type="num">
                <xm:f>0</xm:f>
              </x14:cfvo>
              <x14:cfvo type="num">
                <xm:f>1</xm:f>
              </x14:cfvo>
              <x14:borderColor theme="0"/>
              <x14:negativeFillColor rgb="FFFF0000"/>
              <x14:axisColor rgb="FF000000"/>
            </x14:dataBar>
          </x14:cfRule>
          <xm:sqref>N512</xm:sqref>
        </x14:conditionalFormatting>
        <x14:conditionalFormatting xmlns:xm="http://schemas.microsoft.com/office/excel/2006/main">
          <x14:cfRule type="dataBar" id="{BFCE6E95-C034-4136-BB97-6A2BA2D9A796}">
            <x14:dataBar minLength="0" maxLength="100" border="1" gradient="0">
              <x14:cfvo type="num">
                <xm:f>0</xm:f>
              </x14:cfvo>
              <x14:cfvo type="num">
                <xm:f>1</xm:f>
              </x14:cfvo>
              <x14:borderColor theme="0"/>
              <x14:negativeFillColor rgb="FFFF0000"/>
              <x14:axisColor rgb="FF000000"/>
            </x14:dataBar>
          </x14:cfRule>
          <xm:sqref>N516</xm:sqref>
        </x14:conditionalFormatting>
        <x14:conditionalFormatting xmlns:xm="http://schemas.microsoft.com/office/excel/2006/main">
          <x14:cfRule type="dataBar" id="{E47CCA80-C778-4F5F-9A2D-C350AEB3A97F}">
            <x14:dataBar minLength="0" maxLength="100" border="1" gradient="0">
              <x14:cfvo type="num">
                <xm:f>0</xm:f>
              </x14:cfvo>
              <x14:cfvo type="num">
                <xm:f>1</xm:f>
              </x14:cfvo>
              <x14:borderColor theme="0"/>
              <x14:negativeFillColor rgb="FFFF0000"/>
              <x14:axisColor rgb="FF000000"/>
            </x14:dataBar>
          </x14:cfRule>
          <xm:sqref>N518 N759</xm:sqref>
        </x14:conditionalFormatting>
        <x14:conditionalFormatting xmlns:xm="http://schemas.microsoft.com/office/excel/2006/main">
          <x14:cfRule type="dataBar" id="{4D84FA07-33C5-494F-A8B2-6F99029C4792}">
            <x14:dataBar minLength="0" maxLength="100" border="1" gradient="0">
              <x14:cfvo type="num">
                <xm:f>0</xm:f>
              </x14:cfvo>
              <x14:cfvo type="num">
                <xm:f>1</xm:f>
              </x14:cfvo>
              <x14:borderColor theme="0"/>
              <x14:negativeFillColor rgb="FFFF0000"/>
              <x14:axisColor rgb="FF000000"/>
            </x14:dataBar>
          </x14:cfRule>
          <xm:sqref>N520</xm:sqref>
        </x14:conditionalFormatting>
        <x14:conditionalFormatting xmlns:xm="http://schemas.microsoft.com/office/excel/2006/main">
          <x14:cfRule type="dataBar" id="{2CF9FF4C-B573-4DE0-BA75-8AA846F493A9}">
            <x14:dataBar minLength="0" maxLength="100" border="1" gradient="0">
              <x14:cfvo type="num">
                <xm:f>0</xm:f>
              </x14:cfvo>
              <x14:cfvo type="num">
                <xm:f>1</xm:f>
              </x14:cfvo>
              <x14:borderColor theme="0"/>
              <x14:negativeFillColor rgb="FFFF0000"/>
              <x14:axisColor rgb="FF000000"/>
            </x14:dataBar>
          </x14:cfRule>
          <xm:sqref>N522</xm:sqref>
        </x14:conditionalFormatting>
        <x14:conditionalFormatting xmlns:xm="http://schemas.microsoft.com/office/excel/2006/main">
          <x14:cfRule type="dataBar" id="{13E062D4-DC83-4E65-81E9-6AE8B92F932D}">
            <x14:dataBar minLength="0" maxLength="100" border="1" gradient="0">
              <x14:cfvo type="num">
                <xm:f>0</xm:f>
              </x14:cfvo>
              <x14:cfvo type="num">
                <xm:f>1</xm:f>
              </x14:cfvo>
              <x14:borderColor theme="0"/>
              <x14:negativeFillColor rgb="FFFF0000"/>
              <x14:axisColor rgb="FF000000"/>
            </x14:dataBar>
          </x14:cfRule>
          <xm:sqref>N524</xm:sqref>
        </x14:conditionalFormatting>
        <x14:conditionalFormatting xmlns:xm="http://schemas.microsoft.com/office/excel/2006/main">
          <x14:cfRule type="dataBar" id="{516DCDF8-08C7-4CD0-A60E-A86D7FFD2878}">
            <x14:dataBar minLength="0" maxLength="100" border="1" gradient="0">
              <x14:cfvo type="num">
                <xm:f>0</xm:f>
              </x14:cfvo>
              <x14:cfvo type="num">
                <xm:f>1</xm:f>
              </x14:cfvo>
              <x14:borderColor theme="0"/>
              <x14:negativeFillColor rgb="FFFF0000"/>
              <x14:axisColor rgb="FF000000"/>
            </x14:dataBar>
          </x14:cfRule>
          <xm:sqref>N526</xm:sqref>
        </x14:conditionalFormatting>
        <x14:conditionalFormatting xmlns:xm="http://schemas.microsoft.com/office/excel/2006/main">
          <x14:cfRule type="dataBar" id="{526EDC5D-7642-4FCD-8443-65E84D58D7A4}">
            <x14:dataBar minLength="0" maxLength="100" border="1" gradient="0">
              <x14:cfvo type="num">
                <xm:f>0</xm:f>
              </x14:cfvo>
              <x14:cfvo type="num">
                <xm:f>1</xm:f>
              </x14:cfvo>
              <x14:borderColor theme="0"/>
              <x14:negativeFillColor rgb="FFFF0000"/>
              <x14:axisColor rgb="FF000000"/>
            </x14:dataBar>
          </x14:cfRule>
          <xm:sqref>N528</xm:sqref>
        </x14:conditionalFormatting>
        <x14:conditionalFormatting xmlns:xm="http://schemas.microsoft.com/office/excel/2006/main">
          <x14:cfRule type="dataBar" id="{CD39C74E-89C1-481B-AEAD-65199C335AEA}">
            <x14:dataBar minLength="0" maxLength="100" border="1" gradient="0">
              <x14:cfvo type="num">
                <xm:f>0</xm:f>
              </x14:cfvo>
              <x14:cfvo type="num">
                <xm:f>1</xm:f>
              </x14:cfvo>
              <x14:borderColor theme="0"/>
              <x14:negativeFillColor rgb="FFFF0000"/>
              <x14:axisColor rgb="FF000000"/>
            </x14:dataBar>
          </x14:cfRule>
          <xm:sqref>N530</xm:sqref>
        </x14:conditionalFormatting>
        <x14:conditionalFormatting xmlns:xm="http://schemas.microsoft.com/office/excel/2006/main">
          <x14:cfRule type="dataBar" id="{7A200851-36D1-417C-A1B7-D5448E8CF307}">
            <x14:dataBar minLength="0" maxLength="100" border="1" gradient="0">
              <x14:cfvo type="num">
                <xm:f>0</xm:f>
              </x14:cfvo>
              <x14:cfvo type="num">
                <xm:f>1</xm:f>
              </x14:cfvo>
              <x14:borderColor theme="0"/>
              <x14:negativeFillColor rgb="FFFF0000"/>
              <x14:axisColor rgb="FF000000"/>
            </x14:dataBar>
          </x14:cfRule>
          <xm:sqref>N533</xm:sqref>
        </x14:conditionalFormatting>
        <x14:conditionalFormatting xmlns:xm="http://schemas.microsoft.com/office/excel/2006/main">
          <x14:cfRule type="dataBar" id="{7AFDA602-0125-4474-9332-E0E268140E83}">
            <x14:dataBar minLength="0" maxLength="100" border="1" gradient="0">
              <x14:cfvo type="num">
                <xm:f>0</xm:f>
              </x14:cfvo>
              <x14:cfvo type="num">
                <xm:f>1</xm:f>
              </x14:cfvo>
              <x14:borderColor theme="0"/>
              <x14:negativeFillColor rgb="FFFF0000"/>
              <x14:axisColor rgb="FF000000"/>
            </x14:dataBar>
          </x14:cfRule>
          <xm:sqref>N535 N537 N539 N409</xm:sqref>
        </x14:conditionalFormatting>
        <x14:conditionalFormatting xmlns:xm="http://schemas.microsoft.com/office/excel/2006/main">
          <x14:cfRule type="dataBar" id="{82954597-A4B5-49A9-9492-329B442420DC}">
            <x14:dataBar minLength="0" maxLength="100" border="1" gradient="0">
              <x14:cfvo type="num">
                <xm:f>0</xm:f>
              </x14:cfvo>
              <x14:cfvo type="num">
                <xm:f>1</xm:f>
              </x14:cfvo>
              <x14:borderColor theme="0"/>
              <x14:negativeFillColor rgb="FFFF0000"/>
              <x14:axisColor rgb="FF000000"/>
            </x14:dataBar>
          </x14:cfRule>
          <xm:sqref>N541 N545 N549 N553 N557 N561 N543 N547 N551 N555 N559 N563</xm:sqref>
        </x14:conditionalFormatting>
        <x14:conditionalFormatting xmlns:xm="http://schemas.microsoft.com/office/excel/2006/main">
          <x14:cfRule type="dataBar" id="{713BF9B0-023D-414E-AB8B-70E3D76181AD}">
            <x14:dataBar minLength="0" maxLength="100" border="1" gradient="0">
              <x14:cfvo type="num">
                <xm:f>0</xm:f>
              </x14:cfvo>
              <x14:cfvo type="num">
                <xm:f>1</xm:f>
              </x14:cfvo>
              <x14:borderColor theme="0"/>
              <x14:negativeFillColor rgb="FFFF0000"/>
              <x14:axisColor rgb="FF000000"/>
            </x14:dataBar>
          </x14:cfRule>
          <xm:sqref>N565 N567</xm:sqref>
        </x14:conditionalFormatting>
        <x14:conditionalFormatting xmlns:xm="http://schemas.microsoft.com/office/excel/2006/main">
          <x14:cfRule type="dataBar" id="{F8C07D01-4D4B-4471-B5E7-57336412661B}">
            <x14:dataBar minLength="0" maxLength="100" border="1" gradient="0">
              <x14:cfvo type="num">
                <xm:f>0</xm:f>
              </x14:cfvo>
              <x14:cfvo type="num">
                <xm:f>1</xm:f>
              </x14:cfvo>
              <x14:borderColor theme="0"/>
              <x14:negativeFillColor rgb="FFFF0000"/>
              <x14:axisColor rgb="FF000000"/>
            </x14:dataBar>
          </x14:cfRule>
          <xm:sqref>N569 N573 N577 N583 N587 N591 N571 N575 N581 N585 N589 N593</xm:sqref>
        </x14:conditionalFormatting>
        <x14:conditionalFormatting xmlns:xm="http://schemas.microsoft.com/office/excel/2006/main">
          <x14:cfRule type="dataBar" id="{49BBB11F-B715-4F86-8F80-82E08D0EBFB9}">
            <x14:dataBar minLength="0" maxLength="100" border="1" gradient="0">
              <x14:cfvo type="num">
                <xm:f>0</xm:f>
              </x14:cfvo>
              <x14:cfvo type="num">
                <xm:f>1</xm:f>
              </x14:cfvo>
              <x14:borderColor theme="0"/>
              <x14:negativeFillColor rgb="FFFF0000"/>
              <x14:axisColor rgb="FF000000"/>
            </x14:dataBar>
          </x14:cfRule>
          <xm:sqref>N595 N597</xm:sqref>
        </x14:conditionalFormatting>
        <x14:conditionalFormatting xmlns:xm="http://schemas.microsoft.com/office/excel/2006/main">
          <x14:cfRule type="dataBar" id="{9B775E35-012E-4D3C-A5B5-72C6A876BF11}">
            <x14:dataBar minLength="0" maxLength="100" border="1" gradient="0">
              <x14:cfvo type="num">
                <xm:f>0</xm:f>
              </x14:cfvo>
              <x14:cfvo type="num">
                <xm:f>1</xm:f>
              </x14:cfvo>
              <x14:borderColor theme="0"/>
              <x14:negativeFillColor rgb="FFFF0000"/>
              <x14:axisColor rgb="FF000000"/>
            </x14:dataBar>
          </x14:cfRule>
          <xm:sqref>N599 N603 N607 N611 N615 N619 N601 N605 N609 N613 N617 N621</xm:sqref>
        </x14:conditionalFormatting>
        <x14:conditionalFormatting xmlns:xm="http://schemas.microsoft.com/office/excel/2006/main">
          <x14:cfRule type="dataBar" id="{2ADB5D4F-B3ED-45B0-83CD-6329D11E1B70}">
            <x14:dataBar minLength="0" maxLength="100" border="1" gradient="0">
              <x14:cfvo type="num">
                <xm:f>0</xm:f>
              </x14:cfvo>
              <x14:cfvo type="num">
                <xm:f>1</xm:f>
              </x14:cfvo>
              <x14:borderColor theme="0"/>
              <x14:negativeFillColor rgb="FFFF0000"/>
              <x14:axisColor rgb="FF000000"/>
            </x14:dataBar>
          </x14:cfRule>
          <xm:sqref>N623 N625</xm:sqref>
        </x14:conditionalFormatting>
        <x14:conditionalFormatting xmlns:xm="http://schemas.microsoft.com/office/excel/2006/main">
          <x14:cfRule type="dataBar" id="{DF36D232-5ED6-4B29-9C0C-ECA9F41E90AB}">
            <x14:dataBar minLength="0" maxLength="100" border="1" gradient="0">
              <x14:cfvo type="num">
                <xm:f>0</xm:f>
              </x14:cfvo>
              <x14:cfvo type="num">
                <xm:f>1</xm:f>
              </x14:cfvo>
              <x14:borderColor theme="0"/>
              <x14:negativeFillColor rgb="FFFF0000"/>
              <x14:axisColor rgb="FF000000"/>
            </x14:dataBar>
          </x14:cfRule>
          <xm:sqref>N627 N645 N631 N635 N639 N629 N633 N637 N641</xm:sqref>
        </x14:conditionalFormatting>
        <x14:conditionalFormatting xmlns:xm="http://schemas.microsoft.com/office/excel/2006/main">
          <x14:cfRule type="dataBar" id="{50873D35-A4A6-4427-8706-47E6E7345265}">
            <x14:dataBar minLength="0" maxLength="100" border="1" gradient="0">
              <x14:cfvo type="num">
                <xm:f>0</xm:f>
              </x14:cfvo>
              <x14:cfvo type="num">
                <xm:f>1</xm:f>
              </x14:cfvo>
              <x14:borderColor theme="0"/>
              <x14:negativeFillColor rgb="FFFF0000"/>
              <x14:axisColor rgb="FF000000"/>
            </x14:dataBar>
          </x14:cfRule>
          <xm:sqref>N643</xm:sqref>
        </x14:conditionalFormatting>
        <x14:conditionalFormatting xmlns:xm="http://schemas.microsoft.com/office/excel/2006/main">
          <x14:cfRule type="dataBar" id="{93756EBF-F333-4F10-B400-9E33C496CAD0}">
            <x14:dataBar minLength="0" maxLength="100" border="1" gradient="0">
              <x14:cfvo type="num">
                <xm:f>0</xm:f>
              </x14:cfvo>
              <x14:cfvo type="num">
                <xm:f>1</xm:f>
              </x14:cfvo>
              <x14:borderColor theme="0"/>
              <x14:negativeFillColor rgb="FFFF0000"/>
              <x14:axisColor rgb="FF000000"/>
            </x14:dataBar>
          </x14:cfRule>
          <xm:sqref>N647</xm:sqref>
        </x14:conditionalFormatting>
        <x14:conditionalFormatting xmlns:xm="http://schemas.microsoft.com/office/excel/2006/main">
          <x14:cfRule type="dataBar" id="{BFC80987-9D04-4DDB-9CDD-F481F3E03AF6}">
            <x14:dataBar minLength="0" maxLength="100" border="1" gradient="0">
              <x14:cfvo type="num">
                <xm:f>0</xm:f>
              </x14:cfvo>
              <x14:cfvo type="num">
                <xm:f>1</xm:f>
              </x14:cfvo>
              <x14:borderColor theme="0"/>
              <x14:negativeFillColor rgb="FFFF0000"/>
              <x14:axisColor rgb="FF000000"/>
            </x14:dataBar>
          </x14:cfRule>
          <xm:sqref>N649</xm:sqref>
        </x14:conditionalFormatting>
        <x14:conditionalFormatting xmlns:xm="http://schemas.microsoft.com/office/excel/2006/main">
          <x14:cfRule type="dataBar" id="{885D1EFE-F5BE-48A6-9CA8-32511117D4E2}">
            <x14:dataBar minLength="0" maxLength="100" border="1" gradient="0">
              <x14:cfvo type="num">
                <xm:f>0</xm:f>
              </x14:cfvo>
              <x14:cfvo type="num">
                <xm:f>1</xm:f>
              </x14:cfvo>
              <x14:borderColor theme="0"/>
              <x14:negativeFillColor rgb="FFFF0000"/>
              <x14:axisColor rgb="FF000000"/>
            </x14:dataBar>
          </x14:cfRule>
          <xm:sqref>N652</xm:sqref>
        </x14:conditionalFormatting>
        <x14:conditionalFormatting xmlns:xm="http://schemas.microsoft.com/office/excel/2006/main">
          <x14:cfRule type="dataBar" id="{F37514EA-9166-43A8-856D-643F025BA69A}">
            <x14:dataBar minLength="0" maxLength="100" border="1" gradient="0">
              <x14:cfvo type="num">
                <xm:f>0</xm:f>
              </x14:cfvo>
              <x14:cfvo type="num">
                <xm:f>1</xm:f>
              </x14:cfvo>
              <x14:borderColor theme="0"/>
              <x14:negativeFillColor rgb="FFFF0000"/>
              <x14:axisColor rgb="FF000000"/>
            </x14:dataBar>
          </x14:cfRule>
          <xm:sqref>N654</xm:sqref>
        </x14:conditionalFormatting>
        <x14:conditionalFormatting xmlns:xm="http://schemas.microsoft.com/office/excel/2006/main">
          <x14:cfRule type="dataBar" id="{F1A252B0-5954-4F16-95EE-EA0248965FEE}">
            <x14:dataBar minLength="0" maxLength="100" border="1" gradient="0">
              <x14:cfvo type="num">
                <xm:f>0</xm:f>
              </x14:cfvo>
              <x14:cfvo type="num">
                <xm:f>1</xm:f>
              </x14:cfvo>
              <x14:borderColor theme="0"/>
              <x14:negativeFillColor rgb="FFFF0000"/>
              <x14:axisColor rgb="FF000000"/>
            </x14:dataBar>
          </x14:cfRule>
          <xm:sqref>N656</xm:sqref>
        </x14:conditionalFormatting>
        <x14:conditionalFormatting xmlns:xm="http://schemas.microsoft.com/office/excel/2006/main">
          <x14:cfRule type="dataBar" id="{A6C18E53-A4CB-4CF3-9F73-68467EBF1B4E}">
            <x14:dataBar minLength="0" maxLength="100" border="1" gradient="0">
              <x14:cfvo type="num">
                <xm:f>0</xm:f>
              </x14:cfvo>
              <x14:cfvo type="num">
                <xm:f>1</xm:f>
              </x14:cfvo>
              <x14:borderColor theme="0"/>
              <x14:negativeFillColor rgb="FFFF0000"/>
              <x14:axisColor rgb="FF000000"/>
            </x14:dataBar>
          </x14:cfRule>
          <xm:sqref>N658</xm:sqref>
        </x14:conditionalFormatting>
        <x14:conditionalFormatting xmlns:xm="http://schemas.microsoft.com/office/excel/2006/main">
          <x14:cfRule type="dataBar" id="{A5411962-9D70-4980-A0CE-9D23FEDE7D87}">
            <x14:dataBar minLength="0" maxLength="100" border="1" gradient="0">
              <x14:cfvo type="num">
                <xm:f>0</xm:f>
              </x14:cfvo>
              <x14:cfvo type="num">
                <xm:f>1</xm:f>
              </x14:cfvo>
              <x14:borderColor theme="0"/>
              <x14:negativeFillColor rgb="FFFF0000"/>
              <x14:axisColor rgb="FF000000"/>
            </x14:dataBar>
          </x14:cfRule>
          <xm:sqref>N660</xm:sqref>
        </x14:conditionalFormatting>
        <x14:conditionalFormatting xmlns:xm="http://schemas.microsoft.com/office/excel/2006/main">
          <x14:cfRule type="dataBar" id="{364C2BC3-4E88-4972-8A7B-B76CAEAB5F71}">
            <x14:dataBar minLength="0" maxLength="100" border="1" gradient="0">
              <x14:cfvo type="num">
                <xm:f>0</xm:f>
              </x14:cfvo>
              <x14:cfvo type="num">
                <xm:f>1</xm:f>
              </x14:cfvo>
              <x14:borderColor theme="0"/>
              <x14:negativeFillColor rgb="FFFF0000"/>
              <x14:axisColor rgb="FF000000"/>
            </x14:dataBar>
          </x14:cfRule>
          <xm:sqref>N662</xm:sqref>
        </x14:conditionalFormatting>
        <x14:conditionalFormatting xmlns:xm="http://schemas.microsoft.com/office/excel/2006/main">
          <x14:cfRule type="dataBar" id="{DBE28E37-14D2-47C0-AF0C-B674FF536901}">
            <x14:dataBar minLength="0" maxLength="100" border="1" gradient="0">
              <x14:cfvo type="num">
                <xm:f>0</xm:f>
              </x14:cfvo>
              <x14:cfvo type="num">
                <xm:f>1</xm:f>
              </x14:cfvo>
              <x14:borderColor theme="0"/>
              <x14:negativeFillColor rgb="FFFF0000"/>
              <x14:axisColor rgb="FF000000"/>
            </x14:dataBar>
          </x14:cfRule>
          <xm:sqref>N664</xm:sqref>
        </x14:conditionalFormatting>
        <x14:conditionalFormatting xmlns:xm="http://schemas.microsoft.com/office/excel/2006/main">
          <x14:cfRule type="dataBar" id="{992DFE92-0427-494B-A58E-1CD549DB84FF}">
            <x14:dataBar minLength="0" maxLength="100" border="1" gradient="0">
              <x14:cfvo type="num">
                <xm:f>0</xm:f>
              </x14:cfvo>
              <x14:cfvo type="num">
                <xm:f>1</xm:f>
              </x14:cfvo>
              <x14:borderColor theme="0"/>
              <x14:negativeFillColor rgb="FFFF0000"/>
              <x14:axisColor rgb="FF000000"/>
            </x14:dataBar>
          </x14:cfRule>
          <xm:sqref>N666</xm:sqref>
        </x14:conditionalFormatting>
        <x14:conditionalFormatting xmlns:xm="http://schemas.microsoft.com/office/excel/2006/main">
          <x14:cfRule type="dataBar" id="{A9309BD6-3C2E-4A1C-AA08-533743AA1E13}">
            <x14:dataBar minLength="0" maxLength="100" border="1" gradient="0">
              <x14:cfvo type="num">
                <xm:f>0</xm:f>
              </x14:cfvo>
              <x14:cfvo type="num">
                <xm:f>1</xm:f>
              </x14:cfvo>
              <x14:borderColor theme="0"/>
              <x14:negativeFillColor rgb="FFFF0000"/>
              <x14:axisColor rgb="FF000000"/>
            </x14:dataBar>
          </x14:cfRule>
          <xm:sqref>N668</xm:sqref>
        </x14:conditionalFormatting>
        <x14:conditionalFormatting xmlns:xm="http://schemas.microsoft.com/office/excel/2006/main">
          <x14:cfRule type="dataBar" id="{989F6212-430E-4147-A6DD-0116C50408BC}">
            <x14:dataBar minLength="0" maxLength="100" border="1" gradient="0">
              <x14:cfvo type="num">
                <xm:f>0</xm:f>
              </x14:cfvo>
              <x14:cfvo type="num">
                <xm:f>1</xm:f>
              </x14:cfvo>
              <x14:borderColor theme="0"/>
              <x14:negativeFillColor rgb="FFFF0000"/>
              <x14:axisColor rgb="FF000000"/>
            </x14:dataBar>
          </x14:cfRule>
          <xm:sqref>N670</xm:sqref>
        </x14:conditionalFormatting>
        <x14:conditionalFormatting xmlns:xm="http://schemas.microsoft.com/office/excel/2006/main">
          <x14:cfRule type="dataBar" id="{782AB14C-D084-43A9-BDDD-69C9277ACA68}">
            <x14:dataBar minLength="0" maxLength="100" border="1" gradient="0">
              <x14:cfvo type="num">
                <xm:f>0</xm:f>
              </x14:cfvo>
              <x14:cfvo type="num">
                <xm:f>1</xm:f>
              </x14:cfvo>
              <x14:borderColor theme="0"/>
              <x14:negativeFillColor rgb="FFFF0000"/>
              <x14:axisColor rgb="FF000000"/>
            </x14:dataBar>
          </x14:cfRule>
          <xm:sqref>N672</xm:sqref>
        </x14:conditionalFormatting>
        <x14:conditionalFormatting xmlns:xm="http://schemas.microsoft.com/office/excel/2006/main">
          <x14:cfRule type="dataBar" id="{9F9F131A-B5EF-402E-B784-26E8D73CA149}">
            <x14:dataBar minLength="0" maxLength="100" border="1" gradient="0">
              <x14:cfvo type="num">
                <xm:f>0</xm:f>
              </x14:cfvo>
              <x14:cfvo type="num">
                <xm:f>1</xm:f>
              </x14:cfvo>
              <x14:borderColor theme="0"/>
              <x14:negativeFillColor rgb="FFFF0000"/>
              <x14:axisColor rgb="FF000000"/>
            </x14:dataBar>
          </x14:cfRule>
          <xm:sqref>N674</xm:sqref>
        </x14:conditionalFormatting>
        <x14:conditionalFormatting xmlns:xm="http://schemas.microsoft.com/office/excel/2006/main">
          <x14:cfRule type="dataBar" id="{4CC7C21B-6AAC-4E3E-8B30-1ADF5E351803}">
            <x14:dataBar minLength="0" maxLength="100" border="1" gradient="0">
              <x14:cfvo type="num">
                <xm:f>0</xm:f>
              </x14:cfvo>
              <x14:cfvo type="num">
                <xm:f>1</xm:f>
              </x14:cfvo>
              <x14:borderColor theme="0"/>
              <x14:negativeFillColor rgb="FFFF0000"/>
              <x14:axisColor rgb="FF000000"/>
            </x14:dataBar>
          </x14:cfRule>
          <xm:sqref>N676</xm:sqref>
        </x14:conditionalFormatting>
        <x14:conditionalFormatting xmlns:xm="http://schemas.microsoft.com/office/excel/2006/main">
          <x14:cfRule type="dataBar" id="{3E8CDACD-7E62-4920-8C4E-14E8E2421067}">
            <x14:dataBar minLength="0" maxLength="100" border="1" gradient="0">
              <x14:cfvo type="num">
                <xm:f>0</xm:f>
              </x14:cfvo>
              <x14:cfvo type="num">
                <xm:f>1</xm:f>
              </x14:cfvo>
              <x14:borderColor theme="0"/>
              <x14:negativeFillColor rgb="FFFF0000"/>
              <x14:axisColor rgb="FF000000"/>
            </x14:dataBar>
          </x14:cfRule>
          <xm:sqref>N678</xm:sqref>
        </x14:conditionalFormatting>
        <x14:conditionalFormatting xmlns:xm="http://schemas.microsoft.com/office/excel/2006/main">
          <x14:cfRule type="dataBar" id="{23492F58-E463-4A6D-A302-E9E493A5E50B}">
            <x14:dataBar minLength="0" maxLength="100" border="1" gradient="0">
              <x14:cfvo type="num">
                <xm:f>0</xm:f>
              </x14:cfvo>
              <x14:cfvo type="num">
                <xm:f>1</xm:f>
              </x14:cfvo>
              <x14:borderColor theme="0"/>
              <x14:negativeFillColor rgb="FFFF0000"/>
              <x14:axisColor rgb="FF000000"/>
            </x14:dataBar>
          </x14:cfRule>
          <xm:sqref>N680</xm:sqref>
        </x14:conditionalFormatting>
        <x14:conditionalFormatting xmlns:xm="http://schemas.microsoft.com/office/excel/2006/main">
          <x14:cfRule type="dataBar" id="{75811C88-D3F1-41A9-859E-C48C0AB55741}">
            <x14:dataBar minLength="0" maxLength="100" border="1" gradient="0">
              <x14:cfvo type="num">
                <xm:f>0</xm:f>
              </x14:cfvo>
              <x14:cfvo type="num">
                <xm:f>1</xm:f>
              </x14:cfvo>
              <x14:borderColor theme="0"/>
              <x14:negativeFillColor rgb="FFFF0000"/>
              <x14:axisColor rgb="FF000000"/>
            </x14:dataBar>
          </x14:cfRule>
          <xm:sqref>N682</xm:sqref>
        </x14:conditionalFormatting>
        <x14:conditionalFormatting xmlns:xm="http://schemas.microsoft.com/office/excel/2006/main">
          <x14:cfRule type="dataBar" id="{DD3292F4-FD0F-4C0B-BF3B-5399AD0E0408}">
            <x14:dataBar minLength="0" maxLength="100" border="1" gradient="0">
              <x14:cfvo type="num">
                <xm:f>0</xm:f>
              </x14:cfvo>
              <x14:cfvo type="num">
                <xm:f>1</xm:f>
              </x14:cfvo>
              <x14:borderColor theme="0"/>
              <x14:negativeFillColor rgb="FFFF0000"/>
              <x14:axisColor rgb="FF000000"/>
            </x14:dataBar>
          </x14:cfRule>
          <xm:sqref>N684</xm:sqref>
        </x14:conditionalFormatting>
        <x14:conditionalFormatting xmlns:xm="http://schemas.microsoft.com/office/excel/2006/main">
          <x14:cfRule type="dataBar" id="{2BC1F7BF-2E38-4CA4-8B8C-EE5610593B47}">
            <x14:dataBar minLength="0" maxLength="100" border="1" gradient="0">
              <x14:cfvo type="num">
                <xm:f>0</xm:f>
              </x14:cfvo>
              <x14:cfvo type="num">
                <xm:f>1</xm:f>
              </x14:cfvo>
              <x14:borderColor theme="0"/>
              <x14:negativeFillColor rgb="FFFF0000"/>
              <x14:axisColor rgb="FF000000"/>
            </x14:dataBar>
          </x14:cfRule>
          <xm:sqref>N686</xm:sqref>
        </x14:conditionalFormatting>
        <x14:conditionalFormatting xmlns:xm="http://schemas.microsoft.com/office/excel/2006/main">
          <x14:cfRule type="dataBar" id="{8D5ED4FA-22EE-404F-A384-7346F6587C26}">
            <x14:dataBar minLength="0" maxLength="100" border="1" gradient="0">
              <x14:cfvo type="num">
                <xm:f>0</xm:f>
              </x14:cfvo>
              <x14:cfvo type="num">
                <xm:f>1</xm:f>
              </x14:cfvo>
              <x14:borderColor theme="0"/>
              <x14:negativeFillColor rgb="FFFF0000"/>
              <x14:axisColor rgb="FF000000"/>
            </x14:dataBar>
          </x14:cfRule>
          <xm:sqref>N688</xm:sqref>
        </x14:conditionalFormatting>
        <x14:conditionalFormatting xmlns:xm="http://schemas.microsoft.com/office/excel/2006/main">
          <x14:cfRule type="dataBar" id="{6BB436DA-24AA-4D79-9DF4-71ADC6FD1C0C}">
            <x14:dataBar minLength="0" maxLength="100" border="1" gradient="0">
              <x14:cfvo type="num">
                <xm:f>0</xm:f>
              </x14:cfvo>
              <x14:cfvo type="num">
                <xm:f>1</xm:f>
              </x14:cfvo>
              <x14:borderColor theme="0"/>
              <x14:negativeFillColor rgb="FFFF0000"/>
              <x14:axisColor rgb="FF000000"/>
            </x14:dataBar>
          </x14:cfRule>
          <xm:sqref>N690</xm:sqref>
        </x14:conditionalFormatting>
        <x14:conditionalFormatting xmlns:xm="http://schemas.microsoft.com/office/excel/2006/main">
          <x14:cfRule type="dataBar" id="{1560DD5E-6ADC-43E3-90C0-27C0675F8BE0}">
            <x14:dataBar minLength="0" maxLength="100" border="1" gradient="0">
              <x14:cfvo type="num">
                <xm:f>0</xm:f>
              </x14:cfvo>
              <x14:cfvo type="num">
                <xm:f>1</xm:f>
              </x14:cfvo>
              <x14:borderColor theme="0"/>
              <x14:negativeFillColor rgb="FFFF0000"/>
              <x14:axisColor rgb="FF000000"/>
            </x14:dataBar>
          </x14:cfRule>
          <xm:sqref>N692</xm:sqref>
        </x14:conditionalFormatting>
        <x14:conditionalFormatting xmlns:xm="http://schemas.microsoft.com/office/excel/2006/main">
          <x14:cfRule type="dataBar" id="{92E34F54-8EE3-45C3-A515-5BC9F0B08488}">
            <x14:dataBar minLength="0" maxLength="100" border="1" gradient="0">
              <x14:cfvo type="num">
                <xm:f>0</xm:f>
              </x14:cfvo>
              <x14:cfvo type="num">
                <xm:f>1</xm:f>
              </x14:cfvo>
              <x14:borderColor theme="0"/>
              <x14:negativeFillColor rgb="FFFF0000"/>
              <x14:axisColor rgb="FF000000"/>
            </x14:dataBar>
          </x14:cfRule>
          <xm:sqref>N694</xm:sqref>
        </x14:conditionalFormatting>
        <x14:conditionalFormatting xmlns:xm="http://schemas.microsoft.com/office/excel/2006/main">
          <x14:cfRule type="dataBar" id="{6D8A0C37-7C1C-4ADA-B77D-1B5FDC59183C}">
            <x14:dataBar minLength="0" maxLength="100" border="1" gradient="0">
              <x14:cfvo type="num">
                <xm:f>0</xm:f>
              </x14:cfvo>
              <x14:cfvo type="num">
                <xm:f>1</xm:f>
              </x14:cfvo>
              <x14:borderColor theme="0"/>
              <x14:negativeFillColor rgb="FFFF0000"/>
              <x14:axisColor rgb="FF000000"/>
            </x14:dataBar>
          </x14:cfRule>
          <xm:sqref>N696</xm:sqref>
        </x14:conditionalFormatting>
        <x14:conditionalFormatting xmlns:xm="http://schemas.microsoft.com/office/excel/2006/main">
          <x14:cfRule type="dataBar" id="{9E6A8A3D-7E22-44B7-8345-8FDD71204EAA}">
            <x14:dataBar minLength="0" maxLength="100" border="1" gradient="0">
              <x14:cfvo type="num">
                <xm:f>0</xm:f>
              </x14:cfvo>
              <x14:cfvo type="num">
                <xm:f>1</xm:f>
              </x14:cfvo>
              <x14:borderColor theme="0"/>
              <x14:negativeFillColor rgb="FFFF0000"/>
              <x14:axisColor rgb="FF000000"/>
            </x14:dataBar>
          </x14:cfRule>
          <xm:sqref>N698</xm:sqref>
        </x14:conditionalFormatting>
        <x14:conditionalFormatting xmlns:xm="http://schemas.microsoft.com/office/excel/2006/main">
          <x14:cfRule type="dataBar" id="{91716F7B-CFBF-4676-8B02-67C3098D6BF7}">
            <x14:dataBar minLength="0" maxLength="100" border="1" gradient="0">
              <x14:cfvo type="num">
                <xm:f>0</xm:f>
              </x14:cfvo>
              <x14:cfvo type="num">
                <xm:f>1</xm:f>
              </x14:cfvo>
              <x14:borderColor theme="0"/>
              <x14:negativeFillColor rgb="FFFF0000"/>
              <x14:axisColor rgb="FF000000"/>
            </x14:dataBar>
          </x14:cfRule>
          <xm:sqref>N700</xm:sqref>
        </x14:conditionalFormatting>
        <x14:conditionalFormatting xmlns:xm="http://schemas.microsoft.com/office/excel/2006/main">
          <x14:cfRule type="dataBar" id="{61DA607A-AA03-44B6-952E-3DF9DB3EC532}">
            <x14:dataBar minLength="0" maxLength="100" border="1" gradient="0">
              <x14:cfvo type="num">
                <xm:f>0</xm:f>
              </x14:cfvo>
              <x14:cfvo type="num">
                <xm:f>1</xm:f>
              </x14:cfvo>
              <x14:borderColor theme="0"/>
              <x14:negativeFillColor rgb="FFFF0000"/>
              <x14:axisColor rgb="FF000000"/>
            </x14:dataBar>
          </x14:cfRule>
          <xm:sqref>N703</xm:sqref>
        </x14:conditionalFormatting>
        <x14:conditionalFormatting xmlns:xm="http://schemas.microsoft.com/office/excel/2006/main">
          <x14:cfRule type="dataBar" id="{7BCBD8C9-1E75-4B46-996D-71D3B25FD2FB}">
            <x14:dataBar minLength="0" maxLength="100" border="1" gradient="0">
              <x14:cfvo type="num">
                <xm:f>0</xm:f>
              </x14:cfvo>
              <x14:cfvo type="num">
                <xm:f>1</xm:f>
              </x14:cfvo>
              <x14:borderColor theme="0"/>
              <x14:negativeFillColor rgb="FFFF0000"/>
              <x14:axisColor rgb="FF000000"/>
            </x14:dataBar>
          </x14:cfRule>
          <xm:sqref>N705</xm:sqref>
        </x14:conditionalFormatting>
        <x14:conditionalFormatting xmlns:xm="http://schemas.microsoft.com/office/excel/2006/main">
          <x14:cfRule type="dataBar" id="{63D8218C-7A38-47A2-9C46-A65FE8023BD0}">
            <x14:dataBar minLength="0" maxLength="100" border="1" gradient="0">
              <x14:cfvo type="num">
                <xm:f>0</xm:f>
              </x14:cfvo>
              <x14:cfvo type="num">
                <xm:f>1</xm:f>
              </x14:cfvo>
              <x14:borderColor theme="0"/>
              <x14:negativeFillColor rgb="FFFF0000"/>
              <x14:axisColor rgb="FF000000"/>
            </x14:dataBar>
          </x14:cfRule>
          <xm:sqref>N707</xm:sqref>
        </x14:conditionalFormatting>
        <x14:conditionalFormatting xmlns:xm="http://schemas.microsoft.com/office/excel/2006/main">
          <x14:cfRule type="dataBar" id="{AC8637F6-46A5-4C8E-BDA2-2F980FAC523E}">
            <x14:dataBar minLength="0" maxLength="100" border="1" gradient="0">
              <x14:cfvo type="num">
                <xm:f>0</xm:f>
              </x14:cfvo>
              <x14:cfvo type="num">
                <xm:f>1</xm:f>
              </x14:cfvo>
              <x14:borderColor theme="0"/>
              <x14:negativeFillColor rgb="FFFF0000"/>
              <x14:axisColor rgb="FF000000"/>
            </x14:dataBar>
          </x14:cfRule>
          <xm:sqref>N709</xm:sqref>
        </x14:conditionalFormatting>
        <x14:conditionalFormatting xmlns:xm="http://schemas.microsoft.com/office/excel/2006/main">
          <x14:cfRule type="dataBar" id="{F9005555-8875-4B45-9928-1F74AF5379B4}">
            <x14:dataBar minLength="0" maxLength="100" border="1" gradient="0">
              <x14:cfvo type="num">
                <xm:f>0</xm:f>
              </x14:cfvo>
              <x14:cfvo type="num">
                <xm:f>1</xm:f>
              </x14:cfvo>
              <x14:borderColor theme="0"/>
              <x14:negativeFillColor rgb="FFFF0000"/>
              <x14:axisColor rgb="FF000000"/>
            </x14:dataBar>
          </x14:cfRule>
          <xm:sqref>N711</xm:sqref>
        </x14:conditionalFormatting>
        <x14:conditionalFormatting xmlns:xm="http://schemas.microsoft.com/office/excel/2006/main">
          <x14:cfRule type="dataBar" id="{ABD3417F-FB36-486A-9DB8-058FFD7B98D0}">
            <x14:dataBar minLength="0" maxLength="100" border="1" gradient="0">
              <x14:cfvo type="num">
                <xm:f>0</xm:f>
              </x14:cfvo>
              <x14:cfvo type="num">
                <xm:f>1</xm:f>
              </x14:cfvo>
              <x14:borderColor theme="0"/>
              <x14:negativeFillColor rgb="FFFF0000"/>
              <x14:axisColor rgb="FF000000"/>
            </x14:dataBar>
          </x14:cfRule>
          <xm:sqref>N713</xm:sqref>
        </x14:conditionalFormatting>
        <x14:conditionalFormatting xmlns:xm="http://schemas.microsoft.com/office/excel/2006/main">
          <x14:cfRule type="dataBar" id="{46841A4C-EF9B-4884-8653-5E988E37B78C}">
            <x14:dataBar minLength="0" maxLength="100" border="1" gradient="0">
              <x14:cfvo type="num">
                <xm:f>0</xm:f>
              </x14:cfvo>
              <x14:cfvo type="num">
                <xm:f>1</xm:f>
              </x14:cfvo>
              <x14:borderColor theme="0"/>
              <x14:negativeFillColor rgb="FFFF0000"/>
              <x14:axisColor rgb="FF000000"/>
            </x14:dataBar>
          </x14:cfRule>
          <xm:sqref>N715</xm:sqref>
        </x14:conditionalFormatting>
        <x14:conditionalFormatting xmlns:xm="http://schemas.microsoft.com/office/excel/2006/main">
          <x14:cfRule type="dataBar" id="{1CF89AE2-1296-440B-A9CA-B54564381E09}">
            <x14:dataBar minLength="0" maxLength="100" border="1" gradient="0">
              <x14:cfvo type="num">
                <xm:f>0</xm:f>
              </x14:cfvo>
              <x14:cfvo type="num">
                <xm:f>1</xm:f>
              </x14:cfvo>
              <x14:borderColor theme="0"/>
              <x14:negativeFillColor rgb="FFFF0000"/>
              <x14:axisColor rgb="FF000000"/>
            </x14:dataBar>
          </x14:cfRule>
          <xm:sqref>N717</xm:sqref>
        </x14:conditionalFormatting>
        <x14:conditionalFormatting xmlns:xm="http://schemas.microsoft.com/office/excel/2006/main">
          <x14:cfRule type="dataBar" id="{8099F23D-C575-4D8A-BAB6-E474E4AA32EF}">
            <x14:dataBar minLength="0" maxLength="100" border="1" gradient="0">
              <x14:cfvo type="num">
                <xm:f>0</xm:f>
              </x14:cfvo>
              <x14:cfvo type="num">
                <xm:f>1</xm:f>
              </x14:cfvo>
              <x14:borderColor theme="0"/>
              <x14:negativeFillColor rgb="FFFF0000"/>
              <x14:axisColor rgb="FF000000"/>
            </x14:dataBar>
          </x14:cfRule>
          <xm:sqref>N719</xm:sqref>
        </x14:conditionalFormatting>
        <x14:conditionalFormatting xmlns:xm="http://schemas.microsoft.com/office/excel/2006/main">
          <x14:cfRule type="dataBar" id="{D1248951-6110-4A00-B36C-6AD0BAC10432}">
            <x14:dataBar minLength="0" maxLength="100" border="1" gradient="0">
              <x14:cfvo type="num">
                <xm:f>0</xm:f>
              </x14:cfvo>
              <x14:cfvo type="num">
                <xm:f>1</xm:f>
              </x14:cfvo>
              <x14:borderColor theme="0"/>
              <x14:negativeFillColor rgb="FFFF0000"/>
              <x14:axisColor rgb="FF000000"/>
            </x14:dataBar>
          </x14:cfRule>
          <xm:sqref>N721</xm:sqref>
        </x14:conditionalFormatting>
        <x14:conditionalFormatting xmlns:xm="http://schemas.microsoft.com/office/excel/2006/main">
          <x14:cfRule type="dataBar" id="{00101E39-414D-43D4-9A90-71F2A127F27B}">
            <x14:dataBar minLength="0" maxLength="100" border="1" gradient="0">
              <x14:cfvo type="num">
                <xm:f>0</xm:f>
              </x14:cfvo>
              <x14:cfvo type="num">
                <xm:f>1</xm:f>
              </x14:cfvo>
              <x14:borderColor theme="0"/>
              <x14:negativeFillColor rgb="FFFF0000"/>
              <x14:axisColor rgb="FF000000"/>
            </x14:dataBar>
          </x14:cfRule>
          <xm:sqref>N723</xm:sqref>
        </x14:conditionalFormatting>
        <x14:conditionalFormatting xmlns:xm="http://schemas.microsoft.com/office/excel/2006/main">
          <x14:cfRule type="dataBar" id="{F8153A6E-2B0D-415B-9C09-B73288FDA571}">
            <x14:dataBar minLength="0" maxLength="100" border="1" gradient="0">
              <x14:cfvo type="num">
                <xm:f>0</xm:f>
              </x14:cfvo>
              <x14:cfvo type="num">
                <xm:f>1</xm:f>
              </x14:cfvo>
              <x14:borderColor theme="0"/>
              <x14:negativeFillColor rgb="FFFF0000"/>
              <x14:axisColor rgb="FF000000"/>
            </x14:dataBar>
          </x14:cfRule>
          <xm:sqref>N725</xm:sqref>
        </x14:conditionalFormatting>
        <x14:conditionalFormatting xmlns:xm="http://schemas.microsoft.com/office/excel/2006/main">
          <x14:cfRule type="dataBar" id="{8097D32A-3377-4377-98FD-8D803C5E84A1}">
            <x14:dataBar minLength="0" maxLength="100" border="1" gradient="0">
              <x14:cfvo type="num">
                <xm:f>0</xm:f>
              </x14:cfvo>
              <x14:cfvo type="num">
                <xm:f>1</xm:f>
              </x14:cfvo>
              <x14:borderColor theme="0"/>
              <x14:negativeFillColor rgb="FFFF0000"/>
              <x14:axisColor rgb="FF000000"/>
            </x14:dataBar>
          </x14:cfRule>
          <xm:sqref>N727</xm:sqref>
        </x14:conditionalFormatting>
        <x14:conditionalFormatting xmlns:xm="http://schemas.microsoft.com/office/excel/2006/main">
          <x14:cfRule type="dataBar" id="{0A0A04A7-7EF3-4FD6-ABC1-59E83EBF08E9}">
            <x14:dataBar minLength="0" maxLength="100" border="1" gradient="0">
              <x14:cfvo type="num">
                <xm:f>0</xm:f>
              </x14:cfvo>
              <x14:cfvo type="num">
                <xm:f>1</xm:f>
              </x14:cfvo>
              <x14:borderColor theme="0"/>
              <x14:negativeFillColor rgb="FFFF0000"/>
              <x14:axisColor rgb="FF000000"/>
            </x14:dataBar>
          </x14:cfRule>
          <xm:sqref>N729</xm:sqref>
        </x14:conditionalFormatting>
        <x14:conditionalFormatting xmlns:xm="http://schemas.microsoft.com/office/excel/2006/main">
          <x14:cfRule type="dataBar" id="{E5AD9D6F-BE85-4EE4-9B5D-51FAD1BD257E}">
            <x14:dataBar minLength="0" maxLength="100" border="1" gradient="0">
              <x14:cfvo type="num">
                <xm:f>0</xm:f>
              </x14:cfvo>
              <x14:cfvo type="num">
                <xm:f>1</xm:f>
              </x14:cfvo>
              <x14:borderColor theme="0"/>
              <x14:negativeFillColor rgb="FFFF0000"/>
              <x14:axisColor rgb="FF000000"/>
            </x14:dataBar>
          </x14:cfRule>
          <xm:sqref>N731</xm:sqref>
        </x14:conditionalFormatting>
        <x14:conditionalFormatting xmlns:xm="http://schemas.microsoft.com/office/excel/2006/main">
          <x14:cfRule type="dataBar" id="{3CA506F8-8784-4E87-8C5A-DDA038888D9A}">
            <x14:dataBar minLength="0" maxLength="100" border="1" gradient="0">
              <x14:cfvo type="num">
                <xm:f>0</xm:f>
              </x14:cfvo>
              <x14:cfvo type="num">
                <xm:f>1</xm:f>
              </x14:cfvo>
              <x14:borderColor theme="0"/>
              <x14:negativeFillColor rgb="FFFF0000"/>
              <x14:axisColor rgb="FF000000"/>
            </x14:dataBar>
          </x14:cfRule>
          <xm:sqref>N733</xm:sqref>
        </x14:conditionalFormatting>
        <x14:conditionalFormatting xmlns:xm="http://schemas.microsoft.com/office/excel/2006/main">
          <x14:cfRule type="dataBar" id="{D6673DE6-AECF-4108-84A2-826D820F2417}">
            <x14:dataBar minLength="0" maxLength="100" border="1" gradient="0">
              <x14:cfvo type="num">
                <xm:f>0</xm:f>
              </x14:cfvo>
              <x14:cfvo type="num">
                <xm:f>1</xm:f>
              </x14:cfvo>
              <x14:borderColor theme="0"/>
              <x14:negativeFillColor rgb="FFFF0000"/>
              <x14:axisColor rgb="FF000000"/>
            </x14:dataBar>
          </x14:cfRule>
          <xm:sqref>N735</xm:sqref>
        </x14:conditionalFormatting>
        <x14:conditionalFormatting xmlns:xm="http://schemas.microsoft.com/office/excel/2006/main">
          <x14:cfRule type="dataBar" id="{43AC4B4C-3AC4-4098-BE38-20DA57E12884}">
            <x14:dataBar minLength="0" maxLength="100" border="1" gradient="0">
              <x14:cfvo type="num">
                <xm:f>0</xm:f>
              </x14:cfvo>
              <x14:cfvo type="num">
                <xm:f>1</xm:f>
              </x14:cfvo>
              <x14:borderColor theme="0"/>
              <x14:negativeFillColor rgb="FFFF0000"/>
              <x14:axisColor rgb="FF000000"/>
            </x14:dataBar>
          </x14:cfRule>
          <xm:sqref>N737</xm:sqref>
        </x14:conditionalFormatting>
        <x14:conditionalFormatting xmlns:xm="http://schemas.microsoft.com/office/excel/2006/main">
          <x14:cfRule type="dataBar" id="{62B21AFA-3DBB-4426-B438-81DC779C3499}">
            <x14:dataBar minLength="0" maxLength="100" border="1" gradient="0">
              <x14:cfvo type="num">
                <xm:f>0</xm:f>
              </x14:cfvo>
              <x14:cfvo type="num">
                <xm:f>1</xm:f>
              </x14:cfvo>
              <x14:borderColor theme="0"/>
              <x14:negativeFillColor rgb="FFFF0000"/>
              <x14:axisColor rgb="FF000000"/>
            </x14:dataBar>
          </x14:cfRule>
          <xm:sqref>N739</xm:sqref>
        </x14:conditionalFormatting>
        <x14:conditionalFormatting xmlns:xm="http://schemas.microsoft.com/office/excel/2006/main">
          <x14:cfRule type="dataBar" id="{BA877DF3-1D39-48DD-8026-8EB37A2321C3}">
            <x14:dataBar minLength="0" maxLength="100" border="1" gradient="0">
              <x14:cfvo type="num">
                <xm:f>0</xm:f>
              </x14:cfvo>
              <x14:cfvo type="num">
                <xm:f>1</xm:f>
              </x14:cfvo>
              <x14:borderColor theme="0"/>
              <x14:negativeFillColor rgb="FFFF0000"/>
              <x14:axisColor rgb="FF000000"/>
            </x14:dataBar>
          </x14:cfRule>
          <xm:sqref>N741</xm:sqref>
        </x14:conditionalFormatting>
        <x14:conditionalFormatting xmlns:xm="http://schemas.microsoft.com/office/excel/2006/main">
          <x14:cfRule type="dataBar" id="{87F607C5-9DD6-4D13-B0B9-682080DCF93E}">
            <x14:dataBar minLength="0" maxLength="100" border="1" gradient="0">
              <x14:cfvo type="num">
                <xm:f>0</xm:f>
              </x14:cfvo>
              <x14:cfvo type="num">
                <xm:f>1</xm:f>
              </x14:cfvo>
              <x14:borderColor theme="0"/>
              <x14:negativeFillColor rgb="FFFF0000"/>
              <x14:axisColor rgb="FF000000"/>
            </x14:dataBar>
          </x14:cfRule>
          <xm:sqref>N743</xm:sqref>
        </x14:conditionalFormatting>
        <x14:conditionalFormatting xmlns:xm="http://schemas.microsoft.com/office/excel/2006/main">
          <x14:cfRule type="dataBar" id="{D7974B54-F319-4A22-AADD-9CD939A0E2CF}">
            <x14:dataBar minLength="0" maxLength="100" border="1" gradient="0">
              <x14:cfvo type="num">
                <xm:f>0</xm:f>
              </x14:cfvo>
              <x14:cfvo type="num">
                <xm:f>1</xm:f>
              </x14:cfvo>
              <x14:borderColor theme="0"/>
              <x14:negativeFillColor rgb="FFFF0000"/>
              <x14:axisColor rgb="FF000000"/>
            </x14:dataBar>
          </x14:cfRule>
          <xm:sqref>N745</xm:sqref>
        </x14:conditionalFormatting>
        <x14:conditionalFormatting xmlns:xm="http://schemas.microsoft.com/office/excel/2006/main">
          <x14:cfRule type="dataBar" id="{F464667C-D5F4-413D-8669-5A30627BCE90}">
            <x14:dataBar minLength="0" maxLength="100" border="1" gradient="0">
              <x14:cfvo type="num">
                <xm:f>0</xm:f>
              </x14:cfvo>
              <x14:cfvo type="num">
                <xm:f>1</xm:f>
              </x14:cfvo>
              <x14:borderColor theme="0"/>
              <x14:negativeFillColor rgb="FFFF0000"/>
              <x14:axisColor rgb="FF000000"/>
            </x14:dataBar>
          </x14:cfRule>
          <xm:sqref>N747</xm:sqref>
        </x14:conditionalFormatting>
        <x14:conditionalFormatting xmlns:xm="http://schemas.microsoft.com/office/excel/2006/main">
          <x14:cfRule type="dataBar" id="{8BE63587-BBE8-42AA-9DC3-C5A5D57177E6}">
            <x14:dataBar minLength="0" maxLength="100" border="1" gradient="0">
              <x14:cfvo type="num">
                <xm:f>0</xm:f>
              </x14:cfvo>
              <x14:cfvo type="num">
                <xm:f>1</xm:f>
              </x14:cfvo>
              <x14:borderColor theme="0"/>
              <x14:negativeFillColor rgb="FFFF0000"/>
              <x14:axisColor rgb="FF000000"/>
            </x14:dataBar>
          </x14:cfRule>
          <xm:sqref>N749</xm:sqref>
        </x14:conditionalFormatting>
        <x14:conditionalFormatting xmlns:xm="http://schemas.microsoft.com/office/excel/2006/main">
          <x14:cfRule type="dataBar" id="{74444699-7BB5-47A1-AC95-3AAB45479480}">
            <x14:dataBar minLength="0" maxLength="100" border="1" gradient="0">
              <x14:cfvo type="num">
                <xm:f>0</xm:f>
              </x14:cfvo>
              <x14:cfvo type="num">
                <xm:f>1</xm:f>
              </x14:cfvo>
              <x14:borderColor theme="0"/>
              <x14:negativeFillColor rgb="FFFF0000"/>
              <x14:axisColor rgb="FF000000"/>
            </x14:dataBar>
          </x14:cfRule>
          <xm:sqref>N751</xm:sqref>
        </x14:conditionalFormatting>
        <x14:conditionalFormatting xmlns:xm="http://schemas.microsoft.com/office/excel/2006/main">
          <x14:cfRule type="dataBar" id="{C9750581-9259-4C36-A280-42A3DBABFE61}">
            <x14:dataBar minLength="0" maxLength="100" border="1" gradient="0">
              <x14:cfvo type="num">
                <xm:f>0</xm:f>
              </x14:cfvo>
              <x14:cfvo type="num">
                <xm:f>1</xm:f>
              </x14:cfvo>
              <x14:borderColor theme="0"/>
              <x14:negativeFillColor rgb="FFFF0000"/>
              <x14:axisColor rgb="FF000000"/>
            </x14:dataBar>
          </x14:cfRule>
          <xm:sqref>N753</xm:sqref>
        </x14:conditionalFormatting>
        <x14:conditionalFormatting xmlns:xm="http://schemas.microsoft.com/office/excel/2006/main">
          <x14:cfRule type="dataBar" id="{1352A6BB-94D3-4C99-BFDC-7233A7DE7DE6}">
            <x14:dataBar minLength="0" maxLength="100" border="1" gradient="0">
              <x14:cfvo type="num">
                <xm:f>0</xm:f>
              </x14:cfvo>
              <x14:cfvo type="num">
                <xm:f>1</xm:f>
              </x14:cfvo>
              <x14:borderColor theme="0"/>
              <x14:negativeFillColor rgb="FFFF0000"/>
              <x14:axisColor rgb="FF000000"/>
            </x14:dataBar>
          </x14:cfRule>
          <xm:sqref>N755</xm:sqref>
        </x14:conditionalFormatting>
        <x14:conditionalFormatting xmlns:xm="http://schemas.microsoft.com/office/excel/2006/main">
          <x14:cfRule type="dataBar" id="{08C77C65-D074-4DBF-9EB0-4273C00FDE3E}">
            <x14:dataBar minLength="0" maxLength="100" border="1" gradient="0">
              <x14:cfvo type="num">
                <xm:f>0</xm:f>
              </x14:cfvo>
              <x14:cfvo type="num">
                <xm:f>1</xm:f>
              </x14:cfvo>
              <x14:borderColor theme="0"/>
              <x14:negativeFillColor rgb="FFFF0000"/>
              <x14:axisColor rgb="FF000000"/>
            </x14:dataBar>
          </x14:cfRule>
          <xm:sqref>N757</xm:sqref>
        </x14:conditionalFormatting>
        <x14:conditionalFormatting xmlns:xm="http://schemas.microsoft.com/office/excel/2006/main">
          <x14:cfRule type="dataBar" id="{3EBAB90F-C93F-435E-9AF8-14BD95674437}">
            <x14:dataBar minLength="0" maxLength="100" border="1" gradient="0">
              <x14:cfvo type="num">
                <xm:f>0</xm:f>
              </x14:cfvo>
              <x14:cfvo type="num">
                <xm:f>1</xm:f>
              </x14:cfvo>
              <x14:borderColor theme="0"/>
              <x14:negativeFillColor rgb="FFFF0000"/>
              <x14:axisColor rgb="FF000000"/>
            </x14:dataBar>
          </x14:cfRule>
          <xm:sqref>N761</xm:sqref>
        </x14:conditionalFormatting>
        <x14:conditionalFormatting xmlns:xm="http://schemas.microsoft.com/office/excel/2006/main">
          <x14:cfRule type="dataBar" id="{14335CAA-4950-43A7-8298-116D0D885CC0}">
            <x14:dataBar minLength="0" maxLength="100" border="1" gradient="0">
              <x14:cfvo type="num">
                <xm:f>0</xm:f>
              </x14:cfvo>
              <x14:cfvo type="num">
                <xm:f>1</xm:f>
              </x14:cfvo>
              <x14:borderColor theme="0"/>
              <x14:negativeFillColor rgb="FFFF0000"/>
              <x14:axisColor rgb="FF000000"/>
            </x14:dataBar>
          </x14:cfRule>
          <xm:sqref>N763</xm:sqref>
        </x14:conditionalFormatting>
        <x14:conditionalFormatting xmlns:xm="http://schemas.microsoft.com/office/excel/2006/main">
          <x14:cfRule type="dataBar" id="{7188AC5D-DFD0-497B-BEDB-AE5424670626}">
            <x14:dataBar minLength="0" maxLength="100" border="1" gradient="0">
              <x14:cfvo type="num">
                <xm:f>0</xm:f>
              </x14:cfvo>
              <x14:cfvo type="num">
                <xm:f>1</xm:f>
              </x14:cfvo>
              <x14:borderColor theme="0"/>
              <x14:negativeFillColor rgb="FFFF0000"/>
              <x14:axisColor rgb="FF000000"/>
            </x14:dataBar>
          </x14:cfRule>
          <xm:sqref>N765</xm:sqref>
        </x14:conditionalFormatting>
        <x14:conditionalFormatting xmlns:xm="http://schemas.microsoft.com/office/excel/2006/main">
          <x14:cfRule type="dataBar" id="{1DDD17D9-860C-4B55-8148-35E16D7F2C30}">
            <x14:dataBar minLength="0" maxLength="100" border="1" gradient="0">
              <x14:cfvo type="num">
                <xm:f>0</xm:f>
              </x14:cfvo>
              <x14:cfvo type="num">
                <xm:f>1</xm:f>
              </x14:cfvo>
              <x14:borderColor theme="0"/>
              <x14:negativeFillColor rgb="FFFF0000"/>
              <x14:axisColor rgb="FF000000"/>
            </x14:dataBar>
          </x14:cfRule>
          <xm:sqref>N767</xm:sqref>
        </x14:conditionalFormatting>
        <x14:conditionalFormatting xmlns:xm="http://schemas.microsoft.com/office/excel/2006/main">
          <x14:cfRule type="dataBar" id="{E37E4E03-D24E-4BE2-9B38-B9BFEA424005}">
            <x14:dataBar minLength="0" maxLength="100" border="1" gradient="0">
              <x14:cfvo type="num">
                <xm:f>0</xm:f>
              </x14:cfvo>
              <x14:cfvo type="num">
                <xm:f>1</xm:f>
              </x14:cfvo>
              <x14:borderColor theme="0"/>
              <x14:negativeFillColor rgb="FFFF0000"/>
              <x14:axisColor rgb="FF000000"/>
            </x14:dataBar>
          </x14:cfRule>
          <xm:sqref>N769</xm:sqref>
        </x14:conditionalFormatting>
        <x14:conditionalFormatting xmlns:xm="http://schemas.microsoft.com/office/excel/2006/main">
          <x14:cfRule type="dataBar" id="{6D0CA299-27B5-4809-B50C-2762253C3F2B}">
            <x14:dataBar minLength="0" maxLength="100" border="1" gradient="0">
              <x14:cfvo type="num">
                <xm:f>0</xm:f>
              </x14:cfvo>
              <x14:cfvo type="num">
                <xm:f>1</xm:f>
              </x14:cfvo>
              <x14:borderColor theme="0"/>
              <x14:negativeFillColor rgb="FFFF0000"/>
              <x14:axisColor rgb="FF000000"/>
            </x14:dataBar>
          </x14:cfRule>
          <xm:sqref>N771</xm:sqref>
        </x14:conditionalFormatting>
        <x14:conditionalFormatting xmlns:xm="http://schemas.microsoft.com/office/excel/2006/main">
          <x14:cfRule type="dataBar" id="{C81B31A5-F30F-4232-8C73-5EF7262B7E5F}">
            <x14:dataBar minLength="0" maxLength="100" border="1" gradient="0">
              <x14:cfvo type="num">
                <xm:f>0</xm:f>
              </x14:cfvo>
              <x14:cfvo type="num">
                <xm:f>1</xm:f>
              </x14:cfvo>
              <x14:borderColor theme="0"/>
              <x14:negativeFillColor rgb="FFFF0000"/>
              <x14:axisColor rgb="FF000000"/>
            </x14:dataBar>
          </x14:cfRule>
          <xm:sqref>N773</xm:sqref>
        </x14:conditionalFormatting>
        <x14:conditionalFormatting xmlns:xm="http://schemas.microsoft.com/office/excel/2006/main">
          <x14:cfRule type="dataBar" id="{A6D2BDD1-02DC-4333-B903-01EEDB9C7193}">
            <x14:dataBar minLength="0" maxLength="100" border="1" gradient="0">
              <x14:cfvo type="num">
                <xm:f>0</xm:f>
              </x14:cfvo>
              <x14:cfvo type="num">
                <xm:f>1</xm:f>
              </x14:cfvo>
              <x14:borderColor theme="0"/>
              <x14:negativeFillColor rgb="FFFF0000"/>
              <x14:axisColor rgb="FF000000"/>
            </x14:dataBar>
          </x14:cfRule>
          <xm:sqref>N775</xm:sqref>
        </x14:conditionalFormatting>
        <x14:conditionalFormatting xmlns:xm="http://schemas.microsoft.com/office/excel/2006/main">
          <x14:cfRule type="dataBar" id="{CCB76BA8-A890-4375-9988-16BCBB40830D}">
            <x14:dataBar minLength="0" maxLength="100" border="1" gradient="0">
              <x14:cfvo type="num">
                <xm:f>0</xm:f>
              </x14:cfvo>
              <x14:cfvo type="num">
                <xm:f>1</xm:f>
              </x14:cfvo>
              <x14:borderColor theme="0"/>
              <x14:negativeFillColor rgb="FFFF0000"/>
              <x14:axisColor rgb="FF000000"/>
            </x14:dataBar>
          </x14:cfRule>
          <xm:sqref>N777</xm:sqref>
        </x14:conditionalFormatting>
        <x14:conditionalFormatting xmlns:xm="http://schemas.microsoft.com/office/excel/2006/main">
          <x14:cfRule type="dataBar" id="{B939C8EB-A341-45A7-AFA6-890A902F3BF2}">
            <x14:dataBar minLength="0" maxLength="100" border="1" gradient="0">
              <x14:cfvo type="num">
                <xm:f>0</xm:f>
              </x14:cfvo>
              <x14:cfvo type="num">
                <xm:f>1</xm:f>
              </x14:cfvo>
              <x14:borderColor theme="0"/>
              <x14:negativeFillColor rgb="FFFF0000"/>
              <x14:axisColor rgb="FF000000"/>
            </x14:dataBar>
          </x14:cfRule>
          <xm:sqref>N781</xm:sqref>
        </x14:conditionalFormatting>
        <x14:conditionalFormatting xmlns:xm="http://schemas.microsoft.com/office/excel/2006/main">
          <x14:cfRule type="dataBar" id="{41CBF40B-4F05-4137-9787-B4FEDCDB2311}">
            <x14:dataBar minLength="0" maxLength="100" border="1" gradient="0">
              <x14:cfvo type="num">
                <xm:f>0</xm:f>
              </x14:cfvo>
              <x14:cfvo type="num">
                <xm:f>1</xm:f>
              </x14:cfvo>
              <x14:borderColor theme="0"/>
              <x14:negativeFillColor rgb="FFFF0000"/>
              <x14:axisColor rgb="FF000000"/>
            </x14:dataBar>
          </x14:cfRule>
          <xm:sqref>N783</xm:sqref>
        </x14:conditionalFormatting>
        <x14:conditionalFormatting xmlns:xm="http://schemas.microsoft.com/office/excel/2006/main">
          <x14:cfRule type="dataBar" id="{2AFA3768-A2C0-4CFA-A596-198BEACD9AFE}">
            <x14:dataBar minLength="0" maxLength="100" border="1" gradient="0">
              <x14:cfvo type="num">
                <xm:f>0</xm:f>
              </x14:cfvo>
              <x14:cfvo type="num">
                <xm:f>1</xm:f>
              </x14:cfvo>
              <x14:borderColor theme="0"/>
              <x14:negativeFillColor rgb="FFFF0000"/>
              <x14:axisColor rgb="FF000000"/>
            </x14:dataBar>
          </x14:cfRule>
          <xm:sqref>N785</xm:sqref>
        </x14:conditionalFormatting>
        <x14:conditionalFormatting xmlns:xm="http://schemas.microsoft.com/office/excel/2006/main">
          <x14:cfRule type="dataBar" id="{2EB28BD4-8D8D-4B00-BC2A-BB5A52FACB9D}">
            <x14:dataBar minLength="0" maxLength="100" border="1" gradient="0">
              <x14:cfvo type="num">
                <xm:f>0</xm:f>
              </x14:cfvo>
              <x14:cfvo type="num">
                <xm:f>1</xm:f>
              </x14:cfvo>
              <x14:borderColor theme="0"/>
              <x14:negativeFillColor rgb="FFFF0000"/>
              <x14:axisColor rgb="FF000000"/>
            </x14:dataBar>
          </x14:cfRule>
          <xm:sqref>N787</xm:sqref>
        </x14:conditionalFormatting>
        <x14:conditionalFormatting xmlns:xm="http://schemas.microsoft.com/office/excel/2006/main">
          <x14:cfRule type="dataBar" id="{641A1954-4F01-4398-A76D-2F8552501F25}">
            <x14:dataBar minLength="0" maxLength="100" border="1" gradient="0">
              <x14:cfvo type="num">
                <xm:f>0</xm:f>
              </x14:cfvo>
              <x14:cfvo type="num">
                <xm:f>1</xm:f>
              </x14:cfvo>
              <x14:borderColor theme="0"/>
              <x14:negativeFillColor rgb="FFFF0000"/>
              <x14:axisColor rgb="FF000000"/>
            </x14:dataBar>
          </x14:cfRule>
          <xm:sqref>N789</xm:sqref>
        </x14:conditionalFormatting>
        <x14:conditionalFormatting xmlns:xm="http://schemas.microsoft.com/office/excel/2006/main">
          <x14:cfRule type="dataBar" id="{4FE08BB9-36B3-4ECD-B96A-B6FF25DF151F}">
            <x14:dataBar minLength="0" maxLength="100" border="1" gradient="0">
              <x14:cfvo type="num">
                <xm:f>0</xm:f>
              </x14:cfvo>
              <x14:cfvo type="num">
                <xm:f>1</xm:f>
              </x14:cfvo>
              <x14:borderColor theme="0"/>
              <x14:negativeFillColor rgb="FFFF0000"/>
              <x14:axisColor rgb="FF000000"/>
            </x14:dataBar>
          </x14:cfRule>
          <xm:sqref>N791</xm:sqref>
        </x14:conditionalFormatting>
        <x14:conditionalFormatting xmlns:xm="http://schemas.microsoft.com/office/excel/2006/main">
          <x14:cfRule type="dataBar" id="{F5CA6275-EADC-4256-B66A-744F77C15BA7}">
            <x14:dataBar minLength="0" maxLength="100" border="1" gradient="0">
              <x14:cfvo type="num">
                <xm:f>0</xm:f>
              </x14:cfvo>
              <x14:cfvo type="num">
                <xm:f>1</xm:f>
              </x14:cfvo>
              <x14:borderColor theme="0"/>
              <x14:negativeFillColor rgb="FFFF0000"/>
              <x14:axisColor rgb="FF000000"/>
            </x14:dataBar>
          </x14:cfRule>
          <xm:sqref>N793</xm:sqref>
        </x14:conditionalFormatting>
        <x14:conditionalFormatting xmlns:xm="http://schemas.microsoft.com/office/excel/2006/main">
          <x14:cfRule type="dataBar" id="{A5748755-1AA0-4BD1-952B-818259E46F7F}">
            <x14:dataBar minLength="0" maxLength="100" border="1" gradient="0">
              <x14:cfvo type="num">
                <xm:f>0</xm:f>
              </x14:cfvo>
              <x14:cfvo type="num">
                <xm:f>1</xm:f>
              </x14:cfvo>
              <x14:borderColor theme="0"/>
              <x14:negativeFillColor rgb="FFFF0000"/>
              <x14:axisColor rgb="FF000000"/>
            </x14:dataBar>
          </x14:cfRule>
          <xm:sqref>N795</xm:sqref>
        </x14:conditionalFormatting>
        <x14:conditionalFormatting xmlns:xm="http://schemas.microsoft.com/office/excel/2006/main">
          <x14:cfRule type="dataBar" id="{2D18FE81-4EE5-45AA-BBB7-3FACE8EA72CF}">
            <x14:dataBar minLength="0" maxLength="100" border="1" gradient="0">
              <x14:cfvo type="num">
                <xm:f>0</xm:f>
              </x14:cfvo>
              <x14:cfvo type="num">
                <xm:f>1</xm:f>
              </x14:cfvo>
              <x14:borderColor theme="0"/>
              <x14:negativeFillColor rgb="FFFF0000"/>
              <x14:axisColor rgb="FF000000"/>
            </x14:dataBar>
          </x14:cfRule>
          <xm:sqref>N797</xm:sqref>
        </x14:conditionalFormatting>
        <x14:conditionalFormatting xmlns:xm="http://schemas.microsoft.com/office/excel/2006/main">
          <x14:cfRule type="dataBar" id="{545DAD48-3C53-417C-B368-30AACF4F6692}">
            <x14:dataBar minLength="0" maxLength="100" border="1" gradient="0">
              <x14:cfvo type="num">
                <xm:f>0</xm:f>
              </x14:cfvo>
              <x14:cfvo type="num">
                <xm:f>1</xm:f>
              </x14:cfvo>
              <x14:borderColor theme="0"/>
              <x14:negativeFillColor rgb="FFFF0000"/>
              <x14:axisColor rgb="FF000000"/>
            </x14:dataBar>
          </x14:cfRule>
          <xm:sqref>N799</xm:sqref>
        </x14:conditionalFormatting>
        <x14:conditionalFormatting xmlns:xm="http://schemas.microsoft.com/office/excel/2006/main">
          <x14:cfRule type="dataBar" id="{1F7C6BD9-F005-4834-9044-D00DA7778723}">
            <x14:dataBar minLength="0" maxLength="100" border="1" gradient="0">
              <x14:cfvo type="num">
                <xm:f>0</xm:f>
              </x14:cfvo>
              <x14:cfvo type="num">
                <xm:f>1</xm:f>
              </x14:cfvo>
              <x14:borderColor theme="0"/>
              <x14:negativeFillColor rgb="FFFF0000"/>
              <x14:axisColor rgb="FF000000"/>
            </x14:dataBar>
          </x14:cfRule>
          <xm:sqref>N801</xm:sqref>
        </x14:conditionalFormatting>
        <x14:conditionalFormatting xmlns:xm="http://schemas.microsoft.com/office/excel/2006/main">
          <x14:cfRule type="dataBar" id="{013D387F-D8D6-4FDA-8BBA-ED4383DEBFB1}">
            <x14:dataBar minLength="0" maxLength="100" border="1" gradient="0">
              <x14:cfvo type="num">
                <xm:f>0</xm:f>
              </x14:cfvo>
              <x14:cfvo type="num">
                <xm:f>1</xm:f>
              </x14:cfvo>
              <x14:borderColor theme="0"/>
              <x14:negativeFillColor rgb="FFFF0000"/>
              <x14:axisColor rgb="FF000000"/>
            </x14:dataBar>
          </x14:cfRule>
          <xm:sqref>N803</xm:sqref>
        </x14:conditionalFormatting>
        <x14:conditionalFormatting xmlns:xm="http://schemas.microsoft.com/office/excel/2006/main">
          <x14:cfRule type="dataBar" id="{DE0E7D52-DAE7-4129-AEF8-8AB4F7A2B2AA}">
            <x14:dataBar minLength="0" maxLength="100" border="1" gradient="0">
              <x14:cfvo type="num">
                <xm:f>0</xm:f>
              </x14:cfvo>
              <x14:cfvo type="num">
                <xm:f>1</xm:f>
              </x14:cfvo>
              <x14:borderColor theme="0"/>
              <x14:negativeFillColor rgb="FFFF0000"/>
              <x14:axisColor rgb="FF000000"/>
            </x14:dataBar>
          </x14:cfRule>
          <xm:sqref>N805</xm:sqref>
        </x14:conditionalFormatting>
        <x14:conditionalFormatting xmlns:xm="http://schemas.microsoft.com/office/excel/2006/main">
          <x14:cfRule type="dataBar" id="{BB0A20FE-D57C-4B5B-B7D9-8DDFCBAECA79}">
            <x14:dataBar minLength="0" maxLength="100" border="1" gradient="0">
              <x14:cfvo type="num">
                <xm:f>0</xm:f>
              </x14:cfvo>
              <x14:cfvo type="num">
                <xm:f>1</xm:f>
              </x14:cfvo>
              <x14:borderColor theme="0"/>
              <x14:negativeFillColor rgb="FFFF0000"/>
              <x14:axisColor rgb="FF000000"/>
            </x14:dataBar>
          </x14:cfRule>
          <xm:sqref>N807</xm:sqref>
        </x14:conditionalFormatting>
        <x14:conditionalFormatting xmlns:xm="http://schemas.microsoft.com/office/excel/2006/main">
          <x14:cfRule type="dataBar" id="{F5AD0521-5D3D-47A8-8D99-1AF50E24FE64}">
            <x14:dataBar minLength="0" maxLength="100" border="1" gradient="0">
              <x14:cfvo type="num">
                <xm:f>0</xm:f>
              </x14:cfvo>
              <x14:cfvo type="num">
                <xm:f>1</xm:f>
              </x14:cfvo>
              <x14:borderColor theme="0"/>
              <x14:negativeFillColor rgb="FFFF0000"/>
              <x14:axisColor rgb="FF000000"/>
            </x14:dataBar>
          </x14:cfRule>
          <xm:sqref>N809</xm:sqref>
        </x14:conditionalFormatting>
        <x14:conditionalFormatting xmlns:xm="http://schemas.microsoft.com/office/excel/2006/main">
          <x14:cfRule type="dataBar" id="{99CB606D-BB98-4D92-AEAC-DBF03A871CC7}">
            <x14:dataBar minLength="0" maxLength="100" border="1" gradient="0">
              <x14:cfvo type="num">
                <xm:f>0</xm:f>
              </x14:cfvo>
              <x14:cfvo type="num">
                <xm:f>1</xm:f>
              </x14:cfvo>
              <x14:borderColor theme="0"/>
              <x14:negativeFillColor rgb="FFFF0000"/>
              <x14:axisColor rgb="FF000000"/>
            </x14:dataBar>
          </x14:cfRule>
          <xm:sqref>N811</xm:sqref>
        </x14:conditionalFormatting>
        <x14:conditionalFormatting xmlns:xm="http://schemas.microsoft.com/office/excel/2006/main">
          <x14:cfRule type="dataBar" id="{DF68604E-CFD1-4553-9564-53E4BC51E025}">
            <x14:dataBar minLength="0" maxLength="100" border="1" gradient="0">
              <x14:cfvo type="num">
                <xm:f>0</xm:f>
              </x14:cfvo>
              <x14:cfvo type="num">
                <xm:f>1</xm:f>
              </x14:cfvo>
              <x14:borderColor theme="0"/>
              <x14:negativeFillColor rgb="FFFF0000"/>
              <x14:axisColor rgb="FF000000"/>
            </x14:dataBar>
          </x14:cfRule>
          <xm:sqref>N813</xm:sqref>
        </x14:conditionalFormatting>
        <x14:conditionalFormatting xmlns:xm="http://schemas.microsoft.com/office/excel/2006/main">
          <x14:cfRule type="dataBar" id="{94D6B7EB-2464-429E-9442-EF17828D79BF}">
            <x14:dataBar minLength="0" maxLength="100" border="1" gradient="0">
              <x14:cfvo type="num">
                <xm:f>0</xm:f>
              </x14:cfvo>
              <x14:cfvo type="num">
                <xm:f>1</xm:f>
              </x14:cfvo>
              <x14:borderColor theme="0"/>
              <x14:negativeFillColor rgb="FFFF0000"/>
              <x14:axisColor rgb="FF000000"/>
            </x14:dataBar>
          </x14:cfRule>
          <xm:sqref>N815</xm:sqref>
        </x14:conditionalFormatting>
        <x14:conditionalFormatting xmlns:xm="http://schemas.microsoft.com/office/excel/2006/main">
          <x14:cfRule type="dataBar" id="{3755B568-3694-493C-8200-9CB6B4272E8E}">
            <x14:dataBar minLength="0" maxLength="100" border="1" gradient="0">
              <x14:cfvo type="num">
                <xm:f>0</xm:f>
              </x14:cfvo>
              <x14:cfvo type="num">
                <xm:f>1</xm:f>
              </x14:cfvo>
              <x14:borderColor theme="0"/>
              <x14:negativeFillColor rgb="FFFF0000"/>
              <x14:axisColor rgb="FF000000"/>
            </x14:dataBar>
          </x14:cfRule>
          <xm:sqref>N817</xm:sqref>
        </x14:conditionalFormatting>
        <x14:conditionalFormatting xmlns:xm="http://schemas.microsoft.com/office/excel/2006/main">
          <x14:cfRule type="dataBar" id="{4A07E69C-4C22-4D6A-AB37-54CE59BE281B}">
            <x14:dataBar minLength="0" maxLength="100" border="1" gradient="0">
              <x14:cfvo type="num">
                <xm:f>0</xm:f>
              </x14:cfvo>
              <x14:cfvo type="num">
                <xm:f>1</xm:f>
              </x14:cfvo>
              <x14:borderColor theme="0"/>
              <x14:negativeFillColor rgb="FFFF0000"/>
              <x14:axisColor rgb="FF000000"/>
            </x14:dataBar>
          </x14:cfRule>
          <xm:sqref>N819</xm:sqref>
        </x14:conditionalFormatting>
        <x14:conditionalFormatting xmlns:xm="http://schemas.microsoft.com/office/excel/2006/main">
          <x14:cfRule type="dataBar" id="{A76121E2-6776-42A3-B5C4-DF3B320741BA}">
            <x14:dataBar minLength="0" maxLength="100" border="1" gradient="0">
              <x14:cfvo type="num">
                <xm:f>0</xm:f>
              </x14:cfvo>
              <x14:cfvo type="num">
                <xm:f>1</xm:f>
              </x14:cfvo>
              <x14:borderColor theme="0"/>
              <x14:negativeFillColor rgb="FFFF0000"/>
              <x14:axisColor rgb="FF000000"/>
            </x14:dataBar>
          </x14:cfRule>
          <xm:sqref>N821</xm:sqref>
        </x14:conditionalFormatting>
        <x14:conditionalFormatting xmlns:xm="http://schemas.microsoft.com/office/excel/2006/main">
          <x14:cfRule type="dataBar" id="{2720C79F-3F8D-46D4-94B3-B42A38421AA5}">
            <x14:dataBar minLength="0" maxLength="100" border="1" gradient="0">
              <x14:cfvo type="num">
                <xm:f>0</xm:f>
              </x14:cfvo>
              <x14:cfvo type="num">
                <xm:f>1</xm:f>
              </x14:cfvo>
              <x14:borderColor theme="0"/>
              <x14:negativeFillColor rgb="FFFF0000"/>
              <x14:axisColor rgb="FF000000"/>
            </x14:dataBar>
          </x14:cfRule>
          <xm:sqref>N823</xm:sqref>
        </x14:conditionalFormatting>
        <x14:conditionalFormatting xmlns:xm="http://schemas.microsoft.com/office/excel/2006/main">
          <x14:cfRule type="dataBar" id="{553E5624-E418-4ED3-8A39-6F25387FF419}">
            <x14:dataBar minLength="0" maxLength="100" border="1" gradient="0">
              <x14:cfvo type="num">
                <xm:f>0</xm:f>
              </x14:cfvo>
              <x14:cfvo type="num">
                <xm:f>1</xm:f>
              </x14:cfvo>
              <x14:borderColor theme="0"/>
              <x14:negativeFillColor rgb="FFFF0000"/>
              <x14:axisColor rgb="FF000000"/>
            </x14:dataBar>
          </x14:cfRule>
          <xm:sqref>N825</xm:sqref>
        </x14:conditionalFormatting>
        <x14:conditionalFormatting xmlns:xm="http://schemas.microsoft.com/office/excel/2006/main">
          <x14:cfRule type="dataBar" id="{42862F68-25B2-42F6-A654-6EF0991531D3}">
            <x14:dataBar minLength="0" maxLength="100" border="1" gradient="0">
              <x14:cfvo type="num">
                <xm:f>0</xm:f>
              </x14:cfvo>
              <x14:cfvo type="num">
                <xm:f>1</xm:f>
              </x14:cfvo>
              <x14:borderColor theme="0"/>
              <x14:negativeFillColor rgb="FFFF0000"/>
              <x14:axisColor rgb="FF000000"/>
            </x14:dataBar>
          </x14:cfRule>
          <xm:sqref>N827</xm:sqref>
        </x14:conditionalFormatting>
        <x14:conditionalFormatting xmlns:xm="http://schemas.microsoft.com/office/excel/2006/main">
          <x14:cfRule type="dataBar" id="{7CEF242C-AAC8-4E17-A372-E537F555CBAB}">
            <x14:dataBar minLength="0" maxLength="100" border="1" gradient="0">
              <x14:cfvo type="num">
                <xm:f>0</xm:f>
              </x14:cfvo>
              <x14:cfvo type="num">
                <xm:f>1</xm:f>
              </x14:cfvo>
              <x14:borderColor theme="0"/>
              <x14:negativeFillColor rgb="FFFF0000"/>
              <x14:axisColor rgb="FF000000"/>
            </x14:dataBar>
          </x14:cfRule>
          <xm:sqref>N829</xm:sqref>
        </x14:conditionalFormatting>
        <x14:conditionalFormatting xmlns:xm="http://schemas.microsoft.com/office/excel/2006/main">
          <x14:cfRule type="dataBar" id="{B3335661-84CB-42ED-BF00-2A0299ABA7B6}">
            <x14:dataBar minLength="0" maxLength="100" border="1" gradient="0">
              <x14:cfvo type="num">
                <xm:f>0</xm:f>
              </x14:cfvo>
              <x14:cfvo type="num">
                <xm:f>1</xm:f>
              </x14:cfvo>
              <x14:borderColor theme="0"/>
              <x14:negativeFillColor rgb="FFFF0000"/>
              <x14:axisColor rgb="FF000000"/>
            </x14:dataBar>
          </x14:cfRule>
          <xm:sqref>N831</xm:sqref>
        </x14:conditionalFormatting>
        <x14:conditionalFormatting xmlns:xm="http://schemas.microsoft.com/office/excel/2006/main">
          <x14:cfRule type="dataBar" id="{5E1833C1-347D-46EA-9E92-58D8110E5882}">
            <x14:dataBar minLength="0" maxLength="100" border="1" gradient="0">
              <x14:cfvo type="num">
                <xm:f>0</xm:f>
              </x14:cfvo>
              <x14:cfvo type="num">
                <xm:f>1</xm:f>
              </x14:cfvo>
              <x14:borderColor theme="0"/>
              <x14:negativeFillColor rgb="FFFF0000"/>
              <x14:axisColor rgb="FF000000"/>
            </x14:dataBar>
          </x14:cfRule>
          <xm:sqref>N833</xm:sqref>
        </x14:conditionalFormatting>
        <x14:conditionalFormatting xmlns:xm="http://schemas.microsoft.com/office/excel/2006/main">
          <x14:cfRule type="dataBar" id="{4EE22FC7-0F56-45BE-8CDC-45E9CD64A7AE}">
            <x14:dataBar minLength="0" maxLength="100" border="1" gradient="0">
              <x14:cfvo type="num">
                <xm:f>0</xm:f>
              </x14:cfvo>
              <x14:cfvo type="num">
                <xm:f>1</xm:f>
              </x14:cfvo>
              <x14:borderColor theme="0"/>
              <x14:negativeFillColor rgb="FFFF0000"/>
              <x14:axisColor rgb="FF000000"/>
            </x14:dataBar>
          </x14:cfRule>
          <xm:sqref>N835</xm:sqref>
        </x14:conditionalFormatting>
        <x14:conditionalFormatting xmlns:xm="http://schemas.microsoft.com/office/excel/2006/main">
          <x14:cfRule type="dataBar" id="{01FB09C7-412D-448E-8F0E-27FE7B185F84}">
            <x14:dataBar minLength="0" maxLength="100" border="1" gradient="0">
              <x14:cfvo type="num">
                <xm:f>0</xm:f>
              </x14:cfvo>
              <x14:cfvo type="num">
                <xm:f>1</xm:f>
              </x14:cfvo>
              <x14:borderColor theme="0"/>
              <x14:negativeFillColor rgb="FFFF0000"/>
              <x14:axisColor rgb="FF000000"/>
            </x14:dataBar>
          </x14:cfRule>
          <xm:sqref>N837</xm:sqref>
        </x14:conditionalFormatting>
        <x14:conditionalFormatting xmlns:xm="http://schemas.microsoft.com/office/excel/2006/main">
          <x14:cfRule type="dataBar" id="{C7E7D3C0-C467-4269-83CD-00C996BA53FD}">
            <x14:dataBar minLength="0" maxLength="100" border="1" gradient="0">
              <x14:cfvo type="num">
                <xm:f>0</xm:f>
              </x14:cfvo>
              <x14:cfvo type="num">
                <xm:f>1</xm:f>
              </x14:cfvo>
              <x14:borderColor theme="0"/>
              <x14:negativeFillColor rgb="FFFF0000"/>
              <x14:axisColor rgb="FF000000"/>
            </x14:dataBar>
          </x14:cfRule>
          <xm:sqref>N839</xm:sqref>
        </x14:conditionalFormatting>
        <x14:conditionalFormatting xmlns:xm="http://schemas.microsoft.com/office/excel/2006/main">
          <x14:cfRule type="dataBar" id="{35A3D1AC-9399-4735-BA88-8DBC68C958A1}">
            <x14:dataBar minLength="0" maxLength="100" border="1" gradient="0">
              <x14:cfvo type="num">
                <xm:f>0</xm:f>
              </x14:cfvo>
              <x14:cfvo type="num">
                <xm:f>1</xm:f>
              </x14:cfvo>
              <x14:borderColor theme="0"/>
              <x14:negativeFillColor rgb="FFFF0000"/>
              <x14:axisColor rgb="FF000000"/>
            </x14:dataBar>
          </x14:cfRule>
          <xm:sqref>N841</xm:sqref>
        </x14:conditionalFormatting>
        <x14:conditionalFormatting xmlns:xm="http://schemas.microsoft.com/office/excel/2006/main">
          <x14:cfRule type="dataBar" id="{DA77AE17-9692-4400-B665-94765CF348AB}">
            <x14:dataBar minLength="0" maxLength="100" border="1" gradient="0">
              <x14:cfvo type="num">
                <xm:f>0</xm:f>
              </x14:cfvo>
              <x14:cfvo type="num">
                <xm:f>1</xm:f>
              </x14:cfvo>
              <x14:borderColor theme="0"/>
              <x14:negativeFillColor rgb="FFFF0000"/>
              <x14:axisColor rgb="FF000000"/>
            </x14:dataBar>
          </x14:cfRule>
          <xm:sqref>N843</xm:sqref>
        </x14:conditionalFormatting>
        <x14:conditionalFormatting xmlns:xm="http://schemas.microsoft.com/office/excel/2006/main">
          <x14:cfRule type="dataBar" id="{CA213BA1-7E95-4A0A-8595-961A25679F7D}">
            <x14:dataBar minLength="0" maxLength="100" border="1" gradient="0">
              <x14:cfvo type="num">
                <xm:f>0</xm:f>
              </x14:cfvo>
              <x14:cfvo type="num">
                <xm:f>1</xm:f>
              </x14:cfvo>
              <x14:borderColor theme="0"/>
              <x14:negativeFillColor rgb="FFFF0000"/>
              <x14:axisColor rgb="FF000000"/>
            </x14:dataBar>
          </x14:cfRule>
          <xm:sqref>N845</xm:sqref>
        </x14:conditionalFormatting>
        <x14:conditionalFormatting xmlns:xm="http://schemas.microsoft.com/office/excel/2006/main">
          <x14:cfRule type="dataBar" id="{E643B2B8-BD20-4B54-A302-71B069734106}">
            <x14:dataBar minLength="0" maxLength="100" border="1" gradient="0">
              <x14:cfvo type="num">
                <xm:f>0</xm:f>
              </x14:cfvo>
              <x14:cfvo type="num">
                <xm:f>1</xm:f>
              </x14:cfvo>
              <x14:borderColor theme="0"/>
              <x14:negativeFillColor rgb="FFFF0000"/>
              <x14:axisColor rgb="FF000000"/>
            </x14:dataBar>
          </x14:cfRule>
          <xm:sqref>N848</xm:sqref>
        </x14:conditionalFormatting>
        <x14:conditionalFormatting xmlns:xm="http://schemas.microsoft.com/office/excel/2006/main">
          <x14:cfRule type="dataBar" id="{1658AAE8-2F6B-48CD-ABC0-DD021E53DD1F}">
            <x14:dataBar minLength="0" maxLength="100" border="1" gradient="0">
              <x14:cfvo type="num">
                <xm:f>0</xm:f>
              </x14:cfvo>
              <x14:cfvo type="num">
                <xm:f>1</xm:f>
              </x14:cfvo>
              <x14:borderColor theme="0"/>
              <x14:negativeFillColor rgb="FFFF0000"/>
              <x14:axisColor rgb="FF000000"/>
            </x14:dataBar>
          </x14:cfRule>
          <xm:sqref>N851</xm:sqref>
        </x14:conditionalFormatting>
        <x14:conditionalFormatting xmlns:xm="http://schemas.microsoft.com/office/excel/2006/main">
          <x14:cfRule type="dataBar" id="{495A437D-E828-4C1A-8739-032B78D047EC}">
            <x14:dataBar minLength="0" maxLength="100" border="1" gradient="0">
              <x14:cfvo type="num">
                <xm:f>0</xm:f>
              </x14:cfvo>
              <x14:cfvo type="num">
                <xm:f>1</xm:f>
              </x14:cfvo>
              <x14:borderColor theme="0"/>
              <x14:negativeFillColor rgb="FFFF0000"/>
              <x14:axisColor rgb="FF000000"/>
            </x14:dataBar>
          </x14:cfRule>
          <xm:sqref>N853</xm:sqref>
        </x14:conditionalFormatting>
        <x14:conditionalFormatting xmlns:xm="http://schemas.microsoft.com/office/excel/2006/main">
          <x14:cfRule type="dataBar" id="{244305A0-681A-4749-AD62-29C42AFB0D76}">
            <x14:dataBar minLength="0" maxLength="100" border="1" gradient="0">
              <x14:cfvo type="num">
                <xm:f>0</xm:f>
              </x14:cfvo>
              <x14:cfvo type="num">
                <xm:f>1</xm:f>
              </x14:cfvo>
              <x14:borderColor theme="0"/>
              <x14:negativeFillColor rgb="FFFF0000"/>
              <x14:axisColor rgb="FF000000"/>
            </x14:dataBar>
          </x14:cfRule>
          <xm:sqref>N855</xm:sqref>
        </x14:conditionalFormatting>
        <x14:conditionalFormatting xmlns:xm="http://schemas.microsoft.com/office/excel/2006/main">
          <x14:cfRule type="dataBar" id="{CDE721E7-3056-487C-B318-F9A4F4C39EBA}">
            <x14:dataBar minLength="0" maxLength="100" border="1" gradient="0">
              <x14:cfvo type="num">
                <xm:f>0</xm:f>
              </x14:cfvo>
              <x14:cfvo type="num">
                <xm:f>1</xm:f>
              </x14:cfvo>
              <x14:borderColor theme="0"/>
              <x14:negativeFillColor rgb="FFFF0000"/>
              <x14:axisColor rgb="FF000000"/>
            </x14:dataBar>
          </x14:cfRule>
          <xm:sqref>N857</xm:sqref>
        </x14:conditionalFormatting>
        <x14:conditionalFormatting xmlns:xm="http://schemas.microsoft.com/office/excel/2006/main">
          <x14:cfRule type="dataBar" id="{7A3F21A1-AD3F-4D00-9945-826168B75B28}">
            <x14:dataBar minLength="0" maxLength="100" border="1" gradient="0">
              <x14:cfvo type="num">
                <xm:f>0</xm:f>
              </x14:cfvo>
              <x14:cfvo type="num">
                <xm:f>1</xm:f>
              </x14:cfvo>
              <x14:borderColor theme="0"/>
              <x14:negativeFillColor rgb="FFFF0000"/>
              <x14:axisColor rgb="FF000000"/>
            </x14:dataBar>
          </x14:cfRule>
          <xm:sqref>N859 N861 N863 N865 N867 N869</xm:sqref>
        </x14:conditionalFormatting>
        <x14:conditionalFormatting xmlns:xm="http://schemas.microsoft.com/office/excel/2006/main">
          <x14:cfRule type="dataBar" id="{CFEBD0E7-7259-4D37-BF5D-8D44BD3FE9D4}">
            <x14:dataBar minLength="0" maxLength="100" border="1" gradient="0">
              <x14:cfvo type="num">
                <xm:f>0</xm:f>
              </x14:cfvo>
              <x14:cfvo type="num">
                <xm:f>1</xm:f>
              </x14:cfvo>
              <x14:borderColor theme="0"/>
              <x14:negativeFillColor rgb="FFFF0000"/>
              <x14:axisColor rgb="FF000000"/>
            </x14:dataBar>
          </x14:cfRule>
          <xm:sqref>N871 N873 N875 N877 N879</xm:sqref>
        </x14:conditionalFormatting>
        <x14:conditionalFormatting xmlns:xm="http://schemas.microsoft.com/office/excel/2006/main">
          <x14:cfRule type="dataBar" id="{24CB0EBC-440C-42CB-8DCC-0999245AB250}">
            <x14:dataBar minLength="0" maxLength="100" border="1" gradient="0">
              <x14:cfvo type="num">
                <xm:f>0</xm:f>
              </x14:cfvo>
              <x14:cfvo type="num">
                <xm:f>1</xm:f>
              </x14:cfvo>
              <x14:borderColor theme="0"/>
              <x14:negativeFillColor rgb="FFFF0000"/>
              <x14:axisColor rgb="FF000000"/>
            </x14:dataBar>
          </x14:cfRule>
          <xm:sqref>N881</xm:sqref>
        </x14:conditionalFormatting>
        <x14:conditionalFormatting xmlns:xm="http://schemas.microsoft.com/office/excel/2006/main">
          <x14:cfRule type="dataBar" id="{870405D8-ED65-4CEA-8926-FFA60DD08F0F}">
            <x14:dataBar minLength="0" maxLength="100" border="1" gradient="0">
              <x14:cfvo type="num">
                <xm:f>0</xm:f>
              </x14:cfvo>
              <x14:cfvo type="num">
                <xm:f>1</xm:f>
              </x14:cfvo>
              <x14:borderColor theme="0"/>
              <x14:negativeFillColor rgb="FFFF0000"/>
              <x14:axisColor rgb="FF000000"/>
            </x14:dataBar>
          </x14:cfRule>
          <xm:sqref>N883</xm:sqref>
        </x14:conditionalFormatting>
        <x14:conditionalFormatting xmlns:xm="http://schemas.microsoft.com/office/excel/2006/main">
          <x14:cfRule type="dataBar" id="{62EA1648-4451-47A6-AB34-61C5D912F635}">
            <x14:dataBar minLength="0" maxLength="100" border="1" gradient="0">
              <x14:cfvo type="num">
                <xm:f>0</xm:f>
              </x14:cfvo>
              <x14:cfvo type="num">
                <xm:f>1</xm:f>
              </x14:cfvo>
              <x14:borderColor theme="0"/>
              <x14:negativeFillColor rgb="FFFF0000"/>
              <x14:axisColor rgb="FF000000"/>
            </x14:dataBar>
          </x14:cfRule>
          <xm:sqref>N886</xm:sqref>
        </x14:conditionalFormatting>
        <x14:conditionalFormatting xmlns:xm="http://schemas.microsoft.com/office/excel/2006/main">
          <x14:cfRule type="dataBar" id="{15C052FF-9C82-4502-98E8-53DB42D747AA}">
            <x14:dataBar minLength="0" maxLength="100" border="1" gradient="0">
              <x14:cfvo type="num">
                <xm:f>0</xm:f>
              </x14:cfvo>
              <x14:cfvo type="num">
                <xm:f>1</xm:f>
              </x14:cfvo>
              <x14:borderColor theme="0"/>
              <x14:negativeFillColor rgb="FFFF0000"/>
              <x14:axisColor rgb="FF000000"/>
            </x14:dataBar>
          </x14:cfRule>
          <xm:sqref>N888</xm:sqref>
        </x14:conditionalFormatting>
        <x14:conditionalFormatting xmlns:xm="http://schemas.microsoft.com/office/excel/2006/main">
          <x14:cfRule type="dataBar" id="{831CAB4D-2EED-4636-9486-99D058312D62}">
            <x14:dataBar minLength="0" maxLength="100" border="1" gradient="0">
              <x14:cfvo type="num">
                <xm:f>0</xm:f>
              </x14:cfvo>
              <x14:cfvo type="num">
                <xm:f>1</xm:f>
              </x14:cfvo>
              <x14:borderColor theme="0"/>
              <x14:negativeFillColor rgb="FFFF0000"/>
              <x14:axisColor rgb="FF000000"/>
            </x14:dataBar>
          </x14:cfRule>
          <xm:sqref>N890 N892</xm:sqref>
        </x14:conditionalFormatting>
        <x14:conditionalFormatting xmlns:xm="http://schemas.microsoft.com/office/excel/2006/main">
          <x14:cfRule type="dataBar" id="{D954F0D5-76AB-4D9B-9121-0C52DD038757}">
            <x14:dataBar minLength="0" maxLength="100" border="1" gradient="0">
              <x14:cfvo type="num">
                <xm:f>0</xm:f>
              </x14:cfvo>
              <x14:cfvo type="num">
                <xm:f>1</xm:f>
              </x14:cfvo>
              <x14:borderColor theme="0"/>
              <x14:negativeFillColor rgb="FFFF0000"/>
              <x14:axisColor rgb="FF000000"/>
            </x14:dataBar>
          </x14:cfRule>
          <xm:sqref>N894</xm:sqref>
        </x14:conditionalFormatting>
        <x14:conditionalFormatting xmlns:xm="http://schemas.microsoft.com/office/excel/2006/main">
          <x14:cfRule type="dataBar" id="{D3AFAD7E-9977-48DC-BFB6-044D03711244}">
            <x14:dataBar minLength="0" maxLength="100" border="1" gradient="0">
              <x14:cfvo type="num">
                <xm:f>0</xm:f>
              </x14:cfvo>
              <x14:cfvo type="num">
                <xm:f>1</xm:f>
              </x14:cfvo>
              <x14:borderColor theme="0"/>
              <x14:negativeFillColor rgb="FFFF0000"/>
              <x14:axisColor rgb="FF000000"/>
            </x14:dataBar>
          </x14:cfRule>
          <xm:sqref>N896 N898</xm:sqref>
        </x14:conditionalFormatting>
        <x14:conditionalFormatting xmlns:xm="http://schemas.microsoft.com/office/excel/2006/main">
          <x14:cfRule type="dataBar" id="{847B6AFD-76FC-4FC7-88BD-F6490EA639D9}">
            <x14:dataBar minLength="0" maxLength="100" border="1" gradient="0">
              <x14:cfvo type="num">
                <xm:f>0</xm:f>
              </x14:cfvo>
              <x14:cfvo type="num">
                <xm:f>1</xm:f>
              </x14:cfvo>
              <x14:borderColor theme="0"/>
              <x14:negativeFillColor rgb="FFFF0000"/>
              <x14:axisColor rgb="FF000000"/>
            </x14:dataBar>
          </x14:cfRule>
          <xm:sqref>N900</xm:sqref>
        </x14:conditionalFormatting>
        <x14:conditionalFormatting xmlns:xm="http://schemas.microsoft.com/office/excel/2006/main">
          <x14:cfRule type="dataBar" id="{2B5EC896-52AB-4A83-9757-7BF316692767}">
            <x14:dataBar minLength="0" maxLength="100" border="1" gradient="0">
              <x14:cfvo type="num">
                <xm:f>0</xm:f>
              </x14:cfvo>
              <x14:cfvo type="num">
                <xm:f>1</xm:f>
              </x14:cfvo>
              <x14:borderColor theme="0"/>
              <x14:negativeFillColor rgb="FFFF0000"/>
              <x14:axisColor rgb="FF000000"/>
            </x14:dataBar>
          </x14:cfRule>
          <xm:sqref>N902 N904</xm:sqref>
        </x14:conditionalFormatting>
        <x14:conditionalFormatting xmlns:xm="http://schemas.microsoft.com/office/excel/2006/main">
          <x14:cfRule type="dataBar" id="{9C1B0C30-4285-429E-A92A-71252BDEDC05}">
            <x14:dataBar minLength="0" maxLength="100" border="1" gradient="0">
              <x14:cfvo type="num">
                <xm:f>0</xm:f>
              </x14:cfvo>
              <x14:cfvo type="num">
                <xm:f>1</xm:f>
              </x14:cfvo>
              <x14:borderColor theme="0"/>
              <x14:negativeFillColor rgb="FFFF0000"/>
              <x14:axisColor rgb="FF000000"/>
            </x14:dataBar>
          </x14:cfRule>
          <xm:sqref>N906</xm:sqref>
        </x14:conditionalFormatting>
        <x14:conditionalFormatting xmlns:xm="http://schemas.microsoft.com/office/excel/2006/main">
          <x14:cfRule type="dataBar" id="{7204AFA6-8E6B-45B1-9412-FC5A5C048461}">
            <x14:dataBar minLength="0" maxLength="100" border="1" gradient="0">
              <x14:cfvo type="num">
                <xm:f>0</xm:f>
              </x14:cfvo>
              <x14:cfvo type="num">
                <xm:f>1</xm:f>
              </x14:cfvo>
              <x14:borderColor theme="0"/>
              <x14:negativeFillColor rgb="FFFF0000"/>
              <x14:axisColor rgb="FF000000"/>
            </x14:dataBar>
          </x14:cfRule>
          <xm:sqref>N908 N910</xm:sqref>
        </x14:conditionalFormatting>
        <x14:conditionalFormatting xmlns:xm="http://schemas.microsoft.com/office/excel/2006/main">
          <x14:cfRule type="dataBar" id="{3807C0EE-03C6-4EA6-9970-7B428F97B9F9}">
            <x14:dataBar minLength="0" maxLength="100" border="1" gradient="0">
              <x14:cfvo type="num">
                <xm:f>0</xm:f>
              </x14:cfvo>
              <x14:cfvo type="num">
                <xm:f>1</xm:f>
              </x14:cfvo>
              <x14:borderColor theme="0"/>
              <x14:negativeFillColor rgb="FFFF0000"/>
              <x14:axisColor rgb="FF000000"/>
            </x14:dataBar>
          </x14:cfRule>
          <xm:sqref>N912</xm:sqref>
        </x14:conditionalFormatting>
        <x14:conditionalFormatting xmlns:xm="http://schemas.microsoft.com/office/excel/2006/main">
          <x14:cfRule type="dataBar" id="{7BE88474-A6E8-4972-97B9-FA29FFF381F7}">
            <x14:dataBar minLength="0" maxLength="100" border="1" gradient="0">
              <x14:cfvo type="num">
                <xm:f>0</xm:f>
              </x14:cfvo>
              <x14:cfvo type="num">
                <xm:f>1</xm:f>
              </x14:cfvo>
              <x14:borderColor theme="0"/>
              <x14:negativeFillColor rgb="FFFF0000"/>
              <x14:axisColor rgb="FF000000"/>
            </x14:dataBar>
          </x14:cfRule>
          <xm:sqref>N914 N916</xm:sqref>
        </x14:conditionalFormatting>
        <x14:conditionalFormatting xmlns:xm="http://schemas.microsoft.com/office/excel/2006/main">
          <x14:cfRule type="dataBar" id="{551DBC6A-72D9-4379-90C0-75C274B455B5}">
            <x14:dataBar minLength="0" maxLength="100" border="1" gradient="0">
              <x14:cfvo type="num">
                <xm:f>0</xm:f>
              </x14:cfvo>
              <x14:cfvo type="num">
                <xm:f>1</xm:f>
              </x14:cfvo>
              <x14:borderColor theme="0"/>
              <x14:negativeFillColor rgb="FFFF0000"/>
              <x14:axisColor rgb="FF000000"/>
            </x14:dataBar>
          </x14:cfRule>
          <xm:sqref>N918</xm:sqref>
        </x14:conditionalFormatting>
        <x14:conditionalFormatting xmlns:xm="http://schemas.microsoft.com/office/excel/2006/main">
          <x14:cfRule type="dataBar" id="{34EFF8EF-24B2-4777-AEE6-287A6186B8D5}">
            <x14:dataBar minLength="0" maxLength="100" border="1" gradient="0">
              <x14:cfvo type="num">
                <xm:f>0</xm:f>
              </x14:cfvo>
              <x14:cfvo type="num">
                <xm:f>1</xm:f>
              </x14:cfvo>
              <x14:borderColor theme="0"/>
              <x14:negativeFillColor rgb="FFFF0000"/>
              <x14:axisColor rgb="FF000000"/>
            </x14:dataBar>
          </x14:cfRule>
          <xm:sqref>N920</xm:sqref>
        </x14:conditionalFormatting>
        <x14:conditionalFormatting xmlns:xm="http://schemas.microsoft.com/office/excel/2006/main">
          <x14:cfRule type="dataBar" id="{DEDCBF85-9B5D-4FEC-B87C-63E4583BE2BD}">
            <x14:dataBar minLength="0" maxLength="100" border="1" gradient="0">
              <x14:cfvo type="num">
                <xm:f>0</xm:f>
              </x14:cfvo>
              <x14:cfvo type="num">
                <xm:f>1</xm:f>
              </x14:cfvo>
              <x14:borderColor theme="0"/>
              <x14:negativeFillColor rgb="FFFF0000"/>
              <x14:axisColor rgb="FF000000"/>
            </x14:dataBar>
          </x14:cfRule>
          <xm:sqref>N924</xm:sqref>
        </x14:conditionalFormatting>
        <x14:conditionalFormatting xmlns:xm="http://schemas.microsoft.com/office/excel/2006/main">
          <x14:cfRule type="dataBar" id="{DB7E5C05-1CBF-4053-BEA0-188A7B71910B}">
            <x14:dataBar minLength="0" maxLength="100" border="1" gradient="0">
              <x14:cfvo type="num">
                <xm:f>0</xm:f>
              </x14:cfvo>
              <x14:cfvo type="num">
                <xm:f>1</xm:f>
              </x14:cfvo>
              <x14:borderColor theme="0"/>
              <x14:negativeFillColor rgb="FFFF0000"/>
              <x14:axisColor rgb="FF000000"/>
            </x14:dataBar>
          </x14:cfRule>
          <xm:sqref>N926</xm:sqref>
        </x14:conditionalFormatting>
        <x14:conditionalFormatting xmlns:xm="http://schemas.microsoft.com/office/excel/2006/main">
          <x14:cfRule type="dataBar" id="{46CC9831-160B-42C7-8BC0-8056F3BDE155}">
            <x14:dataBar minLength="0" maxLength="100" border="1" gradient="0">
              <x14:cfvo type="num">
                <xm:f>0</xm:f>
              </x14:cfvo>
              <x14:cfvo type="num">
                <xm:f>1</xm:f>
              </x14:cfvo>
              <x14:borderColor theme="0"/>
              <x14:negativeFillColor rgb="FFFF0000"/>
              <x14:axisColor rgb="FF000000"/>
            </x14:dataBar>
          </x14:cfRule>
          <xm:sqref>N928 N930</xm:sqref>
        </x14:conditionalFormatting>
        <x14:conditionalFormatting xmlns:xm="http://schemas.microsoft.com/office/excel/2006/main">
          <x14:cfRule type="dataBar" id="{D82AB7E4-0009-413D-B8AB-97E8E0544CA3}">
            <x14:dataBar minLength="0" maxLength="100" border="1" gradient="0">
              <x14:cfvo type="num">
                <xm:f>0</xm:f>
              </x14:cfvo>
              <x14:cfvo type="num">
                <xm:f>1</xm:f>
              </x14:cfvo>
              <x14:borderColor theme="0"/>
              <x14:negativeFillColor rgb="FFFF0000"/>
              <x14:axisColor rgb="FF000000"/>
            </x14:dataBar>
          </x14:cfRule>
          <xm:sqref>N932</xm:sqref>
        </x14:conditionalFormatting>
        <x14:conditionalFormatting xmlns:xm="http://schemas.microsoft.com/office/excel/2006/main">
          <x14:cfRule type="dataBar" id="{E00FECF4-B4A7-421D-B2D7-A934C737F732}">
            <x14:dataBar minLength="0" maxLength="100" border="1" gradient="0">
              <x14:cfvo type="num">
                <xm:f>0</xm:f>
              </x14:cfvo>
              <x14:cfvo type="num">
                <xm:f>1</xm:f>
              </x14:cfvo>
              <x14:borderColor theme="0"/>
              <x14:negativeFillColor rgb="FFFF0000"/>
              <x14:axisColor rgb="FF000000"/>
            </x14:dataBar>
          </x14:cfRule>
          <xm:sqref>N934 N936</xm:sqref>
        </x14:conditionalFormatting>
        <x14:conditionalFormatting xmlns:xm="http://schemas.microsoft.com/office/excel/2006/main">
          <x14:cfRule type="dataBar" id="{F7F3D1D6-CEA1-489A-9B07-E61740C9BDCE}">
            <x14:dataBar minLength="0" maxLength="100" border="1" gradient="0">
              <x14:cfvo type="num">
                <xm:f>0</xm:f>
              </x14:cfvo>
              <x14:cfvo type="num">
                <xm:f>1</xm:f>
              </x14:cfvo>
              <x14:borderColor theme="0"/>
              <x14:negativeFillColor rgb="FFFF0000"/>
              <x14:axisColor rgb="FF000000"/>
            </x14:dataBar>
          </x14:cfRule>
          <xm:sqref>N938</xm:sqref>
        </x14:conditionalFormatting>
        <x14:conditionalFormatting xmlns:xm="http://schemas.microsoft.com/office/excel/2006/main">
          <x14:cfRule type="dataBar" id="{920F1D1C-3754-4274-B971-A15345E1D023}">
            <x14:dataBar minLength="0" maxLength="100" border="1" gradient="0">
              <x14:cfvo type="num">
                <xm:f>0</xm:f>
              </x14:cfvo>
              <x14:cfvo type="num">
                <xm:f>1</xm:f>
              </x14:cfvo>
              <x14:borderColor theme="0"/>
              <x14:negativeFillColor rgb="FFFF0000"/>
              <x14:axisColor rgb="FF000000"/>
            </x14:dataBar>
          </x14:cfRule>
          <xm:sqref>N941</xm:sqref>
        </x14:conditionalFormatting>
        <x14:conditionalFormatting xmlns:xm="http://schemas.microsoft.com/office/excel/2006/main">
          <x14:cfRule type="dataBar" id="{97056491-E683-471E-8035-90AB3F3DF7C9}">
            <x14:dataBar minLength="0" maxLength="100" border="1" gradient="0">
              <x14:cfvo type="num">
                <xm:f>0</xm:f>
              </x14:cfvo>
              <x14:cfvo type="num">
                <xm:f>1</xm:f>
              </x14:cfvo>
              <x14:borderColor theme="0"/>
              <x14:negativeFillColor rgb="FFFF0000"/>
              <x14:axisColor rgb="FF000000"/>
            </x14:dataBar>
          </x14:cfRule>
          <xm:sqref>N943</xm:sqref>
        </x14:conditionalFormatting>
        <x14:conditionalFormatting xmlns:xm="http://schemas.microsoft.com/office/excel/2006/main">
          <x14:cfRule type="dataBar" id="{31DB88DB-F178-4AAF-8988-54CA5F4F3C28}">
            <x14:dataBar minLength="0" maxLength="100" border="1" gradient="0">
              <x14:cfvo type="num">
                <xm:f>0</xm:f>
              </x14:cfvo>
              <x14:cfvo type="num">
                <xm:f>1</xm:f>
              </x14:cfvo>
              <x14:borderColor theme="0"/>
              <x14:negativeFillColor rgb="FFFF0000"/>
              <x14:axisColor rgb="FF000000"/>
            </x14:dataBar>
          </x14:cfRule>
          <xm:sqref>N945 N947</xm:sqref>
        </x14:conditionalFormatting>
        <x14:conditionalFormatting xmlns:xm="http://schemas.microsoft.com/office/excel/2006/main">
          <x14:cfRule type="dataBar" id="{5982B70B-FEC7-4F90-8899-ED2EE8767E9A}">
            <x14:dataBar minLength="0" maxLength="100" border="1" gradient="0">
              <x14:cfvo type="num">
                <xm:f>0</xm:f>
              </x14:cfvo>
              <x14:cfvo type="num">
                <xm:f>1</xm:f>
              </x14:cfvo>
              <x14:borderColor theme="0"/>
              <x14:negativeFillColor rgb="FFFF0000"/>
              <x14:axisColor rgb="FF000000"/>
            </x14:dataBar>
          </x14:cfRule>
          <xm:sqref>N949</xm:sqref>
        </x14:conditionalFormatting>
        <x14:conditionalFormatting xmlns:xm="http://schemas.microsoft.com/office/excel/2006/main">
          <x14:cfRule type="dataBar" id="{56E0DF09-FCD5-4D05-A10F-FFF92796A7F5}">
            <x14:dataBar minLength="0" maxLength="100" border="1" gradient="0">
              <x14:cfvo type="num">
                <xm:f>0</xm:f>
              </x14:cfvo>
              <x14:cfvo type="num">
                <xm:f>1</xm:f>
              </x14:cfvo>
              <x14:borderColor theme="0"/>
              <x14:negativeFillColor rgb="FFFF0000"/>
              <x14:axisColor rgb="FF000000"/>
            </x14:dataBar>
          </x14:cfRule>
          <xm:sqref>N951 N953</xm:sqref>
        </x14:conditionalFormatting>
        <x14:conditionalFormatting xmlns:xm="http://schemas.microsoft.com/office/excel/2006/main">
          <x14:cfRule type="dataBar" id="{8107742F-B91D-4509-8051-5606080A4E46}">
            <x14:dataBar minLength="0" maxLength="100" border="1" gradient="0">
              <x14:cfvo type="num">
                <xm:f>0</xm:f>
              </x14:cfvo>
              <x14:cfvo type="num">
                <xm:f>1</xm:f>
              </x14:cfvo>
              <x14:borderColor theme="0"/>
              <x14:negativeFillColor rgb="FFFF0000"/>
              <x14:axisColor rgb="FF000000"/>
            </x14:dataBar>
          </x14:cfRule>
          <xm:sqref>N955</xm:sqref>
        </x14:conditionalFormatting>
        <x14:conditionalFormatting xmlns:xm="http://schemas.microsoft.com/office/excel/2006/main">
          <x14:cfRule type="dataBar" id="{2321344B-DA19-4307-A9E1-317BE67EE827}">
            <x14:dataBar minLength="0" maxLength="100" border="1" gradient="0">
              <x14:cfvo type="num">
                <xm:f>0</xm:f>
              </x14:cfvo>
              <x14:cfvo type="num">
                <xm:f>1</xm:f>
              </x14:cfvo>
              <x14:borderColor theme="0"/>
              <x14:negativeFillColor rgb="FFFF0000"/>
              <x14:axisColor rgb="FF000000"/>
            </x14:dataBar>
          </x14:cfRule>
          <xm:sqref>N957 N959</xm:sqref>
        </x14:conditionalFormatting>
        <x14:conditionalFormatting xmlns:xm="http://schemas.microsoft.com/office/excel/2006/main">
          <x14:cfRule type="dataBar" id="{8DAF9943-7FBB-48D7-9CC8-CD01FD79A8B2}">
            <x14:dataBar minLength="0" maxLength="100" border="1" gradient="0">
              <x14:cfvo type="num">
                <xm:f>0</xm:f>
              </x14:cfvo>
              <x14:cfvo type="num">
                <xm:f>1</xm:f>
              </x14:cfvo>
              <x14:borderColor theme="0"/>
              <x14:negativeFillColor rgb="FFFF0000"/>
              <x14:axisColor rgb="FF000000"/>
            </x14:dataBar>
          </x14:cfRule>
          <xm:sqref>N961</xm:sqref>
        </x14:conditionalFormatting>
        <x14:conditionalFormatting xmlns:xm="http://schemas.microsoft.com/office/excel/2006/main">
          <x14:cfRule type="dataBar" id="{20B06F98-9CE9-4B05-83E1-59FED503F6C4}">
            <x14:dataBar minLength="0" maxLength="100" border="1" gradient="0">
              <x14:cfvo type="num">
                <xm:f>0</xm:f>
              </x14:cfvo>
              <x14:cfvo type="num">
                <xm:f>1</xm:f>
              </x14:cfvo>
              <x14:borderColor theme="0"/>
              <x14:negativeFillColor rgb="FFFF0000"/>
              <x14:axisColor rgb="FF000000"/>
            </x14:dataBar>
          </x14:cfRule>
          <xm:sqref>N963 N965</xm:sqref>
        </x14:conditionalFormatting>
        <x14:conditionalFormatting xmlns:xm="http://schemas.microsoft.com/office/excel/2006/main">
          <x14:cfRule type="dataBar" id="{BD994651-E82E-4F94-893B-F9D4805681F2}">
            <x14:dataBar minLength="0" maxLength="100" border="1" gradient="0">
              <x14:cfvo type="num">
                <xm:f>0</xm:f>
              </x14:cfvo>
              <x14:cfvo type="num">
                <xm:f>1</xm:f>
              </x14:cfvo>
              <x14:borderColor theme="0"/>
              <x14:negativeFillColor rgb="FFFF0000"/>
              <x14:axisColor rgb="FF000000"/>
            </x14:dataBar>
          </x14:cfRule>
          <xm:sqref>N967</xm:sqref>
        </x14:conditionalFormatting>
        <x14:conditionalFormatting xmlns:xm="http://schemas.microsoft.com/office/excel/2006/main">
          <x14:cfRule type="dataBar" id="{2B63C182-9EF7-4276-93A4-4486D6B792A3}">
            <x14:dataBar minLength="0" maxLength="100" border="1" gradient="0">
              <x14:cfvo type="num">
                <xm:f>0</xm:f>
              </x14:cfvo>
              <x14:cfvo type="num">
                <xm:f>1</xm:f>
              </x14:cfvo>
              <x14:borderColor theme="0"/>
              <x14:negativeFillColor rgb="FFFF0000"/>
              <x14:axisColor rgb="FF000000"/>
            </x14:dataBar>
          </x14:cfRule>
          <xm:sqref>N971</xm:sqref>
        </x14:conditionalFormatting>
        <x14:conditionalFormatting xmlns:xm="http://schemas.microsoft.com/office/excel/2006/main">
          <x14:cfRule type="dataBar" id="{BC37E0CA-582A-4C28-B395-5C2D3C17014E}">
            <x14:dataBar minLength="0" maxLength="100" border="1" gradient="0">
              <x14:cfvo type="num">
                <xm:f>0</xm:f>
              </x14:cfvo>
              <x14:cfvo type="num">
                <xm:f>1</xm:f>
              </x14:cfvo>
              <x14:borderColor theme="0"/>
              <x14:negativeFillColor rgb="FFFF0000"/>
              <x14:axisColor rgb="FF000000"/>
            </x14:dataBar>
          </x14:cfRule>
          <xm:sqref>N973</xm:sqref>
        </x14:conditionalFormatting>
        <x14:conditionalFormatting xmlns:xm="http://schemas.microsoft.com/office/excel/2006/main">
          <x14:cfRule type="dataBar" id="{0C868C88-05A4-4F9F-AFC0-064F98D06076}">
            <x14:dataBar minLength="0" maxLength="100" border="1" gradient="0">
              <x14:cfvo type="num">
                <xm:f>0</xm:f>
              </x14:cfvo>
              <x14:cfvo type="num">
                <xm:f>1</xm:f>
              </x14:cfvo>
              <x14:borderColor theme="0"/>
              <x14:negativeFillColor rgb="FFFF0000"/>
              <x14:axisColor rgb="FF000000"/>
            </x14:dataBar>
          </x14:cfRule>
          <xm:sqref>N975</xm:sqref>
        </x14:conditionalFormatting>
        <x14:conditionalFormatting xmlns:xm="http://schemas.microsoft.com/office/excel/2006/main">
          <x14:cfRule type="dataBar" id="{AAE72882-4655-41C6-A25F-FEB7E9F76C8E}">
            <x14:dataBar minLength="0" maxLength="100" border="1" gradient="0">
              <x14:cfvo type="num">
                <xm:f>0</xm:f>
              </x14:cfvo>
              <x14:cfvo type="num">
                <xm:f>1</xm:f>
              </x14:cfvo>
              <x14:borderColor theme="0"/>
              <x14:negativeFillColor rgb="FFFF0000"/>
              <x14:axisColor rgb="FF000000"/>
            </x14:dataBar>
          </x14:cfRule>
          <xm:sqref>N977</xm:sqref>
        </x14:conditionalFormatting>
        <x14:conditionalFormatting xmlns:xm="http://schemas.microsoft.com/office/excel/2006/main">
          <x14:cfRule type="dataBar" id="{C395310A-28C5-4660-80F5-4DD7FB05D8D6}">
            <x14:dataBar minLength="0" maxLength="100" border="1" gradient="0">
              <x14:cfvo type="num">
                <xm:f>0</xm:f>
              </x14:cfvo>
              <x14:cfvo type="num">
                <xm:f>1</xm:f>
              </x14:cfvo>
              <x14:borderColor theme="0"/>
              <x14:negativeFillColor rgb="FFFF0000"/>
              <x14:axisColor rgb="FF000000"/>
            </x14:dataBar>
          </x14:cfRule>
          <xm:sqref>N979</xm:sqref>
        </x14:conditionalFormatting>
        <x14:conditionalFormatting xmlns:xm="http://schemas.microsoft.com/office/excel/2006/main">
          <x14:cfRule type="dataBar" id="{B9009C22-FDBE-4DE9-A9E5-9E17E5E9B5E2}">
            <x14:dataBar minLength="0" maxLength="100" border="1" gradient="0">
              <x14:cfvo type="num">
                <xm:f>0</xm:f>
              </x14:cfvo>
              <x14:cfvo type="num">
                <xm:f>1</xm:f>
              </x14:cfvo>
              <x14:borderColor theme="0"/>
              <x14:negativeFillColor rgb="FFFF0000"/>
              <x14:axisColor rgb="FF000000"/>
            </x14:dataBar>
          </x14:cfRule>
          <xm:sqref>N981 N983</xm:sqref>
        </x14:conditionalFormatting>
        <x14:conditionalFormatting xmlns:xm="http://schemas.microsoft.com/office/excel/2006/main">
          <x14:cfRule type="dataBar" id="{D5C9E852-5C60-4EAC-BB85-550B80FB4830}">
            <x14:dataBar minLength="0" maxLength="100" border="1" gradient="0">
              <x14:cfvo type="num">
                <xm:f>0</xm:f>
              </x14:cfvo>
              <x14:cfvo type="num">
                <xm:f>1</xm:f>
              </x14:cfvo>
              <x14:borderColor theme="0"/>
              <x14:negativeFillColor rgb="FFFF0000"/>
              <x14:axisColor rgb="FF000000"/>
            </x14:dataBar>
          </x14:cfRule>
          <xm:sqref>N985</xm:sqref>
        </x14:conditionalFormatting>
        <x14:conditionalFormatting xmlns:xm="http://schemas.microsoft.com/office/excel/2006/main">
          <x14:cfRule type="dataBar" id="{BE7974C7-F7AB-413C-8DD1-7B551051D194}">
            <x14:dataBar minLength="0" maxLength="100" border="1" gradient="0">
              <x14:cfvo type="num">
                <xm:f>0</xm:f>
              </x14:cfvo>
              <x14:cfvo type="num">
                <xm:f>1</xm:f>
              </x14:cfvo>
              <x14:borderColor theme="0"/>
              <x14:negativeFillColor rgb="FFFF0000"/>
              <x14:axisColor rgb="FF000000"/>
            </x14:dataBar>
          </x14:cfRule>
          <xm:sqref>N987 N989</xm:sqref>
        </x14:conditionalFormatting>
        <x14:conditionalFormatting xmlns:xm="http://schemas.microsoft.com/office/excel/2006/main">
          <x14:cfRule type="dataBar" id="{16213DFC-78B9-4E8D-83C3-33DDC155D952}">
            <x14:dataBar minLength="0" maxLength="100" border="1" gradient="0">
              <x14:cfvo type="num">
                <xm:f>0</xm:f>
              </x14:cfvo>
              <x14:cfvo type="num">
                <xm:f>1</xm:f>
              </x14:cfvo>
              <x14:borderColor theme="0"/>
              <x14:negativeFillColor rgb="FFFF0000"/>
              <x14:axisColor rgb="FF000000"/>
            </x14:dataBar>
          </x14:cfRule>
          <xm:sqref>N991</xm:sqref>
        </x14:conditionalFormatting>
        <x14:conditionalFormatting xmlns:xm="http://schemas.microsoft.com/office/excel/2006/main">
          <x14:cfRule type="dataBar" id="{68350BA0-D87F-434D-A0E2-6EC992BC8B30}">
            <x14:dataBar minLength="0" maxLength="100" border="1" gradient="0">
              <x14:cfvo type="num">
                <xm:f>0</xm:f>
              </x14:cfvo>
              <x14:cfvo type="num">
                <xm:f>1</xm:f>
              </x14:cfvo>
              <x14:borderColor theme="0"/>
              <x14:negativeFillColor rgb="FFFF0000"/>
              <x14:axisColor rgb="FF000000"/>
            </x14:dataBar>
          </x14:cfRule>
          <xm:sqref>N994</xm:sqref>
        </x14:conditionalFormatting>
        <x14:conditionalFormatting xmlns:xm="http://schemas.microsoft.com/office/excel/2006/main">
          <x14:cfRule type="dataBar" id="{68AF8371-3C05-450A-AF95-E8808C071323}">
            <x14:dataBar minLength="0" maxLength="100" border="1" gradient="0">
              <x14:cfvo type="num">
                <xm:f>0</xm:f>
              </x14:cfvo>
              <x14:cfvo type="num">
                <xm:f>1</xm:f>
              </x14:cfvo>
              <x14:borderColor theme="0"/>
              <x14:negativeFillColor rgb="FFFF0000"/>
              <x14:axisColor rgb="FF000000"/>
            </x14:dataBar>
          </x14:cfRule>
          <xm:sqref>N997</xm:sqref>
        </x14:conditionalFormatting>
        <x14:conditionalFormatting xmlns:xm="http://schemas.microsoft.com/office/excel/2006/main">
          <x14:cfRule type="dataBar" id="{EBC60E17-3740-48E0-8A54-006EE72BEDC6}">
            <x14:dataBar minLength="0" maxLength="100" border="1" gradient="0">
              <x14:cfvo type="num">
                <xm:f>0</xm:f>
              </x14:cfvo>
              <x14:cfvo type="num">
                <xm:f>1</xm:f>
              </x14:cfvo>
              <x14:borderColor theme="0"/>
              <x14:negativeFillColor rgb="FFFF0000"/>
              <x14:axisColor rgb="FF000000"/>
            </x14:dataBar>
          </x14:cfRule>
          <xm:sqref>N999 N1001 N1003</xm:sqref>
        </x14:conditionalFormatting>
        <x14:conditionalFormatting xmlns:xm="http://schemas.microsoft.com/office/excel/2006/main">
          <x14:cfRule type="dataBar" id="{7E210566-9962-4E74-88B3-318D2994955E}">
            <x14:dataBar minLength="0" maxLength="100" border="1" gradient="0">
              <x14:cfvo type="num">
                <xm:f>0</xm:f>
              </x14:cfvo>
              <x14:cfvo type="num">
                <xm:f>1</xm:f>
              </x14:cfvo>
              <x14:borderColor theme="0"/>
              <x14:negativeFillColor rgb="FFFF0000"/>
              <x14:axisColor rgb="FF000000"/>
            </x14:dataBar>
          </x14:cfRule>
          <xm:sqref>N1005</xm:sqref>
        </x14:conditionalFormatting>
        <x14:conditionalFormatting xmlns:xm="http://schemas.microsoft.com/office/excel/2006/main">
          <x14:cfRule type="dataBar" id="{C9587882-EE98-43C0-B2B3-93F28AB2BD67}">
            <x14:dataBar minLength="0" maxLength="100" border="1" gradient="0">
              <x14:cfvo type="num">
                <xm:f>0</xm:f>
              </x14:cfvo>
              <x14:cfvo type="num">
                <xm:f>1</xm:f>
              </x14:cfvo>
              <x14:borderColor theme="0"/>
              <x14:negativeFillColor rgb="FFFF0000"/>
              <x14:axisColor rgb="FF000000"/>
            </x14:dataBar>
          </x14:cfRule>
          <xm:sqref>N1007</xm:sqref>
        </x14:conditionalFormatting>
        <x14:conditionalFormatting xmlns:xm="http://schemas.microsoft.com/office/excel/2006/main">
          <x14:cfRule type="dataBar" id="{4B3149FD-46DD-4DF2-8C53-763A2B0AA82F}">
            <x14:dataBar minLength="0" maxLength="100" border="1" gradient="0">
              <x14:cfvo type="num">
                <xm:f>0</xm:f>
              </x14:cfvo>
              <x14:cfvo type="num">
                <xm:f>1</xm:f>
              </x14:cfvo>
              <x14:borderColor theme="0"/>
              <x14:negativeFillColor rgb="FFFF0000"/>
              <x14:axisColor rgb="FF000000"/>
            </x14:dataBar>
          </x14:cfRule>
          <xm:sqref>N1009</xm:sqref>
        </x14:conditionalFormatting>
        <x14:conditionalFormatting xmlns:xm="http://schemas.microsoft.com/office/excel/2006/main">
          <x14:cfRule type="dataBar" id="{CF9F5EC3-1AE8-4E61-A16D-A7FDC96962EE}">
            <x14:dataBar minLength="0" maxLength="100" border="1" gradient="0">
              <x14:cfvo type="num">
                <xm:f>0</xm:f>
              </x14:cfvo>
              <x14:cfvo type="num">
                <xm:f>1</xm:f>
              </x14:cfvo>
              <x14:borderColor theme="0"/>
              <x14:negativeFillColor rgb="FFFF0000"/>
              <x14:axisColor rgb="FF000000"/>
            </x14:dataBar>
          </x14:cfRule>
          <xm:sqref>N1011</xm:sqref>
        </x14:conditionalFormatting>
        <x14:conditionalFormatting xmlns:xm="http://schemas.microsoft.com/office/excel/2006/main">
          <x14:cfRule type="dataBar" id="{15DC1872-C8DF-4577-8091-134E33177653}">
            <x14:dataBar minLength="0" maxLength="100" border="1" gradient="0">
              <x14:cfvo type="num">
                <xm:f>0</xm:f>
              </x14:cfvo>
              <x14:cfvo type="num">
                <xm:f>1</xm:f>
              </x14:cfvo>
              <x14:borderColor theme="0"/>
              <x14:negativeFillColor rgb="FFFF0000"/>
              <x14:axisColor rgb="FF000000"/>
            </x14:dataBar>
          </x14:cfRule>
          <xm:sqref>N1013</xm:sqref>
        </x14:conditionalFormatting>
        <x14:conditionalFormatting xmlns:xm="http://schemas.microsoft.com/office/excel/2006/main">
          <x14:cfRule type="dataBar" id="{BAAA986F-B468-4ED7-9DEC-810F2209CAA3}">
            <x14:dataBar minLength="0" maxLength="100" border="1" gradient="0">
              <x14:cfvo type="num">
                <xm:f>0</xm:f>
              </x14:cfvo>
              <x14:cfvo type="num">
                <xm:f>1</xm:f>
              </x14:cfvo>
              <x14:borderColor theme="0"/>
              <x14:negativeFillColor rgb="FFFF0000"/>
              <x14:axisColor rgb="FF000000"/>
            </x14:dataBar>
          </x14:cfRule>
          <xm:sqref>N1015</xm:sqref>
        </x14:conditionalFormatting>
        <x14:conditionalFormatting xmlns:xm="http://schemas.microsoft.com/office/excel/2006/main">
          <x14:cfRule type="dataBar" id="{75D0C501-5500-4036-A473-C0F72A43250E}">
            <x14:dataBar minLength="0" maxLength="100" border="1" gradient="0">
              <x14:cfvo type="num">
                <xm:f>0</xm:f>
              </x14:cfvo>
              <x14:cfvo type="num">
                <xm:f>1</xm:f>
              </x14:cfvo>
              <x14:borderColor theme="0"/>
              <x14:negativeFillColor rgb="FFFF0000"/>
              <x14:axisColor rgb="FF000000"/>
            </x14:dataBar>
          </x14:cfRule>
          <xm:sqref>N1017</xm:sqref>
        </x14:conditionalFormatting>
        <x14:conditionalFormatting xmlns:xm="http://schemas.microsoft.com/office/excel/2006/main">
          <x14:cfRule type="dataBar" id="{CD4FC0C1-5F55-4470-8939-3C2F5FE6AF3A}">
            <x14:dataBar minLength="0" maxLength="100" border="1" gradient="0">
              <x14:cfvo type="num">
                <xm:f>0</xm:f>
              </x14:cfvo>
              <x14:cfvo type="num">
                <xm:f>1</xm:f>
              </x14:cfvo>
              <x14:borderColor theme="0"/>
              <x14:negativeFillColor rgb="FFFF0000"/>
              <x14:axisColor rgb="FF000000"/>
            </x14:dataBar>
          </x14:cfRule>
          <xm:sqref>N1020</xm:sqref>
        </x14:conditionalFormatting>
        <x14:conditionalFormatting xmlns:xm="http://schemas.microsoft.com/office/excel/2006/main">
          <x14:cfRule type="dataBar" id="{4FD30FE5-9A97-4DC2-A80E-AAFEFAA539C5}">
            <x14:dataBar minLength="0" maxLength="100" border="1" gradient="0">
              <x14:cfvo type="num">
                <xm:f>0</xm:f>
              </x14:cfvo>
              <x14:cfvo type="num">
                <xm:f>1</xm:f>
              </x14:cfvo>
              <x14:borderColor theme="0"/>
              <x14:negativeFillColor rgb="FFFF0000"/>
              <x14:axisColor rgb="FF000000"/>
            </x14:dataBar>
          </x14:cfRule>
          <xm:sqref>N1022 N1024 N1026</xm:sqref>
        </x14:conditionalFormatting>
        <x14:conditionalFormatting xmlns:xm="http://schemas.microsoft.com/office/excel/2006/main">
          <x14:cfRule type="dataBar" id="{6A86861F-F73A-42FC-A694-46DFD9DB740D}">
            <x14:dataBar minLength="0" maxLength="100" border="1" gradient="0">
              <x14:cfvo type="num">
                <xm:f>0</xm:f>
              </x14:cfvo>
              <x14:cfvo type="num">
                <xm:f>1</xm:f>
              </x14:cfvo>
              <x14:borderColor theme="0"/>
              <x14:negativeFillColor rgb="FFFF0000"/>
              <x14:axisColor rgb="FF000000"/>
            </x14:dataBar>
          </x14:cfRule>
          <xm:sqref>N1028 N1030 N1032</xm:sqref>
        </x14:conditionalFormatting>
        <x14:conditionalFormatting xmlns:xm="http://schemas.microsoft.com/office/excel/2006/main">
          <x14:cfRule type="dataBar" id="{6BB88A0B-71E2-4491-83C2-4B675E9C1D46}">
            <x14:dataBar minLength="0" maxLength="100" border="1" gradient="0">
              <x14:cfvo type="num">
                <xm:f>0</xm:f>
              </x14:cfvo>
              <x14:cfvo type="num">
                <xm:f>1</xm:f>
              </x14:cfvo>
              <x14:borderColor theme="0"/>
              <x14:negativeFillColor rgb="FFFF0000"/>
              <x14:axisColor rgb="FF000000"/>
            </x14:dataBar>
          </x14:cfRule>
          <xm:sqref>N1034 N1036 N1038</xm:sqref>
        </x14:conditionalFormatting>
        <x14:conditionalFormatting xmlns:xm="http://schemas.microsoft.com/office/excel/2006/main">
          <x14:cfRule type="dataBar" id="{28F25FA4-E4D6-4438-BA9E-15FFB014CBC5}">
            <x14:dataBar minLength="0" maxLength="100" border="1" gradient="0">
              <x14:cfvo type="num">
                <xm:f>0</xm:f>
              </x14:cfvo>
              <x14:cfvo type="num">
                <xm:f>1</xm:f>
              </x14:cfvo>
              <x14:borderColor theme="0"/>
              <x14:negativeFillColor rgb="FFFF0000"/>
              <x14:axisColor rgb="FF000000"/>
            </x14:dataBar>
          </x14:cfRule>
          <xm:sqref>N1040 N1042 N1044</xm:sqref>
        </x14:conditionalFormatting>
        <x14:conditionalFormatting xmlns:xm="http://schemas.microsoft.com/office/excel/2006/main">
          <x14:cfRule type="dataBar" id="{AB93B7EC-4194-4686-8C3B-38720093E070}">
            <x14:dataBar minLength="0" maxLength="100" border="1" gradient="0">
              <x14:cfvo type="num">
                <xm:f>0</xm:f>
              </x14:cfvo>
              <x14:cfvo type="num">
                <xm:f>1</xm:f>
              </x14:cfvo>
              <x14:borderColor theme="0"/>
              <x14:negativeFillColor rgb="FFFF0000"/>
              <x14:axisColor rgb="FF000000"/>
            </x14:dataBar>
          </x14:cfRule>
          <xm:sqref>N1046 N1048 N1050</xm:sqref>
        </x14:conditionalFormatting>
        <x14:conditionalFormatting xmlns:xm="http://schemas.microsoft.com/office/excel/2006/main">
          <x14:cfRule type="dataBar" id="{7B3139A6-AFA1-484B-A7D5-A54EF27FBB23}">
            <x14:dataBar minLength="0" maxLength="100" border="1" gradient="0">
              <x14:cfvo type="num">
                <xm:f>0</xm:f>
              </x14:cfvo>
              <x14:cfvo type="num">
                <xm:f>1</xm:f>
              </x14:cfvo>
              <x14:borderColor theme="0"/>
              <x14:negativeFillColor rgb="FFFF0000"/>
              <x14:axisColor rgb="FF000000"/>
            </x14:dataBar>
          </x14:cfRule>
          <xm:sqref>N1052 N1054 N1056</xm:sqref>
        </x14:conditionalFormatting>
        <x14:conditionalFormatting xmlns:xm="http://schemas.microsoft.com/office/excel/2006/main">
          <x14:cfRule type="dataBar" id="{08186349-56A9-42A9-941F-F23F5A74E037}">
            <x14:dataBar minLength="0" maxLength="100" border="1" gradient="0">
              <x14:cfvo type="num">
                <xm:f>0</xm:f>
              </x14:cfvo>
              <x14:cfvo type="num">
                <xm:f>1</xm:f>
              </x14:cfvo>
              <x14:borderColor theme="0"/>
              <x14:negativeFillColor rgb="FFFF0000"/>
              <x14:axisColor rgb="FF000000"/>
            </x14:dataBar>
          </x14:cfRule>
          <xm:sqref>N1058 N1060 N1062</xm:sqref>
        </x14:conditionalFormatting>
        <x14:conditionalFormatting xmlns:xm="http://schemas.microsoft.com/office/excel/2006/main">
          <x14:cfRule type="dataBar" id="{2F710DDD-CDBB-48B4-BA47-2696CE29558B}">
            <x14:dataBar minLength="0" maxLength="100" border="1" gradient="0">
              <x14:cfvo type="num">
                <xm:f>0</xm:f>
              </x14:cfvo>
              <x14:cfvo type="num">
                <xm:f>1</xm:f>
              </x14:cfvo>
              <x14:borderColor theme="0"/>
              <x14:negativeFillColor rgb="FFFF0000"/>
              <x14:axisColor rgb="FF000000"/>
            </x14:dataBar>
          </x14:cfRule>
          <xm:sqref>N1064 N1066 N1068</xm:sqref>
        </x14:conditionalFormatting>
        <x14:conditionalFormatting xmlns:xm="http://schemas.microsoft.com/office/excel/2006/main">
          <x14:cfRule type="dataBar" id="{8D041DA2-B6C9-446D-8B2C-47A45717AA60}">
            <x14:dataBar minLength="0" maxLength="100" border="1" gradient="0">
              <x14:cfvo type="num">
                <xm:f>0</xm:f>
              </x14:cfvo>
              <x14:cfvo type="num">
                <xm:f>1</xm:f>
              </x14:cfvo>
              <x14:borderColor theme="0"/>
              <x14:negativeFillColor rgb="FFFF0000"/>
              <x14:axisColor rgb="FF000000"/>
            </x14:dataBar>
          </x14:cfRule>
          <xm:sqref>N1070 N1072 N1074</xm:sqref>
        </x14:conditionalFormatting>
        <x14:conditionalFormatting xmlns:xm="http://schemas.microsoft.com/office/excel/2006/main">
          <x14:cfRule type="dataBar" id="{88B8ED83-02B1-4FC9-B61F-27DD3B61CE18}">
            <x14:dataBar minLength="0" maxLength="100" border="1" gradient="0">
              <x14:cfvo type="num">
                <xm:f>0</xm:f>
              </x14:cfvo>
              <x14:cfvo type="num">
                <xm:f>1</xm:f>
              </x14:cfvo>
              <x14:borderColor theme="0"/>
              <x14:negativeFillColor rgb="FFFF0000"/>
              <x14:axisColor rgb="FF000000"/>
            </x14:dataBar>
          </x14:cfRule>
          <xm:sqref>N1076 N1080</xm:sqref>
        </x14:conditionalFormatting>
        <x14:conditionalFormatting xmlns:xm="http://schemas.microsoft.com/office/excel/2006/main">
          <x14:cfRule type="dataBar" id="{225670A2-80D7-4BED-8CC1-5A48074BFF47}">
            <x14:dataBar minLength="0" maxLength="100" border="1" gradient="0">
              <x14:cfvo type="num">
                <xm:f>0</xm:f>
              </x14:cfvo>
              <x14:cfvo type="num">
                <xm:f>1</xm:f>
              </x14:cfvo>
              <x14:borderColor theme="0"/>
              <x14:negativeFillColor rgb="FFFF0000"/>
              <x14:axisColor rgb="FF000000"/>
            </x14:dataBar>
          </x14:cfRule>
          <xm:sqref>N1078</xm:sqref>
        </x14:conditionalFormatting>
        <x14:conditionalFormatting xmlns:xm="http://schemas.microsoft.com/office/excel/2006/main">
          <x14:cfRule type="dataBar" id="{63C07187-E14E-443C-A667-26F1E1CBE084}">
            <x14:dataBar minLength="0" maxLength="100" border="1" gradient="0">
              <x14:cfvo type="num">
                <xm:f>0</xm:f>
              </x14:cfvo>
              <x14:cfvo type="num">
                <xm:f>1</xm:f>
              </x14:cfvo>
              <x14:borderColor theme="0"/>
              <x14:negativeFillColor rgb="FFFF0000"/>
              <x14:axisColor rgb="FF000000"/>
            </x14:dataBar>
          </x14:cfRule>
          <xm:sqref>N1082</xm:sqref>
        </x14:conditionalFormatting>
        <x14:conditionalFormatting xmlns:xm="http://schemas.microsoft.com/office/excel/2006/main">
          <x14:cfRule type="dataBar" id="{1B77C01F-A4CD-48AB-A21B-E6F5677C7119}">
            <x14:dataBar minLength="0" maxLength="100" border="1" gradient="0">
              <x14:cfvo type="num">
                <xm:f>0</xm:f>
              </x14:cfvo>
              <x14:cfvo type="num">
                <xm:f>1</xm:f>
              </x14:cfvo>
              <x14:borderColor theme="0"/>
              <x14:negativeFillColor rgb="FFFF0000"/>
              <x14:axisColor rgb="FF000000"/>
            </x14:dataBar>
          </x14:cfRule>
          <xm:sqref>N1085</xm:sqref>
        </x14:conditionalFormatting>
        <x14:conditionalFormatting xmlns:xm="http://schemas.microsoft.com/office/excel/2006/main">
          <x14:cfRule type="dataBar" id="{4BACAC2E-F2E6-40A6-B22E-EE018F7FC5DD}">
            <x14:dataBar minLength="0" maxLength="100" border="1" gradient="0">
              <x14:cfvo type="num">
                <xm:f>0</xm:f>
              </x14:cfvo>
              <x14:cfvo type="num">
                <xm:f>1</xm:f>
              </x14:cfvo>
              <x14:borderColor theme="0"/>
              <x14:negativeFillColor rgb="FFFF0000"/>
              <x14:axisColor rgb="FF000000"/>
            </x14:dataBar>
          </x14:cfRule>
          <xm:sqref>N1087</xm:sqref>
        </x14:conditionalFormatting>
        <x14:conditionalFormatting xmlns:xm="http://schemas.microsoft.com/office/excel/2006/main">
          <x14:cfRule type="dataBar" id="{9E8EA3EB-58C7-4E69-9052-835BCDB28122}">
            <x14:dataBar minLength="0" maxLength="100" border="1" gradient="0">
              <x14:cfvo type="num">
                <xm:f>0</xm:f>
              </x14:cfvo>
              <x14:cfvo type="num">
                <xm:f>1</xm:f>
              </x14:cfvo>
              <x14:borderColor theme="0"/>
              <x14:negativeFillColor rgb="FFFF0000"/>
              <x14:axisColor rgb="FF000000"/>
            </x14:dataBar>
          </x14:cfRule>
          <xm:sqref>N1089 N1091 N1093 N1095 N1097 N1099 N1101 N1103</xm:sqref>
        </x14:conditionalFormatting>
        <x14:conditionalFormatting xmlns:xm="http://schemas.microsoft.com/office/excel/2006/main">
          <x14:cfRule type="dataBar" id="{E22094FF-37B0-404C-86EE-9A978D8653E9}">
            <x14:dataBar minLength="0" maxLength="100" border="1" gradient="0">
              <x14:cfvo type="num">
                <xm:f>0</xm:f>
              </x14:cfvo>
              <x14:cfvo type="num">
                <xm:f>1</xm:f>
              </x14:cfvo>
              <x14:borderColor theme="0"/>
              <x14:negativeFillColor rgb="FFFF0000"/>
              <x14:axisColor rgb="FF000000"/>
            </x14:dataBar>
          </x14:cfRule>
          <xm:sqref>N1105 N1107 N1109 N1111 N1113 N1115 N1117</xm:sqref>
        </x14:conditionalFormatting>
        <x14:conditionalFormatting xmlns:xm="http://schemas.microsoft.com/office/excel/2006/main">
          <x14:cfRule type="dataBar" id="{AB3FD591-4AF8-493D-9305-0D7A84BEF2C8}">
            <x14:dataBar minLength="0" maxLength="100" border="1" gradient="0">
              <x14:cfvo type="num">
                <xm:f>0</xm:f>
              </x14:cfvo>
              <x14:cfvo type="num">
                <xm:f>1</xm:f>
              </x14:cfvo>
              <x14:borderColor theme="0"/>
              <x14:negativeFillColor rgb="FFFF0000"/>
              <x14:axisColor rgb="FF000000"/>
            </x14:dataBar>
          </x14:cfRule>
          <xm:sqref>N1119</xm:sqref>
        </x14:conditionalFormatting>
        <x14:conditionalFormatting xmlns:xm="http://schemas.microsoft.com/office/excel/2006/main">
          <x14:cfRule type="dataBar" id="{84B42601-4098-451E-9A02-AF8F0497853E}">
            <x14:dataBar minLength="0" maxLength="100" border="1" gradient="0">
              <x14:cfvo type="num">
                <xm:f>0</xm:f>
              </x14:cfvo>
              <x14:cfvo type="num">
                <xm:f>1</xm:f>
              </x14:cfvo>
              <x14:borderColor theme="0"/>
              <x14:negativeFillColor rgb="FFFF0000"/>
              <x14:axisColor rgb="FF000000"/>
            </x14:dataBar>
          </x14:cfRule>
          <xm:sqref>N1121</xm:sqref>
        </x14:conditionalFormatting>
        <x14:conditionalFormatting xmlns:xm="http://schemas.microsoft.com/office/excel/2006/main">
          <x14:cfRule type="dataBar" id="{28A6858E-0F44-4CA8-BCC7-AAB887EE4161}">
            <x14:dataBar minLength="0" maxLength="100" border="1" gradient="0">
              <x14:cfvo type="num">
                <xm:f>0</xm:f>
              </x14:cfvo>
              <x14:cfvo type="num">
                <xm:f>1</xm:f>
              </x14:cfvo>
              <x14:borderColor theme="0"/>
              <x14:negativeFillColor rgb="FFFF0000"/>
              <x14:axisColor rgb="FF000000"/>
            </x14:dataBar>
          </x14:cfRule>
          <xm:sqref>N1125</xm:sqref>
        </x14:conditionalFormatting>
        <x14:conditionalFormatting xmlns:xm="http://schemas.microsoft.com/office/excel/2006/main">
          <x14:cfRule type="dataBar" id="{00F4EE66-8ADD-4EE0-BD51-62B43379BF34}">
            <x14:dataBar minLength="0" maxLength="100" border="1" gradient="0">
              <x14:cfvo type="num">
                <xm:f>0</xm:f>
              </x14:cfvo>
              <x14:cfvo type="num">
                <xm:f>1</xm:f>
              </x14:cfvo>
              <x14:borderColor theme="0"/>
              <x14:negativeFillColor rgb="FFFF0000"/>
              <x14:axisColor rgb="FF000000"/>
            </x14:dataBar>
          </x14:cfRule>
          <xm:sqref>N1128</xm:sqref>
        </x14:conditionalFormatting>
        <x14:conditionalFormatting xmlns:xm="http://schemas.microsoft.com/office/excel/2006/main">
          <x14:cfRule type="dataBar" id="{6D05A4DD-F73D-45EE-9B0A-4B2D7B3E0DD5}">
            <x14:dataBar minLength="0" maxLength="100" border="1" gradient="0">
              <x14:cfvo type="num">
                <xm:f>0</xm:f>
              </x14:cfvo>
              <x14:cfvo type="num">
                <xm:f>1</xm:f>
              </x14:cfvo>
              <x14:borderColor theme="0"/>
              <x14:negativeFillColor rgb="FFFF0000"/>
              <x14:axisColor rgb="FF000000"/>
            </x14:dataBar>
          </x14:cfRule>
          <xm:sqref>N1130 N1132 N1134</xm:sqref>
        </x14:conditionalFormatting>
        <x14:conditionalFormatting xmlns:xm="http://schemas.microsoft.com/office/excel/2006/main">
          <x14:cfRule type="dataBar" id="{57D1FD78-0771-4B09-B4CA-3C904E1EE92F}">
            <x14:dataBar minLength="0" maxLength="100" border="1" gradient="0">
              <x14:cfvo type="num">
                <xm:f>0</xm:f>
              </x14:cfvo>
              <x14:cfvo type="num">
                <xm:f>1</xm:f>
              </x14:cfvo>
              <x14:borderColor theme="0"/>
              <x14:negativeFillColor rgb="FFFF0000"/>
              <x14:axisColor rgb="FF000000"/>
            </x14:dataBar>
          </x14:cfRule>
          <xm:sqref>N1136 N1138</xm:sqref>
        </x14:conditionalFormatting>
        <x14:conditionalFormatting xmlns:xm="http://schemas.microsoft.com/office/excel/2006/main">
          <x14:cfRule type="dataBar" id="{DF157D8D-9965-4D18-8397-20BCF7E9C9BC}">
            <x14:dataBar minLength="0" maxLength="100" border="1" gradient="0">
              <x14:cfvo type="num">
                <xm:f>0</xm:f>
              </x14:cfvo>
              <x14:cfvo type="num">
                <xm:f>1</xm:f>
              </x14:cfvo>
              <x14:borderColor theme="0"/>
              <x14:negativeFillColor rgb="FFFF0000"/>
              <x14:axisColor rgb="FF000000"/>
            </x14:dataBar>
          </x14:cfRule>
          <xm:sqref>N1140 N1142 N1144</xm:sqref>
        </x14:conditionalFormatting>
        <x14:conditionalFormatting xmlns:xm="http://schemas.microsoft.com/office/excel/2006/main">
          <x14:cfRule type="dataBar" id="{319DC83D-C3DE-4601-8BC6-4ED0F391D91E}">
            <x14:dataBar minLength="0" maxLength="100" border="1" gradient="0">
              <x14:cfvo type="num">
                <xm:f>0</xm:f>
              </x14:cfvo>
              <x14:cfvo type="num">
                <xm:f>1</xm:f>
              </x14:cfvo>
              <x14:borderColor theme="0"/>
              <x14:negativeFillColor rgb="FFFF0000"/>
              <x14:axisColor rgb="FF000000"/>
            </x14:dataBar>
          </x14:cfRule>
          <xm:sqref>N1146 N1148 N1150</xm:sqref>
        </x14:conditionalFormatting>
        <x14:conditionalFormatting xmlns:xm="http://schemas.microsoft.com/office/excel/2006/main">
          <x14:cfRule type="dataBar" id="{56A52CAE-908A-4C3B-92E9-89305696D55E}">
            <x14:dataBar minLength="0" maxLength="100" border="1" gradient="0">
              <x14:cfvo type="num">
                <xm:f>0</xm:f>
              </x14:cfvo>
              <x14:cfvo type="num">
                <xm:f>1</xm:f>
              </x14:cfvo>
              <x14:borderColor theme="0"/>
              <x14:negativeFillColor rgb="FFFF0000"/>
              <x14:axisColor rgb="FF000000"/>
            </x14:dataBar>
          </x14:cfRule>
          <xm:sqref>N1152 N1154 N1156</xm:sqref>
        </x14:conditionalFormatting>
        <x14:conditionalFormatting xmlns:xm="http://schemas.microsoft.com/office/excel/2006/main">
          <x14:cfRule type="dataBar" id="{8530D066-81F3-43E2-945D-B6F1D9963BAE}">
            <x14:dataBar minLength="0" maxLength="100" border="1" gradient="0">
              <x14:cfvo type="num">
                <xm:f>0</xm:f>
              </x14:cfvo>
              <x14:cfvo type="num">
                <xm:f>1</xm:f>
              </x14:cfvo>
              <x14:borderColor theme="0"/>
              <x14:negativeFillColor rgb="FFFF0000"/>
              <x14:axisColor rgb="FF000000"/>
            </x14:dataBar>
          </x14:cfRule>
          <xm:sqref>N1158 N1160 N1162</xm:sqref>
        </x14:conditionalFormatting>
        <x14:conditionalFormatting xmlns:xm="http://schemas.microsoft.com/office/excel/2006/main">
          <x14:cfRule type="dataBar" id="{43886E6A-15B8-4B85-BF3D-4F599EA97B70}">
            <x14:dataBar minLength="0" maxLength="100" border="1" gradient="0">
              <x14:cfvo type="num">
                <xm:f>0</xm:f>
              </x14:cfvo>
              <x14:cfvo type="num">
                <xm:f>1</xm:f>
              </x14:cfvo>
              <x14:borderColor theme="0"/>
              <x14:negativeFillColor rgb="FFFF0000"/>
              <x14:axisColor rgb="FF000000"/>
            </x14:dataBar>
          </x14:cfRule>
          <xm:sqref>N1164 N1166 N1168</xm:sqref>
        </x14:conditionalFormatting>
        <x14:conditionalFormatting xmlns:xm="http://schemas.microsoft.com/office/excel/2006/main">
          <x14:cfRule type="dataBar" id="{6C1818FF-7EAB-4A06-A8A8-4DECFB65081A}">
            <x14:dataBar minLength="0" maxLength="100" border="1" gradient="0">
              <x14:cfvo type="num">
                <xm:f>0</xm:f>
              </x14:cfvo>
              <x14:cfvo type="num">
                <xm:f>1</xm:f>
              </x14:cfvo>
              <x14:borderColor theme="0"/>
              <x14:negativeFillColor rgb="FFFF0000"/>
              <x14:axisColor rgb="FF000000"/>
            </x14:dataBar>
          </x14:cfRule>
          <xm:sqref>N1170 N1172 N1174</xm:sqref>
        </x14:conditionalFormatting>
        <x14:conditionalFormatting xmlns:xm="http://schemas.microsoft.com/office/excel/2006/main">
          <x14:cfRule type="dataBar" id="{B405158A-8B30-4B3F-8B64-3FA81C9BEC2E}">
            <x14:dataBar minLength="0" maxLength="100" border="1" gradient="0">
              <x14:cfvo type="num">
                <xm:f>0</xm:f>
              </x14:cfvo>
              <x14:cfvo type="num">
                <xm:f>1</xm:f>
              </x14:cfvo>
              <x14:borderColor theme="0"/>
              <x14:negativeFillColor rgb="FFFF0000"/>
              <x14:axisColor rgb="FF000000"/>
            </x14:dataBar>
          </x14:cfRule>
          <xm:sqref>N1176 N1178 N1180</xm:sqref>
        </x14:conditionalFormatting>
        <x14:conditionalFormatting xmlns:xm="http://schemas.microsoft.com/office/excel/2006/main">
          <x14:cfRule type="dataBar" id="{8B2025CD-CA4E-4B5F-AFB0-8C2695FB177A}">
            <x14:dataBar minLength="0" maxLength="100" border="1" gradient="0">
              <x14:cfvo type="num">
                <xm:f>0</xm:f>
              </x14:cfvo>
              <x14:cfvo type="num">
                <xm:f>1</xm:f>
              </x14:cfvo>
              <x14:borderColor theme="0"/>
              <x14:negativeFillColor rgb="FFFF0000"/>
              <x14:axisColor rgb="FF000000"/>
            </x14:dataBar>
          </x14:cfRule>
          <xm:sqref>N1182 N1184 N1186</xm:sqref>
        </x14:conditionalFormatting>
        <x14:conditionalFormatting xmlns:xm="http://schemas.microsoft.com/office/excel/2006/main">
          <x14:cfRule type="dataBar" id="{808BB094-8C62-4FEA-AC99-D23AEB461335}">
            <x14:dataBar minLength="0" maxLength="100" border="1" gradient="0">
              <x14:cfvo type="num">
                <xm:f>0</xm:f>
              </x14:cfvo>
              <x14:cfvo type="num">
                <xm:f>1</xm:f>
              </x14:cfvo>
              <x14:borderColor theme="0"/>
              <x14:negativeFillColor rgb="FFFF0000"/>
              <x14:axisColor rgb="FF000000"/>
            </x14:dataBar>
          </x14:cfRule>
          <xm:sqref>N1188 N1190 N1192</xm:sqref>
        </x14:conditionalFormatting>
        <x14:conditionalFormatting xmlns:xm="http://schemas.microsoft.com/office/excel/2006/main">
          <x14:cfRule type="dataBar" id="{01174E4A-BA09-4CA0-9F12-5163F4F14F5F}">
            <x14:dataBar minLength="0" maxLength="100" border="1" gradient="0">
              <x14:cfvo type="num">
                <xm:f>0</xm:f>
              </x14:cfvo>
              <x14:cfvo type="num">
                <xm:f>1</xm:f>
              </x14:cfvo>
              <x14:borderColor theme="0"/>
              <x14:negativeFillColor rgb="FFFF0000"/>
              <x14:axisColor rgb="FF000000"/>
            </x14:dataBar>
          </x14:cfRule>
          <xm:sqref>N1194 N1196</xm:sqref>
        </x14:conditionalFormatting>
        <x14:conditionalFormatting xmlns:xm="http://schemas.microsoft.com/office/excel/2006/main">
          <x14:cfRule type="dataBar" id="{AB6496F7-9026-4562-B947-134757FD1326}">
            <x14:dataBar minLength="0" maxLength="100" border="1" gradient="0">
              <x14:cfvo type="num">
                <xm:f>0</xm:f>
              </x14:cfvo>
              <x14:cfvo type="num">
                <xm:f>1</xm:f>
              </x14:cfvo>
              <x14:borderColor theme="0"/>
              <x14:negativeFillColor rgb="FFFF0000"/>
              <x14:axisColor rgb="FF000000"/>
            </x14:dataBar>
          </x14:cfRule>
          <xm:sqref>N1199</xm:sqref>
        </x14:conditionalFormatting>
        <x14:conditionalFormatting xmlns:xm="http://schemas.microsoft.com/office/excel/2006/main">
          <x14:cfRule type="dataBar" id="{B8F682B0-D6F6-4121-A2F0-5373EDA8E7A9}">
            <x14:dataBar minLength="0" maxLength="100" border="1" gradient="0">
              <x14:cfvo type="num">
                <xm:f>0</xm:f>
              </x14:cfvo>
              <x14:cfvo type="num">
                <xm:f>1</xm:f>
              </x14:cfvo>
              <x14:borderColor theme="0"/>
              <x14:negativeFillColor rgb="FFFF0000"/>
              <x14:axisColor rgb="FF000000"/>
            </x14:dataBar>
          </x14:cfRule>
          <xm:sqref>N1201</xm:sqref>
        </x14:conditionalFormatting>
        <x14:conditionalFormatting xmlns:xm="http://schemas.microsoft.com/office/excel/2006/main">
          <x14:cfRule type="dataBar" id="{A4680B9B-3F21-40F1-A6BC-C9F13B2537DA}">
            <x14:dataBar minLength="0" maxLength="100" border="1" gradient="0">
              <x14:cfvo type="num">
                <xm:f>0</xm:f>
              </x14:cfvo>
              <x14:cfvo type="num">
                <xm:f>1</xm:f>
              </x14:cfvo>
              <x14:borderColor theme="0"/>
              <x14:negativeFillColor rgb="FFFF0000"/>
              <x14:axisColor rgb="FF000000"/>
            </x14:dataBar>
          </x14:cfRule>
          <xm:sqref>N1203 N1205 N1207 N1209 N1211 N1213</xm:sqref>
        </x14:conditionalFormatting>
        <x14:conditionalFormatting xmlns:xm="http://schemas.microsoft.com/office/excel/2006/main">
          <x14:cfRule type="dataBar" id="{48D66398-84DC-4AD3-A570-D46087E7E69D}">
            <x14:dataBar minLength="0" maxLength="100" border="1" gradient="0">
              <x14:cfvo type="num">
                <xm:f>0</xm:f>
              </x14:cfvo>
              <x14:cfvo type="num">
                <xm:f>1</xm:f>
              </x14:cfvo>
              <x14:borderColor theme="0"/>
              <x14:negativeFillColor rgb="FFFF0000"/>
              <x14:axisColor rgb="FF000000"/>
            </x14:dataBar>
          </x14:cfRule>
          <xm:sqref>N1215 N1217 N1219 N1221 N1223 N1225</xm:sqref>
        </x14:conditionalFormatting>
        <x14:conditionalFormatting xmlns:xm="http://schemas.microsoft.com/office/excel/2006/main">
          <x14:cfRule type="dataBar" id="{C9BB30A9-25DC-4CA7-8B94-6A1F96FFF168}">
            <x14:dataBar minLength="0" maxLength="100" border="1" gradient="0">
              <x14:cfvo type="num">
                <xm:f>0</xm:f>
              </x14:cfvo>
              <x14:cfvo type="num">
                <xm:f>1</xm:f>
              </x14:cfvo>
              <x14:borderColor theme="0"/>
              <x14:negativeFillColor rgb="FFFF0000"/>
              <x14:axisColor rgb="FF000000"/>
            </x14:dataBar>
          </x14:cfRule>
          <xm:sqref>N1227</xm:sqref>
        </x14:conditionalFormatting>
        <x14:conditionalFormatting xmlns:xm="http://schemas.microsoft.com/office/excel/2006/main">
          <x14:cfRule type="dataBar" id="{8368AF78-6801-416D-A55C-EFF27552097A}">
            <x14:dataBar minLength="0" maxLength="100" border="1" gradient="0">
              <x14:cfvo type="num">
                <xm:f>0</xm:f>
              </x14:cfvo>
              <x14:cfvo type="num">
                <xm:f>1</xm:f>
              </x14:cfvo>
              <x14:borderColor theme="0"/>
              <x14:negativeFillColor rgb="FFFF0000"/>
              <x14:axisColor rgb="FF000000"/>
            </x14:dataBar>
          </x14:cfRule>
          <xm:sqref>N1229 N1231 N1233 N1235 N1237 N1239</xm:sqref>
        </x14:conditionalFormatting>
        <x14:conditionalFormatting xmlns:xm="http://schemas.microsoft.com/office/excel/2006/main">
          <x14:cfRule type="dataBar" id="{53859D08-E790-4921-9589-BDBD7F2D22EA}">
            <x14:dataBar minLength="0" maxLength="100" border="1" gradient="0">
              <x14:cfvo type="num">
                <xm:f>0</xm:f>
              </x14:cfvo>
              <x14:cfvo type="num">
                <xm:f>1</xm:f>
              </x14:cfvo>
              <x14:borderColor theme="0"/>
              <x14:negativeFillColor rgb="FFFF0000"/>
              <x14:axisColor rgb="FF000000"/>
            </x14:dataBar>
          </x14:cfRule>
          <xm:sqref>N1241 N1243 N1245 N1247 N1249 N1251</xm:sqref>
        </x14:conditionalFormatting>
        <x14:conditionalFormatting xmlns:xm="http://schemas.microsoft.com/office/excel/2006/main">
          <x14:cfRule type="dataBar" id="{442362C3-2DD4-4DE8-BFD4-78774D9DC7B9}">
            <x14:dataBar minLength="0" maxLength="100" border="1" gradient="0">
              <x14:cfvo type="num">
                <xm:f>0</xm:f>
              </x14:cfvo>
              <x14:cfvo type="num">
                <xm:f>1</xm:f>
              </x14:cfvo>
              <x14:borderColor theme="0"/>
              <x14:negativeFillColor rgb="FFFF0000"/>
              <x14:axisColor rgb="FF000000"/>
            </x14:dataBar>
          </x14:cfRule>
          <xm:sqref>N1253</xm:sqref>
        </x14:conditionalFormatting>
        <x14:conditionalFormatting xmlns:xm="http://schemas.microsoft.com/office/excel/2006/main">
          <x14:cfRule type="dataBar" id="{424839B9-9B02-4538-B9E9-D79B3260F27B}">
            <x14:dataBar minLength="0" maxLength="100" border="1" gradient="0">
              <x14:cfvo type="num">
                <xm:f>0</xm:f>
              </x14:cfvo>
              <x14:cfvo type="num">
                <xm:f>1</xm:f>
              </x14:cfvo>
              <x14:borderColor theme="0"/>
              <x14:negativeFillColor rgb="FFFF0000"/>
              <x14:axisColor rgb="FF000000"/>
            </x14:dataBar>
          </x14:cfRule>
          <xm:sqref>N1255 N1257 N1259 N1261 N1263 N1265</xm:sqref>
        </x14:conditionalFormatting>
        <x14:conditionalFormatting xmlns:xm="http://schemas.microsoft.com/office/excel/2006/main">
          <x14:cfRule type="dataBar" id="{A84099B1-67A8-496D-A9AB-FFDCDAC2BDCF}">
            <x14:dataBar minLength="0" maxLength="100" border="1" gradient="0">
              <x14:cfvo type="num">
                <xm:f>0</xm:f>
              </x14:cfvo>
              <x14:cfvo type="num">
                <xm:f>1</xm:f>
              </x14:cfvo>
              <x14:borderColor theme="0"/>
              <x14:negativeFillColor rgb="FFFF0000"/>
              <x14:axisColor rgb="FF000000"/>
            </x14:dataBar>
          </x14:cfRule>
          <xm:sqref>N1267 N1269 N1271 N1273 N1275 N1277</xm:sqref>
        </x14:conditionalFormatting>
        <x14:conditionalFormatting xmlns:xm="http://schemas.microsoft.com/office/excel/2006/main">
          <x14:cfRule type="dataBar" id="{7801538E-D42C-4CF1-86CF-1B486E80C8AE}">
            <x14:dataBar minLength="0" maxLength="100" border="1" gradient="0">
              <x14:cfvo type="num">
                <xm:f>0</xm:f>
              </x14:cfvo>
              <x14:cfvo type="num">
                <xm:f>1</xm:f>
              </x14:cfvo>
              <x14:borderColor theme="0"/>
              <x14:negativeFillColor rgb="FFFF0000"/>
              <x14:axisColor rgb="FF000000"/>
            </x14:dataBar>
          </x14:cfRule>
          <xm:sqref>N1279</xm:sqref>
        </x14:conditionalFormatting>
        <x14:conditionalFormatting xmlns:xm="http://schemas.microsoft.com/office/excel/2006/main">
          <x14:cfRule type="dataBar" id="{518C7432-1BA7-4FC5-BE16-30EF31801298}">
            <x14:dataBar minLength="0" maxLength="100" border="1" gradient="0">
              <x14:cfvo type="num">
                <xm:f>0</xm:f>
              </x14:cfvo>
              <x14:cfvo type="num">
                <xm:f>1</xm:f>
              </x14:cfvo>
              <x14:borderColor theme="0"/>
              <x14:negativeFillColor rgb="FFFF0000"/>
              <x14:axisColor rgb="FF000000"/>
            </x14:dataBar>
          </x14:cfRule>
          <xm:sqref>N1281 N1283 N1285 N1287 N1289 N1291</xm:sqref>
        </x14:conditionalFormatting>
        <x14:conditionalFormatting xmlns:xm="http://schemas.microsoft.com/office/excel/2006/main">
          <x14:cfRule type="dataBar" id="{92BC14CE-5CE6-4DE2-A5A4-20056340BA51}">
            <x14:dataBar minLength="0" maxLength="100" border="1" gradient="0">
              <x14:cfvo type="num">
                <xm:f>0</xm:f>
              </x14:cfvo>
              <x14:cfvo type="num">
                <xm:f>1</xm:f>
              </x14:cfvo>
              <x14:borderColor theme="0"/>
              <x14:negativeFillColor rgb="FFFF0000"/>
              <x14:axisColor rgb="FF000000"/>
            </x14:dataBar>
          </x14:cfRule>
          <xm:sqref>N1293 N1295 N1297 N1299 N1301 N1303</xm:sqref>
        </x14:conditionalFormatting>
        <x14:conditionalFormatting xmlns:xm="http://schemas.microsoft.com/office/excel/2006/main">
          <x14:cfRule type="dataBar" id="{50E2466D-6EC5-4A32-81E0-DB08048B8939}">
            <x14:dataBar minLength="0" maxLength="100" border="1" gradient="0">
              <x14:cfvo type="num">
                <xm:f>0</xm:f>
              </x14:cfvo>
              <x14:cfvo type="num">
                <xm:f>1</xm:f>
              </x14:cfvo>
              <x14:borderColor theme="0"/>
              <x14:negativeFillColor rgb="FFFF0000"/>
              <x14:axisColor rgb="FF000000"/>
            </x14:dataBar>
          </x14:cfRule>
          <xm:sqref>N1305 N1307 N1309 N1311 N1313</xm:sqref>
        </x14:conditionalFormatting>
        <x14:conditionalFormatting xmlns:xm="http://schemas.microsoft.com/office/excel/2006/main">
          <x14:cfRule type="dataBar" id="{BB97A28A-4F88-4CF6-BAFB-BD02468ECD9C}">
            <x14:dataBar minLength="0" maxLength="100" border="1" gradient="0">
              <x14:cfvo type="num">
                <xm:f>0</xm:f>
              </x14:cfvo>
              <x14:cfvo type="num">
                <xm:f>1</xm:f>
              </x14:cfvo>
              <x14:borderColor theme="0"/>
              <x14:negativeFillColor rgb="FFFF0000"/>
              <x14:axisColor rgb="FF000000"/>
            </x14:dataBar>
          </x14:cfRule>
          <xm:sqref>N1315 N1317 N1319 N1321 N1323 N1325</xm:sqref>
        </x14:conditionalFormatting>
        <x14:conditionalFormatting xmlns:xm="http://schemas.microsoft.com/office/excel/2006/main">
          <x14:cfRule type="dataBar" id="{725077A7-CBC4-466C-869F-E5C3A3C53D14}">
            <x14:dataBar minLength="0" maxLength="100" border="1" gradient="0">
              <x14:cfvo type="num">
                <xm:f>0</xm:f>
              </x14:cfvo>
              <x14:cfvo type="num">
                <xm:f>1</xm:f>
              </x14:cfvo>
              <x14:borderColor theme="0"/>
              <x14:negativeFillColor rgb="FFFF0000"/>
              <x14:axisColor rgb="FF000000"/>
            </x14:dataBar>
          </x14:cfRule>
          <xm:sqref>N1327 N1329 N1331 N1333 N1335</xm:sqref>
        </x14:conditionalFormatting>
        <x14:conditionalFormatting xmlns:xm="http://schemas.microsoft.com/office/excel/2006/main">
          <x14:cfRule type="dataBar" id="{C61370A7-924E-407B-98A2-DF80FA0DF275}">
            <x14:dataBar minLength="0" maxLength="100" border="1" gradient="0">
              <x14:cfvo type="num">
                <xm:f>0</xm:f>
              </x14:cfvo>
              <x14:cfvo type="num">
                <xm:f>1</xm:f>
              </x14:cfvo>
              <x14:borderColor theme="0"/>
              <x14:negativeFillColor rgb="FFFF0000"/>
              <x14:axisColor rgb="FF000000"/>
            </x14:dataBar>
          </x14:cfRule>
          <xm:sqref>N1337 N1339 N1341 N1343 N1345 N1347</xm:sqref>
        </x14:conditionalFormatting>
        <x14:conditionalFormatting xmlns:xm="http://schemas.microsoft.com/office/excel/2006/main">
          <x14:cfRule type="dataBar" id="{8D02E8AC-A8AC-4280-A467-90358152029F}">
            <x14:dataBar minLength="0" maxLength="100" border="1" gradient="0">
              <x14:cfvo type="num">
                <xm:f>0</xm:f>
              </x14:cfvo>
              <x14:cfvo type="num">
                <xm:f>1</xm:f>
              </x14:cfvo>
              <x14:borderColor theme="0"/>
              <x14:negativeFillColor rgb="FFFF0000"/>
              <x14:axisColor rgb="FF000000"/>
            </x14:dataBar>
          </x14:cfRule>
          <xm:sqref>N1349 N1351 N1353 N1355</xm:sqref>
        </x14:conditionalFormatting>
        <x14:conditionalFormatting xmlns:xm="http://schemas.microsoft.com/office/excel/2006/main">
          <x14:cfRule type="dataBar" id="{30C743B2-1843-4F51-B3E1-27879BF1CC76}">
            <x14:dataBar minLength="0" maxLength="100" border="1" gradient="0">
              <x14:cfvo type="num">
                <xm:f>0</xm:f>
              </x14:cfvo>
              <x14:cfvo type="num">
                <xm:f>1</xm:f>
              </x14:cfvo>
              <x14:borderColor theme="0"/>
              <x14:negativeFillColor rgb="FFFF0000"/>
              <x14:axisColor rgb="FF000000"/>
            </x14:dataBar>
          </x14:cfRule>
          <xm:sqref>N1357</xm:sqref>
        </x14:conditionalFormatting>
        <x14:conditionalFormatting xmlns:xm="http://schemas.microsoft.com/office/excel/2006/main">
          <x14:cfRule type="dataBar" id="{9EEABB7A-931E-4A7F-944A-64BF7A38DA51}">
            <x14:dataBar minLength="0" maxLength="100" border="1" gradient="0">
              <x14:cfvo type="num">
                <xm:f>0</xm:f>
              </x14:cfvo>
              <x14:cfvo type="num">
                <xm:f>1</xm:f>
              </x14:cfvo>
              <x14:borderColor theme="0"/>
              <x14:negativeFillColor rgb="FFFF0000"/>
              <x14:axisColor rgb="FF000000"/>
            </x14:dataBar>
          </x14:cfRule>
          <xm:sqref>N1359</xm:sqref>
        </x14:conditionalFormatting>
        <x14:conditionalFormatting xmlns:xm="http://schemas.microsoft.com/office/excel/2006/main">
          <x14:cfRule type="dataBar" id="{021CD99E-761B-453F-80C6-2A13E361EDCF}">
            <x14:dataBar minLength="0" maxLength="100" border="1" gradient="0">
              <x14:cfvo type="num">
                <xm:f>0</xm:f>
              </x14:cfvo>
              <x14:cfvo type="num">
                <xm:f>1</xm:f>
              </x14:cfvo>
              <x14:borderColor theme="0"/>
              <x14:negativeFillColor rgb="FFFF0000"/>
              <x14:axisColor rgb="FF000000"/>
            </x14:dataBar>
          </x14:cfRule>
          <xm:sqref>N1362</xm:sqref>
        </x14:conditionalFormatting>
        <x14:conditionalFormatting xmlns:xm="http://schemas.microsoft.com/office/excel/2006/main">
          <x14:cfRule type="dataBar" id="{4D3F9124-4B43-4596-A92C-3FF393246EF2}">
            <x14:dataBar minLength="0" maxLength="100" border="1" gradient="0">
              <x14:cfvo type="num">
                <xm:f>0</xm:f>
              </x14:cfvo>
              <x14:cfvo type="num">
                <xm:f>1</xm:f>
              </x14:cfvo>
              <x14:borderColor theme="0"/>
              <x14:negativeFillColor rgb="FFFF0000"/>
              <x14:axisColor rgb="FF000000"/>
            </x14:dataBar>
          </x14:cfRule>
          <xm:sqref>N1364 N1366 N1368 N1370 N1372 N1374 N1376 N1378 N1380 N1382 N1384</xm:sqref>
        </x14:conditionalFormatting>
        <x14:conditionalFormatting xmlns:xm="http://schemas.microsoft.com/office/excel/2006/main">
          <x14:cfRule type="dataBar" id="{55F350D4-B514-4B85-A182-21E61D750B73}">
            <x14:dataBar minLength="0" maxLength="100" border="1" gradient="0">
              <x14:cfvo type="num">
                <xm:f>0</xm:f>
              </x14:cfvo>
              <x14:cfvo type="num">
                <xm:f>1</xm:f>
              </x14:cfvo>
              <x14:borderColor theme="0"/>
              <x14:negativeFillColor rgb="FFFF0000"/>
              <x14:axisColor rgb="FF000000"/>
            </x14:dataBar>
          </x14:cfRule>
          <xm:sqref>N1386 N1388 N1390 N1392 N1394 N1396 N1398 N1400 N1402 N1404 N1406</xm:sqref>
        </x14:conditionalFormatting>
        <x14:conditionalFormatting xmlns:xm="http://schemas.microsoft.com/office/excel/2006/main">
          <x14:cfRule type="dataBar" id="{CB0F4296-2764-47AA-B4C2-66F75638B272}">
            <x14:dataBar minLength="0" maxLength="100" border="1" gradient="0">
              <x14:cfvo type="num">
                <xm:f>0</xm:f>
              </x14:cfvo>
              <x14:cfvo type="num">
                <xm:f>1</xm:f>
              </x14:cfvo>
              <x14:borderColor theme="0"/>
              <x14:negativeFillColor rgb="FFFF0000"/>
              <x14:axisColor rgb="FF000000"/>
            </x14:dataBar>
          </x14:cfRule>
          <xm:sqref>N1408 N1410 N1412 N1414 N1416 N1418 N1420 N1422 N1424</xm:sqref>
        </x14:conditionalFormatting>
        <x14:conditionalFormatting xmlns:xm="http://schemas.microsoft.com/office/excel/2006/main">
          <x14:cfRule type="dataBar" id="{DE5564F2-29A7-4B16-8E55-C8A61E60C178}">
            <x14:dataBar minLength="0" maxLength="100" border="1" gradient="0">
              <x14:cfvo type="num">
                <xm:f>0</xm:f>
              </x14:cfvo>
              <x14:cfvo type="num">
                <xm:f>1</xm:f>
              </x14:cfvo>
              <x14:borderColor theme="0"/>
              <x14:negativeFillColor rgb="FFFF0000"/>
              <x14:axisColor rgb="FF000000"/>
            </x14:dataBar>
          </x14:cfRule>
          <xm:sqref>N1426 N1428 N1430 N1432 N1434 N1436</xm:sqref>
        </x14:conditionalFormatting>
        <x14:conditionalFormatting xmlns:xm="http://schemas.microsoft.com/office/excel/2006/main">
          <x14:cfRule type="dataBar" id="{0D3F6FEA-4B95-471D-87F5-7534A1E1C2FC}">
            <x14:dataBar minLength="0" maxLength="100" border="1" gradient="0">
              <x14:cfvo type="num">
                <xm:f>0</xm:f>
              </x14:cfvo>
              <x14:cfvo type="num">
                <xm:f>1</xm:f>
              </x14:cfvo>
              <x14:borderColor theme="0"/>
              <x14:negativeFillColor rgb="FFFF0000"/>
              <x14:axisColor rgb="FF000000"/>
            </x14:dataBar>
          </x14:cfRule>
          <xm:sqref>N1442</xm:sqref>
        </x14:conditionalFormatting>
        <x14:conditionalFormatting xmlns:xm="http://schemas.microsoft.com/office/excel/2006/main">
          <x14:cfRule type="dataBar" id="{F8D728F9-E8D2-4C8C-891E-CC823CF13904}">
            <x14:dataBar minLength="0" maxLength="100" border="1" gradient="0">
              <x14:cfvo type="num">
                <xm:f>0</xm:f>
              </x14:cfvo>
              <x14:cfvo type="num">
                <xm:f>1</xm:f>
              </x14:cfvo>
              <x14:borderColor theme="0"/>
              <x14:negativeFillColor rgb="FFFF0000"/>
              <x14:axisColor rgb="FF000000"/>
            </x14:dataBar>
          </x14:cfRule>
          <xm:sqref>N1445</xm:sqref>
        </x14:conditionalFormatting>
        <x14:conditionalFormatting xmlns:xm="http://schemas.microsoft.com/office/excel/2006/main">
          <x14:cfRule type="dataBar" id="{4F83353B-4EC5-4DD7-AC88-48634A560C8F}">
            <x14:dataBar minLength="0" maxLength="100" border="1" gradient="0">
              <x14:cfvo type="num">
                <xm:f>0</xm:f>
              </x14:cfvo>
              <x14:cfvo type="num">
                <xm:f>1</xm:f>
              </x14:cfvo>
              <x14:borderColor theme="0"/>
              <x14:negativeFillColor rgb="FFFF0000"/>
              <x14:axisColor rgb="FF000000"/>
            </x14:dataBar>
          </x14:cfRule>
          <xm:sqref>N1448</xm:sqref>
        </x14:conditionalFormatting>
        <x14:conditionalFormatting xmlns:xm="http://schemas.microsoft.com/office/excel/2006/main">
          <x14:cfRule type="dataBar" id="{DDF7981D-1360-476B-A4A6-04DDAB1D8420}">
            <x14:dataBar minLength="0" maxLength="100" border="1" gradient="0">
              <x14:cfvo type="num">
                <xm:f>0</xm:f>
              </x14:cfvo>
              <x14:cfvo type="num">
                <xm:f>1</xm:f>
              </x14:cfvo>
              <x14:borderColor theme="0"/>
              <x14:negativeFillColor rgb="FFFF0000"/>
              <x14:axisColor rgb="FF000000"/>
            </x14:dataBar>
          </x14:cfRule>
          <xm:sqref>N1450</xm:sqref>
        </x14:conditionalFormatting>
        <x14:conditionalFormatting xmlns:xm="http://schemas.microsoft.com/office/excel/2006/main">
          <x14:cfRule type="dataBar" id="{D708E577-66CF-45DC-A34D-8F1C748167DF}">
            <x14:dataBar minLength="0" maxLength="100" border="1" gradient="0">
              <x14:cfvo type="num">
                <xm:f>0</xm:f>
              </x14:cfvo>
              <x14:cfvo type="num">
                <xm:f>1</xm:f>
              </x14:cfvo>
              <x14:borderColor theme="0"/>
              <x14:negativeFillColor rgb="FFFF0000"/>
              <x14:axisColor rgb="FF000000"/>
            </x14:dataBar>
          </x14:cfRule>
          <xm:sqref>N1452</xm:sqref>
        </x14:conditionalFormatting>
        <x14:conditionalFormatting xmlns:xm="http://schemas.microsoft.com/office/excel/2006/main">
          <x14:cfRule type="dataBar" id="{192A0407-DBC8-478A-AE34-89967BA72C0F}">
            <x14:dataBar minLength="0" maxLength="100" border="1" gradient="0">
              <x14:cfvo type="num">
                <xm:f>0</xm:f>
              </x14:cfvo>
              <x14:cfvo type="num">
                <xm:f>1</xm:f>
              </x14:cfvo>
              <x14:borderColor theme="0"/>
              <x14:negativeFillColor rgb="FFFF0000"/>
              <x14:axisColor rgb="FF000000"/>
            </x14:dataBar>
          </x14:cfRule>
          <xm:sqref>N1454</xm:sqref>
        </x14:conditionalFormatting>
        <x14:conditionalFormatting xmlns:xm="http://schemas.microsoft.com/office/excel/2006/main">
          <x14:cfRule type="dataBar" id="{E134134D-221E-44E0-A329-B4E9D1136036}">
            <x14:dataBar minLength="0" maxLength="100" border="1" gradient="0">
              <x14:cfvo type="num">
                <xm:f>0</xm:f>
              </x14:cfvo>
              <x14:cfvo type="num">
                <xm:f>1</xm:f>
              </x14:cfvo>
              <x14:borderColor theme="0"/>
              <x14:negativeFillColor rgb="FFFF0000"/>
              <x14:axisColor rgb="FF000000"/>
            </x14:dataBar>
          </x14:cfRule>
          <xm:sqref>N1462 N1456 N1458 N1460 N1464 N1466</xm:sqref>
        </x14:conditionalFormatting>
        <x14:conditionalFormatting xmlns:xm="http://schemas.microsoft.com/office/excel/2006/main">
          <x14:cfRule type="dataBar" id="{FD758B0C-227E-42D3-A290-A8AD160FDC91}">
            <x14:dataBar minLength="0" maxLength="100" border="1" gradient="0">
              <x14:cfvo type="num">
                <xm:f>0</xm:f>
              </x14:cfvo>
              <x14:cfvo type="num">
                <xm:f>1</xm:f>
              </x14:cfvo>
              <x14:borderColor theme="0"/>
              <x14:negativeFillColor rgb="FFFF0000"/>
              <x14:axisColor rgb="FF000000"/>
            </x14:dataBar>
          </x14:cfRule>
          <xm:sqref>N1468</xm:sqref>
        </x14:conditionalFormatting>
        <x14:conditionalFormatting xmlns:xm="http://schemas.microsoft.com/office/excel/2006/main">
          <x14:cfRule type="dataBar" id="{3E18A4B3-AFBE-4A36-BD7F-0B1CFEAEA6A2}">
            <x14:dataBar minLength="0" maxLength="100" border="1" gradient="0">
              <x14:cfvo type="num">
                <xm:f>0</xm:f>
              </x14:cfvo>
              <x14:cfvo type="num">
                <xm:f>1</xm:f>
              </x14:cfvo>
              <x14:borderColor theme="0"/>
              <x14:negativeFillColor rgb="FFFF0000"/>
              <x14:axisColor rgb="FF000000"/>
            </x14:dataBar>
          </x14:cfRule>
          <xm:sqref>N1470 N1472 N1474 N1476 N1478 N1480 N1482</xm:sqref>
        </x14:conditionalFormatting>
        <x14:conditionalFormatting xmlns:xm="http://schemas.microsoft.com/office/excel/2006/main">
          <x14:cfRule type="dataBar" id="{3D6F8741-441E-4D63-9291-358A4598CE0A}">
            <x14:dataBar minLength="0" maxLength="100" border="1" gradient="0">
              <x14:cfvo type="num">
                <xm:f>0</xm:f>
              </x14:cfvo>
              <x14:cfvo type="num">
                <xm:f>1</xm:f>
              </x14:cfvo>
              <x14:borderColor theme="0"/>
              <x14:negativeFillColor rgb="FFFF0000"/>
              <x14:axisColor rgb="FF000000"/>
            </x14:dataBar>
          </x14:cfRule>
          <xm:sqref>N1484</xm:sqref>
        </x14:conditionalFormatting>
        <x14:conditionalFormatting xmlns:xm="http://schemas.microsoft.com/office/excel/2006/main">
          <x14:cfRule type="dataBar" id="{14E29389-B07A-4FD1-B022-D0AE6375C3E4}">
            <x14:dataBar minLength="0" maxLength="100" border="1" gradient="0">
              <x14:cfvo type="num">
                <xm:f>0</xm:f>
              </x14:cfvo>
              <x14:cfvo type="num">
                <xm:f>1</xm:f>
              </x14:cfvo>
              <x14:borderColor theme="0"/>
              <x14:negativeFillColor rgb="FFFF0000"/>
              <x14:axisColor rgb="FF000000"/>
            </x14:dataBar>
          </x14:cfRule>
          <xm:sqref>N1486 N1488 N1490 N1492 N1494 N1496 N1498</xm:sqref>
        </x14:conditionalFormatting>
        <x14:conditionalFormatting xmlns:xm="http://schemas.microsoft.com/office/excel/2006/main">
          <x14:cfRule type="dataBar" id="{2A89F38D-E2FA-43E3-9331-C50E06EB0627}">
            <x14:dataBar minLength="0" maxLength="100" border="1" gradient="0">
              <x14:cfvo type="num">
                <xm:f>0</xm:f>
              </x14:cfvo>
              <x14:cfvo type="num">
                <xm:f>1</xm:f>
              </x14:cfvo>
              <x14:borderColor theme="0"/>
              <x14:negativeFillColor rgb="FFFF0000"/>
              <x14:axisColor rgb="FF000000"/>
            </x14:dataBar>
          </x14:cfRule>
          <xm:sqref>N1500</xm:sqref>
        </x14:conditionalFormatting>
        <x14:conditionalFormatting xmlns:xm="http://schemas.microsoft.com/office/excel/2006/main">
          <x14:cfRule type="dataBar" id="{C5792ABF-F627-404A-9EF2-1550AB7A70D3}">
            <x14:dataBar minLength="0" maxLength="100" border="1" gradient="0">
              <x14:cfvo type="num">
                <xm:f>0</xm:f>
              </x14:cfvo>
              <x14:cfvo type="num">
                <xm:f>1</xm:f>
              </x14:cfvo>
              <x14:borderColor theme="0"/>
              <x14:negativeFillColor rgb="FFFF0000"/>
              <x14:axisColor rgb="FF000000"/>
            </x14:dataBar>
          </x14:cfRule>
          <xm:sqref>N1502 N1504 N1506 N1508 N1510 N1512 N1514</xm:sqref>
        </x14:conditionalFormatting>
        <x14:conditionalFormatting xmlns:xm="http://schemas.microsoft.com/office/excel/2006/main">
          <x14:cfRule type="dataBar" id="{6C8D334C-F5C1-4CC9-9495-F47DC1CE41B3}">
            <x14:dataBar minLength="0" maxLength="100" border="1" gradient="0">
              <x14:cfvo type="num">
                <xm:f>0</xm:f>
              </x14:cfvo>
              <x14:cfvo type="num">
                <xm:f>1</xm:f>
              </x14:cfvo>
              <x14:borderColor theme="0"/>
              <x14:negativeFillColor rgb="FFFF0000"/>
              <x14:axisColor rgb="FF000000"/>
            </x14:dataBar>
          </x14:cfRule>
          <xm:sqref>N1516</xm:sqref>
        </x14:conditionalFormatting>
        <x14:conditionalFormatting xmlns:xm="http://schemas.microsoft.com/office/excel/2006/main">
          <x14:cfRule type="dataBar" id="{37156E36-D9C4-4850-990C-58CA45472E5D}">
            <x14:dataBar minLength="0" maxLength="100" border="1" gradient="0">
              <x14:cfvo type="num">
                <xm:f>0</xm:f>
              </x14:cfvo>
              <x14:cfvo type="num">
                <xm:f>1</xm:f>
              </x14:cfvo>
              <x14:borderColor theme="0"/>
              <x14:negativeFillColor rgb="FFFF0000"/>
              <x14:axisColor rgb="FF000000"/>
            </x14:dataBar>
          </x14:cfRule>
          <xm:sqref>N1520 N1518</xm:sqref>
        </x14:conditionalFormatting>
        <x14:conditionalFormatting xmlns:xm="http://schemas.microsoft.com/office/excel/2006/main">
          <x14:cfRule type="dataBar" id="{E37D6E28-91CF-420D-87B0-011C2F05177D}">
            <x14:dataBar minLength="0" maxLength="100" border="1" gradient="0">
              <x14:cfvo type="num">
                <xm:f>0</xm:f>
              </x14:cfvo>
              <x14:cfvo type="num">
                <xm:f>1</xm:f>
              </x14:cfvo>
              <x14:borderColor theme="0"/>
              <x14:negativeFillColor rgb="FFFF0000"/>
              <x14:axisColor rgb="FF000000"/>
            </x14:dataBar>
          </x14:cfRule>
          <xm:sqref>N1522</xm:sqref>
        </x14:conditionalFormatting>
        <x14:conditionalFormatting xmlns:xm="http://schemas.microsoft.com/office/excel/2006/main">
          <x14:cfRule type="dataBar" id="{35B8A845-1DD5-4C1D-8D45-1929F9B739C6}">
            <x14:dataBar minLength="0" maxLength="100" border="1" gradient="0">
              <x14:cfvo type="num">
                <xm:f>0</xm:f>
              </x14:cfvo>
              <x14:cfvo type="num">
                <xm:f>1</xm:f>
              </x14:cfvo>
              <x14:borderColor theme="0"/>
              <x14:negativeFillColor rgb="FFFF0000"/>
              <x14:axisColor rgb="FF000000"/>
            </x14:dataBar>
          </x14:cfRule>
          <xm:sqref>N1524</xm:sqref>
        </x14:conditionalFormatting>
        <x14:conditionalFormatting xmlns:xm="http://schemas.microsoft.com/office/excel/2006/main">
          <x14:cfRule type="dataBar" id="{459BA96C-79B3-461E-8A40-8E9C20B18D46}">
            <x14:dataBar minLength="0" maxLength="100" border="1" gradient="0">
              <x14:cfvo type="num">
                <xm:f>0</xm:f>
              </x14:cfvo>
              <x14:cfvo type="num">
                <xm:f>1</xm:f>
              </x14:cfvo>
              <x14:borderColor theme="0"/>
              <x14:negativeFillColor rgb="FFFF0000"/>
              <x14:axisColor rgb="FF000000"/>
            </x14:dataBar>
          </x14:cfRule>
          <xm:sqref>N1526</xm:sqref>
        </x14:conditionalFormatting>
        <x14:conditionalFormatting xmlns:xm="http://schemas.microsoft.com/office/excel/2006/main">
          <x14:cfRule type="dataBar" id="{A05D6F57-6F1E-4F68-B0B4-A64C0912C617}">
            <x14:dataBar minLength="0" maxLength="100" border="1" gradient="0">
              <x14:cfvo type="num">
                <xm:f>0</xm:f>
              </x14:cfvo>
              <x14:cfvo type="num">
                <xm:f>1</xm:f>
              </x14:cfvo>
              <x14:borderColor theme="0"/>
              <x14:negativeFillColor rgb="FFFF0000"/>
              <x14:axisColor rgb="FF000000"/>
            </x14:dataBar>
          </x14:cfRule>
          <xm:sqref>N1528</xm:sqref>
        </x14:conditionalFormatting>
        <x14:conditionalFormatting xmlns:xm="http://schemas.microsoft.com/office/excel/2006/main">
          <x14:cfRule type="dataBar" id="{708E8A93-276A-4A68-BB76-AF55BFE3A1A8}">
            <x14:dataBar minLength="0" maxLength="100" border="1" gradient="0">
              <x14:cfvo type="num">
                <xm:f>0</xm:f>
              </x14:cfvo>
              <x14:cfvo type="num">
                <xm:f>1</xm:f>
              </x14:cfvo>
              <x14:borderColor theme="0"/>
              <x14:negativeFillColor rgb="FFFF0000"/>
              <x14:axisColor rgb="FF000000"/>
            </x14:dataBar>
          </x14:cfRule>
          <xm:sqref>N1531</xm:sqref>
        </x14:conditionalFormatting>
        <x14:conditionalFormatting xmlns:xm="http://schemas.microsoft.com/office/excel/2006/main">
          <x14:cfRule type="dataBar" id="{521B8BB8-A2FF-442D-9FB2-0DED6C0143B4}">
            <x14:dataBar minLength="0" maxLength="100" border="1" gradient="0">
              <x14:cfvo type="num">
                <xm:f>0</xm:f>
              </x14:cfvo>
              <x14:cfvo type="num">
                <xm:f>1</xm:f>
              </x14:cfvo>
              <x14:borderColor theme="0"/>
              <x14:negativeFillColor rgb="FFFF0000"/>
              <x14:axisColor rgb="FF000000"/>
            </x14:dataBar>
          </x14:cfRule>
          <xm:sqref>N1533</xm:sqref>
        </x14:conditionalFormatting>
        <x14:conditionalFormatting xmlns:xm="http://schemas.microsoft.com/office/excel/2006/main">
          <x14:cfRule type="dataBar" id="{70F24781-59F4-4282-A777-32AA6A186809}">
            <x14:dataBar minLength="0" maxLength="100" border="1" gradient="0">
              <x14:cfvo type="num">
                <xm:f>0</xm:f>
              </x14:cfvo>
              <x14:cfvo type="num">
                <xm:f>1</xm:f>
              </x14:cfvo>
              <x14:borderColor theme="0"/>
              <x14:negativeFillColor rgb="FFFF0000"/>
              <x14:axisColor rgb="FF000000"/>
            </x14:dataBar>
          </x14:cfRule>
          <xm:sqref>N1535</xm:sqref>
        </x14:conditionalFormatting>
        <x14:conditionalFormatting xmlns:xm="http://schemas.microsoft.com/office/excel/2006/main">
          <x14:cfRule type="dataBar" id="{E132414C-4880-4019-9744-1E32F1B72228}">
            <x14:dataBar minLength="0" maxLength="100" border="1" gradient="0">
              <x14:cfvo type="num">
                <xm:f>0</xm:f>
              </x14:cfvo>
              <x14:cfvo type="num">
                <xm:f>1</xm:f>
              </x14:cfvo>
              <x14:borderColor theme="0"/>
              <x14:negativeFillColor rgb="FFFF0000"/>
              <x14:axisColor rgb="FF000000"/>
            </x14:dataBar>
          </x14:cfRule>
          <xm:sqref>N1537</xm:sqref>
        </x14:conditionalFormatting>
        <x14:conditionalFormatting xmlns:xm="http://schemas.microsoft.com/office/excel/2006/main">
          <x14:cfRule type="dataBar" id="{8F850307-886E-4F15-AF81-A3AEE976D107}">
            <x14:dataBar minLength="0" maxLength="100" border="1" gradient="0">
              <x14:cfvo type="num">
                <xm:f>0</xm:f>
              </x14:cfvo>
              <x14:cfvo type="num">
                <xm:f>1</xm:f>
              </x14:cfvo>
              <x14:borderColor theme="0"/>
              <x14:negativeFillColor rgb="FFFF0000"/>
              <x14:axisColor rgb="FF000000"/>
            </x14:dataBar>
          </x14:cfRule>
          <xm:sqref>N1539</xm:sqref>
        </x14:conditionalFormatting>
        <x14:conditionalFormatting xmlns:xm="http://schemas.microsoft.com/office/excel/2006/main">
          <x14:cfRule type="dataBar" id="{A843A781-AB9D-4A46-8144-844FB4494FA6}">
            <x14:dataBar minLength="0" maxLength="100" border="1" gradient="0">
              <x14:cfvo type="num">
                <xm:f>0</xm:f>
              </x14:cfvo>
              <x14:cfvo type="num">
                <xm:f>1</xm:f>
              </x14:cfvo>
              <x14:borderColor theme="0"/>
              <x14:negativeFillColor rgb="FFFF0000"/>
              <x14:axisColor rgb="FF000000"/>
            </x14:dataBar>
          </x14:cfRule>
          <xm:sqref>N1541</xm:sqref>
        </x14:conditionalFormatting>
        <x14:conditionalFormatting xmlns:xm="http://schemas.microsoft.com/office/excel/2006/main">
          <x14:cfRule type="dataBar" id="{A1814B2E-7C38-4D8F-9695-C15677CD0D47}">
            <x14:dataBar minLength="0" maxLength="100" border="1" gradient="0">
              <x14:cfvo type="num">
                <xm:f>0</xm:f>
              </x14:cfvo>
              <x14:cfvo type="num">
                <xm:f>1</xm:f>
              </x14:cfvo>
              <x14:borderColor theme="0"/>
              <x14:negativeFillColor rgb="FFFF0000"/>
              <x14:axisColor rgb="FF000000"/>
            </x14:dataBar>
          </x14:cfRule>
          <xm:sqref>N1543</xm:sqref>
        </x14:conditionalFormatting>
        <x14:conditionalFormatting xmlns:xm="http://schemas.microsoft.com/office/excel/2006/main">
          <x14:cfRule type="dataBar" id="{06BEE7A3-5BCF-4B3A-955B-9AD2399051F2}">
            <x14:dataBar minLength="0" maxLength="100" border="1" gradient="0">
              <x14:cfvo type="num">
                <xm:f>0</xm:f>
              </x14:cfvo>
              <x14:cfvo type="num">
                <xm:f>1</xm:f>
              </x14:cfvo>
              <x14:borderColor theme="0"/>
              <x14:negativeFillColor rgb="FFFF0000"/>
              <x14:axisColor rgb="FF000000"/>
            </x14:dataBar>
          </x14:cfRule>
          <xm:sqref>N1545</xm:sqref>
        </x14:conditionalFormatting>
        <x14:conditionalFormatting xmlns:xm="http://schemas.microsoft.com/office/excel/2006/main">
          <x14:cfRule type="dataBar" id="{AD02EE49-2E1B-4D02-9847-7C32F5C4DAA4}">
            <x14:dataBar minLength="0" maxLength="100" border="1" gradient="0">
              <x14:cfvo type="num">
                <xm:f>0</xm:f>
              </x14:cfvo>
              <x14:cfvo type="num">
                <xm:f>1</xm:f>
              </x14:cfvo>
              <x14:borderColor theme="0"/>
              <x14:negativeFillColor rgb="FFFF0000"/>
              <x14:axisColor rgb="FF000000"/>
            </x14:dataBar>
          </x14:cfRule>
          <xm:sqref>N1547</xm:sqref>
        </x14:conditionalFormatting>
        <x14:conditionalFormatting xmlns:xm="http://schemas.microsoft.com/office/excel/2006/main">
          <x14:cfRule type="dataBar" id="{6287CDC5-3BFD-4F05-B70F-73B6706BAF16}">
            <x14:dataBar minLength="0" maxLength="100" border="1" gradient="0">
              <x14:cfvo type="num">
                <xm:f>0</xm:f>
              </x14:cfvo>
              <x14:cfvo type="num">
                <xm:f>1</xm:f>
              </x14:cfvo>
              <x14:borderColor theme="0"/>
              <x14:negativeFillColor rgb="FFFF0000"/>
              <x14:axisColor rgb="FF000000"/>
            </x14:dataBar>
          </x14:cfRule>
          <xm:sqref>N1549</xm:sqref>
        </x14:conditionalFormatting>
        <x14:conditionalFormatting xmlns:xm="http://schemas.microsoft.com/office/excel/2006/main">
          <x14:cfRule type="dataBar" id="{12D96BB3-A18E-4273-8870-5BE72E8BB810}">
            <x14:dataBar minLength="0" maxLength="100" border="1" gradient="0">
              <x14:cfvo type="num">
                <xm:f>0</xm:f>
              </x14:cfvo>
              <x14:cfvo type="num">
                <xm:f>1</xm:f>
              </x14:cfvo>
              <x14:borderColor theme="0"/>
              <x14:negativeFillColor rgb="FFFF0000"/>
              <x14:axisColor rgb="FF000000"/>
            </x14:dataBar>
          </x14:cfRule>
          <xm:sqref>N1551</xm:sqref>
        </x14:conditionalFormatting>
        <x14:conditionalFormatting xmlns:xm="http://schemas.microsoft.com/office/excel/2006/main">
          <x14:cfRule type="dataBar" id="{62A646E4-2391-4BB1-AF08-DFE073187DFC}">
            <x14:dataBar minLength="0" maxLength="100" border="1" gradient="0">
              <x14:cfvo type="num">
                <xm:f>0</xm:f>
              </x14:cfvo>
              <x14:cfvo type="num">
                <xm:f>1</xm:f>
              </x14:cfvo>
              <x14:borderColor theme="0"/>
              <x14:negativeFillColor rgb="FFFF0000"/>
              <x14:axisColor rgb="FF000000"/>
            </x14:dataBar>
          </x14:cfRule>
          <xm:sqref>N1553</xm:sqref>
        </x14:conditionalFormatting>
        <x14:conditionalFormatting xmlns:xm="http://schemas.microsoft.com/office/excel/2006/main">
          <x14:cfRule type="dataBar" id="{ADD0EDC2-76CD-4868-A418-EA8F8F96D7EF}">
            <x14:dataBar minLength="0" maxLength="100" border="1" gradient="0">
              <x14:cfvo type="num">
                <xm:f>0</xm:f>
              </x14:cfvo>
              <x14:cfvo type="num">
                <xm:f>1</xm:f>
              </x14:cfvo>
              <x14:borderColor theme="0"/>
              <x14:negativeFillColor rgb="FFFF0000"/>
              <x14:axisColor rgb="FF000000"/>
            </x14:dataBar>
          </x14:cfRule>
          <xm:sqref>N1555</xm:sqref>
        </x14:conditionalFormatting>
        <x14:conditionalFormatting xmlns:xm="http://schemas.microsoft.com/office/excel/2006/main">
          <x14:cfRule type="dataBar" id="{24E378EF-EEB6-493B-A30B-55305ACE7842}">
            <x14:dataBar minLength="0" maxLength="100" border="1" gradient="0">
              <x14:cfvo type="num">
                <xm:f>0</xm:f>
              </x14:cfvo>
              <x14:cfvo type="num">
                <xm:f>1</xm:f>
              </x14:cfvo>
              <x14:borderColor theme="0"/>
              <x14:negativeFillColor rgb="FFFF0000"/>
              <x14:axisColor rgb="FF000000"/>
            </x14:dataBar>
          </x14:cfRule>
          <xm:sqref>N1557</xm:sqref>
        </x14:conditionalFormatting>
        <x14:conditionalFormatting xmlns:xm="http://schemas.microsoft.com/office/excel/2006/main">
          <x14:cfRule type="dataBar" id="{D62DEA1D-708B-4F22-9CB5-8526962CADEA}">
            <x14:dataBar minLength="0" maxLength="100" border="1" gradient="0">
              <x14:cfvo type="num">
                <xm:f>0</xm:f>
              </x14:cfvo>
              <x14:cfvo type="num">
                <xm:f>1</xm:f>
              </x14:cfvo>
              <x14:borderColor theme="0"/>
              <x14:negativeFillColor rgb="FFFF0000"/>
              <x14:axisColor rgb="FF000000"/>
            </x14:dataBar>
          </x14:cfRule>
          <xm:sqref>N1559</xm:sqref>
        </x14:conditionalFormatting>
        <x14:conditionalFormatting xmlns:xm="http://schemas.microsoft.com/office/excel/2006/main">
          <x14:cfRule type="dataBar" id="{722A751E-157D-40B7-88AF-6A832FBD586A}">
            <x14:dataBar minLength="0" maxLength="100" border="1" gradient="0">
              <x14:cfvo type="num">
                <xm:f>0</xm:f>
              </x14:cfvo>
              <x14:cfvo type="num">
                <xm:f>1</xm:f>
              </x14:cfvo>
              <x14:borderColor theme="0"/>
              <x14:negativeFillColor rgb="FFFF0000"/>
              <x14:axisColor rgb="FF000000"/>
            </x14:dataBar>
          </x14:cfRule>
          <xm:sqref>N1561</xm:sqref>
        </x14:conditionalFormatting>
        <x14:conditionalFormatting xmlns:xm="http://schemas.microsoft.com/office/excel/2006/main">
          <x14:cfRule type="dataBar" id="{E6D20570-097D-4AC1-9011-52FB9D1F353C}">
            <x14:dataBar minLength="0" maxLength="100" border="1" gradient="0">
              <x14:cfvo type="num">
                <xm:f>0</xm:f>
              </x14:cfvo>
              <x14:cfvo type="num">
                <xm:f>1</xm:f>
              </x14:cfvo>
              <x14:borderColor theme="0"/>
              <x14:negativeFillColor rgb="FFFF0000"/>
              <x14:axisColor rgb="FF000000"/>
            </x14:dataBar>
          </x14:cfRule>
          <xm:sqref>N1563</xm:sqref>
        </x14:conditionalFormatting>
        <x14:conditionalFormatting xmlns:xm="http://schemas.microsoft.com/office/excel/2006/main">
          <x14:cfRule type="dataBar" id="{F4A2C932-D76C-40A9-8804-912A1E161917}">
            <x14:dataBar minLength="0" maxLength="100" border="1" gradient="0">
              <x14:cfvo type="num">
                <xm:f>0</xm:f>
              </x14:cfvo>
              <x14:cfvo type="num">
                <xm:f>1</xm:f>
              </x14:cfvo>
              <x14:borderColor theme="0"/>
              <x14:negativeFillColor rgb="FFFF0000"/>
              <x14:axisColor rgb="FF000000"/>
            </x14:dataBar>
          </x14:cfRule>
          <xm:sqref>N1565</xm:sqref>
        </x14:conditionalFormatting>
        <x14:conditionalFormatting xmlns:xm="http://schemas.microsoft.com/office/excel/2006/main">
          <x14:cfRule type="dataBar" id="{7A58B5E6-E66B-4DFA-A2E9-D83D65213E1D}">
            <x14:dataBar minLength="0" maxLength="100" border="1" gradient="0">
              <x14:cfvo type="num">
                <xm:f>0</xm:f>
              </x14:cfvo>
              <x14:cfvo type="num">
                <xm:f>1</xm:f>
              </x14:cfvo>
              <x14:borderColor theme="0"/>
              <x14:negativeFillColor rgb="FFFF0000"/>
              <x14:axisColor rgb="FF000000"/>
            </x14:dataBar>
          </x14:cfRule>
          <xm:sqref>N1567</xm:sqref>
        </x14:conditionalFormatting>
        <x14:conditionalFormatting xmlns:xm="http://schemas.microsoft.com/office/excel/2006/main">
          <x14:cfRule type="dataBar" id="{4F793D79-1CC4-49E8-8CC3-4174ED9A87E6}">
            <x14:dataBar minLength="0" maxLength="100" border="1" gradient="0">
              <x14:cfvo type="num">
                <xm:f>0</xm:f>
              </x14:cfvo>
              <x14:cfvo type="num">
                <xm:f>1</xm:f>
              </x14:cfvo>
              <x14:borderColor theme="0"/>
              <x14:negativeFillColor rgb="FFFF0000"/>
              <x14:axisColor rgb="FF000000"/>
            </x14:dataBar>
          </x14:cfRule>
          <xm:sqref>N1569</xm:sqref>
        </x14:conditionalFormatting>
        <x14:conditionalFormatting xmlns:xm="http://schemas.microsoft.com/office/excel/2006/main">
          <x14:cfRule type="dataBar" id="{28625C00-29A9-4560-A0CF-74C0D1532F4B}">
            <x14:dataBar minLength="0" maxLength="100" border="1" gradient="0">
              <x14:cfvo type="num">
                <xm:f>0</xm:f>
              </x14:cfvo>
              <x14:cfvo type="num">
                <xm:f>1</xm:f>
              </x14:cfvo>
              <x14:borderColor theme="0"/>
              <x14:negativeFillColor rgb="FFFF0000"/>
              <x14:axisColor rgb="FF000000"/>
            </x14:dataBar>
          </x14:cfRule>
          <xm:sqref>N1571</xm:sqref>
        </x14:conditionalFormatting>
        <x14:conditionalFormatting xmlns:xm="http://schemas.microsoft.com/office/excel/2006/main">
          <x14:cfRule type="dataBar" id="{E1765C3C-782A-4223-858E-4B5918A09E0A}">
            <x14:dataBar minLength="0" maxLength="100" border="1" gradient="0">
              <x14:cfvo type="num">
                <xm:f>0</xm:f>
              </x14:cfvo>
              <x14:cfvo type="num">
                <xm:f>1</xm:f>
              </x14:cfvo>
              <x14:borderColor theme="0"/>
              <x14:negativeFillColor rgb="FFFF0000"/>
              <x14:axisColor rgb="FF000000"/>
            </x14:dataBar>
          </x14:cfRule>
          <xm:sqref>N1573</xm:sqref>
        </x14:conditionalFormatting>
        <x14:conditionalFormatting xmlns:xm="http://schemas.microsoft.com/office/excel/2006/main">
          <x14:cfRule type="dataBar" id="{D14F4C42-BCFD-4FD2-9D3B-DF3D5187718C}">
            <x14:dataBar minLength="0" maxLength="100" border="1" gradient="0">
              <x14:cfvo type="num">
                <xm:f>0</xm:f>
              </x14:cfvo>
              <x14:cfvo type="num">
                <xm:f>1</xm:f>
              </x14:cfvo>
              <x14:borderColor theme="0"/>
              <x14:negativeFillColor rgb="FFFF0000"/>
              <x14:axisColor rgb="FF000000"/>
            </x14:dataBar>
          </x14:cfRule>
          <xm:sqref>N1575</xm:sqref>
        </x14:conditionalFormatting>
        <x14:conditionalFormatting xmlns:xm="http://schemas.microsoft.com/office/excel/2006/main">
          <x14:cfRule type="dataBar" id="{80176282-84F7-4D8C-9A05-AAA0FB96F8B7}">
            <x14:dataBar minLength="0" maxLength="100" border="1" gradient="0">
              <x14:cfvo type="num">
                <xm:f>0</xm:f>
              </x14:cfvo>
              <x14:cfvo type="num">
                <xm:f>1</xm:f>
              </x14:cfvo>
              <x14:borderColor theme="0"/>
              <x14:negativeFillColor rgb="FFFF0000"/>
              <x14:axisColor rgb="FF000000"/>
            </x14:dataBar>
          </x14:cfRule>
          <xm:sqref>N1577</xm:sqref>
        </x14:conditionalFormatting>
        <x14:conditionalFormatting xmlns:xm="http://schemas.microsoft.com/office/excel/2006/main">
          <x14:cfRule type="dataBar" id="{FFFB6B2E-4BA5-44A7-907B-282D19BB31BF}">
            <x14:dataBar minLength="0" maxLength="100" border="1" gradient="0">
              <x14:cfvo type="num">
                <xm:f>0</xm:f>
              </x14:cfvo>
              <x14:cfvo type="num">
                <xm:f>1</xm:f>
              </x14:cfvo>
              <x14:borderColor theme="0"/>
              <x14:negativeFillColor rgb="FFFF0000"/>
              <x14:axisColor rgb="FF000000"/>
            </x14:dataBar>
          </x14:cfRule>
          <xm:sqref>N1579</xm:sqref>
        </x14:conditionalFormatting>
        <x14:conditionalFormatting xmlns:xm="http://schemas.microsoft.com/office/excel/2006/main">
          <x14:cfRule type="dataBar" id="{D18237DC-5E68-4FC4-95B0-5AAD61E3C9A2}">
            <x14:dataBar minLength="0" maxLength="100" border="1" gradient="0">
              <x14:cfvo type="num">
                <xm:f>0</xm:f>
              </x14:cfvo>
              <x14:cfvo type="num">
                <xm:f>1</xm:f>
              </x14:cfvo>
              <x14:borderColor theme="0"/>
              <x14:negativeFillColor rgb="FFFF0000"/>
              <x14:axisColor rgb="FF000000"/>
            </x14:dataBar>
          </x14:cfRule>
          <xm:sqref>N1581</xm:sqref>
        </x14:conditionalFormatting>
        <x14:conditionalFormatting xmlns:xm="http://schemas.microsoft.com/office/excel/2006/main">
          <x14:cfRule type="dataBar" id="{88366AFE-C683-46C5-9536-68162D24DFDF}">
            <x14:dataBar minLength="0" maxLength="100" border="1" gradient="0">
              <x14:cfvo type="num">
                <xm:f>0</xm:f>
              </x14:cfvo>
              <x14:cfvo type="num">
                <xm:f>1</xm:f>
              </x14:cfvo>
              <x14:borderColor theme="0"/>
              <x14:negativeFillColor rgb="FFFF0000"/>
              <x14:axisColor rgb="FF000000"/>
            </x14:dataBar>
          </x14:cfRule>
          <xm:sqref>N1583</xm:sqref>
        </x14:conditionalFormatting>
        <x14:conditionalFormatting xmlns:xm="http://schemas.microsoft.com/office/excel/2006/main">
          <x14:cfRule type="dataBar" id="{E5727FCA-0DAE-4C3F-9AB6-EB849BCD5793}">
            <x14:dataBar minLength="0" maxLength="100" border="1" gradient="0">
              <x14:cfvo type="num">
                <xm:f>0</xm:f>
              </x14:cfvo>
              <x14:cfvo type="num">
                <xm:f>1</xm:f>
              </x14:cfvo>
              <x14:borderColor theme="0"/>
              <x14:negativeFillColor rgb="FFFF0000"/>
              <x14:axisColor rgb="FF000000"/>
            </x14:dataBar>
          </x14:cfRule>
          <xm:sqref>N1585</xm:sqref>
        </x14:conditionalFormatting>
        <x14:conditionalFormatting xmlns:xm="http://schemas.microsoft.com/office/excel/2006/main">
          <x14:cfRule type="dataBar" id="{B658C69F-F1CA-453A-8C82-03B2F67D7FAA}">
            <x14:dataBar minLength="0" maxLength="100" border="1" gradient="0">
              <x14:cfvo type="num">
                <xm:f>0</xm:f>
              </x14:cfvo>
              <x14:cfvo type="num">
                <xm:f>1</xm:f>
              </x14:cfvo>
              <x14:borderColor theme="0"/>
              <x14:negativeFillColor rgb="FFFF0000"/>
              <x14:axisColor rgb="FF000000"/>
            </x14:dataBar>
          </x14:cfRule>
          <xm:sqref>N1587</xm:sqref>
        </x14:conditionalFormatting>
        <x14:conditionalFormatting xmlns:xm="http://schemas.microsoft.com/office/excel/2006/main">
          <x14:cfRule type="dataBar" id="{B81E3CFE-AFEC-414E-98B3-4E784F86B271}">
            <x14:dataBar minLength="0" maxLength="100" border="1" gradient="0">
              <x14:cfvo type="num">
                <xm:f>0</xm:f>
              </x14:cfvo>
              <x14:cfvo type="num">
                <xm:f>1</xm:f>
              </x14:cfvo>
              <x14:borderColor theme="0"/>
              <x14:negativeFillColor rgb="FFFF0000"/>
              <x14:axisColor rgb="FF000000"/>
            </x14:dataBar>
          </x14:cfRule>
          <xm:sqref>N1589</xm:sqref>
        </x14:conditionalFormatting>
        <x14:conditionalFormatting xmlns:xm="http://schemas.microsoft.com/office/excel/2006/main">
          <x14:cfRule type="dataBar" id="{0F62950C-8CB1-4AE5-83E4-8ABBFDEC8431}">
            <x14:dataBar minLength="0" maxLength="100" border="1" gradient="0">
              <x14:cfvo type="num">
                <xm:f>0</xm:f>
              </x14:cfvo>
              <x14:cfvo type="num">
                <xm:f>1</xm:f>
              </x14:cfvo>
              <x14:borderColor theme="0"/>
              <x14:negativeFillColor rgb="FFFF0000"/>
              <x14:axisColor rgb="FF000000"/>
            </x14:dataBar>
          </x14:cfRule>
          <xm:sqref>N1591</xm:sqref>
        </x14:conditionalFormatting>
        <x14:conditionalFormatting xmlns:xm="http://schemas.microsoft.com/office/excel/2006/main">
          <x14:cfRule type="dataBar" id="{5FC94FB3-B416-4818-BF39-6C6A19DDDA99}">
            <x14:dataBar minLength="0" maxLength="100" border="1" gradient="0">
              <x14:cfvo type="num">
                <xm:f>0</xm:f>
              </x14:cfvo>
              <x14:cfvo type="num">
                <xm:f>1</xm:f>
              </x14:cfvo>
              <x14:borderColor theme="0"/>
              <x14:negativeFillColor rgb="FFFF0000"/>
              <x14:axisColor rgb="FF000000"/>
            </x14:dataBar>
          </x14:cfRule>
          <xm:sqref>N1593</xm:sqref>
        </x14:conditionalFormatting>
        <x14:conditionalFormatting xmlns:xm="http://schemas.microsoft.com/office/excel/2006/main">
          <x14:cfRule type="dataBar" id="{2F18709D-885D-4D50-9251-8138A79F08F2}">
            <x14:dataBar minLength="0" maxLength="100" border="1" gradient="0">
              <x14:cfvo type="num">
                <xm:f>0</xm:f>
              </x14:cfvo>
              <x14:cfvo type="num">
                <xm:f>1</xm:f>
              </x14:cfvo>
              <x14:borderColor theme="0"/>
              <x14:negativeFillColor rgb="FFFF0000"/>
              <x14:axisColor rgb="FF000000"/>
            </x14:dataBar>
          </x14:cfRule>
          <xm:sqref>N1595</xm:sqref>
        </x14:conditionalFormatting>
        <x14:conditionalFormatting xmlns:xm="http://schemas.microsoft.com/office/excel/2006/main">
          <x14:cfRule type="dataBar" id="{DEF2926C-82CA-4037-9197-9B348579DAE5}">
            <x14:dataBar minLength="0" maxLength="100" border="1" gradient="0">
              <x14:cfvo type="num">
                <xm:f>0</xm:f>
              </x14:cfvo>
              <x14:cfvo type="num">
                <xm:f>1</xm:f>
              </x14:cfvo>
              <x14:borderColor theme="0"/>
              <x14:negativeFillColor rgb="FFFF0000"/>
              <x14:axisColor rgb="FF000000"/>
            </x14:dataBar>
          </x14:cfRule>
          <xm:sqref>N1597</xm:sqref>
        </x14:conditionalFormatting>
        <x14:conditionalFormatting xmlns:xm="http://schemas.microsoft.com/office/excel/2006/main">
          <x14:cfRule type="dataBar" id="{15CDA24F-3306-49A8-BE44-8C51D5B87535}">
            <x14:dataBar minLength="0" maxLength="100" border="1" gradient="0">
              <x14:cfvo type="num">
                <xm:f>0</xm:f>
              </x14:cfvo>
              <x14:cfvo type="num">
                <xm:f>1</xm:f>
              </x14:cfvo>
              <x14:borderColor theme="0"/>
              <x14:negativeFillColor rgb="FFFF0000"/>
              <x14:axisColor rgb="FF000000"/>
            </x14:dataBar>
          </x14:cfRule>
          <xm:sqref>N1599</xm:sqref>
        </x14:conditionalFormatting>
        <x14:conditionalFormatting xmlns:xm="http://schemas.microsoft.com/office/excel/2006/main">
          <x14:cfRule type="dataBar" id="{87191B37-C3CA-4F96-B2CE-30F7AFABE35F}">
            <x14:dataBar minLength="0" maxLength="100" border="1" gradient="0">
              <x14:cfvo type="num">
                <xm:f>0</xm:f>
              </x14:cfvo>
              <x14:cfvo type="num">
                <xm:f>1</xm:f>
              </x14:cfvo>
              <x14:borderColor theme="0"/>
              <x14:negativeFillColor rgb="FFFF0000"/>
              <x14:axisColor rgb="FF000000"/>
            </x14:dataBar>
          </x14:cfRule>
          <xm:sqref>N1601</xm:sqref>
        </x14:conditionalFormatting>
        <x14:conditionalFormatting xmlns:xm="http://schemas.microsoft.com/office/excel/2006/main">
          <x14:cfRule type="dataBar" id="{447F5EB1-897E-4989-B5C8-01F5745BD9B9}">
            <x14:dataBar minLength="0" maxLength="100" border="1" gradient="0">
              <x14:cfvo type="num">
                <xm:f>0</xm:f>
              </x14:cfvo>
              <x14:cfvo type="num">
                <xm:f>1</xm:f>
              </x14:cfvo>
              <x14:borderColor theme="0"/>
              <x14:negativeFillColor rgb="FFFF0000"/>
              <x14:axisColor rgb="FF000000"/>
            </x14:dataBar>
          </x14:cfRule>
          <xm:sqref>N1603</xm:sqref>
        </x14:conditionalFormatting>
        <x14:conditionalFormatting xmlns:xm="http://schemas.microsoft.com/office/excel/2006/main">
          <x14:cfRule type="dataBar" id="{FA57BD65-9110-4DC2-AFC3-1CCD0097DF66}">
            <x14:dataBar minLength="0" maxLength="100" border="1" gradient="0">
              <x14:cfvo type="num">
                <xm:f>0</xm:f>
              </x14:cfvo>
              <x14:cfvo type="num">
                <xm:f>1</xm:f>
              </x14:cfvo>
              <x14:borderColor theme="0"/>
              <x14:negativeFillColor rgb="FFFF0000"/>
              <x14:axisColor rgb="FF000000"/>
            </x14:dataBar>
          </x14:cfRule>
          <xm:sqref>N1605</xm:sqref>
        </x14:conditionalFormatting>
        <x14:conditionalFormatting xmlns:xm="http://schemas.microsoft.com/office/excel/2006/main">
          <x14:cfRule type="dataBar" id="{6924D45B-FA01-4F12-8393-2B161D756D2E}">
            <x14:dataBar minLength="0" maxLength="100" border="1" gradient="0">
              <x14:cfvo type="num">
                <xm:f>0</xm:f>
              </x14:cfvo>
              <x14:cfvo type="num">
                <xm:f>1</xm:f>
              </x14:cfvo>
              <x14:borderColor theme="0"/>
              <x14:negativeFillColor rgb="FFFF0000"/>
              <x14:axisColor rgb="FF000000"/>
            </x14:dataBar>
          </x14:cfRule>
          <xm:sqref>N1607</xm:sqref>
        </x14:conditionalFormatting>
        <x14:conditionalFormatting xmlns:xm="http://schemas.microsoft.com/office/excel/2006/main">
          <x14:cfRule type="dataBar" id="{86563E35-5894-4DBF-8021-FAB76679EEF6}">
            <x14:dataBar minLength="0" maxLength="100" border="1" gradient="0">
              <x14:cfvo type="num">
                <xm:f>0</xm:f>
              </x14:cfvo>
              <x14:cfvo type="num">
                <xm:f>1</xm:f>
              </x14:cfvo>
              <x14:borderColor theme="0"/>
              <x14:negativeFillColor rgb="FFFF0000"/>
              <x14:axisColor rgb="FF000000"/>
            </x14:dataBar>
          </x14:cfRule>
          <xm:sqref>N1609</xm:sqref>
        </x14:conditionalFormatting>
        <x14:conditionalFormatting xmlns:xm="http://schemas.microsoft.com/office/excel/2006/main">
          <x14:cfRule type="dataBar" id="{01DB1D3E-D535-4276-8FBE-DCEFCB916190}">
            <x14:dataBar minLength="0" maxLength="100" border="1" gradient="0">
              <x14:cfvo type="num">
                <xm:f>0</xm:f>
              </x14:cfvo>
              <x14:cfvo type="num">
                <xm:f>1</xm:f>
              </x14:cfvo>
              <x14:borderColor theme="0"/>
              <x14:negativeFillColor rgb="FFFF0000"/>
              <x14:axisColor rgb="FF000000"/>
            </x14:dataBar>
          </x14:cfRule>
          <xm:sqref>N1611</xm:sqref>
        </x14:conditionalFormatting>
        <x14:conditionalFormatting xmlns:xm="http://schemas.microsoft.com/office/excel/2006/main">
          <x14:cfRule type="dataBar" id="{1D2ACDEA-6413-460B-A4D8-DD24B3CA4F3F}">
            <x14:dataBar minLength="0" maxLength="100" border="1" gradient="0">
              <x14:cfvo type="num">
                <xm:f>0</xm:f>
              </x14:cfvo>
              <x14:cfvo type="num">
                <xm:f>1</xm:f>
              </x14:cfvo>
              <x14:borderColor theme="0"/>
              <x14:negativeFillColor rgb="FFFF0000"/>
              <x14:axisColor rgb="FF000000"/>
            </x14:dataBar>
          </x14:cfRule>
          <xm:sqref>N1613</xm:sqref>
        </x14:conditionalFormatting>
        <x14:conditionalFormatting xmlns:xm="http://schemas.microsoft.com/office/excel/2006/main">
          <x14:cfRule type="dataBar" id="{3314A469-5557-4FB8-8FE6-E5B2AF284473}">
            <x14:dataBar minLength="0" maxLength="100" border="1" gradient="0">
              <x14:cfvo type="num">
                <xm:f>0</xm:f>
              </x14:cfvo>
              <x14:cfvo type="num">
                <xm:f>1</xm:f>
              </x14:cfvo>
              <x14:borderColor theme="0"/>
              <x14:negativeFillColor rgb="FFFF0000"/>
              <x14:axisColor rgb="FF000000"/>
            </x14:dataBar>
          </x14:cfRule>
          <xm:sqref>N1617</xm:sqref>
        </x14:conditionalFormatting>
        <x14:conditionalFormatting xmlns:xm="http://schemas.microsoft.com/office/excel/2006/main">
          <x14:cfRule type="dataBar" id="{00F38980-A412-4AD1-A7BF-95FB7159BD18}">
            <x14:dataBar minLength="0" maxLength="100" border="1" gradient="0">
              <x14:cfvo type="num">
                <xm:f>0</xm:f>
              </x14:cfvo>
              <x14:cfvo type="num">
                <xm:f>1</xm:f>
              </x14:cfvo>
              <x14:borderColor theme="0"/>
              <x14:negativeFillColor rgb="FFFF0000"/>
              <x14:axisColor rgb="FF000000"/>
            </x14:dataBar>
          </x14:cfRule>
          <xm:sqref>N1619</xm:sqref>
        </x14:conditionalFormatting>
        <x14:conditionalFormatting xmlns:xm="http://schemas.microsoft.com/office/excel/2006/main">
          <x14:cfRule type="dataBar" id="{2E51DDB5-1FA1-4BF5-8720-743072DEA514}">
            <x14:dataBar minLength="0" maxLength="100" border="1" gradient="0">
              <x14:cfvo type="num">
                <xm:f>0</xm:f>
              </x14:cfvo>
              <x14:cfvo type="num">
                <xm:f>1</xm:f>
              </x14:cfvo>
              <x14:borderColor theme="0"/>
              <x14:negativeFillColor rgb="FFFF0000"/>
              <x14:axisColor rgb="FF000000"/>
            </x14:dataBar>
          </x14:cfRule>
          <xm:sqref>N1621 N1623 N1625</xm:sqref>
        </x14:conditionalFormatting>
        <x14:conditionalFormatting xmlns:xm="http://schemas.microsoft.com/office/excel/2006/main">
          <x14:cfRule type="dataBar" id="{EDE620B6-312A-432F-8B77-3974E71590A8}">
            <x14:dataBar minLength="0" maxLength="100" border="1" gradient="0">
              <x14:cfvo type="num">
                <xm:f>0</xm:f>
              </x14:cfvo>
              <x14:cfvo type="num">
                <xm:f>1</xm:f>
              </x14:cfvo>
              <x14:borderColor theme="0"/>
              <x14:negativeFillColor rgb="FFFF0000"/>
              <x14:axisColor rgb="FF000000"/>
            </x14:dataBar>
          </x14:cfRule>
          <xm:sqref>N1627</xm:sqref>
        </x14:conditionalFormatting>
        <x14:conditionalFormatting xmlns:xm="http://schemas.microsoft.com/office/excel/2006/main">
          <x14:cfRule type="dataBar" id="{388671A4-7C69-40DA-958C-D2A44DA312B6}">
            <x14:dataBar minLength="0" maxLength="100" border="1" gradient="0">
              <x14:cfvo type="num">
                <xm:f>0</xm:f>
              </x14:cfvo>
              <x14:cfvo type="num">
                <xm:f>1</xm:f>
              </x14:cfvo>
              <x14:borderColor theme="0"/>
              <x14:negativeFillColor rgb="FFFF0000"/>
              <x14:axisColor rgb="FF000000"/>
            </x14:dataBar>
          </x14:cfRule>
          <xm:sqref>N1630</xm:sqref>
        </x14:conditionalFormatting>
        <x14:conditionalFormatting xmlns:xm="http://schemas.microsoft.com/office/excel/2006/main">
          <x14:cfRule type="dataBar" id="{B968638D-8B42-42A5-BD1B-236895427907}">
            <x14:dataBar minLength="0" maxLength="100" border="1" gradient="0">
              <x14:cfvo type="num">
                <xm:f>0</xm:f>
              </x14:cfvo>
              <x14:cfvo type="num">
                <xm:f>1</xm:f>
              </x14:cfvo>
              <x14:borderColor theme="0"/>
              <x14:negativeFillColor rgb="FFFF0000"/>
              <x14:axisColor rgb="FF000000"/>
            </x14:dataBar>
          </x14:cfRule>
          <xm:sqref>N1632</xm:sqref>
        </x14:conditionalFormatting>
        <x14:conditionalFormatting xmlns:xm="http://schemas.microsoft.com/office/excel/2006/main">
          <x14:cfRule type="dataBar" id="{83959030-9EA8-437A-9F1F-566E54143957}">
            <x14:dataBar minLength="0" maxLength="100" border="1" gradient="0">
              <x14:cfvo type="num">
                <xm:f>0</xm:f>
              </x14:cfvo>
              <x14:cfvo type="num">
                <xm:f>1</xm:f>
              </x14:cfvo>
              <x14:borderColor theme="0"/>
              <x14:negativeFillColor rgb="FFFF0000"/>
              <x14:axisColor rgb="FF000000"/>
            </x14:dataBar>
          </x14:cfRule>
          <xm:sqref>N1634 N1636 N1638</xm:sqref>
        </x14:conditionalFormatting>
        <x14:conditionalFormatting xmlns:xm="http://schemas.microsoft.com/office/excel/2006/main">
          <x14:cfRule type="dataBar" id="{1ED1521E-AF2A-4150-BA06-CDFE390FAC28}">
            <x14:dataBar minLength="0" maxLength="100" border="1" gradient="0">
              <x14:cfvo type="num">
                <xm:f>0</xm:f>
              </x14:cfvo>
              <x14:cfvo type="num">
                <xm:f>1</xm:f>
              </x14:cfvo>
              <x14:borderColor theme="0"/>
              <x14:negativeFillColor rgb="FFFF0000"/>
              <x14:axisColor rgb="FF000000"/>
            </x14:dataBar>
          </x14:cfRule>
          <xm:sqref>N1640</xm:sqref>
        </x14:conditionalFormatting>
        <x14:conditionalFormatting xmlns:xm="http://schemas.microsoft.com/office/excel/2006/main">
          <x14:cfRule type="dataBar" id="{AB6121D4-8800-4EB1-8BAA-358A612EF2BA}">
            <x14:dataBar minLength="0" maxLength="100" border="1" gradient="0">
              <x14:cfvo type="num">
                <xm:f>0</xm:f>
              </x14:cfvo>
              <x14:cfvo type="num">
                <xm:f>1</xm:f>
              </x14:cfvo>
              <x14:borderColor theme="0"/>
              <x14:negativeFillColor rgb="FFFF0000"/>
              <x14:axisColor rgb="FF000000"/>
            </x14:dataBar>
          </x14:cfRule>
          <xm:sqref>N1642 N1644 N1646</xm:sqref>
        </x14:conditionalFormatting>
        <x14:conditionalFormatting xmlns:xm="http://schemas.microsoft.com/office/excel/2006/main">
          <x14:cfRule type="dataBar" id="{71CC8D26-3C37-416E-8CB5-3187BE67BA55}">
            <x14:dataBar minLength="0" maxLength="100" border="1" gradient="0">
              <x14:cfvo type="num">
                <xm:f>0</xm:f>
              </x14:cfvo>
              <x14:cfvo type="num">
                <xm:f>1</xm:f>
              </x14:cfvo>
              <x14:borderColor theme="0"/>
              <x14:negativeFillColor rgb="FFFF0000"/>
              <x14:axisColor rgb="FF000000"/>
            </x14:dataBar>
          </x14:cfRule>
          <xm:sqref>N1648</xm:sqref>
        </x14:conditionalFormatting>
        <x14:conditionalFormatting xmlns:xm="http://schemas.microsoft.com/office/excel/2006/main">
          <x14:cfRule type="dataBar" id="{0D1175A6-AC0E-4B4D-98E2-3E0FF2A43D42}">
            <x14:dataBar minLength="0" maxLength="100" border="1" gradient="0">
              <x14:cfvo type="num">
                <xm:f>0</xm:f>
              </x14:cfvo>
              <x14:cfvo type="num">
                <xm:f>1</xm:f>
              </x14:cfvo>
              <x14:borderColor theme="0"/>
              <x14:negativeFillColor rgb="FFFF0000"/>
              <x14:axisColor rgb="FF000000"/>
            </x14:dataBar>
          </x14:cfRule>
          <xm:sqref>N1650 N1652 N1654</xm:sqref>
        </x14:conditionalFormatting>
        <x14:conditionalFormatting xmlns:xm="http://schemas.microsoft.com/office/excel/2006/main">
          <x14:cfRule type="dataBar" id="{3A296614-7DD6-4A2C-98DB-8989A98637DD}">
            <x14:dataBar minLength="0" maxLength="100" border="1" gradient="0">
              <x14:cfvo type="num">
                <xm:f>0</xm:f>
              </x14:cfvo>
              <x14:cfvo type="num">
                <xm:f>1</xm:f>
              </x14:cfvo>
              <x14:borderColor theme="0"/>
              <x14:negativeFillColor rgb="FFFF0000"/>
              <x14:axisColor rgb="FF000000"/>
            </x14:dataBar>
          </x14:cfRule>
          <xm:sqref>N1656</xm:sqref>
        </x14:conditionalFormatting>
        <x14:conditionalFormatting xmlns:xm="http://schemas.microsoft.com/office/excel/2006/main">
          <x14:cfRule type="dataBar" id="{61E92DC8-A0F6-441A-B369-E9FBDED3F4D2}">
            <x14:dataBar minLength="0" maxLength="100" border="1" gradient="0">
              <x14:cfvo type="num">
                <xm:f>0</xm:f>
              </x14:cfvo>
              <x14:cfvo type="num">
                <xm:f>1</xm:f>
              </x14:cfvo>
              <x14:borderColor theme="0"/>
              <x14:negativeFillColor rgb="FFFF0000"/>
              <x14:axisColor rgb="FF000000"/>
            </x14:dataBar>
          </x14:cfRule>
          <xm:sqref>N1658 N1660 N1662</xm:sqref>
        </x14:conditionalFormatting>
        <x14:conditionalFormatting xmlns:xm="http://schemas.microsoft.com/office/excel/2006/main">
          <x14:cfRule type="dataBar" id="{D5DCCBBE-5098-4F5E-B6C1-15EA38A3FD9D}">
            <x14:dataBar minLength="0" maxLength="100" border="1" gradient="0">
              <x14:cfvo type="num">
                <xm:f>0</xm:f>
              </x14:cfvo>
              <x14:cfvo type="num">
                <xm:f>1</xm:f>
              </x14:cfvo>
              <x14:borderColor theme="0"/>
              <x14:negativeFillColor rgb="FFFF0000"/>
              <x14:axisColor rgb="FF000000"/>
            </x14:dataBar>
          </x14:cfRule>
          <xm:sqref>N1664</xm:sqref>
        </x14:conditionalFormatting>
        <x14:conditionalFormatting xmlns:xm="http://schemas.microsoft.com/office/excel/2006/main">
          <x14:cfRule type="dataBar" id="{A87D20FF-9F44-449E-9863-66555DBED05F}">
            <x14:dataBar minLength="0" maxLength="100" border="1" gradient="0">
              <x14:cfvo type="num">
                <xm:f>0</xm:f>
              </x14:cfvo>
              <x14:cfvo type="num">
                <xm:f>1</xm:f>
              </x14:cfvo>
              <x14:borderColor theme="0"/>
              <x14:negativeFillColor rgb="FFFF0000"/>
              <x14:axisColor rgb="FF000000"/>
            </x14:dataBar>
          </x14:cfRule>
          <xm:sqref>N1666 N1668 N1670</xm:sqref>
        </x14:conditionalFormatting>
        <x14:conditionalFormatting xmlns:xm="http://schemas.microsoft.com/office/excel/2006/main">
          <x14:cfRule type="dataBar" id="{88940303-1E7F-406E-BF3D-C8544256CE4A}">
            <x14:dataBar minLength="0" maxLength="100" border="1" gradient="0">
              <x14:cfvo type="num">
                <xm:f>0</xm:f>
              </x14:cfvo>
              <x14:cfvo type="num">
                <xm:f>1</xm:f>
              </x14:cfvo>
              <x14:borderColor theme="0"/>
              <x14:negativeFillColor rgb="FFFF0000"/>
              <x14:axisColor rgb="FF000000"/>
            </x14:dataBar>
          </x14:cfRule>
          <xm:sqref>N1672</xm:sqref>
        </x14:conditionalFormatting>
        <x14:conditionalFormatting xmlns:xm="http://schemas.microsoft.com/office/excel/2006/main">
          <x14:cfRule type="dataBar" id="{22D1D324-1126-4F32-BF6E-5375B2D0965B}">
            <x14:dataBar minLength="0" maxLength="100" border="1" gradient="0">
              <x14:cfvo type="num">
                <xm:f>0</xm:f>
              </x14:cfvo>
              <x14:cfvo type="num">
                <xm:f>1</xm:f>
              </x14:cfvo>
              <x14:borderColor theme="0"/>
              <x14:negativeFillColor rgb="FFFF0000"/>
              <x14:axisColor rgb="FF000000"/>
            </x14:dataBar>
          </x14:cfRule>
          <xm:sqref>N1674 N1676 N1678</xm:sqref>
        </x14:conditionalFormatting>
        <x14:conditionalFormatting xmlns:xm="http://schemas.microsoft.com/office/excel/2006/main">
          <x14:cfRule type="dataBar" id="{81DB8231-972A-40E3-B304-2C5B3F56807E}">
            <x14:dataBar minLength="0" maxLength="100" border="1" gradient="0">
              <x14:cfvo type="num">
                <xm:f>0</xm:f>
              </x14:cfvo>
              <x14:cfvo type="num">
                <xm:f>1</xm:f>
              </x14:cfvo>
              <x14:borderColor theme="0"/>
              <x14:negativeFillColor rgb="FFFF0000"/>
              <x14:axisColor rgb="FF000000"/>
            </x14:dataBar>
          </x14:cfRule>
          <xm:sqref>N1680</xm:sqref>
        </x14:conditionalFormatting>
        <x14:conditionalFormatting xmlns:xm="http://schemas.microsoft.com/office/excel/2006/main">
          <x14:cfRule type="dataBar" id="{B943604E-F5F2-48E2-8BCF-EB54EDFFA491}">
            <x14:dataBar minLength="0" maxLength="100" border="1" gradient="0">
              <x14:cfvo type="num">
                <xm:f>0</xm:f>
              </x14:cfvo>
              <x14:cfvo type="num">
                <xm:f>1</xm:f>
              </x14:cfvo>
              <x14:borderColor theme="0"/>
              <x14:negativeFillColor rgb="FFFF0000"/>
              <x14:axisColor rgb="FF000000"/>
            </x14:dataBar>
          </x14:cfRule>
          <xm:sqref>N1682 N1684 N1686</xm:sqref>
        </x14:conditionalFormatting>
        <x14:conditionalFormatting xmlns:xm="http://schemas.microsoft.com/office/excel/2006/main">
          <x14:cfRule type="dataBar" id="{8AC72BBA-9940-493E-9D79-278A84E83281}">
            <x14:dataBar minLength="0" maxLength="100" border="1" gradient="0">
              <x14:cfvo type="num">
                <xm:f>0</xm:f>
              </x14:cfvo>
              <x14:cfvo type="num">
                <xm:f>1</xm:f>
              </x14:cfvo>
              <x14:borderColor theme="0"/>
              <x14:negativeFillColor rgb="FFFF0000"/>
              <x14:axisColor rgb="FF000000"/>
            </x14:dataBar>
          </x14:cfRule>
          <xm:sqref>N1688</xm:sqref>
        </x14:conditionalFormatting>
        <x14:conditionalFormatting xmlns:xm="http://schemas.microsoft.com/office/excel/2006/main">
          <x14:cfRule type="dataBar" id="{5027D321-757C-4FE6-BB39-5E47451443DB}">
            <x14:dataBar minLength="0" maxLength="100" border="1" gradient="0">
              <x14:cfvo type="num">
                <xm:f>0</xm:f>
              </x14:cfvo>
              <x14:cfvo type="num">
                <xm:f>1</xm:f>
              </x14:cfvo>
              <x14:borderColor theme="0"/>
              <x14:negativeFillColor rgb="FFFF0000"/>
              <x14:axisColor rgb="FF000000"/>
            </x14:dataBar>
          </x14:cfRule>
          <xm:sqref>N1690 N1692 N1694</xm:sqref>
        </x14:conditionalFormatting>
        <x14:conditionalFormatting xmlns:xm="http://schemas.microsoft.com/office/excel/2006/main">
          <x14:cfRule type="dataBar" id="{3D7BCBC4-1E4B-4823-A2FE-F20A80215467}">
            <x14:dataBar minLength="0" maxLength="100" border="1" gradient="0">
              <x14:cfvo type="num">
                <xm:f>0</xm:f>
              </x14:cfvo>
              <x14:cfvo type="num">
                <xm:f>1</xm:f>
              </x14:cfvo>
              <x14:borderColor theme="0"/>
              <x14:negativeFillColor rgb="FFFF0000"/>
              <x14:axisColor rgb="FF000000"/>
            </x14:dataBar>
          </x14:cfRule>
          <xm:sqref>N1698</xm:sqref>
        </x14:conditionalFormatting>
        <x14:conditionalFormatting xmlns:xm="http://schemas.microsoft.com/office/excel/2006/main">
          <x14:cfRule type="dataBar" id="{8EEC1C3E-9644-4CC6-AD85-F473804B4181}">
            <x14:dataBar minLength="0" maxLength="100" border="1" gradient="0">
              <x14:cfvo type="num">
                <xm:f>0</xm:f>
              </x14:cfvo>
              <x14:cfvo type="num">
                <xm:f>1</xm:f>
              </x14:cfvo>
              <x14:borderColor theme="0"/>
              <x14:negativeFillColor rgb="FFFF0000"/>
              <x14:axisColor rgb="FF000000"/>
            </x14:dataBar>
          </x14:cfRule>
          <xm:sqref>N1700</xm:sqref>
        </x14:conditionalFormatting>
        <x14:conditionalFormatting xmlns:xm="http://schemas.microsoft.com/office/excel/2006/main">
          <x14:cfRule type="dataBar" id="{B44DFEE1-83C2-41EB-A2C1-F72CF4241ADD}">
            <x14:dataBar minLength="0" maxLength="100" border="1" gradient="0">
              <x14:cfvo type="num">
                <xm:f>0</xm:f>
              </x14:cfvo>
              <x14:cfvo type="num">
                <xm:f>1</xm:f>
              </x14:cfvo>
              <x14:borderColor theme="0"/>
              <x14:negativeFillColor rgb="FFFF0000"/>
              <x14:axisColor rgb="FF000000"/>
            </x14:dataBar>
          </x14:cfRule>
          <xm:sqref>N1702 N1704</xm:sqref>
        </x14:conditionalFormatting>
        <x14:conditionalFormatting xmlns:xm="http://schemas.microsoft.com/office/excel/2006/main">
          <x14:cfRule type="dataBar" id="{BDC5D82E-94C5-4AE1-8ED2-C400D238DCE0}">
            <x14:dataBar minLength="0" maxLength="100" border="1" gradient="0">
              <x14:cfvo type="num">
                <xm:f>0</xm:f>
              </x14:cfvo>
              <x14:cfvo type="num">
                <xm:f>1</xm:f>
              </x14:cfvo>
              <x14:borderColor theme="0"/>
              <x14:negativeFillColor rgb="FFFF0000"/>
              <x14:axisColor rgb="FF000000"/>
            </x14:dataBar>
          </x14:cfRule>
          <xm:sqref>N1706</xm:sqref>
        </x14:conditionalFormatting>
        <x14:conditionalFormatting xmlns:xm="http://schemas.microsoft.com/office/excel/2006/main">
          <x14:cfRule type="dataBar" id="{B9A9E62D-C8E5-4765-98DC-6B42105021E9}">
            <x14:dataBar minLength="0" maxLength="100" border="1" gradient="0">
              <x14:cfvo type="num">
                <xm:f>0</xm:f>
              </x14:cfvo>
              <x14:cfvo type="num">
                <xm:f>1</xm:f>
              </x14:cfvo>
              <x14:borderColor theme="0"/>
              <x14:negativeFillColor rgb="FFFF0000"/>
              <x14:axisColor rgb="FF000000"/>
            </x14:dataBar>
          </x14:cfRule>
          <xm:sqref>N1708</xm:sqref>
        </x14:conditionalFormatting>
        <x14:conditionalFormatting xmlns:xm="http://schemas.microsoft.com/office/excel/2006/main">
          <x14:cfRule type="dataBar" id="{3AC7E599-AA84-4FBE-B8DB-689918C6E043}">
            <x14:dataBar minLength="0" maxLength="100" border="1" gradient="0">
              <x14:cfvo type="num">
                <xm:f>0</xm:f>
              </x14:cfvo>
              <x14:cfvo type="num">
                <xm:f>1</xm:f>
              </x14:cfvo>
              <x14:borderColor theme="0"/>
              <x14:negativeFillColor rgb="FFFF0000"/>
              <x14:axisColor rgb="FF000000"/>
            </x14:dataBar>
          </x14:cfRule>
          <xm:sqref>N1710</xm:sqref>
        </x14:conditionalFormatting>
        <x14:conditionalFormatting xmlns:xm="http://schemas.microsoft.com/office/excel/2006/main">
          <x14:cfRule type="dataBar" id="{79159118-79F3-4184-9EB5-0638EC344D16}">
            <x14:dataBar minLength="0" maxLength="100" border="1" gradient="0">
              <x14:cfvo type="num">
                <xm:f>0</xm:f>
              </x14:cfvo>
              <x14:cfvo type="num">
                <xm:f>1</xm:f>
              </x14:cfvo>
              <x14:borderColor theme="0"/>
              <x14:negativeFillColor rgb="FFFF0000"/>
              <x14:axisColor rgb="FF000000"/>
            </x14:dataBar>
          </x14:cfRule>
          <xm:sqref>N1712</xm:sqref>
        </x14:conditionalFormatting>
        <x14:conditionalFormatting xmlns:xm="http://schemas.microsoft.com/office/excel/2006/main">
          <x14:cfRule type="dataBar" id="{9F9B7E77-D43B-4F06-9E04-10E504BDD344}">
            <x14:dataBar minLength="0" maxLength="100" border="1" gradient="0">
              <x14:cfvo type="num">
                <xm:f>0</xm:f>
              </x14:cfvo>
              <x14:cfvo type="num">
                <xm:f>1</xm:f>
              </x14:cfvo>
              <x14:borderColor theme="0"/>
              <x14:negativeFillColor rgb="FFFF0000"/>
              <x14:axisColor rgb="FF000000"/>
            </x14:dataBar>
          </x14:cfRule>
          <xm:sqref>N1714</xm:sqref>
        </x14:conditionalFormatting>
        <x14:conditionalFormatting xmlns:xm="http://schemas.microsoft.com/office/excel/2006/main">
          <x14:cfRule type="dataBar" id="{B70B44A9-41BA-41CF-AA0A-8DC6BBDA88FC}">
            <x14:dataBar minLength="0" maxLength="100" border="1" gradient="0">
              <x14:cfvo type="num">
                <xm:f>0</xm:f>
              </x14:cfvo>
              <x14:cfvo type="num">
                <xm:f>1</xm:f>
              </x14:cfvo>
              <x14:borderColor theme="0"/>
              <x14:negativeFillColor rgb="FFFF0000"/>
              <x14:axisColor rgb="FF000000"/>
            </x14:dataBar>
          </x14:cfRule>
          <xm:sqref>N1716</xm:sqref>
        </x14:conditionalFormatting>
        <x14:conditionalFormatting xmlns:xm="http://schemas.microsoft.com/office/excel/2006/main">
          <x14:cfRule type="dataBar" id="{BACA7764-B2C6-491D-B4E0-EAA820561753}">
            <x14:dataBar minLength="0" maxLength="100" border="1" gradient="0">
              <x14:cfvo type="num">
                <xm:f>0</xm:f>
              </x14:cfvo>
              <x14:cfvo type="num">
                <xm:f>1</xm:f>
              </x14:cfvo>
              <x14:borderColor theme="0"/>
              <x14:negativeFillColor rgb="FFFF0000"/>
              <x14:axisColor rgb="FF000000"/>
            </x14:dataBar>
          </x14:cfRule>
          <xm:sqref>N1718 N1720</xm:sqref>
        </x14:conditionalFormatting>
        <x14:conditionalFormatting xmlns:xm="http://schemas.microsoft.com/office/excel/2006/main">
          <x14:cfRule type="dataBar" id="{6CF0579B-C044-44B4-90D7-F30F83EA7827}">
            <x14:dataBar minLength="0" maxLength="100" border="1" gradient="0">
              <x14:cfvo type="num">
                <xm:f>0</xm:f>
              </x14:cfvo>
              <x14:cfvo type="num">
                <xm:f>1</xm:f>
              </x14:cfvo>
              <x14:borderColor theme="0"/>
              <x14:negativeFillColor rgb="FFFF0000"/>
              <x14:axisColor rgb="FF000000"/>
            </x14:dataBar>
          </x14:cfRule>
          <xm:sqref>N1722</xm:sqref>
        </x14:conditionalFormatting>
        <x14:conditionalFormatting xmlns:xm="http://schemas.microsoft.com/office/excel/2006/main">
          <x14:cfRule type="dataBar" id="{0B7C73CB-FF0F-4BEE-BC8D-1C70AED795BA}">
            <x14:dataBar minLength="0" maxLength="100" border="1" gradient="0">
              <x14:cfvo type="num">
                <xm:f>0</xm:f>
              </x14:cfvo>
              <x14:cfvo type="num">
                <xm:f>1</xm:f>
              </x14:cfvo>
              <x14:borderColor theme="0"/>
              <x14:negativeFillColor rgb="FFFF0000"/>
              <x14:axisColor rgb="FF000000"/>
            </x14:dataBar>
          </x14:cfRule>
          <xm:sqref>N1724</xm:sqref>
        </x14:conditionalFormatting>
        <x14:conditionalFormatting xmlns:xm="http://schemas.microsoft.com/office/excel/2006/main">
          <x14:cfRule type="dataBar" id="{CAA28241-9B6A-46D7-AABE-E2D1DC7F044E}">
            <x14:dataBar minLength="0" maxLength="100" border="1" gradient="0">
              <x14:cfvo type="num">
                <xm:f>0</xm:f>
              </x14:cfvo>
              <x14:cfvo type="num">
                <xm:f>1</xm:f>
              </x14:cfvo>
              <x14:borderColor theme="0"/>
              <x14:negativeFillColor rgb="FFFF0000"/>
              <x14:axisColor rgb="FF000000"/>
            </x14:dataBar>
          </x14:cfRule>
          <xm:sqref>N1726</xm:sqref>
        </x14:conditionalFormatting>
        <x14:conditionalFormatting xmlns:xm="http://schemas.microsoft.com/office/excel/2006/main">
          <x14:cfRule type="dataBar" id="{F1D39AE7-BFBF-4C0C-9925-A2E40D642C8C}">
            <x14:dataBar minLength="0" maxLength="100" border="1" gradient="0">
              <x14:cfvo type="num">
                <xm:f>0</xm:f>
              </x14:cfvo>
              <x14:cfvo type="num">
                <xm:f>1</xm:f>
              </x14:cfvo>
              <x14:borderColor theme="0"/>
              <x14:negativeFillColor rgb="FFFF0000"/>
              <x14:axisColor rgb="FF000000"/>
            </x14:dataBar>
          </x14:cfRule>
          <xm:sqref>N1728</xm:sqref>
        </x14:conditionalFormatting>
        <x14:conditionalFormatting xmlns:xm="http://schemas.microsoft.com/office/excel/2006/main">
          <x14:cfRule type="dataBar" id="{35095749-A00B-4463-83D8-8CC75E163B54}">
            <x14:dataBar minLength="0" maxLength="100" border="1" gradient="0">
              <x14:cfvo type="num">
                <xm:f>0</xm:f>
              </x14:cfvo>
              <x14:cfvo type="num">
                <xm:f>1</xm:f>
              </x14:cfvo>
              <x14:borderColor theme="0"/>
              <x14:negativeFillColor rgb="FFFF0000"/>
              <x14:axisColor rgb="FF000000"/>
            </x14:dataBar>
          </x14:cfRule>
          <xm:sqref>N1730</xm:sqref>
        </x14:conditionalFormatting>
        <x14:conditionalFormatting xmlns:xm="http://schemas.microsoft.com/office/excel/2006/main">
          <x14:cfRule type="dataBar" id="{F7DDFDF2-95FF-4DC4-A4A1-4979698DB0E8}">
            <x14:dataBar minLength="0" maxLength="100" border="1" gradient="0">
              <x14:cfvo type="num">
                <xm:f>0</xm:f>
              </x14:cfvo>
              <x14:cfvo type="num">
                <xm:f>1</xm:f>
              </x14:cfvo>
              <x14:borderColor theme="0"/>
              <x14:negativeFillColor rgb="FFFF0000"/>
              <x14:axisColor rgb="FF000000"/>
            </x14:dataBar>
          </x14:cfRule>
          <xm:sqref>N1732</xm:sqref>
        </x14:conditionalFormatting>
        <x14:conditionalFormatting xmlns:xm="http://schemas.microsoft.com/office/excel/2006/main">
          <x14:cfRule type="dataBar" id="{BBE521A0-1A3F-4F3F-A82E-E090BDCA4721}">
            <x14:dataBar minLength="0" maxLength="100" border="1" gradient="0">
              <x14:cfvo type="num">
                <xm:f>0</xm:f>
              </x14:cfvo>
              <x14:cfvo type="num">
                <xm:f>1</xm:f>
              </x14:cfvo>
              <x14:borderColor theme="0"/>
              <x14:negativeFillColor rgb="FFFF0000"/>
              <x14:axisColor rgb="FF000000"/>
            </x14:dataBar>
          </x14:cfRule>
          <xm:sqref>N1734 N1736</xm:sqref>
        </x14:conditionalFormatting>
        <x14:conditionalFormatting xmlns:xm="http://schemas.microsoft.com/office/excel/2006/main">
          <x14:cfRule type="dataBar" id="{C9F39D24-1065-4077-BFB6-ABFA65444A6E}">
            <x14:dataBar minLength="0" maxLength="100" border="1" gradient="0">
              <x14:cfvo type="num">
                <xm:f>0</xm:f>
              </x14:cfvo>
              <x14:cfvo type="num">
                <xm:f>1</xm:f>
              </x14:cfvo>
              <x14:borderColor theme="0"/>
              <x14:negativeFillColor rgb="FFFF0000"/>
              <x14:axisColor rgb="FF000000"/>
            </x14:dataBar>
          </x14:cfRule>
          <xm:sqref>N1738</xm:sqref>
        </x14:conditionalFormatting>
        <x14:conditionalFormatting xmlns:xm="http://schemas.microsoft.com/office/excel/2006/main">
          <x14:cfRule type="dataBar" id="{94E87464-836E-4D03-AE43-89801ABFF671}">
            <x14:dataBar minLength="0" maxLength="100" border="1" gradient="0">
              <x14:cfvo type="num">
                <xm:f>0</xm:f>
              </x14:cfvo>
              <x14:cfvo type="num">
                <xm:f>1</xm:f>
              </x14:cfvo>
              <x14:borderColor theme="0"/>
              <x14:negativeFillColor rgb="FFFF0000"/>
              <x14:axisColor rgb="FF000000"/>
            </x14:dataBar>
          </x14:cfRule>
          <xm:sqref>N1740</xm:sqref>
        </x14:conditionalFormatting>
        <x14:conditionalFormatting xmlns:xm="http://schemas.microsoft.com/office/excel/2006/main">
          <x14:cfRule type="dataBar" id="{E63FE1EF-1585-4E92-ACA2-C56818D71722}">
            <x14:dataBar minLength="0" maxLength="100" border="1" gradient="0">
              <x14:cfvo type="num">
                <xm:f>0</xm:f>
              </x14:cfvo>
              <x14:cfvo type="num">
                <xm:f>1</xm:f>
              </x14:cfvo>
              <x14:borderColor theme="0"/>
              <x14:negativeFillColor rgb="FFFF0000"/>
              <x14:axisColor rgb="FF000000"/>
            </x14:dataBar>
          </x14:cfRule>
          <xm:sqref>N1742</xm:sqref>
        </x14:conditionalFormatting>
        <x14:conditionalFormatting xmlns:xm="http://schemas.microsoft.com/office/excel/2006/main">
          <x14:cfRule type="dataBar" id="{E175DCED-3E51-4F22-8168-E9F6F66F9953}">
            <x14:dataBar minLength="0" maxLength="100" border="1" gradient="0">
              <x14:cfvo type="num">
                <xm:f>0</xm:f>
              </x14:cfvo>
              <x14:cfvo type="num">
                <xm:f>1</xm:f>
              </x14:cfvo>
              <x14:borderColor theme="0"/>
              <x14:negativeFillColor rgb="FFFF0000"/>
              <x14:axisColor rgb="FF000000"/>
            </x14:dataBar>
          </x14:cfRule>
          <xm:sqref>N1744</xm:sqref>
        </x14:conditionalFormatting>
        <x14:conditionalFormatting xmlns:xm="http://schemas.microsoft.com/office/excel/2006/main">
          <x14:cfRule type="dataBar" id="{73E1B732-4944-4D33-9CF7-736DA9381440}">
            <x14:dataBar minLength="0" maxLength="100" border="1" gradient="0">
              <x14:cfvo type="num">
                <xm:f>0</xm:f>
              </x14:cfvo>
              <x14:cfvo type="num">
                <xm:f>1</xm:f>
              </x14:cfvo>
              <x14:borderColor theme="0"/>
              <x14:negativeFillColor rgb="FFFF0000"/>
              <x14:axisColor rgb="FF000000"/>
            </x14:dataBar>
          </x14:cfRule>
          <xm:sqref>N1746</xm:sqref>
        </x14:conditionalFormatting>
        <x14:conditionalFormatting xmlns:xm="http://schemas.microsoft.com/office/excel/2006/main">
          <x14:cfRule type="dataBar" id="{2EB5DA21-3E41-4678-B027-21E68E79B623}">
            <x14:dataBar minLength="0" maxLength="100" border="1" gradient="0">
              <x14:cfvo type="num">
                <xm:f>0</xm:f>
              </x14:cfvo>
              <x14:cfvo type="num">
                <xm:f>1</xm:f>
              </x14:cfvo>
              <x14:borderColor theme="0"/>
              <x14:negativeFillColor rgb="FFFF0000"/>
              <x14:axisColor rgb="FF000000"/>
            </x14:dataBar>
          </x14:cfRule>
          <xm:sqref>N1748</xm:sqref>
        </x14:conditionalFormatting>
        <x14:conditionalFormatting xmlns:xm="http://schemas.microsoft.com/office/excel/2006/main">
          <x14:cfRule type="dataBar" id="{D528EA37-E716-43A7-91CB-6F97753AE668}">
            <x14:dataBar minLength="0" maxLength="100" border="1" gradient="0">
              <x14:cfvo type="num">
                <xm:f>0</xm:f>
              </x14:cfvo>
              <x14:cfvo type="num">
                <xm:f>1</xm:f>
              </x14:cfvo>
              <x14:borderColor theme="0"/>
              <x14:negativeFillColor rgb="FFFF0000"/>
              <x14:axisColor rgb="FF000000"/>
            </x14:dataBar>
          </x14:cfRule>
          <xm:sqref>N1750 N1752</xm:sqref>
        </x14:conditionalFormatting>
        <x14:conditionalFormatting xmlns:xm="http://schemas.microsoft.com/office/excel/2006/main">
          <x14:cfRule type="dataBar" id="{2B6A506D-3A06-472E-A5DD-45F4DD8B6C40}">
            <x14:dataBar minLength="0" maxLength="100" border="1" gradient="0">
              <x14:cfvo type="num">
                <xm:f>0</xm:f>
              </x14:cfvo>
              <x14:cfvo type="num">
                <xm:f>1</xm:f>
              </x14:cfvo>
              <x14:borderColor theme="0"/>
              <x14:negativeFillColor rgb="FFFF0000"/>
              <x14:axisColor rgb="FF000000"/>
            </x14:dataBar>
          </x14:cfRule>
          <xm:sqref>N1754</xm:sqref>
        </x14:conditionalFormatting>
        <x14:conditionalFormatting xmlns:xm="http://schemas.microsoft.com/office/excel/2006/main">
          <x14:cfRule type="dataBar" id="{AC5B2C5B-7D7C-4C93-955C-354B25243AD4}">
            <x14:dataBar minLength="0" maxLength="100" border="1" gradient="0">
              <x14:cfvo type="num">
                <xm:f>0</xm:f>
              </x14:cfvo>
              <x14:cfvo type="num">
                <xm:f>1</xm:f>
              </x14:cfvo>
              <x14:borderColor theme="0"/>
              <x14:negativeFillColor rgb="FFFF0000"/>
              <x14:axisColor rgb="FF000000"/>
            </x14:dataBar>
          </x14:cfRule>
          <xm:sqref>N1756</xm:sqref>
        </x14:conditionalFormatting>
        <x14:conditionalFormatting xmlns:xm="http://schemas.microsoft.com/office/excel/2006/main">
          <x14:cfRule type="dataBar" id="{76EB3FE9-A355-497A-A068-2A1C82ACC5F6}">
            <x14:dataBar minLength="0" maxLength="100" border="1" gradient="0">
              <x14:cfvo type="num">
                <xm:f>0</xm:f>
              </x14:cfvo>
              <x14:cfvo type="num">
                <xm:f>1</xm:f>
              </x14:cfvo>
              <x14:borderColor theme="0"/>
              <x14:negativeFillColor rgb="FFFF0000"/>
              <x14:axisColor rgb="FF000000"/>
            </x14:dataBar>
          </x14:cfRule>
          <xm:sqref>N1758</xm:sqref>
        </x14:conditionalFormatting>
        <x14:conditionalFormatting xmlns:xm="http://schemas.microsoft.com/office/excel/2006/main">
          <x14:cfRule type="dataBar" id="{217B6A88-4370-4525-B381-EBD25D87E373}">
            <x14:dataBar minLength="0" maxLength="100" border="1" gradient="0">
              <x14:cfvo type="num">
                <xm:f>0</xm:f>
              </x14:cfvo>
              <x14:cfvo type="num">
                <xm:f>1</xm:f>
              </x14:cfvo>
              <x14:borderColor theme="0"/>
              <x14:negativeFillColor rgb="FFFF0000"/>
              <x14:axisColor rgb="FF000000"/>
            </x14:dataBar>
          </x14:cfRule>
          <xm:sqref>N1760</xm:sqref>
        </x14:conditionalFormatting>
        <x14:conditionalFormatting xmlns:xm="http://schemas.microsoft.com/office/excel/2006/main">
          <x14:cfRule type="dataBar" id="{2451981E-0BA8-4F93-9E55-A9E986D0A272}">
            <x14:dataBar minLength="0" maxLength="100" border="1" gradient="0">
              <x14:cfvo type="num">
                <xm:f>0</xm:f>
              </x14:cfvo>
              <x14:cfvo type="num">
                <xm:f>1</xm:f>
              </x14:cfvo>
              <x14:borderColor theme="0"/>
              <x14:negativeFillColor rgb="FFFF0000"/>
              <x14:axisColor rgb="FF000000"/>
            </x14:dataBar>
          </x14:cfRule>
          <xm:sqref>N1762</xm:sqref>
        </x14:conditionalFormatting>
        <x14:conditionalFormatting xmlns:xm="http://schemas.microsoft.com/office/excel/2006/main">
          <x14:cfRule type="dataBar" id="{3E73D683-64D0-448F-B938-F8D8C336758E}">
            <x14:dataBar minLength="0" maxLength="100" border="1" gradient="0">
              <x14:cfvo type="num">
                <xm:f>0</xm:f>
              </x14:cfvo>
              <x14:cfvo type="num">
                <xm:f>1</xm:f>
              </x14:cfvo>
              <x14:borderColor theme="0"/>
              <x14:negativeFillColor rgb="FFFF0000"/>
              <x14:axisColor rgb="FF000000"/>
            </x14:dataBar>
          </x14:cfRule>
          <xm:sqref>N1764</xm:sqref>
        </x14:conditionalFormatting>
        <x14:conditionalFormatting xmlns:xm="http://schemas.microsoft.com/office/excel/2006/main">
          <x14:cfRule type="dataBar" id="{CE29762A-3360-434C-B0BD-B4B299FF71F8}">
            <x14:dataBar minLength="0" maxLength="100" border="1" gradient="0">
              <x14:cfvo type="num">
                <xm:f>0</xm:f>
              </x14:cfvo>
              <x14:cfvo type="num">
                <xm:f>1</xm:f>
              </x14:cfvo>
              <x14:borderColor theme="0"/>
              <x14:negativeFillColor rgb="FFFF0000"/>
              <x14:axisColor rgb="FF000000"/>
            </x14:dataBar>
          </x14:cfRule>
          <xm:sqref>N1766</xm:sqref>
        </x14:conditionalFormatting>
        <x14:conditionalFormatting xmlns:xm="http://schemas.microsoft.com/office/excel/2006/main">
          <x14:cfRule type="dataBar" id="{EA6B1E48-C242-4840-8DC9-26BAE8CFA850}">
            <x14:dataBar minLength="0" maxLength="100" border="1" gradient="0">
              <x14:cfvo type="num">
                <xm:f>0</xm:f>
              </x14:cfvo>
              <x14:cfvo type="num">
                <xm:f>1</xm:f>
              </x14:cfvo>
              <x14:borderColor theme="0"/>
              <x14:negativeFillColor rgb="FFFF0000"/>
              <x14:axisColor rgb="FF000000"/>
            </x14:dataBar>
          </x14:cfRule>
          <xm:sqref>N1770</xm:sqref>
        </x14:conditionalFormatting>
        <x14:conditionalFormatting xmlns:xm="http://schemas.microsoft.com/office/excel/2006/main">
          <x14:cfRule type="dataBar" id="{5EA77BBB-1E26-4DC6-9A14-D83D70688DF6}">
            <x14:dataBar minLength="0" maxLength="100" border="1" gradient="0">
              <x14:cfvo type="num">
                <xm:f>0</xm:f>
              </x14:cfvo>
              <x14:cfvo type="num">
                <xm:f>1</xm:f>
              </x14:cfvo>
              <x14:borderColor theme="0"/>
              <x14:negativeFillColor rgb="FFFF0000"/>
              <x14:axisColor rgb="FF000000"/>
            </x14:dataBar>
          </x14:cfRule>
          <xm:sqref>N1773</xm:sqref>
        </x14:conditionalFormatting>
        <x14:conditionalFormatting xmlns:xm="http://schemas.microsoft.com/office/excel/2006/main">
          <x14:cfRule type="dataBar" id="{25D5A0C2-7082-414C-84BA-AB22FD7009E8}">
            <x14:dataBar minLength="0" maxLength="100" border="1" gradient="0">
              <x14:cfvo type="num">
                <xm:f>0</xm:f>
              </x14:cfvo>
              <x14:cfvo type="num">
                <xm:f>1</xm:f>
              </x14:cfvo>
              <x14:borderColor theme="0"/>
              <x14:negativeFillColor rgb="FFFF0000"/>
              <x14:axisColor rgb="FF000000"/>
            </x14:dataBar>
          </x14:cfRule>
          <xm:sqref>N1775</xm:sqref>
        </x14:conditionalFormatting>
        <x14:conditionalFormatting xmlns:xm="http://schemas.microsoft.com/office/excel/2006/main">
          <x14:cfRule type="dataBar" id="{4444C1FF-5DE5-41A1-9753-41338137CD52}">
            <x14:dataBar minLength="0" maxLength="100" border="1" gradient="0">
              <x14:cfvo type="num">
                <xm:f>0</xm:f>
              </x14:cfvo>
              <x14:cfvo type="num">
                <xm:f>1</xm:f>
              </x14:cfvo>
              <x14:borderColor theme="0"/>
              <x14:negativeFillColor rgb="FFFF0000"/>
              <x14:axisColor rgb="FF000000"/>
            </x14:dataBar>
          </x14:cfRule>
          <xm:sqref>N1777</xm:sqref>
        </x14:conditionalFormatting>
        <x14:conditionalFormatting xmlns:xm="http://schemas.microsoft.com/office/excel/2006/main">
          <x14:cfRule type="dataBar" id="{10765707-FF66-4044-A0A1-C16530B26FCD}">
            <x14:dataBar minLength="0" maxLength="100" border="1" gradient="0">
              <x14:cfvo type="num">
                <xm:f>0</xm:f>
              </x14:cfvo>
              <x14:cfvo type="num">
                <xm:f>1</xm:f>
              </x14:cfvo>
              <x14:borderColor theme="0"/>
              <x14:negativeFillColor rgb="FFFF0000"/>
              <x14:axisColor rgb="FF000000"/>
            </x14:dataBar>
          </x14:cfRule>
          <xm:sqref>N1779</xm:sqref>
        </x14:conditionalFormatting>
        <x14:conditionalFormatting xmlns:xm="http://schemas.microsoft.com/office/excel/2006/main">
          <x14:cfRule type="dataBar" id="{405294BE-5D12-402C-9900-0D5D118A0BDD}">
            <x14:dataBar minLength="0" maxLength="100" border="1" gradient="0">
              <x14:cfvo type="num">
                <xm:f>0</xm:f>
              </x14:cfvo>
              <x14:cfvo type="num">
                <xm:f>1</xm:f>
              </x14:cfvo>
              <x14:borderColor theme="0"/>
              <x14:negativeFillColor rgb="FFFF0000"/>
              <x14:axisColor rgb="FF000000"/>
            </x14:dataBar>
          </x14:cfRule>
          <xm:sqref>N1781</xm:sqref>
        </x14:conditionalFormatting>
        <x14:conditionalFormatting xmlns:xm="http://schemas.microsoft.com/office/excel/2006/main">
          <x14:cfRule type="dataBar" id="{CD4C4776-3B75-4803-9D3D-294EAA7A4591}">
            <x14:dataBar minLength="0" maxLength="100" border="1" gradient="0">
              <x14:cfvo type="num">
                <xm:f>0</xm:f>
              </x14:cfvo>
              <x14:cfvo type="num">
                <xm:f>1</xm:f>
              </x14:cfvo>
              <x14:borderColor theme="0"/>
              <x14:negativeFillColor rgb="FFFF0000"/>
              <x14:axisColor rgb="FF000000"/>
            </x14:dataBar>
          </x14:cfRule>
          <xm:sqref>N1783</xm:sqref>
        </x14:conditionalFormatting>
        <x14:conditionalFormatting xmlns:xm="http://schemas.microsoft.com/office/excel/2006/main">
          <x14:cfRule type="dataBar" id="{070CCB42-14DF-4AF0-A65D-7983BB5BB3EC}">
            <x14:dataBar minLength="0" maxLength="100" border="1" gradient="0">
              <x14:cfvo type="num">
                <xm:f>0</xm:f>
              </x14:cfvo>
              <x14:cfvo type="num">
                <xm:f>1</xm:f>
              </x14:cfvo>
              <x14:borderColor theme="0"/>
              <x14:negativeFillColor rgb="FFFF0000"/>
              <x14:axisColor rgb="FF000000"/>
            </x14:dataBar>
          </x14:cfRule>
          <xm:sqref>N1785 N1787</xm:sqref>
        </x14:conditionalFormatting>
        <x14:conditionalFormatting xmlns:xm="http://schemas.microsoft.com/office/excel/2006/main">
          <x14:cfRule type="dataBar" id="{26213592-36B8-4997-8A2F-61A4694C529F}">
            <x14:dataBar minLength="0" maxLength="100" border="1" gradient="0">
              <x14:cfvo type="num">
                <xm:f>0</xm:f>
              </x14:cfvo>
              <x14:cfvo type="num">
                <xm:f>1</xm:f>
              </x14:cfvo>
              <x14:borderColor theme="0"/>
              <x14:negativeFillColor rgb="FFFF0000"/>
              <x14:axisColor rgb="FF000000"/>
            </x14:dataBar>
          </x14:cfRule>
          <xm:sqref>N1789</xm:sqref>
        </x14:conditionalFormatting>
        <x14:conditionalFormatting xmlns:xm="http://schemas.microsoft.com/office/excel/2006/main">
          <x14:cfRule type="dataBar" id="{31AC6B40-995C-4D3A-A15F-F86D52A30FB9}">
            <x14:dataBar minLength="0" maxLength="100" border="1" gradient="0">
              <x14:cfvo type="num">
                <xm:f>0</xm:f>
              </x14:cfvo>
              <x14:cfvo type="num">
                <xm:f>1</xm:f>
              </x14:cfvo>
              <x14:borderColor theme="0"/>
              <x14:negativeFillColor rgb="FFFF0000"/>
              <x14:axisColor rgb="FF000000"/>
            </x14:dataBar>
          </x14:cfRule>
          <xm:sqref>N1791</xm:sqref>
        </x14:conditionalFormatting>
        <x14:conditionalFormatting xmlns:xm="http://schemas.microsoft.com/office/excel/2006/main">
          <x14:cfRule type="dataBar" id="{50C98D6C-9C08-4D24-9011-5F7FF53FC24B}">
            <x14:dataBar minLength="0" maxLength="100" border="1" gradient="0">
              <x14:cfvo type="num">
                <xm:f>0</xm:f>
              </x14:cfvo>
              <x14:cfvo type="num">
                <xm:f>1</xm:f>
              </x14:cfvo>
              <x14:borderColor theme="0"/>
              <x14:negativeFillColor rgb="FFFF0000"/>
              <x14:axisColor rgb="FF000000"/>
            </x14:dataBar>
          </x14:cfRule>
          <xm:sqref>N1793</xm:sqref>
        </x14:conditionalFormatting>
        <x14:conditionalFormatting xmlns:xm="http://schemas.microsoft.com/office/excel/2006/main">
          <x14:cfRule type="dataBar" id="{6D586508-0FF0-412B-B0BA-3460069BB958}">
            <x14:dataBar minLength="0" maxLength="100" border="1" gradient="0">
              <x14:cfvo type="num">
                <xm:f>0</xm:f>
              </x14:cfvo>
              <x14:cfvo type="num">
                <xm:f>1</xm:f>
              </x14:cfvo>
              <x14:borderColor theme="0"/>
              <x14:negativeFillColor rgb="FFFF0000"/>
              <x14:axisColor rgb="FF000000"/>
            </x14:dataBar>
          </x14:cfRule>
          <xm:sqref>N1795</xm:sqref>
        </x14:conditionalFormatting>
        <x14:conditionalFormatting xmlns:xm="http://schemas.microsoft.com/office/excel/2006/main">
          <x14:cfRule type="dataBar" id="{4A59304B-E06D-41EE-ABB7-AC70E22BFD9E}">
            <x14:dataBar minLength="0" maxLength="100" border="1" gradient="0">
              <x14:cfvo type="num">
                <xm:f>0</xm:f>
              </x14:cfvo>
              <x14:cfvo type="num">
                <xm:f>1</xm:f>
              </x14:cfvo>
              <x14:borderColor theme="0"/>
              <x14:negativeFillColor rgb="FFFF0000"/>
              <x14:axisColor rgb="FF000000"/>
            </x14:dataBar>
          </x14:cfRule>
          <xm:sqref>N1797 N1799</xm:sqref>
        </x14:conditionalFormatting>
        <x14:conditionalFormatting xmlns:xm="http://schemas.microsoft.com/office/excel/2006/main">
          <x14:cfRule type="dataBar" id="{32D35ED7-A3B1-40D4-88DF-A11ECF2FD4C7}">
            <x14:dataBar minLength="0" maxLength="100" border="1" gradient="0">
              <x14:cfvo type="num">
                <xm:f>0</xm:f>
              </x14:cfvo>
              <x14:cfvo type="num">
                <xm:f>1</xm:f>
              </x14:cfvo>
              <x14:borderColor theme="0"/>
              <x14:negativeFillColor rgb="FFFF0000"/>
              <x14:axisColor rgb="FF000000"/>
            </x14:dataBar>
          </x14:cfRule>
          <xm:sqref>N1801</xm:sqref>
        </x14:conditionalFormatting>
        <x14:conditionalFormatting xmlns:xm="http://schemas.microsoft.com/office/excel/2006/main">
          <x14:cfRule type="dataBar" id="{9AC8B635-4180-404B-B455-0DDBA5D92CD3}">
            <x14:dataBar minLength="0" maxLength="100" border="1" gradient="0">
              <x14:cfvo type="num">
                <xm:f>0</xm:f>
              </x14:cfvo>
              <x14:cfvo type="num">
                <xm:f>1</xm:f>
              </x14:cfvo>
              <x14:borderColor theme="0"/>
              <x14:negativeFillColor rgb="FFFF0000"/>
              <x14:axisColor rgb="FF000000"/>
            </x14:dataBar>
          </x14:cfRule>
          <xm:sqref>N1803</xm:sqref>
        </x14:conditionalFormatting>
        <x14:conditionalFormatting xmlns:xm="http://schemas.microsoft.com/office/excel/2006/main">
          <x14:cfRule type="dataBar" id="{16BB119C-7E0F-4081-BACD-F14680191C9B}">
            <x14:dataBar minLength="0" maxLength="100" border="1" gradient="0">
              <x14:cfvo type="num">
                <xm:f>0</xm:f>
              </x14:cfvo>
              <x14:cfvo type="num">
                <xm:f>1</xm:f>
              </x14:cfvo>
              <x14:borderColor theme="0"/>
              <x14:negativeFillColor rgb="FFFF0000"/>
              <x14:axisColor rgb="FF000000"/>
            </x14:dataBar>
          </x14:cfRule>
          <xm:sqref>N1806</xm:sqref>
        </x14:conditionalFormatting>
        <x14:conditionalFormatting xmlns:xm="http://schemas.microsoft.com/office/excel/2006/main">
          <x14:cfRule type="dataBar" id="{FFBA46F7-6321-4F91-AB1C-FBB775FC80B9}">
            <x14:dataBar minLength="0" maxLength="100" border="1" gradient="0">
              <x14:cfvo type="num">
                <xm:f>0</xm:f>
              </x14:cfvo>
              <x14:cfvo type="num">
                <xm:f>1</xm:f>
              </x14:cfvo>
              <x14:borderColor theme="0"/>
              <x14:negativeFillColor rgb="FFFF0000"/>
              <x14:axisColor rgb="FF000000"/>
            </x14:dataBar>
          </x14:cfRule>
          <xm:sqref>N1808</xm:sqref>
        </x14:conditionalFormatting>
        <x14:conditionalFormatting xmlns:xm="http://schemas.microsoft.com/office/excel/2006/main">
          <x14:cfRule type="dataBar" id="{FBD44E14-F462-40F3-84AB-D5536B57D770}">
            <x14:dataBar minLength="0" maxLength="100" border="1" gradient="0">
              <x14:cfvo type="num">
                <xm:f>0</xm:f>
              </x14:cfvo>
              <x14:cfvo type="num">
                <xm:f>1</xm:f>
              </x14:cfvo>
              <x14:borderColor theme="0"/>
              <x14:negativeFillColor rgb="FFFF0000"/>
              <x14:axisColor rgb="FF000000"/>
            </x14:dataBar>
          </x14:cfRule>
          <xm:sqref>N1810</xm:sqref>
        </x14:conditionalFormatting>
        <x14:conditionalFormatting xmlns:xm="http://schemas.microsoft.com/office/excel/2006/main">
          <x14:cfRule type="dataBar" id="{D88EC18B-28D1-4F90-B527-571FDB9AA636}">
            <x14:dataBar minLength="0" maxLength="100" border="1" gradient="0">
              <x14:cfvo type="num">
                <xm:f>0</xm:f>
              </x14:cfvo>
              <x14:cfvo type="num">
                <xm:f>1</xm:f>
              </x14:cfvo>
              <x14:borderColor theme="0"/>
              <x14:negativeFillColor rgb="FFFF0000"/>
              <x14:axisColor rgb="FF000000"/>
            </x14:dataBar>
          </x14:cfRule>
          <xm:sqref>N1812</xm:sqref>
        </x14:conditionalFormatting>
        <x14:conditionalFormatting xmlns:xm="http://schemas.microsoft.com/office/excel/2006/main">
          <x14:cfRule type="dataBar" id="{9B1E08E6-321B-4419-832C-3F81F84A86AC}">
            <x14:dataBar minLength="0" maxLength="100" border="1" gradient="0">
              <x14:cfvo type="num">
                <xm:f>0</xm:f>
              </x14:cfvo>
              <x14:cfvo type="num">
                <xm:f>1</xm:f>
              </x14:cfvo>
              <x14:borderColor theme="0"/>
              <x14:negativeFillColor rgb="FFFF0000"/>
              <x14:axisColor rgb="FF000000"/>
            </x14:dataBar>
          </x14:cfRule>
          <xm:sqref>N1814</xm:sqref>
        </x14:conditionalFormatting>
        <x14:conditionalFormatting xmlns:xm="http://schemas.microsoft.com/office/excel/2006/main">
          <x14:cfRule type="dataBar" id="{FDA9FFEB-382E-4A9A-AEB3-62FCE205E868}">
            <x14:dataBar minLength="0" maxLength="100" border="1" gradient="0">
              <x14:cfvo type="num">
                <xm:f>0</xm:f>
              </x14:cfvo>
              <x14:cfvo type="num">
                <xm:f>1</xm:f>
              </x14:cfvo>
              <x14:borderColor theme="0"/>
              <x14:negativeFillColor rgb="FFFF0000"/>
              <x14:axisColor rgb="FF000000"/>
            </x14:dataBar>
          </x14:cfRule>
          <xm:sqref>N1816 N1818</xm:sqref>
        </x14:conditionalFormatting>
        <x14:conditionalFormatting xmlns:xm="http://schemas.microsoft.com/office/excel/2006/main">
          <x14:cfRule type="dataBar" id="{CB76407F-5C32-4255-AA6F-24581FFC7A28}">
            <x14:dataBar minLength="0" maxLength="100" border="1" gradient="0">
              <x14:cfvo type="num">
                <xm:f>0</xm:f>
              </x14:cfvo>
              <x14:cfvo type="num">
                <xm:f>1</xm:f>
              </x14:cfvo>
              <x14:borderColor theme="0"/>
              <x14:negativeFillColor rgb="FFFF0000"/>
              <x14:axisColor rgb="FF000000"/>
            </x14:dataBar>
          </x14:cfRule>
          <xm:sqref>N1820</xm:sqref>
        </x14:conditionalFormatting>
        <x14:conditionalFormatting xmlns:xm="http://schemas.microsoft.com/office/excel/2006/main">
          <x14:cfRule type="dataBar" id="{4C54AE72-B3CC-4535-A231-397DC8409E3C}">
            <x14:dataBar minLength="0" maxLength="100" border="1" gradient="0">
              <x14:cfvo type="num">
                <xm:f>0</xm:f>
              </x14:cfvo>
              <x14:cfvo type="num">
                <xm:f>1</xm:f>
              </x14:cfvo>
              <x14:borderColor theme="0"/>
              <x14:negativeFillColor rgb="FFFF0000"/>
              <x14:axisColor rgb="FF000000"/>
            </x14:dataBar>
          </x14:cfRule>
          <xm:sqref>N1822</xm:sqref>
        </x14:conditionalFormatting>
        <x14:conditionalFormatting xmlns:xm="http://schemas.microsoft.com/office/excel/2006/main">
          <x14:cfRule type="dataBar" id="{EE1C46D6-5952-479C-893A-7B1EDFD9BF0D}">
            <x14:dataBar minLength="0" maxLength="100" border="1" gradient="0">
              <x14:cfvo type="num">
                <xm:f>0</xm:f>
              </x14:cfvo>
              <x14:cfvo type="num">
                <xm:f>1</xm:f>
              </x14:cfvo>
              <x14:borderColor theme="0"/>
              <x14:negativeFillColor rgb="FFFF0000"/>
              <x14:axisColor rgb="FF000000"/>
            </x14:dataBar>
          </x14:cfRule>
          <xm:sqref>N1824 N1826</xm:sqref>
        </x14:conditionalFormatting>
        <x14:conditionalFormatting xmlns:xm="http://schemas.microsoft.com/office/excel/2006/main">
          <x14:cfRule type="dataBar" id="{5BD2F04D-5A6C-4DFD-ACE0-6E510352C6B6}">
            <x14:dataBar minLength="0" maxLength="100" border="1" gradient="0">
              <x14:cfvo type="num">
                <xm:f>0</xm:f>
              </x14:cfvo>
              <x14:cfvo type="num">
                <xm:f>1</xm:f>
              </x14:cfvo>
              <x14:borderColor theme="0"/>
              <x14:negativeFillColor rgb="FFFF0000"/>
              <x14:axisColor rgb="FF000000"/>
            </x14:dataBar>
          </x14:cfRule>
          <xm:sqref>N1828</xm:sqref>
        </x14:conditionalFormatting>
        <x14:conditionalFormatting xmlns:xm="http://schemas.microsoft.com/office/excel/2006/main">
          <x14:cfRule type="dataBar" id="{9E38FFA4-535A-471A-8175-A4A1F1D5EE4F}">
            <x14:dataBar minLength="0" maxLength="100" border="1" gradient="0">
              <x14:cfvo type="num">
                <xm:f>0</xm:f>
              </x14:cfvo>
              <x14:cfvo type="num">
                <xm:f>1</xm:f>
              </x14:cfvo>
              <x14:borderColor theme="0"/>
              <x14:negativeFillColor rgb="FFFF0000"/>
              <x14:axisColor rgb="FF000000"/>
            </x14:dataBar>
          </x14:cfRule>
          <xm:sqref>N1830</xm:sqref>
        </x14:conditionalFormatting>
        <x14:conditionalFormatting xmlns:xm="http://schemas.microsoft.com/office/excel/2006/main">
          <x14:cfRule type="dataBar" id="{829A4D7B-F712-41AC-A8D2-E4721726E0F9}">
            <x14:dataBar minLength="0" maxLength="100" border="1" gradient="0">
              <x14:cfvo type="num">
                <xm:f>0</xm:f>
              </x14:cfvo>
              <x14:cfvo type="num">
                <xm:f>1</xm:f>
              </x14:cfvo>
              <x14:borderColor theme="0"/>
              <x14:negativeFillColor rgb="FFFF0000"/>
              <x14:axisColor rgb="FF000000"/>
            </x14:dataBar>
          </x14:cfRule>
          <xm:sqref>N1832 N1834</xm:sqref>
        </x14:conditionalFormatting>
        <x14:conditionalFormatting xmlns:xm="http://schemas.microsoft.com/office/excel/2006/main">
          <x14:cfRule type="dataBar" id="{4EB2D2A3-F296-436E-85EC-DC443B924908}">
            <x14:dataBar minLength="0" maxLength="100" border="1" gradient="0">
              <x14:cfvo type="num">
                <xm:f>0</xm:f>
              </x14:cfvo>
              <x14:cfvo type="num">
                <xm:f>1</xm:f>
              </x14:cfvo>
              <x14:borderColor theme="0"/>
              <x14:negativeFillColor rgb="FFFF0000"/>
              <x14:axisColor rgb="FF000000"/>
            </x14:dataBar>
          </x14:cfRule>
          <xm:sqref>N1836</xm:sqref>
        </x14:conditionalFormatting>
        <x14:conditionalFormatting xmlns:xm="http://schemas.microsoft.com/office/excel/2006/main">
          <x14:cfRule type="dataBar" id="{95C8F78B-95A6-4FFA-A7A5-A5FE74F35393}">
            <x14:dataBar minLength="0" maxLength="100" border="1" gradient="0">
              <x14:cfvo type="num">
                <xm:f>0</xm:f>
              </x14:cfvo>
              <x14:cfvo type="num">
                <xm:f>1</xm:f>
              </x14:cfvo>
              <x14:borderColor theme="0"/>
              <x14:negativeFillColor rgb="FFFF0000"/>
              <x14:axisColor rgb="FF000000"/>
            </x14:dataBar>
          </x14:cfRule>
          <xm:sqref>N1838</xm:sqref>
        </x14:conditionalFormatting>
        <x14:conditionalFormatting xmlns:xm="http://schemas.microsoft.com/office/excel/2006/main">
          <x14:cfRule type="dataBar" id="{EE56B6F9-5E11-4BB5-BC66-C1F88288D842}">
            <x14:dataBar minLength="0" maxLength="100" border="1" gradient="0">
              <x14:cfvo type="num">
                <xm:f>0</xm:f>
              </x14:cfvo>
              <x14:cfvo type="num">
                <xm:f>1</xm:f>
              </x14:cfvo>
              <x14:borderColor theme="0"/>
              <x14:negativeFillColor rgb="FFFF0000"/>
              <x14:axisColor rgb="FF000000"/>
            </x14:dataBar>
          </x14:cfRule>
          <xm:sqref>N1840</xm:sqref>
        </x14:conditionalFormatting>
        <x14:conditionalFormatting xmlns:xm="http://schemas.microsoft.com/office/excel/2006/main">
          <x14:cfRule type="dataBar" id="{87E6AB11-2A95-43D8-B528-20B775731A50}">
            <x14:dataBar minLength="0" maxLength="100" border="1" gradient="0">
              <x14:cfvo type="num">
                <xm:f>0</xm:f>
              </x14:cfvo>
              <x14:cfvo type="num">
                <xm:f>1</xm:f>
              </x14:cfvo>
              <x14:borderColor theme="0"/>
              <x14:negativeFillColor rgb="FFFF0000"/>
              <x14:axisColor rgb="FF000000"/>
            </x14:dataBar>
          </x14:cfRule>
          <xm:sqref>N1842</xm:sqref>
        </x14:conditionalFormatting>
        <x14:conditionalFormatting xmlns:xm="http://schemas.microsoft.com/office/excel/2006/main">
          <x14:cfRule type="dataBar" id="{B181D8AC-8A0C-4A00-93EA-11AE5E02B333}">
            <x14:dataBar minLength="0" maxLength="100" border="1" gradient="0">
              <x14:cfvo type="num">
                <xm:f>0</xm:f>
              </x14:cfvo>
              <x14:cfvo type="num">
                <xm:f>1</xm:f>
              </x14:cfvo>
              <x14:borderColor theme="0"/>
              <x14:negativeFillColor rgb="FFFF0000"/>
              <x14:axisColor rgb="FF000000"/>
            </x14:dataBar>
          </x14:cfRule>
          <xm:sqref>N1844</xm:sqref>
        </x14:conditionalFormatting>
        <x14:conditionalFormatting xmlns:xm="http://schemas.microsoft.com/office/excel/2006/main">
          <x14:cfRule type="dataBar" id="{7CB683D7-3C96-49DF-9A1F-11E6A84BCC02}">
            <x14:dataBar minLength="0" maxLength="100" border="1" gradient="0">
              <x14:cfvo type="num">
                <xm:f>0</xm:f>
              </x14:cfvo>
              <x14:cfvo type="num">
                <xm:f>1</xm:f>
              </x14:cfvo>
              <x14:borderColor theme="0"/>
              <x14:negativeFillColor rgb="FFFF0000"/>
              <x14:axisColor rgb="FF000000"/>
            </x14:dataBar>
          </x14:cfRule>
          <xm:sqref>N1847</xm:sqref>
        </x14:conditionalFormatting>
        <x14:conditionalFormatting xmlns:xm="http://schemas.microsoft.com/office/excel/2006/main">
          <x14:cfRule type="dataBar" id="{38FFC7E7-AECE-415D-8091-79A2C5017C8A}">
            <x14:dataBar minLength="0" maxLength="100" border="1" gradient="0">
              <x14:cfvo type="num">
                <xm:f>0</xm:f>
              </x14:cfvo>
              <x14:cfvo type="num">
                <xm:f>1</xm:f>
              </x14:cfvo>
              <x14:borderColor theme="0"/>
              <x14:negativeFillColor rgb="FFFF0000"/>
              <x14:axisColor rgb="FF000000"/>
            </x14:dataBar>
          </x14:cfRule>
          <xm:sqref>N1849</xm:sqref>
        </x14:conditionalFormatting>
        <x14:conditionalFormatting xmlns:xm="http://schemas.microsoft.com/office/excel/2006/main">
          <x14:cfRule type="dataBar" id="{B627635B-4D3B-40A0-8C5E-6F812CDDC177}">
            <x14:dataBar minLength="0" maxLength="100" border="1" gradient="0">
              <x14:cfvo type="num">
                <xm:f>0</xm:f>
              </x14:cfvo>
              <x14:cfvo type="num">
                <xm:f>1</xm:f>
              </x14:cfvo>
              <x14:borderColor theme="0"/>
              <x14:negativeFillColor rgb="FFFF0000"/>
              <x14:axisColor rgb="FF000000"/>
            </x14:dataBar>
          </x14:cfRule>
          <xm:sqref>N1851</xm:sqref>
        </x14:conditionalFormatting>
        <x14:conditionalFormatting xmlns:xm="http://schemas.microsoft.com/office/excel/2006/main">
          <x14:cfRule type="dataBar" id="{7AB81B04-69B8-47F5-B028-EB726FE30EEF}">
            <x14:dataBar minLength="0" maxLength="100" border="1" gradient="0">
              <x14:cfvo type="num">
                <xm:f>0</xm:f>
              </x14:cfvo>
              <x14:cfvo type="num">
                <xm:f>1</xm:f>
              </x14:cfvo>
              <x14:borderColor theme="0"/>
              <x14:negativeFillColor rgb="FFFF0000"/>
              <x14:axisColor rgb="FF000000"/>
            </x14:dataBar>
          </x14:cfRule>
          <xm:sqref>N1853</xm:sqref>
        </x14:conditionalFormatting>
        <x14:conditionalFormatting xmlns:xm="http://schemas.microsoft.com/office/excel/2006/main">
          <x14:cfRule type="dataBar" id="{3466BBF1-787F-456E-A597-874A9C0A3D1C}">
            <x14:dataBar minLength="0" maxLength="100" border="1" gradient="0">
              <x14:cfvo type="num">
                <xm:f>0</xm:f>
              </x14:cfvo>
              <x14:cfvo type="num">
                <xm:f>1</xm:f>
              </x14:cfvo>
              <x14:borderColor theme="0"/>
              <x14:negativeFillColor rgb="FFFF0000"/>
              <x14:axisColor rgb="FF000000"/>
            </x14:dataBar>
          </x14:cfRule>
          <xm:sqref>N1855</xm:sqref>
        </x14:conditionalFormatting>
        <x14:conditionalFormatting xmlns:xm="http://schemas.microsoft.com/office/excel/2006/main">
          <x14:cfRule type="dataBar" id="{6F9030A0-E92C-43DE-8579-1FF64C7FE2D9}">
            <x14:dataBar minLength="0" maxLength="100" border="1" gradient="0">
              <x14:cfvo type="num">
                <xm:f>0</xm:f>
              </x14:cfvo>
              <x14:cfvo type="num">
                <xm:f>1</xm:f>
              </x14:cfvo>
              <x14:borderColor theme="0"/>
              <x14:negativeFillColor rgb="FFFF0000"/>
              <x14:axisColor rgb="FF000000"/>
            </x14:dataBar>
          </x14:cfRule>
          <xm:sqref>N1857</xm:sqref>
        </x14:conditionalFormatting>
        <x14:conditionalFormatting xmlns:xm="http://schemas.microsoft.com/office/excel/2006/main">
          <x14:cfRule type="dataBar" id="{E66B076C-D8E0-4489-9CEE-4A48960787C0}">
            <x14:dataBar minLength="0" maxLength="100" border="1" gradient="0">
              <x14:cfvo type="num">
                <xm:f>0</xm:f>
              </x14:cfvo>
              <x14:cfvo type="num">
                <xm:f>1</xm:f>
              </x14:cfvo>
              <x14:borderColor theme="0"/>
              <x14:negativeFillColor rgb="FFFF0000"/>
              <x14:axisColor rgb="FF000000"/>
            </x14:dataBar>
          </x14:cfRule>
          <xm:sqref>N1860</xm:sqref>
        </x14:conditionalFormatting>
        <x14:conditionalFormatting xmlns:xm="http://schemas.microsoft.com/office/excel/2006/main">
          <x14:cfRule type="dataBar" id="{BC8DC694-34D3-4B61-9BC9-0CD638BFA043}">
            <x14:dataBar minLength="0" maxLength="100" border="1" gradient="0">
              <x14:cfvo type="num">
                <xm:f>0</xm:f>
              </x14:cfvo>
              <x14:cfvo type="num">
                <xm:f>1</xm:f>
              </x14:cfvo>
              <x14:borderColor theme="0"/>
              <x14:negativeFillColor rgb="FFFF0000"/>
              <x14:axisColor rgb="FF000000"/>
            </x14:dataBar>
          </x14:cfRule>
          <xm:sqref>N1862 N1864 N1866</xm:sqref>
        </x14:conditionalFormatting>
        <x14:conditionalFormatting xmlns:xm="http://schemas.microsoft.com/office/excel/2006/main">
          <x14:cfRule type="dataBar" id="{7541F550-D993-41B5-AB35-C5430CE3CDCC}">
            <x14:dataBar minLength="0" maxLength="100" border="1" gradient="0">
              <x14:cfvo type="num">
                <xm:f>0</xm:f>
              </x14:cfvo>
              <x14:cfvo type="num">
                <xm:f>1</xm:f>
              </x14:cfvo>
              <x14:borderColor theme="0"/>
              <x14:negativeFillColor rgb="FFFF0000"/>
              <x14:axisColor rgb="FF000000"/>
            </x14:dataBar>
          </x14:cfRule>
          <xm:sqref>N1868 N1870 N1872</xm:sqref>
        </x14:conditionalFormatting>
        <x14:conditionalFormatting xmlns:xm="http://schemas.microsoft.com/office/excel/2006/main">
          <x14:cfRule type="dataBar" id="{8D121C4F-8914-4CDC-B5B1-E45F1ED3CF0B}">
            <x14:dataBar minLength="0" maxLength="100" border="1" gradient="0">
              <x14:cfvo type="num">
                <xm:f>0</xm:f>
              </x14:cfvo>
              <x14:cfvo type="num">
                <xm:f>1</xm:f>
              </x14:cfvo>
              <x14:borderColor theme="0"/>
              <x14:negativeFillColor rgb="FFFF0000"/>
              <x14:axisColor rgb="FF000000"/>
            </x14:dataBar>
          </x14:cfRule>
          <xm:sqref>N1874 N1876 N1878</xm:sqref>
        </x14:conditionalFormatting>
        <x14:conditionalFormatting xmlns:xm="http://schemas.microsoft.com/office/excel/2006/main">
          <x14:cfRule type="dataBar" id="{E4BDE1B8-6463-4A7F-97D1-F0548D9A6D00}">
            <x14:dataBar minLength="0" maxLength="100" border="1" gradient="0">
              <x14:cfvo type="num">
                <xm:f>0</xm:f>
              </x14:cfvo>
              <x14:cfvo type="num">
                <xm:f>1</xm:f>
              </x14:cfvo>
              <x14:borderColor theme="0"/>
              <x14:negativeFillColor rgb="FFFF0000"/>
              <x14:axisColor rgb="FF000000"/>
            </x14:dataBar>
          </x14:cfRule>
          <xm:sqref>N1882</xm:sqref>
        </x14:conditionalFormatting>
        <x14:conditionalFormatting xmlns:xm="http://schemas.microsoft.com/office/excel/2006/main">
          <x14:cfRule type="dataBar" id="{5D1FF86A-BB00-456D-A4FF-7AE1530F2CCA}">
            <x14:dataBar minLength="0" maxLength="100" border="1" gradient="0">
              <x14:cfvo type="num">
                <xm:f>0</xm:f>
              </x14:cfvo>
              <x14:cfvo type="num">
                <xm:f>1</xm:f>
              </x14:cfvo>
              <x14:borderColor theme="0"/>
              <x14:negativeFillColor rgb="FFFF0000"/>
              <x14:axisColor rgb="FF000000"/>
            </x14:dataBar>
          </x14:cfRule>
          <xm:sqref>N1884 N1894 N1886 N1888 N1890 N1892 N1896</xm:sqref>
        </x14:conditionalFormatting>
        <x14:conditionalFormatting xmlns:xm="http://schemas.microsoft.com/office/excel/2006/main">
          <x14:cfRule type="dataBar" id="{5A7C7496-504B-486F-B9CD-0AC88639637D}">
            <x14:dataBar minLength="0" maxLength="100" border="1" gradient="0">
              <x14:cfvo type="num">
                <xm:f>0</xm:f>
              </x14:cfvo>
              <x14:cfvo type="num">
                <xm:f>1</xm:f>
              </x14:cfvo>
              <x14:borderColor theme="0"/>
              <x14:negativeFillColor rgb="FFFF0000"/>
              <x14:axisColor rgb="FF000000"/>
            </x14:dataBar>
          </x14:cfRule>
          <xm:sqref>N1898</xm:sqref>
        </x14:conditionalFormatting>
        <x14:conditionalFormatting xmlns:xm="http://schemas.microsoft.com/office/excel/2006/main">
          <x14:cfRule type="dataBar" id="{CD0FE8F4-E2B5-4E8E-A05A-71C64406813A}">
            <x14:dataBar minLength="0" maxLength="100" border="1" gradient="0">
              <x14:cfvo type="num">
                <xm:f>0</xm:f>
              </x14:cfvo>
              <x14:cfvo type="num">
                <xm:f>1</xm:f>
              </x14:cfvo>
              <x14:borderColor theme="0"/>
              <x14:negativeFillColor rgb="FFFF0000"/>
              <x14:axisColor rgb="FF000000"/>
            </x14:dataBar>
          </x14:cfRule>
          <xm:sqref>N1903</xm:sqref>
        </x14:conditionalFormatting>
        <x14:conditionalFormatting xmlns:xm="http://schemas.microsoft.com/office/excel/2006/main">
          <x14:cfRule type="dataBar" id="{150D5597-D48F-4112-B120-D826BDB32597}">
            <x14:dataBar minLength="0" maxLength="100" border="1" gradient="0">
              <x14:cfvo type="num">
                <xm:f>0</xm:f>
              </x14:cfvo>
              <x14:cfvo type="num">
                <xm:f>1</xm:f>
              </x14:cfvo>
              <x14:borderColor theme="0"/>
              <x14:negativeFillColor rgb="FFFF0000"/>
              <x14:axisColor rgb="FF000000"/>
            </x14:dataBar>
          </x14:cfRule>
          <xm:sqref>N1907</xm:sqref>
        </x14:conditionalFormatting>
        <x14:conditionalFormatting xmlns:xm="http://schemas.microsoft.com/office/excel/2006/main">
          <x14:cfRule type="dataBar" id="{A35D67F4-DA4B-49C1-B79B-5C533F786FD1}">
            <x14:dataBar minLength="0" maxLength="100" border="1" gradient="0">
              <x14:cfvo type="num">
                <xm:f>0</xm:f>
              </x14:cfvo>
              <x14:cfvo type="num">
                <xm:f>1</xm:f>
              </x14:cfvo>
              <x14:borderColor theme="0"/>
              <x14:negativeFillColor rgb="FFFF0000"/>
              <x14:axisColor rgb="FF000000"/>
            </x14:dataBar>
          </x14:cfRule>
          <xm:sqref>N1909 N1913 N1915 N1917 N1919 N1921 N1923</xm:sqref>
        </x14:conditionalFormatting>
        <x14:conditionalFormatting xmlns:xm="http://schemas.microsoft.com/office/excel/2006/main">
          <x14:cfRule type="dataBar" id="{2670A2DF-E1C3-451A-A280-286BDB6A786F}">
            <x14:dataBar minLength="0" maxLength="100" border="1" gradient="0">
              <x14:cfvo type="num">
                <xm:f>0</xm:f>
              </x14:cfvo>
              <x14:cfvo type="num">
                <xm:f>1</xm:f>
              </x14:cfvo>
              <x14:borderColor theme="0"/>
              <x14:negativeFillColor rgb="FFFF0000"/>
              <x14:axisColor rgb="FF000000"/>
            </x14:dataBar>
          </x14:cfRule>
          <xm:sqref>N1911</xm:sqref>
        </x14:conditionalFormatting>
        <x14:conditionalFormatting xmlns:xm="http://schemas.microsoft.com/office/excel/2006/main">
          <x14:cfRule type="dataBar" id="{30F35238-26B2-45E6-A427-4DBF981D025C}">
            <x14:dataBar minLength="0" maxLength="100" border="1" gradient="0">
              <x14:cfvo type="num">
                <xm:f>0</xm:f>
              </x14:cfvo>
              <x14:cfvo type="num">
                <xm:f>1</xm:f>
              </x14:cfvo>
              <x14:borderColor theme="0"/>
              <x14:negativeFillColor rgb="FFFF0000"/>
              <x14:axisColor rgb="FF000000"/>
            </x14:dataBar>
          </x14:cfRule>
          <xm:sqref>N1925</xm:sqref>
        </x14:conditionalFormatting>
        <x14:conditionalFormatting xmlns:xm="http://schemas.microsoft.com/office/excel/2006/main">
          <x14:cfRule type="dataBar" id="{42A17010-AB37-4322-8FE2-B4D2E7642D8F}">
            <x14:dataBar minLength="0" maxLength="100" border="1" gradient="0">
              <x14:cfvo type="num">
                <xm:f>0</xm:f>
              </x14:cfvo>
              <x14:cfvo type="num">
                <xm:f>1</xm:f>
              </x14:cfvo>
              <x14:borderColor theme="0"/>
              <x14:negativeFillColor rgb="FFFF0000"/>
              <x14:axisColor rgb="FF000000"/>
            </x14:dataBar>
          </x14:cfRule>
          <xm:sqref>N1927</xm:sqref>
        </x14:conditionalFormatting>
        <x14:conditionalFormatting xmlns:xm="http://schemas.microsoft.com/office/excel/2006/main">
          <x14:cfRule type="dataBar" id="{A8246965-8B88-4E8B-807E-0409D6D7B5FF}">
            <x14:dataBar minLength="0" maxLength="100" border="1" gradient="0">
              <x14:cfvo type="num">
                <xm:f>0</xm:f>
              </x14:cfvo>
              <x14:cfvo type="num">
                <xm:f>1</xm:f>
              </x14:cfvo>
              <x14:borderColor theme="0"/>
              <x14:negativeFillColor rgb="FFFF0000"/>
              <x14:axisColor rgb="FF000000"/>
            </x14:dataBar>
          </x14:cfRule>
          <xm:sqref>N1929</xm:sqref>
        </x14:conditionalFormatting>
        <x14:conditionalFormatting xmlns:xm="http://schemas.microsoft.com/office/excel/2006/main">
          <x14:cfRule type="dataBar" id="{314F11E6-93FC-40F2-88E5-B50367729533}">
            <x14:dataBar minLength="0" maxLength="100" border="1" gradient="0">
              <x14:cfvo type="num">
                <xm:f>0</xm:f>
              </x14:cfvo>
              <x14:cfvo type="num">
                <xm:f>1</xm:f>
              </x14:cfvo>
              <x14:borderColor theme="0"/>
              <x14:negativeFillColor rgb="FFFF0000"/>
              <x14:axisColor rgb="FF000000"/>
            </x14:dataBar>
          </x14:cfRule>
          <xm:sqref>N1931</xm:sqref>
        </x14:conditionalFormatting>
        <x14:conditionalFormatting xmlns:xm="http://schemas.microsoft.com/office/excel/2006/main">
          <x14:cfRule type="dataBar" id="{DB0B5C3F-8FEA-4124-93FB-E8D78230D6E4}">
            <x14:dataBar minLength="0" maxLength="100" border="1" gradient="0">
              <x14:cfvo type="num">
                <xm:f>0</xm:f>
              </x14:cfvo>
              <x14:cfvo type="num">
                <xm:f>1</xm:f>
              </x14:cfvo>
              <x14:borderColor theme="0"/>
              <x14:negativeFillColor rgb="FFFF0000"/>
              <x14:axisColor rgb="FF000000"/>
            </x14:dataBar>
          </x14:cfRule>
          <xm:sqref>N1933</xm:sqref>
        </x14:conditionalFormatting>
        <x14:conditionalFormatting xmlns:xm="http://schemas.microsoft.com/office/excel/2006/main">
          <x14:cfRule type="dataBar" id="{5E42A32C-8602-42B8-A4B2-9048744966F7}">
            <x14:dataBar minLength="0" maxLength="100" border="1" gradient="0">
              <x14:cfvo type="num">
                <xm:f>0</xm:f>
              </x14:cfvo>
              <x14:cfvo type="num">
                <xm:f>1</xm:f>
              </x14:cfvo>
              <x14:borderColor theme="0"/>
              <x14:negativeFillColor rgb="FFFF0000"/>
              <x14:axisColor rgb="FF000000"/>
            </x14:dataBar>
          </x14:cfRule>
          <xm:sqref>N1935</xm:sqref>
        </x14:conditionalFormatting>
        <x14:conditionalFormatting xmlns:xm="http://schemas.microsoft.com/office/excel/2006/main">
          <x14:cfRule type="dataBar" id="{1BF5568C-4CA2-414D-8C14-80B3A8A5C48C}">
            <x14:dataBar minLength="0" maxLength="100" border="1" gradient="0">
              <x14:cfvo type="num">
                <xm:f>0</xm:f>
              </x14:cfvo>
              <x14:cfvo type="num">
                <xm:f>1</xm:f>
              </x14:cfvo>
              <x14:borderColor theme="0"/>
              <x14:negativeFillColor rgb="FFFF0000"/>
              <x14:axisColor rgb="FF000000"/>
            </x14:dataBar>
          </x14:cfRule>
          <xm:sqref>N1937</xm:sqref>
        </x14:conditionalFormatting>
        <x14:conditionalFormatting xmlns:xm="http://schemas.microsoft.com/office/excel/2006/main">
          <x14:cfRule type="dataBar" id="{B8FF3014-62F5-4992-80F9-20F84B19E35A}">
            <x14:dataBar minLength="0" maxLength="100" border="1" gradient="0">
              <x14:cfvo type="num">
                <xm:f>0</xm:f>
              </x14:cfvo>
              <x14:cfvo type="num">
                <xm:f>1</xm:f>
              </x14:cfvo>
              <x14:borderColor theme="0"/>
              <x14:negativeFillColor rgb="FFFF0000"/>
              <x14:axisColor rgb="FF000000"/>
            </x14:dataBar>
          </x14:cfRule>
          <xm:sqref>N1939</xm:sqref>
        </x14:conditionalFormatting>
        <x14:conditionalFormatting xmlns:xm="http://schemas.microsoft.com/office/excel/2006/main">
          <x14:cfRule type="dataBar" id="{BA0377EF-FA69-4D12-857E-662E4EF1FEC5}">
            <x14:dataBar minLength="0" maxLength="100" border="1" gradient="0">
              <x14:cfvo type="num">
                <xm:f>0</xm:f>
              </x14:cfvo>
              <x14:cfvo type="num">
                <xm:f>1</xm:f>
              </x14:cfvo>
              <x14:borderColor theme="0"/>
              <x14:negativeFillColor rgb="FFFF0000"/>
              <x14:axisColor rgb="FF000000"/>
            </x14:dataBar>
          </x14:cfRule>
          <xm:sqref>N1941</xm:sqref>
        </x14:conditionalFormatting>
        <x14:conditionalFormatting xmlns:xm="http://schemas.microsoft.com/office/excel/2006/main">
          <x14:cfRule type="dataBar" id="{52169D07-116E-4225-A8C8-E3F3BC833AE1}">
            <x14:dataBar minLength="0" maxLength="100" border="1" gradient="0">
              <x14:cfvo type="num">
                <xm:f>0</xm:f>
              </x14:cfvo>
              <x14:cfvo type="num">
                <xm:f>1</xm:f>
              </x14:cfvo>
              <x14:borderColor theme="0"/>
              <x14:negativeFillColor rgb="FFFF0000"/>
              <x14:axisColor rgb="FF000000"/>
            </x14:dataBar>
          </x14:cfRule>
          <xm:sqref>N1943</xm:sqref>
        </x14:conditionalFormatting>
        <x14:conditionalFormatting xmlns:xm="http://schemas.microsoft.com/office/excel/2006/main">
          <x14:cfRule type="dataBar" id="{629585F3-CC05-40E1-AB73-F0910DDF27FB}">
            <x14:dataBar minLength="0" maxLength="100" border="1" gradient="0">
              <x14:cfvo type="num">
                <xm:f>0</xm:f>
              </x14:cfvo>
              <x14:cfvo type="num">
                <xm:f>1</xm:f>
              </x14:cfvo>
              <x14:borderColor theme="0"/>
              <x14:negativeFillColor rgb="FFFF0000"/>
              <x14:axisColor rgb="FF000000"/>
            </x14:dataBar>
          </x14:cfRule>
          <xm:sqref>N1945</xm:sqref>
        </x14:conditionalFormatting>
        <x14:conditionalFormatting xmlns:xm="http://schemas.microsoft.com/office/excel/2006/main">
          <x14:cfRule type="dataBar" id="{FF59B113-D796-424A-9C7D-07A89FC7CBEF}">
            <x14:dataBar minLength="0" maxLength="100" border="1" gradient="0">
              <x14:cfvo type="num">
                <xm:f>0</xm:f>
              </x14:cfvo>
              <x14:cfvo type="num">
                <xm:f>1</xm:f>
              </x14:cfvo>
              <x14:borderColor theme="0"/>
              <x14:negativeFillColor rgb="FFFF0000"/>
              <x14:axisColor rgb="FF000000"/>
            </x14:dataBar>
          </x14:cfRule>
          <xm:sqref>N1947</xm:sqref>
        </x14:conditionalFormatting>
        <x14:conditionalFormatting xmlns:xm="http://schemas.microsoft.com/office/excel/2006/main">
          <x14:cfRule type="dataBar" id="{DD86D5FF-F486-485A-9736-0A82A51BC113}">
            <x14:dataBar minLength="0" maxLength="100" border="1" gradient="0">
              <x14:cfvo type="num">
                <xm:f>0</xm:f>
              </x14:cfvo>
              <x14:cfvo type="num">
                <xm:f>1</xm:f>
              </x14:cfvo>
              <x14:borderColor theme="0"/>
              <x14:negativeFillColor rgb="FFFF0000"/>
              <x14:axisColor rgb="FF000000"/>
            </x14:dataBar>
          </x14:cfRule>
          <xm:sqref>N1949</xm:sqref>
        </x14:conditionalFormatting>
        <x14:conditionalFormatting xmlns:xm="http://schemas.microsoft.com/office/excel/2006/main">
          <x14:cfRule type="dataBar" id="{54FCC1FD-B2AF-4BEF-8D80-D96BF72568DC}">
            <x14:dataBar minLength="0" maxLength="100" border="1" gradient="0">
              <x14:cfvo type="num">
                <xm:f>0</xm:f>
              </x14:cfvo>
              <x14:cfvo type="num">
                <xm:f>1</xm:f>
              </x14:cfvo>
              <x14:borderColor theme="0"/>
              <x14:negativeFillColor rgb="FFFF0000"/>
              <x14:axisColor rgb="FF000000"/>
            </x14:dataBar>
          </x14:cfRule>
          <xm:sqref>N1951</xm:sqref>
        </x14:conditionalFormatting>
        <x14:conditionalFormatting xmlns:xm="http://schemas.microsoft.com/office/excel/2006/main">
          <x14:cfRule type="dataBar" id="{5F722F22-BFB0-4301-8D16-C5C76D9DD915}">
            <x14:dataBar minLength="0" maxLength="100" border="1" gradient="0">
              <x14:cfvo type="num">
                <xm:f>0</xm:f>
              </x14:cfvo>
              <x14:cfvo type="num">
                <xm:f>1</xm:f>
              </x14:cfvo>
              <x14:borderColor theme="0"/>
              <x14:negativeFillColor rgb="FFFF0000"/>
              <x14:axisColor rgb="FF000000"/>
            </x14:dataBar>
          </x14:cfRule>
          <xm:sqref>N1953</xm:sqref>
        </x14:conditionalFormatting>
        <x14:conditionalFormatting xmlns:xm="http://schemas.microsoft.com/office/excel/2006/main">
          <x14:cfRule type="dataBar" id="{3E13463B-A03C-4C40-87C4-C75473A9D438}">
            <x14:dataBar minLength="0" maxLength="100" border="1" gradient="0">
              <x14:cfvo type="num">
                <xm:f>0</xm:f>
              </x14:cfvo>
              <x14:cfvo type="num">
                <xm:f>1</xm:f>
              </x14:cfvo>
              <x14:borderColor theme="0"/>
              <x14:negativeFillColor rgb="FFFF0000"/>
              <x14:axisColor rgb="FF000000"/>
            </x14:dataBar>
          </x14:cfRule>
          <xm:sqref>N1955</xm:sqref>
        </x14:conditionalFormatting>
        <x14:conditionalFormatting xmlns:xm="http://schemas.microsoft.com/office/excel/2006/main">
          <x14:cfRule type="dataBar" id="{34DFCC9E-714E-4860-9FD0-C516D92BEFD7}">
            <x14:dataBar minLength="0" maxLength="100" border="1" gradient="0">
              <x14:cfvo type="num">
                <xm:f>0</xm:f>
              </x14:cfvo>
              <x14:cfvo type="num">
                <xm:f>1</xm:f>
              </x14:cfvo>
              <x14:borderColor theme="0"/>
              <x14:negativeFillColor rgb="FFFF0000"/>
              <x14:axisColor rgb="FF000000"/>
            </x14:dataBar>
          </x14:cfRule>
          <xm:sqref>N1957</xm:sqref>
        </x14:conditionalFormatting>
        <x14:conditionalFormatting xmlns:xm="http://schemas.microsoft.com/office/excel/2006/main">
          <x14:cfRule type="dataBar" id="{DFCBAC4D-846D-45F2-82A7-B65B1A601FFE}">
            <x14:dataBar minLength="0" maxLength="100" border="1" gradient="0">
              <x14:cfvo type="num">
                <xm:f>0</xm:f>
              </x14:cfvo>
              <x14:cfvo type="num">
                <xm:f>1</xm:f>
              </x14:cfvo>
              <x14:borderColor theme="0"/>
              <x14:negativeFillColor rgb="FFFF0000"/>
              <x14:axisColor rgb="FF000000"/>
            </x14:dataBar>
          </x14:cfRule>
          <xm:sqref>N1959</xm:sqref>
        </x14:conditionalFormatting>
        <x14:conditionalFormatting xmlns:xm="http://schemas.microsoft.com/office/excel/2006/main">
          <x14:cfRule type="dataBar" id="{2C9719DA-E339-4673-BF6F-022E07062606}">
            <x14:dataBar minLength="0" maxLength="100" border="1" gradient="0">
              <x14:cfvo type="num">
                <xm:f>0</xm:f>
              </x14:cfvo>
              <x14:cfvo type="num">
                <xm:f>1</xm:f>
              </x14:cfvo>
              <x14:borderColor theme="0"/>
              <x14:negativeFillColor rgb="FFFF0000"/>
              <x14:axisColor rgb="FF000000"/>
            </x14:dataBar>
          </x14:cfRule>
          <xm:sqref>N1961</xm:sqref>
        </x14:conditionalFormatting>
        <x14:conditionalFormatting xmlns:xm="http://schemas.microsoft.com/office/excel/2006/main">
          <x14:cfRule type="dataBar" id="{FB88BFDB-7F3C-4527-B188-50A5A4778787}">
            <x14:dataBar minLength="0" maxLength="100" border="1" gradient="0">
              <x14:cfvo type="num">
                <xm:f>0</xm:f>
              </x14:cfvo>
              <x14:cfvo type="num">
                <xm:f>1</xm:f>
              </x14:cfvo>
              <x14:borderColor theme="0"/>
              <x14:negativeFillColor rgb="FFFF0000"/>
              <x14:axisColor rgb="FF000000"/>
            </x14:dataBar>
          </x14:cfRule>
          <xm:sqref>N1963</xm:sqref>
        </x14:conditionalFormatting>
        <x14:conditionalFormatting xmlns:xm="http://schemas.microsoft.com/office/excel/2006/main">
          <x14:cfRule type="dataBar" id="{4F231F60-2369-4618-891E-F728F4EFDB9F}">
            <x14:dataBar minLength="0" maxLength="100" border="1" gradient="0">
              <x14:cfvo type="num">
                <xm:f>0</xm:f>
              </x14:cfvo>
              <x14:cfvo type="num">
                <xm:f>1</xm:f>
              </x14:cfvo>
              <x14:borderColor theme="0"/>
              <x14:negativeFillColor rgb="FFFF0000"/>
              <x14:axisColor rgb="FF000000"/>
            </x14:dataBar>
          </x14:cfRule>
          <xm:sqref>N1965</xm:sqref>
        </x14:conditionalFormatting>
        <x14:conditionalFormatting xmlns:xm="http://schemas.microsoft.com/office/excel/2006/main">
          <x14:cfRule type="dataBar" id="{3F9CF89A-6906-4D9D-A030-D8A31CE02357}">
            <x14:dataBar minLength="0" maxLength="100" border="1" gradient="0">
              <x14:cfvo type="num">
                <xm:f>0</xm:f>
              </x14:cfvo>
              <x14:cfvo type="num">
                <xm:f>1</xm:f>
              </x14:cfvo>
              <x14:borderColor theme="0"/>
              <x14:negativeFillColor rgb="FFFF0000"/>
              <x14:axisColor rgb="FF000000"/>
            </x14:dataBar>
          </x14:cfRule>
          <xm:sqref>N1967</xm:sqref>
        </x14:conditionalFormatting>
        <x14:conditionalFormatting xmlns:xm="http://schemas.microsoft.com/office/excel/2006/main">
          <x14:cfRule type="dataBar" id="{785F7B03-DCA8-4DDA-94DF-ED13AE821CFE}">
            <x14:dataBar minLength="0" maxLength="100" border="1" gradient="0">
              <x14:cfvo type="num">
                <xm:f>0</xm:f>
              </x14:cfvo>
              <x14:cfvo type="num">
                <xm:f>1</xm:f>
              </x14:cfvo>
              <x14:borderColor theme="0"/>
              <x14:negativeFillColor rgb="FFFF0000"/>
              <x14:axisColor rgb="FF000000"/>
            </x14:dataBar>
          </x14:cfRule>
          <xm:sqref>N1969</xm:sqref>
        </x14:conditionalFormatting>
        <x14:conditionalFormatting xmlns:xm="http://schemas.microsoft.com/office/excel/2006/main">
          <x14:cfRule type="dataBar" id="{27DDC904-E172-4531-97BE-FC4927AE2C0C}">
            <x14:dataBar minLength="0" maxLength="100" border="1" gradient="0">
              <x14:cfvo type="num">
                <xm:f>0</xm:f>
              </x14:cfvo>
              <x14:cfvo type="num">
                <xm:f>1</xm:f>
              </x14:cfvo>
              <x14:borderColor theme="0"/>
              <x14:negativeFillColor rgb="FFFF0000"/>
              <x14:axisColor rgb="FF000000"/>
            </x14:dataBar>
          </x14:cfRule>
          <xm:sqref>N1971</xm:sqref>
        </x14:conditionalFormatting>
        <x14:conditionalFormatting xmlns:xm="http://schemas.microsoft.com/office/excel/2006/main">
          <x14:cfRule type="dataBar" id="{969DD699-7C67-43CA-A82F-1D585A0A3111}">
            <x14:dataBar minLength="0" maxLength="100" border="1" gradient="0">
              <x14:cfvo type="num">
                <xm:f>0</xm:f>
              </x14:cfvo>
              <x14:cfvo type="num">
                <xm:f>1</xm:f>
              </x14:cfvo>
              <x14:borderColor theme="0"/>
              <x14:negativeFillColor rgb="FFFF0000"/>
              <x14:axisColor rgb="FF000000"/>
            </x14:dataBar>
          </x14:cfRule>
          <xm:sqref>N1973</xm:sqref>
        </x14:conditionalFormatting>
        <x14:conditionalFormatting xmlns:xm="http://schemas.microsoft.com/office/excel/2006/main">
          <x14:cfRule type="dataBar" id="{D1E9B008-CC9A-46E2-A44C-14988C234BDD}">
            <x14:dataBar minLength="0" maxLength="100" border="1" gradient="0">
              <x14:cfvo type="num">
                <xm:f>0</xm:f>
              </x14:cfvo>
              <x14:cfvo type="num">
                <xm:f>1</xm:f>
              </x14:cfvo>
              <x14:borderColor theme="0"/>
              <x14:negativeFillColor rgb="FFFF0000"/>
              <x14:axisColor rgb="FF000000"/>
            </x14:dataBar>
          </x14:cfRule>
          <xm:sqref>N1975</xm:sqref>
        </x14:conditionalFormatting>
        <x14:conditionalFormatting xmlns:xm="http://schemas.microsoft.com/office/excel/2006/main">
          <x14:cfRule type="dataBar" id="{DAE1AEB0-6633-4933-BF26-46421CC79532}">
            <x14:dataBar minLength="0" maxLength="100" border="1" gradient="0">
              <x14:cfvo type="num">
                <xm:f>0</xm:f>
              </x14:cfvo>
              <x14:cfvo type="num">
                <xm:f>1</xm:f>
              </x14:cfvo>
              <x14:borderColor theme="0"/>
              <x14:negativeFillColor rgb="FFFF0000"/>
              <x14:axisColor rgb="FF000000"/>
            </x14:dataBar>
          </x14:cfRule>
          <xm:sqref>N1977</xm:sqref>
        </x14:conditionalFormatting>
        <x14:conditionalFormatting xmlns:xm="http://schemas.microsoft.com/office/excel/2006/main">
          <x14:cfRule type="dataBar" id="{8D9C5EF7-BFFA-48B3-9ADE-00C69F44970E}">
            <x14:dataBar minLength="0" maxLength="100" border="1" gradient="0">
              <x14:cfvo type="num">
                <xm:f>0</xm:f>
              </x14:cfvo>
              <x14:cfvo type="num">
                <xm:f>1</xm:f>
              </x14:cfvo>
              <x14:borderColor theme="0"/>
              <x14:negativeFillColor rgb="FFFF0000"/>
              <x14:axisColor rgb="FF000000"/>
            </x14:dataBar>
          </x14:cfRule>
          <xm:sqref>N1979</xm:sqref>
        </x14:conditionalFormatting>
        <x14:conditionalFormatting xmlns:xm="http://schemas.microsoft.com/office/excel/2006/main">
          <x14:cfRule type="dataBar" id="{C682C790-05F8-47AB-BF7E-CA007978062F}">
            <x14:dataBar minLength="0" maxLength="100" border="1" gradient="0">
              <x14:cfvo type="num">
                <xm:f>0</xm:f>
              </x14:cfvo>
              <x14:cfvo type="num">
                <xm:f>1</xm:f>
              </x14:cfvo>
              <x14:borderColor theme="0"/>
              <x14:negativeFillColor rgb="FFFF0000"/>
              <x14:axisColor rgb="FF000000"/>
            </x14:dataBar>
          </x14:cfRule>
          <xm:sqref>N1981</xm:sqref>
        </x14:conditionalFormatting>
        <x14:conditionalFormatting xmlns:xm="http://schemas.microsoft.com/office/excel/2006/main">
          <x14:cfRule type="dataBar" id="{8D3964CB-8FF9-41ED-927C-E248E343AA0D}">
            <x14:dataBar minLength="0" maxLength="100" border="1" gradient="0">
              <x14:cfvo type="num">
                <xm:f>0</xm:f>
              </x14:cfvo>
              <x14:cfvo type="num">
                <xm:f>1</xm:f>
              </x14:cfvo>
              <x14:borderColor theme="0"/>
              <x14:negativeFillColor rgb="FFFF0000"/>
              <x14:axisColor rgb="FF000000"/>
            </x14:dataBar>
          </x14:cfRule>
          <xm:sqref>N1983</xm:sqref>
        </x14:conditionalFormatting>
        <x14:conditionalFormatting xmlns:xm="http://schemas.microsoft.com/office/excel/2006/main">
          <x14:cfRule type="dataBar" id="{8F4B663F-70B1-48FB-B874-D0B70503E3FC}">
            <x14:dataBar minLength="0" maxLength="100" border="1" gradient="0">
              <x14:cfvo type="num">
                <xm:f>0</xm:f>
              </x14:cfvo>
              <x14:cfvo type="num">
                <xm:f>1</xm:f>
              </x14:cfvo>
              <x14:borderColor theme="0"/>
              <x14:negativeFillColor rgb="FFFF0000"/>
              <x14:axisColor rgb="FF000000"/>
            </x14:dataBar>
          </x14:cfRule>
          <xm:sqref>N1985</xm:sqref>
        </x14:conditionalFormatting>
        <x14:conditionalFormatting xmlns:xm="http://schemas.microsoft.com/office/excel/2006/main">
          <x14:cfRule type="dataBar" id="{8DA04BCF-5700-40BE-B239-77853F9BAFF1}">
            <x14:dataBar minLength="0" maxLength="100" border="1" gradient="0">
              <x14:cfvo type="num">
                <xm:f>0</xm:f>
              </x14:cfvo>
              <x14:cfvo type="num">
                <xm:f>1</xm:f>
              </x14:cfvo>
              <x14:borderColor theme="0"/>
              <x14:negativeFillColor rgb="FFFF0000"/>
              <x14:axisColor rgb="FF000000"/>
            </x14:dataBar>
          </x14:cfRule>
          <xm:sqref>N1987</xm:sqref>
        </x14:conditionalFormatting>
        <x14:conditionalFormatting xmlns:xm="http://schemas.microsoft.com/office/excel/2006/main">
          <x14:cfRule type="dataBar" id="{255C9E16-8A91-4F93-AD1E-75F5528BF6AA}">
            <x14:dataBar minLength="0" maxLength="100" border="1" gradient="0">
              <x14:cfvo type="num">
                <xm:f>0</xm:f>
              </x14:cfvo>
              <x14:cfvo type="num">
                <xm:f>1</xm:f>
              </x14:cfvo>
              <x14:borderColor theme="0"/>
              <x14:negativeFillColor rgb="FFFF0000"/>
              <x14:axisColor rgb="FF000000"/>
            </x14:dataBar>
          </x14:cfRule>
          <xm:sqref>N1989</xm:sqref>
        </x14:conditionalFormatting>
        <x14:conditionalFormatting xmlns:xm="http://schemas.microsoft.com/office/excel/2006/main">
          <x14:cfRule type="dataBar" id="{849630AA-681D-429B-98E9-FFB3FAEDF671}">
            <x14:dataBar minLength="0" maxLength="100" border="1" gradient="0">
              <x14:cfvo type="num">
                <xm:f>0</xm:f>
              </x14:cfvo>
              <x14:cfvo type="num">
                <xm:f>1</xm:f>
              </x14:cfvo>
              <x14:borderColor theme="0"/>
              <x14:negativeFillColor rgb="FFFF0000"/>
              <x14:axisColor rgb="FF000000"/>
            </x14:dataBar>
          </x14:cfRule>
          <xm:sqref>N1991</xm:sqref>
        </x14:conditionalFormatting>
        <x14:conditionalFormatting xmlns:xm="http://schemas.microsoft.com/office/excel/2006/main">
          <x14:cfRule type="dataBar" id="{867547E8-2B12-4088-ACCA-7FA299B1ED54}">
            <x14:dataBar minLength="0" maxLength="100" border="1" gradient="0">
              <x14:cfvo type="num">
                <xm:f>0</xm:f>
              </x14:cfvo>
              <x14:cfvo type="num">
                <xm:f>1</xm:f>
              </x14:cfvo>
              <x14:borderColor theme="0"/>
              <x14:negativeFillColor rgb="FFFF0000"/>
              <x14:axisColor rgb="FF000000"/>
            </x14:dataBar>
          </x14:cfRule>
          <xm:sqref>N1993</xm:sqref>
        </x14:conditionalFormatting>
        <x14:conditionalFormatting xmlns:xm="http://schemas.microsoft.com/office/excel/2006/main">
          <x14:cfRule type="dataBar" id="{ED175410-5E7A-4145-93C4-9A948BF51FB0}">
            <x14:dataBar minLength="0" maxLength="100" border="1" gradient="0">
              <x14:cfvo type="num">
                <xm:f>0</xm:f>
              </x14:cfvo>
              <x14:cfvo type="num">
                <xm:f>1</xm:f>
              </x14:cfvo>
              <x14:borderColor theme="0"/>
              <x14:negativeFillColor rgb="FFFF0000"/>
              <x14:axisColor rgb="FF000000"/>
            </x14:dataBar>
          </x14:cfRule>
          <xm:sqref>N1995</xm:sqref>
        </x14:conditionalFormatting>
        <x14:conditionalFormatting xmlns:xm="http://schemas.microsoft.com/office/excel/2006/main">
          <x14:cfRule type="dataBar" id="{2D01CD6A-D93F-41AB-BBB2-C357C3848823}">
            <x14:dataBar minLength="0" maxLength="100" border="1" gradient="0">
              <x14:cfvo type="num">
                <xm:f>0</xm:f>
              </x14:cfvo>
              <x14:cfvo type="num">
                <xm:f>1</xm:f>
              </x14:cfvo>
              <x14:borderColor theme="0"/>
              <x14:negativeFillColor rgb="FFFF0000"/>
              <x14:axisColor rgb="FF000000"/>
            </x14:dataBar>
          </x14:cfRule>
          <xm:sqref>N1998</xm:sqref>
        </x14:conditionalFormatting>
        <x14:conditionalFormatting xmlns:xm="http://schemas.microsoft.com/office/excel/2006/main">
          <x14:cfRule type="dataBar" id="{E57E83BB-39C2-43F1-9706-42C213DE8A31}">
            <x14:dataBar minLength="0" maxLength="100" border="1" gradient="0">
              <x14:cfvo type="num">
                <xm:f>0</xm:f>
              </x14:cfvo>
              <x14:cfvo type="num">
                <xm:f>1</xm:f>
              </x14:cfvo>
              <x14:borderColor theme="0"/>
              <x14:negativeFillColor rgb="FFFF0000"/>
              <x14:axisColor rgb="FF000000"/>
            </x14:dataBar>
          </x14:cfRule>
          <xm:sqref>N2000 N2002 N2004 N2006 N2008</xm:sqref>
        </x14:conditionalFormatting>
        <x14:conditionalFormatting xmlns:xm="http://schemas.microsoft.com/office/excel/2006/main">
          <x14:cfRule type="dataBar" id="{DF4580C2-5547-4914-B1B5-B60C117E0FEC}">
            <x14:dataBar minLength="0" maxLength="100" border="1" gradient="0">
              <x14:cfvo type="num">
                <xm:f>0</xm:f>
              </x14:cfvo>
              <x14:cfvo type="num">
                <xm:f>1</xm:f>
              </x14:cfvo>
              <x14:borderColor theme="0"/>
              <x14:negativeFillColor rgb="FFFF0000"/>
              <x14:axisColor rgb="FF000000"/>
            </x14:dataBar>
          </x14:cfRule>
          <xm:sqref>N2010 N2012 N2014 N2016 N2018</xm:sqref>
        </x14:conditionalFormatting>
        <x14:conditionalFormatting xmlns:xm="http://schemas.microsoft.com/office/excel/2006/main">
          <x14:cfRule type="dataBar" id="{9A394D72-186F-4C06-A91B-0A512D63E2D6}">
            <x14:dataBar minLength="0" maxLength="100" border="1" gradient="0">
              <x14:cfvo type="num">
                <xm:f>0</xm:f>
              </x14:cfvo>
              <x14:cfvo type="num">
                <xm:f>1</xm:f>
              </x14:cfvo>
              <x14:borderColor theme="0"/>
              <x14:negativeFillColor rgb="FFFF0000"/>
              <x14:axisColor rgb="FF000000"/>
            </x14:dataBar>
          </x14:cfRule>
          <xm:sqref>N2020 N2022 N2024 N2026 N2028</xm:sqref>
        </x14:conditionalFormatting>
        <x14:conditionalFormatting xmlns:xm="http://schemas.microsoft.com/office/excel/2006/main">
          <x14:cfRule type="dataBar" id="{7C65EB3D-FD4A-4D50-8366-57FF7387B6D4}">
            <x14:dataBar minLength="0" maxLength="100" border="1" gradient="0">
              <x14:cfvo type="num">
                <xm:f>0</xm:f>
              </x14:cfvo>
              <x14:cfvo type="num">
                <xm:f>1</xm:f>
              </x14:cfvo>
              <x14:borderColor theme="0"/>
              <x14:negativeFillColor rgb="FFFF0000"/>
              <x14:axisColor rgb="FF000000"/>
            </x14:dataBar>
          </x14:cfRule>
          <xm:sqref>N2030 N2032 N2034 N2036 N2038</xm:sqref>
        </x14:conditionalFormatting>
        <x14:conditionalFormatting xmlns:xm="http://schemas.microsoft.com/office/excel/2006/main">
          <x14:cfRule type="dataBar" id="{79882E8C-6D5C-492E-BA06-C959488A90C9}">
            <x14:dataBar minLength="0" maxLength="100" border="1" gradient="0">
              <x14:cfvo type="num">
                <xm:f>0</xm:f>
              </x14:cfvo>
              <x14:cfvo type="num">
                <xm:f>1</xm:f>
              </x14:cfvo>
              <x14:borderColor theme="0"/>
              <x14:negativeFillColor rgb="FFFF0000"/>
              <x14:axisColor rgb="FF000000"/>
            </x14:dataBar>
          </x14:cfRule>
          <xm:sqref>N2040 N2042 N2044 N2046 N2048</xm:sqref>
        </x14:conditionalFormatting>
        <x14:conditionalFormatting xmlns:xm="http://schemas.microsoft.com/office/excel/2006/main">
          <x14:cfRule type="dataBar" id="{B0249EC6-8E68-408C-8227-35DFC4068D17}">
            <x14:dataBar minLength="0" maxLength="100" border="1" gradient="0">
              <x14:cfvo type="num">
                <xm:f>0</xm:f>
              </x14:cfvo>
              <x14:cfvo type="num">
                <xm:f>1</xm:f>
              </x14:cfvo>
              <x14:borderColor theme="0"/>
              <x14:negativeFillColor rgb="FFFF0000"/>
              <x14:axisColor rgb="FF000000"/>
            </x14:dataBar>
          </x14:cfRule>
          <xm:sqref>N2050 N2052 N2054 N2056 N2058</xm:sqref>
        </x14:conditionalFormatting>
        <x14:conditionalFormatting xmlns:xm="http://schemas.microsoft.com/office/excel/2006/main">
          <x14:cfRule type="dataBar" id="{E1644581-5038-495C-844A-261FC76BFF87}">
            <x14:dataBar minLength="0" maxLength="100" border="1" gradient="0">
              <x14:cfvo type="num">
                <xm:f>0</xm:f>
              </x14:cfvo>
              <x14:cfvo type="num">
                <xm:f>1</xm:f>
              </x14:cfvo>
              <x14:borderColor theme="0"/>
              <x14:negativeFillColor rgb="FFFF0000"/>
              <x14:axisColor rgb="FF000000"/>
            </x14:dataBar>
          </x14:cfRule>
          <xm:sqref>N2060 N2062 N2064 N2066 N2068</xm:sqref>
        </x14:conditionalFormatting>
        <x14:conditionalFormatting xmlns:xm="http://schemas.microsoft.com/office/excel/2006/main">
          <x14:cfRule type="dataBar" id="{7E464390-1D18-4209-9405-6C2B4715EA21}">
            <x14:dataBar minLength="0" maxLength="100" border="1" gradient="0">
              <x14:cfvo type="num">
                <xm:f>0</xm:f>
              </x14:cfvo>
              <x14:cfvo type="num">
                <xm:f>1</xm:f>
              </x14:cfvo>
              <x14:borderColor theme="0"/>
              <x14:negativeFillColor rgb="FFFF0000"/>
              <x14:axisColor rgb="FF000000"/>
            </x14:dataBar>
          </x14:cfRule>
          <xm:sqref>N2070 N2074 N2072 N2076</xm:sqref>
        </x14:conditionalFormatting>
        <x14:conditionalFormatting xmlns:xm="http://schemas.microsoft.com/office/excel/2006/main">
          <x14:cfRule type="dataBar" id="{A18EBF61-AC33-48B4-90A8-FB2CFB90877E}">
            <x14:dataBar minLength="0" maxLength="100" border="1" gradient="0">
              <x14:cfvo type="num">
                <xm:f>0</xm:f>
              </x14:cfvo>
              <x14:cfvo type="num">
                <xm:f>1</xm:f>
              </x14:cfvo>
              <x14:borderColor theme="0"/>
              <x14:negativeFillColor rgb="FFFF0000"/>
              <x14:axisColor rgb="FF000000"/>
            </x14:dataBar>
          </x14:cfRule>
          <xm:sqref>N2078</xm:sqref>
        </x14:conditionalFormatting>
        <x14:conditionalFormatting xmlns:xm="http://schemas.microsoft.com/office/excel/2006/main">
          <x14:cfRule type="dataBar" id="{97E1F158-38CD-4C60-BCD7-7DCA0E43DC3C}">
            <x14:dataBar minLength="0" maxLength="100" border="1" gradient="0">
              <x14:cfvo type="num">
                <xm:f>0</xm:f>
              </x14:cfvo>
              <x14:cfvo type="num">
                <xm:f>1</xm:f>
              </x14:cfvo>
              <x14:borderColor theme="0"/>
              <x14:negativeFillColor rgb="FFFF0000"/>
              <x14:axisColor rgb="FF000000"/>
            </x14:dataBar>
          </x14:cfRule>
          <xm:sqref>N2080</xm:sqref>
        </x14:conditionalFormatting>
        <x14:conditionalFormatting xmlns:xm="http://schemas.microsoft.com/office/excel/2006/main">
          <x14:cfRule type="dataBar" id="{324E0EEB-92E2-460E-9F16-D712C56710AC}">
            <x14:dataBar minLength="0" maxLength="100" border="1" gradient="0">
              <x14:cfvo type="num">
                <xm:f>0</xm:f>
              </x14:cfvo>
              <x14:cfvo type="num">
                <xm:f>1</xm:f>
              </x14:cfvo>
              <x14:borderColor theme="0"/>
              <x14:negativeFillColor rgb="FFFF0000"/>
              <x14:axisColor rgb="FF000000"/>
            </x14:dataBar>
          </x14:cfRule>
          <xm:sqref>N2084</xm:sqref>
        </x14:conditionalFormatting>
        <x14:conditionalFormatting xmlns:xm="http://schemas.microsoft.com/office/excel/2006/main">
          <x14:cfRule type="dataBar" id="{4A2FAE37-8ECA-424D-BEA7-074B457B9DAC}">
            <x14:dataBar minLength="0" maxLength="100" border="1" gradient="0">
              <x14:cfvo type="num">
                <xm:f>0</xm:f>
              </x14:cfvo>
              <x14:cfvo type="num">
                <xm:f>1</xm:f>
              </x14:cfvo>
              <x14:borderColor theme="0"/>
              <x14:negativeFillColor rgb="FFFF0000"/>
              <x14:axisColor rgb="FF000000"/>
            </x14:dataBar>
          </x14:cfRule>
          <xm:sqref>N2086 N2088</xm:sqref>
        </x14:conditionalFormatting>
        <x14:conditionalFormatting xmlns:xm="http://schemas.microsoft.com/office/excel/2006/main">
          <x14:cfRule type="dataBar" id="{D664BCA4-13B8-452E-8D7D-C823A2E1CD86}">
            <x14:dataBar minLength="0" maxLength="100" border="1" gradient="0">
              <x14:cfvo type="num">
                <xm:f>0</xm:f>
              </x14:cfvo>
              <x14:cfvo type="num">
                <xm:f>1</xm:f>
              </x14:cfvo>
              <x14:borderColor theme="0"/>
              <x14:negativeFillColor rgb="FFFF0000"/>
              <x14:axisColor rgb="FF000000"/>
            </x14:dataBar>
          </x14:cfRule>
          <xm:sqref>N2090</xm:sqref>
        </x14:conditionalFormatting>
        <x14:conditionalFormatting xmlns:xm="http://schemas.microsoft.com/office/excel/2006/main">
          <x14:cfRule type="dataBar" id="{9916A03D-8804-499B-A9B3-E95827875A65}">
            <x14:dataBar minLength="0" maxLength="100" border="1" gradient="0">
              <x14:cfvo type="num">
                <xm:f>0</xm:f>
              </x14:cfvo>
              <x14:cfvo type="num">
                <xm:f>1</xm:f>
              </x14:cfvo>
              <x14:borderColor theme="0"/>
              <x14:negativeFillColor rgb="FFFF0000"/>
              <x14:axisColor rgb="FF000000"/>
            </x14:dataBar>
          </x14:cfRule>
          <xm:sqref>N2092 N2094</xm:sqref>
        </x14:conditionalFormatting>
        <x14:conditionalFormatting xmlns:xm="http://schemas.microsoft.com/office/excel/2006/main">
          <x14:cfRule type="dataBar" id="{C13AAB99-B87C-4C6B-B492-16CCFD0FA0B8}">
            <x14:dataBar minLength="0" maxLength="100" border="1" gradient="0">
              <x14:cfvo type="num">
                <xm:f>0</xm:f>
              </x14:cfvo>
              <x14:cfvo type="num">
                <xm:f>1</xm:f>
              </x14:cfvo>
              <x14:borderColor theme="0"/>
              <x14:negativeFillColor rgb="FFFF0000"/>
              <x14:axisColor rgb="FF000000"/>
            </x14:dataBar>
          </x14:cfRule>
          <xm:sqref>N2096</xm:sqref>
        </x14:conditionalFormatting>
        <x14:conditionalFormatting xmlns:xm="http://schemas.microsoft.com/office/excel/2006/main">
          <x14:cfRule type="dataBar" id="{05684B58-A86D-45D6-9611-2689CC18702B}">
            <x14:dataBar minLength="0" maxLength="100" border="1" gradient="0">
              <x14:cfvo type="num">
                <xm:f>0</xm:f>
              </x14:cfvo>
              <x14:cfvo type="num">
                <xm:f>1</xm:f>
              </x14:cfvo>
              <x14:borderColor theme="0"/>
              <x14:negativeFillColor rgb="FFFF0000"/>
              <x14:axisColor rgb="FF000000"/>
            </x14:dataBar>
          </x14:cfRule>
          <xm:sqref>N2098</xm:sqref>
        </x14:conditionalFormatting>
        <x14:conditionalFormatting xmlns:xm="http://schemas.microsoft.com/office/excel/2006/main">
          <x14:cfRule type="dataBar" id="{E55EF0A2-EA40-4635-B597-3680622EE2AD}">
            <x14:dataBar minLength="0" maxLength="100" border="1" gradient="0">
              <x14:cfvo type="num">
                <xm:f>0</xm:f>
              </x14:cfvo>
              <x14:cfvo type="num">
                <xm:f>1</xm:f>
              </x14:cfvo>
              <x14:borderColor theme="0"/>
              <x14:negativeFillColor rgb="FFFF0000"/>
              <x14:axisColor rgb="FF000000"/>
            </x14:dataBar>
          </x14:cfRule>
          <xm:sqref>N2100</xm:sqref>
        </x14:conditionalFormatting>
        <x14:conditionalFormatting xmlns:xm="http://schemas.microsoft.com/office/excel/2006/main">
          <x14:cfRule type="dataBar" id="{543730E5-896A-44C2-B801-BF60AE79A915}">
            <x14:dataBar minLength="0" maxLength="100" border="1" gradient="0">
              <x14:cfvo type="num">
                <xm:f>0</xm:f>
              </x14:cfvo>
              <x14:cfvo type="num">
                <xm:f>1</xm:f>
              </x14:cfvo>
              <x14:borderColor theme="0"/>
              <x14:negativeFillColor rgb="FFFF0000"/>
              <x14:axisColor rgb="FF000000"/>
            </x14:dataBar>
          </x14:cfRule>
          <xm:sqref>N2102 N2104</xm:sqref>
        </x14:conditionalFormatting>
        <x14:conditionalFormatting xmlns:xm="http://schemas.microsoft.com/office/excel/2006/main">
          <x14:cfRule type="dataBar" id="{A4CCA9AA-8C23-4464-80BE-C37EF596BB41}">
            <x14:dataBar minLength="0" maxLength="100" border="1" gradient="0">
              <x14:cfvo type="num">
                <xm:f>0</xm:f>
              </x14:cfvo>
              <x14:cfvo type="num">
                <xm:f>1</xm:f>
              </x14:cfvo>
              <x14:borderColor theme="0"/>
              <x14:negativeFillColor rgb="FFFF0000"/>
              <x14:axisColor rgb="FF000000"/>
            </x14:dataBar>
          </x14:cfRule>
          <xm:sqref>N2106</xm:sqref>
        </x14:conditionalFormatting>
        <x14:conditionalFormatting xmlns:xm="http://schemas.microsoft.com/office/excel/2006/main">
          <x14:cfRule type="dataBar" id="{8B33C0F6-1E8A-456E-8486-BA776EB54F61}">
            <x14:dataBar minLength="0" maxLength="100" border="1" gradient="0">
              <x14:cfvo type="num">
                <xm:f>0</xm:f>
              </x14:cfvo>
              <x14:cfvo type="num">
                <xm:f>1</xm:f>
              </x14:cfvo>
              <x14:borderColor theme="0"/>
              <x14:negativeFillColor rgb="FFFF0000"/>
              <x14:axisColor rgb="FF000000"/>
            </x14:dataBar>
          </x14:cfRule>
          <xm:sqref>N2108</xm:sqref>
        </x14:conditionalFormatting>
        <x14:conditionalFormatting xmlns:xm="http://schemas.microsoft.com/office/excel/2006/main">
          <x14:cfRule type="dataBar" id="{888A3959-59D9-4CC3-9138-FE4805F377EF}">
            <x14:dataBar minLength="0" maxLength="100" border="1" gradient="0">
              <x14:cfvo type="num">
                <xm:f>0</xm:f>
              </x14:cfvo>
              <x14:cfvo type="num">
                <xm:f>1</xm:f>
              </x14:cfvo>
              <x14:borderColor theme="0"/>
              <x14:negativeFillColor rgb="FFFF0000"/>
              <x14:axisColor rgb="FF000000"/>
            </x14:dataBar>
          </x14:cfRule>
          <xm:sqref>N2110 N2112</xm:sqref>
        </x14:conditionalFormatting>
        <x14:conditionalFormatting xmlns:xm="http://schemas.microsoft.com/office/excel/2006/main">
          <x14:cfRule type="dataBar" id="{B9CC070A-95F1-485C-BF20-B52930720332}">
            <x14:dataBar minLength="0" maxLength="100" border="1" gradient="0">
              <x14:cfvo type="num">
                <xm:f>0</xm:f>
              </x14:cfvo>
              <x14:cfvo type="num">
                <xm:f>1</xm:f>
              </x14:cfvo>
              <x14:borderColor theme="0"/>
              <x14:negativeFillColor rgb="FFFF0000"/>
              <x14:axisColor rgb="FF000000"/>
            </x14:dataBar>
          </x14:cfRule>
          <xm:sqref>N2114</xm:sqref>
        </x14:conditionalFormatting>
        <x14:conditionalFormatting xmlns:xm="http://schemas.microsoft.com/office/excel/2006/main">
          <x14:cfRule type="dataBar" id="{60F6A875-AC6D-43C9-BD53-CB050214DAA6}">
            <x14:dataBar minLength="0" maxLength="100" border="1" gradient="0">
              <x14:cfvo type="num">
                <xm:f>0</xm:f>
              </x14:cfvo>
              <x14:cfvo type="num">
                <xm:f>1</xm:f>
              </x14:cfvo>
              <x14:borderColor theme="0"/>
              <x14:negativeFillColor rgb="FFFF0000"/>
              <x14:axisColor rgb="FF000000"/>
            </x14:dataBar>
          </x14:cfRule>
          <xm:sqref>N2116</xm:sqref>
        </x14:conditionalFormatting>
        <x14:conditionalFormatting xmlns:xm="http://schemas.microsoft.com/office/excel/2006/main">
          <x14:cfRule type="dataBar" id="{80C06EF5-6838-46B3-A18D-8F82CD37911E}">
            <x14:dataBar minLength="0" maxLength="100" border="1" gradient="0">
              <x14:cfvo type="num">
                <xm:f>0</xm:f>
              </x14:cfvo>
              <x14:cfvo type="num">
                <xm:f>1</xm:f>
              </x14:cfvo>
              <x14:borderColor theme="0"/>
              <x14:negativeFillColor rgb="FFFF0000"/>
              <x14:axisColor rgb="FF000000"/>
            </x14:dataBar>
          </x14:cfRule>
          <xm:sqref>N2118</xm:sqref>
        </x14:conditionalFormatting>
        <x14:conditionalFormatting xmlns:xm="http://schemas.microsoft.com/office/excel/2006/main">
          <x14:cfRule type="dataBar" id="{C5D2D45C-18C9-4C20-8684-124EFAC9D27C}">
            <x14:dataBar minLength="0" maxLength="100" border="1" gradient="0">
              <x14:cfvo type="num">
                <xm:f>0</xm:f>
              </x14:cfvo>
              <x14:cfvo type="num">
                <xm:f>1</xm:f>
              </x14:cfvo>
              <x14:borderColor theme="0"/>
              <x14:negativeFillColor rgb="FFFF0000"/>
              <x14:axisColor rgb="FF000000"/>
            </x14:dataBar>
          </x14:cfRule>
          <xm:sqref>N2120 N2122</xm:sqref>
        </x14:conditionalFormatting>
        <x14:conditionalFormatting xmlns:xm="http://schemas.microsoft.com/office/excel/2006/main">
          <x14:cfRule type="dataBar" id="{1F4C5231-BC7F-46F8-B244-37D99FBFABCD}">
            <x14:dataBar minLength="0" maxLength="100" border="1" gradient="0">
              <x14:cfvo type="num">
                <xm:f>0</xm:f>
              </x14:cfvo>
              <x14:cfvo type="num">
                <xm:f>1</xm:f>
              </x14:cfvo>
              <x14:borderColor theme="0"/>
              <x14:negativeFillColor rgb="FFFF0000"/>
              <x14:axisColor rgb="FF000000"/>
            </x14:dataBar>
          </x14:cfRule>
          <xm:sqref>N2124</xm:sqref>
        </x14:conditionalFormatting>
        <x14:conditionalFormatting xmlns:xm="http://schemas.microsoft.com/office/excel/2006/main">
          <x14:cfRule type="dataBar" id="{A5173991-8884-4E01-954C-AAA603E092F6}">
            <x14:dataBar minLength="0" maxLength="100" border="1" gradient="0">
              <x14:cfvo type="num">
                <xm:f>0</xm:f>
              </x14:cfvo>
              <x14:cfvo type="num">
                <xm:f>1</xm:f>
              </x14:cfvo>
              <x14:borderColor theme="0"/>
              <x14:negativeFillColor rgb="FFFF0000"/>
              <x14:axisColor rgb="FF000000"/>
            </x14:dataBar>
          </x14:cfRule>
          <xm:sqref>N2127</xm:sqref>
        </x14:conditionalFormatting>
        <x14:conditionalFormatting xmlns:xm="http://schemas.microsoft.com/office/excel/2006/main">
          <x14:cfRule type="dataBar" id="{60E806CD-27FE-4667-B59B-1D948204909A}">
            <x14:dataBar minLength="0" maxLength="100" border="1" gradient="0">
              <x14:cfvo type="num">
                <xm:f>0</xm:f>
              </x14:cfvo>
              <x14:cfvo type="num">
                <xm:f>1</xm:f>
              </x14:cfvo>
              <x14:borderColor theme="0"/>
              <x14:negativeFillColor rgb="FFFF0000"/>
              <x14:axisColor rgb="FF000000"/>
            </x14:dataBar>
          </x14:cfRule>
          <xm:sqref>N2129 N2131 N2133</xm:sqref>
        </x14:conditionalFormatting>
        <x14:conditionalFormatting xmlns:xm="http://schemas.microsoft.com/office/excel/2006/main">
          <x14:cfRule type="dataBar" id="{75716E3F-C8DD-4D01-9200-5E066C88EA92}">
            <x14:dataBar minLength="0" maxLength="100" border="1" gradient="0">
              <x14:cfvo type="num">
                <xm:f>0</xm:f>
              </x14:cfvo>
              <x14:cfvo type="num">
                <xm:f>1</xm:f>
              </x14:cfvo>
              <x14:borderColor theme="0"/>
              <x14:negativeFillColor rgb="FFFF0000"/>
              <x14:axisColor rgb="FF000000"/>
            </x14:dataBar>
          </x14:cfRule>
          <xm:sqref>N2135 N2137 N2139</xm:sqref>
        </x14:conditionalFormatting>
        <x14:conditionalFormatting xmlns:xm="http://schemas.microsoft.com/office/excel/2006/main">
          <x14:cfRule type="dataBar" id="{33C6C7A4-4A2E-48B2-B776-F8C6257F2DFA}">
            <x14:dataBar minLength="0" maxLength="100" border="1" gradient="0">
              <x14:cfvo type="num">
                <xm:f>0</xm:f>
              </x14:cfvo>
              <x14:cfvo type="num">
                <xm:f>1</xm:f>
              </x14:cfvo>
              <x14:borderColor theme="0"/>
              <x14:negativeFillColor rgb="FFFF0000"/>
              <x14:axisColor rgb="FF000000"/>
            </x14:dataBar>
          </x14:cfRule>
          <xm:sqref>N2141 N2143 N2145</xm:sqref>
        </x14:conditionalFormatting>
        <x14:conditionalFormatting xmlns:xm="http://schemas.microsoft.com/office/excel/2006/main">
          <x14:cfRule type="dataBar" id="{20CD2EA7-5B1E-458F-9F6A-E523E5C18900}">
            <x14:dataBar minLength="0" maxLength="100" border="1" gradient="0">
              <x14:cfvo type="num">
                <xm:f>0</xm:f>
              </x14:cfvo>
              <x14:cfvo type="num">
                <xm:f>1</xm:f>
              </x14:cfvo>
              <x14:borderColor theme="0"/>
              <x14:negativeFillColor rgb="FFFF0000"/>
              <x14:axisColor rgb="FF000000"/>
            </x14:dataBar>
          </x14:cfRule>
          <xm:sqref>N2147 N2149 N2151</xm:sqref>
        </x14:conditionalFormatting>
        <x14:conditionalFormatting xmlns:xm="http://schemas.microsoft.com/office/excel/2006/main">
          <x14:cfRule type="dataBar" id="{400AD91F-67A6-414F-ABD0-E44B7810C23E}">
            <x14:dataBar minLength="0" maxLength="100" border="1" gradient="0">
              <x14:cfvo type="num">
                <xm:f>0</xm:f>
              </x14:cfvo>
              <x14:cfvo type="num">
                <xm:f>1</xm:f>
              </x14:cfvo>
              <x14:borderColor theme="0"/>
              <x14:negativeFillColor rgb="FFFF0000"/>
              <x14:axisColor rgb="FF000000"/>
            </x14:dataBar>
          </x14:cfRule>
          <xm:sqref>N2153 N2155 N2157</xm:sqref>
        </x14:conditionalFormatting>
        <x14:conditionalFormatting xmlns:xm="http://schemas.microsoft.com/office/excel/2006/main">
          <x14:cfRule type="dataBar" id="{E65DC504-A884-4A93-B2EB-E2AB5621BF84}">
            <x14:dataBar minLength="0" maxLength="100" border="1" gradient="0">
              <x14:cfvo type="num">
                <xm:f>0</xm:f>
              </x14:cfvo>
              <x14:cfvo type="num">
                <xm:f>1</xm:f>
              </x14:cfvo>
              <x14:borderColor theme="0"/>
              <x14:negativeFillColor rgb="FFFF0000"/>
              <x14:axisColor rgb="FF000000"/>
            </x14:dataBar>
          </x14:cfRule>
          <xm:sqref>N2159 N2161 N2163</xm:sqref>
        </x14:conditionalFormatting>
        <x14:conditionalFormatting xmlns:xm="http://schemas.microsoft.com/office/excel/2006/main">
          <x14:cfRule type="dataBar" id="{CE37F2F6-763E-4175-9E53-BC8FB508C70B}">
            <x14:dataBar minLength="0" maxLength="100" border="1" gradient="0">
              <x14:cfvo type="num">
                <xm:f>0</xm:f>
              </x14:cfvo>
              <x14:cfvo type="num">
                <xm:f>1</xm:f>
              </x14:cfvo>
              <x14:borderColor theme="0"/>
              <x14:negativeFillColor rgb="FFFF0000"/>
              <x14:axisColor rgb="FF000000"/>
            </x14:dataBar>
          </x14:cfRule>
          <xm:sqref>N2165 N2167</xm:sqref>
        </x14:conditionalFormatting>
        <x14:conditionalFormatting xmlns:xm="http://schemas.microsoft.com/office/excel/2006/main">
          <x14:cfRule type="dataBar" id="{EBEBC57A-C892-4644-B2E8-76DCED61E159}">
            <x14:dataBar minLength="0" maxLength="100" border="1" gradient="0">
              <x14:cfvo type="num">
                <xm:f>0</xm:f>
              </x14:cfvo>
              <x14:cfvo type="num">
                <xm:f>1</xm:f>
              </x14:cfvo>
              <x14:borderColor theme="0"/>
              <x14:negativeFillColor rgb="FFFF0000"/>
              <x14:axisColor rgb="FF000000"/>
            </x14:dataBar>
          </x14:cfRule>
          <xm:sqref>N2169 N2171 N2173</xm:sqref>
        </x14:conditionalFormatting>
        <x14:conditionalFormatting xmlns:xm="http://schemas.microsoft.com/office/excel/2006/main">
          <x14:cfRule type="dataBar" id="{184C027F-F7DA-45A0-857A-D2A5D7A32DD8}">
            <x14:dataBar minLength="0" maxLength="100" border="1" gradient="0">
              <x14:cfvo type="num">
                <xm:f>0</xm:f>
              </x14:cfvo>
              <x14:cfvo type="num">
                <xm:f>1</xm:f>
              </x14:cfvo>
              <x14:borderColor theme="0"/>
              <x14:negativeFillColor rgb="FFFF0000"/>
              <x14:axisColor rgb="FF000000"/>
            </x14:dataBar>
          </x14:cfRule>
          <xm:sqref>N2175 N2177 N2179</xm:sqref>
        </x14:conditionalFormatting>
        <x14:conditionalFormatting xmlns:xm="http://schemas.microsoft.com/office/excel/2006/main">
          <x14:cfRule type="dataBar" id="{CA3A8CA7-1E44-46E4-B0CC-6E4F08D2EA4A}">
            <x14:dataBar minLength="0" maxLength="100" border="1" gradient="0">
              <x14:cfvo type="num">
                <xm:f>0</xm:f>
              </x14:cfvo>
              <x14:cfvo type="num">
                <xm:f>1</xm:f>
              </x14:cfvo>
              <x14:borderColor theme="0"/>
              <x14:negativeFillColor rgb="FFFF0000"/>
              <x14:axisColor rgb="FF000000"/>
            </x14:dataBar>
          </x14:cfRule>
          <xm:sqref>N2181 N2183 N2185</xm:sqref>
        </x14:conditionalFormatting>
        <x14:conditionalFormatting xmlns:xm="http://schemas.microsoft.com/office/excel/2006/main">
          <x14:cfRule type="dataBar" id="{9BE8F928-2DA3-4BE3-90DE-47385968E012}">
            <x14:dataBar minLength="0" maxLength="100" border="1" gradient="0">
              <x14:cfvo type="num">
                <xm:f>0</xm:f>
              </x14:cfvo>
              <x14:cfvo type="num">
                <xm:f>1</xm:f>
              </x14:cfvo>
              <x14:borderColor theme="0"/>
              <x14:negativeFillColor rgb="FFFF0000"/>
              <x14:axisColor rgb="FF000000"/>
            </x14:dataBar>
          </x14:cfRule>
          <xm:sqref>N2187 N2189 N2191</xm:sqref>
        </x14:conditionalFormatting>
        <x14:conditionalFormatting xmlns:xm="http://schemas.microsoft.com/office/excel/2006/main">
          <x14:cfRule type="dataBar" id="{B6DBAF09-CC07-43FE-913E-E2CC5D8EF83D}">
            <x14:dataBar minLength="0" maxLength="100" border="1" gradient="0">
              <x14:cfvo type="num">
                <xm:f>0</xm:f>
              </x14:cfvo>
              <x14:cfvo type="num">
                <xm:f>1</xm:f>
              </x14:cfvo>
              <x14:borderColor theme="0"/>
              <x14:negativeFillColor rgb="FFFF0000"/>
              <x14:axisColor rgb="FF000000"/>
            </x14:dataBar>
          </x14:cfRule>
          <xm:sqref>N2193 N2195 N2197</xm:sqref>
        </x14:conditionalFormatting>
        <x14:conditionalFormatting xmlns:xm="http://schemas.microsoft.com/office/excel/2006/main">
          <x14:cfRule type="dataBar" id="{D205D800-0BF9-47A4-BF59-127441B94054}">
            <x14:dataBar minLength="0" maxLength="100" border="1" gradient="0">
              <x14:cfvo type="num">
                <xm:f>0</xm:f>
              </x14:cfvo>
              <x14:cfvo type="num">
                <xm:f>1</xm:f>
              </x14:cfvo>
              <x14:borderColor theme="0"/>
              <x14:negativeFillColor rgb="FFFF0000"/>
              <x14:axisColor rgb="FF000000"/>
            </x14:dataBar>
          </x14:cfRule>
          <xm:sqref>N2199 N2201 N2203</xm:sqref>
        </x14:conditionalFormatting>
        <x14:conditionalFormatting xmlns:xm="http://schemas.microsoft.com/office/excel/2006/main">
          <x14:cfRule type="dataBar" id="{4BEC269A-BADA-4D79-AEEE-F6D80B7751E4}">
            <x14:dataBar minLength="0" maxLength="100" border="1" gradient="0">
              <x14:cfvo type="num">
                <xm:f>0</xm:f>
              </x14:cfvo>
              <x14:cfvo type="num">
                <xm:f>1</xm:f>
              </x14:cfvo>
              <x14:borderColor theme="0"/>
              <x14:negativeFillColor rgb="FFFF0000"/>
              <x14:axisColor rgb="FF000000"/>
            </x14:dataBar>
          </x14:cfRule>
          <xm:sqref>N2205 N2209</xm:sqref>
        </x14:conditionalFormatting>
        <x14:conditionalFormatting xmlns:xm="http://schemas.microsoft.com/office/excel/2006/main">
          <x14:cfRule type="dataBar" id="{E6E2AED1-71F5-48AB-88D7-D96CFC847EDA}">
            <x14:dataBar minLength="0" maxLength="100" border="1" gradient="0">
              <x14:cfvo type="num">
                <xm:f>0</xm:f>
              </x14:cfvo>
              <x14:cfvo type="num">
                <xm:f>1</xm:f>
              </x14:cfvo>
              <x14:borderColor theme="0"/>
              <x14:negativeFillColor rgb="FFFF0000"/>
              <x14:axisColor rgb="FF000000"/>
            </x14:dataBar>
          </x14:cfRule>
          <xm:sqref>N2207</xm:sqref>
        </x14:conditionalFormatting>
        <x14:conditionalFormatting xmlns:xm="http://schemas.microsoft.com/office/excel/2006/main">
          <x14:cfRule type="dataBar" id="{4A143408-EEAD-4AE8-AE42-5839E62D00E8}">
            <x14:dataBar minLength="0" maxLength="100" border="1" gradient="0">
              <x14:cfvo type="num">
                <xm:f>0</xm:f>
              </x14:cfvo>
              <x14:cfvo type="num">
                <xm:f>1</xm:f>
              </x14:cfvo>
              <x14:borderColor theme="0"/>
              <x14:negativeFillColor rgb="FFFF0000"/>
              <x14:axisColor rgb="FF000000"/>
            </x14:dataBar>
          </x14:cfRule>
          <xm:sqref>N2213</xm:sqref>
        </x14:conditionalFormatting>
        <x14:conditionalFormatting xmlns:xm="http://schemas.microsoft.com/office/excel/2006/main">
          <x14:cfRule type="dataBar" id="{6FDE4A61-31EF-4766-B156-70BE4E4A4D42}">
            <x14:dataBar minLength="0" maxLength="100" border="1" gradient="0">
              <x14:cfvo type="num">
                <xm:f>0</xm:f>
              </x14:cfvo>
              <x14:cfvo type="num">
                <xm:f>1</xm:f>
              </x14:cfvo>
              <x14:borderColor theme="0"/>
              <x14:negativeFillColor rgb="FFFF0000"/>
              <x14:axisColor rgb="FF000000"/>
            </x14:dataBar>
          </x14:cfRule>
          <xm:sqref>N2215 N2217</xm:sqref>
        </x14:conditionalFormatting>
        <x14:conditionalFormatting xmlns:xm="http://schemas.microsoft.com/office/excel/2006/main">
          <x14:cfRule type="dataBar" id="{AC5AE38C-F1A6-4251-ADE9-8ABB07253631}">
            <x14:dataBar minLength="0" maxLength="100" border="1" gradient="0">
              <x14:cfvo type="num">
                <xm:f>0</xm:f>
              </x14:cfvo>
              <x14:cfvo type="num">
                <xm:f>1</xm:f>
              </x14:cfvo>
              <x14:borderColor theme="0"/>
              <x14:negativeFillColor rgb="FFFF0000"/>
              <x14:axisColor rgb="FF000000"/>
            </x14:dataBar>
          </x14:cfRule>
          <xm:sqref>N2219</xm:sqref>
        </x14:conditionalFormatting>
        <x14:conditionalFormatting xmlns:xm="http://schemas.microsoft.com/office/excel/2006/main">
          <x14:cfRule type="dataBar" id="{BB8463AF-5069-413D-8D69-5410E77D0CB3}">
            <x14:dataBar minLength="0" maxLength="100" border="1" gradient="0">
              <x14:cfvo type="num">
                <xm:f>0</xm:f>
              </x14:cfvo>
              <x14:cfvo type="num">
                <xm:f>1</xm:f>
              </x14:cfvo>
              <x14:borderColor theme="0"/>
              <x14:negativeFillColor rgb="FFFF0000"/>
              <x14:axisColor rgb="FF000000"/>
            </x14:dataBar>
          </x14:cfRule>
          <xm:sqref>N2221 N2223 N2225</xm:sqref>
        </x14:conditionalFormatting>
        <x14:conditionalFormatting xmlns:xm="http://schemas.microsoft.com/office/excel/2006/main">
          <x14:cfRule type="dataBar" id="{32C7192B-A1AB-4C30-BDB4-C3B24E587D70}">
            <x14:dataBar minLength="0" maxLength="100" border="1" gradient="0">
              <x14:cfvo type="num">
                <xm:f>0</xm:f>
              </x14:cfvo>
              <x14:cfvo type="num">
                <xm:f>1</xm:f>
              </x14:cfvo>
              <x14:borderColor theme="0"/>
              <x14:negativeFillColor rgb="FFFF0000"/>
              <x14:axisColor rgb="FF000000"/>
            </x14:dataBar>
          </x14:cfRule>
          <xm:sqref>N2227 N2229</xm:sqref>
        </x14:conditionalFormatting>
        <x14:conditionalFormatting xmlns:xm="http://schemas.microsoft.com/office/excel/2006/main">
          <x14:cfRule type="dataBar" id="{8468B07B-2B6D-40AE-8004-44916C5E92A4}">
            <x14:dataBar minLength="0" maxLength="100" border="1" gradient="0">
              <x14:cfvo type="num">
                <xm:f>0</xm:f>
              </x14:cfvo>
              <x14:cfvo type="num">
                <xm:f>1</xm:f>
              </x14:cfvo>
              <x14:borderColor theme="0"/>
              <x14:negativeFillColor rgb="FFFF0000"/>
              <x14:axisColor rgb="FF000000"/>
            </x14:dataBar>
          </x14:cfRule>
          <xm:sqref>N2231</xm:sqref>
        </x14:conditionalFormatting>
        <x14:conditionalFormatting xmlns:xm="http://schemas.microsoft.com/office/excel/2006/main">
          <x14:cfRule type="dataBar" id="{AAEFF17A-8D1B-4771-A767-8A2D1AC2E4A3}">
            <x14:dataBar minLength="0" maxLength="100" border="1" gradient="0">
              <x14:cfvo type="num">
                <xm:f>0</xm:f>
              </x14:cfvo>
              <x14:cfvo type="num">
                <xm:f>1</xm:f>
              </x14:cfvo>
              <x14:borderColor theme="0"/>
              <x14:negativeFillColor rgb="FFFF0000"/>
              <x14:axisColor rgb="FF000000"/>
            </x14:dataBar>
          </x14:cfRule>
          <xm:sqref>N2233 N2235 N2237</xm:sqref>
        </x14:conditionalFormatting>
        <x14:conditionalFormatting xmlns:xm="http://schemas.microsoft.com/office/excel/2006/main">
          <x14:cfRule type="dataBar" id="{6BC7230E-8F3A-4CF4-838E-E36BBD14194D}">
            <x14:dataBar minLength="0" maxLength="100" border="1" gradient="0">
              <x14:cfvo type="num">
                <xm:f>0</xm:f>
              </x14:cfvo>
              <x14:cfvo type="num">
                <xm:f>1</xm:f>
              </x14:cfvo>
              <x14:borderColor theme="0"/>
              <x14:negativeFillColor rgb="FFFF0000"/>
              <x14:axisColor rgb="FF000000"/>
            </x14:dataBar>
          </x14:cfRule>
          <xm:sqref>N2239</xm:sqref>
        </x14:conditionalFormatting>
        <x14:conditionalFormatting xmlns:xm="http://schemas.microsoft.com/office/excel/2006/main">
          <x14:cfRule type="dataBar" id="{CF9EA2E5-4E81-48C1-BE6B-723966AFFEE9}">
            <x14:dataBar minLength="0" maxLength="100" border="1" gradient="0">
              <x14:cfvo type="num">
                <xm:f>0</xm:f>
              </x14:cfvo>
              <x14:cfvo type="num">
                <xm:f>1</xm:f>
              </x14:cfvo>
              <x14:borderColor theme="0"/>
              <x14:negativeFillColor rgb="FFFF0000"/>
              <x14:axisColor rgb="FF000000"/>
            </x14:dataBar>
          </x14:cfRule>
          <xm:sqref>N2241</xm:sqref>
        </x14:conditionalFormatting>
        <x14:conditionalFormatting xmlns:xm="http://schemas.microsoft.com/office/excel/2006/main">
          <x14:cfRule type="dataBar" id="{64E61161-6D99-4D7E-9607-612842F21C0D}">
            <x14:dataBar minLength="0" maxLength="100" border="1" gradient="0">
              <x14:cfvo type="num">
                <xm:f>0</xm:f>
              </x14:cfvo>
              <x14:cfvo type="num">
                <xm:f>1</xm:f>
              </x14:cfvo>
              <x14:borderColor theme="0"/>
              <x14:negativeFillColor rgb="FFFF0000"/>
              <x14:axisColor rgb="FF000000"/>
            </x14:dataBar>
          </x14:cfRule>
          <xm:sqref>N2243</xm:sqref>
        </x14:conditionalFormatting>
        <x14:conditionalFormatting xmlns:xm="http://schemas.microsoft.com/office/excel/2006/main">
          <x14:cfRule type="dataBar" id="{AA78B053-7F8B-40C3-A2DC-FE666D1C05F0}">
            <x14:dataBar minLength="0" maxLength="100" border="1" gradient="0">
              <x14:cfvo type="num">
                <xm:f>0</xm:f>
              </x14:cfvo>
              <x14:cfvo type="num">
                <xm:f>1</xm:f>
              </x14:cfvo>
              <x14:borderColor theme="0"/>
              <x14:negativeFillColor rgb="FFFF0000"/>
              <x14:axisColor rgb="FF000000"/>
            </x14:dataBar>
          </x14:cfRule>
          <xm:sqref>N2245</xm:sqref>
        </x14:conditionalFormatting>
        <x14:conditionalFormatting xmlns:xm="http://schemas.microsoft.com/office/excel/2006/main">
          <x14:cfRule type="dataBar" id="{A80490CA-A081-4EA8-954F-875517F4D563}">
            <x14:dataBar minLength="0" maxLength="100" border="1" gradient="0">
              <x14:cfvo type="num">
                <xm:f>0</xm:f>
              </x14:cfvo>
              <x14:cfvo type="num">
                <xm:f>1</xm:f>
              </x14:cfvo>
              <x14:borderColor theme="0"/>
              <x14:negativeFillColor rgb="FFFF0000"/>
              <x14:axisColor rgb="FF000000"/>
            </x14:dataBar>
          </x14:cfRule>
          <xm:sqref>N2247</xm:sqref>
        </x14:conditionalFormatting>
        <x14:conditionalFormatting xmlns:xm="http://schemas.microsoft.com/office/excel/2006/main">
          <x14:cfRule type="dataBar" id="{DB5DF724-97D4-4DD9-A304-27DE7599690C}">
            <x14:dataBar minLength="0" maxLength="100" border="1" gradient="0">
              <x14:cfvo type="num">
                <xm:f>0</xm:f>
              </x14:cfvo>
              <x14:cfvo type="num">
                <xm:f>1</xm:f>
              </x14:cfvo>
              <x14:borderColor theme="0"/>
              <x14:negativeFillColor rgb="FFFF0000"/>
              <x14:axisColor rgb="FF000000"/>
            </x14:dataBar>
          </x14:cfRule>
          <xm:sqref>N2249</xm:sqref>
        </x14:conditionalFormatting>
        <x14:conditionalFormatting xmlns:xm="http://schemas.microsoft.com/office/excel/2006/main">
          <x14:cfRule type="dataBar" id="{1873B66B-094B-46A5-8C03-11F5ED604474}">
            <x14:dataBar minLength="0" maxLength="100" border="1" gradient="0">
              <x14:cfvo type="num">
                <xm:f>0</xm:f>
              </x14:cfvo>
              <x14:cfvo type="num">
                <xm:f>1</xm:f>
              </x14:cfvo>
              <x14:borderColor theme="0"/>
              <x14:negativeFillColor rgb="FFFF0000"/>
              <x14:axisColor rgb="FF000000"/>
            </x14:dataBar>
          </x14:cfRule>
          <xm:sqref>N2251</xm:sqref>
        </x14:conditionalFormatting>
        <x14:conditionalFormatting xmlns:xm="http://schemas.microsoft.com/office/excel/2006/main">
          <x14:cfRule type="dataBar" id="{C30AB8A1-8716-4253-A493-EB5ACC83DCAF}">
            <x14:dataBar minLength="0" maxLength="100" border="1" gradient="0">
              <x14:cfvo type="num">
                <xm:f>0</xm:f>
              </x14:cfvo>
              <x14:cfvo type="num">
                <xm:f>1</xm:f>
              </x14:cfvo>
              <x14:borderColor theme="0"/>
              <x14:negativeFillColor rgb="FFFF0000"/>
              <x14:axisColor rgb="FF000000"/>
            </x14:dataBar>
          </x14:cfRule>
          <xm:sqref>N2253</xm:sqref>
        </x14:conditionalFormatting>
        <x14:conditionalFormatting xmlns:xm="http://schemas.microsoft.com/office/excel/2006/main">
          <x14:cfRule type="dataBar" id="{46BE8C8F-DE82-47DE-8E76-6836EED85732}">
            <x14:dataBar minLength="0" maxLength="100" border="1" gradient="0">
              <x14:cfvo type="num">
                <xm:f>0</xm:f>
              </x14:cfvo>
              <x14:cfvo type="num">
                <xm:f>1</xm:f>
              </x14:cfvo>
              <x14:borderColor theme="0"/>
              <x14:negativeFillColor rgb="FFFF0000"/>
              <x14:axisColor rgb="FF000000"/>
            </x14:dataBar>
          </x14:cfRule>
          <xm:sqref>N2255</xm:sqref>
        </x14:conditionalFormatting>
        <x14:conditionalFormatting xmlns:xm="http://schemas.microsoft.com/office/excel/2006/main">
          <x14:cfRule type="dataBar" id="{E5F3E3D0-64A8-4553-8526-C22FC0D51906}">
            <x14:dataBar minLength="0" maxLength="100" border="1" gradient="0">
              <x14:cfvo type="num">
                <xm:f>0</xm:f>
              </x14:cfvo>
              <x14:cfvo type="num">
                <xm:f>1</xm:f>
              </x14:cfvo>
              <x14:borderColor theme="0"/>
              <x14:negativeFillColor rgb="FFFF0000"/>
              <x14:axisColor rgb="FF000000"/>
            </x14:dataBar>
          </x14:cfRule>
          <xm:sqref>N2257</xm:sqref>
        </x14:conditionalFormatting>
        <x14:conditionalFormatting xmlns:xm="http://schemas.microsoft.com/office/excel/2006/main">
          <x14:cfRule type="dataBar" id="{4DAA9735-7164-4D42-BCEE-F46ED3060F02}">
            <x14:dataBar minLength="0" maxLength="100" border="1" gradient="0">
              <x14:cfvo type="num">
                <xm:f>0</xm:f>
              </x14:cfvo>
              <x14:cfvo type="num">
                <xm:f>1</xm:f>
              </x14:cfvo>
              <x14:borderColor theme="0"/>
              <x14:negativeFillColor rgb="FFFF0000"/>
              <x14:axisColor rgb="FF000000"/>
            </x14:dataBar>
          </x14:cfRule>
          <xm:sqref>N2259</xm:sqref>
        </x14:conditionalFormatting>
        <x14:conditionalFormatting xmlns:xm="http://schemas.microsoft.com/office/excel/2006/main">
          <x14:cfRule type="dataBar" id="{E503CD87-2253-4E6B-A485-32CEA18E17CC}">
            <x14:dataBar minLength="0" maxLength="100" border="1" gradient="0">
              <x14:cfvo type="num">
                <xm:f>0</xm:f>
              </x14:cfvo>
              <x14:cfvo type="num">
                <xm:f>1</xm:f>
              </x14:cfvo>
              <x14:borderColor theme="0"/>
              <x14:negativeFillColor rgb="FFFF0000"/>
              <x14:axisColor rgb="FF000000"/>
            </x14:dataBar>
          </x14:cfRule>
          <xm:sqref>N2261</xm:sqref>
        </x14:conditionalFormatting>
        <x14:conditionalFormatting xmlns:xm="http://schemas.microsoft.com/office/excel/2006/main">
          <x14:cfRule type="dataBar" id="{CF02E106-FC08-431A-8294-558599896CE1}">
            <x14:dataBar minLength="0" maxLength="100" border="1" gradient="0">
              <x14:cfvo type="num">
                <xm:f>0</xm:f>
              </x14:cfvo>
              <x14:cfvo type="num">
                <xm:f>1</xm:f>
              </x14:cfvo>
              <x14:borderColor theme="0"/>
              <x14:negativeFillColor rgb="FFFF0000"/>
              <x14:axisColor rgb="FF000000"/>
            </x14:dataBar>
          </x14:cfRule>
          <xm:sqref>N2263 N2265</xm:sqref>
        </x14:conditionalFormatting>
        <x14:conditionalFormatting xmlns:xm="http://schemas.microsoft.com/office/excel/2006/main">
          <x14:cfRule type="dataBar" id="{4B06B2BC-FA12-49D4-9269-AB4AD1B6C79D}">
            <x14:dataBar minLength="0" maxLength="100" border="1" gradient="0">
              <x14:cfvo type="num">
                <xm:f>0</xm:f>
              </x14:cfvo>
              <x14:cfvo type="num">
                <xm:f>1</xm:f>
              </x14:cfvo>
              <x14:borderColor theme="0"/>
              <x14:negativeFillColor rgb="FFFF0000"/>
              <x14:axisColor rgb="FF000000"/>
            </x14:dataBar>
          </x14:cfRule>
          <xm:sqref>N2267</xm:sqref>
        </x14:conditionalFormatting>
        <x14:conditionalFormatting xmlns:xm="http://schemas.microsoft.com/office/excel/2006/main">
          <x14:cfRule type="dataBar" id="{5288B3BE-4BD9-43CF-9DDB-006B2338FBA7}">
            <x14:dataBar minLength="0" maxLength="100" border="1" gradient="0">
              <x14:cfvo type="num">
                <xm:f>0</xm:f>
              </x14:cfvo>
              <x14:cfvo type="num">
                <xm:f>1</xm:f>
              </x14:cfvo>
              <x14:borderColor theme="0"/>
              <x14:negativeFillColor rgb="FFFF0000"/>
              <x14:axisColor rgb="FF000000"/>
            </x14:dataBar>
          </x14:cfRule>
          <xm:sqref>N2269 N2271</xm:sqref>
        </x14:conditionalFormatting>
        <x14:conditionalFormatting xmlns:xm="http://schemas.microsoft.com/office/excel/2006/main">
          <x14:cfRule type="dataBar" id="{EF9F6228-BCFC-42A7-A304-AAB05C8C1C32}">
            <x14:dataBar minLength="0" maxLength="100" border="1" gradient="0">
              <x14:cfvo type="num">
                <xm:f>0</xm:f>
              </x14:cfvo>
              <x14:cfvo type="num">
                <xm:f>1</xm:f>
              </x14:cfvo>
              <x14:borderColor theme="0"/>
              <x14:negativeFillColor rgb="FFFF0000"/>
              <x14:axisColor rgb="FF000000"/>
            </x14:dataBar>
          </x14:cfRule>
          <xm:sqref>N2273 N2275</xm:sqref>
        </x14:conditionalFormatting>
        <x14:conditionalFormatting xmlns:xm="http://schemas.microsoft.com/office/excel/2006/main">
          <x14:cfRule type="dataBar" id="{01F7B5CF-193C-4B1D-99C7-AA7323C5172C}">
            <x14:dataBar minLength="0" maxLength="100" border="1" gradient="0">
              <x14:cfvo type="num">
                <xm:f>0</xm:f>
              </x14:cfvo>
              <x14:cfvo type="num">
                <xm:f>1</xm:f>
              </x14:cfvo>
              <x14:borderColor theme="0"/>
              <x14:negativeFillColor rgb="FFFF0000"/>
              <x14:axisColor rgb="FF000000"/>
            </x14:dataBar>
          </x14:cfRule>
          <xm:sqref>N2277</xm:sqref>
        </x14:conditionalFormatting>
        <x14:conditionalFormatting xmlns:xm="http://schemas.microsoft.com/office/excel/2006/main">
          <x14:cfRule type="dataBar" id="{C7413F6F-8CDA-42B7-8D95-6F29A93851CB}">
            <x14:dataBar minLength="0" maxLength="100" border="1" gradient="0">
              <x14:cfvo type="num">
                <xm:f>0</xm:f>
              </x14:cfvo>
              <x14:cfvo type="num">
                <xm:f>1</xm:f>
              </x14:cfvo>
              <x14:borderColor theme="0"/>
              <x14:negativeFillColor rgb="FFFF0000"/>
              <x14:axisColor rgb="FF000000"/>
            </x14:dataBar>
          </x14:cfRule>
          <xm:sqref>N2279</xm:sqref>
        </x14:conditionalFormatting>
        <x14:conditionalFormatting xmlns:xm="http://schemas.microsoft.com/office/excel/2006/main">
          <x14:cfRule type="dataBar" id="{09A82827-8B72-4DDE-8DC2-232D98CBD185}">
            <x14:dataBar minLength="0" maxLength="100" border="1" gradient="0">
              <x14:cfvo type="num">
                <xm:f>0</xm:f>
              </x14:cfvo>
              <x14:cfvo type="num">
                <xm:f>1</xm:f>
              </x14:cfvo>
              <x14:borderColor theme="0"/>
              <x14:negativeFillColor rgb="FFFF0000"/>
              <x14:axisColor rgb="FF000000"/>
            </x14:dataBar>
          </x14:cfRule>
          <xm:sqref>N2281</xm:sqref>
        </x14:conditionalFormatting>
        <x14:conditionalFormatting xmlns:xm="http://schemas.microsoft.com/office/excel/2006/main">
          <x14:cfRule type="dataBar" id="{26F35182-D6A6-41B4-A6DD-EB9B488FCDFE}">
            <x14:dataBar minLength="0" maxLength="100" border="1" gradient="0">
              <x14:cfvo type="num">
                <xm:f>0</xm:f>
              </x14:cfvo>
              <x14:cfvo type="num">
                <xm:f>1</xm:f>
              </x14:cfvo>
              <x14:borderColor theme="0"/>
              <x14:negativeFillColor rgb="FFFF0000"/>
              <x14:axisColor rgb="FF000000"/>
            </x14:dataBar>
          </x14:cfRule>
          <xm:sqref>N2283</xm:sqref>
        </x14:conditionalFormatting>
        <x14:conditionalFormatting xmlns:xm="http://schemas.microsoft.com/office/excel/2006/main">
          <x14:cfRule type="dataBar" id="{3A03F1A2-E055-45E1-9236-CD526CDD4503}">
            <x14:dataBar minLength="0" maxLength="100" border="1" gradient="0">
              <x14:cfvo type="num">
                <xm:f>0</xm:f>
              </x14:cfvo>
              <x14:cfvo type="num">
                <xm:f>1</xm:f>
              </x14:cfvo>
              <x14:borderColor theme="0"/>
              <x14:negativeFillColor rgb="FFFF0000"/>
              <x14:axisColor rgb="FF000000"/>
            </x14:dataBar>
          </x14:cfRule>
          <xm:sqref>N2285</xm:sqref>
        </x14:conditionalFormatting>
        <x14:conditionalFormatting xmlns:xm="http://schemas.microsoft.com/office/excel/2006/main">
          <x14:cfRule type="dataBar" id="{E20E4B8B-588E-4051-9A86-8DA65D752BB7}">
            <x14:dataBar minLength="0" maxLength="100" border="1" gradient="0">
              <x14:cfvo type="num">
                <xm:f>0</xm:f>
              </x14:cfvo>
              <x14:cfvo type="num">
                <xm:f>1</xm:f>
              </x14:cfvo>
              <x14:borderColor theme="0"/>
              <x14:negativeFillColor rgb="FFFF0000"/>
              <x14:axisColor rgb="FF000000"/>
            </x14:dataBar>
          </x14:cfRule>
          <xm:sqref>N2287</xm:sqref>
        </x14:conditionalFormatting>
        <x14:conditionalFormatting xmlns:xm="http://schemas.microsoft.com/office/excel/2006/main">
          <x14:cfRule type="dataBar" id="{6A214F3D-FA2E-44BF-A33F-306949B6D28E}">
            <x14:dataBar minLength="0" maxLength="100" border="1" gradient="0">
              <x14:cfvo type="num">
                <xm:f>0</xm:f>
              </x14:cfvo>
              <x14:cfvo type="num">
                <xm:f>1</xm:f>
              </x14:cfvo>
              <x14:borderColor theme="0"/>
              <x14:negativeFillColor rgb="FFFF0000"/>
              <x14:axisColor rgb="FF000000"/>
            </x14:dataBar>
          </x14:cfRule>
          <xm:sqref>N2291</xm:sqref>
        </x14:conditionalFormatting>
        <x14:conditionalFormatting xmlns:xm="http://schemas.microsoft.com/office/excel/2006/main">
          <x14:cfRule type="dataBar" id="{333A03F7-F801-44FE-A03E-B415F9AD708E}">
            <x14:dataBar minLength="0" maxLength="100" border="1" gradient="0">
              <x14:cfvo type="num">
                <xm:f>0</xm:f>
              </x14:cfvo>
              <x14:cfvo type="num">
                <xm:f>1</xm:f>
              </x14:cfvo>
              <x14:borderColor theme="0"/>
              <x14:negativeFillColor rgb="FFFF0000"/>
              <x14:axisColor rgb="FF000000"/>
            </x14:dataBar>
          </x14:cfRule>
          <xm:sqref>N2295</xm:sqref>
        </x14:conditionalFormatting>
        <x14:conditionalFormatting xmlns:xm="http://schemas.microsoft.com/office/excel/2006/main">
          <x14:cfRule type="dataBar" id="{BD88F7A1-40B2-4F5B-A469-CDF7105F1D9D}">
            <x14:dataBar minLength="0" maxLength="100" border="1" gradient="0">
              <x14:cfvo type="num">
                <xm:f>0</xm:f>
              </x14:cfvo>
              <x14:cfvo type="num">
                <xm:f>1</xm:f>
              </x14:cfvo>
              <x14:borderColor theme="0"/>
              <x14:negativeFillColor rgb="FFFF0000"/>
              <x14:axisColor rgb="FF000000"/>
            </x14:dataBar>
          </x14:cfRule>
          <xm:sqref>N2297 N2301</xm:sqref>
        </x14:conditionalFormatting>
        <x14:conditionalFormatting xmlns:xm="http://schemas.microsoft.com/office/excel/2006/main">
          <x14:cfRule type="dataBar" id="{1AB413CC-15F0-4B86-97AE-EB1A0B43D771}">
            <x14:dataBar minLength="0" maxLength="100" border="1" gradient="0">
              <x14:cfvo type="num">
                <xm:f>0</xm:f>
              </x14:cfvo>
              <x14:cfvo type="num">
                <xm:f>1</xm:f>
              </x14:cfvo>
              <x14:borderColor theme="0"/>
              <x14:negativeFillColor rgb="FFFF0000"/>
              <x14:axisColor rgb="FF000000"/>
            </x14:dataBar>
          </x14:cfRule>
          <xm:sqref>N2299</xm:sqref>
        </x14:conditionalFormatting>
        <x14:conditionalFormatting xmlns:xm="http://schemas.microsoft.com/office/excel/2006/main">
          <x14:cfRule type="dataBar" id="{D603B7D7-A186-4137-B100-178748110BA1}">
            <x14:dataBar minLength="0" maxLength="100" border="1" gradient="0">
              <x14:cfvo type="num">
                <xm:f>0</xm:f>
              </x14:cfvo>
              <x14:cfvo type="num">
                <xm:f>1</xm:f>
              </x14:cfvo>
              <x14:borderColor theme="0"/>
              <x14:negativeFillColor rgb="FFFF0000"/>
              <x14:axisColor rgb="FF000000"/>
            </x14:dataBar>
          </x14:cfRule>
          <xm:sqref>N2303</xm:sqref>
        </x14:conditionalFormatting>
        <x14:conditionalFormatting xmlns:xm="http://schemas.microsoft.com/office/excel/2006/main">
          <x14:cfRule type="dataBar" id="{1A625B23-BA3F-4DEE-89BA-9FF154817E42}">
            <x14:dataBar minLength="0" maxLength="100" border="1" gradient="0">
              <x14:cfvo type="num">
                <xm:f>0</xm:f>
              </x14:cfvo>
              <x14:cfvo type="num">
                <xm:f>1</xm:f>
              </x14:cfvo>
              <x14:borderColor theme="0"/>
              <x14:negativeFillColor rgb="FFFF0000"/>
              <x14:axisColor rgb="FF000000"/>
            </x14:dataBar>
          </x14:cfRule>
          <xm:sqref>N2305</xm:sqref>
        </x14:conditionalFormatting>
        <x14:conditionalFormatting xmlns:xm="http://schemas.microsoft.com/office/excel/2006/main">
          <x14:cfRule type="dataBar" id="{5B34FF4F-259E-4D41-A25B-DB254A947073}">
            <x14:dataBar minLength="0" maxLength="100" border="1" gradient="0">
              <x14:cfvo type="num">
                <xm:f>0</xm:f>
              </x14:cfvo>
              <x14:cfvo type="num">
                <xm:f>1</xm:f>
              </x14:cfvo>
              <x14:borderColor theme="0"/>
              <x14:negativeFillColor rgb="FFFF0000"/>
              <x14:axisColor rgb="FF000000"/>
            </x14:dataBar>
          </x14:cfRule>
          <xm:sqref>N2307 N2309</xm:sqref>
        </x14:conditionalFormatting>
        <x14:conditionalFormatting xmlns:xm="http://schemas.microsoft.com/office/excel/2006/main">
          <x14:cfRule type="dataBar" id="{4E8758F3-C967-4ED7-A087-EE0DF4B96DB6}">
            <x14:dataBar minLength="0" maxLength="100" border="1" gradient="0">
              <x14:cfvo type="num">
                <xm:f>0</xm:f>
              </x14:cfvo>
              <x14:cfvo type="num">
                <xm:f>1</xm:f>
              </x14:cfvo>
              <x14:borderColor theme="0"/>
              <x14:negativeFillColor rgb="FFFF0000"/>
              <x14:axisColor rgb="FF000000"/>
            </x14:dataBar>
          </x14:cfRule>
          <xm:sqref>N2311</xm:sqref>
        </x14:conditionalFormatting>
        <x14:conditionalFormatting xmlns:xm="http://schemas.microsoft.com/office/excel/2006/main">
          <x14:cfRule type="dataBar" id="{5653DC96-A330-4800-AA6E-9B7EB7121F70}">
            <x14:dataBar minLength="0" maxLength="100" border="1" gradient="0">
              <x14:cfvo type="num">
                <xm:f>0</xm:f>
              </x14:cfvo>
              <x14:cfvo type="num">
                <xm:f>1</xm:f>
              </x14:cfvo>
              <x14:borderColor theme="0"/>
              <x14:negativeFillColor rgb="FFFF0000"/>
              <x14:axisColor rgb="FF000000"/>
            </x14:dataBar>
          </x14:cfRule>
          <xm:sqref>N2313</xm:sqref>
        </x14:conditionalFormatting>
        <x14:conditionalFormatting xmlns:xm="http://schemas.microsoft.com/office/excel/2006/main">
          <x14:cfRule type="dataBar" id="{10E21DAE-5ED3-458A-BC27-826727D8991E}">
            <x14:dataBar minLength="0" maxLength="100" border="1" gradient="0">
              <x14:cfvo type="num">
                <xm:f>0</xm:f>
              </x14:cfvo>
              <x14:cfvo type="num">
                <xm:f>1</xm:f>
              </x14:cfvo>
              <x14:borderColor theme="0"/>
              <x14:negativeFillColor rgb="FFFF0000"/>
              <x14:axisColor rgb="FF000000"/>
            </x14:dataBar>
          </x14:cfRule>
          <xm:sqref>N2315</xm:sqref>
        </x14:conditionalFormatting>
        <x14:conditionalFormatting xmlns:xm="http://schemas.microsoft.com/office/excel/2006/main">
          <x14:cfRule type="dataBar" id="{139416CA-7AB4-4DDD-AF25-7D35707211B9}">
            <x14:dataBar minLength="0" maxLength="100" border="1" gradient="0">
              <x14:cfvo type="num">
                <xm:f>0</xm:f>
              </x14:cfvo>
              <x14:cfvo type="num">
                <xm:f>1</xm:f>
              </x14:cfvo>
              <x14:borderColor theme="0"/>
              <x14:negativeFillColor rgb="FFFF0000"/>
              <x14:axisColor rgb="FF000000"/>
            </x14:dataBar>
          </x14:cfRule>
          <xm:sqref>N2317</xm:sqref>
        </x14:conditionalFormatting>
        <x14:conditionalFormatting xmlns:xm="http://schemas.microsoft.com/office/excel/2006/main">
          <x14:cfRule type="dataBar" id="{7DD457DB-A533-452D-AB2D-35EAC21C5BDD}">
            <x14:dataBar minLength="0" maxLength="100" border="1" gradient="0">
              <x14:cfvo type="num">
                <xm:f>0</xm:f>
              </x14:cfvo>
              <x14:cfvo type="num">
                <xm:f>1</xm:f>
              </x14:cfvo>
              <x14:borderColor theme="0"/>
              <x14:negativeFillColor rgb="FFFF0000"/>
              <x14:axisColor rgb="FF000000"/>
            </x14:dataBar>
          </x14:cfRule>
          <xm:sqref>N2320</xm:sqref>
        </x14:conditionalFormatting>
        <x14:conditionalFormatting xmlns:xm="http://schemas.microsoft.com/office/excel/2006/main">
          <x14:cfRule type="dataBar" id="{1ABCC72E-F712-4D7D-8200-F55ED19CAF61}">
            <x14:dataBar minLength="0" maxLength="100" border="1" gradient="0">
              <x14:cfvo type="num">
                <xm:f>0</xm:f>
              </x14:cfvo>
              <x14:cfvo type="num">
                <xm:f>1</xm:f>
              </x14:cfvo>
              <x14:borderColor theme="0"/>
              <x14:negativeFillColor rgb="FFFF0000"/>
              <x14:axisColor rgb="FF000000"/>
            </x14:dataBar>
          </x14:cfRule>
          <xm:sqref>N2322 N2324</xm:sqref>
        </x14:conditionalFormatting>
        <x14:conditionalFormatting xmlns:xm="http://schemas.microsoft.com/office/excel/2006/main">
          <x14:cfRule type="dataBar" id="{AAE87E1A-810D-49F3-8218-FB257D3DA117}">
            <x14:dataBar minLength="0" maxLength="100" border="1" gradient="0">
              <x14:cfvo type="num">
                <xm:f>0</xm:f>
              </x14:cfvo>
              <x14:cfvo type="num">
                <xm:f>1</xm:f>
              </x14:cfvo>
              <x14:borderColor theme="0"/>
              <x14:negativeFillColor rgb="FFFF0000"/>
              <x14:axisColor rgb="FF000000"/>
            </x14:dataBar>
          </x14:cfRule>
          <xm:sqref>N2326</xm:sqref>
        </x14:conditionalFormatting>
        <x14:conditionalFormatting xmlns:xm="http://schemas.microsoft.com/office/excel/2006/main">
          <x14:cfRule type="dataBar" id="{A1A61F84-A10F-4954-A233-D47B97227B16}">
            <x14:dataBar minLength="0" maxLength="100" border="1" gradient="0">
              <x14:cfvo type="num">
                <xm:f>0</xm:f>
              </x14:cfvo>
              <x14:cfvo type="num">
                <xm:f>1</xm:f>
              </x14:cfvo>
              <x14:borderColor theme="0"/>
              <x14:negativeFillColor rgb="FFFF0000"/>
              <x14:axisColor rgb="FF000000"/>
            </x14:dataBar>
          </x14:cfRule>
          <xm:sqref>N2328</xm:sqref>
        </x14:conditionalFormatting>
        <x14:conditionalFormatting xmlns:xm="http://schemas.microsoft.com/office/excel/2006/main">
          <x14:cfRule type="dataBar" id="{96A24A81-D5FF-4F66-9692-8960B00323DF}">
            <x14:dataBar minLength="0" maxLength="100" border="1" gradient="0">
              <x14:cfvo type="num">
                <xm:f>0</xm:f>
              </x14:cfvo>
              <x14:cfvo type="num">
                <xm:f>1</xm:f>
              </x14:cfvo>
              <x14:borderColor theme="0"/>
              <x14:negativeFillColor rgb="FFFF0000"/>
              <x14:axisColor rgb="FF000000"/>
            </x14:dataBar>
          </x14:cfRule>
          <xm:sqref>N2330</xm:sqref>
        </x14:conditionalFormatting>
        <x14:conditionalFormatting xmlns:xm="http://schemas.microsoft.com/office/excel/2006/main">
          <x14:cfRule type="dataBar" id="{29B29422-9288-4C0A-A33D-9C91394C3A37}">
            <x14:dataBar minLength="0" maxLength="100" border="1" gradient="0">
              <x14:cfvo type="num">
                <xm:f>0</xm:f>
              </x14:cfvo>
              <x14:cfvo type="num">
                <xm:f>1</xm:f>
              </x14:cfvo>
              <x14:borderColor theme="0"/>
              <x14:negativeFillColor rgb="FFFF0000"/>
              <x14:axisColor rgb="FF000000"/>
            </x14:dataBar>
          </x14:cfRule>
          <xm:sqref>N2333</xm:sqref>
        </x14:conditionalFormatting>
        <x14:conditionalFormatting xmlns:xm="http://schemas.microsoft.com/office/excel/2006/main">
          <x14:cfRule type="dataBar" id="{5FCA505C-6F6C-4676-8815-7744A5B35515}">
            <x14:dataBar minLength="0" maxLength="100" border="1" gradient="0">
              <x14:cfvo type="num">
                <xm:f>0</xm:f>
              </x14:cfvo>
              <x14:cfvo type="num">
                <xm:f>1</xm:f>
              </x14:cfvo>
              <x14:borderColor theme="0"/>
              <x14:negativeFillColor rgb="FFFF0000"/>
              <x14:axisColor rgb="FF000000"/>
            </x14:dataBar>
          </x14:cfRule>
          <xm:sqref>N2335 N2337 N2339</xm:sqref>
        </x14:conditionalFormatting>
        <x14:conditionalFormatting xmlns:xm="http://schemas.microsoft.com/office/excel/2006/main">
          <x14:cfRule type="dataBar" id="{A1B15D55-F76D-478C-8F7B-96F3D02A8B0B}">
            <x14:dataBar minLength="0" maxLength="100" border="1" gradient="0">
              <x14:cfvo type="num">
                <xm:f>0</xm:f>
              </x14:cfvo>
              <x14:cfvo type="num">
                <xm:f>1</xm:f>
              </x14:cfvo>
              <x14:borderColor theme="0"/>
              <x14:negativeFillColor rgb="FFFF0000"/>
              <x14:axisColor rgb="FF000000"/>
            </x14:dataBar>
          </x14:cfRule>
          <xm:sqref>N2341</xm:sqref>
        </x14:conditionalFormatting>
        <x14:conditionalFormatting xmlns:xm="http://schemas.microsoft.com/office/excel/2006/main">
          <x14:cfRule type="dataBar" id="{F1187816-237F-49D0-B56F-6EB44F3C1FC0}">
            <x14:dataBar minLength="0" maxLength="100" border="1" gradient="0">
              <x14:cfvo type="num">
                <xm:f>0</xm:f>
              </x14:cfvo>
              <x14:cfvo type="num">
                <xm:f>1</xm:f>
              </x14:cfvo>
              <x14:borderColor theme="0"/>
              <x14:negativeFillColor rgb="FFFF0000"/>
              <x14:axisColor rgb="FF000000"/>
            </x14:dataBar>
          </x14:cfRule>
          <xm:sqref>N2345</xm:sqref>
        </x14:conditionalFormatting>
        <x14:conditionalFormatting xmlns:xm="http://schemas.microsoft.com/office/excel/2006/main">
          <x14:cfRule type="dataBar" id="{B0A776E9-F669-4550-AAF5-EDB456B172E4}">
            <x14:dataBar minLength="0" maxLength="100" border="1" gradient="0">
              <x14:cfvo type="num">
                <xm:f>0</xm:f>
              </x14:cfvo>
              <x14:cfvo type="num">
                <xm:f>1</xm:f>
              </x14:cfvo>
              <x14:borderColor theme="0"/>
              <x14:negativeFillColor rgb="FFFF0000"/>
              <x14:axisColor rgb="FF000000"/>
            </x14:dataBar>
          </x14:cfRule>
          <xm:sqref>N2347 N2349 N2351</xm:sqref>
        </x14:conditionalFormatting>
        <x14:conditionalFormatting xmlns:xm="http://schemas.microsoft.com/office/excel/2006/main">
          <x14:cfRule type="dataBar" id="{DC7C6CC2-6DFA-4900-ABE9-B8AC43B1A6D1}">
            <x14:dataBar minLength="0" maxLength="100" border="1" gradient="0">
              <x14:cfvo type="num">
                <xm:f>0</xm:f>
              </x14:cfvo>
              <x14:cfvo type="num">
                <xm:f>1</xm:f>
              </x14:cfvo>
              <x14:borderColor theme="0"/>
              <x14:negativeFillColor rgb="FFFF0000"/>
              <x14:axisColor rgb="FF000000"/>
            </x14:dataBar>
          </x14:cfRule>
          <xm:sqref>N2353 N2355</xm:sqref>
        </x14:conditionalFormatting>
        <x14:conditionalFormatting xmlns:xm="http://schemas.microsoft.com/office/excel/2006/main">
          <x14:cfRule type="dataBar" id="{371AE9BD-C5DF-4B40-B807-8E77806D365F}">
            <x14:dataBar minLength="0" maxLength="100" border="1" gradient="0">
              <x14:cfvo type="num">
                <xm:f>0</xm:f>
              </x14:cfvo>
              <x14:cfvo type="num">
                <xm:f>1</xm:f>
              </x14:cfvo>
              <x14:borderColor theme="0"/>
              <x14:negativeFillColor rgb="FFFF0000"/>
              <x14:axisColor rgb="FF000000"/>
            </x14:dataBar>
          </x14:cfRule>
          <xm:sqref>N2359</xm:sqref>
        </x14:conditionalFormatting>
        <x14:conditionalFormatting xmlns:xm="http://schemas.microsoft.com/office/excel/2006/main">
          <x14:cfRule type="dataBar" id="{AA894D04-A7F9-410F-BF7F-855B7B205AAB}">
            <x14:dataBar minLength="0" maxLength="100" border="1" gradient="0">
              <x14:cfvo type="num">
                <xm:f>0</xm:f>
              </x14:cfvo>
              <x14:cfvo type="num">
                <xm:f>1</xm:f>
              </x14:cfvo>
              <x14:borderColor theme="0"/>
              <x14:negativeFillColor rgb="FFFF0000"/>
              <x14:axisColor rgb="FF000000"/>
            </x14:dataBar>
          </x14:cfRule>
          <xm:sqref>N2361 N2363 N2365</xm:sqref>
        </x14:conditionalFormatting>
        <x14:conditionalFormatting xmlns:xm="http://schemas.microsoft.com/office/excel/2006/main">
          <x14:cfRule type="dataBar" id="{EA3B7CCB-2AAE-4568-98E1-6F0B3D343E8E}">
            <x14:dataBar minLength="0" maxLength="100" border="1" gradient="0">
              <x14:cfvo type="num">
                <xm:f>0</xm:f>
              </x14:cfvo>
              <x14:cfvo type="num">
                <xm:f>1</xm:f>
              </x14:cfvo>
              <x14:borderColor theme="0"/>
              <x14:negativeFillColor rgb="FFFF0000"/>
              <x14:axisColor rgb="FF000000"/>
            </x14:dataBar>
          </x14:cfRule>
          <xm:sqref>N2367 N2369</xm:sqref>
        </x14:conditionalFormatting>
        <x14:conditionalFormatting xmlns:xm="http://schemas.microsoft.com/office/excel/2006/main">
          <x14:cfRule type="dataBar" id="{FCD1D7D8-C8A8-4DA6-8E09-CDF80297BD90}">
            <x14:dataBar minLength="0" maxLength="100" border="1" gradient="0">
              <x14:cfvo type="num">
                <xm:f>0</xm:f>
              </x14:cfvo>
              <x14:cfvo type="num">
                <xm:f>1</xm:f>
              </x14:cfvo>
              <x14:borderColor theme="0"/>
              <x14:negativeFillColor rgb="FFFF0000"/>
              <x14:axisColor rgb="FF000000"/>
            </x14:dataBar>
          </x14:cfRule>
          <xm:sqref>N2371</xm:sqref>
        </x14:conditionalFormatting>
        <x14:conditionalFormatting xmlns:xm="http://schemas.microsoft.com/office/excel/2006/main">
          <x14:cfRule type="dataBar" id="{F102C73E-C419-479E-9682-6E300FC89C75}">
            <x14:dataBar minLength="0" maxLength="100" border="1" gradient="0">
              <x14:cfvo type="num">
                <xm:f>0</xm:f>
              </x14:cfvo>
              <x14:cfvo type="num">
                <xm:f>1</xm:f>
              </x14:cfvo>
              <x14:borderColor theme="0"/>
              <x14:negativeFillColor rgb="FFFF0000"/>
              <x14:axisColor rgb="FF000000"/>
            </x14:dataBar>
          </x14:cfRule>
          <xm:sqref>N2375</xm:sqref>
        </x14:conditionalFormatting>
        <x14:conditionalFormatting xmlns:xm="http://schemas.microsoft.com/office/excel/2006/main">
          <x14:cfRule type="dataBar" id="{48BB9272-0A51-457E-A5DE-CF1C04B8DDF0}">
            <x14:dataBar minLength="0" maxLength="100" border="1" gradient="0">
              <x14:cfvo type="num">
                <xm:f>0</xm:f>
              </x14:cfvo>
              <x14:cfvo type="num">
                <xm:f>1</xm:f>
              </x14:cfvo>
              <x14:borderColor theme="0"/>
              <x14:negativeFillColor rgb="FFFF0000"/>
              <x14:axisColor rgb="FF000000"/>
            </x14:dataBar>
          </x14:cfRule>
          <xm:sqref>N2379</xm:sqref>
        </x14:conditionalFormatting>
        <x14:conditionalFormatting xmlns:xm="http://schemas.microsoft.com/office/excel/2006/main">
          <x14:cfRule type="dataBar" id="{F273A047-F26D-48C5-83BF-4C494743CD64}">
            <x14:dataBar minLength="0" maxLength="100" border="1" gradient="0">
              <x14:cfvo type="num">
                <xm:f>0</xm:f>
              </x14:cfvo>
              <x14:cfvo type="num">
                <xm:f>1</xm:f>
              </x14:cfvo>
              <x14:borderColor theme="0"/>
              <x14:negativeFillColor rgb="FFFF0000"/>
              <x14:axisColor rgb="FF000000"/>
            </x14:dataBar>
          </x14:cfRule>
          <xm:sqref>N2381 N2383 N2385</xm:sqref>
        </x14:conditionalFormatting>
        <x14:conditionalFormatting xmlns:xm="http://schemas.microsoft.com/office/excel/2006/main">
          <x14:cfRule type="dataBar" id="{E5979415-A44A-4BBF-8530-47D3C563AF0A}">
            <x14:dataBar minLength="0" maxLength="100" border="1" gradient="0">
              <x14:cfvo type="num">
                <xm:f>0</xm:f>
              </x14:cfvo>
              <x14:cfvo type="num">
                <xm:f>1</xm:f>
              </x14:cfvo>
              <x14:borderColor theme="0"/>
              <x14:negativeFillColor rgb="FFFF0000"/>
              <x14:axisColor rgb="FF000000"/>
            </x14:dataBar>
          </x14:cfRule>
          <xm:sqref>N2387</xm:sqref>
        </x14:conditionalFormatting>
        <x14:conditionalFormatting xmlns:xm="http://schemas.microsoft.com/office/excel/2006/main">
          <x14:cfRule type="dataBar" id="{B718B3E7-32A1-4536-907D-BB7A96D24065}">
            <x14:dataBar minLength="0" maxLength="100" border="1" gradient="0">
              <x14:cfvo type="num">
                <xm:f>0</xm:f>
              </x14:cfvo>
              <x14:cfvo type="num">
                <xm:f>1</xm:f>
              </x14:cfvo>
              <x14:borderColor theme="0"/>
              <x14:negativeFillColor rgb="FFFF0000"/>
              <x14:axisColor rgb="FF000000"/>
            </x14:dataBar>
          </x14:cfRule>
          <xm:sqref>N2389</xm:sqref>
        </x14:conditionalFormatting>
        <x14:conditionalFormatting xmlns:xm="http://schemas.microsoft.com/office/excel/2006/main">
          <x14:cfRule type="dataBar" id="{4D40294C-2843-4E3C-AD89-0CE8C6461F18}">
            <x14:dataBar minLength="0" maxLength="100" border="1" gradient="0">
              <x14:cfvo type="num">
                <xm:f>0</xm:f>
              </x14:cfvo>
              <x14:cfvo type="num">
                <xm:f>1</xm:f>
              </x14:cfvo>
              <x14:borderColor theme="0"/>
              <x14:negativeFillColor rgb="FFFF0000"/>
              <x14:axisColor rgb="FF000000"/>
            </x14:dataBar>
          </x14:cfRule>
          <xm:sqref>N2393</xm:sqref>
        </x14:conditionalFormatting>
        <x14:conditionalFormatting xmlns:xm="http://schemas.microsoft.com/office/excel/2006/main">
          <x14:cfRule type="dataBar" id="{B46697BC-178E-49BE-A8D6-9708EA7312C4}">
            <x14:dataBar minLength="0" maxLength="100" border="1" gradient="0">
              <x14:cfvo type="num">
                <xm:f>0</xm:f>
              </x14:cfvo>
              <x14:cfvo type="num">
                <xm:f>1</xm:f>
              </x14:cfvo>
              <x14:borderColor theme="0"/>
              <x14:negativeFillColor rgb="FFFF0000"/>
              <x14:axisColor rgb="FF000000"/>
            </x14:dataBar>
          </x14:cfRule>
          <xm:sqref>N2395</xm:sqref>
        </x14:conditionalFormatting>
        <x14:conditionalFormatting xmlns:xm="http://schemas.microsoft.com/office/excel/2006/main">
          <x14:cfRule type="dataBar" id="{50E792C9-62AE-4E63-A94D-6499CAEC509D}">
            <x14:dataBar minLength="0" maxLength="100" border="1" gradient="0">
              <x14:cfvo type="num">
                <xm:f>0</xm:f>
              </x14:cfvo>
              <x14:cfvo type="num">
                <xm:f>1</xm:f>
              </x14:cfvo>
              <x14:borderColor theme="0"/>
              <x14:negativeFillColor rgb="FFFF0000"/>
              <x14:axisColor rgb="FF000000"/>
            </x14:dataBar>
          </x14:cfRule>
          <xm:sqref>N2397</xm:sqref>
        </x14:conditionalFormatting>
        <x14:conditionalFormatting xmlns:xm="http://schemas.microsoft.com/office/excel/2006/main">
          <x14:cfRule type="dataBar" id="{F50B4768-0803-4918-958C-5D82973C9DB4}">
            <x14:dataBar minLength="0" maxLength="100" border="1" gradient="0">
              <x14:cfvo type="num">
                <xm:f>0</xm:f>
              </x14:cfvo>
              <x14:cfvo type="num">
                <xm:f>1</xm:f>
              </x14:cfvo>
              <x14:borderColor theme="0"/>
              <x14:negativeFillColor rgb="FFFF0000"/>
              <x14:axisColor rgb="FF000000"/>
            </x14:dataBar>
          </x14:cfRule>
          <xm:sqref>N2401</xm:sqref>
        </x14:conditionalFormatting>
        <x14:conditionalFormatting xmlns:xm="http://schemas.microsoft.com/office/excel/2006/main">
          <x14:cfRule type="dataBar" id="{DE8F7F9A-02E1-4DEF-878C-C3BBE9342566}">
            <x14:dataBar minLength="0" maxLength="100" border="1" gradient="0">
              <x14:cfvo type="num">
                <xm:f>0</xm:f>
              </x14:cfvo>
              <x14:cfvo type="num">
                <xm:f>1</xm:f>
              </x14:cfvo>
              <x14:borderColor theme="0"/>
              <x14:negativeFillColor rgb="FFFF0000"/>
              <x14:axisColor rgb="FF000000"/>
            </x14:dataBar>
          </x14:cfRule>
          <xm:sqref>N2405</xm:sqref>
        </x14:conditionalFormatting>
        <x14:conditionalFormatting xmlns:xm="http://schemas.microsoft.com/office/excel/2006/main">
          <x14:cfRule type="dataBar" id="{5FBD4A9A-7512-4286-B30A-C818BDC0B65F}">
            <x14:dataBar minLength="0" maxLength="100" border="1" gradient="0">
              <x14:cfvo type="num">
                <xm:f>0</xm:f>
              </x14:cfvo>
              <x14:cfvo type="num">
                <xm:f>1</xm:f>
              </x14:cfvo>
              <x14:borderColor theme="0"/>
              <x14:negativeFillColor rgb="FFFF0000"/>
              <x14:axisColor rgb="FF000000"/>
            </x14:dataBar>
          </x14:cfRule>
          <xm:sqref>N2407 N2411 N2415 N2419 N2409 N2413 N2417 N2421</xm:sqref>
        </x14:conditionalFormatting>
        <x14:conditionalFormatting xmlns:xm="http://schemas.microsoft.com/office/excel/2006/main">
          <x14:cfRule type="dataBar" id="{99B6F801-46E9-4B27-BC0C-B269EAB16616}">
            <x14:dataBar minLength="0" maxLength="100" border="1" gradient="0">
              <x14:cfvo type="num">
                <xm:f>0</xm:f>
              </x14:cfvo>
              <x14:cfvo type="num">
                <xm:f>1</xm:f>
              </x14:cfvo>
              <x14:borderColor theme="0"/>
              <x14:negativeFillColor rgb="FFFF0000"/>
              <x14:axisColor rgb="FF000000"/>
            </x14:dataBar>
          </x14:cfRule>
          <xm:sqref>N2423 N2427 N2431 N2435 N2425 N2429 N2433 N2437</xm:sqref>
        </x14:conditionalFormatting>
        <x14:conditionalFormatting xmlns:xm="http://schemas.microsoft.com/office/excel/2006/main">
          <x14:cfRule type="dataBar" id="{E617080D-EE1D-450F-ACB4-A0D0E7B81369}">
            <x14:dataBar minLength="0" maxLength="100" border="1" gradient="0">
              <x14:cfvo type="num">
                <xm:f>0</xm:f>
              </x14:cfvo>
              <x14:cfvo type="num">
                <xm:f>1</xm:f>
              </x14:cfvo>
              <x14:borderColor theme="0"/>
              <x14:negativeFillColor rgb="FFFF0000"/>
              <x14:axisColor rgb="FF000000"/>
            </x14:dataBar>
          </x14:cfRule>
          <xm:sqref>N2439</xm:sqref>
        </x14:conditionalFormatting>
        <x14:conditionalFormatting xmlns:xm="http://schemas.microsoft.com/office/excel/2006/main">
          <x14:cfRule type="dataBar" id="{ABEAC120-1055-4E75-AE96-D4AA0D91DC6E}">
            <x14:dataBar minLength="0" maxLength="100" border="1" gradient="0">
              <x14:cfvo type="num">
                <xm:f>0</xm:f>
              </x14:cfvo>
              <x14:cfvo type="num">
                <xm:f>1</xm:f>
              </x14:cfvo>
              <x14:borderColor theme="0"/>
              <x14:negativeFillColor rgb="FFFF0000"/>
              <x14:axisColor rgb="FF000000"/>
            </x14:dataBar>
          </x14:cfRule>
          <xm:sqref>N2441 N2449 N2443 N2445 N2447 N2451</xm:sqref>
        </x14:conditionalFormatting>
        <x14:conditionalFormatting xmlns:xm="http://schemas.microsoft.com/office/excel/2006/main">
          <x14:cfRule type="dataBar" id="{7AAF3D57-ABD8-449F-8902-E1B60FBA0403}">
            <x14:dataBar minLength="0" maxLength="100" border="1" gradient="0">
              <x14:cfvo type="num">
                <xm:f>0</xm:f>
              </x14:cfvo>
              <x14:cfvo type="num">
                <xm:f>1</xm:f>
              </x14:cfvo>
              <x14:borderColor theme="0"/>
              <x14:negativeFillColor rgb="FFFF0000"/>
              <x14:axisColor rgb="FF000000"/>
            </x14:dataBar>
          </x14:cfRule>
          <xm:sqref>N2453</xm:sqref>
        </x14:conditionalFormatting>
        <x14:conditionalFormatting xmlns:xm="http://schemas.microsoft.com/office/excel/2006/main">
          <x14:cfRule type="dataBar" id="{B9B3D61E-8457-48D8-9FB1-2E90F6859C43}">
            <x14:dataBar minLength="0" maxLength="100" border="1" gradient="0">
              <x14:cfvo type="num">
                <xm:f>0</xm:f>
              </x14:cfvo>
              <x14:cfvo type="num">
                <xm:f>1</xm:f>
              </x14:cfvo>
              <x14:borderColor theme="0"/>
              <x14:negativeFillColor rgb="FFFF0000"/>
              <x14:axisColor rgb="FF000000"/>
            </x14:dataBar>
          </x14:cfRule>
          <xm:sqref>N2457</xm:sqref>
        </x14:conditionalFormatting>
        <x14:conditionalFormatting xmlns:xm="http://schemas.microsoft.com/office/excel/2006/main">
          <x14:cfRule type="dataBar" id="{DDAD41CD-ABFE-4D36-9A76-5BF775D04FD3}">
            <x14:dataBar minLength="0" maxLength="100" border="1" gradient="0">
              <x14:cfvo type="num">
                <xm:f>0</xm:f>
              </x14:cfvo>
              <x14:cfvo type="num">
                <xm:f>1</xm:f>
              </x14:cfvo>
              <x14:borderColor theme="0"/>
              <x14:negativeFillColor rgb="FFFF0000"/>
              <x14:axisColor rgb="FF000000"/>
            </x14:dataBar>
          </x14:cfRule>
          <xm:sqref>N2459 N2461</xm:sqref>
        </x14:conditionalFormatting>
        <x14:conditionalFormatting xmlns:xm="http://schemas.microsoft.com/office/excel/2006/main">
          <x14:cfRule type="dataBar" id="{5EC353C7-3F86-4100-A20E-D84CC9822D51}">
            <x14:dataBar minLength="0" maxLength="100" border="1" gradient="0">
              <x14:cfvo type="num">
                <xm:f>0</xm:f>
              </x14:cfvo>
              <x14:cfvo type="num">
                <xm:f>1</xm:f>
              </x14:cfvo>
              <x14:borderColor theme="0"/>
              <x14:negativeFillColor rgb="FFFF0000"/>
              <x14:axisColor rgb="FF000000"/>
            </x14:dataBar>
          </x14:cfRule>
          <xm:sqref>N2463 N2465</xm:sqref>
        </x14:conditionalFormatting>
        <x14:conditionalFormatting xmlns:xm="http://schemas.microsoft.com/office/excel/2006/main">
          <x14:cfRule type="dataBar" id="{F456C352-205A-4ADD-89B4-AFA5EEBC4332}">
            <x14:dataBar minLength="0" maxLength="100" border="1" gradient="0">
              <x14:cfvo type="num">
                <xm:f>0</xm:f>
              </x14:cfvo>
              <x14:cfvo type="num">
                <xm:f>1</xm:f>
              </x14:cfvo>
              <x14:borderColor theme="0"/>
              <x14:negativeFillColor rgb="FFFF0000"/>
              <x14:axisColor rgb="FF000000"/>
            </x14:dataBar>
          </x14:cfRule>
          <xm:sqref>N2467 N2469</xm:sqref>
        </x14:conditionalFormatting>
        <x14:conditionalFormatting xmlns:xm="http://schemas.microsoft.com/office/excel/2006/main">
          <x14:cfRule type="dataBar" id="{C610D2E2-B33F-4337-9E6B-B71C887EF676}">
            <x14:dataBar minLength="0" maxLength="100" border="1" gradient="0">
              <x14:cfvo type="num">
                <xm:f>0</xm:f>
              </x14:cfvo>
              <x14:cfvo type="num">
                <xm:f>1</xm:f>
              </x14:cfvo>
              <x14:borderColor theme="0"/>
              <x14:negativeFillColor rgb="FFFF0000"/>
              <x14:axisColor rgb="FF000000"/>
            </x14:dataBar>
          </x14:cfRule>
          <xm:sqref>N2471 N2473</xm:sqref>
        </x14:conditionalFormatting>
        <x14:conditionalFormatting xmlns:xm="http://schemas.microsoft.com/office/excel/2006/main">
          <x14:cfRule type="dataBar" id="{E4813800-5F95-41CC-AFCF-419ADEF35E5D}">
            <x14:dataBar minLength="0" maxLength="100" border="1" gradient="0">
              <x14:cfvo type="num">
                <xm:f>0</xm:f>
              </x14:cfvo>
              <x14:cfvo type="num">
                <xm:f>1</xm:f>
              </x14:cfvo>
              <x14:borderColor theme="0"/>
              <x14:negativeFillColor rgb="FFFF0000"/>
              <x14:axisColor rgb="FF000000"/>
            </x14:dataBar>
          </x14:cfRule>
          <xm:sqref>N2475 N2477</xm:sqref>
        </x14:conditionalFormatting>
        <x14:conditionalFormatting xmlns:xm="http://schemas.microsoft.com/office/excel/2006/main">
          <x14:cfRule type="dataBar" id="{BF62965C-63B9-425C-A6B4-5576CF5A170F}">
            <x14:dataBar minLength="0" maxLength="100" border="1" gradient="0">
              <x14:cfvo type="num">
                <xm:f>0</xm:f>
              </x14:cfvo>
              <x14:cfvo type="num">
                <xm:f>1</xm:f>
              </x14:cfvo>
              <x14:borderColor theme="0"/>
              <x14:negativeFillColor rgb="FFFF0000"/>
              <x14:axisColor rgb="FF000000"/>
            </x14:dataBar>
          </x14:cfRule>
          <xm:sqref>N2479 N2481</xm:sqref>
        </x14:conditionalFormatting>
        <x14:conditionalFormatting xmlns:xm="http://schemas.microsoft.com/office/excel/2006/main">
          <x14:cfRule type="dataBar" id="{8FCCCBC6-23C8-4DB6-94B9-8A78A7A5C57E}">
            <x14:dataBar minLength="0" maxLength="100" border="1" gradient="0">
              <x14:cfvo type="num">
                <xm:f>0</xm:f>
              </x14:cfvo>
              <x14:cfvo type="num">
                <xm:f>1</xm:f>
              </x14:cfvo>
              <x14:borderColor theme="0"/>
              <x14:negativeFillColor rgb="FFFF0000"/>
              <x14:axisColor rgb="FF000000"/>
            </x14:dataBar>
          </x14:cfRule>
          <xm:sqref>N2483 N2485</xm:sqref>
        </x14:conditionalFormatting>
        <x14:conditionalFormatting xmlns:xm="http://schemas.microsoft.com/office/excel/2006/main">
          <x14:cfRule type="dataBar" id="{ACA2E3A4-ED8D-4A4C-8DAB-82E7BCB1C152}">
            <x14:dataBar minLength="0" maxLength="100" border="1" gradient="0">
              <x14:cfvo type="num">
                <xm:f>0</xm:f>
              </x14:cfvo>
              <x14:cfvo type="num">
                <xm:f>1</xm:f>
              </x14:cfvo>
              <x14:borderColor theme="0"/>
              <x14:negativeFillColor rgb="FFFF0000"/>
              <x14:axisColor rgb="FF000000"/>
            </x14:dataBar>
          </x14:cfRule>
          <xm:sqref>N2487 N2489</xm:sqref>
        </x14:conditionalFormatting>
        <x14:conditionalFormatting xmlns:xm="http://schemas.microsoft.com/office/excel/2006/main">
          <x14:cfRule type="dataBar" id="{E8CF20F0-77A2-4AB1-BF88-A7EFA3B5E0EC}">
            <x14:dataBar minLength="0" maxLength="100" border="1" gradient="0">
              <x14:cfvo type="num">
                <xm:f>0</xm:f>
              </x14:cfvo>
              <x14:cfvo type="num">
                <xm:f>1</xm:f>
              </x14:cfvo>
              <x14:borderColor theme="0"/>
              <x14:negativeFillColor rgb="FFFF0000"/>
              <x14:axisColor rgb="FF000000"/>
            </x14:dataBar>
          </x14:cfRule>
          <xm:sqref>N2491 N2493</xm:sqref>
        </x14:conditionalFormatting>
        <x14:conditionalFormatting xmlns:xm="http://schemas.microsoft.com/office/excel/2006/main">
          <x14:cfRule type="dataBar" id="{68DA0B64-6771-4B5F-B742-C6255255EA8B}">
            <x14:dataBar minLength="0" maxLength="100" border="1" gradient="0">
              <x14:cfvo type="num">
                <xm:f>0</xm:f>
              </x14:cfvo>
              <x14:cfvo type="num">
                <xm:f>1</xm:f>
              </x14:cfvo>
              <x14:borderColor theme="0"/>
              <x14:negativeFillColor rgb="FFFF0000"/>
              <x14:axisColor rgb="FF000000"/>
            </x14:dataBar>
          </x14:cfRule>
          <xm:sqref>N2495 N2497</xm:sqref>
        </x14:conditionalFormatting>
        <x14:conditionalFormatting xmlns:xm="http://schemas.microsoft.com/office/excel/2006/main">
          <x14:cfRule type="dataBar" id="{9155D83D-32AC-413F-B5C7-F16B8F1B32B1}">
            <x14:dataBar minLength="0" maxLength="100" border="1" gradient="0">
              <x14:cfvo type="num">
                <xm:f>0</xm:f>
              </x14:cfvo>
              <x14:cfvo type="num">
                <xm:f>1</xm:f>
              </x14:cfvo>
              <x14:borderColor theme="0"/>
              <x14:negativeFillColor rgb="FFFF0000"/>
              <x14:axisColor rgb="FF000000"/>
            </x14:dataBar>
          </x14:cfRule>
          <xm:sqref>N2499</xm:sqref>
        </x14:conditionalFormatting>
        <x14:conditionalFormatting xmlns:xm="http://schemas.microsoft.com/office/excel/2006/main">
          <x14:cfRule type="dataBar" id="{6224E007-0416-4FEA-8FD0-58712E135A14}">
            <x14:dataBar minLength="0" maxLength="100" border="1" gradient="0">
              <x14:cfvo type="num">
                <xm:f>0</xm:f>
              </x14:cfvo>
              <x14:cfvo type="num">
                <xm:f>1</xm:f>
              </x14:cfvo>
              <x14:borderColor theme="0"/>
              <x14:negativeFillColor rgb="FFFF0000"/>
              <x14:axisColor rgb="FF000000"/>
            </x14:dataBar>
          </x14:cfRule>
          <xm:sqref>N2501 N2503</xm:sqref>
        </x14:conditionalFormatting>
        <x14:conditionalFormatting xmlns:xm="http://schemas.microsoft.com/office/excel/2006/main">
          <x14:cfRule type="dataBar" id="{7A6DFC1E-E0A6-475A-8BEE-880634B7E102}">
            <x14:dataBar minLength="0" maxLength="100" border="1" gradient="0">
              <x14:cfvo type="num">
                <xm:f>0</xm:f>
              </x14:cfvo>
              <x14:cfvo type="num">
                <xm:f>1</xm:f>
              </x14:cfvo>
              <x14:borderColor theme="0"/>
              <x14:negativeFillColor rgb="FFFF0000"/>
              <x14:axisColor rgb="FF000000"/>
            </x14:dataBar>
          </x14:cfRule>
          <xm:sqref>N2505 N2507</xm:sqref>
        </x14:conditionalFormatting>
        <x14:conditionalFormatting xmlns:xm="http://schemas.microsoft.com/office/excel/2006/main">
          <x14:cfRule type="dataBar" id="{907590FE-298A-4E29-9B72-3ED26CDB2364}">
            <x14:dataBar minLength="0" maxLength="100" border="1" gradient="0">
              <x14:cfvo type="num">
                <xm:f>0</xm:f>
              </x14:cfvo>
              <x14:cfvo type="num">
                <xm:f>1</xm:f>
              </x14:cfvo>
              <x14:borderColor theme="0"/>
              <x14:negativeFillColor rgb="FFFF0000"/>
              <x14:axisColor rgb="FF000000"/>
            </x14:dataBar>
          </x14:cfRule>
          <xm:sqref>N2509 N2511</xm:sqref>
        </x14:conditionalFormatting>
        <x14:conditionalFormatting xmlns:xm="http://schemas.microsoft.com/office/excel/2006/main">
          <x14:cfRule type="dataBar" id="{DFC1DF21-47A5-41F9-9F7C-1C1D4602A7CE}">
            <x14:dataBar minLength="0" maxLength="100" border="1" gradient="0">
              <x14:cfvo type="num">
                <xm:f>0</xm:f>
              </x14:cfvo>
              <x14:cfvo type="num">
                <xm:f>1</xm:f>
              </x14:cfvo>
              <x14:borderColor theme="0"/>
              <x14:negativeFillColor rgb="FFFF0000"/>
              <x14:axisColor rgb="FF000000"/>
            </x14:dataBar>
          </x14:cfRule>
          <xm:sqref>N2513 N2515</xm:sqref>
        </x14:conditionalFormatting>
        <x14:conditionalFormatting xmlns:xm="http://schemas.microsoft.com/office/excel/2006/main">
          <x14:cfRule type="dataBar" id="{EF9F5305-CFAD-446E-A205-CD825BED0813}">
            <x14:dataBar minLength="0" maxLength="100" border="1" gradient="0">
              <x14:cfvo type="num">
                <xm:f>0</xm:f>
              </x14:cfvo>
              <x14:cfvo type="num">
                <xm:f>1</xm:f>
              </x14:cfvo>
              <x14:borderColor theme="0"/>
              <x14:negativeFillColor rgb="FFFF0000"/>
              <x14:axisColor rgb="FF000000"/>
            </x14:dataBar>
          </x14:cfRule>
          <xm:sqref>N2517 N2519</xm:sqref>
        </x14:conditionalFormatting>
        <x14:conditionalFormatting xmlns:xm="http://schemas.microsoft.com/office/excel/2006/main">
          <x14:cfRule type="dataBar" id="{3B84EDDF-0885-4198-B932-C62FE6D862B2}">
            <x14:dataBar minLength="0" maxLength="100" border="1" gradient="0">
              <x14:cfvo type="num">
                <xm:f>0</xm:f>
              </x14:cfvo>
              <x14:cfvo type="num">
                <xm:f>1</xm:f>
              </x14:cfvo>
              <x14:borderColor theme="0"/>
              <x14:negativeFillColor rgb="FFFF0000"/>
              <x14:axisColor rgb="FF000000"/>
            </x14:dataBar>
          </x14:cfRule>
          <xm:sqref>N2521</xm:sqref>
        </x14:conditionalFormatting>
        <x14:conditionalFormatting xmlns:xm="http://schemas.microsoft.com/office/excel/2006/main">
          <x14:cfRule type="dataBar" id="{BBC2A1EA-5E5B-451E-928F-F20742C2C987}">
            <x14:dataBar minLength="0" maxLength="100" border="1" gradient="0">
              <x14:cfvo type="num">
                <xm:f>0</xm:f>
              </x14:cfvo>
              <x14:cfvo type="num">
                <xm:f>1</xm:f>
              </x14:cfvo>
              <x14:borderColor theme="0"/>
              <x14:negativeFillColor rgb="FFFF0000"/>
              <x14:axisColor rgb="FF000000"/>
            </x14:dataBar>
          </x14:cfRule>
          <xm:sqref>N2523</xm:sqref>
        </x14:conditionalFormatting>
        <x14:conditionalFormatting xmlns:xm="http://schemas.microsoft.com/office/excel/2006/main">
          <x14:cfRule type="dataBar" id="{E2E74CC2-3244-450A-BEE1-8F6701C1A6D3}">
            <x14:dataBar minLength="0" maxLength="100" border="1" gradient="0">
              <x14:cfvo type="num">
                <xm:f>0</xm:f>
              </x14:cfvo>
              <x14:cfvo type="num">
                <xm:f>1</xm:f>
              </x14:cfvo>
              <x14:borderColor theme="0"/>
              <x14:negativeFillColor rgb="FFFF0000"/>
              <x14:axisColor rgb="FF000000"/>
            </x14:dataBar>
          </x14:cfRule>
          <xm:sqref>N2527</xm:sqref>
        </x14:conditionalFormatting>
        <x14:conditionalFormatting xmlns:xm="http://schemas.microsoft.com/office/excel/2006/main">
          <x14:cfRule type="dataBar" id="{34051197-20F6-47F8-84F6-C14E5459F714}">
            <x14:dataBar minLength="0" maxLength="100" border="1" gradient="0">
              <x14:cfvo type="num">
                <xm:f>0</xm:f>
              </x14:cfvo>
              <x14:cfvo type="num">
                <xm:f>1</xm:f>
              </x14:cfvo>
              <x14:borderColor theme="0"/>
              <x14:negativeFillColor rgb="FFFF0000"/>
              <x14:axisColor rgb="FF000000"/>
            </x14:dataBar>
          </x14:cfRule>
          <xm:sqref>N2529</xm:sqref>
        </x14:conditionalFormatting>
        <x14:conditionalFormatting xmlns:xm="http://schemas.microsoft.com/office/excel/2006/main">
          <x14:cfRule type="dataBar" id="{436620DE-8C39-4A12-8031-6F1F52B1984D}">
            <x14:dataBar minLength="0" maxLength="100" border="1" gradient="0">
              <x14:cfvo type="num">
                <xm:f>0</xm:f>
              </x14:cfvo>
              <x14:cfvo type="num">
                <xm:f>1</xm:f>
              </x14:cfvo>
              <x14:borderColor theme="0"/>
              <x14:negativeFillColor rgb="FFFF0000"/>
              <x14:axisColor rgb="FF000000"/>
            </x14:dataBar>
          </x14:cfRule>
          <xm:sqref>N2531 N2533</xm:sqref>
        </x14:conditionalFormatting>
        <x14:conditionalFormatting xmlns:xm="http://schemas.microsoft.com/office/excel/2006/main">
          <x14:cfRule type="dataBar" id="{B3239139-2548-4B20-9A74-337A2DB24775}">
            <x14:dataBar minLength="0" maxLength="100" border="1" gradient="0">
              <x14:cfvo type="num">
                <xm:f>0</xm:f>
              </x14:cfvo>
              <x14:cfvo type="num">
                <xm:f>1</xm:f>
              </x14:cfvo>
              <x14:borderColor theme="0"/>
              <x14:negativeFillColor rgb="FFFF0000"/>
              <x14:axisColor rgb="FF000000"/>
            </x14:dataBar>
          </x14:cfRule>
          <xm:sqref>N2537</xm:sqref>
        </x14:conditionalFormatting>
        <x14:conditionalFormatting xmlns:xm="http://schemas.microsoft.com/office/excel/2006/main">
          <x14:cfRule type="dataBar" id="{73FB6A6D-6B22-4CCD-B8AC-BA0720818314}">
            <x14:dataBar minLength="0" maxLength="100" border="1" gradient="0">
              <x14:cfvo type="num">
                <xm:f>0</xm:f>
              </x14:cfvo>
              <x14:cfvo type="num">
                <xm:f>1</xm:f>
              </x14:cfvo>
              <x14:borderColor theme="0"/>
              <x14:negativeFillColor rgb="FFFF0000"/>
              <x14:axisColor rgb="FF000000"/>
            </x14:dataBar>
          </x14:cfRule>
          <xm:sqref>N2539 N2541 N2543</xm:sqref>
        </x14:conditionalFormatting>
        <x14:conditionalFormatting xmlns:xm="http://schemas.microsoft.com/office/excel/2006/main">
          <x14:cfRule type="dataBar" id="{0759FA1B-ECB8-47E0-97E8-D51DC837969A}">
            <x14:dataBar minLength="0" maxLength="100" border="1" gradient="0">
              <x14:cfvo type="num">
                <xm:f>0</xm:f>
              </x14:cfvo>
              <x14:cfvo type="num">
                <xm:f>1</xm:f>
              </x14:cfvo>
              <x14:borderColor theme="0"/>
              <x14:negativeFillColor rgb="FFFF0000"/>
              <x14:axisColor rgb="FF000000"/>
            </x14:dataBar>
          </x14:cfRule>
          <xm:sqref>N2545 N2547 N2549</xm:sqref>
        </x14:conditionalFormatting>
        <x14:conditionalFormatting xmlns:xm="http://schemas.microsoft.com/office/excel/2006/main">
          <x14:cfRule type="dataBar" id="{09A39DF0-5A9B-4691-A59E-FDD33EE3BB83}">
            <x14:dataBar minLength="0" maxLength="100" border="1" gradient="0">
              <x14:cfvo type="num">
                <xm:f>0</xm:f>
              </x14:cfvo>
              <x14:cfvo type="num">
                <xm:f>1</xm:f>
              </x14:cfvo>
              <x14:borderColor theme="0"/>
              <x14:negativeFillColor rgb="FFFF0000"/>
              <x14:axisColor rgb="FF000000"/>
            </x14:dataBar>
          </x14:cfRule>
          <xm:sqref>N2551 N2553</xm:sqref>
        </x14:conditionalFormatting>
        <x14:conditionalFormatting xmlns:xm="http://schemas.microsoft.com/office/excel/2006/main">
          <x14:cfRule type="dataBar" id="{7919CEC9-7167-4DC2-A0AC-4B97942D3A3C}">
            <x14:dataBar minLength="0" maxLength="100" border="1" gradient="0">
              <x14:cfvo type="num">
                <xm:f>0</xm:f>
              </x14:cfvo>
              <x14:cfvo type="num">
                <xm:f>1</xm:f>
              </x14:cfvo>
              <x14:borderColor theme="0"/>
              <x14:negativeFillColor rgb="FFFF0000"/>
              <x14:axisColor rgb="FF000000"/>
            </x14:dataBar>
          </x14:cfRule>
          <xm:sqref>N2555 N2557 N2559</xm:sqref>
        </x14:conditionalFormatting>
        <x14:conditionalFormatting xmlns:xm="http://schemas.microsoft.com/office/excel/2006/main">
          <x14:cfRule type="dataBar" id="{251139AE-49FF-468F-A0E1-0F18D80FCB58}">
            <x14:dataBar minLength="0" maxLength="100" border="1" gradient="0">
              <x14:cfvo type="num">
                <xm:f>0</xm:f>
              </x14:cfvo>
              <x14:cfvo type="num">
                <xm:f>1</xm:f>
              </x14:cfvo>
              <x14:borderColor theme="0"/>
              <x14:negativeFillColor rgb="FFFF0000"/>
              <x14:axisColor rgb="FF000000"/>
            </x14:dataBar>
          </x14:cfRule>
          <xm:sqref>N2563</xm:sqref>
        </x14:conditionalFormatting>
        <x14:conditionalFormatting xmlns:xm="http://schemas.microsoft.com/office/excel/2006/main">
          <x14:cfRule type="dataBar" id="{008286FC-E200-488D-9C6B-61E5B2E7F9D9}">
            <x14:dataBar minLength="0" maxLength="100" border="1" gradient="0">
              <x14:cfvo type="num">
                <xm:f>0</xm:f>
              </x14:cfvo>
              <x14:cfvo type="num">
                <xm:f>1</xm:f>
              </x14:cfvo>
              <x14:borderColor theme="0"/>
              <x14:negativeFillColor rgb="FFFF0000"/>
              <x14:axisColor rgb="FF000000"/>
            </x14:dataBar>
          </x14:cfRule>
          <xm:sqref>N2565 N2567 N2569</xm:sqref>
        </x14:conditionalFormatting>
        <x14:conditionalFormatting xmlns:xm="http://schemas.microsoft.com/office/excel/2006/main">
          <x14:cfRule type="dataBar" id="{167B8DCF-92C2-4244-ACE3-6FF8FD8DA084}">
            <x14:dataBar minLength="0" maxLength="100" border="1" gradient="0">
              <x14:cfvo type="num">
                <xm:f>0</xm:f>
              </x14:cfvo>
              <x14:cfvo type="num">
                <xm:f>1</xm:f>
              </x14:cfvo>
              <x14:borderColor theme="0"/>
              <x14:negativeFillColor rgb="FFFF0000"/>
              <x14:axisColor rgb="FF000000"/>
            </x14:dataBar>
          </x14:cfRule>
          <xm:sqref>N2571 N2573 N2575</xm:sqref>
        </x14:conditionalFormatting>
        <x14:conditionalFormatting xmlns:xm="http://schemas.microsoft.com/office/excel/2006/main">
          <x14:cfRule type="dataBar" id="{814B7350-52A4-4A6E-9EA8-EE226E889250}">
            <x14:dataBar minLength="0" maxLength="100" border="1" gradient="0">
              <x14:cfvo type="num">
                <xm:f>0</xm:f>
              </x14:cfvo>
              <x14:cfvo type="num">
                <xm:f>1</xm:f>
              </x14:cfvo>
              <x14:borderColor theme="0"/>
              <x14:negativeFillColor rgb="FFFF0000"/>
              <x14:axisColor rgb="FF000000"/>
            </x14:dataBar>
          </x14:cfRule>
          <xm:sqref>N2577 N2579 N2581</xm:sqref>
        </x14:conditionalFormatting>
        <x14:conditionalFormatting xmlns:xm="http://schemas.microsoft.com/office/excel/2006/main">
          <x14:cfRule type="dataBar" id="{1D1D7622-5FF0-4731-A8C6-D7B3F1621ECA}">
            <x14:dataBar minLength="0" maxLength="100" border="1" gradient="0">
              <x14:cfvo type="num">
                <xm:f>0</xm:f>
              </x14:cfvo>
              <x14:cfvo type="num">
                <xm:f>1</xm:f>
              </x14:cfvo>
              <x14:borderColor theme="0"/>
              <x14:negativeFillColor rgb="FFFF0000"/>
              <x14:axisColor rgb="FF000000"/>
            </x14:dataBar>
          </x14:cfRule>
          <xm:sqref>N2583 N2585 N2587</xm:sqref>
        </x14:conditionalFormatting>
        <x14:conditionalFormatting xmlns:xm="http://schemas.microsoft.com/office/excel/2006/main">
          <x14:cfRule type="dataBar" id="{8C49D675-4451-4994-B121-F5D1876D5CA9}">
            <x14:dataBar minLength="0" maxLength="100" border="1" gradient="0">
              <x14:cfvo type="num">
                <xm:f>0</xm:f>
              </x14:cfvo>
              <x14:cfvo type="num">
                <xm:f>1</xm:f>
              </x14:cfvo>
              <x14:borderColor theme="0"/>
              <x14:negativeFillColor rgb="FFFF0000"/>
              <x14:axisColor rgb="FF000000"/>
            </x14:dataBar>
          </x14:cfRule>
          <xm:sqref>N2589 N2591 N2593</xm:sqref>
        </x14:conditionalFormatting>
        <x14:conditionalFormatting xmlns:xm="http://schemas.microsoft.com/office/excel/2006/main">
          <x14:cfRule type="dataBar" id="{76576CBF-D39E-40F2-9764-637DD5946E2B}">
            <x14:dataBar minLength="0" maxLength="100" border="1" gradient="0">
              <x14:cfvo type="num">
                <xm:f>0</xm:f>
              </x14:cfvo>
              <x14:cfvo type="num">
                <xm:f>1</xm:f>
              </x14:cfvo>
              <x14:borderColor theme="0"/>
              <x14:negativeFillColor rgb="FFFF0000"/>
              <x14:axisColor rgb="FF000000"/>
            </x14:dataBar>
          </x14:cfRule>
          <xm:sqref>N2595 N2597 N2599</xm:sqref>
        </x14:conditionalFormatting>
        <x14:conditionalFormatting xmlns:xm="http://schemas.microsoft.com/office/excel/2006/main">
          <x14:cfRule type="dataBar" id="{E9515F42-5E98-4FAF-9931-A13C956AACB4}">
            <x14:dataBar minLength="0" maxLength="100" border="1" gradient="0">
              <x14:cfvo type="num">
                <xm:f>0</xm:f>
              </x14:cfvo>
              <x14:cfvo type="num">
                <xm:f>1</xm:f>
              </x14:cfvo>
              <x14:borderColor theme="0"/>
              <x14:negativeFillColor rgb="FFFF0000"/>
              <x14:axisColor rgb="FF000000"/>
            </x14:dataBar>
          </x14:cfRule>
          <xm:sqref>N2601</xm:sqref>
        </x14:conditionalFormatting>
        <x14:conditionalFormatting xmlns:xm="http://schemas.microsoft.com/office/excel/2006/main">
          <x14:cfRule type="dataBar" id="{64EA3C1D-500B-4E84-8E4B-A90F0C0596FB}">
            <x14:dataBar minLength="0" maxLength="100" border="1" gradient="0">
              <x14:cfvo type="num">
                <xm:f>0</xm:f>
              </x14:cfvo>
              <x14:cfvo type="num">
                <xm:f>1</xm:f>
              </x14:cfvo>
              <x14:borderColor theme="0"/>
              <x14:negativeFillColor rgb="FFFF0000"/>
              <x14:axisColor rgb="FF000000"/>
            </x14:dataBar>
          </x14:cfRule>
          <xm:sqref>N2605</xm:sqref>
        </x14:conditionalFormatting>
        <x14:conditionalFormatting xmlns:xm="http://schemas.microsoft.com/office/excel/2006/main">
          <x14:cfRule type="dataBar" id="{B6B74475-3573-4278-8B21-07103E16C03F}">
            <x14:dataBar minLength="0" maxLength="100" border="1" gradient="0">
              <x14:cfvo type="num">
                <xm:f>0</xm:f>
              </x14:cfvo>
              <x14:cfvo type="num">
                <xm:f>1</xm:f>
              </x14:cfvo>
              <x14:borderColor theme="0"/>
              <x14:negativeFillColor rgb="FFFF0000"/>
              <x14:axisColor rgb="FF000000"/>
            </x14:dataBar>
          </x14:cfRule>
          <xm:sqref>N2609</xm:sqref>
        </x14:conditionalFormatting>
        <x14:conditionalFormatting xmlns:xm="http://schemas.microsoft.com/office/excel/2006/main">
          <x14:cfRule type="dataBar" id="{9699E59D-F306-467A-8702-1FABF3AE6C7F}">
            <x14:dataBar minLength="0" maxLength="100" border="1" gradient="0">
              <x14:cfvo type="num">
                <xm:f>0</xm:f>
              </x14:cfvo>
              <x14:cfvo type="num">
                <xm:f>1</xm:f>
              </x14:cfvo>
              <x14:borderColor theme="0"/>
              <x14:negativeFillColor rgb="FFFF0000"/>
              <x14:axisColor rgb="FF000000"/>
            </x14:dataBar>
          </x14:cfRule>
          <xm:sqref>N2611</xm:sqref>
        </x14:conditionalFormatting>
        <x14:conditionalFormatting xmlns:xm="http://schemas.microsoft.com/office/excel/2006/main">
          <x14:cfRule type="dataBar" id="{EC6915AF-524C-4ECD-8526-D563243547A2}">
            <x14:dataBar minLength="0" maxLength="100" border="1" gradient="0">
              <x14:cfvo type="num">
                <xm:f>0</xm:f>
              </x14:cfvo>
              <x14:cfvo type="num">
                <xm:f>1</xm:f>
              </x14:cfvo>
              <x14:borderColor theme="0"/>
              <x14:negativeFillColor rgb="FFFF0000"/>
              <x14:axisColor rgb="FF000000"/>
            </x14:dataBar>
          </x14:cfRule>
          <xm:sqref>N2613 N2615</xm:sqref>
        </x14:conditionalFormatting>
        <x14:conditionalFormatting xmlns:xm="http://schemas.microsoft.com/office/excel/2006/main">
          <x14:cfRule type="dataBar" id="{266FB909-69A1-4B0F-8686-D63267B5CD54}">
            <x14:dataBar minLength="0" maxLength="100" border="1" gradient="0">
              <x14:cfvo type="num">
                <xm:f>0</xm:f>
              </x14:cfvo>
              <x14:cfvo type="num">
                <xm:f>1</xm:f>
              </x14:cfvo>
              <x14:borderColor theme="0"/>
              <x14:negativeFillColor rgb="FFFF0000"/>
              <x14:axisColor rgb="FF000000"/>
            </x14:dataBar>
          </x14:cfRule>
          <xm:sqref>N2617</xm:sqref>
        </x14:conditionalFormatting>
        <x14:conditionalFormatting xmlns:xm="http://schemas.microsoft.com/office/excel/2006/main">
          <x14:cfRule type="dataBar" id="{E0A80096-94AE-45B0-BB1D-30AE71406E0A}">
            <x14:dataBar minLength="0" maxLength="100" border="1" gradient="0">
              <x14:cfvo type="num">
                <xm:f>0</xm:f>
              </x14:cfvo>
              <x14:cfvo type="num">
                <xm:f>1</xm:f>
              </x14:cfvo>
              <x14:borderColor theme="0"/>
              <x14:negativeFillColor rgb="FFFF0000"/>
              <x14:axisColor rgb="FF000000"/>
            </x14:dataBar>
          </x14:cfRule>
          <xm:sqref>N2619 N2621</xm:sqref>
        </x14:conditionalFormatting>
        <x14:conditionalFormatting xmlns:xm="http://schemas.microsoft.com/office/excel/2006/main">
          <x14:cfRule type="dataBar" id="{399F95D7-1A66-4608-99E4-751E0DED0AF4}">
            <x14:dataBar minLength="0" maxLength="100" border="1" gradient="0">
              <x14:cfvo type="num">
                <xm:f>0</xm:f>
              </x14:cfvo>
              <x14:cfvo type="num">
                <xm:f>1</xm:f>
              </x14:cfvo>
              <x14:borderColor theme="0"/>
              <x14:negativeFillColor rgb="FFFF0000"/>
              <x14:axisColor rgb="FF000000"/>
            </x14:dataBar>
          </x14:cfRule>
          <xm:sqref>N2623</xm:sqref>
        </x14:conditionalFormatting>
        <x14:conditionalFormatting xmlns:xm="http://schemas.microsoft.com/office/excel/2006/main">
          <x14:cfRule type="dataBar" id="{6CAB879A-C2D1-4083-8A08-FDF2E461189C}">
            <x14:dataBar minLength="0" maxLength="100" border="1" gradient="0">
              <x14:cfvo type="num">
                <xm:f>0</xm:f>
              </x14:cfvo>
              <x14:cfvo type="num">
                <xm:f>1</xm:f>
              </x14:cfvo>
              <x14:borderColor theme="0"/>
              <x14:negativeFillColor rgb="FFFF0000"/>
              <x14:axisColor rgb="FF000000"/>
            </x14:dataBar>
          </x14:cfRule>
          <xm:sqref>N2625</xm:sqref>
        </x14:conditionalFormatting>
        <x14:conditionalFormatting xmlns:xm="http://schemas.microsoft.com/office/excel/2006/main">
          <x14:cfRule type="dataBar" id="{CC9DA841-B5DD-4080-9F66-A031C72E7DBD}">
            <x14:dataBar minLength="0" maxLength="100" border="1" gradient="0">
              <x14:cfvo type="num">
                <xm:f>0</xm:f>
              </x14:cfvo>
              <x14:cfvo type="num">
                <xm:f>1</xm:f>
              </x14:cfvo>
              <x14:borderColor theme="0"/>
              <x14:negativeFillColor rgb="FFFF0000"/>
              <x14:axisColor rgb="FF000000"/>
            </x14:dataBar>
          </x14:cfRule>
          <xm:sqref>N2627</xm:sqref>
        </x14:conditionalFormatting>
        <x14:conditionalFormatting xmlns:xm="http://schemas.microsoft.com/office/excel/2006/main">
          <x14:cfRule type="dataBar" id="{5DC7693D-5C9E-4FDD-B179-DFB3ADC66190}">
            <x14:dataBar minLength="0" maxLength="100" border="1" gradient="0">
              <x14:cfvo type="num">
                <xm:f>0</xm:f>
              </x14:cfvo>
              <x14:cfvo type="num">
                <xm:f>1</xm:f>
              </x14:cfvo>
              <x14:borderColor theme="0"/>
              <x14:negativeFillColor rgb="FFFF0000"/>
              <x14:axisColor rgb="FF000000"/>
            </x14:dataBar>
          </x14:cfRule>
          <xm:sqref>N2629</xm:sqref>
        </x14:conditionalFormatting>
        <x14:conditionalFormatting xmlns:xm="http://schemas.microsoft.com/office/excel/2006/main">
          <x14:cfRule type="dataBar" id="{4A92D43A-2824-452C-9F16-B6F40EABC2E2}">
            <x14:dataBar minLength="0" maxLength="100" border="1" gradient="0">
              <x14:cfvo type="num">
                <xm:f>0</xm:f>
              </x14:cfvo>
              <x14:cfvo type="num">
                <xm:f>1</xm:f>
              </x14:cfvo>
              <x14:borderColor theme="0"/>
              <x14:negativeFillColor rgb="FFFF0000"/>
              <x14:axisColor rgb="FF000000"/>
            </x14:dataBar>
          </x14:cfRule>
          <xm:sqref>N2631 N2633</xm:sqref>
        </x14:conditionalFormatting>
        <x14:conditionalFormatting xmlns:xm="http://schemas.microsoft.com/office/excel/2006/main">
          <x14:cfRule type="dataBar" id="{C1BA098D-104B-4ED9-8C50-F5183211029B}">
            <x14:dataBar minLength="0" maxLength="100" border="1" gradient="0">
              <x14:cfvo type="num">
                <xm:f>0</xm:f>
              </x14:cfvo>
              <x14:cfvo type="num">
                <xm:f>1</xm:f>
              </x14:cfvo>
              <x14:borderColor theme="0"/>
              <x14:negativeFillColor rgb="FFFF0000"/>
              <x14:axisColor rgb="FF000000"/>
            </x14:dataBar>
          </x14:cfRule>
          <xm:sqref>N2635</xm:sqref>
        </x14:conditionalFormatting>
        <x14:conditionalFormatting xmlns:xm="http://schemas.microsoft.com/office/excel/2006/main">
          <x14:cfRule type="dataBar" id="{4622308F-FD5F-473E-9B3C-B2A1A3FC8D7C}">
            <x14:dataBar minLength="0" maxLength="100" border="1" gradient="0">
              <x14:cfvo type="num">
                <xm:f>0</xm:f>
              </x14:cfvo>
              <x14:cfvo type="num">
                <xm:f>1</xm:f>
              </x14:cfvo>
              <x14:borderColor theme="0"/>
              <x14:negativeFillColor rgb="FFFF0000"/>
              <x14:axisColor rgb="FF000000"/>
            </x14:dataBar>
          </x14:cfRule>
          <xm:sqref>N2637 N2639</xm:sqref>
        </x14:conditionalFormatting>
        <x14:conditionalFormatting xmlns:xm="http://schemas.microsoft.com/office/excel/2006/main">
          <x14:cfRule type="dataBar" id="{0B657909-0C21-4CED-B225-0F19359691F6}">
            <x14:dataBar minLength="0" maxLength="100" border="1" gradient="0">
              <x14:cfvo type="num">
                <xm:f>0</xm:f>
              </x14:cfvo>
              <x14:cfvo type="num">
                <xm:f>1</xm:f>
              </x14:cfvo>
              <x14:borderColor theme="0"/>
              <x14:negativeFillColor rgb="FFFF0000"/>
              <x14:axisColor rgb="FF000000"/>
            </x14:dataBar>
          </x14:cfRule>
          <xm:sqref>N2641</xm:sqref>
        </x14:conditionalFormatting>
        <x14:conditionalFormatting xmlns:xm="http://schemas.microsoft.com/office/excel/2006/main">
          <x14:cfRule type="dataBar" id="{C2A6D671-AB4F-41D9-AE8E-3723F9D274AB}">
            <x14:dataBar minLength="0" maxLength="100" border="1" gradient="0">
              <x14:cfvo type="num">
                <xm:f>0</xm:f>
              </x14:cfvo>
              <x14:cfvo type="num">
                <xm:f>1</xm:f>
              </x14:cfvo>
              <x14:borderColor theme="0"/>
              <x14:negativeFillColor rgb="FFFF0000"/>
              <x14:axisColor rgb="FF000000"/>
            </x14:dataBar>
          </x14:cfRule>
          <xm:sqref>N2643 N2645</xm:sqref>
        </x14:conditionalFormatting>
        <x14:conditionalFormatting xmlns:xm="http://schemas.microsoft.com/office/excel/2006/main">
          <x14:cfRule type="dataBar" id="{8FEF235C-6E10-4A19-9DD7-12074A3611F4}">
            <x14:dataBar minLength="0" maxLength="100" border="1" gradient="0">
              <x14:cfvo type="num">
                <xm:f>0</xm:f>
              </x14:cfvo>
              <x14:cfvo type="num">
                <xm:f>1</xm:f>
              </x14:cfvo>
              <x14:borderColor theme="0"/>
              <x14:negativeFillColor rgb="FFFF0000"/>
              <x14:axisColor rgb="FF000000"/>
            </x14:dataBar>
          </x14:cfRule>
          <xm:sqref>N2647</xm:sqref>
        </x14:conditionalFormatting>
        <x14:conditionalFormatting xmlns:xm="http://schemas.microsoft.com/office/excel/2006/main">
          <x14:cfRule type="dataBar" id="{6B9B8AE8-18EB-42F0-9EC0-A94BD7B1198B}">
            <x14:dataBar minLength="0" maxLength="100" border="1" gradient="0">
              <x14:cfvo type="num">
                <xm:f>0</xm:f>
              </x14:cfvo>
              <x14:cfvo type="num">
                <xm:f>1</xm:f>
              </x14:cfvo>
              <x14:borderColor theme="0"/>
              <x14:negativeFillColor rgb="FFFF0000"/>
              <x14:axisColor rgb="FF000000"/>
            </x14:dataBar>
          </x14:cfRule>
          <xm:sqref>N2649 N2651</xm:sqref>
        </x14:conditionalFormatting>
        <x14:conditionalFormatting xmlns:xm="http://schemas.microsoft.com/office/excel/2006/main">
          <x14:cfRule type="dataBar" id="{9D89DCDF-0B6C-4EB2-A868-51F381C65302}">
            <x14:dataBar minLength="0" maxLength="100" border="1" gradient="0">
              <x14:cfvo type="num">
                <xm:f>0</xm:f>
              </x14:cfvo>
              <x14:cfvo type="num">
                <xm:f>1</xm:f>
              </x14:cfvo>
              <x14:borderColor theme="0"/>
              <x14:negativeFillColor rgb="FFFF0000"/>
              <x14:axisColor rgb="FF000000"/>
            </x14:dataBar>
          </x14:cfRule>
          <xm:sqref>N2653</xm:sqref>
        </x14:conditionalFormatting>
        <x14:conditionalFormatting xmlns:xm="http://schemas.microsoft.com/office/excel/2006/main">
          <x14:cfRule type="dataBar" id="{B4CAA140-C33C-4D56-94AA-94FE6509B34D}">
            <x14:dataBar minLength="0" maxLength="100" border="1" gradient="0">
              <x14:cfvo type="num">
                <xm:f>0</xm:f>
              </x14:cfvo>
              <x14:cfvo type="num">
                <xm:f>1</xm:f>
              </x14:cfvo>
              <x14:borderColor theme="0"/>
              <x14:negativeFillColor rgb="FFFF0000"/>
              <x14:axisColor rgb="FF000000"/>
            </x14:dataBar>
          </x14:cfRule>
          <xm:sqref>N2655 N2657</xm:sqref>
        </x14:conditionalFormatting>
        <x14:conditionalFormatting xmlns:xm="http://schemas.microsoft.com/office/excel/2006/main">
          <x14:cfRule type="dataBar" id="{AF65DF92-F7DE-41ED-8C10-3A6EB2291EB0}">
            <x14:dataBar minLength="0" maxLength="100" border="1" gradient="0">
              <x14:cfvo type="num">
                <xm:f>0</xm:f>
              </x14:cfvo>
              <x14:cfvo type="num">
                <xm:f>1</xm:f>
              </x14:cfvo>
              <x14:borderColor theme="0"/>
              <x14:negativeFillColor rgb="FFFF0000"/>
              <x14:axisColor rgb="FF000000"/>
            </x14:dataBar>
          </x14:cfRule>
          <xm:sqref>N2659</xm:sqref>
        </x14:conditionalFormatting>
        <x14:conditionalFormatting xmlns:xm="http://schemas.microsoft.com/office/excel/2006/main">
          <x14:cfRule type="dataBar" id="{68B5C149-5AE5-4DFF-9B14-4F82C4BE50B2}">
            <x14:dataBar minLength="0" maxLength="100" border="1" gradient="0">
              <x14:cfvo type="num">
                <xm:f>0</xm:f>
              </x14:cfvo>
              <x14:cfvo type="num">
                <xm:f>1</xm:f>
              </x14:cfvo>
              <x14:borderColor theme="0"/>
              <x14:negativeFillColor rgb="FFFF0000"/>
              <x14:axisColor rgb="FF000000"/>
            </x14:dataBar>
          </x14:cfRule>
          <xm:sqref>N2661 N2663</xm:sqref>
        </x14:conditionalFormatting>
        <x14:conditionalFormatting xmlns:xm="http://schemas.microsoft.com/office/excel/2006/main">
          <x14:cfRule type="dataBar" id="{4D5A40C9-C766-437E-8BD2-7DF972002007}">
            <x14:dataBar minLength="0" maxLength="100" border="1" gradient="0">
              <x14:cfvo type="num">
                <xm:f>0</xm:f>
              </x14:cfvo>
              <x14:cfvo type="num">
                <xm:f>1</xm:f>
              </x14:cfvo>
              <x14:borderColor theme="0"/>
              <x14:negativeFillColor rgb="FFFF0000"/>
              <x14:axisColor rgb="FF000000"/>
            </x14:dataBar>
          </x14:cfRule>
          <xm:sqref>N2665</xm:sqref>
        </x14:conditionalFormatting>
        <x14:conditionalFormatting xmlns:xm="http://schemas.microsoft.com/office/excel/2006/main">
          <x14:cfRule type="dataBar" id="{CDFE7A87-146D-40D0-A40E-F85ABA0E54D1}">
            <x14:dataBar minLength="0" maxLength="100" border="1" gradient="0">
              <x14:cfvo type="num">
                <xm:f>0</xm:f>
              </x14:cfvo>
              <x14:cfvo type="num">
                <xm:f>1</xm:f>
              </x14:cfvo>
              <x14:borderColor theme="0"/>
              <x14:negativeFillColor rgb="FFFF0000"/>
              <x14:axisColor rgb="FF000000"/>
            </x14:dataBar>
          </x14:cfRule>
          <xm:sqref>N2667 N2669</xm:sqref>
        </x14:conditionalFormatting>
        <x14:conditionalFormatting xmlns:xm="http://schemas.microsoft.com/office/excel/2006/main">
          <x14:cfRule type="dataBar" id="{DA669961-9AAB-43CF-813B-EFC1C74B858D}">
            <x14:dataBar minLength="0" maxLength="100" border="1" gradient="0">
              <x14:cfvo type="num">
                <xm:f>0</xm:f>
              </x14:cfvo>
              <x14:cfvo type="num">
                <xm:f>1</xm:f>
              </x14:cfvo>
              <x14:borderColor theme="0"/>
              <x14:negativeFillColor rgb="FFFF0000"/>
              <x14:axisColor rgb="FF000000"/>
            </x14:dataBar>
          </x14:cfRule>
          <xm:sqref>N2672</xm:sqref>
        </x14:conditionalFormatting>
        <x14:conditionalFormatting xmlns:xm="http://schemas.microsoft.com/office/excel/2006/main">
          <x14:cfRule type="dataBar" id="{138BC800-F23D-4E60-A7F2-3D1995703AF1}">
            <x14:dataBar minLength="0" maxLength="100" border="1" gradient="0">
              <x14:cfvo type="num">
                <xm:f>0</xm:f>
              </x14:cfvo>
              <x14:cfvo type="num">
                <xm:f>1</xm:f>
              </x14:cfvo>
              <x14:borderColor theme="0"/>
              <x14:negativeFillColor rgb="FFFF0000"/>
              <x14:axisColor rgb="FF000000"/>
            </x14:dataBar>
          </x14:cfRule>
          <xm:sqref>N2674</xm:sqref>
        </x14:conditionalFormatting>
        <x14:conditionalFormatting xmlns:xm="http://schemas.microsoft.com/office/excel/2006/main">
          <x14:cfRule type="dataBar" id="{0F5FFB3E-0FA2-485B-95F7-BA7B536925C1}">
            <x14:dataBar minLength="0" maxLength="100" border="1" gradient="0">
              <x14:cfvo type="num">
                <xm:f>0</xm:f>
              </x14:cfvo>
              <x14:cfvo type="num">
                <xm:f>1</xm:f>
              </x14:cfvo>
              <x14:borderColor theme="0"/>
              <x14:negativeFillColor rgb="FFFF0000"/>
              <x14:axisColor rgb="FF000000"/>
            </x14:dataBar>
          </x14:cfRule>
          <xm:sqref>N2676 N2678</xm:sqref>
        </x14:conditionalFormatting>
        <x14:conditionalFormatting xmlns:xm="http://schemas.microsoft.com/office/excel/2006/main">
          <x14:cfRule type="dataBar" id="{688A8D65-7E17-4E0E-BC93-5E5C3A0107A9}">
            <x14:dataBar minLength="0" maxLength="100" border="1" gradient="0">
              <x14:cfvo type="num">
                <xm:f>0</xm:f>
              </x14:cfvo>
              <x14:cfvo type="num">
                <xm:f>1</xm:f>
              </x14:cfvo>
              <x14:borderColor theme="0"/>
              <x14:negativeFillColor rgb="FFFF0000"/>
              <x14:axisColor rgb="FF000000"/>
            </x14:dataBar>
          </x14:cfRule>
          <xm:sqref>N2680 N2682</xm:sqref>
        </x14:conditionalFormatting>
        <x14:conditionalFormatting xmlns:xm="http://schemas.microsoft.com/office/excel/2006/main">
          <x14:cfRule type="dataBar" id="{B5959C15-1246-4EA6-9C9D-F50D0750B0B6}">
            <x14:dataBar minLength="0" maxLength="100" border="1" gradient="0">
              <x14:cfvo type="num">
                <xm:f>0</xm:f>
              </x14:cfvo>
              <x14:cfvo type="num">
                <xm:f>1</xm:f>
              </x14:cfvo>
              <x14:borderColor theme="0"/>
              <x14:negativeFillColor rgb="FFFF0000"/>
              <x14:axisColor rgb="FF000000"/>
            </x14:dataBar>
          </x14:cfRule>
          <xm:sqref>N2684</xm:sqref>
        </x14:conditionalFormatting>
        <x14:conditionalFormatting xmlns:xm="http://schemas.microsoft.com/office/excel/2006/main">
          <x14:cfRule type="dataBar" id="{91438DF6-E682-4AF3-9834-CF8BEF6C10D3}">
            <x14:dataBar minLength="0" maxLength="100" border="1" gradient="0">
              <x14:cfvo type="num">
                <xm:f>0</xm:f>
              </x14:cfvo>
              <x14:cfvo type="num">
                <xm:f>1</xm:f>
              </x14:cfvo>
              <x14:borderColor theme="0"/>
              <x14:negativeFillColor rgb="FFFF0000"/>
              <x14:axisColor rgb="FF000000"/>
            </x14:dataBar>
          </x14:cfRule>
          <xm:sqref>N2686 N2688</xm:sqref>
        </x14:conditionalFormatting>
        <x14:conditionalFormatting xmlns:xm="http://schemas.microsoft.com/office/excel/2006/main">
          <x14:cfRule type="dataBar" id="{D7F4581B-2423-468F-BABD-EE26C22C7D6A}">
            <x14:dataBar minLength="0" maxLength="100" border="1" gradient="0">
              <x14:cfvo type="num">
                <xm:f>0</xm:f>
              </x14:cfvo>
              <x14:cfvo type="num">
                <xm:f>1</xm:f>
              </x14:cfvo>
              <x14:borderColor theme="0"/>
              <x14:negativeFillColor rgb="FFFF0000"/>
              <x14:axisColor rgb="FF000000"/>
            </x14:dataBar>
          </x14:cfRule>
          <xm:sqref>N2690</xm:sqref>
        </x14:conditionalFormatting>
        <x14:conditionalFormatting xmlns:xm="http://schemas.microsoft.com/office/excel/2006/main">
          <x14:cfRule type="dataBar" id="{6FB81EAC-52AE-4878-9C0F-481EEA89E4B9}">
            <x14:dataBar minLength="0" maxLength="100" border="1" gradient="0">
              <x14:cfvo type="num">
                <xm:f>0</xm:f>
              </x14:cfvo>
              <x14:cfvo type="num">
                <xm:f>1</xm:f>
              </x14:cfvo>
              <x14:borderColor theme="0"/>
              <x14:negativeFillColor rgb="FFFF0000"/>
              <x14:axisColor rgb="FF000000"/>
            </x14:dataBar>
          </x14:cfRule>
          <xm:sqref>N2692 N2694</xm:sqref>
        </x14:conditionalFormatting>
        <x14:conditionalFormatting xmlns:xm="http://schemas.microsoft.com/office/excel/2006/main">
          <x14:cfRule type="dataBar" id="{D2189A5B-CF33-41A8-9E63-AEFC6175EFDF}">
            <x14:dataBar minLength="0" maxLength="100" border="1" gradient="0">
              <x14:cfvo type="num">
                <xm:f>0</xm:f>
              </x14:cfvo>
              <x14:cfvo type="num">
                <xm:f>1</xm:f>
              </x14:cfvo>
              <x14:borderColor theme="0"/>
              <x14:negativeFillColor rgb="FFFF0000"/>
              <x14:axisColor rgb="FF000000"/>
            </x14:dataBar>
          </x14:cfRule>
          <xm:sqref>N2696 N2698</xm:sqref>
        </x14:conditionalFormatting>
        <x14:conditionalFormatting xmlns:xm="http://schemas.microsoft.com/office/excel/2006/main">
          <x14:cfRule type="dataBar" id="{C0FE9415-874B-4721-8CB8-EBFB02B78D8E}">
            <x14:dataBar minLength="0" maxLength="100" border="1" gradient="0">
              <x14:cfvo type="num">
                <xm:f>0</xm:f>
              </x14:cfvo>
              <x14:cfvo type="num">
                <xm:f>1</xm:f>
              </x14:cfvo>
              <x14:borderColor theme="0"/>
              <x14:negativeFillColor rgb="FFFF0000"/>
              <x14:axisColor rgb="FF000000"/>
            </x14:dataBar>
          </x14:cfRule>
          <xm:sqref>N2700</xm:sqref>
        </x14:conditionalFormatting>
        <x14:conditionalFormatting xmlns:xm="http://schemas.microsoft.com/office/excel/2006/main">
          <x14:cfRule type="dataBar" id="{440A5A9F-4BD4-408E-A88D-70B0E6901CD7}">
            <x14:dataBar minLength="0" maxLength="100" border="1" gradient="0">
              <x14:cfvo type="num">
                <xm:f>0</xm:f>
              </x14:cfvo>
              <x14:cfvo type="num">
                <xm:f>1</xm:f>
              </x14:cfvo>
              <x14:borderColor theme="0"/>
              <x14:negativeFillColor rgb="FFFF0000"/>
              <x14:axisColor rgb="FF000000"/>
            </x14:dataBar>
          </x14:cfRule>
          <xm:sqref>N2702 N2704</xm:sqref>
        </x14:conditionalFormatting>
        <x14:conditionalFormatting xmlns:xm="http://schemas.microsoft.com/office/excel/2006/main">
          <x14:cfRule type="dataBar" id="{A2A71C25-5471-4D76-885E-1BFE0E8047C8}">
            <x14:dataBar minLength="0" maxLength="100" border="1" gradient="0">
              <x14:cfvo type="num">
                <xm:f>0</xm:f>
              </x14:cfvo>
              <x14:cfvo type="num">
                <xm:f>1</xm:f>
              </x14:cfvo>
              <x14:borderColor theme="0"/>
              <x14:negativeFillColor rgb="FFFF0000"/>
              <x14:axisColor rgb="FF000000"/>
            </x14:dataBar>
          </x14:cfRule>
          <xm:sqref>N2706</xm:sqref>
        </x14:conditionalFormatting>
        <x14:conditionalFormatting xmlns:xm="http://schemas.microsoft.com/office/excel/2006/main">
          <x14:cfRule type="dataBar" id="{C7FF4AE5-33C1-43B6-862A-5DFF84887A5C}">
            <x14:dataBar minLength="0" maxLength="100" border="1" gradient="0">
              <x14:cfvo type="num">
                <xm:f>0</xm:f>
              </x14:cfvo>
              <x14:cfvo type="num">
                <xm:f>1</xm:f>
              </x14:cfvo>
              <x14:borderColor theme="0"/>
              <x14:negativeFillColor rgb="FFFF0000"/>
              <x14:axisColor rgb="FF000000"/>
            </x14:dataBar>
          </x14:cfRule>
          <xm:sqref>N2708 N2710</xm:sqref>
        </x14:conditionalFormatting>
        <x14:conditionalFormatting xmlns:xm="http://schemas.microsoft.com/office/excel/2006/main">
          <x14:cfRule type="dataBar" id="{59AC8E36-22C3-4EA4-8EA0-C99728DC4FDB}">
            <x14:dataBar minLength="0" maxLength="100" border="1" gradient="0">
              <x14:cfvo type="num">
                <xm:f>0</xm:f>
              </x14:cfvo>
              <x14:cfvo type="num">
                <xm:f>1</xm:f>
              </x14:cfvo>
              <x14:borderColor theme="0"/>
              <x14:negativeFillColor rgb="FFFF0000"/>
              <x14:axisColor rgb="FF000000"/>
            </x14:dataBar>
          </x14:cfRule>
          <xm:sqref>N2712 N2714</xm:sqref>
        </x14:conditionalFormatting>
        <x14:conditionalFormatting xmlns:xm="http://schemas.microsoft.com/office/excel/2006/main">
          <x14:cfRule type="dataBar" id="{1C9D4DF6-AFE4-45E8-A125-9FF05A199973}">
            <x14:dataBar minLength="0" maxLength="100" border="1" gradient="0">
              <x14:cfvo type="num">
                <xm:f>0</xm:f>
              </x14:cfvo>
              <x14:cfvo type="num">
                <xm:f>1</xm:f>
              </x14:cfvo>
              <x14:borderColor theme="0"/>
              <x14:negativeFillColor rgb="FFFF0000"/>
              <x14:axisColor rgb="FF000000"/>
            </x14:dataBar>
          </x14:cfRule>
          <xm:sqref>N2716</xm:sqref>
        </x14:conditionalFormatting>
        <x14:conditionalFormatting xmlns:xm="http://schemas.microsoft.com/office/excel/2006/main">
          <x14:cfRule type="dataBar" id="{96E5FC85-3C24-430F-896C-2881A11F9593}">
            <x14:dataBar minLength="0" maxLength="100" border="1" gradient="0">
              <x14:cfvo type="num">
                <xm:f>0</xm:f>
              </x14:cfvo>
              <x14:cfvo type="num">
                <xm:f>1</xm:f>
              </x14:cfvo>
              <x14:borderColor theme="0"/>
              <x14:negativeFillColor rgb="FFFF0000"/>
              <x14:axisColor rgb="FF000000"/>
            </x14:dataBar>
          </x14:cfRule>
          <xm:sqref>N2718 N2720</xm:sqref>
        </x14:conditionalFormatting>
        <x14:conditionalFormatting xmlns:xm="http://schemas.microsoft.com/office/excel/2006/main">
          <x14:cfRule type="dataBar" id="{ECE4E5DB-F230-4F35-87DC-57CB5A857A3E}">
            <x14:dataBar minLength="0" maxLength="100" border="1" gradient="0">
              <x14:cfvo type="num">
                <xm:f>0</xm:f>
              </x14:cfvo>
              <x14:cfvo type="num">
                <xm:f>1</xm:f>
              </x14:cfvo>
              <x14:borderColor theme="0"/>
              <x14:negativeFillColor rgb="FFFF0000"/>
              <x14:axisColor rgb="FF000000"/>
            </x14:dataBar>
          </x14:cfRule>
          <xm:sqref>N2722</xm:sqref>
        </x14:conditionalFormatting>
        <x14:conditionalFormatting xmlns:xm="http://schemas.microsoft.com/office/excel/2006/main">
          <x14:cfRule type="dataBar" id="{3DB46140-C40D-44A4-A65D-731E8E11794A}">
            <x14:dataBar minLength="0" maxLength="100" border="1" gradient="0">
              <x14:cfvo type="num">
                <xm:f>0</xm:f>
              </x14:cfvo>
              <x14:cfvo type="num">
                <xm:f>1</xm:f>
              </x14:cfvo>
              <x14:borderColor theme="0"/>
              <x14:negativeFillColor rgb="FFFF0000"/>
              <x14:axisColor rgb="FF000000"/>
            </x14:dataBar>
          </x14:cfRule>
          <xm:sqref>N2724</xm:sqref>
        </x14:conditionalFormatting>
        <x14:conditionalFormatting xmlns:xm="http://schemas.microsoft.com/office/excel/2006/main">
          <x14:cfRule type="dataBar" id="{AA8C1A55-CEFE-4837-9638-AE66647C86B8}">
            <x14:dataBar minLength="0" maxLength="100" border="1" gradient="0">
              <x14:cfvo type="num">
                <xm:f>0</xm:f>
              </x14:cfvo>
              <x14:cfvo type="num">
                <xm:f>1</xm:f>
              </x14:cfvo>
              <x14:borderColor theme="0"/>
              <x14:negativeFillColor rgb="FFFF0000"/>
              <x14:axisColor rgb="FF000000"/>
            </x14:dataBar>
          </x14:cfRule>
          <xm:sqref>N2726 N2728</xm:sqref>
        </x14:conditionalFormatting>
        <x14:conditionalFormatting xmlns:xm="http://schemas.microsoft.com/office/excel/2006/main">
          <x14:cfRule type="dataBar" id="{00E6C095-C57D-457D-8150-F61C28CD87A3}">
            <x14:dataBar minLength="0" maxLength="100" border="1" gradient="0">
              <x14:cfvo type="num">
                <xm:f>0</xm:f>
              </x14:cfvo>
              <x14:cfvo type="num">
                <xm:f>1</xm:f>
              </x14:cfvo>
              <x14:borderColor theme="0"/>
              <x14:negativeFillColor rgb="FFFF0000"/>
              <x14:axisColor rgb="FF000000"/>
            </x14:dataBar>
          </x14:cfRule>
          <xm:sqref>N2730 N2732</xm:sqref>
        </x14:conditionalFormatting>
        <x14:conditionalFormatting xmlns:xm="http://schemas.microsoft.com/office/excel/2006/main">
          <x14:cfRule type="dataBar" id="{32CC379D-28A4-4C02-8803-C8CCBBF4D22C}">
            <x14:dataBar minLength="0" maxLength="100" border="1" gradient="0">
              <x14:cfvo type="num">
                <xm:f>0</xm:f>
              </x14:cfvo>
              <x14:cfvo type="num">
                <xm:f>1</xm:f>
              </x14:cfvo>
              <x14:borderColor theme="0"/>
              <x14:negativeFillColor rgb="FFFF0000"/>
              <x14:axisColor rgb="FF000000"/>
            </x14:dataBar>
          </x14:cfRule>
          <xm:sqref>N2734</xm:sqref>
        </x14:conditionalFormatting>
        <x14:conditionalFormatting xmlns:xm="http://schemas.microsoft.com/office/excel/2006/main">
          <x14:cfRule type="dataBar" id="{954EA193-78EE-44F1-B9F1-2327DC617B89}">
            <x14:dataBar minLength="0" maxLength="100" border="1" gradient="0">
              <x14:cfvo type="num">
                <xm:f>0</xm:f>
              </x14:cfvo>
              <x14:cfvo type="num">
                <xm:f>1</xm:f>
              </x14:cfvo>
              <x14:borderColor theme="0"/>
              <x14:negativeFillColor rgb="FFFF0000"/>
              <x14:axisColor rgb="FF000000"/>
            </x14:dataBar>
          </x14:cfRule>
          <xm:sqref>N2738</xm:sqref>
        </x14:conditionalFormatting>
        <x14:conditionalFormatting xmlns:xm="http://schemas.microsoft.com/office/excel/2006/main">
          <x14:cfRule type="dataBar" id="{EA48FF22-3F21-4E13-8D8C-C43F7E735086}">
            <x14:dataBar minLength="0" maxLength="100" border="1" gradient="0">
              <x14:cfvo type="num">
                <xm:f>0</xm:f>
              </x14:cfvo>
              <x14:cfvo type="num">
                <xm:f>1</xm:f>
              </x14:cfvo>
              <x14:borderColor theme="0"/>
              <x14:negativeFillColor rgb="FFFF0000"/>
              <x14:axisColor rgb="FF000000"/>
            </x14:dataBar>
          </x14:cfRule>
          <xm:sqref>N2740 N2742</xm:sqref>
        </x14:conditionalFormatting>
        <x14:conditionalFormatting xmlns:xm="http://schemas.microsoft.com/office/excel/2006/main">
          <x14:cfRule type="dataBar" id="{36A1EA55-6E71-4DE6-A841-113DA741D79B}">
            <x14:dataBar minLength="0" maxLength="100" border="1" gradient="0">
              <x14:cfvo type="num">
                <xm:f>0</xm:f>
              </x14:cfvo>
              <x14:cfvo type="num">
                <xm:f>1</xm:f>
              </x14:cfvo>
              <x14:borderColor theme="0"/>
              <x14:negativeFillColor rgb="FFFF0000"/>
              <x14:axisColor rgb="FF000000"/>
            </x14:dataBar>
          </x14:cfRule>
          <xm:sqref>N2744 N2746</xm:sqref>
        </x14:conditionalFormatting>
        <x14:conditionalFormatting xmlns:xm="http://schemas.microsoft.com/office/excel/2006/main">
          <x14:cfRule type="dataBar" id="{B45AF1DB-28E6-4A26-8D37-2DDEC4F6F739}">
            <x14:dataBar minLength="0" maxLength="100" border="1" gradient="0">
              <x14:cfvo type="num">
                <xm:f>0</xm:f>
              </x14:cfvo>
              <x14:cfvo type="num">
                <xm:f>1</xm:f>
              </x14:cfvo>
              <x14:borderColor theme="0"/>
              <x14:negativeFillColor rgb="FFFF0000"/>
              <x14:axisColor rgb="FF000000"/>
            </x14:dataBar>
          </x14:cfRule>
          <xm:sqref>N2748</xm:sqref>
        </x14:conditionalFormatting>
        <x14:conditionalFormatting xmlns:xm="http://schemas.microsoft.com/office/excel/2006/main">
          <x14:cfRule type="dataBar" id="{3F511FF2-3936-4311-A3BC-460B5291536E}">
            <x14:dataBar minLength="0" maxLength="100" border="1" gradient="0">
              <x14:cfvo type="num">
                <xm:f>0</xm:f>
              </x14:cfvo>
              <x14:cfvo type="num">
                <xm:f>1</xm:f>
              </x14:cfvo>
              <x14:borderColor theme="0"/>
              <x14:negativeFillColor rgb="FFFF0000"/>
              <x14:axisColor rgb="FF000000"/>
            </x14:dataBar>
          </x14:cfRule>
          <xm:sqref>N2750 N2752</xm:sqref>
        </x14:conditionalFormatting>
        <x14:conditionalFormatting xmlns:xm="http://schemas.microsoft.com/office/excel/2006/main">
          <x14:cfRule type="dataBar" id="{E73A01B6-5952-4D09-A3D7-71CB5E316B2D}">
            <x14:dataBar minLength="0" maxLength="100" border="1" gradient="0">
              <x14:cfvo type="num">
                <xm:f>0</xm:f>
              </x14:cfvo>
              <x14:cfvo type="num">
                <xm:f>1</xm:f>
              </x14:cfvo>
              <x14:borderColor theme="0"/>
              <x14:negativeFillColor rgb="FFFF0000"/>
              <x14:axisColor rgb="FF000000"/>
            </x14:dataBar>
          </x14:cfRule>
          <xm:sqref>N2754 N2756</xm:sqref>
        </x14:conditionalFormatting>
        <x14:conditionalFormatting xmlns:xm="http://schemas.microsoft.com/office/excel/2006/main">
          <x14:cfRule type="dataBar" id="{4EBFD865-3C0A-4B46-800A-875145646E81}">
            <x14:dataBar minLength="0" maxLength="100" border="1" gradient="0">
              <x14:cfvo type="num">
                <xm:f>0</xm:f>
              </x14:cfvo>
              <x14:cfvo type="num">
                <xm:f>1</xm:f>
              </x14:cfvo>
              <x14:borderColor theme="0"/>
              <x14:negativeFillColor rgb="FFFF0000"/>
              <x14:axisColor rgb="FF000000"/>
            </x14:dataBar>
          </x14:cfRule>
          <xm:sqref>N2758</xm:sqref>
        </x14:conditionalFormatting>
        <x14:conditionalFormatting xmlns:xm="http://schemas.microsoft.com/office/excel/2006/main">
          <x14:cfRule type="dataBar" id="{93B2C73A-633F-4538-AD05-E9F48EAF86C2}">
            <x14:dataBar minLength="0" maxLength="100" border="1" gradient="0">
              <x14:cfvo type="num">
                <xm:f>0</xm:f>
              </x14:cfvo>
              <x14:cfvo type="num">
                <xm:f>1</xm:f>
              </x14:cfvo>
              <x14:borderColor theme="0"/>
              <x14:negativeFillColor rgb="FFFF0000"/>
              <x14:axisColor rgb="FF000000"/>
            </x14:dataBar>
          </x14:cfRule>
          <xm:sqref>N2760</xm:sqref>
        </x14:conditionalFormatting>
        <x14:conditionalFormatting xmlns:xm="http://schemas.microsoft.com/office/excel/2006/main">
          <x14:cfRule type="dataBar" id="{01A40484-0AC9-4A1B-B5F9-EB5B4F14C0E3}">
            <x14:dataBar minLength="0" maxLength="100" border="1" gradient="0">
              <x14:cfvo type="num">
                <xm:f>0</xm:f>
              </x14:cfvo>
              <x14:cfvo type="num">
                <xm:f>1</xm:f>
              </x14:cfvo>
              <x14:borderColor theme="0"/>
              <x14:negativeFillColor rgb="FFFF0000"/>
              <x14:axisColor rgb="FF000000"/>
            </x14:dataBar>
          </x14:cfRule>
          <xm:sqref>N2764</xm:sqref>
        </x14:conditionalFormatting>
        <x14:conditionalFormatting xmlns:xm="http://schemas.microsoft.com/office/excel/2006/main">
          <x14:cfRule type="dataBar" id="{9BF8B9C2-DB31-483D-8C9A-414D50804618}">
            <x14:dataBar minLength="0" maxLength="100" border="1" gradient="0">
              <x14:cfvo type="num">
                <xm:f>0</xm:f>
              </x14:cfvo>
              <x14:cfvo type="num">
                <xm:f>1</xm:f>
              </x14:cfvo>
              <x14:borderColor theme="0"/>
              <x14:negativeFillColor rgb="FFFF0000"/>
              <x14:axisColor rgb="FF000000"/>
            </x14:dataBar>
          </x14:cfRule>
          <xm:sqref>N2766 N2768 N2770</xm:sqref>
        </x14:conditionalFormatting>
        <x14:conditionalFormatting xmlns:xm="http://schemas.microsoft.com/office/excel/2006/main">
          <x14:cfRule type="dataBar" id="{77D1431D-3361-43D1-9559-5EC7CCDC6436}">
            <x14:dataBar minLength="0" maxLength="100" border="1" gradient="0">
              <x14:cfvo type="num">
                <xm:f>0</xm:f>
              </x14:cfvo>
              <x14:cfvo type="num">
                <xm:f>1</xm:f>
              </x14:cfvo>
              <x14:borderColor theme="0"/>
              <x14:negativeFillColor rgb="FFFF0000"/>
              <x14:axisColor rgb="FF000000"/>
            </x14:dataBar>
          </x14:cfRule>
          <xm:sqref>N2772 N2774 N2776</xm:sqref>
        </x14:conditionalFormatting>
        <x14:conditionalFormatting xmlns:xm="http://schemas.microsoft.com/office/excel/2006/main">
          <x14:cfRule type="dataBar" id="{61A2E21A-C54E-44CF-A2A9-8429F69A6C63}">
            <x14:dataBar minLength="0" maxLength="100" border="1" gradient="0">
              <x14:cfvo type="num">
                <xm:f>0</xm:f>
              </x14:cfvo>
              <x14:cfvo type="num">
                <xm:f>1</xm:f>
              </x14:cfvo>
              <x14:borderColor theme="0"/>
              <x14:negativeFillColor rgb="FFFF0000"/>
              <x14:axisColor rgb="FF000000"/>
            </x14:dataBar>
          </x14:cfRule>
          <xm:sqref>N2778 N2780 N2782</xm:sqref>
        </x14:conditionalFormatting>
        <x14:conditionalFormatting xmlns:xm="http://schemas.microsoft.com/office/excel/2006/main">
          <x14:cfRule type="dataBar" id="{4E907E75-A0B2-43AE-83AA-335BCF7E174C}">
            <x14:dataBar minLength="0" maxLength="100" border="1" gradient="0">
              <x14:cfvo type="num">
                <xm:f>0</xm:f>
              </x14:cfvo>
              <x14:cfvo type="num">
                <xm:f>1</xm:f>
              </x14:cfvo>
              <x14:borderColor theme="0"/>
              <x14:negativeFillColor rgb="FFFF0000"/>
              <x14:axisColor rgb="FF000000"/>
            </x14:dataBar>
          </x14:cfRule>
          <xm:sqref>N2784 N2786 N2788</xm:sqref>
        </x14:conditionalFormatting>
        <x14:conditionalFormatting xmlns:xm="http://schemas.microsoft.com/office/excel/2006/main">
          <x14:cfRule type="dataBar" id="{68D27293-67A4-46BF-AD6F-34D5C04BD9F2}">
            <x14:dataBar minLength="0" maxLength="100" border="1" gradient="0">
              <x14:cfvo type="num">
                <xm:f>0</xm:f>
              </x14:cfvo>
              <x14:cfvo type="num">
                <xm:f>1</xm:f>
              </x14:cfvo>
              <x14:borderColor theme="0"/>
              <x14:negativeFillColor rgb="FFFF0000"/>
              <x14:axisColor rgb="FF000000"/>
            </x14:dataBar>
          </x14:cfRule>
          <xm:sqref>N2790 N2792 N2794</xm:sqref>
        </x14:conditionalFormatting>
        <x14:conditionalFormatting xmlns:xm="http://schemas.microsoft.com/office/excel/2006/main">
          <x14:cfRule type="dataBar" id="{A19A02D3-A68C-4187-8E9B-3F1BF2FC4033}">
            <x14:dataBar minLength="0" maxLength="100" border="1" gradient="0">
              <x14:cfvo type="num">
                <xm:f>0</xm:f>
              </x14:cfvo>
              <x14:cfvo type="num">
                <xm:f>1</xm:f>
              </x14:cfvo>
              <x14:borderColor theme="0"/>
              <x14:negativeFillColor rgb="FFFF0000"/>
              <x14:axisColor rgb="FF000000"/>
            </x14:dataBar>
          </x14:cfRule>
          <xm:sqref>N2796 N2798 N2800</xm:sqref>
        </x14:conditionalFormatting>
        <x14:conditionalFormatting xmlns:xm="http://schemas.microsoft.com/office/excel/2006/main">
          <x14:cfRule type="dataBar" id="{18323CB6-96E5-4A39-B6A7-CFFC8F7EF5A8}">
            <x14:dataBar minLength="0" maxLength="100" border="1" gradient="0">
              <x14:cfvo type="num">
                <xm:f>0</xm:f>
              </x14:cfvo>
              <x14:cfvo type="num">
                <xm:f>1</xm:f>
              </x14:cfvo>
              <x14:borderColor theme="0"/>
              <x14:negativeFillColor rgb="FFFF0000"/>
              <x14:axisColor rgb="FF000000"/>
            </x14:dataBar>
          </x14:cfRule>
          <xm:sqref>N2802 N2804 N2806</xm:sqref>
        </x14:conditionalFormatting>
        <x14:conditionalFormatting xmlns:xm="http://schemas.microsoft.com/office/excel/2006/main">
          <x14:cfRule type="dataBar" id="{8176BF3F-F4DF-44E3-AA86-14E05D8EFB4D}">
            <x14:dataBar minLength="0" maxLength="100" border="1" gradient="0">
              <x14:cfvo type="num">
                <xm:f>0</xm:f>
              </x14:cfvo>
              <x14:cfvo type="num">
                <xm:f>1</xm:f>
              </x14:cfvo>
              <x14:borderColor theme="0"/>
              <x14:negativeFillColor rgb="FFFF0000"/>
              <x14:axisColor rgb="FF000000"/>
            </x14:dataBar>
          </x14:cfRule>
          <xm:sqref>N2808 N2822 N2810</xm:sqref>
        </x14:conditionalFormatting>
        <x14:conditionalFormatting xmlns:xm="http://schemas.microsoft.com/office/excel/2006/main">
          <x14:cfRule type="dataBar" id="{9EA1593E-810F-4DA0-BA13-38D4515F378D}">
            <x14:dataBar minLength="0" maxLength="100" border="1" gradient="0">
              <x14:cfvo type="num">
                <xm:f>0</xm:f>
              </x14:cfvo>
              <x14:cfvo type="num">
                <xm:f>1</xm:f>
              </x14:cfvo>
              <x14:borderColor theme="0"/>
              <x14:negativeFillColor rgb="FFFF0000"/>
              <x14:axisColor rgb="FF000000"/>
            </x14:dataBar>
          </x14:cfRule>
          <xm:sqref>N2814</xm:sqref>
        </x14:conditionalFormatting>
        <x14:conditionalFormatting xmlns:xm="http://schemas.microsoft.com/office/excel/2006/main">
          <x14:cfRule type="dataBar" id="{86B7DE04-3AC1-47EB-9B28-3F84E4F339AF}">
            <x14:dataBar minLength="0" maxLength="100" border="1" gradient="0">
              <x14:cfvo type="num">
                <xm:f>0</xm:f>
              </x14:cfvo>
              <x14:cfvo type="num">
                <xm:f>1</xm:f>
              </x14:cfvo>
              <x14:borderColor theme="0"/>
              <x14:negativeFillColor rgb="FFFF0000"/>
              <x14:axisColor rgb="FF000000"/>
            </x14:dataBar>
          </x14:cfRule>
          <xm:sqref>N2816 N2818 N2820</xm:sqref>
        </x14:conditionalFormatting>
        <x14:conditionalFormatting xmlns:xm="http://schemas.microsoft.com/office/excel/2006/main">
          <x14:cfRule type="dataBar" id="{79B2A15F-05A0-447E-9D2F-592C4FFDFFBB}">
            <x14:dataBar minLength="0" maxLength="100" border="1" gradient="0">
              <x14:cfvo type="num">
                <xm:f>0</xm:f>
              </x14:cfvo>
              <x14:cfvo type="num">
                <xm:f>1</xm:f>
              </x14:cfvo>
              <x14:borderColor theme="0"/>
              <x14:negativeFillColor rgb="FFFF0000"/>
              <x14:axisColor rgb="FF000000"/>
            </x14:dataBar>
          </x14:cfRule>
          <xm:sqref>N2824 N2826 N2828</xm:sqref>
        </x14:conditionalFormatting>
        <x14:conditionalFormatting xmlns:xm="http://schemas.microsoft.com/office/excel/2006/main">
          <x14:cfRule type="dataBar" id="{DF3DA064-93A8-485D-8564-966261659C0E}">
            <x14:dataBar minLength="0" maxLength="100" border="1" gradient="0">
              <x14:cfvo type="num">
                <xm:f>0</xm:f>
              </x14:cfvo>
              <x14:cfvo type="num">
                <xm:f>1</xm:f>
              </x14:cfvo>
              <x14:borderColor theme="0"/>
              <x14:negativeFillColor rgb="FFFF0000"/>
              <x14:axisColor rgb="FF000000"/>
            </x14:dataBar>
          </x14:cfRule>
          <xm:sqref>N2830 N2832 N2834</xm:sqref>
        </x14:conditionalFormatting>
        <x14:conditionalFormatting xmlns:xm="http://schemas.microsoft.com/office/excel/2006/main">
          <x14:cfRule type="dataBar" id="{75834B4E-4D98-426E-94AA-1E1782015C7B}">
            <x14:dataBar minLength="0" maxLength="100" border="1" gradient="0">
              <x14:cfvo type="num">
                <xm:f>0</xm:f>
              </x14:cfvo>
              <x14:cfvo type="num">
                <xm:f>1</xm:f>
              </x14:cfvo>
              <x14:borderColor theme="0"/>
              <x14:negativeFillColor rgb="FFFF0000"/>
              <x14:axisColor rgb="FF000000"/>
            </x14:dataBar>
          </x14:cfRule>
          <xm:sqref>N2836 N2838 N2840</xm:sqref>
        </x14:conditionalFormatting>
        <x14:conditionalFormatting xmlns:xm="http://schemas.microsoft.com/office/excel/2006/main">
          <x14:cfRule type="dataBar" id="{A3A9E81C-C126-4A54-A7FD-C45FB6788645}">
            <x14:dataBar minLength="0" maxLength="100" border="1" gradient="0">
              <x14:cfvo type="num">
                <xm:f>0</xm:f>
              </x14:cfvo>
              <x14:cfvo type="num">
                <xm:f>1</xm:f>
              </x14:cfvo>
              <x14:borderColor theme="0"/>
              <x14:negativeFillColor rgb="FFFF0000"/>
              <x14:axisColor rgb="FF000000"/>
            </x14:dataBar>
          </x14:cfRule>
          <xm:sqref>N2842 N2844 N2846</xm:sqref>
        </x14:conditionalFormatting>
        <x14:conditionalFormatting xmlns:xm="http://schemas.microsoft.com/office/excel/2006/main">
          <x14:cfRule type="dataBar" id="{19051629-C3DB-4B27-8E97-96FCC84E5BFD}">
            <x14:dataBar minLength="0" maxLength="100" border="1" gradient="0">
              <x14:cfvo type="num">
                <xm:f>0</xm:f>
              </x14:cfvo>
              <x14:cfvo type="num">
                <xm:f>1</xm:f>
              </x14:cfvo>
              <x14:borderColor theme="0"/>
              <x14:negativeFillColor rgb="FFFF0000"/>
              <x14:axisColor rgb="FF000000"/>
            </x14:dataBar>
          </x14:cfRule>
          <xm:sqref>N2848</xm:sqref>
        </x14:conditionalFormatting>
        <x14:conditionalFormatting xmlns:xm="http://schemas.microsoft.com/office/excel/2006/main">
          <x14:cfRule type="dataBar" id="{8C48F2B4-1E7A-4209-91E0-2ACEA08B4051}">
            <x14:dataBar minLength="0" maxLength="100" border="1" gradient="0">
              <x14:cfvo type="num">
                <xm:f>0</xm:f>
              </x14:cfvo>
              <x14:cfvo type="num">
                <xm:f>1</xm:f>
              </x14:cfvo>
              <x14:borderColor theme="0"/>
              <x14:negativeFillColor rgb="FFFF0000"/>
              <x14:axisColor rgb="FF000000"/>
            </x14:dataBar>
          </x14:cfRule>
          <xm:sqref>N2852</xm:sqref>
        </x14:conditionalFormatting>
        <x14:conditionalFormatting xmlns:xm="http://schemas.microsoft.com/office/excel/2006/main">
          <x14:cfRule type="dataBar" id="{4F16506F-E3CB-4869-A15F-84F908FADABC}">
            <x14:dataBar minLength="0" maxLength="100" border="1" gradient="0">
              <x14:cfvo type="num">
                <xm:f>0</xm:f>
              </x14:cfvo>
              <x14:cfvo type="num">
                <xm:f>1</xm:f>
              </x14:cfvo>
              <x14:borderColor theme="0"/>
              <x14:negativeFillColor rgb="FFFF0000"/>
              <x14:axisColor rgb="FF000000"/>
            </x14:dataBar>
          </x14:cfRule>
          <xm:sqref>N2856</xm:sqref>
        </x14:conditionalFormatting>
        <x14:conditionalFormatting xmlns:xm="http://schemas.microsoft.com/office/excel/2006/main">
          <x14:cfRule type="dataBar" id="{5B8504D7-ED96-43B3-A45F-76011E938CDA}">
            <x14:dataBar minLength="0" maxLength="100" border="1" gradient="0">
              <x14:cfvo type="num">
                <xm:f>0</xm:f>
              </x14:cfvo>
              <x14:cfvo type="num">
                <xm:f>1</xm:f>
              </x14:cfvo>
              <x14:borderColor theme="0"/>
              <x14:negativeFillColor rgb="FFFF0000"/>
              <x14:axisColor rgb="FF000000"/>
            </x14:dataBar>
          </x14:cfRule>
          <xm:sqref>N2858</xm:sqref>
        </x14:conditionalFormatting>
        <x14:conditionalFormatting xmlns:xm="http://schemas.microsoft.com/office/excel/2006/main">
          <x14:cfRule type="dataBar" id="{19B56F25-8508-4E98-9EBF-106351AE5F96}">
            <x14:dataBar minLength="0" maxLength="100" border="1" gradient="0">
              <x14:cfvo type="num">
                <xm:f>0</xm:f>
              </x14:cfvo>
              <x14:cfvo type="num">
                <xm:f>1</xm:f>
              </x14:cfvo>
              <x14:borderColor theme="0"/>
              <x14:negativeFillColor rgb="FFFF0000"/>
              <x14:axisColor rgb="FF000000"/>
            </x14:dataBar>
          </x14:cfRule>
          <xm:sqref>N2860</xm:sqref>
        </x14:conditionalFormatting>
        <x14:conditionalFormatting xmlns:xm="http://schemas.microsoft.com/office/excel/2006/main">
          <x14:cfRule type="dataBar" id="{B27BD06C-B8E3-4E28-AC5C-645E4651CE6F}">
            <x14:dataBar minLength="0" maxLength="100" border="1" gradient="0">
              <x14:cfvo type="num">
                <xm:f>0</xm:f>
              </x14:cfvo>
              <x14:cfvo type="num">
                <xm:f>1</xm:f>
              </x14:cfvo>
              <x14:borderColor theme="0"/>
              <x14:negativeFillColor rgb="FFFF0000"/>
              <x14:axisColor rgb="FF000000"/>
            </x14:dataBar>
          </x14:cfRule>
          <xm:sqref>N2862</xm:sqref>
        </x14:conditionalFormatting>
        <x14:conditionalFormatting xmlns:xm="http://schemas.microsoft.com/office/excel/2006/main">
          <x14:cfRule type="dataBar" id="{BAC41D5D-F673-4823-8FBD-D050073EF479}">
            <x14:dataBar minLength="0" maxLength="100" border="1" gradient="0">
              <x14:cfvo type="num">
                <xm:f>0</xm:f>
              </x14:cfvo>
              <x14:cfvo type="num">
                <xm:f>1</xm:f>
              </x14:cfvo>
              <x14:borderColor theme="0"/>
              <x14:negativeFillColor rgb="FFFF0000"/>
              <x14:axisColor rgb="FF000000"/>
            </x14:dataBar>
          </x14:cfRule>
          <xm:sqref>N2864</xm:sqref>
        </x14:conditionalFormatting>
        <x14:conditionalFormatting xmlns:xm="http://schemas.microsoft.com/office/excel/2006/main">
          <x14:cfRule type="dataBar" id="{3D0C06BD-47BE-42AD-8532-C0DE8CB79263}">
            <x14:dataBar minLength="0" maxLength="100" border="1" gradient="0">
              <x14:cfvo type="num">
                <xm:f>0</xm:f>
              </x14:cfvo>
              <x14:cfvo type="num">
                <xm:f>1</xm:f>
              </x14:cfvo>
              <x14:borderColor theme="0"/>
              <x14:negativeFillColor rgb="FFFF0000"/>
              <x14:axisColor rgb="FF000000"/>
            </x14:dataBar>
          </x14:cfRule>
          <xm:sqref>N2866</xm:sqref>
        </x14:conditionalFormatting>
        <x14:conditionalFormatting xmlns:xm="http://schemas.microsoft.com/office/excel/2006/main">
          <x14:cfRule type="dataBar" id="{43A70F7C-E445-4FA9-B45C-4F0D6AE50829}">
            <x14:dataBar minLength="0" maxLength="100" border="1" gradient="0">
              <x14:cfvo type="num">
                <xm:f>0</xm:f>
              </x14:cfvo>
              <x14:cfvo type="num">
                <xm:f>1</xm:f>
              </x14:cfvo>
              <x14:borderColor theme="0"/>
              <x14:negativeFillColor rgb="FFFF0000"/>
              <x14:axisColor rgb="FF000000"/>
            </x14:dataBar>
          </x14:cfRule>
          <xm:sqref>N2868</xm:sqref>
        </x14:conditionalFormatting>
        <x14:conditionalFormatting xmlns:xm="http://schemas.microsoft.com/office/excel/2006/main">
          <x14:cfRule type="dataBar" id="{F3CBD7BB-C081-45B9-8696-30F15E0A15B6}">
            <x14:dataBar minLength="0" maxLength="100" border="1" gradient="0">
              <x14:cfvo type="num">
                <xm:f>0</xm:f>
              </x14:cfvo>
              <x14:cfvo type="num">
                <xm:f>1</xm:f>
              </x14:cfvo>
              <x14:borderColor theme="0"/>
              <x14:negativeFillColor rgb="FFFF0000"/>
              <x14:axisColor rgb="FF000000"/>
            </x14:dataBar>
          </x14:cfRule>
          <xm:sqref>N2870</xm:sqref>
        </x14:conditionalFormatting>
        <x14:conditionalFormatting xmlns:xm="http://schemas.microsoft.com/office/excel/2006/main">
          <x14:cfRule type="dataBar" id="{49514128-794B-4BDD-BE60-F0EF5184E53B}">
            <x14:dataBar minLength="0" maxLength="100" border="1" gradient="0">
              <x14:cfvo type="num">
                <xm:f>0</xm:f>
              </x14:cfvo>
              <x14:cfvo type="num">
                <xm:f>1</xm:f>
              </x14:cfvo>
              <x14:borderColor theme="0"/>
              <x14:negativeFillColor rgb="FFFF0000"/>
              <x14:axisColor rgb="FF000000"/>
            </x14:dataBar>
          </x14:cfRule>
          <xm:sqref>N2872</xm:sqref>
        </x14:conditionalFormatting>
        <x14:conditionalFormatting xmlns:xm="http://schemas.microsoft.com/office/excel/2006/main">
          <x14:cfRule type="dataBar" id="{05037EDF-0726-4819-ADB0-820595301170}">
            <x14:dataBar minLength="0" maxLength="100" border="1" gradient="0">
              <x14:cfvo type="num">
                <xm:f>0</xm:f>
              </x14:cfvo>
              <x14:cfvo type="num">
                <xm:f>1</xm:f>
              </x14:cfvo>
              <x14:borderColor theme="0"/>
              <x14:negativeFillColor rgb="FFFF0000"/>
              <x14:axisColor rgb="FF000000"/>
            </x14:dataBar>
          </x14:cfRule>
          <xm:sqref>N2874</xm:sqref>
        </x14:conditionalFormatting>
        <x14:conditionalFormatting xmlns:xm="http://schemas.microsoft.com/office/excel/2006/main">
          <x14:cfRule type="dataBar" id="{DE1A4AE5-E914-453C-A42B-6A656D79825C}">
            <x14:dataBar minLength="0" maxLength="100" border="1" gradient="0">
              <x14:cfvo type="num">
                <xm:f>0</xm:f>
              </x14:cfvo>
              <x14:cfvo type="num">
                <xm:f>1</xm:f>
              </x14:cfvo>
              <x14:borderColor theme="0"/>
              <x14:negativeFillColor rgb="FFFF0000"/>
              <x14:axisColor rgb="FF000000"/>
            </x14:dataBar>
          </x14:cfRule>
          <xm:sqref>N2876</xm:sqref>
        </x14:conditionalFormatting>
        <x14:conditionalFormatting xmlns:xm="http://schemas.microsoft.com/office/excel/2006/main">
          <x14:cfRule type="dataBar" id="{170AD937-55C0-40B4-91A4-A2734E087E97}">
            <x14:dataBar minLength="0" maxLength="100" border="1" gradient="0">
              <x14:cfvo type="num">
                <xm:f>0</xm:f>
              </x14:cfvo>
              <x14:cfvo type="num">
                <xm:f>1</xm:f>
              </x14:cfvo>
              <x14:borderColor theme="0"/>
              <x14:negativeFillColor rgb="FFFF0000"/>
              <x14:axisColor rgb="FF000000"/>
            </x14:dataBar>
          </x14:cfRule>
          <xm:sqref>N2878</xm:sqref>
        </x14:conditionalFormatting>
        <x14:conditionalFormatting xmlns:xm="http://schemas.microsoft.com/office/excel/2006/main">
          <x14:cfRule type="dataBar" id="{94BB0E4E-1B99-42B8-BD99-68CD74C017F3}">
            <x14:dataBar minLength="0" maxLength="100" border="1" gradient="0">
              <x14:cfvo type="num">
                <xm:f>0</xm:f>
              </x14:cfvo>
              <x14:cfvo type="num">
                <xm:f>1</xm:f>
              </x14:cfvo>
              <x14:borderColor theme="0"/>
              <x14:negativeFillColor rgb="FFFF0000"/>
              <x14:axisColor rgb="FF000000"/>
            </x14:dataBar>
          </x14:cfRule>
          <xm:sqref>N2880</xm:sqref>
        </x14:conditionalFormatting>
        <x14:conditionalFormatting xmlns:xm="http://schemas.microsoft.com/office/excel/2006/main">
          <x14:cfRule type="dataBar" id="{B8054284-F4CA-4561-9A7C-8AE3419F32A2}">
            <x14:dataBar minLength="0" maxLength="100" border="1" gradient="0">
              <x14:cfvo type="num">
                <xm:f>0</xm:f>
              </x14:cfvo>
              <x14:cfvo type="num">
                <xm:f>1</xm:f>
              </x14:cfvo>
              <x14:borderColor theme="0"/>
              <x14:negativeFillColor rgb="FFFF0000"/>
              <x14:axisColor rgb="FF000000"/>
            </x14:dataBar>
          </x14:cfRule>
          <xm:sqref>N2882</xm:sqref>
        </x14:conditionalFormatting>
        <x14:conditionalFormatting xmlns:xm="http://schemas.microsoft.com/office/excel/2006/main">
          <x14:cfRule type="dataBar" id="{03A64FF7-E05B-430F-AD1B-A4223838BEF2}">
            <x14:dataBar minLength="0" maxLength="100" border="1" gradient="0">
              <x14:cfvo type="num">
                <xm:f>0</xm:f>
              </x14:cfvo>
              <x14:cfvo type="num">
                <xm:f>1</xm:f>
              </x14:cfvo>
              <x14:borderColor theme="0"/>
              <x14:negativeFillColor rgb="FFFF0000"/>
              <x14:axisColor rgb="FF000000"/>
            </x14:dataBar>
          </x14:cfRule>
          <xm:sqref>N2884</xm:sqref>
        </x14:conditionalFormatting>
        <x14:conditionalFormatting xmlns:xm="http://schemas.microsoft.com/office/excel/2006/main">
          <x14:cfRule type="dataBar" id="{F2472DC5-141C-4BEB-9539-C1208356414C}">
            <x14:dataBar minLength="0" maxLength="100" border="1" gradient="0">
              <x14:cfvo type="num">
                <xm:f>0</xm:f>
              </x14:cfvo>
              <x14:cfvo type="num">
                <xm:f>1</xm:f>
              </x14:cfvo>
              <x14:borderColor theme="0"/>
              <x14:negativeFillColor rgb="FFFF0000"/>
              <x14:axisColor rgb="FF000000"/>
            </x14:dataBar>
          </x14:cfRule>
          <xm:sqref>N2886</xm:sqref>
        </x14:conditionalFormatting>
        <x14:conditionalFormatting xmlns:xm="http://schemas.microsoft.com/office/excel/2006/main">
          <x14:cfRule type="dataBar" id="{D3E46671-798A-4E8D-ACB8-A474C397953C}">
            <x14:dataBar minLength="0" maxLength="100" border="1" gradient="0">
              <x14:cfvo type="num">
                <xm:f>0</xm:f>
              </x14:cfvo>
              <x14:cfvo type="num">
                <xm:f>1</xm:f>
              </x14:cfvo>
              <x14:borderColor theme="0"/>
              <x14:negativeFillColor rgb="FFFF0000"/>
              <x14:axisColor rgb="FF000000"/>
            </x14:dataBar>
          </x14:cfRule>
          <xm:sqref>N2888</xm:sqref>
        </x14:conditionalFormatting>
        <x14:conditionalFormatting xmlns:xm="http://schemas.microsoft.com/office/excel/2006/main">
          <x14:cfRule type="dataBar" id="{28DB1BF9-1590-48BA-82BA-0AA6D855F3EE}">
            <x14:dataBar minLength="0" maxLength="100" border="1" gradient="0">
              <x14:cfvo type="num">
                <xm:f>0</xm:f>
              </x14:cfvo>
              <x14:cfvo type="num">
                <xm:f>1</xm:f>
              </x14:cfvo>
              <x14:borderColor theme="0"/>
              <x14:negativeFillColor rgb="FFFF0000"/>
              <x14:axisColor rgb="FF000000"/>
            </x14:dataBar>
          </x14:cfRule>
          <xm:sqref>N2890</xm:sqref>
        </x14:conditionalFormatting>
        <x14:conditionalFormatting xmlns:xm="http://schemas.microsoft.com/office/excel/2006/main">
          <x14:cfRule type="dataBar" id="{A1138FB2-942C-46F8-8AA6-2A9EF8E8F3E6}">
            <x14:dataBar minLength="0" maxLength="100" border="1" gradient="0">
              <x14:cfvo type="num">
                <xm:f>0</xm:f>
              </x14:cfvo>
              <x14:cfvo type="num">
                <xm:f>1</xm:f>
              </x14:cfvo>
              <x14:borderColor theme="0"/>
              <x14:negativeFillColor rgb="FFFF0000"/>
              <x14:axisColor rgb="FF000000"/>
            </x14:dataBar>
          </x14:cfRule>
          <xm:sqref>N2892</xm:sqref>
        </x14:conditionalFormatting>
        <x14:conditionalFormatting xmlns:xm="http://schemas.microsoft.com/office/excel/2006/main">
          <x14:cfRule type="dataBar" id="{D95104E5-07DF-4A63-9FE4-1CB33EF56ADB}">
            <x14:dataBar minLength="0" maxLength="100" border="1" gradient="0">
              <x14:cfvo type="num">
                <xm:f>0</xm:f>
              </x14:cfvo>
              <x14:cfvo type="num">
                <xm:f>1</xm:f>
              </x14:cfvo>
              <x14:borderColor theme="0"/>
              <x14:negativeFillColor rgb="FFFF0000"/>
              <x14:axisColor rgb="FF000000"/>
            </x14:dataBar>
          </x14:cfRule>
          <xm:sqref>N2894</xm:sqref>
        </x14:conditionalFormatting>
        <x14:conditionalFormatting xmlns:xm="http://schemas.microsoft.com/office/excel/2006/main">
          <x14:cfRule type="dataBar" id="{648A0B45-C606-4AC6-B14A-4842833DB95C}">
            <x14:dataBar minLength="0" maxLength="100" border="1" gradient="0">
              <x14:cfvo type="num">
                <xm:f>0</xm:f>
              </x14:cfvo>
              <x14:cfvo type="num">
                <xm:f>1</xm:f>
              </x14:cfvo>
              <x14:borderColor theme="0"/>
              <x14:negativeFillColor rgb="FFFF0000"/>
              <x14:axisColor rgb="FF000000"/>
            </x14:dataBar>
          </x14:cfRule>
          <xm:sqref>N2896</xm:sqref>
        </x14:conditionalFormatting>
        <x14:conditionalFormatting xmlns:xm="http://schemas.microsoft.com/office/excel/2006/main">
          <x14:cfRule type="dataBar" id="{401031A6-8997-43DF-812A-1F20BC7B934D}">
            <x14:dataBar minLength="0" maxLength="100" border="1" gradient="0">
              <x14:cfvo type="num">
                <xm:f>0</xm:f>
              </x14:cfvo>
              <x14:cfvo type="num">
                <xm:f>1</xm:f>
              </x14:cfvo>
              <x14:borderColor theme="0"/>
              <x14:negativeFillColor rgb="FFFF0000"/>
              <x14:axisColor rgb="FF000000"/>
            </x14:dataBar>
          </x14:cfRule>
          <xm:sqref>N2898</xm:sqref>
        </x14:conditionalFormatting>
        <x14:conditionalFormatting xmlns:xm="http://schemas.microsoft.com/office/excel/2006/main">
          <x14:cfRule type="dataBar" id="{078A5825-9699-4CCB-97B7-9442F7BD99C5}">
            <x14:dataBar minLength="0" maxLength="100" border="1" gradient="0">
              <x14:cfvo type="num">
                <xm:f>0</xm:f>
              </x14:cfvo>
              <x14:cfvo type="num">
                <xm:f>1</xm:f>
              </x14:cfvo>
              <x14:borderColor theme="0"/>
              <x14:negativeFillColor rgb="FFFF0000"/>
              <x14:axisColor rgb="FF000000"/>
            </x14:dataBar>
          </x14:cfRule>
          <xm:sqref>N2900</xm:sqref>
        </x14:conditionalFormatting>
        <x14:conditionalFormatting xmlns:xm="http://schemas.microsoft.com/office/excel/2006/main">
          <x14:cfRule type="dataBar" id="{D3F902D5-E6EF-4337-BB38-BCEF571BF0A8}">
            <x14:dataBar minLength="0" maxLength="100" border="1" gradient="0">
              <x14:cfvo type="num">
                <xm:f>0</xm:f>
              </x14:cfvo>
              <x14:cfvo type="num">
                <xm:f>1</xm:f>
              </x14:cfvo>
              <x14:borderColor theme="0"/>
              <x14:negativeFillColor rgb="FFFF0000"/>
              <x14:axisColor rgb="FF000000"/>
            </x14:dataBar>
          </x14:cfRule>
          <xm:sqref>N2902</xm:sqref>
        </x14:conditionalFormatting>
        <x14:conditionalFormatting xmlns:xm="http://schemas.microsoft.com/office/excel/2006/main">
          <x14:cfRule type="dataBar" id="{2488D2D1-9F5C-4FDD-8EBF-6E9FFE75BFE9}">
            <x14:dataBar minLength="0" maxLength="100" border="1" gradient="0">
              <x14:cfvo type="num">
                <xm:f>0</xm:f>
              </x14:cfvo>
              <x14:cfvo type="num">
                <xm:f>1</xm:f>
              </x14:cfvo>
              <x14:borderColor theme="0"/>
              <x14:negativeFillColor rgb="FFFF0000"/>
              <x14:axisColor rgb="FF000000"/>
            </x14:dataBar>
          </x14:cfRule>
          <xm:sqref>N2904</xm:sqref>
        </x14:conditionalFormatting>
        <x14:conditionalFormatting xmlns:xm="http://schemas.microsoft.com/office/excel/2006/main">
          <x14:cfRule type="dataBar" id="{AC7566AD-644F-4F58-951D-62FE6C8B6EBF}">
            <x14:dataBar minLength="0" maxLength="100" border="1" gradient="0">
              <x14:cfvo type="num">
                <xm:f>0</xm:f>
              </x14:cfvo>
              <x14:cfvo type="num">
                <xm:f>1</xm:f>
              </x14:cfvo>
              <x14:borderColor theme="0"/>
              <x14:negativeFillColor rgb="FFFF0000"/>
              <x14:axisColor rgb="FF000000"/>
            </x14:dataBar>
          </x14:cfRule>
          <xm:sqref>N2906</xm:sqref>
        </x14:conditionalFormatting>
        <x14:conditionalFormatting xmlns:xm="http://schemas.microsoft.com/office/excel/2006/main">
          <x14:cfRule type="dataBar" id="{8DD1075D-E4A8-49C4-8C61-94A6385F2532}">
            <x14:dataBar minLength="0" maxLength="100" border="1" gradient="0">
              <x14:cfvo type="num">
                <xm:f>0</xm:f>
              </x14:cfvo>
              <x14:cfvo type="num">
                <xm:f>1</xm:f>
              </x14:cfvo>
              <x14:borderColor theme="0"/>
              <x14:negativeFillColor rgb="FFFF0000"/>
              <x14:axisColor rgb="FF000000"/>
            </x14:dataBar>
          </x14:cfRule>
          <xm:sqref>N2908</xm:sqref>
        </x14:conditionalFormatting>
        <x14:conditionalFormatting xmlns:xm="http://schemas.microsoft.com/office/excel/2006/main">
          <x14:cfRule type="dataBar" id="{B05B8C83-9677-46E1-A451-BD21E68174D7}">
            <x14:dataBar minLength="0" maxLength="100" border="1" gradient="0">
              <x14:cfvo type="num">
                <xm:f>0</xm:f>
              </x14:cfvo>
              <x14:cfvo type="num">
                <xm:f>1</xm:f>
              </x14:cfvo>
              <x14:borderColor theme="0"/>
              <x14:negativeFillColor rgb="FFFF0000"/>
              <x14:axisColor rgb="FF000000"/>
            </x14:dataBar>
          </x14:cfRule>
          <xm:sqref>N2910</xm:sqref>
        </x14:conditionalFormatting>
        <x14:conditionalFormatting xmlns:xm="http://schemas.microsoft.com/office/excel/2006/main">
          <x14:cfRule type="dataBar" id="{CC3001E0-15D7-458A-969E-85F70464957A}">
            <x14:dataBar minLength="0" maxLength="100" border="1" gradient="0">
              <x14:cfvo type="num">
                <xm:f>0</xm:f>
              </x14:cfvo>
              <x14:cfvo type="num">
                <xm:f>1</xm:f>
              </x14:cfvo>
              <x14:borderColor theme="0"/>
              <x14:negativeFillColor rgb="FFFF0000"/>
              <x14:axisColor rgb="FF000000"/>
            </x14:dataBar>
          </x14:cfRule>
          <xm:sqref>N2912</xm:sqref>
        </x14:conditionalFormatting>
        <x14:conditionalFormatting xmlns:xm="http://schemas.microsoft.com/office/excel/2006/main">
          <x14:cfRule type="dataBar" id="{5D80C228-93E2-4B38-9A77-8E6AE164A493}">
            <x14:dataBar minLength="0" maxLength="100" border="1" gradient="0">
              <x14:cfvo type="num">
                <xm:f>0</xm:f>
              </x14:cfvo>
              <x14:cfvo type="num">
                <xm:f>1</xm:f>
              </x14:cfvo>
              <x14:borderColor theme="0"/>
              <x14:negativeFillColor rgb="FFFF0000"/>
              <x14:axisColor rgb="FF000000"/>
            </x14:dataBar>
          </x14:cfRule>
          <xm:sqref>N2914</xm:sqref>
        </x14:conditionalFormatting>
        <x14:conditionalFormatting xmlns:xm="http://schemas.microsoft.com/office/excel/2006/main">
          <x14:cfRule type="dataBar" id="{59C8E4EB-91FA-420A-8282-329B01CFDC55}">
            <x14:dataBar minLength="0" maxLength="100" border="1" gradient="0">
              <x14:cfvo type="num">
                <xm:f>0</xm:f>
              </x14:cfvo>
              <x14:cfvo type="num">
                <xm:f>1</xm:f>
              </x14:cfvo>
              <x14:borderColor theme="0"/>
              <x14:negativeFillColor rgb="FFFF0000"/>
              <x14:axisColor rgb="FF000000"/>
            </x14:dataBar>
          </x14:cfRule>
          <xm:sqref>N2916</xm:sqref>
        </x14:conditionalFormatting>
        <x14:conditionalFormatting xmlns:xm="http://schemas.microsoft.com/office/excel/2006/main">
          <x14:cfRule type="dataBar" id="{95710CFC-F628-4CDB-81D2-89084F12D987}">
            <x14:dataBar minLength="0" maxLength="100" border="1" gradient="0">
              <x14:cfvo type="num">
                <xm:f>0</xm:f>
              </x14:cfvo>
              <x14:cfvo type="num">
                <xm:f>1</xm:f>
              </x14:cfvo>
              <x14:borderColor theme="0"/>
              <x14:negativeFillColor rgb="FFFF0000"/>
              <x14:axisColor rgb="FF000000"/>
            </x14:dataBar>
          </x14:cfRule>
          <xm:sqref>N2918</xm:sqref>
        </x14:conditionalFormatting>
        <x14:conditionalFormatting xmlns:xm="http://schemas.microsoft.com/office/excel/2006/main">
          <x14:cfRule type="dataBar" id="{1D370F77-5761-4558-81C2-63EB89F5A9FE}">
            <x14:dataBar minLength="0" maxLength="100" border="1" gradient="0">
              <x14:cfvo type="num">
                <xm:f>0</xm:f>
              </x14:cfvo>
              <x14:cfvo type="num">
                <xm:f>1</xm:f>
              </x14:cfvo>
              <x14:borderColor theme="0"/>
              <x14:negativeFillColor rgb="FFFF0000"/>
              <x14:axisColor rgb="FF000000"/>
            </x14:dataBar>
          </x14:cfRule>
          <xm:sqref>N2920</xm:sqref>
        </x14:conditionalFormatting>
        <x14:conditionalFormatting xmlns:xm="http://schemas.microsoft.com/office/excel/2006/main">
          <x14:cfRule type="dataBar" id="{C1D3885E-C8F3-489B-8470-AF39F4AA6D80}">
            <x14:dataBar minLength="0" maxLength="100" border="1" gradient="0">
              <x14:cfvo type="num">
                <xm:f>0</xm:f>
              </x14:cfvo>
              <x14:cfvo type="num">
                <xm:f>1</xm:f>
              </x14:cfvo>
              <x14:borderColor theme="0"/>
              <x14:negativeFillColor rgb="FFFF0000"/>
              <x14:axisColor rgb="FF000000"/>
            </x14:dataBar>
          </x14:cfRule>
          <xm:sqref>N2922</xm:sqref>
        </x14:conditionalFormatting>
        <x14:conditionalFormatting xmlns:xm="http://schemas.microsoft.com/office/excel/2006/main">
          <x14:cfRule type="dataBar" id="{21B9D1EC-EE32-4187-8C9A-EC45283C42E6}">
            <x14:dataBar minLength="0" maxLength="100" border="1" gradient="0">
              <x14:cfvo type="num">
                <xm:f>0</xm:f>
              </x14:cfvo>
              <x14:cfvo type="num">
                <xm:f>1</xm:f>
              </x14:cfvo>
              <x14:borderColor theme="0"/>
              <x14:negativeFillColor rgb="FFFF0000"/>
              <x14:axisColor rgb="FF000000"/>
            </x14:dataBar>
          </x14:cfRule>
          <xm:sqref>N2924</xm:sqref>
        </x14:conditionalFormatting>
        <x14:conditionalFormatting xmlns:xm="http://schemas.microsoft.com/office/excel/2006/main">
          <x14:cfRule type="dataBar" id="{5E4A6860-34CE-4FF2-B624-02BBDF9DF3B0}">
            <x14:dataBar minLength="0" maxLength="100" border="1" gradient="0">
              <x14:cfvo type="num">
                <xm:f>0</xm:f>
              </x14:cfvo>
              <x14:cfvo type="num">
                <xm:f>1</xm:f>
              </x14:cfvo>
              <x14:borderColor theme="0"/>
              <x14:negativeFillColor rgb="FFFF0000"/>
              <x14:axisColor rgb="FF000000"/>
            </x14:dataBar>
          </x14:cfRule>
          <xm:sqref>N2926</xm:sqref>
        </x14:conditionalFormatting>
        <x14:conditionalFormatting xmlns:xm="http://schemas.microsoft.com/office/excel/2006/main">
          <x14:cfRule type="dataBar" id="{79BD7853-81FD-4295-9B7E-2CC73A8DAEB3}">
            <x14:dataBar minLength="0" maxLength="100" border="1" gradient="0">
              <x14:cfvo type="num">
                <xm:f>0</xm:f>
              </x14:cfvo>
              <x14:cfvo type="num">
                <xm:f>1</xm:f>
              </x14:cfvo>
              <x14:borderColor theme="0"/>
              <x14:negativeFillColor rgb="FFFF0000"/>
              <x14:axisColor rgb="FF000000"/>
            </x14:dataBar>
          </x14:cfRule>
          <xm:sqref>N2928</xm:sqref>
        </x14:conditionalFormatting>
        <x14:conditionalFormatting xmlns:xm="http://schemas.microsoft.com/office/excel/2006/main">
          <x14:cfRule type="dataBar" id="{694CE89F-5D1A-4D76-9114-D548CD74E34C}">
            <x14:dataBar minLength="0" maxLength="100" border="1" gradient="0">
              <x14:cfvo type="num">
                <xm:f>0</xm:f>
              </x14:cfvo>
              <x14:cfvo type="num">
                <xm:f>1</xm:f>
              </x14:cfvo>
              <x14:borderColor theme="0"/>
              <x14:negativeFillColor rgb="FFFF0000"/>
              <x14:axisColor rgb="FF000000"/>
            </x14:dataBar>
          </x14:cfRule>
          <xm:sqref>N2930</xm:sqref>
        </x14:conditionalFormatting>
        <x14:conditionalFormatting xmlns:xm="http://schemas.microsoft.com/office/excel/2006/main">
          <x14:cfRule type="dataBar" id="{E26F2DD1-D1B2-466D-88E7-518A7CA6C9D3}">
            <x14:dataBar minLength="0" maxLength="100" border="1" gradient="0">
              <x14:cfvo type="num">
                <xm:f>0</xm:f>
              </x14:cfvo>
              <x14:cfvo type="num">
                <xm:f>1</xm:f>
              </x14:cfvo>
              <x14:borderColor theme="0"/>
              <x14:negativeFillColor rgb="FFFF0000"/>
              <x14:axisColor rgb="FF000000"/>
            </x14:dataBar>
          </x14:cfRule>
          <xm:sqref>N2932</xm:sqref>
        </x14:conditionalFormatting>
        <x14:conditionalFormatting xmlns:xm="http://schemas.microsoft.com/office/excel/2006/main">
          <x14:cfRule type="dataBar" id="{9EA8F99B-CBF6-49BA-B183-3CBA13715A84}">
            <x14:dataBar minLength="0" maxLength="100" border="1" gradient="0">
              <x14:cfvo type="num">
                <xm:f>0</xm:f>
              </x14:cfvo>
              <x14:cfvo type="num">
                <xm:f>1</xm:f>
              </x14:cfvo>
              <x14:borderColor theme="0"/>
              <x14:negativeFillColor rgb="FFFF0000"/>
              <x14:axisColor rgb="FF000000"/>
            </x14:dataBar>
          </x14:cfRule>
          <xm:sqref>N2934</xm:sqref>
        </x14:conditionalFormatting>
        <x14:conditionalFormatting xmlns:xm="http://schemas.microsoft.com/office/excel/2006/main">
          <x14:cfRule type="dataBar" id="{DA5BCA6C-09F1-4BE5-9D94-9ED1B3027826}">
            <x14:dataBar minLength="0" maxLength="100" border="1" gradient="0">
              <x14:cfvo type="num">
                <xm:f>0</xm:f>
              </x14:cfvo>
              <x14:cfvo type="num">
                <xm:f>1</xm:f>
              </x14:cfvo>
              <x14:borderColor theme="0"/>
              <x14:negativeFillColor rgb="FFFF0000"/>
              <x14:axisColor rgb="FF000000"/>
            </x14:dataBar>
          </x14:cfRule>
          <xm:sqref>N2936</xm:sqref>
        </x14:conditionalFormatting>
        <x14:conditionalFormatting xmlns:xm="http://schemas.microsoft.com/office/excel/2006/main">
          <x14:cfRule type="dataBar" id="{E257B26D-1BEC-43D5-904F-3852B6F3317B}">
            <x14:dataBar minLength="0" maxLength="100" border="1" gradient="0">
              <x14:cfvo type="num">
                <xm:f>0</xm:f>
              </x14:cfvo>
              <x14:cfvo type="num">
                <xm:f>1</xm:f>
              </x14:cfvo>
              <x14:borderColor theme="0"/>
              <x14:negativeFillColor rgb="FFFF0000"/>
              <x14:axisColor rgb="FF000000"/>
            </x14:dataBar>
          </x14:cfRule>
          <xm:sqref>N2938</xm:sqref>
        </x14:conditionalFormatting>
        <x14:conditionalFormatting xmlns:xm="http://schemas.microsoft.com/office/excel/2006/main">
          <x14:cfRule type="dataBar" id="{099521FD-37B9-4C4F-B9CD-B218B675EBC6}">
            <x14:dataBar minLength="0" maxLength="100" border="1" gradient="0">
              <x14:cfvo type="num">
                <xm:f>0</xm:f>
              </x14:cfvo>
              <x14:cfvo type="num">
                <xm:f>1</xm:f>
              </x14:cfvo>
              <x14:borderColor theme="0"/>
              <x14:negativeFillColor rgb="FFFF0000"/>
              <x14:axisColor rgb="FF000000"/>
            </x14:dataBar>
          </x14:cfRule>
          <xm:sqref>N2940</xm:sqref>
        </x14:conditionalFormatting>
        <x14:conditionalFormatting xmlns:xm="http://schemas.microsoft.com/office/excel/2006/main">
          <x14:cfRule type="dataBar" id="{67D8ED19-7015-4DE5-8E80-B018A4A1B6CD}">
            <x14:dataBar minLength="0" maxLength="100" border="1" gradient="0">
              <x14:cfvo type="num">
                <xm:f>0</xm:f>
              </x14:cfvo>
              <x14:cfvo type="num">
                <xm:f>1</xm:f>
              </x14:cfvo>
              <x14:borderColor theme="0"/>
              <x14:negativeFillColor rgb="FFFF0000"/>
              <x14:axisColor rgb="FF000000"/>
            </x14:dataBar>
          </x14:cfRule>
          <xm:sqref>N2942</xm:sqref>
        </x14:conditionalFormatting>
        <x14:conditionalFormatting xmlns:xm="http://schemas.microsoft.com/office/excel/2006/main">
          <x14:cfRule type="dataBar" id="{B624FD0B-360E-419A-9C45-EDE32EAA0ECA}">
            <x14:dataBar minLength="0" maxLength="100" border="1" gradient="0">
              <x14:cfvo type="num">
                <xm:f>0</xm:f>
              </x14:cfvo>
              <x14:cfvo type="num">
                <xm:f>1</xm:f>
              </x14:cfvo>
              <x14:borderColor theme="0"/>
              <x14:negativeFillColor rgb="FFFF0000"/>
              <x14:axisColor rgb="FF000000"/>
            </x14:dataBar>
          </x14:cfRule>
          <xm:sqref>N2944</xm:sqref>
        </x14:conditionalFormatting>
        <x14:conditionalFormatting xmlns:xm="http://schemas.microsoft.com/office/excel/2006/main">
          <x14:cfRule type="dataBar" id="{1979EAD0-FDCF-4971-919C-4DEF88A10FF0}">
            <x14:dataBar minLength="0" maxLength="100" border="1" gradient="0">
              <x14:cfvo type="num">
                <xm:f>0</xm:f>
              </x14:cfvo>
              <x14:cfvo type="num">
                <xm:f>1</xm:f>
              </x14:cfvo>
              <x14:borderColor theme="0"/>
              <x14:negativeFillColor rgb="FFFF0000"/>
              <x14:axisColor rgb="FF000000"/>
            </x14:dataBar>
          </x14:cfRule>
          <xm:sqref>N2946</xm:sqref>
        </x14:conditionalFormatting>
        <x14:conditionalFormatting xmlns:xm="http://schemas.microsoft.com/office/excel/2006/main">
          <x14:cfRule type="dataBar" id="{E3D7A60F-E418-4690-8681-D82E618AAB32}">
            <x14:dataBar minLength="0" maxLength="100" border="1" gradient="0">
              <x14:cfvo type="num">
                <xm:f>0</xm:f>
              </x14:cfvo>
              <x14:cfvo type="num">
                <xm:f>1</xm:f>
              </x14:cfvo>
              <x14:borderColor theme="0"/>
              <x14:negativeFillColor rgb="FFFF0000"/>
              <x14:axisColor rgb="FF000000"/>
            </x14:dataBar>
          </x14:cfRule>
          <xm:sqref>N2948</xm:sqref>
        </x14:conditionalFormatting>
        <x14:conditionalFormatting xmlns:xm="http://schemas.microsoft.com/office/excel/2006/main">
          <x14:cfRule type="dataBar" id="{CCAB69EF-9694-4BF3-9210-9A1AD20F7960}">
            <x14:dataBar minLength="0" maxLength="100" border="1" gradient="0">
              <x14:cfvo type="num">
                <xm:f>0</xm:f>
              </x14:cfvo>
              <x14:cfvo type="num">
                <xm:f>1</xm:f>
              </x14:cfvo>
              <x14:borderColor theme="0"/>
              <x14:negativeFillColor rgb="FFFF0000"/>
              <x14:axisColor rgb="FF000000"/>
            </x14:dataBar>
          </x14:cfRule>
          <xm:sqref>N2950</xm:sqref>
        </x14:conditionalFormatting>
        <x14:conditionalFormatting xmlns:xm="http://schemas.microsoft.com/office/excel/2006/main">
          <x14:cfRule type="dataBar" id="{9D163054-F6C6-47E8-82DE-4BA9F3B302E8}">
            <x14:dataBar minLength="0" maxLength="100" border="1" gradient="0">
              <x14:cfvo type="num">
                <xm:f>0</xm:f>
              </x14:cfvo>
              <x14:cfvo type="num">
                <xm:f>1</xm:f>
              </x14:cfvo>
              <x14:borderColor theme="0"/>
              <x14:negativeFillColor rgb="FFFF0000"/>
              <x14:axisColor rgb="FF000000"/>
            </x14:dataBar>
          </x14:cfRule>
          <xm:sqref>N2952</xm:sqref>
        </x14:conditionalFormatting>
        <x14:conditionalFormatting xmlns:xm="http://schemas.microsoft.com/office/excel/2006/main">
          <x14:cfRule type="dataBar" id="{F04F4CA6-4B5B-4152-BD73-0586599085A4}">
            <x14:dataBar minLength="0" maxLength="100" border="1" gradient="0">
              <x14:cfvo type="num">
                <xm:f>0</xm:f>
              </x14:cfvo>
              <x14:cfvo type="num">
                <xm:f>1</xm:f>
              </x14:cfvo>
              <x14:borderColor theme="0"/>
              <x14:negativeFillColor rgb="FFFF0000"/>
              <x14:axisColor rgb="FF000000"/>
            </x14:dataBar>
          </x14:cfRule>
          <xm:sqref>N2954</xm:sqref>
        </x14:conditionalFormatting>
        <x14:conditionalFormatting xmlns:xm="http://schemas.microsoft.com/office/excel/2006/main">
          <x14:cfRule type="dataBar" id="{FC8DD25D-9797-4881-91C1-BB2029AD20FB}">
            <x14:dataBar minLength="0" maxLength="100" border="1" gradient="0">
              <x14:cfvo type="num">
                <xm:f>0</xm:f>
              </x14:cfvo>
              <x14:cfvo type="num">
                <xm:f>1</xm:f>
              </x14:cfvo>
              <x14:borderColor theme="0"/>
              <x14:negativeFillColor rgb="FFFF0000"/>
              <x14:axisColor rgb="FF000000"/>
            </x14:dataBar>
          </x14:cfRule>
          <xm:sqref>N2956</xm:sqref>
        </x14:conditionalFormatting>
        <x14:conditionalFormatting xmlns:xm="http://schemas.microsoft.com/office/excel/2006/main">
          <x14:cfRule type="dataBar" id="{0CC9F8EB-95A7-4A89-AB19-76CF3EC27EB2}">
            <x14:dataBar minLength="0" maxLength="100" border="1" gradient="0">
              <x14:cfvo type="num">
                <xm:f>0</xm:f>
              </x14:cfvo>
              <x14:cfvo type="num">
                <xm:f>1</xm:f>
              </x14:cfvo>
              <x14:borderColor theme="0"/>
              <x14:negativeFillColor rgb="FFFF0000"/>
              <x14:axisColor rgb="FF000000"/>
            </x14:dataBar>
          </x14:cfRule>
          <xm:sqref>N2960</xm:sqref>
        </x14:conditionalFormatting>
        <x14:conditionalFormatting xmlns:xm="http://schemas.microsoft.com/office/excel/2006/main">
          <x14:cfRule type="dataBar" id="{17586EAE-266E-4721-8517-B9E1BA4F93CB}">
            <x14:dataBar minLength="0" maxLength="100" border="1" gradient="0">
              <x14:cfvo type="num">
                <xm:f>0</xm:f>
              </x14:cfvo>
              <x14:cfvo type="num">
                <xm:f>1</xm:f>
              </x14:cfvo>
              <x14:borderColor theme="0"/>
              <x14:negativeFillColor rgb="FFFF0000"/>
              <x14:axisColor rgb="FF000000"/>
            </x14:dataBar>
          </x14:cfRule>
          <xm:sqref>N2962 N2964 N2966 N2968</xm:sqref>
        </x14:conditionalFormatting>
        <x14:conditionalFormatting xmlns:xm="http://schemas.microsoft.com/office/excel/2006/main">
          <x14:cfRule type="dataBar" id="{D58C678A-59BB-47E7-A9BD-5EE14FE34740}">
            <x14:dataBar minLength="0" maxLength="100" border="1" gradient="0">
              <x14:cfvo type="num">
                <xm:f>0</xm:f>
              </x14:cfvo>
              <x14:cfvo type="num">
                <xm:f>1</xm:f>
              </x14:cfvo>
              <x14:borderColor theme="0"/>
              <x14:negativeFillColor rgb="FFFF0000"/>
              <x14:axisColor rgb="FF000000"/>
            </x14:dataBar>
          </x14:cfRule>
          <xm:sqref>N2970 N2972 N2974 N2976</xm:sqref>
        </x14:conditionalFormatting>
        <x14:conditionalFormatting xmlns:xm="http://schemas.microsoft.com/office/excel/2006/main">
          <x14:cfRule type="dataBar" id="{938D2C64-6DBF-4D13-AFA1-5BD044ACD373}">
            <x14:dataBar minLength="0" maxLength="100" border="1" gradient="0">
              <x14:cfvo type="num">
                <xm:f>0</xm:f>
              </x14:cfvo>
              <x14:cfvo type="num">
                <xm:f>1</xm:f>
              </x14:cfvo>
              <x14:borderColor theme="0"/>
              <x14:negativeFillColor rgb="FFFF0000"/>
              <x14:axisColor rgb="FF000000"/>
            </x14:dataBar>
          </x14:cfRule>
          <xm:sqref>N2978 N2980 N2982 N2984</xm:sqref>
        </x14:conditionalFormatting>
        <x14:conditionalFormatting xmlns:xm="http://schemas.microsoft.com/office/excel/2006/main">
          <x14:cfRule type="dataBar" id="{8A555429-C7DB-4C0F-BB15-C5FF5FA326E5}">
            <x14:dataBar minLength="0" maxLength="100" border="1" gradient="0">
              <x14:cfvo type="num">
                <xm:f>0</xm:f>
              </x14:cfvo>
              <x14:cfvo type="num">
                <xm:f>1</xm:f>
              </x14:cfvo>
              <x14:borderColor theme="0"/>
              <x14:negativeFillColor rgb="FFFF0000"/>
              <x14:axisColor rgb="FF000000"/>
            </x14:dataBar>
          </x14:cfRule>
          <xm:sqref>N2986 N2988 N2990 N2992</xm:sqref>
        </x14:conditionalFormatting>
        <x14:conditionalFormatting xmlns:xm="http://schemas.microsoft.com/office/excel/2006/main">
          <x14:cfRule type="dataBar" id="{83DEA955-9FE0-4F3E-9FEE-E81BE74FD3E1}">
            <x14:dataBar minLength="0" maxLength="100" border="1" gradient="0">
              <x14:cfvo type="num">
                <xm:f>0</xm:f>
              </x14:cfvo>
              <x14:cfvo type="num">
                <xm:f>1</xm:f>
              </x14:cfvo>
              <x14:borderColor theme="0"/>
              <x14:negativeFillColor rgb="FFFF0000"/>
              <x14:axisColor rgb="FF000000"/>
            </x14:dataBar>
          </x14:cfRule>
          <xm:sqref>N2994 N2996 N2998 N3000</xm:sqref>
        </x14:conditionalFormatting>
        <x14:conditionalFormatting xmlns:xm="http://schemas.microsoft.com/office/excel/2006/main">
          <x14:cfRule type="dataBar" id="{2CCACAE1-3650-434A-9783-DE0E2185938C}">
            <x14:dataBar minLength="0" maxLength="100" border="1" gradient="0">
              <x14:cfvo type="num">
                <xm:f>0</xm:f>
              </x14:cfvo>
              <x14:cfvo type="num">
                <xm:f>1</xm:f>
              </x14:cfvo>
              <x14:borderColor theme="0"/>
              <x14:negativeFillColor rgb="FFFF0000"/>
              <x14:axisColor rgb="FF000000"/>
            </x14:dataBar>
          </x14:cfRule>
          <xm:sqref>N3002 N3004 N3006 N3008</xm:sqref>
        </x14:conditionalFormatting>
        <x14:conditionalFormatting xmlns:xm="http://schemas.microsoft.com/office/excel/2006/main">
          <x14:cfRule type="dataBar" id="{B63AFA77-F69E-4B62-B035-DC0C84083068}">
            <x14:dataBar minLength="0" maxLength="100" border="1" gradient="0">
              <x14:cfvo type="num">
                <xm:f>0</xm:f>
              </x14:cfvo>
              <x14:cfvo type="num">
                <xm:f>1</xm:f>
              </x14:cfvo>
              <x14:borderColor theme="0"/>
              <x14:negativeFillColor rgb="FFFF0000"/>
              <x14:axisColor rgb="FF000000"/>
            </x14:dataBar>
          </x14:cfRule>
          <xm:sqref>N3010 N3012 N3014 N3016</xm:sqref>
        </x14:conditionalFormatting>
        <x14:conditionalFormatting xmlns:xm="http://schemas.microsoft.com/office/excel/2006/main">
          <x14:cfRule type="dataBar" id="{2EF11A33-FB42-439D-A569-DEB7E7E303D8}">
            <x14:dataBar minLength="0" maxLength="100" border="1" gradient="0">
              <x14:cfvo type="num">
                <xm:f>0</xm:f>
              </x14:cfvo>
              <x14:cfvo type="num">
                <xm:f>1</xm:f>
              </x14:cfvo>
              <x14:borderColor theme="0"/>
              <x14:negativeFillColor rgb="FFFF0000"/>
              <x14:axisColor rgb="FF000000"/>
            </x14:dataBar>
          </x14:cfRule>
          <xm:sqref>N3018 N3020 N3022 N3024</xm:sqref>
        </x14:conditionalFormatting>
        <x14:conditionalFormatting xmlns:xm="http://schemas.microsoft.com/office/excel/2006/main">
          <x14:cfRule type="dataBar" id="{53BE0F99-6BC2-4EC8-B848-7DCB2C467B8B}">
            <x14:dataBar minLength="0" maxLength="100" border="1" gradient="0">
              <x14:cfvo type="num">
                <xm:f>0</xm:f>
              </x14:cfvo>
              <x14:cfvo type="num">
                <xm:f>1</xm:f>
              </x14:cfvo>
              <x14:borderColor theme="0"/>
              <x14:negativeFillColor rgb="FFFF0000"/>
              <x14:axisColor rgb="FF000000"/>
            </x14:dataBar>
          </x14:cfRule>
          <xm:sqref>N3026 N3028</xm:sqref>
        </x14:conditionalFormatting>
        <x14:conditionalFormatting xmlns:xm="http://schemas.microsoft.com/office/excel/2006/main">
          <x14:cfRule type="dataBar" id="{8ADE8D6D-D01D-4299-AEF7-2ECDF4EF1256}">
            <x14:dataBar minLength="0" maxLength="100" border="1" gradient="0">
              <x14:cfvo type="num">
                <xm:f>0</xm:f>
              </x14:cfvo>
              <x14:cfvo type="num">
                <xm:f>1</xm:f>
              </x14:cfvo>
              <x14:borderColor theme="0"/>
              <x14:negativeFillColor rgb="FFFF0000"/>
              <x14:axisColor rgb="FF000000"/>
            </x14:dataBar>
          </x14:cfRule>
          <xm:sqref>N3030 N3032 N3034 N3036</xm:sqref>
        </x14:conditionalFormatting>
        <x14:conditionalFormatting xmlns:xm="http://schemas.microsoft.com/office/excel/2006/main">
          <x14:cfRule type="dataBar" id="{A66C551B-61DB-4CA9-8087-4893A42C8457}">
            <x14:dataBar minLength="0" maxLength="100" border="1" gradient="0">
              <x14:cfvo type="num">
                <xm:f>0</xm:f>
              </x14:cfvo>
              <x14:cfvo type="num">
                <xm:f>1</xm:f>
              </x14:cfvo>
              <x14:borderColor theme="0"/>
              <x14:negativeFillColor rgb="FFFF0000"/>
              <x14:axisColor rgb="FF000000"/>
            </x14:dataBar>
          </x14:cfRule>
          <xm:sqref>N3038 N3040 N3042 N3044</xm:sqref>
        </x14:conditionalFormatting>
        <x14:conditionalFormatting xmlns:xm="http://schemas.microsoft.com/office/excel/2006/main">
          <x14:cfRule type="dataBar" id="{3EF4D270-0E7B-400C-9C86-859FAF3A1C53}">
            <x14:dataBar minLength="0" maxLength="100" border="1" gradient="0">
              <x14:cfvo type="num">
                <xm:f>0</xm:f>
              </x14:cfvo>
              <x14:cfvo type="num">
                <xm:f>1</xm:f>
              </x14:cfvo>
              <x14:borderColor theme="0"/>
              <x14:negativeFillColor rgb="FFFF0000"/>
              <x14:axisColor rgb="FF000000"/>
            </x14:dataBar>
          </x14:cfRule>
          <xm:sqref>N3046 N3048</xm:sqref>
        </x14:conditionalFormatting>
        <x14:conditionalFormatting xmlns:xm="http://schemas.microsoft.com/office/excel/2006/main">
          <x14:cfRule type="dataBar" id="{495DE074-108D-4731-A4CE-A5E8EEE99ABE}">
            <x14:dataBar minLength="0" maxLength="100" border="1" gradient="0">
              <x14:cfvo type="num">
                <xm:f>0</xm:f>
              </x14:cfvo>
              <x14:cfvo type="num">
                <xm:f>1</xm:f>
              </x14:cfvo>
              <x14:borderColor theme="0"/>
              <x14:negativeFillColor rgb="FFFF0000"/>
              <x14:axisColor rgb="FF000000"/>
            </x14:dataBar>
          </x14:cfRule>
          <xm:sqref>N3050 N3052 N3054 N3056</xm:sqref>
        </x14:conditionalFormatting>
        <x14:conditionalFormatting xmlns:xm="http://schemas.microsoft.com/office/excel/2006/main">
          <x14:cfRule type="dataBar" id="{1BCD212D-D538-4D15-AE19-3A86260D8217}">
            <x14:dataBar minLength="0" maxLength="100" border="1" gradient="0">
              <x14:cfvo type="num">
                <xm:f>0</xm:f>
              </x14:cfvo>
              <x14:cfvo type="num">
                <xm:f>1</xm:f>
              </x14:cfvo>
              <x14:borderColor theme="0"/>
              <x14:negativeFillColor rgb="FFFF0000"/>
              <x14:axisColor rgb="FF000000"/>
            </x14:dataBar>
          </x14:cfRule>
          <xm:sqref>N3058</xm:sqref>
        </x14:conditionalFormatting>
        <x14:conditionalFormatting xmlns:xm="http://schemas.microsoft.com/office/excel/2006/main">
          <x14:cfRule type="dataBar" id="{CCEF9C5B-5C81-4D93-BF2D-106DB481EE51}">
            <x14:dataBar minLength="0" maxLength="100" border="1" gradient="0">
              <x14:cfvo type="num">
                <xm:f>0</xm:f>
              </x14:cfvo>
              <x14:cfvo type="num">
                <xm:f>1</xm:f>
              </x14:cfvo>
              <x14:borderColor theme="0"/>
              <x14:negativeFillColor rgb="FFFF0000"/>
              <x14:axisColor rgb="FF000000"/>
            </x14:dataBar>
          </x14:cfRule>
          <xm:sqref>N3060</xm:sqref>
        </x14:conditionalFormatting>
        <x14:conditionalFormatting xmlns:xm="http://schemas.microsoft.com/office/excel/2006/main">
          <x14:cfRule type="dataBar" id="{C5C9F2C9-4C39-4387-BF68-FCA48A9CF166}">
            <x14:dataBar minLength="0" maxLength="100" border="1" gradient="0">
              <x14:cfvo type="num">
                <xm:f>0</xm:f>
              </x14:cfvo>
              <x14:cfvo type="num">
                <xm:f>1</xm:f>
              </x14:cfvo>
              <x14:borderColor theme="0"/>
              <x14:negativeFillColor rgb="FFFF0000"/>
              <x14:axisColor rgb="FF000000"/>
            </x14:dataBar>
          </x14:cfRule>
          <xm:sqref>N3063</xm:sqref>
        </x14:conditionalFormatting>
        <x14:conditionalFormatting xmlns:xm="http://schemas.microsoft.com/office/excel/2006/main">
          <x14:cfRule type="dataBar" id="{2BC7288E-4BC5-42E8-ACE8-6462A15028AD}">
            <x14:dataBar minLength="0" maxLength="100" border="1" gradient="0">
              <x14:cfvo type="num">
                <xm:f>0</xm:f>
              </x14:cfvo>
              <x14:cfvo type="num">
                <xm:f>1</xm:f>
              </x14:cfvo>
              <x14:borderColor theme="0"/>
              <x14:negativeFillColor rgb="FFFF0000"/>
              <x14:axisColor rgb="FF000000"/>
            </x14:dataBar>
          </x14:cfRule>
          <xm:sqref>N3065 N3067 N3069</xm:sqref>
        </x14:conditionalFormatting>
        <x14:conditionalFormatting xmlns:xm="http://schemas.microsoft.com/office/excel/2006/main">
          <x14:cfRule type="dataBar" id="{690F2E3C-8863-4FA0-BB8C-A4F4934CA0A1}">
            <x14:dataBar minLength="0" maxLength="100" border="1" gradient="0">
              <x14:cfvo type="num">
                <xm:f>0</xm:f>
              </x14:cfvo>
              <x14:cfvo type="num">
                <xm:f>1</xm:f>
              </x14:cfvo>
              <x14:borderColor theme="0"/>
              <x14:negativeFillColor rgb="FFFF0000"/>
              <x14:axisColor rgb="FF000000"/>
            </x14:dataBar>
          </x14:cfRule>
          <xm:sqref>N3071</xm:sqref>
        </x14:conditionalFormatting>
        <x14:conditionalFormatting xmlns:xm="http://schemas.microsoft.com/office/excel/2006/main">
          <x14:cfRule type="dataBar" id="{68FC897F-1874-47FD-8476-2A4C3D63E218}">
            <x14:dataBar minLength="0" maxLength="100" border="1" gradient="0">
              <x14:cfvo type="num">
                <xm:f>0</xm:f>
              </x14:cfvo>
              <x14:cfvo type="num">
                <xm:f>1</xm:f>
              </x14:cfvo>
              <x14:borderColor theme="0"/>
              <x14:negativeFillColor rgb="FFFF0000"/>
              <x14:axisColor rgb="FF000000"/>
            </x14:dataBar>
          </x14:cfRule>
          <xm:sqref>N3073 N3075</xm:sqref>
        </x14:conditionalFormatting>
        <x14:conditionalFormatting xmlns:xm="http://schemas.microsoft.com/office/excel/2006/main">
          <x14:cfRule type="dataBar" id="{F7E63339-1523-48C1-B69F-5FE053FB7005}">
            <x14:dataBar minLength="0" maxLength="100" border="1" gradient="0">
              <x14:cfvo type="num">
                <xm:f>0</xm:f>
              </x14:cfvo>
              <x14:cfvo type="num">
                <xm:f>1</xm:f>
              </x14:cfvo>
              <x14:borderColor theme="0"/>
              <x14:negativeFillColor rgb="FFFF0000"/>
              <x14:axisColor rgb="FF000000"/>
            </x14:dataBar>
          </x14:cfRule>
          <xm:sqref>N3077 N3079 N3081 N3083</xm:sqref>
        </x14:conditionalFormatting>
        <x14:conditionalFormatting xmlns:xm="http://schemas.microsoft.com/office/excel/2006/main">
          <x14:cfRule type="dataBar" id="{3FD04652-A3E3-42EF-AAB1-8320FC61AEDF}">
            <x14:dataBar minLength="0" maxLength="100" border="1" gradient="0">
              <x14:cfvo type="num">
                <xm:f>0</xm:f>
              </x14:cfvo>
              <x14:cfvo type="num">
                <xm:f>1</xm:f>
              </x14:cfvo>
              <x14:borderColor theme="0"/>
              <x14:negativeFillColor rgb="FFFF0000"/>
              <x14:axisColor rgb="FF000000"/>
            </x14:dataBar>
          </x14:cfRule>
          <xm:sqref>N3085 N3087 N3089</xm:sqref>
        </x14:conditionalFormatting>
        <x14:conditionalFormatting xmlns:xm="http://schemas.microsoft.com/office/excel/2006/main">
          <x14:cfRule type="dataBar" id="{C32B5C35-88B0-49A8-B643-84020DFBF533}">
            <x14:dataBar minLength="0" maxLength="100" border="1" gradient="0">
              <x14:cfvo type="num">
                <xm:f>0</xm:f>
              </x14:cfvo>
              <x14:cfvo type="num">
                <xm:f>1</xm:f>
              </x14:cfvo>
              <x14:borderColor theme="0"/>
              <x14:negativeFillColor rgb="FFFF0000"/>
              <x14:axisColor rgb="FF000000"/>
            </x14:dataBar>
          </x14:cfRule>
          <xm:sqref>N3091</xm:sqref>
        </x14:conditionalFormatting>
        <x14:conditionalFormatting xmlns:xm="http://schemas.microsoft.com/office/excel/2006/main">
          <x14:cfRule type="dataBar" id="{545F8A98-C721-4691-9C7D-4B3322F5FD26}">
            <x14:dataBar minLength="0" maxLength="100" border="1" gradient="0">
              <x14:cfvo type="num">
                <xm:f>0</xm:f>
              </x14:cfvo>
              <x14:cfvo type="num">
                <xm:f>1</xm:f>
              </x14:cfvo>
              <x14:borderColor theme="0"/>
              <x14:negativeFillColor rgb="FFFF0000"/>
              <x14:axisColor rgb="FF000000"/>
            </x14:dataBar>
          </x14:cfRule>
          <xm:sqref>N3093</xm:sqref>
        </x14:conditionalFormatting>
        <x14:conditionalFormatting xmlns:xm="http://schemas.microsoft.com/office/excel/2006/main">
          <x14:cfRule type="dataBar" id="{19DC6E57-1E47-4CF9-8E93-977A16C64F11}">
            <x14:dataBar minLength="0" maxLength="100" border="1" gradient="0">
              <x14:cfvo type="num">
                <xm:f>0</xm:f>
              </x14:cfvo>
              <x14:cfvo type="num">
                <xm:f>1</xm:f>
              </x14:cfvo>
              <x14:borderColor theme="0"/>
              <x14:negativeFillColor rgb="FFFF0000"/>
              <x14:axisColor rgb="FF000000"/>
            </x14:dataBar>
          </x14:cfRule>
          <xm:sqref>N3095</xm:sqref>
        </x14:conditionalFormatting>
        <x14:conditionalFormatting xmlns:xm="http://schemas.microsoft.com/office/excel/2006/main">
          <x14:cfRule type="dataBar" id="{1AA240E5-574D-432D-87CD-5CF9F3801A37}">
            <x14:dataBar minLength="0" maxLength="100" border="1" gradient="0">
              <x14:cfvo type="num">
                <xm:f>0</xm:f>
              </x14:cfvo>
              <x14:cfvo type="num">
                <xm:f>1</xm:f>
              </x14:cfvo>
              <x14:borderColor theme="0"/>
              <x14:negativeFillColor rgb="FFFF0000"/>
              <x14:axisColor rgb="FF000000"/>
            </x14:dataBar>
          </x14:cfRule>
          <xm:sqref>N3097</xm:sqref>
        </x14:conditionalFormatting>
        <x14:conditionalFormatting xmlns:xm="http://schemas.microsoft.com/office/excel/2006/main">
          <x14:cfRule type="dataBar" id="{D0A8AE44-8830-4D70-899F-4B4BDC4A6CBA}">
            <x14:dataBar minLength="0" maxLength="100" border="1" gradient="0">
              <x14:cfvo type="num">
                <xm:f>0</xm:f>
              </x14:cfvo>
              <x14:cfvo type="num">
                <xm:f>1</xm:f>
              </x14:cfvo>
              <x14:borderColor theme="0"/>
              <x14:negativeFillColor rgb="FFFF0000"/>
              <x14:axisColor rgb="FF000000"/>
            </x14:dataBar>
          </x14:cfRule>
          <xm:sqref>N3101</xm:sqref>
        </x14:conditionalFormatting>
        <x14:conditionalFormatting xmlns:xm="http://schemas.microsoft.com/office/excel/2006/main">
          <x14:cfRule type="dataBar" id="{58A80073-95F4-4A68-BE3C-B19D1F11B33B}">
            <x14:dataBar minLength="0" maxLength="100" border="1" gradient="0">
              <x14:cfvo type="num">
                <xm:f>0</xm:f>
              </x14:cfvo>
              <x14:cfvo type="num">
                <xm:f>1</xm:f>
              </x14:cfvo>
              <x14:borderColor theme="0"/>
              <x14:negativeFillColor rgb="FFFF0000"/>
              <x14:axisColor rgb="FF000000"/>
            </x14:dataBar>
          </x14:cfRule>
          <xm:sqref>N3103</xm:sqref>
        </x14:conditionalFormatting>
        <x14:conditionalFormatting xmlns:xm="http://schemas.microsoft.com/office/excel/2006/main">
          <x14:cfRule type="dataBar" id="{D174AB10-F8EE-4F07-9F2D-1ADD74A34CED}">
            <x14:dataBar minLength="0" maxLength="100" border="1" gradient="0">
              <x14:cfvo type="num">
                <xm:f>0</xm:f>
              </x14:cfvo>
              <x14:cfvo type="num">
                <xm:f>1</xm:f>
              </x14:cfvo>
              <x14:borderColor theme="0"/>
              <x14:negativeFillColor rgb="FFFF0000"/>
              <x14:axisColor rgb="FF000000"/>
            </x14:dataBar>
          </x14:cfRule>
          <xm:sqref>N3105 N3107</xm:sqref>
        </x14:conditionalFormatting>
        <x14:conditionalFormatting xmlns:xm="http://schemas.microsoft.com/office/excel/2006/main">
          <x14:cfRule type="dataBar" id="{E0091DD5-ECF2-4551-90B3-52B52E7492C8}">
            <x14:dataBar minLength="0" maxLength="100" border="1" gradient="0">
              <x14:cfvo type="num">
                <xm:f>0</xm:f>
              </x14:cfvo>
              <x14:cfvo type="num">
                <xm:f>1</xm:f>
              </x14:cfvo>
              <x14:borderColor theme="0"/>
              <x14:negativeFillColor rgb="FFFF0000"/>
              <x14:axisColor rgb="FF000000"/>
            </x14:dataBar>
          </x14:cfRule>
          <xm:sqref>N3109</xm:sqref>
        </x14:conditionalFormatting>
        <x14:conditionalFormatting xmlns:xm="http://schemas.microsoft.com/office/excel/2006/main">
          <x14:cfRule type="dataBar" id="{16658341-F86C-4BAE-85E3-1B3BAF46BA8A}">
            <x14:dataBar minLength="0" maxLength="100" border="1" gradient="0">
              <x14:cfvo type="num">
                <xm:f>0</xm:f>
              </x14:cfvo>
              <x14:cfvo type="num">
                <xm:f>1</xm:f>
              </x14:cfvo>
              <x14:borderColor theme="0"/>
              <x14:negativeFillColor rgb="FFFF0000"/>
              <x14:axisColor rgb="FF000000"/>
            </x14:dataBar>
          </x14:cfRule>
          <xm:sqref>N3111 N3113</xm:sqref>
        </x14:conditionalFormatting>
        <x14:conditionalFormatting xmlns:xm="http://schemas.microsoft.com/office/excel/2006/main">
          <x14:cfRule type="dataBar" id="{6625F319-8960-4129-ABBB-D3CB221A99EE}">
            <x14:dataBar minLength="0" maxLength="100" border="1" gradient="0">
              <x14:cfvo type="num">
                <xm:f>0</xm:f>
              </x14:cfvo>
              <x14:cfvo type="num">
                <xm:f>1</xm:f>
              </x14:cfvo>
              <x14:borderColor theme="0"/>
              <x14:negativeFillColor rgb="FFFF0000"/>
              <x14:axisColor rgb="FF000000"/>
            </x14:dataBar>
          </x14:cfRule>
          <xm:sqref>N3115</xm:sqref>
        </x14:conditionalFormatting>
        <x14:conditionalFormatting xmlns:xm="http://schemas.microsoft.com/office/excel/2006/main">
          <x14:cfRule type="dataBar" id="{650E797A-42F0-4E79-B1E2-F619754CF74A}">
            <x14:dataBar minLength="0" maxLength="100" border="1" gradient="0">
              <x14:cfvo type="num">
                <xm:f>0</xm:f>
              </x14:cfvo>
              <x14:cfvo type="num">
                <xm:f>1</xm:f>
              </x14:cfvo>
              <x14:borderColor theme="0"/>
              <x14:negativeFillColor rgb="FFFF0000"/>
              <x14:axisColor rgb="FF000000"/>
            </x14:dataBar>
          </x14:cfRule>
          <xm:sqref>N3117 N3119</xm:sqref>
        </x14:conditionalFormatting>
        <x14:conditionalFormatting xmlns:xm="http://schemas.microsoft.com/office/excel/2006/main">
          <x14:cfRule type="dataBar" id="{BA12FE21-74FB-4BCC-ADA4-46C1717CF4B8}">
            <x14:dataBar minLength="0" maxLength="100" border="1" gradient="0">
              <x14:cfvo type="num">
                <xm:f>0</xm:f>
              </x14:cfvo>
              <x14:cfvo type="num">
                <xm:f>1</xm:f>
              </x14:cfvo>
              <x14:borderColor theme="0"/>
              <x14:negativeFillColor rgb="FFFF0000"/>
              <x14:axisColor rgb="FF000000"/>
            </x14:dataBar>
          </x14:cfRule>
          <xm:sqref>N3121</xm:sqref>
        </x14:conditionalFormatting>
        <x14:conditionalFormatting xmlns:xm="http://schemas.microsoft.com/office/excel/2006/main">
          <x14:cfRule type="dataBar" id="{AEC0F1D5-989B-4527-8E1D-67773EBE6ECE}">
            <x14:dataBar minLength="0" maxLength="100" border="1" gradient="0">
              <x14:cfvo type="num">
                <xm:f>0</xm:f>
              </x14:cfvo>
              <x14:cfvo type="num">
                <xm:f>1</xm:f>
              </x14:cfvo>
              <x14:borderColor theme="0"/>
              <x14:negativeFillColor rgb="FFFF0000"/>
              <x14:axisColor rgb="FF000000"/>
            </x14:dataBar>
          </x14:cfRule>
          <xm:sqref>N3123 N3125</xm:sqref>
        </x14:conditionalFormatting>
        <x14:conditionalFormatting xmlns:xm="http://schemas.microsoft.com/office/excel/2006/main">
          <x14:cfRule type="dataBar" id="{00F615BF-0EA5-41F0-9013-EDEFF88EBA75}">
            <x14:dataBar minLength="0" maxLength="100" border="1" gradient="0">
              <x14:cfvo type="num">
                <xm:f>0</xm:f>
              </x14:cfvo>
              <x14:cfvo type="num">
                <xm:f>1</xm:f>
              </x14:cfvo>
              <x14:borderColor theme="0"/>
              <x14:negativeFillColor rgb="FFFF0000"/>
              <x14:axisColor rgb="FF000000"/>
            </x14:dataBar>
          </x14:cfRule>
          <xm:sqref>N3127 N3129</xm:sqref>
        </x14:conditionalFormatting>
        <x14:conditionalFormatting xmlns:xm="http://schemas.microsoft.com/office/excel/2006/main">
          <x14:cfRule type="dataBar" id="{7FDF5346-CDDC-4520-93F4-481F17320D36}">
            <x14:dataBar minLength="0" maxLength="100" border="1" gradient="0">
              <x14:cfvo type="num">
                <xm:f>0</xm:f>
              </x14:cfvo>
              <x14:cfvo type="num">
                <xm:f>1</xm:f>
              </x14:cfvo>
              <x14:borderColor theme="0"/>
              <x14:negativeFillColor rgb="FFFF0000"/>
              <x14:axisColor rgb="FF000000"/>
            </x14:dataBar>
          </x14:cfRule>
          <xm:sqref>N3131</xm:sqref>
        </x14:conditionalFormatting>
        <x14:conditionalFormatting xmlns:xm="http://schemas.microsoft.com/office/excel/2006/main">
          <x14:cfRule type="dataBar" id="{4D132FFA-E025-4903-814A-422666B2A423}">
            <x14:dataBar minLength="0" maxLength="100" border="1" gradient="0">
              <x14:cfvo type="num">
                <xm:f>0</xm:f>
              </x14:cfvo>
              <x14:cfvo type="num">
                <xm:f>1</xm:f>
              </x14:cfvo>
              <x14:borderColor theme="0"/>
              <x14:negativeFillColor rgb="FFFF0000"/>
              <x14:axisColor rgb="FF000000"/>
            </x14:dataBar>
          </x14:cfRule>
          <xm:sqref>N3133 N3135</xm:sqref>
        </x14:conditionalFormatting>
        <x14:conditionalFormatting xmlns:xm="http://schemas.microsoft.com/office/excel/2006/main">
          <x14:cfRule type="dataBar" id="{C13A84D7-B3E3-410F-8041-B4B50827C0DC}">
            <x14:dataBar minLength="0" maxLength="100" border="1" gradient="0">
              <x14:cfvo type="num">
                <xm:f>0</xm:f>
              </x14:cfvo>
              <x14:cfvo type="num">
                <xm:f>1</xm:f>
              </x14:cfvo>
              <x14:borderColor theme="0"/>
              <x14:negativeFillColor rgb="FFFF0000"/>
              <x14:axisColor rgb="FF000000"/>
            </x14:dataBar>
          </x14:cfRule>
          <xm:sqref>N3137</xm:sqref>
        </x14:conditionalFormatting>
        <x14:conditionalFormatting xmlns:xm="http://schemas.microsoft.com/office/excel/2006/main">
          <x14:cfRule type="dataBar" id="{5F19E749-BD3E-4F1E-B500-9326234053E0}">
            <x14:dataBar minLength="0" maxLength="100" border="1" gradient="0">
              <x14:cfvo type="num">
                <xm:f>0</xm:f>
              </x14:cfvo>
              <x14:cfvo type="num">
                <xm:f>1</xm:f>
              </x14:cfvo>
              <x14:borderColor theme="0"/>
              <x14:negativeFillColor rgb="FFFF0000"/>
              <x14:axisColor rgb="FF000000"/>
            </x14:dataBar>
          </x14:cfRule>
          <xm:sqref>N3139 N3141</xm:sqref>
        </x14:conditionalFormatting>
        <x14:conditionalFormatting xmlns:xm="http://schemas.microsoft.com/office/excel/2006/main">
          <x14:cfRule type="dataBar" id="{5ACA419A-2E61-454B-BA7B-36103531112E}">
            <x14:dataBar minLength="0" maxLength="100" border="1" gradient="0">
              <x14:cfvo type="num">
                <xm:f>0</xm:f>
              </x14:cfvo>
              <x14:cfvo type="num">
                <xm:f>1</xm:f>
              </x14:cfvo>
              <x14:borderColor theme="0"/>
              <x14:negativeFillColor rgb="FFFF0000"/>
              <x14:axisColor rgb="FF000000"/>
            </x14:dataBar>
          </x14:cfRule>
          <xm:sqref>N3143</xm:sqref>
        </x14:conditionalFormatting>
        <x14:conditionalFormatting xmlns:xm="http://schemas.microsoft.com/office/excel/2006/main">
          <x14:cfRule type="dataBar" id="{A95DEAAC-1994-48A7-8E5F-5C0907964B5A}">
            <x14:dataBar minLength="0" maxLength="100" border="1" gradient="0">
              <x14:cfvo type="num">
                <xm:f>0</xm:f>
              </x14:cfvo>
              <x14:cfvo type="num">
                <xm:f>1</xm:f>
              </x14:cfvo>
              <x14:borderColor theme="0"/>
              <x14:negativeFillColor rgb="FFFF0000"/>
              <x14:axisColor rgb="FF000000"/>
            </x14:dataBar>
          </x14:cfRule>
          <xm:sqref>N3145</xm:sqref>
        </x14:conditionalFormatting>
        <x14:conditionalFormatting xmlns:xm="http://schemas.microsoft.com/office/excel/2006/main">
          <x14:cfRule type="dataBar" id="{AFEFB4CA-9A77-4AC3-9B73-7B4D8FA0B9DE}">
            <x14:dataBar minLength="0" maxLength="100" border="1" gradient="0">
              <x14:cfvo type="num">
                <xm:f>0</xm:f>
              </x14:cfvo>
              <x14:cfvo type="num">
                <xm:f>1</xm:f>
              </x14:cfvo>
              <x14:borderColor theme="0"/>
              <x14:negativeFillColor rgb="FFFF0000"/>
              <x14:axisColor rgb="FF000000"/>
            </x14:dataBar>
          </x14:cfRule>
          <xm:sqref>N3147</xm:sqref>
        </x14:conditionalFormatting>
        <x14:conditionalFormatting xmlns:xm="http://schemas.microsoft.com/office/excel/2006/main">
          <x14:cfRule type="dataBar" id="{93A784F2-A2D7-4C5C-85AC-F848170A5A74}">
            <x14:dataBar minLength="0" maxLength="100" border="1" gradient="0">
              <x14:cfvo type="num">
                <xm:f>0</xm:f>
              </x14:cfvo>
              <x14:cfvo type="num">
                <xm:f>1</xm:f>
              </x14:cfvo>
              <x14:borderColor theme="0"/>
              <x14:negativeFillColor rgb="FFFF0000"/>
              <x14:axisColor rgb="FF000000"/>
            </x14:dataBar>
          </x14:cfRule>
          <xm:sqref>N3151</xm:sqref>
        </x14:conditionalFormatting>
        <x14:conditionalFormatting xmlns:xm="http://schemas.microsoft.com/office/excel/2006/main">
          <x14:cfRule type="dataBar" id="{9CB6D309-F38F-41CD-96F4-A0E398C99E82}">
            <x14:dataBar minLength="0" maxLength="100" border="1" gradient="0">
              <x14:cfvo type="num">
                <xm:f>0</xm:f>
              </x14:cfvo>
              <x14:cfvo type="num">
                <xm:f>1</xm:f>
              </x14:cfvo>
              <x14:borderColor theme="0"/>
              <x14:negativeFillColor rgb="FFFF0000"/>
              <x14:axisColor rgb="FF000000"/>
            </x14:dataBar>
          </x14:cfRule>
          <xm:sqref>N3153 N3155 N3157</xm:sqref>
        </x14:conditionalFormatting>
        <x14:conditionalFormatting xmlns:xm="http://schemas.microsoft.com/office/excel/2006/main">
          <x14:cfRule type="dataBar" id="{FE727217-60C9-42D7-968A-4B4BACC95D51}">
            <x14:dataBar minLength="0" maxLength="100" border="1" gradient="0">
              <x14:cfvo type="num">
                <xm:f>0</xm:f>
              </x14:cfvo>
              <x14:cfvo type="num">
                <xm:f>1</xm:f>
              </x14:cfvo>
              <x14:borderColor theme="0"/>
              <x14:negativeFillColor rgb="FFFF0000"/>
              <x14:axisColor rgb="FF000000"/>
            </x14:dataBar>
          </x14:cfRule>
          <xm:sqref>N3159 N3161 N3163</xm:sqref>
        </x14:conditionalFormatting>
        <x14:conditionalFormatting xmlns:xm="http://schemas.microsoft.com/office/excel/2006/main">
          <x14:cfRule type="dataBar" id="{F755269E-12C3-4018-8053-03A4EC93AA4F}">
            <x14:dataBar minLength="0" maxLength="100" border="1" gradient="0">
              <x14:cfvo type="num">
                <xm:f>0</xm:f>
              </x14:cfvo>
              <x14:cfvo type="num">
                <xm:f>1</xm:f>
              </x14:cfvo>
              <x14:borderColor theme="0"/>
              <x14:negativeFillColor rgb="FFFF0000"/>
              <x14:axisColor rgb="FF000000"/>
            </x14:dataBar>
          </x14:cfRule>
          <xm:sqref>N3165 N3167 N3169</xm:sqref>
        </x14:conditionalFormatting>
        <x14:conditionalFormatting xmlns:xm="http://schemas.microsoft.com/office/excel/2006/main">
          <x14:cfRule type="dataBar" id="{90A74BF4-61A3-463E-A9B5-E9449C603521}">
            <x14:dataBar minLength="0" maxLength="100" border="1" gradient="0">
              <x14:cfvo type="num">
                <xm:f>0</xm:f>
              </x14:cfvo>
              <x14:cfvo type="num">
                <xm:f>1</xm:f>
              </x14:cfvo>
              <x14:borderColor theme="0"/>
              <x14:negativeFillColor rgb="FFFF0000"/>
              <x14:axisColor rgb="FF000000"/>
            </x14:dataBar>
          </x14:cfRule>
          <xm:sqref>N3171 N3173 N3175</xm:sqref>
        </x14:conditionalFormatting>
        <x14:conditionalFormatting xmlns:xm="http://schemas.microsoft.com/office/excel/2006/main">
          <x14:cfRule type="dataBar" id="{F3B5809F-D345-4FA4-8A12-F12EC880C8EF}">
            <x14:dataBar minLength="0" maxLength="100" border="1" gradient="0">
              <x14:cfvo type="num">
                <xm:f>0</xm:f>
              </x14:cfvo>
              <x14:cfvo type="num">
                <xm:f>1</xm:f>
              </x14:cfvo>
              <x14:borderColor theme="0"/>
              <x14:negativeFillColor rgb="FFFF0000"/>
              <x14:axisColor rgb="FF000000"/>
            </x14:dataBar>
          </x14:cfRule>
          <xm:sqref>N3177 N3179 N3181</xm:sqref>
        </x14:conditionalFormatting>
        <x14:conditionalFormatting xmlns:xm="http://schemas.microsoft.com/office/excel/2006/main">
          <x14:cfRule type="dataBar" id="{30CC8CB0-44B0-4EC4-A739-41E7EDB148A5}">
            <x14:dataBar minLength="0" maxLength="100" border="1" gradient="0">
              <x14:cfvo type="num">
                <xm:f>0</xm:f>
              </x14:cfvo>
              <x14:cfvo type="num">
                <xm:f>1</xm:f>
              </x14:cfvo>
              <x14:borderColor theme="0"/>
              <x14:negativeFillColor rgb="FFFF0000"/>
              <x14:axisColor rgb="FF000000"/>
            </x14:dataBar>
          </x14:cfRule>
          <xm:sqref>N3183 N3185 N3187</xm:sqref>
        </x14:conditionalFormatting>
        <x14:conditionalFormatting xmlns:xm="http://schemas.microsoft.com/office/excel/2006/main">
          <x14:cfRule type="dataBar" id="{F50D62A3-8B9D-4E85-B373-21E9E5C93374}">
            <x14:dataBar minLength="0" maxLength="100" border="1" gradient="0">
              <x14:cfvo type="num">
                <xm:f>0</xm:f>
              </x14:cfvo>
              <x14:cfvo type="num">
                <xm:f>1</xm:f>
              </x14:cfvo>
              <x14:borderColor theme="0"/>
              <x14:negativeFillColor rgb="FFFF0000"/>
              <x14:axisColor rgb="FF000000"/>
            </x14:dataBar>
          </x14:cfRule>
          <xm:sqref>N3189 N3191 N3193</xm:sqref>
        </x14:conditionalFormatting>
        <x14:conditionalFormatting xmlns:xm="http://schemas.microsoft.com/office/excel/2006/main">
          <x14:cfRule type="dataBar" id="{FADB327E-CE3F-424C-869F-EF51EA70D1F9}">
            <x14:dataBar minLength="0" maxLength="100" border="1" gradient="0">
              <x14:cfvo type="num">
                <xm:f>0</xm:f>
              </x14:cfvo>
              <x14:cfvo type="num">
                <xm:f>1</xm:f>
              </x14:cfvo>
              <x14:borderColor theme="0"/>
              <x14:negativeFillColor rgb="FFFF0000"/>
              <x14:axisColor rgb="FF000000"/>
            </x14:dataBar>
          </x14:cfRule>
          <xm:sqref>N3195 N3197 N3199</xm:sqref>
        </x14:conditionalFormatting>
        <x14:conditionalFormatting xmlns:xm="http://schemas.microsoft.com/office/excel/2006/main">
          <x14:cfRule type="dataBar" id="{456DCB85-6CD2-4E1C-AB48-5843ADA1A012}">
            <x14:dataBar minLength="0" maxLength="100" border="1" gradient="0">
              <x14:cfvo type="num">
                <xm:f>0</xm:f>
              </x14:cfvo>
              <x14:cfvo type="num">
                <xm:f>1</xm:f>
              </x14:cfvo>
              <x14:borderColor theme="0"/>
              <x14:negativeFillColor rgb="FFFF0000"/>
              <x14:axisColor rgb="FF000000"/>
            </x14:dataBar>
          </x14:cfRule>
          <xm:sqref>N3201 N3203 N3205</xm:sqref>
        </x14:conditionalFormatting>
        <x14:conditionalFormatting xmlns:xm="http://schemas.microsoft.com/office/excel/2006/main">
          <x14:cfRule type="dataBar" id="{5BF9AFE6-1B96-4932-9A06-65C680398B19}">
            <x14:dataBar minLength="0" maxLength="100" border="1" gradient="0">
              <x14:cfvo type="num">
                <xm:f>0</xm:f>
              </x14:cfvo>
              <x14:cfvo type="num">
                <xm:f>1</xm:f>
              </x14:cfvo>
              <x14:borderColor theme="0"/>
              <x14:negativeFillColor rgb="FFFF0000"/>
              <x14:axisColor rgb="FF000000"/>
            </x14:dataBar>
          </x14:cfRule>
          <xm:sqref>N3207 N3209 N3211</xm:sqref>
        </x14:conditionalFormatting>
        <x14:conditionalFormatting xmlns:xm="http://schemas.microsoft.com/office/excel/2006/main">
          <x14:cfRule type="dataBar" id="{89393A9E-0324-4E8F-9F71-48A92AD97BA7}">
            <x14:dataBar minLength="0" maxLength="100" border="1" gradient="0">
              <x14:cfvo type="num">
                <xm:f>0</xm:f>
              </x14:cfvo>
              <x14:cfvo type="num">
                <xm:f>1</xm:f>
              </x14:cfvo>
              <x14:borderColor theme="0"/>
              <x14:negativeFillColor rgb="FFFF0000"/>
              <x14:axisColor rgb="FF000000"/>
            </x14:dataBar>
          </x14:cfRule>
          <xm:sqref>N3213 N3215 N3217</xm:sqref>
        </x14:conditionalFormatting>
        <x14:conditionalFormatting xmlns:xm="http://schemas.microsoft.com/office/excel/2006/main">
          <x14:cfRule type="dataBar" id="{F091BF44-4C98-494B-A156-C1AC2C1CD53A}">
            <x14:dataBar minLength="0" maxLength="100" border="1" gradient="0">
              <x14:cfvo type="num">
                <xm:f>0</xm:f>
              </x14:cfvo>
              <x14:cfvo type="num">
                <xm:f>1</xm:f>
              </x14:cfvo>
              <x14:borderColor theme="0"/>
              <x14:negativeFillColor rgb="FFFF0000"/>
              <x14:axisColor rgb="FF000000"/>
            </x14:dataBar>
          </x14:cfRule>
          <xm:sqref>N3219 N3221</xm:sqref>
        </x14:conditionalFormatting>
        <x14:conditionalFormatting xmlns:xm="http://schemas.microsoft.com/office/excel/2006/main">
          <x14:cfRule type="dataBar" id="{34E74045-8A45-4765-A265-CAB9BAC53F50}">
            <x14:dataBar minLength="0" maxLength="100" border="1" gradient="0">
              <x14:cfvo type="num">
                <xm:f>0</xm:f>
              </x14:cfvo>
              <x14:cfvo type="num">
                <xm:f>1</xm:f>
              </x14:cfvo>
              <x14:borderColor theme="0"/>
              <x14:negativeFillColor rgb="FFFF0000"/>
              <x14:axisColor rgb="FF000000"/>
            </x14:dataBar>
          </x14:cfRule>
          <xm:sqref>N3224</xm:sqref>
        </x14:conditionalFormatting>
        <x14:conditionalFormatting xmlns:xm="http://schemas.microsoft.com/office/excel/2006/main">
          <x14:cfRule type="dataBar" id="{60A1B7AD-EB0A-4C92-9F51-B719C880FBE0}">
            <x14:dataBar minLength="0" maxLength="100" border="1" gradient="0">
              <x14:cfvo type="num">
                <xm:f>0</xm:f>
              </x14:cfvo>
              <x14:cfvo type="num">
                <xm:f>1</xm:f>
              </x14:cfvo>
              <x14:borderColor theme="0"/>
              <x14:negativeFillColor rgb="FFFF0000"/>
              <x14:axisColor rgb="FF000000"/>
            </x14:dataBar>
          </x14:cfRule>
          <xm:sqref>N3228</xm:sqref>
        </x14:conditionalFormatting>
        <x14:conditionalFormatting xmlns:xm="http://schemas.microsoft.com/office/excel/2006/main">
          <x14:cfRule type="dataBar" id="{B61A1C05-41F9-4E72-91E0-59176B2EA473}">
            <x14:dataBar minLength="0" maxLength="100" border="1" gradient="0">
              <x14:cfvo type="num">
                <xm:f>0</xm:f>
              </x14:cfvo>
              <x14:cfvo type="num">
                <xm:f>1</xm:f>
              </x14:cfvo>
              <x14:borderColor theme="0"/>
              <x14:negativeFillColor rgb="FFFF0000"/>
              <x14:axisColor rgb="FF000000"/>
            </x14:dataBar>
          </x14:cfRule>
          <xm:sqref>N3230</xm:sqref>
        </x14:conditionalFormatting>
        <x14:conditionalFormatting xmlns:xm="http://schemas.microsoft.com/office/excel/2006/main">
          <x14:cfRule type="dataBar" id="{85AE2582-17A3-4CEC-A3F3-8F875C1B735D}">
            <x14:dataBar minLength="0" maxLength="100" border="1" gradient="0">
              <x14:cfvo type="num">
                <xm:f>0</xm:f>
              </x14:cfvo>
              <x14:cfvo type="num">
                <xm:f>1</xm:f>
              </x14:cfvo>
              <x14:borderColor theme="0"/>
              <x14:negativeFillColor rgb="FFFF0000"/>
              <x14:axisColor rgb="FF000000"/>
            </x14:dataBar>
          </x14:cfRule>
          <xm:sqref>N3232 N3234 N3236</xm:sqref>
        </x14:conditionalFormatting>
        <x14:conditionalFormatting xmlns:xm="http://schemas.microsoft.com/office/excel/2006/main">
          <x14:cfRule type="dataBar" id="{E52A2353-AEAE-4E4E-AB7D-ABBD7C0324C8}">
            <x14:dataBar minLength="0" maxLength="100" border="1" gradient="0">
              <x14:cfvo type="num">
                <xm:f>0</xm:f>
              </x14:cfvo>
              <x14:cfvo type="num">
                <xm:f>1</xm:f>
              </x14:cfvo>
              <x14:borderColor theme="0"/>
              <x14:negativeFillColor rgb="FFFF0000"/>
              <x14:axisColor rgb="FF000000"/>
            </x14:dataBar>
          </x14:cfRule>
          <xm:sqref>N3238</xm:sqref>
        </x14:conditionalFormatting>
        <x14:conditionalFormatting xmlns:xm="http://schemas.microsoft.com/office/excel/2006/main">
          <x14:cfRule type="dataBar" id="{8ABFFDB3-AF03-4E96-8860-AAAE4721113D}">
            <x14:dataBar minLength="0" maxLength="100" border="1" gradient="0">
              <x14:cfvo type="num">
                <xm:f>0</xm:f>
              </x14:cfvo>
              <x14:cfvo type="num">
                <xm:f>1</xm:f>
              </x14:cfvo>
              <x14:borderColor theme="0"/>
              <x14:negativeFillColor rgb="FFFF0000"/>
              <x14:axisColor rgb="FF000000"/>
            </x14:dataBar>
          </x14:cfRule>
          <xm:sqref>N3240</xm:sqref>
        </x14:conditionalFormatting>
        <x14:conditionalFormatting xmlns:xm="http://schemas.microsoft.com/office/excel/2006/main">
          <x14:cfRule type="dataBar" id="{D1CECEC5-216E-4B9F-816B-AA71AF9080DE}">
            <x14:dataBar minLength="0" maxLength="100" border="1" gradient="0">
              <x14:cfvo type="num">
                <xm:f>0</xm:f>
              </x14:cfvo>
              <x14:cfvo type="num">
                <xm:f>1</xm:f>
              </x14:cfvo>
              <x14:borderColor theme="0"/>
              <x14:negativeFillColor rgb="FFFF0000"/>
              <x14:axisColor rgb="FF000000"/>
            </x14:dataBar>
          </x14:cfRule>
          <xm:sqref>N3242</xm:sqref>
        </x14:conditionalFormatting>
        <x14:conditionalFormatting xmlns:xm="http://schemas.microsoft.com/office/excel/2006/main">
          <x14:cfRule type="dataBar" id="{B7F4A138-1CF0-45AE-8C5A-732EFEF33356}">
            <x14:dataBar minLength="0" maxLength="100" border="1" gradient="0">
              <x14:cfvo type="num">
                <xm:f>0</xm:f>
              </x14:cfvo>
              <x14:cfvo type="num">
                <xm:f>1</xm:f>
              </x14:cfvo>
              <x14:borderColor theme="0"/>
              <x14:negativeFillColor rgb="FFFF0000"/>
              <x14:axisColor rgb="FF000000"/>
            </x14:dataBar>
          </x14:cfRule>
          <xm:sqref>N3244</xm:sqref>
        </x14:conditionalFormatting>
        <x14:conditionalFormatting xmlns:xm="http://schemas.microsoft.com/office/excel/2006/main">
          <x14:cfRule type="dataBar" id="{0DA9A89C-A4DD-4F26-85B7-AD7CC0492535}">
            <x14:dataBar minLength="0" maxLength="100" border="1" gradient="0">
              <x14:cfvo type="num">
                <xm:f>0</xm:f>
              </x14:cfvo>
              <x14:cfvo type="num">
                <xm:f>1</xm:f>
              </x14:cfvo>
              <x14:borderColor theme="0"/>
              <x14:negativeFillColor rgb="FFFF0000"/>
              <x14:axisColor rgb="FF000000"/>
            </x14:dataBar>
          </x14:cfRule>
          <xm:sqref>N3246</xm:sqref>
        </x14:conditionalFormatting>
        <x14:conditionalFormatting xmlns:xm="http://schemas.microsoft.com/office/excel/2006/main">
          <x14:cfRule type="dataBar" id="{AF335CFA-F55D-4D01-9F00-E40669257D62}">
            <x14:dataBar minLength="0" maxLength="100" border="1" gradient="0">
              <x14:cfvo type="num">
                <xm:f>0</xm:f>
              </x14:cfvo>
              <x14:cfvo type="num">
                <xm:f>1</xm:f>
              </x14:cfvo>
              <x14:borderColor theme="0"/>
              <x14:negativeFillColor rgb="FFFF0000"/>
              <x14:axisColor rgb="FF000000"/>
            </x14:dataBar>
          </x14:cfRule>
          <xm:sqref>N3248</xm:sqref>
        </x14:conditionalFormatting>
        <x14:conditionalFormatting xmlns:xm="http://schemas.microsoft.com/office/excel/2006/main">
          <x14:cfRule type="dataBar" id="{0B8F7CBD-C8BF-4080-83D4-4BD358C27FA3}">
            <x14:dataBar minLength="0" maxLength="100" border="1" gradient="0">
              <x14:cfvo type="num">
                <xm:f>0</xm:f>
              </x14:cfvo>
              <x14:cfvo type="num">
                <xm:f>1</xm:f>
              </x14:cfvo>
              <x14:borderColor theme="0"/>
              <x14:negativeFillColor rgb="FFFF0000"/>
              <x14:axisColor rgb="FF000000"/>
            </x14:dataBar>
          </x14:cfRule>
          <xm:sqref>N3252</xm:sqref>
        </x14:conditionalFormatting>
        <x14:conditionalFormatting xmlns:xm="http://schemas.microsoft.com/office/excel/2006/main">
          <x14:cfRule type="dataBar" id="{D67B6E3D-FFB8-4BAF-9526-5B22E15DA8AC}">
            <x14:dataBar minLength="0" maxLength="100" border="1" gradient="0">
              <x14:cfvo type="num">
                <xm:f>0</xm:f>
              </x14:cfvo>
              <x14:cfvo type="num">
                <xm:f>1</xm:f>
              </x14:cfvo>
              <x14:borderColor theme="0"/>
              <x14:negativeFillColor rgb="FFFF0000"/>
              <x14:axisColor rgb="FF000000"/>
            </x14:dataBar>
          </x14:cfRule>
          <xm:sqref>N3254</xm:sqref>
        </x14:conditionalFormatting>
        <x14:conditionalFormatting xmlns:xm="http://schemas.microsoft.com/office/excel/2006/main">
          <x14:cfRule type="dataBar" id="{706DAE23-6F7A-4715-8689-9709AFB098A9}">
            <x14:dataBar minLength="0" maxLength="100" border="1" gradient="0">
              <x14:cfvo type="num">
                <xm:f>0</xm:f>
              </x14:cfvo>
              <x14:cfvo type="num">
                <xm:f>1</xm:f>
              </x14:cfvo>
              <x14:borderColor theme="0"/>
              <x14:negativeFillColor rgb="FFFF0000"/>
              <x14:axisColor rgb="FF000000"/>
            </x14:dataBar>
          </x14:cfRule>
          <xm:sqref>N3256</xm:sqref>
        </x14:conditionalFormatting>
        <x14:conditionalFormatting xmlns:xm="http://schemas.microsoft.com/office/excel/2006/main">
          <x14:cfRule type="dataBar" id="{CF229DAF-9C3D-48A1-B075-1E372D2E1410}">
            <x14:dataBar minLength="0" maxLength="100" border="1" gradient="0">
              <x14:cfvo type="num">
                <xm:f>0</xm:f>
              </x14:cfvo>
              <x14:cfvo type="num">
                <xm:f>1</xm:f>
              </x14:cfvo>
              <x14:borderColor theme="0"/>
              <x14:negativeFillColor rgb="FFFF0000"/>
              <x14:axisColor rgb="FF000000"/>
            </x14:dataBar>
          </x14:cfRule>
          <xm:sqref>N3258</xm:sqref>
        </x14:conditionalFormatting>
        <x14:conditionalFormatting xmlns:xm="http://schemas.microsoft.com/office/excel/2006/main">
          <x14:cfRule type="dataBar" id="{F94D5012-455C-4272-9CEA-EA879108955E}">
            <x14:dataBar minLength="0" maxLength="100" border="1" gradient="0">
              <x14:cfvo type="num">
                <xm:f>0</xm:f>
              </x14:cfvo>
              <x14:cfvo type="num">
                <xm:f>1</xm:f>
              </x14:cfvo>
              <x14:borderColor theme="0"/>
              <x14:negativeFillColor rgb="FFFF0000"/>
              <x14:axisColor rgb="FF000000"/>
            </x14:dataBar>
          </x14:cfRule>
          <xm:sqref>N3260</xm:sqref>
        </x14:conditionalFormatting>
        <x14:conditionalFormatting xmlns:xm="http://schemas.microsoft.com/office/excel/2006/main">
          <x14:cfRule type="dataBar" id="{AA61C5BE-ECB0-40DE-A10B-E2F0212575B4}">
            <x14:dataBar minLength="0" maxLength="100" border="1" gradient="0">
              <x14:cfvo type="num">
                <xm:f>0</xm:f>
              </x14:cfvo>
              <x14:cfvo type="num">
                <xm:f>1</xm:f>
              </x14:cfvo>
              <x14:borderColor theme="0"/>
              <x14:negativeFillColor rgb="FFFF0000"/>
              <x14:axisColor rgb="FF000000"/>
            </x14:dataBar>
          </x14:cfRule>
          <xm:sqref>N3262</xm:sqref>
        </x14:conditionalFormatting>
        <x14:conditionalFormatting xmlns:xm="http://schemas.microsoft.com/office/excel/2006/main">
          <x14:cfRule type="dataBar" id="{DC2B7420-A11C-46A5-A476-0DFB5250D968}">
            <x14:dataBar minLength="0" maxLength="100" border="1" gradient="0">
              <x14:cfvo type="num">
                <xm:f>0</xm:f>
              </x14:cfvo>
              <x14:cfvo type="num">
                <xm:f>1</xm:f>
              </x14:cfvo>
              <x14:borderColor theme="0"/>
              <x14:negativeFillColor rgb="FFFF0000"/>
              <x14:axisColor rgb="FF000000"/>
            </x14:dataBar>
          </x14:cfRule>
          <xm:sqref>N3264</xm:sqref>
        </x14:conditionalFormatting>
        <x14:conditionalFormatting xmlns:xm="http://schemas.microsoft.com/office/excel/2006/main">
          <x14:cfRule type="dataBar" id="{EC56A937-99DB-4C6F-9397-33538C40F4B1}">
            <x14:dataBar minLength="0" maxLength="100" border="1" gradient="0">
              <x14:cfvo type="num">
                <xm:f>0</xm:f>
              </x14:cfvo>
              <x14:cfvo type="num">
                <xm:f>1</xm:f>
              </x14:cfvo>
              <x14:borderColor theme="0"/>
              <x14:negativeFillColor rgb="FFFF0000"/>
              <x14:axisColor rgb="FF000000"/>
            </x14:dataBar>
          </x14:cfRule>
          <xm:sqref>N3266</xm:sqref>
        </x14:conditionalFormatting>
        <x14:conditionalFormatting xmlns:xm="http://schemas.microsoft.com/office/excel/2006/main">
          <x14:cfRule type="dataBar" id="{0E409A00-B9E1-4210-B3C4-F75DF5A9C756}">
            <x14:dataBar minLength="0" maxLength="100" border="1" gradient="0">
              <x14:cfvo type="num">
                <xm:f>0</xm:f>
              </x14:cfvo>
              <x14:cfvo type="num">
                <xm:f>1</xm:f>
              </x14:cfvo>
              <x14:borderColor theme="0"/>
              <x14:negativeFillColor rgb="FFFF0000"/>
              <x14:axisColor rgb="FF000000"/>
            </x14:dataBar>
          </x14:cfRule>
          <xm:sqref>N3268</xm:sqref>
        </x14:conditionalFormatting>
        <x14:conditionalFormatting xmlns:xm="http://schemas.microsoft.com/office/excel/2006/main">
          <x14:cfRule type="dataBar" id="{3C4DE105-39B3-44B5-B990-70A5D5931CD2}">
            <x14:dataBar minLength="0" maxLength="100" border="1" gradient="0">
              <x14:cfvo type="num">
                <xm:f>0</xm:f>
              </x14:cfvo>
              <x14:cfvo type="num">
                <xm:f>1</xm:f>
              </x14:cfvo>
              <x14:borderColor theme="0"/>
              <x14:negativeFillColor rgb="FFFF0000"/>
              <x14:axisColor rgb="FF000000"/>
            </x14:dataBar>
          </x14:cfRule>
          <xm:sqref>N3270</xm:sqref>
        </x14:conditionalFormatting>
        <x14:conditionalFormatting xmlns:xm="http://schemas.microsoft.com/office/excel/2006/main">
          <x14:cfRule type="dataBar" id="{ED7B53DD-AD45-4727-B1A9-59C21C9420F5}">
            <x14:dataBar minLength="0" maxLength="100" border="1" gradient="0">
              <x14:cfvo type="num">
                <xm:f>0</xm:f>
              </x14:cfvo>
              <x14:cfvo type="num">
                <xm:f>1</xm:f>
              </x14:cfvo>
              <x14:borderColor theme="0"/>
              <x14:negativeFillColor rgb="FFFF0000"/>
              <x14:axisColor rgb="FF000000"/>
            </x14:dataBar>
          </x14:cfRule>
          <xm:sqref>N3272</xm:sqref>
        </x14:conditionalFormatting>
        <x14:conditionalFormatting xmlns:xm="http://schemas.microsoft.com/office/excel/2006/main">
          <x14:cfRule type="dataBar" id="{1ABFC719-3AB0-4040-9A69-1AA9EE7EA6D7}">
            <x14:dataBar minLength="0" maxLength="100" border="1" gradient="0">
              <x14:cfvo type="num">
                <xm:f>0</xm:f>
              </x14:cfvo>
              <x14:cfvo type="num">
                <xm:f>1</xm:f>
              </x14:cfvo>
              <x14:borderColor theme="0"/>
              <x14:negativeFillColor rgb="FFFF0000"/>
              <x14:axisColor rgb="FF000000"/>
            </x14:dataBar>
          </x14:cfRule>
          <xm:sqref>N3274</xm:sqref>
        </x14:conditionalFormatting>
        <x14:conditionalFormatting xmlns:xm="http://schemas.microsoft.com/office/excel/2006/main">
          <x14:cfRule type="dataBar" id="{BF7C1855-F88A-4BC7-A754-844827E7B014}">
            <x14:dataBar minLength="0" maxLength="100" border="1" gradient="0">
              <x14:cfvo type="num">
                <xm:f>0</xm:f>
              </x14:cfvo>
              <x14:cfvo type="num">
                <xm:f>1</xm:f>
              </x14:cfvo>
              <x14:borderColor theme="0"/>
              <x14:negativeFillColor rgb="FFFF0000"/>
              <x14:axisColor rgb="FF000000"/>
            </x14:dataBar>
          </x14:cfRule>
          <xm:sqref>N3277</xm:sqref>
        </x14:conditionalFormatting>
        <x14:conditionalFormatting xmlns:xm="http://schemas.microsoft.com/office/excel/2006/main">
          <x14:cfRule type="dataBar" id="{BCC4962A-D3FF-4096-AFC7-639E41639450}">
            <x14:dataBar minLength="0" maxLength="100" border="1" gradient="0">
              <x14:cfvo type="num">
                <xm:f>0</xm:f>
              </x14:cfvo>
              <x14:cfvo type="num">
                <xm:f>1</xm:f>
              </x14:cfvo>
              <x14:borderColor theme="0"/>
              <x14:negativeFillColor rgb="FFFF0000"/>
              <x14:axisColor rgb="FF000000"/>
            </x14:dataBar>
          </x14:cfRule>
          <xm:sqref>N3281 N3279 N3283</xm:sqref>
        </x14:conditionalFormatting>
        <x14:conditionalFormatting xmlns:xm="http://schemas.microsoft.com/office/excel/2006/main">
          <x14:cfRule type="dataBar" id="{8C4EE0D9-FFA2-4909-9DAE-2A001E35E021}">
            <x14:dataBar minLength="0" maxLength="100" border="1" gradient="0">
              <x14:cfvo type="num">
                <xm:f>0</xm:f>
              </x14:cfvo>
              <x14:cfvo type="num">
                <xm:f>1</xm:f>
              </x14:cfvo>
              <x14:borderColor theme="0"/>
              <x14:negativeFillColor rgb="FFFF0000"/>
              <x14:axisColor rgb="FF000000"/>
            </x14:dataBar>
          </x14:cfRule>
          <xm:sqref>N3285</xm:sqref>
        </x14:conditionalFormatting>
        <x14:conditionalFormatting xmlns:xm="http://schemas.microsoft.com/office/excel/2006/main">
          <x14:cfRule type="dataBar" id="{DD5B7F89-C613-4C08-8BA2-B3B59EC63ED7}">
            <x14:dataBar minLength="0" maxLength="100" border="1" gradient="0">
              <x14:cfvo type="num">
                <xm:f>0</xm:f>
              </x14:cfvo>
              <x14:cfvo type="num">
                <xm:f>1</xm:f>
              </x14:cfvo>
              <x14:borderColor theme="0"/>
              <x14:negativeFillColor rgb="FFFF0000"/>
              <x14:axisColor rgb="FF000000"/>
            </x14:dataBar>
          </x14:cfRule>
          <xm:sqref>N3289</xm:sqref>
        </x14:conditionalFormatting>
        <x14:conditionalFormatting xmlns:xm="http://schemas.microsoft.com/office/excel/2006/main">
          <x14:cfRule type="dataBar" id="{BAED06CE-6525-4C06-A7FE-BF837037850C}">
            <x14:dataBar minLength="0" maxLength="100" border="1" gradient="0">
              <x14:cfvo type="num">
                <xm:f>0</xm:f>
              </x14:cfvo>
              <x14:cfvo type="num">
                <xm:f>1</xm:f>
              </x14:cfvo>
              <x14:borderColor theme="0"/>
              <x14:negativeFillColor rgb="FFFF0000"/>
              <x14:axisColor rgb="FF000000"/>
            </x14:dataBar>
          </x14:cfRule>
          <xm:sqref>N3291 N3293 N3295</xm:sqref>
        </x14:conditionalFormatting>
        <x14:conditionalFormatting xmlns:xm="http://schemas.microsoft.com/office/excel/2006/main">
          <x14:cfRule type="dataBar" id="{1E6C719E-BB40-4821-96C7-9834B8DA5B31}">
            <x14:dataBar minLength="0" maxLength="100" border="1" gradient="0">
              <x14:cfvo type="num">
                <xm:f>0</xm:f>
              </x14:cfvo>
              <x14:cfvo type="num">
                <xm:f>1</xm:f>
              </x14:cfvo>
              <x14:borderColor theme="0"/>
              <x14:negativeFillColor rgb="FFFF0000"/>
              <x14:axisColor rgb="FF000000"/>
            </x14:dataBar>
          </x14:cfRule>
          <xm:sqref>N3297 N3299 N3301</xm:sqref>
        </x14:conditionalFormatting>
        <x14:conditionalFormatting xmlns:xm="http://schemas.microsoft.com/office/excel/2006/main">
          <x14:cfRule type="dataBar" id="{8A567CFF-E805-4F81-A00C-134B4F526B91}">
            <x14:dataBar minLength="0" maxLength="100" border="1" gradient="0">
              <x14:cfvo type="num">
                <xm:f>0</xm:f>
              </x14:cfvo>
              <x14:cfvo type="num">
                <xm:f>1</xm:f>
              </x14:cfvo>
              <x14:borderColor theme="0"/>
              <x14:negativeFillColor rgb="FFFF0000"/>
              <x14:axisColor rgb="FF000000"/>
            </x14:dataBar>
          </x14:cfRule>
          <xm:sqref>N3303</xm:sqref>
        </x14:conditionalFormatting>
        <x14:conditionalFormatting xmlns:xm="http://schemas.microsoft.com/office/excel/2006/main">
          <x14:cfRule type="dataBar" id="{23B439F1-3BD4-48C7-A473-7C654C21226E}">
            <x14:dataBar minLength="0" maxLength="100" border="1" gradient="0">
              <x14:cfvo type="num">
                <xm:f>0</xm:f>
              </x14:cfvo>
              <x14:cfvo type="num">
                <xm:f>1</xm:f>
              </x14:cfvo>
              <x14:borderColor theme="0"/>
              <x14:negativeFillColor rgb="FFFF0000"/>
              <x14:axisColor rgb="FF000000"/>
            </x14:dataBar>
          </x14:cfRule>
          <xm:sqref>N3305</xm:sqref>
        </x14:conditionalFormatting>
        <x14:conditionalFormatting xmlns:xm="http://schemas.microsoft.com/office/excel/2006/main">
          <x14:cfRule type="dataBar" id="{AAF1DC49-7558-41FB-83B9-0B9A9DBCD9F8}">
            <x14:dataBar minLength="0" maxLength="100" border="1" gradient="0">
              <x14:cfvo type="num">
                <xm:f>0</xm:f>
              </x14:cfvo>
              <x14:cfvo type="num">
                <xm:f>1</xm:f>
              </x14:cfvo>
              <x14:borderColor theme="0"/>
              <x14:negativeFillColor rgb="FFFF0000"/>
              <x14:axisColor rgb="FF000000"/>
            </x14:dataBar>
          </x14:cfRule>
          <xm:sqref>N3309</xm:sqref>
        </x14:conditionalFormatting>
        <x14:conditionalFormatting xmlns:xm="http://schemas.microsoft.com/office/excel/2006/main">
          <x14:cfRule type="dataBar" id="{F5AB85E4-2EC0-4DF2-A697-2BE99080A233}">
            <x14:dataBar minLength="0" maxLength="100" border="1" gradient="0">
              <x14:cfvo type="num">
                <xm:f>0</xm:f>
              </x14:cfvo>
              <x14:cfvo type="num">
                <xm:f>1</xm:f>
              </x14:cfvo>
              <x14:borderColor theme="0"/>
              <x14:negativeFillColor rgb="FFFF0000"/>
              <x14:axisColor rgb="FF000000"/>
            </x14:dataBar>
          </x14:cfRule>
          <xm:sqref>N3311</xm:sqref>
        </x14:conditionalFormatting>
        <x14:conditionalFormatting xmlns:xm="http://schemas.microsoft.com/office/excel/2006/main">
          <x14:cfRule type="dataBar" id="{C570D3A5-9211-4F2D-A0E0-60D850170D8F}">
            <x14:dataBar minLength="0" maxLength="100" border="1" gradient="0">
              <x14:cfvo type="num">
                <xm:f>0</xm:f>
              </x14:cfvo>
              <x14:cfvo type="num">
                <xm:f>1</xm:f>
              </x14:cfvo>
              <x14:borderColor theme="0"/>
              <x14:negativeFillColor rgb="FFFF0000"/>
              <x14:axisColor rgb="FF000000"/>
            </x14:dataBar>
          </x14:cfRule>
          <xm:sqref>N3313 N3315</xm:sqref>
        </x14:conditionalFormatting>
        <x14:conditionalFormatting xmlns:xm="http://schemas.microsoft.com/office/excel/2006/main">
          <x14:cfRule type="dataBar" id="{5E70214D-AD57-4F60-9081-6DF018F85391}">
            <x14:dataBar minLength="0" maxLength="100" border="1" gradient="0">
              <x14:cfvo type="num">
                <xm:f>0</xm:f>
              </x14:cfvo>
              <x14:cfvo type="num">
                <xm:f>1</xm:f>
              </x14:cfvo>
              <x14:borderColor theme="0"/>
              <x14:negativeFillColor rgb="FFFF0000"/>
              <x14:axisColor rgb="FF000000"/>
            </x14:dataBar>
          </x14:cfRule>
          <xm:sqref>N3317</xm:sqref>
        </x14:conditionalFormatting>
        <x14:conditionalFormatting xmlns:xm="http://schemas.microsoft.com/office/excel/2006/main">
          <x14:cfRule type="dataBar" id="{818BEBE5-525E-442B-8020-B58217EA084F}">
            <x14:dataBar minLength="0" maxLength="100" border="1" gradient="0">
              <x14:cfvo type="num">
                <xm:f>0</xm:f>
              </x14:cfvo>
              <x14:cfvo type="num">
                <xm:f>1</xm:f>
              </x14:cfvo>
              <x14:borderColor theme="0"/>
              <x14:negativeFillColor rgb="FFFF0000"/>
              <x14:axisColor rgb="FF000000"/>
            </x14:dataBar>
          </x14:cfRule>
          <xm:sqref>N3319 N3321</xm:sqref>
        </x14:conditionalFormatting>
        <x14:conditionalFormatting xmlns:xm="http://schemas.microsoft.com/office/excel/2006/main">
          <x14:cfRule type="dataBar" id="{5D600C2C-488F-401F-A948-BD5DA66EF9D7}">
            <x14:dataBar minLength="0" maxLength="100" border="1" gradient="0">
              <x14:cfvo type="num">
                <xm:f>0</xm:f>
              </x14:cfvo>
              <x14:cfvo type="num">
                <xm:f>1</xm:f>
              </x14:cfvo>
              <x14:borderColor theme="0"/>
              <x14:negativeFillColor rgb="FFFF0000"/>
              <x14:axisColor rgb="FF000000"/>
            </x14:dataBar>
          </x14:cfRule>
          <xm:sqref>N3325</xm:sqref>
        </x14:conditionalFormatting>
        <x14:conditionalFormatting xmlns:xm="http://schemas.microsoft.com/office/excel/2006/main">
          <x14:cfRule type="dataBar" id="{343B86CC-46D3-4E7B-BC36-A666B6A48AAF}">
            <x14:dataBar minLength="0" maxLength="100" border="1" gradient="0">
              <x14:cfvo type="num">
                <xm:f>0</xm:f>
              </x14:cfvo>
              <x14:cfvo type="num">
                <xm:f>1</xm:f>
              </x14:cfvo>
              <x14:borderColor theme="0"/>
              <x14:negativeFillColor rgb="FFFF0000"/>
              <x14:axisColor rgb="FF000000"/>
            </x14:dataBar>
          </x14:cfRule>
          <xm:sqref>N3329</xm:sqref>
        </x14:conditionalFormatting>
        <x14:conditionalFormatting xmlns:xm="http://schemas.microsoft.com/office/excel/2006/main">
          <x14:cfRule type="dataBar" id="{6750EAA3-0059-4E2F-9076-075DA1E754AD}">
            <x14:dataBar minLength="0" maxLength="100" border="1" gradient="0">
              <x14:cfvo type="num">
                <xm:f>0</xm:f>
              </x14:cfvo>
              <x14:cfvo type="num">
                <xm:f>1</xm:f>
              </x14:cfvo>
              <x14:borderColor theme="0"/>
              <x14:negativeFillColor rgb="FFFF0000"/>
              <x14:axisColor rgb="FF000000"/>
            </x14:dataBar>
          </x14:cfRule>
          <xm:sqref>N3331</xm:sqref>
        </x14:conditionalFormatting>
        <x14:conditionalFormatting xmlns:xm="http://schemas.microsoft.com/office/excel/2006/main">
          <x14:cfRule type="dataBar" id="{956A2F84-6014-4771-A6A4-F0DE3758C547}">
            <x14:dataBar minLength="0" maxLength="100" border="1" gradient="0">
              <x14:cfvo type="num">
                <xm:f>0</xm:f>
              </x14:cfvo>
              <x14:cfvo type="num">
                <xm:f>1</xm:f>
              </x14:cfvo>
              <x14:borderColor theme="0"/>
              <x14:negativeFillColor rgb="FFFF0000"/>
              <x14:axisColor rgb="FF000000"/>
            </x14:dataBar>
          </x14:cfRule>
          <xm:sqref>N3333</xm:sqref>
        </x14:conditionalFormatting>
        <x14:conditionalFormatting xmlns:xm="http://schemas.microsoft.com/office/excel/2006/main">
          <x14:cfRule type="dataBar" id="{691FE2B8-B444-43A1-94C2-7554A5F176E8}">
            <x14:dataBar minLength="0" maxLength="100" border="1" gradient="0">
              <x14:cfvo type="num">
                <xm:f>0</xm:f>
              </x14:cfvo>
              <x14:cfvo type="num">
                <xm:f>1</xm:f>
              </x14:cfvo>
              <x14:borderColor theme="0"/>
              <x14:negativeFillColor rgb="FFFF0000"/>
              <x14:axisColor rgb="FF000000"/>
            </x14:dataBar>
          </x14:cfRule>
          <xm:sqref>N3335</xm:sqref>
        </x14:conditionalFormatting>
        <x14:conditionalFormatting xmlns:xm="http://schemas.microsoft.com/office/excel/2006/main">
          <x14:cfRule type="dataBar" id="{E1C74F6C-3A1F-4B1F-8EC7-02AD8615BE0C}">
            <x14:dataBar minLength="0" maxLength="100" border="1" gradient="0">
              <x14:cfvo type="num">
                <xm:f>0</xm:f>
              </x14:cfvo>
              <x14:cfvo type="num">
                <xm:f>1</xm:f>
              </x14:cfvo>
              <x14:borderColor theme="0"/>
              <x14:negativeFillColor rgb="FFFF0000"/>
              <x14:axisColor rgb="FF000000"/>
            </x14:dataBar>
          </x14:cfRule>
          <xm:sqref>N3337</xm:sqref>
        </x14:conditionalFormatting>
        <x14:conditionalFormatting xmlns:xm="http://schemas.microsoft.com/office/excel/2006/main">
          <x14:cfRule type="dataBar" id="{CE118095-EABA-4BDF-A348-4A972D50CB69}">
            <x14:dataBar minLength="0" maxLength="100" border="1" gradient="0">
              <x14:cfvo type="num">
                <xm:f>0</xm:f>
              </x14:cfvo>
              <x14:cfvo type="num">
                <xm:f>1</xm:f>
              </x14:cfvo>
              <x14:borderColor theme="0"/>
              <x14:negativeFillColor rgb="FFFF0000"/>
              <x14:axisColor rgb="FF000000"/>
            </x14:dataBar>
          </x14:cfRule>
          <xm:sqref>N3339</xm:sqref>
        </x14:conditionalFormatting>
        <x14:conditionalFormatting xmlns:xm="http://schemas.microsoft.com/office/excel/2006/main">
          <x14:cfRule type="dataBar" id="{5609688B-B948-4F87-8C89-C93DDFD88B2D}">
            <x14:dataBar minLength="0" maxLength="100" border="1" gradient="0">
              <x14:cfvo type="num">
                <xm:f>0</xm:f>
              </x14:cfvo>
              <x14:cfvo type="num">
                <xm:f>1</xm:f>
              </x14:cfvo>
              <x14:borderColor theme="0"/>
              <x14:negativeFillColor rgb="FFFF0000"/>
              <x14:axisColor rgb="FF000000"/>
            </x14:dataBar>
          </x14:cfRule>
          <xm:sqref>N3341</xm:sqref>
        </x14:conditionalFormatting>
        <x14:conditionalFormatting xmlns:xm="http://schemas.microsoft.com/office/excel/2006/main">
          <x14:cfRule type="dataBar" id="{1B3F97A0-BD88-452F-89E4-B337A1EFB7BF}">
            <x14:dataBar minLength="0" maxLength="100" border="1" gradient="0">
              <x14:cfvo type="num">
                <xm:f>0</xm:f>
              </x14:cfvo>
              <x14:cfvo type="num">
                <xm:f>1</xm:f>
              </x14:cfvo>
              <x14:borderColor theme="0"/>
              <x14:negativeFillColor rgb="FFFF0000"/>
              <x14:axisColor rgb="FF000000"/>
            </x14:dataBar>
          </x14:cfRule>
          <xm:sqref>N3343</xm:sqref>
        </x14:conditionalFormatting>
        <x14:conditionalFormatting xmlns:xm="http://schemas.microsoft.com/office/excel/2006/main">
          <x14:cfRule type="dataBar" id="{E8DF13B3-ED3A-4EC4-B424-6F76F866E865}">
            <x14:dataBar minLength="0" maxLength="100" border="1" gradient="0">
              <x14:cfvo type="num">
                <xm:f>0</xm:f>
              </x14:cfvo>
              <x14:cfvo type="num">
                <xm:f>1</xm:f>
              </x14:cfvo>
              <x14:borderColor theme="0"/>
              <x14:negativeFillColor rgb="FFFF0000"/>
              <x14:axisColor rgb="FF000000"/>
            </x14:dataBar>
          </x14:cfRule>
          <xm:sqref>N3345</xm:sqref>
        </x14:conditionalFormatting>
        <x14:conditionalFormatting xmlns:xm="http://schemas.microsoft.com/office/excel/2006/main">
          <x14:cfRule type="dataBar" id="{737C057F-5ED1-4517-9496-C460E5210F12}">
            <x14:dataBar minLength="0" maxLength="100" border="1" gradient="0">
              <x14:cfvo type="num">
                <xm:f>0</xm:f>
              </x14:cfvo>
              <x14:cfvo type="num">
                <xm:f>1</xm:f>
              </x14:cfvo>
              <x14:borderColor theme="0"/>
              <x14:negativeFillColor rgb="FFFF0000"/>
              <x14:axisColor rgb="FF000000"/>
            </x14:dataBar>
          </x14:cfRule>
          <xm:sqref>N3347</xm:sqref>
        </x14:conditionalFormatting>
        <x14:conditionalFormatting xmlns:xm="http://schemas.microsoft.com/office/excel/2006/main">
          <x14:cfRule type="dataBar" id="{4A8C2A07-1A8C-4777-8F46-852F2BF67BC1}">
            <x14:dataBar minLength="0" maxLength="100" border="1" gradient="0">
              <x14:cfvo type="num">
                <xm:f>0</xm:f>
              </x14:cfvo>
              <x14:cfvo type="num">
                <xm:f>1</xm:f>
              </x14:cfvo>
              <x14:borderColor theme="0"/>
              <x14:negativeFillColor rgb="FFFF0000"/>
              <x14:axisColor rgb="FF000000"/>
            </x14:dataBar>
          </x14:cfRule>
          <xm:sqref>N3350</xm:sqref>
        </x14:conditionalFormatting>
        <x14:conditionalFormatting xmlns:xm="http://schemas.microsoft.com/office/excel/2006/main">
          <x14:cfRule type="dataBar" id="{F18DC9D5-8A6F-400E-BDAC-DFDFDDAC5EAA}">
            <x14:dataBar minLength="0" maxLength="100" border="1" gradient="0">
              <x14:cfvo type="num">
                <xm:f>0</xm:f>
              </x14:cfvo>
              <x14:cfvo type="num">
                <xm:f>1</xm:f>
              </x14:cfvo>
              <x14:borderColor theme="0"/>
              <x14:negativeFillColor rgb="FFFF0000"/>
              <x14:axisColor rgb="FF000000"/>
            </x14:dataBar>
          </x14:cfRule>
          <xm:sqref>N3352</xm:sqref>
        </x14:conditionalFormatting>
        <x14:conditionalFormatting xmlns:xm="http://schemas.microsoft.com/office/excel/2006/main">
          <x14:cfRule type="dataBar" id="{1148C6BD-DF4E-4CBE-B8C1-B6B2A542DEEA}">
            <x14:dataBar minLength="0" maxLength="100" border="1" gradient="0">
              <x14:cfvo type="num">
                <xm:f>0</xm:f>
              </x14:cfvo>
              <x14:cfvo type="num">
                <xm:f>1</xm:f>
              </x14:cfvo>
              <x14:borderColor theme="0"/>
              <x14:negativeFillColor rgb="FFFF0000"/>
              <x14:axisColor rgb="FF000000"/>
            </x14:dataBar>
          </x14:cfRule>
          <xm:sqref>N3354</xm:sqref>
        </x14:conditionalFormatting>
        <x14:conditionalFormatting xmlns:xm="http://schemas.microsoft.com/office/excel/2006/main">
          <x14:cfRule type="dataBar" id="{43EE958A-A824-4AB6-8644-F0205FE13248}">
            <x14:dataBar minLength="0" maxLength="100" border="1" gradient="0">
              <x14:cfvo type="num">
                <xm:f>0</xm:f>
              </x14:cfvo>
              <x14:cfvo type="num">
                <xm:f>1</xm:f>
              </x14:cfvo>
              <x14:borderColor theme="0"/>
              <x14:negativeFillColor rgb="FFFF0000"/>
              <x14:axisColor rgb="FF000000"/>
            </x14:dataBar>
          </x14:cfRule>
          <xm:sqref>N3356</xm:sqref>
        </x14:conditionalFormatting>
        <x14:conditionalFormatting xmlns:xm="http://schemas.microsoft.com/office/excel/2006/main">
          <x14:cfRule type="dataBar" id="{657AC0F8-BCAD-4696-A294-F4ADF971CBDB}">
            <x14:dataBar minLength="0" maxLength="100" border="1" gradient="0">
              <x14:cfvo type="num">
                <xm:f>0</xm:f>
              </x14:cfvo>
              <x14:cfvo type="num">
                <xm:f>1</xm:f>
              </x14:cfvo>
              <x14:borderColor theme="0"/>
              <x14:negativeFillColor rgb="FFFF0000"/>
              <x14:axisColor rgb="FF000000"/>
            </x14:dataBar>
          </x14:cfRule>
          <xm:sqref>N3358</xm:sqref>
        </x14:conditionalFormatting>
        <x14:conditionalFormatting xmlns:xm="http://schemas.microsoft.com/office/excel/2006/main">
          <x14:cfRule type="dataBar" id="{D099852C-7022-4ADD-A72D-F9A25C2315E9}">
            <x14:dataBar minLength="0" maxLength="100" border="1" gradient="0">
              <x14:cfvo type="num">
                <xm:f>0</xm:f>
              </x14:cfvo>
              <x14:cfvo type="num">
                <xm:f>1</xm:f>
              </x14:cfvo>
              <x14:borderColor theme="0"/>
              <x14:negativeFillColor rgb="FFFF0000"/>
              <x14:axisColor rgb="FF000000"/>
            </x14:dataBar>
          </x14:cfRule>
          <xm:sqref>N3360</xm:sqref>
        </x14:conditionalFormatting>
        <x14:conditionalFormatting xmlns:xm="http://schemas.microsoft.com/office/excel/2006/main">
          <x14:cfRule type="dataBar" id="{2BC3A407-F16B-4BE5-A4CE-73555E8E9A7E}">
            <x14:dataBar minLength="0" maxLength="100" border="1" gradient="0">
              <x14:cfvo type="num">
                <xm:f>0</xm:f>
              </x14:cfvo>
              <x14:cfvo type="num">
                <xm:f>1</xm:f>
              </x14:cfvo>
              <x14:borderColor theme="0"/>
              <x14:negativeFillColor rgb="FFFF0000"/>
              <x14:axisColor rgb="FF000000"/>
            </x14:dataBar>
          </x14:cfRule>
          <xm:sqref>N3362</xm:sqref>
        </x14:conditionalFormatting>
        <x14:conditionalFormatting xmlns:xm="http://schemas.microsoft.com/office/excel/2006/main">
          <x14:cfRule type="dataBar" id="{ABF9557E-139A-43F0-AC3A-F929E4EF6390}">
            <x14:dataBar minLength="0" maxLength="100" border="1" gradient="0">
              <x14:cfvo type="num">
                <xm:f>0</xm:f>
              </x14:cfvo>
              <x14:cfvo type="num">
                <xm:f>1</xm:f>
              </x14:cfvo>
              <x14:borderColor theme="0"/>
              <x14:negativeFillColor rgb="FFFF0000"/>
              <x14:axisColor rgb="FF000000"/>
            </x14:dataBar>
          </x14:cfRule>
          <xm:sqref>N3365</xm:sqref>
        </x14:conditionalFormatting>
        <x14:conditionalFormatting xmlns:xm="http://schemas.microsoft.com/office/excel/2006/main">
          <x14:cfRule type="dataBar" id="{F2363769-8697-4FD2-8888-BB6D2EEDF9B6}">
            <x14:dataBar minLength="0" maxLength="100" border="1" gradient="0">
              <x14:cfvo type="num">
                <xm:f>0</xm:f>
              </x14:cfvo>
              <x14:cfvo type="num">
                <xm:f>1</xm:f>
              </x14:cfvo>
              <x14:borderColor theme="0"/>
              <x14:negativeFillColor rgb="FFFF0000"/>
              <x14:axisColor rgb="FF000000"/>
            </x14:dataBar>
          </x14:cfRule>
          <xm:sqref>N3367</xm:sqref>
        </x14:conditionalFormatting>
        <x14:conditionalFormatting xmlns:xm="http://schemas.microsoft.com/office/excel/2006/main">
          <x14:cfRule type="dataBar" id="{6279C5CF-F1A0-4C61-A7A7-121AEAA03ADC}">
            <x14:dataBar minLength="0" maxLength="100" border="1" gradient="0">
              <x14:cfvo type="num">
                <xm:f>0</xm:f>
              </x14:cfvo>
              <x14:cfvo type="num">
                <xm:f>1</xm:f>
              </x14:cfvo>
              <x14:borderColor theme="0"/>
              <x14:negativeFillColor rgb="FFFF0000"/>
              <x14:axisColor rgb="FF000000"/>
            </x14:dataBar>
          </x14:cfRule>
          <xm:sqref>N3369</xm:sqref>
        </x14:conditionalFormatting>
        <x14:conditionalFormatting xmlns:xm="http://schemas.microsoft.com/office/excel/2006/main">
          <x14:cfRule type="dataBar" id="{7B510108-1660-4578-AAB9-CC4F3464C38F}">
            <x14:dataBar minLength="0" maxLength="100" border="1" gradient="0">
              <x14:cfvo type="num">
                <xm:f>0</xm:f>
              </x14:cfvo>
              <x14:cfvo type="num">
                <xm:f>1</xm:f>
              </x14:cfvo>
              <x14:borderColor theme="0"/>
              <x14:negativeFillColor rgb="FFFF0000"/>
              <x14:axisColor rgb="FF000000"/>
            </x14:dataBar>
          </x14:cfRule>
          <xm:sqref>N3371</xm:sqref>
        </x14:conditionalFormatting>
        <x14:conditionalFormatting xmlns:xm="http://schemas.microsoft.com/office/excel/2006/main">
          <x14:cfRule type="dataBar" id="{2B8744FE-751A-4C81-AFD7-7A422212E5C0}">
            <x14:dataBar minLength="0" maxLength="100" border="1" gradient="0">
              <x14:cfvo type="num">
                <xm:f>0</xm:f>
              </x14:cfvo>
              <x14:cfvo type="num">
                <xm:f>1</xm:f>
              </x14:cfvo>
              <x14:borderColor theme="0"/>
              <x14:negativeFillColor rgb="FFFF0000"/>
              <x14:axisColor rgb="FF000000"/>
            </x14:dataBar>
          </x14:cfRule>
          <xm:sqref>N3373</xm:sqref>
        </x14:conditionalFormatting>
        <x14:conditionalFormatting xmlns:xm="http://schemas.microsoft.com/office/excel/2006/main">
          <x14:cfRule type="dataBar" id="{6B57A787-DA9D-4566-BDC1-3151ECB9FBA8}">
            <x14:dataBar minLength="0" maxLength="100" border="1" gradient="0">
              <x14:cfvo type="num">
                <xm:f>0</xm:f>
              </x14:cfvo>
              <x14:cfvo type="num">
                <xm:f>1</xm:f>
              </x14:cfvo>
              <x14:borderColor theme="0"/>
              <x14:negativeFillColor rgb="FFFF0000"/>
              <x14:axisColor rgb="FF000000"/>
            </x14:dataBar>
          </x14:cfRule>
          <xm:sqref>N3377</xm:sqref>
        </x14:conditionalFormatting>
        <x14:conditionalFormatting xmlns:xm="http://schemas.microsoft.com/office/excel/2006/main">
          <x14:cfRule type="dataBar" id="{2710A2D2-0590-459D-9CC5-5191E4AF5925}">
            <x14:dataBar minLength="0" maxLength="100" border="1" gradient="0">
              <x14:cfvo type="num">
                <xm:f>0</xm:f>
              </x14:cfvo>
              <x14:cfvo type="num">
                <xm:f>1</xm:f>
              </x14:cfvo>
              <x14:borderColor theme="0"/>
              <x14:negativeFillColor rgb="FFFF0000"/>
              <x14:axisColor rgb="FF000000"/>
            </x14:dataBar>
          </x14:cfRule>
          <xm:sqref>N3381</xm:sqref>
        </x14:conditionalFormatting>
        <x14:conditionalFormatting xmlns:xm="http://schemas.microsoft.com/office/excel/2006/main">
          <x14:cfRule type="dataBar" id="{3C74B7A2-615F-40BA-8C30-AFAFE69415FE}">
            <x14:dataBar minLength="0" maxLength="100" border="1" gradient="0">
              <x14:cfvo type="num">
                <xm:f>0</xm:f>
              </x14:cfvo>
              <x14:cfvo type="num">
                <xm:f>1</xm:f>
              </x14:cfvo>
              <x14:borderColor theme="0"/>
              <x14:negativeFillColor rgb="FFFF0000"/>
              <x14:axisColor rgb="FF000000"/>
            </x14:dataBar>
          </x14:cfRule>
          <xm:sqref>N3385 N3383</xm:sqref>
        </x14:conditionalFormatting>
        <x14:conditionalFormatting xmlns:xm="http://schemas.microsoft.com/office/excel/2006/main">
          <x14:cfRule type="dataBar" id="{DA38CC70-CD0C-4EEC-A5CC-1E8D7F1670B2}">
            <x14:dataBar minLength="0" maxLength="100" border="1" gradient="0">
              <x14:cfvo type="num">
                <xm:f>0</xm:f>
              </x14:cfvo>
              <x14:cfvo type="num">
                <xm:f>1</xm:f>
              </x14:cfvo>
              <x14:borderColor theme="0"/>
              <x14:negativeFillColor rgb="FFFF0000"/>
              <x14:axisColor rgb="FF000000"/>
            </x14:dataBar>
          </x14:cfRule>
          <xm:sqref>N3387</xm:sqref>
        </x14:conditionalFormatting>
        <x14:conditionalFormatting xmlns:xm="http://schemas.microsoft.com/office/excel/2006/main">
          <x14:cfRule type="dataBar" id="{7A7333F8-45F0-4752-B487-B9265B7193AA}">
            <x14:dataBar minLength="0" maxLength="100" border="1" gradient="0">
              <x14:cfvo type="num">
                <xm:f>0</xm:f>
              </x14:cfvo>
              <x14:cfvo type="num">
                <xm:f>1</xm:f>
              </x14:cfvo>
              <x14:borderColor theme="0"/>
              <x14:negativeFillColor rgb="FFFF0000"/>
              <x14:axisColor rgb="FF000000"/>
            </x14:dataBar>
          </x14:cfRule>
          <xm:sqref>N3389</xm:sqref>
        </x14:conditionalFormatting>
        <x14:conditionalFormatting xmlns:xm="http://schemas.microsoft.com/office/excel/2006/main">
          <x14:cfRule type="dataBar" id="{97043B40-0FBF-4EB1-847C-7BD548840D78}">
            <x14:dataBar minLength="0" maxLength="100" border="1" gradient="0">
              <x14:cfvo type="num">
                <xm:f>0</xm:f>
              </x14:cfvo>
              <x14:cfvo type="num">
                <xm:f>1</xm:f>
              </x14:cfvo>
              <x14:borderColor theme="0"/>
              <x14:negativeFillColor rgb="FFFF0000"/>
              <x14:axisColor rgb="FF000000"/>
            </x14:dataBar>
          </x14:cfRule>
          <xm:sqref>N3391</xm:sqref>
        </x14:conditionalFormatting>
        <x14:conditionalFormatting xmlns:xm="http://schemas.microsoft.com/office/excel/2006/main">
          <x14:cfRule type="dataBar" id="{FC8989FE-3DDC-43B7-BA64-8CFE7B493316}">
            <x14:dataBar minLength="0" maxLength="100" border="1" gradient="0">
              <x14:cfvo type="num">
                <xm:f>0</xm:f>
              </x14:cfvo>
              <x14:cfvo type="num">
                <xm:f>1</xm:f>
              </x14:cfvo>
              <x14:borderColor theme="0"/>
              <x14:negativeFillColor rgb="FFFF0000"/>
              <x14:axisColor rgb="FF000000"/>
            </x14:dataBar>
          </x14:cfRule>
          <xm:sqref>N3393</xm:sqref>
        </x14:conditionalFormatting>
        <x14:conditionalFormatting xmlns:xm="http://schemas.microsoft.com/office/excel/2006/main">
          <x14:cfRule type="dataBar" id="{9709191F-FFAE-4F60-AA91-E835161C882A}">
            <x14:dataBar minLength="0" maxLength="100" border="1" gradient="0">
              <x14:cfvo type="num">
                <xm:f>0</xm:f>
              </x14:cfvo>
              <x14:cfvo type="num">
                <xm:f>1</xm:f>
              </x14:cfvo>
              <x14:borderColor theme="0"/>
              <x14:negativeFillColor rgb="FFFF0000"/>
              <x14:axisColor rgb="FF000000"/>
            </x14:dataBar>
          </x14:cfRule>
          <xm:sqref>N3395</xm:sqref>
        </x14:conditionalFormatting>
        <x14:conditionalFormatting xmlns:xm="http://schemas.microsoft.com/office/excel/2006/main">
          <x14:cfRule type="dataBar" id="{686FA766-DA90-4430-A46D-BA1C511DCFA0}">
            <x14:dataBar minLength="0" maxLength="100" border="1" gradient="0">
              <x14:cfvo type="num">
                <xm:f>0</xm:f>
              </x14:cfvo>
              <x14:cfvo type="num">
                <xm:f>1</xm:f>
              </x14:cfvo>
              <x14:borderColor theme="0"/>
              <x14:negativeFillColor rgb="FFFF0000"/>
              <x14:axisColor rgb="FF000000"/>
            </x14:dataBar>
          </x14:cfRule>
          <xm:sqref>N3397</xm:sqref>
        </x14:conditionalFormatting>
        <x14:conditionalFormatting xmlns:xm="http://schemas.microsoft.com/office/excel/2006/main">
          <x14:cfRule type="dataBar" id="{06252446-53C6-4641-A59A-56A0D6098280}">
            <x14:dataBar minLength="0" maxLength="100" border="1" gradient="0">
              <x14:cfvo type="num">
                <xm:f>0</xm:f>
              </x14:cfvo>
              <x14:cfvo type="num">
                <xm:f>1</xm:f>
              </x14:cfvo>
              <x14:borderColor theme="0"/>
              <x14:negativeFillColor rgb="FFFF0000"/>
              <x14:axisColor rgb="FF000000"/>
            </x14:dataBar>
          </x14:cfRule>
          <xm:sqref>N3399</xm:sqref>
        </x14:conditionalFormatting>
        <x14:conditionalFormatting xmlns:xm="http://schemas.microsoft.com/office/excel/2006/main">
          <x14:cfRule type="dataBar" id="{8BDB3EA7-AF4E-43FE-87BD-25D27EB54D40}">
            <x14:dataBar minLength="0" maxLength="100" border="1" gradient="0">
              <x14:cfvo type="num">
                <xm:f>0</xm:f>
              </x14:cfvo>
              <x14:cfvo type="num">
                <xm:f>1</xm:f>
              </x14:cfvo>
              <x14:borderColor theme="0"/>
              <x14:negativeFillColor rgb="FFFF0000"/>
              <x14:axisColor rgb="FF000000"/>
            </x14:dataBar>
          </x14:cfRule>
          <xm:sqref>N3401</xm:sqref>
        </x14:conditionalFormatting>
        <x14:conditionalFormatting xmlns:xm="http://schemas.microsoft.com/office/excel/2006/main">
          <x14:cfRule type="dataBar" id="{54522013-E926-4017-B31B-82504E1B50F1}">
            <x14:dataBar minLength="0" maxLength="100" border="1" gradient="0">
              <x14:cfvo type="num">
                <xm:f>0</xm:f>
              </x14:cfvo>
              <x14:cfvo type="num">
                <xm:f>1</xm:f>
              </x14:cfvo>
              <x14:borderColor theme="0"/>
              <x14:negativeFillColor rgb="FFFF0000"/>
              <x14:axisColor rgb="FF000000"/>
            </x14:dataBar>
          </x14:cfRule>
          <xm:sqref>N3403</xm:sqref>
        </x14:conditionalFormatting>
        <x14:conditionalFormatting xmlns:xm="http://schemas.microsoft.com/office/excel/2006/main">
          <x14:cfRule type="dataBar" id="{A43FF0C3-B914-425D-B647-1D5361FF9786}">
            <x14:dataBar minLength="0" maxLength="100" border="1" gradient="0">
              <x14:cfvo type="num">
                <xm:f>0</xm:f>
              </x14:cfvo>
              <x14:cfvo type="num">
                <xm:f>1</xm:f>
              </x14:cfvo>
              <x14:borderColor theme="0"/>
              <x14:negativeFillColor rgb="FFFF0000"/>
              <x14:axisColor rgb="FF000000"/>
            </x14:dataBar>
          </x14:cfRule>
          <xm:sqref>N3405</xm:sqref>
        </x14:conditionalFormatting>
        <x14:conditionalFormatting xmlns:xm="http://schemas.microsoft.com/office/excel/2006/main">
          <x14:cfRule type="dataBar" id="{F66514FC-0037-4389-8B23-1D117CE1E0C9}">
            <x14:dataBar minLength="0" maxLength="100" border="1" gradient="0">
              <x14:cfvo type="num">
                <xm:f>0</xm:f>
              </x14:cfvo>
              <x14:cfvo type="num">
                <xm:f>1</xm:f>
              </x14:cfvo>
              <x14:borderColor theme="0"/>
              <x14:negativeFillColor rgb="FFFF0000"/>
              <x14:axisColor rgb="FF000000"/>
            </x14:dataBar>
          </x14:cfRule>
          <xm:sqref>N3407</xm:sqref>
        </x14:conditionalFormatting>
        <x14:conditionalFormatting xmlns:xm="http://schemas.microsoft.com/office/excel/2006/main">
          <x14:cfRule type="dataBar" id="{CCF83704-2E00-4829-BCBF-880943A7752E}">
            <x14:dataBar minLength="0" maxLength="100" border="1" gradient="0">
              <x14:cfvo type="num">
                <xm:f>0</xm:f>
              </x14:cfvo>
              <x14:cfvo type="num">
                <xm:f>1</xm:f>
              </x14:cfvo>
              <x14:borderColor theme="0"/>
              <x14:negativeFillColor rgb="FFFF0000"/>
              <x14:axisColor rgb="FF000000"/>
            </x14:dataBar>
          </x14:cfRule>
          <xm:sqref>N3409</xm:sqref>
        </x14:conditionalFormatting>
        <x14:conditionalFormatting xmlns:xm="http://schemas.microsoft.com/office/excel/2006/main">
          <x14:cfRule type="dataBar" id="{00CAFC3A-1764-46A4-9D9A-F57AF553D0F7}">
            <x14:dataBar minLength="0" maxLength="100" border="1" gradient="0">
              <x14:cfvo type="num">
                <xm:f>0</xm:f>
              </x14:cfvo>
              <x14:cfvo type="num">
                <xm:f>1</xm:f>
              </x14:cfvo>
              <x14:borderColor theme="0"/>
              <x14:negativeFillColor rgb="FFFF0000"/>
              <x14:axisColor rgb="FF000000"/>
            </x14:dataBar>
          </x14:cfRule>
          <xm:sqref>N3411</xm:sqref>
        </x14:conditionalFormatting>
        <x14:conditionalFormatting xmlns:xm="http://schemas.microsoft.com/office/excel/2006/main">
          <x14:cfRule type="dataBar" id="{6CF78B0B-2EE5-4AF2-AC83-5F59D34B3099}">
            <x14:dataBar minLength="0" maxLength="100" border="1" gradient="0">
              <x14:cfvo type="num">
                <xm:f>0</xm:f>
              </x14:cfvo>
              <x14:cfvo type="num">
                <xm:f>1</xm:f>
              </x14:cfvo>
              <x14:borderColor theme="0"/>
              <x14:negativeFillColor rgb="FFFF0000"/>
              <x14:axisColor rgb="FF000000"/>
            </x14:dataBar>
          </x14:cfRule>
          <xm:sqref>N3413</xm:sqref>
        </x14:conditionalFormatting>
        <x14:conditionalFormatting xmlns:xm="http://schemas.microsoft.com/office/excel/2006/main">
          <x14:cfRule type="dataBar" id="{41247AE6-5918-4625-B078-5403BF03026D}">
            <x14:dataBar minLength="0" maxLength="100" border="1" gradient="0">
              <x14:cfvo type="num">
                <xm:f>0</xm:f>
              </x14:cfvo>
              <x14:cfvo type="num">
                <xm:f>1</xm:f>
              </x14:cfvo>
              <x14:borderColor theme="0"/>
              <x14:negativeFillColor rgb="FFFF0000"/>
              <x14:axisColor rgb="FF000000"/>
            </x14:dataBar>
          </x14:cfRule>
          <xm:sqref>N3416</xm:sqref>
        </x14:conditionalFormatting>
        <x14:conditionalFormatting xmlns:xm="http://schemas.microsoft.com/office/excel/2006/main">
          <x14:cfRule type="dataBar" id="{3397553F-F96E-4E25-916C-247CAF59377E}">
            <x14:dataBar minLength="0" maxLength="100" border="1" gradient="0">
              <x14:cfvo type="num">
                <xm:f>0</xm:f>
              </x14:cfvo>
              <x14:cfvo type="num">
                <xm:f>1</xm:f>
              </x14:cfvo>
              <x14:borderColor theme="0"/>
              <x14:negativeFillColor rgb="FFFF0000"/>
              <x14:axisColor rgb="FF000000"/>
            </x14:dataBar>
          </x14:cfRule>
          <xm:sqref>N3418</xm:sqref>
        </x14:conditionalFormatting>
        <x14:conditionalFormatting xmlns:xm="http://schemas.microsoft.com/office/excel/2006/main">
          <x14:cfRule type="dataBar" id="{D177584D-527C-4A29-8E02-AE039ACB8000}">
            <x14:dataBar minLength="0" maxLength="100" border="1" gradient="0">
              <x14:cfvo type="num">
                <xm:f>0</xm:f>
              </x14:cfvo>
              <x14:cfvo type="num">
                <xm:f>1</xm:f>
              </x14:cfvo>
              <x14:borderColor theme="0"/>
              <x14:negativeFillColor rgb="FFFF0000"/>
              <x14:axisColor rgb="FF000000"/>
            </x14:dataBar>
          </x14:cfRule>
          <xm:sqref>N3420</xm:sqref>
        </x14:conditionalFormatting>
        <x14:conditionalFormatting xmlns:xm="http://schemas.microsoft.com/office/excel/2006/main">
          <x14:cfRule type="dataBar" id="{82963B78-B659-46A6-8144-7246B40BCF5A}">
            <x14:dataBar minLength="0" maxLength="100" border="1" gradient="0">
              <x14:cfvo type="num">
                <xm:f>0</xm:f>
              </x14:cfvo>
              <x14:cfvo type="num">
                <xm:f>1</xm:f>
              </x14:cfvo>
              <x14:borderColor theme="0"/>
              <x14:negativeFillColor rgb="FFFF0000"/>
              <x14:axisColor rgb="FF000000"/>
            </x14:dataBar>
          </x14:cfRule>
          <xm:sqref>N3422</xm:sqref>
        </x14:conditionalFormatting>
        <x14:conditionalFormatting xmlns:xm="http://schemas.microsoft.com/office/excel/2006/main">
          <x14:cfRule type="dataBar" id="{CB94D03B-C9C2-4824-AE15-9B3572C52B85}">
            <x14:dataBar minLength="0" maxLength="100" border="1" gradient="0">
              <x14:cfvo type="num">
                <xm:f>0</xm:f>
              </x14:cfvo>
              <x14:cfvo type="num">
                <xm:f>1</xm:f>
              </x14:cfvo>
              <x14:borderColor theme="0"/>
              <x14:negativeFillColor rgb="FFFF0000"/>
              <x14:axisColor rgb="FF000000"/>
            </x14:dataBar>
          </x14:cfRule>
          <xm:sqref>N3424</xm:sqref>
        </x14:conditionalFormatting>
        <x14:conditionalFormatting xmlns:xm="http://schemas.microsoft.com/office/excel/2006/main">
          <x14:cfRule type="dataBar" id="{0F4C3133-2A9F-4976-9B07-E5F26C84EA36}">
            <x14:dataBar minLength="0" maxLength="100" border="1" gradient="0">
              <x14:cfvo type="num">
                <xm:f>0</xm:f>
              </x14:cfvo>
              <x14:cfvo type="num">
                <xm:f>1</xm:f>
              </x14:cfvo>
              <x14:borderColor theme="0"/>
              <x14:negativeFillColor rgb="FFFF0000"/>
              <x14:axisColor rgb="FF000000"/>
            </x14:dataBar>
          </x14:cfRule>
          <xm:sqref>N3426</xm:sqref>
        </x14:conditionalFormatting>
        <x14:conditionalFormatting xmlns:xm="http://schemas.microsoft.com/office/excel/2006/main">
          <x14:cfRule type="dataBar" id="{4A3ABE10-D4E0-4D33-94CA-F2628B10FFD2}">
            <x14:dataBar minLength="0" maxLength="100" border="1" gradient="0">
              <x14:cfvo type="num">
                <xm:f>0</xm:f>
              </x14:cfvo>
              <x14:cfvo type="num">
                <xm:f>1</xm:f>
              </x14:cfvo>
              <x14:borderColor theme="0"/>
              <x14:negativeFillColor rgb="FFFF0000"/>
              <x14:axisColor rgb="FF000000"/>
            </x14:dataBar>
          </x14:cfRule>
          <xm:sqref>N3428</xm:sqref>
        </x14:conditionalFormatting>
        <x14:conditionalFormatting xmlns:xm="http://schemas.microsoft.com/office/excel/2006/main">
          <x14:cfRule type="dataBar" id="{EFB0D395-6649-41B1-9ADA-6AB6C8A7DB44}">
            <x14:dataBar minLength="0" maxLength="100" border="1" gradient="0">
              <x14:cfvo type="num">
                <xm:f>0</xm:f>
              </x14:cfvo>
              <x14:cfvo type="num">
                <xm:f>1</xm:f>
              </x14:cfvo>
              <x14:borderColor theme="0"/>
              <x14:negativeFillColor rgb="FFFF0000"/>
              <x14:axisColor rgb="FF000000"/>
            </x14:dataBar>
          </x14:cfRule>
          <xm:sqref>N3430</xm:sqref>
        </x14:conditionalFormatting>
        <x14:conditionalFormatting xmlns:xm="http://schemas.microsoft.com/office/excel/2006/main">
          <x14:cfRule type="dataBar" id="{5F1B6800-F752-4A7A-8B97-1CBD97B6DEC1}">
            <x14:dataBar minLength="0" maxLength="100" border="1" gradient="0">
              <x14:cfvo type="num">
                <xm:f>0</xm:f>
              </x14:cfvo>
              <x14:cfvo type="num">
                <xm:f>1</xm:f>
              </x14:cfvo>
              <x14:borderColor theme="0"/>
              <x14:negativeFillColor rgb="FFFF0000"/>
              <x14:axisColor rgb="FF000000"/>
            </x14:dataBar>
          </x14:cfRule>
          <xm:sqref>N3432</xm:sqref>
        </x14:conditionalFormatting>
        <x14:conditionalFormatting xmlns:xm="http://schemas.microsoft.com/office/excel/2006/main">
          <x14:cfRule type="dataBar" id="{911C3D69-0F90-4D55-999B-7E2C5761F060}">
            <x14:dataBar minLength="0" maxLength="100" border="1" gradient="0">
              <x14:cfvo type="num">
                <xm:f>0</xm:f>
              </x14:cfvo>
              <x14:cfvo type="num">
                <xm:f>1</xm:f>
              </x14:cfvo>
              <x14:borderColor theme="0"/>
              <x14:negativeFillColor rgb="FFFF0000"/>
              <x14:axisColor rgb="FF000000"/>
            </x14:dataBar>
          </x14:cfRule>
          <xm:sqref>N3434</xm:sqref>
        </x14:conditionalFormatting>
        <x14:conditionalFormatting xmlns:xm="http://schemas.microsoft.com/office/excel/2006/main">
          <x14:cfRule type="dataBar" id="{21DE4DC9-90CF-4AE7-BEEA-19829C94E20D}">
            <x14:dataBar minLength="0" maxLength="100" border="1" gradient="0">
              <x14:cfvo type="num">
                <xm:f>0</xm:f>
              </x14:cfvo>
              <x14:cfvo type="num">
                <xm:f>1</xm:f>
              </x14:cfvo>
              <x14:borderColor theme="0"/>
              <x14:negativeFillColor rgb="FFFF0000"/>
              <x14:axisColor rgb="FF000000"/>
            </x14:dataBar>
          </x14:cfRule>
          <xm:sqref>N3436</xm:sqref>
        </x14:conditionalFormatting>
        <x14:conditionalFormatting xmlns:xm="http://schemas.microsoft.com/office/excel/2006/main">
          <x14:cfRule type="dataBar" id="{54E41ED0-D347-4CA1-8C55-7283DA24F26D}">
            <x14:dataBar minLength="0" maxLength="100" border="1" gradient="0">
              <x14:cfvo type="num">
                <xm:f>0</xm:f>
              </x14:cfvo>
              <x14:cfvo type="num">
                <xm:f>1</xm:f>
              </x14:cfvo>
              <x14:borderColor theme="0"/>
              <x14:negativeFillColor rgb="FFFF0000"/>
              <x14:axisColor rgb="FF000000"/>
            </x14:dataBar>
          </x14:cfRule>
          <xm:sqref>N3438</xm:sqref>
        </x14:conditionalFormatting>
        <x14:conditionalFormatting xmlns:xm="http://schemas.microsoft.com/office/excel/2006/main">
          <x14:cfRule type="dataBar" id="{3A0F997A-36DA-4282-89B9-AAA34934A139}">
            <x14:dataBar minLength="0" maxLength="100" border="1" gradient="0">
              <x14:cfvo type="num">
                <xm:f>0</xm:f>
              </x14:cfvo>
              <x14:cfvo type="num">
                <xm:f>1</xm:f>
              </x14:cfvo>
              <x14:borderColor theme="0"/>
              <x14:negativeFillColor rgb="FFFF0000"/>
              <x14:axisColor rgb="FF000000"/>
            </x14:dataBar>
          </x14:cfRule>
          <xm:sqref>N3440</xm:sqref>
        </x14:conditionalFormatting>
        <x14:conditionalFormatting xmlns:xm="http://schemas.microsoft.com/office/excel/2006/main">
          <x14:cfRule type="dataBar" id="{DC168280-D8B7-428D-BD1D-EDF1D7C41676}">
            <x14:dataBar minLength="0" maxLength="100" border="1" gradient="0">
              <x14:cfvo type="num">
                <xm:f>0</xm:f>
              </x14:cfvo>
              <x14:cfvo type="num">
                <xm:f>1</xm:f>
              </x14:cfvo>
              <x14:borderColor theme="0"/>
              <x14:negativeFillColor rgb="FFFF0000"/>
              <x14:axisColor rgb="FF000000"/>
            </x14:dataBar>
          </x14:cfRule>
          <xm:sqref>N3442</xm:sqref>
        </x14:conditionalFormatting>
        <x14:conditionalFormatting xmlns:xm="http://schemas.microsoft.com/office/excel/2006/main">
          <x14:cfRule type="dataBar" id="{F0CB2020-5879-493A-A299-2E3A4B95A55E}">
            <x14:dataBar minLength="0" maxLength="100" border="1" gradient="0">
              <x14:cfvo type="num">
                <xm:f>0</xm:f>
              </x14:cfvo>
              <x14:cfvo type="num">
                <xm:f>1</xm:f>
              </x14:cfvo>
              <x14:borderColor theme="0"/>
              <x14:negativeFillColor rgb="FFFF0000"/>
              <x14:axisColor rgb="FF000000"/>
            </x14:dataBar>
          </x14:cfRule>
          <xm:sqref>N3444</xm:sqref>
        </x14:conditionalFormatting>
        <x14:conditionalFormatting xmlns:xm="http://schemas.microsoft.com/office/excel/2006/main">
          <x14:cfRule type="dataBar" id="{51BEED9A-702E-4B90-9A39-97CAD7F37893}">
            <x14:dataBar minLength="0" maxLength="100" border="1" gradient="0">
              <x14:cfvo type="num">
                <xm:f>0</xm:f>
              </x14:cfvo>
              <x14:cfvo type="num">
                <xm:f>1</xm:f>
              </x14:cfvo>
              <x14:borderColor theme="0"/>
              <x14:negativeFillColor rgb="FFFF0000"/>
              <x14:axisColor rgb="FF000000"/>
            </x14:dataBar>
          </x14:cfRule>
          <xm:sqref>N3446</xm:sqref>
        </x14:conditionalFormatting>
        <x14:conditionalFormatting xmlns:xm="http://schemas.microsoft.com/office/excel/2006/main">
          <x14:cfRule type="dataBar" id="{163265A4-D4CD-48F8-A500-77D3DE723B8B}">
            <x14:dataBar minLength="0" maxLength="100" border="1" gradient="0">
              <x14:cfvo type="num">
                <xm:f>0</xm:f>
              </x14:cfvo>
              <x14:cfvo type="num">
                <xm:f>1</xm:f>
              </x14:cfvo>
              <x14:borderColor theme="0"/>
              <x14:negativeFillColor rgb="FFFF0000"/>
              <x14:axisColor rgb="FF000000"/>
            </x14:dataBar>
          </x14:cfRule>
          <xm:sqref>N3448</xm:sqref>
        </x14:conditionalFormatting>
        <x14:conditionalFormatting xmlns:xm="http://schemas.microsoft.com/office/excel/2006/main">
          <x14:cfRule type="dataBar" id="{256DDC55-E77F-4759-AAB2-AFECF17AE7B2}">
            <x14:dataBar minLength="0" maxLength="100" border="1" gradient="0">
              <x14:cfvo type="num">
                <xm:f>0</xm:f>
              </x14:cfvo>
              <x14:cfvo type="num">
                <xm:f>1</xm:f>
              </x14:cfvo>
              <x14:borderColor theme="0"/>
              <x14:negativeFillColor rgb="FFFF0000"/>
              <x14:axisColor rgb="FF000000"/>
            </x14:dataBar>
          </x14:cfRule>
          <xm:sqref>N3450</xm:sqref>
        </x14:conditionalFormatting>
        <x14:conditionalFormatting xmlns:xm="http://schemas.microsoft.com/office/excel/2006/main">
          <x14:cfRule type="dataBar" id="{90540C4B-274F-4CCD-8F25-312BB3B61AB6}">
            <x14:dataBar minLength="0" maxLength="100" border="1" gradient="0">
              <x14:cfvo type="num">
                <xm:f>0</xm:f>
              </x14:cfvo>
              <x14:cfvo type="num">
                <xm:f>1</xm:f>
              </x14:cfvo>
              <x14:borderColor theme="0"/>
              <x14:negativeFillColor rgb="FFFF0000"/>
              <x14:axisColor rgb="FF000000"/>
            </x14:dataBar>
          </x14:cfRule>
          <xm:sqref>N3452</xm:sqref>
        </x14:conditionalFormatting>
        <x14:conditionalFormatting xmlns:xm="http://schemas.microsoft.com/office/excel/2006/main">
          <x14:cfRule type="dataBar" id="{F40E9DA9-81AC-4D30-8ECB-FD824811CE7D}">
            <x14:dataBar minLength="0" maxLength="100" border="1" gradient="0">
              <x14:cfvo type="num">
                <xm:f>0</xm:f>
              </x14:cfvo>
              <x14:cfvo type="num">
                <xm:f>1</xm:f>
              </x14:cfvo>
              <x14:borderColor theme="0"/>
              <x14:negativeFillColor rgb="FFFF0000"/>
              <x14:axisColor rgb="FF000000"/>
            </x14:dataBar>
          </x14:cfRule>
          <xm:sqref>N3454</xm:sqref>
        </x14:conditionalFormatting>
        <x14:conditionalFormatting xmlns:xm="http://schemas.microsoft.com/office/excel/2006/main">
          <x14:cfRule type="dataBar" id="{2D9C77DB-0CB1-4EC6-88CA-E91F0256AA39}">
            <x14:dataBar minLength="0" maxLength="100" border="1" gradient="0">
              <x14:cfvo type="num">
                <xm:f>0</xm:f>
              </x14:cfvo>
              <x14:cfvo type="num">
                <xm:f>1</xm:f>
              </x14:cfvo>
              <x14:borderColor theme="0"/>
              <x14:negativeFillColor rgb="FFFF0000"/>
              <x14:axisColor rgb="FF000000"/>
            </x14:dataBar>
          </x14:cfRule>
          <xm:sqref>N3456</xm:sqref>
        </x14:conditionalFormatting>
        <x14:conditionalFormatting xmlns:xm="http://schemas.microsoft.com/office/excel/2006/main">
          <x14:cfRule type="dataBar" id="{BE3D85CB-C362-4A99-8F52-9E01A7B5363C}">
            <x14:dataBar minLength="0" maxLength="100" border="1" gradient="0">
              <x14:cfvo type="num">
                <xm:f>0</xm:f>
              </x14:cfvo>
              <x14:cfvo type="num">
                <xm:f>1</xm:f>
              </x14:cfvo>
              <x14:borderColor theme="0"/>
              <x14:negativeFillColor rgb="FFFF0000"/>
              <x14:axisColor rgb="FF000000"/>
            </x14:dataBar>
          </x14:cfRule>
          <xm:sqref>N3458</xm:sqref>
        </x14:conditionalFormatting>
        <x14:conditionalFormatting xmlns:xm="http://schemas.microsoft.com/office/excel/2006/main">
          <x14:cfRule type="dataBar" id="{D9CD2BFE-3BFC-4CEF-A3BE-7B6F916038BC}">
            <x14:dataBar minLength="0" maxLength="100" border="1" gradient="0">
              <x14:cfvo type="num">
                <xm:f>0</xm:f>
              </x14:cfvo>
              <x14:cfvo type="num">
                <xm:f>1</xm:f>
              </x14:cfvo>
              <x14:borderColor theme="0"/>
              <x14:negativeFillColor rgb="FFFF0000"/>
              <x14:axisColor rgb="FF000000"/>
            </x14:dataBar>
          </x14:cfRule>
          <xm:sqref>N3460</xm:sqref>
        </x14:conditionalFormatting>
        <x14:conditionalFormatting xmlns:xm="http://schemas.microsoft.com/office/excel/2006/main">
          <x14:cfRule type="dataBar" id="{380D7376-B129-42AD-9B62-59DE75F62A7D}">
            <x14:dataBar minLength="0" maxLength="100" border="1" gradient="0">
              <x14:cfvo type="num">
                <xm:f>0</xm:f>
              </x14:cfvo>
              <x14:cfvo type="num">
                <xm:f>1</xm:f>
              </x14:cfvo>
              <x14:borderColor theme="0"/>
              <x14:negativeFillColor rgb="FFFF0000"/>
              <x14:axisColor rgb="FF000000"/>
            </x14:dataBar>
          </x14:cfRule>
          <xm:sqref>N3462</xm:sqref>
        </x14:conditionalFormatting>
        <x14:conditionalFormatting xmlns:xm="http://schemas.microsoft.com/office/excel/2006/main">
          <x14:cfRule type="dataBar" id="{AAD338E2-BD38-473F-A63F-E1035FD82033}">
            <x14:dataBar minLength="0" maxLength="100" border="1" gradient="0">
              <x14:cfvo type="num">
                <xm:f>0</xm:f>
              </x14:cfvo>
              <x14:cfvo type="num">
                <xm:f>1</xm:f>
              </x14:cfvo>
              <x14:borderColor theme="0"/>
              <x14:negativeFillColor rgb="FFFF0000"/>
              <x14:axisColor rgb="FF000000"/>
            </x14:dataBar>
          </x14:cfRule>
          <xm:sqref>N3464</xm:sqref>
        </x14:conditionalFormatting>
        <x14:conditionalFormatting xmlns:xm="http://schemas.microsoft.com/office/excel/2006/main">
          <x14:cfRule type="dataBar" id="{AC534A59-1F1C-4282-BB65-2B07E70DA231}">
            <x14:dataBar minLength="0" maxLength="100" border="1" gradient="0">
              <x14:cfvo type="num">
                <xm:f>0</xm:f>
              </x14:cfvo>
              <x14:cfvo type="num">
                <xm:f>1</xm:f>
              </x14:cfvo>
              <x14:borderColor theme="0"/>
              <x14:negativeFillColor rgb="FFFF0000"/>
              <x14:axisColor rgb="FF000000"/>
            </x14:dataBar>
          </x14:cfRule>
          <xm:sqref>N3466</xm:sqref>
        </x14:conditionalFormatting>
        <x14:conditionalFormatting xmlns:xm="http://schemas.microsoft.com/office/excel/2006/main">
          <x14:cfRule type="dataBar" id="{ACD5A81A-1769-4471-B93B-6BD7332E671D}">
            <x14:dataBar minLength="0" maxLength="100" border="1" gradient="0">
              <x14:cfvo type="num">
                <xm:f>0</xm:f>
              </x14:cfvo>
              <x14:cfvo type="num">
                <xm:f>1</xm:f>
              </x14:cfvo>
              <x14:borderColor theme="0"/>
              <x14:negativeFillColor rgb="FFFF0000"/>
              <x14:axisColor rgb="FF000000"/>
            </x14:dataBar>
          </x14:cfRule>
          <xm:sqref>N3468</xm:sqref>
        </x14:conditionalFormatting>
        <x14:conditionalFormatting xmlns:xm="http://schemas.microsoft.com/office/excel/2006/main">
          <x14:cfRule type="dataBar" id="{8289F317-C5FB-47BC-8B38-11227E8112B7}">
            <x14:dataBar minLength="0" maxLength="100" border="1" gradient="0">
              <x14:cfvo type="num">
                <xm:f>0</xm:f>
              </x14:cfvo>
              <x14:cfvo type="num">
                <xm:f>1</xm:f>
              </x14:cfvo>
              <x14:borderColor theme="0"/>
              <x14:negativeFillColor rgb="FFFF0000"/>
              <x14:axisColor rgb="FF000000"/>
            </x14:dataBar>
          </x14:cfRule>
          <xm:sqref>N3470</xm:sqref>
        </x14:conditionalFormatting>
        <x14:conditionalFormatting xmlns:xm="http://schemas.microsoft.com/office/excel/2006/main">
          <x14:cfRule type="dataBar" id="{CE9AC391-E53B-45D1-8794-F8F5EFF89A3F}">
            <x14:dataBar minLength="0" maxLength="100" border="1" gradient="0">
              <x14:cfvo type="num">
                <xm:f>0</xm:f>
              </x14:cfvo>
              <x14:cfvo type="num">
                <xm:f>1</xm:f>
              </x14:cfvo>
              <x14:borderColor theme="0"/>
              <x14:negativeFillColor rgb="FFFF0000"/>
              <x14:axisColor rgb="FF000000"/>
            </x14:dataBar>
          </x14:cfRule>
          <xm:sqref>N3472</xm:sqref>
        </x14:conditionalFormatting>
        <x14:conditionalFormatting xmlns:xm="http://schemas.microsoft.com/office/excel/2006/main">
          <x14:cfRule type="dataBar" id="{FC2FCD47-0E18-4795-BA31-7A5AF6A2DC80}">
            <x14:dataBar minLength="0" maxLength="100" border="1" gradient="0">
              <x14:cfvo type="num">
                <xm:f>0</xm:f>
              </x14:cfvo>
              <x14:cfvo type="num">
                <xm:f>1</xm:f>
              </x14:cfvo>
              <x14:borderColor theme="0"/>
              <x14:negativeFillColor rgb="FFFF0000"/>
              <x14:axisColor rgb="FF000000"/>
            </x14:dataBar>
          </x14:cfRule>
          <xm:sqref>N3474</xm:sqref>
        </x14:conditionalFormatting>
        <x14:conditionalFormatting xmlns:xm="http://schemas.microsoft.com/office/excel/2006/main">
          <x14:cfRule type="dataBar" id="{0AA2BCBB-BC62-4ED1-BEC4-099E40398DAE}">
            <x14:dataBar minLength="0" maxLength="100" border="1" gradient="0">
              <x14:cfvo type="num">
                <xm:f>0</xm:f>
              </x14:cfvo>
              <x14:cfvo type="num">
                <xm:f>1</xm:f>
              </x14:cfvo>
              <x14:borderColor theme="0"/>
              <x14:negativeFillColor rgb="FFFF0000"/>
              <x14:axisColor rgb="FF000000"/>
            </x14:dataBar>
          </x14:cfRule>
          <xm:sqref>N3476</xm:sqref>
        </x14:conditionalFormatting>
        <x14:conditionalFormatting xmlns:xm="http://schemas.microsoft.com/office/excel/2006/main">
          <x14:cfRule type="dataBar" id="{5F0BFC11-D4D7-459F-A40E-7F9CF770D25D}">
            <x14:dataBar minLength="0" maxLength="100" border="1" gradient="0">
              <x14:cfvo type="num">
                <xm:f>0</xm:f>
              </x14:cfvo>
              <x14:cfvo type="num">
                <xm:f>1</xm:f>
              </x14:cfvo>
              <x14:borderColor theme="0"/>
              <x14:negativeFillColor rgb="FFFF0000"/>
              <x14:axisColor rgb="FF000000"/>
            </x14:dataBar>
          </x14:cfRule>
          <xm:sqref>N3478</xm:sqref>
        </x14:conditionalFormatting>
        <x14:conditionalFormatting xmlns:xm="http://schemas.microsoft.com/office/excel/2006/main">
          <x14:cfRule type="dataBar" id="{63CF2E81-1511-454E-973C-25755327B625}">
            <x14:dataBar minLength="0" maxLength="100" border="1" gradient="0">
              <x14:cfvo type="num">
                <xm:f>0</xm:f>
              </x14:cfvo>
              <x14:cfvo type="num">
                <xm:f>1</xm:f>
              </x14:cfvo>
              <x14:borderColor theme="0"/>
              <x14:negativeFillColor rgb="FFFF0000"/>
              <x14:axisColor rgb="FF000000"/>
            </x14:dataBar>
          </x14:cfRule>
          <xm:sqref>N3480</xm:sqref>
        </x14:conditionalFormatting>
        <x14:conditionalFormatting xmlns:xm="http://schemas.microsoft.com/office/excel/2006/main">
          <x14:cfRule type="dataBar" id="{30C02063-6AAC-43E2-A48B-45097ED13387}">
            <x14:dataBar minLength="0" maxLength="100" border="1" gradient="0">
              <x14:cfvo type="num">
                <xm:f>0</xm:f>
              </x14:cfvo>
              <x14:cfvo type="num">
                <xm:f>1</xm:f>
              </x14:cfvo>
              <x14:borderColor theme="0"/>
              <x14:negativeFillColor rgb="FFFF0000"/>
              <x14:axisColor rgb="FF000000"/>
            </x14:dataBar>
          </x14:cfRule>
          <xm:sqref>N3482</xm:sqref>
        </x14:conditionalFormatting>
        <x14:conditionalFormatting xmlns:xm="http://schemas.microsoft.com/office/excel/2006/main">
          <x14:cfRule type="dataBar" id="{7783A9EA-A41D-4C77-8BF8-BD111CC0AA1B}">
            <x14:dataBar minLength="0" maxLength="100" border="1" gradient="0">
              <x14:cfvo type="num">
                <xm:f>0</xm:f>
              </x14:cfvo>
              <x14:cfvo type="num">
                <xm:f>1</xm:f>
              </x14:cfvo>
              <x14:borderColor theme="0"/>
              <x14:negativeFillColor rgb="FFFF0000"/>
              <x14:axisColor rgb="FF000000"/>
            </x14:dataBar>
          </x14:cfRule>
          <xm:sqref>N3484</xm:sqref>
        </x14:conditionalFormatting>
        <x14:conditionalFormatting xmlns:xm="http://schemas.microsoft.com/office/excel/2006/main">
          <x14:cfRule type="dataBar" id="{7A77B74D-4837-4EE7-9DE9-F91C57977330}">
            <x14:dataBar minLength="0" maxLength="100" border="1" gradient="0">
              <x14:cfvo type="num">
                <xm:f>0</xm:f>
              </x14:cfvo>
              <x14:cfvo type="num">
                <xm:f>1</xm:f>
              </x14:cfvo>
              <x14:borderColor theme="0"/>
              <x14:negativeFillColor rgb="FFFF0000"/>
              <x14:axisColor rgb="FF000000"/>
            </x14:dataBar>
          </x14:cfRule>
          <xm:sqref>N3486</xm:sqref>
        </x14:conditionalFormatting>
        <x14:conditionalFormatting xmlns:xm="http://schemas.microsoft.com/office/excel/2006/main">
          <x14:cfRule type="dataBar" id="{F370EAB3-6A36-4449-9EBB-58B7FF39F11B}">
            <x14:dataBar minLength="0" maxLength="100" border="1" gradient="0">
              <x14:cfvo type="num">
                <xm:f>0</xm:f>
              </x14:cfvo>
              <x14:cfvo type="num">
                <xm:f>1</xm:f>
              </x14:cfvo>
              <x14:borderColor theme="0"/>
              <x14:negativeFillColor rgb="FFFF0000"/>
              <x14:axisColor rgb="FF000000"/>
            </x14:dataBar>
          </x14:cfRule>
          <xm:sqref>N3489</xm:sqref>
        </x14:conditionalFormatting>
        <x14:conditionalFormatting xmlns:xm="http://schemas.microsoft.com/office/excel/2006/main">
          <x14:cfRule type="dataBar" id="{0F8DDE25-4183-4902-80AC-AF45938C0A47}">
            <x14:dataBar minLength="0" maxLength="100" border="1" gradient="0">
              <x14:cfvo type="num">
                <xm:f>0</xm:f>
              </x14:cfvo>
              <x14:cfvo type="num">
                <xm:f>1</xm:f>
              </x14:cfvo>
              <x14:borderColor theme="0"/>
              <x14:negativeFillColor rgb="FFFF0000"/>
              <x14:axisColor rgb="FF000000"/>
            </x14:dataBar>
          </x14:cfRule>
          <xm:sqref>N3491</xm:sqref>
        </x14:conditionalFormatting>
        <x14:conditionalFormatting xmlns:xm="http://schemas.microsoft.com/office/excel/2006/main">
          <x14:cfRule type="dataBar" id="{FAB1796B-AD5E-4E64-A3C0-7C7791C291AE}">
            <x14:dataBar minLength="0" maxLength="100" border="1" gradient="0">
              <x14:cfvo type="num">
                <xm:f>0</xm:f>
              </x14:cfvo>
              <x14:cfvo type="num">
                <xm:f>1</xm:f>
              </x14:cfvo>
              <x14:borderColor theme="0"/>
              <x14:negativeFillColor rgb="FFFF0000"/>
              <x14:axisColor rgb="FF000000"/>
            </x14:dataBar>
          </x14:cfRule>
          <xm:sqref>N3493</xm:sqref>
        </x14:conditionalFormatting>
        <x14:conditionalFormatting xmlns:xm="http://schemas.microsoft.com/office/excel/2006/main">
          <x14:cfRule type="dataBar" id="{945D7BFB-D71E-45C3-B27B-BD85BA08A24D}">
            <x14:dataBar minLength="0" maxLength="100" border="1" gradient="0">
              <x14:cfvo type="num">
                <xm:f>0</xm:f>
              </x14:cfvo>
              <x14:cfvo type="num">
                <xm:f>1</xm:f>
              </x14:cfvo>
              <x14:borderColor theme="0"/>
              <x14:negativeFillColor rgb="FFFF0000"/>
              <x14:axisColor rgb="FF000000"/>
            </x14:dataBar>
          </x14:cfRule>
          <xm:sqref>N3495</xm:sqref>
        </x14:conditionalFormatting>
        <x14:conditionalFormatting xmlns:xm="http://schemas.microsoft.com/office/excel/2006/main">
          <x14:cfRule type="dataBar" id="{F5BF54BC-CA60-4F84-943E-4A2D098EA09A}">
            <x14:dataBar minLength="0" maxLength="100" border="1" gradient="0">
              <x14:cfvo type="num">
                <xm:f>0</xm:f>
              </x14:cfvo>
              <x14:cfvo type="num">
                <xm:f>1</xm:f>
              </x14:cfvo>
              <x14:borderColor theme="0"/>
              <x14:negativeFillColor rgb="FFFF0000"/>
              <x14:axisColor rgb="FF000000"/>
            </x14:dataBar>
          </x14:cfRule>
          <xm:sqref>N3497</xm:sqref>
        </x14:conditionalFormatting>
        <x14:conditionalFormatting xmlns:xm="http://schemas.microsoft.com/office/excel/2006/main">
          <x14:cfRule type="dataBar" id="{3F7BA65E-C919-49F3-8D0D-1E00F10231F3}">
            <x14:dataBar minLength="0" maxLength="100" border="1" gradient="0">
              <x14:cfvo type="num">
                <xm:f>0</xm:f>
              </x14:cfvo>
              <x14:cfvo type="num">
                <xm:f>1</xm:f>
              </x14:cfvo>
              <x14:borderColor theme="0"/>
              <x14:negativeFillColor rgb="FFFF0000"/>
              <x14:axisColor rgb="FF000000"/>
            </x14:dataBar>
          </x14:cfRule>
          <xm:sqref>N3499</xm:sqref>
        </x14:conditionalFormatting>
        <x14:conditionalFormatting xmlns:xm="http://schemas.microsoft.com/office/excel/2006/main">
          <x14:cfRule type="dataBar" id="{B5AF450D-D1F5-44A0-8C4F-46BFBB3D63BB}">
            <x14:dataBar minLength="0" maxLength="100" border="1" gradient="0">
              <x14:cfvo type="num">
                <xm:f>0</xm:f>
              </x14:cfvo>
              <x14:cfvo type="num">
                <xm:f>1</xm:f>
              </x14:cfvo>
              <x14:borderColor theme="0"/>
              <x14:negativeFillColor rgb="FFFF0000"/>
              <x14:axisColor rgb="FF000000"/>
            </x14:dataBar>
          </x14:cfRule>
          <xm:sqref>N3503</xm:sqref>
        </x14:conditionalFormatting>
        <x14:conditionalFormatting xmlns:xm="http://schemas.microsoft.com/office/excel/2006/main">
          <x14:cfRule type="dataBar" id="{D5D5AD04-FDD4-4911-A002-DC59852795BD}">
            <x14:dataBar minLength="0" maxLength="100" border="1" gradient="0">
              <x14:cfvo type="num">
                <xm:f>0</xm:f>
              </x14:cfvo>
              <x14:cfvo type="num">
                <xm:f>1</xm:f>
              </x14:cfvo>
              <x14:borderColor theme="0"/>
              <x14:negativeFillColor rgb="FFFF0000"/>
              <x14:axisColor rgb="FF000000"/>
            </x14:dataBar>
          </x14:cfRule>
          <xm:sqref>N3506</xm:sqref>
        </x14:conditionalFormatting>
        <x14:conditionalFormatting xmlns:xm="http://schemas.microsoft.com/office/excel/2006/main">
          <x14:cfRule type="dataBar" id="{2253B8DB-3BB2-4DAC-8BA3-4D7F441A6542}">
            <x14:dataBar minLength="0" maxLength="100" border="1" gradient="0">
              <x14:cfvo type="num">
                <xm:f>0</xm:f>
              </x14:cfvo>
              <x14:cfvo type="num">
                <xm:f>1</xm:f>
              </x14:cfvo>
              <x14:borderColor theme="0"/>
              <x14:negativeFillColor rgb="FFFF0000"/>
              <x14:axisColor rgb="FF000000"/>
            </x14:dataBar>
          </x14:cfRule>
          <xm:sqref>N3508</xm:sqref>
        </x14:conditionalFormatting>
        <x14:conditionalFormatting xmlns:xm="http://schemas.microsoft.com/office/excel/2006/main">
          <x14:cfRule type="dataBar" id="{472A0FBB-8384-4230-A7CE-E80D2B9EF376}">
            <x14:dataBar minLength="0" maxLength="100" border="1" gradient="0">
              <x14:cfvo type="num">
                <xm:f>0</xm:f>
              </x14:cfvo>
              <x14:cfvo type="num">
                <xm:f>1</xm:f>
              </x14:cfvo>
              <x14:borderColor theme="0"/>
              <x14:negativeFillColor rgb="FFFF0000"/>
              <x14:axisColor rgb="FF000000"/>
            </x14:dataBar>
          </x14:cfRule>
          <xm:sqref>N3510</xm:sqref>
        </x14:conditionalFormatting>
        <x14:conditionalFormatting xmlns:xm="http://schemas.microsoft.com/office/excel/2006/main">
          <x14:cfRule type="dataBar" id="{1381F361-82D0-41D1-B56F-6707750DBC3C}">
            <x14:dataBar minLength="0" maxLength="100" border="1" gradient="0">
              <x14:cfvo type="num">
                <xm:f>0</xm:f>
              </x14:cfvo>
              <x14:cfvo type="num">
                <xm:f>1</xm:f>
              </x14:cfvo>
              <x14:borderColor theme="0"/>
              <x14:negativeFillColor rgb="FFFF0000"/>
              <x14:axisColor rgb="FF000000"/>
            </x14:dataBar>
          </x14:cfRule>
          <xm:sqref>N3512</xm:sqref>
        </x14:conditionalFormatting>
        <x14:conditionalFormatting xmlns:xm="http://schemas.microsoft.com/office/excel/2006/main">
          <x14:cfRule type="dataBar" id="{98E07F77-02B7-45F2-A86E-19E57910C711}">
            <x14:dataBar minLength="0" maxLength="100" border="1" gradient="0">
              <x14:cfvo type="num">
                <xm:f>0</xm:f>
              </x14:cfvo>
              <x14:cfvo type="num">
                <xm:f>1</xm:f>
              </x14:cfvo>
              <x14:borderColor theme="0"/>
              <x14:negativeFillColor rgb="FFFF0000"/>
              <x14:axisColor rgb="FF000000"/>
            </x14:dataBar>
          </x14:cfRule>
          <xm:sqref>N3514</xm:sqref>
        </x14:conditionalFormatting>
        <x14:conditionalFormatting xmlns:xm="http://schemas.microsoft.com/office/excel/2006/main">
          <x14:cfRule type="dataBar" id="{DD48C1B8-25B7-43F9-93C7-6BFB4CEEA46E}">
            <x14:dataBar minLength="0" maxLength="100" border="1" gradient="0">
              <x14:cfvo type="num">
                <xm:f>0</xm:f>
              </x14:cfvo>
              <x14:cfvo type="num">
                <xm:f>1</xm:f>
              </x14:cfvo>
              <x14:borderColor theme="0"/>
              <x14:negativeFillColor rgb="FFFF0000"/>
              <x14:axisColor rgb="FF000000"/>
            </x14:dataBar>
          </x14:cfRule>
          <xm:sqref>Y10</xm:sqref>
        </x14:conditionalFormatting>
        <x14:conditionalFormatting xmlns:xm="http://schemas.microsoft.com/office/excel/2006/main">
          <x14:cfRule type="dataBar" id="{81F6F155-C74F-43F6-9032-ED1F6E1AE505}">
            <x14:dataBar minLength="0" maxLength="100" border="1" gradient="0">
              <x14:cfvo type="num">
                <xm:f>0</xm:f>
              </x14:cfvo>
              <x14:cfvo type="num">
                <xm:f>1</xm:f>
              </x14:cfvo>
              <x14:borderColor theme="0"/>
              <x14:negativeFillColor rgb="FFFF0000"/>
              <x14:axisColor rgb="FF000000"/>
            </x14:dataBar>
          </x14:cfRule>
          <xm:sqref>Y14</xm:sqref>
        </x14:conditionalFormatting>
        <x14:conditionalFormatting xmlns:xm="http://schemas.microsoft.com/office/excel/2006/main">
          <x14:cfRule type="dataBar" id="{E7436F63-278C-4FD5-8814-679A73566D62}">
            <x14:dataBar minLength="0" maxLength="100" border="1" gradient="0">
              <x14:cfvo type="num">
                <xm:f>0</xm:f>
              </x14:cfvo>
              <x14:cfvo type="num">
                <xm:f>1</xm:f>
              </x14:cfvo>
              <x14:borderColor theme="0"/>
              <x14:negativeFillColor rgb="FFFF0000"/>
              <x14:axisColor rgb="FF000000"/>
            </x14:dataBar>
          </x14:cfRule>
          <xm:sqref>Y16</xm:sqref>
        </x14:conditionalFormatting>
        <x14:conditionalFormatting xmlns:xm="http://schemas.microsoft.com/office/excel/2006/main">
          <x14:cfRule type="dataBar" id="{4F7CD94C-E8E1-4482-B07D-C9A97B681D68}">
            <x14:dataBar minLength="0" maxLength="100" border="1" gradient="0">
              <x14:cfvo type="num">
                <xm:f>0</xm:f>
              </x14:cfvo>
              <x14:cfvo type="num">
                <xm:f>1</xm:f>
              </x14:cfvo>
              <x14:borderColor theme="0"/>
              <x14:negativeFillColor rgb="FFFF0000"/>
              <x14:axisColor rgb="FF000000"/>
            </x14:dataBar>
          </x14:cfRule>
          <xm:sqref>Y18</xm:sqref>
        </x14:conditionalFormatting>
        <x14:conditionalFormatting xmlns:xm="http://schemas.microsoft.com/office/excel/2006/main">
          <x14:cfRule type="dataBar" id="{0FDC6937-641D-4006-8F2A-9C07458B2188}">
            <x14:dataBar minLength="0" maxLength="100" border="1" gradient="0">
              <x14:cfvo type="num">
                <xm:f>0</xm:f>
              </x14:cfvo>
              <x14:cfvo type="num">
                <xm:f>1</xm:f>
              </x14:cfvo>
              <x14:borderColor theme="0"/>
              <x14:negativeFillColor rgb="FFFF0000"/>
              <x14:axisColor rgb="FF000000"/>
            </x14:dataBar>
          </x14:cfRule>
          <xm:sqref>Y20</xm:sqref>
        </x14:conditionalFormatting>
        <x14:conditionalFormatting xmlns:xm="http://schemas.microsoft.com/office/excel/2006/main">
          <x14:cfRule type="dataBar" id="{316044EC-5EBB-49B5-A966-F8C8E61A2E39}">
            <x14:dataBar minLength="0" maxLength="100" border="1" gradient="0">
              <x14:cfvo type="num">
                <xm:f>0</xm:f>
              </x14:cfvo>
              <x14:cfvo type="num">
                <xm:f>1</xm:f>
              </x14:cfvo>
              <x14:borderColor theme="0"/>
              <x14:negativeFillColor rgb="FFFF0000"/>
              <x14:axisColor rgb="FF000000"/>
            </x14:dataBar>
          </x14:cfRule>
          <xm:sqref>Y22</xm:sqref>
        </x14:conditionalFormatting>
        <x14:conditionalFormatting xmlns:xm="http://schemas.microsoft.com/office/excel/2006/main">
          <x14:cfRule type="dataBar" id="{4E94F8AE-B5E1-4515-87DB-F72B7190A341}">
            <x14:dataBar minLength="0" maxLength="100" border="1" gradient="0">
              <x14:cfvo type="num">
                <xm:f>0</xm:f>
              </x14:cfvo>
              <x14:cfvo type="num">
                <xm:f>1</xm:f>
              </x14:cfvo>
              <x14:borderColor theme="0"/>
              <x14:negativeFillColor rgb="FFFF0000"/>
              <x14:axisColor rgb="FF000000"/>
            </x14:dataBar>
          </x14:cfRule>
          <xm:sqref>Y44 Y64 Y24 Y26 Y28 Y30 Y32 Y34 Y36 Y38 Y40 Y42 Y46 Y48 Y50 Y52 Y54 Y56 Y58 Y66</xm:sqref>
        </x14:conditionalFormatting>
        <x14:conditionalFormatting xmlns:xm="http://schemas.microsoft.com/office/excel/2006/main">
          <x14:cfRule type="dataBar" id="{7EAA3CFA-0F8C-4E12-A113-CA8E9D4EB79B}">
            <x14:dataBar minLength="0" maxLength="100" border="1" gradient="0">
              <x14:cfvo type="num">
                <xm:f>0</xm:f>
              </x14:cfvo>
              <x14:cfvo type="num">
                <xm:f>1</xm:f>
              </x14:cfvo>
              <x14:borderColor theme="0"/>
              <x14:negativeFillColor rgb="FFFF0000"/>
              <x14:axisColor rgb="FF000000"/>
            </x14:dataBar>
          </x14:cfRule>
          <xm:sqref>Y60 Y62</xm:sqref>
        </x14:conditionalFormatting>
        <x14:conditionalFormatting xmlns:xm="http://schemas.microsoft.com/office/excel/2006/main">
          <x14:cfRule type="dataBar" id="{9996C762-94D9-491A-8BCA-299C0607661F}">
            <x14:dataBar minLength="0" maxLength="100" border="1" gradient="0">
              <x14:cfvo type="num">
                <xm:f>0</xm:f>
              </x14:cfvo>
              <x14:cfvo type="num">
                <xm:f>1</xm:f>
              </x14:cfvo>
              <x14:borderColor theme="0"/>
              <x14:negativeFillColor rgb="FFFF0000"/>
              <x14:axisColor rgb="FF000000"/>
            </x14:dataBar>
          </x14:cfRule>
          <xm:sqref>Y68</xm:sqref>
        </x14:conditionalFormatting>
        <x14:conditionalFormatting xmlns:xm="http://schemas.microsoft.com/office/excel/2006/main">
          <x14:cfRule type="dataBar" id="{119EECE5-59B5-42E1-9F1D-98247A36F8F1}">
            <x14:dataBar minLength="0" maxLength="100" border="1" gradient="0">
              <x14:cfvo type="num">
                <xm:f>0</xm:f>
              </x14:cfvo>
              <x14:cfvo type="num">
                <xm:f>1</xm:f>
              </x14:cfvo>
              <x14:borderColor theme="0"/>
              <x14:negativeFillColor rgb="FFFF0000"/>
              <x14:axisColor rgb="FF000000"/>
            </x14:dataBar>
          </x14:cfRule>
          <xm:sqref>Y70</xm:sqref>
        </x14:conditionalFormatting>
        <x14:conditionalFormatting xmlns:xm="http://schemas.microsoft.com/office/excel/2006/main">
          <x14:cfRule type="dataBar" id="{5C7F5F00-0D1C-4FE1-86A2-63532876EBB5}">
            <x14:dataBar minLength="0" maxLength="100" border="1" gradient="0">
              <x14:cfvo type="num">
                <xm:f>0</xm:f>
              </x14:cfvo>
              <x14:cfvo type="num">
                <xm:f>1</xm:f>
              </x14:cfvo>
              <x14:borderColor theme="0"/>
              <x14:negativeFillColor rgb="FFFF0000"/>
              <x14:axisColor rgb="FF000000"/>
            </x14:dataBar>
          </x14:cfRule>
          <xm:sqref>Y72</xm:sqref>
        </x14:conditionalFormatting>
        <x14:conditionalFormatting xmlns:xm="http://schemas.microsoft.com/office/excel/2006/main">
          <x14:cfRule type="dataBar" id="{A0E49080-6862-4F73-AFCD-E0EC47545C3E}">
            <x14:dataBar minLength="0" maxLength="100" border="1" gradient="0">
              <x14:cfvo type="num">
                <xm:f>0</xm:f>
              </x14:cfvo>
              <x14:cfvo type="num">
                <xm:f>1</xm:f>
              </x14:cfvo>
              <x14:borderColor theme="0"/>
              <x14:negativeFillColor rgb="FFFF0000"/>
              <x14:axisColor rgb="FF000000"/>
            </x14:dataBar>
          </x14:cfRule>
          <xm:sqref>Y74</xm:sqref>
        </x14:conditionalFormatting>
        <x14:conditionalFormatting xmlns:xm="http://schemas.microsoft.com/office/excel/2006/main">
          <x14:cfRule type="dataBar" id="{0C61911E-3642-4986-BAC9-3ADE6FFF645E}">
            <x14:dataBar minLength="0" maxLength="100" border="1" gradient="0">
              <x14:cfvo type="num">
                <xm:f>0</xm:f>
              </x14:cfvo>
              <x14:cfvo type="num">
                <xm:f>1</xm:f>
              </x14:cfvo>
              <x14:borderColor theme="0"/>
              <x14:negativeFillColor rgb="FFFF0000"/>
              <x14:axisColor rgb="FF000000"/>
            </x14:dataBar>
          </x14:cfRule>
          <xm:sqref>Y76</xm:sqref>
        </x14:conditionalFormatting>
        <x14:conditionalFormatting xmlns:xm="http://schemas.microsoft.com/office/excel/2006/main">
          <x14:cfRule type="dataBar" id="{8470FAF4-1F20-41D3-8EED-5FB62C8AEF39}">
            <x14:dataBar minLength="0" maxLength="100" border="1" gradient="0">
              <x14:cfvo type="num">
                <xm:f>0</xm:f>
              </x14:cfvo>
              <x14:cfvo type="num">
                <xm:f>1</xm:f>
              </x14:cfvo>
              <x14:borderColor theme="0"/>
              <x14:negativeFillColor rgb="FFFF0000"/>
              <x14:axisColor rgb="FF000000"/>
            </x14:dataBar>
          </x14:cfRule>
          <xm:sqref>Y78</xm:sqref>
        </x14:conditionalFormatting>
        <x14:conditionalFormatting xmlns:xm="http://schemas.microsoft.com/office/excel/2006/main">
          <x14:cfRule type="dataBar" id="{49379DD5-CDAD-48FD-A0C2-3F8E34CCF9A6}">
            <x14:dataBar minLength="0" maxLength="100" border="1" gradient="0">
              <x14:cfvo type="num">
                <xm:f>0</xm:f>
              </x14:cfvo>
              <x14:cfvo type="num">
                <xm:f>1</xm:f>
              </x14:cfvo>
              <x14:borderColor theme="0"/>
              <x14:negativeFillColor rgb="FFFF0000"/>
              <x14:axisColor rgb="FF000000"/>
            </x14:dataBar>
          </x14:cfRule>
          <xm:sqref>Y80</xm:sqref>
        </x14:conditionalFormatting>
        <x14:conditionalFormatting xmlns:xm="http://schemas.microsoft.com/office/excel/2006/main">
          <x14:cfRule type="dataBar" id="{F1C02535-BBA3-4D49-9E14-0CB7CBC9F074}">
            <x14:dataBar minLength="0" maxLength="100" border="1" gradient="0">
              <x14:cfvo type="num">
                <xm:f>0</xm:f>
              </x14:cfvo>
              <x14:cfvo type="num">
                <xm:f>1</xm:f>
              </x14:cfvo>
              <x14:borderColor theme="0"/>
              <x14:negativeFillColor rgb="FFFF0000"/>
              <x14:axisColor rgb="FF000000"/>
            </x14:dataBar>
          </x14:cfRule>
          <xm:sqref>Y82</xm:sqref>
        </x14:conditionalFormatting>
        <x14:conditionalFormatting xmlns:xm="http://schemas.microsoft.com/office/excel/2006/main">
          <x14:cfRule type="dataBar" id="{976307F3-FAFC-47F4-B58B-7351DC53754C}">
            <x14:dataBar minLength="0" maxLength="100" border="1" gradient="0">
              <x14:cfvo type="num">
                <xm:f>0</xm:f>
              </x14:cfvo>
              <x14:cfvo type="num">
                <xm:f>1</xm:f>
              </x14:cfvo>
              <x14:borderColor theme="0"/>
              <x14:negativeFillColor rgb="FFFF0000"/>
              <x14:axisColor rgb="FF000000"/>
            </x14:dataBar>
          </x14:cfRule>
          <xm:sqref>Y84</xm:sqref>
        </x14:conditionalFormatting>
        <x14:conditionalFormatting xmlns:xm="http://schemas.microsoft.com/office/excel/2006/main">
          <x14:cfRule type="dataBar" id="{20C83691-3244-4C19-9DDF-779F093A34E1}">
            <x14:dataBar minLength="0" maxLength="100" border="1" gradient="0">
              <x14:cfvo type="num">
                <xm:f>0</xm:f>
              </x14:cfvo>
              <x14:cfvo type="num">
                <xm:f>1</xm:f>
              </x14:cfvo>
              <x14:borderColor theme="0"/>
              <x14:negativeFillColor rgb="FFFF0000"/>
              <x14:axisColor rgb="FF000000"/>
            </x14:dataBar>
          </x14:cfRule>
          <xm:sqref>Y86</xm:sqref>
        </x14:conditionalFormatting>
        <x14:conditionalFormatting xmlns:xm="http://schemas.microsoft.com/office/excel/2006/main">
          <x14:cfRule type="dataBar" id="{AC1E6908-2E16-40A5-9785-08EC0889185F}">
            <x14:dataBar minLength="0" maxLength="100" border="1" gradient="0">
              <x14:cfvo type="num">
                <xm:f>0</xm:f>
              </x14:cfvo>
              <x14:cfvo type="num">
                <xm:f>1</xm:f>
              </x14:cfvo>
              <x14:borderColor theme="0"/>
              <x14:negativeFillColor rgb="FFFF0000"/>
              <x14:axisColor rgb="FF000000"/>
            </x14:dataBar>
          </x14:cfRule>
          <xm:sqref>Y88</xm:sqref>
        </x14:conditionalFormatting>
        <x14:conditionalFormatting xmlns:xm="http://schemas.microsoft.com/office/excel/2006/main">
          <x14:cfRule type="dataBar" id="{AB71AA11-9B3E-484F-BE7A-E73A8E4EE224}">
            <x14:dataBar minLength="0" maxLength="100" border="1" gradient="0">
              <x14:cfvo type="num">
                <xm:f>0</xm:f>
              </x14:cfvo>
              <x14:cfvo type="num">
                <xm:f>1</xm:f>
              </x14:cfvo>
              <x14:borderColor theme="0"/>
              <x14:negativeFillColor rgb="FFFF0000"/>
              <x14:axisColor rgb="FF000000"/>
            </x14:dataBar>
          </x14:cfRule>
          <xm:sqref>Y90</xm:sqref>
        </x14:conditionalFormatting>
        <x14:conditionalFormatting xmlns:xm="http://schemas.microsoft.com/office/excel/2006/main">
          <x14:cfRule type="dataBar" id="{B172E165-FC0B-4B40-9556-E0F8BB909335}">
            <x14:dataBar minLength="0" maxLength="100" border="1" gradient="0">
              <x14:cfvo type="num">
                <xm:f>0</xm:f>
              </x14:cfvo>
              <x14:cfvo type="num">
                <xm:f>1</xm:f>
              </x14:cfvo>
              <x14:borderColor theme="0"/>
              <x14:negativeFillColor rgb="FFFF0000"/>
              <x14:axisColor rgb="FF000000"/>
            </x14:dataBar>
          </x14:cfRule>
          <xm:sqref>Y92</xm:sqref>
        </x14:conditionalFormatting>
        <x14:conditionalFormatting xmlns:xm="http://schemas.microsoft.com/office/excel/2006/main">
          <x14:cfRule type="dataBar" id="{7CAE5345-2F9E-4983-9827-30006B796211}">
            <x14:dataBar minLength="0" maxLength="100" border="1" gradient="0">
              <x14:cfvo type="num">
                <xm:f>0</xm:f>
              </x14:cfvo>
              <x14:cfvo type="num">
                <xm:f>1</xm:f>
              </x14:cfvo>
              <x14:borderColor theme="0"/>
              <x14:negativeFillColor rgb="FFFF0000"/>
              <x14:axisColor rgb="FF000000"/>
            </x14:dataBar>
          </x14:cfRule>
          <xm:sqref>Y94</xm:sqref>
        </x14:conditionalFormatting>
        <x14:conditionalFormatting xmlns:xm="http://schemas.microsoft.com/office/excel/2006/main">
          <x14:cfRule type="dataBar" id="{FA971BCB-ADC7-4157-B1B8-FC3057A80B81}">
            <x14:dataBar minLength="0" maxLength="100" border="1" gradient="0">
              <x14:cfvo type="num">
                <xm:f>0</xm:f>
              </x14:cfvo>
              <x14:cfvo type="num">
                <xm:f>1</xm:f>
              </x14:cfvo>
              <x14:borderColor theme="0"/>
              <x14:negativeFillColor rgb="FFFF0000"/>
              <x14:axisColor rgb="FF000000"/>
            </x14:dataBar>
          </x14:cfRule>
          <xm:sqref>Y96</xm:sqref>
        </x14:conditionalFormatting>
        <x14:conditionalFormatting xmlns:xm="http://schemas.microsoft.com/office/excel/2006/main">
          <x14:cfRule type="dataBar" id="{7860F537-2967-496B-8F7C-F7E032CEE50C}">
            <x14:dataBar minLength="0" maxLength="100" border="1" gradient="0">
              <x14:cfvo type="num">
                <xm:f>0</xm:f>
              </x14:cfvo>
              <x14:cfvo type="num">
                <xm:f>1</xm:f>
              </x14:cfvo>
              <x14:borderColor theme="0"/>
              <x14:negativeFillColor rgb="FFFF0000"/>
              <x14:axisColor rgb="FF000000"/>
            </x14:dataBar>
          </x14:cfRule>
          <xm:sqref>Y98</xm:sqref>
        </x14:conditionalFormatting>
        <x14:conditionalFormatting xmlns:xm="http://schemas.microsoft.com/office/excel/2006/main">
          <x14:cfRule type="dataBar" id="{8A9A7E4E-B6CE-40D5-92A4-DD9C1D7C7DB8}">
            <x14:dataBar minLength="0" maxLength="100" border="1" gradient="0">
              <x14:cfvo type="num">
                <xm:f>0</xm:f>
              </x14:cfvo>
              <x14:cfvo type="num">
                <xm:f>1</xm:f>
              </x14:cfvo>
              <x14:borderColor theme="0"/>
              <x14:negativeFillColor rgb="FFFF0000"/>
              <x14:axisColor rgb="FF000000"/>
            </x14:dataBar>
          </x14:cfRule>
          <xm:sqref>Y102</xm:sqref>
        </x14:conditionalFormatting>
        <x14:conditionalFormatting xmlns:xm="http://schemas.microsoft.com/office/excel/2006/main">
          <x14:cfRule type="dataBar" id="{D4655BC9-195B-4A82-A318-206793F17848}">
            <x14:dataBar minLength="0" maxLength="100" border="1" gradient="0">
              <x14:cfvo type="num">
                <xm:f>0</xm:f>
              </x14:cfvo>
              <x14:cfvo type="num">
                <xm:f>1</xm:f>
              </x14:cfvo>
              <x14:borderColor theme="0"/>
              <x14:negativeFillColor rgb="FFFF0000"/>
              <x14:axisColor rgb="FF000000"/>
            </x14:dataBar>
          </x14:cfRule>
          <xm:sqref>Y104</xm:sqref>
        </x14:conditionalFormatting>
        <x14:conditionalFormatting xmlns:xm="http://schemas.microsoft.com/office/excel/2006/main">
          <x14:cfRule type="dataBar" id="{0FB66A07-0BD7-4B37-B16D-4A273B448E9F}">
            <x14:dataBar minLength="0" maxLength="100" border="1" gradient="0">
              <x14:cfvo type="num">
                <xm:f>0</xm:f>
              </x14:cfvo>
              <x14:cfvo type="num">
                <xm:f>1</xm:f>
              </x14:cfvo>
              <x14:borderColor theme="0"/>
              <x14:negativeFillColor rgb="FFFF0000"/>
              <x14:axisColor rgb="FF000000"/>
            </x14:dataBar>
          </x14:cfRule>
          <xm:sqref>Y106</xm:sqref>
        </x14:conditionalFormatting>
        <x14:conditionalFormatting xmlns:xm="http://schemas.microsoft.com/office/excel/2006/main">
          <x14:cfRule type="dataBar" id="{230514B6-D100-4CCA-A949-B6D79BC6E4C9}">
            <x14:dataBar minLength="0" maxLength="100" border="1" gradient="0">
              <x14:cfvo type="num">
                <xm:f>0</xm:f>
              </x14:cfvo>
              <x14:cfvo type="num">
                <xm:f>1</xm:f>
              </x14:cfvo>
              <x14:borderColor theme="0"/>
              <x14:negativeFillColor rgb="FFFF0000"/>
              <x14:axisColor rgb="FF000000"/>
            </x14:dataBar>
          </x14:cfRule>
          <xm:sqref>Y108</xm:sqref>
        </x14:conditionalFormatting>
        <x14:conditionalFormatting xmlns:xm="http://schemas.microsoft.com/office/excel/2006/main">
          <x14:cfRule type="dataBar" id="{3D0C0B02-7AF6-408B-98D6-740B632DD778}">
            <x14:dataBar minLength="0" maxLength="100" border="1" gradient="0">
              <x14:cfvo type="num">
                <xm:f>0</xm:f>
              </x14:cfvo>
              <x14:cfvo type="num">
                <xm:f>1</xm:f>
              </x14:cfvo>
              <x14:borderColor theme="0"/>
              <x14:negativeFillColor rgb="FFFF0000"/>
              <x14:axisColor rgb="FF000000"/>
            </x14:dataBar>
          </x14:cfRule>
          <xm:sqref>Y110</xm:sqref>
        </x14:conditionalFormatting>
        <x14:conditionalFormatting xmlns:xm="http://schemas.microsoft.com/office/excel/2006/main">
          <x14:cfRule type="dataBar" id="{F4927168-75AB-4656-ADF6-688CCE5E6362}">
            <x14:dataBar minLength="0" maxLength="100" border="1" gradient="0">
              <x14:cfvo type="num">
                <xm:f>0</xm:f>
              </x14:cfvo>
              <x14:cfvo type="num">
                <xm:f>1</xm:f>
              </x14:cfvo>
              <x14:borderColor theme="0"/>
              <x14:negativeFillColor rgb="FFFF0000"/>
              <x14:axisColor rgb="FF000000"/>
            </x14:dataBar>
          </x14:cfRule>
          <xm:sqref>Y112</xm:sqref>
        </x14:conditionalFormatting>
        <x14:conditionalFormatting xmlns:xm="http://schemas.microsoft.com/office/excel/2006/main">
          <x14:cfRule type="dataBar" id="{3A9F0D53-AAC3-4E8F-9F69-E1D8BB7044F7}">
            <x14:dataBar minLength="0" maxLength="100" border="1" gradient="0">
              <x14:cfvo type="num">
                <xm:f>0</xm:f>
              </x14:cfvo>
              <x14:cfvo type="num">
                <xm:f>1</xm:f>
              </x14:cfvo>
              <x14:borderColor theme="0"/>
              <x14:negativeFillColor rgb="FFFF0000"/>
              <x14:axisColor rgb="FF000000"/>
            </x14:dataBar>
          </x14:cfRule>
          <xm:sqref>Y114</xm:sqref>
        </x14:conditionalFormatting>
        <x14:conditionalFormatting xmlns:xm="http://schemas.microsoft.com/office/excel/2006/main">
          <x14:cfRule type="dataBar" id="{354DF593-4D1F-4316-B20F-5C1EC45FAD02}">
            <x14:dataBar minLength="0" maxLength="100" border="1" gradient="0">
              <x14:cfvo type="num">
                <xm:f>0</xm:f>
              </x14:cfvo>
              <x14:cfvo type="num">
                <xm:f>1</xm:f>
              </x14:cfvo>
              <x14:borderColor theme="0"/>
              <x14:negativeFillColor rgb="FFFF0000"/>
              <x14:axisColor rgb="FF000000"/>
            </x14:dataBar>
          </x14:cfRule>
          <xm:sqref>Y116</xm:sqref>
        </x14:conditionalFormatting>
        <x14:conditionalFormatting xmlns:xm="http://schemas.microsoft.com/office/excel/2006/main">
          <x14:cfRule type="dataBar" id="{5EF46FD7-2188-45FC-BC61-D7C25CD28372}">
            <x14:dataBar minLength="0" maxLength="100" border="1" gradient="0">
              <x14:cfvo type="num">
                <xm:f>0</xm:f>
              </x14:cfvo>
              <x14:cfvo type="num">
                <xm:f>1</xm:f>
              </x14:cfvo>
              <x14:borderColor theme="0"/>
              <x14:negativeFillColor rgb="FFFF0000"/>
              <x14:axisColor rgb="FF000000"/>
            </x14:dataBar>
          </x14:cfRule>
          <xm:sqref>Y118</xm:sqref>
        </x14:conditionalFormatting>
        <x14:conditionalFormatting xmlns:xm="http://schemas.microsoft.com/office/excel/2006/main">
          <x14:cfRule type="dataBar" id="{C1934676-D92B-4EEE-AC39-5210F6DC7635}">
            <x14:dataBar minLength="0" maxLength="100" border="1" gradient="0">
              <x14:cfvo type="num">
                <xm:f>0</xm:f>
              </x14:cfvo>
              <x14:cfvo type="num">
                <xm:f>1</xm:f>
              </x14:cfvo>
              <x14:borderColor theme="0"/>
              <x14:negativeFillColor rgb="FFFF0000"/>
              <x14:axisColor rgb="FF000000"/>
            </x14:dataBar>
          </x14:cfRule>
          <xm:sqref>Y120</xm:sqref>
        </x14:conditionalFormatting>
        <x14:conditionalFormatting xmlns:xm="http://schemas.microsoft.com/office/excel/2006/main">
          <x14:cfRule type="dataBar" id="{3F368544-96AD-4496-AF2F-4F4EA9E76C01}">
            <x14:dataBar minLength="0" maxLength="100" border="1" gradient="0">
              <x14:cfvo type="num">
                <xm:f>0</xm:f>
              </x14:cfvo>
              <x14:cfvo type="num">
                <xm:f>1</xm:f>
              </x14:cfvo>
              <x14:borderColor theme="0"/>
              <x14:negativeFillColor rgb="FFFF0000"/>
              <x14:axisColor rgb="FF000000"/>
            </x14:dataBar>
          </x14:cfRule>
          <xm:sqref>Y122</xm:sqref>
        </x14:conditionalFormatting>
        <x14:conditionalFormatting xmlns:xm="http://schemas.microsoft.com/office/excel/2006/main">
          <x14:cfRule type="dataBar" id="{203695B6-C58B-47AB-BE83-0561B4603252}">
            <x14:dataBar minLength="0" maxLength="100" border="1" gradient="0">
              <x14:cfvo type="num">
                <xm:f>0</xm:f>
              </x14:cfvo>
              <x14:cfvo type="num">
                <xm:f>1</xm:f>
              </x14:cfvo>
              <x14:borderColor theme="0"/>
              <x14:negativeFillColor rgb="FFFF0000"/>
              <x14:axisColor rgb="FF000000"/>
            </x14:dataBar>
          </x14:cfRule>
          <xm:sqref>Y124</xm:sqref>
        </x14:conditionalFormatting>
        <x14:conditionalFormatting xmlns:xm="http://schemas.microsoft.com/office/excel/2006/main">
          <x14:cfRule type="dataBar" id="{5A15D9CA-D883-4402-BA21-B6722D8E8D50}">
            <x14:dataBar minLength="0" maxLength="100" border="1" gradient="0">
              <x14:cfvo type="num">
                <xm:f>0</xm:f>
              </x14:cfvo>
              <x14:cfvo type="num">
                <xm:f>1</xm:f>
              </x14:cfvo>
              <x14:borderColor theme="0"/>
              <x14:negativeFillColor rgb="FFFF0000"/>
              <x14:axisColor rgb="FF000000"/>
            </x14:dataBar>
          </x14:cfRule>
          <xm:sqref>Y126</xm:sqref>
        </x14:conditionalFormatting>
        <x14:conditionalFormatting xmlns:xm="http://schemas.microsoft.com/office/excel/2006/main">
          <x14:cfRule type="dataBar" id="{15E1ADD2-DF2A-40FC-B40E-124B8283D13E}">
            <x14:dataBar minLength="0" maxLength="100" border="1" gradient="0">
              <x14:cfvo type="num">
                <xm:f>0</xm:f>
              </x14:cfvo>
              <x14:cfvo type="num">
                <xm:f>1</xm:f>
              </x14:cfvo>
              <x14:borderColor theme="0"/>
              <x14:negativeFillColor rgb="FFFF0000"/>
              <x14:axisColor rgb="FF000000"/>
            </x14:dataBar>
          </x14:cfRule>
          <xm:sqref>Y128</xm:sqref>
        </x14:conditionalFormatting>
        <x14:conditionalFormatting xmlns:xm="http://schemas.microsoft.com/office/excel/2006/main">
          <x14:cfRule type="dataBar" id="{4D103D50-B617-49C5-871B-21275D36BC99}">
            <x14:dataBar minLength="0" maxLength="100" border="1" gradient="0">
              <x14:cfvo type="num">
                <xm:f>0</xm:f>
              </x14:cfvo>
              <x14:cfvo type="num">
                <xm:f>1</xm:f>
              </x14:cfvo>
              <x14:borderColor theme="0"/>
              <x14:negativeFillColor rgb="FFFF0000"/>
              <x14:axisColor rgb="FF000000"/>
            </x14:dataBar>
          </x14:cfRule>
          <xm:sqref>Y130</xm:sqref>
        </x14:conditionalFormatting>
        <x14:conditionalFormatting xmlns:xm="http://schemas.microsoft.com/office/excel/2006/main">
          <x14:cfRule type="dataBar" id="{7CF889E2-9DF5-4FCC-AAA9-3C2B38041A90}">
            <x14:dataBar minLength="0" maxLength="100" border="1" gradient="0">
              <x14:cfvo type="num">
                <xm:f>0</xm:f>
              </x14:cfvo>
              <x14:cfvo type="num">
                <xm:f>1</xm:f>
              </x14:cfvo>
              <x14:borderColor theme="0"/>
              <x14:negativeFillColor rgb="FFFF0000"/>
              <x14:axisColor rgb="FF000000"/>
            </x14:dataBar>
          </x14:cfRule>
          <xm:sqref>Y132</xm:sqref>
        </x14:conditionalFormatting>
        <x14:conditionalFormatting xmlns:xm="http://schemas.microsoft.com/office/excel/2006/main">
          <x14:cfRule type="dataBar" id="{C3E6F6F4-2DB6-41B6-9496-533064D18E2B}">
            <x14:dataBar minLength="0" maxLength="100" border="1" gradient="0">
              <x14:cfvo type="num">
                <xm:f>0</xm:f>
              </x14:cfvo>
              <x14:cfvo type="num">
                <xm:f>1</xm:f>
              </x14:cfvo>
              <x14:borderColor theme="0"/>
              <x14:negativeFillColor rgb="FFFF0000"/>
              <x14:axisColor rgb="FF000000"/>
            </x14:dataBar>
          </x14:cfRule>
          <xm:sqref>Y134</xm:sqref>
        </x14:conditionalFormatting>
        <x14:conditionalFormatting xmlns:xm="http://schemas.microsoft.com/office/excel/2006/main">
          <x14:cfRule type="dataBar" id="{CEBD156D-316B-45B9-A8F9-9FF11569E7A1}">
            <x14:dataBar minLength="0" maxLength="100" border="1" gradient="0">
              <x14:cfvo type="num">
                <xm:f>0</xm:f>
              </x14:cfvo>
              <x14:cfvo type="num">
                <xm:f>1</xm:f>
              </x14:cfvo>
              <x14:borderColor theme="0"/>
              <x14:negativeFillColor rgb="FFFF0000"/>
              <x14:axisColor rgb="FF000000"/>
            </x14:dataBar>
          </x14:cfRule>
          <xm:sqref>Y136</xm:sqref>
        </x14:conditionalFormatting>
        <x14:conditionalFormatting xmlns:xm="http://schemas.microsoft.com/office/excel/2006/main">
          <x14:cfRule type="dataBar" id="{023CEF25-A6EB-424B-99F1-642BD53ADF6A}">
            <x14:dataBar minLength="0" maxLength="100" border="1" gradient="0">
              <x14:cfvo type="num">
                <xm:f>0</xm:f>
              </x14:cfvo>
              <x14:cfvo type="num">
                <xm:f>1</xm:f>
              </x14:cfvo>
              <x14:borderColor theme="0"/>
              <x14:negativeFillColor rgb="FFFF0000"/>
              <x14:axisColor rgb="FF000000"/>
            </x14:dataBar>
          </x14:cfRule>
          <xm:sqref>Y138</xm:sqref>
        </x14:conditionalFormatting>
        <x14:conditionalFormatting xmlns:xm="http://schemas.microsoft.com/office/excel/2006/main">
          <x14:cfRule type="dataBar" id="{33A30DA3-2489-4CBA-AA33-9D8DFE995E71}">
            <x14:dataBar minLength="0" maxLength="100" border="1" gradient="0">
              <x14:cfvo type="num">
                <xm:f>0</xm:f>
              </x14:cfvo>
              <x14:cfvo type="num">
                <xm:f>1</xm:f>
              </x14:cfvo>
              <x14:borderColor theme="0"/>
              <x14:negativeFillColor rgb="FFFF0000"/>
              <x14:axisColor rgb="FF000000"/>
            </x14:dataBar>
          </x14:cfRule>
          <xm:sqref>Y140</xm:sqref>
        </x14:conditionalFormatting>
        <x14:conditionalFormatting xmlns:xm="http://schemas.microsoft.com/office/excel/2006/main">
          <x14:cfRule type="dataBar" id="{D6B9D838-5905-473C-8157-9A2F4BA52657}">
            <x14:dataBar minLength="0" maxLength="100" border="1" gradient="0">
              <x14:cfvo type="num">
                <xm:f>0</xm:f>
              </x14:cfvo>
              <x14:cfvo type="num">
                <xm:f>1</xm:f>
              </x14:cfvo>
              <x14:borderColor theme="0"/>
              <x14:negativeFillColor rgb="FFFF0000"/>
              <x14:axisColor rgb="FF000000"/>
            </x14:dataBar>
          </x14:cfRule>
          <xm:sqref>Y142</xm:sqref>
        </x14:conditionalFormatting>
        <x14:conditionalFormatting xmlns:xm="http://schemas.microsoft.com/office/excel/2006/main">
          <x14:cfRule type="dataBar" id="{8508F6F7-5E0C-4364-B3C1-6CE8984D33E3}">
            <x14:dataBar minLength="0" maxLength="100" border="1" gradient="0">
              <x14:cfvo type="num">
                <xm:f>0</xm:f>
              </x14:cfvo>
              <x14:cfvo type="num">
                <xm:f>1</xm:f>
              </x14:cfvo>
              <x14:borderColor theme="0"/>
              <x14:negativeFillColor rgb="FFFF0000"/>
              <x14:axisColor rgb="FF000000"/>
            </x14:dataBar>
          </x14:cfRule>
          <xm:sqref>Y144</xm:sqref>
        </x14:conditionalFormatting>
        <x14:conditionalFormatting xmlns:xm="http://schemas.microsoft.com/office/excel/2006/main">
          <x14:cfRule type="dataBar" id="{3B20327E-A0E1-4BD2-A42E-361ACA51C547}">
            <x14:dataBar minLength="0" maxLength="100" border="1" gradient="0">
              <x14:cfvo type="num">
                <xm:f>0</xm:f>
              </x14:cfvo>
              <x14:cfvo type="num">
                <xm:f>1</xm:f>
              </x14:cfvo>
              <x14:borderColor theme="0"/>
              <x14:negativeFillColor rgb="FFFF0000"/>
              <x14:axisColor rgb="FF000000"/>
            </x14:dataBar>
          </x14:cfRule>
          <xm:sqref>Y146</xm:sqref>
        </x14:conditionalFormatting>
        <x14:conditionalFormatting xmlns:xm="http://schemas.microsoft.com/office/excel/2006/main">
          <x14:cfRule type="dataBar" id="{C951CEEB-2495-48C7-A54B-F39B5A4CA790}">
            <x14:dataBar minLength="0" maxLength="100" border="1" gradient="0">
              <x14:cfvo type="num">
                <xm:f>0</xm:f>
              </x14:cfvo>
              <x14:cfvo type="num">
                <xm:f>1</xm:f>
              </x14:cfvo>
              <x14:borderColor theme="0"/>
              <x14:negativeFillColor rgb="FFFF0000"/>
              <x14:axisColor rgb="FF000000"/>
            </x14:dataBar>
          </x14:cfRule>
          <xm:sqref>Y148</xm:sqref>
        </x14:conditionalFormatting>
        <x14:conditionalFormatting xmlns:xm="http://schemas.microsoft.com/office/excel/2006/main">
          <x14:cfRule type="dataBar" id="{1C78B6FA-0E73-4102-9FBC-E35B9ED7380F}">
            <x14:dataBar minLength="0" maxLength="100" border="1" gradient="0">
              <x14:cfvo type="num">
                <xm:f>0</xm:f>
              </x14:cfvo>
              <x14:cfvo type="num">
                <xm:f>1</xm:f>
              </x14:cfvo>
              <x14:borderColor theme="0"/>
              <x14:negativeFillColor rgb="FFFF0000"/>
              <x14:axisColor rgb="FF000000"/>
            </x14:dataBar>
          </x14:cfRule>
          <xm:sqref>Y150</xm:sqref>
        </x14:conditionalFormatting>
        <x14:conditionalFormatting xmlns:xm="http://schemas.microsoft.com/office/excel/2006/main">
          <x14:cfRule type="dataBar" id="{4AE9B143-4B27-4F89-901E-F879BE160802}">
            <x14:dataBar minLength="0" maxLength="100" border="1" gradient="0">
              <x14:cfvo type="num">
                <xm:f>0</xm:f>
              </x14:cfvo>
              <x14:cfvo type="num">
                <xm:f>1</xm:f>
              </x14:cfvo>
              <x14:borderColor theme="0"/>
              <x14:negativeFillColor rgb="FFFF0000"/>
              <x14:axisColor rgb="FF000000"/>
            </x14:dataBar>
          </x14:cfRule>
          <xm:sqref>Y152</xm:sqref>
        </x14:conditionalFormatting>
        <x14:conditionalFormatting xmlns:xm="http://schemas.microsoft.com/office/excel/2006/main">
          <x14:cfRule type="dataBar" id="{389D19C3-C315-4EB7-B23F-78CFF9EDB130}">
            <x14:dataBar minLength="0" maxLength="100" border="1" gradient="0">
              <x14:cfvo type="num">
                <xm:f>0</xm:f>
              </x14:cfvo>
              <x14:cfvo type="num">
                <xm:f>1</xm:f>
              </x14:cfvo>
              <x14:borderColor theme="0"/>
              <x14:negativeFillColor rgb="FFFF0000"/>
              <x14:axisColor rgb="FF000000"/>
            </x14:dataBar>
          </x14:cfRule>
          <xm:sqref>Y154</xm:sqref>
        </x14:conditionalFormatting>
        <x14:conditionalFormatting xmlns:xm="http://schemas.microsoft.com/office/excel/2006/main">
          <x14:cfRule type="dataBar" id="{F7AB5FF8-4BFB-4C9F-A6F5-216F33A9C7DD}">
            <x14:dataBar minLength="0" maxLength="100" border="1" gradient="0">
              <x14:cfvo type="num">
                <xm:f>0</xm:f>
              </x14:cfvo>
              <x14:cfvo type="num">
                <xm:f>1</xm:f>
              </x14:cfvo>
              <x14:borderColor theme="0"/>
              <x14:negativeFillColor rgb="FFFF0000"/>
              <x14:axisColor rgb="FF000000"/>
            </x14:dataBar>
          </x14:cfRule>
          <xm:sqref>Y156</xm:sqref>
        </x14:conditionalFormatting>
        <x14:conditionalFormatting xmlns:xm="http://schemas.microsoft.com/office/excel/2006/main">
          <x14:cfRule type="dataBar" id="{E0CDA4E4-F46A-45F1-962C-BCA9144A964E}">
            <x14:dataBar minLength="0" maxLength="100" border="1" gradient="0">
              <x14:cfvo type="num">
                <xm:f>0</xm:f>
              </x14:cfvo>
              <x14:cfvo type="num">
                <xm:f>1</xm:f>
              </x14:cfvo>
              <x14:borderColor theme="0"/>
              <x14:negativeFillColor rgb="FFFF0000"/>
              <x14:axisColor rgb="FF000000"/>
            </x14:dataBar>
          </x14:cfRule>
          <xm:sqref>Y158</xm:sqref>
        </x14:conditionalFormatting>
        <x14:conditionalFormatting xmlns:xm="http://schemas.microsoft.com/office/excel/2006/main">
          <x14:cfRule type="dataBar" id="{18201676-020E-49A9-ABCB-3D8E9FE35CFC}">
            <x14:dataBar minLength="0" maxLength="100" border="1" gradient="0">
              <x14:cfvo type="num">
                <xm:f>0</xm:f>
              </x14:cfvo>
              <x14:cfvo type="num">
                <xm:f>1</xm:f>
              </x14:cfvo>
              <x14:borderColor theme="0"/>
              <x14:negativeFillColor rgb="FFFF0000"/>
              <x14:axisColor rgb="FF000000"/>
            </x14:dataBar>
          </x14:cfRule>
          <xm:sqref>Y160</xm:sqref>
        </x14:conditionalFormatting>
        <x14:conditionalFormatting xmlns:xm="http://schemas.microsoft.com/office/excel/2006/main">
          <x14:cfRule type="dataBar" id="{5BF78472-F2D0-42B3-9D05-EA61A8C9F605}">
            <x14:dataBar minLength="0" maxLength="100" border="1" gradient="0">
              <x14:cfvo type="num">
                <xm:f>0</xm:f>
              </x14:cfvo>
              <x14:cfvo type="num">
                <xm:f>1</xm:f>
              </x14:cfvo>
              <x14:borderColor theme="0"/>
              <x14:negativeFillColor rgb="FFFF0000"/>
              <x14:axisColor rgb="FF000000"/>
            </x14:dataBar>
          </x14:cfRule>
          <xm:sqref>Y162</xm:sqref>
        </x14:conditionalFormatting>
        <x14:conditionalFormatting xmlns:xm="http://schemas.microsoft.com/office/excel/2006/main">
          <x14:cfRule type="dataBar" id="{4D86DEBA-3103-45F4-885B-D1835B9F7C46}">
            <x14:dataBar minLength="0" maxLength="100" border="1" gradient="0">
              <x14:cfvo type="num">
                <xm:f>0</xm:f>
              </x14:cfvo>
              <x14:cfvo type="num">
                <xm:f>1</xm:f>
              </x14:cfvo>
              <x14:borderColor theme="0"/>
              <x14:negativeFillColor rgb="FFFF0000"/>
              <x14:axisColor rgb="FF000000"/>
            </x14:dataBar>
          </x14:cfRule>
          <xm:sqref>Y164</xm:sqref>
        </x14:conditionalFormatting>
        <x14:conditionalFormatting xmlns:xm="http://schemas.microsoft.com/office/excel/2006/main">
          <x14:cfRule type="dataBar" id="{CCBBBE95-8A42-426B-AE56-B19274FFF0A6}">
            <x14:dataBar minLength="0" maxLength="100" border="1" gradient="0">
              <x14:cfvo type="num">
                <xm:f>0</xm:f>
              </x14:cfvo>
              <x14:cfvo type="num">
                <xm:f>1</xm:f>
              </x14:cfvo>
              <x14:borderColor theme="0"/>
              <x14:negativeFillColor rgb="FFFF0000"/>
              <x14:axisColor rgb="FF000000"/>
            </x14:dataBar>
          </x14:cfRule>
          <xm:sqref>Y166</xm:sqref>
        </x14:conditionalFormatting>
        <x14:conditionalFormatting xmlns:xm="http://schemas.microsoft.com/office/excel/2006/main">
          <x14:cfRule type="dataBar" id="{23F37FA8-02D3-43B4-8583-78D6C001D32F}">
            <x14:dataBar minLength="0" maxLength="100" border="1" gradient="0">
              <x14:cfvo type="num">
                <xm:f>0</xm:f>
              </x14:cfvo>
              <x14:cfvo type="num">
                <xm:f>1</xm:f>
              </x14:cfvo>
              <x14:borderColor theme="0"/>
              <x14:negativeFillColor rgb="FFFF0000"/>
              <x14:axisColor rgb="FF000000"/>
            </x14:dataBar>
          </x14:cfRule>
          <xm:sqref>Y168</xm:sqref>
        </x14:conditionalFormatting>
        <x14:conditionalFormatting xmlns:xm="http://schemas.microsoft.com/office/excel/2006/main">
          <x14:cfRule type="dataBar" id="{CC0F0AB1-E17C-4E87-9E68-741EBCC51DB5}">
            <x14:dataBar minLength="0" maxLength="100" border="1" gradient="0">
              <x14:cfvo type="num">
                <xm:f>0</xm:f>
              </x14:cfvo>
              <x14:cfvo type="num">
                <xm:f>1</xm:f>
              </x14:cfvo>
              <x14:borderColor theme="0"/>
              <x14:negativeFillColor rgb="FFFF0000"/>
              <x14:axisColor rgb="FF000000"/>
            </x14:dataBar>
          </x14:cfRule>
          <xm:sqref>Y170</xm:sqref>
        </x14:conditionalFormatting>
        <x14:conditionalFormatting xmlns:xm="http://schemas.microsoft.com/office/excel/2006/main">
          <x14:cfRule type="dataBar" id="{4B3D2E83-216F-42F5-81BE-78C45D98EE3A}">
            <x14:dataBar minLength="0" maxLength="100" border="1" gradient="0">
              <x14:cfvo type="num">
                <xm:f>0</xm:f>
              </x14:cfvo>
              <x14:cfvo type="num">
                <xm:f>1</xm:f>
              </x14:cfvo>
              <x14:borderColor theme="0"/>
              <x14:negativeFillColor rgb="FFFF0000"/>
              <x14:axisColor rgb="FF000000"/>
            </x14:dataBar>
          </x14:cfRule>
          <xm:sqref>Y172</xm:sqref>
        </x14:conditionalFormatting>
        <x14:conditionalFormatting xmlns:xm="http://schemas.microsoft.com/office/excel/2006/main">
          <x14:cfRule type="dataBar" id="{57FEEE22-51E4-4608-9BF7-95F64820D6D3}">
            <x14:dataBar minLength="0" maxLength="100" border="1" gradient="0">
              <x14:cfvo type="num">
                <xm:f>0</xm:f>
              </x14:cfvo>
              <x14:cfvo type="num">
                <xm:f>1</xm:f>
              </x14:cfvo>
              <x14:borderColor theme="0"/>
              <x14:negativeFillColor rgb="FFFF0000"/>
              <x14:axisColor rgb="FF000000"/>
            </x14:dataBar>
          </x14:cfRule>
          <xm:sqref>Y176</xm:sqref>
        </x14:conditionalFormatting>
        <x14:conditionalFormatting xmlns:xm="http://schemas.microsoft.com/office/excel/2006/main">
          <x14:cfRule type="dataBar" id="{2C1B40C3-DB91-4F85-9320-7B2C9C529CDC}">
            <x14:dataBar minLength="0" maxLength="100" border="1" gradient="0">
              <x14:cfvo type="num">
                <xm:f>0</xm:f>
              </x14:cfvo>
              <x14:cfvo type="num">
                <xm:f>1</xm:f>
              </x14:cfvo>
              <x14:borderColor theme="0"/>
              <x14:negativeFillColor rgb="FFFF0000"/>
              <x14:axisColor rgb="FF000000"/>
            </x14:dataBar>
          </x14:cfRule>
          <xm:sqref>Y186 Y188 Y190 Y192</xm:sqref>
        </x14:conditionalFormatting>
        <x14:conditionalFormatting xmlns:xm="http://schemas.microsoft.com/office/excel/2006/main">
          <x14:cfRule type="dataBar" id="{54A728AE-47F3-4984-9B48-21038AF09488}">
            <x14:dataBar minLength="0" maxLength="100" border="1" gradient="0">
              <x14:cfvo type="num">
                <xm:f>0</xm:f>
              </x14:cfvo>
              <x14:cfvo type="num">
                <xm:f>1</xm:f>
              </x14:cfvo>
              <x14:borderColor theme="0"/>
              <x14:negativeFillColor rgb="FFFF0000"/>
              <x14:axisColor rgb="FF000000"/>
            </x14:dataBar>
          </x14:cfRule>
          <xm:sqref>Y196 Y194 Y198</xm:sqref>
        </x14:conditionalFormatting>
        <x14:conditionalFormatting xmlns:xm="http://schemas.microsoft.com/office/excel/2006/main">
          <x14:cfRule type="dataBar" id="{0CFCFF1A-C991-4B1E-BBDC-E8E1FB369B3F}">
            <x14:dataBar minLength="0" maxLength="100" border="1" gradient="0">
              <x14:cfvo type="num">
                <xm:f>0</xm:f>
              </x14:cfvo>
              <x14:cfvo type="num">
                <xm:f>1</xm:f>
              </x14:cfvo>
              <x14:borderColor theme="0"/>
              <x14:negativeFillColor rgb="FFFF0000"/>
              <x14:axisColor rgb="FF000000"/>
            </x14:dataBar>
          </x14:cfRule>
          <xm:sqref>Y200</xm:sqref>
        </x14:conditionalFormatting>
        <x14:conditionalFormatting xmlns:xm="http://schemas.microsoft.com/office/excel/2006/main">
          <x14:cfRule type="dataBar" id="{836AE27F-942D-4B0D-AA03-FE323AD2749C}">
            <x14:dataBar minLength="0" maxLength="100" border="1" gradient="0">
              <x14:cfvo type="num">
                <xm:f>0</xm:f>
              </x14:cfvo>
              <x14:cfvo type="num">
                <xm:f>1</xm:f>
              </x14:cfvo>
              <x14:borderColor theme="0"/>
              <x14:negativeFillColor rgb="FFFF0000"/>
              <x14:axisColor rgb="FF000000"/>
            </x14:dataBar>
          </x14:cfRule>
          <xm:sqref>Y202 Y204 Y178 Y180 Y182 Y184</xm:sqref>
        </x14:conditionalFormatting>
        <x14:conditionalFormatting xmlns:xm="http://schemas.microsoft.com/office/excel/2006/main">
          <x14:cfRule type="dataBar" id="{9DE11C71-030D-4078-94F8-354F5313AB50}">
            <x14:dataBar minLength="0" maxLength="100" border="1" gradient="0">
              <x14:cfvo type="num">
                <xm:f>0</xm:f>
              </x14:cfvo>
              <x14:cfvo type="num">
                <xm:f>1</xm:f>
              </x14:cfvo>
              <x14:borderColor theme="0"/>
              <x14:negativeFillColor rgb="FFFF0000"/>
              <x14:axisColor rgb="FF000000"/>
            </x14:dataBar>
          </x14:cfRule>
          <xm:sqref>Y206</xm:sqref>
        </x14:conditionalFormatting>
        <x14:conditionalFormatting xmlns:xm="http://schemas.microsoft.com/office/excel/2006/main">
          <x14:cfRule type="dataBar" id="{94A3CB1D-FA40-4F73-950D-1BA39037B9D4}">
            <x14:dataBar minLength="0" maxLength="100" border="1" gradient="0">
              <x14:cfvo type="num">
                <xm:f>0</xm:f>
              </x14:cfvo>
              <x14:cfvo type="num">
                <xm:f>1</xm:f>
              </x14:cfvo>
              <x14:borderColor theme="0"/>
              <x14:negativeFillColor rgb="FFFF0000"/>
              <x14:axisColor rgb="FF000000"/>
            </x14:dataBar>
          </x14:cfRule>
          <xm:sqref>Y208</xm:sqref>
        </x14:conditionalFormatting>
        <x14:conditionalFormatting xmlns:xm="http://schemas.microsoft.com/office/excel/2006/main">
          <x14:cfRule type="dataBar" id="{BA23E2B6-CABA-46F9-BC66-FA771E4170EB}">
            <x14:dataBar minLength="0" maxLength="100" border="1" gradient="0">
              <x14:cfvo type="num">
                <xm:f>0</xm:f>
              </x14:cfvo>
              <x14:cfvo type="num">
                <xm:f>1</xm:f>
              </x14:cfvo>
              <x14:borderColor theme="0"/>
              <x14:negativeFillColor rgb="FFFF0000"/>
              <x14:axisColor rgb="FF000000"/>
            </x14:dataBar>
          </x14:cfRule>
          <xm:sqref>Y210</xm:sqref>
        </x14:conditionalFormatting>
        <x14:conditionalFormatting xmlns:xm="http://schemas.microsoft.com/office/excel/2006/main">
          <x14:cfRule type="dataBar" id="{BF075670-43F1-40E9-BA01-BB8F6509E3B8}">
            <x14:dataBar minLength="0" maxLength="100" border="1" gradient="0">
              <x14:cfvo type="num">
                <xm:f>0</xm:f>
              </x14:cfvo>
              <x14:cfvo type="num">
                <xm:f>1</xm:f>
              </x14:cfvo>
              <x14:borderColor theme="0"/>
              <x14:negativeFillColor rgb="FFFF0000"/>
              <x14:axisColor rgb="FF000000"/>
            </x14:dataBar>
          </x14:cfRule>
          <xm:sqref>Y212</xm:sqref>
        </x14:conditionalFormatting>
        <x14:conditionalFormatting xmlns:xm="http://schemas.microsoft.com/office/excel/2006/main">
          <x14:cfRule type="dataBar" id="{BDE4B28E-7AB4-42B5-8481-78873AC41A70}">
            <x14:dataBar minLength="0" maxLength="100" border="1" gradient="0">
              <x14:cfvo type="num">
                <xm:f>0</xm:f>
              </x14:cfvo>
              <x14:cfvo type="num">
                <xm:f>1</xm:f>
              </x14:cfvo>
              <x14:borderColor theme="0"/>
              <x14:negativeFillColor rgb="FFFF0000"/>
              <x14:axisColor rgb="FF000000"/>
            </x14:dataBar>
          </x14:cfRule>
          <xm:sqref>Y214</xm:sqref>
        </x14:conditionalFormatting>
        <x14:conditionalFormatting xmlns:xm="http://schemas.microsoft.com/office/excel/2006/main">
          <x14:cfRule type="dataBar" id="{FEE3FCAD-1BE6-4136-BAF3-AD6460A6AAEA}">
            <x14:dataBar minLength="0" maxLength="100" border="1" gradient="0">
              <x14:cfvo type="num">
                <xm:f>0</xm:f>
              </x14:cfvo>
              <x14:cfvo type="num">
                <xm:f>1</xm:f>
              </x14:cfvo>
              <x14:borderColor theme="0"/>
              <x14:negativeFillColor rgb="FFFF0000"/>
              <x14:axisColor rgb="FF000000"/>
            </x14:dataBar>
          </x14:cfRule>
          <xm:sqref>Y216</xm:sqref>
        </x14:conditionalFormatting>
        <x14:conditionalFormatting xmlns:xm="http://schemas.microsoft.com/office/excel/2006/main">
          <x14:cfRule type="dataBar" id="{3D23ECA1-EFBA-4671-B76A-984716950E00}">
            <x14:dataBar minLength="0" maxLength="100" border="1" gradient="0">
              <x14:cfvo type="num">
                <xm:f>0</xm:f>
              </x14:cfvo>
              <x14:cfvo type="num">
                <xm:f>1</xm:f>
              </x14:cfvo>
              <x14:borderColor theme="0"/>
              <x14:negativeFillColor rgb="FFFF0000"/>
              <x14:axisColor rgb="FF000000"/>
            </x14:dataBar>
          </x14:cfRule>
          <xm:sqref>Y218</xm:sqref>
        </x14:conditionalFormatting>
        <x14:conditionalFormatting xmlns:xm="http://schemas.microsoft.com/office/excel/2006/main">
          <x14:cfRule type="dataBar" id="{90B1048D-C5A6-4E3E-BE88-B8BB74A25D7C}">
            <x14:dataBar minLength="0" maxLength="100" border="1" gradient="0">
              <x14:cfvo type="num">
                <xm:f>0</xm:f>
              </x14:cfvo>
              <x14:cfvo type="num">
                <xm:f>1</xm:f>
              </x14:cfvo>
              <x14:borderColor theme="0"/>
              <x14:negativeFillColor rgb="FFFF0000"/>
              <x14:axisColor rgb="FF000000"/>
            </x14:dataBar>
          </x14:cfRule>
          <xm:sqref>Y220</xm:sqref>
        </x14:conditionalFormatting>
        <x14:conditionalFormatting xmlns:xm="http://schemas.microsoft.com/office/excel/2006/main">
          <x14:cfRule type="dataBar" id="{0A0D5FC8-6CC1-4B26-9362-B3F2C2F29632}">
            <x14:dataBar minLength="0" maxLength="100" border="1" gradient="0">
              <x14:cfvo type="num">
                <xm:f>0</xm:f>
              </x14:cfvo>
              <x14:cfvo type="num">
                <xm:f>1</xm:f>
              </x14:cfvo>
              <x14:borderColor theme="0"/>
              <x14:negativeFillColor rgb="FFFF0000"/>
              <x14:axisColor rgb="FF000000"/>
            </x14:dataBar>
          </x14:cfRule>
          <xm:sqref>Y222</xm:sqref>
        </x14:conditionalFormatting>
        <x14:conditionalFormatting xmlns:xm="http://schemas.microsoft.com/office/excel/2006/main">
          <x14:cfRule type="dataBar" id="{203E0F37-0181-4299-BB9B-23C23D42493E}">
            <x14:dataBar minLength="0" maxLength="100" border="1" gradient="0">
              <x14:cfvo type="num">
                <xm:f>0</xm:f>
              </x14:cfvo>
              <x14:cfvo type="num">
                <xm:f>1</xm:f>
              </x14:cfvo>
              <x14:borderColor theme="0"/>
              <x14:negativeFillColor rgb="FFFF0000"/>
              <x14:axisColor rgb="FF000000"/>
            </x14:dataBar>
          </x14:cfRule>
          <xm:sqref>Y224</xm:sqref>
        </x14:conditionalFormatting>
        <x14:conditionalFormatting xmlns:xm="http://schemas.microsoft.com/office/excel/2006/main">
          <x14:cfRule type="dataBar" id="{C6D8E634-8E30-48EA-8A6A-77DC9169B0D8}">
            <x14:dataBar minLength="0" maxLength="100" border="1" gradient="0">
              <x14:cfvo type="num">
                <xm:f>0</xm:f>
              </x14:cfvo>
              <x14:cfvo type="num">
                <xm:f>1</xm:f>
              </x14:cfvo>
              <x14:borderColor theme="0"/>
              <x14:negativeFillColor rgb="FFFF0000"/>
              <x14:axisColor rgb="FF000000"/>
            </x14:dataBar>
          </x14:cfRule>
          <xm:sqref>Y226</xm:sqref>
        </x14:conditionalFormatting>
        <x14:conditionalFormatting xmlns:xm="http://schemas.microsoft.com/office/excel/2006/main">
          <x14:cfRule type="dataBar" id="{0F3E3AFD-91D4-4AE6-B36C-2D58C4BC22EB}">
            <x14:dataBar minLength="0" maxLength="100" border="1" gradient="0">
              <x14:cfvo type="num">
                <xm:f>0</xm:f>
              </x14:cfvo>
              <x14:cfvo type="num">
                <xm:f>1</xm:f>
              </x14:cfvo>
              <x14:borderColor theme="0"/>
              <x14:negativeFillColor rgb="FFFF0000"/>
              <x14:axisColor rgb="FF000000"/>
            </x14:dataBar>
          </x14:cfRule>
          <xm:sqref>Y228</xm:sqref>
        </x14:conditionalFormatting>
        <x14:conditionalFormatting xmlns:xm="http://schemas.microsoft.com/office/excel/2006/main">
          <x14:cfRule type="dataBar" id="{BA0993D3-F38B-43D7-B8D3-7E6B96F339BD}">
            <x14:dataBar minLength="0" maxLength="100" border="1" gradient="0">
              <x14:cfvo type="num">
                <xm:f>0</xm:f>
              </x14:cfvo>
              <x14:cfvo type="num">
                <xm:f>1</xm:f>
              </x14:cfvo>
              <x14:borderColor theme="0"/>
              <x14:negativeFillColor rgb="FFFF0000"/>
              <x14:axisColor rgb="FF000000"/>
            </x14:dataBar>
          </x14:cfRule>
          <xm:sqref>Y232</xm:sqref>
        </x14:conditionalFormatting>
        <x14:conditionalFormatting xmlns:xm="http://schemas.microsoft.com/office/excel/2006/main">
          <x14:cfRule type="dataBar" id="{A4D4371D-EF3C-4273-8EA3-08795B24DF2B}">
            <x14:dataBar minLength="0" maxLength="100" border="1" gradient="0">
              <x14:cfvo type="num">
                <xm:f>0</xm:f>
              </x14:cfvo>
              <x14:cfvo type="num">
                <xm:f>1</xm:f>
              </x14:cfvo>
              <x14:borderColor theme="0"/>
              <x14:negativeFillColor rgb="FFFF0000"/>
              <x14:axisColor rgb="FF000000"/>
            </x14:dataBar>
          </x14:cfRule>
          <xm:sqref>Y234</xm:sqref>
        </x14:conditionalFormatting>
        <x14:conditionalFormatting xmlns:xm="http://schemas.microsoft.com/office/excel/2006/main">
          <x14:cfRule type="dataBar" id="{BB03E262-40AC-4F64-8265-276BE4CFCA96}">
            <x14:dataBar minLength="0" maxLength="100" border="1" gradient="0">
              <x14:cfvo type="num">
                <xm:f>0</xm:f>
              </x14:cfvo>
              <x14:cfvo type="num">
                <xm:f>1</xm:f>
              </x14:cfvo>
              <x14:borderColor theme="0"/>
              <x14:negativeFillColor rgb="FFFF0000"/>
              <x14:axisColor rgb="FF000000"/>
            </x14:dataBar>
          </x14:cfRule>
          <xm:sqref>Y236</xm:sqref>
        </x14:conditionalFormatting>
        <x14:conditionalFormatting xmlns:xm="http://schemas.microsoft.com/office/excel/2006/main">
          <x14:cfRule type="dataBar" id="{13725887-CAF9-49FE-BF5C-8087771215EF}">
            <x14:dataBar minLength="0" maxLength="100" border="1" gradient="0">
              <x14:cfvo type="num">
                <xm:f>0</xm:f>
              </x14:cfvo>
              <x14:cfvo type="num">
                <xm:f>1</xm:f>
              </x14:cfvo>
              <x14:borderColor theme="0"/>
              <x14:negativeFillColor rgb="FFFF0000"/>
              <x14:axisColor rgb="FF000000"/>
            </x14:dataBar>
          </x14:cfRule>
          <xm:sqref>Y238</xm:sqref>
        </x14:conditionalFormatting>
        <x14:conditionalFormatting xmlns:xm="http://schemas.microsoft.com/office/excel/2006/main">
          <x14:cfRule type="dataBar" id="{93EAC1EB-888D-4A70-8435-E55F9E39442A}">
            <x14:dataBar minLength="0" maxLength="100" border="1" gradient="0">
              <x14:cfvo type="num">
                <xm:f>0</xm:f>
              </x14:cfvo>
              <x14:cfvo type="num">
                <xm:f>1</xm:f>
              </x14:cfvo>
              <x14:borderColor theme="0"/>
              <x14:negativeFillColor rgb="FFFF0000"/>
              <x14:axisColor rgb="FF000000"/>
            </x14:dataBar>
          </x14:cfRule>
          <xm:sqref>Y240</xm:sqref>
        </x14:conditionalFormatting>
        <x14:conditionalFormatting xmlns:xm="http://schemas.microsoft.com/office/excel/2006/main">
          <x14:cfRule type="dataBar" id="{DEF72D4F-E07B-46E1-BB14-E19E96289A68}">
            <x14:dataBar minLength="0" maxLength="100" border="1" gradient="0">
              <x14:cfvo type="num">
                <xm:f>0</xm:f>
              </x14:cfvo>
              <x14:cfvo type="num">
                <xm:f>1</xm:f>
              </x14:cfvo>
              <x14:borderColor theme="0"/>
              <x14:negativeFillColor rgb="FFFF0000"/>
              <x14:axisColor rgb="FF000000"/>
            </x14:dataBar>
          </x14:cfRule>
          <xm:sqref>Y242</xm:sqref>
        </x14:conditionalFormatting>
        <x14:conditionalFormatting xmlns:xm="http://schemas.microsoft.com/office/excel/2006/main">
          <x14:cfRule type="dataBar" id="{A1D8877A-FE3A-4940-829A-E210A037DF13}">
            <x14:dataBar minLength="0" maxLength="100" border="1" gradient="0">
              <x14:cfvo type="num">
                <xm:f>0</xm:f>
              </x14:cfvo>
              <x14:cfvo type="num">
                <xm:f>1</xm:f>
              </x14:cfvo>
              <x14:borderColor theme="0"/>
              <x14:negativeFillColor rgb="FFFF0000"/>
              <x14:axisColor rgb="FF000000"/>
            </x14:dataBar>
          </x14:cfRule>
          <xm:sqref>Y244</xm:sqref>
        </x14:conditionalFormatting>
        <x14:conditionalFormatting xmlns:xm="http://schemas.microsoft.com/office/excel/2006/main">
          <x14:cfRule type="dataBar" id="{DD4BAC9C-9CD2-4D00-B7E4-CA3546C72BA8}">
            <x14:dataBar minLength="0" maxLength="100" border="1" gradient="0">
              <x14:cfvo type="num">
                <xm:f>0</xm:f>
              </x14:cfvo>
              <x14:cfvo type="num">
                <xm:f>1</xm:f>
              </x14:cfvo>
              <x14:borderColor theme="0"/>
              <x14:negativeFillColor rgb="FFFF0000"/>
              <x14:axisColor rgb="FF000000"/>
            </x14:dataBar>
          </x14:cfRule>
          <xm:sqref>Y246</xm:sqref>
        </x14:conditionalFormatting>
        <x14:conditionalFormatting xmlns:xm="http://schemas.microsoft.com/office/excel/2006/main">
          <x14:cfRule type="dataBar" id="{45B61F08-838B-497C-A6F5-FC656A79C339}">
            <x14:dataBar minLength="0" maxLength="100" border="1" gradient="0">
              <x14:cfvo type="num">
                <xm:f>0</xm:f>
              </x14:cfvo>
              <x14:cfvo type="num">
                <xm:f>1</xm:f>
              </x14:cfvo>
              <x14:borderColor theme="0"/>
              <x14:negativeFillColor rgb="FFFF0000"/>
              <x14:axisColor rgb="FF000000"/>
            </x14:dataBar>
          </x14:cfRule>
          <xm:sqref>Y248</xm:sqref>
        </x14:conditionalFormatting>
        <x14:conditionalFormatting xmlns:xm="http://schemas.microsoft.com/office/excel/2006/main">
          <x14:cfRule type="dataBar" id="{4840CFC8-07C0-4E73-B756-8650257D7E26}">
            <x14:dataBar minLength="0" maxLength="100" border="1" gradient="0">
              <x14:cfvo type="num">
                <xm:f>0</xm:f>
              </x14:cfvo>
              <x14:cfvo type="num">
                <xm:f>1</xm:f>
              </x14:cfvo>
              <x14:borderColor theme="0"/>
              <x14:negativeFillColor rgb="FFFF0000"/>
              <x14:axisColor rgb="FF000000"/>
            </x14:dataBar>
          </x14:cfRule>
          <xm:sqref>Y250</xm:sqref>
        </x14:conditionalFormatting>
        <x14:conditionalFormatting xmlns:xm="http://schemas.microsoft.com/office/excel/2006/main">
          <x14:cfRule type="dataBar" id="{4AC0DF56-FB61-49E7-807E-C0CCF7F7C838}">
            <x14:dataBar minLength="0" maxLength="100" border="1" gradient="0">
              <x14:cfvo type="num">
                <xm:f>0</xm:f>
              </x14:cfvo>
              <x14:cfvo type="num">
                <xm:f>1</xm:f>
              </x14:cfvo>
              <x14:borderColor theme="0"/>
              <x14:negativeFillColor rgb="FFFF0000"/>
              <x14:axisColor rgb="FF000000"/>
            </x14:dataBar>
          </x14:cfRule>
          <xm:sqref>Y252</xm:sqref>
        </x14:conditionalFormatting>
        <x14:conditionalFormatting xmlns:xm="http://schemas.microsoft.com/office/excel/2006/main">
          <x14:cfRule type="dataBar" id="{78550355-A909-444A-9A79-BE152B6792C3}">
            <x14:dataBar minLength="0" maxLength="100" border="1" gradient="0">
              <x14:cfvo type="num">
                <xm:f>0</xm:f>
              </x14:cfvo>
              <x14:cfvo type="num">
                <xm:f>1</xm:f>
              </x14:cfvo>
              <x14:borderColor theme="0"/>
              <x14:negativeFillColor rgb="FFFF0000"/>
              <x14:axisColor rgb="FF000000"/>
            </x14:dataBar>
          </x14:cfRule>
          <xm:sqref>Y254</xm:sqref>
        </x14:conditionalFormatting>
        <x14:conditionalFormatting xmlns:xm="http://schemas.microsoft.com/office/excel/2006/main">
          <x14:cfRule type="dataBar" id="{DAA2593E-9511-4EEE-8EB7-AFD43B9D9E5A}">
            <x14:dataBar minLength="0" maxLength="100" border="1" gradient="0">
              <x14:cfvo type="num">
                <xm:f>0</xm:f>
              </x14:cfvo>
              <x14:cfvo type="num">
                <xm:f>1</xm:f>
              </x14:cfvo>
              <x14:borderColor theme="0"/>
              <x14:negativeFillColor rgb="FFFF0000"/>
              <x14:axisColor rgb="FF000000"/>
            </x14:dataBar>
          </x14:cfRule>
          <xm:sqref>Y256</xm:sqref>
        </x14:conditionalFormatting>
        <x14:conditionalFormatting xmlns:xm="http://schemas.microsoft.com/office/excel/2006/main">
          <x14:cfRule type="dataBar" id="{8E444AE9-7F12-464E-991F-5DC82A4D9C17}">
            <x14:dataBar minLength="0" maxLength="100" border="1" gradient="0">
              <x14:cfvo type="num">
                <xm:f>0</xm:f>
              </x14:cfvo>
              <x14:cfvo type="num">
                <xm:f>1</xm:f>
              </x14:cfvo>
              <x14:borderColor theme="0"/>
              <x14:negativeFillColor rgb="FFFF0000"/>
              <x14:axisColor rgb="FF000000"/>
            </x14:dataBar>
          </x14:cfRule>
          <xm:sqref>Y258</xm:sqref>
        </x14:conditionalFormatting>
        <x14:conditionalFormatting xmlns:xm="http://schemas.microsoft.com/office/excel/2006/main">
          <x14:cfRule type="dataBar" id="{9DF4CD53-8328-419C-A591-BA5F488B6960}">
            <x14:dataBar minLength="0" maxLength="100" border="1" gradient="0">
              <x14:cfvo type="num">
                <xm:f>0</xm:f>
              </x14:cfvo>
              <x14:cfvo type="num">
                <xm:f>1</xm:f>
              </x14:cfvo>
              <x14:borderColor theme="0"/>
              <x14:negativeFillColor rgb="FFFF0000"/>
              <x14:axisColor rgb="FF000000"/>
            </x14:dataBar>
          </x14:cfRule>
          <xm:sqref>Y260</xm:sqref>
        </x14:conditionalFormatting>
        <x14:conditionalFormatting xmlns:xm="http://schemas.microsoft.com/office/excel/2006/main">
          <x14:cfRule type="dataBar" id="{CE2351C1-F2AA-41E2-A478-4633DEE25DF5}">
            <x14:dataBar minLength="0" maxLength="100" border="1" gradient="0">
              <x14:cfvo type="num">
                <xm:f>0</xm:f>
              </x14:cfvo>
              <x14:cfvo type="num">
                <xm:f>1</xm:f>
              </x14:cfvo>
              <x14:borderColor theme="0"/>
              <x14:negativeFillColor rgb="FFFF0000"/>
              <x14:axisColor rgb="FF000000"/>
            </x14:dataBar>
          </x14:cfRule>
          <xm:sqref>Y262</xm:sqref>
        </x14:conditionalFormatting>
        <x14:conditionalFormatting xmlns:xm="http://schemas.microsoft.com/office/excel/2006/main">
          <x14:cfRule type="dataBar" id="{629A871C-AE42-4E8F-A285-094C9573253E}">
            <x14:dataBar minLength="0" maxLength="100" border="1" gradient="0">
              <x14:cfvo type="num">
                <xm:f>0</xm:f>
              </x14:cfvo>
              <x14:cfvo type="num">
                <xm:f>1</xm:f>
              </x14:cfvo>
              <x14:borderColor theme="0"/>
              <x14:negativeFillColor rgb="FFFF0000"/>
              <x14:axisColor rgb="FF000000"/>
            </x14:dataBar>
          </x14:cfRule>
          <xm:sqref>Y264</xm:sqref>
        </x14:conditionalFormatting>
        <x14:conditionalFormatting xmlns:xm="http://schemas.microsoft.com/office/excel/2006/main">
          <x14:cfRule type="dataBar" id="{7AD0218B-6112-4BF4-B520-0351552E80C5}">
            <x14:dataBar minLength="0" maxLength="100" border="1" gradient="0">
              <x14:cfvo type="num">
                <xm:f>0</xm:f>
              </x14:cfvo>
              <x14:cfvo type="num">
                <xm:f>1</xm:f>
              </x14:cfvo>
              <x14:borderColor theme="0"/>
              <x14:negativeFillColor rgb="FFFF0000"/>
              <x14:axisColor rgb="FF000000"/>
            </x14:dataBar>
          </x14:cfRule>
          <xm:sqref>Y266</xm:sqref>
        </x14:conditionalFormatting>
        <x14:conditionalFormatting xmlns:xm="http://schemas.microsoft.com/office/excel/2006/main">
          <x14:cfRule type="dataBar" id="{021C36D0-7EAC-43F5-A190-9583E7198531}">
            <x14:dataBar minLength="0" maxLength="100" border="1" gradient="0">
              <x14:cfvo type="num">
                <xm:f>0</xm:f>
              </x14:cfvo>
              <x14:cfvo type="num">
                <xm:f>1</xm:f>
              </x14:cfvo>
              <x14:borderColor theme="0"/>
              <x14:negativeFillColor rgb="FFFF0000"/>
              <x14:axisColor rgb="FF000000"/>
            </x14:dataBar>
          </x14:cfRule>
          <xm:sqref>Y268</xm:sqref>
        </x14:conditionalFormatting>
        <x14:conditionalFormatting xmlns:xm="http://schemas.microsoft.com/office/excel/2006/main">
          <x14:cfRule type="dataBar" id="{8636684F-26C2-44D1-804D-05DDB2EDC448}">
            <x14:dataBar minLength="0" maxLength="100" border="1" gradient="0">
              <x14:cfvo type="num">
                <xm:f>0</xm:f>
              </x14:cfvo>
              <x14:cfvo type="num">
                <xm:f>1</xm:f>
              </x14:cfvo>
              <x14:borderColor theme="0"/>
              <x14:negativeFillColor rgb="FFFF0000"/>
              <x14:axisColor rgb="FF000000"/>
            </x14:dataBar>
          </x14:cfRule>
          <xm:sqref>Y270</xm:sqref>
        </x14:conditionalFormatting>
        <x14:conditionalFormatting xmlns:xm="http://schemas.microsoft.com/office/excel/2006/main">
          <x14:cfRule type="dataBar" id="{9B221186-FE4E-4719-9FF0-7DCD8E0EC446}">
            <x14:dataBar minLength="0" maxLength="100" border="1" gradient="0">
              <x14:cfvo type="num">
                <xm:f>0</xm:f>
              </x14:cfvo>
              <x14:cfvo type="num">
                <xm:f>1</xm:f>
              </x14:cfvo>
              <x14:borderColor theme="0"/>
              <x14:negativeFillColor rgb="FFFF0000"/>
              <x14:axisColor rgb="FF000000"/>
            </x14:dataBar>
          </x14:cfRule>
          <xm:sqref>Y272</xm:sqref>
        </x14:conditionalFormatting>
        <x14:conditionalFormatting xmlns:xm="http://schemas.microsoft.com/office/excel/2006/main">
          <x14:cfRule type="dataBar" id="{B52F4FA5-FD95-437C-ACEF-FB5CE57198F6}">
            <x14:dataBar minLength="0" maxLength="100" border="1" gradient="0">
              <x14:cfvo type="num">
                <xm:f>0</xm:f>
              </x14:cfvo>
              <x14:cfvo type="num">
                <xm:f>1</xm:f>
              </x14:cfvo>
              <x14:borderColor theme="0"/>
              <x14:negativeFillColor rgb="FFFF0000"/>
              <x14:axisColor rgb="FF000000"/>
            </x14:dataBar>
          </x14:cfRule>
          <xm:sqref>Y274</xm:sqref>
        </x14:conditionalFormatting>
        <x14:conditionalFormatting xmlns:xm="http://schemas.microsoft.com/office/excel/2006/main">
          <x14:cfRule type="dataBar" id="{07DEE460-A915-4AD9-A1CB-45F747D6BC35}">
            <x14:dataBar minLength="0" maxLength="100" border="1" gradient="0">
              <x14:cfvo type="num">
                <xm:f>0</xm:f>
              </x14:cfvo>
              <x14:cfvo type="num">
                <xm:f>1</xm:f>
              </x14:cfvo>
              <x14:borderColor theme="0"/>
              <x14:negativeFillColor rgb="FFFF0000"/>
              <x14:axisColor rgb="FF000000"/>
            </x14:dataBar>
          </x14:cfRule>
          <xm:sqref>Y276</xm:sqref>
        </x14:conditionalFormatting>
        <x14:conditionalFormatting xmlns:xm="http://schemas.microsoft.com/office/excel/2006/main">
          <x14:cfRule type="dataBar" id="{AD9535E3-A1AB-415A-9001-1F9CDCBAA6AE}">
            <x14:dataBar minLength="0" maxLength="100" border="1" gradient="0">
              <x14:cfvo type="num">
                <xm:f>0</xm:f>
              </x14:cfvo>
              <x14:cfvo type="num">
                <xm:f>1</xm:f>
              </x14:cfvo>
              <x14:borderColor theme="0"/>
              <x14:negativeFillColor rgb="FFFF0000"/>
              <x14:axisColor rgb="FF000000"/>
            </x14:dataBar>
          </x14:cfRule>
          <xm:sqref>Y278</xm:sqref>
        </x14:conditionalFormatting>
        <x14:conditionalFormatting xmlns:xm="http://schemas.microsoft.com/office/excel/2006/main">
          <x14:cfRule type="dataBar" id="{60DB7D3D-592C-4636-B414-6FE6B1F8DFB6}">
            <x14:dataBar minLength="0" maxLength="100" border="1" gradient="0">
              <x14:cfvo type="num">
                <xm:f>0</xm:f>
              </x14:cfvo>
              <x14:cfvo type="num">
                <xm:f>1</xm:f>
              </x14:cfvo>
              <x14:borderColor theme="0"/>
              <x14:negativeFillColor rgb="FFFF0000"/>
              <x14:axisColor rgb="FF000000"/>
            </x14:dataBar>
          </x14:cfRule>
          <xm:sqref>Y280</xm:sqref>
        </x14:conditionalFormatting>
        <x14:conditionalFormatting xmlns:xm="http://schemas.microsoft.com/office/excel/2006/main">
          <x14:cfRule type="dataBar" id="{74F448B5-3134-40D8-92D4-6817CFFF37D6}">
            <x14:dataBar minLength="0" maxLength="100" border="1" gradient="0">
              <x14:cfvo type="num">
                <xm:f>0</xm:f>
              </x14:cfvo>
              <x14:cfvo type="num">
                <xm:f>1</xm:f>
              </x14:cfvo>
              <x14:borderColor theme="0"/>
              <x14:negativeFillColor rgb="FFFF0000"/>
              <x14:axisColor rgb="FF000000"/>
            </x14:dataBar>
          </x14:cfRule>
          <xm:sqref>Y282</xm:sqref>
        </x14:conditionalFormatting>
        <x14:conditionalFormatting xmlns:xm="http://schemas.microsoft.com/office/excel/2006/main">
          <x14:cfRule type="dataBar" id="{0451C4CA-8B76-48CE-AD81-789D73F5DAD6}">
            <x14:dataBar minLength="0" maxLength="100" border="1" gradient="0">
              <x14:cfvo type="num">
                <xm:f>0</xm:f>
              </x14:cfvo>
              <x14:cfvo type="num">
                <xm:f>1</xm:f>
              </x14:cfvo>
              <x14:borderColor theme="0"/>
              <x14:negativeFillColor rgb="FFFF0000"/>
              <x14:axisColor rgb="FF000000"/>
            </x14:dataBar>
          </x14:cfRule>
          <xm:sqref>Y284</xm:sqref>
        </x14:conditionalFormatting>
        <x14:conditionalFormatting xmlns:xm="http://schemas.microsoft.com/office/excel/2006/main">
          <x14:cfRule type="dataBar" id="{892518B2-0551-42E0-A9AB-A72A2C98BBC0}">
            <x14:dataBar minLength="0" maxLength="100" border="1" gradient="0">
              <x14:cfvo type="num">
                <xm:f>0</xm:f>
              </x14:cfvo>
              <x14:cfvo type="num">
                <xm:f>1</xm:f>
              </x14:cfvo>
              <x14:borderColor theme="0"/>
              <x14:negativeFillColor rgb="FFFF0000"/>
              <x14:axisColor rgb="FF000000"/>
            </x14:dataBar>
          </x14:cfRule>
          <xm:sqref>Y286</xm:sqref>
        </x14:conditionalFormatting>
        <x14:conditionalFormatting xmlns:xm="http://schemas.microsoft.com/office/excel/2006/main">
          <x14:cfRule type="dataBar" id="{839ED7BB-251A-4648-9A89-4EFC4EEC01D0}">
            <x14:dataBar minLength="0" maxLength="100" border="1" gradient="0">
              <x14:cfvo type="num">
                <xm:f>0</xm:f>
              </x14:cfvo>
              <x14:cfvo type="num">
                <xm:f>1</xm:f>
              </x14:cfvo>
              <x14:borderColor theme="0"/>
              <x14:negativeFillColor rgb="FFFF0000"/>
              <x14:axisColor rgb="FF000000"/>
            </x14:dataBar>
          </x14:cfRule>
          <xm:sqref>Y288</xm:sqref>
        </x14:conditionalFormatting>
        <x14:conditionalFormatting xmlns:xm="http://schemas.microsoft.com/office/excel/2006/main">
          <x14:cfRule type="dataBar" id="{A5691028-0265-4FE1-9D8C-BCCF48F2060D}">
            <x14:dataBar minLength="0" maxLength="100" border="1" gradient="0">
              <x14:cfvo type="num">
                <xm:f>0</xm:f>
              </x14:cfvo>
              <x14:cfvo type="num">
                <xm:f>1</xm:f>
              </x14:cfvo>
              <x14:borderColor theme="0"/>
              <x14:negativeFillColor rgb="FFFF0000"/>
              <x14:axisColor rgb="FF000000"/>
            </x14:dataBar>
          </x14:cfRule>
          <xm:sqref>Y290</xm:sqref>
        </x14:conditionalFormatting>
        <x14:conditionalFormatting xmlns:xm="http://schemas.microsoft.com/office/excel/2006/main">
          <x14:cfRule type="dataBar" id="{617B5364-360E-4295-AC01-4E99518369A4}">
            <x14:dataBar minLength="0" maxLength="100" border="1" gradient="0">
              <x14:cfvo type="num">
                <xm:f>0</xm:f>
              </x14:cfvo>
              <x14:cfvo type="num">
                <xm:f>1</xm:f>
              </x14:cfvo>
              <x14:borderColor theme="0"/>
              <x14:negativeFillColor rgb="FFFF0000"/>
              <x14:axisColor rgb="FF000000"/>
            </x14:dataBar>
          </x14:cfRule>
          <xm:sqref>Y292</xm:sqref>
        </x14:conditionalFormatting>
        <x14:conditionalFormatting xmlns:xm="http://schemas.microsoft.com/office/excel/2006/main">
          <x14:cfRule type="dataBar" id="{394BE9DE-3DFC-489E-8AB9-5B9A448E807D}">
            <x14:dataBar minLength="0" maxLength="100" border="1" gradient="0">
              <x14:cfvo type="num">
                <xm:f>0</xm:f>
              </x14:cfvo>
              <x14:cfvo type="num">
                <xm:f>1</xm:f>
              </x14:cfvo>
              <x14:borderColor theme="0"/>
              <x14:negativeFillColor rgb="FFFF0000"/>
              <x14:axisColor rgb="FF000000"/>
            </x14:dataBar>
          </x14:cfRule>
          <xm:sqref>Y294</xm:sqref>
        </x14:conditionalFormatting>
        <x14:conditionalFormatting xmlns:xm="http://schemas.microsoft.com/office/excel/2006/main">
          <x14:cfRule type="dataBar" id="{38AA5452-3111-46CE-897C-90BCE2ACF3D2}">
            <x14:dataBar minLength="0" maxLength="100" border="1" gradient="0">
              <x14:cfvo type="num">
                <xm:f>0</xm:f>
              </x14:cfvo>
              <x14:cfvo type="num">
                <xm:f>1</xm:f>
              </x14:cfvo>
              <x14:borderColor theme="0"/>
              <x14:negativeFillColor rgb="FFFF0000"/>
              <x14:axisColor rgb="FF000000"/>
            </x14:dataBar>
          </x14:cfRule>
          <xm:sqref>Y296</xm:sqref>
        </x14:conditionalFormatting>
        <x14:conditionalFormatting xmlns:xm="http://schemas.microsoft.com/office/excel/2006/main">
          <x14:cfRule type="dataBar" id="{18D5DBCC-3975-4846-9F10-AD6934756AA0}">
            <x14:dataBar minLength="0" maxLength="100" border="1" gradient="0">
              <x14:cfvo type="num">
                <xm:f>0</xm:f>
              </x14:cfvo>
              <x14:cfvo type="num">
                <xm:f>1</xm:f>
              </x14:cfvo>
              <x14:borderColor theme="0"/>
              <x14:negativeFillColor rgb="FFFF0000"/>
              <x14:axisColor rgb="FF000000"/>
            </x14:dataBar>
          </x14:cfRule>
          <xm:sqref>Y298</xm:sqref>
        </x14:conditionalFormatting>
        <x14:conditionalFormatting xmlns:xm="http://schemas.microsoft.com/office/excel/2006/main">
          <x14:cfRule type="dataBar" id="{32380105-2326-4667-99A6-4DD2C183C363}">
            <x14:dataBar minLength="0" maxLength="100" border="1" gradient="0">
              <x14:cfvo type="num">
                <xm:f>0</xm:f>
              </x14:cfvo>
              <x14:cfvo type="num">
                <xm:f>1</xm:f>
              </x14:cfvo>
              <x14:borderColor theme="0"/>
              <x14:negativeFillColor rgb="FFFF0000"/>
              <x14:axisColor rgb="FF000000"/>
            </x14:dataBar>
          </x14:cfRule>
          <xm:sqref>Y300</xm:sqref>
        </x14:conditionalFormatting>
        <x14:conditionalFormatting xmlns:xm="http://schemas.microsoft.com/office/excel/2006/main">
          <x14:cfRule type="dataBar" id="{2DFD37EA-C809-415C-9C0D-941C8C691C36}">
            <x14:dataBar minLength="0" maxLength="100" border="1" gradient="0">
              <x14:cfvo type="num">
                <xm:f>0</xm:f>
              </x14:cfvo>
              <x14:cfvo type="num">
                <xm:f>1</xm:f>
              </x14:cfvo>
              <x14:borderColor theme="0"/>
              <x14:negativeFillColor rgb="FFFF0000"/>
              <x14:axisColor rgb="FF000000"/>
            </x14:dataBar>
          </x14:cfRule>
          <xm:sqref>Y302</xm:sqref>
        </x14:conditionalFormatting>
        <x14:conditionalFormatting xmlns:xm="http://schemas.microsoft.com/office/excel/2006/main">
          <x14:cfRule type="dataBar" id="{9383DBD5-7669-43CE-B897-94308D00E57F}">
            <x14:dataBar minLength="0" maxLength="100" border="1" gradient="0">
              <x14:cfvo type="num">
                <xm:f>0</xm:f>
              </x14:cfvo>
              <x14:cfvo type="num">
                <xm:f>1</xm:f>
              </x14:cfvo>
              <x14:borderColor theme="0"/>
              <x14:negativeFillColor rgb="FFFF0000"/>
              <x14:axisColor rgb="FF000000"/>
            </x14:dataBar>
          </x14:cfRule>
          <xm:sqref>Y304</xm:sqref>
        </x14:conditionalFormatting>
        <x14:conditionalFormatting xmlns:xm="http://schemas.microsoft.com/office/excel/2006/main">
          <x14:cfRule type="dataBar" id="{C4681EE9-29A8-48C2-B9EF-D422C35D424B}">
            <x14:dataBar minLength="0" maxLength="100" border="1" gradient="0">
              <x14:cfvo type="num">
                <xm:f>0</xm:f>
              </x14:cfvo>
              <x14:cfvo type="num">
                <xm:f>1</xm:f>
              </x14:cfvo>
              <x14:borderColor theme="0"/>
              <x14:negativeFillColor rgb="FFFF0000"/>
              <x14:axisColor rgb="FF000000"/>
            </x14:dataBar>
          </x14:cfRule>
          <xm:sqref>Y306</xm:sqref>
        </x14:conditionalFormatting>
        <x14:conditionalFormatting xmlns:xm="http://schemas.microsoft.com/office/excel/2006/main">
          <x14:cfRule type="dataBar" id="{4F16314E-2BA9-4A39-A48C-0FF7E065BFF4}">
            <x14:dataBar minLength="0" maxLength="100" border="1" gradient="0">
              <x14:cfvo type="num">
                <xm:f>0</xm:f>
              </x14:cfvo>
              <x14:cfvo type="num">
                <xm:f>1</xm:f>
              </x14:cfvo>
              <x14:borderColor theme="0"/>
              <x14:negativeFillColor rgb="FFFF0000"/>
              <x14:axisColor rgb="FF000000"/>
            </x14:dataBar>
          </x14:cfRule>
          <xm:sqref>Y310</xm:sqref>
        </x14:conditionalFormatting>
        <x14:conditionalFormatting xmlns:xm="http://schemas.microsoft.com/office/excel/2006/main">
          <x14:cfRule type="dataBar" id="{3ED950C9-636A-4600-BAA5-B422EDD8288A}">
            <x14:dataBar minLength="0" maxLength="100" border="1" gradient="0">
              <x14:cfvo type="num">
                <xm:f>0</xm:f>
              </x14:cfvo>
              <x14:cfvo type="num">
                <xm:f>1</xm:f>
              </x14:cfvo>
              <x14:borderColor theme="0"/>
              <x14:negativeFillColor rgb="FFFF0000"/>
              <x14:axisColor rgb="FF000000"/>
            </x14:dataBar>
          </x14:cfRule>
          <xm:sqref>Y312</xm:sqref>
        </x14:conditionalFormatting>
        <x14:conditionalFormatting xmlns:xm="http://schemas.microsoft.com/office/excel/2006/main">
          <x14:cfRule type="dataBar" id="{8FC11377-F56E-4530-94E1-9F163823494E}">
            <x14:dataBar minLength="0" maxLength="100" border="1" gradient="0">
              <x14:cfvo type="num">
                <xm:f>0</xm:f>
              </x14:cfvo>
              <x14:cfvo type="num">
                <xm:f>1</xm:f>
              </x14:cfvo>
              <x14:borderColor theme="0"/>
              <x14:negativeFillColor rgb="FFFF0000"/>
              <x14:axisColor rgb="FF000000"/>
            </x14:dataBar>
          </x14:cfRule>
          <xm:sqref>Y314</xm:sqref>
        </x14:conditionalFormatting>
        <x14:conditionalFormatting xmlns:xm="http://schemas.microsoft.com/office/excel/2006/main">
          <x14:cfRule type="dataBar" id="{7D55B130-3A57-44EB-A6D3-2F79C5416E13}">
            <x14:dataBar minLength="0" maxLength="100" border="1" gradient="0">
              <x14:cfvo type="num">
                <xm:f>0</xm:f>
              </x14:cfvo>
              <x14:cfvo type="num">
                <xm:f>1</xm:f>
              </x14:cfvo>
              <x14:borderColor theme="0"/>
              <x14:negativeFillColor rgb="FFFF0000"/>
              <x14:axisColor rgb="FF000000"/>
            </x14:dataBar>
          </x14:cfRule>
          <xm:sqref>Y316</xm:sqref>
        </x14:conditionalFormatting>
        <x14:conditionalFormatting xmlns:xm="http://schemas.microsoft.com/office/excel/2006/main">
          <x14:cfRule type="dataBar" id="{597E3DC7-524F-477A-8656-FC95FEB63E30}">
            <x14:dataBar minLength="0" maxLength="100" border="1" gradient="0">
              <x14:cfvo type="num">
                <xm:f>0</xm:f>
              </x14:cfvo>
              <x14:cfvo type="num">
                <xm:f>1</xm:f>
              </x14:cfvo>
              <x14:borderColor theme="0"/>
              <x14:negativeFillColor rgb="FFFF0000"/>
              <x14:axisColor rgb="FF000000"/>
            </x14:dataBar>
          </x14:cfRule>
          <xm:sqref>Y318</xm:sqref>
        </x14:conditionalFormatting>
        <x14:conditionalFormatting xmlns:xm="http://schemas.microsoft.com/office/excel/2006/main">
          <x14:cfRule type="dataBar" id="{7FF88A5F-830A-4B8A-914C-D4DA612F2C0C}">
            <x14:dataBar minLength="0" maxLength="100" border="1" gradient="0">
              <x14:cfvo type="num">
                <xm:f>0</xm:f>
              </x14:cfvo>
              <x14:cfvo type="num">
                <xm:f>1</xm:f>
              </x14:cfvo>
              <x14:borderColor theme="0"/>
              <x14:negativeFillColor rgb="FFFF0000"/>
              <x14:axisColor rgb="FF000000"/>
            </x14:dataBar>
          </x14:cfRule>
          <xm:sqref>Y320</xm:sqref>
        </x14:conditionalFormatting>
        <x14:conditionalFormatting xmlns:xm="http://schemas.microsoft.com/office/excel/2006/main">
          <x14:cfRule type="dataBar" id="{161B6F5A-0CE0-4D74-8049-1F3735977A0D}">
            <x14:dataBar minLength="0" maxLength="100" border="1" gradient="0">
              <x14:cfvo type="num">
                <xm:f>0</xm:f>
              </x14:cfvo>
              <x14:cfvo type="num">
                <xm:f>1</xm:f>
              </x14:cfvo>
              <x14:borderColor theme="0"/>
              <x14:negativeFillColor rgb="FFFF0000"/>
              <x14:axisColor rgb="FF000000"/>
            </x14:dataBar>
          </x14:cfRule>
          <xm:sqref>Y322</xm:sqref>
        </x14:conditionalFormatting>
        <x14:conditionalFormatting xmlns:xm="http://schemas.microsoft.com/office/excel/2006/main">
          <x14:cfRule type="dataBar" id="{CB6F8DCB-461F-4995-B5CD-BFB3E888FCE7}">
            <x14:dataBar minLength="0" maxLength="100" border="1" gradient="0">
              <x14:cfvo type="num">
                <xm:f>0</xm:f>
              </x14:cfvo>
              <x14:cfvo type="num">
                <xm:f>1</xm:f>
              </x14:cfvo>
              <x14:borderColor theme="0"/>
              <x14:negativeFillColor rgb="FFFF0000"/>
              <x14:axisColor rgb="FF000000"/>
            </x14:dataBar>
          </x14:cfRule>
          <xm:sqref>Y324</xm:sqref>
        </x14:conditionalFormatting>
        <x14:conditionalFormatting xmlns:xm="http://schemas.microsoft.com/office/excel/2006/main">
          <x14:cfRule type="dataBar" id="{71E7FA57-406D-4AE7-A106-7C0196ADA177}">
            <x14:dataBar minLength="0" maxLength="100" border="1" gradient="0">
              <x14:cfvo type="num">
                <xm:f>0</xm:f>
              </x14:cfvo>
              <x14:cfvo type="num">
                <xm:f>1</xm:f>
              </x14:cfvo>
              <x14:borderColor theme="0"/>
              <x14:negativeFillColor rgb="FFFF0000"/>
              <x14:axisColor rgb="FF000000"/>
            </x14:dataBar>
          </x14:cfRule>
          <xm:sqref>Y326</xm:sqref>
        </x14:conditionalFormatting>
        <x14:conditionalFormatting xmlns:xm="http://schemas.microsoft.com/office/excel/2006/main">
          <x14:cfRule type="dataBar" id="{93A70809-33A2-41B0-82C7-2D417288489B}">
            <x14:dataBar minLength="0" maxLength="100" border="1" gradient="0">
              <x14:cfvo type="num">
                <xm:f>0</xm:f>
              </x14:cfvo>
              <x14:cfvo type="num">
                <xm:f>1</xm:f>
              </x14:cfvo>
              <x14:borderColor theme="0"/>
              <x14:negativeFillColor rgb="FFFF0000"/>
              <x14:axisColor rgb="FF000000"/>
            </x14:dataBar>
          </x14:cfRule>
          <xm:sqref>Y328</xm:sqref>
        </x14:conditionalFormatting>
        <x14:conditionalFormatting xmlns:xm="http://schemas.microsoft.com/office/excel/2006/main">
          <x14:cfRule type="dataBar" id="{EBE8F81A-0E71-47A3-92F5-B057B2B1E42A}">
            <x14:dataBar minLength="0" maxLength="100" border="1" gradient="0">
              <x14:cfvo type="num">
                <xm:f>0</xm:f>
              </x14:cfvo>
              <x14:cfvo type="num">
                <xm:f>1</xm:f>
              </x14:cfvo>
              <x14:borderColor theme="0"/>
              <x14:negativeFillColor rgb="FFFF0000"/>
              <x14:axisColor rgb="FF000000"/>
            </x14:dataBar>
          </x14:cfRule>
          <xm:sqref>Y330</xm:sqref>
        </x14:conditionalFormatting>
        <x14:conditionalFormatting xmlns:xm="http://schemas.microsoft.com/office/excel/2006/main">
          <x14:cfRule type="dataBar" id="{306B6A4D-1B89-4BD5-B5E1-A277DDA37F61}">
            <x14:dataBar minLength="0" maxLength="100" border="1" gradient="0">
              <x14:cfvo type="num">
                <xm:f>0</xm:f>
              </x14:cfvo>
              <x14:cfvo type="num">
                <xm:f>1</xm:f>
              </x14:cfvo>
              <x14:borderColor theme="0"/>
              <x14:negativeFillColor rgb="FFFF0000"/>
              <x14:axisColor rgb="FF000000"/>
            </x14:dataBar>
          </x14:cfRule>
          <xm:sqref>Y332</xm:sqref>
        </x14:conditionalFormatting>
        <x14:conditionalFormatting xmlns:xm="http://schemas.microsoft.com/office/excel/2006/main">
          <x14:cfRule type="dataBar" id="{EE26A059-012F-4761-9A35-898802B93849}">
            <x14:dataBar minLength="0" maxLength="100" border="1" gradient="0">
              <x14:cfvo type="num">
                <xm:f>0</xm:f>
              </x14:cfvo>
              <x14:cfvo type="num">
                <xm:f>1</xm:f>
              </x14:cfvo>
              <x14:borderColor theme="0"/>
              <x14:negativeFillColor rgb="FFFF0000"/>
              <x14:axisColor rgb="FF000000"/>
            </x14:dataBar>
          </x14:cfRule>
          <xm:sqref>Y334</xm:sqref>
        </x14:conditionalFormatting>
        <x14:conditionalFormatting xmlns:xm="http://schemas.microsoft.com/office/excel/2006/main">
          <x14:cfRule type="dataBar" id="{19E80BB8-E326-4EA4-8B63-264D1C477AE6}">
            <x14:dataBar minLength="0" maxLength="100" border="1" gradient="0">
              <x14:cfvo type="num">
                <xm:f>0</xm:f>
              </x14:cfvo>
              <x14:cfvo type="num">
                <xm:f>1</xm:f>
              </x14:cfvo>
              <x14:borderColor theme="0"/>
              <x14:negativeFillColor rgb="FFFF0000"/>
              <x14:axisColor rgb="FF000000"/>
            </x14:dataBar>
          </x14:cfRule>
          <xm:sqref>Y336</xm:sqref>
        </x14:conditionalFormatting>
        <x14:conditionalFormatting xmlns:xm="http://schemas.microsoft.com/office/excel/2006/main">
          <x14:cfRule type="dataBar" id="{D15BD722-D40F-4404-891B-37F6272CDA77}">
            <x14:dataBar minLength="0" maxLength="100" border="1" gradient="0">
              <x14:cfvo type="num">
                <xm:f>0</xm:f>
              </x14:cfvo>
              <x14:cfvo type="num">
                <xm:f>1</xm:f>
              </x14:cfvo>
              <x14:borderColor theme="0"/>
              <x14:negativeFillColor rgb="FFFF0000"/>
              <x14:axisColor rgb="FF000000"/>
            </x14:dataBar>
          </x14:cfRule>
          <xm:sqref>Y338</xm:sqref>
        </x14:conditionalFormatting>
        <x14:conditionalFormatting xmlns:xm="http://schemas.microsoft.com/office/excel/2006/main">
          <x14:cfRule type="dataBar" id="{7C0ABCB4-CED9-4F20-83C1-669782339044}">
            <x14:dataBar minLength="0" maxLength="100" border="1" gradient="0">
              <x14:cfvo type="num">
                <xm:f>0</xm:f>
              </x14:cfvo>
              <x14:cfvo type="num">
                <xm:f>1</xm:f>
              </x14:cfvo>
              <x14:borderColor theme="0"/>
              <x14:negativeFillColor rgb="FFFF0000"/>
              <x14:axisColor rgb="FF000000"/>
            </x14:dataBar>
          </x14:cfRule>
          <xm:sqref>Y340</xm:sqref>
        </x14:conditionalFormatting>
        <x14:conditionalFormatting xmlns:xm="http://schemas.microsoft.com/office/excel/2006/main">
          <x14:cfRule type="dataBar" id="{4AB5665C-F739-46F7-B930-ACAFE8988850}">
            <x14:dataBar minLength="0" maxLength="100" border="1" gradient="0">
              <x14:cfvo type="num">
                <xm:f>0</xm:f>
              </x14:cfvo>
              <x14:cfvo type="num">
                <xm:f>1</xm:f>
              </x14:cfvo>
              <x14:borderColor theme="0"/>
              <x14:negativeFillColor rgb="FFFF0000"/>
              <x14:axisColor rgb="FF000000"/>
            </x14:dataBar>
          </x14:cfRule>
          <xm:sqref>Y342</xm:sqref>
        </x14:conditionalFormatting>
        <x14:conditionalFormatting xmlns:xm="http://schemas.microsoft.com/office/excel/2006/main">
          <x14:cfRule type="dataBar" id="{175D53A3-8528-4B8C-A242-7AB866297574}">
            <x14:dataBar minLength="0" maxLength="100" border="1" gradient="0">
              <x14:cfvo type="num">
                <xm:f>0</xm:f>
              </x14:cfvo>
              <x14:cfvo type="num">
                <xm:f>1</xm:f>
              </x14:cfvo>
              <x14:borderColor theme="0"/>
              <x14:negativeFillColor rgb="FFFF0000"/>
              <x14:axisColor rgb="FF000000"/>
            </x14:dataBar>
          </x14:cfRule>
          <xm:sqref>Y344</xm:sqref>
        </x14:conditionalFormatting>
        <x14:conditionalFormatting xmlns:xm="http://schemas.microsoft.com/office/excel/2006/main">
          <x14:cfRule type="dataBar" id="{C3022AAC-EF91-4708-93D3-B35283F96574}">
            <x14:dataBar minLength="0" maxLength="100" border="1" gradient="0">
              <x14:cfvo type="num">
                <xm:f>0</xm:f>
              </x14:cfvo>
              <x14:cfvo type="num">
                <xm:f>1</xm:f>
              </x14:cfvo>
              <x14:borderColor theme="0"/>
              <x14:negativeFillColor rgb="FFFF0000"/>
              <x14:axisColor rgb="FF000000"/>
            </x14:dataBar>
          </x14:cfRule>
          <xm:sqref>Y346</xm:sqref>
        </x14:conditionalFormatting>
        <x14:conditionalFormatting xmlns:xm="http://schemas.microsoft.com/office/excel/2006/main">
          <x14:cfRule type="dataBar" id="{9A258838-06A7-47D8-9C0B-A9CE3CB37BC3}">
            <x14:dataBar minLength="0" maxLength="100" border="1" gradient="0">
              <x14:cfvo type="num">
                <xm:f>0</xm:f>
              </x14:cfvo>
              <x14:cfvo type="num">
                <xm:f>1</xm:f>
              </x14:cfvo>
              <x14:borderColor theme="0"/>
              <x14:negativeFillColor rgb="FFFF0000"/>
              <x14:axisColor rgb="FF000000"/>
            </x14:dataBar>
          </x14:cfRule>
          <xm:sqref>Y348</xm:sqref>
        </x14:conditionalFormatting>
        <x14:conditionalFormatting xmlns:xm="http://schemas.microsoft.com/office/excel/2006/main">
          <x14:cfRule type="dataBar" id="{E5E64885-7C99-4564-908B-9EE54B1C9CFC}">
            <x14:dataBar minLength="0" maxLength="100" border="1" gradient="0">
              <x14:cfvo type="num">
                <xm:f>0</xm:f>
              </x14:cfvo>
              <x14:cfvo type="num">
                <xm:f>1</xm:f>
              </x14:cfvo>
              <x14:borderColor theme="0"/>
              <x14:negativeFillColor rgb="FFFF0000"/>
              <x14:axisColor rgb="FF000000"/>
            </x14:dataBar>
          </x14:cfRule>
          <xm:sqref>Y350</xm:sqref>
        </x14:conditionalFormatting>
        <x14:conditionalFormatting xmlns:xm="http://schemas.microsoft.com/office/excel/2006/main">
          <x14:cfRule type="dataBar" id="{A3669B13-7BEC-402F-AFE2-1F592A595349}">
            <x14:dataBar minLength="0" maxLength="100" border="1" gradient="0">
              <x14:cfvo type="num">
                <xm:f>0</xm:f>
              </x14:cfvo>
              <x14:cfvo type="num">
                <xm:f>1</xm:f>
              </x14:cfvo>
              <x14:borderColor theme="0"/>
              <x14:negativeFillColor rgb="FFFF0000"/>
              <x14:axisColor rgb="FF000000"/>
            </x14:dataBar>
          </x14:cfRule>
          <xm:sqref>Y352</xm:sqref>
        </x14:conditionalFormatting>
        <x14:conditionalFormatting xmlns:xm="http://schemas.microsoft.com/office/excel/2006/main">
          <x14:cfRule type="dataBar" id="{45555B2A-F951-4727-AD90-65685F5EF061}">
            <x14:dataBar minLength="0" maxLength="100" border="1" gradient="0">
              <x14:cfvo type="num">
                <xm:f>0</xm:f>
              </x14:cfvo>
              <x14:cfvo type="num">
                <xm:f>1</xm:f>
              </x14:cfvo>
              <x14:borderColor theme="0"/>
              <x14:negativeFillColor rgb="FFFF0000"/>
              <x14:axisColor rgb="FF000000"/>
            </x14:dataBar>
          </x14:cfRule>
          <xm:sqref>Y354</xm:sqref>
        </x14:conditionalFormatting>
        <x14:conditionalFormatting xmlns:xm="http://schemas.microsoft.com/office/excel/2006/main">
          <x14:cfRule type="dataBar" id="{D40AE800-0402-496C-8B6D-BD55F32AB6A0}">
            <x14:dataBar minLength="0" maxLength="100" border="1" gradient="0">
              <x14:cfvo type="num">
                <xm:f>0</xm:f>
              </x14:cfvo>
              <x14:cfvo type="num">
                <xm:f>1</xm:f>
              </x14:cfvo>
              <x14:borderColor theme="0"/>
              <x14:negativeFillColor rgb="FFFF0000"/>
              <x14:axisColor rgb="FF000000"/>
            </x14:dataBar>
          </x14:cfRule>
          <xm:sqref>Y356</xm:sqref>
        </x14:conditionalFormatting>
        <x14:conditionalFormatting xmlns:xm="http://schemas.microsoft.com/office/excel/2006/main">
          <x14:cfRule type="dataBar" id="{AE9DD214-81F1-4C4A-94A5-87690BC2409B}">
            <x14:dataBar minLength="0" maxLength="100" border="1" gradient="0">
              <x14:cfvo type="num">
                <xm:f>0</xm:f>
              </x14:cfvo>
              <x14:cfvo type="num">
                <xm:f>1</xm:f>
              </x14:cfvo>
              <x14:borderColor theme="0"/>
              <x14:negativeFillColor rgb="FFFF0000"/>
              <x14:axisColor rgb="FF000000"/>
            </x14:dataBar>
          </x14:cfRule>
          <xm:sqref>Y358</xm:sqref>
        </x14:conditionalFormatting>
        <x14:conditionalFormatting xmlns:xm="http://schemas.microsoft.com/office/excel/2006/main">
          <x14:cfRule type="dataBar" id="{2AC77970-34D4-48F3-8D8A-24904622FF00}">
            <x14:dataBar minLength="0" maxLength="100" border="1" gradient="0">
              <x14:cfvo type="num">
                <xm:f>0</xm:f>
              </x14:cfvo>
              <x14:cfvo type="num">
                <xm:f>1</xm:f>
              </x14:cfvo>
              <x14:borderColor theme="0"/>
              <x14:negativeFillColor rgb="FFFF0000"/>
              <x14:axisColor rgb="FF000000"/>
            </x14:dataBar>
          </x14:cfRule>
          <xm:sqref>Y360</xm:sqref>
        </x14:conditionalFormatting>
        <x14:conditionalFormatting xmlns:xm="http://schemas.microsoft.com/office/excel/2006/main">
          <x14:cfRule type="dataBar" id="{A998FDA7-C218-4834-A37D-A36755087C6B}">
            <x14:dataBar minLength="0" maxLength="100" border="1" gradient="0">
              <x14:cfvo type="num">
                <xm:f>0</xm:f>
              </x14:cfvo>
              <x14:cfvo type="num">
                <xm:f>1</xm:f>
              </x14:cfvo>
              <x14:borderColor theme="0"/>
              <x14:negativeFillColor rgb="FFFF0000"/>
              <x14:axisColor rgb="FF000000"/>
            </x14:dataBar>
          </x14:cfRule>
          <xm:sqref>Y362</xm:sqref>
        </x14:conditionalFormatting>
        <x14:conditionalFormatting xmlns:xm="http://schemas.microsoft.com/office/excel/2006/main">
          <x14:cfRule type="dataBar" id="{FEE53666-B8F6-445C-AB33-83D89E6DC9AD}">
            <x14:dataBar minLength="0" maxLength="100" border="1" gradient="0">
              <x14:cfvo type="num">
                <xm:f>0</xm:f>
              </x14:cfvo>
              <x14:cfvo type="num">
                <xm:f>1</xm:f>
              </x14:cfvo>
              <x14:borderColor theme="0"/>
              <x14:negativeFillColor rgb="FFFF0000"/>
              <x14:axisColor rgb="FF000000"/>
            </x14:dataBar>
          </x14:cfRule>
          <xm:sqref>Y365</xm:sqref>
        </x14:conditionalFormatting>
        <x14:conditionalFormatting xmlns:xm="http://schemas.microsoft.com/office/excel/2006/main">
          <x14:cfRule type="dataBar" id="{195EBBF5-00B4-43CA-8800-229BE46AD9FC}">
            <x14:dataBar minLength="0" maxLength="100" border="1" gradient="0">
              <x14:cfvo type="num">
                <xm:f>0</xm:f>
              </x14:cfvo>
              <x14:cfvo type="num">
                <xm:f>1</xm:f>
              </x14:cfvo>
              <x14:borderColor theme="0"/>
              <x14:negativeFillColor rgb="FFFF0000"/>
              <x14:axisColor rgb="FF000000"/>
            </x14:dataBar>
          </x14:cfRule>
          <xm:sqref>Y369</xm:sqref>
        </x14:conditionalFormatting>
        <x14:conditionalFormatting xmlns:xm="http://schemas.microsoft.com/office/excel/2006/main">
          <x14:cfRule type="dataBar" id="{94852032-8B4C-46B5-B7D9-6DBBE968501A}">
            <x14:dataBar minLength="0" maxLength="100" border="1" gradient="0">
              <x14:cfvo type="num">
                <xm:f>0</xm:f>
              </x14:cfvo>
              <x14:cfvo type="num">
                <xm:f>1</xm:f>
              </x14:cfvo>
              <x14:borderColor theme="0"/>
              <x14:negativeFillColor rgb="FFFF0000"/>
              <x14:axisColor rgb="FF000000"/>
            </x14:dataBar>
          </x14:cfRule>
          <xm:sqref>Y371</xm:sqref>
        </x14:conditionalFormatting>
        <x14:conditionalFormatting xmlns:xm="http://schemas.microsoft.com/office/excel/2006/main">
          <x14:cfRule type="dataBar" id="{F855F324-276E-43C0-B93A-D2CDB277CE64}">
            <x14:dataBar minLength="0" maxLength="100" border="1" gradient="0">
              <x14:cfvo type="num">
                <xm:f>0</xm:f>
              </x14:cfvo>
              <x14:cfvo type="num">
                <xm:f>1</xm:f>
              </x14:cfvo>
              <x14:borderColor theme="0"/>
              <x14:negativeFillColor rgb="FFFF0000"/>
              <x14:axisColor rgb="FF000000"/>
            </x14:dataBar>
          </x14:cfRule>
          <xm:sqref>Y373</xm:sqref>
        </x14:conditionalFormatting>
        <x14:conditionalFormatting xmlns:xm="http://schemas.microsoft.com/office/excel/2006/main">
          <x14:cfRule type="dataBar" id="{119817A5-65A6-43C8-8235-B3D74FCA7E03}">
            <x14:dataBar minLength="0" maxLength="100" border="1" gradient="0">
              <x14:cfvo type="num">
                <xm:f>0</xm:f>
              </x14:cfvo>
              <x14:cfvo type="num">
                <xm:f>1</xm:f>
              </x14:cfvo>
              <x14:borderColor theme="0"/>
              <x14:negativeFillColor rgb="FFFF0000"/>
              <x14:axisColor rgb="FF000000"/>
            </x14:dataBar>
          </x14:cfRule>
          <xm:sqref>Y375</xm:sqref>
        </x14:conditionalFormatting>
        <x14:conditionalFormatting xmlns:xm="http://schemas.microsoft.com/office/excel/2006/main">
          <x14:cfRule type="dataBar" id="{BBF4BD37-AF0C-4FA0-9F5B-FDFFB1D4C42D}">
            <x14:dataBar minLength="0" maxLength="100" border="1" gradient="0">
              <x14:cfvo type="num">
                <xm:f>0</xm:f>
              </x14:cfvo>
              <x14:cfvo type="num">
                <xm:f>1</xm:f>
              </x14:cfvo>
              <x14:borderColor theme="0"/>
              <x14:negativeFillColor rgb="FFFF0000"/>
              <x14:axisColor rgb="FF000000"/>
            </x14:dataBar>
          </x14:cfRule>
          <xm:sqref>Y377</xm:sqref>
        </x14:conditionalFormatting>
        <x14:conditionalFormatting xmlns:xm="http://schemas.microsoft.com/office/excel/2006/main">
          <x14:cfRule type="dataBar" id="{9405E74C-BC01-44C4-A3BA-7BC26EBF953A}">
            <x14:dataBar minLength="0" maxLength="100" border="1" gradient="0">
              <x14:cfvo type="num">
                <xm:f>0</xm:f>
              </x14:cfvo>
              <x14:cfvo type="num">
                <xm:f>1</xm:f>
              </x14:cfvo>
              <x14:borderColor theme="0"/>
              <x14:negativeFillColor rgb="FFFF0000"/>
              <x14:axisColor rgb="FF000000"/>
            </x14:dataBar>
          </x14:cfRule>
          <xm:sqref>Y380</xm:sqref>
        </x14:conditionalFormatting>
        <x14:conditionalFormatting xmlns:xm="http://schemas.microsoft.com/office/excel/2006/main">
          <x14:cfRule type="dataBar" id="{D346B921-84EA-474A-AFC8-CFAD99B6390A}">
            <x14:dataBar minLength="0" maxLength="100" border="1" gradient="0">
              <x14:cfvo type="num">
                <xm:f>0</xm:f>
              </x14:cfvo>
              <x14:cfvo type="num">
                <xm:f>1</xm:f>
              </x14:cfvo>
              <x14:borderColor theme="0"/>
              <x14:negativeFillColor rgb="FFFF0000"/>
              <x14:axisColor rgb="FF000000"/>
            </x14:dataBar>
          </x14:cfRule>
          <xm:sqref>Y382</xm:sqref>
        </x14:conditionalFormatting>
        <x14:conditionalFormatting xmlns:xm="http://schemas.microsoft.com/office/excel/2006/main">
          <x14:cfRule type="dataBar" id="{A8A774EB-653D-42DA-AA5E-1957B935BC1B}">
            <x14:dataBar minLength="0" maxLength="100" border="1" gradient="0">
              <x14:cfvo type="num">
                <xm:f>0</xm:f>
              </x14:cfvo>
              <x14:cfvo type="num">
                <xm:f>1</xm:f>
              </x14:cfvo>
              <x14:borderColor theme="0"/>
              <x14:negativeFillColor rgb="FFFF0000"/>
              <x14:axisColor rgb="FF000000"/>
            </x14:dataBar>
          </x14:cfRule>
          <xm:sqref>Y384</xm:sqref>
        </x14:conditionalFormatting>
        <x14:conditionalFormatting xmlns:xm="http://schemas.microsoft.com/office/excel/2006/main">
          <x14:cfRule type="dataBar" id="{73420162-E9DA-4F6E-B3FB-C665D9CEDC8B}">
            <x14:dataBar minLength="0" maxLength="100" border="1" gradient="0">
              <x14:cfvo type="num">
                <xm:f>0</xm:f>
              </x14:cfvo>
              <x14:cfvo type="num">
                <xm:f>1</xm:f>
              </x14:cfvo>
              <x14:borderColor theme="0"/>
              <x14:negativeFillColor rgb="FFFF0000"/>
              <x14:axisColor rgb="FF000000"/>
            </x14:dataBar>
          </x14:cfRule>
          <xm:sqref>Y386</xm:sqref>
        </x14:conditionalFormatting>
        <x14:conditionalFormatting xmlns:xm="http://schemas.microsoft.com/office/excel/2006/main">
          <x14:cfRule type="dataBar" id="{05239639-DB7B-4CB4-9DF6-4F1AC7DD3E3C}">
            <x14:dataBar minLength="0" maxLength="100" border="1" gradient="0">
              <x14:cfvo type="num">
                <xm:f>0</xm:f>
              </x14:cfvo>
              <x14:cfvo type="num">
                <xm:f>1</xm:f>
              </x14:cfvo>
              <x14:borderColor theme="0"/>
              <x14:negativeFillColor rgb="FFFF0000"/>
              <x14:axisColor rgb="FF000000"/>
            </x14:dataBar>
          </x14:cfRule>
          <xm:sqref>Y388</xm:sqref>
        </x14:conditionalFormatting>
        <x14:conditionalFormatting xmlns:xm="http://schemas.microsoft.com/office/excel/2006/main">
          <x14:cfRule type="dataBar" id="{3188C5BF-2C1B-4191-841C-E6D9AB785C99}">
            <x14:dataBar minLength="0" maxLength="100" border="1" gradient="0">
              <x14:cfvo type="num">
                <xm:f>0</xm:f>
              </x14:cfvo>
              <x14:cfvo type="num">
                <xm:f>1</xm:f>
              </x14:cfvo>
              <x14:borderColor theme="0"/>
              <x14:negativeFillColor rgb="FFFF0000"/>
              <x14:axisColor rgb="FF000000"/>
            </x14:dataBar>
          </x14:cfRule>
          <xm:sqref>Y390</xm:sqref>
        </x14:conditionalFormatting>
        <x14:conditionalFormatting xmlns:xm="http://schemas.microsoft.com/office/excel/2006/main">
          <x14:cfRule type="dataBar" id="{ED15BA6D-E1B4-4A13-9418-F17F3608642F}">
            <x14:dataBar minLength="0" maxLength="100" border="1" gradient="0">
              <x14:cfvo type="num">
                <xm:f>0</xm:f>
              </x14:cfvo>
              <x14:cfvo type="num">
                <xm:f>1</xm:f>
              </x14:cfvo>
              <x14:borderColor theme="0"/>
              <x14:negativeFillColor rgb="FFFF0000"/>
              <x14:axisColor rgb="FF000000"/>
            </x14:dataBar>
          </x14:cfRule>
          <xm:sqref>Y392</xm:sqref>
        </x14:conditionalFormatting>
        <x14:conditionalFormatting xmlns:xm="http://schemas.microsoft.com/office/excel/2006/main">
          <x14:cfRule type="dataBar" id="{6C49A5D6-8A13-48D3-8E7A-447589E9CCCE}">
            <x14:dataBar minLength="0" maxLength="100" border="1" gradient="0">
              <x14:cfvo type="num">
                <xm:f>0</xm:f>
              </x14:cfvo>
              <x14:cfvo type="num">
                <xm:f>1</xm:f>
              </x14:cfvo>
              <x14:borderColor theme="0"/>
              <x14:negativeFillColor rgb="FFFF0000"/>
              <x14:axisColor rgb="FF000000"/>
            </x14:dataBar>
          </x14:cfRule>
          <xm:sqref>Y395</xm:sqref>
        </x14:conditionalFormatting>
        <x14:conditionalFormatting xmlns:xm="http://schemas.microsoft.com/office/excel/2006/main">
          <x14:cfRule type="dataBar" id="{E2EA95E7-CC1D-4C4C-A1CF-985E3F37B070}">
            <x14:dataBar minLength="0" maxLength="100" border="1" gradient="0">
              <x14:cfvo type="num">
                <xm:f>0</xm:f>
              </x14:cfvo>
              <x14:cfvo type="num">
                <xm:f>1</xm:f>
              </x14:cfvo>
              <x14:borderColor theme="0"/>
              <x14:negativeFillColor rgb="FFFF0000"/>
              <x14:axisColor rgb="FF000000"/>
            </x14:dataBar>
          </x14:cfRule>
          <xm:sqref>Y397</xm:sqref>
        </x14:conditionalFormatting>
        <x14:conditionalFormatting xmlns:xm="http://schemas.microsoft.com/office/excel/2006/main">
          <x14:cfRule type="dataBar" id="{27AC3D81-7475-4E34-8205-B6407588E7C8}">
            <x14:dataBar minLength="0" maxLength="100" border="1" gradient="0">
              <x14:cfvo type="num">
                <xm:f>0</xm:f>
              </x14:cfvo>
              <x14:cfvo type="num">
                <xm:f>1</xm:f>
              </x14:cfvo>
              <x14:borderColor theme="0"/>
              <x14:negativeFillColor rgb="FFFF0000"/>
              <x14:axisColor rgb="FF000000"/>
            </x14:dataBar>
          </x14:cfRule>
          <xm:sqref>Y399</xm:sqref>
        </x14:conditionalFormatting>
        <x14:conditionalFormatting xmlns:xm="http://schemas.microsoft.com/office/excel/2006/main">
          <x14:cfRule type="dataBar" id="{424059A8-40A9-4748-998A-834878B47139}">
            <x14:dataBar minLength="0" maxLength="100" border="1" gradient="0">
              <x14:cfvo type="num">
                <xm:f>0</xm:f>
              </x14:cfvo>
              <x14:cfvo type="num">
                <xm:f>1</xm:f>
              </x14:cfvo>
              <x14:borderColor theme="0"/>
              <x14:negativeFillColor rgb="FFFF0000"/>
              <x14:axisColor rgb="FF000000"/>
            </x14:dataBar>
          </x14:cfRule>
          <xm:sqref>Y401</xm:sqref>
        </x14:conditionalFormatting>
        <x14:conditionalFormatting xmlns:xm="http://schemas.microsoft.com/office/excel/2006/main">
          <x14:cfRule type="dataBar" id="{9EDDF1F3-DBC0-4035-BF17-62DD1C81AECF}">
            <x14:dataBar minLength="0" maxLength="100" border="1" gradient="0">
              <x14:cfvo type="num">
                <xm:f>0</xm:f>
              </x14:cfvo>
              <x14:cfvo type="num">
                <xm:f>1</xm:f>
              </x14:cfvo>
              <x14:borderColor theme="0"/>
              <x14:negativeFillColor rgb="FFFF0000"/>
              <x14:axisColor rgb="FF000000"/>
            </x14:dataBar>
          </x14:cfRule>
          <xm:sqref>Y404</xm:sqref>
        </x14:conditionalFormatting>
        <x14:conditionalFormatting xmlns:xm="http://schemas.microsoft.com/office/excel/2006/main">
          <x14:cfRule type="dataBar" id="{AEF32029-8EF3-4C99-B991-2E5DB2F21923}">
            <x14:dataBar minLength="0" maxLength="100" border="1" gradient="0">
              <x14:cfvo type="num">
                <xm:f>0</xm:f>
              </x14:cfvo>
              <x14:cfvo type="num">
                <xm:f>1</xm:f>
              </x14:cfvo>
              <x14:borderColor theme="0"/>
              <x14:negativeFillColor rgb="FFFF0000"/>
              <x14:axisColor rgb="FF000000"/>
            </x14:dataBar>
          </x14:cfRule>
          <xm:sqref>Y406</xm:sqref>
        </x14:conditionalFormatting>
        <x14:conditionalFormatting xmlns:xm="http://schemas.microsoft.com/office/excel/2006/main">
          <x14:cfRule type="dataBar" id="{8D40F2FB-E78E-40E9-B72F-B3EB234AD849}">
            <x14:dataBar minLength="0" maxLength="100" border="1" gradient="0">
              <x14:cfvo type="num">
                <xm:f>0</xm:f>
              </x14:cfvo>
              <x14:cfvo type="num">
                <xm:f>1</xm:f>
              </x14:cfvo>
              <x14:borderColor theme="0"/>
              <x14:negativeFillColor rgb="FFFF0000"/>
              <x14:axisColor rgb="FF000000"/>
            </x14:dataBar>
          </x14:cfRule>
          <xm:sqref>Y409</xm:sqref>
        </x14:conditionalFormatting>
        <x14:conditionalFormatting xmlns:xm="http://schemas.microsoft.com/office/excel/2006/main">
          <x14:cfRule type="dataBar" id="{0F7AA449-F2CC-482A-BD72-C36248A78895}">
            <x14:dataBar minLength="0" maxLength="100" border="1" gradient="0">
              <x14:cfvo type="num">
                <xm:f>0</xm:f>
              </x14:cfvo>
              <x14:cfvo type="num">
                <xm:f>1</xm:f>
              </x14:cfvo>
              <x14:borderColor theme="0"/>
              <x14:negativeFillColor rgb="FFFF0000"/>
              <x14:axisColor rgb="FF000000"/>
            </x14:dataBar>
          </x14:cfRule>
          <xm:sqref>Y412</xm:sqref>
        </x14:conditionalFormatting>
        <x14:conditionalFormatting xmlns:xm="http://schemas.microsoft.com/office/excel/2006/main">
          <x14:cfRule type="dataBar" id="{5BECE68A-8F8F-45B6-A0BC-C05E73DC2FFF}">
            <x14:dataBar minLength="0" maxLength="100" border="1" gradient="0">
              <x14:cfvo type="num">
                <xm:f>0</xm:f>
              </x14:cfvo>
              <x14:cfvo type="num">
                <xm:f>1</xm:f>
              </x14:cfvo>
              <x14:borderColor theme="0"/>
              <x14:negativeFillColor rgb="FFFF0000"/>
              <x14:axisColor rgb="FF000000"/>
            </x14:dataBar>
          </x14:cfRule>
          <xm:sqref>Y414</xm:sqref>
        </x14:conditionalFormatting>
        <x14:conditionalFormatting xmlns:xm="http://schemas.microsoft.com/office/excel/2006/main">
          <x14:cfRule type="dataBar" id="{20ACE8EE-6DE9-4910-8723-9B36C83A72C4}">
            <x14:dataBar minLength="0" maxLength="100" border="1" gradient="0">
              <x14:cfvo type="num">
                <xm:f>0</xm:f>
              </x14:cfvo>
              <x14:cfvo type="num">
                <xm:f>1</xm:f>
              </x14:cfvo>
              <x14:borderColor theme="0"/>
              <x14:negativeFillColor rgb="FFFF0000"/>
              <x14:axisColor rgb="FF000000"/>
            </x14:dataBar>
          </x14:cfRule>
          <xm:sqref>Y422</xm:sqref>
        </x14:conditionalFormatting>
        <x14:conditionalFormatting xmlns:xm="http://schemas.microsoft.com/office/excel/2006/main">
          <x14:cfRule type="dataBar" id="{F3DA170B-0819-413F-8062-DC5BA427DE13}">
            <x14:dataBar minLength="0" maxLength="100" border="1" gradient="0">
              <x14:cfvo type="num">
                <xm:f>0</xm:f>
              </x14:cfvo>
              <x14:cfvo type="num">
                <xm:f>1</xm:f>
              </x14:cfvo>
              <x14:borderColor theme="0"/>
              <x14:negativeFillColor rgb="FFFF0000"/>
              <x14:axisColor rgb="FF000000"/>
            </x14:dataBar>
          </x14:cfRule>
          <xm:sqref>Y424 Y426 Y428 Y430</xm:sqref>
        </x14:conditionalFormatting>
        <x14:conditionalFormatting xmlns:xm="http://schemas.microsoft.com/office/excel/2006/main">
          <x14:cfRule type="dataBar" id="{FC2DF701-74DE-4528-B770-7CD83CB748D3}">
            <x14:dataBar minLength="0" maxLength="100" border="1" gradient="0">
              <x14:cfvo type="num">
                <xm:f>0</xm:f>
              </x14:cfvo>
              <x14:cfvo type="num">
                <xm:f>1</xm:f>
              </x14:cfvo>
              <x14:borderColor theme="0"/>
              <x14:negativeFillColor rgb="FFFF0000"/>
              <x14:axisColor rgb="FF000000"/>
            </x14:dataBar>
          </x14:cfRule>
          <xm:sqref>Y432</xm:sqref>
        </x14:conditionalFormatting>
        <x14:conditionalFormatting xmlns:xm="http://schemas.microsoft.com/office/excel/2006/main">
          <x14:cfRule type="dataBar" id="{C7BAC1BD-0CD2-4DA1-9635-3AD6CA55E3ED}">
            <x14:dataBar minLength="0" maxLength="100" border="1" gradient="0">
              <x14:cfvo type="num">
                <xm:f>0</xm:f>
              </x14:cfvo>
              <x14:cfvo type="num">
                <xm:f>1</xm:f>
              </x14:cfvo>
              <x14:borderColor theme="0"/>
              <x14:negativeFillColor rgb="FFFF0000"/>
              <x14:axisColor rgb="FF000000"/>
            </x14:dataBar>
          </x14:cfRule>
          <xm:sqref>Y434 Y436 Y438 Y440</xm:sqref>
        </x14:conditionalFormatting>
        <x14:conditionalFormatting xmlns:xm="http://schemas.microsoft.com/office/excel/2006/main">
          <x14:cfRule type="dataBar" id="{4E4DC24A-3853-476D-B115-EBF33191105F}">
            <x14:dataBar minLength="0" maxLength="100" border="1" gradient="0">
              <x14:cfvo type="num">
                <xm:f>0</xm:f>
              </x14:cfvo>
              <x14:cfvo type="num">
                <xm:f>1</xm:f>
              </x14:cfvo>
              <x14:borderColor theme="0"/>
              <x14:negativeFillColor rgb="FFFF0000"/>
              <x14:axisColor rgb="FF000000"/>
            </x14:dataBar>
          </x14:cfRule>
          <xm:sqref>Y442</xm:sqref>
        </x14:conditionalFormatting>
        <x14:conditionalFormatting xmlns:xm="http://schemas.microsoft.com/office/excel/2006/main">
          <x14:cfRule type="dataBar" id="{B68020C9-E4D7-4CDD-9062-830D5C1C125E}">
            <x14:dataBar minLength="0" maxLength="100" border="1" gradient="0">
              <x14:cfvo type="num">
                <xm:f>0</xm:f>
              </x14:cfvo>
              <x14:cfvo type="num">
                <xm:f>1</xm:f>
              </x14:cfvo>
              <x14:borderColor theme="0"/>
              <x14:negativeFillColor rgb="FFFF0000"/>
              <x14:axisColor rgb="FF000000"/>
            </x14:dataBar>
          </x14:cfRule>
          <xm:sqref>Y444 Y446 Y448 Y450</xm:sqref>
        </x14:conditionalFormatting>
        <x14:conditionalFormatting xmlns:xm="http://schemas.microsoft.com/office/excel/2006/main">
          <x14:cfRule type="dataBar" id="{6C02FA87-74B6-44E0-A202-4DF1D68AD18D}">
            <x14:dataBar minLength="0" maxLength="100" border="1" gradient="0">
              <x14:cfvo type="num">
                <xm:f>0</xm:f>
              </x14:cfvo>
              <x14:cfvo type="num">
                <xm:f>1</xm:f>
              </x14:cfvo>
              <x14:borderColor theme="0"/>
              <x14:negativeFillColor rgb="FFFF0000"/>
              <x14:axisColor rgb="FF000000"/>
            </x14:dataBar>
          </x14:cfRule>
          <xm:sqref>Y454</xm:sqref>
        </x14:conditionalFormatting>
        <x14:conditionalFormatting xmlns:xm="http://schemas.microsoft.com/office/excel/2006/main">
          <x14:cfRule type="dataBar" id="{0CF5A6DC-FD07-4E4E-8B30-83B56FDBCE24}">
            <x14:dataBar minLength="0" maxLength="100" border="1" gradient="0">
              <x14:cfvo type="num">
                <xm:f>0</xm:f>
              </x14:cfvo>
              <x14:cfvo type="num">
                <xm:f>1</xm:f>
              </x14:cfvo>
              <x14:borderColor theme="0"/>
              <x14:negativeFillColor rgb="FFFF0000"/>
              <x14:axisColor rgb="FF000000"/>
            </x14:dataBar>
          </x14:cfRule>
          <xm:sqref>Y456 Y490 Y458 Y460 Y462</xm:sqref>
        </x14:conditionalFormatting>
        <x14:conditionalFormatting xmlns:xm="http://schemas.microsoft.com/office/excel/2006/main">
          <x14:cfRule type="dataBar" id="{DFE38405-FA2F-4BC7-8CEB-F1232F1A4035}">
            <x14:dataBar minLength="0" maxLength="100" border="1" gradient="0">
              <x14:cfvo type="num">
                <xm:f>0</xm:f>
              </x14:cfvo>
              <x14:cfvo type="num">
                <xm:f>1</xm:f>
              </x14:cfvo>
              <x14:borderColor theme="0"/>
              <x14:negativeFillColor rgb="FFFF0000"/>
              <x14:axisColor rgb="FF000000"/>
            </x14:dataBar>
          </x14:cfRule>
          <xm:sqref>Y464</xm:sqref>
        </x14:conditionalFormatting>
        <x14:conditionalFormatting xmlns:xm="http://schemas.microsoft.com/office/excel/2006/main">
          <x14:cfRule type="dataBar" id="{C118D3E2-AE5A-4569-A813-EB6CFEB1B024}">
            <x14:dataBar minLength="0" maxLength="100" border="1" gradient="0">
              <x14:cfvo type="num">
                <xm:f>0</xm:f>
              </x14:cfvo>
              <x14:cfvo type="num">
                <xm:f>1</xm:f>
              </x14:cfvo>
              <x14:borderColor theme="0"/>
              <x14:negativeFillColor rgb="FFFF0000"/>
              <x14:axisColor rgb="FF000000"/>
            </x14:dataBar>
          </x14:cfRule>
          <xm:sqref>Y466 Y468 Y470 Y472</xm:sqref>
        </x14:conditionalFormatting>
        <x14:conditionalFormatting xmlns:xm="http://schemas.microsoft.com/office/excel/2006/main">
          <x14:cfRule type="dataBar" id="{BAFB14FE-8C74-48BA-85CE-A3283695FCE4}">
            <x14:dataBar minLength="0" maxLength="100" border="1" gradient="0">
              <x14:cfvo type="num">
                <xm:f>0</xm:f>
              </x14:cfvo>
              <x14:cfvo type="num">
                <xm:f>1</xm:f>
              </x14:cfvo>
              <x14:borderColor theme="0"/>
              <x14:negativeFillColor rgb="FFFF0000"/>
              <x14:axisColor rgb="FF000000"/>
            </x14:dataBar>
          </x14:cfRule>
          <xm:sqref>Y474</xm:sqref>
        </x14:conditionalFormatting>
        <x14:conditionalFormatting xmlns:xm="http://schemas.microsoft.com/office/excel/2006/main">
          <x14:cfRule type="dataBar" id="{9DA0FA65-A250-43A8-A37C-A446B6728179}">
            <x14:dataBar minLength="0" maxLength="100" border="1" gradient="0">
              <x14:cfvo type="num">
                <xm:f>0</xm:f>
              </x14:cfvo>
              <x14:cfvo type="num">
                <xm:f>1</xm:f>
              </x14:cfvo>
              <x14:borderColor theme="0"/>
              <x14:negativeFillColor rgb="FFFF0000"/>
              <x14:axisColor rgb="FF000000"/>
            </x14:dataBar>
          </x14:cfRule>
          <xm:sqref>Y476 Y478 Y480 Y482</xm:sqref>
        </x14:conditionalFormatting>
        <x14:conditionalFormatting xmlns:xm="http://schemas.microsoft.com/office/excel/2006/main">
          <x14:cfRule type="dataBar" id="{72D8AA8A-91CD-4268-9003-7AB9D5ED5F83}">
            <x14:dataBar minLength="0" maxLength="100" border="1" gradient="0">
              <x14:cfvo type="num">
                <xm:f>0</xm:f>
              </x14:cfvo>
              <x14:cfvo type="num">
                <xm:f>1</xm:f>
              </x14:cfvo>
              <x14:borderColor theme="0"/>
              <x14:negativeFillColor rgb="FFFF0000"/>
              <x14:axisColor rgb="FF000000"/>
            </x14:dataBar>
          </x14:cfRule>
          <xm:sqref>Y484</xm:sqref>
        </x14:conditionalFormatting>
        <x14:conditionalFormatting xmlns:xm="http://schemas.microsoft.com/office/excel/2006/main">
          <x14:cfRule type="dataBar" id="{92910D27-B257-4EBD-A95C-0063B2958CB8}">
            <x14:dataBar minLength="0" maxLength="100" border="1" gradient="0">
              <x14:cfvo type="num">
                <xm:f>0</xm:f>
              </x14:cfvo>
              <x14:cfvo type="num">
                <xm:f>1</xm:f>
              </x14:cfvo>
              <x14:borderColor theme="0"/>
              <x14:negativeFillColor rgb="FFFF0000"/>
              <x14:axisColor rgb="FF000000"/>
            </x14:dataBar>
          </x14:cfRule>
          <xm:sqref>Y486 Y488</xm:sqref>
        </x14:conditionalFormatting>
        <x14:conditionalFormatting xmlns:xm="http://schemas.microsoft.com/office/excel/2006/main">
          <x14:cfRule type="dataBar" id="{5EF50019-76D8-4F2A-BE84-C1E9B12B4E90}">
            <x14:dataBar minLength="0" maxLength="100" border="1" gradient="0">
              <x14:cfvo type="num">
                <xm:f>0</xm:f>
              </x14:cfvo>
              <x14:cfvo type="num">
                <xm:f>1</xm:f>
              </x14:cfvo>
              <x14:borderColor theme="0"/>
              <x14:negativeFillColor rgb="FFFF0000"/>
              <x14:axisColor rgb="FF000000"/>
            </x14:dataBar>
          </x14:cfRule>
          <xm:sqref>Y492</xm:sqref>
        </x14:conditionalFormatting>
        <x14:conditionalFormatting xmlns:xm="http://schemas.microsoft.com/office/excel/2006/main">
          <x14:cfRule type="dataBar" id="{3B96142D-4C9B-40A5-8DEB-46A1910594AE}">
            <x14:dataBar minLength="0" maxLength="100" border="1" gradient="0">
              <x14:cfvo type="num">
                <xm:f>0</xm:f>
              </x14:cfvo>
              <x14:cfvo type="num">
                <xm:f>1</xm:f>
              </x14:cfvo>
              <x14:borderColor theme="0"/>
              <x14:negativeFillColor rgb="FFFF0000"/>
              <x14:axisColor rgb="FF000000"/>
            </x14:dataBar>
          </x14:cfRule>
          <xm:sqref>Y494 Y496 Y498 Y500</xm:sqref>
        </x14:conditionalFormatting>
        <x14:conditionalFormatting xmlns:xm="http://schemas.microsoft.com/office/excel/2006/main">
          <x14:cfRule type="dataBar" id="{A5FF837E-FCE1-4297-88FB-7611EC934219}">
            <x14:dataBar minLength="0" maxLength="100" border="1" gradient="0">
              <x14:cfvo type="num">
                <xm:f>0</xm:f>
              </x14:cfvo>
              <x14:cfvo type="num">
                <xm:f>1</xm:f>
              </x14:cfvo>
              <x14:borderColor theme="0"/>
              <x14:negativeFillColor rgb="FFFF0000"/>
              <x14:axisColor rgb="FF000000"/>
            </x14:dataBar>
          </x14:cfRule>
          <xm:sqref>Y502</xm:sqref>
        </x14:conditionalFormatting>
        <x14:conditionalFormatting xmlns:xm="http://schemas.microsoft.com/office/excel/2006/main">
          <x14:cfRule type="dataBar" id="{B3BE7AF4-C7C0-40AD-B95E-E1556ECD839E}">
            <x14:dataBar minLength="0" maxLength="100" border="1" gradient="0">
              <x14:cfvo type="num">
                <xm:f>0</xm:f>
              </x14:cfvo>
              <x14:cfvo type="num">
                <xm:f>1</xm:f>
              </x14:cfvo>
              <x14:borderColor theme="0"/>
              <x14:negativeFillColor rgb="FFFF0000"/>
              <x14:axisColor rgb="FF000000"/>
            </x14:dataBar>
          </x14:cfRule>
          <xm:sqref>Y510</xm:sqref>
        </x14:conditionalFormatting>
        <x14:conditionalFormatting xmlns:xm="http://schemas.microsoft.com/office/excel/2006/main">
          <x14:cfRule type="dataBar" id="{FF8CA615-69E6-4601-B732-440FC43821B5}">
            <x14:dataBar minLength="0" maxLength="100" border="1" gradient="0">
              <x14:cfvo type="num">
                <xm:f>0</xm:f>
              </x14:cfvo>
              <x14:cfvo type="num">
                <xm:f>1</xm:f>
              </x14:cfvo>
              <x14:borderColor theme="0"/>
              <x14:negativeFillColor rgb="FFFF0000"/>
              <x14:axisColor rgb="FF000000"/>
            </x14:dataBar>
          </x14:cfRule>
          <xm:sqref>Y512</xm:sqref>
        </x14:conditionalFormatting>
        <x14:conditionalFormatting xmlns:xm="http://schemas.microsoft.com/office/excel/2006/main">
          <x14:cfRule type="dataBar" id="{9BC15503-58CC-4554-A560-3938A61F239F}">
            <x14:dataBar minLength="0" maxLength="100" border="1" gradient="0">
              <x14:cfvo type="num">
                <xm:f>0</xm:f>
              </x14:cfvo>
              <x14:cfvo type="num">
                <xm:f>1</xm:f>
              </x14:cfvo>
              <x14:borderColor theme="0"/>
              <x14:negativeFillColor rgb="FFFF0000"/>
              <x14:axisColor rgb="FF000000"/>
            </x14:dataBar>
          </x14:cfRule>
          <xm:sqref>Y514 Y416 Y418 Y420 Y452</xm:sqref>
        </x14:conditionalFormatting>
        <x14:conditionalFormatting xmlns:xm="http://schemas.microsoft.com/office/excel/2006/main">
          <x14:cfRule type="dataBar" id="{3F6BC370-38D4-44F3-8D82-C93D39AAD62F}">
            <x14:dataBar minLength="0" maxLength="100" border="1" gradient="0">
              <x14:cfvo type="num">
                <xm:f>0</xm:f>
              </x14:cfvo>
              <x14:cfvo type="num">
                <xm:f>1</xm:f>
              </x14:cfvo>
              <x14:borderColor theme="0"/>
              <x14:negativeFillColor rgb="FFFF0000"/>
              <x14:axisColor rgb="FF000000"/>
            </x14:dataBar>
          </x14:cfRule>
          <xm:sqref>Y516</xm:sqref>
        </x14:conditionalFormatting>
        <x14:conditionalFormatting xmlns:xm="http://schemas.microsoft.com/office/excel/2006/main">
          <x14:cfRule type="dataBar" id="{998EC994-78FC-4F98-BB29-2ED0C1BD0FCB}">
            <x14:dataBar minLength="0" maxLength="100" border="1" gradient="0">
              <x14:cfvo type="num">
                <xm:f>0</xm:f>
              </x14:cfvo>
              <x14:cfvo type="num">
                <xm:f>1</xm:f>
              </x14:cfvo>
              <x14:borderColor theme="0"/>
              <x14:negativeFillColor rgb="FFFF0000"/>
              <x14:axisColor rgb="FF000000"/>
            </x14:dataBar>
          </x14:cfRule>
          <xm:sqref>Y520</xm:sqref>
        </x14:conditionalFormatting>
        <x14:conditionalFormatting xmlns:xm="http://schemas.microsoft.com/office/excel/2006/main">
          <x14:cfRule type="dataBar" id="{4AAD2B26-A691-4AF7-B46A-2A5071BCA238}">
            <x14:dataBar minLength="0" maxLength="100" border="1" gradient="0">
              <x14:cfvo type="num">
                <xm:f>0</xm:f>
              </x14:cfvo>
              <x14:cfvo type="num">
                <xm:f>1</xm:f>
              </x14:cfvo>
              <x14:borderColor theme="0"/>
              <x14:negativeFillColor rgb="FFFF0000"/>
              <x14:axisColor rgb="FF000000"/>
            </x14:dataBar>
          </x14:cfRule>
          <xm:sqref>Y522</xm:sqref>
        </x14:conditionalFormatting>
        <x14:conditionalFormatting xmlns:xm="http://schemas.microsoft.com/office/excel/2006/main">
          <x14:cfRule type="dataBar" id="{2548F843-AF93-4A74-9826-425C23D61C37}">
            <x14:dataBar minLength="0" maxLength="100" border="1" gradient="0">
              <x14:cfvo type="num">
                <xm:f>0</xm:f>
              </x14:cfvo>
              <x14:cfvo type="num">
                <xm:f>1</xm:f>
              </x14:cfvo>
              <x14:borderColor theme="0"/>
              <x14:negativeFillColor rgb="FFFF0000"/>
              <x14:axisColor rgb="FF000000"/>
            </x14:dataBar>
          </x14:cfRule>
          <xm:sqref>Y524</xm:sqref>
        </x14:conditionalFormatting>
        <x14:conditionalFormatting xmlns:xm="http://schemas.microsoft.com/office/excel/2006/main">
          <x14:cfRule type="dataBar" id="{6EF274C0-4C61-44BD-8B4A-0AC72460F488}">
            <x14:dataBar minLength="0" maxLength="100" border="1" gradient="0">
              <x14:cfvo type="num">
                <xm:f>0</xm:f>
              </x14:cfvo>
              <x14:cfvo type="num">
                <xm:f>1</xm:f>
              </x14:cfvo>
              <x14:borderColor theme="0"/>
              <x14:negativeFillColor rgb="FFFF0000"/>
              <x14:axisColor rgb="FF000000"/>
            </x14:dataBar>
          </x14:cfRule>
          <xm:sqref>Y526</xm:sqref>
        </x14:conditionalFormatting>
        <x14:conditionalFormatting xmlns:xm="http://schemas.microsoft.com/office/excel/2006/main">
          <x14:cfRule type="dataBar" id="{18B1437C-B0BA-4A83-BAC0-C99A15DEC6F1}">
            <x14:dataBar minLength="0" maxLength="100" border="1" gradient="0">
              <x14:cfvo type="num">
                <xm:f>0</xm:f>
              </x14:cfvo>
              <x14:cfvo type="num">
                <xm:f>1</xm:f>
              </x14:cfvo>
              <x14:borderColor theme="0"/>
              <x14:negativeFillColor rgb="FFFF0000"/>
              <x14:axisColor rgb="FF000000"/>
            </x14:dataBar>
          </x14:cfRule>
          <xm:sqref>Y528</xm:sqref>
        </x14:conditionalFormatting>
        <x14:conditionalFormatting xmlns:xm="http://schemas.microsoft.com/office/excel/2006/main">
          <x14:cfRule type="dataBar" id="{C4ADC330-8282-4EFC-B8E0-2D0FE55DE891}">
            <x14:dataBar minLength="0" maxLength="100" border="1" gradient="0">
              <x14:cfvo type="num">
                <xm:f>0</xm:f>
              </x14:cfvo>
              <x14:cfvo type="num">
                <xm:f>1</xm:f>
              </x14:cfvo>
              <x14:borderColor theme="0"/>
              <x14:negativeFillColor rgb="FFFF0000"/>
              <x14:axisColor rgb="FF000000"/>
            </x14:dataBar>
          </x14:cfRule>
          <xm:sqref>Y530</xm:sqref>
        </x14:conditionalFormatting>
        <x14:conditionalFormatting xmlns:xm="http://schemas.microsoft.com/office/excel/2006/main">
          <x14:cfRule type="dataBar" id="{AC33B302-3BDF-4508-BE41-B6C223915EBD}">
            <x14:dataBar minLength="0" maxLength="100" border="1" gradient="0">
              <x14:cfvo type="num">
                <xm:f>0</xm:f>
              </x14:cfvo>
              <x14:cfvo type="num">
                <xm:f>1</xm:f>
              </x14:cfvo>
              <x14:borderColor theme="0"/>
              <x14:negativeFillColor rgb="FFFF0000"/>
              <x14:axisColor rgb="FF000000"/>
            </x14:dataBar>
          </x14:cfRule>
          <xm:sqref>Y533</xm:sqref>
        </x14:conditionalFormatting>
        <x14:conditionalFormatting xmlns:xm="http://schemas.microsoft.com/office/excel/2006/main">
          <x14:cfRule type="dataBar" id="{F632721B-C539-436D-8027-F5ADAF2C0569}">
            <x14:dataBar minLength="0" maxLength="100" border="1" gradient="0">
              <x14:cfvo type="num">
                <xm:f>0</xm:f>
              </x14:cfvo>
              <x14:cfvo type="num">
                <xm:f>1</xm:f>
              </x14:cfvo>
              <x14:borderColor theme="0"/>
              <x14:negativeFillColor rgb="FFFF0000"/>
              <x14:axisColor rgb="FF000000"/>
            </x14:dataBar>
          </x14:cfRule>
          <xm:sqref>Y535</xm:sqref>
        </x14:conditionalFormatting>
        <x14:conditionalFormatting xmlns:xm="http://schemas.microsoft.com/office/excel/2006/main">
          <x14:cfRule type="dataBar" id="{9C335AA6-1163-47F6-A077-8AB203ED3FE0}">
            <x14:dataBar minLength="0" maxLength="100" border="1" gradient="0">
              <x14:cfvo type="num">
                <xm:f>0</xm:f>
              </x14:cfvo>
              <x14:cfvo type="num">
                <xm:f>1</xm:f>
              </x14:cfvo>
              <x14:borderColor theme="0"/>
              <x14:negativeFillColor rgb="FFFF0000"/>
              <x14:axisColor rgb="FF000000"/>
            </x14:dataBar>
          </x14:cfRule>
          <xm:sqref>Y537</xm:sqref>
        </x14:conditionalFormatting>
        <x14:conditionalFormatting xmlns:xm="http://schemas.microsoft.com/office/excel/2006/main">
          <x14:cfRule type="dataBar" id="{FA5E0979-24DE-48E0-AC29-7DFD51DDFCC0}">
            <x14:dataBar minLength="0" maxLength="100" border="1" gradient="0">
              <x14:cfvo type="num">
                <xm:f>0</xm:f>
              </x14:cfvo>
              <x14:cfvo type="num">
                <xm:f>1</xm:f>
              </x14:cfvo>
              <x14:borderColor theme="0"/>
              <x14:negativeFillColor rgb="FFFF0000"/>
              <x14:axisColor rgb="FF000000"/>
            </x14:dataBar>
          </x14:cfRule>
          <xm:sqref>Y539</xm:sqref>
        </x14:conditionalFormatting>
        <x14:conditionalFormatting xmlns:xm="http://schemas.microsoft.com/office/excel/2006/main">
          <x14:cfRule type="dataBar" id="{F169A6EB-8B8D-41B9-A041-7D2A6D7F3BB2}">
            <x14:dataBar minLength="0" maxLength="100" border="1" gradient="0">
              <x14:cfvo type="num">
                <xm:f>0</xm:f>
              </x14:cfvo>
              <x14:cfvo type="num">
                <xm:f>1</xm:f>
              </x14:cfvo>
              <x14:borderColor theme="0"/>
              <x14:negativeFillColor rgb="FFFF0000"/>
              <x14:axisColor rgb="FF000000"/>
            </x14:dataBar>
          </x14:cfRule>
          <xm:sqref>Y541 Y545 Y549 Y553 Y557 Y561</xm:sqref>
        </x14:conditionalFormatting>
        <x14:conditionalFormatting xmlns:xm="http://schemas.microsoft.com/office/excel/2006/main">
          <x14:cfRule type="dataBar" id="{CDFE0710-7889-46DB-9DC7-860750118227}">
            <x14:dataBar minLength="0" maxLength="100" border="1" gradient="0">
              <x14:cfvo type="num">
                <xm:f>0</xm:f>
              </x14:cfvo>
              <x14:cfvo type="num">
                <xm:f>1</xm:f>
              </x14:cfvo>
              <x14:borderColor theme="0"/>
              <x14:negativeFillColor rgb="FFFF0000"/>
              <x14:axisColor rgb="FF000000"/>
            </x14:dataBar>
          </x14:cfRule>
          <xm:sqref>Y543 Y547 Y551 Y555 Y559 Y563</xm:sqref>
        </x14:conditionalFormatting>
        <x14:conditionalFormatting xmlns:xm="http://schemas.microsoft.com/office/excel/2006/main">
          <x14:cfRule type="dataBar" id="{24833F55-44F6-49A9-BB38-CDDDE86CC103}">
            <x14:dataBar minLength="0" maxLength="100" border="1" gradient="0">
              <x14:cfvo type="num">
                <xm:f>0</xm:f>
              </x14:cfvo>
              <x14:cfvo type="num">
                <xm:f>1</xm:f>
              </x14:cfvo>
              <x14:borderColor theme="0"/>
              <x14:negativeFillColor rgb="FFFF0000"/>
              <x14:axisColor rgb="FF000000"/>
            </x14:dataBar>
          </x14:cfRule>
          <xm:sqref>Y565</xm:sqref>
        </x14:conditionalFormatting>
        <x14:conditionalFormatting xmlns:xm="http://schemas.microsoft.com/office/excel/2006/main">
          <x14:cfRule type="dataBar" id="{8EE6C4B3-93F3-452F-94D5-75AC8B4EE014}">
            <x14:dataBar minLength="0" maxLength="100" border="1" gradient="0">
              <x14:cfvo type="num">
                <xm:f>0</xm:f>
              </x14:cfvo>
              <x14:cfvo type="num">
                <xm:f>1</xm:f>
              </x14:cfvo>
              <x14:borderColor theme="0"/>
              <x14:negativeFillColor rgb="FFFF0000"/>
              <x14:axisColor rgb="FF000000"/>
            </x14:dataBar>
          </x14:cfRule>
          <xm:sqref>Y567</xm:sqref>
        </x14:conditionalFormatting>
        <x14:conditionalFormatting xmlns:xm="http://schemas.microsoft.com/office/excel/2006/main">
          <x14:cfRule type="dataBar" id="{79240C22-D278-468D-A30C-D6B20BA22414}">
            <x14:dataBar minLength="0" maxLength="100" border="1" gradient="0">
              <x14:cfvo type="num">
                <xm:f>0</xm:f>
              </x14:cfvo>
              <x14:cfvo type="num">
                <xm:f>1</xm:f>
              </x14:cfvo>
              <x14:borderColor theme="0"/>
              <x14:negativeFillColor rgb="FFFF0000"/>
              <x14:axisColor rgb="FF000000"/>
            </x14:dataBar>
          </x14:cfRule>
          <xm:sqref>Y573 Y569 Y577 Y583 Y587 Y591</xm:sqref>
        </x14:conditionalFormatting>
        <x14:conditionalFormatting xmlns:xm="http://schemas.microsoft.com/office/excel/2006/main">
          <x14:cfRule type="dataBar" id="{9166E4B9-5C0D-44F4-92F8-8802E6DAC2E3}">
            <x14:dataBar minLength="0" maxLength="100" border="1" gradient="0">
              <x14:cfvo type="num">
                <xm:f>0</xm:f>
              </x14:cfvo>
              <x14:cfvo type="num">
                <xm:f>1</xm:f>
              </x14:cfvo>
              <x14:borderColor theme="0"/>
              <x14:negativeFillColor rgb="FFFF0000"/>
              <x14:axisColor rgb="FF000000"/>
            </x14:dataBar>
          </x14:cfRule>
          <xm:sqref>Y575 Y571 Y581 Y585 Y589 Y593</xm:sqref>
        </x14:conditionalFormatting>
        <x14:conditionalFormatting xmlns:xm="http://schemas.microsoft.com/office/excel/2006/main">
          <x14:cfRule type="dataBar" id="{80B818FF-0815-4D8B-B9D1-799D238D7E67}">
            <x14:dataBar minLength="0" maxLength="100" border="1" gradient="0">
              <x14:cfvo type="num">
                <xm:f>0</xm:f>
              </x14:cfvo>
              <x14:cfvo type="num">
                <xm:f>1</xm:f>
              </x14:cfvo>
              <x14:borderColor theme="0"/>
              <x14:negativeFillColor rgb="FFFF0000"/>
              <x14:axisColor rgb="FF000000"/>
            </x14:dataBar>
          </x14:cfRule>
          <xm:sqref>Y579 Y504 Y506 Y508</xm:sqref>
        </x14:conditionalFormatting>
        <x14:conditionalFormatting xmlns:xm="http://schemas.microsoft.com/office/excel/2006/main">
          <x14:cfRule type="dataBar" id="{413C7848-83B5-4095-9648-211CB05CF1F4}">
            <x14:dataBar minLength="0" maxLength="100" border="1" gradient="0">
              <x14:cfvo type="num">
                <xm:f>0</xm:f>
              </x14:cfvo>
              <x14:cfvo type="num">
                <xm:f>1</xm:f>
              </x14:cfvo>
              <x14:borderColor theme="0"/>
              <x14:negativeFillColor rgb="FFFF0000"/>
              <x14:axisColor rgb="FF000000"/>
            </x14:dataBar>
          </x14:cfRule>
          <xm:sqref>Y595</xm:sqref>
        </x14:conditionalFormatting>
        <x14:conditionalFormatting xmlns:xm="http://schemas.microsoft.com/office/excel/2006/main">
          <x14:cfRule type="dataBar" id="{CFCA0637-9666-40D9-9D31-0EC766515EE7}">
            <x14:dataBar minLength="0" maxLength="100" border="1" gradient="0">
              <x14:cfvo type="num">
                <xm:f>0</xm:f>
              </x14:cfvo>
              <x14:cfvo type="num">
                <xm:f>1</xm:f>
              </x14:cfvo>
              <x14:borderColor theme="0"/>
              <x14:negativeFillColor rgb="FFFF0000"/>
              <x14:axisColor rgb="FF000000"/>
            </x14:dataBar>
          </x14:cfRule>
          <xm:sqref>Y597</xm:sqref>
        </x14:conditionalFormatting>
        <x14:conditionalFormatting xmlns:xm="http://schemas.microsoft.com/office/excel/2006/main">
          <x14:cfRule type="dataBar" id="{0CDC5BF3-3AEC-493E-89C2-46804BAE94D5}">
            <x14:dataBar minLength="0" maxLength="100" border="1" gradient="0">
              <x14:cfvo type="num">
                <xm:f>0</xm:f>
              </x14:cfvo>
              <x14:cfvo type="num">
                <xm:f>1</xm:f>
              </x14:cfvo>
              <x14:borderColor theme="0"/>
              <x14:negativeFillColor rgb="FFFF0000"/>
              <x14:axisColor rgb="FF000000"/>
            </x14:dataBar>
          </x14:cfRule>
          <xm:sqref>Y599 Y603 Y607 Y611 Y615 Y619</xm:sqref>
        </x14:conditionalFormatting>
        <x14:conditionalFormatting xmlns:xm="http://schemas.microsoft.com/office/excel/2006/main">
          <x14:cfRule type="dataBar" id="{8415BE48-1726-4ED5-8BDF-A5FDA44CC365}">
            <x14:dataBar minLength="0" maxLength="100" border="1" gradient="0">
              <x14:cfvo type="num">
                <xm:f>0</xm:f>
              </x14:cfvo>
              <x14:cfvo type="num">
                <xm:f>1</xm:f>
              </x14:cfvo>
              <x14:borderColor theme="0"/>
              <x14:negativeFillColor rgb="FFFF0000"/>
              <x14:axisColor rgb="FF000000"/>
            </x14:dataBar>
          </x14:cfRule>
          <xm:sqref>Y601 Y605 Y609 Y613 Y617 Y621</xm:sqref>
        </x14:conditionalFormatting>
        <x14:conditionalFormatting xmlns:xm="http://schemas.microsoft.com/office/excel/2006/main">
          <x14:cfRule type="dataBar" id="{C14B9227-5CC0-48E7-B2FA-52C28B50D5F3}">
            <x14:dataBar minLength="0" maxLength="100" border="1" gradient="0">
              <x14:cfvo type="num">
                <xm:f>0</xm:f>
              </x14:cfvo>
              <x14:cfvo type="num">
                <xm:f>1</xm:f>
              </x14:cfvo>
              <x14:borderColor theme="0"/>
              <x14:negativeFillColor rgb="FFFF0000"/>
              <x14:axisColor rgb="FF000000"/>
            </x14:dataBar>
          </x14:cfRule>
          <xm:sqref>Y623</xm:sqref>
        </x14:conditionalFormatting>
        <x14:conditionalFormatting xmlns:xm="http://schemas.microsoft.com/office/excel/2006/main">
          <x14:cfRule type="dataBar" id="{F09A8469-568F-4BE7-8745-F73B0A764D23}">
            <x14:dataBar minLength="0" maxLength="100" border="1" gradient="0">
              <x14:cfvo type="num">
                <xm:f>0</xm:f>
              </x14:cfvo>
              <x14:cfvo type="num">
                <xm:f>1</xm:f>
              </x14:cfvo>
              <x14:borderColor theme="0"/>
              <x14:negativeFillColor rgb="FFFF0000"/>
              <x14:axisColor rgb="FF000000"/>
            </x14:dataBar>
          </x14:cfRule>
          <xm:sqref>Y625</xm:sqref>
        </x14:conditionalFormatting>
        <x14:conditionalFormatting xmlns:xm="http://schemas.microsoft.com/office/excel/2006/main">
          <x14:cfRule type="dataBar" id="{A5B87444-D184-415B-88E9-1839B32EFE43}">
            <x14:dataBar minLength="0" maxLength="100" border="1" gradient="0">
              <x14:cfvo type="num">
                <xm:f>0</xm:f>
              </x14:cfvo>
              <x14:cfvo type="num">
                <xm:f>1</xm:f>
              </x14:cfvo>
              <x14:borderColor theme="0"/>
              <x14:negativeFillColor rgb="FFFF0000"/>
              <x14:axisColor rgb="FF000000"/>
            </x14:dataBar>
          </x14:cfRule>
          <xm:sqref>Y627 Y645 Y631 Y635 Y639</xm:sqref>
        </x14:conditionalFormatting>
        <x14:conditionalFormatting xmlns:xm="http://schemas.microsoft.com/office/excel/2006/main">
          <x14:cfRule type="dataBar" id="{0B62925E-4448-4068-800C-68258E5B7FFC}">
            <x14:dataBar minLength="0" maxLength="100" border="1" gradient="0">
              <x14:cfvo type="num">
                <xm:f>0</xm:f>
              </x14:cfvo>
              <x14:cfvo type="num">
                <xm:f>1</xm:f>
              </x14:cfvo>
              <x14:borderColor theme="0"/>
              <x14:negativeFillColor rgb="FFFF0000"/>
              <x14:axisColor rgb="FF000000"/>
            </x14:dataBar>
          </x14:cfRule>
          <xm:sqref>Y633 Y629 Y637 Y641</xm:sqref>
        </x14:conditionalFormatting>
        <x14:conditionalFormatting xmlns:xm="http://schemas.microsoft.com/office/excel/2006/main">
          <x14:cfRule type="dataBar" id="{CE1FB4DF-56A8-422B-8363-C05E17F61CBF}">
            <x14:dataBar minLength="0" maxLength="100" border="1" gradient="0">
              <x14:cfvo type="num">
                <xm:f>0</xm:f>
              </x14:cfvo>
              <x14:cfvo type="num">
                <xm:f>1</xm:f>
              </x14:cfvo>
              <x14:borderColor theme="0"/>
              <x14:negativeFillColor rgb="FFFF0000"/>
              <x14:axisColor rgb="FF000000"/>
            </x14:dataBar>
          </x14:cfRule>
          <xm:sqref>Y643</xm:sqref>
        </x14:conditionalFormatting>
        <x14:conditionalFormatting xmlns:xm="http://schemas.microsoft.com/office/excel/2006/main">
          <x14:cfRule type="dataBar" id="{EB202949-A416-4DC0-9E44-B2761CE98744}">
            <x14:dataBar minLength="0" maxLength="100" border="1" gradient="0">
              <x14:cfvo type="num">
                <xm:f>0</xm:f>
              </x14:cfvo>
              <x14:cfvo type="num">
                <xm:f>1</xm:f>
              </x14:cfvo>
              <x14:borderColor theme="0"/>
              <x14:negativeFillColor rgb="FFFF0000"/>
              <x14:axisColor rgb="FF000000"/>
            </x14:dataBar>
          </x14:cfRule>
          <xm:sqref>Y647</xm:sqref>
        </x14:conditionalFormatting>
        <x14:conditionalFormatting xmlns:xm="http://schemas.microsoft.com/office/excel/2006/main">
          <x14:cfRule type="dataBar" id="{610B136D-5522-4C14-BFCA-DE67515654A9}">
            <x14:dataBar minLength="0" maxLength="100" border="1" gradient="0">
              <x14:cfvo type="num">
                <xm:f>0</xm:f>
              </x14:cfvo>
              <x14:cfvo type="num">
                <xm:f>1</xm:f>
              </x14:cfvo>
              <x14:borderColor theme="0"/>
              <x14:negativeFillColor rgb="FFFF0000"/>
              <x14:axisColor rgb="FF000000"/>
            </x14:dataBar>
          </x14:cfRule>
          <xm:sqref>Y649</xm:sqref>
        </x14:conditionalFormatting>
        <x14:conditionalFormatting xmlns:xm="http://schemas.microsoft.com/office/excel/2006/main">
          <x14:cfRule type="dataBar" id="{B116BEF4-F651-4CA1-A6B7-50C77D46980A}">
            <x14:dataBar minLength="0" maxLength="100" border="1" gradient="0">
              <x14:cfvo type="num">
                <xm:f>0</xm:f>
              </x14:cfvo>
              <x14:cfvo type="num">
                <xm:f>1</xm:f>
              </x14:cfvo>
              <x14:borderColor theme="0"/>
              <x14:negativeFillColor rgb="FFFF0000"/>
              <x14:axisColor rgb="FF000000"/>
            </x14:dataBar>
          </x14:cfRule>
          <xm:sqref>Y652</xm:sqref>
        </x14:conditionalFormatting>
        <x14:conditionalFormatting xmlns:xm="http://schemas.microsoft.com/office/excel/2006/main">
          <x14:cfRule type="dataBar" id="{F809BF08-97EB-4687-A3D8-BAD667E96159}">
            <x14:dataBar minLength="0" maxLength="100" border="1" gradient="0">
              <x14:cfvo type="num">
                <xm:f>0</xm:f>
              </x14:cfvo>
              <x14:cfvo type="num">
                <xm:f>1</xm:f>
              </x14:cfvo>
              <x14:borderColor theme="0"/>
              <x14:negativeFillColor rgb="FFFF0000"/>
              <x14:axisColor rgb="FF000000"/>
            </x14:dataBar>
          </x14:cfRule>
          <xm:sqref>Y654</xm:sqref>
        </x14:conditionalFormatting>
        <x14:conditionalFormatting xmlns:xm="http://schemas.microsoft.com/office/excel/2006/main">
          <x14:cfRule type="dataBar" id="{42344B5B-AE03-4EA1-9612-7265BC83A117}">
            <x14:dataBar minLength="0" maxLength="100" border="1" gradient="0">
              <x14:cfvo type="num">
                <xm:f>0</xm:f>
              </x14:cfvo>
              <x14:cfvo type="num">
                <xm:f>1</xm:f>
              </x14:cfvo>
              <x14:borderColor theme="0"/>
              <x14:negativeFillColor rgb="FFFF0000"/>
              <x14:axisColor rgb="FF000000"/>
            </x14:dataBar>
          </x14:cfRule>
          <xm:sqref>Y656</xm:sqref>
        </x14:conditionalFormatting>
        <x14:conditionalFormatting xmlns:xm="http://schemas.microsoft.com/office/excel/2006/main">
          <x14:cfRule type="dataBar" id="{300059E2-E8A4-4721-AD33-F194B4F46238}">
            <x14:dataBar minLength="0" maxLength="100" border="1" gradient="0">
              <x14:cfvo type="num">
                <xm:f>0</xm:f>
              </x14:cfvo>
              <x14:cfvo type="num">
                <xm:f>1</xm:f>
              </x14:cfvo>
              <x14:borderColor theme="0"/>
              <x14:negativeFillColor rgb="FFFF0000"/>
              <x14:axisColor rgb="FF000000"/>
            </x14:dataBar>
          </x14:cfRule>
          <xm:sqref>Y658</xm:sqref>
        </x14:conditionalFormatting>
        <x14:conditionalFormatting xmlns:xm="http://schemas.microsoft.com/office/excel/2006/main">
          <x14:cfRule type="dataBar" id="{892C469F-1762-4A27-AF42-6E91DEEDADE5}">
            <x14:dataBar minLength="0" maxLength="100" border="1" gradient="0">
              <x14:cfvo type="num">
                <xm:f>0</xm:f>
              </x14:cfvo>
              <x14:cfvo type="num">
                <xm:f>1</xm:f>
              </x14:cfvo>
              <x14:borderColor theme="0"/>
              <x14:negativeFillColor rgb="FFFF0000"/>
              <x14:axisColor rgb="FF000000"/>
            </x14:dataBar>
          </x14:cfRule>
          <xm:sqref>Y660</xm:sqref>
        </x14:conditionalFormatting>
        <x14:conditionalFormatting xmlns:xm="http://schemas.microsoft.com/office/excel/2006/main">
          <x14:cfRule type="dataBar" id="{CA3ACD93-E6A4-4C4D-9D65-93779E3487C8}">
            <x14:dataBar minLength="0" maxLength="100" border="1" gradient="0">
              <x14:cfvo type="num">
                <xm:f>0</xm:f>
              </x14:cfvo>
              <x14:cfvo type="num">
                <xm:f>1</xm:f>
              </x14:cfvo>
              <x14:borderColor theme="0"/>
              <x14:negativeFillColor rgb="FFFF0000"/>
              <x14:axisColor rgb="FF000000"/>
            </x14:dataBar>
          </x14:cfRule>
          <xm:sqref>Y662</xm:sqref>
        </x14:conditionalFormatting>
        <x14:conditionalFormatting xmlns:xm="http://schemas.microsoft.com/office/excel/2006/main">
          <x14:cfRule type="dataBar" id="{E4877DC0-36F5-4654-8200-0069F5A1E0B5}">
            <x14:dataBar minLength="0" maxLength="100" border="1" gradient="0">
              <x14:cfvo type="num">
                <xm:f>0</xm:f>
              </x14:cfvo>
              <x14:cfvo type="num">
                <xm:f>1</xm:f>
              </x14:cfvo>
              <x14:borderColor theme="0"/>
              <x14:negativeFillColor rgb="FFFF0000"/>
              <x14:axisColor rgb="FF000000"/>
            </x14:dataBar>
          </x14:cfRule>
          <xm:sqref>Y664</xm:sqref>
        </x14:conditionalFormatting>
        <x14:conditionalFormatting xmlns:xm="http://schemas.microsoft.com/office/excel/2006/main">
          <x14:cfRule type="dataBar" id="{CE558AF5-02C9-4EB9-9340-34439B6C158E}">
            <x14:dataBar minLength="0" maxLength="100" border="1" gradient="0">
              <x14:cfvo type="num">
                <xm:f>0</xm:f>
              </x14:cfvo>
              <x14:cfvo type="num">
                <xm:f>1</xm:f>
              </x14:cfvo>
              <x14:borderColor theme="0"/>
              <x14:negativeFillColor rgb="FFFF0000"/>
              <x14:axisColor rgb="FF000000"/>
            </x14:dataBar>
          </x14:cfRule>
          <xm:sqref>Y666</xm:sqref>
        </x14:conditionalFormatting>
        <x14:conditionalFormatting xmlns:xm="http://schemas.microsoft.com/office/excel/2006/main">
          <x14:cfRule type="dataBar" id="{942905C0-83A8-4E52-A528-9B34B6F28599}">
            <x14:dataBar minLength="0" maxLength="100" border="1" gradient="0">
              <x14:cfvo type="num">
                <xm:f>0</xm:f>
              </x14:cfvo>
              <x14:cfvo type="num">
                <xm:f>1</xm:f>
              </x14:cfvo>
              <x14:borderColor theme="0"/>
              <x14:negativeFillColor rgb="FFFF0000"/>
              <x14:axisColor rgb="FF000000"/>
            </x14:dataBar>
          </x14:cfRule>
          <xm:sqref>Y668</xm:sqref>
        </x14:conditionalFormatting>
        <x14:conditionalFormatting xmlns:xm="http://schemas.microsoft.com/office/excel/2006/main">
          <x14:cfRule type="dataBar" id="{BBF1BC8E-3AB8-43C1-86D7-14B4656629A7}">
            <x14:dataBar minLength="0" maxLength="100" border="1" gradient="0">
              <x14:cfvo type="num">
                <xm:f>0</xm:f>
              </x14:cfvo>
              <x14:cfvo type="num">
                <xm:f>1</xm:f>
              </x14:cfvo>
              <x14:borderColor theme="0"/>
              <x14:negativeFillColor rgb="FFFF0000"/>
              <x14:axisColor rgb="FF000000"/>
            </x14:dataBar>
          </x14:cfRule>
          <xm:sqref>Y670</xm:sqref>
        </x14:conditionalFormatting>
        <x14:conditionalFormatting xmlns:xm="http://schemas.microsoft.com/office/excel/2006/main">
          <x14:cfRule type="dataBar" id="{098AD683-3660-4A81-ACA5-0909FED0604F}">
            <x14:dataBar minLength="0" maxLength="100" border="1" gradient="0">
              <x14:cfvo type="num">
                <xm:f>0</xm:f>
              </x14:cfvo>
              <x14:cfvo type="num">
                <xm:f>1</xm:f>
              </x14:cfvo>
              <x14:borderColor theme="0"/>
              <x14:negativeFillColor rgb="FFFF0000"/>
              <x14:axisColor rgb="FF000000"/>
            </x14:dataBar>
          </x14:cfRule>
          <xm:sqref>Y672</xm:sqref>
        </x14:conditionalFormatting>
        <x14:conditionalFormatting xmlns:xm="http://schemas.microsoft.com/office/excel/2006/main">
          <x14:cfRule type="dataBar" id="{51886C89-D09D-4E18-8527-15BD7B336EF3}">
            <x14:dataBar minLength="0" maxLength="100" border="1" gradient="0">
              <x14:cfvo type="num">
                <xm:f>0</xm:f>
              </x14:cfvo>
              <x14:cfvo type="num">
                <xm:f>1</xm:f>
              </x14:cfvo>
              <x14:borderColor theme="0"/>
              <x14:negativeFillColor rgb="FFFF0000"/>
              <x14:axisColor rgb="FF000000"/>
            </x14:dataBar>
          </x14:cfRule>
          <xm:sqref>Y674</xm:sqref>
        </x14:conditionalFormatting>
        <x14:conditionalFormatting xmlns:xm="http://schemas.microsoft.com/office/excel/2006/main">
          <x14:cfRule type="dataBar" id="{91B59464-B37E-4A32-B3E4-ADF63010C426}">
            <x14:dataBar minLength="0" maxLength="100" border="1" gradient="0">
              <x14:cfvo type="num">
                <xm:f>0</xm:f>
              </x14:cfvo>
              <x14:cfvo type="num">
                <xm:f>1</xm:f>
              </x14:cfvo>
              <x14:borderColor theme="0"/>
              <x14:negativeFillColor rgb="FFFF0000"/>
              <x14:axisColor rgb="FF000000"/>
            </x14:dataBar>
          </x14:cfRule>
          <xm:sqref>Y676</xm:sqref>
        </x14:conditionalFormatting>
        <x14:conditionalFormatting xmlns:xm="http://schemas.microsoft.com/office/excel/2006/main">
          <x14:cfRule type="dataBar" id="{3319FCF1-2710-4B88-858E-33149BB104B6}">
            <x14:dataBar minLength="0" maxLength="100" border="1" gradient="0">
              <x14:cfvo type="num">
                <xm:f>0</xm:f>
              </x14:cfvo>
              <x14:cfvo type="num">
                <xm:f>1</xm:f>
              </x14:cfvo>
              <x14:borderColor theme="0"/>
              <x14:negativeFillColor rgb="FFFF0000"/>
              <x14:axisColor rgb="FF000000"/>
            </x14:dataBar>
          </x14:cfRule>
          <xm:sqref>Y678</xm:sqref>
        </x14:conditionalFormatting>
        <x14:conditionalFormatting xmlns:xm="http://schemas.microsoft.com/office/excel/2006/main">
          <x14:cfRule type="dataBar" id="{DBC2EFCF-C1D3-4D45-9488-C955BDEF984B}">
            <x14:dataBar minLength="0" maxLength="100" border="1" gradient="0">
              <x14:cfvo type="num">
                <xm:f>0</xm:f>
              </x14:cfvo>
              <x14:cfvo type="num">
                <xm:f>1</xm:f>
              </x14:cfvo>
              <x14:borderColor theme="0"/>
              <x14:negativeFillColor rgb="FFFF0000"/>
              <x14:axisColor rgb="FF000000"/>
            </x14:dataBar>
          </x14:cfRule>
          <xm:sqref>Y680</xm:sqref>
        </x14:conditionalFormatting>
        <x14:conditionalFormatting xmlns:xm="http://schemas.microsoft.com/office/excel/2006/main">
          <x14:cfRule type="dataBar" id="{B5FD045C-DDE8-47E9-9C3C-A9D170262690}">
            <x14:dataBar minLength="0" maxLength="100" border="1" gradient="0">
              <x14:cfvo type="num">
                <xm:f>0</xm:f>
              </x14:cfvo>
              <x14:cfvo type="num">
                <xm:f>1</xm:f>
              </x14:cfvo>
              <x14:borderColor theme="0"/>
              <x14:negativeFillColor rgb="FFFF0000"/>
              <x14:axisColor rgb="FF000000"/>
            </x14:dataBar>
          </x14:cfRule>
          <xm:sqref>Y682</xm:sqref>
        </x14:conditionalFormatting>
        <x14:conditionalFormatting xmlns:xm="http://schemas.microsoft.com/office/excel/2006/main">
          <x14:cfRule type="dataBar" id="{82036743-4CDA-4889-AF9B-CAAFE574485B}">
            <x14:dataBar minLength="0" maxLength="100" border="1" gradient="0">
              <x14:cfvo type="num">
                <xm:f>0</xm:f>
              </x14:cfvo>
              <x14:cfvo type="num">
                <xm:f>1</xm:f>
              </x14:cfvo>
              <x14:borderColor theme="0"/>
              <x14:negativeFillColor rgb="FFFF0000"/>
              <x14:axisColor rgb="FF000000"/>
            </x14:dataBar>
          </x14:cfRule>
          <xm:sqref>Y684</xm:sqref>
        </x14:conditionalFormatting>
        <x14:conditionalFormatting xmlns:xm="http://schemas.microsoft.com/office/excel/2006/main">
          <x14:cfRule type="dataBar" id="{4AD80851-860A-44D9-AE14-6D6F58663905}">
            <x14:dataBar minLength="0" maxLength="100" border="1" gradient="0">
              <x14:cfvo type="num">
                <xm:f>0</xm:f>
              </x14:cfvo>
              <x14:cfvo type="num">
                <xm:f>1</xm:f>
              </x14:cfvo>
              <x14:borderColor theme="0"/>
              <x14:negativeFillColor rgb="FFFF0000"/>
              <x14:axisColor rgb="FF000000"/>
            </x14:dataBar>
          </x14:cfRule>
          <xm:sqref>Y686</xm:sqref>
        </x14:conditionalFormatting>
        <x14:conditionalFormatting xmlns:xm="http://schemas.microsoft.com/office/excel/2006/main">
          <x14:cfRule type="dataBar" id="{DF3EC68D-B451-4AC0-877C-C5FF7CF5F7D5}">
            <x14:dataBar minLength="0" maxLength="100" border="1" gradient="0">
              <x14:cfvo type="num">
                <xm:f>0</xm:f>
              </x14:cfvo>
              <x14:cfvo type="num">
                <xm:f>1</xm:f>
              </x14:cfvo>
              <x14:borderColor theme="0"/>
              <x14:negativeFillColor rgb="FFFF0000"/>
              <x14:axisColor rgb="FF000000"/>
            </x14:dataBar>
          </x14:cfRule>
          <xm:sqref>Y688</xm:sqref>
        </x14:conditionalFormatting>
        <x14:conditionalFormatting xmlns:xm="http://schemas.microsoft.com/office/excel/2006/main">
          <x14:cfRule type="dataBar" id="{09C908A0-468E-4784-8045-B870AA5A44AC}">
            <x14:dataBar minLength="0" maxLength="100" border="1" gradient="0">
              <x14:cfvo type="num">
                <xm:f>0</xm:f>
              </x14:cfvo>
              <x14:cfvo type="num">
                <xm:f>1</xm:f>
              </x14:cfvo>
              <x14:borderColor theme="0"/>
              <x14:negativeFillColor rgb="FFFF0000"/>
              <x14:axisColor rgb="FF000000"/>
            </x14:dataBar>
          </x14:cfRule>
          <xm:sqref>Y690</xm:sqref>
        </x14:conditionalFormatting>
        <x14:conditionalFormatting xmlns:xm="http://schemas.microsoft.com/office/excel/2006/main">
          <x14:cfRule type="dataBar" id="{A1A3703B-9159-4187-BC85-5B8E499D5D99}">
            <x14:dataBar minLength="0" maxLength="100" border="1" gradient="0">
              <x14:cfvo type="num">
                <xm:f>0</xm:f>
              </x14:cfvo>
              <x14:cfvo type="num">
                <xm:f>1</xm:f>
              </x14:cfvo>
              <x14:borderColor theme="0"/>
              <x14:negativeFillColor rgb="FFFF0000"/>
              <x14:axisColor rgb="FF000000"/>
            </x14:dataBar>
          </x14:cfRule>
          <xm:sqref>Y692</xm:sqref>
        </x14:conditionalFormatting>
        <x14:conditionalFormatting xmlns:xm="http://schemas.microsoft.com/office/excel/2006/main">
          <x14:cfRule type="dataBar" id="{20742076-B17A-41E8-9B2C-F1D12145762B}">
            <x14:dataBar minLength="0" maxLength="100" border="1" gradient="0">
              <x14:cfvo type="num">
                <xm:f>0</xm:f>
              </x14:cfvo>
              <x14:cfvo type="num">
                <xm:f>1</xm:f>
              </x14:cfvo>
              <x14:borderColor theme="0"/>
              <x14:negativeFillColor rgb="FFFF0000"/>
              <x14:axisColor rgb="FF000000"/>
            </x14:dataBar>
          </x14:cfRule>
          <xm:sqref>Y694</xm:sqref>
        </x14:conditionalFormatting>
        <x14:conditionalFormatting xmlns:xm="http://schemas.microsoft.com/office/excel/2006/main">
          <x14:cfRule type="dataBar" id="{AB045454-0F99-4E3F-96EF-81017B459072}">
            <x14:dataBar minLength="0" maxLength="100" border="1" gradient="0">
              <x14:cfvo type="num">
                <xm:f>0</xm:f>
              </x14:cfvo>
              <x14:cfvo type="num">
                <xm:f>1</xm:f>
              </x14:cfvo>
              <x14:borderColor theme="0"/>
              <x14:negativeFillColor rgb="FFFF0000"/>
              <x14:axisColor rgb="FF000000"/>
            </x14:dataBar>
          </x14:cfRule>
          <xm:sqref>Y696</xm:sqref>
        </x14:conditionalFormatting>
        <x14:conditionalFormatting xmlns:xm="http://schemas.microsoft.com/office/excel/2006/main">
          <x14:cfRule type="dataBar" id="{170553AC-B7D6-463F-8A5D-F27326202FC2}">
            <x14:dataBar minLength="0" maxLength="100" border="1" gradient="0">
              <x14:cfvo type="num">
                <xm:f>0</xm:f>
              </x14:cfvo>
              <x14:cfvo type="num">
                <xm:f>1</xm:f>
              </x14:cfvo>
              <x14:borderColor theme="0"/>
              <x14:negativeFillColor rgb="FFFF0000"/>
              <x14:axisColor rgb="FF000000"/>
            </x14:dataBar>
          </x14:cfRule>
          <xm:sqref>Y698</xm:sqref>
        </x14:conditionalFormatting>
        <x14:conditionalFormatting xmlns:xm="http://schemas.microsoft.com/office/excel/2006/main">
          <x14:cfRule type="dataBar" id="{EF0179A7-26E9-4F06-937C-F12FB19A0803}">
            <x14:dataBar minLength="0" maxLength="100" border="1" gradient="0">
              <x14:cfvo type="num">
                <xm:f>0</xm:f>
              </x14:cfvo>
              <x14:cfvo type="num">
                <xm:f>1</xm:f>
              </x14:cfvo>
              <x14:borderColor theme="0"/>
              <x14:negativeFillColor rgb="FFFF0000"/>
              <x14:axisColor rgb="FF000000"/>
            </x14:dataBar>
          </x14:cfRule>
          <xm:sqref>Y700</xm:sqref>
        </x14:conditionalFormatting>
        <x14:conditionalFormatting xmlns:xm="http://schemas.microsoft.com/office/excel/2006/main">
          <x14:cfRule type="dataBar" id="{322D1C11-A100-40C5-ACD7-8EF649EA3C45}">
            <x14:dataBar minLength="0" maxLength="100" border="1" gradient="0">
              <x14:cfvo type="num">
                <xm:f>0</xm:f>
              </x14:cfvo>
              <x14:cfvo type="num">
                <xm:f>1</xm:f>
              </x14:cfvo>
              <x14:borderColor theme="0"/>
              <x14:negativeFillColor rgb="FFFF0000"/>
              <x14:axisColor rgb="FF000000"/>
            </x14:dataBar>
          </x14:cfRule>
          <xm:sqref>Y703</xm:sqref>
        </x14:conditionalFormatting>
        <x14:conditionalFormatting xmlns:xm="http://schemas.microsoft.com/office/excel/2006/main">
          <x14:cfRule type="dataBar" id="{A2E7B50E-DFF8-4B99-8732-52717D02896D}">
            <x14:dataBar minLength="0" maxLength="100" border="1" gradient="0">
              <x14:cfvo type="num">
                <xm:f>0</xm:f>
              </x14:cfvo>
              <x14:cfvo type="num">
                <xm:f>1</xm:f>
              </x14:cfvo>
              <x14:borderColor theme="0"/>
              <x14:negativeFillColor rgb="FFFF0000"/>
              <x14:axisColor rgb="FF000000"/>
            </x14:dataBar>
          </x14:cfRule>
          <xm:sqref>Y705</xm:sqref>
        </x14:conditionalFormatting>
        <x14:conditionalFormatting xmlns:xm="http://schemas.microsoft.com/office/excel/2006/main">
          <x14:cfRule type="dataBar" id="{EA6CBB3D-A9EF-42ED-96B8-ECF72ACD48CA}">
            <x14:dataBar minLength="0" maxLength="100" border="1" gradient="0">
              <x14:cfvo type="num">
                <xm:f>0</xm:f>
              </x14:cfvo>
              <x14:cfvo type="num">
                <xm:f>1</xm:f>
              </x14:cfvo>
              <x14:borderColor theme="0"/>
              <x14:negativeFillColor rgb="FFFF0000"/>
              <x14:axisColor rgb="FF000000"/>
            </x14:dataBar>
          </x14:cfRule>
          <xm:sqref>Y707</xm:sqref>
        </x14:conditionalFormatting>
        <x14:conditionalFormatting xmlns:xm="http://schemas.microsoft.com/office/excel/2006/main">
          <x14:cfRule type="dataBar" id="{3C052766-C294-412D-BDB7-5C20D57258E8}">
            <x14:dataBar minLength="0" maxLength="100" border="1" gradient="0">
              <x14:cfvo type="num">
                <xm:f>0</xm:f>
              </x14:cfvo>
              <x14:cfvo type="num">
                <xm:f>1</xm:f>
              </x14:cfvo>
              <x14:borderColor theme="0"/>
              <x14:negativeFillColor rgb="FFFF0000"/>
              <x14:axisColor rgb="FF000000"/>
            </x14:dataBar>
          </x14:cfRule>
          <xm:sqref>Y709</xm:sqref>
        </x14:conditionalFormatting>
        <x14:conditionalFormatting xmlns:xm="http://schemas.microsoft.com/office/excel/2006/main">
          <x14:cfRule type="dataBar" id="{D54A4035-AF2D-4E3B-9B97-5172E9DB6B21}">
            <x14:dataBar minLength="0" maxLength="100" border="1" gradient="0">
              <x14:cfvo type="num">
                <xm:f>0</xm:f>
              </x14:cfvo>
              <x14:cfvo type="num">
                <xm:f>1</xm:f>
              </x14:cfvo>
              <x14:borderColor theme="0"/>
              <x14:negativeFillColor rgb="FFFF0000"/>
              <x14:axisColor rgb="FF000000"/>
            </x14:dataBar>
          </x14:cfRule>
          <xm:sqref>Y711</xm:sqref>
        </x14:conditionalFormatting>
        <x14:conditionalFormatting xmlns:xm="http://schemas.microsoft.com/office/excel/2006/main">
          <x14:cfRule type="dataBar" id="{96D84C45-6379-4F75-BEA5-19F4CBEC0AFF}">
            <x14:dataBar minLength="0" maxLength="100" border="1" gradient="0">
              <x14:cfvo type="num">
                <xm:f>0</xm:f>
              </x14:cfvo>
              <x14:cfvo type="num">
                <xm:f>1</xm:f>
              </x14:cfvo>
              <x14:borderColor theme="0"/>
              <x14:negativeFillColor rgb="FFFF0000"/>
              <x14:axisColor rgb="FF000000"/>
            </x14:dataBar>
          </x14:cfRule>
          <xm:sqref>Y713</xm:sqref>
        </x14:conditionalFormatting>
        <x14:conditionalFormatting xmlns:xm="http://schemas.microsoft.com/office/excel/2006/main">
          <x14:cfRule type="dataBar" id="{BCEC63F8-7E80-43F4-9A8E-B03258B1FD16}">
            <x14:dataBar minLength="0" maxLength="100" border="1" gradient="0">
              <x14:cfvo type="num">
                <xm:f>0</xm:f>
              </x14:cfvo>
              <x14:cfvo type="num">
                <xm:f>1</xm:f>
              </x14:cfvo>
              <x14:borderColor theme="0"/>
              <x14:negativeFillColor rgb="FFFF0000"/>
              <x14:axisColor rgb="FF000000"/>
            </x14:dataBar>
          </x14:cfRule>
          <xm:sqref>Y715</xm:sqref>
        </x14:conditionalFormatting>
        <x14:conditionalFormatting xmlns:xm="http://schemas.microsoft.com/office/excel/2006/main">
          <x14:cfRule type="dataBar" id="{AB176846-EA12-4D30-91E5-4ABA9F43330E}">
            <x14:dataBar minLength="0" maxLength="100" border="1" gradient="0">
              <x14:cfvo type="num">
                <xm:f>0</xm:f>
              </x14:cfvo>
              <x14:cfvo type="num">
                <xm:f>1</xm:f>
              </x14:cfvo>
              <x14:borderColor theme="0"/>
              <x14:negativeFillColor rgb="FFFF0000"/>
              <x14:axisColor rgb="FF000000"/>
            </x14:dataBar>
          </x14:cfRule>
          <xm:sqref>Y717</xm:sqref>
        </x14:conditionalFormatting>
        <x14:conditionalFormatting xmlns:xm="http://schemas.microsoft.com/office/excel/2006/main">
          <x14:cfRule type="dataBar" id="{2716601E-D7D2-417F-BE58-67639F814F29}">
            <x14:dataBar minLength="0" maxLength="100" border="1" gradient="0">
              <x14:cfvo type="num">
                <xm:f>0</xm:f>
              </x14:cfvo>
              <x14:cfvo type="num">
                <xm:f>1</xm:f>
              </x14:cfvo>
              <x14:borderColor theme="0"/>
              <x14:negativeFillColor rgb="FFFF0000"/>
              <x14:axisColor rgb="FF000000"/>
            </x14:dataBar>
          </x14:cfRule>
          <xm:sqref>Y719</xm:sqref>
        </x14:conditionalFormatting>
        <x14:conditionalFormatting xmlns:xm="http://schemas.microsoft.com/office/excel/2006/main">
          <x14:cfRule type="dataBar" id="{8AEDDA39-A7C7-412F-B042-1C0A687CA7EC}">
            <x14:dataBar minLength="0" maxLength="100" border="1" gradient="0">
              <x14:cfvo type="num">
                <xm:f>0</xm:f>
              </x14:cfvo>
              <x14:cfvo type="num">
                <xm:f>1</xm:f>
              </x14:cfvo>
              <x14:borderColor theme="0"/>
              <x14:negativeFillColor rgb="FFFF0000"/>
              <x14:axisColor rgb="FF000000"/>
            </x14:dataBar>
          </x14:cfRule>
          <xm:sqref>Y721</xm:sqref>
        </x14:conditionalFormatting>
        <x14:conditionalFormatting xmlns:xm="http://schemas.microsoft.com/office/excel/2006/main">
          <x14:cfRule type="dataBar" id="{476D6627-DAB6-4BCA-B87F-F278C206BF6A}">
            <x14:dataBar minLength="0" maxLength="100" border="1" gradient="0">
              <x14:cfvo type="num">
                <xm:f>0</xm:f>
              </x14:cfvo>
              <x14:cfvo type="num">
                <xm:f>1</xm:f>
              </x14:cfvo>
              <x14:borderColor theme="0"/>
              <x14:negativeFillColor rgb="FFFF0000"/>
              <x14:axisColor rgb="FF000000"/>
            </x14:dataBar>
          </x14:cfRule>
          <xm:sqref>Y723</xm:sqref>
        </x14:conditionalFormatting>
        <x14:conditionalFormatting xmlns:xm="http://schemas.microsoft.com/office/excel/2006/main">
          <x14:cfRule type="dataBar" id="{54345C52-C516-466E-930E-151ED039ED33}">
            <x14:dataBar minLength="0" maxLength="100" border="1" gradient="0">
              <x14:cfvo type="num">
                <xm:f>0</xm:f>
              </x14:cfvo>
              <x14:cfvo type="num">
                <xm:f>1</xm:f>
              </x14:cfvo>
              <x14:borderColor theme="0"/>
              <x14:negativeFillColor rgb="FFFF0000"/>
              <x14:axisColor rgb="FF000000"/>
            </x14:dataBar>
          </x14:cfRule>
          <xm:sqref>Y725</xm:sqref>
        </x14:conditionalFormatting>
        <x14:conditionalFormatting xmlns:xm="http://schemas.microsoft.com/office/excel/2006/main">
          <x14:cfRule type="dataBar" id="{4AEB5376-01BD-4FAD-989B-ECF68543B813}">
            <x14:dataBar minLength="0" maxLength="100" border="1" gradient="0">
              <x14:cfvo type="num">
                <xm:f>0</xm:f>
              </x14:cfvo>
              <x14:cfvo type="num">
                <xm:f>1</xm:f>
              </x14:cfvo>
              <x14:borderColor theme="0"/>
              <x14:negativeFillColor rgb="FFFF0000"/>
              <x14:axisColor rgb="FF000000"/>
            </x14:dataBar>
          </x14:cfRule>
          <xm:sqref>Y727</xm:sqref>
        </x14:conditionalFormatting>
        <x14:conditionalFormatting xmlns:xm="http://schemas.microsoft.com/office/excel/2006/main">
          <x14:cfRule type="dataBar" id="{ED764926-D75A-45DF-ADF3-9F47D3DF4EF3}">
            <x14:dataBar minLength="0" maxLength="100" border="1" gradient="0">
              <x14:cfvo type="num">
                <xm:f>0</xm:f>
              </x14:cfvo>
              <x14:cfvo type="num">
                <xm:f>1</xm:f>
              </x14:cfvo>
              <x14:borderColor theme="0"/>
              <x14:negativeFillColor rgb="FFFF0000"/>
              <x14:axisColor rgb="FF000000"/>
            </x14:dataBar>
          </x14:cfRule>
          <xm:sqref>Y729</xm:sqref>
        </x14:conditionalFormatting>
        <x14:conditionalFormatting xmlns:xm="http://schemas.microsoft.com/office/excel/2006/main">
          <x14:cfRule type="dataBar" id="{DDAE2F6C-8A4A-446C-9996-2F966D37E89C}">
            <x14:dataBar minLength="0" maxLength="100" border="1" gradient="0">
              <x14:cfvo type="num">
                <xm:f>0</xm:f>
              </x14:cfvo>
              <x14:cfvo type="num">
                <xm:f>1</xm:f>
              </x14:cfvo>
              <x14:borderColor theme="0"/>
              <x14:negativeFillColor rgb="FFFF0000"/>
              <x14:axisColor rgb="FF000000"/>
            </x14:dataBar>
          </x14:cfRule>
          <xm:sqref>Y731</xm:sqref>
        </x14:conditionalFormatting>
        <x14:conditionalFormatting xmlns:xm="http://schemas.microsoft.com/office/excel/2006/main">
          <x14:cfRule type="dataBar" id="{E273E38A-7E1A-457D-9709-655AB9497233}">
            <x14:dataBar minLength="0" maxLength="100" border="1" gradient="0">
              <x14:cfvo type="num">
                <xm:f>0</xm:f>
              </x14:cfvo>
              <x14:cfvo type="num">
                <xm:f>1</xm:f>
              </x14:cfvo>
              <x14:borderColor theme="0"/>
              <x14:negativeFillColor rgb="FFFF0000"/>
              <x14:axisColor rgb="FF000000"/>
            </x14:dataBar>
          </x14:cfRule>
          <xm:sqref>Y733</xm:sqref>
        </x14:conditionalFormatting>
        <x14:conditionalFormatting xmlns:xm="http://schemas.microsoft.com/office/excel/2006/main">
          <x14:cfRule type="dataBar" id="{32A08AAD-059F-40A4-9323-EF14F834452C}">
            <x14:dataBar minLength="0" maxLength="100" border="1" gradient="0">
              <x14:cfvo type="num">
                <xm:f>0</xm:f>
              </x14:cfvo>
              <x14:cfvo type="num">
                <xm:f>1</xm:f>
              </x14:cfvo>
              <x14:borderColor theme="0"/>
              <x14:negativeFillColor rgb="FFFF0000"/>
              <x14:axisColor rgb="FF000000"/>
            </x14:dataBar>
          </x14:cfRule>
          <xm:sqref>Y735</xm:sqref>
        </x14:conditionalFormatting>
        <x14:conditionalFormatting xmlns:xm="http://schemas.microsoft.com/office/excel/2006/main">
          <x14:cfRule type="dataBar" id="{F556FF3E-2375-44FF-B401-6D488B23A572}">
            <x14:dataBar minLength="0" maxLength="100" border="1" gradient="0">
              <x14:cfvo type="num">
                <xm:f>0</xm:f>
              </x14:cfvo>
              <x14:cfvo type="num">
                <xm:f>1</xm:f>
              </x14:cfvo>
              <x14:borderColor theme="0"/>
              <x14:negativeFillColor rgb="FFFF0000"/>
              <x14:axisColor rgb="FF000000"/>
            </x14:dataBar>
          </x14:cfRule>
          <xm:sqref>Y737</xm:sqref>
        </x14:conditionalFormatting>
        <x14:conditionalFormatting xmlns:xm="http://schemas.microsoft.com/office/excel/2006/main">
          <x14:cfRule type="dataBar" id="{C10999E3-AD89-44E6-AF2D-BD76E6E5A41D}">
            <x14:dataBar minLength="0" maxLength="100" border="1" gradient="0">
              <x14:cfvo type="num">
                <xm:f>0</xm:f>
              </x14:cfvo>
              <x14:cfvo type="num">
                <xm:f>1</xm:f>
              </x14:cfvo>
              <x14:borderColor theme="0"/>
              <x14:negativeFillColor rgb="FFFF0000"/>
              <x14:axisColor rgb="FF000000"/>
            </x14:dataBar>
          </x14:cfRule>
          <xm:sqref>Y739</xm:sqref>
        </x14:conditionalFormatting>
        <x14:conditionalFormatting xmlns:xm="http://schemas.microsoft.com/office/excel/2006/main">
          <x14:cfRule type="dataBar" id="{239B6A14-E8B0-498D-AE08-0F278FF0FC7B}">
            <x14:dataBar minLength="0" maxLength="100" border="1" gradient="0">
              <x14:cfvo type="num">
                <xm:f>0</xm:f>
              </x14:cfvo>
              <x14:cfvo type="num">
                <xm:f>1</xm:f>
              </x14:cfvo>
              <x14:borderColor theme="0"/>
              <x14:negativeFillColor rgb="FFFF0000"/>
              <x14:axisColor rgb="FF000000"/>
            </x14:dataBar>
          </x14:cfRule>
          <xm:sqref>Y741</xm:sqref>
        </x14:conditionalFormatting>
        <x14:conditionalFormatting xmlns:xm="http://schemas.microsoft.com/office/excel/2006/main">
          <x14:cfRule type="dataBar" id="{04B9F0B1-87AD-44D0-A763-F558469C14FF}">
            <x14:dataBar minLength="0" maxLength="100" border="1" gradient="0">
              <x14:cfvo type="num">
                <xm:f>0</xm:f>
              </x14:cfvo>
              <x14:cfvo type="num">
                <xm:f>1</xm:f>
              </x14:cfvo>
              <x14:borderColor theme="0"/>
              <x14:negativeFillColor rgb="FFFF0000"/>
              <x14:axisColor rgb="FF000000"/>
            </x14:dataBar>
          </x14:cfRule>
          <xm:sqref>Y743</xm:sqref>
        </x14:conditionalFormatting>
        <x14:conditionalFormatting xmlns:xm="http://schemas.microsoft.com/office/excel/2006/main">
          <x14:cfRule type="dataBar" id="{E5943EF3-42BF-4C99-BB9C-BDFFFB6BA043}">
            <x14:dataBar minLength="0" maxLength="100" border="1" gradient="0">
              <x14:cfvo type="num">
                <xm:f>0</xm:f>
              </x14:cfvo>
              <x14:cfvo type="num">
                <xm:f>1</xm:f>
              </x14:cfvo>
              <x14:borderColor theme="0"/>
              <x14:negativeFillColor rgb="FFFF0000"/>
              <x14:axisColor rgb="FF000000"/>
            </x14:dataBar>
          </x14:cfRule>
          <xm:sqref>Y745</xm:sqref>
        </x14:conditionalFormatting>
        <x14:conditionalFormatting xmlns:xm="http://schemas.microsoft.com/office/excel/2006/main">
          <x14:cfRule type="dataBar" id="{3D51640D-D8C3-4503-8517-FF2AA9641942}">
            <x14:dataBar minLength="0" maxLength="100" border="1" gradient="0">
              <x14:cfvo type="num">
                <xm:f>0</xm:f>
              </x14:cfvo>
              <x14:cfvo type="num">
                <xm:f>1</xm:f>
              </x14:cfvo>
              <x14:borderColor theme="0"/>
              <x14:negativeFillColor rgb="FFFF0000"/>
              <x14:axisColor rgb="FF000000"/>
            </x14:dataBar>
          </x14:cfRule>
          <xm:sqref>Y747</xm:sqref>
        </x14:conditionalFormatting>
        <x14:conditionalFormatting xmlns:xm="http://schemas.microsoft.com/office/excel/2006/main">
          <x14:cfRule type="dataBar" id="{7327B978-27D0-4973-AA2C-844E287D8FAD}">
            <x14:dataBar minLength="0" maxLength="100" border="1" gradient="0">
              <x14:cfvo type="num">
                <xm:f>0</xm:f>
              </x14:cfvo>
              <x14:cfvo type="num">
                <xm:f>1</xm:f>
              </x14:cfvo>
              <x14:borderColor theme="0"/>
              <x14:negativeFillColor rgb="FFFF0000"/>
              <x14:axisColor rgb="FF000000"/>
            </x14:dataBar>
          </x14:cfRule>
          <xm:sqref>Y749</xm:sqref>
        </x14:conditionalFormatting>
        <x14:conditionalFormatting xmlns:xm="http://schemas.microsoft.com/office/excel/2006/main">
          <x14:cfRule type="dataBar" id="{BC49330E-9871-4002-A515-6D072A8D0DDC}">
            <x14:dataBar minLength="0" maxLength="100" border="1" gradient="0">
              <x14:cfvo type="num">
                <xm:f>0</xm:f>
              </x14:cfvo>
              <x14:cfvo type="num">
                <xm:f>1</xm:f>
              </x14:cfvo>
              <x14:borderColor theme="0"/>
              <x14:negativeFillColor rgb="FFFF0000"/>
              <x14:axisColor rgb="FF000000"/>
            </x14:dataBar>
          </x14:cfRule>
          <xm:sqref>Y751</xm:sqref>
        </x14:conditionalFormatting>
        <x14:conditionalFormatting xmlns:xm="http://schemas.microsoft.com/office/excel/2006/main">
          <x14:cfRule type="dataBar" id="{7A3B1786-116C-4FC4-A45E-283257F9B787}">
            <x14:dataBar minLength="0" maxLength="100" border="1" gradient="0">
              <x14:cfvo type="num">
                <xm:f>0</xm:f>
              </x14:cfvo>
              <x14:cfvo type="num">
                <xm:f>1</xm:f>
              </x14:cfvo>
              <x14:borderColor theme="0"/>
              <x14:negativeFillColor rgb="FFFF0000"/>
              <x14:axisColor rgb="FF000000"/>
            </x14:dataBar>
          </x14:cfRule>
          <xm:sqref>Y753</xm:sqref>
        </x14:conditionalFormatting>
        <x14:conditionalFormatting xmlns:xm="http://schemas.microsoft.com/office/excel/2006/main">
          <x14:cfRule type="dataBar" id="{CD741D10-4049-47C3-944D-901ED09A6132}">
            <x14:dataBar minLength="0" maxLength="100" border="1" gradient="0">
              <x14:cfvo type="num">
                <xm:f>0</xm:f>
              </x14:cfvo>
              <x14:cfvo type="num">
                <xm:f>1</xm:f>
              </x14:cfvo>
              <x14:borderColor theme="0"/>
              <x14:negativeFillColor rgb="FFFF0000"/>
              <x14:axisColor rgb="FF000000"/>
            </x14:dataBar>
          </x14:cfRule>
          <xm:sqref>Y755</xm:sqref>
        </x14:conditionalFormatting>
        <x14:conditionalFormatting xmlns:xm="http://schemas.microsoft.com/office/excel/2006/main">
          <x14:cfRule type="dataBar" id="{C7DCB388-EFD5-4264-BE31-46EFEA33C837}">
            <x14:dataBar minLength="0" maxLength="100" border="1" gradient="0">
              <x14:cfvo type="num">
                <xm:f>0</xm:f>
              </x14:cfvo>
              <x14:cfvo type="num">
                <xm:f>1</xm:f>
              </x14:cfvo>
              <x14:borderColor theme="0"/>
              <x14:negativeFillColor rgb="FFFF0000"/>
              <x14:axisColor rgb="FF000000"/>
            </x14:dataBar>
          </x14:cfRule>
          <xm:sqref>Y757</xm:sqref>
        </x14:conditionalFormatting>
        <x14:conditionalFormatting xmlns:xm="http://schemas.microsoft.com/office/excel/2006/main">
          <x14:cfRule type="dataBar" id="{BB738394-B3BB-4219-893A-1E27FFDB6B47}">
            <x14:dataBar minLength="0" maxLength="100" border="1" gradient="0">
              <x14:cfvo type="num">
                <xm:f>0</xm:f>
              </x14:cfvo>
              <x14:cfvo type="num">
                <xm:f>1</xm:f>
              </x14:cfvo>
              <x14:borderColor theme="0"/>
              <x14:negativeFillColor rgb="FFFF0000"/>
              <x14:axisColor rgb="FF000000"/>
            </x14:dataBar>
          </x14:cfRule>
          <xm:sqref>Y759 Y518</xm:sqref>
        </x14:conditionalFormatting>
        <x14:conditionalFormatting xmlns:xm="http://schemas.microsoft.com/office/excel/2006/main">
          <x14:cfRule type="dataBar" id="{067E92A9-758B-4719-86E1-B807A00AFF84}">
            <x14:dataBar minLength="0" maxLength="100" border="1" gradient="0">
              <x14:cfvo type="num">
                <xm:f>0</xm:f>
              </x14:cfvo>
              <x14:cfvo type="num">
                <xm:f>1</xm:f>
              </x14:cfvo>
              <x14:borderColor theme="0"/>
              <x14:negativeFillColor rgb="FFFF0000"/>
              <x14:axisColor rgb="FF000000"/>
            </x14:dataBar>
          </x14:cfRule>
          <xm:sqref>Y761</xm:sqref>
        </x14:conditionalFormatting>
        <x14:conditionalFormatting xmlns:xm="http://schemas.microsoft.com/office/excel/2006/main">
          <x14:cfRule type="dataBar" id="{BD7853CB-49D5-45BE-AA77-F862797F6807}">
            <x14:dataBar minLength="0" maxLength="100" border="1" gradient="0">
              <x14:cfvo type="num">
                <xm:f>0</xm:f>
              </x14:cfvo>
              <x14:cfvo type="num">
                <xm:f>1</xm:f>
              </x14:cfvo>
              <x14:borderColor theme="0"/>
              <x14:negativeFillColor rgb="FFFF0000"/>
              <x14:axisColor rgb="FF000000"/>
            </x14:dataBar>
          </x14:cfRule>
          <xm:sqref>Y763</xm:sqref>
        </x14:conditionalFormatting>
        <x14:conditionalFormatting xmlns:xm="http://schemas.microsoft.com/office/excel/2006/main">
          <x14:cfRule type="dataBar" id="{BCF27BF2-B977-4242-AD13-A9CA11517F9D}">
            <x14:dataBar minLength="0" maxLength="100" border="1" gradient="0">
              <x14:cfvo type="num">
                <xm:f>0</xm:f>
              </x14:cfvo>
              <x14:cfvo type="num">
                <xm:f>1</xm:f>
              </x14:cfvo>
              <x14:borderColor theme="0"/>
              <x14:negativeFillColor rgb="FFFF0000"/>
              <x14:axisColor rgb="FF000000"/>
            </x14:dataBar>
          </x14:cfRule>
          <xm:sqref>Y765</xm:sqref>
        </x14:conditionalFormatting>
        <x14:conditionalFormatting xmlns:xm="http://schemas.microsoft.com/office/excel/2006/main">
          <x14:cfRule type="dataBar" id="{FB586CD1-34AF-4177-BEF5-0F4A0E3980BF}">
            <x14:dataBar minLength="0" maxLength="100" border="1" gradient="0">
              <x14:cfvo type="num">
                <xm:f>0</xm:f>
              </x14:cfvo>
              <x14:cfvo type="num">
                <xm:f>1</xm:f>
              </x14:cfvo>
              <x14:borderColor theme="0"/>
              <x14:negativeFillColor rgb="FFFF0000"/>
              <x14:axisColor rgb="FF000000"/>
            </x14:dataBar>
          </x14:cfRule>
          <xm:sqref>Y767</xm:sqref>
        </x14:conditionalFormatting>
        <x14:conditionalFormatting xmlns:xm="http://schemas.microsoft.com/office/excel/2006/main">
          <x14:cfRule type="dataBar" id="{9DDDE4EC-4B7F-4358-B836-37B3811208C3}">
            <x14:dataBar minLength="0" maxLength="100" border="1" gradient="0">
              <x14:cfvo type="num">
                <xm:f>0</xm:f>
              </x14:cfvo>
              <x14:cfvo type="num">
                <xm:f>1</xm:f>
              </x14:cfvo>
              <x14:borderColor theme="0"/>
              <x14:negativeFillColor rgb="FFFF0000"/>
              <x14:axisColor rgb="FF000000"/>
            </x14:dataBar>
          </x14:cfRule>
          <xm:sqref>Y769</xm:sqref>
        </x14:conditionalFormatting>
        <x14:conditionalFormatting xmlns:xm="http://schemas.microsoft.com/office/excel/2006/main">
          <x14:cfRule type="dataBar" id="{0B254AA7-A332-4EAE-88D3-A32446E93794}">
            <x14:dataBar minLength="0" maxLength="100" border="1" gradient="0">
              <x14:cfvo type="num">
                <xm:f>0</xm:f>
              </x14:cfvo>
              <x14:cfvo type="num">
                <xm:f>1</xm:f>
              </x14:cfvo>
              <x14:borderColor theme="0"/>
              <x14:negativeFillColor rgb="FFFF0000"/>
              <x14:axisColor rgb="FF000000"/>
            </x14:dataBar>
          </x14:cfRule>
          <xm:sqref>Y771</xm:sqref>
        </x14:conditionalFormatting>
        <x14:conditionalFormatting xmlns:xm="http://schemas.microsoft.com/office/excel/2006/main">
          <x14:cfRule type="dataBar" id="{E1760B1E-C748-447B-87E1-D21FA9067280}">
            <x14:dataBar minLength="0" maxLength="100" border="1" gradient="0">
              <x14:cfvo type="num">
                <xm:f>0</xm:f>
              </x14:cfvo>
              <x14:cfvo type="num">
                <xm:f>1</xm:f>
              </x14:cfvo>
              <x14:borderColor theme="0"/>
              <x14:negativeFillColor rgb="FFFF0000"/>
              <x14:axisColor rgb="FF000000"/>
            </x14:dataBar>
          </x14:cfRule>
          <xm:sqref>Y773</xm:sqref>
        </x14:conditionalFormatting>
        <x14:conditionalFormatting xmlns:xm="http://schemas.microsoft.com/office/excel/2006/main">
          <x14:cfRule type="dataBar" id="{BFACB7D1-DA65-4BC0-B8E8-D72C04A2FF85}">
            <x14:dataBar minLength="0" maxLength="100" border="1" gradient="0">
              <x14:cfvo type="num">
                <xm:f>0</xm:f>
              </x14:cfvo>
              <x14:cfvo type="num">
                <xm:f>1</xm:f>
              </x14:cfvo>
              <x14:borderColor theme="0"/>
              <x14:negativeFillColor rgb="FFFF0000"/>
              <x14:axisColor rgb="FF000000"/>
            </x14:dataBar>
          </x14:cfRule>
          <xm:sqref>Y775</xm:sqref>
        </x14:conditionalFormatting>
        <x14:conditionalFormatting xmlns:xm="http://schemas.microsoft.com/office/excel/2006/main">
          <x14:cfRule type="dataBar" id="{06EBC4B7-00A0-4B8E-B5C8-AA5D611261A1}">
            <x14:dataBar minLength="0" maxLength="100" border="1" gradient="0">
              <x14:cfvo type="num">
                <xm:f>0</xm:f>
              </x14:cfvo>
              <x14:cfvo type="num">
                <xm:f>1</xm:f>
              </x14:cfvo>
              <x14:borderColor theme="0"/>
              <x14:negativeFillColor rgb="FFFF0000"/>
              <x14:axisColor rgb="FF000000"/>
            </x14:dataBar>
          </x14:cfRule>
          <xm:sqref>Y777</xm:sqref>
        </x14:conditionalFormatting>
        <x14:conditionalFormatting xmlns:xm="http://schemas.microsoft.com/office/excel/2006/main">
          <x14:cfRule type="dataBar" id="{4704DDF4-714D-4CBA-AD4D-B0AA3C54366B}">
            <x14:dataBar minLength="0" maxLength="100" border="1" gradient="0">
              <x14:cfvo type="num">
                <xm:f>0</xm:f>
              </x14:cfvo>
              <x14:cfvo type="num">
                <xm:f>1</xm:f>
              </x14:cfvo>
              <x14:borderColor theme="0"/>
              <x14:negativeFillColor rgb="FFFF0000"/>
              <x14:axisColor rgb="FF000000"/>
            </x14:dataBar>
          </x14:cfRule>
          <xm:sqref>Y781</xm:sqref>
        </x14:conditionalFormatting>
        <x14:conditionalFormatting xmlns:xm="http://schemas.microsoft.com/office/excel/2006/main">
          <x14:cfRule type="dataBar" id="{07888A85-1E57-4899-9AF9-DEAD32B3226F}">
            <x14:dataBar minLength="0" maxLength="100" border="1" gradient="0">
              <x14:cfvo type="num">
                <xm:f>0</xm:f>
              </x14:cfvo>
              <x14:cfvo type="num">
                <xm:f>1</xm:f>
              </x14:cfvo>
              <x14:borderColor theme="0"/>
              <x14:negativeFillColor rgb="FFFF0000"/>
              <x14:axisColor rgb="FF000000"/>
            </x14:dataBar>
          </x14:cfRule>
          <xm:sqref>Y783</xm:sqref>
        </x14:conditionalFormatting>
        <x14:conditionalFormatting xmlns:xm="http://schemas.microsoft.com/office/excel/2006/main">
          <x14:cfRule type="dataBar" id="{8745F3A3-1FDA-4DA6-8D72-13B07DD7AD02}">
            <x14:dataBar minLength="0" maxLength="100" border="1" gradient="0">
              <x14:cfvo type="num">
                <xm:f>0</xm:f>
              </x14:cfvo>
              <x14:cfvo type="num">
                <xm:f>1</xm:f>
              </x14:cfvo>
              <x14:borderColor theme="0"/>
              <x14:negativeFillColor rgb="FFFF0000"/>
              <x14:axisColor rgb="FF000000"/>
            </x14:dataBar>
          </x14:cfRule>
          <xm:sqref>Y785</xm:sqref>
        </x14:conditionalFormatting>
        <x14:conditionalFormatting xmlns:xm="http://schemas.microsoft.com/office/excel/2006/main">
          <x14:cfRule type="dataBar" id="{C2A6B408-419F-4FB3-978C-B0D85A73D6FD}">
            <x14:dataBar minLength="0" maxLength="100" border="1" gradient="0">
              <x14:cfvo type="num">
                <xm:f>0</xm:f>
              </x14:cfvo>
              <x14:cfvo type="num">
                <xm:f>1</xm:f>
              </x14:cfvo>
              <x14:borderColor theme="0"/>
              <x14:negativeFillColor rgb="FFFF0000"/>
              <x14:axisColor rgb="FF000000"/>
            </x14:dataBar>
          </x14:cfRule>
          <xm:sqref>Y787</xm:sqref>
        </x14:conditionalFormatting>
        <x14:conditionalFormatting xmlns:xm="http://schemas.microsoft.com/office/excel/2006/main">
          <x14:cfRule type="dataBar" id="{5B358E9F-F7D1-4262-8A8A-FA0DC3303B07}">
            <x14:dataBar minLength="0" maxLength="100" border="1" gradient="0">
              <x14:cfvo type="num">
                <xm:f>0</xm:f>
              </x14:cfvo>
              <x14:cfvo type="num">
                <xm:f>1</xm:f>
              </x14:cfvo>
              <x14:borderColor theme="0"/>
              <x14:negativeFillColor rgb="FFFF0000"/>
              <x14:axisColor rgb="FF000000"/>
            </x14:dataBar>
          </x14:cfRule>
          <xm:sqref>Y789</xm:sqref>
        </x14:conditionalFormatting>
        <x14:conditionalFormatting xmlns:xm="http://schemas.microsoft.com/office/excel/2006/main">
          <x14:cfRule type="dataBar" id="{FCF0B105-6D39-4117-9253-F30701C6E394}">
            <x14:dataBar minLength="0" maxLength="100" border="1" gradient="0">
              <x14:cfvo type="num">
                <xm:f>0</xm:f>
              </x14:cfvo>
              <x14:cfvo type="num">
                <xm:f>1</xm:f>
              </x14:cfvo>
              <x14:borderColor theme="0"/>
              <x14:negativeFillColor rgb="FFFF0000"/>
              <x14:axisColor rgb="FF000000"/>
            </x14:dataBar>
          </x14:cfRule>
          <xm:sqref>Y791</xm:sqref>
        </x14:conditionalFormatting>
        <x14:conditionalFormatting xmlns:xm="http://schemas.microsoft.com/office/excel/2006/main">
          <x14:cfRule type="dataBar" id="{424DC756-5CBE-4675-8E79-F09B3BD4A2C5}">
            <x14:dataBar minLength="0" maxLength="100" border="1" gradient="0">
              <x14:cfvo type="num">
                <xm:f>0</xm:f>
              </x14:cfvo>
              <x14:cfvo type="num">
                <xm:f>1</xm:f>
              </x14:cfvo>
              <x14:borderColor theme="0"/>
              <x14:negativeFillColor rgb="FFFF0000"/>
              <x14:axisColor rgb="FF000000"/>
            </x14:dataBar>
          </x14:cfRule>
          <xm:sqref>Y793</xm:sqref>
        </x14:conditionalFormatting>
        <x14:conditionalFormatting xmlns:xm="http://schemas.microsoft.com/office/excel/2006/main">
          <x14:cfRule type="dataBar" id="{CF1F704E-CC21-4BFC-A75F-6F5938E10E32}">
            <x14:dataBar minLength="0" maxLength="100" border="1" gradient="0">
              <x14:cfvo type="num">
                <xm:f>0</xm:f>
              </x14:cfvo>
              <x14:cfvo type="num">
                <xm:f>1</xm:f>
              </x14:cfvo>
              <x14:borderColor theme="0"/>
              <x14:negativeFillColor rgb="FFFF0000"/>
              <x14:axisColor rgb="FF000000"/>
            </x14:dataBar>
          </x14:cfRule>
          <xm:sqref>Y795</xm:sqref>
        </x14:conditionalFormatting>
        <x14:conditionalFormatting xmlns:xm="http://schemas.microsoft.com/office/excel/2006/main">
          <x14:cfRule type="dataBar" id="{076E11BE-02EF-4B04-9D64-C772E7934076}">
            <x14:dataBar minLength="0" maxLength="100" border="1" gradient="0">
              <x14:cfvo type="num">
                <xm:f>0</xm:f>
              </x14:cfvo>
              <x14:cfvo type="num">
                <xm:f>1</xm:f>
              </x14:cfvo>
              <x14:borderColor theme="0"/>
              <x14:negativeFillColor rgb="FFFF0000"/>
              <x14:axisColor rgb="FF000000"/>
            </x14:dataBar>
          </x14:cfRule>
          <xm:sqref>Y797</xm:sqref>
        </x14:conditionalFormatting>
        <x14:conditionalFormatting xmlns:xm="http://schemas.microsoft.com/office/excel/2006/main">
          <x14:cfRule type="dataBar" id="{4A3F2B07-1420-4780-9A44-443F5FB1A850}">
            <x14:dataBar minLength="0" maxLength="100" border="1" gradient="0">
              <x14:cfvo type="num">
                <xm:f>0</xm:f>
              </x14:cfvo>
              <x14:cfvo type="num">
                <xm:f>1</xm:f>
              </x14:cfvo>
              <x14:borderColor theme="0"/>
              <x14:negativeFillColor rgb="FFFF0000"/>
              <x14:axisColor rgb="FF000000"/>
            </x14:dataBar>
          </x14:cfRule>
          <xm:sqref>Y799</xm:sqref>
        </x14:conditionalFormatting>
        <x14:conditionalFormatting xmlns:xm="http://schemas.microsoft.com/office/excel/2006/main">
          <x14:cfRule type="dataBar" id="{D8180A4B-94CA-45CC-BF68-47816069F5A1}">
            <x14:dataBar minLength="0" maxLength="100" border="1" gradient="0">
              <x14:cfvo type="num">
                <xm:f>0</xm:f>
              </x14:cfvo>
              <x14:cfvo type="num">
                <xm:f>1</xm:f>
              </x14:cfvo>
              <x14:borderColor theme="0"/>
              <x14:negativeFillColor rgb="FFFF0000"/>
              <x14:axisColor rgb="FF000000"/>
            </x14:dataBar>
          </x14:cfRule>
          <xm:sqref>Y801</xm:sqref>
        </x14:conditionalFormatting>
        <x14:conditionalFormatting xmlns:xm="http://schemas.microsoft.com/office/excel/2006/main">
          <x14:cfRule type="dataBar" id="{B90EE2D8-8790-4AC2-9AA1-15755F9433B8}">
            <x14:dataBar minLength="0" maxLength="100" border="1" gradient="0">
              <x14:cfvo type="num">
                <xm:f>0</xm:f>
              </x14:cfvo>
              <x14:cfvo type="num">
                <xm:f>1</xm:f>
              </x14:cfvo>
              <x14:borderColor theme="0"/>
              <x14:negativeFillColor rgb="FFFF0000"/>
              <x14:axisColor rgb="FF000000"/>
            </x14:dataBar>
          </x14:cfRule>
          <xm:sqref>Y803</xm:sqref>
        </x14:conditionalFormatting>
        <x14:conditionalFormatting xmlns:xm="http://schemas.microsoft.com/office/excel/2006/main">
          <x14:cfRule type="dataBar" id="{94DAFCCB-F463-441C-8978-DC1A598CAE0F}">
            <x14:dataBar minLength="0" maxLength="100" border="1" gradient="0">
              <x14:cfvo type="num">
                <xm:f>0</xm:f>
              </x14:cfvo>
              <x14:cfvo type="num">
                <xm:f>1</xm:f>
              </x14:cfvo>
              <x14:borderColor theme="0"/>
              <x14:negativeFillColor rgb="FFFF0000"/>
              <x14:axisColor rgb="FF000000"/>
            </x14:dataBar>
          </x14:cfRule>
          <xm:sqref>Y805</xm:sqref>
        </x14:conditionalFormatting>
        <x14:conditionalFormatting xmlns:xm="http://schemas.microsoft.com/office/excel/2006/main">
          <x14:cfRule type="dataBar" id="{5DA9C883-AE01-4D84-A28A-63D37AB4A5E4}">
            <x14:dataBar minLength="0" maxLength="100" border="1" gradient="0">
              <x14:cfvo type="num">
                <xm:f>0</xm:f>
              </x14:cfvo>
              <x14:cfvo type="num">
                <xm:f>1</xm:f>
              </x14:cfvo>
              <x14:borderColor theme="0"/>
              <x14:negativeFillColor rgb="FFFF0000"/>
              <x14:axisColor rgb="FF000000"/>
            </x14:dataBar>
          </x14:cfRule>
          <xm:sqref>Y807</xm:sqref>
        </x14:conditionalFormatting>
        <x14:conditionalFormatting xmlns:xm="http://schemas.microsoft.com/office/excel/2006/main">
          <x14:cfRule type="dataBar" id="{2EAB8D36-46CF-4F23-8D64-71ED8D1FDC6B}">
            <x14:dataBar minLength="0" maxLength="100" border="1" gradient="0">
              <x14:cfvo type="num">
                <xm:f>0</xm:f>
              </x14:cfvo>
              <x14:cfvo type="num">
                <xm:f>1</xm:f>
              </x14:cfvo>
              <x14:borderColor theme="0"/>
              <x14:negativeFillColor rgb="FFFF0000"/>
              <x14:axisColor rgb="FF000000"/>
            </x14:dataBar>
          </x14:cfRule>
          <xm:sqref>Y809</xm:sqref>
        </x14:conditionalFormatting>
        <x14:conditionalFormatting xmlns:xm="http://schemas.microsoft.com/office/excel/2006/main">
          <x14:cfRule type="dataBar" id="{B370B782-43C2-4CC2-8FB5-71CF530B731C}">
            <x14:dataBar minLength="0" maxLength="100" border="1" gradient="0">
              <x14:cfvo type="num">
                <xm:f>0</xm:f>
              </x14:cfvo>
              <x14:cfvo type="num">
                <xm:f>1</xm:f>
              </x14:cfvo>
              <x14:borderColor theme="0"/>
              <x14:negativeFillColor rgb="FFFF0000"/>
              <x14:axisColor rgb="FF000000"/>
            </x14:dataBar>
          </x14:cfRule>
          <xm:sqref>Y811</xm:sqref>
        </x14:conditionalFormatting>
        <x14:conditionalFormatting xmlns:xm="http://schemas.microsoft.com/office/excel/2006/main">
          <x14:cfRule type="dataBar" id="{EF8FC9DD-C8EF-47B1-B66C-6739EF2EED2A}">
            <x14:dataBar minLength="0" maxLength="100" border="1" gradient="0">
              <x14:cfvo type="num">
                <xm:f>0</xm:f>
              </x14:cfvo>
              <x14:cfvo type="num">
                <xm:f>1</xm:f>
              </x14:cfvo>
              <x14:borderColor theme="0"/>
              <x14:negativeFillColor rgb="FFFF0000"/>
              <x14:axisColor rgb="FF000000"/>
            </x14:dataBar>
          </x14:cfRule>
          <xm:sqref>Y813</xm:sqref>
        </x14:conditionalFormatting>
        <x14:conditionalFormatting xmlns:xm="http://schemas.microsoft.com/office/excel/2006/main">
          <x14:cfRule type="dataBar" id="{2DD30C69-180C-4357-97F9-CF6BB6B98892}">
            <x14:dataBar minLength="0" maxLength="100" border="1" gradient="0">
              <x14:cfvo type="num">
                <xm:f>0</xm:f>
              </x14:cfvo>
              <x14:cfvo type="num">
                <xm:f>1</xm:f>
              </x14:cfvo>
              <x14:borderColor theme="0"/>
              <x14:negativeFillColor rgb="FFFF0000"/>
              <x14:axisColor rgb="FF000000"/>
            </x14:dataBar>
          </x14:cfRule>
          <xm:sqref>Y815</xm:sqref>
        </x14:conditionalFormatting>
        <x14:conditionalFormatting xmlns:xm="http://schemas.microsoft.com/office/excel/2006/main">
          <x14:cfRule type="dataBar" id="{A3658495-FCFD-4F30-A167-CC382F26D629}">
            <x14:dataBar minLength="0" maxLength="100" border="1" gradient="0">
              <x14:cfvo type="num">
                <xm:f>0</xm:f>
              </x14:cfvo>
              <x14:cfvo type="num">
                <xm:f>1</xm:f>
              </x14:cfvo>
              <x14:borderColor theme="0"/>
              <x14:negativeFillColor rgb="FFFF0000"/>
              <x14:axisColor rgb="FF000000"/>
            </x14:dataBar>
          </x14:cfRule>
          <xm:sqref>Y817</xm:sqref>
        </x14:conditionalFormatting>
        <x14:conditionalFormatting xmlns:xm="http://schemas.microsoft.com/office/excel/2006/main">
          <x14:cfRule type="dataBar" id="{BB654586-D067-4FBB-8F4F-1EBCCB5123A0}">
            <x14:dataBar minLength="0" maxLength="100" border="1" gradient="0">
              <x14:cfvo type="num">
                <xm:f>0</xm:f>
              </x14:cfvo>
              <x14:cfvo type="num">
                <xm:f>1</xm:f>
              </x14:cfvo>
              <x14:borderColor theme="0"/>
              <x14:negativeFillColor rgb="FFFF0000"/>
              <x14:axisColor rgb="FF000000"/>
            </x14:dataBar>
          </x14:cfRule>
          <xm:sqref>Y819</xm:sqref>
        </x14:conditionalFormatting>
        <x14:conditionalFormatting xmlns:xm="http://schemas.microsoft.com/office/excel/2006/main">
          <x14:cfRule type="dataBar" id="{D1E5F561-9987-4B60-8058-23CC78665F0D}">
            <x14:dataBar minLength="0" maxLength="100" border="1" gradient="0">
              <x14:cfvo type="num">
                <xm:f>0</xm:f>
              </x14:cfvo>
              <x14:cfvo type="num">
                <xm:f>1</xm:f>
              </x14:cfvo>
              <x14:borderColor theme="0"/>
              <x14:negativeFillColor rgb="FFFF0000"/>
              <x14:axisColor rgb="FF000000"/>
            </x14:dataBar>
          </x14:cfRule>
          <xm:sqref>Y821</xm:sqref>
        </x14:conditionalFormatting>
        <x14:conditionalFormatting xmlns:xm="http://schemas.microsoft.com/office/excel/2006/main">
          <x14:cfRule type="dataBar" id="{AD450A2C-1970-4C02-AFA6-78043F0FE16C}">
            <x14:dataBar minLength="0" maxLength="100" border="1" gradient="0">
              <x14:cfvo type="num">
                <xm:f>0</xm:f>
              </x14:cfvo>
              <x14:cfvo type="num">
                <xm:f>1</xm:f>
              </x14:cfvo>
              <x14:borderColor theme="0"/>
              <x14:negativeFillColor rgb="FFFF0000"/>
              <x14:axisColor rgb="FF000000"/>
            </x14:dataBar>
          </x14:cfRule>
          <xm:sqref>Y823</xm:sqref>
        </x14:conditionalFormatting>
        <x14:conditionalFormatting xmlns:xm="http://schemas.microsoft.com/office/excel/2006/main">
          <x14:cfRule type="dataBar" id="{43E2DBE6-5FAB-4231-9B36-D712058AD17E}">
            <x14:dataBar minLength="0" maxLength="100" border="1" gradient="0">
              <x14:cfvo type="num">
                <xm:f>0</xm:f>
              </x14:cfvo>
              <x14:cfvo type="num">
                <xm:f>1</xm:f>
              </x14:cfvo>
              <x14:borderColor theme="0"/>
              <x14:negativeFillColor rgb="FFFF0000"/>
              <x14:axisColor rgb="FF000000"/>
            </x14:dataBar>
          </x14:cfRule>
          <xm:sqref>Y825</xm:sqref>
        </x14:conditionalFormatting>
        <x14:conditionalFormatting xmlns:xm="http://schemas.microsoft.com/office/excel/2006/main">
          <x14:cfRule type="dataBar" id="{A3463E83-55C1-40B9-8422-54F1AD118B3D}">
            <x14:dataBar minLength="0" maxLength="100" border="1" gradient="0">
              <x14:cfvo type="num">
                <xm:f>0</xm:f>
              </x14:cfvo>
              <x14:cfvo type="num">
                <xm:f>1</xm:f>
              </x14:cfvo>
              <x14:borderColor theme="0"/>
              <x14:negativeFillColor rgb="FFFF0000"/>
              <x14:axisColor rgb="FF000000"/>
            </x14:dataBar>
          </x14:cfRule>
          <xm:sqref>Y827</xm:sqref>
        </x14:conditionalFormatting>
        <x14:conditionalFormatting xmlns:xm="http://schemas.microsoft.com/office/excel/2006/main">
          <x14:cfRule type="dataBar" id="{73D01A3A-3D78-424E-91E8-60F9C4A09B4C}">
            <x14:dataBar minLength="0" maxLength="100" border="1" gradient="0">
              <x14:cfvo type="num">
                <xm:f>0</xm:f>
              </x14:cfvo>
              <x14:cfvo type="num">
                <xm:f>1</xm:f>
              </x14:cfvo>
              <x14:borderColor theme="0"/>
              <x14:negativeFillColor rgb="FFFF0000"/>
              <x14:axisColor rgb="FF000000"/>
            </x14:dataBar>
          </x14:cfRule>
          <xm:sqref>Y829</xm:sqref>
        </x14:conditionalFormatting>
        <x14:conditionalFormatting xmlns:xm="http://schemas.microsoft.com/office/excel/2006/main">
          <x14:cfRule type="dataBar" id="{04836EEF-7140-401B-8D0F-4D1DE9C8AFB8}">
            <x14:dataBar minLength="0" maxLength="100" border="1" gradient="0">
              <x14:cfvo type="num">
                <xm:f>0</xm:f>
              </x14:cfvo>
              <x14:cfvo type="num">
                <xm:f>1</xm:f>
              </x14:cfvo>
              <x14:borderColor theme="0"/>
              <x14:negativeFillColor rgb="FFFF0000"/>
              <x14:axisColor rgb="FF000000"/>
            </x14:dataBar>
          </x14:cfRule>
          <xm:sqref>Y831</xm:sqref>
        </x14:conditionalFormatting>
        <x14:conditionalFormatting xmlns:xm="http://schemas.microsoft.com/office/excel/2006/main">
          <x14:cfRule type="dataBar" id="{4014997F-BC3C-43FC-A13F-0B83FDE1AD5F}">
            <x14:dataBar minLength="0" maxLength="100" border="1" gradient="0">
              <x14:cfvo type="num">
                <xm:f>0</xm:f>
              </x14:cfvo>
              <x14:cfvo type="num">
                <xm:f>1</xm:f>
              </x14:cfvo>
              <x14:borderColor theme="0"/>
              <x14:negativeFillColor rgb="FFFF0000"/>
              <x14:axisColor rgb="FF000000"/>
            </x14:dataBar>
          </x14:cfRule>
          <xm:sqref>Y833</xm:sqref>
        </x14:conditionalFormatting>
        <x14:conditionalFormatting xmlns:xm="http://schemas.microsoft.com/office/excel/2006/main">
          <x14:cfRule type="dataBar" id="{4FAAF0D9-2A44-44A1-AD24-8810483EF9B8}">
            <x14:dataBar minLength="0" maxLength="100" border="1" gradient="0">
              <x14:cfvo type="num">
                <xm:f>0</xm:f>
              </x14:cfvo>
              <x14:cfvo type="num">
                <xm:f>1</xm:f>
              </x14:cfvo>
              <x14:borderColor theme="0"/>
              <x14:negativeFillColor rgb="FFFF0000"/>
              <x14:axisColor rgb="FF000000"/>
            </x14:dataBar>
          </x14:cfRule>
          <xm:sqref>Y835</xm:sqref>
        </x14:conditionalFormatting>
        <x14:conditionalFormatting xmlns:xm="http://schemas.microsoft.com/office/excel/2006/main">
          <x14:cfRule type="dataBar" id="{81F9AA87-82F2-46BD-A6B5-793021F2050D}">
            <x14:dataBar minLength="0" maxLength="100" border="1" gradient="0">
              <x14:cfvo type="num">
                <xm:f>0</xm:f>
              </x14:cfvo>
              <x14:cfvo type="num">
                <xm:f>1</xm:f>
              </x14:cfvo>
              <x14:borderColor theme="0"/>
              <x14:negativeFillColor rgb="FFFF0000"/>
              <x14:axisColor rgb="FF000000"/>
            </x14:dataBar>
          </x14:cfRule>
          <xm:sqref>Y837</xm:sqref>
        </x14:conditionalFormatting>
        <x14:conditionalFormatting xmlns:xm="http://schemas.microsoft.com/office/excel/2006/main">
          <x14:cfRule type="dataBar" id="{2ACFAA2F-598B-4E45-B33A-72D53305068F}">
            <x14:dataBar minLength="0" maxLength="100" border="1" gradient="0">
              <x14:cfvo type="num">
                <xm:f>0</xm:f>
              </x14:cfvo>
              <x14:cfvo type="num">
                <xm:f>1</xm:f>
              </x14:cfvo>
              <x14:borderColor theme="0"/>
              <x14:negativeFillColor rgb="FFFF0000"/>
              <x14:axisColor rgb="FF000000"/>
            </x14:dataBar>
          </x14:cfRule>
          <xm:sqref>Y839</xm:sqref>
        </x14:conditionalFormatting>
        <x14:conditionalFormatting xmlns:xm="http://schemas.microsoft.com/office/excel/2006/main">
          <x14:cfRule type="dataBar" id="{08919B27-B707-4565-B0B5-4D392463A5E9}">
            <x14:dataBar minLength="0" maxLength="100" border="1" gradient="0">
              <x14:cfvo type="num">
                <xm:f>0</xm:f>
              </x14:cfvo>
              <x14:cfvo type="num">
                <xm:f>1</xm:f>
              </x14:cfvo>
              <x14:borderColor theme="0"/>
              <x14:negativeFillColor rgb="FFFF0000"/>
              <x14:axisColor rgb="FF000000"/>
            </x14:dataBar>
          </x14:cfRule>
          <xm:sqref>Y841</xm:sqref>
        </x14:conditionalFormatting>
        <x14:conditionalFormatting xmlns:xm="http://schemas.microsoft.com/office/excel/2006/main">
          <x14:cfRule type="dataBar" id="{256C21F8-2F01-417F-A021-17C0018123BA}">
            <x14:dataBar minLength="0" maxLength="100" border="1" gradient="0">
              <x14:cfvo type="num">
                <xm:f>0</xm:f>
              </x14:cfvo>
              <x14:cfvo type="num">
                <xm:f>1</xm:f>
              </x14:cfvo>
              <x14:borderColor theme="0"/>
              <x14:negativeFillColor rgb="FFFF0000"/>
              <x14:axisColor rgb="FF000000"/>
            </x14:dataBar>
          </x14:cfRule>
          <xm:sqref>Y843</xm:sqref>
        </x14:conditionalFormatting>
        <x14:conditionalFormatting xmlns:xm="http://schemas.microsoft.com/office/excel/2006/main">
          <x14:cfRule type="dataBar" id="{99BA734D-C508-4FD1-94E3-910CE8701102}">
            <x14:dataBar minLength="0" maxLength="100" border="1" gradient="0">
              <x14:cfvo type="num">
                <xm:f>0</xm:f>
              </x14:cfvo>
              <x14:cfvo type="num">
                <xm:f>1</xm:f>
              </x14:cfvo>
              <x14:borderColor theme="0"/>
              <x14:negativeFillColor rgb="FFFF0000"/>
              <x14:axisColor rgb="FF000000"/>
            </x14:dataBar>
          </x14:cfRule>
          <xm:sqref>Y845</xm:sqref>
        </x14:conditionalFormatting>
        <x14:conditionalFormatting xmlns:xm="http://schemas.microsoft.com/office/excel/2006/main">
          <x14:cfRule type="dataBar" id="{D739C539-5668-416A-9F3D-FB474E0584B0}">
            <x14:dataBar minLength="0" maxLength="100" border="1" gradient="0">
              <x14:cfvo type="num">
                <xm:f>0</xm:f>
              </x14:cfvo>
              <x14:cfvo type="num">
                <xm:f>1</xm:f>
              </x14:cfvo>
              <x14:borderColor theme="0"/>
              <x14:negativeFillColor rgb="FFFF0000"/>
              <x14:axisColor rgb="FF000000"/>
            </x14:dataBar>
          </x14:cfRule>
          <xm:sqref>Y848</xm:sqref>
        </x14:conditionalFormatting>
        <x14:conditionalFormatting xmlns:xm="http://schemas.microsoft.com/office/excel/2006/main">
          <x14:cfRule type="dataBar" id="{7C9F3E81-83BF-46C0-B4F5-159781A385B4}">
            <x14:dataBar minLength="0" maxLength="100" border="1" gradient="0">
              <x14:cfvo type="num">
                <xm:f>0</xm:f>
              </x14:cfvo>
              <x14:cfvo type="num">
                <xm:f>1</xm:f>
              </x14:cfvo>
              <x14:borderColor theme="0"/>
              <x14:negativeFillColor rgb="FFFF0000"/>
              <x14:axisColor rgb="FF000000"/>
            </x14:dataBar>
          </x14:cfRule>
          <xm:sqref>Y851</xm:sqref>
        </x14:conditionalFormatting>
        <x14:conditionalFormatting xmlns:xm="http://schemas.microsoft.com/office/excel/2006/main">
          <x14:cfRule type="dataBar" id="{FD53EE5E-357E-4C05-ACF5-5CB00268A2E3}">
            <x14:dataBar minLength="0" maxLength="100" border="1" gradient="0">
              <x14:cfvo type="num">
                <xm:f>0</xm:f>
              </x14:cfvo>
              <x14:cfvo type="num">
                <xm:f>1</xm:f>
              </x14:cfvo>
              <x14:borderColor theme="0"/>
              <x14:negativeFillColor rgb="FFFF0000"/>
              <x14:axisColor rgb="FF000000"/>
            </x14:dataBar>
          </x14:cfRule>
          <xm:sqref>Y853</xm:sqref>
        </x14:conditionalFormatting>
        <x14:conditionalFormatting xmlns:xm="http://schemas.microsoft.com/office/excel/2006/main">
          <x14:cfRule type="dataBar" id="{58E3F1CF-E9D8-4EEE-BF11-B60A3288DDAF}">
            <x14:dataBar minLength="0" maxLength="100" border="1" gradient="0">
              <x14:cfvo type="num">
                <xm:f>0</xm:f>
              </x14:cfvo>
              <x14:cfvo type="num">
                <xm:f>1</xm:f>
              </x14:cfvo>
              <x14:borderColor theme="0"/>
              <x14:negativeFillColor rgb="FFFF0000"/>
              <x14:axisColor rgb="FF000000"/>
            </x14:dataBar>
          </x14:cfRule>
          <xm:sqref>Y855</xm:sqref>
        </x14:conditionalFormatting>
        <x14:conditionalFormatting xmlns:xm="http://schemas.microsoft.com/office/excel/2006/main">
          <x14:cfRule type="dataBar" id="{077D5164-AAE2-4F0F-A931-5BE9BEB7C82F}">
            <x14:dataBar minLength="0" maxLength="100" border="1" gradient="0">
              <x14:cfvo type="num">
                <xm:f>0</xm:f>
              </x14:cfvo>
              <x14:cfvo type="num">
                <xm:f>1</xm:f>
              </x14:cfvo>
              <x14:borderColor theme="0"/>
              <x14:negativeFillColor rgb="FFFF0000"/>
              <x14:axisColor rgb="FF000000"/>
            </x14:dataBar>
          </x14:cfRule>
          <xm:sqref>Y857</xm:sqref>
        </x14:conditionalFormatting>
        <x14:conditionalFormatting xmlns:xm="http://schemas.microsoft.com/office/excel/2006/main">
          <x14:cfRule type="dataBar" id="{454F8241-E58B-4CF7-8360-79AD613C1233}">
            <x14:dataBar minLength="0" maxLength="100" border="1" gradient="0">
              <x14:cfvo type="num">
                <xm:f>0</xm:f>
              </x14:cfvo>
              <x14:cfvo type="num">
                <xm:f>1</xm:f>
              </x14:cfvo>
              <x14:borderColor theme="0"/>
              <x14:negativeFillColor rgb="FFFF0000"/>
              <x14:axisColor rgb="FF000000"/>
            </x14:dataBar>
          </x14:cfRule>
          <xm:sqref>Y859 Y861 Y863 Y865 Y867 Y869</xm:sqref>
        </x14:conditionalFormatting>
        <x14:conditionalFormatting xmlns:xm="http://schemas.microsoft.com/office/excel/2006/main">
          <x14:cfRule type="dataBar" id="{35562234-EC37-4512-93BE-DB6939FA3119}">
            <x14:dataBar minLength="0" maxLength="100" border="1" gradient="0">
              <x14:cfvo type="num">
                <xm:f>0</xm:f>
              </x14:cfvo>
              <x14:cfvo type="num">
                <xm:f>1</xm:f>
              </x14:cfvo>
              <x14:borderColor theme="0"/>
              <x14:negativeFillColor rgb="FFFF0000"/>
              <x14:axisColor rgb="FF000000"/>
            </x14:dataBar>
          </x14:cfRule>
          <xm:sqref>Y871 Y873 Y875 Y877 Y879</xm:sqref>
        </x14:conditionalFormatting>
        <x14:conditionalFormatting xmlns:xm="http://schemas.microsoft.com/office/excel/2006/main">
          <x14:cfRule type="dataBar" id="{D7779B75-BDB0-4A60-9E76-F5D2452D0E91}">
            <x14:dataBar minLength="0" maxLength="100" border="1" gradient="0">
              <x14:cfvo type="num">
                <xm:f>0</xm:f>
              </x14:cfvo>
              <x14:cfvo type="num">
                <xm:f>1</xm:f>
              </x14:cfvo>
              <x14:borderColor theme="0"/>
              <x14:negativeFillColor rgb="FFFF0000"/>
              <x14:axisColor rgb="FF000000"/>
            </x14:dataBar>
          </x14:cfRule>
          <xm:sqref>Y881</xm:sqref>
        </x14:conditionalFormatting>
        <x14:conditionalFormatting xmlns:xm="http://schemas.microsoft.com/office/excel/2006/main">
          <x14:cfRule type="dataBar" id="{26377A2D-B661-4A09-B042-650038AC2DA8}">
            <x14:dataBar minLength="0" maxLength="100" border="1" gradient="0">
              <x14:cfvo type="num">
                <xm:f>0</xm:f>
              </x14:cfvo>
              <x14:cfvo type="num">
                <xm:f>1</xm:f>
              </x14:cfvo>
              <x14:borderColor theme="0"/>
              <x14:negativeFillColor rgb="FFFF0000"/>
              <x14:axisColor rgb="FF000000"/>
            </x14:dataBar>
          </x14:cfRule>
          <xm:sqref>Y883</xm:sqref>
        </x14:conditionalFormatting>
        <x14:conditionalFormatting xmlns:xm="http://schemas.microsoft.com/office/excel/2006/main">
          <x14:cfRule type="dataBar" id="{F54D053D-4BA1-4AC1-AD21-C30504043595}">
            <x14:dataBar minLength="0" maxLength="100" border="1" gradient="0">
              <x14:cfvo type="num">
                <xm:f>0</xm:f>
              </x14:cfvo>
              <x14:cfvo type="num">
                <xm:f>1</xm:f>
              </x14:cfvo>
              <x14:borderColor theme="0"/>
              <x14:negativeFillColor rgb="FFFF0000"/>
              <x14:axisColor rgb="FF000000"/>
            </x14:dataBar>
          </x14:cfRule>
          <xm:sqref>Y886</xm:sqref>
        </x14:conditionalFormatting>
        <x14:conditionalFormatting xmlns:xm="http://schemas.microsoft.com/office/excel/2006/main">
          <x14:cfRule type="dataBar" id="{F1A457E3-F633-4718-9E19-47B42A9AFACB}">
            <x14:dataBar minLength="0" maxLength="100" border="1" gradient="0">
              <x14:cfvo type="num">
                <xm:f>0</xm:f>
              </x14:cfvo>
              <x14:cfvo type="num">
                <xm:f>1</xm:f>
              </x14:cfvo>
              <x14:borderColor theme="0"/>
              <x14:negativeFillColor rgb="FFFF0000"/>
              <x14:axisColor rgb="FF000000"/>
            </x14:dataBar>
          </x14:cfRule>
          <xm:sqref>Y888</xm:sqref>
        </x14:conditionalFormatting>
        <x14:conditionalFormatting xmlns:xm="http://schemas.microsoft.com/office/excel/2006/main">
          <x14:cfRule type="dataBar" id="{72ED4B87-4930-4BD3-9D54-E51096AAC115}">
            <x14:dataBar minLength="0" maxLength="100" border="1" gradient="0">
              <x14:cfvo type="num">
                <xm:f>0</xm:f>
              </x14:cfvo>
              <x14:cfvo type="num">
                <xm:f>1</xm:f>
              </x14:cfvo>
              <x14:borderColor theme="0"/>
              <x14:negativeFillColor rgb="FFFF0000"/>
              <x14:axisColor rgb="FF000000"/>
            </x14:dataBar>
          </x14:cfRule>
          <xm:sqref>Y890 Y892</xm:sqref>
        </x14:conditionalFormatting>
        <x14:conditionalFormatting xmlns:xm="http://schemas.microsoft.com/office/excel/2006/main">
          <x14:cfRule type="dataBar" id="{2A818B56-D713-4AF0-A7DC-4429189077F5}">
            <x14:dataBar minLength="0" maxLength="100" border="1" gradient="0">
              <x14:cfvo type="num">
                <xm:f>0</xm:f>
              </x14:cfvo>
              <x14:cfvo type="num">
                <xm:f>1</xm:f>
              </x14:cfvo>
              <x14:borderColor theme="0"/>
              <x14:negativeFillColor rgb="FFFF0000"/>
              <x14:axisColor rgb="FF000000"/>
            </x14:dataBar>
          </x14:cfRule>
          <xm:sqref>Y894</xm:sqref>
        </x14:conditionalFormatting>
        <x14:conditionalFormatting xmlns:xm="http://schemas.microsoft.com/office/excel/2006/main">
          <x14:cfRule type="dataBar" id="{60CADD27-2609-409F-9E71-233EE0AE7AC9}">
            <x14:dataBar minLength="0" maxLength="100" border="1" gradient="0">
              <x14:cfvo type="num">
                <xm:f>0</xm:f>
              </x14:cfvo>
              <x14:cfvo type="num">
                <xm:f>1</xm:f>
              </x14:cfvo>
              <x14:borderColor theme="0"/>
              <x14:negativeFillColor rgb="FFFF0000"/>
              <x14:axisColor rgb="FF000000"/>
            </x14:dataBar>
          </x14:cfRule>
          <xm:sqref>Y896 Y898</xm:sqref>
        </x14:conditionalFormatting>
        <x14:conditionalFormatting xmlns:xm="http://schemas.microsoft.com/office/excel/2006/main">
          <x14:cfRule type="dataBar" id="{18006BC9-C095-4F3D-BB96-10C233F5C2DB}">
            <x14:dataBar minLength="0" maxLength="100" border="1" gradient="0">
              <x14:cfvo type="num">
                <xm:f>0</xm:f>
              </x14:cfvo>
              <x14:cfvo type="num">
                <xm:f>1</xm:f>
              </x14:cfvo>
              <x14:borderColor theme="0"/>
              <x14:negativeFillColor rgb="FFFF0000"/>
              <x14:axisColor rgb="FF000000"/>
            </x14:dataBar>
          </x14:cfRule>
          <xm:sqref>Y900</xm:sqref>
        </x14:conditionalFormatting>
        <x14:conditionalFormatting xmlns:xm="http://schemas.microsoft.com/office/excel/2006/main">
          <x14:cfRule type="dataBar" id="{49A197EA-670F-49A7-8364-5AB01C9798D0}">
            <x14:dataBar minLength="0" maxLength="100" border="1" gradient="0">
              <x14:cfvo type="num">
                <xm:f>0</xm:f>
              </x14:cfvo>
              <x14:cfvo type="num">
                <xm:f>1</xm:f>
              </x14:cfvo>
              <x14:borderColor theme="0"/>
              <x14:negativeFillColor rgb="FFFF0000"/>
              <x14:axisColor rgb="FF000000"/>
            </x14:dataBar>
          </x14:cfRule>
          <xm:sqref>Y902 Y904</xm:sqref>
        </x14:conditionalFormatting>
        <x14:conditionalFormatting xmlns:xm="http://schemas.microsoft.com/office/excel/2006/main">
          <x14:cfRule type="dataBar" id="{764134A9-695E-491D-B220-B7369BD8DEF2}">
            <x14:dataBar minLength="0" maxLength="100" border="1" gradient="0">
              <x14:cfvo type="num">
                <xm:f>0</xm:f>
              </x14:cfvo>
              <x14:cfvo type="num">
                <xm:f>1</xm:f>
              </x14:cfvo>
              <x14:borderColor theme="0"/>
              <x14:negativeFillColor rgb="FFFF0000"/>
              <x14:axisColor rgb="FF000000"/>
            </x14:dataBar>
          </x14:cfRule>
          <xm:sqref>Y906</xm:sqref>
        </x14:conditionalFormatting>
        <x14:conditionalFormatting xmlns:xm="http://schemas.microsoft.com/office/excel/2006/main">
          <x14:cfRule type="dataBar" id="{33AB8110-73A8-49DF-AFF2-9F2E0C5DD74F}">
            <x14:dataBar minLength="0" maxLength="100" border="1" gradient="0">
              <x14:cfvo type="num">
                <xm:f>0</xm:f>
              </x14:cfvo>
              <x14:cfvo type="num">
                <xm:f>1</xm:f>
              </x14:cfvo>
              <x14:borderColor theme="0"/>
              <x14:negativeFillColor rgb="FFFF0000"/>
              <x14:axisColor rgb="FF000000"/>
            </x14:dataBar>
          </x14:cfRule>
          <xm:sqref>Y908 Y910</xm:sqref>
        </x14:conditionalFormatting>
        <x14:conditionalFormatting xmlns:xm="http://schemas.microsoft.com/office/excel/2006/main">
          <x14:cfRule type="dataBar" id="{819DEEE5-966F-495F-8501-72F03AC6EE0B}">
            <x14:dataBar minLength="0" maxLength="100" border="1" gradient="0">
              <x14:cfvo type="num">
                <xm:f>0</xm:f>
              </x14:cfvo>
              <x14:cfvo type="num">
                <xm:f>1</xm:f>
              </x14:cfvo>
              <x14:borderColor theme="0"/>
              <x14:negativeFillColor rgb="FFFF0000"/>
              <x14:axisColor rgb="FF000000"/>
            </x14:dataBar>
          </x14:cfRule>
          <xm:sqref>Y912</xm:sqref>
        </x14:conditionalFormatting>
        <x14:conditionalFormatting xmlns:xm="http://schemas.microsoft.com/office/excel/2006/main">
          <x14:cfRule type="dataBar" id="{91AE8AA3-E54F-4615-B735-A75E3196E6E9}">
            <x14:dataBar minLength="0" maxLength="100" border="1" gradient="0">
              <x14:cfvo type="num">
                <xm:f>0</xm:f>
              </x14:cfvo>
              <x14:cfvo type="num">
                <xm:f>1</xm:f>
              </x14:cfvo>
              <x14:borderColor theme="0"/>
              <x14:negativeFillColor rgb="FFFF0000"/>
              <x14:axisColor rgb="FF000000"/>
            </x14:dataBar>
          </x14:cfRule>
          <xm:sqref>Y914 Y916</xm:sqref>
        </x14:conditionalFormatting>
        <x14:conditionalFormatting xmlns:xm="http://schemas.microsoft.com/office/excel/2006/main">
          <x14:cfRule type="dataBar" id="{230B678D-1705-46A8-BE90-CF4A439B8F31}">
            <x14:dataBar minLength="0" maxLength="100" border="1" gradient="0">
              <x14:cfvo type="num">
                <xm:f>0</xm:f>
              </x14:cfvo>
              <x14:cfvo type="num">
                <xm:f>1</xm:f>
              </x14:cfvo>
              <x14:borderColor theme="0"/>
              <x14:negativeFillColor rgb="FFFF0000"/>
              <x14:axisColor rgb="FF000000"/>
            </x14:dataBar>
          </x14:cfRule>
          <xm:sqref>Y918</xm:sqref>
        </x14:conditionalFormatting>
        <x14:conditionalFormatting xmlns:xm="http://schemas.microsoft.com/office/excel/2006/main">
          <x14:cfRule type="dataBar" id="{622E1EF4-14E0-41B4-BBF2-F2CA3F75132E}">
            <x14:dataBar minLength="0" maxLength="100" border="1" gradient="0">
              <x14:cfvo type="num">
                <xm:f>0</xm:f>
              </x14:cfvo>
              <x14:cfvo type="num">
                <xm:f>1</xm:f>
              </x14:cfvo>
              <x14:borderColor theme="0"/>
              <x14:negativeFillColor rgb="FFFF0000"/>
              <x14:axisColor rgb="FF000000"/>
            </x14:dataBar>
          </x14:cfRule>
          <xm:sqref>Y920</xm:sqref>
        </x14:conditionalFormatting>
        <x14:conditionalFormatting xmlns:xm="http://schemas.microsoft.com/office/excel/2006/main">
          <x14:cfRule type="dataBar" id="{25E84709-78D5-4DE8-9B21-2745EBDE4972}">
            <x14:dataBar minLength="0" maxLength="100" border="1" gradient="0">
              <x14:cfvo type="num">
                <xm:f>0</xm:f>
              </x14:cfvo>
              <x14:cfvo type="num">
                <xm:f>1</xm:f>
              </x14:cfvo>
              <x14:borderColor theme="0"/>
              <x14:negativeFillColor rgb="FFFF0000"/>
              <x14:axisColor rgb="FF000000"/>
            </x14:dataBar>
          </x14:cfRule>
          <xm:sqref>Y924</xm:sqref>
        </x14:conditionalFormatting>
        <x14:conditionalFormatting xmlns:xm="http://schemas.microsoft.com/office/excel/2006/main">
          <x14:cfRule type="dataBar" id="{4CD8DE19-A231-48B3-B153-F3446E687937}">
            <x14:dataBar minLength="0" maxLength="100" border="1" gradient="0">
              <x14:cfvo type="num">
                <xm:f>0</xm:f>
              </x14:cfvo>
              <x14:cfvo type="num">
                <xm:f>1</xm:f>
              </x14:cfvo>
              <x14:borderColor theme="0"/>
              <x14:negativeFillColor rgb="FFFF0000"/>
              <x14:axisColor rgb="FF000000"/>
            </x14:dataBar>
          </x14:cfRule>
          <xm:sqref>Y926</xm:sqref>
        </x14:conditionalFormatting>
        <x14:conditionalFormatting xmlns:xm="http://schemas.microsoft.com/office/excel/2006/main">
          <x14:cfRule type="dataBar" id="{8973F498-B98C-421E-8F2F-2C1C6A0DC616}">
            <x14:dataBar minLength="0" maxLength="100" border="1" gradient="0">
              <x14:cfvo type="num">
                <xm:f>0</xm:f>
              </x14:cfvo>
              <x14:cfvo type="num">
                <xm:f>1</xm:f>
              </x14:cfvo>
              <x14:borderColor theme="0"/>
              <x14:negativeFillColor rgb="FFFF0000"/>
              <x14:axisColor rgb="FF000000"/>
            </x14:dataBar>
          </x14:cfRule>
          <xm:sqref>Y928 Y930</xm:sqref>
        </x14:conditionalFormatting>
        <x14:conditionalFormatting xmlns:xm="http://schemas.microsoft.com/office/excel/2006/main">
          <x14:cfRule type="dataBar" id="{9B2E22FF-D075-4773-B76A-DD8BD984B83F}">
            <x14:dataBar minLength="0" maxLength="100" border="1" gradient="0">
              <x14:cfvo type="num">
                <xm:f>0</xm:f>
              </x14:cfvo>
              <x14:cfvo type="num">
                <xm:f>1</xm:f>
              </x14:cfvo>
              <x14:borderColor theme="0"/>
              <x14:negativeFillColor rgb="FFFF0000"/>
              <x14:axisColor rgb="FF000000"/>
            </x14:dataBar>
          </x14:cfRule>
          <xm:sqref>Y932</xm:sqref>
        </x14:conditionalFormatting>
        <x14:conditionalFormatting xmlns:xm="http://schemas.microsoft.com/office/excel/2006/main">
          <x14:cfRule type="dataBar" id="{4DD4EC99-05FF-4763-B48E-8DD16E8304FE}">
            <x14:dataBar minLength="0" maxLength="100" border="1" gradient="0">
              <x14:cfvo type="num">
                <xm:f>0</xm:f>
              </x14:cfvo>
              <x14:cfvo type="num">
                <xm:f>1</xm:f>
              </x14:cfvo>
              <x14:borderColor theme="0"/>
              <x14:negativeFillColor rgb="FFFF0000"/>
              <x14:axisColor rgb="FF000000"/>
            </x14:dataBar>
          </x14:cfRule>
          <xm:sqref>Y934 Y936</xm:sqref>
        </x14:conditionalFormatting>
        <x14:conditionalFormatting xmlns:xm="http://schemas.microsoft.com/office/excel/2006/main">
          <x14:cfRule type="dataBar" id="{01F01073-E009-4C04-908C-06B82C2B25F7}">
            <x14:dataBar minLength="0" maxLength="100" border="1" gradient="0">
              <x14:cfvo type="num">
                <xm:f>0</xm:f>
              </x14:cfvo>
              <x14:cfvo type="num">
                <xm:f>1</xm:f>
              </x14:cfvo>
              <x14:borderColor theme="0"/>
              <x14:negativeFillColor rgb="FFFF0000"/>
              <x14:axisColor rgb="FF000000"/>
            </x14:dataBar>
          </x14:cfRule>
          <xm:sqref>Y938</xm:sqref>
        </x14:conditionalFormatting>
        <x14:conditionalFormatting xmlns:xm="http://schemas.microsoft.com/office/excel/2006/main">
          <x14:cfRule type="dataBar" id="{63948F0F-A912-455B-BF04-29F9D724BEE7}">
            <x14:dataBar minLength="0" maxLength="100" border="1" gradient="0">
              <x14:cfvo type="num">
                <xm:f>0</xm:f>
              </x14:cfvo>
              <x14:cfvo type="num">
                <xm:f>1</xm:f>
              </x14:cfvo>
              <x14:borderColor theme="0"/>
              <x14:negativeFillColor rgb="FFFF0000"/>
              <x14:axisColor rgb="FF000000"/>
            </x14:dataBar>
          </x14:cfRule>
          <xm:sqref>Y941</xm:sqref>
        </x14:conditionalFormatting>
        <x14:conditionalFormatting xmlns:xm="http://schemas.microsoft.com/office/excel/2006/main">
          <x14:cfRule type="dataBar" id="{311D6735-FEB1-4DEA-A65B-BA31EA8E0105}">
            <x14:dataBar minLength="0" maxLength="100" border="1" gradient="0">
              <x14:cfvo type="num">
                <xm:f>0</xm:f>
              </x14:cfvo>
              <x14:cfvo type="num">
                <xm:f>1</xm:f>
              </x14:cfvo>
              <x14:borderColor theme="0"/>
              <x14:negativeFillColor rgb="FFFF0000"/>
              <x14:axisColor rgb="FF000000"/>
            </x14:dataBar>
          </x14:cfRule>
          <xm:sqref>Y943</xm:sqref>
        </x14:conditionalFormatting>
        <x14:conditionalFormatting xmlns:xm="http://schemas.microsoft.com/office/excel/2006/main">
          <x14:cfRule type="dataBar" id="{25917F5B-8D26-4574-B9EA-D0B6BFF817DF}">
            <x14:dataBar minLength="0" maxLength="100" border="1" gradient="0">
              <x14:cfvo type="num">
                <xm:f>0</xm:f>
              </x14:cfvo>
              <x14:cfvo type="num">
                <xm:f>1</xm:f>
              </x14:cfvo>
              <x14:borderColor theme="0"/>
              <x14:negativeFillColor rgb="FFFF0000"/>
              <x14:axisColor rgb="FF000000"/>
            </x14:dataBar>
          </x14:cfRule>
          <xm:sqref>Y945 Y947</xm:sqref>
        </x14:conditionalFormatting>
        <x14:conditionalFormatting xmlns:xm="http://schemas.microsoft.com/office/excel/2006/main">
          <x14:cfRule type="dataBar" id="{A2FFEAAA-47A1-40A5-8E6C-27BC3DBDD5A2}">
            <x14:dataBar minLength="0" maxLength="100" border="1" gradient="0">
              <x14:cfvo type="num">
                <xm:f>0</xm:f>
              </x14:cfvo>
              <x14:cfvo type="num">
                <xm:f>1</xm:f>
              </x14:cfvo>
              <x14:borderColor theme="0"/>
              <x14:negativeFillColor rgb="FFFF0000"/>
              <x14:axisColor rgb="FF000000"/>
            </x14:dataBar>
          </x14:cfRule>
          <xm:sqref>Y949</xm:sqref>
        </x14:conditionalFormatting>
        <x14:conditionalFormatting xmlns:xm="http://schemas.microsoft.com/office/excel/2006/main">
          <x14:cfRule type="dataBar" id="{AED99246-C6C4-4380-8B0D-874B1EB0EF34}">
            <x14:dataBar minLength="0" maxLength="100" border="1" gradient="0">
              <x14:cfvo type="num">
                <xm:f>0</xm:f>
              </x14:cfvo>
              <x14:cfvo type="num">
                <xm:f>1</xm:f>
              </x14:cfvo>
              <x14:borderColor theme="0"/>
              <x14:negativeFillColor rgb="FFFF0000"/>
              <x14:axisColor rgb="FF000000"/>
            </x14:dataBar>
          </x14:cfRule>
          <xm:sqref>Y951 Y953</xm:sqref>
        </x14:conditionalFormatting>
        <x14:conditionalFormatting xmlns:xm="http://schemas.microsoft.com/office/excel/2006/main">
          <x14:cfRule type="dataBar" id="{85D2A584-A1ED-4A01-A8E6-1BB8175A7A06}">
            <x14:dataBar minLength="0" maxLength="100" border="1" gradient="0">
              <x14:cfvo type="num">
                <xm:f>0</xm:f>
              </x14:cfvo>
              <x14:cfvo type="num">
                <xm:f>1</xm:f>
              </x14:cfvo>
              <x14:borderColor theme="0"/>
              <x14:negativeFillColor rgb="FFFF0000"/>
              <x14:axisColor rgb="FF000000"/>
            </x14:dataBar>
          </x14:cfRule>
          <xm:sqref>Y955</xm:sqref>
        </x14:conditionalFormatting>
        <x14:conditionalFormatting xmlns:xm="http://schemas.microsoft.com/office/excel/2006/main">
          <x14:cfRule type="dataBar" id="{707C8911-6DFE-48F1-9DF5-1B3914324AE7}">
            <x14:dataBar minLength="0" maxLength="100" border="1" gradient="0">
              <x14:cfvo type="num">
                <xm:f>0</xm:f>
              </x14:cfvo>
              <x14:cfvo type="num">
                <xm:f>1</xm:f>
              </x14:cfvo>
              <x14:borderColor theme="0"/>
              <x14:negativeFillColor rgb="FFFF0000"/>
              <x14:axisColor rgb="FF000000"/>
            </x14:dataBar>
          </x14:cfRule>
          <xm:sqref>Y957 Y959</xm:sqref>
        </x14:conditionalFormatting>
        <x14:conditionalFormatting xmlns:xm="http://schemas.microsoft.com/office/excel/2006/main">
          <x14:cfRule type="dataBar" id="{3A076C59-2C4C-4AE5-AECC-EEACF364F674}">
            <x14:dataBar minLength="0" maxLength="100" border="1" gradient="0">
              <x14:cfvo type="num">
                <xm:f>0</xm:f>
              </x14:cfvo>
              <x14:cfvo type="num">
                <xm:f>1</xm:f>
              </x14:cfvo>
              <x14:borderColor theme="0"/>
              <x14:negativeFillColor rgb="FFFF0000"/>
              <x14:axisColor rgb="FF000000"/>
            </x14:dataBar>
          </x14:cfRule>
          <xm:sqref>Y961</xm:sqref>
        </x14:conditionalFormatting>
        <x14:conditionalFormatting xmlns:xm="http://schemas.microsoft.com/office/excel/2006/main">
          <x14:cfRule type="dataBar" id="{827D51F8-8C04-445E-9933-003B997D0789}">
            <x14:dataBar minLength="0" maxLength="100" border="1" gradient="0">
              <x14:cfvo type="num">
                <xm:f>0</xm:f>
              </x14:cfvo>
              <x14:cfvo type="num">
                <xm:f>1</xm:f>
              </x14:cfvo>
              <x14:borderColor theme="0"/>
              <x14:negativeFillColor rgb="FFFF0000"/>
              <x14:axisColor rgb="FF000000"/>
            </x14:dataBar>
          </x14:cfRule>
          <xm:sqref>Y963 Y965</xm:sqref>
        </x14:conditionalFormatting>
        <x14:conditionalFormatting xmlns:xm="http://schemas.microsoft.com/office/excel/2006/main">
          <x14:cfRule type="dataBar" id="{D52B7167-EE76-4ABB-89DA-FE03CAA8ED7E}">
            <x14:dataBar minLength="0" maxLength="100" border="1" gradient="0">
              <x14:cfvo type="num">
                <xm:f>0</xm:f>
              </x14:cfvo>
              <x14:cfvo type="num">
                <xm:f>1</xm:f>
              </x14:cfvo>
              <x14:borderColor theme="0"/>
              <x14:negativeFillColor rgb="FFFF0000"/>
              <x14:axisColor rgb="FF000000"/>
            </x14:dataBar>
          </x14:cfRule>
          <xm:sqref>Y967</xm:sqref>
        </x14:conditionalFormatting>
        <x14:conditionalFormatting xmlns:xm="http://schemas.microsoft.com/office/excel/2006/main">
          <x14:cfRule type="dataBar" id="{B70E6EAC-0687-4E1B-B6F6-F84DE3BD233E}">
            <x14:dataBar minLength="0" maxLength="100" border="1" gradient="0">
              <x14:cfvo type="num">
                <xm:f>0</xm:f>
              </x14:cfvo>
              <x14:cfvo type="num">
                <xm:f>1</xm:f>
              </x14:cfvo>
              <x14:borderColor theme="0"/>
              <x14:negativeFillColor rgb="FFFF0000"/>
              <x14:axisColor rgb="FF000000"/>
            </x14:dataBar>
          </x14:cfRule>
          <xm:sqref>Y971</xm:sqref>
        </x14:conditionalFormatting>
        <x14:conditionalFormatting xmlns:xm="http://schemas.microsoft.com/office/excel/2006/main">
          <x14:cfRule type="dataBar" id="{F20F6605-E78D-4FEB-8C9A-A56108DDFD05}">
            <x14:dataBar minLength="0" maxLength="100" border="1" gradient="0">
              <x14:cfvo type="num">
                <xm:f>0</xm:f>
              </x14:cfvo>
              <x14:cfvo type="num">
                <xm:f>1</xm:f>
              </x14:cfvo>
              <x14:borderColor theme="0"/>
              <x14:negativeFillColor rgb="FFFF0000"/>
              <x14:axisColor rgb="FF000000"/>
            </x14:dataBar>
          </x14:cfRule>
          <xm:sqref>Y973</xm:sqref>
        </x14:conditionalFormatting>
        <x14:conditionalFormatting xmlns:xm="http://schemas.microsoft.com/office/excel/2006/main">
          <x14:cfRule type="dataBar" id="{E55C30DC-5521-47E3-AEBF-D146440686D0}">
            <x14:dataBar minLength="0" maxLength="100" border="1" gradient="0">
              <x14:cfvo type="num">
                <xm:f>0</xm:f>
              </x14:cfvo>
              <x14:cfvo type="num">
                <xm:f>1</xm:f>
              </x14:cfvo>
              <x14:borderColor theme="0"/>
              <x14:negativeFillColor rgb="FFFF0000"/>
              <x14:axisColor rgb="FF000000"/>
            </x14:dataBar>
          </x14:cfRule>
          <xm:sqref>Y975 Y977</xm:sqref>
        </x14:conditionalFormatting>
        <x14:conditionalFormatting xmlns:xm="http://schemas.microsoft.com/office/excel/2006/main">
          <x14:cfRule type="dataBar" id="{30B30F1F-665E-49FB-8E26-109D16E5FF47}">
            <x14:dataBar minLength="0" maxLength="100" border="1" gradient="0">
              <x14:cfvo type="num">
                <xm:f>0</xm:f>
              </x14:cfvo>
              <x14:cfvo type="num">
                <xm:f>1</xm:f>
              </x14:cfvo>
              <x14:borderColor theme="0"/>
              <x14:negativeFillColor rgb="FFFF0000"/>
              <x14:axisColor rgb="FF000000"/>
            </x14:dataBar>
          </x14:cfRule>
          <xm:sqref>Y979</xm:sqref>
        </x14:conditionalFormatting>
        <x14:conditionalFormatting xmlns:xm="http://schemas.microsoft.com/office/excel/2006/main">
          <x14:cfRule type="dataBar" id="{80A98242-D5A1-4BA8-A0DE-3CB977FA7077}">
            <x14:dataBar minLength="0" maxLength="100" border="1" gradient="0">
              <x14:cfvo type="num">
                <xm:f>0</xm:f>
              </x14:cfvo>
              <x14:cfvo type="num">
                <xm:f>1</xm:f>
              </x14:cfvo>
              <x14:borderColor theme="0"/>
              <x14:negativeFillColor rgb="FFFF0000"/>
              <x14:axisColor rgb="FF000000"/>
            </x14:dataBar>
          </x14:cfRule>
          <xm:sqref>Y981 Y983</xm:sqref>
        </x14:conditionalFormatting>
        <x14:conditionalFormatting xmlns:xm="http://schemas.microsoft.com/office/excel/2006/main">
          <x14:cfRule type="dataBar" id="{EA7EF3AC-B388-442F-A6CD-6F8A4A5E1466}">
            <x14:dataBar minLength="0" maxLength="100" border="1" gradient="0">
              <x14:cfvo type="num">
                <xm:f>0</xm:f>
              </x14:cfvo>
              <x14:cfvo type="num">
                <xm:f>1</xm:f>
              </x14:cfvo>
              <x14:borderColor theme="0"/>
              <x14:negativeFillColor rgb="FFFF0000"/>
              <x14:axisColor rgb="FF000000"/>
            </x14:dataBar>
          </x14:cfRule>
          <xm:sqref>Y985</xm:sqref>
        </x14:conditionalFormatting>
        <x14:conditionalFormatting xmlns:xm="http://schemas.microsoft.com/office/excel/2006/main">
          <x14:cfRule type="dataBar" id="{4FE6D372-FE30-44E1-BC03-83BC5DF678FD}">
            <x14:dataBar minLength="0" maxLength="100" border="1" gradient="0">
              <x14:cfvo type="num">
                <xm:f>0</xm:f>
              </x14:cfvo>
              <x14:cfvo type="num">
                <xm:f>1</xm:f>
              </x14:cfvo>
              <x14:borderColor theme="0"/>
              <x14:negativeFillColor rgb="FFFF0000"/>
              <x14:axisColor rgb="FF000000"/>
            </x14:dataBar>
          </x14:cfRule>
          <xm:sqref>Y987 Y989</xm:sqref>
        </x14:conditionalFormatting>
        <x14:conditionalFormatting xmlns:xm="http://schemas.microsoft.com/office/excel/2006/main">
          <x14:cfRule type="dataBar" id="{AE1BBC6E-3CF5-4E94-B646-E03AC6945A97}">
            <x14:dataBar minLength="0" maxLength="100" border="1" gradient="0">
              <x14:cfvo type="num">
                <xm:f>0</xm:f>
              </x14:cfvo>
              <x14:cfvo type="num">
                <xm:f>1</xm:f>
              </x14:cfvo>
              <x14:borderColor theme="0"/>
              <x14:negativeFillColor rgb="FFFF0000"/>
              <x14:axisColor rgb="FF000000"/>
            </x14:dataBar>
          </x14:cfRule>
          <xm:sqref>Y991</xm:sqref>
        </x14:conditionalFormatting>
        <x14:conditionalFormatting xmlns:xm="http://schemas.microsoft.com/office/excel/2006/main">
          <x14:cfRule type="dataBar" id="{3B5C87C0-2275-4013-BDF1-4EC926BF5E27}">
            <x14:dataBar minLength="0" maxLength="100" border="1" gradient="0">
              <x14:cfvo type="num">
                <xm:f>0</xm:f>
              </x14:cfvo>
              <x14:cfvo type="num">
                <xm:f>1</xm:f>
              </x14:cfvo>
              <x14:borderColor theme="0"/>
              <x14:negativeFillColor rgb="FFFF0000"/>
              <x14:axisColor rgb="FF000000"/>
            </x14:dataBar>
          </x14:cfRule>
          <xm:sqref>Y994</xm:sqref>
        </x14:conditionalFormatting>
        <x14:conditionalFormatting xmlns:xm="http://schemas.microsoft.com/office/excel/2006/main">
          <x14:cfRule type="dataBar" id="{00C3760C-50AA-4C9C-93A3-82F770632ABD}">
            <x14:dataBar minLength="0" maxLength="100" border="1" gradient="0">
              <x14:cfvo type="num">
                <xm:f>0</xm:f>
              </x14:cfvo>
              <x14:cfvo type="num">
                <xm:f>1</xm:f>
              </x14:cfvo>
              <x14:borderColor theme="0"/>
              <x14:negativeFillColor rgb="FFFF0000"/>
              <x14:axisColor rgb="FF000000"/>
            </x14:dataBar>
          </x14:cfRule>
          <xm:sqref>Y997</xm:sqref>
        </x14:conditionalFormatting>
        <x14:conditionalFormatting xmlns:xm="http://schemas.microsoft.com/office/excel/2006/main">
          <x14:cfRule type="dataBar" id="{7FC5214F-A4D1-4A18-A7C3-7434F8D22B03}">
            <x14:dataBar minLength="0" maxLength="100" border="1" gradient="0">
              <x14:cfvo type="num">
                <xm:f>0</xm:f>
              </x14:cfvo>
              <x14:cfvo type="num">
                <xm:f>1</xm:f>
              </x14:cfvo>
              <x14:borderColor theme="0"/>
              <x14:negativeFillColor rgb="FFFF0000"/>
              <x14:axisColor rgb="FF000000"/>
            </x14:dataBar>
          </x14:cfRule>
          <xm:sqref>Y999 Y1001 Y1003</xm:sqref>
        </x14:conditionalFormatting>
        <x14:conditionalFormatting xmlns:xm="http://schemas.microsoft.com/office/excel/2006/main">
          <x14:cfRule type="dataBar" id="{024C6910-F92A-455D-B7FC-F65002F01B4E}">
            <x14:dataBar minLength="0" maxLength="100" border="1" gradient="0">
              <x14:cfvo type="num">
                <xm:f>0</xm:f>
              </x14:cfvo>
              <x14:cfvo type="num">
                <xm:f>1</xm:f>
              </x14:cfvo>
              <x14:borderColor theme="0"/>
              <x14:negativeFillColor rgb="FFFF0000"/>
              <x14:axisColor rgb="FF000000"/>
            </x14:dataBar>
          </x14:cfRule>
          <xm:sqref>Y1005</xm:sqref>
        </x14:conditionalFormatting>
        <x14:conditionalFormatting xmlns:xm="http://schemas.microsoft.com/office/excel/2006/main">
          <x14:cfRule type="dataBar" id="{FA44DABD-B706-4681-9688-7C52D37043FA}">
            <x14:dataBar minLength="0" maxLength="100" border="1" gradient="0">
              <x14:cfvo type="num">
                <xm:f>0</xm:f>
              </x14:cfvo>
              <x14:cfvo type="num">
                <xm:f>1</xm:f>
              </x14:cfvo>
              <x14:borderColor theme="0"/>
              <x14:negativeFillColor rgb="FFFF0000"/>
              <x14:axisColor rgb="FF000000"/>
            </x14:dataBar>
          </x14:cfRule>
          <xm:sqref>Y1007</xm:sqref>
        </x14:conditionalFormatting>
        <x14:conditionalFormatting xmlns:xm="http://schemas.microsoft.com/office/excel/2006/main">
          <x14:cfRule type="dataBar" id="{F45FE257-262E-4C5B-B5B1-9F6B09299397}">
            <x14:dataBar minLength="0" maxLength="100" border="1" gradient="0">
              <x14:cfvo type="num">
                <xm:f>0</xm:f>
              </x14:cfvo>
              <x14:cfvo type="num">
                <xm:f>1</xm:f>
              </x14:cfvo>
              <x14:borderColor theme="0"/>
              <x14:negativeFillColor rgb="FFFF0000"/>
              <x14:axisColor rgb="FF000000"/>
            </x14:dataBar>
          </x14:cfRule>
          <xm:sqref>Y1009</xm:sqref>
        </x14:conditionalFormatting>
        <x14:conditionalFormatting xmlns:xm="http://schemas.microsoft.com/office/excel/2006/main">
          <x14:cfRule type="dataBar" id="{100F8AB4-B83E-40F4-B94A-A794643FBFC7}">
            <x14:dataBar minLength="0" maxLength="100" border="1" gradient="0">
              <x14:cfvo type="num">
                <xm:f>0</xm:f>
              </x14:cfvo>
              <x14:cfvo type="num">
                <xm:f>1</xm:f>
              </x14:cfvo>
              <x14:borderColor theme="0"/>
              <x14:negativeFillColor rgb="FFFF0000"/>
              <x14:axisColor rgb="FF000000"/>
            </x14:dataBar>
          </x14:cfRule>
          <xm:sqref>Y1011</xm:sqref>
        </x14:conditionalFormatting>
        <x14:conditionalFormatting xmlns:xm="http://schemas.microsoft.com/office/excel/2006/main">
          <x14:cfRule type="dataBar" id="{7D0F0375-FC65-4C09-829D-34C568D2BA48}">
            <x14:dataBar minLength="0" maxLength="100" border="1" gradient="0">
              <x14:cfvo type="num">
                <xm:f>0</xm:f>
              </x14:cfvo>
              <x14:cfvo type="num">
                <xm:f>1</xm:f>
              </x14:cfvo>
              <x14:borderColor theme="0"/>
              <x14:negativeFillColor rgb="FFFF0000"/>
              <x14:axisColor rgb="FF000000"/>
            </x14:dataBar>
          </x14:cfRule>
          <xm:sqref>Y1013</xm:sqref>
        </x14:conditionalFormatting>
        <x14:conditionalFormatting xmlns:xm="http://schemas.microsoft.com/office/excel/2006/main">
          <x14:cfRule type="dataBar" id="{BB1A59C0-B593-4810-A5E0-2ED508BDC9A6}">
            <x14:dataBar minLength="0" maxLength="100" border="1" gradient="0">
              <x14:cfvo type="num">
                <xm:f>0</xm:f>
              </x14:cfvo>
              <x14:cfvo type="num">
                <xm:f>1</xm:f>
              </x14:cfvo>
              <x14:borderColor theme="0"/>
              <x14:negativeFillColor rgb="FFFF0000"/>
              <x14:axisColor rgb="FF000000"/>
            </x14:dataBar>
          </x14:cfRule>
          <xm:sqref>Y1015</xm:sqref>
        </x14:conditionalFormatting>
        <x14:conditionalFormatting xmlns:xm="http://schemas.microsoft.com/office/excel/2006/main">
          <x14:cfRule type="dataBar" id="{D2E82101-111A-43F0-AB3B-6008BEF22C28}">
            <x14:dataBar minLength="0" maxLength="100" border="1" gradient="0">
              <x14:cfvo type="num">
                <xm:f>0</xm:f>
              </x14:cfvo>
              <x14:cfvo type="num">
                <xm:f>1</xm:f>
              </x14:cfvo>
              <x14:borderColor theme="0"/>
              <x14:negativeFillColor rgb="FFFF0000"/>
              <x14:axisColor rgb="FF000000"/>
            </x14:dataBar>
          </x14:cfRule>
          <xm:sqref>Y1017</xm:sqref>
        </x14:conditionalFormatting>
        <x14:conditionalFormatting xmlns:xm="http://schemas.microsoft.com/office/excel/2006/main">
          <x14:cfRule type="dataBar" id="{E662D9B2-BDC9-458F-83D3-6CE560899938}">
            <x14:dataBar minLength="0" maxLength="100" border="1" gradient="0">
              <x14:cfvo type="num">
                <xm:f>0</xm:f>
              </x14:cfvo>
              <x14:cfvo type="num">
                <xm:f>1</xm:f>
              </x14:cfvo>
              <x14:borderColor theme="0"/>
              <x14:negativeFillColor rgb="FFFF0000"/>
              <x14:axisColor rgb="FF000000"/>
            </x14:dataBar>
          </x14:cfRule>
          <xm:sqref>Y1020</xm:sqref>
        </x14:conditionalFormatting>
        <x14:conditionalFormatting xmlns:xm="http://schemas.microsoft.com/office/excel/2006/main">
          <x14:cfRule type="dataBar" id="{CA59A48B-6AEC-48D8-8EB1-04E7ED2EAC54}">
            <x14:dataBar minLength="0" maxLength="100" border="1" gradient="0">
              <x14:cfvo type="num">
                <xm:f>0</xm:f>
              </x14:cfvo>
              <x14:cfvo type="num">
                <xm:f>1</xm:f>
              </x14:cfvo>
              <x14:borderColor theme="0"/>
              <x14:negativeFillColor rgb="FFFF0000"/>
              <x14:axisColor rgb="FF000000"/>
            </x14:dataBar>
          </x14:cfRule>
          <xm:sqref>Y1022 Y1024 Y1026</xm:sqref>
        </x14:conditionalFormatting>
        <x14:conditionalFormatting xmlns:xm="http://schemas.microsoft.com/office/excel/2006/main">
          <x14:cfRule type="dataBar" id="{CD4F55C1-3C16-4318-B253-36D18BEE924F}">
            <x14:dataBar minLength="0" maxLength="100" border="1" gradient="0">
              <x14:cfvo type="num">
                <xm:f>0</xm:f>
              </x14:cfvo>
              <x14:cfvo type="num">
                <xm:f>1</xm:f>
              </x14:cfvo>
              <x14:borderColor theme="0"/>
              <x14:negativeFillColor rgb="FFFF0000"/>
              <x14:axisColor rgb="FF000000"/>
            </x14:dataBar>
          </x14:cfRule>
          <xm:sqref>Y1028 Y1030 Y1032</xm:sqref>
        </x14:conditionalFormatting>
        <x14:conditionalFormatting xmlns:xm="http://schemas.microsoft.com/office/excel/2006/main">
          <x14:cfRule type="dataBar" id="{126ACAA1-B0FB-4641-B252-BD9D7873A4C8}">
            <x14:dataBar minLength="0" maxLength="100" border="1" gradient="0">
              <x14:cfvo type="num">
                <xm:f>0</xm:f>
              </x14:cfvo>
              <x14:cfvo type="num">
                <xm:f>1</xm:f>
              </x14:cfvo>
              <x14:borderColor theme="0"/>
              <x14:negativeFillColor rgb="FFFF0000"/>
              <x14:axisColor rgb="FF000000"/>
            </x14:dataBar>
          </x14:cfRule>
          <xm:sqref>Y1034 Y1036 Y1038</xm:sqref>
        </x14:conditionalFormatting>
        <x14:conditionalFormatting xmlns:xm="http://schemas.microsoft.com/office/excel/2006/main">
          <x14:cfRule type="dataBar" id="{F58339CA-7D2B-4013-8845-77473F9E6822}">
            <x14:dataBar minLength="0" maxLength="100" border="1" gradient="0">
              <x14:cfvo type="num">
                <xm:f>0</xm:f>
              </x14:cfvo>
              <x14:cfvo type="num">
                <xm:f>1</xm:f>
              </x14:cfvo>
              <x14:borderColor theme="0"/>
              <x14:negativeFillColor rgb="FFFF0000"/>
              <x14:axisColor rgb="FF000000"/>
            </x14:dataBar>
          </x14:cfRule>
          <xm:sqref>Y1040 Y1042 Y1044</xm:sqref>
        </x14:conditionalFormatting>
        <x14:conditionalFormatting xmlns:xm="http://schemas.microsoft.com/office/excel/2006/main">
          <x14:cfRule type="dataBar" id="{11EEABF3-C593-4526-B5AD-A42C915982C4}">
            <x14:dataBar minLength="0" maxLength="100" border="1" gradient="0">
              <x14:cfvo type="num">
                <xm:f>0</xm:f>
              </x14:cfvo>
              <x14:cfvo type="num">
                <xm:f>1</xm:f>
              </x14:cfvo>
              <x14:borderColor theme="0"/>
              <x14:negativeFillColor rgb="FFFF0000"/>
              <x14:axisColor rgb="FF000000"/>
            </x14:dataBar>
          </x14:cfRule>
          <xm:sqref>Y1046 Y1048 Y1050</xm:sqref>
        </x14:conditionalFormatting>
        <x14:conditionalFormatting xmlns:xm="http://schemas.microsoft.com/office/excel/2006/main">
          <x14:cfRule type="dataBar" id="{8BB87850-3700-4CFB-9C93-7E63BD5B5476}">
            <x14:dataBar minLength="0" maxLength="100" border="1" gradient="0">
              <x14:cfvo type="num">
                <xm:f>0</xm:f>
              </x14:cfvo>
              <x14:cfvo type="num">
                <xm:f>1</xm:f>
              </x14:cfvo>
              <x14:borderColor theme="0"/>
              <x14:negativeFillColor rgb="FFFF0000"/>
              <x14:axisColor rgb="FF000000"/>
            </x14:dataBar>
          </x14:cfRule>
          <xm:sqref>Y1052 Y1054 Y1056</xm:sqref>
        </x14:conditionalFormatting>
        <x14:conditionalFormatting xmlns:xm="http://schemas.microsoft.com/office/excel/2006/main">
          <x14:cfRule type="dataBar" id="{95C86F16-7B69-4589-B351-23AA31C6505A}">
            <x14:dataBar minLength="0" maxLength="100" border="1" gradient="0">
              <x14:cfvo type="num">
                <xm:f>0</xm:f>
              </x14:cfvo>
              <x14:cfvo type="num">
                <xm:f>1</xm:f>
              </x14:cfvo>
              <x14:borderColor theme="0"/>
              <x14:negativeFillColor rgb="FFFF0000"/>
              <x14:axisColor rgb="FF000000"/>
            </x14:dataBar>
          </x14:cfRule>
          <xm:sqref>Y1058 Y1060 Y1062</xm:sqref>
        </x14:conditionalFormatting>
        <x14:conditionalFormatting xmlns:xm="http://schemas.microsoft.com/office/excel/2006/main">
          <x14:cfRule type="dataBar" id="{4E6AF255-2A95-476F-990C-4E61927540B5}">
            <x14:dataBar minLength="0" maxLength="100" border="1" gradient="0">
              <x14:cfvo type="num">
                <xm:f>0</xm:f>
              </x14:cfvo>
              <x14:cfvo type="num">
                <xm:f>1</xm:f>
              </x14:cfvo>
              <x14:borderColor theme="0"/>
              <x14:negativeFillColor rgb="FFFF0000"/>
              <x14:axisColor rgb="FF000000"/>
            </x14:dataBar>
          </x14:cfRule>
          <xm:sqref>Y1064 Y1066 Y1068</xm:sqref>
        </x14:conditionalFormatting>
        <x14:conditionalFormatting xmlns:xm="http://schemas.microsoft.com/office/excel/2006/main">
          <x14:cfRule type="dataBar" id="{8310EB32-1B2D-4928-869A-20EF1BCA4826}">
            <x14:dataBar minLength="0" maxLength="100" border="1" gradient="0">
              <x14:cfvo type="num">
                <xm:f>0</xm:f>
              </x14:cfvo>
              <x14:cfvo type="num">
                <xm:f>1</xm:f>
              </x14:cfvo>
              <x14:borderColor theme="0"/>
              <x14:negativeFillColor rgb="FFFF0000"/>
              <x14:axisColor rgb="FF000000"/>
            </x14:dataBar>
          </x14:cfRule>
          <xm:sqref>Y1070 Y1072 Y1074</xm:sqref>
        </x14:conditionalFormatting>
        <x14:conditionalFormatting xmlns:xm="http://schemas.microsoft.com/office/excel/2006/main">
          <x14:cfRule type="dataBar" id="{7323AEC5-40E3-46F7-A735-4A16F765215D}">
            <x14:dataBar minLength="0" maxLength="100" border="1" gradient="0">
              <x14:cfvo type="num">
                <xm:f>0</xm:f>
              </x14:cfvo>
              <x14:cfvo type="num">
                <xm:f>1</xm:f>
              </x14:cfvo>
              <x14:borderColor theme="0"/>
              <x14:negativeFillColor rgb="FFFF0000"/>
              <x14:axisColor rgb="FF000000"/>
            </x14:dataBar>
          </x14:cfRule>
          <xm:sqref>Y1076 Y1080</xm:sqref>
        </x14:conditionalFormatting>
        <x14:conditionalFormatting xmlns:xm="http://schemas.microsoft.com/office/excel/2006/main">
          <x14:cfRule type="dataBar" id="{AE1CF48A-AE24-48F5-BE41-A35A2F51B37F}">
            <x14:dataBar minLength="0" maxLength="100" border="1" gradient="0">
              <x14:cfvo type="num">
                <xm:f>0</xm:f>
              </x14:cfvo>
              <x14:cfvo type="num">
                <xm:f>1</xm:f>
              </x14:cfvo>
              <x14:borderColor theme="0"/>
              <x14:negativeFillColor rgb="FFFF0000"/>
              <x14:axisColor rgb="FF000000"/>
            </x14:dataBar>
          </x14:cfRule>
          <xm:sqref>Y1078</xm:sqref>
        </x14:conditionalFormatting>
        <x14:conditionalFormatting xmlns:xm="http://schemas.microsoft.com/office/excel/2006/main">
          <x14:cfRule type="dataBar" id="{FD677AA8-78D7-4B90-B475-6B0C83B81F1E}">
            <x14:dataBar minLength="0" maxLength="100" border="1" gradient="0">
              <x14:cfvo type="num">
                <xm:f>0</xm:f>
              </x14:cfvo>
              <x14:cfvo type="num">
                <xm:f>1</xm:f>
              </x14:cfvo>
              <x14:borderColor theme="0"/>
              <x14:negativeFillColor rgb="FFFF0000"/>
              <x14:axisColor rgb="FF000000"/>
            </x14:dataBar>
          </x14:cfRule>
          <xm:sqref>Y1082</xm:sqref>
        </x14:conditionalFormatting>
        <x14:conditionalFormatting xmlns:xm="http://schemas.microsoft.com/office/excel/2006/main">
          <x14:cfRule type="dataBar" id="{789598B8-81F2-473F-8C5E-C21F155E0FF3}">
            <x14:dataBar minLength="0" maxLength="100" border="1" gradient="0">
              <x14:cfvo type="num">
                <xm:f>0</xm:f>
              </x14:cfvo>
              <x14:cfvo type="num">
                <xm:f>1</xm:f>
              </x14:cfvo>
              <x14:borderColor theme="0"/>
              <x14:negativeFillColor rgb="FFFF0000"/>
              <x14:axisColor rgb="FF000000"/>
            </x14:dataBar>
          </x14:cfRule>
          <xm:sqref>Y1085</xm:sqref>
        </x14:conditionalFormatting>
        <x14:conditionalFormatting xmlns:xm="http://schemas.microsoft.com/office/excel/2006/main">
          <x14:cfRule type="dataBar" id="{2B4C3BAA-CB18-4613-B0B2-3DBF2E95E2FC}">
            <x14:dataBar minLength="0" maxLength="100" border="1" gradient="0">
              <x14:cfvo type="num">
                <xm:f>0</xm:f>
              </x14:cfvo>
              <x14:cfvo type="num">
                <xm:f>1</xm:f>
              </x14:cfvo>
              <x14:borderColor theme="0"/>
              <x14:negativeFillColor rgb="FFFF0000"/>
              <x14:axisColor rgb="FF000000"/>
            </x14:dataBar>
          </x14:cfRule>
          <xm:sqref>Y1087</xm:sqref>
        </x14:conditionalFormatting>
        <x14:conditionalFormatting xmlns:xm="http://schemas.microsoft.com/office/excel/2006/main">
          <x14:cfRule type="dataBar" id="{C902CEF0-4D45-41C6-BB1E-EE5ADC963770}">
            <x14:dataBar minLength="0" maxLength="100" border="1" gradient="0">
              <x14:cfvo type="num">
                <xm:f>0</xm:f>
              </x14:cfvo>
              <x14:cfvo type="num">
                <xm:f>1</xm:f>
              </x14:cfvo>
              <x14:borderColor theme="0"/>
              <x14:negativeFillColor rgb="FFFF0000"/>
              <x14:axisColor rgb="FF000000"/>
            </x14:dataBar>
          </x14:cfRule>
          <xm:sqref>Y1089 Y1091 Y1093 Y1095 Y1097 Y1099 Y1101 Y1103</xm:sqref>
        </x14:conditionalFormatting>
        <x14:conditionalFormatting xmlns:xm="http://schemas.microsoft.com/office/excel/2006/main">
          <x14:cfRule type="dataBar" id="{F9232A32-1176-4AAC-9839-3E94BC601F4F}">
            <x14:dataBar minLength="0" maxLength="100" border="1" gradient="0">
              <x14:cfvo type="num">
                <xm:f>0</xm:f>
              </x14:cfvo>
              <x14:cfvo type="num">
                <xm:f>1</xm:f>
              </x14:cfvo>
              <x14:borderColor theme="0"/>
              <x14:negativeFillColor rgb="FFFF0000"/>
              <x14:axisColor rgb="FF000000"/>
            </x14:dataBar>
          </x14:cfRule>
          <xm:sqref>Y1105 Y1107 Y1109 Y1111 Y1113 Y1115 Y1117</xm:sqref>
        </x14:conditionalFormatting>
        <x14:conditionalFormatting xmlns:xm="http://schemas.microsoft.com/office/excel/2006/main">
          <x14:cfRule type="dataBar" id="{D745D98C-1BB7-4F8D-95F2-EC0FCCC50E6F}">
            <x14:dataBar minLength="0" maxLength="100" border="1" gradient="0">
              <x14:cfvo type="num">
                <xm:f>0</xm:f>
              </x14:cfvo>
              <x14:cfvo type="num">
                <xm:f>1</xm:f>
              </x14:cfvo>
              <x14:borderColor theme="0"/>
              <x14:negativeFillColor rgb="FFFF0000"/>
              <x14:axisColor rgb="FF000000"/>
            </x14:dataBar>
          </x14:cfRule>
          <xm:sqref>Y1119</xm:sqref>
        </x14:conditionalFormatting>
        <x14:conditionalFormatting xmlns:xm="http://schemas.microsoft.com/office/excel/2006/main">
          <x14:cfRule type="dataBar" id="{3FD01770-05C3-46A8-B0A5-9A4238C8A4B6}">
            <x14:dataBar minLength="0" maxLength="100" border="1" gradient="0">
              <x14:cfvo type="num">
                <xm:f>0</xm:f>
              </x14:cfvo>
              <x14:cfvo type="num">
                <xm:f>1</xm:f>
              </x14:cfvo>
              <x14:borderColor theme="0"/>
              <x14:negativeFillColor rgb="FFFF0000"/>
              <x14:axisColor rgb="FF000000"/>
            </x14:dataBar>
          </x14:cfRule>
          <xm:sqref>Y1121</xm:sqref>
        </x14:conditionalFormatting>
        <x14:conditionalFormatting xmlns:xm="http://schemas.microsoft.com/office/excel/2006/main">
          <x14:cfRule type="dataBar" id="{028883B8-C277-4DC8-AA36-D927CB093829}">
            <x14:dataBar minLength="0" maxLength="100" border="1" gradient="0">
              <x14:cfvo type="num">
                <xm:f>0</xm:f>
              </x14:cfvo>
              <x14:cfvo type="num">
                <xm:f>1</xm:f>
              </x14:cfvo>
              <x14:borderColor theme="0"/>
              <x14:negativeFillColor rgb="FFFF0000"/>
              <x14:axisColor rgb="FF000000"/>
            </x14:dataBar>
          </x14:cfRule>
          <xm:sqref>Y1125</xm:sqref>
        </x14:conditionalFormatting>
        <x14:conditionalFormatting xmlns:xm="http://schemas.microsoft.com/office/excel/2006/main">
          <x14:cfRule type="dataBar" id="{42BF5404-C12D-478F-B78F-3AC32DDDE6C8}">
            <x14:dataBar minLength="0" maxLength="100" border="1" gradient="0">
              <x14:cfvo type="num">
                <xm:f>0</xm:f>
              </x14:cfvo>
              <x14:cfvo type="num">
                <xm:f>1</xm:f>
              </x14:cfvo>
              <x14:borderColor theme="0"/>
              <x14:negativeFillColor rgb="FFFF0000"/>
              <x14:axisColor rgb="FF000000"/>
            </x14:dataBar>
          </x14:cfRule>
          <xm:sqref>Y1128</xm:sqref>
        </x14:conditionalFormatting>
        <x14:conditionalFormatting xmlns:xm="http://schemas.microsoft.com/office/excel/2006/main">
          <x14:cfRule type="dataBar" id="{A034080F-4967-4115-871A-A785F5265E16}">
            <x14:dataBar minLength="0" maxLength="100" border="1" gradient="0">
              <x14:cfvo type="num">
                <xm:f>0</xm:f>
              </x14:cfvo>
              <x14:cfvo type="num">
                <xm:f>1</xm:f>
              </x14:cfvo>
              <x14:borderColor theme="0"/>
              <x14:negativeFillColor rgb="FFFF0000"/>
              <x14:axisColor rgb="FF000000"/>
            </x14:dataBar>
          </x14:cfRule>
          <xm:sqref>Y1130 Y1132 Y1134</xm:sqref>
        </x14:conditionalFormatting>
        <x14:conditionalFormatting xmlns:xm="http://schemas.microsoft.com/office/excel/2006/main">
          <x14:cfRule type="dataBar" id="{0F751899-E028-4397-91C7-F876FEFD733F}">
            <x14:dataBar minLength="0" maxLength="100" border="1" gradient="0">
              <x14:cfvo type="num">
                <xm:f>0</xm:f>
              </x14:cfvo>
              <x14:cfvo type="num">
                <xm:f>1</xm:f>
              </x14:cfvo>
              <x14:borderColor theme="0"/>
              <x14:negativeFillColor rgb="FFFF0000"/>
              <x14:axisColor rgb="FF000000"/>
            </x14:dataBar>
          </x14:cfRule>
          <xm:sqref>Y1136 Y1138</xm:sqref>
        </x14:conditionalFormatting>
        <x14:conditionalFormatting xmlns:xm="http://schemas.microsoft.com/office/excel/2006/main">
          <x14:cfRule type="dataBar" id="{EB33E597-586A-4D05-85BE-35809807EBE6}">
            <x14:dataBar minLength="0" maxLength="100" border="1" gradient="0">
              <x14:cfvo type="num">
                <xm:f>0</xm:f>
              </x14:cfvo>
              <x14:cfvo type="num">
                <xm:f>1</xm:f>
              </x14:cfvo>
              <x14:borderColor theme="0"/>
              <x14:negativeFillColor rgb="FFFF0000"/>
              <x14:axisColor rgb="FF000000"/>
            </x14:dataBar>
          </x14:cfRule>
          <xm:sqref>Y1140 Y1142 Y1144</xm:sqref>
        </x14:conditionalFormatting>
        <x14:conditionalFormatting xmlns:xm="http://schemas.microsoft.com/office/excel/2006/main">
          <x14:cfRule type="dataBar" id="{26A70DA1-D5A2-485B-8497-E564ADB9B0CF}">
            <x14:dataBar minLength="0" maxLength="100" border="1" gradient="0">
              <x14:cfvo type="num">
                <xm:f>0</xm:f>
              </x14:cfvo>
              <x14:cfvo type="num">
                <xm:f>1</xm:f>
              </x14:cfvo>
              <x14:borderColor theme="0"/>
              <x14:negativeFillColor rgb="FFFF0000"/>
              <x14:axisColor rgb="FF000000"/>
            </x14:dataBar>
          </x14:cfRule>
          <xm:sqref>Y1146 Y1148 Y1150</xm:sqref>
        </x14:conditionalFormatting>
        <x14:conditionalFormatting xmlns:xm="http://schemas.microsoft.com/office/excel/2006/main">
          <x14:cfRule type="dataBar" id="{15DD0D2A-EBFC-4585-BF79-122CAF87607E}">
            <x14:dataBar minLength="0" maxLength="100" border="1" gradient="0">
              <x14:cfvo type="num">
                <xm:f>0</xm:f>
              </x14:cfvo>
              <x14:cfvo type="num">
                <xm:f>1</xm:f>
              </x14:cfvo>
              <x14:borderColor theme="0"/>
              <x14:negativeFillColor rgb="FFFF0000"/>
              <x14:axisColor rgb="FF000000"/>
            </x14:dataBar>
          </x14:cfRule>
          <xm:sqref>Y1152 Y1154 Y1156</xm:sqref>
        </x14:conditionalFormatting>
        <x14:conditionalFormatting xmlns:xm="http://schemas.microsoft.com/office/excel/2006/main">
          <x14:cfRule type="dataBar" id="{622785E0-D974-4BE4-B609-54C01A98B084}">
            <x14:dataBar minLength="0" maxLength="100" border="1" gradient="0">
              <x14:cfvo type="num">
                <xm:f>0</xm:f>
              </x14:cfvo>
              <x14:cfvo type="num">
                <xm:f>1</xm:f>
              </x14:cfvo>
              <x14:borderColor theme="0"/>
              <x14:negativeFillColor rgb="FFFF0000"/>
              <x14:axisColor rgb="FF000000"/>
            </x14:dataBar>
          </x14:cfRule>
          <xm:sqref>Y1158 Y1160 Y1162</xm:sqref>
        </x14:conditionalFormatting>
        <x14:conditionalFormatting xmlns:xm="http://schemas.microsoft.com/office/excel/2006/main">
          <x14:cfRule type="dataBar" id="{5A1C2DB0-D3AF-4FCF-A914-D03C6B31CD8A}">
            <x14:dataBar minLength="0" maxLength="100" border="1" gradient="0">
              <x14:cfvo type="num">
                <xm:f>0</xm:f>
              </x14:cfvo>
              <x14:cfvo type="num">
                <xm:f>1</xm:f>
              </x14:cfvo>
              <x14:borderColor theme="0"/>
              <x14:negativeFillColor rgb="FFFF0000"/>
              <x14:axisColor rgb="FF000000"/>
            </x14:dataBar>
          </x14:cfRule>
          <xm:sqref>Y1164 Y1166 Y1168</xm:sqref>
        </x14:conditionalFormatting>
        <x14:conditionalFormatting xmlns:xm="http://schemas.microsoft.com/office/excel/2006/main">
          <x14:cfRule type="dataBar" id="{82BA3174-D5F0-4711-9FF5-4B2CCF6DCC95}">
            <x14:dataBar minLength="0" maxLength="100" border="1" gradient="0">
              <x14:cfvo type="num">
                <xm:f>0</xm:f>
              </x14:cfvo>
              <x14:cfvo type="num">
                <xm:f>1</xm:f>
              </x14:cfvo>
              <x14:borderColor theme="0"/>
              <x14:negativeFillColor rgb="FFFF0000"/>
              <x14:axisColor rgb="FF000000"/>
            </x14:dataBar>
          </x14:cfRule>
          <xm:sqref>Y1170 Y1172 Y1174</xm:sqref>
        </x14:conditionalFormatting>
        <x14:conditionalFormatting xmlns:xm="http://schemas.microsoft.com/office/excel/2006/main">
          <x14:cfRule type="dataBar" id="{49522515-95F9-41F8-9A49-FA2724A80042}">
            <x14:dataBar minLength="0" maxLength="100" border="1" gradient="0">
              <x14:cfvo type="num">
                <xm:f>0</xm:f>
              </x14:cfvo>
              <x14:cfvo type="num">
                <xm:f>1</xm:f>
              </x14:cfvo>
              <x14:borderColor theme="0"/>
              <x14:negativeFillColor rgb="FFFF0000"/>
              <x14:axisColor rgb="FF000000"/>
            </x14:dataBar>
          </x14:cfRule>
          <xm:sqref>Y1176 Y1178 Y1180</xm:sqref>
        </x14:conditionalFormatting>
        <x14:conditionalFormatting xmlns:xm="http://schemas.microsoft.com/office/excel/2006/main">
          <x14:cfRule type="dataBar" id="{4F4327DE-A9E1-428A-A0A0-0D93D4517AAD}">
            <x14:dataBar minLength="0" maxLength="100" border="1" gradient="0">
              <x14:cfvo type="num">
                <xm:f>0</xm:f>
              </x14:cfvo>
              <x14:cfvo type="num">
                <xm:f>1</xm:f>
              </x14:cfvo>
              <x14:borderColor theme="0"/>
              <x14:negativeFillColor rgb="FFFF0000"/>
              <x14:axisColor rgb="FF000000"/>
            </x14:dataBar>
          </x14:cfRule>
          <xm:sqref>Y1182 Y1184 Y1186</xm:sqref>
        </x14:conditionalFormatting>
        <x14:conditionalFormatting xmlns:xm="http://schemas.microsoft.com/office/excel/2006/main">
          <x14:cfRule type="dataBar" id="{2C93A75C-FE49-4CD0-8AE5-B92C5C2D6B38}">
            <x14:dataBar minLength="0" maxLength="100" border="1" gradient="0">
              <x14:cfvo type="num">
                <xm:f>0</xm:f>
              </x14:cfvo>
              <x14:cfvo type="num">
                <xm:f>1</xm:f>
              </x14:cfvo>
              <x14:borderColor theme="0"/>
              <x14:negativeFillColor rgb="FFFF0000"/>
              <x14:axisColor rgb="FF000000"/>
            </x14:dataBar>
          </x14:cfRule>
          <xm:sqref>Y1188 Y1190 Y1192</xm:sqref>
        </x14:conditionalFormatting>
        <x14:conditionalFormatting xmlns:xm="http://schemas.microsoft.com/office/excel/2006/main">
          <x14:cfRule type="dataBar" id="{F4538980-2E81-4E67-B1F6-AB8EEAD12A7A}">
            <x14:dataBar minLength="0" maxLength="100" border="1" gradient="0">
              <x14:cfvo type="num">
                <xm:f>0</xm:f>
              </x14:cfvo>
              <x14:cfvo type="num">
                <xm:f>1</xm:f>
              </x14:cfvo>
              <x14:borderColor theme="0"/>
              <x14:negativeFillColor rgb="FFFF0000"/>
              <x14:axisColor rgb="FF000000"/>
            </x14:dataBar>
          </x14:cfRule>
          <xm:sqref>Y1194 Y1196</xm:sqref>
        </x14:conditionalFormatting>
        <x14:conditionalFormatting xmlns:xm="http://schemas.microsoft.com/office/excel/2006/main">
          <x14:cfRule type="dataBar" id="{68E57855-1873-47E2-A92F-7AE3FD7DC8D4}">
            <x14:dataBar minLength="0" maxLength="100" border="1" gradient="0">
              <x14:cfvo type="num">
                <xm:f>0</xm:f>
              </x14:cfvo>
              <x14:cfvo type="num">
                <xm:f>1</xm:f>
              </x14:cfvo>
              <x14:borderColor theme="0"/>
              <x14:negativeFillColor rgb="FFFF0000"/>
              <x14:axisColor rgb="FF000000"/>
            </x14:dataBar>
          </x14:cfRule>
          <xm:sqref>Y1199</xm:sqref>
        </x14:conditionalFormatting>
        <x14:conditionalFormatting xmlns:xm="http://schemas.microsoft.com/office/excel/2006/main">
          <x14:cfRule type="dataBar" id="{1FABBC6A-C8B0-4E15-964A-7D7A1E1A4ADF}">
            <x14:dataBar minLength="0" maxLength="100" border="1" gradient="0">
              <x14:cfvo type="num">
                <xm:f>0</xm:f>
              </x14:cfvo>
              <x14:cfvo type="num">
                <xm:f>1</xm:f>
              </x14:cfvo>
              <x14:borderColor theme="0"/>
              <x14:negativeFillColor rgb="FFFF0000"/>
              <x14:axisColor rgb="FF000000"/>
            </x14:dataBar>
          </x14:cfRule>
          <xm:sqref>Y1201</xm:sqref>
        </x14:conditionalFormatting>
        <x14:conditionalFormatting xmlns:xm="http://schemas.microsoft.com/office/excel/2006/main">
          <x14:cfRule type="dataBar" id="{1927EB59-2ABD-46E6-ABA8-7122C9916117}">
            <x14:dataBar minLength="0" maxLength="100" border="1" gradient="0">
              <x14:cfvo type="num">
                <xm:f>0</xm:f>
              </x14:cfvo>
              <x14:cfvo type="num">
                <xm:f>1</xm:f>
              </x14:cfvo>
              <x14:borderColor theme="0"/>
              <x14:negativeFillColor rgb="FFFF0000"/>
              <x14:axisColor rgb="FF000000"/>
            </x14:dataBar>
          </x14:cfRule>
          <xm:sqref>Y1203 Y1205 Y1207 Y1209 Y1211 Y1213</xm:sqref>
        </x14:conditionalFormatting>
        <x14:conditionalFormatting xmlns:xm="http://schemas.microsoft.com/office/excel/2006/main">
          <x14:cfRule type="dataBar" id="{D8A71400-F9E2-4B37-A2E1-4E4BBA1B07DC}">
            <x14:dataBar minLength="0" maxLength="100" border="1" gradient="0">
              <x14:cfvo type="num">
                <xm:f>0</xm:f>
              </x14:cfvo>
              <x14:cfvo type="num">
                <xm:f>1</xm:f>
              </x14:cfvo>
              <x14:borderColor theme="0"/>
              <x14:negativeFillColor rgb="FFFF0000"/>
              <x14:axisColor rgb="FF000000"/>
            </x14:dataBar>
          </x14:cfRule>
          <xm:sqref>Y1215 Y1217 Y1219 Y1221 Y1223 Y1225</xm:sqref>
        </x14:conditionalFormatting>
        <x14:conditionalFormatting xmlns:xm="http://schemas.microsoft.com/office/excel/2006/main">
          <x14:cfRule type="dataBar" id="{5349587D-163A-4AF5-8852-B1016C9114F0}">
            <x14:dataBar minLength="0" maxLength="100" border="1" gradient="0">
              <x14:cfvo type="num">
                <xm:f>0</xm:f>
              </x14:cfvo>
              <x14:cfvo type="num">
                <xm:f>1</xm:f>
              </x14:cfvo>
              <x14:borderColor theme="0"/>
              <x14:negativeFillColor rgb="FFFF0000"/>
              <x14:axisColor rgb="FF000000"/>
            </x14:dataBar>
          </x14:cfRule>
          <xm:sqref>Y1227</xm:sqref>
        </x14:conditionalFormatting>
        <x14:conditionalFormatting xmlns:xm="http://schemas.microsoft.com/office/excel/2006/main">
          <x14:cfRule type="dataBar" id="{C6D6AA1C-958A-4317-8580-7F8FA1E7626B}">
            <x14:dataBar minLength="0" maxLength="100" border="1" gradient="0">
              <x14:cfvo type="num">
                <xm:f>0</xm:f>
              </x14:cfvo>
              <x14:cfvo type="num">
                <xm:f>1</xm:f>
              </x14:cfvo>
              <x14:borderColor theme="0"/>
              <x14:negativeFillColor rgb="FFFF0000"/>
              <x14:axisColor rgb="FF000000"/>
            </x14:dataBar>
          </x14:cfRule>
          <xm:sqref>Y1229 Y1231 Y1233 Y1235 Y1237 Y1239</xm:sqref>
        </x14:conditionalFormatting>
        <x14:conditionalFormatting xmlns:xm="http://schemas.microsoft.com/office/excel/2006/main">
          <x14:cfRule type="dataBar" id="{7118C7E9-1A8A-4A2C-907A-59F25108CA09}">
            <x14:dataBar minLength="0" maxLength="100" border="1" gradient="0">
              <x14:cfvo type="num">
                <xm:f>0</xm:f>
              </x14:cfvo>
              <x14:cfvo type="num">
                <xm:f>1</xm:f>
              </x14:cfvo>
              <x14:borderColor theme="0"/>
              <x14:negativeFillColor rgb="FFFF0000"/>
              <x14:axisColor rgb="FF000000"/>
            </x14:dataBar>
          </x14:cfRule>
          <xm:sqref>Y1241 Y1243 Y1245 Y1247 Y1249 Y1251</xm:sqref>
        </x14:conditionalFormatting>
        <x14:conditionalFormatting xmlns:xm="http://schemas.microsoft.com/office/excel/2006/main">
          <x14:cfRule type="dataBar" id="{FA4AEA61-5914-4A84-A5F9-47969811EE85}">
            <x14:dataBar minLength="0" maxLength="100" border="1" gradient="0">
              <x14:cfvo type="num">
                <xm:f>0</xm:f>
              </x14:cfvo>
              <x14:cfvo type="num">
                <xm:f>1</xm:f>
              </x14:cfvo>
              <x14:borderColor theme="0"/>
              <x14:negativeFillColor rgb="FFFF0000"/>
              <x14:axisColor rgb="FF000000"/>
            </x14:dataBar>
          </x14:cfRule>
          <xm:sqref>Y1253</xm:sqref>
        </x14:conditionalFormatting>
        <x14:conditionalFormatting xmlns:xm="http://schemas.microsoft.com/office/excel/2006/main">
          <x14:cfRule type="dataBar" id="{E8044921-8A61-47AB-8426-52A51F92D296}">
            <x14:dataBar minLength="0" maxLength="100" border="1" gradient="0">
              <x14:cfvo type="num">
                <xm:f>0</xm:f>
              </x14:cfvo>
              <x14:cfvo type="num">
                <xm:f>1</xm:f>
              </x14:cfvo>
              <x14:borderColor theme="0"/>
              <x14:negativeFillColor rgb="FFFF0000"/>
              <x14:axisColor rgb="FF000000"/>
            </x14:dataBar>
          </x14:cfRule>
          <xm:sqref>Y1255 Y1257 Y1259 Y1261 Y1263 Y1265</xm:sqref>
        </x14:conditionalFormatting>
        <x14:conditionalFormatting xmlns:xm="http://schemas.microsoft.com/office/excel/2006/main">
          <x14:cfRule type="dataBar" id="{494A491F-C412-408A-AB41-57EF5210DD67}">
            <x14:dataBar minLength="0" maxLength="100" border="1" gradient="0">
              <x14:cfvo type="num">
                <xm:f>0</xm:f>
              </x14:cfvo>
              <x14:cfvo type="num">
                <xm:f>1</xm:f>
              </x14:cfvo>
              <x14:borderColor theme="0"/>
              <x14:negativeFillColor rgb="FFFF0000"/>
              <x14:axisColor rgb="FF000000"/>
            </x14:dataBar>
          </x14:cfRule>
          <xm:sqref>Y1267 Y1269 Y1271 Y1273 Y1275 Y1277</xm:sqref>
        </x14:conditionalFormatting>
        <x14:conditionalFormatting xmlns:xm="http://schemas.microsoft.com/office/excel/2006/main">
          <x14:cfRule type="dataBar" id="{328B88BF-62E2-4B7B-8C66-9AD22CCD19CF}">
            <x14:dataBar minLength="0" maxLength="100" border="1" gradient="0">
              <x14:cfvo type="num">
                <xm:f>0</xm:f>
              </x14:cfvo>
              <x14:cfvo type="num">
                <xm:f>1</xm:f>
              </x14:cfvo>
              <x14:borderColor theme="0"/>
              <x14:negativeFillColor rgb="FFFF0000"/>
              <x14:axisColor rgb="FF000000"/>
            </x14:dataBar>
          </x14:cfRule>
          <xm:sqref>Y1279</xm:sqref>
        </x14:conditionalFormatting>
        <x14:conditionalFormatting xmlns:xm="http://schemas.microsoft.com/office/excel/2006/main">
          <x14:cfRule type="dataBar" id="{80A707C9-FA2E-441F-B10D-B71A20F37344}">
            <x14:dataBar minLength="0" maxLength="100" border="1" gradient="0">
              <x14:cfvo type="num">
                <xm:f>0</xm:f>
              </x14:cfvo>
              <x14:cfvo type="num">
                <xm:f>1</xm:f>
              </x14:cfvo>
              <x14:borderColor theme="0"/>
              <x14:negativeFillColor rgb="FFFF0000"/>
              <x14:axisColor rgb="FF000000"/>
            </x14:dataBar>
          </x14:cfRule>
          <xm:sqref>Y1281 Y1283 Y1285 Y1287 Y1289 Y1291</xm:sqref>
        </x14:conditionalFormatting>
        <x14:conditionalFormatting xmlns:xm="http://schemas.microsoft.com/office/excel/2006/main">
          <x14:cfRule type="dataBar" id="{E0EF1396-587C-4F2E-BF71-59C8B5BA4E1C}">
            <x14:dataBar minLength="0" maxLength="100" border="1" gradient="0">
              <x14:cfvo type="num">
                <xm:f>0</xm:f>
              </x14:cfvo>
              <x14:cfvo type="num">
                <xm:f>1</xm:f>
              </x14:cfvo>
              <x14:borderColor theme="0"/>
              <x14:negativeFillColor rgb="FFFF0000"/>
              <x14:axisColor rgb="FF000000"/>
            </x14:dataBar>
          </x14:cfRule>
          <xm:sqref>Y1293 Y1295 Y1297 Y1299 Y1301 Y1303</xm:sqref>
        </x14:conditionalFormatting>
        <x14:conditionalFormatting xmlns:xm="http://schemas.microsoft.com/office/excel/2006/main">
          <x14:cfRule type="dataBar" id="{D9E384D3-4CA5-4663-A256-80EEC48F4622}">
            <x14:dataBar minLength="0" maxLength="100" border="1" gradient="0">
              <x14:cfvo type="num">
                <xm:f>0</xm:f>
              </x14:cfvo>
              <x14:cfvo type="num">
                <xm:f>1</xm:f>
              </x14:cfvo>
              <x14:borderColor theme="0"/>
              <x14:negativeFillColor rgb="FFFF0000"/>
              <x14:axisColor rgb="FF000000"/>
            </x14:dataBar>
          </x14:cfRule>
          <xm:sqref>Y1305 Y1307 Y1309 Y1311 Y1313</xm:sqref>
        </x14:conditionalFormatting>
        <x14:conditionalFormatting xmlns:xm="http://schemas.microsoft.com/office/excel/2006/main">
          <x14:cfRule type="dataBar" id="{516ECF20-097E-4979-A10B-376DDEFEB07C}">
            <x14:dataBar minLength="0" maxLength="100" border="1" gradient="0">
              <x14:cfvo type="num">
                <xm:f>0</xm:f>
              </x14:cfvo>
              <x14:cfvo type="num">
                <xm:f>1</xm:f>
              </x14:cfvo>
              <x14:borderColor theme="0"/>
              <x14:negativeFillColor rgb="FFFF0000"/>
              <x14:axisColor rgb="FF000000"/>
            </x14:dataBar>
          </x14:cfRule>
          <xm:sqref>Y1315 Y1317 Y1319 Y1321 Y1323 Y1325</xm:sqref>
        </x14:conditionalFormatting>
        <x14:conditionalFormatting xmlns:xm="http://schemas.microsoft.com/office/excel/2006/main">
          <x14:cfRule type="dataBar" id="{7DB9D2F7-98CA-4EED-B2FB-99E4E192D586}">
            <x14:dataBar minLength="0" maxLength="100" border="1" gradient="0">
              <x14:cfvo type="num">
                <xm:f>0</xm:f>
              </x14:cfvo>
              <x14:cfvo type="num">
                <xm:f>1</xm:f>
              </x14:cfvo>
              <x14:borderColor theme="0"/>
              <x14:negativeFillColor rgb="FFFF0000"/>
              <x14:axisColor rgb="FF000000"/>
            </x14:dataBar>
          </x14:cfRule>
          <xm:sqref>Y1327 Y1329 Y1331 Y1333 Y1335</xm:sqref>
        </x14:conditionalFormatting>
        <x14:conditionalFormatting xmlns:xm="http://schemas.microsoft.com/office/excel/2006/main">
          <x14:cfRule type="dataBar" id="{8A2308C8-6DE9-4948-BF2E-83FBEBD4A568}">
            <x14:dataBar minLength="0" maxLength="100" border="1" gradient="0">
              <x14:cfvo type="num">
                <xm:f>0</xm:f>
              </x14:cfvo>
              <x14:cfvo type="num">
                <xm:f>1</xm:f>
              </x14:cfvo>
              <x14:borderColor theme="0"/>
              <x14:negativeFillColor rgb="FFFF0000"/>
              <x14:axisColor rgb="FF000000"/>
            </x14:dataBar>
          </x14:cfRule>
          <xm:sqref>Y1337 Y1339 Y1341 Y1343 Y1345 Y1347</xm:sqref>
        </x14:conditionalFormatting>
        <x14:conditionalFormatting xmlns:xm="http://schemas.microsoft.com/office/excel/2006/main">
          <x14:cfRule type="dataBar" id="{E044F498-6A92-491D-9788-F3C158F39824}">
            <x14:dataBar minLength="0" maxLength="100" border="1" gradient="0">
              <x14:cfvo type="num">
                <xm:f>0</xm:f>
              </x14:cfvo>
              <x14:cfvo type="num">
                <xm:f>1</xm:f>
              </x14:cfvo>
              <x14:borderColor theme="0"/>
              <x14:negativeFillColor rgb="FFFF0000"/>
              <x14:axisColor rgb="FF000000"/>
            </x14:dataBar>
          </x14:cfRule>
          <xm:sqref>Y1349 Y1351 Y1353 Y1355</xm:sqref>
        </x14:conditionalFormatting>
        <x14:conditionalFormatting xmlns:xm="http://schemas.microsoft.com/office/excel/2006/main">
          <x14:cfRule type="dataBar" id="{56A172C2-BCA0-4E67-9C72-3EB9D55BBDA7}">
            <x14:dataBar minLength="0" maxLength="100" border="1" gradient="0">
              <x14:cfvo type="num">
                <xm:f>0</xm:f>
              </x14:cfvo>
              <x14:cfvo type="num">
                <xm:f>1</xm:f>
              </x14:cfvo>
              <x14:borderColor theme="0"/>
              <x14:negativeFillColor rgb="FFFF0000"/>
              <x14:axisColor rgb="FF000000"/>
            </x14:dataBar>
          </x14:cfRule>
          <xm:sqref>Y1357</xm:sqref>
        </x14:conditionalFormatting>
        <x14:conditionalFormatting xmlns:xm="http://schemas.microsoft.com/office/excel/2006/main">
          <x14:cfRule type="dataBar" id="{26F39EDC-E10F-45A1-A900-0189DF22F699}">
            <x14:dataBar minLength="0" maxLength="100" border="1" gradient="0">
              <x14:cfvo type="num">
                <xm:f>0</xm:f>
              </x14:cfvo>
              <x14:cfvo type="num">
                <xm:f>1</xm:f>
              </x14:cfvo>
              <x14:borderColor theme="0"/>
              <x14:negativeFillColor rgb="FFFF0000"/>
              <x14:axisColor rgb="FF000000"/>
            </x14:dataBar>
          </x14:cfRule>
          <xm:sqref>Y1359</xm:sqref>
        </x14:conditionalFormatting>
        <x14:conditionalFormatting xmlns:xm="http://schemas.microsoft.com/office/excel/2006/main">
          <x14:cfRule type="dataBar" id="{EADA4140-74A7-49D1-9E8F-6EAA8AD3921A}">
            <x14:dataBar minLength="0" maxLength="100" border="1" gradient="0">
              <x14:cfvo type="num">
                <xm:f>0</xm:f>
              </x14:cfvo>
              <x14:cfvo type="num">
                <xm:f>1</xm:f>
              </x14:cfvo>
              <x14:borderColor theme="0"/>
              <x14:negativeFillColor rgb="FFFF0000"/>
              <x14:axisColor rgb="FF000000"/>
            </x14:dataBar>
          </x14:cfRule>
          <xm:sqref>Y1362</xm:sqref>
        </x14:conditionalFormatting>
        <x14:conditionalFormatting xmlns:xm="http://schemas.microsoft.com/office/excel/2006/main">
          <x14:cfRule type="dataBar" id="{049D76AF-7CB9-4B0E-928C-76042BD7CBD4}">
            <x14:dataBar minLength="0" maxLength="100" border="1" gradient="0">
              <x14:cfvo type="num">
                <xm:f>0</xm:f>
              </x14:cfvo>
              <x14:cfvo type="num">
                <xm:f>1</xm:f>
              </x14:cfvo>
              <x14:borderColor theme="0"/>
              <x14:negativeFillColor rgb="FFFF0000"/>
              <x14:axisColor rgb="FF000000"/>
            </x14:dataBar>
          </x14:cfRule>
          <xm:sqref>Y1364 Y1366 Y1368 Y1370 Y1372 Y1374 Y1376 Y1378 Y1380 Y1382 Y1384</xm:sqref>
        </x14:conditionalFormatting>
        <x14:conditionalFormatting xmlns:xm="http://schemas.microsoft.com/office/excel/2006/main">
          <x14:cfRule type="dataBar" id="{BB9FFA95-AD08-4675-96E5-C7C7126512D0}">
            <x14:dataBar minLength="0" maxLength="100" border="1" gradient="0">
              <x14:cfvo type="num">
                <xm:f>0</xm:f>
              </x14:cfvo>
              <x14:cfvo type="num">
                <xm:f>1</xm:f>
              </x14:cfvo>
              <x14:borderColor theme="0"/>
              <x14:negativeFillColor rgb="FFFF0000"/>
              <x14:axisColor rgb="FF000000"/>
            </x14:dataBar>
          </x14:cfRule>
          <xm:sqref>Y1386 Y1388 Y1390 Y1392 Y1394 Y1396 Y1398 Y1400 Y1402 Y1404 Y1406</xm:sqref>
        </x14:conditionalFormatting>
        <x14:conditionalFormatting xmlns:xm="http://schemas.microsoft.com/office/excel/2006/main">
          <x14:cfRule type="dataBar" id="{A00796B3-F1A5-41B8-B5F8-B12DD7E1817B}">
            <x14:dataBar minLength="0" maxLength="100" border="1" gradient="0">
              <x14:cfvo type="num">
                <xm:f>0</xm:f>
              </x14:cfvo>
              <x14:cfvo type="num">
                <xm:f>1</xm:f>
              </x14:cfvo>
              <x14:borderColor theme="0"/>
              <x14:negativeFillColor rgb="FFFF0000"/>
              <x14:axisColor rgb="FF000000"/>
            </x14:dataBar>
          </x14:cfRule>
          <xm:sqref>Y1408 Y1410 Y1412 Y1414 Y1416 Y1418 Y1420 Y1422 Y1424</xm:sqref>
        </x14:conditionalFormatting>
        <x14:conditionalFormatting xmlns:xm="http://schemas.microsoft.com/office/excel/2006/main">
          <x14:cfRule type="dataBar" id="{5133479C-059D-4D4D-B74B-3D5BB0A97CEF}">
            <x14:dataBar minLength="0" maxLength="100" border="1" gradient="0">
              <x14:cfvo type="num">
                <xm:f>0</xm:f>
              </x14:cfvo>
              <x14:cfvo type="num">
                <xm:f>1</xm:f>
              </x14:cfvo>
              <x14:borderColor theme="0"/>
              <x14:negativeFillColor rgb="FFFF0000"/>
              <x14:axisColor rgb="FF000000"/>
            </x14:dataBar>
          </x14:cfRule>
          <xm:sqref>Y1426 Y1428 Y1430 Y1432 Y1434 Y1436</xm:sqref>
        </x14:conditionalFormatting>
        <x14:conditionalFormatting xmlns:xm="http://schemas.microsoft.com/office/excel/2006/main">
          <x14:cfRule type="dataBar" id="{DCFF2D72-2DA8-4C38-B2D4-2F85224550A2}">
            <x14:dataBar minLength="0" maxLength="100" border="1" gradient="0">
              <x14:cfvo type="num">
                <xm:f>0</xm:f>
              </x14:cfvo>
              <x14:cfvo type="num">
                <xm:f>1</xm:f>
              </x14:cfvo>
              <x14:borderColor theme="0"/>
              <x14:negativeFillColor rgb="FFFF0000"/>
              <x14:axisColor rgb="FF000000"/>
            </x14:dataBar>
          </x14:cfRule>
          <xm:sqref>Y1442</xm:sqref>
        </x14:conditionalFormatting>
        <x14:conditionalFormatting xmlns:xm="http://schemas.microsoft.com/office/excel/2006/main">
          <x14:cfRule type="dataBar" id="{8011DADE-35F9-4699-8E01-8EE944957123}">
            <x14:dataBar minLength="0" maxLength="100" border="1" gradient="0">
              <x14:cfvo type="num">
                <xm:f>0</xm:f>
              </x14:cfvo>
              <x14:cfvo type="num">
                <xm:f>1</xm:f>
              </x14:cfvo>
              <x14:borderColor theme="0"/>
              <x14:negativeFillColor rgb="FFFF0000"/>
              <x14:axisColor rgb="FF000000"/>
            </x14:dataBar>
          </x14:cfRule>
          <xm:sqref>Y1445</xm:sqref>
        </x14:conditionalFormatting>
        <x14:conditionalFormatting xmlns:xm="http://schemas.microsoft.com/office/excel/2006/main">
          <x14:cfRule type="dataBar" id="{9FEB099F-6A93-46AF-80A2-0BCB76D7A49D}">
            <x14:dataBar minLength="0" maxLength="100" border="1" gradient="0">
              <x14:cfvo type="num">
                <xm:f>0</xm:f>
              </x14:cfvo>
              <x14:cfvo type="num">
                <xm:f>1</xm:f>
              </x14:cfvo>
              <x14:borderColor theme="0"/>
              <x14:negativeFillColor rgb="FFFF0000"/>
              <x14:axisColor rgb="FF000000"/>
            </x14:dataBar>
          </x14:cfRule>
          <xm:sqref>Y1448</xm:sqref>
        </x14:conditionalFormatting>
        <x14:conditionalFormatting xmlns:xm="http://schemas.microsoft.com/office/excel/2006/main">
          <x14:cfRule type="dataBar" id="{72CC80EC-996E-4185-BDFA-CCA9DAC991FD}">
            <x14:dataBar minLength="0" maxLength="100" border="1" gradient="0">
              <x14:cfvo type="num">
                <xm:f>0</xm:f>
              </x14:cfvo>
              <x14:cfvo type="num">
                <xm:f>1</xm:f>
              </x14:cfvo>
              <x14:borderColor theme="0"/>
              <x14:negativeFillColor rgb="FFFF0000"/>
              <x14:axisColor rgb="FF000000"/>
            </x14:dataBar>
          </x14:cfRule>
          <xm:sqref>Y1452</xm:sqref>
        </x14:conditionalFormatting>
        <x14:conditionalFormatting xmlns:xm="http://schemas.microsoft.com/office/excel/2006/main">
          <x14:cfRule type="dataBar" id="{3DB759CB-F220-4F1F-B444-035D0736FD16}">
            <x14:dataBar minLength="0" maxLength="100" border="1" gradient="0">
              <x14:cfvo type="num">
                <xm:f>0</xm:f>
              </x14:cfvo>
              <x14:cfvo type="num">
                <xm:f>1</xm:f>
              </x14:cfvo>
              <x14:borderColor theme="0"/>
              <x14:negativeFillColor rgb="FFFF0000"/>
              <x14:axisColor rgb="FF000000"/>
            </x14:dataBar>
          </x14:cfRule>
          <xm:sqref>Y1454</xm:sqref>
        </x14:conditionalFormatting>
        <x14:conditionalFormatting xmlns:xm="http://schemas.microsoft.com/office/excel/2006/main">
          <x14:cfRule type="dataBar" id="{A68F2198-8375-444C-AE59-3EFA9A78713D}">
            <x14:dataBar minLength="0" maxLength="100" border="1" gradient="0">
              <x14:cfvo type="num">
                <xm:f>0</xm:f>
              </x14:cfvo>
              <x14:cfvo type="num">
                <xm:f>1</xm:f>
              </x14:cfvo>
              <x14:borderColor theme="0"/>
              <x14:negativeFillColor rgb="FFFF0000"/>
              <x14:axisColor rgb="FF000000"/>
            </x14:dataBar>
          </x14:cfRule>
          <xm:sqref>Y1456 Y1462 Y1458 Y1460 Y1464 Y1466</xm:sqref>
        </x14:conditionalFormatting>
        <x14:conditionalFormatting xmlns:xm="http://schemas.microsoft.com/office/excel/2006/main">
          <x14:cfRule type="dataBar" id="{49B4E7AF-143E-4223-926C-79F26A08629A}">
            <x14:dataBar minLength="0" maxLength="100" border="1" gradient="0">
              <x14:cfvo type="num">
                <xm:f>0</xm:f>
              </x14:cfvo>
              <x14:cfvo type="num">
                <xm:f>1</xm:f>
              </x14:cfvo>
              <x14:borderColor theme="0"/>
              <x14:negativeFillColor rgb="FFFF0000"/>
              <x14:axisColor rgb="FF000000"/>
            </x14:dataBar>
          </x14:cfRule>
          <xm:sqref>Y1468</xm:sqref>
        </x14:conditionalFormatting>
        <x14:conditionalFormatting xmlns:xm="http://schemas.microsoft.com/office/excel/2006/main">
          <x14:cfRule type="dataBar" id="{A36A5522-4799-4CCF-ABC1-84AE856F5625}">
            <x14:dataBar minLength="0" maxLength="100" border="1" gradient="0">
              <x14:cfvo type="num">
                <xm:f>0</xm:f>
              </x14:cfvo>
              <x14:cfvo type="num">
                <xm:f>1</xm:f>
              </x14:cfvo>
              <x14:borderColor theme="0"/>
              <x14:negativeFillColor rgb="FFFF0000"/>
              <x14:axisColor rgb="FF000000"/>
            </x14:dataBar>
          </x14:cfRule>
          <xm:sqref>Y1470 Y1472 Y1474 Y1476 Y1478 Y1480 Y1482</xm:sqref>
        </x14:conditionalFormatting>
        <x14:conditionalFormatting xmlns:xm="http://schemas.microsoft.com/office/excel/2006/main">
          <x14:cfRule type="dataBar" id="{EC836FEE-8825-41C1-AD01-9225FF9CF1A4}">
            <x14:dataBar minLength="0" maxLength="100" border="1" gradient="0">
              <x14:cfvo type="num">
                <xm:f>0</xm:f>
              </x14:cfvo>
              <x14:cfvo type="num">
                <xm:f>1</xm:f>
              </x14:cfvo>
              <x14:borderColor theme="0"/>
              <x14:negativeFillColor rgb="FFFF0000"/>
              <x14:axisColor rgb="FF000000"/>
            </x14:dataBar>
          </x14:cfRule>
          <xm:sqref>Y1484</xm:sqref>
        </x14:conditionalFormatting>
        <x14:conditionalFormatting xmlns:xm="http://schemas.microsoft.com/office/excel/2006/main">
          <x14:cfRule type="dataBar" id="{3316B688-064E-442A-86AD-2A9C0D27833E}">
            <x14:dataBar minLength="0" maxLength="100" border="1" gradient="0">
              <x14:cfvo type="num">
                <xm:f>0</xm:f>
              </x14:cfvo>
              <x14:cfvo type="num">
                <xm:f>1</xm:f>
              </x14:cfvo>
              <x14:borderColor theme="0"/>
              <x14:negativeFillColor rgb="FFFF0000"/>
              <x14:axisColor rgb="FF000000"/>
            </x14:dataBar>
          </x14:cfRule>
          <xm:sqref>Y1486 Y1488 Y1490 Y1492 Y1494 Y1496 Y1498</xm:sqref>
        </x14:conditionalFormatting>
        <x14:conditionalFormatting xmlns:xm="http://schemas.microsoft.com/office/excel/2006/main">
          <x14:cfRule type="dataBar" id="{F9F7F2B9-F187-48D1-A7EC-6823BBBB5764}">
            <x14:dataBar minLength="0" maxLength="100" border="1" gradient="0">
              <x14:cfvo type="num">
                <xm:f>0</xm:f>
              </x14:cfvo>
              <x14:cfvo type="num">
                <xm:f>1</xm:f>
              </x14:cfvo>
              <x14:borderColor theme="0"/>
              <x14:negativeFillColor rgb="FFFF0000"/>
              <x14:axisColor rgb="FF000000"/>
            </x14:dataBar>
          </x14:cfRule>
          <xm:sqref>Y1500</xm:sqref>
        </x14:conditionalFormatting>
        <x14:conditionalFormatting xmlns:xm="http://schemas.microsoft.com/office/excel/2006/main">
          <x14:cfRule type="dataBar" id="{7357FA90-2CDC-4E63-A895-7A6318A5F05F}">
            <x14:dataBar minLength="0" maxLength="100" border="1" gradient="0">
              <x14:cfvo type="num">
                <xm:f>0</xm:f>
              </x14:cfvo>
              <x14:cfvo type="num">
                <xm:f>1</xm:f>
              </x14:cfvo>
              <x14:borderColor theme="0"/>
              <x14:negativeFillColor rgb="FFFF0000"/>
              <x14:axisColor rgb="FF000000"/>
            </x14:dataBar>
          </x14:cfRule>
          <xm:sqref>Y1502 Y1504 Y1506 Y1508 Y1510 Y1512 Y1514</xm:sqref>
        </x14:conditionalFormatting>
        <x14:conditionalFormatting xmlns:xm="http://schemas.microsoft.com/office/excel/2006/main">
          <x14:cfRule type="dataBar" id="{5719ECF6-6F8A-4098-8F70-FB4FA3B3B58D}">
            <x14:dataBar minLength="0" maxLength="100" border="1" gradient="0">
              <x14:cfvo type="num">
                <xm:f>0</xm:f>
              </x14:cfvo>
              <x14:cfvo type="num">
                <xm:f>1</xm:f>
              </x14:cfvo>
              <x14:borderColor theme="0"/>
              <x14:negativeFillColor rgb="FFFF0000"/>
              <x14:axisColor rgb="FF000000"/>
            </x14:dataBar>
          </x14:cfRule>
          <xm:sqref>Y1516</xm:sqref>
        </x14:conditionalFormatting>
        <x14:conditionalFormatting xmlns:xm="http://schemas.microsoft.com/office/excel/2006/main">
          <x14:cfRule type="dataBar" id="{B787EF02-3B05-4407-9DF5-BAC1444629D1}">
            <x14:dataBar minLength="0" maxLength="100" border="1" gradient="0">
              <x14:cfvo type="num">
                <xm:f>0</xm:f>
              </x14:cfvo>
              <x14:cfvo type="num">
                <xm:f>1</xm:f>
              </x14:cfvo>
              <x14:borderColor theme="0"/>
              <x14:negativeFillColor rgb="FFFF0000"/>
              <x14:axisColor rgb="FF000000"/>
            </x14:dataBar>
          </x14:cfRule>
          <xm:sqref>Y1518 Y1520</xm:sqref>
        </x14:conditionalFormatting>
        <x14:conditionalFormatting xmlns:xm="http://schemas.microsoft.com/office/excel/2006/main">
          <x14:cfRule type="dataBar" id="{DD9E42DF-626B-46C0-B1C9-BD5593848911}">
            <x14:dataBar minLength="0" maxLength="100" border="1" gradient="0">
              <x14:cfvo type="num">
                <xm:f>0</xm:f>
              </x14:cfvo>
              <x14:cfvo type="num">
                <xm:f>1</xm:f>
              </x14:cfvo>
              <x14:borderColor theme="0"/>
              <x14:negativeFillColor rgb="FFFF0000"/>
              <x14:axisColor rgb="FF000000"/>
            </x14:dataBar>
          </x14:cfRule>
          <xm:sqref>Y1522</xm:sqref>
        </x14:conditionalFormatting>
        <x14:conditionalFormatting xmlns:xm="http://schemas.microsoft.com/office/excel/2006/main">
          <x14:cfRule type="dataBar" id="{5C4BF6F2-224A-47FB-91F7-34AE77F00E79}">
            <x14:dataBar minLength="0" maxLength="100" border="1" gradient="0">
              <x14:cfvo type="num">
                <xm:f>0</xm:f>
              </x14:cfvo>
              <x14:cfvo type="num">
                <xm:f>1</xm:f>
              </x14:cfvo>
              <x14:borderColor theme="0"/>
              <x14:negativeFillColor rgb="FFFF0000"/>
              <x14:axisColor rgb="FF000000"/>
            </x14:dataBar>
          </x14:cfRule>
          <xm:sqref>Y1524</xm:sqref>
        </x14:conditionalFormatting>
        <x14:conditionalFormatting xmlns:xm="http://schemas.microsoft.com/office/excel/2006/main">
          <x14:cfRule type="dataBar" id="{FE5EB649-FC5C-4168-A449-0A242807DAD1}">
            <x14:dataBar minLength="0" maxLength="100" border="1" gradient="0">
              <x14:cfvo type="num">
                <xm:f>0</xm:f>
              </x14:cfvo>
              <x14:cfvo type="num">
                <xm:f>1</xm:f>
              </x14:cfvo>
              <x14:borderColor theme="0"/>
              <x14:negativeFillColor rgb="FFFF0000"/>
              <x14:axisColor rgb="FF000000"/>
            </x14:dataBar>
          </x14:cfRule>
          <xm:sqref>Y1526</xm:sqref>
        </x14:conditionalFormatting>
        <x14:conditionalFormatting xmlns:xm="http://schemas.microsoft.com/office/excel/2006/main">
          <x14:cfRule type="dataBar" id="{D2DC26B2-B1AE-4911-A777-99E7E5AA5DF1}">
            <x14:dataBar minLength="0" maxLength="100" border="1" gradient="0">
              <x14:cfvo type="num">
                <xm:f>0</xm:f>
              </x14:cfvo>
              <x14:cfvo type="num">
                <xm:f>1</xm:f>
              </x14:cfvo>
              <x14:borderColor theme="0"/>
              <x14:negativeFillColor rgb="FFFF0000"/>
              <x14:axisColor rgb="FF000000"/>
            </x14:dataBar>
          </x14:cfRule>
          <xm:sqref>Y1528</xm:sqref>
        </x14:conditionalFormatting>
        <x14:conditionalFormatting xmlns:xm="http://schemas.microsoft.com/office/excel/2006/main">
          <x14:cfRule type="dataBar" id="{B8B73F7C-BAEC-4E91-AAAF-83A887257A5E}">
            <x14:dataBar minLength="0" maxLength="100" border="1" gradient="0">
              <x14:cfvo type="num">
                <xm:f>0</xm:f>
              </x14:cfvo>
              <x14:cfvo type="num">
                <xm:f>1</xm:f>
              </x14:cfvo>
              <x14:borderColor theme="0"/>
              <x14:negativeFillColor rgb="FFFF0000"/>
              <x14:axisColor rgb="FF000000"/>
            </x14:dataBar>
          </x14:cfRule>
          <xm:sqref>Y1531</xm:sqref>
        </x14:conditionalFormatting>
        <x14:conditionalFormatting xmlns:xm="http://schemas.microsoft.com/office/excel/2006/main">
          <x14:cfRule type="dataBar" id="{97A20A7C-3F21-4643-960C-B681C2CDD767}">
            <x14:dataBar minLength="0" maxLength="100" border="1" gradient="0">
              <x14:cfvo type="num">
                <xm:f>0</xm:f>
              </x14:cfvo>
              <x14:cfvo type="num">
                <xm:f>1</xm:f>
              </x14:cfvo>
              <x14:borderColor theme="0"/>
              <x14:negativeFillColor rgb="FFFF0000"/>
              <x14:axisColor rgb="FF000000"/>
            </x14:dataBar>
          </x14:cfRule>
          <xm:sqref>Y1533</xm:sqref>
        </x14:conditionalFormatting>
        <x14:conditionalFormatting xmlns:xm="http://schemas.microsoft.com/office/excel/2006/main">
          <x14:cfRule type="dataBar" id="{9635C823-130A-4AC0-BF90-F9554DF5502F}">
            <x14:dataBar minLength="0" maxLength="100" border="1" gradient="0">
              <x14:cfvo type="num">
                <xm:f>0</xm:f>
              </x14:cfvo>
              <x14:cfvo type="num">
                <xm:f>1</xm:f>
              </x14:cfvo>
              <x14:borderColor theme="0"/>
              <x14:negativeFillColor rgb="FFFF0000"/>
              <x14:axisColor rgb="FF000000"/>
            </x14:dataBar>
          </x14:cfRule>
          <xm:sqref>Y1535</xm:sqref>
        </x14:conditionalFormatting>
        <x14:conditionalFormatting xmlns:xm="http://schemas.microsoft.com/office/excel/2006/main">
          <x14:cfRule type="dataBar" id="{458A3CF7-4424-4BE8-9B17-FDBAA921D8E5}">
            <x14:dataBar minLength="0" maxLength="100" border="1" gradient="0">
              <x14:cfvo type="num">
                <xm:f>0</xm:f>
              </x14:cfvo>
              <x14:cfvo type="num">
                <xm:f>1</xm:f>
              </x14:cfvo>
              <x14:borderColor theme="0"/>
              <x14:negativeFillColor rgb="FFFF0000"/>
              <x14:axisColor rgb="FF000000"/>
            </x14:dataBar>
          </x14:cfRule>
          <xm:sqref>Y1537</xm:sqref>
        </x14:conditionalFormatting>
        <x14:conditionalFormatting xmlns:xm="http://schemas.microsoft.com/office/excel/2006/main">
          <x14:cfRule type="dataBar" id="{AA063AA1-B5AE-4DA9-9A75-7291C2948BFA}">
            <x14:dataBar minLength="0" maxLength="100" border="1" gradient="0">
              <x14:cfvo type="num">
                <xm:f>0</xm:f>
              </x14:cfvo>
              <x14:cfvo type="num">
                <xm:f>1</xm:f>
              </x14:cfvo>
              <x14:borderColor theme="0"/>
              <x14:negativeFillColor rgb="FFFF0000"/>
              <x14:axisColor rgb="FF000000"/>
            </x14:dataBar>
          </x14:cfRule>
          <xm:sqref>Y1539</xm:sqref>
        </x14:conditionalFormatting>
        <x14:conditionalFormatting xmlns:xm="http://schemas.microsoft.com/office/excel/2006/main">
          <x14:cfRule type="dataBar" id="{874067C8-2DFF-4B03-A483-B5B39CFB5294}">
            <x14:dataBar minLength="0" maxLength="100" border="1" gradient="0">
              <x14:cfvo type="num">
                <xm:f>0</xm:f>
              </x14:cfvo>
              <x14:cfvo type="num">
                <xm:f>1</xm:f>
              </x14:cfvo>
              <x14:borderColor theme="0"/>
              <x14:negativeFillColor rgb="FFFF0000"/>
              <x14:axisColor rgb="FF000000"/>
            </x14:dataBar>
          </x14:cfRule>
          <xm:sqref>Y1541</xm:sqref>
        </x14:conditionalFormatting>
        <x14:conditionalFormatting xmlns:xm="http://schemas.microsoft.com/office/excel/2006/main">
          <x14:cfRule type="dataBar" id="{88892415-9A39-4118-A34D-F31AAFF7050B}">
            <x14:dataBar minLength="0" maxLength="100" border="1" gradient="0">
              <x14:cfvo type="num">
                <xm:f>0</xm:f>
              </x14:cfvo>
              <x14:cfvo type="num">
                <xm:f>1</xm:f>
              </x14:cfvo>
              <x14:borderColor theme="0"/>
              <x14:negativeFillColor rgb="FFFF0000"/>
              <x14:axisColor rgb="FF000000"/>
            </x14:dataBar>
          </x14:cfRule>
          <xm:sqref>Y1543</xm:sqref>
        </x14:conditionalFormatting>
        <x14:conditionalFormatting xmlns:xm="http://schemas.microsoft.com/office/excel/2006/main">
          <x14:cfRule type="dataBar" id="{4C4F3B56-E654-4D62-B015-9FCE013EFDE5}">
            <x14:dataBar minLength="0" maxLength="100" border="1" gradient="0">
              <x14:cfvo type="num">
                <xm:f>0</xm:f>
              </x14:cfvo>
              <x14:cfvo type="num">
                <xm:f>1</xm:f>
              </x14:cfvo>
              <x14:borderColor theme="0"/>
              <x14:negativeFillColor rgb="FFFF0000"/>
              <x14:axisColor rgb="FF000000"/>
            </x14:dataBar>
          </x14:cfRule>
          <xm:sqref>Y1545</xm:sqref>
        </x14:conditionalFormatting>
        <x14:conditionalFormatting xmlns:xm="http://schemas.microsoft.com/office/excel/2006/main">
          <x14:cfRule type="dataBar" id="{C43E7FA7-4377-4172-B207-564CCC10FE41}">
            <x14:dataBar minLength="0" maxLength="100" border="1" gradient="0">
              <x14:cfvo type="num">
                <xm:f>0</xm:f>
              </x14:cfvo>
              <x14:cfvo type="num">
                <xm:f>1</xm:f>
              </x14:cfvo>
              <x14:borderColor theme="0"/>
              <x14:negativeFillColor rgb="FFFF0000"/>
              <x14:axisColor rgb="FF000000"/>
            </x14:dataBar>
          </x14:cfRule>
          <xm:sqref>Y1547</xm:sqref>
        </x14:conditionalFormatting>
        <x14:conditionalFormatting xmlns:xm="http://schemas.microsoft.com/office/excel/2006/main">
          <x14:cfRule type="dataBar" id="{B328EEF6-DCE3-4204-824F-E99CECCE0E3C}">
            <x14:dataBar minLength="0" maxLength="100" border="1" gradient="0">
              <x14:cfvo type="num">
                <xm:f>0</xm:f>
              </x14:cfvo>
              <x14:cfvo type="num">
                <xm:f>1</xm:f>
              </x14:cfvo>
              <x14:borderColor theme="0"/>
              <x14:negativeFillColor rgb="FFFF0000"/>
              <x14:axisColor rgb="FF000000"/>
            </x14:dataBar>
          </x14:cfRule>
          <xm:sqref>Y1549</xm:sqref>
        </x14:conditionalFormatting>
        <x14:conditionalFormatting xmlns:xm="http://schemas.microsoft.com/office/excel/2006/main">
          <x14:cfRule type="dataBar" id="{DBA75807-59FA-42BB-BA7D-07E3C145F112}">
            <x14:dataBar minLength="0" maxLength="100" border="1" gradient="0">
              <x14:cfvo type="num">
                <xm:f>0</xm:f>
              </x14:cfvo>
              <x14:cfvo type="num">
                <xm:f>1</xm:f>
              </x14:cfvo>
              <x14:borderColor theme="0"/>
              <x14:negativeFillColor rgb="FFFF0000"/>
              <x14:axisColor rgb="FF000000"/>
            </x14:dataBar>
          </x14:cfRule>
          <xm:sqref>Y1551</xm:sqref>
        </x14:conditionalFormatting>
        <x14:conditionalFormatting xmlns:xm="http://schemas.microsoft.com/office/excel/2006/main">
          <x14:cfRule type="dataBar" id="{29376C1F-BD5F-48B6-899E-8F488C92F4C5}">
            <x14:dataBar minLength="0" maxLength="100" border="1" gradient="0">
              <x14:cfvo type="num">
                <xm:f>0</xm:f>
              </x14:cfvo>
              <x14:cfvo type="num">
                <xm:f>1</xm:f>
              </x14:cfvo>
              <x14:borderColor theme="0"/>
              <x14:negativeFillColor rgb="FFFF0000"/>
              <x14:axisColor rgb="FF000000"/>
            </x14:dataBar>
          </x14:cfRule>
          <xm:sqref>Y1553</xm:sqref>
        </x14:conditionalFormatting>
        <x14:conditionalFormatting xmlns:xm="http://schemas.microsoft.com/office/excel/2006/main">
          <x14:cfRule type="dataBar" id="{6406E0BA-9D13-4651-9B6B-80A15669A660}">
            <x14:dataBar minLength="0" maxLength="100" border="1" gradient="0">
              <x14:cfvo type="num">
                <xm:f>0</xm:f>
              </x14:cfvo>
              <x14:cfvo type="num">
                <xm:f>1</xm:f>
              </x14:cfvo>
              <x14:borderColor theme="0"/>
              <x14:negativeFillColor rgb="FFFF0000"/>
              <x14:axisColor rgb="FF000000"/>
            </x14:dataBar>
          </x14:cfRule>
          <xm:sqref>Y1555</xm:sqref>
        </x14:conditionalFormatting>
        <x14:conditionalFormatting xmlns:xm="http://schemas.microsoft.com/office/excel/2006/main">
          <x14:cfRule type="dataBar" id="{5C2FDFFF-36DC-4DD9-864E-61DDCFEEB2DE}">
            <x14:dataBar minLength="0" maxLength="100" border="1" gradient="0">
              <x14:cfvo type="num">
                <xm:f>0</xm:f>
              </x14:cfvo>
              <x14:cfvo type="num">
                <xm:f>1</xm:f>
              </x14:cfvo>
              <x14:borderColor theme="0"/>
              <x14:negativeFillColor rgb="FFFF0000"/>
              <x14:axisColor rgb="FF000000"/>
            </x14:dataBar>
          </x14:cfRule>
          <xm:sqref>Y1557</xm:sqref>
        </x14:conditionalFormatting>
        <x14:conditionalFormatting xmlns:xm="http://schemas.microsoft.com/office/excel/2006/main">
          <x14:cfRule type="dataBar" id="{9C909ADB-7CE4-4080-BBCB-2E95943A704E}">
            <x14:dataBar minLength="0" maxLength="100" border="1" gradient="0">
              <x14:cfvo type="num">
                <xm:f>0</xm:f>
              </x14:cfvo>
              <x14:cfvo type="num">
                <xm:f>1</xm:f>
              </x14:cfvo>
              <x14:borderColor theme="0"/>
              <x14:negativeFillColor rgb="FFFF0000"/>
              <x14:axisColor rgb="FF000000"/>
            </x14:dataBar>
          </x14:cfRule>
          <xm:sqref>Y1559</xm:sqref>
        </x14:conditionalFormatting>
        <x14:conditionalFormatting xmlns:xm="http://schemas.microsoft.com/office/excel/2006/main">
          <x14:cfRule type="dataBar" id="{80D33AFA-968A-4589-872B-CA25DA69051C}">
            <x14:dataBar minLength="0" maxLength="100" border="1" gradient="0">
              <x14:cfvo type="num">
                <xm:f>0</xm:f>
              </x14:cfvo>
              <x14:cfvo type="num">
                <xm:f>1</xm:f>
              </x14:cfvo>
              <x14:borderColor theme="0"/>
              <x14:negativeFillColor rgb="FFFF0000"/>
              <x14:axisColor rgb="FF000000"/>
            </x14:dataBar>
          </x14:cfRule>
          <xm:sqref>Y1561</xm:sqref>
        </x14:conditionalFormatting>
        <x14:conditionalFormatting xmlns:xm="http://schemas.microsoft.com/office/excel/2006/main">
          <x14:cfRule type="dataBar" id="{8D72C1AE-46FA-45E9-9322-A62D54205A4A}">
            <x14:dataBar minLength="0" maxLength="100" border="1" gradient="0">
              <x14:cfvo type="num">
                <xm:f>0</xm:f>
              </x14:cfvo>
              <x14:cfvo type="num">
                <xm:f>1</xm:f>
              </x14:cfvo>
              <x14:borderColor theme="0"/>
              <x14:negativeFillColor rgb="FFFF0000"/>
              <x14:axisColor rgb="FF000000"/>
            </x14:dataBar>
          </x14:cfRule>
          <xm:sqref>Y1563</xm:sqref>
        </x14:conditionalFormatting>
        <x14:conditionalFormatting xmlns:xm="http://schemas.microsoft.com/office/excel/2006/main">
          <x14:cfRule type="dataBar" id="{61B51850-72A7-43B5-A901-812BBD30261D}">
            <x14:dataBar minLength="0" maxLength="100" border="1" gradient="0">
              <x14:cfvo type="num">
                <xm:f>0</xm:f>
              </x14:cfvo>
              <x14:cfvo type="num">
                <xm:f>1</xm:f>
              </x14:cfvo>
              <x14:borderColor theme="0"/>
              <x14:negativeFillColor rgb="FFFF0000"/>
              <x14:axisColor rgb="FF000000"/>
            </x14:dataBar>
          </x14:cfRule>
          <xm:sqref>Y1565</xm:sqref>
        </x14:conditionalFormatting>
        <x14:conditionalFormatting xmlns:xm="http://schemas.microsoft.com/office/excel/2006/main">
          <x14:cfRule type="dataBar" id="{C577E237-215F-47B3-8359-8FE70FF24BA5}">
            <x14:dataBar minLength="0" maxLength="100" border="1" gradient="0">
              <x14:cfvo type="num">
                <xm:f>0</xm:f>
              </x14:cfvo>
              <x14:cfvo type="num">
                <xm:f>1</xm:f>
              </x14:cfvo>
              <x14:borderColor theme="0"/>
              <x14:negativeFillColor rgb="FFFF0000"/>
              <x14:axisColor rgb="FF000000"/>
            </x14:dataBar>
          </x14:cfRule>
          <xm:sqref>Y1567</xm:sqref>
        </x14:conditionalFormatting>
        <x14:conditionalFormatting xmlns:xm="http://schemas.microsoft.com/office/excel/2006/main">
          <x14:cfRule type="dataBar" id="{2C7B96A4-F7B0-47DE-9706-59D7B54955DE}">
            <x14:dataBar minLength="0" maxLength="100" border="1" gradient="0">
              <x14:cfvo type="num">
                <xm:f>0</xm:f>
              </x14:cfvo>
              <x14:cfvo type="num">
                <xm:f>1</xm:f>
              </x14:cfvo>
              <x14:borderColor theme="0"/>
              <x14:negativeFillColor rgb="FFFF0000"/>
              <x14:axisColor rgb="FF000000"/>
            </x14:dataBar>
          </x14:cfRule>
          <xm:sqref>Y1569</xm:sqref>
        </x14:conditionalFormatting>
        <x14:conditionalFormatting xmlns:xm="http://schemas.microsoft.com/office/excel/2006/main">
          <x14:cfRule type="dataBar" id="{BEE76C3C-D608-4627-8542-3BBC8D564AD6}">
            <x14:dataBar minLength="0" maxLength="100" border="1" gradient="0">
              <x14:cfvo type="num">
                <xm:f>0</xm:f>
              </x14:cfvo>
              <x14:cfvo type="num">
                <xm:f>1</xm:f>
              </x14:cfvo>
              <x14:borderColor theme="0"/>
              <x14:negativeFillColor rgb="FFFF0000"/>
              <x14:axisColor rgb="FF000000"/>
            </x14:dataBar>
          </x14:cfRule>
          <xm:sqref>Y1571</xm:sqref>
        </x14:conditionalFormatting>
        <x14:conditionalFormatting xmlns:xm="http://schemas.microsoft.com/office/excel/2006/main">
          <x14:cfRule type="dataBar" id="{BC855708-FD71-44BB-BB52-7C39AE7E3E18}">
            <x14:dataBar minLength="0" maxLength="100" border="1" gradient="0">
              <x14:cfvo type="num">
                <xm:f>0</xm:f>
              </x14:cfvo>
              <x14:cfvo type="num">
                <xm:f>1</xm:f>
              </x14:cfvo>
              <x14:borderColor theme="0"/>
              <x14:negativeFillColor rgb="FFFF0000"/>
              <x14:axisColor rgb="FF000000"/>
            </x14:dataBar>
          </x14:cfRule>
          <xm:sqref>Y1573</xm:sqref>
        </x14:conditionalFormatting>
        <x14:conditionalFormatting xmlns:xm="http://schemas.microsoft.com/office/excel/2006/main">
          <x14:cfRule type="dataBar" id="{4EDCE684-1E24-43A3-8C54-A0CB9BE2A7AB}">
            <x14:dataBar minLength="0" maxLength="100" border="1" gradient="0">
              <x14:cfvo type="num">
                <xm:f>0</xm:f>
              </x14:cfvo>
              <x14:cfvo type="num">
                <xm:f>1</xm:f>
              </x14:cfvo>
              <x14:borderColor theme="0"/>
              <x14:negativeFillColor rgb="FFFF0000"/>
              <x14:axisColor rgb="FF000000"/>
            </x14:dataBar>
          </x14:cfRule>
          <xm:sqref>Y1575</xm:sqref>
        </x14:conditionalFormatting>
        <x14:conditionalFormatting xmlns:xm="http://schemas.microsoft.com/office/excel/2006/main">
          <x14:cfRule type="dataBar" id="{F52CE6FA-B832-4DBB-BBF5-D652EDCDFCB3}">
            <x14:dataBar minLength="0" maxLength="100" border="1" gradient="0">
              <x14:cfvo type="num">
                <xm:f>0</xm:f>
              </x14:cfvo>
              <x14:cfvo type="num">
                <xm:f>1</xm:f>
              </x14:cfvo>
              <x14:borderColor theme="0"/>
              <x14:negativeFillColor rgb="FFFF0000"/>
              <x14:axisColor rgb="FF000000"/>
            </x14:dataBar>
          </x14:cfRule>
          <xm:sqref>Y1577</xm:sqref>
        </x14:conditionalFormatting>
        <x14:conditionalFormatting xmlns:xm="http://schemas.microsoft.com/office/excel/2006/main">
          <x14:cfRule type="dataBar" id="{738B3144-6495-4271-B63E-C814C7FE9384}">
            <x14:dataBar minLength="0" maxLength="100" border="1" gradient="0">
              <x14:cfvo type="num">
                <xm:f>0</xm:f>
              </x14:cfvo>
              <x14:cfvo type="num">
                <xm:f>1</xm:f>
              </x14:cfvo>
              <x14:borderColor theme="0"/>
              <x14:negativeFillColor rgb="FFFF0000"/>
              <x14:axisColor rgb="FF000000"/>
            </x14:dataBar>
          </x14:cfRule>
          <xm:sqref>Y1579</xm:sqref>
        </x14:conditionalFormatting>
        <x14:conditionalFormatting xmlns:xm="http://schemas.microsoft.com/office/excel/2006/main">
          <x14:cfRule type="dataBar" id="{E945F408-2262-42C8-B14C-E76E283161B0}">
            <x14:dataBar minLength="0" maxLength="100" border="1" gradient="0">
              <x14:cfvo type="num">
                <xm:f>0</xm:f>
              </x14:cfvo>
              <x14:cfvo type="num">
                <xm:f>1</xm:f>
              </x14:cfvo>
              <x14:borderColor theme="0"/>
              <x14:negativeFillColor rgb="FFFF0000"/>
              <x14:axisColor rgb="FF000000"/>
            </x14:dataBar>
          </x14:cfRule>
          <xm:sqref>Y1581</xm:sqref>
        </x14:conditionalFormatting>
        <x14:conditionalFormatting xmlns:xm="http://schemas.microsoft.com/office/excel/2006/main">
          <x14:cfRule type="dataBar" id="{38EA494C-44C4-49F4-BDF4-4FDF73DA0628}">
            <x14:dataBar minLength="0" maxLength="100" border="1" gradient="0">
              <x14:cfvo type="num">
                <xm:f>0</xm:f>
              </x14:cfvo>
              <x14:cfvo type="num">
                <xm:f>1</xm:f>
              </x14:cfvo>
              <x14:borderColor theme="0"/>
              <x14:negativeFillColor rgb="FFFF0000"/>
              <x14:axisColor rgb="FF000000"/>
            </x14:dataBar>
          </x14:cfRule>
          <xm:sqref>Y1583</xm:sqref>
        </x14:conditionalFormatting>
        <x14:conditionalFormatting xmlns:xm="http://schemas.microsoft.com/office/excel/2006/main">
          <x14:cfRule type="dataBar" id="{E3D3D4C4-440C-4EAC-BA66-798AC7A6BB14}">
            <x14:dataBar minLength="0" maxLength="100" border="1" gradient="0">
              <x14:cfvo type="num">
                <xm:f>0</xm:f>
              </x14:cfvo>
              <x14:cfvo type="num">
                <xm:f>1</xm:f>
              </x14:cfvo>
              <x14:borderColor theme="0"/>
              <x14:negativeFillColor rgb="FFFF0000"/>
              <x14:axisColor rgb="FF000000"/>
            </x14:dataBar>
          </x14:cfRule>
          <xm:sqref>Y1585</xm:sqref>
        </x14:conditionalFormatting>
        <x14:conditionalFormatting xmlns:xm="http://schemas.microsoft.com/office/excel/2006/main">
          <x14:cfRule type="dataBar" id="{69BCDB33-E6A0-4DF6-98AD-F741CFF6630C}">
            <x14:dataBar minLength="0" maxLength="100" border="1" gradient="0">
              <x14:cfvo type="num">
                <xm:f>0</xm:f>
              </x14:cfvo>
              <x14:cfvo type="num">
                <xm:f>1</xm:f>
              </x14:cfvo>
              <x14:borderColor theme="0"/>
              <x14:negativeFillColor rgb="FFFF0000"/>
              <x14:axisColor rgb="FF000000"/>
            </x14:dataBar>
          </x14:cfRule>
          <xm:sqref>Y1587</xm:sqref>
        </x14:conditionalFormatting>
        <x14:conditionalFormatting xmlns:xm="http://schemas.microsoft.com/office/excel/2006/main">
          <x14:cfRule type="dataBar" id="{928DFC07-C9D4-4D94-ADD6-067EE2FA506D}">
            <x14:dataBar minLength="0" maxLength="100" border="1" gradient="0">
              <x14:cfvo type="num">
                <xm:f>0</xm:f>
              </x14:cfvo>
              <x14:cfvo type="num">
                <xm:f>1</xm:f>
              </x14:cfvo>
              <x14:borderColor theme="0"/>
              <x14:negativeFillColor rgb="FFFF0000"/>
              <x14:axisColor rgb="FF000000"/>
            </x14:dataBar>
          </x14:cfRule>
          <xm:sqref>Y1589</xm:sqref>
        </x14:conditionalFormatting>
        <x14:conditionalFormatting xmlns:xm="http://schemas.microsoft.com/office/excel/2006/main">
          <x14:cfRule type="dataBar" id="{3EAF1B73-41F7-4AB8-9BDE-972AA22DF42B}">
            <x14:dataBar minLength="0" maxLength="100" border="1" gradient="0">
              <x14:cfvo type="num">
                <xm:f>0</xm:f>
              </x14:cfvo>
              <x14:cfvo type="num">
                <xm:f>1</xm:f>
              </x14:cfvo>
              <x14:borderColor theme="0"/>
              <x14:negativeFillColor rgb="FFFF0000"/>
              <x14:axisColor rgb="FF000000"/>
            </x14:dataBar>
          </x14:cfRule>
          <xm:sqref>Y1591</xm:sqref>
        </x14:conditionalFormatting>
        <x14:conditionalFormatting xmlns:xm="http://schemas.microsoft.com/office/excel/2006/main">
          <x14:cfRule type="dataBar" id="{75D2D912-9A08-44DA-8BF7-F36BD3369825}">
            <x14:dataBar minLength="0" maxLength="100" border="1" gradient="0">
              <x14:cfvo type="num">
                <xm:f>0</xm:f>
              </x14:cfvo>
              <x14:cfvo type="num">
                <xm:f>1</xm:f>
              </x14:cfvo>
              <x14:borderColor theme="0"/>
              <x14:negativeFillColor rgb="FFFF0000"/>
              <x14:axisColor rgb="FF000000"/>
            </x14:dataBar>
          </x14:cfRule>
          <xm:sqref>Y1593</xm:sqref>
        </x14:conditionalFormatting>
        <x14:conditionalFormatting xmlns:xm="http://schemas.microsoft.com/office/excel/2006/main">
          <x14:cfRule type="dataBar" id="{B1E1055A-8BA6-4147-BDF6-31CD0EA166DB}">
            <x14:dataBar minLength="0" maxLength="100" border="1" gradient="0">
              <x14:cfvo type="num">
                <xm:f>0</xm:f>
              </x14:cfvo>
              <x14:cfvo type="num">
                <xm:f>1</xm:f>
              </x14:cfvo>
              <x14:borderColor theme="0"/>
              <x14:negativeFillColor rgb="FFFF0000"/>
              <x14:axisColor rgb="FF000000"/>
            </x14:dataBar>
          </x14:cfRule>
          <xm:sqref>Y1595</xm:sqref>
        </x14:conditionalFormatting>
        <x14:conditionalFormatting xmlns:xm="http://schemas.microsoft.com/office/excel/2006/main">
          <x14:cfRule type="dataBar" id="{40ACEEBD-1C2E-48B7-BB5B-4A1114736A3F}">
            <x14:dataBar minLength="0" maxLength="100" border="1" gradient="0">
              <x14:cfvo type="num">
                <xm:f>0</xm:f>
              </x14:cfvo>
              <x14:cfvo type="num">
                <xm:f>1</xm:f>
              </x14:cfvo>
              <x14:borderColor theme="0"/>
              <x14:negativeFillColor rgb="FFFF0000"/>
              <x14:axisColor rgb="FF000000"/>
            </x14:dataBar>
          </x14:cfRule>
          <xm:sqref>Y1597</xm:sqref>
        </x14:conditionalFormatting>
        <x14:conditionalFormatting xmlns:xm="http://schemas.microsoft.com/office/excel/2006/main">
          <x14:cfRule type="dataBar" id="{223E1606-D704-4552-90B6-8EFF17D01717}">
            <x14:dataBar minLength="0" maxLength="100" border="1" gradient="0">
              <x14:cfvo type="num">
                <xm:f>0</xm:f>
              </x14:cfvo>
              <x14:cfvo type="num">
                <xm:f>1</xm:f>
              </x14:cfvo>
              <x14:borderColor theme="0"/>
              <x14:negativeFillColor rgb="FFFF0000"/>
              <x14:axisColor rgb="FF000000"/>
            </x14:dataBar>
          </x14:cfRule>
          <xm:sqref>Y1599</xm:sqref>
        </x14:conditionalFormatting>
        <x14:conditionalFormatting xmlns:xm="http://schemas.microsoft.com/office/excel/2006/main">
          <x14:cfRule type="dataBar" id="{9B447E93-320A-4ED0-B430-DC0B4FEE9E3C}">
            <x14:dataBar minLength="0" maxLength="100" border="1" gradient="0">
              <x14:cfvo type="num">
                <xm:f>0</xm:f>
              </x14:cfvo>
              <x14:cfvo type="num">
                <xm:f>1</xm:f>
              </x14:cfvo>
              <x14:borderColor theme="0"/>
              <x14:negativeFillColor rgb="FFFF0000"/>
              <x14:axisColor rgb="FF000000"/>
            </x14:dataBar>
          </x14:cfRule>
          <xm:sqref>Y1601</xm:sqref>
        </x14:conditionalFormatting>
        <x14:conditionalFormatting xmlns:xm="http://schemas.microsoft.com/office/excel/2006/main">
          <x14:cfRule type="dataBar" id="{E2721323-EC21-4045-8FEF-96ABEAB82C83}">
            <x14:dataBar minLength="0" maxLength="100" border="1" gradient="0">
              <x14:cfvo type="num">
                <xm:f>0</xm:f>
              </x14:cfvo>
              <x14:cfvo type="num">
                <xm:f>1</xm:f>
              </x14:cfvo>
              <x14:borderColor theme="0"/>
              <x14:negativeFillColor rgb="FFFF0000"/>
              <x14:axisColor rgb="FF000000"/>
            </x14:dataBar>
          </x14:cfRule>
          <xm:sqref>Y1603</xm:sqref>
        </x14:conditionalFormatting>
        <x14:conditionalFormatting xmlns:xm="http://schemas.microsoft.com/office/excel/2006/main">
          <x14:cfRule type="dataBar" id="{CFCED988-9589-4EF9-98EE-0E18DD7CB20F}">
            <x14:dataBar minLength="0" maxLength="100" border="1" gradient="0">
              <x14:cfvo type="num">
                <xm:f>0</xm:f>
              </x14:cfvo>
              <x14:cfvo type="num">
                <xm:f>1</xm:f>
              </x14:cfvo>
              <x14:borderColor theme="0"/>
              <x14:negativeFillColor rgb="FFFF0000"/>
              <x14:axisColor rgb="FF000000"/>
            </x14:dataBar>
          </x14:cfRule>
          <xm:sqref>Y1605</xm:sqref>
        </x14:conditionalFormatting>
        <x14:conditionalFormatting xmlns:xm="http://schemas.microsoft.com/office/excel/2006/main">
          <x14:cfRule type="dataBar" id="{AB931152-03B3-4EA9-BFA8-2455F0187825}">
            <x14:dataBar minLength="0" maxLength="100" border="1" gradient="0">
              <x14:cfvo type="num">
                <xm:f>0</xm:f>
              </x14:cfvo>
              <x14:cfvo type="num">
                <xm:f>1</xm:f>
              </x14:cfvo>
              <x14:borderColor theme="0"/>
              <x14:negativeFillColor rgb="FFFF0000"/>
              <x14:axisColor rgb="FF000000"/>
            </x14:dataBar>
          </x14:cfRule>
          <xm:sqref>Y1607</xm:sqref>
        </x14:conditionalFormatting>
        <x14:conditionalFormatting xmlns:xm="http://schemas.microsoft.com/office/excel/2006/main">
          <x14:cfRule type="dataBar" id="{DBA470C7-A0B3-432F-8D88-E4D90C6B82A4}">
            <x14:dataBar minLength="0" maxLength="100" border="1" gradient="0">
              <x14:cfvo type="num">
                <xm:f>0</xm:f>
              </x14:cfvo>
              <x14:cfvo type="num">
                <xm:f>1</xm:f>
              </x14:cfvo>
              <x14:borderColor theme="0"/>
              <x14:negativeFillColor rgb="FFFF0000"/>
              <x14:axisColor rgb="FF000000"/>
            </x14:dataBar>
          </x14:cfRule>
          <xm:sqref>Y1609</xm:sqref>
        </x14:conditionalFormatting>
        <x14:conditionalFormatting xmlns:xm="http://schemas.microsoft.com/office/excel/2006/main">
          <x14:cfRule type="dataBar" id="{31040649-CDD8-4B6B-B6B6-47E3C8C4BF6E}">
            <x14:dataBar minLength="0" maxLength="100" border="1" gradient="0">
              <x14:cfvo type="num">
                <xm:f>0</xm:f>
              </x14:cfvo>
              <x14:cfvo type="num">
                <xm:f>1</xm:f>
              </x14:cfvo>
              <x14:borderColor theme="0"/>
              <x14:negativeFillColor rgb="FFFF0000"/>
              <x14:axisColor rgb="FF000000"/>
            </x14:dataBar>
          </x14:cfRule>
          <xm:sqref>Y1611</xm:sqref>
        </x14:conditionalFormatting>
        <x14:conditionalFormatting xmlns:xm="http://schemas.microsoft.com/office/excel/2006/main">
          <x14:cfRule type="dataBar" id="{EBC57C7A-8948-4B0F-8151-7F864259CB42}">
            <x14:dataBar minLength="0" maxLength="100" border="1" gradient="0">
              <x14:cfvo type="num">
                <xm:f>0</xm:f>
              </x14:cfvo>
              <x14:cfvo type="num">
                <xm:f>1</xm:f>
              </x14:cfvo>
              <x14:borderColor theme="0"/>
              <x14:negativeFillColor rgb="FFFF0000"/>
              <x14:axisColor rgb="FF000000"/>
            </x14:dataBar>
          </x14:cfRule>
          <xm:sqref>Y1613</xm:sqref>
        </x14:conditionalFormatting>
        <x14:conditionalFormatting xmlns:xm="http://schemas.microsoft.com/office/excel/2006/main">
          <x14:cfRule type="dataBar" id="{9F09C56E-4AF9-4BDA-A659-B512D94C5FBA}">
            <x14:dataBar minLength="0" maxLength="100" border="1" gradient="0">
              <x14:cfvo type="num">
                <xm:f>0</xm:f>
              </x14:cfvo>
              <x14:cfvo type="num">
                <xm:f>1</xm:f>
              </x14:cfvo>
              <x14:borderColor theme="0"/>
              <x14:negativeFillColor rgb="FFFF0000"/>
              <x14:axisColor rgb="FF000000"/>
            </x14:dataBar>
          </x14:cfRule>
          <xm:sqref>Y1617</xm:sqref>
        </x14:conditionalFormatting>
        <x14:conditionalFormatting xmlns:xm="http://schemas.microsoft.com/office/excel/2006/main">
          <x14:cfRule type="dataBar" id="{868CDDF4-C108-44F0-94D2-3151D8084805}">
            <x14:dataBar minLength="0" maxLength="100" border="1" gradient="0">
              <x14:cfvo type="num">
                <xm:f>0</xm:f>
              </x14:cfvo>
              <x14:cfvo type="num">
                <xm:f>1</xm:f>
              </x14:cfvo>
              <x14:borderColor theme="0"/>
              <x14:negativeFillColor rgb="FFFF0000"/>
              <x14:axisColor rgb="FF000000"/>
            </x14:dataBar>
          </x14:cfRule>
          <xm:sqref>Y1619</xm:sqref>
        </x14:conditionalFormatting>
        <x14:conditionalFormatting xmlns:xm="http://schemas.microsoft.com/office/excel/2006/main">
          <x14:cfRule type="dataBar" id="{05F7B4D9-D38E-445D-BBCB-54D4AD80F969}">
            <x14:dataBar minLength="0" maxLength="100" border="1" gradient="0">
              <x14:cfvo type="num">
                <xm:f>0</xm:f>
              </x14:cfvo>
              <x14:cfvo type="num">
                <xm:f>1</xm:f>
              </x14:cfvo>
              <x14:borderColor theme="0"/>
              <x14:negativeFillColor rgb="FFFF0000"/>
              <x14:axisColor rgb="FF000000"/>
            </x14:dataBar>
          </x14:cfRule>
          <xm:sqref>Y1621 Y1623 Y1625</xm:sqref>
        </x14:conditionalFormatting>
        <x14:conditionalFormatting xmlns:xm="http://schemas.microsoft.com/office/excel/2006/main">
          <x14:cfRule type="dataBar" id="{2ABAC635-0962-4795-B55B-BE0DC04BC648}">
            <x14:dataBar minLength="0" maxLength="100" border="1" gradient="0">
              <x14:cfvo type="num">
                <xm:f>0</xm:f>
              </x14:cfvo>
              <x14:cfvo type="num">
                <xm:f>1</xm:f>
              </x14:cfvo>
              <x14:borderColor theme="0"/>
              <x14:negativeFillColor rgb="FFFF0000"/>
              <x14:axisColor rgb="FF000000"/>
            </x14:dataBar>
          </x14:cfRule>
          <xm:sqref>Y1627</xm:sqref>
        </x14:conditionalFormatting>
        <x14:conditionalFormatting xmlns:xm="http://schemas.microsoft.com/office/excel/2006/main">
          <x14:cfRule type="dataBar" id="{0DBE8A88-8889-46C6-8C84-89E3EF662000}">
            <x14:dataBar minLength="0" maxLength="100" border="1" gradient="0">
              <x14:cfvo type="num">
                <xm:f>0</xm:f>
              </x14:cfvo>
              <x14:cfvo type="num">
                <xm:f>1</xm:f>
              </x14:cfvo>
              <x14:borderColor theme="0"/>
              <x14:negativeFillColor rgb="FFFF0000"/>
              <x14:axisColor rgb="FF000000"/>
            </x14:dataBar>
          </x14:cfRule>
          <xm:sqref>Y1630</xm:sqref>
        </x14:conditionalFormatting>
        <x14:conditionalFormatting xmlns:xm="http://schemas.microsoft.com/office/excel/2006/main">
          <x14:cfRule type="dataBar" id="{B8B66141-814F-46D3-8CE7-98C38E520662}">
            <x14:dataBar minLength="0" maxLength="100" border="1" gradient="0">
              <x14:cfvo type="num">
                <xm:f>0</xm:f>
              </x14:cfvo>
              <x14:cfvo type="num">
                <xm:f>1</xm:f>
              </x14:cfvo>
              <x14:borderColor theme="0"/>
              <x14:negativeFillColor rgb="FFFF0000"/>
              <x14:axisColor rgb="FF000000"/>
            </x14:dataBar>
          </x14:cfRule>
          <xm:sqref>Y1632</xm:sqref>
        </x14:conditionalFormatting>
        <x14:conditionalFormatting xmlns:xm="http://schemas.microsoft.com/office/excel/2006/main">
          <x14:cfRule type="dataBar" id="{E3070D94-047C-4793-BA87-74DF52BBA297}">
            <x14:dataBar minLength="0" maxLength="100" border="1" gradient="0">
              <x14:cfvo type="num">
                <xm:f>0</xm:f>
              </x14:cfvo>
              <x14:cfvo type="num">
                <xm:f>1</xm:f>
              </x14:cfvo>
              <x14:borderColor theme="0"/>
              <x14:negativeFillColor rgb="FFFF0000"/>
              <x14:axisColor rgb="FF000000"/>
            </x14:dataBar>
          </x14:cfRule>
          <xm:sqref>Y1634 Y1636 Y1638</xm:sqref>
        </x14:conditionalFormatting>
        <x14:conditionalFormatting xmlns:xm="http://schemas.microsoft.com/office/excel/2006/main">
          <x14:cfRule type="dataBar" id="{F03597C6-F7BC-4EAE-9682-29586931BEFB}">
            <x14:dataBar minLength="0" maxLength="100" border="1" gradient="0">
              <x14:cfvo type="num">
                <xm:f>0</xm:f>
              </x14:cfvo>
              <x14:cfvo type="num">
                <xm:f>1</xm:f>
              </x14:cfvo>
              <x14:borderColor theme="0"/>
              <x14:negativeFillColor rgb="FFFF0000"/>
              <x14:axisColor rgb="FF000000"/>
            </x14:dataBar>
          </x14:cfRule>
          <xm:sqref>Y1640</xm:sqref>
        </x14:conditionalFormatting>
        <x14:conditionalFormatting xmlns:xm="http://schemas.microsoft.com/office/excel/2006/main">
          <x14:cfRule type="dataBar" id="{E528B7E9-B9BC-43FA-BBCA-CD69CB777F79}">
            <x14:dataBar minLength="0" maxLength="100" border="1" gradient="0">
              <x14:cfvo type="num">
                <xm:f>0</xm:f>
              </x14:cfvo>
              <x14:cfvo type="num">
                <xm:f>1</xm:f>
              </x14:cfvo>
              <x14:borderColor theme="0"/>
              <x14:negativeFillColor rgb="FFFF0000"/>
              <x14:axisColor rgb="FF000000"/>
            </x14:dataBar>
          </x14:cfRule>
          <xm:sqref>Y1642 Y1644 Y1646</xm:sqref>
        </x14:conditionalFormatting>
        <x14:conditionalFormatting xmlns:xm="http://schemas.microsoft.com/office/excel/2006/main">
          <x14:cfRule type="dataBar" id="{D7DB3A6E-28CB-48C2-BEEE-060BC77B965E}">
            <x14:dataBar minLength="0" maxLength="100" border="1" gradient="0">
              <x14:cfvo type="num">
                <xm:f>0</xm:f>
              </x14:cfvo>
              <x14:cfvo type="num">
                <xm:f>1</xm:f>
              </x14:cfvo>
              <x14:borderColor theme="0"/>
              <x14:negativeFillColor rgb="FFFF0000"/>
              <x14:axisColor rgb="FF000000"/>
            </x14:dataBar>
          </x14:cfRule>
          <xm:sqref>Y1648</xm:sqref>
        </x14:conditionalFormatting>
        <x14:conditionalFormatting xmlns:xm="http://schemas.microsoft.com/office/excel/2006/main">
          <x14:cfRule type="dataBar" id="{2DA5954B-2A3A-4793-A37E-975507C6123D}">
            <x14:dataBar minLength="0" maxLength="100" border="1" gradient="0">
              <x14:cfvo type="num">
                <xm:f>0</xm:f>
              </x14:cfvo>
              <x14:cfvo type="num">
                <xm:f>1</xm:f>
              </x14:cfvo>
              <x14:borderColor theme="0"/>
              <x14:negativeFillColor rgb="FFFF0000"/>
              <x14:axisColor rgb="FF000000"/>
            </x14:dataBar>
          </x14:cfRule>
          <xm:sqref>Y1650 Y1652 Y1654</xm:sqref>
        </x14:conditionalFormatting>
        <x14:conditionalFormatting xmlns:xm="http://schemas.microsoft.com/office/excel/2006/main">
          <x14:cfRule type="dataBar" id="{5D245908-37A8-4A66-93A3-E1C67DB8D626}">
            <x14:dataBar minLength="0" maxLength="100" border="1" gradient="0">
              <x14:cfvo type="num">
                <xm:f>0</xm:f>
              </x14:cfvo>
              <x14:cfvo type="num">
                <xm:f>1</xm:f>
              </x14:cfvo>
              <x14:borderColor theme="0"/>
              <x14:negativeFillColor rgb="FFFF0000"/>
              <x14:axisColor rgb="FF000000"/>
            </x14:dataBar>
          </x14:cfRule>
          <xm:sqref>Y1656</xm:sqref>
        </x14:conditionalFormatting>
        <x14:conditionalFormatting xmlns:xm="http://schemas.microsoft.com/office/excel/2006/main">
          <x14:cfRule type="dataBar" id="{A29994BD-96BF-4664-93FF-0F227F3599F2}">
            <x14:dataBar minLength="0" maxLength="100" border="1" gradient="0">
              <x14:cfvo type="num">
                <xm:f>0</xm:f>
              </x14:cfvo>
              <x14:cfvo type="num">
                <xm:f>1</xm:f>
              </x14:cfvo>
              <x14:borderColor theme="0"/>
              <x14:negativeFillColor rgb="FFFF0000"/>
              <x14:axisColor rgb="FF000000"/>
            </x14:dataBar>
          </x14:cfRule>
          <xm:sqref>Y1658 Y1660 Y1662</xm:sqref>
        </x14:conditionalFormatting>
        <x14:conditionalFormatting xmlns:xm="http://schemas.microsoft.com/office/excel/2006/main">
          <x14:cfRule type="dataBar" id="{E3896BE8-788F-48E9-98EA-A9960384A48A}">
            <x14:dataBar minLength="0" maxLength="100" border="1" gradient="0">
              <x14:cfvo type="num">
                <xm:f>0</xm:f>
              </x14:cfvo>
              <x14:cfvo type="num">
                <xm:f>1</xm:f>
              </x14:cfvo>
              <x14:borderColor theme="0"/>
              <x14:negativeFillColor rgb="FFFF0000"/>
              <x14:axisColor rgb="FF000000"/>
            </x14:dataBar>
          </x14:cfRule>
          <xm:sqref>Y1664</xm:sqref>
        </x14:conditionalFormatting>
        <x14:conditionalFormatting xmlns:xm="http://schemas.microsoft.com/office/excel/2006/main">
          <x14:cfRule type="dataBar" id="{B05D212A-11D9-4576-A476-72D560E6F330}">
            <x14:dataBar minLength="0" maxLength="100" border="1" gradient="0">
              <x14:cfvo type="num">
                <xm:f>0</xm:f>
              </x14:cfvo>
              <x14:cfvo type="num">
                <xm:f>1</xm:f>
              </x14:cfvo>
              <x14:borderColor theme="0"/>
              <x14:negativeFillColor rgb="FFFF0000"/>
              <x14:axisColor rgb="FF000000"/>
            </x14:dataBar>
          </x14:cfRule>
          <xm:sqref>Y1666 Y1668 Y1670</xm:sqref>
        </x14:conditionalFormatting>
        <x14:conditionalFormatting xmlns:xm="http://schemas.microsoft.com/office/excel/2006/main">
          <x14:cfRule type="dataBar" id="{33E032CA-000F-44B8-A65A-458661B2B16A}">
            <x14:dataBar minLength="0" maxLength="100" border="1" gradient="0">
              <x14:cfvo type="num">
                <xm:f>0</xm:f>
              </x14:cfvo>
              <x14:cfvo type="num">
                <xm:f>1</xm:f>
              </x14:cfvo>
              <x14:borderColor theme="0"/>
              <x14:negativeFillColor rgb="FFFF0000"/>
              <x14:axisColor rgb="FF000000"/>
            </x14:dataBar>
          </x14:cfRule>
          <xm:sqref>Y1672</xm:sqref>
        </x14:conditionalFormatting>
        <x14:conditionalFormatting xmlns:xm="http://schemas.microsoft.com/office/excel/2006/main">
          <x14:cfRule type="dataBar" id="{1FC98380-5746-47BD-B774-85EDD75E9A61}">
            <x14:dataBar minLength="0" maxLength="100" border="1" gradient="0">
              <x14:cfvo type="num">
                <xm:f>0</xm:f>
              </x14:cfvo>
              <x14:cfvo type="num">
                <xm:f>1</xm:f>
              </x14:cfvo>
              <x14:borderColor theme="0"/>
              <x14:negativeFillColor rgb="FFFF0000"/>
              <x14:axisColor rgb="FF000000"/>
            </x14:dataBar>
          </x14:cfRule>
          <xm:sqref>Y1674 Y1676 Y1678</xm:sqref>
        </x14:conditionalFormatting>
        <x14:conditionalFormatting xmlns:xm="http://schemas.microsoft.com/office/excel/2006/main">
          <x14:cfRule type="dataBar" id="{36A1C11E-3185-4918-9195-8A82343A4BF8}">
            <x14:dataBar minLength="0" maxLength="100" border="1" gradient="0">
              <x14:cfvo type="num">
                <xm:f>0</xm:f>
              </x14:cfvo>
              <x14:cfvo type="num">
                <xm:f>1</xm:f>
              </x14:cfvo>
              <x14:borderColor theme="0"/>
              <x14:negativeFillColor rgb="FFFF0000"/>
              <x14:axisColor rgb="FF000000"/>
            </x14:dataBar>
          </x14:cfRule>
          <xm:sqref>Y1680</xm:sqref>
        </x14:conditionalFormatting>
        <x14:conditionalFormatting xmlns:xm="http://schemas.microsoft.com/office/excel/2006/main">
          <x14:cfRule type="dataBar" id="{81BEC1B7-2662-4A73-8DF3-0175692C9E6F}">
            <x14:dataBar minLength="0" maxLength="100" border="1" gradient="0">
              <x14:cfvo type="num">
                <xm:f>0</xm:f>
              </x14:cfvo>
              <x14:cfvo type="num">
                <xm:f>1</xm:f>
              </x14:cfvo>
              <x14:borderColor theme="0"/>
              <x14:negativeFillColor rgb="FFFF0000"/>
              <x14:axisColor rgb="FF000000"/>
            </x14:dataBar>
          </x14:cfRule>
          <xm:sqref>Y1682 Y1684 Y1686</xm:sqref>
        </x14:conditionalFormatting>
        <x14:conditionalFormatting xmlns:xm="http://schemas.microsoft.com/office/excel/2006/main">
          <x14:cfRule type="dataBar" id="{544A7167-7831-451A-8FDA-213435CBC2F0}">
            <x14:dataBar minLength="0" maxLength="100" border="1" gradient="0">
              <x14:cfvo type="num">
                <xm:f>0</xm:f>
              </x14:cfvo>
              <x14:cfvo type="num">
                <xm:f>1</xm:f>
              </x14:cfvo>
              <x14:borderColor theme="0"/>
              <x14:negativeFillColor rgb="FFFF0000"/>
              <x14:axisColor rgb="FF000000"/>
            </x14:dataBar>
          </x14:cfRule>
          <xm:sqref>Y1688</xm:sqref>
        </x14:conditionalFormatting>
        <x14:conditionalFormatting xmlns:xm="http://schemas.microsoft.com/office/excel/2006/main">
          <x14:cfRule type="dataBar" id="{19464C19-4700-47E0-AAA1-192D4EB8D8C5}">
            <x14:dataBar minLength="0" maxLength="100" border="1" gradient="0">
              <x14:cfvo type="num">
                <xm:f>0</xm:f>
              </x14:cfvo>
              <x14:cfvo type="num">
                <xm:f>1</xm:f>
              </x14:cfvo>
              <x14:borderColor theme="0"/>
              <x14:negativeFillColor rgb="FFFF0000"/>
              <x14:axisColor rgb="FF000000"/>
            </x14:dataBar>
          </x14:cfRule>
          <xm:sqref>Y1690 Y1692 Y1694</xm:sqref>
        </x14:conditionalFormatting>
        <x14:conditionalFormatting xmlns:xm="http://schemas.microsoft.com/office/excel/2006/main">
          <x14:cfRule type="dataBar" id="{04A25023-37C4-459B-8AAF-47F2A52DC206}">
            <x14:dataBar minLength="0" maxLength="100" border="1" gradient="0">
              <x14:cfvo type="num">
                <xm:f>0</xm:f>
              </x14:cfvo>
              <x14:cfvo type="num">
                <xm:f>1</xm:f>
              </x14:cfvo>
              <x14:borderColor theme="0"/>
              <x14:negativeFillColor rgb="FFFF0000"/>
              <x14:axisColor rgb="FF000000"/>
            </x14:dataBar>
          </x14:cfRule>
          <xm:sqref>Y1698</xm:sqref>
        </x14:conditionalFormatting>
        <x14:conditionalFormatting xmlns:xm="http://schemas.microsoft.com/office/excel/2006/main">
          <x14:cfRule type="dataBar" id="{995BFF7C-6279-45F9-BAD4-636B0C613D38}">
            <x14:dataBar minLength="0" maxLength="100" border="1" gradient="0">
              <x14:cfvo type="num">
                <xm:f>0</xm:f>
              </x14:cfvo>
              <x14:cfvo type="num">
                <xm:f>1</xm:f>
              </x14:cfvo>
              <x14:borderColor theme="0"/>
              <x14:negativeFillColor rgb="FFFF0000"/>
              <x14:axisColor rgb="FF000000"/>
            </x14:dataBar>
          </x14:cfRule>
          <xm:sqref>Y1700</xm:sqref>
        </x14:conditionalFormatting>
        <x14:conditionalFormatting xmlns:xm="http://schemas.microsoft.com/office/excel/2006/main">
          <x14:cfRule type="dataBar" id="{136B92EA-F5F0-4EB9-B443-23125E373AF0}">
            <x14:dataBar minLength="0" maxLength="100" border="1" gradient="0">
              <x14:cfvo type="num">
                <xm:f>0</xm:f>
              </x14:cfvo>
              <x14:cfvo type="num">
                <xm:f>1</xm:f>
              </x14:cfvo>
              <x14:borderColor theme="0"/>
              <x14:negativeFillColor rgb="FFFF0000"/>
              <x14:axisColor rgb="FF000000"/>
            </x14:dataBar>
          </x14:cfRule>
          <xm:sqref>Y1702 Y1704</xm:sqref>
        </x14:conditionalFormatting>
        <x14:conditionalFormatting xmlns:xm="http://schemas.microsoft.com/office/excel/2006/main">
          <x14:cfRule type="dataBar" id="{7F90F056-4F4D-427C-9B27-6F73028B7101}">
            <x14:dataBar minLength="0" maxLength="100" border="1" gradient="0">
              <x14:cfvo type="num">
                <xm:f>0</xm:f>
              </x14:cfvo>
              <x14:cfvo type="num">
                <xm:f>1</xm:f>
              </x14:cfvo>
              <x14:borderColor theme="0"/>
              <x14:negativeFillColor rgb="FFFF0000"/>
              <x14:axisColor rgb="FF000000"/>
            </x14:dataBar>
          </x14:cfRule>
          <xm:sqref>Y1706</xm:sqref>
        </x14:conditionalFormatting>
        <x14:conditionalFormatting xmlns:xm="http://schemas.microsoft.com/office/excel/2006/main">
          <x14:cfRule type="dataBar" id="{54000BC7-67FF-4508-A3D0-DEA8B2AC1B0A}">
            <x14:dataBar minLength="0" maxLength="100" border="1" gradient="0">
              <x14:cfvo type="num">
                <xm:f>0</xm:f>
              </x14:cfvo>
              <x14:cfvo type="num">
                <xm:f>1</xm:f>
              </x14:cfvo>
              <x14:borderColor theme="0"/>
              <x14:negativeFillColor rgb="FFFF0000"/>
              <x14:axisColor rgb="FF000000"/>
            </x14:dataBar>
          </x14:cfRule>
          <xm:sqref>Y1708</xm:sqref>
        </x14:conditionalFormatting>
        <x14:conditionalFormatting xmlns:xm="http://schemas.microsoft.com/office/excel/2006/main">
          <x14:cfRule type="dataBar" id="{36AA8574-EC2B-4241-894B-3E57DCFCF288}">
            <x14:dataBar minLength="0" maxLength="100" border="1" gradient="0">
              <x14:cfvo type="num">
                <xm:f>0</xm:f>
              </x14:cfvo>
              <x14:cfvo type="num">
                <xm:f>1</xm:f>
              </x14:cfvo>
              <x14:borderColor theme="0"/>
              <x14:negativeFillColor rgb="FFFF0000"/>
              <x14:axisColor rgb="FF000000"/>
            </x14:dataBar>
          </x14:cfRule>
          <xm:sqref>Y1710</xm:sqref>
        </x14:conditionalFormatting>
        <x14:conditionalFormatting xmlns:xm="http://schemas.microsoft.com/office/excel/2006/main">
          <x14:cfRule type="dataBar" id="{E5191620-B863-43A3-9B0A-988005F6EF53}">
            <x14:dataBar minLength="0" maxLength="100" border="1" gradient="0">
              <x14:cfvo type="num">
                <xm:f>0</xm:f>
              </x14:cfvo>
              <x14:cfvo type="num">
                <xm:f>1</xm:f>
              </x14:cfvo>
              <x14:borderColor theme="0"/>
              <x14:negativeFillColor rgb="FFFF0000"/>
              <x14:axisColor rgb="FF000000"/>
            </x14:dataBar>
          </x14:cfRule>
          <xm:sqref>Y1712</xm:sqref>
        </x14:conditionalFormatting>
        <x14:conditionalFormatting xmlns:xm="http://schemas.microsoft.com/office/excel/2006/main">
          <x14:cfRule type="dataBar" id="{0FB3EFE6-A0EA-4ECE-9610-92E8E200A4E3}">
            <x14:dataBar minLength="0" maxLength="100" border="1" gradient="0">
              <x14:cfvo type="num">
                <xm:f>0</xm:f>
              </x14:cfvo>
              <x14:cfvo type="num">
                <xm:f>1</xm:f>
              </x14:cfvo>
              <x14:borderColor theme="0"/>
              <x14:negativeFillColor rgb="FFFF0000"/>
              <x14:axisColor rgb="FF000000"/>
            </x14:dataBar>
          </x14:cfRule>
          <xm:sqref>Y1714</xm:sqref>
        </x14:conditionalFormatting>
        <x14:conditionalFormatting xmlns:xm="http://schemas.microsoft.com/office/excel/2006/main">
          <x14:cfRule type="dataBar" id="{222B3DE8-B648-45BF-A641-B0AAA93F38D3}">
            <x14:dataBar minLength="0" maxLength="100" border="1" gradient="0">
              <x14:cfvo type="num">
                <xm:f>0</xm:f>
              </x14:cfvo>
              <x14:cfvo type="num">
                <xm:f>1</xm:f>
              </x14:cfvo>
              <x14:borderColor theme="0"/>
              <x14:negativeFillColor rgb="FFFF0000"/>
              <x14:axisColor rgb="FF000000"/>
            </x14:dataBar>
          </x14:cfRule>
          <xm:sqref>Y1716</xm:sqref>
        </x14:conditionalFormatting>
        <x14:conditionalFormatting xmlns:xm="http://schemas.microsoft.com/office/excel/2006/main">
          <x14:cfRule type="dataBar" id="{7B18FF09-A498-4ED9-BE43-8E9811885C5C}">
            <x14:dataBar minLength="0" maxLength="100" border="1" gradient="0">
              <x14:cfvo type="num">
                <xm:f>0</xm:f>
              </x14:cfvo>
              <x14:cfvo type="num">
                <xm:f>1</xm:f>
              </x14:cfvo>
              <x14:borderColor theme="0"/>
              <x14:negativeFillColor rgb="FFFF0000"/>
              <x14:axisColor rgb="FF000000"/>
            </x14:dataBar>
          </x14:cfRule>
          <xm:sqref>Y1718 Y1720</xm:sqref>
        </x14:conditionalFormatting>
        <x14:conditionalFormatting xmlns:xm="http://schemas.microsoft.com/office/excel/2006/main">
          <x14:cfRule type="dataBar" id="{CE46AE03-915E-4A53-B278-B346F54CD0B8}">
            <x14:dataBar minLength="0" maxLength="100" border="1" gradient="0">
              <x14:cfvo type="num">
                <xm:f>0</xm:f>
              </x14:cfvo>
              <x14:cfvo type="num">
                <xm:f>1</xm:f>
              </x14:cfvo>
              <x14:borderColor theme="0"/>
              <x14:negativeFillColor rgb="FFFF0000"/>
              <x14:axisColor rgb="FF000000"/>
            </x14:dataBar>
          </x14:cfRule>
          <xm:sqref>Y1722</xm:sqref>
        </x14:conditionalFormatting>
        <x14:conditionalFormatting xmlns:xm="http://schemas.microsoft.com/office/excel/2006/main">
          <x14:cfRule type="dataBar" id="{752772C9-58AD-4C09-A9A6-BF21860BD7B2}">
            <x14:dataBar minLength="0" maxLength="100" border="1" gradient="0">
              <x14:cfvo type="num">
                <xm:f>0</xm:f>
              </x14:cfvo>
              <x14:cfvo type="num">
                <xm:f>1</xm:f>
              </x14:cfvo>
              <x14:borderColor theme="0"/>
              <x14:negativeFillColor rgb="FFFF0000"/>
              <x14:axisColor rgb="FF000000"/>
            </x14:dataBar>
          </x14:cfRule>
          <xm:sqref>Y1724</xm:sqref>
        </x14:conditionalFormatting>
        <x14:conditionalFormatting xmlns:xm="http://schemas.microsoft.com/office/excel/2006/main">
          <x14:cfRule type="dataBar" id="{F039903C-1B73-4B6C-93C8-AC7FC1B0B89B}">
            <x14:dataBar minLength="0" maxLength="100" border="1" gradient="0">
              <x14:cfvo type="num">
                <xm:f>0</xm:f>
              </x14:cfvo>
              <x14:cfvo type="num">
                <xm:f>1</xm:f>
              </x14:cfvo>
              <x14:borderColor theme="0"/>
              <x14:negativeFillColor rgb="FFFF0000"/>
              <x14:axisColor rgb="FF000000"/>
            </x14:dataBar>
          </x14:cfRule>
          <xm:sqref>Y1726</xm:sqref>
        </x14:conditionalFormatting>
        <x14:conditionalFormatting xmlns:xm="http://schemas.microsoft.com/office/excel/2006/main">
          <x14:cfRule type="dataBar" id="{AA99FACC-2276-42A3-9EBE-73939B543D24}">
            <x14:dataBar minLength="0" maxLength="100" border="1" gradient="0">
              <x14:cfvo type="num">
                <xm:f>0</xm:f>
              </x14:cfvo>
              <x14:cfvo type="num">
                <xm:f>1</xm:f>
              </x14:cfvo>
              <x14:borderColor theme="0"/>
              <x14:negativeFillColor rgb="FFFF0000"/>
              <x14:axisColor rgb="FF000000"/>
            </x14:dataBar>
          </x14:cfRule>
          <xm:sqref>Y1728</xm:sqref>
        </x14:conditionalFormatting>
        <x14:conditionalFormatting xmlns:xm="http://schemas.microsoft.com/office/excel/2006/main">
          <x14:cfRule type="dataBar" id="{E253A27C-5761-41EF-A6A0-9DBB450CD2BF}">
            <x14:dataBar minLength="0" maxLength="100" border="1" gradient="0">
              <x14:cfvo type="num">
                <xm:f>0</xm:f>
              </x14:cfvo>
              <x14:cfvo type="num">
                <xm:f>1</xm:f>
              </x14:cfvo>
              <x14:borderColor theme="0"/>
              <x14:negativeFillColor rgb="FFFF0000"/>
              <x14:axisColor rgb="FF000000"/>
            </x14:dataBar>
          </x14:cfRule>
          <xm:sqref>Y1730</xm:sqref>
        </x14:conditionalFormatting>
        <x14:conditionalFormatting xmlns:xm="http://schemas.microsoft.com/office/excel/2006/main">
          <x14:cfRule type="dataBar" id="{055556C8-84B4-4690-B3AC-CC9184F97743}">
            <x14:dataBar minLength="0" maxLength="100" border="1" gradient="0">
              <x14:cfvo type="num">
                <xm:f>0</xm:f>
              </x14:cfvo>
              <x14:cfvo type="num">
                <xm:f>1</xm:f>
              </x14:cfvo>
              <x14:borderColor theme="0"/>
              <x14:negativeFillColor rgb="FFFF0000"/>
              <x14:axisColor rgb="FF000000"/>
            </x14:dataBar>
          </x14:cfRule>
          <xm:sqref>Y1732</xm:sqref>
        </x14:conditionalFormatting>
        <x14:conditionalFormatting xmlns:xm="http://schemas.microsoft.com/office/excel/2006/main">
          <x14:cfRule type="dataBar" id="{6F4581BF-DBC4-42D0-9DF7-0F438A8E479A}">
            <x14:dataBar minLength="0" maxLength="100" border="1" gradient="0">
              <x14:cfvo type="num">
                <xm:f>0</xm:f>
              </x14:cfvo>
              <x14:cfvo type="num">
                <xm:f>1</xm:f>
              </x14:cfvo>
              <x14:borderColor theme="0"/>
              <x14:negativeFillColor rgb="FFFF0000"/>
              <x14:axisColor rgb="FF000000"/>
            </x14:dataBar>
          </x14:cfRule>
          <xm:sqref>Y1734 Y1736</xm:sqref>
        </x14:conditionalFormatting>
        <x14:conditionalFormatting xmlns:xm="http://schemas.microsoft.com/office/excel/2006/main">
          <x14:cfRule type="dataBar" id="{A535D82C-A037-422E-8C71-E4B87E609C9E}">
            <x14:dataBar minLength="0" maxLength="100" border="1" gradient="0">
              <x14:cfvo type="num">
                <xm:f>0</xm:f>
              </x14:cfvo>
              <x14:cfvo type="num">
                <xm:f>1</xm:f>
              </x14:cfvo>
              <x14:borderColor theme="0"/>
              <x14:negativeFillColor rgb="FFFF0000"/>
              <x14:axisColor rgb="FF000000"/>
            </x14:dataBar>
          </x14:cfRule>
          <xm:sqref>Y1738</xm:sqref>
        </x14:conditionalFormatting>
        <x14:conditionalFormatting xmlns:xm="http://schemas.microsoft.com/office/excel/2006/main">
          <x14:cfRule type="dataBar" id="{16A3D7B8-C3FB-49AF-8840-66BEA9CCF428}">
            <x14:dataBar minLength="0" maxLength="100" border="1" gradient="0">
              <x14:cfvo type="num">
                <xm:f>0</xm:f>
              </x14:cfvo>
              <x14:cfvo type="num">
                <xm:f>1</xm:f>
              </x14:cfvo>
              <x14:borderColor theme="0"/>
              <x14:negativeFillColor rgb="FFFF0000"/>
              <x14:axisColor rgb="FF000000"/>
            </x14:dataBar>
          </x14:cfRule>
          <xm:sqref>Y1740</xm:sqref>
        </x14:conditionalFormatting>
        <x14:conditionalFormatting xmlns:xm="http://schemas.microsoft.com/office/excel/2006/main">
          <x14:cfRule type="dataBar" id="{238153FF-E9A3-4A52-B16E-DA53F229B3D4}">
            <x14:dataBar minLength="0" maxLength="100" border="1" gradient="0">
              <x14:cfvo type="num">
                <xm:f>0</xm:f>
              </x14:cfvo>
              <x14:cfvo type="num">
                <xm:f>1</xm:f>
              </x14:cfvo>
              <x14:borderColor theme="0"/>
              <x14:negativeFillColor rgb="FFFF0000"/>
              <x14:axisColor rgb="FF000000"/>
            </x14:dataBar>
          </x14:cfRule>
          <xm:sqref>Y1742</xm:sqref>
        </x14:conditionalFormatting>
        <x14:conditionalFormatting xmlns:xm="http://schemas.microsoft.com/office/excel/2006/main">
          <x14:cfRule type="dataBar" id="{A086CCF9-9363-46F8-83E8-6BB35C5B2294}">
            <x14:dataBar minLength="0" maxLength="100" border="1" gradient="0">
              <x14:cfvo type="num">
                <xm:f>0</xm:f>
              </x14:cfvo>
              <x14:cfvo type="num">
                <xm:f>1</xm:f>
              </x14:cfvo>
              <x14:borderColor theme="0"/>
              <x14:negativeFillColor rgb="FFFF0000"/>
              <x14:axisColor rgb="FF000000"/>
            </x14:dataBar>
          </x14:cfRule>
          <xm:sqref>Y1744</xm:sqref>
        </x14:conditionalFormatting>
        <x14:conditionalFormatting xmlns:xm="http://schemas.microsoft.com/office/excel/2006/main">
          <x14:cfRule type="dataBar" id="{D5CCBB87-ADC1-4135-8A39-C22B0410F0FF}">
            <x14:dataBar minLength="0" maxLength="100" border="1" gradient="0">
              <x14:cfvo type="num">
                <xm:f>0</xm:f>
              </x14:cfvo>
              <x14:cfvo type="num">
                <xm:f>1</xm:f>
              </x14:cfvo>
              <x14:borderColor theme="0"/>
              <x14:negativeFillColor rgb="FFFF0000"/>
              <x14:axisColor rgb="FF000000"/>
            </x14:dataBar>
          </x14:cfRule>
          <xm:sqref>Y1746</xm:sqref>
        </x14:conditionalFormatting>
        <x14:conditionalFormatting xmlns:xm="http://schemas.microsoft.com/office/excel/2006/main">
          <x14:cfRule type="dataBar" id="{A59E4402-623E-4A0E-B1C6-647A3074C0A0}">
            <x14:dataBar minLength="0" maxLength="100" border="1" gradient="0">
              <x14:cfvo type="num">
                <xm:f>0</xm:f>
              </x14:cfvo>
              <x14:cfvo type="num">
                <xm:f>1</xm:f>
              </x14:cfvo>
              <x14:borderColor theme="0"/>
              <x14:negativeFillColor rgb="FFFF0000"/>
              <x14:axisColor rgb="FF000000"/>
            </x14:dataBar>
          </x14:cfRule>
          <xm:sqref>Y1748</xm:sqref>
        </x14:conditionalFormatting>
        <x14:conditionalFormatting xmlns:xm="http://schemas.microsoft.com/office/excel/2006/main">
          <x14:cfRule type="dataBar" id="{2510A939-6E56-40AB-84C8-1603BEE7C69E}">
            <x14:dataBar minLength="0" maxLength="100" border="1" gradient="0">
              <x14:cfvo type="num">
                <xm:f>0</xm:f>
              </x14:cfvo>
              <x14:cfvo type="num">
                <xm:f>1</xm:f>
              </x14:cfvo>
              <x14:borderColor theme="0"/>
              <x14:negativeFillColor rgb="FFFF0000"/>
              <x14:axisColor rgb="FF000000"/>
            </x14:dataBar>
          </x14:cfRule>
          <xm:sqref>Y1750 Y1752</xm:sqref>
        </x14:conditionalFormatting>
        <x14:conditionalFormatting xmlns:xm="http://schemas.microsoft.com/office/excel/2006/main">
          <x14:cfRule type="dataBar" id="{7E416D32-F18C-455F-A08D-CE19D9D2F0C1}">
            <x14:dataBar minLength="0" maxLength="100" border="1" gradient="0">
              <x14:cfvo type="num">
                <xm:f>0</xm:f>
              </x14:cfvo>
              <x14:cfvo type="num">
                <xm:f>1</xm:f>
              </x14:cfvo>
              <x14:borderColor theme="0"/>
              <x14:negativeFillColor rgb="FFFF0000"/>
              <x14:axisColor rgb="FF000000"/>
            </x14:dataBar>
          </x14:cfRule>
          <xm:sqref>Y1754</xm:sqref>
        </x14:conditionalFormatting>
        <x14:conditionalFormatting xmlns:xm="http://schemas.microsoft.com/office/excel/2006/main">
          <x14:cfRule type="dataBar" id="{178649B4-F373-484D-A7EA-7366697800C8}">
            <x14:dataBar minLength="0" maxLength="100" border="1" gradient="0">
              <x14:cfvo type="num">
                <xm:f>0</xm:f>
              </x14:cfvo>
              <x14:cfvo type="num">
                <xm:f>1</xm:f>
              </x14:cfvo>
              <x14:borderColor theme="0"/>
              <x14:negativeFillColor rgb="FFFF0000"/>
              <x14:axisColor rgb="FF000000"/>
            </x14:dataBar>
          </x14:cfRule>
          <xm:sqref>Y1756</xm:sqref>
        </x14:conditionalFormatting>
        <x14:conditionalFormatting xmlns:xm="http://schemas.microsoft.com/office/excel/2006/main">
          <x14:cfRule type="dataBar" id="{09220707-7608-4121-B3FA-2D093794932D}">
            <x14:dataBar minLength="0" maxLength="100" border="1" gradient="0">
              <x14:cfvo type="num">
                <xm:f>0</xm:f>
              </x14:cfvo>
              <x14:cfvo type="num">
                <xm:f>1</xm:f>
              </x14:cfvo>
              <x14:borderColor theme="0"/>
              <x14:negativeFillColor rgb="FFFF0000"/>
              <x14:axisColor rgb="FF000000"/>
            </x14:dataBar>
          </x14:cfRule>
          <xm:sqref>Y1758</xm:sqref>
        </x14:conditionalFormatting>
        <x14:conditionalFormatting xmlns:xm="http://schemas.microsoft.com/office/excel/2006/main">
          <x14:cfRule type="dataBar" id="{40CB0151-F9D7-49C0-A805-2D7E291B3A8D}">
            <x14:dataBar minLength="0" maxLength="100" border="1" gradient="0">
              <x14:cfvo type="num">
                <xm:f>0</xm:f>
              </x14:cfvo>
              <x14:cfvo type="num">
                <xm:f>1</xm:f>
              </x14:cfvo>
              <x14:borderColor theme="0"/>
              <x14:negativeFillColor rgb="FFFF0000"/>
              <x14:axisColor rgb="FF000000"/>
            </x14:dataBar>
          </x14:cfRule>
          <xm:sqref>Y1760</xm:sqref>
        </x14:conditionalFormatting>
        <x14:conditionalFormatting xmlns:xm="http://schemas.microsoft.com/office/excel/2006/main">
          <x14:cfRule type="dataBar" id="{D4D0EF38-AED5-45A2-88FA-D206E77EA131}">
            <x14:dataBar minLength="0" maxLength="100" border="1" gradient="0">
              <x14:cfvo type="num">
                <xm:f>0</xm:f>
              </x14:cfvo>
              <x14:cfvo type="num">
                <xm:f>1</xm:f>
              </x14:cfvo>
              <x14:borderColor theme="0"/>
              <x14:negativeFillColor rgb="FFFF0000"/>
              <x14:axisColor rgb="FF000000"/>
            </x14:dataBar>
          </x14:cfRule>
          <xm:sqref>Y1762</xm:sqref>
        </x14:conditionalFormatting>
        <x14:conditionalFormatting xmlns:xm="http://schemas.microsoft.com/office/excel/2006/main">
          <x14:cfRule type="dataBar" id="{C0035A37-DF7A-4E17-8CF8-435F535D6DAB}">
            <x14:dataBar minLength="0" maxLength="100" border="1" gradient="0">
              <x14:cfvo type="num">
                <xm:f>0</xm:f>
              </x14:cfvo>
              <x14:cfvo type="num">
                <xm:f>1</xm:f>
              </x14:cfvo>
              <x14:borderColor theme="0"/>
              <x14:negativeFillColor rgb="FFFF0000"/>
              <x14:axisColor rgb="FF000000"/>
            </x14:dataBar>
          </x14:cfRule>
          <xm:sqref>Y1764</xm:sqref>
        </x14:conditionalFormatting>
        <x14:conditionalFormatting xmlns:xm="http://schemas.microsoft.com/office/excel/2006/main">
          <x14:cfRule type="dataBar" id="{EEB4DB96-7BD8-498B-ADA4-3D52B74D94DA}">
            <x14:dataBar minLength="0" maxLength="100" border="1" gradient="0">
              <x14:cfvo type="num">
                <xm:f>0</xm:f>
              </x14:cfvo>
              <x14:cfvo type="num">
                <xm:f>1</xm:f>
              </x14:cfvo>
              <x14:borderColor theme="0"/>
              <x14:negativeFillColor rgb="FFFF0000"/>
              <x14:axisColor rgb="FF000000"/>
            </x14:dataBar>
          </x14:cfRule>
          <xm:sqref>Y1766</xm:sqref>
        </x14:conditionalFormatting>
        <x14:conditionalFormatting xmlns:xm="http://schemas.microsoft.com/office/excel/2006/main">
          <x14:cfRule type="dataBar" id="{3ED047AC-4A4F-44EE-A3F1-82958CB49D34}">
            <x14:dataBar minLength="0" maxLength="100" border="1" gradient="0">
              <x14:cfvo type="num">
                <xm:f>0</xm:f>
              </x14:cfvo>
              <x14:cfvo type="num">
                <xm:f>1</xm:f>
              </x14:cfvo>
              <x14:borderColor theme="0"/>
              <x14:negativeFillColor rgb="FFFF0000"/>
              <x14:axisColor rgb="FF000000"/>
            </x14:dataBar>
          </x14:cfRule>
          <xm:sqref>Y1770</xm:sqref>
        </x14:conditionalFormatting>
        <x14:conditionalFormatting xmlns:xm="http://schemas.microsoft.com/office/excel/2006/main">
          <x14:cfRule type="dataBar" id="{4FCAD30B-D1D6-4B54-8544-46A48CC2755E}">
            <x14:dataBar minLength="0" maxLength="100" border="1" gradient="0">
              <x14:cfvo type="num">
                <xm:f>0</xm:f>
              </x14:cfvo>
              <x14:cfvo type="num">
                <xm:f>1</xm:f>
              </x14:cfvo>
              <x14:borderColor theme="0"/>
              <x14:negativeFillColor rgb="FFFF0000"/>
              <x14:axisColor rgb="FF000000"/>
            </x14:dataBar>
          </x14:cfRule>
          <xm:sqref>Y1773</xm:sqref>
        </x14:conditionalFormatting>
        <x14:conditionalFormatting xmlns:xm="http://schemas.microsoft.com/office/excel/2006/main">
          <x14:cfRule type="dataBar" id="{8877CAA7-0525-4C6D-9D66-08BBEE717D84}">
            <x14:dataBar minLength="0" maxLength="100" border="1" gradient="0">
              <x14:cfvo type="num">
                <xm:f>0</xm:f>
              </x14:cfvo>
              <x14:cfvo type="num">
                <xm:f>1</xm:f>
              </x14:cfvo>
              <x14:borderColor theme="0"/>
              <x14:negativeFillColor rgb="FFFF0000"/>
              <x14:axisColor rgb="FF000000"/>
            </x14:dataBar>
          </x14:cfRule>
          <xm:sqref>Y1775</xm:sqref>
        </x14:conditionalFormatting>
        <x14:conditionalFormatting xmlns:xm="http://schemas.microsoft.com/office/excel/2006/main">
          <x14:cfRule type="dataBar" id="{4CDAD1E5-50DD-47DA-A8EB-6A99779C6C8B}">
            <x14:dataBar minLength="0" maxLength="100" border="1" gradient="0">
              <x14:cfvo type="num">
                <xm:f>0</xm:f>
              </x14:cfvo>
              <x14:cfvo type="num">
                <xm:f>1</xm:f>
              </x14:cfvo>
              <x14:borderColor theme="0"/>
              <x14:negativeFillColor rgb="FFFF0000"/>
              <x14:axisColor rgb="FF000000"/>
            </x14:dataBar>
          </x14:cfRule>
          <xm:sqref>Y1777</xm:sqref>
        </x14:conditionalFormatting>
        <x14:conditionalFormatting xmlns:xm="http://schemas.microsoft.com/office/excel/2006/main">
          <x14:cfRule type="dataBar" id="{CE9864E3-7C1E-48B1-803C-E568400E5CBF}">
            <x14:dataBar minLength="0" maxLength="100" border="1" gradient="0">
              <x14:cfvo type="num">
                <xm:f>0</xm:f>
              </x14:cfvo>
              <x14:cfvo type="num">
                <xm:f>1</xm:f>
              </x14:cfvo>
              <x14:borderColor theme="0"/>
              <x14:negativeFillColor rgb="FFFF0000"/>
              <x14:axisColor rgb="FF000000"/>
            </x14:dataBar>
          </x14:cfRule>
          <xm:sqref>Y1779</xm:sqref>
        </x14:conditionalFormatting>
        <x14:conditionalFormatting xmlns:xm="http://schemas.microsoft.com/office/excel/2006/main">
          <x14:cfRule type="dataBar" id="{7D2C5995-9813-4A93-8CB8-381A28DC6BF8}">
            <x14:dataBar minLength="0" maxLength="100" border="1" gradient="0">
              <x14:cfvo type="num">
                <xm:f>0</xm:f>
              </x14:cfvo>
              <x14:cfvo type="num">
                <xm:f>1</xm:f>
              </x14:cfvo>
              <x14:borderColor theme="0"/>
              <x14:negativeFillColor rgb="FFFF0000"/>
              <x14:axisColor rgb="FF000000"/>
            </x14:dataBar>
          </x14:cfRule>
          <xm:sqref>Y1781</xm:sqref>
        </x14:conditionalFormatting>
        <x14:conditionalFormatting xmlns:xm="http://schemas.microsoft.com/office/excel/2006/main">
          <x14:cfRule type="dataBar" id="{6E222E17-5FBC-4D75-A2A7-FF04A8696105}">
            <x14:dataBar minLength="0" maxLength="100" border="1" gradient="0">
              <x14:cfvo type="num">
                <xm:f>0</xm:f>
              </x14:cfvo>
              <x14:cfvo type="num">
                <xm:f>1</xm:f>
              </x14:cfvo>
              <x14:borderColor theme="0"/>
              <x14:negativeFillColor rgb="FFFF0000"/>
              <x14:axisColor rgb="FF000000"/>
            </x14:dataBar>
          </x14:cfRule>
          <xm:sqref>Y1783</xm:sqref>
        </x14:conditionalFormatting>
        <x14:conditionalFormatting xmlns:xm="http://schemas.microsoft.com/office/excel/2006/main">
          <x14:cfRule type="dataBar" id="{506FDAE7-04A7-4708-83FD-F80C7A271DDB}">
            <x14:dataBar minLength="0" maxLength="100" border="1" gradient="0">
              <x14:cfvo type="num">
                <xm:f>0</xm:f>
              </x14:cfvo>
              <x14:cfvo type="num">
                <xm:f>1</xm:f>
              </x14:cfvo>
              <x14:borderColor theme="0"/>
              <x14:negativeFillColor rgb="FFFF0000"/>
              <x14:axisColor rgb="FF000000"/>
            </x14:dataBar>
          </x14:cfRule>
          <xm:sqref>Y1785 Y1787</xm:sqref>
        </x14:conditionalFormatting>
        <x14:conditionalFormatting xmlns:xm="http://schemas.microsoft.com/office/excel/2006/main">
          <x14:cfRule type="dataBar" id="{EB1729C8-D88E-4D16-956A-E2EF6BA1B459}">
            <x14:dataBar minLength="0" maxLength="100" border="1" gradient="0">
              <x14:cfvo type="num">
                <xm:f>0</xm:f>
              </x14:cfvo>
              <x14:cfvo type="num">
                <xm:f>1</xm:f>
              </x14:cfvo>
              <x14:borderColor theme="0"/>
              <x14:negativeFillColor rgb="FFFF0000"/>
              <x14:axisColor rgb="FF000000"/>
            </x14:dataBar>
          </x14:cfRule>
          <xm:sqref>Y1789</xm:sqref>
        </x14:conditionalFormatting>
        <x14:conditionalFormatting xmlns:xm="http://schemas.microsoft.com/office/excel/2006/main">
          <x14:cfRule type="dataBar" id="{BE8FA130-CFEC-4F89-BE4D-9887A0F6B433}">
            <x14:dataBar minLength="0" maxLength="100" border="1" gradient="0">
              <x14:cfvo type="num">
                <xm:f>0</xm:f>
              </x14:cfvo>
              <x14:cfvo type="num">
                <xm:f>1</xm:f>
              </x14:cfvo>
              <x14:borderColor theme="0"/>
              <x14:negativeFillColor rgb="FFFF0000"/>
              <x14:axisColor rgb="FF000000"/>
            </x14:dataBar>
          </x14:cfRule>
          <xm:sqref>Y1791</xm:sqref>
        </x14:conditionalFormatting>
        <x14:conditionalFormatting xmlns:xm="http://schemas.microsoft.com/office/excel/2006/main">
          <x14:cfRule type="dataBar" id="{B0EDB1DA-E968-45FC-8C7F-E9C1725A7AD3}">
            <x14:dataBar minLength="0" maxLength="100" border="1" gradient="0">
              <x14:cfvo type="num">
                <xm:f>0</xm:f>
              </x14:cfvo>
              <x14:cfvo type="num">
                <xm:f>1</xm:f>
              </x14:cfvo>
              <x14:borderColor theme="0"/>
              <x14:negativeFillColor rgb="FFFF0000"/>
              <x14:axisColor rgb="FF000000"/>
            </x14:dataBar>
          </x14:cfRule>
          <xm:sqref>Y1793</xm:sqref>
        </x14:conditionalFormatting>
        <x14:conditionalFormatting xmlns:xm="http://schemas.microsoft.com/office/excel/2006/main">
          <x14:cfRule type="dataBar" id="{CC8120FC-7995-42E5-B834-FFFBF3B3FA44}">
            <x14:dataBar minLength="0" maxLength="100" border="1" gradient="0">
              <x14:cfvo type="num">
                <xm:f>0</xm:f>
              </x14:cfvo>
              <x14:cfvo type="num">
                <xm:f>1</xm:f>
              </x14:cfvo>
              <x14:borderColor theme="0"/>
              <x14:negativeFillColor rgb="FFFF0000"/>
              <x14:axisColor rgb="FF000000"/>
            </x14:dataBar>
          </x14:cfRule>
          <xm:sqref>Y1795</xm:sqref>
        </x14:conditionalFormatting>
        <x14:conditionalFormatting xmlns:xm="http://schemas.microsoft.com/office/excel/2006/main">
          <x14:cfRule type="dataBar" id="{F4146D9F-911F-4320-A815-FB29D4D6844E}">
            <x14:dataBar minLength="0" maxLength="100" border="1" gradient="0">
              <x14:cfvo type="num">
                <xm:f>0</xm:f>
              </x14:cfvo>
              <x14:cfvo type="num">
                <xm:f>1</xm:f>
              </x14:cfvo>
              <x14:borderColor theme="0"/>
              <x14:negativeFillColor rgb="FFFF0000"/>
              <x14:axisColor rgb="FF000000"/>
            </x14:dataBar>
          </x14:cfRule>
          <xm:sqref>Y1797 Y1799</xm:sqref>
        </x14:conditionalFormatting>
        <x14:conditionalFormatting xmlns:xm="http://schemas.microsoft.com/office/excel/2006/main">
          <x14:cfRule type="dataBar" id="{690C2CE3-880D-4026-B5A7-4D201ACAD475}">
            <x14:dataBar minLength="0" maxLength="100" border="1" gradient="0">
              <x14:cfvo type="num">
                <xm:f>0</xm:f>
              </x14:cfvo>
              <x14:cfvo type="num">
                <xm:f>1</xm:f>
              </x14:cfvo>
              <x14:borderColor theme="0"/>
              <x14:negativeFillColor rgb="FFFF0000"/>
              <x14:axisColor rgb="FF000000"/>
            </x14:dataBar>
          </x14:cfRule>
          <xm:sqref>Y1801</xm:sqref>
        </x14:conditionalFormatting>
        <x14:conditionalFormatting xmlns:xm="http://schemas.microsoft.com/office/excel/2006/main">
          <x14:cfRule type="dataBar" id="{41FA007D-AB22-4C91-98E6-166CF633CC6D}">
            <x14:dataBar minLength="0" maxLength="100" border="1" gradient="0">
              <x14:cfvo type="num">
                <xm:f>0</xm:f>
              </x14:cfvo>
              <x14:cfvo type="num">
                <xm:f>1</xm:f>
              </x14:cfvo>
              <x14:borderColor theme="0"/>
              <x14:negativeFillColor rgb="FFFF0000"/>
              <x14:axisColor rgb="FF000000"/>
            </x14:dataBar>
          </x14:cfRule>
          <xm:sqref>Y1803</xm:sqref>
        </x14:conditionalFormatting>
        <x14:conditionalFormatting xmlns:xm="http://schemas.microsoft.com/office/excel/2006/main">
          <x14:cfRule type="dataBar" id="{8ED02554-10D2-4098-A1F2-2576E1BE1F3E}">
            <x14:dataBar minLength="0" maxLength="100" border="1" gradient="0">
              <x14:cfvo type="num">
                <xm:f>0</xm:f>
              </x14:cfvo>
              <x14:cfvo type="num">
                <xm:f>1</xm:f>
              </x14:cfvo>
              <x14:borderColor theme="0"/>
              <x14:negativeFillColor rgb="FFFF0000"/>
              <x14:axisColor rgb="FF000000"/>
            </x14:dataBar>
          </x14:cfRule>
          <xm:sqref>Y1806</xm:sqref>
        </x14:conditionalFormatting>
        <x14:conditionalFormatting xmlns:xm="http://schemas.microsoft.com/office/excel/2006/main">
          <x14:cfRule type="dataBar" id="{B945FB15-FE7A-4A30-BFB1-019226D392B5}">
            <x14:dataBar minLength="0" maxLength="100" border="1" gradient="0">
              <x14:cfvo type="num">
                <xm:f>0</xm:f>
              </x14:cfvo>
              <x14:cfvo type="num">
                <xm:f>1</xm:f>
              </x14:cfvo>
              <x14:borderColor theme="0"/>
              <x14:negativeFillColor rgb="FFFF0000"/>
              <x14:axisColor rgb="FF000000"/>
            </x14:dataBar>
          </x14:cfRule>
          <xm:sqref>Y1808</xm:sqref>
        </x14:conditionalFormatting>
        <x14:conditionalFormatting xmlns:xm="http://schemas.microsoft.com/office/excel/2006/main">
          <x14:cfRule type="dataBar" id="{E13376F0-03F3-4252-9FA1-DBE2F53C97E7}">
            <x14:dataBar minLength="0" maxLength="100" border="1" gradient="0">
              <x14:cfvo type="num">
                <xm:f>0</xm:f>
              </x14:cfvo>
              <x14:cfvo type="num">
                <xm:f>1</xm:f>
              </x14:cfvo>
              <x14:borderColor theme="0"/>
              <x14:negativeFillColor rgb="FFFF0000"/>
              <x14:axisColor rgb="FF000000"/>
            </x14:dataBar>
          </x14:cfRule>
          <xm:sqref>Y1810</xm:sqref>
        </x14:conditionalFormatting>
        <x14:conditionalFormatting xmlns:xm="http://schemas.microsoft.com/office/excel/2006/main">
          <x14:cfRule type="dataBar" id="{99C91A70-23EF-4782-8E0B-17D3E91FC922}">
            <x14:dataBar minLength="0" maxLength="100" border="1" gradient="0">
              <x14:cfvo type="num">
                <xm:f>0</xm:f>
              </x14:cfvo>
              <x14:cfvo type="num">
                <xm:f>1</xm:f>
              </x14:cfvo>
              <x14:borderColor theme="0"/>
              <x14:negativeFillColor rgb="FFFF0000"/>
              <x14:axisColor rgb="FF000000"/>
            </x14:dataBar>
          </x14:cfRule>
          <xm:sqref>Y1812</xm:sqref>
        </x14:conditionalFormatting>
        <x14:conditionalFormatting xmlns:xm="http://schemas.microsoft.com/office/excel/2006/main">
          <x14:cfRule type="dataBar" id="{A9275231-C5CC-4E1C-87F8-48EF402A31E7}">
            <x14:dataBar minLength="0" maxLength="100" border="1" gradient="0">
              <x14:cfvo type="num">
                <xm:f>0</xm:f>
              </x14:cfvo>
              <x14:cfvo type="num">
                <xm:f>1</xm:f>
              </x14:cfvo>
              <x14:borderColor theme="0"/>
              <x14:negativeFillColor rgb="FFFF0000"/>
              <x14:axisColor rgb="FF000000"/>
            </x14:dataBar>
          </x14:cfRule>
          <xm:sqref>Y1814</xm:sqref>
        </x14:conditionalFormatting>
        <x14:conditionalFormatting xmlns:xm="http://schemas.microsoft.com/office/excel/2006/main">
          <x14:cfRule type="dataBar" id="{C0FA64C5-5291-48B0-9C2F-A352D7792DB1}">
            <x14:dataBar minLength="0" maxLength="100" border="1" gradient="0">
              <x14:cfvo type="num">
                <xm:f>0</xm:f>
              </x14:cfvo>
              <x14:cfvo type="num">
                <xm:f>1</xm:f>
              </x14:cfvo>
              <x14:borderColor theme="0"/>
              <x14:negativeFillColor rgb="FFFF0000"/>
              <x14:axisColor rgb="FF000000"/>
            </x14:dataBar>
          </x14:cfRule>
          <xm:sqref>Y1816</xm:sqref>
        </x14:conditionalFormatting>
        <x14:conditionalFormatting xmlns:xm="http://schemas.microsoft.com/office/excel/2006/main">
          <x14:cfRule type="dataBar" id="{C640A127-135E-4A5B-B9B6-BDA57000307F}">
            <x14:dataBar minLength="0" maxLength="100" border="1" gradient="0">
              <x14:cfvo type="num">
                <xm:f>0</xm:f>
              </x14:cfvo>
              <x14:cfvo type="num">
                <xm:f>1</xm:f>
              </x14:cfvo>
              <x14:borderColor theme="0"/>
              <x14:negativeFillColor rgb="FFFF0000"/>
              <x14:axisColor rgb="FF000000"/>
            </x14:dataBar>
          </x14:cfRule>
          <xm:sqref>Y1818</xm:sqref>
        </x14:conditionalFormatting>
        <x14:conditionalFormatting xmlns:xm="http://schemas.microsoft.com/office/excel/2006/main">
          <x14:cfRule type="dataBar" id="{21C0BE1F-11E2-4AE7-A5DF-D215EA6F4CAE}">
            <x14:dataBar minLength="0" maxLength="100" border="1" gradient="0">
              <x14:cfvo type="num">
                <xm:f>0</xm:f>
              </x14:cfvo>
              <x14:cfvo type="num">
                <xm:f>1</xm:f>
              </x14:cfvo>
              <x14:borderColor theme="0"/>
              <x14:negativeFillColor rgb="FFFF0000"/>
              <x14:axisColor rgb="FF000000"/>
            </x14:dataBar>
          </x14:cfRule>
          <xm:sqref>Y1820</xm:sqref>
        </x14:conditionalFormatting>
        <x14:conditionalFormatting xmlns:xm="http://schemas.microsoft.com/office/excel/2006/main">
          <x14:cfRule type="dataBar" id="{BE905124-FD5A-44A2-B8BC-222F6BEF404A}">
            <x14:dataBar minLength="0" maxLength="100" border="1" gradient="0">
              <x14:cfvo type="num">
                <xm:f>0</xm:f>
              </x14:cfvo>
              <x14:cfvo type="num">
                <xm:f>1</xm:f>
              </x14:cfvo>
              <x14:borderColor theme="0"/>
              <x14:negativeFillColor rgb="FFFF0000"/>
              <x14:axisColor rgb="FF000000"/>
            </x14:dataBar>
          </x14:cfRule>
          <xm:sqref>Y1822</xm:sqref>
        </x14:conditionalFormatting>
        <x14:conditionalFormatting xmlns:xm="http://schemas.microsoft.com/office/excel/2006/main">
          <x14:cfRule type="dataBar" id="{9D9FA0DA-AAB0-42C7-8F31-F30A83F8D51D}">
            <x14:dataBar minLength="0" maxLength="100" border="1" gradient="0">
              <x14:cfvo type="num">
                <xm:f>0</xm:f>
              </x14:cfvo>
              <x14:cfvo type="num">
                <xm:f>1</xm:f>
              </x14:cfvo>
              <x14:borderColor theme="0"/>
              <x14:negativeFillColor rgb="FFFF0000"/>
              <x14:axisColor rgb="FF000000"/>
            </x14:dataBar>
          </x14:cfRule>
          <xm:sqref>Y1824</xm:sqref>
        </x14:conditionalFormatting>
        <x14:conditionalFormatting xmlns:xm="http://schemas.microsoft.com/office/excel/2006/main">
          <x14:cfRule type="dataBar" id="{42E6F073-EDF3-437B-A5A6-22CCD0DF69F9}">
            <x14:dataBar minLength="0" maxLength="100" border="1" gradient="0">
              <x14:cfvo type="num">
                <xm:f>0</xm:f>
              </x14:cfvo>
              <x14:cfvo type="num">
                <xm:f>1</xm:f>
              </x14:cfvo>
              <x14:borderColor theme="0"/>
              <x14:negativeFillColor rgb="FFFF0000"/>
              <x14:axisColor rgb="FF000000"/>
            </x14:dataBar>
          </x14:cfRule>
          <xm:sqref>Y1826</xm:sqref>
        </x14:conditionalFormatting>
        <x14:conditionalFormatting xmlns:xm="http://schemas.microsoft.com/office/excel/2006/main">
          <x14:cfRule type="dataBar" id="{EDD73DAC-2B2A-4D2F-BD23-856371F7EF6B}">
            <x14:dataBar minLength="0" maxLength="100" border="1" gradient="0">
              <x14:cfvo type="num">
                <xm:f>0</xm:f>
              </x14:cfvo>
              <x14:cfvo type="num">
                <xm:f>1</xm:f>
              </x14:cfvo>
              <x14:borderColor theme="0"/>
              <x14:negativeFillColor rgb="FFFF0000"/>
              <x14:axisColor rgb="FF000000"/>
            </x14:dataBar>
          </x14:cfRule>
          <xm:sqref>Y1828</xm:sqref>
        </x14:conditionalFormatting>
        <x14:conditionalFormatting xmlns:xm="http://schemas.microsoft.com/office/excel/2006/main">
          <x14:cfRule type="dataBar" id="{DA83E177-0740-4BD7-AF39-E45629636706}">
            <x14:dataBar minLength="0" maxLength="100" border="1" gradient="0">
              <x14:cfvo type="num">
                <xm:f>0</xm:f>
              </x14:cfvo>
              <x14:cfvo type="num">
                <xm:f>1</xm:f>
              </x14:cfvo>
              <x14:borderColor theme="0"/>
              <x14:negativeFillColor rgb="FFFF0000"/>
              <x14:axisColor rgb="FF000000"/>
            </x14:dataBar>
          </x14:cfRule>
          <xm:sqref>Y1830</xm:sqref>
        </x14:conditionalFormatting>
        <x14:conditionalFormatting xmlns:xm="http://schemas.microsoft.com/office/excel/2006/main">
          <x14:cfRule type="dataBar" id="{41613171-0738-4EF4-9ED1-9622B6F6FCDA}">
            <x14:dataBar minLength="0" maxLength="100" border="1" gradient="0">
              <x14:cfvo type="num">
                <xm:f>0</xm:f>
              </x14:cfvo>
              <x14:cfvo type="num">
                <xm:f>1</xm:f>
              </x14:cfvo>
              <x14:borderColor theme="0"/>
              <x14:negativeFillColor rgb="FFFF0000"/>
              <x14:axisColor rgb="FF000000"/>
            </x14:dataBar>
          </x14:cfRule>
          <xm:sqref>Y1832</xm:sqref>
        </x14:conditionalFormatting>
        <x14:conditionalFormatting xmlns:xm="http://schemas.microsoft.com/office/excel/2006/main">
          <x14:cfRule type="dataBar" id="{061414F8-302C-4E60-A8FC-50BDC8F9945E}">
            <x14:dataBar minLength="0" maxLength="100" border="1" gradient="0">
              <x14:cfvo type="num">
                <xm:f>0</xm:f>
              </x14:cfvo>
              <x14:cfvo type="num">
                <xm:f>1</xm:f>
              </x14:cfvo>
              <x14:borderColor theme="0"/>
              <x14:negativeFillColor rgb="FFFF0000"/>
              <x14:axisColor rgb="FF000000"/>
            </x14:dataBar>
          </x14:cfRule>
          <xm:sqref>Y1834</xm:sqref>
        </x14:conditionalFormatting>
        <x14:conditionalFormatting xmlns:xm="http://schemas.microsoft.com/office/excel/2006/main">
          <x14:cfRule type="dataBar" id="{2B83E328-A5E3-42FC-B9FB-53C7A622C60C}">
            <x14:dataBar minLength="0" maxLength="100" border="1" gradient="0">
              <x14:cfvo type="num">
                <xm:f>0</xm:f>
              </x14:cfvo>
              <x14:cfvo type="num">
                <xm:f>1</xm:f>
              </x14:cfvo>
              <x14:borderColor theme="0"/>
              <x14:negativeFillColor rgb="FFFF0000"/>
              <x14:axisColor rgb="FF000000"/>
            </x14:dataBar>
          </x14:cfRule>
          <xm:sqref>Y1836</xm:sqref>
        </x14:conditionalFormatting>
        <x14:conditionalFormatting xmlns:xm="http://schemas.microsoft.com/office/excel/2006/main">
          <x14:cfRule type="dataBar" id="{71799CC5-D035-4DA5-8F5F-448477E80FC5}">
            <x14:dataBar minLength="0" maxLength="100" border="1" gradient="0">
              <x14:cfvo type="num">
                <xm:f>0</xm:f>
              </x14:cfvo>
              <x14:cfvo type="num">
                <xm:f>1</xm:f>
              </x14:cfvo>
              <x14:borderColor theme="0"/>
              <x14:negativeFillColor rgb="FFFF0000"/>
              <x14:axisColor rgb="FF000000"/>
            </x14:dataBar>
          </x14:cfRule>
          <xm:sqref>Y1838</xm:sqref>
        </x14:conditionalFormatting>
        <x14:conditionalFormatting xmlns:xm="http://schemas.microsoft.com/office/excel/2006/main">
          <x14:cfRule type="dataBar" id="{B1993EB2-5146-46DE-90B7-0543BAAC6A4F}">
            <x14:dataBar minLength="0" maxLength="100" border="1" gradient="0">
              <x14:cfvo type="num">
                <xm:f>0</xm:f>
              </x14:cfvo>
              <x14:cfvo type="num">
                <xm:f>1</xm:f>
              </x14:cfvo>
              <x14:borderColor theme="0"/>
              <x14:negativeFillColor rgb="FFFF0000"/>
              <x14:axisColor rgb="FF000000"/>
            </x14:dataBar>
          </x14:cfRule>
          <xm:sqref>Y1840</xm:sqref>
        </x14:conditionalFormatting>
        <x14:conditionalFormatting xmlns:xm="http://schemas.microsoft.com/office/excel/2006/main">
          <x14:cfRule type="dataBar" id="{5C31A48C-5234-4AFC-A4E3-95A0DAF6D6EC}">
            <x14:dataBar minLength="0" maxLength="100" border="1" gradient="0">
              <x14:cfvo type="num">
                <xm:f>0</xm:f>
              </x14:cfvo>
              <x14:cfvo type="num">
                <xm:f>1</xm:f>
              </x14:cfvo>
              <x14:borderColor theme="0"/>
              <x14:negativeFillColor rgb="FFFF0000"/>
              <x14:axisColor rgb="FF000000"/>
            </x14:dataBar>
          </x14:cfRule>
          <xm:sqref>Y1842</xm:sqref>
        </x14:conditionalFormatting>
        <x14:conditionalFormatting xmlns:xm="http://schemas.microsoft.com/office/excel/2006/main">
          <x14:cfRule type="dataBar" id="{61AF533A-EFAD-4D50-8430-111E32942D2E}">
            <x14:dataBar minLength="0" maxLength="100" border="1" gradient="0">
              <x14:cfvo type="num">
                <xm:f>0</xm:f>
              </x14:cfvo>
              <x14:cfvo type="num">
                <xm:f>1</xm:f>
              </x14:cfvo>
              <x14:borderColor theme="0"/>
              <x14:negativeFillColor rgb="FFFF0000"/>
              <x14:axisColor rgb="FF000000"/>
            </x14:dataBar>
          </x14:cfRule>
          <xm:sqref>Y1844</xm:sqref>
        </x14:conditionalFormatting>
        <x14:conditionalFormatting xmlns:xm="http://schemas.microsoft.com/office/excel/2006/main">
          <x14:cfRule type="dataBar" id="{C580B612-ECD0-4C71-858E-FF7835D264D1}">
            <x14:dataBar minLength="0" maxLength="100" border="1" gradient="0">
              <x14:cfvo type="num">
                <xm:f>0</xm:f>
              </x14:cfvo>
              <x14:cfvo type="num">
                <xm:f>1</xm:f>
              </x14:cfvo>
              <x14:borderColor theme="0"/>
              <x14:negativeFillColor rgb="FFFF0000"/>
              <x14:axisColor rgb="FF000000"/>
            </x14:dataBar>
          </x14:cfRule>
          <xm:sqref>Y1847</xm:sqref>
        </x14:conditionalFormatting>
        <x14:conditionalFormatting xmlns:xm="http://schemas.microsoft.com/office/excel/2006/main">
          <x14:cfRule type="dataBar" id="{9233F447-B3B6-4F41-A307-193B94D1EB29}">
            <x14:dataBar minLength="0" maxLength="100" border="1" gradient="0">
              <x14:cfvo type="num">
                <xm:f>0</xm:f>
              </x14:cfvo>
              <x14:cfvo type="num">
                <xm:f>1</xm:f>
              </x14:cfvo>
              <x14:borderColor theme="0"/>
              <x14:negativeFillColor rgb="FFFF0000"/>
              <x14:axisColor rgb="FF000000"/>
            </x14:dataBar>
          </x14:cfRule>
          <xm:sqref>Y1849</xm:sqref>
        </x14:conditionalFormatting>
        <x14:conditionalFormatting xmlns:xm="http://schemas.microsoft.com/office/excel/2006/main">
          <x14:cfRule type="dataBar" id="{DB00293E-8142-49FF-9072-938A5F3A7CD7}">
            <x14:dataBar minLength="0" maxLength="100" border="1" gradient="0">
              <x14:cfvo type="num">
                <xm:f>0</xm:f>
              </x14:cfvo>
              <x14:cfvo type="num">
                <xm:f>1</xm:f>
              </x14:cfvo>
              <x14:borderColor theme="0"/>
              <x14:negativeFillColor rgb="FFFF0000"/>
              <x14:axisColor rgb="FF000000"/>
            </x14:dataBar>
          </x14:cfRule>
          <xm:sqref>Y1851</xm:sqref>
        </x14:conditionalFormatting>
        <x14:conditionalFormatting xmlns:xm="http://schemas.microsoft.com/office/excel/2006/main">
          <x14:cfRule type="dataBar" id="{47DAD51F-0BBE-4B6B-BDB0-4544FD9E3775}">
            <x14:dataBar minLength="0" maxLength="100" border="1" gradient="0">
              <x14:cfvo type="num">
                <xm:f>0</xm:f>
              </x14:cfvo>
              <x14:cfvo type="num">
                <xm:f>1</xm:f>
              </x14:cfvo>
              <x14:borderColor theme="0"/>
              <x14:negativeFillColor rgb="FFFF0000"/>
              <x14:axisColor rgb="FF000000"/>
            </x14:dataBar>
          </x14:cfRule>
          <xm:sqref>Y1853</xm:sqref>
        </x14:conditionalFormatting>
        <x14:conditionalFormatting xmlns:xm="http://schemas.microsoft.com/office/excel/2006/main">
          <x14:cfRule type="dataBar" id="{19A33E43-434F-42EF-8ACE-FA383C046B68}">
            <x14:dataBar minLength="0" maxLength="100" border="1" gradient="0">
              <x14:cfvo type="num">
                <xm:f>0</xm:f>
              </x14:cfvo>
              <x14:cfvo type="num">
                <xm:f>1</xm:f>
              </x14:cfvo>
              <x14:borderColor theme="0"/>
              <x14:negativeFillColor rgb="FFFF0000"/>
              <x14:axisColor rgb="FF000000"/>
            </x14:dataBar>
          </x14:cfRule>
          <xm:sqref>Y1855</xm:sqref>
        </x14:conditionalFormatting>
        <x14:conditionalFormatting xmlns:xm="http://schemas.microsoft.com/office/excel/2006/main">
          <x14:cfRule type="dataBar" id="{6734966C-9675-453D-8D53-7858563C8166}">
            <x14:dataBar minLength="0" maxLength="100" border="1" gradient="0">
              <x14:cfvo type="num">
                <xm:f>0</xm:f>
              </x14:cfvo>
              <x14:cfvo type="num">
                <xm:f>1</xm:f>
              </x14:cfvo>
              <x14:borderColor theme="0"/>
              <x14:negativeFillColor rgb="FFFF0000"/>
              <x14:axisColor rgb="FF000000"/>
            </x14:dataBar>
          </x14:cfRule>
          <xm:sqref>Y1857</xm:sqref>
        </x14:conditionalFormatting>
        <x14:conditionalFormatting xmlns:xm="http://schemas.microsoft.com/office/excel/2006/main">
          <x14:cfRule type="dataBar" id="{0AF6E172-3A97-4F81-B6C4-C27FBA7BC69A}">
            <x14:dataBar minLength="0" maxLength="100" border="1" gradient="0">
              <x14:cfvo type="num">
                <xm:f>0</xm:f>
              </x14:cfvo>
              <x14:cfvo type="num">
                <xm:f>1</xm:f>
              </x14:cfvo>
              <x14:borderColor theme="0"/>
              <x14:negativeFillColor rgb="FFFF0000"/>
              <x14:axisColor rgb="FF000000"/>
            </x14:dataBar>
          </x14:cfRule>
          <xm:sqref>Y1860</xm:sqref>
        </x14:conditionalFormatting>
        <x14:conditionalFormatting xmlns:xm="http://schemas.microsoft.com/office/excel/2006/main">
          <x14:cfRule type="dataBar" id="{2A748791-D185-4256-86C0-04C9961EDE60}">
            <x14:dataBar minLength="0" maxLength="100" border="1" gradient="0">
              <x14:cfvo type="num">
                <xm:f>0</xm:f>
              </x14:cfvo>
              <x14:cfvo type="num">
                <xm:f>1</xm:f>
              </x14:cfvo>
              <x14:borderColor theme="0"/>
              <x14:negativeFillColor rgb="FFFF0000"/>
              <x14:axisColor rgb="FF000000"/>
            </x14:dataBar>
          </x14:cfRule>
          <xm:sqref>Y1862 Y1864 Y1866</xm:sqref>
        </x14:conditionalFormatting>
        <x14:conditionalFormatting xmlns:xm="http://schemas.microsoft.com/office/excel/2006/main">
          <x14:cfRule type="dataBar" id="{961CFF5D-F97E-4797-A331-C83A77619D3B}">
            <x14:dataBar minLength="0" maxLength="100" border="1" gradient="0">
              <x14:cfvo type="num">
                <xm:f>0</xm:f>
              </x14:cfvo>
              <x14:cfvo type="num">
                <xm:f>1</xm:f>
              </x14:cfvo>
              <x14:borderColor theme="0"/>
              <x14:negativeFillColor rgb="FFFF0000"/>
              <x14:axisColor rgb="FF000000"/>
            </x14:dataBar>
          </x14:cfRule>
          <xm:sqref>Y1868 Y1870 Y1872</xm:sqref>
        </x14:conditionalFormatting>
        <x14:conditionalFormatting xmlns:xm="http://schemas.microsoft.com/office/excel/2006/main">
          <x14:cfRule type="dataBar" id="{9B9FC02C-1612-4EB6-AC3F-01F9CB3B42E6}">
            <x14:dataBar minLength="0" maxLength="100" border="1" gradient="0">
              <x14:cfvo type="num">
                <xm:f>0</xm:f>
              </x14:cfvo>
              <x14:cfvo type="num">
                <xm:f>1</xm:f>
              </x14:cfvo>
              <x14:borderColor theme="0"/>
              <x14:negativeFillColor rgb="FFFF0000"/>
              <x14:axisColor rgb="FF000000"/>
            </x14:dataBar>
          </x14:cfRule>
          <xm:sqref>Y1874 Y1876 Y1878</xm:sqref>
        </x14:conditionalFormatting>
        <x14:conditionalFormatting xmlns:xm="http://schemas.microsoft.com/office/excel/2006/main">
          <x14:cfRule type="dataBar" id="{E86B0FFA-89C9-479A-A1B2-787B984BFAE6}">
            <x14:dataBar minLength="0" maxLength="100" border="1" gradient="0">
              <x14:cfvo type="num">
                <xm:f>0</xm:f>
              </x14:cfvo>
              <x14:cfvo type="num">
                <xm:f>1</xm:f>
              </x14:cfvo>
              <x14:borderColor theme="0"/>
              <x14:negativeFillColor rgb="FFFF0000"/>
              <x14:axisColor rgb="FF000000"/>
            </x14:dataBar>
          </x14:cfRule>
          <xm:sqref>Y1882</xm:sqref>
        </x14:conditionalFormatting>
        <x14:conditionalFormatting xmlns:xm="http://schemas.microsoft.com/office/excel/2006/main">
          <x14:cfRule type="dataBar" id="{2AD3DC06-08FC-42B1-8C14-45479998361C}">
            <x14:dataBar minLength="0" maxLength="100" border="1" gradient="0">
              <x14:cfvo type="num">
                <xm:f>0</xm:f>
              </x14:cfvo>
              <x14:cfvo type="num">
                <xm:f>1</xm:f>
              </x14:cfvo>
              <x14:borderColor theme="0"/>
              <x14:negativeFillColor rgb="FFFF0000"/>
              <x14:axisColor rgb="FF000000"/>
            </x14:dataBar>
          </x14:cfRule>
          <xm:sqref>Y1884 Y1894 Y1886 Y1888 Y1890 Y1892 Y1896</xm:sqref>
        </x14:conditionalFormatting>
        <x14:conditionalFormatting xmlns:xm="http://schemas.microsoft.com/office/excel/2006/main">
          <x14:cfRule type="dataBar" id="{44171FA2-BE43-422C-AE5D-5798C572B02D}">
            <x14:dataBar minLength="0" maxLength="100" border="1" gradient="0">
              <x14:cfvo type="num">
                <xm:f>0</xm:f>
              </x14:cfvo>
              <x14:cfvo type="num">
                <xm:f>1</xm:f>
              </x14:cfvo>
              <x14:borderColor theme="0"/>
              <x14:negativeFillColor rgb="FFFF0000"/>
              <x14:axisColor rgb="FF000000"/>
            </x14:dataBar>
          </x14:cfRule>
          <xm:sqref>Y1898</xm:sqref>
        </x14:conditionalFormatting>
        <x14:conditionalFormatting xmlns:xm="http://schemas.microsoft.com/office/excel/2006/main">
          <x14:cfRule type="dataBar" id="{9C297618-462F-4BCC-93E0-CF22F3789814}">
            <x14:dataBar minLength="0" maxLength="100" border="1" gradient="0">
              <x14:cfvo type="num">
                <xm:f>0</xm:f>
              </x14:cfvo>
              <x14:cfvo type="num">
                <xm:f>1</xm:f>
              </x14:cfvo>
              <x14:borderColor theme="0"/>
              <x14:negativeFillColor rgb="FFFF0000"/>
              <x14:axisColor rgb="FF000000"/>
            </x14:dataBar>
          </x14:cfRule>
          <xm:sqref>Y1903</xm:sqref>
        </x14:conditionalFormatting>
        <x14:conditionalFormatting xmlns:xm="http://schemas.microsoft.com/office/excel/2006/main">
          <x14:cfRule type="dataBar" id="{EA872E5C-9202-462D-8BB5-3B14D096D75D}">
            <x14:dataBar minLength="0" maxLength="100" border="1" gradient="0">
              <x14:cfvo type="num">
                <xm:f>0</xm:f>
              </x14:cfvo>
              <x14:cfvo type="num">
                <xm:f>1</xm:f>
              </x14:cfvo>
              <x14:borderColor theme="0"/>
              <x14:negativeFillColor rgb="FFFF0000"/>
              <x14:axisColor rgb="FF000000"/>
            </x14:dataBar>
          </x14:cfRule>
          <xm:sqref>Y1907</xm:sqref>
        </x14:conditionalFormatting>
        <x14:conditionalFormatting xmlns:xm="http://schemas.microsoft.com/office/excel/2006/main">
          <x14:cfRule type="dataBar" id="{3ED79B0C-DDAE-4F82-868D-28E9CE99C178}">
            <x14:dataBar minLength="0" maxLength="100" border="1" gradient="0">
              <x14:cfvo type="num">
                <xm:f>0</xm:f>
              </x14:cfvo>
              <x14:cfvo type="num">
                <xm:f>1</xm:f>
              </x14:cfvo>
              <x14:borderColor theme="0"/>
              <x14:negativeFillColor rgb="FFFF0000"/>
              <x14:axisColor rgb="FF000000"/>
            </x14:dataBar>
          </x14:cfRule>
          <xm:sqref>Y1909 Y1913 Y1915 Y1917 Y1919 Y1921 Y1923</xm:sqref>
        </x14:conditionalFormatting>
        <x14:conditionalFormatting xmlns:xm="http://schemas.microsoft.com/office/excel/2006/main">
          <x14:cfRule type="dataBar" id="{9143F5FC-282A-4AFC-8216-0925C80331B2}">
            <x14:dataBar minLength="0" maxLength="100" border="1" gradient="0">
              <x14:cfvo type="num">
                <xm:f>0</xm:f>
              </x14:cfvo>
              <x14:cfvo type="num">
                <xm:f>1</xm:f>
              </x14:cfvo>
              <x14:borderColor theme="0"/>
              <x14:negativeFillColor rgb="FFFF0000"/>
              <x14:axisColor rgb="FF000000"/>
            </x14:dataBar>
          </x14:cfRule>
          <xm:sqref>Y1911</xm:sqref>
        </x14:conditionalFormatting>
        <x14:conditionalFormatting xmlns:xm="http://schemas.microsoft.com/office/excel/2006/main">
          <x14:cfRule type="dataBar" id="{AA77BC64-18A2-4425-BF60-6685CFE3DD49}">
            <x14:dataBar minLength="0" maxLength="100" border="1" gradient="0">
              <x14:cfvo type="num">
                <xm:f>0</xm:f>
              </x14:cfvo>
              <x14:cfvo type="num">
                <xm:f>1</xm:f>
              </x14:cfvo>
              <x14:borderColor theme="0"/>
              <x14:negativeFillColor rgb="FFFF0000"/>
              <x14:axisColor rgb="FF000000"/>
            </x14:dataBar>
          </x14:cfRule>
          <xm:sqref>Y1925</xm:sqref>
        </x14:conditionalFormatting>
        <x14:conditionalFormatting xmlns:xm="http://schemas.microsoft.com/office/excel/2006/main">
          <x14:cfRule type="dataBar" id="{72CE024A-E7FB-4008-966F-73FDAC7C2AAA}">
            <x14:dataBar minLength="0" maxLength="100" border="1" gradient="0">
              <x14:cfvo type="num">
                <xm:f>0</xm:f>
              </x14:cfvo>
              <x14:cfvo type="num">
                <xm:f>1</xm:f>
              </x14:cfvo>
              <x14:borderColor theme="0"/>
              <x14:negativeFillColor rgb="FFFF0000"/>
              <x14:axisColor rgb="FF000000"/>
            </x14:dataBar>
          </x14:cfRule>
          <xm:sqref>Y1927</xm:sqref>
        </x14:conditionalFormatting>
        <x14:conditionalFormatting xmlns:xm="http://schemas.microsoft.com/office/excel/2006/main">
          <x14:cfRule type="dataBar" id="{31C42E07-5128-4895-9838-307AE9CC8BA4}">
            <x14:dataBar minLength="0" maxLength="100" border="1" gradient="0">
              <x14:cfvo type="num">
                <xm:f>0</xm:f>
              </x14:cfvo>
              <x14:cfvo type="num">
                <xm:f>1</xm:f>
              </x14:cfvo>
              <x14:borderColor theme="0"/>
              <x14:negativeFillColor rgb="FFFF0000"/>
              <x14:axisColor rgb="FF000000"/>
            </x14:dataBar>
          </x14:cfRule>
          <xm:sqref>Y1929</xm:sqref>
        </x14:conditionalFormatting>
        <x14:conditionalFormatting xmlns:xm="http://schemas.microsoft.com/office/excel/2006/main">
          <x14:cfRule type="dataBar" id="{FFEA754D-A61A-468E-9ABD-ECE8A045E3EA}">
            <x14:dataBar minLength="0" maxLength="100" border="1" gradient="0">
              <x14:cfvo type="num">
                <xm:f>0</xm:f>
              </x14:cfvo>
              <x14:cfvo type="num">
                <xm:f>1</xm:f>
              </x14:cfvo>
              <x14:borderColor theme="0"/>
              <x14:negativeFillColor rgb="FFFF0000"/>
              <x14:axisColor rgb="FF000000"/>
            </x14:dataBar>
          </x14:cfRule>
          <xm:sqref>Y1931</xm:sqref>
        </x14:conditionalFormatting>
        <x14:conditionalFormatting xmlns:xm="http://schemas.microsoft.com/office/excel/2006/main">
          <x14:cfRule type="dataBar" id="{C3404954-765B-4CDA-8244-61231AE54FE3}">
            <x14:dataBar minLength="0" maxLength="100" border="1" gradient="0">
              <x14:cfvo type="num">
                <xm:f>0</xm:f>
              </x14:cfvo>
              <x14:cfvo type="num">
                <xm:f>1</xm:f>
              </x14:cfvo>
              <x14:borderColor theme="0"/>
              <x14:negativeFillColor rgb="FFFF0000"/>
              <x14:axisColor rgb="FF000000"/>
            </x14:dataBar>
          </x14:cfRule>
          <xm:sqref>Y1933</xm:sqref>
        </x14:conditionalFormatting>
        <x14:conditionalFormatting xmlns:xm="http://schemas.microsoft.com/office/excel/2006/main">
          <x14:cfRule type="dataBar" id="{97967592-6E88-4A8D-A584-C06BF936F986}">
            <x14:dataBar minLength="0" maxLength="100" border="1" gradient="0">
              <x14:cfvo type="num">
                <xm:f>0</xm:f>
              </x14:cfvo>
              <x14:cfvo type="num">
                <xm:f>1</xm:f>
              </x14:cfvo>
              <x14:borderColor theme="0"/>
              <x14:negativeFillColor rgb="FFFF0000"/>
              <x14:axisColor rgb="FF000000"/>
            </x14:dataBar>
          </x14:cfRule>
          <xm:sqref>Y1935</xm:sqref>
        </x14:conditionalFormatting>
        <x14:conditionalFormatting xmlns:xm="http://schemas.microsoft.com/office/excel/2006/main">
          <x14:cfRule type="dataBar" id="{055EF534-1599-4F52-ABF7-FB33B9D7F395}">
            <x14:dataBar minLength="0" maxLength="100" border="1" gradient="0">
              <x14:cfvo type="num">
                <xm:f>0</xm:f>
              </x14:cfvo>
              <x14:cfvo type="num">
                <xm:f>1</xm:f>
              </x14:cfvo>
              <x14:borderColor theme="0"/>
              <x14:negativeFillColor rgb="FFFF0000"/>
              <x14:axisColor rgb="FF000000"/>
            </x14:dataBar>
          </x14:cfRule>
          <xm:sqref>Y1937</xm:sqref>
        </x14:conditionalFormatting>
        <x14:conditionalFormatting xmlns:xm="http://schemas.microsoft.com/office/excel/2006/main">
          <x14:cfRule type="dataBar" id="{817F4D1D-7768-4A93-B1A3-249EEC661B35}">
            <x14:dataBar minLength="0" maxLength="100" border="1" gradient="0">
              <x14:cfvo type="num">
                <xm:f>0</xm:f>
              </x14:cfvo>
              <x14:cfvo type="num">
                <xm:f>1</xm:f>
              </x14:cfvo>
              <x14:borderColor theme="0"/>
              <x14:negativeFillColor rgb="FFFF0000"/>
              <x14:axisColor rgb="FF000000"/>
            </x14:dataBar>
          </x14:cfRule>
          <xm:sqref>Y1939</xm:sqref>
        </x14:conditionalFormatting>
        <x14:conditionalFormatting xmlns:xm="http://schemas.microsoft.com/office/excel/2006/main">
          <x14:cfRule type="dataBar" id="{638E4669-2A6A-499A-96FC-67C6D6A00E84}">
            <x14:dataBar minLength="0" maxLength="100" border="1" gradient="0">
              <x14:cfvo type="num">
                <xm:f>0</xm:f>
              </x14:cfvo>
              <x14:cfvo type="num">
                <xm:f>1</xm:f>
              </x14:cfvo>
              <x14:borderColor theme="0"/>
              <x14:negativeFillColor rgb="FFFF0000"/>
              <x14:axisColor rgb="FF000000"/>
            </x14:dataBar>
          </x14:cfRule>
          <xm:sqref>Y1941</xm:sqref>
        </x14:conditionalFormatting>
        <x14:conditionalFormatting xmlns:xm="http://schemas.microsoft.com/office/excel/2006/main">
          <x14:cfRule type="dataBar" id="{5607D863-F7CF-42A7-B74B-3A0BD43B3EFD}">
            <x14:dataBar minLength="0" maxLength="100" border="1" gradient="0">
              <x14:cfvo type="num">
                <xm:f>0</xm:f>
              </x14:cfvo>
              <x14:cfvo type="num">
                <xm:f>1</xm:f>
              </x14:cfvo>
              <x14:borderColor theme="0"/>
              <x14:negativeFillColor rgb="FFFF0000"/>
              <x14:axisColor rgb="FF000000"/>
            </x14:dataBar>
          </x14:cfRule>
          <xm:sqref>Y1943</xm:sqref>
        </x14:conditionalFormatting>
        <x14:conditionalFormatting xmlns:xm="http://schemas.microsoft.com/office/excel/2006/main">
          <x14:cfRule type="dataBar" id="{6FA48EE1-2C27-47F3-886F-09FD59D0BFA6}">
            <x14:dataBar minLength="0" maxLength="100" border="1" gradient="0">
              <x14:cfvo type="num">
                <xm:f>0</xm:f>
              </x14:cfvo>
              <x14:cfvo type="num">
                <xm:f>1</xm:f>
              </x14:cfvo>
              <x14:borderColor theme="0"/>
              <x14:negativeFillColor rgb="FFFF0000"/>
              <x14:axisColor rgb="FF000000"/>
            </x14:dataBar>
          </x14:cfRule>
          <xm:sqref>Y1945</xm:sqref>
        </x14:conditionalFormatting>
        <x14:conditionalFormatting xmlns:xm="http://schemas.microsoft.com/office/excel/2006/main">
          <x14:cfRule type="dataBar" id="{BD157929-6354-4BD2-A0AC-43C18131DD62}">
            <x14:dataBar minLength="0" maxLength="100" border="1" gradient="0">
              <x14:cfvo type="num">
                <xm:f>0</xm:f>
              </x14:cfvo>
              <x14:cfvo type="num">
                <xm:f>1</xm:f>
              </x14:cfvo>
              <x14:borderColor theme="0"/>
              <x14:negativeFillColor rgb="FFFF0000"/>
              <x14:axisColor rgb="FF000000"/>
            </x14:dataBar>
          </x14:cfRule>
          <xm:sqref>Y1947</xm:sqref>
        </x14:conditionalFormatting>
        <x14:conditionalFormatting xmlns:xm="http://schemas.microsoft.com/office/excel/2006/main">
          <x14:cfRule type="dataBar" id="{7786DE08-AE50-41CD-B9BC-8682083176E3}">
            <x14:dataBar minLength="0" maxLength="100" border="1" gradient="0">
              <x14:cfvo type="num">
                <xm:f>0</xm:f>
              </x14:cfvo>
              <x14:cfvo type="num">
                <xm:f>1</xm:f>
              </x14:cfvo>
              <x14:borderColor theme="0"/>
              <x14:negativeFillColor rgb="FFFF0000"/>
              <x14:axisColor rgb="FF000000"/>
            </x14:dataBar>
          </x14:cfRule>
          <xm:sqref>Y1949</xm:sqref>
        </x14:conditionalFormatting>
        <x14:conditionalFormatting xmlns:xm="http://schemas.microsoft.com/office/excel/2006/main">
          <x14:cfRule type="dataBar" id="{1833D501-BDCE-44BB-977F-E27FE6FE1267}">
            <x14:dataBar minLength="0" maxLength="100" border="1" gradient="0">
              <x14:cfvo type="num">
                <xm:f>0</xm:f>
              </x14:cfvo>
              <x14:cfvo type="num">
                <xm:f>1</xm:f>
              </x14:cfvo>
              <x14:borderColor theme="0"/>
              <x14:negativeFillColor rgb="FFFF0000"/>
              <x14:axisColor rgb="FF000000"/>
            </x14:dataBar>
          </x14:cfRule>
          <xm:sqref>Y1951</xm:sqref>
        </x14:conditionalFormatting>
        <x14:conditionalFormatting xmlns:xm="http://schemas.microsoft.com/office/excel/2006/main">
          <x14:cfRule type="dataBar" id="{F59E3015-D534-4985-852D-80392C2949C8}">
            <x14:dataBar minLength="0" maxLength="100" border="1" gradient="0">
              <x14:cfvo type="num">
                <xm:f>0</xm:f>
              </x14:cfvo>
              <x14:cfvo type="num">
                <xm:f>1</xm:f>
              </x14:cfvo>
              <x14:borderColor theme="0"/>
              <x14:negativeFillColor rgb="FFFF0000"/>
              <x14:axisColor rgb="FF000000"/>
            </x14:dataBar>
          </x14:cfRule>
          <xm:sqref>Y1953</xm:sqref>
        </x14:conditionalFormatting>
        <x14:conditionalFormatting xmlns:xm="http://schemas.microsoft.com/office/excel/2006/main">
          <x14:cfRule type="dataBar" id="{DB155060-5398-4315-A11D-D7FA59BA45DB}">
            <x14:dataBar minLength="0" maxLength="100" border="1" gradient="0">
              <x14:cfvo type="num">
                <xm:f>0</xm:f>
              </x14:cfvo>
              <x14:cfvo type="num">
                <xm:f>1</xm:f>
              </x14:cfvo>
              <x14:borderColor theme="0"/>
              <x14:negativeFillColor rgb="FFFF0000"/>
              <x14:axisColor rgb="FF000000"/>
            </x14:dataBar>
          </x14:cfRule>
          <xm:sqref>Y1955</xm:sqref>
        </x14:conditionalFormatting>
        <x14:conditionalFormatting xmlns:xm="http://schemas.microsoft.com/office/excel/2006/main">
          <x14:cfRule type="dataBar" id="{1E9B1ACF-C3C1-441E-919F-F76FE3C76DD3}">
            <x14:dataBar minLength="0" maxLength="100" border="1" gradient="0">
              <x14:cfvo type="num">
                <xm:f>0</xm:f>
              </x14:cfvo>
              <x14:cfvo type="num">
                <xm:f>1</xm:f>
              </x14:cfvo>
              <x14:borderColor theme="0"/>
              <x14:negativeFillColor rgb="FFFF0000"/>
              <x14:axisColor rgb="FF000000"/>
            </x14:dataBar>
          </x14:cfRule>
          <xm:sqref>Y1957</xm:sqref>
        </x14:conditionalFormatting>
        <x14:conditionalFormatting xmlns:xm="http://schemas.microsoft.com/office/excel/2006/main">
          <x14:cfRule type="dataBar" id="{26F49FFA-9676-45C7-8722-110AB815CBCC}">
            <x14:dataBar minLength="0" maxLength="100" border="1" gradient="0">
              <x14:cfvo type="num">
                <xm:f>0</xm:f>
              </x14:cfvo>
              <x14:cfvo type="num">
                <xm:f>1</xm:f>
              </x14:cfvo>
              <x14:borderColor theme="0"/>
              <x14:negativeFillColor rgb="FFFF0000"/>
              <x14:axisColor rgb="FF000000"/>
            </x14:dataBar>
          </x14:cfRule>
          <xm:sqref>Y1959</xm:sqref>
        </x14:conditionalFormatting>
        <x14:conditionalFormatting xmlns:xm="http://schemas.microsoft.com/office/excel/2006/main">
          <x14:cfRule type="dataBar" id="{1A223D0E-933B-4AA1-AFBF-F1A6567E8FB5}">
            <x14:dataBar minLength="0" maxLength="100" border="1" gradient="0">
              <x14:cfvo type="num">
                <xm:f>0</xm:f>
              </x14:cfvo>
              <x14:cfvo type="num">
                <xm:f>1</xm:f>
              </x14:cfvo>
              <x14:borderColor theme="0"/>
              <x14:negativeFillColor rgb="FFFF0000"/>
              <x14:axisColor rgb="FF000000"/>
            </x14:dataBar>
          </x14:cfRule>
          <xm:sqref>Y1961</xm:sqref>
        </x14:conditionalFormatting>
        <x14:conditionalFormatting xmlns:xm="http://schemas.microsoft.com/office/excel/2006/main">
          <x14:cfRule type="dataBar" id="{91634C24-B315-4309-A7D2-31672521CEC1}">
            <x14:dataBar minLength="0" maxLength="100" border="1" gradient="0">
              <x14:cfvo type="num">
                <xm:f>0</xm:f>
              </x14:cfvo>
              <x14:cfvo type="num">
                <xm:f>1</xm:f>
              </x14:cfvo>
              <x14:borderColor theme="0"/>
              <x14:negativeFillColor rgb="FFFF0000"/>
              <x14:axisColor rgb="FF000000"/>
            </x14:dataBar>
          </x14:cfRule>
          <xm:sqref>Y1963</xm:sqref>
        </x14:conditionalFormatting>
        <x14:conditionalFormatting xmlns:xm="http://schemas.microsoft.com/office/excel/2006/main">
          <x14:cfRule type="dataBar" id="{B83A14A2-7CBE-4A35-8188-0B47216B3C22}">
            <x14:dataBar minLength="0" maxLength="100" border="1" gradient="0">
              <x14:cfvo type="num">
                <xm:f>0</xm:f>
              </x14:cfvo>
              <x14:cfvo type="num">
                <xm:f>1</xm:f>
              </x14:cfvo>
              <x14:borderColor theme="0"/>
              <x14:negativeFillColor rgb="FFFF0000"/>
              <x14:axisColor rgb="FF000000"/>
            </x14:dataBar>
          </x14:cfRule>
          <xm:sqref>Y1965</xm:sqref>
        </x14:conditionalFormatting>
        <x14:conditionalFormatting xmlns:xm="http://schemas.microsoft.com/office/excel/2006/main">
          <x14:cfRule type="dataBar" id="{F7D84FFD-F998-452C-AF36-B18DDE5F9425}">
            <x14:dataBar minLength="0" maxLength="100" border="1" gradient="0">
              <x14:cfvo type="num">
                <xm:f>0</xm:f>
              </x14:cfvo>
              <x14:cfvo type="num">
                <xm:f>1</xm:f>
              </x14:cfvo>
              <x14:borderColor theme="0"/>
              <x14:negativeFillColor rgb="FFFF0000"/>
              <x14:axisColor rgb="FF000000"/>
            </x14:dataBar>
          </x14:cfRule>
          <xm:sqref>Y1967</xm:sqref>
        </x14:conditionalFormatting>
        <x14:conditionalFormatting xmlns:xm="http://schemas.microsoft.com/office/excel/2006/main">
          <x14:cfRule type="dataBar" id="{D9788A44-902B-4AD3-9EA6-814414131F71}">
            <x14:dataBar minLength="0" maxLength="100" border="1" gradient="0">
              <x14:cfvo type="num">
                <xm:f>0</xm:f>
              </x14:cfvo>
              <x14:cfvo type="num">
                <xm:f>1</xm:f>
              </x14:cfvo>
              <x14:borderColor theme="0"/>
              <x14:negativeFillColor rgb="FFFF0000"/>
              <x14:axisColor rgb="FF000000"/>
            </x14:dataBar>
          </x14:cfRule>
          <xm:sqref>Y1969</xm:sqref>
        </x14:conditionalFormatting>
        <x14:conditionalFormatting xmlns:xm="http://schemas.microsoft.com/office/excel/2006/main">
          <x14:cfRule type="dataBar" id="{EC3CBE8E-D84D-4244-9E65-CDBC43C93009}">
            <x14:dataBar minLength="0" maxLength="100" border="1" gradient="0">
              <x14:cfvo type="num">
                <xm:f>0</xm:f>
              </x14:cfvo>
              <x14:cfvo type="num">
                <xm:f>1</xm:f>
              </x14:cfvo>
              <x14:borderColor theme="0"/>
              <x14:negativeFillColor rgb="FFFF0000"/>
              <x14:axisColor rgb="FF000000"/>
            </x14:dataBar>
          </x14:cfRule>
          <xm:sqref>Y1971</xm:sqref>
        </x14:conditionalFormatting>
        <x14:conditionalFormatting xmlns:xm="http://schemas.microsoft.com/office/excel/2006/main">
          <x14:cfRule type="dataBar" id="{5B774392-2274-4E70-A78F-133F6846F54B}">
            <x14:dataBar minLength="0" maxLength="100" border="1" gradient="0">
              <x14:cfvo type="num">
                <xm:f>0</xm:f>
              </x14:cfvo>
              <x14:cfvo type="num">
                <xm:f>1</xm:f>
              </x14:cfvo>
              <x14:borderColor theme="0"/>
              <x14:negativeFillColor rgb="FFFF0000"/>
              <x14:axisColor rgb="FF000000"/>
            </x14:dataBar>
          </x14:cfRule>
          <xm:sqref>Y1973</xm:sqref>
        </x14:conditionalFormatting>
        <x14:conditionalFormatting xmlns:xm="http://schemas.microsoft.com/office/excel/2006/main">
          <x14:cfRule type="dataBar" id="{DDF226B1-AEEA-449C-9464-B3CD350BD86A}">
            <x14:dataBar minLength="0" maxLength="100" border="1" gradient="0">
              <x14:cfvo type="num">
                <xm:f>0</xm:f>
              </x14:cfvo>
              <x14:cfvo type="num">
                <xm:f>1</xm:f>
              </x14:cfvo>
              <x14:borderColor theme="0"/>
              <x14:negativeFillColor rgb="FFFF0000"/>
              <x14:axisColor rgb="FF000000"/>
            </x14:dataBar>
          </x14:cfRule>
          <xm:sqref>Y1975</xm:sqref>
        </x14:conditionalFormatting>
        <x14:conditionalFormatting xmlns:xm="http://schemas.microsoft.com/office/excel/2006/main">
          <x14:cfRule type="dataBar" id="{D13A97E0-FDBB-4F07-938C-ABCAEC0E5FB8}">
            <x14:dataBar minLength="0" maxLength="100" border="1" gradient="0">
              <x14:cfvo type="num">
                <xm:f>0</xm:f>
              </x14:cfvo>
              <x14:cfvo type="num">
                <xm:f>1</xm:f>
              </x14:cfvo>
              <x14:borderColor theme="0"/>
              <x14:negativeFillColor rgb="FFFF0000"/>
              <x14:axisColor rgb="FF000000"/>
            </x14:dataBar>
          </x14:cfRule>
          <xm:sqref>Y1977</xm:sqref>
        </x14:conditionalFormatting>
        <x14:conditionalFormatting xmlns:xm="http://schemas.microsoft.com/office/excel/2006/main">
          <x14:cfRule type="dataBar" id="{71F06DB3-84BE-4FEE-86E5-0B555FC308C1}">
            <x14:dataBar minLength="0" maxLength="100" border="1" gradient="0">
              <x14:cfvo type="num">
                <xm:f>0</xm:f>
              </x14:cfvo>
              <x14:cfvo type="num">
                <xm:f>1</xm:f>
              </x14:cfvo>
              <x14:borderColor theme="0"/>
              <x14:negativeFillColor rgb="FFFF0000"/>
              <x14:axisColor rgb="FF000000"/>
            </x14:dataBar>
          </x14:cfRule>
          <xm:sqref>Y1979</xm:sqref>
        </x14:conditionalFormatting>
        <x14:conditionalFormatting xmlns:xm="http://schemas.microsoft.com/office/excel/2006/main">
          <x14:cfRule type="dataBar" id="{E22F77A3-6549-493A-B46D-F62B838F210B}">
            <x14:dataBar minLength="0" maxLength="100" border="1" gradient="0">
              <x14:cfvo type="num">
                <xm:f>0</xm:f>
              </x14:cfvo>
              <x14:cfvo type="num">
                <xm:f>1</xm:f>
              </x14:cfvo>
              <x14:borderColor theme="0"/>
              <x14:negativeFillColor rgb="FFFF0000"/>
              <x14:axisColor rgb="FF000000"/>
            </x14:dataBar>
          </x14:cfRule>
          <xm:sqref>Y1981</xm:sqref>
        </x14:conditionalFormatting>
        <x14:conditionalFormatting xmlns:xm="http://schemas.microsoft.com/office/excel/2006/main">
          <x14:cfRule type="dataBar" id="{0A862EAD-FEAF-4BAC-873A-16CFB85E2B16}">
            <x14:dataBar minLength="0" maxLength="100" border="1" gradient="0">
              <x14:cfvo type="num">
                <xm:f>0</xm:f>
              </x14:cfvo>
              <x14:cfvo type="num">
                <xm:f>1</xm:f>
              </x14:cfvo>
              <x14:borderColor theme="0"/>
              <x14:negativeFillColor rgb="FFFF0000"/>
              <x14:axisColor rgb="FF000000"/>
            </x14:dataBar>
          </x14:cfRule>
          <xm:sqref>Y1983</xm:sqref>
        </x14:conditionalFormatting>
        <x14:conditionalFormatting xmlns:xm="http://schemas.microsoft.com/office/excel/2006/main">
          <x14:cfRule type="dataBar" id="{7D403D06-7B2B-43E2-98C8-9516CB6548DC}">
            <x14:dataBar minLength="0" maxLength="100" border="1" gradient="0">
              <x14:cfvo type="num">
                <xm:f>0</xm:f>
              </x14:cfvo>
              <x14:cfvo type="num">
                <xm:f>1</xm:f>
              </x14:cfvo>
              <x14:borderColor theme="0"/>
              <x14:negativeFillColor rgb="FFFF0000"/>
              <x14:axisColor rgb="FF000000"/>
            </x14:dataBar>
          </x14:cfRule>
          <xm:sqref>Y1985</xm:sqref>
        </x14:conditionalFormatting>
        <x14:conditionalFormatting xmlns:xm="http://schemas.microsoft.com/office/excel/2006/main">
          <x14:cfRule type="dataBar" id="{F755128A-1ED8-4C56-94C0-C1A133A31E9B}">
            <x14:dataBar minLength="0" maxLength="100" border="1" gradient="0">
              <x14:cfvo type="num">
                <xm:f>0</xm:f>
              </x14:cfvo>
              <x14:cfvo type="num">
                <xm:f>1</xm:f>
              </x14:cfvo>
              <x14:borderColor theme="0"/>
              <x14:negativeFillColor rgb="FFFF0000"/>
              <x14:axisColor rgb="FF000000"/>
            </x14:dataBar>
          </x14:cfRule>
          <xm:sqref>Y1987</xm:sqref>
        </x14:conditionalFormatting>
        <x14:conditionalFormatting xmlns:xm="http://schemas.microsoft.com/office/excel/2006/main">
          <x14:cfRule type="dataBar" id="{3AAD47D8-4E4F-407A-AE22-8CD70B77E085}">
            <x14:dataBar minLength="0" maxLength="100" border="1" gradient="0">
              <x14:cfvo type="num">
                <xm:f>0</xm:f>
              </x14:cfvo>
              <x14:cfvo type="num">
                <xm:f>1</xm:f>
              </x14:cfvo>
              <x14:borderColor theme="0"/>
              <x14:negativeFillColor rgb="FFFF0000"/>
              <x14:axisColor rgb="FF000000"/>
            </x14:dataBar>
          </x14:cfRule>
          <xm:sqref>Y1989</xm:sqref>
        </x14:conditionalFormatting>
        <x14:conditionalFormatting xmlns:xm="http://schemas.microsoft.com/office/excel/2006/main">
          <x14:cfRule type="dataBar" id="{E9F79273-2EF0-4F2D-8FF5-F22D32AD72DE}">
            <x14:dataBar minLength="0" maxLength="100" border="1" gradient="0">
              <x14:cfvo type="num">
                <xm:f>0</xm:f>
              </x14:cfvo>
              <x14:cfvo type="num">
                <xm:f>1</xm:f>
              </x14:cfvo>
              <x14:borderColor theme="0"/>
              <x14:negativeFillColor rgb="FFFF0000"/>
              <x14:axisColor rgb="FF000000"/>
            </x14:dataBar>
          </x14:cfRule>
          <xm:sqref>Y1991</xm:sqref>
        </x14:conditionalFormatting>
        <x14:conditionalFormatting xmlns:xm="http://schemas.microsoft.com/office/excel/2006/main">
          <x14:cfRule type="dataBar" id="{C4B58F59-6F06-43D0-9F66-A34978F83737}">
            <x14:dataBar minLength="0" maxLength="100" border="1" gradient="0">
              <x14:cfvo type="num">
                <xm:f>0</xm:f>
              </x14:cfvo>
              <x14:cfvo type="num">
                <xm:f>1</xm:f>
              </x14:cfvo>
              <x14:borderColor theme="0"/>
              <x14:negativeFillColor rgb="FFFF0000"/>
              <x14:axisColor rgb="FF000000"/>
            </x14:dataBar>
          </x14:cfRule>
          <xm:sqref>Y1993</xm:sqref>
        </x14:conditionalFormatting>
        <x14:conditionalFormatting xmlns:xm="http://schemas.microsoft.com/office/excel/2006/main">
          <x14:cfRule type="dataBar" id="{6CA9DB7D-80CF-496A-9A9C-042EAFD9FB93}">
            <x14:dataBar minLength="0" maxLength="100" border="1" gradient="0">
              <x14:cfvo type="num">
                <xm:f>0</xm:f>
              </x14:cfvo>
              <x14:cfvo type="num">
                <xm:f>1</xm:f>
              </x14:cfvo>
              <x14:borderColor theme="0"/>
              <x14:negativeFillColor rgb="FFFF0000"/>
              <x14:axisColor rgb="FF000000"/>
            </x14:dataBar>
          </x14:cfRule>
          <xm:sqref>Y1995</xm:sqref>
        </x14:conditionalFormatting>
        <x14:conditionalFormatting xmlns:xm="http://schemas.microsoft.com/office/excel/2006/main">
          <x14:cfRule type="dataBar" id="{CDF60594-75FF-4942-8AE0-222D18629C33}">
            <x14:dataBar minLength="0" maxLength="100" border="1" gradient="0">
              <x14:cfvo type="num">
                <xm:f>0</xm:f>
              </x14:cfvo>
              <x14:cfvo type="num">
                <xm:f>1</xm:f>
              </x14:cfvo>
              <x14:borderColor theme="0"/>
              <x14:negativeFillColor rgb="FFFF0000"/>
              <x14:axisColor rgb="FF000000"/>
            </x14:dataBar>
          </x14:cfRule>
          <xm:sqref>Y1998</xm:sqref>
        </x14:conditionalFormatting>
        <x14:conditionalFormatting xmlns:xm="http://schemas.microsoft.com/office/excel/2006/main">
          <x14:cfRule type="dataBar" id="{4C2C1E0F-CF26-41B1-8368-55D73425CA45}">
            <x14:dataBar minLength="0" maxLength="100" border="1" gradient="0">
              <x14:cfvo type="num">
                <xm:f>0</xm:f>
              </x14:cfvo>
              <x14:cfvo type="num">
                <xm:f>1</xm:f>
              </x14:cfvo>
              <x14:borderColor theme="0"/>
              <x14:negativeFillColor rgb="FFFF0000"/>
              <x14:axisColor rgb="FF000000"/>
            </x14:dataBar>
          </x14:cfRule>
          <xm:sqref>Y2000 Y2002 Y2004 Y2006 Y2008</xm:sqref>
        </x14:conditionalFormatting>
        <x14:conditionalFormatting xmlns:xm="http://schemas.microsoft.com/office/excel/2006/main">
          <x14:cfRule type="dataBar" id="{DD10624D-4056-46F1-AAD7-AA1F758995AC}">
            <x14:dataBar minLength="0" maxLength="100" border="1" gradient="0">
              <x14:cfvo type="num">
                <xm:f>0</xm:f>
              </x14:cfvo>
              <x14:cfvo type="num">
                <xm:f>1</xm:f>
              </x14:cfvo>
              <x14:borderColor theme="0"/>
              <x14:negativeFillColor rgb="FFFF0000"/>
              <x14:axisColor rgb="FF000000"/>
            </x14:dataBar>
          </x14:cfRule>
          <xm:sqref>Y2010 Y2012 Y2014 Y2016 Y2018</xm:sqref>
        </x14:conditionalFormatting>
        <x14:conditionalFormatting xmlns:xm="http://schemas.microsoft.com/office/excel/2006/main">
          <x14:cfRule type="dataBar" id="{0067C9DE-5A0C-4446-9039-F4DC8E643DE1}">
            <x14:dataBar minLength="0" maxLength="100" border="1" gradient="0">
              <x14:cfvo type="num">
                <xm:f>0</xm:f>
              </x14:cfvo>
              <x14:cfvo type="num">
                <xm:f>1</xm:f>
              </x14:cfvo>
              <x14:borderColor theme="0"/>
              <x14:negativeFillColor rgb="FFFF0000"/>
              <x14:axisColor rgb="FF000000"/>
            </x14:dataBar>
          </x14:cfRule>
          <xm:sqref>Y2020 Y2022 Y2024 Y2026 Y2028</xm:sqref>
        </x14:conditionalFormatting>
        <x14:conditionalFormatting xmlns:xm="http://schemas.microsoft.com/office/excel/2006/main">
          <x14:cfRule type="dataBar" id="{5D723AB3-F6E2-48E2-BA46-081FE71B2331}">
            <x14:dataBar minLength="0" maxLength="100" border="1" gradient="0">
              <x14:cfvo type="num">
                <xm:f>0</xm:f>
              </x14:cfvo>
              <x14:cfvo type="num">
                <xm:f>1</xm:f>
              </x14:cfvo>
              <x14:borderColor theme="0"/>
              <x14:negativeFillColor rgb="FFFF0000"/>
              <x14:axisColor rgb="FF000000"/>
            </x14:dataBar>
          </x14:cfRule>
          <xm:sqref>Y2030 Y2032 Y2034 Y2036 Y2038</xm:sqref>
        </x14:conditionalFormatting>
        <x14:conditionalFormatting xmlns:xm="http://schemas.microsoft.com/office/excel/2006/main">
          <x14:cfRule type="dataBar" id="{E1E1DD45-9B47-4849-88AC-9EB83143690F}">
            <x14:dataBar minLength="0" maxLength="100" border="1" gradient="0">
              <x14:cfvo type="num">
                <xm:f>0</xm:f>
              </x14:cfvo>
              <x14:cfvo type="num">
                <xm:f>1</xm:f>
              </x14:cfvo>
              <x14:borderColor theme="0"/>
              <x14:negativeFillColor rgb="FFFF0000"/>
              <x14:axisColor rgb="FF000000"/>
            </x14:dataBar>
          </x14:cfRule>
          <xm:sqref>Y2040 Y2042 Y2044 Y2046 Y2048</xm:sqref>
        </x14:conditionalFormatting>
        <x14:conditionalFormatting xmlns:xm="http://schemas.microsoft.com/office/excel/2006/main">
          <x14:cfRule type="dataBar" id="{ABC6B363-8ADF-46CF-809A-F062DDBC40B8}">
            <x14:dataBar minLength="0" maxLength="100" border="1" gradient="0">
              <x14:cfvo type="num">
                <xm:f>0</xm:f>
              </x14:cfvo>
              <x14:cfvo type="num">
                <xm:f>1</xm:f>
              </x14:cfvo>
              <x14:borderColor theme="0"/>
              <x14:negativeFillColor rgb="FFFF0000"/>
              <x14:axisColor rgb="FF000000"/>
            </x14:dataBar>
          </x14:cfRule>
          <xm:sqref>Y2050 Y2052 Y2054 Y2056 Y2058</xm:sqref>
        </x14:conditionalFormatting>
        <x14:conditionalFormatting xmlns:xm="http://schemas.microsoft.com/office/excel/2006/main">
          <x14:cfRule type="dataBar" id="{979F25E0-3C59-44C3-9C25-CA3131546E9D}">
            <x14:dataBar minLength="0" maxLength="100" border="1" gradient="0">
              <x14:cfvo type="num">
                <xm:f>0</xm:f>
              </x14:cfvo>
              <x14:cfvo type="num">
                <xm:f>1</xm:f>
              </x14:cfvo>
              <x14:borderColor theme="0"/>
              <x14:negativeFillColor rgb="FFFF0000"/>
              <x14:axisColor rgb="FF000000"/>
            </x14:dataBar>
          </x14:cfRule>
          <xm:sqref>Y2060 Y2062 Y2064 Y2066 Y2068</xm:sqref>
        </x14:conditionalFormatting>
        <x14:conditionalFormatting xmlns:xm="http://schemas.microsoft.com/office/excel/2006/main">
          <x14:cfRule type="dataBar" id="{E210125D-C03A-48ED-B08F-6F18CAF6D6FD}">
            <x14:dataBar minLength="0" maxLength="100" border="1" gradient="0">
              <x14:cfvo type="num">
                <xm:f>0</xm:f>
              </x14:cfvo>
              <x14:cfvo type="num">
                <xm:f>1</xm:f>
              </x14:cfvo>
              <x14:borderColor theme="0"/>
              <x14:negativeFillColor rgb="FFFF0000"/>
              <x14:axisColor rgb="FF000000"/>
            </x14:dataBar>
          </x14:cfRule>
          <xm:sqref>Y2070 Y2074 Y2072 Y2076</xm:sqref>
        </x14:conditionalFormatting>
        <x14:conditionalFormatting xmlns:xm="http://schemas.microsoft.com/office/excel/2006/main">
          <x14:cfRule type="dataBar" id="{A4C9C397-FFE1-4329-89F3-7573FF0F4B4D}">
            <x14:dataBar minLength="0" maxLength="100" border="1" gradient="0">
              <x14:cfvo type="num">
                <xm:f>0</xm:f>
              </x14:cfvo>
              <x14:cfvo type="num">
                <xm:f>1</xm:f>
              </x14:cfvo>
              <x14:borderColor theme="0"/>
              <x14:negativeFillColor rgb="FFFF0000"/>
              <x14:axisColor rgb="FF000000"/>
            </x14:dataBar>
          </x14:cfRule>
          <xm:sqref>Y2078</xm:sqref>
        </x14:conditionalFormatting>
        <x14:conditionalFormatting xmlns:xm="http://schemas.microsoft.com/office/excel/2006/main">
          <x14:cfRule type="dataBar" id="{C98C88BE-AB67-4D95-BACE-2F457324A9CB}">
            <x14:dataBar minLength="0" maxLength="100" border="1" gradient="0">
              <x14:cfvo type="num">
                <xm:f>0</xm:f>
              </x14:cfvo>
              <x14:cfvo type="num">
                <xm:f>1</xm:f>
              </x14:cfvo>
              <x14:borderColor theme="0"/>
              <x14:negativeFillColor rgb="FFFF0000"/>
              <x14:axisColor rgb="FF000000"/>
            </x14:dataBar>
          </x14:cfRule>
          <xm:sqref>Y2080</xm:sqref>
        </x14:conditionalFormatting>
        <x14:conditionalFormatting xmlns:xm="http://schemas.microsoft.com/office/excel/2006/main">
          <x14:cfRule type="dataBar" id="{AA2D6E61-7269-448C-B957-4957C3712171}">
            <x14:dataBar minLength="0" maxLength="100" border="1" gradient="0">
              <x14:cfvo type="num">
                <xm:f>0</xm:f>
              </x14:cfvo>
              <x14:cfvo type="num">
                <xm:f>1</xm:f>
              </x14:cfvo>
              <x14:borderColor theme="0"/>
              <x14:negativeFillColor rgb="FFFF0000"/>
              <x14:axisColor rgb="FF000000"/>
            </x14:dataBar>
          </x14:cfRule>
          <xm:sqref>Y2084</xm:sqref>
        </x14:conditionalFormatting>
        <x14:conditionalFormatting xmlns:xm="http://schemas.microsoft.com/office/excel/2006/main">
          <x14:cfRule type="dataBar" id="{8782ECB4-60AD-4548-AF41-BB830C2C15D1}">
            <x14:dataBar minLength="0" maxLength="100" border="1" gradient="0">
              <x14:cfvo type="num">
                <xm:f>0</xm:f>
              </x14:cfvo>
              <x14:cfvo type="num">
                <xm:f>1</xm:f>
              </x14:cfvo>
              <x14:borderColor theme="0"/>
              <x14:negativeFillColor rgb="FFFF0000"/>
              <x14:axisColor rgb="FF000000"/>
            </x14:dataBar>
          </x14:cfRule>
          <xm:sqref>Y2086 Y2088</xm:sqref>
        </x14:conditionalFormatting>
        <x14:conditionalFormatting xmlns:xm="http://schemas.microsoft.com/office/excel/2006/main">
          <x14:cfRule type="dataBar" id="{0ADB046F-23F9-44C3-AE3F-7F45C169CD2A}">
            <x14:dataBar minLength="0" maxLength="100" border="1" gradient="0">
              <x14:cfvo type="num">
                <xm:f>0</xm:f>
              </x14:cfvo>
              <x14:cfvo type="num">
                <xm:f>1</xm:f>
              </x14:cfvo>
              <x14:borderColor theme="0"/>
              <x14:negativeFillColor rgb="FFFF0000"/>
              <x14:axisColor rgb="FF000000"/>
            </x14:dataBar>
          </x14:cfRule>
          <xm:sqref>Y2090</xm:sqref>
        </x14:conditionalFormatting>
        <x14:conditionalFormatting xmlns:xm="http://schemas.microsoft.com/office/excel/2006/main">
          <x14:cfRule type="dataBar" id="{08624345-21D9-4F0D-814F-BD5E38F157BE}">
            <x14:dataBar minLength="0" maxLength="100" border="1" gradient="0">
              <x14:cfvo type="num">
                <xm:f>0</xm:f>
              </x14:cfvo>
              <x14:cfvo type="num">
                <xm:f>1</xm:f>
              </x14:cfvo>
              <x14:borderColor theme="0"/>
              <x14:negativeFillColor rgb="FFFF0000"/>
              <x14:axisColor rgb="FF000000"/>
            </x14:dataBar>
          </x14:cfRule>
          <xm:sqref>Y2092 Y2094</xm:sqref>
        </x14:conditionalFormatting>
        <x14:conditionalFormatting xmlns:xm="http://schemas.microsoft.com/office/excel/2006/main">
          <x14:cfRule type="dataBar" id="{785B5768-9296-4DC2-9047-650B69878F17}">
            <x14:dataBar minLength="0" maxLength="100" border="1" gradient="0">
              <x14:cfvo type="num">
                <xm:f>0</xm:f>
              </x14:cfvo>
              <x14:cfvo type="num">
                <xm:f>1</xm:f>
              </x14:cfvo>
              <x14:borderColor theme="0"/>
              <x14:negativeFillColor rgb="FFFF0000"/>
              <x14:axisColor rgb="FF000000"/>
            </x14:dataBar>
          </x14:cfRule>
          <xm:sqref>Y2096</xm:sqref>
        </x14:conditionalFormatting>
        <x14:conditionalFormatting xmlns:xm="http://schemas.microsoft.com/office/excel/2006/main">
          <x14:cfRule type="dataBar" id="{25CB070D-35ED-458A-9249-CC0A0B37FD67}">
            <x14:dataBar minLength="0" maxLength="100" border="1" gradient="0">
              <x14:cfvo type="num">
                <xm:f>0</xm:f>
              </x14:cfvo>
              <x14:cfvo type="num">
                <xm:f>1</xm:f>
              </x14:cfvo>
              <x14:borderColor theme="0"/>
              <x14:negativeFillColor rgb="FFFF0000"/>
              <x14:axisColor rgb="FF000000"/>
            </x14:dataBar>
          </x14:cfRule>
          <xm:sqref>Y2098</xm:sqref>
        </x14:conditionalFormatting>
        <x14:conditionalFormatting xmlns:xm="http://schemas.microsoft.com/office/excel/2006/main">
          <x14:cfRule type="dataBar" id="{C186CE00-41AD-4BEE-B6F9-F9AE4447C96F}">
            <x14:dataBar minLength="0" maxLength="100" border="1" gradient="0">
              <x14:cfvo type="num">
                <xm:f>0</xm:f>
              </x14:cfvo>
              <x14:cfvo type="num">
                <xm:f>1</xm:f>
              </x14:cfvo>
              <x14:borderColor theme="0"/>
              <x14:negativeFillColor rgb="FFFF0000"/>
              <x14:axisColor rgb="FF000000"/>
            </x14:dataBar>
          </x14:cfRule>
          <xm:sqref>Y2100</xm:sqref>
        </x14:conditionalFormatting>
        <x14:conditionalFormatting xmlns:xm="http://schemas.microsoft.com/office/excel/2006/main">
          <x14:cfRule type="dataBar" id="{D38E4348-87C7-4029-B425-F4E11388A4CF}">
            <x14:dataBar minLength="0" maxLength="100" border="1" gradient="0">
              <x14:cfvo type="num">
                <xm:f>0</xm:f>
              </x14:cfvo>
              <x14:cfvo type="num">
                <xm:f>1</xm:f>
              </x14:cfvo>
              <x14:borderColor theme="0"/>
              <x14:negativeFillColor rgb="FFFF0000"/>
              <x14:axisColor rgb="FF000000"/>
            </x14:dataBar>
          </x14:cfRule>
          <xm:sqref>Y2102 Y2104</xm:sqref>
        </x14:conditionalFormatting>
        <x14:conditionalFormatting xmlns:xm="http://schemas.microsoft.com/office/excel/2006/main">
          <x14:cfRule type="dataBar" id="{D8D79C9F-D4BF-4F71-A78C-6848D2ACB7F0}">
            <x14:dataBar minLength="0" maxLength="100" border="1" gradient="0">
              <x14:cfvo type="num">
                <xm:f>0</xm:f>
              </x14:cfvo>
              <x14:cfvo type="num">
                <xm:f>1</xm:f>
              </x14:cfvo>
              <x14:borderColor theme="0"/>
              <x14:negativeFillColor rgb="FFFF0000"/>
              <x14:axisColor rgb="FF000000"/>
            </x14:dataBar>
          </x14:cfRule>
          <xm:sqref>Y2106</xm:sqref>
        </x14:conditionalFormatting>
        <x14:conditionalFormatting xmlns:xm="http://schemas.microsoft.com/office/excel/2006/main">
          <x14:cfRule type="dataBar" id="{BCB41C8B-2B31-4354-99A8-0F521AF9BE65}">
            <x14:dataBar minLength="0" maxLength="100" border="1" gradient="0">
              <x14:cfvo type="num">
                <xm:f>0</xm:f>
              </x14:cfvo>
              <x14:cfvo type="num">
                <xm:f>1</xm:f>
              </x14:cfvo>
              <x14:borderColor theme="0"/>
              <x14:negativeFillColor rgb="FFFF0000"/>
              <x14:axisColor rgb="FF000000"/>
            </x14:dataBar>
          </x14:cfRule>
          <xm:sqref>Y2108</xm:sqref>
        </x14:conditionalFormatting>
        <x14:conditionalFormatting xmlns:xm="http://schemas.microsoft.com/office/excel/2006/main">
          <x14:cfRule type="dataBar" id="{2108D975-170E-4E0D-8812-6DEC5F851525}">
            <x14:dataBar minLength="0" maxLength="100" border="1" gradient="0">
              <x14:cfvo type="num">
                <xm:f>0</xm:f>
              </x14:cfvo>
              <x14:cfvo type="num">
                <xm:f>1</xm:f>
              </x14:cfvo>
              <x14:borderColor theme="0"/>
              <x14:negativeFillColor rgb="FFFF0000"/>
              <x14:axisColor rgb="FF000000"/>
            </x14:dataBar>
          </x14:cfRule>
          <xm:sqref>Y2110 Y2112</xm:sqref>
        </x14:conditionalFormatting>
        <x14:conditionalFormatting xmlns:xm="http://schemas.microsoft.com/office/excel/2006/main">
          <x14:cfRule type="dataBar" id="{B3CCBEB6-9790-4B6C-9705-A8DCDFF9D951}">
            <x14:dataBar minLength="0" maxLength="100" border="1" gradient="0">
              <x14:cfvo type="num">
                <xm:f>0</xm:f>
              </x14:cfvo>
              <x14:cfvo type="num">
                <xm:f>1</xm:f>
              </x14:cfvo>
              <x14:borderColor theme="0"/>
              <x14:negativeFillColor rgb="FFFF0000"/>
              <x14:axisColor rgb="FF000000"/>
            </x14:dataBar>
          </x14:cfRule>
          <xm:sqref>Y2114</xm:sqref>
        </x14:conditionalFormatting>
        <x14:conditionalFormatting xmlns:xm="http://schemas.microsoft.com/office/excel/2006/main">
          <x14:cfRule type="dataBar" id="{E045E6F1-0B9F-4FF3-A763-261399D07E27}">
            <x14:dataBar minLength="0" maxLength="100" border="1" gradient="0">
              <x14:cfvo type="num">
                <xm:f>0</xm:f>
              </x14:cfvo>
              <x14:cfvo type="num">
                <xm:f>1</xm:f>
              </x14:cfvo>
              <x14:borderColor theme="0"/>
              <x14:negativeFillColor rgb="FFFF0000"/>
              <x14:axisColor rgb="FF000000"/>
            </x14:dataBar>
          </x14:cfRule>
          <xm:sqref>Y2116</xm:sqref>
        </x14:conditionalFormatting>
        <x14:conditionalFormatting xmlns:xm="http://schemas.microsoft.com/office/excel/2006/main">
          <x14:cfRule type="dataBar" id="{F610242A-80B5-4F8E-92EC-D9A2943B31AB}">
            <x14:dataBar minLength="0" maxLength="100" border="1" gradient="0">
              <x14:cfvo type="num">
                <xm:f>0</xm:f>
              </x14:cfvo>
              <x14:cfvo type="num">
                <xm:f>1</xm:f>
              </x14:cfvo>
              <x14:borderColor theme="0"/>
              <x14:negativeFillColor rgb="FFFF0000"/>
              <x14:axisColor rgb="FF000000"/>
            </x14:dataBar>
          </x14:cfRule>
          <xm:sqref>Y2118</xm:sqref>
        </x14:conditionalFormatting>
        <x14:conditionalFormatting xmlns:xm="http://schemas.microsoft.com/office/excel/2006/main">
          <x14:cfRule type="dataBar" id="{217AEC5B-FC52-4648-A908-4A619FB4CD0E}">
            <x14:dataBar minLength="0" maxLength="100" border="1" gradient="0">
              <x14:cfvo type="num">
                <xm:f>0</xm:f>
              </x14:cfvo>
              <x14:cfvo type="num">
                <xm:f>1</xm:f>
              </x14:cfvo>
              <x14:borderColor theme="0"/>
              <x14:negativeFillColor rgb="FFFF0000"/>
              <x14:axisColor rgb="FF000000"/>
            </x14:dataBar>
          </x14:cfRule>
          <xm:sqref>Y2120 Y2122</xm:sqref>
        </x14:conditionalFormatting>
        <x14:conditionalFormatting xmlns:xm="http://schemas.microsoft.com/office/excel/2006/main">
          <x14:cfRule type="dataBar" id="{51F810A9-5EA4-42B8-8356-DC22FBF66131}">
            <x14:dataBar minLength="0" maxLength="100" border="1" gradient="0">
              <x14:cfvo type="num">
                <xm:f>0</xm:f>
              </x14:cfvo>
              <x14:cfvo type="num">
                <xm:f>1</xm:f>
              </x14:cfvo>
              <x14:borderColor theme="0"/>
              <x14:negativeFillColor rgb="FFFF0000"/>
              <x14:axisColor rgb="FF000000"/>
            </x14:dataBar>
          </x14:cfRule>
          <xm:sqref>Y2124</xm:sqref>
        </x14:conditionalFormatting>
        <x14:conditionalFormatting xmlns:xm="http://schemas.microsoft.com/office/excel/2006/main">
          <x14:cfRule type="dataBar" id="{E17B89CB-FF74-4CD8-A0D7-BC76C5A606B2}">
            <x14:dataBar minLength="0" maxLength="100" border="1" gradient="0">
              <x14:cfvo type="num">
                <xm:f>0</xm:f>
              </x14:cfvo>
              <x14:cfvo type="num">
                <xm:f>1</xm:f>
              </x14:cfvo>
              <x14:borderColor theme="0"/>
              <x14:negativeFillColor rgb="FFFF0000"/>
              <x14:axisColor rgb="FF000000"/>
            </x14:dataBar>
          </x14:cfRule>
          <xm:sqref>Y2127</xm:sqref>
        </x14:conditionalFormatting>
        <x14:conditionalFormatting xmlns:xm="http://schemas.microsoft.com/office/excel/2006/main">
          <x14:cfRule type="dataBar" id="{DBBFC431-EDCD-4C09-9D1D-79EFF8B2350A}">
            <x14:dataBar minLength="0" maxLength="100" border="1" gradient="0">
              <x14:cfvo type="num">
                <xm:f>0</xm:f>
              </x14:cfvo>
              <x14:cfvo type="num">
                <xm:f>1</xm:f>
              </x14:cfvo>
              <x14:borderColor theme="0"/>
              <x14:negativeFillColor rgb="FFFF0000"/>
              <x14:axisColor rgb="FF000000"/>
            </x14:dataBar>
          </x14:cfRule>
          <xm:sqref>Y2129 Y2131 Y2133</xm:sqref>
        </x14:conditionalFormatting>
        <x14:conditionalFormatting xmlns:xm="http://schemas.microsoft.com/office/excel/2006/main">
          <x14:cfRule type="dataBar" id="{E0411CCC-3BE6-49D4-B8BC-0D8027AC66C0}">
            <x14:dataBar minLength="0" maxLength="100" border="1" gradient="0">
              <x14:cfvo type="num">
                <xm:f>0</xm:f>
              </x14:cfvo>
              <x14:cfvo type="num">
                <xm:f>1</xm:f>
              </x14:cfvo>
              <x14:borderColor theme="0"/>
              <x14:negativeFillColor rgb="FFFF0000"/>
              <x14:axisColor rgb="FF000000"/>
            </x14:dataBar>
          </x14:cfRule>
          <xm:sqref>Y2135 Y2137 Y2139</xm:sqref>
        </x14:conditionalFormatting>
        <x14:conditionalFormatting xmlns:xm="http://schemas.microsoft.com/office/excel/2006/main">
          <x14:cfRule type="dataBar" id="{5D4939BC-9D27-405B-8FCD-6EC6E0695A2C}">
            <x14:dataBar minLength="0" maxLength="100" border="1" gradient="0">
              <x14:cfvo type="num">
                <xm:f>0</xm:f>
              </x14:cfvo>
              <x14:cfvo type="num">
                <xm:f>1</xm:f>
              </x14:cfvo>
              <x14:borderColor theme="0"/>
              <x14:negativeFillColor rgb="FFFF0000"/>
              <x14:axisColor rgb="FF000000"/>
            </x14:dataBar>
          </x14:cfRule>
          <xm:sqref>Y2141 Y2143 Y2145</xm:sqref>
        </x14:conditionalFormatting>
        <x14:conditionalFormatting xmlns:xm="http://schemas.microsoft.com/office/excel/2006/main">
          <x14:cfRule type="dataBar" id="{3EB6E11D-6273-4417-9FE6-212EA153A86F}">
            <x14:dataBar minLength="0" maxLength="100" border="1" gradient="0">
              <x14:cfvo type="num">
                <xm:f>0</xm:f>
              </x14:cfvo>
              <x14:cfvo type="num">
                <xm:f>1</xm:f>
              </x14:cfvo>
              <x14:borderColor theme="0"/>
              <x14:negativeFillColor rgb="FFFF0000"/>
              <x14:axisColor rgb="FF000000"/>
            </x14:dataBar>
          </x14:cfRule>
          <xm:sqref>Y2147 Y2149 Y2151</xm:sqref>
        </x14:conditionalFormatting>
        <x14:conditionalFormatting xmlns:xm="http://schemas.microsoft.com/office/excel/2006/main">
          <x14:cfRule type="dataBar" id="{9BDBAB48-2F79-48E0-A584-65851CE3A5B8}">
            <x14:dataBar minLength="0" maxLength="100" border="1" gradient="0">
              <x14:cfvo type="num">
                <xm:f>0</xm:f>
              </x14:cfvo>
              <x14:cfvo type="num">
                <xm:f>1</xm:f>
              </x14:cfvo>
              <x14:borderColor theme="0"/>
              <x14:negativeFillColor rgb="FFFF0000"/>
              <x14:axisColor rgb="FF000000"/>
            </x14:dataBar>
          </x14:cfRule>
          <xm:sqref>Y2153 Y2155 Y2157</xm:sqref>
        </x14:conditionalFormatting>
        <x14:conditionalFormatting xmlns:xm="http://schemas.microsoft.com/office/excel/2006/main">
          <x14:cfRule type="dataBar" id="{EE0C84E1-BC9D-4111-B74D-AB257FB058CA}">
            <x14:dataBar minLength="0" maxLength="100" border="1" gradient="0">
              <x14:cfvo type="num">
                <xm:f>0</xm:f>
              </x14:cfvo>
              <x14:cfvo type="num">
                <xm:f>1</xm:f>
              </x14:cfvo>
              <x14:borderColor theme="0"/>
              <x14:negativeFillColor rgb="FFFF0000"/>
              <x14:axisColor rgb="FF000000"/>
            </x14:dataBar>
          </x14:cfRule>
          <xm:sqref>Y2159 Y2161 Y2163</xm:sqref>
        </x14:conditionalFormatting>
        <x14:conditionalFormatting xmlns:xm="http://schemas.microsoft.com/office/excel/2006/main">
          <x14:cfRule type="dataBar" id="{0A757B74-B955-4BF8-ACC7-692A857D2CE6}">
            <x14:dataBar minLength="0" maxLength="100" border="1" gradient="0">
              <x14:cfvo type="num">
                <xm:f>0</xm:f>
              </x14:cfvo>
              <x14:cfvo type="num">
                <xm:f>1</xm:f>
              </x14:cfvo>
              <x14:borderColor theme="0"/>
              <x14:negativeFillColor rgb="FFFF0000"/>
              <x14:axisColor rgb="FF000000"/>
            </x14:dataBar>
          </x14:cfRule>
          <xm:sqref>Y2165 Y2167</xm:sqref>
        </x14:conditionalFormatting>
        <x14:conditionalFormatting xmlns:xm="http://schemas.microsoft.com/office/excel/2006/main">
          <x14:cfRule type="dataBar" id="{64FAB2E0-D59E-42D7-B461-D51679C610F3}">
            <x14:dataBar minLength="0" maxLength="100" border="1" gradient="0">
              <x14:cfvo type="num">
                <xm:f>0</xm:f>
              </x14:cfvo>
              <x14:cfvo type="num">
                <xm:f>1</xm:f>
              </x14:cfvo>
              <x14:borderColor theme="0"/>
              <x14:negativeFillColor rgb="FFFF0000"/>
              <x14:axisColor rgb="FF000000"/>
            </x14:dataBar>
          </x14:cfRule>
          <xm:sqref>Y2169 Y2171 Y2173</xm:sqref>
        </x14:conditionalFormatting>
        <x14:conditionalFormatting xmlns:xm="http://schemas.microsoft.com/office/excel/2006/main">
          <x14:cfRule type="dataBar" id="{08D2D10B-0FB8-49EC-BA00-04D2BAF41443}">
            <x14:dataBar minLength="0" maxLength="100" border="1" gradient="0">
              <x14:cfvo type="num">
                <xm:f>0</xm:f>
              </x14:cfvo>
              <x14:cfvo type="num">
                <xm:f>1</xm:f>
              </x14:cfvo>
              <x14:borderColor theme="0"/>
              <x14:negativeFillColor rgb="FFFF0000"/>
              <x14:axisColor rgb="FF000000"/>
            </x14:dataBar>
          </x14:cfRule>
          <xm:sqref>Y2175 Y2177 Y2179</xm:sqref>
        </x14:conditionalFormatting>
        <x14:conditionalFormatting xmlns:xm="http://schemas.microsoft.com/office/excel/2006/main">
          <x14:cfRule type="dataBar" id="{660BA43A-690A-4063-8334-1EC133FC2DC0}">
            <x14:dataBar minLength="0" maxLength="100" border="1" gradient="0">
              <x14:cfvo type="num">
                <xm:f>0</xm:f>
              </x14:cfvo>
              <x14:cfvo type="num">
                <xm:f>1</xm:f>
              </x14:cfvo>
              <x14:borderColor theme="0"/>
              <x14:negativeFillColor rgb="FFFF0000"/>
              <x14:axisColor rgb="FF000000"/>
            </x14:dataBar>
          </x14:cfRule>
          <xm:sqref>Y2181 Y2183 Y2185</xm:sqref>
        </x14:conditionalFormatting>
        <x14:conditionalFormatting xmlns:xm="http://schemas.microsoft.com/office/excel/2006/main">
          <x14:cfRule type="dataBar" id="{6556F2CD-B66C-4D7A-B2FB-F285A17EAFEE}">
            <x14:dataBar minLength="0" maxLength="100" border="1" gradient="0">
              <x14:cfvo type="num">
                <xm:f>0</xm:f>
              </x14:cfvo>
              <x14:cfvo type="num">
                <xm:f>1</xm:f>
              </x14:cfvo>
              <x14:borderColor theme="0"/>
              <x14:negativeFillColor rgb="FFFF0000"/>
              <x14:axisColor rgb="FF000000"/>
            </x14:dataBar>
          </x14:cfRule>
          <xm:sqref>Y2187 Y2189 Y2191</xm:sqref>
        </x14:conditionalFormatting>
        <x14:conditionalFormatting xmlns:xm="http://schemas.microsoft.com/office/excel/2006/main">
          <x14:cfRule type="dataBar" id="{D6634B77-E47D-43D1-9D2E-EABF4E297B64}">
            <x14:dataBar minLength="0" maxLength="100" border="1" gradient="0">
              <x14:cfvo type="num">
                <xm:f>0</xm:f>
              </x14:cfvo>
              <x14:cfvo type="num">
                <xm:f>1</xm:f>
              </x14:cfvo>
              <x14:borderColor theme="0"/>
              <x14:negativeFillColor rgb="FFFF0000"/>
              <x14:axisColor rgb="FF000000"/>
            </x14:dataBar>
          </x14:cfRule>
          <xm:sqref>Y2193 Y2195 Y2197</xm:sqref>
        </x14:conditionalFormatting>
        <x14:conditionalFormatting xmlns:xm="http://schemas.microsoft.com/office/excel/2006/main">
          <x14:cfRule type="dataBar" id="{37B52CE2-14DB-4371-BB46-C02F1E27B7A8}">
            <x14:dataBar minLength="0" maxLength="100" border="1" gradient="0">
              <x14:cfvo type="num">
                <xm:f>0</xm:f>
              </x14:cfvo>
              <x14:cfvo type="num">
                <xm:f>1</xm:f>
              </x14:cfvo>
              <x14:borderColor theme="0"/>
              <x14:negativeFillColor rgb="FFFF0000"/>
              <x14:axisColor rgb="FF000000"/>
            </x14:dataBar>
          </x14:cfRule>
          <xm:sqref>Y2199 Y2201 Y2203</xm:sqref>
        </x14:conditionalFormatting>
        <x14:conditionalFormatting xmlns:xm="http://schemas.microsoft.com/office/excel/2006/main">
          <x14:cfRule type="dataBar" id="{AD798D5D-1150-4561-9E52-FB39B9D920BE}">
            <x14:dataBar minLength="0" maxLength="100" border="1" gradient="0">
              <x14:cfvo type="num">
                <xm:f>0</xm:f>
              </x14:cfvo>
              <x14:cfvo type="num">
                <xm:f>1</xm:f>
              </x14:cfvo>
              <x14:borderColor theme="0"/>
              <x14:negativeFillColor rgb="FFFF0000"/>
              <x14:axisColor rgb="FF000000"/>
            </x14:dataBar>
          </x14:cfRule>
          <xm:sqref>Y2205 Y2209</xm:sqref>
        </x14:conditionalFormatting>
        <x14:conditionalFormatting xmlns:xm="http://schemas.microsoft.com/office/excel/2006/main">
          <x14:cfRule type="dataBar" id="{978D301A-5CD1-4C59-828D-73BB1510C316}">
            <x14:dataBar minLength="0" maxLength="100" border="1" gradient="0">
              <x14:cfvo type="num">
                <xm:f>0</xm:f>
              </x14:cfvo>
              <x14:cfvo type="num">
                <xm:f>1</xm:f>
              </x14:cfvo>
              <x14:borderColor theme="0"/>
              <x14:negativeFillColor rgb="FFFF0000"/>
              <x14:axisColor rgb="FF000000"/>
            </x14:dataBar>
          </x14:cfRule>
          <xm:sqref>Y2207</xm:sqref>
        </x14:conditionalFormatting>
        <x14:conditionalFormatting xmlns:xm="http://schemas.microsoft.com/office/excel/2006/main">
          <x14:cfRule type="dataBar" id="{77F13AD9-23F4-4EFE-8EAA-B8DC69CBA3CA}">
            <x14:dataBar minLength="0" maxLength="100" border="1" gradient="0">
              <x14:cfvo type="num">
                <xm:f>0</xm:f>
              </x14:cfvo>
              <x14:cfvo type="num">
                <xm:f>1</xm:f>
              </x14:cfvo>
              <x14:borderColor theme="0"/>
              <x14:negativeFillColor rgb="FFFF0000"/>
              <x14:axisColor rgb="FF000000"/>
            </x14:dataBar>
          </x14:cfRule>
          <xm:sqref>Y2213</xm:sqref>
        </x14:conditionalFormatting>
        <x14:conditionalFormatting xmlns:xm="http://schemas.microsoft.com/office/excel/2006/main">
          <x14:cfRule type="dataBar" id="{138FA75B-C23D-4E6D-9DD7-D26AD8EE5134}">
            <x14:dataBar minLength="0" maxLength="100" border="1" gradient="0">
              <x14:cfvo type="num">
                <xm:f>0</xm:f>
              </x14:cfvo>
              <x14:cfvo type="num">
                <xm:f>1</xm:f>
              </x14:cfvo>
              <x14:borderColor theme="0"/>
              <x14:negativeFillColor rgb="FFFF0000"/>
              <x14:axisColor rgb="FF000000"/>
            </x14:dataBar>
          </x14:cfRule>
          <xm:sqref>Y2215 Y2217</xm:sqref>
        </x14:conditionalFormatting>
        <x14:conditionalFormatting xmlns:xm="http://schemas.microsoft.com/office/excel/2006/main">
          <x14:cfRule type="dataBar" id="{0F0E10A3-69AC-4267-AD26-77CA84991094}">
            <x14:dataBar minLength="0" maxLength="100" border="1" gradient="0">
              <x14:cfvo type="num">
                <xm:f>0</xm:f>
              </x14:cfvo>
              <x14:cfvo type="num">
                <xm:f>1</xm:f>
              </x14:cfvo>
              <x14:borderColor theme="0"/>
              <x14:negativeFillColor rgb="FFFF0000"/>
              <x14:axisColor rgb="FF000000"/>
            </x14:dataBar>
          </x14:cfRule>
          <xm:sqref>Y2219</xm:sqref>
        </x14:conditionalFormatting>
        <x14:conditionalFormatting xmlns:xm="http://schemas.microsoft.com/office/excel/2006/main">
          <x14:cfRule type="dataBar" id="{8C9DAEC1-4A1B-4CE6-AC31-1224FB0702A7}">
            <x14:dataBar minLength="0" maxLength="100" border="1" gradient="0">
              <x14:cfvo type="num">
                <xm:f>0</xm:f>
              </x14:cfvo>
              <x14:cfvo type="num">
                <xm:f>1</xm:f>
              </x14:cfvo>
              <x14:borderColor theme="0"/>
              <x14:negativeFillColor rgb="FFFF0000"/>
              <x14:axisColor rgb="FF000000"/>
            </x14:dataBar>
          </x14:cfRule>
          <xm:sqref>Y2221 Y2223 Y2225</xm:sqref>
        </x14:conditionalFormatting>
        <x14:conditionalFormatting xmlns:xm="http://schemas.microsoft.com/office/excel/2006/main">
          <x14:cfRule type="dataBar" id="{836936CB-4E6F-41FF-924F-8D9FA0E0D5A8}">
            <x14:dataBar minLength="0" maxLength="100" border="1" gradient="0">
              <x14:cfvo type="num">
                <xm:f>0</xm:f>
              </x14:cfvo>
              <x14:cfvo type="num">
                <xm:f>1</xm:f>
              </x14:cfvo>
              <x14:borderColor theme="0"/>
              <x14:negativeFillColor rgb="FFFF0000"/>
              <x14:axisColor rgb="FF000000"/>
            </x14:dataBar>
          </x14:cfRule>
          <xm:sqref>Y2227 Y2229</xm:sqref>
        </x14:conditionalFormatting>
        <x14:conditionalFormatting xmlns:xm="http://schemas.microsoft.com/office/excel/2006/main">
          <x14:cfRule type="dataBar" id="{48B560EB-C17C-4F7F-B4B9-17C271E8C36A}">
            <x14:dataBar minLength="0" maxLength="100" border="1" gradient="0">
              <x14:cfvo type="num">
                <xm:f>0</xm:f>
              </x14:cfvo>
              <x14:cfvo type="num">
                <xm:f>1</xm:f>
              </x14:cfvo>
              <x14:borderColor theme="0"/>
              <x14:negativeFillColor rgb="FFFF0000"/>
              <x14:axisColor rgb="FF000000"/>
            </x14:dataBar>
          </x14:cfRule>
          <xm:sqref>Y2231</xm:sqref>
        </x14:conditionalFormatting>
        <x14:conditionalFormatting xmlns:xm="http://schemas.microsoft.com/office/excel/2006/main">
          <x14:cfRule type="dataBar" id="{DE049E97-F066-4E9B-9979-1C908EA1DE5B}">
            <x14:dataBar minLength="0" maxLength="100" border="1" gradient="0">
              <x14:cfvo type="num">
                <xm:f>0</xm:f>
              </x14:cfvo>
              <x14:cfvo type="num">
                <xm:f>1</xm:f>
              </x14:cfvo>
              <x14:borderColor theme="0"/>
              <x14:negativeFillColor rgb="FFFF0000"/>
              <x14:axisColor rgb="FF000000"/>
            </x14:dataBar>
          </x14:cfRule>
          <xm:sqref>Y2233 Y2235 Y2237</xm:sqref>
        </x14:conditionalFormatting>
        <x14:conditionalFormatting xmlns:xm="http://schemas.microsoft.com/office/excel/2006/main">
          <x14:cfRule type="dataBar" id="{0335CC71-CBD1-4FE9-8DD4-4F6D4CC1A507}">
            <x14:dataBar minLength="0" maxLength="100" border="1" gradient="0">
              <x14:cfvo type="num">
                <xm:f>0</xm:f>
              </x14:cfvo>
              <x14:cfvo type="num">
                <xm:f>1</xm:f>
              </x14:cfvo>
              <x14:borderColor theme="0"/>
              <x14:negativeFillColor rgb="FFFF0000"/>
              <x14:axisColor rgb="FF000000"/>
            </x14:dataBar>
          </x14:cfRule>
          <xm:sqref>Y2239</xm:sqref>
        </x14:conditionalFormatting>
        <x14:conditionalFormatting xmlns:xm="http://schemas.microsoft.com/office/excel/2006/main">
          <x14:cfRule type="dataBar" id="{7D08D50C-D3EF-414F-A788-D72E601E0DE4}">
            <x14:dataBar minLength="0" maxLength="100" border="1" gradient="0">
              <x14:cfvo type="num">
                <xm:f>0</xm:f>
              </x14:cfvo>
              <x14:cfvo type="num">
                <xm:f>1</xm:f>
              </x14:cfvo>
              <x14:borderColor theme="0"/>
              <x14:negativeFillColor rgb="FFFF0000"/>
              <x14:axisColor rgb="FF000000"/>
            </x14:dataBar>
          </x14:cfRule>
          <xm:sqref>Y2241</xm:sqref>
        </x14:conditionalFormatting>
        <x14:conditionalFormatting xmlns:xm="http://schemas.microsoft.com/office/excel/2006/main">
          <x14:cfRule type="dataBar" id="{B520A7AF-05AF-4DBE-A9EF-07DCB95DDCDF}">
            <x14:dataBar minLength="0" maxLength="100" border="1" gradient="0">
              <x14:cfvo type="num">
                <xm:f>0</xm:f>
              </x14:cfvo>
              <x14:cfvo type="num">
                <xm:f>1</xm:f>
              </x14:cfvo>
              <x14:borderColor theme="0"/>
              <x14:negativeFillColor rgb="FFFF0000"/>
              <x14:axisColor rgb="FF000000"/>
            </x14:dataBar>
          </x14:cfRule>
          <xm:sqref>Y2243</xm:sqref>
        </x14:conditionalFormatting>
        <x14:conditionalFormatting xmlns:xm="http://schemas.microsoft.com/office/excel/2006/main">
          <x14:cfRule type="dataBar" id="{6AD1672F-9EED-40D0-8BC9-134F725333E1}">
            <x14:dataBar minLength="0" maxLength="100" border="1" gradient="0">
              <x14:cfvo type="num">
                <xm:f>0</xm:f>
              </x14:cfvo>
              <x14:cfvo type="num">
                <xm:f>1</xm:f>
              </x14:cfvo>
              <x14:borderColor theme="0"/>
              <x14:negativeFillColor rgb="FFFF0000"/>
              <x14:axisColor rgb="FF000000"/>
            </x14:dataBar>
          </x14:cfRule>
          <xm:sqref>Y2245</xm:sqref>
        </x14:conditionalFormatting>
        <x14:conditionalFormatting xmlns:xm="http://schemas.microsoft.com/office/excel/2006/main">
          <x14:cfRule type="dataBar" id="{7A62AB9A-6B1A-4BD5-A693-9E759EC87CB1}">
            <x14:dataBar minLength="0" maxLength="100" border="1" gradient="0">
              <x14:cfvo type="num">
                <xm:f>0</xm:f>
              </x14:cfvo>
              <x14:cfvo type="num">
                <xm:f>1</xm:f>
              </x14:cfvo>
              <x14:borderColor theme="0"/>
              <x14:negativeFillColor rgb="FFFF0000"/>
              <x14:axisColor rgb="FF000000"/>
            </x14:dataBar>
          </x14:cfRule>
          <xm:sqref>Y2247</xm:sqref>
        </x14:conditionalFormatting>
        <x14:conditionalFormatting xmlns:xm="http://schemas.microsoft.com/office/excel/2006/main">
          <x14:cfRule type="dataBar" id="{5A344508-4382-438E-95FB-DDC16BCC71D1}">
            <x14:dataBar minLength="0" maxLength="100" border="1" gradient="0">
              <x14:cfvo type="num">
                <xm:f>0</xm:f>
              </x14:cfvo>
              <x14:cfvo type="num">
                <xm:f>1</xm:f>
              </x14:cfvo>
              <x14:borderColor theme="0"/>
              <x14:negativeFillColor rgb="FFFF0000"/>
              <x14:axisColor rgb="FF000000"/>
            </x14:dataBar>
          </x14:cfRule>
          <xm:sqref>Y2249</xm:sqref>
        </x14:conditionalFormatting>
        <x14:conditionalFormatting xmlns:xm="http://schemas.microsoft.com/office/excel/2006/main">
          <x14:cfRule type="dataBar" id="{2F9CABCB-A9A1-4FC0-9DA2-379FBAED4854}">
            <x14:dataBar minLength="0" maxLength="100" border="1" gradient="0">
              <x14:cfvo type="num">
                <xm:f>0</xm:f>
              </x14:cfvo>
              <x14:cfvo type="num">
                <xm:f>1</xm:f>
              </x14:cfvo>
              <x14:borderColor theme="0"/>
              <x14:negativeFillColor rgb="FFFF0000"/>
              <x14:axisColor rgb="FF000000"/>
            </x14:dataBar>
          </x14:cfRule>
          <xm:sqref>Y2251</xm:sqref>
        </x14:conditionalFormatting>
        <x14:conditionalFormatting xmlns:xm="http://schemas.microsoft.com/office/excel/2006/main">
          <x14:cfRule type="dataBar" id="{648FAF6B-F4C1-48E3-8701-CD6E588C8340}">
            <x14:dataBar minLength="0" maxLength="100" border="1" gradient="0">
              <x14:cfvo type="num">
                <xm:f>0</xm:f>
              </x14:cfvo>
              <x14:cfvo type="num">
                <xm:f>1</xm:f>
              </x14:cfvo>
              <x14:borderColor theme="0"/>
              <x14:negativeFillColor rgb="FFFF0000"/>
              <x14:axisColor rgb="FF000000"/>
            </x14:dataBar>
          </x14:cfRule>
          <xm:sqref>Y2253</xm:sqref>
        </x14:conditionalFormatting>
        <x14:conditionalFormatting xmlns:xm="http://schemas.microsoft.com/office/excel/2006/main">
          <x14:cfRule type="dataBar" id="{D45CA876-3828-4556-B09E-2358AC60C527}">
            <x14:dataBar minLength="0" maxLength="100" border="1" gradient="0">
              <x14:cfvo type="num">
                <xm:f>0</xm:f>
              </x14:cfvo>
              <x14:cfvo type="num">
                <xm:f>1</xm:f>
              </x14:cfvo>
              <x14:borderColor theme="0"/>
              <x14:negativeFillColor rgb="FFFF0000"/>
              <x14:axisColor rgb="FF000000"/>
            </x14:dataBar>
          </x14:cfRule>
          <xm:sqref>Y2255</xm:sqref>
        </x14:conditionalFormatting>
        <x14:conditionalFormatting xmlns:xm="http://schemas.microsoft.com/office/excel/2006/main">
          <x14:cfRule type="dataBar" id="{5C7A151A-BDCC-4EF9-9258-616F405E723F}">
            <x14:dataBar minLength="0" maxLength="100" border="1" gradient="0">
              <x14:cfvo type="num">
                <xm:f>0</xm:f>
              </x14:cfvo>
              <x14:cfvo type="num">
                <xm:f>1</xm:f>
              </x14:cfvo>
              <x14:borderColor theme="0"/>
              <x14:negativeFillColor rgb="FFFF0000"/>
              <x14:axisColor rgb="FF000000"/>
            </x14:dataBar>
          </x14:cfRule>
          <xm:sqref>Y2257</xm:sqref>
        </x14:conditionalFormatting>
        <x14:conditionalFormatting xmlns:xm="http://schemas.microsoft.com/office/excel/2006/main">
          <x14:cfRule type="dataBar" id="{E24D1DA5-9E49-4865-9366-84C40AAC7792}">
            <x14:dataBar minLength="0" maxLength="100" border="1" gradient="0">
              <x14:cfvo type="num">
                <xm:f>0</xm:f>
              </x14:cfvo>
              <x14:cfvo type="num">
                <xm:f>1</xm:f>
              </x14:cfvo>
              <x14:borderColor theme="0"/>
              <x14:negativeFillColor rgb="FFFF0000"/>
              <x14:axisColor rgb="FF000000"/>
            </x14:dataBar>
          </x14:cfRule>
          <xm:sqref>Y2259</xm:sqref>
        </x14:conditionalFormatting>
        <x14:conditionalFormatting xmlns:xm="http://schemas.microsoft.com/office/excel/2006/main">
          <x14:cfRule type="dataBar" id="{5299AC93-BEA9-414B-930A-6952F949CBBE}">
            <x14:dataBar minLength="0" maxLength="100" border="1" gradient="0">
              <x14:cfvo type="num">
                <xm:f>0</xm:f>
              </x14:cfvo>
              <x14:cfvo type="num">
                <xm:f>1</xm:f>
              </x14:cfvo>
              <x14:borderColor theme="0"/>
              <x14:negativeFillColor rgb="FFFF0000"/>
              <x14:axisColor rgb="FF000000"/>
            </x14:dataBar>
          </x14:cfRule>
          <xm:sqref>Y2261</xm:sqref>
        </x14:conditionalFormatting>
        <x14:conditionalFormatting xmlns:xm="http://schemas.microsoft.com/office/excel/2006/main">
          <x14:cfRule type="dataBar" id="{41532AD0-D440-4A6E-AF85-303A52D3C89C}">
            <x14:dataBar minLength="0" maxLength="100" border="1" gradient="0">
              <x14:cfvo type="num">
                <xm:f>0</xm:f>
              </x14:cfvo>
              <x14:cfvo type="num">
                <xm:f>1</xm:f>
              </x14:cfvo>
              <x14:borderColor theme="0"/>
              <x14:negativeFillColor rgb="FFFF0000"/>
              <x14:axisColor rgb="FF000000"/>
            </x14:dataBar>
          </x14:cfRule>
          <xm:sqref>Y2263 Y2265</xm:sqref>
        </x14:conditionalFormatting>
        <x14:conditionalFormatting xmlns:xm="http://schemas.microsoft.com/office/excel/2006/main">
          <x14:cfRule type="dataBar" id="{3253EECC-AA71-4759-959E-984F985AC682}">
            <x14:dataBar minLength="0" maxLength="100" border="1" gradient="0">
              <x14:cfvo type="num">
                <xm:f>0</xm:f>
              </x14:cfvo>
              <x14:cfvo type="num">
                <xm:f>1</xm:f>
              </x14:cfvo>
              <x14:borderColor theme="0"/>
              <x14:negativeFillColor rgb="FFFF0000"/>
              <x14:axisColor rgb="FF000000"/>
            </x14:dataBar>
          </x14:cfRule>
          <xm:sqref>Y2267</xm:sqref>
        </x14:conditionalFormatting>
        <x14:conditionalFormatting xmlns:xm="http://schemas.microsoft.com/office/excel/2006/main">
          <x14:cfRule type="dataBar" id="{A4FB41F4-4136-406E-8B60-A0CD813F152F}">
            <x14:dataBar minLength="0" maxLength="100" border="1" gradient="0">
              <x14:cfvo type="num">
                <xm:f>0</xm:f>
              </x14:cfvo>
              <x14:cfvo type="num">
                <xm:f>1</xm:f>
              </x14:cfvo>
              <x14:borderColor theme="0"/>
              <x14:negativeFillColor rgb="FFFF0000"/>
              <x14:axisColor rgb="FF000000"/>
            </x14:dataBar>
          </x14:cfRule>
          <xm:sqref>Y2269 Y2271</xm:sqref>
        </x14:conditionalFormatting>
        <x14:conditionalFormatting xmlns:xm="http://schemas.microsoft.com/office/excel/2006/main">
          <x14:cfRule type="dataBar" id="{373CAF2D-1EC8-4A0F-8DEE-C9D02C2AAE8E}">
            <x14:dataBar minLength="0" maxLength="100" border="1" gradient="0">
              <x14:cfvo type="num">
                <xm:f>0</xm:f>
              </x14:cfvo>
              <x14:cfvo type="num">
                <xm:f>1</xm:f>
              </x14:cfvo>
              <x14:borderColor theme="0"/>
              <x14:negativeFillColor rgb="FFFF0000"/>
              <x14:axisColor rgb="FF000000"/>
            </x14:dataBar>
          </x14:cfRule>
          <xm:sqref>Y2273 Y2275</xm:sqref>
        </x14:conditionalFormatting>
        <x14:conditionalFormatting xmlns:xm="http://schemas.microsoft.com/office/excel/2006/main">
          <x14:cfRule type="dataBar" id="{50BA4CA2-566A-4D38-801C-B12CE5BC3668}">
            <x14:dataBar minLength="0" maxLength="100" border="1" gradient="0">
              <x14:cfvo type="num">
                <xm:f>0</xm:f>
              </x14:cfvo>
              <x14:cfvo type="num">
                <xm:f>1</xm:f>
              </x14:cfvo>
              <x14:borderColor theme="0"/>
              <x14:negativeFillColor rgb="FFFF0000"/>
              <x14:axisColor rgb="FF000000"/>
            </x14:dataBar>
          </x14:cfRule>
          <xm:sqref>Y2277</xm:sqref>
        </x14:conditionalFormatting>
        <x14:conditionalFormatting xmlns:xm="http://schemas.microsoft.com/office/excel/2006/main">
          <x14:cfRule type="dataBar" id="{D01144CC-CD07-48B5-A64E-3272BF870760}">
            <x14:dataBar minLength="0" maxLength="100" border="1" gradient="0">
              <x14:cfvo type="num">
                <xm:f>0</xm:f>
              </x14:cfvo>
              <x14:cfvo type="num">
                <xm:f>1</xm:f>
              </x14:cfvo>
              <x14:borderColor theme="0"/>
              <x14:negativeFillColor rgb="FFFF0000"/>
              <x14:axisColor rgb="FF000000"/>
            </x14:dataBar>
          </x14:cfRule>
          <xm:sqref>Y2279</xm:sqref>
        </x14:conditionalFormatting>
        <x14:conditionalFormatting xmlns:xm="http://schemas.microsoft.com/office/excel/2006/main">
          <x14:cfRule type="dataBar" id="{6E094A37-87A6-41E7-A1B4-BB43C1BAAAD1}">
            <x14:dataBar minLength="0" maxLength="100" border="1" gradient="0">
              <x14:cfvo type="num">
                <xm:f>0</xm:f>
              </x14:cfvo>
              <x14:cfvo type="num">
                <xm:f>1</xm:f>
              </x14:cfvo>
              <x14:borderColor theme="0"/>
              <x14:negativeFillColor rgb="FFFF0000"/>
              <x14:axisColor rgb="FF000000"/>
            </x14:dataBar>
          </x14:cfRule>
          <xm:sqref>Y2281</xm:sqref>
        </x14:conditionalFormatting>
        <x14:conditionalFormatting xmlns:xm="http://schemas.microsoft.com/office/excel/2006/main">
          <x14:cfRule type="dataBar" id="{1DF088C6-15B4-4C04-AD65-896A5BA060AF}">
            <x14:dataBar minLength="0" maxLength="100" border="1" gradient="0">
              <x14:cfvo type="num">
                <xm:f>0</xm:f>
              </x14:cfvo>
              <x14:cfvo type="num">
                <xm:f>1</xm:f>
              </x14:cfvo>
              <x14:borderColor theme="0"/>
              <x14:negativeFillColor rgb="FFFF0000"/>
              <x14:axisColor rgb="FF000000"/>
            </x14:dataBar>
          </x14:cfRule>
          <xm:sqref>Y2283</xm:sqref>
        </x14:conditionalFormatting>
        <x14:conditionalFormatting xmlns:xm="http://schemas.microsoft.com/office/excel/2006/main">
          <x14:cfRule type="dataBar" id="{A0E849DE-2AF7-4BA9-B7CC-4A4E7A685892}">
            <x14:dataBar minLength="0" maxLength="100" border="1" gradient="0">
              <x14:cfvo type="num">
                <xm:f>0</xm:f>
              </x14:cfvo>
              <x14:cfvo type="num">
                <xm:f>1</xm:f>
              </x14:cfvo>
              <x14:borderColor theme="0"/>
              <x14:negativeFillColor rgb="FFFF0000"/>
              <x14:axisColor rgb="FF000000"/>
            </x14:dataBar>
          </x14:cfRule>
          <xm:sqref>Y2285</xm:sqref>
        </x14:conditionalFormatting>
        <x14:conditionalFormatting xmlns:xm="http://schemas.microsoft.com/office/excel/2006/main">
          <x14:cfRule type="dataBar" id="{22436878-5DEB-438D-8601-6D1DC5285879}">
            <x14:dataBar minLength="0" maxLength="100" border="1" gradient="0">
              <x14:cfvo type="num">
                <xm:f>0</xm:f>
              </x14:cfvo>
              <x14:cfvo type="num">
                <xm:f>1</xm:f>
              </x14:cfvo>
              <x14:borderColor theme="0"/>
              <x14:negativeFillColor rgb="FFFF0000"/>
              <x14:axisColor rgb="FF000000"/>
            </x14:dataBar>
          </x14:cfRule>
          <xm:sqref>Y2287</xm:sqref>
        </x14:conditionalFormatting>
        <x14:conditionalFormatting xmlns:xm="http://schemas.microsoft.com/office/excel/2006/main">
          <x14:cfRule type="dataBar" id="{FD417E23-0F92-4EBC-8BA3-32A1182E8735}">
            <x14:dataBar minLength="0" maxLength="100" border="1" gradient="0">
              <x14:cfvo type="num">
                <xm:f>0</xm:f>
              </x14:cfvo>
              <x14:cfvo type="num">
                <xm:f>1</xm:f>
              </x14:cfvo>
              <x14:borderColor theme="0"/>
              <x14:negativeFillColor rgb="FFFF0000"/>
              <x14:axisColor rgb="FF000000"/>
            </x14:dataBar>
          </x14:cfRule>
          <xm:sqref>Y2291</xm:sqref>
        </x14:conditionalFormatting>
        <x14:conditionalFormatting xmlns:xm="http://schemas.microsoft.com/office/excel/2006/main">
          <x14:cfRule type="dataBar" id="{B404ECD3-2D61-4D08-BCE4-1E7EE3ACDC1A}">
            <x14:dataBar minLength="0" maxLength="100" border="1" gradient="0">
              <x14:cfvo type="num">
                <xm:f>0</xm:f>
              </x14:cfvo>
              <x14:cfvo type="num">
                <xm:f>1</xm:f>
              </x14:cfvo>
              <x14:borderColor theme="0"/>
              <x14:negativeFillColor rgb="FFFF0000"/>
              <x14:axisColor rgb="FF000000"/>
            </x14:dataBar>
          </x14:cfRule>
          <xm:sqref>Y2295</xm:sqref>
        </x14:conditionalFormatting>
        <x14:conditionalFormatting xmlns:xm="http://schemas.microsoft.com/office/excel/2006/main">
          <x14:cfRule type="dataBar" id="{699CF576-2C50-4DC8-A714-41F4D54BB94D}">
            <x14:dataBar minLength="0" maxLength="100" border="1" gradient="0">
              <x14:cfvo type="num">
                <xm:f>0</xm:f>
              </x14:cfvo>
              <x14:cfvo type="num">
                <xm:f>1</xm:f>
              </x14:cfvo>
              <x14:borderColor theme="0"/>
              <x14:negativeFillColor rgb="FFFF0000"/>
              <x14:axisColor rgb="FF000000"/>
            </x14:dataBar>
          </x14:cfRule>
          <xm:sqref>Y2297 Y2301</xm:sqref>
        </x14:conditionalFormatting>
        <x14:conditionalFormatting xmlns:xm="http://schemas.microsoft.com/office/excel/2006/main">
          <x14:cfRule type="dataBar" id="{62C2FEE7-DEDF-4BA0-8530-A1CD5215CDEE}">
            <x14:dataBar minLength="0" maxLength="100" border="1" gradient="0">
              <x14:cfvo type="num">
                <xm:f>0</xm:f>
              </x14:cfvo>
              <x14:cfvo type="num">
                <xm:f>1</xm:f>
              </x14:cfvo>
              <x14:borderColor theme="0"/>
              <x14:negativeFillColor rgb="FFFF0000"/>
              <x14:axisColor rgb="FF000000"/>
            </x14:dataBar>
          </x14:cfRule>
          <xm:sqref>Y2299</xm:sqref>
        </x14:conditionalFormatting>
        <x14:conditionalFormatting xmlns:xm="http://schemas.microsoft.com/office/excel/2006/main">
          <x14:cfRule type="dataBar" id="{E53CDD45-14D4-4E69-9709-BEDA602FA765}">
            <x14:dataBar minLength="0" maxLength="100" border="1" gradient="0">
              <x14:cfvo type="num">
                <xm:f>0</xm:f>
              </x14:cfvo>
              <x14:cfvo type="num">
                <xm:f>1</xm:f>
              </x14:cfvo>
              <x14:borderColor theme="0"/>
              <x14:negativeFillColor rgb="FFFF0000"/>
              <x14:axisColor rgb="FF000000"/>
            </x14:dataBar>
          </x14:cfRule>
          <xm:sqref>Y2303</xm:sqref>
        </x14:conditionalFormatting>
        <x14:conditionalFormatting xmlns:xm="http://schemas.microsoft.com/office/excel/2006/main">
          <x14:cfRule type="dataBar" id="{8AAF5450-5AD1-4987-BDE1-AA562CD39867}">
            <x14:dataBar minLength="0" maxLength="100" border="1" gradient="0">
              <x14:cfvo type="num">
                <xm:f>0</xm:f>
              </x14:cfvo>
              <x14:cfvo type="num">
                <xm:f>1</xm:f>
              </x14:cfvo>
              <x14:borderColor theme="0"/>
              <x14:negativeFillColor rgb="FFFF0000"/>
              <x14:axisColor rgb="FF000000"/>
            </x14:dataBar>
          </x14:cfRule>
          <xm:sqref>Y2305</xm:sqref>
        </x14:conditionalFormatting>
        <x14:conditionalFormatting xmlns:xm="http://schemas.microsoft.com/office/excel/2006/main">
          <x14:cfRule type="dataBar" id="{9007010B-3706-42A8-A483-5147C78EBCF9}">
            <x14:dataBar minLength="0" maxLength="100" border="1" gradient="0">
              <x14:cfvo type="num">
                <xm:f>0</xm:f>
              </x14:cfvo>
              <x14:cfvo type="num">
                <xm:f>1</xm:f>
              </x14:cfvo>
              <x14:borderColor theme="0"/>
              <x14:negativeFillColor rgb="FFFF0000"/>
              <x14:axisColor rgb="FF000000"/>
            </x14:dataBar>
          </x14:cfRule>
          <xm:sqref>Y2307 Y2309</xm:sqref>
        </x14:conditionalFormatting>
        <x14:conditionalFormatting xmlns:xm="http://schemas.microsoft.com/office/excel/2006/main">
          <x14:cfRule type="dataBar" id="{32A423CE-85B2-48B0-9B3A-95408ED06FB5}">
            <x14:dataBar minLength="0" maxLength="100" border="1" gradient="0">
              <x14:cfvo type="num">
                <xm:f>0</xm:f>
              </x14:cfvo>
              <x14:cfvo type="num">
                <xm:f>1</xm:f>
              </x14:cfvo>
              <x14:borderColor theme="0"/>
              <x14:negativeFillColor rgb="FFFF0000"/>
              <x14:axisColor rgb="FF000000"/>
            </x14:dataBar>
          </x14:cfRule>
          <xm:sqref>Y2311</xm:sqref>
        </x14:conditionalFormatting>
        <x14:conditionalFormatting xmlns:xm="http://schemas.microsoft.com/office/excel/2006/main">
          <x14:cfRule type="dataBar" id="{4EE055F3-A639-4AE2-92C9-75206DAF709D}">
            <x14:dataBar minLength="0" maxLength="100" border="1" gradient="0">
              <x14:cfvo type="num">
                <xm:f>0</xm:f>
              </x14:cfvo>
              <x14:cfvo type="num">
                <xm:f>1</xm:f>
              </x14:cfvo>
              <x14:borderColor theme="0"/>
              <x14:negativeFillColor rgb="FFFF0000"/>
              <x14:axisColor rgb="FF000000"/>
            </x14:dataBar>
          </x14:cfRule>
          <xm:sqref>Y2313</xm:sqref>
        </x14:conditionalFormatting>
        <x14:conditionalFormatting xmlns:xm="http://schemas.microsoft.com/office/excel/2006/main">
          <x14:cfRule type="dataBar" id="{B3513032-0B47-4FA3-B409-7024DF12BAE7}">
            <x14:dataBar minLength="0" maxLength="100" border="1" gradient="0">
              <x14:cfvo type="num">
                <xm:f>0</xm:f>
              </x14:cfvo>
              <x14:cfvo type="num">
                <xm:f>1</xm:f>
              </x14:cfvo>
              <x14:borderColor theme="0"/>
              <x14:negativeFillColor rgb="FFFF0000"/>
              <x14:axisColor rgb="FF000000"/>
            </x14:dataBar>
          </x14:cfRule>
          <xm:sqref>Y2315</xm:sqref>
        </x14:conditionalFormatting>
        <x14:conditionalFormatting xmlns:xm="http://schemas.microsoft.com/office/excel/2006/main">
          <x14:cfRule type="dataBar" id="{6938AD72-6B2F-49C4-90A3-23A37BA778AD}">
            <x14:dataBar minLength="0" maxLength="100" border="1" gradient="0">
              <x14:cfvo type="num">
                <xm:f>0</xm:f>
              </x14:cfvo>
              <x14:cfvo type="num">
                <xm:f>1</xm:f>
              </x14:cfvo>
              <x14:borderColor theme="0"/>
              <x14:negativeFillColor rgb="FFFF0000"/>
              <x14:axisColor rgb="FF000000"/>
            </x14:dataBar>
          </x14:cfRule>
          <xm:sqref>Y2317</xm:sqref>
        </x14:conditionalFormatting>
        <x14:conditionalFormatting xmlns:xm="http://schemas.microsoft.com/office/excel/2006/main">
          <x14:cfRule type="dataBar" id="{9E1E244C-F90E-4B1D-84D2-61F3D6B02FB9}">
            <x14:dataBar minLength="0" maxLength="100" border="1" gradient="0">
              <x14:cfvo type="num">
                <xm:f>0</xm:f>
              </x14:cfvo>
              <x14:cfvo type="num">
                <xm:f>1</xm:f>
              </x14:cfvo>
              <x14:borderColor theme="0"/>
              <x14:negativeFillColor rgb="FFFF0000"/>
              <x14:axisColor rgb="FF000000"/>
            </x14:dataBar>
          </x14:cfRule>
          <xm:sqref>Y2320</xm:sqref>
        </x14:conditionalFormatting>
        <x14:conditionalFormatting xmlns:xm="http://schemas.microsoft.com/office/excel/2006/main">
          <x14:cfRule type="dataBar" id="{B0EA9AD6-0C52-4E33-8D3C-13D81F22ABAC}">
            <x14:dataBar minLength="0" maxLength="100" border="1" gradient="0">
              <x14:cfvo type="num">
                <xm:f>0</xm:f>
              </x14:cfvo>
              <x14:cfvo type="num">
                <xm:f>1</xm:f>
              </x14:cfvo>
              <x14:borderColor theme="0"/>
              <x14:negativeFillColor rgb="FFFF0000"/>
              <x14:axisColor rgb="FF000000"/>
            </x14:dataBar>
          </x14:cfRule>
          <xm:sqref>Y2322 Y2324</xm:sqref>
        </x14:conditionalFormatting>
        <x14:conditionalFormatting xmlns:xm="http://schemas.microsoft.com/office/excel/2006/main">
          <x14:cfRule type="dataBar" id="{6490FE35-D13E-4F1C-8FA4-4A22F1AAFC58}">
            <x14:dataBar minLength="0" maxLength="100" border="1" gradient="0">
              <x14:cfvo type="num">
                <xm:f>0</xm:f>
              </x14:cfvo>
              <x14:cfvo type="num">
                <xm:f>1</xm:f>
              </x14:cfvo>
              <x14:borderColor theme="0"/>
              <x14:negativeFillColor rgb="FFFF0000"/>
              <x14:axisColor rgb="FF000000"/>
            </x14:dataBar>
          </x14:cfRule>
          <xm:sqref>Y2326</xm:sqref>
        </x14:conditionalFormatting>
        <x14:conditionalFormatting xmlns:xm="http://schemas.microsoft.com/office/excel/2006/main">
          <x14:cfRule type="dataBar" id="{4C38FEF0-31FC-40AC-A61E-AEBDEB978CEB}">
            <x14:dataBar minLength="0" maxLength="100" border="1" gradient="0">
              <x14:cfvo type="num">
                <xm:f>0</xm:f>
              </x14:cfvo>
              <x14:cfvo type="num">
                <xm:f>1</xm:f>
              </x14:cfvo>
              <x14:borderColor theme="0"/>
              <x14:negativeFillColor rgb="FFFF0000"/>
              <x14:axisColor rgb="FF000000"/>
            </x14:dataBar>
          </x14:cfRule>
          <xm:sqref>Y2328</xm:sqref>
        </x14:conditionalFormatting>
        <x14:conditionalFormatting xmlns:xm="http://schemas.microsoft.com/office/excel/2006/main">
          <x14:cfRule type="dataBar" id="{CDD26D7B-F0C7-44B0-8AE1-BDA86356C08A}">
            <x14:dataBar minLength="0" maxLength="100" border="1" gradient="0">
              <x14:cfvo type="num">
                <xm:f>0</xm:f>
              </x14:cfvo>
              <x14:cfvo type="num">
                <xm:f>1</xm:f>
              </x14:cfvo>
              <x14:borderColor theme="0"/>
              <x14:negativeFillColor rgb="FFFF0000"/>
              <x14:axisColor rgb="FF000000"/>
            </x14:dataBar>
          </x14:cfRule>
          <xm:sqref>Y2330</xm:sqref>
        </x14:conditionalFormatting>
        <x14:conditionalFormatting xmlns:xm="http://schemas.microsoft.com/office/excel/2006/main">
          <x14:cfRule type="dataBar" id="{29E0CC09-35AF-4C9F-9993-5FAAE7F28A8A}">
            <x14:dataBar minLength="0" maxLength="100" border="1" gradient="0">
              <x14:cfvo type="num">
                <xm:f>0</xm:f>
              </x14:cfvo>
              <x14:cfvo type="num">
                <xm:f>1</xm:f>
              </x14:cfvo>
              <x14:borderColor theme="0"/>
              <x14:negativeFillColor rgb="FFFF0000"/>
              <x14:axisColor rgb="FF000000"/>
            </x14:dataBar>
          </x14:cfRule>
          <xm:sqref>Y2333</xm:sqref>
        </x14:conditionalFormatting>
        <x14:conditionalFormatting xmlns:xm="http://schemas.microsoft.com/office/excel/2006/main">
          <x14:cfRule type="dataBar" id="{99C4EB0D-1599-4503-B010-ADB663ED3A2A}">
            <x14:dataBar minLength="0" maxLength="100" border="1" gradient="0">
              <x14:cfvo type="num">
                <xm:f>0</xm:f>
              </x14:cfvo>
              <x14:cfvo type="num">
                <xm:f>1</xm:f>
              </x14:cfvo>
              <x14:borderColor theme="0"/>
              <x14:negativeFillColor rgb="FFFF0000"/>
              <x14:axisColor rgb="FF000000"/>
            </x14:dataBar>
          </x14:cfRule>
          <xm:sqref>Y2335 Y2337 Y2339</xm:sqref>
        </x14:conditionalFormatting>
        <x14:conditionalFormatting xmlns:xm="http://schemas.microsoft.com/office/excel/2006/main">
          <x14:cfRule type="dataBar" id="{16EE845F-2644-41CE-8F2C-48D8B1947826}">
            <x14:dataBar minLength="0" maxLength="100" border="1" gradient="0">
              <x14:cfvo type="num">
                <xm:f>0</xm:f>
              </x14:cfvo>
              <x14:cfvo type="num">
                <xm:f>1</xm:f>
              </x14:cfvo>
              <x14:borderColor theme="0"/>
              <x14:negativeFillColor rgb="FFFF0000"/>
              <x14:axisColor rgb="FF000000"/>
            </x14:dataBar>
          </x14:cfRule>
          <xm:sqref>Y2341</xm:sqref>
        </x14:conditionalFormatting>
        <x14:conditionalFormatting xmlns:xm="http://schemas.microsoft.com/office/excel/2006/main">
          <x14:cfRule type="dataBar" id="{2B6E4970-CF34-4C2C-A15E-82CB8D157DA7}">
            <x14:dataBar minLength="0" maxLength="100" border="1" gradient="0">
              <x14:cfvo type="num">
                <xm:f>0</xm:f>
              </x14:cfvo>
              <x14:cfvo type="num">
                <xm:f>1</xm:f>
              </x14:cfvo>
              <x14:borderColor theme="0"/>
              <x14:negativeFillColor rgb="FFFF0000"/>
              <x14:axisColor rgb="FF000000"/>
            </x14:dataBar>
          </x14:cfRule>
          <xm:sqref>Y2345</xm:sqref>
        </x14:conditionalFormatting>
        <x14:conditionalFormatting xmlns:xm="http://schemas.microsoft.com/office/excel/2006/main">
          <x14:cfRule type="dataBar" id="{913D2AB5-ACEE-4CC0-8038-93BD298D7C4C}">
            <x14:dataBar minLength="0" maxLength="100" border="1" gradient="0">
              <x14:cfvo type="num">
                <xm:f>0</xm:f>
              </x14:cfvo>
              <x14:cfvo type="num">
                <xm:f>1</xm:f>
              </x14:cfvo>
              <x14:borderColor theme="0"/>
              <x14:negativeFillColor rgb="FFFF0000"/>
              <x14:axisColor rgb="FF000000"/>
            </x14:dataBar>
          </x14:cfRule>
          <xm:sqref>Y2347 Y2349 Y2351</xm:sqref>
        </x14:conditionalFormatting>
        <x14:conditionalFormatting xmlns:xm="http://schemas.microsoft.com/office/excel/2006/main">
          <x14:cfRule type="dataBar" id="{CB82D2B8-496B-4599-8080-1422993DE99F}">
            <x14:dataBar minLength="0" maxLength="100" border="1" gradient="0">
              <x14:cfvo type="num">
                <xm:f>0</xm:f>
              </x14:cfvo>
              <x14:cfvo type="num">
                <xm:f>1</xm:f>
              </x14:cfvo>
              <x14:borderColor theme="0"/>
              <x14:negativeFillColor rgb="FFFF0000"/>
              <x14:axisColor rgb="FF000000"/>
            </x14:dataBar>
          </x14:cfRule>
          <xm:sqref>Y2353 Y2355</xm:sqref>
        </x14:conditionalFormatting>
        <x14:conditionalFormatting xmlns:xm="http://schemas.microsoft.com/office/excel/2006/main">
          <x14:cfRule type="dataBar" id="{072B6373-7534-4853-9777-4AC94F187E71}">
            <x14:dataBar minLength="0" maxLength="100" border="1" gradient="0">
              <x14:cfvo type="num">
                <xm:f>0</xm:f>
              </x14:cfvo>
              <x14:cfvo type="num">
                <xm:f>1</xm:f>
              </x14:cfvo>
              <x14:borderColor theme="0"/>
              <x14:negativeFillColor rgb="FFFF0000"/>
              <x14:axisColor rgb="FF000000"/>
            </x14:dataBar>
          </x14:cfRule>
          <xm:sqref>Y2359</xm:sqref>
        </x14:conditionalFormatting>
        <x14:conditionalFormatting xmlns:xm="http://schemas.microsoft.com/office/excel/2006/main">
          <x14:cfRule type="dataBar" id="{0CB32764-0B55-43C3-BDD5-264E617CDE88}">
            <x14:dataBar minLength="0" maxLength="100" border="1" gradient="0">
              <x14:cfvo type="num">
                <xm:f>0</xm:f>
              </x14:cfvo>
              <x14:cfvo type="num">
                <xm:f>1</xm:f>
              </x14:cfvo>
              <x14:borderColor theme="0"/>
              <x14:negativeFillColor rgb="FFFF0000"/>
              <x14:axisColor rgb="FF000000"/>
            </x14:dataBar>
          </x14:cfRule>
          <xm:sqref>Y2361 Y2363 Y2365</xm:sqref>
        </x14:conditionalFormatting>
        <x14:conditionalFormatting xmlns:xm="http://schemas.microsoft.com/office/excel/2006/main">
          <x14:cfRule type="dataBar" id="{450404FC-C6A6-43ED-B2E0-F9EF698808EF}">
            <x14:dataBar minLength="0" maxLength="100" border="1" gradient="0">
              <x14:cfvo type="num">
                <xm:f>0</xm:f>
              </x14:cfvo>
              <x14:cfvo type="num">
                <xm:f>1</xm:f>
              </x14:cfvo>
              <x14:borderColor theme="0"/>
              <x14:negativeFillColor rgb="FFFF0000"/>
              <x14:axisColor rgb="FF000000"/>
            </x14:dataBar>
          </x14:cfRule>
          <xm:sqref>Y2367 Y2369</xm:sqref>
        </x14:conditionalFormatting>
        <x14:conditionalFormatting xmlns:xm="http://schemas.microsoft.com/office/excel/2006/main">
          <x14:cfRule type="dataBar" id="{8ABC43C4-3048-4D1A-BC8E-45608E1A237B}">
            <x14:dataBar minLength="0" maxLength="100" border="1" gradient="0">
              <x14:cfvo type="num">
                <xm:f>0</xm:f>
              </x14:cfvo>
              <x14:cfvo type="num">
                <xm:f>1</xm:f>
              </x14:cfvo>
              <x14:borderColor theme="0"/>
              <x14:negativeFillColor rgb="FFFF0000"/>
              <x14:axisColor rgb="FF000000"/>
            </x14:dataBar>
          </x14:cfRule>
          <xm:sqref>Y2371</xm:sqref>
        </x14:conditionalFormatting>
        <x14:conditionalFormatting xmlns:xm="http://schemas.microsoft.com/office/excel/2006/main">
          <x14:cfRule type="dataBar" id="{BA3307F9-F1DA-4A55-B16B-7473B40C3E34}">
            <x14:dataBar minLength="0" maxLength="100" border="1" gradient="0">
              <x14:cfvo type="num">
                <xm:f>0</xm:f>
              </x14:cfvo>
              <x14:cfvo type="num">
                <xm:f>1</xm:f>
              </x14:cfvo>
              <x14:borderColor theme="0"/>
              <x14:negativeFillColor rgb="FFFF0000"/>
              <x14:axisColor rgb="FF000000"/>
            </x14:dataBar>
          </x14:cfRule>
          <xm:sqref>Y2375</xm:sqref>
        </x14:conditionalFormatting>
        <x14:conditionalFormatting xmlns:xm="http://schemas.microsoft.com/office/excel/2006/main">
          <x14:cfRule type="dataBar" id="{FCA0905B-B80B-4E0D-80D7-F91CCE98B8DF}">
            <x14:dataBar minLength="0" maxLength="100" border="1" gradient="0">
              <x14:cfvo type="num">
                <xm:f>0</xm:f>
              </x14:cfvo>
              <x14:cfvo type="num">
                <xm:f>1</xm:f>
              </x14:cfvo>
              <x14:borderColor theme="0"/>
              <x14:negativeFillColor rgb="FFFF0000"/>
              <x14:axisColor rgb="FF000000"/>
            </x14:dataBar>
          </x14:cfRule>
          <xm:sqref>Y2379</xm:sqref>
        </x14:conditionalFormatting>
        <x14:conditionalFormatting xmlns:xm="http://schemas.microsoft.com/office/excel/2006/main">
          <x14:cfRule type="dataBar" id="{A3469124-AACD-42BD-B210-F6C703BA0452}">
            <x14:dataBar minLength="0" maxLength="100" border="1" gradient="0">
              <x14:cfvo type="num">
                <xm:f>0</xm:f>
              </x14:cfvo>
              <x14:cfvo type="num">
                <xm:f>1</xm:f>
              </x14:cfvo>
              <x14:borderColor theme="0"/>
              <x14:negativeFillColor rgb="FFFF0000"/>
              <x14:axisColor rgb="FF000000"/>
            </x14:dataBar>
          </x14:cfRule>
          <xm:sqref>Y2381 Y2383 Y2385</xm:sqref>
        </x14:conditionalFormatting>
        <x14:conditionalFormatting xmlns:xm="http://schemas.microsoft.com/office/excel/2006/main">
          <x14:cfRule type="dataBar" id="{BF89F3A5-62EB-40B4-9D94-4EDAB7F42684}">
            <x14:dataBar minLength="0" maxLength="100" border="1" gradient="0">
              <x14:cfvo type="num">
                <xm:f>0</xm:f>
              </x14:cfvo>
              <x14:cfvo type="num">
                <xm:f>1</xm:f>
              </x14:cfvo>
              <x14:borderColor theme="0"/>
              <x14:negativeFillColor rgb="FFFF0000"/>
              <x14:axisColor rgb="FF000000"/>
            </x14:dataBar>
          </x14:cfRule>
          <xm:sqref>Y2387</xm:sqref>
        </x14:conditionalFormatting>
        <x14:conditionalFormatting xmlns:xm="http://schemas.microsoft.com/office/excel/2006/main">
          <x14:cfRule type="dataBar" id="{8C288C2F-C074-483E-8735-9D7B8CA983E9}">
            <x14:dataBar minLength="0" maxLength="100" border="1" gradient="0">
              <x14:cfvo type="num">
                <xm:f>0</xm:f>
              </x14:cfvo>
              <x14:cfvo type="num">
                <xm:f>1</xm:f>
              </x14:cfvo>
              <x14:borderColor theme="0"/>
              <x14:negativeFillColor rgb="FFFF0000"/>
              <x14:axisColor rgb="FF000000"/>
            </x14:dataBar>
          </x14:cfRule>
          <xm:sqref>Y2389</xm:sqref>
        </x14:conditionalFormatting>
        <x14:conditionalFormatting xmlns:xm="http://schemas.microsoft.com/office/excel/2006/main">
          <x14:cfRule type="dataBar" id="{BC7C0053-B967-494D-B907-B480FC983EBB}">
            <x14:dataBar minLength="0" maxLength="100" border="1" gradient="0">
              <x14:cfvo type="num">
                <xm:f>0</xm:f>
              </x14:cfvo>
              <x14:cfvo type="num">
                <xm:f>1</xm:f>
              </x14:cfvo>
              <x14:borderColor theme="0"/>
              <x14:negativeFillColor rgb="FFFF0000"/>
              <x14:axisColor rgb="FF000000"/>
            </x14:dataBar>
          </x14:cfRule>
          <xm:sqref>Y2393</xm:sqref>
        </x14:conditionalFormatting>
        <x14:conditionalFormatting xmlns:xm="http://schemas.microsoft.com/office/excel/2006/main">
          <x14:cfRule type="dataBar" id="{E57C0969-DEC8-4D42-847C-5DC4648252A8}">
            <x14:dataBar minLength="0" maxLength="100" border="1" gradient="0">
              <x14:cfvo type="num">
                <xm:f>0</xm:f>
              </x14:cfvo>
              <x14:cfvo type="num">
                <xm:f>1</xm:f>
              </x14:cfvo>
              <x14:borderColor theme="0"/>
              <x14:negativeFillColor rgb="FFFF0000"/>
              <x14:axisColor rgb="FF000000"/>
            </x14:dataBar>
          </x14:cfRule>
          <xm:sqref>Y2395</xm:sqref>
        </x14:conditionalFormatting>
        <x14:conditionalFormatting xmlns:xm="http://schemas.microsoft.com/office/excel/2006/main">
          <x14:cfRule type="dataBar" id="{63A65051-4375-431A-9569-3007CF173EEC}">
            <x14:dataBar minLength="0" maxLength="100" border="1" gradient="0">
              <x14:cfvo type="num">
                <xm:f>0</xm:f>
              </x14:cfvo>
              <x14:cfvo type="num">
                <xm:f>1</xm:f>
              </x14:cfvo>
              <x14:borderColor theme="0"/>
              <x14:negativeFillColor rgb="FFFF0000"/>
              <x14:axisColor rgb="FF000000"/>
            </x14:dataBar>
          </x14:cfRule>
          <xm:sqref>Y2397</xm:sqref>
        </x14:conditionalFormatting>
        <x14:conditionalFormatting xmlns:xm="http://schemas.microsoft.com/office/excel/2006/main">
          <x14:cfRule type="dataBar" id="{E44F7309-ACB9-4C69-B990-EA2197179E4B}">
            <x14:dataBar minLength="0" maxLength="100" border="1" gradient="0">
              <x14:cfvo type="num">
                <xm:f>0</xm:f>
              </x14:cfvo>
              <x14:cfvo type="num">
                <xm:f>1</xm:f>
              </x14:cfvo>
              <x14:borderColor theme="0"/>
              <x14:negativeFillColor rgb="FFFF0000"/>
              <x14:axisColor rgb="FF000000"/>
            </x14:dataBar>
          </x14:cfRule>
          <xm:sqref>Y2401</xm:sqref>
        </x14:conditionalFormatting>
        <x14:conditionalFormatting xmlns:xm="http://schemas.microsoft.com/office/excel/2006/main">
          <x14:cfRule type="dataBar" id="{23085659-307D-4FC3-B109-B30C425F09F8}">
            <x14:dataBar minLength="0" maxLength="100" border="1" gradient="0">
              <x14:cfvo type="num">
                <xm:f>0</xm:f>
              </x14:cfvo>
              <x14:cfvo type="num">
                <xm:f>1</xm:f>
              </x14:cfvo>
              <x14:borderColor theme="0"/>
              <x14:negativeFillColor rgb="FFFF0000"/>
              <x14:axisColor rgb="FF000000"/>
            </x14:dataBar>
          </x14:cfRule>
          <xm:sqref>Y2405</xm:sqref>
        </x14:conditionalFormatting>
        <x14:conditionalFormatting xmlns:xm="http://schemas.microsoft.com/office/excel/2006/main">
          <x14:cfRule type="dataBar" id="{30E435F8-42A5-423F-9FA3-F82DCB65BEFC}">
            <x14:dataBar minLength="0" maxLength="100" border="1" gradient="0">
              <x14:cfvo type="num">
                <xm:f>0</xm:f>
              </x14:cfvo>
              <x14:cfvo type="num">
                <xm:f>1</xm:f>
              </x14:cfvo>
              <x14:borderColor theme="0"/>
              <x14:negativeFillColor rgb="FFFF0000"/>
              <x14:axisColor rgb="FF000000"/>
            </x14:dataBar>
          </x14:cfRule>
          <xm:sqref>Y2407 Y2411 Y2415 Y2419 Y2409 Y2413 Y2417 Y2421</xm:sqref>
        </x14:conditionalFormatting>
        <x14:conditionalFormatting xmlns:xm="http://schemas.microsoft.com/office/excel/2006/main">
          <x14:cfRule type="dataBar" id="{EA66BDE2-D183-4183-A1C5-F058D137757A}">
            <x14:dataBar minLength="0" maxLength="100" border="1" gradient="0">
              <x14:cfvo type="num">
                <xm:f>0</xm:f>
              </x14:cfvo>
              <x14:cfvo type="num">
                <xm:f>1</xm:f>
              </x14:cfvo>
              <x14:borderColor theme="0"/>
              <x14:negativeFillColor rgb="FFFF0000"/>
              <x14:axisColor rgb="FF000000"/>
            </x14:dataBar>
          </x14:cfRule>
          <xm:sqref>Y2423 Y2427 Y2431 Y2435 Y2425 Y2429 Y2433 Y2437</xm:sqref>
        </x14:conditionalFormatting>
        <x14:conditionalFormatting xmlns:xm="http://schemas.microsoft.com/office/excel/2006/main">
          <x14:cfRule type="dataBar" id="{4EC63664-841E-4B1D-8662-EAE45703F8BE}">
            <x14:dataBar minLength="0" maxLength="100" border="1" gradient="0">
              <x14:cfvo type="num">
                <xm:f>0</xm:f>
              </x14:cfvo>
              <x14:cfvo type="num">
                <xm:f>1</xm:f>
              </x14:cfvo>
              <x14:borderColor theme="0"/>
              <x14:negativeFillColor rgb="FFFF0000"/>
              <x14:axisColor rgb="FF000000"/>
            </x14:dataBar>
          </x14:cfRule>
          <xm:sqref>Y2439</xm:sqref>
        </x14:conditionalFormatting>
        <x14:conditionalFormatting xmlns:xm="http://schemas.microsoft.com/office/excel/2006/main">
          <x14:cfRule type="dataBar" id="{BCA872B4-25FB-4E04-BA0D-AB5E5ACACFFC}">
            <x14:dataBar minLength="0" maxLength="100" border="1" gradient="0">
              <x14:cfvo type="num">
                <xm:f>0</xm:f>
              </x14:cfvo>
              <x14:cfvo type="num">
                <xm:f>1</xm:f>
              </x14:cfvo>
              <x14:borderColor theme="0"/>
              <x14:negativeFillColor rgb="FFFF0000"/>
              <x14:axisColor rgb="FF000000"/>
            </x14:dataBar>
          </x14:cfRule>
          <xm:sqref>Y2441 Y2449 Y2443 Y2445 Y2447 Y2451</xm:sqref>
        </x14:conditionalFormatting>
        <x14:conditionalFormatting xmlns:xm="http://schemas.microsoft.com/office/excel/2006/main">
          <x14:cfRule type="dataBar" id="{581D07A3-FCFF-4BBB-928B-1514BC78E76F}">
            <x14:dataBar minLength="0" maxLength="100" border="1" gradient="0">
              <x14:cfvo type="num">
                <xm:f>0</xm:f>
              </x14:cfvo>
              <x14:cfvo type="num">
                <xm:f>1</xm:f>
              </x14:cfvo>
              <x14:borderColor theme="0"/>
              <x14:negativeFillColor rgb="FFFF0000"/>
              <x14:axisColor rgb="FF000000"/>
            </x14:dataBar>
          </x14:cfRule>
          <xm:sqref>Y2453</xm:sqref>
        </x14:conditionalFormatting>
        <x14:conditionalFormatting xmlns:xm="http://schemas.microsoft.com/office/excel/2006/main">
          <x14:cfRule type="dataBar" id="{704B2DD5-7248-4EE8-996B-EE34559E72B5}">
            <x14:dataBar minLength="0" maxLength="100" border="1" gradient="0">
              <x14:cfvo type="num">
                <xm:f>0</xm:f>
              </x14:cfvo>
              <x14:cfvo type="num">
                <xm:f>1</xm:f>
              </x14:cfvo>
              <x14:borderColor theme="0"/>
              <x14:negativeFillColor rgb="FFFF0000"/>
              <x14:axisColor rgb="FF000000"/>
            </x14:dataBar>
          </x14:cfRule>
          <xm:sqref>Y2457</xm:sqref>
        </x14:conditionalFormatting>
        <x14:conditionalFormatting xmlns:xm="http://schemas.microsoft.com/office/excel/2006/main">
          <x14:cfRule type="dataBar" id="{21E5974B-BC59-4973-BB01-5F462A7C7CAA}">
            <x14:dataBar minLength="0" maxLength="100" border="1" gradient="0">
              <x14:cfvo type="num">
                <xm:f>0</xm:f>
              </x14:cfvo>
              <x14:cfvo type="num">
                <xm:f>1</xm:f>
              </x14:cfvo>
              <x14:borderColor theme="0"/>
              <x14:negativeFillColor rgb="FFFF0000"/>
              <x14:axisColor rgb="FF000000"/>
            </x14:dataBar>
          </x14:cfRule>
          <xm:sqref>Y2459 Y2461</xm:sqref>
        </x14:conditionalFormatting>
        <x14:conditionalFormatting xmlns:xm="http://schemas.microsoft.com/office/excel/2006/main">
          <x14:cfRule type="dataBar" id="{7DF793A6-68B9-48D5-AF1E-0F6DEDEBA252}">
            <x14:dataBar minLength="0" maxLength="100" border="1" gradient="0">
              <x14:cfvo type="num">
                <xm:f>0</xm:f>
              </x14:cfvo>
              <x14:cfvo type="num">
                <xm:f>1</xm:f>
              </x14:cfvo>
              <x14:borderColor theme="0"/>
              <x14:negativeFillColor rgb="FFFF0000"/>
              <x14:axisColor rgb="FF000000"/>
            </x14:dataBar>
          </x14:cfRule>
          <xm:sqref>Y2463 Y2465</xm:sqref>
        </x14:conditionalFormatting>
        <x14:conditionalFormatting xmlns:xm="http://schemas.microsoft.com/office/excel/2006/main">
          <x14:cfRule type="dataBar" id="{3FFC3F3F-25A8-455D-85B4-EB5754FE9D1E}">
            <x14:dataBar minLength="0" maxLength="100" border="1" gradient="0">
              <x14:cfvo type="num">
                <xm:f>0</xm:f>
              </x14:cfvo>
              <x14:cfvo type="num">
                <xm:f>1</xm:f>
              </x14:cfvo>
              <x14:borderColor theme="0"/>
              <x14:negativeFillColor rgb="FFFF0000"/>
              <x14:axisColor rgb="FF000000"/>
            </x14:dataBar>
          </x14:cfRule>
          <xm:sqref>Y2467 Y2469</xm:sqref>
        </x14:conditionalFormatting>
        <x14:conditionalFormatting xmlns:xm="http://schemas.microsoft.com/office/excel/2006/main">
          <x14:cfRule type="dataBar" id="{77F15731-2E6E-48ED-8473-B382B4EE5B77}">
            <x14:dataBar minLength="0" maxLength="100" border="1" gradient="0">
              <x14:cfvo type="num">
                <xm:f>0</xm:f>
              </x14:cfvo>
              <x14:cfvo type="num">
                <xm:f>1</xm:f>
              </x14:cfvo>
              <x14:borderColor theme="0"/>
              <x14:negativeFillColor rgb="FFFF0000"/>
              <x14:axisColor rgb="FF000000"/>
            </x14:dataBar>
          </x14:cfRule>
          <xm:sqref>Y2471 Y2473</xm:sqref>
        </x14:conditionalFormatting>
        <x14:conditionalFormatting xmlns:xm="http://schemas.microsoft.com/office/excel/2006/main">
          <x14:cfRule type="dataBar" id="{E89D53FC-2B6E-404D-AC26-6463616B645B}">
            <x14:dataBar minLength="0" maxLength="100" border="1" gradient="0">
              <x14:cfvo type="num">
                <xm:f>0</xm:f>
              </x14:cfvo>
              <x14:cfvo type="num">
                <xm:f>1</xm:f>
              </x14:cfvo>
              <x14:borderColor theme="0"/>
              <x14:negativeFillColor rgb="FFFF0000"/>
              <x14:axisColor rgb="FF000000"/>
            </x14:dataBar>
          </x14:cfRule>
          <xm:sqref>Y2475 Y2477</xm:sqref>
        </x14:conditionalFormatting>
        <x14:conditionalFormatting xmlns:xm="http://schemas.microsoft.com/office/excel/2006/main">
          <x14:cfRule type="dataBar" id="{6B1BFA17-6972-4080-A444-3294E7B98D31}">
            <x14:dataBar minLength="0" maxLength="100" border="1" gradient="0">
              <x14:cfvo type="num">
                <xm:f>0</xm:f>
              </x14:cfvo>
              <x14:cfvo type="num">
                <xm:f>1</xm:f>
              </x14:cfvo>
              <x14:borderColor theme="0"/>
              <x14:negativeFillColor rgb="FFFF0000"/>
              <x14:axisColor rgb="FF000000"/>
            </x14:dataBar>
          </x14:cfRule>
          <xm:sqref>Y2479 Y2481</xm:sqref>
        </x14:conditionalFormatting>
        <x14:conditionalFormatting xmlns:xm="http://schemas.microsoft.com/office/excel/2006/main">
          <x14:cfRule type="dataBar" id="{1C52929E-CB38-41F5-ABE7-FE534D2342E2}">
            <x14:dataBar minLength="0" maxLength="100" border="1" gradient="0">
              <x14:cfvo type="num">
                <xm:f>0</xm:f>
              </x14:cfvo>
              <x14:cfvo type="num">
                <xm:f>1</xm:f>
              </x14:cfvo>
              <x14:borderColor theme="0"/>
              <x14:negativeFillColor rgb="FFFF0000"/>
              <x14:axisColor rgb="FF000000"/>
            </x14:dataBar>
          </x14:cfRule>
          <xm:sqref>Y2483 Y2485</xm:sqref>
        </x14:conditionalFormatting>
        <x14:conditionalFormatting xmlns:xm="http://schemas.microsoft.com/office/excel/2006/main">
          <x14:cfRule type="dataBar" id="{512BA4E3-3E68-4C6F-9FE5-006BEF34E04D}">
            <x14:dataBar minLength="0" maxLength="100" border="1" gradient="0">
              <x14:cfvo type="num">
                <xm:f>0</xm:f>
              </x14:cfvo>
              <x14:cfvo type="num">
                <xm:f>1</xm:f>
              </x14:cfvo>
              <x14:borderColor theme="0"/>
              <x14:negativeFillColor rgb="FFFF0000"/>
              <x14:axisColor rgb="FF000000"/>
            </x14:dataBar>
          </x14:cfRule>
          <xm:sqref>Y2487 Y2489</xm:sqref>
        </x14:conditionalFormatting>
        <x14:conditionalFormatting xmlns:xm="http://schemas.microsoft.com/office/excel/2006/main">
          <x14:cfRule type="dataBar" id="{051934D9-9E7E-4279-A826-0863695398AC}">
            <x14:dataBar minLength="0" maxLength="100" border="1" gradient="0">
              <x14:cfvo type="num">
                <xm:f>0</xm:f>
              </x14:cfvo>
              <x14:cfvo type="num">
                <xm:f>1</xm:f>
              </x14:cfvo>
              <x14:borderColor theme="0"/>
              <x14:negativeFillColor rgb="FFFF0000"/>
              <x14:axisColor rgb="FF000000"/>
            </x14:dataBar>
          </x14:cfRule>
          <xm:sqref>Y2491 Y2493</xm:sqref>
        </x14:conditionalFormatting>
        <x14:conditionalFormatting xmlns:xm="http://schemas.microsoft.com/office/excel/2006/main">
          <x14:cfRule type="dataBar" id="{B0ED0436-67D2-4739-9C56-B58B74F048A7}">
            <x14:dataBar minLength="0" maxLength="100" border="1" gradient="0">
              <x14:cfvo type="num">
                <xm:f>0</xm:f>
              </x14:cfvo>
              <x14:cfvo type="num">
                <xm:f>1</xm:f>
              </x14:cfvo>
              <x14:borderColor theme="0"/>
              <x14:negativeFillColor rgb="FFFF0000"/>
              <x14:axisColor rgb="FF000000"/>
            </x14:dataBar>
          </x14:cfRule>
          <xm:sqref>Y2495 Y2497</xm:sqref>
        </x14:conditionalFormatting>
        <x14:conditionalFormatting xmlns:xm="http://schemas.microsoft.com/office/excel/2006/main">
          <x14:cfRule type="dataBar" id="{B31FF160-ED70-4F20-8F7E-0EBB9A5C7024}">
            <x14:dataBar minLength="0" maxLength="100" border="1" gradient="0">
              <x14:cfvo type="num">
                <xm:f>0</xm:f>
              </x14:cfvo>
              <x14:cfvo type="num">
                <xm:f>1</xm:f>
              </x14:cfvo>
              <x14:borderColor theme="0"/>
              <x14:negativeFillColor rgb="FFFF0000"/>
              <x14:axisColor rgb="FF000000"/>
            </x14:dataBar>
          </x14:cfRule>
          <xm:sqref>Y2499</xm:sqref>
        </x14:conditionalFormatting>
        <x14:conditionalFormatting xmlns:xm="http://schemas.microsoft.com/office/excel/2006/main">
          <x14:cfRule type="dataBar" id="{1738B347-8CAC-442B-8171-305088512E55}">
            <x14:dataBar minLength="0" maxLength="100" border="1" gradient="0">
              <x14:cfvo type="num">
                <xm:f>0</xm:f>
              </x14:cfvo>
              <x14:cfvo type="num">
                <xm:f>1</xm:f>
              </x14:cfvo>
              <x14:borderColor theme="0"/>
              <x14:negativeFillColor rgb="FFFF0000"/>
              <x14:axisColor rgb="FF000000"/>
            </x14:dataBar>
          </x14:cfRule>
          <xm:sqref>Y2501 Y2503</xm:sqref>
        </x14:conditionalFormatting>
        <x14:conditionalFormatting xmlns:xm="http://schemas.microsoft.com/office/excel/2006/main">
          <x14:cfRule type="dataBar" id="{8A8A23EA-8A1F-44E6-9702-381A93C43602}">
            <x14:dataBar minLength="0" maxLength="100" border="1" gradient="0">
              <x14:cfvo type="num">
                <xm:f>0</xm:f>
              </x14:cfvo>
              <x14:cfvo type="num">
                <xm:f>1</xm:f>
              </x14:cfvo>
              <x14:borderColor theme="0"/>
              <x14:negativeFillColor rgb="FFFF0000"/>
              <x14:axisColor rgb="FF000000"/>
            </x14:dataBar>
          </x14:cfRule>
          <xm:sqref>Y2505 Y2507</xm:sqref>
        </x14:conditionalFormatting>
        <x14:conditionalFormatting xmlns:xm="http://schemas.microsoft.com/office/excel/2006/main">
          <x14:cfRule type="dataBar" id="{AA24AB07-2F5F-44F0-8EAF-37CD02ABEDC2}">
            <x14:dataBar minLength="0" maxLength="100" border="1" gradient="0">
              <x14:cfvo type="num">
                <xm:f>0</xm:f>
              </x14:cfvo>
              <x14:cfvo type="num">
                <xm:f>1</xm:f>
              </x14:cfvo>
              <x14:borderColor theme="0"/>
              <x14:negativeFillColor rgb="FFFF0000"/>
              <x14:axisColor rgb="FF000000"/>
            </x14:dataBar>
          </x14:cfRule>
          <xm:sqref>Y2509 Y2511</xm:sqref>
        </x14:conditionalFormatting>
        <x14:conditionalFormatting xmlns:xm="http://schemas.microsoft.com/office/excel/2006/main">
          <x14:cfRule type="dataBar" id="{99619EE7-7AAF-4466-9EEF-44A4D64FC322}">
            <x14:dataBar minLength="0" maxLength="100" border="1" gradient="0">
              <x14:cfvo type="num">
                <xm:f>0</xm:f>
              </x14:cfvo>
              <x14:cfvo type="num">
                <xm:f>1</xm:f>
              </x14:cfvo>
              <x14:borderColor theme="0"/>
              <x14:negativeFillColor rgb="FFFF0000"/>
              <x14:axisColor rgb="FF000000"/>
            </x14:dataBar>
          </x14:cfRule>
          <xm:sqref>Y2513 Y2515</xm:sqref>
        </x14:conditionalFormatting>
        <x14:conditionalFormatting xmlns:xm="http://schemas.microsoft.com/office/excel/2006/main">
          <x14:cfRule type="dataBar" id="{7D73AEFE-BB8A-45EF-A980-EEEC8182CE56}">
            <x14:dataBar minLength="0" maxLength="100" border="1" gradient="0">
              <x14:cfvo type="num">
                <xm:f>0</xm:f>
              </x14:cfvo>
              <x14:cfvo type="num">
                <xm:f>1</xm:f>
              </x14:cfvo>
              <x14:borderColor theme="0"/>
              <x14:negativeFillColor rgb="FFFF0000"/>
              <x14:axisColor rgb="FF000000"/>
            </x14:dataBar>
          </x14:cfRule>
          <xm:sqref>Y2517 Y2519</xm:sqref>
        </x14:conditionalFormatting>
        <x14:conditionalFormatting xmlns:xm="http://schemas.microsoft.com/office/excel/2006/main">
          <x14:cfRule type="dataBar" id="{3B87A271-AD73-453E-B675-F2B62EECB8E8}">
            <x14:dataBar minLength="0" maxLength="100" border="1" gradient="0">
              <x14:cfvo type="num">
                <xm:f>0</xm:f>
              </x14:cfvo>
              <x14:cfvo type="num">
                <xm:f>1</xm:f>
              </x14:cfvo>
              <x14:borderColor theme="0"/>
              <x14:negativeFillColor rgb="FFFF0000"/>
              <x14:axisColor rgb="FF000000"/>
            </x14:dataBar>
          </x14:cfRule>
          <xm:sqref>Y2521</xm:sqref>
        </x14:conditionalFormatting>
        <x14:conditionalFormatting xmlns:xm="http://schemas.microsoft.com/office/excel/2006/main">
          <x14:cfRule type="dataBar" id="{242E9343-95D0-416B-B79F-525262F51D15}">
            <x14:dataBar minLength="0" maxLength="100" border="1" gradient="0">
              <x14:cfvo type="num">
                <xm:f>0</xm:f>
              </x14:cfvo>
              <x14:cfvo type="num">
                <xm:f>1</xm:f>
              </x14:cfvo>
              <x14:borderColor theme="0"/>
              <x14:negativeFillColor rgb="FFFF0000"/>
              <x14:axisColor rgb="FF000000"/>
            </x14:dataBar>
          </x14:cfRule>
          <xm:sqref>Y2523</xm:sqref>
        </x14:conditionalFormatting>
        <x14:conditionalFormatting xmlns:xm="http://schemas.microsoft.com/office/excel/2006/main">
          <x14:cfRule type="dataBar" id="{EA9A9102-2746-40D0-8E75-493572E0F701}">
            <x14:dataBar minLength="0" maxLength="100" border="1" gradient="0">
              <x14:cfvo type="num">
                <xm:f>0</xm:f>
              </x14:cfvo>
              <x14:cfvo type="num">
                <xm:f>1</xm:f>
              </x14:cfvo>
              <x14:borderColor theme="0"/>
              <x14:negativeFillColor rgb="FFFF0000"/>
              <x14:axisColor rgb="FF000000"/>
            </x14:dataBar>
          </x14:cfRule>
          <xm:sqref>Y2527</xm:sqref>
        </x14:conditionalFormatting>
        <x14:conditionalFormatting xmlns:xm="http://schemas.microsoft.com/office/excel/2006/main">
          <x14:cfRule type="dataBar" id="{E4F57E4B-1FD9-4CF3-9DF1-30046F23A959}">
            <x14:dataBar minLength="0" maxLength="100" border="1" gradient="0">
              <x14:cfvo type="num">
                <xm:f>0</xm:f>
              </x14:cfvo>
              <x14:cfvo type="num">
                <xm:f>1</xm:f>
              </x14:cfvo>
              <x14:borderColor theme="0"/>
              <x14:negativeFillColor rgb="FFFF0000"/>
              <x14:axisColor rgb="FF000000"/>
            </x14:dataBar>
          </x14:cfRule>
          <xm:sqref>Y2529</xm:sqref>
        </x14:conditionalFormatting>
        <x14:conditionalFormatting xmlns:xm="http://schemas.microsoft.com/office/excel/2006/main">
          <x14:cfRule type="dataBar" id="{955A57CE-928F-4DFA-9855-0CE94F55C97B}">
            <x14:dataBar minLength="0" maxLength="100" border="1" gradient="0">
              <x14:cfvo type="num">
                <xm:f>0</xm:f>
              </x14:cfvo>
              <x14:cfvo type="num">
                <xm:f>1</xm:f>
              </x14:cfvo>
              <x14:borderColor theme="0"/>
              <x14:negativeFillColor rgb="FFFF0000"/>
              <x14:axisColor rgb="FF000000"/>
            </x14:dataBar>
          </x14:cfRule>
          <xm:sqref>Y2531 Y2533</xm:sqref>
        </x14:conditionalFormatting>
        <x14:conditionalFormatting xmlns:xm="http://schemas.microsoft.com/office/excel/2006/main">
          <x14:cfRule type="dataBar" id="{D14AA230-FADF-470E-B099-4A921170D8D7}">
            <x14:dataBar minLength="0" maxLength="100" border="1" gradient="0">
              <x14:cfvo type="num">
                <xm:f>0</xm:f>
              </x14:cfvo>
              <x14:cfvo type="num">
                <xm:f>1</xm:f>
              </x14:cfvo>
              <x14:borderColor theme="0"/>
              <x14:negativeFillColor rgb="FFFF0000"/>
              <x14:axisColor rgb="FF000000"/>
            </x14:dataBar>
          </x14:cfRule>
          <xm:sqref>Y2537</xm:sqref>
        </x14:conditionalFormatting>
        <x14:conditionalFormatting xmlns:xm="http://schemas.microsoft.com/office/excel/2006/main">
          <x14:cfRule type="dataBar" id="{CA9DE8F2-2AB4-4849-8159-3C968E35CA29}">
            <x14:dataBar minLength="0" maxLength="100" border="1" gradient="0">
              <x14:cfvo type="num">
                <xm:f>0</xm:f>
              </x14:cfvo>
              <x14:cfvo type="num">
                <xm:f>1</xm:f>
              </x14:cfvo>
              <x14:borderColor theme="0"/>
              <x14:negativeFillColor rgb="FFFF0000"/>
              <x14:axisColor rgb="FF000000"/>
            </x14:dataBar>
          </x14:cfRule>
          <xm:sqref>Y2539 Y2541 Y2543</xm:sqref>
        </x14:conditionalFormatting>
        <x14:conditionalFormatting xmlns:xm="http://schemas.microsoft.com/office/excel/2006/main">
          <x14:cfRule type="dataBar" id="{30F470DF-0778-466A-B4B1-D6415AB79051}">
            <x14:dataBar minLength="0" maxLength="100" border="1" gradient="0">
              <x14:cfvo type="num">
                <xm:f>0</xm:f>
              </x14:cfvo>
              <x14:cfvo type="num">
                <xm:f>1</xm:f>
              </x14:cfvo>
              <x14:borderColor theme="0"/>
              <x14:negativeFillColor rgb="FFFF0000"/>
              <x14:axisColor rgb="FF000000"/>
            </x14:dataBar>
          </x14:cfRule>
          <xm:sqref>Y2545 Y2547 Y2549</xm:sqref>
        </x14:conditionalFormatting>
        <x14:conditionalFormatting xmlns:xm="http://schemas.microsoft.com/office/excel/2006/main">
          <x14:cfRule type="dataBar" id="{04C465D4-A7AA-4D0E-A38D-CAA6F4D9E3A2}">
            <x14:dataBar minLength="0" maxLength="100" border="1" gradient="0">
              <x14:cfvo type="num">
                <xm:f>0</xm:f>
              </x14:cfvo>
              <x14:cfvo type="num">
                <xm:f>1</xm:f>
              </x14:cfvo>
              <x14:borderColor theme="0"/>
              <x14:negativeFillColor rgb="FFFF0000"/>
              <x14:axisColor rgb="FF000000"/>
            </x14:dataBar>
          </x14:cfRule>
          <xm:sqref>Y2551 Y2553</xm:sqref>
        </x14:conditionalFormatting>
        <x14:conditionalFormatting xmlns:xm="http://schemas.microsoft.com/office/excel/2006/main">
          <x14:cfRule type="dataBar" id="{727E54A0-9A32-4717-B7FD-63CDB052BC0B}">
            <x14:dataBar minLength="0" maxLength="100" border="1" gradient="0">
              <x14:cfvo type="num">
                <xm:f>0</xm:f>
              </x14:cfvo>
              <x14:cfvo type="num">
                <xm:f>1</xm:f>
              </x14:cfvo>
              <x14:borderColor theme="0"/>
              <x14:negativeFillColor rgb="FFFF0000"/>
              <x14:axisColor rgb="FF000000"/>
            </x14:dataBar>
          </x14:cfRule>
          <xm:sqref>Y2555 Y2557 Y2559</xm:sqref>
        </x14:conditionalFormatting>
        <x14:conditionalFormatting xmlns:xm="http://schemas.microsoft.com/office/excel/2006/main">
          <x14:cfRule type="dataBar" id="{08904736-8E9F-451A-A6DF-F28B886E6F54}">
            <x14:dataBar minLength="0" maxLength="100" border="1" gradient="0">
              <x14:cfvo type="num">
                <xm:f>0</xm:f>
              </x14:cfvo>
              <x14:cfvo type="num">
                <xm:f>1</xm:f>
              </x14:cfvo>
              <x14:borderColor theme="0"/>
              <x14:negativeFillColor rgb="FFFF0000"/>
              <x14:axisColor rgb="FF000000"/>
            </x14:dataBar>
          </x14:cfRule>
          <xm:sqref>Y2563</xm:sqref>
        </x14:conditionalFormatting>
        <x14:conditionalFormatting xmlns:xm="http://schemas.microsoft.com/office/excel/2006/main">
          <x14:cfRule type="dataBar" id="{BF8411AB-C568-4B45-8EEB-21BAE9913822}">
            <x14:dataBar minLength="0" maxLength="100" border="1" gradient="0">
              <x14:cfvo type="num">
                <xm:f>0</xm:f>
              </x14:cfvo>
              <x14:cfvo type="num">
                <xm:f>1</xm:f>
              </x14:cfvo>
              <x14:borderColor theme="0"/>
              <x14:negativeFillColor rgb="FFFF0000"/>
              <x14:axisColor rgb="FF000000"/>
            </x14:dataBar>
          </x14:cfRule>
          <xm:sqref>Y2565 Y2567 Y2569</xm:sqref>
        </x14:conditionalFormatting>
        <x14:conditionalFormatting xmlns:xm="http://schemas.microsoft.com/office/excel/2006/main">
          <x14:cfRule type="dataBar" id="{CA307CFE-5623-428D-83E6-119A8AC0B3AF}">
            <x14:dataBar minLength="0" maxLength="100" border="1" gradient="0">
              <x14:cfvo type="num">
                <xm:f>0</xm:f>
              </x14:cfvo>
              <x14:cfvo type="num">
                <xm:f>1</xm:f>
              </x14:cfvo>
              <x14:borderColor theme="0"/>
              <x14:negativeFillColor rgb="FFFF0000"/>
              <x14:axisColor rgb="FF000000"/>
            </x14:dataBar>
          </x14:cfRule>
          <xm:sqref>Y2571 Y2573 Y2575</xm:sqref>
        </x14:conditionalFormatting>
        <x14:conditionalFormatting xmlns:xm="http://schemas.microsoft.com/office/excel/2006/main">
          <x14:cfRule type="dataBar" id="{FB8E7857-DFA7-4E4E-BDBD-C39544013027}">
            <x14:dataBar minLength="0" maxLength="100" border="1" gradient="0">
              <x14:cfvo type="num">
                <xm:f>0</xm:f>
              </x14:cfvo>
              <x14:cfvo type="num">
                <xm:f>1</xm:f>
              </x14:cfvo>
              <x14:borderColor theme="0"/>
              <x14:negativeFillColor rgb="FFFF0000"/>
              <x14:axisColor rgb="FF000000"/>
            </x14:dataBar>
          </x14:cfRule>
          <xm:sqref>Y2577 Y2579 Y2581</xm:sqref>
        </x14:conditionalFormatting>
        <x14:conditionalFormatting xmlns:xm="http://schemas.microsoft.com/office/excel/2006/main">
          <x14:cfRule type="dataBar" id="{6F1472AB-342B-45BA-93E8-1B45BD185BE6}">
            <x14:dataBar minLength="0" maxLength="100" border="1" gradient="0">
              <x14:cfvo type="num">
                <xm:f>0</xm:f>
              </x14:cfvo>
              <x14:cfvo type="num">
                <xm:f>1</xm:f>
              </x14:cfvo>
              <x14:borderColor theme="0"/>
              <x14:negativeFillColor rgb="FFFF0000"/>
              <x14:axisColor rgb="FF000000"/>
            </x14:dataBar>
          </x14:cfRule>
          <xm:sqref>Y2583 Y2585 Y2587</xm:sqref>
        </x14:conditionalFormatting>
        <x14:conditionalFormatting xmlns:xm="http://schemas.microsoft.com/office/excel/2006/main">
          <x14:cfRule type="dataBar" id="{0B2876F7-8F22-4877-81F4-85964C6EF783}">
            <x14:dataBar minLength="0" maxLength="100" border="1" gradient="0">
              <x14:cfvo type="num">
                <xm:f>0</xm:f>
              </x14:cfvo>
              <x14:cfvo type="num">
                <xm:f>1</xm:f>
              </x14:cfvo>
              <x14:borderColor theme="0"/>
              <x14:negativeFillColor rgb="FFFF0000"/>
              <x14:axisColor rgb="FF000000"/>
            </x14:dataBar>
          </x14:cfRule>
          <xm:sqref>Y2589 Y2591 Y2593</xm:sqref>
        </x14:conditionalFormatting>
        <x14:conditionalFormatting xmlns:xm="http://schemas.microsoft.com/office/excel/2006/main">
          <x14:cfRule type="dataBar" id="{659565FF-8311-46CC-A626-2E3CE9093E2A}">
            <x14:dataBar minLength="0" maxLength="100" border="1" gradient="0">
              <x14:cfvo type="num">
                <xm:f>0</xm:f>
              </x14:cfvo>
              <x14:cfvo type="num">
                <xm:f>1</xm:f>
              </x14:cfvo>
              <x14:borderColor theme="0"/>
              <x14:negativeFillColor rgb="FFFF0000"/>
              <x14:axisColor rgb="FF000000"/>
            </x14:dataBar>
          </x14:cfRule>
          <xm:sqref>Y2595 Y2597 Y2599</xm:sqref>
        </x14:conditionalFormatting>
        <x14:conditionalFormatting xmlns:xm="http://schemas.microsoft.com/office/excel/2006/main">
          <x14:cfRule type="dataBar" id="{70468120-F380-427F-AF21-BE6F3B8FB2DE}">
            <x14:dataBar minLength="0" maxLength="100" border="1" gradient="0">
              <x14:cfvo type="num">
                <xm:f>0</xm:f>
              </x14:cfvo>
              <x14:cfvo type="num">
                <xm:f>1</xm:f>
              </x14:cfvo>
              <x14:borderColor theme="0"/>
              <x14:negativeFillColor rgb="FFFF0000"/>
              <x14:axisColor rgb="FF000000"/>
            </x14:dataBar>
          </x14:cfRule>
          <xm:sqref>Y2601</xm:sqref>
        </x14:conditionalFormatting>
        <x14:conditionalFormatting xmlns:xm="http://schemas.microsoft.com/office/excel/2006/main">
          <x14:cfRule type="dataBar" id="{88B763BF-F6EC-40C6-B844-C68C03153549}">
            <x14:dataBar minLength="0" maxLength="100" border="1" gradient="0">
              <x14:cfvo type="num">
                <xm:f>0</xm:f>
              </x14:cfvo>
              <x14:cfvo type="num">
                <xm:f>1</xm:f>
              </x14:cfvo>
              <x14:borderColor theme="0"/>
              <x14:negativeFillColor rgb="FFFF0000"/>
              <x14:axisColor rgb="FF000000"/>
            </x14:dataBar>
          </x14:cfRule>
          <xm:sqref>Y2605</xm:sqref>
        </x14:conditionalFormatting>
        <x14:conditionalFormatting xmlns:xm="http://schemas.microsoft.com/office/excel/2006/main">
          <x14:cfRule type="dataBar" id="{98F068A4-BFF5-49FB-AF0A-63138DC0523D}">
            <x14:dataBar minLength="0" maxLength="100" border="1" gradient="0">
              <x14:cfvo type="num">
                <xm:f>0</xm:f>
              </x14:cfvo>
              <x14:cfvo type="num">
                <xm:f>1</xm:f>
              </x14:cfvo>
              <x14:borderColor theme="0"/>
              <x14:negativeFillColor rgb="FFFF0000"/>
              <x14:axisColor rgb="FF000000"/>
            </x14:dataBar>
          </x14:cfRule>
          <xm:sqref>Y2609</xm:sqref>
        </x14:conditionalFormatting>
        <x14:conditionalFormatting xmlns:xm="http://schemas.microsoft.com/office/excel/2006/main">
          <x14:cfRule type="dataBar" id="{49734C4B-C75B-4C66-B53A-2814D9962396}">
            <x14:dataBar minLength="0" maxLength="100" border="1" gradient="0">
              <x14:cfvo type="num">
                <xm:f>0</xm:f>
              </x14:cfvo>
              <x14:cfvo type="num">
                <xm:f>1</xm:f>
              </x14:cfvo>
              <x14:borderColor theme="0"/>
              <x14:negativeFillColor rgb="FFFF0000"/>
              <x14:axisColor rgb="FF000000"/>
            </x14:dataBar>
          </x14:cfRule>
          <xm:sqref>Y2611</xm:sqref>
        </x14:conditionalFormatting>
        <x14:conditionalFormatting xmlns:xm="http://schemas.microsoft.com/office/excel/2006/main">
          <x14:cfRule type="dataBar" id="{933944A9-36EB-4429-9935-C34333112A67}">
            <x14:dataBar minLength="0" maxLength="100" border="1" gradient="0">
              <x14:cfvo type="num">
                <xm:f>0</xm:f>
              </x14:cfvo>
              <x14:cfvo type="num">
                <xm:f>1</xm:f>
              </x14:cfvo>
              <x14:borderColor theme="0"/>
              <x14:negativeFillColor rgb="FFFF0000"/>
              <x14:axisColor rgb="FF000000"/>
            </x14:dataBar>
          </x14:cfRule>
          <xm:sqref>Y2613 Y2615</xm:sqref>
        </x14:conditionalFormatting>
        <x14:conditionalFormatting xmlns:xm="http://schemas.microsoft.com/office/excel/2006/main">
          <x14:cfRule type="dataBar" id="{1918F0A3-10E9-4C57-A2CD-F1812196975D}">
            <x14:dataBar minLength="0" maxLength="100" border="1" gradient="0">
              <x14:cfvo type="num">
                <xm:f>0</xm:f>
              </x14:cfvo>
              <x14:cfvo type="num">
                <xm:f>1</xm:f>
              </x14:cfvo>
              <x14:borderColor theme="0"/>
              <x14:negativeFillColor rgb="FFFF0000"/>
              <x14:axisColor rgb="FF000000"/>
            </x14:dataBar>
          </x14:cfRule>
          <xm:sqref>Y2617</xm:sqref>
        </x14:conditionalFormatting>
        <x14:conditionalFormatting xmlns:xm="http://schemas.microsoft.com/office/excel/2006/main">
          <x14:cfRule type="dataBar" id="{3CE3F5C7-7525-409D-8674-EAA7BCE3C1F9}">
            <x14:dataBar minLength="0" maxLength="100" border="1" gradient="0">
              <x14:cfvo type="num">
                <xm:f>0</xm:f>
              </x14:cfvo>
              <x14:cfvo type="num">
                <xm:f>1</xm:f>
              </x14:cfvo>
              <x14:borderColor theme="0"/>
              <x14:negativeFillColor rgb="FFFF0000"/>
              <x14:axisColor rgb="FF000000"/>
            </x14:dataBar>
          </x14:cfRule>
          <xm:sqref>Y2619 Y2621</xm:sqref>
        </x14:conditionalFormatting>
        <x14:conditionalFormatting xmlns:xm="http://schemas.microsoft.com/office/excel/2006/main">
          <x14:cfRule type="dataBar" id="{F4C3528B-A792-43EF-AE90-2D3A4BE45D67}">
            <x14:dataBar minLength="0" maxLength="100" border="1" gradient="0">
              <x14:cfvo type="num">
                <xm:f>0</xm:f>
              </x14:cfvo>
              <x14:cfvo type="num">
                <xm:f>1</xm:f>
              </x14:cfvo>
              <x14:borderColor theme="0"/>
              <x14:negativeFillColor rgb="FFFF0000"/>
              <x14:axisColor rgb="FF000000"/>
            </x14:dataBar>
          </x14:cfRule>
          <xm:sqref>Y2623</xm:sqref>
        </x14:conditionalFormatting>
        <x14:conditionalFormatting xmlns:xm="http://schemas.microsoft.com/office/excel/2006/main">
          <x14:cfRule type="dataBar" id="{66BB4595-1938-457F-BDC2-545347856343}">
            <x14:dataBar minLength="0" maxLength="100" border="1" gradient="0">
              <x14:cfvo type="num">
                <xm:f>0</xm:f>
              </x14:cfvo>
              <x14:cfvo type="num">
                <xm:f>1</xm:f>
              </x14:cfvo>
              <x14:borderColor theme="0"/>
              <x14:negativeFillColor rgb="FFFF0000"/>
              <x14:axisColor rgb="FF000000"/>
            </x14:dataBar>
          </x14:cfRule>
          <xm:sqref>Y2625</xm:sqref>
        </x14:conditionalFormatting>
        <x14:conditionalFormatting xmlns:xm="http://schemas.microsoft.com/office/excel/2006/main">
          <x14:cfRule type="dataBar" id="{F05701C8-1AF2-43A1-9D13-0D64791220A4}">
            <x14:dataBar minLength="0" maxLength="100" border="1" gradient="0">
              <x14:cfvo type="num">
                <xm:f>0</xm:f>
              </x14:cfvo>
              <x14:cfvo type="num">
                <xm:f>1</xm:f>
              </x14:cfvo>
              <x14:borderColor theme="0"/>
              <x14:negativeFillColor rgb="FFFF0000"/>
              <x14:axisColor rgb="FF000000"/>
            </x14:dataBar>
          </x14:cfRule>
          <xm:sqref>Y2627</xm:sqref>
        </x14:conditionalFormatting>
        <x14:conditionalFormatting xmlns:xm="http://schemas.microsoft.com/office/excel/2006/main">
          <x14:cfRule type="dataBar" id="{86AFDFA9-29C6-4A9C-9CB2-AA559872999A}">
            <x14:dataBar minLength="0" maxLength="100" border="1" gradient="0">
              <x14:cfvo type="num">
                <xm:f>0</xm:f>
              </x14:cfvo>
              <x14:cfvo type="num">
                <xm:f>1</xm:f>
              </x14:cfvo>
              <x14:borderColor theme="0"/>
              <x14:negativeFillColor rgb="FFFF0000"/>
              <x14:axisColor rgb="FF000000"/>
            </x14:dataBar>
          </x14:cfRule>
          <xm:sqref>Y2629</xm:sqref>
        </x14:conditionalFormatting>
        <x14:conditionalFormatting xmlns:xm="http://schemas.microsoft.com/office/excel/2006/main">
          <x14:cfRule type="dataBar" id="{8ABBCA42-F9A3-40A9-8540-37E50A7C455B}">
            <x14:dataBar minLength="0" maxLength="100" border="1" gradient="0">
              <x14:cfvo type="num">
                <xm:f>0</xm:f>
              </x14:cfvo>
              <x14:cfvo type="num">
                <xm:f>1</xm:f>
              </x14:cfvo>
              <x14:borderColor theme="0"/>
              <x14:negativeFillColor rgb="FFFF0000"/>
              <x14:axisColor rgb="FF000000"/>
            </x14:dataBar>
          </x14:cfRule>
          <xm:sqref>Y2631 Y2633</xm:sqref>
        </x14:conditionalFormatting>
        <x14:conditionalFormatting xmlns:xm="http://schemas.microsoft.com/office/excel/2006/main">
          <x14:cfRule type="dataBar" id="{99B9A135-08AB-40EA-BAF7-F67C36D2DE21}">
            <x14:dataBar minLength="0" maxLength="100" border="1" gradient="0">
              <x14:cfvo type="num">
                <xm:f>0</xm:f>
              </x14:cfvo>
              <x14:cfvo type="num">
                <xm:f>1</xm:f>
              </x14:cfvo>
              <x14:borderColor theme="0"/>
              <x14:negativeFillColor rgb="FFFF0000"/>
              <x14:axisColor rgb="FF000000"/>
            </x14:dataBar>
          </x14:cfRule>
          <xm:sqref>Y2635</xm:sqref>
        </x14:conditionalFormatting>
        <x14:conditionalFormatting xmlns:xm="http://schemas.microsoft.com/office/excel/2006/main">
          <x14:cfRule type="dataBar" id="{41CC178C-90FC-42BC-9C39-BB7D115FC0D8}">
            <x14:dataBar minLength="0" maxLength="100" border="1" gradient="0">
              <x14:cfvo type="num">
                <xm:f>0</xm:f>
              </x14:cfvo>
              <x14:cfvo type="num">
                <xm:f>1</xm:f>
              </x14:cfvo>
              <x14:borderColor theme="0"/>
              <x14:negativeFillColor rgb="FFFF0000"/>
              <x14:axisColor rgb="FF000000"/>
            </x14:dataBar>
          </x14:cfRule>
          <xm:sqref>Y2637 Y2639</xm:sqref>
        </x14:conditionalFormatting>
        <x14:conditionalFormatting xmlns:xm="http://schemas.microsoft.com/office/excel/2006/main">
          <x14:cfRule type="dataBar" id="{A8648799-0616-4B27-8AA6-028374F80212}">
            <x14:dataBar minLength="0" maxLength="100" border="1" gradient="0">
              <x14:cfvo type="num">
                <xm:f>0</xm:f>
              </x14:cfvo>
              <x14:cfvo type="num">
                <xm:f>1</xm:f>
              </x14:cfvo>
              <x14:borderColor theme="0"/>
              <x14:negativeFillColor rgb="FFFF0000"/>
              <x14:axisColor rgb="FF000000"/>
            </x14:dataBar>
          </x14:cfRule>
          <xm:sqref>Y2641</xm:sqref>
        </x14:conditionalFormatting>
        <x14:conditionalFormatting xmlns:xm="http://schemas.microsoft.com/office/excel/2006/main">
          <x14:cfRule type="dataBar" id="{5274CD32-6460-4ACA-93CA-22AF63ECB491}">
            <x14:dataBar minLength="0" maxLength="100" border="1" gradient="0">
              <x14:cfvo type="num">
                <xm:f>0</xm:f>
              </x14:cfvo>
              <x14:cfvo type="num">
                <xm:f>1</xm:f>
              </x14:cfvo>
              <x14:borderColor theme="0"/>
              <x14:negativeFillColor rgb="FFFF0000"/>
              <x14:axisColor rgb="FF000000"/>
            </x14:dataBar>
          </x14:cfRule>
          <xm:sqref>Y2643 Y2645</xm:sqref>
        </x14:conditionalFormatting>
        <x14:conditionalFormatting xmlns:xm="http://schemas.microsoft.com/office/excel/2006/main">
          <x14:cfRule type="dataBar" id="{2F4FF4C7-6B79-4CC8-9D08-866F66D88A03}">
            <x14:dataBar minLength="0" maxLength="100" border="1" gradient="0">
              <x14:cfvo type="num">
                <xm:f>0</xm:f>
              </x14:cfvo>
              <x14:cfvo type="num">
                <xm:f>1</xm:f>
              </x14:cfvo>
              <x14:borderColor theme="0"/>
              <x14:negativeFillColor rgb="FFFF0000"/>
              <x14:axisColor rgb="FF000000"/>
            </x14:dataBar>
          </x14:cfRule>
          <xm:sqref>Y2647</xm:sqref>
        </x14:conditionalFormatting>
        <x14:conditionalFormatting xmlns:xm="http://schemas.microsoft.com/office/excel/2006/main">
          <x14:cfRule type="dataBar" id="{00BC3749-2A23-44EE-8936-D45238885FE7}">
            <x14:dataBar minLength="0" maxLength="100" border="1" gradient="0">
              <x14:cfvo type="num">
                <xm:f>0</xm:f>
              </x14:cfvo>
              <x14:cfvo type="num">
                <xm:f>1</xm:f>
              </x14:cfvo>
              <x14:borderColor theme="0"/>
              <x14:negativeFillColor rgb="FFFF0000"/>
              <x14:axisColor rgb="FF000000"/>
            </x14:dataBar>
          </x14:cfRule>
          <xm:sqref>Y2649 Y2651</xm:sqref>
        </x14:conditionalFormatting>
        <x14:conditionalFormatting xmlns:xm="http://schemas.microsoft.com/office/excel/2006/main">
          <x14:cfRule type="dataBar" id="{82B5FE23-DEA8-4253-B6FC-DADCE45B0700}">
            <x14:dataBar minLength="0" maxLength="100" border="1" gradient="0">
              <x14:cfvo type="num">
                <xm:f>0</xm:f>
              </x14:cfvo>
              <x14:cfvo type="num">
                <xm:f>1</xm:f>
              </x14:cfvo>
              <x14:borderColor theme="0"/>
              <x14:negativeFillColor rgb="FFFF0000"/>
              <x14:axisColor rgb="FF000000"/>
            </x14:dataBar>
          </x14:cfRule>
          <xm:sqref>Y2653</xm:sqref>
        </x14:conditionalFormatting>
        <x14:conditionalFormatting xmlns:xm="http://schemas.microsoft.com/office/excel/2006/main">
          <x14:cfRule type="dataBar" id="{877DC6F4-BB12-4ACF-A5EB-B2C1E1CE86CE}">
            <x14:dataBar minLength="0" maxLength="100" border="1" gradient="0">
              <x14:cfvo type="num">
                <xm:f>0</xm:f>
              </x14:cfvo>
              <x14:cfvo type="num">
                <xm:f>1</xm:f>
              </x14:cfvo>
              <x14:borderColor theme="0"/>
              <x14:negativeFillColor rgb="FFFF0000"/>
              <x14:axisColor rgb="FF000000"/>
            </x14:dataBar>
          </x14:cfRule>
          <xm:sqref>Y2655 Y2657</xm:sqref>
        </x14:conditionalFormatting>
        <x14:conditionalFormatting xmlns:xm="http://schemas.microsoft.com/office/excel/2006/main">
          <x14:cfRule type="dataBar" id="{847D4DD1-DC88-46A8-A8C3-570B93A93BED}">
            <x14:dataBar minLength="0" maxLength="100" border="1" gradient="0">
              <x14:cfvo type="num">
                <xm:f>0</xm:f>
              </x14:cfvo>
              <x14:cfvo type="num">
                <xm:f>1</xm:f>
              </x14:cfvo>
              <x14:borderColor theme="0"/>
              <x14:negativeFillColor rgb="FFFF0000"/>
              <x14:axisColor rgb="FF000000"/>
            </x14:dataBar>
          </x14:cfRule>
          <xm:sqref>Y2659</xm:sqref>
        </x14:conditionalFormatting>
        <x14:conditionalFormatting xmlns:xm="http://schemas.microsoft.com/office/excel/2006/main">
          <x14:cfRule type="dataBar" id="{DD25C093-0F6D-4A54-A580-CA2C092CB377}">
            <x14:dataBar minLength="0" maxLength="100" border="1" gradient="0">
              <x14:cfvo type="num">
                <xm:f>0</xm:f>
              </x14:cfvo>
              <x14:cfvo type="num">
                <xm:f>1</xm:f>
              </x14:cfvo>
              <x14:borderColor theme="0"/>
              <x14:negativeFillColor rgb="FFFF0000"/>
              <x14:axisColor rgb="FF000000"/>
            </x14:dataBar>
          </x14:cfRule>
          <xm:sqref>Y2661 Y2663</xm:sqref>
        </x14:conditionalFormatting>
        <x14:conditionalFormatting xmlns:xm="http://schemas.microsoft.com/office/excel/2006/main">
          <x14:cfRule type="dataBar" id="{7CA7A769-42FD-433B-B7FE-50E8432D5321}">
            <x14:dataBar minLength="0" maxLength="100" border="1" gradient="0">
              <x14:cfvo type="num">
                <xm:f>0</xm:f>
              </x14:cfvo>
              <x14:cfvo type="num">
                <xm:f>1</xm:f>
              </x14:cfvo>
              <x14:borderColor theme="0"/>
              <x14:negativeFillColor rgb="FFFF0000"/>
              <x14:axisColor rgb="FF000000"/>
            </x14:dataBar>
          </x14:cfRule>
          <xm:sqref>Y2665</xm:sqref>
        </x14:conditionalFormatting>
        <x14:conditionalFormatting xmlns:xm="http://schemas.microsoft.com/office/excel/2006/main">
          <x14:cfRule type="dataBar" id="{DAC08FA9-9B3B-41EC-812E-8E4067AC895E}">
            <x14:dataBar minLength="0" maxLength="100" border="1" gradient="0">
              <x14:cfvo type="num">
                <xm:f>0</xm:f>
              </x14:cfvo>
              <x14:cfvo type="num">
                <xm:f>1</xm:f>
              </x14:cfvo>
              <x14:borderColor theme="0"/>
              <x14:negativeFillColor rgb="FFFF0000"/>
              <x14:axisColor rgb="FF000000"/>
            </x14:dataBar>
          </x14:cfRule>
          <xm:sqref>Y2667 Y2669</xm:sqref>
        </x14:conditionalFormatting>
        <x14:conditionalFormatting xmlns:xm="http://schemas.microsoft.com/office/excel/2006/main">
          <x14:cfRule type="dataBar" id="{E8B48020-F299-4157-84C4-3C641E2095AF}">
            <x14:dataBar minLength="0" maxLength="100" border="1" gradient="0">
              <x14:cfvo type="num">
                <xm:f>0</xm:f>
              </x14:cfvo>
              <x14:cfvo type="num">
                <xm:f>1</xm:f>
              </x14:cfvo>
              <x14:borderColor theme="0"/>
              <x14:negativeFillColor rgb="FFFF0000"/>
              <x14:axisColor rgb="FF000000"/>
            </x14:dataBar>
          </x14:cfRule>
          <xm:sqref>Y2672</xm:sqref>
        </x14:conditionalFormatting>
        <x14:conditionalFormatting xmlns:xm="http://schemas.microsoft.com/office/excel/2006/main">
          <x14:cfRule type="dataBar" id="{9C01B365-2130-4809-A805-742B41E257F5}">
            <x14:dataBar minLength="0" maxLength="100" border="1" gradient="0">
              <x14:cfvo type="num">
                <xm:f>0</xm:f>
              </x14:cfvo>
              <x14:cfvo type="num">
                <xm:f>1</xm:f>
              </x14:cfvo>
              <x14:borderColor theme="0"/>
              <x14:negativeFillColor rgb="FFFF0000"/>
              <x14:axisColor rgb="FF000000"/>
            </x14:dataBar>
          </x14:cfRule>
          <xm:sqref>Y2674</xm:sqref>
        </x14:conditionalFormatting>
        <x14:conditionalFormatting xmlns:xm="http://schemas.microsoft.com/office/excel/2006/main">
          <x14:cfRule type="dataBar" id="{CC0A3F83-9506-4F88-BFA1-1AA097AA9930}">
            <x14:dataBar minLength="0" maxLength="100" border="1" gradient="0">
              <x14:cfvo type="num">
                <xm:f>0</xm:f>
              </x14:cfvo>
              <x14:cfvo type="num">
                <xm:f>1</xm:f>
              </x14:cfvo>
              <x14:borderColor theme="0"/>
              <x14:negativeFillColor rgb="FFFF0000"/>
              <x14:axisColor rgb="FF000000"/>
            </x14:dataBar>
          </x14:cfRule>
          <xm:sqref>Y2676</xm:sqref>
        </x14:conditionalFormatting>
        <x14:conditionalFormatting xmlns:xm="http://schemas.microsoft.com/office/excel/2006/main">
          <x14:cfRule type="dataBar" id="{A1ACA484-7870-4E44-8E7B-253B85A3616C}">
            <x14:dataBar minLength="0" maxLength="100" border="1" gradient="0">
              <x14:cfvo type="num">
                <xm:f>0</xm:f>
              </x14:cfvo>
              <x14:cfvo type="num">
                <xm:f>1</xm:f>
              </x14:cfvo>
              <x14:borderColor theme="0"/>
              <x14:negativeFillColor rgb="FFFF0000"/>
              <x14:axisColor rgb="FF000000"/>
            </x14:dataBar>
          </x14:cfRule>
          <xm:sqref>Y2678</xm:sqref>
        </x14:conditionalFormatting>
        <x14:conditionalFormatting xmlns:xm="http://schemas.microsoft.com/office/excel/2006/main">
          <x14:cfRule type="dataBar" id="{01CCF4B4-99E6-47BC-B5F7-31085C2746D1}">
            <x14:dataBar minLength="0" maxLength="100" border="1" gradient="0">
              <x14:cfvo type="num">
                <xm:f>0</xm:f>
              </x14:cfvo>
              <x14:cfvo type="num">
                <xm:f>1</xm:f>
              </x14:cfvo>
              <x14:borderColor theme="0"/>
              <x14:negativeFillColor rgb="FFFF0000"/>
              <x14:axisColor rgb="FF000000"/>
            </x14:dataBar>
          </x14:cfRule>
          <xm:sqref>Y2680 Y2682</xm:sqref>
        </x14:conditionalFormatting>
        <x14:conditionalFormatting xmlns:xm="http://schemas.microsoft.com/office/excel/2006/main">
          <x14:cfRule type="dataBar" id="{0CF5DD39-D7A1-4C91-81F5-E4AC191BA91C}">
            <x14:dataBar minLength="0" maxLength="100" border="1" gradient="0">
              <x14:cfvo type="num">
                <xm:f>0</xm:f>
              </x14:cfvo>
              <x14:cfvo type="num">
                <xm:f>1</xm:f>
              </x14:cfvo>
              <x14:borderColor theme="0"/>
              <x14:negativeFillColor rgb="FFFF0000"/>
              <x14:axisColor rgb="FF000000"/>
            </x14:dataBar>
          </x14:cfRule>
          <xm:sqref>Y2684</xm:sqref>
        </x14:conditionalFormatting>
        <x14:conditionalFormatting xmlns:xm="http://schemas.microsoft.com/office/excel/2006/main">
          <x14:cfRule type="dataBar" id="{99E47AB8-65AD-40E9-A012-627D0A73BB26}">
            <x14:dataBar minLength="0" maxLength="100" border="1" gradient="0">
              <x14:cfvo type="num">
                <xm:f>0</xm:f>
              </x14:cfvo>
              <x14:cfvo type="num">
                <xm:f>1</xm:f>
              </x14:cfvo>
              <x14:borderColor theme="0"/>
              <x14:negativeFillColor rgb="FFFF0000"/>
              <x14:axisColor rgb="FF000000"/>
            </x14:dataBar>
          </x14:cfRule>
          <xm:sqref>Y2686 Y2688</xm:sqref>
        </x14:conditionalFormatting>
        <x14:conditionalFormatting xmlns:xm="http://schemas.microsoft.com/office/excel/2006/main">
          <x14:cfRule type="dataBar" id="{63963D9C-FAE4-48DF-AF89-E486EEDDD193}">
            <x14:dataBar minLength="0" maxLength="100" border="1" gradient="0">
              <x14:cfvo type="num">
                <xm:f>0</xm:f>
              </x14:cfvo>
              <x14:cfvo type="num">
                <xm:f>1</xm:f>
              </x14:cfvo>
              <x14:borderColor theme="0"/>
              <x14:negativeFillColor rgb="FFFF0000"/>
              <x14:axisColor rgb="FF000000"/>
            </x14:dataBar>
          </x14:cfRule>
          <xm:sqref>Y2690</xm:sqref>
        </x14:conditionalFormatting>
        <x14:conditionalFormatting xmlns:xm="http://schemas.microsoft.com/office/excel/2006/main">
          <x14:cfRule type="dataBar" id="{C04E9568-2BB4-479A-BE9C-6DF31A57B528}">
            <x14:dataBar minLength="0" maxLength="100" border="1" gradient="0">
              <x14:cfvo type="num">
                <xm:f>0</xm:f>
              </x14:cfvo>
              <x14:cfvo type="num">
                <xm:f>1</xm:f>
              </x14:cfvo>
              <x14:borderColor theme="0"/>
              <x14:negativeFillColor rgb="FFFF0000"/>
              <x14:axisColor rgb="FF000000"/>
            </x14:dataBar>
          </x14:cfRule>
          <xm:sqref>Y2692</xm:sqref>
        </x14:conditionalFormatting>
        <x14:conditionalFormatting xmlns:xm="http://schemas.microsoft.com/office/excel/2006/main">
          <x14:cfRule type="dataBar" id="{B808364D-8AAC-486D-ACDF-710080884AFD}">
            <x14:dataBar minLength="0" maxLength="100" border="1" gradient="0">
              <x14:cfvo type="num">
                <xm:f>0</xm:f>
              </x14:cfvo>
              <x14:cfvo type="num">
                <xm:f>1</xm:f>
              </x14:cfvo>
              <x14:borderColor theme="0"/>
              <x14:negativeFillColor rgb="FFFF0000"/>
              <x14:axisColor rgb="FF000000"/>
            </x14:dataBar>
          </x14:cfRule>
          <xm:sqref>Y2694</xm:sqref>
        </x14:conditionalFormatting>
        <x14:conditionalFormatting xmlns:xm="http://schemas.microsoft.com/office/excel/2006/main">
          <x14:cfRule type="dataBar" id="{5E15C274-18D3-45B1-8B34-E76ACE2DBA5D}">
            <x14:dataBar minLength="0" maxLength="100" border="1" gradient="0">
              <x14:cfvo type="num">
                <xm:f>0</xm:f>
              </x14:cfvo>
              <x14:cfvo type="num">
                <xm:f>1</xm:f>
              </x14:cfvo>
              <x14:borderColor theme="0"/>
              <x14:negativeFillColor rgb="FFFF0000"/>
              <x14:axisColor rgb="FF000000"/>
            </x14:dataBar>
          </x14:cfRule>
          <xm:sqref>Y2696 Y2698</xm:sqref>
        </x14:conditionalFormatting>
        <x14:conditionalFormatting xmlns:xm="http://schemas.microsoft.com/office/excel/2006/main">
          <x14:cfRule type="dataBar" id="{F9C69B0A-758D-47C8-8B3F-A28476C1AC55}">
            <x14:dataBar minLength="0" maxLength="100" border="1" gradient="0">
              <x14:cfvo type="num">
                <xm:f>0</xm:f>
              </x14:cfvo>
              <x14:cfvo type="num">
                <xm:f>1</xm:f>
              </x14:cfvo>
              <x14:borderColor theme="0"/>
              <x14:negativeFillColor rgb="FFFF0000"/>
              <x14:axisColor rgb="FF000000"/>
            </x14:dataBar>
          </x14:cfRule>
          <xm:sqref>Y2700</xm:sqref>
        </x14:conditionalFormatting>
        <x14:conditionalFormatting xmlns:xm="http://schemas.microsoft.com/office/excel/2006/main">
          <x14:cfRule type="dataBar" id="{050499F9-9B38-4C08-A642-3C912F8D4196}">
            <x14:dataBar minLength="0" maxLength="100" border="1" gradient="0">
              <x14:cfvo type="num">
                <xm:f>0</xm:f>
              </x14:cfvo>
              <x14:cfvo type="num">
                <xm:f>1</xm:f>
              </x14:cfvo>
              <x14:borderColor theme="0"/>
              <x14:negativeFillColor rgb="FFFF0000"/>
              <x14:axisColor rgb="FF000000"/>
            </x14:dataBar>
          </x14:cfRule>
          <xm:sqref>Y2702 Y2704</xm:sqref>
        </x14:conditionalFormatting>
        <x14:conditionalFormatting xmlns:xm="http://schemas.microsoft.com/office/excel/2006/main">
          <x14:cfRule type="dataBar" id="{9E6689F1-05E5-47C3-B557-1C6699272477}">
            <x14:dataBar minLength="0" maxLength="100" border="1" gradient="0">
              <x14:cfvo type="num">
                <xm:f>0</xm:f>
              </x14:cfvo>
              <x14:cfvo type="num">
                <xm:f>1</xm:f>
              </x14:cfvo>
              <x14:borderColor theme="0"/>
              <x14:negativeFillColor rgb="FFFF0000"/>
              <x14:axisColor rgb="FF000000"/>
            </x14:dataBar>
          </x14:cfRule>
          <xm:sqref>Y2706</xm:sqref>
        </x14:conditionalFormatting>
        <x14:conditionalFormatting xmlns:xm="http://schemas.microsoft.com/office/excel/2006/main">
          <x14:cfRule type="dataBar" id="{FBBD0ABA-7824-42AE-BC6B-3FBF0378AC81}">
            <x14:dataBar minLength="0" maxLength="100" border="1" gradient="0">
              <x14:cfvo type="num">
                <xm:f>0</xm:f>
              </x14:cfvo>
              <x14:cfvo type="num">
                <xm:f>1</xm:f>
              </x14:cfvo>
              <x14:borderColor theme="0"/>
              <x14:negativeFillColor rgb="FFFF0000"/>
              <x14:axisColor rgb="FF000000"/>
            </x14:dataBar>
          </x14:cfRule>
          <xm:sqref>Y2708</xm:sqref>
        </x14:conditionalFormatting>
        <x14:conditionalFormatting xmlns:xm="http://schemas.microsoft.com/office/excel/2006/main">
          <x14:cfRule type="dataBar" id="{EC78938A-E5B5-477A-9F5A-6DBA9D1171AB}">
            <x14:dataBar minLength="0" maxLength="100" border="1" gradient="0">
              <x14:cfvo type="num">
                <xm:f>0</xm:f>
              </x14:cfvo>
              <x14:cfvo type="num">
                <xm:f>1</xm:f>
              </x14:cfvo>
              <x14:borderColor theme="0"/>
              <x14:negativeFillColor rgb="FFFF0000"/>
              <x14:axisColor rgb="FF000000"/>
            </x14:dataBar>
          </x14:cfRule>
          <xm:sqref>Y2710</xm:sqref>
        </x14:conditionalFormatting>
        <x14:conditionalFormatting xmlns:xm="http://schemas.microsoft.com/office/excel/2006/main">
          <x14:cfRule type="dataBar" id="{DD94BD80-CBBC-4DA5-8115-8F2806B070EE}">
            <x14:dataBar minLength="0" maxLength="100" border="1" gradient="0">
              <x14:cfvo type="num">
                <xm:f>0</xm:f>
              </x14:cfvo>
              <x14:cfvo type="num">
                <xm:f>1</xm:f>
              </x14:cfvo>
              <x14:borderColor theme="0"/>
              <x14:negativeFillColor rgb="FFFF0000"/>
              <x14:axisColor rgb="FF000000"/>
            </x14:dataBar>
          </x14:cfRule>
          <xm:sqref>Y2712 Y2714</xm:sqref>
        </x14:conditionalFormatting>
        <x14:conditionalFormatting xmlns:xm="http://schemas.microsoft.com/office/excel/2006/main">
          <x14:cfRule type="dataBar" id="{3867314B-FB82-4D50-849F-224C75FEBA58}">
            <x14:dataBar minLength="0" maxLength="100" border="1" gradient="0">
              <x14:cfvo type="num">
                <xm:f>0</xm:f>
              </x14:cfvo>
              <x14:cfvo type="num">
                <xm:f>1</xm:f>
              </x14:cfvo>
              <x14:borderColor theme="0"/>
              <x14:negativeFillColor rgb="FFFF0000"/>
              <x14:axisColor rgb="FF000000"/>
            </x14:dataBar>
          </x14:cfRule>
          <xm:sqref>Y2716</xm:sqref>
        </x14:conditionalFormatting>
        <x14:conditionalFormatting xmlns:xm="http://schemas.microsoft.com/office/excel/2006/main">
          <x14:cfRule type="dataBar" id="{F78C284D-B89D-4CC9-BAAD-B8EE78CF707E}">
            <x14:dataBar minLength="0" maxLength="100" border="1" gradient="0">
              <x14:cfvo type="num">
                <xm:f>0</xm:f>
              </x14:cfvo>
              <x14:cfvo type="num">
                <xm:f>1</xm:f>
              </x14:cfvo>
              <x14:borderColor theme="0"/>
              <x14:negativeFillColor rgb="FFFF0000"/>
              <x14:axisColor rgb="FF000000"/>
            </x14:dataBar>
          </x14:cfRule>
          <xm:sqref>Y2718 Y2720</xm:sqref>
        </x14:conditionalFormatting>
        <x14:conditionalFormatting xmlns:xm="http://schemas.microsoft.com/office/excel/2006/main">
          <x14:cfRule type="dataBar" id="{60574433-9BF0-4074-ABA6-130BC129AA4D}">
            <x14:dataBar minLength="0" maxLength="100" border="1" gradient="0">
              <x14:cfvo type="num">
                <xm:f>0</xm:f>
              </x14:cfvo>
              <x14:cfvo type="num">
                <xm:f>1</xm:f>
              </x14:cfvo>
              <x14:borderColor theme="0"/>
              <x14:negativeFillColor rgb="FFFF0000"/>
              <x14:axisColor rgb="FF000000"/>
            </x14:dataBar>
          </x14:cfRule>
          <xm:sqref>Y2722</xm:sqref>
        </x14:conditionalFormatting>
        <x14:conditionalFormatting xmlns:xm="http://schemas.microsoft.com/office/excel/2006/main">
          <x14:cfRule type="dataBar" id="{DF4638F5-FB62-446C-9321-6CCE6A9DE693}">
            <x14:dataBar minLength="0" maxLength="100" border="1" gradient="0">
              <x14:cfvo type="num">
                <xm:f>0</xm:f>
              </x14:cfvo>
              <x14:cfvo type="num">
                <xm:f>1</xm:f>
              </x14:cfvo>
              <x14:borderColor theme="0"/>
              <x14:negativeFillColor rgb="FFFF0000"/>
              <x14:axisColor rgb="FF000000"/>
            </x14:dataBar>
          </x14:cfRule>
          <xm:sqref>Y2724</xm:sqref>
        </x14:conditionalFormatting>
        <x14:conditionalFormatting xmlns:xm="http://schemas.microsoft.com/office/excel/2006/main">
          <x14:cfRule type="dataBar" id="{A329324F-B4C9-429F-A3FE-0AEEBC56CF31}">
            <x14:dataBar minLength="0" maxLength="100" border="1" gradient="0">
              <x14:cfvo type="num">
                <xm:f>0</xm:f>
              </x14:cfvo>
              <x14:cfvo type="num">
                <xm:f>1</xm:f>
              </x14:cfvo>
              <x14:borderColor theme="0"/>
              <x14:negativeFillColor rgb="FFFF0000"/>
              <x14:axisColor rgb="FF000000"/>
            </x14:dataBar>
          </x14:cfRule>
          <xm:sqref>Y2726</xm:sqref>
        </x14:conditionalFormatting>
        <x14:conditionalFormatting xmlns:xm="http://schemas.microsoft.com/office/excel/2006/main">
          <x14:cfRule type="dataBar" id="{B8B1C54C-80E9-459B-BDAD-12BBDEC4C622}">
            <x14:dataBar minLength="0" maxLength="100" border="1" gradient="0">
              <x14:cfvo type="num">
                <xm:f>0</xm:f>
              </x14:cfvo>
              <x14:cfvo type="num">
                <xm:f>1</xm:f>
              </x14:cfvo>
              <x14:borderColor theme="0"/>
              <x14:negativeFillColor rgb="FFFF0000"/>
              <x14:axisColor rgb="FF000000"/>
            </x14:dataBar>
          </x14:cfRule>
          <xm:sqref>Y2728</xm:sqref>
        </x14:conditionalFormatting>
        <x14:conditionalFormatting xmlns:xm="http://schemas.microsoft.com/office/excel/2006/main">
          <x14:cfRule type="dataBar" id="{D1173B5F-F9E4-44C2-80CF-4E4669545A2C}">
            <x14:dataBar minLength="0" maxLength="100" border="1" gradient="0">
              <x14:cfvo type="num">
                <xm:f>0</xm:f>
              </x14:cfvo>
              <x14:cfvo type="num">
                <xm:f>1</xm:f>
              </x14:cfvo>
              <x14:borderColor theme="0"/>
              <x14:negativeFillColor rgb="FFFF0000"/>
              <x14:axisColor rgb="FF000000"/>
            </x14:dataBar>
          </x14:cfRule>
          <xm:sqref>Y2730 Y2732</xm:sqref>
        </x14:conditionalFormatting>
        <x14:conditionalFormatting xmlns:xm="http://schemas.microsoft.com/office/excel/2006/main">
          <x14:cfRule type="dataBar" id="{8669100A-FBFF-43DB-9A3F-756E3BDE8F30}">
            <x14:dataBar minLength="0" maxLength="100" border="1" gradient="0">
              <x14:cfvo type="num">
                <xm:f>0</xm:f>
              </x14:cfvo>
              <x14:cfvo type="num">
                <xm:f>1</xm:f>
              </x14:cfvo>
              <x14:borderColor theme="0"/>
              <x14:negativeFillColor rgb="FFFF0000"/>
              <x14:axisColor rgb="FF000000"/>
            </x14:dataBar>
          </x14:cfRule>
          <xm:sqref>Y2734</xm:sqref>
        </x14:conditionalFormatting>
        <x14:conditionalFormatting xmlns:xm="http://schemas.microsoft.com/office/excel/2006/main">
          <x14:cfRule type="dataBar" id="{761C1571-5B7E-474E-95C6-0FC5FFBF1753}">
            <x14:dataBar minLength="0" maxLength="100" border="1" gradient="0">
              <x14:cfvo type="num">
                <xm:f>0</xm:f>
              </x14:cfvo>
              <x14:cfvo type="num">
                <xm:f>1</xm:f>
              </x14:cfvo>
              <x14:borderColor theme="0"/>
              <x14:negativeFillColor rgb="FFFF0000"/>
              <x14:axisColor rgb="FF000000"/>
            </x14:dataBar>
          </x14:cfRule>
          <xm:sqref>Y2738</xm:sqref>
        </x14:conditionalFormatting>
        <x14:conditionalFormatting xmlns:xm="http://schemas.microsoft.com/office/excel/2006/main">
          <x14:cfRule type="dataBar" id="{A3F60F72-7CA0-4CE7-B9BE-ABDB6B01EC13}">
            <x14:dataBar minLength="0" maxLength="100" border="1" gradient="0">
              <x14:cfvo type="num">
                <xm:f>0</xm:f>
              </x14:cfvo>
              <x14:cfvo type="num">
                <xm:f>1</xm:f>
              </x14:cfvo>
              <x14:borderColor theme="0"/>
              <x14:negativeFillColor rgb="FFFF0000"/>
              <x14:axisColor rgb="FF000000"/>
            </x14:dataBar>
          </x14:cfRule>
          <xm:sqref>Y2740 Y2742</xm:sqref>
        </x14:conditionalFormatting>
        <x14:conditionalFormatting xmlns:xm="http://schemas.microsoft.com/office/excel/2006/main">
          <x14:cfRule type="dataBar" id="{A6840121-342B-4490-AF68-0537D8307657}">
            <x14:dataBar minLength="0" maxLength="100" border="1" gradient="0">
              <x14:cfvo type="num">
                <xm:f>0</xm:f>
              </x14:cfvo>
              <x14:cfvo type="num">
                <xm:f>1</xm:f>
              </x14:cfvo>
              <x14:borderColor theme="0"/>
              <x14:negativeFillColor rgb="FFFF0000"/>
              <x14:axisColor rgb="FF000000"/>
            </x14:dataBar>
          </x14:cfRule>
          <xm:sqref>Y2744 Y2746</xm:sqref>
        </x14:conditionalFormatting>
        <x14:conditionalFormatting xmlns:xm="http://schemas.microsoft.com/office/excel/2006/main">
          <x14:cfRule type="dataBar" id="{56C5431D-9035-4E9B-82B4-2D4A51A341EF}">
            <x14:dataBar minLength="0" maxLength="100" border="1" gradient="0">
              <x14:cfvo type="num">
                <xm:f>0</xm:f>
              </x14:cfvo>
              <x14:cfvo type="num">
                <xm:f>1</xm:f>
              </x14:cfvo>
              <x14:borderColor theme="0"/>
              <x14:negativeFillColor rgb="FFFF0000"/>
              <x14:axisColor rgb="FF000000"/>
            </x14:dataBar>
          </x14:cfRule>
          <xm:sqref>Y2748</xm:sqref>
        </x14:conditionalFormatting>
        <x14:conditionalFormatting xmlns:xm="http://schemas.microsoft.com/office/excel/2006/main">
          <x14:cfRule type="dataBar" id="{15ADC5AE-A779-43B0-937E-4851299F9D18}">
            <x14:dataBar minLength="0" maxLength="100" border="1" gradient="0">
              <x14:cfvo type="num">
                <xm:f>0</xm:f>
              </x14:cfvo>
              <x14:cfvo type="num">
                <xm:f>1</xm:f>
              </x14:cfvo>
              <x14:borderColor theme="0"/>
              <x14:negativeFillColor rgb="FFFF0000"/>
              <x14:axisColor rgb="FF000000"/>
            </x14:dataBar>
          </x14:cfRule>
          <xm:sqref>Y2750 Y2752</xm:sqref>
        </x14:conditionalFormatting>
        <x14:conditionalFormatting xmlns:xm="http://schemas.microsoft.com/office/excel/2006/main">
          <x14:cfRule type="dataBar" id="{972C80EC-9195-49EA-9DBE-B2F65FFF4BD0}">
            <x14:dataBar minLength="0" maxLength="100" border="1" gradient="0">
              <x14:cfvo type="num">
                <xm:f>0</xm:f>
              </x14:cfvo>
              <x14:cfvo type="num">
                <xm:f>1</xm:f>
              </x14:cfvo>
              <x14:borderColor theme="0"/>
              <x14:negativeFillColor rgb="FFFF0000"/>
              <x14:axisColor rgb="FF000000"/>
            </x14:dataBar>
          </x14:cfRule>
          <xm:sqref>Y2754 Y2756</xm:sqref>
        </x14:conditionalFormatting>
        <x14:conditionalFormatting xmlns:xm="http://schemas.microsoft.com/office/excel/2006/main">
          <x14:cfRule type="dataBar" id="{1318530C-1DDA-40E1-84D6-C2F1BDFD19FD}">
            <x14:dataBar minLength="0" maxLength="100" border="1" gradient="0">
              <x14:cfvo type="num">
                <xm:f>0</xm:f>
              </x14:cfvo>
              <x14:cfvo type="num">
                <xm:f>1</xm:f>
              </x14:cfvo>
              <x14:borderColor theme="0"/>
              <x14:negativeFillColor rgb="FFFF0000"/>
              <x14:axisColor rgb="FF000000"/>
            </x14:dataBar>
          </x14:cfRule>
          <xm:sqref>Y2758</xm:sqref>
        </x14:conditionalFormatting>
        <x14:conditionalFormatting xmlns:xm="http://schemas.microsoft.com/office/excel/2006/main">
          <x14:cfRule type="dataBar" id="{7FCAFE44-B321-494C-BB2F-959B99CF3735}">
            <x14:dataBar minLength="0" maxLength="100" border="1" gradient="0">
              <x14:cfvo type="num">
                <xm:f>0</xm:f>
              </x14:cfvo>
              <x14:cfvo type="num">
                <xm:f>1</xm:f>
              </x14:cfvo>
              <x14:borderColor theme="0"/>
              <x14:negativeFillColor rgb="FFFF0000"/>
              <x14:axisColor rgb="FF000000"/>
            </x14:dataBar>
          </x14:cfRule>
          <xm:sqref>Y2760</xm:sqref>
        </x14:conditionalFormatting>
        <x14:conditionalFormatting xmlns:xm="http://schemas.microsoft.com/office/excel/2006/main">
          <x14:cfRule type="dataBar" id="{3DC51135-6FB1-458D-8D09-47CC5E3F0588}">
            <x14:dataBar minLength="0" maxLength="100" border="1" gradient="0">
              <x14:cfvo type="num">
                <xm:f>0</xm:f>
              </x14:cfvo>
              <x14:cfvo type="num">
                <xm:f>1</xm:f>
              </x14:cfvo>
              <x14:borderColor theme="0"/>
              <x14:negativeFillColor rgb="FFFF0000"/>
              <x14:axisColor rgb="FF000000"/>
            </x14:dataBar>
          </x14:cfRule>
          <xm:sqref>Y2764</xm:sqref>
        </x14:conditionalFormatting>
        <x14:conditionalFormatting xmlns:xm="http://schemas.microsoft.com/office/excel/2006/main">
          <x14:cfRule type="dataBar" id="{6C89E545-30C6-49CF-87BB-7006537F20C1}">
            <x14:dataBar minLength="0" maxLength="100" border="1" gradient="0">
              <x14:cfvo type="num">
                <xm:f>0</xm:f>
              </x14:cfvo>
              <x14:cfvo type="num">
                <xm:f>1</xm:f>
              </x14:cfvo>
              <x14:borderColor theme="0"/>
              <x14:negativeFillColor rgb="FFFF0000"/>
              <x14:axisColor rgb="FF000000"/>
            </x14:dataBar>
          </x14:cfRule>
          <xm:sqref>Y2766 Y2768 Y2770</xm:sqref>
        </x14:conditionalFormatting>
        <x14:conditionalFormatting xmlns:xm="http://schemas.microsoft.com/office/excel/2006/main">
          <x14:cfRule type="dataBar" id="{8D1BA823-6863-4EE8-9BE1-3E8FA6AD77C2}">
            <x14:dataBar minLength="0" maxLength="100" border="1" gradient="0">
              <x14:cfvo type="num">
                <xm:f>0</xm:f>
              </x14:cfvo>
              <x14:cfvo type="num">
                <xm:f>1</xm:f>
              </x14:cfvo>
              <x14:borderColor theme="0"/>
              <x14:negativeFillColor rgb="FFFF0000"/>
              <x14:axisColor rgb="FF000000"/>
            </x14:dataBar>
          </x14:cfRule>
          <xm:sqref>Y2772 Y2774 Y2776</xm:sqref>
        </x14:conditionalFormatting>
        <x14:conditionalFormatting xmlns:xm="http://schemas.microsoft.com/office/excel/2006/main">
          <x14:cfRule type="dataBar" id="{1D00D45F-E5A6-4940-BDDA-B0D7C1079271}">
            <x14:dataBar minLength="0" maxLength="100" border="1" gradient="0">
              <x14:cfvo type="num">
                <xm:f>0</xm:f>
              </x14:cfvo>
              <x14:cfvo type="num">
                <xm:f>1</xm:f>
              </x14:cfvo>
              <x14:borderColor theme="0"/>
              <x14:negativeFillColor rgb="FFFF0000"/>
              <x14:axisColor rgb="FF000000"/>
            </x14:dataBar>
          </x14:cfRule>
          <xm:sqref>Y2778 Y2780 Y2782</xm:sqref>
        </x14:conditionalFormatting>
        <x14:conditionalFormatting xmlns:xm="http://schemas.microsoft.com/office/excel/2006/main">
          <x14:cfRule type="dataBar" id="{B75B2881-9BC8-4985-A993-8320B58D2F21}">
            <x14:dataBar minLength="0" maxLength="100" border="1" gradient="0">
              <x14:cfvo type="num">
                <xm:f>0</xm:f>
              </x14:cfvo>
              <x14:cfvo type="num">
                <xm:f>1</xm:f>
              </x14:cfvo>
              <x14:borderColor theme="0"/>
              <x14:negativeFillColor rgb="FFFF0000"/>
              <x14:axisColor rgb="FF000000"/>
            </x14:dataBar>
          </x14:cfRule>
          <xm:sqref>Y2784 Y2786 Y2788</xm:sqref>
        </x14:conditionalFormatting>
        <x14:conditionalFormatting xmlns:xm="http://schemas.microsoft.com/office/excel/2006/main">
          <x14:cfRule type="dataBar" id="{707535DD-FCFE-48F8-B71B-1E006D243899}">
            <x14:dataBar minLength="0" maxLength="100" border="1" gradient="0">
              <x14:cfvo type="num">
                <xm:f>0</xm:f>
              </x14:cfvo>
              <x14:cfvo type="num">
                <xm:f>1</xm:f>
              </x14:cfvo>
              <x14:borderColor theme="0"/>
              <x14:negativeFillColor rgb="FFFF0000"/>
              <x14:axisColor rgb="FF000000"/>
            </x14:dataBar>
          </x14:cfRule>
          <xm:sqref>Y2790 Y2792 Y2794</xm:sqref>
        </x14:conditionalFormatting>
        <x14:conditionalFormatting xmlns:xm="http://schemas.microsoft.com/office/excel/2006/main">
          <x14:cfRule type="dataBar" id="{7DFAF211-EA23-4D75-8818-B29D709A9484}">
            <x14:dataBar minLength="0" maxLength="100" border="1" gradient="0">
              <x14:cfvo type="num">
                <xm:f>0</xm:f>
              </x14:cfvo>
              <x14:cfvo type="num">
                <xm:f>1</xm:f>
              </x14:cfvo>
              <x14:borderColor theme="0"/>
              <x14:negativeFillColor rgb="FFFF0000"/>
              <x14:axisColor rgb="FF000000"/>
            </x14:dataBar>
          </x14:cfRule>
          <xm:sqref>Y2796 Y2798 Y2800</xm:sqref>
        </x14:conditionalFormatting>
        <x14:conditionalFormatting xmlns:xm="http://schemas.microsoft.com/office/excel/2006/main">
          <x14:cfRule type="dataBar" id="{BEDB227C-77C1-4C25-B5D3-DE5722196C7C}">
            <x14:dataBar minLength="0" maxLength="100" border="1" gradient="0">
              <x14:cfvo type="num">
                <xm:f>0</xm:f>
              </x14:cfvo>
              <x14:cfvo type="num">
                <xm:f>1</xm:f>
              </x14:cfvo>
              <x14:borderColor theme="0"/>
              <x14:negativeFillColor rgb="FFFF0000"/>
              <x14:axisColor rgb="FF000000"/>
            </x14:dataBar>
          </x14:cfRule>
          <xm:sqref>Y2802 Y2804 Y2806</xm:sqref>
        </x14:conditionalFormatting>
        <x14:conditionalFormatting xmlns:xm="http://schemas.microsoft.com/office/excel/2006/main">
          <x14:cfRule type="dataBar" id="{2290C9E2-1C96-4675-BD6F-9EC3B8888CE8}">
            <x14:dataBar minLength="0" maxLength="100" border="1" gradient="0">
              <x14:cfvo type="num">
                <xm:f>0</xm:f>
              </x14:cfvo>
              <x14:cfvo type="num">
                <xm:f>1</xm:f>
              </x14:cfvo>
              <x14:borderColor theme="0"/>
              <x14:negativeFillColor rgb="FFFF0000"/>
              <x14:axisColor rgb="FF000000"/>
            </x14:dataBar>
          </x14:cfRule>
          <xm:sqref>Y2810 Y2822 Y2808</xm:sqref>
        </x14:conditionalFormatting>
        <x14:conditionalFormatting xmlns:xm="http://schemas.microsoft.com/office/excel/2006/main">
          <x14:cfRule type="dataBar" id="{A18E169D-0CC3-4FE4-B075-4BA894BF06E5}">
            <x14:dataBar minLength="0" maxLength="100" border="1" gradient="0">
              <x14:cfvo type="num">
                <xm:f>0</xm:f>
              </x14:cfvo>
              <x14:cfvo type="num">
                <xm:f>1</xm:f>
              </x14:cfvo>
              <x14:borderColor theme="0"/>
              <x14:negativeFillColor rgb="FFFF0000"/>
              <x14:axisColor rgb="FF000000"/>
            </x14:dataBar>
          </x14:cfRule>
          <xm:sqref>Y2814</xm:sqref>
        </x14:conditionalFormatting>
        <x14:conditionalFormatting xmlns:xm="http://schemas.microsoft.com/office/excel/2006/main">
          <x14:cfRule type="dataBar" id="{25A3066A-D4CE-4FF8-B047-E99A0AF359E7}">
            <x14:dataBar minLength="0" maxLength="100" border="1" gradient="0">
              <x14:cfvo type="num">
                <xm:f>0</xm:f>
              </x14:cfvo>
              <x14:cfvo type="num">
                <xm:f>1</xm:f>
              </x14:cfvo>
              <x14:borderColor theme="0"/>
              <x14:negativeFillColor rgb="FFFF0000"/>
              <x14:axisColor rgb="FF000000"/>
            </x14:dataBar>
          </x14:cfRule>
          <xm:sqref>Y2816</xm:sqref>
        </x14:conditionalFormatting>
        <x14:conditionalFormatting xmlns:xm="http://schemas.microsoft.com/office/excel/2006/main">
          <x14:cfRule type="dataBar" id="{764BF1B2-6490-4805-9BF1-560FBAA761F9}">
            <x14:dataBar minLength="0" maxLength="100" border="1" gradient="0">
              <x14:cfvo type="num">
                <xm:f>0</xm:f>
              </x14:cfvo>
              <x14:cfvo type="num">
                <xm:f>1</xm:f>
              </x14:cfvo>
              <x14:borderColor theme="0"/>
              <x14:negativeFillColor rgb="FFFF0000"/>
              <x14:axisColor rgb="FF000000"/>
            </x14:dataBar>
          </x14:cfRule>
          <xm:sqref>Y2818</xm:sqref>
        </x14:conditionalFormatting>
        <x14:conditionalFormatting xmlns:xm="http://schemas.microsoft.com/office/excel/2006/main">
          <x14:cfRule type="dataBar" id="{364F9950-060B-40AE-A13F-C725E1F33079}">
            <x14:dataBar minLength="0" maxLength="100" border="1" gradient="0">
              <x14:cfvo type="num">
                <xm:f>0</xm:f>
              </x14:cfvo>
              <x14:cfvo type="num">
                <xm:f>1</xm:f>
              </x14:cfvo>
              <x14:borderColor theme="0"/>
              <x14:negativeFillColor rgb="FFFF0000"/>
              <x14:axisColor rgb="FF000000"/>
            </x14:dataBar>
          </x14:cfRule>
          <xm:sqref>Y2820</xm:sqref>
        </x14:conditionalFormatting>
        <x14:conditionalFormatting xmlns:xm="http://schemas.microsoft.com/office/excel/2006/main">
          <x14:cfRule type="dataBar" id="{B0DA884A-68CF-44C4-AD2A-B0103A97744C}">
            <x14:dataBar minLength="0" maxLength="100" border="1" gradient="0">
              <x14:cfvo type="num">
                <xm:f>0</xm:f>
              </x14:cfvo>
              <x14:cfvo type="num">
                <xm:f>1</xm:f>
              </x14:cfvo>
              <x14:borderColor theme="0"/>
              <x14:negativeFillColor rgb="FFFF0000"/>
              <x14:axisColor rgb="FF000000"/>
            </x14:dataBar>
          </x14:cfRule>
          <xm:sqref>Y2824 Y2826 Y2828</xm:sqref>
        </x14:conditionalFormatting>
        <x14:conditionalFormatting xmlns:xm="http://schemas.microsoft.com/office/excel/2006/main">
          <x14:cfRule type="dataBar" id="{C85D7771-7ED1-4C63-B93F-28CEE0713375}">
            <x14:dataBar minLength="0" maxLength="100" border="1" gradient="0">
              <x14:cfvo type="num">
                <xm:f>0</xm:f>
              </x14:cfvo>
              <x14:cfvo type="num">
                <xm:f>1</xm:f>
              </x14:cfvo>
              <x14:borderColor theme="0"/>
              <x14:negativeFillColor rgb="FFFF0000"/>
              <x14:axisColor rgb="FF000000"/>
            </x14:dataBar>
          </x14:cfRule>
          <xm:sqref>Y2830 Y2832 Y2834</xm:sqref>
        </x14:conditionalFormatting>
        <x14:conditionalFormatting xmlns:xm="http://schemas.microsoft.com/office/excel/2006/main">
          <x14:cfRule type="dataBar" id="{FB16EF30-3CC9-4C3A-96B6-EE1E892639C3}">
            <x14:dataBar minLength="0" maxLength="100" border="1" gradient="0">
              <x14:cfvo type="num">
                <xm:f>0</xm:f>
              </x14:cfvo>
              <x14:cfvo type="num">
                <xm:f>1</xm:f>
              </x14:cfvo>
              <x14:borderColor theme="0"/>
              <x14:negativeFillColor rgb="FFFF0000"/>
              <x14:axisColor rgb="FF000000"/>
            </x14:dataBar>
          </x14:cfRule>
          <xm:sqref>Y2836 Y2838 Y2840</xm:sqref>
        </x14:conditionalFormatting>
        <x14:conditionalFormatting xmlns:xm="http://schemas.microsoft.com/office/excel/2006/main">
          <x14:cfRule type="dataBar" id="{20CCD948-4F05-4BEA-9A51-9CFDCEEAB22D}">
            <x14:dataBar minLength="0" maxLength="100" border="1" gradient="0">
              <x14:cfvo type="num">
                <xm:f>0</xm:f>
              </x14:cfvo>
              <x14:cfvo type="num">
                <xm:f>1</xm:f>
              </x14:cfvo>
              <x14:borderColor theme="0"/>
              <x14:negativeFillColor rgb="FFFF0000"/>
              <x14:axisColor rgb="FF000000"/>
            </x14:dataBar>
          </x14:cfRule>
          <xm:sqref>Y2842 Y2844 Y2846</xm:sqref>
        </x14:conditionalFormatting>
        <x14:conditionalFormatting xmlns:xm="http://schemas.microsoft.com/office/excel/2006/main">
          <x14:cfRule type="dataBar" id="{EB9868AE-1968-45A9-803A-6DCB5682224E}">
            <x14:dataBar minLength="0" maxLength="100" border="1" gradient="0">
              <x14:cfvo type="num">
                <xm:f>0</xm:f>
              </x14:cfvo>
              <x14:cfvo type="num">
                <xm:f>1</xm:f>
              </x14:cfvo>
              <x14:borderColor theme="0"/>
              <x14:negativeFillColor rgb="FFFF0000"/>
              <x14:axisColor rgb="FF000000"/>
            </x14:dataBar>
          </x14:cfRule>
          <xm:sqref>Y2848</xm:sqref>
        </x14:conditionalFormatting>
        <x14:conditionalFormatting xmlns:xm="http://schemas.microsoft.com/office/excel/2006/main">
          <x14:cfRule type="dataBar" id="{BABA4B8D-84E1-4605-825C-F83EB808641F}">
            <x14:dataBar minLength="0" maxLength="100" border="1" gradient="0">
              <x14:cfvo type="num">
                <xm:f>0</xm:f>
              </x14:cfvo>
              <x14:cfvo type="num">
                <xm:f>1</xm:f>
              </x14:cfvo>
              <x14:borderColor theme="0"/>
              <x14:negativeFillColor rgb="FFFF0000"/>
              <x14:axisColor rgb="FF000000"/>
            </x14:dataBar>
          </x14:cfRule>
          <xm:sqref>Y2852</xm:sqref>
        </x14:conditionalFormatting>
        <x14:conditionalFormatting xmlns:xm="http://schemas.microsoft.com/office/excel/2006/main">
          <x14:cfRule type="dataBar" id="{764968B3-D1D0-4A62-AA10-12F356036794}">
            <x14:dataBar minLength="0" maxLength="100" border="1" gradient="0">
              <x14:cfvo type="num">
                <xm:f>0</xm:f>
              </x14:cfvo>
              <x14:cfvo type="num">
                <xm:f>1</xm:f>
              </x14:cfvo>
              <x14:borderColor theme="0"/>
              <x14:negativeFillColor rgb="FFFF0000"/>
              <x14:axisColor rgb="FF000000"/>
            </x14:dataBar>
          </x14:cfRule>
          <xm:sqref>Y2856</xm:sqref>
        </x14:conditionalFormatting>
        <x14:conditionalFormatting xmlns:xm="http://schemas.microsoft.com/office/excel/2006/main">
          <x14:cfRule type="dataBar" id="{A466527A-307F-4B6C-B6D2-DB282F32AD04}">
            <x14:dataBar minLength="0" maxLength="100" border="1" gradient="0">
              <x14:cfvo type="num">
                <xm:f>0</xm:f>
              </x14:cfvo>
              <x14:cfvo type="num">
                <xm:f>1</xm:f>
              </x14:cfvo>
              <x14:borderColor theme="0"/>
              <x14:negativeFillColor rgb="FFFF0000"/>
              <x14:axisColor rgb="FF000000"/>
            </x14:dataBar>
          </x14:cfRule>
          <xm:sqref>Y2858</xm:sqref>
        </x14:conditionalFormatting>
        <x14:conditionalFormatting xmlns:xm="http://schemas.microsoft.com/office/excel/2006/main">
          <x14:cfRule type="dataBar" id="{2594C116-FCFD-4FB7-B2AE-8BAA18ABC7D9}">
            <x14:dataBar minLength="0" maxLength="100" border="1" gradient="0">
              <x14:cfvo type="num">
                <xm:f>0</xm:f>
              </x14:cfvo>
              <x14:cfvo type="num">
                <xm:f>1</xm:f>
              </x14:cfvo>
              <x14:borderColor theme="0"/>
              <x14:negativeFillColor rgb="FFFF0000"/>
              <x14:axisColor rgb="FF000000"/>
            </x14:dataBar>
          </x14:cfRule>
          <xm:sqref>Y2860</xm:sqref>
        </x14:conditionalFormatting>
        <x14:conditionalFormatting xmlns:xm="http://schemas.microsoft.com/office/excel/2006/main">
          <x14:cfRule type="dataBar" id="{39190256-276F-4915-9426-2AB5BEC09724}">
            <x14:dataBar minLength="0" maxLength="100" border="1" gradient="0">
              <x14:cfvo type="num">
                <xm:f>0</xm:f>
              </x14:cfvo>
              <x14:cfvo type="num">
                <xm:f>1</xm:f>
              </x14:cfvo>
              <x14:borderColor theme="0"/>
              <x14:negativeFillColor rgb="FFFF0000"/>
              <x14:axisColor rgb="FF000000"/>
            </x14:dataBar>
          </x14:cfRule>
          <xm:sqref>Y2862</xm:sqref>
        </x14:conditionalFormatting>
        <x14:conditionalFormatting xmlns:xm="http://schemas.microsoft.com/office/excel/2006/main">
          <x14:cfRule type="dataBar" id="{C45C1054-124C-4145-B5A3-A52812C79B69}">
            <x14:dataBar minLength="0" maxLength="100" border="1" gradient="0">
              <x14:cfvo type="num">
                <xm:f>0</xm:f>
              </x14:cfvo>
              <x14:cfvo type="num">
                <xm:f>1</xm:f>
              </x14:cfvo>
              <x14:borderColor theme="0"/>
              <x14:negativeFillColor rgb="FFFF0000"/>
              <x14:axisColor rgb="FF000000"/>
            </x14:dataBar>
          </x14:cfRule>
          <xm:sqref>Y2864</xm:sqref>
        </x14:conditionalFormatting>
        <x14:conditionalFormatting xmlns:xm="http://schemas.microsoft.com/office/excel/2006/main">
          <x14:cfRule type="dataBar" id="{F885F4FC-FC87-42B8-8A79-07C796983524}">
            <x14:dataBar minLength="0" maxLength="100" border="1" gradient="0">
              <x14:cfvo type="num">
                <xm:f>0</xm:f>
              </x14:cfvo>
              <x14:cfvo type="num">
                <xm:f>1</xm:f>
              </x14:cfvo>
              <x14:borderColor theme="0"/>
              <x14:negativeFillColor rgb="FFFF0000"/>
              <x14:axisColor rgb="FF000000"/>
            </x14:dataBar>
          </x14:cfRule>
          <xm:sqref>Y2866</xm:sqref>
        </x14:conditionalFormatting>
        <x14:conditionalFormatting xmlns:xm="http://schemas.microsoft.com/office/excel/2006/main">
          <x14:cfRule type="dataBar" id="{BEBA2227-8ADA-499B-ABE5-14C28E28CB60}">
            <x14:dataBar minLength="0" maxLength="100" border="1" gradient="0">
              <x14:cfvo type="num">
                <xm:f>0</xm:f>
              </x14:cfvo>
              <x14:cfvo type="num">
                <xm:f>1</xm:f>
              </x14:cfvo>
              <x14:borderColor theme="0"/>
              <x14:negativeFillColor rgb="FFFF0000"/>
              <x14:axisColor rgb="FF000000"/>
            </x14:dataBar>
          </x14:cfRule>
          <xm:sqref>Y2868</xm:sqref>
        </x14:conditionalFormatting>
        <x14:conditionalFormatting xmlns:xm="http://schemas.microsoft.com/office/excel/2006/main">
          <x14:cfRule type="dataBar" id="{CBA6ACC7-6DDF-491B-B87C-FED1A1B49B3F}">
            <x14:dataBar minLength="0" maxLength="100" border="1" gradient="0">
              <x14:cfvo type="num">
                <xm:f>0</xm:f>
              </x14:cfvo>
              <x14:cfvo type="num">
                <xm:f>1</xm:f>
              </x14:cfvo>
              <x14:borderColor theme="0"/>
              <x14:negativeFillColor rgb="FFFF0000"/>
              <x14:axisColor rgb="FF000000"/>
            </x14:dataBar>
          </x14:cfRule>
          <xm:sqref>Y2870</xm:sqref>
        </x14:conditionalFormatting>
        <x14:conditionalFormatting xmlns:xm="http://schemas.microsoft.com/office/excel/2006/main">
          <x14:cfRule type="dataBar" id="{26CD4625-49F8-46D4-A8D5-190A18B9427C}">
            <x14:dataBar minLength="0" maxLength="100" border="1" gradient="0">
              <x14:cfvo type="num">
                <xm:f>0</xm:f>
              </x14:cfvo>
              <x14:cfvo type="num">
                <xm:f>1</xm:f>
              </x14:cfvo>
              <x14:borderColor theme="0"/>
              <x14:negativeFillColor rgb="FFFF0000"/>
              <x14:axisColor rgb="FF000000"/>
            </x14:dataBar>
          </x14:cfRule>
          <xm:sqref>Y2872</xm:sqref>
        </x14:conditionalFormatting>
        <x14:conditionalFormatting xmlns:xm="http://schemas.microsoft.com/office/excel/2006/main">
          <x14:cfRule type="dataBar" id="{6F88BA30-B244-495D-AB9B-B013735AAF34}">
            <x14:dataBar minLength="0" maxLength="100" border="1" gradient="0">
              <x14:cfvo type="num">
                <xm:f>0</xm:f>
              </x14:cfvo>
              <x14:cfvo type="num">
                <xm:f>1</xm:f>
              </x14:cfvo>
              <x14:borderColor theme="0"/>
              <x14:negativeFillColor rgb="FFFF0000"/>
              <x14:axisColor rgb="FF000000"/>
            </x14:dataBar>
          </x14:cfRule>
          <xm:sqref>Y2874</xm:sqref>
        </x14:conditionalFormatting>
        <x14:conditionalFormatting xmlns:xm="http://schemas.microsoft.com/office/excel/2006/main">
          <x14:cfRule type="dataBar" id="{0FDE2D8B-EAC8-4509-A1AC-0068DEE50C47}">
            <x14:dataBar minLength="0" maxLength="100" border="1" gradient="0">
              <x14:cfvo type="num">
                <xm:f>0</xm:f>
              </x14:cfvo>
              <x14:cfvo type="num">
                <xm:f>1</xm:f>
              </x14:cfvo>
              <x14:borderColor theme="0"/>
              <x14:negativeFillColor rgb="FFFF0000"/>
              <x14:axisColor rgb="FF000000"/>
            </x14:dataBar>
          </x14:cfRule>
          <xm:sqref>Y2876</xm:sqref>
        </x14:conditionalFormatting>
        <x14:conditionalFormatting xmlns:xm="http://schemas.microsoft.com/office/excel/2006/main">
          <x14:cfRule type="dataBar" id="{146B34B1-E896-4097-95AF-9276463E75D3}">
            <x14:dataBar minLength="0" maxLength="100" border="1" gradient="0">
              <x14:cfvo type="num">
                <xm:f>0</xm:f>
              </x14:cfvo>
              <x14:cfvo type="num">
                <xm:f>1</xm:f>
              </x14:cfvo>
              <x14:borderColor theme="0"/>
              <x14:negativeFillColor rgb="FFFF0000"/>
              <x14:axisColor rgb="FF000000"/>
            </x14:dataBar>
          </x14:cfRule>
          <xm:sqref>Y2878</xm:sqref>
        </x14:conditionalFormatting>
        <x14:conditionalFormatting xmlns:xm="http://schemas.microsoft.com/office/excel/2006/main">
          <x14:cfRule type="dataBar" id="{CC8F84E1-37F7-4D82-A272-B1D5504B7E34}">
            <x14:dataBar minLength="0" maxLength="100" border="1" gradient="0">
              <x14:cfvo type="num">
                <xm:f>0</xm:f>
              </x14:cfvo>
              <x14:cfvo type="num">
                <xm:f>1</xm:f>
              </x14:cfvo>
              <x14:borderColor theme="0"/>
              <x14:negativeFillColor rgb="FFFF0000"/>
              <x14:axisColor rgb="FF000000"/>
            </x14:dataBar>
          </x14:cfRule>
          <xm:sqref>Y2880</xm:sqref>
        </x14:conditionalFormatting>
        <x14:conditionalFormatting xmlns:xm="http://schemas.microsoft.com/office/excel/2006/main">
          <x14:cfRule type="dataBar" id="{D8A9EDA6-0FB5-43A5-9FE6-64FD39DE7B2C}">
            <x14:dataBar minLength="0" maxLength="100" border="1" gradient="0">
              <x14:cfvo type="num">
                <xm:f>0</xm:f>
              </x14:cfvo>
              <x14:cfvo type="num">
                <xm:f>1</xm:f>
              </x14:cfvo>
              <x14:borderColor theme="0"/>
              <x14:negativeFillColor rgb="FFFF0000"/>
              <x14:axisColor rgb="FF000000"/>
            </x14:dataBar>
          </x14:cfRule>
          <xm:sqref>Y2882</xm:sqref>
        </x14:conditionalFormatting>
        <x14:conditionalFormatting xmlns:xm="http://schemas.microsoft.com/office/excel/2006/main">
          <x14:cfRule type="dataBar" id="{42ED68E3-340A-4E88-BEE3-315F63D28B0C}">
            <x14:dataBar minLength="0" maxLength="100" border="1" gradient="0">
              <x14:cfvo type="num">
                <xm:f>0</xm:f>
              </x14:cfvo>
              <x14:cfvo type="num">
                <xm:f>1</xm:f>
              </x14:cfvo>
              <x14:borderColor theme="0"/>
              <x14:negativeFillColor rgb="FFFF0000"/>
              <x14:axisColor rgb="FF000000"/>
            </x14:dataBar>
          </x14:cfRule>
          <xm:sqref>Y2884</xm:sqref>
        </x14:conditionalFormatting>
        <x14:conditionalFormatting xmlns:xm="http://schemas.microsoft.com/office/excel/2006/main">
          <x14:cfRule type="dataBar" id="{3E883F55-43DB-434C-8FD8-7ECB30E0DC11}">
            <x14:dataBar minLength="0" maxLength="100" border="1" gradient="0">
              <x14:cfvo type="num">
                <xm:f>0</xm:f>
              </x14:cfvo>
              <x14:cfvo type="num">
                <xm:f>1</xm:f>
              </x14:cfvo>
              <x14:borderColor theme="0"/>
              <x14:negativeFillColor rgb="FFFF0000"/>
              <x14:axisColor rgb="FF000000"/>
            </x14:dataBar>
          </x14:cfRule>
          <xm:sqref>Y2886</xm:sqref>
        </x14:conditionalFormatting>
        <x14:conditionalFormatting xmlns:xm="http://schemas.microsoft.com/office/excel/2006/main">
          <x14:cfRule type="dataBar" id="{9485DFBB-8F6D-4EB2-8968-AD22167ECB8C}">
            <x14:dataBar minLength="0" maxLength="100" border="1" gradient="0">
              <x14:cfvo type="num">
                <xm:f>0</xm:f>
              </x14:cfvo>
              <x14:cfvo type="num">
                <xm:f>1</xm:f>
              </x14:cfvo>
              <x14:borderColor theme="0"/>
              <x14:negativeFillColor rgb="FFFF0000"/>
              <x14:axisColor rgb="FF000000"/>
            </x14:dataBar>
          </x14:cfRule>
          <xm:sqref>Y2888</xm:sqref>
        </x14:conditionalFormatting>
        <x14:conditionalFormatting xmlns:xm="http://schemas.microsoft.com/office/excel/2006/main">
          <x14:cfRule type="dataBar" id="{2FE89998-ACA1-4AA0-B4B7-35426A1947A4}">
            <x14:dataBar minLength="0" maxLength="100" border="1" gradient="0">
              <x14:cfvo type="num">
                <xm:f>0</xm:f>
              </x14:cfvo>
              <x14:cfvo type="num">
                <xm:f>1</xm:f>
              </x14:cfvo>
              <x14:borderColor theme="0"/>
              <x14:negativeFillColor rgb="FFFF0000"/>
              <x14:axisColor rgb="FF000000"/>
            </x14:dataBar>
          </x14:cfRule>
          <xm:sqref>Y2890</xm:sqref>
        </x14:conditionalFormatting>
        <x14:conditionalFormatting xmlns:xm="http://schemas.microsoft.com/office/excel/2006/main">
          <x14:cfRule type="dataBar" id="{DC802E45-0F82-4DE0-9754-67229FFD094B}">
            <x14:dataBar minLength="0" maxLength="100" border="1" gradient="0">
              <x14:cfvo type="num">
                <xm:f>0</xm:f>
              </x14:cfvo>
              <x14:cfvo type="num">
                <xm:f>1</xm:f>
              </x14:cfvo>
              <x14:borderColor theme="0"/>
              <x14:negativeFillColor rgb="FFFF0000"/>
              <x14:axisColor rgb="FF000000"/>
            </x14:dataBar>
          </x14:cfRule>
          <xm:sqref>Y2892</xm:sqref>
        </x14:conditionalFormatting>
        <x14:conditionalFormatting xmlns:xm="http://schemas.microsoft.com/office/excel/2006/main">
          <x14:cfRule type="dataBar" id="{5AEAAF64-589F-4FFE-BCAB-3DFCD35213F0}">
            <x14:dataBar minLength="0" maxLength="100" border="1" gradient="0">
              <x14:cfvo type="num">
                <xm:f>0</xm:f>
              </x14:cfvo>
              <x14:cfvo type="num">
                <xm:f>1</xm:f>
              </x14:cfvo>
              <x14:borderColor theme="0"/>
              <x14:negativeFillColor rgb="FFFF0000"/>
              <x14:axisColor rgb="FF000000"/>
            </x14:dataBar>
          </x14:cfRule>
          <xm:sqref>Y2894</xm:sqref>
        </x14:conditionalFormatting>
        <x14:conditionalFormatting xmlns:xm="http://schemas.microsoft.com/office/excel/2006/main">
          <x14:cfRule type="dataBar" id="{980FD263-DC5A-48D0-9FE0-E5FDDD565888}">
            <x14:dataBar minLength="0" maxLength="100" border="1" gradient="0">
              <x14:cfvo type="num">
                <xm:f>0</xm:f>
              </x14:cfvo>
              <x14:cfvo type="num">
                <xm:f>1</xm:f>
              </x14:cfvo>
              <x14:borderColor theme="0"/>
              <x14:negativeFillColor rgb="FFFF0000"/>
              <x14:axisColor rgb="FF000000"/>
            </x14:dataBar>
          </x14:cfRule>
          <xm:sqref>Y2896</xm:sqref>
        </x14:conditionalFormatting>
        <x14:conditionalFormatting xmlns:xm="http://schemas.microsoft.com/office/excel/2006/main">
          <x14:cfRule type="dataBar" id="{B8C84FE2-A020-4B1F-B5AA-C675AA02C7FF}">
            <x14:dataBar minLength="0" maxLength="100" border="1" gradient="0">
              <x14:cfvo type="num">
                <xm:f>0</xm:f>
              </x14:cfvo>
              <x14:cfvo type="num">
                <xm:f>1</xm:f>
              </x14:cfvo>
              <x14:borderColor theme="0"/>
              <x14:negativeFillColor rgb="FFFF0000"/>
              <x14:axisColor rgb="FF000000"/>
            </x14:dataBar>
          </x14:cfRule>
          <xm:sqref>Y2898</xm:sqref>
        </x14:conditionalFormatting>
        <x14:conditionalFormatting xmlns:xm="http://schemas.microsoft.com/office/excel/2006/main">
          <x14:cfRule type="dataBar" id="{18BB6504-4E14-4722-9241-BC00CCB708E4}">
            <x14:dataBar minLength="0" maxLength="100" border="1" gradient="0">
              <x14:cfvo type="num">
                <xm:f>0</xm:f>
              </x14:cfvo>
              <x14:cfvo type="num">
                <xm:f>1</xm:f>
              </x14:cfvo>
              <x14:borderColor theme="0"/>
              <x14:negativeFillColor rgb="FFFF0000"/>
              <x14:axisColor rgb="FF000000"/>
            </x14:dataBar>
          </x14:cfRule>
          <xm:sqref>Y2900</xm:sqref>
        </x14:conditionalFormatting>
        <x14:conditionalFormatting xmlns:xm="http://schemas.microsoft.com/office/excel/2006/main">
          <x14:cfRule type="dataBar" id="{18172192-D69B-47D4-8A14-1A09F59B6DB9}">
            <x14:dataBar minLength="0" maxLength="100" border="1" gradient="0">
              <x14:cfvo type="num">
                <xm:f>0</xm:f>
              </x14:cfvo>
              <x14:cfvo type="num">
                <xm:f>1</xm:f>
              </x14:cfvo>
              <x14:borderColor theme="0"/>
              <x14:negativeFillColor rgb="FFFF0000"/>
              <x14:axisColor rgb="FF000000"/>
            </x14:dataBar>
          </x14:cfRule>
          <xm:sqref>Y2902</xm:sqref>
        </x14:conditionalFormatting>
        <x14:conditionalFormatting xmlns:xm="http://schemas.microsoft.com/office/excel/2006/main">
          <x14:cfRule type="dataBar" id="{76CCD927-467C-4BDE-B649-3A24EFED5376}">
            <x14:dataBar minLength="0" maxLength="100" border="1" gradient="0">
              <x14:cfvo type="num">
                <xm:f>0</xm:f>
              </x14:cfvo>
              <x14:cfvo type="num">
                <xm:f>1</xm:f>
              </x14:cfvo>
              <x14:borderColor theme="0"/>
              <x14:negativeFillColor rgb="FFFF0000"/>
              <x14:axisColor rgb="FF000000"/>
            </x14:dataBar>
          </x14:cfRule>
          <xm:sqref>Y2904</xm:sqref>
        </x14:conditionalFormatting>
        <x14:conditionalFormatting xmlns:xm="http://schemas.microsoft.com/office/excel/2006/main">
          <x14:cfRule type="dataBar" id="{3BAF916F-5F9F-442B-A013-1BC60CBD124D}">
            <x14:dataBar minLength="0" maxLength="100" border="1" gradient="0">
              <x14:cfvo type="num">
                <xm:f>0</xm:f>
              </x14:cfvo>
              <x14:cfvo type="num">
                <xm:f>1</xm:f>
              </x14:cfvo>
              <x14:borderColor theme="0"/>
              <x14:negativeFillColor rgb="FFFF0000"/>
              <x14:axisColor rgb="FF000000"/>
            </x14:dataBar>
          </x14:cfRule>
          <xm:sqref>Y2906</xm:sqref>
        </x14:conditionalFormatting>
        <x14:conditionalFormatting xmlns:xm="http://schemas.microsoft.com/office/excel/2006/main">
          <x14:cfRule type="dataBar" id="{44EFAFFB-938E-4707-A12B-90FCE75D0B41}">
            <x14:dataBar minLength="0" maxLength="100" border="1" gradient="0">
              <x14:cfvo type="num">
                <xm:f>0</xm:f>
              </x14:cfvo>
              <x14:cfvo type="num">
                <xm:f>1</xm:f>
              </x14:cfvo>
              <x14:borderColor theme="0"/>
              <x14:negativeFillColor rgb="FFFF0000"/>
              <x14:axisColor rgb="FF000000"/>
            </x14:dataBar>
          </x14:cfRule>
          <xm:sqref>Y2908</xm:sqref>
        </x14:conditionalFormatting>
        <x14:conditionalFormatting xmlns:xm="http://schemas.microsoft.com/office/excel/2006/main">
          <x14:cfRule type="dataBar" id="{51EF1922-ED75-489C-9DCF-E46E9D33C8B7}">
            <x14:dataBar minLength="0" maxLength="100" border="1" gradient="0">
              <x14:cfvo type="num">
                <xm:f>0</xm:f>
              </x14:cfvo>
              <x14:cfvo type="num">
                <xm:f>1</xm:f>
              </x14:cfvo>
              <x14:borderColor theme="0"/>
              <x14:negativeFillColor rgb="FFFF0000"/>
              <x14:axisColor rgb="FF000000"/>
            </x14:dataBar>
          </x14:cfRule>
          <xm:sqref>Y2910</xm:sqref>
        </x14:conditionalFormatting>
        <x14:conditionalFormatting xmlns:xm="http://schemas.microsoft.com/office/excel/2006/main">
          <x14:cfRule type="dataBar" id="{B1069C40-4657-41E9-BBD8-9E68455D58A1}">
            <x14:dataBar minLength="0" maxLength="100" border="1" gradient="0">
              <x14:cfvo type="num">
                <xm:f>0</xm:f>
              </x14:cfvo>
              <x14:cfvo type="num">
                <xm:f>1</xm:f>
              </x14:cfvo>
              <x14:borderColor theme="0"/>
              <x14:negativeFillColor rgb="FFFF0000"/>
              <x14:axisColor rgb="FF000000"/>
            </x14:dataBar>
          </x14:cfRule>
          <xm:sqref>Y2912</xm:sqref>
        </x14:conditionalFormatting>
        <x14:conditionalFormatting xmlns:xm="http://schemas.microsoft.com/office/excel/2006/main">
          <x14:cfRule type="dataBar" id="{B74677CF-1F68-4DF2-BFE9-73A269CA0E29}">
            <x14:dataBar minLength="0" maxLength="100" border="1" gradient="0">
              <x14:cfvo type="num">
                <xm:f>0</xm:f>
              </x14:cfvo>
              <x14:cfvo type="num">
                <xm:f>1</xm:f>
              </x14:cfvo>
              <x14:borderColor theme="0"/>
              <x14:negativeFillColor rgb="FFFF0000"/>
              <x14:axisColor rgb="FF000000"/>
            </x14:dataBar>
          </x14:cfRule>
          <xm:sqref>Y2914</xm:sqref>
        </x14:conditionalFormatting>
        <x14:conditionalFormatting xmlns:xm="http://schemas.microsoft.com/office/excel/2006/main">
          <x14:cfRule type="dataBar" id="{139D860E-2397-43AD-9F19-CEF846CBA024}">
            <x14:dataBar minLength="0" maxLength="100" border="1" gradient="0">
              <x14:cfvo type="num">
                <xm:f>0</xm:f>
              </x14:cfvo>
              <x14:cfvo type="num">
                <xm:f>1</xm:f>
              </x14:cfvo>
              <x14:borderColor theme="0"/>
              <x14:negativeFillColor rgb="FFFF0000"/>
              <x14:axisColor rgb="FF000000"/>
            </x14:dataBar>
          </x14:cfRule>
          <xm:sqref>Y2916</xm:sqref>
        </x14:conditionalFormatting>
        <x14:conditionalFormatting xmlns:xm="http://schemas.microsoft.com/office/excel/2006/main">
          <x14:cfRule type="dataBar" id="{D317F304-3E6F-43D4-B76E-0910109DAC8B}">
            <x14:dataBar minLength="0" maxLength="100" border="1" gradient="0">
              <x14:cfvo type="num">
                <xm:f>0</xm:f>
              </x14:cfvo>
              <x14:cfvo type="num">
                <xm:f>1</xm:f>
              </x14:cfvo>
              <x14:borderColor theme="0"/>
              <x14:negativeFillColor rgb="FFFF0000"/>
              <x14:axisColor rgb="FF000000"/>
            </x14:dataBar>
          </x14:cfRule>
          <xm:sqref>Y2918</xm:sqref>
        </x14:conditionalFormatting>
        <x14:conditionalFormatting xmlns:xm="http://schemas.microsoft.com/office/excel/2006/main">
          <x14:cfRule type="dataBar" id="{A4DA7F87-FE1A-49F2-A3C3-15D2ACE1A71C}">
            <x14:dataBar minLength="0" maxLength="100" border="1" gradient="0">
              <x14:cfvo type="num">
                <xm:f>0</xm:f>
              </x14:cfvo>
              <x14:cfvo type="num">
                <xm:f>1</xm:f>
              </x14:cfvo>
              <x14:borderColor theme="0"/>
              <x14:negativeFillColor rgb="FFFF0000"/>
              <x14:axisColor rgb="FF000000"/>
            </x14:dataBar>
          </x14:cfRule>
          <xm:sqref>Y2920</xm:sqref>
        </x14:conditionalFormatting>
        <x14:conditionalFormatting xmlns:xm="http://schemas.microsoft.com/office/excel/2006/main">
          <x14:cfRule type="dataBar" id="{6ABDAF8C-32BF-4E2F-892F-B32ECAB3CFFB}">
            <x14:dataBar minLength="0" maxLength="100" border="1" gradient="0">
              <x14:cfvo type="num">
                <xm:f>0</xm:f>
              </x14:cfvo>
              <x14:cfvo type="num">
                <xm:f>1</xm:f>
              </x14:cfvo>
              <x14:borderColor theme="0"/>
              <x14:negativeFillColor rgb="FFFF0000"/>
              <x14:axisColor rgb="FF000000"/>
            </x14:dataBar>
          </x14:cfRule>
          <xm:sqref>Y2922</xm:sqref>
        </x14:conditionalFormatting>
        <x14:conditionalFormatting xmlns:xm="http://schemas.microsoft.com/office/excel/2006/main">
          <x14:cfRule type="dataBar" id="{CB9B4BB9-C9F8-42CC-A5BC-9178B5C757C9}">
            <x14:dataBar minLength="0" maxLength="100" border="1" gradient="0">
              <x14:cfvo type="num">
                <xm:f>0</xm:f>
              </x14:cfvo>
              <x14:cfvo type="num">
                <xm:f>1</xm:f>
              </x14:cfvo>
              <x14:borderColor theme="0"/>
              <x14:negativeFillColor rgb="FFFF0000"/>
              <x14:axisColor rgb="FF000000"/>
            </x14:dataBar>
          </x14:cfRule>
          <xm:sqref>Y2924</xm:sqref>
        </x14:conditionalFormatting>
        <x14:conditionalFormatting xmlns:xm="http://schemas.microsoft.com/office/excel/2006/main">
          <x14:cfRule type="dataBar" id="{BFB9EDAE-3A00-4537-B190-8D6ED2D55719}">
            <x14:dataBar minLength="0" maxLength="100" border="1" gradient="0">
              <x14:cfvo type="num">
                <xm:f>0</xm:f>
              </x14:cfvo>
              <x14:cfvo type="num">
                <xm:f>1</xm:f>
              </x14:cfvo>
              <x14:borderColor theme="0"/>
              <x14:negativeFillColor rgb="FFFF0000"/>
              <x14:axisColor rgb="FF000000"/>
            </x14:dataBar>
          </x14:cfRule>
          <xm:sqref>Y2926</xm:sqref>
        </x14:conditionalFormatting>
        <x14:conditionalFormatting xmlns:xm="http://schemas.microsoft.com/office/excel/2006/main">
          <x14:cfRule type="dataBar" id="{1E547CB1-D0D1-4EFC-90A4-FA3938A02F2F}">
            <x14:dataBar minLength="0" maxLength="100" border="1" gradient="0">
              <x14:cfvo type="num">
                <xm:f>0</xm:f>
              </x14:cfvo>
              <x14:cfvo type="num">
                <xm:f>1</xm:f>
              </x14:cfvo>
              <x14:borderColor theme="0"/>
              <x14:negativeFillColor rgb="FFFF0000"/>
              <x14:axisColor rgb="FF000000"/>
            </x14:dataBar>
          </x14:cfRule>
          <xm:sqref>Y2928</xm:sqref>
        </x14:conditionalFormatting>
        <x14:conditionalFormatting xmlns:xm="http://schemas.microsoft.com/office/excel/2006/main">
          <x14:cfRule type="dataBar" id="{0A489D51-8CBC-4367-AB4C-9473D39D0A76}">
            <x14:dataBar minLength="0" maxLength="100" border="1" gradient="0">
              <x14:cfvo type="num">
                <xm:f>0</xm:f>
              </x14:cfvo>
              <x14:cfvo type="num">
                <xm:f>1</xm:f>
              </x14:cfvo>
              <x14:borderColor theme="0"/>
              <x14:negativeFillColor rgb="FFFF0000"/>
              <x14:axisColor rgb="FF000000"/>
            </x14:dataBar>
          </x14:cfRule>
          <xm:sqref>Y2930</xm:sqref>
        </x14:conditionalFormatting>
        <x14:conditionalFormatting xmlns:xm="http://schemas.microsoft.com/office/excel/2006/main">
          <x14:cfRule type="dataBar" id="{3974A6F0-08B0-4572-925C-F5C18161E5FF}">
            <x14:dataBar minLength="0" maxLength="100" border="1" gradient="0">
              <x14:cfvo type="num">
                <xm:f>0</xm:f>
              </x14:cfvo>
              <x14:cfvo type="num">
                <xm:f>1</xm:f>
              </x14:cfvo>
              <x14:borderColor theme="0"/>
              <x14:negativeFillColor rgb="FFFF0000"/>
              <x14:axisColor rgb="FF000000"/>
            </x14:dataBar>
          </x14:cfRule>
          <xm:sqref>Y2932</xm:sqref>
        </x14:conditionalFormatting>
        <x14:conditionalFormatting xmlns:xm="http://schemas.microsoft.com/office/excel/2006/main">
          <x14:cfRule type="dataBar" id="{A9342FF1-1A35-4081-954E-A0D3EC7A22E7}">
            <x14:dataBar minLength="0" maxLength="100" border="1" gradient="0">
              <x14:cfvo type="num">
                <xm:f>0</xm:f>
              </x14:cfvo>
              <x14:cfvo type="num">
                <xm:f>1</xm:f>
              </x14:cfvo>
              <x14:borderColor theme="0"/>
              <x14:negativeFillColor rgb="FFFF0000"/>
              <x14:axisColor rgb="FF000000"/>
            </x14:dataBar>
          </x14:cfRule>
          <xm:sqref>Y2934</xm:sqref>
        </x14:conditionalFormatting>
        <x14:conditionalFormatting xmlns:xm="http://schemas.microsoft.com/office/excel/2006/main">
          <x14:cfRule type="dataBar" id="{37DAE763-7241-4EED-8D11-636533C39FC3}">
            <x14:dataBar minLength="0" maxLength="100" border="1" gradient="0">
              <x14:cfvo type="num">
                <xm:f>0</xm:f>
              </x14:cfvo>
              <x14:cfvo type="num">
                <xm:f>1</xm:f>
              </x14:cfvo>
              <x14:borderColor theme="0"/>
              <x14:negativeFillColor rgb="FFFF0000"/>
              <x14:axisColor rgb="FF000000"/>
            </x14:dataBar>
          </x14:cfRule>
          <xm:sqref>Y2936</xm:sqref>
        </x14:conditionalFormatting>
        <x14:conditionalFormatting xmlns:xm="http://schemas.microsoft.com/office/excel/2006/main">
          <x14:cfRule type="dataBar" id="{9D4C5D66-910F-4F4A-8085-B4A6A26B8007}">
            <x14:dataBar minLength="0" maxLength="100" border="1" gradient="0">
              <x14:cfvo type="num">
                <xm:f>0</xm:f>
              </x14:cfvo>
              <x14:cfvo type="num">
                <xm:f>1</xm:f>
              </x14:cfvo>
              <x14:borderColor theme="0"/>
              <x14:negativeFillColor rgb="FFFF0000"/>
              <x14:axisColor rgb="FF000000"/>
            </x14:dataBar>
          </x14:cfRule>
          <xm:sqref>Y2938</xm:sqref>
        </x14:conditionalFormatting>
        <x14:conditionalFormatting xmlns:xm="http://schemas.microsoft.com/office/excel/2006/main">
          <x14:cfRule type="dataBar" id="{21502391-68E8-4FA3-B686-19BE983A6BD3}">
            <x14:dataBar minLength="0" maxLength="100" border="1" gradient="0">
              <x14:cfvo type="num">
                <xm:f>0</xm:f>
              </x14:cfvo>
              <x14:cfvo type="num">
                <xm:f>1</xm:f>
              </x14:cfvo>
              <x14:borderColor theme="0"/>
              <x14:negativeFillColor rgb="FFFF0000"/>
              <x14:axisColor rgb="FF000000"/>
            </x14:dataBar>
          </x14:cfRule>
          <xm:sqref>Y2940</xm:sqref>
        </x14:conditionalFormatting>
        <x14:conditionalFormatting xmlns:xm="http://schemas.microsoft.com/office/excel/2006/main">
          <x14:cfRule type="dataBar" id="{EB5E4F22-E7A0-43CC-9809-DED252D68AFA}">
            <x14:dataBar minLength="0" maxLength="100" border="1" gradient="0">
              <x14:cfvo type="num">
                <xm:f>0</xm:f>
              </x14:cfvo>
              <x14:cfvo type="num">
                <xm:f>1</xm:f>
              </x14:cfvo>
              <x14:borderColor theme="0"/>
              <x14:negativeFillColor rgb="FFFF0000"/>
              <x14:axisColor rgb="FF000000"/>
            </x14:dataBar>
          </x14:cfRule>
          <xm:sqref>Y2942</xm:sqref>
        </x14:conditionalFormatting>
        <x14:conditionalFormatting xmlns:xm="http://schemas.microsoft.com/office/excel/2006/main">
          <x14:cfRule type="dataBar" id="{D37DAA67-E357-432C-A3AE-CD7A7F206C02}">
            <x14:dataBar minLength="0" maxLength="100" border="1" gradient="0">
              <x14:cfvo type="num">
                <xm:f>0</xm:f>
              </x14:cfvo>
              <x14:cfvo type="num">
                <xm:f>1</xm:f>
              </x14:cfvo>
              <x14:borderColor theme="0"/>
              <x14:negativeFillColor rgb="FFFF0000"/>
              <x14:axisColor rgb="FF000000"/>
            </x14:dataBar>
          </x14:cfRule>
          <xm:sqref>Y2944</xm:sqref>
        </x14:conditionalFormatting>
        <x14:conditionalFormatting xmlns:xm="http://schemas.microsoft.com/office/excel/2006/main">
          <x14:cfRule type="dataBar" id="{7AB175DA-28CB-4C99-89F4-79A32EFC1232}">
            <x14:dataBar minLength="0" maxLength="100" border="1" gradient="0">
              <x14:cfvo type="num">
                <xm:f>0</xm:f>
              </x14:cfvo>
              <x14:cfvo type="num">
                <xm:f>1</xm:f>
              </x14:cfvo>
              <x14:borderColor theme="0"/>
              <x14:negativeFillColor rgb="FFFF0000"/>
              <x14:axisColor rgb="FF000000"/>
            </x14:dataBar>
          </x14:cfRule>
          <xm:sqref>Y2946</xm:sqref>
        </x14:conditionalFormatting>
        <x14:conditionalFormatting xmlns:xm="http://schemas.microsoft.com/office/excel/2006/main">
          <x14:cfRule type="dataBar" id="{A6B5D8CE-8EEF-41D4-BD33-C1068503D0AD}">
            <x14:dataBar minLength="0" maxLength="100" border="1" gradient="0">
              <x14:cfvo type="num">
                <xm:f>0</xm:f>
              </x14:cfvo>
              <x14:cfvo type="num">
                <xm:f>1</xm:f>
              </x14:cfvo>
              <x14:borderColor theme="0"/>
              <x14:negativeFillColor rgb="FFFF0000"/>
              <x14:axisColor rgb="FF000000"/>
            </x14:dataBar>
          </x14:cfRule>
          <xm:sqref>Y2948</xm:sqref>
        </x14:conditionalFormatting>
        <x14:conditionalFormatting xmlns:xm="http://schemas.microsoft.com/office/excel/2006/main">
          <x14:cfRule type="dataBar" id="{81C0A303-E268-4EBC-9B44-29A5E5D852C3}">
            <x14:dataBar minLength="0" maxLength="100" border="1" gradient="0">
              <x14:cfvo type="num">
                <xm:f>0</xm:f>
              </x14:cfvo>
              <x14:cfvo type="num">
                <xm:f>1</xm:f>
              </x14:cfvo>
              <x14:borderColor theme="0"/>
              <x14:negativeFillColor rgb="FFFF0000"/>
              <x14:axisColor rgb="FF000000"/>
            </x14:dataBar>
          </x14:cfRule>
          <xm:sqref>Y2950</xm:sqref>
        </x14:conditionalFormatting>
        <x14:conditionalFormatting xmlns:xm="http://schemas.microsoft.com/office/excel/2006/main">
          <x14:cfRule type="dataBar" id="{8113333B-0609-4D5E-9D81-598114AFFF3C}">
            <x14:dataBar minLength="0" maxLength="100" border="1" gradient="0">
              <x14:cfvo type="num">
                <xm:f>0</xm:f>
              </x14:cfvo>
              <x14:cfvo type="num">
                <xm:f>1</xm:f>
              </x14:cfvo>
              <x14:borderColor theme="0"/>
              <x14:negativeFillColor rgb="FFFF0000"/>
              <x14:axisColor rgb="FF000000"/>
            </x14:dataBar>
          </x14:cfRule>
          <xm:sqref>Y2952</xm:sqref>
        </x14:conditionalFormatting>
        <x14:conditionalFormatting xmlns:xm="http://schemas.microsoft.com/office/excel/2006/main">
          <x14:cfRule type="dataBar" id="{272C7B52-BF9B-4FD2-BBBE-D9E5F0DE6B63}">
            <x14:dataBar minLength="0" maxLength="100" border="1" gradient="0">
              <x14:cfvo type="num">
                <xm:f>0</xm:f>
              </x14:cfvo>
              <x14:cfvo type="num">
                <xm:f>1</xm:f>
              </x14:cfvo>
              <x14:borderColor theme="0"/>
              <x14:negativeFillColor rgb="FFFF0000"/>
              <x14:axisColor rgb="FF000000"/>
            </x14:dataBar>
          </x14:cfRule>
          <xm:sqref>Y2954</xm:sqref>
        </x14:conditionalFormatting>
        <x14:conditionalFormatting xmlns:xm="http://schemas.microsoft.com/office/excel/2006/main">
          <x14:cfRule type="dataBar" id="{95C7236C-C7D7-4F0A-B8C3-78A49DF7D692}">
            <x14:dataBar minLength="0" maxLength="100" border="1" gradient="0">
              <x14:cfvo type="num">
                <xm:f>0</xm:f>
              </x14:cfvo>
              <x14:cfvo type="num">
                <xm:f>1</xm:f>
              </x14:cfvo>
              <x14:borderColor theme="0"/>
              <x14:negativeFillColor rgb="FFFF0000"/>
              <x14:axisColor rgb="FF000000"/>
            </x14:dataBar>
          </x14:cfRule>
          <xm:sqref>Y2956</xm:sqref>
        </x14:conditionalFormatting>
        <x14:conditionalFormatting xmlns:xm="http://schemas.microsoft.com/office/excel/2006/main">
          <x14:cfRule type="dataBar" id="{60E91061-2D46-420C-BE46-E3616284195D}">
            <x14:dataBar minLength="0" maxLength="100" border="1" gradient="0">
              <x14:cfvo type="num">
                <xm:f>0</xm:f>
              </x14:cfvo>
              <x14:cfvo type="num">
                <xm:f>1</xm:f>
              </x14:cfvo>
              <x14:borderColor theme="0"/>
              <x14:negativeFillColor rgb="FFFF0000"/>
              <x14:axisColor rgb="FF000000"/>
            </x14:dataBar>
          </x14:cfRule>
          <xm:sqref>Y2960</xm:sqref>
        </x14:conditionalFormatting>
        <x14:conditionalFormatting xmlns:xm="http://schemas.microsoft.com/office/excel/2006/main">
          <x14:cfRule type="dataBar" id="{16B529A0-E824-4575-9C7F-869E16A3CEC8}">
            <x14:dataBar minLength="0" maxLength="100" border="1" gradient="0">
              <x14:cfvo type="num">
                <xm:f>0</xm:f>
              </x14:cfvo>
              <x14:cfvo type="num">
                <xm:f>1</xm:f>
              </x14:cfvo>
              <x14:borderColor theme="0"/>
              <x14:negativeFillColor rgb="FFFF0000"/>
              <x14:axisColor rgb="FF000000"/>
            </x14:dataBar>
          </x14:cfRule>
          <xm:sqref>Y2962 Y2964 Y2966 Y2968</xm:sqref>
        </x14:conditionalFormatting>
        <x14:conditionalFormatting xmlns:xm="http://schemas.microsoft.com/office/excel/2006/main">
          <x14:cfRule type="dataBar" id="{E868510D-7B5A-4D5E-B262-C91E54C3AE45}">
            <x14:dataBar minLength="0" maxLength="100" border="1" gradient="0">
              <x14:cfvo type="num">
                <xm:f>0</xm:f>
              </x14:cfvo>
              <x14:cfvo type="num">
                <xm:f>1</xm:f>
              </x14:cfvo>
              <x14:borderColor theme="0"/>
              <x14:negativeFillColor rgb="FFFF0000"/>
              <x14:axisColor rgb="FF000000"/>
            </x14:dataBar>
          </x14:cfRule>
          <xm:sqref>Y2970 Y2972 Y2974 Y2976</xm:sqref>
        </x14:conditionalFormatting>
        <x14:conditionalFormatting xmlns:xm="http://schemas.microsoft.com/office/excel/2006/main">
          <x14:cfRule type="dataBar" id="{25041B70-16D6-4307-BB5F-C4211869D86F}">
            <x14:dataBar minLength="0" maxLength="100" border="1" gradient="0">
              <x14:cfvo type="num">
                <xm:f>0</xm:f>
              </x14:cfvo>
              <x14:cfvo type="num">
                <xm:f>1</xm:f>
              </x14:cfvo>
              <x14:borderColor theme="0"/>
              <x14:negativeFillColor rgb="FFFF0000"/>
              <x14:axisColor rgb="FF000000"/>
            </x14:dataBar>
          </x14:cfRule>
          <xm:sqref>Y2978 Y2980 Y2982 Y2984</xm:sqref>
        </x14:conditionalFormatting>
        <x14:conditionalFormatting xmlns:xm="http://schemas.microsoft.com/office/excel/2006/main">
          <x14:cfRule type="dataBar" id="{A4CD3A6C-06EB-48AE-BFD1-E41310A4C23E}">
            <x14:dataBar minLength="0" maxLength="100" border="1" gradient="0">
              <x14:cfvo type="num">
                <xm:f>0</xm:f>
              </x14:cfvo>
              <x14:cfvo type="num">
                <xm:f>1</xm:f>
              </x14:cfvo>
              <x14:borderColor theme="0"/>
              <x14:negativeFillColor rgb="FFFF0000"/>
              <x14:axisColor rgb="FF000000"/>
            </x14:dataBar>
          </x14:cfRule>
          <xm:sqref>Y2986 Y2988 Y2990 Y2992</xm:sqref>
        </x14:conditionalFormatting>
        <x14:conditionalFormatting xmlns:xm="http://schemas.microsoft.com/office/excel/2006/main">
          <x14:cfRule type="dataBar" id="{4460E4C7-39BA-4877-9208-C5330E13BD2F}">
            <x14:dataBar minLength="0" maxLength="100" border="1" gradient="0">
              <x14:cfvo type="num">
                <xm:f>0</xm:f>
              </x14:cfvo>
              <x14:cfvo type="num">
                <xm:f>1</xm:f>
              </x14:cfvo>
              <x14:borderColor theme="0"/>
              <x14:negativeFillColor rgb="FFFF0000"/>
              <x14:axisColor rgb="FF000000"/>
            </x14:dataBar>
          </x14:cfRule>
          <xm:sqref>Y2994 Y2996 Y2998 Y3000</xm:sqref>
        </x14:conditionalFormatting>
        <x14:conditionalFormatting xmlns:xm="http://schemas.microsoft.com/office/excel/2006/main">
          <x14:cfRule type="dataBar" id="{2B77F514-0FFF-49C6-A1DE-10968392C96F}">
            <x14:dataBar minLength="0" maxLength="100" border="1" gradient="0">
              <x14:cfvo type="num">
                <xm:f>0</xm:f>
              </x14:cfvo>
              <x14:cfvo type="num">
                <xm:f>1</xm:f>
              </x14:cfvo>
              <x14:borderColor theme="0"/>
              <x14:negativeFillColor rgb="FFFF0000"/>
              <x14:axisColor rgb="FF000000"/>
            </x14:dataBar>
          </x14:cfRule>
          <xm:sqref>Y3002 Y3004 Y3006 Y3008</xm:sqref>
        </x14:conditionalFormatting>
        <x14:conditionalFormatting xmlns:xm="http://schemas.microsoft.com/office/excel/2006/main">
          <x14:cfRule type="dataBar" id="{C30286E2-D51D-415F-B62A-1A2BE317F3CC}">
            <x14:dataBar minLength="0" maxLength="100" border="1" gradient="0">
              <x14:cfvo type="num">
                <xm:f>0</xm:f>
              </x14:cfvo>
              <x14:cfvo type="num">
                <xm:f>1</xm:f>
              </x14:cfvo>
              <x14:borderColor theme="0"/>
              <x14:negativeFillColor rgb="FFFF0000"/>
              <x14:axisColor rgb="FF000000"/>
            </x14:dataBar>
          </x14:cfRule>
          <xm:sqref>Y3010 Y3012 Y3014 Y3016</xm:sqref>
        </x14:conditionalFormatting>
        <x14:conditionalFormatting xmlns:xm="http://schemas.microsoft.com/office/excel/2006/main">
          <x14:cfRule type="dataBar" id="{7FC74030-1C16-4368-834F-F55110B6D1B1}">
            <x14:dataBar minLength="0" maxLength="100" border="1" gradient="0">
              <x14:cfvo type="num">
                <xm:f>0</xm:f>
              </x14:cfvo>
              <x14:cfvo type="num">
                <xm:f>1</xm:f>
              </x14:cfvo>
              <x14:borderColor theme="0"/>
              <x14:negativeFillColor rgb="FFFF0000"/>
              <x14:axisColor rgb="FF000000"/>
            </x14:dataBar>
          </x14:cfRule>
          <xm:sqref>Y3018 Y3020 Y3022 Y3024</xm:sqref>
        </x14:conditionalFormatting>
        <x14:conditionalFormatting xmlns:xm="http://schemas.microsoft.com/office/excel/2006/main">
          <x14:cfRule type="dataBar" id="{BC7F8B6D-CA52-412F-B68E-8C75F62CDD1C}">
            <x14:dataBar minLength="0" maxLength="100" border="1" gradient="0">
              <x14:cfvo type="num">
                <xm:f>0</xm:f>
              </x14:cfvo>
              <x14:cfvo type="num">
                <xm:f>1</xm:f>
              </x14:cfvo>
              <x14:borderColor theme="0"/>
              <x14:negativeFillColor rgb="FFFF0000"/>
              <x14:axisColor rgb="FF000000"/>
            </x14:dataBar>
          </x14:cfRule>
          <xm:sqref>Y3026 Y3028</xm:sqref>
        </x14:conditionalFormatting>
        <x14:conditionalFormatting xmlns:xm="http://schemas.microsoft.com/office/excel/2006/main">
          <x14:cfRule type="dataBar" id="{41FB9599-3A71-4950-BE93-92788410EF56}">
            <x14:dataBar minLength="0" maxLength="100" border="1" gradient="0">
              <x14:cfvo type="num">
                <xm:f>0</xm:f>
              </x14:cfvo>
              <x14:cfvo type="num">
                <xm:f>1</xm:f>
              </x14:cfvo>
              <x14:borderColor theme="0"/>
              <x14:negativeFillColor rgb="FFFF0000"/>
              <x14:axisColor rgb="FF000000"/>
            </x14:dataBar>
          </x14:cfRule>
          <xm:sqref>Y3030 Y3032 Y3034 Y3036</xm:sqref>
        </x14:conditionalFormatting>
        <x14:conditionalFormatting xmlns:xm="http://schemas.microsoft.com/office/excel/2006/main">
          <x14:cfRule type="dataBar" id="{0128AAEF-291E-47CC-988B-E15021431C65}">
            <x14:dataBar minLength="0" maxLength="100" border="1" gradient="0">
              <x14:cfvo type="num">
                <xm:f>0</xm:f>
              </x14:cfvo>
              <x14:cfvo type="num">
                <xm:f>1</xm:f>
              </x14:cfvo>
              <x14:borderColor theme="0"/>
              <x14:negativeFillColor rgb="FFFF0000"/>
              <x14:axisColor rgb="FF000000"/>
            </x14:dataBar>
          </x14:cfRule>
          <xm:sqref>Y3038 Y3040 Y3042 Y3044</xm:sqref>
        </x14:conditionalFormatting>
        <x14:conditionalFormatting xmlns:xm="http://schemas.microsoft.com/office/excel/2006/main">
          <x14:cfRule type="dataBar" id="{874D9B89-665F-421D-A319-D9ED86A21C97}">
            <x14:dataBar minLength="0" maxLength="100" border="1" gradient="0">
              <x14:cfvo type="num">
                <xm:f>0</xm:f>
              </x14:cfvo>
              <x14:cfvo type="num">
                <xm:f>1</xm:f>
              </x14:cfvo>
              <x14:borderColor theme="0"/>
              <x14:negativeFillColor rgb="FFFF0000"/>
              <x14:axisColor rgb="FF000000"/>
            </x14:dataBar>
          </x14:cfRule>
          <xm:sqref>Y3046 Y3048</xm:sqref>
        </x14:conditionalFormatting>
        <x14:conditionalFormatting xmlns:xm="http://schemas.microsoft.com/office/excel/2006/main">
          <x14:cfRule type="dataBar" id="{9135E878-B494-4714-9854-5A19ABEA1FCA}">
            <x14:dataBar minLength="0" maxLength="100" border="1" gradient="0">
              <x14:cfvo type="num">
                <xm:f>0</xm:f>
              </x14:cfvo>
              <x14:cfvo type="num">
                <xm:f>1</xm:f>
              </x14:cfvo>
              <x14:borderColor theme="0"/>
              <x14:negativeFillColor rgb="FFFF0000"/>
              <x14:axisColor rgb="FF000000"/>
            </x14:dataBar>
          </x14:cfRule>
          <xm:sqref>Y3050 Y3052 Y3054 Y3056</xm:sqref>
        </x14:conditionalFormatting>
        <x14:conditionalFormatting xmlns:xm="http://schemas.microsoft.com/office/excel/2006/main">
          <x14:cfRule type="dataBar" id="{8C373E19-B785-44AB-87F6-A3F64410BEC9}">
            <x14:dataBar minLength="0" maxLength="100" border="1" gradient="0">
              <x14:cfvo type="num">
                <xm:f>0</xm:f>
              </x14:cfvo>
              <x14:cfvo type="num">
                <xm:f>1</xm:f>
              </x14:cfvo>
              <x14:borderColor theme="0"/>
              <x14:negativeFillColor rgb="FFFF0000"/>
              <x14:axisColor rgb="FF000000"/>
            </x14:dataBar>
          </x14:cfRule>
          <xm:sqref>Y3058</xm:sqref>
        </x14:conditionalFormatting>
        <x14:conditionalFormatting xmlns:xm="http://schemas.microsoft.com/office/excel/2006/main">
          <x14:cfRule type="dataBar" id="{D5F9FA66-0B7D-4A3E-B9D3-CBE82CF067CD}">
            <x14:dataBar minLength="0" maxLength="100" border="1" gradient="0">
              <x14:cfvo type="num">
                <xm:f>0</xm:f>
              </x14:cfvo>
              <x14:cfvo type="num">
                <xm:f>1</xm:f>
              </x14:cfvo>
              <x14:borderColor theme="0"/>
              <x14:negativeFillColor rgb="FFFF0000"/>
              <x14:axisColor rgb="FF000000"/>
            </x14:dataBar>
          </x14:cfRule>
          <xm:sqref>Y3060</xm:sqref>
        </x14:conditionalFormatting>
        <x14:conditionalFormatting xmlns:xm="http://schemas.microsoft.com/office/excel/2006/main">
          <x14:cfRule type="dataBar" id="{92005329-CD45-4510-9214-69E502D8E88A}">
            <x14:dataBar minLength="0" maxLength="100" border="1" gradient="0">
              <x14:cfvo type="num">
                <xm:f>0</xm:f>
              </x14:cfvo>
              <x14:cfvo type="num">
                <xm:f>1</xm:f>
              </x14:cfvo>
              <x14:borderColor theme="0"/>
              <x14:negativeFillColor rgb="FFFF0000"/>
              <x14:axisColor rgb="FF000000"/>
            </x14:dataBar>
          </x14:cfRule>
          <xm:sqref>Y3063</xm:sqref>
        </x14:conditionalFormatting>
        <x14:conditionalFormatting xmlns:xm="http://schemas.microsoft.com/office/excel/2006/main">
          <x14:cfRule type="dataBar" id="{7FAD225E-3A40-47D1-B4EC-C63E03C638D1}">
            <x14:dataBar minLength="0" maxLength="100" border="1" gradient="0">
              <x14:cfvo type="num">
                <xm:f>0</xm:f>
              </x14:cfvo>
              <x14:cfvo type="num">
                <xm:f>1</xm:f>
              </x14:cfvo>
              <x14:borderColor theme="0"/>
              <x14:negativeFillColor rgb="FFFF0000"/>
              <x14:axisColor rgb="FF000000"/>
            </x14:dataBar>
          </x14:cfRule>
          <xm:sqref>Y3065 Y3067 Y3069</xm:sqref>
        </x14:conditionalFormatting>
        <x14:conditionalFormatting xmlns:xm="http://schemas.microsoft.com/office/excel/2006/main">
          <x14:cfRule type="dataBar" id="{9283A353-161F-496B-90AC-B909D2A565D1}">
            <x14:dataBar minLength="0" maxLength="100" border="1" gradient="0">
              <x14:cfvo type="num">
                <xm:f>0</xm:f>
              </x14:cfvo>
              <x14:cfvo type="num">
                <xm:f>1</xm:f>
              </x14:cfvo>
              <x14:borderColor theme="0"/>
              <x14:negativeFillColor rgb="FFFF0000"/>
              <x14:axisColor rgb="FF000000"/>
            </x14:dataBar>
          </x14:cfRule>
          <xm:sqref>Y3071</xm:sqref>
        </x14:conditionalFormatting>
        <x14:conditionalFormatting xmlns:xm="http://schemas.microsoft.com/office/excel/2006/main">
          <x14:cfRule type="dataBar" id="{E5B23683-8ABA-476A-950C-37CB48FFB088}">
            <x14:dataBar minLength="0" maxLength="100" border="1" gradient="0">
              <x14:cfvo type="num">
                <xm:f>0</xm:f>
              </x14:cfvo>
              <x14:cfvo type="num">
                <xm:f>1</xm:f>
              </x14:cfvo>
              <x14:borderColor theme="0"/>
              <x14:negativeFillColor rgb="FFFF0000"/>
              <x14:axisColor rgb="FF000000"/>
            </x14:dataBar>
          </x14:cfRule>
          <xm:sqref>Y3073 Y3075</xm:sqref>
        </x14:conditionalFormatting>
        <x14:conditionalFormatting xmlns:xm="http://schemas.microsoft.com/office/excel/2006/main">
          <x14:cfRule type="dataBar" id="{909282AB-91C9-4C29-ABFD-F4DFAC9362BC}">
            <x14:dataBar minLength="0" maxLength="100" border="1" gradient="0">
              <x14:cfvo type="num">
                <xm:f>0</xm:f>
              </x14:cfvo>
              <x14:cfvo type="num">
                <xm:f>1</xm:f>
              </x14:cfvo>
              <x14:borderColor theme="0"/>
              <x14:negativeFillColor rgb="FFFF0000"/>
              <x14:axisColor rgb="FF000000"/>
            </x14:dataBar>
          </x14:cfRule>
          <xm:sqref>Y3077 Y3079 Y3081 Y3083</xm:sqref>
        </x14:conditionalFormatting>
        <x14:conditionalFormatting xmlns:xm="http://schemas.microsoft.com/office/excel/2006/main">
          <x14:cfRule type="dataBar" id="{18DD81FC-1974-4176-8737-452404F52EBE}">
            <x14:dataBar minLength="0" maxLength="100" border="1" gradient="0">
              <x14:cfvo type="num">
                <xm:f>0</xm:f>
              </x14:cfvo>
              <x14:cfvo type="num">
                <xm:f>1</xm:f>
              </x14:cfvo>
              <x14:borderColor theme="0"/>
              <x14:negativeFillColor rgb="FFFF0000"/>
              <x14:axisColor rgb="FF000000"/>
            </x14:dataBar>
          </x14:cfRule>
          <xm:sqref>Y3085 Y3087 Y3089</xm:sqref>
        </x14:conditionalFormatting>
        <x14:conditionalFormatting xmlns:xm="http://schemas.microsoft.com/office/excel/2006/main">
          <x14:cfRule type="dataBar" id="{156D2E1E-E60E-4DAA-96BB-32B0319A2F42}">
            <x14:dataBar minLength="0" maxLength="100" border="1" gradient="0">
              <x14:cfvo type="num">
                <xm:f>0</xm:f>
              </x14:cfvo>
              <x14:cfvo type="num">
                <xm:f>1</xm:f>
              </x14:cfvo>
              <x14:borderColor theme="0"/>
              <x14:negativeFillColor rgb="FFFF0000"/>
              <x14:axisColor rgb="FF000000"/>
            </x14:dataBar>
          </x14:cfRule>
          <xm:sqref>Y3091</xm:sqref>
        </x14:conditionalFormatting>
        <x14:conditionalFormatting xmlns:xm="http://schemas.microsoft.com/office/excel/2006/main">
          <x14:cfRule type="dataBar" id="{1CEB29E0-AE6C-4128-94B7-736976A5DF4F}">
            <x14:dataBar minLength="0" maxLength="100" border="1" gradient="0">
              <x14:cfvo type="num">
                <xm:f>0</xm:f>
              </x14:cfvo>
              <x14:cfvo type="num">
                <xm:f>1</xm:f>
              </x14:cfvo>
              <x14:borderColor theme="0"/>
              <x14:negativeFillColor rgb="FFFF0000"/>
              <x14:axisColor rgb="FF000000"/>
            </x14:dataBar>
          </x14:cfRule>
          <xm:sqref>Y3093</xm:sqref>
        </x14:conditionalFormatting>
        <x14:conditionalFormatting xmlns:xm="http://schemas.microsoft.com/office/excel/2006/main">
          <x14:cfRule type="dataBar" id="{5D1408DE-F08E-40F5-93EB-4E66E23D6CB0}">
            <x14:dataBar minLength="0" maxLength="100" border="1" gradient="0">
              <x14:cfvo type="num">
                <xm:f>0</xm:f>
              </x14:cfvo>
              <x14:cfvo type="num">
                <xm:f>1</xm:f>
              </x14:cfvo>
              <x14:borderColor theme="0"/>
              <x14:negativeFillColor rgb="FFFF0000"/>
              <x14:axisColor rgb="FF000000"/>
            </x14:dataBar>
          </x14:cfRule>
          <xm:sqref>Y3095</xm:sqref>
        </x14:conditionalFormatting>
        <x14:conditionalFormatting xmlns:xm="http://schemas.microsoft.com/office/excel/2006/main">
          <x14:cfRule type="dataBar" id="{5E000650-502B-4AC4-A9BF-61DBB94EE710}">
            <x14:dataBar minLength="0" maxLength="100" border="1" gradient="0">
              <x14:cfvo type="num">
                <xm:f>0</xm:f>
              </x14:cfvo>
              <x14:cfvo type="num">
                <xm:f>1</xm:f>
              </x14:cfvo>
              <x14:borderColor theme="0"/>
              <x14:negativeFillColor rgb="FFFF0000"/>
              <x14:axisColor rgb="FF000000"/>
            </x14:dataBar>
          </x14:cfRule>
          <xm:sqref>Y3097</xm:sqref>
        </x14:conditionalFormatting>
        <x14:conditionalFormatting xmlns:xm="http://schemas.microsoft.com/office/excel/2006/main">
          <x14:cfRule type="dataBar" id="{375275E3-6469-493B-81F6-38AB3C0B22FB}">
            <x14:dataBar minLength="0" maxLength="100" border="1" gradient="0">
              <x14:cfvo type="num">
                <xm:f>0</xm:f>
              </x14:cfvo>
              <x14:cfvo type="num">
                <xm:f>1</xm:f>
              </x14:cfvo>
              <x14:borderColor theme="0"/>
              <x14:negativeFillColor rgb="FFFF0000"/>
              <x14:axisColor rgb="FF000000"/>
            </x14:dataBar>
          </x14:cfRule>
          <xm:sqref>Y3101</xm:sqref>
        </x14:conditionalFormatting>
        <x14:conditionalFormatting xmlns:xm="http://schemas.microsoft.com/office/excel/2006/main">
          <x14:cfRule type="dataBar" id="{56C8143D-2DA3-4255-886C-E48A42009D7C}">
            <x14:dataBar minLength="0" maxLength="100" border="1" gradient="0">
              <x14:cfvo type="num">
                <xm:f>0</xm:f>
              </x14:cfvo>
              <x14:cfvo type="num">
                <xm:f>1</xm:f>
              </x14:cfvo>
              <x14:borderColor theme="0"/>
              <x14:negativeFillColor rgb="FFFF0000"/>
              <x14:axisColor rgb="FF000000"/>
            </x14:dataBar>
          </x14:cfRule>
          <xm:sqref>Y3103</xm:sqref>
        </x14:conditionalFormatting>
        <x14:conditionalFormatting xmlns:xm="http://schemas.microsoft.com/office/excel/2006/main">
          <x14:cfRule type="dataBar" id="{99C01BEA-FAF4-487C-B01A-9920CED698C7}">
            <x14:dataBar minLength="0" maxLength="100" border="1" gradient="0">
              <x14:cfvo type="num">
                <xm:f>0</xm:f>
              </x14:cfvo>
              <x14:cfvo type="num">
                <xm:f>1</xm:f>
              </x14:cfvo>
              <x14:borderColor theme="0"/>
              <x14:negativeFillColor rgb="FFFF0000"/>
              <x14:axisColor rgb="FF000000"/>
            </x14:dataBar>
          </x14:cfRule>
          <xm:sqref>Y3105 Y3107</xm:sqref>
        </x14:conditionalFormatting>
        <x14:conditionalFormatting xmlns:xm="http://schemas.microsoft.com/office/excel/2006/main">
          <x14:cfRule type="dataBar" id="{2EF747C5-0FA1-4B57-950E-C8AEEC32BD09}">
            <x14:dataBar minLength="0" maxLength="100" border="1" gradient="0">
              <x14:cfvo type="num">
                <xm:f>0</xm:f>
              </x14:cfvo>
              <x14:cfvo type="num">
                <xm:f>1</xm:f>
              </x14:cfvo>
              <x14:borderColor theme="0"/>
              <x14:negativeFillColor rgb="FFFF0000"/>
              <x14:axisColor rgb="FF000000"/>
            </x14:dataBar>
          </x14:cfRule>
          <xm:sqref>Y3109</xm:sqref>
        </x14:conditionalFormatting>
        <x14:conditionalFormatting xmlns:xm="http://schemas.microsoft.com/office/excel/2006/main">
          <x14:cfRule type="dataBar" id="{7A849FCE-A43F-4FC1-BB47-68731F3B7CB1}">
            <x14:dataBar minLength="0" maxLength="100" border="1" gradient="0">
              <x14:cfvo type="num">
                <xm:f>0</xm:f>
              </x14:cfvo>
              <x14:cfvo type="num">
                <xm:f>1</xm:f>
              </x14:cfvo>
              <x14:borderColor theme="0"/>
              <x14:negativeFillColor rgb="FFFF0000"/>
              <x14:axisColor rgb="FF000000"/>
            </x14:dataBar>
          </x14:cfRule>
          <xm:sqref>Y3111 Y3113</xm:sqref>
        </x14:conditionalFormatting>
        <x14:conditionalFormatting xmlns:xm="http://schemas.microsoft.com/office/excel/2006/main">
          <x14:cfRule type="dataBar" id="{83989EBD-842A-4D75-88E6-3167181721C5}">
            <x14:dataBar minLength="0" maxLength="100" border="1" gradient="0">
              <x14:cfvo type="num">
                <xm:f>0</xm:f>
              </x14:cfvo>
              <x14:cfvo type="num">
                <xm:f>1</xm:f>
              </x14:cfvo>
              <x14:borderColor theme="0"/>
              <x14:negativeFillColor rgb="FFFF0000"/>
              <x14:axisColor rgb="FF000000"/>
            </x14:dataBar>
          </x14:cfRule>
          <xm:sqref>Y3115</xm:sqref>
        </x14:conditionalFormatting>
        <x14:conditionalFormatting xmlns:xm="http://schemas.microsoft.com/office/excel/2006/main">
          <x14:cfRule type="dataBar" id="{AA7B88BE-40FB-46CD-BCCA-7B90A1B2F5C1}">
            <x14:dataBar minLength="0" maxLength="100" border="1" gradient="0">
              <x14:cfvo type="num">
                <xm:f>0</xm:f>
              </x14:cfvo>
              <x14:cfvo type="num">
                <xm:f>1</xm:f>
              </x14:cfvo>
              <x14:borderColor theme="0"/>
              <x14:negativeFillColor rgb="FFFF0000"/>
              <x14:axisColor rgb="FF000000"/>
            </x14:dataBar>
          </x14:cfRule>
          <xm:sqref>Y3117 Y3119</xm:sqref>
        </x14:conditionalFormatting>
        <x14:conditionalFormatting xmlns:xm="http://schemas.microsoft.com/office/excel/2006/main">
          <x14:cfRule type="dataBar" id="{854623DB-EA94-4435-956A-CAD89792152F}">
            <x14:dataBar minLength="0" maxLength="100" border="1" gradient="0">
              <x14:cfvo type="num">
                <xm:f>0</xm:f>
              </x14:cfvo>
              <x14:cfvo type="num">
                <xm:f>1</xm:f>
              </x14:cfvo>
              <x14:borderColor theme="0"/>
              <x14:negativeFillColor rgb="FFFF0000"/>
              <x14:axisColor rgb="FF000000"/>
            </x14:dataBar>
          </x14:cfRule>
          <xm:sqref>Y3121</xm:sqref>
        </x14:conditionalFormatting>
        <x14:conditionalFormatting xmlns:xm="http://schemas.microsoft.com/office/excel/2006/main">
          <x14:cfRule type="dataBar" id="{4FCE6F0C-A239-466E-8BD5-678A030CCFBD}">
            <x14:dataBar minLength="0" maxLength="100" border="1" gradient="0">
              <x14:cfvo type="num">
                <xm:f>0</xm:f>
              </x14:cfvo>
              <x14:cfvo type="num">
                <xm:f>1</xm:f>
              </x14:cfvo>
              <x14:borderColor theme="0"/>
              <x14:negativeFillColor rgb="FFFF0000"/>
              <x14:axisColor rgb="FF000000"/>
            </x14:dataBar>
          </x14:cfRule>
          <xm:sqref>Y3123 Y3125</xm:sqref>
        </x14:conditionalFormatting>
        <x14:conditionalFormatting xmlns:xm="http://schemas.microsoft.com/office/excel/2006/main">
          <x14:cfRule type="dataBar" id="{378E8420-A6B5-4B40-BA2D-FB946ABEB6AC}">
            <x14:dataBar minLength="0" maxLength="100" border="1" gradient="0">
              <x14:cfvo type="num">
                <xm:f>0</xm:f>
              </x14:cfvo>
              <x14:cfvo type="num">
                <xm:f>1</xm:f>
              </x14:cfvo>
              <x14:borderColor theme="0"/>
              <x14:negativeFillColor rgb="FFFF0000"/>
              <x14:axisColor rgb="FF000000"/>
            </x14:dataBar>
          </x14:cfRule>
          <xm:sqref>Y3127 Y3129</xm:sqref>
        </x14:conditionalFormatting>
        <x14:conditionalFormatting xmlns:xm="http://schemas.microsoft.com/office/excel/2006/main">
          <x14:cfRule type="dataBar" id="{7F3978B3-0FDC-45E7-BC32-A108B08E9E9C}">
            <x14:dataBar minLength="0" maxLength="100" border="1" gradient="0">
              <x14:cfvo type="num">
                <xm:f>0</xm:f>
              </x14:cfvo>
              <x14:cfvo type="num">
                <xm:f>1</xm:f>
              </x14:cfvo>
              <x14:borderColor theme="0"/>
              <x14:negativeFillColor rgb="FFFF0000"/>
              <x14:axisColor rgb="FF000000"/>
            </x14:dataBar>
          </x14:cfRule>
          <xm:sqref>Y3131</xm:sqref>
        </x14:conditionalFormatting>
        <x14:conditionalFormatting xmlns:xm="http://schemas.microsoft.com/office/excel/2006/main">
          <x14:cfRule type="dataBar" id="{CDD772AD-1E24-406D-82FA-140B9B65A595}">
            <x14:dataBar minLength="0" maxLength="100" border="1" gradient="0">
              <x14:cfvo type="num">
                <xm:f>0</xm:f>
              </x14:cfvo>
              <x14:cfvo type="num">
                <xm:f>1</xm:f>
              </x14:cfvo>
              <x14:borderColor theme="0"/>
              <x14:negativeFillColor rgb="FFFF0000"/>
              <x14:axisColor rgb="FF000000"/>
            </x14:dataBar>
          </x14:cfRule>
          <xm:sqref>Y3133 Y3135</xm:sqref>
        </x14:conditionalFormatting>
        <x14:conditionalFormatting xmlns:xm="http://schemas.microsoft.com/office/excel/2006/main">
          <x14:cfRule type="dataBar" id="{7D727155-975A-4829-A556-08556D812AA2}">
            <x14:dataBar minLength="0" maxLength="100" border="1" gradient="0">
              <x14:cfvo type="num">
                <xm:f>0</xm:f>
              </x14:cfvo>
              <x14:cfvo type="num">
                <xm:f>1</xm:f>
              </x14:cfvo>
              <x14:borderColor theme="0"/>
              <x14:negativeFillColor rgb="FFFF0000"/>
              <x14:axisColor rgb="FF000000"/>
            </x14:dataBar>
          </x14:cfRule>
          <xm:sqref>Y3137</xm:sqref>
        </x14:conditionalFormatting>
        <x14:conditionalFormatting xmlns:xm="http://schemas.microsoft.com/office/excel/2006/main">
          <x14:cfRule type="dataBar" id="{62F7A3AA-024A-4E64-B99E-BE0C92E534CD}">
            <x14:dataBar minLength="0" maxLength="100" border="1" gradient="0">
              <x14:cfvo type="num">
                <xm:f>0</xm:f>
              </x14:cfvo>
              <x14:cfvo type="num">
                <xm:f>1</xm:f>
              </x14:cfvo>
              <x14:borderColor theme="0"/>
              <x14:negativeFillColor rgb="FFFF0000"/>
              <x14:axisColor rgb="FF000000"/>
            </x14:dataBar>
          </x14:cfRule>
          <xm:sqref>Y3139 Y3141</xm:sqref>
        </x14:conditionalFormatting>
        <x14:conditionalFormatting xmlns:xm="http://schemas.microsoft.com/office/excel/2006/main">
          <x14:cfRule type="dataBar" id="{6593E42F-0D45-4BEF-ACC6-85FED3462FF0}">
            <x14:dataBar minLength="0" maxLength="100" border="1" gradient="0">
              <x14:cfvo type="num">
                <xm:f>0</xm:f>
              </x14:cfvo>
              <x14:cfvo type="num">
                <xm:f>1</xm:f>
              </x14:cfvo>
              <x14:borderColor theme="0"/>
              <x14:negativeFillColor rgb="FFFF0000"/>
              <x14:axisColor rgb="FF000000"/>
            </x14:dataBar>
          </x14:cfRule>
          <xm:sqref>Y3143</xm:sqref>
        </x14:conditionalFormatting>
        <x14:conditionalFormatting xmlns:xm="http://schemas.microsoft.com/office/excel/2006/main">
          <x14:cfRule type="dataBar" id="{3149E075-1222-4E46-8030-5746D90EDF70}">
            <x14:dataBar minLength="0" maxLength="100" border="1" gradient="0">
              <x14:cfvo type="num">
                <xm:f>0</xm:f>
              </x14:cfvo>
              <x14:cfvo type="num">
                <xm:f>1</xm:f>
              </x14:cfvo>
              <x14:borderColor theme="0"/>
              <x14:negativeFillColor rgb="FFFF0000"/>
              <x14:axisColor rgb="FF000000"/>
            </x14:dataBar>
          </x14:cfRule>
          <xm:sqref>Y3145</xm:sqref>
        </x14:conditionalFormatting>
        <x14:conditionalFormatting xmlns:xm="http://schemas.microsoft.com/office/excel/2006/main">
          <x14:cfRule type="dataBar" id="{1C3E01DF-4938-4DEC-AA10-5C92702BC923}">
            <x14:dataBar minLength="0" maxLength="100" border="1" gradient="0">
              <x14:cfvo type="num">
                <xm:f>0</xm:f>
              </x14:cfvo>
              <x14:cfvo type="num">
                <xm:f>1</xm:f>
              </x14:cfvo>
              <x14:borderColor theme="0"/>
              <x14:negativeFillColor rgb="FFFF0000"/>
              <x14:axisColor rgb="FF000000"/>
            </x14:dataBar>
          </x14:cfRule>
          <xm:sqref>Y3147</xm:sqref>
        </x14:conditionalFormatting>
        <x14:conditionalFormatting xmlns:xm="http://schemas.microsoft.com/office/excel/2006/main">
          <x14:cfRule type="dataBar" id="{F78D1AB4-982D-4794-8D9A-0913DAC914BA}">
            <x14:dataBar minLength="0" maxLength="100" border="1" gradient="0">
              <x14:cfvo type="num">
                <xm:f>0</xm:f>
              </x14:cfvo>
              <x14:cfvo type="num">
                <xm:f>1</xm:f>
              </x14:cfvo>
              <x14:borderColor theme="0"/>
              <x14:negativeFillColor rgb="FFFF0000"/>
              <x14:axisColor rgb="FF000000"/>
            </x14:dataBar>
          </x14:cfRule>
          <xm:sqref>Y3151</xm:sqref>
        </x14:conditionalFormatting>
        <x14:conditionalFormatting xmlns:xm="http://schemas.microsoft.com/office/excel/2006/main">
          <x14:cfRule type="dataBar" id="{023E88C4-5EAD-4379-9DEC-1827219031B7}">
            <x14:dataBar minLength="0" maxLength="100" border="1" gradient="0">
              <x14:cfvo type="num">
                <xm:f>0</xm:f>
              </x14:cfvo>
              <x14:cfvo type="num">
                <xm:f>1</xm:f>
              </x14:cfvo>
              <x14:borderColor theme="0"/>
              <x14:negativeFillColor rgb="FFFF0000"/>
              <x14:axisColor rgb="FF000000"/>
            </x14:dataBar>
          </x14:cfRule>
          <xm:sqref>Y3153 Y3155 Y3157</xm:sqref>
        </x14:conditionalFormatting>
        <x14:conditionalFormatting xmlns:xm="http://schemas.microsoft.com/office/excel/2006/main">
          <x14:cfRule type="dataBar" id="{F51E4043-DC75-45FA-A9AE-1B45E1AA960B}">
            <x14:dataBar minLength="0" maxLength="100" border="1" gradient="0">
              <x14:cfvo type="num">
                <xm:f>0</xm:f>
              </x14:cfvo>
              <x14:cfvo type="num">
                <xm:f>1</xm:f>
              </x14:cfvo>
              <x14:borderColor theme="0"/>
              <x14:negativeFillColor rgb="FFFF0000"/>
              <x14:axisColor rgb="FF000000"/>
            </x14:dataBar>
          </x14:cfRule>
          <xm:sqref>Y3159 Y3161 Y3163</xm:sqref>
        </x14:conditionalFormatting>
        <x14:conditionalFormatting xmlns:xm="http://schemas.microsoft.com/office/excel/2006/main">
          <x14:cfRule type="dataBar" id="{7A2F7D4F-74A3-4D8F-9647-FE1081BFB3F8}">
            <x14:dataBar minLength="0" maxLength="100" border="1" gradient="0">
              <x14:cfvo type="num">
                <xm:f>0</xm:f>
              </x14:cfvo>
              <x14:cfvo type="num">
                <xm:f>1</xm:f>
              </x14:cfvo>
              <x14:borderColor theme="0"/>
              <x14:negativeFillColor rgb="FFFF0000"/>
              <x14:axisColor rgb="FF000000"/>
            </x14:dataBar>
          </x14:cfRule>
          <xm:sqref>Y3165 Y3167 Y3169</xm:sqref>
        </x14:conditionalFormatting>
        <x14:conditionalFormatting xmlns:xm="http://schemas.microsoft.com/office/excel/2006/main">
          <x14:cfRule type="dataBar" id="{A335BE1A-0CC6-4846-A0A3-EC9FE13CBA45}">
            <x14:dataBar minLength="0" maxLength="100" border="1" gradient="0">
              <x14:cfvo type="num">
                <xm:f>0</xm:f>
              </x14:cfvo>
              <x14:cfvo type="num">
                <xm:f>1</xm:f>
              </x14:cfvo>
              <x14:borderColor theme="0"/>
              <x14:negativeFillColor rgb="FFFF0000"/>
              <x14:axisColor rgb="FF000000"/>
            </x14:dataBar>
          </x14:cfRule>
          <xm:sqref>Y3171 Y3173 Y3175</xm:sqref>
        </x14:conditionalFormatting>
        <x14:conditionalFormatting xmlns:xm="http://schemas.microsoft.com/office/excel/2006/main">
          <x14:cfRule type="dataBar" id="{BB88CC79-2F69-45B4-8E8B-F9ED9F1A2240}">
            <x14:dataBar minLength="0" maxLength="100" border="1" gradient="0">
              <x14:cfvo type="num">
                <xm:f>0</xm:f>
              </x14:cfvo>
              <x14:cfvo type="num">
                <xm:f>1</xm:f>
              </x14:cfvo>
              <x14:borderColor theme="0"/>
              <x14:negativeFillColor rgb="FFFF0000"/>
              <x14:axisColor rgb="FF000000"/>
            </x14:dataBar>
          </x14:cfRule>
          <xm:sqref>Y3177 Y3179 Y3181</xm:sqref>
        </x14:conditionalFormatting>
        <x14:conditionalFormatting xmlns:xm="http://schemas.microsoft.com/office/excel/2006/main">
          <x14:cfRule type="dataBar" id="{BE06B649-D218-4174-B6EF-56147B4C0726}">
            <x14:dataBar minLength="0" maxLength="100" border="1" gradient="0">
              <x14:cfvo type="num">
                <xm:f>0</xm:f>
              </x14:cfvo>
              <x14:cfvo type="num">
                <xm:f>1</xm:f>
              </x14:cfvo>
              <x14:borderColor theme="0"/>
              <x14:negativeFillColor rgb="FFFF0000"/>
              <x14:axisColor rgb="FF000000"/>
            </x14:dataBar>
          </x14:cfRule>
          <xm:sqref>Y3183 Y3185 Y3187</xm:sqref>
        </x14:conditionalFormatting>
        <x14:conditionalFormatting xmlns:xm="http://schemas.microsoft.com/office/excel/2006/main">
          <x14:cfRule type="dataBar" id="{E7BC119E-2F22-4EDF-AE87-7F21C5BBED42}">
            <x14:dataBar minLength="0" maxLength="100" border="1" gradient="0">
              <x14:cfvo type="num">
                <xm:f>0</xm:f>
              </x14:cfvo>
              <x14:cfvo type="num">
                <xm:f>1</xm:f>
              </x14:cfvo>
              <x14:borderColor theme="0"/>
              <x14:negativeFillColor rgb="FFFF0000"/>
              <x14:axisColor rgb="FF000000"/>
            </x14:dataBar>
          </x14:cfRule>
          <xm:sqref>Y3189 Y3191 Y3193</xm:sqref>
        </x14:conditionalFormatting>
        <x14:conditionalFormatting xmlns:xm="http://schemas.microsoft.com/office/excel/2006/main">
          <x14:cfRule type="dataBar" id="{5F699CF9-513B-4529-AAFB-365D93EC64C8}">
            <x14:dataBar minLength="0" maxLength="100" border="1" gradient="0">
              <x14:cfvo type="num">
                <xm:f>0</xm:f>
              </x14:cfvo>
              <x14:cfvo type="num">
                <xm:f>1</xm:f>
              </x14:cfvo>
              <x14:borderColor theme="0"/>
              <x14:negativeFillColor rgb="FFFF0000"/>
              <x14:axisColor rgb="FF000000"/>
            </x14:dataBar>
          </x14:cfRule>
          <xm:sqref>Y3195 Y3197 Y3199</xm:sqref>
        </x14:conditionalFormatting>
        <x14:conditionalFormatting xmlns:xm="http://schemas.microsoft.com/office/excel/2006/main">
          <x14:cfRule type="dataBar" id="{E365EC28-E014-46E6-ABE8-0B01BFA332AE}">
            <x14:dataBar minLength="0" maxLength="100" border="1" gradient="0">
              <x14:cfvo type="num">
                <xm:f>0</xm:f>
              </x14:cfvo>
              <x14:cfvo type="num">
                <xm:f>1</xm:f>
              </x14:cfvo>
              <x14:borderColor theme="0"/>
              <x14:negativeFillColor rgb="FFFF0000"/>
              <x14:axisColor rgb="FF000000"/>
            </x14:dataBar>
          </x14:cfRule>
          <xm:sqref>Y3201 Y3203 Y3205</xm:sqref>
        </x14:conditionalFormatting>
        <x14:conditionalFormatting xmlns:xm="http://schemas.microsoft.com/office/excel/2006/main">
          <x14:cfRule type="dataBar" id="{B31E9A2A-5843-40F9-A58C-B467FF7671D3}">
            <x14:dataBar minLength="0" maxLength="100" border="1" gradient="0">
              <x14:cfvo type="num">
                <xm:f>0</xm:f>
              </x14:cfvo>
              <x14:cfvo type="num">
                <xm:f>1</xm:f>
              </x14:cfvo>
              <x14:borderColor theme="0"/>
              <x14:negativeFillColor rgb="FFFF0000"/>
              <x14:axisColor rgb="FF000000"/>
            </x14:dataBar>
          </x14:cfRule>
          <xm:sqref>Y3207 Y3209 Y3211</xm:sqref>
        </x14:conditionalFormatting>
        <x14:conditionalFormatting xmlns:xm="http://schemas.microsoft.com/office/excel/2006/main">
          <x14:cfRule type="dataBar" id="{4E02518A-46BF-4DDC-AC7D-824450046C8C}">
            <x14:dataBar minLength="0" maxLength="100" border="1" gradient="0">
              <x14:cfvo type="num">
                <xm:f>0</xm:f>
              </x14:cfvo>
              <x14:cfvo type="num">
                <xm:f>1</xm:f>
              </x14:cfvo>
              <x14:borderColor theme="0"/>
              <x14:negativeFillColor rgb="FFFF0000"/>
              <x14:axisColor rgb="FF000000"/>
            </x14:dataBar>
          </x14:cfRule>
          <xm:sqref>Y3213 Y3215 Y3217</xm:sqref>
        </x14:conditionalFormatting>
        <x14:conditionalFormatting xmlns:xm="http://schemas.microsoft.com/office/excel/2006/main">
          <x14:cfRule type="dataBar" id="{A1BCB8F4-7711-4109-9D76-C0EC73EF5F5B}">
            <x14:dataBar minLength="0" maxLength="100" border="1" gradient="0">
              <x14:cfvo type="num">
                <xm:f>0</xm:f>
              </x14:cfvo>
              <x14:cfvo type="num">
                <xm:f>1</xm:f>
              </x14:cfvo>
              <x14:borderColor theme="0"/>
              <x14:negativeFillColor rgb="FFFF0000"/>
              <x14:axisColor rgb="FF000000"/>
            </x14:dataBar>
          </x14:cfRule>
          <xm:sqref>Y3219 Y3221</xm:sqref>
        </x14:conditionalFormatting>
        <x14:conditionalFormatting xmlns:xm="http://schemas.microsoft.com/office/excel/2006/main">
          <x14:cfRule type="dataBar" id="{88C2A2E7-1171-4B19-9D18-0C6154B0909A}">
            <x14:dataBar minLength="0" maxLength="100" border="1" gradient="0">
              <x14:cfvo type="num">
                <xm:f>0</xm:f>
              </x14:cfvo>
              <x14:cfvo type="num">
                <xm:f>1</xm:f>
              </x14:cfvo>
              <x14:borderColor theme="0"/>
              <x14:negativeFillColor rgb="FFFF0000"/>
              <x14:axisColor rgb="FF000000"/>
            </x14:dataBar>
          </x14:cfRule>
          <xm:sqref>Y3224</xm:sqref>
        </x14:conditionalFormatting>
        <x14:conditionalFormatting xmlns:xm="http://schemas.microsoft.com/office/excel/2006/main">
          <x14:cfRule type="dataBar" id="{C7D814EF-5090-4D34-8346-343BE359EE92}">
            <x14:dataBar minLength="0" maxLength="100" border="1" gradient="0">
              <x14:cfvo type="num">
                <xm:f>0</xm:f>
              </x14:cfvo>
              <x14:cfvo type="num">
                <xm:f>1</xm:f>
              </x14:cfvo>
              <x14:borderColor theme="0"/>
              <x14:negativeFillColor rgb="FFFF0000"/>
              <x14:axisColor rgb="FF000000"/>
            </x14:dataBar>
          </x14:cfRule>
          <xm:sqref>Y3228</xm:sqref>
        </x14:conditionalFormatting>
        <x14:conditionalFormatting xmlns:xm="http://schemas.microsoft.com/office/excel/2006/main">
          <x14:cfRule type="dataBar" id="{B56B50AC-42AE-48A6-895F-426615592992}">
            <x14:dataBar minLength="0" maxLength="100" border="1" gradient="0">
              <x14:cfvo type="num">
                <xm:f>0</xm:f>
              </x14:cfvo>
              <x14:cfvo type="num">
                <xm:f>1</xm:f>
              </x14:cfvo>
              <x14:borderColor theme="0"/>
              <x14:negativeFillColor rgb="FFFF0000"/>
              <x14:axisColor rgb="FF000000"/>
            </x14:dataBar>
          </x14:cfRule>
          <xm:sqref>Y3230</xm:sqref>
        </x14:conditionalFormatting>
        <x14:conditionalFormatting xmlns:xm="http://schemas.microsoft.com/office/excel/2006/main">
          <x14:cfRule type="dataBar" id="{A7E5955E-944E-48D9-A148-FE2DDDD8DB7B}">
            <x14:dataBar minLength="0" maxLength="100" border="1" gradient="0">
              <x14:cfvo type="num">
                <xm:f>0</xm:f>
              </x14:cfvo>
              <x14:cfvo type="num">
                <xm:f>1</xm:f>
              </x14:cfvo>
              <x14:borderColor theme="0"/>
              <x14:negativeFillColor rgb="FFFF0000"/>
              <x14:axisColor rgb="FF000000"/>
            </x14:dataBar>
          </x14:cfRule>
          <xm:sqref>Y3232 Y3234 Y3236</xm:sqref>
        </x14:conditionalFormatting>
        <x14:conditionalFormatting xmlns:xm="http://schemas.microsoft.com/office/excel/2006/main">
          <x14:cfRule type="dataBar" id="{0D24B2B6-E7BB-448C-AD46-34F073742A30}">
            <x14:dataBar minLength="0" maxLength="100" border="1" gradient="0">
              <x14:cfvo type="num">
                <xm:f>0</xm:f>
              </x14:cfvo>
              <x14:cfvo type="num">
                <xm:f>1</xm:f>
              </x14:cfvo>
              <x14:borderColor theme="0"/>
              <x14:negativeFillColor rgb="FFFF0000"/>
              <x14:axisColor rgb="FF000000"/>
            </x14:dataBar>
          </x14:cfRule>
          <xm:sqref>Y3238</xm:sqref>
        </x14:conditionalFormatting>
        <x14:conditionalFormatting xmlns:xm="http://schemas.microsoft.com/office/excel/2006/main">
          <x14:cfRule type="dataBar" id="{DEE45F7F-96AC-4227-A5AB-B3667DA8A634}">
            <x14:dataBar minLength="0" maxLength="100" border="1" gradient="0">
              <x14:cfvo type="num">
                <xm:f>0</xm:f>
              </x14:cfvo>
              <x14:cfvo type="num">
                <xm:f>1</xm:f>
              </x14:cfvo>
              <x14:borderColor theme="0"/>
              <x14:negativeFillColor rgb="FFFF0000"/>
              <x14:axisColor rgb="FF000000"/>
            </x14:dataBar>
          </x14:cfRule>
          <xm:sqref>Y3240</xm:sqref>
        </x14:conditionalFormatting>
        <x14:conditionalFormatting xmlns:xm="http://schemas.microsoft.com/office/excel/2006/main">
          <x14:cfRule type="dataBar" id="{8FF170E6-87C8-4DCE-9E74-603852FA011A}">
            <x14:dataBar minLength="0" maxLength="100" border="1" gradient="0">
              <x14:cfvo type="num">
                <xm:f>0</xm:f>
              </x14:cfvo>
              <x14:cfvo type="num">
                <xm:f>1</xm:f>
              </x14:cfvo>
              <x14:borderColor theme="0"/>
              <x14:negativeFillColor rgb="FFFF0000"/>
              <x14:axisColor rgb="FF000000"/>
            </x14:dataBar>
          </x14:cfRule>
          <xm:sqref>Y3242</xm:sqref>
        </x14:conditionalFormatting>
        <x14:conditionalFormatting xmlns:xm="http://schemas.microsoft.com/office/excel/2006/main">
          <x14:cfRule type="dataBar" id="{F4A5760C-3FDA-45D1-9DB5-122104660146}">
            <x14:dataBar minLength="0" maxLength="100" border="1" gradient="0">
              <x14:cfvo type="num">
                <xm:f>0</xm:f>
              </x14:cfvo>
              <x14:cfvo type="num">
                <xm:f>1</xm:f>
              </x14:cfvo>
              <x14:borderColor theme="0"/>
              <x14:negativeFillColor rgb="FFFF0000"/>
              <x14:axisColor rgb="FF000000"/>
            </x14:dataBar>
          </x14:cfRule>
          <xm:sqref>Y3244</xm:sqref>
        </x14:conditionalFormatting>
        <x14:conditionalFormatting xmlns:xm="http://schemas.microsoft.com/office/excel/2006/main">
          <x14:cfRule type="dataBar" id="{396DB96B-DB93-45C6-B2F6-7D144CF12AD1}">
            <x14:dataBar minLength="0" maxLength="100" border="1" gradient="0">
              <x14:cfvo type="num">
                <xm:f>0</xm:f>
              </x14:cfvo>
              <x14:cfvo type="num">
                <xm:f>1</xm:f>
              </x14:cfvo>
              <x14:borderColor theme="0"/>
              <x14:negativeFillColor rgb="FFFF0000"/>
              <x14:axisColor rgb="FF000000"/>
            </x14:dataBar>
          </x14:cfRule>
          <xm:sqref>Y3246</xm:sqref>
        </x14:conditionalFormatting>
        <x14:conditionalFormatting xmlns:xm="http://schemas.microsoft.com/office/excel/2006/main">
          <x14:cfRule type="dataBar" id="{C146CB54-B6A1-4952-8747-6E320DAE58C7}">
            <x14:dataBar minLength="0" maxLength="100" border="1" gradient="0">
              <x14:cfvo type="num">
                <xm:f>0</xm:f>
              </x14:cfvo>
              <x14:cfvo type="num">
                <xm:f>1</xm:f>
              </x14:cfvo>
              <x14:borderColor theme="0"/>
              <x14:negativeFillColor rgb="FFFF0000"/>
              <x14:axisColor rgb="FF000000"/>
            </x14:dataBar>
          </x14:cfRule>
          <xm:sqref>Y3248</xm:sqref>
        </x14:conditionalFormatting>
        <x14:conditionalFormatting xmlns:xm="http://schemas.microsoft.com/office/excel/2006/main">
          <x14:cfRule type="dataBar" id="{FBB16469-BEE5-468C-8642-DEBBE4B1698C}">
            <x14:dataBar minLength="0" maxLength="100" border="1" gradient="0">
              <x14:cfvo type="num">
                <xm:f>0</xm:f>
              </x14:cfvo>
              <x14:cfvo type="num">
                <xm:f>1</xm:f>
              </x14:cfvo>
              <x14:borderColor theme="0"/>
              <x14:negativeFillColor rgb="FFFF0000"/>
              <x14:axisColor rgb="FF000000"/>
            </x14:dataBar>
          </x14:cfRule>
          <xm:sqref>Y3252</xm:sqref>
        </x14:conditionalFormatting>
        <x14:conditionalFormatting xmlns:xm="http://schemas.microsoft.com/office/excel/2006/main">
          <x14:cfRule type="dataBar" id="{96D40AE7-BB10-47AC-8B87-32C7015C31DF}">
            <x14:dataBar minLength="0" maxLength="100" border="1" gradient="0">
              <x14:cfvo type="num">
                <xm:f>0</xm:f>
              </x14:cfvo>
              <x14:cfvo type="num">
                <xm:f>1</xm:f>
              </x14:cfvo>
              <x14:borderColor theme="0"/>
              <x14:negativeFillColor rgb="FFFF0000"/>
              <x14:axisColor rgb="FF000000"/>
            </x14:dataBar>
          </x14:cfRule>
          <xm:sqref>Y3254</xm:sqref>
        </x14:conditionalFormatting>
        <x14:conditionalFormatting xmlns:xm="http://schemas.microsoft.com/office/excel/2006/main">
          <x14:cfRule type="dataBar" id="{FE845ECC-B0FE-4B35-82E7-36BFC9E926F1}">
            <x14:dataBar minLength="0" maxLength="100" border="1" gradient="0">
              <x14:cfvo type="num">
                <xm:f>0</xm:f>
              </x14:cfvo>
              <x14:cfvo type="num">
                <xm:f>1</xm:f>
              </x14:cfvo>
              <x14:borderColor theme="0"/>
              <x14:negativeFillColor rgb="FFFF0000"/>
              <x14:axisColor rgb="FF000000"/>
            </x14:dataBar>
          </x14:cfRule>
          <xm:sqref>Y3256</xm:sqref>
        </x14:conditionalFormatting>
        <x14:conditionalFormatting xmlns:xm="http://schemas.microsoft.com/office/excel/2006/main">
          <x14:cfRule type="dataBar" id="{8FA9EEE5-8DB1-47B5-BA6D-2FC3AB6581E3}">
            <x14:dataBar minLength="0" maxLength="100" border="1" gradient="0">
              <x14:cfvo type="num">
                <xm:f>0</xm:f>
              </x14:cfvo>
              <x14:cfvo type="num">
                <xm:f>1</xm:f>
              </x14:cfvo>
              <x14:borderColor theme="0"/>
              <x14:negativeFillColor rgb="FFFF0000"/>
              <x14:axisColor rgb="FF000000"/>
            </x14:dataBar>
          </x14:cfRule>
          <xm:sqref>Y3258</xm:sqref>
        </x14:conditionalFormatting>
        <x14:conditionalFormatting xmlns:xm="http://schemas.microsoft.com/office/excel/2006/main">
          <x14:cfRule type="dataBar" id="{C8A506DE-0C2C-4827-B39B-BF834580B5AA}">
            <x14:dataBar minLength="0" maxLength="100" border="1" gradient="0">
              <x14:cfvo type="num">
                <xm:f>0</xm:f>
              </x14:cfvo>
              <x14:cfvo type="num">
                <xm:f>1</xm:f>
              </x14:cfvo>
              <x14:borderColor theme="0"/>
              <x14:negativeFillColor rgb="FFFF0000"/>
              <x14:axisColor rgb="FF000000"/>
            </x14:dataBar>
          </x14:cfRule>
          <xm:sqref>Y3260</xm:sqref>
        </x14:conditionalFormatting>
        <x14:conditionalFormatting xmlns:xm="http://schemas.microsoft.com/office/excel/2006/main">
          <x14:cfRule type="dataBar" id="{2658814E-5A3E-4B1E-80A0-97059DED28AA}">
            <x14:dataBar minLength="0" maxLength="100" border="1" gradient="0">
              <x14:cfvo type="num">
                <xm:f>0</xm:f>
              </x14:cfvo>
              <x14:cfvo type="num">
                <xm:f>1</xm:f>
              </x14:cfvo>
              <x14:borderColor theme="0"/>
              <x14:negativeFillColor rgb="FFFF0000"/>
              <x14:axisColor rgb="FF000000"/>
            </x14:dataBar>
          </x14:cfRule>
          <xm:sqref>Y3262</xm:sqref>
        </x14:conditionalFormatting>
        <x14:conditionalFormatting xmlns:xm="http://schemas.microsoft.com/office/excel/2006/main">
          <x14:cfRule type="dataBar" id="{C8EEC04E-BF34-4184-ADC2-E8F73615CBBF}">
            <x14:dataBar minLength="0" maxLength="100" border="1" gradient="0">
              <x14:cfvo type="num">
                <xm:f>0</xm:f>
              </x14:cfvo>
              <x14:cfvo type="num">
                <xm:f>1</xm:f>
              </x14:cfvo>
              <x14:borderColor theme="0"/>
              <x14:negativeFillColor rgb="FFFF0000"/>
              <x14:axisColor rgb="FF000000"/>
            </x14:dataBar>
          </x14:cfRule>
          <xm:sqref>Y3264</xm:sqref>
        </x14:conditionalFormatting>
        <x14:conditionalFormatting xmlns:xm="http://schemas.microsoft.com/office/excel/2006/main">
          <x14:cfRule type="dataBar" id="{DAA9DD9D-770B-4EA6-AC2C-DFDBEA63B618}">
            <x14:dataBar minLength="0" maxLength="100" border="1" gradient="0">
              <x14:cfvo type="num">
                <xm:f>0</xm:f>
              </x14:cfvo>
              <x14:cfvo type="num">
                <xm:f>1</xm:f>
              </x14:cfvo>
              <x14:borderColor theme="0"/>
              <x14:negativeFillColor rgb="FFFF0000"/>
              <x14:axisColor rgb="FF000000"/>
            </x14:dataBar>
          </x14:cfRule>
          <xm:sqref>Y3266</xm:sqref>
        </x14:conditionalFormatting>
        <x14:conditionalFormatting xmlns:xm="http://schemas.microsoft.com/office/excel/2006/main">
          <x14:cfRule type="dataBar" id="{EE8F2A7A-24DA-4EAB-8820-FA4A3B36D87A}">
            <x14:dataBar minLength="0" maxLength="100" border="1" gradient="0">
              <x14:cfvo type="num">
                <xm:f>0</xm:f>
              </x14:cfvo>
              <x14:cfvo type="num">
                <xm:f>1</xm:f>
              </x14:cfvo>
              <x14:borderColor theme="0"/>
              <x14:negativeFillColor rgb="FFFF0000"/>
              <x14:axisColor rgb="FF000000"/>
            </x14:dataBar>
          </x14:cfRule>
          <xm:sqref>Y3268</xm:sqref>
        </x14:conditionalFormatting>
        <x14:conditionalFormatting xmlns:xm="http://schemas.microsoft.com/office/excel/2006/main">
          <x14:cfRule type="dataBar" id="{79932354-563D-4660-9E1D-13F6C6BFE356}">
            <x14:dataBar minLength="0" maxLength="100" border="1" gradient="0">
              <x14:cfvo type="num">
                <xm:f>0</xm:f>
              </x14:cfvo>
              <x14:cfvo type="num">
                <xm:f>1</xm:f>
              </x14:cfvo>
              <x14:borderColor theme="0"/>
              <x14:negativeFillColor rgb="FFFF0000"/>
              <x14:axisColor rgb="FF000000"/>
            </x14:dataBar>
          </x14:cfRule>
          <xm:sqref>Y3270</xm:sqref>
        </x14:conditionalFormatting>
        <x14:conditionalFormatting xmlns:xm="http://schemas.microsoft.com/office/excel/2006/main">
          <x14:cfRule type="dataBar" id="{AB98BF8B-D159-4ADC-B7DA-F1CADB980D9C}">
            <x14:dataBar minLength="0" maxLength="100" border="1" gradient="0">
              <x14:cfvo type="num">
                <xm:f>0</xm:f>
              </x14:cfvo>
              <x14:cfvo type="num">
                <xm:f>1</xm:f>
              </x14:cfvo>
              <x14:borderColor theme="0"/>
              <x14:negativeFillColor rgb="FFFF0000"/>
              <x14:axisColor rgb="FF000000"/>
            </x14:dataBar>
          </x14:cfRule>
          <xm:sqref>Y3272</xm:sqref>
        </x14:conditionalFormatting>
        <x14:conditionalFormatting xmlns:xm="http://schemas.microsoft.com/office/excel/2006/main">
          <x14:cfRule type="dataBar" id="{DD1354FC-5E33-4B11-870F-37311215E6FB}">
            <x14:dataBar minLength="0" maxLength="100" border="1" gradient="0">
              <x14:cfvo type="num">
                <xm:f>0</xm:f>
              </x14:cfvo>
              <x14:cfvo type="num">
                <xm:f>1</xm:f>
              </x14:cfvo>
              <x14:borderColor theme="0"/>
              <x14:negativeFillColor rgb="FFFF0000"/>
              <x14:axisColor rgb="FF000000"/>
            </x14:dataBar>
          </x14:cfRule>
          <xm:sqref>Y3274</xm:sqref>
        </x14:conditionalFormatting>
        <x14:conditionalFormatting xmlns:xm="http://schemas.microsoft.com/office/excel/2006/main">
          <x14:cfRule type="dataBar" id="{5FA9C75E-F0C4-4480-B1E6-5578F81C1250}">
            <x14:dataBar minLength="0" maxLength="100" border="1" gradient="0">
              <x14:cfvo type="num">
                <xm:f>0</xm:f>
              </x14:cfvo>
              <x14:cfvo type="num">
                <xm:f>1</xm:f>
              </x14:cfvo>
              <x14:borderColor theme="0"/>
              <x14:negativeFillColor rgb="FFFF0000"/>
              <x14:axisColor rgb="FF000000"/>
            </x14:dataBar>
          </x14:cfRule>
          <xm:sqref>Y3277</xm:sqref>
        </x14:conditionalFormatting>
        <x14:conditionalFormatting xmlns:xm="http://schemas.microsoft.com/office/excel/2006/main">
          <x14:cfRule type="dataBar" id="{055165C3-F2C8-4B81-8942-F498DA23B665}">
            <x14:dataBar minLength="0" maxLength="100" border="1" gradient="0">
              <x14:cfvo type="num">
                <xm:f>0</xm:f>
              </x14:cfvo>
              <x14:cfvo type="num">
                <xm:f>1</xm:f>
              </x14:cfvo>
              <x14:borderColor theme="0"/>
              <x14:negativeFillColor rgb="FFFF0000"/>
              <x14:axisColor rgb="FF000000"/>
            </x14:dataBar>
          </x14:cfRule>
          <xm:sqref>Y3279 Y3281 Y3283</xm:sqref>
        </x14:conditionalFormatting>
        <x14:conditionalFormatting xmlns:xm="http://schemas.microsoft.com/office/excel/2006/main">
          <x14:cfRule type="dataBar" id="{00521AD2-A054-49C3-A0A9-FF987CDAAFD6}">
            <x14:dataBar minLength="0" maxLength="100" border="1" gradient="0">
              <x14:cfvo type="num">
                <xm:f>0</xm:f>
              </x14:cfvo>
              <x14:cfvo type="num">
                <xm:f>1</xm:f>
              </x14:cfvo>
              <x14:borderColor theme="0"/>
              <x14:negativeFillColor rgb="FFFF0000"/>
              <x14:axisColor rgb="FF000000"/>
            </x14:dataBar>
          </x14:cfRule>
          <xm:sqref>Y3285</xm:sqref>
        </x14:conditionalFormatting>
        <x14:conditionalFormatting xmlns:xm="http://schemas.microsoft.com/office/excel/2006/main">
          <x14:cfRule type="dataBar" id="{6D4EE6D5-6D4C-46C7-80F7-4A829925C534}">
            <x14:dataBar minLength="0" maxLength="100" border="1" gradient="0">
              <x14:cfvo type="num">
                <xm:f>0</xm:f>
              </x14:cfvo>
              <x14:cfvo type="num">
                <xm:f>1</xm:f>
              </x14:cfvo>
              <x14:borderColor theme="0"/>
              <x14:negativeFillColor rgb="FFFF0000"/>
              <x14:axisColor rgb="FF000000"/>
            </x14:dataBar>
          </x14:cfRule>
          <xm:sqref>Y3289</xm:sqref>
        </x14:conditionalFormatting>
        <x14:conditionalFormatting xmlns:xm="http://schemas.microsoft.com/office/excel/2006/main">
          <x14:cfRule type="dataBar" id="{9F14FE3A-81EF-4928-9414-0C9C2BEA96C0}">
            <x14:dataBar minLength="0" maxLength="100" border="1" gradient="0">
              <x14:cfvo type="num">
                <xm:f>0</xm:f>
              </x14:cfvo>
              <x14:cfvo type="num">
                <xm:f>1</xm:f>
              </x14:cfvo>
              <x14:borderColor theme="0"/>
              <x14:negativeFillColor rgb="FFFF0000"/>
              <x14:axisColor rgb="FF000000"/>
            </x14:dataBar>
          </x14:cfRule>
          <xm:sqref>Y3291</xm:sqref>
        </x14:conditionalFormatting>
        <x14:conditionalFormatting xmlns:xm="http://schemas.microsoft.com/office/excel/2006/main">
          <x14:cfRule type="dataBar" id="{DAB12854-A00F-4E17-8104-B808E1B57518}">
            <x14:dataBar minLength="0" maxLength="100" border="1" gradient="0">
              <x14:cfvo type="num">
                <xm:f>0</xm:f>
              </x14:cfvo>
              <x14:cfvo type="num">
                <xm:f>1</xm:f>
              </x14:cfvo>
              <x14:borderColor theme="0"/>
              <x14:negativeFillColor rgb="FFFF0000"/>
              <x14:axisColor rgb="FF000000"/>
            </x14:dataBar>
          </x14:cfRule>
          <xm:sqref>Y3293</xm:sqref>
        </x14:conditionalFormatting>
        <x14:conditionalFormatting xmlns:xm="http://schemas.microsoft.com/office/excel/2006/main">
          <x14:cfRule type="dataBar" id="{F1D0FBA0-A277-4AA3-B5B3-402C5E952CED}">
            <x14:dataBar minLength="0" maxLength="100" border="1" gradient="0">
              <x14:cfvo type="num">
                <xm:f>0</xm:f>
              </x14:cfvo>
              <x14:cfvo type="num">
                <xm:f>1</xm:f>
              </x14:cfvo>
              <x14:borderColor theme="0"/>
              <x14:negativeFillColor rgb="FFFF0000"/>
              <x14:axisColor rgb="FF000000"/>
            </x14:dataBar>
          </x14:cfRule>
          <xm:sqref>Y3295</xm:sqref>
        </x14:conditionalFormatting>
        <x14:conditionalFormatting xmlns:xm="http://schemas.microsoft.com/office/excel/2006/main">
          <x14:cfRule type="dataBar" id="{6531DF95-C7BB-49DC-A77C-AAE420901B5E}">
            <x14:dataBar minLength="0" maxLength="100" border="1" gradient="0">
              <x14:cfvo type="num">
                <xm:f>0</xm:f>
              </x14:cfvo>
              <x14:cfvo type="num">
                <xm:f>1</xm:f>
              </x14:cfvo>
              <x14:borderColor theme="0"/>
              <x14:negativeFillColor rgb="FFFF0000"/>
              <x14:axisColor rgb="FF000000"/>
            </x14:dataBar>
          </x14:cfRule>
          <xm:sqref>Y3297 Y3299 Y3301</xm:sqref>
        </x14:conditionalFormatting>
        <x14:conditionalFormatting xmlns:xm="http://schemas.microsoft.com/office/excel/2006/main">
          <x14:cfRule type="dataBar" id="{565B431F-B628-4A0F-92A6-EC220415D16F}">
            <x14:dataBar minLength="0" maxLength="100" border="1" gradient="0">
              <x14:cfvo type="num">
                <xm:f>0</xm:f>
              </x14:cfvo>
              <x14:cfvo type="num">
                <xm:f>1</xm:f>
              </x14:cfvo>
              <x14:borderColor theme="0"/>
              <x14:negativeFillColor rgb="FFFF0000"/>
              <x14:axisColor rgb="FF000000"/>
            </x14:dataBar>
          </x14:cfRule>
          <xm:sqref>Y3303</xm:sqref>
        </x14:conditionalFormatting>
        <x14:conditionalFormatting xmlns:xm="http://schemas.microsoft.com/office/excel/2006/main">
          <x14:cfRule type="dataBar" id="{AD4F5459-FBD8-49F5-9099-34671AFE2CC9}">
            <x14:dataBar minLength="0" maxLength="100" border="1" gradient="0">
              <x14:cfvo type="num">
                <xm:f>0</xm:f>
              </x14:cfvo>
              <x14:cfvo type="num">
                <xm:f>1</xm:f>
              </x14:cfvo>
              <x14:borderColor theme="0"/>
              <x14:negativeFillColor rgb="FFFF0000"/>
              <x14:axisColor rgb="FF000000"/>
            </x14:dataBar>
          </x14:cfRule>
          <xm:sqref>Y3305</xm:sqref>
        </x14:conditionalFormatting>
        <x14:conditionalFormatting xmlns:xm="http://schemas.microsoft.com/office/excel/2006/main">
          <x14:cfRule type="dataBar" id="{2C913694-C06F-47DA-9ABF-259CF147E880}">
            <x14:dataBar minLength="0" maxLength="100" border="1" gradient="0">
              <x14:cfvo type="num">
                <xm:f>0</xm:f>
              </x14:cfvo>
              <x14:cfvo type="num">
                <xm:f>1</xm:f>
              </x14:cfvo>
              <x14:borderColor theme="0"/>
              <x14:negativeFillColor rgb="FFFF0000"/>
              <x14:axisColor rgb="FF000000"/>
            </x14:dataBar>
          </x14:cfRule>
          <xm:sqref>Y3309</xm:sqref>
        </x14:conditionalFormatting>
        <x14:conditionalFormatting xmlns:xm="http://schemas.microsoft.com/office/excel/2006/main">
          <x14:cfRule type="dataBar" id="{B458C968-1C53-41BD-9D66-8603CFF4DB56}">
            <x14:dataBar minLength="0" maxLength="100" border="1" gradient="0">
              <x14:cfvo type="num">
                <xm:f>0</xm:f>
              </x14:cfvo>
              <x14:cfvo type="num">
                <xm:f>1</xm:f>
              </x14:cfvo>
              <x14:borderColor theme="0"/>
              <x14:negativeFillColor rgb="FFFF0000"/>
              <x14:axisColor rgb="FF000000"/>
            </x14:dataBar>
          </x14:cfRule>
          <xm:sqref>Y3311</xm:sqref>
        </x14:conditionalFormatting>
        <x14:conditionalFormatting xmlns:xm="http://schemas.microsoft.com/office/excel/2006/main">
          <x14:cfRule type="dataBar" id="{304AB677-4624-443B-A375-D45B45BCC95F}">
            <x14:dataBar minLength="0" maxLength="100" border="1" gradient="0">
              <x14:cfvo type="num">
                <xm:f>0</xm:f>
              </x14:cfvo>
              <x14:cfvo type="num">
                <xm:f>1</xm:f>
              </x14:cfvo>
              <x14:borderColor theme="0"/>
              <x14:negativeFillColor rgb="FFFF0000"/>
              <x14:axisColor rgb="FF000000"/>
            </x14:dataBar>
          </x14:cfRule>
          <xm:sqref>Y3313 Y3315</xm:sqref>
        </x14:conditionalFormatting>
        <x14:conditionalFormatting xmlns:xm="http://schemas.microsoft.com/office/excel/2006/main">
          <x14:cfRule type="dataBar" id="{A6504B77-9387-4A49-970C-5CFE8EF2B6C9}">
            <x14:dataBar minLength="0" maxLength="100" border="1" gradient="0">
              <x14:cfvo type="num">
                <xm:f>0</xm:f>
              </x14:cfvo>
              <x14:cfvo type="num">
                <xm:f>1</xm:f>
              </x14:cfvo>
              <x14:borderColor theme="0"/>
              <x14:negativeFillColor rgb="FFFF0000"/>
              <x14:axisColor rgb="FF000000"/>
            </x14:dataBar>
          </x14:cfRule>
          <xm:sqref>Y3317</xm:sqref>
        </x14:conditionalFormatting>
        <x14:conditionalFormatting xmlns:xm="http://schemas.microsoft.com/office/excel/2006/main">
          <x14:cfRule type="dataBar" id="{33BF8B59-A508-44FA-AEFE-28584DABFC80}">
            <x14:dataBar minLength="0" maxLength="100" border="1" gradient="0">
              <x14:cfvo type="num">
                <xm:f>0</xm:f>
              </x14:cfvo>
              <x14:cfvo type="num">
                <xm:f>1</xm:f>
              </x14:cfvo>
              <x14:borderColor theme="0"/>
              <x14:negativeFillColor rgb="FFFF0000"/>
              <x14:axisColor rgb="FF000000"/>
            </x14:dataBar>
          </x14:cfRule>
          <xm:sqref>Y3319 Y3321</xm:sqref>
        </x14:conditionalFormatting>
        <x14:conditionalFormatting xmlns:xm="http://schemas.microsoft.com/office/excel/2006/main">
          <x14:cfRule type="dataBar" id="{F5E94AE3-6B20-45CD-922A-78AD1B56A5FD}">
            <x14:dataBar minLength="0" maxLength="100" border="1" gradient="0">
              <x14:cfvo type="num">
                <xm:f>0</xm:f>
              </x14:cfvo>
              <x14:cfvo type="num">
                <xm:f>1</xm:f>
              </x14:cfvo>
              <x14:borderColor theme="0"/>
              <x14:negativeFillColor rgb="FFFF0000"/>
              <x14:axisColor rgb="FF000000"/>
            </x14:dataBar>
          </x14:cfRule>
          <xm:sqref>Y3325</xm:sqref>
        </x14:conditionalFormatting>
        <x14:conditionalFormatting xmlns:xm="http://schemas.microsoft.com/office/excel/2006/main">
          <x14:cfRule type="dataBar" id="{AB6C605A-BCB4-4FAB-BC7A-7E4A21FA1FFF}">
            <x14:dataBar minLength="0" maxLength="100" border="1" gradient="0">
              <x14:cfvo type="num">
                <xm:f>0</xm:f>
              </x14:cfvo>
              <x14:cfvo type="num">
                <xm:f>1</xm:f>
              </x14:cfvo>
              <x14:borderColor theme="0"/>
              <x14:negativeFillColor rgb="FFFF0000"/>
              <x14:axisColor rgb="FF000000"/>
            </x14:dataBar>
          </x14:cfRule>
          <xm:sqref>Y3329</xm:sqref>
        </x14:conditionalFormatting>
        <x14:conditionalFormatting xmlns:xm="http://schemas.microsoft.com/office/excel/2006/main">
          <x14:cfRule type="dataBar" id="{1EEDAF82-4FB5-47DC-B438-90225B3140F6}">
            <x14:dataBar minLength="0" maxLength="100" border="1" gradient="0">
              <x14:cfvo type="num">
                <xm:f>0</xm:f>
              </x14:cfvo>
              <x14:cfvo type="num">
                <xm:f>1</xm:f>
              </x14:cfvo>
              <x14:borderColor theme="0"/>
              <x14:negativeFillColor rgb="FFFF0000"/>
              <x14:axisColor rgb="FF000000"/>
            </x14:dataBar>
          </x14:cfRule>
          <xm:sqref>Y3331</xm:sqref>
        </x14:conditionalFormatting>
        <x14:conditionalFormatting xmlns:xm="http://schemas.microsoft.com/office/excel/2006/main">
          <x14:cfRule type="dataBar" id="{F30F98C4-A1C0-4078-ADE5-73988D6BA36B}">
            <x14:dataBar minLength="0" maxLength="100" border="1" gradient="0">
              <x14:cfvo type="num">
                <xm:f>0</xm:f>
              </x14:cfvo>
              <x14:cfvo type="num">
                <xm:f>1</xm:f>
              </x14:cfvo>
              <x14:borderColor theme="0"/>
              <x14:negativeFillColor rgb="FFFF0000"/>
              <x14:axisColor rgb="FF000000"/>
            </x14:dataBar>
          </x14:cfRule>
          <xm:sqref>Y3333</xm:sqref>
        </x14:conditionalFormatting>
        <x14:conditionalFormatting xmlns:xm="http://schemas.microsoft.com/office/excel/2006/main">
          <x14:cfRule type="dataBar" id="{C24409AD-4CE8-49F3-A5BC-7EB0A4C2DCA8}">
            <x14:dataBar minLength="0" maxLength="100" border="1" gradient="0">
              <x14:cfvo type="num">
                <xm:f>0</xm:f>
              </x14:cfvo>
              <x14:cfvo type="num">
                <xm:f>1</xm:f>
              </x14:cfvo>
              <x14:borderColor theme="0"/>
              <x14:negativeFillColor rgb="FFFF0000"/>
              <x14:axisColor rgb="FF000000"/>
            </x14:dataBar>
          </x14:cfRule>
          <xm:sqref>Y3335</xm:sqref>
        </x14:conditionalFormatting>
        <x14:conditionalFormatting xmlns:xm="http://schemas.microsoft.com/office/excel/2006/main">
          <x14:cfRule type="dataBar" id="{01CD6483-24CD-43A5-A458-64762BFD0827}">
            <x14:dataBar minLength="0" maxLength="100" border="1" gradient="0">
              <x14:cfvo type="num">
                <xm:f>0</xm:f>
              </x14:cfvo>
              <x14:cfvo type="num">
                <xm:f>1</xm:f>
              </x14:cfvo>
              <x14:borderColor theme="0"/>
              <x14:negativeFillColor rgb="FFFF0000"/>
              <x14:axisColor rgb="FF000000"/>
            </x14:dataBar>
          </x14:cfRule>
          <xm:sqref>Y3337</xm:sqref>
        </x14:conditionalFormatting>
        <x14:conditionalFormatting xmlns:xm="http://schemas.microsoft.com/office/excel/2006/main">
          <x14:cfRule type="dataBar" id="{12A5F673-B2C8-4275-90AC-FDBADA844F34}">
            <x14:dataBar minLength="0" maxLength="100" border="1" gradient="0">
              <x14:cfvo type="num">
                <xm:f>0</xm:f>
              </x14:cfvo>
              <x14:cfvo type="num">
                <xm:f>1</xm:f>
              </x14:cfvo>
              <x14:borderColor theme="0"/>
              <x14:negativeFillColor rgb="FFFF0000"/>
              <x14:axisColor rgb="FF000000"/>
            </x14:dataBar>
          </x14:cfRule>
          <xm:sqref>Y3339</xm:sqref>
        </x14:conditionalFormatting>
        <x14:conditionalFormatting xmlns:xm="http://schemas.microsoft.com/office/excel/2006/main">
          <x14:cfRule type="dataBar" id="{193CA682-CA71-407F-9219-22FADA7C939C}">
            <x14:dataBar minLength="0" maxLength="100" border="1" gradient="0">
              <x14:cfvo type="num">
                <xm:f>0</xm:f>
              </x14:cfvo>
              <x14:cfvo type="num">
                <xm:f>1</xm:f>
              </x14:cfvo>
              <x14:borderColor theme="0"/>
              <x14:negativeFillColor rgb="FFFF0000"/>
              <x14:axisColor rgb="FF000000"/>
            </x14:dataBar>
          </x14:cfRule>
          <xm:sqref>Y3341</xm:sqref>
        </x14:conditionalFormatting>
        <x14:conditionalFormatting xmlns:xm="http://schemas.microsoft.com/office/excel/2006/main">
          <x14:cfRule type="dataBar" id="{A9CFBFB0-76BD-4E34-A252-D15B81864644}">
            <x14:dataBar minLength="0" maxLength="100" border="1" gradient="0">
              <x14:cfvo type="num">
                <xm:f>0</xm:f>
              </x14:cfvo>
              <x14:cfvo type="num">
                <xm:f>1</xm:f>
              </x14:cfvo>
              <x14:borderColor theme="0"/>
              <x14:negativeFillColor rgb="FFFF0000"/>
              <x14:axisColor rgb="FF000000"/>
            </x14:dataBar>
          </x14:cfRule>
          <xm:sqref>Y3343</xm:sqref>
        </x14:conditionalFormatting>
        <x14:conditionalFormatting xmlns:xm="http://schemas.microsoft.com/office/excel/2006/main">
          <x14:cfRule type="dataBar" id="{E648DA53-9A8B-4E18-97E5-9734D0AFC46B}">
            <x14:dataBar minLength="0" maxLength="100" border="1" gradient="0">
              <x14:cfvo type="num">
                <xm:f>0</xm:f>
              </x14:cfvo>
              <x14:cfvo type="num">
                <xm:f>1</xm:f>
              </x14:cfvo>
              <x14:borderColor theme="0"/>
              <x14:negativeFillColor rgb="FFFF0000"/>
              <x14:axisColor rgb="FF000000"/>
            </x14:dataBar>
          </x14:cfRule>
          <xm:sqref>Y3345</xm:sqref>
        </x14:conditionalFormatting>
        <x14:conditionalFormatting xmlns:xm="http://schemas.microsoft.com/office/excel/2006/main">
          <x14:cfRule type="dataBar" id="{49881C93-A91D-48E4-AC04-04DDC7530971}">
            <x14:dataBar minLength="0" maxLength="100" border="1" gradient="0">
              <x14:cfvo type="num">
                <xm:f>0</xm:f>
              </x14:cfvo>
              <x14:cfvo type="num">
                <xm:f>1</xm:f>
              </x14:cfvo>
              <x14:borderColor theme="0"/>
              <x14:negativeFillColor rgb="FFFF0000"/>
              <x14:axisColor rgb="FF000000"/>
            </x14:dataBar>
          </x14:cfRule>
          <xm:sqref>Y3347</xm:sqref>
        </x14:conditionalFormatting>
        <x14:conditionalFormatting xmlns:xm="http://schemas.microsoft.com/office/excel/2006/main">
          <x14:cfRule type="dataBar" id="{A70865FB-28FB-4756-9DD2-21748FFA8CE5}">
            <x14:dataBar minLength="0" maxLength="100" border="1" gradient="0">
              <x14:cfvo type="num">
                <xm:f>0</xm:f>
              </x14:cfvo>
              <x14:cfvo type="num">
                <xm:f>1</xm:f>
              </x14:cfvo>
              <x14:borderColor theme="0"/>
              <x14:negativeFillColor rgb="FFFF0000"/>
              <x14:axisColor rgb="FF000000"/>
            </x14:dataBar>
          </x14:cfRule>
          <xm:sqref>Y3350</xm:sqref>
        </x14:conditionalFormatting>
        <x14:conditionalFormatting xmlns:xm="http://schemas.microsoft.com/office/excel/2006/main">
          <x14:cfRule type="dataBar" id="{1AA47165-072A-492B-B66E-88A7D02536F8}">
            <x14:dataBar minLength="0" maxLength="100" border="1" gradient="0">
              <x14:cfvo type="num">
                <xm:f>0</xm:f>
              </x14:cfvo>
              <x14:cfvo type="num">
                <xm:f>1</xm:f>
              </x14:cfvo>
              <x14:borderColor theme="0"/>
              <x14:negativeFillColor rgb="FFFF0000"/>
              <x14:axisColor rgb="FF000000"/>
            </x14:dataBar>
          </x14:cfRule>
          <xm:sqref>Y3352</xm:sqref>
        </x14:conditionalFormatting>
        <x14:conditionalFormatting xmlns:xm="http://schemas.microsoft.com/office/excel/2006/main">
          <x14:cfRule type="dataBar" id="{2F36C772-7812-4417-B10A-8FBDBB8ACC37}">
            <x14:dataBar minLength="0" maxLength="100" border="1" gradient="0">
              <x14:cfvo type="num">
                <xm:f>0</xm:f>
              </x14:cfvo>
              <x14:cfvo type="num">
                <xm:f>1</xm:f>
              </x14:cfvo>
              <x14:borderColor theme="0"/>
              <x14:negativeFillColor rgb="FFFF0000"/>
              <x14:axisColor rgb="FF000000"/>
            </x14:dataBar>
          </x14:cfRule>
          <xm:sqref>Y3354</xm:sqref>
        </x14:conditionalFormatting>
        <x14:conditionalFormatting xmlns:xm="http://schemas.microsoft.com/office/excel/2006/main">
          <x14:cfRule type="dataBar" id="{E7151B32-ED3D-4075-9504-060BE513792D}">
            <x14:dataBar minLength="0" maxLength="100" border="1" gradient="0">
              <x14:cfvo type="num">
                <xm:f>0</xm:f>
              </x14:cfvo>
              <x14:cfvo type="num">
                <xm:f>1</xm:f>
              </x14:cfvo>
              <x14:borderColor theme="0"/>
              <x14:negativeFillColor rgb="FFFF0000"/>
              <x14:axisColor rgb="FF000000"/>
            </x14:dataBar>
          </x14:cfRule>
          <xm:sqref>Y3356</xm:sqref>
        </x14:conditionalFormatting>
        <x14:conditionalFormatting xmlns:xm="http://schemas.microsoft.com/office/excel/2006/main">
          <x14:cfRule type="dataBar" id="{92828F97-A034-4B32-ACA9-1B9311EB8668}">
            <x14:dataBar minLength="0" maxLength="100" border="1" gradient="0">
              <x14:cfvo type="num">
                <xm:f>0</xm:f>
              </x14:cfvo>
              <x14:cfvo type="num">
                <xm:f>1</xm:f>
              </x14:cfvo>
              <x14:borderColor theme="0"/>
              <x14:negativeFillColor rgb="FFFF0000"/>
              <x14:axisColor rgb="FF000000"/>
            </x14:dataBar>
          </x14:cfRule>
          <xm:sqref>Y3358</xm:sqref>
        </x14:conditionalFormatting>
        <x14:conditionalFormatting xmlns:xm="http://schemas.microsoft.com/office/excel/2006/main">
          <x14:cfRule type="dataBar" id="{42CB2C32-DA75-4F70-8EBB-A80C5137F6E7}">
            <x14:dataBar minLength="0" maxLength="100" border="1" gradient="0">
              <x14:cfvo type="num">
                <xm:f>0</xm:f>
              </x14:cfvo>
              <x14:cfvo type="num">
                <xm:f>1</xm:f>
              </x14:cfvo>
              <x14:borderColor theme="0"/>
              <x14:negativeFillColor rgb="FFFF0000"/>
              <x14:axisColor rgb="FF000000"/>
            </x14:dataBar>
          </x14:cfRule>
          <xm:sqref>Y3360</xm:sqref>
        </x14:conditionalFormatting>
        <x14:conditionalFormatting xmlns:xm="http://schemas.microsoft.com/office/excel/2006/main">
          <x14:cfRule type="dataBar" id="{24755D7A-A1E8-4DE7-B6CC-A7E4910CC0F9}">
            <x14:dataBar minLength="0" maxLength="100" border="1" gradient="0">
              <x14:cfvo type="num">
                <xm:f>0</xm:f>
              </x14:cfvo>
              <x14:cfvo type="num">
                <xm:f>1</xm:f>
              </x14:cfvo>
              <x14:borderColor theme="0"/>
              <x14:negativeFillColor rgb="FFFF0000"/>
              <x14:axisColor rgb="FF000000"/>
            </x14:dataBar>
          </x14:cfRule>
          <xm:sqref>Y3362</xm:sqref>
        </x14:conditionalFormatting>
        <x14:conditionalFormatting xmlns:xm="http://schemas.microsoft.com/office/excel/2006/main">
          <x14:cfRule type="dataBar" id="{2B484CFE-47AD-44BD-80EB-8F609A77C05F}">
            <x14:dataBar minLength="0" maxLength="100" border="1" gradient="0">
              <x14:cfvo type="num">
                <xm:f>0</xm:f>
              </x14:cfvo>
              <x14:cfvo type="num">
                <xm:f>1</xm:f>
              </x14:cfvo>
              <x14:borderColor theme="0"/>
              <x14:negativeFillColor rgb="FFFF0000"/>
              <x14:axisColor rgb="FF000000"/>
            </x14:dataBar>
          </x14:cfRule>
          <xm:sqref>Y3365</xm:sqref>
        </x14:conditionalFormatting>
        <x14:conditionalFormatting xmlns:xm="http://schemas.microsoft.com/office/excel/2006/main">
          <x14:cfRule type="dataBar" id="{D52E3173-1C85-48DD-B0C9-53C5ACD9A535}">
            <x14:dataBar minLength="0" maxLength="100" border="1" gradient="0">
              <x14:cfvo type="num">
                <xm:f>0</xm:f>
              </x14:cfvo>
              <x14:cfvo type="num">
                <xm:f>1</xm:f>
              </x14:cfvo>
              <x14:borderColor theme="0"/>
              <x14:negativeFillColor rgb="FFFF0000"/>
              <x14:axisColor rgb="FF000000"/>
            </x14:dataBar>
          </x14:cfRule>
          <xm:sqref>Y3367</xm:sqref>
        </x14:conditionalFormatting>
        <x14:conditionalFormatting xmlns:xm="http://schemas.microsoft.com/office/excel/2006/main">
          <x14:cfRule type="dataBar" id="{6122EA86-CD28-4A50-97A3-15ECCC88F55C}">
            <x14:dataBar minLength="0" maxLength="100" border="1" gradient="0">
              <x14:cfvo type="num">
                <xm:f>0</xm:f>
              </x14:cfvo>
              <x14:cfvo type="num">
                <xm:f>1</xm:f>
              </x14:cfvo>
              <x14:borderColor theme="0"/>
              <x14:negativeFillColor rgb="FFFF0000"/>
              <x14:axisColor rgb="FF000000"/>
            </x14:dataBar>
          </x14:cfRule>
          <xm:sqref>Y3369</xm:sqref>
        </x14:conditionalFormatting>
        <x14:conditionalFormatting xmlns:xm="http://schemas.microsoft.com/office/excel/2006/main">
          <x14:cfRule type="dataBar" id="{1D606313-B071-4D91-B19D-B8B927659595}">
            <x14:dataBar minLength="0" maxLength="100" border="1" gradient="0">
              <x14:cfvo type="num">
                <xm:f>0</xm:f>
              </x14:cfvo>
              <x14:cfvo type="num">
                <xm:f>1</xm:f>
              </x14:cfvo>
              <x14:borderColor theme="0"/>
              <x14:negativeFillColor rgb="FFFF0000"/>
              <x14:axisColor rgb="FF000000"/>
            </x14:dataBar>
          </x14:cfRule>
          <xm:sqref>Y3371</xm:sqref>
        </x14:conditionalFormatting>
        <x14:conditionalFormatting xmlns:xm="http://schemas.microsoft.com/office/excel/2006/main">
          <x14:cfRule type="dataBar" id="{6EEEFE3B-1B18-4E5B-90D1-7BC23A8014FB}">
            <x14:dataBar minLength="0" maxLength="100" border="1" gradient="0">
              <x14:cfvo type="num">
                <xm:f>0</xm:f>
              </x14:cfvo>
              <x14:cfvo type="num">
                <xm:f>1</xm:f>
              </x14:cfvo>
              <x14:borderColor theme="0"/>
              <x14:negativeFillColor rgb="FFFF0000"/>
              <x14:axisColor rgb="FF000000"/>
            </x14:dataBar>
          </x14:cfRule>
          <xm:sqref>Y3373</xm:sqref>
        </x14:conditionalFormatting>
        <x14:conditionalFormatting xmlns:xm="http://schemas.microsoft.com/office/excel/2006/main">
          <x14:cfRule type="dataBar" id="{E06D390C-99FA-4372-A0D5-F1CD7D763FE8}">
            <x14:dataBar minLength="0" maxLength="100" border="1" gradient="0">
              <x14:cfvo type="num">
                <xm:f>0</xm:f>
              </x14:cfvo>
              <x14:cfvo type="num">
                <xm:f>1</xm:f>
              </x14:cfvo>
              <x14:borderColor theme="0"/>
              <x14:negativeFillColor rgb="FFFF0000"/>
              <x14:axisColor rgb="FF000000"/>
            </x14:dataBar>
          </x14:cfRule>
          <xm:sqref>Y3377</xm:sqref>
        </x14:conditionalFormatting>
        <x14:conditionalFormatting xmlns:xm="http://schemas.microsoft.com/office/excel/2006/main">
          <x14:cfRule type="dataBar" id="{8CE8ED18-FEDA-40B2-B969-5A21A2848091}">
            <x14:dataBar minLength="0" maxLength="100" border="1" gradient="0">
              <x14:cfvo type="num">
                <xm:f>0</xm:f>
              </x14:cfvo>
              <x14:cfvo type="num">
                <xm:f>1</xm:f>
              </x14:cfvo>
              <x14:borderColor theme="0"/>
              <x14:negativeFillColor rgb="FFFF0000"/>
              <x14:axisColor rgb="FF000000"/>
            </x14:dataBar>
          </x14:cfRule>
          <xm:sqref>Y3381</xm:sqref>
        </x14:conditionalFormatting>
        <x14:conditionalFormatting xmlns:xm="http://schemas.microsoft.com/office/excel/2006/main">
          <x14:cfRule type="dataBar" id="{97CE1A0C-0318-46DE-91EC-BBC4833856F8}">
            <x14:dataBar minLength="0" maxLength="100" border="1" gradient="0">
              <x14:cfvo type="num">
                <xm:f>0</xm:f>
              </x14:cfvo>
              <x14:cfvo type="num">
                <xm:f>1</xm:f>
              </x14:cfvo>
              <x14:borderColor theme="0"/>
              <x14:negativeFillColor rgb="FFFF0000"/>
              <x14:axisColor rgb="FF000000"/>
            </x14:dataBar>
          </x14:cfRule>
          <xm:sqref>Y3383 Y3385 Y3387</xm:sqref>
        </x14:conditionalFormatting>
        <x14:conditionalFormatting xmlns:xm="http://schemas.microsoft.com/office/excel/2006/main">
          <x14:cfRule type="dataBar" id="{05D92B8B-D70C-4A3C-9BA3-1143639A7C73}">
            <x14:dataBar minLength="0" maxLength="100" border="1" gradient="0">
              <x14:cfvo type="num">
                <xm:f>0</xm:f>
              </x14:cfvo>
              <x14:cfvo type="num">
                <xm:f>1</xm:f>
              </x14:cfvo>
              <x14:borderColor theme="0"/>
              <x14:negativeFillColor rgb="FFFF0000"/>
              <x14:axisColor rgb="FF000000"/>
            </x14:dataBar>
          </x14:cfRule>
          <xm:sqref>Y3389</xm:sqref>
        </x14:conditionalFormatting>
        <x14:conditionalFormatting xmlns:xm="http://schemas.microsoft.com/office/excel/2006/main">
          <x14:cfRule type="dataBar" id="{FF210764-440E-4F0D-93B4-D4D399E73579}">
            <x14:dataBar minLength="0" maxLength="100" border="1" gradient="0">
              <x14:cfvo type="num">
                <xm:f>0</xm:f>
              </x14:cfvo>
              <x14:cfvo type="num">
                <xm:f>1</xm:f>
              </x14:cfvo>
              <x14:borderColor theme="0"/>
              <x14:negativeFillColor rgb="FFFF0000"/>
              <x14:axisColor rgb="FF000000"/>
            </x14:dataBar>
          </x14:cfRule>
          <xm:sqref>Y3391 Y3393</xm:sqref>
        </x14:conditionalFormatting>
        <x14:conditionalFormatting xmlns:xm="http://schemas.microsoft.com/office/excel/2006/main">
          <x14:cfRule type="dataBar" id="{6CF2A047-FE21-4F08-97CC-FF5DE3EBBEF8}">
            <x14:dataBar minLength="0" maxLength="100" border="1" gradient="0">
              <x14:cfvo type="num">
                <xm:f>0</xm:f>
              </x14:cfvo>
              <x14:cfvo type="num">
                <xm:f>1</xm:f>
              </x14:cfvo>
              <x14:borderColor theme="0"/>
              <x14:negativeFillColor rgb="FFFF0000"/>
              <x14:axisColor rgb="FF000000"/>
            </x14:dataBar>
          </x14:cfRule>
          <xm:sqref>Y3395</xm:sqref>
        </x14:conditionalFormatting>
        <x14:conditionalFormatting xmlns:xm="http://schemas.microsoft.com/office/excel/2006/main">
          <x14:cfRule type="dataBar" id="{2C5DF15C-A3A8-4EE8-8C8B-CB9BD4C6BA9C}">
            <x14:dataBar minLength="0" maxLength="100" border="1" gradient="0">
              <x14:cfvo type="num">
                <xm:f>0</xm:f>
              </x14:cfvo>
              <x14:cfvo type="num">
                <xm:f>1</xm:f>
              </x14:cfvo>
              <x14:borderColor theme="0"/>
              <x14:negativeFillColor rgb="FFFF0000"/>
              <x14:axisColor rgb="FF000000"/>
            </x14:dataBar>
          </x14:cfRule>
          <xm:sqref>Y3397</xm:sqref>
        </x14:conditionalFormatting>
        <x14:conditionalFormatting xmlns:xm="http://schemas.microsoft.com/office/excel/2006/main">
          <x14:cfRule type="dataBar" id="{0A9ACF35-691F-48E5-876F-A767D0712551}">
            <x14:dataBar minLength="0" maxLength="100" border="1" gradient="0">
              <x14:cfvo type="num">
                <xm:f>0</xm:f>
              </x14:cfvo>
              <x14:cfvo type="num">
                <xm:f>1</xm:f>
              </x14:cfvo>
              <x14:borderColor theme="0"/>
              <x14:negativeFillColor rgb="FFFF0000"/>
              <x14:axisColor rgb="FF000000"/>
            </x14:dataBar>
          </x14:cfRule>
          <xm:sqref>Y3399</xm:sqref>
        </x14:conditionalFormatting>
        <x14:conditionalFormatting xmlns:xm="http://schemas.microsoft.com/office/excel/2006/main">
          <x14:cfRule type="dataBar" id="{C9B3DBFD-FF43-4FD6-9F10-6E23AA281F69}">
            <x14:dataBar minLength="0" maxLength="100" border="1" gradient="0">
              <x14:cfvo type="num">
                <xm:f>0</xm:f>
              </x14:cfvo>
              <x14:cfvo type="num">
                <xm:f>1</xm:f>
              </x14:cfvo>
              <x14:borderColor theme="0"/>
              <x14:negativeFillColor rgb="FFFF0000"/>
              <x14:axisColor rgb="FF000000"/>
            </x14:dataBar>
          </x14:cfRule>
          <xm:sqref>Y3401</xm:sqref>
        </x14:conditionalFormatting>
        <x14:conditionalFormatting xmlns:xm="http://schemas.microsoft.com/office/excel/2006/main">
          <x14:cfRule type="dataBar" id="{B4C8B080-D6D9-4750-B45C-E659F9CE848C}">
            <x14:dataBar minLength="0" maxLength="100" border="1" gradient="0">
              <x14:cfvo type="num">
                <xm:f>0</xm:f>
              </x14:cfvo>
              <x14:cfvo type="num">
                <xm:f>1</xm:f>
              </x14:cfvo>
              <x14:borderColor theme="0"/>
              <x14:negativeFillColor rgb="FFFF0000"/>
              <x14:axisColor rgb="FF000000"/>
            </x14:dataBar>
          </x14:cfRule>
          <xm:sqref>Y3403</xm:sqref>
        </x14:conditionalFormatting>
        <x14:conditionalFormatting xmlns:xm="http://schemas.microsoft.com/office/excel/2006/main">
          <x14:cfRule type="dataBar" id="{CFFBE348-C128-46ED-9643-45F715055545}">
            <x14:dataBar minLength="0" maxLength="100" border="1" gradient="0">
              <x14:cfvo type="num">
                <xm:f>0</xm:f>
              </x14:cfvo>
              <x14:cfvo type="num">
                <xm:f>1</xm:f>
              </x14:cfvo>
              <x14:borderColor theme="0"/>
              <x14:negativeFillColor rgb="FFFF0000"/>
              <x14:axisColor rgb="FF000000"/>
            </x14:dataBar>
          </x14:cfRule>
          <xm:sqref>Y3405</xm:sqref>
        </x14:conditionalFormatting>
        <x14:conditionalFormatting xmlns:xm="http://schemas.microsoft.com/office/excel/2006/main">
          <x14:cfRule type="dataBar" id="{0E31AD1B-6A03-4675-821B-AC4A4801E3AF}">
            <x14:dataBar minLength="0" maxLength="100" border="1" gradient="0">
              <x14:cfvo type="num">
                <xm:f>0</xm:f>
              </x14:cfvo>
              <x14:cfvo type="num">
                <xm:f>1</xm:f>
              </x14:cfvo>
              <x14:borderColor theme="0"/>
              <x14:negativeFillColor rgb="FFFF0000"/>
              <x14:axisColor rgb="FF000000"/>
            </x14:dataBar>
          </x14:cfRule>
          <xm:sqref>Y3407</xm:sqref>
        </x14:conditionalFormatting>
        <x14:conditionalFormatting xmlns:xm="http://schemas.microsoft.com/office/excel/2006/main">
          <x14:cfRule type="dataBar" id="{C984229C-F264-46BE-BAD8-D5698E9B2E5D}">
            <x14:dataBar minLength="0" maxLength="100" border="1" gradient="0">
              <x14:cfvo type="num">
                <xm:f>0</xm:f>
              </x14:cfvo>
              <x14:cfvo type="num">
                <xm:f>1</xm:f>
              </x14:cfvo>
              <x14:borderColor theme="0"/>
              <x14:negativeFillColor rgb="FFFF0000"/>
              <x14:axisColor rgb="FF000000"/>
            </x14:dataBar>
          </x14:cfRule>
          <xm:sqref>Y3409</xm:sqref>
        </x14:conditionalFormatting>
        <x14:conditionalFormatting xmlns:xm="http://schemas.microsoft.com/office/excel/2006/main">
          <x14:cfRule type="dataBar" id="{524BD49D-D621-4950-995A-7B309EBA1791}">
            <x14:dataBar minLength="0" maxLength="100" border="1" gradient="0">
              <x14:cfvo type="num">
                <xm:f>0</xm:f>
              </x14:cfvo>
              <x14:cfvo type="num">
                <xm:f>1</xm:f>
              </x14:cfvo>
              <x14:borderColor theme="0"/>
              <x14:negativeFillColor rgb="FFFF0000"/>
              <x14:axisColor rgb="FF000000"/>
            </x14:dataBar>
          </x14:cfRule>
          <xm:sqref>Y3411</xm:sqref>
        </x14:conditionalFormatting>
        <x14:conditionalFormatting xmlns:xm="http://schemas.microsoft.com/office/excel/2006/main">
          <x14:cfRule type="dataBar" id="{C7D8DCFA-2A37-4C61-98EF-68B929BB03EB}">
            <x14:dataBar minLength="0" maxLength="100" border="1" gradient="0">
              <x14:cfvo type="num">
                <xm:f>0</xm:f>
              </x14:cfvo>
              <x14:cfvo type="num">
                <xm:f>1</xm:f>
              </x14:cfvo>
              <x14:borderColor theme="0"/>
              <x14:negativeFillColor rgb="FFFF0000"/>
              <x14:axisColor rgb="FF000000"/>
            </x14:dataBar>
          </x14:cfRule>
          <xm:sqref>Y3413</xm:sqref>
        </x14:conditionalFormatting>
        <x14:conditionalFormatting xmlns:xm="http://schemas.microsoft.com/office/excel/2006/main">
          <x14:cfRule type="dataBar" id="{59C255B8-C127-4FCC-8744-DC8841FCB35C}">
            <x14:dataBar minLength="0" maxLength="100" border="1" gradient="0">
              <x14:cfvo type="num">
                <xm:f>0</xm:f>
              </x14:cfvo>
              <x14:cfvo type="num">
                <xm:f>1</xm:f>
              </x14:cfvo>
              <x14:borderColor theme="0"/>
              <x14:negativeFillColor rgb="FFFF0000"/>
              <x14:axisColor rgb="FF000000"/>
            </x14:dataBar>
          </x14:cfRule>
          <xm:sqref>Y3416</xm:sqref>
        </x14:conditionalFormatting>
        <x14:conditionalFormatting xmlns:xm="http://schemas.microsoft.com/office/excel/2006/main">
          <x14:cfRule type="dataBar" id="{932E2DBE-A840-4C90-AFD0-FDC3F65D4A9A}">
            <x14:dataBar minLength="0" maxLength="100" border="1" gradient="0">
              <x14:cfvo type="num">
                <xm:f>0</xm:f>
              </x14:cfvo>
              <x14:cfvo type="num">
                <xm:f>1</xm:f>
              </x14:cfvo>
              <x14:borderColor theme="0"/>
              <x14:negativeFillColor rgb="FFFF0000"/>
              <x14:axisColor rgb="FF000000"/>
            </x14:dataBar>
          </x14:cfRule>
          <xm:sqref>Y3418</xm:sqref>
        </x14:conditionalFormatting>
        <x14:conditionalFormatting xmlns:xm="http://schemas.microsoft.com/office/excel/2006/main">
          <x14:cfRule type="dataBar" id="{4144B059-B748-414C-B12F-CBC3C25B3532}">
            <x14:dataBar minLength="0" maxLength="100" border="1" gradient="0">
              <x14:cfvo type="num">
                <xm:f>0</xm:f>
              </x14:cfvo>
              <x14:cfvo type="num">
                <xm:f>1</xm:f>
              </x14:cfvo>
              <x14:borderColor theme="0"/>
              <x14:negativeFillColor rgb="FFFF0000"/>
              <x14:axisColor rgb="FF000000"/>
            </x14:dataBar>
          </x14:cfRule>
          <xm:sqref>Y3420</xm:sqref>
        </x14:conditionalFormatting>
        <x14:conditionalFormatting xmlns:xm="http://schemas.microsoft.com/office/excel/2006/main">
          <x14:cfRule type="dataBar" id="{0CC9E085-E823-4533-B3B4-AEFCDA1C4240}">
            <x14:dataBar minLength="0" maxLength="100" border="1" gradient="0">
              <x14:cfvo type="num">
                <xm:f>0</xm:f>
              </x14:cfvo>
              <x14:cfvo type="num">
                <xm:f>1</xm:f>
              </x14:cfvo>
              <x14:borderColor theme="0"/>
              <x14:negativeFillColor rgb="FFFF0000"/>
              <x14:axisColor rgb="FF000000"/>
            </x14:dataBar>
          </x14:cfRule>
          <xm:sqref>Y3422</xm:sqref>
        </x14:conditionalFormatting>
        <x14:conditionalFormatting xmlns:xm="http://schemas.microsoft.com/office/excel/2006/main">
          <x14:cfRule type="dataBar" id="{573A4BAD-8159-4C81-8A50-2E48BB51DAB2}">
            <x14:dataBar minLength="0" maxLength="100" border="1" gradient="0">
              <x14:cfvo type="num">
                <xm:f>0</xm:f>
              </x14:cfvo>
              <x14:cfvo type="num">
                <xm:f>1</xm:f>
              </x14:cfvo>
              <x14:borderColor theme="0"/>
              <x14:negativeFillColor rgb="FFFF0000"/>
              <x14:axisColor rgb="FF000000"/>
            </x14:dataBar>
          </x14:cfRule>
          <xm:sqref>Y3424</xm:sqref>
        </x14:conditionalFormatting>
        <x14:conditionalFormatting xmlns:xm="http://schemas.microsoft.com/office/excel/2006/main">
          <x14:cfRule type="dataBar" id="{AE456B09-9A5E-4FBA-A6CD-95293E97F122}">
            <x14:dataBar minLength="0" maxLength="100" border="1" gradient="0">
              <x14:cfvo type="num">
                <xm:f>0</xm:f>
              </x14:cfvo>
              <x14:cfvo type="num">
                <xm:f>1</xm:f>
              </x14:cfvo>
              <x14:borderColor theme="0"/>
              <x14:negativeFillColor rgb="FFFF0000"/>
              <x14:axisColor rgb="FF000000"/>
            </x14:dataBar>
          </x14:cfRule>
          <xm:sqref>Y3426</xm:sqref>
        </x14:conditionalFormatting>
        <x14:conditionalFormatting xmlns:xm="http://schemas.microsoft.com/office/excel/2006/main">
          <x14:cfRule type="dataBar" id="{24D1C705-F6A5-4B40-ABB5-9812FD65D93D}">
            <x14:dataBar minLength="0" maxLength="100" border="1" gradient="0">
              <x14:cfvo type="num">
                <xm:f>0</xm:f>
              </x14:cfvo>
              <x14:cfvo type="num">
                <xm:f>1</xm:f>
              </x14:cfvo>
              <x14:borderColor theme="0"/>
              <x14:negativeFillColor rgb="FFFF0000"/>
              <x14:axisColor rgb="FF000000"/>
            </x14:dataBar>
          </x14:cfRule>
          <xm:sqref>Y3428</xm:sqref>
        </x14:conditionalFormatting>
        <x14:conditionalFormatting xmlns:xm="http://schemas.microsoft.com/office/excel/2006/main">
          <x14:cfRule type="dataBar" id="{04E42ED6-B334-4916-BFAE-ED82064F4E6E}">
            <x14:dataBar minLength="0" maxLength="100" border="1" gradient="0">
              <x14:cfvo type="num">
                <xm:f>0</xm:f>
              </x14:cfvo>
              <x14:cfvo type="num">
                <xm:f>1</xm:f>
              </x14:cfvo>
              <x14:borderColor theme="0"/>
              <x14:negativeFillColor rgb="FFFF0000"/>
              <x14:axisColor rgb="FF000000"/>
            </x14:dataBar>
          </x14:cfRule>
          <xm:sqref>Y3430</xm:sqref>
        </x14:conditionalFormatting>
        <x14:conditionalFormatting xmlns:xm="http://schemas.microsoft.com/office/excel/2006/main">
          <x14:cfRule type="dataBar" id="{6C62D5E9-273C-450A-985D-F8956E733893}">
            <x14:dataBar minLength="0" maxLength="100" border="1" gradient="0">
              <x14:cfvo type="num">
                <xm:f>0</xm:f>
              </x14:cfvo>
              <x14:cfvo type="num">
                <xm:f>1</xm:f>
              </x14:cfvo>
              <x14:borderColor theme="0"/>
              <x14:negativeFillColor rgb="FFFF0000"/>
              <x14:axisColor rgb="FF000000"/>
            </x14:dataBar>
          </x14:cfRule>
          <xm:sqref>Y3432</xm:sqref>
        </x14:conditionalFormatting>
        <x14:conditionalFormatting xmlns:xm="http://schemas.microsoft.com/office/excel/2006/main">
          <x14:cfRule type="dataBar" id="{904900E5-6EB2-48D1-80F4-78275BCF22BE}">
            <x14:dataBar minLength="0" maxLength="100" border="1" gradient="0">
              <x14:cfvo type="num">
                <xm:f>0</xm:f>
              </x14:cfvo>
              <x14:cfvo type="num">
                <xm:f>1</xm:f>
              </x14:cfvo>
              <x14:borderColor theme="0"/>
              <x14:negativeFillColor rgb="FFFF0000"/>
              <x14:axisColor rgb="FF000000"/>
            </x14:dataBar>
          </x14:cfRule>
          <xm:sqref>Y3434</xm:sqref>
        </x14:conditionalFormatting>
        <x14:conditionalFormatting xmlns:xm="http://schemas.microsoft.com/office/excel/2006/main">
          <x14:cfRule type="dataBar" id="{189B1AB6-C7FF-4EC3-BBB8-946EF1A09482}">
            <x14:dataBar minLength="0" maxLength="100" border="1" gradient="0">
              <x14:cfvo type="num">
                <xm:f>0</xm:f>
              </x14:cfvo>
              <x14:cfvo type="num">
                <xm:f>1</xm:f>
              </x14:cfvo>
              <x14:borderColor theme="0"/>
              <x14:negativeFillColor rgb="FFFF0000"/>
              <x14:axisColor rgb="FF000000"/>
            </x14:dataBar>
          </x14:cfRule>
          <xm:sqref>Y3436</xm:sqref>
        </x14:conditionalFormatting>
        <x14:conditionalFormatting xmlns:xm="http://schemas.microsoft.com/office/excel/2006/main">
          <x14:cfRule type="dataBar" id="{332B3596-9AD3-474C-84FC-D278058A0529}">
            <x14:dataBar minLength="0" maxLength="100" border="1" gradient="0">
              <x14:cfvo type="num">
                <xm:f>0</xm:f>
              </x14:cfvo>
              <x14:cfvo type="num">
                <xm:f>1</xm:f>
              </x14:cfvo>
              <x14:borderColor theme="0"/>
              <x14:negativeFillColor rgb="FFFF0000"/>
              <x14:axisColor rgb="FF000000"/>
            </x14:dataBar>
          </x14:cfRule>
          <xm:sqref>Y3438</xm:sqref>
        </x14:conditionalFormatting>
        <x14:conditionalFormatting xmlns:xm="http://schemas.microsoft.com/office/excel/2006/main">
          <x14:cfRule type="dataBar" id="{31A63C0E-6BCD-4EC1-8FFD-17C72A7E3D2E}">
            <x14:dataBar minLength="0" maxLength="100" border="1" gradient="0">
              <x14:cfvo type="num">
                <xm:f>0</xm:f>
              </x14:cfvo>
              <x14:cfvo type="num">
                <xm:f>1</xm:f>
              </x14:cfvo>
              <x14:borderColor theme="0"/>
              <x14:negativeFillColor rgb="FFFF0000"/>
              <x14:axisColor rgb="FF000000"/>
            </x14:dataBar>
          </x14:cfRule>
          <xm:sqref>Y3440</xm:sqref>
        </x14:conditionalFormatting>
        <x14:conditionalFormatting xmlns:xm="http://schemas.microsoft.com/office/excel/2006/main">
          <x14:cfRule type="dataBar" id="{62F5AE62-8BAD-45A6-9147-0406EF874A29}">
            <x14:dataBar minLength="0" maxLength="100" border="1" gradient="0">
              <x14:cfvo type="num">
                <xm:f>0</xm:f>
              </x14:cfvo>
              <x14:cfvo type="num">
                <xm:f>1</xm:f>
              </x14:cfvo>
              <x14:borderColor theme="0"/>
              <x14:negativeFillColor rgb="FFFF0000"/>
              <x14:axisColor rgb="FF000000"/>
            </x14:dataBar>
          </x14:cfRule>
          <xm:sqref>Y3442</xm:sqref>
        </x14:conditionalFormatting>
        <x14:conditionalFormatting xmlns:xm="http://schemas.microsoft.com/office/excel/2006/main">
          <x14:cfRule type="dataBar" id="{C6792A8F-D406-409D-ABF9-11F297F8D9A9}">
            <x14:dataBar minLength="0" maxLength="100" border="1" gradient="0">
              <x14:cfvo type="num">
                <xm:f>0</xm:f>
              </x14:cfvo>
              <x14:cfvo type="num">
                <xm:f>1</xm:f>
              </x14:cfvo>
              <x14:borderColor theme="0"/>
              <x14:negativeFillColor rgb="FFFF0000"/>
              <x14:axisColor rgb="FF000000"/>
            </x14:dataBar>
          </x14:cfRule>
          <xm:sqref>Y3444</xm:sqref>
        </x14:conditionalFormatting>
        <x14:conditionalFormatting xmlns:xm="http://schemas.microsoft.com/office/excel/2006/main">
          <x14:cfRule type="dataBar" id="{769A6E1C-7B00-49D4-BF5A-2318B29B42FC}">
            <x14:dataBar minLength="0" maxLength="100" border="1" gradient="0">
              <x14:cfvo type="num">
                <xm:f>0</xm:f>
              </x14:cfvo>
              <x14:cfvo type="num">
                <xm:f>1</xm:f>
              </x14:cfvo>
              <x14:borderColor theme="0"/>
              <x14:negativeFillColor rgb="FFFF0000"/>
              <x14:axisColor rgb="FF000000"/>
            </x14:dataBar>
          </x14:cfRule>
          <xm:sqref>Y3446</xm:sqref>
        </x14:conditionalFormatting>
        <x14:conditionalFormatting xmlns:xm="http://schemas.microsoft.com/office/excel/2006/main">
          <x14:cfRule type="dataBar" id="{373EB234-1AFE-4C62-B7F6-E68784FF9075}">
            <x14:dataBar minLength="0" maxLength="100" border="1" gradient="0">
              <x14:cfvo type="num">
                <xm:f>0</xm:f>
              </x14:cfvo>
              <x14:cfvo type="num">
                <xm:f>1</xm:f>
              </x14:cfvo>
              <x14:borderColor theme="0"/>
              <x14:negativeFillColor rgb="FFFF0000"/>
              <x14:axisColor rgb="FF000000"/>
            </x14:dataBar>
          </x14:cfRule>
          <xm:sqref>Y3448</xm:sqref>
        </x14:conditionalFormatting>
        <x14:conditionalFormatting xmlns:xm="http://schemas.microsoft.com/office/excel/2006/main">
          <x14:cfRule type="dataBar" id="{89976F63-FED7-4BCB-A31F-45B4551EABA5}">
            <x14:dataBar minLength="0" maxLength="100" border="1" gradient="0">
              <x14:cfvo type="num">
                <xm:f>0</xm:f>
              </x14:cfvo>
              <x14:cfvo type="num">
                <xm:f>1</xm:f>
              </x14:cfvo>
              <x14:borderColor theme="0"/>
              <x14:negativeFillColor rgb="FFFF0000"/>
              <x14:axisColor rgb="FF000000"/>
            </x14:dataBar>
          </x14:cfRule>
          <xm:sqref>Y3450</xm:sqref>
        </x14:conditionalFormatting>
        <x14:conditionalFormatting xmlns:xm="http://schemas.microsoft.com/office/excel/2006/main">
          <x14:cfRule type="dataBar" id="{EF1F7E71-BFEA-4821-A4A6-62A6CC1451D5}">
            <x14:dataBar minLength="0" maxLength="100" border="1" gradient="0">
              <x14:cfvo type="num">
                <xm:f>0</xm:f>
              </x14:cfvo>
              <x14:cfvo type="num">
                <xm:f>1</xm:f>
              </x14:cfvo>
              <x14:borderColor theme="0"/>
              <x14:negativeFillColor rgb="FFFF0000"/>
              <x14:axisColor rgb="FF000000"/>
            </x14:dataBar>
          </x14:cfRule>
          <xm:sqref>Y3452</xm:sqref>
        </x14:conditionalFormatting>
        <x14:conditionalFormatting xmlns:xm="http://schemas.microsoft.com/office/excel/2006/main">
          <x14:cfRule type="dataBar" id="{561E5029-B4A7-4D8B-A526-3AF06A7B91DA}">
            <x14:dataBar minLength="0" maxLength="100" border="1" gradient="0">
              <x14:cfvo type="num">
                <xm:f>0</xm:f>
              </x14:cfvo>
              <x14:cfvo type="num">
                <xm:f>1</xm:f>
              </x14:cfvo>
              <x14:borderColor theme="0"/>
              <x14:negativeFillColor rgb="FFFF0000"/>
              <x14:axisColor rgb="FF000000"/>
            </x14:dataBar>
          </x14:cfRule>
          <xm:sqref>Y3454</xm:sqref>
        </x14:conditionalFormatting>
        <x14:conditionalFormatting xmlns:xm="http://schemas.microsoft.com/office/excel/2006/main">
          <x14:cfRule type="dataBar" id="{58B4DA8D-BE1A-4277-9E98-70F67DF71BD5}">
            <x14:dataBar minLength="0" maxLength="100" border="1" gradient="0">
              <x14:cfvo type="num">
                <xm:f>0</xm:f>
              </x14:cfvo>
              <x14:cfvo type="num">
                <xm:f>1</xm:f>
              </x14:cfvo>
              <x14:borderColor theme="0"/>
              <x14:negativeFillColor rgb="FFFF0000"/>
              <x14:axisColor rgb="FF000000"/>
            </x14:dataBar>
          </x14:cfRule>
          <xm:sqref>Y3456</xm:sqref>
        </x14:conditionalFormatting>
        <x14:conditionalFormatting xmlns:xm="http://schemas.microsoft.com/office/excel/2006/main">
          <x14:cfRule type="dataBar" id="{00F6AA9F-965E-4F08-9DC0-E45A90B11B11}">
            <x14:dataBar minLength="0" maxLength="100" border="1" gradient="0">
              <x14:cfvo type="num">
                <xm:f>0</xm:f>
              </x14:cfvo>
              <x14:cfvo type="num">
                <xm:f>1</xm:f>
              </x14:cfvo>
              <x14:borderColor theme="0"/>
              <x14:negativeFillColor rgb="FFFF0000"/>
              <x14:axisColor rgb="FF000000"/>
            </x14:dataBar>
          </x14:cfRule>
          <xm:sqref>Y3458</xm:sqref>
        </x14:conditionalFormatting>
        <x14:conditionalFormatting xmlns:xm="http://schemas.microsoft.com/office/excel/2006/main">
          <x14:cfRule type="dataBar" id="{D400F50B-B907-41BA-B3E5-9EC91191731C}">
            <x14:dataBar minLength="0" maxLength="100" border="1" gradient="0">
              <x14:cfvo type="num">
                <xm:f>0</xm:f>
              </x14:cfvo>
              <x14:cfvo type="num">
                <xm:f>1</xm:f>
              </x14:cfvo>
              <x14:borderColor theme="0"/>
              <x14:negativeFillColor rgb="FFFF0000"/>
              <x14:axisColor rgb="FF000000"/>
            </x14:dataBar>
          </x14:cfRule>
          <xm:sqref>Y3460</xm:sqref>
        </x14:conditionalFormatting>
        <x14:conditionalFormatting xmlns:xm="http://schemas.microsoft.com/office/excel/2006/main">
          <x14:cfRule type="dataBar" id="{DBEA049F-34E8-4F9B-8037-CA6F7F5723A4}">
            <x14:dataBar minLength="0" maxLength="100" border="1" gradient="0">
              <x14:cfvo type="num">
                <xm:f>0</xm:f>
              </x14:cfvo>
              <x14:cfvo type="num">
                <xm:f>1</xm:f>
              </x14:cfvo>
              <x14:borderColor theme="0"/>
              <x14:negativeFillColor rgb="FFFF0000"/>
              <x14:axisColor rgb="FF000000"/>
            </x14:dataBar>
          </x14:cfRule>
          <xm:sqref>Y3462</xm:sqref>
        </x14:conditionalFormatting>
        <x14:conditionalFormatting xmlns:xm="http://schemas.microsoft.com/office/excel/2006/main">
          <x14:cfRule type="dataBar" id="{42458CDC-A8B3-47C0-80E1-4A1E1659BBA5}">
            <x14:dataBar minLength="0" maxLength="100" border="1" gradient="0">
              <x14:cfvo type="num">
                <xm:f>0</xm:f>
              </x14:cfvo>
              <x14:cfvo type="num">
                <xm:f>1</xm:f>
              </x14:cfvo>
              <x14:borderColor theme="0"/>
              <x14:negativeFillColor rgb="FFFF0000"/>
              <x14:axisColor rgb="FF000000"/>
            </x14:dataBar>
          </x14:cfRule>
          <xm:sqref>Y3464</xm:sqref>
        </x14:conditionalFormatting>
        <x14:conditionalFormatting xmlns:xm="http://schemas.microsoft.com/office/excel/2006/main">
          <x14:cfRule type="dataBar" id="{AE9DBD90-C53F-498B-82EE-CB96E6D8042E}">
            <x14:dataBar minLength="0" maxLength="100" border="1" gradient="0">
              <x14:cfvo type="num">
                <xm:f>0</xm:f>
              </x14:cfvo>
              <x14:cfvo type="num">
                <xm:f>1</xm:f>
              </x14:cfvo>
              <x14:borderColor theme="0"/>
              <x14:negativeFillColor rgb="FFFF0000"/>
              <x14:axisColor rgb="FF000000"/>
            </x14:dataBar>
          </x14:cfRule>
          <xm:sqref>Y3466</xm:sqref>
        </x14:conditionalFormatting>
        <x14:conditionalFormatting xmlns:xm="http://schemas.microsoft.com/office/excel/2006/main">
          <x14:cfRule type="dataBar" id="{18CED0E4-5C54-411C-83FE-E5846A04D0E2}">
            <x14:dataBar minLength="0" maxLength="100" border="1" gradient="0">
              <x14:cfvo type="num">
                <xm:f>0</xm:f>
              </x14:cfvo>
              <x14:cfvo type="num">
                <xm:f>1</xm:f>
              </x14:cfvo>
              <x14:borderColor theme="0"/>
              <x14:negativeFillColor rgb="FFFF0000"/>
              <x14:axisColor rgb="FF000000"/>
            </x14:dataBar>
          </x14:cfRule>
          <xm:sqref>Y3468</xm:sqref>
        </x14:conditionalFormatting>
        <x14:conditionalFormatting xmlns:xm="http://schemas.microsoft.com/office/excel/2006/main">
          <x14:cfRule type="dataBar" id="{84429514-1BBF-4773-A671-29554FB3672F}">
            <x14:dataBar minLength="0" maxLength="100" border="1" gradient="0">
              <x14:cfvo type="num">
                <xm:f>0</xm:f>
              </x14:cfvo>
              <x14:cfvo type="num">
                <xm:f>1</xm:f>
              </x14:cfvo>
              <x14:borderColor theme="0"/>
              <x14:negativeFillColor rgb="FFFF0000"/>
              <x14:axisColor rgb="FF000000"/>
            </x14:dataBar>
          </x14:cfRule>
          <xm:sqref>Y3470</xm:sqref>
        </x14:conditionalFormatting>
        <x14:conditionalFormatting xmlns:xm="http://schemas.microsoft.com/office/excel/2006/main">
          <x14:cfRule type="dataBar" id="{3DF7D2BC-4446-4485-9448-82D4D67DF7F0}">
            <x14:dataBar minLength="0" maxLength="100" border="1" gradient="0">
              <x14:cfvo type="num">
                <xm:f>0</xm:f>
              </x14:cfvo>
              <x14:cfvo type="num">
                <xm:f>1</xm:f>
              </x14:cfvo>
              <x14:borderColor theme="0"/>
              <x14:negativeFillColor rgb="FFFF0000"/>
              <x14:axisColor rgb="FF000000"/>
            </x14:dataBar>
          </x14:cfRule>
          <xm:sqref>Y3472</xm:sqref>
        </x14:conditionalFormatting>
        <x14:conditionalFormatting xmlns:xm="http://schemas.microsoft.com/office/excel/2006/main">
          <x14:cfRule type="dataBar" id="{75F2B84B-75A4-49B3-826E-B55EBF2080DA}">
            <x14:dataBar minLength="0" maxLength="100" border="1" gradient="0">
              <x14:cfvo type="num">
                <xm:f>0</xm:f>
              </x14:cfvo>
              <x14:cfvo type="num">
                <xm:f>1</xm:f>
              </x14:cfvo>
              <x14:borderColor theme="0"/>
              <x14:negativeFillColor rgb="FFFF0000"/>
              <x14:axisColor rgb="FF000000"/>
            </x14:dataBar>
          </x14:cfRule>
          <xm:sqref>Y3474</xm:sqref>
        </x14:conditionalFormatting>
        <x14:conditionalFormatting xmlns:xm="http://schemas.microsoft.com/office/excel/2006/main">
          <x14:cfRule type="dataBar" id="{F9AC1AAB-AC05-4CC7-A269-18384C7FACEA}">
            <x14:dataBar minLength="0" maxLength="100" border="1" gradient="0">
              <x14:cfvo type="num">
                <xm:f>0</xm:f>
              </x14:cfvo>
              <x14:cfvo type="num">
                <xm:f>1</xm:f>
              </x14:cfvo>
              <x14:borderColor theme="0"/>
              <x14:negativeFillColor rgb="FFFF0000"/>
              <x14:axisColor rgb="FF000000"/>
            </x14:dataBar>
          </x14:cfRule>
          <xm:sqref>Y3476</xm:sqref>
        </x14:conditionalFormatting>
        <x14:conditionalFormatting xmlns:xm="http://schemas.microsoft.com/office/excel/2006/main">
          <x14:cfRule type="dataBar" id="{401C252E-BEB2-49CC-A085-946BCD7534BC}">
            <x14:dataBar minLength="0" maxLength="100" border="1" gradient="0">
              <x14:cfvo type="num">
                <xm:f>0</xm:f>
              </x14:cfvo>
              <x14:cfvo type="num">
                <xm:f>1</xm:f>
              </x14:cfvo>
              <x14:borderColor theme="0"/>
              <x14:negativeFillColor rgb="FFFF0000"/>
              <x14:axisColor rgb="FF000000"/>
            </x14:dataBar>
          </x14:cfRule>
          <xm:sqref>Y3478</xm:sqref>
        </x14:conditionalFormatting>
        <x14:conditionalFormatting xmlns:xm="http://schemas.microsoft.com/office/excel/2006/main">
          <x14:cfRule type="dataBar" id="{18685379-A2CD-4524-84D7-38DB7403C107}">
            <x14:dataBar minLength="0" maxLength="100" border="1" gradient="0">
              <x14:cfvo type="num">
                <xm:f>0</xm:f>
              </x14:cfvo>
              <x14:cfvo type="num">
                <xm:f>1</xm:f>
              </x14:cfvo>
              <x14:borderColor theme="0"/>
              <x14:negativeFillColor rgb="FFFF0000"/>
              <x14:axisColor rgb="FF000000"/>
            </x14:dataBar>
          </x14:cfRule>
          <xm:sqref>Y3480</xm:sqref>
        </x14:conditionalFormatting>
        <x14:conditionalFormatting xmlns:xm="http://schemas.microsoft.com/office/excel/2006/main">
          <x14:cfRule type="dataBar" id="{31015E40-5379-4F5E-A897-7D08FA86BA4C}">
            <x14:dataBar minLength="0" maxLength="100" border="1" gradient="0">
              <x14:cfvo type="num">
                <xm:f>0</xm:f>
              </x14:cfvo>
              <x14:cfvo type="num">
                <xm:f>1</xm:f>
              </x14:cfvo>
              <x14:borderColor theme="0"/>
              <x14:negativeFillColor rgb="FFFF0000"/>
              <x14:axisColor rgb="FF000000"/>
            </x14:dataBar>
          </x14:cfRule>
          <xm:sqref>Y3482</xm:sqref>
        </x14:conditionalFormatting>
        <x14:conditionalFormatting xmlns:xm="http://schemas.microsoft.com/office/excel/2006/main">
          <x14:cfRule type="dataBar" id="{DAEB7676-2744-4846-922B-939A84A4EC74}">
            <x14:dataBar minLength="0" maxLength="100" border="1" gradient="0">
              <x14:cfvo type="num">
                <xm:f>0</xm:f>
              </x14:cfvo>
              <x14:cfvo type="num">
                <xm:f>1</xm:f>
              </x14:cfvo>
              <x14:borderColor theme="0"/>
              <x14:negativeFillColor rgb="FFFF0000"/>
              <x14:axisColor rgb="FF000000"/>
            </x14:dataBar>
          </x14:cfRule>
          <xm:sqref>Y3484</xm:sqref>
        </x14:conditionalFormatting>
        <x14:conditionalFormatting xmlns:xm="http://schemas.microsoft.com/office/excel/2006/main">
          <x14:cfRule type="dataBar" id="{48453305-E034-4B85-9293-26FDCB955344}">
            <x14:dataBar minLength="0" maxLength="100" border="1" gradient="0">
              <x14:cfvo type="num">
                <xm:f>0</xm:f>
              </x14:cfvo>
              <x14:cfvo type="num">
                <xm:f>1</xm:f>
              </x14:cfvo>
              <x14:borderColor theme="0"/>
              <x14:negativeFillColor rgb="FFFF0000"/>
              <x14:axisColor rgb="FF000000"/>
            </x14:dataBar>
          </x14:cfRule>
          <xm:sqref>Y3486</xm:sqref>
        </x14:conditionalFormatting>
        <x14:conditionalFormatting xmlns:xm="http://schemas.microsoft.com/office/excel/2006/main">
          <x14:cfRule type="dataBar" id="{CC285E1F-3672-4B6E-B4E9-B7EA3347D508}">
            <x14:dataBar minLength="0" maxLength="100" border="1" gradient="0">
              <x14:cfvo type="num">
                <xm:f>0</xm:f>
              </x14:cfvo>
              <x14:cfvo type="num">
                <xm:f>1</xm:f>
              </x14:cfvo>
              <x14:borderColor theme="0"/>
              <x14:negativeFillColor rgb="FFFF0000"/>
              <x14:axisColor rgb="FF000000"/>
            </x14:dataBar>
          </x14:cfRule>
          <xm:sqref>Y3489</xm:sqref>
        </x14:conditionalFormatting>
        <x14:conditionalFormatting xmlns:xm="http://schemas.microsoft.com/office/excel/2006/main">
          <x14:cfRule type="dataBar" id="{E2DDE3F0-EB7C-40C7-8215-7A984B151DAB}">
            <x14:dataBar minLength="0" maxLength="100" border="1" gradient="0">
              <x14:cfvo type="num">
                <xm:f>0</xm:f>
              </x14:cfvo>
              <x14:cfvo type="num">
                <xm:f>1</xm:f>
              </x14:cfvo>
              <x14:borderColor theme="0"/>
              <x14:negativeFillColor rgb="FFFF0000"/>
              <x14:axisColor rgb="FF000000"/>
            </x14:dataBar>
          </x14:cfRule>
          <xm:sqref>Y3491</xm:sqref>
        </x14:conditionalFormatting>
        <x14:conditionalFormatting xmlns:xm="http://schemas.microsoft.com/office/excel/2006/main">
          <x14:cfRule type="dataBar" id="{9B0AF245-459D-4A0B-9CCB-DB92126DAF72}">
            <x14:dataBar minLength="0" maxLength="100" border="1" gradient="0">
              <x14:cfvo type="num">
                <xm:f>0</xm:f>
              </x14:cfvo>
              <x14:cfvo type="num">
                <xm:f>1</xm:f>
              </x14:cfvo>
              <x14:borderColor theme="0"/>
              <x14:negativeFillColor rgb="FFFF0000"/>
              <x14:axisColor rgb="FF000000"/>
            </x14:dataBar>
          </x14:cfRule>
          <xm:sqref>Y3493</xm:sqref>
        </x14:conditionalFormatting>
        <x14:conditionalFormatting xmlns:xm="http://schemas.microsoft.com/office/excel/2006/main">
          <x14:cfRule type="dataBar" id="{87C2D8CF-8818-4D0F-A2B9-1ABD31373161}">
            <x14:dataBar minLength="0" maxLength="100" border="1" gradient="0">
              <x14:cfvo type="num">
                <xm:f>0</xm:f>
              </x14:cfvo>
              <x14:cfvo type="num">
                <xm:f>1</xm:f>
              </x14:cfvo>
              <x14:borderColor theme="0"/>
              <x14:negativeFillColor rgb="FFFF0000"/>
              <x14:axisColor rgb="FF000000"/>
            </x14:dataBar>
          </x14:cfRule>
          <xm:sqref>Y3495</xm:sqref>
        </x14:conditionalFormatting>
        <x14:conditionalFormatting xmlns:xm="http://schemas.microsoft.com/office/excel/2006/main">
          <x14:cfRule type="dataBar" id="{1B0601D9-9B02-4DD9-98F7-355B6EF98AC5}">
            <x14:dataBar minLength="0" maxLength="100" border="1" gradient="0">
              <x14:cfvo type="num">
                <xm:f>0</xm:f>
              </x14:cfvo>
              <x14:cfvo type="num">
                <xm:f>1</xm:f>
              </x14:cfvo>
              <x14:borderColor theme="0"/>
              <x14:negativeFillColor rgb="FFFF0000"/>
              <x14:axisColor rgb="FF000000"/>
            </x14:dataBar>
          </x14:cfRule>
          <xm:sqref>Y3497</xm:sqref>
        </x14:conditionalFormatting>
        <x14:conditionalFormatting xmlns:xm="http://schemas.microsoft.com/office/excel/2006/main">
          <x14:cfRule type="dataBar" id="{BD058863-9924-42E0-A697-ADD8A428A2B7}">
            <x14:dataBar minLength="0" maxLength="100" border="1" gradient="0">
              <x14:cfvo type="num">
                <xm:f>0</xm:f>
              </x14:cfvo>
              <x14:cfvo type="num">
                <xm:f>1</xm:f>
              </x14:cfvo>
              <x14:borderColor theme="0"/>
              <x14:negativeFillColor rgb="FFFF0000"/>
              <x14:axisColor rgb="FF000000"/>
            </x14:dataBar>
          </x14:cfRule>
          <xm:sqref>Y3499</xm:sqref>
        </x14:conditionalFormatting>
        <x14:conditionalFormatting xmlns:xm="http://schemas.microsoft.com/office/excel/2006/main">
          <x14:cfRule type="dataBar" id="{ECCE0FD1-6F93-4074-AB9B-E502C7E4B8FF}">
            <x14:dataBar minLength="0" maxLength="100" border="1" gradient="0">
              <x14:cfvo type="num">
                <xm:f>0</xm:f>
              </x14:cfvo>
              <x14:cfvo type="num">
                <xm:f>1</xm:f>
              </x14:cfvo>
              <x14:borderColor theme="0"/>
              <x14:negativeFillColor rgb="FFFF0000"/>
              <x14:axisColor rgb="FF000000"/>
            </x14:dataBar>
          </x14:cfRule>
          <xm:sqref>Y3503</xm:sqref>
        </x14:conditionalFormatting>
        <x14:conditionalFormatting xmlns:xm="http://schemas.microsoft.com/office/excel/2006/main">
          <x14:cfRule type="dataBar" id="{D78D4ECD-6686-4EA3-8E8E-17B0A227CC32}">
            <x14:dataBar minLength="0" maxLength="100" border="1" gradient="0">
              <x14:cfvo type="num">
                <xm:f>0</xm:f>
              </x14:cfvo>
              <x14:cfvo type="num">
                <xm:f>1</xm:f>
              </x14:cfvo>
              <x14:borderColor theme="0"/>
              <x14:negativeFillColor rgb="FFFF0000"/>
              <x14:axisColor rgb="FF000000"/>
            </x14:dataBar>
          </x14:cfRule>
          <xm:sqref>Y3506</xm:sqref>
        </x14:conditionalFormatting>
        <x14:conditionalFormatting xmlns:xm="http://schemas.microsoft.com/office/excel/2006/main">
          <x14:cfRule type="dataBar" id="{AE25DD39-5D3C-4BFD-A8CE-3A0D123786E3}">
            <x14:dataBar minLength="0" maxLength="100" border="1" gradient="0">
              <x14:cfvo type="num">
                <xm:f>0</xm:f>
              </x14:cfvo>
              <x14:cfvo type="num">
                <xm:f>1</xm:f>
              </x14:cfvo>
              <x14:borderColor theme="0"/>
              <x14:negativeFillColor rgb="FFFF0000"/>
              <x14:axisColor rgb="FF000000"/>
            </x14:dataBar>
          </x14:cfRule>
          <xm:sqref>Y3508</xm:sqref>
        </x14:conditionalFormatting>
        <x14:conditionalFormatting xmlns:xm="http://schemas.microsoft.com/office/excel/2006/main">
          <x14:cfRule type="dataBar" id="{F59BFAD4-398F-43F4-975E-64478BC16308}">
            <x14:dataBar minLength="0" maxLength="100" border="1" gradient="0">
              <x14:cfvo type="num">
                <xm:f>0</xm:f>
              </x14:cfvo>
              <x14:cfvo type="num">
                <xm:f>1</xm:f>
              </x14:cfvo>
              <x14:borderColor theme="0"/>
              <x14:negativeFillColor rgb="FFFF0000"/>
              <x14:axisColor rgb="FF000000"/>
            </x14:dataBar>
          </x14:cfRule>
          <xm:sqref>Y3510</xm:sqref>
        </x14:conditionalFormatting>
        <x14:conditionalFormatting xmlns:xm="http://schemas.microsoft.com/office/excel/2006/main">
          <x14:cfRule type="dataBar" id="{0CDD7D37-A68F-43BC-9F07-349ADF11E51E}">
            <x14:dataBar minLength="0" maxLength="100" border="1" gradient="0">
              <x14:cfvo type="num">
                <xm:f>0</xm:f>
              </x14:cfvo>
              <x14:cfvo type="num">
                <xm:f>1</xm:f>
              </x14:cfvo>
              <x14:borderColor theme="0"/>
              <x14:negativeFillColor rgb="FFFF0000"/>
              <x14:axisColor rgb="FF000000"/>
            </x14:dataBar>
          </x14:cfRule>
          <xm:sqref>Y3512</xm:sqref>
        </x14:conditionalFormatting>
        <x14:conditionalFormatting xmlns:xm="http://schemas.microsoft.com/office/excel/2006/main">
          <x14:cfRule type="dataBar" id="{FA885BA0-F3CF-473B-8EB4-6BD1DA5723CE}">
            <x14:dataBar minLength="0" maxLength="100" border="1" gradient="0">
              <x14:cfvo type="num">
                <xm:f>0</xm:f>
              </x14:cfvo>
              <x14:cfvo type="num">
                <xm:f>1</xm:f>
              </x14:cfvo>
              <x14:borderColor theme="0"/>
              <x14:negativeFillColor rgb="FFFF0000"/>
              <x14:axisColor rgb="FF000000"/>
            </x14:dataBar>
          </x14:cfRule>
          <xm:sqref>Y3514</xm:sqref>
        </x14:conditionalFormatting>
        <x14:conditionalFormatting xmlns:xm="http://schemas.microsoft.com/office/excel/2006/main">
          <x14:cfRule type="dataBar" id="{01161941-D34A-44C6-A936-517B1580AA82}">
            <x14:dataBar minLength="0" maxLength="100" border="1" gradient="0">
              <x14:cfvo type="num">
                <xm:f>0</xm:f>
              </x14:cfvo>
              <x14:cfvo type="num">
                <xm:f>1</xm:f>
              </x14:cfvo>
              <x14:borderColor theme="0"/>
              <x14:negativeFillColor rgb="FFFF0000"/>
              <x14:axisColor rgb="FF000000"/>
            </x14:dataBar>
          </x14:cfRule>
          <xm:sqref>AD10</xm:sqref>
        </x14:conditionalFormatting>
        <x14:conditionalFormatting xmlns:xm="http://schemas.microsoft.com/office/excel/2006/main">
          <x14:cfRule type="dataBar" id="{E5066AB3-65B6-492F-8B49-F2B4D3E77861}">
            <x14:dataBar minLength="0" maxLength="100" border="1" gradient="0">
              <x14:cfvo type="num">
                <xm:f>0</xm:f>
              </x14:cfvo>
              <x14:cfvo type="num">
                <xm:f>1</xm:f>
              </x14:cfvo>
              <x14:borderColor theme="0"/>
              <x14:negativeFillColor rgb="FFFF0000"/>
              <x14:axisColor rgb="FF000000"/>
            </x14:dataBar>
          </x14:cfRule>
          <xm:sqref>AD14</xm:sqref>
        </x14:conditionalFormatting>
        <x14:conditionalFormatting xmlns:xm="http://schemas.microsoft.com/office/excel/2006/main">
          <x14:cfRule type="dataBar" id="{FD7C8C21-6BBF-4997-A481-C0FDCBF767DE}">
            <x14:dataBar minLength="0" maxLength="100" border="1" gradient="0">
              <x14:cfvo type="num">
                <xm:f>0</xm:f>
              </x14:cfvo>
              <x14:cfvo type="num">
                <xm:f>1</xm:f>
              </x14:cfvo>
              <x14:borderColor theme="0"/>
              <x14:negativeFillColor rgb="FFFF0000"/>
              <x14:axisColor rgb="FF000000"/>
            </x14:dataBar>
          </x14:cfRule>
          <xm:sqref>AD16</xm:sqref>
        </x14:conditionalFormatting>
        <x14:conditionalFormatting xmlns:xm="http://schemas.microsoft.com/office/excel/2006/main">
          <x14:cfRule type="dataBar" id="{910A78CB-C637-4491-8A71-8ED4786658FE}">
            <x14:dataBar minLength="0" maxLength="100" border="1" gradient="0">
              <x14:cfvo type="num">
                <xm:f>0</xm:f>
              </x14:cfvo>
              <x14:cfvo type="num">
                <xm:f>1</xm:f>
              </x14:cfvo>
              <x14:borderColor theme="0"/>
              <x14:negativeFillColor rgb="FFFF0000"/>
              <x14:axisColor rgb="FF000000"/>
            </x14:dataBar>
          </x14:cfRule>
          <xm:sqref>AD18 AD72 AD20 AD22 AD24 AD26 AD28 AD30 AD32 AD34 AD36 AD38 AD40 AD42 AD44 AD46 AD48 AD50 AD52 AD54 AD56 AD58 AD60 AD62 AD64 AD66 AD68</xm:sqref>
        </x14:conditionalFormatting>
        <x14:conditionalFormatting xmlns:xm="http://schemas.microsoft.com/office/excel/2006/main">
          <x14:cfRule type="dataBar" id="{14E88DE9-2E5E-43F1-B6CD-54E89258D8B3}">
            <x14:dataBar minLength="0" maxLength="100" border="1" gradient="0">
              <x14:cfvo type="num">
                <xm:f>0</xm:f>
              </x14:cfvo>
              <x14:cfvo type="num">
                <xm:f>1</xm:f>
              </x14:cfvo>
              <x14:borderColor theme="0"/>
              <x14:negativeFillColor rgb="FFFF0000"/>
              <x14:axisColor rgb="FF000000"/>
            </x14:dataBar>
          </x14:cfRule>
          <xm:sqref>AD70</xm:sqref>
        </x14:conditionalFormatting>
        <x14:conditionalFormatting xmlns:xm="http://schemas.microsoft.com/office/excel/2006/main">
          <x14:cfRule type="dataBar" id="{3D05A9F9-E69D-4899-8292-AFB99DBD3B72}">
            <x14:dataBar minLength="0" maxLength="100" border="1" gradient="0">
              <x14:cfvo type="num">
                <xm:f>0</xm:f>
              </x14:cfvo>
              <x14:cfvo type="num">
                <xm:f>1</xm:f>
              </x14:cfvo>
              <x14:borderColor theme="0"/>
              <x14:negativeFillColor rgb="FFFF0000"/>
              <x14:axisColor rgb="FF000000"/>
            </x14:dataBar>
          </x14:cfRule>
          <xm:sqref>AD74 AD156 AD104 AD106 AD108 AD110 AD112 AD114 AD116 AD118 AD120 AD122 AD124 AD126 AD128 AD130 AD132 AD134 AD136 AD138 AD140 AD142 AD144 AD146 AD148 AD150 AD152 AD154 AD158 AD162</xm:sqref>
        </x14:conditionalFormatting>
        <x14:conditionalFormatting xmlns:xm="http://schemas.microsoft.com/office/excel/2006/main">
          <x14:cfRule type="dataBar" id="{E8662BC8-BFA5-4211-8C88-831ABF74084B}">
            <x14:dataBar minLength="0" maxLength="100" border="1" gradient="0">
              <x14:cfvo type="num">
                <xm:f>0</xm:f>
              </x14:cfvo>
              <x14:cfvo type="num">
                <xm:f>1</xm:f>
              </x14:cfvo>
              <x14:borderColor theme="0"/>
              <x14:negativeFillColor rgb="FFFF0000"/>
              <x14:axisColor rgb="FF000000"/>
            </x14:dataBar>
          </x14:cfRule>
          <xm:sqref>AD76</xm:sqref>
        </x14:conditionalFormatting>
        <x14:conditionalFormatting xmlns:xm="http://schemas.microsoft.com/office/excel/2006/main">
          <x14:cfRule type="dataBar" id="{1AECC507-BBD1-4625-81BC-AE6B2BCCE78F}">
            <x14:dataBar minLength="0" maxLength="100" border="1" gradient="0">
              <x14:cfvo type="num">
                <xm:f>0</xm:f>
              </x14:cfvo>
              <x14:cfvo type="num">
                <xm:f>1</xm:f>
              </x14:cfvo>
              <x14:borderColor theme="0"/>
              <x14:negativeFillColor rgb="FFFF0000"/>
              <x14:axisColor rgb="FF000000"/>
            </x14:dataBar>
          </x14:cfRule>
          <xm:sqref>AD78</xm:sqref>
        </x14:conditionalFormatting>
        <x14:conditionalFormatting xmlns:xm="http://schemas.microsoft.com/office/excel/2006/main">
          <x14:cfRule type="dataBar" id="{6ADCBE1E-B153-4335-9B62-EBD47A11DDC4}">
            <x14:dataBar minLength="0" maxLength="100" border="1" gradient="0">
              <x14:cfvo type="num">
                <xm:f>0</xm:f>
              </x14:cfvo>
              <x14:cfvo type="num">
                <xm:f>1</xm:f>
              </x14:cfvo>
              <x14:borderColor theme="0"/>
              <x14:negativeFillColor rgb="FFFF0000"/>
              <x14:axisColor rgb="FF000000"/>
            </x14:dataBar>
          </x14:cfRule>
          <xm:sqref>AD80</xm:sqref>
        </x14:conditionalFormatting>
        <x14:conditionalFormatting xmlns:xm="http://schemas.microsoft.com/office/excel/2006/main">
          <x14:cfRule type="dataBar" id="{E5D9A6FF-7AFE-41E2-85A6-99E6737FD602}">
            <x14:dataBar minLength="0" maxLength="100" border="1" gradient="0">
              <x14:cfvo type="num">
                <xm:f>0</xm:f>
              </x14:cfvo>
              <x14:cfvo type="num">
                <xm:f>1</xm:f>
              </x14:cfvo>
              <x14:borderColor theme="0"/>
              <x14:negativeFillColor rgb="FFFF0000"/>
              <x14:axisColor rgb="FF000000"/>
            </x14:dataBar>
          </x14:cfRule>
          <xm:sqref>AD82</xm:sqref>
        </x14:conditionalFormatting>
        <x14:conditionalFormatting xmlns:xm="http://schemas.microsoft.com/office/excel/2006/main">
          <x14:cfRule type="dataBar" id="{E301A871-3285-41FA-B441-A6B0CCCE9B1A}">
            <x14:dataBar minLength="0" maxLength="100" border="1" gradient="0">
              <x14:cfvo type="num">
                <xm:f>0</xm:f>
              </x14:cfvo>
              <x14:cfvo type="num">
                <xm:f>1</xm:f>
              </x14:cfvo>
              <x14:borderColor theme="0"/>
              <x14:negativeFillColor rgb="FFFF0000"/>
              <x14:axisColor rgb="FF000000"/>
            </x14:dataBar>
          </x14:cfRule>
          <xm:sqref>AD84</xm:sqref>
        </x14:conditionalFormatting>
        <x14:conditionalFormatting xmlns:xm="http://schemas.microsoft.com/office/excel/2006/main">
          <x14:cfRule type="dataBar" id="{B9E5EFB4-955F-4A23-BBB9-3FC7FE17EB9A}">
            <x14:dataBar minLength="0" maxLength="100" border="1" gradient="0">
              <x14:cfvo type="num">
                <xm:f>0</xm:f>
              </x14:cfvo>
              <x14:cfvo type="num">
                <xm:f>1</xm:f>
              </x14:cfvo>
              <x14:borderColor theme="0"/>
              <x14:negativeFillColor rgb="FFFF0000"/>
              <x14:axisColor rgb="FF000000"/>
            </x14:dataBar>
          </x14:cfRule>
          <xm:sqref>AD86</xm:sqref>
        </x14:conditionalFormatting>
        <x14:conditionalFormatting xmlns:xm="http://schemas.microsoft.com/office/excel/2006/main">
          <x14:cfRule type="dataBar" id="{C1077203-4990-4D3C-9C67-39759A6E1D7E}">
            <x14:dataBar minLength="0" maxLength="100" border="1" gradient="0">
              <x14:cfvo type="num">
                <xm:f>0</xm:f>
              </x14:cfvo>
              <x14:cfvo type="num">
                <xm:f>1</xm:f>
              </x14:cfvo>
              <x14:borderColor theme="0"/>
              <x14:negativeFillColor rgb="FFFF0000"/>
              <x14:axisColor rgb="FF000000"/>
            </x14:dataBar>
          </x14:cfRule>
          <xm:sqref>AD88</xm:sqref>
        </x14:conditionalFormatting>
        <x14:conditionalFormatting xmlns:xm="http://schemas.microsoft.com/office/excel/2006/main">
          <x14:cfRule type="dataBar" id="{0394FD5B-3D80-4AAB-820B-BB69A189EFF5}">
            <x14:dataBar minLength="0" maxLength="100" border="1" gradient="0">
              <x14:cfvo type="num">
                <xm:f>0</xm:f>
              </x14:cfvo>
              <x14:cfvo type="num">
                <xm:f>1</xm:f>
              </x14:cfvo>
              <x14:borderColor theme="0"/>
              <x14:negativeFillColor rgb="FFFF0000"/>
              <x14:axisColor rgb="FF000000"/>
            </x14:dataBar>
          </x14:cfRule>
          <xm:sqref>AD90</xm:sqref>
        </x14:conditionalFormatting>
        <x14:conditionalFormatting xmlns:xm="http://schemas.microsoft.com/office/excel/2006/main">
          <x14:cfRule type="dataBar" id="{B5D40478-A958-44F8-961E-BDA6EDBDA1C7}">
            <x14:dataBar minLength="0" maxLength="100" border="1" gradient="0">
              <x14:cfvo type="num">
                <xm:f>0</xm:f>
              </x14:cfvo>
              <x14:cfvo type="num">
                <xm:f>1</xm:f>
              </x14:cfvo>
              <x14:borderColor theme="0"/>
              <x14:negativeFillColor rgb="FFFF0000"/>
              <x14:axisColor rgb="FF000000"/>
            </x14:dataBar>
          </x14:cfRule>
          <xm:sqref>AD92</xm:sqref>
        </x14:conditionalFormatting>
        <x14:conditionalFormatting xmlns:xm="http://schemas.microsoft.com/office/excel/2006/main">
          <x14:cfRule type="dataBar" id="{C303AA53-4A1A-466E-A916-40673253979C}">
            <x14:dataBar minLength="0" maxLength="100" border="1" gradient="0">
              <x14:cfvo type="num">
                <xm:f>0</xm:f>
              </x14:cfvo>
              <x14:cfvo type="num">
                <xm:f>1</xm:f>
              </x14:cfvo>
              <x14:borderColor theme="0"/>
              <x14:negativeFillColor rgb="FFFF0000"/>
              <x14:axisColor rgb="FF000000"/>
            </x14:dataBar>
          </x14:cfRule>
          <xm:sqref>AD94</xm:sqref>
        </x14:conditionalFormatting>
        <x14:conditionalFormatting xmlns:xm="http://schemas.microsoft.com/office/excel/2006/main">
          <x14:cfRule type="dataBar" id="{1A9FA727-F24E-4ACD-A9F6-16966CF55E05}">
            <x14:dataBar minLength="0" maxLength="100" border="1" gradient="0">
              <x14:cfvo type="num">
                <xm:f>0</xm:f>
              </x14:cfvo>
              <x14:cfvo type="num">
                <xm:f>1</xm:f>
              </x14:cfvo>
              <x14:borderColor theme="0"/>
              <x14:negativeFillColor rgb="FFFF0000"/>
              <x14:axisColor rgb="FF000000"/>
            </x14:dataBar>
          </x14:cfRule>
          <xm:sqref>AD96</xm:sqref>
        </x14:conditionalFormatting>
        <x14:conditionalFormatting xmlns:xm="http://schemas.microsoft.com/office/excel/2006/main">
          <x14:cfRule type="dataBar" id="{C550A7B8-DB97-432E-985A-BE8966FB21A8}">
            <x14:dataBar minLength="0" maxLength="100" border="1" gradient="0">
              <x14:cfvo type="num">
                <xm:f>0</xm:f>
              </x14:cfvo>
              <x14:cfvo type="num">
                <xm:f>1</xm:f>
              </x14:cfvo>
              <x14:borderColor theme="0"/>
              <x14:negativeFillColor rgb="FFFF0000"/>
              <x14:axisColor rgb="FF000000"/>
            </x14:dataBar>
          </x14:cfRule>
          <xm:sqref>AD98</xm:sqref>
        </x14:conditionalFormatting>
        <x14:conditionalFormatting xmlns:xm="http://schemas.microsoft.com/office/excel/2006/main">
          <x14:cfRule type="dataBar" id="{6E391B6E-F381-4DC4-83F7-35027E602596}">
            <x14:dataBar minLength="0" maxLength="100" border="1" gradient="0">
              <x14:cfvo type="num">
                <xm:f>0</xm:f>
              </x14:cfvo>
              <x14:cfvo type="num">
                <xm:f>1</xm:f>
              </x14:cfvo>
              <x14:borderColor theme="0"/>
              <x14:negativeFillColor rgb="FFFF0000"/>
              <x14:axisColor rgb="FF000000"/>
            </x14:dataBar>
          </x14:cfRule>
          <xm:sqref>AD102</xm:sqref>
        </x14:conditionalFormatting>
        <x14:conditionalFormatting xmlns:xm="http://schemas.microsoft.com/office/excel/2006/main">
          <x14:cfRule type="dataBar" id="{E7A3292C-EEFA-4E1B-9272-4CFFBB5432D2}">
            <x14:dataBar minLength="0" maxLength="100" border="1" gradient="0">
              <x14:cfvo type="num">
                <xm:f>0</xm:f>
              </x14:cfvo>
              <x14:cfvo type="num">
                <xm:f>1</xm:f>
              </x14:cfvo>
              <x14:borderColor theme="0"/>
              <x14:negativeFillColor rgb="FFFF0000"/>
              <x14:axisColor rgb="FF000000"/>
            </x14:dataBar>
          </x14:cfRule>
          <xm:sqref>AD160</xm:sqref>
        </x14:conditionalFormatting>
        <x14:conditionalFormatting xmlns:xm="http://schemas.microsoft.com/office/excel/2006/main">
          <x14:cfRule type="dataBar" id="{28B37515-99DC-42C7-93DE-BD0F780AE6E0}">
            <x14:dataBar minLength="0" maxLength="100" border="1" gradient="0">
              <x14:cfvo type="num">
                <xm:f>0</xm:f>
              </x14:cfvo>
              <x14:cfvo type="num">
                <xm:f>1</xm:f>
              </x14:cfvo>
              <x14:borderColor theme="0"/>
              <x14:negativeFillColor rgb="FFFF0000"/>
              <x14:axisColor rgb="FF000000"/>
            </x14:dataBar>
          </x14:cfRule>
          <xm:sqref>AD164</xm:sqref>
        </x14:conditionalFormatting>
        <x14:conditionalFormatting xmlns:xm="http://schemas.microsoft.com/office/excel/2006/main">
          <x14:cfRule type="dataBar" id="{CA5E4991-5C4E-4CCE-A329-C58B347598CF}">
            <x14:dataBar minLength="0" maxLength="100" border="1" gradient="0">
              <x14:cfvo type="num">
                <xm:f>0</xm:f>
              </x14:cfvo>
              <x14:cfvo type="num">
                <xm:f>1</xm:f>
              </x14:cfvo>
              <x14:borderColor theme="0"/>
              <x14:negativeFillColor rgb="FFFF0000"/>
              <x14:axisColor rgb="FF000000"/>
            </x14:dataBar>
          </x14:cfRule>
          <xm:sqref>AD166</xm:sqref>
        </x14:conditionalFormatting>
        <x14:conditionalFormatting xmlns:xm="http://schemas.microsoft.com/office/excel/2006/main">
          <x14:cfRule type="dataBar" id="{98F4AAA2-C24E-44E5-82B6-B508FD72A4F9}">
            <x14:dataBar minLength="0" maxLength="100" border="1" gradient="0">
              <x14:cfvo type="num">
                <xm:f>0</xm:f>
              </x14:cfvo>
              <x14:cfvo type="num">
                <xm:f>1</xm:f>
              </x14:cfvo>
              <x14:borderColor theme="0"/>
              <x14:negativeFillColor rgb="FFFF0000"/>
              <x14:axisColor rgb="FF000000"/>
            </x14:dataBar>
          </x14:cfRule>
          <xm:sqref>AD168</xm:sqref>
        </x14:conditionalFormatting>
        <x14:conditionalFormatting xmlns:xm="http://schemas.microsoft.com/office/excel/2006/main">
          <x14:cfRule type="dataBar" id="{F216E675-2BE0-4627-9E68-310E8CE03EBC}">
            <x14:dataBar minLength="0" maxLength="100" border="1" gradient="0">
              <x14:cfvo type="num">
                <xm:f>0</xm:f>
              </x14:cfvo>
              <x14:cfvo type="num">
                <xm:f>1</xm:f>
              </x14:cfvo>
              <x14:borderColor theme="0"/>
              <x14:negativeFillColor rgb="FFFF0000"/>
              <x14:axisColor rgb="FF000000"/>
            </x14:dataBar>
          </x14:cfRule>
          <xm:sqref>AD170</xm:sqref>
        </x14:conditionalFormatting>
        <x14:conditionalFormatting xmlns:xm="http://schemas.microsoft.com/office/excel/2006/main">
          <x14:cfRule type="dataBar" id="{2F80F9E7-70D8-42C6-A7EF-E833DBE0B15B}">
            <x14:dataBar minLength="0" maxLength="100" border="1" gradient="0">
              <x14:cfvo type="num">
                <xm:f>0</xm:f>
              </x14:cfvo>
              <x14:cfvo type="num">
                <xm:f>1</xm:f>
              </x14:cfvo>
              <x14:borderColor theme="0"/>
              <x14:negativeFillColor rgb="FFFF0000"/>
              <x14:axisColor rgb="FF000000"/>
            </x14:dataBar>
          </x14:cfRule>
          <xm:sqref>AD172</xm:sqref>
        </x14:conditionalFormatting>
        <x14:conditionalFormatting xmlns:xm="http://schemas.microsoft.com/office/excel/2006/main">
          <x14:cfRule type="dataBar" id="{CDF4E37C-464E-4E7E-BFC9-032C5F36C57E}">
            <x14:dataBar minLength="0" maxLength="100" border="1" gradient="0">
              <x14:cfvo type="num">
                <xm:f>0</xm:f>
              </x14:cfvo>
              <x14:cfvo type="num">
                <xm:f>1</xm:f>
              </x14:cfvo>
              <x14:borderColor theme="0"/>
              <x14:negativeFillColor rgb="FFFF0000"/>
              <x14:axisColor rgb="FF000000"/>
            </x14:dataBar>
          </x14:cfRule>
          <xm:sqref>AD176</xm:sqref>
        </x14:conditionalFormatting>
        <x14:conditionalFormatting xmlns:xm="http://schemas.microsoft.com/office/excel/2006/main">
          <x14:cfRule type="dataBar" id="{310F9369-67F4-4F3B-8F37-28DEA27AC462}">
            <x14:dataBar minLength="0" maxLength="100" border="1" gradient="0">
              <x14:cfvo type="num">
                <xm:f>0</xm:f>
              </x14:cfvo>
              <x14:cfvo type="num">
                <xm:f>1</xm:f>
              </x14:cfvo>
              <x14:borderColor theme="0"/>
              <x14:negativeFillColor rgb="FFFF0000"/>
              <x14:axisColor rgb="FF000000"/>
            </x14:dataBar>
          </x14:cfRule>
          <xm:sqref>AD196 AD178 AD180 AD182 AD184 AD186 AD188 AD190 AD192 AD194 AD198 AD200 AD202 AD204</xm:sqref>
        </x14:conditionalFormatting>
        <x14:conditionalFormatting xmlns:xm="http://schemas.microsoft.com/office/excel/2006/main">
          <x14:cfRule type="dataBar" id="{2CEB4273-B7F5-48B5-A4FC-A107B25723BD}">
            <x14:dataBar minLength="0" maxLength="100" border="1" gradient="0">
              <x14:cfvo type="num">
                <xm:f>0</xm:f>
              </x14:cfvo>
              <x14:cfvo type="num">
                <xm:f>1</xm:f>
              </x14:cfvo>
              <x14:borderColor theme="0"/>
              <x14:negativeFillColor rgb="FFFF0000"/>
              <x14:axisColor rgb="FF000000"/>
            </x14:dataBar>
          </x14:cfRule>
          <xm:sqref>AD206</xm:sqref>
        </x14:conditionalFormatting>
        <x14:conditionalFormatting xmlns:xm="http://schemas.microsoft.com/office/excel/2006/main">
          <x14:cfRule type="dataBar" id="{D7567200-5D13-451B-8DD0-58B4199F61A2}">
            <x14:dataBar minLength="0" maxLength="100" border="1" gradient="0">
              <x14:cfvo type="num">
                <xm:f>0</xm:f>
              </x14:cfvo>
              <x14:cfvo type="num">
                <xm:f>1</xm:f>
              </x14:cfvo>
              <x14:borderColor theme="0"/>
              <x14:negativeFillColor rgb="FFFF0000"/>
              <x14:axisColor rgb="FF000000"/>
            </x14:dataBar>
          </x14:cfRule>
          <xm:sqref>AD208</xm:sqref>
        </x14:conditionalFormatting>
        <x14:conditionalFormatting xmlns:xm="http://schemas.microsoft.com/office/excel/2006/main">
          <x14:cfRule type="dataBar" id="{B0931B26-9361-4EA6-984A-5907BCF6821C}">
            <x14:dataBar minLength="0" maxLength="100" border="1" gradient="0">
              <x14:cfvo type="num">
                <xm:f>0</xm:f>
              </x14:cfvo>
              <x14:cfvo type="num">
                <xm:f>1</xm:f>
              </x14:cfvo>
              <x14:borderColor theme="0"/>
              <x14:negativeFillColor rgb="FFFF0000"/>
              <x14:axisColor rgb="FF000000"/>
            </x14:dataBar>
          </x14:cfRule>
          <xm:sqref>AD210</xm:sqref>
        </x14:conditionalFormatting>
        <x14:conditionalFormatting xmlns:xm="http://schemas.microsoft.com/office/excel/2006/main">
          <x14:cfRule type="dataBar" id="{8664CA38-1B59-4387-B708-69B0DB6234E8}">
            <x14:dataBar minLength="0" maxLength="100" border="1" gradient="0">
              <x14:cfvo type="num">
                <xm:f>0</xm:f>
              </x14:cfvo>
              <x14:cfvo type="num">
                <xm:f>1</xm:f>
              </x14:cfvo>
              <x14:borderColor theme="0"/>
              <x14:negativeFillColor rgb="FFFF0000"/>
              <x14:axisColor rgb="FF000000"/>
            </x14:dataBar>
          </x14:cfRule>
          <xm:sqref>AD212</xm:sqref>
        </x14:conditionalFormatting>
        <x14:conditionalFormatting xmlns:xm="http://schemas.microsoft.com/office/excel/2006/main">
          <x14:cfRule type="dataBar" id="{14556FD5-2C27-4041-9DB2-7D2E0D7AE207}">
            <x14:dataBar minLength="0" maxLength="100" border="1" gradient="0">
              <x14:cfvo type="num">
                <xm:f>0</xm:f>
              </x14:cfvo>
              <x14:cfvo type="num">
                <xm:f>1</xm:f>
              </x14:cfvo>
              <x14:borderColor theme="0"/>
              <x14:negativeFillColor rgb="FFFF0000"/>
              <x14:axisColor rgb="FF000000"/>
            </x14:dataBar>
          </x14:cfRule>
          <xm:sqref>AD214</xm:sqref>
        </x14:conditionalFormatting>
        <x14:conditionalFormatting xmlns:xm="http://schemas.microsoft.com/office/excel/2006/main">
          <x14:cfRule type="dataBar" id="{75C3D431-68DD-477C-B02A-FBF49E1FEB3C}">
            <x14:dataBar minLength="0" maxLength="100" border="1" gradient="0">
              <x14:cfvo type="num">
                <xm:f>0</xm:f>
              </x14:cfvo>
              <x14:cfvo type="num">
                <xm:f>1</xm:f>
              </x14:cfvo>
              <x14:borderColor theme="0"/>
              <x14:negativeFillColor rgb="FFFF0000"/>
              <x14:axisColor rgb="FF000000"/>
            </x14:dataBar>
          </x14:cfRule>
          <xm:sqref>AD216</xm:sqref>
        </x14:conditionalFormatting>
        <x14:conditionalFormatting xmlns:xm="http://schemas.microsoft.com/office/excel/2006/main">
          <x14:cfRule type="dataBar" id="{796481A1-1F0A-4061-A2D1-62B6A97920BB}">
            <x14:dataBar minLength="0" maxLength="100" border="1" gradient="0">
              <x14:cfvo type="num">
                <xm:f>0</xm:f>
              </x14:cfvo>
              <x14:cfvo type="num">
                <xm:f>1</xm:f>
              </x14:cfvo>
              <x14:borderColor theme="0"/>
              <x14:negativeFillColor rgb="FFFF0000"/>
              <x14:axisColor rgb="FF000000"/>
            </x14:dataBar>
          </x14:cfRule>
          <xm:sqref>AD218</xm:sqref>
        </x14:conditionalFormatting>
        <x14:conditionalFormatting xmlns:xm="http://schemas.microsoft.com/office/excel/2006/main">
          <x14:cfRule type="dataBar" id="{4704505E-0290-4C94-A16D-884B43A60096}">
            <x14:dataBar minLength="0" maxLength="100" border="1" gradient="0">
              <x14:cfvo type="num">
                <xm:f>0</xm:f>
              </x14:cfvo>
              <x14:cfvo type="num">
                <xm:f>1</xm:f>
              </x14:cfvo>
              <x14:borderColor theme="0"/>
              <x14:negativeFillColor rgb="FFFF0000"/>
              <x14:axisColor rgb="FF000000"/>
            </x14:dataBar>
          </x14:cfRule>
          <xm:sqref>AD220</xm:sqref>
        </x14:conditionalFormatting>
        <x14:conditionalFormatting xmlns:xm="http://schemas.microsoft.com/office/excel/2006/main">
          <x14:cfRule type="dataBar" id="{64D2BC8B-A71F-4784-B560-48A573F6F41E}">
            <x14:dataBar minLength="0" maxLength="100" border="1" gradient="0">
              <x14:cfvo type="num">
                <xm:f>0</xm:f>
              </x14:cfvo>
              <x14:cfvo type="num">
                <xm:f>1</xm:f>
              </x14:cfvo>
              <x14:borderColor theme="0"/>
              <x14:negativeFillColor rgb="FFFF0000"/>
              <x14:axisColor rgb="FF000000"/>
            </x14:dataBar>
          </x14:cfRule>
          <xm:sqref>AD222</xm:sqref>
        </x14:conditionalFormatting>
        <x14:conditionalFormatting xmlns:xm="http://schemas.microsoft.com/office/excel/2006/main">
          <x14:cfRule type="dataBar" id="{9B70DCE0-1544-45CA-B1B5-4E44F3041DCB}">
            <x14:dataBar minLength="0" maxLength="100" border="1" gradient="0">
              <x14:cfvo type="num">
                <xm:f>0</xm:f>
              </x14:cfvo>
              <x14:cfvo type="num">
                <xm:f>1</xm:f>
              </x14:cfvo>
              <x14:borderColor theme="0"/>
              <x14:negativeFillColor rgb="FFFF0000"/>
              <x14:axisColor rgb="FF000000"/>
            </x14:dataBar>
          </x14:cfRule>
          <xm:sqref>AD224</xm:sqref>
        </x14:conditionalFormatting>
        <x14:conditionalFormatting xmlns:xm="http://schemas.microsoft.com/office/excel/2006/main">
          <x14:cfRule type="dataBar" id="{5D8C812C-DA24-4EA0-9E2C-2D916646AA8C}">
            <x14:dataBar minLength="0" maxLength="100" border="1" gradient="0">
              <x14:cfvo type="num">
                <xm:f>0</xm:f>
              </x14:cfvo>
              <x14:cfvo type="num">
                <xm:f>1</xm:f>
              </x14:cfvo>
              <x14:borderColor theme="0"/>
              <x14:negativeFillColor rgb="FFFF0000"/>
              <x14:axisColor rgb="FF000000"/>
            </x14:dataBar>
          </x14:cfRule>
          <xm:sqref>AD226</xm:sqref>
        </x14:conditionalFormatting>
        <x14:conditionalFormatting xmlns:xm="http://schemas.microsoft.com/office/excel/2006/main">
          <x14:cfRule type="dataBar" id="{1896E702-E79B-464A-8C14-2F26E3D9CFC4}">
            <x14:dataBar minLength="0" maxLength="100" border="1" gradient="0">
              <x14:cfvo type="num">
                <xm:f>0</xm:f>
              </x14:cfvo>
              <x14:cfvo type="num">
                <xm:f>1</xm:f>
              </x14:cfvo>
              <x14:borderColor theme="0"/>
              <x14:negativeFillColor rgb="FFFF0000"/>
              <x14:axisColor rgb="FF000000"/>
            </x14:dataBar>
          </x14:cfRule>
          <xm:sqref>AD228</xm:sqref>
        </x14:conditionalFormatting>
        <x14:conditionalFormatting xmlns:xm="http://schemas.microsoft.com/office/excel/2006/main">
          <x14:cfRule type="dataBar" id="{558CF5A7-DBB0-4FB8-8F2F-26CB418CE672}">
            <x14:dataBar minLength="0" maxLength="100" border="1" gradient="0">
              <x14:cfvo type="num">
                <xm:f>0</xm:f>
              </x14:cfvo>
              <x14:cfvo type="num">
                <xm:f>1</xm:f>
              </x14:cfvo>
              <x14:borderColor theme="0"/>
              <x14:negativeFillColor rgb="FFFF0000"/>
              <x14:axisColor rgb="FF000000"/>
            </x14:dataBar>
          </x14:cfRule>
          <xm:sqref>AD232</xm:sqref>
        </x14:conditionalFormatting>
        <x14:conditionalFormatting xmlns:xm="http://schemas.microsoft.com/office/excel/2006/main">
          <x14:cfRule type="dataBar" id="{E1E31234-3C0C-43AA-8288-B0D385BAF03B}">
            <x14:dataBar minLength="0" maxLength="100" border="1" gradient="0">
              <x14:cfvo type="num">
                <xm:f>0</xm:f>
              </x14:cfvo>
              <x14:cfvo type="num">
                <xm:f>1</xm:f>
              </x14:cfvo>
              <x14:borderColor theme="0"/>
              <x14:negativeFillColor rgb="FFFF0000"/>
              <x14:axisColor rgb="FF000000"/>
            </x14:dataBar>
          </x14:cfRule>
          <xm:sqref>AD234 AD282 AD284 AD236 AD238 AD240 AD242 AD244 AD246 AD248 AD250 AD252 AD254 AD256 AD258 AD260 AD262 AD264 AD266 AD268 AD270 AD272 AD274 AD276 AD278 AD280</xm:sqref>
        </x14:conditionalFormatting>
        <x14:conditionalFormatting xmlns:xm="http://schemas.microsoft.com/office/excel/2006/main">
          <x14:cfRule type="dataBar" id="{F3EFDE5A-1794-41C2-948F-97340BB10844}">
            <x14:dataBar minLength="0" maxLength="100" border="1" gradient="0">
              <x14:cfvo type="num">
                <xm:f>0</xm:f>
              </x14:cfvo>
              <x14:cfvo type="num">
                <xm:f>1</xm:f>
              </x14:cfvo>
              <x14:borderColor theme="0"/>
              <x14:negativeFillColor rgb="FFFF0000"/>
              <x14:axisColor rgb="FF000000"/>
            </x14:dataBar>
          </x14:cfRule>
          <xm:sqref>AD286</xm:sqref>
        </x14:conditionalFormatting>
        <x14:conditionalFormatting xmlns:xm="http://schemas.microsoft.com/office/excel/2006/main">
          <x14:cfRule type="dataBar" id="{AB9D2B4A-5796-4D19-8E39-81C51C23A629}">
            <x14:dataBar minLength="0" maxLength="100" border="1" gradient="0">
              <x14:cfvo type="num">
                <xm:f>0</xm:f>
              </x14:cfvo>
              <x14:cfvo type="num">
                <xm:f>1</xm:f>
              </x14:cfvo>
              <x14:borderColor theme="0"/>
              <x14:negativeFillColor rgb="FFFF0000"/>
              <x14:axisColor rgb="FF000000"/>
            </x14:dataBar>
          </x14:cfRule>
          <xm:sqref>AD288</xm:sqref>
        </x14:conditionalFormatting>
        <x14:conditionalFormatting xmlns:xm="http://schemas.microsoft.com/office/excel/2006/main">
          <x14:cfRule type="dataBar" id="{A3AFC85C-02A6-4ACA-864B-38AF141DA260}">
            <x14:dataBar minLength="0" maxLength="100" border="1" gradient="0">
              <x14:cfvo type="num">
                <xm:f>0</xm:f>
              </x14:cfvo>
              <x14:cfvo type="num">
                <xm:f>1</xm:f>
              </x14:cfvo>
              <x14:borderColor theme="0"/>
              <x14:negativeFillColor rgb="FFFF0000"/>
              <x14:axisColor rgb="FF000000"/>
            </x14:dataBar>
          </x14:cfRule>
          <xm:sqref>AD290</xm:sqref>
        </x14:conditionalFormatting>
        <x14:conditionalFormatting xmlns:xm="http://schemas.microsoft.com/office/excel/2006/main">
          <x14:cfRule type="dataBar" id="{8FE688A2-1CB0-4AD1-A089-25F827F21C36}">
            <x14:dataBar minLength="0" maxLength="100" border="1" gradient="0">
              <x14:cfvo type="num">
                <xm:f>0</xm:f>
              </x14:cfvo>
              <x14:cfvo type="num">
                <xm:f>1</xm:f>
              </x14:cfvo>
              <x14:borderColor theme="0"/>
              <x14:negativeFillColor rgb="FFFF0000"/>
              <x14:axisColor rgb="FF000000"/>
            </x14:dataBar>
          </x14:cfRule>
          <xm:sqref>AD292</xm:sqref>
        </x14:conditionalFormatting>
        <x14:conditionalFormatting xmlns:xm="http://schemas.microsoft.com/office/excel/2006/main">
          <x14:cfRule type="dataBar" id="{D9AB9016-16B8-4E53-8A23-668EEFAE3ED7}">
            <x14:dataBar minLength="0" maxLength="100" border="1" gradient="0">
              <x14:cfvo type="num">
                <xm:f>0</xm:f>
              </x14:cfvo>
              <x14:cfvo type="num">
                <xm:f>1</xm:f>
              </x14:cfvo>
              <x14:borderColor theme="0"/>
              <x14:negativeFillColor rgb="FFFF0000"/>
              <x14:axisColor rgb="FF000000"/>
            </x14:dataBar>
          </x14:cfRule>
          <xm:sqref>AD294</xm:sqref>
        </x14:conditionalFormatting>
        <x14:conditionalFormatting xmlns:xm="http://schemas.microsoft.com/office/excel/2006/main">
          <x14:cfRule type="dataBar" id="{274C0854-33DE-4F67-824F-169FB8172A29}">
            <x14:dataBar minLength="0" maxLength="100" border="1" gradient="0">
              <x14:cfvo type="num">
                <xm:f>0</xm:f>
              </x14:cfvo>
              <x14:cfvo type="num">
                <xm:f>1</xm:f>
              </x14:cfvo>
              <x14:borderColor theme="0"/>
              <x14:negativeFillColor rgb="FFFF0000"/>
              <x14:axisColor rgb="FF000000"/>
            </x14:dataBar>
          </x14:cfRule>
          <xm:sqref>AD296</xm:sqref>
        </x14:conditionalFormatting>
        <x14:conditionalFormatting xmlns:xm="http://schemas.microsoft.com/office/excel/2006/main">
          <x14:cfRule type="dataBar" id="{C5284628-0D8F-49E9-A29A-9CA2CDA6E820}">
            <x14:dataBar minLength="0" maxLength="100" border="1" gradient="0">
              <x14:cfvo type="num">
                <xm:f>0</xm:f>
              </x14:cfvo>
              <x14:cfvo type="num">
                <xm:f>1</xm:f>
              </x14:cfvo>
              <x14:borderColor theme="0"/>
              <x14:negativeFillColor rgb="FFFF0000"/>
              <x14:axisColor rgb="FF000000"/>
            </x14:dataBar>
          </x14:cfRule>
          <xm:sqref>AD298</xm:sqref>
        </x14:conditionalFormatting>
        <x14:conditionalFormatting xmlns:xm="http://schemas.microsoft.com/office/excel/2006/main">
          <x14:cfRule type="dataBar" id="{537E8F3E-CFD2-44E5-A1C9-78F347C41192}">
            <x14:dataBar minLength="0" maxLength="100" border="1" gradient="0">
              <x14:cfvo type="num">
                <xm:f>0</xm:f>
              </x14:cfvo>
              <x14:cfvo type="num">
                <xm:f>1</xm:f>
              </x14:cfvo>
              <x14:borderColor theme="0"/>
              <x14:negativeFillColor rgb="FFFF0000"/>
              <x14:axisColor rgb="FF000000"/>
            </x14:dataBar>
          </x14:cfRule>
          <xm:sqref>AD300</xm:sqref>
        </x14:conditionalFormatting>
        <x14:conditionalFormatting xmlns:xm="http://schemas.microsoft.com/office/excel/2006/main">
          <x14:cfRule type="dataBar" id="{9FFEF436-159F-4869-85DF-58D2D5DC5396}">
            <x14:dataBar minLength="0" maxLength="100" border="1" gradient="0">
              <x14:cfvo type="num">
                <xm:f>0</xm:f>
              </x14:cfvo>
              <x14:cfvo type="num">
                <xm:f>1</xm:f>
              </x14:cfvo>
              <x14:borderColor theme="0"/>
              <x14:negativeFillColor rgb="FFFF0000"/>
              <x14:axisColor rgb="FF000000"/>
            </x14:dataBar>
          </x14:cfRule>
          <xm:sqref>AD302</xm:sqref>
        </x14:conditionalFormatting>
        <x14:conditionalFormatting xmlns:xm="http://schemas.microsoft.com/office/excel/2006/main">
          <x14:cfRule type="dataBar" id="{D6393FBE-1B2A-4B13-9DBA-88905B4D7D4B}">
            <x14:dataBar minLength="0" maxLength="100" border="1" gradient="0">
              <x14:cfvo type="num">
                <xm:f>0</xm:f>
              </x14:cfvo>
              <x14:cfvo type="num">
                <xm:f>1</xm:f>
              </x14:cfvo>
              <x14:borderColor theme="0"/>
              <x14:negativeFillColor rgb="FFFF0000"/>
              <x14:axisColor rgb="FF000000"/>
            </x14:dataBar>
          </x14:cfRule>
          <xm:sqref>AD304</xm:sqref>
        </x14:conditionalFormatting>
        <x14:conditionalFormatting xmlns:xm="http://schemas.microsoft.com/office/excel/2006/main">
          <x14:cfRule type="dataBar" id="{B0974DB2-D390-4E97-AFC2-6EA19A2293C9}">
            <x14:dataBar minLength="0" maxLength="100" border="1" gradient="0">
              <x14:cfvo type="num">
                <xm:f>0</xm:f>
              </x14:cfvo>
              <x14:cfvo type="num">
                <xm:f>1</xm:f>
              </x14:cfvo>
              <x14:borderColor theme="0"/>
              <x14:negativeFillColor rgb="FFFF0000"/>
              <x14:axisColor rgb="FF000000"/>
            </x14:dataBar>
          </x14:cfRule>
          <xm:sqref>AD306</xm:sqref>
        </x14:conditionalFormatting>
        <x14:conditionalFormatting xmlns:xm="http://schemas.microsoft.com/office/excel/2006/main">
          <x14:cfRule type="dataBar" id="{B2A14B6B-B997-4417-BDC7-AA4FA71F4B2D}">
            <x14:dataBar minLength="0" maxLength="100" border="1" gradient="0">
              <x14:cfvo type="num">
                <xm:f>0</xm:f>
              </x14:cfvo>
              <x14:cfvo type="num">
                <xm:f>1</xm:f>
              </x14:cfvo>
              <x14:borderColor theme="0"/>
              <x14:negativeFillColor rgb="FFFF0000"/>
              <x14:axisColor rgb="FF000000"/>
            </x14:dataBar>
          </x14:cfRule>
          <xm:sqref>AD310</xm:sqref>
        </x14:conditionalFormatting>
        <x14:conditionalFormatting xmlns:xm="http://schemas.microsoft.com/office/excel/2006/main">
          <x14:cfRule type="dataBar" id="{641881ED-9D3C-41D1-B935-F7BAA886496E}">
            <x14:dataBar minLength="0" maxLength="100" border="1" gradient="0">
              <x14:cfvo type="num">
                <xm:f>0</xm:f>
              </x14:cfvo>
              <x14:cfvo type="num">
                <xm:f>1</xm:f>
              </x14:cfvo>
              <x14:borderColor theme="0"/>
              <x14:negativeFillColor rgb="FFFF0000"/>
              <x14:axisColor rgb="FF000000"/>
            </x14:dataBar>
          </x14:cfRule>
          <xm:sqref>AD312 AD340 AD314 AD316 AD318 AD320 AD322 AD324 AD326 AD328 AD330 AD332 AD334 AD336 AD338 AD344 AD352</xm:sqref>
        </x14:conditionalFormatting>
        <x14:conditionalFormatting xmlns:xm="http://schemas.microsoft.com/office/excel/2006/main">
          <x14:cfRule type="dataBar" id="{7F55D88D-EDA0-4E37-90E0-0D34D7C75C48}">
            <x14:dataBar minLength="0" maxLength="100" border="1" gradient="0">
              <x14:cfvo type="num">
                <xm:f>0</xm:f>
              </x14:cfvo>
              <x14:cfvo type="num">
                <xm:f>1</xm:f>
              </x14:cfvo>
              <x14:borderColor theme="0"/>
              <x14:negativeFillColor rgb="FFFF0000"/>
              <x14:axisColor rgb="FF000000"/>
            </x14:dataBar>
          </x14:cfRule>
          <xm:sqref>AD342</xm:sqref>
        </x14:conditionalFormatting>
        <x14:conditionalFormatting xmlns:xm="http://schemas.microsoft.com/office/excel/2006/main">
          <x14:cfRule type="dataBar" id="{40204B36-D23B-4080-8D84-A2E16A33D8E3}">
            <x14:dataBar minLength="0" maxLength="100" border="1" gradient="0">
              <x14:cfvo type="num">
                <xm:f>0</xm:f>
              </x14:cfvo>
              <x14:cfvo type="num">
                <xm:f>1</xm:f>
              </x14:cfvo>
              <x14:borderColor theme="0"/>
              <x14:negativeFillColor rgb="FFFF0000"/>
              <x14:axisColor rgb="FF000000"/>
            </x14:dataBar>
          </x14:cfRule>
          <xm:sqref>AD346</xm:sqref>
        </x14:conditionalFormatting>
        <x14:conditionalFormatting xmlns:xm="http://schemas.microsoft.com/office/excel/2006/main">
          <x14:cfRule type="dataBar" id="{5B3649D6-B47B-400D-ACE8-056FD51EDB84}">
            <x14:dataBar minLength="0" maxLength="100" border="1" gradient="0">
              <x14:cfvo type="num">
                <xm:f>0</xm:f>
              </x14:cfvo>
              <x14:cfvo type="num">
                <xm:f>1</xm:f>
              </x14:cfvo>
              <x14:borderColor theme="0"/>
              <x14:negativeFillColor rgb="FFFF0000"/>
              <x14:axisColor rgb="FF000000"/>
            </x14:dataBar>
          </x14:cfRule>
          <xm:sqref>AD348</xm:sqref>
        </x14:conditionalFormatting>
        <x14:conditionalFormatting xmlns:xm="http://schemas.microsoft.com/office/excel/2006/main">
          <x14:cfRule type="dataBar" id="{248DE7F8-B517-4D9F-A1C2-A46E4D8B6632}">
            <x14:dataBar minLength="0" maxLength="100" border="1" gradient="0">
              <x14:cfvo type="num">
                <xm:f>0</xm:f>
              </x14:cfvo>
              <x14:cfvo type="num">
                <xm:f>1</xm:f>
              </x14:cfvo>
              <x14:borderColor theme="0"/>
              <x14:negativeFillColor rgb="FFFF0000"/>
              <x14:axisColor rgb="FF000000"/>
            </x14:dataBar>
          </x14:cfRule>
          <xm:sqref>AD350</xm:sqref>
        </x14:conditionalFormatting>
        <x14:conditionalFormatting xmlns:xm="http://schemas.microsoft.com/office/excel/2006/main">
          <x14:cfRule type="dataBar" id="{C8E13796-B3A4-47E6-8ED4-6FC52CA5E07E}">
            <x14:dataBar minLength="0" maxLength="100" border="1" gradient="0">
              <x14:cfvo type="num">
                <xm:f>0</xm:f>
              </x14:cfvo>
              <x14:cfvo type="num">
                <xm:f>1</xm:f>
              </x14:cfvo>
              <x14:borderColor theme="0"/>
              <x14:negativeFillColor rgb="FFFF0000"/>
              <x14:axisColor rgb="FF000000"/>
            </x14:dataBar>
          </x14:cfRule>
          <xm:sqref>AD354</xm:sqref>
        </x14:conditionalFormatting>
        <x14:conditionalFormatting xmlns:xm="http://schemas.microsoft.com/office/excel/2006/main">
          <x14:cfRule type="dataBar" id="{FDB40F42-153D-4961-839C-A0FD02B5D9EC}">
            <x14:dataBar minLength="0" maxLength="100" border="1" gradient="0">
              <x14:cfvo type="num">
                <xm:f>0</xm:f>
              </x14:cfvo>
              <x14:cfvo type="num">
                <xm:f>1</xm:f>
              </x14:cfvo>
              <x14:borderColor theme="0"/>
              <x14:negativeFillColor rgb="FFFF0000"/>
              <x14:axisColor rgb="FF000000"/>
            </x14:dataBar>
          </x14:cfRule>
          <xm:sqref>AD356</xm:sqref>
        </x14:conditionalFormatting>
        <x14:conditionalFormatting xmlns:xm="http://schemas.microsoft.com/office/excel/2006/main">
          <x14:cfRule type="dataBar" id="{764157CE-5882-44B7-AED3-16CE50DC0FA3}">
            <x14:dataBar minLength="0" maxLength="100" border="1" gradient="0">
              <x14:cfvo type="num">
                <xm:f>0</xm:f>
              </x14:cfvo>
              <x14:cfvo type="num">
                <xm:f>1</xm:f>
              </x14:cfvo>
              <x14:borderColor theme="0"/>
              <x14:negativeFillColor rgb="FFFF0000"/>
              <x14:axisColor rgb="FF000000"/>
            </x14:dataBar>
          </x14:cfRule>
          <xm:sqref>AD358</xm:sqref>
        </x14:conditionalFormatting>
        <x14:conditionalFormatting xmlns:xm="http://schemas.microsoft.com/office/excel/2006/main">
          <x14:cfRule type="dataBar" id="{52E404DB-F8D9-41F4-BBBE-0D64787D9177}">
            <x14:dataBar minLength="0" maxLength="100" border="1" gradient="0">
              <x14:cfvo type="num">
                <xm:f>0</xm:f>
              </x14:cfvo>
              <x14:cfvo type="num">
                <xm:f>1</xm:f>
              </x14:cfvo>
              <x14:borderColor theme="0"/>
              <x14:negativeFillColor rgb="FFFF0000"/>
              <x14:axisColor rgb="FF000000"/>
            </x14:dataBar>
          </x14:cfRule>
          <xm:sqref>AD360</xm:sqref>
        </x14:conditionalFormatting>
        <x14:conditionalFormatting xmlns:xm="http://schemas.microsoft.com/office/excel/2006/main">
          <x14:cfRule type="dataBar" id="{09BB68C2-20F9-4C93-B632-4BBB66B5BAEC}">
            <x14:dataBar minLength="0" maxLength="100" border="1" gradient="0">
              <x14:cfvo type="num">
                <xm:f>0</xm:f>
              </x14:cfvo>
              <x14:cfvo type="num">
                <xm:f>1</xm:f>
              </x14:cfvo>
              <x14:borderColor theme="0"/>
              <x14:negativeFillColor rgb="FFFF0000"/>
              <x14:axisColor rgb="FF000000"/>
            </x14:dataBar>
          </x14:cfRule>
          <xm:sqref>AD362</xm:sqref>
        </x14:conditionalFormatting>
        <x14:conditionalFormatting xmlns:xm="http://schemas.microsoft.com/office/excel/2006/main">
          <x14:cfRule type="dataBar" id="{A54254B2-AC17-4DE7-A4AC-0351106343E8}">
            <x14:dataBar minLength="0" maxLength="100" border="1" gradient="0">
              <x14:cfvo type="num">
                <xm:f>0</xm:f>
              </x14:cfvo>
              <x14:cfvo type="num">
                <xm:f>1</xm:f>
              </x14:cfvo>
              <x14:borderColor theme="0"/>
              <x14:negativeFillColor rgb="FFFF0000"/>
              <x14:axisColor rgb="FF000000"/>
            </x14:dataBar>
          </x14:cfRule>
          <xm:sqref>AD365</xm:sqref>
        </x14:conditionalFormatting>
        <x14:conditionalFormatting xmlns:xm="http://schemas.microsoft.com/office/excel/2006/main">
          <x14:cfRule type="dataBar" id="{167AD84B-D68F-47D5-AB69-0FB214A9B762}">
            <x14:dataBar minLength="0" maxLength="100" border="1" gradient="0">
              <x14:cfvo type="num">
                <xm:f>0</xm:f>
              </x14:cfvo>
              <x14:cfvo type="num">
                <xm:f>1</xm:f>
              </x14:cfvo>
              <x14:borderColor theme="0"/>
              <x14:negativeFillColor rgb="FFFF0000"/>
              <x14:axisColor rgb="FF000000"/>
            </x14:dataBar>
          </x14:cfRule>
          <xm:sqref>AD369</xm:sqref>
        </x14:conditionalFormatting>
        <x14:conditionalFormatting xmlns:xm="http://schemas.microsoft.com/office/excel/2006/main">
          <x14:cfRule type="dataBar" id="{ED2984B7-8F65-44FD-98E2-B4F926B21348}">
            <x14:dataBar minLength="0" maxLength="100" border="1" gradient="0">
              <x14:cfvo type="num">
                <xm:f>0</xm:f>
              </x14:cfvo>
              <x14:cfvo type="num">
                <xm:f>1</xm:f>
              </x14:cfvo>
              <x14:borderColor theme="0"/>
              <x14:negativeFillColor rgb="FFFF0000"/>
              <x14:axisColor rgb="FF000000"/>
            </x14:dataBar>
          </x14:cfRule>
          <xm:sqref>AD371</xm:sqref>
        </x14:conditionalFormatting>
        <x14:conditionalFormatting xmlns:xm="http://schemas.microsoft.com/office/excel/2006/main">
          <x14:cfRule type="dataBar" id="{747E2D48-8519-410F-B6D2-4E544658F0B1}">
            <x14:dataBar minLength="0" maxLength="100" border="1" gradient="0">
              <x14:cfvo type="num">
                <xm:f>0</xm:f>
              </x14:cfvo>
              <x14:cfvo type="num">
                <xm:f>1</xm:f>
              </x14:cfvo>
              <x14:borderColor theme="0"/>
              <x14:negativeFillColor rgb="FFFF0000"/>
              <x14:axisColor rgb="FF000000"/>
            </x14:dataBar>
          </x14:cfRule>
          <xm:sqref>AD373</xm:sqref>
        </x14:conditionalFormatting>
        <x14:conditionalFormatting xmlns:xm="http://schemas.microsoft.com/office/excel/2006/main">
          <x14:cfRule type="dataBar" id="{C4D0B5EA-B17B-4D37-9978-33004B0A1972}">
            <x14:dataBar minLength="0" maxLength="100" border="1" gradient="0">
              <x14:cfvo type="num">
                <xm:f>0</xm:f>
              </x14:cfvo>
              <x14:cfvo type="num">
                <xm:f>1</xm:f>
              </x14:cfvo>
              <x14:borderColor theme="0"/>
              <x14:negativeFillColor rgb="FFFF0000"/>
              <x14:axisColor rgb="FF000000"/>
            </x14:dataBar>
          </x14:cfRule>
          <xm:sqref>AD375</xm:sqref>
        </x14:conditionalFormatting>
        <x14:conditionalFormatting xmlns:xm="http://schemas.microsoft.com/office/excel/2006/main">
          <x14:cfRule type="dataBar" id="{0773E5F3-A170-4FF0-8228-4F7645026306}">
            <x14:dataBar minLength="0" maxLength="100" border="1" gradient="0">
              <x14:cfvo type="num">
                <xm:f>0</xm:f>
              </x14:cfvo>
              <x14:cfvo type="num">
                <xm:f>1</xm:f>
              </x14:cfvo>
              <x14:borderColor theme="0"/>
              <x14:negativeFillColor rgb="FFFF0000"/>
              <x14:axisColor rgb="FF000000"/>
            </x14:dataBar>
          </x14:cfRule>
          <xm:sqref>AD377</xm:sqref>
        </x14:conditionalFormatting>
        <x14:conditionalFormatting xmlns:xm="http://schemas.microsoft.com/office/excel/2006/main">
          <x14:cfRule type="dataBar" id="{04AC6C75-E350-4154-ABE7-6A9C84977471}">
            <x14:dataBar minLength="0" maxLength="100" border="1" gradient="0">
              <x14:cfvo type="num">
                <xm:f>0</xm:f>
              </x14:cfvo>
              <x14:cfvo type="num">
                <xm:f>1</xm:f>
              </x14:cfvo>
              <x14:borderColor theme="0"/>
              <x14:negativeFillColor rgb="FFFF0000"/>
              <x14:axisColor rgb="FF000000"/>
            </x14:dataBar>
          </x14:cfRule>
          <xm:sqref>AD380</xm:sqref>
        </x14:conditionalFormatting>
        <x14:conditionalFormatting xmlns:xm="http://schemas.microsoft.com/office/excel/2006/main">
          <x14:cfRule type="dataBar" id="{5D061217-5397-4928-B598-E78ECA317269}">
            <x14:dataBar minLength="0" maxLength="100" border="1" gradient="0">
              <x14:cfvo type="num">
                <xm:f>0</xm:f>
              </x14:cfvo>
              <x14:cfvo type="num">
                <xm:f>1</xm:f>
              </x14:cfvo>
              <x14:borderColor theme="0"/>
              <x14:negativeFillColor rgb="FFFF0000"/>
              <x14:axisColor rgb="FF000000"/>
            </x14:dataBar>
          </x14:cfRule>
          <xm:sqref>AD382 AD384 AD388 AD390 AD392</xm:sqref>
        </x14:conditionalFormatting>
        <x14:conditionalFormatting xmlns:xm="http://schemas.microsoft.com/office/excel/2006/main">
          <x14:cfRule type="dataBar" id="{000FB6FD-3514-4686-88C3-57F81591E58A}">
            <x14:dataBar minLength="0" maxLength="100" border="1" gradient="0">
              <x14:cfvo type="num">
                <xm:f>0</xm:f>
              </x14:cfvo>
              <x14:cfvo type="num">
                <xm:f>1</xm:f>
              </x14:cfvo>
              <x14:borderColor theme="0"/>
              <x14:negativeFillColor rgb="FFFF0000"/>
              <x14:axisColor rgb="FF000000"/>
            </x14:dataBar>
          </x14:cfRule>
          <xm:sqref>AD386</xm:sqref>
        </x14:conditionalFormatting>
        <x14:conditionalFormatting xmlns:xm="http://schemas.microsoft.com/office/excel/2006/main">
          <x14:cfRule type="dataBar" id="{899AE43E-9214-4C10-9A2B-A5BBA4A487FF}">
            <x14:dataBar minLength="0" maxLength="100" border="1" gradient="0">
              <x14:cfvo type="num">
                <xm:f>0</xm:f>
              </x14:cfvo>
              <x14:cfvo type="num">
                <xm:f>1</xm:f>
              </x14:cfvo>
              <x14:borderColor theme="0"/>
              <x14:negativeFillColor rgb="FFFF0000"/>
              <x14:axisColor rgb="FF000000"/>
            </x14:dataBar>
          </x14:cfRule>
          <xm:sqref>AD395</xm:sqref>
        </x14:conditionalFormatting>
        <x14:conditionalFormatting xmlns:xm="http://schemas.microsoft.com/office/excel/2006/main">
          <x14:cfRule type="dataBar" id="{649E3A6A-21A9-4E1E-9106-C8C949A8AE36}">
            <x14:dataBar minLength="0" maxLength="100" border="1" gradient="0">
              <x14:cfvo type="num">
                <xm:f>0</xm:f>
              </x14:cfvo>
              <x14:cfvo type="num">
                <xm:f>1</xm:f>
              </x14:cfvo>
              <x14:borderColor theme="0"/>
              <x14:negativeFillColor rgb="FFFF0000"/>
              <x14:axisColor rgb="FF000000"/>
            </x14:dataBar>
          </x14:cfRule>
          <xm:sqref>AD397</xm:sqref>
        </x14:conditionalFormatting>
        <x14:conditionalFormatting xmlns:xm="http://schemas.microsoft.com/office/excel/2006/main">
          <x14:cfRule type="dataBar" id="{8F6FB239-718B-4F06-9CE7-8074A8EA8A63}">
            <x14:dataBar minLength="0" maxLength="100" border="1" gradient="0">
              <x14:cfvo type="num">
                <xm:f>0</xm:f>
              </x14:cfvo>
              <x14:cfvo type="num">
                <xm:f>1</xm:f>
              </x14:cfvo>
              <x14:borderColor theme="0"/>
              <x14:negativeFillColor rgb="FFFF0000"/>
              <x14:axisColor rgb="FF000000"/>
            </x14:dataBar>
          </x14:cfRule>
          <xm:sqref>AD399</xm:sqref>
        </x14:conditionalFormatting>
        <x14:conditionalFormatting xmlns:xm="http://schemas.microsoft.com/office/excel/2006/main">
          <x14:cfRule type="dataBar" id="{6BC0442F-3185-459A-AA26-AE2DDEFE2BFD}">
            <x14:dataBar minLength="0" maxLength="100" border="1" gradient="0">
              <x14:cfvo type="num">
                <xm:f>0</xm:f>
              </x14:cfvo>
              <x14:cfvo type="num">
                <xm:f>1</xm:f>
              </x14:cfvo>
              <x14:borderColor theme="0"/>
              <x14:negativeFillColor rgb="FFFF0000"/>
              <x14:axisColor rgb="FF000000"/>
            </x14:dataBar>
          </x14:cfRule>
          <xm:sqref>AD401</xm:sqref>
        </x14:conditionalFormatting>
        <x14:conditionalFormatting xmlns:xm="http://schemas.microsoft.com/office/excel/2006/main">
          <x14:cfRule type="dataBar" id="{21E04945-FB09-4CB9-AF9A-3F797371B999}">
            <x14:dataBar minLength="0" maxLength="100" border="1" gradient="0">
              <x14:cfvo type="num">
                <xm:f>0</xm:f>
              </x14:cfvo>
              <x14:cfvo type="num">
                <xm:f>1</xm:f>
              </x14:cfvo>
              <x14:borderColor theme="0"/>
              <x14:negativeFillColor rgb="FFFF0000"/>
              <x14:axisColor rgb="FF000000"/>
            </x14:dataBar>
          </x14:cfRule>
          <xm:sqref>AD404</xm:sqref>
        </x14:conditionalFormatting>
        <x14:conditionalFormatting xmlns:xm="http://schemas.microsoft.com/office/excel/2006/main">
          <x14:cfRule type="dataBar" id="{AB846CA2-9E88-4313-AC32-590D04F3E0F8}">
            <x14:dataBar minLength="0" maxLength="100" border="1" gradient="0">
              <x14:cfvo type="num">
                <xm:f>0</xm:f>
              </x14:cfvo>
              <x14:cfvo type="num">
                <xm:f>1</xm:f>
              </x14:cfvo>
              <x14:borderColor theme="0"/>
              <x14:negativeFillColor rgb="FFFF0000"/>
              <x14:axisColor rgb="FF000000"/>
            </x14:dataBar>
          </x14:cfRule>
          <xm:sqref>AD406</xm:sqref>
        </x14:conditionalFormatting>
        <x14:conditionalFormatting xmlns:xm="http://schemas.microsoft.com/office/excel/2006/main">
          <x14:cfRule type="dataBar" id="{034265AB-6544-4804-81F2-CC1ED86875D7}">
            <x14:dataBar minLength="0" maxLength="100" border="1" gradient="0">
              <x14:cfvo type="num">
                <xm:f>0</xm:f>
              </x14:cfvo>
              <x14:cfvo type="num">
                <xm:f>1</xm:f>
              </x14:cfvo>
              <x14:borderColor theme="0"/>
              <x14:negativeFillColor rgb="FFFF0000"/>
              <x14:axisColor rgb="FF000000"/>
            </x14:dataBar>
          </x14:cfRule>
          <xm:sqref>AD409</xm:sqref>
        </x14:conditionalFormatting>
        <x14:conditionalFormatting xmlns:xm="http://schemas.microsoft.com/office/excel/2006/main">
          <x14:cfRule type="dataBar" id="{DE05130E-AC50-41CC-BB82-98A4CE269A01}">
            <x14:dataBar minLength="0" maxLength="100" border="1" gradient="0">
              <x14:cfvo type="num">
                <xm:f>0</xm:f>
              </x14:cfvo>
              <x14:cfvo type="num">
                <xm:f>1</xm:f>
              </x14:cfvo>
              <x14:borderColor theme="0"/>
              <x14:negativeFillColor rgb="FFFF0000"/>
              <x14:axisColor rgb="FF000000"/>
            </x14:dataBar>
          </x14:cfRule>
          <xm:sqref>AD412</xm:sqref>
        </x14:conditionalFormatting>
        <x14:conditionalFormatting xmlns:xm="http://schemas.microsoft.com/office/excel/2006/main">
          <x14:cfRule type="dataBar" id="{EEE154C7-2A49-4760-B4A4-2DE552931B39}">
            <x14:dataBar minLength="0" maxLength="100" border="1" gradient="0">
              <x14:cfvo type="num">
                <xm:f>0</xm:f>
              </x14:cfvo>
              <x14:cfvo type="num">
                <xm:f>1</xm:f>
              </x14:cfvo>
              <x14:borderColor theme="0"/>
              <x14:negativeFillColor rgb="FFFF0000"/>
              <x14:axisColor rgb="FF000000"/>
            </x14:dataBar>
          </x14:cfRule>
          <xm:sqref>AD522</xm:sqref>
        </x14:conditionalFormatting>
        <x14:conditionalFormatting xmlns:xm="http://schemas.microsoft.com/office/excel/2006/main">
          <x14:cfRule type="dataBar" id="{4D39E687-99F2-43EB-AFD9-0ECB563C8B4D}">
            <x14:dataBar minLength="0" maxLength="100" border="1" gradient="0">
              <x14:cfvo type="num">
                <xm:f>0</xm:f>
              </x14:cfvo>
              <x14:cfvo type="num">
                <xm:f>1</xm:f>
              </x14:cfvo>
              <x14:borderColor theme="0"/>
              <x14:negativeFillColor rgb="FFFF0000"/>
              <x14:axisColor rgb="FF000000"/>
            </x14:dataBar>
          </x14:cfRule>
          <xm:sqref>AD524</xm:sqref>
        </x14:conditionalFormatting>
        <x14:conditionalFormatting xmlns:xm="http://schemas.microsoft.com/office/excel/2006/main">
          <x14:cfRule type="dataBar" id="{201AF5CA-6563-4428-8AA2-03012C4AFA2F}">
            <x14:dataBar minLength="0" maxLength="100" border="1" gradient="0">
              <x14:cfvo type="num">
                <xm:f>0</xm:f>
              </x14:cfvo>
              <x14:cfvo type="num">
                <xm:f>1</xm:f>
              </x14:cfvo>
              <x14:borderColor theme="0"/>
              <x14:negativeFillColor rgb="FFFF0000"/>
              <x14:axisColor rgb="FF000000"/>
            </x14:dataBar>
          </x14:cfRule>
          <xm:sqref>AD526</xm:sqref>
        </x14:conditionalFormatting>
        <x14:conditionalFormatting xmlns:xm="http://schemas.microsoft.com/office/excel/2006/main">
          <x14:cfRule type="dataBar" id="{9ACED949-41A1-4098-BDD3-CFF12DF2F366}">
            <x14:dataBar minLength="0" maxLength="100" border="1" gradient="0">
              <x14:cfvo type="num">
                <xm:f>0</xm:f>
              </x14:cfvo>
              <x14:cfvo type="num">
                <xm:f>1</xm:f>
              </x14:cfvo>
              <x14:borderColor theme="0"/>
              <x14:negativeFillColor rgb="FFFF0000"/>
              <x14:axisColor rgb="FF000000"/>
            </x14:dataBar>
          </x14:cfRule>
          <xm:sqref>AD528</xm:sqref>
        </x14:conditionalFormatting>
        <x14:conditionalFormatting xmlns:xm="http://schemas.microsoft.com/office/excel/2006/main">
          <x14:cfRule type="dataBar" id="{FD4AB2A3-7151-4B6A-B748-34E319379E31}">
            <x14:dataBar minLength="0" maxLength="100" border="1" gradient="0">
              <x14:cfvo type="num">
                <xm:f>0</xm:f>
              </x14:cfvo>
              <x14:cfvo type="num">
                <xm:f>1</xm:f>
              </x14:cfvo>
              <x14:borderColor theme="0"/>
              <x14:negativeFillColor rgb="FFFF0000"/>
              <x14:axisColor rgb="FF000000"/>
            </x14:dataBar>
          </x14:cfRule>
          <xm:sqref>AD530</xm:sqref>
        </x14:conditionalFormatting>
        <x14:conditionalFormatting xmlns:xm="http://schemas.microsoft.com/office/excel/2006/main">
          <x14:cfRule type="dataBar" id="{E85FC0CD-2915-48D1-960E-8C1DCD9649F6}">
            <x14:dataBar minLength="0" maxLength="100" border="1" gradient="0">
              <x14:cfvo type="num">
                <xm:f>0</xm:f>
              </x14:cfvo>
              <x14:cfvo type="num">
                <xm:f>1</xm:f>
              </x14:cfvo>
              <x14:borderColor theme="0"/>
              <x14:negativeFillColor rgb="FFFF0000"/>
              <x14:axisColor rgb="FF000000"/>
            </x14:dataBar>
          </x14:cfRule>
          <xm:sqref>AD533</xm:sqref>
        </x14:conditionalFormatting>
        <x14:conditionalFormatting xmlns:xm="http://schemas.microsoft.com/office/excel/2006/main">
          <x14:cfRule type="dataBar" id="{3479D2C8-B766-4DAF-94B5-18414326AE99}">
            <x14:dataBar minLength="0" maxLength="100" border="1" gradient="0">
              <x14:cfvo type="num">
                <xm:f>0</xm:f>
              </x14:cfvo>
              <x14:cfvo type="num">
                <xm:f>1</xm:f>
              </x14:cfvo>
              <x14:borderColor theme="0"/>
              <x14:negativeFillColor rgb="FFFF0000"/>
              <x14:axisColor rgb="FF000000"/>
            </x14:dataBar>
          </x14:cfRule>
          <xm:sqref>AD579 AD414 AD416 AD418 AD420 AD422 AD424 AD426 AD428 AD430 AD432 AD434 AD436 AD438 AD440 AD442 AD444 AD446 AD448 AD450 AD452 AD454 AD456 AD458 AD460 AD462 AD464 AD466 AD468 AD470 AD472 AD474 AD476 AD478 AD480 AD482 AD484 AD486 AD488 AD490 AD492 AD494 AD496 AD498 AD500 AD502 AD504 AD506 AD508 AD510 AD512 AD514 AD516 AD520</xm:sqref>
        </x14:conditionalFormatting>
        <x14:conditionalFormatting xmlns:xm="http://schemas.microsoft.com/office/excel/2006/main">
          <x14:cfRule type="dataBar" id="{48F131C6-7070-413A-9BF3-5F308C51E09B}">
            <x14:dataBar minLength="0" maxLength="100" border="1" gradient="0">
              <x14:cfvo type="num">
                <xm:f>0</xm:f>
              </x14:cfvo>
              <x14:cfvo type="num">
                <xm:f>1</xm:f>
              </x14:cfvo>
              <x14:borderColor theme="0"/>
              <x14:negativeFillColor rgb="FFFF0000"/>
              <x14:axisColor rgb="FF000000"/>
            </x14:dataBar>
          </x14:cfRule>
          <xm:sqref>AD643 AD518 AD535 AD537 AD539 AD541 AD543 AD545 AD547 AD549 AD551 AD553 AD555 AD557 AD559 AD561 AD563 AD565 AD567 AD569 AD571 AD573 AD575 AD577 AD581 AD583 AD585 AD587 AD589 AD591 AD593 AD595 AD597 AD599 AD601 AD603 AD605 AD607 AD609 AD611 AD613 AD615 AD617 AD619 AD621 AD623 AD625 AD627 AD629 AD631 AD633 AD635 AD637 AD639 AD641 AD645</xm:sqref>
        </x14:conditionalFormatting>
        <x14:conditionalFormatting xmlns:xm="http://schemas.microsoft.com/office/excel/2006/main">
          <x14:cfRule type="dataBar" id="{26374238-2D69-4606-AFFF-23E285D466F5}">
            <x14:dataBar minLength="0" maxLength="100" border="1" gradient="0">
              <x14:cfvo type="num">
                <xm:f>0</xm:f>
              </x14:cfvo>
              <x14:cfvo type="num">
                <xm:f>1</xm:f>
              </x14:cfvo>
              <x14:borderColor theme="0"/>
              <x14:negativeFillColor rgb="FFFF0000"/>
              <x14:axisColor rgb="FF000000"/>
            </x14:dataBar>
          </x14:cfRule>
          <xm:sqref>AD647</xm:sqref>
        </x14:conditionalFormatting>
        <x14:conditionalFormatting xmlns:xm="http://schemas.microsoft.com/office/excel/2006/main">
          <x14:cfRule type="dataBar" id="{A975E55C-9500-44FA-85A5-E949ADDE432D}">
            <x14:dataBar minLength="0" maxLength="100" border="1" gradient="0">
              <x14:cfvo type="num">
                <xm:f>0</xm:f>
              </x14:cfvo>
              <x14:cfvo type="num">
                <xm:f>1</xm:f>
              </x14:cfvo>
              <x14:borderColor theme="0"/>
              <x14:negativeFillColor rgb="FFFF0000"/>
              <x14:axisColor rgb="FF000000"/>
            </x14:dataBar>
          </x14:cfRule>
          <xm:sqref>AD652</xm:sqref>
        </x14:conditionalFormatting>
        <x14:conditionalFormatting xmlns:xm="http://schemas.microsoft.com/office/excel/2006/main">
          <x14:cfRule type="dataBar" id="{23D564FD-94EE-460A-AEA9-9A540DD4A52A}">
            <x14:dataBar minLength="0" maxLength="100" border="1" gradient="0">
              <x14:cfvo type="num">
                <xm:f>0</xm:f>
              </x14:cfvo>
              <x14:cfvo type="num">
                <xm:f>1</xm:f>
              </x14:cfvo>
              <x14:borderColor theme="0"/>
              <x14:negativeFillColor rgb="FFFF0000"/>
              <x14:axisColor rgb="FF000000"/>
            </x14:dataBar>
          </x14:cfRule>
          <xm:sqref>AD664</xm:sqref>
        </x14:conditionalFormatting>
        <x14:conditionalFormatting xmlns:xm="http://schemas.microsoft.com/office/excel/2006/main">
          <x14:cfRule type="dataBar" id="{2728816E-21F7-489E-BF37-65F6B4524450}">
            <x14:dataBar minLength="0" maxLength="100" border="1" gradient="0">
              <x14:cfvo type="num">
                <xm:f>0</xm:f>
              </x14:cfvo>
              <x14:cfvo type="num">
                <xm:f>1</xm:f>
              </x14:cfvo>
              <x14:borderColor theme="0"/>
              <x14:negativeFillColor rgb="FFFF0000"/>
              <x14:axisColor rgb="FF000000"/>
            </x14:dataBar>
          </x14:cfRule>
          <xm:sqref>AD686 AD649 AD654 AD658 AD656 AD660 AD662 AD666 AD668 AD670 AD672 AD674 AD676 AD678 AD680 AD682 AD684</xm:sqref>
        </x14:conditionalFormatting>
        <x14:conditionalFormatting xmlns:xm="http://schemas.microsoft.com/office/excel/2006/main">
          <x14:cfRule type="dataBar" id="{2558C4E7-D42A-4270-8215-14673D6DD4A8}">
            <x14:dataBar minLength="0" maxLength="100" border="1" gradient="0">
              <x14:cfvo type="num">
                <xm:f>0</xm:f>
              </x14:cfvo>
              <x14:cfvo type="num">
                <xm:f>1</xm:f>
              </x14:cfvo>
              <x14:borderColor theme="0"/>
              <x14:negativeFillColor rgb="FFFF0000"/>
              <x14:axisColor rgb="FF000000"/>
            </x14:dataBar>
          </x14:cfRule>
          <xm:sqref>AD688</xm:sqref>
        </x14:conditionalFormatting>
        <x14:conditionalFormatting xmlns:xm="http://schemas.microsoft.com/office/excel/2006/main">
          <x14:cfRule type="dataBar" id="{EEE61220-6E51-4BD0-A1D4-BCEBE1AA39E2}">
            <x14:dataBar minLength="0" maxLength="100" border="1" gradient="0">
              <x14:cfvo type="num">
                <xm:f>0</xm:f>
              </x14:cfvo>
              <x14:cfvo type="num">
                <xm:f>1</xm:f>
              </x14:cfvo>
              <x14:borderColor theme="0"/>
              <x14:negativeFillColor rgb="FFFF0000"/>
              <x14:axisColor rgb="FF000000"/>
            </x14:dataBar>
          </x14:cfRule>
          <xm:sqref>AD690</xm:sqref>
        </x14:conditionalFormatting>
        <x14:conditionalFormatting xmlns:xm="http://schemas.microsoft.com/office/excel/2006/main">
          <x14:cfRule type="dataBar" id="{407D13D3-53FF-4CA4-BE64-412A8FE6A0EB}">
            <x14:dataBar minLength="0" maxLength="100" border="1" gradient="0">
              <x14:cfvo type="num">
                <xm:f>0</xm:f>
              </x14:cfvo>
              <x14:cfvo type="num">
                <xm:f>1</xm:f>
              </x14:cfvo>
              <x14:borderColor theme="0"/>
              <x14:negativeFillColor rgb="FFFF0000"/>
              <x14:axisColor rgb="FF000000"/>
            </x14:dataBar>
          </x14:cfRule>
          <xm:sqref>AD692</xm:sqref>
        </x14:conditionalFormatting>
        <x14:conditionalFormatting xmlns:xm="http://schemas.microsoft.com/office/excel/2006/main">
          <x14:cfRule type="dataBar" id="{11D210EF-0187-4A7C-9F27-6D58B30CAFB4}">
            <x14:dataBar minLength="0" maxLength="100" border="1" gradient="0">
              <x14:cfvo type="num">
                <xm:f>0</xm:f>
              </x14:cfvo>
              <x14:cfvo type="num">
                <xm:f>1</xm:f>
              </x14:cfvo>
              <x14:borderColor theme="0"/>
              <x14:negativeFillColor rgb="FFFF0000"/>
              <x14:axisColor rgb="FF000000"/>
            </x14:dataBar>
          </x14:cfRule>
          <xm:sqref>AD694</xm:sqref>
        </x14:conditionalFormatting>
        <x14:conditionalFormatting xmlns:xm="http://schemas.microsoft.com/office/excel/2006/main">
          <x14:cfRule type="dataBar" id="{B5ECDF63-281B-442C-816B-30E9FA9200A8}">
            <x14:dataBar minLength="0" maxLength="100" border="1" gradient="0">
              <x14:cfvo type="num">
                <xm:f>0</xm:f>
              </x14:cfvo>
              <x14:cfvo type="num">
                <xm:f>1</xm:f>
              </x14:cfvo>
              <x14:borderColor theme="0"/>
              <x14:negativeFillColor rgb="FFFF0000"/>
              <x14:axisColor rgb="FF000000"/>
            </x14:dataBar>
          </x14:cfRule>
          <xm:sqref>AD696</xm:sqref>
        </x14:conditionalFormatting>
        <x14:conditionalFormatting xmlns:xm="http://schemas.microsoft.com/office/excel/2006/main">
          <x14:cfRule type="dataBar" id="{9288CCE3-5840-41A0-B67F-F1C97C2D1C71}">
            <x14:dataBar minLength="0" maxLength="100" border="1" gradient="0">
              <x14:cfvo type="num">
                <xm:f>0</xm:f>
              </x14:cfvo>
              <x14:cfvo type="num">
                <xm:f>1</xm:f>
              </x14:cfvo>
              <x14:borderColor theme="0"/>
              <x14:negativeFillColor rgb="FFFF0000"/>
              <x14:axisColor rgb="FF000000"/>
            </x14:dataBar>
          </x14:cfRule>
          <xm:sqref>AD698</xm:sqref>
        </x14:conditionalFormatting>
        <x14:conditionalFormatting xmlns:xm="http://schemas.microsoft.com/office/excel/2006/main">
          <x14:cfRule type="dataBar" id="{27A42D7E-B321-4C14-810C-78838A7EBDFF}">
            <x14:dataBar minLength="0" maxLength="100" border="1" gradient="0">
              <x14:cfvo type="num">
                <xm:f>0</xm:f>
              </x14:cfvo>
              <x14:cfvo type="num">
                <xm:f>1</xm:f>
              </x14:cfvo>
              <x14:borderColor theme="0"/>
              <x14:negativeFillColor rgb="FFFF0000"/>
              <x14:axisColor rgb="FF000000"/>
            </x14:dataBar>
          </x14:cfRule>
          <xm:sqref>AD700</xm:sqref>
        </x14:conditionalFormatting>
        <x14:conditionalFormatting xmlns:xm="http://schemas.microsoft.com/office/excel/2006/main">
          <x14:cfRule type="dataBar" id="{120E26CB-05F8-4A93-AFB8-F027225774A1}">
            <x14:dataBar minLength="0" maxLength="100" border="1" gradient="0">
              <x14:cfvo type="num">
                <xm:f>0</xm:f>
              </x14:cfvo>
              <x14:cfvo type="num">
                <xm:f>1</xm:f>
              </x14:cfvo>
              <x14:borderColor theme="0"/>
              <x14:negativeFillColor rgb="FFFF0000"/>
              <x14:axisColor rgb="FF000000"/>
            </x14:dataBar>
          </x14:cfRule>
          <xm:sqref>AD703</xm:sqref>
        </x14:conditionalFormatting>
        <x14:conditionalFormatting xmlns:xm="http://schemas.microsoft.com/office/excel/2006/main">
          <x14:cfRule type="dataBar" id="{469F2BAE-BE02-45EA-8E61-6D96E0DE3228}">
            <x14:dataBar minLength="0" maxLength="100" border="1" gradient="0">
              <x14:cfvo type="num">
                <xm:f>0</xm:f>
              </x14:cfvo>
              <x14:cfvo type="num">
                <xm:f>1</xm:f>
              </x14:cfvo>
              <x14:borderColor theme="0"/>
              <x14:negativeFillColor rgb="FFFF0000"/>
              <x14:axisColor rgb="FF000000"/>
            </x14:dataBar>
          </x14:cfRule>
          <xm:sqref>AD705 AD741 AD707 AD709 AD711 AD713 AD715 AD717 AD719 AD721 AD723 AD725 AD727 AD729 AD731 AD733 AD735 AD737 AD739 AD743 AD745 AD747 AD749 AD751 AD753 AD755 AD757 AD759</xm:sqref>
        </x14:conditionalFormatting>
        <x14:conditionalFormatting xmlns:xm="http://schemas.microsoft.com/office/excel/2006/main">
          <x14:cfRule type="dataBar" id="{2C2310D9-D84D-481C-AC27-AA7DB85C5F1B}">
            <x14:dataBar minLength="0" maxLength="100" border="1" gradient="0">
              <x14:cfvo type="num">
                <xm:f>0</xm:f>
              </x14:cfvo>
              <x14:cfvo type="num">
                <xm:f>1</xm:f>
              </x14:cfvo>
              <x14:borderColor theme="0"/>
              <x14:negativeFillColor rgb="FFFF0000"/>
              <x14:axisColor rgb="FF000000"/>
            </x14:dataBar>
          </x14:cfRule>
          <xm:sqref>AD761 AD763 AD765 AD767 AD773</xm:sqref>
        </x14:conditionalFormatting>
        <x14:conditionalFormatting xmlns:xm="http://schemas.microsoft.com/office/excel/2006/main">
          <x14:cfRule type="dataBar" id="{5654DC39-8B01-40C2-9CFC-7639D011344C}">
            <x14:dataBar minLength="0" maxLength="100" border="1" gradient="0">
              <x14:cfvo type="num">
                <xm:f>0</xm:f>
              </x14:cfvo>
              <x14:cfvo type="num">
                <xm:f>1</xm:f>
              </x14:cfvo>
              <x14:borderColor theme="0"/>
              <x14:negativeFillColor rgb="FFFF0000"/>
              <x14:axisColor rgb="FF000000"/>
            </x14:dataBar>
          </x14:cfRule>
          <xm:sqref>AD769</xm:sqref>
        </x14:conditionalFormatting>
        <x14:conditionalFormatting xmlns:xm="http://schemas.microsoft.com/office/excel/2006/main">
          <x14:cfRule type="dataBar" id="{F6EBE9D1-EF1E-4A75-8328-506CFD59971C}">
            <x14:dataBar minLength="0" maxLength="100" border="1" gradient="0">
              <x14:cfvo type="num">
                <xm:f>0</xm:f>
              </x14:cfvo>
              <x14:cfvo type="num">
                <xm:f>1</xm:f>
              </x14:cfvo>
              <x14:borderColor theme="0"/>
              <x14:negativeFillColor rgb="FFFF0000"/>
              <x14:axisColor rgb="FF000000"/>
            </x14:dataBar>
          </x14:cfRule>
          <xm:sqref>AD771</xm:sqref>
        </x14:conditionalFormatting>
        <x14:conditionalFormatting xmlns:xm="http://schemas.microsoft.com/office/excel/2006/main">
          <x14:cfRule type="dataBar" id="{65E96324-94E5-4223-8EE9-B8598FD968DF}">
            <x14:dataBar minLength="0" maxLength="100" border="1" gradient="0">
              <x14:cfvo type="num">
                <xm:f>0</xm:f>
              </x14:cfvo>
              <x14:cfvo type="num">
                <xm:f>1</xm:f>
              </x14:cfvo>
              <x14:borderColor theme="0"/>
              <x14:negativeFillColor rgb="FFFF0000"/>
              <x14:axisColor rgb="FF000000"/>
            </x14:dataBar>
          </x14:cfRule>
          <xm:sqref>AD775</xm:sqref>
        </x14:conditionalFormatting>
        <x14:conditionalFormatting xmlns:xm="http://schemas.microsoft.com/office/excel/2006/main">
          <x14:cfRule type="dataBar" id="{80485280-CD82-4BDC-8084-02F51CA55B1D}">
            <x14:dataBar minLength="0" maxLength="100" border="1" gradient="0">
              <x14:cfvo type="num">
                <xm:f>0</xm:f>
              </x14:cfvo>
              <x14:cfvo type="num">
                <xm:f>1</xm:f>
              </x14:cfvo>
              <x14:borderColor theme="0"/>
              <x14:negativeFillColor rgb="FFFF0000"/>
              <x14:axisColor rgb="FF000000"/>
            </x14:dataBar>
          </x14:cfRule>
          <xm:sqref>AD777</xm:sqref>
        </x14:conditionalFormatting>
        <x14:conditionalFormatting xmlns:xm="http://schemas.microsoft.com/office/excel/2006/main">
          <x14:cfRule type="dataBar" id="{C2D18B7C-9382-48B2-BABE-2DC606312846}">
            <x14:dataBar minLength="0" maxLength="100" border="1" gradient="0">
              <x14:cfvo type="num">
                <xm:f>0</xm:f>
              </x14:cfvo>
              <x14:cfvo type="num">
                <xm:f>1</xm:f>
              </x14:cfvo>
              <x14:borderColor theme="0"/>
              <x14:negativeFillColor rgb="FFFF0000"/>
              <x14:axisColor rgb="FF000000"/>
            </x14:dataBar>
          </x14:cfRule>
          <xm:sqref>AD781 AD848</xm:sqref>
        </x14:conditionalFormatting>
        <x14:conditionalFormatting xmlns:xm="http://schemas.microsoft.com/office/excel/2006/main">
          <x14:cfRule type="dataBar" id="{CFC850A5-E6C2-46C5-AA6C-FD63EE2646C9}">
            <x14:dataBar minLength="0" maxLength="100" border="1" gradient="0">
              <x14:cfvo type="num">
                <xm:f>0</xm:f>
              </x14:cfvo>
              <x14:cfvo type="num">
                <xm:f>1</xm:f>
              </x14:cfvo>
              <x14:borderColor theme="0"/>
              <x14:negativeFillColor rgb="FFFF0000"/>
              <x14:axisColor rgb="FF000000"/>
            </x14:dataBar>
          </x14:cfRule>
          <xm:sqref>AD783 AD811 AD785 AD787 AD789 AD791 AD793 AD795 AD797 AD799 AD801 AD803 AD805 AD807 AD809 AD813 AD815 AD817 AD819 AD821 AD823 AD825 AD827</xm:sqref>
        </x14:conditionalFormatting>
        <x14:conditionalFormatting xmlns:xm="http://schemas.microsoft.com/office/excel/2006/main">
          <x14:cfRule type="dataBar" id="{082A96DC-CAB4-47EA-B76A-A3586AE6290B}">
            <x14:dataBar minLength="0" maxLength="100" border="1" gradient="0">
              <x14:cfvo type="num">
                <xm:f>0</xm:f>
              </x14:cfvo>
              <x14:cfvo type="num">
                <xm:f>1</xm:f>
              </x14:cfvo>
              <x14:borderColor theme="0"/>
              <x14:negativeFillColor rgb="FFFF0000"/>
              <x14:axisColor rgb="FF000000"/>
            </x14:dataBar>
          </x14:cfRule>
          <xm:sqref>AD829</xm:sqref>
        </x14:conditionalFormatting>
        <x14:conditionalFormatting xmlns:xm="http://schemas.microsoft.com/office/excel/2006/main">
          <x14:cfRule type="dataBar" id="{898C717B-FA66-4607-8111-4EFEBE4FC9ED}">
            <x14:dataBar minLength="0" maxLength="100" border="1" gradient="0">
              <x14:cfvo type="num">
                <xm:f>0</xm:f>
              </x14:cfvo>
              <x14:cfvo type="num">
                <xm:f>1</xm:f>
              </x14:cfvo>
              <x14:borderColor theme="0"/>
              <x14:negativeFillColor rgb="FFFF0000"/>
              <x14:axisColor rgb="FF000000"/>
            </x14:dataBar>
          </x14:cfRule>
          <xm:sqref>AD831</xm:sqref>
        </x14:conditionalFormatting>
        <x14:conditionalFormatting xmlns:xm="http://schemas.microsoft.com/office/excel/2006/main">
          <x14:cfRule type="dataBar" id="{0A063E22-6391-44E3-BE4D-EF06552DAF21}">
            <x14:dataBar minLength="0" maxLength="100" border="1" gradient="0">
              <x14:cfvo type="num">
                <xm:f>0</xm:f>
              </x14:cfvo>
              <x14:cfvo type="num">
                <xm:f>1</xm:f>
              </x14:cfvo>
              <x14:borderColor theme="0"/>
              <x14:negativeFillColor rgb="FFFF0000"/>
              <x14:axisColor rgb="FF000000"/>
            </x14:dataBar>
          </x14:cfRule>
          <xm:sqref>AD833</xm:sqref>
        </x14:conditionalFormatting>
        <x14:conditionalFormatting xmlns:xm="http://schemas.microsoft.com/office/excel/2006/main">
          <x14:cfRule type="dataBar" id="{74088569-E85B-476F-AB31-359C07F09F75}">
            <x14:dataBar minLength="0" maxLength="100" border="1" gradient="0">
              <x14:cfvo type="num">
                <xm:f>0</xm:f>
              </x14:cfvo>
              <x14:cfvo type="num">
                <xm:f>1</xm:f>
              </x14:cfvo>
              <x14:borderColor theme="0"/>
              <x14:negativeFillColor rgb="FFFF0000"/>
              <x14:axisColor rgb="FF000000"/>
            </x14:dataBar>
          </x14:cfRule>
          <xm:sqref>AD835</xm:sqref>
        </x14:conditionalFormatting>
        <x14:conditionalFormatting xmlns:xm="http://schemas.microsoft.com/office/excel/2006/main">
          <x14:cfRule type="dataBar" id="{D8E0146B-1F4C-4862-AC8A-7A71748D5A3A}">
            <x14:dataBar minLength="0" maxLength="100" border="1" gradient="0">
              <x14:cfvo type="num">
                <xm:f>0</xm:f>
              </x14:cfvo>
              <x14:cfvo type="num">
                <xm:f>1</xm:f>
              </x14:cfvo>
              <x14:borderColor theme="0"/>
              <x14:negativeFillColor rgb="FFFF0000"/>
              <x14:axisColor rgb="FF000000"/>
            </x14:dataBar>
          </x14:cfRule>
          <xm:sqref>AD837</xm:sqref>
        </x14:conditionalFormatting>
        <x14:conditionalFormatting xmlns:xm="http://schemas.microsoft.com/office/excel/2006/main">
          <x14:cfRule type="dataBar" id="{282516FD-03C6-4652-871E-95D3A0EC4B62}">
            <x14:dataBar minLength="0" maxLength="100" border="1" gradient="0">
              <x14:cfvo type="num">
                <xm:f>0</xm:f>
              </x14:cfvo>
              <x14:cfvo type="num">
                <xm:f>1</xm:f>
              </x14:cfvo>
              <x14:borderColor theme="0"/>
              <x14:negativeFillColor rgb="FFFF0000"/>
              <x14:axisColor rgb="FF000000"/>
            </x14:dataBar>
          </x14:cfRule>
          <xm:sqref>AD839</xm:sqref>
        </x14:conditionalFormatting>
        <x14:conditionalFormatting xmlns:xm="http://schemas.microsoft.com/office/excel/2006/main">
          <x14:cfRule type="dataBar" id="{48EA5A6B-F522-4CAF-A0C7-B1C3601BFB7C}">
            <x14:dataBar minLength="0" maxLength="100" border="1" gradient="0">
              <x14:cfvo type="num">
                <xm:f>0</xm:f>
              </x14:cfvo>
              <x14:cfvo type="num">
                <xm:f>1</xm:f>
              </x14:cfvo>
              <x14:borderColor theme="0"/>
              <x14:negativeFillColor rgb="FFFF0000"/>
              <x14:axisColor rgb="FF000000"/>
            </x14:dataBar>
          </x14:cfRule>
          <xm:sqref>AD841</xm:sqref>
        </x14:conditionalFormatting>
        <x14:conditionalFormatting xmlns:xm="http://schemas.microsoft.com/office/excel/2006/main">
          <x14:cfRule type="dataBar" id="{D31CA707-18C7-481F-AFA1-D6E7D3102274}">
            <x14:dataBar minLength="0" maxLength="100" border="1" gradient="0">
              <x14:cfvo type="num">
                <xm:f>0</xm:f>
              </x14:cfvo>
              <x14:cfvo type="num">
                <xm:f>1</xm:f>
              </x14:cfvo>
              <x14:borderColor theme="0"/>
              <x14:negativeFillColor rgb="FFFF0000"/>
              <x14:axisColor rgb="FF000000"/>
            </x14:dataBar>
          </x14:cfRule>
          <xm:sqref>AD843</xm:sqref>
        </x14:conditionalFormatting>
        <x14:conditionalFormatting xmlns:xm="http://schemas.microsoft.com/office/excel/2006/main">
          <x14:cfRule type="dataBar" id="{BC0038CD-B8F5-4C6A-A61C-990EA4B28D6C}">
            <x14:dataBar minLength="0" maxLength="100" border="1" gradient="0">
              <x14:cfvo type="num">
                <xm:f>0</xm:f>
              </x14:cfvo>
              <x14:cfvo type="num">
                <xm:f>1</xm:f>
              </x14:cfvo>
              <x14:borderColor theme="0"/>
              <x14:negativeFillColor rgb="FFFF0000"/>
              <x14:axisColor rgb="FF000000"/>
            </x14:dataBar>
          </x14:cfRule>
          <xm:sqref>AD845</xm:sqref>
        </x14:conditionalFormatting>
        <x14:conditionalFormatting xmlns:xm="http://schemas.microsoft.com/office/excel/2006/main">
          <x14:cfRule type="dataBar" id="{15CB5842-690A-4518-BA51-4D3759D33C97}">
            <x14:dataBar minLength="0" maxLength="100" border="1" gradient="0">
              <x14:cfvo type="num">
                <xm:f>0</xm:f>
              </x14:cfvo>
              <x14:cfvo type="num">
                <xm:f>1</xm:f>
              </x14:cfvo>
              <x14:borderColor theme="0"/>
              <x14:negativeFillColor rgb="FFFF0000"/>
              <x14:axisColor rgb="FF000000"/>
            </x14:dataBar>
          </x14:cfRule>
          <xm:sqref>AD851</xm:sqref>
        </x14:conditionalFormatting>
        <x14:conditionalFormatting xmlns:xm="http://schemas.microsoft.com/office/excel/2006/main">
          <x14:cfRule type="dataBar" id="{5AAFB768-DAC6-4045-83AC-421CC3B53BF6}">
            <x14:dataBar minLength="0" maxLength="100" border="1" gradient="0">
              <x14:cfvo type="num">
                <xm:f>0</xm:f>
              </x14:cfvo>
              <x14:cfvo type="num">
                <xm:f>1</xm:f>
              </x14:cfvo>
              <x14:borderColor theme="0"/>
              <x14:negativeFillColor rgb="FFFF0000"/>
              <x14:axisColor rgb="FF000000"/>
            </x14:dataBar>
          </x14:cfRule>
          <xm:sqref>AD853</xm:sqref>
        </x14:conditionalFormatting>
        <x14:conditionalFormatting xmlns:xm="http://schemas.microsoft.com/office/excel/2006/main">
          <x14:cfRule type="dataBar" id="{FFDF628F-8079-45C3-8030-C106CD430E8E}">
            <x14:dataBar minLength="0" maxLength="100" border="1" gradient="0">
              <x14:cfvo type="num">
                <xm:f>0</xm:f>
              </x14:cfvo>
              <x14:cfvo type="num">
                <xm:f>1</xm:f>
              </x14:cfvo>
              <x14:borderColor theme="0"/>
              <x14:negativeFillColor rgb="FFFF0000"/>
              <x14:axisColor rgb="FF000000"/>
            </x14:dataBar>
          </x14:cfRule>
          <xm:sqref>AD855</xm:sqref>
        </x14:conditionalFormatting>
        <x14:conditionalFormatting xmlns:xm="http://schemas.microsoft.com/office/excel/2006/main">
          <x14:cfRule type="dataBar" id="{ED83EDD9-84C3-449B-9468-1D898B6D7E93}">
            <x14:dataBar minLength="0" maxLength="100" border="1" gradient="0">
              <x14:cfvo type="num">
                <xm:f>0</xm:f>
              </x14:cfvo>
              <x14:cfvo type="num">
                <xm:f>1</xm:f>
              </x14:cfvo>
              <x14:borderColor theme="0"/>
              <x14:negativeFillColor rgb="FFFF0000"/>
              <x14:axisColor rgb="FF000000"/>
            </x14:dataBar>
          </x14:cfRule>
          <xm:sqref>AD857</xm:sqref>
        </x14:conditionalFormatting>
        <x14:conditionalFormatting xmlns:xm="http://schemas.microsoft.com/office/excel/2006/main">
          <x14:cfRule type="dataBar" id="{4114F832-5BAD-4B20-81B7-1EF829415E97}">
            <x14:dataBar minLength="0" maxLength="100" border="1" gradient="0">
              <x14:cfvo type="num">
                <xm:f>0</xm:f>
              </x14:cfvo>
              <x14:cfvo type="num">
                <xm:f>1</xm:f>
              </x14:cfvo>
              <x14:borderColor theme="0"/>
              <x14:negativeFillColor rgb="FFFF0000"/>
              <x14:axisColor rgb="FF000000"/>
            </x14:dataBar>
          </x14:cfRule>
          <xm:sqref>AD859 AD861 AD863 AD865 AD867 AD869</xm:sqref>
        </x14:conditionalFormatting>
        <x14:conditionalFormatting xmlns:xm="http://schemas.microsoft.com/office/excel/2006/main">
          <x14:cfRule type="dataBar" id="{CFB20E33-D24F-4843-A45E-B241F38B4C11}">
            <x14:dataBar minLength="0" maxLength="100" border="1" gradient="0">
              <x14:cfvo type="num">
                <xm:f>0</xm:f>
              </x14:cfvo>
              <x14:cfvo type="num">
                <xm:f>1</xm:f>
              </x14:cfvo>
              <x14:borderColor theme="0"/>
              <x14:negativeFillColor rgb="FFFF0000"/>
              <x14:axisColor rgb="FF000000"/>
            </x14:dataBar>
          </x14:cfRule>
          <xm:sqref>AD871 AD873 AD875 AD877 AD879</xm:sqref>
        </x14:conditionalFormatting>
        <x14:conditionalFormatting xmlns:xm="http://schemas.microsoft.com/office/excel/2006/main">
          <x14:cfRule type="dataBar" id="{4A88DDAD-0121-4E9D-861F-FF3652E34E88}">
            <x14:dataBar minLength="0" maxLength="100" border="1" gradient="0">
              <x14:cfvo type="num">
                <xm:f>0</xm:f>
              </x14:cfvo>
              <x14:cfvo type="num">
                <xm:f>1</xm:f>
              </x14:cfvo>
              <x14:borderColor theme="0"/>
              <x14:negativeFillColor rgb="FFFF0000"/>
              <x14:axisColor rgb="FF000000"/>
            </x14:dataBar>
          </x14:cfRule>
          <xm:sqref>AD881</xm:sqref>
        </x14:conditionalFormatting>
        <x14:conditionalFormatting xmlns:xm="http://schemas.microsoft.com/office/excel/2006/main">
          <x14:cfRule type="dataBar" id="{F8A1665F-9CAF-44BE-903B-98DC825F050B}">
            <x14:dataBar minLength="0" maxLength="100" border="1" gradient="0">
              <x14:cfvo type="num">
                <xm:f>0</xm:f>
              </x14:cfvo>
              <x14:cfvo type="num">
                <xm:f>1</xm:f>
              </x14:cfvo>
              <x14:borderColor theme="0"/>
              <x14:negativeFillColor rgb="FFFF0000"/>
              <x14:axisColor rgb="FF000000"/>
            </x14:dataBar>
          </x14:cfRule>
          <xm:sqref>AD883</xm:sqref>
        </x14:conditionalFormatting>
        <x14:conditionalFormatting xmlns:xm="http://schemas.microsoft.com/office/excel/2006/main">
          <x14:cfRule type="dataBar" id="{591C85C4-9C23-4EF8-BFEA-4EB51580155D}">
            <x14:dataBar minLength="0" maxLength="100" border="1" gradient="0">
              <x14:cfvo type="num">
                <xm:f>0</xm:f>
              </x14:cfvo>
              <x14:cfvo type="num">
                <xm:f>1</xm:f>
              </x14:cfvo>
              <x14:borderColor theme="0"/>
              <x14:negativeFillColor rgb="FFFF0000"/>
              <x14:axisColor rgb="FF000000"/>
            </x14:dataBar>
          </x14:cfRule>
          <xm:sqref>AD886</xm:sqref>
        </x14:conditionalFormatting>
        <x14:conditionalFormatting xmlns:xm="http://schemas.microsoft.com/office/excel/2006/main">
          <x14:cfRule type="dataBar" id="{94315E26-5BFA-41E1-BA56-B508EE989529}">
            <x14:dataBar minLength="0" maxLength="100" border="1" gradient="0">
              <x14:cfvo type="num">
                <xm:f>0</xm:f>
              </x14:cfvo>
              <x14:cfvo type="num">
                <xm:f>1</xm:f>
              </x14:cfvo>
              <x14:borderColor theme="0"/>
              <x14:negativeFillColor rgb="FFFF0000"/>
              <x14:axisColor rgb="FF000000"/>
            </x14:dataBar>
          </x14:cfRule>
          <xm:sqref>AD888</xm:sqref>
        </x14:conditionalFormatting>
        <x14:conditionalFormatting xmlns:xm="http://schemas.microsoft.com/office/excel/2006/main">
          <x14:cfRule type="dataBar" id="{7053AA02-B27E-41E6-A371-9D53B45FB5D9}">
            <x14:dataBar minLength="0" maxLength="100" border="1" gradient="0">
              <x14:cfvo type="num">
                <xm:f>0</xm:f>
              </x14:cfvo>
              <x14:cfvo type="num">
                <xm:f>1</xm:f>
              </x14:cfvo>
              <x14:borderColor theme="0"/>
              <x14:negativeFillColor rgb="FFFF0000"/>
              <x14:axisColor rgb="FF000000"/>
            </x14:dataBar>
          </x14:cfRule>
          <xm:sqref>AD890 AD892</xm:sqref>
        </x14:conditionalFormatting>
        <x14:conditionalFormatting xmlns:xm="http://schemas.microsoft.com/office/excel/2006/main">
          <x14:cfRule type="dataBar" id="{BD20A2C3-76EA-4792-8C93-200849DAE986}">
            <x14:dataBar minLength="0" maxLength="100" border="1" gradient="0">
              <x14:cfvo type="num">
                <xm:f>0</xm:f>
              </x14:cfvo>
              <x14:cfvo type="num">
                <xm:f>1</xm:f>
              </x14:cfvo>
              <x14:borderColor theme="0"/>
              <x14:negativeFillColor rgb="FFFF0000"/>
              <x14:axisColor rgb="FF000000"/>
            </x14:dataBar>
          </x14:cfRule>
          <xm:sqref>AD894</xm:sqref>
        </x14:conditionalFormatting>
        <x14:conditionalFormatting xmlns:xm="http://schemas.microsoft.com/office/excel/2006/main">
          <x14:cfRule type="dataBar" id="{736A046B-81BD-418C-A713-625BE5C4AC4E}">
            <x14:dataBar minLength="0" maxLength="100" border="1" gradient="0">
              <x14:cfvo type="num">
                <xm:f>0</xm:f>
              </x14:cfvo>
              <x14:cfvo type="num">
                <xm:f>1</xm:f>
              </x14:cfvo>
              <x14:borderColor theme="0"/>
              <x14:negativeFillColor rgb="FFFF0000"/>
              <x14:axisColor rgb="FF000000"/>
            </x14:dataBar>
          </x14:cfRule>
          <xm:sqref>AD896 AD898</xm:sqref>
        </x14:conditionalFormatting>
        <x14:conditionalFormatting xmlns:xm="http://schemas.microsoft.com/office/excel/2006/main">
          <x14:cfRule type="dataBar" id="{D236C1D1-29BF-487B-9DF1-0D6516731D12}">
            <x14:dataBar minLength="0" maxLength="100" border="1" gradient="0">
              <x14:cfvo type="num">
                <xm:f>0</xm:f>
              </x14:cfvo>
              <x14:cfvo type="num">
                <xm:f>1</xm:f>
              </x14:cfvo>
              <x14:borderColor theme="0"/>
              <x14:negativeFillColor rgb="FFFF0000"/>
              <x14:axisColor rgb="FF000000"/>
            </x14:dataBar>
          </x14:cfRule>
          <xm:sqref>AD900</xm:sqref>
        </x14:conditionalFormatting>
        <x14:conditionalFormatting xmlns:xm="http://schemas.microsoft.com/office/excel/2006/main">
          <x14:cfRule type="dataBar" id="{09D453ED-3774-4114-A876-7047CCE191D8}">
            <x14:dataBar minLength="0" maxLength="100" border="1" gradient="0">
              <x14:cfvo type="num">
                <xm:f>0</xm:f>
              </x14:cfvo>
              <x14:cfvo type="num">
                <xm:f>1</xm:f>
              </x14:cfvo>
              <x14:borderColor theme="0"/>
              <x14:negativeFillColor rgb="FFFF0000"/>
              <x14:axisColor rgb="FF000000"/>
            </x14:dataBar>
          </x14:cfRule>
          <xm:sqref>AD902 AD904</xm:sqref>
        </x14:conditionalFormatting>
        <x14:conditionalFormatting xmlns:xm="http://schemas.microsoft.com/office/excel/2006/main">
          <x14:cfRule type="dataBar" id="{F6B324E8-AC0A-4BB1-960E-AE0B8A501C20}">
            <x14:dataBar minLength="0" maxLength="100" border="1" gradient="0">
              <x14:cfvo type="num">
                <xm:f>0</xm:f>
              </x14:cfvo>
              <x14:cfvo type="num">
                <xm:f>1</xm:f>
              </x14:cfvo>
              <x14:borderColor theme="0"/>
              <x14:negativeFillColor rgb="FFFF0000"/>
              <x14:axisColor rgb="FF000000"/>
            </x14:dataBar>
          </x14:cfRule>
          <xm:sqref>AD906</xm:sqref>
        </x14:conditionalFormatting>
        <x14:conditionalFormatting xmlns:xm="http://schemas.microsoft.com/office/excel/2006/main">
          <x14:cfRule type="dataBar" id="{CAC64C74-0506-4ECA-821A-1CF84D5473E1}">
            <x14:dataBar minLength="0" maxLength="100" border="1" gradient="0">
              <x14:cfvo type="num">
                <xm:f>0</xm:f>
              </x14:cfvo>
              <x14:cfvo type="num">
                <xm:f>1</xm:f>
              </x14:cfvo>
              <x14:borderColor theme="0"/>
              <x14:negativeFillColor rgb="FFFF0000"/>
              <x14:axisColor rgb="FF000000"/>
            </x14:dataBar>
          </x14:cfRule>
          <xm:sqref>AD908 AD910</xm:sqref>
        </x14:conditionalFormatting>
        <x14:conditionalFormatting xmlns:xm="http://schemas.microsoft.com/office/excel/2006/main">
          <x14:cfRule type="dataBar" id="{808F5AC4-5842-481C-8076-C01FE4D4BF87}">
            <x14:dataBar minLength="0" maxLength="100" border="1" gradient="0">
              <x14:cfvo type="num">
                <xm:f>0</xm:f>
              </x14:cfvo>
              <x14:cfvo type="num">
                <xm:f>1</xm:f>
              </x14:cfvo>
              <x14:borderColor theme="0"/>
              <x14:negativeFillColor rgb="FFFF0000"/>
              <x14:axisColor rgb="FF000000"/>
            </x14:dataBar>
          </x14:cfRule>
          <xm:sqref>AD912</xm:sqref>
        </x14:conditionalFormatting>
        <x14:conditionalFormatting xmlns:xm="http://schemas.microsoft.com/office/excel/2006/main">
          <x14:cfRule type="dataBar" id="{C3E4EEFF-4649-4BC8-9403-2E1F8FDDB625}">
            <x14:dataBar minLength="0" maxLength="100" border="1" gradient="0">
              <x14:cfvo type="num">
                <xm:f>0</xm:f>
              </x14:cfvo>
              <x14:cfvo type="num">
                <xm:f>1</xm:f>
              </x14:cfvo>
              <x14:borderColor theme="0"/>
              <x14:negativeFillColor rgb="FFFF0000"/>
              <x14:axisColor rgb="FF000000"/>
            </x14:dataBar>
          </x14:cfRule>
          <xm:sqref>AD914 AD916</xm:sqref>
        </x14:conditionalFormatting>
        <x14:conditionalFormatting xmlns:xm="http://schemas.microsoft.com/office/excel/2006/main">
          <x14:cfRule type="dataBar" id="{557BB593-92E7-4807-BA66-D251154F5669}">
            <x14:dataBar minLength="0" maxLength="100" border="1" gradient="0">
              <x14:cfvo type="num">
                <xm:f>0</xm:f>
              </x14:cfvo>
              <x14:cfvo type="num">
                <xm:f>1</xm:f>
              </x14:cfvo>
              <x14:borderColor theme="0"/>
              <x14:negativeFillColor rgb="FFFF0000"/>
              <x14:axisColor rgb="FF000000"/>
            </x14:dataBar>
          </x14:cfRule>
          <xm:sqref>AD918</xm:sqref>
        </x14:conditionalFormatting>
        <x14:conditionalFormatting xmlns:xm="http://schemas.microsoft.com/office/excel/2006/main">
          <x14:cfRule type="dataBar" id="{CFC63C1E-058E-4DA2-A244-84B571219C82}">
            <x14:dataBar minLength="0" maxLength="100" border="1" gradient="0">
              <x14:cfvo type="num">
                <xm:f>0</xm:f>
              </x14:cfvo>
              <x14:cfvo type="num">
                <xm:f>1</xm:f>
              </x14:cfvo>
              <x14:borderColor theme="0"/>
              <x14:negativeFillColor rgb="FFFF0000"/>
              <x14:axisColor rgb="FF000000"/>
            </x14:dataBar>
          </x14:cfRule>
          <xm:sqref>AD920</xm:sqref>
        </x14:conditionalFormatting>
        <x14:conditionalFormatting xmlns:xm="http://schemas.microsoft.com/office/excel/2006/main">
          <x14:cfRule type="dataBar" id="{BC55D733-C788-4949-B4E4-B91A7FD6AD6F}">
            <x14:dataBar minLength="0" maxLength="100" border="1" gradient="0">
              <x14:cfvo type="num">
                <xm:f>0</xm:f>
              </x14:cfvo>
              <x14:cfvo type="num">
                <xm:f>1</xm:f>
              </x14:cfvo>
              <x14:borderColor theme="0"/>
              <x14:negativeFillColor rgb="FFFF0000"/>
              <x14:axisColor rgb="FF000000"/>
            </x14:dataBar>
          </x14:cfRule>
          <xm:sqref>AD924</xm:sqref>
        </x14:conditionalFormatting>
        <x14:conditionalFormatting xmlns:xm="http://schemas.microsoft.com/office/excel/2006/main">
          <x14:cfRule type="dataBar" id="{18035758-40A8-4144-A731-7E685B4DF8CB}">
            <x14:dataBar minLength="0" maxLength="100" border="1" gradient="0">
              <x14:cfvo type="num">
                <xm:f>0</xm:f>
              </x14:cfvo>
              <x14:cfvo type="num">
                <xm:f>1</xm:f>
              </x14:cfvo>
              <x14:borderColor theme="0"/>
              <x14:negativeFillColor rgb="FFFF0000"/>
              <x14:axisColor rgb="FF000000"/>
            </x14:dataBar>
          </x14:cfRule>
          <xm:sqref>AD926</xm:sqref>
        </x14:conditionalFormatting>
        <x14:conditionalFormatting xmlns:xm="http://schemas.microsoft.com/office/excel/2006/main">
          <x14:cfRule type="dataBar" id="{B92EB612-9E94-4CB6-836F-AC6E6933016B}">
            <x14:dataBar minLength="0" maxLength="100" border="1" gradient="0">
              <x14:cfvo type="num">
                <xm:f>0</xm:f>
              </x14:cfvo>
              <x14:cfvo type="num">
                <xm:f>1</xm:f>
              </x14:cfvo>
              <x14:borderColor theme="0"/>
              <x14:negativeFillColor rgb="FFFF0000"/>
              <x14:axisColor rgb="FF000000"/>
            </x14:dataBar>
          </x14:cfRule>
          <xm:sqref>AD928 AD930</xm:sqref>
        </x14:conditionalFormatting>
        <x14:conditionalFormatting xmlns:xm="http://schemas.microsoft.com/office/excel/2006/main">
          <x14:cfRule type="dataBar" id="{8AEE2A1D-D1F4-48D0-A485-B6F0F23EBB6E}">
            <x14:dataBar minLength="0" maxLength="100" border="1" gradient="0">
              <x14:cfvo type="num">
                <xm:f>0</xm:f>
              </x14:cfvo>
              <x14:cfvo type="num">
                <xm:f>1</xm:f>
              </x14:cfvo>
              <x14:borderColor theme="0"/>
              <x14:negativeFillColor rgb="FFFF0000"/>
              <x14:axisColor rgb="FF000000"/>
            </x14:dataBar>
          </x14:cfRule>
          <xm:sqref>AD932</xm:sqref>
        </x14:conditionalFormatting>
        <x14:conditionalFormatting xmlns:xm="http://schemas.microsoft.com/office/excel/2006/main">
          <x14:cfRule type="dataBar" id="{8942E9FE-D37E-4A62-8F52-6D704C90C0C8}">
            <x14:dataBar minLength="0" maxLength="100" border="1" gradient="0">
              <x14:cfvo type="num">
                <xm:f>0</xm:f>
              </x14:cfvo>
              <x14:cfvo type="num">
                <xm:f>1</xm:f>
              </x14:cfvo>
              <x14:borderColor theme="0"/>
              <x14:negativeFillColor rgb="FFFF0000"/>
              <x14:axisColor rgb="FF000000"/>
            </x14:dataBar>
          </x14:cfRule>
          <xm:sqref>AD934 AD936</xm:sqref>
        </x14:conditionalFormatting>
        <x14:conditionalFormatting xmlns:xm="http://schemas.microsoft.com/office/excel/2006/main">
          <x14:cfRule type="dataBar" id="{D1A5BA4A-AEC6-40F1-94F6-6B58C73F6DE1}">
            <x14:dataBar minLength="0" maxLength="100" border="1" gradient="0">
              <x14:cfvo type="num">
                <xm:f>0</xm:f>
              </x14:cfvo>
              <x14:cfvo type="num">
                <xm:f>1</xm:f>
              </x14:cfvo>
              <x14:borderColor theme="0"/>
              <x14:negativeFillColor rgb="FFFF0000"/>
              <x14:axisColor rgb="FF000000"/>
            </x14:dataBar>
          </x14:cfRule>
          <xm:sqref>AD938</xm:sqref>
        </x14:conditionalFormatting>
        <x14:conditionalFormatting xmlns:xm="http://schemas.microsoft.com/office/excel/2006/main">
          <x14:cfRule type="dataBar" id="{8F928A4D-DA95-4A51-A73D-931805D25E5C}">
            <x14:dataBar minLength="0" maxLength="100" border="1" gradient="0">
              <x14:cfvo type="num">
                <xm:f>0</xm:f>
              </x14:cfvo>
              <x14:cfvo type="num">
                <xm:f>1</xm:f>
              </x14:cfvo>
              <x14:borderColor theme="0"/>
              <x14:negativeFillColor rgb="FFFF0000"/>
              <x14:axisColor rgb="FF000000"/>
            </x14:dataBar>
          </x14:cfRule>
          <xm:sqref>AD941</xm:sqref>
        </x14:conditionalFormatting>
        <x14:conditionalFormatting xmlns:xm="http://schemas.microsoft.com/office/excel/2006/main">
          <x14:cfRule type="dataBar" id="{B652E4AA-1735-4505-975E-41269803D73A}">
            <x14:dataBar minLength="0" maxLength="100" border="1" gradient="0">
              <x14:cfvo type="num">
                <xm:f>0</xm:f>
              </x14:cfvo>
              <x14:cfvo type="num">
                <xm:f>1</xm:f>
              </x14:cfvo>
              <x14:borderColor theme="0"/>
              <x14:negativeFillColor rgb="FFFF0000"/>
              <x14:axisColor rgb="FF000000"/>
            </x14:dataBar>
          </x14:cfRule>
          <xm:sqref>AD943</xm:sqref>
        </x14:conditionalFormatting>
        <x14:conditionalFormatting xmlns:xm="http://schemas.microsoft.com/office/excel/2006/main">
          <x14:cfRule type="dataBar" id="{E790373D-8C54-4E2D-951E-CF3CFCE46C1B}">
            <x14:dataBar minLength="0" maxLength="100" border="1" gradient="0">
              <x14:cfvo type="num">
                <xm:f>0</xm:f>
              </x14:cfvo>
              <x14:cfvo type="num">
                <xm:f>1</xm:f>
              </x14:cfvo>
              <x14:borderColor theme="0"/>
              <x14:negativeFillColor rgb="FFFF0000"/>
              <x14:axisColor rgb="FF000000"/>
            </x14:dataBar>
          </x14:cfRule>
          <xm:sqref>AD945 AD947</xm:sqref>
        </x14:conditionalFormatting>
        <x14:conditionalFormatting xmlns:xm="http://schemas.microsoft.com/office/excel/2006/main">
          <x14:cfRule type="dataBar" id="{27435022-85E1-4CD9-BA4C-DB0A2802D904}">
            <x14:dataBar minLength="0" maxLength="100" border="1" gradient="0">
              <x14:cfvo type="num">
                <xm:f>0</xm:f>
              </x14:cfvo>
              <x14:cfvo type="num">
                <xm:f>1</xm:f>
              </x14:cfvo>
              <x14:borderColor theme="0"/>
              <x14:negativeFillColor rgb="FFFF0000"/>
              <x14:axisColor rgb="FF000000"/>
            </x14:dataBar>
          </x14:cfRule>
          <xm:sqref>AD949</xm:sqref>
        </x14:conditionalFormatting>
        <x14:conditionalFormatting xmlns:xm="http://schemas.microsoft.com/office/excel/2006/main">
          <x14:cfRule type="dataBar" id="{8E9BD97B-9CEC-4B1E-A3D0-2EE2835B9063}">
            <x14:dataBar minLength="0" maxLength="100" border="1" gradient="0">
              <x14:cfvo type="num">
                <xm:f>0</xm:f>
              </x14:cfvo>
              <x14:cfvo type="num">
                <xm:f>1</xm:f>
              </x14:cfvo>
              <x14:borderColor theme="0"/>
              <x14:negativeFillColor rgb="FFFF0000"/>
              <x14:axisColor rgb="FF000000"/>
            </x14:dataBar>
          </x14:cfRule>
          <xm:sqref>AD951 AD953</xm:sqref>
        </x14:conditionalFormatting>
        <x14:conditionalFormatting xmlns:xm="http://schemas.microsoft.com/office/excel/2006/main">
          <x14:cfRule type="dataBar" id="{E742BA73-C7DA-4B4A-A76D-F94C829A618C}">
            <x14:dataBar minLength="0" maxLength="100" border="1" gradient="0">
              <x14:cfvo type="num">
                <xm:f>0</xm:f>
              </x14:cfvo>
              <x14:cfvo type="num">
                <xm:f>1</xm:f>
              </x14:cfvo>
              <x14:borderColor theme="0"/>
              <x14:negativeFillColor rgb="FFFF0000"/>
              <x14:axisColor rgb="FF000000"/>
            </x14:dataBar>
          </x14:cfRule>
          <xm:sqref>AD955</xm:sqref>
        </x14:conditionalFormatting>
        <x14:conditionalFormatting xmlns:xm="http://schemas.microsoft.com/office/excel/2006/main">
          <x14:cfRule type="dataBar" id="{CE995190-6D96-4C7F-A220-308750907BD8}">
            <x14:dataBar minLength="0" maxLength="100" border="1" gradient="0">
              <x14:cfvo type="num">
                <xm:f>0</xm:f>
              </x14:cfvo>
              <x14:cfvo type="num">
                <xm:f>1</xm:f>
              </x14:cfvo>
              <x14:borderColor theme="0"/>
              <x14:negativeFillColor rgb="FFFF0000"/>
              <x14:axisColor rgb="FF000000"/>
            </x14:dataBar>
          </x14:cfRule>
          <xm:sqref>AD957 AD959</xm:sqref>
        </x14:conditionalFormatting>
        <x14:conditionalFormatting xmlns:xm="http://schemas.microsoft.com/office/excel/2006/main">
          <x14:cfRule type="dataBar" id="{71CDEBA9-4211-4755-B6D6-CB8C64F0DF10}">
            <x14:dataBar minLength="0" maxLength="100" border="1" gradient="0">
              <x14:cfvo type="num">
                <xm:f>0</xm:f>
              </x14:cfvo>
              <x14:cfvo type="num">
                <xm:f>1</xm:f>
              </x14:cfvo>
              <x14:borderColor theme="0"/>
              <x14:negativeFillColor rgb="FFFF0000"/>
              <x14:axisColor rgb="FF000000"/>
            </x14:dataBar>
          </x14:cfRule>
          <xm:sqref>AD961</xm:sqref>
        </x14:conditionalFormatting>
        <x14:conditionalFormatting xmlns:xm="http://schemas.microsoft.com/office/excel/2006/main">
          <x14:cfRule type="dataBar" id="{5930898E-7B18-4BE3-8BB4-332C6AEB1BC0}">
            <x14:dataBar minLength="0" maxLength="100" border="1" gradient="0">
              <x14:cfvo type="num">
                <xm:f>0</xm:f>
              </x14:cfvo>
              <x14:cfvo type="num">
                <xm:f>1</xm:f>
              </x14:cfvo>
              <x14:borderColor theme="0"/>
              <x14:negativeFillColor rgb="FFFF0000"/>
              <x14:axisColor rgb="FF000000"/>
            </x14:dataBar>
          </x14:cfRule>
          <xm:sqref>AD963 AD965</xm:sqref>
        </x14:conditionalFormatting>
        <x14:conditionalFormatting xmlns:xm="http://schemas.microsoft.com/office/excel/2006/main">
          <x14:cfRule type="dataBar" id="{44230003-2BC3-4F79-8B10-64DC159823A1}">
            <x14:dataBar minLength="0" maxLength="100" border="1" gradient="0">
              <x14:cfvo type="num">
                <xm:f>0</xm:f>
              </x14:cfvo>
              <x14:cfvo type="num">
                <xm:f>1</xm:f>
              </x14:cfvo>
              <x14:borderColor theme="0"/>
              <x14:negativeFillColor rgb="FFFF0000"/>
              <x14:axisColor rgb="FF000000"/>
            </x14:dataBar>
          </x14:cfRule>
          <xm:sqref>AD967</xm:sqref>
        </x14:conditionalFormatting>
        <x14:conditionalFormatting xmlns:xm="http://schemas.microsoft.com/office/excel/2006/main">
          <x14:cfRule type="dataBar" id="{44F61445-2562-4E6D-8C46-8E6B415B1BA0}">
            <x14:dataBar minLength="0" maxLength="100" border="1" gradient="0">
              <x14:cfvo type="num">
                <xm:f>0</xm:f>
              </x14:cfvo>
              <x14:cfvo type="num">
                <xm:f>1</xm:f>
              </x14:cfvo>
              <x14:borderColor theme="0"/>
              <x14:negativeFillColor rgb="FFFF0000"/>
              <x14:axisColor rgb="FF000000"/>
            </x14:dataBar>
          </x14:cfRule>
          <xm:sqref>AD973</xm:sqref>
        </x14:conditionalFormatting>
        <x14:conditionalFormatting xmlns:xm="http://schemas.microsoft.com/office/excel/2006/main">
          <x14:cfRule type="dataBar" id="{93620174-1EF5-4DC2-8EDA-F00932C87098}">
            <x14:dataBar minLength="0" maxLength="100" border="1" gradient="0">
              <x14:cfvo type="num">
                <xm:f>0</xm:f>
              </x14:cfvo>
              <x14:cfvo type="num">
                <xm:f>1</xm:f>
              </x14:cfvo>
              <x14:borderColor theme="0"/>
              <x14:negativeFillColor rgb="FFFF0000"/>
              <x14:axisColor rgb="FF000000"/>
            </x14:dataBar>
          </x14:cfRule>
          <xm:sqref>AD975 AD977</xm:sqref>
        </x14:conditionalFormatting>
        <x14:conditionalFormatting xmlns:xm="http://schemas.microsoft.com/office/excel/2006/main">
          <x14:cfRule type="dataBar" id="{806B5AB9-3071-4E1A-AB32-D88D83D16427}">
            <x14:dataBar minLength="0" maxLength="100" border="1" gradient="0">
              <x14:cfvo type="num">
                <xm:f>0</xm:f>
              </x14:cfvo>
              <x14:cfvo type="num">
                <xm:f>1</xm:f>
              </x14:cfvo>
              <x14:borderColor theme="0"/>
              <x14:negativeFillColor rgb="FFFF0000"/>
              <x14:axisColor rgb="FF000000"/>
            </x14:dataBar>
          </x14:cfRule>
          <xm:sqref>AD979</xm:sqref>
        </x14:conditionalFormatting>
        <x14:conditionalFormatting xmlns:xm="http://schemas.microsoft.com/office/excel/2006/main">
          <x14:cfRule type="dataBar" id="{C03A1D89-172C-4663-A11D-1A4FC985A6DE}">
            <x14:dataBar minLength="0" maxLength="100" border="1" gradient="0">
              <x14:cfvo type="num">
                <xm:f>0</xm:f>
              </x14:cfvo>
              <x14:cfvo type="num">
                <xm:f>1</xm:f>
              </x14:cfvo>
              <x14:borderColor theme="0"/>
              <x14:negativeFillColor rgb="FFFF0000"/>
              <x14:axisColor rgb="FF000000"/>
            </x14:dataBar>
          </x14:cfRule>
          <xm:sqref>AD981 AD983</xm:sqref>
        </x14:conditionalFormatting>
        <x14:conditionalFormatting xmlns:xm="http://schemas.microsoft.com/office/excel/2006/main">
          <x14:cfRule type="dataBar" id="{78584FE7-02F5-4017-8733-C044EF060411}">
            <x14:dataBar minLength="0" maxLength="100" border="1" gradient="0">
              <x14:cfvo type="num">
                <xm:f>0</xm:f>
              </x14:cfvo>
              <x14:cfvo type="num">
                <xm:f>1</xm:f>
              </x14:cfvo>
              <x14:borderColor theme="0"/>
              <x14:negativeFillColor rgb="FFFF0000"/>
              <x14:axisColor rgb="FF000000"/>
            </x14:dataBar>
          </x14:cfRule>
          <xm:sqref>AD985</xm:sqref>
        </x14:conditionalFormatting>
        <x14:conditionalFormatting xmlns:xm="http://schemas.microsoft.com/office/excel/2006/main">
          <x14:cfRule type="dataBar" id="{F8B6BF3C-F526-4090-A981-9BC516EC2017}">
            <x14:dataBar minLength="0" maxLength="100" border="1" gradient="0">
              <x14:cfvo type="num">
                <xm:f>0</xm:f>
              </x14:cfvo>
              <x14:cfvo type="num">
                <xm:f>1</xm:f>
              </x14:cfvo>
              <x14:borderColor theme="0"/>
              <x14:negativeFillColor rgb="FFFF0000"/>
              <x14:axisColor rgb="FF000000"/>
            </x14:dataBar>
          </x14:cfRule>
          <xm:sqref>AD987 AD989</xm:sqref>
        </x14:conditionalFormatting>
        <x14:conditionalFormatting xmlns:xm="http://schemas.microsoft.com/office/excel/2006/main">
          <x14:cfRule type="dataBar" id="{7B2F9FEF-C6CF-4F96-A297-E527AB5AF85A}">
            <x14:dataBar minLength="0" maxLength="100" border="1" gradient="0">
              <x14:cfvo type="num">
                <xm:f>0</xm:f>
              </x14:cfvo>
              <x14:cfvo type="num">
                <xm:f>1</xm:f>
              </x14:cfvo>
              <x14:borderColor theme="0"/>
              <x14:negativeFillColor rgb="FFFF0000"/>
              <x14:axisColor rgb="FF000000"/>
            </x14:dataBar>
          </x14:cfRule>
          <xm:sqref>AD991</xm:sqref>
        </x14:conditionalFormatting>
        <x14:conditionalFormatting xmlns:xm="http://schemas.microsoft.com/office/excel/2006/main">
          <x14:cfRule type="dataBar" id="{375364E2-0D1E-4770-9499-E74AB0EA17A8}">
            <x14:dataBar minLength="0" maxLength="100" border="1" gradient="0">
              <x14:cfvo type="num">
                <xm:f>0</xm:f>
              </x14:cfvo>
              <x14:cfvo type="num">
                <xm:f>1</xm:f>
              </x14:cfvo>
              <x14:borderColor theme="0"/>
              <x14:negativeFillColor rgb="FFFF0000"/>
              <x14:axisColor rgb="FF000000"/>
            </x14:dataBar>
          </x14:cfRule>
          <xm:sqref>AD994</xm:sqref>
        </x14:conditionalFormatting>
        <x14:conditionalFormatting xmlns:xm="http://schemas.microsoft.com/office/excel/2006/main">
          <x14:cfRule type="dataBar" id="{1932ED43-82AB-4B41-B394-4513BAD431DF}">
            <x14:dataBar minLength="0" maxLength="100" border="1" gradient="0">
              <x14:cfvo type="num">
                <xm:f>0</xm:f>
              </x14:cfvo>
              <x14:cfvo type="num">
                <xm:f>1</xm:f>
              </x14:cfvo>
              <x14:borderColor theme="0"/>
              <x14:negativeFillColor rgb="FFFF0000"/>
              <x14:axisColor rgb="FF000000"/>
            </x14:dataBar>
          </x14:cfRule>
          <xm:sqref>AD997</xm:sqref>
        </x14:conditionalFormatting>
        <x14:conditionalFormatting xmlns:xm="http://schemas.microsoft.com/office/excel/2006/main">
          <x14:cfRule type="dataBar" id="{104BCF4F-6136-44AB-8C79-078D0895011D}">
            <x14:dataBar minLength="0" maxLength="100" border="1" gradient="0">
              <x14:cfvo type="num">
                <xm:f>0</xm:f>
              </x14:cfvo>
              <x14:cfvo type="num">
                <xm:f>1</xm:f>
              </x14:cfvo>
              <x14:borderColor theme="0"/>
              <x14:negativeFillColor rgb="FFFF0000"/>
              <x14:axisColor rgb="FF000000"/>
            </x14:dataBar>
          </x14:cfRule>
          <xm:sqref>AD999 AD1001 AD1003</xm:sqref>
        </x14:conditionalFormatting>
        <x14:conditionalFormatting xmlns:xm="http://schemas.microsoft.com/office/excel/2006/main">
          <x14:cfRule type="dataBar" id="{DBF98FF7-F922-4ABB-8661-C586CBDE6D17}">
            <x14:dataBar minLength="0" maxLength="100" border="1" gradient="0">
              <x14:cfvo type="num">
                <xm:f>0</xm:f>
              </x14:cfvo>
              <x14:cfvo type="num">
                <xm:f>1</xm:f>
              </x14:cfvo>
              <x14:borderColor theme="0"/>
              <x14:negativeFillColor rgb="FFFF0000"/>
              <x14:axisColor rgb="FF000000"/>
            </x14:dataBar>
          </x14:cfRule>
          <xm:sqref>AD1005</xm:sqref>
        </x14:conditionalFormatting>
        <x14:conditionalFormatting xmlns:xm="http://schemas.microsoft.com/office/excel/2006/main">
          <x14:cfRule type="dataBar" id="{504AE4E5-72E2-47A2-8779-30B51870D7FF}">
            <x14:dataBar minLength="0" maxLength="100" border="1" gradient="0">
              <x14:cfvo type="num">
                <xm:f>0</xm:f>
              </x14:cfvo>
              <x14:cfvo type="num">
                <xm:f>1</xm:f>
              </x14:cfvo>
              <x14:borderColor theme="0"/>
              <x14:negativeFillColor rgb="FFFF0000"/>
              <x14:axisColor rgb="FF000000"/>
            </x14:dataBar>
          </x14:cfRule>
          <xm:sqref>AD1007</xm:sqref>
        </x14:conditionalFormatting>
        <x14:conditionalFormatting xmlns:xm="http://schemas.microsoft.com/office/excel/2006/main">
          <x14:cfRule type="dataBar" id="{709BD638-3A3E-4FF7-96F2-29D11BD4A7B2}">
            <x14:dataBar minLength="0" maxLength="100" border="1" gradient="0">
              <x14:cfvo type="num">
                <xm:f>0</xm:f>
              </x14:cfvo>
              <x14:cfvo type="num">
                <xm:f>1</xm:f>
              </x14:cfvo>
              <x14:borderColor theme="0"/>
              <x14:negativeFillColor rgb="FFFF0000"/>
              <x14:axisColor rgb="FF000000"/>
            </x14:dataBar>
          </x14:cfRule>
          <xm:sqref>AD1009</xm:sqref>
        </x14:conditionalFormatting>
        <x14:conditionalFormatting xmlns:xm="http://schemas.microsoft.com/office/excel/2006/main">
          <x14:cfRule type="dataBar" id="{EDA86564-D7C5-4BC7-971B-BDB6AE023BFE}">
            <x14:dataBar minLength="0" maxLength="100" border="1" gradient="0">
              <x14:cfvo type="num">
                <xm:f>0</xm:f>
              </x14:cfvo>
              <x14:cfvo type="num">
                <xm:f>1</xm:f>
              </x14:cfvo>
              <x14:borderColor theme="0"/>
              <x14:negativeFillColor rgb="FFFF0000"/>
              <x14:axisColor rgb="FF000000"/>
            </x14:dataBar>
          </x14:cfRule>
          <xm:sqref>AD1011</xm:sqref>
        </x14:conditionalFormatting>
        <x14:conditionalFormatting xmlns:xm="http://schemas.microsoft.com/office/excel/2006/main">
          <x14:cfRule type="dataBar" id="{7942F696-58B7-4A14-8275-EE42751FAF96}">
            <x14:dataBar minLength="0" maxLength="100" border="1" gradient="0">
              <x14:cfvo type="num">
                <xm:f>0</xm:f>
              </x14:cfvo>
              <x14:cfvo type="num">
                <xm:f>1</xm:f>
              </x14:cfvo>
              <x14:borderColor theme="0"/>
              <x14:negativeFillColor rgb="FFFF0000"/>
              <x14:axisColor rgb="FF000000"/>
            </x14:dataBar>
          </x14:cfRule>
          <xm:sqref>AD1013</xm:sqref>
        </x14:conditionalFormatting>
        <x14:conditionalFormatting xmlns:xm="http://schemas.microsoft.com/office/excel/2006/main">
          <x14:cfRule type="dataBar" id="{2F96ECD2-E697-4E1A-BF43-66DFA37B2394}">
            <x14:dataBar minLength="0" maxLength="100" border="1" gradient="0">
              <x14:cfvo type="num">
                <xm:f>0</xm:f>
              </x14:cfvo>
              <x14:cfvo type="num">
                <xm:f>1</xm:f>
              </x14:cfvo>
              <x14:borderColor theme="0"/>
              <x14:negativeFillColor rgb="FFFF0000"/>
              <x14:axisColor rgb="FF000000"/>
            </x14:dataBar>
          </x14:cfRule>
          <xm:sqref>AD1015</xm:sqref>
        </x14:conditionalFormatting>
        <x14:conditionalFormatting xmlns:xm="http://schemas.microsoft.com/office/excel/2006/main">
          <x14:cfRule type="dataBar" id="{89B8213E-08AA-41AA-9598-2555237A3182}">
            <x14:dataBar minLength="0" maxLength="100" border="1" gradient="0">
              <x14:cfvo type="num">
                <xm:f>0</xm:f>
              </x14:cfvo>
              <x14:cfvo type="num">
                <xm:f>1</xm:f>
              </x14:cfvo>
              <x14:borderColor theme="0"/>
              <x14:negativeFillColor rgb="FFFF0000"/>
              <x14:axisColor rgb="FF000000"/>
            </x14:dataBar>
          </x14:cfRule>
          <xm:sqref>AD1017</xm:sqref>
        </x14:conditionalFormatting>
        <x14:conditionalFormatting xmlns:xm="http://schemas.microsoft.com/office/excel/2006/main">
          <x14:cfRule type="dataBar" id="{2692B77E-AD96-4624-89AC-6A3A60E9D628}">
            <x14:dataBar minLength="0" maxLength="100" border="1" gradient="0">
              <x14:cfvo type="num">
                <xm:f>0</xm:f>
              </x14:cfvo>
              <x14:cfvo type="num">
                <xm:f>1</xm:f>
              </x14:cfvo>
              <x14:borderColor theme="0"/>
              <x14:negativeFillColor rgb="FFFF0000"/>
              <x14:axisColor rgb="FF000000"/>
            </x14:dataBar>
          </x14:cfRule>
          <xm:sqref>AD1020</xm:sqref>
        </x14:conditionalFormatting>
        <x14:conditionalFormatting xmlns:xm="http://schemas.microsoft.com/office/excel/2006/main">
          <x14:cfRule type="dataBar" id="{F7AAAF87-508A-46E4-AB0D-2519CDA54349}">
            <x14:dataBar minLength="0" maxLength="100" border="1" gradient="0">
              <x14:cfvo type="num">
                <xm:f>0</xm:f>
              </x14:cfvo>
              <x14:cfvo type="num">
                <xm:f>1</xm:f>
              </x14:cfvo>
              <x14:borderColor theme="0"/>
              <x14:negativeFillColor rgb="FFFF0000"/>
              <x14:axisColor rgb="FF000000"/>
            </x14:dataBar>
          </x14:cfRule>
          <xm:sqref>AD1022 AD1024 AD1026</xm:sqref>
        </x14:conditionalFormatting>
        <x14:conditionalFormatting xmlns:xm="http://schemas.microsoft.com/office/excel/2006/main">
          <x14:cfRule type="dataBar" id="{D5DE6EA2-7F0F-4C36-88E4-F1832826C9EA}">
            <x14:dataBar minLength="0" maxLength="100" border="1" gradient="0">
              <x14:cfvo type="num">
                <xm:f>0</xm:f>
              </x14:cfvo>
              <x14:cfvo type="num">
                <xm:f>1</xm:f>
              </x14:cfvo>
              <x14:borderColor theme="0"/>
              <x14:negativeFillColor rgb="FFFF0000"/>
              <x14:axisColor rgb="FF000000"/>
            </x14:dataBar>
          </x14:cfRule>
          <xm:sqref>AD1028 AD1030 AD1032</xm:sqref>
        </x14:conditionalFormatting>
        <x14:conditionalFormatting xmlns:xm="http://schemas.microsoft.com/office/excel/2006/main">
          <x14:cfRule type="dataBar" id="{AD7FF494-C53D-4346-97E9-93A9D59067DB}">
            <x14:dataBar minLength="0" maxLength="100" border="1" gradient="0">
              <x14:cfvo type="num">
                <xm:f>0</xm:f>
              </x14:cfvo>
              <x14:cfvo type="num">
                <xm:f>1</xm:f>
              </x14:cfvo>
              <x14:borderColor theme="0"/>
              <x14:negativeFillColor rgb="FFFF0000"/>
              <x14:axisColor rgb="FF000000"/>
            </x14:dataBar>
          </x14:cfRule>
          <xm:sqref>AD1034 AD1036 AD1038</xm:sqref>
        </x14:conditionalFormatting>
        <x14:conditionalFormatting xmlns:xm="http://schemas.microsoft.com/office/excel/2006/main">
          <x14:cfRule type="dataBar" id="{BB7C0ED0-3DC7-4320-AA90-46EC95EB34A2}">
            <x14:dataBar minLength="0" maxLength="100" border="1" gradient="0">
              <x14:cfvo type="num">
                <xm:f>0</xm:f>
              </x14:cfvo>
              <x14:cfvo type="num">
                <xm:f>1</xm:f>
              </x14:cfvo>
              <x14:borderColor theme="0"/>
              <x14:negativeFillColor rgb="FFFF0000"/>
              <x14:axisColor rgb="FF000000"/>
            </x14:dataBar>
          </x14:cfRule>
          <xm:sqref>AD1040 AD1042 AD1044</xm:sqref>
        </x14:conditionalFormatting>
        <x14:conditionalFormatting xmlns:xm="http://schemas.microsoft.com/office/excel/2006/main">
          <x14:cfRule type="dataBar" id="{7E0D63C3-8220-42DC-B4BE-1CD26D10A39E}">
            <x14:dataBar minLength="0" maxLength="100" border="1" gradient="0">
              <x14:cfvo type="num">
                <xm:f>0</xm:f>
              </x14:cfvo>
              <x14:cfvo type="num">
                <xm:f>1</xm:f>
              </x14:cfvo>
              <x14:borderColor theme="0"/>
              <x14:negativeFillColor rgb="FFFF0000"/>
              <x14:axisColor rgb="FF000000"/>
            </x14:dataBar>
          </x14:cfRule>
          <xm:sqref>AD1046 AD1048 AD1050</xm:sqref>
        </x14:conditionalFormatting>
        <x14:conditionalFormatting xmlns:xm="http://schemas.microsoft.com/office/excel/2006/main">
          <x14:cfRule type="dataBar" id="{421F244A-1B58-40AB-B42B-5A9DDE44C32F}">
            <x14:dataBar minLength="0" maxLength="100" border="1" gradient="0">
              <x14:cfvo type="num">
                <xm:f>0</xm:f>
              </x14:cfvo>
              <x14:cfvo type="num">
                <xm:f>1</xm:f>
              </x14:cfvo>
              <x14:borderColor theme="0"/>
              <x14:negativeFillColor rgb="FFFF0000"/>
              <x14:axisColor rgb="FF000000"/>
            </x14:dataBar>
          </x14:cfRule>
          <xm:sqref>AD1052 AD1054 AD1056</xm:sqref>
        </x14:conditionalFormatting>
        <x14:conditionalFormatting xmlns:xm="http://schemas.microsoft.com/office/excel/2006/main">
          <x14:cfRule type="dataBar" id="{5EA4CA9D-4C21-402B-AEC5-4D7BEE1E11EE}">
            <x14:dataBar minLength="0" maxLength="100" border="1" gradient="0">
              <x14:cfvo type="num">
                <xm:f>0</xm:f>
              </x14:cfvo>
              <x14:cfvo type="num">
                <xm:f>1</xm:f>
              </x14:cfvo>
              <x14:borderColor theme="0"/>
              <x14:negativeFillColor rgb="FFFF0000"/>
              <x14:axisColor rgb="FF000000"/>
            </x14:dataBar>
          </x14:cfRule>
          <xm:sqref>AD1058 AD1060 AD1062</xm:sqref>
        </x14:conditionalFormatting>
        <x14:conditionalFormatting xmlns:xm="http://schemas.microsoft.com/office/excel/2006/main">
          <x14:cfRule type="dataBar" id="{873C3EFC-4AAD-43A6-AEE5-86BDAE503F3C}">
            <x14:dataBar minLength="0" maxLength="100" border="1" gradient="0">
              <x14:cfvo type="num">
                <xm:f>0</xm:f>
              </x14:cfvo>
              <x14:cfvo type="num">
                <xm:f>1</xm:f>
              </x14:cfvo>
              <x14:borderColor theme="0"/>
              <x14:negativeFillColor rgb="FFFF0000"/>
              <x14:axisColor rgb="FF000000"/>
            </x14:dataBar>
          </x14:cfRule>
          <xm:sqref>AD1064 AD1066 AD1068</xm:sqref>
        </x14:conditionalFormatting>
        <x14:conditionalFormatting xmlns:xm="http://schemas.microsoft.com/office/excel/2006/main">
          <x14:cfRule type="dataBar" id="{FC02E8CA-8401-4C27-9A87-3FD4C3D4CF0B}">
            <x14:dataBar minLength="0" maxLength="100" border="1" gradient="0">
              <x14:cfvo type="num">
                <xm:f>0</xm:f>
              </x14:cfvo>
              <x14:cfvo type="num">
                <xm:f>1</xm:f>
              </x14:cfvo>
              <x14:borderColor theme="0"/>
              <x14:negativeFillColor rgb="FFFF0000"/>
              <x14:axisColor rgb="FF000000"/>
            </x14:dataBar>
          </x14:cfRule>
          <xm:sqref>AD1070 AD1072 AD1074</xm:sqref>
        </x14:conditionalFormatting>
        <x14:conditionalFormatting xmlns:xm="http://schemas.microsoft.com/office/excel/2006/main">
          <x14:cfRule type="dataBar" id="{63684DA2-DBF7-4144-B026-3A78EC624912}">
            <x14:dataBar minLength="0" maxLength="100" border="1" gradient="0">
              <x14:cfvo type="num">
                <xm:f>0</xm:f>
              </x14:cfvo>
              <x14:cfvo type="num">
                <xm:f>1</xm:f>
              </x14:cfvo>
              <x14:borderColor theme="0"/>
              <x14:negativeFillColor rgb="FFFF0000"/>
              <x14:axisColor rgb="FF000000"/>
            </x14:dataBar>
          </x14:cfRule>
          <xm:sqref>AD1076 AD1080</xm:sqref>
        </x14:conditionalFormatting>
        <x14:conditionalFormatting xmlns:xm="http://schemas.microsoft.com/office/excel/2006/main">
          <x14:cfRule type="dataBar" id="{0044B9D5-E48A-4CBA-B03B-236508D496B5}">
            <x14:dataBar minLength="0" maxLength="100" border="1" gradient="0">
              <x14:cfvo type="num">
                <xm:f>0</xm:f>
              </x14:cfvo>
              <x14:cfvo type="num">
                <xm:f>1</xm:f>
              </x14:cfvo>
              <x14:borderColor theme="0"/>
              <x14:negativeFillColor rgb="FFFF0000"/>
              <x14:axisColor rgb="FF000000"/>
            </x14:dataBar>
          </x14:cfRule>
          <xm:sqref>AD1078</xm:sqref>
        </x14:conditionalFormatting>
        <x14:conditionalFormatting xmlns:xm="http://schemas.microsoft.com/office/excel/2006/main">
          <x14:cfRule type="dataBar" id="{EEEA1151-75F5-4294-A2CC-7DE9E9A2FEFE}">
            <x14:dataBar minLength="0" maxLength="100" border="1" gradient="0">
              <x14:cfvo type="num">
                <xm:f>0</xm:f>
              </x14:cfvo>
              <x14:cfvo type="num">
                <xm:f>1</xm:f>
              </x14:cfvo>
              <x14:borderColor theme="0"/>
              <x14:negativeFillColor rgb="FFFF0000"/>
              <x14:axisColor rgb="FF000000"/>
            </x14:dataBar>
          </x14:cfRule>
          <xm:sqref>AD1082</xm:sqref>
        </x14:conditionalFormatting>
        <x14:conditionalFormatting xmlns:xm="http://schemas.microsoft.com/office/excel/2006/main">
          <x14:cfRule type="dataBar" id="{6870BCF7-345A-40CF-A5DD-0BB388E2F535}">
            <x14:dataBar minLength="0" maxLength="100" border="1" gradient="0">
              <x14:cfvo type="num">
                <xm:f>0</xm:f>
              </x14:cfvo>
              <x14:cfvo type="num">
                <xm:f>1</xm:f>
              </x14:cfvo>
              <x14:borderColor theme="0"/>
              <x14:negativeFillColor rgb="FFFF0000"/>
              <x14:axisColor rgb="FF000000"/>
            </x14:dataBar>
          </x14:cfRule>
          <xm:sqref>AD1085</xm:sqref>
        </x14:conditionalFormatting>
        <x14:conditionalFormatting xmlns:xm="http://schemas.microsoft.com/office/excel/2006/main">
          <x14:cfRule type="dataBar" id="{6F5D0506-4813-495F-8EE2-BAA3E536DC30}">
            <x14:dataBar minLength="0" maxLength="100" border="1" gradient="0">
              <x14:cfvo type="num">
                <xm:f>0</xm:f>
              </x14:cfvo>
              <x14:cfvo type="num">
                <xm:f>1</xm:f>
              </x14:cfvo>
              <x14:borderColor theme="0"/>
              <x14:negativeFillColor rgb="FFFF0000"/>
              <x14:axisColor rgb="FF000000"/>
            </x14:dataBar>
          </x14:cfRule>
          <xm:sqref>AD1087</xm:sqref>
        </x14:conditionalFormatting>
        <x14:conditionalFormatting xmlns:xm="http://schemas.microsoft.com/office/excel/2006/main">
          <x14:cfRule type="dataBar" id="{96EEA3F1-89B2-4171-B58E-7BB1FE2D013E}">
            <x14:dataBar minLength="0" maxLength="100" border="1" gradient="0">
              <x14:cfvo type="num">
                <xm:f>0</xm:f>
              </x14:cfvo>
              <x14:cfvo type="num">
                <xm:f>1</xm:f>
              </x14:cfvo>
              <x14:borderColor theme="0"/>
              <x14:negativeFillColor rgb="FFFF0000"/>
              <x14:axisColor rgb="FF000000"/>
            </x14:dataBar>
          </x14:cfRule>
          <xm:sqref>AD1089 AD1091 AD1093 AD1095 AD1097 AD1099 AD1101 AD1103</xm:sqref>
        </x14:conditionalFormatting>
        <x14:conditionalFormatting xmlns:xm="http://schemas.microsoft.com/office/excel/2006/main">
          <x14:cfRule type="dataBar" id="{AF365311-202B-48FF-9E36-568EC6E24E3E}">
            <x14:dataBar minLength="0" maxLength="100" border="1" gradient="0">
              <x14:cfvo type="num">
                <xm:f>0</xm:f>
              </x14:cfvo>
              <x14:cfvo type="num">
                <xm:f>1</xm:f>
              </x14:cfvo>
              <x14:borderColor theme="0"/>
              <x14:negativeFillColor rgb="FFFF0000"/>
              <x14:axisColor rgb="FF000000"/>
            </x14:dataBar>
          </x14:cfRule>
          <xm:sqref>AD1105 AD1107 AD1109 AD1111 AD1113 AD1115 AD1117</xm:sqref>
        </x14:conditionalFormatting>
        <x14:conditionalFormatting xmlns:xm="http://schemas.microsoft.com/office/excel/2006/main">
          <x14:cfRule type="dataBar" id="{DBBA4043-C8CE-406C-8249-0AA3A5187A3B}">
            <x14:dataBar minLength="0" maxLength="100" border="1" gradient="0">
              <x14:cfvo type="num">
                <xm:f>0</xm:f>
              </x14:cfvo>
              <x14:cfvo type="num">
                <xm:f>1</xm:f>
              </x14:cfvo>
              <x14:borderColor theme="0"/>
              <x14:negativeFillColor rgb="FFFF0000"/>
              <x14:axisColor rgb="FF000000"/>
            </x14:dataBar>
          </x14:cfRule>
          <xm:sqref>AD1119</xm:sqref>
        </x14:conditionalFormatting>
        <x14:conditionalFormatting xmlns:xm="http://schemas.microsoft.com/office/excel/2006/main">
          <x14:cfRule type="dataBar" id="{14C934EC-1162-4D02-81C2-EC17E93502D1}">
            <x14:dataBar minLength="0" maxLength="100" border="1" gradient="0">
              <x14:cfvo type="num">
                <xm:f>0</xm:f>
              </x14:cfvo>
              <x14:cfvo type="num">
                <xm:f>1</xm:f>
              </x14:cfvo>
              <x14:borderColor theme="0"/>
              <x14:negativeFillColor rgb="FFFF0000"/>
              <x14:axisColor rgb="FF000000"/>
            </x14:dataBar>
          </x14:cfRule>
          <xm:sqref>AD1121</xm:sqref>
        </x14:conditionalFormatting>
        <x14:conditionalFormatting xmlns:xm="http://schemas.microsoft.com/office/excel/2006/main">
          <x14:cfRule type="dataBar" id="{9CE44C2E-0FC9-4109-8564-80CC90A3FA7A}">
            <x14:dataBar minLength="0" maxLength="100" border="1" gradient="0">
              <x14:cfvo type="num">
                <xm:f>0</xm:f>
              </x14:cfvo>
              <x14:cfvo type="num">
                <xm:f>1</xm:f>
              </x14:cfvo>
              <x14:borderColor theme="0"/>
              <x14:negativeFillColor rgb="FFFF0000"/>
              <x14:axisColor rgb="FF000000"/>
            </x14:dataBar>
          </x14:cfRule>
          <xm:sqref>AD1125</xm:sqref>
        </x14:conditionalFormatting>
        <x14:conditionalFormatting xmlns:xm="http://schemas.microsoft.com/office/excel/2006/main">
          <x14:cfRule type="dataBar" id="{A7B864E0-4B31-43F0-9862-7FC7EF0ACC75}">
            <x14:dataBar minLength="0" maxLength="100" border="1" gradient="0">
              <x14:cfvo type="num">
                <xm:f>0</xm:f>
              </x14:cfvo>
              <x14:cfvo type="num">
                <xm:f>1</xm:f>
              </x14:cfvo>
              <x14:borderColor theme="0"/>
              <x14:negativeFillColor rgb="FFFF0000"/>
              <x14:axisColor rgb="FF000000"/>
            </x14:dataBar>
          </x14:cfRule>
          <xm:sqref>AD1128</xm:sqref>
        </x14:conditionalFormatting>
        <x14:conditionalFormatting xmlns:xm="http://schemas.microsoft.com/office/excel/2006/main">
          <x14:cfRule type="dataBar" id="{C4CC753E-3C37-4ABB-9E68-334D489CCBFC}">
            <x14:dataBar minLength="0" maxLength="100" border="1" gradient="0">
              <x14:cfvo type="num">
                <xm:f>0</xm:f>
              </x14:cfvo>
              <x14:cfvo type="num">
                <xm:f>1</xm:f>
              </x14:cfvo>
              <x14:borderColor theme="0"/>
              <x14:negativeFillColor rgb="FFFF0000"/>
              <x14:axisColor rgb="FF000000"/>
            </x14:dataBar>
          </x14:cfRule>
          <xm:sqref>AD1130 AD1132 AD1134</xm:sqref>
        </x14:conditionalFormatting>
        <x14:conditionalFormatting xmlns:xm="http://schemas.microsoft.com/office/excel/2006/main">
          <x14:cfRule type="dataBar" id="{E8ACF0AD-7911-4F7B-B6BE-F2C03E076C8A}">
            <x14:dataBar minLength="0" maxLength="100" border="1" gradient="0">
              <x14:cfvo type="num">
                <xm:f>0</xm:f>
              </x14:cfvo>
              <x14:cfvo type="num">
                <xm:f>1</xm:f>
              </x14:cfvo>
              <x14:borderColor theme="0"/>
              <x14:negativeFillColor rgb="FFFF0000"/>
              <x14:axisColor rgb="FF000000"/>
            </x14:dataBar>
          </x14:cfRule>
          <xm:sqref>AD1136 AD1138</xm:sqref>
        </x14:conditionalFormatting>
        <x14:conditionalFormatting xmlns:xm="http://schemas.microsoft.com/office/excel/2006/main">
          <x14:cfRule type="dataBar" id="{721BEEB3-1228-49D0-B108-73FA30926AD0}">
            <x14:dataBar minLength="0" maxLength="100" border="1" gradient="0">
              <x14:cfvo type="num">
                <xm:f>0</xm:f>
              </x14:cfvo>
              <x14:cfvo type="num">
                <xm:f>1</xm:f>
              </x14:cfvo>
              <x14:borderColor theme="0"/>
              <x14:negativeFillColor rgb="FFFF0000"/>
              <x14:axisColor rgb="FF000000"/>
            </x14:dataBar>
          </x14:cfRule>
          <xm:sqref>AD1140 AD1142 AD1144</xm:sqref>
        </x14:conditionalFormatting>
        <x14:conditionalFormatting xmlns:xm="http://schemas.microsoft.com/office/excel/2006/main">
          <x14:cfRule type="dataBar" id="{01AB24A5-4625-4661-85DD-578780C1B19F}">
            <x14:dataBar minLength="0" maxLength="100" border="1" gradient="0">
              <x14:cfvo type="num">
                <xm:f>0</xm:f>
              </x14:cfvo>
              <x14:cfvo type="num">
                <xm:f>1</xm:f>
              </x14:cfvo>
              <x14:borderColor theme="0"/>
              <x14:negativeFillColor rgb="FFFF0000"/>
              <x14:axisColor rgb="FF000000"/>
            </x14:dataBar>
          </x14:cfRule>
          <xm:sqref>AD1146 AD1148 AD1150</xm:sqref>
        </x14:conditionalFormatting>
        <x14:conditionalFormatting xmlns:xm="http://schemas.microsoft.com/office/excel/2006/main">
          <x14:cfRule type="dataBar" id="{84FB3904-EF1E-49CE-AD9C-A7F0885C1B1D}">
            <x14:dataBar minLength="0" maxLength="100" border="1" gradient="0">
              <x14:cfvo type="num">
                <xm:f>0</xm:f>
              </x14:cfvo>
              <x14:cfvo type="num">
                <xm:f>1</xm:f>
              </x14:cfvo>
              <x14:borderColor theme="0"/>
              <x14:negativeFillColor rgb="FFFF0000"/>
              <x14:axisColor rgb="FF000000"/>
            </x14:dataBar>
          </x14:cfRule>
          <xm:sqref>AD1152 AD1154 AD1156</xm:sqref>
        </x14:conditionalFormatting>
        <x14:conditionalFormatting xmlns:xm="http://schemas.microsoft.com/office/excel/2006/main">
          <x14:cfRule type="dataBar" id="{BEB6E84B-065A-4672-8FB4-0C10D856A98A}">
            <x14:dataBar minLength="0" maxLength="100" border="1" gradient="0">
              <x14:cfvo type="num">
                <xm:f>0</xm:f>
              </x14:cfvo>
              <x14:cfvo type="num">
                <xm:f>1</xm:f>
              </x14:cfvo>
              <x14:borderColor theme="0"/>
              <x14:negativeFillColor rgb="FFFF0000"/>
              <x14:axisColor rgb="FF000000"/>
            </x14:dataBar>
          </x14:cfRule>
          <xm:sqref>AD1158 AD1160 AD1162</xm:sqref>
        </x14:conditionalFormatting>
        <x14:conditionalFormatting xmlns:xm="http://schemas.microsoft.com/office/excel/2006/main">
          <x14:cfRule type="dataBar" id="{7650FC42-68AB-4B1F-AAE7-0C569E9678A0}">
            <x14:dataBar minLength="0" maxLength="100" border="1" gradient="0">
              <x14:cfvo type="num">
                <xm:f>0</xm:f>
              </x14:cfvo>
              <x14:cfvo type="num">
                <xm:f>1</xm:f>
              </x14:cfvo>
              <x14:borderColor theme="0"/>
              <x14:negativeFillColor rgb="FFFF0000"/>
              <x14:axisColor rgb="FF000000"/>
            </x14:dataBar>
          </x14:cfRule>
          <xm:sqref>AD1166 AD1164 AD1168</xm:sqref>
        </x14:conditionalFormatting>
        <x14:conditionalFormatting xmlns:xm="http://schemas.microsoft.com/office/excel/2006/main">
          <x14:cfRule type="dataBar" id="{E820D480-8E9B-400B-B9C4-124F3B7BA130}">
            <x14:dataBar minLength="0" maxLength="100" border="1" gradient="0">
              <x14:cfvo type="num">
                <xm:f>0</xm:f>
              </x14:cfvo>
              <x14:cfvo type="num">
                <xm:f>1</xm:f>
              </x14:cfvo>
              <x14:borderColor theme="0"/>
              <x14:negativeFillColor rgb="FFFF0000"/>
              <x14:axisColor rgb="FF000000"/>
            </x14:dataBar>
          </x14:cfRule>
          <xm:sqref>AD1172 AD1170 AD1174</xm:sqref>
        </x14:conditionalFormatting>
        <x14:conditionalFormatting xmlns:xm="http://schemas.microsoft.com/office/excel/2006/main">
          <x14:cfRule type="dataBar" id="{1B953332-E7A2-40C1-9269-379B093C1A0F}">
            <x14:dataBar minLength="0" maxLength="100" border="1" gradient="0">
              <x14:cfvo type="num">
                <xm:f>0</xm:f>
              </x14:cfvo>
              <x14:cfvo type="num">
                <xm:f>1</xm:f>
              </x14:cfvo>
              <x14:borderColor theme="0"/>
              <x14:negativeFillColor rgb="FFFF0000"/>
              <x14:axisColor rgb="FF000000"/>
            </x14:dataBar>
          </x14:cfRule>
          <xm:sqref>AD1178 AD1176 AD1180</xm:sqref>
        </x14:conditionalFormatting>
        <x14:conditionalFormatting xmlns:xm="http://schemas.microsoft.com/office/excel/2006/main">
          <x14:cfRule type="dataBar" id="{6B6487DD-B06E-46FF-ACA4-9C7EFDE34D1D}">
            <x14:dataBar minLength="0" maxLength="100" border="1" gradient="0">
              <x14:cfvo type="num">
                <xm:f>0</xm:f>
              </x14:cfvo>
              <x14:cfvo type="num">
                <xm:f>1</xm:f>
              </x14:cfvo>
              <x14:borderColor theme="0"/>
              <x14:negativeFillColor rgb="FFFF0000"/>
              <x14:axisColor rgb="FF000000"/>
            </x14:dataBar>
          </x14:cfRule>
          <xm:sqref>AD1182 AD1184 AD1186</xm:sqref>
        </x14:conditionalFormatting>
        <x14:conditionalFormatting xmlns:xm="http://schemas.microsoft.com/office/excel/2006/main">
          <x14:cfRule type="dataBar" id="{7D0C7C13-D0A6-414B-B6AD-487CF754AFBB}">
            <x14:dataBar minLength="0" maxLength="100" border="1" gradient="0">
              <x14:cfvo type="num">
                <xm:f>0</xm:f>
              </x14:cfvo>
              <x14:cfvo type="num">
                <xm:f>1</xm:f>
              </x14:cfvo>
              <x14:borderColor theme="0"/>
              <x14:negativeFillColor rgb="FFFF0000"/>
              <x14:axisColor rgb="FF000000"/>
            </x14:dataBar>
          </x14:cfRule>
          <xm:sqref>AD1188 AD1190 AD1192</xm:sqref>
        </x14:conditionalFormatting>
        <x14:conditionalFormatting xmlns:xm="http://schemas.microsoft.com/office/excel/2006/main">
          <x14:cfRule type="dataBar" id="{77D049F1-1848-47DD-956A-D3126FF3F747}">
            <x14:dataBar minLength="0" maxLength="100" border="1" gradient="0">
              <x14:cfvo type="num">
                <xm:f>0</xm:f>
              </x14:cfvo>
              <x14:cfvo type="num">
                <xm:f>1</xm:f>
              </x14:cfvo>
              <x14:borderColor theme="0"/>
              <x14:negativeFillColor rgb="FFFF0000"/>
              <x14:axisColor rgb="FF000000"/>
            </x14:dataBar>
          </x14:cfRule>
          <xm:sqref>AD1194 AD1196</xm:sqref>
        </x14:conditionalFormatting>
        <x14:conditionalFormatting xmlns:xm="http://schemas.microsoft.com/office/excel/2006/main">
          <x14:cfRule type="dataBar" id="{C19332BF-2458-4604-850B-8B2D57AFFD0D}">
            <x14:dataBar minLength="0" maxLength="100" border="1" gradient="0">
              <x14:cfvo type="num">
                <xm:f>0</xm:f>
              </x14:cfvo>
              <x14:cfvo type="num">
                <xm:f>1</xm:f>
              </x14:cfvo>
              <x14:borderColor theme="0"/>
              <x14:negativeFillColor rgb="FFFF0000"/>
              <x14:axisColor rgb="FF000000"/>
            </x14:dataBar>
          </x14:cfRule>
          <xm:sqref>AD1199</xm:sqref>
        </x14:conditionalFormatting>
        <x14:conditionalFormatting xmlns:xm="http://schemas.microsoft.com/office/excel/2006/main">
          <x14:cfRule type="dataBar" id="{780FD30C-6BE7-4BDD-B233-8059BA68A131}">
            <x14:dataBar minLength="0" maxLength="100" border="1" gradient="0">
              <x14:cfvo type="num">
                <xm:f>0</xm:f>
              </x14:cfvo>
              <x14:cfvo type="num">
                <xm:f>1</xm:f>
              </x14:cfvo>
              <x14:borderColor theme="0"/>
              <x14:negativeFillColor rgb="FFFF0000"/>
              <x14:axisColor rgb="FF000000"/>
            </x14:dataBar>
          </x14:cfRule>
          <xm:sqref>AD1201</xm:sqref>
        </x14:conditionalFormatting>
        <x14:conditionalFormatting xmlns:xm="http://schemas.microsoft.com/office/excel/2006/main">
          <x14:cfRule type="dataBar" id="{B9CD401B-EDB7-46E3-AA3A-AD5FDDC0F624}">
            <x14:dataBar minLength="0" maxLength="100" border="1" gradient="0">
              <x14:cfvo type="num">
                <xm:f>0</xm:f>
              </x14:cfvo>
              <x14:cfvo type="num">
                <xm:f>1</xm:f>
              </x14:cfvo>
              <x14:borderColor theme="0"/>
              <x14:negativeFillColor rgb="FFFF0000"/>
              <x14:axisColor rgb="FF000000"/>
            </x14:dataBar>
          </x14:cfRule>
          <xm:sqref>AD1203 AD1205 AD1207 AD1209 AD1211 AD1213</xm:sqref>
        </x14:conditionalFormatting>
        <x14:conditionalFormatting xmlns:xm="http://schemas.microsoft.com/office/excel/2006/main">
          <x14:cfRule type="dataBar" id="{4BAA91AA-7A3B-4503-BD07-2DD05A059B4C}">
            <x14:dataBar minLength="0" maxLength="100" border="1" gradient="0">
              <x14:cfvo type="num">
                <xm:f>0</xm:f>
              </x14:cfvo>
              <x14:cfvo type="num">
                <xm:f>1</xm:f>
              </x14:cfvo>
              <x14:borderColor theme="0"/>
              <x14:negativeFillColor rgb="FFFF0000"/>
              <x14:axisColor rgb="FF000000"/>
            </x14:dataBar>
          </x14:cfRule>
          <xm:sqref>AD1215 AD1217 AD1219 AD1221 AD1223 AD1225</xm:sqref>
        </x14:conditionalFormatting>
        <x14:conditionalFormatting xmlns:xm="http://schemas.microsoft.com/office/excel/2006/main">
          <x14:cfRule type="dataBar" id="{D7452820-4FB3-497C-B7F0-E56D328CA64D}">
            <x14:dataBar minLength="0" maxLength="100" border="1" gradient="0">
              <x14:cfvo type="num">
                <xm:f>0</xm:f>
              </x14:cfvo>
              <x14:cfvo type="num">
                <xm:f>1</xm:f>
              </x14:cfvo>
              <x14:borderColor theme="0"/>
              <x14:negativeFillColor rgb="FFFF0000"/>
              <x14:axisColor rgb="FF000000"/>
            </x14:dataBar>
          </x14:cfRule>
          <xm:sqref>AD1227</xm:sqref>
        </x14:conditionalFormatting>
        <x14:conditionalFormatting xmlns:xm="http://schemas.microsoft.com/office/excel/2006/main">
          <x14:cfRule type="dataBar" id="{EA7AE886-2127-4905-AA32-DDE0AB4701EC}">
            <x14:dataBar minLength="0" maxLength="100" border="1" gradient="0">
              <x14:cfvo type="num">
                <xm:f>0</xm:f>
              </x14:cfvo>
              <x14:cfvo type="num">
                <xm:f>1</xm:f>
              </x14:cfvo>
              <x14:borderColor theme="0"/>
              <x14:negativeFillColor rgb="FFFF0000"/>
              <x14:axisColor rgb="FF000000"/>
            </x14:dataBar>
          </x14:cfRule>
          <xm:sqref>AD1229 AD1231 AD1233 AD1235 AD1237 AD1239</xm:sqref>
        </x14:conditionalFormatting>
        <x14:conditionalFormatting xmlns:xm="http://schemas.microsoft.com/office/excel/2006/main">
          <x14:cfRule type="dataBar" id="{4C5BBBEF-E85D-428E-BE9A-681CD795F759}">
            <x14:dataBar minLength="0" maxLength="100" border="1" gradient="0">
              <x14:cfvo type="num">
                <xm:f>0</xm:f>
              </x14:cfvo>
              <x14:cfvo type="num">
                <xm:f>1</xm:f>
              </x14:cfvo>
              <x14:borderColor theme="0"/>
              <x14:negativeFillColor rgb="FFFF0000"/>
              <x14:axisColor rgb="FF000000"/>
            </x14:dataBar>
          </x14:cfRule>
          <xm:sqref>AD1241 AD1243 AD1245 AD1247 AD1249 AD1251</xm:sqref>
        </x14:conditionalFormatting>
        <x14:conditionalFormatting xmlns:xm="http://schemas.microsoft.com/office/excel/2006/main">
          <x14:cfRule type="dataBar" id="{B254933D-196B-48ED-9055-56E85D1ACF78}">
            <x14:dataBar minLength="0" maxLength="100" border="1" gradient="0">
              <x14:cfvo type="num">
                <xm:f>0</xm:f>
              </x14:cfvo>
              <x14:cfvo type="num">
                <xm:f>1</xm:f>
              </x14:cfvo>
              <x14:borderColor theme="0"/>
              <x14:negativeFillColor rgb="FFFF0000"/>
              <x14:axisColor rgb="FF000000"/>
            </x14:dataBar>
          </x14:cfRule>
          <xm:sqref>AD1253</xm:sqref>
        </x14:conditionalFormatting>
        <x14:conditionalFormatting xmlns:xm="http://schemas.microsoft.com/office/excel/2006/main">
          <x14:cfRule type="dataBar" id="{A8F6CFE2-199F-4A23-9086-4960345AAC40}">
            <x14:dataBar minLength="0" maxLength="100" border="1" gradient="0">
              <x14:cfvo type="num">
                <xm:f>0</xm:f>
              </x14:cfvo>
              <x14:cfvo type="num">
                <xm:f>1</xm:f>
              </x14:cfvo>
              <x14:borderColor theme="0"/>
              <x14:negativeFillColor rgb="FFFF0000"/>
              <x14:axisColor rgb="FF000000"/>
            </x14:dataBar>
          </x14:cfRule>
          <xm:sqref>AD1255 AD1257 AD1259 AD1261 AD1263 AD1265</xm:sqref>
        </x14:conditionalFormatting>
        <x14:conditionalFormatting xmlns:xm="http://schemas.microsoft.com/office/excel/2006/main">
          <x14:cfRule type="dataBar" id="{1724D40A-45A0-46F8-A4E3-44DDB73D39C4}">
            <x14:dataBar minLength="0" maxLength="100" border="1" gradient="0">
              <x14:cfvo type="num">
                <xm:f>0</xm:f>
              </x14:cfvo>
              <x14:cfvo type="num">
                <xm:f>1</xm:f>
              </x14:cfvo>
              <x14:borderColor theme="0"/>
              <x14:negativeFillColor rgb="FFFF0000"/>
              <x14:axisColor rgb="FF000000"/>
            </x14:dataBar>
          </x14:cfRule>
          <xm:sqref>AD1267 AD1269 AD1271 AD1273 AD1275 AD1277</xm:sqref>
        </x14:conditionalFormatting>
        <x14:conditionalFormatting xmlns:xm="http://schemas.microsoft.com/office/excel/2006/main">
          <x14:cfRule type="dataBar" id="{96E9A944-D472-4CFE-BC4B-823025BCE0F1}">
            <x14:dataBar minLength="0" maxLength="100" border="1" gradient="0">
              <x14:cfvo type="num">
                <xm:f>0</xm:f>
              </x14:cfvo>
              <x14:cfvo type="num">
                <xm:f>1</xm:f>
              </x14:cfvo>
              <x14:borderColor theme="0"/>
              <x14:negativeFillColor rgb="FFFF0000"/>
              <x14:axisColor rgb="FF000000"/>
            </x14:dataBar>
          </x14:cfRule>
          <xm:sqref>AD1279</xm:sqref>
        </x14:conditionalFormatting>
        <x14:conditionalFormatting xmlns:xm="http://schemas.microsoft.com/office/excel/2006/main">
          <x14:cfRule type="dataBar" id="{7F423F8F-1241-46BD-8B06-3EDD06B09922}">
            <x14:dataBar minLength="0" maxLength="100" border="1" gradient="0">
              <x14:cfvo type="num">
                <xm:f>0</xm:f>
              </x14:cfvo>
              <x14:cfvo type="num">
                <xm:f>1</xm:f>
              </x14:cfvo>
              <x14:borderColor theme="0"/>
              <x14:negativeFillColor rgb="FFFF0000"/>
              <x14:axisColor rgb="FF000000"/>
            </x14:dataBar>
          </x14:cfRule>
          <xm:sqref>AD1281 AD1283 AD1285 AD1287 AD1289 AD1291</xm:sqref>
        </x14:conditionalFormatting>
        <x14:conditionalFormatting xmlns:xm="http://schemas.microsoft.com/office/excel/2006/main">
          <x14:cfRule type="dataBar" id="{11BA5010-29EE-43D5-BCA5-5A9FFA767C53}">
            <x14:dataBar minLength="0" maxLength="100" border="1" gradient="0">
              <x14:cfvo type="num">
                <xm:f>0</xm:f>
              </x14:cfvo>
              <x14:cfvo type="num">
                <xm:f>1</xm:f>
              </x14:cfvo>
              <x14:borderColor theme="0"/>
              <x14:negativeFillColor rgb="FFFF0000"/>
              <x14:axisColor rgb="FF000000"/>
            </x14:dataBar>
          </x14:cfRule>
          <xm:sqref>AD1293 AD1295 AD1297 AD1299 AD1301 AD1303</xm:sqref>
        </x14:conditionalFormatting>
        <x14:conditionalFormatting xmlns:xm="http://schemas.microsoft.com/office/excel/2006/main">
          <x14:cfRule type="dataBar" id="{3124CB9F-A685-43D7-8C5A-0F4F03960507}">
            <x14:dataBar minLength="0" maxLength="100" border="1" gradient="0">
              <x14:cfvo type="num">
                <xm:f>0</xm:f>
              </x14:cfvo>
              <x14:cfvo type="num">
                <xm:f>1</xm:f>
              </x14:cfvo>
              <x14:borderColor theme="0"/>
              <x14:negativeFillColor rgb="FFFF0000"/>
              <x14:axisColor rgb="FF000000"/>
            </x14:dataBar>
          </x14:cfRule>
          <xm:sqref>AD1305 AD1307 AD1309 AD1311 AD1313</xm:sqref>
        </x14:conditionalFormatting>
        <x14:conditionalFormatting xmlns:xm="http://schemas.microsoft.com/office/excel/2006/main">
          <x14:cfRule type="dataBar" id="{CA8E60BE-4B85-44D5-A5C1-1829C4CF7AC9}">
            <x14:dataBar minLength="0" maxLength="100" border="1" gradient="0">
              <x14:cfvo type="num">
                <xm:f>0</xm:f>
              </x14:cfvo>
              <x14:cfvo type="num">
                <xm:f>1</xm:f>
              </x14:cfvo>
              <x14:borderColor theme="0"/>
              <x14:negativeFillColor rgb="FFFF0000"/>
              <x14:axisColor rgb="FF000000"/>
            </x14:dataBar>
          </x14:cfRule>
          <xm:sqref>AD1315 AD1317 AD1319 AD1321 AD1323 AD1325</xm:sqref>
        </x14:conditionalFormatting>
        <x14:conditionalFormatting xmlns:xm="http://schemas.microsoft.com/office/excel/2006/main">
          <x14:cfRule type="dataBar" id="{2951F88C-35B7-49E8-945A-6E41F0095474}">
            <x14:dataBar minLength="0" maxLength="100" border="1" gradient="0">
              <x14:cfvo type="num">
                <xm:f>0</xm:f>
              </x14:cfvo>
              <x14:cfvo type="num">
                <xm:f>1</xm:f>
              </x14:cfvo>
              <x14:borderColor theme="0"/>
              <x14:negativeFillColor rgb="FFFF0000"/>
              <x14:axisColor rgb="FF000000"/>
            </x14:dataBar>
          </x14:cfRule>
          <xm:sqref>AD1327 AD1329 AD1331 AD1333 AD1335</xm:sqref>
        </x14:conditionalFormatting>
        <x14:conditionalFormatting xmlns:xm="http://schemas.microsoft.com/office/excel/2006/main">
          <x14:cfRule type="dataBar" id="{A3F8CEFB-BFB0-40BC-A8EA-04628E94DB6E}">
            <x14:dataBar minLength="0" maxLength="100" border="1" gradient="0">
              <x14:cfvo type="num">
                <xm:f>0</xm:f>
              </x14:cfvo>
              <x14:cfvo type="num">
                <xm:f>1</xm:f>
              </x14:cfvo>
              <x14:borderColor theme="0"/>
              <x14:negativeFillColor rgb="FFFF0000"/>
              <x14:axisColor rgb="FF000000"/>
            </x14:dataBar>
          </x14:cfRule>
          <xm:sqref>AD1339 AD1337 AD1341 AD1343 AD1345 AD1347</xm:sqref>
        </x14:conditionalFormatting>
        <x14:conditionalFormatting xmlns:xm="http://schemas.microsoft.com/office/excel/2006/main">
          <x14:cfRule type="dataBar" id="{8539D973-994D-4A09-A487-55B6AF8A655A}">
            <x14:dataBar minLength="0" maxLength="100" border="1" gradient="0">
              <x14:cfvo type="num">
                <xm:f>0</xm:f>
              </x14:cfvo>
              <x14:cfvo type="num">
                <xm:f>1</xm:f>
              </x14:cfvo>
              <x14:borderColor theme="0"/>
              <x14:negativeFillColor rgb="FFFF0000"/>
              <x14:axisColor rgb="FF000000"/>
            </x14:dataBar>
          </x14:cfRule>
          <xm:sqref>AD1349 AD1351 AD1353 AD1355</xm:sqref>
        </x14:conditionalFormatting>
        <x14:conditionalFormatting xmlns:xm="http://schemas.microsoft.com/office/excel/2006/main">
          <x14:cfRule type="dataBar" id="{CE7841E6-C1F3-4CCD-BA97-5D5BBDAAB1FE}">
            <x14:dataBar minLength="0" maxLength="100" border="1" gradient="0">
              <x14:cfvo type="num">
                <xm:f>0</xm:f>
              </x14:cfvo>
              <x14:cfvo type="num">
                <xm:f>1</xm:f>
              </x14:cfvo>
              <x14:borderColor theme="0"/>
              <x14:negativeFillColor rgb="FFFF0000"/>
              <x14:axisColor rgb="FF000000"/>
            </x14:dataBar>
          </x14:cfRule>
          <xm:sqref>AD1357</xm:sqref>
        </x14:conditionalFormatting>
        <x14:conditionalFormatting xmlns:xm="http://schemas.microsoft.com/office/excel/2006/main">
          <x14:cfRule type="dataBar" id="{E97505B0-8A81-42E5-AA60-CBFA81B8B2D0}">
            <x14:dataBar minLength="0" maxLength="100" border="1" gradient="0">
              <x14:cfvo type="num">
                <xm:f>0</xm:f>
              </x14:cfvo>
              <x14:cfvo type="num">
                <xm:f>1</xm:f>
              </x14:cfvo>
              <x14:borderColor theme="0"/>
              <x14:negativeFillColor rgb="FFFF0000"/>
              <x14:axisColor rgb="FF000000"/>
            </x14:dataBar>
          </x14:cfRule>
          <xm:sqref>AD1359</xm:sqref>
        </x14:conditionalFormatting>
        <x14:conditionalFormatting xmlns:xm="http://schemas.microsoft.com/office/excel/2006/main">
          <x14:cfRule type="dataBar" id="{73AA2BCE-50C9-4694-875E-835596B6866C}">
            <x14:dataBar minLength="0" maxLength="100" border="1" gradient="0">
              <x14:cfvo type="num">
                <xm:f>0</xm:f>
              </x14:cfvo>
              <x14:cfvo type="num">
                <xm:f>1</xm:f>
              </x14:cfvo>
              <x14:borderColor theme="0"/>
              <x14:negativeFillColor rgb="FFFF0000"/>
              <x14:axisColor rgb="FF000000"/>
            </x14:dataBar>
          </x14:cfRule>
          <xm:sqref>AD1362</xm:sqref>
        </x14:conditionalFormatting>
        <x14:conditionalFormatting xmlns:xm="http://schemas.microsoft.com/office/excel/2006/main">
          <x14:cfRule type="dataBar" id="{25B30292-1903-4874-A303-50A9A5690CA0}">
            <x14:dataBar minLength="0" maxLength="100" border="1" gradient="0">
              <x14:cfvo type="num">
                <xm:f>0</xm:f>
              </x14:cfvo>
              <x14:cfvo type="num">
                <xm:f>1</xm:f>
              </x14:cfvo>
              <x14:borderColor theme="0"/>
              <x14:negativeFillColor rgb="FFFF0000"/>
              <x14:axisColor rgb="FF000000"/>
            </x14:dataBar>
          </x14:cfRule>
          <xm:sqref>AD1364 AD1366 AD1368 AD1370 AD1372 AD1374 AD1376 AD1378 AD1380 AD1382 AD1384</xm:sqref>
        </x14:conditionalFormatting>
        <x14:conditionalFormatting xmlns:xm="http://schemas.microsoft.com/office/excel/2006/main">
          <x14:cfRule type="dataBar" id="{5A7E63A1-2095-4A21-9DBE-6E9A5542DFA0}">
            <x14:dataBar minLength="0" maxLength="100" border="1" gradient="0">
              <x14:cfvo type="num">
                <xm:f>0</xm:f>
              </x14:cfvo>
              <x14:cfvo type="num">
                <xm:f>1</xm:f>
              </x14:cfvo>
              <x14:borderColor theme="0"/>
              <x14:negativeFillColor rgb="FFFF0000"/>
              <x14:axisColor rgb="FF000000"/>
            </x14:dataBar>
          </x14:cfRule>
          <xm:sqref>AD1386 AD1388 AD1390 AD1392 AD1394 AD1396 AD1398 AD1400 AD1402 AD1404 AD1406</xm:sqref>
        </x14:conditionalFormatting>
        <x14:conditionalFormatting xmlns:xm="http://schemas.microsoft.com/office/excel/2006/main">
          <x14:cfRule type="dataBar" id="{1EA8C51B-1933-436B-AB01-4FF594B53D2A}">
            <x14:dataBar minLength="0" maxLength="100" border="1" gradient="0">
              <x14:cfvo type="num">
                <xm:f>0</xm:f>
              </x14:cfvo>
              <x14:cfvo type="num">
                <xm:f>1</xm:f>
              </x14:cfvo>
              <x14:borderColor theme="0"/>
              <x14:negativeFillColor rgb="FFFF0000"/>
              <x14:axisColor rgb="FF000000"/>
            </x14:dataBar>
          </x14:cfRule>
          <xm:sqref>AD1408 AD1410 AD1412 AD1414 AD1416 AD1418 AD1420 AD1422 AD1424</xm:sqref>
        </x14:conditionalFormatting>
        <x14:conditionalFormatting xmlns:xm="http://schemas.microsoft.com/office/excel/2006/main">
          <x14:cfRule type="dataBar" id="{B255375C-B66C-412E-8B6B-FB89706B394B}">
            <x14:dataBar minLength="0" maxLength="100" border="1" gradient="0">
              <x14:cfvo type="num">
                <xm:f>0</xm:f>
              </x14:cfvo>
              <x14:cfvo type="num">
                <xm:f>1</xm:f>
              </x14:cfvo>
              <x14:borderColor theme="0"/>
              <x14:negativeFillColor rgb="FFFF0000"/>
              <x14:axisColor rgb="FF000000"/>
            </x14:dataBar>
          </x14:cfRule>
          <xm:sqref>AD1426 AD1428 AD1430 AD1432 AD1434 AD1436</xm:sqref>
        </x14:conditionalFormatting>
        <x14:conditionalFormatting xmlns:xm="http://schemas.microsoft.com/office/excel/2006/main">
          <x14:cfRule type="dataBar" id="{A9120B0D-9A5C-4EA3-B36A-DD3552696A76}">
            <x14:dataBar minLength="0" maxLength="100" border="1" gradient="0">
              <x14:cfvo type="num">
                <xm:f>0</xm:f>
              </x14:cfvo>
              <x14:cfvo type="num">
                <xm:f>1</xm:f>
              </x14:cfvo>
              <x14:borderColor theme="0"/>
              <x14:negativeFillColor rgb="FFFF0000"/>
              <x14:axisColor rgb="FF000000"/>
            </x14:dataBar>
          </x14:cfRule>
          <xm:sqref>AD1442</xm:sqref>
        </x14:conditionalFormatting>
        <x14:conditionalFormatting xmlns:xm="http://schemas.microsoft.com/office/excel/2006/main">
          <x14:cfRule type="dataBar" id="{D15E2864-6748-450F-BBC1-312F59CDBEFA}">
            <x14:dataBar minLength="0" maxLength="100" border="1" gradient="0">
              <x14:cfvo type="num">
                <xm:f>0</xm:f>
              </x14:cfvo>
              <x14:cfvo type="num">
                <xm:f>1</xm:f>
              </x14:cfvo>
              <x14:borderColor theme="0"/>
              <x14:negativeFillColor rgb="FFFF0000"/>
              <x14:axisColor rgb="FF000000"/>
            </x14:dataBar>
          </x14:cfRule>
          <xm:sqref>AD1445</xm:sqref>
        </x14:conditionalFormatting>
        <x14:conditionalFormatting xmlns:xm="http://schemas.microsoft.com/office/excel/2006/main">
          <x14:cfRule type="dataBar" id="{04487585-4AC7-45F4-B79B-0A64F693E23F}">
            <x14:dataBar minLength="0" maxLength="100" border="1" gradient="0">
              <x14:cfvo type="num">
                <xm:f>0</xm:f>
              </x14:cfvo>
              <x14:cfvo type="num">
                <xm:f>1</xm:f>
              </x14:cfvo>
              <x14:borderColor theme="0"/>
              <x14:negativeFillColor rgb="FFFF0000"/>
              <x14:axisColor rgb="FF000000"/>
            </x14:dataBar>
          </x14:cfRule>
          <xm:sqref>AD1448</xm:sqref>
        </x14:conditionalFormatting>
        <x14:conditionalFormatting xmlns:xm="http://schemas.microsoft.com/office/excel/2006/main">
          <x14:cfRule type="dataBar" id="{8999F6D6-B117-4B82-BD2A-F80DC2D4A87A}">
            <x14:dataBar minLength="0" maxLength="100" border="1" gradient="0">
              <x14:cfvo type="num">
                <xm:f>0</xm:f>
              </x14:cfvo>
              <x14:cfvo type="num">
                <xm:f>1</xm:f>
              </x14:cfvo>
              <x14:borderColor theme="0"/>
              <x14:negativeFillColor rgb="FFFF0000"/>
              <x14:axisColor rgb="FF000000"/>
            </x14:dataBar>
          </x14:cfRule>
          <xm:sqref>AD1450 AD1460 AD1452 AD1454 AD1456 AD1458 AD1472 AD1484 AD1496 AD1508 AD1520 AD1462 AD1474 AD1486 AD1498 AD1510 AD1522 AD1464 AD1476 AD1488 AD1500 AD1512 AD1466 AD1478 AD1490 AD1502 AD1514 AD1468 AD1480 AD1492 AD1504 AD1516 AD1470 AD1482 AD1494 AD1506 AD1518</xm:sqref>
        </x14:conditionalFormatting>
        <x14:conditionalFormatting xmlns:xm="http://schemas.microsoft.com/office/excel/2006/main">
          <x14:cfRule type="dataBar" id="{2FC12A4B-AB53-4BF3-880B-5D20DBC18D66}">
            <x14:dataBar minLength="0" maxLength="100" border="1" gradient="0">
              <x14:cfvo type="num">
                <xm:f>0</xm:f>
              </x14:cfvo>
              <x14:cfvo type="num">
                <xm:f>1</xm:f>
              </x14:cfvo>
              <x14:borderColor theme="0"/>
              <x14:negativeFillColor rgb="FFFF0000"/>
              <x14:axisColor rgb="FF000000"/>
            </x14:dataBar>
          </x14:cfRule>
          <xm:sqref>AD1524</xm:sqref>
        </x14:conditionalFormatting>
        <x14:conditionalFormatting xmlns:xm="http://schemas.microsoft.com/office/excel/2006/main">
          <x14:cfRule type="dataBar" id="{67A1E33F-304F-4C58-A3B3-1F8044F645C3}">
            <x14:dataBar minLength="0" maxLength="100" border="1" gradient="0">
              <x14:cfvo type="num">
                <xm:f>0</xm:f>
              </x14:cfvo>
              <x14:cfvo type="num">
                <xm:f>1</xm:f>
              </x14:cfvo>
              <x14:borderColor theme="0"/>
              <x14:negativeFillColor rgb="FFFF0000"/>
              <x14:axisColor rgb="FF000000"/>
            </x14:dataBar>
          </x14:cfRule>
          <xm:sqref>AD1526</xm:sqref>
        </x14:conditionalFormatting>
        <x14:conditionalFormatting xmlns:xm="http://schemas.microsoft.com/office/excel/2006/main">
          <x14:cfRule type="dataBar" id="{70AE2F89-82D8-4D1A-A575-78FC15DFF235}">
            <x14:dataBar minLength="0" maxLength="100" border="1" gradient="0">
              <x14:cfvo type="num">
                <xm:f>0</xm:f>
              </x14:cfvo>
              <x14:cfvo type="num">
                <xm:f>1</xm:f>
              </x14:cfvo>
              <x14:borderColor theme="0"/>
              <x14:negativeFillColor rgb="FFFF0000"/>
              <x14:axisColor rgb="FF000000"/>
            </x14:dataBar>
          </x14:cfRule>
          <xm:sqref>AD1528</xm:sqref>
        </x14:conditionalFormatting>
        <x14:conditionalFormatting xmlns:xm="http://schemas.microsoft.com/office/excel/2006/main">
          <x14:cfRule type="dataBar" id="{456901C5-4786-4FDF-96D2-76436C7CC526}">
            <x14:dataBar minLength="0" maxLength="100" border="1" gradient="0">
              <x14:cfvo type="num">
                <xm:f>0</xm:f>
              </x14:cfvo>
              <x14:cfvo type="num">
                <xm:f>1</xm:f>
              </x14:cfvo>
              <x14:borderColor theme="0"/>
              <x14:negativeFillColor rgb="FFFF0000"/>
              <x14:axisColor rgb="FF000000"/>
            </x14:dataBar>
          </x14:cfRule>
          <xm:sqref>AD1531</xm:sqref>
        </x14:conditionalFormatting>
        <x14:conditionalFormatting xmlns:xm="http://schemas.microsoft.com/office/excel/2006/main">
          <x14:cfRule type="dataBar" id="{E80F9FDA-459D-4CAE-901A-04BA99BC4935}">
            <x14:dataBar minLength="0" maxLength="100" border="1" gradient="0">
              <x14:cfvo type="num">
                <xm:f>0</xm:f>
              </x14:cfvo>
              <x14:cfvo type="num">
                <xm:f>1</xm:f>
              </x14:cfvo>
              <x14:borderColor theme="0"/>
              <x14:negativeFillColor rgb="FFFF0000"/>
              <x14:axisColor rgb="FF000000"/>
            </x14:dataBar>
          </x14:cfRule>
          <xm:sqref>AD1599 AD1533 AD1537 AD1539 AD1541 AD1543 AD1545 AD1547 AD1549 AD1551 AD1553 AD1555 AD1557 AD1559 AD1561 AD1563 AD1565 AD1567 AD1569 AD1571 AD1573 AD1575 AD1577 AD1579 AD1581 AD1583 AD1585 AD1587 AD1589 AD1591 AD1593 AD1595 AD1597 AD1535</xm:sqref>
        </x14:conditionalFormatting>
        <x14:conditionalFormatting xmlns:xm="http://schemas.microsoft.com/office/excel/2006/main">
          <x14:cfRule type="dataBar" id="{F23C0B58-BFF8-4D1A-BB9C-CDD61C49A2DB}">
            <x14:dataBar minLength="0" maxLength="100" border="1" gradient="0">
              <x14:cfvo type="num">
                <xm:f>0</xm:f>
              </x14:cfvo>
              <x14:cfvo type="num">
                <xm:f>1</xm:f>
              </x14:cfvo>
              <x14:borderColor theme="0"/>
              <x14:negativeFillColor rgb="FFFF0000"/>
              <x14:axisColor rgb="FF000000"/>
            </x14:dataBar>
          </x14:cfRule>
          <xm:sqref>AD1601</xm:sqref>
        </x14:conditionalFormatting>
        <x14:conditionalFormatting xmlns:xm="http://schemas.microsoft.com/office/excel/2006/main">
          <x14:cfRule type="dataBar" id="{85E5909E-BFFB-40D4-98C7-AAF90EB6CBB1}">
            <x14:dataBar minLength="0" maxLength="100" border="1" gradient="0">
              <x14:cfvo type="num">
                <xm:f>0</xm:f>
              </x14:cfvo>
              <x14:cfvo type="num">
                <xm:f>1</xm:f>
              </x14:cfvo>
              <x14:borderColor theme="0"/>
              <x14:negativeFillColor rgb="FFFF0000"/>
              <x14:axisColor rgb="FF000000"/>
            </x14:dataBar>
          </x14:cfRule>
          <xm:sqref>AD1603</xm:sqref>
        </x14:conditionalFormatting>
        <x14:conditionalFormatting xmlns:xm="http://schemas.microsoft.com/office/excel/2006/main">
          <x14:cfRule type="dataBar" id="{FBF3A117-3B11-44B1-B09C-A190E47134BE}">
            <x14:dataBar minLength="0" maxLength="100" border="1" gradient="0">
              <x14:cfvo type="num">
                <xm:f>0</xm:f>
              </x14:cfvo>
              <x14:cfvo type="num">
                <xm:f>1</xm:f>
              </x14:cfvo>
              <x14:borderColor theme="0"/>
              <x14:negativeFillColor rgb="FFFF0000"/>
              <x14:axisColor rgb="FF000000"/>
            </x14:dataBar>
          </x14:cfRule>
          <xm:sqref>AD1605</xm:sqref>
        </x14:conditionalFormatting>
        <x14:conditionalFormatting xmlns:xm="http://schemas.microsoft.com/office/excel/2006/main">
          <x14:cfRule type="dataBar" id="{4BEF5906-12D9-4E31-BCA8-0E889E1EBCF1}">
            <x14:dataBar minLength="0" maxLength="100" border="1" gradient="0">
              <x14:cfvo type="num">
                <xm:f>0</xm:f>
              </x14:cfvo>
              <x14:cfvo type="num">
                <xm:f>1</xm:f>
              </x14:cfvo>
              <x14:borderColor theme="0"/>
              <x14:negativeFillColor rgb="FFFF0000"/>
              <x14:axisColor rgb="FF000000"/>
            </x14:dataBar>
          </x14:cfRule>
          <xm:sqref>AD1607</xm:sqref>
        </x14:conditionalFormatting>
        <x14:conditionalFormatting xmlns:xm="http://schemas.microsoft.com/office/excel/2006/main">
          <x14:cfRule type="dataBar" id="{656BF2AB-AD49-4F54-91E7-152422C61AC8}">
            <x14:dataBar minLength="0" maxLength="100" border="1" gradient="0">
              <x14:cfvo type="num">
                <xm:f>0</xm:f>
              </x14:cfvo>
              <x14:cfvo type="num">
                <xm:f>1</xm:f>
              </x14:cfvo>
              <x14:borderColor theme="0"/>
              <x14:negativeFillColor rgb="FFFF0000"/>
              <x14:axisColor rgb="FF000000"/>
            </x14:dataBar>
          </x14:cfRule>
          <xm:sqref>AD1609</xm:sqref>
        </x14:conditionalFormatting>
        <x14:conditionalFormatting xmlns:xm="http://schemas.microsoft.com/office/excel/2006/main">
          <x14:cfRule type="dataBar" id="{D273FFC1-4614-41EC-84E9-728B133A0157}">
            <x14:dataBar minLength="0" maxLength="100" border="1" gradient="0">
              <x14:cfvo type="num">
                <xm:f>0</xm:f>
              </x14:cfvo>
              <x14:cfvo type="num">
                <xm:f>1</xm:f>
              </x14:cfvo>
              <x14:borderColor theme="0"/>
              <x14:negativeFillColor rgb="FFFF0000"/>
              <x14:axisColor rgb="FF000000"/>
            </x14:dataBar>
          </x14:cfRule>
          <xm:sqref>AD1611</xm:sqref>
        </x14:conditionalFormatting>
        <x14:conditionalFormatting xmlns:xm="http://schemas.microsoft.com/office/excel/2006/main">
          <x14:cfRule type="dataBar" id="{C4F03B2F-F8E8-4C8C-9732-131AE9E19DF5}">
            <x14:dataBar minLength="0" maxLength="100" border="1" gradient="0">
              <x14:cfvo type="num">
                <xm:f>0</xm:f>
              </x14:cfvo>
              <x14:cfvo type="num">
                <xm:f>1</xm:f>
              </x14:cfvo>
              <x14:borderColor theme="0"/>
              <x14:negativeFillColor rgb="FFFF0000"/>
              <x14:axisColor rgb="FF000000"/>
            </x14:dataBar>
          </x14:cfRule>
          <xm:sqref>AD1613</xm:sqref>
        </x14:conditionalFormatting>
        <x14:conditionalFormatting xmlns:xm="http://schemas.microsoft.com/office/excel/2006/main">
          <x14:cfRule type="dataBar" id="{261622C5-71B1-447E-9E02-F4DB624A8088}">
            <x14:dataBar minLength="0" maxLength="100" border="1" gradient="0">
              <x14:cfvo type="num">
                <xm:f>0</xm:f>
              </x14:cfvo>
              <x14:cfvo type="num">
                <xm:f>1</xm:f>
              </x14:cfvo>
              <x14:borderColor theme="0"/>
              <x14:negativeFillColor rgb="FFFF0000"/>
              <x14:axisColor rgb="FF000000"/>
            </x14:dataBar>
          </x14:cfRule>
          <xm:sqref>AD1617</xm:sqref>
        </x14:conditionalFormatting>
        <x14:conditionalFormatting xmlns:xm="http://schemas.microsoft.com/office/excel/2006/main">
          <x14:cfRule type="dataBar" id="{696D292B-BD7E-4B6A-A5CA-8E336BEFC08F}">
            <x14:dataBar minLength="0" maxLength="100" border="1" gradient="0">
              <x14:cfvo type="num">
                <xm:f>0</xm:f>
              </x14:cfvo>
              <x14:cfvo type="num">
                <xm:f>1</xm:f>
              </x14:cfvo>
              <x14:borderColor theme="0"/>
              <x14:negativeFillColor rgb="FFFF0000"/>
              <x14:axisColor rgb="FF000000"/>
            </x14:dataBar>
          </x14:cfRule>
          <xm:sqref>AD1619</xm:sqref>
        </x14:conditionalFormatting>
        <x14:conditionalFormatting xmlns:xm="http://schemas.microsoft.com/office/excel/2006/main">
          <x14:cfRule type="dataBar" id="{776AEC59-92DF-4594-B220-337E04F2A7F5}">
            <x14:dataBar minLength="0" maxLength="100" border="1" gradient="0">
              <x14:cfvo type="num">
                <xm:f>0</xm:f>
              </x14:cfvo>
              <x14:cfvo type="num">
                <xm:f>1</xm:f>
              </x14:cfvo>
              <x14:borderColor theme="0"/>
              <x14:negativeFillColor rgb="FFFF0000"/>
              <x14:axisColor rgb="FF000000"/>
            </x14:dataBar>
          </x14:cfRule>
          <xm:sqref>AD1621</xm:sqref>
        </x14:conditionalFormatting>
        <x14:conditionalFormatting xmlns:xm="http://schemas.microsoft.com/office/excel/2006/main">
          <x14:cfRule type="dataBar" id="{6156A7DE-01D6-4CF8-AD2C-E3F5277FA86B}">
            <x14:dataBar minLength="0" maxLength="100" border="1" gradient="0">
              <x14:cfvo type="num">
                <xm:f>0</xm:f>
              </x14:cfvo>
              <x14:cfvo type="num">
                <xm:f>1</xm:f>
              </x14:cfvo>
              <x14:borderColor theme="0"/>
              <x14:negativeFillColor rgb="FFFF0000"/>
              <x14:axisColor rgb="FF000000"/>
            </x14:dataBar>
          </x14:cfRule>
          <xm:sqref>AD1623</xm:sqref>
        </x14:conditionalFormatting>
        <x14:conditionalFormatting xmlns:xm="http://schemas.microsoft.com/office/excel/2006/main">
          <x14:cfRule type="dataBar" id="{CF768744-923A-4CC3-B743-A01F68D7B31E}">
            <x14:dataBar minLength="0" maxLength="100" border="1" gradient="0">
              <x14:cfvo type="num">
                <xm:f>0</xm:f>
              </x14:cfvo>
              <x14:cfvo type="num">
                <xm:f>1</xm:f>
              </x14:cfvo>
              <x14:borderColor theme="0"/>
              <x14:negativeFillColor rgb="FFFF0000"/>
              <x14:axisColor rgb="FF000000"/>
            </x14:dataBar>
          </x14:cfRule>
          <xm:sqref>AD1625</xm:sqref>
        </x14:conditionalFormatting>
        <x14:conditionalFormatting xmlns:xm="http://schemas.microsoft.com/office/excel/2006/main">
          <x14:cfRule type="dataBar" id="{7CEC71AD-5ECB-4CAD-91FB-EAEE6B56E255}">
            <x14:dataBar minLength="0" maxLength="100" border="1" gradient="0">
              <x14:cfvo type="num">
                <xm:f>0</xm:f>
              </x14:cfvo>
              <x14:cfvo type="num">
                <xm:f>1</xm:f>
              </x14:cfvo>
              <x14:borderColor theme="0"/>
              <x14:negativeFillColor rgb="FFFF0000"/>
              <x14:axisColor rgb="FF000000"/>
            </x14:dataBar>
          </x14:cfRule>
          <xm:sqref>AD1627</xm:sqref>
        </x14:conditionalFormatting>
        <x14:conditionalFormatting xmlns:xm="http://schemas.microsoft.com/office/excel/2006/main">
          <x14:cfRule type="dataBar" id="{423A4BDE-74E6-44B2-8836-EBCA525EEC1F}">
            <x14:dataBar minLength="0" maxLength="100" border="1" gradient="0">
              <x14:cfvo type="num">
                <xm:f>0</xm:f>
              </x14:cfvo>
              <x14:cfvo type="num">
                <xm:f>1</xm:f>
              </x14:cfvo>
              <x14:borderColor theme="0"/>
              <x14:negativeFillColor rgb="FFFF0000"/>
              <x14:axisColor rgb="FF000000"/>
            </x14:dataBar>
          </x14:cfRule>
          <xm:sqref>AD1630</xm:sqref>
        </x14:conditionalFormatting>
        <x14:conditionalFormatting xmlns:xm="http://schemas.microsoft.com/office/excel/2006/main">
          <x14:cfRule type="dataBar" id="{FFF3408A-03CF-4E38-B253-9C4D32614299}">
            <x14:dataBar minLength="0" maxLength="100" border="1" gradient="0">
              <x14:cfvo type="num">
                <xm:f>0</xm:f>
              </x14:cfvo>
              <x14:cfvo type="num">
                <xm:f>1</xm:f>
              </x14:cfvo>
              <x14:borderColor theme="0"/>
              <x14:negativeFillColor rgb="FFFF0000"/>
              <x14:axisColor rgb="FF000000"/>
            </x14:dataBar>
          </x14:cfRule>
          <xm:sqref>AD1632 AD1634 AD1636 AD1638 AD1640 AD1642 AD1644 AD1646 AD1648 AD1650 AD1652 AD1654 AD1656 AD1658 AD1660 AD1662 AD1664 AD1666 AD1668 AD1670 AD1672 AD1674 AD1676 AD1678 AD1680 AD1682 AD1684 AD1686 AD1688 AD1690 AD1692 AD1694</xm:sqref>
        </x14:conditionalFormatting>
        <x14:conditionalFormatting xmlns:xm="http://schemas.microsoft.com/office/excel/2006/main">
          <x14:cfRule type="dataBar" id="{A2611AD1-4E46-4FAD-85F2-A7E8FD3A5170}">
            <x14:dataBar minLength="0" maxLength="100" border="1" gradient="0">
              <x14:cfvo type="num">
                <xm:f>0</xm:f>
              </x14:cfvo>
              <x14:cfvo type="num">
                <xm:f>1</xm:f>
              </x14:cfvo>
              <x14:borderColor theme="0"/>
              <x14:negativeFillColor rgb="FFFF0000"/>
              <x14:axisColor rgb="FF000000"/>
            </x14:dataBar>
          </x14:cfRule>
          <xm:sqref>AD1698</xm:sqref>
        </x14:conditionalFormatting>
        <x14:conditionalFormatting xmlns:xm="http://schemas.microsoft.com/office/excel/2006/main">
          <x14:cfRule type="dataBar" id="{A8E2BF53-033F-42F7-A014-B4C6819D2644}">
            <x14:dataBar minLength="0" maxLength="100" border="1" gradient="0">
              <x14:cfvo type="num">
                <xm:f>0</xm:f>
              </x14:cfvo>
              <x14:cfvo type="num">
                <xm:f>1</xm:f>
              </x14:cfvo>
              <x14:borderColor theme="0"/>
              <x14:negativeFillColor rgb="FFFF0000"/>
              <x14:axisColor rgb="FF000000"/>
            </x14:dataBar>
          </x14:cfRule>
          <xm:sqref>AD1700 AD1702 AD1704 AD1706 AD1708 AD1710 AD1712 AD1714 AD1716 AD1718 AD1720 AD1722 AD1724 AD1726 AD1728 AD1730 AD1732 AD1734 AD1736 AD1738 AD1740 AD1742 AD1744 AD1746 AD1748 AD1750 AD1752 AD1754 AD1756 AD1758 AD1760 AD1766</xm:sqref>
        </x14:conditionalFormatting>
        <x14:conditionalFormatting xmlns:xm="http://schemas.microsoft.com/office/excel/2006/main">
          <x14:cfRule type="dataBar" id="{763F5155-F46B-4A18-AB43-6E6D22014CA2}">
            <x14:dataBar minLength="0" maxLength="100" border="1" gradient="0">
              <x14:cfvo type="num">
                <xm:f>0</xm:f>
              </x14:cfvo>
              <x14:cfvo type="num">
                <xm:f>1</xm:f>
              </x14:cfvo>
              <x14:borderColor theme="0"/>
              <x14:negativeFillColor rgb="FFFF0000"/>
              <x14:axisColor rgb="FF000000"/>
            </x14:dataBar>
          </x14:cfRule>
          <xm:sqref>AD1762</xm:sqref>
        </x14:conditionalFormatting>
        <x14:conditionalFormatting xmlns:xm="http://schemas.microsoft.com/office/excel/2006/main">
          <x14:cfRule type="dataBar" id="{ACE4018D-0894-42D9-92BA-A33285A7FC22}">
            <x14:dataBar minLength="0" maxLength="100" border="1" gradient="0">
              <x14:cfvo type="num">
                <xm:f>0</xm:f>
              </x14:cfvo>
              <x14:cfvo type="num">
                <xm:f>1</xm:f>
              </x14:cfvo>
              <x14:borderColor theme="0"/>
              <x14:negativeFillColor rgb="FFFF0000"/>
              <x14:axisColor rgb="FF000000"/>
            </x14:dataBar>
          </x14:cfRule>
          <xm:sqref>AD1764</xm:sqref>
        </x14:conditionalFormatting>
        <x14:conditionalFormatting xmlns:xm="http://schemas.microsoft.com/office/excel/2006/main">
          <x14:cfRule type="dataBar" id="{C541B345-FBD5-4DFD-B492-9D578812170D}">
            <x14:dataBar minLength="0" maxLength="100" border="1" gradient="0">
              <x14:cfvo type="num">
                <xm:f>0</xm:f>
              </x14:cfvo>
              <x14:cfvo type="num">
                <xm:f>1</xm:f>
              </x14:cfvo>
              <x14:borderColor theme="0"/>
              <x14:negativeFillColor rgb="FFFF0000"/>
              <x14:axisColor rgb="FF000000"/>
            </x14:dataBar>
          </x14:cfRule>
          <xm:sqref>AD1770</xm:sqref>
        </x14:conditionalFormatting>
        <x14:conditionalFormatting xmlns:xm="http://schemas.microsoft.com/office/excel/2006/main">
          <x14:cfRule type="dataBar" id="{424DC90A-02CE-4FA1-8DAC-0F59994EC385}">
            <x14:dataBar minLength="0" maxLength="100" border="1" gradient="0">
              <x14:cfvo type="num">
                <xm:f>0</xm:f>
              </x14:cfvo>
              <x14:cfvo type="num">
                <xm:f>1</xm:f>
              </x14:cfvo>
              <x14:borderColor theme="0"/>
              <x14:negativeFillColor rgb="FFFF0000"/>
              <x14:axisColor rgb="FF000000"/>
            </x14:dataBar>
          </x14:cfRule>
          <xm:sqref>AD1773</xm:sqref>
        </x14:conditionalFormatting>
        <x14:conditionalFormatting xmlns:xm="http://schemas.microsoft.com/office/excel/2006/main">
          <x14:cfRule type="dataBar" id="{E04A1832-EEF9-4371-B1FC-7DFE634BE687}">
            <x14:dataBar minLength="0" maxLength="100" border="1" gradient="0">
              <x14:cfvo type="num">
                <xm:f>0</xm:f>
              </x14:cfvo>
              <x14:cfvo type="num">
                <xm:f>1</xm:f>
              </x14:cfvo>
              <x14:borderColor theme="0"/>
              <x14:negativeFillColor rgb="FFFF0000"/>
              <x14:axisColor rgb="FF000000"/>
            </x14:dataBar>
          </x14:cfRule>
          <xm:sqref>AD1801 AD1797 AD1775 AD1777 AD1779 AD1781 AD1783 AD1785 AD1787 AD1789 AD1791 AD1795 AD1799 AD1803 AD1793</xm:sqref>
        </x14:conditionalFormatting>
        <x14:conditionalFormatting xmlns:xm="http://schemas.microsoft.com/office/excel/2006/main">
          <x14:cfRule type="dataBar" id="{0D1EAD20-F82A-467F-92D2-828A4347C0AB}">
            <x14:dataBar minLength="0" maxLength="100" border="1" gradient="0">
              <x14:cfvo type="num">
                <xm:f>0</xm:f>
              </x14:cfvo>
              <x14:cfvo type="num">
                <xm:f>1</xm:f>
              </x14:cfvo>
              <x14:borderColor theme="0"/>
              <x14:negativeFillColor rgb="FFFF0000"/>
              <x14:axisColor rgb="FF000000"/>
            </x14:dataBar>
          </x14:cfRule>
          <xm:sqref>AD1806</xm:sqref>
        </x14:conditionalFormatting>
        <x14:conditionalFormatting xmlns:xm="http://schemas.microsoft.com/office/excel/2006/main">
          <x14:cfRule type="dataBar" id="{26229BC7-FD83-42FC-8696-F31439223902}">
            <x14:dataBar minLength="0" maxLength="100" border="1" gradient="0">
              <x14:cfvo type="num">
                <xm:f>0</xm:f>
              </x14:cfvo>
              <x14:cfvo type="num">
                <xm:f>1</xm:f>
              </x14:cfvo>
              <x14:borderColor theme="0"/>
              <x14:negativeFillColor rgb="FFFF0000"/>
              <x14:axisColor rgb="FF000000"/>
            </x14:dataBar>
          </x14:cfRule>
          <xm:sqref>AD1840 AD1810 AD1808 AD1812 AD1814 AD1816 AD1818 AD1820 AD1822 AD1824 AD1826 AD1828 AD1830 AD1832 AD1834 AD1836 AD1838</xm:sqref>
        </x14:conditionalFormatting>
        <x14:conditionalFormatting xmlns:xm="http://schemas.microsoft.com/office/excel/2006/main">
          <x14:cfRule type="dataBar" id="{78FB3B32-85C3-471D-B1CE-FDFC6230A815}">
            <x14:dataBar minLength="0" maxLength="100" border="1" gradient="0">
              <x14:cfvo type="num">
                <xm:f>0</xm:f>
              </x14:cfvo>
              <x14:cfvo type="num">
                <xm:f>1</xm:f>
              </x14:cfvo>
              <x14:borderColor theme="0"/>
              <x14:negativeFillColor rgb="FFFF0000"/>
              <x14:axisColor rgb="FF000000"/>
            </x14:dataBar>
          </x14:cfRule>
          <xm:sqref>AD1842</xm:sqref>
        </x14:conditionalFormatting>
        <x14:conditionalFormatting xmlns:xm="http://schemas.microsoft.com/office/excel/2006/main">
          <x14:cfRule type="dataBar" id="{35F6354B-E69F-41D3-9972-5AD8F3E398EB}">
            <x14:dataBar minLength="0" maxLength="100" border="1" gradient="0">
              <x14:cfvo type="num">
                <xm:f>0</xm:f>
              </x14:cfvo>
              <x14:cfvo type="num">
                <xm:f>1</xm:f>
              </x14:cfvo>
              <x14:borderColor theme="0"/>
              <x14:negativeFillColor rgb="FFFF0000"/>
              <x14:axisColor rgb="FF000000"/>
            </x14:dataBar>
          </x14:cfRule>
          <xm:sqref>AD1844</xm:sqref>
        </x14:conditionalFormatting>
        <x14:conditionalFormatting xmlns:xm="http://schemas.microsoft.com/office/excel/2006/main">
          <x14:cfRule type="dataBar" id="{BF355E5D-56AE-4A0A-97E2-9EEB56DE5901}">
            <x14:dataBar minLength="0" maxLength="100" border="1" gradient="0">
              <x14:cfvo type="num">
                <xm:f>0</xm:f>
              </x14:cfvo>
              <x14:cfvo type="num">
                <xm:f>1</xm:f>
              </x14:cfvo>
              <x14:borderColor theme="0"/>
              <x14:negativeFillColor rgb="FFFF0000"/>
              <x14:axisColor rgb="FF000000"/>
            </x14:dataBar>
          </x14:cfRule>
          <xm:sqref>AD1847</xm:sqref>
        </x14:conditionalFormatting>
        <x14:conditionalFormatting xmlns:xm="http://schemas.microsoft.com/office/excel/2006/main">
          <x14:cfRule type="dataBar" id="{8CCF3EC0-CBDA-4CE2-9C3F-1863673DF075}">
            <x14:dataBar minLength="0" maxLength="100" border="1" gradient="0">
              <x14:cfvo type="num">
                <xm:f>0</xm:f>
              </x14:cfvo>
              <x14:cfvo type="num">
                <xm:f>1</xm:f>
              </x14:cfvo>
              <x14:borderColor theme="0"/>
              <x14:negativeFillColor rgb="FFFF0000"/>
              <x14:axisColor rgb="FF000000"/>
            </x14:dataBar>
          </x14:cfRule>
          <xm:sqref>AD1849 AD1851 AD1853 AD1855 AD1857</xm:sqref>
        </x14:conditionalFormatting>
        <x14:conditionalFormatting xmlns:xm="http://schemas.microsoft.com/office/excel/2006/main">
          <x14:cfRule type="dataBar" id="{36608B9F-E0BA-4339-B889-B9A80DA379F1}">
            <x14:dataBar minLength="0" maxLength="100" border="1" gradient="0">
              <x14:cfvo type="num">
                <xm:f>0</xm:f>
              </x14:cfvo>
              <x14:cfvo type="num">
                <xm:f>1</xm:f>
              </x14:cfvo>
              <x14:borderColor theme="0"/>
              <x14:negativeFillColor rgb="FFFF0000"/>
              <x14:axisColor rgb="FF000000"/>
            </x14:dataBar>
          </x14:cfRule>
          <xm:sqref>AD1860</xm:sqref>
        </x14:conditionalFormatting>
        <x14:conditionalFormatting xmlns:xm="http://schemas.microsoft.com/office/excel/2006/main">
          <x14:cfRule type="dataBar" id="{64802CDA-F4DA-4C0C-A7AD-BC20A21D081D}">
            <x14:dataBar minLength="0" maxLength="100" border="1" gradient="0">
              <x14:cfvo type="num">
                <xm:f>0</xm:f>
              </x14:cfvo>
              <x14:cfvo type="num">
                <xm:f>1</xm:f>
              </x14:cfvo>
              <x14:borderColor theme="0"/>
              <x14:negativeFillColor rgb="FFFF0000"/>
              <x14:axisColor rgb="FF000000"/>
            </x14:dataBar>
          </x14:cfRule>
          <xm:sqref>AD1862 AD1864 AD1866 AD1868 AD1870 AD1872 AD1874 AD1876 AD1878</xm:sqref>
        </x14:conditionalFormatting>
        <x14:conditionalFormatting xmlns:xm="http://schemas.microsoft.com/office/excel/2006/main">
          <x14:cfRule type="dataBar" id="{9A1E7059-4014-408D-A6BF-7E5E3A2BB437}">
            <x14:dataBar minLength="0" maxLength="100" border="1" gradient="0">
              <x14:cfvo type="num">
                <xm:f>0</xm:f>
              </x14:cfvo>
              <x14:cfvo type="num">
                <xm:f>1</xm:f>
              </x14:cfvo>
              <x14:borderColor theme="0"/>
              <x14:negativeFillColor rgb="FFFF0000"/>
              <x14:axisColor rgb="FF000000"/>
            </x14:dataBar>
          </x14:cfRule>
          <xm:sqref>AD1882</xm:sqref>
        </x14:conditionalFormatting>
        <x14:conditionalFormatting xmlns:xm="http://schemas.microsoft.com/office/excel/2006/main">
          <x14:cfRule type="dataBar" id="{7967B28B-E121-454E-A53C-2E17A08C5828}">
            <x14:dataBar minLength="0" maxLength="100" border="1" gradient="0">
              <x14:cfvo type="num">
                <xm:f>0</xm:f>
              </x14:cfvo>
              <x14:cfvo type="num">
                <xm:f>1</xm:f>
              </x14:cfvo>
              <x14:borderColor theme="0"/>
              <x14:negativeFillColor rgb="FFFF0000"/>
              <x14:axisColor rgb="FF000000"/>
            </x14:dataBar>
          </x14:cfRule>
          <xm:sqref>AD1884 AD1894 AD1886 AD1888 AD1890 AD1892 AD1896 AD1898</xm:sqref>
        </x14:conditionalFormatting>
        <x14:conditionalFormatting xmlns:xm="http://schemas.microsoft.com/office/excel/2006/main">
          <x14:cfRule type="dataBar" id="{8A66B296-408E-4AC8-9D52-118A7FCD7BA7}">
            <x14:dataBar minLength="0" maxLength="100" border="1" gradient="0">
              <x14:cfvo type="num">
                <xm:f>0</xm:f>
              </x14:cfvo>
              <x14:cfvo type="num">
                <xm:f>1</xm:f>
              </x14:cfvo>
              <x14:borderColor theme="0"/>
              <x14:negativeFillColor rgb="FFFF0000"/>
              <x14:axisColor rgb="FF000000"/>
            </x14:dataBar>
          </x14:cfRule>
          <xm:sqref>AD1903</xm:sqref>
        </x14:conditionalFormatting>
        <x14:conditionalFormatting xmlns:xm="http://schemas.microsoft.com/office/excel/2006/main">
          <x14:cfRule type="dataBar" id="{86F9BFE1-ECE4-4472-9408-DFBFE2B26CAB}">
            <x14:dataBar minLength="0" maxLength="100" border="1" gradient="0">
              <x14:cfvo type="num">
                <xm:f>0</xm:f>
              </x14:cfvo>
              <x14:cfvo type="num">
                <xm:f>1</xm:f>
              </x14:cfvo>
              <x14:borderColor theme="0"/>
              <x14:negativeFillColor rgb="FFFF0000"/>
              <x14:axisColor rgb="FF000000"/>
            </x14:dataBar>
          </x14:cfRule>
          <xm:sqref>AD1907</xm:sqref>
        </x14:conditionalFormatting>
        <x14:conditionalFormatting xmlns:xm="http://schemas.microsoft.com/office/excel/2006/main">
          <x14:cfRule type="dataBar" id="{BA99689C-A81C-4ACA-A77B-1D70F08B74B0}">
            <x14:dataBar minLength="0" maxLength="100" border="1" gradient="0">
              <x14:cfvo type="num">
                <xm:f>0</xm:f>
              </x14:cfvo>
              <x14:cfvo type="num">
                <xm:f>1</xm:f>
              </x14:cfvo>
              <x14:borderColor theme="0"/>
              <x14:negativeFillColor rgb="FFFF0000"/>
              <x14:axisColor rgb="FF000000"/>
            </x14:dataBar>
          </x14:cfRule>
          <xm:sqref>AD1989 AD1909 AD1911 AD1913 AD1915 AD1917 AD1919 AD1921 AD1923 AD1925 AD1927 AD1929 AD1931 AD1933 AD1935 AD1937 AD1939 AD1941 AD1943 AD1945 AD1947 AD1949 AD1951 AD1953 AD1955 AD1957 AD1959 AD1961 AD1963 AD1967 AD1969 AD1971 AD1973 AD1975 AD1977 AD1979 AD1981 AD1983 AD1985 AD1987 AD1993 AD1965</xm:sqref>
        </x14:conditionalFormatting>
        <x14:conditionalFormatting xmlns:xm="http://schemas.microsoft.com/office/excel/2006/main">
          <x14:cfRule type="dataBar" id="{1A5522E4-E774-40FA-A09F-9EC202977220}">
            <x14:dataBar minLength="0" maxLength="100" border="1" gradient="0">
              <x14:cfvo type="num">
                <xm:f>0</xm:f>
              </x14:cfvo>
              <x14:cfvo type="num">
                <xm:f>1</xm:f>
              </x14:cfvo>
              <x14:borderColor theme="0"/>
              <x14:negativeFillColor rgb="FFFF0000"/>
              <x14:axisColor rgb="FF000000"/>
            </x14:dataBar>
          </x14:cfRule>
          <xm:sqref>AD1991</xm:sqref>
        </x14:conditionalFormatting>
        <x14:conditionalFormatting xmlns:xm="http://schemas.microsoft.com/office/excel/2006/main">
          <x14:cfRule type="dataBar" id="{64751A07-0C8A-461B-9444-5AECD5D7D8E1}">
            <x14:dataBar minLength="0" maxLength="100" border="1" gradient="0">
              <x14:cfvo type="num">
                <xm:f>0</xm:f>
              </x14:cfvo>
              <x14:cfvo type="num">
                <xm:f>1</xm:f>
              </x14:cfvo>
              <x14:borderColor theme="0"/>
              <x14:negativeFillColor rgb="FFFF0000"/>
              <x14:axisColor rgb="FF000000"/>
            </x14:dataBar>
          </x14:cfRule>
          <xm:sqref>AD1995</xm:sqref>
        </x14:conditionalFormatting>
        <x14:conditionalFormatting xmlns:xm="http://schemas.microsoft.com/office/excel/2006/main">
          <x14:cfRule type="dataBar" id="{A8FD7F03-0E6C-4A9C-90B2-A1648B564037}">
            <x14:dataBar minLength="0" maxLength="100" border="1" gradient="0">
              <x14:cfvo type="num">
                <xm:f>0</xm:f>
              </x14:cfvo>
              <x14:cfvo type="num">
                <xm:f>1</xm:f>
              </x14:cfvo>
              <x14:borderColor theme="0"/>
              <x14:negativeFillColor rgb="FFFF0000"/>
              <x14:axisColor rgb="FF000000"/>
            </x14:dataBar>
          </x14:cfRule>
          <xm:sqref>AD1998</xm:sqref>
        </x14:conditionalFormatting>
        <x14:conditionalFormatting xmlns:xm="http://schemas.microsoft.com/office/excel/2006/main">
          <x14:cfRule type="dataBar" id="{1D35BD4D-D5A7-4B89-AAFA-12F20018D929}">
            <x14:dataBar minLength="0" maxLength="100" border="1" gradient="0">
              <x14:cfvo type="num">
                <xm:f>0</xm:f>
              </x14:cfvo>
              <x14:cfvo type="num">
                <xm:f>1</xm:f>
              </x14:cfvo>
              <x14:borderColor theme="0"/>
              <x14:negativeFillColor rgb="FFFF0000"/>
              <x14:axisColor rgb="FF000000"/>
            </x14:dataBar>
          </x14:cfRule>
          <xm:sqref>AD2000 AD2002 AD2004 AD2006 AD2008</xm:sqref>
        </x14:conditionalFormatting>
        <x14:conditionalFormatting xmlns:xm="http://schemas.microsoft.com/office/excel/2006/main">
          <x14:cfRule type="dataBar" id="{B2F481E6-3728-4962-A8DB-FDB11C21D438}">
            <x14:dataBar minLength="0" maxLength="100" border="1" gradient="0">
              <x14:cfvo type="num">
                <xm:f>0</xm:f>
              </x14:cfvo>
              <x14:cfvo type="num">
                <xm:f>1</xm:f>
              </x14:cfvo>
              <x14:borderColor theme="0"/>
              <x14:negativeFillColor rgb="FFFF0000"/>
              <x14:axisColor rgb="FF000000"/>
            </x14:dataBar>
          </x14:cfRule>
          <xm:sqref>AD2012 AD2010 AD2014 AD2016 AD2018</xm:sqref>
        </x14:conditionalFormatting>
        <x14:conditionalFormatting xmlns:xm="http://schemas.microsoft.com/office/excel/2006/main">
          <x14:cfRule type="dataBar" id="{8B819996-476B-4562-A7AB-5605916C8A6C}">
            <x14:dataBar minLength="0" maxLength="100" border="1" gradient="0">
              <x14:cfvo type="num">
                <xm:f>0</xm:f>
              </x14:cfvo>
              <x14:cfvo type="num">
                <xm:f>1</xm:f>
              </x14:cfvo>
              <x14:borderColor theme="0"/>
              <x14:negativeFillColor rgb="FFFF0000"/>
              <x14:axisColor rgb="FF000000"/>
            </x14:dataBar>
          </x14:cfRule>
          <xm:sqref>AD2020 AD2022 AD2024 AD2026 AD2028</xm:sqref>
        </x14:conditionalFormatting>
        <x14:conditionalFormatting xmlns:xm="http://schemas.microsoft.com/office/excel/2006/main">
          <x14:cfRule type="dataBar" id="{8C715593-21F7-4801-BD21-B27C69521AA2}">
            <x14:dataBar minLength="0" maxLength="100" border="1" gradient="0">
              <x14:cfvo type="num">
                <xm:f>0</xm:f>
              </x14:cfvo>
              <x14:cfvo type="num">
                <xm:f>1</xm:f>
              </x14:cfvo>
              <x14:borderColor theme="0"/>
              <x14:negativeFillColor rgb="FFFF0000"/>
              <x14:axisColor rgb="FF000000"/>
            </x14:dataBar>
          </x14:cfRule>
          <xm:sqref>AD2032 AD2030 AD2034 AD2036 AD2038</xm:sqref>
        </x14:conditionalFormatting>
        <x14:conditionalFormatting xmlns:xm="http://schemas.microsoft.com/office/excel/2006/main">
          <x14:cfRule type="dataBar" id="{ADAA3B4D-FB33-406D-A932-3C92BA34CD5F}">
            <x14:dataBar minLength="0" maxLength="100" border="1" gradient="0">
              <x14:cfvo type="num">
                <xm:f>0</xm:f>
              </x14:cfvo>
              <x14:cfvo type="num">
                <xm:f>1</xm:f>
              </x14:cfvo>
              <x14:borderColor theme="0"/>
              <x14:negativeFillColor rgb="FFFF0000"/>
              <x14:axisColor rgb="FF000000"/>
            </x14:dataBar>
          </x14:cfRule>
          <xm:sqref>AD2040 AD2042 AD2044 AD2046 AD2048</xm:sqref>
        </x14:conditionalFormatting>
        <x14:conditionalFormatting xmlns:xm="http://schemas.microsoft.com/office/excel/2006/main">
          <x14:cfRule type="dataBar" id="{3B72D516-2C32-4A14-8762-631AB6FC8B5C}">
            <x14:dataBar minLength="0" maxLength="100" border="1" gradient="0">
              <x14:cfvo type="num">
                <xm:f>0</xm:f>
              </x14:cfvo>
              <x14:cfvo type="num">
                <xm:f>1</xm:f>
              </x14:cfvo>
              <x14:borderColor theme="0"/>
              <x14:negativeFillColor rgb="FFFF0000"/>
              <x14:axisColor rgb="FF000000"/>
            </x14:dataBar>
          </x14:cfRule>
          <xm:sqref>AD2052 AD2050 AD2054 AD2056 AD2058</xm:sqref>
        </x14:conditionalFormatting>
        <x14:conditionalFormatting xmlns:xm="http://schemas.microsoft.com/office/excel/2006/main">
          <x14:cfRule type="dataBar" id="{42B617AB-7092-4520-BAF3-2272EA34DEC3}">
            <x14:dataBar minLength="0" maxLength="100" border="1" gradient="0">
              <x14:cfvo type="num">
                <xm:f>0</xm:f>
              </x14:cfvo>
              <x14:cfvo type="num">
                <xm:f>1</xm:f>
              </x14:cfvo>
              <x14:borderColor theme="0"/>
              <x14:negativeFillColor rgb="FFFF0000"/>
              <x14:axisColor rgb="FF000000"/>
            </x14:dataBar>
          </x14:cfRule>
          <xm:sqref>AD2060 AD2062 AD2064 AD2066 AD2068</xm:sqref>
        </x14:conditionalFormatting>
        <x14:conditionalFormatting xmlns:xm="http://schemas.microsoft.com/office/excel/2006/main">
          <x14:cfRule type="dataBar" id="{215878D0-7E08-467D-9E86-26D698904C6D}">
            <x14:dataBar minLength="0" maxLength="100" border="1" gradient="0">
              <x14:cfvo type="num">
                <xm:f>0</xm:f>
              </x14:cfvo>
              <x14:cfvo type="num">
                <xm:f>1</xm:f>
              </x14:cfvo>
              <x14:borderColor theme="0"/>
              <x14:negativeFillColor rgb="FFFF0000"/>
              <x14:axisColor rgb="FF000000"/>
            </x14:dataBar>
          </x14:cfRule>
          <xm:sqref>AD2070 AD2074 AD2072 AD2076</xm:sqref>
        </x14:conditionalFormatting>
        <x14:conditionalFormatting xmlns:xm="http://schemas.microsoft.com/office/excel/2006/main">
          <x14:cfRule type="dataBar" id="{41175E12-9F52-449A-B500-5AE09E24E7BA}">
            <x14:dataBar minLength="0" maxLength="100" border="1" gradient="0">
              <x14:cfvo type="num">
                <xm:f>0</xm:f>
              </x14:cfvo>
              <x14:cfvo type="num">
                <xm:f>1</xm:f>
              </x14:cfvo>
              <x14:borderColor theme="0"/>
              <x14:negativeFillColor rgb="FFFF0000"/>
              <x14:axisColor rgb="FF000000"/>
            </x14:dataBar>
          </x14:cfRule>
          <xm:sqref>AD2078</xm:sqref>
        </x14:conditionalFormatting>
        <x14:conditionalFormatting xmlns:xm="http://schemas.microsoft.com/office/excel/2006/main">
          <x14:cfRule type="dataBar" id="{4BE956F6-D3AB-48EF-9F2C-B8A548C897EE}">
            <x14:dataBar minLength="0" maxLength="100" border="1" gradient="0">
              <x14:cfvo type="num">
                <xm:f>0</xm:f>
              </x14:cfvo>
              <x14:cfvo type="num">
                <xm:f>1</xm:f>
              </x14:cfvo>
              <x14:borderColor theme="0"/>
              <x14:negativeFillColor rgb="FFFF0000"/>
              <x14:axisColor rgb="FF000000"/>
            </x14:dataBar>
          </x14:cfRule>
          <xm:sqref>AD2080</xm:sqref>
        </x14:conditionalFormatting>
        <x14:conditionalFormatting xmlns:xm="http://schemas.microsoft.com/office/excel/2006/main">
          <x14:cfRule type="dataBar" id="{5313811F-5E11-4A0F-B0FC-CF142626525C}">
            <x14:dataBar minLength="0" maxLength="100" border="1" gradient="0">
              <x14:cfvo type="num">
                <xm:f>0</xm:f>
              </x14:cfvo>
              <x14:cfvo type="num">
                <xm:f>1</xm:f>
              </x14:cfvo>
              <x14:borderColor theme="0"/>
              <x14:negativeFillColor rgb="FFFF0000"/>
              <x14:axisColor rgb="FF000000"/>
            </x14:dataBar>
          </x14:cfRule>
          <xm:sqref>AD2084</xm:sqref>
        </x14:conditionalFormatting>
        <x14:conditionalFormatting xmlns:xm="http://schemas.microsoft.com/office/excel/2006/main">
          <x14:cfRule type="dataBar" id="{3047B5E2-AAD0-45E7-8009-BF97EE6A5B06}">
            <x14:dataBar minLength="0" maxLength="100" border="1" gradient="0">
              <x14:cfvo type="num">
                <xm:f>0</xm:f>
              </x14:cfvo>
              <x14:cfvo type="num">
                <xm:f>1</xm:f>
              </x14:cfvo>
              <x14:borderColor theme="0"/>
              <x14:negativeFillColor rgb="FFFF0000"/>
              <x14:axisColor rgb="FF000000"/>
            </x14:dataBar>
          </x14:cfRule>
          <xm:sqref>AD2086 AD2088</xm:sqref>
        </x14:conditionalFormatting>
        <x14:conditionalFormatting xmlns:xm="http://schemas.microsoft.com/office/excel/2006/main">
          <x14:cfRule type="dataBar" id="{D3A7165E-EB16-402C-AB88-88C5772B8637}">
            <x14:dataBar minLength="0" maxLength="100" border="1" gradient="0">
              <x14:cfvo type="num">
                <xm:f>0</xm:f>
              </x14:cfvo>
              <x14:cfvo type="num">
                <xm:f>1</xm:f>
              </x14:cfvo>
              <x14:borderColor theme="0"/>
              <x14:negativeFillColor rgb="FFFF0000"/>
              <x14:axisColor rgb="FF000000"/>
            </x14:dataBar>
          </x14:cfRule>
          <xm:sqref>AD2090</xm:sqref>
        </x14:conditionalFormatting>
        <x14:conditionalFormatting xmlns:xm="http://schemas.microsoft.com/office/excel/2006/main">
          <x14:cfRule type="dataBar" id="{B7F6389C-44D7-495E-9DD2-AD5FA07CC6E7}">
            <x14:dataBar minLength="0" maxLength="100" border="1" gradient="0">
              <x14:cfvo type="num">
                <xm:f>0</xm:f>
              </x14:cfvo>
              <x14:cfvo type="num">
                <xm:f>1</xm:f>
              </x14:cfvo>
              <x14:borderColor theme="0"/>
              <x14:negativeFillColor rgb="FFFF0000"/>
              <x14:axisColor rgb="FF000000"/>
            </x14:dataBar>
          </x14:cfRule>
          <xm:sqref>AD2094 AD2092</xm:sqref>
        </x14:conditionalFormatting>
        <x14:conditionalFormatting xmlns:xm="http://schemas.microsoft.com/office/excel/2006/main">
          <x14:cfRule type="dataBar" id="{E9577886-16CA-4EDB-8A37-BC996A6364E7}">
            <x14:dataBar minLength="0" maxLength="100" border="1" gradient="0">
              <x14:cfvo type="num">
                <xm:f>0</xm:f>
              </x14:cfvo>
              <x14:cfvo type="num">
                <xm:f>1</xm:f>
              </x14:cfvo>
              <x14:borderColor theme="0"/>
              <x14:negativeFillColor rgb="FFFF0000"/>
              <x14:axisColor rgb="FF000000"/>
            </x14:dataBar>
          </x14:cfRule>
          <xm:sqref>AD2096</xm:sqref>
        </x14:conditionalFormatting>
        <x14:conditionalFormatting xmlns:xm="http://schemas.microsoft.com/office/excel/2006/main">
          <x14:cfRule type="dataBar" id="{4943CC72-2EF7-4137-A442-C855DFEB46C6}">
            <x14:dataBar minLength="0" maxLength="100" border="1" gradient="0">
              <x14:cfvo type="num">
                <xm:f>0</xm:f>
              </x14:cfvo>
              <x14:cfvo type="num">
                <xm:f>1</xm:f>
              </x14:cfvo>
              <x14:borderColor theme="0"/>
              <x14:negativeFillColor rgb="FFFF0000"/>
              <x14:axisColor rgb="FF000000"/>
            </x14:dataBar>
          </x14:cfRule>
          <xm:sqref>AD2098</xm:sqref>
        </x14:conditionalFormatting>
        <x14:conditionalFormatting xmlns:xm="http://schemas.microsoft.com/office/excel/2006/main">
          <x14:cfRule type="dataBar" id="{7A1AAF0C-1969-47E6-A728-39193C747460}">
            <x14:dataBar minLength="0" maxLength="100" border="1" gradient="0">
              <x14:cfvo type="num">
                <xm:f>0</xm:f>
              </x14:cfvo>
              <x14:cfvo type="num">
                <xm:f>1</xm:f>
              </x14:cfvo>
              <x14:borderColor theme="0"/>
              <x14:negativeFillColor rgb="FFFF0000"/>
              <x14:axisColor rgb="FF000000"/>
            </x14:dataBar>
          </x14:cfRule>
          <xm:sqref>AD2100</xm:sqref>
        </x14:conditionalFormatting>
        <x14:conditionalFormatting xmlns:xm="http://schemas.microsoft.com/office/excel/2006/main">
          <x14:cfRule type="dataBar" id="{9CE0553F-5AD6-4A6E-9FB4-916FB09B8CF7}">
            <x14:dataBar minLength="0" maxLength="100" border="1" gradient="0">
              <x14:cfvo type="num">
                <xm:f>0</xm:f>
              </x14:cfvo>
              <x14:cfvo type="num">
                <xm:f>1</xm:f>
              </x14:cfvo>
              <x14:borderColor theme="0"/>
              <x14:negativeFillColor rgb="FFFF0000"/>
              <x14:axisColor rgb="FF000000"/>
            </x14:dataBar>
          </x14:cfRule>
          <xm:sqref>AD2102 AD2104</xm:sqref>
        </x14:conditionalFormatting>
        <x14:conditionalFormatting xmlns:xm="http://schemas.microsoft.com/office/excel/2006/main">
          <x14:cfRule type="dataBar" id="{A5DD4FCD-79B9-4098-874F-A90E83C286F9}">
            <x14:dataBar minLength="0" maxLength="100" border="1" gradient="0">
              <x14:cfvo type="num">
                <xm:f>0</xm:f>
              </x14:cfvo>
              <x14:cfvo type="num">
                <xm:f>1</xm:f>
              </x14:cfvo>
              <x14:borderColor theme="0"/>
              <x14:negativeFillColor rgb="FFFF0000"/>
              <x14:axisColor rgb="FF000000"/>
            </x14:dataBar>
          </x14:cfRule>
          <xm:sqref>AD2106</xm:sqref>
        </x14:conditionalFormatting>
        <x14:conditionalFormatting xmlns:xm="http://schemas.microsoft.com/office/excel/2006/main">
          <x14:cfRule type="dataBar" id="{159F6116-74D5-40DF-B9D7-B27573AF783D}">
            <x14:dataBar minLength="0" maxLength="100" border="1" gradient="0">
              <x14:cfvo type="num">
                <xm:f>0</xm:f>
              </x14:cfvo>
              <x14:cfvo type="num">
                <xm:f>1</xm:f>
              </x14:cfvo>
              <x14:borderColor theme="0"/>
              <x14:negativeFillColor rgb="FFFF0000"/>
              <x14:axisColor rgb="FF000000"/>
            </x14:dataBar>
          </x14:cfRule>
          <xm:sqref>AD2108</xm:sqref>
        </x14:conditionalFormatting>
        <x14:conditionalFormatting xmlns:xm="http://schemas.microsoft.com/office/excel/2006/main">
          <x14:cfRule type="dataBar" id="{8D51BB48-91C7-4E27-BA26-BA4DFAC8C112}">
            <x14:dataBar minLength="0" maxLength="100" border="1" gradient="0">
              <x14:cfvo type="num">
                <xm:f>0</xm:f>
              </x14:cfvo>
              <x14:cfvo type="num">
                <xm:f>1</xm:f>
              </x14:cfvo>
              <x14:borderColor theme="0"/>
              <x14:negativeFillColor rgb="FFFF0000"/>
              <x14:axisColor rgb="FF000000"/>
            </x14:dataBar>
          </x14:cfRule>
          <xm:sqref>AD2110 AD2112</xm:sqref>
        </x14:conditionalFormatting>
        <x14:conditionalFormatting xmlns:xm="http://schemas.microsoft.com/office/excel/2006/main">
          <x14:cfRule type="dataBar" id="{89D01E65-5368-4A75-B9F6-F3C6AE89C687}">
            <x14:dataBar minLength="0" maxLength="100" border="1" gradient="0">
              <x14:cfvo type="num">
                <xm:f>0</xm:f>
              </x14:cfvo>
              <x14:cfvo type="num">
                <xm:f>1</xm:f>
              </x14:cfvo>
              <x14:borderColor theme="0"/>
              <x14:negativeFillColor rgb="FFFF0000"/>
              <x14:axisColor rgb="FF000000"/>
            </x14:dataBar>
          </x14:cfRule>
          <xm:sqref>AD2114</xm:sqref>
        </x14:conditionalFormatting>
        <x14:conditionalFormatting xmlns:xm="http://schemas.microsoft.com/office/excel/2006/main">
          <x14:cfRule type="dataBar" id="{4CD16CFA-2414-4FC1-9E04-412F47DA3C9B}">
            <x14:dataBar minLength="0" maxLength="100" border="1" gradient="0">
              <x14:cfvo type="num">
                <xm:f>0</xm:f>
              </x14:cfvo>
              <x14:cfvo type="num">
                <xm:f>1</xm:f>
              </x14:cfvo>
              <x14:borderColor theme="0"/>
              <x14:negativeFillColor rgb="FFFF0000"/>
              <x14:axisColor rgb="FF000000"/>
            </x14:dataBar>
          </x14:cfRule>
          <xm:sqref>AD2116</xm:sqref>
        </x14:conditionalFormatting>
        <x14:conditionalFormatting xmlns:xm="http://schemas.microsoft.com/office/excel/2006/main">
          <x14:cfRule type="dataBar" id="{3023DB94-4A73-40DC-839D-0C58C3FBD0C6}">
            <x14:dataBar minLength="0" maxLength="100" border="1" gradient="0">
              <x14:cfvo type="num">
                <xm:f>0</xm:f>
              </x14:cfvo>
              <x14:cfvo type="num">
                <xm:f>1</xm:f>
              </x14:cfvo>
              <x14:borderColor theme="0"/>
              <x14:negativeFillColor rgb="FFFF0000"/>
              <x14:axisColor rgb="FF000000"/>
            </x14:dataBar>
          </x14:cfRule>
          <xm:sqref>AD2118</xm:sqref>
        </x14:conditionalFormatting>
        <x14:conditionalFormatting xmlns:xm="http://schemas.microsoft.com/office/excel/2006/main">
          <x14:cfRule type="dataBar" id="{E22DDC35-AC79-487F-97E0-BF5134189204}">
            <x14:dataBar minLength="0" maxLength="100" border="1" gradient="0">
              <x14:cfvo type="num">
                <xm:f>0</xm:f>
              </x14:cfvo>
              <x14:cfvo type="num">
                <xm:f>1</xm:f>
              </x14:cfvo>
              <x14:borderColor theme="0"/>
              <x14:negativeFillColor rgb="FFFF0000"/>
              <x14:axisColor rgb="FF000000"/>
            </x14:dataBar>
          </x14:cfRule>
          <xm:sqref>AD2120 AD2122</xm:sqref>
        </x14:conditionalFormatting>
        <x14:conditionalFormatting xmlns:xm="http://schemas.microsoft.com/office/excel/2006/main">
          <x14:cfRule type="dataBar" id="{B202BA19-1E47-46DA-A4D2-34828FC0FCD2}">
            <x14:dataBar minLength="0" maxLength="100" border="1" gradient="0">
              <x14:cfvo type="num">
                <xm:f>0</xm:f>
              </x14:cfvo>
              <x14:cfvo type="num">
                <xm:f>1</xm:f>
              </x14:cfvo>
              <x14:borderColor theme="0"/>
              <x14:negativeFillColor rgb="FFFF0000"/>
              <x14:axisColor rgb="FF000000"/>
            </x14:dataBar>
          </x14:cfRule>
          <xm:sqref>AD2124</xm:sqref>
        </x14:conditionalFormatting>
        <x14:conditionalFormatting xmlns:xm="http://schemas.microsoft.com/office/excel/2006/main">
          <x14:cfRule type="dataBar" id="{1AB330C7-1EF9-46CD-9587-755B2F82AC28}">
            <x14:dataBar minLength="0" maxLength="100" border="1" gradient="0">
              <x14:cfvo type="num">
                <xm:f>0</xm:f>
              </x14:cfvo>
              <x14:cfvo type="num">
                <xm:f>1</xm:f>
              </x14:cfvo>
              <x14:borderColor theme="0"/>
              <x14:negativeFillColor rgb="FFFF0000"/>
              <x14:axisColor rgb="FF000000"/>
            </x14:dataBar>
          </x14:cfRule>
          <xm:sqref>AD2127</xm:sqref>
        </x14:conditionalFormatting>
        <x14:conditionalFormatting xmlns:xm="http://schemas.microsoft.com/office/excel/2006/main">
          <x14:cfRule type="dataBar" id="{00F46758-0AF0-4058-B1CC-E6E9D7D8A9E0}">
            <x14:dataBar minLength="0" maxLength="100" border="1" gradient="0">
              <x14:cfvo type="num">
                <xm:f>0</xm:f>
              </x14:cfvo>
              <x14:cfvo type="num">
                <xm:f>1</xm:f>
              </x14:cfvo>
              <x14:borderColor theme="0"/>
              <x14:negativeFillColor rgb="FFFF0000"/>
              <x14:axisColor rgb="FF000000"/>
            </x14:dataBar>
          </x14:cfRule>
          <xm:sqref>AD2129 AD2131 AD2133</xm:sqref>
        </x14:conditionalFormatting>
        <x14:conditionalFormatting xmlns:xm="http://schemas.microsoft.com/office/excel/2006/main">
          <x14:cfRule type="dataBar" id="{05F17E0E-1C94-42E2-AE96-5A0F406F5461}">
            <x14:dataBar minLength="0" maxLength="100" border="1" gradient="0">
              <x14:cfvo type="num">
                <xm:f>0</xm:f>
              </x14:cfvo>
              <x14:cfvo type="num">
                <xm:f>1</xm:f>
              </x14:cfvo>
              <x14:borderColor theme="0"/>
              <x14:negativeFillColor rgb="FFFF0000"/>
              <x14:axisColor rgb="FF000000"/>
            </x14:dataBar>
          </x14:cfRule>
          <xm:sqref>AD2135 AD2137 AD2139</xm:sqref>
        </x14:conditionalFormatting>
        <x14:conditionalFormatting xmlns:xm="http://schemas.microsoft.com/office/excel/2006/main">
          <x14:cfRule type="dataBar" id="{06150FB8-F52C-4EB8-A0FC-89441ECEF2D0}">
            <x14:dataBar minLength="0" maxLength="100" border="1" gradient="0">
              <x14:cfvo type="num">
                <xm:f>0</xm:f>
              </x14:cfvo>
              <x14:cfvo type="num">
                <xm:f>1</xm:f>
              </x14:cfvo>
              <x14:borderColor theme="0"/>
              <x14:negativeFillColor rgb="FFFF0000"/>
              <x14:axisColor rgb="FF000000"/>
            </x14:dataBar>
          </x14:cfRule>
          <xm:sqref>AD2141 AD2143 AD2145</xm:sqref>
        </x14:conditionalFormatting>
        <x14:conditionalFormatting xmlns:xm="http://schemas.microsoft.com/office/excel/2006/main">
          <x14:cfRule type="dataBar" id="{757A79F8-B822-4FB8-AE11-E4B71AF836DA}">
            <x14:dataBar minLength="0" maxLength="100" border="1" gradient="0">
              <x14:cfvo type="num">
                <xm:f>0</xm:f>
              </x14:cfvo>
              <x14:cfvo type="num">
                <xm:f>1</xm:f>
              </x14:cfvo>
              <x14:borderColor theme="0"/>
              <x14:negativeFillColor rgb="FFFF0000"/>
              <x14:axisColor rgb="FF000000"/>
            </x14:dataBar>
          </x14:cfRule>
          <xm:sqref>AD2147 AD2149 AD2151</xm:sqref>
        </x14:conditionalFormatting>
        <x14:conditionalFormatting xmlns:xm="http://schemas.microsoft.com/office/excel/2006/main">
          <x14:cfRule type="dataBar" id="{FE47363C-7DFC-40BD-AF6C-FDF4297680F2}">
            <x14:dataBar minLength="0" maxLength="100" border="1" gradient="0">
              <x14:cfvo type="num">
                <xm:f>0</xm:f>
              </x14:cfvo>
              <x14:cfvo type="num">
                <xm:f>1</xm:f>
              </x14:cfvo>
              <x14:borderColor theme="0"/>
              <x14:negativeFillColor rgb="FFFF0000"/>
              <x14:axisColor rgb="FF000000"/>
            </x14:dataBar>
          </x14:cfRule>
          <xm:sqref>AD2155 AD2153 AD2157</xm:sqref>
        </x14:conditionalFormatting>
        <x14:conditionalFormatting xmlns:xm="http://schemas.microsoft.com/office/excel/2006/main">
          <x14:cfRule type="dataBar" id="{9B5D8D50-C819-4072-9902-A85A437FA0AB}">
            <x14:dataBar minLength="0" maxLength="100" border="1" gradient="0">
              <x14:cfvo type="num">
                <xm:f>0</xm:f>
              </x14:cfvo>
              <x14:cfvo type="num">
                <xm:f>1</xm:f>
              </x14:cfvo>
              <x14:borderColor theme="0"/>
              <x14:negativeFillColor rgb="FFFF0000"/>
              <x14:axisColor rgb="FF000000"/>
            </x14:dataBar>
          </x14:cfRule>
          <xm:sqref>AD2159 AD2161 AD2163</xm:sqref>
        </x14:conditionalFormatting>
        <x14:conditionalFormatting xmlns:xm="http://schemas.microsoft.com/office/excel/2006/main">
          <x14:cfRule type="dataBar" id="{CDFCAA70-5E01-462B-899F-88CDEAD7D9FA}">
            <x14:dataBar minLength="0" maxLength="100" border="1" gradient="0">
              <x14:cfvo type="num">
                <xm:f>0</xm:f>
              </x14:cfvo>
              <x14:cfvo type="num">
                <xm:f>1</xm:f>
              </x14:cfvo>
              <x14:borderColor theme="0"/>
              <x14:negativeFillColor rgb="FFFF0000"/>
              <x14:axisColor rgb="FF000000"/>
            </x14:dataBar>
          </x14:cfRule>
          <xm:sqref>AD2165 AD2167</xm:sqref>
        </x14:conditionalFormatting>
        <x14:conditionalFormatting xmlns:xm="http://schemas.microsoft.com/office/excel/2006/main">
          <x14:cfRule type="dataBar" id="{9489C9B7-667B-4A81-AACA-E9871AD2A761}">
            <x14:dataBar minLength="0" maxLength="100" border="1" gradient="0">
              <x14:cfvo type="num">
                <xm:f>0</xm:f>
              </x14:cfvo>
              <x14:cfvo type="num">
                <xm:f>1</xm:f>
              </x14:cfvo>
              <x14:borderColor theme="0"/>
              <x14:negativeFillColor rgb="FFFF0000"/>
              <x14:axisColor rgb="FF000000"/>
            </x14:dataBar>
          </x14:cfRule>
          <xm:sqref>AD2169 AD2171 AD2173</xm:sqref>
        </x14:conditionalFormatting>
        <x14:conditionalFormatting xmlns:xm="http://schemas.microsoft.com/office/excel/2006/main">
          <x14:cfRule type="dataBar" id="{760373E9-25AF-469E-BA9D-BB388D3E5F58}">
            <x14:dataBar minLength="0" maxLength="100" border="1" gradient="0">
              <x14:cfvo type="num">
                <xm:f>0</xm:f>
              </x14:cfvo>
              <x14:cfvo type="num">
                <xm:f>1</xm:f>
              </x14:cfvo>
              <x14:borderColor theme="0"/>
              <x14:negativeFillColor rgb="FFFF0000"/>
              <x14:axisColor rgb="FF000000"/>
            </x14:dataBar>
          </x14:cfRule>
          <xm:sqref>AD2175 AD2177 AD2179</xm:sqref>
        </x14:conditionalFormatting>
        <x14:conditionalFormatting xmlns:xm="http://schemas.microsoft.com/office/excel/2006/main">
          <x14:cfRule type="dataBar" id="{7318300D-0CF3-44AF-BF12-E48B385CDDF4}">
            <x14:dataBar minLength="0" maxLength="100" border="1" gradient="0">
              <x14:cfvo type="num">
                <xm:f>0</xm:f>
              </x14:cfvo>
              <x14:cfvo type="num">
                <xm:f>1</xm:f>
              </x14:cfvo>
              <x14:borderColor theme="0"/>
              <x14:negativeFillColor rgb="FFFF0000"/>
              <x14:axisColor rgb="FF000000"/>
            </x14:dataBar>
          </x14:cfRule>
          <xm:sqref>AD2181 AD2183 AD2185</xm:sqref>
        </x14:conditionalFormatting>
        <x14:conditionalFormatting xmlns:xm="http://schemas.microsoft.com/office/excel/2006/main">
          <x14:cfRule type="dataBar" id="{C082FF14-174A-4844-BEA8-FA01A8381ACA}">
            <x14:dataBar minLength="0" maxLength="100" border="1" gradient="0">
              <x14:cfvo type="num">
                <xm:f>0</xm:f>
              </x14:cfvo>
              <x14:cfvo type="num">
                <xm:f>1</xm:f>
              </x14:cfvo>
              <x14:borderColor theme="0"/>
              <x14:negativeFillColor rgb="FFFF0000"/>
              <x14:axisColor rgb="FF000000"/>
            </x14:dataBar>
          </x14:cfRule>
          <xm:sqref>AD2187 AD2189 AD2191</xm:sqref>
        </x14:conditionalFormatting>
        <x14:conditionalFormatting xmlns:xm="http://schemas.microsoft.com/office/excel/2006/main">
          <x14:cfRule type="dataBar" id="{C0621AC1-B335-4746-A91B-72944E147A41}">
            <x14:dataBar minLength="0" maxLength="100" border="1" gradient="0">
              <x14:cfvo type="num">
                <xm:f>0</xm:f>
              </x14:cfvo>
              <x14:cfvo type="num">
                <xm:f>1</xm:f>
              </x14:cfvo>
              <x14:borderColor theme="0"/>
              <x14:negativeFillColor rgb="FFFF0000"/>
              <x14:axisColor rgb="FF000000"/>
            </x14:dataBar>
          </x14:cfRule>
          <xm:sqref>AD2195 AD2193 AD2197</xm:sqref>
        </x14:conditionalFormatting>
        <x14:conditionalFormatting xmlns:xm="http://schemas.microsoft.com/office/excel/2006/main">
          <x14:cfRule type="dataBar" id="{C69ACD37-1D55-4CF1-88E7-2C5751D368DE}">
            <x14:dataBar minLength="0" maxLength="100" border="1" gradient="0">
              <x14:cfvo type="num">
                <xm:f>0</xm:f>
              </x14:cfvo>
              <x14:cfvo type="num">
                <xm:f>1</xm:f>
              </x14:cfvo>
              <x14:borderColor theme="0"/>
              <x14:negativeFillColor rgb="FFFF0000"/>
              <x14:axisColor rgb="FF000000"/>
            </x14:dataBar>
          </x14:cfRule>
          <xm:sqref>AD2199 AD2201 AD2203</xm:sqref>
        </x14:conditionalFormatting>
        <x14:conditionalFormatting xmlns:xm="http://schemas.microsoft.com/office/excel/2006/main">
          <x14:cfRule type="dataBar" id="{22821950-B8B7-42EB-9C81-5A97CF1E895A}">
            <x14:dataBar minLength="0" maxLength="100" border="1" gradient="0">
              <x14:cfvo type="num">
                <xm:f>0</xm:f>
              </x14:cfvo>
              <x14:cfvo type="num">
                <xm:f>1</xm:f>
              </x14:cfvo>
              <x14:borderColor theme="0"/>
              <x14:negativeFillColor rgb="FFFF0000"/>
              <x14:axisColor rgb="FF000000"/>
            </x14:dataBar>
          </x14:cfRule>
          <xm:sqref>AD2205 AD2209</xm:sqref>
        </x14:conditionalFormatting>
        <x14:conditionalFormatting xmlns:xm="http://schemas.microsoft.com/office/excel/2006/main">
          <x14:cfRule type="dataBar" id="{9FEFCBF2-43F9-46F8-A4B3-FA19EFDCBDCB}">
            <x14:dataBar minLength="0" maxLength="100" border="1" gradient="0">
              <x14:cfvo type="num">
                <xm:f>0</xm:f>
              </x14:cfvo>
              <x14:cfvo type="num">
                <xm:f>1</xm:f>
              </x14:cfvo>
              <x14:borderColor theme="0"/>
              <x14:negativeFillColor rgb="FFFF0000"/>
              <x14:axisColor rgb="FF000000"/>
            </x14:dataBar>
          </x14:cfRule>
          <xm:sqref>AD2207</xm:sqref>
        </x14:conditionalFormatting>
        <x14:conditionalFormatting xmlns:xm="http://schemas.microsoft.com/office/excel/2006/main">
          <x14:cfRule type="dataBar" id="{99F6AD9B-EEFA-4652-8314-BB4E19C0F60D}">
            <x14:dataBar minLength="0" maxLength="100" border="1" gradient="0">
              <x14:cfvo type="num">
                <xm:f>0</xm:f>
              </x14:cfvo>
              <x14:cfvo type="num">
                <xm:f>1</xm:f>
              </x14:cfvo>
              <x14:borderColor theme="0"/>
              <x14:negativeFillColor rgb="FFFF0000"/>
              <x14:axisColor rgb="FF000000"/>
            </x14:dataBar>
          </x14:cfRule>
          <xm:sqref>AD2213</xm:sqref>
        </x14:conditionalFormatting>
        <x14:conditionalFormatting xmlns:xm="http://schemas.microsoft.com/office/excel/2006/main">
          <x14:cfRule type="dataBar" id="{8420B027-EB37-4264-8A6C-2AEA06341A58}">
            <x14:dataBar minLength="0" maxLength="100" border="1" gradient="0">
              <x14:cfvo type="num">
                <xm:f>0</xm:f>
              </x14:cfvo>
              <x14:cfvo type="num">
                <xm:f>1</xm:f>
              </x14:cfvo>
              <x14:borderColor theme="0"/>
              <x14:negativeFillColor rgb="FFFF0000"/>
              <x14:axisColor rgb="FF000000"/>
            </x14:dataBar>
          </x14:cfRule>
          <xm:sqref>AD2217 AD2215 AD2219 AD2221 AD2223 AD2225 AD2227 AD2229 AD2231 AD2233 AD2235 AD2237 AD2239 AD2241 AD2243 AD2245 AD2247 AD2249 AD2251 AD2253 AD2255 AD2257 AD2259 AD2261 AD2263 AD2265 AD2267 AD2269 AD2271 AD2273 AD2275</xm:sqref>
        </x14:conditionalFormatting>
        <x14:conditionalFormatting xmlns:xm="http://schemas.microsoft.com/office/excel/2006/main">
          <x14:cfRule type="dataBar" id="{DE2F9855-4532-4727-BF00-785DA96EF5B9}">
            <x14:dataBar minLength="0" maxLength="100" border="1" gradient="0">
              <x14:cfvo type="num">
                <xm:f>0</xm:f>
              </x14:cfvo>
              <x14:cfvo type="num">
                <xm:f>1</xm:f>
              </x14:cfvo>
              <x14:borderColor theme="0"/>
              <x14:negativeFillColor rgb="FFFF0000"/>
              <x14:axisColor rgb="FF000000"/>
            </x14:dataBar>
          </x14:cfRule>
          <xm:sqref>AD2277</xm:sqref>
        </x14:conditionalFormatting>
        <x14:conditionalFormatting xmlns:xm="http://schemas.microsoft.com/office/excel/2006/main">
          <x14:cfRule type="dataBar" id="{638E625A-4E7F-454B-B6ED-5BA7B2F3B031}">
            <x14:dataBar minLength="0" maxLength="100" border="1" gradient="0">
              <x14:cfvo type="num">
                <xm:f>0</xm:f>
              </x14:cfvo>
              <x14:cfvo type="num">
                <xm:f>1</xm:f>
              </x14:cfvo>
              <x14:borderColor theme="0"/>
              <x14:negativeFillColor rgb="FFFF0000"/>
              <x14:axisColor rgb="FF000000"/>
            </x14:dataBar>
          </x14:cfRule>
          <xm:sqref>AD2279</xm:sqref>
        </x14:conditionalFormatting>
        <x14:conditionalFormatting xmlns:xm="http://schemas.microsoft.com/office/excel/2006/main">
          <x14:cfRule type="dataBar" id="{B92B4B7D-D310-4FE0-9D07-9A3D04F0ECCA}">
            <x14:dataBar minLength="0" maxLength="100" border="1" gradient="0">
              <x14:cfvo type="num">
                <xm:f>0</xm:f>
              </x14:cfvo>
              <x14:cfvo type="num">
                <xm:f>1</xm:f>
              </x14:cfvo>
              <x14:borderColor theme="0"/>
              <x14:negativeFillColor rgb="FFFF0000"/>
              <x14:axisColor rgb="FF000000"/>
            </x14:dataBar>
          </x14:cfRule>
          <xm:sqref>AD2281</xm:sqref>
        </x14:conditionalFormatting>
        <x14:conditionalFormatting xmlns:xm="http://schemas.microsoft.com/office/excel/2006/main">
          <x14:cfRule type="dataBar" id="{1DE864AD-8EFE-4CFC-9D52-18D9A4B585AF}">
            <x14:dataBar minLength="0" maxLength="100" border="1" gradient="0">
              <x14:cfvo type="num">
                <xm:f>0</xm:f>
              </x14:cfvo>
              <x14:cfvo type="num">
                <xm:f>1</xm:f>
              </x14:cfvo>
              <x14:borderColor theme="0"/>
              <x14:negativeFillColor rgb="FFFF0000"/>
              <x14:axisColor rgb="FF000000"/>
            </x14:dataBar>
          </x14:cfRule>
          <xm:sqref>AD2283</xm:sqref>
        </x14:conditionalFormatting>
        <x14:conditionalFormatting xmlns:xm="http://schemas.microsoft.com/office/excel/2006/main">
          <x14:cfRule type="dataBar" id="{E40258FE-B81F-4370-9DDC-E9767E9C2184}">
            <x14:dataBar minLength="0" maxLength="100" border="1" gradient="0">
              <x14:cfvo type="num">
                <xm:f>0</xm:f>
              </x14:cfvo>
              <x14:cfvo type="num">
                <xm:f>1</xm:f>
              </x14:cfvo>
              <x14:borderColor theme="0"/>
              <x14:negativeFillColor rgb="FFFF0000"/>
              <x14:axisColor rgb="FF000000"/>
            </x14:dataBar>
          </x14:cfRule>
          <xm:sqref>AD2285</xm:sqref>
        </x14:conditionalFormatting>
        <x14:conditionalFormatting xmlns:xm="http://schemas.microsoft.com/office/excel/2006/main">
          <x14:cfRule type="dataBar" id="{5498556B-56A0-4355-BB53-0113AEABCC72}">
            <x14:dataBar minLength="0" maxLength="100" border="1" gradient="0">
              <x14:cfvo type="num">
                <xm:f>0</xm:f>
              </x14:cfvo>
              <x14:cfvo type="num">
                <xm:f>1</xm:f>
              </x14:cfvo>
              <x14:borderColor theme="0"/>
              <x14:negativeFillColor rgb="FFFF0000"/>
              <x14:axisColor rgb="FF000000"/>
            </x14:dataBar>
          </x14:cfRule>
          <xm:sqref>AD2287</xm:sqref>
        </x14:conditionalFormatting>
        <x14:conditionalFormatting xmlns:xm="http://schemas.microsoft.com/office/excel/2006/main">
          <x14:cfRule type="dataBar" id="{FB019C5F-99C4-4C10-9355-E7E1EA63D081}">
            <x14:dataBar minLength="0" maxLength="100" border="1" gradient="0">
              <x14:cfvo type="num">
                <xm:f>0</xm:f>
              </x14:cfvo>
              <x14:cfvo type="num">
                <xm:f>1</xm:f>
              </x14:cfvo>
              <x14:borderColor theme="0"/>
              <x14:negativeFillColor rgb="FFFF0000"/>
              <x14:axisColor rgb="FF000000"/>
            </x14:dataBar>
          </x14:cfRule>
          <xm:sqref>AD2291</xm:sqref>
        </x14:conditionalFormatting>
        <x14:conditionalFormatting xmlns:xm="http://schemas.microsoft.com/office/excel/2006/main">
          <x14:cfRule type="dataBar" id="{8C16FBD1-D597-4B32-94C5-57EEAFC651B9}">
            <x14:dataBar minLength="0" maxLength="100" border="1" gradient="0">
              <x14:cfvo type="num">
                <xm:f>0</xm:f>
              </x14:cfvo>
              <x14:cfvo type="num">
                <xm:f>1</xm:f>
              </x14:cfvo>
              <x14:borderColor theme="0"/>
              <x14:negativeFillColor rgb="FFFF0000"/>
              <x14:axisColor rgb="FF000000"/>
            </x14:dataBar>
          </x14:cfRule>
          <xm:sqref>AD2295</xm:sqref>
        </x14:conditionalFormatting>
        <x14:conditionalFormatting xmlns:xm="http://schemas.microsoft.com/office/excel/2006/main">
          <x14:cfRule type="dataBar" id="{3924A463-1586-4503-84EF-7F8F5868FE33}">
            <x14:dataBar minLength="0" maxLength="100" border="1" gradient="0">
              <x14:cfvo type="num">
                <xm:f>0</xm:f>
              </x14:cfvo>
              <x14:cfvo type="num">
                <xm:f>1</xm:f>
              </x14:cfvo>
              <x14:borderColor theme="0"/>
              <x14:negativeFillColor rgb="FFFF0000"/>
              <x14:axisColor rgb="FF000000"/>
            </x14:dataBar>
          </x14:cfRule>
          <xm:sqref>AD2299</xm:sqref>
        </x14:conditionalFormatting>
        <x14:conditionalFormatting xmlns:xm="http://schemas.microsoft.com/office/excel/2006/main">
          <x14:cfRule type="dataBar" id="{C68E72B9-F709-4100-89E8-8F04B918A8E4}">
            <x14:dataBar minLength="0" maxLength="100" border="1" gradient="0">
              <x14:cfvo type="num">
                <xm:f>0</xm:f>
              </x14:cfvo>
              <x14:cfvo type="num">
                <xm:f>1</xm:f>
              </x14:cfvo>
              <x14:borderColor theme="0"/>
              <x14:negativeFillColor rgb="FFFF0000"/>
              <x14:axisColor rgb="FF000000"/>
            </x14:dataBar>
          </x14:cfRule>
          <xm:sqref>AD2301 AD2297</xm:sqref>
        </x14:conditionalFormatting>
        <x14:conditionalFormatting xmlns:xm="http://schemas.microsoft.com/office/excel/2006/main">
          <x14:cfRule type="dataBar" id="{68132024-2AE6-4366-A470-1E6323A65BA7}">
            <x14:dataBar minLength="0" maxLength="100" border="1" gradient="0">
              <x14:cfvo type="num">
                <xm:f>0</xm:f>
              </x14:cfvo>
              <x14:cfvo type="num">
                <xm:f>1</xm:f>
              </x14:cfvo>
              <x14:borderColor theme="0"/>
              <x14:negativeFillColor rgb="FFFF0000"/>
              <x14:axisColor rgb="FF000000"/>
            </x14:dataBar>
          </x14:cfRule>
          <xm:sqref>AD2303</xm:sqref>
        </x14:conditionalFormatting>
        <x14:conditionalFormatting xmlns:xm="http://schemas.microsoft.com/office/excel/2006/main">
          <x14:cfRule type="dataBar" id="{35247D4B-F8F3-4242-B2A9-9CA9BDB26447}">
            <x14:dataBar minLength="0" maxLength="100" border="1" gradient="0">
              <x14:cfvo type="num">
                <xm:f>0</xm:f>
              </x14:cfvo>
              <x14:cfvo type="num">
                <xm:f>1</xm:f>
              </x14:cfvo>
              <x14:borderColor theme="0"/>
              <x14:negativeFillColor rgb="FFFF0000"/>
              <x14:axisColor rgb="FF000000"/>
            </x14:dataBar>
          </x14:cfRule>
          <xm:sqref>AD2305</xm:sqref>
        </x14:conditionalFormatting>
        <x14:conditionalFormatting xmlns:xm="http://schemas.microsoft.com/office/excel/2006/main">
          <x14:cfRule type="dataBar" id="{87E2B5F9-A4A8-43B9-A3D3-C95074356C36}">
            <x14:dataBar minLength="0" maxLength="100" border="1" gradient="0">
              <x14:cfvo type="num">
                <xm:f>0</xm:f>
              </x14:cfvo>
              <x14:cfvo type="num">
                <xm:f>1</xm:f>
              </x14:cfvo>
              <x14:borderColor theme="0"/>
              <x14:negativeFillColor rgb="FFFF0000"/>
              <x14:axisColor rgb="FF000000"/>
            </x14:dataBar>
          </x14:cfRule>
          <xm:sqref>AD2307 AD2309</xm:sqref>
        </x14:conditionalFormatting>
        <x14:conditionalFormatting xmlns:xm="http://schemas.microsoft.com/office/excel/2006/main">
          <x14:cfRule type="dataBar" id="{83D02146-32E0-4CA8-A634-68C910F1840F}">
            <x14:dataBar minLength="0" maxLength="100" border="1" gradient="0">
              <x14:cfvo type="num">
                <xm:f>0</xm:f>
              </x14:cfvo>
              <x14:cfvo type="num">
                <xm:f>1</xm:f>
              </x14:cfvo>
              <x14:borderColor theme="0"/>
              <x14:negativeFillColor rgb="FFFF0000"/>
              <x14:axisColor rgb="FF000000"/>
            </x14:dataBar>
          </x14:cfRule>
          <xm:sqref>AD2311</xm:sqref>
        </x14:conditionalFormatting>
        <x14:conditionalFormatting xmlns:xm="http://schemas.microsoft.com/office/excel/2006/main">
          <x14:cfRule type="dataBar" id="{F33093FD-C584-4FDD-8AA6-8EF4AD0A5C69}">
            <x14:dataBar minLength="0" maxLength="100" border="1" gradient="0">
              <x14:cfvo type="num">
                <xm:f>0</xm:f>
              </x14:cfvo>
              <x14:cfvo type="num">
                <xm:f>1</xm:f>
              </x14:cfvo>
              <x14:borderColor theme="0"/>
              <x14:negativeFillColor rgb="FFFF0000"/>
              <x14:axisColor rgb="FF000000"/>
            </x14:dataBar>
          </x14:cfRule>
          <xm:sqref>AD2313</xm:sqref>
        </x14:conditionalFormatting>
        <x14:conditionalFormatting xmlns:xm="http://schemas.microsoft.com/office/excel/2006/main">
          <x14:cfRule type="dataBar" id="{4191E6C9-8756-44BF-A5DE-58F23DC0C977}">
            <x14:dataBar minLength="0" maxLength="100" border="1" gradient="0">
              <x14:cfvo type="num">
                <xm:f>0</xm:f>
              </x14:cfvo>
              <x14:cfvo type="num">
                <xm:f>1</xm:f>
              </x14:cfvo>
              <x14:borderColor theme="0"/>
              <x14:negativeFillColor rgb="FFFF0000"/>
              <x14:axisColor rgb="FF000000"/>
            </x14:dataBar>
          </x14:cfRule>
          <xm:sqref>AD2315</xm:sqref>
        </x14:conditionalFormatting>
        <x14:conditionalFormatting xmlns:xm="http://schemas.microsoft.com/office/excel/2006/main">
          <x14:cfRule type="dataBar" id="{EDD1E0FA-36DE-4A10-99AE-2BAC7871B356}">
            <x14:dataBar minLength="0" maxLength="100" border="1" gradient="0">
              <x14:cfvo type="num">
                <xm:f>0</xm:f>
              </x14:cfvo>
              <x14:cfvo type="num">
                <xm:f>1</xm:f>
              </x14:cfvo>
              <x14:borderColor theme="0"/>
              <x14:negativeFillColor rgb="FFFF0000"/>
              <x14:axisColor rgb="FF000000"/>
            </x14:dataBar>
          </x14:cfRule>
          <xm:sqref>AD2317</xm:sqref>
        </x14:conditionalFormatting>
        <x14:conditionalFormatting xmlns:xm="http://schemas.microsoft.com/office/excel/2006/main">
          <x14:cfRule type="dataBar" id="{24C6D6BD-B234-4959-AEBB-F109713C5038}">
            <x14:dataBar minLength="0" maxLength="100" border="1" gradient="0">
              <x14:cfvo type="num">
                <xm:f>0</xm:f>
              </x14:cfvo>
              <x14:cfvo type="num">
                <xm:f>1</xm:f>
              </x14:cfvo>
              <x14:borderColor theme="0"/>
              <x14:negativeFillColor rgb="FFFF0000"/>
              <x14:axisColor rgb="FF000000"/>
            </x14:dataBar>
          </x14:cfRule>
          <xm:sqref>AD2320</xm:sqref>
        </x14:conditionalFormatting>
        <x14:conditionalFormatting xmlns:xm="http://schemas.microsoft.com/office/excel/2006/main">
          <x14:cfRule type="dataBar" id="{6965A55C-3E2F-4357-AA6D-993D731F7B0C}">
            <x14:dataBar minLength="0" maxLength="100" border="1" gradient="0">
              <x14:cfvo type="num">
                <xm:f>0</xm:f>
              </x14:cfvo>
              <x14:cfvo type="num">
                <xm:f>1</xm:f>
              </x14:cfvo>
              <x14:borderColor theme="0"/>
              <x14:negativeFillColor rgb="FFFF0000"/>
              <x14:axisColor rgb="FF000000"/>
            </x14:dataBar>
          </x14:cfRule>
          <xm:sqref>AD2322 AD2326 AD2324 AD2328 AD2330</xm:sqref>
        </x14:conditionalFormatting>
        <x14:conditionalFormatting xmlns:xm="http://schemas.microsoft.com/office/excel/2006/main">
          <x14:cfRule type="dataBar" id="{F947A879-6B01-47DC-8C1A-7221F13E2E48}">
            <x14:dataBar minLength="0" maxLength="100" border="1" gradient="0">
              <x14:cfvo type="num">
                <xm:f>0</xm:f>
              </x14:cfvo>
              <x14:cfvo type="num">
                <xm:f>1</xm:f>
              </x14:cfvo>
              <x14:borderColor theme="0"/>
              <x14:negativeFillColor rgb="FFFF0000"/>
              <x14:axisColor rgb="FF000000"/>
            </x14:dataBar>
          </x14:cfRule>
          <xm:sqref>AD2333</xm:sqref>
        </x14:conditionalFormatting>
        <x14:conditionalFormatting xmlns:xm="http://schemas.microsoft.com/office/excel/2006/main">
          <x14:cfRule type="dataBar" id="{ABD477EE-713D-4D24-86A5-5A3FBD1043B6}">
            <x14:dataBar minLength="0" maxLength="100" border="1" gradient="0">
              <x14:cfvo type="num">
                <xm:f>0</xm:f>
              </x14:cfvo>
              <x14:cfvo type="num">
                <xm:f>1</xm:f>
              </x14:cfvo>
              <x14:borderColor theme="0"/>
              <x14:negativeFillColor rgb="FFFF0000"/>
              <x14:axisColor rgb="FF000000"/>
            </x14:dataBar>
          </x14:cfRule>
          <xm:sqref>AD2335 AD2337 AD2339 AD2341</xm:sqref>
        </x14:conditionalFormatting>
        <x14:conditionalFormatting xmlns:xm="http://schemas.microsoft.com/office/excel/2006/main">
          <x14:cfRule type="dataBar" id="{BF639A63-1BDD-46AB-AAB6-9443F4210AEF}">
            <x14:dataBar minLength="0" maxLength="100" border="1" gradient="0">
              <x14:cfvo type="num">
                <xm:f>0</xm:f>
              </x14:cfvo>
              <x14:cfvo type="num">
                <xm:f>1</xm:f>
              </x14:cfvo>
              <x14:borderColor theme="0"/>
              <x14:negativeFillColor rgb="FFFF0000"/>
              <x14:axisColor rgb="FF000000"/>
            </x14:dataBar>
          </x14:cfRule>
          <xm:sqref>AD2345</xm:sqref>
        </x14:conditionalFormatting>
        <x14:conditionalFormatting xmlns:xm="http://schemas.microsoft.com/office/excel/2006/main">
          <x14:cfRule type="dataBar" id="{36DDFEC0-676F-4051-AC59-F84454964081}">
            <x14:dataBar minLength="0" maxLength="100" border="1" gradient="0">
              <x14:cfvo type="num">
                <xm:f>0</xm:f>
              </x14:cfvo>
              <x14:cfvo type="num">
                <xm:f>1</xm:f>
              </x14:cfvo>
              <x14:borderColor theme="0"/>
              <x14:negativeFillColor rgb="FFFF0000"/>
              <x14:axisColor rgb="FF000000"/>
            </x14:dataBar>
          </x14:cfRule>
          <xm:sqref>AD2347 AD2349 AD2351 AD2353 AD2355</xm:sqref>
        </x14:conditionalFormatting>
        <x14:conditionalFormatting xmlns:xm="http://schemas.microsoft.com/office/excel/2006/main">
          <x14:cfRule type="dataBar" id="{6F07DFB1-D895-4837-8899-CB361D5EDA27}">
            <x14:dataBar minLength="0" maxLength="100" border="1" gradient="0">
              <x14:cfvo type="num">
                <xm:f>0</xm:f>
              </x14:cfvo>
              <x14:cfvo type="num">
                <xm:f>1</xm:f>
              </x14:cfvo>
              <x14:borderColor theme="0"/>
              <x14:negativeFillColor rgb="FFFF0000"/>
              <x14:axisColor rgb="FF000000"/>
            </x14:dataBar>
          </x14:cfRule>
          <xm:sqref>AD2359</xm:sqref>
        </x14:conditionalFormatting>
        <x14:conditionalFormatting xmlns:xm="http://schemas.microsoft.com/office/excel/2006/main">
          <x14:cfRule type="dataBar" id="{0C556E5F-271B-4EB8-90C0-8D57F3FDE1A6}">
            <x14:dataBar minLength="0" maxLength="100" border="1" gradient="0">
              <x14:cfvo type="num">
                <xm:f>0</xm:f>
              </x14:cfvo>
              <x14:cfvo type="num">
                <xm:f>1</xm:f>
              </x14:cfvo>
              <x14:borderColor theme="0"/>
              <x14:negativeFillColor rgb="FFFF0000"/>
              <x14:axisColor rgb="FF000000"/>
            </x14:dataBar>
          </x14:cfRule>
          <xm:sqref>AD2361 AD2363 AD2365 AD2367 AD2369</xm:sqref>
        </x14:conditionalFormatting>
        <x14:conditionalFormatting xmlns:xm="http://schemas.microsoft.com/office/excel/2006/main">
          <x14:cfRule type="dataBar" id="{721E1FC6-E8A3-434A-8DCA-5E87FAB6A5B8}">
            <x14:dataBar minLength="0" maxLength="100" border="1" gradient="0">
              <x14:cfvo type="num">
                <xm:f>0</xm:f>
              </x14:cfvo>
              <x14:cfvo type="num">
                <xm:f>1</xm:f>
              </x14:cfvo>
              <x14:borderColor theme="0"/>
              <x14:negativeFillColor rgb="FFFF0000"/>
              <x14:axisColor rgb="FF000000"/>
            </x14:dataBar>
          </x14:cfRule>
          <xm:sqref>AD2371</xm:sqref>
        </x14:conditionalFormatting>
        <x14:conditionalFormatting xmlns:xm="http://schemas.microsoft.com/office/excel/2006/main">
          <x14:cfRule type="dataBar" id="{A75CED04-E660-4688-8A5B-823B271228A2}">
            <x14:dataBar minLength="0" maxLength="100" border="1" gradient="0">
              <x14:cfvo type="num">
                <xm:f>0</xm:f>
              </x14:cfvo>
              <x14:cfvo type="num">
                <xm:f>1</xm:f>
              </x14:cfvo>
              <x14:borderColor theme="0"/>
              <x14:negativeFillColor rgb="FFFF0000"/>
              <x14:axisColor rgb="FF000000"/>
            </x14:dataBar>
          </x14:cfRule>
          <xm:sqref>AD2375</xm:sqref>
        </x14:conditionalFormatting>
        <x14:conditionalFormatting xmlns:xm="http://schemas.microsoft.com/office/excel/2006/main">
          <x14:cfRule type="dataBar" id="{96CBB08F-BB31-4658-B58C-C8A85D9C818F}">
            <x14:dataBar minLength="0" maxLength="100" border="1" gradient="0">
              <x14:cfvo type="num">
                <xm:f>0</xm:f>
              </x14:cfvo>
              <x14:cfvo type="num">
                <xm:f>1</xm:f>
              </x14:cfvo>
              <x14:borderColor theme="0"/>
              <x14:negativeFillColor rgb="FFFF0000"/>
              <x14:axisColor rgb="FF000000"/>
            </x14:dataBar>
          </x14:cfRule>
          <xm:sqref>AD2379</xm:sqref>
        </x14:conditionalFormatting>
        <x14:conditionalFormatting xmlns:xm="http://schemas.microsoft.com/office/excel/2006/main">
          <x14:cfRule type="dataBar" id="{5003BDFB-4E47-423C-B4AE-EB5BA1D73FA3}">
            <x14:dataBar minLength="0" maxLength="100" border="1" gradient="0">
              <x14:cfvo type="num">
                <xm:f>0</xm:f>
              </x14:cfvo>
              <x14:cfvo type="num">
                <xm:f>1</xm:f>
              </x14:cfvo>
              <x14:borderColor theme="0"/>
              <x14:negativeFillColor rgb="FFFF0000"/>
              <x14:axisColor rgb="FF000000"/>
            </x14:dataBar>
          </x14:cfRule>
          <xm:sqref>AD2381 AD2383 AD2385 AD2387</xm:sqref>
        </x14:conditionalFormatting>
        <x14:conditionalFormatting xmlns:xm="http://schemas.microsoft.com/office/excel/2006/main">
          <x14:cfRule type="dataBar" id="{5CA19673-7027-421E-BBA7-1C6FCAC21361}">
            <x14:dataBar minLength="0" maxLength="100" border="1" gradient="0">
              <x14:cfvo type="num">
                <xm:f>0</xm:f>
              </x14:cfvo>
              <x14:cfvo type="num">
                <xm:f>1</xm:f>
              </x14:cfvo>
              <x14:borderColor theme="0"/>
              <x14:negativeFillColor rgb="FFFF0000"/>
              <x14:axisColor rgb="FF000000"/>
            </x14:dataBar>
          </x14:cfRule>
          <xm:sqref>AD2389</xm:sqref>
        </x14:conditionalFormatting>
        <x14:conditionalFormatting xmlns:xm="http://schemas.microsoft.com/office/excel/2006/main">
          <x14:cfRule type="dataBar" id="{80546558-DA75-408A-8109-5CA447BE17EF}">
            <x14:dataBar minLength="0" maxLength="100" border="1" gradient="0">
              <x14:cfvo type="num">
                <xm:f>0</xm:f>
              </x14:cfvo>
              <x14:cfvo type="num">
                <xm:f>1</xm:f>
              </x14:cfvo>
              <x14:borderColor theme="0"/>
              <x14:negativeFillColor rgb="FFFF0000"/>
              <x14:axisColor rgb="FF000000"/>
            </x14:dataBar>
          </x14:cfRule>
          <xm:sqref>AD2393</xm:sqref>
        </x14:conditionalFormatting>
        <x14:conditionalFormatting xmlns:xm="http://schemas.microsoft.com/office/excel/2006/main">
          <x14:cfRule type="dataBar" id="{0219F8EA-0B4D-472D-A991-62B6CE361EAC}">
            <x14:dataBar minLength="0" maxLength="100" border="1" gradient="0">
              <x14:cfvo type="num">
                <xm:f>0</xm:f>
              </x14:cfvo>
              <x14:cfvo type="num">
                <xm:f>1</xm:f>
              </x14:cfvo>
              <x14:borderColor theme="0"/>
              <x14:negativeFillColor rgb="FFFF0000"/>
              <x14:axisColor rgb="FF000000"/>
            </x14:dataBar>
          </x14:cfRule>
          <xm:sqref>AD2395</xm:sqref>
        </x14:conditionalFormatting>
        <x14:conditionalFormatting xmlns:xm="http://schemas.microsoft.com/office/excel/2006/main">
          <x14:cfRule type="dataBar" id="{6CD0BBCF-C237-4C40-B0EE-3C70F38F36FA}">
            <x14:dataBar minLength="0" maxLength="100" border="1" gradient="0">
              <x14:cfvo type="num">
                <xm:f>0</xm:f>
              </x14:cfvo>
              <x14:cfvo type="num">
                <xm:f>1</xm:f>
              </x14:cfvo>
              <x14:borderColor theme="0"/>
              <x14:negativeFillColor rgb="FFFF0000"/>
              <x14:axisColor rgb="FF000000"/>
            </x14:dataBar>
          </x14:cfRule>
          <xm:sqref>AD2397</xm:sqref>
        </x14:conditionalFormatting>
        <x14:conditionalFormatting xmlns:xm="http://schemas.microsoft.com/office/excel/2006/main">
          <x14:cfRule type="dataBar" id="{DE72CF4E-0328-43D3-80B7-31C3BB359B47}">
            <x14:dataBar minLength="0" maxLength="100" border="1" gradient="0">
              <x14:cfvo type="num">
                <xm:f>0</xm:f>
              </x14:cfvo>
              <x14:cfvo type="num">
                <xm:f>1</xm:f>
              </x14:cfvo>
              <x14:borderColor theme="0"/>
              <x14:negativeFillColor rgb="FFFF0000"/>
              <x14:axisColor rgb="FF000000"/>
            </x14:dataBar>
          </x14:cfRule>
          <xm:sqref>AD2401</xm:sqref>
        </x14:conditionalFormatting>
        <x14:conditionalFormatting xmlns:xm="http://schemas.microsoft.com/office/excel/2006/main">
          <x14:cfRule type="dataBar" id="{69F6CBB8-50E5-4EDF-B88A-0760BCA68101}">
            <x14:dataBar minLength="0" maxLength="100" border="1" gradient="0">
              <x14:cfvo type="num">
                <xm:f>0</xm:f>
              </x14:cfvo>
              <x14:cfvo type="num">
                <xm:f>1</xm:f>
              </x14:cfvo>
              <x14:borderColor theme="0"/>
              <x14:negativeFillColor rgb="FFFF0000"/>
              <x14:axisColor rgb="FF000000"/>
            </x14:dataBar>
          </x14:cfRule>
          <xm:sqref>AD2405</xm:sqref>
        </x14:conditionalFormatting>
        <x14:conditionalFormatting xmlns:xm="http://schemas.microsoft.com/office/excel/2006/main">
          <x14:cfRule type="dataBar" id="{8DAED7F1-9B45-467D-86A3-EC3FCB9A04BC}">
            <x14:dataBar minLength="0" maxLength="100" border="1" gradient="0">
              <x14:cfvo type="num">
                <xm:f>0</xm:f>
              </x14:cfvo>
              <x14:cfvo type="num">
                <xm:f>1</xm:f>
              </x14:cfvo>
              <x14:borderColor theme="0"/>
              <x14:negativeFillColor rgb="FFFF0000"/>
              <x14:axisColor rgb="FF000000"/>
            </x14:dataBar>
          </x14:cfRule>
          <xm:sqref>AD2447 AD2407 AD2445 AD2409 AD2411 AD2413 AD2415 AD2417 AD2419 AD2421 AD2423 AD2425 AD2427 AD2429 AD2431 AD2433 AD2435 AD2437 AD2439 AD2441 AD2443 AD2449 AD2451</xm:sqref>
        </x14:conditionalFormatting>
        <x14:conditionalFormatting xmlns:xm="http://schemas.microsoft.com/office/excel/2006/main">
          <x14:cfRule type="dataBar" id="{DB1766A9-8781-4F76-9829-06A87A83A7AD}">
            <x14:dataBar minLength="0" maxLength="100" border="1" gradient="0">
              <x14:cfvo type="num">
                <xm:f>0</xm:f>
              </x14:cfvo>
              <x14:cfvo type="num">
                <xm:f>1</xm:f>
              </x14:cfvo>
              <x14:borderColor theme="0"/>
              <x14:negativeFillColor rgb="FFFF0000"/>
              <x14:axisColor rgb="FF000000"/>
            </x14:dataBar>
          </x14:cfRule>
          <xm:sqref>AD2453</xm:sqref>
        </x14:conditionalFormatting>
        <x14:conditionalFormatting xmlns:xm="http://schemas.microsoft.com/office/excel/2006/main">
          <x14:cfRule type="dataBar" id="{97CD57D1-3ED7-48B6-8FFB-E109DD56CB62}">
            <x14:dataBar minLength="0" maxLength="100" border="1" gradient="0">
              <x14:cfvo type="num">
                <xm:f>0</xm:f>
              </x14:cfvo>
              <x14:cfvo type="num">
                <xm:f>1</xm:f>
              </x14:cfvo>
              <x14:borderColor theme="0"/>
              <x14:negativeFillColor rgb="FFFF0000"/>
              <x14:axisColor rgb="FF000000"/>
            </x14:dataBar>
          </x14:cfRule>
          <xm:sqref>AD2457</xm:sqref>
        </x14:conditionalFormatting>
        <x14:conditionalFormatting xmlns:xm="http://schemas.microsoft.com/office/excel/2006/main">
          <x14:cfRule type="dataBar" id="{30E32055-A187-44E4-ADC8-710A63CBE193}">
            <x14:dataBar minLength="0" maxLength="100" border="1" gradient="0">
              <x14:cfvo type="num">
                <xm:f>0</xm:f>
              </x14:cfvo>
              <x14:cfvo type="num">
                <xm:f>1</xm:f>
              </x14:cfvo>
              <x14:borderColor theme="0"/>
              <x14:negativeFillColor rgb="FFFF0000"/>
              <x14:axisColor rgb="FF000000"/>
            </x14:dataBar>
          </x14:cfRule>
          <xm:sqref>AD2499 AD2459 AD2461 AD2463 AD2465 AD2467 AD2469 AD2471 AD2473 AD2475 AD2477 AD2479 AD2481 AD2483 AD2485 AD2487 AD2489 AD2491 AD2493 AD2495 AD2497 AD2501 AD2503 AD2505 AD2507 AD2509 AD2511 AD2513 AD2515 AD2517 AD2519 AD2521</xm:sqref>
        </x14:conditionalFormatting>
        <x14:conditionalFormatting xmlns:xm="http://schemas.microsoft.com/office/excel/2006/main">
          <x14:cfRule type="dataBar" id="{6D67F7E4-C900-4645-8350-9C97CD8EDB90}">
            <x14:dataBar minLength="0" maxLength="100" border="1" gradient="0">
              <x14:cfvo type="num">
                <xm:f>0</xm:f>
              </x14:cfvo>
              <x14:cfvo type="num">
                <xm:f>1</xm:f>
              </x14:cfvo>
              <x14:borderColor theme="0"/>
              <x14:negativeFillColor rgb="FFFF0000"/>
              <x14:axisColor rgb="FF000000"/>
            </x14:dataBar>
          </x14:cfRule>
          <xm:sqref>AD2523</xm:sqref>
        </x14:conditionalFormatting>
        <x14:conditionalFormatting xmlns:xm="http://schemas.microsoft.com/office/excel/2006/main">
          <x14:cfRule type="dataBar" id="{E9AD1865-E5CA-47FF-BF3A-2D630D9697B9}">
            <x14:dataBar minLength="0" maxLength="100" border="1" gradient="0">
              <x14:cfvo type="num">
                <xm:f>0</xm:f>
              </x14:cfvo>
              <x14:cfvo type="num">
                <xm:f>1</xm:f>
              </x14:cfvo>
              <x14:borderColor theme="0"/>
              <x14:negativeFillColor rgb="FFFF0000"/>
              <x14:axisColor rgb="FF000000"/>
            </x14:dataBar>
          </x14:cfRule>
          <xm:sqref>AD2527</xm:sqref>
        </x14:conditionalFormatting>
        <x14:conditionalFormatting xmlns:xm="http://schemas.microsoft.com/office/excel/2006/main">
          <x14:cfRule type="dataBar" id="{2CB0C649-49E4-480C-80AF-E8B5ECA6B232}">
            <x14:dataBar minLength="0" maxLength="100" border="1" gradient="0">
              <x14:cfvo type="num">
                <xm:f>0</xm:f>
              </x14:cfvo>
              <x14:cfvo type="num">
                <xm:f>1</xm:f>
              </x14:cfvo>
              <x14:borderColor theme="0"/>
              <x14:negativeFillColor rgb="FFFF0000"/>
              <x14:axisColor rgb="FF000000"/>
            </x14:dataBar>
          </x14:cfRule>
          <xm:sqref>AD2531 AD2529 AD2533</xm:sqref>
        </x14:conditionalFormatting>
        <x14:conditionalFormatting xmlns:xm="http://schemas.microsoft.com/office/excel/2006/main">
          <x14:cfRule type="dataBar" id="{D082D9F8-7294-47E9-AA41-5FCD3B5E0A0D}">
            <x14:dataBar minLength="0" maxLength="100" border="1" gradient="0">
              <x14:cfvo type="num">
                <xm:f>0</xm:f>
              </x14:cfvo>
              <x14:cfvo type="num">
                <xm:f>1</xm:f>
              </x14:cfvo>
              <x14:borderColor theme="0"/>
              <x14:negativeFillColor rgb="FFFF0000"/>
              <x14:axisColor rgb="FF000000"/>
            </x14:dataBar>
          </x14:cfRule>
          <xm:sqref>AD2537</xm:sqref>
        </x14:conditionalFormatting>
        <x14:conditionalFormatting xmlns:xm="http://schemas.microsoft.com/office/excel/2006/main">
          <x14:cfRule type="dataBar" id="{0C68DDB4-2C8C-4BD8-B962-B0385A119C86}">
            <x14:dataBar minLength="0" maxLength="100" border="1" gradient="0">
              <x14:cfvo type="num">
                <xm:f>0</xm:f>
              </x14:cfvo>
              <x14:cfvo type="num">
                <xm:f>1</xm:f>
              </x14:cfvo>
              <x14:borderColor theme="0"/>
              <x14:negativeFillColor rgb="FFFF0000"/>
              <x14:axisColor rgb="FF000000"/>
            </x14:dataBar>
          </x14:cfRule>
          <xm:sqref>AD2539 AD2541 AD2543 AD2545 AD2547 AD2549 AD2551 AD2553 AD2555 AD2557 AD2559</xm:sqref>
        </x14:conditionalFormatting>
        <x14:conditionalFormatting xmlns:xm="http://schemas.microsoft.com/office/excel/2006/main">
          <x14:cfRule type="dataBar" id="{A3A34790-7F55-433D-A9F6-154362090919}">
            <x14:dataBar minLength="0" maxLength="100" border="1" gradient="0">
              <x14:cfvo type="num">
                <xm:f>0</xm:f>
              </x14:cfvo>
              <x14:cfvo type="num">
                <xm:f>1</xm:f>
              </x14:cfvo>
              <x14:borderColor theme="0"/>
              <x14:negativeFillColor rgb="FFFF0000"/>
              <x14:axisColor rgb="FF000000"/>
            </x14:dataBar>
          </x14:cfRule>
          <xm:sqref>AD2563</xm:sqref>
        </x14:conditionalFormatting>
        <x14:conditionalFormatting xmlns:xm="http://schemas.microsoft.com/office/excel/2006/main">
          <x14:cfRule type="dataBar" id="{3F0C105B-3DE6-4431-9BB9-BF6EB1191D89}">
            <x14:dataBar minLength="0" maxLength="100" border="1" gradient="0">
              <x14:cfvo type="num">
                <xm:f>0</xm:f>
              </x14:cfvo>
              <x14:cfvo type="num">
                <xm:f>1</xm:f>
              </x14:cfvo>
              <x14:borderColor theme="0"/>
              <x14:negativeFillColor rgb="FFFF0000"/>
              <x14:axisColor rgb="FF000000"/>
            </x14:dataBar>
          </x14:cfRule>
          <xm:sqref>AD2565 AD2567 AD2569 AD2571 AD2573 AD2575 AD2577 AD2579 AD2581 AD2583 AD2585 AD2587 AD2589 AD2591 AD2593 AD2595 AD2597 AD2599 AD2601</xm:sqref>
        </x14:conditionalFormatting>
        <x14:conditionalFormatting xmlns:xm="http://schemas.microsoft.com/office/excel/2006/main">
          <x14:cfRule type="dataBar" id="{536E648C-D723-441D-8B4E-A84C0E0EB81F}">
            <x14:dataBar minLength="0" maxLength="100" border="1" gradient="0">
              <x14:cfvo type="num">
                <xm:f>0</xm:f>
              </x14:cfvo>
              <x14:cfvo type="num">
                <xm:f>1</xm:f>
              </x14:cfvo>
              <x14:borderColor theme="0"/>
              <x14:negativeFillColor rgb="FFFF0000"/>
              <x14:axisColor rgb="FF000000"/>
            </x14:dataBar>
          </x14:cfRule>
          <xm:sqref>AD2605</xm:sqref>
        </x14:conditionalFormatting>
        <x14:conditionalFormatting xmlns:xm="http://schemas.microsoft.com/office/excel/2006/main">
          <x14:cfRule type="dataBar" id="{80D94C52-5D06-40EE-85FF-1FB129031041}">
            <x14:dataBar minLength="0" maxLength="100" border="1" gradient="0">
              <x14:cfvo type="num">
                <xm:f>0</xm:f>
              </x14:cfvo>
              <x14:cfvo type="num">
                <xm:f>1</xm:f>
              </x14:cfvo>
              <x14:borderColor theme="0"/>
              <x14:negativeFillColor rgb="FFFF0000"/>
              <x14:axisColor rgb="FF000000"/>
            </x14:dataBar>
          </x14:cfRule>
          <xm:sqref>AD2613 AD2611 AD2615 AD2617 AD2619 AD2621 AD2623 AD2627 AD2629 AD2631 AD2633 AD2635 AD2637 AD2639 AD2641 AD2643 AD2645 AD2647 AD2649 AD2651 AD2653 AD2655 AD2657 AD2659 AD2661 AD2663 AD2665 AD2667 AD2669 AD2625</xm:sqref>
        </x14:conditionalFormatting>
        <x14:conditionalFormatting xmlns:xm="http://schemas.microsoft.com/office/excel/2006/main">
          <x14:cfRule type="dataBar" id="{FFB0D428-A0C3-405D-A8BD-9D3CB60A36C6}">
            <x14:dataBar minLength="0" maxLength="100" border="1" gradient="0">
              <x14:cfvo type="num">
                <xm:f>0</xm:f>
              </x14:cfvo>
              <x14:cfvo type="num">
                <xm:f>1</xm:f>
              </x14:cfvo>
              <x14:borderColor theme="0"/>
              <x14:negativeFillColor rgb="FFFF0000"/>
              <x14:axisColor rgb="FF000000"/>
            </x14:dataBar>
          </x14:cfRule>
          <xm:sqref>AD2674 AD2676 AD2678 AD2680 AD2682 AD2684 AD2686 AD2688 AD2690 AD2692 AD2694 AD2696 AD2698 AD2700 AD2702 AD2704 AD2706 AD2708 AD2710 AD2712 AD2714 AD2716 AD2718 AD2720 AD2722 AD2724 AD2726 AD2728 AD2730 AD2732 AD2734</xm:sqref>
        </x14:conditionalFormatting>
        <x14:conditionalFormatting xmlns:xm="http://schemas.microsoft.com/office/excel/2006/main">
          <x14:cfRule type="dataBar" id="{511782C3-E472-4607-9077-917197E610E5}">
            <x14:dataBar minLength="0" maxLength="100" border="1" gradient="0">
              <x14:cfvo type="num">
                <xm:f>0</xm:f>
              </x14:cfvo>
              <x14:cfvo type="num">
                <xm:f>1</xm:f>
              </x14:cfvo>
              <x14:borderColor theme="0"/>
              <x14:negativeFillColor rgb="FFFF0000"/>
              <x14:axisColor rgb="FF000000"/>
            </x14:dataBar>
          </x14:cfRule>
          <xm:sqref>AD2738 AD2609 AD2672 AD2764 AD2814</xm:sqref>
        </x14:conditionalFormatting>
        <x14:conditionalFormatting xmlns:xm="http://schemas.microsoft.com/office/excel/2006/main">
          <x14:cfRule type="dataBar" id="{9D1CA7CC-BD5C-408E-A571-E004D927963E}">
            <x14:dataBar minLength="0" maxLength="100" border="1" gradient="0">
              <x14:cfvo type="num">
                <xm:f>0</xm:f>
              </x14:cfvo>
              <x14:cfvo type="num">
                <xm:f>1</xm:f>
              </x14:cfvo>
              <x14:borderColor theme="0"/>
              <x14:negativeFillColor rgb="FFFF0000"/>
              <x14:axisColor rgb="FF000000"/>
            </x14:dataBar>
          </x14:cfRule>
          <xm:sqref>AD2740 AD2742 AD2744 AD2746 AD2748 AD2750 AD2752 AD2754 AD2756 AD2758 AD2760</xm:sqref>
        </x14:conditionalFormatting>
        <x14:conditionalFormatting xmlns:xm="http://schemas.microsoft.com/office/excel/2006/main">
          <x14:cfRule type="dataBar" id="{67947AE5-850C-4F10-AF3B-DE0104967044}">
            <x14:dataBar minLength="0" maxLength="100" border="1" gradient="0">
              <x14:cfvo type="num">
                <xm:f>0</xm:f>
              </x14:cfvo>
              <x14:cfvo type="num">
                <xm:f>1</xm:f>
              </x14:cfvo>
              <x14:borderColor theme="0"/>
              <x14:negativeFillColor rgb="FFFF0000"/>
              <x14:axisColor rgb="FF000000"/>
            </x14:dataBar>
          </x14:cfRule>
          <xm:sqref>AD2766 AD2768 AD2770 AD2772 AD2774 AD2776 AD2778 AD2780 AD2782 AD2784 AD2786 AD2788 AD2790 AD2792 AD2794 AD2796 AD2798 AD2800 AD2802 AD2804 AD2806 AD2808 AD2810</xm:sqref>
        </x14:conditionalFormatting>
        <x14:conditionalFormatting xmlns:xm="http://schemas.microsoft.com/office/excel/2006/main">
          <x14:cfRule type="dataBar" id="{26D23BAA-C3CE-4A3D-9D35-4D59E6D30F11}">
            <x14:dataBar minLength="0" maxLength="100" border="1" gradient="0">
              <x14:cfvo type="num">
                <xm:f>0</xm:f>
              </x14:cfvo>
              <x14:cfvo type="num">
                <xm:f>1</xm:f>
              </x14:cfvo>
              <x14:borderColor theme="0"/>
              <x14:negativeFillColor rgb="FFFF0000"/>
              <x14:axisColor rgb="FF000000"/>
            </x14:dataBar>
          </x14:cfRule>
          <xm:sqref>AD2816 AD2818 AD2820 AD2822 AD2824 AD2826 AD2828 AD2830 AD2832 AD2834 AD2836 AD2838 AD2840 AD2842 AD2844 AD2846 AD2848</xm:sqref>
        </x14:conditionalFormatting>
        <x14:conditionalFormatting xmlns:xm="http://schemas.microsoft.com/office/excel/2006/main">
          <x14:cfRule type="dataBar" id="{24C005E9-9D7E-44D5-8DF2-33B3176DD818}">
            <x14:dataBar minLength="0" maxLength="100" border="1" gradient="0">
              <x14:cfvo type="num">
                <xm:f>0</xm:f>
              </x14:cfvo>
              <x14:cfvo type="num">
                <xm:f>1</xm:f>
              </x14:cfvo>
              <x14:borderColor theme="0"/>
              <x14:negativeFillColor rgb="FFFF0000"/>
              <x14:axisColor rgb="FF000000"/>
            </x14:dataBar>
          </x14:cfRule>
          <xm:sqref>AD2852</xm:sqref>
        </x14:conditionalFormatting>
        <x14:conditionalFormatting xmlns:xm="http://schemas.microsoft.com/office/excel/2006/main">
          <x14:cfRule type="dataBar" id="{B3596A8A-A578-47A0-87A8-07E02F69CF20}">
            <x14:dataBar minLength="0" maxLength="100" border="1" gradient="0">
              <x14:cfvo type="num">
                <xm:f>0</xm:f>
              </x14:cfvo>
              <x14:cfvo type="num">
                <xm:f>1</xm:f>
              </x14:cfvo>
              <x14:borderColor theme="0"/>
              <x14:negativeFillColor rgb="FFFF0000"/>
              <x14:axisColor rgb="FF000000"/>
            </x14:dataBar>
          </x14:cfRule>
          <xm:sqref>AD2920 AD2858 AD2860 AD2862 AD2864 AD2866 AD2868 AD2870 AD2872 AD2874 AD2876 AD2878 AD2880 AD2882 AD2884 AD2886 AD2888 AD2890 AD2892 AD2894 AD2896 AD2898 AD2900 AD2902 AD2904 AD2906 AD2908 AD2910 AD2912 AD2914 AD2916 AD2918 AD2922 AD2924 AD2926 AD2928 AD2930 AD2932 AD2934 AD2936 AD2938 AD2940 AD2942 AD2944 AD2946 AD2948 AD2950 AD2952</xm:sqref>
        </x14:conditionalFormatting>
        <x14:conditionalFormatting xmlns:xm="http://schemas.microsoft.com/office/excel/2006/main">
          <x14:cfRule type="dataBar" id="{5B915BAB-4979-4C18-B4B8-6B40410973D8}">
            <x14:dataBar minLength="0" maxLength="100" border="1" gradient="0">
              <x14:cfvo type="num">
                <xm:f>0</xm:f>
              </x14:cfvo>
              <x14:cfvo type="num">
                <xm:f>1</xm:f>
              </x14:cfvo>
              <x14:borderColor theme="0"/>
              <x14:negativeFillColor rgb="FFFF0000"/>
              <x14:axisColor rgb="FF000000"/>
            </x14:dataBar>
          </x14:cfRule>
          <xm:sqref>AD2954</xm:sqref>
        </x14:conditionalFormatting>
        <x14:conditionalFormatting xmlns:xm="http://schemas.microsoft.com/office/excel/2006/main">
          <x14:cfRule type="dataBar" id="{FED8B4C8-34CA-4EEB-AB36-495929DF2538}">
            <x14:dataBar minLength="0" maxLength="100" border="1" gradient="0">
              <x14:cfvo type="num">
                <xm:f>0</xm:f>
              </x14:cfvo>
              <x14:cfvo type="num">
                <xm:f>1</xm:f>
              </x14:cfvo>
              <x14:borderColor theme="0"/>
              <x14:negativeFillColor rgb="FFFF0000"/>
              <x14:axisColor rgb="FF000000"/>
            </x14:dataBar>
          </x14:cfRule>
          <xm:sqref>AD2956</xm:sqref>
        </x14:conditionalFormatting>
        <x14:conditionalFormatting xmlns:xm="http://schemas.microsoft.com/office/excel/2006/main">
          <x14:cfRule type="dataBar" id="{43840402-88F0-4912-B30F-78BA33E12855}">
            <x14:dataBar minLength="0" maxLength="100" border="1" gradient="0">
              <x14:cfvo type="num">
                <xm:f>0</xm:f>
              </x14:cfvo>
              <x14:cfvo type="num">
                <xm:f>1</xm:f>
              </x14:cfvo>
              <x14:borderColor theme="0"/>
              <x14:negativeFillColor rgb="FFFF0000"/>
              <x14:axisColor rgb="FF000000"/>
            </x14:dataBar>
          </x14:cfRule>
          <xm:sqref>AD2962 AD2964 AD2966 AD2968 AD2970 AD2972 AD2974 AD2976 AD2978 AD2980 AD2982 AD2984 AD2986 AD2988 AD2990 AD2992 AD2994 AD2996 AD2998 AD3000 AD3002 AD3004 AD3006 AD3008 AD3010 AD3012 AD3014 AD3016 AD3018 AD3020 AD3022 AD3024 AD3026 AD3028 AD3030 AD3032 AD3034 AD3036 AD3038 AD3040 AD3042 AD3044 AD3046 AD3048 AD3050 AD3052 AD3054 AD3056 AD3058</xm:sqref>
        </x14:conditionalFormatting>
        <x14:conditionalFormatting xmlns:xm="http://schemas.microsoft.com/office/excel/2006/main">
          <x14:cfRule type="dataBar" id="{2470FE42-057F-47B5-8F82-4B985A4E9E9B}">
            <x14:dataBar minLength="0" maxLength="100" border="1" gradient="0">
              <x14:cfvo type="num">
                <xm:f>0</xm:f>
              </x14:cfvo>
              <x14:cfvo type="num">
                <xm:f>1</xm:f>
              </x14:cfvo>
              <x14:borderColor theme="0"/>
              <x14:negativeFillColor rgb="FFFF0000"/>
              <x14:axisColor rgb="FF000000"/>
            </x14:dataBar>
          </x14:cfRule>
          <xm:sqref>AD3060</xm:sqref>
        </x14:conditionalFormatting>
        <x14:conditionalFormatting xmlns:xm="http://schemas.microsoft.com/office/excel/2006/main">
          <x14:cfRule type="dataBar" id="{453885F1-109F-4FAC-9762-411B0FB0B8C5}">
            <x14:dataBar minLength="0" maxLength="100" border="1" gradient="0">
              <x14:cfvo type="num">
                <xm:f>0</xm:f>
              </x14:cfvo>
              <x14:cfvo type="num">
                <xm:f>1</xm:f>
              </x14:cfvo>
              <x14:borderColor theme="0"/>
              <x14:negativeFillColor rgb="FFFF0000"/>
              <x14:axisColor rgb="FF000000"/>
            </x14:dataBar>
          </x14:cfRule>
          <xm:sqref>AD3063 AD3151 AD2856 AD2960 AD3101</xm:sqref>
        </x14:conditionalFormatting>
        <x14:conditionalFormatting xmlns:xm="http://schemas.microsoft.com/office/excel/2006/main">
          <x14:cfRule type="dataBar" id="{116D4AC3-E78C-4385-A067-EF50A318844B}">
            <x14:dataBar minLength="0" maxLength="100" border="1" gradient="0">
              <x14:cfvo type="num">
                <xm:f>0</xm:f>
              </x14:cfvo>
              <x14:cfvo type="num">
                <xm:f>1</xm:f>
              </x14:cfvo>
              <x14:borderColor theme="0"/>
              <x14:negativeFillColor rgb="FFFF0000"/>
              <x14:axisColor rgb="FF000000"/>
            </x14:dataBar>
          </x14:cfRule>
          <xm:sqref>AD3067 AD3065 AD3069 AD3071 AD3073 AD3075 AD3077 AD3079 AD3081 AD3083 AD3085 AD3087 AD3089</xm:sqref>
        </x14:conditionalFormatting>
        <x14:conditionalFormatting xmlns:xm="http://schemas.microsoft.com/office/excel/2006/main">
          <x14:cfRule type="dataBar" id="{AF9EA6E4-9D6B-4566-BF7C-4D6360DDC7AB}">
            <x14:dataBar minLength="0" maxLength="100" border="1" gradient="0">
              <x14:cfvo type="num">
                <xm:f>0</xm:f>
              </x14:cfvo>
              <x14:cfvo type="num">
                <xm:f>1</xm:f>
              </x14:cfvo>
              <x14:borderColor theme="0"/>
              <x14:negativeFillColor rgb="FFFF0000"/>
              <x14:axisColor rgb="FF000000"/>
            </x14:dataBar>
          </x14:cfRule>
          <xm:sqref>AD3091</xm:sqref>
        </x14:conditionalFormatting>
        <x14:conditionalFormatting xmlns:xm="http://schemas.microsoft.com/office/excel/2006/main">
          <x14:cfRule type="dataBar" id="{48C90BC4-6CA2-42C1-995E-3B2B8811191D}">
            <x14:dataBar minLength="0" maxLength="100" border="1" gradient="0">
              <x14:cfvo type="num">
                <xm:f>0</xm:f>
              </x14:cfvo>
              <x14:cfvo type="num">
                <xm:f>1</xm:f>
              </x14:cfvo>
              <x14:borderColor theme="0"/>
              <x14:negativeFillColor rgb="FFFF0000"/>
              <x14:axisColor rgb="FF000000"/>
            </x14:dataBar>
          </x14:cfRule>
          <xm:sqref>AD3093</xm:sqref>
        </x14:conditionalFormatting>
        <x14:conditionalFormatting xmlns:xm="http://schemas.microsoft.com/office/excel/2006/main">
          <x14:cfRule type="dataBar" id="{819C7034-3593-4F0D-9784-ED3A4AC50D6B}">
            <x14:dataBar minLength="0" maxLength="100" border="1" gradient="0">
              <x14:cfvo type="num">
                <xm:f>0</xm:f>
              </x14:cfvo>
              <x14:cfvo type="num">
                <xm:f>1</xm:f>
              </x14:cfvo>
              <x14:borderColor theme="0"/>
              <x14:negativeFillColor rgb="FFFF0000"/>
              <x14:axisColor rgb="FF000000"/>
            </x14:dataBar>
          </x14:cfRule>
          <xm:sqref>AD3095</xm:sqref>
        </x14:conditionalFormatting>
        <x14:conditionalFormatting xmlns:xm="http://schemas.microsoft.com/office/excel/2006/main">
          <x14:cfRule type="dataBar" id="{B2BAD3E9-6114-412E-9778-C8A35D903014}">
            <x14:dataBar minLength="0" maxLength="100" border="1" gradient="0">
              <x14:cfvo type="num">
                <xm:f>0</xm:f>
              </x14:cfvo>
              <x14:cfvo type="num">
                <xm:f>1</xm:f>
              </x14:cfvo>
              <x14:borderColor theme="0"/>
              <x14:negativeFillColor rgb="FFFF0000"/>
              <x14:axisColor rgb="FF000000"/>
            </x14:dataBar>
          </x14:cfRule>
          <xm:sqref>AD3097</xm:sqref>
        </x14:conditionalFormatting>
        <x14:conditionalFormatting xmlns:xm="http://schemas.microsoft.com/office/excel/2006/main">
          <x14:cfRule type="dataBar" id="{37D75F8B-A9E0-4C18-967C-03F0D22135DB}">
            <x14:dataBar minLength="0" maxLength="100" border="1" gradient="0">
              <x14:cfvo type="num">
                <xm:f>0</xm:f>
              </x14:cfvo>
              <x14:cfvo type="num">
                <xm:f>1</xm:f>
              </x14:cfvo>
              <x14:borderColor theme="0"/>
              <x14:negativeFillColor rgb="FFFF0000"/>
              <x14:axisColor rgb="FF000000"/>
            </x14:dataBar>
          </x14:cfRule>
          <xm:sqref>AD3105 AD3147 AD3103 AD3107 AD3109 AD3111 AD3113 AD3115 AD3117 AD3119 AD3121 AD3123 AD3125 AD3127 AD3129 AD3131 AD3133 AD3135 AD3137 AD3139 AD3141 AD3143 AD3145</xm:sqref>
        </x14:conditionalFormatting>
        <x14:conditionalFormatting xmlns:xm="http://schemas.microsoft.com/office/excel/2006/main">
          <x14:cfRule type="dataBar" id="{9DFE8FBA-83D6-4391-A004-DDDCCDC3A43F}">
            <x14:dataBar minLength="0" maxLength="100" border="1" gradient="0">
              <x14:cfvo type="num">
                <xm:f>0</xm:f>
              </x14:cfvo>
              <x14:cfvo type="num">
                <xm:f>1</xm:f>
              </x14:cfvo>
              <x14:borderColor theme="0"/>
              <x14:negativeFillColor rgb="FFFF0000"/>
              <x14:axisColor rgb="FF000000"/>
            </x14:dataBar>
          </x14:cfRule>
          <xm:sqref>AD3153 AD3155 AD3157 AD3159 AD3161 AD3163 AD3165 AD3167 AD3169 AD3171 AD3173 AD3175 AD3177 AD3179 AD3181 AD3183 AD3185 AD3187 AD3189 AD3191 AD3193 AD3195 AD3197 AD3199 AD3201 AD3203 AD3205 AD3207 AD3209 AD3211 AD3213 AD3215 AD3217 AD3219 AD3221</xm:sqref>
        </x14:conditionalFormatting>
        <x14:conditionalFormatting xmlns:xm="http://schemas.microsoft.com/office/excel/2006/main">
          <x14:cfRule type="dataBar" id="{A545ECB1-AAE2-424A-8CCE-53E923D810A9}">
            <x14:dataBar minLength="0" maxLength="100" border="1" gradient="0">
              <x14:cfvo type="num">
                <xm:f>0</xm:f>
              </x14:cfvo>
              <x14:cfvo type="num">
                <xm:f>1</xm:f>
              </x14:cfvo>
              <x14:borderColor theme="0"/>
              <x14:negativeFillColor rgb="FFFF0000"/>
              <x14:axisColor rgb="FF000000"/>
            </x14:dataBar>
          </x14:cfRule>
          <xm:sqref>AD3224</xm:sqref>
        </x14:conditionalFormatting>
        <x14:conditionalFormatting xmlns:xm="http://schemas.microsoft.com/office/excel/2006/main">
          <x14:cfRule type="dataBar" id="{503B200A-89A2-4B95-B33E-1801DD482EDE}">
            <x14:dataBar minLength="0" maxLength="100" border="1" gradient="0">
              <x14:cfvo type="num">
                <xm:f>0</xm:f>
              </x14:cfvo>
              <x14:cfvo type="num">
                <xm:f>1</xm:f>
              </x14:cfvo>
              <x14:borderColor theme="0"/>
              <x14:negativeFillColor rgb="FFFF0000"/>
              <x14:axisColor rgb="FF000000"/>
            </x14:dataBar>
          </x14:cfRule>
          <xm:sqref>AD3228</xm:sqref>
        </x14:conditionalFormatting>
        <x14:conditionalFormatting xmlns:xm="http://schemas.microsoft.com/office/excel/2006/main">
          <x14:cfRule type="dataBar" id="{65DADF06-E871-4669-9AAE-174701BCDBF1}">
            <x14:dataBar minLength="0" maxLength="100" border="1" gradient="0">
              <x14:cfvo type="num">
                <xm:f>0</xm:f>
              </x14:cfvo>
              <x14:cfvo type="num">
                <xm:f>1</xm:f>
              </x14:cfvo>
              <x14:borderColor theme="0"/>
              <x14:negativeFillColor rgb="FFFF0000"/>
              <x14:axisColor rgb="FF000000"/>
            </x14:dataBar>
          </x14:cfRule>
          <xm:sqref>AD3230</xm:sqref>
        </x14:conditionalFormatting>
        <x14:conditionalFormatting xmlns:xm="http://schemas.microsoft.com/office/excel/2006/main">
          <x14:cfRule type="dataBar" id="{1456FAF3-A2B8-4D47-B562-C5DD0482DAF0}">
            <x14:dataBar minLength="0" maxLength="100" border="1" gradient="0">
              <x14:cfvo type="num">
                <xm:f>0</xm:f>
              </x14:cfvo>
              <x14:cfvo type="num">
                <xm:f>1</xm:f>
              </x14:cfvo>
              <x14:borderColor theme="0"/>
              <x14:negativeFillColor rgb="FFFF0000"/>
              <x14:axisColor rgb="FF000000"/>
            </x14:dataBar>
          </x14:cfRule>
          <xm:sqref>AD3232 AD3234 AD3236 AD3238</xm:sqref>
        </x14:conditionalFormatting>
        <x14:conditionalFormatting xmlns:xm="http://schemas.microsoft.com/office/excel/2006/main">
          <x14:cfRule type="dataBar" id="{077835DF-7390-4E41-9BAF-0CE9178CE153}">
            <x14:dataBar minLength="0" maxLength="100" border="1" gradient="0">
              <x14:cfvo type="num">
                <xm:f>0</xm:f>
              </x14:cfvo>
              <x14:cfvo type="num">
                <xm:f>1</xm:f>
              </x14:cfvo>
              <x14:borderColor theme="0"/>
              <x14:negativeFillColor rgb="FFFF0000"/>
              <x14:axisColor rgb="FF000000"/>
            </x14:dataBar>
          </x14:cfRule>
          <xm:sqref>AD3240 AD3242 AD3244 AD3246 AD3248</xm:sqref>
        </x14:conditionalFormatting>
        <x14:conditionalFormatting xmlns:xm="http://schemas.microsoft.com/office/excel/2006/main">
          <x14:cfRule type="dataBar" id="{0E07C625-5EB7-44B0-9327-6E77DEB7260C}">
            <x14:dataBar minLength="0" maxLength="100" border="1" gradient="0">
              <x14:cfvo type="num">
                <xm:f>0</xm:f>
              </x14:cfvo>
              <x14:cfvo type="num">
                <xm:f>1</xm:f>
              </x14:cfvo>
              <x14:borderColor theme="0"/>
              <x14:negativeFillColor rgb="FFFF0000"/>
              <x14:axisColor rgb="FF000000"/>
            </x14:dataBar>
          </x14:cfRule>
          <xm:sqref>AD3252</xm:sqref>
        </x14:conditionalFormatting>
        <x14:conditionalFormatting xmlns:xm="http://schemas.microsoft.com/office/excel/2006/main">
          <x14:cfRule type="dataBar" id="{BDC30ECC-E8F3-47CF-89F2-43A24BF65F59}">
            <x14:dataBar minLength="0" maxLength="100" border="1" gradient="0">
              <x14:cfvo type="num">
                <xm:f>0</xm:f>
              </x14:cfvo>
              <x14:cfvo type="num">
                <xm:f>1</xm:f>
              </x14:cfvo>
              <x14:borderColor theme="0"/>
              <x14:negativeFillColor rgb="FFFF0000"/>
              <x14:axisColor rgb="FF000000"/>
            </x14:dataBar>
          </x14:cfRule>
          <xm:sqref>AD3254</xm:sqref>
        </x14:conditionalFormatting>
        <x14:conditionalFormatting xmlns:xm="http://schemas.microsoft.com/office/excel/2006/main">
          <x14:cfRule type="dataBar" id="{58F323BC-189D-4BA6-B0EB-E88327CB70BE}">
            <x14:dataBar minLength="0" maxLength="100" border="1" gradient="0">
              <x14:cfvo type="num">
                <xm:f>0</xm:f>
              </x14:cfvo>
              <x14:cfvo type="num">
                <xm:f>1</xm:f>
              </x14:cfvo>
              <x14:borderColor theme="0"/>
              <x14:negativeFillColor rgb="FFFF0000"/>
              <x14:axisColor rgb="FF000000"/>
            </x14:dataBar>
          </x14:cfRule>
          <xm:sqref>AD3256 AD3258 AD3260 AD3262 AD3264 AD3266 AD3268 AD3270 AD3272 AD3274</xm:sqref>
        </x14:conditionalFormatting>
        <x14:conditionalFormatting xmlns:xm="http://schemas.microsoft.com/office/excel/2006/main">
          <x14:cfRule type="dataBar" id="{14766161-FD81-4930-B173-B6F0BBF71448}">
            <x14:dataBar minLength="0" maxLength="100" border="1" gradient="0">
              <x14:cfvo type="num">
                <xm:f>0</xm:f>
              </x14:cfvo>
              <x14:cfvo type="num">
                <xm:f>1</xm:f>
              </x14:cfvo>
              <x14:borderColor theme="0"/>
              <x14:negativeFillColor rgb="FFFF0000"/>
              <x14:axisColor rgb="FF000000"/>
            </x14:dataBar>
          </x14:cfRule>
          <xm:sqref>AD3277</xm:sqref>
        </x14:conditionalFormatting>
        <x14:conditionalFormatting xmlns:xm="http://schemas.microsoft.com/office/excel/2006/main">
          <x14:cfRule type="dataBar" id="{B50A1B0B-FB14-4F54-A72A-91F07FEBA8F8}">
            <x14:dataBar minLength="0" maxLength="100" border="1" gradient="0">
              <x14:cfvo type="num">
                <xm:f>0</xm:f>
              </x14:cfvo>
              <x14:cfvo type="num">
                <xm:f>1</xm:f>
              </x14:cfvo>
              <x14:borderColor theme="0"/>
              <x14:negativeFillColor rgb="FFFF0000"/>
              <x14:axisColor rgb="FF000000"/>
            </x14:dataBar>
          </x14:cfRule>
          <xm:sqref>AD3279 AD3281 AD3283 AD3285</xm:sqref>
        </x14:conditionalFormatting>
        <x14:conditionalFormatting xmlns:xm="http://schemas.microsoft.com/office/excel/2006/main">
          <x14:cfRule type="dataBar" id="{8F2A29A9-165E-462B-95D2-12953EB332C2}">
            <x14:dataBar minLength="0" maxLength="100" border="1" gradient="0">
              <x14:cfvo type="num">
                <xm:f>0</xm:f>
              </x14:cfvo>
              <x14:cfvo type="num">
                <xm:f>1</xm:f>
              </x14:cfvo>
              <x14:borderColor theme="0"/>
              <x14:negativeFillColor rgb="FFFF0000"/>
              <x14:axisColor rgb="FF000000"/>
            </x14:dataBar>
          </x14:cfRule>
          <xm:sqref>AD3289</xm:sqref>
        </x14:conditionalFormatting>
        <x14:conditionalFormatting xmlns:xm="http://schemas.microsoft.com/office/excel/2006/main">
          <x14:cfRule type="dataBar" id="{6FC5EC3F-7002-4432-98E4-6F8C1CE94695}">
            <x14:dataBar minLength="0" maxLength="100" border="1" gradient="0">
              <x14:cfvo type="num">
                <xm:f>0</xm:f>
              </x14:cfvo>
              <x14:cfvo type="num">
                <xm:f>1</xm:f>
              </x14:cfvo>
              <x14:borderColor theme="0"/>
              <x14:negativeFillColor rgb="FFFF0000"/>
              <x14:axisColor rgb="FF000000"/>
            </x14:dataBar>
          </x14:cfRule>
          <xm:sqref>AD3291 AD3293 AD3295 AD3297 AD3299 AD3301 AD3303 AD3305</xm:sqref>
        </x14:conditionalFormatting>
        <x14:conditionalFormatting xmlns:xm="http://schemas.microsoft.com/office/excel/2006/main">
          <x14:cfRule type="dataBar" id="{85B967E6-2C9C-473E-A920-7DA9889CD56E}">
            <x14:dataBar minLength="0" maxLength="100" border="1" gradient="0">
              <x14:cfvo type="num">
                <xm:f>0</xm:f>
              </x14:cfvo>
              <x14:cfvo type="num">
                <xm:f>1</xm:f>
              </x14:cfvo>
              <x14:borderColor theme="0"/>
              <x14:negativeFillColor rgb="FFFF0000"/>
              <x14:axisColor rgb="FF000000"/>
            </x14:dataBar>
          </x14:cfRule>
          <xm:sqref>AD3309</xm:sqref>
        </x14:conditionalFormatting>
        <x14:conditionalFormatting xmlns:xm="http://schemas.microsoft.com/office/excel/2006/main">
          <x14:cfRule type="dataBar" id="{56A09B38-89BE-476A-98FC-E1EE8512AFC6}">
            <x14:dataBar minLength="0" maxLength="100" border="1" gradient="0">
              <x14:cfvo type="num">
                <xm:f>0</xm:f>
              </x14:cfvo>
              <x14:cfvo type="num">
                <xm:f>1</xm:f>
              </x14:cfvo>
              <x14:borderColor theme="0"/>
              <x14:negativeFillColor rgb="FFFF0000"/>
              <x14:axisColor rgb="FF000000"/>
            </x14:dataBar>
          </x14:cfRule>
          <xm:sqref>AD3311 AD3313 AD3315 AD3317 AD3319 AD3321</xm:sqref>
        </x14:conditionalFormatting>
        <x14:conditionalFormatting xmlns:xm="http://schemas.microsoft.com/office/excel/2006/main">
          <x14:cfRule type="dataBar" id="{39A01461-031F-4590-ACB1-ADB16BAD1780}">
            <x14:dataBar minLength="0" maxLength="100" border="1" gradient="0">
              <x14:cfvo type="num">
                <xm:f>0</xm:f>
              </x14:cfvo>
              <x14:cfvo type="num">
                <xm:f>1</xm:f>
              </x14:cfvo>
              <x14:borderColor theme="0"/>
              <x14:negativeFillColor rgb="FFFF0000"/>
              <x14:axisColor rgb="FF000000"/>
            </x14:dataBar>
          </x14:cfRule>
          <xm:sqref>AD3325</xm:sqref>
        </x14:conditionalFormatting>
        <x14:conditionalFormatting xmlns:xm="http://schemas.microsoft.com/office/excel/2006/main">
          <x14:cfRule type="dataBar" id="{A363DC0C-632A-40DD-A21A-9D6785982299}">
            <x14:dataBar minLength="0" maxLength="100" border="1" gradient="0">
              <x14:cfvo type="num">
                <xm:f>0</xm:f>
              </x14:cfvo>
              <x14:cfvo type="num">
                <xm:f>1</xm:f>
              </x14:cfvo>
              <x14:borderColor theme="0"/>
              <x14:negativeFillColor rgb="FFFF0000"/>
              <x14:axisColor rgb="FF000000"/>
            </x14:dataBar>
          </x14:cfRule>
          <xm:sqref>AD3329</xm:sqref>
        </x14:conditionalFormatting>
        <x14:conditionalFormatting xmlns:xm="http://schemas.microsoft.com/office/excel/2006/main">
          <x14:cfRule type="dataBar" id="{AC6D198F-0F26-4313-BCE3-5E3993257381}">
            <x14:dataBar minLength="0" maxLength="100" border="1" gradient="0">
              <x14:cfvo type="num">
                <xm:f>0</xm:f>
              </x14:cfvo>
              <x14:cfvo type="num">
                <xm:f>1</xm:f>
              </x14:cfvo>
              <x14:borderColor theme="0"/>
              <x14:negativeFillColor rgb="FFFF0000"/>
              <x14:axisColor rgb="FF000000"/>
            </x14:dataBar>
          </x14:cfRule>
          <xm:sqref>AD3331</xm:sqref>
        </x14:conditionalFormatting>
        <x14:conditionalFormatting xmlns:xm="http://schemas.microsoft.com/office/excel/2006/main">
          <x14:cfRule type="dataBar" id="{4D6E6594-0205-4FA1-9F2F-39307B8F04DE}">
            <x14:dataBar minLength="0" maxLength="100" border="1" gradient="0">
              <x14:cfvo type="num">
                <xm:f>0</xm:f>
              </x14:cfvo>
              <x14:cfvo type="num">
                <xm:f>1</xm:f>
              </x14:cfvo>
              <x14:borderColor theme="0"/>
              <x14:negativeFillColor rgb="FFFF0000"/>
              <x14:axisColor rgb="FF000000"/>
            </x14:dataBar>
          </x14:cfRule>
          <xm:sqref>AD3333</xm:sqref>
        </x14:conditionalFormatting>
        <x14:conditionalFormatting xmlns:xm="http://schemas.microsoft.com/office/excel/2006/main">
          <x14:cfRule type="dataBar" id="{309EFC29-76BA-4A47-B0A8-B4F6B3C6A171}">
            <x14:dataBar minLength="0" maxLength="100" border="1" gradient="0">
              <x14:cfvo type="num">
                <xm:f>0</xm:f>
              </x14:cfvo>
              <x14:cfvo type="num">
                <xm:f>1</xm:f>
              </x14:cfvo>
              <x14:borderColor theme="0"/>
              <x14:negativeFillColor rgb="FFFF0000"/>
              <x14:axisColor rgb="FF000000"/>
            </x14:dataBar>
          </x14:cfRule>
          <xm:sqref>AD3335</xm:sqref>
        </x14:conditionalFormatting>
        <x14:conditionalFormatting xmlns:xm="http://schemas.microsoft.com/office/excel/2006/main">
          <x14:cfRule type="dataBar" id="{240D8860-9557-4E8B-AFE6-7DF0CE50A41B}">
            <x14:dataBar minLength="0" maxLength="100" border="1" gradient="0">
              <x14:cfvo type="num">
                <xm:f>0</xm:f>
              </x14:cfvo>
              <x14:cfvo type="num">
                <xm:f>1</xm:f>
              </x14:cfvo>
              <x14:borderColor theme="0"/>
              <x14:negativeFillColor rgb="FFFF0000"/>
              <x14:axisColor rgb="FF000000"/>
            </x14:dataBar>
          </x14:cfRule>
          <xm:sqref>AD3337</xm:sqref>
        </x14:conditionalFormatting>
        <x14:conditionalFormatting xmlns:xm="http://schemas.microsoft.com/office/excel/2006/main">
          <x14:cfRule type="dataBar" id="{CB6C776A-C0BC-4E66-8D65-D7B280BC84CE}">
            <x14:dataBar minLength="0" maxLength="100" border="1" gradient="0">
              <x14:cfvo type="num">
                <xm:f>0</xm:f>
              </x14:cfvo>
              <x14:cfvo type="num">
                <xm:f>1</xm:f>
              </x14:cfvo>
              <x14:borderColor theme="0"/>
              <x14:negativeFillColor rgb="FFFF0000"/>
              <x14:axisColor rgb="FF000000"/>
            </x14:dataBar>
          </x14:cfRule>
          <xm:sqref>AD3339</xm:sqref>
        </x14:conditionalFormatting>
        <x14:conditionalFormatting xmlns:xm="http://schemas.microsoft.com/office/excel/2006/main">
          <x14:cfRule type="dataBar" id="{2F22C572-6231-4F57-AD97-035CCB41D489}">
            <x14:dataBar minLength="0" maxLength="100" border="1" gradient="0">
              <x14:cfvo type="num">
                <xm:f>0</xm:f>
              </x14:cfvo>
              <x14:cfvo type="num">
                <xm:f>1</xm:f>
              </x14:cfvo>
              <x14:borderColor theme="0"/>
              <x14:negativeFillColor rgb="FFFF0000"/>
              <x14:axisColor rgb="FF000000"/>
            </x14:dataBar>
          </x14:cfRule>
          <xm:sqref>AD3341</xm:sqref>
        </x14:conditionalFormatting>
        <x14:conditionalFormatting xmlns:xm="http://schemas.microsoft.com/office/excel/2006/main">
          <x14:cfRule type="dataBar" id="{38BAF692-9308-4BC7-ABF1-D50ED5A1A4A5}">
            <x14:dataBar minLength="0" maxLength="100" border="1" gradient="0">
              <x14:cfvo type="num">
                <xm:f>0</xm:f>
              </x14:cfvo>
              <x14:cfvo type="num">
                <xm:f>1</xm:f>
              </x14:cfvo>
              <x14:borderColor theme="0"/>
              <x14:negativeFillColor rgb="FFFF0000"/>
              <x14:axisColor rgb="FF000000"/>
            </x14:dataBar>
          </x14:cfRule>
          <xm:sqref>AD3343</xm:sqref>
        </x14:conditionalFormatting>
        <x14:conditionalFormatting xmlns:xm="http://schemas.microsoft.com/office/excel/2006/main">
          <x14:cfRule type="dataBar" id="{03E4B71F-37F9-48CC-B655-9B9ACBA02F0C}">
            <x14:dataBar minLength="0" maxLength="100" border="1" gradient="0">
              <x14:cfvo type="num">
                <xm:f>0</xm:f>
              </x14:cfvo>
              <x14:cfvo type="num">
                <xm:f>1</xm:f>
              </x14:cfvo>
              <x14:borderColor theme="0"/>
              <x14:negativeFillColor rgb="FFFF0000"/>
              <x14:axisColor rgb="FF000000"/>
            </x14:dataBar>
          </x14:cfRule>
          <xm:sqref>AD3345</xm:sqref>
        </x14:conditionalFormatting>
        <x14:conditionalFormatting xmlns:xm="http://schemas.microsoft.com/office/excel/2006/main">
          <x14:cfRule type="dataBar" id="{C5B2B864-579E-4107-ABFB-0272E8DC51AD}">
            <x14:dataBar minLength="0" maxLength="100" border="1" gradient="0">
              <x14:cfvo type="num">
                <xm:f>0</xm:f>
              </x14:cfvo>
              <x14:cfvo type="num">
                <xm:f>1</xm:f>
              </x14:cfvo>
              <x14:borderColor theme="0"/>
              <x14:negativeFillColor rgb="FFFF0000"/>
              <x14:axisColor rgb="FF000000"/>
            </x14:dataBar>
          </x14:cfRule>
          <xm:sqref>AD3347</xm:sqref>
        </x14:conditionalFormatting>
        <x14:conditionalFormatting xmlns:xm="http://schemas.microsoft.com/office/excel/2006/main">
          <x14:cfRule type="dataBar" id="{2EB6FF14-2CD8-4320-9A60-407F285791FF}">
            <x14:dataBar minLength="0" maxLength="100" border="1" gradient="0">
              <x14:cfvo type="num">
                <xm:f>0</xm:f>
              </x14:cfvo>
              <x14:cfvo type="num">
                <xm:f>1</xm:f>
              </x14:cfvo>
              <x14:borderColor theme="0"/>
              <x14:negativeFillColor rgb="FFFF0000"/>
              <x14:axisColor rgb="FF000000"/>
            </x14:dataBar>
          </x14:cfRule>
          <xm:sqref>AD3350</xm:sqref>
        </x14:conditionalFormatting>
        <x14:conditionalFormatting xmlns:xm="http://schemas.microsoft.com/office/excel/2006/main">
          <x14:cfRule type="dataBar" id="{EFC544E9-D594-4752-A77B-D8ECDACDCFBD}">
            <x14:dataBar minLength="0" maxLength="100" border="1" gradient="0">
              <x14:cfvo type="num">
                <xm:f>0</xm:f>
              </x14:cfvo>
              <x14:cfvo type="num">
                <xm:f>1</xm:f>
              </x14:cfvo>
              <x14:borderColor theme="0"/>
              <x14:negativeFillColor rgb="FFFF0000"/>
              <x14:axisColor rgb="FF000000"/>
            </x14:dataBar>
          </x14:cfRule>
          <xm:sqref>AD3352</xm:sqref>
        </x14:conditionalFormatting>
        <x14:conditionalFormatting xmlns:xm="http://schemas.microsoft.com/office/excel/2006/main">
          <x14:cfRule type="dataBar" id="{223FA341-2FFE-495A-94BD-DD13366504D2}">
            <x14:dataBar minLength="0" maxLength="100" border="1" gradient="0">
              <x14:cfvo type="num">
                <xm:f>0</xm:f>
              </x14:cfvo>
              <x14:cfvo type="num">
                <xm:f>1</xm:f>
              </x14:cfvo>
              <x14:borderColor theme="0"/>
              <x14:negativeFillColor rgb="FFFF0000"/>
              <x14:axisColor rgb="FF000000"/>
            </x14:dataBar>
          </x14:cfRule>
          <xm:sqref>AD3354</xm:sqref>
        </x14:conditionalFormatting>
        <x14:conditionalFormatting xmlns:xm="http://schemas.microsoft.com/office/excel/2006/main">
          <x14:cfRule type="dataBar" id="{844EA8D7-A9BE-48F4-BFB5-CD7E1A78F836}">
            <x14:dataBar minLength="0" maxLength="100" border="1" gradient="0">
              <x14:cfvo type="num">
                <xm:f>0</xm:f>
              </x14:cfvo>
              <x14:cfvo type="num">
                <xm:f>1</xm:f>
              </x14:cfvo>
              <x14:borderColor theme="0"/>
              <x14:negativeFillColor rgb="FFFF0000"/>
              <x14:axisColor rgb="FF000000"/>
            </x14:dataBar>
          </x14:cfRule>
          <xm:sqref>AD3356</xm:sqref>
        </x14:conditionalFormatting>
        <x14:conditionalFormatting xmlns:xm="http://schemas.microsoft.com/office/excel/2006/main">
          <x14:cfRule type="dataBar" id="{49D2EBFD-EB44-40F8-8B19-1690CD5EF784}">
            <x14:dataBar minLength="0" maxLength="100" border="1" gradient="0">
              <x14:cfvo type="num">
                <xm:f>0</xm:f>
              </x14:cfvo>
              <x14:cfvo type="num">
                <xm:f>1</xm:f>
              </x14:cfvo>
              <x14:borderColor theme="0"/>
              <x14:negativeFillColor rgb="FFFF0000"/>
              <x14:axisColor rgb="FF000000"/>
            </x14:dataBar>
          </x14:cfRule>
          <xm:sqref>AD3358</xm:sqref>
        </x14:conditionalFormatting>
        <x14:conditionalFormatting xmlns:xm="http://schemas.microsoft.com/office/excel/2006/main">
          <x14:cfRule type="dataBar" id="{B2067F0D-F525-47AB-A3CC-0951436BBC31}">
            <x14:dataBar minLength="0" maxLength="100" border="1" gradient="0">
              <x14:cfvo type="num">
                <xm:f>0</xm:f>
              </x14:cfvo>
              <x14:cfvo type="num">
                <xm:f>1</xm:f>
              </x14:cfvo>
              <x14:borderColor theme="0"/>
              <x14:negativeFillColor rgb="FFFF0000"/>
              <x14:axisColor rgb="FF000000"/>
            </x14:dataBar>
          </x14:cfRule>
          <xm:sqref>AD3360</xm:sqref>
        </x14:conditionalFormatting>
        <x14:conditionalFormatting xmlns:xm="http://schemas.microsoft.com/office/excel/2006/main">
          <x14:cfRule type="dataBar" id="{A0D4E2EC-DA05-45C9-B85C-4E4DAE2F8B70}">
            <x14:dataBar minLength="0" maxLength="100" border="1" gradient="0">
              <x14:cfvo type="num">
                <xm:f>0</xm:f>
              </x14:cfvo>
              <x14:cfvo type="num">
                <xm:f>1</xm:f>
              </x14:cfvo>
              <x14:borderColor theme="0"/>
              <x14:negativeFillColor rgb="FFFF0000"/>
              <x14:axisColor rgb="FF000000"/>
            </x14:dataBar>
          </x14:cfRule>
          <xm:sqref>AD3362</xm:sqref>
        </x14:conditionalFormatting>
        <x14:conditionalFormatting xmlns:xm="http://schemas.microsoft.com/office/excel/2006/main">
          <x14:cfRule type="dataBar" id="{8D5C3A54-9A5D-4215-B34C-5F9F65BAB55E}">
            <x14:dataBar minLength="0" maxLength="100" border="1" gradient="0">
              <x14:cfvo type="num">
                <xm:f>0</xm:f>
              </x14:cfvo>
              <x14:cfvo type="num">
                <xm:f>1</xm:f>
              </x14:cfvo>
              <x14:borderColor theme="0"/>
              <x14:negativeFillColor rgb="FFFF0000"/>
              <x14:axisColor rgb="FF000000"/>
            </x14:dataBar>
          </x14:cfRule>
          <xm:sqref>AD3365</xm:sqref>
        </x14:conditionalFormatting>
        <x14:conditionalFormatting xmlns:xm="http://schemas.microsoft.com/office/excel/2006/main">
          <x14:cfRule type="dataBar" id="{30B4476B-5CE5-41F0-A8AF-7F5637F3D0C4}">
            <x14:dataBar minLength="0" maxLength="100" border="1" gradient="0">
              <x14:cfvo type="num">
                <xm:f>0</xm:f>
              </x14:cfvo>
              <x14:cfvo type="num">
                <xm:f>1</xm:f>
              </x14:cfvo>
              <x14:borderColor theme="0"/>
              <x14:negativeFillColor rgb="FFFF0000"/>
              <x14:axisColor rgb="FF000000"/>
            </x14:dataBar>
          </x14:cfRule>
          <xm:sqref>AD3367</xm:sqref>
        </x14:conditionalFormatting>
        <x14:conditionalFormatting xmlns:xm="http://schemas.microsoft.com/office/excel/2006/main">
          <x14:cfRule type="dataBar" id="{0082C42F-0716-46A6-80B0-5F8080CF0CB5}">
            <x14:dataBar minLength="0" maxLength="100" border="1" gradient="0">
              <x14:cfvo type="num">
                <xm:f>0</xm:f>
              </x14:cfvo>
              <x14:cfvo type="num">
                <xm:f>1</xm:f>
              </x14:cfvo>
              <x14:borderColor theme="0"/>
              <x14:negativeFillColor rgb="FFFF0000"/>
              <x14:axisColor rgb="FF000000"/>
            </x14:dataBar>
          </x14:cfRule>
          <xm:sqref>AD3369</xm:sqref>
        </x14:conditionalFormatting>
        <x14:conditionalFormatting xmlns:xm="http://schemas.microsoft.com/office/excel/2006/main">
          <x14:cfRule type="dataBar" id="{95B9DB5F-0D43-4EF3-B6CB-9A6783DA10F8}">
            <x14:dataBar minLength="0" maxLength="100" border="1" gradient="0">
              <x14:cfvo type="num">
                <xm:f>0</xm:f>
              </x14:cfvo>
              <x14:cfvo type="num">
                <xm:f>1</xm:f>
              </x14:cfvo>
              <x14:borderColor theme="0"/>
              <x14:negativeFillColor rgb="FFFF0000"/>
              <x14:axisColor rgb="FF000000"/>
            </x14:dataBar>
          </x14:cfRule>
          <xm:sqref>AD3371</xm:sqref>
        </x14:conditionalFormatting>
        <x14:conditionalFormatting xmlns:xm="http://schemas.microsoft.com/office/excel/2006/main">
          <x14:cfRule type="dataBar" id="{71C8A2D8-318F-4CA1-AE1A-2C3F460CDE34}">
            <x14:dataBar minLength="0" maxLength="100" border="1" gradient="0">
              <x14:cfvo type="num">
                <xm:f>0</xm:f>
              </x14:cfvo>
              <x14:cfvo type="num">
                <xm:f>1</xm:f>
              </x14:cfvo>
              <x14:borderColor theme="0"/>
              <x14:negativeFillColor rgb="FFFF0000"/>
              <x14:axisColor rgb="FF000000"/>
            </x14:dataBar>
          </x14:cfRule>
          <xm:sqref>AD3373</xm:sqref>
        </x14:conditionalFormatting>
        <x14:conditionalFormatting xmlns:xm="http://schemas.microsoft.com/office/excel/2006/main">
          <x14:cfRule type="dataBar" id="{48C9DD6D-312F-49C0-95C4-413D1BD4E39B}">
            <x14:dataBar minLength="0" maxLength="100" border="1" gradient="0">
              <x14:cfvo type="num">
                <xm:f>0</xm:f>
              </x14:cfvo>
              <x14:cfvo type="num">
                <xm:f>1</xm:f>
              </x14:cfvo>
              <x14:borderColor theme="0"/>
              <x14:negativeFillColor rgb="FFFF0000"/>
              <x14:axisColor rgb="FF000000"/>
            </x14:dataBar>
          </x14:cfRule>
          <xm:sqref>AD3377</xm:sqref>
        </x14:conditionalFormatting>
        <x14:conditionalFormatting xmlns:xm="http://schemas.microsoft.com/office/excel/2006/main">
          <x14:cfRule type="dataBar" id="{FB5C1556-F585-475E-8B54-F7FA68E2FB59}">
            <x14:dataBar minLength="0" maxLength="100" border="1" gradient="0">
              <x14:cfvo type="num">
                <xm:f>0</xm:f>
              </x14:cfvo>
              <x14:cfvo type="num">
                <xm:f>1</xm:f>
              </x14:cfvo>
              <x14:borderColor theme="0"/>
              <x14:negativeFillColor rgb="FFFF0000"/>
              <x14:axisColor rgb="FF000000"/>
            </x14:dataBar>
          </x14:cfRule>
          <xm:sqref>AD3381</xm:sqref>
        </x14:conditionalFormatting>
        <x14:conditionalFormatting xmlns:xm="http://schemas.microsoft.com/office/excel/2006/main">
          <x14:cfRule type="dataBar" id="{0297830D-0B13-43C3-886A-503B1CFDDEFD}">
            <x14:dataBar minLength="0" maxLength="100" border="1" gradient="0">
              <x14:cfvo type="num">
                <xm:f>0</xm:f>
              </x14:cfvo>
              <x14:cfvo type="num">
                <xm:f>1</xm:f>
              </x14:cfvo>
              <x14:borderColor theme="0"/>
              <x14:negativeFillColor rgb="FFFF0000"/>
              <x14:axisColor rgb="FF000000"/>
            </x14:dataBar>
          </x14:cfRule>
          <xm:sqref>AD3383 AD3385 AD3387 AD3389</xm:sqref>
        </x14:conditionalFormatting>
        <x14:conditionalFormatting xmlns:xm="http://schemas.microsoft.com/office/excel/2006/main">
          <x14:cfRule type="dataBar" id="{9E4C3B97-2EB1-4054-9C37-1652AE5FA1AA}">
            <x14:dataBar minLength="0" maxLength="100" border="1" gradient="0">
              <x14:cfvo type="num">
                <xm:f>0</xm:f>
              </x14:cfvo>
              <x14:cfvo type="num">
                <xm:f>1</xm:f>
              </x14:cfvo>
              <x14:borderColor theme="0"/>
              <x14:negativeFillColor rgb="FFFF0000"/>
              <x14:axisColor rgb="FF000000"/>
            </x14:dataBar>
          </x14:cfRule>
          <xm:sqref>AD3391 AD3393 AD3395</xm:sqref>
        </x14:conditionalFormatting>
        <x14:conditionalFormatting xmlns:xm="http://schemas.microsoft.com/office/excel/2006/main">
          <x14:cfRule type="dataBar" id="{A4564889-86FC-4EDD-9D32-A682AB6C0C53}">
            <x14:dataBar minLength="0" maxLength="100" border="1" gradient="0">
              <x14:cfvo type="num">
                <xm:f>0</xm:f>
              </x14:cfvo>
              <x14:cfvo type="num">
                <xm:f>1</xm:f>
              </x14:cfvo>
              <x14:borderColor theme="0"/>
              <x14:negativeFillColor rgb="FFFF0000"/>
              <x14:axisColor rgb="FF000000"/>
            </x14:dataBar>
          </x14:cfRule>
          <xm:sqref>AD3397</xm:sqref>
        </x14:conditionalFormatting>
        <x14:conditionalFormatting xmlns:xm="http://schemas.microsoft.com/office/excel/2006/main">
          <x14:cfRule type="dataBar" id="{25250380-485F-4499-B8BF-2B6E9861DE38}">
            <x14:dataBar minLength="0" maxLength="100" border="1" gradient="0">
              <x14:cfvo type="num">
                <xm:f>0</xm:f>
              </x14:cfvo>
              <x14:cfvo type="num">
                <xm:f>1</xm:f>
              </x14:cfvo>
              <x14:borderColor theme="0"/>
              <x14:negativeFillColor rgb="FFFF0000"/>
              <x14:axisColor rgb="FF000000"/>
            </x14:dataBar>
          </x14:cfRule>
          <xm:sqref>AD3399</xm:sqref>
        </x14:conditionalFormatting>
        <x14:conditionalFormatting xmlns:xm="http://schemas.microsoft.com/office/excel/2006/main">
          <x14:cfRule type="dataBar" id="{61ED3BF6-5B74-49BA-ABBF-79A7183F2625}">
            <x14:dataBar minLength="0" maxLength="100" border="1" gradient="0">
              <x14:cfvo type="num">
                <xm:f>0</xm:f>
              </x14:cfvo>
              <x14:cfvo type="num">
                <xm:f>1</xm:f>
              </x14:cfvo>
              <x14:borderColor theme="0"/>
              <x14:negativeFillColor rgb="FFFF0000"/>
              <x14:axisColor rgb="FF000000"/>
            </x14:dataBar>
          </x14:cfRule>
          <xm:sqref>AD3401</xm:sqref>
        </x14:conditionalFormatting>
        <x14:conditionalFormatting xmlns:xm="http://schemas.microsoft.com/office/excel/2006/main">
          <x14:cfRule type="dataBar" id="{1D0F55D9-F3DD-4484-B94D-9B7B9C309847}">
            <x14:dataBar minLength="0" maxLength="100" border="1" gradient="0">
              <x14:cfvo type="num">
                <xm:f>0</xm:f>
              </x14:cfvo>
              <x14:cfvo type="num">
                <xm:f>1</xm:f>
              </x14:cfvo>
              <x14:borderColor theme="0"/>
              <x14:negativeFillColor rgb="FFFF0000"/>
              <x14:axisColor rgb="FF000000"/>
            </x14:dataBar>
          </x14:cfRule>
          <xm:sqref>AD3403</xm:sqref>
        </x14:conditionalFormatting>
        <x14:conditionalFormatting xmlns:xm="http://schemas.microsoft.com/office/excel/2006/main">
          <x14:cfRule type="dataBar" id="{D68641A4-A8B3-4056-9629-447924BC290F}">
            <x14:dataBar minLength="0" maxLength="100" border="1" gradient="0">
              <x14:cfvo type="num">
                <xm:f>0</xm:f>
              </x14:cfvo>
              <x14:cfvo type="num">
                <xm:f>1</xm:f>
              </x14:cfvo>
              <x14:borderColor theme="0"/>
              <x14:negativeFillColor rgb="FFFF0000"/>
              <x14:axisColor rgb="FF000000"/>
            </x14:dataBar>
          </x14:cfRule>
          <xm:sqref>AD3405</xm:sqref>
        </x14:conditionalFormatting>
        <x14:conditionalFormatting xmlns:xm="http://schemas.microsoft.com/office/excel/2006/main">
          <x14:cfRule type="dataBar" id="{F3FDCA04-6BF7-420F-8B06-F357CEEA2DC1}">
            <x14:dataBar minLength="0" maxLength="100" border="1" gradient="0">
              <x14:cfvo type="num">
                <xm:f>0</xm:f>
              </x14:cfvo>
              <x14:cfvo type="num">
                <xm:f>1</xm:f>
              </x14:cfvo>
              <x14:borderColor theme="0"/>
              <x14:negativeFillColor rgb="FFFF0000"/>
              <x14:axisColor rgb="FF000000"/>
            </x14:dataBar>
          </x14:cfRule>
          <xm:sqref>AD3407</xm:sqref>
        </x14:conditionalFormatting>
        <x14:conditionalFormatting xmlns:xm="http://schemas.microsoft.com/office/excel/2006/main">
          <x14:cfRule type="dataBar" id="{C4E30B05-214F-4663-8D09-7AB0176F44F6}">
            <x14:dataBar minLength="0" maxLength="100" border="1" gradient="0">
              <x14:cfvo type="num">
                <xm:f>0</xm:f>
              </x14:cfvo>
              <x14:cfvo type="num">
                <xm:f>1</xm:f>
              </x14:cfvo>
              <x14:borderColor theme="0"/>
              <x14:negativeFillColor rgb="FFFF0000"/>
              <x14:axisColor rgb="FF000000"/>
            </x14:dataBar>
          </x14:cfRule>
          <xm:sqref>AD3409</xm:sqref>
        </x14:conditionalFormatting>
        <x14:conditionalFormatting xmlns:xm="http://schemas.microsoft.com/office/excel/2006/main">
          <x14:cfRule type="dataBar" id="{217107F2-A93C-4E4D-A5F4-AD6EFDEB2485}">
            <x14:dataBar minLength="0" maxLength="100" border="1" gradient="0">
              <x14:cfvo type="num">
                <xm:f>0</xm:f>
              </x14:cfvo>
              <x14:cfvo type="num">
                <xm:f>1</xm:f>
              </x14:cfvo>
              <x14:borderColor theme="0"/>
              <x14:negativeFillColor rgb="FFFF0000"/>
              <x14:axisColor rgb="FF000000"/>
            </x14:dataBar>
          </x14:cfRule>
          <xm:sqref>AD3411</xm:sqref>
        </x14:conditionalFormatting>
        <x14:conditionalFormatting xmlns:xm="http://schemas.microsoft.com/office/excel/2006/main">
          <x14:cfRule type="dataBar" id="{85737507-F36E-4B25-AA85-2B75164AAC3C}">
            <x14:dataBar minLength="0" maxLength="100" border="1" gradient="0">
              <x14:cfvo type="num">
                <xm:f>0</xm:f>
              </x14:cfvo>
              <x14:cfvo type="num">
                <xm:f>1</xm:f>
              </x14:cfvo>
              <x14:borderColor theme="0"/>
              <x14:negativeFillColor rgb="FFFF0000"/>
              <x14:axisColor rgb="FF000000"/>
            </x14:dataBar>
          </x14:cfRule>
          <xm:sqref>AD3413</xm:sqref>
        </x14:conditionalFormatting>
        <x14:conditionalFormatting xmlns:xm="http://schemas.microsoft.com/office/excel/2006/main">
          <x14:cfRule type="dataBar" id="{4BF89161-8104-4D36-9974-3ED5D9FC1F20}">
            <x14:dataBar minLength="0" maxLength="100" border="1" gradient="0">
              <x14:cfvo type="num">
                <xm:f>0</xm:f>
              </x14:cfvo>
              <x14:cfvo type="num">
                <xm:f>1</xm:f>
              </x14:cfvo>
              <x14:borderColor theme="0"/>
              <x14:negativeFillColor rgb="FFFF0000"/>
              <x14:axisColor rgb="FF000000"/>
            </x14:dataBar>
          </x14:cfRule>
          <xm:sqref>AD3416</xm:sqref>
        </x14:conditionalFormatting>
        <x14:conditionalFormatting xmlns:xm="http://schemas.microsoft.com/office/excel/2006/main">
          <x14:cfRule type="dataBar" id="{58C108A1-AFD1-435D-9F5F-000F07B539C3}">
            <x14:dataBar minLength="0" maxLength="100" border="1" gradient="0">
              <x14:cfvo type="num">
                <xm:f>0</xm:f>
              </x14:cfvo>
              <x14:cfvo type="num">
                <xm:f>1</xm:f>
              </x14:cfvo>
              <x14:borderColor theme="0"/>
              <x14:negativeFillColor rgb="FFFF0000"/>
              <x14:axisColor rgb="FF000000"/>
            </x14:dataBar>
          </x14:cfRule>
          <xm:sqref>AD3418</xm:sqref>
        </x14:conditionalFormatting>
        <x14:conditionalFormatting xmlns:xm="http://schemas.microsoft.com/office/excel/2006/main">
          <x14:cfRule type="dataBar" id="{3E040417-ABAA-41CE-A553-0740DD254092}">
            <x14:dataBar minLength="0" maxLength="100" border="1" gradient="0">
              <x14:cfvo type="num">
                <xm:f>0</xm:f>
              </x14:cfvo>
              <x14:cfvo type="num">
                <xm:f>1</xm:f>
              </x14:cfvo>
              <x14:borderColor theme="0"/>
              <x14:negativeFillColor rgb="FFFF0000"/>
              <x14:axisColor rgb="FF000000"/>
            </x14:dataBar>
          </x14:cfRule>
          <xm:sqref>AD3420</xm:sqref>
        </x14:conditionalFormatting>
        <x14:conditionalFormatting xmlns:xm="http://schemas.microsoft.com/office/excel/2006/main">
          <x14:cfRule type="dataBar" id="{B6A7EA7E-6599-4B18-A998-F69941C38607}">
            <x14:dataBar minLength="0" maxLength="100" border="1" gradient="0">
              <x14:cfvo type="num">
                <xm:f>0</xm:f>
              </x14:cfvo>
              <x14:cfvo type="num">
                <xm:f>1</xm:f>
              </x14:cfvo>
              <x14:borderColor theme="0"/>
              <x14:negativeFillColor rgb="FFFF0000"/>
              <x14:axisColor rgb="FF000000"/>
            </x14:dataBar>
          </x14:cfRule>
          <xm:sqref>AD3422</xm:sqref>
        </x14:conditionalFormatting>
        <x14:conditionalFormatting xmlns:xm="http://schemas.microsoft.com/office/excel/2006/main">
          <x14:cfRule type="dataBar" id="{0126011B-8FFA-45CC-B32C-AE1DA5162FDC}">
            <x14:dataBar minLength="0" maxLength="100" border="1" gradient="0">
              <x14:cfvo type="num">
                <xm:f>0</xm:f>
              </x14:cfvo>
              <x14:cfvo type="num">
                <xm:f>1</xm:f>
              </x14:cfvo>
              <x14:borderColor theme="0"/>
              <x14:negativeFillColor rgb="FFFF0000"/>
              <x14:axisColor rgb="FF000000"/>
            </x14:dataBar>
          </x14:cfRule>
          <xm:sqref>AD3424</xm:sqref>
        </x14:conditionalFormatting>
        <x14:conditionalFormatting xmlns:xm="http://schemas.microsoft.com/office/excel/2006/main">
          <x14:cfRule type="dataBar" id="{901E47D4-8816-4736-9485-B7EC3B4B8704}">
            <x14:dataBar minLength="0" maxLength="100" border="1" gradient="0">
              <x14:cfvo type="num">
                <xm:f>0</xm:f>
              </x14:cfvo>
              <x14:cfvo type="num">
                <xm:f>1</xm:f>
              </x14:cfvo>
              <x14:borderColor theme="0"/>
              <x14:negativeFillColor rgb="FFFF0000"/>
              <x14:axisColor rgb="FF000000"/>
            </x14:dataBar>
          </x14:cfRule>
          <xm:sqref>AD3426</xm:sqref>
        </x14:conditionalFormatting>
        <x14:conditionalFormatting xmlns:xm="http://schemas.microsoft.com/office/excel/2006/main">
          <x14:cfRule type="dataBar" id="{AC2DF999-B39C-4CC1-97DA-5C8121FE0754}">
            <x14:dataBar minLength="0" maxLength="100" border="1" gradient="0">
              <x14:cfvo type="num">
                <xm:f>0</xm:f>
              </x14:cfvo>
              <x14:cfvo type="num">
                <xm:f>1</xm:f>
              </x14:cfvo>
              <x14:borderColor theme="0"/>
              <x14:negativeFillColor rgb="FFFF0000"/>
              <x14:axisColor rgb="FF000000"/>
            </x14:dataBar>
          </x14:cfRule>
          <xm:sqref>AD3428</xm:sqref>
        </x14:conditionalFormatting>
        <x14:conditionalFormatting xmlns:xm="http://schemas.microsoft.com/office/excel/2006/main">
          <x14:cfRule type="dataBar" id="{68C8F483-8842-4C48-800F-4A1F274AE54D}">
            <x14:dataBar minLength="0" maxLength="100" border="1" gradient="0">
              <x14:cfvo type="num">
                <xm:f>0</xm:f>
              </x14:cfvo>
              <x14:cfvo type="num">
                <xm:f>1</xm:f>
              </x14:cfvo>
              <x14:borderColor theme="0"/>
              <x14:negativeFillColor rgb="FFFF0000"/>
              <x14:axisColor rgb="FF000000"/>
            </x14:dataBar>
          </x14:cfRule>
          <xm:sqref>AD3430</xm:sqref>
        </x14:conditionalFormatting>
        <x14:conditionalFormatting xmlns:xm="http://schemas.microsoft.com/office/excel/2006/main">
          <x14:cfRule type="dataBar" id="{2B86AB0D-A61C-4BC3-AAFA-C16B5881DFFB}">
            <x14:dataBar minLength="0" maxLength="100" border="1" gradient="0">
              <x14:cfvo type="num">
                <xm:f>0</xm:f>
              </x14:cfvo>
              <x14:cfvo type="num">
                <xm:f>1</xm:f>
              </x14:cfvo>
              <x14:borderColor theme="0"/>
              <x14:negativeFillColor rgb="FFFF0000"/>
              <x14:axisColor rgb="FF000000"/>
            </x14:dataBar>
          </x14:cfRule>
          <xm:sqref>AD3432</xm:sqref>
        </x14:conditionalFormatting>
        <x14:conditionalFormatting xmlns:xm="http://schemas.microsoft.com/office/excel/2006/main">
          <x14:cfRule type="dataBar" id="{78DDFF8F-40C5-4C36-AC12-955B55EF0443}">
            <x14:dataBar minLength="0" maxLength="100" border="1" gradient="0">
              <x14:cfvo type="num">
                <xm:f>0</xm:f>
              </x14:cfvo>
              <x14:cfvo type="num">
                <xm:f>1</xm:f>
              </x14:cfvo>
              <x14:borderColor theme="0"/>
              <x14:negativeFillColor rgb="FFFF0000"/>
              <x14:axisColor rgb="FF000000"/>
            </x14:dataBar>
          </x14:cfRule>
          <xm:sqref>AD3434</xm:sqref>
        </x14:conditionalFormatting>
        <x14:conditionalFormatting xmlns:xm="http://schemas.microsoft.com/office/excel/2006/main">
          <x14:cfRule type="dataBar" id="{628CE174-C737-4F62-BFF0-22D14EC77966}">
            <x14:dataBar minLength="0" maxLength="100" border="1" gradient="0">
              <x14:cfvo type="num">
                <xm:f>0</xm:f>
              </x14:cfvo>
              <x14:cfvo type="num">
                <xm:f>1</xm:f>
              </x14:cfvo>
              <x14:borderColor theme="0"/>
              <x14:negativeFillColor rgb="FFFF0000"/>
              <x14:axisColor rgb="FF000000"/>
            </x14:dataBar>
          </x14:cfRule>
          <xm:sqref>AD3436</xm:sqref>
        </x14:conditionalFormatting>
        <x14:conditionalFormatting xmlns:xm="http://schemas.microsoft.com/office/excel/2006/main">
          <x14:cfRule type="dataBar" id="{1BBF186A-B270-4016-B319-99FE93BDD071}">
            <x14:dataBar minLength="0" maxLength="100" border="1" gradient="0">
              <x14:cfvo type="num">
                <xm:f>0</xm:f>
              </x14:cfvo>
              <x14:cfvo type="num">
                <xm:f>1</xm:f>
              </x14:cfvo>
              <x14:borderColor theme="0"/>
              <x14:negativeFillColor rgb="FFFF0000"/>
              <x14:axisColor rgb="FF000000"/>
            </x14:dataBar>
          </x14:cfRule>
          <xm:sqref>AD3438</xm:sqref>
        </x14:conditionalFormatting>
        <x14:conditionalFormatting xmlns:xm="http://schemas.microsoft.com/office/excel/2006/main">
          <x14:cfRule type="dataBar" id="{274174E7-038A-4E16-A0F1-374159D3CAA3}">
            <x14:dataBar minLength="0" maxLength="100" border="1" gradient="0">
              <x14:cfvo type="num">
                <xm:f>0</xm:f>
              </x14:cfvo>
              <x14:cfvo type="num">
                <xm:f>1</xm:f>
              </x14:cfvo>
              <x14:borderColor theme="0"/>
              <x14:negativeFillColor rgb="FFFF0000"/>
              <x14:axisColor rgb="FF000000"/>
            </x14:dataBar>
          </x14:cfRule>
          <xm:sqref>AD3440</xm:sqref>
        </x14:conditionalFormatting>
        <x14:conditionalFormatting xmlns:xm="http://schemas.microsoft.com/office/excel/2006/main">
          <x14:cfRule type="dataBar" id="{0159A321-0B26-4B54-B210-575DFC9EA172}">
            <x14:dataBar minLength="0" maxLength="100" border="1" gradient="0">
              <x14:cfvo type="num">
                <xm:f>0</xm:f>
              </x14:cfvo>
              <x14:cfvo type="num">
                <xm:f>1</xm:f>
              </x14:cfvo>
              <x14:borderColor theme="0"/>
              <x14:negativeFillColor rgb="FFFF0000"/>
              <x14:axisColor rgb="FF000000"/>
            </x14:dataBar>
          </x14:cfRule>
          <xm:sqref>AD3442</xm:sqref>
        </x14:conditionalFormatting>
        <x14:conditionalFormatting xmlns:xm="http://schemas.microsoft.com/office/excel/2006/main">
          <x14:cfRule type="dataBar" id="{04513864-B3A2-4B7A-8F77-0F3A531C2082}">
            <x14:dataBar minLength="0" maxLength="100" border="1" gradient="0">
              <x14:cfvo type="num">
                <xm:f>0</xm:f>
              </x14:cfvo>
              <x14:cfvo type="num">
                <xm:f>1</xm:f>
              </x14:cfvo>
              <x14:borderColor theme="0"/>
              <x14:negativeFillColor rgb="FFFF0000"/>
              <x14:axisColor rgb="FF000000"/>
            </x14:dataBar>
          </x14:cfRule>
          <xm:sqref>AD3444</xm:sqref>
        </x14:conditionalFormatting>
        <x14:conditionalFormatting xmlns:xm="http://schemas.microsoft.com/office/excel/2006/main">
          <x14:cfRule type="dataBar" id="{EBCE60C0-528A-4F48-B7A4-511A92459331}">
            <x14:dataBar minLength="0" maxLength="100" border="1" gradient="0">
              <x14:cfvo type="num">
                <xm:f>0</xm:f>
              </x14:cfvo>
              <x14:cfvo type="num">
                <xm:f>1</xm:f>
              </x14:cfvo>
              <x14:borderColor theme="0"/>
              <x14:negativeFillColor rgb="FFFF0000"/>
              <x14:axisColor rgb="FF000000"/>
            </x14:dataBar>
          </x14:cfRule>
          <xm:sqref>AD3446</xm:sqref>
        </x14:conditionalFormatting>
        <x14:conditionalFormatting xmlns:xm="http://schemas.microsoft.com/office/excel/2006/main">
          <x14:cfRule type="dataBar" id="{7177224C-73AA-430D-90A7-68E0D9040283}">
            <x14:dataBar minLength="0" maxLength="100" border="1" gradient="0">
              <x14:cfvo type="num">
                <xm:f>0</xm:f>
              </x14:cfvo>
              <x14:cfvo type="num">
                <xm:f>1</xm:f>
              </x14:cfvo>
              <x14:borderColor theme="0"/>
              <x14:negativeFillColor rgb="FFFF0000"/>
              <x14:axisColor rgb="FF000000"/>
            </x14:dataBar>
          </x14:cfRule>
          <xm:sqref>AD3448</xm:sqref>
        </x14:conditionalFormatting>
        <x14:conditionalFormatting xmlns:xm="http://schemas.microsoft.com/office/excel/2006/main">
          <x14:cfRule type="dataBar" id="{5E3A5B9F-B670-438A-A183-876DF5F560B0}">
            <x14:dataBar minLength="0" maxLength="100" border="1" gradient="0">
              <x14:cfvo type="num">
                <xm:f>0</xm:f>
              </x14:cfvo>
              <x14:cfvo type="num">
                <xm:f>1</xm:f>
              </x14:cfvo>
              <x14:borderColor theme="0"/>
              <x14:negativeFillColor rgb="FFFF0000"/>
              <x14:axisColor rgb="FF000000"/>
            </x14:dataBar>
          </x14:cfRule>
          <xm:sqref>AD3450</xm:sqref>
        </x14:conditionalFormatting>
        <x14:conditionalFormatting xmlns:xm="http://schemas.microsoft.com/office/excel/2006/main">
          <x14:cfRule type="dataBar" id="{9B131EDC-8DC7-4A90-859C-DCEB8FB9244D}">
            <x14:dataBar minLength="0" maxLength="100" border="1" gradient="0">
              <x14:cfvo type="num">
                <xm:f>0</xm:f>
              </x14:cfvo>
              <x14:cfvo type="num">
                <xm:f>1</xm:f>
              </x14:cfvo>
              <x14:borderColor theme="0"/>
              <x14:negativeFillColor rgb="FFFF0000"/>
              <x14:axisColor rgb="FF000000"/>
            </x14:dataBar>
          </x14:cfRule>
          <xm:sqref>AD3452</xm:sqref>
        </x14:conditionalFormatting>
        <x14:conditionalFormatting xmlns:xm="http://schemas.microsoft.com/office/excel/2006/main">
          <x14:cfRule type="dataBar" id="{B19FED52-63DF-47A9-AE0E-E813E30B2C90}">
            <x14:dataBar minLength="0" maxLength="100" border="1" gradient="0">
              <x14:cfvo type="num">
                <xm:f>0</xm:f>
              </x14:cfvo>
              <x14:cfvo type="num">
                <xm:f>1</xm:f>
              </x14:cfvo>
              <x14:borderColor theme="0"/>
              <x14:negativeFillColor rgb="FFFF0000"/>
              <x14:axisColor rgb="FF000000"/>
            </x14:dataBar>
          </x14:cfRule>
          <xm:sqref>AD3454</xm:sqref>
        </x14:conditionalFormatting>
        <x14:conditionalFormatting xmlns:xm="http://schemas.microsoft.com/office/excel/2006/main">
          <x14:cfRule type="dataBar" id="{1530C827-ED0D-4B14-9A03-2A03D27834BE}">
            <x14:dataBar minLength="0" maxLength="100" border="1" gradient="0">
              <x14:cfvo type="num">
                <xm:f>0</xm:f>
              </x14:cfvo>
              <x14:cfvo type="num">
                <xm:f>1</xm:f>
              </x14:cfvo>
              <x14:borderColor theme="0"/>
              <x14:negativeFillColor rgb="FFFF0000"/>
              <x14:axisColor rgb="FF000000"/>
            </x14:dataBar>
          </x14:cfRule>
          <xm:sqref>AD3456</xm:sqref>
        </x14:conditionalFormatting>
        <x14:conditionalFormatting xmlns:xm="http://schemas.microsoft.com/office/excel/2006/main">
          <x14:cfRule type="dataBar" id="{3E082065-E8A7-489E-A908-DA1EE7555E42}">
            <x14:dataBar minLength="0" maxLength="100" border="1" gradient="0">
              <x14:cfvo type="num">
                <xm:f>0</xm:f>
              </x14:cfvo>
              <x14:cfvo type="num">
                <xm:f>1</xm:f>
              </x14:cfvo>
              <x14:borderColor theme="0"/>
              <x14:negativeFillColor rgb="FFFF0000"/>
              <x14:axisColor rgb="FF000000"/>
            </x14:dataBar>
          </x14:cfRule>
          <xm:sqref>AD3458</xm:sqref>
        </x14:conditionalFormatting>
        <x14:conditionalFormatting xmlns:xm="http://schemas.microsoft.com/office/excel/2006/main">
          <x14:cfRule type="dataBar" id="{F251EEF5-81B7-4F27-BA8B-A98740C9A31D}">
            <x14:dataBar minLength="0" maxLength="100" border="1" gradient="0">
              <x14:cfvo type="num">
                <xm:f>0</xm:f>
              </x14:cfvo>
              <x14:cfvo type="num">
                <xm:f>1</xm:f>
              </x14:cfvo>
              <x14:borderColor theme="0"/>
              <x14:negativeFillColor rgb="FFFF0000"/>
              <x14:axisColor rgb="FF000000"/>
            </x14:dataBar>
          </x14:cfRule>
          <xm:sqref>AD3460</xm:sqref>
        </x14:conditionalFormatting>
        <x14:conditionalFormatting xmlns:xm="http://schemas.microsoft.com/office/excel/2006/main">
          <x14:cfRule type="dataBar" id="{C013B25D-8AC2-437B-883B-258CC0391640}">
            <x14:dataBar minLength="0" maxLength="100" border="1" gradient="0">
              <x14:cfvo type="num">
                <xm:f>0</xm:f>
              </x14:cfvo>
              <x14:cfvo type="num">
                <xm:f>1</xm:f>
              </x14:cfvo>
              <x14:borderColor theme="0"/>
              <x14:negativeFillColor rgb="FFFF0000"/>
              <x14:axisColor rgb="FF000000"/>
            </x14:dataBar>
          </x14:cfRule>
          <xm:sqref>AD3462</xm:sqref>
        </x14:conditionalFormatting>
        <x14:conditionalFormatting xmlns:xm="http://schemas.microsoft.com/office/excel/2006/main">
          <x14:cfRule type="dataBar" id="{221A50D3-0246-4A24-92C3-C020D48A8499}">
            <x14:dataBar minLength="0" maxLength="100" border="1" gradient="0">
              <x14:cfvo type="num">
                <xm:f>0</xm:f>
              </x14:cfvo>
              <x14:cfvo type="num">
                <xm:f>1</xm:f>
              </x14:cfvo>
              <x14:borderColor theme="0"/>
              <x14:negativeFillColor rgb="FFFF0000"/>
              <x14:axisColor rgb="FF000000"/>
            </x14:dataBar>
          </x14:cfRule>
          <xm:sqref>AD3464</xm:sqref>
        </x14:conditionalFormatting>
        <x14:conditionalFormatting xmlns:xm="http://schemas.microsoft.com/office/excel/2006/main">
          <x14:cfRule type="dataBar" id="{EAA4F952-96F1-45FF-8595-8543DB6956F0}">
            <x14:dataBar minLength="0" maxLength="100" border="1" gradient="0">
              <x14:cfvo type="num">
                <xm:f>0</xm:f>
              </x14:cfvo>
              <x14:cfvo type="num">
                <xm:f>1</xm:f>
              </x14:cfvo>
              <x14:borderColor theme="0"/>
              <x14:negativeFillColor rgb="FFFF0000"/>
              <x14:axisColor rgb="FF000000"/>
            </x14:dataBar>
          </x14:cfRule>
          <xm:sqref>AD3466</xm:sqref>
        </x14:conditionalFormatting>
        <x14:conditionalFormatting xmlns:xm="http://schemas.microsoft.com/office/excel/2006/main">
          <x14:cfRule type="dataBar" id="{D0740002-0514-4868-8179-C575A595A7CD}">
            <x14:dataBar minLength="0" maxLength="100" border="1" gradient="0">
              <x14:cfvo type="num">
                <xm:f>0</xm:f>
              </x14:cfvo>
              <x14:cfvo type="num">
                <xm:f>1</xm:f>
              </x14:cfvo>
              <x14:borderColor theme="0"/>
              <x14:negativeFillColor rgb="FFFF0000"/>
              <x14:axisColor rgb="FF000000"/>
            </x14:dataBar>
          </x14:cfRule>
          <xm:sqref>AD3468</xm:sqref>
        </x14:conditionalFormatting>
        <x14:conditionalFormatting xmlns:xm="http://schemas.microsoft.com/office/excel/2006/main">
          <x14:cfRule type="dataBar" id="{EAF703C2-D26D-4ED9-8751-8E07BBC0ABCE}">
            <x14:dataBar minLength="0" maxLength="100" border="1" gradient="0">
              <x14:cfvo type="num">
                <xm:f>0</xm:f>
              </x14:cfvo>
              <x14:cfvo type="num">
                <xm:f>1</xm:f>
              </x14:cfvo>
              <x14:borderColor theme="0"/>
              <x14:negativeFillColor rgb="FFFF0000"/>
              <x14:axisColor rgb="FF000000"/>
            </x14:dataBar>
          </x14:cfRule>
          <xm:sqref>AD3470</xm:sqref>
        </x14:conditionalFormatting>
        <x14:conditionalFormatting xmlns:xm="http://schemas.microsoft.com/office/excel/2006/main">
          <x14:cfRule type="dataBar" id="{1B591077-D27F-48CA-90D3-FE02186475F5}">
            <x14:dataBar minLength="0" maxLength="100" border="1" gradient="0">
              <x14:cfvo type="num">
                <xm:f>0</xm:f>
              </x14:cfvo>
              <x14:cfvo type="num">
                <xm:f>1</xm:f>
              </x14:cfvo>
              <x14:borderColor theme="0"/>
              <x14:negativeFillColor rgb="FFFF0000"/>
              <x14:axisColor rgb="FF000000"/>
            </x14:dataBar>
          </x14:cfRule>
          <xm:sqref>AD3472</xm:sqref>
        </x14:conditionalFormatting>
        <x14:conditionalFormatting xmlns:xm="http://schemas.microsoft.com/office/excel/2006/main">
          <x14:cfRule type="dataBar" id="{90527F7C-6EC3-4EBB-93A6-940B266D8748}">
            <x14:dataBar minLength="0" maxLength="100" border="1" gradient="0">
              <x14:cfvo type="num">
                <xm:f>0</xm:f>
              </x14:cfvo>
              <x14:cfvo type="num">
                <xm:f>1</xm:f>
              </x14:cfvo>
              <x14:borderColor theme="0"/>
              <x14:negativeFillColor rgb="FFFF0000"/>
              <x14:axisColor rgb="FF000000"/>
            </x14:dataBar>
          </x14:cfRule>
          <xm:sqref>AD3474</xm:sqref>
        </x14:conditionalFormatting>
        <x14:conditionalFormatting xmlns:xm="http://schemas.microsoft.com/office/excel/2006/main">
          <x14:cfRule type="dataBar" id="{D409B957-009B-4D7C-9398-3AC15845EB91}">
            <x14:dataBar minLength="0" maxLength="100" border="1" gradient="0">
              <x14:cfvo type="num">
                <xm:f>0</xm:f>
              </x14:cfvo>
              <x14:cfvo type="num">
                <xm:f>1</xm:f>
              </x14:cfvo>
              <x14:borderColor theme="0"/>
              <x14:negativeFillColor rgb="FFFF0000"/>
              <x14:axisColor rgb="FF000000"/>
            </x14:dataBar>
          </x14:cfRule>
          <xm:sqref>AD3476</xm:sqref>
        </x14:conditionalFormatting>
        <x14:conditionalFormatting xmlns:xm="http://schemas.microsoft.com/office/excel/2006/main">
          <x14:cfRule type="dataBar" id="{39EA0CEE-8D1D-4C80-A876-BAE0E5C1F090}">
            <x14:dataBar minLength="0" maxLength="100" border="1" gradient="0">
              <x14:cfvo type="num">
                <xm:f>0</xm:f>
              </x14:cfvo>
              <x14:cfvo type="num">
                <xm:f>1</xm:f>
              </x14:cfvo>
              <x14:borderColor theme="0"/>
              <x14:negativeFillColor rgb="FFFF0000"/>
              <x14:axisColor rgb="FF000000"/>
            </x14:dataBar>
          </x14:cfRule>
          <xm:sqref>AD3478</xm:sqref>
        </x14:conditionalFormatting>
        <x14:conditionalFormatting xmlns:xm="http://schemas.microsoft.com/office/excel/2006/main">
          <x14:cfRule type="dataBar" id="{B1AA1852-FA89-4C35-B0C8-897B2A0979BC}">
            <x14:dataBar minLength="0" maxLength="100" border="1" gradient="0">
              <x14:cfvo type="num">
                <xm:f>0</xm:f>
              </x14:cfvo>
              <x14:cfvo type="num">
                <xm:f>1</xm:f>
              </x14:cfvo>
              <x14:borderColor theme="0"/>
              <x14:negativeFillColor rgb="FFFF0000"/>
              <x14:axisColor rgb="FF000000"/>
            </x14:dataBar>
          </x14:cfRule>
          <xm:sqref>AD3480</xm:sqref>
        </x14:conditionalFormatting>
        <x14:conditionalFormatting xmlns:xm="http://schemas.microsoft.com/office/excel/2006/main">
          <x14:cfRule type="dataBar" id="{F8D1AD77-60AB-413A-8143-33F245D97596}">
            <x14:dataBar minLength="0" maxLength="100" border="1" gradient="0">
              <x14:cfvo type="num">
                <xm:f>0</xm:f>
              </x14:cfvo>
              <x14:cfvo type="num">
                <xm:f>1</xm:f>
              </x14:cfvo>
              <x14:borderColor theme="0"/>
              <x14:negativeFillColor rgb="FFFF0000"/>
              <x14:axisColor rgb="FF000000"/>
            </x14:dataBar>
          </x14:cfRule>
          <xm:sqref>AD3482</xm:sqref>
        </x14:conditionalFormatting>
        <x14:conditionalFormatting xmlns:xm="http://schemas.microsoft.com/office/excel/2006/main">
          <x14:cfRule type="dataBar" id="{AA1F35BF-9256-478A-AF7E-B536C5230A7F}">
            <x14:dataBar minLength="0" maxLength="100" border="1" gradient="0">
              <x14:cfvo type="num">
                <xm:f>0</xm:f>
              </x14:cfvo>
              <x14:cfvo type="num">
                <xm:f>1</xm:f>
              </x14:cfvo>
              <x14:borderColor theme="0"/>
              <x14:negativeFillColor rgb="FFFF0000"/>
              <x14:axisColor rgb="FF000000"/>
            </x14:dataBar>
          </x14:cfRule>
          <xm:sqref>AD3484</xm:sqref>
        </x14:conditionalFormatting>
        <x14:conditionalFormatting xmlns:xm="http://schemas.microsoft.com/office/excel/2006/main">
          <x14:cfRule type="dataBar" id="{4EADC6CD-C48D-42CC-AE35-BFE3ED7E0EF1}">
            <x14:dataBar minLength="0" maxLength="100" border="1" gradient="0">
              <x14:cfvo type="num">
                <xm:f>0</xm:f>
              </x14:cfvo>
              <x14:cfvo type="num">
                <xm:f>1</xm:f>
              </x14:cfvo>
              <x14:borderColor theme="0"/>
              <x14:negativeFillColor rgb="FFFF0000"/>
              <x14:axisColor rgb="FF000000"/>
            </x14:dataBar>
          </x14:cfRule>
          <xm:sqref>AD3486</xm:sqref>
        </x14:conditionalFormatting>
        <x14:conditionalFormatting xmlns:xm="http://schemas.microsoft.com/office/excel/2006/main">
          <x14:cfRule type="dataBar" id="{4E958018-45B8-4C0E-BA3F-2E6C0740D84D}">
            <x14:dataBar minLength="0" maxLength="100" border="1" gradient="0">
              <x14:cfvo type="num">
                <xm:f>0</xm:f>
              </x14:cfvo>
              <x14:cfvo type="num">
                <xm:f>1</xm:f>
              </x14:cfvo>
              <x14:borderColor theme="0"/>
              <x14:negativeFillColor rgb="FFFF0000"/>
              <x14:axisColor rgb="FF000000"/>
            </x14:dataBar>
          </x14:cfRule>
          <xm:sqref>AD3489</xm:sqref>
        </x14:conditionalFormatting>
        <x14:conditionalFormatting xmlns:xm="http://schemas.microsoft.com/office/excel/2006/main">
          <x14:cfRule type="dataBar" id="{E2B38FF7-BE6A-4AF1-8EB0-63598F294826}">
            <x14:dataBar minLength="0" maxLength="100" border="1" gradient="0">
              <x14:cfvo type="num">
                <xm:f>0</xm:f>
              </x14:cfvo>
              <x14:cfvo type="num">
                <xm:f>1</xm:f>
              </x14:cfvo>
              <x14:borderColor theme="0"/>
              <x14:negativeFillColor rgb="FFFF0000"/>
              <x14:axisColor rgb="FF000000"/>
            </x14:dataBar>
          </x14:cfRule>
          <xm:sqref>AD3491</xm:sqref>
        </x14:conditionalFormatting>
        <x14:conditionalFormatting xmlns:xm="http://schemas.microsoft.com/office/excel/2006/main">
          <x14:cfRule type="dataBar" id="{22A5C580-7B0E-4D00-808B-E1DB13ACECC9}">
            <x14:dataBar minLength="0" maxLength="100" border="1" gradient="0">
              <x14:cfvo type="num">
                <xm:f>0</xm:f>
              </x14:cfvo>
              <x14:cfvo type="num">
                <xm:f>1</xm:f>
              </x14:cfvo>
              <x14:borderColor theme="0"/>
              <x14:negativeFillColor rgb="FFFF0000"/>
              <x14:axisColor rgb="FF000000"/>
            </x14:dataBar>
          </x14:cfRule>
          <xm:sqref>AD3493</xm:sqref>
        </x14:conditionalFormatting>
        <x14:conditionalFormatting xmlns:xm="http://schemas.microsoft.com/office/excel/2006/main">
          <x14:cfRule type="dataBar" id="{F7C6DF72-0BF5-4F6D-B815-0D956024752C}">
            <x14:dataBar minLength="0" maxLength="100" border="1" gradient="0">
              <x14:cfvo type="num">
                <xm:f>0</xm:f>
              </x14:cfvo>
              <x14:cfvo type="num">
                <xm:f>1</xm:f>
              </x14:cfvo>
              <x14:borderColor theme="0"/>
              <x14:negativeFillColor rgb="FFFF0000"/>
              <x14:axisColor rgb="FF000000"/>
            </x14:dataBar>
          </x14:cfRule>
          <xm:sqref>AD3495</xm:sqref>
        </x14:conditionalFormatting>
        <x14:conditionalFormatting xmlns:xm="http://schemas.microsoft.com/office/excel/2006/main">
          <x14:cfRule type="dataBar" id="{0622DCF8-A5CC-4C5B-94E7-7963BA24D7D0}">
            <x14:dataBar minLength="0" maxLength="100" border="1" gradient="0">
              <x14:cfvo type="num">
                <xm:f>0</xm:f>
              </x14:cfvo>
              <x14:cfvo type="num">
                <xm:f>1</xm:f>
              </x14:cfvo>
              <x14:borderColor theme="0"/>
              <x14:negativeFillColor rgb="FFFF0000"/>
              <x14:axisColor rgb="FF000000"/>
            </x14:dataBar>
          </x14:cfRule>
          <xm:sqref>AD3497</xm:sqref>
        </x14:conditionalFormatting>
        <x14:conditionalFormatting xmlns:xm="http://schemas.microsoft.com/office/excel/2006/main">
          <x14:cfRule type="dataBar" id="{56687A30-D7BB-4CB4-84EE-A8E3BC1AE9FA}">
            <x14:dataBar minLength="0" maxLength="100" border="1" gradient="0">
              <x14:cfvo type="num">
                <xm:f>0</xm:f>
              </x14:cfvo>
              <x14:cfvo type="num">
                <xm:f>1</xm:f>
              </x14:cfvo>
              <x14:borderColor theme="0"/>
              <x14:negativeFillColor rgb="FFFF0000"/>
              <x14:axisColor rgb="FF000000"/>
            </x14:dataBar>
          </x14:cfRule>
          <xm:sqref>AD3499</xm:sqref>
        </x14:conditionalFormatting>
        <x14:conditionalFormatting xmlns:xm="http://schemas.microsoft.com/office/excel/2006/main">
          <x14:cfRule type="dataBar" id="{032E0E54-4593-4709-BD2D-9CD409EBAB12}">
            <x14:dataBar minLength="0" maxLength="100" border="1" gradient="0">
              <x14:cfvo type="num">
                <xm:f>0</xm:f>
              </x14:cfvo>
              <x14:cfvo type="num">
                <xm:f>1</xm:f>
              </x14:cfvo>
              <x14:borderColor theme="0"/>
              <x14:negativeFillColor rgb="FFFF0000"/>
              <x14:axisColor rgb="FF000000"/>
            </x14:dataBar>
          </x14:cfRule>
          <xm:sqref>AD3503</xm:sqref>
        </x14:conditionalFormatting>
        <x14:conditionalFormatting xmlns:xm="http://schemas.microsoft.com/office/excel/2006/main">
          <x14:cfRule type="dataBar" id="{926B8815-4912-4DFC-9500-FF1D9C0D5B91}">
            <x14:dataBar minLength="0" maxLength="100" border="1" gradient="0">
              <x14:cfvo type="num">
                <xm:f>0</xm:f>
              </x14:cfvo>
              <x14:cfvo type="num">
                <xm:f>1</xm:f>
              </x14:cfvo>
              <x14:borderColor theme="0"/>
              <x14:negativeFillColor rgb="FFFF0000"/>
              <x14:axisColor rgb="FF000000"/>
            </x14:dataBar>
          </x14:cfRule>
          <xm:sqref>AD3506</xm:sqref>
        </x14:conditionalFormatting>
        <x14:conditionalFormatting xmlns:xm="http://schemas.microsoft.com/office/excel/2006/main">
          <x14:cfRule type="dataBar" id="{96D1E5FA-1961-4E31-8F03-B0802012D3B4}">
            <x14:dataBar minLength="0" maxLength="100" border="1" gradient="0">
              <x14:cfvo type="num">
                <xm:f>0</xm:f>
              </x14:cfvo>
              <x14:cfvo type="num">
                <xm:f>1</xm:f>
              </x14:cfvo>
              <x14:borderColor theme="0"/>
              <x14:negativeFillColor rgb="FFFF0000"/>
              <x14:axisColor rgb="FF000000"/>
            </x14:dataBar>
          </x14:cfRule>
          <xm:sqref>AD3508</xm:sqref>
        </x14:conditionalFormatting>
        <x14:conditionalFormatting xmlns:xm="http://schemas.microsoft.com/office/excel/2006/main">
          <x14:cfRule type="dataBar" id="{A9E9F220-D1CA-4D5A-A0F7-24AA9180AF85}">
            <x14:dataBar minLength="0" maxLength="100" border="1" gradient="0">
              <x14:cfvo type="num">
                <xm:f>0</xm:f>
              </x14:cfvo>
              <x14:cfvo type="num">
                <xm:f>1</xm:f>
              </x14:cfvo>
              <x14:borderColor theme="0"/>
              <x14:negativeFillColor rgb="FFFF0000"/>
              <x14:axisColor rgb="FF000000"/>
            </x14:dataBar>
          </x14:cfRule>
          <xm:sqref>AD3510</xm:sqref>
        </x14:conditionalFormatting>
        <x14:conditionalFormatting xmlns:xm="http://schemas.microsoft.com/office/excel/2006/main">
          <x14:cfRule type="dataBar" id="{0DC840E3-45E4-4EF9-BD37-433C2C4E97BC}">
            <x14:dataBar minLength="0" maxLength="100" border="1" gradient="0">
              <x14:cfvo type="num">
                <xm:f>0</xm:f>
              </x14:cfvo>
              <x14:cfvo type="num">
                <xm:f>1</xm:f>
              </x14:cfvo>
              <x14:borderColor theme="0"/>
              <x14:negativeFillColor rgb="FFFF0000"/>
              <x14:axisColor rgb="FF000000"/>
            </x14:dataBar>
          </x14:cfRule>
          <xm:sqref>AD3512</xm:sqref>
        </x14:conditionalFormatting>
        <x14:conditionalFormatting xmlns:xm="http://schemas.microsoft.com/office/excel/2006/main">
          <x14:cfRule type="dataBar" id="{91027E92-56D2-44D6-9C3E-57A033D30916}">
            <x14:dataBar minLength="0" maxLength="100" border="1" gradient="0">
              <x14:cfvo type="num">
                <xm:f>0</xm:f>
              </x14:cfvo>
              <x14:cfvo type="num">
                <xm:f>1</xm:f>
              </x14:cfvo>
              <x14:borderColor theme="0"/>
              <x14:negativeFillColor rgb="FFFF0000"/>
              <x14:axisColor rgb="FF000000"/>
            </x14:dataBar>
          </x14:cfRule>
          <xm:sqref>AD3514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E5E1-7D31-4B78-A682-8984C413C34F}">
  <sheetPr>
    <tabColor rgb="FF38986A"/>
  </sheetPr>
  <dimension ref="A1:CH626"/>
  <sheetViews>
    <sheetView showGridLines="0" zoomScale="60" zoomScaleNormal="60" workbookViewId="0">
      <pane xSplit="6" ySplit="8" topLeftCell="G9" activePane="bottomRight" state="frozen"/>
      <selection pane="bottomRight" activeCell="BN73" sqref="BN73:BN74"/>
      <selection pane="bottomLeft" activeCell="A9" sqref="A9"/>
      <selection pane="topRight" activeCell="I1" sqref="I1"/>
    </sheetView>
  </sheetViews>
  <sheetFormatPr defaultRowHeight="15" outlineLevelRow="2" outlineLevelCol="1"/>
  <cols>
    <col min="1" max="1" width="4.140625" style="62" customWidth="1"/>
    <col min="2" max="2" width="45.28515625" style="16" customWidth="1"/>
    <col min="3" max="3" width="6.5703125" customWidth="1"/>
    <col min="4" max="4" width="1" style="3" customWidth="1"/>
    <col min="5" max="5" width="14.85546875" customWidth="1" outlineLevel="1"/>
    <col min="6" max="6" width="0.7109375" customWidth="1" outlineLevel="1"/>
    <col min="7" max="7" width="5.28515625" customWidth="1"/>
    <col min="8" max="8" width="10.28515625" style="58" customWidth="1"/>
    <col min="9" max="9" width="11.28515625" customWidth="1"/>
    <col min="10" max="10" width="1" style="4" customWidth="1"/>
    <col min="11" max="17" width="9.140625" style="7" hidden="1" customWidth="1"/>
    <col min="18" max="18" width="1" style="6" hidden="1" customWidth="1"/>
    <col min="19" max="19" width="16.28515625" style="48" hidden="1" customWidth="1"/>
    <col min="20" max="20" width="10" hidden="1" customWidth="1"/>
    <col min="21" max="21" width="1.140625" style="4" hidden="1" customWidth="1"/>
    <col min="22" max="28" width="9.140625" style="7" hidden="1" customWidth="1"/>
    <col min="29" max="29" width="1" style="6" hidden="1" customWidth="1"/>
    <col min="30" max="30" width="16.28515625" style="48" hidden="1" customWidth="1"/>
    <col min="31" max="31" width="10" hidden="1" customWidth="1"/>
    <col min="32" max="32" width="1.140625" style="4" hidden="1" customWidth="1"/>
    <col min="33" max="39" width="9.28515625" style="7" customWidth="1"/>
    <col min="40" max="40" width="1" style="6" customWidth="1"/>
    <col min="41" max="41" width="16.28515625" style="48" customWidth="1"/>
    <col min="42" max="42" width="10" customWidth="1"/>
    <col min="43" max="43" width="1.140625" style="4" customWidth="1"/>
    <col min="44" max="50" width="9.140625" style="7" hidden="1" customWidth="1"/>
    <col min="51" max="51" width="1" style="6" hidden="1" customWidth="1"/>
    <col min="52" max="52" width="13.7109375" style="48" hidden="1" customWidth="1"/>
    <col min="53" max="53" width="12.7109375" hidden="1" customWidth="1"/>
    <col min="54" max="54" width="1.140625" style="4" hidden="1" customWidth="1"/>
    <col min="55" max="61" width="9.140625" style="7" hidden="1" customWidth="1"/>
    <col min="62" max="62" width="1" style="6" hidden="1" customWidth="1"/>
    <col min="63" max="63" width="13.7109375" style="48" hidden="1" customWidth="1"/>
    <col min="64" max="64" width="12.7109375" hidden="1" customWidth="1"/>
    <col min="65" max="65" width="1.140625" style="4" hidden="1" customWidth="1"/>
    <col min="66" max="66" width="14.85546875" customWidth="1"/>
    <col min="67" max="67" width="15.85546875" customWidth="1"/>
    <col min="68" max="68" width="12.7109375" customWidth="1"/>
    <col min="69" max="69" width="14.28515625" customWidth="1"/>
    <col min="70" max="70" width="1" style="4" customWidth="1"/>
    <col min="71" max="72" width="14" hidden="1" customWidth="1"/>
    <col min="73" max="73" width="15.5703125" customWidth="1"/>
    <col min="74" max="75" width="14.28515625" hidden="1" customWidth="1"/>
    <col min="76" max="76" width="14.28515625" customWidth="1"/>
    <col min="77" max="77" width="14" customWidth="1"/>
    <col min="78" max="78" width="1" style="4" customWidth="1"/>
    <col min="79" max="79" width="15" customWidth="1"/>
    <col min="80" max="80" width="14" customWidth="1"/>
    <col min="81" max="81" width="1.42578125" style="4" customWidth="1"/>
    <col min="82" max="82" width="18" style="7" customWidth="1"/>
    <col min="83" max="83" width="1.42578125" style="4" customWidth="1"/>
  </cols>
  <sheetData>
    <row r="1" spans="1:86">
      <c r="A1" s="64"/>
      <c r="B1" s="2"/>
      <c r="C1" s="3"/>
      <c r="E1" s="3"/>
      <c r="F1" s="3"/>
      <c r="G1" s="3"/>
      <c r="H1" s="35"/>
      <c r="I1" s="3"/>
      <c r="K1" s="5"/>
      <c r="L1" s="5"/>
      <c r="M1" s="5"/>
      <c r="N1" s="5"/>
      <c r="O1" s="5"/>
      <c r="P1" s="5"/>
      <c r="Q1" s="5"/>
      <c r="S1" s="37"/>
      <c r="T1" s="3"/>
      <c r="V1" s="5"/>
      <c r="W1" s="5"/>
      <c r="X1" s="5"/>
      <c r="Y1" s="5"/>
      <c r="Z1" s="5"/>
      <c r="AA1" s="5"/>
      <c r="AB1" s="5"/>
      <c r="AD1" s="37"/>
      <c r="AE1" s="3"/>
      <c r="AG1" s="5"/>
      <c r="AH1" s="5"/>
      <c r="AI1" s="5"/>
      <c r="AJ1" s="5"/>
      <c r="AK1" s="5"/>
      <c r="AL1" s="5"/>
      <c r="AM1" s="5"/>
      <c r="AO1" s="37"/>
      <c r="AP1" s="3"/>
      <c r="AR1" s="5"/>
      <c r="AS1" s="5"/>
      <c r="AT1" s="5"/>
      <c r="AU1" s="5"/>
      <c r="AV1" s="5"/>
      <c r="AW1" s="5"/>
      <c r="AX1" s="5"/>
      <c r="AZ1" s="37"/>
      <c r="BA1" s="3"/>
      <c r="BC1" s="5"/>
      <c r="BD1" s="5"/>
      <c r="BE1" s="5"/>
      <c r="BF1" s="5"/>
      <c r="BG1" s="5"/>
      <c r="BH1" s="5"/>
      <c r="BI1" s="5"/>
      <c r="BK1" s="37"/>
      <c r="BL1" s="3"/>
      <c r="BN1" s="3"/>
      <c r="BO1" s="3"/>
      <c r="BP1" s="3"/>
      <c r="BQ1" s="3"/>
      <c r="BS1" s="3"/>
      <c r="BT1" s="3"/>
      <c r="BU1" s="3"/>
      <c r="BV1" s="3"/>
      <c r="BW1" s="3"/>
      <c r="BX1" s="3"/>
      <c r="BY1" s="3"/>
      <c r="CA1" s="3"/>
      <c r="CB1" s="3"/>
    </row>
    <row r="2" spans="1:86" ht="49.35" customHeight="1">
      <c r="A2" s="65"/>
      <c r="B2" s="38"/>
      <c r="C2" s="38"/>
      <c r="D2" s="38"/>
      <c r="E2" s="38"/>
      <c r="F2" s="38"/>
      <c r="G2" s="505" t="s">
        <v>153</v>
      </c>
      <c r="H2" s="506"/>
      <c r="I2" s="38"/>
      <c r="J2" s="38"/>
      <c r="K2" s="38"/>
      <c r="L2" s="38"/>
      <c r="M2" s="38"/>
      <c r="N2" s="38"/>
      <c r="O2" s="38"/>
      <c r="P2" s="38"/>
      <c r="Q2" s="38"/>
      <c r="R2" s="38"/>
      <c r="S2" s="506"/>
      <c r="T2" s="38"/>
      <c r="U2" s="38"/>
      <c r="V2" s="38"/>
      <c r="W2" s="38"/>
      <c r="X2" s="38"/>
      <c r="Y2" s="38"/>
      <c r="Z2" s="38"/>
      <c r="AA2" s="38"/>
      <c r="AB2" s="38"/>
      <c r="AC2" s="38"/>
      <c r="AD2" s="506"/>
      <c r="AE2" s="38"/>
      <c r="AF2" s="38"/>
      <c r="AG2" s="38"/>
      <c r="AH2" s="38"/>
      <c r="AI2" s="38"/>
      <c r="AJ2" s="38"/>
      <c r="AK2" s="38"/>
      <c r="AL2" s="38"/>
      <c r="AM2" s="38"/>
      <c r="AN2" s="38"/>
      <c r="AO2" s="506"/>
      <c r="AP2" s="38"/>
      <c r="AQ2" s="38"/>
      <c r="AR2" s="38"/>
      <c r="AS2" s="38"/>
      <c r="AT2" s="38"/>
      <c r="AU2" s="38"/>
      <c r="AV2" s="38"/>
      <c r="AW2" s="38"/>
      <c r="AX2" s="38"/>
      <c r="AY2" s="38"/>
      <c r="AZ2" s="506"/>
      <c r="BA2" s="38"/>
      <c r="BB2" s="38"/>
      <c r="BC2" s="38"/>
      <c r="BD2" s="38"/>
      <c r="BE2" s="38"/>
      <c r="BF2" s="38"/>
      <c r="BG2" s="38"/>
      <c r="BH2" s="38"/>
      <c r="BI2" s="38"/>
      <c r="BJ2" s="38"/>
      <c r="BK2" s="506"/>
      <c r="BL2" s="38"/>
      <c r="BM2" s="38"/>
      <c r="BN2" s="38"/>
      <c r="BO2" s="38"/>
      <c r="BP2" s="38"/>
      <c r="BQ2" s="507"/>
      <c r="BR2" s="39"/>
      <c r="BS2" s="39"/>
      <c r="BT2" s="39"/>
      <c r="BU2" s="39"/>
      <c r="BV2" s="39"/>
      <c r="BW2" s="39"/>
      <c r="BX2" s="39"/>
      <c r="BY2" s="39"/>
      <c r="BZ2" s="39"/>
      <c r="CA2" s="39"/>
      <c r="CB2" s="39"/>
      <c r="CC2"/>
      <c r="CD2"/>
      <c r="CE2"/>
    </row>
    <row r="3" spans="1:86" ht="5.0999999999999996" customHeight="1">
      <c r="A3" s="64"/>
      <c r="B3" s="1"/>
      <c r="C3" s="1"/>
      <c r="D3" s="1"/>
      <c r="E3" s="1"/>
      <c r="F3" s="1"/>
      <c r="G3" s="1"/>
      <c r="H3" s="55"/>
      <c r="I3" s="1"/>
      <c r="J3" s="1"/>
      <c r="K3" s="9"/>
      <c r="L3" s="9"/>
      <c r="M3" s="9"/>
      <c r="N3" s="9"/>
      <c r="O3" s="9"/>
      <c r="P3" s="9"/>
      <c r="Q3" s="9"/>
      <c r="R3" s="9"/>
      <c r="S3" s="46"/>
      <c r="T3" s="1"/>
      <c r="U3" s="1"/>
      <c r="V3" s="9"/>
      <c r="W3" s="9"/>
      <c r="X3" s="9"/>
      <c r="Y3" s="9"/>
      <c r="Z3" s="9"/>
      <c r="AA3" s="9"/>
      <c r="AB3" s="9"/>
      <c r="AC3" s="9"/>
      <c r="AD3" s="46"/>
      <c r="AE3" s="1"/>
      <c r="AF3" s="1"/>
      <c r="AG3" s="9"/>
      <c r="AH3" s="9"/>
      <c r="AI3" s="9"/>
      <c r="AJ3" s="9"/>
      <c r="AK3" s="9"/>
      <c r="AL3" s="9"/>
      <c r="AM3" s="9"/>
      <c r="AN3" s="9"/>
      <c r="AO3" s="46"/>
      <c r="AP3" s="1"/>
      <c r="AQ3" s="1"/>
      <c r="AR3" s="9"/>
      <c r="AS3" s="9"/>
      <c r="AT3" s="9"/>
      <c r="AU3" s="9"/>
      <c r="AV3" s="9"/>
      <c r="AW3" s="9"/>
      <c r="AX3" s="9"/>
      <c r="AY3" s="9"/>
      <c r="AZ3" s="46"/>
      <c r="BA3" s="1"/>
      <c r="BB3" s="1"/>
      <c r="BC3" s="9"/>
      <c r="BD3" s="9"/>
      <c r="BE3" s="9"/>
      <c r="BF3" s="9"/>
      <c r="BG3" s="9"/>
      <c r="BH3" s="9"/>
      <c r="BI3" s="9"/>
      <c r="BJ3" s="9"/>
      <c r="BK3" s="46"/>
      <c r="BL3" s="1"/>
      <c r="BM3" s="1"/>
      <c r="BN3" s="1"/>
      <c r="BO3" s="1"/>
      <c r="BP3" s="1"/>
      <c r="BQ3" s="1"/>
      <c r="BR3" s="1"/>
      <c r="BS3" s="1"/>
      <c r="BT3" s="1"/>
      <c r="BU3" s="1"/>
      <c r="BV3" s="1"/>
      <c r="BW3" s="1"/>
      <c r="BX3" s="1"/>
      <c r="BY3" s="1"/>
      <c r="BZ3" s="1"/>
      <c r="CA3" s="1"/>
      <c r="CB3" s="1"/>
      <c r="CC3"/>
      <c r="CD3"/>
      <c r="CE3"/>
    </row>
    <row r="4" spans="1:86" ht="35.450000000000003" customHeight="1">
      <c r="A4" s="64"/>
      <c r="B4" s="1101" t="s">
        <v>3831</v>
      </c>
      <c r="C4" s="1101"/>
      <c r="D4" s="1"/>
      <c r="E4" s="22" t="s">
        <v>157</v>
      </c>
      <c r="F4" s="3"/>
      <c r="G4" s="22"/>
      <c r="H4" s="56" t="s">
        <v>72</v>
      </c>
      <c r="I4" s="66">
        <f>WEEKNUM($AG$7)-1</f>
        <v>28</v>
      </c>
      <c r="J4" s="1"/>
      <c r="K4" s="51" t="str">
        <f>"ACOMPANHAMENTO SEMANAL - S"&amp;WEEKNUM(K7,2)-1</f>
        <v>ACOMPANHAMENTO SEMANAL - S26</v>
      </c>
      <c r="L4" s="27"/>
      <c r="M4" s="27"/>
      <c r="N4" s="27"/>
      <c r="O4" s="27"/>
      <c r="P4" s="27"/>
      <c r="Q4" s="27"/>
      <c r="R4" s="27"/>
      <c r="S4" s="47"/>
      <c r="T4" s="28"/>
      <c r="U4" s="1"/>
      <c r="V4" s="51" t="str">
        <f>"ACOMPANHAMENTO SEMANAL - S"&amp;WEEKNUM(V7,2)-1</f>
        <v>ACOMPANHAMENTO SEMANAL - S27</v>
      </c>
      <c r="W4" s="27"/>
      <c r="X4" s="27"/>
      <c r="Y4" s="27"/>
      <c r="Z4" s="27"/>
      <c r="AA4" s="27"/>
      <c r="AB4" s="27"/>
      <c r="AC4" s="27"/>
      <c r="AD4" s="47"/>
      <c r="AE4" s="28"/>
      <c r="AF4" s="1"/>
      <c r="AG4" s="51" t="str">
        <f>"ACOMPANHAMENTO SEMANAL - S"&amp;WEEKNUM(AG7,2)-1</f>
        <v>ACOMPANHAMENTO SEMANAL - S28</v>
      </c>
      <c r="AH4" s="27"/>
      <c r="AI4" s="27"/>
      <c r="AJ4" s="27"/>
      <c r="AK4" s="27"/>
      <c r="AL4" s="27"/>
      <c r="AM4" s="27"/>
      <c r="AN4" s="27"/>
      <c r="AO4" s="47"/>
      <c r="AP4" s="28"/>
      <c r="AQ4" s="1"/>
      <c r="AR4" s="51" t="str">
        <f>"ACOMPANHAMENTO SEMANAL - S"&amp;WEEKNUM(AR7,2)-1</f>
        <v>ACOMPANHAMENTO SEMANAL - S29</v>
      </c>
      <c r="AS4" s="27"/>
      <c r="AT4" s="27"/>
      <c r="AU4" s="27"/>
      <c r="AV4" s="27"/>
      <c r="AW4" s="27"/>
      <c r="AX4" s="27"/>
      <c r="AY4" s="27"/>
      <c r="AZ4" s="47"/>
      <c r="BA4" s="28"/>
      <c r="BB4" s="1"/>
      <c r="BC4" s="51" t="str">
        <f>"ACOMPANHAMENTO SEMANAL - S"&amp;WEEKNUM(BC7,2)-1</f>
        <v>ACOMPANHAMENTO SEMANAL - S30</v>
      </c>
      <c r="BD4" s="27"/>
      <c r="BE4" s="27"/>
      <c r="BF4" s="27"/>
      <c r="BG4" s="27"/>
      <c r="BH4" s="27"/>
      <c r="BI4" s="27"/>
      <c r="BJ4" s="27"/>
      <c r="BK4" s="47"/>
      <c r="BL4" s="28"/>
      <c r="BM4" s="1"/>
      <c r="BN4" s="29" t="s">
        <v>3832</v>
      </c>
      <c r="BO4" s="30"/>
      <c r="BP4" s="30"/>
      <c r="BQ4" s="30"/>
      <c r="BR4" s="10"/>
      <c r="BS4" s="31"/>
      <c r="BT4" s="31"/>
      <c r="BU4" s="31" t="s">
        <v>157</v>
      </c>
      <c r="BV4" s="32"/>
      <c r="BW4" s="32"/>
      <c r="BX4" s="32"/>
      <c r="BY4" s="32"/>
      <c r="BZ4" s="1"/>
      <c r="CA4" s="33" t="s">
        <v>158</v>
      </c>
      <c r="CB4" s="34"/>
      <c r="CC4"/>
      <c r="CD4"/>
      <c r="CE4"/>
    </row>
    <row r="5" spans="1:86" ht="3" customHeight="1">
      <c r="A5" s="64"/>
      <c r="B5" s="11"/>
      <c r="C5" s="1">
        <v>132</v>
      </c>
      <c r="D5" s="1"/>
      <c r="E5" s="1">
        <v>132</v>
      </c>
      <c r="F5" s="1"/>
      <c r="G5" s="1"/>
      <c r="H5" s="55"/>
      <c r="I5" s="1">
        <v>132</v>
      </c>
      <c r="J5" s="1"/>
      <c r="K5" s="9"/>
      <c r="L5" s="9"/>
      <c r="M5" s="9"/>
      <c r="N5" s="9"/>
      <c r="O5" s="9"/>
      <c r="P5" s="9"/>
      <c r="Q5" s="9"/>
      <c r="R5" s="1"/>
      <c r="S5" s="46"/>
      <c r="T5" s="12"/>
      <c r="U5" s="1"/>
      <c r="V5" s="9"/>
      <c r="W5" s="9"/>
      <c r="X5" s="9"/>
      <c r="Y5" s="9"/>
      <c r="Z5" s="9"/>
      <c r="AA5" s="9"/>
      <c r="AB5" s="9"/>
      <c r="AC5" s="1"/>
      <c r="AD5" s="46"/>
      <c r="AE5" s="12"/>
      <c r="AF5" s="1"/>
      <c r="AG5" s="9"/>
      <c r="AH5" s="9"/>
      <c r="AI5" s="9"/>
      <c r="AJ5" s="9"/>
      <c r="AK5" s="9"/>
      <c r="AL5" s="9"/>
      <c r="AM5" s="9"/>
      <c r="AN5" s="1"/>
      <c r="AO5" s="46"/>
      <c r="AP5" s="12"/>
      <c r="AQ5" s="1"/>
      <c r="AR5" s="9"/>
      <c r="AS5" s="9"/>
      <c r="AT5" s="9"/>
      <c r="AU5" s="9"/>
      <c r="AV5" s="9"/>
      <c r="AW5" s="9"/>
      <c r="AX5" s="9"/>
      <c r="AY5" s="1"/>
      <c r="AZ5" s="46"/>
      <c r="BA5" s="12"/>
      <c r="BB5" s="1"/>
      <c r="BC5" s="9"/>
      <c r="BD5" s="9"/>
      <c r="BE5" s="9"/>
      <c r="BF5" s="9"/>
      <c r="BG5" s="9"/>
      <c r="BH5" s="9"/>
      <c r="BI5" s="9"/>
      <c r="BJ5" s="1"/>
      <c r="BK5" s="46"/>
      <c r="BL5" s="12"/>
      <c r="BM5" s="1"/>
      <c r="BN5" s="13">
        <v>46054</v>
      </c>
      <c r="BO5" s="13">
        <v>46081</v>
      </c>
      <c r="BP5" s="14"/>
      <c r="BQ5" s="14"/>
      <c r="BR5" s="1"/>
      <c r="BS5" s="1"/>
      <c r="BT5" s="1"/>
      <c r="BU5" s="1"/>
      <c r="BV5" s="1"/>
      <c r="BW5" s="1"/>
      <c r="BX5" s="1"/>
      <c r="BY5" s="1"/>
      <c r="BZ5" s="1"/>
      <c r="CA5" s="1"/>
      <c r="CB5" s="1"/>
      <c r="CC5" s="3"/>
      <c r="CD5" s="8"/>
      <c r="CE5" s="3"/>
    </row>
    <row r="6" spans="1:86" s="17" customFormat="1" ht="23.45" customHeight="1">
      <c r="A6" s="67"/>
      <c r="B6" s="804" t="s">
        <v>16</v>
      </c>
      <c r="C6" s="805" t="s">
        <v>160</v>
      </c>
      <c r="D6" s="10"/>
      <c r="E6" s="1102">
        <v>46174</v>
      </c>
      <c r="F6" s="15"/>
      <c r="G6" s="797" t="s">
        <v>21</v>
      </c>
      <c r="H6" s="797"/>
      <c r="I6" s="23" t="str">
        <f>TEXT(I7,"dDD")</f>
        <v>ter</v>
      </c>
      <c r="J6" s="10"/>
      <c r="K6" s="25" t="str">
        <f>TEXT(K7,"dDD")</f>
        <v>seg</v>
      </c>
      <c r="L6" s="25" t="str">
        <f t="shared" ref="L6:Q6" si="0">TEXT(L7,"dDD")</f>
        <v>ter</v>
      </c>
      <c r="M6" s="25" t="str">
        <f t="shared" si="0"/>
        <v>qua</v>
      </c>
      <c r="N6" s="25" t="str">
        <f t="shared" si="0"/>
        <v>qui</v>
      </c>
      <c r="O6" s="25" t="str">
        <f>TEXT(O7,"dDD")</f>
        <v>sex</v>
      </c>
      <c r="P6" s="25" t="str">
        <f t="shared" si="0"/>
        <v>sáb</v>
      </c>
      <c r="Q6" s="25" t="str">
        <f t="shared" si="0"/>
        <v>dom</v>
      </c>
      <c r="R6" s="10"/>
      <c r="S6" s="1103" t="str">
        <f>"TOTAL SEMANA
(até "&amp;TEXT(I7,"DD/MM")&amp;")"</f>
        <v>TOTAL SEMANA
(até 14/07)</v>
      </c>
      <c r="T6" s="823" t="s">
        <v>163</v>
      </c>
      <c r="U6" s="10"/>
      <c r="V6" s="25" t="str">
        <f>TEXT(V7,"dDD")</f>
        <v>seg</v>
      </c>
      <c r="W6" s="25" t="str">
        <f t="shared" ref="W6:AB6" si="1">TEXT(W7,"dDD")</f>
        <v>ter</v>
      </c>
      <c r="X6" s="25" t="str">
        <f t="shared" si="1"/>
        <v>qua</v>
      </c>
      <c r="Y6" s="25" t="str">
        <f t="shared" si="1"/>
        <v>qui</v>
      </c>
      <c r="Z6" s="25" t="str">
        <f t="shared" si="1"/>
        <v>sex</v>
      </c>
      <c r="AA6" s="25" t="str">
        <f t="shared" si="1"/>
        <v>sáb</v>
      </c>
      <c r="AB6" s="25" t="str">
        <f t="shared" si="1"/>
        <v>dom</v>
      </c>
      <c r="AC6" s="10"/>
      <c r="AD6" s="1103" t="str">
        <f>"TOTAL SEMANA
(até "&amp;TEXT(I7,"DD/MM")&amp;")"</f>
        <v>TOTAL SEMANA
(até 14/07)</v>
      </c>
      <c r="AE6" s="823" t="s">
        <v>163</v>
      </c>
      <c r="AF6" s="10"/>
      <c r="AG6" s="25" t="str">
        <f>TEXT(AG7,"dDD")</f>
        <v>seg</v>
      </c>
      <c r="AH6" s="25" t="str">
        <f t="shared" ref="AH6:AM6" si="2">TEXT(AH7,"dDD")</f>
        <v>ter</v>
      </c>
      <c r="AI6" s="25" t="str">
        <f t="shared" si="2"/>
        <v>qua</v>
      </c>
      <c r="AJ6" s="25" t="str">
        <f t="shared" si="2"/>
        <v>qui</v>
      </c>
      <c r="AK6" s="25" t="str">
        <f t="shared" si="2"/>
        <v>sex</v>
      </c>
      <c r="AL6" s="25" t="str">
        <f t="shared" si="2"/>
        <v>sáb</v>
      </c>
      <c r="AM6" s="25" t="str">
        <f t="shared" si="2"/>
        <v>dom</v>
      </c>
      <c r="AN6" s="10"/>
      <c r="AO6" s="1103" t="str">
        <f>"TOTAL SEMANA
(até "&amp;TEXT(I7,"DD/MM")&amp;")"</f>
        <v>TOTAL SEMANA
(até 14/07)</v>
      </c>
      <c r="AP6" s="823" t="s">
        <v>163</v>
      </c>
      <c r="AQ6" s="10"/>
      <c r="AR6" s="25" t="str">
        <f>TEXT(AR7,"dDD")</f>
        <v>seg</v>
      </c>
      <c r="AS6" s="25" t="str">
        <f t="shared" ref="AS6:AX6" si="3">TEXT(AS7,"dDD")</f>
        <v>ter</v>
      </c>
      <c r="AT6" s="25" t="str">
        <f t="shared" si="3"/>
        <v>qua</v>
      </c>
      <c r="AU6" s="25" t="str">
        <f t="shared" si="3"/>
        <v>qui</v>
      </c>
      <c r="AV6" s="25" t="str">
        <f t="shared" si="3"/>
        <v>sex</v>
      </c>
      <c r="AW6" s="25" t="str">
        <f t="shared" si="3"/>
        <v>sáb</v>
      </c>
      <c r="AX6" s="25" t="str">
        <f t="shared" si="3"/>
        <v>dom</v>
      </c>
      <c r="AY6" s="10"/>
      <c r="AZ6" s="1103" t="str">
        <f>"TOTAL SEMANA
(até "&amp;TEXT(I7,"DD/MM")&amp;")"</f>
        <v>TOTAL SEMANA
(até 14/07)</v>
      </c>
      <c r="BA6" s="823" t="s">
        <v>163</v>
      </c>
      <c r="BB6" s="10"/>
      <c r="BC6" s="25" t="str">
        <f>TEXT(BC7,"dDD")</f>
        <v>seg</v>
      </c>
      <c r="BD6" s="25" t="str">
        <f t="shared" ref="BD6:BI6" si="4">TEXT(BD7,"dDD")</f>
        <v>ter</v>
      </c>
      <c r="BE6" s="25" t="str">
        <f t="shared" si="4"/>
        <v>qua</v>
      </c>
      <c r="BF6" s="25" t="str">
        <f t="shared" si="4"/>
        <v>qui</v>
      </c>
      <c r="BG6" s="25" t="str">
        <f t="shared" si="4"/>
        <v>sex</v>
      </c>
      <c r="BH6" s="25" t="str">
        <f t="shared" si="4"/>
        <v>sáb</v>
      </c>
      <c r="BI6" s="25" t="str">
        <f t="shared" si="4"/>
        <v>dom</v>
      </c>
      <c r="BJ6" s="10"/>
      <c r="BK6" s="798" t="str">
        <f>"TOTAL SEMANA
(até "&amp;TEXT(I7,"DD/MM")&amp;")"</f>
        <v>TOTAL SEMANA
(até 14/07)</v>
      </c>
      <c r="BL6" s="823" t="s">
        <v>163</v>
      </c>
      <c r="BM6" s="10"/>
      <c r="BN6" s="787" t="s">
        <v>24</v>
      </c>
      <c r="BO6" s="787" t="s">
        <v>25</v>
      </c>
      <c r="BP6" s="787" t="s">
        <v>26</v>
      </c>
      <c r="BQ6" s="787" t="s">
        <v>163</v>
      </c>
      <c r="BR6" s="10"/>
      <c r="BS6" s="1097" t="s">
        <v>3833</v>
      </c>
      <c r="BT6" s="1097" t="s">
        <v>3833</v>
      </c>
      <c r="BU6" s="1097" t="s">
        <v>27</v>
      </c>
      <c r="BV6" s="1104" t="s">
        <v>3834</v>
      </c>
      <c r="BW6" s="1104" t="s">
        <v>3835</v>
      </c>
      <c r="BX6" s="791" t="s">
        <v>3836</v>
      </c>
      <c r="BY6" s="793" t="s">
        <v>163</v>
      </c>
      <c r="BZ6" s="10"/>
      <c r="CA6" s="785" t="s">
        <v>29</v>
      </c>
      <c r="CB6" s="785" t="s">
        <v>30</v>
      </c>
      <c r="CC6" s="15"/>
      <c r="CD6" s="1100" t="str">
        <f>"MEDIA
(até "&amp;TEXT(I7,"DD/MM")&amp;")"</f>
        <v>MEDIA
(até 14/07)</v>
      </c>
      <c r="CE6" s="15"/>
    </row>
    <row r="7" spans="1:86" s="17" customFormat="1" ht="18.399999999999999" customHeight="1">
      <c r="A7" s="68"/>
      <c r="B7" s="804"/>
      <c r="C7" s="806"/>
      <c r="D7" s="10"/>
      <c r="E7" s="806"/>
      <c r="F7" s="15"/>
      <c r="G7" s="797"/>
      <c r="H7" s="797"/>
      <c r="I7" s="24">
        <v>46217</v>
      </c>
      <c r="J7" s="10"/>
      <c r="K7" s="26">
        <v>46202</v>
      </c>
      <c r="L7" s="26">
        <f>K7+1</f>
        <v>46203</v>
      </c>
      <c r="M7" s="26">
        <f t="shared" ref="M7:Q7" si="5">L7+1</f>
        <v>46204</v>
      </c>
      <c r="N7" s="26">
        <f t="shared" si="5"/>
        <v>46205</v>
      </c>
      <c r="O7" s="26">
        <f t="shared" si="5"/>
        <v>46206</v>
      </c>
      <c r="P7" s="26">
        <f t="shared" si="5"/>
        <v>46207</v>
      </c>
      <c r="Q7" s="26">
        <f t="shared" si="5"/>
        <v>46208</v>
      </c>
      <c r="R7" s="10"/>
      <c r="S7" s="1103"/>
      <c r="T7" s="808"/>
      <c r="U7" s="10"/>
      <c r="V7" s="26">
        <f>Q7+1</f>
        <v>46209</v>
      </c>
      <c r="W7" s="26">
        <f>V7+1</f>
        <v>46210</v>
      </c>
      <c r="X7" s="26">
        <f t="shared" ref="X7:AB7" si="6">W7+1</f>
        <v>46211</v>
      </c>
      <c r="Y7" s="26">
        <f t="shared" si="6"/>
        <v>46212</v>
      </c>
      <c r="Z7" s="26">
        <f t="shared" si="6"/>
        <v>46213</v>
      </c>
      <c r="AA7" s="26">
        <f t="shared" si="6"/>
        <v>46214</v>
      </c>
      <c r="AB7" s="26">
        <f t="shared" si="6"/>
        <v>46215</v>
      </c>
      <c r="AC7" s="10"/>
      <c r="AD7" s="1103"/>
      <c r="AE7" s="808"/>
      <c r="AF7" s="10"/>
      <c r="AG7" s="26">
        <f>AB7+1</f>
        <v>46216</v>
      </c>
      <c r="AH7" s="26">
        <f>AG7+1</f>
        <v>46217</v>
      </c>
      <c r="AI7" s="26">
        <f t="shared" ref="AI7:AM7" si="7">AH7+1</f>
        <v>46218</v>
      </c>
      <c r="AJ7" s="26">
        <f t="shared" si="7"/>
        <v>46219</v>
      </c>
      <c r="AK7" s="26">
        <f t="shared" si="7"/>
        <v>46220</v>
      </c>
      <c r="AL7" s="26">
        <f t="shared" si="7"/>
        <v>46221</v>
      </c>
      <c r="AM7" s="26">
        <f t="shared" si="7"/>
        <v>46222</v>
      </c>
      <c r="AN7" s="10"/>
      <c r="AO7" s="1103"/>
      <c r="AP7" s="808"/>
      <c r="AQ7" s="10"/>
      <c r="AR7" s="26">
        <f>AM7+1</f>
        <v>46223</v>
      </c>
      <c r="AS7" s="26">
        <f>AR7+1</f>
        <v>46224</v>
      </c>
      <c r="AT7" s="26">
        <f t="shared" ref="AT7:AX7" si="8">AS7+1</f>
        <v>46225</v>
      </c>
      <c r="AU7" s="26">
        <f t="shared" si="8"/>
        <v>46226</v>
      </c>
      <c r="AV7" s="26">
        <f t="shared" si="8"/>
        <v>46227</v>
      </c>
      <c r="AW7" s="26">
        <f t="shared" si="8"/>
        <v>46228</v>
      </c>
      <c r="AX7" s="26">
        <f t="shared" si="8"/>
        <v>46229</v>
      </c>
      <c r="AY7" s="10"/>
      <c r="AZ7" s="1103"/>
      <c r="BA7" s="808"/>
      <c r="BB7" s="10"/>
      <c r="BC7" s="26">
        <f>AX7+1</f>
        <v>46230</v>
      </c>
      <c r="BD7" s="26">
        <f>BC7+1</f>
        <v>46231</v>
      </c>
      <c r="BE7" s="26">
        <f t="shared" ref="BE7:BI7" si="9">BD7+1</f>
        <v>46232</v>
      </c>
      <c r="BF7" s="26">
        <f t="shared" si="9"/>
        <v>46233</v>
      </c>
      <c r="BG7" s="26">
        <f t="shared" si="9"/>
        <v>46234</v>
      </c>
      <c r="BH7" s="26">
        <f t="shared" si="9"/>
        <v>46235</v>
      </c>
      <c r="BI7" s="26">
        <f t="shared" si="9"/>
        <v>46236</v>
      </c>
      <c r="BJ7" s="10"/>
      <c r="BK7" s="799"/>
      <c r="BL7" s="808"/>
      <c r="BM7" s="10"/>
      <c r="BN7" s="787"/>
      <c r="BO7" s="787"/>
      <c r="BP7" s="787"/>
      <c r="BQ7" s="788"/>
      <c r="BR7" s="10"/>
      <c r="BS7" s="1097"/>
      <c r="BT7" s="1097"/>
      <c r="BU7" s="1097"/>
      <c r="BV7" s="1104"/>
      <c r="BW7" s="1104"/>
      <c r="BX7" s="791"/>
      <c r="BY7" s="793"/>
      <c r="BZ7" s="10"/>
      <c r="CA7" s="785"/>
      <c r="CB7" s="785"/>
      <c r="CC7" s="15"/>
      <c r="CD7" s="1100"/>
      <c r="CE7" s="15"/>
    </row>
    <row r="8" spans="1:86" s="3" customFormat="1" ht="6" customHeight="1">
      <c r="A8" s="69"/>
      <c r="H8" s="36"/>
      <c r="K8" s="5"/>
      <c r="L8" s="5"/>
      <c r="M8" s="5"/>
      <c r="N8" s="5"/>
      <c r="O8" s="5"/>
      <c r="P8" s="5"/>
      <c r="Q8" s="5"/>
      <c r="S8" s="37"/>
      <c r="V8" s="5"/>
      <c r="W8" s="5"/>
      <c r="X8" s="5"/>
      <c r="Y8" s="5"/>
      <c r="Z8" s="5"/>
      <c r="AA8" s="5"/>
      <c r="AB8" s="5"/>
      <c r="AD8" s="37"/>
      <c r="AG8" s="5"/>
      <c r="AH8" s="5"/>
      <c r="AI8" s="5"/>
      <c r="AJ8" s="5"/>
      <c r="AK8" s="5"/>
      <c r="AL8" s="5"/>
      <c r="AM8" s="5"/>
      <c r="AO8" s="37"/>
      <c r="AR8" s="5"/>
      <c r="AS8" s="5"/>
      <c r="AT8" s="5"/>
      <c r="AU8" s="5"/>
      <c r="AV8" s="5"/>
      <c r="AW8" s="5"/>
      <c r="AX8" s="5"/>
      <c r="AZ8" s="37"/>
      <c r="BC8" s="5"/>
      <c r="BD8" s="5"/>
      <c r="BE8" s="5"/>
      <c r="BF8" s="5"/>
      <c r="BG8" s="5"/>
      <c r="BH8" s="5"/>
      <c r="BI8" s="5"/>
      <c r="BK8" s="37"/>
      <c r="BN8" s="18"/>
      <c r="BO8" s="18"/>
      <c r="CD8" s="19"/>
    </row>
    <row r="9" spans="1:86" s="44" customFormat="1" ht="19.350000000000001" customHeight="1">
      <c r="A9" s="70" t="s">
        <v>3837</v>
      </c>
      <c r="B9" s="848" t="s">
        <v>3838</v>
      </c>
      <c r="C9" s="761" t="s">
        <v>36</v>
      </c>
      <c r="D9" s="40"/>
      <c r="E9" s="1093">
        <v>4920454.37</v>
      </c>
      <c r="F9" s="40"/>
      <c r="G9" s="41" t="s">
        <v>37</v>
      </c>
      <c r="H9" s="43">
        <f>SUMIF($K$7:$BI$7,$I$7,K9:BI9)</f>
        <v>27200</v>
      </c>
      <c r="I9" s="762">
        <f>IF(H9=0,IF(H10&gt;0,1,"-"),IFERROR(H10/H9,"-"))</f>
        <v>0.74713235294117653</v>
      </c>
      <c r="J9" s="40"/>
      <c r="K9" s="71">
        <f t="shared" ref="K9:Q10" si="10">K13+K35+K47</f>
        <v>17000</v>
      </c>
      <c r="L9" s="71">
        <f t="shared" si="10"/>
        <v>25700</v>
      </c>
      <c r="M9" s="71">
        <f t="shared" si="10"/>
        <v>25700</v>
      </c>
      <c r="N9" s="71">
        <f t="shared" si="10"/>
        <v>25700</v>
      </c>
      <c r="O9" s="71">
        <f t="shared" si="10"/>
        <v>25700</v>
      </c>
      <c r="P9" s="71">
        <f t="shared" si="10"/>
        <v>25700</v>
      </c>
      <c r="Q9" s="42">
        <f>Q13+Q35</f>
        <v>0</v>
      </c>
      <c r="R9" s="40"/>
      <c r="S9" s="43">
        <f ca="1">SUMIF($K$7:Q$7,"&lt;="&amp;$I$7,K9:P9)</f>
        <v>145500</v>
      </c>
      <c r="T9" s="762">
        <f t="shared" ref="T9" ca="1" si="11">IFERROR((S10/S9),"-")</f>
        <v>0.79949484536082471</v>
      </c>
      <c r="U9" s="40"/>
      <c r="V9" s="71">
        <f t="shared" ref="V9:AA10" si="12">V13+V35+V47</f>
        <v>27700</v>
      </c>
      <c r="W9" s="71">
        <f t="shared" si="12"/>
        <v>27700</v>
      </c>
      <c r="X9" s="71">
        <f t="shared" si="12"/>
        <v>27700</v>
      </c>
      <c r="Y9" s="71">
        <f t="shared" si="12"/>
        <v>27700</v>
      </c>
      <c r="Z9" s="71">
        <f t="shared" si="12"/>
        <v>27700</v>
      </c>
      <c r="AA9" s="71">
        <f t="shared" si="12"/>
        <v>27200</v>
      </c>
      <c r="AB9" s="42">
        <f t="shared" ref="AB9" si="13">AB13+AB35</f>
        <v>0</v>
      </c>
      <c r="AC9" s="40"/>
      <c r="AD9" s="43">
        <f ca="1">SUMIF($V$7:AB$7,"&lt;="&amp;$I$7,V9:AA9)</f>
        <v>165700</v>
      </c>
      <c r="AE9" s="762">
        <f t="shared" ref="AE9" ca="1" si="14">IFERROR((AD10/AD9),"-")</f>
        <v>0.69180446590223299</v>
      </c>
      <c r="AF9" s="40"/>
      <c r="AG9" s="71">
        <f t="shared" ref="AG9:AL10" si="15">AG13+AG35+AG47</f>
        <v>27200</v>
      </c>
      <c r="AH9" s="71">
        <f t="shared" si="15"/>
        <v>27200</v>
      </c>
      <c r="AI9" s="71">
        <f t="shared" si="15"/>
        <v>27200</v>
      </c>
      <c r="AJ9" s="71">
        <f t="shared" si="15"/>
        <v>27200</v>
      </c>
      <c r="AK9" s="71">
        <f t="shared" si="15"/>
        <v>27200</v>
      </c>
      <c r="AL9" s="71">
        <f t="shared" si="15"/>
        <v>26700</v>
      </c>
      <c r="AM9" s="42">
        <f t="shared" ref="AM9" si="16">AM13+AM35</f>
        <v>0</v>
      </c>
      <c r="AN9" s="40"/>
      <c r="AO9" s="43">
        <f ca="1">SUMIF($AG$7:AM$7,"&lt;="&amp;$I$7,AG9:AL9)</f>
        <v>54400</v>
      </c>
      <c r="AP9" s="762">
        <f t="shared" ref="AP9" ca="1" si="17">IFERROR((AO10/AO9),"-")</f>
        <v>0.75565257352941173</v>
      </c>
      <c r="AQ9" s="40"/>
      <c r="AR9" s="71">
        <f>AR13+AR35+AR47</f>
        <v>0</v>
      </c>
      <c r="AS9" s="71">
        <f t="shared" ref="AS9:AW10" si="18">AS13+AS35+AS47</f>
        <v>0</v>
      </c>
      <c r="AT9" s="71">
        <f t="shared" si="18"/>
        <v>0</v>
      </c>
      <c r="AU9" s="71">
        <f t="shared" si="18"/>
        <v>0</v>
      </c>
      <c r="AV9" s="71">
        <f t="shared" si="18"/>
        <v>0</v>
      </c>
      <c r="AW9" s="71">
        <f t="shared" si="18"/>
        <v>0</v>
      </c>
      <c r="AX9" s="42"/>
      <c r="AY9" s="40"/>
      <c r="AZ9" s="43">
        <f ca="1">SUMIF($AR$7:AX$7,"&lt;="&amp;$I$7,AR9:AW9)</f>
        <v>0</v>
      </c>
      <c r="BA9" s="762" t="str">
        <f t="shared" ref="BA9" ca="1" si="19">IFERROR((AZ10/AZ9),"-")</f>
        <v>-</v>
      </c>
      <c r="BB9" s="40"/>
      <c r="BC9" s="71">
        <f>BC13+BC35+BC47</f>
        <v>0</v>
      </c>
      <c r="BD9" s="71">
        <f t="shared" ref="BD9:BH10" si="20">BD13+BD35+BD47</f>
        <v>0</v>
      </c>
      <c r="BE9" s="71">
        <f t="shared" si="20"/>
        <v>0</v>
      </c>
      <c r="BF9" s="71">
        <f t="shared" si="20"/>
        <v>0</v>
      </c>
      <c r="BG9" s="71">
        <f t="shared" si="20"/>
        <v>0</v>
      </c>
      <c r="BH9" s="71">
        <f t="shared" si="20"/>
        <v>0</v>
      </c>
      <c r="BI9" s="42"/>
      <c r="BJ9" s="40"/>
      <c r="BK9" s="43">
        <f ca="1">SUMIF($BC$7:BI$7,"&lt;="&amp;$I$7,BC9:BH9)</f>
        <v>0</v>
      </c>
      <c r="BL9" s="762" t="str">
        <f t="shared" ref="BL9" ca="1" si="21">IFERROR((BK10/BK9),"-")</f>
        <v>-</v>
      </c>
      <c r="BM9" s="40"/>
      <c r="BN9" s="909">
        <v>571518.65</v>
      </c>
      <c r="BO9" s="909">
        <v>254008.28888888887</v>
      </c>
      <c r="BP9" s="910">
        <f>SUM(M10:Q10,V10:AB10,AG10:AM10,AR10:AX10,BC10:BI10)</f>
        <v>226880</v>
      </c>
      <c r="BQ9" s="878">
        <f>IF(BO9=0,IF(BP9&gt;0,1,"-"),IFERROR(BP9/BO9,"-"))</f>
        <v>0.89319919831137629</v>
      </c>
      <c r="BR9" s="40"/>
      <c r="BS9" s="1098">
        <v>4157275.3510259199</v>
      </c>
      <c r="BT9" s="1098">
        <f>BT13+BT35+BT47</f>
        <v>4012864.7</v>
      </c>
      <c r="BU9" s="909">
        <f ca="1">E9+S10+AD10++AO10+AX10+BK10-K10-L10</f>
        <v>5147334.37</v>
      </c>
      <c r="BV9" s="909">
        <v>370</v>
      </c>
      <c r="BW9" s="1030">
        <f ca="1">IFERROR((BU9/BV9),"-")</f>
        <v>13911.714513513514</v>
      </c>
      <c r="BX9" s="909">
        <v>4934087.7406356959</v>
      </c>
      <c r="BY9" s="1032">
        <f ca="1">IFERROR((BU9/BX9),"-")</f>
        <v>1.0432190590386279</v>
      </c>
      <c r="BZ9" s="40"/>
      <c r="CA9" s="909">
        <v>6620711.0199999996</v>
      </c>
      <c r="CB9" s="909">
        <f ca="1">CA9-BU9</f>
        <v>1473376.6499999994</v>
      </c>
      <c r="CC9" s="40"/>
      <c r="CD9" s="43">
        <f>IFERROR(AVERAGEIF($V$7:AB$7,"&lt;="&amp;$I$7,V9:AB9),0)</f>
        <v>23671.428571428572</v>
      </c>
      <c r="CE9" s="40"/>
      <c r="CH9" s="93" t="str">
        <f t="shared" ref="CH9:CH72" si="22">IF(B9&lt;&gt;"",B9,CH8)</f>
        <v>Escavação 1ª e 2ª categoria</v>
      </c>
    </row>
    <row r="10" spans="1:86" s="44" customFormat="1" ht="19.350000000000001" customHeight="1">
      <c r="A10" s="70"/>
      <c r="B10" s="1066"/>
      <c r="C10" s="761"/>
      <c r="D10" s="40"/>
      <c r="E10" s="1094"/>
      <c r="F10" s="40"/>
      <c r="G10" s="45" t="s">
        <v>38</v>
      </c>
      <c r="H10" s="43">
        <f>SUMIF($K$7:$BI$7,$I$7,K10:BI10)</f>
        <v>20322</v>
      </c>
      <c r="I10" s="763"/>
      <c r="J10" s="40"/>
      <c r="K10" s="72">
        <f t="shared" si="10"/>
        <v>23727.5</v>
      </c>
      <c r="L10" s="72">
        <f t="shared" si="10"/>
        <v>21458.5</v>
      </c>
      <c r="M10" s="72">
        <f t="shared" si="10"/>
        <v>20661</v>
      </c>
      <c r="N10" s="72">
        <f t="shared" si="10"/>
        <v>20241.5</v>
      </c>
      <c r="O10" s="72">
        <f>O14+O36+O48</f>
        <v>15756.5</v>
      </c>
      <c r="P10" s="72">
        <f t="shared" si="10"/>
        <v>14481.5</v>
      </c>
      <c r="Q10" s="72">
        <f t="shared" si="10"/>
        <v>0</v>
      </c>
      <c r="R10" s="40"/>
      <c r="S10" s="43">
        <f>SUMIF($K$7:Q$7,"&lt;="&amp;$I$7,K10:Q10)</f>
        <v>116326.5</v>
      </c>
      <c r="T10" s="763"/>
      <c r="U10" s="40"/>
      <c r="V10" s="72">
        <f t="shared" si="12"/>
        <v>19540</v>
      </c>
      <c r="W10" s="72">
        <f t="shared" si="12"/>
        <v>20076</v>
      </c>
      <c r="X10" s="72">
        <f t="shared" si="12"/>
        <v>18796</v>
      </c>
      <c r="Y10" s="72">
        <f t="shared" si="12"/>
        <v>21136</v>
      </c>
      <c r="Z10" s="72">
        <f t="shared" si="12"/>
        <v>19312</v>
      </c>
      <c r="AA10" s="72">
        <f t="shared" si="12"/>
        <v>15772</v>
      </c>
      <c r="AB10" s="43">
        <f>AB14+AB48</f>
        <v>0</v>
      </c>
      <c r="AC10" s="40"/>
      <c r="AD10" s="140">
        <f ca="1">SUMIF($V$7:AB$7,"&lt;="&amp;$I$7,V10:AA10)</f>
        <v>114632</v>
      </c>
      <c r="AE10" s="763"/>
      <c r="AF10" s="40"/>
      <c r="AG10" s="72">
        <f t="shared" si="15"/>
        <v>20785.5</v>
      </c>
      <c r="AH10" s="72">
        <f t="shared" si="15"/>
        <v>20322</v>
      </c>
      <c r="AI10" s="72">
        <f t="shared" si="15"/>
        <v>0</v>
      </c>
      <c r="AJ10" s="72">
        <f t="shared" si="15"/>
        <v>0</v>
      </c>
      <c r="AK10" s="72">
        <f t="shared" si="15"/>
        <v>0</v>
      </c>
      <c r="AL10" s="72">
        <f t="shared" si="15"/>
        <v>0</v>
      </c>
      <c r="AM10" s="43">
        <f>AM14+AM48</f>
        <v>0</v>
      </c>
      <c r="AN10" s="40"/>
      <c r="AO10" s="43">
        <f ca="1">SUMIF($AG$7:AM$7,"&lt;="&amp;$I$7,AG10:AL10)</f>
        <v>41107.5</v>
      </c>
      <c r="AP10" s="763"/>
      <c r="AQ10" s="40"/>
      <c r="AR10" s="72">
        <f>AR14+AR36+AR48</f>
        <v>0</v>
      </c>
      <c r="AS10" s="72">
        <f t="shared" si="18"/>
        <v>0</v>
      </c>
      <c r="AT10" s="72">
        <f t="shared" si="18"/>
        <v>0</v>
      </c>
      <c r="AU10" s="72">
        <f t="shared" si="18"/>
        <v>0</v>
      </c>
      <c r="AV10" s="72">
        <f t="shared" si="18"/>
        <v>0</v>
      </c>
      <c r="AW10" s="72">
        <f t="shared" si="18"/>
        <v>0</v>
      </c>
      <c r="AX10" s="43">
        <f>AX14+AX48</f>
        <v>0</v>
      </c>
      <c r="AY10" s="40"/>
      <c r="AZ10" s="43">
        <f ca="1">SUMIF($AR$7:AX$7,"&lt;="&amp;$I$7,AR10:AW10)</f>
        <v>0</v>
      </c>
      <c r="BA10" s="763"/>
      <c r="BB10" s="40"/>
      <c r="BC10" s="72">
        <f>BC14+BC36+BC48</f>
        <v>0</v>
      </c>
      <c r="BD10" s="72">
        <f t="shared" si="20"/>
        <v>0</v>
      </c>
      <c r="BE10" s="72">
        <f t="shared" si="20"/>
        <v>0</v>
      </c>
      <c r="BF10" s="72">
        <f t="shared" si="20"/>
        <v>0</v>
      </c>
      <c r="BG10" s="72">
        <f t="shared" si="20"/>
        <v>0</v>
      </c>
      <c r="BH10" s="72">
        <f t="shared" si="20"/>
        <v>0</v>
      </c>
      <c r="BI10" s="43">
        <f>BI14+BI48</f>
        <v>0</v>
      </c>
      <c r="BJ10" s="40"/>
      <c r="BK10" s="43">
        <f ca="1">SUMIF($BC$7:BI$7,"&lt;="&amp;$I$7,BC10:BH10)</f>
        <v>0</v>
      </c>
      <c r="BL10" s="763"/>
      <c r="BM10" s="40"/>
      <c r="BN10" s="910"/>
      <c r="BO10" s="910"/>
      <c r="BP10" s="910"/>
      <c r="BQ10" s="879"/>
      <c r="BR10" s="40"/>
      <c r="BS10" s="1099"/>
      <c r="BT10" s="1099"/>
      <c r="BU10" s="910"/>
      <c r="BV10" s="910"/>
      <c r="BW10" s="1031"/>
      <c r="BX10" s="910"/>
      <c r="BY10" s="1033"/>
      <c r="BZ10" s="40"/>
      <c r="CA10" s="910"/>
      <c r="CB10" s="910"/>
      <c r="CC10" s="40"/>
      <c r="CD10" s="43">
        <f>IFERROR(AVERAGEIF($V$7:AB$7,"&lt;="&amp;$I$7,V10:AB10),0)</f>
        <v>16376</v>
      </c>
      <c r="CE10" s="40"/>
      <c r="CH10" s="93" t="str">
        <f t="shared" si="22"/>
        <v>Escavação 1ª e 2ª categoria</v>
      </c>
    </row>
    <row r="11" spans="1:86" ht="3.6" customHeight="1">
      <c r="A11" s="69"/>
      <c r="B11" s="3"/>
      <c r="E11" s="3"/>
      <c r="F11" s="3"/>
      <c r="H11" s="57"/>
      <c r="I11" s="3"/>
      <c r="J11" s="3"/>
      <c r="K11" s="37"/>
      <c r="L11" s="37"/>
      <c r="M11" s="37"/>
      <c r="N11" s="37"/>
      <c r="O11" s="37"/>
      <c r="P11" s="37"/>
      <c r="Q11" s="37"/>
      <c r="R11" s="3"/>
      <c r="S11" s="37"/>
      <c r="T11" s="3"/>
      <c r="U11" s="3"/>
      <c r="V11" s="37"/>
      <c r="W11" s="37"/>
      <c r="X11" s="37"/>
      <c r="Y11" s="37"/>
      <c r="Z11" s="37"/>
      <c r="AA11" s="37"/>
      <c r="AB11" s="37"/>
      <c r="AC11" s="3"/>
      <c r="AD11" s="37"/>
      <c r="AE11" s="3"/>
      <c r="AF11" s="3"/>
      <c r="AG11" s="37"/>
      <c r="AH11" s="37"/>
      <c r="AI11" s="37"/>
      <c r="AJ11" s="37"/>
      <c r="AK11" s="37"/>
      <c r="AL11" s="37"/>
      <c r="AM11" s="37"/>
      <c r="AN11" s="3"/>
      <c r="AO11" s="37"/>
      <c r="AP11" s="3"/>
      <c r="AQ11" s="3"/>
      <c r="AR11" s="37"/>
      <c r="AS11" s="37"/>
      <c r="AT11" s="37"/>
      <c r="AU11" s="37"/>
      <c r="AV11" s="37"/>
      <c r="AW11" s="37"/>
      <c r="AX11" s="37"/>
      <c r="AY11" s="3"/>
      <c r="AZ11" s="37"/>
      <c r="BA11" s="3"/>
      <c r="BB11" s="3"/>
      <c r="BC11" s="37"/>
      <c r="BD11" s="37"/>
      <c r="BE11" s="37"/>
      <c r="BF11" s="37"/>
      <c r="BG11" s="37"/>
      <c r="BH11" s="37"/>
      <c r="BI11" s="37"/>
      <c r="BJ11" s="3"/>
      <c r="BK11" s="37"/>
      <c r="BL11" s="3"/>
      <c r="BM11" s="3"/>
      <c r="BN11" s="35"/>
      <c r="BO11" s="36"/>
      <c r="BP11" s="35"/>
      <c r="BQ11" s="3"/>
      <c r="BR11" s="3"/>
      <c r="BS11" s="36"/>
      <c r="BT11" s="36"/>
      <c r="BU11" s="36"/>
      <c r="BV11" s="36"/>
      <c r="BW11" s="36"/>
      <c r="BX11" s="36"/>
      <c r="BY11" s="3"/>
      <c r="BZ11" s="3"/>
      <c r="CA11" s="36"/>
      <c r="CB11" s="36"/>
      <c r="CC11" s="3"/>
      <c r="CD11" s="19"/>
      <c r="CE11" s="3"/>
      <c r="CH11" s="93" t="str">
        <f t="shared" si="22"/>
        <v>Escavação 1ª e 2ª categoria</v>
      </c>
    </row>
    <row r="12" spans="1:86" ht="4.5" customHeight="1">
      <c r="A12" s="69"/>
      <c r="B12" s="3"/>
      <c r="C12" s="3"/>
      <c r="E12" s="3"/>
      <c r="F12" s="3"/>
      <c r="G12" s="3"/>
      <c r="H12" s="36"/>
      <c r="I12" s="3"/>
      <c r="J12" s="3"/>
      <c r="K12" s="37"/>
      <c r="L12" s="37"/>
      <c r="M12" s="37"/>
      <c r="N12" s="37"/>
      <c r="O12" s="37"/>
      <c r="P12" s="37"/>
      <c r="Q12" s="37"/>
      <c r="R12" s="3"/>
      <c r="S12" s="37"/>
      <c r="T12" s="3"/>
      <c r="U12" s="3"/>
      <c r="V12" s="37"/>
      <c r="W12" s="37"/>
      <c r="X12" s="37"/>
      <c r="Y12" s="37"/>
      <c r="Z12" s="37"/>
      <c r="AA12" s="37"/>
      <c r="AB12" s="37"/>
      <c r="AC12" s="3"/>
      <c r="AD12" s="37"/>
      <c r="AE12" s="3"/>
      <c r="AF12" s="3"/>
      <c r="AG12" s="37"/>
      <c r="AH12" s="37"/>
      <c r="AI12" s="37"/>
      <c r="AJ12" s="37"/>
      <c r="AK12" s="37"/>
      <c r="AL12" s="37"/>
      <c r="AM12" s="37"/>
      <c r="AN12" s="3"/>
      <c r="AO12" s="37"/>
      <c r="AP12" s="3"/>
      <c r="AQ12" s="3"/>
      <c r="AR12" s="37"/>
      <c r="AS12" s="37"/>
      <c r="AT12" s="37"/>
      <c r="AU12" s="37"/>
      <c r="AV12" s="37"/>
      <c r="AW12" s="37"/>
      <c r="AX12" s="37"/>
      <c r="AY12" s="3"/>
      <c r="AZ12" s="37"/>
      <c r="BA12" s="3"/>
      <c r="BB12" s="3"/>
      <c r="BC12" s="37"/>
      <c r="BD12" s="37"/>
      <c r="BE12" s="37"/>
      <c r="BF12" s="37"/>
      <c r="BG12" s="37"/>
      <c r="BH12" s="37"/>
      <c r="BI12" s="37"/>
      <c r="BJ12" s="3"/>
      <c r="BK12" s="37"/>
      <c r="BL12" s="3"/>
      <c r="BM12" s="3"/>
      <c r="BN12" s="35"/>
      <c r="BO12" s="36"/>
      <c r="BP12" s="35"/>
      <c r="BQ12" s="3"/>
      <c r="BR12" s="3"/>
      <c r="BS12" s="36"/>
      <c r="BT12" s="36"/>
      <c r="BU12" s="36"/>
      <c r="BV12" s="36"/>
      <c r="BW12" s="36"/>
      <c r="BX12" s="36"/>
      <c r="BY12" s="3"/>
      <c r="BZ12" s="3"/>
      <c r="CA12" s="36"/>
      <c r="CB12" s="36"/>
      <c r="CC12" s="3"/>
      <c r="CD12" s="19"/>
      <c r="CE12" s="3"/>
      <c r="CH12" s="93" t="str">
        <f t="shared" si="22"/>
        <v>Escavação 1ª e 2ª categoria</v>
      </c>
    </row>
    <row r="13" spans="1:86" s="21" customFormat="1" ht="14.65" hidden="1" customHeight="1" outlineLevel="1">
      <c r="A13" s="73" t="s">
        <v>3839</v>
      </c>
      <c r="B13" s="1069" t="s">
        <v>3840</v>
      </c>
      <c r="C13" s="1071" t="s">
        <v>36</v>
      </c>
      <c r="D13" s="2"/>
      <c r="E13" s="1019">
        <v>2021761.0512030071</v>
      </c>
      <c r="F13" s="2"/>
      <c r="G13" s="53" t="s">
        <v>37</v>
      </c>
      <c r="H13" s="52">
        <f t="shared" ref="H13:H32" si="23">SUMIF($K$7:$BI$7,$I$7,K13:BI13)</f>
        <v>5000</v>
      </c>
      <c r="I13" s="743">
        <f t="shared" ref="I13" si="24">IF(H13=0,IF(H14&gt;0,1,"-"),IFERROR(H14/H13,"-"))</f>
        <v>0.78879999999999995</v>
      </c>
      <c r="J13" s="2"/>
      <c r="K13" s="52">
        <f t="shared" ref="K13:Q13" si="25">SUMIF($G$15:$G$32,$G$13,K15:K32)</f>
        <v>2000</v>
      </c>
      <c r="L13" s="52">
        <f t="shared" si="25"/>
        <v>3500</v>
      </c>
      <c r="M13" s="52">
        <f t="shared" si="25"/>
        <v>3500</v>
      </c>
      <c r="N13" s="52">
        <f t="shared" si="25"/>
        <v>3500</v>
      </c>
      <c r="O13" s="52">
        <f t="shared" si="25"/>
        <v>3500</v>
      </c>
      <c r="P13" s="52">
        <f t="shared" si="25"/>
        <v>3500</v>
      </c>
      <c r="Q13" s="52">
        <f t="shared" si="25"/>
        <v>0</v>
      </c>
      <c r="R13" s="2"/>
      <c r="S13" s="52">
        <f ca="1">SUMIF($K$7:Q$7,"&lt;="&amp;$I$7,K13:P13)</f>
        <v>19500</v>
      </c>
      <c r="T13" s="743">
        <f ca="1">IFERROR((S14/S13),"-")</f>
        <v>1.119102564102564</v>
      </c>
      <c r="U13" s="2"/>
      <c r="V13" s="52">
        <f t="shared" ref="V13:AA13" si="26">SUMIF($G$15:$G$32,$G$13,V15:V32)</f>
        <v>5000</v>
      </c>
      <c r="W13" s="52">
        <f t="shared" si="26"/>
        <v>5000</v>
      </c>
      <c r="X13" s="52">
        <f t="shared" si="26"/>
        <v>5000</v>
      </c>
      <c r="Y13" s="52">
        <f t="shared" si="26"/>
        <v>5000</v>
      </c>
      <c r="Z13" s="52">
        <f t="shared" si="26"/>
        <v>5000</v>
      </c>
      <c r="AA13" s="52">
        <f t="shared" si="26"/>
        <v>5000</v>
      </c>
      <c r="AB13" s="52">
        <f t="shared" ref="AB13:AB14" si="27">AB23</f>
        <v>0</v>
      </c>
      <c r="AC13" s="2"/>
      <c r="AD13" s="52">
        <f>SUMIF($V$7:AB$7,"&lt;="&amp;$I$7,V13:AB13)</f>
        <v>30000</v>
      </c>
      <c r="AE13" s="743">
        <f>IFERROR((AD14/AD13),"-")</f>
        <v>0.58145000000000002</v>
      </c>
      <c r="AF13" s="2"/>
      <c r="AG13" s="52">
        <f t="shared" ref="AG13:AL13" si="28">SUMIF($G$15:$G$32,$G$13,AG15:AG32)</f>
        <v>5000</v>
      </c>
      <c r="AH13" s="52">
        <f t="shared" si="28"/>
        <v>5000</v>
      </c>
      <c r="AI13" s="52">
        <f t="shared" si="28"/>
        <v>5000</v>
      </c>
      <c r="AJ13" s="52">
        <f t="shared" si="28"/>
        <v>5000</v>
      </c>
      <c r="AK13" s="52">
        <f t="shared" si="28"/>
        <v>5000</v>
      </c>
      <c r="AL13" s="52">
        <f t="shared" si="28"/>
        <v>5000</v>
      </c>
      <c r="AM13" s="52">
        <f t="shared" ref="AM13:AM14" si="29">AM23</f>
        <v>0</v>
      </c>
      <c r="AN13" s="2"/>
      <c r="AO13" s="52">
        <f ca="1">SUMIF($AG$7:AM$7,"&lt;="&amp;$I$7,AG13:AL13)</f>
        <v>10000</v>
      </c>
      <c r="AP13" s="743">
        <f ca="1">IFERROR((AO14/AO13),"-")</f>
        <v>0.82215000000000005</v>
      </c>
      <c r="AQ13" s="2"/>
      <c r="AR13" s="52">
        <f t="shared" ref="AR13:AW13" si="30">SUMIF($G$15:$G$32,$G$13,AR15:AR32)</f>
        <v>0</v>
      </c>
      <c r="AS13" s="52">
        <f t="shared" si="30"/>
        <v>0</v>
      </c>
      <c r="AT13" s="52">
        <f t="shared" si="30"/>
        <v>0</v>
      </c>
      <c r="AU13" s="52">
        <f t="shared" si="30"/>
        <v>0</v>
      </c>
      <c r="AV13" s="52">
        <f t="shared" si="30"/>
        <v>0</v>
      </c>
      <c r="AW13" s="52">
        <f t="shared" si="30"/>
        <v>0</v>
      </c>
      <c r="AX13" s="52">
        <f t="shared" ref="AX13:AX14" si="31">AX23</f>
        <v>0</v>
      </c>
      <c r="AY13" s="2"/>
      <c r="AZ13" s="52">
        <f ca="1">SUMIF($AR$7:AX$7,"&lt;="&amp;$I$7,AR13:AW13)</f>
        <v>0</v>
      </c>
      <c r="BA13" s="743" t="str">
        <f ca="1">IFERROR((AZ14/AZ13),"-")</f>
        <v>-</v>
      </c>
      <c r="BB13" s="2"/>
      <c r="BC13" s="52">
        <f t="shared" ref="BC13:BH13" si="32">SUMIF($G$15:$G$32,$G$13,BC15:BC32)</f>
        <v>0</v>
      </c>
      <c r="BD13" s="52">
        <f t="shared" si="32"/>
        <v>0</v>
      </c>
      <c r="BE13" s="52">
        <f t="shared" si="32"/>
        <v>0</v>
      </c>
      <c r="BF13" s="52">
        <f t="shared" si="32"/>
        <v>0</v>
      </c>
      <c r="BG13" s="52">
        <f t="shared" si="32"/>
        <v>0</v>
      </c>
      <c r="BH13" s="52">
        <f t="shared" si="32"/>
        <v>0</v>
      </c>
      <c r="BI13" s="52">
        <f t="shared" ref="BI13:BI14" si="33">BI23</f>
        <v>0</v>
      </c>
      <c r="BJ13" s="2"/>
      <c r="BK13" s="52">
        <f ca="1">SUMIF($BC$7:BI$7,"&lt;="&amp;$I$7,BC13:BH13)</f>
        <v>0</v>
      </c>
      <c r="BL13" s="743" t="str">
        <f ca="1">IFERROR((BK14/BK13),"-")</f>
        <v>-</v>
      </c>
      <c r="BM13" s="2"/>
      <c r="BN13" s="888">
        <v>104205.54999999997</v>
      </c>
      <c r="BO13" s="888">
        <v>3125</v>
      </c>
      <c r="BP13" s="888">
        <f>SUM(BP15:BP32)</f>
        <v>39019.5</v>
      </c>
      <c r="BQ13" s="743">
        <f>IFERROR((BP13/BO13),"-")</f>
        <v>12.48624</v>
      </c>
      <c r="BR13" s="2"/>
      <c r="BS13" s="888">
        <f>SUM(BS15:BS32)</f>
        <v>1908892.0699999996</v>
      </c>
      <c r="BT13" s="888">
        <v>1805429.6299999997</v>
      </c>
      <c r="BU13" s="888">
        <f ca="1">E13+S14+AD14+AO14+AZ14+BK14-K14-L14</f>
        <v>2060780.5512030071</v>
      </c>
      <c r="BV13" s="888">
        <v>210</v>
      </c>
      <c r="BW13" s="1019">
        <f ca="1">IFERROR((BU13/BV13),"-")</f>
        <v>9813.2407200143189</v>
      </c>
      <c r="BX13" s="888">
        <f>SUM(BX15:BX32)</f>
        <v>1913735.8349999997</v>
      </c>
      <c r="BY13" s="743">
        <f ca="1">IFERROR((BU13/BX13),"-")</f>
        <v>1.0768364752928439</v>
      </c>
      <c r="BZ13" s="2"/>
      <c r="CA13" s="888">
        <f>SUM(CA15:CA32)</f>
        <v>2328849.84</v>
      </c>
      <c r="CB13" s="888">
        <f ca="1">CA13-BU13</f>
        <v>268069.28879699274</v>
      </c>
      <c r="CC13" s="2"/>
      <c r="CD13" s="84">
        <f>IFERROR(AVERAGEIF($V$7:AB$7,"&lt;="&amp;$I$7,V13:AB13),0)</f>
        <v>4285.7142857142853</v>
      </c>
      <c r="CE13" s="2"/>
      <c r="CH13" s="93" t="str">
        <f t="shared" si="22"/>
        <v>Segmento 3.2 - km 167+300 a 202+700</v>
      </c>
    </row>
    <row r="14" spans="1:86" s="16" customFormat="1" ht="20.45" hidden="1" customHeight="1" outlineLevel="1">
      <c r="A14" s="74"/>
      <c r="B14" s="1070"/>
      <c r="C14" s="1072"/>
      <c r="D14" s="2"/>
      <c r="E14" s="1060"/>
      <c r="F14" s="2"/>
      <c r="G14" s="54" t="s">
        <v>38</v>
      </c>
      <c r="H14" s="52">
        <f t="shared" si="23"/>
        <v>3944</v>
      </c>
      <c r="I14" s="744"/>
      <c r="J14" s="2"/>
      <c r="K14" s="52">
        <f t="shared" ref="K14:Q14" si="34">SUMIF($G$15:$G$32,$G$14,K15:K32)</f>
        <v>3784.5</v>
      </c>
      <c r="L14" s="52">
        <f t="shared" si="34"/>
        <v>4683.5</v>
      </c>
      <c r="M14" s="52">
        <f t="shared" si="34"/>
        <v>3335</v>
      </c>
      <c r="N14" s="52">
        <f t="shared" si="34"/>
        <v>5017</v>
      </c>
      <c r="O14" s="52">
        <f t="shared" si="34"/>
        <v>2581</v>
      </c>
      <c r="P14" s="52">
        <f t="shared" si="34"/>
        <v>2421.5</v>
      </c>
      <c r="Q14" s="52">
        <f t="shared" si="34"/>
        <v>0</v>
      </c>
      <c r="R14" s="2"/>
      <c r="S14" s="52">
        <f ca="1">SUMIF($K$7:Q$7,"&lt;="&amp;$I$7,K14:P14)</f>
        <v>21822.5</v>
      </c>
      <c r="T14" s="744"/>
      <c r="U14" s="2"/>
      <c r="V14" s="75">
        <f t="shared" ref="V14:AA14" si="35">SUMIF($G$15:$G$32,$G$14,V15:V32)</f>
        <v>3045</v>
      </c>
      <c r="W14" s="75">
        <f t="shared" si="35"/>
        <v>2624.5</v>
      </c>
      <c r="X14" s="75">
        <f t="shared" si="35"/>
        <v>3364</v>
      </c>
      <c r="Y14" s="75">
        <f t="shared" si="35"/>
        <v>2668</v>
      </c>
      <c r="Z14" s="75">
        <f t="shared" si="35"/>
        <v>2682.5</v>
      </c>
      <c r="AA14" s="75">
        <f t="shared" si="35"/>
        <v>3059.5</v>
      </c>
      <c r="AB14" s="52">
        <f t="shared" si="27"/>
        <v>0</v>
      </c>
      <c r="AC14" s="2"/>
      <c r="AD14" s="52">
        <f>SUMIF($V$7:AB$7,"&lt;="&amp;$I$7,V14:AB14)</f>
        <v>17443.5</v>
      </c>
      <c r="AE14" s="744"/>
      <c r="AF14" s="2"/>
      <c r="AG14" s="75">
        <f t="shared" ref="AG14:AL14" si="36">SUMIF($G$15:$G$32,$G$14,AG15:AG32)</f>
        <v>4277.5</v>
      </c>
      <c r="AH14" s="75">
        <f t="shared" si="36"/>
        <v>3944</v>
      </c>
      <c r="AI14" s="75">
        <f t="shared" si="36"/>
        <v>0</v>
      </c>
      <c r="AJ14" s="75">
        <f t="shared" si="36"/>
        <v>0</v>
      </c>
      <c r="AK14" s="75">
        <f t="shared" si="36"/>
        <v>0</v>
      </c>
      <c r="AL14" s="75">
        <f t="shared" si="36"/>
        <v>0</v>
      </c>
      <c r="AM14" s="52">
        <f t="shared" si="29"/>
        <v>0</v>
      </c>
      <c r="AN14" s="2"/>
      <c r="AO14" s="52">
        <f ca="1">SUMIF($AG$7:AM$7,"&lt;="&amp;$I$7,AG14:AL14)</f>
        <v>8221.5</v>
      </c>
      <c r="AP14" s="744"/>
      <c r="AQ14" s="2"/>
      <c r="AR14" s="52">
        <f t="shared" ref="AR14:AW14" si="37">SUMIF($G$15:$G$32,$G$14,AR15:AR32)</f>
        <v>0</v>
      </c>
      <c r="AS14" s="52">
        <f t="shared" si="37"/>
        <v>0</v>
      </c>
      <c r="AT14" s="52">
        <f t="shared" si="37"/>
        <v>0</v>
      </c>
      <c r="AU14" s="52">
        <f t="shared" si="37"/>
        <v>0</v>
      </c>
      <c r="AV14" s="52">
        <f t="shared" si="37"/>
        <v>0</v>
      </c>
      <c r="AW14" s="52">
        <f t="shared" si="37"/>
        <v>0</v>
      </c>
      <c r="AX14" s="52">
        <f t="shared" si="31"/>
        <v>0</v>
      </c>
      <c r="AY14" s="2"/>
      <c r="AZ14" s="52">
        <f ca="1">SUMIF($AR$7:AX$7,"&lt;="&amp;$I$7,AR14:AW14)</f>
        <v>0</v>
      </c>
      <c r="BA14" s="744"/>
      <c r="BB14" s="2"/>
      <c r="BC14" s="52">
        <f t="shared" ref="BC14:BH14" si="38">SUMIF($G$15:$G$32,$G$14,BC15:BC32)</f>
        <v>0</v>
      </c>
      <c r="BD14" s="52">
        <f t="shared" si="38"/>
        <v>0</v>
      </c>
      <c r="BE14" s="52">
        <f t="shared" si="38"/>
        <v>0</v>
      </c>
      <c r="BF14" s="52">
        <f t="shared" si="38"/>
        <v>0</v>
      </c>
      <c r="BG14" s="52">
        <f t="shared" si="38"/>
        <v>0</v>
      </c>
      <c r="BH14" s="52">
        <f t="shared" si="38"/>
        <v>0</v>
      </c>
      <c r="BI14" s="52">
        <f t="shared" si="33"/>
        <v>0</v>
      </c>
      <c r="BJ14" s="2"/>
      <c r="BK14" s="52">
        <f ca="1">SUMIF($BC$7:BI$7,"&lt;="&amp;$I$7,BC14:BH14)</f>
        <v>0</v>
      </c>
      <c r="BL14" s="744"/>
      <c r="BM14" s="2"/>
      <c r="BN14" s="889"/>
      <c r="BO14" s="889"/>
      <c r="BP14" s="889"/>
      <c r="BQ14" s="744"/>
      <c r="BR14" s="2"/>
      <c r="BS14" s="889"/>
      <c r="BT14" s="889"/>
      <c r="BU14" s="889"/>
      <c r="BV14" s="889"/>
      <c r="BW14" s="1020"/>
      <c r="BX14" s="889"/>
      <c r="BY14" s="744"/>
      <c r="BZ14" s="2"/>
      <c r="CA14" s="889"/>
      <c r="CB14" s="889"/>
      <c r="CC14" s="2"/>
      <c r="CD14" s="84">
        <f>IFERROR(AVERAGEIF($V$7:AB$7,"&lt;="&amp;$I$7,V14:AB14),0)</f>
        <v>2491.9285714285716</v>
      </c>
      <c r="CE14" s="2"/>
      <c r="CH14" s="93" t="str">
        <f t="shared" si="22"/>
        <v>Segmento 3.2 - km 167+300 a 202+700</v>
      </c>
    </row>
    <row r="15" spans="1:86" s="16" customFormat="1" ht="15.75" hidden="1" customHeight="1" outlineLevel="2">
      <c r="A15" s="74"/>
      <c r="B15" s="1078" t="s">
        <v>3841</v>
      </c>
      <c r="C15" s="1023" t="s">
        <v>36</v>
      </c>
      <c r="D15" s="2"/>
      <c r="E15" s="1004">
        <v>1053367.6499999999</v>
      </c>
      <c r="F15" s="2"/>
      <c r="G15" s="49" t="s">
        <v>37</v>
      </c>
      <c r="H15" s="705">
        <f t="shared" si="23"/>
        <v>0</v>
      </c>
      <c r="I15" s="878" t="str">
        <f t="shared" ref="I15" si="39">IF(H15=0,IF(H16&gt;0,1,"-"),IFERROR(H16/H15,"-"))</f>
        <v>-</v>
      </c>
      <c r="J15" s="2"/>
      <c r="K15" s="705"/>
      <c r="L15" s="705"/>
      <c r="M15" s="705"/>
      <c r="N15" s="705"/>
      <c r="O15" s="705"/>
      <c r="P15" s="705"/>
      <c r="Q15" s="705"/>
      <c r="R15" s="2"/>
      <c r="S15" s="705">
        <f>SUM(K15:P15)</f>
        <v>0</v>
      </c>
      <c r="T15" s="878" t="str">
        <f>IFERROR((S16/S15),"-")</f>
        <v>-</v>
      </c>
      <c r="U15" s="2"/>
      <c r="V15" s="705"/>
      <c r="W15" s="705"/>
      <c r="X15" s="705"/>
      <c r="Y15" s="705"/>
      <c r="Z15" s="705"/>
      <c r="AA15" s="705"/>
      <c r="AB15" s="705"/>
      <c r="AC15" s="2"/>
      <c r="AD15" s="705">
        <f ca="1">SUMIF($V$7:AB$7,"&lt;="&amp;$I$7,V15:AA15)</f>
        <v>0</v>
      </c>
      <c r="AE15" s="878" t="str">
        <f ca="1">IFERROR((AD16/AD15),"-")</f>
        <v>-</v>
      </c>
      <c r="AF15" s="2"/>
      <c r="AG15" s="705"/>
      <c r="AH15" s="705"/>
      <c r="AI15" s="705"/>
      <c r="AJ15" s="705"/>
      <c r="AK15" s="705"/>
      <c r="AL15" s="705"/>
      <c r="AM15" s="705"/>
      <c r="AN15" s="2"/>
      <c r="AO15" s="705">
        <f ca="1">SUMIF($AG$7:AM$7,"&lt;="&amp;$I$7,AG15:AL15)</f>
        <v>0</v>
      </c>
      <c r="AP15" s="878" t="str">
        <f ca="1">IFERROR((AO16/AO15),"-")</f>
        <v>-</v>
      </c>
      <c r="AQ15" s="2"/>
      <c r="AR15" s="705"/>
      <c r="AS15" s="705"/>
      <c r="AT15" s="705"/>
      <c r="AU15" s="705"/>
      <c r="AV15" s="705"/>
      <c r="AW15" s="705"/>
      <c r="AX15" s="705"/>
      <c r="AY15" s="2"/>
      <c r="AZ15" s="705">
        <f ca="1">SUMIF($AR$7:AX$7,"&lt;="&amp;$I$7,AR15:AW15)</f>
        <v>0</v>
      </c>
      <c r="BA15" s="878" t="str">
        <f ca="1">IFERROR((AZ16/AZ15),"-")</f>
        <v>-</v>
      </c>
      <c r="BB15" s="2"/>
      <c r="BC15" s="705"/>
      <c r="BD15" s="705"/>
      <c r="BE15" s="705"/>
      <c r="BF15" s="705"/>
      <c r="BG15" s="705"/>
      <c r="BH15" s="705"/>
      <c r="BI15" s="705"/>
      <c r="BJ15" s="2"/>
      <c r="BK15" s="705">
        <f ca="1">SUMIF($BC$7:BI$7,"&lt;="&amp;$I$7,BC15:BH15)</f>
        <v>0</v>
      </c>
      <c r="BL15" s="878" t="str">
        <f ca="1">IFERROR((BK16/BK15),"-")</f>
        <v>-</v>
      </c>
      <c r="BM15" s="2"/>
      <c r="BN15" s="885">
        <v>0</v>
      </c>
      <c r="BO15" s="884">
        <v>0</v>
      </c>
      <c r="BP15" s="884">
        <f>SUM(M16:P16,V16:AB16,AG16:AM16,AR16:AX16,BC16:BI16)</f>
        <v>0</v>
      </c>
      <c r="BQ15" s="878" t="str">
        <f t="shared" ref="BQ15" si="40">IF(AND(BO15=0,BP15=0),"-",IF(BO15=0,1,BP15/BO15))</f>
        <v>-</v>
      </c>
      <c r="BR15" s="2"/>
      <c r="BS15" s="884">
        <v>1053367.6499999999</v>
      </c>
      <c r="BT15" s="884">
        <v>1053367.6499999999</v>
      </c>
      <c r="BU15" s="884">
        <f ca="1">E15+S16+AD16+AO16+AZ16+BK16-K16-L16</f>
        <v>1053367.6499999999</v>
      </c>
      <c r="BV15" s="884">
        <v>106</v>
      </c>
      <c r="BW15" s="1004">
        <f ca="1">IFERROR((BU15/BV15),"-")</f>
        <v>9937.4306603773584</v>
      </c>
      <c r="BX15" s="884">
        <v>1053367.6499999999</v>
      </c>
      <c r="BY15" s="878">
        <f ca="1">IFERROR((BU15/BX15),"-")</f>
        <v>1</v>
      </c>
      <c r="BZ15" s="2"/>
      <c r="CA15" s="884">
        <f>BS15</f>
        <v>1053367.6499999999</v>
      </c>
      <c r="CB15" s="884">
        <f ca="1">CA15-BU15</f>
        <v>0</v>
      </c>
      <c r="CC15" s="2"/>
      <c r="CD15" s="504">
        <f>IFERROR(AVERAGEIF($V$7:AB$7,"&lt;="&amp;$I$7,V15:AB15),0)</f>
        <v>0</v>
      </c>
      <c r="CE15" s="2"/>
      <c r="CH15" s="93" t="str">
        <f t="shared" si="22"/>
        <v>Corte 1</v>
      </c>
    </row>
    <row r="16" spans="1:86" s="16" customFormat="1" ht="15.75" hidden="1" customHeight="1" outlineLevel="2">
      <c r="A16" s="74"/>
      <c r="B16" s="1042"/>
      <c r="C16" s="1023"/>
      <c r="D16" s="2"/>
      <c r="E16" s="1024"/>
      <c r="F16" s="2"/>
      <c r="G16" s="50" t="s">
        <v>38</v>
      </c>
      <c r="H16" s="705">
        <f t="shared" si="23"/>
        <v>0</v>
      </c>
      <c r="I16" s="879"/>
      <c r="J16" s="2"/>
      <c r="K16" s="76"/>
      <c r="L16" s="76"/>
      <c r="M16" s="76"/>
      <c r="N16" s="76"/>
      <c r="O16" s="76"/>
      <c r="P16" s="76"/>
      <c r="Q16" s="706"/>
      <c r="R16" s="2"/>
      <c r="S16" s="705">
        <f>SUM(K16:P16)</f>
        <v>0</v>
      </c>
      <c r="T16" s="879"/>
      <c r="U16" s="2"/>
      <c r="V16" s="76"/>
      <c r="W16" s="76"/>
      <c r="X16" s="76"/>
      <c r="Y16" s="76"/>
      <c r="Z16" s="76"/>
      <c r="AA16" s="76"/>
      <c r="AB16" s="706"/>
      <c r="AC16" s="2"/>
      <c r="AD16" s="705">
        <f ca="1">SUMIF($V$7:AB$7,"&lt;="&amp;$I$7,V16:AA16)</f>
        <v>0</v>
      </c>
      <c r="AE16" s="879"/>
      <c r="AF16" s="2"/>
      <c r="AG16" s="76"/>
      <c r="AH16" s="76"/>
      <c r="AI16" s="76"/>
      <c r="AJ16" s="76"/>
      <c r="AK16" s="76"/>
      <c r="AL16" s="76"/>
      <c r="AM16" s="706"/>
      <c r="AN16" s="2"/>
      <c r="AO16" s="705">
        <f ca="1">SUMIF($AG$7:AM$7,"&lt;="&amp;$I$7,AG16:AL16)</f>
        <v>0</v>
      </c>
      <c r="AP16" s="879"/>
      <c r="AQ16" s="2"/>
      <c r="AR16" s="76"/>
      <c r="AS16" s="76"/>
      <c r="AT16" s="76"/>
      <c r="AU16" s="76"/>
      <c r="AV16" s="76"/>
      <c r="AW16" s="76"/>
      <c r="AX16" s="706"/>
      <c r="AY16" s="2"/>
      <c r="AZ16" s="705">
        <f ca="1">SUMIF($AR$7:AX$7,"&lt;="&amp;$I$7,AR16:AW16)</f>
        <v>0</v>
      </c>
      <c r="BA16" s="879"/>
      <c r="BB16" s="2"/>
      <c r="BC16" s="76"/>
      <c r="BD16" s="76"/>
      <c r="BE16" s="76"/>
      <c r="BF16" s="76"/>
      <c r="BG16" s="76"/>
      <c r="BH16" s="76"/>
      <c r="BI16" s="706"/>
      <c r="BJ16" s="2"/>
      <c r="BK16" s="705">
        <f ca="1">SUMIF($BC$7:BI$7,"&lt;="&amp;$I$7,BC16:BH16)</f>
        <v>0</v>
      </c>
      <c r="BL16" s="879"/>
      <c r="BM16" s="2"/>
      <c r="BN16" s="922"/>
      <c r="BO16" s="885"/>
      <c r="BP16" s="885"/>
      <c r="BQ16" s="879"/>
      <c r="BR16" s="2"/>
      <c r="BS16" s="886"/>
      <c r="BT16" s="886"/>
      <c r="BU16" s="885"/>
      <c r="BV16" s="886"/>
      <c r="BW16" s="1051"/>
      <c r="BX16" s="886"/>
      <c r="BY16" s="1053"/>
      <c r="BZ16" s="2"/>
      <c r="CA16" s="885"/>
      <c r="CB16" s="885"/>
      <c r="CC16" s="2"/>
      <c r="CD16" s="504">
        <f>IFERROR(AVERAGEIF($V$7:AB$7,"&lt;="&amp;$I$7,V16:AB16),0)</f>
        <v>0</v>
      </c>
      <c r="CE16" s="2"/>
      <c r="CH16" s="93" t="str">
        <f t="shared" si="22"/>
        <v>Corte 1</v>
      </c>
    </row>
    <row r="17" spans="1:86" s="16" customFormat="1" ht="15.95" hidden="1" customHeight="1" outlineLevel="2">
      <c r="A17" s="74"/>
      <c r="B17" s="1078" t="s">
        <v>3842</v>
      </c>
      <c r="C17" s="1023" t="s">
        <v>36</v>
      </c>
      <c r="D17" s="2"/>
      <c r="E17" s="1004">
        <v>164237.70000000001</v>
      </c>
      <c r="F17" s="2"/>
      <c r="G17" s="49" t="s">
        <v>37</v>
      </c>
      <c r="H17" s="705">
        <f t="shared" si="23"/>
        <v>0</v>
      </c>
      <c r="I17" s="878" t="str">
        <f t="shared" ref="I17" si="41">IF(H17=0,IF(H18&gt;0,1,"-"),IFERROR(H18/H17,"-"))</f>
        <v>-</v>
      </c>
      <c r="J17" s="2"/>
      <c r="K17" s="705"/>
      <c r="L17" s="705"/>
      <c r="M17" s="705"/>
      <c r="N17" s="705"/>
      <c r="O17" s="705"/>
      <c r="P17" s="705"/>
      <c r="Q17" s="705"/>
      <c r="R17" s="2"/>
      <c r="S17" s="705">
        <f>SUM(K17:P17)</f>
        <v>0</v>
      </c>
      <c r="T17" s="878" t="str">
        <f>IFERROR((S18/S17),"-")</f>
        <v>-</v>
      </c>
      <c r="U17" s="2"/>
      <c r="V17" s="705"/>
      <c r="W17" s="705"/>
      <c r="X17" s="705"/>
      <c r="Y17" s="705"/>
      <c r="Z17" s="705"/>
      <c r="AA17" s="705"/>
      <c r="AB17" s="705"/>
      <c r="AC17" s="2"/>
      <c r="AD17" s="705">
        <f ca="1">SUMIF($V$7:AB$7,"&lt;="&amp;$I$7,V17:AA17)</f>
        <v>0</v>
      </c>
      <c r="AE17" s="878" t="str">
        <f ca="1">IFERROR((AD18/AD17),"-")</f>
        <v>-</v>
      </c>
      <c r="AF17" s="2"/>
      <c r="AG17" s="705"/>
      <c r="AH17" s="705"/>
      <c r="AI17" s="705"/>
      <c r="AJ17" s="705"/>
      <c r="AK17" s="705"/>
      <c r="AL17" s="705"/>
      <c r="AM17" s="705"/>
      <c r="AN17" s="2"/>
      <c r="AO17" s="705">
        <f ca="1">SUMIF($AG$7:AM$7,"&lt;="&amp;$I$7,AG17:AL17)</f>
        <v>0</v>
      </c>
      <c r="AP17" s="878" t="str">
        <f ca="1">IFERROR((AO18/AO17),"-")</f>
        <v>-</v>
      </c>
      <c r="AQ17" s="2"/>
      <c r="AR17" s="705"/>
      <c r="AS17" s="705"/>
      <c r="AT17" s="705"/>
      <c r="AU17" s="705"/>
      <c r="AV17" s="705"/>
      <c r="AW17" s="705"/>
      <c r="AX17" s="705"/>
      <c r="AY17" s="2"/>
      <c r="AZ17" s="705">
        <f ca="1">SUMIF($AR$7:AX$7,"&lt;="&amp;$I$7,AR17:AW17)</f>
        <v>0</v>
      </c>
      <c r="BA17" s="878" t="str">
        <f ca="1">IFERROR((AZ18/AZ17),"-")</f>
        <v>-</v>
      </c>
      <c r="BB17" s="2"/>
      <c r="BC17" s="705"/>
      <c r="BD17" s="705"/>
      <c r="BE17" s="705"/>
      <c r="BF17" s="705"/>
      <c r="BG17" s="705"/>
      <c r="BH17" s="705"/>
      <c r="BI17" s="705"/>
      <c r="BJ17" s="2"/>
      <c r="BK17" s="705">
        <f ca="1">SUMIF($BC$7:BI$7,"&lt;="&amp;$I$7,BC17:BH17)</f>
        <v>0</v>
      </c>
      <c r="BL17" s="878" t="str">
        <f ca="1">IFERROR((BK18/BK17),"-")</f>
        <v>-</v>
      </c>
      <c r="BM17" s="2"/>
      <c r="BN17" s="885">
        <v>0</v>
      </c>
      <c r="BO17" s="884">
        <v>0</v>
      </c>
      <c r="BP17" s="884">
        <f>SUM(M18:P18,V18:AB18,AG18:AM18,AR18:AX18,BC18:BI18)</f>
        <v>0</v>
      </c>
      <c r="BQ17" s="878" t="str">
        <f t="shared" ref="BQ17" si="42">IF(AND(BO17=0,BP17=0),"-",IF(BO17=0,1,BP17/BO17))</f>
        <v>-</v>
      </c>
      <c r="BR17" s="2"/>
      <c r="BS17" s="884">
        <v>164237.70000000001</v>
      </c>
      <c r="BT17" s="884">
        <v>164237.70000000001</v>
      </c>
      <c r="BU17" s="884">
        <f ca="1">E17+S18+AD18+AO18+AZ18+BK18-K18-L18</f>
        <v>164237.70000000001</v>
      </c>
      <c r="BV17" s="884">
        <v>106</v>
      </c>
      <c r="BW17" s="1004">
        <f ca="1">IFERROR((BU17/BV17),"-")</f>
        <v>1549.4122641509434</v>
      </c>
      <c r="BX17" s="884">
        <v>164237.70000000001</v>
      </c>
      <c r="BY17" s="878">
        <f ca="1">IFERROR((BU17/BX17),"-")</f>
        <v>1</v>
      </c>
      <c r="BZ17" s="2"/>
      <c r="CA17" s="884">
        <f t="shared" ref="CA17" si="43">BS17</f>
        <v>164237.70000000001</v>
      </c>
      <c r="CB17" s="884">
        <f t="shared" ref="CB17" ca="1" si="44">CA17-BU17</f>
        <v>0</v>
      </c>
      <c r="CC17" s="2"/>
      <c r="CD17" s="504">
        <f>IFERROR(AVERAGEIF($V$7:AB$7,"&lt;="&amp;$I$7,V17:AB17),0)</f>
        <v>0</v>
      </c>
      <c r="CE17" s="2"/>
      <c r="CH17" s="93" t="str">
        <f t="shared" si="22"/>
        <v>Corte 2</v>
      </c>
    </row>
    <row r="18" spans="1:86" s="16" customFormat="1" ht="15.95" hidden="1" customHeight="1" outlineLevel="2">
      <c r="A18" s="74"/>
      <c r="B18" s="1042"/>
      <c r="C18" s="1023"/>
      <c r="D18" s="2"/>
      <c r="E18" s="1024"/>
      <c r="F18" s="2"/>
      <c r="G18" s="50" t="s">
        <v>38</v>
      </c>
      <c r="H18" s="705">
        <f t="shared" si="23"/>
        <v>0</v>
      </c>
      <c r="I18" s="879"/>
      <c r="J18" s="2"/>
      <c r="K18" s="76"/>
      <c r="L18" s="76"/>
      <c r="M18" s="76"/>
      <c r="N18" s="76"/>
      <c r="O18" s="76"/>
      <c r="P18" s="76"/>
      <c r="Q18" s="706"/>
      <c r="R18" s="2"/>
      <c r="S18" s="705">
        <f t="shared" ref="S18" si="45">SUM(K18:P18)</f>
        <v>0</v>
      </c>
      <c r="T18" s="879"/>
      <c r="U18" s="2"/>
      <c r="V18" s="76"/>
      <c r="W18" s="76"/>
      <c r="X18" s="76"/>
      <c r="Y18" s="76"/>
      <c r="Z18" s="76"/>
      <c r="AA18" s="76"/>
      <c r="AB18" s="706"/>
      <c r="AC18" s="2"/>
      <c r="AD18" s="705">
        <f ca="1">SUMIF($V$7:AB$7,"&lt;="&amp;$I$7,V18:AA18)</f>
        <v>0</v>
      </c>
      <c r="AE18" s="879"/>
      <c r="AF18" s="2"/>
      <c r="AG18" s="76"/>
      <c r="AH18" s="76"/>
      <c r="AI18" s="76"/>
      <c r="AJ18" s="76"/>
      <c r="AK18" s="76"/>
      <c r="AL18" s="76"/>
      <c r="AM18" s="706"/>
      <c r="AN18" s="2"/>
      <c r="AO18" s="705">
        <f ca="1">SUMIF($AG$7:AM$7,"&lt;="&amp;$I$7,AG18:AL18)</f>
        <v>0</v>
      </c>
      <c r="AP18" s="879"/>
      <c r="AQ18" s="2"/>
      <c r="AR18" s="76"/>
      <c r="AS18" s="76"/>
      <c r="AT18" s="76"/>
      <c r="AU18" s="76"/>
      <c r="AV18" s="76"/>
      <c r="AW18" s="76"/>
      <c r="AX18" s="706"/>
      <c r="AY18" s="2"/>
      <c r="AZ18" s="705">
        <f ca="1">SUMIF($AR$7:AX$7,"&lt;="&amp;$I$7,AR18:AW18)</f>
        <v>0</v>
      </c>
      <c r="BA18" s="879"/>
      <c r="BB18" s="2"/>
      <c r="BC18" s="76"/>
      <c r="BD18" s="76"/>
      <c r="BE18" s="76"/>
      <c r="BF18" s="76"/>
      <c r="BG18" s="76"/>
      <c r="BH18" s="76"/>
      <c r="BI18" s="706"/>
      <c r="BJ18" s="2"/>
      <c r="BK18" s="705">
        <f ca="1">SUMIF($BC$7:BI$7,"&lt;="&amp;$I$7,BC18:BH18)</f>
        <v>0</v>
      </c>
      <c r="BL18" s="879"/>
      <c r="BM18" s="2"/>
      <c r="BN18" s="922"/>
      <c r="BO18" s="885"/>
      <c r="BP18" s="885"/>
      <c r="BQ18" s="879"/>
      <c r="BR18" s="2"/>
      <c r="BS18" s="886"/>
      <c r="BT18" s="886"/>
      <c r="BU18" s="885"/>
      <c r="BV18" s="886"/>
      <c r="BW18" s="1051"/>
      <c r="BX18" s="886"/>
      <c r="BY18" s="1053"/>
      <c r="BZ18" s="2"/>
      <c r="CA18" s="885"/>
      <c r="CB18" s="885"/>
      <c r="CC18" s="2"/>
      <c r="CD18" s="504">
        <f>IFERROR(AVERAGEIF($V$7:AB$7,"&lt;="&amp;$I$7,V18:AB18),0)</f>
        <v>0</v>
      </c>
      <c r="CE18" s="2"/>
      <c r="CH18" s="93" t="str">
        <f t="shared" si="22"/>
        <v>Corte 2</v>
      </c>
    </row>
    <row r="19" spans="1:86" s="16" customFormat="1" ht="15.95" hidden="1" customHeight="1" outlineLevel="2">
      <c r="A19" s="74"/>
      <c r="B19" s="1078" t="s">
        <v>3843</v>
      </c>
      <c r="C19" s="1023" t="s">
        <v>36</v>
      </c>
      <c r="D19" s="2"/>
      <c r="E19" s="1004">
        <v>10173.4</v>
      </c>
      <c r="F19" s="2"/>
      <c r="G19" s="49" t="s">
        <v>37</v>
      </c>
      <c r="H19" s="705">
        <f t="shared" si="23"/>
        <v>0</v>
      </c>
      <c r="I19" s="878" t="str">
        <f t="shared" ref="I19" si="46">IF(H19=0,IF(H20&gt;0,1,"-"),IFERROR(H20/H19,"-"))</f>
        <v>-</v>
      </c>
      <c r="J19" s="2"/>
      <c r="K19" s="705"/>
      <c r="L19" s="705"/>
      <c r="M19" s="705"/>
      <c r="N19" s="705"/>
      <c r="O19" s="705"/>
      <c r="P19" s="705"/>
      <c r="Q19" s="705"/>
      <c r="R19" s="2"/>
      <c r="S19" s="705">
        <f>SUM(K19:P19)</f>
        <v>0</v>
      </c>
      <c r="T19" s="878" t="str">
        <f>IFERROR((S20/S19),"-")</f>
        <v>-</v>
      </c>
      <c r="U19" s="2"/>
      <c r="V19" s="705"/>
      <c r="W19" s="705"/>
      <c r="X19" s="705"/>
      <c r="Y19" s="705"/>
      <c r="Z19" s="705"/>
      <c r="AA19" s="705"/>
      <c r="AB19" s="705"/>
      <c r="AC19" s="2"/>
      <c r="AD19" s="705">
        <f ca="1">SUMIF($V$7:AB$7,"&lt;="&amp;$I$7,V19:AA19)</f>
        <v>0</v>
      </c>
      <c r="AE19" s="878" t="str">
        <f ca="1">IFERROR((AD20/AD19),"-")</f>
        <v>-</v>
      </c>
      <c r="AF19" s="2"/>
      <c r="AG19" s="705"/>
      <c r="AH19" s="705"/>
      <c r="AI19" s="705"/>
      <c r="AJ19" s="705"/>
      <c r="AK19" s="705"/>
      <c r="AL19" s="705"/>
      <c r="AM19" s="705"/>
      <c r="AN19" s="2"/>
      <c r="AO19" s="705">
        <f ca="1">SUMIF($AG$7:AM$7,"&lt;="&amp;$I$7,AG19:AL19)</f>
        <v>0</v>
      </c>
      <c r="AP19" s="878" t="str">
        <f ca="1">IFERROR((AO20/AO19),"-")</f>
        <v>-</v>
      </c>
      <c r="AQ19" s="2"/>
      <c r="AR19" s="705"/>
      <c r="AS19" s="705"/>
      <c r="AT19" s="705"/>
      <c r="AU19" s="705"/>
      <c r="AV19" s="705"/>
      <c r="AW19" s="705"/>
      <c r="AX19" s="705"/>
      <c r="AY19" s="2"/>
      <c r="AZ19" s="705">
        <f ca="1">SUMIF($AR$7:AX$7,"&lt;="&amp;$I$7,AR19:AW19)</f>
        <v>0</v>
      </c>
      <c r="BA19" s="878" t="str">
        <f ca="1">IFERROR((AZ20/AZ19),"-")</f>
        <v>-</v>
      </c>
      <c r="BB19" s="2"/>
      <c r="BC19" s="705"/>
      <c r="BD19" s="705"/>
      <c r="BE19" s="705"/>
      <c r="BF19" s="705"/>
      <c r="BG19" s="705"/>
      <c r="BH19" s="705"/>
      <c r="BI19" s="705"/>
      <c r="BJ19" s="2"/>
      <c r="BK19" s="705">
        <f ca="1">SUMIF($BC$7:BI$7,"&lt;="&amp;$I$7,BC19:BH19)</f>
        <v>0</v>
      </c>
      <c r="BL19" s="878" t="str">
        <f ca="1">IFERROR((BK20/BK19),"-")</f>
        <v>-</v>
      </c>
      <c r="BM19" s="2"/>
      <c r="BN19" s="885">
        <v>0</v>
      </c>
      <c r="BO19" s="884">
        <v>0</v>
      </c>
      <c r="BP19" s="884">
        <f>SUM(M20:P20,V20:AB20,AG20:AM20,AR20:AX20,BC20:BI20)</f>
        <v>0</v>
      </c>
      <c r="BQ19" s="878" t="str">
        <f t="shared" ref="BQ19" si="47">IF(AND(BO19=0,BP19=0),"-",IF(BO19=0,1,BP19/BO19))</f>
        <v>-</v>
      </c>
      <c r="BR19" s="2"/>
      <c r="BS19" s="884">
        <v>10173.4</v>
      </c>
      <c r="BT19" s="884">
        <v>10173.4</v>
      </c>
      <c r="BU19" s="884">
        <f ca="1">E19+S20+AD20+AO20+AZ20+BK20-K20-L20</f>
        <v>10173.4</v>
      </c>
      <c r="BV19" s="884">
        <v>106</v>
      </c>
      <c r="BW19" s="1004">
        <f ca="1">IFERROR((BU19/BV19),"-")</f>
        <v>95.975471698113211</v>
      </c>
      <c r="BX19" s="884">
        <v>10173.4</v>
      </c>
      <c r="BY19" s="878">
        <f ca="1">IFERROR((BU19/BX19),"-")</f>
        <v>1</v>
      </c>
      <c r="BZ19" s="2"/>
      <c r="CA19" s="884">
        <f t="shared" ref="CA19" si="48">BS19</f>
        <v>10173.4</v>
      </c>
      <c r="CB19" s="884">
        <f t="shared" ref="CB19" ca="1" si="49">CA19-BU19</f>
        <v>0</v>
      </c>
      <c r="CC19" s="2"/>
      <c r="CD19" s="504">
        <f>IFERROR(AVERAGEIF($V$7:AB$7,"&lt;="&amp;$I$7,V19:AB19),0)</f>
        <v>0</v>
      </c>
      <c r="CE19" s="2"/>
      <c r="CH19" s="93" t="str">
        <f t="shared" si="22"/>
        <v>Corte 3</v>
      </c>
    </row>
    <row r="20" spans="1:86" s="16" customFormat="1" ht="15.95" hidden="1" customHeight="1" outlineLevel="2">
      <c r="A20" s="74"/>
      <c r="B20" s="1042"/>
      <c r="C20" s="1023"/>
      <c r="D20" s="2"/>
      <c r="E20" s="1024"/>
      <c r="F20" s="2"/>
      <c r="G20" s="50" t="s">
        <v>38</v>
      </c>
      <c r="H20" s="705">
        <f t="shared" si="23"/>
        <v>0</v>
      </c>
      <c r="I20" s="879"/>
      <c r="J20" s="2"/>
      <c r="K20" s="76"/>
      <c r="L20" s="76"/>
      <c r="M20" s="76"/>
      <c r="N20" s="76"/>
      <c r="O20" s="76"/>
      <c r="P20" s="76"/>
      <c r="Q20" s="706"/>
      <c r="R20" s="2"/>
      <c r="S20" s="705">
        <f t="shared" ref="S20" si="50">SUM(K20:P20)</f>
        <v>0</v>
      </c>
      <c r="T20" s="879"/>
      <c r="U20" s="2"/>
      <c r="V20" s="76"/>
      <c r="W20" s="76"/>
      <c r="X20" s="76"/>
      <c r="Y20" s="76"/>
      <c r="Z20" s="76"/>
      <c r="AA20" s="76"/>
      <c r="AB20" s="706"/>
      <c r="AC20" s="2"/>
      <c r="AD20" s="705">
        <f ca="1">SUMIF($V$7:AB$7,"&lt;="&amp;$I$7,V20:AA20)</f>
        <v>0</v>
      </c>
      <c r="AE20" s="879"/>
      <c r="AF20" s="2"/>
      <c r="AG20" s="76"/>
      <c r="AH20" s="76"/>
      <c r="AI20" s="76"/>
      <c r="AJ20" s="76"/>
      <c r="AK20" s="76"/>
      <c r="AL20" s="76"/>
      <c r="AM20" s="706"/>
      <c r="AN20" s="2"/>
      <c r="AO20" s="705">
        <f ca="1">SUMIF($AG$7:AM$7,"&lt;="&amp;$I$7,AG20:AL20)</f>
        <v>0</v>
      </c>
      <c r="AP20" s="879"/>
      <c r="AQ20" s="2"/>
      <c r="AR20" s="76"/>
      <c r="AS20" s="76"/>
      <c r="AT20" s="76"/>
      <c r="AU20" s="76"/>
      <c r="AV20" s="76"/>
      <c r="AW20" s="76"/>
      <c r="AX20" s="706"/>
      <c r="AY20" s="2"/>
      <c r="AZ20" s="705">
        <f ca="1">SUMIF($AR$7:AX$7,"&lt;="&amp;$I$7,AR20:AW20)</f>
        <v>0</v>
      </c>
      <c r="BA20" s="879"/>
      <c r="BB20" s="2"/>
      <c r="BC20" s="76"/>
      <c r="BD20" s="76"/>
      <c r="BE20" s="76"/>
      <c r="BF20" s="76"/>
      <c r="BG20" s="76"/>
      <c r="BH20" s="76"/>
      <c r="BI20" s="706"/>
      <c r="BJ20" s="2"/>
      <c r="BK20" s="705">
        <f ca="1">SUMIF($BC$7:BI$7,"&lt;="&amp;$I$7,BC20:BH20)</f>
        <v>0</v>
      </c>
      <c r="BL20" s="879"/>
      <c r="BM20" s="2"/>
      <c r="BN20" s="922"/>
      <c r="BO20" s="885"/>
      <c r="BP20" s="885"/>
      <c r="BQ20" s="879"/>
      <c r="BR20" s="2"/>
      <c r="BS20" s="886"/>
      <c r="BT20" s="886"/>
      <c r="BU20" s="885"/>
      <c r="BV20" s="886"/>
      <c r="BW20" s="1051"/>
      <c r="BX20" s="886"/>
      <c r="BY20" s="1053"/>
      <c r="BZ20" s="2"/>
      <c r="CA20" s="885"/>
      <c r="CB20" s="885"/>
      <c r="CC20" s="2"/>
      <c r="CD20" s="504">
        <f>IFERROR(AVERAGEIF($V$7:AB$7,"&lt;="&amp;$I$7,V20:AB20),0)</f>
        <v>0</v>
      </c>
      <c r="CE20" s="2"/>
      <c r="CH20" s="93" t="str">
        <f t="shared" si="22"/>
        <v>Corte 3</v>
      </c>
    </row>
    <row r="21" spans="1:86" s="16" customFormat="1" ht="15.95" hidden="1" customHeight="1" outlineLevel="2">
      <c r="A21" s="74"/>
      <c r="B21" s="1078" t="s">
        <v>3844</v>
      </c>
      <c r="C21" s="1023" t="s">
        <v>36</v>
      </c>
      <c r="D21" s="2"/>
      <c r="E21" s="1004">
        <v>157960.46</v>
      </c>
      <c r="F21" s="2"/>
      <c r="G21" s="49" t="s">
        <v>37</v>
      </c>
      <c r="H21" s="705">
        <f t="shared" si="23"/>
        <v>0</v>
      </c>
      <c r="I21" s="878" t="str">
        <f t="shared" ref="I21" si="51">IF(H21=0,IF(H22&gt;0,1,"-"),IFERROR(H22/H21,"-"))</f>
        <v>-</v>
      </c>
      <c r="J21" s="2"/>
      <c r="K21" s="705"/>
      <c r="L21" s="705"/>
      <c r="M21" s="705"/>
      <c r="N21" s="705"/>
      <c r="O21" s="705"/>
      <c r="P21" s="705"/>
      <c r="Q21" s="705"/>
      <c r="R21" s="2"/>
      <c r="S21" s="705">
        <f>SUM(K21:P21)</f>
        <v>0</v>
      </c>
      <c r="T21" s="878" t="str">
        <f>IFERROR((S22/S21),"-")</f>
        <v>-</v>
      </c>
      <c r="U21" s="2"/>
      <c r="V21" s="705"/>
      <c r="W21" s="705"/>
      <c r="X21" s="705"/>
      <c r="Y21" s="705"/>
      <c r="Z21" s="705"/>
      <c r="AA21" s="705"/>
      <c r="AB21" s="705"/>
      <c r="AC21" s="2"/>
      <c r="AD21" s="705">
        <f ca="1">SUMIF($V$7:AB$7,"&lt;="&amp;$I$7,V21:AA21)</f>
        <v>0</v>
      </c>
      <c r="AE21" s="878" t="str">
        <f ca="1">IFERROR((AD22/AD21),"-")</f>
        <v>-</v>
      </c>
      <c r="AF21" s="2"/>
      <c r="AG21" s="705"/>
      <c r="AH21" s="705"/>
      <c r="AI21" s="705"/>
      <c r="AJ21" s="705"/>
      <c r="AK21" s="705"/>
      <c r="AL21" s="705"/>
      <c r="AM21" s="705"/>
      <c r="AN21" s="2"/>
      <c r="AO21" s="705">
        <f ca="1">SUMIF($AG$7:AM$7,"&lt;="&amp;$I$7,AG21:AL21)</f>
        <v>0</v>
      </c>
      <c r="AP21" s="878" t="str">
        <f ca="1">IFERROR((AO22/AO21),"-")</f>
        <v>-</v>
      </c>
      <c r="AQ21" s="2"/>
      <c r="AR21" s="705"/>
      <c r="AS21" s="705"/>
      <c r="AT21" s="705"/>
      <c r="AU21" s="705"/>
      <c r="AV21" s="705"/>
      <c r="AW21" s="705"/>
      <c r="AX21" s="705"/>
      <c r="AY21" s="2"/>
      <c r="AZ21" s="705">
        <f ca="1">SUMIF($AR$7:AX$7,"&lt;="&amp;$I$7,AR21:AW21)</f>
        <v>0</v>
      </c>
      <c r="BA21" s="878" t="str">
        <f ca="1">IFERROR((AZ22/AZ21),"-")</f>
        <v>-</v>
      </c>
      <c r="BB21" s="2"/>
      <c r="BC21" s="705"/>
      <c r="BD21" s="705"/>
      <c r="BE21" s="705"/>
      <c r="BF21" s="705"/>
      <c r="BG21" s="705"/>
      <c r="BH21" s="705"/>
      <c r="BI21" s="705"/>
      <c r="BJ21" s="2"/>
      <c r="BK21" s="705">
        <f ca="1">SUMIF($BC$7:BI$7,"&lt;="&amp;$I$7,BC21:BH21)</f>
        <v>0</v>
      </c>
      <c r="BL21" s="878" t="str">
        <f ca="1">IFERROR((BK22/BK21),"-")</f>
        <v>-</v>
      </c>
      <c r="BM21" s="2"/>
      <c r="BN21" s="885">
        <v>0</v>
      </c>
      <c r="BO21" s="884">
        <v>0</v>
      </c>
      <c r="BP21" s="884">
        <f>SUM(M22:P22,V22:AB22,AG22:AM22,AR22:AX22,BC22:BI22)</f>
        <v>0</v>
      </c>
      <c r="BQ21" s="878" t="str">
        <f t="shared" ref="BQ21" si="52">IF(AND(BO21=0,BP21=0),"-",IF(BO21=0,1,BP21/BO21))</f>
        <v>-</v>
      </c>
      <c r="BR21" s="2"/>
      <c r="BS21" s="884">
        <v>157960.46</v>
      </c>
      <c r="BT21" s="884">
        <v>157960.46</v>
      </c>
      <c r="BU21" s="884">
        <f ca="1">E21+S22+AD22+AO22+AZ22+BK22-K22-L22</f>
        <v>157960.46</v>
      </c>
      <c r="BV21" s="884">
        <v>106</v>
      </c>
      <c r="BW21" s="1004">
        <f ca="1">IFERROR((BU21/BV21),"-")</f>
        <v>1490.1930188679244</v>
      </c>
      <c r="BX21" s="884">
        <v>157960.46</v>
      </c>
      <c r="BY21" s="878">
        <f ca="1">IFERROR((BU21/BX21),"-")</f>
        <v>1</v>
      </c>
      <c r="BZ21" s="2"/>
      <c r="CA21" s="884">
        <f t="shared" ref="CA21" si="53">BS21</f>
        <v>157960.46</v>
      </c>
      <c r="CB21" s="884">
        <f t="shared" ref="CB21" ca="1" si="54">CA21-BU21</f>
        <v>0</v>
      </c>
      <c r="CC21" s="2"/>
      <c r="CD21" s="504">
        <f>IFERROR(AVERAGEIF($V$7:AB$7,"&lt;="&amp;$I$7,V21:AB21),0)</f>
        <v>0</v>
      </c>
      <c r="CE21" s="2"/>
      <c r="CH21" s="93" t="str">
        <f t="shared" si="22"/>
        <v>Corte 4</v>
      </c>
    </row>
    <row r="22" spans="1:86" s="16" customFormat="1" ht="15.95" hidden="1" customHeight="1" outlineLevel="2">
      <c r="A22" s="74"/>
      <c r="B22" s="1042"/>
      <c r="C22" s="1023"/>
      <c r="D22" s="2"/>
      <c r="E22" s="1024"/>
      <c r="F22" s="2"/>
      <c r="G22" s="50" t="s">
        <v>38</v>
      </c>
      <c r="H22" s="705">
        <f t="shared" si="23"/>
        <v>0</v>
      </c>
      <c r="I22" s="879"/>
      <c r="J22" s="2"/>
      <c r="K22" s="76"/>
      <c r="L22" s="76"/>
      <c r="M22" s="76"/>
      <c r="N22" s="76"/>
      <c r="O22" s="76"/>
      <c r="P22" s="76"/>
      <c r="Q22" s="706"/>
      <c r="R22" s="2"/>
      <c r="S22" s="705">
        <f t="shared" ref="S22" si="55">SUM(K22:P22)</f>
        <v>0</v>
      </c>
      <c r="T22" s="879"/>
      <c r="U22" s="2"/>
      <c r="V22" s="76"/>
      <c r="W22" s="76"/>
      <c r="X22" s="76"/>
      <c r="Y22" s="76"/>
      <c r="Z22" s="76"/>
      <c r="AA22" s="76"/>
      <c r="AB22" s="706"/>
      <c r="AC22" s="2"/>
      <c r="AD22" s="705">
        <f ca="1">SUMIF($V$7:AB$7,"&lt;="&amp;$I$7,V22:AA22)</f>
        <v>0</v>
      </c>
      <c r="AE22" s="879"/>
      <c r="AF22" s="2"/>
      <c r="AG22" s="76"/>
      <c r="AH22" s="76"/>
      <c r="AI22" s="76"/>
      <c r="AJ22" s="76"/>
      <c r="AK22" s="76"/>
      <c r="AL22" s="76"/>
      <c r="AM22" s="706"/>
      <c r="AN22" s="2"/>
      <c r="AO22" s="705">
        <f ca="1">SUMIF($AG$7:AM$7,"&lt;="&amp;$I$7,AG22:AL22)</f>
        <v>0</v>
      </c>
      <c r="AP22" s="879"/>
      <c r="AQ22" s="2"/>
      <c r="AR22" s="76"/>
      <c r="AS22" s="76"/>
      <c r="AT22" s="76"/>
      <c r="AU22" s="76"/>
      <c r="AV22" s="76"/>
      <c r="AW22" s="76"/>
      <c r="AX22" s="706"/>
      <c r="AY22" s="2"/>
      <c r="AZ22" s="705">
        <f ca="1">SUMIF($AR$7:AX$7,"&lt;="&amp;$I$7,AR22:AW22)</f>
        <v>0</v>
      </c>
      <c r="BA22" s="879"/>
      <c r="BB22" s="2"/>
      <c r="BC22" s="76"/>
      <c r="BD22" s="76"/>
      <c r="BE22" s="76"/>
      <c r="BF22" s="76"/>
      <c r="BG22" s="76"/>
      <c r="BH22" s="76"/>
      <c r="BI22" s="706"/>
      <c r="BJ22" s="2"/>
      <c r="BK22" s="705">
        <f ca="1">SUMIF($BC$7:BI$7,"&lt;="&amp;$I$7,BC22:BH22)</f>
        <v>0</v>
      </c>
      <c r="BL22" s="879"/>
      <c r="BM22" s="2"/>
      <c r="BN22" s="922"/>
      <c r="BO22" s="885"/>
      <c r="BP22" s="885"/>
      <c r="BQ22" s="879"/>
      <c r="BR22" s="2"/>
      <c r="BS22" s="886"/>
      <c r="BT22" s="886"/>
      <c r="BU22" s="885"/>
      <c r="BV22" s="886"/>
      <c r="BW22" s="1051"/>
      <c r="BX22" s="886"/>
      <c r="BY22" s="1053"/>
      <c r="BZ22" s="2"/>
      <c r="CA22" s="885"/>
      <c r="CB22" s="885"/>
      <c r="CC22" s="2"/>
      <c r="CD22" s="504">
        <f>IFERROR(AVERAGEIF($V$7:AB$7,"&lt;="&amp;$I$7,V22:AB22),0)</f>
        <v>0</v>
      </c>
      <c r="CE22" s="2"/>
      <c r="CH22" s="93" t="str">
        <f t="shared" si="22"/>
        <v>Corte 4</v>
      </c>
    </row>
    <row r="23" spans="1:86" s="16" customFormat="1" ht="15.95" hidden="1" customHeight="1" outlineLevel="2">
      <c r="A23" s="74" t="s">
        <v>3845</v>
      </c>
      <c r="B23" s="1039" t="s">
        <v>3846</v>
      </c>
      <c r="C23" s="1014" t="s">
        <v>36</v>
      </c>
      <c r="D23" s="2"/>
      <c r="E23" s="1004">
        <v>187393.39</v>
      </c>
      <c r="F23" s="2"/>
      <c r="G23" s="49" t="s">
        <v>37</v>
      </c>
      <c r="H23" s="705">
        <f t="shared" si="23"/>
        <v>0</v>
      </c>
      <c r="I23" s="878" t="str">
        <f t="shared" ref="I23" si="56">IF(H23=0,IF(H24&gt;0,1,"-"),IFERROR(H24/H23,"-"))</f>
        <v>-</v>
      </c>
      <c r="J23" s="2"/>
      <c r="K23" s="705"/>
      <c r="L23" s="705"/>
      <c r="M23" s="705"/>
      <c r="N23" s="705"/>
      <c r="O23" s="705"/>
      <c r="P23" s="705"/>
      <c r="Q23" s="705"/>
      <c r="R23" s="2"/>
      <c r="S23" s="705">
        <f>SUM(K23:P23)</f>
        <v>0</v>
      </c>
      <c r="T23" s="878" t="str">
        <f>IFERROR((S24/S23),"-")</f>
        <v>-</v>
      </c>
      <c r="U23" s="2"/>
      <c r="V23" s="705"/>
      <c r="W23" s="705"/>
      <c r="X23" s="705"/>
      <c r="Y23" s="705"/>
      <c r="Z23" s="705"/>
      <c r="AA23" s="705"/>
      <c r="AB23" s="705"/>
      <c r="AC23" s="2"/>
      <c r="AD23" s="705">
        <f ca="1">SUMIF($V$7:AB$7,"&lt;="&amp;$I$7,V23:AA23)</f>
        <v>0</v>
      </c>
      <c r="AE23" s="878" t="str">
        <f ca="1">IFERROR((AD24/AD23),"-")</f>
        <v>-</v>
      </c>
      <c r="AF23" s="2"/>
      <c r="AG23" s="705"/>
      <c r="AH23" s="705"/>
      <c r="AI23" s="705"/>
      <c r="AJ23" s="705"/>
      <c r="AK23" s="705"/>
      <c r="AL23" s="705"/>
      <c r="AM23" s="705"/>
      <c r="AN23" s="2"/>
      <c r="AO23" s="705">
        <f ca="1">SUMIF($AG$7:AM$7,"&lt;="&amp;$I$7,AG23:AL23)</f>
        <v>0</v>
      </c>
      <c r="AP23" s="878" t="str">
        <f ca="1">IFERROR((AO24/AO23),"-")</f>
        <v>-</v>
      </c>
      <c r="AQ23" s="2"/>
      <c r="AR23" s="705"/>
      <c r="AS23" s="705"/>
      <c r="AT23" s="705"/>
      <c r="AU23" s="705"/>
      <c r="AV23" s="705"/>
      <c r="AW23" s="705"/>
      <c r="AX23" s="705"/>
      <c r="AY23" s="2"/>
      <c r="AZ23" s="705">
        <f ca="1">SUMIF($AR$7:AX$7,"&lt;="&amp;$I$7,AR23:AW23)</f>
        <v>0</v>
      </c>
      <c r="BA23" s="878" t="str">
        <f ca="1">IFERROR((AZ24/AZ23),"-")</f>
        <v>-</v>
      </c>
      <c r="BB23" s="2"/>
      <c r="BC23" s="705"/>
      <c r="BD23" s="705"/>
      <c r="BE23" s="705"/>
      <c r="BF23" s="705"/>
      <c r="BG23" s="705"/>
      <c r="BH23" s="705"/>
      <c r="BI23" s="705"/>
      <c r="BJ23" s="2"/>
      <c r="BK23" s="705">
        <f ca="1">SUMIF($BC$7:BI$7,"&lt;="&amp;$I$7,BC23:BH23)</f>
        <v>0</v>
      </c>
      <c r="BL23" s="878" t="str">
        <f ca="1">IFERROR((BK24/BK23),"-")</f>
        <v>-</v>
      </c>
      <c r="BM23" s="2"/>
      <c r="BN23" s="921">
        <v>0</v>
      </c>
      <c r="BO23" s="884">
        <v>0</v>
      </c>
      <c r="BP23" s="884">
        <f>SUM(M24:P24,V24:AB24,AG24:AM24,AR24:AX24,BC24:BI24)</f>
        <v>0</v>
      </c>
      <c r="BQ23" s="878" t="str">
        <f>IF(AND(BO23=0,BP23=0),"-",IF(BO23=0,1,BP23/BO23))</f>
        <v>-</v>
      </c>
      <c r="BR23" s="2"/>
      <c r="BS23" s="884">
        <v>185725.89</v>
      </c>
      <c r="BT23" s="884">
        <v>185725.89</v>
      </c>
      <c r="BU23" s="884">
        <f ca="1">E23+S24+AD24+AO24+AZ24+BK24-K24-L24</f>
        <v>187393.39</v>
      </c>
      <c r="BV23" s="884">
        <v>106</v>
      </c>
      <c r="BW23" s="1004">
        <f ca="1">IFERROR((BU23/BV23),"-")</f>
        <v>1767.8621698113209</v>
      </c>
      <c r="BX23" s="884">
        <v>195797.32</v>
      </c>
      <c r="BY23" s="878">
        <f ca="1">IFERROR((BU23/BX23),"-")</f>
        <v>0.95707842170669144</v>
      </c>
      <c r="BZ23" s="2"/>
      <c r="CA23" s="884">
        <v>195797.32</v>
      </c>
      <c r="CB23" s="884">
        <f t="shared" ref="CB23" ca="1" si="57">CA23-BU23</f>
        <v>8403.929999999993</v>
      </c>
      <c r="CC23" s="2"/>
      <c r="CD23" s="504">
        <f>IFERROR(AVERAGEIF($V$7:AB$7,"&lt;="&amp;$I$7,V23:AB23),0)</f>
        <v>0</v>
      </c>
      <c r="CE23" s="2"/>
      <c r="CH23" s="93" t="str">
        <f t="shared" si="22"/>
        <v xml:space="preserve">Corte 5 - km 177+620 a 178+980 </v>
      </c>
    </row>
    <row r="24" spans="1:86" s="16" customFormat="1" ht="15.95" hidden="1" customHeight="1" outlineLevel="2">
      <c r="A24" s="74"/>
      <c r="B24" s="1040"/>
      <c r="C24" s="1034"/>
      <c r="D24" s="2"/>
      <c r="E24" s="1024"/>
      <c r="F24" s="2"/>
      <c r="G24" s="50" t="s">
        <v>38</v>
      </c>
      <c r="H24" s="705">
        <f t="shared" si="23"/>
        <v>0</v>
      </c>
      <c r="I24" s="879"/>
      <c r="J24" s="2"/>
      <c r="K24" s="77"/>
      <c r="L24" s="76"/>
      <c r="M24" s="76"/>
      <c r="N24" s="76"/>
      <c r="O24" s="76"/>
      <c r="P24" s="76"/>
      <c r="Q24" s="706"/>
      <c r="R24" s="2"/>
      <c r="S24" s="705">
        <f t="shared" ref="S24:S26" si="58">SUM(K24:P24)</f>
        <v>0</v>
      </c>
      <c r="T24" s="879"/>
      <c r="U24" s="2"/>
      <c r="V24" s="77"/>
      <c r="W24" s="76"/>
      <c r="X24" s="76"/>
      <c r="Y24" s="76"/>
      <c r="Z24" s="76"/>
      <c r="AA24" s="76"/>
      <c r="AB24" s="706"/>
      <c r="AC24" s="2"/>
      <c r="AD24" s="705">
        <f ca="1">SUMIF($V$7:AB$7,"&lt;="&amp;$I$7,V24:AA24)</f>
        <v>0</v>
      </c>
      <c r="AE24" s="879"/>
      <c r="AF24" s="2"/>
      <c r="AG24" s="77"/>
      <c r="AH24" s="76"/>
      <c r="AI24" s="76"/>
      <c r="AJ24" s="76"/>
      <c r="AK24" s="76"/>
      <c r="AL24" s="76"/>
      <c r="AM24" s="706"/>
      <c r="AN24" s="2"/>
      <c r="AO24" s="705">
        <f ca="1">SUMIF($AG$7:AM$7,"&lt;="&amp;$I$7,AG24:AL24)</f>
        <v>0</v>
      </c>
      <c r="AP24" s="879"/>
      <c r="AQ24" s="2"/>
      <c r="AR24" s="77"/>
      <c r="AS24" s="76"/>
      <c r="AT24" s="76"/>
      <c r="AU24" s="76"/>
      <c r="AV24" s="76"/>
      <c r="AW24" s="76"/>
      <c r="AX24" s="706"/>
      <c r="AY24" s="2"/>
      <c r="AZ24" s="705">
        <f ca="1">SUMIF($AR$7:AX$7,"&lt;="&amp;$I$7,AR24:AW24)</f>
        <v>0</v>
      </c>
      <c r="BA24" s="879"/>
      <c r="BB24" s="2"/>
      <c r="BC24" s="77"/>
      <c r="BD24" s="76"/>
      <c r="BE24" s="76"/>
      <c r="BF24" s="76"/>
      <c r="BG24" s="76"/>
      <c r="BH24" s="76"/>
      <c r="BI24" s="706"/>
      <c r="BJ24" s="2"/>
      <c r="BK24" s="705">
        <f ca="1">SUMIF($BC$7:BI$7,"&lt;="&amp;$I$7,BC24:BH24)</f>
        <v>0</v>
      </c>
      <c r="BL24" s="879"/>
      <c r="BM24" s="2"/>
      <c r="BN24" s="922"/>
      <c r="BO24" s="885"/>
      <c r="BP24" s="885"/>
      <c r="BQ24" s="879"/>
      <c r="BR24" s="2"/>
      <c r="BS24" s="885"/>
      <c r="BT24" s="885"/>
      <c r="BU24" s="885"/>
      <c r="BV24" s="885"/>
      <c r="BW24" s="1005"/>
      <c r="BX24" s="885"/>
      <c r="BY24" s="879"/>
      <c r="BZ24" s="2"/>
      <c r="CA24" s="885"/>
      <c r="CB24" s="885"/>
      <c r="CC24" s="2"/>
      <c r="CD24" s="504">
        <f>IFERROR(AVERAGEIF($V$7:AB$7,"&lt;="&amp;$I$7,V24:AB24),0)</f>
        <v>0</v>
      </c>
      <c r="CE24" s="2"/>
      <c r="CH24" s="93" t="str">
        <f t="shared" si="22"/>
        <v xml:space="preserve">Corte 5 - km 177+620 a 178+980 </v>
      </c>
    </row>
    <row r="25" spans="1:86" s="16" customFormat="1" ht="15.95" hidden="1" customHeight="1" outlineLevel="2">
      <c r="A25" s="74" t="s">
        <v>3847</v>
      </c>
      <c r="B25" s="1039" t="s">
        <v>3848</v>
      </c>
      <c r="C25" s="1014" t="s">
        <v>36</v>
      </c>
      <c r="D25" s="2"/>
      <c r="E25" s="1004">
        <v>233964.53</v>
      </c>
      <c r="F25" s="2"/>
      <c r="G25" s="49" t="s">
        <v>37</v>
      </c>
      <c r="H25" s="705">
        <f t="shared" si="23"/>
        <v>0</v>
      </c>
      <c r="I25" s="878" t="str">
        <f t="shared" ref="I25" si="59">IF(H25=0,IF(H26&gt;0,1,"-"),IFERROR(H26/H25,"-"))</f>
        <v>-</v>
      </c>
      <c r="J25" s="2"/>
      <c r="K25" s="705"/>
      <c r="L25" s="705"/>
      <c r="M25" s="705"/>
      <c r="N25" s="705"/>
      <c r="O25" s="705"/>
      <c r="P25" s="705"/>
      <c r="Q25" s="705"/>
      <c r="R25" s="2"/>
      <c r="S25" s="705">
        <f t="shared" si="58"/>
        <v>0</v>
      </c>
      <c r="T25" s="878" t="str">
        <f>IFERROR((S26/S25),"-")</f>
        <v>-</v>
      </c>
      <c r="U25" s="2"/>
      <c r="V25" s="705"/>
      <c r="W25" s="705"/>
      <c r="X25" s="705"/>
      <c r="Y25" s="705"/>
      <c r="Z25" s="705"/>
      <c r="AA25" s="705"/>
      <c r="AB25" s="705"/>
      <c r="AC25" s="2"/>
      <c r="AD25" s="705">
        <f ca="1">SUMIF($V$7:AB$7,"&lt;="&amp;$I$7,V25:AA25)</f>
        <v>0</v>
      </c>
      <c r="AE25" s="878" t="str">
        <f ca="1">IFERROR((AD26/AD25),"-")</f>
        <v>-</v>
      </c>
      <c r="AF25" s="2"/>
      <c r="AG25" s="705"/>
      <c r="AH25" s="705"/>
      <c r="AI25" s="705"/>
      <c r="AJ25" s="705"/>
      <c r="AK25" s="705"/>
      <c r="AL25" s="705"/>
      <c r="AM25" s="705"/>
      <c r="AN25" s="2"/>
      <c r="AO25" s="705">
        <f ca="1">SUMIF($AG$7:AM$7,"&lt;="&amp;$I$7,AG25:AL25)</f>
        <v>0</v>
      </c>
      <c r="AP25" s="878" t="str">
        <f ca="1">IFERROR((AO26/AO25),"-")</f>
        <v>-</v>
      </c>
      <c r="AQ25" s="2"/>
      <c r="AR25" s="705"/>
      <c r="AS25" s="705"/>
      <c r="AT25" s="705"/>
      <c r="AU25" s="705"/>
      <c r="AV25" s="705"/>
      <c r="AW25" s="705"/>
      <c r="AX25" s="705"/>
      <c r="AY25" s="2"/>
      <c r="AZ25" s="705">
        <f ca="1">SUMIF($AR$7:AX$7,"&lt;="&amp;$I$7,AR25:AW25)</f>
        <v>0</v>
      </c>
      <c r="BA25" s="878" t="str">
        <f ca="1">IFERROR((AZ26/AZ25),"-")</f>
        <v>-</v>
      </c>
      <c r="BB25" s="2"/>
      <c r="BC25" s="705"/>
      <c r="BD25" s="705"/>
      <c r="BE25" s="705"/>
      <c r="BF25" s="705"/>
      <c r="BG25" s="705"/>
      <c r="BH25" s="705"/>
      <c r="BI25" s="705"/>
      <c r="BJ25" s="2"/>
      <c r="BK25" s="705">
        <f ca="1">SUMIF($BC$7:BI$7,"&lt;="&amp;$I$7,BC25:BH25)</f>
        <v>0</v>
      </c>
      <c r="BL25" s="878" t="str">
        <f ca="1">IFERROR((BK26/BK25),"-")</f>
        <v>-</v>
      </c>
      <c r="BM25" s="2"/>
      <c r="BN25" s="921">
        <v>0</v>
      </c>
      <c r="BO25" s="884">
        <v>0</v>
      </c>
      <c r="BP25" s="884">
        <f>SUM(M26:P26,V26:AB26,AG26:AM26,AR26:AX26,BC26:BI26)</f>
        <v>0</v>
      </c>
      <c r="BQ25" s="878" t="str">
        <f>IF(AND(BO25=0,BP25=0),"-",IF(BO25=0,1,BP25/BO25))</f>
        <v>-</v>
      </c>
      <c r="BR25" s="2"/>
      <c r="BS25" s="884">
        <v>233964.53</v>
      </c>
      <c r="BT25" s="884">
        <v>233964.53</v>
      </c>
      <c r="BU25" s="884">
        <f ca="1">E25+S26+AD26+AO26+AZ26+BK26-K26-L26</f>
        <v>233964.53</v>
      </c>
      <c r="BV25" s="884">
        <v>106</v>
      </c>
      <c r="BW25" s="1004">
        <f ca="1">IFERROR((BU25/BV25),"-")</f>
        <v>2207.2125471698114</v>
      </c>
      <c r="BX25" s="884">
        <v>228736.86499999999</v>
      </c>
      <c r="BY25" s="878">
        <f ca="1">IFERROR((BU25/BX25),"-")</f>
        <v>1.0228544926503211</v>
      </c>
      <c r="BZ25" s="2"/>
      <c r="CA25" s="884">
        <v>298090.38</v>
      </c>
      <c r="CB25" s="884">
        <f ca="1">CA25-BU25</f>
        <v>64125.850000000006</v>
      </c>
      <c r="CC25" s="2"/>
      <c r="CD25" s="504">
        <f>IFERROR(AVERAGEIF($V$7:AB$7,"&lt;="&amp;$I$7,V25:AB25),0)</f>
        <v>0</v>
      </c>
      <c r="CE25" s="2"/>
      <c r="CH25" s="93" t="str">
        <f t="shared" si="22"/>
        <v xml:space="preserve">Corte 6 - Km 179+140 a 180+760 </v>
      </c>
    </row>
    <row r="26" spans="1:86" s="16" customFormat="1" ht="15.95" hidden="1" customHeight="1" outlineLevel="2">
      <c r="A26" s="74"/>
      <c r="B26" s="1040"/>
      <c r="C26" s="1034"/>
      <c r="D26" s="2"/>
      <c r="E26" s="1024"/>
      <c r="F26" s="2"/>
      <c r="G26" s="50" t="s">
        <v>38</v>
      </c>
      <c r="H26" s="705">
        <f t="shared" si="23"/>
        <v>0</v>
      </c>
      <c r="I26" s="879"/>
      <c r="J26" s="2"/>
      <c r="K26" s="76"/>
      <c r="L26" s="76"/>
      <c r="M26" s="76"/>
      <c r="N26" s="76"/>
      <c r="O26" s="76"/>
      <c r="P26" s="76"/>
      <c r="Q26" s="706"/>
      <c r="R26" s="2"/>
      <c r="S26" s="705">
        <f t="shared" si="58"/>
        <v>0</v>
      </c>
      <c r="T26" s="879"/>
      <c r="U26" s="2"/>
      <c r="V26" s="76"/>
      <c r="W26" s="76"/>
      <c r="X26" s="76"/>
      <c r="Y26" s="76"/>
      <c r="Z26" s="76"/>
      <c r="AA26" s="76"/>
      <c r="AB26" s="706"/>
      <c r="AC26" s="2"/>
      <c r="AD26" s="705">
        <f ca="1">SUMIF($V$7:AB$7,"&lt;="&amp;$I$7,V26:AA26)</f>
        <v>0</v>
      </c>
      <c r="AE26" s="879"/>
      <c r="AF26" s="2"/>
      <c r="AG26" s="76"/>
      <c r="AH26" s="76"/>
      <c r="AI26" s="76"/>
      <c r="AJ26" s="76"/>
      <c r="AK26" s="76"/>
      <c r="AL26" s="76"/>
      <c r="AM26" s="706"/>
      <c r="AN26" s="2"/>
      <c r="AO26" s="705">
        <f ca="1">SUMIF($AG$7:AM$7,"&lt;="&amp;$I$7,AG26:AL26)</f>
        <v>0</v>
      </c>
      <c r="AP26" s="879"/>
      <c r="AQ26" s="2"/>
      <c r="AR26" s="76"/>
      <c r="AS26" s="76"/>
      <c r="AT26" s="76"/>
      <c r="AU26" s="76"/>
      <c r="AV26" s="76"/>
      <c r="AW26" s="76"/>
      <c r="AX26" s="706"/>
      <c r="AY26" s="2"/>
      <c r="AZ26" s="705">
        <f ca="1">SUMIF($AR$7:AX$7,"&lt;="&amp;$I$7,AR26:AW26)</f>
        <v>0</v>
      </c>
      <c r="BA26" s="879"/>
      <c r="BB26" s="2"/>
      <c r="BC26" s="76"/>
      <c r="BD26" s="76"/>
      <c r="BE26" s="76"/>
      <c r="BF26" s="76"/>
      <c r="BG26" s="76"/>
      <c r="BH26" s="76"/>
      <c r="BI26" s="706"/>
      <c r="BJ26" s="2"/>
      <c r="BK26" s="705">
        <f ca="1">SUMIF($BC$7:BI$7,"&lt;="&amp;$I$7,BC26:BH26)</f>
        <v>0</v>
      </c>
      <c r="BL26" s="879"/>
      <c r="BM26" s="2"/>
      <c r="BN26" s="922"/>
      <c r="BO26" s="885"/>
      <c r="BP26" s="885"/>
      <c r="BQ26" s="879"/>
      <c r="BR26" s="2"/>
      <c r="BS26" s="885"/>
      <c r="BT26" s="885"/>
      <c r="BU26" s="885"/>
      <c r="BV26" s="885"/>
      <c r="BW26" s="1005"/>
      <c r="BX26" s="885"/>
      <c r="BY26" s="879"/>
      <c r="BZ26" s="2"/>
      <c r="CA26" s="885"/>
      <c r="CB26" s="885"/>
      <c r="CC26" s="2"/>
      <c r="CD26" s="504">
        <f>IFERROR(AVERAGEIF($V$7:AB$7,"&lt;="&amp;$I$7,V26:AB26),0)</f>
        <v>0</v>
      </c>
      <c r="CE26" s="2"/>
      <c r="CH26" s="93" t="str">
        <f t="shared" si="22"/>
        <v xml:space="preserve">Corte 6 - Km 179+140 a 180+760 </v>
      </c>
    </row>
    <row r="27" spans="1:86" s="16" customFormat="1" ht="15.75" hidden="1" customHeight="1" outlineLevel="2">
      <c r="A27" s="407" t="s">
        <v>3849</v>
      </c>
      <c r="B27" s="1096" t="s">
        <v>3850</v>
      </c>
      <c r="C27" s="1014" t="s">
        <v>36</v>
      </c>
      <c r="D27" s="2"/>
      <c r="E27" s="1004">
        <v>108624.44</v>
      </c>
      <c r="F27" s="2"/>
      <c r="G27" s="49" t="s">
        <v>37</v>
      </c>
      <c r="H27" s="705">
        <f t="shared" si="23"/>
        <v>0</v>
      </c>
      <c r="I27" s="878" t="str">
        <f t="shared" ref="I27" si="60">IF(H27=0,IF(H28&gt;0,1,"-"),IFERROR(H28/H27,"-"))</f>
        <v>-</v>
      </c>
      <c r="J27" s="2"/>
      <c r="K27" s="705"/>
      <c r="L27" s="705"/>
      <c r="M27" s="705"/>
      <c r="N27" s="705"/>
      <c r="O27" s="705"/>
      <c r="P27" s="705"/>
      <c r="Q27" s="705"/>
      <c r="R27" s="2"/>
      <c r="S27" s="705">
        <f ca="1">SUMIF($K$7:Q$7,"&lt;="&amp;$I$7,K27:P27)</f>
        <v>0</v>
      </c>
      <c r="T27" s="878" t="str">
        <f ca="1">IFERROR((S28/S27),"-")</f>
        <v>-</v>
      </c>
      <c r="U27" s="2"/>
      <c r="V27" s="705"/>
      <c r="W27" s="705"/>
      <c r="X27" s="705"/>
      <c r="Y27" s="705"/>
      <c r="Z27" s="705"/>
      <c r="AA27" s="705"/>
      <c r="AB27" s="705"/>
      <c r="AC27" s="2"/>
      <c r="AD27" s="705">
        <f ca="1">SUMIF($V$7:AB$7,"&lt;="&amp;$I$7,V27:AA27)</f>
        <v>0</v>
      </c>
      <c r="AE27" s="878" t="str">
        <f ca="1">IFERROR((AD28/AD27),"-")</f>
        <v>-</v>
      </c>
      <c r="AF27" s="2"/>
      <c r="AG27" s="705"/>
      <c r="AH27" s="705"/>
      <c r="AI27" s="705"/>
      <c r="AJ27" s="705"/>
      <c r="AK27" s="705"/>
      <c r="AL27" s="705"/>
      <c r="AM27" s="705"/>
      <c r="AN27" s="2"/>
      <c r="AO27" s="705">
        <f ca="1">SUMIF($AG$7:AM$7,"&lt;="&amp;$I$7,AG27:AL27)</f>
        <v>0</v>
      </c>
      <c r="AP27" s="878" t="str">
        <f ca="1">IFERROR((AO28/AO27),"-")</f>
        <v>-</v>
      </c>
      <c r="AQ27" s="2"/>
      <c r="AR27" s="705"/>
      <c r="AS27" s="705"/>
      <c r="AT27" s="705"/>
      <c r="AU27" s="705"/>
      <c r="AV27" s="705"/>
      <c r="AW27" s="705"/>
      <c r="AX27" s="705"/>
      <c r="AY27" s="2"/>
      <c r="AZ27" s="705">
        <f ca="1">SUMIF($AR$7:AX$7,"&lt;="&amp;$I$7,AR27:AW27)</f>
        <v>0</v>
      </c>
      <c r="BA27" s="878" t="str">
        <f ca="1">IFERROR((AZ28/AZ27),"-")</f>
        <v>-</v>
      </c>
      <c r="BB27" s="2"/>
      <c r="BC27" s="705"/>
      <c r="BD27" s="705"/>
      <c r="BE27" s="705"/>
      <c r="BF27" s="705"/>
      <c r="BG27" s="705"/>
      <c r="BH27" s="705"/>
      <c r="BI27" s="705"/>
      <c r="BJ27" s="2"/>
      <c r="BK27" s="705">
        <f ca="1">SUMIF($BC$7:BI$7,"&lt;="&amp;$I$7,BC27:BH27)</f>
        <v>0</v>
      </c>
      <c r="BL27" s="878" t="str">
        <f ca="1">IFERROR((BK28/BK27),"-")</f>
        <v>-</v>
      </c>
      <c r="BM27" s="2"/>
      <c r="BN27" s="921">
        <v>0</v>
      </c>
      <c r="BO27" s="884">
        <v>0</v>
      </c>
      <c r="BP27" s="884">
        <f>SUM(M28:P28,V28:AB28,AG28:AM28,AR28:AX28,BC28:BI28)</f>
        <v>0</v>
      </c>
      <c r="BQ27" s="878" t="str">
        <f>IF(AND(BO27=0,BP27=0),"-",IF(BO27=0,1,BP27/BO27))</f>
        <v>-</v>
      </c>
      <c r="BR27" s="2"/>
      <c r="BS27" s="884">
        <f>BT27</f>
        <v>103462.44</v>
      </c>
      <c r="BT27" s="884">
        <v>103462.44</v>
      </c>
      <c r="BU27" s="884">
        <f ca="1">E27+S28+AD28+AO28+AZ28+BK28-K28-L28</f>
        <v>108624.44</v>
      </c>
      <c r="BV27" s="884">
        <v>106</v>
      </c>
      <c r="BW27" s="1004">
        <f ca="1">IFERROR((BU27/BV27),"-")</f>
        <v>1024.7588679245284</v>
      </c>
      <c r="BX27" s="884">
        <v>103462.44</v>
      </c>
      <c r="BY27" s="878">
        <f ca="1">IFERROR((BU27/BX27),"-")</f>
        <v>1.0498925020519523</v>
      </c>
      <c r="BZ27" s="2"/>
      <c r="CA27" s="884">
        <v>138746.39000000001</v>
      </c>
      <c r="CB27" s="884">
        <f t="shared" ref="CB27" ca="1" si="61">CA27-BU27</f>
        <v>30121.950000000012</v>
      </c>
      <c r="CC27" s="2"/>
      <c r="CD27" s="504">
        <f>IFERROR(AVERAGEIF($V$7:AB$7,"&lt;="&amp;$I$7,V27:AB27),0)</f>
        <v>0</v>
      </c>
      <c r="CE27" s="2"/>
      <c r="CH27" s="93" t="str">
        <f t="shared" si="22"/>
        <v>Triangulo de reversão - Km 170+400</v>
      </c>
    </row>
    <row r="28" spans="1:86" s="16" customFormat="1" ht="15.75" hidden="1" customHeight="1" outlineLevel="2">
      <c r="A28" s="74"/>
      <c r="B28" s="1090"/>
      <c r="C28" s="1034"/>
      <c r="D28" s="2"/>
      <c r="E28" s="1024"/>
      <c r="F28" s="2"/>
      <c r="G28" s="50" t="s">
        <v>38</v>
      </c>
      <c r="H28" s="705">
        <f t="shared" si="23"/>
        <v>0</v>
      </c>
      <c r="I28" s="879"/>
      <c r="J28" s="2"/>
      <c r="K28" s="76"/>
      <c r="L28" s="76"/>
      <c r="M28" s="76"/>
      <c r="N28" s="76"/>
      <c r="O28" s="76"/>
      <c r="P28" s="76"/>
      <c r="Q28" s="706"/>
      <c r="R28" s="2"/>
      <c r="S28" s="705">
        <f ca="1">SUMIF($K$7:Q$7,"&lt;="&amp;$I$7,K28:P28)</f>
        <v>0</v>
      </c>
      <c r="T28" s="879"/>
      <c r="U28" s="2"/>
      <c r="V28" s="76"/>
      <c r="W28" s="76"/>
      <c r="X28" s="76"/>
      <c r="Y28" s="76"/>
      <c r="Z28" s="76"/>
      <c r="AA28" s="76"/>
      <c r="AB28" s="76"/>
      <c r="AC28" s="2"/>
      <c r="AD28" s="705">
        <f ca="1">SUMIF($V$7:AB$7,"&lt;="&amp;$I$7,V28:AA28)</f>
        <v>0</v>
      </c>
      <c r="AE28" s="879"/>
      <c r="AF28" s="2"/>
      <c r="AG28" s="76"/>
      <c r="AH28" s="76"/>
      <c r="AI28" s="76"/>
      <c r="AJ28" s="76"/>
      <c r="AK28" s="76"/>
      <c r="AL28" s="76"/>
      <c r="AM28" s="706"/>
      <c r="AN28" s="2"/>
      <c r="AO28" s="705">
        <f ca="1">SUMIF($AG$7:AM$7,"&lt;="&amp;$I$7,AG28:AL28)</f>
        <v>0</v>
      </c>
      <c r="AP28" s="879"/>
      <c r="AQ28" s="2"/>
      <c r="AR28" s="76"/>
      <c r="AS28" s="76"/>
      <c r="AT28" s="76"/>
      <c r="AU28" s="76"/>
      <c r="AV28" s="76"/>
      <c r="AW28" s="76"/>
      <c r="AX28" s="706"/>
      <c r="AY28" s="2"/>
      <c r="AZ28" s="705">
        <f ca="1">SUMIF($AR$7:AX$7,"&lt;="&amp;$I$7,AR28:AW28)</f>
        <v>0</v>
      </c>
      <c r="BA28" s="879"/>
      <c r="BB28" s="2"/>
      <c r="BC28" s="76"/>
      <c r="BD28" s="76"/>
      <c r="BE28" s="76"/>
      <c r="BF28" s="76"/>
      <c r="BG28" s="76"/>
      <c r="BH28" s="76"/>
      <c r="BI28" s="706"/>
      <c r="BJ28" s="2"/>
      <c r="BK28" s="705">
        <f ca="1">SUMIF($BC$7:BI$7,"&lt;="&amp;$I$7,BC28:BH28)</f>
        <v>0</v>
      </c>
      <c r="BL28" s="879"/>
      <c r="BM28" s="2"/>
      <c r="BN28" s="922"/>
      <c r="BO28" s="885"/>
      <c r="BP28" s="885"/>
      <c r="BQ28" s="879"/>
      <c r="BR28" s="2"/>
      <c r="BS28" s="885"/>
      <c r="BT28" s="885"/>
      <c r="BU28" s="885"/>
      <c r="BV28" s="885"/>
      <c r="BW28" s="1005"/>
      <c r="BX28" s="885"/>
      <c r="BY28" s="879"/>
      <c r="BZ28" s="2"/>
      <c r="CA28" s="885"/>
      <c r="CB28" s="885"/>
      <c r="CC28" s="2"/>
      <c r="CD28" s="504">
        <f>IFERROR(AVERAGEIF($V$7:AB$7,"&lt;="&amp;$I$7,V28:AB28),0)</f>
        <v>0</v>
      </c>
      <c r="CE28" s="2"/>
      <c r="CH28" s="93" t="str">
        <f t="shared" si="22"/>
        <v>Triangulo de reversão - Km 170+400</v>
      </c>
    </row>
    <row r="29" spans="1:86" s="16" customFormat="1" ht="15.75" hidden="1" customHeight="1" outlineLevel="2">
      <c r="A29" s="407" t="s">
        <v>3851</v>
      </c>
      <c r="B29" s="1089" t="s">
        <v>3852</v>
      </c>
      <c r="C29" s="1014" t="s">
        <v>36</v>
      </c>
      <c r="D29" s="2"/>
      <c r="E29" s="1004">
        <v>46936.5</v>
      </c>
      <c r="F29" s="2"/>
      <c r="G29" s="49" t="s">
        <v>37</v>
      </c>
      <c r="H29" s="705">
        <f t="shared" si="23"/>
        <v>5000</v>
      </c>
      <c r="I29" s="878">
        <f t="shared" ref="I29" si="62">IF(H29=0,IF(H30&gt;0,1,"-"),IFERROR(H30/H29,"-"))</f>
        <v>0.78879999999999995</v>
      </c>
      <c r="J29" s="2"/>
      <c r="K29" s="705">
        <v>2000</v>
      </c>
      <c r="L29" s="705">
        <v>3500</v>
      </c>
      <c r="M29" s="705">
        <v>3500</v>
      </c>
      <c r="N29" s="705">
        <v>3500</v>
      </c>
      <c r="O29" s="705">
        <v>3500</v>
      </c>
      <c r="P29" s="705">
        <v>3500</v>
      </c>
      <c r="Q29" s="705"/>
      <c r="R29" s="2"/>
      <c r="S29" s="705">
        <f ca="1">SUMIF($K$7:Q$7,"&lt;="&amp;$I$7,K29:P29)</f>
        <v>19500</v>
      </c>
      <c r="T29" s="878">
        <f ca="1">IFERROR((S30/S29),"-")</f>
        <v>1.119102564102564</v>
      </c>
      <c r="U29" s="2"/>
      <c r="V29" s="705">
        <v>5000</v>
      </c>
      <c r="W29" s="705">
        <v>5000</v>
      </c>
      <c r="X29" s="705">
        <v>5000</v>
      </c>
      <c r="Y29" s="705">
        <v>5000</v>
      </c>
      <c r="Z29" s="705">
        <v>5000</v>
      </c>
      <c r="AA29" s="705">
        <v>5000</v>
      </c>
      <c r="AB29" s="705"/>
      <c r="AC29" s="2"/>
      <c r="AD29" s="705">
        <f ca="1">SUMIF($V$7:AB$7,"&lt;="&amp;$I$7,V29:AA29)</f>
        <v>30000</v>
      </c>
      <c r="AE29" s="878">
        <f ca="1">IFERROR((AD30/AD29),"-")</f>
        <v>0.58145000000000002</v>
      </c>
      <c r="AF29" s="2"/>
      <c r="AG29" s="705">
        <v>5000</v>
      </c>
      <c r="AH29" s="705">
        <v>5000</v>
      </c>
      <c r="AI29" s="705">
        <v>5000</v>
      </c>
      <c r="AJ29" s="705">
        <v>5000</v>
      </c>
      <c r="AK29" s="705">
        <v>5000</v>
      </c>
      <c r="AL29" s="705">
        <v>5000</v>
      </c>
      <c r="AM29" s="705"/>
      <c r="AN29" s="2"/>
      <c r="AO29" s="705">
        <f ca="1">SUMIF($AG$7:AM$7,"&lt;="&amp;$I$7,AG29:AL29)</f>
        <v>10000</v>
      </c>
      <c r="AP29" s="878">
        <f ca="1">IFERROR((AO30/AO29),"-")</f>
        <v>0.82215000000000005</v>
      </c>
      <c r="AQ29" s="2"/>
      <c r="AR29" s="705"/>
      <c r="AS29" s="705"/>
      <c r="AT29" s="705"/>
      <c r="AU29" s="705"/>
      <c r="AV29" s="705"/>
      <c r="AW29" s="705"/>
      <c r="AX29" s="705"/>
      <c r="AY29" s="2"/>
      <c r="AZ29" s="705">
        <f ca="1">SUMIF($AR$7:AX$7,"&lt;="&amp;$I$7,AR29:AW29)</f>
        <v>0</v>
      </c>
      <c r="BA29" s="878" t="str">
        <f ca="1">IFERROR((AZ30/AZ29),"-")</f>
        <v>-</v>
      </c>
      <c r="BB29" s="2"/>
      <c r="BC29" s="705"/>
      <c r="BD29" s="705"/>
      <c r="BE29" s="705"/>
      <c r="BF29" s="705"/>
      <c r="BG29" s="705"/>
      <c r="BH29" s="705"/>
      <c r="BI29" s="705"/>
      <c r="BJ29" s="2"/>
      <c r="BK29" s="705">
        <f ca="1">SUMIF($BC$7:BI$7,"&lt;="&amp;$I$7,BC29:BH29)</f>
        <v>0</v>
      </c>
      <c r="BL29" s="878" t="str">
        <f ca="1">IFERROR((BK30/BK29),"-")</f>
        <v>-</v>
      </c>
      <c r="BM29" s="2"/>
      <c r="BN29" s="921">
        <v>0</v>
      </c>
      <c r="BO29" s="884">
        <v>0</v>
      </c>
      <c r="BP29" s="884">
        <f>SUM(M30:P30,V30:AB30,AG30:AM30,AR30:AX30,BC30:BI30)</f>
        <v>39019.5</v>
      </c>
      <c r="BQ29" s="878">
        <f>IF(AND(BO29=0,BP29=0),"-",IF(BO29=0,1,BP29/BO29))</f>
        <v>1</v>
      </c>
      <c r="BR29" s="2"/>
      <c r="BS29" s="884"/>
      <c r="BT29" s="884"/>
      <c r="BU29" s="884">
        <f ca="1">E29+S30+AD30+AO30+AZ30+BK30-K30-L30</f>
        <v>85956</v>
      </c>
      <c r="BV29" s="884">
        <v>106</v>
      </c>
      <c r="BW29" s="1004">
        <f ca="1">IFERROR((BU29/BV29),"-")</f>
        <v>810.90566037735846</v>
      </c>
      <c r="BX29" s="884">
        <v>0</v>
      </c>
      <c r="BY29" s="878" t="str">
        <f ca="1">IFERROR((BU29/BX29),"-")</f>
        <v>-</v>
      </c>
      <c r="BZ29" s="2"/>
      <c r="CA29" s="884">
        <v>310476.53999999998</v>
      </c>
      <c r="CB29" s="884">
        <f t="shared" ref="CB29" ca="1" si="63">CA29-BU29</f>
        <v>224520.53999999998</v>
      </c>
      <c r="CC29" s="2"/>
      <c r="CD29" s="504">
        <f>IFERROR(AVERAGEIF($V$7:AB$7,"&lt;="&amp;$I$7,V29:AB29),0)</f>
        <v>5000</v>
      </c>
      <c r="CE29" s="2"/>
      <c r="CH29" s="93" t="str">
        <f t="shared" si="22"/>
        <v>Caixa CX 200 - Km 200+000</v>
      </c>
    </row>
    <row r="30" spans="1:86" s="16" customFormat="1" ht="15.75" hidden="1" customHeight="1" outlineLevel="2">
      <c r="A30" s="74"/>
      <c r="B30" s="1095"/>
      <c r="C30" s="1034"/>
      <c r="D30" s="2"/>
      <c r="E30" s="1024"/>
      <c r="F30" s="2"/>
      <c r="G30" s="50" t="s">
        <v>38</v>
      </c>
      <c r="H30" s="705">
        <f t="shared" si="23"/>
        <v>3944</v>
      </c>
      <c r="I30" s="879"/>
      <c r="J30" s="2"/>
      <c r="K30" s="76">
        <v>3784.5</v>
      </c>
      <c r="L30" s="76">
        <v>4683.5</v>
      </c>
      <c r="M30" s="76">
        <v>3335</v>
      </c>
      <c r="N30" s="76">
        <v>5017</v>
      </c>
      <c r="O30" s="76">
        <v>2581</v>
      </c>
      <c r="P30" s="76">
        <v>2421.5</v>
      </c>
      <c r="Q30" s="706"/>
      <c r="R30" s="2"/>
      <c r="S30" s="705">
        <f ca="1">SUMIF($K$7:Q$7,"&lt;="&amp;$I$7,K30:P30)</f>
        <v>21822.5</v>
      </c>
      <c r="T30" s="879"/>
      <c r="U30" s="2"/>
      <c r="V30" s="76">
        <v>3045</v>
      </c>
      <c r="W30" s="76">
        <v>2624.5</v>
      </c>
      <c r="X30" s="76">
        <v>3364</v>
      </c>
      <c r="Y30" s="76">
        <v>2668</v>
      </c>
      <c r="Z30" s="76">
        <v>2682.5</v>
      </c>
      <c r="AA30" s="76">
        <v>3059.5</v>
      </c>
      <c r="AB30" s="706"/>
      <c r="AC30" s="2"/>
      <c r="AD30" s="705">
        <f ca="1">SUMIF($V$7:AB$7,"&lt;="&amp;$I$7,V30:AA30)</f>
        <v>17443.5</v>
      </c>
      <c r="AE30" s="879"/>
      <c r="AF30" s="2"/>
      <c r="AG30" s="76">
        <v>4277.5</v>
      </c>
      <c r="AH30" s="76">
        <v>3944</v>
      </c>
      <c r="AI30" s="76"/>
      <c r="AJ30" s="76"/>
      <c r="AK30" s="76"/>
      <c r="AL30" s="76"/>
      <c r="AM30" s="706"/>
      <c r="AN30" s="2"/>
      <c r="AO30" s="705">
        <f ca="1">SUMIF($AG$7:AM$7,"&lt;="&amp;$I$7,AG30:AL30)</f>
        <v>8221.5</v>
      </c>
      <c r="AP30" s="879"/>
      <c r="AQ30" s="2"/>
      <c r="AR30" s="76"/>
      <c r="AS30" s="76"/>
      <c r="AT30" s="76"/>
      <c r="AU30" s="76"/>
      <c r="AV30" s="76"/>
      <c r="AW30" s="76"/>
      <c r="AX30" s="706"/>
      <c r="AY30" s="2"/>
      <c r="AZ30" s="705">
        <f ca="1">SUMIF($AR$7:AX$7,"&lt;="&amp;$I$7,AR30:AW30)</f>
        <v>0</v>
      </c>
      <c r="BA30" s="879"/>
      <c r="BB30" s="2"/>
      <c r="BC30" s="76"/>
      <c r="BD30" s="76"/>
      <c r="BE30" s="76"/>
      <c r="BF30" s="76"/>
      <c r="BG30" s="76"/>
      <c r="BH30" s="76"/>
      <c r="BI30" s="706"/>
      <c r="BJ30" s="2"/>
      <c r="BK30" s="705">
        <f ca="1">SUMIF($BC$7:BI$7,"&lt;="&amp;$I$7,BC30:BH30)</f>
        <v>0</v>
      </c>
      <c r="BL30" s="879"/>
      <c r="BM30" s="2"/>
      <c r="BN30" s="922"/>
      <c r="BO30" s="885"/>
      <c r="BP30" s="885"/>
      <c r="BQ30" s="879"/>
      <c r="BR30" s="2"/>
      <c r="BS30" s="885"/>
      <c r="BT30" s="885"/>
      <c r="BU30" s="885"/>
      <c r="BV30" s="885"/>
      <c r="BW30" s="1005"/>
      <c r="BX30" s="885"/>
      <c r="BY30" s="879"/>
      <c r="BZ30" s="2"/>
      <c r="CA30" s="885"/>
      <c r="CB30" s="885"/>
      <c r="CC30" s="2"/>
      <c r="CD30" s="504">
        <f>IFERROR(AVERAGEIF($V$7:AB$7,"&lt;="&amp;$I$7,V30:AB30),0)</f>
        <v>2907.25</v>
      </c>
      <c r="CE30" s="2"/>
      <c r="CH30" s="93" t="str">
        <f t="shared" si="22"/>
        <v>Caixa CX 200 - Km 200+000</v>
      </c>
    </row>
    <row r="31" spans="1:86" s="16" customFormat="1" ht="15.75" hidden="1" customHeight="1" outlineLevel="2">
      <c r="A31" s="407" t="s">
        <v>3853</v>
      </c>
      <c r="B31" s="1089" t="s">
        <v>3854</v>
      </c>
      <c r="C31" s="1014" t="s">
        <v>36</v>
      </c>
      <c r="D31" s="2"/>
      <c r="E31" s="1004">
        <v>609</v>
      </c>
      <c r="F31" s="2"/>
      <c r="G31" s="49" t="s">
        <v>37</v>
      </c>
      <c r="H31" s="705">
        <f t="shared" si="23"/>
        <v>0</v>
      </c>
      <c r="I31" s="878" t="str">
        <f t="shared" ref="I31" si="64">IF(H31=0,IF(H32&gt;0,1,"-"),IFERROR(H32/H31,"-"))</f>
        <v>-</v>
      </c>
      <c r="J31" s="2"/>
      <c r="K31" s="705"/>
      <c r="L31" s="705"/>
      <c r="M31" s="705"/>
      <c r="N31" s="705"/>
      <c r="O31" s="705"/>
      <c r="P31" s="705"/>
      <c r="Q31" s="705"/>
      <c r="R31" s="2"/>
      <c r="S31" s="705">
        <f ca="1">SUMIF($K$7:Q$7,"&lt;="&amp;$I$7,K31:P31)</f>
        <v>0</v>
      </c>
      <c r="T31" s="878" t="str">
        <f ca="1">IFERROR((S32/S31),"-")</f>
        <v>-</v>
      </c>
      <c r="U31" s="2"/>
      <c r="V31" s="705"/>
      <c r="W31" s="705"/>
      <c r="X31" s="705"/>
      <c r="Y31" s="705"/>
      <c r="Z31" s="705"/>
      <c r="AA31" s="705"/>
      <c r="AB31" s="705"/>
      <c r="AC31" s="2"/>
      <c r="AD31" s="705">
        <f ca="1">SUMIF($V$7:AB$7,"&lt;="&amp;$I$7,V31:AA31)</f>
        <v>0</v>
      </c>
      <c r="AE31" s="878" t="str">
        <f ca="1">IFERROR((AD32/AD31),"-")</f>
        <v>-</v>
      </c>
      <c r="AF31" s="2"/>
      <c r="AG31" s="705"/>
      <c r="AH31" s="705"/>
      <c r="AI31" s="705"/>
      <c r="AJ31" s="705"/>
      <c r="AK31" s="705"/>
      <c r="AL31" s="705"/>
      <c r="AM31" s="705"/>
      <c r="AN31" s="2"/>
      <c r="AO31" s="705">
        <f ca="1">SUMIF($AG$7:AM$7,"&lt;="&amp;$I$7,AG31:AL31)</f>
        <v>0</v>
      </c>
      <c r="AP31" s="878" t="str">
        <f ca="1">IFERROR((AO32/AO31),"-")</f>
        <v>-</v>
      </c>
      <c r="AQ31" s="2"/>
      <c r="AR31" s="705"/>
      <c r="AS31" s="705"/>
      <c r="AT31" s="705"/>
      <c r="AU31" s="705"/>
      <c r="AV31" s="705"/>
      <c r="AW31" s="705"/>
      <c r="AX31" s="705"/>
      <c r="AY31" s="2"/>
      <c r="AZ31" s="705">
        <f ca="1">SUMIF($AR$7:AX$7,"&lt;="&amp;$I$7,AR31:AW31)</f>
        <v>0</v>
      </c>
      <c r="BA31" s="878" t="str">
        <f ca="1">IFERROR((AZ32/AZ31),"-")</f>
        <v>-</v>
      </c>
      <c r="BB31" s="2"/>
      <c r="BC31" s="705"/>
      <c r="BD31" s="705"/>
      <c r="BE31" s="705"/>
      <c r="BF31" s="705"/>
      <c r="BG31" s="705"/>
      <c r="BH31" s="705"/>
      <c r="BI31" s="705"/>
      <c r="BJ31" s="2"/>
      <c r="BK31" s="705">
        <f ca="1">SUMIF($BC$7:BI$7,"&lt;="&amp;$I$7,BC31:BH31)</f>
        <v>0</v>
      </c>
      <c r="BL31" s="878" t="str">
        <f ca="1">IFERROR((BK32/BK31),"-")</f>
        <v>-</v>
      </c>
      <c r="BM31" s="2"/>
      <c r="BN31" s="921">
        <v>0</v>
      </c>
      <c r="BO31" s="884">
        <v>0</v>
      </c>
      <c r="BP31" s="884">
        <f>SUM(M32:P32,V32:AB32,AG32:AM32,AR32:AX32,BC32:BI32)</f>
        <v>0</v>
      </c>
      <c r="BQ31" s="878" t="str">
        <f>IF(AND(BO31=0,BP31=0),"-",IF(BO31=0,1,BP31/BO31))</f>
        <v>-</v>
      </c>
      <c r="BR31" s="2"/>
      <c r="BS31" s="884"/>
      <c r="BT31" s="884"/>
      <c r="BU31" s="884">
        <f ca="1">E31+S32+AD32+AO32+AZ32+BK32-K32-L32</f>
        <v>609</v>
      </c>
      <c r="BV31" s="884">
        <v>106</v>
      </c>
      <c r="BW31" s="1004">
        <f ca="1">IFERROR((BU31/BV31),"-")</f>
        <v>5.7452830188679247</v>
      </c>
      <c r="BX31" s="884">
        <v>0</v>
      </c>
      <c r="BY31" s="878" t="str">
        <f ca="1">IFERROR((BU31/BX31),"-")</f>
        <v>-</v>
      </c>
      <c r="BZ31" s="2"/>
      <c r="CA31" s="884"/>
      <c r="CB31" s="884">
        <f t="shared" ref="CB31" ca="1" si="65">CA31-BU31</f>
        <v>-609</v>
      </c>
      <c r="CC31" s="2"/>
      <c r="CD31" s="504">
        <f>IFERROR(AVERAGEIF($V$7:AB$7,"&lt;="&amp;$I$7,V31:AB31),0)</f>
        <v>0</v>
      </c>
      <c r="CE31" s="2"/>
      <c r="CH31" s="93" t="str">
        <f t="shared" si="22"/>
        <v>Corte 06 - Rebaixamento de solo da estaca  179+146 a 180+746</v>
      </c>
    </row>
    <row r="32" spans="1:86" s="16" customFormat="1" ht="19.350000000000001" hidden="1" customHeight="1" outlineLevel="2">
      <c r="A32" s="74"/>
      <c r="B32" s="1095"/>
      <c r="C32" s="1034"/>
      <c r="D32" s="2"/>
      <c r="E32" s="1024"/>
      <c r="F32" s="2"/>
      <c r="G32" s="50" t="s">
        <v>38</v>
      </c>
      <c r="H32" s="705">
        <f t="shared" si="23"/>
        <v>0</v>
      </c>
      <c r="I32" s="879"/>
      <c r="J32" s="2"/>
      <c r="K32" s="76"/>
      <c r="L32" s="76"/>
      <c r="M32" s="76"/>
      <c r="N32" s="76"/>
      <c r="O32" s="76"/>
      <c r="P32" s="76"/>
      <c r="Q32" s="706"/>
      <c r="R32" s="2"/>
      <c r="S32" s="705">
        <f ca="1">SUMIF($K$7:Q$7,"&lt;="&amp;$I$7,K32:P32)</f>
        <v>0</v>
      </c>
      <c r="T32" s="879"/>
      <c r="U32" s="2"/>
      <c r="V32" s="76"/>
      <c r="W32" s="76"/>
      <c r="X32" s="76"/>
      <c r="Y32" s="76"/>
      <c r="Z32" s="76"/>
      <c r="AA32" s="76"/>
      <c r="AB32" s="706"/>
      <c r="AC32" s="2"/>
      <c r="AD32" s="705">
        <f ca="1">SUMIF($V$7:AB$7,"&lt;="&amp;$I$7,V32:AA32)</f>
        <v>0</v>
      </c>
      <c r="AE32" s="879"/>
      <c r="AF32" s="2"/>
      <c r="AG32" s="76"/>
      <c r="AH32" s="76"/>
      <c r="AI32" s="76"/>
      <c r="AJ32" s="76"/>
      <c r="AK32" s="76"/>
      <c r="AL32" s="76"/>
      <c r="AM32" s="706"/>
      <c r="AN32" s="2"/>
      <c r="AO32" s="705">
        <f ca="1">SUMIF($AG$7:AM$7,"&lt;="&amp;$I$7,AG32:AL32)</f>
        <v>0</v>
      </c>
      <c r="AP32" s="879"/>
      <c r="AQ32" s="2"/>
      <c r="AR32" s="76"/>
      <c r="AS32" s="76"/>
      <c r="AT32" s="76"/>
      <c r="AU32" s="76"/>
      <c r="AV32" s="76"/>
      <c r="AW32" s="76"/>
      <c r="AX32" s="706"/>
      <c r="AY32" s="2"/>
      <c r="AZ32" s="705">
        <f ca="1">SUMIF($AR$7:AX$7,"&lt;="&amp;$I$7,AR32:AW32)</f>
        <v>0</v>
      </c>
      <c r="BA32" s="879"/>
      <c r="BB32" s="2"/>
      <c r="BC32" s="76"/>
      <c r="BD32" s="76"/>
      <c r="BE32" s="76"/>
      <c r="BF32" s="76"/>
      <c r="BG32" s="76"/>
      <c r="BH32" s="76"/>
      <c r="BI32" s="706"/>
      <c r="BJ32" s="2"/>
      <c r="BK32" s="705">
        <f ca="1">SUMIF($BC$7:BI$7,"&lt;="&amp;$I$7,BC32:BH32)</f>
        <v>0</v>
      </c>
      <c r="BL32" s="879"/>
      <c r="BM32" s="2"/>
      <c r="BN32" s="922"/>
      <c r="BO32" s="885"/>
      <c r="BP32" s="885"/>
      <c r="BQ32" s="879"/>
      <c r="BR32" s="2"/>
      <c r="BS32" s="885"/>
      <c r="BT32" s="885"/>
      <c r="BU32" s="885"/>
      <c r="BV32" s="885"/>
      <c r="BW32" s="1005"/>
      <c r="BX32" s="885"/>
      <c r="BY32" s="879"/>
      <c r="BZ32" s="2"/>
      <c r="CA32" s="885"/>
      <c r="CB32" s="885"/>
      <c r="CC32" s="2"/>
      <c r="CD32" s="504">
        <f>IFERROR(AVERAGEIF($V$7:AB$7,"&lt;="&amp;$I$7,V32:AB32),0)</f>
        <v>0</v>
      </c>
      <c r="CE32" s="2"/>
      <c r="CH32" s="93" t="str">
        <f t="shared" si="22"/>
        <v>Corte 06 - Rebaixamento de solo da estaca  179+146 a 180+746</v>
      </c>
    </row>
    <row r="33" spans="1:86" ht="14.65" hidden="1" customHeight="1" outlineLevel="1" collapsed="1">
      <c r="A33" s="69"/>
      <c r="B33" s="3"/>
      <c r="F33" s="3"/>
      <c r="J33" s="3"/>
      <c r="K33" s="37"/>
      <c r="L33" s="37"/>
      <c r="M33" s="37"/>
      <c r="N33" s="37"/>
      <c r="O33" s="37"/>
      <c r="P33" s="37"/>
      <c r="Q33" s="37"/>
      <c r="R33" s="3"/>
      <c r="S33" s="37"/>
      <c r="T33" s="3"/>
      <c r="U33" s="3"/>
      <c r="V33" s="37"/>
      <c r="W33" s="37"/>
      <c r="X33" s="37"/>
      <c r="Y33" s="37"/>
      <c r="Z33" s="37"/>
      <c r="AA33" s="37"/>
      <c r="AB33" s="37"/>
      <c r="AC33" s="3"/>
      <c r="AD33" s="37"/>
      <c r="AE33" s="3"/>
      <c r="AF33" s="3"/>
      <c r="AG33" s="37"/>
      <c r="AH33" s="37"/>
      <c r="AI33" s="37"/>
      <c r="AJ33" s="37"/>
      <c r="AK33" s="37"/>
      <c r="AL33" s="37"/>
      <c r="AM33" s="37"/>
      <c r="AN33" s="3"/>
      <c r="AO33" s="37"/>
      <c r="AP33" s="3"/>
      <c r="AQ33" s="3"/>
      <c r="AR33" s="37"/>
      <c r="AS33" s="37"/>
      <c r="AT33" s="37"/>
      <c r="AU33" s="37"/>
      <c r="AV33" s="37"/>
      <c r="AW33" s="37"/>
      <c r="AX33" s="37"/>
      <c r="AY33" s="3"/>
      <c r="AZ33" s="37"/>
      <c r="BA33" s="3"/>
      <c r="BB33" s="3"/>
      <c r="BC33" s="37"/>
      <c r="BD33" s="37"/>
      <c r="BE33" s="37"/>
      <c r="BF33" s="37"/>
      <c r="BG33" s="37"/>
      <c r="BH33" s="37"/>
      <c r="BI33" s="37"/>
      <c r="BJ33" s="3"/>
      <c r="BK33" s="37"/>
      <c r="BL33" s="3"/>
      <c r="BM33" s="3"/>
      <c r="BN33" s="35"/>
      <c r="BO33" s="35"/>
      <c r="BP33" s="35"/>
      <c r="BQ33" s="3"/>
      <c r="BR33" s="3"/>
      <c r="BS33" s="35"/>
      <c r="BT33" s="35"/>
      <c r="BU33" s="35"/>
      <c r="BV33" s="35"/>
      <c r="BW33" s="35"/>
      <c r="BX33" s="35"/>
      <c r="BY33" s="3"/>
      <c r="BZ33" s="3"/>
      <c r="CA33" s="35"/>
      <c r="CB33" s="35"/>
      <c r="CC33" s="3"/>
      <c r="CD33" s="19"/>
      <c r="CE33" s="3"/>
      <c r="CH33" s="93" t="str">
        <f t="shared" si="22"/>
        <v>Corte 06 - Rebaixamento de solo da estaca  179+146 a 180+746</v>
      </c>
    </row>
    <row r="34" spans="1:86" ht="5.0999999999999996" hidden="1" customHeight="1" outlineLevel="1">
      <c r="A34" s="69"/>
      <c r="B34" s="3"/>
      <c r="C34" s="3"/>
      <c r="E34" s="3"/>
      <c r="F34" s="3"/>
      <c r="G34" s="3"/>
      <c r="H34" s="35"/>
      <c r="I34" s="3"/>
      <c r="J34" s="3"/>
      <c r="K34" s="37"/>
      <c r="L34" s="37"/>
      <c r="M34" s="37"/>
      <c r="N34" s="37"/>
      <c r="O34" s="37"/>
      <c r="P34" s="37"/>
      <c r="Q34" s="37"/>
      <c r="R34" s="3"/>
      <c r="S34" s="37"/>
      <c r="T34" s="3"/>
      <c r="U34" s="3"/>
      <c r="V34" s="37"/>
      <c r="W34" s="37"/>
      <c r="X34" s="37"/>
      <c r="Y34" s="37"/>
      <c r="Z34" s="37"/>
      <c r="AA34" s="37"/>
      <c r="AB34" s="37"/>
      <c r="AC34" s="3"/>
      <c r="AD34" s="37"/>
      <c r="AE34" s="3"/>
      <c r="AF34" s="3"/>
      <c r="AG34" s="37"/>
      <c r="AH34" s="37"/>
      <c r="AI34" s="37"/>
      <c r="AJ34" s="37"/>
      <c r="AK34" s="37"/>
      <c r="AL34" s="37"/>
      <c r="AM34" s="37"/>
      <c r="AN34" s="3"/>
      <c r="AO34" s="37"/>
      <c r="AP34" s="3"/>
      <c r="AQ34" s="3"/>
      <c r="AR34" s="37"/>
      <c r="AS34" s="37"/>
      <c r="AT34" s="37"/>
      <c r="AU34" s="37"/>
      <c r="AV34" s="37"/>
      <c r="AW34" s="37"/>
      <c r="AX34" s="37"/>
      <c r="AY34" s="3"/>
      <c r="AZ34" s="37"/>
      <c r="BA34" s="3"/>
      <c r="BB34" s="3"/>
      <c r="BC34" s="37"/>
      <c r="BD34" s="37"/>
      <c r="BE34" s="37"/>
      <c r="BF34" s="37"/>
      <c r="BG34" s="37"/>
      <c r="BH34" s="37"/>
      <c r="BI34" s="37"/>
      <c r="BJ34" s="3"/>
      <c r="BK34" s="37"/>
      <c r="BL34" s="3"/>
      <c r="BM34" s="3"/>
      <c r="BN34" s="35"/>
      <c r="BO34" s="35"/>
      <c r="BP34" s="35"/>
      <c r="BQ34" s="3"/>
      <c r="BR34" s="3"/>
      <c r="BS34" s="35"/>
      <c r="BT34" s="35"/>
      <c r="BU34" s="35"/>
      <c r="BV34" s="35"/>
      <c r="BW34" s="35"/>
      <c r="BX34" s="35"/>
      <c r="BY34" s="3"/>
      <c r="BZ34" s="3"/>
      <c r="CA34" s="35"/>
      <c r="CB34" s="35"/>
      <c r="CC34" s="3"/>
      <c r="CD34" s="19"/>
      <c r="CE34" s="3"/>
      <c r="CH34" s="93" t="str">
        <f t="shared" si="22"/>
        <v>Corte 06 - Rebaixamento de solo da estaca  179+146 a 180+746</v>
      </c>
    </row>
    <row r="35" spans="1:86" s="21" customFormat="1" ht="14.65" hidden="1" customHeight="1" outlineLevel="1">
      <c r="A35" s="73" t="s">
        <v>3855</v>
      </c>
      <c r="B35" s="1069" t="s">
        <v>3856</v>
      </c>
      <c r="C35" s="1071" t="s">
        <v>36</v>
      </c>
      <c r="D35" s="2"/>
      <c r="E35" s="1019">
        <v>1552612.1773684209</v>
      </c>
      <c r="F35" s="2"/>
      <c r="G35" s="53" t="s">
        <v>37</v>
      </c>
      <c r="H35" s="52">
        <f t="shared" ref="H35:H44" si="66">SUMIF($K$7:$BI$7,$I$7,K35:BI35)</f>
        <v>19200</v>
      </c>
      <c r="I35" s="743">
        <f t="shared" ref="I35" si="67">IF(H35=0,IF(H36&gt;0,1,"-"),IFERROR(H36/H35,"-"))</f>
        <v>0.77145833333333336</v>
      </c>
      <c r="J35" s="2"/>
      <c r="K35" s="52">
        <f>SUMIF($G$37:$G$44,$G$35,K37:K44)</f>
        <v>13500</v>
      </c>
      <c r="L35" s="52">
        <f t="shared" ref="L35:Q35" si="68">SUMIF($G$37:$G$44,$G$35,L37:L44)</f>
        <v>19200</v>
      </c>
      <c r="M35" s="52">
        <f t="shared" si="68"/>
        <v>19200</v>
      </c>
      <c r="N35" s="52">
        <f t="shared" si="68"/>
        <v>19200</v>
      </c>
      <c r="O35" s="52">
        <f t="shared" si="68"/>
        <v>19200</v>
      </c>
      <c r="P35" s="52">
        <f t="shared" si="68"/>
        <v>19200</v>
      </c>
      <c r="Q35" s="52">
        <f t="shared" si="68"/>
        <v>0</v>
      </c>
      <c r="R35" s="2"/>
      <c r="S35" s="52">
        <f ca="1">SUMIF($K$7:Q$7,"&lt;="&amp;$I$7,K35:P35)</f>
        <v>109500</v>
      </c>
      <c r="T35" s="743">
        <f ca="1">IFERROR((S36/S35),"-")</f>
        <v>0.77075342465753427</v>
      </c>
      <c r="U35" s="2"/>
      <c r="V35" s="52">
        <f>SUMIF($G$37:$G$44,$G$35,V37:V44)</f>
        <v>19200</v>
      </c>
      <c r="W35" s="52">
        <f t="shared" ref="W35:AA35" si="69">SUMIF($G$37:$G$44,$G$35,W37:W44)</f>
        <v>19200</v>
      </c>
      <c r="X35" s="52">
        <f t="shared" si="69"/>
        <v>19200</v>
      </c>
      <c r="Y35" s="52">
        <f t="shared" si="69"/>
        <v>19200</v>
      </c>
      <c r="Z35" s="52">
        <f t="shared" si="69"/>
        <v>19200</v>
      </c>
      <c r="AA35" s="52">
        <f t="shared" si="69"/>
        <v>18700</v>
      </c>
      <c r="AB35" s="52"/>
      <c r="AC35" s="2"/>
      <c r="AD35" s="52">
        <f>SUMIF($V$7:AB$7,"&lt;="&amp;$I$7,V35:AB35)</f>
        <v>114700</v>
      </c>
      <c r="AE35" s="743">
        <f>IFERROR((AD36/AD35),"-")</f>
        <v>0.73734524847428073</v>
      </c>
      <c r="AF35" s="2"/>
      <c r="AG35" s="52">
        <f t="shared" ref="AG35:AM35" si="70">SUMIF($G$37:$G$44,$G$35,AG37:AG44)</f>
        <v>19200</v>
      </c>
      <c r="AH35" s="52">
        <f t="shared" si="70"/>
        <v>19200</v>
      </c>
      <c r="AI35" s="52">
        <f t="shared" si="70"/>
        <v>19200</v>
      </c>
      <c r="AJ35" s="52">
        <f t="shared" si="70"/>
        <v>19200</v>
      </c>
      <c r="AK35" s="52">
        <f t="shared" si="70"/>
        <v>19200</v>
      </c>
      <c r="AL35" s="52">
        <f t="shared" si="70"/>
        <v>18700</v>
      </c>
      <c r="AM35" s="52">
        <f t="shared" si="70"/>
        <v>0</v>
      </c>
      <c r="AN35" s="2"/>
      <c r="AO35" s="52">
        <f ca="1">SUMIF($AG$7:AM$7,"&lt;="&amp;$I$7,AG35:AL35)</f>
        <v>38400</v>
      </c>
      <c r="AP35" s="743">
        <f ca="1">IFERROR((AO36/AO35),"-")</f>
        <v>0.76389322916666669</v>
      </c>
      <c r="AQ35" s="2"/>
      <c r="AR35" s="52">
        <f>SUMIF($G$37:$G$44,$G$35,AR37:AR44)</f>
        <v>0</v>
      </c>
      <c r="AS35" s="52">
        <f t="shared" ref="AS35:AW35" si="71">SUMIF($G$37:$G$44,$G$35,AS37:AS44)</f>
        <v>0</v>
      </c>
      <c r="AT35" s="52">
        <f t="shared" si="71"/>
        <v>0</v>
      </c>
      <c r="AU35" s="52">
        <f t="shared" si="71"/>
        <v>0</v>
      </c>
      <c r="AV35" s="52">
        <f t="shared" si="71"/>
        <v>0</v>
      </c>
      <c r="AW35" s="52">
        <f t="shared" si="71"/>
        <v>0</v>
      </c>
      <c r="AX35" s="52"/>
      <c r="AY35" s="2"/>
      <c r="AZ35" s="52">
        <f ca="1">SUMIF($AR$7:AX$7,"&lt;="&amp;$I$7,AR35:AW35)</f>
        <v>0</v>
      </c>
      <c r="BA35" s="743" t="str">
        <f ca="1">IFERROR((AZ36/AZ35),"-")</f>
        <v>-</v>
      </c>
      <c r="BB35" s="2"/>
      <c r="BC35" s="52">
        <f>SUMIF($G$37:$G$44,$G$35,BC37:BC44)</f>
        <v>0</v>
      </c>
      <c r="BD35" s="52">
        <f t="shared" ref="BD35:BH35" si="72">SUMIF($G$37:$G$44,$G$35,BD37:BD44)</f>
        <v>0</v>
      </c>
      <c r="BE35" s="52">
        <f t="shared" si="72"/>
        <v>0</v>
      </c>
      <c r="BF35" s="52">
        <f t="shared" si="72"/>
        <v>0</v>
      </c>
      <c r="BG35" s="52">
        <f t="shared" si="72"/>
        <v>0</v>
      </c>
      <c r="BH35" s="52">
        <f t="shared" si="72"/>
        <v>0</v>
      </c>
      <c r="BI35" s="52"/>
      <c r="BJ35" s="2"/>
      <c r="BK35" s="52">
        <f ca="1">SUMIF($BC$7:BI$7,"&lt;="&amp;$I$7,BC35:BH35)</f>
        <v>0</v>
      </c>
      <c r="BL35" s="743" t="str">
        <f ca="1">IFERROR((BK36/BK35),"-")</f>
        <v>-</v>
      </c>
      <c r="BM35" s="2"/>
      <c r="BN35" s="888">
        <v>389266.0199999999</v>
      </c>
      <c r="BO35" s="888">
        <v>178227.80000000002</v>
      </c>
      <c r="BP35" s="888">
        <f>SUM(BP37:BP54)</f>
        <v>203332</v>
      </c>
      <c r="BQ35" s="743">
        <f>IF(AND(BO35=0,BP35=0),"-",IF(BO35=0,1,BP35/BO35))</f>
        <v>1.1408545692647274</v>
      </c>
      <c r="BR35" s="2"/>
      <c r="BS35" s="888">
        <f>SUM(BS37:BS44)</f>
        <v>901462.23</v>
      </c>
      <c r="BT35" s="888">
        <v>901462</v>
      </c>
      <c r="BU35" s="888">
        <f ca="1">E35+S36+AD36+AO36+AZ36+BK36-K36-L36</f>
        <v>1717287.1773684209</v>
      </c>
      <c r="BV35" s="888">
        <v>210</v>
      </c>
      <c r="BW35" s="1019">
        <f ca="1">IFERROR((BU35/BV35),"-")</f>
        <v>8177.5579874686709</v>
      </c>
      <c r="BX35" s="888">
        <f>SUM(BX37:BX44)</f>
        <v>1060744.0299999998</v>
      </c>
      <c r="BY35" s="743">
        <f ca="1">IFERROR((BU35/BX35),"-")</f>
        <v>1.6189458802501309</v>
      </c>
      <c r="BZ35" s="2"/>
      <c r="CA35" s="888">
        <f>SUM(CA37:CA44)</f>
        <v>2215129.84</v>
      </c>
      <c r="CB35" s="888">
        <f ca="1">CA35-BU35</f>
        <v>497842.66263157898</v>
      </c>
      <c r="CC35" s="2"/>
      <c r="CD35" s="84">
        <f>IFERROR(AVERAGEIF($V$7:AB$7,"&lt;="&amp;$I$7,V35:AB35),0)</f>
        <v>19116.666666666668</v>
      </c>
      <c r="CE35" s="2"/>
      <c r="CH35" s="93" t="str">
        <f t="shared" si="22"/>
        <v>Segmento 3.3 - km 202+700 a 225+000</v>
      </c>
    </row>
    <row r="36" spans="1:86" s="16" customFormat="1" ht="20.45" hidden="1" customHeight="1" outlineLevel="1">
      <c r="A36" s="74"/>
      <c r="B36" s="1070"/>
      <c r="C36" s="1072"/>
      <c r="D36" s="2"/>
      <c r="E36" s="1060"/>
      <c r="F36" s="2"/>
      <c r="G36" s="54" t="s">
        <v>38</v>
      </c>
      <c r="H36" s="52">
        <f t="shared" si="66"/>
        <v>14812</v>
      </c>
      <c r="I36" s="744"/>
      <c r="J36" s="2"/>
      <c r="K36" s="52">
        <f>SUMIF($G$37:$G$44,$G$36,K37:K44)</f>
        <v>17942</v>
      </c>
      <c r="L36" s="52">
        <f t="shared" ref="L36:Q36" si="73">SUMIF($G$37:$G$44,$G$36,L37:L44)</f>
        <v>15687.5</v>
      </c>
      <c r="M36" s="52">
        <f t="shared" si="73"/>
        <v>14890</v>
      </c>
      <c r="N36" s="52">
        <f t="shared" si="73"/>
        <v>13702</v>
      </c>
      <c r="O36" s="52">
        <f t="shared" si="73"/>
        <v>11812.5</v>
      </c>
      <c r="P36" s="52">
        <f t="shared" si="73"/>
        <v>10363.5</v>
      </c>
      <c r="Q36" s="52">
        <f t="shared" si="73"/>
        <v>0</v>
      </c>
      <c r="R36" s="2"/>
      <c r="S36" s="52">
        <f>SUMIF($K$7:Q$7,"&lt;="&amp;$I$7,K36:Q36)</f>
        <v>84397.5</v>
      </c>
      <c r="T36" s="744"/>
      <c r="U36" s="2"/>
      <c r="V36" s="75">
        <f>SUMIF($G$37:$G$44,$G$36,V37:V44)</f>
        <v>14581</v>
      </c>
      <c r="W36" s="75">
        <f t="shared" ref="W36:AA36" si="74">SUMIF($G$37:$G$44,$G$36,W37:W44)</f>
        <v>14841.5</v>
      </c>
      <c r="X36" s="75">
        <f t="shared" si="74"/>
        <v>12662.5</v>
      </c>
      <c r="Y36" s="75">
        <f t="shared" si="74"/>
        <v>16264</v>
      </c>
      <c r="Z36" s="75">
        <f t="shared" si="74"/>
        <v>14933</v>
      </c>
      <c r="AA36" s="75">
        <f t="shared" si="74"/>
        <v>11291.5</v>
      </c>
      <c r="AB36" s="52"/>
      <c r="AC36" s="2"/>
      <c r="AD36" s="52">
        <f>SUMIF($V$7:AB$7,"&lt;="&amp;$I$7,V36:AB36)</f>
        <v>84573.5</v>
      </c>
      <c r="AE36" s="744"/>
      <c r="AF36" s="2"/>
      <c r="AG36" s="75">
        <f t="shared" ref="AG36:AM36" si="75">SUMIF($G$37:$G$44,$G$36,AG37:AG44)</f>
        <v>14521.5</v>
      </c>
      <c r="AH36" s="75">
        <f t="shared" si="75"/>
        <v>14812</v>
      </c>
      <c r="AI36" s="75">
        <f t="shared" si="75"/>
        <v>0</v>
      </c>
      <c r="AJ36" s="75">
        <f t="shared" si="75"/>
        <v>0</v>
      </c>
      <c r="AK36" s="75">
        <f t="shared" si="75"/>
        <v>0</v>
      </c>
      <c r="AL36" s="75">
        <f t="shared" si="75"/>
        <v>0</v>
      </c>
      <c r="AM36" s="52">
        <f t="shared" si="75"/>
        <v>0</v>
      </c>
      <c r="AN36" s="2"/>
      <c r="AO36" s="52">
        <f ca="1">SUMIF($AG$7:AM$7,"&lt;="&amp;$I$7,AG36:AL36)</f>
        <v>29333.5</v>
      </c>
      <c r="AP36" s="744"/>
      <c r="AQ36" s="2"/>
      <c r="AR36" s="52">
        <f>SUMIF($G$37:$G$44,$G$36,AR37:AR44)</f>
        <v>0</v>
      </c>
      <c r="AS36" s="52">
        <f t="shared" ref="AS36:AW36" si="76">SUMIF($G$37:$G$44,$G$36,AS37:AS44)</f>
        <v>0</v>
      </c>
      <c r="AT36" s="52">
        <f t="shared" si="76"/>
        <v>0</v>
      </c>
      <c r="AU36" s="52">
        <f t="shared" si="76"/>
        <v>0</v>
      </c>
      <c r="AV36" s="52">
        <f t="shared" si="76"/>
        <v>0</v>
      </c>
      <c r="AW36" s="52">
        <f t="shared" si="76"/>
        <v>0</v>
      </c>
      <c r="AX36" s="52"/>
      <c r="AY36" s="2"/>
      <c r="AZ36" s="52">
        <f ca="1">SUMIF($AR$7:AX$7,"&lt;="&amp;$I$7,AR36:AW36)</f>
        <v>0</v>
      </c>
      <c r="BA36" s="744"/>
      <c r="BB36" s="2"/>
      <c r="BC36" s="52">
        <f>SUMIF($G$37:$G$44,$G$36,BC37:BC44)</f>
        <v>0</v>
      </c>
      <c r="BD36" s="52">
        <f t="shared" ref="BD36:BH36" si="77">SUMIF($G$37:$G$44,$G$36,BD37:BD44)</f>
        <v>0</v>
      </c>
      <c r="BE36" s="52">
        <f t="shared" si="77"/>
        <v>0</v>
      </c>
      <c r="BF36" s="52">
        <f t="shared" si="77"/>
        <v>0</v>
      </c>
      <c r="BG36" s="52">
        <f t="shared" si="77"/>
        <v>0</v>
      </c>
      <c r="BH36" s="52">
        <f t="shared" si="77"/>
        <v>0</v>
      </c>
      <c r="BI36" s="52"/>
      <c r="BJ36" s="2"/>
      <c r="BK36" s="52">
        <f ca="1">SUMIF($BC$7:BI$7,"&lt;="&amp;$I$7,BC36:BH36)</f>
        <v>0</v>
      </c>
      <c r="BL36" s="744"/>
      <c r="BM36" s="2"/>
      <c r="BN36" s="889"/>
      <c r="BO36" s="889"/>
      <c r="BP36" s="889"/>
      <c r="BQ36" s="744"/>
      <c r="BR36" s="2"/>
      <c r="BS36" s="889"/>
      <c r="BT36" s="889"/>
      <c r="BU36" s="889"/>
      <c r="BV36" s="889"/>
      <c r="BW36" s="1020"/>
      <c r="BX36" s="889"/>
      <c r="BY36" s="744"/>
      <c r="BZ36" s="2"/>
      <c r="CA36" s="889"/>
      <c r="CB36" s="889"/>
      <c r="CC36" s="2"/>
      <c r="CD36" s="84">
        <f>IFERROR(AVERAGEIF($V$7:AB$7,"&lt;="&amp;$I$7,V36:AB36),0)</f>
        <v>14095.583333333334</v>
      </c>
      <c r="CE36" s="2"/>
      <c r="CH36" s="93" t="str">
        <f t="shared" si="22"/>
        <v>Segmento 3.3 - km 202+700 a 225+000</v>
      </c>
    </row>
    <row r="37" spans="1:86" s="16" customFormat="1" ht="20.45" hidden="1" customHeight="1" outlineLevel="2">
      <c r="A37" s="74" t="s">
        <v>3857</v>
      </c>
      <c r="B37" s="1089" t="s">
        <v>3841</v>
      </c>
      <c r="C37" s="1014" t="s">
        <v>36</v>
      </c>
      <c r="D37" s="2"/>
      <c r="E37" s="1004">
        <v>2204</v>
      </c>
      <c r="F37" s="2"/>
      <c r="G37" s="49" t="s">
        <v>37</v>
      </c>
      <c r="H37" s="705">
        <f t="shared" si="66"/>
        <v>0</v>
      </c>
      <c r="I37" s="878"/>
      <c r="J37" s="2"/>
      <c r="K37" s="705"/>
      <c r="L37" s="705"/>
      <c r="M37" s="705"/>
      <c r="N37" s="705"/>
      <c r="O37" s="705"/>
      <c r="P37" s="705"/>
      <c r="Q37" s="705"/>
      <c r="R37" s="2"/>
      <c r="S37" s="705">
        <f ca="1">SUMIF($K$7:Q$7,"&lt;="&amp;$I$7,K37:P37)</f>
        <v>0</v>
      </c>
      <c r="T37" s="878"/>
      <c r="U37" s="2"/>
      <c r="V37" s="705"/>
      <c r="W37" s="705"/>
      <c r="X37" s="705"/>
      <c r="Y37" s="705"/>
      <c r="Z37" s="705"/>
      <c r="AA37" s="705"/>
      <c r="AB37" s="705"/>
      <c r="AC37" s="2"/>
      <c r="AD37" s="705">
        <f ca="1">SUMIF($V$7:AB$7,"&lt;="&amp;$I$7,V37:AA37)</f>
        <v>0</v>
      </c>
      <c r="AE37" s="878" t="str">
        <f t="shared" ref="AE37" ca="1" si="78">IFERROR((AD38/AD37),"-")</f>
        <v>-</v>
      </c>
      <c r="AF37" s="2"/>
      <c r="AG37" s="705"/>
      <c r="AH37" s="705"/>
      <c r="AI37" s="705"/>
      <c r="AJ37" s="705"/>
      <c r="AK37" s="705"/>
      <c r="AL37" s="705"/>
      <c r="AM37" s="705"/>
      <c r="AN37" s="2"/>
      <c r="AO37" s="705">
        <f ca="1">SUMIF($AG$7:AM$7,"&lt;="&amp;$I$7,AG37:AL37)</f>
        <v>0</v>
      </c>
      <c r="AP37" s="878" t="str">
        <f t="shared" ref="AP37" ca="1" si="79">IFERROR((AO38/AO37),"-")</f>
        <v>-</v>
      </c>
      <c r="AQ37" s="2"/>
      <c r="AR37" s="705"/>
      <c r="AS37" s="705"/>
      <c r="AT37" s="705"/>
      <c r="AU37" s="705"/>
      <c r="AV37" s="705"/>
      <c r="AW37" s="705"/>
      <c r="AX37" s="705"/>
      <c r="AY37" s="2"/>
      <c r="AZ37" s="705">
        <f ca="1">SUMIF($AR$7:AX$7,"&lt;="&amp;$I$7,AR37:AW37)</f>
        <v>0</v>
      </c>
      <c r="BA37" s="878" t="str">
        <f t="shared" ref="BA37" ca="1" si="80">IFERROR((AZ38/AZ37),"-")</f>
        <v>-</v>
      </c>
      <c r="BB37" s="2"/>
      <c r="BC37" s="705"/>
      <c r="BD37" s="705"/>
      <c r="BE37" s="705"/>
      <c r="BF37" s="705"/>
      <c r="BG37" s="705"/>
      <c r="BH37" s="705"/>
      <c r="BI37" s="705"/>
      <c r="BJ37" s="2"/>
      <c r="BK37" s="705">
        <f ca="1">SUMIF($BC$7:BI$7,"&lt;="&amp;$I$7,BC37:BH37)</f>
        <v>0</v>
      </c>
      <c r="BL37" s="878" t="str">
        <f t="shared" ref="BL37" ca="1" si="81">IFERROR((BK38/BK37),"-")</f>
        <v>-</v>
      </c>
      <c r="BM37" s="2"/>
      <c r="BN37" s="884">
        <v>0</v>
      </c>
      <c r="BO37" s="884">
        <v>0</v>
      </c>
      <c r="BP37" s="884">
        <f>SUM(M38:P38,V38:AB38,AG38:AM38,AR38:AX38,BC38:BI38)</f>
        <v>0</v>
      </c>
      <c r="BQ37" s="878" t="str">
        <f>IF(AND(BO37=0,BP37=0),"-",IF(BO37=0,1,BP37/BO37))</f>
        <v>-</v>
      </c>
      <c r="BR37" s="2"/>
      <c r="BS37" s="884">
        <v>2117.6</v>
      </c>
      <c r="BT37" s="884"/>
      <c r="BU37" s="884">
        <f ca="1">E37+S38+AD38+AO38+AZ38+BK38-K38-L38</f>
        <v>2204</v>
      </c>
      <c r="BV37" s="884">
        <v>104</v>
      </c>
      <c r="BW37" s="1004">
        <f ca="1">IFERROR((BU37/BV37),"-")</f>
        <v>21.192307692307693</v>
      </c>
      <c r="BX37" s="884">
        <v>2117.6</v>
      </c>
      <c r="BY37" s="878">
        <f ca="1">IFERROR((BU37/BX37),"-")</f>
        <v>1.0408009066868154</v>
      </c>
      <c r="BZ37" s="2"/>
      <c r="CA37" s="884">
        <v>7062.5</v>
      </c>
      <c r="CB37" s="884">
        <f ca="1">CA37-BU37</f>
        <v>4858.5</v>
      </c>
      <c r="CC37" s="2"/>
      <c r="CD37" s="504">
        <f>IFERROR(AVERAGEIF($V$7:AB$7,"&lt;="&amp;$I$7,V37:AB37),0)</f>
        <v>0</v>
      </c>
      <c r="CE37" s="2"/>
      <c r="CH37" s="93" t="str">
        <f t="shared" si="22"/>
        <v>Corte 1</v>
      </c>
    </row>
    <row r="38" spans="1:86" s="16" customFormat="1" ht="15.95" hidden="1" customHeight="1" outlineLevel="2">
      <c r="A38" s="74"/>
      <c r="B38" s="1090"/>
      <c r="C38" s="1034"/>
      <c r="D38" s="2"/>
      <c r="E38" s="1005"/>
      <c r="F38" s="2"/>
      <c r="G38" s="50" t="s">
        <v>38</v>
      </c>
      <c r="H38" s="705">
        <f t="shared" si="66"/>
        <v>0</v>
      </c>
      <c r="I38" s="879"/>
      <c r="J38" s="2"/>
      <c r="K38" s="76"/>
      <c r="L38" s="76"/>
      <c r="M38" s="76"/>
      <c r="N38" s="76"/>
      <c r="O38" s="76"/>
      <c r="P38" s="76"/>
      <c r="Q38" s="706"/>
      <c r="R38" s="2"/>
      <c r="S38" s="705">
        <f ca="1">SUMIF($K$7:Q$7,"&lt;="&amp;$I$7,K38:P38)</f>
        <v>0</v>
      </c>
      <c r="T38" s="879"/>
      <c r="U38" s="2"/>
      <c r="V38" s="76"/>
      <c r="W38" s="76"/>
      <c r="X38" s="76"/>
      <c r="Y38" s="76"/>
      <c r="Z38" s="76"/>
      <c r="AA38" s="76"/>
      <c r="AB38" s="706"/>
      <c r="AC38" s="2"/>
      <c r="AD38" s="705">
        <f ca="1">SUMIF($V$7:AB$7,"&lt;="&amp;$I$7,V38:AA38)</f>
        <v>0</v>
      </c>
      <c r="AE38" s="879"/>
      <c r="AF38" s="2"/>
      <c r="AG38" s="76"/>
      <c r="AH38" s="76"/>
      <c r="AI38" s="76"/>
      <c r="AJ38" s="76"/>
      <c r="AK38" s="76"/>
      <c r="AL38" s="76"/>
      <c r="AM38" s="706"/>
      <c r="AN38" s="2"/>
      <c r="AO38" s="705">
        <f ca="1">SUMIF($AG$7:AM$7,"&lt;="&amp;$I$7,AG38:AL38)</f>
        <v>0</v>
      </c>
      <c r="AP38" s="879"/>
      <c r="AQ38" s="2"/>
      <c r="AR38" s="76"/>
      <c r="AS38" s="76"/>
      <c r="AT38" s="76"/>
      <c r="AU38" s="76"/>
      <c r="AV38" s="76"/>
      <c r="AW38" s="76"/>
      <c r="AX38" s="706"/>
      <c r="AY38" s="2"/>
      <c r="AZ38" s="705">
        <f ca="1">SUMIF($AR$7:AX$7,"&lt;="&amp;$I$7,AR38:AW38)</f>
        <v>0</v>
      </c>
      <c r="BA38" s="879"/>
      <c r="BB38" s="2"/>
      <c r="BC38" s="76"/>
      <c r="BD38" s="76"/>
      <c r="BE38" s="76"/>
      <c r="BF38" s="76"/>
      <c r="BG38" s="76"/>
      <c r="BH38" s="76"/>
      <c r="BI38" s="706"/>
      <c r="BJ38" s="2"/>
      <c r="BK38" s="705">
        <f ca="1">SUMIF($BC$7:BI$7,"&lt;="&amp;$I$7,BC38:BH38)</f>
        <v>0</v>
      </c>
      <c r="BL38" s="879"/>
      <c r="BM38" s="2"/>
      <c r="BN38" s="885"/>
      <c r="BO38" s="885"/>
      <c r="BP38" s="885"/>
      <c r="BQ38" s="879"/>
      <c r="BR38" s="2"/>
      <c r="BS38" s="885"/>
      <c r="BT38" s="885"/>
      <c r="BU38" s="885"/>
      <c r="BV38" s="885"/>
      <c r="BW38" s="1005"/>
      <c r="BX38" s="885"/>
      <c r="BY38" s="879"/>
      <c r="BZ38" s="2"/>
      <c r="CA38" s="885"/>
      <c r="CB38" s="885"/>
      <c r="CC38" s="2"/>
      <c r="CD38" s="504">
        <f>IFERROR(AVERAGEIF($V$7:AB$7,"&lt;="&amp;$I$7,V38:AB38),0)</f>
        <v>0</v>
      </c>
      <c r="CE38" s="2"/>
      <c r="CH38" s="93" t="str">
        <f t="shared" si="22"/>
        <v>Corte 1</v>
      </c>
    </row>
    <row r="39" spans="1:86" s="16" customFormat="1" ht="20.45" hidden="1" customHeight="1" outlineLevel="2">
      <c r="A39" s="74" t="s">
        <v>3858</v>
      </c>
      <c r="B39" s="1089" t="s">
        <v>3842</v>
      </c>
      <c r="C39" s="1014" t="s">
        <v>36</v>
      </c>
      <c r="D39" s="2"/>
      <c r="E39" s="1004">
        <v>41890.5</v>
      </c>
      <c r="F39" s="2"/>
      <c r="G39" s="49" t="s">
        <v>37</v>
      </c>
      <c r="H39" s="705">
        <f t="shared" si="66"/>
        <v>3000</v>
      </c>
      <c r="I39" s="878"/>
      <c r="J39" s="2"/>
      <c r="K39" s="705">
        <v>2500</v>
      </c>
      <c r="L39" s="705">
        <v>3000</v>
      </c>
      <c r="M39" s="705">
        <v>3000</v>
      </c>
      <c r="N39" s="705">
        <v>3000</v>
      </c>
      <c r="O39" s="705">
        <v>3000</v>
      </c>
      <c r="P39" s="705">
        <v>3000</v>
      </c>
      <c r="Q39" s="705"/>
      <c r="R39" s="2"/>
      <c r="S39" s="705">
        <f ca="1">SUMIF($K$7:Q$7,"&lt;="&amp;$I$7,K39:P39)</f>
        <v>17500</v>
      </c>
      <c r="T39" s="878"/>
      <c r="U39" s="2"/>
      <c r="V39" s="705">
        <v>3000</v>
      </c>
      <c r="W39" s="705">
        <v>3000</v>
      </c>
      <c r="X39" s="705">
        <v>3000</v>
      </c>
      <c r="Y39" s="705">
        <v>3000</v>
      </c>
      <c r="Z39" s="705">
        <v>3000</v>
      </c>
      <c r="AA39" s="705">
        <v>2500</v>
      </c>
      <c r="AB39" s="705"/>
      <c r="AC39" s="2"/>
      <c r="AD39" s="705">
        <f ca="1">SUMIF($V$7:AB$7,"&lt;="&amp;$I$7,V39:AA39)</f>
        <v>17500</v>
      </c>
      <c r="AE39" s="878">
        <f t="shared" ref="AE39" ca="1" si="82">IFERROR((AD40/AD39),"-")</f>
        <v>1.0042285714285715</v>
      </c>
      <c r="AF39" s="2"/>
      <c r="AG39" s="705">
        <v>3000</v>
      </c>
      <c r="AH39" s="705">
        <v>3000</v>
      </c>
      <c r="AI39" s="705">
        <v>3000</v>
      </c>
      <c r="AJ39" s="705">
        <v>3000</v>
      </c>
      <c r="AK39" s="705">
        <v>3000</v>
      </c>
      <c r="AL39" s="705">
        <v>2500</v>
      </c>
      <c r="AM39" s="705"/>
      <c r="AN39" s="2"/>
      <c r="AO39" s="705">
        <f ca="1">SUMIF($AG$7:AM$7,"&lt;="&amp;$I$7,AG39:AL39)</f>
        <v>6000</v>
      </c>
      <c r="AP39" s="878">
        <f t="shared" ref="AP39" ca="1" si="83">IFERROR((AO40/AO39),"-")</f>
        <v>0.89900000000000002</v>
      </c>
      <c r="AQ39" s="2"/>
      <c r="AR39" s="705"/>
      <c r="AS39" s="705"/>
      <c r="AT39" s="705"/>
      <c r="AU39" s="705"/>
      <c r="AV39" s="705"/>
      <c r="AW39" s="705"/>
      <c r="AX39" s="705"/>
      <c r="AY39" s="2"/>
      <c r="AZ39" s="705">
        <f ca="1">SUMIF($AR$7:AX$7,"&lt;="&amp;$I$7,AR39:AW39)</f>
        <v>0</v>
      </c>
      <c r="BA39" s="878" t="str">
        <f t="shared" ref="BA39" ca="1" si="84">IFERROR((AZ40/AZ39),"-")</f>
        <v>-</v>
      </c>
      <c r="BB39" s="2"/>
      <c r="BC39" s="705"/>
      <c r="BD39" s="705"/>
      <c r="BE39" s="705"/>
      <c r="BF39" s="705"/>
      <c r="BG39" s="705"/>
      <c r="BH39" s="705"/>
      <c r="BI39" s="705"/>
      <c r="BJ39" s="2"/>
      <c r="BK39" s="705">
        <f ca="1">SUMIF($BC$7:BI$7,"&lt;="&amp;$I$7,BC39:BH39)</f>
        <v>0</v>
      </c>
      <c r="BL39" s="878" t="str">
        <f t="shared" ref="BL39" ca="1" si="85">IFERROR((BK40/BK39),"-")</f>
        <v>-</v>
      </c>
      <c r="BM39" s="2"/>
      <c r="BN39" s="884">
        <v>60643.180000000037</v>
      </c>
      <c r="BO39" s="884">
        <v>26366.6</v>
      </c>
      <c r="BP39" s="884">
        <f>SUM(M40:P40,V40:AB40,AG40:AM40,AR40:AX40,BC40:BI40)</f>
        <v>31856.5</v>
      </c>
      <c r="BQ39" s="878">
        <f>IF(AND(BO39=0,BP39=0),"-",IF(BO39=0,1,BP39/BO39))</f>
        <v>1.2082141800611381</v>
      </c>
      <c r="BR39" s="2"/>
      <c r="BS39" s="884"/>
      <c r="BT39" s="884"/>
      <c r="BU39" s="884">
        <f ca="1">E39+S40+AD40+AO40+AZ40+BK40-K40-L40</f>
        <v>73747</v>
      </c>
      <c r="BV39" s="884">
        <v>104</v>
      </c>
      <c r="BW39" s="1004">
        <f ca="1">IFERROR((BU39/BV39),"-")</f>
        <v>709.10576923076928</v>
      </c>
      <c r="BX39" s="884">
        <v>26366.6</v>
      </c>
      <c r="BY39" s="878">
        <f ca="1">IFERROR((BU39/BX39),"-")</f>
        <v>2.7969855802416697</v>
      </c>
      <c r="BZ39" s="2"/>
      <c r="CA39" s="884">
        <v>196431</v>
      </c>
      <c r="CB39" s="884">
        <f ca="1">CA39-BU39</f>
        <v>122684</v>
      </c>
      <c r="CC39" s="2"/>
      <c r="CD39" s="504">
        <f>IFERROR(AVERAGEIF($V$7:AB$7,"&lt;="&amp;$I$7,V39:AB39),0)</f>
        <v>2916.6666666666665</v>
      </c>
      <c r="CE39" s="2"/>
      <c r="CH39" s="93" t="str">
        <f t="shared" si="22"/>
        <v>Corte 2</v>
      </c>
    </row>
    <row r="40" spans="1:86" s="16" customFormat="1" ht="15.95" hidden="1" customHeight="1" outlineLevel="2">
      <c r="A40" s="74"/>
      <c r="B40" s="1090"/>
      <c r="C40" s="1034"/>
      <c r="D40" s="2"/>
      <c r="E40" s="1005"/>
      <c r="F40" s="2"/>
      <c r="G40" s="50" t="s">
        <v>38</v>
      </c>
      <c r="H40" s="705">
        <f t="shared" si="66"/>
        <v>2914.5</v>
      </c>
      <c r="I40" s="879"/>
      <c r="J40" s="2"/>
      <c r="K40" s="76">
        <v>2363.5</v>
      </c>
      <c r="L40" s="76">
        <v>2552</v>
      </c>
      <c r="M40" s="76">
        <v>1769</v>
      </c>
      <c r="N40" s="76">
        <v>2479.5</v>
      </c>
      <c r="O40" s="76">
        <v>2479.5</v>
      </c>
      <c r="P40" s="76">
        <v>2160.5</v>
      </c>
      <c r="Q40" s="706"/>
      <c r="R40" s="2"/>
      <c r="S40" s="705">
        <f ca="1">SUMIF($K$7:Q$7,"&lt;="&amp;$I$7,K40:P40)</f>
        <v>13804</v>
      </c>
      <c r="T40" s="879"/>
      <c r="U40" s="2"/>
      <c r="V40" s="76">
        <v>3799</v>
      </c>
      <c r="W40" s="76">
        <v>3059.5</v>
      </c>
      <c r="X40" s="76">
        <v>2334.5</v>
      </c>
      <c r="Y40" s="76">
        <v>2653.5</v>
      </c>
      <c r="Z40" s="76">
        <v>2987</v>
      </c>
      <c r="AA40" s="76">
        <v>2740.5</v>
      </c>
      <c r="AB40" s="706"/>
      <c r="AC40" s="2"/>
      <c r="AD40" s="705">
        <f ca="1">SUMIF($V$7:AB$7,"&lt;="&amp;$I$7,V40:AA40)</f>
        <v>17574</v>
      </c>
      <c r="AE40" s="879"/>
      <c r="AF40" s="2"/>
      <c r="AG40" s="76">
        <v>2479.5</v>
      </c>
      <c r="AH40" s="76">
        <v>2914.5</v>
      </c>
      <c r="AI40" s="76"/>
      <c r="AJ40" s="76"/>
      <c r="AK40" s="76"/>
      <c r="AL40" s="76"/>
      <c r="AM40" s="706"/>
      <c r="AN40" s="2"/>
      <c r="AO40" s="705">
        <f ca="1">SUMIF($AG$7:AM$7,"&lt;="&amp;$I$7,AG40:AL40)</f>
        <v>5394</v>
      </c>
      <c r="AP40" s="879"/>
      <c r="AQ40" s="2"/>
      <c r="AR40" s="76"/>
      <c r="AS40" s="76"/>
      <c r="AT40" s="76"/>
      <c r="AU40" s="76"/>
      <c r="AV40" s="76"/>
      <c r="AW40" s="76"/>
      <c r="AX40" s="706"/>
      <c r="AY40" s="2"/>
      <c r="AZ40" s="705">
        <f ca="1">SUMIF($AR$7:AX$7,"&lt;="&amp;$I$7,AR40:AW40)</f>
        <v>0</v>
      </c>
      <c r="BA40" s="879"/>
      <c r="BB40" s="2"/>
      <c r="BC40" s="76"/>
      <c r="BD40" s="76"/>
      <c r="BE40" s="76"/>
      <c r="BF40" s="76"/>
      <c r="BG40" s="76"/>
      <c r="BH40" s="76"/>
      <c r="BI40" s="706"/>
      <c r="BJ40" s="2"/>
      <c r="BK40" s="705">
        <f ca="1">SUMIF($BC$7:BI$7,"&lt;="&amp;$I$7,BC40:BH40)</f>
        <v>0</v>
      </c>
      <c r="BL40" s="879"/>
      <c r="BM40" s="2"/>
      <c r="BN40" s="885"/>
      <c r="BO40" s="885"/>
      <c r="BP40" s="885"/>
      <c r="BQ40" s="879"/>
      <c r="BR40" s="2"/>
      <c r="BS40" s="885"/>
      <c r="BT40" s="885"/>
      <c r="BU40" s="885"/>
      <c r="BV40" s="885"/>
      <c r="BW40" s="1005"/>
      <c r="BX40" s="885"/>
      <c r="BY40" s="879"/>
      <c r="BZ40" s="2"/>
      <c r="CA40" s="885"/>
      <c r="CB40" s="885"/>
      <c r="CC40" s="2"/>
      <c r="CD40" s="504">
        <f>IFERROR(AVERAGEIF($V$7:AB$7,"&lt;="&amp;$I$7,V40:AB40),0)</f>
        <v>2929</v>
      </c>
      <c r="CE40" s="2"/>
      <c r="CH40" s="93" t="str">
        <f t="shared" si="22"/>
        <v>Corte 2</v>
      </c>
    </row>
    <row r="41" spans="1:86" s="16" customFormat="1" ht="20.45" hidden="1" customHeight="1" outlineLevel="2">
      <c r="A41" s="74" t="s">
        <v>3859</v>
      </c>
      <c r="B41" s="1089" t="s">
        <v>3860</v>
      </c>
      <c r="C41" s="1014" t="s">
        <v>36</v>
      </c>
      <c r="D41" s="2"/>
      <c r="E41" s="1004">
        <v>518660.18</v>
      </c>
      <c r="F41" s="2"/>
      <c r="G41" s="49" t="s">
        <v>37</v>
      </c>
      <c r="H41" s="705">
        <f t="shared" si="66"/>
        <v>5200</v>
      </c>
      <c r="I41" s="878">
        <f t="shared" ref="I41" si="86">IF(H41=0,IF(H42&gt;0,1,"-"),IFERROR(H42/H41,"-"))</f>
        <v>1.3187500000000001</v>
      </c>
      <c r="J41" s="2"/>
      <c r="K41" s="705">
        <v>8000</v>
      </c>
      <c r="L41" s="705">
        <v>11000</v>
      </c>
      <c r="M41" s="705">
        <v>11000</v>
      </c>
      <c r="N41" s="705">
        <v>11000</v>
      </c>
      <c r="O41" s="705">
        <v>11000</v>
      </c>
      <c r="P41" s="705">
        <v>11000</v>
      </c>
      <c r="Q41" s="705"/>
      <c r="R41" s="2"/>
      <c r="S41" s="705">
        <f ca="1">SUMIF($K$7:Q$7,"&lt;="&amp;$I$7,K41:P41)</f>
        <v>63000</v>
      </c>
      <c r="T41" s="878">
        <f t="shared" ref="T41" ca="1" si="87">IFERROR((S42/S41),"-")</f>
        <v>0.43582539682539684</v>
      </c>
      <c r="U41" s="2"/>
      <c r="V41" s="705">
        <v>5200</v>
      </c>
      <c r="W41" s="705">
        <v>5200</v>
      </c>
      <c r="X41" s="705">
        <v>5200</v>
      </c>
      <c r="Y41" s="705">
        <v>5200</v>
      </c>
      <c r="Z41" s="705">
        <v>5200</v>
      </c>
      <c r="AA41" s="705">
        <v>5200</v>
      </c>
      <c r="AB41" s="705"/>
      <c r="AC41" s="2"/>
      <c r="AD41" s="705">
        <f ca="1">SUMIF($V$7:AB$7,"&lt;="&amp;$I$7,V41:AA41)</f>
        <v>31200</v>
      </c>
      <c r="AE41" s="878">
        <f t="shared" ref="AE41" ca="1" si="88">IFERROR((AD42/AD41),"-")</f>
        <v>0.69631410256410253</v>
      </c>
      <c r="AF41" s="2"/>
      <c r="AG41" s="705">
        <v>5200</v>
      </c>
      <c r="AH41" s="705">
        <v>5200</v>
      </c>
      <c r="AI41" s="705">
        <v>5200</v>
      </c>
      <c r="AJ41" s="705">
        <v>5200</v>
      </c>
      <c r="AK41" s="705">
        <v>5200</v>
      </c>
      <c r="AL41" s="705">
        <v>5200</v>
      </c>
      <c r="AM41" s="705"/>
      <c r="AN41" s="2"/>
      <c r="AO41" s="705">
        <f ca="1">SUMIF($AG$7:AM$7,"&lt;="&amp;$I$7,AG41:AL41)</f>
        <v>10400</v>
      </c>
      <c r="AP41" s="878">
        <f t="shared" ref="AP41" ca="1" si="89">IFERROR((AO42/AO41),"-")</f>
        <v>1.5647596153846153</v>
      </c>
      <c r="AQ41" s="2"/>
      <c r="AR41" s="705"/>
      <c r="AS41" s="705"/>
      <c r="AT41" s="705"/>
      <c r="AU41" s="705"/>
      <c r="AV41" s="705"/>
      <c r="AW41" s="705"/>
      <c r="AX41" s="705"/>
      <c r="AY41" s="2"/>
      <c r="AZ41" s="705">
        <f ca="1">SUMIF($AR$7:AX$7,"&lt;="&amp;$I$7,AR41:AW41)</f>
        <v>0</v>
      </c>
      <c r="BA41" s="878" t="str">
        <f t="shared" ref="BA41" ca="1" si="90">IFERROR((AZ42/AZ41),"-")</f>
        <v>-</v>
      </c>
      <c r="BB41" s="2"/>
      <c r="BC41" s="705"/>
      <c r="BD41" s="705"/>
      <c r="BE41" s="705"/>
      <c r="BF41" s="705"/>
      <c r="BG41" s="705"/>
      <c r="BH41" s="705"/>
      <c r="BI41" s="705"/>
      <c r="BJ41" s="2"/>
      <c r="BK41" s="705">
        <f ca="1">SUMIF($BC$7:BI$7,"&lt;="&amp;$I$7,BC41:BH41)</f>
        <v>0</v>
      </c>
      <c r="BL41" s="878" t="str">
        <f t="shared" ref="BL41" ca="1" si="91">IFERROR((BK42/BK41),"-")</f>
        <v>-</v>
      </c>
      <c r="BM41" s="2"/>
      <c r="BN41" s="884">
        <v>128268.92999999998</v>
      </c>
      <c r="BO41" s="884">
        <v>54628.099999999991</v>
      </c>
      <c r="BP41" s="884">
        <f>SUM(M42:P42,V42:AB42,AG42:AM42,AR42:AX42,BC42:BI42)</f>
        <v>54981.5</v>
      </c>
      <c r="BQ41" s="878">
        <f>IF(AND(BO41=0,BP41=0),"-",IF(BO41=0,1,BP41/BO41))</f>
        <v>1.0064691980866991</v>
      </c>
      <c r="BR41" s="2"/>
      <c r="BS41" s="884">
        <v>369312.18</v>
      </c>
      <c r="BT41" s="884"/>
      <c r="BU41" s="884">
        <f ca="1">E41+S42+AD42+AO42+AZ42+BK42-K42-L42</f>
        <v>573641.67999999993</v>
      </c>
      <c r="BV41" s="884">
        <v>104</v>
      </c>
      <c r="BW41" s="1004">
        <f ca="1">IFERROR((BU41/BV41),"-")</f>
        <v>5515.7853846153839</v>
      </c>
      <c r="BX41" s="884">
        <v>423940.27999999997</v>
      </c>
      <c r="BY41" s="878">
        <f ca="1">IFERROR((BU41/BX41),"-")</f>
        <v>1.3531190761113805</v>
      </c>
      <c r="BZ41" s="2"/>
      <c r="CA41" s="884">
        <v>982703</v>
      </c>
      <c r="CB41" s="884">
        <f ca="1">CA41-BU41</f>
        <v>409061.32000000007</v>
      </c>
      <c r="CC41" s="2"/>
      <c r="CD41" s="504">
        <f>IFERROR(AVERAGEIF($V$7:AB$7,"&lt;="&amp;$I$7,V41:AB41),0)</f>
        <v>5200</v>
      </c>
      <c r="CE41" s="2"/>
      <c r="CH41" s="93" t="str">
        <f t="shared" si="22"/>
        <v>Corte 03 - km 216+400 a 220+000</v>
      </c>
    </row>
    <row r="42" spans="1:86" s="16" customFormat="1" ht="15.95" hidden="1" customHeight="1" outlineLevel="2">
      <c r="A42" s="74"/>
      <c r="B42" s="1090"/>
      <c r="C42" s="1034"/>
      <c r="D42" s="2"/>
      <c r="E42" s="1024"/>
      <c r="F42" s="2"/>
      <c r="G42" s="50" t="s">
        <v>38</v>
      </c>
      <c r="H42" s="705">
        <f t="shared" si="66"/>
        <v>6857.5</v>
      </c>
      <c r="I42" s="879"/>
      <c r="J42" s="2"/>
      <c r="K42" s="76">
        <v>5973</v>
      </c>
      <c r="L42" s="76">
        <v>4501</v>
      </c>
      <c r="M42" s="76">
        <v>4610</v>
      </c>
      <c r="N42" s="76">
        <v>5577.5</v>
      </c>
      <c r="O42" s="76">
        <v>5138</v>
      </c>
      <c r="P42" s="76">
        <v>1657.5</v>
      </c>
      <c r="Q42" s="706"/>
      <c r="R42" s="2"/>
      <c r="S42" s="705">
        <f ca="1">SUMIF($K$7:Q$7,"&lt;="&amp;$I$7,K42:P42)</f>
        <v>27457</v>
      </c>
      <c r="T42" s="879"/>
      <c r="U42" s="2"/>
      <c r="V42" s="76">
        <v>1150</v>
      </c>
      <c r="W42" s="76">
        <v>3530</v>
      </c>
      <c r="X42" s="76">
        <v>4060.5</v>
      </c>
      <c r="Y42" s="76">
        <v>5761.5</v>
      </c>
      <c r="Z42" s="76">
        <v>2974.5</v>
      </c>
      <c r="AA42" s="76">
        <v>4248.5</v>
      </c>
      <c r="AB42" s="706"/>
      <c r="AC42" s="2"/>
      <c r="AD42" s="705">
        <f ca="1">SUMIF($V$7:AB$7,"&lt;="&amp;$I$7,V42:AA42)</f>
        <v>21725</v>
      </c>
      <c r="AE42" s="879"/>
      <c r="AF42" s="2"/>
      <c r="AG42" s="76">
        <v>9416</v>
      </c>
      <c r="AH42" s="76">
        <v>6857.5</v>
      </c>
      <c r="AI42" s="76"/>
      <c r="AJ42" s="76"/>
      <c r="AK42" s="76"/>
      <c r="AL42" s="76"/>
      <c r="AM42" s="706"/>
      <c r="AN42" s="2"/>
      <c r="AO42" s="705">
        <f ca="1">SUMIF($AG$7:AM$7,"&lt;="&amp;$I$7,AG42:AL42)</f>
        <v>16273.5</v>
      </c>
      <c r="AP42" s="879"/>
      <c r="AQ42" s="2"/>
      <c r="AR42" s="76"/>
      <c r="AS42" s="76"/>
      <c r="AT42" s="76"/>
      <c r="AU42" s="76"/>
      <c r="AV42" s="76"/>
      <c r="AW42" s="76"/>
      <c r="AX42" s="706"/>
      <c r="AY42" s="2"/>
      <c r="AZ42" s="705">
        <f ca="1">SUMIF($AR$7:AX$7,"&lt;="&amp;$I$7,AR42:AW42)</f>
        <v>0</v>
      </c>
      <c r="BA42" s="879"/>
      <c r="BB42" s="2"/>
      <c r="BC42" s="76"/>
      <c r="BD42" s="76"/>
      <c r="BE42" s="76"/>
      <c r="BF42" s="76"/>
      <c r="BG42" s="76"/>
      <c r="BH42" s="76"/>
      <c r="BI42" s="706"/>
      <c r="BJ42" s="2"/>
      <c r="BK42" s="705">
        <f ca="1">SUMIF($BC$7:BI$7,"&lt;="&amp;$I$7,BC42:BH42)</f>
        <v>0</v>
      </c>
      <c r="BL42" s="879"/>
      <c r="BM42" s="2"/>
      <c r="BN42" s="885"/>
      <c r="BO42" s="885"/>
      <c r="BP42" s="885"/>
      <c r="BQ42" s="879"/>
      <c r="BR42" s="2"/>
      <c r="BS42" s="885"/>
      <c r="BT42" s="885"/>
      <c r="BU42" s="885"/>
      <c r="BV42" s="885"/>
      <c r="BW42" s="1005"/>
      <c r="BX42" s="885"/>
      <c r="BY42" s="879"/>
      <c r="BZ42" s="2"/>
      <c r="CA42" s="885"/>
      <c r="CB42" s="885"/>
      <c r="CC42" s="2"/>
      <c r="CD42" s="504">
        <f>IFERROR(AVERAGEIF($V$7:AB$7,"&lt;="&amp;$I$7,V42:AB42),0)</f>
        <v>3620.8333333333335</v>
      </c>
      <c r="CE42" s="2"/>
      <c r="CH42" s="93" t="str">
        <f t="shared" si="22"/>
        <v>Corte 03 - km 216+400 a 220+000</v>
      </c>
    </row>
    <row r="43" spans="1:86" s="16" customFormat="1" ht="20.45" hidden="1" customHeight="1" outlineLevel="2">
      <c r="A43" s="74" t="s">
        <v>3861</v>
      </c>
      <c r="B43" s="1089" t="s">
        <v>3862</v>
      </c>
      <c r="C43" s="1014" t="s">
        <v>36</v>
      </c>
      <c r="D43" s="2"/>
      <c r="E43" s="1004">
        <v>763669.45</v>
      </c>
      <c r="F43" s="2"/>
      <c r="G43" s="49" t="s">
        <v>37</v>
      </c>
      <c r="H43" s="705">
        <f t="shared" si="66"/>
        <v>11000</v>
      </c>
      <c r="I43" s="878">
        <f t="shared" ref="I43" si="92">IF(H43=0,IF(H44&gt;0,1,"-"),IFERROR(H44/H43,"-"))</f>
        <v>0.45818181818181819</v>
      </c>
      <c r="J43" s="2"/>
      <c r="K43" s="705">
        <v>3000</v>
      </c>
      <c r="L43" s="705">
        <v>5200</v>
      </c>
      <c r="M43" s="705">
        <v>5200</v>
      </c>
      <c r="N43" s="705">
        <v>5200</v>
      </c>
      <c r="O43" s="705">
        <v>5200</v>
      </c>
      <c r="P43" s="705">
        <v>5200</v>
      </c>
      <c r="Q43" s="705"/>
      <c r="R43" s="2"/>
      <c r="S43" s="705">
        <f ca="1">SUMIF($K$7:Q$7,"&lt;="&amp;$I$7,K43:P43)</f>
        <v>29000</v>
      </c>
      <c r="T43" s="878">
        <f t="shared" ref="T43" ca="1" si="93">IFERROR((S44/S43),"-")</f>
        <v>1.4874655172413793</v>
      </c>
      <c r="U43" s="2"/>
      <c r="V43" s="705">
        <v>11000</v>
      </c>
      <c r="W43" s="705">
        <v>11000</v>
      </c>
      <c r="X43" s="705">
        <v>11000</v>
      </c>
      <c r="Y43" s="705">
        <v>11000</v>
      </c>
      <c r="Z43" s="705">
        <v>11000</v>
      </c>
      <c r="AA43" s="705">
        <v>11000</v>
      </c>
      <c r="AB43" s="705"/>
      <c r="AC43" s="2"/>
      <c r="AD43" s="705">
        <f ca="1">SUMIF($V$7:AB$7,"&lt;="&amp;$I$7,V43:AA43)</f>
        <v>66000</v>
      </c>
      <c r="AE43" s="878">
        <f t="shared" ref="AE43" ca="1" si="94">IFERROR((AD44/AD43),"-")</f>
        <v>0.68597727272727271</v>
      </c>
      <c r="AF43" s="2"/>
      <c r="AG43" s="705">
        <v>11000</v>
      </c>
      <c r="AH43" s="705">
        <v>11000</v>
      </c>
      <c r="AI43" s="705">
        <v>11000</v>
      </c>
      <c r="AJ43" s="705">
        <v>11000</v>
      </c>
      <c r="AK43" s="705">
        <v>11000</v>
      </c>
      <c r="AL43" s="705">
        <v>11000</v>
      </c>
      <c r="AM43" s="705"/>
      <c r="AN43" s="2"/>
      <c r="AO43" s="705">
        <f ca="1">SUMIF($AG$7:AM$7,"&lt;="&amp;$I$7,AG43:AL43)</f>
        <v>22000</v>
      </c>
      <c r="AP43" s="878">
        <f t="shared" ref="AP43" ca="1" si="95">IFERROR((AO44/AO43),"-")</f>
        <v>0.34845454545454546</v>
      </c>
      <c r="AQ43" s="2"/>
      <c r="AR43" s="705"/>
      <c r="AS43" s="705"/>
      <c r="AT43" s="705"/>
      <c r="AU43" s="705"/>
      <c r="AV43" s="705"/>
      <c r="AW43" s="705"/>
      <c r="AX43" s="705"/>
      <c r="AY43" s="2"/>
      <c r="AZ43" s="705">
        <f ca="1">SUMIF($AR$7:AX$7,"&lt;="&amp;$I$7,AR43:AW43)</f>
        <v>0</v>
      </c>
      <c r="BA43" s="878" t="str">
        <f t="shared" ref="BA43" ca="1" si="96">IFERROR((AZ44/AZ43),"-")</f>
        <v>-</v>
      </c>
      <c r="BB43" s="2"/>
      <c r="BC43" s="705"/>
      <c r="BD43" s="705"/>
      <c r="BE43" s="705"/>
      <c r="BF43" s="705"/>
      <c r="BG43" s="705"/>
      <c r="BH43" s="705"/>
      <c r="BI43" s="705"/>
      <c r="BJ43" s="2"/>
      <c r="BK43" s="705">
        <f ca="1">SUMIF($BC$7:BI$7,"&lt;="&amp;$I$7,BC43:BH43)</f>
        <v>0</v>
      </c>
      <c r="BL43" s="878" t="str">
        <f t="shared" ref="BL43" ca="1" si="97">IFERROR((BK44/BK43),"-")</f>
        <v>-</v>
      </c>
      <c r="BM43" s="2"/>
      <c r="BN43" s="884">
        <v>181407.90000000005</v>
      </c>
      <c r="BO43" s="884">
        <v>78287.100000000006</v>
      </c>
      <c r="BP43" s="884">
        <f>SUM(M44:P44,V44:AB44,AG44:AM44,AR44:AX44,BC44:BI44)</f>
        <v>77837</v>
      </c>
      <c r="BQ43" s="878">
        <f>IF(AND(BO43=0,BP43=0),"-",IF(BO43=0,1,BP43/BO43))</f>
        <v>0.99425064921296091</v>
      </c>
      <c r="BR43" s="2"/>
      <c r="BS43" s="884">
        <v>530032.44999999995</v>
      </c>
      <c r="BT43" s="884"/>
      <c r="BU43" s="884">
        <f ca="1">E43+S44+AD44+AO44+AZ44+BK44-K44-L44</f>
        <v>841506.45</v>
      </c>
      <c r="BV43" s="884">
        <v>104</v>
      </c>
      <c r="BW43" s="1004">
        <f ca="1">IFERROR((BU43/BV43),"-")</f>
        <v>8091.408173076923</v>
      </c>
      <c r="BX43" s="884">
        <v>608319.54999999993</v>
      </c>
      <c r="BY43" s="878">
        <f ca="1">IFERROR((BU43/BX43),"-")</f>
        <v>1.38332961681077</v>
      </c>
      <c r="BZ43" s="2"/>
      <c r="CA43" s="884">
        <v>1028933.34</v>
      </c>
      <c r="CB43" s="884">
        <f ca="1">CA43-BU43</f>
        <v>187426.89</v>
      </c>
      <c r="CC43" s="2"/>
      <c r="CD43" s="504">
        <f>IFERROR(AVERAGEIF($V$7:AB$7,"&lt;="&amp;$I$7,V43:AB43),0)</f>
        <v>11000</v>
      </c>
      <c r="CE43" s="2"/>
      <c r="CH43" s="93" t="str">
        <f t="shared" si="22"/>
        <v>Corte 04 - km 222+180 a 222+280</v>
      </c>
    </row>
    <row r="44" spans="1:86" s="16" customFormat="1" ht="15.95" hidden="1" customHeight="1" outlineLevel="2">
      <c r="A44" s="74"/>
      <c r="B44" s="1090"/>
      <c r="C44" s="1034"/>
      <c r="D44" s="2"/>
      <c r="E44" s="1024"/>
      <c r="F44" s="2"/>
      <c r="G44" s="50" t="s">
        <v>38</v>
      </c>
      <c r="H44" s="705">
        <f t="shared" si="66"/>
        <v>5040</v>
      </c>
      <c r="I44" s="879"/>
      <c r="J44" s="2"/>
      <c r="K44" s="76">
        <v>9605.5</v>
      </c>
      <c r="L44" s="76">
        <v>8634.5</v>
      </c>
      <c r="M44" s="76">
        <v>8511</v>
      </c>
      <c r="N44" s="76">
        <v>5645</v>
      </c>
      <c r="O44" s="76">
        <v>4195</v>
      </c>
      <c r="P44" s="76">
        <v>6545.5</v>
      </c>
      <c r="Q44" s="76"/>
      <c r="R44" s="2"/>
      <c r="S44" s="705">
        <f>SUMIF($K$7:Q$7,"&lt;="&amp;$I$7,K44:Q44)</f>
        <v>43136.5</v>
      </c>
      <c r="T44" s="879"/>
      <c r="U44" s="2"/>
      <c r="V44" s="76">
        <v>9632</v>
      </c>
      <c r="W44" s="76">
        <v>8252</v>
      </c>
      <c r="X44" s="76">
        <v>6267.5</v>
      </c>
      <c r="Y44" s="76">
        <v>7849</v>
      </c>
      <c r="Z44" s="76">
        <v>8971.5</v>
      </c>
      <c r="AA44" s="76">
        <v>4302.5</v>
      </c>
      <c r="AB44" s="706"/>
      <c r="AC44" s="2"/>
      <c r="AD44" s="705">
        <f ca="1">SUMIF($V$7:AB$7,"&lt;="&amp;$I$7,V44:AA44)</f>
        <v>45274.5</v>
      </c>
      <c r="AE44" s="879"/>
      <c r="AF44" s="2"/>
      <c r="AG44" s="76">
        <v>2626</v>
      </c>
      <c r="AH44" s="76">
        <v>5040</v>
      </c>
      <c r="AI44" s="76"/>
      <c r="AJ44" s="76"/>
      <c r="AK44" s="76"/>
      <c r="AL44" s="76"/>
      <c r="AM44" s="706"/>
      <c r="AN44" s="2"/>
      <c r="AO44" s="705">
        <f ca="1">SUMIF($AG$7:AM$7,"&lt;="&amp;$I$7,AG44:AL44)</f>
        <v>7666</v>
      </c>
      <c r="AP44" s="879"/>
      <c r="AQ44" s="2"/>
      <c r="AR44" s="76"/>
      <c r="AS44" s="76"/>
      <c r="AT44" s="76"/>
      <c r="AU44" s="76"/>
      <c r="AV44" s="76"/>
      <c r="AW44" s="76"/>
      <c r="AX44" s="706"/>
      <c r="AY44" s="2"/>
      <c r="AZ44" s="705">
        <f ca="1">SUMIF($AR$7:AX$7,"&lt;="&amp;$I$7,AR44:AW44)</f>
        <v>0</v>
      </c>
      <c r="BA44" s="879"/>
      <c r="BB44" s="2"/>
      <c r="BC44" s="76"/>
      <c r="BD44" s="76"/>
      <c r="BE44" s="76"/>
      <c r="BF44" s="76"/>
      <c r="BG44" s="76"/>
      <c r="BH44" s="76"/>
      <c r="BI44" s="706"/>
      <c r="BJ44" s="2"/>
      <c r="BK44" s="705">
        <f ca="1">SUMIF($BC$7:BI$7,"&lt;="&amp;$I$7,BC44:BH44)</f>
        <v>0</v>
      </c>
      <c r="BL44" s="879"/>
      <c r="BM44" s="2"/>
      <c r="BN44" s="885"/>
      <c r="BO44" s="885"/>
      <c r="BP44" s="885"/>
      <c r="BQ44" s="879"/>
      <c r="BR44" s="2"/>
      <c r="BS44" s="885"/>
      <c r="BT44" s="885"/>
      <c r="BU44" s="885"/>
      <c r="BV44" s="885"/>
      <c r="BW44" s="1005"/>
      <c r="BX44" s="885"/>
      <c r="BY44" s="879"/>
      <c r="BZ44" s="2"/>
      <c r="CA44" s="885"/>
      <c r="CB44" s="885"/>
      <c r="CC44" s="2"/>
      <c r="CD44" s="504">
        <f>IFERROR(AVERAGEIF($V$7:AB$7,"&lt;="&amp;$I$7,V44:AB44),0)</f>
        <v>7545.75</v>
      </c>
      <c r="CE44" s="2"/>
      <c r="CH44" s="93" t="str">
        <f t="shared" si="22"/>
        <v>Corte 04 - km 222+180 a 222+280</v>
      </c>
    </row>
    <row r="45" spans="1:86" ht="14.65" hidden="1" customHeight="1" outlineLevel="1" collapsed="1">
      <c r="A45" s="69"/>
      <c r="B45" s="3"/>
      <c r="F45" s="3"/>
      <c r="J45" s="3"/>
      <c r="K45" s="37"/>
      <c r="L45" s="37"/>
      <c r="M45" s="37"/>
      <c r="N45" s="37"/>
      <c r="O45" s="37"/>
      <c r="P45" s="37"/>
      <c r="Q45" s="37"/>
      <c r="R45" s="3"/>
      <c r="S45" s="37"/>
      <c r="T45" s="3"/>
      <c r="U45" s="3"/>
      <c r="V45" s="37"/>
      <c r="W45" s="37"/>
      <c r="X45" s="37"/>
      <c r="Y45" s="37"/>
      <c r="Z45" s="37"/>
      <c r="AA45" s="37"/>
      <c r="AB45" s="37"/>
      <c r="AC45" s="3"/>
      <c r="AD45" s="37"/>
      <c r="AE45" s="3"/>
      <c r="AF45" s="3"/>
      <c r="AG45" s="37"/>
      <c r="AH45" s="37"/>
      <c r="AI45" s="37"/>
      <c r="AJ45" s="37"/>
      <c r="AK45" s="37"/>
      <c r="AL45" s="37"/>
      <c r="AM45" s="37"/>
      <c r="AN45" s="3"/>
      <c r="AO45" s="37"/>
      <c r="AP45" s="3"/>
      <c r="AQ45" s="3"/>
      <c r="AR45" s="37"/>
      <c r="AS45" s="37"/>
      <c r="AT45" s="37"/>
      <c r="AU45" s="37"/>
      <c r="AV45" s="37"/>
      <c r="AW45" s="37"/>
      <c r="AX45" s="37"/>
      <c r="AY45" s="3"/>
      <c r="AZ45" s="37"/>
      <c r="BA45" s="3"/>
      <c r="BB45" s="3"/>
      <c r="BC45" s="37"/>
      <c r="BD45" s="37"/>
      <c r="BE45" s="37"/>
      <c r="BF45" s="37"/>
      <c r="BG45" s="37"/>
      <c r="BH45" s="37"/>
      <c r="BI45" s="37"/>
      <c r="BJ45" s="3"/>
      <c r="BK45" s="37"/>
      <c r="BL45" s="3"/>
      <c r="BM45" s="3"/>
      <c r="BN45" s="35"/>
      <c r="BO45" s="35"/>
      <c r="BP45" s="35"/>
      <c r="BQ45" s="3"/>
      <c r="BR45" s="3"/>
      <c r="BS45" s="35"/>
      <c r="BT45" s="35"/>
      <c r="BU45" s="35"/>
      <c r="BV45" s="35"/>
      <c r="BW45" s="35"/>
      <c r="BX45" s="35"/>
      <c r="BY45" s="3"/>
      <c r="BZ45" s="3"/>
      <c r="CA45" s="35"/>
      <c r="CB45" s="35"/>
      <c r="CC45" s="3"/>
      <c r="CD45" s="19"/>
      <c r="CE45" s="3"/>
      <c r="CH45" s="93" t="str">
        <f t="shared" si="22"/>
        <v>Corte 04 - km 222+180 a 222+280</v>
      </c>
    </row>
    <row r="46" spans="1:86" ht="5.0999999999999996" hidden="1" customHeight="1" outlineLevel="1">
      <c r="A46" s="69"/>
      <c r="B46" s="3"/>
      <c r="C46" s="3"/>
      <c r="E46" s="3"/>
      <c r="F46" s="3"/>
      <c r="G46" s="3"/>
      <c r="H46" s="35"/>
      <c r="I46" s="3"/>
      <c r="J46" s="3"/>
      <c r="K46" s="37"/>
      <c r="L46" s="37"/>
      <c r="M46" s="37"/>
      <c r="N46" s="37"/>
      <c r="O46" s="37"/>
      <c r="P46" s="37"/>
      <c r="Q46" s="37"/>
      <c r="R46" s="3"/>
      <c r="S46" s="37"/>
      <c r="T46" s="3"/>
      <c r="U46" s="3"/>
      <c r="V46" s="37"/>
      <c r="W46" s="37"/>
      <c r="X46" s="37"/>
      <c r="Y46" s="37"/>
      <c r="Z46" s="37"/>
      <c r="AA46" s="37"/>
      <c r="AB46" s="37"/>
      <c r="AC46" s="3"/>
      <c r="AD46" s="37"/>
      <c r="AE46" s="3"/>
      <c r="AF46" s="3"/>
      <c r="AG46" s="37"/>
      <c r="AH46" s="37"/>
      <c r="AI46" s="37"/>
      <c r="AJ46" s="37"/>
      <c r="AK46" s="37"/>
      <c r="AL46" s="37"/>
      <c r="AM46" s="37"/>
      <c r="AN46" s="3"/>
      <c r="AO46" s="37"/>
      <c r="AP46" s="3"/>
      <c r="AQ46" s="3"/>
      <c r="AR46" s="37"/>
      <c r="AS46" s="37"/>
      <c r="AT46" s="37"/>
      <c r="AU46" s="37"/>
      <c r="AV46" s="37"/>
      <c r="AW46" s="37"/>
      <c r="AX46" s="37"/>
      <c r="AY46" s="3"/>
      <c r="AZ46" s="37"/>
      <c r="BA46" s="3"/>
      <c r="BB46" s="3"/>
      <c r="BC46" s="37"/>
      <c r="BD46" s="37"/>
      <c r="BE46" s="37"/>
      <c r="BF46" s="37"/>
      <c r="BG46" s="37"/>
      <c r="BH46" s="37"/>
      <c r="BI46" s="37"/>
      <c r="BJ46" s="3"/>
      <c r="BK46" s="37"/>
      <c r="BL46" s="3"/>
      <c r="BM46" s="3"/>
      <c r="BN46" s="35"/>
      <c r="BO46" s="35"/>
      <c r="BP46" s="35"/>
      <c r="BQ46" s="3"/>
      <c r="BR46" s="3"/>
      <c r="BS46" s="35"/>
      <c r="BT46" s="35"/>
      <c r="BU46" s="35"/>
      <c r="BV46" s="35"/>
      <c r="BW46" s="35"/>
      <c r="BX46" s="35"/>
      <c r="BY46" s="3"/>
      <c r="BZ46" s="3"/>
      <c r="CA46" s="35"/>
      <c r="CB46" s="35"/>
      <c r="CC46" s="3"/>
      <c r="CD46" s="19"/>
      <c r="CE46" s="3"/>
      <c r="CH46" s="93" t="str">
        <f t="shared" si="22"/>
        <v>Corte 04 - km 222+180 a 222+280</v>
      </c>
    </row>
    <row r="47" spans="1:86" s="21" customFormat="1" ht="14.65" hidden="1" customHeight="1" outlineLevel="1">
      <c r="A47" s="73" t="s">
        <v>3863</v>
      </c>
      <c r="B47" s="1069" t="s">
        <v>3864</v>
      </c>
      <c r="C47" s="1071" t="s">
        <v>36</v>
      </c>
      <c r="D47" s="2"/>
      <c r="E47" s="1019">
        <v>1383743.57</v>
      </c>
      <c r="F47" s="2"/>
      <c r="G47" s="53" t="s">
        <v>37</v>
      </c>
      <c r="H47" s="52">
        <f t="shared" ref="H47:H70" si="98">SUMIF($K$7:$BI$7,$I$7,K47:BI47)</f>
        <v>3000</v>
      </c>
      <c r="I47" s="743">
        <f t="shared" ref="I47" si="99">IF(H47=0,IF(H48&gt;0,1,"-"),IFERROR(H48/H47,"-"))</f>
        <v>0.52200000000000002</v>
      </c>
      <c r="J47" s="2"/>
      <c r="K47" s="52">
        <f t="shared" ref="K47:P47" si="100">SUMIF($G$49:$G$70,$G$47,K49:K70)</f>
        <v>1500</v>
      </c>
      <c r="L47" s="52">
        <f t="shared" si="100"/>
        <v>3000</v>
      </c>
      <c r="M47" s="52">
        <f t="shared" si="100"/>
        <v>3000</v>
      </c>
      <c r="N47" s="52">
        <f t="shared" si="100"/>
        <v>3000</v>
      </c>
      <c r="O47" s="52">
        <f t="shared" si="100"/>
        <v>3000</v>
      </c>
      <c r="P47" s="52">
        <f t="shared" si="100"/>
        <v>3000</v>
      </c>
      <c r="Q47" s="52">
        <f>Q49+Q69</f>
        <v>0</v>
      </c>
      <c r="R47" s="2"/>
      <c r="S47" s="52">
        <f ca="1">SUMIF($K$7:Q$7,"&lt;="&amp;$I$7,K47:P47)</f>
        <v>16500</v>
      </c>
      <c r="T47" s="743">
        <f ca="1">IFERROR((S48/S47),"-")</f>
        <v>0.61251515151515157</v>
      </c>
      <c r="U47" s="2"/>
      <c r="V47" s="52">
        <f t="shared" ref="V47:AA47" si="101">SUMIF($G$49:$G$70,$G$47,V49:V70)</f>
        <v>3500</v>
      </c>
      <c r="W47" s="52">
        <f t="shared" si="101"/>
        <v>3500</v>
      </c>
      <c r="X47" s="52">
        <f t="shared" si="101"/>
        <v>3500</v>
      </c>
      <c r="Y47" s="52">
        <f t="shared" si="101"/>
        <v>3500</v>
      </c>
      <c r="Z47" s="52">
        <f t="shared" si="101"/>
        <v>3500</v>
      </c>
      <c r="AA47" s="52">
        <f t="shared" si="101"/>
        <v>3500</v>
      </c>
      <c r="AB47" s="52">
        <f>AB49+AB69</f>
        <v>0</v>
      </c>
      <c r="AC47" s="2"/>
      <c r="AD47" s="52">
        <f>SUMIF($V$7:AB$7,"&lt;="&amp;$I$7,V47:AB47)</f>
        <v>21000</v>
      </c>
      <c r="AE47" s="743">
        <f>IFERROR((AD48/AD47),"-")</f>
        <v>0.60071428571428576</v>
      </c>
      <c r="AF47" s="2"/>
      <c r="AG47" s="52">
        <f t="shared" ref="AG47:AM47" si="102">SUMIF($G$49:$G$70,$G$47,AG49:AG70)</f>
        <v>3000</v>
      </c>
      <c r="AH47" s="52">
        <f t="shared" si="102"/>
        <v>3000</v>
      </c>
      <c r="AI47" s="52">
        <f t="shared" si="102"/>
        <v>3000</v>
      </c>
      <c r="AJ47" s="52">
        <f t="shared" si="102"/>
        <v>3000</v>
      </c>
      <c r="AK47" s="52">
        <f t="shared" si="102"/>
        <v>3000</v>
      </c>
      <c r="AL47" s="52">
        <f t="shared" si="102"/>
        <v>3000</v>
      </c>
      <c r="AM47" s="52">
        <f t="shared" si="102"/>
        <v>0</v>
      </c>
      <c r="AN47" s="2"/>
      <c r="AO47" s="52">
        <f ca="1">SUMIF($AG$7:AM$7,"&lt;="&amp;$I$7,AG47:AL47)</f>
        <v>6000</v>
      </c>
      <c r="AP47" s="743">
        <f ca="1">IFERROR((AO48/AO47),"-")</f>
        <v>0.59208333333333329</v>
      </c>
      <c r="AQ47" s="2"/>
      <c r="AR47" s="52">
        <f t="shared" ref="AR47:AW47" si="103">SUMIF($G$49:$G$70,$G$47,AR49:AR70)</f>
        <v>0</v>
      </c>
      <c r="AS47" s="52">
        <f t="shared" si="103"/>
        <v>0</v>
      </c>
      <c r="AT47" s="52">
        <f t="shared" si="103"/>
        <v>0</v>
      </c>
      <c r="AU47" s="52">
        <f t="shared" si="103"/>
        <v>0</v>
      </c>
      <c r="AV47" s="52">
        <f t="shared" si="103"/>
        <v>0</v>
      </c>
      <c r="AW47" s="52">
        <f t="shared" si="103"/>
        <v>0</v>
      </c>
      <c r="AX47" s="52">
        <f>AX49+AX69</f>
        <v>0</v>
      </c>
      <c r="AY47" s="2"/>
      <c r="AZ47" s="52">
        <f ca="1">SUMIF($AR$7:AX$7,"&lt;="&amp;$I$7,AR47:AW47)</f>
        <v>0</v>
      </c>
      <c r="BA47" s="743" t="str">
        <f ca="1">IFERROR((AZ48/AZ47),"-")</f>
        <v>-</v>
      </c>
      <c r="BB47" s="2"/>
      <c r="BC47" s="52">
        <f t="shared" ref="BC47:BH47" si="104">SUMIF($G$49:$G$70,$G$47,BC49:BC70)</f>
        <v>0</v>
      </c>
      <c r="BD47" s="52">
        <f t="shared" si="104"/>
        <v>0</v>
      </c>
      <c r="BE47" s="52">
        <f t="shared" si="104"/>
        <v>0</v>
      </c>
      <c r="BF47" s="52">
        <f t="shared" si="104"/>
        <v>0</v>
      </c>
      <c r="BG47" s="52">
        <f t="shared" si="104"/>
        <v>0</v>
      </c>
      <c r="BH47" s="52">
        <f t="shared" si="104"/>
        <v>0</v>
      </c>
      <c r="BI47" s="52">
        <f>BI49+BI69</f>
        <v>0</v>
      </c>
      <c r="BJ47" s="2"/>
      <c r="BK47" s="52">
        <f ca="1">SUMIF($BC$7:BI$7,"&lt;="&amp;$I$7,BC47:BH47)</f>
        <v>0</v>
      </c>
      <c r="BL47" s="743" t="str">
        <f ca="1">IFERROR((BK48/BK47),"-")</f>
        <v>-</v>
      </c>
      <c r="BM47" s="2"/>
      <c r="BN47" s="888">
        <f>SUM(BN49:BN70)</f>
        <v>123957.93000000002</v>
      </c>
      <c r="BO47" s="888">
        <f>SUM(BO49:BO70)</f>
        <v>42166.939999999995</v>
      </c>
      <c r="BP47" s="888">
        <f>SUM(BP49:BP66)</f>
        <v>23185.5</v>
      </c>
      <c r="BQ47" s="743">
        <f>IF(AND(BO47=0,BP47=0),"-",IF(BO47=0,1,BP47/BO47))</f>
        <v>0.5498501906944161</v>
      </c>
      <c r="BR47" s="2"/>
      <c r="BS47" s="888">
        <f>SUM(BS49:BS70)</f>
        <v>1324014.0699999998</v>
      </c>
      <c r="BT47" s="888">
        <v>1305973.07</v>
      </c>
      <c r="BU47" s="888">
        <f ca="1">E47+S48+AD48+AO48+AZ48+BK48</f>
        <v>1410017.57</v>
      </c>
      <c r="BV47" s="888">
        <v>210</v>
      </c>
      <c r="BW47" s="1019">
        <f ca="1">IFERROR((BU47/BV47),"-")</f>
        <v>6714.3693809523811</v>
      </c>
      <c r="BX47" s="888">
        <v>1350223.71</v>
      </c>
      <c r="BY47" s="743">
        <f ca="1">IFERROR((BU47/BX47),"-")</f>
        <v>1.0442844097294071</v>
      </c>
      <c r="BZ47" s="2"/>
      <c r="CA47" s="888">
        <f>SUM(CA49:CA70)</f>
        <v>2076730.9299999997</v>
      </c>
      <c r="CB47" s="888">
        <f ca="1">SUM(CB49:CB70)</f>
        <v>670125.35999999987</v>
      </c>
      <c r="CC47" s="2"/>
      <c r="CD47" s="84">
        <f>IFERROR(AVERAGEIF($V$7:AB$7,"&lt;="&amp;$I$7,V47:AB47),0)</f>
        <v>3000</v>
      </c>
      <c r="CE47" s="2"/>
      <c r="CH47" s="93" t="str">
        <f t="shared" si="22"/>
        <v>Cortes Fora do Ativo/ AE</v>
      </c>
    </row>
    <row r="48" spans="1:86" s="16" customFormat="1" ht="20.45" hidden="1" customHeight="1" outlineLevel="1">
      <c r="A48" s="74"/>
      <c r="B48" s="1070"/>
      <c r="C48" s="1072"/>
      <c r="D48" s="2"/>
      <c r="E48" s="1020"/>
      <c r="F48" s="2"/>
      <c r="G48" s="54" t="s">
        <v>38</v>
      </c>
      <c r="H48" s="52">
        <f t="shared" si="98"/>
        <v>1566</v>
      </c>
      <c r="I48" s="744"/>
      <c r="J48" s="2"/>
      <c r="K48" s="52">
        <f t="shared" ref="K48:P48" si="105">SUMIF($G$49:$G$70,$G$48,K49:K70)</f>
        <v>2001</v>
      </c>
      <c r="L48" s="52">
        <f t="shared" si="105"/>
        <v>1087.5</v>
      </c>
      <c r="M48" s="52">
        <f t="shared" si="105"/>
        <v>2436</v>
      </c>
      <c r="N48" s="52">
        <f t="shared" si="105"/>
        <v>1522.5</v>
      </c>
      <c r="O48" s="52">
        <f t="shared" si="105"/>
        <v>1363</v>
      </c>
      <c r="P48" s="52">
        <f t="shared" si="105"/>
        <v>1696.5</v>
      </c>
      <c r="Q48" s="52">
        <f>+Q50+Q70</f>
        <v>0</v>
      </c>
      <c r="R48" s="2"/>
      <c r="S48" s="52">
        <f ca="1">SUMIF($K$7:Q$7,"&lt;="&amp;$I$7,K48:P48)</f>
        <v>10106.5</v>
      </c>
      <c r="T48" s="744"/>
      <c r="U48" s="2"/>
      <c r="V48" s="75">
        <f t="shared" ref="V48:AA48" si="106">SUMIF($G$49:$G$70,$G$48,V49:V70)</f>
        <v>1914</v>
      </c>
      <c r="W48" s="75">
        <f t="shared" si="106"/>
        <v>2610</v>
      </c>
      <c r="X48" s="75">
        <f t="shared" si="106"/>
        <v>2769.5</v>
      </c>
      <c r="Y48" s="75">
        <f t="shared" si="106"/>
        <v>2204</v>
      </c>
      <c r="Z48" s="75">
        <f t="shared" si="106"/>
        <v>1696.5</v>
      </c>
      <c r="AA48" s="75">
        <f t="shared" si="106"/>
        <v>1421</v>
      </c>
      <c r="AB48" s="75">
        <f>+AB50+AB70</f>
        <v>0</v>
      </c>
      <c r="AC48" s="2"/>
      <c r="AD48" s="52">
        <f>SUMIF($V$7:AB$7,"&lt;="&amp;$I$7,V48:AB48)</f>
        <v>12615</v>
      </c>
      <c r="AE48" s="744"/>
      <c r="AF48" s="2"/>
      <c r="AG48" s="75">
        <f t="shared" ref="AG48:AM48" si="107">SUMIF($G$49:$G$70,$G$48,AG49:AG70)</f>
        <v>1986.5</v>
      </c>
      <c r="AH48" s="75">
        <f t="shared" si="107"/>
        <v>1566</v>
      </c>
      <c r="AI48" s="75">
        <f t="shared" si="107"/>
        <v>0</v>
      </c>
      <c r="AJ48" s="75">
        <f t="shared" si="107"/>
        <v>0</v>
      </c>
      <c r="AK48" s="75">
        <f t="shared" si="107"/>
        <v>0</v>
      </c>
      <c r="AL48" s="75">
        <f t="shared" si="107"/>
        <v>0</v>
      </c>
      <c r="AM48" s="52">
        <f t="shared" si="107"/>
        <v>0</v>
      </c>
      <c r="AN48" s="2"/>
      <c r="AO48" s="52">
        <f ca="1">SUMIF($AG$7:AM$7,"&lt;="&amp;$I$7,AG48:AL48)</f>
        <v>3552.5</v>
      </c>
      <c r="AP48" s="744"/>
      <c r="AQ48" s="2"/>
      <c r="AR48" s="52">
        <f t="shared" ref="AR48:AW48" si="108">SUMIF($G$49:$G$70,$G$48,AR49:AR70)</f>
        <v>0</v>
      </c>
      <c r="AS48" s="52">
        <f t="shared" si="108"/>
        <v>0</v>
      </c>
      <c r="AT48" s="52">
        <f t="shared" si="108"/>
        <v>0</v>
      </c>
      <c r="AU48" s="52">
        <f t="shared" si="108"/>
        <v>0</v>
      </c>
      <c r="AV48" s="52">
        <f t="shared" si="108"/>
        <v>0</v>
      </c>
      <c r="AW48" s="52">
        <f t="shared" si="108"/>
        <v>0</v>
      </c>
      <c r="AX48" s="52">
        <f>+AX50+AX70</f>
        <v>0</v>
      </c>
      <c r="AY48" s="2"/>
      <c r="AZ48" s="52">
        <f ca="1">SUMIF($AR$7:AX$7,"&lt;="&amp;$I$7,AR48:AW48)</f>
        <v>0</v>
      </c>
      <c r="BA48" s="744"/>
      <c r="BB48" s="2"/>
      <c r="BC48" s="52">
        <f t="shared" ref="BC48:BH48" si="109">SUMIF($G$49:$G$70,$G$48,BC49:BC70)</f>
        <v>0</v>
      </c>
      <c r="BD48" s="52">
        <f t="shared" si="109"/>
        <v>0</v>
      </c>
      <c r="BE48" s="52">
        <f t="shared" si="109"/>
        <v>0</v>
      </c>
      <c r="BF48" s="52">
        <f t="shared" si="109"/>
        <v>0</v>
      </c>
      <c r="BG48" s="52">
        <f t="shared" si="109"/>
        <v>0</v>
      </c>
      <c r="BH48" s="52">
        <f t="shared" si="109"/>
        <v>0</v>
      </c>
      <c r="BI48" s="52">
        <f>+BI50+BI70</f>
        <v>0</v>
      </c>
      <c r="BJ48" s="2"/>
      <c r="BK48" s="52">
        <f ca="1">SUMIF($BC$7:BI$7,"&lt;="&amp;$I$7,BC48:BH48)</f>
        <v>0</v>
      </c>
      <c r="BL48" s="744"/>
      <c r="BM48" s="2"/>
      <c r="BN48" s="889"/>
      <c r="BO48" s="889"/>
      <c r="BP48" s="889"/>
      <c r="BQ48" s="744"/>
      <c r="BR48" s="2"/>
      <c r="BS48" s="889"/>
      <c r="BT48" s="889"/>
      <c r="BU48" s="889"/>
      <c r="BV48" s="889"/>
      <c r="BW48" s="1020"/>
      <c r="BX48" s="889"/>
      <c r="BY48" s="744"/>
      <c r="BZ48" s="2"/>
      <c r="CA48" s="889"/>
      <c r="CB48" s="889"/>
      <c r="CC48" s="2"/>
      <c r="CD48" s="84">
        <f>IFERROR(AVERAGEIF($V$7:AB$7,"&lt;="&amp;$I$7,V48:AB48),0)</f>
        <v>1802.1428571428571</v>
      </c>
      <c r="CE48" s="2"/>
      <c r="CH48" s="93" t="str">
        <f t="shared" si="22"/>
        <v>Cortes Fora do Ativo/ AE</v>
      </c>
    </row>
    <row r="49" spans="1:86" s="16" customFormat="1" ht="20.25" hidden="1" customHeight="1" outlineLevel="2">
      <c r="A49" s="74" t="s">
        <v>3865</v>
      </c>
      <c r="B49" s="1085" t="s">
        <v>3866</v>
      </c>
      <c r="C49" s="1023" t="s">
        <v>36</v>
      </c>
      <c r="D49" s="2"/>
      <c r="E49" s="1004">
        <v>0</v>
      </c>
      <c r="F49" s="2"/>
      <c r="G49" s="49" t="s">
        <v>37</v>
      </c>
      <c r="H49" s="705">
        <f t="shared" si="98"/>
        <v>0</v>
      </c>
      <c r="I49" s="878" t="str">
        <f t="shared" ref="I49" si="110">IF(H49=0,IF(H50&gt;0,1,"-"),IFERROR(H50/H49,"-"))</f>
        <v>-</v>
      </c>
      <c r="J49" s="2"/>
      <c r="K49" s="705"/>
      <c r="L49" s="705"/>
      <c r="M49" s="705"/>
      <c r="N49" s="705"/>
      <c r="O49" s="705"/>
      <c r="P49" s="705"/>
      <c r="Q49" s="705"/>
      <c r="R49" s="2"/>
      <c r="S49" s="705">
        <f ca="1">SUMIF($K$7:Q$7,"&lt;="&amp;$I$7,K49:P49)</f>
        <v>0</v>
      </c>
      <c r="T49" s="878" t="str">
        <f ca="1">IFERROR((S50/S49),"-")</f>
        <v>-</v>
      </c>
      <c r="U49" s="2"/>
      <c r="V49" s="705">
        <v>500</v>
      </c>
      <c r="W49" s="705">
        <v>500</v>
      </c>
      <c r="X49" s="705">
        <v>500</v>
      </c>
      <c r="Y49" s="705">
        <v>500</v>
      </c>
      <c r="Z49" s="705">
        <v>500</v>
      </c>
      <c r="AA49" s="705">
        <v>500</v>
      </c>
      <c r="AB49" s="705"/>
      <c r="AC49" s="2"/>
      <c r="AD49" s="705">
        <f ca="1">SUMIF($V$7:AB$7,"&lt;="&amp;$I$7,V49:AA49)</f>
        <v>3000</v>
      </c>
      <c r="AE49" s="878">
        <f ca="1">IFERROR((AD50/AD49),"-")</f>
        <v>0</v>
      </c>
      <c r="AF49" s="2"/>
      <c r="AG49" s="705"/>
      <c r="AH49" s="705"/>
      <c r="AI49" s="705"/>
      <c r="AJ49" s="705"/>
      <c r="AK49" s="705"/>
      <c r="AL49" s="705"/>
      <c r="AM49" s="705"/>
      <c r="AN49" s="2"/>
      <c r="AO49" s="705">
        <f ca="1">SUMIF($AG$7:AM$7,"&lt;="&amp;$I$7,AG49:AL49)</f>
        <v>0</v>
      </c>
      <c r="AP49" s="878" t="str">
        <f ca="1">IFERROR((AO50/AO49),"-")</f>
        <v>-</v>
      </c>
      <c r="AQ49" s="2"/>
      <c r="AR49" s="705"/>
      <c r="AS49" s="705"/>
      <c r="AT49" s="705"/>
      <c r="AU49" s="705"/>
      <c r="AV49" s="705"/>
      <c r="AW49" s="705"/>
      <c r="AX49" s="705"/>
      <c r="AY49" s="2"/>
      <c r="AZ49" s="705">
        <f ca="1">SUMIF($AR$7:AX$7,"&lt;="&amp;$I$7,AR49:AW49)</f>
        <v>0</v>
      </c>
      <c r="BA49" s="878" t="str">
        <f ca="1">IFERROR((AZ50/AZ49),"-")</f>
        <v>-</v>
      </c>
      <c r="BB49" s="2"/>
      <c r="BC49" s="705"/>
      <c r="BD49" s="705"/>
      <c r="BE49" s="705"/>
      <c r="BF49" s="705"/>
      <c r="BG49" s="705"/>
      <c r="BH49" s="705"/>
      <c r="BI49" s="705"/>
      <c r="BJ49" s="2"/>
      <c r="BK49" s="705">
        <f ca="1">SUMIF($BC$7:BI$7,"&lt;="&amp;$I$7,BC49:BH49)</f>
        <v>0</v>
      </c>
      <c r="BL49" s="878" t="str">
        <f ca="1">IFERROR((BK50/BK49),"-")</f>
        <v>-</v>
      </c>
      <c r="BM49" s="2"/>
      <c r="BN49" s="921">
        <v>0</v>
      </c>
      <c r="BO49" s="884">
        <v>0</v>
      </c>
      <c r="BP49" s="884">
        <f>SUM(M50:P50,V50:AB50,AG50:AM50,AR50:AX50,BC50:BI50)</f>
        <v>0</v>
      </c>
      <c r="BQ49" s="878" t="str">
        <f t="shared" ref="BQ49" si="111">IF(AND(BO49=0,BP49=0),"-",IF(BO49=0,1,BP49/BO49))</f>
        <v>-</v>
      </c>
      <c r="BR49" s="2"/>
      <c r="BS49" s="884"/>
      <c r="BT49" s="884"/>
      <c r="BU49" s="884">
        <f ca="1">E49+S50+AD50+AO50+AZ50+BK50</f>
        <v>0</v>
      </c>
      <c r="BV49" s="884">
        <v>104</v>
      </c>
      <c r="BW49" s="1004">
        <f ca="1">IFERROR((BU49/BV49),"-")</f>
        <v>0</v>
      </c>
      <c r="BX49" s="884">
        <v>0</v>
      </c>
      <c r="BY49" s="878" t="str">
        <f ca="1">IFERROR((BU49/BX49),"-")</f>
        <v>-</v>
      </c>
      <c r="BZ49" s="2"/>
      <c r="CA49" s="884">
        <v>50000</v>
      </c>
      <c r="CB49" s="884">
        <f ca="1">CA49-BU49</f>
        <v>50000</v>
      </c>
      <c r="CC49" s="2"/>
      <c r="CD49" s="504">
        <f>IFERROR(AVERAGEIF($V$7:AB$7,"&lt;="&amp;$I$7,V49:AB49),0)</f>
        <v>500</v>
      </c>
      <c r="CE49" s="2"/>
      <c r="CH49" s="93" t="str">
        <f t="shared" si="22"/>
        <v xml:space="preserve">Aterro 06 - Km 181+000 
(Acabamento sobrelargura) </v>
      </c>
    </row>
    <row r="50" spans="1:86" s="16" customFormat="1" ht="20.45" hidden="1" customHeight="1" outlineLevel="2">
      <c r="A50" s="74"/>
      <c r="B50" s="1086"/>
      <c r="C50" s="1023"/>
      <c r="D50" s="2"/>
      <c r="E50" s="1024"/>
      <c r="F50" s="2"/>
      <c r="G50" s="50" t="s">
        <v>38</v>
      </c>
      <c r="H50" s="705">
        <f t="shared" si="98"/>
        <v>0</v>
      </c>
      <c r="I50" s="879"/>
      <c r="J50" s="2"/>
      <c r="K50" s="76"/>
      <c r="L50" s="76"/>
      <c r="M50" s="76"/>
      <c r="N50" s="76"/>
      <c r="O50" s="76"/>
      <c r="P50" s="76"/>
      <c r="Q50" s="706"/>
      <c r="R50" s="2"/>
      <c r="S50" s="705">
        <f ca="1">SUMIF($K$7:Q$7,"&lt;="&amp;$I$7,K50:P50)</f>
        <v>0</v>
      </c>
      <c r="T50" s="879"/>
      <c r="U50" s="2"/>
      <c r="V50" s="76"/>
      <c r="W50" s="76"/>
      <c r="X50" s="76"/>
      <c r="Y50" s="76"/>
      <c r="Z50" s="76"/>
      <c r="AA50" s="76"/>
      <c r="AB50" s="706"/>
      <c r="AC50" s="2"/>
      <c r="AD50" s="705">
        <f ca="1">SUMIF($V$7:AB$7,"&lt;="&amp;$I$7,V50:AA50)</f>
        <v>0</v>
      </c>
      <c r="AE50" s="879"/>
      <c r="AF50" s="2"/>
      <c r="AG50" s="76"/>
      <c r="AH50" s="76"/>
      <c r="AI50" s="76"/>
      <c r="AJ50" s="76"/>
      <c r="AK50" s="76"/>
      <c r="AL50" s="76"/>
      <c r="AM50" s="706"/>
      <c r="AN50" s="2"/>
      <c r="AO50" s="705">
        <f ca="1">SUMIF($AG$7:AM$7,"&lt;="&amp;$I$7,AG50:AL50)</f>
        <v>0</v>
      </c>
      <c r="AP50" s="879"/>
      <c r="AQ50" s="2"/>
      <c r="AR50" s="76"/>
      <c r="AS50" s="76"/>
      <c r="AT50" s="76"/>
      <c r="AU50" s="76"/>
      <c r="AV50" s="76"/>
      <c r="AW50" s="76"/>
      <c r="AX50" s="706"/>
      <c r="AY50" s="2"/>
      <c r="AZ50" s="705">
        <f ca="1">SUMIF($AR$7:AX$7,"&lt;="&amp;$I$7,AR50:AW50)</f>
        <v>0</v>
      </c>
      <c r="BA50" s="879"/>
      <c r="BB50" s="2"/>
      <c r="BC50" s="76"/>
      <c r="BD50" s="76"/>
      <c r="BE50" s="76"/>
      <c r="BF50" s="76"/>
      <c r="BG50" s="76"/>
      <c r="BH50" s="76"/>
      <c r="BI50" s="706"/>
      <c r="BJ50" s="2"/>
      <c r="BK50" s="705">
        <f ca="1">SUMIF($BC$7:BI$7,"&lt;="&amp;$I$7,BC50:BH50)</f>
        <v>0</v>
      </c>
      <c r="BL50" s="879"/>
      <c r="BM50" s="2"/>
      <c r="BN50" s="922"/>
      <c r="BO50" s="885"/>
      <c r="BP50" s="885"/>
      <c r="BQ50" s="879"/>
      <c r="BR50" s="2"/>
      <c r="BS50" s="922"/>
      <c r="BT50" s="922"/>
      <c r="BU50" s="885"/>
      <c r="BV50" s="886"/>
      <c r="BW50" s="1051"/>
      <c r="BX50" s="922"/>
      <c r="BY50" s="1052"/>
      <c r="BZ50" s="2"/>
      <c r="CA50" s="886"/>
      <c r="CB50" s="885"/>
      <c r="CC50" s="2"/>
      <c r="CD50" s="504">
        <f>IFERROR(AVERAGEIF($V$7:AB$7,"&lt;="&amp;$I$7,V50:AB50),0)</f>
        <v>0</v>
      </c>
      <c r="CE50" s="2"/>
      <c r="CH50" s="93" t="str">
        <f t="shared" si="22"/>
        <v xml:space="preserve">Aterro 06 - Km 181+000 
(Acabamento sobrelargura) </v>
      </c>
    </row>
    <row r="51" spans="1:86" s="16" customFormat="1" ht="20.25" hidden="1" customHeight="1" outlineLevel="2">
      <c r="A51" s="74" t="s">
        <v>3867</v>
      </c>
      <c r="B51" s="1089" t="s">
        <v>3868</v>
      </c>
      <c r="C51" s="1014" t="s">
        <v>36</v>
      </c>
      <c r="D51" s="2"/>
      <c r="E51" s="1004">
        <v>23906.49</v>
      </c>
      <c r="F51" s="2"/>
      <c r="G51" s="49" t="s">
        <v>37</v>
      </c>
      <c r="H51" s="705">
        <f t="shared" si="98"/>
        <v>3000</v>
      </c>
      <c r="I51" s="878">
        <f t="shared" ref="I51" si="112">IF(H51=0,IF(H52&gt;0,1,"-"),IFERROR(H52/H51,"-"))</f>
        <v>0.50749999999999995</v>
      </c>
      <c r="J51" s="2"/>
      <c r="K51" s="705"/>
      <c r="L51" s="705"/>
      <c r="M51" s="705"/>
      <c r="N51" s="705"/>
      <c r="O51" s="705"/>
      <c r="P51" s="705"/>
      <c r="Q51" s="705"/>
      <c r="R51" s="2"/>
      <c r="S51" s="705">
        <f ca="1">SUMIF($K$7:Q$7,"&lt;="&amp;$I$7,K51:P51)</f>
        <v>0</v>
      </c>
      <c r="T51" s="878" t="str">
        <f t="shared" ref="T51" ca="1" si="113">IFERROR((S52/S51),"-")</f>
        <v>-</v>
      </c>
      <c r="U51" s="2"/>
      <c r="V51" s="705">
        <v>1500</v>
      </c>
      <c r="W51" s="705">
        <v>1500</v>
      </c>
      <c r="X51" s="705">
        <v>1500</v>
      </c>
      <c r="Y51" s="705">
        <v>1500</v>
      </c>
      <c r="Z51" s="705">
        <v>1500</v>
      </c>
      <c r="AA51" s="705">
        <v>1500</v>
      </c>
      <c r="AB51" s="705"/>
      <c r="AC51" s="2"/>
      <c r="AD51" s="705">
        <f ca="1">SUMIF($V$7:AB$7,"&lt;="&amp;$I$7,V51:AA51)</f>
        <v>9000</v>
      </c>
      <c r="AE51" s="878">
        <f t="shared" ref="AE51" ca="1" si="114">IFERROR((AD52/AD51),"-")</f>
        <v>1.0343333333333333</v>
      </c>
      <c r="AF51" s="2"/>
      <c r="AG51" s="705">
        <v>3000</v>
      </c>
      <c r="AH51" s="705">
        <v>3000</v>
      </c>
      <c r="AI51" s="705">
        <v>3000</v>
      </c>
      <c r="AJ51" s="705">
        <v>3000</v>
      </c>
      <c r="AK51" s="705">
        <v>3000</v>
      </c>
      <c r="AL51" s="705">
        <v>3000</v>
      </c>
      <c r="AM51" s="705"/>
      <c r="AN51" s="2"/>
      <c r="AO51" s="705">
        <f ca="1">SUMIF($AG$7:AM$7,"&lt;="&amp;$I$7,AG51:AL51)</f>
        <v>6000</v>
      </c>
      <c r="AP51" s="878">
        <f t="shared" ref="AP51" ca="1" si="115">IFERROR((AO52/AO51),"-")</f>
        <v>0.51716666666666666</v>
      </c>
      <c r="AQ51" s="2"/>
      <c r="AR51" s="705"/>
      <c r="AS51" s="705"/>
      <c r="AT51" s="705"/>
      <c r="AU51" s="705"/>
      <c r="AV51" s="705"/>
      <c r="AW51" s="705"/>
      <c r="AX51" s="705"/>
      <c r="AY51" s="2"/>
      <c r="AZ51" s="705">
        <f ca="1">SUMIF($AR$7:AX$7,"&lt;="&amp;$I$7,AR51:AW51)</f>
        <v>0</v>
      </c>
      <c r="BA51" s="878" t="str">
        <f t="shared" ref="BA51" ca="1" si="116">IFERROR((AZ52/AZ51),"-")</f>
        <v>-</v>
      </c>
      <c r="BB51" s="2"/>
      <c r="BC51" s="705"/>
      <c r="BD51" s="705"/>
      <c r="BE51" s="705"/>
      <c r="BF51" s="705"/>
      <c r="BG51" s="705"/>
      <c r="BH51" s="705"/>
      <c r="BI51" s="705"/>
      <c r="BJ51" s="2"/>
      <c r="BK51" s="705">
        <f ca="1">SUMIF($BC$7:BI$7,"&lt;="&amp;$I$7,BC51:BH51)</f>
        <v>0</v>
      </c>
      <c r="BL51" s="878" t="str">
        <f t="shared" ref="BL51" ca="1" si="117">IFERROR((BK52/BK51),"-")</f>
        <v>-</v>
      </c>
      <c r="BM51" s="2"/>
      <c r="BN51" s="884">
        <v>0</v>
      </c>
      <c r="BO51" s="884">
        <v>0</v>
      </c>
      <c r="BP51" s="884">
        <f>SUM(M52:P52,V52:AB52,AG52:AM52,AR52:AX52,BC52:BI52)</f>
        <v>15471.5</v>
      </c>
      <c r="BQ51" s="878">
        <f>IF(AND(BO51=0,BP51=0),"-",IF(BO51=0,1,BP51/BO51))</f>
        <v>1</v>
      </c>
      <c r="BR51" s="2"/>
      <c r="BS51" s="884">
        <v>21426.99</v>
      </c>
      <c r="BT51" s="884"/>
      <c r="BU51" s="884">
        <f ca="1">E51+S52+AD52+AO52+AZ52+BK52</f>
        <v>39377.990000000005</v>
      </c>
      <c r="BV51" s="884">
        <v>104</v>
      </c>
      <c r="BW51" s="1004">
        <f ca="1">IFERROR((BU51/BV51),"-")</f>
        <v>378.63451923076929</v>
      </c>
      <c r="BX51" s="884">
        <v>0</v>
      </c>
      <c r="BY51" s="878" t="str">
        <f ca="1">IFERROR((BU51/BX51),"-")</f>
        <v>-</v>
      </c>
      <c r="BZ51" s="2"/>
      <c r="CA51" s="884">
        <v>88380.91</v>
      </c>
      <c r="CB51" s="884">
        <f t="shared" ref="CB51" ca="1" si="118">CA51-BU51</f>
        <v>49002.92</v>
      </c>
      <c r="CC51" s="2"/>
      <c r="CD51" s="504">
        <f>IFERROR(AVERAGEIF($V$7:AB$7,"&lt;="&amp;$I$7,V51:AB51),0)</f>
        <v>1500</v>
      </c>
      <c r="CE51" s="2"/>
      <c r="CH51" s="93" t="str">
        <f t="shared" si="22"/>
        <v>CX-01 - km 204+080 a 204+520</v>
      </c>
    </row>
    <row r="52" spans="1:86" s="16" customFormat="1" ht="15.95" hidden="1" customHeight="1" outlineLevel="2">
      <c r="A52" s="74"/>
      <c r="B52" s="1090"/>
      <c r="C52" s="1034"/>
      <c r="D52" s="2"/>
      <c r="E52" s="1024"/>
      <c r="F52" s="2"/>
      <c r="G52" s="50" t="s">
        <v>38</v>
      </c>
      <c r="H52" s="705">
        <f t="shared" si="98"/>
        <v>1522.5</v>
      </c>
      <c r="I52" s="879"/>
      <c r="J52" s="2"/>
      <c r="K52" s="76"/>
      <c r="L52" s="76"/>
      <c r="M52" s="76"/>
      <c r="N52" s="76"/>
      <c r="O52" s="76">
        <v>1363</v>
      </c>
      <c r="P52" s="76">
        <v>1696.5</v>
      </c>
      <c r="Q52" s="706"/>
      <c r="R52" s="2"/>
      <c r="S52" s="705">
        <f ca="1">SUMIF($K$7:Q$7,"&lt;="&amp;$I$7,K52:P52)</f>
        <v>3059.5</v>
      </c>
      <c r="T52" s="879"/>
      <c r="U52" s="2"/>
      <c r="V52" s="76">
        <v>1595</v>
      </c>
      <c r="W52" s="76">
        <v>1725.5</v>
      </c>
      <c r="X52" s="76">
        <v>1638.5</v>
      </c>
      <c r="Y52" s="76">
        <v>1508</v>
      </c>
      <c r="Z52" s="76">
        <v>1696.5</v>
      </c>
      <c r="AA52" s="76">
        <v>1145.5</v>
      </c>
      <c r="AB52" s="706"/>
      <c r="AC52" s="2"/>
      <c r="AD52" s="705">
        <f ca="1">SUMIF($V$7:AB$7,"&lt;="&amp;$I$7,V52:AA52)</f>
        <v>9309</v>
      </c>
      <c r="AE52" s="879"/>
      <c r="AF52" s="2"/>
      <c r="AG52" s="76">
        <v>1580.5</v>
      </c>
      <c r="AH52" s="76">
        <v>1522.5</v>
      </c>
      <c r="AI52" s="76"/>
      <c r="AJ52" s="76"/>
      <c r="AK52" s="76"/>
      <c r="AL52" s="76"/>
      <c r="AM52" s="706"/>
      <c r="AN52" s="2"/>
      <c r="AO52" s="705">
        <f ca="1">SUMIF($AG$7:AM$7,"&lt;="&amp;$I$7,AG52:AL52)</f>
        <v>3103</v>
      </c>
      <c r="AP52" s="879"/>
      <c r="AQ52" s="2"/>
      <c r="AR52" s="76"/>
      <c r="AS52" s="76"/>
      <c r="AT52" s="76"/>
      <c r="AU52" s="76"/>
      <c r="AV52" s="76"/>
      <c r="AW52" s="76"/>
      <c r="AX52" s="706"/>
      <c r="AY52" s="2"/>
      <c r="AZ52" s="705">
        <f ca="1">SUMIF($AR$7:AX$7,"&lt;="&amp;$I$7,AR52:AW52)</f>
        <v>0</v>
      </c>
      <c r="BA52" s="879"/>
      <c r="BB52" s="2"/>
      <c r="BC52" s="76"/>
      <c r="BD52" s="76"/>
      <c r="BE52" s="76"/>
      <c r="BF52" s="76"/>
      <c r="BG52" s="76"/>
      <c r="BH52" s="76"/>
      <c r="BI52" s="706"/>
      <c r="BJ52" s="2"/>
      <c r="BK52" s="705">
        <f ca="1">SUMIF($BC$7:BI$7,"&lt;="&amp;$I$7,BC52:BH52)</f>
        <v>0</v>
      </c>
      <c r="BL52" s="879"/>
      <c r="BM52" s="2"/>
      <c r="BN52" s="885"/>
      <c r="BO52" s="885"/>
      <c r="BP52" s="885"/>
      <c r="BQ52" s="879"/>
      <c r="BR52" s="2"/>
      <c r="BS52" s="885"/>
      <c r="BT52" s="885"/>
      <c r="BU52" s="885"/>
      <c r="BV52" s="885"/>
      <c r="BW52" s="1005"/>
      <c r="BX52" s="885"/>
      <c r="BY52" s="879"/>
      <c r="BZ52" s="2"/>
      <c r="CA52" s="885"/>
      <c r="CB52" s="885"/>
      <c r="CC52" s="2"/>
      <c r="CD52" s="504">
        <f>IFERROR(AVERAGEIF($V$7:AB$7,"&lt;="&amp;$I$7,V52:AB52),0)</f>
        <v>1551.5</v>
      </c>
      <c r="CE52" s="2"/>
      <c r="CH52" s="93" t="str">
        <f t="shared" si="22"/>
        <v>CX-01 - km 204+080 a 204+520</v>
      </c>
    </row>
    <row r="53" spans="1:86" s="16" customFormat="1" ht="20.45" hidden="1" customHeight="1" outlineLevel="2">
      <c r="A53" s="74" t="s">
        <v>3869</v>
      </c>
      <c r="B53" s="1089" t="s">
        <v>3870</v>
      </c>
      <c r="C53" s="1014" t="s">
        <v>36</v>
      </c>
      <c r="D53" s="2"/>
      <c r="E53" s="1004">
        <v>38149</v>
      </c>
      <c r="F53" s="2"/>
      <c r="G53" s="49" t="s">
        <v>37</v>
      </c>
      <c r="H53" s="705">
        <f t="shared" si="98"/>
        <v>0</v>
      </c>
      <c r="I53" s="878" t="str">
        <f t="shared" ref="I53" si="119">IF(H53=0,IF(H54&gt;0,1,"-"),IFERROR(H54/H53,"-"))</f>
        <v>-</v>
      </c>
      <c r="J53" s="2"/>
      <c r="K53" s="705"/>
      <c r="L53" s="705"/>
      <c r="M53" s="705"/>
      <c r="N53" s="705"/>
      <c r="O53" s="705"/>
      <c r="P53" s="705"/>
      <c r="Q53" s="705"/>
      <c r="R53" s="2"/>
      <c r="S53" s="705">
        <f ca="1">SUMIF($K$7:Q$7,"&lt;="&amp;$I$7,K53:P53)</f>
        <v>0</v>
      </c>
      <c r="T53" s="878" t="str">
        <f t="shared" ref="T53" ca="1" si="120">IFERROR((S54/S53),"-")</f>
        <v>-</v>
      </c>
      <c r="U53" s="2"/>
      <c r="V53" s="705"/>
      <c r="W53" s="705"/>
      <c r="X53" s="705"/>
      <c r="Y53" s="705"/>
      <c r="Z53" s="705"/>
      <c r="AA53" s="705"/>
      <c r="AB53" s="705"/>
      <c r="AC53" s="2"/>
      <c r="AD53" s="705">
        <f ca="1">SUMIF($V$7:AB$7,"&lt;="&amp;$I$7,V53:AA53)</f>
        <v>0</v>
      </c>
      <c r="AE53" s="878" t="str">
        <f t="shared" ref="AE53" ca="1" si="121">IFERROR((AD54/AD53),"-")</f>
        <v>-</v>
      </c>
      <c r="AF53" s="2"/>
      <c r="AG53" s="705"/>
      <c r="AH53" s="705"/>
      <c r="AI53" s="705"/>
      <c r="AJ53" s="705"/>
      <c r="AK53" s="705"/>
      <c r="AL53" s="705"/>
      <c r="AM53" s="705"/>
      <c r="AN53" s="2"/>
      <c r="AO53" s="705">
        <f ca="1">SUMIF($AG$7:AM$7,"&lt;="&amp;$I$7,AG53:AL53)</f>
        <v>0</v>
      </c>
      <c r="AP53" s="878" t="str">
        <f t="shared" ref="AP53" ca="1" si="122">IFERROR((AO54/AO53),"-")</f>
        <v>-</v>
      </c>
      <c r="AQ53" s="2"/>
      <c r="AR53" s="705"/>
      <c r="AS53" s="705"/>
      <c r="AT53" s="705"/>
      <c r="AU53" s="705"/>
      <c r="AV53" s="705"/>
      <c r="AW53" s="705"/>
      <c r="AX53" s="705"/>
      <c r="AY53" s="2"/>
      <c r="AZ53" s="705">
        <f ca="1">SUMIF($AR$7:AX$7,"&lt;="&amp;$I$7,AR53:AW53)</f>
        <v>0</v>
      </c>
      <c r="BA53" s="878" t="str">
        <f t="shared" ref="BA53" ca="1" si="123">IFERROR((AZ54/AZ53),"-")</f>
        <v>-</v>
      </c>
      <c r="BB53" s="2"/>
      <c r="BC53" s="705"/>
      <c r="BD53" s="705"/>
      <c r="BE53" s="705"/>
      <c r="BF53" s="705"/>
      <c r="BG53" s="705"/>
      <c r="BH53" s="705"/>
      <c r="BI53" s="705"/>
      <c r="BJ53" s="2"/>
      <c r="BK53" s="705">
        <f ca="1">SUMIF($BC$7:BI$7,"&lt;="&amp;$I$7,BC53:BH53)</f>
        <v>0</v>
      </c>
      <c r="BL53" s="878" t="str">
        <f t="shared" ref="BL53" ca="1" si="124">IFERROR((BK54/BK53),"-")</f>
        <v>-</v>
      </c>
      <c r="BM53" s="2"/>
      <c r="BN53" s="884">
        <v>80131.360000000015</v>
      </c>
      <c r="BO53" s="884">
        <v>25304.639999999996</v>
      </c>
      <c r="BP53" s="884">
        <f>SUM(M54:P54,V54:AB54,AG54:AM54,AR54:AX54,BC54:BI54)</f>
        <v>0</v>
      </c>
      <c r="BQ53" s="878">
        <f>IF(AND(BO53=0,BP53=0),"-",IF(BO53=0,1,BP53/BO53))</f>
        <v>0</v>
      </c>
      <c r="BR53" s="2"/>
      <c r="BS53" s="884">
        <v>36264</v>
      </c>
      <c r="BT53" s="884"/>
      <c r="BU53" s="884">
        <f ca="1">E53+S54+AD54+AO54+AZ54+BK54</f>
        <v>38149</v>
      </c>
      <c r="BV53" s="884">
        <v>104</v>
      </c>
      <c r="BW53" s="1004">
        <f ca="1">IFERROR((BU53/BV53),"-")</f>
        <v>366.81730769230768</v>
      </c>
      <c r="BX53" s="884">
        <v>25304.639999999996</v>
      </c>
      <c r="BY53" s="878">
        <f ca="1">IFERROR((BU53/BX53),"-")</f>
        <v>1.5075891219950177</v>
      </c>
      <c r="BZ53" s="2"/>
      <c r="CA53" s="884">
        <v>97001.13</v>
      </c>
      <c r="CB53" s="884">
        <f t="shared" ref="CB53" ca="1" si="125">CA53-BU53</f>
        <v>58852.130000000005</v>
      </c>
      <c r="CC53" s="2"/>
      <c r="CD53" s="504">
        <f>IFERROR(AVERAGEIF($V$7:AB$7,"&lt;="&amp;$I$7,V53:AB53),0)</f>
        <v>0</v>
      </c>
      <c r="CE53" s="2"/>
      <c r="CH53" s="93" t="str">
        <f t="shared" si="22"/>
        <v>CX-02 - km 211+840 a 212+120</v>
      </c>
    </row>
    <row r="54" spans="1:86" s="16" customFormat="1" ht="15.95" hidden="1" customHeight="1" outlineLevel="2">
      <c r="A54" s="74"/>
      <c r="B54" s="1090"/>
      <c r="C54" s="1034"/>
      <c r="D54" s="2"/>
      <c r="E54" s="1024"/>
      <c r="F54" s="2"/>
      <c r="G54" s="50" t="s">
        <v>38</v>
      </c>
      <c r="H54" s="705">
        <f t="shared" si="98"/>
        <v>0</v>
      </c>
      <c r="I54" s="879"/>
      <c r="J54" s="2"/>
      <c r="K54" s="76"/>
      <c r="L54" s="76"/>
      <c r="M54" s="76"/>
      <c r="N54" s="76"/>
      <c r="O54" s="76"/>
      <c r="P54" s="76"/>
      <c r="Q54" s="706"/>
      <c r="R54" s="2"/>
      <c r="S54" s="705">
        <f ca="1">SUMIF($K$7:Q$7,"&lt;="&amp;$I$7,K54:P54)</f>
        <v>0</v>
      </c>
      <c r="T54" s="879"/>
      <c r="U54" s="2"/>
      <c r="V54" s="76"/>
      <c r="W54" s="76"/>
      <c r="X54" s="76"/>
      <c r="Y54" s="76"/>
      <c r="Z54" s="76"/>
      <c r="AA54" s="76"/>
      <c r="AB54" s="706"/>
      <c r="AC54" s="2"/>
      <c r="AD54" s="705">
        <f ca="1">SUMIF($V$7:AB$7,"&lt;="&amp;$I$7,V54:AA54)</f>
        <v>0</v>
      </c>
      <c r="AE54" s="879"/>
      <c r="AF54" s="2"/>
      <c r="AG54" s="76"/>
      <c r="AH54" s="76"/>
      <c r="AI54" s="76"/>
      <c r="AJ54" s="76"/>
      <c r="AK54" s="76"/>
      <c r="AL54" s="76"/>
      <c r="AM54" s="706"/>
      <c r="AN54" s="2"/>
      <c r="AO54" s="705">
        <f ca="1">SUMIF($AG$7:AM$7,"&lt;="&amp;$I$7,AG54:AL54)</f>
        <v>0</v>
      </c>
      <c r="AP54" s="879"/>
      <c r="AQ54" s="2"/>
      <c r="AR54" s="76"/>
      <c r="AS54" s="76"/>
      <c r="AT54" s="76"/>
      <c r="AU54" s="76"/>
      <c r="AV54" s="76"/>
      <c r="AW54" s="76"/>
      <c r="AX54" s="706"/>
      <c r="AY54" s="2"/>
      <c r="AZ54" s="705">
        <f ca="1">SUMIF($AR$7:AX$7,"&lt;="&amp;$I$7,AR54:AW54)</f>
        <v>0</v>
      </c>
      <c r="BA54" s="879"/>
      <c r="BB54" s="2"/>
      <c r="BC54" s="76"/>
      <c r="BD54" s="76"/>
      <c r="BE54" s="76"/>
      <c r="BF54" s="76"/>
      <c r="BG54" s="76"/>
      <c r="BH54" s="76"/>
      <c r="BI54" s="706"/>
      <c r="BJ54" s="2"/>
      <c r="BK54" s="705">
        <f ca="1">SUMIF($BC$7:BI$7,"&lt;="&amp;$I$7,BC54:BH54)</f>
        <v>0</v>
      </c>
      <c r="BL54" s="879"/>
      <c r="BM54" s="2"/>
      <c r="BN54" s="885"/>
      <c r="BO54" s="885"/>
      <c r="BP54" s="885"/>
      <c r="BQ54" s="879"/>
      <c r="BR54" s="2"/>
      <c r="BS54" s="885"/>
      <c r="BT54" s="885"/>
      <c r="BU54" s="885"/>
      <c r="BV54" s="885"/>
      <c r="BW54" s="1005"/>
      <c r="BX54" s="885"/>
      <c r="BY54" s="879"/>
      <c r="BZ54" s="2"/>
      <c r="CA54" s="885"/>
      <c r="CB54" s="885"/>
      <c r="CC54" s="2"/>
      <c r="CD54" s="504">
        <f>IFERROR(AVERAGEIF($V$7:AB$7,"&lt;="&amp;$I$7,V54:AB54),0)</f>
        <v>0</v>
      </c>
      <c r="CE54" s="2"/>
      <c r="CH54" s="93" t="str">
        <f t="shared" si="22"/>
        <v>CX-02 - km 211+840 a 212+120</v>
      </c>
    </row>
    <row r="55" spans="1:86" s="16" customFormat="1" ht="20.45" hidden="1" customHeight="1" outlineLevel="2">
      <c r="A55" s="74" t="s">
        <v>3871</v>
      </c>
      <c r="B55" s="1089" t="s">
        <v>3872</v>
      </c>
      <c r="C55" s="1014" t="s">
        <v>36</v>
      </c>
      <c r="D55" s="2"/>
      <c r="E55" s="1004">
        <v>17849.5</v>
      </c>
      <c r="F55" s="2"/>
      <c r="G55" s="49" t="s">
        <v>37</v>
      </c>
      <c r="H55" s="705">
        <f t="shared" si="98"/>
        <v>0</v>
      </c>
      <c r="I55" s="878" t="str">
        <f t="shared" ref="I55" si="126">IF(H55=0,IF(H56&gt;0,1,"-"),IFERROR(H56/H55,"-"))</f>
        <v>-</v>
      </c>
      <c r="J55" s="2"/>
      <c r="K55" s="705">
        <v>1500</v>
      </c>
      <c r="L55" s="705">
        <v>3000</v>
      </c>
      <c r="M55" s="705">
        <v>3000</v>
      </c>
      <c r="N55" s="705">
        <v>3000</v>
      </c>
      <c r="O55" s="705">
        <v>3000</v>
      </c>
      <c r="P55" s="705">
        <v>3000</v>
      </c>
      <c r="Q55" s="705"/>
      <c r="R55" s="2"/>
      <c r="S55" s="705">
        <f ca="1">SUMIF($K$7:Q$7,"&lt;="&amp;$I$7,K55:P55)</f>
        <v>16500</v>
      </c>
      <c r="T55" s="878">
        <f t="shared" ref="T55" ca="1" si="127">IFERROR((S56/S55),"-")</f>
        <v>0.42006060606060608</v>
      </c>
      <c r="U55" s="2"/>
      <c r="V55" s="705">
        <v>1500</v>
      </c>
      <c r="W55" s="705">
        <v>1500</v>
      </c>
      <c r="X55" s="705">
        <v>1500</v>
      </c>
      <c r="Y55" s="705">
        <v>1500</v>
      </c>
      <c r="Z55" s="705">
        <v>1500</v>
      </c>
      <c r="AA55" s="705">
        <v>1500</v>
      </c>
      <c r="AB55" s="705"/>
      <c r="AC55" s="2"/>
      <c r="AD55" s="705">
        <f ca="1">SUMIF($V$7:AB$7,"&lt;="&amp;$I$7,V55:AA55)</f>
        <v>9000</v>
      </c>
      <c r="AE55" s="878">
        <f t="shared" ref="AE55" ca="1" si="128">IFERROR((AD56/AD55),"-")</f>
        <v>0</v>
      </c>
      <c r="AF55" s="2"/>
      <c r="AG55" s="705"/>
      <c r="AH55" s="705"/>
      <c r="AI55" s="705"/>
      <c r="AJ55" s="705"/>
      <c r="AK55" s="705"/>
      <c r="AL55" s="705"/>
      <c r="AM55" s="705"/>
      <c r="AN55" s="2"/>
      <c r="AO55" s="705">
        <f ca="1">SUMIF($AG$7:AM$7,"&lt;="&amp;$I$7,AG55:AL55)</f>
        <v>0</v>
      </c>
      <c r="AP55" s="878" t="str">
        <f t="shared" ref="AP55" ca="1" si="129">IFERROR((AO56/AO55),"-")</f>
        <v>-</v>
      </c>
      <c r="AQ55" s="2"/>
      <c r="AR55" s="705"/>
      <c r="AS55" s="705"/>
      <c r="AT55" s="705"/>
      <c r="AU55" s="705"/>
      <c r="AV55" s="705"/>
      <c r="AW55" s="705"/>
      <c r="AX55" s="705"/>
      <c r="AY55" s="2"/>
      <c r="AZ55" s="705">
        <f ca="1">SUMIF($AR$7:AX$7,"&lt;="&amp;$I$7,AR55:AW55)</f>
        <v>0</v>
      </c>
      <c r="BA55" s="878" t="str">
        <f t="shared" ref="BA55" ca="1" si="130">IFERROR((AZ56/AZ55),"-")</f>
        <v>-</v>
      </c>
      <c r="BB55" s="2"/>
      <c r="BC55" s="705"/>
      <c r="BD55" s="705"/>
      <c r="BE55" s="705"/>
      <c r="BF55" s="705"/>
      <c r="BG55" s="705"/>
      <c r="BH55" s="705"/>
      <c r="BI55" s="705"/>
      <c r="BJ55" s="2"/>
      <c r="BK55" s="705">
        <f ca="1">SUMIF($BC$7:BI$7,"&lt;="&amp;$I$7,BC55:BH55)</f>
        <v>0</v>
      </c>
      <c r="BL55" s="878" t="str">
        <f t="shared" ref="BL55" ca="1" si="131">IFERROR((BK56/BK55),"-")</f>
        <v>-</v>
      </c>
      <c r="BM55" s="2"/>
      <c r="BN55" s="884">
        <v>0</v>
      </c>
      <c r="BO55" s="884">
        <v>0</v>
      </c>
      <c r="BP55" s="884">
        <f>SUM(M56:P56,V56:AB56,AG56:AM56,AR56:AX56,BC56:BI56)</f>
        <v>3842.5</v>
      </c>
      <c r="BQ55" s="878">
        <f>IF(AND(BO55=0,BP55=0),"-",IF(BO55=0,1,BP55/BO55))</f>
        <v>1</v>
      </c>
      <c r="BR55" s="2"/>
      <c r="BS55" s="884"/>
      <c r="BT55" s="884"/>
      <c r="BU55" s="884">
        <f ca="1">E55+S56+AD56+AO56+AZ56+BK56</f>
        <v>24780.5</v>
      </c>
      <c r="BV55" s="884">
        <v>104</v>
      </c>
      <c r="BW55" s="1004">
        <f ca="1">IFERROR((BU55/BV55),"-")</f>
        <v>238.27403846153845</v>
      </c>
      <c r="BX55" s="884">
        <v>0</v>
      </c>
      <c r="BY55" s="878" t="str">
        <f ca="1">IFERROR((BU55/BX55),"-")</f>
        <v>-</v>
      </c>
      <c r="BZ55" s="2"/>
      <c r="CA55" s="884">
        <v>11022.39</v>
      </c>
      <c r="CB55" s="884">
        <f t="shared" ref="CB55" ca="1" si="132">CA55-BU55</f>
        <v>-13758.11</v>
      </c>
      <c r="CC55" s="2"/>
      <c r="CD55" s="504">
        <f>IFERROR(AVERAGEIF($V$7:AB$7,"&lt;="&amp;$I$7,V55:AB55),0)</f>
        <v>1500</v>
      </c>
      <c r="CE55" s="2"/>
      <c r="CH55" s="93" t="str">
        <f t="shared" si="22"/>
        <v>CX-03-LE - km 211+840 a 212+120</v>
      </c>
    </row>
    <row r="56" spans="1:86" s="16" customFormat="1" ht="15.95" hidden="1" customHeight="1" outlineLevel="2">
      <c r="A56" s="74"/>
      <c r="B56" s="1090"/>
      <c r="C56" s="1034"/>
      <c r="D56" s="2"/>
      <c r="E56" s="1024"/>
      <c r="F56" s="2"/>
      <c r="G56" s="50" t="s">
        <v>38</v>
      </c>
      <c r="H56" s="705">
        <f t="shared" si="98"/>
        <v>0</v>
      </c>
      <c r="I56" s="879"/>
      <c r="J56" s="2"/>
      <c r="K56" s="76">
        <v>2001</v>
      </c>
      <c r="L56" s="76">
        <v>1087.5</v>
      </c>
      <c r="M56" s="76">
        <v>2320</v>
      </c>
      <c r="N56" s="76">
        <v>1522.5</v>
      </c>
      <c r="O56" s="76"/>
      <c r="P56" s="76"/>
      <c r="Q56" s="706"/>
      <c r="R56" s="2"/>
      <c r="S56" s="705">
        <f ca="1">SUMIF($K$7:Q$7,"&lt;="&amp;$I$7,K56:P56)</f>
        <v>6931</v>
      </c>
      <c r="T56" s="879"/>
      <c r="U56" s="2"/>
      <c r="V56" s="76"/>
      <c r="W56" s="76"/>
      <c r="X56" s="76"/>
      <c r="Y56" s="76"/>
      <c r="Z56" s="76"/>
      <c r="AA56" s="76"/>
      <c r="AB56" s="706"/>
      <c r="AC56" s="2"/>
      <c r="AD56" s="705">
        <f ca="1">SUMIF($V$7:AB$7,"&lt;="&amp;$I$7,V56:AA56)</f>
        <v>0</v>
      </c>
      <c r="AE56" s="879"/>
      <c r="AF56" s="2"/>
      <c r="AG56" s="76"/>
      <c r="AH56" s="76"/>
      <c r="AI56" s="76"/>
      <c r="AJ56" s="76"/>
      <c r="AK56" s="76"/>
      <c r="AL56" s="76"/>
      <c r="AM56" s="706"/>
      <c r="AN56" s="2"/>
      <c r="AO56" s="705">
        <f ca="1">SUMIF($AG$7:AM$7,"&lt;="&amp;$I$7,AG56:AL56)</f>
        <v>0</v>
      </c>
      <c r="AP56" s="879"/>
      <c r="AQ56" s="2"/>
      <c r="AR56" s="76"/>
      <c r="AS56" s="76"/>
      <c r="AT56" s="76"/>
      <c r="AU56" s="76"/>
      <c r="AV56" s="76"/>
      <c r="AW56" s="76"/>
      <c r="AX56" s="706"/>
      <c r="AY56" s="2"/>
      <c r="AZ56" s="705">
        <f ca="1">SUMIF($AR$7:AX$7,"&lt;="&amp;$I$7,AR56:AW56)</f>
        <v>0</v>
      </c>
      <c r="BA56" s="879"/>
      <c r="BB56" s="2"/>
      <c r="BC56" s="76"/>
      <c r="BD56" s="76"/>
      <c r="BE56" s="76"/>
      <c r="BF56" s="76"/>
      <c r="BG56" s="76"/>
      <c r="BH56" s="76"/>
      <c r="BI56" s="706"/>
      <c r="BJ56" s="2"/>
      <c r="BK56" s="705">
        <f ca="1">SUMIF($BC$7:BI$7,"&lt;="&amp;$I$7,BC56:BH56)</f>
        <v>0</v>
      </c>
      <c r="BL56" s="879"/>
      <c r="BM56" s="2"/>
      <c r="BN56" s="885"/>
      <c r="BO56" s="885"/>
      <c r="BP56" s="885"/>
      <c r="BQ56" s="879"/>
      <c r="BR56" s="2"/>
      <c r="BS56" s="885"/>
      <c r="BT56" s="885"/>
      <c r="BU56" s="885"/>
      <c r="BV56" s="885"/>
      <c r="BW56" s="1005"/>
      <c r="BX56" s="885"/>
      <c r="BY56" s="879"/>
      <c r="BZ56" s="2"/>
      <c r="CA56" s="885"/>
      <c r="CB56" s="885"/>
      <c r="CC56" s="2"/>
      <c r="CD56" s="504">
        <f>IFERROR(AVERAGEIF($V$7:AB$7,"&lt;="&amp;$I$7,V56:AB56),0)</f>
        <v>0</v>
      </c>
      <c r="CE56" s="2"/>
      <c r="CH56" s="93" t="str">
        <f t="shared" si="22"/>
        <v>CX-03-LE - km 211+840 a 212+120</v>
      </c>
    </row>
    <row r="57" spans="1:86" s="16" customFormat="1" ht="20.45" hidden="1" customHeight="1" outlineLevel="2">
      <c r="A57" s="74" t="s">
        <v>3873</v>
      </c>
      <c r="B57" s="1089" t="s">
        <v>3874</v>
      </c>
      <c r="C57" s="1014" t="s">
        <v>36</v>
      </c>
      <c r="D57" s="2"/>
      <c r="E57" s="1004">
        <v>9638.241</v>
      </c>
      <c r="F57" s="2"/>
      <c r="G57" s="49" t="s">
        <v>37</v>
      </c>
      <c r="H57" s="705">
        <f t="shared" si="98"/>
        <v>0</v>
      </c>
      <c r="I57" s="878" t="str">
        <f t="shared" ref="I57" si="133">IF(H57=0,IF(H58&gt;0,1,"-"),IFERROR(H58/H57,"-"))</f>
        <v>-</v>
      </c>
      <c r="J57" s="2"/>
      <c r="K57" s="705"/>
      <c r="L57" s="705"/>
      <c r="M57" s="705"/>
      <c r="N57" s="705"/>
      <c r="O57" s="705"/>
      <c r="P57" s="705"/>
      <c r="Q57" s="705"/>
      <c r="R57" s="2"/>
      <c r="S57" s="705">
        <f ca="1">SUMIF($K$7:Q$7,"&lt;="&amp;$I$7,K57:P57)</f>
        <v>0</v>
      </c>
      <c r="T57" s="878" t="str">
        <f t="shared" ref="T57" ca="1" si="134">IFERROR((S58/S57),"-")</f>
        <v>-</v>
      </c>
      <c r="U57" s="2"/>
      <c r="V57" s="705"/>
      <c r="W57" s="705"/>
      <c r="X57" s="705"/>
      <c r="Y57" s="705"/>
      <c r="Z57" s="705"/>
      <c r="AA57" s="705"/>
      <c r="AB57" s="705"/>
      <c r="AC57" s="2"/>
      <c r="AD57" s="705">
        <f ca="1">SUMIF($V$7:AB$7,"&lt;="&amp;$I$7,V57:AA57)</f>
        <v>0</v>
      </c>
      <c r="AE57" s="878" t="str">
        <f t="shared" ref="AE57" ca="1" si="135">IFERROR((AD58/AD57),"-")</f>
        <v>-</v>
      </c>
      <c r="AF57" s="2"/>
      <c r="AG57" s="705"/>
      <c r="AH57" s="705"/>
      <c r="AI57" s="705"/>
      <c r="AJ57" s="705"/>
      <c r="AK57" s="705"/>
      <c r="AL57" s="705"/>
      <c r="AM57" s="705"/>
      <c r="AN57" s="2"/>
      <c r="AO57" s="705">
        <f ca="1">SUMIF($AG$7:AM$7,"&lt;="&amp;$I$7,AG57:AL57)</f>
        <v>0</v>
      </c>
      <c r="AP57" s="878" t="str">
        <f t="shared" ref="AP57" ca="1" si="136">IFERROR((AO58/AO57),"-")</f>
        <v>-</v>
      </c>
      <c r="AQ57" s="2"/>
      <c r="AR57" s="705"/>
      <c r="AS57" s="705"/>
      <c r="AT57" s="705"/>
      <c r="AU57" s="705"/>
      <c r="AV57" s="705"/>
      <c r="AW57" s="705"/>
      <c r="AX57" s="705"/>
      <c r="AY57" s="2"/>
      <c r="AZ57" s="705">
        <f ca="1">SUMIF($AR$7:AX$7,"&lt;="&amp;$I$7,AR57:AW57)</f>
        <v>0</v>
      </c>
      <c r="BA57" s="878" t="str">
        <f t="shared" ref="BA57" ca="1" si="137">IFERROR((AZ58/AZ57),"-")</f>
        <v>-</v>
      </c>
      <c r="BB57" s="2"/>
      <c r="BC57" s="705"/>
      <c r="BD57" s="705"/>
      <c r="BE57" s="705"/>
      <c r="BF57" s="705"/>
      <c r="BG57" s="705"/>
      <c r="BH57" s="705"/>
      <c r="BI57" s="705"/>
      <c r="BJ57" s="2"/>
      <c r="BK57" s="705">
        <f ca="1">SUMIF($BC$7:BI$7,"&lt;="&amp;$I$7,BC57:BH57)</f>
        <v>0</v>
      </c>
      <c r="BL57" s="878" t="str">
        <f t="shared" ref="BL57" ca="1" si="138">IFERROR((BK58/BK57),"-")</f>
        <v>-</v>
      </c>
      <c r="BM57" s="2"/>
      <c r="BN57" s="884">
        <v>0</v>
      </c>
      <c r="BO57" s="884">
        <v>0</v>
      </c>
      <c r="BP57" s="884">
        <f>SUM(M58:P58,V58:AB58,AG58:AM58,AR58:AX58,BC58:BI58)</f>
        <v>1943</v>
      </c>
      <c r="BQ57" s="878">
        <f>IF(AND(BO57=0,BP57=0),"-",IF(BO57=0,1,BP57/BO57))</f>
        <v>1</v>
      </c>
      <c r="BR57" s="2"/>
      <c r="BS57" s="884">
        <v>1155.741</v>
      </c>
      <c r="BT57" s="884"/>
      <c r="BU57" s="884">
        <f ca="1">E57+S58+AD58+AO58+AZ58+BK58</f>
        <v>11581.241</v>
      </c>
      <c r="BV57" s="884">
        <v>104</v>
      </c>
      <c r="BW57" s="1004">
        <f ca="1">IFERROR((BU57/BV57),"-")</f>
        <v>111.35808653846154</v>
      </c>
      <c r="BX57" s="884">
        <v>0</v>
      </c>
      <c r="BY57" s="878" t="str">
        <f ca="1">IFERROR((BU57/BX57),"-")</f>
        <v>-</v>
      </c>
      <c r="BZ57" s="2"/>
      <c r="CA57" s="884">
        <v>1768.68</v>
      </c>
      <c r="CB57" s="884">
        <f t="shared" ref="CB57" ca="1" si="139">CA57-BU57</f>
        <v>-9812.5609999999997</v>
      </c>
      <c r="CC57" s="2"/>
      <c r="CD57" s="504">
        <f>IFERROR(AVERAGEIF($V$7:AB$7,"&lt;="&amp;$I$7,V57:AB57),0)</f>
        <v>0</v>
      </c>
      <c r="CE57" s="2"/>
      <c r="CH57" s="93" t="str">
        <f t="shared" si="22"/>
        <v>CX-04-LD - km 211+840 a 212+120</v>
      </c>
    </row>
    <row r="58" spans="1:86" s="16" customFormat="1" ht="15.95" hidden="1" customHeight="1" outlineLevel="2">
      <c r="A58" s="74"/>
      <c r="B58" s="1090"/>
      <c r="C58" s="1034"/>
      <c r="D58" s="2"/>
      <c r="E58" s="1024"/>
      <c r="F58" s="2"/>
      <c r="G58" s="50" t="s">
        <v>38</v>
      </c>
      <c r="H58" s="705">
        <f t="shared" si="98"/>
        <v>0</v>
      </c>
      <c r="I58" s="879"/>
      <c r="J58" s="2"/>
      <c r="K58" s="76"/>
      <c r="L58" s="76"/>
      <c r="M58" s="76">
        <v>116</v>
      </c>
      <c r="N58" s="76"/>
      <c r="O58" s="76"/>
      <c r="P58" s="76"/>
      <c r="Q58" s="706"/>
      <c r="R58" s="2"/>
      <c r="S58" s="705">
        <f ca="1">SUMIF($K$7:Q$7,"&lt;="&amp;$I$7,K58:P58)</f>
        <v>116</v>
      </c>
      <c r="T58" s="879"/>
      <c r="U58" s="2"/>
      <c r="V58" s="76"/>
      <c r="W58" s="76"/>
      <c r="X58" s="76">
        <v>1131</v>
      </c>
      <c r="Y58" s="76">
        <v>696</v>
      </c>
      <c r="Z58" s="76"/>
      <c r="AA58" s="76"/>
      <c r="AB58" s="706"/>
      <c r="AC58" s="2"/>
      <c r="AD58" s="705">
        <f ca="1">SUMIF($V$7:AB$7,"&lt;="&amp;$I$7,V58:AA58)</f>
        <v>1827</v>
      </c>
      <c r="AE58" s="879"/>
      <c r="AF58" s="2"/>
      <c r="AG58" s="76"/>
      <c r="AH58" s="76"/>
      <c r="AI58" s="76"/>
      <c r="AJ58" s="76"/>
      <c r="AK58" s="76"/>
      <c r="AL58" s="76"/>
      <c r="AM58" s="706"/>
      <c r="AN58" s="2"/>
      <c r="AO58" s="705">
        <f ca="1">SUMIF($AG$7:AM$7,"&lt;="&amp;$I$7,AG58:AL58)</f>
        <v>0</v>
      </c>
      <c r="AP58" s="879"/>
      <c r="AQ58" s="2"/>
      <c r="AR58" s="76"/>
      <c r="AS58" s="76"/>
      <c r="AT58" s="76"/>
      <c r="AU58" s="76"/>
      <c r="AV58" s="76"/>
      <c r="AW58" s="76"/>
      <c r="AX58" s="706"/>
      <c r="AY58" s="2"/>
      <c r="AZ58" s="705">
        <f ca="1">SUMIF($AR$7:AX$7,"&lt;="&amp;$I$7,AR58:AW58)</f>
        <v>0</v>
      </c>
      <c r="BA58" s="879"/>
      <c r="BB58" s="2"/>
      <c r="BC58" s="76"/>
      <c r="BD58" s="76"/>
      <c r="BE58" s="76"/>
      <c r="BF58" s="76"/>
      <c r="BG58" s="76"/>
      <c r="BH58" s="76"/>
      <c r="BI58" s="706"/>
      <c r="BJ58" s="2"/>
      <c r="BK58" s="705">
        <f ca="1">SUMIF($BC$7:BI$7,"&lt;="&amp;$I$7,BC58:BH58)</f>
        <v>0</v>
      </c>
      <c r="BL58" s="879"/>
      <c r="BM58" s="2"/>
      <c r="BN58" s="885"/>
      <c r="BO58" s="885"/>
      <c r="BP58" s="885"/>
      <c r="BQ58" s="879"/>
      <c r="BR58" s="2"/>
      <c r="BS58" s="885"/>
      <c r="BT58" s="885"/>
      <c r="BU58" s="885"/>
      <c r="BV58" s="885"/>
      <c r="BW58" s="1005"/>
      <c r="BX58" s="885"/>
      <c r="BY58" s="879"/>
      <c r="BZ58" s="2"/>
      <c r="CA58" s="885"/>
      <c r="CB58" s="885"/>
      <c r="CC58" s="2"/>
      <c r="CD58" s="504">
        <f>IFERROR(AVERAGEIF($V$7:AB$7,"&lt;="&amp;$I$7,V58:AB58),0)</f>
        <v>913.5</v>
      </c>
      <c r="CE58" s="2"/>
      <c r="CH58" s="93" t="str">
        <f t="shared" si="22"/>
        <v>CX-04-LD - km 211+840 a 212+120</v>
      </c>
    </row>
    <row r="59" spans="1:86" s="16" customFormat="1" ht="20.45" hidden="1" customHeight="1" outlineLevel="2">
      <c r="A59" s="74" t="s">
        <v>3875</v>
      </c>
      <c r="B59" s="1089" t="s">
        <v>3876</v>
      </c>
      <c r="C59" s="1014" t="s">
        <v>36</v>
      </c>
      <c r="D59" s="2"/>
      <c r="E59" s="1004">
        <v>0</v>
      </c>
      <c r="F59" s="2"/>
      <c r="G59" s="49" t="s">
        <v>37</v>
      </c>
      <c r="H59" s="705">
        <f t="shared" si="98"/>
        <v>0</v>
      </c>
      <c r="I59" s="878" t="str">
        <f t="shared" ref="I59" si="140">IF(H59=0,IF(H60&gt;0,1,"-"),IFERROR(H60/H59,"-"))</f>
        <v>-</v>
      </c>
      <c r="J59" s="2"/>
      <c r="K59" s="705"/>
      <c r="L59" s="705"/>
      <c r="M59" s="705"/>
      <c r="N59" s="705"/>
      <c r="O59" s="705"/>
      <c r="P59" s="705"/>
      <c r="Q59" s="705"/>
      <c r="R59" s="2"/>
      <c r="S59" s="705">
        <f ca="1">SUMIF($K$7:Q$7,"&lt;="&amp;$I$7,K59:P59)</f>
        <v>0</v>
      </c>
      <c r="T59" s="878" t="str">
        <f t="shared" ref="T59" ca="1" si="141">IFERROR((S60/S59),"-")</f>
        <v>-</v>
      </c>
      <c r="U59" s="2"/>
      <c r="V59" s="705"/>
      <c r="W59" s="705"/>
      <c r="X59" s="705"/>
      <c r="Y59" s="705"/>
      <c r="Z59" s="705"/>
      <c r="AA59" s="705"/>
      <c r="AB59" s="705"/>
      <c r="AC59" s="2"/>
      <c r="AD59" s="705">
        <f ca="1">SUMIF($V$7:AB$7,"&lt;="&amp;$I$7,V59:AA59)</f>
        <v>0</v>
      </c>
      <c r="AE59" s="878" t="str">
        <f t="shared" ref="AE59" ca="1" si="142">IFERROR((AD60/AD59),"-")</f>
        <v>-</v>
      </c>
      <c r="AF59" s="2"/>
      <c r="AG59" s="705"/>
      <c r="AH59" s="705"/>
      <c r="AI59" s="705"/>
      <c r="AJ59" s="705"/>
      <c r="AK59" s="705"/>
      <c r="AL59" s="705"/>
      <c r="AM59" s="705"/>
      <c r="AN59" s="2"/>
      <c r="AO59" s="705">
        <f ca="1">SUMIF($AG$7:AM$7,"&lt;="&amp;$I$7,AG59:AL59)</f>
        <v>0</v>
      </c>
      <c r="AP59" s="878" t="str">
        <f t="shared" ref="AP59" ca="1" si="143">IFERROR((AO60/AO59),"-")</f>
        <v>-</v>
      </c>
      <c r="AQ59" s="2"/>
      <c r="AR59" s="705"/>
      <c r="AS59" s="705"/>
      <c r="AT59" s="705"/>
      <c r="AU59" s="705"/>
      <c r="AV59" s="705"/>
      <c r="AW59" s="705"/>
      <c r="AX59" s="705"/>
      <c r="AY59" s="2"/>
      <c r="AZ59" s="705">
        <f ca="1">SUMIF($AR$7:AX$7,"&lt;="&amp;$I$7,AR59:AW59)</f>
        <v>0</v>
      </c>
      <c r="BA59" s="878" t="str">
        <f t="shared" ref="BA59" ca="1" si="144">IFERROR((AZ60/AZ59),"-")</f>
        <v>-</v>
      </c>
      <c r="BB59" s="2"/>
      <c r="BC59" s="705"/>
      <c r="BD59" s="705"/>
      <c r="BE59" s="705"/>
      <c r="BF59" s="705"/>
      <c r="BG59" s="705"/>
      <c r="BH59" s="705"/>
      <c r="BI59" s="705"/>
      <c r="BJ59" s="2"/>
      <c r="BK59" s="705">
        <f ca="1">SUMIF($BC$7:BI$7,"&lt;="&amp;$I$7,BC59:BH59)</f>
        <v>0</v>
      </c>
      <c r="BL59" s="878" t="str">
        <f t="shared" ref="BL59" ca="1" si="145">IFERROR((BK60/BK59),"-")</f>
        <v>-</v>
      </c>
      <c r="BM59" s="2"/>
      <c r="BN59" s="884">
        <v>0</v>
      </c>
      <c r="BO59" s="884">
        <v>0</v>
      </c>
      <c r="BP59" s="884">
        <f>SUM(M60:P60,V60:AB60,AG60:AM60,AR60:AX60,BC60:BI60)</f>
        <v>0</v>
      </c>
      <c r="BQ59" s="878" t="str">
        <f>IF(AND(BO59=0,BP59=0),"-",IF(BO59=0,1,BP59/BO59))</f>
        <v>-</v>
      </c>
      <c r="BR59" s="2"/>
      <c r="BS59" s="884"/>
      <c r="BT59" s="884"/>
      <c r="BU59" s="884">
        <f ca="1">E59+S60+AD60+AO60+AZ60+BK60</f>
        <v>0</v>
      </c>
      <c r="BV59" s="884">
        <v>104</v>
      </c>
      <c r="BW59" s="1004">
        <f ca="1">IFERROR((BU59/BV59),"-")</f>
        <v>0</v>
      </c>
      <c r="BX59" s="884">
        <v>0</v>
      </c>
      <c r="BY59" s="878" t="str">
        <f ca="1">IFERROR((BU59/BX59),"-")</f>
        <v>-</v>
      </c>
      <c r="BZ59" s="2"/>
      <c r="CA59" s="884"/>
      <c r="CB59" s="884">
        <f t="shared" ref="CB59" ca="1" si="146">CA59-BU59</f>
        <v>0</v>
      </c>
      <c r="CC59" s="2"/>
      <c r="CD59" s="504">
        <f>IFERROR(AVERAGEIF($V$7:AB$7,"&lt;="&amp;$I$7,V59:AB59),0)</f>
        <v>0</v>
      </c>
      <c r="CE59" s="2"/>
      <c r="CH59" s="93" t="str">
        <f t="shared" si="22"/>
        <v>Corte Remoção ( km 204+230 a km 212+900 )</v>
      </c>
    </row>
    <row r="60" spans="1:86" s="16" customFormat="1" ht="15.95" hidden="1" customHeight="1" outlineLevel="2">
      <c r="A60" s="74"/>
      <c r="B60" s="1090"/>
      <c r="C60" s="1034"/>
      <c r="D60" s="2"/>
      <c r="E60" s="1024"/>
      <c r="F60" s="2"/>
      <c r="G60" s="50" t="s">
        <v>38</v>
      </c>
      <c r="H60" s="705">
        <f t="shared" si="98"/>
        <v>0</v>
      </c>
      <c r="I60" s="879"/>
      <c r="J60" s="2"/>
      <c r="K60" s="76"/>
      <c r="L60" s="76"/>
      <c r="M60" s="76"/>
      <c r="N60" s="76"/>
      <c r="O60" s="76"/>
      <c r="P60" s="76"/>
      <c r="Q60" s="706"/>
      <c r="R60" s="2"/>
      <c r="S60" s="705">
        <f ca="1">SUMIF($K$7:Q$7,"&lt;="&amp;$I$7,K60:P60)</f>
        <v>0</v>
      </c>
      <c r="T60" s="879"/>
      <c r="U60" s="2"/>
      <c r="V60" s="76"/>
      <c r="W60" s="76"/>
      <c r="X60" s="76"/>
      <c r="Y60" s="76"/>
      <c r="Z60" s="76"/>
      <c r="AA60" s="76"/>
      <c r="AB60" s="706"/>
      <c r="AC60" s="2"/>
      <c r="AD60" s="705">
        <f ca="1">SUMIF($V$7:AB$7,"&lt;="&amp;$I$7,V60:AA60)</f>
        <v>0</v>
      </c>
      <c r="AE60" s="879"/>
      <c r="AF60" s="2"/>
      <c r="AG60" s="76"/>
      <c r="AH60" s="76"/>
      <c r="AI60" s="76"/>
      <c r="AJ60" s="76"/>
      <c r="AK60" s="76"/>
      <c r="AL60" s="76"/>
      <c r="AM60" s="706"/>
      <c r="AN60" s="2"/>
      <c r="AO60" s="705">
        <f ca="1">SUMIF($AG$7:AM$7,"&lt;="&amp;$I$7,AG60:AL60)</f>
        <v>0</v>
      </c>
      <c r="AP60" s="879"/>
      <c r="AQ60" s="2"/>
      <c r="AR60" s="76"/>
      <c r="AS60" s="76"/>
      <c r="AT60" s="76"/>
      <c r="AU60" s="76"/>
      <c r="AV60" s="76"/>
      <c r="AW60" s="76"/>
      <c r="AX60" s="706"/>
      <c r="AY60" s="2"/>
      <c r="AZ60" s="705">
        <f ca="1">SUMIF($AR$7:AX$7,"&lt;="&amp;$I$7,AR60:AW60)</f>
        <v>0</v>
      </c>
      <c r="BA60" s="879"/>
      <c r="BB60" s="2"/>
      <c r="BC60" s="76"/>
      <c r="BD60" s="76"/>
      <c r="BE60" s="76"/>
      <c r="BF60" s="76"/>
      <c r="BG60" s="76"/>
      <c r="BH60" s="76"/>
      <c r="BI60" s="706"/>
      <c r="BJ60" s="2"/>
      <c r="BK60" s="705">
        <f ca="1">SUMIF($BC$7:BI$7,"&lt;="&amp;$I$7,BC60:BH60)</f>
        <v>0</v>
      </c>
      <c r="BL60" s="879"/>
      <c r="BM60" s="2"/>
      <c r="BN60" s="885"/>
      <c r="BO60" s="885"/>
      <c r="BP60" s="885"/>
      <c r="BQ60" s="879"/>
      <c r="BR60" s="2"/>
      <c r="BS60" s="885"/>
      <c r="BT60" s="885"/>
      <c r="BU60" s="885"/>
      <c r="BV60" s="885"/>
      <c r="BW60" s="1005"/>
      <c r="BX60" s="885"/>
      <c r="BY60" s="879"/>
      <c r="BZ60" s="2"/>
      <c r="CA60" s="885"/>
      <c r="CB60" s="885"/>
      <c r="CC60" s="2"/>
      <c r="CD60" s="504">
        <f>IFERROR(AVERAGEIF($V$7:AB$7,"&lt;="&amp;$I$7,V60:AB60),0)</f>
        <v>0</v>
      </c>
      <c r="CE60" s="2"/>
      <c r="CH60" s="93" t="str">
        <f t="shared" si="22"/>
        <v>Corte Remoção ( km 204+230 a km 212+900 )</v>
      </c>
    </row>
    <row r="61" spans="1:86" s="16" customFormat="1" ht="20.45" hidden="1" customHeight="1" outlineLevel="2">
      <c r="A61" s="74"/>
      <c r="B61" s="1089" t="s">
        <v>3877</v>
      </c>
      <c r="C61" s="1014" t="s">
        <v>36</v>
      </c>
      <c r="D61" s="2"/>
      <c r="E61" s="1004">
        <v>1856</v>
      </c>
      <c r="F61" s="2"/>
      <c r="G61" s="49" t="s">
        <v>37</v>
      </c>
      <c r="H61" s="705">
        <f t="shared" si="98"/>
        <v>0</v>
      </c>
      <c r="I61" s="878">
        <f t="shared" ref="I61" si="147">IF(H61=0,IF(H62&gt;0,1,"-"),IFERROR(H62/H61,"-"))</f>
        <v>1</v>
      </c>
      <c r="J61" s="2"/>
      <c r="K61" s="705"/>
      <c r="L61" s="705"/>
      <c r="M61" s="705"/>
      <c r="N61" s="705"/>
      <c r="O61" s="705"/>
      <c r="P61" s="705"/>
      <c r="Q61" s="705"/>
      <c r="R61" s="2"/>
      <c r="S61" s="705">
        <f ca="1">SUMIF($K$7:Q$7,"&lt;="&amp;$I$7,K61:P61)</f>
        <v>0</v>
      </c>
      <c r="T61" s="878" t="str">
        <f t="shared" ref="T61" ca="1" si="148">IFERROR((S62/S61),"-")</f>
        <v>-</v>
      </c>
      <c r="U61" s="2"/>
      <c r="V61" s="705"/>
      <c r="W61" s="705"/>
      <c r="X61" s="705"/>
      <c r="Y61" s="705"/>
      <c r="Z61" s="705"/>
      <c r="AA61" s="705"/>
      <c r="AB61" s="705"/>
      <c r="AC61" s="2"/>
      <c r="AD61" s="705">
        <f ca="1">SUMIF($V$7:AB$7,"&lt;="&amp;$I$7,V61:AA61)</f>
        <v>0</v>
      </c>
      <c r="AE61" s="878" t="str">
        <f t="shared" ref="AE61" ca="1" si="149">IFERROR((AD62/AD61),"-")</f>
        <v>-</v>
      </c>
      <c r="AF61" s="2"/>
      <c r="AG61" s="705"/>
      <c r="AH61" s="705"/>
      <c r="AI61" s="705"/>
      <c r="AJ61" s="705"/>
      <c r="AK61" s="705"/>
      <c r="AL61" s="705"/>
      <c r="AM61" s="705"/>
      <c r="AN61" s="2"/>
      <c r="AO61" s="705">
        <f ca="1">SUMIF($AG$7:AM$7,"&lt;="&amp;$I$7,AG61:AL61)</f>
        <v>0</v>
      </c>
      <c r="AP61" s="878" t="str">
        <f t="shared" ref="AP61" ca="1" si="150">IFERROR((AO62/AO61),"-")</f>
        <v>-</v>
      </c>
      <c r="AQ61" s="2"/>
      <c r="AR61" s="705"/>
      <c r="AS61" s="705"/>
      <c r="AT61" s="705"/>
      <c r="AU61" s="705"/>
      <c r="AV61" s="705"/>
      <c r="AW61" s="705"/>
      <c r="AX61" s="705"/>
      <c r="AY61" s="2"/>
      <c r="AZ61" s="705">
        <f ca="1">SUMIF($AR$7:AX$7,"&lt;="&amp;$I$7,AR61:AW61)</f>
        <v>0</v>
      </c>
      <c r="BA61" s="878" t="str">
        <f t="shared" ref="BA61" ca="1" si="151">IFERROR((AZ62/AZ61),"-")</f>
        <v>-</v>
      </c>
      <c r="BB61" s="2"/>
      <c r="BC61" s="705"/>
      <c r="BD61" s="705"/>
      <c r="BE61" s="705"/>
      <c r="BF61" s="705"/>
      <c r="BG61" s="705"/>
      <c r="BH61" s="705"/>
      <c r="BI61" s="705"/>
      <c r="BJ61" s="2"/>
      <c r="BK61" s="705">
        <f ca="1">SUMIF($BC$7:BI$7,"&lt;="&amp;$I$7,BC61:BH61)</f>
        <v>0</v>
      </c>
      <c r="BL61" s="878" t="str">
        <f t="shared" ref="BL61" ca="1" si="152">IFERROR((BK62/BK61),"-")</f>
        <v>-</v>
      </c>
      <c r="BM61" s="2"/>
      <c r="BN61" s="884">
        <v>0</v>
      </c>
      <c r="BO61" s="884">
        <v>0</v>
      </c>
      <c r="BP61" s="884">
        <f>SUM(M62:P62,V62:AB62,AG62:AM62,AR62:AX62,BC62:BI62)</f>
        <v>1928.5</v>
      </c>
      <c r="BQ61" s="878">
        <f>IF(AND(BO61=0,BP61=0),"-",IF(BO61=0,1,BP61/BO61))</f>
        <v>1</v>
      </c>
      <c r="BR61" s="2"/>
      <c r="BS61" s="884"/>
      <c r="BT61" s="884"/>
      <c r="BU61" s="884">
        <f ca="1">E61+S62+AD62+AO62+AZ62+BK62</f>
        <v>3784.5</v>
      </c>
      <c r="BV61" s="884">
        <v>104</v>
      </c>
      <c r="BW61" s="1004">
        <f ca="1">IFERROR((BU61/BV61),"-")</f>
        <v>36.38942307692308</v>
      </c>
      <c r="BX61" s="884">
        <v>0</v>
      </c>
      <c r="BY61" s="878" t="str">
        <f ca="1">IFERROR((BU61/BX61),"-")</f>
        <v>-</v>
      </c>
      <c r="BZ61" s="2"/>
      <c r="CA61" s="884"/>
      <c r="CB61" s="884">
        <f t="shared" ref="CB61" ca="1" si="153">CA61-BU61</f>
        <v>-3784.5</v>
      </c>
      <c r="CC61" s="2"/>
      <c r="CD61" s="504">
        <f>IFERROR(AVERAGEIF($V$7:AB$7,"&lt;="&amp;$I$7,V61:AB61),0)</f>
        <v>0</v>
      </c>
      <c r="CE61" s="2"/>
      <c r="CH61" s="93" t="str">
        <f t="shared" si="22"/>
        <v>AE</v>
      </c>
    </row>
    <row r="62" spans="1:86" s="16" customFormat="1" ht="15.95" hidden="1" customHeight="1" outlineLevel="2">
      <c r="A62" s="74"/>
      <c r="B62" s="1090"/>
      <c r="C62" s="1034"/>
      <c r="D62" s="2"/>
      <c r="E62" s="1024"/>
      <c r="F62" s="2"/>
      <c r="G62" s="50" t="s">
        <v>38</v>
      </c>
      <c r="H62" s="705">
        <f t="shared" si="98"/>
        <v>43.5</v>
      </c>
      <c r="I62" s="879"/>
      <c r="J62" s="2"/>
      <c r="K62" s="76"/>
      <c r="L62" s="76"/>
      <c r="M62" s="76"/>
      <c r="N62" s="76"/>
      <c r="O62" s="76"/>
      <c r="P62" s="76"/>
      <c r="Q62" s="706"/>
      <c r="R62" s="2"/>
      <c r="S62" s="705">
        <f ca="1">SUMIF($K$7:Q$7,"&lt;="&amp;$I$7,K62:P62)</f>
        <v>0</v>
      </c>
      <c r="T62" s="879"/>
      <c r="U62" s="2"/>
      <c r="V62" s="76">
        <v>319</v>
      </c>
      <c r="W62" s="76">
        <v>884.5</v>
      </c>
      <c r="X62" s="76"/>
      <c r="Y62" s="76"/>
      <c r="Z62" s="76"/>
      <c r="AA62" s="76">
        <v>275.5</v>
      </c>
      <c r="AB62" s="706"/>
      <c r="AC62" s="2"/>
      <c r="AD62" s="705">
        <f ca="1">SUMIF($V$7:AB$7,"&lt;="&amp;$I$7,V62:AA62)</f>
        <v>1479</v>
      </c>
      <c r="AE62" s="879"/>
      <c r="AF62" s="2"/>
      <c r="AG62" s="76">
        <v>406</v>
      </c>
      <c r="AH62" s="76">
        <v>43.5</v>
      </c>
      <c r="AI62" s="76"/>
      <c r="AJ62" s="76"/>
      <c r="AK62" s="76"/>
      <c r="AL62" s="76"/>
      <c r="AM62" s="706"/>
      <c r="AN62" s="2"/>
      <c r="AO62" s="705">
        <f ca="1">SUMIF($AG$7:AM$7,"&lt;="&amp;$I$7,AG62:AL62)</f>
        <v>449.5</v>
      </c>
      <c r="AP62" s="879"/>
      <c r="AQ62" s="2"/>
      <c r="AR62" s="76"/>
      <c r="AS62" s="76"/>
      <c r="AT62" s="76"/>
      <c r="AU62" s="76"/>
      <c r="AV62" s="76"/>
      <c r="AW62" s="76"/>
      <c r="AX62" s="706"/>
      <c r="AY62" s="2"/>
      <c r="AZ62" s="705">
        <f ca="1">SUMIF($AR$7:AX$7,"&lt;="&amp;$I$7,AR62:AW62)</f>
        <v>0</v>
      </c>
      <c r="BA62" s="879"/>
      <c r="BB62" s="2"/>
      <c r="BC62" s="76"/>
      <c r="BD62" s="76"/>
      <c r="BE62" s="76"/>
      <c r="BF62" s="76"/>
      <c r="BG62" s="76"/>
      <c r="BH62" s="76"/>
      <c r="BI62" s="706"/>
      <c r="BJ62" s="2"/>
      <c r="BK62" s="705">
        <f ca="1">SUMIF($BC$7:BI$7,"&lt;="&amp;$I$7,BC62:BH62)</f>
        <v>0</v>
      </c>
      <c r="BL62" s="879"/>
      <c r="BM62" s="2"/>
      <c r="BN62" s="885"/>
      <c r="BO62" s="885"/>
      <c r="BP62" s="885"/>
      <c r="BQ62" s="879"/>
      <c r="BR62" s="2"/>
      <c r="BS62" s="885"/>
      <c r="BT62" s="885"/>
      <c r="BU62" s="885"/>
      <c r="BV62" s="885"/>
      <c r="BW62" s="1005"/>
      <c r="BX62" s="885"/>
      <c r="BY62" s="879"/>
      <c r="BZ62" s="2"/>
      <c r="CA62" s="885"/>
      <c r="CB62" s="885"/>
      <c r="CC62" s="2"/>
      <c r="CD62" s="504">
        <f>IFERROR(AVERAGEIF($V$7:AB$7,"&lt;="&amp;$I$7,V62:AB62),0)</f>
        <v>493</v>
      </c>
      <c r="CE62" s="2"/>
      <c r="CH62" s="93" t="str">
        <f t="shared" si="22"/>
        <v>AE</v>
      </c>
    </row>
    <row r="63" spans="1:86" s="16" customFormat="1" ht="20.45" hidden="1" customHeight="1" outlineLevel="2">
      <c r="A63" s="74"/>
      <c r="B63" s="1089" t="s">
        <v>3878</v>
      </c>
      <c r="C63" s="1014" t="s">
        <v>36</v>
      </c>
      <c r="D63" s="2"/>
      <c r="E63" s="1004">
        <v>0</v>
      </c>
      <c r="F63" s="2"/>
      <c r="G63" s="49" t="s">
        <v>37</v>
      </c>
      <c r="H63" s="705">
        <f t="shared" si="98"/>
        <v>0</v>
      </c>
      <c r="I63" s="878" t="str">
        <f t="shared" ref="I63" si="154">IF(H63=0,IF(H64&gt;0,1,"-"),IFERROR(H64/H63,"-"))</f>
        <v>-</v>
      </c>
      <c r="J63" s="2"/>
      <c r="K63" s="705"/>
      <c r="L63" s="705"/>
      <c r="M63" s="705"/>
      <c r="N63" s="705"/>
      <c r="O63" s="705"/>
      <c r="P63" s="705"/>
      <c r="Q63" s="705"/>
      <c r="R63" s="2"/>
      <c r="S63" s="705">
        <f ca="1">SUMIF($K$7:Q$7,"&lt;="&amp;$I$7,K63:P63)</f>
        <v>0</v>
      </c>
      <c r="T63" s="878" t="str">
        <f t="shared" ref="T63" ca="1" si="155">IFERROR((S64/S63),"-")</f>
        <v>-</v>
      </c>
      <c r="U63" s="2"/>
      <c r="V63" s="705"/>
      <c r="W63" s="705"/>
      <c r="X63" s="705"/>
      <c r="Y63" s="705"/>
      <c r="Z63" s="705"/>
      <c r="AA63" s="705"/>
      <c r="AB63" s="705"/>
      <c r="AC63" s="2"/>
      <c r="AD63" s="705">
        <f ca="1">SUMIF($V$7:AB$7,"&lt;="&amp;$I$7,V63:AA63)</f>
        <v>0</v>
      </c>
      <c r="AE63" s="878" t="str">
        <f t="shared" ref="AE63" ca="1" si="156">IFERROR((AD64/AD63),"-")</f>
        <v>-</v>
      </c>
      <c r="AF63" s="2"/>
      <c r="AG63" s="705"/>
      <c r="AH63" s="705"/>
      <c r="AI63" s="705"/>
      <c r="AJ63" s="705"/>
      <c r="AK63" s="705"/>
      <c r="AL63" s="705"/>
      <c r="AM63" s="705"/>
      <c r="AN63" s="2"/>
      <c r="AO63" s="705">
        <f ca="1">SUMIF($AG$7:AM$7,"&lt;="&amp;$I$7,AG63:AL63)</f>
        <v>0</v>
      </c>
      <c r="AP63" s="878" t="str">
        <f t="shared" ref="AP63" ca="1" si="157">IFERROR((AO64/AO63),"-")</f>
        <v>-</v>
      </c>
      <c r="AQ63" s="2"/>
      <c r="AR63" s="705"/>
      <c r="AS63" s="705"/>
      <c r="AT63" s="705"/>
      <c r="AU63" s="705"/>
      <c r="AV63" s="705"/>
      <c r="AW63" s="705"/>
      <c r="AX63" s="705"/>
      <c r="AY63" s="2"/>
      <c r="AZ63" s="705">
        <f ca="1">SUMIF($AR$7:AX$7,"&lt;="&amp;$I$7,AR63:AW63)</f>
        <v>0</v>
      </c>
      <c r="BA63" s="878" t="str">
        <f t="shared" ref="BA63" ca="1" si="158">IFERROR((AZ64/AZ63),"-")</f>
        <v>-</v>
      </c>
      <c r="BB63" s="2"/>
      <c r="BC63" s="705"/>
      <c r="BD63" s="705"/>
      <c r="BE63" s="705"/>
      <c r="BF63" s="705"/>
      <c r="BG63" s="705"/>
      <c r="BH63" s="705"/>
      <c r="BI63" s="705"/>
      <c r="BJ63" s="2"/>
      <c r="BK63" s="705">
        <f ca="1">SUMIF($BC$7:BI$7,"&lt;="&amp;$I$7,BC63:BH63)</f>
        <v>0</v>
      </c>
      <c r="BL63" s="878" t="str">
        <f t="shared" ref="BL63" ca="1" si="159">IFERROR((BK64/BK63),"-")</f>
        <v>-</v>
      </c>
      <c r="BM63" s="2"/>
      <c r="BN63" s="884">
        <v>0</v>
      </c>
      <c r="BO63" s="884">
        <v>0</v>
      </c>
      <c r="BP63" s="884">
        <f>SUM(M64:P64,V64:AB64,AG64:AM64,AR64:AX64,BC64:BI64)</f>
        <v>0</v>
      </c>
      <c r="BQ63" s="878" t="str">
        <f>IF(AND(BO63=0,BP63=0),"-",IF(BO63=0,1,BP63/BO63))</f>
        <v>-</v>
      </c>
      <c r="BR63" s="2"/>
      <c r="BS63" s="884"/>
      <c r="BT63" s="884"/>
      <c r="BU63" s="884">
        <f ca="1">E63+S64+AD64+AO64+AZ64+BK64</f>
        <v>0</v>
      </c>
      <c r="BV63" s="884">
        <v>104</v>
      </c>
      <c r="BW63" s="1004">
        <f ca="1">IFERROR((BU63/BV63),"-")</f>
        <v>0</v>
      </c>
      <c r="BX63" s="884">
        <v>0</v>
      </c>
      <c r="BY63" s="878" t="str">
        <f ca="1">IFERROR((BU63/BX63),"-")</f>
        <v>-</v>
      </c>
      <c r="BZ63" s="2"/>
      <c r="CA63" s="884">
        <v>479</v>
      </c>
      <c r="CB63" s="884">
        <f t="shared" ref="CB63" ca="1" si="160">CA63-BU63</f>
        <v>479</v>
      </c>
      <c r="CC63" s="2"/>
      <c r="CD63" s="504">
        <f>IFERROR(AVERAGEIF($V$7:AB$7,"&lt;="&amp;$I$7,V63:AB63),0)</f>
        <v>0</v>
      </c>
      <c r="CE63" s="2"/>
      <c r="CH63" s="93" t="str">
        <f t="shared" si="22"/>
        <v>JAZIDA DE CASCALHO</v>
      </c>
    </row>
    <row r="64" spans="1:86" s="16" customFormat="1" ht="15.95" hidden="1" customHeight="1" outlineLevel="2">
      <c r="A64" s="74"/>
      <c r="B64" s="1090"/>
      <c r="C64" s="1034"/>
      <c r="D64" s="2"/>
      <c r="E64" s="1024"/>
      <c r="F64" s="2"/>
      <c r="G64" s="50" t="s">
        <v>38</v>
      </c>
      <c r="H64" s="705">
        <f t="shared" si="98"/>
        <v>0</v>
      </c>
      <c r="I64" s="879"/>
      <c r="J64" s="2"/>
      <c r="K64" s="76"/>
      <c r="L64" s="76"/>
      <c r="M64" s="76"/>
      <c r="N64" s="76"/>
      <c r="O64" s="76"/>
      <c r="P64" s="76"/>
      <c r="Q64" s="706"/>
      <c r="R64" s="2"/>
      <c r="S64" s="705">
        <f ca="1">SUMIF($K$7:Q$7,"&lt;="&amp;$I$7,K64:P64)</f>
        <v>0</v>
      </c>
      <c r="T64" s="879"/>
      <c r="U64" s="2"/>
      <c r="V64" s="76"/>
      <c r="W64" s="76"/>
      <c r="X64" s="76"/>
      <c r="Y64" s="76"/>
      <c r="Z64" s="76"/>
      <c r="AA64" s="76"/>
      <c r="AB64" s="706"/>
      <c r="AC64" s="2"/>
      <c r="AD64" s="705">
        <f ca="1">SUMIF($V$7:AB$7,"&lt;="&amp;$I$7,V64:AA64)</f>
        <v>0</v>
      </c>
      <c r="AE64" s="879"/>
      <c r="AF64" s="2"/>
      <c r="AG64" s="76"/>
      <c r="AH64" s="76"/>
      <c r="AI64" s="76"/>
      <c r="AJ64" s="76"/>
      <c r="AK64" s="76"/>
      <c r="AL64" s="76"/>
      <c r="AM64" s="706"/>
      <c r="AN64" s="2"/>
      <c r="AO64" s="705">
        <f ca="1">SUMIF($AG$7:AM$7,"&lt;="&amp;$I$7,AG64:AL64)</f>
        <v>0</v>
      </c>
      <c r="AP64" s="879"/>
      <c r="AQ64" s="2"/>
      <c r="AR64" s="76"/>
      <c r="AS64" s="76"/>
      <c r="AT64" s="76"/>
      <c r="AU64" s="76"/>
      <c r="AV64" s="76"/>
      <c r="AW64" s="76"/>
      <c r="AX64" s="706"/>
      <c r="AY64" s="2"/>
      <c r="AZ64" s="705">
        <f ca="1">SUMIF($AR$7:AX$7,"&lt;="&amp;$I$7,AR64:AW64)</f>
        <v>0</v>
      </c>
      <c r="BA64" s="879"/>
      <c r="BB64" s="2"/>
      <c r="BC64" s="76"/>
      <c r="BD64" s="76"/>
      <c r="BE64" s="76"/>
      <c r="BF64" s="76"/>
      <c r="BG64" s="76"/>
      <c r="BH64" s="76"/>
      <c r="BI64" s="706"/>
      <c r="BJ64" s="2"/>
      <c r="BK64" s="705">
        <f ca="1">SUMIF($BC$7:BI$7,"&lt;="&amp;$I$7,BC64:BH64)</f>
        <v>0</v>
      </c>
      <c r="BL64" s="879"/>
      <c r="BM64" s="2"/>
      <c r="BN64" s="885"/>
      <c r="BO64" s="885"/>
      <c r="BP64" s="885"/>
      <c r="BQ64" s="879"/>
      <c r="BR64" s="2"/>
      <c r="BS64" s="885"/>
      <c r="BT64" s="885"/>
      <c r="BU64" s="885"/>
      <c r="BV64" s="885"/>
      <c r="BW64" s="1005"/>
      <c r="BX64" s="885"/>
      <c r="BY64" s="879"/>
      <c r="BZ64" s="2"/>
      <c r="CA64" s="885"/>
      <c r="CB64" s="885"/>
      <c r="CC64" s="2"/>
      <c r="CD64" s="504">
        <f>IFERROR(AVERAGEIF($V$7:AB$7,"&lt;="&amp;$I$7,V64:AB64),0)</f>
        <v>0</v>
      </c>
      <c r="CE64" s="2"/>
      <c r="CH64" s="93" t="str">
        <f t="shared" si="22"/>
        <v>JAZIDA DE CASCALHO</v>
      </c>
    </row>
    <row r="65" spans="1:86" s="16" customFormat="1" ht="20.45" hidden="1" customHeight="1" outlineLevel="2">
      <c r="A65" s="74" t="s">
        <v>3879</v>
      </c>
      <c r="B65" s="1089" t="s">
        <v>3880</v>
      </c>
      <c r="C65" s="1014" t="s">
        <v>36</v>
      </c>
      <c r="D65" s="2"/>
      <c r="E65" s="1004">
        <v>0</v>
      </c>
      <c r="F65" s="2"/>
      <c r="G65" s="49" t="s">
        <v>37</v>
      </c>
      <c r="H65" s="705">
        <f t="shared" si="98"/>
        <v>0</v>
      </c>
      <c r="I65" s="878" t="str">
        <f t="shared" ref="I65" si="161">IF(H65=0,IF(H66&gt;0,1,"-"),IFERROR(H66/H65,"-"))</f>
        <v>-</v>
      </c>
      <c r="J65" s="2"/>
      <c r="K65" s="705"/>
      <c r="L65" s="705"/>
      <c r="M65" s="705"/>
      <c r="N65" s="705"/>
      <c r="O65" s="705"/>
      <c r="P65" s="705"/>
      <c r="Q65" s="705"/>
      <c r="R65" s="2"/>
      <c r="S65" s="705">
        <f ca="1">SUMIF($K$7:Q$7,"&lt;="&amp;$I$7,K65:P65)</f>
        <v>0</v>
      </c>
      <c r="T65" s="878" t="str">
        <f t="shared" ref="T65" ca="1" si="162">IFERROR((S66/S65),"-")</f>
        <v>-</v>
      </c>
      <c r="U65" s="2"/>
      <c r="V65" s="705"/>
      <c r="W65" s="705"/>
      <c r="X65" s="705"/>
      <c r="Y65" s="705"/>
      <c r="Z65" s="705"/>
      <c r="AA65" s="705"/>
      <c r="AB65" s="705"/>
      <c r="AC65" s="2"/>
      <c r="AD65" s="705">
        <f ca="1">SUMIF($V$7:AB$7,"&lt;="&amp;$I$7,V65:AA65)</f>
        <v>0</v>
      </c>
      <c r="AE65" s="878" t="str">
        <f t="shared" ref="AE65" ca="1" si="163">IFERROR((AD66/AD65),"-")</f>
        <v>-</v>
      </c>
      <c r="AF65" s="2"/>
      <c r="AG65" s="705"/>
      <c r="AH65" s="705"/>
      <c r="AI65" s="705"/>
      <c r="AJ65" s="705"/>
      <c r="AK65" s="705"/>
      <c r="AL65" s="705"/>
      <c r="AM65" s="705"/>
      <c r="AN65" s="2"/>
      <c r="AO65" s="705">
        <f ca="1">SUMIF($AG$7:AM$7,"&lt;="&amp;$I$7,AG65:AL65)</f>
        <v>0</v>
      </c>
      <c r="AP65" s="878" t="str">
        <f t="shared" ref="AP65" ca="1" si="164">IFERROR((AO66/AO65),"-")</f>
        <v>-</v>
      </c>
      <c r="AQ65" s="2"/>
      <c r="AR65" s="705"/>
      <c r="AS65" s="705"/>
      <c r="AT65" s="705"/>
      <c r="AU65" s="705"/>
      <c r="AV65" s="705"/>
      <c r="AW65" s="705"/>
      <c r="AX65" s="705"/>
      <c r="AY65" s="2"/>
      <c r="AZ65" s="705">
        <f ca="1">SUMIF($AR$7:AX$7,"&lt;="&amp;$I$7,AR65:AW65)</f>
        <v>0</v>
      </c>
      <c r="BA65" s="878" t="str">
        <f t="shared" ref="BA65" ca="1" si="165">IFERROR((AZ66/AZ65),"-")</f>
        <v>-</v>
      </c>
      <c r="BB65" s="2"/>
      <c r="BC65" s="705"/>
      <c r="BD65" s="705"/>
      <c r="BE65" s="705"/>
      <c r="BF65" s="705"/>
      <c r="BG65" s="705"/>
      <c r="BH65" s="705"/>
      <c r="BI65" s="705"/>
      <c r="BJ65" s="2"/>
      <c r="BK65" s="705">
        <f ca="1">SUMIF($BC$7:BI$7,"&lt;="&amp;$I$7,BC65:BH65)</f>
        <v>0</v>
      </c>
      <c r="BL65" s="878" t="str">
        <f t="shared" ref="BL65" ca="1" si="166">IFERROR((BK66/BK65),"-")</f>
        <v>-</v>
      </c>
      <c r="BM65" s="2"/>
      <c r="BN65" s="884">
        <v>43826.570000000007</v>
      </c>
      <c r="BO65" s="884">
        <v>16862.3</v>
      </c>
      <c r="BP65" s="884">
        <f>SUM(M66:P66,V66:AB66,AG66:AM66,AR66:AX66,BC66:BI66)</f>
        <v>0</v>
      </c>
      <c r="BQ65" s="878">
        <f>IF(AND(BO65=0,BP65=0),"-",IF(BO65=0,1,BP65/BO65))</f>
        <v>0</v>
      </c>
      <c r="BR65" s="2"/>
      <c r="BS65" s="884"/>
      <c r="BT65" s="884"/>
      <c r="BU65" s="884">
        <f ca="1">E65+S66+AD66+AO66+AZ66+BK66</f>
        <v>0</v>
      </c>
      <c r="BV65" s="884">
        <v>104</v>
      </c>
      <c r="BW65" s="1004">
        <f ca="1">IFERROR((BU65/BV65),"-")</f>
        <v>0</v>
      </c>
      <c r="BX65" s="884">
        <v>0</v>
      </c>
      <c r="BY65" s="878" t="str">
        <f ca="1">IFERROR((BU65/BX65),"-")</f>
        <v>-</v>
      </c>
      <c r="BZ65" s="2"/>
      <c r="CA65" s="884"/>
      <c r="CB65" s="884">
        <f t="shared" ref="CB65" ca="1" si="167">CA65-BU65</f>
        <v>0</v>
      </c>
      <c r="CC65" s="2"/>
      <c r="CD65" s="504">
        <f>IFERROR(AVERAGEIF($V$7:AB$7,"&lt;="&amp;$I$7,V65:AB65),0)</f>
        <v>0</v>
      </c>
      <c r="CE65" s="2"/>
      <c r="CH65" s="93" t="str">
        <f t="shared" si="22"/>
        <v>Corte PNs + CL</v>
      </c>
    </row>
    <row r="66" spans="1:86" s="16" customFormat="1" ht="15.95" hidden="1" customHeight="1" outlineLevel="2">
      <c r="A66" s="74"/>
      <c r="B66" s="1090"/>
      <c r="C66" s="1034"/>
      <c r="D66" s="2"/>
      <c r="E66" s="1024"/>
      <c r="F66" s="2"/>
      <c r="G66" s="50" t="s">
        <v>38</v>
      </c>
      <c r="H66" s="705">
        <f t="shared" si="98"/>
        <v>0</v>
      </c>
      <c r="I66" s="879"/>
      <c r="J66" s="2"/>
      <c r="K66" s="76"/>
      <c r="L66" s="76"/>
      <c r="M66" s="76"/>
      <c r="N66" s="76"/>
      <c r="O66" s="76"/>
      <c r="P66" s="76"/>
      <c r="Q66" s="706"/>
      <c r="R66" s="2"/>
      <c r="S66" s="705">
        <f ca="1">SUMIF($K$7:Q$7,"&lt;="&amp;$I$7,K66:P66)</f>
        <v>0</v>
      </c>
      <c r="T66" s="879"/>
      <c r="U66" s="2"/>
      <c r="V66" s="76"/>
      <c r="W66" s="76"/>
      <c r="X66" s="76"/>
      <c r="Y66" s="76"/>
      <c r="Z66" s="76"/>
      <c r="AA66" s="76"/>
      <c r="AB66" s="706"/>
      <c r="AC66" s="2"/>
      <c r="AD66" s="705">
        <f ca="1">SUMIF($V$7:AB$7,"&lt;="&amp;$I$7,V66:AA66)</f>
        <v>0</v>
      </c>
      <c r="AE66" s="879"/>
      <c r="AF66" s="2"/>
      <c r="AG66" s="76"/>
      <c r="AH66" s="76"/>
      <c r="AI66" s="76"/>
      <c r="AJ66" s="76"/>
      <c r="AK66" s="76"/>
      <c r="AL66" s="76"/>
      <c r="AM66" s="706"/>
      <c r="AN66" s="2"/>
      <c r="AO66" s="705">
        <f ca="1">SUMIF($AG$7:AM$7,"&lt;="&amp;$I$7,AG66:AL66)</f>
        <v>0</v>
      </c>
      <c r="AP66" s="879"/>
      <c r="AQ66" s="2"/>
      <c r="AR66" s="76"/>
      <c r="AS66" s="76"/>
      <c r="AT66" s="76"/>
      <c r="AU66" s="76"/>
      <c r="AV66" s="76"/>
      <c r="AW66" s="76"/>
      <c r="AX66" s="706"/>
      <c r="AY66" s="2"/>
      <c r="AZ66" s="705">
        <f ca="1">SUMIF($AR$7:AX$7,"&lt;="&amp;$I$7,AR66:AW66)</f>
        <v>0</v>
      </c>
      <c r="BA66" s="879"/>
      <c r="BB66" s="2"/>
      <c r="BC66" s="76"/>
      <c r="BD66" s="76"/>
      <c r="BE66" s="76"/>
      <c r="BF66" s="76"/>
      <c r="BG66" s="76"/>
      <c r="BH66" s="76"/>
      <c r="BI66" s="706"/>
      <c r="BJ66" s="2"/>
      <c r="BK66" s="705">
        <f ca="1">SUMIF($BC$7:BI$7,"&lt;="&amp;$I$7,BC66:BH66)</f>
        <v>0</v>
      </c>
      <c r="BL66" s="879"/>
      <c r="BM66" s="2"/>
      <c r="BN66" s="885"/>
      <c r="BO66" s="885"/>
      <c r="BP66" s="885"/>
      <c r="BQ66" s="879"/>
      <c r="BR66" s="2"/>
      <c r="BS66" s="885"/>
      <c r="BT66" s="885"/>
      <c r="BU66" s="885"/>
      <c r="BV66" s="885"/>
      <c r="BW66" s="1005"/>
      <c r="BX66" s="885"/>
      <c r="BY66" s="879"/>
      <c r="BZ66" s="2"/>
      <c r="CA66" s="885"/>
      <c r="CB66" s="885"/>
      <c r="CC66" s="2"/>
      <c r="CD66" s="504">
        <f>IFERROR(AVERAGEIF($V$7:AB$7,"&lt;="&amp;$I$7,V66:AB66),0)</f>
        <v>0</v>
      </c>
      <c r="CE66" s="2"/>
      <c r="CH66" s="93" t="str">
        <f t="shared" si="22"/>
        <v>Corte PNs + CL</v>
      </c>
    </row>
    <row r="67" spans="1:86" s="16" customFormat="1" ht="20.45" hidden="1" customHeight="1" outlineLevel="2">
      <c r="A67" s="74"/>
      <c r="B67" s="1089" t="s">
        <v>3881</v>
      </c>
      <c r="C67" s="1014" t="s">
        <v>36</v>
      </c>
      <c r="D67" s="2"/>
      <c r="E67" s="1004">
        <v>1287743.3389999999</v>
      </c>
      <c r="F67" s="2"/>
      <c r="G67" s="49" t="s">
        <v>37</v>
      </c>
      <c r="H67" s="705">
        <f t="shared" si="98"/>
        <v>0</v>
      </c>
      <c r="I67" s="878" t="str">
        <f t="shared" ref="I67" si="168">IF(H67=0,IF(H68&gt;0,1,"-"),IFERROR(H68/H67,"-"))</f>
        <v>-</v>
      </c>
      <c r="J67" s="2"/>
      <c r="K67" s="705"/>
      <c r="L67" s="705"/>
      <c r="M67" s="705"/>
      <c r="N67" s="705"/>
      <c r="O67" s="705"/>
      <c r="P67" s="705"/>
      <c r="Q67" s="705"/>
      <c r="R67" s="2"/>
      <c r="S67" s="705">
        <f ca="1">SUMIF($K$7:Q$7,"&lt;="&amp;$I$7,K67:P67)</f>
        <v>0</v>
      </c>
      <c r="T67" s="878" t="str">
        <f t="shared" ref="T67" ca="1" si="169">IFERROR((S68/S67),"-")</f>
        <v>-</v>
      </c>
      <c r="U67" s="2"/>
      <c r="V67" s="705"/>
      <c r="W67" s="705"/>
      <c r="X67" s="705"/>
      <c r="Y67" s="705"/>
      <c r="Z67" s="705"/>
      <c r="AA67" s="705"/>
      <c r="AB67" s="705"/>
      <c r="AC67" s="2"/>
      <c r="AD67" s="705">
        <f ca="1">SUMIF($V$7:AB$7,"&lt;="&amp;$I$7,V67:AA67)</f>
        <v>0</v>
      </c>
      <c r="AE67" s="878" t="str">
        <f t="shared" ref="AE67" ca="1" si="170">IFERROR((AD68/AD67),"-")</f>
        <v>-</v>
      </c>
      <c r="AF67" s="2"/>
      <c r="AG67" s="705"/>
      <c r="AH67" s="705"/>
      <c r="AI67" s="705"/>
      <c r="AJ67" s="705"/>
      <c r="AK67" s="705"/>
      <c r="AL67" s="705"/>
      <c r="AM67" s="705"/>
      <c r="AN67" s="2"/>
      <c r="AO67" s="705">
        <f ca="1">SUMIF($AG$7:AM$7,"&lt;="&amp;$I$7,AG67:AL67)</f>
        <v>0</v>
      </c>
      <c r="AP67" s="878" t="str">
        <f t="shared" ref="AP67" ca="1" si="171">IFERROR((AO68/AO67),"-")</f>
        <v>-</v>
      </c>
      <c r="AQ67" s="2"/>
      <c r="AR67" s="705"/>
      <c r="AS67" s="705"/>
      <c r="AT67" s="705"/>
      <c r="AU67" s="705"/>
      <c r="AV67" s="705"/>
      <c r="AW67" s="705"/>
      <c r="AX67" s="705"/>
      <c r="AY67" s="2"/>
      <c r="AZ67" s="705">
        <f ca="1">SUMIF($AR$7:AX$7,"&lt;="&amp;$I$7,AR67:AW67)</f>
        <v>0</v>
      </c>
      <c r="BA67" s="878" t="str">
        <f t="shared" ref="BA67" ca="1" si="172">IFERROR((AZ68/AZ67),"-")</f>
        <v>-</v>
      </c>
      <c r="BB67" s="2"/>
      <c r="BC67" s="705"/>
      <c r="BD67" s="705"/>
      <c r="BE67" s="705"/>
      <c r="BF67" s="705"/>
      <c r="BG67" s="705"/>
      <c r="BH67" s="705"/>
      <c r="BI67" s="705"/>
      <c r="BJ67" s="2"/>
      <c r="BK67" s="705">
        <f ca="1">SUMIF($BC$7:BI$7,"&lt;="&amp;$I$7,BC67:BH67)</f>
        <v>0</v>
      </c>
      <c r="BL67" s="878" t="str">
        <f t="shared" ref="BL67" ca="1" si="173">IFERROR((BK68/BK67),"-")</f>
        <v>-</v>
      </c>
      <c r="BM67" s="2"/>
      <c r="BN67" s="884">
        <v>0</v>
      </c>
      <c r="BO67" s="884">
        <v>0</v>
      </c>
      <c r="BP67" s="884">
        <f>SUM(M68:P68,V68:AB68,AG68:AM68,AR68:AX68,BC68:BI68)</f>
        <v>0</v>
      </c>
      <c r="BQ67" s="878" t="str">
        <f>IF(AND(BO67=0,BP67=0),"-",IF(BO67=0,1,BP67/BO67))</f>
        <v>-</v>
      </c>
      <c r="BR67" s="2"/>
      <c r="BS67" s="884">
        <f>1129643.82+158.099+117324+18041.42</f>
        <v>1265167.3389999999</v>
      </c>
      <c r="BT67" s="884"/>
      <c r="BU67" s="884">
        <f ca="1">E67+S68+AD68+AO68+AZ68+BK68</f>
        <v>1287743.3389999999</v>
      </c>
      <c r="BV67" s="884">
        <v>104</v>
      </c>
      <c r="BW67" s="1004">
        <f ca="1">IFERROR((BU67/BV67),"-")</f>
        <v>12382.147490384614</v>
      </c>
      <c r="BX67" s="884">
        <v>0</v>
      </c>
      <c r="BY67" s="878" t="str">
        <f ca="1">IFERROR((BU67/BX67),"-")</f>
        <v>-</v>
      </c>
      <c r="BZ67" s="2"/>
      <c r="CA67" s="884">
        <f>2131608.82-303530</f>
        <v>1828078.8199999998</v>
      </c>
      <c r="CB67" s="884">
        <f ca="1">CA67-BU67-BU69</f>
        <v>539146.48099999991</v>
      </c>
      <c r="CC67" s="2"/>
      <c r="CD67" s="504">
        <f>IFERROR(AVERAGEIF($V$7:AB$7,"&lt;="&amp;$I$7,V67:AB67),0)</f>
        <v>0</v>
      </c>
      <c r="CE67" s="2"/>
      <c r="CH67" s="93" t="str">
        <f t="shared" si="22"/>
        <v>Acumulado de cortes - AE até BM22 + REMOÇÃO DE SOLO</v>
      </c>
    </row>
    <row r="68" spans="1:86" s="16" customFormat="1" ht="15.95" hidden="1" customHeight="1" outlineLevel="2">
      <c r="A68" s="74"/>
      <c r="B68" s="1090"/>
      <c r="C68" s="1034"/>
      <c r="D68" s="2"/>
      <c r="E68" s="1024"/>
      <c r="F68" s="2"/>
      <c r="G68" s="50" t="s">
        <v>38</v>
      </c>
      <c r="H68" s="705">
        <f t="shared" si="98"/>
        <v>0</v>
      </c>
      <c r="I68" s="879"/>
      <c r="J68" s="2"/>
      <c r="K68" s="76"/>
      <c r="L68" s="76"/>
      <c r="M68" s="76"/>
      <c r="N68" s="76"/>
      <c r="O68" s="76"/>
      <c r="P68" s="76"/>
      <c r="Q68" s="706"/>
      <c r="R68" s="2"/>
      <c r="S68" s="705">
        <f ca="1">SUMIF($K$7:Q$7,"&lt;="&amp;$I$7,K68:P68)</f>
        <v>0</v>
      </c>
      <c r="T68" s="879"/>
      <c r="U68" s="2"/>
      <c r="V68" s="76"/>
      <c r="W68" s="76"/>
      <c r="X68" s="76"/>
      <c r="Y68" s="76"/>
      <c r="Z68" s="76"/>
      <c r="AA68" s="76"/>
      <c r="AB68" s="706"/>
      <c r="AC68" s="2"/>
      <c r="AD68" s="705">
        <f ca="1">SUMIF($V$7:AB$7,"&lt;="&amp;$I$7,V68:AA68)</f>
        <v>0</v>
      </c>
      <c r="AE68" s="879"/>
      <c r="AF68" s="2"/>
      <c r="AG68" s="76"/>
      <c r="AH68" s="76"/>
      <c r="AI68" s="76"/>
      <c r="AJ68" s="76"/>
      <c r="AK68" s="76"/>
      <c r="AL68" s="76"/>
      <c r="AM68" s="706"/>
      <c r="AN68" s="2"/>
      <c r="AO68" s="705">
        <f ca="1">SUMIF($AG$7:AM$7,"&lt;="&amp;$I$7,AG68:AL68)</f>
        <v>0</v>
      </c>
      <c r="AP68" s="879"/>
      <c r="AQ68" s="2"/>
      <c r="AR68" s="76"/>
      <c r="AS68" s="76"/>
      <c r="AT68" s="76"/>
      <c r="AU68" s="76"/>
      <c r="AV68" s="76"/>
      <c r="AW68" s="76"/>
      <c r="AX68" s="706"/>
      <c r="AY68" s="2"/>
      <c r="AZ68" s="705">
        <f ca="1">SUMIF($AR$7:AX$7,"&lt;="&amp;$I$7,AR68:AW68)</f>
        <v>0</v>
      </c>
      <c r="BA68" s="879"/>
      <c r="BB68" s="2"/>
      <c r="BC68" s="76"/>
      <c r="BD68" s="76"/>
      <c r="BE68" s="76"/>
      <c r="BF68" s="76"/>
      <c r="BG68" s="76"/>
      <c r="BH68" s="76"/>
      <c r="BI68" s="706"/>
      <c r="BJ68" s="2"/>
      <c r="BK68" s="705">
        <f ca="1">SUMIF($BC$7:BI$7,"&lt;="&amp;$I$7,BC68:BH68)</f>
        <v>0</v>
      </c>
      <c r="BL68" s="879"/>
      <c r="BM68" s="2"/>
      <c r="BN68" s="885"/>
      <c r="BO68" s="885"/>
      <c r="BP68" s="885"/>
      <c r="BQ68" s="879"/>
      <c r="BR68" s="2"/>
      <c r="BS68" s="885"/>
      <c r="BT68" s="885"/>
      <c r="BU68" s="885"/>
      <c r="BV68" s="885"/>
      <c r="BW68" s="1005"/>
      <c r="BX68" s="885"/>
      <c r="BY68" s="879"/>
      <c r="BZ68" s="2"/>
      <c r="CA68" s="885"/>
      <c r="CB68" s="885"/>
      <c r="CC68" s="2"/>
      <c r="CD68" s="504">
        <f>IFERROR(AVERAGEIF($V$7:AB$7,"&lt;="&amp;$I$7,V68:AB68),0)</f>
        <v>0</v>
      </c>
      <c r="CE68" s="2"/>
      <c r="CH68" s="93" t="str">
        <f t="shared" si="22"/>
        <v>Acumulado de cortes - AE até BM22 + REMOÇÃO DE SOLO</v>
      </c>
    </row>
    <row r="69" spans="1:86" s="16" customFormat="1" ht="20.45" hidden="1" customHeight="1" outlineLevel="2">
      <c r="A69" s="74"/>
      <c r="B69" s="1089" t="s">
        <v>3882</v>
      </c>
      <c r="C69" s="1014" t="s">
        <v>36</v>
      </c>
      <c r="D69" s="2"/>
      <c r="E69" s="1004">
        <v>1189</v>
      </c>
      <c r="F69" s="2"/>
      <c r="G69" s="49" t="s">
        <v>37</v>
      </c>
      <c r="H69" s="705">
        <f t="shared" si="98"/>
        <v>0</v>
      </c>
      <c r="I69" s="878" t="str">
        <f t="shared" ref="I69" si="174">IF(H69=0,IF(H70&gt;0,1,"-"),IFERROR(H70/H69,"-"))</f>
        <v>-</v>
      </c>
      <c r="J69" s="2"/>
      <c r="K69" s="705"/>
      <c r="L69" s="705"/>
      <c r="M69" s="705"/>
      <c r="N69" s="705"/>
      <c r="O69" s="705"/>
      <c r="P69" s="705"/>
      <c r="Q69" s="705"/>
      <c r="R69" s="2"/>
      <c r="S69" s="705">
        <f ca="1">SUMIF($K$7:Q$7,"&lt;="&amp;$I$7,K69:P69)</f>
        <v>0</v>
      </c>
      <c r="T69" s="878" t="str">
        <f t="shared" ref="T69" ca="1" si="175">IFERROR((S70/S69),"-")</f>
        <v>-</v>
      </c>
      <c r="U69" s="2"/>
      <c r="V69" s="705"/>
      <c r="W69" s="705"/>
      <c r="X69" s="705"/>
      <c r="Y69" s="705"/>
      <c r="Z69" s="705"/>
      <c r="AA69" s="705"/>
      <c r="AB69" s="705"/>
      <c r="AC69" s="2"/>
      <c r="AD69" s="705">
        <f ca="1">SUMIF($V$7:AB$7,"&lt;="&amp;$I$7,V69:AA69)</f>
        <v>0</v>
      </c>
      <c r="AE69" s="878" t="str">
        <f t="shared" ref="AE69" ca="1" si="176">IFERROR((AD70/AD69),"-")</f>
        <v>-</v>
      </c>
      <c r="AF69" s="2"/>
      <c r="AG69" s="705"/>
      <c r="AH69" s="705"/>
      <c r="AI69" s="705"/>
      <c r="AJ69" s="705"/>
      <c r="AK69" s="705"/>
      <c r="AL69" s="705"/>
      <c r="AM69" s="705"/>
      <c r="AN69" s="2"/>
      <c r="AO69" s="705">
        <f ca="1">SUMIF($AG$7:AM$7,"&lt;="&amp;$I$7,AG69:AL69)</f>
        <v>0</v>
      </c>
      <c r="AP69" s="878" t="str">
        <f t="shared" ref="AP69" ca="1" si="177">IFERROR((AO70/AO69),"-")</f>
        <v>-</v>
      </c>
      <c r="AQ69" s="2"/>
      <c r="AR69" s="705"/>
      <c r="AS69" s="705"/>
      <c r="AT69" s="705"/>
      <c r="AU69" s="705"/>
      <c r="AV69" s="705"/>
      <c r="AW69" s="705"/>
      <c r="AX69" s="705"/>
      <c r="AY69" s="2"/>
      <c r="AZ69" s="705">
        <f ca="1">SUMIF($AR$7:AX$7,"&lt;="&amp;$I$7,AR69:AW69)</f>
        <v>0</v>
      </c>
      <c r="BA69" s="878" t="str">
        <f t="shared" ref="BA69" ca="1" si="178">IFERROR((AZ70/AZ69),"-")</f>
        <v>-</v>
      </c>
      <c r="BB69" s="2"/>
      <c r="BC69" s="705"/>
      <c r="BD69" s="705"/>
      <c r="BE69" s="705"/>
      <c r="BF69" s="705"/>
      <c r="BG69" s="705"/>
      <c r="BH69" s="705"/>
      <c r="BI69" s="705"/>
      <c r="BJ69" s="2"/>
      <c r="BK69" s="705">
        <f ca="1">SUMIF($BC$7:BI$7,"&lt;="&amp;$I$7,BC69:BH69)</f>
        <v>0</v>
      </c>
      <c r="BL69" s="878" t="str">
        <f t="shared" ref="BL69" ca="1" si="179">IFERROR((BK70/BK69),"-")</f>
        <v>-</v>
      </c>
      <c r="BM69" s="2"/>
      <c r="BN69" s="884">
        <v>0</v>
      </c>
      <c r="BO69" s="884">
        <v>0</v>
      </c>
      <c r="BP69" s="884">
        <f>SUM(M70:P70,V70:AB70,AG70:AM70,AR70:AX70,BC70:BI70)</f>
        <v>0</v>
      </c>
      <c r="BQ69" s="878" t="str">
        <f>IF(AND(BO69=0,BP69=0),"-",IF(BO69=0,1,BP69/BO69))</f>
        <v>-</v>
      </c>
      <c r="BR69" s="2"/>
      <c r="BS69" s="884"/>
      <c r="BT69" s="884"/>
      <c r="BU69" s="884">
        <f ca="1">E69+S70+AD70+AO70+AZ70+BK70</f>
        <v>1189</v>
      </c>
      <c r="BV69" s="884">
        <v>104</v>
      </c>
      <c r="BW69" s="1004">
        <f ca="1">IFERROR((BU69/BV69),"-")</f>
        <v>11.432692307692308</v>
      </c>
      <c r="BX69" s="884">
        <v>0</v>
      </c>
      <c r="BY69" s="878" t="str">
        <f ca="1">IFERROR((BU69/BX69),"-")</f>
        <v>-</v>
      </c>
      <c r="BZ69" s="2"/>
      <c r="CA69" s="884"/>
      <c r="CB69" s="884"/>
      <c r="CC69" s="2"/>
      <c r="CD69" s="504">
        <f>IFERROR(AVERAGEIF($V$7:AB$7,"&lt;="&amp;$I$7,V69:AB69),0)</f>
        <v>0</v>
      </c>
      <c r="CE69" s="2"/>
      <c r="CH69" s="93" t="str">
        <f t="shared" si="22"/>
        <v>CX 03</v>
      </c>
    </row>
    <row r="70" spans="1:86" s="16" customFormat="1" ht="15.95" hidden="1" customHeight="1" outlineLevel="2">
      <c r="A70" s="74"/>
      <c r="B70" s="1090"/>
      <c r="C70" s="1034"/>
      <c r="D70" s="2"/>
      <c r="E70" s="1024"/>
      <c r="F70" s="2"/>
      <c r="G70" s="50" t="s">
        <v>38</v>
      </c>
      <c r="H70" s="705">
        <f t="shared" si="98"/>
        <v>0</v>
      </c>
      <c r="I70" s="879"/>
      <c r="J70" s="2"/>
      <c r="K70" s="76"/>
      <c r="L70" s="76"/>
      <c r="M70" s="76"/>
      <c r="N70" s="76"/>
      <c r="O70" s="76"/>
      <c r="P70" s="76"/>
      <c r="Q70" s="706"/>
      <c r="R70" s="2"/>
      <c r="S70" s="705">
        <f ca="1">SUMIF($K$7:Q$7,"&lt;="&amp;$I$7,K70:P70)</f>
        <v>0</v>
      </c>
      <c r="T70" s="879"/>
      <c r="U70" s="2"/>
      <c r="V70" s="76"/>
      <c r="W70" s="76"/>
      <c r="X70" s="76"/>
      <c r="Y70" s="76"/>
      <c r="Z70" s="76"/>
      <c r="AA70" s="76"/>
      <c r="AB70" s="706"/>
      <c r="AC70" s="2"/>
      <c r="AD70" s="705">
        <f ca="1">SUMIF($V$7:AB$7,"&lt;="&amp;$I$7,V70:AA70)</f>
        <v>0</v>
      </c>
      <c r="AE70" s="879"/>
      <c r="AF70" s="2"/>
      <c r="AG70" s="76"/>
      <c r="AH70" s="76"/>
      <c r="AI70" s="76"/>
      <c r="AJ70" s="76"/>
      <c r="AK70" s="76"/>
      <c r="AL70" s="76"/>
      <c r="AM70" s="706"/>
      <c r="AN70" s="2"/>
      <c r="AO70" s="705">
        <f ca="1">SUMIF($AG$7:AM$7,"&lt;="&amp;$I$7,AG70:AL70)</f>
        <v>0</v>
      </c>
      <c r="AP70" s="879"/>
      <c r="AQ70" s="2"/>
      <c r="AR70" s="76"/>
      <c r="AS70" s="76"/>
      <c r="AT70" s="76"/>
      <c r="AU70" s="76"/>
      <c r="AV70" s="76"/>
      <c r="AW70" s="76"/>
      <c r="AX70" s="706"/>
      <c r="AY70" s="2"/>
      <c r="AZ70" s="705">
        <f ca="1">SUMIF($AR$7:AX$7,"&lt;="&amp;$I$7,AR70:AW70)</f>
        <v>0</v>
      </c>
      <c r="BA70" s="879"/>
      <c r="BB70" s="2"/>
      <c r="BC70" s="76"/>
      <c r="BD70" s="76"/>
      <c r="BE70" s="76"/>
      <c r="BF70" s="76"/>
      <c r="BG70" s="76"/>
      <c r="BH70" s="76"/>
      <c r="BI70" s="706"/>
      <c r="BJ70" s="2"/>
      <c r="BK70" s="705">
        <f ca="1">SUMIF($BC$7:BI$7,"&lt;="&amp;$I$7,BC70:BH70)</f>
        <v>0</v>
      </c>
      <c r="BL70" s="879"/>
      <c r="BM70" s="2"/>
      <c r="BN70" s="885"/>
      <c r="BO70" s="885"/>
      <c r="BP70" s="885"/>
      <c r="BQ70" s="879"/>
      <c r="BR70" s="2"/>
      <c r="BS70" s="885"/>
      <c r="BT70" s="885"/>
      <c r="BU70" s="885"/>
      <c r="BV70" s="885"/>
      <c r="BW70" s="1005"/>
      <c r="BX70" s="885"/>
      <c r="BY70" s="879"/>
      <c r="BZ70" s="2"/>
      <c r="CA70" s="885"/>
      <c r="CB70" s="885"/>
      <c r="CC70" s="2"/>
      <c r="CD70" s="504">
        <f>IFERROR(AVERAGEIF($V$7:AB$7,"&lt;="&amp;$I$7,V70:AB70),0)</f>
        <v>0</v>
      </c>
      <c r="CE70" s="2"/>
      <c r="CH70" s="93" t="str">
        <f t="shared" si="22"/>
        <v>CX 03</v>
      </c>
    </row>
    <row r="71" spans="1:86" s="44" customFormat="1" ht="24" hidden="1" customHeight="1" collapsed="1">
      <c r="A71" s="69"/>
      <c r="B71" s="3"/>
      <c r="C71"/>
      <c r="D71" s="3"/>
      <c r="E71"/>
      <c r="F71" s="3"/>
      <c r="G71"/>
      <c r="H71" s="58"/>
      <c r="I71"/>
      <c r="J71" s="3"/>
      <c r="K71" s="37"/>
      <c r="L71" s="37"/>
      <c r="M71" s="37"/>
      <c r="N71" s="37"/>
      <c r="O71" s="37"/>
      <c r="P71" s="37"/>
      <c r="Q71" s="37"/>
      <c r="R71" s="3"/>
      <c r="S71" s="37"/>
      <c r="T71" s="3"/>
      <c r="U71" s="3"/>
      <c r="V71" s="37"/>
      <c r="W71" s="37"/>
      <c r="X71" s="37"/>
      <c r="Y71" s="37"/>
      <c r="Z71" s="37"/>
      <c r="AA71" s="37"/>
      <c r="AB71" s="37"/>
      <c r="AC71" s="3"/>
      <c r="AD71" s="37"/>
      <c r="AE71" s="3"/>
      <c r="AF71" s="3"/>
      <c r="AG71" s="37"/>
      <c r="AH71" s="37"/>
      <c r="AI71" s="37"/>
      <c r="AJ71" s="37"/>
      <c r="AK71" s="37"/>
      <c r="AL71" s="37"/>
      <c r="AM71" s="37"/>
      <c r="AN71" s="3"/>
      <c r="AO71" s="37"/>
      <c r="AP71" s="3"/>
      <c r="AQ71" s="3"/>
      <c r="AR71" s="37"/>
      <c r="AS71" s="37"/>
      <c r="AT71" s="37"/>
      <c r="AU71" s="37"/>
      <c r="AV71" s="37"/>
      <c r="AW71" s="37"/>
      <c r="AX71" s="37"/>
      <c r="AY71" s="3"/>
      <c r="AZ71" s="37"/>
      <c r="BA71" s="3"/>
      <c r="BB71" s="3"/>
      <c r="BC71" s="37"/>
      <c r="BD71" s="37"/>
      <c r="BE71" s="37"/>
      <c r="BF71" s="37"/>
      <c r="BG71" s="37"/>
      <c r="BH71" s="37"/>
      <c r="BI71" s="37"/>
      <c r="BJ71" s="3"/>
      <c r="BK71" s="37"/>
      <c r="BL71" s="3"/>
      <c r="BM71" s="3"/>
      <c r="BN71" s="35"/>
      <c r="BO71" s="35"/>
      <c r="BP71" s="35"/>
      <c r="BQ71" s="3"/>
      <c r="BR71" s="3"/>
      <c r="BS71" s="35"/>
      <c r="BT71" s="35"/>
      <c r="BU71" s="35"/>
      <c r="BV71" s="35"/>
      <c r="BW71" s="35"/>
      <c r="BX71" s="35"/>
      <c r="BY71" s="3"/>
      <c r="BZ71" s="3"/>
      <c r="CA71" s="35"/>
      <c r="CB71" s="35"/>
      <c r="CC71" s="3"/>
      <c r="CD71" s="19"/>
      <c r="CE71" s="3"/>
      <c r="CH71" s="93" t="str">
        <f t="shared" si="22"/>
        <v>CX 03</v>
      </c>
    </row>
    <row r="72" spans="1:86" s="44" customFormat="1" ht="12.95" customHeight="1">
      <c r="A72" s="69"/>
      <c r="B72" s="3"/>
      <c r="C72" s="3"/>
      <c r="D72" s="3"/>
      <c r="E72" s="3"/>
      <c r="F72" s="3"/>
      <c r="G72" s="3"/>
      <c r="H72" s="36"/>
      <c r="I72" s="3"/>
      <c r="J72" s="3"/>
      <c r="K72" s="37"/>
      <c r="L72" s="37"/>
      <c r="M72" s="37"/>
      <c r="N72" s="37"/>
      <c r="O72" s="37"/>
      <c r="P72" s="37"/>
      <c r="Q72" s="37"/>
      <c r="R72" s="3"/>
      <c r="S72" s="37"/>
      <c r="T72" s="3"/>
      <c r="U72" s="3"/>
      <c r="V72" s="37"/>
      <c r="W72" s="37"/>
      <c r="X72" s="37"/>
      <c r="Y72" s="37"/>
      <c r="Z72" s="37"/>
      <c r="AA72" s="37"/>
      <c r="AB72" s="37"/>
      <c r="AC72" s="3"/>
      <c r="AD72" s="37"/>
      <c r="AE72" s="3"/>
      <c r="AF72" s="3"/>
      <c r="AG72" s="37"/>
      <c r="AH72" s="37"/>
      <c r="AI72" s="37"/>
      <c r="AJ72" s="37"/>
      <c r="AK72" s="37"/>
      <c r="AL72" s="37"/>
      <c r="AM72" s="37"/>
      <c r="AN72" s="3"/>
      <c r="AO72" s="37"/>
      <c r="AP72" s="3"/>
      <c r="AQ72" s="3"/>
      <c r="AR72" s="37"/>
      <c r="AS72" s="37"/>
      <c r="AT72" s="37"/>
      <c r="AU72" s="37"/>
      <c r="AV72" s="37"/>
      <c r="AW72" s="37"/>
      <c r="AX72" s="37"/>
      <c r="AY72" s="3"/>
      <c r="AZ72" s="37"/>
      <c r="BA72" s="3"/>
      <c r="BB72" s="3"/>
      <c r="BC72" s="37"/>
      <c r="BD72" s="37"/>
      <c r="BE72" s="37"/>
      <c r="BF72" s="37"/>
      <c r="BG72" s="37"/>
      <c r="BH72" s="37"/>
      <c r="BI72" s="37"/>
      <c r="BJ72" s="3"/>
      <c r="BK72" s="37"/>
      <c r="BL72" s="3"/>
      <c r="BM72" s="3"/>
      <c r="BN72" s="35"/>
      <c r="BO72" s="36"/>
      <c r="BP72" s="35"/>
      <c r="BQ72" s="3"/>
      <c r="BR72" s="3"/>
      <c r="BS72" s="36"/>
      <c r="BT72" s="36"/>
      <c r="BU72" s="36"/>
      <c r="BV72" s="36"/>
      <c r="BW72" s="36"/>
      <c r="BX72" s="36"/>
      <c r="BY72" s="3"/>
      <c r="BZ72" s="3"/>
      <c r="CA72" s="36"/>
      <c r="CB72" s="36"/>
      <c r="CC72" s="3"/>
      <c r="CD72" s="19"/>
      <c r="CE72" s="3"/>
      <c r="CH72" s="93" t="str">
        <f t="shared" si="22"/>
        <v>CX 03</v>
      </c>
    </row>
    <row r="73" spans="1:86" ht="20.25" customHeight="1">
      <c r="A73" s="70" t="s">
        <v>3883</v>
      </c>
      <c r="B73" s="848" t="s">
        <v>3884</v>
      </c>
      <c r="C73" s="761" t="s">
        <v>36</v>
      </c>
      <c r="D73" s="40"/>
      <c r="E73" s="1093">
        <v>3118488.3</v>
      </c>
      <c r="F73" s="40"/>
      <c r="G73" s="41" t="s">
        <v>37</v>
      </c>
      <c r="H73" s="43">
        <f>SUMIF($K$7:$BI$7,$I$7,K73:BI73)</f>
        <v>20449.398496240603</v>
      </c>
      <c r="I73" s="878">
        <f>IF(H73=0,IF(H74&gt;0,1,"-"),IFERROR(H74/H73,"-"))</f>
        <v>0.76158963809439761</v>
      </c>
      <c r="J73" s="40"/>
      <c r="K73" s="71">
        <f>K77+K93+K113</f>
        <v>12782.796992481202</v>
      </c>
      <c r="L73" s="71">
        <f t="shared" ref="L73:Q73" si="180">L77+L93+L113</f>
        <v>19322.255639097741</v>
      </c>
      <c r="M73" s="71">
        <f t="shared" si="180"/>
        <v>19322.255639097741</v>
      </c>
      <c r="N73" s="71">
        <f t="shared" si="180"/>
        <v>19322.255639097741</v>
      </c>
      <c r="O73" s="71">
        <f t="shared" si="180"/>
        <v>19322.255639097741</v>
      </c>
      <c r="P73" s="71">
        <f t="shared" si="180"/>
        <v>19322.255639097741</v>
      </c>
      <c r="Q73" s="42">
        <f t="shared" si="180"/>
        <v>0</v>
      </c>
      <c r="R73" s="40"/>
      <c r="S73" s="43">
        <f ca="1">SUMIF($K$7:Q$7,"&lt;="&amp;$I$7,K73:P73)</f>
        <v>109394.07518796991</v>
      </c>
      <c r="T73" s="762">
        <f t="shared" ref="T73" ca="1" si="181">IFERROR((S74/S73),"-")</f>
        <v>0.79851342652197921</v>
      </c>
      <c r="U73" s="40"/>
      <c r="V73" s="71">
        <f>V77+V93+V113+V119</f>
        <v>20529.398496240603</v>
      </c>
      <c r="W73" s="71">
        <f t="shared" ref="W73:AA74" si="182">W77+W93+W113+W119</f>
        <v>20529.398496240603</v>
      </c>
      <c r="X73" s="71">
        <f t="shared" si="182"/>
        <v>20529.398496240603</v>
      </c>
      <c r="Y73" s="71">
        <f t="shared" si="182"/>
        <v>20529.398496240603</v>
      </c>
      <c r="Z73" s="71">
        <f t="shared" si="182"/>
        <v>20529.398496240603</v>
      </c>
      <c r="AA73" s="71">
        <f t="shared" si="182"/>
        <v>20529.398496240603</v>
      </c>
      <c r="AB73" s="42">
        <f t="shared" ref="AB73:AB74" si="183">AB77+AB93+AB113</f>
        <v>0</v>
      </c>
      <c r="AC73" s="40"/>
      <c r="AD73" s="43">
        <f ca="1">SUMIF($V$7:AB$7,"&lt;="&amp;$I$7,V73:AA73)</f>
        <v>123176.39097744363</v>
      </c>
      <c r="AE73" s="762">
        <f t="shared" ref="AE73" ca="1" si="184">IFERROR((AD74/AD73),"-")</f>
        <v>0.71795487185685158</v>
      </c>
      <c r="AF73" s="40"/>
      <c r="AG73" s="71">
        <f>AG77+AG93+AG113+AG119</f>
        <v>20449.398496240603</v>
      </c>
      <c r="AH73" s="71">
        <f t="shared" ref="AH73:AL74" si="185">AH77+AH93+AH113+AH119</f>
        <v>20449.398496240603</v>
      </c>
      <c r="AI73" s="71">
        <f t="shared" si="185"/>
        <v>20449.398496240603</v>
      </c>
      <c r="AJ73" s="71">
        <f t="shared" si="185"/>
        <v>20449.398496240603</v>
      </c>
      <c r="AK73" s="71">
        <f t="shared" si="185"/>
        <v>20449.398496240603</v>
      </c>
      <c r="AL73" s="71">
        <f t="shared" si="185"/>
        <v>20449.398496240603</v>
      </c>
      <c r="AM73" s="42">
        <f t="shared" ref="AM73:AM74" si="186">AM77+AM93+AM113</f>
        <v>0</v>
      </c>
      <c r="AN73" s="40"/>
      <c r="AO73" s="43">
        <f ca="1">SUMIF($AG$7:AM$7,"&lt;="&amp;$I$7,AG73:AL73)</f>
        <v>40898.796992481206</v>
      </c>
      <c r="AP73" s="762">
        <f t="shared" ref="AP73" ca="1" si="187">IFERROR((AO74/AO73),"-")</f>
        <v>0.7586484757902322</v>
      </c>
      <c r="AQ73" s="40"/>
      <c r="AR73" s="71">
        <f t="shared" ref="AR73:AX74" si="188">AR77+AR93+AR113</f>
        <v>0</v>
      </c>
      <c r="AS73" s="71">
        <f t="shared" si="188"/>
        <v>0</v>
      </c>
      <c r="AT73" s="71">
        <f t="shared" si="188"/>
        <v>0</v>
      </c>
      <c r="AU73" s="71">
        <f t="shared" si="188"/>
        <v>0</v>
      </c>
      <c r="AV73" s="71">
        <f t="shared" si="188"/>
        <v>0</v>
      </c>
      <c r="AW73" s="71">
        <f t="shared" si="188"/>
        <v>0</v>
      </c>
      <c r="AX73" s="42">
        <f t="shared" si="188"/>
        <v>0</v>
      </c>
      <c r="AY73" s="40"/>
      <c r="AZ73" s="43">
        <f ca="1">SUMIF($AR$7:AX$7,"&lt;="&amp;$I$7,AR73:AW73)</f>
        <v>0</v>
      </c>
      <c r="BA73" s="762" t="str">
        <f t="shared" ref="BA73" ca="1" si="189">IFERROR((AZ74/AZ73),"-")</f>
        <v>-</v>
      </c>
      <c r="BB73" s="40"/>
      <c r="BC73" s="71">
        <f t="shared" ref="BC73:BI74" si="190">BC77+BC93+BC113</f>
        <v>0</v>
      </c>
      <c r="BD73" s="71">
        <f t="shared" si="190"/>
        <v>0</v>
      </c>
      <c r="BE73" s="71">
        <f t="shared" si="190"/>
        <v>0</v>
      </c>
      <c r="BF73" s="71">
        <f t="shared" si="190"/>
        <v>0</v>
      </c>
      <c r="BG73" s="71">
        <f t="shared" si="190"/>
        <v>0</v>
      </c>
      <c r="BH73" s="71">
        <f t="shared" si="190"/>
        <v>0</v>
      </c>
      <c r="BI73" s="42">
        <f t="shared" si="190"/>
        <v>0</v>
      </c>
      <c r="BJ73" s="40"/>
      <c r="BK73" s="43">
        <f ca="1">SUMIF($BC$7:BI$7,"&lt;="&amp;$I$7,BC73:BH73)</f>
        <v>0</v>
      </c>
      <c r="BL73" s="762" t="str">
        <f t="shared" ref="BL73" ca="1" si="191">IFERROR((BK74/BK73),"-")</f>
        <v>-</v>
      </c>
      <c r="BM73" s="40"/>
      <c r="BN73" s="909">
        <v>483940.62999999995</v>
      </c>
      <c r="BO73" s="909">
        <v>215084.72444444438</v>
      </c>
      <c r="BP73" s="910">
        <f>SUM(M74:Q74,V74:AB74,AG74:AM74,AR74:AX74,BC74:BI74)</f>
        <v>172841.09781954889</v>
      </c>
      <c r="BQ73" s="878">
        <f>IF(BO73=0,IF(BP73&gt;0,1,"-"),IFERROR(BP73/BO73,"-"))</f>
        <v>0.80359541230085418</v>
      </c>
      <c r="BR73" s="40"/>
      <c r="BS73" s="909">
        <v>2599791</v>
      </c>
      <c r="BT73" s="909"/>
      <c r="BU73" s="909">
        <f ca="1">E73+S74+AD74++AO74+AX74+BK74-K74-L74</f>
        <v>3291329.3978195488</v>
      </c>
      <c r="BV73" s="909">
        <v>370</v>
      </c>
      <c r="BW73" s="1030">
        <f ca="1">IFERROR((BU73/BV73),"-")</f>
        <v>8895.4848589717531</v>
      </c>
      <c r="BX73" s="909">
        <v>3321705.4081710894</v>
      </c>
      <c r="BY73" s="1032">
        <f ca="1">IFERROR((BU73/BX73),"-")</f>
        <v>0.99085529671691586</v>
      </c>
      <c r="BZ73" s="40"/>
      <c r="CA73" s="909">
        <v>4651600</v>
      </c>
      <c r="CB73" s="909">
        <f ca="1">CA73-BU73</f>
        <v>1360270.6021804512</v>
      </c>
      <c r="CC73" s="40"/>
      <c r="CD73" s="43">
        <f>IFERROR(AVERAGEIF($V$7:AB$7,"&lt;="&amp;$I$7,V73:AB73),0)</f>
        <v>17596.627282491947</v>
      </c>
      <c r="CE73" s="40"/>
      <c r="CH73" s="93" t="str">
        <f t="shared" ref="CH73:CH136" si="192">IF(B73&lt;&gt;"",B73,CH72)</f>
        <v xml:space="preserve">Aterro e Compactação </v>
      </c>
    </row>
    <row r="74" spans="1:86" ht="20.25" customHeight="1">
      <c r="A74" s="70"/>
      <c r="B74" s="1066"/>
      <c r="C74" s="761"/>
      <c r="D74" s="40"/>
      <c r="E74" s="1094"/>
      <c r="F74" s="40"/>
      <c r="G74" s="45" t="s">
        <v>38</v>
      </c>
      <c r="H74" s="43">
        <f>SUMIF($K$7:$BI$7,$I$7,K74:BI74)</f>
        <v>15574.05</v>
      </c>
      <c r="I74" s="879"/>
      <c r="J74" s="40"/>
      <c r="K74" s="72">
        <f>K78+K94+K114+K120</f>
        <v>17840.21</v>
      </c>
      <c r="L74" s="72">
        <f t="shared" ref="L74:P74" si="193">L78+L94+L114+L120</f>
        <v>16134.23</v>
      </c>
      <c r="M74" s="72">
        <f t="shared" si="193"/>
        <v>14649.62</v>
      </c>
      <c r="N74" s="72">
        <f t="shared" si="193"/>
        <v>14674.060000000001</v>
      </c>
      <c r="O74" s="72">
        <f t="shared" si="193"/>
        <v>12501.127819548872</v>
      </c>
      <c r="P74" s="72">
        <f t="shared" si="193"/>
        <v>11553.390000000001</v>
      </c>
      <c r="Q74" s="72">
        <f>Q78+Q94+Q114</f>
        <v>0</v>
      </c>
      <c r="R74" s="40"/>
      <c r="S74" s="43">
        <f>SUMIF($K$7:Q$7,"&lt;="&amp;$I$7,K74:Q74)</f>
        <v>87352.63781954888</v>
      </c>
      <c r="T74" s="763"/>
      <c r="U74" s="40"/>
      <c r="V74" s="72">
        <f>V78+V94+V114+V120</f>
        <v>14626.31</v>
      </c>
      <c r="W74" s="72">
        <f t="shared" si="182"/>
        <v>15072.93</v>
      </c>
      <c r="X74" s="72">
        <f t="shared" si="182"/>
        <v>14513.64</v>
      </c>
      <c r="Y74" s="72">
        <f t="shared" si="182"/>
        <v>16665.810000000001</v>
      </c>
      <c r="Z74" s="72">
        <f t="shared" si="182"/>
        <v>15381.58</v>
      </c>
      <c r="AA74" s="72">
        <f t="shared" si="182"/>
        <v>12174.82</v>
      </c>
      <c r="AB74" s="43">
        <f t="shared" si="183"/>
        <v>0</v>
      </c>
      <c r="AC74" s="40"/>
      <c r="AD74" s="140">
        <f ca="1">SUMIF($V$7:AB$7,"&lt;="&amp;$I$7,V74:AA74)</f>
        <v>88435.09</v>
      </c>
      <c r="AE74" s="763"/>
      <c r="AF74" s="40"/>
      <c r="AG74" s="72">
        <f>AG78+AG94+AG114+AG120</f>
        <v>15453.759999999998</v>
      </c>
      <c r="AH74" s="72">
        <f t="shared" si="185"/>
        <v>15574.05</v>
      </c>
      <c r="AI74" s="72">
        <f t="shared" si="185"/>
        <v>0</v>
      </c>
      <c r="AJ74" s="72">
        <f t="shared" si="185"/>
        <v>0</v>
      </c>
      <c r="AK74" s="72">
        <f t="shared" si="185"/>
        <v>0</v>
      </c>
      <c r="AL74" s="72">
        <f t="shared" si="185"/>
        <v>0</v>
      </c>
      <c r="AM74" s="43">
        <f t="shared" si="186"/>
        <v>0</v>
      </c>
      <c r="AN74" s="40"/>
      <c r="AO74" s="43">
        <f ca="1">SUMIF($AG$7:AM$7,"&lt;="&amp;$I$7,AG74:AL74)</f>
        <v>31027.809999999998</v>
      </c>
      <c r="AP74" s="763"/>
      <c r="AQ74" s="40"/>
      <c r="AR74" s="72">
        <f>AR78+AR94+AR114+AR120</f>
        <v>0</v>
      </c>
      <c r="AS74" s="72">
        <f t="shared" ref="AS74:AW74" si="194">AS78+AS94+AS114+AS120</f>
        <v>0</v>
      </c>
      <c r="AT74" s="72">
        <f t="shared" si="194"/>
        <v>0</v>
      </c>
      <c r="AU74" s="72">
        <f t="shared" si="194"/>
        <v>0</v>
      </c>
      <c r="AV74" s="72">
        <f t="shared" si="194"/>
        <v>0</v>
      </c>
      <c r="AW74" s="72">
        <f t="shared" si="194"/>
        <v>0</v>
      </c>
      <c r="AX74" s="43">
        <f t="shared" si="188"/>
        <v>0</v>
      </c>
      <c r="AY74" s="40"/>
      <c r="AZ74" s="43">
        <f ca="1">SUMIF($AR$7:AX$7,"&lt;="&amp;$I$7,AR74:AW74)</f>
        <v>0</v>
      </c>
      <c r="BA74" s="763"/>
      <c r="BB74" s="40"/>
      <c r="BC74" s="72">
        <f>BC78+BC94+BC114+BC120</f>
        <v>0</v>
      </c>
      <c r="BD74" s="72">
        <f t="shared" ref="BD74:BH74" si="195">BD78+BD94+BD114+BD120</f>
        <v>0</v>
      </c>
      <c r="BE74" s="72">
        <f t="shared" si="195"/>
        <v>0</v>
      </c>
      <c r="BF74" s="72">
        <f t="shared" si="195"/>
        <v>0</v>
      </c>
      <c r="BG74" s="72">
        <f t="shared" si="195"/>
        <v>0</v>
      </c>
      <c r="BH74" s="72">
        <f t="shared" si="195"/>
        <v>0</v>
      </c>
      <c r="BI74" s="43">
        <f t="shared" si="190"/>
        <v>0</v>
      </c>
      <c r="BJ74" s="40"/>
      <c r="BK74" s="43">
        <f ca="1">SUMIF($BC$7:BI$7,"&lt;="&amp;$I$7,BC74:BH74)</f>
        <v>0</v>
      </c>
      <c r="BL74" s="763"/>
      <c r="BM74" s="40"/>
      <c r="BN74" s="910"/>
      <c r="BO74" s="910"/>
      <c r="BP74" s="910"/>
      <c r="BQ74" s="879"/>
      <c r="BR74" s="40"/>
      <c r="BS74" s="910"/>
      <c r="BT74" s="910"/>
      <c r="BU74" s="910"/>
      <c r="BV74" s="910"/>
      <c r="BW74" s="1031"/>
      <c r="BX74" s="910"/>
      <c r="BY74" s="1033"/>
      <c r="BZ74" s="40"/>
      <c r="CA74" s="910"/>
      <c r="CB74" s="910"/>
      <c r="CC74" s="40"/>
      <c r="CD74" s="43">
        <f>IFERROR(AVERAGEIF($V$7:AB$7,"&lt;="&amp;$I$7,V74:AB74),0)</f>
        <v>12633.584285714285</v>
      </c>
      <c r="CE74" s="40"/>
      <c r="CH74" s="93" t="str">
        <f t="shared" si="192"/>
        <v xml:space="preserve">Aterro e Compactação </v>
      </c>
    </row>
    <row r="75" spans="1:86" s="21" customFormat="1" ht="9.6" hidden="1" customHeight="1" outlineLevel="1">
      <c r="A75" s="69"/>
      <c r="B75" s="3"/>
      <c r="C75"/>
      <c r="D75" s="3"/>
      <c r="E75"/>
      <c r="F75" s="3"/>
      <c r="G75"/>
      <c r="H75" s="57"/>
      <c r="I75"/>
      <c r="J75" s="3"/>
      <c r="K75" s="37"/>
      <c r="L75" s="37"/>
      <c r="M75" s="37"/>
      <c r="N75" s="37"/>
      <c r="O75" s="37"/>
      <c r="P75" s="37"/>
      <c r="Q75" s="37"/>
      <c r="R75" s="3"/>
      <c r="S75" s="37"/>
      <c r="T75" s="3"/>
      <c r="U75" s="3"/>
      <c r="V75" s="37"/>
      <c r="W75" s="37"/>
      <c r="X75" s="37"/>
      <c r="Y75" s="37"/>
      <c r="Z75" s="37"/>
      <c r="AA75" s="37"/>
      <c r="AB75" s="37"/>
      <c r="AC75" s="3"/>
      <c r="AD75" s="37"/>
      <c r="AE75" s="3"/>
      <c r="AF75" s="3"/>
      <c r="AG75" s="37"/>
      <c r="AH75" s="37"/>
      <c r="AI75" s="37"/>
      <c r="AJ75" s="37"/>
      <c r="AK75" s="37"/>
      <c r="AL75" s="37"/>
      <c r="AM75" s="37"/>
      <c r="AN75" s="3"/>
      <c r="AO75" s="37"/>
      <c r="AP75" s="3"/>
      <c r="AQ75" s="3"/>
      <c r="AR75" s="37"/>
      <c r="AS75" s="37"/>
      <c r="AT75" s="37"/>
      <c r="AU75" s="37"/>
      <c r="AV75" s="37"/>
      <c r="AW75" s="37"/>
      <c r="AX75" s="37"/>
      <c r="AY75" s="3"/>
      <c r="AZ75" s="37"/>
      <c r="BA75" s="3"/>
      <c r="BB75" s="3"/>
      <c r="BC75" s="37"/>
      <c r="BD75" s="37"/>
      <c r="BE75" s="37"/>
      <c r="BF75" s="37"/>
      <c r="BG75" s="37"/>
      <c r="BH75" s="37"/>
      <c r="BI75" s="37"/>
      <c r="BJ75" s="3"/>
      <c r="BK75" s="37"/>
      <c r="BL75" s="3"/>
      <c r="BM75" s="3"/>
      <c r="BN75" s="35"/>
      <c r="BO75" s="36"/>
      <c r="BP75" s="35"/>
      <c r="BQ75" s="3"/>
      <c r="BR75" s="3"/>
      <c r="BS75" s="36"/>
      <c r="BT75" s="36"/>
      <c r="BU75" s="36"/>
      <c r="BV75" s="36"/>
      <c r="BW75" s="36"/>
      <c r="BX75" s="36"/>
      <c r="BY75" s="3"/>
      <c r="BZ75" s="3"/>
      <c r="CA75" s="36"/>
      <c r="CB75" s="36"/>
      <c r="CC75" s="3"/>
      <c r="CD75" s="19"/>
      <c r="CE75" s="3"/>
      <c r="CH75" s="93" t="str">
        <f t="shared" si="192"/>
        <v xml:space="preserve">Aterro e Compactação </v>
      </c>
    </row>
    <row r="76" spans="1:86" s="16" customFormat="1" ht="9.6" hidden="1" customHeight="1" outlineLevel="1">
      <c r="A76" s="69"/>
      <c r="B76" s="3"/>
      <c r="C76" s="3"/>
      <c r="D76" s="3"/>
      <c r="E76" s="3"/>
      <c r="F76" s="3"/>
      <c r="G76" s="3"/>
      <c r="H76" s="36"/>
      <c r="I76" s="3"/>
      <c r="J76" s="3"/>
      <c r="K76" s="37"/>
      <c r="L76" s="37"/>
      <c r="M76" s="37"/>
      <c r="N76" s="37"/>
      <c r="O76" s="37"/>
      <c r="P76" s="37"/>
      <c r="Q76" s="37"/>
      <c r="R76" s="3"/>
      <c r="S76" s="37"/>
      <c r="T76" s="3"/>
      <c r="U76" s="3"/>
      <c r="V76" s="37"/>
      <c r="W76" s="37"/>
      <c r="X76" s="37"/>
      <c r="Y76" s="37"/>
      <c r="Z76" s="37"/>
      <c r="AA76" s="37"/>
      <c r="AB76" s="37"/>
      <c r="AC76" s="3"/>
      <c r="AD76" s="37"/>
      <c r="AE76" s="3"/>
      <c r="AF76" s="3"/>
      <c r="AG76" s="37"/>
      <c r="AH76" s="37"/>
      <c r="AI76" s="37"/>
      <c r="AJ76" s="37"/>
      <c r="AK76" s="37"/>
      <c r="AL76" s="37"/>
      <c r="AM76" s="37"/>
      <c r="AN76" s="3"/>
      <c r="AO76" s="37"/>
      <c r="AP76" s="3"/>
      <c r="AQ76" s="3"/>
      <c r="AR76" s="37"/>
      <c r="AS76" s="37"/>
      <c r="AT76" s="37"/>
      <c r="AU76" s="37"/>
      <c r="AV76" s="37"/>
      <c r="AW76" s="37"/>
      <c r="AX76" s="37"/>
      <c r="AY76" s="3"/>
      <c r="AZ76" s="37"/>
      <c r="BA76" s="3"/>
      <c r="BB76" s="3"/>
      <c r="BC76" s="37"/>
      <c r="BD76" s="37"/>
      <c r="BE76" s="37"/>
      <c r="BF76" s="37"/>
      <c r="BG76" s="37"/>
      <c r="BH76" s="37"/>
      <c r="BI76" s="37"/>
      <c r="BJ76" s="3"/>
      <c r="BK76" s="37"/>
      <c r="BL76" s="3"/>
      <c r="BM76" s="3"/>
      <c r="BN76" s="35"/>
      <c r="BO76" s="36"/>
      <c r="BP76" s="35"/>
      <c r="BQ76" s="3"/>
      <c r="BR76" s="3"/>
      <c r="BS76" s="36"/>
      <c r="BT76" s="36"/>
      <c r="BU76" s="36"/>
      <c r="BV76" s="36"/>
      <c r="BW76" s="36"/>
      <c r="BX76" s="36"/>
      <c r="BY76" s="3"/>
      <c r="BZ76" s="3"/>
      <c r="CA76" s="36"/>
      <c r="CB76" s="36"/>
      <c r="CC76" s="3"/>
      <c r="CD76" s="19"/>
      <c r="CE76" s="3"/>
      <c r="CH76" s="93" t="str">
        <f t="shared" si="192"/>
        <v xml:space="preserve">Aterro e Compactação </v>
      </c>
    </row>
    <row r="77" spans="1:86" s="16" customFormat="1" ht="20.45" hidden="1" customHeight="1" outlineLevel="1">
      <c r="A77" s="73" t="s">
        <v>3885</v>
      </c>
      <c r="B77" s="1069" t="s">
        <v>3840</v>
      </c>
      <c r="C77" s="740" t="s">
        <v>36</v>
      </c>
      <c r="D77" s="2"/>
      <c r="E77" s="1019">
        <v>1599425.787932331</v>
      </c>
      <c r="F77" s="2"/>
      <c r="G77" s="53" t="s">
        <v>37</v>
      </c>
      <c r="H77" s="52">
        <f t="shared" ref="H77:H90" si="196">SUMIF($K$7:$BI$7,$I$7,K77:BI77)</f>
        <v>3759.3984962406012</v>
      </c>
      <c r="I77" s="743">
        <f t="shared" ref="I77" si="197">IF(H77=0,IF(H78&gt;0,1,"-"),IFERROR(H78/H77,"-"))</f>
        <v>0.78879906</v>
      </c>
      <c r="J77" s="2"/>
      <c r="K77" s="52">
        <f>SUMIF($G$79:$G$90,$G$77,K79:K90)</f>
        <v>1503.7593984962405</v>
      </c>
      <c r="L77" s="52">
        <f t="shared" ref="L77:P77" si="198">SUMIF($G$79:$G$90,$G$77,L79:L90)</f>
        <v>2631.5789473684208</v>
      </c>
      <c r="M77" s="52">
        <f t="shared" si="198"/>
        <v>2631.5789473684208</v>
      </c>
      <c r="N77" s="52">
        <f t="shared" si="198"/>
        <v>2631.5789473684208</v>
      </c>
      <c r="O77" s="52">
        <f t="shared" si="198"/>
        <v>2631.5789473684208</v>
      </c>
      <c r="P77" s="52">
        <f t="shared" si="198"/>
        <v>2631.5789473684208</v>
      </c>
      <c r="Q77" s="52">
        <f>Q79+Q89</f>
        <v>0</v>
      </c>
      <c r="R77" s="2"/>
      <c r="S77" s="52">
        <f ca="1">SUMIF($K$7:Q$7,"&lt;="&amp;$I$7,K77:P77)</f>
        <v>14661.654135338344</v>
      </c>
      <c r="T77" s="743">
        <f ca="1">IFERROR((S78/S77),"-")</f>
        <v>0.90792289743589771</v>
      </c>
      <c r="U77" s="2"/>
      <c r="V77" s="52">
        <f>SUMIF($G$79:$G$90,$G$77,V79:V90)</f>
        <v>3759.3984962406012</v>
      </c>
      <c r="W77" s="52">
        <f t="shared" ref="W77:AA77" si="199">SUMIF($G$79:$G$90,$G$77,W79:W90)</f>
        <v>3759.3984962406012</v>
      </c>
      <c r="X77" s="52">
        <f t="shared" si="199"/>
        <v>3759.3984962406012</v>
      </c>
      <c r="Y77" s="52">
        <f t="shared" si="199"/>
        <v>3759.3984962406012</v>
      </c>
      <c r="Z77" s="52">
        <f t="shared" si="199"/>
        <v>3759.3984962406012</v>
      </c>
      <c r="AA77" s="52">
        <f t="shared" si="199"/>
        <v>3759.3984962406012</v>
      </c>
      <c r="AB77" s="52">
        <f>AB79+AB89</f>
        <v>0</v>
      </c>
      <c r="AC77" s="2"/>
      <c r="AD77" s="52">
        <f>SUMIF($V$7:AB$7,"&lt;="&amp;$I$7,V77:AB77)</f>
        <v>22556.390977443611</v>
      </c>
      <c r="AE77" s="743">
        <f>IFERROR((AD78/AD77),"-")</f>
        <v>0.58145028666666676</v>
      </c>
      <c r="AF77" s="2"/>
      <c r="AG77" s="52">
        <f t="shared" ref="AG77:AL77" si="200">AG79+AG89+AG81+AG83+AG85+AG87</f>
        <v>3759.3984962406012</v>
      </c>
      <c r="AH77" s="52">
        <f t="shared" si="200"/>
        <v>3759.3984962406012</v>
      </c>
      <c r="AI77" s="52">
        <f t="shared" si="200"/>
        <v>3759.3984962406012</v>
      </c>
      <c r="AJ77" s="52">
        <f t="shared" si="200"/>
        <v>3759.3984962406012</v>
      </c>
      <c r="AK77" s="52">
        <f t="shared" si="200"/>
        <v>3759.3984962406012</v>
      </c>
      <c r="AL77" s="52">
        <f t="shared" si="200"/>
        <v>3759.3984962406012</v>
      </c>
      <c r="AM77" s="52">
        <f>AM79+AM89</f>
        <v>0</v>
      </c>
      <c r="AN77" s="2"/>
      <c r="AO77" s="52">
        <f ca="1">SUMIF($AG$7:AM$7,"&lt;="&amp;$I$7,AG77:AL77)</f>
        <v>7518.7969924812023</v>
      </c>
      <c r="AP77" s="743">
        <f ca="1">IFERROR((AO78/AO77),"-")</f>
        <v>0.39439953</v>
      </c>
      <c r="AQ77" s="2"/>
      <c r="AR77" s="52">
        <f t="shared" ref="AR77:AW77" si="201">AR79+AR89+AR81+AR83+AR85+AR87</f>
        <v>0</v>
      </c>
      <c r="AS77" s="52">
        <f t="shared" si="201"/>
        <v>0</v>
      </c>
      <c r="AT77" s="52">
        <f t="shared" si="201"/>
        <v>0</v>
      </c>
      <c r="AU77" s="52">
        <f t="shared" si="201"/>
        <v>0</v>
      </c>
      <c r="AV77" s="52">
        <f t="shared" si="201"/>
        <v>0</v>
      </c>
      <c r="AW77" s="52">
        <f t="shared" si="201"/>
        <v>0</v>
      </c>
      <c r="AX77" s="52">
        <f>AX79+AX89</f>
        <v>0</v>
      </c>
      <c r="AY77" s="2"/>
      <c r="AZ77" s="52">
        <f ca="1">SUMIF($AR$7:AX$7,"&lt;="&amp;$I$7,AR77:AW77)</f>
        <v>0</v>
      </c>
      <c r="BA77" s="743" t="str">
        <f ca="1">IFERROR((AZ78/AZ77),"-")</f>
        <v>-</v>
      </c>
      <c r="BB77" s="2"/>
      <c r="BC77" s="52">
        <f t="shared" ref="BC77:BH77" si="202">BC79+BC89+BC81+BC83+BC85+BC87</f>
        <v>0</v>
      </c>
      <c r="BD77" s="52">
        <f t="shared" si="202"/>
        <v>0</v>
      </c>
      <c r="BE77" s="52">
        <f t="shared" si="202"/>
        <v>0</v>
      </c>
      <c r="BF77" s="52">
        <f t="shared" si="202"/>
        <v>0</v>
      </c>
      <c r="BG77" s="52">
        <f t="shared" si="202"/>
        <v>0</v>
      </c>
      <c r="BH77" s="52">
        <f t="shared" si="202"/>
        <v>0</v>
      </c>
      <c r="BI77" s="52">
        <f>BI79+BI89</f>
        <v>0</v>
      </c>
      <c r="BJ77" s="2"/>
      <c r="BK77" s="52">
        <f ca="1">SUMIF($BC$7:BI$7,"&lt;="&amp;$I$7,BC77:BH77)</f>
        <v>0</v>
      </c>
      <c r="BL77" s="743" t="str">
        <f ca="1">IFERROR((BK78/BK77),"-")</f>
        <v>-</v>
      </c>
      <c r="BM77" s="2"/>
      <c r="BN77" s="888">
        <f>SUM(BN79:BN90)</f>
        <v>66359.829999999987</v>
      </c>
      <c r="BO77" s="888">
        <v>0</v>
      </c>
      <c r="BP77" s="888">
        <f>SUM(BP79:BP90)</f>
        <v>24868.051503759401</v>
      </c>
      <c r="BQ77" s="743" t="str">
        <f>IFERROR((BP77/BO77),"-")</f>
        <v>-</v>
      </c>
      <c r="BR77" s="2"/>
      <c r="BS77" s="888">
        <f>SUM(BS79:BS90)</f>
        <v>1565410.7349999999</v>
      </c>
      <c r="BT77" s="888"/>
      <c r="BU77" s="888">
        <f ca="1">E77+S78+AD78+AO78+AZ78+BK78</f>
        <v>1628818.2694360903</v>
      </c>
      <c r="BV77" s="888">
        <v>210</v>
      </c>
      <c r="BW77" s="1019">
        <f ca="1">IFERROR((BU77/BV77),"-")</f>
        <v>7756.2774735051917</v>
      </c>
      <c r="BX77" s="888">
        <f>SUM(BX79:BX90)</f>
        <v>1565410.7349999999</v>
      </c>
      <c r="BY77" s="743">
        <f ca="1">IFERROR((BU77/BX77),"-")</f>
        <v>1.0405053657921226</v>
      </c>
      <c r="BZ77" s="2"/>
      <c r="CA77" s="888">
        <f ca="1">SUM(CA79:CA90)</f>
        <v>1796152.6394360904</v>
      </c>
      <c r="CB77" s="888">
        <f ca="1">CA77-BU77</f>
        <v>167334.37000000011</v>
      </c>
      <c r="CC77" s="2"/>
      <c r="CD77" s="84">
        <f>IFERROR(AVERAGEIF($V$7:AB$7,"&lt;="&amp;$I$7,V77:AB77),0)</f>
        <v>3222.34156820623</v>
      </c>
      <c r="CE77" s="2"/>
      <c r="CH77" s="93" t="str">
        <f t="shared" si="192"/>
        <v>Segmento 3.2 - km 167+300 a 202+700</v>
      </c>
    </row>
    <row r="78" spans="1:86" s="16" customFormat="1" ht="20.45" hidden="1" customHeight="1" outlineLevel="1">
      <c r="A78" s="74"/>
      <c r="B78" s="1070"/>
      <c r="C78" s="740"/>
      <c r="D78" s="2"/>
      <c r="E78" s="1060"/>
      <c r="F78" s="2"/>
      <c r="G78" s="54" t="s">
        <v>38</v>
      </c>
      <c r="H78" s="52">
        <f t="shared" si="196"/>
        <v>2965.41</v>
      </c>
      <c r="I78" s="744"/>
      <c r="J78" s="2"/>
      <c r="K78" s="52">
        <f>SUMIF($G$79:$G$90,$G$78,K79:K90)</f>
        <v>2147.7399999999998</v>
      </c>
      <c r="L78" s="52">
        <f t="shared" ref="L78:P78" si="203">SUMIF($G$79:$G$90,$G$78,L79:L90)</f>
        <v>2376.69</v>
      </c>
      <c r="M78" s="52">
        <f t="shared" si="203"/>
        <v>1798.87</v>
      </c>
      <c r="N78" s="52">
        <f t="shared" si="203"/>
        <v>3227.07</v>
      </c>
      <c r="O78" s="52">
        <f t="shared" si="203"/>
        <v>1940.6015037593984</v>
      </c>
      <c r="P78" s="52">
        <f t="shared" si="203"/>
        <v>1820.68</v>
      </c>
      <c r="Q78" s="52">
        <f>Q80+Q90</f>
        <v>0</v>
      </c>
      <c r="R78" s="2"/>
      <c r="S78" s="52">
        <f ca="1">SUMIF($K$7:Q$7,"&lt;="&amp;$I$7,K78:P78)</f>
        <v>13311.6515037594</v>
      </c>
      <c r="T78" s="744"/>
      <c r="U78" s="2"/>
      <c r="V78" s="52">
        <f>SUMIF($G$79:$G$90,$G$78,V79:V90)</f>
        <v>2289.4699999999998</v>
      </c>
      <c r="W78" s="52">
        <f t="shared" ref="W78:AA78" si="204">SUMIF($G$79:$G$90,$G$78,W79:W90)</f>
        <v>1973.31</v>
      </c>
      <c r="X78" s="52">
        <f t="shared" si="204"/>
        <v>2529.3200000000002</v>
      </c>
      <c r="Y78" s="52">
        <f t="shared" si="204"/>
        <v>2006.02</v>
      </c>
      <c r="Z78" s="52">
        <f t="shared" si="204"/>
        <v>2016.92</v>
      </c>
      <c r="AA78" s="52">
        <f t="shared" si="204"/>
        <v>2300.38</v>
      </c>
      <c r="AB78" s="52">
        <f>AB80+AB90</f>
        <v>0</v>
      </c>
      <c r="AC78" s="2"/>
      <c r="AD78" s="52">
        <f>SUMIF($V$7:AB$7,"&lt;="&amp;$I$7,V78:AB78)</f>
        <v>13115.420000000002</v>
      </c>
      <c r="AE78" s="744"/>
      <c r="AF78" s="2"/>
      <c r="AG78" s="52">
        <f>AG80+AG90</f>
        <v>0</v>
      </c>
      <c r="AH78" s="52">
        <f>AH80+AH90</f>
        <v>2965.41</v>
      </c>
      <c r="AI78" s="52">
        <f>AI80+AI90</f>
        <v>0</v>
      </c>
      <c r="AJ78" s="52">
        <f>AJ80+AJ90</f>
        <v>0</v>
      </c>
      <c r="AK78" s="52">
        <f>AK80+AK90+AK82+AK84+AK86+AK88</f>
        <v>0</v>
      </c>
      <c r="AL78" s="52">
        <f>AL80+AL90</f>
        <v>0</v>
      </c>
      <c r="AM78" s="52">
        <f>AM80+AM90</f>
        <v>0</v>
      </c>
      <c r="AN78" s="2"/>
      <c r="AO78" s="52">
        <f ca="1">SUMIF($AG$7:AM$7,"&lt;="&amp;$I$7,AG78:AL78)</f>
        <v>2965.41</v>
      </c>
      <c r="AP78" s="744"/>
      <c r="AQ78" s="2"/>
      <c r="AR78" s="52">
        <f>AR80+AR90</f>
        <v>0</v>
      </c>
      <c r="AS78" s="52">
        <f>AS80+AS90</f>
        <v>0</v>
      </c>
      <c r="AT78" s="52">
        <f>AT80+AT90</f>
        <v>0</v>
      </c>
      <c r="AU78" s="52">
        <f>AU80+AU90</f>
        <v>0</v>
      </c>
      <c r="AV78" s="52">
        <f>AV80+AV90+AV82+AV84+AV86+AV88</f>
        <v>0</v>
      </c>
      <c r="AW78" s="52">
        <f>AW80+AW90</f>
        <v>0</v>
      </c>
      <c r="AX78" s="52">
        <f>AX80+AX90</f>
        <v>0</v>
      </c>
      <c r="AY78" s="2"/>
      <c r="AZ78" s="52">
        <f ca="1">SUMIF($AR$7:AX$7,"&lt;="&amp;$I$7,AR78:AW78)</f>
        <v>0</v>
      </c>
      <c r="BA78" s="744"/>
      <c r="BB78" s="2"/>
      <c r="BC78" s="52">
        <f>BC80+BC90</f>
        <v>0</v>
      </c>
      <c r="BD78" s="52">
        <f>BD80+BD90</f>
        <v>0</v>
      </c>
      <c r="BE78" s="52">
        <f>BE80+BE90</f>
        <v>0</v>
      </c>
      <c r="BF78" s="52">
        <f>BF80+BF90</f>
        <v>0</v>
      </c>
      <c r="BG78" s="52">
        <f>BG80+BG90+BG82+BG84+BG86+BG88</f>
        <v>0</v>
      </c>
      <c r="BH78" s="52">
        <f>BH80+BH90</f>
        <v>0</v>
      </c>
      <c r="BI78" s="52">
        <f>BI80+BI90</f>
        <v>0</v>
      </c>
      <c r="BJ78" s="2"/>
      <c r="BK78" s="52">
        <f ca="1">SUMIF($BC$7:BI$7,"&lt;="&amp;$I$7,BC78:BH78)</f>
        <v>0</v>
      </c>
      <c r="BL78" s="744"/>
      <c r="BM78" s="2"/>
      <c r="BN78" s="1018"/>
      <c r="BO78" s="889"/>
      <c r="BP78" s="889"/>
      <c r="BQ78" s="744"/>
      <c r="BR78" s="2"/>
      <c r="BS78" s="1018"/>
      <c r="BT78" s="1018"/>
      <c r="BU78" s="889"/>
      <c r="BV78" s="1018"/>
      <c r="BW78" s="1077"/>
      <c r="BX78" s="1018"/>
      <c r="BY78" s="1057"/>
      <c r="BZ78" s="2"/>
      <c r="CA78" s="888"/>
      <c r="CB78" s="888"/>
      <c r="CC78" s="2"/>
      <c r="CD78" s="84">
        <f>IFERROR(AVERAGEIF($V$7:AB$7,"&lt;="&amp;$I$7,V78:AB78),0)</f>
        <v>1873.6314285714288</v>
      </c>
      <c r="CE78" s="2"/>
      <c r="CH78" s="93" t="str">
        <f t="shared" si="192"/>
        <v>Segmento 3.2 - km 167+300 a 202+700</v>
      </c>
    </row>
    <row r="79" spans="1:86" s="16" customFormat="1" ht="20.45" hidden="1" customHeight="1" outlineLevel="2">
      <c r="A79" s="74"/>
      <c r="B79" s="1078" t="s">
        <v>3886</v>
      </c>
      <c r="C79" s="1023" t="s">
        <v>36</v>
      </c>
      <c r="D79" s="2"/>
      <c r="E79" s="1004">
        <v>3326.96</v>
      </c>
      <c r="F79" s="2"/>
      <c r="G79" s="49" t="s">
        <v>37</v>
      </c>
      <c r="H79" s="705">
        <f t="shared" si="196"/>
        <v>0</v>
      </c>
      <c r="I79" s="878" t="str">
        <f t="shared" ref="I79" si="205">IF(H79=0,IF(H80&gt;0,1,"-"),IFERROR(H80/H79,"-"))</f>
        <v>-</v>
      </c>
      <c r="J79" s="2"/>
      <c r="K79" s="705"/>
      <c r="L79" s="705"/>
      <c r="M79" s="705"/>
      <c r="N79" s="705"/>
      <c r="O79" s="705"/>
      <c r="P79" s="705"/>
      <c r="Q79" s="705"/>
      <c r="R79" s="2"/>
      <c r="S79" s="705">
        <f>SUM(K79:P79)</f>
        <v>0</v>
      </c>
      <c r="T79" s="878" t="str">
        <f>IFERROR((S80/S79),"-")</f>
        <v>-</v>
      </c>
      <c r="U79" s="2"/>
      <c r="V79" s="705"/>
      <c r="W79" s="705"/>
      <c r="X79" s="705"/>
      <c r="Y79" s="705"/>
      <c r="Z79" s="705"/>
      <c r="AA79" s="705"/>
      <c r="AB79" s="705"/>
      <c r="AC79" s="2"/>
      <c r="AD79" s="705">
        <f ca="1">SUMIF($V$7:AB$7,"&lt;="&amp;$I$7,V79:AA79)</f>
        <v>0</v>
      </c>
      <c r="AE79" s="878" t="str">
        <f ca="1">IFERROR((AD80/AD79),"-")</f>
        <v>-</v>
      </c>
      <c r="AF79" s="2"/>
      <c r="AG79" s="705"/>
      <c r="AH79" s="705"/>
      <c r="AI79" s="705"/>
      <c r="AJ79" s="705"/>
      <c r="AK79" s="705"/>
      <c r="AL79" s="705"/>
      <c r="AM79" s="705"/>
      <c r="AN79" s="2"/>
      <c r="AO79" s="705">
        <f ca="1">SUMIF($AG$7:AM$7,"&lt;="&amp;$I$7,AG79:AL79)</f>
        <v>0</v>
      </c>
      <c r="AP79" s="878" t="str">
        <f ca="1">IFERROR((AO80/AO79),"-")</f>
        <v>-</v>
      </c>
      <c r="AQ79" s="2"/>
      <c r="AR79" s="705"/>
      <c r="AS79" s="705"/>
      <c r="AT79" s="705"/>
      <c r="AU79" s="705"/>
      <c r="AV79" s="705"/>
      <c r="AW79" s="705"/>
      <c r="AX79" s="705"/>
      <c r="AY79" s="2"/>
      <c r="AZ79" s="705">
        <f ca="1">SUMIF($AR$7:AX$7,"&lt;="&amp;$I$7,AR79:AW79)</f>
        <v>0</v>
      </c>
      <c r="BA79" s="878" t="str">
        <f ca="1">IFERROR((AZ80/AZ79),"-")</f>
        <v>-</v>
      </c>
      <c r="BB79" s="2"/>
      <c r="BC79" s="705"/>
      <c r="BD79" s="705"/>
      <c r="BE79" s="705"/>
      <c r="BF79" s="705"/>
      <c r="BG79" s="705"/>
      <c r="BH79" s="705"/>
      <c r="BI79" s="705"/>
      <c r="BJ79" s="2"/>
      <c r="BK79" s="705">
        <f ca="1">SUMIF($BC$7:BI$7,"&lt;="&amp;$I$7,BC79:BH79)</f>
        <v>0</v>
      </c>
      <c r="BL79" s="878" t="str">
        <f ca="1">IFERROR((BK80/BK79),"-")</f>
        <v>-</v>
      </c>
      <c r="BM79" s="2"/>
      <c r="BN79" s="885">
        <v>0</v>
      </c>
      <c r="BO79" s="884">
        <v>0</v>
      </c>
      <c r="BP79" s="884">
        <f>SUM(M80:P80,V80:AB80,AG80:AM80,AR80:AX80,BC80:BI80)</f>
        <v>0</v>
      </c>
      <c r="BQ79" s="878" t="str">
        <f t="shared" ref="BQ79" si="206">IF(AND(BO79=0,BP79=0),"-",IF(BO79=0,1,BP79/BO79))</f>
        <v>-</v>
      </c>
      <c r="BR79" s="2"/>
      <c r="BS79" s="884">
        <v>3326.96</v>
      </c>
      <c r="BT79" s="884"/>
      <c r="BU79" s="884">
        <f ca="1">E79+S80+AD80+AO80+AZ80+BK80</f>
        <v>3326.96</v>
      </c>
      <c r="BV79" s="884">
        <v>106</v>
      </c>
      <c r="BW79" s="1004">
        <f ca="1">IFERROR((BU79/BV79),"-")</f>
        <v>31.386415094339622</v>
      </c>
      <c r="BX79" s="884">
        <v>3326.96</v>
      </c>
      <c r="BY79" s="878">
        <f ca="1">IFERROR((BU79/BX79),"-")</f>
        <v>1</v>
      </c>
      <c r="BZ79" s="2"/>
      <c r="CA79" s="908">
        <f ca="1">BU79</f>
        <v>3326.96</v>
      </c>
      <c r="CB79" s="908">
        <f ca="1">CA79-BU79</f>
        <v>0</v>
      </c>
      <c r="CC79" s="2"/>
      <c r="CD79" s="504">
        <f>IFERROR(AVERAGEIF($V$7:AB$7,"&lt;="&amp;$I$7,V79:AB79),0)</f>
        <v>0</v>
      </c>
      <c r="CE79" s="2"/>
      <c r="CH79" s="93" t="str">
        <f t="shared" si="192"/>
        <v>Aterro 01</v>
      </c>
    </row>
    <row r="80" spans="1:86" s="16" customFormat="1" ht="20.45" hidden="1" customHeight="1" outlineLevel="2">
      <c r="A80" s="74"/>
      <c r="B80" s="1042"/>
      <c r="C80" s="1023"/>
      <c r="D80" s="2"/>
      <c r="E80" s="1024"/>
      <c r="F80" s="2"/>
      <c r="G80" s="50" t="s">
        <v>38</v>
      </c>
      <c r="H80" s="705">
        <f t="shared" si="196"/>
        <v>0</v>
      </c>
      <c r="I80" s="879"/>
      <c r="J80" s="2"/>
      <c r="K80" s="76"/>
      <c r="L80" s="76"/>
      <c r="M80" s="76"/>
      <c r="N80" s="76"/>
      <c r="O80" s="76"/>
      <c r="P80" s="76"/>
      <c r="Q80" s="706"/>
      <c r="R80" s="2"/>
      <c r="S80" s="705">
        <f t="shared" ref="S80:S88" si="207">SUM(K80:P80)</f>
        <v>0</v>
      </c>
      <c r="T80" s="879"/>
      <c r="U80" s="2"/>
      <c r="V80" s="76"/>
      <c r="W80" s="76"/>
      <c r="X80" s="76"/>
      <c r="Y80" s="76"/>
      <c r="Z80" s="76"/>
      <c r="AA80" s="76"/>
      <c r="AB80" s="706"/>
      <c r="AC80" s="2"/>
      <c r="AD80" s="705">
        <f ca="1">SUMIF($V$7:AB$7,"&lt;="&amp;$I$7,V80:AA80)</f>
        <v>0</v>
      </c>
      <c r="AE80" s="879"/>
      <c r="AF80" s="2"/>
      <c r="AG80" s="76"/>
      <c r="AH80" s="76"/>
      <c r="AI80" s="76"/>
      <c r="AJ80" s="76"/>
      <c r="AK80" s="76"/>
      <c r="AL80" s="76"/>
      <c r="AM80" s="706"/>
      <c r="AN80" s="2"/>
      <c r="AO80" s="705">
        <f ca="1">SUMIF($AG$7:AM$7,"&lt;="&amp;$I$7,AG80:AL80)</f>
        <v>0</v>
      </c>
      <c r="AP80" s="879"/>
      <c r="AQ80" s="2"/>
      <c r="AR80" s="76"/>
      <c r="AS80" s="76"/>
      <c r="AT80" s="76"/>
      <c r="AU80" s="76"/>
      <c r="AV80" s="76"/>
      <c r="AW80" s="76"/>
      <c r="AX80" s="706"/>
      <c r="AY80" s="2"/>
      <c r="AZ80" s="705">
        <f ca="1">SUMIF($AR$7:AX$7,"&lt;="&amp;$I$7,AR80:AW80)</f>
        <v>0</v>
      </c>
      <c r="BA80" s="879"/>
      <c r="BB80" s="2"/>
      <c r="BC80" s="76"/>
      <c r="BD80" s="76"/>
      <c r="BE80" s="76"/>
      <c r="BF80" s="76"/>
      <c r="BG80" s="76"/>
      <c r="BH80" s="76"/>
      <c r="BI80" s="706"/>
      <c r="BJ80" s="2"/>
      <c r="BK80" s="705">
        <f ca="1">SUMIF($BC$7:BI$7,"&lt;="&amp;$I$7,BC80:BH80)</f>
        <v>0</v>
      </c>
      <c r="BL80" s="879"/>
      <c r="BM80" s="2"/>
      <c r="BN80" s="922"/>
      <c r="BO80" s="885"/>
      <c r="BP80" s="885"/>
      <c r="BQ80" s="879"/>
      <c r="BR80" s="2"/>
      <c r="BS80" s="886"/>
      <c r="BT80" s="886"/>
      <c r="BU80" s="885"/>
      <c r="BV80" s="886"/>
      <c r="BW80" s="1051"/>
      <c r="BX80" s="886"/>
      <c r="BY80" s="1053"/>
      <c r="BZ80" s="2"/>
      <c r="CA80" s="886"/>
      <c r="CB80" s="885"/>
      <c r="CC80" s="2"/>
      <c r="CD80" s="504">
        <f>IFERROR(AVERAGEIF($V$7:AB$7,"&lt;="&amp;$I$7,V80:AB80),0)</f>
        <v>0</v>
      </c>
      <c r="CE80" s="2"/>
      <c r="CH80" s="93" t="str">
        <f t="shared" si="192"/>
        <v>Aterro 01</v>
      </c>
    </row>
    <row r="81" spans="1:86" s="16" customFormat="1" ht="20.45" hidden="1" customHeight="1" outlineLevel="2">
      <c r="A81" s="74"/>
      <c r="B81" s="1078" t="s">
        <v>3887</v>
      </c>
      <c r="C81" s="1023" t="s">
        <v>36</v>
      </c>
      <c r="D81" s="2"/>
      <c r="E81" s="1004">
        <v>668578.951</v>
      </c>
      <c r="F81" s="2"/>
      <c r="G81" s="49" t="s">
        <v>37</v>
      </c>
      <c r="H81" s="705">
        <f t="shared" si="196"/>
        <v>0</v>
      </c>
      <c r="I81" s="878" t="str">
        <f t="shared" ref="I81" si="208">IF(H81=0,IF(H82&gt;0,1,"-"),IFERROR(H82/H81,"-"))</f>
        <v>-</v>
      </c>
      <c r="J81" s="2"/>
      <c r="K81" s="705"/>
      <c r="L81" s="705"/>
      <c r="M81" s="705"/>
      <c r="N81" s="705"/>
      <c r="O81" s="705"/>
      <c r="P81" s="705"/>
      <c r="Q81" s="705"/>
      <c r="R81" s="2"/>
      <c r="S81" s="705">
        <f t="shared" si="207"/>
        <v>0</v>
      </c>
      <c r="T81" s="878" t="str">
        <f>IFERROR((S82/S81),"-")</f>
        <v>-</v>
      </c>
      <c r="U81" s="2"/>
      <c r="V81" s="705"/>
      <c r="W81" s="705"/>
      <c r="X81" s="705"/>
      <c r="Y81" s="705"/>
      <c r="Z81" s="705"/>
      <c r="AA81" s="705"/>
      <c r="AB81" s="705"/>
      <c r="AC81" s="2"/>
      <c r="AD81" s="705">
        <f ca="1">SUMIF($V$7:AB$7,"&lt;="&amp;$I$7,V81:AA81)</f>
        <v>0</v>
      </c>
      <c r="AE81" s="878" t="str">
        <f ca="1">IFERROR((AD82/AD81),"-")</f>
        <v>-</v>
      </c>
      <c r="AF81" s="2"/>
      <c r="AG81" s="705"/>
      <c r="AH81" s="705"/>
      <c r="AI81" s="705"/>
      <c r="AJ81" s="705"/>
      <c r="AK81" s="705"/>
      <c r="AL81" s="705"/>
      <c r="AM81" s="705"/>
      <c r="AN81" s="2"/>
      <c r="AO81" s="705">
        <f ca="1">SUMIF($AG$7:AM$7,"&lt;="&amp;$I$7,AG81:AL81)</f>
        <v>0</v>
      </c>
      <c r="AP81" s="878" t="str">
        <f ca="1">IFERROR((AO82/AO81),"-")</f>
        <v>-</v>
      </c>
      <c r="AQ81" s="2"/>
      <c r="AR81" s="705"/>
      <c r="AS81" s="705"/>
      <c r="AT81" s="705"/>
      <c r="AU81" s="705"/>
      <c r="AV81" s="705"/>
      <c r="AW81" s="705"/>
      <c r="AX81" s="705"/>
      <c r="AY81" s="2"/>
      <c r="AZ81" s="705">
        <f ca="1">SUMIF($AR$7:AX$7,"&lt;="&amp;$I$7,AR81:AW81)</f>
        <v>0</v>
      </c>
      <c r="BA81" s="878" t="str">
        <f ca="1">IFERROR((AZ82/AZ81),"-")</f>
        <v>-</v>
      </c>
      <c r="BB81" s="2"/>
      <c r="BC81" s="705"/>
      <c r="BD81" s="705"/>
      <c r="BE81" s="705"/>
      <c r="BF81" s="705"/>
      <c r="BG81" s="705"/>
      <c r="BH81" s="705"/>
      <c r="BI81" s="705"/>
      <c r="BJ81" s="2"/>
      <c r="BK81" s="705">
        <f ca="1">SUMIF($BC$7:BI$7,"&lt;="&amp;$I$7,BC81:BH81)</f>
        <v>0</v>
      </c>
      <c r="BL81" s="878" t="str">
        <f ca="1">IFERROR((BK82/BK81),"-")</f>
        <v>-</v>
      </c>
      <c r="BM81" s="2"/>
      <c r="BN81" s="921">
        <v>0</v>
      </c>
      <c r="BO81" s="884">
        <v>0</v>
      </c>
      <c r="BP81" s="884">
        <f>SUM(M82:P82,V82:AB82,AG82:AM82,AR82:AX82,BC82:BI82)</f>
        <v>0</v>
      </c>
      <c r="BQ81" s="878" t="str">
        <f t="shared" ref="BQ81" si="209">IF(AND(BO81=0,BP81=0),"-",IF(BO81=0,1,BP81/BO81))</f>
        <v>-</v>
      </c>
      <c r="BR81" s="2"/>
      <c r="BS81" s="884">
        <v>668578.951</v>
      </c>
      <c r="BT81" s="884"/>
      <c r="BU81" s="884">
        <f ca="1">E81+S82+AD82+AO82+AZ82+BK82</f>
        <v>668578.951</v>
      </c>
      <c r="BV81" s="884">
        <v>104</v>
      </c>
      <c r="BW81" s="1004">
        <f ca="1">IFERROR((BU81/BV81),"-")</f>
        <v>6428.6437596153846</v>
      </c>
      <c r="BX81" s="884">
        <v>668578.951</v>
      </c>
      <c r="BY81" s="878">
        <f ca="1">IFERROR((BU81/BX81),"-")</f>
        <v>1</v>
      </c>
      <c r="BZ81" s="2"/>
      <c r="CA81" s="884">
        <f ca="1">BU81</f>
        <v>668578.951</v>
      </c>
      <c r="CB81" s="884">
        <f ca="1">CA81-BU81</f>
        <v>0</v>
      </c>
      <c r="CC81" s="2"/>
      <c r="CD81" s="504">
        <f>IFERROR(AVERAGEIF($V$7:AB$7,"&lt;="&amp;$I$7,V81:AB81),0)</f>
        <v>0</v>
      </c>
      <c r="CE81" s="2"/>
      <c r="CH81" s="93" t="str">
        <f t="shared" si="192"/>
        <v>Aterro 02</v>
      </c>
    </row>
    <row r="82" spans="1:86" s="16" customFormat="1" ht="20.45" hidden="1" customHeight="1" outlineLevel="2">
      <c r="A82" s="74"/>
      <c r="B82" s="1042"/>
      <c r="C82" s="1023"/>
      <c r="D82" s="2"/>
      <c r="E82" s="1024"/>
      <c r="F82" s="2"/>
      <c r="G82" s="50" t="s">
        <v>38</v>
      </c>
      <c r="H82" s="705">
        <f t="shared" si="196"/>
        <v>0</v>
      </c>
      <c r="I82" s="879"/>
      <c r="J82" s="2"/>
      <c r="K82" s="76"/>
      <c r="L82" s="76"/>
      <c r="M82" s="76"/>
      <c r="N82" s="76"/>
      <c r="O82" s="76"/>
      <c r="P82" s="76"/>
      <c r="Q82" s="706"/>
      <c r="R82" s="2"/>
      <c r="S82" s="705">
        <f t="shared" si="207"/>
        <v>0</v>
      </c>
      <c r="T82" s="879"/>
      <c r="U82" s="2"/>
      <c r="V82" s="76"/>
      <c r="W82" s="76"/>
      <c r="X82" s="76"/>
      <c r="Y82" s="76"/>
      <c r="Z82" s="76"/>
      <c r="AA82" s="76"/>
      <c r="AB82" s="706"/>
      <c r="AC82" s="2"/>
      <c r="AD82" s="705">
        <f ca="1">SUMIF($V$7:AB$7,"&lt;="&amp;$I$7,V82:AA82)</f>
        <v>0</v>
      </c>
      <c r="AE82" s="879"/>
      <c r="AF82" s="2"/>
      <c r="AG82" s="76"/>
      <c r="AH82" s="76"/>
      <c r="AI82" s="76"/>
      <c r="AJ82" s="76"/>
      <c r="AK82" s="76"/>
      <c r="AL82" s="76"/>
      <c r="AM82" s="706"/>
      <c r="AN82" s="2"/>
      <c r="AO82" s="705">
        <f ca="1">SUMIF($AG$7:AM$7,"&lt;="&amp;$I$7,AG82:AL82)</f>
        <v>0</v>
      </c>
      <c r="AP82" s="879"/>
      <c r="AQ82" s="2"/>
      <c r="AR82" s="76"/>
      <c r="AS82" s="76"/>
      <c r="AT82" s="76"/>
      <c r="AU82" s="76"/>
      <c r="AV82" s="76"/>
      <c r="AW82" s="76"/>
      <c r="AX82" s="706"/>
      <c r="AY82" s="2"/>
      <c r="AZ82" s="705">
        <f ca="1">SUMIF($AR$7:AX$7,"&lt;="&amp;$I$7,AR82:AW82)</f>
        <v>0</v>
      </c>
      <c r="BA82" s="879"/>
      <c r="BB82" s="2"/>
      <c r="BC82" s="76"/>
      <c r="BD82" s="76"/>
      <c r="BE82" s="76"/>
      <c r="BF82" s="76"/>
      <c r="BG82" s="76"/>
      <c r="BH82" s="76"/>
      <c r="BI82" s="706"/>
      <c r="BJ82" s="2"/>
      <c r="BK82" s="705">
        <f ca="1">SUMIF($BC$7:BI$7,"&lt;="&amp;$I$7,BC82:BH82)</f>
        <v>0</v>
      </c>
      <c r="BL82" s="879"/>
      <c r="BM82" s="2"/>
      <c r="BN82" s="922"/>
      <c r="BO82" s="885"/>
      <c r="BP82" s="885"/>
      <c r="BQ82" s="879"/>
      <c r="BR82" s="2"/>
      <c r="BS82" s="922"/>
      <c r="BT82" s="922"/>
      <c r="BU82" s="885"/>
      <c r="BV82" s="886"/>
      <c r="BW82" s="1051"/>
      <c r="BX82" s="886"/>
      <c r="BY82" s="1052"/>
      <c r="BZ82" s="2"/>
      <c r="CA82" s="885"/>
      <c r="CB82" s="885"/>
      <c r="CC82" s="2"/>
      <c r="CD82" s="504">
        <f>IFERROR(AVERAGEIF($V$7:AB$7,"&lt;="&amp;$I$7,V82:AB82),0)</f>
        <v>0</v>
      </c>
      <c r="CE82" s="2"/>
      <c r="CH82" s="93" t="str">
        <f t="shared" si="192"/>
        <v>Aterro 02</v>
      </c>
    </row>
    <row r="83" spans="1:86" s="16" customFormat="1" ht="20.45" hidden="1" customHeight="1" outlineLevel="2">
      <c r="A83" s="74"/>
      <c r="B83" s="1078" t="s">
        <v>3888</v>
      </c>
      <c r="C83" s="1014" t="s">
        <v>36</v>
      </c>
      <c r="D83" s="2"/>
      <c r="E83" s="1004">
        <v>182492.45</v>
      </c>
      <c r="F83" s="2"/>
      <c r="G83" s="49" t="s">
        <v>37</v>
      </c>
      <c r="H83" s="705">
        <f t="shared" si="196"/>
        <v>0</v>
      </c>
      <c r="I83" s="878" t="str">
        <f t="shared" ref="I83" si="210">IF(H83=0,IF(H84&gt;0,1,"-"),IFERROR(H84/H83,"-"))</f>
        <v>-</v>
      </c>
      <c r="J83" s="2"/>
      <c r="K83" s="705"/>
      <c r="L83" s="705"/>
      <c r="M83" s="705"/>
      <c r="N83" s="705"/>
      <c r="O83" s="705"/>
      <c r="P83" s="705"/>
      <c r="Q83" s="705"/>
      <c r="R83" s="2"/>
      <c r="S83" s="705">
        <f t="shared" si="207"/>
        <v>0</v>
      </c>
      <c r="T83" s="878" t="str">
        <f>IFERROR((S84/S83),"-")</f>
        <v>-</v>
      </c>
      <c r="U83" s="2"/>
      <c r="V83" s="705"/>
      <c r="W83" s="705"/>
      <c r="X83" s="705"/>
      <c r="Y83" s="705"/>
      <c r="Z83" s="705"/>
      <c r="AA83" s="705"/>
      <c r="AB83" s="705"/>
      <c r="AC83" s="2"/>
      <c r="AD83" s="705">
        <f ca="1">SUMIF($V$7:AB$7,"&lt;="&amp;$I$7,V83:AA83)</f>
        <v>0</v>
      </c>
      <c r="AE83" s="878" t="str">
        <f ca="1">IFERROR((AD84/AD83),"-")</f>
        <v>-</v>
      </c>
      <c r="AF83" s="2"/>
      <c r="AG83" s="705"/>
      <c r="AH83" s="705"/>
      <c r="AI83" s="705"/>
      <c r="AJ83" s="705"/>
      <c r="AK83" s="705"/>
      <c r="AL83" s="705"/>
      <c r="AM83" s="705"/>
      <c r="AN83" s="2"/>
      <c r="AO83" s="705">
        <f ca="1">SUMIF($AG$7:AM$7,"&lt;="&amp;$I$7,AG83:AL83)</f>
        <v>0</v>
      </c>
      <c r="AP83" s="878" t="str">
        <f ca="1">IFERROR((AO84/AO83),"-")</f>
        <v>-</v>
      </c>
      <c r="AQ83" s="2"/>
      <c r="AR83" s="705"/>
      <c r="AS83" s="705"/>
      <c r="AT83" s="705"/>
      <c r="AU83" s="705"/>
      <c r="AV83" s="705"/>
      <c r="AW83" s="705"/>
      <c r="AX83" s="705"/>
      <c r="AY83" s="2"/>
      <c r="AZ83" s="705">
        <f ca="1">SUMIF($AR$7:AX$7,"&lt;="&amp;$I$7,AR83:AW83)</f>
        <v>0</v>
      </c>
      <c r="BA83" s="878" t="str">
        <f ca="1">IFERROR((AZ84/AZ83),"-")</f>
        <v>-</v>
      </c>
      <c r="BB83" s="2"/>
      <c r="BC83" s="705"/>
      <c r="BD83" s="705"/>
      <c r="BE83" s="705"/>
      <c r="BF83" s="705"/>
      <c r="BG83" s="705"/>
      <c r="BH83" s="705"/>
      <c r="BI83" s="705"/>
      <c r="BJ83" s="2"/>
      <c r="BK83" s="705">
        <f ca="1">SUMIF($BC$7:BI$7,"&lt;="&amp;$I$7,BC83:BH83)</f>
        <v>0</v>
      </c>
      <c r="BL83" s="878" t="str">
        <f ca="1">IFERROR((BK84/BK83),"-")</f>
        <v>-</v>
      </c>
      <c r="BM83" s="2"/>
      <c r="BN83" s="884">
        <v>0</v>
      </c>
      <c r="BO83" s="884">
        <v>0</v>
      </c>
      <c r="BP83" s="884">
        <f>SUM(M84:P84,V84:AB84,AG84:AM84,AR84:AX84,BC84:BI84)</f>
        <v>0</v>
      </c>
      <c r="BQ83" s="878" t="str">
        <f t="shared" ref="BQ83" si="211">IF(AND(BO83=0,BP83=0),"-",IF(BO83=0,1,BP83/BO83))</f>
        <v>-</v>
      </c>
      <c r="BR83" s="2"/>
      <c r="BS83" s="884">
        <v>182492.45</v>
      </c>
      <c r="BT83" s="884"/>
      <c r="BU83" s="884">
        <f ca="1">E83+S84+AD84+AO84+AZ84+BK84</f>
        <v>182492.45</v>
      </c>
      <c r="BV83" s="884">
        <v>104</v>
      </c>
      <c r="BW83" s="1004">
        <f ca="1">IFERROR((BU83/BV83),"-")</f>
        <v>1754.7350961538464</v>
      </c>
      <c r="BX83" s="884">
        <v>182492.45</v>
      </c>
      <c r="BY83" s="878">
        <f ca="1">IFERROR((BU83/BX83),"-")</f>
        <v>1</v>
      </c>
      <c r="BZ83" s="2"/>
      <c r="CA83" s="884">
        <f t="shared" ref="CA83" ca="1" si="212">BU83</f>
        <v>182492.45</v>
      </c>
      <c r="CB83" s="884">
        <f t="shared" ref="CB83" ca="1" si="213">CA83-BU83</f>
        <v>0</v>
      </c>
      <c r="CC83" s="2"/>
      <c r="CD83" s="504">
        <f>IFERROR(AVERAGEIF($V$7:AB$7,"&lt;="&amp;$I$7,V83:AB83),0)</f>
        <v>0</v>
      </c>
      <c r="CE83" s="2"/>
      <c r="CH83" s="93" t="str">
        <f t="shared" si="192"/>
        <v>Aterro 03</v>
      </c>
    </row>
    <row r="84" spans="1:86" s="16" customFormat="1" ht="20.45" hidden="1" customHeight="1" outlineLevel="2">
      <c r="A84" s="74"/>
      <c r="B84" s="1042"/>
      <c r="C84" s="1034"/>
      <c r="D84" s="2"/>
      <c r="E84" s="1024"/>
      <c r="F84" s="2"/>
      <c r="G84" s="50" t="s">
        <v>38</v>
      </c>
      <c r="H84" s="705">
        <f t="shared" si="196"/>
        <v>0</v>
      </c>
      <c r="I84" s="879"/>
      <c r="J84" s="2"/>
      <c r="K84" s="76"/>
      <c r="L84" s="76"/>
      <c r="M84" s="76"/>
      <c r="N84" s="76"/>
      <c r="O84" s="76"/>
      <c r="P84" s="76"/>
      <c r="Q84" s="706"/>
      <c r="R84" s="2"/>
      <c r="S84" s="705">
        <f t="shared" si="207"/>
        <v>0</v>
      </c>
      <c r="T84" s="879"/>
      <c r="U84" s="2"/>
      <c r="V84" s="76"/>
      <c r="W84" s="76"/>
      <c r="X84" s="76"/>
      <c r="Y84" s="76"/>
      <c r="Z84" s="76"/>
      <c r="AA84" s="76"/>
      <c r="AB84" s="706"/>
      <c r="AC84" s="2"/>
      <c r="AD84" s="705">
        <f ca="1">SUMIF($V$7:AB$7,"&lt;="&amp;$I$7,V84:AA84)</f>
        <v>0</v>
      </c>
      <c r="AE84" s="879"/>
      <c r="AF84" s="2"/>
      <c r="AG84" s="76"/>
      <c r="AH84" s="76"/>
      <c r="AI84" s="76"/>
      <c r="AJ84" s="76"/>
      <c r="AK84" s="76"/>
      <c r="AL84" s="76"/>
      <c r="AM84" s="706"/>
      <c r="AN84" s="2"/>
      <c r="AO84" s="705">
        <f ca="1">SUMIF($AG$7:AM$7,"&lt;="&amp;$I$7,AG84:AL84)</f>
        <v>0</v>
      </c>
      <c r="AP84" s="879"/>
      <c r="AQ84" s="2"/>
      <c r="AR84" s="76"/>
      <c r="AS84" s="76"/>
      <c r="AT84" s="76"/>
      <c r="AU84" s="76"/>
      <c r="AV84" s="76"/>
      <c r="AW84" s="76"/>
      <c r="AX84" s="706"/>
      <c r="AY84" s="2"/>
      <c r="AZ84" s="705">
        <f ca="1">SUMIF($AR$7:AX$7,"&lt;="&amp;$I$7,AR84:AW84)</f>
        <v>0</v>
      </c>
      <c r="BA84" s="879"/>
      <c r="BB84" s="2"/>
      <c r="BC84" s="76"/>
      <c r="BD84" s="76"/>
      <c r="BE84" s="76"/>
      <c r="BF84" s="76"/>
      <c r="BG84" s="76"/>
      <c r="BH84" s="76"/>
      <c r="BI84" s="706"/>
      <c r="BJ84" s="2"/>
      <c r="BK84" s="705">
        <f ca="1">SUMIF($BC$7:BI$7,"&lt;="&amp;$I$7,BC84:BH84)</f>
        <v>0</v>
      </c>
      <c r="BL84" s="879"/>
      <c r="BM84" s="2"/>
      <c r="BN84" s="885"/>
      <c r="BO84" s="885"/>
      <c r="BP84" s="885"/>
      <c r="BQ84" s="879"/>
      <c r="BR84" s="2"/>
      <c r="BS84" s="885"/>
      <c r="BT84" s="885"/>
      <c r="BU84" s="885"/>
      <c r="BV84" s="885"/>
      <c r="BW84" s="1005"/>
      <c r="BX84" s="886"/>
      <c r="BY84" s="879"/>
      <c r="BZ84" s="2"/>
      <c r="CA84" s="885"/>
      <c r="CB84" s="885"/>
      <c r="CC84" s="2"/>
      <c r="CD84" s="504">
        <f>IFERROR(AVERAGEIF($V$7:AB$7,"&lt;="&amp;$I$7,V84:AB84),0)</f>
        <v>0</v>
      </c>
      <c r="CE84" s="2"/>
      <c r="CH84" s="93" t="str">
        <f t="shared" si="192"/>
        <v>Aterro 03</v>
      </c>
    </row>
    <row r="85" spans="1:86" s="16" customFormat="1" ht="20.45" hidden="1" customHeight="1" outlineLevel="2">
      <c r="A85" s="74"/>
      <c r="B85" s="1078" t="s">
        <v>3889</v>
      </c>
      <c r="C85" s="1023" t="s">
        <v>36</v>
      </c>
      <c r="D85" s="2"/>
      <c r="E85" s="1004">
        <v>22045.644</v>
      </c>
      <c r="F85" s="2"/>
      <c r="G85" s="49" t="s">
        <v>37</v>
      </c>
      <c r="H85" s="705">
        <f t="shared" si="196"/>
        <v>0</v>
      </c>
      <c r="I85" s="878" t="str">
        <f t="shared" ref="I85" si="214">IF(H85=0,IF(H86&gt;0,1,"-"),IFERROR(H86/H85,"-"))</f>
        <v>-</v>
      </c>
      <c r="J85" s="2"/>
      <c r="K85" s="705"/>
      <c r="L85" s="705"/>
      <c r="M85" s="705"/>
      <c r="N85" s="705"/>
      <c r="O85" s="705"/>
      <c r="P85" s="705"/>
      <c r="Q85" s="705"/>
      <c r="R85" s="2"/>
      <c r="S85" s="705">
        <f t="shared" si="207"/>
        <v>0</v>
      </c>
      <c r="T85" s="878" t="str">
        <f>IFERROR((S86/S85),"-")</f>
        <v>-</v>
      </c>
      <c r="U85" s="2"/>
      <c r="V85" s="705"/>
      <c r="W85" s="705"/>
      <c r="X85" s="705"/>
      <c r="Y85" s="705"/>
      <c r="Z85" s="705"/>
      <c r="AA85" s="705"/>
      <c r="AB85" s="705"/>
      <c r="AC85" s="2"/>
      <c r="AD85" s="705">
        <f ca="1">SUMIF($V$7:AB$7,"&lt;="&amp;$I$7,V85:AA85)</f>
        <v>0</v>
      </c>
      <c r="AE85" s="878" t="str">
        <f ca="1">IFERROR((AD86/AD85),"-")</f>
        <v>-</v>
      </c>
      <c r="AF85" s="2"/>
      <c r="AG85" s="705"/>
      <c r="AH85" s="705"/>
      <c r="AI85" s="705"/>
      <c r="AJ85" s="705"/>
      <c r="AK85" s="705"/>
      <c r="AL85" s="705"/>
      <c r="AM85" s="705"/>
      <c r="AN85" s="2"/>
      <c r="AO85" s="705">
        <f ca="1">SUMIF($AG$7:AM$7,"&lt;="&amp;$I$7,AG85:AL85)</f>
        <v>0</v>
      </c>
      <c r="AP85" s="878" t="str">
        <f ca="1">IFERROR((AO86/AO85),"-")</f>
        <v>-</v>
      </c>
      <c r="AQ85" s="2"/>
      <c r="AR85" s="705"/>
      <c r="AS85" s="705"/>
      <c r="AT85" s="705"/>
      <c r="AU85" s="705"/>
      <c r="AV85" s="705"/>
      <c r="AW85" s="705"/>
      <c r="AX85" s="705"/>
      <c r="AY85" s="2"/>
      <c r="AZ85" s="705">
        <f ca="1">SUMIF($AR$7:AX$7,"&lt;="&amp;$I$7,AR85:AW85)</f>
        <v>0</v>
      </c>
      <c r="BA85" s="878" t="str">
        <f ca="1">IFERROR((AZ86/AZ85),"-")</f>
        <v>-</v>
      </c>
      <c r="BB85" s="2"/>
      <c r="BC85" s="705"/>
      <c r="BD85" s="705"/>
      <c r="BE85" s="705"/>
      <c r="BF85" s="705"/>
      <c r="BG85" s="705"/>
      <c r="BH85" s="705"/>
      <c r="BI85" s="705"/>
      <c r="BJ85" s="2"/>
      <c r="BK85" s="705">
        <f ca="1">SUMIF($BC$7:BI$7,"&lt;="&amp;$I$7,BC85:BH85)</f>
        <v>0</v>
      </c>
      <c r="BL85" s="878" t="str">
        <f ca="1">IFERROR((BK86/BK85),"-")</f>
        <v>-</v>
      </c>
      <c r="BM85" s="2"/>
      <c r="BN85" s="921">
        <v>0</v>
      </c>
      <c r="BO85" s="884">
        <v>0</v>
      </c>
      <c r="BP85" s="884">
        <f>SUM(M86:P86,V86:AB86,AG86:AM86,AR86:AX86,BC86:BI86)</f>
        <v>0</v>
      </c>
      <c r="BQ85" s="878" t="str">
        <f t="shared" ref="BQ85" si="215">IF(AND(BO85=0,BP85=0),"-",IF(BO85=0,1,BP85/BO85))</f>
        <v>-</v>
      </c>
      <c r="BR85" s="2"/>
      <c r="BS85" s="884">
        <v>22045.644</v>
      </c>
      <c r="BT85" s="884"/>
      <c r="BU85" s="884">
        <f ca="1">E85+S86+AD86+AO86+AZ86+BK86</f>
        <v>22045.644</v>
      </c>
      <c r="BV85" s="884">
        <v>104</v>
      </c>
      <c r="BW85" s="1004">
        <f ca="1">IFERROR((BU85/BV85),"-")</f>
        <v>211.97734615384616</v>
      </c>
      <c r="BX85" s="884">
        <v>22045.644</v>
      </c>
      <c r="BY85" s="878">
        <f ca="1">IFERROR((BU85/BX85),"-")</f>
        <v>1</v>
      </c>
      <c r="BZ85" s="2"/>
      <c r="CA85" s="884">
        <f t="shared" ref="CA85" ca="1" si="216">BU85</f>
        <v>22045.644</v>
      </c>
      <c r="CB85" s="884">
        <f t="shared" ref="CB85" ca="1" si="217">CA85-BU85</f>
        <v>0</v>
      </c>
      <c r="CC85" s="2"/>
      <c r="CD85" s="504">
        <f>IFERROR(AVERAGEIF($V$7:AB$7,"&lt;="&amp;$I$7,V85:AB85),0)</f>
        <v>0</v>
      </c>
      <c r="CE85" s="2"/>
      <c r="CH85" s="93" t="str">
        <f t="shared" si="192"/>
        <v>Aterro 04</v>
      </c>
    </row>
    <row r="86" spans="1:86" s="16" customFormat="1" ht="20.45" hidden="1" customHeight="1" outlineLevel="2">
      <c r="A86" s="74"/>
      <c r="B86" s="1042"/>
      <c r="C86" s="1023"/>
      <c r="D86" s="2"/>
      <c r="E86" s="1024"/>
      <c r="F86" s="2"/>
      <c r="G86" s="50" t="s">
        <v>38</v>
      </c>
      <c r="H86" s="705">
        <f t="shared" si="196"/>
        <v>0</v>
      </c>
      <c r="I86" s="879"/>
      <c r="J86" s="2"/>
      <c r="K86" s="76"/>
      <c r="L86" s="76"/>
      <c r="M86" s="76"/>
      <c r="N86" s="76"/>
      <c r="O86" s="76"/>
      <c r="P86" s="76"/>
      <c r="Q86" s="706"/>
      <c r="R86" s="2"/>
      <c r="S86" s="705">
        <f t="shared" si="207"/>
        <v>0</v>
      </c>
      <c r="T86" s="879"/>
      <c r="U86" s="2"/>
      <c r="V86" s="76"/>
      <c r="W86" s="76"/>
      <c r="X86" s="76"/>
      <c r="Y86" s="76"/>
      <c r="Z86" s="76"/>
      <c r="AA86" s="76"/>
      <c r="AB86" s="706"/>
      <c r="AC86" s="2"/>
      <c r="AD86" s="705">
        <f ca="1">SUMIF($V$7:AB$7,"&lt;="&amp;$I$7,V86:AA86)</f>
        <v>0</v>
      </c>
      <c r="AE86" s="879"/>
      <c r="AF86" s="2"/>
      <c r="AG86" s="76"/>
      <c r="AH86" s="76"/>
      <c r="AI86" s="76"/>
      <c r="AJ86" s="76"/>
      <c r="AK86" s="76"/>
      <c r="AL86" s="76"/>
      <c r="AM86" s="706"/>
      <c r="AN86" s="2"/>
      <c r="AO86" s="705">
        <f ca="1">SUMIF($AG$7:AM$7,"&lt;="&amp;$I$7,AG86:AL86)</f>
        <v>0</v>
      </c>
      <c r="AP86" s="879"/>
      <c r="AQ86" s="2"/>
      <c r="AR86" s="76"/>
      <c r="AS86" s="76"/>
      <c r="AT86" s="76"/>
      <c r="AU86" s="76"/>
      <c r="AV86" s="76"/>
      <c r="AW86" s="76"/>
      <c r="AX86" s="706"/>
      <c r="AY86" s="2"/>
      <c r="AZ86" s="705">
        <f ca="1">SUMIF($AR$7:AX$7,"&lt;="&amp;$I$7,AR86:AW86)</f>
        <v>0</v>
      </c>
      <c r="BA86" s="879"/>
      <c r="BB86" s="2"/>
      <c r="BC86" s="76"/>
      <c r="BD86" s="76"/>
      <c r="BE86" s="76"/>
      <c r="BF86" s="76"/>
      <c r="BG86" s="76"/>
      <c r="BH86" s="76"/>
      <c r="BI86" s="706"/>
      <c r="BJ86" s="2"/>
      <c r="BK86" s="705">
        <f ca="1">SUMIF($BC$7:BI$7,"&lt;="&amp;$I$7,BC86:BH86)</f>
        <v>0</v>
      </c>
      <c r="BL86" s="879"/>
      <c r="BM86" s="2"/>
      <c r="BN86" s="922"/>
      <c r="BO86" s="885"/>
      <c r="BP86" s="885"/>
      <c r="BQ86" s="879"/>
      <c r="BR86" s="2"/>
      <c r="BS86" s="922"/>
      <c r="BT86" s="922"/>
      <c r="BU86" s="885"/>
      <c r="BV86" s="886"/>
      <c r="BW86" s="1051"/>
      <c r="BX86" s="886"/>
      <c r="BY86" s="1052"/>
      <c r="BZ86" s="2"/>
      <c r="CA86" s="885"/>
      <c r="CB86" s="885"/>
      <c r="CC86" s="2"/>
      <c r="CD86" s="504">
        <f>IFERROR(AVERAGEIF($V$7:AB$7,"&lt;="&amp;$I$7,V86:AB86),0)</f>
        <v>0</v>
      </c>
      <c r="CE86" s="2"/>
      <c r="CH86" s="93" t="str">
        <f t="shared" si="192"/>
        <v>Aterro 04</v>
      </c>
    </row>
    <row r="87" spans="1:86" s="16" customFormat="1" ht="20.45" hidden="1" customHeight="1" outlineLevel="2">
      <c r="A87" s="74"/>
      <c r="B87" s="1078" t="s">
        <v>3890</v>
      </c>
      <c r="C87" s="1023" t="s">
        <v>36</v>
      </c>
      <c r="D87" s="2"/>
      <c r="E87" s="1004">
        <v>2889.73</v>
      </c>
      <c r="F87" s="2"/>
      <c r="G87" s="49" t="s">
        <v>37</v>
      </c>
      <c r="H87" s="705">
        <f t="shared" si="196"/>
        <v>0</v>
      </c>
      <c r="I87" s="878" t="str">
        <f t="shared" ref="I87" si="218">IF(H87=0,IF(H88&gt;0,1,"-"),IFERROR(H88/H87,"-"))</f>
        <v>-</v>
      </c>
      <c r="J87" s="2"/>
      <c r="K87" s="705"/>
      <c r="L87" s="705"/>
      <c r="M87" s="705"/>
      <c r="N87" s="705"/>
      <c r="O87" s="705"/>
      <c r="P87" s="705"/>
      <c r="Q87" s="705"/>
      <c r="R87" s="2"/>
      <c r="S87" s="705">
        <f t="shared" si="207"/>
        <v>0</v>
      </c>
      <c r="T87" s="878" t="str">
        <f>IFERROR((S88/S87),"-")</f>
        <v>-</v>
      </c>
      <c r="U87" s="2"/>
      <c r="V87" s="705"/>
      <c r="W87" s="705"/>
      <c r="X87" s="705"/>
      <c r="Y87" s="705"/>
      <c r="Z87" s="705"/>
      <c r="AA87" s="705"/>
      <c r="AB87" s="705"/>
      <c r="AC87" s="2"/>
      <c r="AD87" s="705">
        <f ca="1">SUMIF($V$7:AB$7,"&lt;="&amp;$I$7,V87:AA87)</f>
        <v>0</v>
      </c>
      <c r="AE87" s="878" t="str">
        <f ca="1">IFERROR((AD88/AD87),"-")</f>
        <v>-</v>
      </c>
      <c r="AF87" s="2"/>
      <c r="AG87" s="705"/>
      <c r="AH87" s="705"/>
      <c r="AI87" s="705"/>
      <c r="AJ87" s="705"/>
      <c r="AK87" s="705"/>
      <c r="AL87" s="705"/>
      <c r="AM87" s="705"/>
      <c r="AN87" s="2"/>
      <c r="AO87" s="705">
        <f ca="1">SUMIF($AG$7:AM$7,"&lt;="&amp;$I$7,AG87:AL87)</f>
        <v>0</v>
      </c>
      <c r="AP87" s="878" t="str">
        <f ca="1">IFERROR((AO88/AO87),"-")</f>
        <v>-</v>
      </c>
      <c r="AQ87" s="2"/>
      <c r="AR87" s="705"/>
      <c r="AS87" s="705"/>
      <c r="AT87" s="705"/>
      <c r="AU87" s="705"/>
      <c r="AV87" s="705"/>
      <c r="AW87" s="705"/>
      <c r="AX87" s="705"/>
      <c r="AY87" s="2"/>
      <c r="AZ87" s="705">
        <f ca="1">SUMIF($AR$7:AX$7,"&lt;="&amp;$I$7,AR87:AW87)</f>
        <v>0</v>
      </c>
      <c r="BA87" s="878" t="str">
        <f ca="1">IFERROR((AZ88/AZ87),"-")</f>
        <v>-</v>
      </c>
      <c r="BB87" s="2"/>
      <c r="BC87" s="705"/>
      <c r="BD87" s="705"/>
      <c r="BE87" s="705"/>
      <c r="BF87" s="705"/>
      <c r="BG87" s="705"/>
      <c r="BH87" s="705"/>
      <c r="BI87" s="705"/>
      <c r="BJ87" s="2"/>
      <c r="BK87" s="705">
        <f ca="1">SUMIF($BC$7:BI$7,"&lt;="&amp;$I$7,BC87:BH87)</f>
        <v>0</v>
      </c>
      <c r="BL87" s="878" t="str">
        <f ca="1">IFERROR((BK88/BK87),"-")</f>
        <v>-</v>
      </c>
      <c r="BM87" s="2"/>
      <c r="BN87" s="921">
        <v>0</v>
      </c>
      <c r="BO87" s="884">
        <v>0</v>
      </c>
      <c r="BP87" s="884">
        <f>SUM(M88:P88,V88:AB88,AG88:AM88,AR88:AX88,BC88:BI88)</f>
        <v>0</v>
      </c>
      <c r="BQ87" s="878" t="str">
        <f t="shared" ref="BQ87" si="219">IF(AND(BO87=0,BP87=0),"-",IF(BO87=0,1,BP87/BO87))</f>
        <v>-</v>
      </c>
      <c r="BR87" s="2"/>
      <c r="BS87" s="884">
        <v>2889.73</v>
      </c>
      <c r="BT87" s="884"/>
      <c r="BU87" s="884">
        <f ca="1">E87+S88+AD88+AO88+AZ88+BK88</f>
        <v>2889.73</v>
      </c>
      <c r="BV87" s="884">
        <v>104</v>
      </c>
      <c r="BW87" s="1004">
        <f ca="1">IFERROR((BU87/BV87),"-")</f>
        <v>27.785865384615384</v>
      </c>
      <c r="BX87" s="884">
        <v>2889.73</v>
      </c>
      <c r="BY87" s="878">
        <f ca="1">IFERROR((BU87/BX87),"-")</f>
        <v>1</v>
      </c>
      <c r="BZ87" s="2"/>
      <c r="CA87" s="884">
        <f t="shared" ref="CA87" ca="1" si="220">BU87</f>
        <v>2889.73</v>
      </c>
      <c r="CB87" s="884">
        <f t="shared" ref="CB87" ca="1" si="221">CA87-BU87</f>
        <v>0</v>
      </c>
      <c r="CC87" s="2"/>
      <c r="CD87" s="504">
        <f>IFERROR(AVERAGEIF($V$7:AB$7,"&lt;="&amp;$I$7,V87:AB87),0)</f>
        <v>0</v>
      </c>
      <c r="CE87" s="2"/>
      <c r="CH87" s="93" t="str">
        <f t="shared" si="192"/>
        <v>Aterro 05</v>
      </c>
    </row>
    <row r="88" spans="1:86" s="16" customFormat="1" ht="20.45" hidden="1" customHeight="1" outlineLevel="2">
      <c r="A88" s="74"/>
      <c r="B88" s="1042"/>
      <c r="C88" s="1023"/>
      <c r="D88" s="2"/>
      <c r="E88" s="1024"/>
      <c r="F88" s="2"/>
      <c r="G88" s="50" t="s">
        <v>38</v>
      </c>
      <c r="H88" s="705">
        <f t="shared" si="196"/>
        <v>0</v>
      </c>
      <c r="I88" s="879"/>
      <c r="J88" s="2"/>
      <c r="K88" s="76"/>
      <c r="L88" s="76"/>
      <c r="M88" s="76"/>
      <c r="N88" s="76"/>
      <c r="O88" s="76"/>
      <c r="P88" s="76"/>
      <c r="Q88" s="706"/>
      <c r="R88" s="2"/>
      <c r="S88" s="705">
        <f t="shared" si="207"/>
        <v>0</v>
      </c>
      <c r="T88" s="879"/>
      <c r="U88" s="2"/>
      <c r="V88" s="76"/>
      <c r="W88" s="76"/>
      <c r="X88" s="76"/>
      <c r="Y88" s="76"/>
      <c r="Z88" s="76"/>
      <c r="AA88" s="76"/>
      <c r="AB88" s="706"/>
      <c r="AC88" s="2"/>
      <c r="AD88" s="705">
        <f ca="1">SUMIF($V$7:AB$7,"&lt;="&amp;$I$7,V88:AA88)</f>
        <v>0</v>
      </c>
      <c r="AE88" s="879"/>
      <c r="AF88" s="2"/>
      <c r="AG88" s="76"/>
      <c r="AH88" s="76"/>
      <c r="AI88" s="76"/>
      <c r="AJ88" s="76"/>
      <c r="AK88" s="76"/>
      <c r="AL88" s="76"/>
      <c r="AM88" s="706"/>
      <c r="AN88" s="2"/>
      <c r="AO88" s="705">
        <f ca="1">SUMIF($AG$7:AM$7,"&lt;="&amp;$I$7,AG88:AL88)</f>
        <v>0</v>
      </c>
      <c r="AP88" s="879"/>
      <c r="AQ88" s="2"/>
      <c r="AR88" s="76"/>
      <c r="AS88" s="76"/>
      <c r="AT88" s="76"/>
      <c r="AU88" s="76"/>
      <c r="AV88" s="76"/>
      <c r="AW88" s="76"/>
      <c r="AX88" s="706"/>
      <c r="AY88" s="2"/>
      <c r="AZ88" s="705">
        <f ca="1">SUMIF($AR$7:AX$7,"&lt;="&amp;$I$7,AR88:AW88)</f>
        <v>0</v>
      </c>
      <c r="BA88" s="879"/>
      <c r="BB88" s="2"/>
      <c r="BC88" s="76"/>
      <c r="BD88" s="76"/>
      <c r="BE88" s="76"/>
      <c r="BF88" s="76"/>
      <c r="BG88" s="76"/>
      <c r="BH88" s="76"/>
      <c r="BI88" s="706"/>
      <c r="BJ88" s="2"/>
      <c r="BK88" s="705">
        <f ca="1">SUMIF($BC$7:BI$7,"&lt;="&amp;$I$7,BC88:BH88)</f>
        <v>0</v>
      </c>
      <c r="BL88" s="879"/>
      <c r="BM88" s="2"/>
      <c r="BN88" s="922"/>
      <c r="BO88" s="885"/>
      <c r="BP88" s="885"/>
      <c r="BQ88" s="879"/>
      <c r="BR88" s="2"/>
      <c r="BS88" s="922"/>
      <c r="BT88" s="922"/>
      <c r="BU88" s="885"/>
      <c r="BV88" s="886"/>
      <c r="BW88" s="1051"/>
      <c r="BX88" s="886"/>
      <c r="BY88" s="1052"/>
      <c r="BZ88" s="2"/>
      <c r="CA88" s="885"/>
      <c r="CB88" s="885"/>
      <c r="CC88" s="2"/>
      <c r="CD88" s="504">
        <f>IFERROR(AVERAGEIF($V$7:AB$7,"&lt;="&amp;$I$7,V88:AB88),0)</f>
        <v>0</v>
      </c>
      <c r="CE88" s="2"/>
      <c r="CH88" s="93" t="str">
        <f t="shared" si="192"/>
        <v>Aterro 05</v>
      </c>
    </row>
    <row r="89" spans="1:86" ht="18.95" hidden="1" customHeight="1" outlineLevel="2">
      <c r="A89" s="74" t="s">
        <v>3891</v>
      </c>
      <c r="B89" s="1078" t="s">
        <v>3892</v>
      </c>
      <c r="C89" s="1023" t="s">
        <v>36</v>
      </c>
      <c r="D89" s="2"/>
      <c r="E89" s="1004">
        <v>714313.8529323308</v>
      </c>
      <c r="F89" s="2"/>
      <c r="G89" s="49" t="s">
        <v>37</v>
      </c>
      <c r="H89" s="705">
        <f t="shared" si="196"/>
        <v>3759.3984962406012</v>
      </c>
      <c r="I89" s="878">
        <f t="shared" ref="I89" si="222">IF(H89=0,IF(H90&gt;0,1,"-"),IFERROR(H90/H89,"-"))</f>
        <v>0.78879906</v>
      </c>
      <c r="J89" s="2"/>
      <c r="K89" s="705">
        <v>1503.7593984962405</v>
      </c>
      <c r="L89" s="705">
        <v>2631.5789473684208</v>
      </c>
      <c r="M89" s="705">
        <v>2631.5789473684208</v>
      </c>
      <c r="N89" s="705">
        <v>2631.5789473684208</v>
      </c>
      <c r="O89" s="705">
        <v>2631.5789473684208</v>
      </c>
      <c r="P89" s="705">
        <v>2631.5789473684208</v>
      </c>
      <c r="Q89" s="705"/>
      <c r="R89" s="2"/>
      <c r="S89" s="705">
        <f ca="1">SUMIF($K$7:Q$7,"&lt;="&amp;$I$7,K89:P89)</f>
        <v>14661.654135338344</v>
      </c>
      <c r="T89" s="878">
        <f ca="1">IFERROR((S90/S89),"-")</f>
        <v>0.90792289743589771</v>
      </c>
      <c r="U89" s="2"/>
      <c r="V89" s="705">
        <v>3759.3984962406012</v>
      </c>
      <c r="W89" s="705">
        <v>3759.3984962406012</v>
      </c>
      <c r="X89" s="705">
        <v>3759.3984962406012</v>
      </c>
      <c r="Y89" s="705">
        <v>3759.3984962406012</v>
      </c>
      <c r="Z89" s="705">
        <v>3759.3984962406012</v>
      </c>
      <c r="AA89" s="705">
        <v>3759.3984962406012</v>
      </c>
      <c r="AB89" s="705"/>
      <c r="AC89" s="2"/>
      <c r="AD89" s="705">
        <f ca="1">SUMIF($V$7:AB$7,"&lt;="&amp;$I$7,V89:AA89)</f>
        <v>22556.390977443611</v>
      </c>
      <c r="AE89" s="878">
        <f ca="1">IFERROR((AD90/AD89),"-")</f>
        <v>0.58145028666666676</v>
      </c>
      <c r="AF89" s="2"/>
      <c r="AG89" s="705">
        <v>3759.3984962406012</v>
      </c>
      <c r="AH89" s="705">
        <v>3759.3984962406012</v>
      </c>
      <c r="AI89" s="705">
        <v>3759.3984962406012</v>
      </c>
      <c r="AJ89" s="705">
        <v>3759.3984962406012</v>
      </c>
      <c r="AK89" s="705">
        <v>3759.3984962406012</v>
      </c>
      <c r="AL89" s="705">
        <v>3759.3984962406012</v>
      </c>
      <c r="AM89" s="705"/>
      <c r="AN89" s="2"/>
      <c r="AO89" s="705">
        <f ca="1">SUMIF($AG$7:AM$7,"&lt;="&amp;$I$7,AG89:AL89)</f>
        <v>7518.7969924812023</v>
      </c>
      <c r="AP89" s="878">
        <f ca="1">IFERROR((AO90/AO89),"-")</f>
        <v>0.39439953</v>
      </c>
      <c r="AQ89" s="2"/>
      <c r="AR89" s="705"/>
      <c r="AS89" s="705"/>
      <c r="AT89" s="705"/>
      <c r="AU89" s="705"/>
      <c r="AV89" s="705"/>
      <c r="AW89" s="705"/>
      <c r="AX89" s="705"/>
      <c r="AY89" s="2"/>
      <c r="AZ89" s="705">
        <f ca="1">SUMIF($AR$7:AX$7,"&lt;="&amp;$I$7,AR89:AW89)</f>
        <v>0</v>
      </c>
      <c r="BA89" s="878" t="str">
        <f ca="1">IFERROR((AZ90/AZ89),"-")</f>
        <v>-</v>
      </c>
      <c r="BB89" s="2"/>
      <c r="BC89" s="705"/>
      <c r="BD89" s="705"/>
      <c r="BE89" s="705"/>
      <c r="BF89" s="705"/>
      <c r="BG89" s="705"/>
      <c r="BH89" s="705"/>
      <c r="BI89" s="705"/>
      <c r="BJ89" s="2"/>
      <c r="BK89" s="705">
        <f ca="1">SUMIF($BC$7:BI$7,"&lt;="&amp;$I$7,BC89:BH89)</f>
        <v>0</v>
      </c>
      <c r="BL89" s="878" t="str">
        <f ca="1">IFERROR((BK90/BK89),"-")</f>
        <v>-</v>
      </c>
      <c r="BM89" s="2"/>
      <c r="BN89" s="921">
        <v>66359.829999999987</v>
      </c>
      <c r="BO89" s="884">
        <v>28852.099999999995</v>
      </c>
      <c r="BP89" s="884">
        <f>SUM(M90:P90,V90:AB90,AG90:AM90,AR90:AX90,BC90:BI90)</f>
        <v>24868.051503759401</v>
      </c>
      <c r="BQ89" s="878">
        <f t="shared" ref="BQ89" si="223">IF(AND(BO89=0,BP89=0),"-",IF(BO89=0,1,BP89/BO89))</f>
        <v>0.86191478276310585</v>
      </c>
      <c r="BR89" s="2"/>
      <c r="BS89" s="884">
        <v>686077</v>
      </c>
      <c r="BT89" s="884"/>
      <c r="BU89" s="884">
        <f ca="1">E89+S90+AD90+AO90+AZ90+BK90</f>
        <v>743706.33443609031</v>
      </c>
      <c r="BV89" s="884">
        <v>104</v>
      </c>
      <c r="BW89" s="1004">
        <f ca="1">IFERROR((BU89/BV89),"-")</f>
        <v>7151.0224465008687</v>
      </c>
      <c r="BX89" s="884">
        <v>686077</v>
      </c>
      <c r="BY89" s="878">
        <f ca="1">IFERROR((BU89/BX89),"-")</f>
        <v>1.0839983477599311</v>
      </c>
      <c r="BZ89" s="2"/>
      <c r="CA89" s="884">
        <f ca="1">BU89+173112.57</f>
        <v>916818.90443609026</v>
      </c>
      <c r="CB89" s="884">
        <f t="shared" ref="CB89" ca="1" si="224">CA89-BU89</f>
        <v>173112.56999999995</v>
      </c>
      <c r="CC89" s="2"/>
      <c r="CD89" s="504">
        <f>IFERROR(AVERAGEIF($V$7:AB$7,"&lt;="&amp;$I$7,V89:AB89),0)</f>
        <v>3759.3984962406016</v>
      </c>
      <c r="CE89" s="2"/>
      <c r="CH89" s="93" t="str">
        <f t="shared" si="192"/>
        <v>Aterro 06</v>
      </c>
    </row>
    <row r="90" spans="1:86" ht="18.95" hidden="1" customHeight="1" outlineLevel="2">
      <c r="A90" s="74"/>
      <c r="B90" s="1042"/>
      <c r="C90" s="1023"/>
      <c r="D90" s="2"/>
      <c r="E90" s="1024"/>
      <c r="F90" s="2"/>
      <c r="G90" s="50" t="s">
        <v>38</v>
      </c>
      <c r="H90" s="705">
        <f t="shared" si="196"/>
        <v>2965.41</v>
      </c>
      <c r="I90" s="879"/>
      <c r="J90" s="2"/>
      <c r="K90" s="76">
        <v>2147.7399999999998</v>
      </c>
      <c r="L90" s="76">
        <v>2376.69</v>
      </c>
      <c r="M90" s="76">
        <v>1798.87</v>
      </c>
      <c r="N90" s="76">
        <v>3227.07</v>
      </c>
      <c r="O90" s="76">
        <v>1940.6015037593984</v>
      </c>
      <c r="P90" s="76">
        <v>1820.68</v>
      </c>
      <c r="Q90" s="706"/>
      <c r="R90" s="2"/>
      <c r="S90" s="705">
        <f ca="1">SUMIF($K$7:Q$7,"&lt;="&amp;$I$7,K90:P90)</f>
        <v>13311.6515037594</v>
      </c>
      <c r="T90" s="879"/>
      <c r="U90" s="2"/>
      <c r="V90" s="76">
        <v>2289.4699999999998</v>
      </c>
      <c r="W90" s="76">
        <v>1973.31</v>
      </c>
      <c r="X90" s="76">
        <v>2529.3200000000002</v>
      </c>
      <c r="Y90" s="76">
        <v>2006.02</v>
      </c>
      <c r="Z90" s="76">
        <v>2016.92</v>
      </c>
      <c r="AA90" s="76">
        <v>2300.38</v>
      </c>
      <c r="AB90" s="706"/>
      <c r="AC90" s="2"/>
      <c r="AD90" s="705">
        <f ca="1">SUMIF($V$7:AB$7,"&lt;="&amp;$I$7,V90:AA90)</f>
        <v>13115.420000000002</v>
      </c>
      <c r="AE90" s="879"/>
      <c r="AF90" s="2"/>
      <c r="AG90" s="76"/>
      <c r="AH90" s="76">
        <v>2965.41</v>
      </c>
      <c r="AI90" s="76"/>
      <c r="AJ90" s="76"/>
      <c r="AK90" s="76"/>
      <c r="AL90" s="76"/>
      <c r="AM90" s="706"/>
      <c r="AN90" s="2"/>
      <c r="AO90" s="705">
        <f ca="1">SUMIF($AG$7:AM$7,"&lt;="&amp;$I$7,AG90:AL90)</f>
        <v>2965.41</v>
      </c>
      <c r="AP90" s="879"/>
      <c r="AQ90" s="2"/>
      <c r="AR90" s="76"/>
      <c r="AS90" s="76"/>
      <c r="AT90" s="76"/>
      <c r="AU90" s="76"/>
      <c r="AV90" s="76"/>
      <c r="AW90" s="76"/>
      <c r="AX90" s="706"/>
      <c r="AY90" s="2"/>
      <c r="AZ90" s="705">
        <f ca="1">SUMIF($AR$7:AX$7,"&lt;="&amp;$I$7,AR90:AW90)</f>
        <v>0</v>
      </c>
      <c r="BA90" s="879"/>
      <c r="BB90" s="2"/>
      <c r="BC90" s="76"/>
      <c r="BD90" s="76"/>
      <c r="BE90" s="76"/>
      <c r="BF90" s="76"/>
      <c r="BG90" s="76"/>
      <c r="BH90" s="76"/>
      <c r="BI90" s="706"/>
      <c r="BJ90" s="2"/>
      <c r="BK90" s="705">
        <f ca="1">SUMIF($BC$7:BI$7,"&lt;="&amp;$I$7,BC90:BH90)</f>
        <v>0</v>
      </c>
      <c r="BL90" s="879"/>
      <c r="BM90" s="2"/>
      <c r="BN90" s="922"/>
      <c r="BO90" s="885"/>
      <c r="BP90" s="885"/>
      <c r="BQ90" s="879"/>
      <c r="BR90" s="2"/>
      <c r="BS90" s="922"/>
      <c r="BT90" s="922"/>
      <c r="BU90" s="885"/>
      <c r="BV90" s="886"/>
      <c r="BW90" s="1051"/>
      <c r="BX90" s="922"/>
      <c r="BY90" s="1052"/>
      <c r="BZ90" s="2"/>
      <c r="CA90" s="922"/>
      <c r="CB90" s="885"/>
      <c r="CC90" s="2"/>
      <c r="CD90" s="504">
        <f>IFERROR(AVERAGEIF($V$7:AB$7,"&lt;="&amp;$I$7,V90:AB90),0)</f>
        <v>2185.9033333333336</v>
      </c>
      <c r="CE90" s="2"/>
      <c r="CH90" s="93" t="str">
        <f t="shared" si="192"/>
        <v>Aterro 06</v>
      </c>
    </row>
    <row r="91" spans="1:86" s="21" customFormat="1" ht="18.95" hidden="1" customHeight="1" outlineLevel="1" collapsed="1">
      <c r="A91" s="69"/>
      <c r="B91" s="3"/>
      <c r="C91"/>
      <c r="D91" s="3"/>
      <c r="E91"/>
      <c r="F91" s="3"/>
      <c r="G91"/>
      <c r="H91" s="58"/>
      <c r="I91"/>
      <c r="J91" s="3"/>
      <c r="K91" s="37"/>
      <c r="L91" s="37"/>
      <c r="M91" s="37"/>
      <c r="N91" s="37"/>
      <c r="O91" s="37"/>
      <c r="P91" s="37"/>
      <c r="Q91" s="37"/>
      <c r="R91" s="3"/>
      <c r="S91" s="37"/>
      <c r="T91" s="3"/>
      <c r="U91" s="3"/>
      <c r="V91" s="37"/>
      <c r="W91" s="37"/>
      <c r="X91" s="37"/>
      <c r="Y91" s="37"/>
      <c r="Z91" s="37"/>
      <c r="AA91" s="37"/>
      <c r="AB91" s="37"/>
      <c r="AC91" s="3"/>
      <c r="AD91" s="37"/>
      <c r="AE91" s="3"/>
      <c r="AF91" s="3"/>
      <c r="AG91" s="37"/>
      <c r="AH91" s="37"/>
      <c r="AI91" s="37"/>
      <c r="AJ91" s="37"/>
      <c r="AK91" s="37"/>
      <c r="AL91" s="37"/>
      <c r="AM91" s="37"/>
      <c r="AN91" s="3"/>
      <c r="AO91" s="37"/>
      <c r="AP91" s="3"/>
      <c r="AQ91" s="3"/>
      <c r="AR91" s="37"/>
      <c r="AS91" s="37"/>
      <c r="AT91" s="37"/>
      <c r="AU91" s="37"/>
      <c r="AV91" s="37"/>
      <c r="AW91" s="37"/>
      <c r="AX91" s="37"/>
      <c r="AY91" s="3"/>
      <c r="AZ91" s="37"/>
      <c r="BA91" s="3"/>
      <c r="BB91" s="3"/>
      <c r="BC91" s="37"/>
      <c r="BD91" s="37"/>
      <c r="BE91" s="37"/>
      <c r="BF91" s="37"/>
      <c r="BG91" s="37"/>
      <c r="BH91" s="37"/>
      <c r="BI91" s="37"/>
      <c r="BJ91" s="3"/>
      <c r="BK91" s="37"/>
      <c r="BL91" s="3"/>
      <c r="BM91" s="3"/>
      <c r="BN91" s="35"/>
      <c r="BO91" s="35"/>
      <c r="BP91" s="35"/>
      <c r="BQ91" s="3"/>
      <c r="BR91" s="3"/>
      <c r="BS91" s="35"/>
      <c r="BT91" s="35"/>
      <c r="BU91" s="35"/>
      <c r="BV91" s="35"/>
      <c r="BW91" s="35"/>
      <c r="BX91" s="35"/>
      <c r="BY91" s="3"/>
      <c r="BZ91" s="3"/>
      <c r="CA91" s="35"/>
      <c r="CB91" s="35"/>
      <c r="CC91" s="3"/>
      <c r="CD91" s="19"/>
      <c r="CE91" s="3"/>
      <c r="CH91" s="93" t="str">
        <f t="shared" si="192"/>
        <v>Aterro 06</v>
      </c>
    </row>
    <row r="92" spans="1:86" s="16" customFormat="1" ht="20.45" hidden="1" customHeight="1" outlineLevel="1">
      <c r="A92" s="69"/>
      <c r="B92" s="3"/>
      <c r="C92" s="3"/>
      <c r="D92" s="3"/>
      <c r="E92" s="3"/>
      <c r="F92" s="3"/>
      <c r="G92" s="3"/>
      <c r="H92" s="35"/>
      <c r="I92" s="3"/>
      <c r="J92" s="3"/>
      <c r="K92" s="37"/>
      <c r="L92" s="37"/>
      <c r="M92" s="37"/>
      <c r="N92" s="37"/>
      <c r="O92" s="37"/>
      <c r="P92" s="37"/>
      <c r="Q92" s="37"/>
      <c r="R92" s="3"/>
      <c r="S92" s="37"/>
      <c r="T92" s="3"/>
      <c r="U92" s="3"/>
      <c r="V92" s="37"/>
      <c r="W92" s="37"/>
      <c r="X92" s="37"/>
      <c r="Y92" s="37"/>
      <c r="Z92" s="37"/>
      <c r="AA92" s="37"/>
      <c r="AB92" s="37"/>
      <c r="AC92" s="3"/>
      <c r="AD92" s="37"/>
      <c r="AE92" s="3"/>
      <c r="AF92" s="3"/>
      <c r="AG92" s="37"/>
      <c r="AH92" s="37"/>
      <c r="AI92" s="37"/>
      <c r="AJ92" s="37"/>
      <c r="AK92" s="37"/>
      <c r="AL92" s="37"/>
      <c r="AM92" s="37"/>
      <c r="AN92" s="3"/>
      <c r="AO92" s="37"/>
      <c r="AP92" s="3"/>
      <c r="AQ92" s="3"/>
      <c r="AR92" s="37"/>
      <c r="AS92" s="37"/>
      <c r="AT92" s="37"/>
      <c r="AU92" s="37"/>
      <c r="AV92" s="37"/>
      <c r="AW92" s="37"/>
      <c r="AX92" s="37"/>
      <c r="AY92" s="3"/>
      <c r="AZ92" s="37"/>
      <c r="BA92" s="3"/>
      <c r="BB92" s="3"/>
      <c r="BC92" s="37"/>
      <c r="BD92" s="37"/>
      <c r="BE92" s="37"/>
      <c r="BF92" s="37"/>
      <c r="BG92" s="37"/>
      <c r="BH92" s="37"/>
      <c r="BI92" s="37"/>
      <c r="BJ92" s="3"/>
      <c r="BK92" s="37"/>
      <c r="BL92" s="3"/>
      <c r="BM92" s="3"/>
      <c r="BN92" s="35"/>
      <c r="BO92" s="35"/>
      <c r="BP92" s="35"/>
      <c r="BQ92" s="3"/>
      <c r="BR92" s="3"/>
      <c r="BS92" s="35"/>
      <c r="BT92" s="35"/>
      <c r="BU92" s="35"/>
      <c r="BV92" s="35"/>
      <c r="BW92" s="35"/>
      <c r="BX92" s="35"/>
      <c r="BY92" s="3"/>
      <c r="BZ92" s="3"/>
      <c r="CA92" s="35"/>
      <c r="CB92" s="35"/>
      <c r="CC92" s="3"/>
      <c r="CD92" s="19"/>
      <c r="CE92" s="3"/>
      <c r="CH92" s="93" t="str">
        <f t="shared" si="192"/>
        <v>Aterro 06</v>
      </c>
    </row>
    <row r="93" spans="1:86" s="16" customFormat="1" ht="20.45" hidden="1" customHeight="1" outlineLevel="1">
      <c r="A93" s="73" t="s">
        <v>3893</v>
      </c>
      <c r="B93" s="1069" t="s">
        <v>3856</v>
      </c>
      <c r="C93" s="1071" t="s">
        <v>36</v>
      </c>
      <c r="D93" s="2"/>
      <c r="E93" s="1019">
        <v>299360.36706766923</v>
      </c>
      <c r="F93" s="2"/>
      <c r="G93" s="53" t="s">
        <v>37</v>
      </c>
      <c r="H93" s="52">
        <f t="shared" ref="H93:H110" si="225">SUMIF($K$7:$BI$7,$I$7,K93:BI93)</f>
        <v>8340</v>
      </c>
      <c r="I93" s="743">
        <f t="shared" ref="I93" si="226">IF(H93=0,IF(H94&gt;0,1,"-"),IFERROR(H94/H93,"-"))</f>
        <v>0.58207553956834535</v>
      </c>
      <c r="J93" s="2"/>
      <c r="K93" s="52">
        <f>SUMIF($G$95:$G$110,$G$93,K95:K110)</f>
        <v>5264</v>
      </c>
      <c r="L93" s="52">
        <f t="shared" ref="L93:P93" si="227">SUMIF($G$95:$G$110,$G$93,L95:L110)</f>
        <v>8420</v>
      </c>
      <c r="M93" s="52">
        <f t="shared" si="227"/>
        <v>8420</v>
      </c>
      <c r="N93" s="52">
        <f t="shared" si="227"/>
        <v>8420</v>
      </c>
      <c r="O93" s="52">
        <f t="shared" si="227"/>
        <v>8420</v>
      </c>
      <c r="P93" s="52">
        <f t="shared" si="227"/>
        <v>8420</v>
      </c>
      <c r="Q93" s="52">
        <f t="shared" ref="Q93" si="228">Q95+Q103+Q105+Q107+Q109</f>
        <v>0</v>
      </c>
      <c r="R93" s="2"/>
      <c r="S93" s="52">
        <f ca="1">SUMIF($K$7:Q$7,"&lt;="&amp;$I$7,K93:P93)</f>
        <v>47364</v>
      </c>
      <c r="T93" s="743">
        <f ca="1">IFERROR((S94/S93),"-")</f>
        <v>0.52088983860715887</v>
      </c>
      <c r="U93" s="2"/>
      <c r="V93" s="52">
        <f>SUMIF($G$95:$G$110,$G$93,V95:V110)</f>
        <v>8420</v>
      </c>
      <c r="W93" s="52">
        <f t="shared" ref="W93:AA93" si="229">SUMIF($G$95:$G$110,$G$93,W95:W110)</f>
        <v>8420</v>
      </c>
      <c r="X93" s="52">
        <f t="shared" si="229"/>
        <v>8420</v>
      </c>
      <c r="Y93" s="52">
        <f t="shared" si="229"/>
        <v>8420</v>
      </c>
      <c r="Z93" s="52">
        <f t="shared" si="229"/>
        <v>8420</v>
      </c>
      <c r="AA93" s="52">
        <f t="shared" si="229"/>
        <v>8420</v>
      </c>
      <c r="AB93" s="52">
        <f t="shared" ref="AB93:AB94" si="230">AB95+AB103+AB105+AB107</f>
        <v>0</v>
      </c>
      <c r="AC93" s="2"/>
      <c r="AD93" s="52">
        <f>SUMIF($V$7:AB$7,"&lt;="&amp;$I$7,V93:AB93)</f>
        <v>50520</v>
      </c>
      <c r="AE93" s="743">
        <f>IFERROR((AD94/AD93),"-")</f>
        <v>0.44774208234362628</v>
      </c>
      <c r="AF93" s="2"/>
      <c r="AG93" s="52">
        <f>AG95+AG103+AG105+AG107</f>
        <v>8340</v>
      </c>
      <c r="AH93" s="52">
        <f t="shared" ref="AH93:AM94" si="231">AH95+AH103+AH105+AH107</f>
        <v>8340</v>
      </c>
      <c r="AI93" s="52">
        <f t="shared" si="231"/>
        <v>8340</v>
      </c>
      <c r="AJ93" s="52">
        <f t="shared" si="231"/>
        <v>8340</v>
      </c>
      <c r="AK93" s="52">
        <f t="shared" si="231"/>
        <v>8340</v>
      </c>
      <c r="AL93" s="52">
        <f t="shared" si="231"/>
        <v>8340</v>
      </c>
      <c r="AM93" s="52">
        <f t="shared" si="231"/>
        <v>0</v>
      </c>
      <c r="AN93" s="2"/>
      <c r="AO93" s="52">
        <f ca="1">SUMIF($AG$7:AM$7,"&lt;="&amp;$I$7,AG93:AL93)</f>
        <v>16680</v>
      </c>
      <c r="AP93" s="743">
        <f ca="1">IFERROR((AO94/AO93),"-")</f>
        <v>0.73218105515587539</v>
      </c>
      <c r="AQ93" s="2"/>
      <c r="AR93" s="52">
        <f>AR95+AR103+AR105+AR107</f>
        <v>0</v>
      </c>
      <c r="AS93" s="52">
        <f t="shared" ref="AS93:AX94" si="232">AS95+AS103+AS105+AS107</f>
        <v>0</v>
      </c>
      <c r="AT93" s="52">
        <f t="shared" si="232"/>
        <v>0</v>
      </c>
      <c r="AU93" s="52">
        <f t="shared" si="232"/>
        <v>0</v>
      </c>
      <c r="AV93" s="52">
        <f t="shared" si="232"/>
        <v>0</v>
      </c>
      <c r="AW93" s="52">
        <f t="shared" si="232"/>
        <v>0</v>
      </c>
      <c r="AX93" s="52">
        <f t="shared" si="232"/>
        <v>0</v>
      </c>
      <c r="AY93" s="2"/>
      <c r="AZ93" s="52">
        <f ca="1">SUMIF($AR$7:AX$7,"&lt;="&amp;$I$7,AR93:AW93)</f>
        <v>0</v>
      </c>
      <c r="BA93" s="743" t="str">
        <f ca="1">IFERROR((AZ94/AZ93),"-")</f>
        <v>-</v>
      </c>
      <c r="BB93" s="2"/>
      <c r="BC93" s="52">
        <f>BC95+BC103+BC105+BC107</f>
        <v>0</v>
      </c>
      <c r="BD93" s="52">
        <f t="shared" ref="BD93:BI94" si="233">BD95+BD103+BD105+BD107</f>
        <v>0</v>
      </c>
      <c r="BE93" s="52">
        <f t="shared" si="233"/>
        <v>0</v>
      </c>
      <c r="BF93" s="52">
        <f t="shared" si="233"/>
        <v>0</v>
      </c>
      <c r="BG93" s="52">
        <f t="shared" si="233"/>
        <v>0</v>
      </c>
      <c r="BH93" s="52">
        <f t="shared" si="233"/>
        <v>0</v>
      </c>
      <c r="BI93" s="52">
        <f t="shared" si="233"/>
        <v>0</v>
      </c>
      <c r="BJ93" s="2"/>
      <c r="BK93" s="52">
        <f ca="1">SUMIF($BC$7:BI$7,"&lt;="&amp;$I$7,BC93:BH93)</f>
        <v>0</v>
      </c>
      <c r="BL93" s="743" t="str">
        <f ca="1">IFERROR((BK94/BK93),"-")</f>
        <v>-</v>
      </c>
      <c r="BM93" s="2"/>
      <c r="BN93" s="1091">
        <f>SUM(BN94:BN110)</f>
        <v>137155.97000000003</v>
      </c>
      <c r="BO93" s="1091">
        <f>SUM(BO94:BO110)</f>
        <v>62173.790000000008</v>
      </c>
      <c r="BP93" s="888">
        <f>SUM(BP95:BP110)</f>
        <v>48921.796315789477</v>
      </c>
      <c r="BQ93" s="743">
        <f>IFERROR((BP93/BO93),"-")</f>
        <v>0.78685562382137986</v>
      </c>
      <c r="BR93" s="2"/>
      <c r="BS93" s="888">
        <f>SUM(BS95:BS110)</f>
        <v>246250.36000000004</v>
      </c>
      <c r="BT93" s="888"/>
      <c r="BU93" s="888">
        <f ca="1">E93+S94+AD94+AM94+AX94+BK94</f>
        <v>346651.72338345868</v>
      </c>
      <c r="BV93" s="888">
        <v>210</v>
      </c>
      <c r="BW93" s="1019">
        <f ca="1">IFERROR((BU93/BV93),"-")</f>
        <v>1650.7224923021843</v>
      </c>
      <c r="BX93" s="888">
        <f>SUM(BX95:BX110)</f>
        <v>520745.26000000018</v>
      </c>
      <c r="BY93" s="743">
        <f ca="1">IFERROR((BU93/BX93),"-")</f>
        <v>0.66568387657231587</v>
      </c>
      <c r="BZ93" s="2"/>
      <c r="CA93" s="888">
        <v>1010764.69</v>
      </c>
      <c r="CB93" s="888">
        <f ca="1">CA93-BU93</f>
        <v>664112.96661654126</v>
      </c>
      <c r="CC93" s="2"/>
      <c r="CD93" s="84">
        <f>IFERROR(AVERAGEIF($V$7:AB$7,"&lt;="&amp;$I$7,V93:AB93),0)</f>
        <v>7217.1428571428569</v>
      </c>
      <c r="CE93" s="2"/>
      <c r="CH93" s="93" t="str">
        <f t="shared" si="192"/>
        <v>Segmento 3.3 - km 202+700 a 225+000</v>
      </c>
    </row>
    <row r="94" spans="1:86" s="16" customFormat="1" ht="20.45" hidden="1" customHeight="1" outlineLevel="1">
      <c r="A94" s="74"/>
      <c r="B94" s="1070"/>
      <c r="C94" s="1072"/>
      <c r="D94" s="2"/>
      <c r="E94" s="1060"/>
      <c r="F94" s="2"/>
      <c r="G94" s="54" t="s">
        <v>38</v>
      </c>
      <c r="H94" s="52">
        <f t="shared" si="225"/>
        <v>4854.51</v>
      </c>
      <c r="I94" s="744"/>
      <c r="J94" s="2"/>
      <c r="K94" s="52">
        <f>SUMIF($G$95:$G$110,$G$94,K95:K110)</f>
        <v>5569.17</v>
      </c>
      <c r="L94" s="52">
        <f t="shared" ref="L94:P94" si="234">SUMIF($G$95:$G$110,$G$94,L95:L110)</f>
        <v>5013.17</v>
      </c>
      <c r="M94" s="52">
        <f t="shared" si="234"/>
        <v>4812.4000000000005</v>
      </c>
      <c r="N94" s="52">
        <f t="shared" si="234"/>
        <v>3303.38</v>
      </c>
      <c r="O94" s="52">
        <f t="shared" si="234"/>
        <v>3160.5263157894733</v>
      </c>
      <c r="P94" s="52">
        <f t="shared" si="234"/>
        <v>2812.78</v>
      </c>
      <c r="Q94" s="52">
        <f t="shared" ref="Q94" si="235">Q96+Q104+Q106+Q108</f>
        <v>0</v>
      </c>
      <c r="R94" s="2"/>
      <c r="S94" s="52">
        <f>SUMIF($K$7:Q$7,"&lt;="&amp;$I$7,K94:Q94)</f>
        <v>24671.426315789475</v>
      </c>
      <c r="T94" s="744"/>
      <c r="U94" s="2"/>
      <c r="V94" s="52">
        <f>SUMIF($G$95:$G$110,$G$94,V95:V110)</f>
        <v>3924.81</v>
      </c>
      <c r="W94" s="52">
        <f t="shared" ref="W94:AA94" si="236">SUMIF($G$95:$G$110,$G$94,W95:W110)</f>
        <v>3488.72</v>
      </c>
      <c r="X94" s="52">
        <f t="shared" si="236"/>
        <v>3663.16</v>
      </c>
      <c r="Y94" s="52">
        <f t="shared" si="236"/>
        <v>3739.48</v>
      </c>
      <c r="Z94" s="52">
        <f t="shared" si="236"/>
        <v>3901.5</v>
      </c>
      <c r="AA94" s="52">
        <f t="shared" si="236"/>
        <v>3902.26</v>
      </c>
      <c r="AB94" s="52">
        <f t="shared" si="230"/>
        <v>0</v>
      </c>
      <c r="AC94" s="2"/>
      <c r="AD94" s="52">
        <f>SUMIF($V$7:AB$7,"&lt;="&amp;$I$7,V94:AB94)</f>
        <v>22619.93</v>
      </c>
      <c r="AE94" s="744"/>
      <c r="AF94" s="2"/>
      <c r="AG94" s="75">
        <f>AG96+AG104+AG106+AG108+AG98+AG100+AG102</f>
        <v>7358.27</v>
      </c>
      <c r="AH94" s="75">
        <f t="shared" ref="AH94:AL94" si="237">AH96+AH104+AH106+AH108+AH98+AH100+AH102</f>
        <v>4854.51</v>
      </c>
      <c r="AI94" s="75">
        <f t="shared" si="237"/>
        <v>0</v>
      </c>
      <c r="AJ94" s="75">
        <f t="shared" si="237"/>
        <v>0</v>
      </c>
      <c r="AK94" s="75">
        <f t="shared" si="237"/>
        <v>0</v>
      </c>
      <c r="AL94" s="75">
        <f t="shared" si="237"/>
        <v>0</v>
      </c>
      <c r="AM94" s="52">
        <f t="shared" si="231"/>
        <v>0</v>
      </c>
      <c r="AN94" s="2"/>
      <c r="AO94" s="52">
        <f ca="1">SUMIF($AG$7:AM$7,"&lt;="&amp;$I$7,AG94:AL94)</f>
        <v>12212.78</v>
      </c>
      <c r="AP94" s="744"/>
      <c r="AQ94" s="2"/>
      <c r="AR94" s="52">
        <f t="shared" ref="AR94:AW94" si="238">AR96+AR104+AR106+AR108+AR98+AR100+AR102+AR110</f>
        <v>0</v>
      </c>
      <c r="AS94" s="52">
        <f t="shared" si="238"/>
        <v>0</v>
      </c>
      <c r="AT94" s="52">
        <f t="shared" si="238"/>
        <v>0</v>
      </c>
      <c r="AU94" s="52">
        <f t="shared" si="238"/>
        <v>0</v>
      </c>
      <c r="AV94" s="52">
        <f t="shared" si="238"/>
        <v>0</v>
      </c>
      <c r="AW94" s="52">
        <f t="shared" si="238"/>
        <v>0</v>
      </c>
      <c r="AX94" s="52">
        <f t="shared" si="232"/>
        <v>0</v>
      </c>
      <c r="AY94" s="2"/>
      <c r="AZ94" s="52">
        <f ca="1">SUMIF($AR$7:AX$7,"&lt;="&amp;$I$7,AR94:AW94)</f>
        <v>0</v>
      </c>
      <c r="BA94" s="744"/>
      <c r="BB94" s="2"/>
      <c r="BC94" s="52">
        <f t="shared" ref="BC94:BH94" si="239">BC96+BC104+BC106+BC108+BC98+BC100+BC102+BC110</f>
        <v>0</v>
      </c>
      <c r="BD94" s="52">
        <f t="shared" si="239"/>
        <v>0</v>
      </c>
      <c r="BE94" s="52">
        <f t="shared" si="239"/>
        <v>0</v>
      </c>
      <c r="BF94" s="52">
        <f t="shared" si="239"/>
        <v>0</v>
      </c>
      <c r="BG94" s="52">
        <f t="shared" si="239"/>
        <v>0</v>
      </c>
      <c r="BH94" s="52">
        <f t="shared" si="239"/>
        <v>0</v>
      </c>
      <c r="BI94" s="52">
        <f t="shared" si="233"/>
        <v>0</v>
      </c>
      <c r="BJ94" s="2"/>
      <c r="BK94" s="52">
        <f ca="1">SUMIF($BC$7:BI$7,"&lt;="&amp;$I$7,BC94:BH94)</f>
        <v>0</v>
      </c>
      <c r="BL94" s="744"/>
      <c r="BM94" s="2"/>
      <c r="BN94" s="1092"/>
      <c r="BO94" s="1092"/>
      <c r="BP94" s="889"/>
      <c r="BQ94" s="744"/>
      <c r="BR94" s="2"/>
      <c r="BS94" s="889"/>
      <c r="BT94" s="889"/>
      <c r="BU94" s="889"/>
      <c r="BV94" s="889"/>
      <c r="BW94" s="1020"/>
      <c r="BX94" s="1018"/>
      <c r="BY94" s="744"/>
      <c r="BZ94" s="2"/>
      <c r="CA94" s="889"/>
      <c r="CB94" s="889"/>
      <c r="CC94" s="2"/>
      <c r="CD94" s="84">
        <f>IFERROR(AVERAGEIF($V$7:AB$7,"&lt;="&amp;$I$7,V94:AB94),0)</f>
        <v>3231.4185714285713</v>
      </c>
      <c r="CE94" s="2"/>
      <c r="CH94" s="93" t="str">
        <f t="shared" si="192"/>
        <v>Segmento 3.3 - km 202+700 a 225+000</v>
      </c>
    </row>
    <row r="95" spans="1:86" s="16" customFormat="1" ht="20.45" hidden="1" customHeight="1" outlineLevel="2">
      <c r="A95" s="74" t="s">
        <v>3894</v>
      </c>
      <c r="B95" s="1046" t="s">
        <v>3895</v>
      </c>
      <c r="C95" s="1014" t="s">
        <v>36</v>
      </c>
      <c r="D95" s="2"/>
      <c r="E95" s="1004">
        <v>81174.323458646671</v>
      </c>
      <c r="F95" s="2"/>
      <c r="G95" s="49" t="s">
        <v>37</v>
      </c>
      <c r="H95" s="705">
        <f t="shared" si="225"/>
        <v>5640</v>
      </c>
      <c r="I95" s="878">
        <f t="shared" ref="I95" si="240">IF(H95=0,IF(H96&gt;0,1,"-"),IFERROR(H96/H95,"-"))</f>
        <v>0.55671099290780135</v>
      </c>
      <c r="J95" s="2"/>
      <c r="K95" s="705">
        <v>2632</v>
      </c>
      <c r="L95" s="408">
        <v>4210</v>
      </c>
      <c r="M95" s="408">
        <v>4210</v>
      </c>
      <c r="N95" s="408">
        <v>4210</v>
      </c>
      <c r="O95" s="408">
        <v>4210</v>
      </c>
      <c r="P95" s="705">
        <v>4210</v>
      </c>
      <c r="Q95" s="705"/>
      <c r="R95" s="2"/>
      <c r="S95" s="705">
        <f ca="1">SUMIF($K$7:Q$7,"&lt;="&amp;$I$7,K95:P95)</f>
        <v>23682</v>
      </c>
      <c r="T95" s="878">
        <f t="shared" ref="T95" ca="1" si="241">IFERROR((S96/S95),"-")</f>
        <v>0.8258865462363788</v>
      </c>
      <c r="U95" s="2"/>
      <c r="V95" s="705">
        <v>4210</v>
      </c>
      <c r="W95" s="705">
        <v>4210</v>
      </c>
      <c r="X95" s="705">
        <v>4210</v>
      </c>
      <c r="Y95" s="705">
        <v>4210</v>
      </c>
      <c r="Z95" s="705">
        <v>4210</v>
      </c>
      <c r="AA95" s="705">
        <v>4210</v>
      </c>
      <c r="AB95" s="705"/>
      <c r="AC95" s="2"/>
      <c r="AD95" s="705">
        <f ca="1">SUMIF($V$7:AB$7,"&lt;="&amp;$I$7,V95:AA95)</f>
        <v>25260</v>
      </c>
      <c r="AE95" s="878">
        <f t="shared" ref="AE95" ca="1" si="242">IFERROR((AD96/AD95),"-")</f>
        <v>0.82953840063341244</v>
      </c>
      <c r="AF95" s="2"/>
      <c r="AG95" s="705">
        <v>5640</v>
      </c>
      <c r="AH95" s="705">
        <v>5640</v>
      </c>
      <c r="AI95" s="705">
        <v>5640</v>
      </c>
      <c r="AJ95" s="705">
        <v>5640</v>
      </c>
      <c r="AK95" s="705">
        <v>5640</v>
      </c>
      <c r="AL95" s="705">
        <v>5640</v>
      </c>
      <c r="AM95" s="705"/>
      <c r="AN95" s="2"/>
      <c r="AO95" s="705"/>
      <c r="AP95" s="878" t="str">
        <f t="shared" ref="AP95" si="243">IFERROR((AO96/AO95),"-")</f>
        <v>-</v>
      </c>
      <c r="AQ95" s="2"/>
      <c r="AR95" s="705"/>
      <c r="AS95" s="705"/>
      <c r="AT95" s="705"/>
      <c r="AU95" s="705"/>
      <c r="AV95" s="705"/>
      <c r="AW95" s="705"/>
      <c r="AX95" s="705"/>
      <c r="AY95" s="2"/>
      <c r="AZ95" s="705">
        <f ca="1">SUMIF($AR$7:AX$7,"&lt;="&amp;$I$7,AR95:AW95)</f>
        <v>0</v>
      </c>
      <c r="BA95" s="878" t="str">
        <f t="shared" ref="BA95" ca="1" si="244">IFERROR((AZ96/AZ95),"-")</f>
        <v>-</v>
      </c>
      <c r="BB95" s="2"/>
      <c r="BC95" s="705"/>
      <c r="BD95" s="705"/>
      <c r="BE95" s="705"/>
      <c r="BF95" s="705"/>
      <c r="BG95" s="705"/>
      <c r="BH95" s="705"/>
      <c r="BI95" s="705"/>
      <c r="BJ95" s="2"/>
      <c r="BK95" s="705">
        <f ca="1">SUMIF($BC$7:BI$7,"&lt;="&amp;$I$7,BC95:BH95)</f>
        <v>0</v>
      </c>
      <c r="BL95" s="878" t="str">
        <f t="shared" ref="BL95" ca="1" si="245">IFERROR((BK96/BK95),"-")</f>
        <v>-</v>
      </c>
      <c r="BM95" s="2"/>
      <c r="BN95" s="921">
        <v>64357.680000000037</v>
      </c>
      <c r="BO95" s="884">
        <v>27981.599999999999</v>
      </c>
      <c r="BP95" s="884">
        <f>SUM(M96:P96,V96:AB96,AG96:AM96,AR96:AX96,BC96:BI96)</f>
        <v>38844.735187969927</v>
      </c>
      <c r="BQ95" s="878">
        <f t="shared" ref="BQ95" si="246">IF(AND(BO95=0,BP95=0),"-",IF(BO95=0,1,BP95/BO95))</f>
        <v>1.3882242326375165</v>
      </c>
      <c r="BR95" s="2"/>
      <c r="BS95" s="884">
        <v>71013.420000000056</v>
      </c>
      <c r="BT95" s="884"/>
      <c r="BU95" s="884">
        <f ca="1">E95+S96+AO96+AX96+AD96+BK96</f>
        <v>121687.10864661659</v>
      </c>
      <c r="BV95" s="884">
        <v>106</v>
      </c>
      <c r="BW95" s="1004">
        <f ca="1">IFERROR((BU95/BV95),"-")</f>
        <v>1147.9915910058169</v>
      </c>
      <c r="BX95" s="884">
        <v>219315.9000000002</v>
      </c>
      <c r="BY95" s="878">
        <f ca="1">IFERROR((BU95/BX95),"-")</f>
        <v>0.55484854790107085</v>
      </c>
      <c r="BZ95" s="2"/>
      <c r="CA95" s="884">
        <v>508452</v>
      </c>
      <c r="CB95" s="884">
        <f ca="1">CA95-BU95</f>
        <v>386764.89135338343</v>
      </c>
      <c r="CC95" s="2"/>
      <c r="CD95" s="504">
        <f>IFERROR(AVERAGEIF($V$7:AB$7,"&lt;="&amp;$I$7,V95:AB95),0)</f>
        <v>4210</v>
      </c>
      <c r="CE95" s="2"/>
      <c r="CH95" s="93" t="str">
        <f t="shared" si="192"/>
        <v>Aterro 3 - Km 203+500 a 211+780</v>
      </c>
    </row>
    <row r="96" spans="1:86" s="16" customFormat="1" ht="20.45" hidden="1" customHeight="1" outlineLevel="2">
      <c r="A96" s="74"/>
      <c r="B96" s="1040"/>
      <c r="C96" s="1034"/>
      <c r="D96" s="2"/>
      <c r="E96" s="1024"/>
      <c r="F96" s="2"/>
      <c r="G96" s="50" t="s">
        <v>38</v>
      </c>
      <c r="H96" s="705">
        <f t="shared" si="225"/>
        <v>3139.85</v>
      </c>
      <c r="I96" s="879"/>
      <c r="J96" s="2"/>
      <c r="K96" s="76">
        <v>3913.91</v>
      </c>
      <c r="L96" s="76">
        <v>3804.89</v>
      </c>
      <c r="M96" s="76">
        <v>3336.09</v>
      </c>
      <c r="N96" s="76">
        <v>2910.9</v>
      </c>
      <c r="O96" s="76">
        <v>2780.0751879699246</v>
      </c>
      <c r="P96" s="76">
        <v>2812.78</v>
      </c>
      <c r="Q96" s="706"/>
      <c r="R96" s="2"/>
      <c r="S96" s="705">
        <f ca="1">SUMIF($K$7:Q$7,"&lt;="&amp;$I$7,K96:P96)</f>
        <v>19558.645187969923</v>
      </c>
      <c r="T96" s="879"/>
      <c r="U96" s="2"/>
      <c r="V96" s="76">
        <v>3924.81</v>
      </c>
      <c r="W96" s="76">
        <v>3488.72</v>
      </c>
      <c r="X96" s="76">
        <v>3663.16</v>
      </c>
      <c r="Y96" s="76">
        <v>3608.65</v>
      </c>
      <c r="Z96" s="76">
        <v>3477.82</v>
      </c>
      <c r="AA96" s="76">
        <v>2790.98</v>
      </c>
      <c r="AB96" s="706"/>
      <c r="AC96" s="2"/>
      <c r="AD96" s="705">
        <f ca="1">SUMIF($V$7:AB$7,"&lt;="&amp;$I$7,V96:AA96)</f>
        <v>20954.14</v>
      </c>
      <c r="AE96" s="879"/>
      <c r="AF96" s="2"/>
      <c r="AG96" s="76">
        <v>2910.9</v>
      </c>
      <c r="AH96" s="76">
        <v>3139.85</v>
      </c>
      <c r="AI96" s="76"/>
      <c r="AJ96" s="76"/>
      <c r="AK96" s="76"/>
      <c r="AL96" s="76"/>
      <c r="AM96" s="706"/>
      <c r="AN96" s="2"/>
      <c r="AO96" s="705"/>
      <c r="AP96" s="879"/>
      <c r="AQ96" s="2"/>
      <c r="AR96" s="76"/>
      <c r="AS96" s="76"/>
      <c r="AT96" s="76"/>
      <c r="AU96" s="76"/>
      <c r="AV96" s="76"/>
      <c r="AW96" s="76"/>
      <c r="AX96" s="706"/>
      <c r="AY96" s="2"/>
      <c r="AZ96" s="705">
        <f ca="1">SUMIF($AR$7:AX$7,"&lt;="&amp;$I$7,AR96:AW96)</f>
        <v>0</v>
      </c>
      <c r="BA96" s="879"/>
      <c r="BB96" s="2"/>
      <c r="BC96" s="76"/>
      <c r="BD96" s="76"/>
      <c r="BE96" s="76"/>
      <c r="BF96" s="76"/>
      <c r="BG96" s="76"/>
      <c r="BH96" s="76"/>
      <c r="BI96" s="706"/>
      <c r="BJ96" s="2"/>
      <c r="BK96" s="705">
        <f ca="1">SUMIF($BC$7:BI$7,"&lt;="&amp;$I$7,BC96:BH96)</f>
        <v>0</v>
      </c>
      <c r="BL96" s="879"/>
      <c r="BM96" s="2"/>
      <c r="BN96" s="922"/>
      <c r="BO96" s="885"/>
      <c r="BP96" s="885"/>
      <c r="BQ96" s="879"/>
      <c r="BR96" s="2"/>
      <c r="BS96" s="885"/>
      <c r="BT96" s="885"/>
      <c r="BU96" s="885"/>
      <c r="BV96" s="885"/>
      <c r="BW96" s="1005"/>
      <c r="BX96" s="885"/>
      <c r="BY96" s="879"/>
      <c r="BZ96" s="2"/>
      <c r="CA96" s="885"/>
      <c r="CB96" s="885"/>
      <c r="CC96" s="2"/>
      <c r="CD96" s="504">
        <f>IFERROR(AVERAGEIF($V$7:AB$7,"&lt;="&amp;$I$7,V96:AB96),0)</f>
        <v>3492.3566666666666</v>
      </c>
      <c r="CE96" s="2"/>
      <c r="CH96" s="93" t="str">
        <f t="shared" si="192"/>
        <v>Aterro 3 - Km 203+500 a 211+780</v>
      </c>
    </row>
    <row r="97" spans="1:86" s="16" customFormat="1" ht="20.45" hidden="1" customHeight="1" outlineLevel="2">
      <c r="A97" s="74"/>
      <c r="B97" s="1046" t="s">
        <v>3896</v>
      </c>
      <c r="C97" s="1014" t="s">
        <v>36</v>
      </c>
      <c r="D97" s="2"/>
      <c r="E97" s="1004">
        <v>4851.5051879699249</v>
      </c>
      <c r="F97" s="2"/>
      <c r="G97" s="49" t="s">
        <v>37</v>
      </c>
      <c r="H97" s="705">
        <f t="shared" si="225"/>
        <v>0</v>
      </c>
      <c r="I97" s="878" t="str">
        <f t="shared" ref="I97" si="247">IF(H97=0,IF(H98&gt;0,1,"-"),IFERROR(H98/H97,"-"))</f>
        <v>-</v>
      </c>
      <c r="J97" s="2"/>
      <c r="K97" s="705"/>
      <c r="L97" s="408"/>
      <c r="M97" s="408"/>
      <c r="N97" s="408"/>
      <c r="O97" s="408"/>
      <c r="P97" s="705"/>
      <c r="Q97" s="705"/>
      <c r="R97" s="2"/>
      <c r="S97" s="705">
        <f ca="1">SUMIF($K$7:Q$7,"&lt;="&amp;$I$7,K97:P97)</f>
        <v>0</v>
      </c>
      <c r="T97" s="878" t="str">
        <f t="shared" ref="T97" ca="1" si="248">IFERROR((S98/S97),"-")</f>
        <v>-</v>
      </c>
      <c r="U97" s="2"/>
      <c r="V97" s="705"/>
      <c r="W97" s="705"/>
      <c r="X97" s="705"/>
      <c r="Y97" s="705"/>
      <c r="Z97" s="705"/>
      <c r="AA97" s="705"/>
      <c r="AB97" s="705"/>
      <c r="AC97" s="2"/>
      <c r="AD97" s="705">
        <f ca="1">SUMIF($V$7:AB$7,"&lt;="&amp;$I$7,V97:AA97)</f>
        <v>0</v>
      </c>
      <c r="AE97" s="878" t="str">
        <f t="shared" ref="AE97" ca="1" si="249">IFERROR((AD98/AD97),"-")</f>
        <v>-</v>
      </c>
      <c r="AF97" s="2"/>
      <c r="AG97" s="705"/>
      <c r="AH97" s="409"/>
      <c r="AI97" s="409"/>
      <c r="AJ97" s="409"/>
      <c r="AK97" s="409"/>
      <c r="AL97" s="705"/>
      <c r="AM97" s="705"/>
      <c r="AN97" s="2"/>
      <c r="AO97" s="705"/>
      <c r="AP97" s="878" t="str">
        <f t="shared" ref="AP97" si="250">IFERROR((AO98/AO97),"-")</f>
        <v>-</v>
      </c>
      <c r="AQ97" s="2"/>
      <c r="AR97" s="705"/>
      <c r="AS97" s="409"/>
      <c r="AT97" s="409"/>
      <c r="AU97" s="409"/>
      <c r="AV97" s="409"/>
      <c r="AW97" s="705"/>
      <c r="AX97" s="705"/>
      <c r="AY97" s="2"/>
      <c r="AZ97" s="705">
        <f ca="1">SUMIF($AR$7:AX$7,"&lt;="&amp;$I$7,AR97:AW97)</f>
        <v>0</v>
      </c>
      <c r="BA97" s="878" t="str">
        <f t="shared" ref="BA97" ca="1" si="251">IFERROR((AZ98/AZ97),"-")</f>
        <v>-</v>
      </c>
      <c r="BB97" s="2"/>
      <c r="BC97" s="705"/>
      <c r="BD97" s="409"/>
      <c r="BE97" s="409"/>
      <c r="BF97" s="409"/>
      <c r="BG97" s="409"/>
      <c r="BH97" s="705"/>
      <c r="BI97" s="705"/>
      <c r="BJ97" s="2"/>
      <c r="BK97" s="705">
        <f ca="1">SUMIF($BC$7:BI$7,"&lt;="&amp;$I$7,BC97:BH97)</f>
        <v>0</v>
      </c>
      <c r="BL97" s="878" t="str">
        <f t="shared" ref="BL97" ca="1" si="252">IFERROR((BK98/BK97),"-")</f>
        <v>-</v>
      </c>
      <c r="BM97" s="2"/>
      <c r="BN97" s="921">
        <v>0</v>
      </c>
      <c r="BO97" s="884">
        <v>0</v>
      </c>
      <c r="BP97" s="884">
        <f>SUM(M98:P98,V98:AB98,AG98:AM98,AR98:AX98,BC98:BI98)</f>
        <v>0</v>
      </c>
      <c r="BQ97" s="878" t="str">
        <f t="shared" ref="BQ97" si="253">IF(AND(BO97=0,BP97=0),"-",IF(BO97=0,1,BP97/BO97))</f>
        <v>-</v>
      </c>
      <c r="BR97" s="2"/>
      <c r="BS97" s="884">
        <v>23972.11</v>
      </c>
      <c r="BT97" s="884"/>
      <c r="BU97" s="884">
        <f ca="1">E97+S98+AO98+AX98+AD98+BK98</f>
        <v>4851.5051879699249</v>
      </c>
      <c r="BV97" s="884">
        <v>106</v>
      </c>
      <c r="BW97" s="1004">
        <f ca="1">IFERROR((BU97/BV97),"-")</f>
        <v>45.768916867640804</v>
      </c>
      <c r="BX97" s="884">
        <v>0</v>
      </c>
      <c r="BY97" s="878" t="str">
        <f ca="1">IFERROR((BU97/BX97),"-")</f>
        <v>-</v>
      </c>
      <c r="BZ97" s="2"/>
      <c r="CA97" s="884"/>
      <c r="CB97" s="884"/>
      <c r="CC97" s="2"/>
      <c r="CD97" s="504">
        <f>IFERROR(AVERAGEIF($V$7:AB$7,"&lt;="&amp;$I$7,V97:AB97),0)</f>
        <v>0</v>
      </c>
      <c r="CE97" s="2"/>
      <c r="CH97" s="93" t="str">
        <f t="shared" si="192"/>
        <v>Aterro  4</v>
      </c>
    </row>
    <row r="98" spans="1:86" s="16" customFormat="1" ht="20.45" hidden="1" customHeight="1" outlineLevel="2">
      <c r="A98" s="74"/>
      <c r="B98" s="1040"/>
      <c r="C98" s="1034"/>
      <c r="D98" s="2"/>
      <c r="E98" s="1024"/>
      <c r="F98" s="2"/>
      <c r="G98" s="50" t="s">
        <v>38</v>
      </c>
      <c r="H98" s="705">
        <f t="shared" si="225"/>
        <v>0</v>
      </c>
      <c r="I98" s="879"/>
      <c r="J98" s="2"/>
      <c r="K98" s="76"/>
      <c r="L98" s="76"/>
      <c r="M98" s="76"/>
      <c r="N98" s="76"/>
      <c r="O98" s="76"/>
      <c r="P98" s="76"/>
      <c r="Q98" s="706"/>
      <c r="R98" s="2"/>
      <c r="S98" s="705">
        <f ca="1">SUMIF($K$7:Q$7,"&lt;="&amp;$I$7,K98:P98)</f>
        <v>0</v>
      </c>
      <c r="T98" s="879"/>
      <c r="U98" s="2"/>
      <c r="V98" s="76"/>
      <c r="W98" s="76"/>
      <c r="X98" s="76"/>
      <c r="Y98" s="76"/>
      <c r="Z98" s="76"/>
      <c r="AA98" s="76"/>
      <c r="AB98" s="706"/>
      <c r="AC98" s="2"/>
      <c r="AD98" s="705">
        <f ca="1">SUMIF($V$7:AB$7,"&lt;="&amp;$I$7,V98:AA98)</f>
        <v>0</v>
      </c>
      <c r="AE98" s="879"/>
      <c r="AF98" s="2"/>
      <c r="AG98" s="76"/>
      <c r="AH98" s="76"/>
      <c r="AI98" s="76"/>
      <c r="AJ98" s="76"/>
      <c r="AK98" s="76"/>
      <c r="AL98" s="76"/>
      <c r="AM98" s="706"/>
      <c r="AN98" s="2"/>
      <c r="AO98" s="705"/>
      <c r="AP98" s="879"/>
      <c r="AQ98" s="2"/>
      <c r="AR98" s="76"/>
      <c r="AS98" s="76"/>
      <c r="AT98" s="76"/>
      <c r="AU98" s="76"/>
      <c r="AV98" s="76"/>
      <c r="AW98" s="76"/>
      <c r="AX98" s="706"/>
      <c r="AY98" s="2"/>
      <c r="AZ98" s="705">
        <f ca="1">SUMIF($AR$7:AX$7,"&lt;="&amp;$I$7,AR98:AW98)</f>
        <v>0</v>
      </c>
      <c r="BA98" s="879"/>
      <c r="BB98" s="2"/>
      <c r="BC98" s="76"/>
      <c r="BD98" s="76"/>
      <c r="BE98" s="76"/>
      <c r="BF98" s="76"/>
      <c r="BG98" s="76"/>
      <c r="BH98" s="76"/>
      <c r="BI98" s="706"/>
      <c r="BJ98" s="2"/>
      <c r="BK98" s="705">
        <f ca="1">SUMIF($BC$7:BI$7,"&lt;="&amp;$I$7,BC98:BH98)</f>
        <v>0</v>
      </c>
      <c r="BL98" s="879"/>
      <c r="BM98" s="2"/>
      <c r="BN98" s="922"/>
      <c r="BO98" s="885"/>
      <c r="BP98" s="885"/>
      <c r="BQ98" s="879"/>
      <c r="BR98" s="2"/>
      <c r="BS98" s="885"/>
      <c r="BT98" s="885"/>
      <c r="BU98" s="885"/>
      <c r="BV98" s="885"/>
      <c r="BW98" s="1005"/>
      <c r="BX98" s="885"/>
      <c r="BY98" s="879"/>
      <c r="BZ98" s="2"/>
      <c r="CA98" s="885"/>
      <c r="CB98" s="885"/>
      <c r="CC98" s="2"/>
      <c r="CD98" s="504">
        <f>IFERROR(AVERAGEIF($V$7:AB$7,"&lt;="&amp;$I$7,V98:AB98),0)</f>
        <v>0</v>
      </c>
      <c r="CE98" s="2"/>
      <c r="CH98" s="93" t="str">
        <f t="shared" si="192"/>
        <v>Aterro  4</v>
      </c>
    </row>
    <row r="99" spans="1:86" s="16" customFormat="1" ht="20.45" hidden="1" customHeight="1" outlineLevel="2">
      <c r="A99" s="74"/>
      <c r="B99" s="1046" t="s">
        <v>3897</v>
      </c>
      <c r="C99" s="1014" t="s">
        <v>36</v>
      </c>
      <c r="D99" s="2"/>
      <c r="E99" s="1004">
        <v>1842.49</v>
      </c>
      <c r="F99" s="2"/>
      <c r="G99" s="49" t="s">
        <v>37</v>
      </c>
      <c r="H99" s="705">
        <f t="shared" si="225"/>
        <v>0</v>
      </c>
      <c r="I99" s="878" t="str">
        <f t="shared" ref="I99" si="254">IF(H99=0,IF(H100&gt;0,1,"-"),IFERROR(H100/H99,"-"))</f>
        <v>-</v>
      </c>
      <c r="J99" s="2"/>
      <c r="K99" s="705"/>
      <c r="L99" s="408"/>
      <c r="M99" s="408"/>
      <c r="N99" s="408"/>
      <c r="O99" s="408"/>
      <c r="P99" s="705"/>
      <c r="Q99" s="705"/>
      <c r="R99" s="2"/>
      <c r="S99" s="705">
        <f ca="1">SUMIF($K$7:Q$7,"&lt;="&amp;$I$7,K99:P99)</f>
        <v>0</v>
      </c>
      <c r="T99" s="878" t="str">
        <f t="shared" ref="T99" ca="1" si="255">IFERROR((S100/S99),"-")</f>
        <v>-</v>
      </c>
      <c r="U99" s="2"/>
      <c r="V99" s="705"/>
      <c r="W99" s="705"/>
      <c r="X99" s="705"/>
      <c r="Y99" s="705"/>
      <c r="Z99" s="705"/>
      <c r="AA99" s="705"/>
      <c r="AB99" s="705"/>
      <c r="AC99" s="2"/>
      <c r="AD99" s="705">
        <f ca="1">SUMIF($V$7:AB$7,"&lt;="&amp;$I$7,V99:AA99)</f>
        <v>0</v>
      </c>
      <c r="AE99" s="878" t="str">
        <f t="shared" ref="AE99" ca="1" si="256">IFERROR((AD100/AD99),"-")</f>
        <v>-</v>
      </c>
      <c r="AF99" s="2"/>
      <c r="AG99" s="705"/>
      <c r="AH99" s="409"/>
      <c r="AI99" s="409"/>
      <c r="AJ99" s="409"/>
      <c r="AK99" s="409"/>
      <c r="AL99" s="705"/>
      <c r="AM99" s="705"/>
      <c r="AN99" s="2"/>
      <c r="AO99" s="705"/>
      <c r="AP99" s="878" t="str">
        <f t="shared" ref="AP99" si="257">IFERROR((AO100/AO99),"-")</f>
        <v>-</v>
      </c>
      <c r="AQ99" s="2"/>
      <c r="AR99" s="705"/>
      <c r="AS99" s="409"/>
      <c r="AT99" s="409"/>
      <c r="AU99" s="409"/>
      <c r="AV99" s="409"/>
      <c r="AW99" s="705"/>
      <c r="AX99" s="705"/>
      <c r="AY99" s="2"/>
      <c r="AZ99" s="705">
        <f ca="1">SUMIF($AR$7:AX$7,"&lt;="&amp;$I$7,AR99:AW99)</f>
        <v>0</v>
      </c>
      <c r="BA99" s="878" t="str">
        <f t="shared" ref="BA99" ca="1" si="258">IFERROR((AZ100/AZ99),"-")</f>
        <v>-</v>
      </c>
      <c r="BB99" s="2"/>
      <c r="BC99" s="705"/>
      <c r="BD99" s="409"/>
      <c r="BE99" s="409"/>
      <c r="BF99" s="409"/>
      <c r="BG99" s="409"/>
      <c r="BH99" s="705"/>
      <c r="BI99" s="705"/>
      <c r="BJ99" s="2"/>
      <c r="BK99" s="705">
        <f ca="1">SUMIF($BC$7:BI$7,"&lt;="&amp;$I$7,BC99:BH99)</f>
        <v>0</v>
      </c>
      <c r="BL99" s="878" t="str">
        <f t="shared" ref="BL99" ca="1" si="259">IFERROR((BK100/BK99),"-")</f>
        <v>-</v>
      </c>
      <c r="BM99" s="2"/>
      <c r="BN99" s="921">
        <v>0</v>
      </c>
      <c r="BO99" s="884">
        <v>0</v>
      </c>
      <c r="BP99" s="884">
        <f>SUM(M100:P100,V100:AB100,AG100:AM100,AR100:AX100,BC100:BI100)</f>
        <v>0</v>
      </c>
      <c r="BQ99" s="878" t="str">
        <f t="shared" ref="BQ99" si="260">IF(AND(BO99=0,BP99=0),"-",IF(BO99=0,1,BP99/BO99))</f>
        <v>-</v>
      </c>
      <c r="BR99" s="2"/>
      <c r="BS99" s="884">
        <v>23972.11</v>
      </c>
      <c r="BT99" s="884"/>
      <c r="BU99" s="884">
        <f ca="1">E99+S100+AO100+AX100+AD100+BK100</f>
        <v>1973.32</v>
      </c>
      <c r="BV99" s="884">
        <v>106</v>
      </c>
      <c r="BW99" s="1004">
        <f ca="1">IFERROR((BU99/BV99),"-")</f>
        <v>18.616226415094339</v>
      </c>
      <c r="BX99" s="884">
        <v>0</v>
      </c>
      <c r="BY99" s="878" t="str">
        <f ca="1">IFERROR((BU99/BX99),"-")</f>
        <v>-</v>
      </c>
      <c r="BZ99" s="2"/>
      <c r="CA99" s="884"/>
      <c r="CB99" s="884"/>
      <c r="CC99" s="2"/>
      <c r="CD99" s="504">
        <f>IFERROR(AVERAGEIF($V$7:AB$7,"&lt;="&amp;$I$7,V99:AB99),0)</f>
        <v>0</v>
      </c>
      <c r="CE99" s="2"/>
      <c r="CH99" s="93" t="str">
        <f t="shared" si="192"/>
        <v xml:space="preserve">Aterro  5 </v>
      </c>
    </row>
    <row r="100" spans="1:86" s="16" customFormat="1" ht="20.45" hidden="1" customHeight="1" outlineLevel="2">
      <c r="A100" s="74"/>
      <c r="B100" s="1040"/>
      <c r="C100" s="1034"/>
      <c r="D100" s="2"/>
      <c r="E100" s="1024"/>
      <c r="F100" s="2"/>
      <c r="G100" s="50" t="s">
        <v>38</v>
      </c>
      <c r="H100" s="705">
        <f t="shared" si="225"/>
        <v>0</v>
      </c>
      <c r="I100" s="879"/>
      <c r="J100" s="2"/>
      <c r="K100" s="76"/>
      <c r="L100" s="76">
        <v>130.83000000000001</v>
      </c>
      <c r="M100" s="76"/>
      <c r="N100" s="76"/>
      <c r="O100" s="76"/>
      <c r="P100" s="76"/>
      <c r="Q100" s="706"/>
      <c r="R100" s="2"/>
      <c r="S100" s="705">
        <f ca="1">SUMIF($K$7:Q$7,"&lt;="&amp;$I$7,K100:P100)</f>
        <v>130.83000000000001</v>
      </c>
      <c r="T100" s="879"/>
      <c r="U100" s="2"/>
      <c r="V100" s="76"/>
      <c r="W100" s="76"/>
      <c r="X100" s="76"/>
      <c r="Y100" s="76"/>
      <c r="Z100" s="76"/>
      <c r="AA100" s="76"/>
      <c r="AB100" s="706"/>
      <c r="AC100" s="2"/>
      <c r="AD100" s="705">
        <f ca="1">SUMIF($V$7:AB$7,"&lt;="&amp;$I$7,V100:AA100)</f>
        <v>0</v>
      </c>
      <c r="AE100" s="879"/>
      <c r="AF100" s="2"/>
      <c r="AG100" s="76"/>
      <c r="AH100" s="76"/>
      <c r="AI100" s="76"/>
      <c r="AJ100" s="76"/>
      <c r="AK100" s="76"/>
      <c r="AL100" s="76"/>
      <c r="AM100" s="706"/>
      <c r="AN100" s="2"/>
      <c r="AO100" s="705"/>
      <c r="AP100" s="879"/>
      <c r="AQ100" s="2"/>
      <c r="AR100" s="76"/>
      <c r="AS100" s="76"/>
      <c r="AT100" s="76"/>
      <c r="AU100" s="76"/>
      <c r="AV100" s="76"/>
      <c r="AW100" s="76"/>
      <c r="AX100" s="706"/>
      <c r="AY100" s="2"/>
      <c r="AZ100" s="705">
        <f ca="1">SUMIF($AR$7:AX$7,"&lt;="&amp;$I$7,AR100:AW100)</f>
        <v>0</v>
      </c>
      <c r="BA100" s="879"/>
      <c r="BB100" s="2"/>
      <c r="BC100" s="76"/>
      <c r="BD100" s="76"/>
      <c r="BE100" s="76"/>
      <c r="BF100" s="76"/>
      <c r="BG100" s="76"/>
      <c r="BH100" s="76"/>
      <c r="BI100" s="706"/>
      <c r="BJ100" s="2"/>
      <c r="BK100" s="705">
        <f ca="1">SUMIF($BC$7:BI$7,"&lt;="&amp;$I$7,BC100:BH100)</f>
        <v>0</v>
      </c>
      <c r="BL100" s="879"/>
      <c r="BM100" s="2"/>
      <c r="BN100" s="922"/>
      <c r="BO100" s="885"/>
      <c r="BP100" s="885"/>
      <c r="BQ100" s="879"/>
      <c r="BR100" s="2"/>
      <c r="BS100" s="885"/>
      <c r="BT100" s="885"/>
      <c r="BU100" s="885"/>
      <c r="BV100" s="885"/>
      <c r="BW100" s="1005"/>
      <c r="BX100" s="885"/>
      <c r="BY100" s="879"/>
      <c r="BZ100" s="2"/>
      <c r="CA100" s="885"/>
      <c r="CB100" s="885"/>
      <c r="CC100" s="2"/>
      <c r="CD100" s="504">
        <f>IFERROR(AVERAGEIF($V$7:AB$7,"&lt;="&amp;$I$7,V100:AB100),0)</f>
        <v>0</v>
      </c>
      <c r="CE100" s="2"/>
      <c r="CH100" s="93" t="str">
        <f t="shared" si="192"/>
        <v xml:space="preserve">Aterro  5 </v>
      </c>
    </row>
    <row r="101" spans="1:86" s="16" customFormat="1" ht="20.45" hidden="1" customHeight="1" outlineLevel="2">
      <c r="A101" s="74"/>
      <c r="B101" s="1046" t="s">
        <v>3898</v>
      </c>
      <c r="C101" s="1014" t="s">
        <v>36</v>
      </c>
      <c r="D101" s="2"/>
      <c r="E101" s="1004">
        <v>545.11</v>
      </c>
      <c r="F101" s="2"/>
      <c r="G101" s="49" t="s">
        <v>37</v>
      </c>
      <c r="H101" s="705">
        <f t="shared" si="225"/>
        <v>0</v>
      </c>
      <c r="I101" s="878" t="str">
        <f t="shared" ref="I101" si="261">IF(H101=0,IF(H102&gt;0,1,"-"),IFERROR(H102/H101,"-"))</f>
        <v>-</v>
      </c>
      <c r="J101" s="2"/>
      <c r="K101" s="705"/>
      <c r="L101" s="408"/>
      <c r="M101" s="408"/>
      <c r="N101" s="408"/>
      <c r="O101" s="408"/>
      <c r="P101" s="705"/>
      <c r="Q101" s="705"/>
      <c r="R101" s="2"/>
      <c r="S101" s="705">
        <f ca="1">SUMIF($K$7:Q$7,"&lt;="&amp;$I$7,K101:P101)</f>
        <v>0</v>
      </c>
      <c r="T101" s="878" t="str">
        <f t="shared" ref="T101" ca="1" si="262">IFERROR((S102/S101),"-")</f>
        <v>-</v>
      </c>
      <c r="U101" s="2"/>
      <c r="V101" s="705"/>
      <c r="W101" s="705"/>
      <c r="X101" s="705"/>
      <c r="Y101" s="705"/>
      <c r="Z101" s="705"/>
      <c r="AA101" s="705"/>
      <c r="AB101" s="705"/>
      <c r="AC101" s="2"/>
      <c r="AD101" s="705">
        <f ca="1">SUMIF($V$7:AB$7,"&lt;="&amp;$I$7,V101:AA101)</f>
        <v>0</v>
      </c>
      <c r="AE101" s="878" t="str">
        <f t="shared" ref="AE101" ca="1" si="263">IFERROR((AD102/AD101),"-")</f>
        <v>-</v>
      </c>
      <c r="AF101" s="2"/>
      <c r="AG101" s="705"/>
      <c r="AH101" s="409"/>
      <c r="AI101" s="409"/>
      <c r="AJ101" s="409"/>
      <c r="AK101" s="409"/>
      <c r="AL101" s="705"/>
      <c r="AM101" s="705"/>
      <c r="AN101" s="2"/>
      <c r="AO101" s="705"/>
      <c r="AP101" s="878" t="str">
        <f t="shared" ref="AP101" si="264">IFERROR((AO102/AO101),"-")</f>
        <v>-</v>
      </c>
      <c r="AQ101" s="2"/>
      <c r="AR101" s="705"/>
      <c r="AS101" s="409"/>
      <c r="AT101" s="409"/>
      <c r="AU101" s="409"/>
      <c r="AV101" s="409"/>
      <c r="AW101" s="705"/>
      <c r="AX101" s="705"/>
      <c r="AY101" s="2"/>
      <c r="AZ101" s="705">
        <f ca="1">SUMIF($AR$7:AX$7,"&lt;="&amp;$I$7,AR101:AW101)</f>
        <v>0</v>
      </c>
      <c r="BA101" s="878" t="str">
        <f t="shared" ref="BA101" ca="1" si="265">IFERROR((AZ102/AZ101),"-")</f>
        <v>-</v>
      </c>
      <c r="BB101" s="2"/>
      <c r="BC101" s="705"/>
      <c r="BD101" s="409"/>
      <c r="BE101" s="409"/>
      <c r="BF101" s="409"/>
      <c r="BG101" s="409"/>
      <c r="BH101" s="705"/>
      <c r="BI101" s="705"/>
      <c r="BJ101" s="2"/>
      <c r="BK101" s="705">
        <f ca="1">SUMIF($BC$7:BI$7,"&lt;="&amp;$I$7,BC101:BH101)</f>
        <v>0</v>
      </c>
      <c r="BL101" s="878" t="str">
        <f t="shared" ref="BL101" ca="1" si="266">IFERROR((BK102/BK101),"-")</f>
        <v>-</v>
      </c>
      <c r="BM101" s="2"/>
      <c r="BN101" s="921">
        <v>0</v>
      </c>
      <c r="BO101" s="884">
        <v>0</v>
      </c>
      <c r="BP101" s="884">
        <f>SUM(M102:P102,V102:AB102,AG102:AM102,AR102:AX102,BC102:BI102)</f>
        <v>3216.17</v>
      </c>
      <c r="BQ101" s="878">
        <f t="shared" ref="BQ101" si="267">IF(AND(BO101=0,BP101=0),"-",IF(BO101=0,1,BP101/BO101))</f>
        <v>1</v>
      </c>
      <c r="BR101" s="2"/>
      <c r="BS101" s="884">
        <v>23972.11</v>
      </c>
      <c r="BT101" s="884"/>
      <c r="BU101" s="884">
        <f ca="1">E101+S102+AO102+AX102+AD102+BK102</f>
        <v>545.11</v>
      </c>
      <c r="BV101" s="884">
        <v>106</v>
      </c>
      <c r="BW101" s="1004">
        <f ca="1">IFERROR((BU101/BV101),"-")</f>
        <v>5.142547169811321</v>
      </c>
      <c r="BX101" s="884">
        <v>0</v>
      </c>
      <c r="BY101" s="878" t="str">
        <f ca="1">IFERROR((BU101/BX101),"-")</f>
        <v>-</v>
      </c>
      <c r="BZ101" s="2"/>
      <c r="CA101" s="884"/>
      <c r="CB101" s="884"/>
      <c r="CC101" s="2"/>
      <c r="CD101" s="504">
        <f>IFERROR(AVERAGEIF($V$7:AB$7,"&lt;="&amp;$I$7,V101:AB101),0)</f>
        <v>0</v>
      </c>
      <c r="CE101" s="2"/>
      <c r="CH101" s="93" t="str">
        <f t="shared" si="192"/>
        <v>Aterro  6</v>
      </c>
    </row>
    <row r="102" spans="1:86" s="16" customFormat="1" ht="20.45" hidden="1" customHeight="1" outlineLevel="2">
      <c r="A102" s="74"/>
      <c r="B102" s="1040"/>
      <c r="C102" s="1034"/>
      <c r="D102" s="2"/>
      <c r="E102" s="1024"/>
      <c r="F102" s="2"/>
      <c r="G102" s="50" t="s">
        <v>38</v>
      </c>
      <c r="H102" s="705">
        <f t="shared" si="225"/>
        <v>0</v>
      </c>
      <c r="I102" s="879"/>
      <c r="J102" s="2"/>
      <c r="K102" s="76"/>
      <c r="L102" s="76"/>
      <c r="M102" s="76"/>
      <c r="N102" s="76"/>
      <c r="O102" s="76"/>
      <c r="P102" s="76"/>
      <c r="Q102" s="706"/>
      <c r="R102" s="2"/>
      <c r="S102" s="705">
        <f ca="1">SUMIF($K$7:Q$7,"&lt;="&amp;$I$7,K102:P102)</f>
        <v>0</v>
      </c>
      <c r="T102" s="879"/>
      <c r="U102" s="2"/>
      <c r="V102" s="76"/>
      <c r="W102" s="76"/>
      <c r="X102" s="76"/>
      <c r="Y102" s="76"/>
      <c r="Z102" s="76"/>
      <c r="AA102" s="76"/>
      <c r="AB102" s="706"/>
      <c r="AC102" s="2"/>
      <c r="AD102" s="705">
        <f ca="1">SUMIF($V$7:AB$7,"&lt;="&amp;$I$7,V102:AA102)</f>
        <v>0</v>
      </c>
      <c r="AE102" s="879"/>
      <c r="AF102" s="2"/>
      <c r="AG102" s="76">
        <v>3216.17</v>
      </c>
      <c r="AH102" s="76"/>
      <c r="AI102" s="76"/>
      <c r="AJ102" s="76"/>
      <c r="AK102" s="76"/>
      <c r="AL102" s="76"/>
      <c r="AM102" s="706"/>
      <c r="AN102" s="2"/>
      <c r="AO102" s="705"/>
      <c r="AP102" s="879"/>
      <c r="AQ102" s="2"/>
      <c r="AR102" s="76"/>
      <c r="AS102" s="76"/>
      <c r="AT102" s="76"/>
      <c r="AU102" s="76"/>
      <c r="AV102" s="76"/>
      <c r="AW102" s="76"/>
      <c r="AX102" s="706"/>
      <c r="AY102" s="2"/>
      <c r="AZ102" s="705">
        <f ca="1">SUMIF($AR$7:AX$7,"&lt;="&amp;$I$7,AR102:AW102)</f>
        <v>0</v>
      </c>
      <c r="BA102" s="879"/>
      <c r="BB102" s="2"/>
      <c r="BC102" s="76"/>
      <c r="BD102" s="76"/>
      <c r="BE102" s="76"/>
      <c r="BF102" s="76"/>
      <c r="BG102" s="76"/>
      <c r="BH102" s="76"/>
      <c r="BI102" s="706"/>
      <c r="BJ102" s="2"/>
      <c r="BK102" s="705">
        <f ca="1">SUMIF($BC$7:BI$7,"&lt;="&amp;$I$7,BC102:BH102)</f>
        <v>0</v>
      </c>
      <c r="BL102" s="879"/>
      <c r="BM102" s="2"/>
      <c r="BN102" s="922"/>
      <c r="BO102" s="885"/>
      <c r="BP102" s="885"/>
      <c r="BQ102" s="879"/>
      <c r="BR102" s="2"/>
      <c r="BS102" s="885"/>
      <c r="BT102" s="885"/>
      <c r="BU102" s="885"/>
      <c r="BV102" s="885"/>
      <c r="BW102" s="1005"/>
      <c r="BX102" s="885"/>
      <c r="BY102" s="879"/>
      <c r="BZ102" s="2"/>
      <c r="CA102" s="885"/>
      <c r="CB102" s="885"/>
      <c r="CC102" s="2"/>
      <c r="CD102" s="504">
        <f>IFERROR(AVERAGEIF($V$7:AB$7,"&lt;="&amp;$I$7,V102:AB102),0)</f>
        <v>0</v>
      </c>
      <c r="CE102" s="2"/>
      <c r="CH102" s="93" t="str">
        <f t="shared" si="192"/>
        <v>Aterro  6</v>
      </c>
    </row>
    <row r="103" spans="1:86" s="16" customFormat="1" ht="20.45" hidden="1" customHeight="1" outlineLevel="2">
      <c r="A103" s="74" t="s">
        <v>3899</v>
      </c>
      <c r="B103" s="1046" t="s">
        <v>3900</v>
      </c>
      <c r="C103" s="1014" t="s">
        <v>36</v>
      </c>
      <c r="D103" s="2"/>
      <c r="E103" s="1004">
        <v>31211.215338345864</v>
      </c>
      <c r="F103" s="2"/>
      <c r="G103" s="49" t="s">
        <v>37</v>
      </c>
      <c r="H103" s="705">
        <f t="shared" si="225"/>
        <v>0</v>
      </c>
      <c r="I103" s="878" t="str">
        <f t="shared" ref="I103" si="268">IF(H103=0,IF(H104&gt;0,1,"-"),IFERROR(H104/H103,"-"))</f>
        <v>-</v>
      </c>
      <c r="J103" s="2"/>
      <c r="K103" s="705"/>
      <c r="L103" s="408"/>
      <c r="M103" s="408"/>
      <c r="N103" s="408"/>
      <c r="O103" s="408"/>
      <c r="P103" s="705"/>
      <c r="Q103" s="705"/>
      <c r="R103" s="2"/>
      <c r="S103" s="705">
        <f ca="1">SUMIF($K$7:Q$7,"&lt;="&amp;$I$7,K103:P103)</f>
        <v>0</v>
      </c>
      <c r="T103" s="878" t="str">
        <f t="shared" ref="T103" ca="1" si="269">IFERROR((S104/S103),"-")</f>
        <v>-</v>
      </c>
      <c r="U103" s="2"/>
      <c r="V103" s="705"/>
      <c r="W103" s="705"/>
      <c r="X103" s="705"/>
      <c r="Y103" s="705"/>
      <c r="Z103" s="705"/>
      <c r="AA103" s="705"/>
      <c r="AB103" s="705"/>
      <c r="AC103" s="2"/>
      <c r="AD103" s="705">
        <f ca="1">SUMIF($V$7:AB$7,"&lt;="&amp;$I$7,V103:AA103)</f>
        <v>0</v>
      </c>
      <c r="AE103" s="878" t="str">
        <f t="shared" ref="AE103" ca="1" si="270">IFERROR((AD104/AD103),"-")</f>
        <v>-</v>
      </c>
      <c r="AF103" s="2"/>
      <c r="AG103" s="705"/>
      <c r="AH103" s="409"/>
      <c r="AI103" s="409"/>
      <c r="AJ103" s="409"/>
      <c r="AK103" s="409"/>
      <c r="AL103" s="705"/>
      <c r="AM103" s="705"/>
      <c r="AN103" s="2"/>
      <c r="AO103" s="705"/>
      <c r="AP103" s="878" t="str">
        <f t="shared" ref="AP103" si="271">IFERROR((AO104/AO103),"-")</f>
        <v>-</v>
      </c>
      <c r="AQ103" s="2"/>
      <c r="AR103" s="705"/>
      <c r="AS103" s="409"/>
      <c r="AT103" s="409"/>
      <c r="AU103" s="409"/>
      <c r="AV103" s="409"/>
      <c r="AW103" s="705"/>
      <c r="AX103" s="705"/>
      <c r="AY103" s="2"/>
      <c r="AZ103" s="705">
        <f ca="1">SUMIF($AR$7:AX$7,"&lt;="&amp;$I$7,AR103:AW103)</f>
        <v>0</v>
      </c>
      <c r="BA103" s="878" t="str">
        <f t="shared" ref="BA103" ca="1" si="272">IFERROR((AZ104/AZ103),"-")</f>
        <v>-</v>
      </c>
      <c r="BB103" s="2"/>
      <c r="BC103" s="705"/>
      <c r="BD103" s="409"/>
      <c r="BE103" s="409"/>
      <c r="BF103" s="409"/>
      <c r="BG103" s="409"/>
      <c r="BH103" s="705"/>
      <c r="BI103" s="705"/>
      <c r="BJ103" s="2"/>
      <c r="BK103" s="705">
        <f ca="1">SUMIF($BC$7:BI$7,"&lt;="&amp;$I$7,BC103:BH103)</f>
        <v>0</v>
      </c>
      <c r="BL103" s="878" t="str">
        <f t="shared" ref="BL103" ca="1" si="273">IFERROR((BK104/BK103),"-")</f>
        <v>-</v>
      </c>
      <c r="BM103" s="2"/>
      <c r="BN103" s="921">
        <v>0</v>
      </c>
      <c r="BO103" s="884">
        <v>0</v>
      </c>
      <c r="BP103" s="884">
        <f>SUM(M104:P104,V104:AB104,AG104:AM104,AR104:AX104,BC104:BI104)</f>
        <v>501.5</v>
      </c>
      <c r="BQ103" s="878">
        <f t="shared" ref="BQ103" si="274">IF(AND(BO103=0,BP103=0),"-",IF(BO103=0,1,BP103/BO103))</f>
        <v>1</v>
      </c>
      <c r="BR103" s="2"/>
      <c r="BS103" s="884">
        <v>23972.11</v>
      </c>
      <c r="BT103" s="884"/>
      <c r="BU103" s="884">
        <f ca="1">E103+S104+AO104+AX104+AD104+BK104</f>
        <v>31690.915338345865</v>
      </c>
      <c r="BV103" s="884">
        <v>106</v>
      </c>
      <c r="BW103" s="1004">
        <f ca="1">IFERROR((BU103/BV103),"-")</f>
        <v>298.97089941835719</v>
      </c>
      <c r="BX103" s="884">
        <v>72548.11</v>
      </c>
      <c r="BY103" s="878">
        <f ca="1">IFERROR((BU103/BX103),"-")</f>
        <v>0.43682620179003789</v>
      </c>
      <c r="BZ103" s="2"/>
      <c r="CA103" s="884">
        <v>48576</v>
      </c>
      <c r="CB103" s="884">
        <f t="shared" ref="CB103" ca="1" si="275">CA103-BU103</f>
        <v>16885.084661654135</v>
      </c>
      <c r="CC103" s="2"/>
      <c r="CD103" s="504">
        <f>IFERROR(AVERAGEIF($V$7:AB$7,"&lt;="&amp;$I$7,V103:AB103),0)</f>
        <v>0</v>
      </c>
      <c r="CE103" s="2"/>
      <c r="CH103" s="93" t="str">
        <f t="shared" si="192"/>
        <v>Aterro 7 - km 214+420 a 225+000</v>
      </c>
    </row>
    <row r="104" spans="1:86" s="16" customFormat="1" ht="20.45" hidden="1" customHeight="1" outlineLevel="2">
      <c r="A104" s="74"/>
      <c r="B104" s="1040"/>
      <c r="C104" s="1034"/>
      <c r="D104" s="2"/>
      <c r="E104" s="1024"/>
      <c r="F104" s="2"/>
      <c r="G104" s="50" t="s">
        <v>38</v>
      </c>
      <c r="H104" s="705">
        <f t="shared" si="225"/>
        <v>0</v>
      </c>
      <c r="I104" s="879"/>
      <c r="J104" s="2"/>
      <c r="K104" s="76">
        <v>43.61</v>
      </c>
      <c r="L104" s="76">
        <v>174.44</v>
      </c>
      <c r="M104" s="76">
        <v>261.64999999999998</v>
      </c>
      <c r="N104" s="76"/>
      <c r="O104" s="76"/>
      <c r="P104" s="76"/>
      <c r="Q104" s="706"/>
      <c r="R104" s="2"/>
      <c r="S104" s="705">
        <f ca="1">SUMIF($K$7:Q$7,"&lt;="&amp;$I$7,K104:P104)</f>
        <v>479.7</v>
      </c>
      <c r="T104" s="879"/>
      <c r="U104" s="2"/>
      <c r="V104" s="76"/>
      <c r="W104" s="76"/>
      <c r="X104" s="76"/>
      <c r="Y104" s="76"/>
      <c r="Z104" s="76"/>
      <c r="AA104" s="76"/>
      <c r="AB104" s="706"/>
      <c r="AC104" s="2"/>
      <c r="AD104" s="705">
        <f ca="1">SUMIF($V$7:AB$7,"&lt;="&amp;$I$7,V104:AA104)</f>
        <v>0</v>
      </c>
      <c r="AE104" s="879"/>
      <c r="AF104" s="2"/>
      <c r="AG104" s="76">
        <v>239.85</v>
      </c>
      <c r="AH104" s="76"/>
      <c r="AI104" s="76"/>
      <c r="AJ104" s="76"/>
      <c r="AK104" s="76"/>
      <c r="AL104" s="76"/>
      <c r="AM104" s="706"/>
      <c r="AN104" s="2"/>
      <c r="AO104" s="705"/>
      <c r="AP104" s="879"/>
      <c r="AQ104" s="2"/>
      <c r="AR104" s="76"/>
      <c r="AS104" s="76"/>
      <c r="AT104" s="76"/>
      <c r="AU104" s="76"/>
      <c r="AV104" s="76"/>
      <c r="AW104" s="76"/>
      <c r="AX104" s="706"/>
      <c r="AY104" s="2"/>
      <c r="AZ104" s="705">
        <f ca="1">SUMIF($AR$7:AX$7,"&lt;="&amp;$I$7,AR104:AW104)</f>
        <v>0</v>
      </c>
      <c r="BA104" s="879"/>
      <c r="BB104" s="2"/>
      <c r="BC104" s="76"/>
      <c r="BD104" s="76"/>
      <c r="BE104" s="76"/>
      <c r="BF104" s="76"/>
      <c r="BG104" s="76"/>
      <c r="BH104" s="76"/>
      <c r="BI104" s="706"/>
      <c r="BJ104" s="2"/>
      <c r="BK104" s="705">
        <f ca="1">SUMIF($BC$7:BI$7,"&lt;="&amp;$I$7,BC104:BH104)</f>
        <v>0</v>
      </c>
      <c r="BL104" s="879"/>
      <c r="BM104" s="2"/>
      <c r="BN104" s="922"/>
      <c r="BO104" s="885"/>
      <c r="BP104" s="885"/>
      <c r="BQ104" s="879"/>
      <c r="BR104" s="2"/>
      <c r="BS104" s="885"/>
      <c r="BT104" s="885"/>
      <c r="BU104" s="885"/>
      <c r="BV104" s="885"/>
      <c r="BW104" s="1005"/>
      <c r="BX104" s="885"/>
      <c r="BY104" s="879"/>
      <c r="BZ104" s="2"/>
      <c r="CA104" s="885"/>
      <c r="CB104" s="885"/>
      <c r="CC104" s="2"/>
      <c r="CD104" s="504">
        <f>IFERROR(AVERAGEIF($V$7:AB$7,"&lt;="&amp;$I$7,V104:AB104),0)</f>
        <v>0</v>
      </c>
      <c r="CE104" s="2"/>
      <c r="CH104" s="93" t="str">
        <f t="shared" si="192"/>
        <v>Aterro 7 - km 214+420 a 225+000</v>
      </c>
    </row>
    <row r="105" spans="1:86" s="16" customFormat="1" ht="20.45" hidden="1" customHeight="1" outlineLevel="2">
      <c r="A105" s="74" t="s">
        <v>3901</v>
      </c>
      <c r="B105" s="1046" t="s">
        <v>3902</v>
      </c>
      <c r="C105" s="1014" t="s">
        <v>36</v>
      </c>
      <c r="D105" s="2"/>
      <c r="E105" s="1004">
        <v>17871.874736842103</v>
      </c>
      <c r="F105" s="2"/>
      <c r="G105" s="49" t="s">
        <v>37</v>
      </c>
      <c r="H105" s="705">
        <f t="shared" si="225"/>
        <v>0</v>
      </c>
      <c r="I105" s="878" t="str">
        <f t="shared" ref="I105" si="276">IF(H105=0,IF(H106&gt;0,1,"-"),IFERROR(H106/H105,"-"))</f>
        <v>-</v>
      </c>
      <c r="J105" s="2"/>
      <c r="K105" s="705"/>
      <c r="L105" s="705"/>
      <c r="M105" s="705"/>
      <c r="N105" s="705"/>
      <c r="O105" s="705"/>
      <c r="P105" s="705"/>
      <c r="Q105" s="705"/>
      <c r="R105" s="2"/>
      <c r="S105" s="705">
        <f ca="1">SUMIF($K$7:Q$7,"&lt;="&amp;$I$7,K105:P105)</f>
        <v>0</v>
      </c>
      <c r="T105" s="878" t="str">
        <f t="shared" ref="T105" ca="1" si="277">IFERROR((S106/S105),"-")</f>
        <v>-</v>
      </c>
      <c r="U105" s="2"/>
      <c r="V105" s="705"/>
      <c r="W105" s="705"/>
      <c r="X105" s="705"/>
      <c r="Y105" s="705"/>
      <c r="Z105" s="705"/>
      <c r="AA105" s="705"/>
      <c r="AB105" s="705"/>
      <c r="AC105" s="2"/>
      <c r="AD105" s="705">
        <f ca="1">SUMIF($V$7:AB$7,"&lt;="&amp;$I$7,V105:AA105)</f>
        <v>0</v>
      </c>
      <c r="AE105" s="878" t="str">
        <f t="shared" ref="AE105" ca="1" si="278">IFERROR((AD106/AD105),"-")</f>
        <v>-</v>
      </c>
      <c r="AF105" s="2"/>
      <c r="AG105" s="705"/>
      <c r="AH105" s="705"/>
      <c r="AI105" s="705"/>
      <c r="AJ105" s="705"/>
      <c r="AK105" s="705"/>
      <c r="AL105" s="705"/>
      <c r="AM105" s="705"/>
      <c r="AN105" s="2"/>
      <c r="AO105" s="705"/>
      <c r="AP105" s="878" t="str">
        <f t="shared" ref="AP105" si="279">IFERROR((AO106/AO105),"-")</f>
        <v>-</v>
      </c>
      <c r="AQ105" s="2"/>
      <c r="AR105" s="705"/>
      <c r="AS105" s="705"/>
      <c r="AT105" s="705"/>
      <c r="AU105" s="705"/>
      <c r="AV105" s="705"/>
      <c r="AW105" s="705"/>
      <c r="AX105" s="705"/>
      <c r="AY105" s="2"/>
      <c r="AZ105" s="705">
        <f ca="1">SUMIF($AR$7:AX$7,"&lt;="&amp;$I$7,AR105:AW105)</f>
        <v>0</v>
      </c>
      <c r="BA105" s="878" t="str">
        <f t="shared" ref="BA105" ca="1" si="280">IFERROR((AZ106/AZ105),"-")</f>
        <v>-</v>
      </c>
      <c r="BB105" s="2"/>
      <c r="BC105" s="705"/>
      <c r="BD105" s="705"/>
      <c r="BE105" s="705"/>
      <c r="BF105" s="705"/>
      <c r="BG105" s="705"/>
      <c r="BH105" s="705"/>
      <c r="BI105" s="705"/>
      <c r="BJ105" s="2"/>
      <c r="BK105" s="705">
        <f ca="1">SUMIF($BC$7:BI$7,"&lt;="&amp;$I$7,BC105:BH105)</f>
        <v>0</v>
      </c>
      <c r="BL105" s="878" t="str">
        <f t="shared" ref="BL105" ca="1" si="281">IFERROR((BK106/BK105),"-")</f>
        <v>-</v>
      </c>
      <c r="BM105" s="2"/>
      <c r="BN105" s="921">
        <v>0</v>
      </c>
      <c r="BO105" s="884">
        <v>0</v>
      </c>
      <c r="BP105" s="884">
        <f>SUM(M106:P106,V106:AB106,AG106:AM106,AR106:AX106,BC106:BI106)</f>
        <v>0</v>
      </c>
      <c r="BQ105" s="878" t="str">
        <f t="shared" ref="BQ105" si="282">IF(AND(BO105=0,BP105=0),"-",IF(BO105=0,1,BP105/BO105))</f>
        <v>-</v>
      </c>
      <c r="BR105" s="2"/>
      <c r="BS105" s="884">
        <v>7861.35</v>
      </c>
      <c r="BT105" s="884"/>
      <c r="BU105" s="884">
        <f ca="1">E105+S106+AO106+AX106+AD106+BK106</f>
        <v>17871.874736842103</v>
      </c>
      <c r="BV105" s="884">
        <v>106</v>
      </c>
      <c r="BW105" s="1004">
        <f ca="1">IFERROR((BU105/BV105),"-")</f>
        <v>168.60259185700096</v>
      </c>
      <c r="BX105" s="884">
        <v>0</v>
      </c>
      <c r="BY105" s="878" t="str">
        <f ca="1">IFERROR((BU105/BX105),"-")</f>
        <v>-</v>
      </c>
      <c r="BZ105" s="2"/>
      <c r="CA105" s="884">
        <v>18515</v>
      </c>
      <c r="CB105" s="886">
        <f t="shared" ref="CB105" ca="1" si="283">CA105-BU105</f>
        <v>643.12526315789728</v>
      </c>
      <c r="CC105" s="2"/>
      <c r="CD105" s="504">
        <f>IFERROR(AVERAGEIF($V$7:AB$7,"&lt;="&amp;$I$7,V105:AB105),0)</f>
        <v>0</v>
      </c>
      <c r="CE105" s="2"/>
      <c r="CH105" s="93" t="str">
        <f t="shared" si="192"/>
        <v>Aterro 8 - km 214+420 a 225+000</v>
      </c>
    </row>
    <row r="106" spans="1:86" s="16" customFormat="1" ht="20.45" hidden="1" customHeight="1" outlineLevel="2">
      <c r="A106" s="74"/>
      <c r="B106" s="1040"/>
      <c r="C106" s="1034"/>
      <c r="D106" s="2"/>
      <c r="E106" s="1024"/>
      <c r="F106" s="2"/>
      <c r="G106" s="50" t="s">
        <v>38</v>
      </c>
      <c r="H106" s="705">
        <f t="shared" si="225"/>
        <v>0</v>
      </c>
      <c r="I106" s="879"/>
      <c r="J106" s="2"/>
      <c r="K106" s="76"/>
      <c r="L106" s="76"/>
      <c r="M106" s="76"/>
      <c r="N106" s="76"/>
      <c r="O106" s="76"/>
      <c r="P106" s="76"/>
      <c r="Q106" s="706"/>
      <c r="R106" s="2"/>
      <c r="S106" s="705">
        <f ca="1">SUMIF($K$7:Q$7,"&lt;="&amp;$I$7,K106:P106)</f>
        <v>0</v>
      </c>
      <c r="T106" s="879"/>
      <c r="U106" s="2"/>
      <c r="V106" s="76"/>
      <c r="W106" s="76"/>
      <c r="X106" s="76"/>
      <c r="Y106" s="76"/>
      <c r="Z106" s="76"/>
      <c r="AA106" s="76"/>
      <c r="AB106" s="706"/>
      <c r="AC106" s="2"/>
      <c r="AD106" s="705">
        <f ca="1">SUMIF($V$7:AB$7,"&lt;="&amp;$I$7,V106:AA106)</f>
        <v>0</v>
      </c>
      <c r="AE106" s="879"/>
      <c r="AF106" s="2"/>
      <c r="AG106" s="76"/>
      <c r="AH106" s="76"/>
      <c r="AI106" s="76"/>
      <c r="AJ106" s="76"/>
      <c r="AK106" s="76"/>
      <c r="AL106" s="76"/>
      <c r="AM106" s="706"/>
      <c r="AN106" s="2"/>
      <c r="AO106" s="705"/>
      <c r="AP106" s="879"/>
      <c r="AQ106" s="2"/>
      <c r="AR106" s="76"/>
      <c r="AS106" s="76"/>
      <c r="AT106" s="76"/>
      <c r="AU106" s="76"/>
      <c r="AV106" s="76"/>
      <c r="AW106" s="76"/>
      <c r="AX106" s="706"/>
      <c r="AY106" s="2"/>
      <c r="AZ106" s="705">
        <f ca="1">SUMIF($AR$7:AX$7,"&lt;="&amp;$I$7,AR106:AW106)</f>
        <v>0</v>
      </c>
      <c r="BA106" s="879"/>
      <c r="BB106" s="2"/>
      <c r="BC106" s="76"/>
      <c r="BD106" s="76"/>
      <c r="BE106" s="76"/>
      <c r="BF106" s="76"/>
      <c r="BG106" s="76"/>
      <c r="BH106" s="76"/>
      <c r="BI106" s="706"/>
      <c r="BJ106" s="2"/>
      <c r="BK106" s="705">
        <f ca="1">SUMIF($BC$7:BI$7,"&lt;="&amp;$I$7,BC106:BH106)</f>
        <v>0</v>
      </c>
      <c r="BL106" s="879"/>
      <c r="BM106" s="2"/>
      <c r="BN106" s="922"/>
      <c r="BO106" s="885"/>
      <c r="BP106" s="885"/>
      <c r="BQ106" s="879"/>
      <c r="BR106" s="2"/>
      <c r="BS106" s="885"/>
      <c r="BT106" s="885"/>
      <c r="BU106" s="885"/>
      <c r="BV106" s="885"/>
      <c r="BW106" s="1005"/>
      <c r="BX106" s="885"/>
      <c r="BY106" s="879"/>
      <c r="BZ106" s="2"/>
      <c r="CA106" s="885"/>
      <c r="CB106" s="926"/>
      <c r="CC106" s="2"/>
      <c r="CD106" s="504">
        <f>IFERROR(AVERAGEIF($V$7:AB$7,"&lt;="&amp;$I$7,V106:AB106),0)</f>
        <v>0</v>
      </c>
      <c r="CE106" s="2"/>
      <c r="CH106" s="93" t="str">
        <f t="shared" si="192"/>
        <v>Aterro 8 - km 214+420 a 225+000</v>
      </c>
    </row>
    <row r="107" spans="1:86" s="16" customFormat="1" ht="20.45" hidden="1" customHeight="1" outlineLevel="2">
      <c r="A107" s="74" t="s">
        <v>3903</v>
      </c>
      <c r="B107" s="1046" t="s">
        <v>3904</v>
      </c>
      <c r="C107" s="1014" t="s">
        <v>36</v>
      </c>
      <c r="D107" s="2"/>
      <c r="E107" s="1004">
        <v>86834.510751879687</v>
      </c>
      <c r="F107" s="2"/>
      <c r="G107" s="49" t="s">
        <v>37</v>
      </c>
      <c r="H107" s="705">
        <f t="shared" si="225"/>
        <v>2700</v>
      </c>
      <c r="I107" s="878">
        <f t="shared" ref="I107" si="284">IF(H107=0,IF(H108&gt;0,1,"-"),IFERROR(H108/H107,"-"))</f>
        <v>0.63505925925925932</v>
      </c>
      <c r="J107" s="2"/>
      <c r="K107" s="705">
        <v>2632</v>
      </c>
      <c r="L107" s="705">
        <v>4210</v>
      </c>
      <c r="M107" s="705">
        <v>4210</v>
      </c>
      <c r="N107" s="705">
        <v>4210</v>
      </c>
      <c r="O107" s="705">
        <v>4210</v>
      </c>
      <c r="P107" s="705">
        <v>4210</v>
      </c>
      <c r="Q107" s="705"/>
      <c r="R107" s="2"/>
      <c r="S107" s="705">
        <f ca="1">SUMIF($K$7:Q$7,"&lt;="&amp;$I$7,K107:P107)</f>
        <v>23682</v>
      </c>
      <c r="T107" s="878">
        <f t="shared" ref="T107" ca="1" si="285">IFERROR((S108/S107),"-")</f>
        <v>0.19011279147958568</v>
      </c>
      <c r="U107" s="2"/>
      <c r="V107" s="705">
        <v>4210</v>
      </c>
      <c r="W107" s="705">
        <v>4210</v>
      </c>
      <c r="X107" s="705">
        <v>4210</v>
      </c>
      <c r="Y107" s="705">
        <v>4210</v>
      </c>
      <c r="Z107" s="705">
        <v>4210</v>
      </c>
      <c r="AA107" s="705">
        <v>4210</v>
      </c>
      <c r="AB107" s="705"/>
      <c r="AC107" s="2"/>
      <c r="AD107" s="705">
        <f ca="1">SUMIF($V$7:AB$7,"&lt;="&amp;$I$7,V107:AA107)</f>
        <v>25260</v>
      </c>
      <c r="AE107" s="878">
        <f t="shared" ref="AE107" ca="1" si="286">IFERROR((AD108/AD107),"-")</f>
        <v>6.5945764053840061E-2</v>
      </c>
      <c r="AF107" s="2"/>
      <c r="AG107" s="705">
        <v>2700</v>
      </c>
      <c r="AH107" s="705">
        <v>2700</v>
      </c>
      <c r="AI107" s="705">
        <v>2700</v>
      </c>
      <c r="AJ107" s="705">
        <v>2700</v>
      </c>
      <c r="AK107" s="705">
        <v>2700</v>
      </c>
      <c r="AL107" s="705">
        <v>2700</v>
      </c>
      <c r="AM107" s="705"/>
      <c r="AN107" s="2"/>
      <c r="AO107" s="705"/>
      <c r="AP107" s="878" t="str">
        <f t="shared" ref="AP107" si="287">IFERROR((AO108/AO107),"-")</f>
        <v>-</v>
      </c>
      <c r="AQ107" s="2"/>
      <c r="AR107" s="705"/>
      <c r="AS107" s="705"/>
      <c r="AT107" s="705"/>
      <c r="AU107" s="705"/>
      <c r="AV107" s="705"/>
      <c r="AW107" s="705"/>
      <c r="AX107" s="705"/>
      <c r="AY107" s="2"/>
      <c r="AZ107" s="705">
        <f ca="1">SUMIF($AR$7:AX$7,"&lt;="&amp;$I$7,AR107:AW107)</f>
        <v>0</v>
      </c>
      <c r="BA107" s="878" t="str">
        <f t="shared" ref="BA107" ca="1" si="288">IFERROR((AZ108/AZ107),"-")</f>
        <v>-</v>
      </c>
      <c r="BB107" s="2"/>
      <c r="BC107" s="705"/>
      <c r="BD107" s="705"/>
      <c r="BE107" s="705"/>
      <c r="BF107" s="705"/>
      <c r="BG107" s="705"/>
      <c r="BH107" s="705"/>
      <c r="BI107" s="705"/>
      <c r="BJ107" s="2"/>
      <c r="BK107" s="705">
        <f ca="1">SUMIF($BC$7:BI$7,"&lt;="&amp;$I$7,BC107:BH107)</f>
        <v>0</v>
      </c>
      <c r="BL107" s="878" t="str">
        <f t="shared" ref="BL107" ca="1" si="289">IFERROR((BK108/BK107),"-")</f>
        <v>-</v>
      </c>
      <c r="BM107" s="2"/>
      <c r="BN107" s="921">
        <v>68303.099999999977</v>
      </c>
      <c r="BO107" s="884">
        <v>29697.000000000004</v>
      </c>
      <c r="BP107" s="884">
        <f>SUM(M108:P108,V108:AB108,AG108:AM108,AR108:AX108,BC108:BI108)</f>
        <v>6359.3911278195492</v>
      </c>
      <c r="BQ107" s="878">
        <f t="shared" ref="BQ107" si="290">IF(AND(BO107=0,BP107=0),"-",IF(BO107=0,1,BP107/BO107))</f>
        <v>0.21414254395459301</v>
      </c>
      <c r="BR107" s="2"/>
      <c r="BS107" s="884">
        <v>71487.149999999994</v>
      </c>
      <c r="BT107" s="884"/>
      <c r="BU107" s="884">
        <f ca="1">E107+S108+AO108+AX108+AD108+BK108</f>
        <v>93002.551879699226</v>
      </c>
      <c r="BV107" s="884">
        <v>106</v>
      </c>
      <c r="BW107" s="1004">
        <f ca="1">IFERROR((BU107/BV107),"-")</f>
        <v>877.38256490282288</v>
      </c>
      <c r="BX107" s="884">
        <v>228881.25</v>
      </c>
      <c r="BY107" s="878">
        <f ca="1">IFERROR((BU107/BX107),"-")</f>
        <v>0.40633538955112847</v>
      </c>
      <c r="BZ107" s="2"/>
      <c r="CA107" s="884">
        <v>322076</v>
      </c>
      <c r="CB107" s="884">
        <f t="shared" ref="CB107" ca="1" si="291">CA107-BU107</f>
        <v>229073.44812030077</v>
      </c>
      <c r="CC107" s="2"/>
      <c r="CD107" s="504">
        <f>IFERROR(AVERAGEIF($V$7:AB$7,"&lt;="&amp;$I$7,V107:AB107),0)</f>
        <v>4210</v>
      </c>
      <c r="CE107" s="2"/>
      <c r="CH107" s="93" t="str">
        <f t="shared" si="192"/>
        <v>Aterro 9 - km 214+420 a 225+000</v>
      </c>
    </row>
    <row r="108" spans="1:86" s="16" customFormat="1" ht="15.95" hidden="1" customHeight="1" outlineLevel="2">
      <c r="A108" s="74"/>
      <c r="B108" s="1040"/>
      <c r="C108" s="1034"/>
      <c r="D108" s="2"/>
      <c r="E108" s="1024"/>
      <c r="F108" s="2"/>
      <c r="G108" s="50" t="s">
        <v>38</v>
      </c>
      <c r="H108" s="705">
        <f t="shared" si="225"/>
        <v>1714.66</v>
      </c>
      <c r="I108" s="879"/>
      <c r="J108" s="2"/>
      <c r="K108" s="76">
        <v>1611.65</v>
      </c>
      <c r="L108" s="76">
        <v>903.01</v>
      </c>
      <c r="M108" s="76">
        <v>1214.6600000000001</v>
      </c>
      <c r="N108" s="76">
        <v>392.48</v>
      </c>
      <c r="O108" s="76">
        <v>380.45112781954884</v>
      </c>
      <c r="P108" s="76"/>
      <c r="Q108" s="76"/>
      <c r="R108" s="2"/>
      <c r="S108" s="705">
        <f>SUMIF($K$7:Q$7,"&lt;="&amp;$I$7,K108:Q108)</f>
        <v>4502.2511278195479</v>
      </c>
      <c r="T108" s="879"/>
      <c r="U108" s="2"/>
      <c r="V108" s="76"/>
      <c r="W108" s="76"/>
      <c r="X108" s="76"/>
      <c r="Y108" s="76">
        <v>130.83000000000001</v>
      </c>
      <c r="Z108" s="76">
        <v>423.68</v>
      </c>
      <c r="AA108" s="76">
        <v>1111.28</v>
      </c>
      <c r="AB108" s="706"/>
      <c r="AC108" s="2"/>
      <c r="AD108" s="705">
        <f ca="1">SUMIF($V$7:AB$7,"&lt;="&amp;$I$7,V108:AA108)</f>
        <v>1665.79</v>
      </c>
      <c r="AE108" s="879"/>
      <c r="AF108" s="2"/>
      <c r="AG108" s="76">
        <v>991.35</v>
      </c>
      <c r="AH108" s="76">
        <v>1714.66</v>
      </c>
      <c r="AI108" s="76"/>
      <c r="AJ108" s="76"/>
      <c r="AK108" s="76"/>
      <c r="AL108" s="76"/>
      <c r="AM108" s="706"/>
      <c r="AN108" s="2"/>
      <c r="AO108" s="705"/>
      <c r="AP108" s="879"/>
      <c r="AQ108" s="2"/>
      <c r="AR108" s="76"/>
      <c r="AS108" s="76"/>
      <c r="AT108" s="76"/>
      <c r="AU108" s="76"/>
      <c r="AV108" s="76"/>
      <c r="AW108" s="76"/>
      <c r="AX108" s="706"/>
      <c r="AY108" s="2"/>
      <c r="AZ108" s="705">
        <f ca="1">SUMIF($AR$7:AX$7,"&lt;="&amp;$I$7,AR108:AW108)</f>
        <v>0</v>
      </c>
      <c r="BA108" s="879"/>
      <c r="BB108" s="2"/>
      <c r="BC108" s="76"/>
      <c r="BD108" s="76"/>
      <c r="BE108" s="76"/>
      <c r="BF108" s="76"/>
      <c r="BG108" s="76"/>
      <c r="BH108" s="76"/>
      <c r="BI108" s="706"/>
      <c r="BJ108" s="2"/>
      <c r="BK108" s="705">
        <f ca="1">SUMIF($BC$7:BI$7,"&lt;="&amp;$I$7,BC108:BH108)</f>
        <v>0</v>
      </c>
      <c r="BL108" s="879"/>
      <c r="BM108" s="2"/>
      <c r="BN108" s="922"/>
      <c r="BO108" s="885"/>
      <c r="BP108" s="885"/>
      <c r="BQ108" s="879"/>
      <c r="BR108" s="2"/>
      <c r="BS108" s="885"/>
      <c r="BT108" s="885"/>
      <c r="BU108" s="885"/>
      <c r="BV108" s="885"/>
      <c r="BW108" s="1005"/>
      <c r="BX108" s="885"/>
      <c r="BY108" s="879"/>
      <c r="BZ108" s="2"/>
      <c r="CA108" s="885"/>
      <c r="CB108" s="885"/>
      <c r="CC108" s="2"/>
      <c r="CD108" s="504">
        <f>IFERROR(AVERAGEIF($V$7:AB$7,"&lt;="&amp;$I$7,V108:AB108),0)</f>
        <v>555.26333333333332</v>
      </c>
      <c r="CE108" s="2"/>
      <c r="CH108" s="93" t="str">
        <f t="shared" si="192"/>
        <v>Aterro 9 - km 214+420 a 225+000</v>
      </c>
    </row>
    <row r="109" spans="1:86" ht="24.95" hidden="1" customHeight="1" outlineLevel="2">
      <c r="A109" s="74" t="s">
        <v>3905</v>
      </c>
      <c r="B109" s="1085" t="s">
        <v>3906</v>
      </c>
      <c r="C109" s="1014" t="s">
        <v>36</v>
      </c>
      <c r="D109" s="2"/>
      <c r="E109" s="1004">
        <v>0</v>
      </c>
      <c r="F109" s="2"/>
      <c r="G109" s="49" t="s">
        <v>37</v>
      </c>
      <c r="H109" s="705">
        <f t="shared" si="225"/>
        <v>0</v>
      </c>
      <c r="I109" s="878" t="str">
        <f t="shared" ref="I109" si="292">IF(H109=0,IF(H110&gt;0,1,"-"),IFERROR(H110/H109,"-"))</f>
        <v>-</v>
      </c>
      <c r="J109" s="2"/>
      <c r="K109" s="705"/>
      <c r="L109" s="705"/>
      <c r="M109" s="705"/>
      <c r="N109" s="705"/>
      <c r="O109" s="705"/>
      <c r="P109" s="705"/>
      <c r="Q109" s="705"/>
      <c r="R109" s="2"/>
      <c r="S109" s="705">
        <f ca="1">SUMIF($K$7:Q$7,"&lt;="&amp;$I$7,K109:P109)</f>
        <v>0</v>
      </c>
      <c r="T109" s="878" t="str">
        <f t="shared" ref="T109" ca="1" si="293">IFERROR((S110/S109),"-")</f>
        <v>-</v>
      </c>
      <c r="U109" s="2"/>
      <c r="V109" s="705"/>
      <c r="W109" s="705"/>
      <c r="X109" s="705"/>
      <c r="Y109" s="705"/>
      <c r="Z109" s="705"/>
      <c r="AA109" s="705"/>
      <c r="AB109" s="705"/>
      <c r="AC109" s="2"/>
      <c r="AD109" s="705">
        <f ca="1">SUMIF($V$7:AB$7,"&lt;="&amp;$I$7,V109:AA109)</f>
        <v>0</v>
      </c>
      <c r="AE109" s="878" t="str">
        <f t="shared" ref="AE109" ca="1" si="294">IFERROR((AD110/AD109),"-")</f>
        <v>-</v>
      </c>
      <c r="AF109" s="2"/>
      <c r="AG109" s="705"/>
      <c r="AH109" s="705"/>
      <c r="AI109" s="705"/>
      <c r="AJ109" s="705"/>
      <c r="AK109" s="705"/>
      <c r="AL109" s="705"/>
      <c r="AM109" s="705"/>
      <c r="AN109" s="2"/>
      <c r="AO109" s="705"/>
      <c r="AP109" s="878" t="str">
        <f t="shared" ref="AP109" si="295">IFERROR((AO110/AO109),"-")</f>
        <v>-</v>
      </c>
      <c r="AQ109" s="2"/>
      <c r="AR109" s="705"/>
      <c r="AS109" s="705"/>
      <c r="AT109" s="705"/>
      <c r="AU109" s="705"/>
      <c r="AV109" s="705"/>
      <c r="AW109" s="705"/>
      <c r="AX109" s="705"/>
      <c r="AY109" s="2"/>
      <c r="AZ109" s="705">
        <f ca="1">SUMIF($AR$7:AX$7,"&lt;="&amp;$I$7,AR109:AW109)</f>
        <v>0</v>
      </c>
      <c r="BA109" s="878" t="str">
        <f t="shared" ref="BA109" ca="1" si="296">IFERROR((AZ110/AZ109),"-")</f>
        <v>-</v>
      </c>
      <c r="BB109" s="2"/>
      <c r="BC109" s="705"/>
      <c r="BD109" s="705"/>
      <c r="BE109" s="705"/>
      <c r="BF109" s="705"/>
      <c r="BG109" s="705"/>
      <c r="BH109" s="705"/>
      <c r="BI109" s="705"/>
      <c r="BJ109" s="2"/>
      <c r="BK109" s="705">
        <f ca="1">SUMIF($BC$7:BI$7,"&lt;="&amp;$I$7,BC109:BH109)</f>
        <v>0</v>
      </c>
      <c r="BL109" s="878" t="str">
        <f t="shared" ref="BL109" ca="1" si="297">IFERROR((BK110/BK109),"-")</f>
        <v>-</v>
      </c>
      <c r="BM109" s="2"/>
      <c r="BN109" s="921">
        <v>4495.1899999999996</v>
      </c>
      <c r="BO109" s="884">
        <v>4495.1899999999996</v>
      </c>
      <c r="BP109" s="884">
        <f>SUM(M110:P110,V110:AB110,AG110:AM110,AR110:AX110,BC110:BI110)</f>
        <v>0</v>
      </c>
      <c r="BQ109" s="878">
        <f t="shared" ref="BQ109" si="298">IF(AND(BO109=0,BP109=0),"-",IF(BO109=0,1,BP109/BO109))</f>
        <v>0</v>
      </c>
      <c r="BR109" s="2"/>
      <c r="BS109" s="1087"/>
      <c r="BT109" s="1087"/>
      <c r="BU109" s="884">
        <f ca="1">E109+S110+AO110+AX110+AD110+BK110</f>
        <v>0</v>
      </c>
      <c r="BV109" s="884">
        <v>106</v>
      </c>
      <c r="BW109" s="1004">
        <f ca="1">IFERROR((BU109/BV109),"-")</f>
        <v>0</v>
      </c>
      <c r="BX109" s="884">
        <v>0</v>
      </c>
      <c r="BY109" s="878" t="str">
        <f ca="1">IFERROR((BU109/BX109),"-")</f>
        <v>-</v>
      </c>
      <c r="BZ109" s="2"/>
      <c r="CA109" s="884">
        <v>28897.75</v>
      </c>
      <c r="CB109" s="884">
        <f t="shared" ref="CB109" ca="1" si="299">CA109-BU109</f>
        <v>28897.75</v>
      </c>
      <c r="CC109" s="2"/>
      <c r="CD109" s="504">
        <f>IFERROR(AVERAGEIF($V$7:AB$7,"&lt;="&amp;$I$7,V109:AB109),0)</f>
        <v>0</v>
      </c>
      <c r="CE109" s="2"/>
      <c r="CH109" s="93" t="str">
        <f t="shared" si="192"/>
        <v>Execução da PN</v>
      </c>
    </row>
    <row r="110" spans="1:86" ht="24.95" hidden="1" customHeight="1" outlineLevel="2">
      <c r="A110" s="74"/>
      <c r="B110" s="1086"/>
      <c r="C110" s="1034"/>
      <c r="D110" s="2"/>
      <c r="E110" s="1024"/>
      <c r="F110" s="2"/>
      <c r="G110" s="50" t="s">
        <v>38</v>
      </c>
      <c r="H110" s="705">
        <f t="shared" si="225"/>
        <v>0</v>
      </c>
      <c r="I110" s="879"/>
      <c r="J110" s="2"/>
      <c r="K110" s="76"/>
      <c r="L110" s="76"/>
      <c r="M110" s="76"/>
      <c r="N110" s="76"/>
      <c r="O110" s="76"/>
      <c r="P110" s="76"/>
      <c r="Q110" s="706"/>
      <c r="R110" s="2"/>
      <c r="S110" s="705">
        <f ca="1">SUMIF($K$7:Q$7,"&lt;="&amp;$I$7,K110:P110)</f>
        <v>0</v>
      </c>
      <c r="T110" s="879"/>
      <c r="U110" s="2"/>
      <c r="V110" s="76"/>
      <c r="W110" s="76"/>
      <c r="X110" s="76"/>
      <c r="Y110" s="76"/>
      <c r="Z110" s="76"/>
      <c r="AA110" s="76"/>
      <c r="AB110" s="706"/>
      <c r="AC110" s="2"/>
      <c r="AD110" s="705">
        <f ca="1">SUMIF($V$7:AB$7,"&lt;="&amp;$I$7,V110:AA110)</f>
        <v>0</v>
      </c>
      <c r="AE110" s="879"/>
      <c r="AF110" s="2"/>
      <c r="AG110" s="76"/>
      <c r="AH110" s="76"/>
      <c r="AI110" s="76"/>
      <c r="AJ110" s="76"/>
      <c r="AK110" s="76"/>
      <c r="AL110" s="76"/>
      <c r="AM110" s="706"/>
      <c r="AN110" s="2"/>
      <c r="AO110" s="705"/>
      <c r="AP110" s="879"/>
      <c r="AQ110" s="2"/>
      <c r="AR110" s="76"/>
      <c r="AS110" s="76"/>
      <c r="AT110" s="76"/>
      <c r="AU110" s="76"/>
      <c r="AV110" s="76"/>
      <c r="AW110" s="76"/>
      <c r="AX110" s="706"/>
      <c r="AY110" s="2"/>
      <c r="AZ110" s="705">
        <f ca="1">SUMIF($AR$7:AX$7,"&lt;="&amp;$I$7,AR110:AW110)</f>
        <v>0</v>
      </c>
      <c r="BA110" s="879"/>
      <c r="BB110" s="2"/>
      <c r="BC110" s="76"/>
      <c r="BD110" s="76"/>
      <c r="BE110" s="76"/>
      <c r="BF110" s="76"/>
      <c r="BG110" s="76"/>
      <c r="BH110" s="76"/>
      <c r="BI110" s="706"/>
      <c r="BJ110" s="2"/>
      <c r="BK110" s="705">
        <f ca="1">SUMIF($BC$7:BI$7,"&lt;="&amp;$I$7,BC110:BH110)</f>
        <v>0</v>
      </c>
      <c r="BL110" s="879"/>
      <c r="BM110" s="2"/>
      <c r="BN110" s="922"/>
      <c r="BO110" s="885"/>
      <c r="BP110" s="885"/>
      <c r="BQ110" s="879"/>
      <c r="BR110" s="2"/>
      <c r="BS110" s="1088"/>
      <c r="BT110" s="1088"/>
      <c r="BU110" s="885"/>
      <c r="BV110" s="885"/>
      <c r="BW110" s="1005"/>
      <c r="BX110" s="885"/>
      <c r="BY110" s="879"/>
      <c r="BZ110" s="2"/>
      <c r="CA110" s="885"/>
      <c r="CB110" s="885"/>
      <c r="CC110" s="2"/>
      <c r="CD110" s="504">
        <f>IFERROR(AVERAGEIF($V$7:AB$7,"&lt;="&amp;$I$7,V110:AB110),0)</f>
        <v>0</v>
      </c>
      <c r="CE110" s="2"/>
      <c r="CH110" s="93" t="str">
        <f t="shared" si="192"/>
        <v>Execução da PN</v>
      </c>
    </row>
    <row r="111" spans="1:86" s="21" customFormat="1" ht="24.95" hidden="1" customHeight="1" outlineLevel="1" collapsed="1">
      <c r="A111" s="69"/>
      <c r="B111" s="3"/>
      <c r="C111"/>
      <c r="D111" s="3"/>
      <c r="E111"/>
      <c r="F111" s="3"/>
      <c r="G111"/>
      <c r="H111" s="58"/>
      <c r="I111"/>
      <c r="J111" s="3"/>
      <c r="K111" s="37"/>
      <c r="L111" s="37"/>
      <c r="M111" s="37"/>
      <c r="N111" s="37"/>
      <c r="O111" s="37"/>
      <c r="P111" s="37"/>
      <c r="Q111" s="37"/>
      <c r="R111" s="3"/>
      <c r="S111" s="37"/>
      <c r="T111" s="3"/>
      <c r="U111" s="3"/>
      <c r="V111" s="37"/>
      <c r="W111" s="37"/>
      <c r="X111" s="37"/>
      <c r="Y111" s="37"/>
      <c r="Z111" s="37"/>
      <c r="AA111" s="37"/>
      <c r="AB111" s="37"/>
      <c r="AC111" s="3"/>
      <c r="AD111" s="37"/>
      <c r="AE111" s="3"/>
      <c r="AF111" s="3"/>
      <c r="AG111" s="37"/>
      <c r="AH111" s="37"/>
      <c r="AI111" s="37"/>
      <c r="AJ111" s="37"/>
      <c r="AK111" s="37"/>
      <c r="AL111" s="37"/>
      <c r="AM111" s="37"/>
      <c r="AN111" s="3"/>
      <c r="AO111" s="37"/>
      <c r="AP111" s="3"/>
      <c r="AQ111" s="3"/>
      <c r="AR111" s="37"/>
      <c r="AS111" s="37"/>
      <c r="AT111" s="37"/>
      <c r="AU111" s="37"/>
      <c r="AV111" s="37"/>
      <c r="AW111" s="37"/>
      <c r="AX111" s="37"/>
      <c r="AY111" s="3"/>
      <c r="AZ111" s="37"/>
      <c r="BA111" s="3"/>
      <c r="BB111" s="3"/>
      <c r="BC111" s="37"/>
      <c r="BD111" s="37"/>
      <c r="BE111" s="37"/>
      <c r="BF111" s="37"/>
      <c r="BG111" s="37"/>
      <c r="BH111" s="37"/>
      <c r="BI111" s="37"/>
      <c r="BJ111" s="3"/>
      <c r="BK111" s="37"/>
      <c r="BL111" s="3"/>
      <c r="BM111" s="3"/>
      <c r="BN111" s="35"/>
      <c r="BO111" s="35"/>
      <c r="BP111" s="35"/>
      <c r="BQ111" s="3"/>
      <c r="BR111" s="3"/>
      <c r="BS111" s="35"/>
      <c r="BT111" s="35"/>
      <c r="BU111" s="35"/>
      <c r="BV111" s="35"/>
      <c r="BW111" s="35"/>
      <c r="BX111" s="35"/>
      <c r="BY111" s="3"/>
      <c r="BZ111" s="3"/>
      <c r="CA111" s="35"/>
      <c r="CB111" s="35"/>
      <c r="CC111" s="3"/>
      <c r="CD111" s="19"/>
      <c r="CE111" s="3"/>
      <c r="CH111" s="93" t="str">
        <f t="shared" si="192"/>
        <v>Execução da PN</v>
      </c>
    </row>
    <row r="112" spans="1:86" s="16" customFormat="1" ht="20.45" hidden="1" customHeight="1" outlineLevel="1">
      <c r="A112" s="69"/>
      <c r="B112" s="3"/>
      <c r="C112" s="3"/>
      <c r="D112" s="3"/>
      <c r="E112" s="3"/>
      <c r="F112" s="3"/>
      <c r="G112" s="3"/>
      <c r="H112" s="35"/>
      <c r="I112" s="3"/>
      <c r="J112" s="3"/>
      <c r="K112" s="37"/>
      <c r="L112" s="37"/>
      <c r="M112" s="37"/>
      <c r="N112" s="37"/>
      <c r="O112" s="37"/>
      <c r="P112" s="37"/>
      <c r="Q112" s="37"/>
      <c r="R112" s="3"/>
      <c r="S112" s="37"/>
      <c r="T112" s="3"/>
      <c r="U112" s="3"/>
      <c r="V112" s="37"/>
      <c r="W112" s="37"/>
      <c r="X112" s="37"/>
      <c r="Y112" s="37"/>
      <c r="Z112" s="37"/>
      <c r="AA112" s="37"/>
      <c r="AB112" s="37"/>
      <c r="AC112" s="3"/>
      <c r="AD112" s="37"/>
      <c r="AE112" s="3"/>
      <c r="AF112" s="3"/>
      <c r="AG112" s="37"/>
      <c r="AH112" s="37"/>
      <c r="AI112" s="37"/>
      <c r="AJ112" s="37"/>
      <c r="AK112" s="37"/>
      <c r="AL112" s="37"/>
      <c r="AM112" s="37"/>
      <c r="AN112" s="3"/>
      <c r="AO112" s="37"/>
      <c r="AP112" s="3"/>
      <c r="AQ112" s="3"/>
      <c r="AR112" s="37"/>
      <c r="AS112" s="37"/>
      <c r="AT112" s="37"/>
      <c r="AU112" s="37"/>
      <c r="AV112" s="37"/>
      <c r="AW112" s="37"/>
      <c r="AX112" s="37"/>
      <c r="AY112" s="3"/>
      <c r="AZ112" s="37"/>
      <c r="BA112" s="3"/>
      <c r="BB112" s="3"/>
      <c r="BC112" s="37"/>
      <c r="BD112" s="37"/>
      <c r="BE112" s="37"/>
      <c r="BF112" s="37"/>
      <c r="BG112" s="37"/>
      <c r="BH112" s="37"/>
      <c r="BI112" s="37"/>
      <c r="BJ112" s="3"/>
      <c r="BK112" s="37"/>
      <c r="BL112" s="3"/>
      <c r="BM112" s="3"/>
      <c r="BN112" s="35"/>
      <c r="BO112" s="35"/>
      <c r="BP112" s="35"/>
      <c r="BQ112" s="3"/>
      <c r="BR112" s="3"/>
      <c r="BS112" s="35"/>
      <c r="BT112" s="35"/>
      <c r="BU112" s="35"/>
      <c r="BV112" s="35"/>
      <c r="BW112" s="35"/>
      <c r="BX112" s="35"/>
      <c r="BY112" s="3"/>
      <c r="BZ112" s="3"/>
      <c r="CA112" s="35"/>
      <c r="CB112" s="35"/>
      <c r="CC112" s="3"/>
      <c r="CD112" s="19"/>
      <c r="CE112" s="3"/>
      <c r="CH112" s="93" t="str">
        <f t="shared" si="192"/>
        <v>Execução da PN</v>
      </c>
    </row>
    <row r="113" spans="1:86" s="16" customFormat="1" ht="20.45" hidden="1" customHeight="1" outlineLevel="1">
      <c r="A113" s="73" t="s">
        <v>3907</v>
      </c>
      <c r="B113" s="1069" t="s">
        <v>3908</v>
      </c>
      <c r="C113" s="1071" t="s">
        <v>36</v>
      </c>
      <c r="D113" s="2"/>
      <c r="E113" s="1019">
        <v>806601.22413533833</v>
      </c>
      <c r="F113" s="2"/>
      <c r="G113" s="53" t="s">
        <v>37</v>
      </c>
      <c r="H113" s="52">
        <f>SUMIF($K$7:$BI$7,$I$7,K113:BI113)</f>
        <v>8350</v>
      </c>
      <c r="I113" s="743">
        <f t="shared" ref="I113" si="300">IF(H113=0,IF(H114&gt;0,1,"-"),IFERROR(H114/H113,"-"))</f>
        <v>0.824185628742515</v>
      </c>
      <c r="J113" s="2"/>
      <c r="K113" s="52">
        <f>K115</f>
        <v>6015.0375939849619</v>
      </c>
      <c r="L113" s="52">
        <f t="shared" ref="L113:Q114" si="301">L115</f>
        <v>8270.6766917293226</v>
      </c>
      <c r="M113" s="52">
        <f t="shared" si="301"/>
        <v>8270.6766917293226</v>
      </c>
      <c r="N113" s="52">
        <f t="shared" si="301"/>
        <v>8270.6766917293226</v>
      </c>
      <c r="O113" s="52">
        <f t="shared" si="301"/>
        <v>8270.6766917293226</v>
      </c>
      <c r="P113" s="52">
        <f t="shared" si="301"/>
        <v>8270.6766917293226</v>
      </c>
      <c r="Q113" s="52">
        <f t="shared" si="301"/>
        <v>0</v>
      </c>
      <c r="R113" s="2"/>
      <c r="S113" s="52">
        <f ca="1">SUMIF($K$7:Q$7,"&lt;="&amp;$I$7,K113:P113)</f>
        <v>47368.421052631573</v>
      </c>
      <c r="T113" s="743">
        <f ca="1">IFERROR((S114/S113),"-")</f>
        <v>0.9915398809523811</v>
      </c>
      <c r="U113" s="2"/>
      <c r="V113" s="52">
        <f>V115</f>
        <v>8350</v>
      </c>
      <c r="W113" s="52">
        <f t="shared" ref="W113:AB114" si="302">W115</f>
        <v>8350</v>
      </c>
      <c r="X113" s="52">
        <f t="shared" si="302"/>
        <v>8350</v>
      </c>
      <c r="Y113" s="52">
        <f t="shared" si="302"/>
        <v>8350</v>
      </c>
      <c r="Z113" s="52">
        <f t="shared" si="302"/>
        <v>8350</v>
      </c>
      <c r="AA113" s="52">
        <f t="shared" si="302"/>
        <v>8350</v>
      </c>
      <c r="AB113" s="52">
        <f t="shared" si="302"/>
        <v>0</v>
      </c>
      <c r="AC113" s="2"/>
      <c r="AD113" s="52">
        <f>SUMIF($V$7:AB$7,"&lt;="&amp;$I$7,V113:AB113)</f>
        <v>50100</v>
      </c>
      <c r="AE113" s="743">
        <f>IFERROR((AD114/AD113),"-")</f>
        <v>0.9350548902195609</v>
      </c>
      <c r="AF113" s="2"/>
      <c r="AG113" s="52">
        <f>AG115</f>
        <v>8350</v>
      </c>
      <c r="AH113" s="52">
        <f t="shared" ref="AH113:AM114" si="303">AH115</f>
        <v>8350</v>
      </c>
      <c r="AI113" s="52">
        <f t="shared" si="303"/>
        <v>8350</v>
      </c>
      <c r="AJ113" s="52">
        <f t="shared" si="303"/>
        <v>8350</v>
      </c>
      <c r="AK113" s="52">
        <f t="shared" si="303"/>
        <v>8350</v>
      </c>
      <c r="AL113" s="52">
        <f t="shared" si="303"/>
        <v>8350</v>
      </c>
      <c r="AM113" s="52">
        <f t="shared" si="303"/>
        <v>0</v>
      </c>
      <c r="AN113" s="2"/>
      <c r="AO113" s="52">
        <f ca="1">SUMIF($AG$7:AM$7,"&lt;="&amp;$I$7,AG113:AL113)</f>
        <v>16700</v>
      </c>
      <c r="AP113" s="743">
        <f ca="1">IFERROR((AO114/AO113),"-")</f>
        <v>0.86799281437125742</v>
      </c>
      <c r="AQ113" s="2"/>
      <c r="AR113" s="52">
        <f>AR115</f>
        <v>0</v>
      </c>
      <c r="AS113" s="52">
        <f t="shared" ref="AS113:AX114" si="304">AS115</f>
        <v>0</v>
      </c>
      <c r="AT113" s="52">
        <f t="shared" si="304"/>
        <v>0</v>
      </c>
      <c r="AU113" s="52">
        <f t="shared" si="304"/>
        <v>0</v>
      </c>
      <c r="AV113" s="52">
        <f t="shared" si="304"/>
        <v>0</v>
      </c>
      <c r="AW113" s="52">
        <f t="shared" si="304"/>
        <v>0</v>
      </c>
      <c r="AX113" s="52">
        <f t="shared" si="304"/>
        <v>0</v>
      </c>
      <c r="AY113" s="2"/>
      <c r="AZ113" s="52">
        <f ca="1">SUMIF($AR$7:AX$7,"&lt;="&amp;$I$7,AR113:AW113)</f>
        <v>0</v>
      </c>
      <c r="BA113" s="743" t="str">
        <f ca="1">IFERROR((AZ114/AZ113),"-")</f>
        <v>-</v>
      </c>
      <c r="BB113" s="2"/>
      <c r="BC113" s="52">
        <f>BC115</f>
        <v>0</v>
      </c>
      <c r="BD113" s="52">
        <f t="shared" ref="BD113:BI114" si="305">BD115</f>
        <v>0</v>
      </c>
      <c r="BE113" s="52">
        <f t="shared" si="305"/>
        <v>0</v>
      </c>
      <c r="BF113" s="52">
        <f t="shared" si="305"/>
        <v>0</v>
      </c>
      <c r="BG113" s="52">
        <f t="shared" si="305"/>
        <v>0</v>
      </c>
      <c r="BH113" s="52">
        <f t="shared" si="305"/>
        <v>0</v>
      </c>
      <c r="BI113" s="52">
        <f t="shared" si="305"/>
        <v>0</v>
      </c>
      <c r="BJ113" s="2"/>
      <c r="BK113" s="52">
        <f ca="1">SUMIF($BC$7:BI$7,"&lt;="&amp;$I$7,BC113:BH113)</f>
        <v>0</v>
      </c>
      <c r="BL113" s="743" t="str">
        <f ca="1">IFERROR((BK114/BK113),"-")</f>
        <v>-</v>
      </c>
      <c r="BM113" s="2"/>
      <c r="BN113" s="1091">
        <f>SUM(BN115)</f>
        <v>227008.85000000009</v>
      </c>
      <c r="BO113" s="888">
        <v>98699.499999999985</v>
      </c>
      <c r="BP113" s="888">
        <f>SUM(BP115)</f>
        <v>89583.468571428559</v>
      </c>
      <c r="BQ113" s="743">
        <f>IFERROR((BP113/BO113),"-")</f>
        <v>0.90763852472837825</v>
      </c>
      <c r="BR113" s="2"/>
      <c r="BS113" s="888">
        <f>BS115</f>
        <v>443935.07</v>
      </c>
      <c r="BT113" s="888"/>
      <c r="BU113" s="888">
        <f ca="1">E113+S114+AD114+AO114+AZ114+BK114</f>
        <v>914910.63270676683</v>
      </c>
      <c r="BV113" s="888">
        <v>210</v>
      </c>
      <c r="BW113" s="1019">
        <f ca="1">IFERROR((BU113/BV113),"-")</f>
        <v>4356.7172986036512</v>
      </c>
      <c r="BX113" s="888">
        <f>BX115</f>
        <v>333923.03200000001</v>
      </c>
      <c r="BY113" s="743">
        <f ca="1">IFERROR((BU113/BX113),"-")</f>
        <v>2.7398847789174567</v>
      </c>
      <c r="BZ113" s="2"/>
      <c r="CA113" s="888">
        <f>SUM(CA115:CA116)</f>
        <v>1269161.79</v>
      </c>
      <c r="CB113" s="888">
        <f ca="1">CA113-BU113</f>
        <v>354251.15729323321</v>
      </c>
      <c r="CC113" s="2"/>
      <c r="CD113" s="84">
        <f>IFERROR(AVERAGEIF($V$7:AB$7,"&lt;="&amp;$I$7,V113:AB113),0)</f>
        <v>7157.1428571428569</v>
      </c>
      <c r="CE113" s="2"/>
      <c r="CH113" s="93" t="str">
        <f t="shared" si="192"/>
        <v xml:space="preserve">Segmento 3A1 - km 225+000 a 226+620 </v>
      </c>
    </row>
    <row r="114" spans="1:86" s="16" customFormat="1" ht="14.65" hidden="1" customHeight="1" outlineLevel="1">
      <c r="A114" s="74"/>
      <c r="B114" s="1070"/>
      <c r="C114" s="1072"/>
      <c r="D114" s="2"/>
      <c r="E114" s="1060"/>
      <c r="F114" s="2"/>
      <c r="G114" s="54" t="s">
        <v>38</v>
      </c>
      <c r="H114" s="52">
        <f>SUMIF($K$7:$BI$7,$I$7,K114:BI114)</f>
        <v>6881.95</v>
      </c>
      <c r="I114" s="744"/>
      <c r="J114" s="2"/>
      <c r="K114" s="52">
        <f>K116</f>
        <v>10057.89</v>
      </c>
      <c r="L114" s="52">
        <f t="shared" si="301"/>
        <v>8668.0499999999993</v>
      </c>
      <c r="M114" s="52">
        <f t="shared" si="301"/>
        <v>7994.74</v>
      </c>
      <c r="N114" s="52">
        <f t="shared" si="301"/>
        <v>8045.49</v>
      </c>
      <c r="O114" s="52">
        <f t="shared" si="301"/>
        <v>6571.4285714285706</v>
      </c>
      <c r="P114" s="52">
        <f t="shared" si="301"/>
        <v>5630.08</v>
      </c>
      <c r="Q114" s="52">
        <f t="shared" si="301"/>
        <v>0</v>
      </c>
      <c r="R114" s="2"/>
      <c r="S114" s="52">
        <f ca="1">SUMIF($K$7:Q$7,"&lt;="&amp;$I$7,K114:P114)</f>
        <v>46967.678571428572</v>
      </c>
      <c r="T114" s="744"/>
      <c r="U114" s="2"/>
      <c r="V114" s="79">
        <f>V116</f>
        <v>7547.37</v>
      </c>
      <c r="W114" s="79">
        <f t="shared" si="302"/>
        <v>8359.02</v>
      </c>
      <c r="X114" s="79">
        <f t="shared" si="302"/>
        <v>7705.64</v>
      </c>
      <c r="Y114" s="79">
        <f t="shared" si="302"/>
        <v>9738.35</v>
      </c>
      <c r="Z114" s="79">
        <f t="shared" si="302"/>
        <v>8330.08</v>
      </c>
      <c r="AA114" s="79">
        <f t="shared" si="302"/>
        <v>5165.79</v>
      </c>
      <c r="AB114" s="52">
        <f t="shared" si="302"/>
        <v>0</v>
      </c>
      <c r="AC114" s="2"/>
      <c r="AD114" s="52">
        <f>SUMIF($V$7:AB$7,"&lt;="&amp;$I$7,V114:AB114)</f>
        <v>46846.25</v>
      </c>
      <c r="AE114" s="744"/>
      <c r="AF114" s="2"/>
      <c r="AG114" s="75">
        <f>AG116</f>
        <v>7613.53</v>
      </c>
      <c r="AH114" s="75">
        <f t="shared" si="303"/>
        <v>6881.95</v>
      </c>
      <c r="AI114" s="75">
        <f t="shared" si="303"/>
        <v>0</v>
      </c>
      <c r="AJ114" s="75">
        <f t="shared" si="303"/>
        <v>0</v>
      </c>
      <c r="AK114" s="75">
        <f t="shared" si="303"/>
        <v>0</v>
      </c>
      <c r="AL114" s="75">
        <f t="shared" si="303"/>
        <v>0</v>
      </c>
      <c r="AM114" s="52">
        <f t="shared" si="303"/>
        <v>0</v>
      </c>
      <c r="AN114" s="2"/>
      <c r="AO114" s="52">
        <f ca="1">SUMIF($AG$7:AM$7,"&lt;="&amp;$I$7,AG114:AL114)</f>
        <v>14495.48</v>
      </c>
      <c r="AP114" s="744"/>
      <c r="AQ114" s="2"/>
      <c r="AR114" s="52">
        <f>AR116</f>
        <v>0</v>
      </c>
      <c r="AS114" s="52">
        <f t="shared" si="304"/>
        <v>0</v>
      </c>
      <c r="AT114" s="52">
        <f t="shared" si="304"/>
        <v>0</v>
      </c>
      <c r="AU114" s="52">
        <f t="shared" si="304"/>
        <v>0</v>
      </c>
      <c r="AV114" s="52">
        <f t="shared" si="304"/>
        <v>0</v>
      </c>
      <c r="AW114" s="52">
        <f t="shared" si="304"/>
        <v>0</v>
      </c>
      <c r="AX114" s="52">
        <f t="shared" si="304"/>
        <v>0</v>
      </c>
      <c r="AY114" s="2"/>
      <c r="AZ114" s="52">
        <f ca="1">SUMIF($AR$7:AX$7,"&lt;="&amp;$I$7,AR114:AW114)</f>
        <v>0</v>
      </c>
      <c r="BA114" s="744"/>
      <c r="BB114" s="2"/>
      <c r="BC114" s="52">
        <f>BC116</f>
        <v>0</v>
      </c>
      <c r="BD114" s="52">
        <f t="shared" si="305"/>
        <v>0</v>
      </c>
      <c r="BE114" s="52">
        <f t="shared" si="305"/>
        <v>0</v>
      </c>
      <c r="BF114" s="52">
        <f t="shared" si="305"/>
        <v>0</v>
      </c>
      <c r="BG114" s="52">
        <f t="shared" si="305"/>
        <v>0</v>
      </c>
      <c r="BH114" s="52">
        <f t="shared" si="305"/>
        <v>0</v>
      </c>
      <c r="BI114" s="52">
        <f t="shared" si="305"/>
        <v>0</v>
      </c>
      <c r="BJ114" s="2"/>
      <c r="BK114" s="52">
        <f ca="1">SUMIF($BC$7:BI$7,"&lt;="&amp;$I$7,BC114:BH114)</f>
        <v>0</v>
      </c>
      <c r="BL114" s="744"/>
      <c r="BM114" s="2"/>
      <c r="BN114" s="1092"/>
      <c r="BO114" s="889"/>
      <c r="BP114" s="889"/>
      <c r="BQ114" s="744"/>
      <c r="BR114" s="2"/>
      <c r="BS114" s="889"/>
      <c r="BT114" s="889"/>
      <c r="BU114" s="889"/>
      <c r="BV114" s="889"/>
      <c r="BW114" s="1020"/>
      <c r="BX114" s="889"/>
      <c r="BY114" s="744"/>
      <c r="BZ114" s="2"/>
      <c r="CA114" s="889"/>
      <c r="CB114" s="889"/>
      <c r="CC114" s="2"/>
      <c r="CD114" s="84">
        <f>IFERROR(AVERAGEIF($V$7:AB$7,"&lt;="&amp;$I$7,V114:AB114),0)</f>
        <v>6692.3214285714284</v>
      </c>
      <c r="CE114" s="2"/>
      <c r="CH114" s="93" t="str">
        <f t="shared" si="192"/>
        <v xml:space="preserve">Segmento 3A1 - km 225+000 a 226+620 </v>
      </c>
    </row>
    <row r="115" spans="1:86" ht="23.1" hidden="1" customHeight="1" outlineLevel="2">
      <c r="A115" s="74" t="s">
        <v>3909</v>
      </c>
      <c r="B115" s="1046" t="s">
        <v>3910</v>
      </c>
      <c r="C115" s="1014" t="s">
        <v>36</v>
      </c>
      <c r="D115" s="2"/>
      <c r="E115" s="1004">
        <v>763412.51413533837</v>
      </c>
      <c r="F115" s="2"/>
      <c r="G115" s="49" t="s">
        <v>37</v>
      </c>
      <c r="H115" s="705">
        <f>SUMIF($K$7:$BI$7,$I$7,K115:BI115)</f>
        <v>8350</v>
      </c>
      <c r="I115" s="878">
        <f t="shared" ref="I115" si="306">IF(H115=0,IF(H116&gt;0,1,"-"),IFERROR(H116/H115,"-"))</f>
        <v>0.824185628742515</v>
      </c>
      <c r="J115" s="2"/>
      <c r="K115" s="705">
        <v>6015.0375939849619</v>
      </c>
      <c r="L115" s="705">
        <v>8270.6766917293226</v>
      </c>
      <c r="M115" s="705">
        <v>8270.6766917293226</v>
      </c>
      <c r="N115" s="705">
        <v>8270.6766917293226</v>
      </c>
      <c r="O115" s="705">
        <v>8270.6766917293226</v>
      </c>
      <c r="P115" s="705">
        <v>8270.6766917293226</v>
      </c>
      <c r="Q115" s="705"/>
      <c r="R115" s="2"/>
      <c r="S115" s="705">
        <f ca="1">SUMIF($K$7:Q$7,"&lt;="&amp;$I$7,K115:P115)</f>
        <v>47368.421052631573</v>
      </c>
      <c r="T115" s="878">
        <f t="shared" ref="T115" ca="1" si="307">IFERROR((S116/S115),"-")</f>
        <v>0.9915398809523811</v>
      </c>
      <c r="U115" s="2"/>
      <c r="V115" s="705">
        <v>8350</v>
      </c>
      <c r="W115" s="705">
        <v>8350</v>
      </c>
      <c r="X115" s="705">
        <v>8350</v>
      </c>
      <c r="Y115" s="705">
        <v>8350</v>
      </c>
      <c r="Z115" s="705">
        <v>8350</v>
      </c>
      <c r="AA115" s="705">
        <v>8350</v>
      </c>
      <c r="AB115" s="705"/>
      <c r="AC115" s="2"/>
      <c r="AD115" s="705">
        <f ca="1">SUMIF($V$7:AB$7,"&lt;="&amp;$I$7,V115:AA115)</f>
        <v>50100</v>
      </c>
      <c r="AE115" s="878">
        <f t="shared" ref="AE115" ca="1" si="308">IFERROR((AD116/AD115),"-")</f>
        <v>0.9350548902195609</v>
      </c>
      <c r="AF115" s="2"/>
      <c r="AG115" s="705">
        <v>8350</v>
      </c>
      <c r="AH115" s="705">
        <v>8350</v>
      </c>
      <c r="AI115" s="705">
        <v>8350</v>
      </c>
      <c r="AJ115" s="705">
        <v>8350</v>
      </c>
      <c r="AK115" s="705">
        <v>8350</v>
      </c>
      <c r="AL115" s="705">
        <v>8350</v>
      </c>
      <c r="AM115" s="705"/>
      <c r="AN115" s="2"/>
      <c r="AO115" s="705">
        <f ca="1">SUMIF($AG$7:AM$7,"&lt;="&amp;$I$7,AG115:AL115)</f>
        <v>16700</v>
      </c>
      <c r="AP115" s="878">
        <f t="shared" ref="AP115" ca="1" si="309">IFERROR((AO116/AO115),"-")</f>
        <v>0.86799281437125742</v>
      </c>
      <c r="AQ115" s="2"/>
      <c r="AR115" s="705"/>
      <c r="AS115" s="705"/>
      <c r="AT115" s="705"/>
      <c r="AU115" s="705"/>
      <c r="AV115" s="705"/>
      <c r="AW115" s="705"/>
      <c r="AX115" s="705"/>
      <c r="AY115" s="2"/>
      <c r="AZ115" s="705">
        <f ca="1">SUMIF($AR$7:AX$7,"&lt;="&amp;$I$7,AR115:AW115)</f>
        <v>0</v>
      </c>
      <c r="BA115" s="878" t="str">
        <f t="shared" ref="BA115" ca="1" si="310">IFERROR((AZ116/AZ115),"-")</f>
        <v>-</v>
      </c>
      <c r="BB115" s="2"/>
      <c r="BC115" s="705"/>
      <c r="BD115" s="705"/>
      <c r="BE115" s="705"/>
      <c r="BF115" s="705"/>
      <c r="BG115" s="705"/>
      <c r="BH115" s="705"/>
      <c r="BI115" s="705"/>
      <c r="BJ115" s="2"/>
      <c r="BK115" s="705">
        <f ca="1">SUMIF($BC$7:BI$7,"&lt;="&amp;$I$7,BC115:BH115)</f>
        <v>0</v>
      </c>
      <c r="BL115" s="878" t="str">
        <f t="shared" ref="BL115" ca="1" si="311">IFERROR((BK116/BK115),"-")</f>
        <v>-</v>
      </c>
      <c r="BM115" s="2"/>
      <c r="BN115" s="921">
        <v>227008.85000000009</v>
      </c>
      <c r="BO115" s="884">
        <v>98699.499999999985</v>
      </c>
      <c r="BP115" s="884">
        <f>SUM(M116:P116,V116:AB116,AG116:AM116,AR116:AX116,BC116:BI116)</f>
        <v>89583.468571428559</v>
      </c>
      <c r="BQ115" s="878">
        <f t="shared" ref="BQ115" si="312">IF(AND(BO115=0,BP115=0),"-",IF(BO115=0,1,BP115/BO115))</f>
        <v>0.90763852472837825</v>
      </c>
      <c r="BR115" s="2"/>
      <c r="BS115" s="884">
        <v>443935.07</v>
      </c>
      <c r="BT115" s="884"/>
      <c r="BU115" s="884">
        <f ca="1">E115+S116+AD116+AO116+AZ116+BK116</f>
        <v>871721.92270676687</v>
      </c>
      <c r="BV115" s="884">
        <v>106</v>
      </c>
      <c r="BW115" s="1004">
        <f ca="1">IFERROR((BU115/BV115),"-")</f>
        <v>8223.7917236487447</v>
      </c>
      <c r="BX115" s="884">
        <v>333923.03200000001</v>
      </c>
      <c r="BY115" s="878">
        <f ca="1">IFERROR((BU115/BX115),"-")</f>
        <v>2.6105474590526803</v>
      </c>
      <c r="BZ115" s="2"/>
      <c r="CA115" s="884">
        <v>1269161.79</v>
      </c>
      <c r="CB115" s="884">
        <f t="shared" ref="CB115" ca="1" si="313">CA115-BU115</f>
        <v>397439.86729323317</v>
      </c>
      <c r="CC115" s="2"/>
      <c r="CD115" s="504">
        <f>IFERROR(AVERAGEIF($V$7:AB$7,"&lt;="&amp;$I$7,V115:AB115),0)</f>
        <v>8350</v>
      </c>
      <c r="CE115" s="2"/>
      <c r="CH115" s="93" t="str">
        <f t="shared" si="192"/>
        <v xml:space="preserve">Aterro 1 - km 225+000 a 226+620 </v>
      </c>
    </row>
    <row r="116" spans="1:86" ht="23.1" hidden="1" customHeight="1" outlineLevel="2">
      <c r="A116" s="74"/>
      <c r="B116" s="1040"/>
      <c r="C116" s="1034"/>
      <c r="D116" s="2"/>
      <c r="E116" s="1024"/>
      <c r="F116" s="2"/>
      <c r="G116" s="50" t="s">
        <v>38</v>
      </c>
      <c r="H116" s="705">
        <f>SUMIF($K$7:$BI$7,$I$7,K116:BI116)</f>
        <v>6881.95</v>
      </c>
      <c r="I116" s="879"/>
      <c r="J116" s="2"/>
      <c r="K116" s="76">
        <v>10057.89</v>
      </c>
      <c r="L116" s="76">
        <v>8668.0499999999993</v>
      </c>
      <c r="M116" s="76">
        <v>7994.74</v>
      </c>
      <c r="N116" s="76">
        <v>8045.49</v>
      </c>
      <c r="O116" s="76">
        <v>6571.4285714285706</v>
      </c>
      <c r="P116" s="76">
        <v>5630.08</v>
      </c>
      <c r="Q116" s="706"/>
      <c r="R116" s="2"/>
      <c r="S116" s="705">
        <f ca="1">SUMIF($K$7:Q$7,"&lt;="&amp;$I$7,K116:P116)</f>
        <v>46967.678571428572</v>
      </c>
      <c r="T116" s="879"/>
      <c r="U116" s="2"/>
      <c r="V116" s="76">
        <v>7547.37</v>
      </c>
      <c r="W116" s="76">
        <v>8359.02</v>
      </c>
      <c r="X116" s="76">
        <v>7705.64</v>
      </c>
      <c r="Y116" s="76">
        <v>9738.35</v>
      </c>
      <c r="Z116" s="76">
        <v>8330.08</v>
      </c>
      <c r="AA116" s="76">
        <v>5165.79</v>
      </c>
      <c r="AB116" s="706"/>
      <c r="AC116" s="2"/>
      <c r="AD116" s="705">
        <f ca="1">SUMIF($V$7:AB$7,"&lt;="&amp;$I$7,V116:AA116)</f>
        <v>46846.25</v>
      </c>
      <c r="AE116" s="879"/>
      <c r="AF116" s="2"/>
      <c r="AG116" s="76">
        <v>7613.53</v>
      </c>
      <c r="AH116" s="76">
        <v>6881.95</v>
      </c>
      <c r="AI116" s="76"/>
      <c r="AJ116" s="76"/>
      <c r="AK116" s="76"/>
      <c r="AL116" s="76"/>
      <c r="AM116" s="706"/>
      <c r="AN116" s="2"/>
      <c r="AO116" s="705">
        <f ca="1">SUMIF($AG$7:AM$7,"&lt;="&amp;$I$7,AG116:AL116)</f>
        <v>14495.48</v>
      </c>
      <c r="AP116" s="879"/>
      <c r="AQ116" s="2"/>
      <c r="AR116" s="76"/>
      <c r="AS116" s="76"/>
      <c r="AT116" s="76"/>
      <c r="AU116" s="76"/>
      <c r="AV116" s="76"/>
      <c r="AW116" s="76"/>
      <c r="AX116" s="706"/>
      <c r="AY116" s="2"/>
      <c r="AZ116" s="705">
        <f ca="1">SUMIF($AR$7:AX$7,"&lt;="&amp;$I$7,AR116:AW116)</f>
        <v>0</v>
      </c>
      <c r="BA116" s="879"/>
      <c r="BB116" s="2"/>
      <c r="BC116" s="76"/>
      <c r="BD116" s="76"/>
      <c r="BE116" s="76"/>
      <c r="BF116" s="76"/>
      <c r="BG116" s="76"/>
      <c r="BH116" s="76"/>
      <c r="BI116" s="706"/>
      <c r="BJ116" s="2"/>
      <c r="BK116" s="705">
        <f ca="1">SUMIF($BC$7:BI$7,"&lt;="&amp;$I$7,BC116:BH116)</f>
        <v>0</v>
      </c>
      <c r="BL116" s="879"/>
      <c r="BM116" s="2"/>
      <c r="BN116" s="922"/>
      <c r="BO116" s="885"/>
      <c r="BP116" s="885"/>
      <c r="BQ116" s="879"/>
      <c r="BR116" s="2"/>
      <c r="BS116" s="885"/>
      <c r="BT116" s="885"/>
      <c r="BU116" s="885"/>
      <c r="BV116" s="885"/>
      <c r="BW116" s="1005"/>
      <c r="BX116" s="885"/>
      <c r="BY116" s="879"/>
      <c r="BZ116" s="2"/>
      <c r="CA116" s="885"/>
      <c r="CB116" s="885"/>
      <c r="CC116" s="2"/>
      <c r="CD116" s="504">
        <f>IFERROR(AVERAGEIF($V$7:AB$7,"&lt;="&amp;$I$7,V116:AB116),0)</f>
        <v>7807.708333333333</v>
      </c>
      <c r="CE116" s="2"/>
      <c r="CH116" s="93" t="str">
        <f t="shared" si="192"/>
        <v xml:space="preserve">Aterro 1 - km 225+000 a 226+620 </v>
      </c>
    </row>
    <row r="117" spans="1:86" s="21" customFormat="1" ht="10.35" hidden="1" customHeight="1" outlineLevel="1" collapsed="1">
      <c r="A117" s="69"/>
      <c r="B117" s="3"/>
      <c r="C117"/>
      <c r="D117" s="3"/>
      <c r="E117"/>
      <c r="F117" s="3"/>
      <c r="G117"/>
      <c r="H117" s="58"/>
      <c r="I117"/>
      <c r="J117" s="3"/>
      <c r="K117" s="37"/>
      <c r="L117" s="37"/>
      <c r="M117" s="37"/>
      <c r="N117" s="37"/>
      <c r="O117" s="37"/>
      <c r="P117" s="37"/>
      <c r="Q117" s="37"/>
      <c r="R117" s="3"/>
      <c r="S117" s="37"/>
      <c r="T117" s="3"/>
      <c r="U117" s="3"/>
      <c r="V117" s="37"/>
      <c r="W117" s="37"/>
      <c r="X117" s="37"/>
      <c r="Y117" s="37"/>
      <c r="Z117" s="37"/>
      <c r="AA117" s="37"/>
      <c r="AB117" s="37"/>
      <c r="AC117" s="3"/>
      <c r="AD117" s="37"/>
      <c r="AE117" s="3"/>
      <c r="AF117" s="3"/>
      <c r="AG117" s="37"/>
      <c r="AH117" s="37"/>
      <c r="AI117" s="37"/>
      <c r="AJ117" s="37"/>
      <c r="AK117" s="37"/>
      <c r="AL117" s="37"/>
      <c r="AM117" s="37"/>
      <c r="AN117" s="3"/>
      <c r="AO117" s="37"/>
      <c r="AP117" s="3"/>
      <c r="AQ117" s="3"/>
      <c r="AR117" s="37"/>
      <c r="AS117" s="37"/>
      <c r="AT117" s="37"/>
      <c r="AU117" s="37"/>
      <c r="AV117" s="37"/>
      <c r="AW117" s="37"/>
      <c r="AX117" s="37"/>
      <c r="AY117" s="3"/>
      <c r="AZ117" s="37"/>
      <c r="BA117" s="3"/>
      <c r="BB117" s="3"/>
      <c r="BC117" s="37"/>
      <c r="BD117" s="37"/>
      <c r="BE117" s="37"/>
      <c r="BF117" s="37"/>
      <c r="BG117" s="37"/>
      <c r="BH117" s="37"/>
      <c r="BI117" s="37"/>
      <c r="BJ117" s="3"/>
      <c r="BK117" s="37"/>
      <c r="BL117" s="3"/>
      <c r="BM117" s="3"/>
      <c r="BN117" s="35"/>
      <c r="BO117" s="35"/>
      <c r="BP117" s="35"/>
      <c r="BQ117" s="3"/>
      <c r="BR117" s="3"/>
      <c r="BS117" s="35"/>
      <c r="BT117" s="35"/>
      <c r="BU117" s="35"/>
      <c r="BV117" s="35"/>
      <c r="BW117" s="35"/>
      <c r="BX117" s="35"/>
      <c r="BY117" s="3"/>
      <c r="BZ117" s="3"/>
      <c r="CA117" s="35"/>
      <c r="CB117" s="35"/>
      <c r="CC117" s="3"/>
      <c r="CD117" s="19"/>
      <c r="CE117" s="3"/>
      <c r="CH117" s="93" t="str">
        <f t="shared" si="192"/>
        <v xml:space="preserve">Aterro 1 - km 225+000 a 226+620 </v>
      </c>
    </row>
    <row r="118" spans="1:86" s="16" customFormat="1" ht="20.45" hidden="1" customHeight="1" outlineLevel="1">
      <c r="A118" s="69"/>
      <c r="B118" s="3"/>
      <c r="C118" s="3"/>
      <c r="D118" s="3"/>
      <c r="E118" s="3"/>
      <c r="F118" s="3"/>
      <c r="G118" s="3"/>
      <c r="H118" s="35"/>
      <c r="I118" s="3"/>
      <c r="J118" s="3"/>
      <c r="K118" s="37"/>
      <c r="L118" s="37"/>
      <c r="M118" s="37"/>
      <c r="N118" s="37"/>
      <c r="O118" s="37"/>
      <c r="P118" s="37"/>
      <c r="Q118" s="37"/>
      <c r="R118" s="3"/>
      <c r="S118" s="37"/>
      <c r="T118" s="3"/>
      <c r="U118" s="3"/>
      <c r="V118" s="37"/>
      <c r="W118" s="37"/>
      <c r="X118" s="37"/>
      <c r="Y118" s="37"/>
      <c r="Z118" s="37"/>
      <c r="AA118" s="37"/>
      <c r="AB118" s="37"/>
      <c r="AC118" s="3"/>
      <c r="AD118" s="37"/>
      <c r="AE118" s="3"/>
      <c r="AF118" s="3"/>
      <c r="AG118" s="37"/>
      <c r="AH118" s="37"/>
      <c r="AI118" s="37"/>
      <c r="AJ118" s="37"/>
      <c r="AK118" s="37"/>
      <c r="AL118" s="37"/>
      <c r="AM118" s="37"/>
      <c r="AN118" s="3"/>
      <c r="AO118" s="37"/>
      <c r="AP118" s="3"/>
      <c r="AQ118" s="3"/>
      <c r="AR118" s="37"/>
      <c r="AS118" s="37"/>
      <c r="AT118" s="37"/>
      <c r="AU118" s="37"/>
      <c r="AV118" s="37"/>
      <c r="AW118" s="37"/>
      <c r="AX118" s="37"/>
      <c r="AY118" s="3"/>
      <c r="AZ118" s="37"/>
      <c r="BA118" s="3"/>
      <c r="BB118" s="3"/>
      <c r="BC118" s="37"/>
      <c r="BD118" s="37"/>
      <c r="BE118" s="37"/>
      <c r="BF118" s="37"/>
      <c r="BG118" s="37"/>
      <c r="BH118" s="37"/>
      <c r="BI118" s="37"/>
      <c r="BJ118" s="3"/>
      <c r="BK118" s="37"/>
      <c r="BL118" s="3"/>
      <c r="BM118" s="3"/>
      <c r="BN118" s="35"/>
      <c r="BO118" s="35"/>
      <c r="BP118" s="35"/>
      <c r="BQ118" s="3"/>
      <c r="BR118" s="3"/>
      <c r="BS118" s="35"/>
      <c r="BT118" s="35"/>
      <c r="BU118" s="35"/>
      <c r="BV118" s="35"/>
      <c r="BW118" s="35"/>
      <c r="BX118" s="35"/>
      <c r="BY118" s="3"/>
      <c r="BZ118" s="3"/>
      <c r="CA118" s="35"/>
      <c r="CB118" s="35"/>
      <c r="CC118" s="3"/>
      <c r="CD118" s="19"/>
      <c r="CE118" s="3"/>
      <c r="CH118" s="93" t="str">
        <f t="shared" si="192"/>
        <v xml:space="preserve">Aterro 1 - km 225+000 a 226+620 </v>
      </c>
    </row>
    <row r="119" spans="1:86" s="16" customFormat="1" ht="20.45" hidden="1" customHeight="1" outlineLevel="1">
      <c r="A119" s="73"/>
      <c r="B119" s="1069" t="s">
        <v>3911</v>
      </c>
      <c r="C119" s="1071" t="s">
        <v>36</v>
      </c>
      <c r="D119" s="2"/>
      <c r="E119" s="1019">
        <v>409605.94309774437</v>
      </c>
      <c r="F119" s="2"/>
      <c r="G119" s="53" t="s">
        <v>37</v>
      </c>
      <c r="H119" s="52">
        <f t="shared" ref="H119:H132" si="314">SUMIF($K$7:$BI$7,$I$7,K119:BI119)</f>
        <v>0</v>
      </c>
      <c r="I119" s="743">
        <f>IF(H119=0,IF(H120&gt;0,1,"-"),IFERROR(H120/H119,"-"))</f>
        <v>1</v>
      </c>
      <c r="J119" s="2"/>
      <c r="K119" s="52">
        <f>K121+K123</f>
        <v>0</v>
      </c>
      <c r="L119" s="52">
        <f t="shared" ref="L119:P119" si="315">L121+L123</f>
        <v>0</v>
      </c>
      <c r="M119" s="52">
        <f t="shared" si="315"/>
        <v>0</v>
      </c>
      <c r="N119" s="52">
        <f t="shared" si="315"/>
        <v>0</v>
      </c>
      <c r="O119" s="52">
        <f t="shared" si="315"/>
        <v>0</v>
      </c>
      <c r="P119" s="52">
        <f t="shared" si="315"/>
        <v>0</v>
      </c>
      <c r="Q119" s="52">
        <f>Q121+Q123+Q129</f>
        <v>0</v>
      </c>
      <c r="R119" s="2"/>
      <c r="S119" s="52">
        <f ca="1">SUMIF($K$7:Q$7,"&lt;="&amp;$I$7,K119:P119)</f>
        <v>0</v>
      </c>
      <c r="T119" s="743" t="str">
        <f ca="1">IFERROR((S120/S119),"-")</f>
        <v>-</v>
      </c>
      <c r="U119" s="2"/>
      <c r="V119" s="52">
        <f t="shared" ref="V119:AA119" si="316">V121+V123</f>
        <v>0</v>
      </c>
      <c r="W119" s="52">
        <f t="shared" si="316"/>
        <v>0</v>
      </c>
      <c r="X119" s="52">
        <f t="shared" si="316"/>
        <v>0</v>
      </c>
      <c r="Y119" s="52">
        <f t="shared" si="316"/>
        <v>0</v>
      </c>
      <c r="Z119" s="52">
        <f t="shared" si="316"/>
        <v>0</v>
      </c>
      <c r="AA119" s="52">
        <f t="shared" si="316"/>
        <v>0</v>
      </c>
      <c r="AB119" s="52">
        <f t="shared" ref="AB119:AB120" si="317">AB121+AB123+AB129</f>
        <v>0</v>
      </c>
      <c r="AC119" s="2"/>
      <c r="AD119" s="52">
        <f>SUMIF($V$7:AB$7,"&lt;="&amp;$I$7,V119:AB119)</f>
        <v>0</v>
      </c>
      <c r="AE119" s="743" t="str">
        <f>IFERROR((AD120/AD119),"-")</f>
        <v>-</v>
      </c>
      <c r="AF119" s="2"/>
      <c r="AG119" s="52">
        <f>AG121+AG123+AG129</f>
        <v>0</v>
      </c>
      <c r="AH119" s="52">
        <f t="shared" ref="AH119:AM119" si="318">AH121+AH123+AH129</f>
        <v>0</v>
      </c>
      <c r="AI119" s="52">
        <f t="shared" si="318"/>
        <v>0</v>
      </c>
      <c r="AJ119" s="52">
        <f t="shared" si="318"/>
        <v>0</v>
      </c>
      <c r="AK119" s="52">
        <f t="shared" si="318"/>
        <v>0</v>
      </c>
      <c r="AL119" s="52">
        <f t="shared" si="318"/>
        <v>0</v>
      </c>
      <c r="AM119" s="52">
        <f t="shared" si="318"/>
        <v>0</v>
      </c>
      <c r="AN119" s="2"/>
      <c r="AO119" s="52">
        <f ca="1">SUMIF($AG$7:AM$7,"&lt;="&amp;$I$7,AG119:AL119)</f>
        <v>0</v>
      </c>
      <c r="AP119" s="743" t="str">
        <f ca="1">IFERROR((AO120/AO119),"-")</f>
        <v>-</v>
      </c>
      <c r="AQ119" s="2"/>
      <c r="AR119" s="52">
        <f t="shared" ref="AR119:AX120" si="319">AR121+AR123+AR129</f>
        <v>0</v>
      </c>
      <c r="AS119" s="52">
        <f t="shared" si="319"/>
        <v>0</v>
      </c>
      <c r="AT119" s="52">
        <f t="shared" si="319"/>
        <v>0</v>
      </c>
      <c r="AU119" s="52">
        <f t="shared" si="319"/>
        <v>0</v>
      </c>
      <c r="AV119" s="52">
        <f t="shared" si="319"/>
        <v>0</v>
      </c>
      <c r="AW119" s="52">
        <f t="shared" si="319"/>
        <v>0</v>
      </c>
      <c r="AX119" s="52">
        <f t="shared" si="319"/>
        <v>0</v>
      </c>
      <c r="AY119" s="2"/>
      <c r="AZ119" s="52">
        <f ca="1">SUMIF($AR$7:AX$7,"&lt;="&amp;$I$7,AR119:AW119)</f>
        <v>0</v>
      </c>
      <c r="BA119" s="743" t="str">
        <f ca="1">IFERROR((AZ120/AZ119),"-")</f>
        <v>-</v>
      </c>
      <c r="BB119" s="2"/>
      <c r="BC119" s="52">
        <f t="shared" ref="BC119:BI120" si="320">BC121+BC123+BC129</f>
        <v>0</v>
      </c>
      <c r="BD119" s="52">
        <f t="shared" si="320"/>
        <v>0</v>
      </c>
      <c r="BE119" s="52">
        <f t="shared" si="320"/>
        <v>0</v>
      </c>
      <c r="BF119" s="52">
        <f t="shared" si="320"/>
        <v>0</v>
      </c>
      <c r="BG119" s="52">
        <f t="shared" si="320"/>
        <v>0</v>
      </c>
      <c r="BH119" s="52">
        <f t="shared" si="320"/>
        <v>0</v>
      </c>
      <c r="BI119" s="52">
        <f t="shared" si="320"/>
        <v>0</v>
      </c>
      <c r="BJ119" s="2"/>
      <c r="BK119" s="52">
        <f ca="1">SUMIF($BC$7:BI$7,"&lt;="&amp;$I$7,BC119:BH119)</f>
        <v>0</v>
      </c>
      <c r="BL119" s="743" t="str">
        <f ca="1">IFERROR((BK120/BK119),"-")</f>
        <v>-</v>
      </c>
      <c r="BM119" s="2"/>
      <c r="BN119" s="1091">
        <f>SUM(BN121:BN130)</f>
        <v>4719.0500000000011</v>
      </c>
      <c r="BO119" s="1091">
        <f>SUM(BO121:BO130)</f>
        <v>3246.7</v>
      </c>
      <c r="BP119" s="888">
        <f>BP121+BP123+BP129+BP131</f>
        <v>9467.7814285714285</v>
      </c>
      <c r="BQ119" s="743">
        <f>IFERROR((BP119/BO119),"-")</f>
        <v>2.9161245044418731</v>
      </c>
      <c r="BR119" s="2"/>
      <c r="BS119" s="888">
        <f>SUM(BS121:BS132)</f>
        <v>406580.90399999998</v>
      </c>
      <c r="BT119" s="888"/>
      <c r="BU119" s="888">
        <f ca="1">E119+S120+AD120+AO120+AZ120+BK120</f>
        <v>419215.45452631579</v>
      </c>
      <c r="BV119" s="888">
        <v>210</v>
      </c>
      <c r="BW119" s="1019">
        <f ca="1">IFERROR((BU119/BV119),"-")</f>
        <v>1996.2640691729323</v>
      </c>
      <c r="BX119" s="888">
        <v>0</v>
      </c>
      <c r="BY119" s="743" t="str">
        <f ca="1">IFERROR((BU119/BX119),"-")</f>
        <v>-</v>
      </c>
      <c r="BZ119" s="2"/>
      <c r="CA119" s="888">
        <v>678171</v>
      </c>
      <c r="CB119" s="888">
        <f ca="1">CA119-BU119</f>
        <v>258955.54547368421</v>
      </c>
      <c r="CC119" s="2"/>
      <c r="CD119" s="84">
        <f>IFERROR(AVERAGEIF($V$7:AB$7,"&lt;="&amp;$I$7,V119:AB119),0)</f>
        <v>0</v>
      </c>
      <c r="CE119" s="2"/>
      <c r="CH119" s="93" t="str">
        <f t="shared" si="192"/>
        <v>Aterros Fora do Ativo/Complemento</v>
      </c>
    </row>
    <row r="120" spans="1:86" s="16" customFormat="1" ht="20.45" hidden="1" customHeight="1" outlineLevel="1">
      <c r="A120" s="74"/>
      <c r="B120" s="1070"/>
      <c r="C120" s="1072"/>
      <c r="D120" s="2"/>
      <c r="E120" s="1060"/>
      <c r="F120" s="2"/>
      <c r="G120" s="54" t="s">
        <v>38</v>
      </c>
      <c r="H120" s="52">
        <f t="shared" si="314"/>
        <v>872.18000000000006</v>
      </c>
      <c r="I120" s="744"/>
      <c r="J120" s="2"/>
      <c r="K120" s="52">
        <f>K122+K124+K128+K130+K132</f>
        <v>65.41</v>
      </c>
      <c r="L120" s="52">
        <f t="shared" ref="L120:P120" si="321">L122+L124+L128+L130+L132</f>
        <v>76.319999999999993</v>
      </c>
      <c r="M120" s="52">
        <f t="shared" si="321"/>
        <v>43.61</v>
      </c>
      <c r="N120" s="52">
        <f t="shared" si="321"/>
        <v>98.12</v>
      </c>
      <c r="O120" s="52">
        <f t="shared" si="321"/>
        <v>828.57142857142856</v>
      </c>
      <c r="P120" s="52">
        <f t="shared" si="321"/>
        <v>1289.8499999999999</v>
      </c>
      <c r="Q120" s="52">
        <f>Q122+Q124+Q130</f>
        <v>0</v>
      </c>
      <c r="R120" s="2"/>
      <c r="S120" s="52">
        <f ca="1">SUMIF($K$7:Q$7,"&lt;="&amp;$I$7,K120:P120)</f>
        <v>2401.8814285714284</v>
      </c>
      <c r="T120" s="744"/>
      <c r="U120" s="2"/>
      <c r="V120" s="52">
        <f t="shared" ref="V120:AA120" si="322">V122+V124+V128+V130+V132</f>
        <v>864.66</v>
      </c>
      <c r="W120" s="52">
        <f t="shared" si="322"/>
        <v>1251.8800000000001</v>
      </c>
      <c r="X120" s="52">
        <f t="shared" si="322"/>
        <v>615.52</v>
      </c>
      <c r="Y120" s="52">
        <f t="shared" si="322"/>
        <v>1181.96</v>
      </c>
      <c r="Z120" s="52">
        <f t="shared" si="322"/>
        <v>1133.08</v>
      </c>
      <c r="AA120" s="52">
        <f t="shared" si="322"/>
        <v>806.38999999999987</v>
      </c>
      <c r="AB120" s="52">
        <f t="shared" si="317"/>
        <v>0</v>
      </c>
      <c r="AC120" s="2"/>
      <c r="AD120" s="52">
        <f>SUMIF($V$7:AB$7,"&lt;="&amp;$I$7,V120:AB120)</f>
        <v>5853.49</v>
      </c>
      <c r="AE120" s="744"/>
      <c r="AF120" s="2"/>
      <c r="AG120" s="75">
        <f>AG122+AG124+AG130+AG132</f>
        <v>481.96000000000004</v>
      </c>
      <c r="AH120" s="75">
        <f t="shared" ref="AH120:AL120" si="323">AH122+AH124+AH130+AH132</f>
        <v>872.18000000000006</v>
      </c>
      <c r="AI120" s="75">
        <f t="shared" si="323"/>
        <v>0</v>
      </c>
      <c r="AJ120" s="75">
        <f t="shared" si="323"/>
        <v>0</v>
      </c>
      <c r="AK120" s="75">
        <f t="shared" si="323"/>
        <v>0</v>
      </c>
      <c r="AL120" s="75">
        <f t="shared" si="323"/>
        <v>0</v>
      </c>
      <c r="AM120" s="52">
        <f>AM122+AM124+AM130</f>
        <v>0</v>
      </c>
      <c r="AN120" s="2"/>
      <c r="AO120" s="52">
        <f ca="1">SUMIF($AG$7:AM$7,"&lt;="&amp;$I$7,AG120:AL120)</f>
        <v>1354.14</v>
      </c>
      <c r="AP120" s="744"/>
      <c r="AQ120" s="2"/>
      <c r="AR120" s="52">
        <f t="shared" ref="AR120:AW120" si="324">AR122+AR124+AR130+AR132</f>
        <v>0</v>
      </c>
      <c r="AS120" s="52">
        <f t="shared" si="324"/>
        <v>0</v>
      </c>
      <c r="AT120" s="52">
        <f t="shared" si="324"/>
        <v>0</v>
      </c>
      <c r="AU120" s="52">
        <f t="shared" si="324"/>
        <v>0</v>
      </c>
      <c r="AV120" s="52">
        <f t="shared" si="324"/>
        <v>0</v>
      </c>
      <c r="AW120" s="52">
        <f t="shared" si="324"/>
        <v>0</v>
      </c>
      <c r="AX120" s="52">
        <f t="shared" si="319"/>
        <v>0</v>
      </c>
      <c r="AY120" s="2"/>
      <c r="AZ120" s="52">
        <f ca="1">SUMIF($AR$7:AX$7,"&lt;="&amp;$I$7,AR120:AW120)</f>
        <v>0</v>
      </c>
      <c r="BA120" s="744"/>
      <c r="BB120" s="2"/>
      <c r="BC120" s="52">
        <f t="shared" ref="BC120:BH120" si="325">BC122+BC124+BC130+BC132</f>
        <v>0</v>
      </c>
      <c r="BD120" s="52">
        <f t="shared" si="325"/>
        <v>0</v>
      </c>
      <c r="BE120" s="52">
        <f t="shared" si="325"/>
        <v>0</v>
      </c>
      <c r="BF120" s="52">
        <f t="shared" si="325"/>
        <v>0</v>
      </c>
      <c r="BG120" s="52">
        <f t="shared" si="325"/>
        <v>0</v>
      </c>
      <c r="BH120" s="52">
        <f t="shared" si="325"/>
        <v>0</v>
      </c>
      <c r="BI120" s="52">
        <f t="shared" si="320"/>
        <v>0</v>
      </c>
      <c r="BJ120" s="2"/>
      <c r="BK120" s="52">
        <f ca="1">SUMIF($BC$7:BI$7,"&lt;="&amp;$I$7,BC120:BH120)</f>
        <v>0</v>
      </c>
      <c r="BL120" s="744"/>
      <c r="BM120" s="2"/>
      <c r="BN120" s="1092"/>
      <c r="BO120" s="1092"/>
      <c r="BP120" s="889"/>
      <c r="BQ120" s="744"/>
      <c r="BR120" s="2"/>
      <c r="BS120" s="889"/>
      <c r="BT120" s="889"/>
      <c r="BU120" s="889"/>
      <c r="BV120" s="889"/>
      <c r="BW120" s="1020"/>
      <c r="BX120" s="889"/>
      <c r="BY120" s="744"/>
      <c r="BZ120" s="2"/>
      <c r="CA120" s="889"/>
      <c r="CB120" s="889"/>
      <c r="CC120" s="2"/>
      <c r="CD120" s="84">
        <f>IFERROR(AVERAGEIF($V$7:AB$7,"&lt;="&amp;$I$7,V120:AB120),0)</f>
        <v>836.21285714285716</v>
      </c>
      <c r="CE120" s="2"/>
      <c r="CH120" s="93" t="str">
        <f t="shared" si="192"/>
        <v>Aterros Fora do Ativo/Complemento</v>
      </c>
    </row>
    <row r="121" spans="1:86" s="16" customFormat="1" ht="20.25" hidden="1" customHeight="1" outlineLevel="2">
      <c r="A121" s="74"/>
      <c r="B121" s="1046" t="s">
        <v>3912</v>
      </c>
      <c r="C121" s="1014" t="s">
        <v>36</v>
      </c>
      <c r="D121" s="2"/>
      <c r="E121" s="1004">
        <v>9026.6204511278193</v>
      </c>
      <c r="F121" s="2"/>
      <c r="G121" s="49" t="s">
        <v>37</v>
      </c>
      <c r="H121" s="705">
        <f t="shared" si="314"/>
        <v>0</v>
      </c>
      <c r="I121" s="878">
        <f t="shared" ref="I121" si="326">IF(H121=0,IF(H122&gt;0,1,"-"),IFERROR(H122/H121,"-"))</f>
        <v>1</v>
      </c>
      <c r="J121" s="2"/>
      <c r="K121" s="705"/>
      <c r="L121" s="705"/>
      <c r="M121" s="705"/>
      <c r="N121" s="705"/>
      <c r="O121" s="705"/>
      <c r="P121" s="705"/>
      <c r="Q121" s="705"/>
      <c r="R121" s="2"/>
      <c r="S121" s="705">
        <f ca="1">SUMIF($K$7:Q$7,"&lt;="&amp;$I$7,K121:P121)</f>
        <v>0</v>
      </c>
      <c r="T121" s="878" t="str">
        <f t="shared" ref="T121" ca="1" si="327">IFERROR((S122/S121),"-")</f>
        <v>-</v>
      </c>
      <c r="U121" s="2"/>
      <c r="V121" s="705"/>
      <c r="W121" s="705"/>
      <c r="X121" s="705"/>
      <c r="Y121" s="705"/>
      <c r="Z121" s="705"/>
      <c r="AA121" s="705"/>
      <c r="AB121" s="705"/>
      <c r="AC121" s="2"/>
      <c r="AD121" s="705">
        <f ca="1">SUMIF($V$7:AB$7,"&lt;="&amp;$I$7,V121:AA121)</f>
        <v>0</v>
      </c>
      <c r="AE121" s="878" t="str">
        <f t="shared" ref="AE121" ca="1" si="328">IFERROR((AD122/AD121),"-")</f>
        <v>-</v>
      </c>
      <c r="AF121" s="2"/>
      <c r="AG121" s="705"/>
      <c r="AH121" s="705"/>
      <c r="AI121" s="705"/>
      <c r="AJ121" s="705"/>
      <c r="AK121" s="705"/>
      <c r="AL121" s="705"/>
      <c r="AM121" s="705"/>
      <c r="AN121" s="2"/>
      <c r="AO121" s="705">
        <f ca="1">SUMIF($AG$7:AM$7,"&lt;="&amp;$I$7,AG121:AL121)</f>
        <v>0</v>
      </c>
      <c r="AP121" s="878" t="str">
        <f t="shared" ref="AP121" ca="1" si="329">IFERROR((AO122/AO121),"-")</f>
        <v>-</v>
      </c>
      <c r="AQ121" s="2"/>
      <c r="AR121" s="705"/>
      <c r="AS121" s="705"/>
      <c r="AT121" s="705"/>
      <c r="AU121" s="705"/>
      <c r="AV121" s="705"/>
      <c r="AW121" s="705"/>
      <c r="AX121" s="705"/>
      <c r="AY121" s="2"/>
      <c r="AZ121" s="705">
        <f ca="1">SUMIF($AR$7:AX$7,"&lt;="&amp;$I$7,AR121:AW121)</f>
        <v>0</v>
      </c>
      <c r="BA121" s="878" t="str">
        <f t="shared" ref="BA121" ca="1" si="330">IFERROR((AZ122/AZ121),"-")</f>
        <v>-</v>
      </c>
      <c r="BB121" s="2"/>
      <c r="BC121" s="705"/>
      <c r="BD121" s="705"/>
      <c r="BE121" s="705"/>
      <c r="BF121" s="705"/>
      <c r="BG121" s="705"/>
      <c r="BH121" s="705"/>
      <c r="BI121" s="705"/>
      <c r="BJ121" s="2"/>
      <c r="BK121" s="705">
        <f ca="1">SUMIF($BC$7:BI$7,"&lt;="&amp;$I$7,BC121:BH121)</f>
        <v>0</v>
      </c>
      <c r="BL121" s="878" t="str">
        <f t="shared" ref="BL121" ca="1" si="331">IFERROR((BK122/BK121),"-")</f>
        <v>-</v>
      </c>
      <c r="BM121" s="2"/>
      <c r="BN121" s="921">
        <v>0</v>
      </c>
      <c r="BO121" s="884">
        <v>0</v>
      </c>
      <c r="BP121" s="884">
        <f>SUM(M122:P122,V122:AB122,AG122:AM122,AR122:AX122,BC122:BI122)</f>
        <v>5690.7253383458647</v>
      </c>
      <c r="BQ121" s="878">
        <f t="shared" ref="BQ121" si="332">IF(AND(BO121=0,BP121=0),"-",IF(BO121=0,1,BP121/BO121))</f>
        <v>1</v>
      </c>
      <c r="BR121" s="2"/>
      <c r="BS121" s="884"/>
      <c r="BT121" s="884"/>
      <c r="BU121" s="884">
        <f ca="1">E121+S122+AD122+AO122+AZ122+BI122</f>
        <v>14717.345789473682</v>
      </c>
      <c r="BV121" s="884">
        <v>106</v>
      </c>
      <c r="BW121" s="1004">
        <f ca="1">IFERROR((BU121/BV121),"-")</f>
        <v>138.8428848063555</v>
      </c>
      <c r="BX121" s="884">
        <v>0</v>
      </c>
      <c r="BY121" s="878" t="str">
        <f ca="1">IFERROR((BU121/BX121),"-")</f>
        <v>-</v>
      </c>
      <c r="BZ121" s="2"/>
      <c r="CA121" s="884">
        <v>0</v>
      </c>
      <c r="CB121" s="884">
        <v>0</v>
      </c>
      <c r="CC121" s="2"/>
      <c r="CD121" s="504">
        <f>IFERROR(AVERAGEIF($V$7:AB$7,"&lt;="&amp;$I$7,V121:AB121),0)</f>
        <v>0</v>
      </c>
      <c r="CE121" s="2"/>
      <c r="CH121" s="93" t="str">
        <f t="shared" si="192"/>
        <v>Aterro compactado (Subleito corte 04 e corte 05 e 06)</v>
      </c>
    </row>
    <row r="122" spans="1:86" s="16" customFormat="1" ht="20.25" hidden="1" customHeight="1" outlineLevel="2">
      <c r="A122" s="74"/>
      <c r="B122" s="1040"/>
      <c r="C122" s="1034"/>
      <c r="D122" s="2"/>
      <c r="E122" s="1024"/>
      <c r="F122" s="2"/>
      <c r="G122" s="50" t="s">
        <v>38</v>
      </c>
      <c r="H122" s="705">
        <f t="shared" si="314"/>
        <v>392.48</v>
      </c>
      <c r="I122" s="879"/>
      <c r="J122" s="2"/>
      <c r="K122" s="76"/>
      <c r="L122" s="76"/>
      <c r="M122" s="76"/>
      <c r="N122" s="76"/>
      <c r="O122" s="76">
        <v>654.13533834586462</v>
      </c>
      <c r="P122" s="76">
        <v>665.04</v>
      </c>
      <c r="Q122" s="706"/>
      <c r="R122" s="2"/>
      <c r="S122" s="705">
        <f ca="1">SUMIF($K$7:Q$7,"&lt;="&amp;$I$7,K122:P122)</f>
        <v>1319.1753383458645</v>
      </c>
      <c r="T122" s="879"/>
      <c r="U122" s="2"/>
      <c r="V122" s="76">
        <v>239.85</v>
      </c>
      <c r="W122" s="76">
        <v>708.65</v>
      </c>
      <c r="X122" s="76">
        <v>512.14</v>
      </c>
      <c r="Y122" s="76">
        <v>861.28</v>
      </c>
      <c r="Z122" s="76">
        <v>861.28</v>
      </c>
      <c r="AA122" s="76">
        <v>523.30999999999995</v>
      </c>
      <c r="AB122" s="706"/>
      <c r="AC122" s="2"/>
      <c r="AD122" s="705">
        <f ca="1">SUMIF($V$7:AB$7,"&lt;="&amp;$I$7,V122:AA122)</f>
        <v>3706.5099999999998</v>
      </c>
      <c r="AE122" s="879"/>
      <c r="AF122" s="2"/>
      <c r="AG122" s="76">
        <v>272.56</v>
      </c>
      <c r="AH122" s="76">
        <v>392.48</v>
      </c>
      <c r="AI122" s="76"/>
      <c r="AJ122" s="76"/>
      <c r="AK122" s="76"/>
      <c r="AL122" s="76"/>
      <c r="AM122" s="706"/>
      <c r="AN122" s="2"/>
      <c r="AO122" s="705">
        <f ca="1">SUMIF($AG$7:AM$7,"&lt;="&amp;$I$7,AG122:AL122)</f>
        <v>665.04</v>
      </c>
      <c r="AP122" s="879"/>
      <c r="AQ122" s="2"/>
      <c r="AR122" s="76"/>
      <c r="AS122" s="76"/>
      <c r="AT122" s="76"/>
      <c r="AU122" s="76"/>
      <c r="AV122" s="76"/>
      <c r="AW122" s="76"/>
      <c r="AX122" s="706"/>
      <c r="AY122" s="2"/>
      <c r="AZ122" s="705">
        <f ca="1">SUMIF($AR$7:AX$7,"&lt;="&amp;$I$7,AR122:AW122)</f>
        <v>0</v>
      </c>
      <c r="BA122" s="879"/>
      <c r="BB122" s="2"/>
      <c r="BC122" s="76"/>
      <c r="BD122" s="76"/>
      <c r="BE122" s="76"/>
      <c r="BF122" s="76"/>
      <c r="BG122" s="76"/>
      <c r="BH122" s="76"/>
      <c r="BI122" s="706"/>
      <c r="BJ122" s="2"/>
      <c r="BK122" s="705">
        <f ca="1">SUMIF($BC$7:BI$7,"&lt;="&amp;$I$7,BC122:BH122)</f>
        <v>0</v>
      </c>
      <c r="BL122" s="879"/>
      <c r="BM122" s="2"/>
      <c r="BN122" s="922"/>
      <c r="BO122" s="885"/>
      <c r="BP122" s="885"/>
      <c r="BQ122" s="879"/>
      <c r="BR122" s="2"/>
      <c r="BS122" s="885"/>
      <c r="BT122" s="885"/>
      <c r="BU122" s="885"/>
      <c r="BV122" s="885"/>
      <c r="BW122" s="1005"/>
      <c r="BX122" s="885"/>
      <c r="BY122" s="879"/>
      <c r="BZ122" s="2"/>
      <c r="CA122" s="885"/>
      <c r="CB122" s="885"/>
      <c r="CC122" s="2"/>
      <c r="CD122" s="504">
        <f>IFERROR(AVERAGEIF($V$7:AB$7,"&lt;="&amp;$I$7,V122:AB122),0)</f>
        <v>617.75166666666667</v>
      </c>
      <c r="CE122" s="2"/>
      <c r="CH122" s="93" t="str">
        <f t="shared" si="192"/>
        <v>Aterro compactado (Subleito corte 04 e corte 05 e 06)</v>
      </c>
    </row>
    <row r="123" spans="1:86" s="16" customFormat="1" ht="20.25" hidden="1" customHeight="1" outlineLevel="2">
      <c r="A123" s="74"/>
      <c r="B123" s="1089" t="s">
        <v>3913</v>
      </c>
      <c r="C123" s="1014" t="s">
        <v>36</v>
      </c>
      <c r="D123" s="2"/>
      <c r="E123" s="1004">
        <v>3360.384661654135</v>
      </c>
      <c r="F123" s="2"/>
      <c r="G123" s="49" t="s">
        <v>37</v>
      </c>
      <c r="H123" s="705">
        <f t="shared" si="314"/>
        <v>0</v>
      </c>
      <c r="I123" s="878" t="str">
        <f t="shared" ref="I123" si="333">IF(H123=0,IF(H124&gt;0,1,"-"),IFERROR(H124/H123,"-"))</f>
        <v>-</v>
      </c>
      <c r="J123" s="2"/>
      <c r="K123" s="705"/>
      <c r="L123" s="705"/>
      <c r="M123" s="705"/>
      <c r="N123" s="705"/>
      <c r="O123" s="705"/>
      <c r="P123" s="705"/>
      <c r="Q123" s="705"/>
      <c r="R123" s="2"/>
      <c r="S123" s="705">
        <f ca="1">SUMIF($K$7:Q$7,"&lt;="&amp;$I$7,K123:P123)</f>
        <v>0</v>
      </c>
      <c r="T123" s="878" t="str">
        <f t="shared" ref="T123" ca="1" si="334">IFERROR((S124/S123),"-")</f>
        <v>-</v>
      </c>
      <c r="U123" s="2"/>
      <c r="V123" s="705"/>
      <c r="W123" s="705"/>
      <c r="X123" s="705"/>
      <c r="Y123" s="705"/>
      <c r="Z123" s="705"/>
      <c r="AA123" s="705"/>
      <c r="AB123" s="705"/>
      <c r="AC123" s="2"/>
      <c r="AD123" s="705">
        <f ca="1">SUMIF($V$7:AB$7,"&lt;="&amp;$I$7,V123:AA123)</f>
        <v>0</v>
      </c>
      <c r="AE123" s="878" t="str">
        <f t="shared" ref="AE123" ca="1" si="335">IFERROR((AD124/AD123),"-")</f>
        <v>-</v>
      </c>
      <c r="AF123" s="2"/>
      <c r="AG123" s="705"/>
      <c r="AH123" s="705"/>
      <c r="AI123" s="705"/>
      <c r="AJ123" s="705"/>
      <c r="AK123" s="705"/>
      <c r="AL123" s="705"/>
      <c r="AM123" s="705"/>
      <c r="AN123" s="2"/>
      <c r="AO123" s="705">
        <f ca="1">SUMIF($AG$7:AM$7,"&lt;="&amp;$I$7,AG123:AL123)</f>
        <v>0</v>
      </c>
      <c r="AP123" s="878" t="str">
        <f t="shared" ref="AP123" ca="1" si="336">IFERROR((AO124/AO123),"-")</f>
        <v>-</v>
      </c>
      <c r="AQ123" s="2"/>
      <c r="AR123" s="705"/>
      <c r="AS123" s="705"/>
      <c r="AT123" s="705"/>
      <c r="AU123" s="705"/>
      <c r="AV123" s="705"/>
      <c r="AW123" s="705"/>
      <c r="AX123" s="705"/>
      <c r="AY123" s="2"/>
      <c r="AZ123" s="705">
        <f ca="1">SUMIF($AR$7:AX$7,"&lt;="&amp;$I$7,AR123:AW123)</f>
        <v>0</v>
      </c>
      <c r="BA123" s="878" t="str">
        <f t="shared" ref="BA123" ca="1" si="337">IFERROR((AZ124/AZ123),"-")</f>
        <v>-</v>
      </c>
      <c r="BB123" s="2"/>
      <c r="BC123" s="705"/>
      <c r="BD123" s="705"/>
      <c r="BE123" s="705"/>
      <c r="BF123" s="705"/>
      <c r="BG123" s="705"/>
      <c r="BH123" s="705"/>
      <c r="BI123" s="705"/>
      <c r="BJ123" s="2"/>
      <c r="BK123" s="705">
        <f ca="1">SUMIF($BC$7:BI$7,"&lt;="&amp;$I$7,BC123:BH123)</f>
        <v>0</v>
      </c>
      <c r="BL123" s="878" t="str">
        <f t="shared" ref="BL123" ca="1" si="338">IFERROR((BK124/BK123),"-")</f>
        <v>-</v>
      </c>
      <c r="BM123" s="2"/>
      <c r="BN123" s="921">
        <v>0</v>
      </c>
      <c r="BO123" s="884">
        <v>0</v>
      </c>
      <c r="BP123" s="884">
        <f>SUM(M124:P124,V124:AB124,AG124:AM124,AR124:AX124,BC124:BI124)</f>
        <v>0</v>
      </c>
      <c r="BQ123" s="878" t="str">
        <f t="shared" ref="BQ123" si="339">IF(AND(BO123=0,BP123=0),"-",IF(BO123=0,1,BP123/BO123))</f>
        <v>-</v>
      </c>
      <c r="BR123" s="2"/>
      <c r="BS123" s="884"/>
      <c r="BT123" s="884"/>
      <c r="BU123" s="884">
        <f ca="1">E123+S124+AD124+AO124+AZ124+BI124</f>
        <v>3360.384661654135</v>
      </c>
      <c r="BV123" s="884">
        <v>106</v>
      </c>
      <c r="BW123" s="1004">
        <f ca="1">IFERROR((BU123/BV123),"-")</f>
        <v>31.701742091076746</v>
      </c>
      <c r="BX123" s="884">
        <v>0</v>
      </c>
      <c r="BY123" s="878" t="str">
        <f ca="1">IFERROR((BU123/BX123),"-")</f>
        <v>-</v>
      </c>
      <c r="BZ123" s="2"/>
      <c r="CA123" s="884">
        <v>0</v>
      </c>
      <c r="CB123" s="884">
        <v>0</v>
      </c>
      <c r="CC123" s="2"/>
      <c r="CD123" s="504">
        <f>IFERROR(AVERAGEIF($V$7:AB$7,"&lt;="&amp;$I$7,V123:AB123),0)</f>
        <v>0</v>
      </c>
      <c r="CE123" s="2"/>
      <c r="CH123" s="93" t="str">
        <f t="shared" si="192"/>
        <v>Aterro - alargamento PN (Km 181+422, 184+380, 190+460, 198+009, 200+560)</v>
      </c>
    </row>
    <row r="124" spans="1:86" s="16" customFormat="1" ht="15.95" hidden="1" customHeight="1" outlineLevel="2">
      <c r="A124" s="74"/>
      <c r="B124" s="1090"/>
      <c r="C124" s="1034"/>
      <c r="D124" s="2"/>
      <c r="E124" s="1024"/>
      <c r="F124" s="2"/>
      <c r="G124" s="50" t="s">
        <v>38</v>
      </c>
      <c r="H124" s="705">
        <f t="shared" si="314"/>
        <v>0</v>
      </c>
      <c r="I124" s="879"/>
      <c r="J124" s="2"/>
      <c r="K124" s="76"/>
      <c r="L124" s="76"/>
      <c r="M124" s="76"/>
      <c r="N124" s="76"/>
      <c r="O124" s="76"/>
      <c r="P124" s="76"/>
      <c r="Q124" s="706"/>
      <c r="R124" s="2"/>
      <c r="S124" s="705">
        <f ca="1">SUMIF($K$7:Q$7,"&lt;="&amp;$I$7,K124:P124)</f>
        <v>0</v>
      </c>
      <c r="T124" s="879"/>
      <c r="U124" s="2"/>
      <c r="V124" s="76"/>
      <c r="W124" s="76"/>
      <c r="X124" s="76"/>
      <c r="Y124" s="76"/>
      <c r="Z124" s="76"/>
      <c r="AA124" s="76"/>
      <c r="AB124" s="706"/>
      <c r="AC124" s="2"/>
      <c r="AD124" s="705">
        <f ca="1">SUMIF($V$7:AB$7,"&lt;="&amp;$I$7,V124:AA124)</f>
        <v>0</v>
      </c>
      <c r="AE124" s="879"/>
      <c r="AF124" s="2"/>
      <c r="AG124" s="76"/>
      <c r="AH124" s="76"/>
      <c r="AI124" s="76"/>
      <c r="AJ124" s="76"/>
      <c r="AK124" s="76"/>
      <c r="AL124" s="76"/>
      <c r="AM124" s="706"/>
      <c r="AN124" s="2"/>
      <c r="AO124" s="705">
        <f ca="1">SUMIF($AG$7:AM$7,"&lt;="&amp;$I$7,AG124:AL124)</f>
        <v>0</v>
      </c>
      <c r="AP124" s="879"/>
      <c r="AQ124" s="2"/>
      <c r="AR124" s="76"/>
      <c r="AS124" s="76"/>
      <c r="AT124" s="76"/>
      <c r="AU124" s="76"/>
      <c r="AV124" s="76"/>
      <c r="AW124" s="76"/>
      <c r="AX124" s="706"/>
      <c r="AY124" s="2"/>
      <c r="AZ124" s="705">
        <f ca="1">SUMIF($AR$7:AX$7,"&lt;="&amp;$I$7,AR124:AW124)</f>
        <v>0</v>
      </c>
      <c r="BA124" s="879"/>
      <c r="BB124" s="2"/>
      <c r="BC124" s="76"/>
      <c r="BD124" s="76"/>
      <c r="BE124" s="76"/>
      <c r="BF124" s="76"/>
      <c r="BG124" s="76"/>
      <c r="BH124" s="76"/>
      <c r="BI124" s="706"/>
      <c r="BJ124" s="2"/>
      <c r="BK124" s="705">
        <f ca="1">SUMIF($BC$7:BI$7,"&lt;="&amp;$I$7,BC124:BH124)</f>
        <v>0</v>
      </c>
      <c r="BL124" s="879"/>
      <c r="BM124" s="2"/>
      <c r="BN124" s="922"/>
      <c r="BO124" s="885"/>
      <c r="BP124" s="885"/>
      <c r="BQ124" s="879"/>
      <c r="BR124" s="2"/>
      <c r="BS124" s="885"/>
      <c r="BT124" s="885"/>
      <c r="BU124" s="885"/>
      <c r="BV124" s="885"/>
      <c r="BW124" s="1005"/>
      <c r="BX124" s="885"/>
      <c r="BY124" s="879"/>
      <c r="BZ124" s="2"/>
      <c r="CA124" s="885"/>
      <c r="CB124" s="885"/>
      <c r="CC124" s="2"/>
      <c r="CD124" s="504">
        <f>IFERROR(AVERAGEIF($V$7:AB$7,"&lt;="&amp;$I$7,V124:AB124),0)</f>
        <v>0</v>
      </c>
      <c r="CE124" s="2"/>
      <c r="CH124" s="93" t="str">
        <f t="shared" si="192"/>
        <v>Aterro - alargamento PN (Km 181+422, 184+380, 190+460, 198+009, 200+560)</v>
      </c>
    </row>
    <row r="125" spans="1:86" s="16" customFormat="1" ht="20.45" hidden="1" customHeight="1" outlineLevel="2">
      <c r="A125" s="74" t="s">
        <v>3914</v>
      </c>
      <c r="B125" s="1085" t="s">
        <v>3915</v>
      </c>
      <c r="C125" s="1014" t="s">
        <v>36</v>
      </c>
      <c r="D125" s="2"/>
      <c r="E125" s="1004">
        <v>87018.384962406009</v>
      </c>
      <c r="F125" s="2"/>
      <c r="G125" s="49" t="s">
        <v>37</v>
      </c>
      <c r="H125" s="705">
        <f t="shared" si="314"/>
        <v>0</v>
      </c>
      <c r="I125" s="878" t="str">
        <f t="shared" ref="I125" si="340">IF(H125=0,IF(H126&gt;0,1,"-"),IFERROR(H126/H125,"-"))</f>
        <v>-</v>
      </c>
      <c r="J125" s="2"/>
      <c r="K125" s="705"/>
      <c r="L125" s="705"/>
      <c r="M125" s="705"/>
      <c r="N125" s="705"/>
      <c r="O125" s="705"/>
      <c r="P125" s="705"/>
      <c r="Q125" s="705"/>
      <c r="R125" s="2"/>
      <c r="S125" s="705">
        <f ca="1">SUMIF($K$7:Q$7,"&lt;="&amp;$I$7,K125:P125)</f>
        <v>0</v>
      </c>
      <c r="T125" s="878" t="str">
        <f t="shared" ref="T125" ca="1" si="341">IFERROR((S126/S125),"-")</f>
        <v>-</v>
      </c>
      <c r="U125" s="2"/>
      <c r="V125" s="705"/>
      <c r="W125" s="705"/>
      <c r="X125" s="705"/>
      <c r="Y125" s="705"/>
      <c r="Z125" s="705"/>
      <c r="AA125" s="705"/>
      <c r="AB125" s="705"/>
      <c r="AC125" s="2"/>
      <c r="AD125" s="705">
        <f ca="1">SUMIF($V$7:AB$7,"&lt;="&amp;$I$7,V125:AA125)</f>
        <v>0</v>
      </c>
      <c r="AE125" s="878" t="str">
        <f t="shared" ref="AE125" ca="1" si="342">IFERROR((AD126/AD125),"-")</f>
        <v>-</v>
      </c>
      <c r="AF125" s="2"/>
      <c r="AG125" s="705"/>
      <c r="AH125" s="705"/>
      <c r="AI125" s="705"/>
      <c r="AJ125" s="705"/>
      <c r="AK125" s="705"/>
      <c r="AL125" s="705"/>
      <c r="AM125" s="705"/>
      <c r="AN125" s="2"/>
      <c r="AO125" s="705">
        <f ca="1">SUMIF($AG$7:AM$7,"&lt;="&amp;$I$7,AG125:AL125)</f>
        <v>0</v>
      </c>
      <c r="AP125" s="878" t="str">
        <f t="shared" ref="AP125" ca="1" si="343">IFERROR((AO126/AO125),"-")</f>
        <v>-</v>
      </c>
      <c r="AQ125" s="2"/>
      <c r="AR125" s="705"/>
      <c r="AS125" s="705"/>
      <c r="AT125" s="705"/>
      <c r="AU125" s="705"/>
      <c r="AV125" s="705"/>
      <c r="AW125" s="705"/>
      <c r="AX125" s="705"/>
      <c r="AY125" s="2"/>
      <c r="AZ125" s="705">
        <f ca="1">SUMIF($AR$7:AX$7,"&lt;="&amp;$I$7,AR125:AW125)</f>
        <v>0</v>
      </c>
      <c r="BA125" s="878" t="str">
        <f t="shared" ref="BA125" ca="1" si="344">IFERROR((AZ126/AZ125),"-")</f>
        <v>-</v>
      </c>
      <c r="BB125" s="2"/>
      <c r="BC125" s="705"/>
      <c r="BD125" s="705"/>
      <c r="BE125" s="705"/>
      <c r="BF125" s="705"/>
      <c r="BG125" s="705"/>
      <c r="BH125" s="705"/>
      <c r="BI125" s="705"/>
      <c r="BJ125" s="2"/>
      <c r="BK125" s="705">
        <f ca="1">SUMIF($BC$7:BI$7,"&lt;="&amp;$I$7,BC125:BH125)</f>
        <v>0</v>
      </c>
      <c r="BL125" s="878" t="str">
        <f t="shared" ref="BL125" ca="1" si="345">IFERROR((BK126/BK125),"-")</f>
        <v>-</v>
      </c>
      <c r="BM125" s="2"/>
      <c r="BN125" s="921">
        <v>4719.0500000000011</v>
      </c>
      <c r="BO125" s="884">
        <v>3246.7</v>
      </c>
      <c r="BP125" s="884">
        <f>SUM(M126:P126,V126:AB126,AG126:AM126,AR126:AX126,BC126:BI126)</f>
        <v>0</v>
      </c>
      <c r="BQ125" s="878">
        <f t="shared" ref="BQ125" si="346">IF(AND(BO125=0,BP125=0),"-",IF(BO125=0,1,BP125/BO125))</f>
        <v>0</v>
      </c>
      <c r="BR125" s="2"/>
      <c r="BS125" s="884"/>
      <c r="BT125" s="884"/>
      <c r="BU125" s="884">
        <f ca="1">E125+S126+AD126+AO126+AZ126+BI126</f>
        <v>87018.384962406009</v>
      </c>
      <c r="BV125" s="884">
        <v>106</v>
      </c>
      <c r="BW125" s="1004">
        <f ca="1">IFERROR((BU125/BV125),"-")</f>
        <v>820.92816002269819</v>
      </c>
      <c r="BX125" s="884">
        <v>0</v>
      </c>
      <c r="BY125" s="878" t="str">
        <f ca="1">IFERROR((BU125/BX125),"-")</f>
        <v>-</v>
      </c>
      <c r="BZ125" s="2"/>
      <c r="CA125" s="884">
        <v>0</v>
      </c>
      <c r="CB125" s="884">
        <v>0</v>
      </c>
      <c r="CC125" s="2"/>
      <c r="CD125" s="504">
        <f>IFERROR(AVERAGEIF($V$7:AB$7,"&lt;="&amp;$I$7,V125:AB125),0)</f>
        <v>0</v>
      </c>
      <c r="CE125" s="2"/>
      <c r="CH125" s="93" t="str">
        <f t="shared" si="192"/>
        <v xml:space="preserve"> ADME 03/04 - Km 170+000
(Estoque provisóri0)</v>
      </c>
    </row>
    <row r="126" spans="1:86" s="16" customFormat="1" ht="15.95" hidden="1" customHeight="1" outlineLevel="2">
      <c r="A126" s="74"/>
      <c r="B126" s="1086"/>
      <c r="C126" s="1034"/>
      <c r="D126" s="2"/>
      <c r="E126" s="1024"/>
      <c r="F126" s="2"/>
      <c r="G126" s="50" t="s">
        <v>38</v>
      </c>
      <c r="H126" s="705">
        <f t="shared" si="314"/>
        <v>0</v>
      </c>
      <c r="I126" s="879"/>
      <c r="J126" s="2"/>
      <c r="K126" s="76"/>
      <c r="L126" s="76"/>
      <c r="M126" s="76"/>
      <c r="N126" s="76"/>
      <c r="O126" s="76"/>
      <c r="P126" s="76"/>
      <c r="Q126" s="706"/>
      <c r="R126" s="2"/>
      <c r="S126" s="705">
        <f ca="1">SUMIF($K$7:Q$7,"&lt;="&amp;$I$7,K126:P126)</f>
        <v>0</v>
      </c>
      <c r="T126" s="879"/>
      <c r="U126" s="2"/>
      <c r="V126" s="76"/>
      <c r="W126" s="76"/>
      <c r="X126" s="76"/>
      <c r="Y126" s="76"/>
      <c r="Z126" s="76"/>
      <c r="AA126" s="76"/>
      <c r="AB126" s="706"/>
      <c r="AC126" s="2"/>
      <c r="AD126" s="705">
        <f ca="1">SUMIF($V$7:AB$7,"&lt;="&amp;$I$7,V126:AA126)</f>
        <v>0</v>
      </c>
      <c r="AE126" s="879"/>
      <c r="AF126" s="2"/>
      <c r="AG126" s="76"/>
      <c r="AH126" s="76"/>
      <c r="AI126" s="76"/>
      <c r="AJ126" s="76"/>
      <c r="AK126" s="76"/>
      <c r="AL126" s="76"/>
      <c r="AM126" s="706"/>
      <c r="AN126" s="2"/>
      <c r="AO126" s="705">
        <f ca="1">SUMIF($AG$7:AM$7,"&lt;="&amp;$I$7,AG126:AL126)</f>
        <v>0</v>
      </c>
      <c r="AP126" s="879"/>
      <c r="AQ126" s="2"/>
      <c r="AR126" s="76"/>
      <c r="AS126" s="76"/>
      <c r="AT126" s="76"/>
      <c r="AU126" s="76"/>
      <c r="AV126" s="76"/>
      <c r="AW126" s="76"/>
      <c r="AX126" s="706"/>
      <c r="AY126" s="2"/>
      <c r="AZ126" s="705">
        <f ca="1">SUMIF($AR$7:AX$7,"&lt;="&amp;$I$7,AR126:AW126)</f>
        <v>0</v>
      </c>
      <c r="BA126" s="879"/>
      <c r="BB126" s="2"/>
      <c r="BC126" s="76"/>
      <c r="BD126" s="76"/>
      <c r="BE126" s="76"/>
      <c r="BF126" s="76"/>
      <c r="BG126" s="76"/>
      <c r="BH126" s="76"/>
      <c r="BI126" s="706"/>
      <c r="BJ126" s="2"/>
      <c r="BK126" s="705">
        <f ca="1">SUMIF($BC$7:BI$7,"&lt;="&amp;$I$7,BC126:BH126)</f>
        <v>0</v>
      </c>
      <c r="BL126" s="879"/>
      <c r="BM126" s="2"/>
      <c r="BN126" s="922"/>
      <c r="BO126" s="885"/>
      <c r="BP126" s="885"/>
      <c r="BQ126" s="879"/>
      <c r="BR126" s="2"/>
      <c r="BS126" s="885"/>
      <c r="BT126" s="885"/>
      <c r="BU126" s="885"/>
      <c r="BV126" s="885"/>
      <c r="BW126" s="1005"/>
      <c r="BX126" s="885"/>
      <c r="BY126" s="879"/>
      <c r="BZ126" s="2"/>
      <c r="CA126" s="885"/>
      <c r="CB126" s="885"/>
      <c r="CC126" s="2"/>
      <c r="CD126" s="504">
        <f>IFERROR(AVERAGEIF($V$7:AB$7,"&lt;="&amp;$I$7,V126:AB126),0)</f>
        <v>0</v>
      </c>
      <c r="CE126" s="2"/>
      <c r="CH126" s="93" t="str">
        <f t="shared" si="192"/>
        <v xml:space="preserve"> ADME 03/04 - Km 170+000
(Estoque provisóri0)</v>
      </c>
    </row>
    <row r="127" spans="1:86" s="16" customFormat="1" ht="20.45" hidden="1" customHeight="1" outlineLevel="2">
      <c r="A127" s="74"/>
      <c r="B127" s="1085" t="s">
        <v>3916</v>
      </c>
      <c r="C127" s="1014" t="s">
        <v>36</v>
      </c>
      <c r="D127" s="2"/>
      <c r="E127" s="1004">
        <v>406580.90399999998</v>
      </c>
      <c r="F127" s="2"/>
      <c r="G127" s="49" t="s">
        <v>37</v>
      </c>
      <c r="H127" s="705">
        <f t="shared" si="314"/>
        <v>0</v>
      </c>
      <c r="I127" s="878" t="str">
        <f t="shared" ref="I127" si="347">IF(H127=0,IF(H128&gt;0,1,"-"),IFERROR(H128/H127,"-"))</f>
        <v>-</v>
      </c>
      <c r="J127" s="2"/>
      <c r="K127" s="705"/>
      <c r="L127" s="705"/>
      <c r="M127" s="705"/>
      <c r="N127" s="705"/>
      <c r="O127" s="705"/>
      <c r="P127" s="705"/>
      <c r="Q127" s="705"/>
      <c r="R127" s="2"/>
      <c r="S127" s="705">
        <f ca="1">SUMIF($K$7:Q$7,"&lt;="&amp;$I$7,K127:P127)</f>
        <v>0</v>
      </c>
      <c r="T127" s="878" t="str">
        <f t="shared" ref="T127" ca="1" si="348">IFERROR((S128/S127),"-")</f>
        <v>-</v>
      </c>
      <c r="U127" s="2"/>
      <c r="V127" s="705"/>
      <c r="W127" s="705"/>
      <c r="X127" s="705"/>
      <c r="Y127" s="705"/>
      <c r="Z127" s="705"/>
      <c r="AA127" s="705"/>
      <c r="AB127" s="705"/>
      <c r="AC127" s="2"/>
      <c r="AD127" s="705">
        <f ca="1">SUMIF($V$7:AB$7,"&lt;="&amp;$I$7,V127:AA127)</f>
        <v>0</v>
      </c>
      <c r="AE127" s="878" t="str">
        <f t="shared" ref="AE127" ca="1" si="349">IFERROR((AD128/AD127),"-")</f>
        <v>-</v>
      </c>
      <c r="AF127" s="2"/>
      <c r="AG127" s="705"/>
      <c r="AH127" s="705"/>
      <c r="AI127" s="705"/>
      <c r="AJ127" s="705"/>
      <c r="AK127" s="705"/>
      <c r="AL127" s="705"/>
      <c r="AM127" s="705"/>
      <c r="AN127" s="2"/>
      <c r="AO127" s="705">
        <f ca="1">SUMIF($AG$7:AM$7,"&lt;="&amp;$I$7,AG127:AL127)</f>
        <v>0</v>
      </c>
      <c r="AP127" s="878" t="str">
        <f t="shared" ref="AP127" ca="1" si="350">IFERROR((AO128/AO127),"-")</f>
        <v>-</v>
      </c>
      <c r="AQ127" s="2"/>
      <c r="AR127" s="705"/>
      <c r="AS127" s="705"/>
      <c r="AT127" s="705"/>
      <c r="AU127" s="705"/>
      <c r="AV127" s="705"/>
      <c r="AW127" s="705"/>
      <c r="AX127" s="705"/>
      <c r="AY127" s="2"/>
      <c r="AZ127" s="705">
        <f ca="1">SUMIF($AR$7:AX$7,"&lt;="&amp;$I$7,AR127:AW127)</f>
        <v>0</v>
      </c>
      <c r="BA127" s="878" t="str">
        <f t="shared" ref="BA127" ca="1" si="351">IFERROR((AZ128/AZ127),"-")</f>
        <v>-</v>
      </c>
      <c r="BB127" s="2"/>
      <c r="BC127" s="705"/>
      <c r="BD127" s="705"/>
      <c r="BE127" s="705"/>
      <c r="BF127" s="705"/>
      <c r="BG127" s="705"/>
      <c r="BH127" s="705"/>
      <c r="BI127" s="705"/>
      <c r="BJ127" s="2"/>
      <c r="BK127" s="705">
        <f ca="1">SUMIF($BC$7:BI$7,"&lt;="&amp;$I$7,BC127:BH127)</f>
        <v>0</v>
      </c>
      <c r="BL127" s="878" t="str">
        <f t="shared" ref="BL127" ca="1" si="352">IFERROR((BK128/BK127),"-")</f>
        <v>-</v>
      </c>
      <c r="BM127" s="2"/>
      <c r="BN127" s="921">
        <v>0</v>
      </c>
      <c r="BO127" s="884">
        <v>0</v>
      </c>
      <c r="BP127" s="884">
        <f>SUM(M128:P128,V128:AB128,AG128:AM128,AR128:AX128,BC128:BI128)</f>
        <v>0</v>
      </c>
      <c r="BQ127" s="878" t="str">
        <f t="shared" ref="BQ127" si="353">IF(AND(BO127=0,BP127=0),"-",IF(BO127=0,1,BP127/BO127))</f>
        <v>-</v>
      </c>
      <c r="BR127" s="2"/>
      <c r="BS127" s="1087">
        <f>394540.904+12040</f>
        <v>406580.90399999998</v>
      </c>
      <c r="BT127" s="1087"/>
      <c r="BU127" s="884">
        <f ca="1">E127+S128+AD128+AO128+AZ128+BI128</f>
        <v>406580.90399999998</v>
      </c>
      <c r="BV127" s="884">
        <v>106</v>
      </c>
      <c r="BW127" s="1004">
        <f ca="1">IFERROR((BU127/BV127),"-")</f>
        <v>3835.6689056603773</v>
      </c>
      <c r="BX127" s="884">
        <v>0</v>
      </c>
      <c r="BY127" s="878" t="str">
        <f ca="1">IFERROR((BU127/BX127),"-")</f>
        <v>-</v>
      </c>
      <c r="BZ127" s="2"/>
      <c r="CA127" s="884">
        <v>0</v>
      </c>
      <c r="CB127" s="884">
        <v>0</v>
      </c>
      <c r="CC127" s="2"/>
      <c r="CD127" s="504">
        <f>IFERROR(AVERAGEIF($V$7:AB$7,"&lt;="&amp;$I$7,V127:AB127),0)</f>
        <v>0</v>
      </c>
      <c r="CE127" s="2"/>
      <c r="CH127" s="93" t="str">
        <f t="shared" si="192"/>
        <v xml:space="preserve">Acumulado BM 22 - Fator de Correção </v>
      </c>
    </row>
    <row r="128" spans="1:86" s="16" customFormat="1" ht="15.95" hidden="1" customHeight="1" outlineLevel="2">
      <c r="A128" s="74"/>
      <c r="B128" s="1086"/>
      <c r="C128" s="1034"/>
      <c r="D128" s="2"/>
      <c r="E128" s="1024"/>
      <c r="F128" s="2"/>
      <c r="G128" s="50" t="s">
        <v>38</v>
      </c>
      <c r="H128" s="705">
        <f t="shared" si="314"/>
        <v>0</v>
      </c>
      <c r="I128" s="879"/>
      <c r="J128" s="2"/>
      <c r="K128" s="76"/>
      <c r="L128" s="76"/>
      <c r="M128" s="76"/>
      <c r="N128" s="76"/>
      <c r="O128" s="76"/>
      <c r="P128" s="76"/>
      <c r="Q128" s="706"/>
      <c r="R128" s="2"/>
      <c r="S128" s="705">
        <f ca="1">SUMIF($K$7:Q$7,"&lt;="&amp;$I$7,K128:P128)</f>
        <v>0</v>
      </c>
      <c r="T128" s="879"/>
      <c r="U128" s="2"/>
      <c r="V128" s="76"/>
      <c r="W128" s="76"/>
      <c r="X128" s="76"/>
      <c r="Y128" s="76"/>
      <c r="Z128" s="76"/>
      <c r="AA128" s="76"/>
      <c r="AB128" s="706"/>
      <c r="AC128" s="2"/>
      <c r="AD128" s="705">
        <f ca="1">SUMIF($V$7:AB$7,"&lt;="&amp;$I$7,V128:AA128)</f>
        <v>0</v>
      </c>
      <c r="AE128" s="879"/>
      <c r="AF128" s="2"/>
      <c r="AG128" s="76"/>
      <c r="AH128" s="76"/>
      <c r="AI128" s="76"/>
      <c r="AJ128" s="76"/>
      <c r="AK128" s="76"/>
      <c r="AL128" s="76"/>
      <c r="AM128" s="706"/>
      <c r="AN128" s="2"/>
      <c r="AO128" s="705">
        <f ca="1">SUMIF($AG$7:AM$7,"&lt;="&amp;$I$7,AG128:AL128)</f>
        <v>0</v>
      </c>
      <c r="AP128" s="879"/>
      <c r="AQ128" s="2"/>
      <c r="AR128" s="76"/>
      <c r="AS128" s="76"/>
      <c r="AT128" s="76"/>
      <c r="AU128" s="76"/>
      <c r="AV128" s="76"/>
      <c r="AW128" s="76"/>
      <c r="AX128" s="706"/>
      <c r="AY128" s="2"/>
      <c r="AZ128" s="705">
        <f ca="1">SUMIF($AR$7:AX$7,"&lt;="&amp;$I$7,AR128:AW128)</f>
        <v>0</v>
      </c>
      <c r="BA128" s="879"/>
      <c r="BB128" s="2"/>
      <c r="BC128" s="76"/>
      <c r="BD128" s="76"/>
      <c r="BE128" s="76"/>
      <c r="BF128" s="76"/>
      <c r="BG128" s="76"/>
      <c r="BH128" s="76"/>
      <c r="BI128" s="706"/>
      <c r="BJ128" s="2"/>
      <c r="BK128" s="705">
        <f ca="1">SUMIF($BC$7:BI$7,"&lt;="&amp;$I$7,BC128:BH128)</f>
        <v>0</v>
      </c>
      <c r="BL128" s="879"/>
      <c r="BM128" s="2"/>
      <c r="BN128" s="922"/>
      <c r="BO128" s="885"/>
      <c r="BP128" s="885"/>
      <c r="BQ128" s="879"/>
      <c r="BR128" s="2"/>
      <c r="BS128" s="1088"/>
      <c r="BT128" s="1088"/>
      <c r="BU128" s="885"/>
      <c r="BV128" s="885"/>
      <c r="BW128" s="1005"/>
      <c r="BX128" s="885"/>
      <c r="BY128" s="879"/>
      <c r="BZ128" s="2"/>
      <c r="CA128" s="885"/>
      <c r="CB128" s="885"/>
      <c r="CC128" s="2"/>
      <c r="CD128" s="504">
        <f>IFERROR(AVERAGEIF($V$7:AB$7,"&lt;="&amp;$I$7,V128:AB128),0)</f>
        <v>0</v>
      </c>
      <c r="CE128" s="2"/>
      <c r="CH128" s="93" t="str">
        <f t="shared" si="192"/>
        <v xml:space="preserve">Acumulado BM 22 - Fator de Correção </v>
      </c>
    </row>
    <row r="129" spans="1:86" s="16" customFormat="1" ht="20.45" hidden="1" customHeight="1" outlineLevel="2">
      <c r="A129" s="74"/>
      <c r="B129" s="1085" t="s">
        <v>3917</v>
      </c>
      <c r="C129" s="1014" t="s">
        <v>36</v>
      </c>
      <c r="D129" s="2"/>
      <c r="E129" s="1004">
        <v>23287.215263157901</v>
      </c>
      <c r="F129" s="2"/>
      <c r="G129" s="49" t="s">
        <v>37</v>
      </c>
      <c r="H129" s="705">
        <f t="shared" si="314"/>
        <v>0</v>
      </c>
      <c r="I129" s="878" t="str">
        <f t="shared" ref="I129" si="354">IF(H129=0,IF(H130&gt;0,1,"-"),IFERROR(H130/H129,"-"))</f>
        <v>-</v>
      </c>
      <c r="J129" s="2"/>
      <c r="K129" s="705"/>
      <c r="L129" s="705"/>
      <c r="M129" s="705"/>
      <c r="N129" s="705"/>
      <c r="O129" s="705"/>
      <c r="P129" s="705"/>
      <c r="Q129" s="705"/>
      <c r="R129" s="2"/>
      <c r="S129" s="705">
        <f ca="1">SUMIF($K$7:Q$7,"&lt;="&amp;$I$7,K129:P129)</f>
        <v>0</v>
      </c>
      <c r="T129" s="878" t="str">
        <f t="shared" ref="T129" ca="1" si="355">IFERROR((S130/S129),"-")</f>
        <v>-</v>
      </c>
      <c r="U129" s="2"/>
      <c r="V129" s="705"/>
      <c r="W129" s="705"/>
      <c r="X129" s="705"/>
      <c r="Y129" s="705"/>
      <c r="Z129" s="705"/>
      <c r="AA129" s="705"/>
      <c r="AB129" s="705"/>
      <c r="AC129" s="2"/>
      <c r="AD129" s="705">
        <f ca="1">SUMIF($V$7:AB$7,"&lt;="&amp;$I$7,V129:AA129)</f>
        <v>0</v>
      </c>
      <c r="AE129" s="878" t="str">
        <f t="shared" ref="AE129" ca="1" si="356">IFERROR((AD130/AD129),"-")</f>
        <v>-</v>
      </c>
      <c r="AF129" s="2"/>
      <c r="AG129" s="705"/>
      <c r="AH129" s="705"/>
      <c r="AI129" s="705"/>
      <c r="AJ129" s="705"/>
      <c r="AK129" s="705"/>
      <c r="AL129" s="705"/>
      <c r="AM129" s="705"/>
      <c r="AN129" s="2"/>
      <c r="AO129" s="705">
        <f ca="1">SUMIF($AG$7:AM$7,"&lt;="&amp;$I$7,AG129:AL129)</f>
        <v>0</v>
      </c>
      <c r="AP129" s="878" t="str">
        <f t="shared" ref="AP129" ca="1" si="357">IFERROR((AO130/AO129),"-")</f>
        <v>-</v>
      </c>
      <c r="AQ129" s="2"/>
      <c r="AR129" s="705"/>
      <c r="AS129" s="705"/>
      <c r="AT129" s="705"/>
      <c r="AU129" s="705"/>
      <c r="AV129" s="705"/>
      <c r="AW129" s="705"/>
      <c r="AX129" s="705"/>
      <c r="AY129" s="2"/>
      <c r="AZ129" s="705">
        <f ca="1">SUMIF($AR$7:AX$7,"&lt;="&amp;$I$7,AR129:AW129)</f>
        <v>0</v>
      </c>
      <c r="BA129" s="878" t="str">
        <f t="shared" ref="BA129" ca="1" si="358">IFERROR((AZ130/AZ129),"-")</f>
        <v>-</v>
      </c>
      <c r="BB129" s="2"/>
      <c r="BC129" s="705"/>
      <c r="BD129" s="705"/>
      <c r="BE129" s="705"/>
      <c r="BF129" s="705"/>
      <c r="BG129" s="705"/>
      <c r="BH129" s="705"/>
      <c r="BI129" s="705"/>
      <c r="BJ129" s="2"/>
      <c r="BK129" s="705">
        <f ca="1">SUMIF($BC$7:BI$7,"&lt;="&amp;$I$7,BC129:BH129)</f>
        <v>0</v>
      </c>
      <c r="BL129" s="878" t="str">
        <f t="shared" ref="BL129" ca="1" si="359">IFERROR((BK130/BK129),"-")</f>
        <v>-</v>
      </c>
      <c r="BM129" s="2"/>
      <c r="BN129" s="921">
        <v>0</v>
      </c>
      <c r="BO129" s="884">
        <v>0</v>
      </c>
      <c r="BP129" s="884">
        <f>SUM(M130:P130,V130:AB130,AG130:AM130,AR130:AX130,BC130:BI130)</f>
        <v>130.82</v>
      </c>
      <c r="BQ129" s="878">
        <f t="shared" ref="BQ129" si="360">IF(AND(BO129=0,BP129=0),"-",IF(BO129=0,1,BP129/BO129))</f>
        <v>1</v>
      </c>
      <c r="BR129" s="2"/>
      <c r="BS129" s="1087"/>
      <c r="BT129" s="1087"/>
      <c r="BU129" s="884">
        <f ca="1">E129+S130+AD130+AO130+AZ130+BI130</f>
        <v>23418.035263157901</v>
      </c>
      <c r="BV129" s="884">
        <v>106</v>
      </c>
      <c r="BW129" s="1004">
        <f ca="1">IFERROR((BU129/BV129),"-")</f>
        <v>220.92486097318775</v>
      </c>
      <c r="BX129" s="884">
        <v>0</v>
      </c>
      <c r="BY129" s="878" t="str">
        <f ca="1">IFERROR((BU129/BX129),"-")</f>
        <v>-</v>
      </c>
      <c r="BZ129" s="2"/>
      <c r="CA129" s="884">
        <v>0</v>
      </c>
      <c r="CB129" s="884">
        <v>0</v>
      </c>
      <c r="CC129" s="2"/>
      <c r="CD129" s="504">
        <f>IFERROR(AVERAGEIF($V$7:AB$7,"&lt;="&amp;$I$7,V129:AB129),0)</f>
        <v>0</v>
      </c>
      <c r="CE129" s="2"/>
      <c r="CH129" s="93" t="str">
        <f t="shared" si="192"/>
        <v xml:space="preserve">Aterro do viaduto </v>
      </c>
    </row>
    <row r="130" spans="1:86" s="16" customFormat="1" ht="15.95" hidden="1" customHeight="1" outlineLevel="2">
      <c r="A130" s="74"/>
      <c r="B130" s="1086"/>
      <c r="C130" s="1034"/>
      <c r="D130" s="2"/>
      <c r="E130" s="1024"/>
      <c r="F130" s="2"/>
      <c r="G130" s="50" t="s">
        <v>38</v>
      </c>
      <c r="H130" s="705">
        <f t="shared" si="314"/>
        <v>0</v>
      </c>
      <c r="I130" s="879"/>
      <c r="J130" s="2"/>
      <c r="K130" s="76"/>
      <c r="L130" s="76"/>
      <c r="M130" s="76"/>
      <c r="N130" s="76"/>
      <c r="O130" s="76"/>
      <c r="P130" s="76">
        <v>87.22</v>
      </c>
      <c r="Q130" s="706"/>
      <c r="R130" s="2"/>
      <c r="S130" s="705">
        <f ca="1">SUMIF($K$7:Q$7,"&lt;="&amp;$I$7,K130:P130)</f>
        <v>87.22</v>
      </c>
      <c r="T130" s="879"/>
      <c r="U130" s="2"/>
      <c r="V130" s="76">
        <v>21.8</v>
      </c>
      <c r="W130" s="76">
        <v>10.9</v>
      </c>
      <c r="X130" s="76">
        <v>10.9</v>
      </c>
      <c r="Y130" s="76"/>
      <c r="Z130" s="76"/>
      <c r="AA130" s="76"/>
      <c r="AB130" s="706"/>
      <c r="AC130" s="2"/>
      <c r="AD130" s="705">
        <f ca="1">SUMIF($V$7:AB$7,"&lt;="&amp;$I$7,V130:AA130)</f>
        <v>43.6</v>
      </c>
      <c r="AE130" s="879"/>
      <c r="AF130" s="2"/>
      <c r="AG130" s="76"/>
      <c r="AH130" s="76"/>
      <c r="AI130" s="76"/>
      <c r="AJ130" s="76"/>
      <c r="AK130" s="76"/>
      <c r="AL130" s="76"/>
      <c r="AM130" s="706"/>
      <c r="AN130" s="2"/>
      <c r="AO130" s="705">
        <f ca="1">SUMIF($AG$7:AM$7,"&lt;="&amp;$I$7,AG130:AL130)</f>
        <v>0</v>
      </c>
      <c r="AP130" s="879"/>
      <c r="AQ130" s="2"/>
      <c r="AR130" s="76"/>
      <c r="AS130" s="76"/>
      <c r="AT130" s="76"/>
      <c r="AU130" s="76"/>
      <c r="AV130" s="76"/>
      <c r="AW130" s="76"/>
      <c r="AX130" s="706"/>
      <c r="AY130" s="2"/>
      <c r="AZ130" s="705">
        <f ca="1">SUMIF($AR$7:AX$7,"&lt;="&amp;$I$7,AR130:AW130)</f>
        <v>0</v>
      </c>
      <c r="BA130" s="879"/>
      <c r="BB130" s="2"/>
      <c r="BC130" s="76"/>
      <c r="BD130" s="76"/>
      <c r="BE130" s="76"/>
      <c r="BF130" s="76"/>
      <c r="BG130" s="76"/>
      <c r="BH130" s="76"/>
      <c r="BI130" s="706"/>
      <c r="BJ130" s="2"/>
      <c r="BK130" s="705">
        <f ca="1">SUMIF($BC$7:BI$7,"&lt;="&amp;$I$7,BC130:BH130)</f>
        <v>0</v>
      </c>
      <c r="BL130" s="879"/>
      <c r="BM130" s="2"/>
      <c r="BN130" s="922"/>
      <c r="BO130" s="885"/>
      <c r="BP130" s="885"/>
      <c r="BQ130" s="879"/>
      <c r="BR130" s="2"/>
      <c r="BS130" s="1088"/>
      <c r="BT130" s="1088"/>
      <c r="BU130" s="885"/>
      <c r="BV130" s="885"/>
      <c r="BW130" s="1005"/>
      <c r="BX130" s="885"/>
      <c r="BY130" s="879"/>
      <c r="BZ130" s="2"/>
      <c r="CA130" s="885"/>
      <c r="CB130" s="885"/>
      <c r="CC130" s="2"/>
      <c r="CD130" s="504">
        <f>IFERROR(AVERAGEIF($V$7:AB$7,"&lt;="&amp;$I$7,V130:AB130),0)</f>
        <v>14.533333333333333</v>
      </c>
      <c r="CE130" s="2"/>
      <c r="CH130" s="93" t="str">
        <f t="shared" si="192"/>
        <v xml:space="preserve">Aterro do viaduto </v>
      </c>
    </row>
    <row r="131" spans="1:86" ht="17.25" hidden="1" customHeight="1" outlineLevel="2">
      <c r="A131" s="74"/>
      <c r="B131" s="1085" t="s">
        <v>3918</v>
      </c>
      <c r="C131" s="1014" t="s">
        <v>36</v>
      </c>
      <c r="D131" s="2"/>
      <c r="E131" s="1004">
        <v>3018.0387218045116</v>
      </c>
      <c r="F131" s="2"/>
      <c r="G131" s="49" t="s">
        <v>37</v>
      </c>
      <c r="H131" s="705">
        <f t="shared" si="314"/>
        <v>0</v>
      </c>
      <c r="I131" s="878">
        <f t="shared" ref="I131" si="361">IF(H131=0,IF(H132&gt;0,1,"-"),IFERROR(H132/H131,"-"))</f>
        <v>1</v>
      </c>
      <c r="J131" s="2"/>
      <c r="K131" s="705"/>
      <c r="L131" s="705"/>
      <c r="M131" s="705"/>
      <c r="N131" s="705"/>
      <c r="O131" s="705"/>
      <c r="P131" s="705"/>
      <c r="Q131" s="705"/>
      <c r="R131" s="2"/>
      <c r="S131" s="705">
        <f ca="1">SUMIF($K$7:Q$7,"&lt;="&amp;$I$7,K131:P131)</f>
        <v>0</v>
      </c>
      <c r="T131" s="878" t="str">
        <f t="shared" ref="T131" ca="1" si="362">IFERROR((S132/S131),"-")</f>
        <v>-</v>
      </c>
      <c r="U131" s="2"/>
      <c r="V131" s="705"/>
      <c r="W131" s="705"/>
      <c r="X131" s="705"/>
      <c r="Y131" s="705"/>
      <c r="Z131" s="705"/>
      <c r="AA131" s="705"/>
      <c r="AB131" s="705"/>
      <c r="AC131" s="2"/>
      <c r="AD131" s="705">
        <f ca="1">SUMIF($V$7:AB$7,"&lt;="&amp;$I$7,V131:AA131)</f>
        <v>0</v>
      </c>
      <c r="AE131" s="878" t="str">
        <f t="shared" ref="AE131" ca="1" si="363">IFERROR((AD132/AD131),"-")</f>
        <v>-</v>
      </c>
      <c r="AF131" s="2"/>
      <c r="AG131" s="705"/>
      <c r="AH131" s="705"/>
      <c r="AI131" s="705"/>
      <c r="AJ131" s="705"/>
      <c r="AK131" s="705"/>
      <c r="AL131" s="705"/>
      <c r="AM131" s="705"/>
      <c r="AN131" s="2"/>
      <c r="AO131" s="705">
        <f ca="1">SUMIF($AG$7:AM$7,"&lt;="&amp;$I$7,AG131:AL131)</f>
        <v>0</v>
      </c>
      <c r="AP131" s="878" t="str">
        <f t="shared" ref="AP131" ca="1" si="364">IFERROR((AO132/AO131),"-")</f>
        <v>-</v>
      </c>
      <c r="AQ131" s="2"/>
      <c r="AR131" s="705"/>
      <c r="AS131" s="705"/>
      <c r="AT131" s="705"/>
      <c r="AU131" s="705"/>
      <c r="AV131" s="705"/>
      <c r="AW131" s="705"/>
      <c r="AX131" s="705"/>
      <c r="AY131" s="2"/>
      <c r="AZ131" s="705">
        <f ca="1">SUMIF($AR$7:AX$7,"&lt;="&amp;$I$7,AR131:AW131)</f>
        <v>0</v>
      </c>
      <c r="BA131" s="878" t="str">
        <f t="shared" ref="BA131" ca="1" si="365">IFERROR((AZ132/AZ131),"-")</f>
        <v>-</v>
      </c>
      <c r="BB131" s="2"/>
      <c r="BC131" s="705"/>
      <c r="BD131" s="705"/>
      <c r="BE131" s="705"/>
      <c r="BF131" s="705"/>
      <c r="BG131" s="705"/>
      <c r="BH131" s="705"/>
      <c r="BI131" s="705"/>
      <c r="BJ131" s="2"/>
      <c r="BK131" s="705">
        <f ca="1">SUMIF($BC$7:BI$7,"&lt;="&amp;$I$7,BC131:BH131)</f>
        <v>0</v>
      </c>
      <c r="BL131" s="878" t="str">
        <f t="shared" ref="BL131" ca="1" si="366">IFERROR((BK132/BK131),"-")</f>
        <v>-</v>
      </c>
      <c r="BM131" s="2"/>
      <c r="BN131" s="921">
        <v>0</v>
      </c>
      <c r="BO131" s="884">
        <v>0</v>
      </c>
      <c r="BP131" s="884">
        <f>SUM(M132:P132,V132:AB132,AG132:AM132,AR132:AX132,BC132:BI132)</f>
        <v>3646.2360902255637</v>
      </c>
      <c r="BQ131" s="878">
        <f t="shared" ref="BQ131" si="367">IF(AND(BO131=0,BP131=0),"-",IF(BO131=0,1,BP131/BO131))</f>
        <v>1</v>
      </c>
      <c r="BR131" s="2"/>
      <c r="BS131" s="1087"/>
      <c r="BT131" s="1087"/>
      <c r="BU131" s="884">
        <f ca="1">E131+S132+AD132+AO132+AZ132+BI132</f>
        <v>6806.0048120300762</v>
      </c>
      <c r="BV131" s="884">
        <v>106</v>
      </c>
      <c r="BW131" s="1004">
        <f ca="1">IFERROR((BU131/BV131),"-")</f>
        <v>64.20759256632148</v>
      </c>
      <c r="BX131" s="884">
        <v>0</v>
      </c>
      <c r="BY131" s="878" t="str">
        <f ca="1">IFERROR((BU131/BX131),"-")</f>
        <v>-</v>
      </c>
      <c r="BZ131" s="2"/>
      <c r="CA131" s="884">
        <v>0</v>
      </c>
      <c r="CB131" s="884">
        <v>0</v>
      </c>
      <c r="CC131" s="2"/>
      <c r="CD131" s="504">
        <f>IFERROR(AVERAGEIF($V$7:AB$7,"&lt;="&amp;$I$7,V131:AB131),0)</f>
        <v>0</v>
      </c>
      <c r="CE131" s="2"/>
      <c r="CH131" s="93" t="str">
        <f t="shared" si="192"/>
        <v>Reaterro de Bueiros e PiFA's</v>
      </c>
    </row>
    <row r="132" spans="1:86" ht="15.95" hidden="1" customHeight="1" outlineLevel="2">
      <c r="A132" s="74"/>
      <c r="B132" s="1086"/>
      <c r="C132" s="1034"/>
      <c r="D132" s="2"/>
      <c r="E132" s="1024"/>
      <c r="F132" s="2"/>
      <c r="G132" s="50" t="s">
        <v>38</v>
      </c>
      <c r="H132" s="705">
        <f t="shared" si="314"/>
        <v>479.7</v>
      </c>
      <c r="I132" s="879"/>
      <c r="J132" s="2"/>
      <c r="K132" s="76">
        <v>65.41</v>
      </c>
      <c r="L132" s="76">
        <v>76.319999999999993</v>
      </c>
      <c r="M132" s="76">
        <v>43.61</v>
      </c>
      <c r="N132" s="76">
        <v>98.12</v>
      </c>
      <c r="O132" s="76">
        <v>174.4360902255639</v>
      </c>
      <c r="P132" s="76">
        <v>537.59</v>
      </c>
      <c r="Q132" s="706"/>
      <c r="R132" s="2"/>
      <c r="S132" s="705">
        <f ca="1">SUMIF($K$7:Q$7,"&lt;="&amp;$I$7,K132:P132)</f>
        <v>995.48609022556388</v>
      </c>
      <c r="T132" s="879"/>
      <c r="U132" s="2"/>
      <c r="V132" s="76">
        <v>603.01</v>
      </c>
      <c r="W132" s="76">
        <v>532.33000000000004</v>
      </c>
      <c r="X132" s="76">
        <v>92.48</v>
      </c>
      <c r="Y132" s="76">
        <v>320.68</v>
      </c>
      <c r="Z132" s="76">
        <v>271.8</v>
      </c>
      <c r="AA132" s="76">
        <v>283.08</v>
      </c>
      <c r="AB132" s="706"/>
      <c r="AC132" s="2"/>
      <c r="AD132" s="705">
        <f ca="1">SUMIF($V$7:AB$7,"&lt;="&amp;$I$7,V132:AA132)</f>
        <v>2103.38</v>
      </c>
      <c r="AE132" s="879"/>
      <c r="AF132" s="2"/>
      <c r="AG132" s="76">
        <v>209.4</v>
      </c>
      <c r="AH132" s="76">
        <v>479.7</v>
      </c>
      <c r="AI132" s="76"/>
      <c r="AJ132" s="76"/>
      <c r="AK132" s="76"/>
      <c r="AL132" s="76"/>
      <c r="AM132" s="706"/>
      <c r="AN132" s="2"/>
      <c r="AO132" s="705">
        <f ca="1">SUMIF($AG$7:AM$7,"&lt;="&amp;$I$7,AG132:AL132)</f>
        <v>689.1</v>
      </c>
      <c r="AP132" s="879"/>
      <c r="AQ132" s="2"/>
      <c r="AR132" s="76"/>
      <c r="AS132" s="76"/>
      <c r="AT132" s="76"/>
      <c r="AU132" s="76"/>
      <c r="AV132" s="76"/>
      <c r="AW132" s="76"/>
      <c r="AX132" s="706"/>
      <c r="AY132" s="2"/>
      <c r="AZ132" s="705">
        <f ca="1">SUMIF($AR$7:AX$7,"&lt;="&amp;$I$7,AR132:AW132)</f>
        <v>0</v>
      </c>
      <c r="BA132" s="879"/>
      <c r="BB132" s="2"/>
      <c r="BC132" s="76"/>
      <c r="BD132" s="76"/>
      <c r="BE132" s="76"/>
      <c r="BF132" s="76"/>
      <c r="BG132" s="76"/>
      <c r="BH132" s="76"/>
      <c r="BI132" s="706"/>
      <c r="BJ132" s="2"/>
      <c r="BK132" s="705">
        <f ca="1">SUMIF($BC$7:BI$7,"&lt;="&amp;$I$7,BC132:BH132)</f>
        <v>0</v>
      </c>
      <c r="BL132" s="879"/>
      <c r="BM132" s="2"/>
      <c r="BN132" s="922"/>
      <c r="BO132" s="885"/>
      <c r="BP132" s="885"/>
      <c r="BQ132" s="879"/>
      <c r="BR132" s="2"/>
      <c r="BS132" s="1088"/>
      <c r="BT132" s="1088"/>
      <c r="BU132" s="885"/>
      <c r="BV132" s="885"/>
      <c r="BW132" s="1005"/>
      <c r="BX132" s="885"/>
      <c r="BY132" s="879"/>
      <c r="BZ132" s="2"/>
      <c r="CA132" s="885"/>
      <c r="CB132" s="885"/>
      <c r="CC132" s="2"/>
      <c r="CD132" s="504">
        <f>IFERROR(AVERAGEIF($V$7:AB$7,"&lt;="&amp;$I$7,V132:AB132),0)</f>
        <v>350.56333333333333</v>
      </c>
      <c r="CE132" s="2"/>
      <c r="CH132" s="93" t="str">
        <f t="shared" si="192"/>
        <v>Reaterro de Bueiros e PiFA's</v>
      </c>
    </row>
    <row r="133" spans="1:86" s="44" customFormat="1" ht="11.85" customHeight="1" collapsed="1">
      <c r="A133" s="346"/>
      <c r="B133" s="92"/>
      <c r="C133" s="59"/>
      <c r="D133" s="92"/>
      <c r="E133" s="59"/>
      <c r="F133" s="92"/>
      <c r="G133" s="59"/>
      <c r="H133" s="57"/>
      <c r="I133" s="59"/>
      <c r="J133" s="92"/>
      <c r="K133" s="216"/>
      <c r="L133" s="216"/>
      <c r="M133" s="216"/>
      <c r="N133" s="216"/>
      <c r="O133" s="216"/>
      <c r="P133" s="216"/>
      <c r="Q133" s="216"/>
      <c r="R133" s="92"/>
      <c r="S133" s="216"/>
      <c r="T133" s="92"/>
      <c r="U133" s="92"/>
      <c r="V133" s="216"/>
      <c r="W133" s="216"/>
      <c r="X133" s="216"/>
      <c r="Y133" s="216"/>
      <c r="Z133" s="216"/>
      <c r="AA133" s="216"/>
      <c r="AB133" s="216"/>
      <c r="AC133" s="92"/>
      <c r="AD133" s="216"/>
      <c r="AE133" s="92"/>
      <c r="AF133" s="92"/>
      <c r="AG133" s="216"/>
      <c r="AH133" s="216"/>
      <c r="AI133" s="216"/>
      <c r="AJ133" s="216"/>
      <c r="AK133" s="216"/>
      <c r="AL133" s="216"/>
      <c r="AM133" s="216"/>
      <c r="AN133" s="92"/>
      <c r="AO133" s="216"/>
      <c r="AP133" s="92"/>
      <c r="AQ133" s="92"/>
      <c r="AR133" s="216"/>
      <c r="AS133" s="216"/>
      <c r="AT133" s="216"/>
      <c r="AU133" s="216"/>
      <c r="AV133" s="216"/>
      <c r="AW133" s="216"/>
      <c r="AX133" s="216"/>
      <c r="AY133" s="92"/>
      <c r="AZ133" s="216"/>
      <c r="BA133" s="92"/>
      <c r="BB133" s="92"/>
      <c r="BC133" s="216"/>
      <c r="BD133" s="216"/>
      <c r="BE133" s="216"/>
      <c r="BF133" s="216"/>
      <c r="BG133" s="216"/>
      <c r="BH133" s="216"/>
      <c r="BI133" s="216"/>
      <c r="BJ133" s="92"/>
      <c r="BK133" s="216"/>
      <c r="BL133" s="92"/>
      <c r="BM133" s="92"/>
      <c r="BN133" s="36"/>
      <c r="BO133" s="36"/>
      <c r="BP133" s="36"/>
      <c r="BQ133" s="92"/>
      <c r="BR133" s="92"/>
      <c r="BS133" s="36"/>
      <c r="BT133" s="36"/>
      <c r="BU133" s="36"/>
      <c r="BV133" s="36"/>
      <c r="BW133" s="36"/>
      <c r="BX133" s="36"/>
      <c r="BY133" s="92"/>
      <c r="BZ133" s="92"/>
      <c r="CA133" s="36"/>
      <c r="CB133" s="36"/>
      <c r="CC133" s="92"/>
      <c r="CD133" s="348"/>
      <c r="CE133" s="92"/>
      <c r="CH133" s="93" t="str">
        <f t="shared" si="192"/>
        <v>Reaterro de Bueiros e PiFA's</v>
      </c>
    </row>
    <row r="134" spans="1:86" s="44" customFormat="1" ht="17.649999999999999" customHeight="1">
      <c r="A134" s="70"/>
      <c r="B134" s="1066" t="s">
        <v>3919</v>
      </c>
      <c r="C134" s="1023" t="s">
        <v>52</v>
      </c>
      <c r="D134" s="40"/>
      <c r="E134" s="1004">
        <v>47688</v>
      </c>
      <c r="F134" s="40"/>
      <c r="G134" s="41" t="s">
        <v>37</v>
      </c>
      <c r="H134" s="43">
        <f>SUMIF($K$7:$BI$7,$I$7,K134:BI134)</f>
        <v>0</v>
      </c>
      <c r="I134" s="878">
        <f>IF(H134=0,IF(H135&gt;0,1,"-"),IFERROR(H135/H134,"-"))</f>
        <v>1</v>
      </c>
      <c r="J134" s="40"/>
      <c r="K134" s="43"/>
      <c r="L134" s="43"/>
      <c r="M134" s="43"/>
      <c r="N134" s="43"/>
      <c r="O134" s="43"/>
      <c r="P134" s="43"/>
      <c r="Q134" s="43"/>
      <c r="R134" s="40"/>
      <c r="S134" s="43">
        <f ca="1">SUMIF($K$7:Q$7,"&lt;="&amp;$I$7,K134:P134)</f>
        <v>0</v>
      </c>
      <c r="T134" s="878">
        <f ca="1">IF(S134=0,IF(S135&gt;0,1,"-"),IFERROR(S135/S134,"-"))</f>
        <v>1</v>
      </c>
      <c r="U134" s="40"/>
      <c r="V134" s="43"/>
      <c r="W134" s="43"/>
      <c r="X134" s="43"/>
      <c r="Y134" s="43"/>
      <c r="Z134" s="43"/>
      <c r="AA134" s="43"/>
      <c r="AB134" s="43"/>
      <c r="AC134" s="40"/>
      <c r="AD134" s="43">
        <f ca="1">SUMIF($V$7:AB$7,"&lt;="&amp;$I$7,V134:AA134)</f>
        <v>0</v>
      </c>
      <c r="AE134" s="762" t="str">
        <f t="shared" ref="AE134" ca="1" si="368">IFERROR((AD135/AD134),"-")</f>
        <v>-</v>
      </c>
      <c r="AF134" s="40"/>
      <c r="AG134" s="43"/>
      <c r="AH134" s="43"/>
      <c r="AI134" s="43"/>
      <c r="AJ134" s="43"/>
      <c r="AK134" s="43"/>
      <c r="AL134" s="43"/>
      <c r="AM134" s="43">
        <f t="shared" ref="AM134:AM135" si="369">AM66+AM108</f>
        <v>0</v>
      </c>
      <c r="AN134" s="40"/>
      <c r="AO134" s="43">
        <f ca="1">SUMIF($AG$7:AM$7,"&lt;="&amp;$I$7,AG134:AL134)</f>
        <v>0</v>
      </c>
      <c r="AP134" s="762" t="str">
        <f t="shared" ref="AP134" ca="1" si="370">IFERROR((AO135/AO134),"-")</f>
        <v>-</v>
      </c>
      <c r="AQ134" s="40"/>
      <c r="AR134" s="43"/>
      <c r="AS134" s="43"/>
      <c r="AT134" s="43"/>
      <c r="AU134" s="43"/>
      <c r="AV134" s="43"/>
      <c r="AW134" s="43"/>
      <c r="AX134" s="43">
        <f>AX138+AX191</f>
        <v>0</v>
      </c>
      <c r="AY134" s="40"/>
      <c r="AZ134" s="43">
        <f ca="1">SUMIF($AR$7:AX$7,"&lt;="&amp;$I$7,AR134:AW134)</f>
        <v>0</v>
      </c>
      <c r="BA134" s="762" t="str">
        <f t="shared" ref="BA134" ca="1" si="371">IFERROR((AZ135/AZ134),"-")</f>
        <v>-</v>
      </c>
      <c r="BB134" s="40"/>
      <c r="BC134" s="43"/>
      <c r="BD134" s="43"/>
      <c r="BE134" s="43"/>
      <c r="BF134" s="43"/>
      <c r="BG134" s="43"/>
      <c r="BH134" s="43"/>
      <c r="BI134" s="43">
        <f>BI138+BI191</f>
        <v>0</v>
      </c>
      <c r="BJ134" s="40"/>
      <c r="BK134" s="43">
        <f ca="1">SUMIF($BC$7:BI$7,"&lt;="&amp;$I$7,BC134:BH134)</f>
        <v>0</v>
      </c>
      <c r="BL134" s="762" t="str">
        <f t="shared" ref="BL134" ca="1" si="372">IFERROR((BK135/BK134),"-")</f>
        <v>-</v>
      </c>
      <c r="BM134" s="40"/>
      <c r="BN134" s="910">
        <v>2496.6</v>
      </c>
      <c r="BO134" s="910">
        <v>2496.6000000000004</v>
      </c>
      <c r="BP134" s="910">
        <f>SUM(M135:Q135,V135:AB135,AG135:AM135,AR135:AX135,BC135:BI135)</f>
        <v>2093.2341353383463</v>
      </c>
      <c r="BQ134" s="878">
        <f>IF(BO134=0,IF(BP134&gt;0,1,"-"),IFERROR(BP134/BO134,"-"))</f>
        <v>0.83843392427234875</v>
      </c>
      <c r="BR134" s="40"/>
      <c r="BS134" s="909">
        <f>BS138+BS191</f>
        <v>0</v>
      </c>
      <c r="BT134" s="909"/>
      <c r="BU134" s="910">
        <f ca="1">E134+S135+AD135+AO135+AZ135+BK135</f>
        <v>49781.234135338345</v>
      </c>
      <c r="BV134" s="910">
        <v>370</v>
      </c>
      <c r="BW134" s="1079">
        <f ca="1">IFERROR((BU134/BV134),"-")</f>
        <v>134.54387604145498</v>
      </c>
      <c r="BX134" s="910">
        <v>45556.6</v>
      </c>
      <c r="BY134" s="1080">
        <f ca="1">IFERROR((BU134/BX134),"-")</f>
        <v>1.0927337451727817</v>
      </c>
      <c r="BZ134" s="40"/>
      <c r="CA134" s="910">
        <v>108808.56</v>
      </c>
      <c r="CB134" s="909">
        <f ca="1">CA134-BU134</f>
        <v>59027.325864661652</v>
      </c>
      <c r="CC134" s="40"/>
      <c r="CD134" s="43">
        <f>IFERROR(AVERAGEIF($V$7:AB$7,"&lt;="&amp;$I$7,V134:AB134),0)</f>
        <v>0</v>
      </c>
      <c r="CE134" s="40"/>
      <c r="CH134" s="93" t="str">
        <f t="shared" si="192"/>
        <v>ATERRO E COMPACTAÇÃO- SUBLASTRO</v>
      </c>
    </row>
    <row r="135" spans="1:86" ht="17.649999999999999" customHeight="1">
      <c r="A135" s="70"/>
      <c r="B135" s="1066"/>
      <c r="C135" s="761"/>
      <c r="D135" s="40"/>
      <c r="E135" s="1024"/>
      <c r="F135" s="40"/>
      <c r="G135" s="45" t="s">
        <v>38</v>
      </c>
      <c r="H135" s="43">
        <f>SUMIF($K$7:$BI$7,$I$7,K135:BI135)</f>
        <v>359.77</v>
      </c>
      <c r="I135" s="879"/>
      <c r="J135" s="40"/>
      <c r="K135" s="72"/>
      <c r="L135" s="72"/>
      <c r="M135" s="72"/>
      <c r="N135" s="72">
        <v>610.53</v>
      </c>
      <c r="O135" s="72">
        <v>261.65413533834584</v>
      </c>
      <c r="P135" s="72">
        <v>196.24</v>
      </c>
      <c r="Q135" s="43"/>
      <c r="R135" s="40"/>
      <c r="S135" s="43">
        <f ca="1">SUMIF($K$7:Q$7,"&lt;="&amp;$I$7,K135:P135)</f>
        <v>1068.4241353383459</v>
      </c>
      <c r="T135" s="879"/>
      <c r="U135" s="40"/>
      <c r="V135" s="72">
        <v>337.97</v>
      </c>
      <c r="W135" s="72">
        <v>10.9</v>
      </c>
      <c r="X135" s="72">
        <v>228.95</v>
      </c>
      <c r="Y135" s="72">
        <v>87.22</v>
      </c>
      <c r="Z135" s="72"/>
      <c r="AA135" s="72"/>
      <c r="AB135" s="43"/>
      <c r="AC135" s="40"/>
      <c r="AD135" s="140">
        <f ca="1">SUMIF($V$7:AB$7,"&lt;="&amp;$I$7,V135:AA135)</f>
        <v>665.04</v>
      </c>
      <c r="AE135" s="763"/>
      <c r="AF135" s="40"/>
      <c r="AG135" s="72"/>
      <c r="AH135" s="72">
        <v>359.77</v>
      </c>
      <c r="AI135" s="72"/>
      <c r="AJ135" s="72"/>
      <c r="AK135" s="72"/>
      <c r="AL135" s="72"/>
      <c r="AM135" s="72">
        <f t="shared" si="369"/>
        <v>0</v>
      </c>
      <c r="AN135" s="40"/>
      <c r="AO135" s="43">
        <f ca="1">SUMIF($AG$7:AM$7,"&lt;="&amp;$I$7,AG135:AL135)</f>
        <v>359.77</v>
      </c>
      <c r="AP135" s="763"/>
      <c r="AQ135" s="40"/>
      <c r="AR135" s="72"/>
      <c r="AS135" s="72"/>
      <c r="AT135" s="72"/>
      <c r="AU135" s="72"/>
      <c r="AV135" s="72"/>
      <c r="AW135" s="72"/>
      <c r="AX135" s="43">
        <f>AX192+AX241</f>
        <v>0</v>
      </c>
      <c r="AY135" s="40"/>
      <c r="AZ135" s="43">
        <f ca="1">SUMIF($AR$7:AX$7,"&lt;="&amp;$I$7,AR135:AW135)</f>
        <v>0</v>
      </c>
      <c r="BA135" s="763"/>
      <c r="BB135" s="40"/>
      <c r="BC135" s="72"/>
      <c r="BD135" s="72"/>
      <c r="BE135" s="72"/>
      <c r="BF135" s="72"/>
      <c r="BG135" s="72"/>
      <c r="BH135" s="72"/>
      <c r="BI135" s="43">
        <f>BI192+BI241</f>
        <v>0</v>
      </c>
      <c r="BJ135" s="40"/>
      <c r="BK135" s="43">
        <f ca="1">SUMIF($BC$7:BI$7,"&lt;="&amp;$I$7,BC135:BH135)</f>
        <v>0</v>
      </c>
      <c r="BL135" s="763"/>
      <c r="BM135" s="40"/>
      <c r="BN135" s="910"/>
      <c r="BO135" s="910"/>
      <c r="BP135" s="910"/>
      <c r="BQ135" s="879"/>
      <c r="BR135" s="40"/>
      <c r="BS135" s="910"/>
      <c r="BT135" s="910"/>
      <c r="BU135" s="910"/>
      <c r="BV135" s="910"/>
      <c r="BW135" s="1079"/>
      <c r="BX135" s="910"/>
      <c r="BY135" s="1080"/>
      <c r="BZ135" s="40"/>
      <c r="CA135" s="910">
        <v>108808.56</v>
      </c>
      <c r="CB135" s="910"/>
      <c r="CC135" s="40"/>
      <c r="CD135" s="43">
        <f>IFERROR(AVERAGEIF($V$7:AB$7,"&lt;="&amp;$I$7,V135:AB135),0)</f>
        <v>166.26</v>
      </c>
      <c r="CE135" s="40"/>
      <c r="CH135" s="93" t="str">
        <f t="shared" si="192"/>
        <v>ATERRO E COMPACTAÇÃO- SUBLASTRO</v>
      </c>
    </row>
    <row r="136" spans="1:86" ht="9" customHeight="1">
      <c r="A136" s="346"/>
      <c r="B136" s="92"/>
      <c r="C136" s="59"/>
      <c r="D136" s="92"/>
      <c r="E136" s="59"/>
      <c r="F136" s="92"/>
      <c r="G136" s="59"/>
      <c r="H136" s="57"/>
      <c r="I136" s="59"/>
      <c r="J136" s="92"/>
      <c r="K136" s="216"/>
      <c r="L136" s="216"/>
      <c r="M136" s="216"/>
      <c r="N136" s="216"/>
      <c r="O136" s="216"/>
      <c r="P136" s="216"/>
      <c r="Q136" s="216"/>
      <c r="R136" s="92"/>
      <c r="S136" s="216"/>
      <c r="T136" s="92"/>
      <c r="U136" s="92"/>
      <c r="V136" s="216"/>
      <c r="W136" s="216"/>
      <c r="X136" s="216"/>
      <c r="Y136" s="216"/>
      <c r="Z136" s="216"/>
      <c r="AA136" s="216"/>
      <c r="AB136" s="216"/>
      <c r="AC136" s="92"/>
      <c r="AD136" s="216"/>
      <c r="AE136" s="92"/>
      <c r="AF136" s="92"/>
      <c r="AG136" s="216"/>
      <c r="AH136" s="216"/>
      <c r="AI136" s="216"/>
      <c r="AJ136" s="216"/>
      <c r="AK136" s="216"/>
      <c r="AL136" s="216"/>
      <c r="AM136" s="216"/>
      <c r="AN136" s="92"/>
      <c r="AO136" s="216"/>
      <c r="AP136" s="92"/>
      <c r="AQ136" s="92"/>
      <c r="AR136" s="216"/>
      <c r="AS136" s="216"/>
      <c r="AT136" s="216"/>
      <c r="AU136" s="216"/>
      <c r="AV136" s="216"/>
      <c r="AW136" s="216"/>
      <c r="AX136" s="216"/>
      <c r="AY136" s="92"/>
      <c r="AZ136" s="216"/>
      <c r="BA136" s="92"/>
      <c r="BB136" s="92"/>
      <c r="BC136" s="216"/>
      <c r="BD136" s="216"/>
      <c r="BE136" s="216"/>
      <c r="BF136" s="216"/>
      <c r="BG136" s="216"/>
      <c r="BH136" s="216"/>
      <c r="BI136" s="216"/>
      <c r="BJ136" s="92"/>
      <c r="BK136" s="216"/>
      <c r="BL136" s="92"/>
      <c r="BM136" s="92"/>
      <c r="BN136" s="36"/>
      <c r="BO136" s="36"/>
      <c r="BP136" s="36"/>
      <c r="BQ136" s="92"/>
      <c r="BR136" s="92"/>
      <c r="BS136" s="36"/>
      <c r="BT136" s="36"/>
      <c r="BU136" s="36"/>
      <c r="BV136" s="36"/>
      <c r="BW136" s="36"/>
      <c r="BX136" s="36"/>
      <c r="BY136" s="92"/>
      <c r="BZ136" s="92"/>
      <c r="CA136" s="36"/>
      <c r="CB136" s="36"/>
      <c r="CC136" s="92"/>
      <c r="CD136" s="348"/>
      <c r="CE136" s="92"/>
      <c r="CH136" s="93" t="str">
        <f t="shared" si="192"/>
        <v>ATERRO E COMPACTAÇÃO- SUBLASTRO</v>
      </c>
    </row>
    <row r="137" spans="1:86" s="44" customFormat="1" ht="23.25" customHeight="1">
      <c r="A137" s="70" t="s">
        <v>3920</v>
      </c>
      <c r="B137" s="1066" t="s">
        <v>3921</v>
      </c>
      <c r="C137" s="1023" t="s">
        <v>1437</v>
      </c>
      <c r="D137" s="40"/>
      <c r="E137" s="1004">
        <v>66</v>
      </c>
      <c r="F137" s="40"/>
      <c r="G137" s="41" t="s">
        <v>37</v>
      </c>
      <c r="H137" s="43">
        <f>SUMIF($K$7:$BI$7,$I$7,K137:BI137)</f>
        <v>0</v>
      </c>
      <c r="I137" s="878" t="str">
        <f>IF(H137=0,IF(H138&gt;0,1,"-"),IFERROR(H138/H137,"-"))</f>
        <v>-</v>
      </c>
      <c r="J137" s="40"/>
      <c r="K137" s="43" t="str">
        <f t="shared" ref="K137:P138" si="373">IF(
   OR(ISNUMBER(K140),ISNUMBER(K180)),
   SUM(IF(ISNUMBER(K140),K140,0),IF(ISNUMBER(K180),K180,0)),
   IF(
      OR(K140="X",K180="X"),
      "X",
      ""
   )
)</f>
        <v/>
      </c>
      <c r="L137" s="43" t="str">
        <f t="shared" si="373"/>
        <v/>
      </c>
      <c r="M137" s="43" t="str">
        <f t="shared" si="373"/>
        <v/>
      </c>
      <c r="N137" s="43" t="str">
        <f t="shared" si="373"/>
        <v/>
      </c>
      <c r="O137" s="43" t="str">
        <f t="shared" si="373"/>
        <v/>
      </c>
      <c r="P137" s="43" t="str">
        <f t="shared" si="373"/>
        <v>X</v>
      </c>
      <c r="Q137" s="43">
        <f t="shared" ref="Q137" si="374">Q140+Q180</f>
        <v>0</v>
      </c>
      <c r="R137" s="40"/>
      <c r="S137" s="43">
        <f ca="1">SUMIF($K$7:Q$7,"&lt;="&amp;$I$7,K137:P137)</f>
        <v>0</v>
      </c>
      <c r="T137" s="878" t="str">
        <f ca="1">IF(S137=0,IF(S138&gt;0,1,"-"),IFERROR(S138/S137,"-"))</f>
        <v>-</v>
      </c>
      <c r="U137" s="40"/>
      <c r="V137" s="43" t="str">
        <f t="shared" ref="V137:AA138" si="375">IF(
   OR(ISNUMBER(V140),ISNUMBER(V180)),
   SUM(IF(ISNUMBER(V140),V140,0),IF(ISNUMBER(V180),V180,0)),
   IF(
      OR(V140="X",V180="X"),
      "X",
      ""
   )
)</f>
        <v/>
      </c>
      <c r="W137" s="43" t="str">
        <f t="shared" si="375"/>
        <v/>
      </c>
      <c r="X137" s="43" t="str">
        <f t="shared" si="375"/>
        <v>X</v>
      </c>
      <c r="Y137" s="43" t="str">
        <f t="shared" si="375"/>
        <v>X</v>
      </c>
      <c r="Z137" s="43" t="str">
        <f t="shared" si="375"/>
        <v>X</v>
      </c>
      <c r="AA137" s="43" t="str">
        <f t="shared" si="375"/>
        <v>X</v>
      </c>
      <c r="AB137" s="43"/>
      <c r="AC137" s="40"/>
      <c r="AD137" s="43">
        <f ca="1">SUMIF($V$7:AB$7,"&lt;="&amp;$I$7,V137:AA137)</f>
        <v>0</v>
      </c>
      <c r="AE137" s="762" t="str">
        <f t="shared" ref="AE137" ca="1" si="376">IFERROR((AD138/AD137),"-")</f>
        <v>-</v>
      </c>
      <c r="AF137" s="40"/>
      <c r="AG137" s="43" t="str">
        <f t="shared" ref="AG137:AL138" si="377">IF(
   OR(ISNUMBER(AG140),ISNUMBER(AG180)),
   SUM(IF(ISNUMBER(AG140),AG140,0),IF(ISNUMBER(AG180),AG180,0)),
   IF(
      OR(AG140="X",AG180="X"),
      "X",
      ""
   )
)</f>
        <v>X</v>
      </c>
      <c r="AH137" s="43" t="str">
        <f t="shared" si="377"/>
        <v>X</v>
      </c>
      <c r="AI137" s="43" t="str">
        <f t="shared" si="377"/>
        <v>X</v>
      </c>
      <c r="AJ137" s="43" t="str">
        <f t="shared" si="377"/>
        <v>X</v>
      </c>
      <c r="AK137" s="43" t="str">
        <f t="shared" si="377"/>
        <v>X</v>
      </c>
      <c r="AL137" s="43" t="str">
        <f t="shared" si="377"/>
        <v>X</v>
      </c>
      <c r="AM137" s="43"/>
      <c r="AN137" s="40"/>
      <c r="AO137" s="43">
        <f ca="1">SUMIF($AG$7:AM$7,"&lt;="&amp;$I$7,AG137:AL137)</f>
        <v>0</v>
      </c>
      <c r="AP137" s="762" t="str">
        <f t="shared" ref="AP137" ca="1" si="378">IFERROR((AO138/AO137),"-")</f>
        <v>-</v>
      </c>
      <c r="AQ137" s="40"/>
      <c r="AR137" s="43" t="str">
        <f t="shared" ref="AR137:AW138" si="379">IF(
   OR(ISNUMBER(AR140),ISNUMBER(AR180)),
   SUM(IF(ISNUMBER(AR140),AR140,0),IF(ISNUMBER(AR180),AR180,0)),
   IF(
      OR(AR140="X",AR180="X"),
      "X",
      ""
   )
)</f>
        <v/>
      </c>
      <c r="AS137" s="43" t="str">
        <f t="shared" si="379"/>
        <v/>
      </c>
      <c r="AT137" s="43" t="str">
        <f t="shared" si="379"/>
        <v/>
      </c>
      <c r="AU137" s="43" t="str">
        <f t="shared" si="379"/>
        <v/>
      </c>
      <c r="AV137" s="43" t="str">
        <f t="shared" si="379"/>
        <v/>
      </c>
      <c r="AW137" s="43" t="str">
        <f t="shared" si="379"/>
        <v/>
      </c>
      <c r="AX137" s="43">
        <f t="shared" ref="AX137" si="380">AX140+AX180</f>
        <v>0</v>
      </c>
      <c r="AY137" s="40"/>
      <c r="AZ137" s="43">
        <f ca="1">SUMIF($AR$7:AX$7,"&lt;="&amp;$I$7,AR137:AW137)</f>
        <v>0</v>
      </c>
      <c r="BA137" s="762" t="str">
        <f t="shared" ref="BA137" ca="1" si="381">IFERROR((AZ138/AZ137),"-")</f>
        <v>-</v>
      </c>
      <c r="BB137" s="40"/>
      <c r="BC137" s="43" t="str">
        <f t="shared" ref="BC137:BH138" si="382">IF(
   OR(ISNUMBER(BC140),ISNUMBER(BC180)),
   SUM(IF(ISNUMBER(BC140),BC140,0),IF(ISNUMBER(BC180),BC180,0)),
   IF(
      OR(BC140="X",BC180="X"),
      "X",
      ""
   )
)</f>
        <v/>
      </c>
      <c r="BD137" s="43" t="str">
        <f t="shared" si="382"/>
        <v/>
      </c>
      <c r="BE137" s="43" t="str">
        <f t="shared" si="382"/>
        <v/>
      </c>
      <c r="BF137" s="43" t="str">
        <f t="shared" si="382"/>
        <v/>
      </c>
      <c r="BG137" s="43" t="str">
        <f t="shared" si="382"/>
        <v/>
      </c>
      <c r="BH137" s="43" t="str">
        <f t="shared" si="382"/>
        <v/>
      </c>
      <c r="BI137" s="43">
        <f t="shared" ref="BI137" si="383">BI140+BI180</f>
        <v>0</v>
      </c>
      <c r="BJ137" s="40"/>
      <c r="BK137" s="43">
        <f ca="1">SUMIF($BC$7:BI$7,"&lt;="&amp;$I$7,BC137:BH137)</f>
        <v>0</v>
      </c>
      <c r="BL137" s="762" t="str">
        <f t="shared" ref="BL137" ca="1" si="384">IFERROR((BK138/BK137),"-")</f>
        <v>-</v>
      </c>
      <c r="BM137" s="40"/>
      <c r="BN137" s="910">
        <v>4</v>
      </c>
      <c r="BO137" s="910">
        <v>4</v>
      </c>
      <c r="BP137" s="910">
        <f>SUM(M138:Q138,V138:AB138,AG138:AM138,AR138:AX138,BC138:BI138)</f>
        <v>0</v>
      </c>
      <c r="BQ137" s="878">
        <f>IF(BO137=0,IF(BP137&gt;0,1,"-"),IFERROR(BP137/BO137,"-"))</f>
        <v>0</v>
      </c>
      <c r="BR137" s="40"/>
      <c r="BS137" s="909">
        <f>BS140+BS180</f>
        <v>59</v>
      </c>
      <c r="BT137" s="909"/>
      <c r="BU137" s="909">
        <f ca="1">E137+S138+AD138+AO138+AZ138+BK138</f>
        <v>66</v>
      </c>
      <c r="BV137" s="909">
        <v>370</v>
      </c>
      <c r="BW137" s="1030">
        <f ca="1">IFERROR((BU137/BV137),"-")</f>
        <v>0.17837837837837839</v>
      </c>
      <c r="BX137" s="910">
        <v>72</v>
      </c>
      <c r="BY137" s="1032">
        <f ca="1">IFERROR((BU137/BX137),"-")</f>
        <v>0.91666666666666663</v>
      </c>
      <c r="BZ137" s="40"/>
      <c r="CA137" s="909">
        <v>88</v>
      </c>
      <c r="CB137" s="909">
        <f ca="1">CA137-BU137</f>
        <v>22</v>
      </c>
      <c r="CC137" s="40"/>
      <c r="CD137" s="43">
        <f>IFERROR(AVERAGEIF($V$7:AB$7,"&lt;="&amp;$I$7,V137:AB137),0)</f>
        <v>0</v>
      </c>
      <c r="CE137" s="40"/>
      <c r="CH137" s="93" t="str">
        <f t="shared" ref="CH137:CH200" si="385">IF(B137&lt;&gt;"",B137,CH136)</f>
        <v>OAC - Obra de Arte Corrente</v>
      </c>
    </row>
    <row r="138" spans="1:86" ht="18" customHeight="1">
      <c r="A138" s="70"/>
      <c r="B138" s="1066"/>
      <c r="C138" s="761"/>
      <c r="D138" s="40"/>
      <c r="E138" s="1024"/>
      <c r="F138" s="40"/>
      <c r="G138" s="45" t="s">
        <v>38</v>
      </c>
      <c r="H138" s="43">
        <f>SUMIF($K$7:$BI$7,$I$7,K138:BI138)</f>
        <v>0</v>
      </c>
      <c r="I138" s="879"/>
      <c r="J138" s="40"/>
      <c r="K138" s="72" t="str">
        <f t="shared" si="373"/>
        <v/>
      </c>
      <c r="L138" s="72" t="str">
        <f t="shared" si="373"/>
        <v/>
      </c>
      <c r="M138" s="72" t="str">
        <f t="shared" si="373"/>
        <v/>
      </c>
      <c r="N138" s="72" t="str">
        <f t="shared" si="373"/>
        <v/>
      </c>
      <c r="O138" s="72" t="str">
        <f t="shared" si="373"/>
        <v/>
      </c>
      <c r="P138" s="72" t="str">
        <f t="shared" si="373"/>
        <v/>
      </c>
      <c r="Q138" s="43">
        <f>Q181+Q231</f>
        <v>0</v>
      </c>
      <c r="R138" s="40"/>
      <c r="S138" s="43">
        <f ca="1">SUMIF($K$7:Q$7,"&lt;="&amp;$I$7,K138:P138)</f>
        <v>0</v>
      </c>
      <c r="T138" s="879"/>
      <c r="U138" s="40"/>
      <c r="V138" s="72" t="str">
        <f t="shared" si="375"/>
        <v/>
      </c>
      <c r="W138" s="72" t="str">
        <f t="shared" si="375"/>
        <v/>
      </c>
      <c r="X138" s="72" t="str">
        <f t="shared" si="375"/>
        <v/>
      </c>
      <c r="Y138" s="72" t="str">
        <f t="shared" si="375"/>
        <v/>
      </c>
      <c r="Z138" s="72" t="str">
        <f t="shared" si="375"/>
        <v/>
      </c>
      <c r="AA138" s="72" t="str">
        <f t="shared" si="375"/>
        <v>X</v>
      </c>
      <c r="AB138" s="43">
        <f>AB181+AB231</f>
        <v>0</v>
      </c>
      <c r="AC138" s="40"/>
      <c r="AD138" s="140">
        <f ca="1">SUMIF($V$7:AB$7,"&lt;="&amp;$I$7,V138:AA138)</f>
        <v>0</v>
      </c>
      <c r="AE138" s="763"/>
      <c r="AF138" s="40"/>
      <c r="AG138" s="72" t="str">
        <f t="shared" si="377"/>
        <v>X</v>
      </c>
      <c r="AH138" s="72" t="str">
        <f t="shared" si="377"/>
        <v>X</v>
      </c>
      <c r="AI138" s="72" t="str">
        <f t="shared" si="377"/>
        <v/>
      </c>
      <c r="AJ138" s="72" t="str">
        <f t="shared" si="377"/>
        <v/>
      </c>
      <c r="AK138" s="72" t="str">
        <f t="shared" si="377"/>
        <v/>
      </c>
      <c r="AL138" s="72" t="str">
        <f t="shared" si="377"/>
        <v/>
      </c>
      <c r="AM138" s="43"/>
      <c r="AN138" s="40"/>
      <c r="AO138" s="43">
        <f ca="1">SUMIF($AG$7:AM$7,"&lt;="&amp;$I$7,AG138:AL138)</f>
        <v>0</v>
      </c>
      <c r="AP138" s="763"/>
      <c r="AQ138" s="40"/>
      <c r="AR138" s="72" t="str">
        <f t="shared" si="379"/>
        <v/>
      </c>
      <c r="AS138" s="72" t="str">
        <f t="shared" si="379"/>
        <v/>
      </c>
      <c r="AT138" s="72" t="str">
        <f t="shared" si="379"/>
        <v/>
      </c>
      <c r="AU138" s="72" t="str">
        <f t="shared" si="379"/>
        <v/>
      </c>
      <c r="AV138" s="72" t="str">
        <f t="shared" si="379"/>
        <v/>
      </c>
      <c r="AW138" s="72" t="str">
        <f t="shared" si="379"/>
        <v/>
      </c>
      <c r="AX138" s="43">
        <f>AX181+AX231</f>
        <v>0</v>
      </c>
      <c r="AY138" s="40"/>
      <c r="AZ138" s="43">
        <f ca="1">SUMIF($AR$7:AX$7,"&lt;="&amp;$I$7,AR138:AW138)</f>
        <v>0</v>
      </c>
      <c r="BA138" s="763"/>
      <c r="BB138" s="40"/>
      <c r="BC138" s="72" t="str">
        <f t="shared" si="382"/>
        <v/>
      </c>
      <c r="BD138" s="72" t="str">
        <f t="shared" si="382"/>
        <v/>
      </c>
      <c r="BE138" s="72" t="str">
        <f t="shared" si="382"/>
        <v/>
      </c>
      <c r="BF138" s="72" t="str">
        <f t="shared" si="382"/>
        <v/>
      </c>
      <c r="BG138" s="72" t="str">
        <f t="shared" si="382"/>
        <v/>
      </c>
      <c r="BH138" s="72" t="str">
        <f t="shared" si="382"/>
        <v/>
      </c>
      <c r="BI138" s="43">
        <f>BI181+BI231</f>
        <v>0</v>
      </c>
      <c r="BJ138" s="40"/>
      <c r="BK138" s="43">
        <f ca="1">SUMIF($BC$7:BI$7,"&lt;="&amp;$I$7,BC138:BH138)</f>
        <v>0</v>
      </c>
      <c r="BL138" s="763"/>
      <c r="BM138" s="40"/>
      <c r="BN138" s="910"/>
      <c r="BO138" s="910"/>
      <c r="BP138" s="910"/>
      <c r="BQ138" s="879"/>
      <c r="BR138" s="40"/>
      <c r="BS138" s="910"/>
      <c r="BT138" s="910"/>
      <c r="BU138" s="910"/>
      <c r="BV138" s="910"/>
      <c r="BW138" s="1031"/>
      <c r="BX138" s="910"/>
      <c r="BY138" s="1033"/>
      <c r="BZ138" s="40"/>
      <c r="CA138" s="910"/>
      <c r="CB138" s="910"/>
      <c r="CC138" s="40"/>
      <c r="CD138" s="43">
        <f>IFERROR(AVERAGEIF($V$7:AB$7,"&lt;="&amp;$I$7,V138:AB138),0)</f>
        <v>0</v>
      </c>
      <c r="CE138" s="40"/>
      <c r="CH138" s="93" t="str">
        <f t="shared" si="385"/>
        <v>OAC - Obra de Arte Corrente</v>
      </c>
    </row>
    <row r="139" spans="1:86" s="16" customFormat="1" ht="15" customHeight="1">
      <c r="A139" s="69"/>
      <c r="B139" s="3"/>
      <c r="C139"/>
      <c r="D139" s="3"/>
      <c r="E139"/>
      <c r="F139" s="3"/>
      <c r="G139"/>
      <c r="H139" s="57"/>
      <c r="I139"/>
      <c r="J139" s="3"/>
      <c r="K139" s="37"/>
      <c r="L139" s="37"/>
      <c r="M139" s="37"/>
      <c r="N139" s="37"/>
      <c r="O139" s="37"/>
      <c r="P139" s="37"/>
      <c r="Q139" s="37"/>
      <c r="R139" s="3"/>
      <c r="S139" s="37"/>
      <c r="T139" s="3"/>
      <c r="U139" s="3"/>
      <c r="V139" s="37"/>
      <c r="W139" s="37"/>
      <c r="X139" s="37"/>
      <c r="Y139" s="37"/>
      <c r="Z139" s="37"/>
      <c r="AA139" s="37"/>
      <c r="AB139" s="37"/>
      <c r="AC139" s="3"/>
      <c r="AD139" s="37"/>
      <c r="AE139" s="3"/>
      <c r="AF139" s="3"/>
      <c r="AG139" s="37"/>
      <c r="AH139" s="37"/>
      <c r="AI139" s="37"/>
      <c r="AJ139" s="37"/>
      <c r="AK139" s="37"/>
      <c r="AL139" s="37"/>
      <c r="AM139" s="37"/>
      <c r="AN139" s="3"/>
      <c r="AO139" s="37"/>
      <c r="AP139" s="3"/>
      <c r="AQ139" s="3"/>
      <c r="AR139" s="37"/>
      <c r="AS139" s="37"/>
      <c r="AT139" s="37"/>
      <c r="AU139" s="37"/>
      <c r="AV139" s="37"/>
      <c r="AW139" s="37"/>
      <c r="AX139" s="37"/>
      <c r="AY139" s="3"/>
      <c r="AZ139" s="37"/>
      <c r="BA139" s="3"/>
      <c r="BB139" s="3"/>
      <c r="BC139" s="37"/>
      <c r="BD139" s="37"/>
      <c r="BE139" s="37"/>
      <c r="BF139" s="37"/>
      <c r="BG139" s="37"/>
      <c r="BH139" s="37"/>
      <c r="BI139" s="37"/>
      <c r="BJ139" s="3"/>
      <c r="BK139" s="37"/>
      <c r="BL139" s="3"/>
      <c r="BM139" s="3"/>
      <c r="BN139" s="35"/>
      <c r="BO139" s="36"/>
      <c r="BP139" s="35"/>
      <c r="BQ139" s="3"/>
      <c r="BR139" s="3"/>
      <c r="BS139" s="36"/>
      <c r="BT139" s="36"/>
      <c r="BU139" s="36"/>
      <c r="BV139" s="36"/>
      <c r="BW139" s="36"/>
      <c r="BX139" s="36"/>
      <c r="BY139" s="3"/>
      <c r="BZ139" s="3"/>
      <c r="CA139" s="36"/>
      <c r="CB139" s="36"/>
      <c r="CC139" s="3"/>
      <c r="CD139" s="19"/>
      <c r="CE139" s="3"/>
      <c r="CH139" s="93" t="str">
        <f t="shared" si="385"/>
        <v>OAC - Obra de Arte Corrente</v>
      </c>
    </row>
    <row r="140" spans="1:86" s="16" customFormat="1" ht="14.65" hidden="1" customHeight="1" outlineLevel="1">
      <c r="A140" s="74"/>
      <c r="B140" s="1081" t="s">
        <v>3922</v>
      </c>
      <c r="C140" s="1071" t="s">
        <v>1437</v>
      </c>
      <c r="D140" s="2"/>
      <c r="E140" s="1019">
        <v>38</v>
      </c>
      <c r="F140" s="2"/>
      <c r="G140" s="53" t="s">
        <v>37</v>
      </c>
      <c r="H140" s="52">
        <f t="shared" ref="H140:H177" si="386">SUMIF($K$7:$BI$7,$I$7,K140:BI140)</f>
        <v>0</v>
      </c>
      <c r="I140" s="743" t="str">
        <f>IF(H140=0,IF(H141&gt;0,1,"-"),IFERROR(H141/H140,"-"))</f>
        <v>-</v>
      </c>
      <c r="J140" s="2"/>
      <c r="K140" s="80" t="str">
        <f>K168</f>
        <v/>
      </c>
      <c r="L140" s="80" t="str">
        <f t="shared" ref="L140:Q141" si="387">L168</f>
        <v/>
      </c>
      <c r="M140" s="80" t="str">
        <f t="shared" si="387"/>
        <v/>
      </c>
      <c r="N140" s="80" t="str">
        <f t="shared" si="387"/>
        <v/>
      </c>
      <c r="O140" s="80" t="str">
        <f t="shared" si="387"/>
        <v/>
      </c>
      <c r="P140" s="80" t="str">
        <f t="shared" si="387"/>
        <v/>
      </c>
      <c r="Q140" s="80">
        <f t="shared" si="387"/>
        <v>0</v>
      </c>
      <c r="R140" s="2"/>
      <c r="S140" s="52">
        <f ca="1">SUMIF($K$7:Q$7,"&lt;="&amp;$I$7,K140:P140)</f>
        <v>0</v>
      </c>
      <c r="T140" s="743" t="str">
        <f ca="1">IFERROR((S141/S140),"-")</f>
        <v>-</v>
      </c>
      <c r="U140" s="2"/>
      <c r="V140" s="80" t="str">
        <f>V168</f>
        <v/>
      </c>
      <c r="W140" s="80" t="str">
        <f t="shared" ref="W140:AB141" si="388">W168</f>
        <v/>
      </c>
      <c r="X140" s="80" t="str">
        <f t="shared" si="388"/>
        <v>X</v>
      </c>
      <c r="Y140" s="80" t="str">
        <f t="shared" si="388"/>
        <v>X</v>
      </c>
      <c r="Z140" s="80" t="str">
        <f t="shared" si="388"/>
        <v>X</v>
      </c>
      <c r="AA140" s="80" t="str">
        <f t="shared" si="388"/>
        <v>X</v>
      </c>
      <c r="AB140" s="80">
        <f t="shared" si="388"/>
        <v>0</v>
      </c>
      <c r="AC140" s="2"/>
      <c r="AD140" s="52">
        <f>SUMIF($V$7:AB$7,"&lt;="&amp;$I$7,V140:AB140)</f>
        <v>0</v>
      </c>
      <c r="AE140" s="743" t="str">
        <f>IFERROR((AD141/AD140),"-")</f>
        <v>-</v>
      </c>
      <c r="AF140" s="2"/>
      <c r="AG140" s="80" t="str">
        <f t="shared" ref="AG140:AM141" si="389">AG168</f>
        <v/>
      </c>
      <c r="AH140" s="80" t="str">
        <f t="shared" si="389"/>
        <v/>
      </c>
      <c r="AI140" s="80" t="str">
        <f t="shared" si="389"/>
        <v/>
      </c>
      <c r="AJ140" s="80" t="str">
        <f t="shared" si="389"/>
        <v>X</v>
      </c>
      <c r="AK140" s="80" t="str">
        <f t="shared" si="389"/>
        <v>X</v>
      </c>
      <c r="AL140" s="80" t="str">
        <f t="shared" si="389"/>
        <v>X</v>
      </c>
      <c r="AM140" s="80">
        <f t="shared" si="389"/>
        <v>0</v>
      </c>
      <c r="AN140" s="2"/>
      <c r="AO140" s="52">
        <f ca="1">SUMIF($AG$7:AM$7,"&lt;="&amp;$I$7,AG140:AL140)</f>
        <v>0</v>
      </c>
      <c r="AP140" s="743" t="str">
        <f ca="1">IFERROR((AO141/AO140),"-")</f>
        <v>-</v>
      </c>
      <c r="AQ140" s="2"/>
      <c r="AR140" s="80" t="str">
        <f t="shared" ref="AR140:AW141" si="390">AR168</f>
        <v/>
      </c>
      <c r="AS140" s="80" t="str">
        <f t="shared" si="390"/>
        <v/>
      </c>
      <c r="AT140" s="80" t="str">
        <f t="shared" si="390"/>
        <v/>
      </c>
      <c r="AU140" s="80" t="str">
        <f t="shared" si="390"/>
        <v/>
      </c>
      <c r="AV140" s="80" t="str">
        <f t="shared" si="390"/>
        <v/>
      </c>
      <c r="AW140" s="80" t="str">
        <f t="shared" si="390"/>
        <v/>
      </c>
      <c r="AX140" s="80"/>
      <c r="AY140" s="2"/>
      <c r="AZ140" s="52">
        <f ca="1">SUMIF($AR$7:AX$7,"&lt;="&amp;$I$7,AR140:AW140)</f>
        <v>0</v>
      </c>
      <c r="BA140" s="743" t="str">
        <f ca="1">IFERROR((AZ141/AZ140),"-")</f>
        <v>-</v>
      </c>
      <c r="BB140" s="2"/>
      <c r="BC140" s="80" t="str">
        <f t="shared" ref="BC140:BH141" si="391">BC168</f>
        <v/>
      </c>
      <c r="BD140" s="80" t="str">
        <f t="shared" si="391"/>
        <v/>
      </c>
      <c r="BE140" s="80" t="str">
        <f t="shared" si="391"/>
        <v/>
      </c>
      <c r="BF140" s="80" t="str">
        <f t="shared" si="391"/>
        <v/>
      </c>
      <c r="BG140" s="80" t="str">
        <f t="shared" si="391"/>
        <v/>
      </c>
      <c r="BH140" s="80" t="str">
        <f t="shared" si="391"/>
        <v/>
      </c>
      <c r="BI140" s="80"/>
      <c r="BJ140" s="2"/>
      <c r="BK140" s="52">
        <f ca="1">SUMIF($BC$7:BI$7,"&lt;="&amp;$I$7,BC140:BH140)</f>
        <v>0</v>
      </c>
      <c r="BL140" s="743" t="str">
        <f ca="1">IFERROR((BK141/BK140),"-")</f>
        <v>-</v>
      </c>
      <c r="BM140" s="2"/>
      <c r="BN140" s="888">
        <v>3</v>
      </c>
      <c r="BO140" s="888">
        <v>3</v>
      </c>
      <c r="BP140" s="888">
        <f t="shared" ref="BP140" si="392">BP168</f>
        <v>0</v>
      </c>
      <c r="BQ140" s="743">
        <f>IFERROR((BP140/BO140),"-")</f>
        <v>0</v>
      </c>
      <c r="BR140" s="2"/>
      <c r="BS140" s="888">
        <v>35</v>
      </c>
      <c r="BT140" s="888"/>
      <c r="BU140" s="888">
        <f ca="1">E140+S141+AD141+AO141+AZ141+BK141</f>
        <v>38</v>
      </c>
      <c r="BV140" s="888">
        <v>210</v>
      </c>
      <c r="BW140" s="1019">
        <f ca="1">IFERROR((BU140/BV140),"-")</f>
        <v>0.18095238095238095</v>
      </c>
      <c r="BX140" s="888">
        <v>43</v>
      </c>
      <c r="BY140" s="743">
        <f ca="1">IFERROR((BU140/BX140),"-")</f>
        <v>0.88372093023255816</v>
      </c>
      <c r="BZ140" s="2"/>
      <c r="CA140" s="888">
        <v>55</v>
      </c>
      <c r="CB140" s="888">
        <f ca="1">CA140-BU140</f>
        <v>17</v>
      </c>
      <c r="CC140" s="2"/>
      <c r="CD140" s="84">
        <f>IFERROR(AVERAGEIF($V$7:AB$7,"&lt;="&amp;$I$7,V140:AB140),0)</f>
        <v>0</v>
      </c>
      <c r="CE140" s="2"/>
      <c r="CH140" s="93" t="str">
        <f t="shared" si="385"/>
        <v xml:space="preserve">BUEIROS </v>
      </c>
    </row>
    <row r="141" spans="1:86" s="16" customFormat="1" ht="14.65" hidden="1" customHeight="1" outlineLevel="1">
      <c r="B141" s="1082"/>
      <c r="C141" s="1072"/>
      <c r="D141" s="2"/>
      <c r="E141" s="1060"/>
      <c r="F141" s="2"/>
      <c r="G141" s="54" t="s">
        <v>38</v>
      </c>
      <c r="H141" s="52">
        <f t="shared" si="386"/>
        <v>0</v>
      </c>
      <c r="I141" s="744"/>
      <c r="J141" s="2"/>
      <c r="K141" s="75" t="str">
        <f>K169</f>
        <v/>
      </c>
      <c r="L141" s="75" t="str">
        <f t="shared" si="387"/>
        <v/>
      </c>
      <c r="M141" s="75" t="str">
        <f t="shared" si="387"/>
        <v/>
      </c>
      <c r="N141" s="75" t="str">
        <f t="shared" si="387"/>
        <v/>
      </c>
      <c r="O141" s="75" t="str">
        <f t="shared" si="387"/>
        <v/>
      </c>
      <c r="P141" s="75" t="str">
        <f t="shared" si="387"/>
        <v/>
      </c>
      <c r="Q141" s="52" t="str">
        <f t="shared" si="387"/>
        <v/>
      </c>
      <c r="R141" s="2"/>
      <c r="S141" s="52">
        <f ca="1">SUMIF($K$7:Q$7,"&lt;="&amp;$I$7,K141:P141)</f>
        <v>0</v>
      </c>
      <c r="T141" s="744"/>
      <c r="U141" s="2"/>
      <c r="V141" s="75" t="str">
        <f>V169</f>
        <v/>
      </c>
      <c r="W141" s="75" t="str">
        <f t="shared" si="388"/>
        <v/>
      </c>
      <c r="X141" s="75" t="str">
        <f t="shared" si="388"/>
        <v/>
      </c>
      <c r="Y141" s="75" t="str">
        <f t="shared" si="388"/>
        <v/>
      </c>
      <c r="Z141" s="75" t="str">
        <f t="shared" si="388"/>
        <v/>
      </c>
      <c r="AA141" s="75" t="str">
        <f t="shared" si="388"/>
        <v/>
      </c>
      <c r="AB141" s="52" t="str">
        <f t="shared" si="388"/>
        <v/>
      </c>
      <c r="AC141" s="2"/>
      <c r="AD141" s="52">
        <f>SUMIF($V$7:AB$7,"&lt;="&amp;$I$7,V141:AB141)</f>
        <v>0</v>
      </c>
      <c r="AE141" s="744"/>
      <c r="AF141" s="2"/>
      <c r="AG141" s="75" t="str">
        <f t="shared" si="389"/>
        <v/>
      </c>
      <c r="AH141" s="153" t="str">
        <f t="shared" si="389"/>
        <v/>
      </c>
      <c r="AI141" s="75" t="str">
        <f t="shared" si="389"/>
        <v/>
      </c>
      <c r="AJ141" s="75" t="str">
        <f t="shared" si="389"/>
        <v/>
      </c>
      <c r="AK141" s="75" t="str">
        <f t="shared" si="389"/>
        <v/>
      </c>
      <c r="AL141" s="75" t="str">
        <f t="shared" si="389"/>
        <v/>
      </c>
      <c r="AM141" s="52" t="str">
        <f t="shared" si="389"/>
        <v/>
      </c>
      <c r="AN141" s="2"/>
      <c r="AO141" s="52">
        <f ca="1">SUMIF($AG$7:AM$7,"&lt;="&amp;$I$7,AG141:AL141)</f>
        <v>0</v>
      </c>
      <c r="AP141" s="744"/>
      <c r="AQ141" s="2"/>
      <c r="AR141" s="75" t="str">
        <f t="shared" si="390"/>
        <v/>
      </c>
      <c r="AS141" s="75" t="str">
        <f t="shared" si="390"/>
        <v/>
      </c>
      <c r="AT141" s="75" t="str">
        <f t="shared" si="390"/>
        <v/>
      </c>
      <c r="AU141" s="75" t="str">
        <f t="shared" si="390"/>
        <v/>
      </c>
      <c r="AV141" s="75" t="str">
        <f t="shared" si="390"/>
        <v/>
      </c>
      <c r="AW141" s="75" t="str">
        <f t="shared" si="390"/>
        <v/>
      </c>
      <c r="AX141" s="52"/>
      <c r="AY141" s="2"/>
      <c r="AZ141" s="52">
        <f ca="1">SUMIF($AR$7:AX$7,"&lt;="&amp;$I$7,AR141:AW141)</f>
        <v>0</v>
      </c>
      <c r="BA141" s="744"/>
      <c r="BB141" s="2"/>
      <c r="BC141" s="75" t="str">
        <f t="shared" si="391"/>
        <v/>
      </c>
      <c r="BD141" s="75" t="str">
        <f t="shared" si="391"/>
        <v/>
      </c>
      <c r="BE141" s="75" t="str">
        <f t="shared" si="391"/>
        <v/>
      </c>
      <c r="BF141" s="75" t="str">
        <f t="shared" si="391"/>
        <v/>
      </c>
      <c r="BG141" s="75" t="str">
        <f t="shared" si="391"/>
        <v/>
      </c>
      <c r="BH141" s="75" t="str">
        <f t="shared" si="391"/>
        <v/>
      </c>
      <c r="BI141" s="52"/>
      <c r="BJ141" s="2"/>
      <c r="BK141" s="52">
        <f ca="1">SUMIF($BC$7:BI$7,"&lt;="&amp;$I$7,BC141:BH141)</f>
        <v>0</v>
      </c>
      <c r="BL141" s="744"/>
      <c r="BM141" s="2"/>
      <c r="BN141" s="889"/>
      <c r="BO141" s="889"/>
      <c r="BP141" s="889"/>
      <c r="BQ141" s="744"/>
      <c r="BR141" s="2"/>
      <c r="BS141" s="889"/>
      <c r="BT141" s="889"/>
      <c r="BU141" s="889"/>
      <c r="BV141" s="889"/>
      <c r="BW141" s="1020"/>
      <c r="BX141" s="889"/>
      <c r="BY141" s="744"/>
      <c r="BZ141" s="2"/>
      <c r="CA141" s="889"/>
      <c r="CB141" s="889"/>
      <c r="CC141" s="2"/>
      <c r="CD141" s="84">
        <f>IFERROR(AVERAGEIF($V$7:AB$7,"&lt;="&amp;$I$7,V141:AB141),0)</f>
        <v>0</v>
      </c>
      <c r="CE141" s="2"/>
      <c r="CH141" s="93" t="str">
        <f t="shared" si="385"/>
        <v xml:space="preserve">BUEIROS </v>
      </c>
    </row>
    <row r="142" spans="1:86" s="16" customFormat="1" ht="15.75" hidden="1" customHeight="1" outlineLevel="1">
      <c r="A142" s="74"/>
      <c r="B142" s="1081" t="s">
        <v>3923</v>
      </c>
      <c r="C142" s="1071" t="s">
        <v>1437</v>
      </c>
      <c r="D142" s="2"/>
      <c r="E142" s="1083">
        <v>2</v>
      </c>
      <c r="F142" s="2"/>
      <c r="G142" s="53" t="s">
        <v>37</v>
      </c>
      <c r="H142" s="52">
        <f t="shared" si="386"/>
        <v>0</v>
      </c>
      <c r="I142" s="743" t="str">
        <f t="shared" ref="I142" si="393">IF(H142=0,IF(H143&gt;0,1,"-"),IFERROR(H143/H142,"-"))</f>
        <v>-</v>
      </c>
      <c r="J142" s="2"/>
      <c r="K142" s="80" t="str" cm="1">
        <f t="array" ref="K142">IF(
   SUM(IF($G$144:$G$149="P",IF(ISNUMBER(K144:K149),K144:K149,0)))&gt;0,
   SUM(IF($G$144:$G$149="P",IF(ISNUMBER(K144:K149),K144:K149,0))),
   IF(
      COUNTIFS($G$144:$G$149,"P",K144:K149,"X")&gt;0,
      "X",
      ""
   )
)</f>
        <v>X</v>
      </c>
      <c r="L142" s="80" t="str" cm="1">
        <f t="array" ref="L142">IF(
   SUM(IF($G$144:$G$149="P",IF(ISNUMBER(L144:L149),L144:L149,0)))&gt;0,
   SUM(IF($G$144:$G$149="P",IF(ISNUMBER(L144:L149),L144:L149,0))),
   IF(
      COUNTIFS($G$144:$G$149,"P",L144:L149,"X")&gt;0,
      "X",
      ""
   )
)</f>
        <v>X</v>
      </c>
      <c r="M142" s="80" cm="1">
        <f t="array" ref="M142">IF(
   SUM(IF($G$144:$G$149="P",IF(ISNUMBER(M144:M149),M144:M149,0)))&gt;0,
   SUM(IF($G$144:$G$149="P",IF(ISNUMBER(M144:M149),M144:M149,0))),
   IF(
      COUNTIFS($G$144:$G$149,"P",M144:M149,"X")&gt;0,
      "X",
      ""
   )
)</f>
        <v>1</v>
      </c>
      <c r="N142" s="80" t="str" cm="1">
        <f t="array" ref="N142">IF(
   SUM(IF($G$144:$G$149="P",IF(ISNUMBER(N144:N149),N144:N149,0)))&gt;0,
   SUM(IF($G$144:$G$149="P",IF(ISNUMBER(N144:N149),N144:N149,0))),
   IF(
      COUNTIFS($G$144:$G$149,"P",N144:N149,"X")&gt;0,
      "X",
      ""
   )
)</f>
        <v>X</v>
      </c>
      <c r="O142" s="80" t="str" cm="1">
        <f t="array" ref="O142">IF(
   SUM(IF($G$144:$G$149="P",IF(ISNUMBER(O144:O149),O144:O149,0)))&gt;0,
   SUM(IF($G$144:$G$149="P",IF(ISNUMBER(O144:O149),O144:O149,0))),
   IF(
      COUNTIFS($G$144:$G$149,"P",O144:O149,"X")&gt;0,
      "X",
      ""
   )
)</f>
        <v>X</v>
      </c>
      <c r="P142" s="80" cm="1">
        <f t="array" ref="P142">IF(
   SUM(IF($G$144:$G$149="P",IF(ISNUMBER(P144:P149),P144:P149,0)))&gt;0,
   SUM(IF($G$144:$G$149="P",IF(ISNUMBER(P144:P149),P144:P149,0))),
   IF(
      COUNTIFS($G$144:$G$149,"P",P144:P149,"X")&gt;0,
      "X",
      ""
   )
)</f>
        <v>1</v>
      </c>
      <c r="Q142" s="52"/>
      <c r="R142" s="2"/>
      <c r="S142" s="52">
        <f ca="1">SUMIF($K$7:Q$7,"&lt;="&amp;$I$7,K142:P142)</f>
        <v>2</v>
      </c>
      <c r="T142" s="743">
        <f ca="1">IFERROR((S143/S142),"-")</f>
        <v>0.5</v>
      </c>
      <c r="U142" s="2"/>
      <c r="V142" s="80" t="str" cm="1">
        <f t="array" ref="V142">IF(
   SUM(IF($G$144:$G$149="P",IF(ISNUMBER(V144:V149),V144:V149,0)))&gt;0,
   SUM(IF($G$144:$G$149="P",IF(ISNUMBER(V144:V149),V144:V149,0))),
   IF(
      COUNTIFS($G$144:$G$149,"P",V144:V149,"X")&gt;0,
      "X",
      ""
   )
)</f>
        <v>X</v>
      </c>
      <c r="W142" s="80" cm="1">
        <f t="array" ref="W142">IF(
   SUM(IF($G$144:$G$149="P",IF(ISNUMBER(W144:W149),W144:W149,0)))&gt;0,
   SUM(IF($G$144:$G$149="P",IF(ISNUMBER(W144:W149),W144:W149,0))),
   IF(
      COUNTIFS($G$144:$G$149,"P",W144:W149,"X")&gt;0,
      "X",
      ""
   )
)</f>
        <v>1</v>
      </c>
      <c r="X142" s="80" t="str" cm="1">
        <f t="array" ref="X142">IF(
   SUM(IF($G$144:$G$149="P",IF(ISNUMBER(X144:X149),X144:X149,0)))&gt;0,
   SUM(IF($G$144:$G$149="P",IF(ISNUMBER(X144:X149),X144:X149,0))),
   IF(
      COUNTIFS($G$144:$G$149,"P",X144:X149,"X")&gt;0,
      "X",
      ""
   )
)</f>
        <v/>
      </c>
      <c r="Y142" s="80" t="str" cm="1">
        <f t="array" ref="Y142">IF(
   SUM(IF($G$144:$G$149="P",IF(ISNUMBER(Y144:Y149),Y144:Y149,0)))&gt;0,
   SUM(IF($G$144:$G$149="P",IF(ISNUMBER(Y144:Y149),Y144:Y149,0))),
   IF(
      COUNTIFS($G$144:$G$149,"P",Y144:Y149,"X")&gt;0,
      "X",
      ""
   )
)</f>
        <v/>
      </c>
      <c r="Z142" s="80" t="str" cm="1">
        <f t="array" ref="Z142">IF(
   SUM(IF($G$144:$G$149="P",IF(ISNUMBER(Z144:Z149),Z144:Z149,0)))&gt;0,
   SUM(IF($G$144:$G$149="P",IF(ISNUMBER(Z144:Z149),Z144:Z149,0))),
   IF(
      COUNTIFS($G$144:$G$149,"P",Z144:Z149,"X")&gt;0,
      "X",
      ""
   )
)</f>
        <v/>
      </c>
      <c r="AA142" s="80" t="str" cm="1">
        <f t="array" ref="AA142">IF(
   SUM(IF($G$144:$G$149="P",IF(ISNUMBER(AA144:AA149),AA144:AA149,0)))&gt;0,
   SUM(IF($G$144:$G$149="P",IF(ISNUMBER(AA144:AA149),AA144:AA149,0))),
   IF(
      COUNTIFS($G$144:$G$149,"P",AA144:AA149,"X")&gt;0,
      "X",
      ""
   )
)</f>
        <v/>
      </c>
      <c r="AB142" s="52"/>
      <c r="AC142" s="2"/>
      <c r="AD142" s="52">
        <f>SUMIF($V$7:AB$7,"&lt;="&amp;$I$7,V142:AB142)</f>
        <v>1</v>
      </c>
      <c r="AE142" s="743">
        <f>IFERROR((AD143/AD142),"-")</f>
        <v>1</v>
      </c>
      <c r="AF142" s="2"/>
      <c r="AG142" s="80" t="str" cm="1">
        <f t="array" ref="AG142">IF(
   SUM(IF($G$144:$G$149="P",IF(ISNUMBER(AG144:AG149),AG144:AG149,0)))&gt;0,
   SUM(IF($G$144:$G$149="P",IF(ISNUMBER(AG144:AG149),AG144:AG149,0))),
   IF(
      COUNTIFS($G$144:$G$149,"P",AG144:AG149,"X")&gt;0,
      "X",
      ""
   )
)</f>
        <v/>
      </c>
      <c r="AH142" s="80" t="str" cm="1">
        <f t="array" ref="AH142">IF(
   SUM(IF($G$144:$G$149="P",IF(ISNUMBER(AH144:AH149),AH144:AH149,0)))&gt;0,
   SUM(IF($G$144:$G$149="P",IF(ISNUMBER(AH144:AH149),AH144:AH149,0))),
   IF(
      COUNTIFS($G$144:$G$149,"P",AH144:AH149,"X")&gt;0,
      "X",
      ""
   )
)</f>
        <v/>
      </c>
      <c r="AI142" s="80" t="str" cm="1">
        <f t="array" ref="AI142">IF(
   SUM(IF($G$144:$G$149="P",IF(ISNUMBER(AI144:AI149),AI144:AI149,0)))&gt;0,
   SUM(IF($G$144:$G$149="P",IF(ISNUMBER(AI144:AI149),AI144:AI149,0))),
   IF(
      COUNTIFS($G$144:$G$149,"P",AI144:AI149,"X")&gt;0,
      "X",
      ""
   )
)</f>
        <v/>
      </c>
      <c r="AJ142" s="80" t="str" cm="1">
        <f t="array" ref="AJ142">IF(
   SUM(IF($G$144:$G$149="P",IF(ISNUMBER(AJ144:AJ149),AJ144:AJ149,0)))&gt;0,
   SUM(IF($G$144:$G$149="P",IF(ISNUMBER(AJ144:AJ149),AJ144:AJ149,0))),
   IF(
      COUNTIFS($G$144:$G$149,"P",AJ144:AJ149,"X")&gt;0,
      "X",
      ""
   )
)</f>
        <v/>
      </c>
      <c r="AK142" s="80" t="str" cm="1">
        <f t="array" ref="AK142">IF(
   SUM(IF($G$144:$G$149="P",IF(ISNUMBER(AK144:AK149),AK144:AK149,0)))&gt;0,
   SUM(IF($G$144:$G$149="P",IF(ISNUMBER(AK144:AK149),AK144:AK149,0))),
   IF(
      COUNTIFS($G$144:$G$149,"P",AK144:AK149,"X")&gt;0,
      "X",
      ""
   )
)</f>
        <v/>
      </c>
      <c r="AL142" s="80" t="str" cm="1">
        <f t="array" ref="AL142">IF(
   SUM(IF($G$144:$G$149="P",IF(ISNUMBER(AL144:AL149),AL144:AL149,0)))&gt;0,
   SUM(IF($G$144:$G$149="P",IF(ISNUMBER(AL144:AL149),AL144:AL149,0))),
   IF(
      COUNTIFS($G$144:$G$149,"P",AL144:AL149,"X")&gt;0,
      "X",
      ""
   )
)</f>
        <v/>
      </c>
      <c r="AM142" s="52"/>
      <c r="AN142" s="2"/>
      <c r="AO142" s="52">
        <f ca="1">SUMIF($AG$7:AM$7,"&lt;="&amp;$I$7,AG142:AL142)</f>
        <v>0</v>
      </c>
      <c r="AP142" s="743" t="str">
        <f ca="1">IFERROR((AO143/AO142),"-")</f>
        <v>-</v>
      </c>
      <c r="AQ142" s="2"/>
      <c r="AR142" s="80" t="str" cm="1">
        <f t="array" ref="AR142">IF(
   SUM(IF($G$144:$G$149="P",IF(ISNUMBER(AR144:AR149),AR144:AR149,0)))&gt;0,
   SUM(IF($G$144:$G$149="P",IF(ISNUMBER(AR144:AR149),AR144:AR149,0))),
   IF(
      COUNTIFS($G$144:$G$149,"P",AR144:AR149,"X")&gt;0,
      "X",
      ""
   )
)</f>
        <v/>
      </c>
      <c r="AS142" s="80" t="str" cm="1">
        <f t="array" ref="AS142">IF(
   SUM(IF($G$144:$G$149="P",IF(ISNUMBER(AS144:AS149),AS144:AS149,0)))&gt;0,
   SUM(IF($G$144:$G$149="P",IF(ISNUMBER(AS144:AS149),AS144:AS149,0))),
   IF(
      COUNTIFS($G$144:$G$149,"P",AS144:AS149,"X")&gt;0,
      "X",
      ""
   )
)</f>
        <v/>
      </c>
      <c r="AT142" s="80" t="str" cm="1">
        <f t="array" ref="AT142">IF(
   SUM(IF($G$144:$G$149="P",IF(ISNUMBER(AT144:AT149),AT144:AT149,0)))&gt;0,
   SUM(IF($G$144:$G$149="P",IF(ISNUMBER(AT144:AT149),AT144:AT149,0))),
   IF(
      COUNTIFS($G$144:$G$149,"P",AT144:AT149,"X")&gt;0,
      "X",
      ""
   )
)</f>
        <v/>
      </c>
      <c r="AU142" s="80" t="str" cm="1">
        <f t="array" ref="AU142">IF(
   SUM(IF($G$144:$G$149="P",IF(ISNUMBER(AU144:AU149),AU144:AU149,0)))&gt;0,
   SUM(IF($G$144:$G$149="P",IF(ISNUMBER(AU144:AU149),AU144:AU149,0))),
   IF(
      COUNTIFS($G$144:$G$149,"P",AU144:AU149,"X")&gt;0,
      "X",
      ""
   )
)</f>
        <v/>
      </c>
      <c r="AV142" s="80" t="str" cm="1">
        <f t="array" ref="AV142">IF(
   SUM(IF($G$144:$G$149="P",IF(ISNUMBER(AV144:AV149),AV144:AV149,0)))&gt;0,
   SUM(IF($G$144:$G$149="P",IF(ISNUMBER(AV144:AV149),AV144:AV149,0))),
   IF(
      COUNTIFS($G$144:$G$149,"P",AV144:AV149,"X")&gt;0,
      "X",
      ""
   )
)</f>
        <v/>
      </c>
      <c r="AW142" s="80" t="str" cm="1">
        <f t="array" ref="AW142">IF(
   SUM(IF($G$144:$G$149="P",IF(ISNUMBER(AW144:AW149),AW144:AW149,0)))&gt;0,
   SUM(IF($G$144:$G$149="P",IF(ISNUMBER(AW144:AW149),AW144:AW149,0))),
   IF(
      COUNTIFS($G$144:$G$149,"P",AW144:AW149,"X")&gt;0,
      "X",
      ""
   )
)</f>
        <v/>
      </c>
      <c r="AX142" s="52"/>
      <c r="AY142" s="2"/>
      <c r="AZ142" s="52">
        <f ca="1">SUMIF($AR$7:AX$7,"&lt;="&amp;$I$7,AR142:AW142)</f>
        <v>0</v>
      </c>
      <c r="BA142" s="743" t="str">
        <f ca="1">IFERROR((AZ143/AZ142),"-")</f>
        <v>-</v>
      </c>
      <c r="BB142" s="2"/>
      <c r="BC142" s="80" t="str" cm="1">
        <f t="array" ref="BC142">IF(
   SUM(IF($G$144:$G$149="P",IF(ISNUMBER(BC144:BC149),BC144:BC149,0)))&gt;0,
   SUM(IF($G$144:$G$149="P",IF(ISNUMBER(BC144:BC149),BC144:BC149,0))),
   IF(
      COUNTIFS($G$144:$G$149,"P",BC144:BC149,"X")&gt;0,
      "X",
      ""
   )
)</f>
        <v/>
      </c>
      <c r="BD142" s="80" t="str" cm="1">
        <f t="array" ref="BD142">IF(
   SUM(IF($G$144:$G$149="P",IF(ISNUMBER(BD144:BD149),BD144:BD149,0)))&gt;0,
   SUM(IF($G$144:$G$149="P",IF(ISNUMBER(BD144:BD149),BD144:BD149,0))),
   IF(
      COUNTIFS($G$144:$G$149,"P",BD144:BD149,"X")&gt;0,
      "X",
      ""
   )
)</f>
        <v/>
      </c>
      <c r="BE142" s="80" t="str" cm="1">
        <f t="array" ref="BE142">IF(
   SUM(IF($G$144:$G$149="P",IF(ISNUMBER(BE144:BE149),BE144:BE149,0)))&gt;0,
   SUM(IF($G$144:$G$149="P",IF(ISNUMBER(BE144:BE149),BE144:BE149,0))),
   IF(
      COUNTIFS($G$144:$G$149,"P",BE144:BE149,"X")&gt;0,
      "X",
      ""
   )
)</f>
        <v/>
      </c>
      <c r="BF142" s="80" t="str" cm="1">
        <f t="array" ref="BF142">IF(
   SUM(IF($G$144:$G$149="P",IF(ISNUMBER(BF144:BF149),BF144:BF149,0)))&gt;0,
   SUM(IF($G$144:$G$149="P",IF(ISNUMBER(BF144:BF149),BF144:BF149,0))),
   IF(
      COUNTIFS($G$144:$G$149,"P",BF144:BF149,"X")&gt;0,
      "X",
      ""
   )
)</f>
        <v/>
      </c>
      <c r="BG142" s="80" t="str" cm="1">
        <f t="array" ref="BG142">IF(
   SUM(IF($G$144:$G$149="P",IF(ISNUMBER(BG144:BG149),BG144:BG149,0)))&gt;0,
   SUM(IF($G$144:$G$149="P",IF(ISNUMBER(BG144:BG149),BG144:BG149,0))),
   IF(
      COUNTIFS($G$144:$G$149,"P",BG144:BG149,"X")&gt;0,
      "X",
      ""
   )
)</f>
        <v/>
      </c>
      <c r="BH142" s="80" t="str" cm="1">
        <f t="array" ref="BH142">IF(
   SUM(IF($G$144:$G$149="P",IF(ISNUMBER(BH144:BH149),BH144:BH149,0)))&gt;0,
   SUM(IF($G$144:$G$149="P",IF(ISNUMBER(BH144:BH149),BH144:BH149,0))),
   IF(
      COUNTIFS($G$144:$G$149,"P",BH144:BH149,"X")&gt;0,
      "X",
      ""
   )
)</f>
        <v/>
      </c>
      <c r="BI142" s="52"/>
      <c r="BJ142" s="2"/>
      <c r="BK142" s="52">
        <f ca="1">SUMIF($BC$7:BI$7,"&lt;="&amp;$I$7,BC142:BH142)</f>
        <v>0</v>
      </c>
      <c r="BL142" s="743" t="str">
        <f ca="1">IFERROR((BK143/BK142),"-")</f>
        <v>-</v>
      </c>
      <c r="BM142" s="2"/>
      <c r="BN142" s="888">
        <v>0</v>
      </c>
      <c r="BO142" s="888">
        <v>0</v>
      </c>
      <c r="BP142" s="888">
        <f>SUM(BP144:BP149)</f>
        <v>2</v>
      </c>
      <c r="BQ142" s="743">
        <f t="shared" ref="BQ142" si="394">IF(AND(BO142=0,BP142=0),"-",IF(BO142=0,1,BP142/BO142))</f>
        <v>1</v>
      </c>
      <c r="BR142" s="2"/>
      <c r="BS142" s="888"/>
      <c r="BT142" s="888"/>
      <c r="BU142" s="888">
        <f ca="1">E142+S143+AD143+AO143+AZ143+BK143</f>
        <v>4</v>
      </c>
      <c r="BV142" s="888">
        <v>104</v>
      </c>
      <c r="BW142" s="1019">
        <f ca="1">IFERROR((BU142/BV142),"-")</f>
        <v>3.8461538461538464E-2</v>
      </c>
      <c r="BX142" s="888">
        <v>0</v>
      </c>
      <c r="BY142" s="743" t="str">
        <f ca="1">IFERROR((BU142/BX142),"-")</f>
        <v>-</v>
      </c>
      <c r="BZ142" s="2"/>
      <c r="CA142" s="888">
        <v>23</v>
      </c>
      <c r="CB142" s="888">
        <v>0</v>
      </c>
      <c r="CC142" s="2"/>
      <c r="CD142" s="84">
        <f>IFERROR(AVERAGEIF($V$7:AB$7,"&lt;="&amp;$I$7,V142:AB142),0)</f>
        <v>1</v>
      </c>
      <c r="CE142" s="2"/>
      <c r="CH142" s="93" t="str">
        <f t="shared" si="385"/>
        <v xml:space="preserve">BUEIROS - TRATAMENTO DE FUNDAÇÕES </v>
      </c>
    </row>
    <row r="143" spans="1:86" s="16" customFormat="1" ht="15.75" hidden="1" customHeight="1" outlineLevel="1">
      <c r="A143" s="74"/>
      <c r="B143" s="1082"/>
      <c r="C143" s="1072"/>
      <c r="D143" s="2"/>
      <c r="E143" s="1060"/>
      <c r="F143" s="2"/>
      <c r="G143" s="54" t="s">
        <v>38</v>
      </c>
      <c r="H143" s="52">
        <f t="shared" si="386"/>
        <v>0</v>
      </c>
      <c r="I143" s="744"/>
      <c r="J143" s="2"/>
      <c r="K143" s="75" t="str" cm="1">
        <f t="array" ref="K143">IF(
   SUM(IF($G$144:$G$149="R",IF(ISNUMBER(K144:K149),K144:K149,0)))&gt;0,
   SUM(IF($G$144:$G$149="R",IF(ISNUMBER(K144:K149),K144:K149,0))),
   IF(
      COUNTIFS($G$144:$G$149,"R",K144:K149,"X")&gt;0,
      "X",
      ""
   )
)</f>
        <v/>
      </c>
      <c r="L143" s="75" t="str" cm="1">
        <f t="array" ref="L143">IF(
   SUM(IF($G$144:$G$149="R",IF(ISNUMBER(L144:L149),L144:L149,0)))&gt;0,
   SUM(IF($G$144:$G$149="R",IF(ISNUMBER(L144:L149),L144:L149,0))),
   IF(
      COUNTIFS($G$144:$G$149,"R",L144:L149,"X")&gt;0,
      "X",
      ""
   )
)</f>
        <v/>
      </c>
      <c r="M143" s="75" t="str" cm="1">
        <f t="array" ref="M143">IF(
   SUM(IF($G$144:$G$149="R",IF(ISNUMBER(M144:M149),M144:M149,0)))&gt;0,
   SUM(IF($G$144:$G$149="R",IF(ISNUMBER(M144:M149),M144:M149,0))),
   IF(
      COUNTIFS($G$144:$G$149,"R",M144:M149,"X")&gt;0,
      "X",
      ""
   )
)</f>
        <v/>
      </c>
      <c r="N143" s="75" t="str" cm="1">
        <f t="array" ref="N143">IF(
   SUM(IF($G$144:$G$149="R",IF(ISNUMBER(N144:N149),N144:N149,0)))&gt;0,
   SUM(IF($G$144:$G$149="R",IF(ISNUMBER(N144:N149),N144:N149,0))),
   IF(
      COUNTIFS($G$144:$G$149,"R",N144:N149,"X")&gt;0,
      "X",
      ""
   )
)</f>
        <v/>
      </c>
      <c r="O143" s="75" cm="1">
        <f t="array" ref="O143">IF(
   SUM(IF($G$144:$G$149="R",IF(ISNUMBER(O144:O149),O144:O149,0)))&gt;0,
   SUM(IF($G$144:$G$149="R",IF(ISNUMBER(O144:O149),O144:O149,0))),
   IF(
      COUNTIFS($G$144:$G$149,"R",O144:O149,"X")&gt;0,
      "X",
      ""
   )
)</f>
        <v>1</v>
      </c>
      <c r="P143" s="75" t="str" cm="1">
        <f t="array" ref="P143">IF(
   SUM(IF($G$144:$G$149="R",IF(ISNUMBER(P144:P149),P144:P149,0)))&gt;0,
   SUM(IF($G$144:$G$149="R",IF(ISNUMBER(P144:P149),P144:P149,0))),
   IF(
      COUNTIFS($G$144:$G$149,"R",P144:P149,"X")&gt;0,
      "X",
      ""
   )
)</f>
        <v/>
      </c>
      <c r="Q143" s="52"/>
      <c r="R143" s="2"/>
      <c r="S143" s="52">
        <f ca="1">SUMIF($K$7:Q$7,"&lt;="&amp;$I$7,K143:P143)</f>
        <v>1</v>
      </c>
      <c r="T143" s="744"/>
      <c r="U143" s="2"/>
      <c r="V143" s="75" t="str" cm="1">
        <f t="array" ref="V143">IF(
   SUM(IF($G$144:$G$149="R",IF(ISNUMBER(V144:V149),V144:V149,0)))&gt;0,
   SUM(IF($G$144:$G$149="R",IF(ISNUMBER(V144:V149),V144:V149,0))),
   IF(
      COUNTIFS($G$144:$G$149,"R",V144:V149,"X")&gt;0,
      "X",
      ""
   )
)</f>
        <v>X</v>
      </c>
      <c r="W143" s="75" t="str" cm="1">
        <f t="array" ref="W143">IF(
   SUM(IF($G$144:$G$149="R",IF(ISNUMBER(W144:W149),W144:W149,0)))&gt;0,
   SUM(IF($G$144:$G$149="R",IF(ISNUMBER(W144:W149),W144:W149,0))),
   IF(
      COUNTIFS($G$144:$G$149,"R",W144:W149,"X")&gt;0,
      "X",
      ""
   )
)</f>
        <v>X</v>
      </c>
      <c r="X143" s="75" t="str" cm="1">
        <f t="array" ref="X143">IF(
   SUM(IF($G$144:$G$149="R",IF(ISNUMBER(X144:X149),X144:X149,0)))&gt;0,
   SUM(IF($G$144:$G$149="R",IF(ISNUMBER(X144:X149),X144:X149,0))),
   IF(
      COUNTIFS($G$144:$G$149,"R",X144:X149,"X")&gt;0,
      "X",
      ""
   )
)</f>
        <v>X</v>
      </c>
      <c r="Y143" s="75" t="str" cm="1">
        <f t="array" ref="Y143">IF(
   SUM(IF($G$144:$G$149="R",IF(ISNUMBER(Y144:Y149),Y144:Y149,0)))&gt;0,
   SUM(IF($G$144:$G$149="R",IF(ISNUMBER(Y144:Y149),Y144:Y149,0))),
   IF(
      COUNTIFS($G$144:$G$149,"R",Y144:Y149,"X")&gt;0,
      "X",
      ""
   )
)</f>
        <v>X</v>
      </c>
      <c r="Z143" s="75" cm="1">
        <f t="array" ref="Z143">IF(
   SUM(IF($G$144:$G$149="R",IF(ISNUMBER(Z144:Z149),Z144:Z149,0)))&gt;0,
   SUM(IF($G$144:$G$149="R",IF(ISNUMBER(Z144:Z149),Z144:Z149,0))),
   IF(
      COUNTIFS($G$144:$G$149,"R",Z144:Z149,"X")&gt;0,
      "X",
      ""
   )
)</f>
        <v>1</v>
      </c>
      <c r="AA143" s="75" t="str" cm="1">
        <f t="array" ref="AA143">IF(
   SUM(IF($G$144:$G$149="R",IF(ISNUMBER(AA144:AA149),AA144:AA149,0)))&gt;0,
   SUM(IF($G$144:$G$149="R",IF(ISNUMBER(AA144:AA149),AA144:AA149,0))),
   IF(
      COUNTIFS($G$144:$G$149,"R",AA144:AA149,"X")&gt;0,
      "X",
      ""
   )
)</f>
        <v/>
      </c>
      <c r="AB143" s="52"/>
      <c r="AC143" s="2"/>
      <c r="AD143" s="52">
        <f>SUMIF($V$7:AB$7,"&lt;="&amp;$I$7,V143:AB143)</f>
        <v>1</v>
      </c>
      <c r="AE143" s="744"/>
      <c r="AF143" s="2"/>
      <c r="AG143" s="75" t="str" cm="1">
        <f t="array" ref="AG143">IF(
   SUM(IF($G$144:$G$149="R",IF(ISNUMBER(AG144:AG149),AG144:AG149,0)))&gt;0,
   SUM(IF($G$144:$G$149="R",IF(ISNUMBER(AG144:AG149),AG144:AG149,0))),
   IF(
      COUNTIFS($G$144:$G$149,"R",AG144:AG149,"X")&gt;0,
      "X",
      ""
   )
)</f>
        <v/>
      </c>
      <c r="AH143" s="75" t="str" cm="1">
        <f t="array" ref="AH143">IF(
   SUM(IF($G$144:$G$149="R",IF(ISNUMBER(AH144:AH149),AH144:AH149,0)))&gt;0,
   SUM(IF($G$144:$G$149="R",IF(ISNUMBER(AH144:AH149),AH144:AH149,0))),
   IF(
      COUNTIFS($G$144:$G$149,"R",AH144:AH149,"X")&gt;0,
      "X",
      ""
   )
)</f>
        <v/>
      </c>
      <c r="AI143" s="75" t="str" cm="1">
        <f t="array" ref="AI143">IF(
   SUM(IF($G$144:$G$149="R",IF(ISNUMBER(AI144:AI149),AI144:AI149,0)))&gt;0,
   SUM(IF($G$144:$G$149="R",IF(ISNUMBER(AI144:AI149),AI144:AI149,0))),
   IF(
      COUNTIFS($G$144:$G$149,"R",AI144:AI149,"X")&gt;0,
      "X",
      ""
   )
)</f>
        <v/>
      </c>
      <c r="AJ143" s="75" t="str" cm="1">
        <f t="array" ref="AJ143">IF(
   SUM(IF($G$144:$G$149="R",IF(ISNUMBER(AJ144:AJ149),AJ144:AJ149,0)))&gt;0,
   SUM(IF($G$144:$G$149="R",IF(ISNUMBER(AJ144:AJ149),AJ144:AJ149,0))),
   IF(
      COUNTIFS($G$144:$G$149,"R",AJ144:AJ149,"X")&gt;0,
      "X",
      ""
   )
)</f>
        <v/>
      </c>
      <c r="AK143" s="75" t="str" cm="1">
        <f t="array" ref="AK143">IF(
   SUM(IF($G$144:$G$149="R",IF(ISNUMBER(AK144:AK149),AK144:AK149,0)))&gt;0,
   SUM(IF($G$144:$G$149="R",IF(ISNUMBER(AK144:AK149),AK144:AK149,0))),
   IF(
      COUNTIFS($G$144:$G$149,"R",AK144:AK149,"X")&gt;0,
      "X",
      ""
   )
)</f>
        <v/>
      </c>
      <c r="AL143" s="75" t="str" cm="1">
        <f t="array" ref="AL143">IF(
   SUM(IF($G$144:$G$149="R",IF(ISNUMBER(AL144:AL149),AL144:AL149,0)))&gt;0,
   SUM(IF($G$144:$G$149="R",IF(ISNUMBER(AL144:AL149),AL144:AL149,0))),
   IF(
      COUNTIFS($G$144:$G$149,"R",AL144:AL149,"X")&gt;0,
      "X",
      ""
   )
)</f>
        <v/>
      </c>
      <c r="AM143" s="52"/>
      <c r="AN143" s="2"/>
      <c r="AO143" s="52">
        <f ca="1">SUMIF($AG$7:AM$7,"&lt;="&amp;$I$7,AG143:AL143)</f>
        <v>0</v>
      </c>
      <c r="AP143" s="744"/>
      <c r="AQ143" s="2"/>
      <c r="AR143" s="75" t="str" cm="1">
        <f t="array" ref="AR143">IF(
   SUM(IF($G$144:$G$149="R",IF(ISNUMBER(AR144:AR149),AR144:AR149,0)))&gt;0,
   SUM(IF($G$144:$G$149="R",IF(ISNUMBER(AR144:AR149),AR144:AR149,0))),
   IF(
      COUNTIFS($G$144:$G$149,"R",AR144:AR149,"X")&gt;0,
      "X",
      ""
   )
)</f>
        <v/>
      </c>
      <c r="AS143" s="75" t="str" cm="1">
        <f t="array" ref="AS143">IF(
   SUM(IF($G$144:$G$149="R",IF(ISNUMBER(AS144:AS149),AS144:AS149,0)))&gt;0,
   SUM(IF($G$144:$G$149="R",IF(ISNUMBER(AS144:AS149),AS144:AS149,0))),
   IF(
      COUNTIFS($G$144:$G$149,"R",AS144:AS149,"X")&gt;0,
      "X",
      ""
   )
)</f>
        <v/>
      </c>
      <c r="AT143" s="75" t="str" cm="1">
        <f t="array" ref="AT143">IF(
   SUM(IF($G$144:$G$149="R",IF(ISNUMBER(AT144:AT149),AT144:AT149,0)))&gt;0,
   SUM(IF($G$144:$G$149="R",IF(ISNUMBER(AT144:AT149),AT144:AT149,0))),
   IF(
      COUNTIFS($G$144:$G$149,"R",AT144:AT149,"X")&gt;0,
      "X",
      ""
   )
)</f>
        <v/>
      </c>
      <c r="AU143" s="75" t="str" cm="1">
        <f t="array" ref="AU143">IF(
   SUM(IF($G$144:$G$149="R",IF(ISNUMBER(AU144:AU149),AU144:AU149,0)))&gt;0,
   SUM(IF($G$144:$G$149="R",IF(ISNUMBER(AU144:AU149),AU144:AU149,0))),
   IF(
      COUNTIFS($G$144:$G$149,"R",AU144:AU149,"X")&gt;0,
      "X",
      ""
   )
)</f>
        <v/>
      </c>
      <c r="AV143" s="75" t="str" cm="1">
        <f t="array" ref="AV143">IF(
   SUM(IF($G$144:$G$149="R",IF(ISNUMBER(AV144:AV149),AV144:AV149,0)))&gt;0,
   SUM(IF($G$144:$G$149="R",IF(ISNUMBER(AV144:AV149),AV144:AV149,0))),
   IF(
      COUNTIFS($G$144:$G$149,"R",AV144:AV149,"X")&gt;0,
      "X",
      ""
   )
)</f>
        <v/>
      </c>
      <c r="AW143" s="75" t="str" cm="1">
        <f t="array" ref="AW143">IF(
   SUM(IF($G$144:$G$149="R",IF(ISNUMBER(AW144:AW149),AW144:AW149,0)))&gt;0,
   SUM(IF($G$144:$G$149="R",IF(ISNUMBER(AW144:AW149),AW144:AW149,0))),
   IF(
      COUNTIFS($G$144:$G$149,"R",AW144:AW149,"X")&gt;0,
      "X",
      ""
   )
)</f>
        <v/>
      </c>
      <c r="AX143" s="52"/>
      <c r="AY143" s="2"/>
      <c r="AZ143" s="52">
        <f ca="1">SUMIF($AR$7:AX$7,"&lt;="&amp;$I$7,AR143:AW143)</f>
        <v>0</v>
      </c>
      <c r="BA143" s="744"/>
      <c r="BB143" s="2"/>
      <c r="BC143" s="75" t="str" cm="1">
        <f t="array" ref="BC143">IF(
   SUM(IF($G$144:$G$149="R",IF(ISNUMBER(BC144:BC149),BC144:BC149,0)))&gt;0,
   SUM(IF($G$144:$G$149="R",IF(ISNUMBER(BC144:BC149),BC144:BC149,0))),
   IF(
      COUNTIFS($G$144:$G$149,"R",BC144:BC149,"X")&gt;0,
      "X",
      ""
   )
)</f>
        <v/>
      </c>
      <c r="BD143" s="75" t="str" cm="1">
        <f t="array" ref="BD143">IF(
   SUM(IF($G$144:$G$149="R",IF(ISNUMBER(BD144:BD149),BD144:BD149,0)))&gt;0,
   SUM(IF($G$144:$G$149="R",IF(ISNUMBER(BD144:BD149),BD144:BD149,0))),
   IF(
      COUNTIFS($G$144:$G$149,"R",BD144:BD149,"X")&gt;0,
      "X",
      ""
   )
)</f>
        <v/>
      </c>
      <c r="BE143" s="75" t="str" cm="1">
        <f t="array" ref="BE143">IF(
   SUM(IF($G$144:$G$149="R",IF(ISNUMBER(BE144:BE149),BE144:BE149,0)))&gt;0,
   SUM(IF($G$144:$G$149="R",IF(ISNUMBER(BE144:BE149),BE144:BE149,0))),
   IF(
      COUNTIFS($G$144:$G$149,"R",BE144:BE149,"X")&gt;0,
      "X",
      ""
   )
)</f>
        <v/>
      </c>
      <c r="BF143" s="75" t="str" cm="1">
        <f t="array" ref="BF143">IF(
   SUM(IF($G$144:$G$149="R",IF(ISNUMBER(BF144:BF149),BF144:BF149,0)))&gt;0,
   SUM(IF($G$144:$G$149="R",IF(ISNUMBER(BF144:BF149),BF144:BF149,0))),
   IF(
      COUNTIFS($G$144:$G$149,"R",BF144:BF149,"X")&gt;0,
      "X",
      ""
   )
)</f>
        <v/>
      </c>
      <c r="BG143" s="75" t="str" cm="1">
        <f t="array" ref="BG143">IF(
   SUM(IF($G$144:$G$149="R",IF(ISNUMBER(BG144:BG149),BG144:BG149,0)))&gt;0,
   SUM(IF($G$144:$G$149="R",IF(ISNUMBER(BG144:BG149),BG144:BG149,0))),
   IF(
      COUNTIFS($G$144:$G$149,"R",BG144:BG149,"X")&gt;0,
      "X",
      ""
   )
)</f>
        <v/>
      </c>
      <c r="BH143" s="75" t="str" cm="1">
        <f t="array" ref="BH143">IF(
   SUM(IF($G$144:$G$149="R",IF(ISNUMBER(BH144:BH149),BH144:BH149,0)))&gt;0,
   SUM(IF($G$144:$G$149="R",IF(ISNUMBER(BH144:BH149),BH144:BH149,0))),
   IF(
      COUNTIFS($G$144:$G$149,"R",BH144:BH149,"X")&gt;0,
      "X",
      ""
   )
)</f>
        <v/>
      </c>
      <c r="BI143" s="52"/>
      <c r="BJ143" s="2"/>
      <c r="BK143" s="52">
        <f ca="1">SUMIF($BC$7:BI$7,"&lt;="&amp;$I$7,BC143:BH143)</f>
        <v>0</v>
      </c>
      <c r="BL143" s="744"/>
      <c r="BM143" s="2"/>
      <c r="BN143" s="889"/>
      <c r="BO143" s="889"/>
      <c r="BP143" s="889"/>
      <c r="BQ143" s="744"/>
      <c r="BR143" s="2"/>
      <c r="BS143" s="889"/>
      <c r="BT143" s="889"/>
      <c r="BU143" s="889"/>
      <c r="BV143" s="889"/>
      <c r="BW143" s="1020"/>
      <c r="BX143" s="889"/>
      <c r="BY143" s="744"/>
      <c r="BZ143" s="2"/>
      <c r="CA143" s="889"/>
      <c r="CB143" s="889"/>
      <c r="CC143" s="2"/>
      <c r="CD143" s="84">
        <f>IFERROR(AVERAGEIF($V$7:AB$7,"&lt;="&amp;$I$7,V143:AB143),0)</f>
        <v>1</v>
      </c>
      <c r="CE143" s="2"/>
      <c r="CH143" s="93" t="str">
        <f t="shared" si="385"/>
        <v xml:space="preserve">BUEIROS - TRATAMENTO DE FUNDAÇÕES </v>
      </c>
    </row>
    <row r="144" spans="1:86" s="21" customFormat="1" ht="15.95" hidden="1" customHeight="1" outlineLevel="2">
      <c r="A144" s="74"/>
      <c r="B144" s="1046" t="s">
        <v>3924</v>
      </c>
      <c r="C144" s="1014" t="s">
        <v>1437</v>
      </c>
      <c r="D144" s="2"/>
      <c r="E144" s="1084">
        <v>1</v>
      </c>
      <c r="F144" s="2"/>
      <c r="G144" s="49" t="s">
        <v>37</v>
      </c>
      <c r="H144" s="705">
        <f t="shared" si="386"/>
        <v>0</v>
      </c>
      <c r="I144" s="878" t="str">
        <f t="shared" ref="I144" si="395">IF(H144=0,IF(H145&gt;0,1,"-"),IFERROR(H145/H144,"-"))</f>
        <v>-</v>
      </c>
      <c r="J144" s="2"/>
      <c r="K144" s="705"/>
      <c r="L144" s="705"/>
      <c r="M144" s="705"/>
      <c r="N144" s="705"/>
      <c r="O144" s="705"/>
      <c r="P144" s="705"/>
      <c r="Q144" s="705"/>
      <c r="R144" s="2"/>
      <c r="S144" s="705">
        <f ca="1">SUMIF($K$7:Q$7,"&lt;="&amp;$I$7,K144:P144)</f>
        <v>0</v>
      </c>
      <c r="T144" s="878" t="str">
        <f ca="1">IFERROR((S145/S144),"-")</f>
        <v>-</v>
      </c>
      <c r="U144" s="2"/>
      <c r="V144" s="705"/>
      <c r="W144" s="705"/>
      <c r="X144" s="705"/>
      <c r="Y144" s="705"/>
      <c r="Z144" s="705"/>
      <c r="AA144" s="705"/>
      <c r="AB144" s="705"/>
      <c r="AC144" s="2"/>
      <c r="AD144" s="705">
        <f ca="1">SUMIF($V$7:AB$7,"&lt;="&amp;$I$7,V144:AA144)</f>
        <v>0</v>
      </c>
      <c r="AE144" s="878" t="str">
        <f ca="1">IFERROR((AD145/AD144),"-")</f>
        <v>-</v>
      </c>
      <c r="AF144" s="2"/>
      <c r="AG144" s="705"/>
      <c r="AH144" s="705"/>
      <c r="AI144" s="705"/>
      <c r="AJ144" s="705"/>
      <c r="AK144" s="705"/>
      <c r="AL144" s="705"/>
      <c r="AM144" s="705"/>
      <c r="AN144" s="2"/>
      <c r="AO144" s="705">
        <f ca="1">SUMIF($AG$7:AM$7,"&lt;="&amp;$I$7,AG144:AL144)</f>
        <v>0</v>
      </c>
      <c r="AP144" s="878" t="str">
        <f ca="1">IFERROR((AO145/AO144),"-")</f>
        <v>-</v>
      </c>
      <c r="AQ144" s="2"/>
      <c r="AR144" s="705"/>
      <c r="AS144" s="705"/>
      <c r="AT144" s="705"/>
      <c r="AU144" s="705"/>
      <c r="AV144" s="705"/>
      <c r="AW144" s="705"/>
      <c r="AX144" s="705"/>
      <c r="AY144" s="2"/>
      <c r="AZ144" s="705">
        <f ca="1">SUMIF($AR$7:AX$7,"&lt;="&amp;$I$7,AR144:AW144)</f>
        <v>0</v>
      </c>
      <c r="BA144" s="878" t="str">
        <f ca="1">IFERROR((AZ145/AZ144),"-")</f>
        <v>-</v>
      </c>
      <c r="BB144" s="2"/>
      <c r="BC144" s="705"/>
      <c r="BD144" s="705"/>
      <c r="BE144" s="705"/>
      <c r="BF144" s="705"/>
      <c r="BG144" s="705"/>
      <c r="BH144" s="705"/>
      <c r="BI144" s="705"/>
      <c r="BJ144" s="2"/>
      <c r="BK144" s="705">
        <f ca="1">SUMIF($BC$7:BI$7,"&lt;="&amp;$I$7,BC144:BH144)</f>
        <v>0</v>
      </c>
      <c r="BL144" s="878" t="str">
        <f ca="1">IFERROR((BK145/BK144),"-")</f>
        <v>-</v>
      </c>
      <c r="BM144" s="2"/>
      <c r="BN144" s="884">
        <v>0</v>
      </c>
      <c r="BO144" s="884">
        <v>0</v>
      </c>
      <c r="BP144" s="884">
        <f>SUM(M145:P145,V145:AB145,AG145:AM145,AR145:AX145,BC145:BI145)</f>
        <v>0</v>
      </c>
      <c r="BQ144" s="878" t="str">
        <f t="shared" ref="BQ144" si="396">IF(AND(BO144=0,BP144=0),"-",IF(BO144=0,1,BP144/BO144))</f>
        <v>-</v>
      </c>
      <c r="BR144" s="2"/>
      <c r="BS144" s="884"/>
      <c r="BT144" s="884"/>
      <c r="BU144" s="884">
        <f ca="1">E144+Q145+AD145+AO145+AZ145+BK145</f>
        <v>1</v>
      </c>
      <c r="BV144" s="884">
        <v>104</v>
      </c>
      <c r="BW144" s="1004">
        <f ca="1">IFERROR((BU144/BV144),"-")</f>
        <v>9.6153846153846159E-3</v>
      </c>
      <c r="BX144" s="884">
        <v>0</v>
      </c>
      <c r="BY144" s="878" t="str">
        <f ca="1">IFERROR((BU144/BX144),"-")</f>
        <v>-</v>
      </c>
      <c r="BZ144" s="2"/>
      <c r="CA144" s="884">
        <v>1</v>
      </c>
      <c r="CB144" s="884">
        <v>0</v>
      </c>
      <c r="CC144" s="2"/>
      <c r="CD144" s="504">
        <f>IFERROR(AVERAGEIF($V$7:AB$7,"&lt;="&amp;$I$7,V144:AB144),0)</f>
        <v>0</v>
      </c>
      <c r="CE144" s="2"/>
      <c r="CH144" s="93" t="str">
        <f t="shared" si="385"/>
        <v>BSCC - KM 224+286</v>
      </c>
    </row>
    <row r="145" spans="1:86" s="16" customFormat="1" ht="15.95" hidden="1" customHeight="1" outlineLevel="2">
      <c r="A145" s="74"/>
      <c r="B145" s="1047"/>
      <c r="C145" s="1034"/>
      <c r="D145" s="2"/>
      <c r="E145" s="1024"/>
      <c r="F145" s="2"/>
      <c r="G145" s="50" t="s">
        <v>38</v>
      </c>
      <c r="H145" s="705">
        <f t="shared" si="386"/>
        <v>0</v>
      </c>
      <c r="I145" s="879"/>
      <c r="J145" s="2"/>
      <c r="K145" s="76"/>
      <c r="L145" s="76"/>
      <c r="M145" s="76"/>
      <c r="N145" s="76"/>
      <c r="O145" s="76"/>
      <c r="P145" s="76"/>
      <c r="Q145" s="706"/>
      <c r="R145" s="2"/>
      <c r="S145" s="705">
        <f ca="1">SUMIF($K$7:Q$7,"&lt;="&amp;$I$7,K145:P145)</f>
        <v>0</v>
      </c>
      <c r="T145" s="879"/>
      <c r="U145" s="2"/>
      <c r="V145" s="76"/>
      <c r="W145" s="76"/>
      <c r="X145" s="76"/>
      <c r="Y145" s="76"/>
      <c r="Z145" s="76"/>
      <c r="AA145" s="76"/>
      <c r="AB145" s="706"/>
      <c r="AC145" s="2"/>
      <c r="AD145" s="705">
        <f ca="1">SUMIF($V$7:AB$7,"&lt;="&amp;$I$7,V145:AA145)</f>
        <v>0</v>
      </c>
      <c r="AE145" s="879"/>
      <c r="AF145" s="2"/>
      <c r="AG145" s="76"/>
      <c r="AH145" s="76"/>
      <c r="AI145" s="76"/>
      <c r="AJ145" s="76"/>
      <c r="AK145" s="76"/>
      <c r="AL145" s="76"/>
      <c r="AM145" s="706"/>
      <c r="AN145" s="2"/>
      <c r="AO145" s="705">
        <f ca="1">SUMIF($AG$7:AM$7,"&lt;="&amp;$I$7,AG145:AL145)</f>
        <v>0</v>
      </c>
      <c r="AP145" s="879"/>
      <c r="AQ145" s="2"/>
      <c r="AR145" s="76"/>
      <c r="AS145" s="76"/>
      <c r="AT145" s="76"/>
      <c r="AU145" s="76"/>
      <c r="AV145" s="76"/>
      <c r="AW145" s="76"/>
      <c r="AX145" s="706"/>
      <c r="AY145" s="2"/>
      <c r="AZ145" s="705">
        <f ca="1">SUMIF($AR$7:AX$7,"&lt;="&amp;$I$7,AR145:AW145)</f>
        <v>0</v>
      </c>
      <c r="BA145" s="879"/>
      <c r="BB145" s="2"/>
      <c r="BC145" s="76"/>
      <c r="BD145" s="76"/>
      <c r="BE145" s="76"/>
      <c r="BF145" s="76"/>
      <c r="BG145" s="76"/>
      <c r="BH145" s="76"/>
      <c r="BI145" s="706"/>
      <c r="BJ145" s="2"/>
      <c r="BK145" s="705">
        <f ca="1">SUMIF($BC$7:BI$7,"&lt;="&amp;$I$7,BC145:BH145)</f>
        <v>0</v>
      </c>
      <c r="BL145" s="879"/>
      <c r="BM145" s="2"/>
      <c r="BN145" s="885"/>
      <c r="BO145" s="885"/>
      <c r="BP145" s="885"/>
      <c r="BQ145" s="879"/>
      <c r="BR145" s="2"/>
      <c r="BS145" s="885"/>
      <c r="BT145" s="885"/>
      <c r="BU145" s="885"/>
      <c r="BV145" s="885"/>
      <c r="BW145" s="1005"/>
      <c r="BX145" s="885"/>
      <c r="BY145" s="879"/>
      <c r="BZ145" s="2"/>
      <c r="CA145" s="885"/>
      <c r="CB145" s="885"/>
      <c r="CC145" s="2"/>
      <c r="CD145" s="504">
        <f>IFERROR(AVERAGEIF($V$7:AB$7,"&lt;="&amp;$I$7,V145:AB145),0)</f>
        <v>0</v>
      </c>
      <c r="CE145" s="2"/>
      <c r="CH145" s="93" t="str">
        <f t="shared" si="385"/>
        <v>BSCC - KM 224+286</v>
      </c>
    </row>
    <row r="146" spans="1:86" s="16" customFormat="1" ht="20.45" hidden="1" customHeight="1" outlineLevel="2">
      <c r="A146" s="74"/>
      <c r="B146" s="1046" t="s">
        <v>3925</v>
      </c>
      <c r="C146" s="1014" t="s">
        <v>1437</v>
      </c>
      <c r="D146" s="2"/>
      <c r="E146" s="1084">
        <v>0</v>
      </c>
      <c r="F146" s="2"/>
      <c r="G146" s="49" t="s">
        <v>37</v>
      </c>
      <c r="H146" s="705">
        <f t="shared" si="386"/>
        <v>0</v>
      </c>
      <c r="I146" s="878" t="str">
        <f t="shared" ref="I146" si="397">IF(H146=0,IF(H147&gt;0,1,"-"),IFERROR(H147/H146,"-"))</f>
        <v>-</v>
      </c>
      <c r="J146" s="2"/>
      <c r="K146" s="705" t="s">
        <v>1434</v>
      </c>
      <c r="L146" s="705" t="s">
        <v>1434</v>
      </c>
      <c r="M146" s="705">
        <v>1</v>
      </c>
      <c r="N146" s="705"/>
      <c r="O146" s="705"/>
      <c r="P146" s="705"/>
      <c r="Q146" s="705"/>
      <c r="R146" s="2"/>
      <c r="S146" s="705">
        <f ca="1">SUMIF($K$7:Q$7,"&lt;="&amp;$I$7,K146:P146)</f>
        <v>1</v>
      </c>
      <c r="T146" s="878">
        <f ca="1">IFERROR((S147/S146),"-")</f>
        <v>0</v>
      </c>
      <c r="U146" s="2"/>
      <c r="V146" s="705" t="s">
        <v>1434</v>
      </c>
      <c r="W146" s="705">
        <v>1</v>
      </c>
      <c r="X146" s="705"/>
      <c r="Y146" s="705"/>
      <c r="Z146" s="705"/>
      <c r="AA146" s="705"/>
      <c r="AB146" s="705"/>
      <c r="AC146" s="2"/>
      <c r="AD146" s="705">
        <f ca="1">SUMIF($V$7:AB$7,"&lt;="&amp;$I$7,V146:AA146)</f>
        <v>1</v>
      </c>
      <c r="AE146" s="878">
        <f ca="1">IFERROR((AD147/AD146),"-")</f>
        <v>1</v>
      </c>
      <c r="AF146" s="2"/>
      <c r="AG146" s="705"/>
      <c r="AH146" s="705"/>
      <c r="AI146" s="705"/>
      <c r="AJ146" s="705"/>
      <c r="AK146" s="705"/>
      <c r="AL146" s="705"/>
      <c r="AM146" s="705"/>
      <c r="AN146" s="2"/>
      <c r="AO146" s="705">
        <f ca="1">SUMIF($AG$7:AM$7,"&lt;="&amp;$I$7,AG146:AL146)</f>
        <v>0</v>
      </c>
      <c r="AP146" s="878" t="str">
        <f ca="1">IFERROR((AO147/AO146),"-")</f>
        <v>-</v>
      </c>
      <c r="AQ146" s="2"/>
      <c r="AR146" s="705"/>
      <c r="AS146" s="705"/>
      <c r="AT146" s="705"/>
      <c r="AU146" s="705"/>
      <c r="AV146" s="705"/>
      <c r="AW146" s="705"/>
      <c r="AX146" s="705"/>
      <c r="AY146" s="2"/>
      <c r="AZ146" s="705">
        <f ca="1">SUMIF($AR$7:AX$7,"&lt;="&amp;$I$7,AR146:AW146)</f>
        <v>0</v>
      </c>
      <c r="BA146" s="878" t="str">
        <f ca="1">IFERROR((AZ147/AZ146),"-")</f>
        <v>-</v>
      </c>
      <c r="BB146" s="2"/>
      <c r="BC146" s="705"/>
      <c r="BD146" s="705"/>
      <c r="BE146" s="705"/>
      <c r="BF146" s="705"/>
      <c r="BG146" s="705"/>
      <c r="BH146" s="705"/>
      <c r="BI146" s="705"/>
      <c r="BJ146" s="2"/>
      <c r="BK146" s="705">
        <f ca="1">SUMIF($BC$7:BI$7,"&lt;="&amp;$I$7,BC146:BH146)</f>
        <v>0</v>
      </c>
      <c r="BL146" s="878" t="str">
        <f ca="1">IFERROR((BK147/BK146),"-")</f>
        <v>-</v>
      </c>
      <c r="BM146" s="2"/>
      <c r="BN146" s="884">
        <v>0</v>
      </c>
      <c r="BO146" s="884">
        <v>0</v>
      </c>
      <c r="BP146" s="884">
        <f>SUM(M147:P147,V147:AB147,AG147:AM147,AR147:AX147,BC147:BI147)</f>
        <v>1</v>
      </c>
      <c r="BQ146" s="878">
        <f t="shared" ref="BQ146" si="398">IF(AND(BO146=0,BP146=0),"-",IF(BO146=0,1,BP146/BO146))</f>
        <v>1</v>
      </c>
      <c r="BR146" s="2"/>
      <c r="BS146" s="884"/>
      <c r="BT146" s="884"/>
      <c r="BU146" s="884">
        <f ca="1">E146+Q147+AD147+AO147+AZ147+BK147</f>
        <v>1</v>
      </c>
      <c r="BV146" s="884">
        <v>104</v>
      </c>
      <c r="BW146" s="1004">
        <f ca="1">IFERROR((BU146/BV146),"-")</f>
        <v>9.6153846153846159E-3</v>
      </c>
      <c r="BX146" s="884">
        <v>0</v>
      </c>
      <c r="BY146" s="878" t="str">
        <f ca="1">IFERROR((BU146/BX146),"-")</f>
        <v>-</v>
      </c>
      <c r="BZ146" s="2"/>
      <c r="CA146" s="884">
        <v>1</v>
      </c>
      <c r="CB146" s="884">
        <v>0</v>
      </c>
      <c r="CC146" s="2"/>
      <c r="CD146" s="504">
        <f>IFERROR(AVERAGEIF($V$7:AB$7,"&lt;="&amp;$I$7,V146:AB146),0)</f>
        <v>1</v>
      </c>
      <c r="CE146" s="2"/>
      <c r="CH146" s="93" t="str">
        <f t="shared" si="385"/>
        <v>BDCC - KM 212+900</v>
      </c>
    </row>
    <row r="147" spans="1:86" s="16" customFormat="1" ht="20.45" hidden="1" customHeight="1" outlineLevel="2">
      <c r="A147" s="74"/>
      <c r="B147" s="1047"/>
      <c r="C147" s="1034"/>
      <c r="D147" s="2"/>
      <c r="E147" s="1024"/>
      <c r="F147" s="2"/>
      <c r="G147" s="50" t="s">
        <v>38</v>
      </c>
      <c r="H147" s="705">
        <f t="shared" si="386"/>
        <v>0</v>
      </c>
      <c r="I147" s="879"/>
      <c r="J147" s="2"/>
      <c r="K147" s="76"/>
      <c r="L147" s="76"/>
      <c r="M147" s="76"/>
      <c r="N147" s="76"/>
      <c r="O147" s="76"/>
      <c r="P147" s="76"/>
      <c r="Q147" s="706"/>
      <c r="R147" s="2"/>
      <c r="S147" s="705">
        <f ca="1">SUMIF($K$7:Q$7,"&lt;="&amp;$I$7,K147:P147)</f>
        <v>0</v>
      </c>
      <c r="T147" s="879"/>
      <c r="U147" s="2"/>
      <c r="V147" s="76" t="s">
        <v>1434</v>
      </c>
      <c r="W147" s="76" t="s">
        <v>1434</v>
      </c>
      <c r="X147" s="76" t="s">
        <v>1434</v>
      </c>
      <c r="Y147" s="76" t="s">
        <v>1434</v>
      </c>
      <c r="Z147" s="76">
        <v>1</v>
      </c>
      <c r="AA147" s="76"/>
      <c r="AB147" s="706"/>
      <c r="AC147" s="2"/>
      <c r="AD147" s="705">
        <f ca="1">SUMIF($V$7:AB$7,"&lt;="&amp;$I$7,V147:AA147)</f>
        <v>1</v>
      </c>
      <c r="AE147" s="879"/>
      <c r="AF147" s="2"/>
      <c r="AG147" s="76"/>
      <c r="AH147" s="76"/>
      <c r="AI147" s="76"/>
      <c r="AJ147" s="76"/>
      <c r="AK147" s="76"/>
      <c r="AL147" s="76"/>
      <c r="AM147" s="706"/>
      <c r="AN147" s="2"/>
      <c r="AO147" s="705">
        <f ca="1">SUMIF($AG$7:AM$7,"&lt;="&amp;$I$7,AG147:AL147)</f>
        <v>0</v>
      </c>
      <c r="AP147" s="879"/>
      <c r="AQ147" s="2"/>
      <c r="AR147" s="76"/>
      <c r="AS147" s="76"/>
      <c r="AT147" s="76"/>
      <c r="AU147" s="76"/>
      <c r="AV147" s="76"/>
      <c r="AW147" s="76"/>
      <c r="AX147" s="706"/>
      <c r="AY147" s="2"/>
      <c r="AZ147" s="705">
        <f ca="1">SUMIF($AR$7:AX$7,"&lt;="&amp;$I$7,AR147:AW147)</f>
        <v>0</v>
      </c>
      <c r="BA147" s="879"/>
      <c r="BB147" s="2"/>
      <c r="BC147" s="76"/>
      <c r="BD147" s="76"/>
      <c r="BE147" s="76"/>
      <c r="BF147" s="76"/>
      <c r="BG147" s="76"/>
      <c r="BH147" s="76"/>
      <c r="BI147" s="706"/>
      <c r="BJ147" s="2"/>
      <c r="BK147" s="705">
        <f ca="1">SUMIF($BC$7:BI$7,"&lt;="&amp;$I$7,BC147:BH147)</f>
        <v>0</v>
      </c>
      <c r="BL147" s="879"/>
      <c r="BM147" s="2"/>
      <c r="BN147" s="885"/>
      <c r="BO147" s="885"/>
      <c r="BP147" s="885"/>
      <c r="BQ147" s="879"/>
      <c r="BR147" s="2"/>
      <c r="BS147" s="885"/>
      <c r="BT147" s="885"/>
      <c r="BU147" s="885"/>
      <c r="BV147" s="885"/>
      <c r="BW147" s="1005"/>
      <c r="BX147" s="885"/>
      <c r="BY147" s="879"/>
      <c r="BZ147" s="2"/>
      <c r="CA147" s="885"/>
      <c r="CB147" s="885"/>
      <c r="CC147" s="2"/>
      <c r="CD147" s="504">
        <f>IFERROR(AVERAGEIF($V$7:AB$7,"&lt;="&amp;$I$7,V147:AB147),0)</f>
        <v>1</v>
      </c>
      <c r="CE147" s="2"/>
      <c r="CH147" s="93" t="str">
        <f t="shared" si="385"/>
        <v>BDCC - KM 212+900</v>
      </c>
    </row>
    <row r="148" spans="1:86" s="16" customFormat="1" ht="20.45" hidden="1" customHeight="1" outlineLevel="2">
      <c r="A148" s="74"/>
      <c r="B148" s="1046" t="s">
        <v>3926</v>
      </c>
      <c r="C148" s="1014" t="s">
        <v>1437</v>
      </c>
      <c r="D148" s="2"/>
      <c r="E148" s="1084">
        <v>0</v>
      </c>
      <c r="F148" s="2"/>
      <c r="G148" s="49" t="s">
        <v>37</v>
      </c>
      <c r="H148" s="705">
        <f t="shared" si="386"/>
        <v>0</v>
      </c>
      <c r="I148" s="878" t="str">
        <f t="shared" ref="I148" si="399">IF(H148=0,IF(H149&gt;0,1,"-"),IFERROR(H149/H148,"-"))</f>
        <v>-</v>
      </c>
      <c r="J148" s="2"/>
      <c r="K148" s="705"/>
      <c r="L148" s="705"/>
      <c r="M148" s="705" t="s">
        <v>1434</v>
      </c>
      <c r="N148" s="705" t="s">
        <v>1434</v>
      </c>
      <c r="O148" s="705" t="s">
        <v>1434</v>
      </c>
      <c r="P148" s="705">
        <v>1</v>
      </c>
      <c r="Q148" s="705"/>
      <c r="R148" s="2"/>
      <c r="S148" s="705">
        <f ca="1">SUMIF($K$7:Q$7,"&lt;="&amp;$I$7,K148:P148)</f>
        <v>1</v>
      </c>
      <c r="T148" s="878">
        <f ca="1">IFERROR((S149/S148),"-")</f>
        <v>1</v>
      </c>
      <c r="U148" s="2"/>
      <c r="V148" s="705"/>
      <c r="W148" s="705"/>
      <c r="X148" s="705"/>
      <c r="Y148" s="705"/>
      <c r="Z148" s="705"/>
      <c r="AA148" s="705"/>
      <c r="AB148" s="705"/>
      <c r="AC148" s="2"/>
      <c r="AD148" s="705">
        <f ca="1">SUMIF($V$7:AB$7,"&lt;="&amp;$I$7,V148:AA148)</f>
        <v>0</v>
      </c>
      <c r="AE148" s="878" t="str">
        <f ca="1">IFERROR((AD149/AD148),"-")</f>
        <v>-</v>
      </c>
      <c r="AF148" s="2"/>
      <c r="AG148" s="705"/>
      <c r="AH148" s="705"/>
      <c r="AI148" s="705"/>
      <c r="AJ148" s="705"/>
      <c r="AK148" s="705"/>
      <c r="AL148" s="705"/>
      <c r="AM148" s="705"/>
      <c r="AN148" s="2"/>
      <c r="AO148" s="705">
        <f ca="1">SUMIF($AG$7:AM$7,"&lt;="&amp;$I$7,AG148:AL148)</f>
        <v>0</v>
      </c>
      <c r="AP148" s="878" t="str">
        <f ca="1">IFERROR((AO149/AO148),"-")</f>
        <v>-</v>
      </c>
      <c r="AQ148" s="2"/>
      <c r="AR148" s="705"/>
      <c r="AS148" s="705"/>
      <c r="AT148" s="705"/>
      <c r="AU148" s="705"/>
      <c r="AV148" s="705"/>
      <c r="AW148" s="705"/>
      <c r="AX148" s="705"/>
      <c r="AY148" s="2"/>
      <c r="AZ148" s="705">
        <f ca="1">SUMIF($AR$7:AX$7,"&lt;="&amp;$I$7,AR148:AW148)</f>
        <v>0</v>
      </c>
      <c r="BA148" s="878" t="str">
        <f ca="1">IFERROR((AZ149/AZ148),"-")</f>
        <v>-</v>
      </c>
      <c r="BB148" s="2"/>
      <c r="BC148" s="705"/>
      <c r="BD148" s="705"/>
      <c r="BE148" s="705"/>
      <c r="BF148" s="705"/>
      <c r="BG148" s="705"/>
      <c r="BH148" s="705"/>
      <c r="BI148" s="705"/>
      <c r="BJ148" s="2"/>
      <c r="BK148" s="705">
        <f ca="1">SUMIF($BC$7:BI$7,"&lt;="&amp;$I$7,BC148:BH148)</f>
        <v>0</v>
      </c>
      <c r="BL148" s="878" t="str">
        <f ca="1">IFERROR((BK149/BK148),"-")</f>
        <v>-</v>
      </c>
      <c r="BM148" s="2"/>
      <c r="BN148" s="884">
        <v>0</v>
      </c>
      <c r="BO148" s="884">
        <v>0</v>
      </c>
      <c r="BP148" s="884">
        <f>SUM(M149:P149,V149:AB149,AG149:AM149,AR149:AX149,BC149:BI149)</f>
        <v>1</v>
      </c>
      <c r="BQ148" s="878">
        <f t="shared" ref="BQ148" si="400">IF(AND(BO148=0,BP148=0),"-",IF(BO148=0,1,BP148/BO148))</f>
        <v>1</v>
      </c>
      <c r="BR148" s="2"/>
      <c r="BS148" s="884"/>
      <c r="BT148" s="884"/>
      <c r="BU148" s="884">
        <f ca="1">E148+Q149+AD149+AO149+AZ149+BK149</f>
        <v>0</v>
      </c>
      <c r="BV148" s="884">
        <v>104</v>
      </c>
      <c r="BW148" s="1004">
        <f ca="1">IFERROR((BU148/BV148),"-")</f>
        <v>0</v>
      </c>
      <c r="BX148" s="884">
        <v>0</v>
      </c>
      <c r="BY148" s="878" t="str">
        <f ca="1">IFERROR((BU148/BX148),"-")</f>
        <v>-</v>
      </c>
      <c r="BZ148" s="2"/>
      <c r="CA148" s="884">
        <v>1</v>
      </c>
      <c r="CB148" s="884">
        <v>0</v>
      </c>
      <c r="CC148" s="2"/>
      <c r="CD148" s="504">
        <f>IFERROR(AVERAGEIF($V$7:AB$7,"&lt;="&amp;$I$7,V148:AB148),0)</f>
        <v>0</v>
      </c>
      <c r="CE148" s="2"/>
      <c r="CH148" s="93" t="str">
        <f t="shared" si="385"/>
        <v>BDCC - KM 210+900</v>
      </c>
    </row>
    <row r="149" spans="1:86" s="16" customFormat="1" ht="20.45" hidden="1" customHeight="1" outlineLevel="2">
      <c r="A149" s="74"/>
      <c r="B149" s="1047"/>
      <c r="C149" s="1034"/>
      <c r="D149" s="2"/>
      <c r="E149" s="1024"/>
      <c r="F149" s="2"/>
      <c r="G149" s="50" t="s">
        <v>38</v>
      </c>
      <c r="H149" s="705">
        <f t="shared" si="386"/>
        <v>0</v>
      </c>
      <c r="I149" s="879"/>
      <c r="J149" s="2"/>
      <c r="K149" s="76"/>
      <c r="L149" s="76"/>
      <c r="M149" s="76"/>
      <c r="N149" s="76"/>
      <c r="O149" s="76">
        <v>1</v>
      </c>
      <c r="P149" s="76"/>
      <c r="Q149" s="706"/>
      <c r="R149" s="2"/>
      <c r="S149" s="705">
        <f ca="1">SUMIF($K$7:Q$7,"&lt;="&amp;$I$7,K149:P149)</f>
        <v>1</v>
      </c>
      <c r="T149" s="879"/>
      <c r="U149" s="2"/>
      <c r="V149" s="76"/>
      <c r="W149" s="76"/>
      <c r="X149" s="76"/>
      <c r="Y149" s="76"/>
      <c r="Z149" s="76"/>
      <c r="AA149" s="76"/>
      <c r="AB149" s="706"/>
      <c r="AC149" s="2"/>
      <c r="AD149" s="705">
        <f ca="1">SUMIF($V$7:AB$7,"&lt;="&amp;$I$7,V149:AA149)</f>
        <v>0</v>
      </c>
      <c r="AE149" s="879"/>
      <c r="AF149" s="2"/>
      <c r="AG149" s="76"/>
      <c r="AH149" s="76"/>
      <c r="AI149" s="76"/>
      <c r="AJ149" s="76"/>
      <c r="AK149" s="76"/>
      <c r="AL149" s="76"/>
      <c r="AM149" s="706"/>
      <c r="AN149" s="2"/>
      <c r="AO149" s="705">
        <f ca="1">SUMIF($AG$7:AM$7,"&lt;="&amp;$I$7,AG149:AL149)</f>
        <v>0</v>
      </c>
      <c r="AP149" s="879"/>
      <c r="AQ149" s="2"/>
      <c r="AR149" s="76"/>
      <c r="AS149" s="76"/>
      <c r="AT149" s="76"/>
      <c r="AU149" s="76"/>
      <c r="AV149" s="76"/>
      <c r="AW149" s="76"/>
      <c r="AX149" s="706"/>
      <c r="AY149" s="2"/>
      <c r="AZ149" s="705">
        <f ca="1">SUMIF($AR$7:AX$7,"&lt;="&amp;$I$7,AR149:AW149)</f>
        <v>0</v>
      </c>
      <c r="BA149" s="879"/>
      <c r="BB149" s="2"/>
      <c r="BC149" s="76"/>
      <c r="BD149" s="76"/>
      <c r="BE149" s="76"/>
      <c r="BF149" s="76"/>
      <c r="BG149" s="76"/>
      <c r="BH149" s="76"/>
      <c r="BI149" s="706"/>
      <c r="BJ149" s="2"/>
      <c r="BK149" s="705">
        <f ca="1">SUMIF($BC$7:BI$7,"&lt;="&amp;$I$7,BC149:BH149)</f>
        <v>0</v>
      </c>
      <c r="BL149" s="879"/>
      <c r="BM149" s="2"/>
      <c r="BN149" s="885"/>
      <c r="BO149" s="885"/>
      <c r="BP149" s="885"/>
      <c r="BQ149" s="879"/>
      <c r="BR149" s="2"/>
      <c r="BS149" s="885"/>
      <c r="BT149" s="885"/>
      <c r="BU149" s="885"/>
      <c r="BV149" s="885"/>
      <c r="BW149" s="1005"/>
      <c r="BX149" s="885"/>
      <c r="BY149" s="879"/>
      <c r="BZ149" s="2"/>
      <c r="CA149" s="885"/>
      <c r="CB149" s="885"/>
      <c r="CC149" s="2"/>
      <c r="CD149" s="504">
        <f>IFERROR(AVERAGEIF($V$7:AB$7,"&lt;="&amp;$I$7,V149:AB149),0)</f>
        <v>0</v>
      </c>
      <c r="CE149" s="2"/>
      <c r="CH149" s="93" t="str">
        <f t="shared" si="385"/>
        <v>BDCC - KM 210+900</v>
      </c>
    </row>
    <row r="150" spans="1:86" s="16" customFormat="1" ht="20.45" hidden="1" customHeight="1" outlineLevel="1" collapsed="1">
      <c r="A150" s="74"/>
      <c r="B150" s="1081" t="s">
        <v>3927</v>
      </c>
      <c r="C150" s="1071" t="s">
        <v>1437</v>
      </c>
      <c r="D150" s="2"/>
      <c r="E150" s="1083">
        <v>1</v>
      </c>
      <c r="F150" s="2"/>
      <c r="G150" s="53" t="s">
        <v>37</v>
      </c>
      <c r="H150" s="52">
        <f t="shared" si="386"/>
        <v>0</v>
      </c>
      <c r="I150" s="743" t="str">
        <f t="shared" ref="I150" si="401">IF(H150=0,IF(H151&gt;0,1,"-"),IFERROR(H151/H150,"-"))</f>
        <v>-</v>
      </c>
      <c r="J150" s="2"/>
      <c r="K150" s="80" t="str" cm="1">
        <f t="array" ref="K150">IF(
   SUM(IF($G$152:$G$157="P",IF(ISNUMBER(K152:K157),K152:K157,0)))&gt;0,
   SUM(IF($G$152:$G$157="P",IF(ISNUMBER(K152:K157),K152:K157,0))),
   IF(
      COUNTIFS($G$152:$G$157,"P",K152:K157,"X")&gt;0,
      "X",
      ""
   )
)</f>
        <v/>
      </c>
      <c r="L150" s="80" t="str" cm="1">
        <f t="array" ref="L150">IF(
   SUM(IF($G$152:$G$157="P",IF(ISNUMBER(L152:L157),L152:L157,0)))&gt;0,
   SUM(IF($G$152:$G$157="P",IF(ISNUMBER(L152:L157),L152:L157,0))),
   IF(
      COUNTIFS($G$152:$G$157,"P",L152:L157,"X")&gt;0,
      "X",
      ""
   )
)</f>
        <v/>
      </c>
      <c r="M150" s="80" t="str" cm="1">
        <f t="array" ref="M150">IF(
   SUM(IF($G$152:$G$157="P",IF(ISNUMBER(M152:M157),M152:M157,0)))&gt;0,
   SUM(IF($G$152:$G$157="P",IF(ISNUMBER(M152:M157),M152:M157,0))),
   IF(
      COUNTIFS($G$152:$G$157,"P",M152:M157,"X")&gt;0,
      "X",
      ""
   )
)</f>
        <v/>
      </c>
      <c r="N150" s="80" t="str" cm="1">
        <f t="array" ref="N150">IF(
   SUM(IF($G$152:$G$157="P",IF(ISNUMBER(N152:N157),N152:N157,0)))&gt;0,
   SUM(IF($G$152:$G$157="P",IF(ISNUMBER(N152:N157),N152:N157,0))),
   IF(
      COUNTIFS($G$152:$G$157,"P",N152:N157,"X")&gt;0,
      "X",
      ""
   )
)</f>
        <v>X</v>
      </c>
      <c r="O150" s="80" cm="1">
        <f t="array" ref="O150">IF(
   SUM(IF($G$152:$G$157="P",IF(ISNUMBER(O152:O157),O152:O157,0)))&gt;0,
   SUM(IF($G$152:$G$157="P",IF(ISNUMBER(O152:O157),O152:O157,0))),
   IF(
      COUNTIFS($G$152:$G$157,"P",O152:O157,"X")&gt;0,
      "X",
      ""
   )
)</f>
        <v>1</v>
      </c>
      <c r="P150" s="80" t="str" cm="1">
        <f t="array" ref="P150">IF(
   SUM(IF($G$152:$G$157="P",IF(ISNUMBER(P152:P157),P152:P157,0)))&gt;0,
   SUM(IF($G$152:$G$157="P",IF(ISNUMBER(P152:P157),P152:P157,0))),
   IF(
      COUNTIFS($G$152:$G$157,"P",P152:P157,"X")&gt;0,
      "X",
      ""
   )
)</f>
        <v/>
      </c>
      <c r="Q150" s="52"/>
      <c r="R150" s="2"/>
      <c r="S150" s="52">
        <f ca="1">SUMIF($K$7:Q$7,"&lt;="&amp;$I$7,K150:P150)</f>
        <v>1</v>
      </c>
      <c r="T150" s="743">
        <f ca="1">IFERROR((S151/S150),"-")</f>
        <v>1</v>
      </c>
      <c r="U150" s="2"/>
      <c r="V150" s="80" t="str" cm="1">
        <f t="array" ref="V150">IF(
   SUM(IF($G$152:$G$157="P",IF(ISNUMBER(V152:V157),V152:V157,0)))&gt;0,
   SUM(IF($G$152:$G$157="P",IF(ISNUMBER(V152:V157),V152:V157,0))),
   IF(
      COUNTIFS($G$152:$G$157,"P",V152:V157,"X")&gt;0,
      "X",
      ""
   )
)</f>
        <v/>
      </c>
      <c r="W150" s="80" t="str" cm="1">
        <f t="array" ref="W150">IF(
   SUM(IF($G$152:$G$157="P",IF(ISNUMBER(W152:W157),W152:W157,0)))&gt;0,
   SUM(IF($G$152:$G$157="P",IF(ISNUMBER(W152:W157),W152:W157,0))),
   IF(
      COUNTIFS($G$152:$G$157,"P",W152:W157,"X")&gt;0,
      "X",
      ""
   )
)</f>
        <v/>
      </c>
      <c r="X150" s="80" t="str" cm="1">
        <f t="array" ref="X150">IF(
   SUM(IF($G$152:$G$157="P",IF(ISNUMBER(X152:X157),X152:X157,0)))&gt;0,
   SUM(IF($G$152:$G$157="P",IF(ISNUMBER(X152:X157),X152:X157,0))),
   IF(
      COUNTIFS($G$152:$G$157,"P",X152:X157,"X")&gt;0,
      "X",
      ""
   )
)</f>
        <v>X</v>
      </c>
      <c r="Y150" s="80" cm="1">
        <f t="array" ref="Y150">IF(
   SUM(IF($G$152:$G$157="P",IF(ISNUMBER(Y152:Y157),Y152:Y157,0)))&gt;0,
   SUM(IF($G$152:$G$157="P",IF(ISNUMBER(Y152:Y157),Y152:Y157,0))),
   IF(
      COUNTIFS($G$152:$G$157,"P",Y152:Y157,"X")&gt;0,
      "X",
      ""
   )
)</f>
        <v>1</v>
      </c>
      <c r="Z150" s="80" t="str" cm="1">
        <f t="array" ref="Z150">IF(
   SUM(IF($G$152:$G$157="P",IF(ISNUMBER(Z152:Z157),Z152:Z157,0)))&gt;0,
   SUM(IF($G$152:$G$157="P",IF(ISNUMBER(Z152:Z157),Z152:Z157,0))),
   IF(
      COUNTIFS($G$152:$G$157,"P",Z152:Z157,"X")&gt;0,
      "X",
      ""
   )
)</f>
        <v/>
      </c>
      <c r="AA150" s="80" t="str" cm="1">
        <f t="array" ref="AA150">IF(
   SUM(IF($G$152:$G$157="P",IF(ISNUMBER(AA152:AA157),AA152:AA157,0)))&gt;0,
   SUM(IF($G$152:$G$157="P",IF(ISNUMBER(AA152:AA157),AA152:AA157,0))),
   IF(
      COUNTIFS($G$152:$G$157,"P",AA152:AA157,"X")&gt;0,
      "X",
      ""
   )
)</f>
        <v/>
      </c>
      <c r="AB150" s="52"/>
      <c r="AC150" s="2"/>
      <c r="AD150" s="52">
        <f>SUMIF($V$7:AB$7,"&lt;="&amp;$I$7,V150:AB150)</f>
        <v>1</v>
      </c>
      <c r="AE150" s="743">
        <f>IFERROR((AD151/AD150),"-")</f>
        <v>1</v>
      </c>
      <c r="AF150" s="2"/>
      <c r="AG150" s="80" t="str" cm="1">
        <f t="array" ref="AG150">IF(
   SUM(IF($G$152:$G$157="P",IF(ISNUMBER(AG152:AG157),AG152:AG157,0)))&gt;0,
   SUM(IF($G$152:$G$157="P",IF(ISNUMBER(AG152:AG157),AG152:AG157,0))),
   IF(
      COUNTIFS($G$152:$G$157,"P",AG152:AG157,"X")&gt;0,
      "X",
      ""
   )
)</f>
        <v/>
      </c>
      <c r="AH150" s="80" t="str" cm="1">
        <f t="array" ref="AH150">IF(
   SUM(IF($G$152:$G$157="P",IF(ISNUMBER(AH152:AH157),AH152:AH157,0)))&gt;0,
   SUM(IF($G$152:$G$157="P",IF(ISNUMBER(AH152:AH157),AH152:AH157,0))),
   IF(
      COUNTIFS($G$152:$G$157,"P",AH152:AH157,"X")&gt;0,
      "X",
      ""
   )
)</f>
        <v/>
      </c>
      <c r="AI150" s="80" t="str" cm="1">
        <f t="array" ref="AI150">IF(
   SUM(IF($G$152:$G$157="P",IF(ISNUMBER(AI152:AI157),AI152:AI157,0)))&gt;0,
   SUM(IF($G$152:$G$157="P",IF(ISNUMBER(AI152:AI157),AI152:AI157,0))),
   IF(
      COUNTIFS($G$152:$G$157,"P",AI152:AI157,"X")&gt;0,
      "X",
      ""
   )
)</f>
        <v/>
      </c>
      <c r="AJ150" s="80" t="str" cm="1">
        <f t="array" ref="AJ150">IF(
   SUM(IF($G$152:$G$157="P",IF(ISNUMBER(AJ152:AJ157),AJ152:AJ157,0)))&gt;0,
   SUM(IF($G$152:$G$157="P",IF(ISNUMBER(AJ152:AJ157),AJ152:AJ157,0))),
   IF(
      COUNTIFS($G$152:$G$157,"P",AJ152:AJ157,"X")&gt;0,
      "X",
      ""
   )
)</f>
        <v/>
      </c>
      <c r="AK150" s="80" t="str" cm="1">
        <f t="array" ref="AK150">IF(
   SUM(IF($G$152:$G$157="P",IF(ISNUMBER(AK152:AK157),AK152:AK157,0)))&gt;0,
   SUM(IF($G$152:$G$157="P",IF(ISNUMBER(AK152:AK157),AK152:AK157,0))),
   IF(
      COUNTIFS($G$152:$G$157,"P",AK152:AK157,"X")&gt;0,
      "X",
      ""
   )
)</f>
        <v/>
      </c>
      <c r="AL150" s="80" t="str" cm="1">
        <f t="array" ref="AL150">IF(
   SUM(IF($G$152:$G$157="P",IF(ISNUMBER(AL152:AL157),AL152:AL157,0)))&gt;0,
   SUM(IF($G$152:$G$157="P",IF(ISNUMBER(AL152:AL157),AL152:AL157,0))),
   IF(
      COUNTIFS($G$152:$G$157,"P",AL152:AL157,"X")&gt;0,
      "X",
      ""
   )
)</f>
        <v/>
      </c>
      <c r="AM150" s="52"/>
      <c r="AN150" s="2"/>
      <c r="AO150" s="52">
        <f ca="1">SUMIF($AG$7:AM$7,"&lt;="&amp;$I$7,AG150:AL150)</f>
        <v>0</v>
      </c>
      <c r="AP150" s="743" t="str">
        <f ca="1">IFERROR((AO151/AO150),"-")</f>
        <v>-</v>
      </c>
      <c r="AQ150" s="2"/>
      <c r="AR150" s="80" t="str" cm="1">
        <f t="array" ref="AR150">IF(
   SUM(IF($G$152:$G$157="P",IF(ISNUMBER(AR152:AR157),AR152:AR157,0)))&gt;0,
   SUM(IF($G$152:$G$157="P",IF(ISNUMBER(AR152:AR157),AR152:AR157,0))),
   IF(
      COUNTIFS($G$152:$G$157,"P",AR152:AR157,"X")&gt;0,
      "X",
      ""
   )
)</f>
        <v/>
      </c>
      <c r="AS150" s="80" t="str" cm="1">
        <f t="array" ref="AS150">IF(
   SUM(IF($G$152:$G$157="P",IF(ISNUMBER(AS152:AS157),AS152:AS157,0)))&gt;0,
   SUM(IF($G$152:$G$157="P",IF(ISNUMBER(AS152:AS157),AS152:AS157,0))),
   IF(
      COUNTIFS($G$152:$G$157,"P",AS152:AS157,"X")&gt;0,
      "X",
      ""
   )
)</f>
        <v/>
      </c>
      <c r="AT150" s="80" t="str" cm="1">
        <f t="array" ref="AT150">IF(
   SUM(IF($G$152:$G$157="P",IF(ISNUMBER(AT152:AT157),AT152:AT157,0)))&gt;0,
   SUM(IF($G$152:$G$157="P",IF(ISNUMBER(AT152:AT157),AT152:AT157,0))),
   IF(
      COUNTIFS($G$152:$G$157,"P",AT152:AT157,"X")&gt;0,
      "X",
      ""
   )
)</f>
        <v/>
      </c>
      <c r="AU150" s="80" t="str" cm="1">
        <f t="array" ref="AU150">IF(
   SUM(IF($G$152:$G$157="P",IF(ISNUMBER(AU152:AU157),AU152:AU157,0)))&gt;0,
   SUM(IF($G$152:$G$157="P",IF(ISNUMBER(AU152:AU157),AU152:AU157,0))),
   IF(
      COUNTIFS($G$152:$G$157,"P",AU152:AU157,"X")&gt;0,
      "X",
      ""
   )
)</f>
        <v/>
      </c>
      <c r="AV150" s="80" t="str" cm="1">
        <f t="array" ref="AV150">IF(
   SUM(IF($G$152:$G$157="P",IF(ISNUMBER(AV152:AV157),AV152:AV157,0)))&gt;0,
   SUM(IF($G$152:$G$157="P",IF(ISNUMBER(AV152:AV157),AV152:AV157,0))),
   IF(
      COUNTIFS($G$152:$G$157,"P",AV152:AV157,"X")&gt;0,
      "X",
      ""
   )
)</f>
        <v/>
      </c>
      <c r="AW150" s="80" t="str" cm="1">
        <f t="array" ref="AW150">IF(
   SUM(IF($G$152:$G$157="P",IF(ISNUMBER(AW152:AW157),AW152:AW157,0)))&gt;0,
   SUM(IF($G$152:$G$157="P",IF(ISNUMBER(AW152:AW157),AW152:AW157,0))),
   IF(
      COUNTIFS($G$152:$G$157,"P",AW152:AW157,"X")&gt;0,
      "X",
      ""
   )
)</f>
        <v/>
      </c>
      <c r="AX150" s="52"/>
      <c r="AY150" s="2"/>
      <c r="AZ150" s="52">
        <f ca="1">SUMIF($AR$7:AX$7,"&lt;="&amp;$I$7,AR150:AW150)</f>
        <v>0</v>
      </c>
      <c r="BA150" s="743" t="str">
        <f ca="1">IFERROR((AZ151/AZ150),"-")</f>
        <v>-</v>
      </c>
      <c r="BB150" s="2"/>
      <c r="BC150" s="80" t="str" cm="1">
        <f t="array" ref="BC150">IF(
   SUM(IF($G$152:$G$157="P",IF(ISNUMBER(BC152:BC157),BC152:BC157,0)))&gt;0,
   SUM(IF($G$152:$G$157="P",IF(ISNUMBER(BC152:BC157),BC152:BC157,0))),
   IF(
      COUNTIFS($G$152:$G$157,"P",BC152:BC157,"X")&gt;0,
      "X",
      ""
   )
)</f>
        <v/>
      </c>
      <c r="BD150" s="80" t="str" cm="1">
        <f t="array" ref="BD150">IF(
   SUM(IF($G$152:$G$157="P",IF(ISNUMBER(BD152:BD157),BD152:BD157,0)))&gt;0,
   SUM(IF($G$152:$G$157="P",IF(ISNUMBER(BD152:BD157),BD152:BD157,0))),
   IF(
      COUNTIFS($G$152:$G$157,"P",BD152:BD157,"X")&gt;0,
      "X",
      ""
   )
)</f>
        <v/>
      </c>
      <c r="BE150" s="80" t="str" cm="1">
        <f t="array" ref="BE150">IF(
   SUM(IF($G$152:$G$157="P",IF(ISNUMBER(BE152:BE157),BE152:BE157,0)))&gt;0,
   SUM(IF($G$152:$G$157="P",IF(ISNUMBER(BE152:BE157),BE152:BE157,0))),
   IF(
      COUNTIFS($G$152:$G$157,"P",BE152:BE157,"X")&gt;0,
      "X",
      ""
   )
)</f>
        <v/>
      </c>
      <c r="BF150" s="80" t="str" cm="1">
        <f t="array" ref="BF150">IF(
   SUM(IF($G$152:$G$157="P",IF(ISNUMBER(BF152:BF157),BF152:BF157,0)))&gt;0,
   SUM(IF($G$152:$G$157="P",IF(ISNUMBER(BF152:BF157),BF152:BF157,0))),
   IF(
      COUNTIFS($G$152:$G$157,"P",BF152:BF157,"X")&gt;0,
      "X",
      ""
   )
)</f>
        <v/>
      </c>
      <c r="BG150" s="80" t="str" cm="1">
        <f t="array" ref="BG150">IF(
   SUM(IF($G$152:$G$157="P",IF(ISNUMBER(BG152:BG157),BG152:BG157,0)))&gt;0,
   SUM(IF($G$152:$G$157="P",IF(ISNUMBER(BG152:BG157),BG152:BG157,0))),
   IF(
      COUNTIFS($G$152:$G$157,"P",BG152:BG157,"X")&gt;0,
      "X",
      ""
   )
)</f>
        <v/>
      </c>
      <c r="BH150" s="80" t="str" cm="1">
        <f t="array" ref="BH150">IF(
   SUM(IF($G$152:$G$157="P",IF(ISNUMBER(BH152:BH157),BH152:BH157,0)))&gt;0,
   SUM(IF($G$152:$G$157="P",IF(ISNUMBER(BH152:BH157),BH152:BH157,0))),
   IF(
      COUNTIFS($G$152:$G$157,"P",BH152:BH157,"X")&gt;0,
      "X",
      ""
   )
)</f>
        <v/>
      </c>
      <c r="BI150" s="52"/>
      <c r="BJ150" s="2"/>
      <c r="BK150" s="52">
        <f ca="1">SUMIF($BC$7:BI$7,"&lt;="&amp;$I$7,BC150:BH150)</f>
        <v>0</v>
      </c>
      <c r="BL150" s="743" t="str">
        <f ca="1">IFERROR((BK151/BK150),"-")</f>
        <v>-</v>
      </c>
      <c r="BM150" s="2"/>
      <c r="BN150" s="888">
        <v>0</v>
      </c>
      <c r="BO150" s="888">
        <v>0</v>
      </c>
      <c r="BP150" s="888">
        <f>SUM(BP152:BP157)</f>
        <v>2</v>
      </c>
      <c r="BQ150" s="743">
        <f t="shared" ref="BQ150" si="402">IF(AND(BO150=0,BP150=0),"-",IF(BO150=0,1,BP150/BO150))</f>
        <v>1</v>
      </c>
      <c r="BR150" s="2"/>
      <c r="BS150" s="888"/>
      <c r="BT150" s="888"/>
      <c r="BU150" s="888">
        <f ca="1">E150+S151+AD151+AO151+AZ151+BK151</f>
        <v>3</v>
      </c>
      <c r="BV150" s="888">
        <v>104</v>
      </c>
      <c r="BW150" s="1019">
        <f ca="1">IFERROR((BU150/BV150),"-")</f>
        <v>2.8846153846153848E-2</v>
      </c>
      <c r="BX150" s="888">
        <v>0</v>
      </c>
      <c r="BY150" s="743" t="str">
        <f ca="1">IFERROR((BU150/BX150),"-")</f>
        <v>-</v>
      </c>
      <c r="BZ150" s="2"/>
      <c r="CA150" s="888">
        <v>23</v>
      </c>
      <c r="CB150" s="888">
        <v>0</v>
      </c>
      <c r="CC150" s="2"/>
      <c r="CD150" s="84">
        <f>IFERROR(AVERAGEIF($V$7:AB$7,"&lt;="&amp;$I$7,V150:AB150),0)</f>
        <v>1</v>
      </c>
      <c r="CE150" s="2"/>
      <c r="CH150" s="93" t="str">
        <f t="shared" si="385"/>
        <v>BUEIROS - CONCRETAGEM DO BERÇO</v>
      </c>
    </row>
    <row r="151" spans="1:86" s="16" customFormat="1" ht="20.45" hidden="1" customHeight="1" outlineLevel="2">
      <c r="A151" s="74"/>
      <c r="B151" s="1082"/>
      <c r="C151" s="1072"/>
      <c r="D151" s="2"/>
      <c r="E151" s="1060"/>
      <c r="F151" s="2"/>
      <c r="G151" s="54" t="s">
        <v>38</v>
      </c>
      <c r="H151" s="52">
        <f t="shared" si="386"/>
        <v>0</v>
      </c>
      <c r="I151" s="744"/>
      <c r="J151" s="2"/>
      <c r="K151" s="80" t="str" cm="1">
        <f t="array" ref="K151">IF(
   SUM(IF($G$152:$G$157="R",IF(ISNUMBER(K152:K157),K152:K157,0)))&gt;0,
   SUM(IF($G$152:$G$157="R",IF(ISNUMBER(K152:K157),K152:K157,0))),
   IF(
      COUNTIFS($G$152:$G$157,"R",K152:K157,"X")&gt;0,
      "X",
      ""
   )
)</f>
        <v/>
      </c>
      <c r="L151" s="80" t="str" cm="1">
        <f t="array" ref="L151">IF(
   SUM(IF($G$152:$G$157="R",IF(ISNUMBER(L152:L157),L152:L157,0)))&gt;0,
   SUM(IF($G$152:$G$157="R",IF(ISNUMBER(L152:L157),L152:L157,0))),
   IF(
      COUNTIFS($G$152:$G$157,"R",L152:L157,"X")&gt;0,
      "X",
      ""
   )
)</f>
        <v/>
      </c>
      <c r="M151" s="80" t="str" cm="1">
        <f t="array" ref="M151">IF(
   SUM(IF($G$152:$G$157="R",IF(ISNUMBER(M152:M157),M152:M157,0)))&gt;0,
   SUM(IF($G$152:$G$157="R",IF(ISNUMBER(M152:M157),M152:M157,0))),
   IF(
      COUNTIFS($G$152:$G$157,"R",M152:M157,"X")&gt;0,
      "X",
      ""
   )
)</f>
        <v/>
      </c>
      <c r="N151" s="80" t="str" cm="1">
        <f t="array" ref="N151">IF(
   SUM(IF($G$152:$G$157="R",IF(ISNUMBER(N152:N157),N152:N157,0)))&gt;0,
   SUM(IF($G$152:$G$157="R",IF(ISNUMBER(N152:N157),N152:N157,0))),
   IF(
      COUNTIFS($G$152:$G$157,"R",N152:N157,"X")&gt;0,
      "X",
      ""
   )
)</f>
        <v/>
      </c>
      <c r="O151" s="80" t="str" cm="1">
        <f t="array" ref="O151">IF(
   SUM(IF($G$152:$G$157="R",IF(ISNUMBER(O152:O157),O152:O157,0)))&gt;0,
   SUM(IF($G$152:$G$157="R",IF(ISNUMBER(O152:O157),O152:O157,0))),
   IF(
      COUNTIFS($G$152:$G$157,"R",O152:O157,"X")&gt;0,
      "X",
      ""
   )
)</f>
        <v/>
      </c>
      <c r="P151" s="80" cm="1">
        <f t="array" ref="P151">IF(
   SUM(IF($G$152:$G$157="R",IF(ISNUMBER(P152:P157),P152:P157,0)))&gt;0,
   SUM(IF($G$152:$G$157="R",IF(ISNUMBER(P152:P157),P152:P157,0))),
   IF(
      COUNTIFS($G$152:$G$157,"R",P152:P157,"X")&gt;0,
      "X",
      ""
   )
)</f>
        <v>1</v>
      </c>
      <c r="Q151" s="52"/>
      <c r="R151" s="2"/>
      <c r="S151" s="52">
        <f ca="1">SUMIF($K$7:Q$7,"&lt;="&amp;$I$7,K151:P151)</f>
        <v>1</v>
      </c>
      <c r="T151" s="744"/>
      <c r="U151" s="2"/>
      <c r="V151" s="80" t="str" cm="1">
        <f t="array" ref="V151">IF(
   SUM(IF($G$152:$G$157="R",IF(ISNUMBER(V152:V157),V152:V157,0)))&gt;0,
   SUM(IF($G$152:$G$157="R",IF(ISNUMBER(V152:V157),V152:V157,0))),
   IF(
      COUNTIFS($G$152:$G$157,"R",V152:V157,"X")&gt;0,
      "X",
      ""
   )
)</f>
        <v>X</v>
      </c>
      <c r="W151" s="80" t="str" cm="1">
        <f t="array" ref="W151">IF(
   SUM(IF($G$152:$G$157="R",IF(ISNUMBER(W152:W157),W152:W157,0)))&gt;0,
   SUM(IF($G$152:$G$157="R",IF(ISNUMBER(W152:W157),W152:W157,0))),
   IF(
      COUNTIFS($G$152:$G$157,"R",W152:W157,"X")&gt;0,
      "X",
      ""
   )
)</f>
        <v/>
      </c>
      <c r="X151" s="80" t="str" cm="1">
        <f t="array" ref="X151">IF(
   SUM(IF($G$152:$G$157="R",IF(ISNUMBER(X152:X157),X152:X157,0)))&gt;0,
   SUM(IF($G$152:$G$157="R",IF(ISNUMBER(X152:X157),X152:X157,0))),
   IF(
      COUNTIFS($G$152:$G$157,"R",X152:X157,"X")&gt;0,
      "X",
      ""
   )
)</f>
        <v/>
      </c>
      <c r="Y151" s="80" t="str" cm="1">
        <f t="array" ref="Y151">IF(
   SUM(IF($G$152:$G$157="R",IF(ISNUMBER(Y152:Y157),Y152:Y157,0)))&gt;0,
   SUM(IF($G$152:$G$157="R",IF(ISNUMBER(Y152:Y157),Y152:Y157,0))),
   IF(
      COUNTIFS($G$152:$G$157,"R",Y152:Y157,"X")&gt;0,
      "X",
      ""
   )
)</f>
        <v/>
      </c>
      <c r="Z151" s="80" t="str" cm="1">
        <f t="array" ref="Z151">IF(
   SUM(IF($G$152:$G$157="R",IF(ISNUMBER(Z152:Z157),Z152:Z157,0)))&gt;0,
   SUM(IF($G$152:$G$157="R",IF(ISNUMBER(Z152:Z157),Z152:Z157,0))),
   IF(
      COUNTIFS($G$152:$G$157,"R",Z152:Z157,"X")&gt;0,
      "X",
      ""
   )
)</f>
        <v/>
      </c>
      <c r="AA151" s="80" cm="1">
        <f t="array" ref="AA151">IF(
   SUM(IF($G$152:$G$157="R",IF(ISNUMBER(AA152:AA157),AA152:AA157,0)))&gt;0,
   SUM(IF($G$152:$G$157="R",IF(ISNUMBER(AA152:AA157),AA152:AA157,0))),
   IF(
      COUNTIFS($G$152:$G$157,"R",AA152:AA157,"X")&gt;0,
      "X",
      ""
   )
)</f>
        <v>1</v>
      </c>
      <c r="AB151" s="52"/>
      <c r="AC151" s="2"/>
      <c r="AD151" s="52">
        <f>SUMIF($V$7:AB$7,"&lt;="&amp;$I$7,V151:AB151)</f>
        <v>1</v>
      </c>
      <c r="AE151" s="744"/>
      <c r="AF151" s="2"/>
      <c r="AG151" s="80" t="str" cm="1">
        <f t="array" ref="AG151">IF(
   SUM(IF($G$152:$G$157="R",IF(ISNUMBER(AG152:AG157),AG152:AG157,0)))&gt;0,
   SUM(IF($G$152:$G$157="R",IF(ISNUMBER(AG152:AG157),AG152:AG157,0))),
   IF(
      COUNTIFS($G$152:$G$157,"R",AG152:AG157,"X")&gt;0,
      "X",
      ""
   )
)</f>
        <v>X</v>
      </c>
      <c r="AH151" s="80" t="str" cm="1">
        <f t="array" ref="AH151">IF(
   SUM(IF($G$152:$G$157="R",IF(ISNUMBER(AH152:AH157),AH152:AH157,0)))&gt;0,
   SUM(IF($G$152:$G$157="R",IF(ISNUMBER(AH152:AH157),AH152:AH157,0))),
   IF(
      COUNTIFS($G$152:$G$157,"R",AH152:AH157,"X")&gt;0,
      "X",
      ""
   )
)</f>
        <v/>
      </c>
      <c r="AI151" s="80" t="str" cm="1">
        <f t="array" ref="AI151">IF(
   SUM(IF($G$152:$G$157="R",IF(ISNUMBER(AI152:AI157),AI152:AI157,0)))&gt;0,
   SUM(IF($G$152:$G$157="R",IF(ISNUMBER(AI152:AI157),AI152:AI157,0))),
   IF(
      COUNTIFS($G$152:$G$157,"R",AI152:AI157,"X")&gt;0,
      "X",
      ""
   )
)</f>
        <v/>
      </c>
      <c r="AJ151" s="80" t="str" cm="1">
        <f t="array" ref="AJ151">IF(
   SUM(IF($G$152:$G$157="R",IF(ISNUMBER(AJ152:AJ157),AJ152:AJ157,0)))&gt;0,
   SUM(IF($G$152:$G$157="R",IF(ISNUMBER(AJ152:AJ157),AJ152:AJ157,0))),
   IF(
      COUNTIFS($G$152:$G$157,"R",AJ152:AJ157,"X")&gt;0,
      "X",
      ""
   )
)</f>
        <v/>
      </c>
      <c r="AK151" s="80" t="str" cm="1">
        <f t="array" ref="AK151">IF(
   SUM(IF($G$152:$G$157="R",IF(ISNUMBER(AK152:AK157),AK152:AK157,0)))&gt;0,
   SUM(IF($G$152:$G$157="R",IF(ISNUMBER(AK152:AK157),AK152:AK157,0))),
   IF(
      COUNTIFS($G$152:$G$157,"R",AK152:AK157,"X")&gt;0,
      "X",
      ""
   )
)</f>
        <v/>
      </c>
      <c r="AL151" s="80" t="str" cm="1">
        <f t="array" ref="AL151">IF(
   SUM(IF($G$152:$G$157="R",IF(ISNUMBER(AL152:AL157),AL152:AL157,0)))&gt;0,
   SUM(IF($G$152:$G$157="R",IF(ISNUMBER(AL152:AL157),AL152:AL157,0))),
   IF(
      COUNTIFS($G$152:$G$157,"R",AL152:AL157,"X")&gt;0,
      "X",
      ""
   )
)</f>
        <v/>
      </c>
      <c r="AM151" s="52"/>
      <c r="AN151" s="2"/>
      <c r="AO151" s="52">
        <f ca="1">SUMIF($AG$7:AM$7,"&lt;="&amp;$I$7,AG151:AL151)</f>
        <v>0</v>
      </c>
      <c r="AP151" s="744"/>
      <c r="AQ151" s="2"/>
      <c r="AR151" s="80" t="str" cm="1">
        <f t="array" ref="AR151">IF(
   SUM(IF($G$152:$G$157="R",IF(ISNUMBER(AR152:AR157),AR152:AR157,0)))&gt;0,
   SUM(IF($G$152:$G$157="R",IF(ISNUMBER(AR152:AR157),AR152:AR157,0))),
   IF(
      COUNTIFS($G$152:$G$157,"R",AR152:AR157,"X")&gt;0,
      "X",
      ""
   )
)</f>
        <v/>
      </c>
      <c r="AS151" s="80" t="str" cm="1">
        <f t="array" ref="AS151">IF(
   SUM(IF($G$152:$G$157="R",IF(ISNUMBER(AS152:AS157),AS152:AS157,0)))&gt;0,
   SUM(IF($G$152:$G$157="R",IF(ISNUMBER(AS152:AS157),AS152:AS157,0))),
   IF(
      COUNTIFS($G$152:$G$157,"R",AS152:AS157,"X")&gt;0,
      "X",
      ""
   )
)</f>
        <v/>
      </c>
      <c r="AT151" s="80" t="str" cm="1">
        <f t="array" ref="AT151">IF(
   SUM(IF($G$152:$G$157="R",IF(ISNUMBER(AT152:AT157),AT152:AT157,0)))&gt;0,
   SUM(IF($G$152:$G$157="R",IF(ISNUMBER(AT152:AT157),AT152:AT157,0))),
   IF(
      COUNTIFS($G$152:$G$157,"R",AT152:AT157,"X")&gt;0,
      "X",
      ""
   )
)</f>
        <v/>
      </c>
      <c r="AU151" s="80" t="str" cm="1">
        <f t="array" ref="AU151">IF(
   SUM(IF($G$152:$G$157="R",IF(ISNUMBER(AU152:AU157),AU152:AU157,0)))&gt;0,
   SUM(IF($G$152:$G$157="R",IF(ISNUMBER(AU152:AU157),AU152:AU157,0))),
   IF(
      COUNTIFS($G$152:$G$157,"R",AU152:AU157,"X")&gt;0,
      "X",
      ""
   )
)</f>
        <v/>
      </c>
      <c r="AV151" s="80" t="str" cm="1">
        <f t="array" ref="AV151">IF(
   SUM(IF($G$152:$G$157="R",IF(ISNUMBER(AV152:AV157),AV152:AV157,0)))&gt;0,
   SUM(IF($G$152:$G$157="R",IF(ISNUMBER(AV152:AV157),AV152:AV157,0))),
   IF(
      COUNTIFS($G$152:$G$157,"R",AV152:AV157,"X")&gt;0,
      "X",
      ""
   )
)</f>
        <v/>
      </c>
      <c r="AW151" s="80" t="str" cm="1">
        <f t="array" ref="AW151">IF(
   SUM(IF($G$152:$G$157="R",IF(ISNUMBER(AW152:AW157),AW152:AW157,0)))&gt;0,
   SUM(IF($G$152:$G$157="R",IF(ISNUMBER(AW152:AW157),AW152:AW157,0))),
   IF(
      COUNTIFS($G$152:$G$157,"R",AW152:AW157,"X")&gt;0,
      "X",
      ""
   )
)</f>
        <v/>
      </c>
      <c r="AX151" s="52"/>
      <c r="AY151" s="2"/>
      <c r="AZ151" s="52">
        <f ca="1">SUMIF($AR$7:AX$7,"&lt;="&amp;$I$7,AR151:AW151)</f>
        <v>0</v>
      </c>
      <c r="BA151" s="744"/>
      <c r="BB151" s="2"/>
      <c r="BC151" s="80" t="str" cm="1">
        <f t="array" ref="BC151">IF(
   SUM(IF($G$152:$G$157="R",IF(ISNUMBER(BC152:BC157),BC152:BC157,0)))&gt;0,
   SUM(IF($G$152:$G$157="R",IF(ISNUMBER(BC152:BC157),BC152:BC157,0))),
   IF(
      COUNTIFS($G$152:$G$157,"R",BC152:BC157,"X")&gt;0,
      "X",
      ""
   )
)</f>
        <v/>
      </c>
      <c r="BD151" s="80" t="str" cm="1">
        <f t="array" ref="BD151">IF(
   SUM(IF($G$152:$G$157="R",IF(ISNUMBER(BD152:BD157),BD152:BD157,0)))&gt;0,
   SUM(IF($G$152:$G$157="R",IF(ISNUMBER(BD152:BD157),BD152:BD157,0))),
   IF(
      COUNTIFS($G$152:$G$157,"R",BD152:BD157,"X")&gt;0,
      "X",
      ""
   )
)</f>
        <v/>
      </c>
      <c r="BE151" s="80" t="str" cm="1">
        <f t="array" ref="BE151">IF(
   SUM(IF($G$152:$G$157="R",IF(ISNUMBER(BE152:BE157),BE152:BE157,0)))&gt;0,
   SUM(IF($G$152:$G$157="R",IF(ISNUMBER(BE152:BE157),BE152:BE157,0))),
   IF(
      COUNTIFS($G$152:$G$157,"R",BE152:BE157,"X")&gt;0,
      "X",
      ""
   )
)</f>
        <v/>
      </c>
      <c r="BF151" s="80" t="str" cm="1">
        <f t="array" ref="BF151">IF(
   SUM(IF($G$152:$G$157="R",IF(ISNUMBER(BF152:BF157),BF152:BF157,0)))&gt;0,
   SUM(IF($G$152:$G$157="R",IF(ISNUMBER(BF152:BF157),BF152:BF157,0))),
   IF(
      COUNTIFS($G$152:$G$157,"R",BF152:BF157,"X")&gt;0,
      "X",
      ""
   )
)</f>
        <v/>
      </c>
      <c r="BG151" s="80" t="str" cm="1">
        <f t="array" ref="BG151">IF(
   SUM(IF($G$152:$G$157="R",IF(ISNUMBER(BG152:BG157),BG152:BG157,0)))&gt;0,
   SUM(IF($G$152:$G$157="R",IF(ISNUMBER(BG152:BG157),BG152:BG157,0))),
   IF(
      COUNTIFS($G$152:$G$157,"R",BG152:BG157,"X")&gt;0,
      "X",
      ""
   )
)</f>
        <v/>
      </c>
      <c r="BH151" s="80" t="str" cm="1">
        <f t="array" ref="BH151">IF(
   SUM(IF($G$152:$G$157="R",IF(ISNUMBER(BH152:BH157),BH152:BH157,0)))&gt;0,
   SUM(IF($G$152:$G$157="R",IF(ISNUMBER(BH152:BH157),BH152:BH157,0))),
   IF(
      COUNTIFS($G$152:$G$157,"R",BH152:BH157,"X")&gt;0,
      "X",
      ""
   )
)</f>
        <v/>
      </c>
      <c r="BI151" s="52"/>
      <c r="BJ151" s="2"/>
      <c r="BK151" s="52">
        <f ca="1">SUMIF($BC$7:BI$7,"&lt;="&amp;$I$7,BC151:BH151)</f>
        <v>0</v>
      </c>
      <c r="BL151" s="744"/>
      <c r="BM151" s="2"/>
      <c r="BN151" s="889"/>
      <c r="BO151" s="889"/>
      <c r="BP151" s="889"/>
      <c r="BQ151" s="744"/>
      <c r="BR151" s="2"/>
      <c r="BS151" s="889"/>
      <c r="BT151" s="889"/>
      <c r="BU151" s="889"/>
      <c r="BV151" s="889"/>
      <c r="BW151" s="1020"/>
      <c r="BX151" s="889"/>
      <c r="BY151" s="744"/>
      <c r="BZ151" s="2"/>
      <c r="CA151" s="889"/>
      <c r="CB151" s="889"/>
      <c r="CC151" s="2"/>
      <c r="CD151" s="84">
        <f>IFERROR(AVERAGEIF($V$7:AB$7,"&lt;="&amp;$I$7,V151:AB151),0)</f>
        <v>1</v>
      </c>
      <c r="CE151" s="2"/>
      <c r="CH151" s="93" t="str">
        <f t="shared" si="385"/>
        <v>BUEIROS - CONCRETAGEM DO BERÇO</v>
      </c>
    </row>
    <row r="152" spans="1:86" s="21" customFormat="1" ht="15.95" hidden="1" customHeight="1" outlineLevel="2">
      <c r="A152" s="74"/>
      <c r="B152" s="1046" t="s">
        <v>3924</v>
      </c>
      <c r="C152" s="1014" t="s">
        <v>1437</v>
      </c>
      <c r="D152" s="2"/>
      <c r="E152" s="1004">
        <v>1</v>
      </c>
      <c r="F152" s="2"/>
      <c r="G152" s="49" t="s">
        <v>37</v>
      </c>
      <c r="H152" s="705">
        <f t="shared" si="386"/>
        <v>0</v>
      </c>
      <c r="I152" s="878" t="str">
        <f t="shared" ref="I152" si="403">IF(H152=0,IF(H153&gt;0,1,"-"),IFERROR(H153/H152,"-"))</f>
        <v>-</v>
      </c>
      <c r="J152" s="2"/>
      <c r="K152" s="705"/>
      <c r="L152" s="705"/>
      <c r="M152" s="705"/>
      <c r="N152" s="705"/>
      <c r="O152" s="705"/>
      <c r="P152" s="705"/>
      <c r="Q152" s="705"/>
      <c r="R152" s="2"/>
      <c r="S152" s="705">
        <f ca="1">SUMIF($K$7:Q$7,"&lt;="&amp;$I$7,K152:P152)</f>
        <v>0</v>
      </c>
      <c r="T152" s="878" t="str">
        <f ca="1">IFERROR((S153/S152),"-")</f>
        <v>-</v>
      </c>
      <c r="U152" s="2"/>
      <c r="V152" s="705"/>
      <c r="W152" s="705"/>
      <c r="X152" s="705"/>
      <c r="Y152" s="705"/>
      <c r="Z152" s="705"/>
      <c r="AA152" s="705"/>
      <c r="AB152" s="705"/>
      <c r="AC152" s="2"/>
      <c r="AD152" s="705">
        <f ca="1">SUMIF($V$7:AB$7,"&lt;="&amp;$I$7,V152:AA152)</f>
        <v>0</v>
      </c>
      <c r="AE152" s="878" t="str">
        <f ca="1">IFERROR((AD153/AD152),"-")</f>
        <v>-</v>
      </c>
      <c r="AF152" s="2"/>
      <c r="AG152" s="705"/>
      <c r="AH152" s="705"/>
      <c r="AI152" s="705"/>
      <c r="AJ152" s="705"/>
      <c r="AK152" s="705"/>
      <c r="AL152" s="705"/>
      <c r="AM152" s="705"/>
      <c r="AN152" s="2"/>
      <c r="AO152" s="705">
        <f ca="1">SUMIF($AG$7:AM$7,"&lt;="&amp;$I$7,AG152:AL152)</f>
        <v>0</v>
      </c>
      <c r="AP152" s="878" t="str">
        <f ca="1">IFERROR((AO153/AO152),"-")</f>
        <v>-</v>
      </c>
      <c r="AQ152" s="2"/>
      <c r="AR152" s="705"/>
      <c r="AS152" s="705"/>
      <c r="AT152" s="705"/>
      <c r="AU152" s="705"/>
      <c r="AV152" s="705"/>
      <c r="AW152" s="705"/>
      <c r="AX152" s="705"/>
      <c r="AY152" s="2"/>
      <c r="AZ152" s="705">
        <f ca="1">SUMIF($AR$7:AX$7,"&lt;="&amp;$I$7,AR152:AW152)</f>
        <v>0</v>
      </c>
      <c r="BA152" s="878" t="str">
        <f ca="1">IFERROR((AZ153/AZ152),"-")</f>
        <v>-</v>
      </c>
      <c r="BB152" s="2"/>
      <c r="BC152" s="705"/>
      <c r="BD152" s="705"/>
      <c r="BE152" s="705"/>
      <c r="BF152" s="705"/>
      <c r="BG152" s="705"/>
      <c r="BH152" s="705"/>
      <c r="BI152" s="705"/>
      <c r="BJ152" s="2"/>
      <c r="BK152" s="705">
        <f ca="1">SUMIF($BC$7:BI$7,"&lt;="&amp;$I$7,BC152:BH152)</f>
        <v>0</v>
      </c>
      <c r="BL152" s="878" t="str">
        <f ca="1">IFERROR((BK153/BK152),"-")</f>
        <v>-</v>
      </c>
      <c r="BM152" s="2"/>
      <c r="BN152" s="884">
        <v>0</v>
      </c>
      <c r="BO152" s="884">
        <v>0</v>
      </c>
      <c r="BP152" s="884">
        <f>SUM(M153:P153,V153:AB153,AG153:AM153,AR153:AX153,BC153:BI153)</f>
        <v>0</v>
      </c>
      <c r="BQ152" s="878" t="str">
        <f t="shared" ref="BQ152" si="404">IF(AND(BO152=0,BP152=0),"-",IF(BO152=0,1,BP152/BO152))</f>
        <v>-</v>
      </c>
      <c r="BR152" s="2"/>
      <c r="BS152" s="884"/>
      <c r="BT152" s="884"/>
      <c r="BU152" s="884">
        <f ca="1">E152+Q153+AD153+AO153+AZ153+BK153</f>
        <v>1</v>
      </c>
      <c r="BV152" s="704">
        <v>104</v>
      </c>
      <c r="BW152" s="716">
        <f ca="1">IFERROR((BU152/BV152),"-")</f>
        <v>9.6153846153846159E-3</v>
      </c>
      <c r="BX152" s="884">
        <v>0</v>
      </c>
      <c r="BY152" s="878" t="str">
        <f ca="1">IFERROR((BU152/BX152),"-")</f>
        <v>-</v>
      </c>
      <c r="BZ152" s="2"/>
      <c r="CA152" s="884">
        <v>1</v>
      </c>
      <c r="CB152" s="884">
        <v>0</v>
      </c>
      <c r="CC152" s="2"/>
      <c r="CD152" s="504">
        <f>IFERROR(AVERAGEIF($V$7:AB$7,"&lt;="&amp;$I$7,V152:AB152),0)</f>
        <v>0</v>
      </c>
      <c r="CE152" s="2"/>
      <c r="CH152" s="93" t="str">
        <f t="shared" si="385"/>
        <v>BSCC - KM 224+286</v>
      </c>
    </row>
    <row r="153" spans="1:86" s="16" customFormat="1" ht="20.45" hidden="1" customHeight="1" outlineLevel="2">
      <c r="A153" s="74"/>
      <c r="B153" s="1047"/>
      <c r="C153" s="1034"/>
      <c r="D153" s="2"/>
      <c r="E153" s="1024"/>
      <c r="F153" s="2"/>
      <c r="G153" s="50" t="s">
        <v>38</v>
      </c>
      <c r="H153" s="705">
        <f t="shared" si="386"/>
        <v>0</v>
      </c>
      <c r="I153" s="879"/>
      <c r="J153" s="2"/>
      <c r="K153" s="76"/>
      <c r="L153" s="76"/>
      <c r="M153" s="76"/>
      <c r="N153" s="76"/>
      <c r="O153" s="76"/>
      <c r="P153" s="76"/>
      <c r="Q153" s="706"/>
      <c r="R153" s="2"/>
      <c r="S153" s="705">
        <f ca="1">SUMIF($K$7:Q$7,"&lt;="&amp;$I$7,K153:P153)</f>
        <v>0</v>
      </c>
      <c r="T153" s="879"/>
      <c r="U153" s="2"/>
      <c r="V153" s="76"/>
      <c r="W153" s="76"/>
      <c r="X153" s="76"/>
      <c r="Y153" s="76"/>
      <c r="Z153" s="76"/>
      <c r="AA153" s="76"/>
      <c r="AB153" s="706"/>
      <c r="AC153" s="2"/>
      <c r="AD153" s="705">
        <f ca="1">SUMIF($V$7:AB$7,"&lt;="&amp;$I$7,V153:AA153)</f>
        <v>0</v>
      </c>
      <c r="AE153" s="879"/>
      <c r="AF153" s="2"/>
      <c r="AG153" s="76"/>
      <c r="AH153" s="76"/>
      <c r="AI153" s="76"/>
      <c r="AJ153" s="76"/>
      <c r="AK153" s="76"/>
      <c r="AL153" s="76"/>
      <c r="AM153" s="706"/>
      <c r="AN153" s="2"/>
      <c r="AO153" s="705">
        <f ca="1">SUMIF($AG$7:AM$7,"&lt;="&amp;$I$7,AG153:AL153)</f>
        <v>0</v>
      </c>
      <c r="AP153" s="879"/>
      <c r="AQ153" s="2"/>
      <c r="AR153" s="76"/>
      <c r="AS153" s="76"/>
      <c r="AT153" s="76"/>
      <c r="AU153" s="76"/>
      <c r="AV153" s="76"/>
      <c r="AW153" s="76"/>
      <c r="AX153" s="706"/>
      <c r="AY153" s="2"/>
      <c r="AZ153" s="705">
        <f ca="1">SUMIF($AR$7:AX$7,"&lt;="&amp;$I$7,AR153:AW153)</f>
        <v>0</v>
      </c>
      <c r="BA153" s="879"/>
      <c r="BB153" s="2"/>
      <c r="BC153" s="76"/>
      <c r="BD153" s="76"/>
      <c r="BE153" s="76"/>
      <c r="BF153" s="76"/>
      <c r="BG153" s="76"/>
      <c r="BH153" s="76"/>
      <c r="BI153" s="706"/>
      <c r="BJ153" s="2"/>
      <c r="BK153" s="705">
        <f ca="1">SUMIF($BC$7:BI$7,"&lt;="&amp;$I$7,BC153:BH153)</f>
        <v>0</v>
      </c>
      <c r="BL153" s="879"/>
      <c r="BM153" s="2"/>
      <c r="BN153" s="885"/>
      <c r="BO153" s="885"/>
      <c r="BP153" s="885"/>
      <c r="BQ153" s="879"/>
      <c r="BR153" s="2"/>
      <c r="BS153" s="885"/>
      <c r="BT153" s="885"/>
      <c r="BU153" s="885"/>
      <c r="BV153" s="704"/>
      <c r="BW153" s="716"/>
      <c r="BX153" s="885"/>
      <c r="BY153" s="879"/>
      <c r="BZ153" s="2"/>
      <c r="CA153" s="885"/>
      <c r="CB153" s="885"/>
      <c r="CC153" s="2"/>
      <c r="CD153" s="504">
        <f>IFERROR(AVERAGEIF($V$7:AB$7,"&lt;="&amp;$I$7,V153:AB153),0)</f>
        <v>0</v>
      </c>
      <c r="CE153" s="2"/>
      <c r="CH153" s="93" t="str">
        <f t="shared" si="385"/>
        <v>BSCC - KM 224+286</v>
      </c>
    </row>
    <row r="154" spans="1:86" s="16" customFormat="1" ht="20.45" hidden="1" customHeight="1" outlineLevel="2">
      <c r="A154" s="74"/>
      <c r="B154" s="1046" t="s">
        <v>3925</v>
      </c>
      <c r="C154" s="1014" t="s">
        <v>1437</v>
      </c>
      <c r="D154" s="2"/>
      <c r="E154" s="1004">
        <v>0</v>
      </c>
      <c r="F154" s="2"/>
      <c r="G154" s="49" t="s">
        <v>37</v>
      </c>
      <c r="H154" s="705">
        <f t="shared" si="386"/>
        <v>0</v>
      </c>
      <c r="I154" s="878" t="str">
        <f t="shared" ref="I154" si="405">IF(H154=0,IF(H155&gt;0,1,"-"),IFERROR(H155/H154,"-"))</f>
        <v>-</v>
      </c>
      <c r="J154" s="2"/>
      <c r="K154" s="705"/>
      <c r="L154" s="705"/>
      <c r="M154" s="705"/>
      <c r="N154" s="705" t="s">
        <v>1434</v>
      </c>
      <c r="O154" s="705">
        <v>1</v>
      </c>
      <c r="P154" s="705"/>
      <c r="Q154" s="705"/>
      <c r="R154" s="2"/>
      <c r="S154" s="705">
        <f ca="1">SUMIF($K$7:Q$7,"&lt;="&amp;$I$7,K154:P154)</f>
        <v>1</v>
      </c>
      <c r="T154" s="878">
        <f ca="1">IFERROR((S155/S154),"-")</f>
        <v>0</v>
      </c>
      <c r="U154" s="2"/>
      <c r="V154" s="705"/>
      <c r="W154" s="705"/>
      <c r="X154" s="705" t="s">
        <v>1434</v>
      </c>
      <c r="Y154" s="705">
        <v>1</v>
      </c>
      <c r="Z154" s="705"/>
      <c r="AA154" s="705"/>
      <c r="AB154" s="705"/>
      <c r="AC154" s="2"/>
      <c r="AD154" s="705">
        <f ca="1">SUMIF($V$7:AB$7,"&lt;="&amp;$I$7,V154:AA154)</f>
        <v>1</v>
      </c>
      <c r="AE154" s="878">
        <f ca="1">IFERROR((AD155/AD154),"-")</f>
        <v>1</v>
      </c>
      <c r="AF154" s="2"/>
      <c r="AG154" s="705"/>
      <c r="AH154" s="705"/>
      <c r="AI154" s="705"/>
      <c r="AJ154" s="705"/>
      <c r="AK154" s="705"/>
      <c r="AL154" s="705"/>
      <c r="AM154" s="705"/>
      <c r="AN154" s="2"/>
      <c r="AO154" s="705">
        <f ca="1">SUMIF($AG$7:AM$7,"&lt;="&amp;$I$7,AG154:AL154)</f>
        <v>0</v>
      </c>
      <c r="AP154" s="878" t="str">
        <f ca="1">IFERROR((AO155/AO154),"-")</f>
        <v>-</v>
      </c>
      <c r="AQ154" s="2"/>
      <c r="AR154" s="705"/>
      <c r="AS154" s="705"/>
      <c r="AT154" s="705"/>
      <c r="AU154" s="705"/>
      <c r="AV154" s="705"/>
      <c r="AW154" s="705"/>
      <c r="AX154" s="705"/>
      <c r="AY154" s="2"/>
      <c r="AZ154" s="705">
        <f ca="1">SUMIF($AR$7:AX$7,"&lt;="&amp;$I$7,AR154:AW154)</f>
        <v>0</v>
      </c>
      <c r="BA154" s="878" t="str">
        <f ca="1">IFERROR((AZ155/AZ154),"-")</f>
        <v>-</v>
      </c>
      <c r="BB154" s="2"/>
      <c r="BC154" s="705"/>
      <c r="BD154" s="705"/>
      <c r="BE154" s="705"/>
      <c r="BF154" s="705"/>
      <c r="BG154" s="705"/>
      <c r="BH154" s="705"/>
      <c r="BI154" s="705"/>
      <c r="BJ154" s="2"/>
      <c r="BK154" s="705">
        <f ca="1">SUMIF($BC$7:BI$7,"&lt;="&amp;$I$7,BC154:BH154)</f>
        <v>0</v>
      </c>
      <c r="BL154" s="878" t="str">
        <f ca="1">IFERROR((BK155/BK154),"-")</f>
        <v>-</v>
      </c>
      <c r="BM154" s="2"/>
      <c r="BN154" s="884">
        <v>0</v>
      </c>
      <c r="BO154" s="884">
        <v>0</v>
      </c>
      <c r="BP154" s="884">
        <f>SUM(M155:P155,V155:AB155,AG155:AM155,AR155:AX155,BC155:BI155)</f>
        <v>1</v>
      </c>
      <c r="BQ154" s="878">
        <f t="shared" ref="BQ154" si="406">IF(AND(BO154=0,BP154=0),"-",IF(BO154=0,1,BP154/BO154))</f>
        <v>1</v>
      </c>
      <c r="BR154" s="2"/>
      <c r="BS154" s="884"/>
      <c r="BT154" s="884"/>
      <c r="BU154" s="884">
        <f ca="1">E154+Q155+AD155+AO155+AZ155+BK155</f>
        <v>1</v>
      </c>
      <c r="BV154" s="704">
        <v>104</v>
      </c>
      <c r="BW154" s="716">
        <f ca="1">IFERROR((BU154/BV154),"-")</f>
        <v>9.6153846153846159E-3</v>
      </c>
      <c r="BX154" s="884">
        <v>0</v>
      </c>
      <c r="BY154" s="878" t="str">
        <f ca="1">IFERROR((BU154/BX154),"-")</f>
        <v>-</v>
      </c>
      <c r="BZ154" s="2"/>
      <c r="CA154" s="884">
        <v>1</v>
      </c>
      <c r="CB154" s="884">
        <v>0</v>
      </c>
      <c r="CC154" s="2"/>
      <c r="CD154" s="504">
        <f>IFERROR(AVERAGEIF($V$7:AB$7,"&lt;="&amp;$I$7,V154:AB154),0)</f>
        <v>1</v>
      </c>
      <c r="CE154" s="2"/>
      <c r="CH154" s="93" t="str">
        <f t="shared" si="385"/>
        <v>BDCC - KM 212+900</v>
      </c>
    </row>
    <row r="155" spans="1:86" s="16" customFormat="1" ht="20.45" hidden="1" customHeight="1" outlineLevel="2">
      <c r="A155" s="74"/>
      <c r="B155" s="1047"/>
      <c r="C155" s="1034"/>
      <c r="D155" s="2"/>
      <c r="E155" s="1024"/>
      <c r="F155" s="2"/>
      <c r="G155" s="50" t="s">
        <v>38</v>
      </c>
      <c r="H155" s="705">
        <f t="shared" si="386"/>
        <v>0</v>
      </c>
      <c r="I155" s="879"/>
      <c r="J155" s="2"/>
      <c r="K155" s="76"/>
      <c r="L155" s="76"/>
      <c r="M155" s="76"/>
      <c r="N155" s="76"/>
      <c r="O155" s="76"/>
      <c r="P155" s="76"/>
      <c r="Q155" s="706"/>
      <c r="R155" s="2"/>
      <c r="S155" s="705">
        <f ca="1">SUMIF($K$7:Q$7,"&lt;="&amp;$I$7,K155:P155)</f>
        <v>0</v>
      </c>
      <c r="T155" s="879"/>
      <c r="U155" s="2"/>
      <c r="V155" s="76"/>
      <c r="W155" s="76"/>
      <c r="X155" s="76"/>
      <c r="Y155" s="76"/>
      <c r="Z155" s="76"/>
      <c r="AA155" s="76">
        <v>1</v>
      </c>
      <c r="AB155" s="706"/>
      <c r="AC155" s="2"/>
      <c r="AD155" s="705">
        <f ca="1">SUMIF($V$7:AB$7,"&lt;="&amp;$I$7,V155:AA155)</f>
        <v>1</v>
      </c>
      <c r="AE155" s="879"/>
      <c r="AF155" s="2"/>
      <c r="AG155" s="76" t="s">
        <v>1434</v>
      </c>
      <c r="AH155" s="76"/>
      <c r="AI155" s="76"/>
      <c r="AJ155" s="76"/>
      <c r="AK155" s="76"/>
      <c r="AL155" s="76"/>
      <c r="AM155" s="706"/>
      <c r="AN155" s="2"/>
      <c r="AO155" s="705">
        <f ca="1">SUMIF($AG$7:AM$7,"&lt;="&amp;$I$7,AG155:AL155)</f>
        <v>0</v>
      </c>
      <c r="AP155" s="879"/>
      <c r="AQ155" s="2"/>
      <c r="AR155" s="76"/>
      <c r="AS155" s="76"/>
      <c r="AT155" s="76"/>
      <c r="AU155" s="76"/>
      <c r="AV155" s="76"/>
      <c r="AW155" s="76"/>
      <c r="AX155" s="706"/>
      <c r="AY155" s="2"/>
      <c r="AZ155" s="705">
        <f ca="1">SUMIF($AR$7:AX$7,"&lt;="&amp;$I$7,AR155:AW155)</f>
        <v>0</v>
      </c>
      <c r="BA155" s="879"/>
      <c r="BB155" s="2"/>
      <c r="BC155" s="76"/>
      <c r="BD155" s="76"/>
      <c r="BE155" s="76"/>
      <c r="BF155" s="76"/>
      <c r="BG155" s="76"/>
      <c r="BH155" s="76"/>
      <c r="BI155" s="706"/>
      <c r="BJ155" s="2"/>
      <c r="BK155" s="705">
        <f ca="1">SUMIF($BC$7:BI$7,"&lt;="&amp;$I$7,BC155:BH155)</f>
        <v>0</v>
      </c>
      <c r="BL155" s="879"/>
      <c r="BM155" s="2"/>
      <c r="BN155" s="885"/>
      <c r="BO155" s="885"/>
      <c r="BP155" s="885"/>
      <c r="BQ155" s="879"/>
      <c r="BR155" s="2"/>
      <c r="BS155" s="885"/>
      <c r="BT155" s="885"/>
      <c r="BU155" s="885"/>
      <c r="BV155" s="704"/>
      <c r="BW155" s="716"/>
      <c r="BX155" s="885"/>
      <c r="BY155" s="879"/>
      <c r="BZ155" s="2"/>
      <c r="CA155" s="885"/>
      <c r="CB155" s="885"/>
      <c r="CC155" s="2"/>
      <c r="CD155" s="504">
        <f>IFERROR(AVERAGEIF($V$7:AB$7,"&lt;="&amp;$I$7,V155:AB155),0)</f>
        <v>1</v>
      </c>
      <c r="CE155" s="2"/>
      <c r="CH155" s="93" t="str">
        <f t="shared" si="385"/>
        <v>BDCC - KM 212+900</v>
      </c>
    </row>
    <row r="156" spans="1:86" s="16" customFormat="1" ht="20.45" hidden="1" customHeight="1" outlineLevel="2">
      <c r="A156" s="74"/>
      <c r="B156" s="1046" t="s">
        <v>3926</v>
      </c>
      <c r="C156" s="1014" t="s">
        <v>1437</v>
      </c>
      <c r="D156" s="2"/>
      <c r="E156" s="1004">
        <v>0</v>
      </c>
      <c r="F156" s="2"/>
      <c r="G156" s="49" t="s">
        <v>37</v>
      </c>
      <c r="H156" s="705">
        <f t="shared" si="386"/>
        <v>0</v>
      </c>
      <c r="I156" s="878" t="str">
        <f t="shared" ref="I156" si="407">IF(H156=0,IF(H157&gt;0,1,"-"),IFERROR(H157/H156,"-"))</f>
        <v>-</v>
      </c>
      <c r="J156" s="2"/>
      <c r="K156" s="705"/>
      <c r="L156" s="705"/>
      <c r="M156" s="705"/>
      <c r="N156" s="705"/>
      <c r="O156" s="705"/>
      <c r="P156" s="705"/>
      <c r="Q156" s="705"/>
      <c r="R156" s="2"/>
      <c r="S156" s="705">
        <f ca="1">SUMIF($K$7:Q$7,"&lt;="&amp;$I$7,K156:P156)</f>
        <v>0</v>
      </c>
      <c r="T156" s="878" t="str">
        <f ca="1">IFERROR((S157/S156),"-")</f>
        <v>-</v>
      </c>
      <c r="U156" s="2"/>
      <c r="V156" s="705"/>
      <c r="W156" s="705"/>
      <c r="X156" s="705"/>
      <c r="Y156" s="705"/>
      <c r="Z156" s="705"/>
      <c r="AA156" s="705"/>
      <c r="AB156" s="705"/>
      <c r="AC156" s="2"/>
      <c r="AD156" s="705">
        <f ca="1">SUMIF($V$7:AB$7,"&lt;="&amp;$I$7,V156:AA156)</f>
        <v>0</v>
      </c>
      <c r="AE156" s="878" t="str">
        <f ca="1">IFERROR((AD157/AD156),"-")</f>
        <v>-</v>
      </c>
      <c r="AF156" s="2"/>
      <c r="AG156" s="705"/>
      <c r="AH156" s="705"/>
      <c r="AI156" s="705"/>
      <c r="AJ156" s="705"/>
      <c r="AK156" s="705"/>
      <c r="AL156" s="705"/>
      <c r="AM156" s="705"/>
      <c r="AN156" s="2"/>
      <c r="AO156" s="705">
        <f ca="1">SUMIF($AG$7:AM$7,"&lt;="&amp;$I$7,AG156:AL156)</f>
        <v>0</v>
      </c>
      <c r="AP156" s="878" t="str">
        <f ca="1">IFERROR((AO157/AO156),"-")</f>
        <v>-</v>
      </c>
      <c r="AQ156" s="2"/>
      <c r="AR156" s="705"/>
      <c r="AS156" s="705"/>
      <c r="AT156" s="705"/>
      <c r="AU156" s="705"/>
      <c r="AV156" s="705"/>
      <c r="AW156" s="705"/>
      <c r="AX156" s="705"/>
      <c r="AY156" s="2"/>
      <c r="AZ156" s="705">
        <f ca="1">SUMIF($AR$7:AX$7,"&lt;="&amp;$I$7,AR156:AW156)</f>
        <v>0</v>
      </c>
      <c r="BA156" s="878" t="str">
        <f ca="1">IFERROR((AZ157/AZ156),"-")</f>
        <v>-</v>
      </c>
      <c r="BB156" s="2"/>
      <c r="BC156" s="705"/>
      <c r="BD156" s="705"/>
      <c r="BE156" s="705"/>
      <c r="BF156" s="705"/>
      <c r="BG156" s="705"/>
      <c r="BH156" s="705"/>
      <c r="BI156" s="705"/>
      <c r="BJ156" s="2"/>
      <c r="BK156" s="705">
        <f ca="1">SUMIF($BC$7:BI$7,"&lt;="&amp;$I$7,BC156:BH156)</f>
        <v>0</v>
      </c>
      <c r="BL156" s="878" t="str">
        <f ca="1">IFERROR((BK157/BK156),"-")</f>
        <v>-</v>
      </c>
      <c r="BM156" s="2"/>
      <c r="BN156" s="884">
        <v>0</v>
      </c>
      <c r="BO156" s="884">
        <v>0</v>
      </c>
      <c r="BP156" s="884">
        <f>SUM(M157:P157,V157:AB157,AG157:AM157,AR157:AX157,BC157:BI157)</f>
        <v>1</v>
      </c>
      <c r="BQ156" s="878">
        <f t="shared" ref="BQ156" si="408">IF(AND(BO156=0,BP156=0),"-",IF(BO156=0,1,BP156/BO156))</f>
        <v>1</v>
      </c>
      <c r="BR156" s="2"/>
      <c r="BS156" s="884"/>
      <c r="BT156" s="884"/>
      <c r="BU156" s="884">
        <f ca="1">E156+Q157+AD157+AO157+AZ157+BK157</f>
        <v>0</v>
      </c>
      <c r="BV156" s="704">
        <v>104</v>
      </c>
      <c r="BW156" s="716">
        <f ca="1">IFERROR((BU156/BV156),"-")</f>
        <v>0</v>
      </c>
      <c r="BX156" s="884">
        <v>0</v>
      </c>
      <c r="BY156" s="878" t="str">
        <f ca="1">IFERROR((BU156/BX156),"-")</f>
        <v>-</v>
      </c>
      <c r="BZ156" s="2"/>
      <c r="CA156" s="884">
        <v>1</v>
      </c>
      <c r="CB156" s="884">
        <v>0</v>
      </c>
      <c r="CC156" s="2"/>
      <c r="CD156" s="504">
        <f>IFERROR(AVERAGEIF($V$7:AB$7,"&lt;="&amp;$I$7,V156:AB156),0)</f>
        <v>0</v>
      </c>
      <c r="CE156" s="2"/>
      <c r="CH156" s="93" t="str">
        <f t="shared" si="385"/>
        <v>BDCC - KM 210+900</v>
      </c>
    </row>
    <row r="157" spans="1:86" s="16" customFormat="1" ht="20.45" hidden="1" customHeight="1" outlineLevel="2" collapsed="1">
      <c r="A157" s="74"/>
      <c r="B157" s="1047"/>
      <c r="C157" s="1034"/>
      <c r="D157" s="2"/>
      <c r="E157" s="1024"/>
      <c r="F157" s="2"/>
      <c r="G157" s="50" t="s">
        <v>38</v>
      </c>
      <c r="H157" s="705">
        <f t="shared" si="386"/>
        <v>0</v>
      </c>
      <c r="I157" s="879"/>
      <c r="J157" s="2"/>
      <c r="K157" s="76"/>
      <c r="L157" s="76"/>
      <c r="M157" s="76"/>
      <c r="N157" s="76"/>
      <c r="O157" s="76"/>
      <c r="P157" s="76">
        <v>1</v>
      </c>
      <c r="Q157" s="706"/>
      <c r="R157" s="2"/>
      <c r="S157" s="705">
        <f ca="1">SUMIF($K$7:Q$7,"&lt;="&amp;$I$7,K157:P157)</f>
        <v>1</v>
      </c>
      <c r="T157" s="879"/>
      <c r="U157" s="2"/>
      <c r="V157" s="76" t="s">
        <v>1434</v>
      </c>
      <c r="W157" s="76"/>
      <c r="X157" s="76"/>
      <c r="Y157" s="76"/>
      <c r="Z157" s="76"/>
      <c r="AA157" s="76"/>
      <c r="AB157" s="706"/>
      <c r="AC157" s="2"/>
      <c r="AD157" s="705">
        <f ca="1">SUMIF($V$7:AB$7,"&lt;="&amp;$I$7,V157:AA157)</f>
        <v>0</v>
      </c>
      <c r="AE157" s="879"/>
      <c r="AF157" s="2"/>
      <c r="AG157" s="76"/>
      <c r="AH157" s="76"/>
      <c r="AI157" s="76"/>
      <c r="AJ157" s="76"/>
      <c r="AK157" s="76"/>
      <c r="AL157" s="76"/>
      <c r="AM157" s="706"/>
      <c r="AN157" s="2"/>
      <c r="AO157" s="705">
        <f ca="1">SUMIF($AG$7:AM$7,"&lt;="&amp;$I$7,AG157:AL157)</f>
        <v>0</v>
      </c>
      <c r="AP157" s="879"/>
      <c r="AQ157" s="2"/>
      <c r="AR157" s="76"/>
      <c r="AS157" s="76"/>
      <c r="AT157" s="76"/>
      <c r="AU157" s="76"/>
      <c r="AV157" s="76"/>
      <c r="AW157" s="76"/>
      <c r="AX157" s="706"/>
      <c r="AY157" s="2"/>
      <c r="AZ157" s="705">
        <f ca="1">SUMIF($AR$7:AX$7,"&lt;="&amp;$I$7,AR157:AW157)</f>
        <v>0</v>
      </c>
      <c r="BA157" s="879"/>
      <c r="BB157" s="2"/>
      <c r="BC157" s="76"/>
      <c r="BD157" s="76"/>
      <c r="BE157" s="76"/>
      <c r="BF157" s="76"/>
      <c r="BG157" s="76"/>
      <c r="BH157" s="76"/>
      <c r="BI157" s="706"/>
      <c r="BJ157" s="2"/>
      <c r="BK157" s="705">
        <f ca="1">SUMIF($BC$7:BI$7,"&lt;="&amp;$I$7,BC157:BH157)</f>
        <v>0</v>
      </c>
      <c r="BL157" s="879"/>
      <c r="BM157" s="2"/>
      <c r="BN157" s="885"/>
      <c r="BO157" s="885"/>
      <c r="BP157" s="885"/>
      <c r="BQ157" s="879"/>
      <c r="BR157" s="2"/>
      <c r="BS157" s="885"/>
      <c r="BT157" s="885"/>
      <c r="BU157" s="885"/>
      <c r="BV157" s="704"/>
      <c r="BW157" s="716"/>
      <c r="BX157" s="885"/>
      <c r="BY157" s="879"/>
      <c r="BZ157" s="2"/>
      <c r="CA157" s="885"/>
      <c r="CB157" s="885"/>
      <c r="CC157" s="2"/>
      <c r="CD157" s="504">
        <f>IFERROR(AVERAGEIF($V$7:AB$7,"&lt;="&amp;$I$7,V157:AB157),0)</f>
        <v>0</v>
      </c>
      <c r="CE157" s="2"/>
      <c r="CH157" s="93" t="str">
        <f t="shared" si="385"/>
        <v>BDCC - KM 210+900</v>
      </c>
    </row>
    <row r="158" spans="1:86" s="16" customFormat="1" ht="20.45" hidden="1" customHeight="1" outlineLevel="1" collapsed="1">
      <c r="A158" s="74"/>
      <c r="B158" s="1081" t="s">
        <v>3928</v>
      </c>
      <c r="C158" s="1071" t="s">
        <v>1437</v>
      </c>
      <c r="D158" s="2"/>
      <c r="E158" s="1019">
        <v>91</v>
      </c>
      <c r="F158" s="2"/>
      <c r="G158" s="53" t="s">
        <v>37</v>
      </c>
      <c r="H158" s="52">
        <f t="shared" si="386"/>
        <v>0</v>
      </c>
      <c r="I158" s="743" t="str">
        <f t="shared" ref="I158" si="409">IF(H158=0,IF(H159&gt;0,1,"-"),IFERROR(H159/H158,"-"))</f>
        <v>-</v>
      </c>
      <c r="J158" s="2"/>
      <c r="K158" s="52">
        <f>SUMIF($G$160:$G$167,$G$158,K160:K167)</f>
        <v>0</v>
      </c>
      <c r="L158" s="52">
        <f t="shared" ref="L158:Q158" si="410">SUMIF($G$160:$G$167,$G$158,L160:L167)</f>
        <v>0</v>
      </c>
      <c r="M158" s="52">
        <f t="shared" si="410"/>
        <v>0</v>
      </c>
      <c r="N158" s="52">
        <f t="shared" si="410"/>
        <v>0</v>
      </c>
      <c r="O158" s="52">
        <f t="shared" si="410"/>
        <v>0</v>
      </c>
      <c r="P158" s="52">
        <f t="shared" si="410"/>
        <v>0</v>
      </c>
      <c r="Q158" s="52">
        <f t="shared" si="410"/>
        <v>0</v>
      </c>
      <c r="R158" s="2"/>
      <c r="S158" s="52">
        <f ca="1">SUMIF($K$7:Q$7,"&lt;="&amp;$I$7,K158:P158)</f>
        <v>0</v>
      </c>
      <c r="T158" s="743" t="str">
        <f ca="1">IFERROR((S159/S158),"-")</f>
        <v>-</v>
      </c>
      <c r="U158" s="2"/>
      <c r="V158" s="52">
        <f>SUMIF($G$160:$G$167,$G$158,V160:V167)</f>
        <v>0</v>
      </c>
      <c r="W158" s="52">
        <f t="shared" ref="W158:AB158" si="411">SUMIF($G$160:$G$167,$G$158,W160:W167)</f>
        <v>8</v>
      </c>
      <c r="X158" s="52">
        <f t="shared" si="411"/>
        <v>0</v>
      </c>
      <c r="Y158" s="52">
        <f t="shared" si="411"/>
        <v>0</v>
      </c>
      <c r="Z158" s="52">
        <f t="shared" si="411"/>
        <v>0</v>
      </c>
      <c r="AA158" s="52">
        <f t="shared" si="411"/>
        <v>16</v>
      </c>
      <c r="AB158" s="52">
        <f t="shared" si="411"/>
        <v>0</v>
      </c>
      <c r="AC158" s="2"/>
      <c r="AD158" s="52">
        <f>SUMIF($V$7:AB$7,"&lt;="&amp;$I$7,V158:AB158)</f>
        <v>24</v>
      </c>
      <c r="AE158" s="743">
        <f>IFERROR((AD159/AD158),"-")</f>
        <v>0</v>
      </c>
      <c r="AF158" s="2"/>
      <c r="AG158" s="52">
        <f>SUMIF($G$160:$G$167,$G$158,AG160:AG167)</f>
        <v>0</v>
      </c>
      <c r="AH158" s="52">
        <f t="shared" ref="AH158:AM158" si="412">SUMIF($G$160:$G$167,$G$158,AH160:AH167)</f>
        <v>0</v>
      </c>
      <c r="AI158" s="52">
        <f t="shared" si="412"/>
        <v>8</v>
      </c>
      <c r="AJ158" s="52">
        <f t="shared" si="412"/>
        <v>8</v>
      </c>
      <c r="AK158" s="52">
        <f t="shared" si="412"/>
        <v>8</v>
      </c>
      <c r="AL158" s="52">
        <f t="shared" si="412"/>
        <v>0</v>
      </c>
      <c r="AM158" s="52">
        <f t="shared" si="412"/>
        <v>0</v>
      </c>
      <c r="AN158" s="2"/>
      <c r="AO158" s="52">
        <f ca="1">SUMIF($AG$7:AM$7,"&lt;="&amp;$I$7,AG158:AL158)</f>
        <v>0</v>
      </c>
      <c r="AP158" s="743" t="str">
        <f ca="1">IFERROR((AO159/AO158),"-")</f>
        <v>-</v>
      </c>
      <c r="AQ158" s="2"/>
      <c r="AR158" s="52">
        <f>SUMIF($G$160:$G$167,$G$158,AR160:AR167)</f>
        <v>0</v>
      </c>
      <c r="AS158" s="52">
        <f t="shared" ref="AS158:AX158" si="413">SUMIF($G$160:$G$167,$G$158,AS160:AS167)</f>
        <v>0</v>
      </c>
      <c r="AT158" s="52">
        <f t="shared" si="413"/>
        <v>0</v>
      </c>
      <c r="AU158" s="52">
        <f t="shared" si="413"/>
        <v>0</v>
      </c>
      <c r="AV158" s="52">
        <f t="shared" si="413"/>
        <v>0</v>
      </c>
      <c r="AW158" s="52">
        <f t="shared" si="413"/>
        <v>0</v>
      </c>
      <c r="AX158" s="52">
        <f t="shared" si="413"/>
        <v>0</v>
      </c>
      <c r="AY158" s="2"/>
      <c r="AZ158" s="52">
        <f ca="1">SUMIF($AR$7:AX$7,"&lt;="&amp;$I$7,AR158:AW158)</f>
        <v>0</v>
      </c>
      <c r="BA158" s="743" t="str">
        <f ca="1">IFERROR((AZ159/AZ158),"-")</f>
        <v>-</v>
      </c>
      <c r="BB158" s="2"/>
      <c r="BC158" s="52">
        <f>SUMIF($G$160:$G$167,$G$158,BC160:BC167)</f>
        <v>0</v>
      </c>
      <c r="BD158" s="52">
        <f t="shared" ref="BD158:BI158" si="414">SUMIF($G$160:$G$167,$G$158,BD160:BD167)</f>
        <v>0</v>
      </c>
      <c r="BE158" s="52">
        <f t="shared" si="414"/>
        <v>0</v>
      </c>
      <c r="BF158" s="52">
        <f t="shared" si="414"/>
        <v>0</v>
      </c>
      <c r="BG158" s="52">
        <f t="shared" si="414"/>
        <v>0</v>
      </c>
      <c r="BH158" s="52">
        <f t="shared" si="414"/>
        <v>0</v>
      </c>
      <c r="BI158" s="52">
        <f t="shared" si="414"/>
        <v>0</v>
      </c>
      <c r="BJ158" s="2"/>
      <c r="BK158" s="52">
        <f ca="1">SUMIF($BC$7:BI$7,"&lt;="&amp;$I$7,BC158:BH158)</f>
        <v>0</v>
      </c>
      <c r="BL158" s="743" t="str">
        <f ca="1">IFERROR((BK159/BK158),"-")</f>
        <v>-</v>
      </c>
      <c r="BM158" s="2"/>
      <c r="BN158" s="888">
        <v>0</v>
      </c>
      <c r="BO158" s="888">
        <v>0</v>
      </c>
      <c r="BP158" s="888">
        <f>SUM(BP160:BP167)</f>
        <v>0</v>
      </c>
      <c r="BQ158" s="743" t="str">
        <f t="shared" ref="BQ158" si="415">IF(AND(BO158=0,BP158=0),"-",IF(BO158=0,1,BP158/BO158))</f>
        <v>-</v>
      </c>
      <c r="BR158" s="2"/>
      <c r="BS158" s="888"/>
      <c r="BT158" s="888"/>
      <c r="BU158" s="888">
        <f ca="1">E158+S159+AD159+AO159+AZ159+BK159</f>
        <v>91</v>
      </c>
      <c r="BV158" s="888">
        <v>104</v>
      </c>
      <c r="BW158" s="1019">
        <f ca="1">IFERROR((BU158/BV158),"-")</f>
        <v>0.875</v>
      </c>
      <c r="BX158" s="888">
        <v>0</v>
      </c>
      <c r="BY158" s="743" t="str">
        <f ca="1">IFERROR((BU158/BX158),"-")</f>
        <v>-</v>
      </c>
      <c r="BZ158" s="2"/>
      <c r="CA158" s="888">
        <v>580</v>
      </c>
      <c r="CB158" s="888">
        <v>0</v>
      </c>
      <c r="CC158" s="2"/>
      <c r="CD158" s="84">
        <f>IFERROR(AVERAGEIF($V$7:AB$7,"&lt;="&amp;$I$7,V158:AB158),0)</f>
        <v>3.4285714285714284</v>
      </c>
      <c r="CE158" s="2"/>
      <c r="CH158" s="93" t="str">
        <f t="shared" si="385"/>
        <v>BUEIROS - ASSENTAMENTO DE ADUELAS</v>
      </c>
    </row>
    <row r="159" spans="1:86" s="16" customFormat="1" ht="20.45" hidden="1" customHeight="1" outlineLevel="2">
      <c r="A159" s="74"/>
      <c r="B159" s="1082"/>
      <c r="C159" s="1072"/>
      <c r="D159" s="2"/>
      <c r="E159" s="1060"/>
      <c r="F159" s="2"/>
      <c r="G159" s="54" t="s">
        <v>38</v>
      </c>
      <c r="H159" s="52">
        <f t="shared" si="386"/>
        <v>0</v>
      </c>
      <c r="I159" s="744"/>
      <c r="J159" s="2"/>
      <c r="K159" s="52">
        <f>SUMIF($G$160:$G$167,$G$159,K160:K167)</f>
        <v>0</v>
      </c>
      <c r="L159" s="52">
        <f t="shared" ref="L159:P159" si="416">SUMIF($G$160:$G$167,$G$159,L160:L167)</f>
        <v>0</v>
      </c>
      <c r="M159" s="52">
        <f t="shared" si="416"/>
        <v>0</v>
      </c>
      <c r="N159" s="52">
        <f t="shared" si="416"/>
        <v>0</v>
      </c>
      <c r="O159" s="52">
        <f t="shared" si="416"/>
        <v>0</v>
      </c>
      <c r="P159" s="52">
        <f t="shared" si="416"/>
        <v>0</v>
      </c>
      <c r="Q159" s="52"/>
      <c r="R159" s="2"/>
      <c r="S159" s="52">
        <f ca="1">SUMIF($K$7:Q$7,"&lt;="&amp;$I$7,K159:P159)</f>
        <v>0</v>
      </c>
      <c r="T159" s="744"/>
      <c r="U159" s="2"/>
      <c r="V159" s="75">
        <f>SUMIF($G$160:$G$167,$G$159,V160:V167)</f>
        <v>0</v>
      </c>
      <c r="W159" s="75">
        <f t="shared" ref="W159:AA159" si="417">SUMIF($G$160:$G$167,$G$159,W160:W167)</f>
        <v>0</v>
      </c>
      <c r="X159" s="75">
        <f t="shared" si="417"/>
        <v>0</v>
      </c>
      <c r="Y159" s="75">
        <f t="shared" si="417"/>
        <v>0</v>
      </c>
      <c r="Z159" s="75">
        <f t="shared" si="417"/>
        <v>0</v>
      </c>
      <c r="AA159" s="75">
        <f t="shared" si="417"/>
        <v>0</v>
      </c>
      <c r="AB159" s="52"/>
      <c r="AC159" s="2"/>
      <c r="AD159" s="52">
        <f>SUMIF($V$7:AB$7,"&lt;="&amp;$I$7,V159:AB159)</f>
        <v>0</v>
      </c>
      <c r="AE159" s="744"/>
      <c r="AF159" s="2"/>
      <c r="AG159" s="52">
        <f>SUMIF($G$160:$G$167,$G$159,AG160:AG167)</f>
        <v>0</v>
      </c>
      <c r="AH159" s="52">
        <f t="shared" ref="AH159:AL159" si="418">SUMIF($G$160:$G$167,$G$159,AH160:AH167)</f>
        <v>0</v>
      </c>
      <c r="AI159" s="52">
        <f t="shared" si="418"/>
        <v>0</v>
      </c>
      <c r="AJ159" s="52">
        <f t="shared" si="418"/>
        <v>0</v>
      </c>
      <c r="AK159" s="52">
        <f t="shared" si="418"/>
        <v>0</v>
      </c>
      <c r="AL159" s="52">
        <f t="shared" si="418"/>
        <v>0</v>
      </c>
      <c r="AM159" s="52"/>
      <c r="AN159" s="2"/>
      <c r="AO159" s="52">
        <f ca="1">SUMIF($AG$7:AM$7,"&lt;="&amp;$I$7,AG159:AL159)</f>
        <v>0</v>
      </c>
      <c r="AP159" s="744"/>
      <c r="AQ159" s="2"/>
      <c r="AR159" s="52">
        <f>SUMIF($G$160:$G$167,$G$159,AR160:AR167)</f>
        <v>0</v>
      </c>
      <c r="AS159" s="52">
        <f t="shared" ref="AS159:AW159" si="419">SUMIF($G$160:$G$167,$G$159,AS160:AS167)</f>
        <v>0</v>
      </c>
      <c r="AT159" s="52">
        <f t="shared" si="419"/>
        <v>0</v>
      </c>
      <c r="AU159" s="52">
        <f t="shared" si="419"/>
        <v>0</v>
      </c>
      <c r="AV159" s="52">
        <f t="shared" si="419"/>
        <v>0</v>
      </c>
      <c r="AW159" s="52">
        <f t="shared" si="419"/>
        <v>0</v>
      </c>
      <c r="AX159" s="52"/>
      <c r="AY159" s="2"/>
      <c r="AZ159" s="52">
        <f ca="1">SUMIF($AR$7:AX$7,"&lt;="&amp;$I$7,AR159:AW159)</f>
        <v>0</v>
      </c>
      <c r="BA159" s="744"/>
      <c r="BB159" s="2"/>
      <c r="BC159" s="52">
        <f>SUMIF($G$160:$G$167,$G$159,BC160:BC167)</f>
        <v>0</v>
      </c>
      <c r="BD159" s="52">
        <f t="shared" ref="BD159:BH159" si="420">SUMIF($G$160:$G$167,$G$159,BD160:BD167)</f>
        <v>0</v>
      </c>
      <c r="BE159" s="52">
        <f t="shared" si="420"/>
        <v>0</v>
      </c>
      <c r="BF159" s="52">
        <f t="shared" si="420"/>
        <v>0</v>
      </c>
      <c r="BG159" s="52">
        <f t="shared" si="420"/>
        <v>0</v>
      </c>
      <c r="BH159" s="52">
        <f t="shared" si="420"/>
        <v>0</v>
      </c>
      <c r="BI159" s="52"/>
      <c r="BJ159" s="2"/>
      <c r="BK159" s="52">
        <f ca="1">SUMIF($BC$7:BI$7,"&lt;="&amp;$I$7,BC159:BH159)</f>
        <v>0</v>
      </c>
      <c r="BL159" s="744"/>
      <c r="BM159" s="2"/>
      <c r="BN159" s="889"/>
      <c r="BO159" s="889"/>
      <c r="BP159" s="889"/>
      <c r="BQ159" s="744"/>
      <c r="BR159" s="2"/>
      <c r="BS159" s="889"/>
      <c r="BT159" s="889"/>
      <c r="BU159" s="889"/>
      <c r="BV159" s="889"/>
      <c r="BW159" s="1020"/>
      <c r="BX159" s="889"/>
      <c r="BY159" s="744"/>
      <c r="BZ159" s="2"/>
      <c r="CA159" s="889"/>
      <c r="CB159" s="889"/>
      <c r="CC159" s="2"/>
      <c r="CD159" s="84">
        <f>IFERROR(AVERAGEIF($V$7:AB$7,"&lt;="&amp;$I$7,V159:AB159),0)</f>
        <v>0</v>
      </c>
      <c r="CE159" s="2"/>
      <c r="CH159" s="93" t="str">
        <f t="shared" si="385"/>
        <v>BUEIROS - ASSENTAMENTO DE ADUELAS</v>
      </c>
    </row>
    <row r="160" spans="1:86" s="16" customFormat="1" ht="20.45" hidden="1" customHeight="1" outlineLevel="2">
      <c r="A160" s="74" t="s">
        <v>3929</v>
      </c>
      <c r="B160" s="1046" t="s">
        <v>3930</v>
      </c>
      <c r="C160" s="1014" t="s">
        <v>1437</v>
      </c>
      <c r="D160" s="2"/>
      <c r="E160" s="1004">
        <v>14</v>
      </c>
      <c r="F160" s="2"/>
      <c r="G160" s="49" t="s">
        <v>37</v>
      </c>
      <c r="H160" s="705">
        <f t="shared" si="386"/>
        <v>0</v>
      </c>
      <c r="I160" s="878" t="str">
        <f t="shared" ref="I160" si="421">IF(H160=0,IF(H161&gt;0,1,"-"),IFERROR(H161/H160,"-"))</f>
        <v>-</v>
      </c>
      <c r="J160" s="2"/>
      <c r="K160" s="705"/>
      <c r="L160" s="705"/>
      <c r="M160" s="705"/>
      <c r="N160" s="705"/>
      <c r="O160" s="705"/>
      <c r="P160" s="705"/>
      <c r="Q160" s="705"/>
      <c r="R160" s="2"/>
      <c r="S160" s="705">
        <f ca="1">SUMIF($K$7:Q$7,"&lt;="&amp;$I$7,K160:P160)</f>
        <v>0</v>
      </c>
      <c r="T160" s="878" t="str">
        <f ca="1">IFERROR((S161/S160),"-")</f>
        <v>-</v>
      </c>
      <c r="U160" s="2"/>
      <c r="V160" s="705"/>
      <c r="W160" s="705"/>
      <c r="X160" s="705"/>
      <c r="Y160" s="705"/>
      <c r="Z160" s="705"/>
      <c r="AA160" s="705"/>
      <c r="AB160" s="705"/>
      <c r="AC160" s="2"/>
      <c r="AD160" s="705">
        <f ca="1">SUMIF($V$7:AB$7,"&lt;="&amp;$I$7,V160:AA160)</f>
        <v>0</v>
      </c>
      <c r="AE160" s="878" t="str">
        <f ca="1">IFERROR((AD161/AD160),"-")</f>
        <v>-</v>
      </c>
      <c r="AF160" s="2"/>
      <c r="AG160" s="705"/>
      <c r="AH160" s="705"/>
      <c r="AI160" s="705"/>
      <c r="AJ160" s="705"/>
      <c r="AK160" s="705"/>
      <c r="AL160" s="705"/>
      <c r="AM160" s="705"/>
      <c r="AN160" s="2"/>
      <c r="AO160" s="705">
        <f ca="1">SUMIF($AG$7:AM$7,"&lt;="&amp;$I$7,AG160:AL160)</f>
        <v>0</v>
      </c>
      <c r="AP160" s="878" t="str">
        <f ca="1">IFERROR((AO161/AO160),"-")</f>
        <v>-</v>
      </c>
      <c r="AQ160" s="2"/>
      <c r="AR160" s="705"/>
      <c r="AS160" s="705"/>
      <c r="AT160" s="705"/>
      <c r="AU160" s="705"/>
      <c r="AV160" s="705"/>
      <c r="AW160" s="705"/>
      <c r="AX160" s="705"/>
      <c r="AY160" s="2"/>
      <c r="AZ160" s="705">
        <f ca="1">SUMIF($AR$7:AX$7,"&lt;="&amp;$I$7,AR160:AW160)</f>
        <v>0</v>
      </c>
      <c r="BA160" s="878" t="str">
        <f ca="1">IFERROR((AZ161/AZ160),"-")</f>
        <v>-</v>
      </c>
      <c r="BB160" s="2"/>
      <c r="BC160" s="705"/>
      <c r="BD160" s="705"/>
      <c r="BE160" s="705"/>
      <c r="BF160" s="705"/>
      <c r="BG160" s="705"/>
      <c r="BH160" s="705"/>
      <c r="BI160" s="705"/>
      <c r="BJ160" s="2"/>
      <c r="BK160" s="705">
        <f ca="1">SUMIF($BC$7:BI$7,"&lt;="&amp;$I$7,BC160:BH160)</f>
        <v>0</v>
      </c>
      <c r="BL160" s="878" t="str">
        <f ca="1">IFERROR((BK161/BK160),"-")</f>
        <v>-</v>
      </c>
      <c r="BM160" s="2"/>
      <c r="BN160" s="884">
        <v>0</v>
      </c>
      <c r="BO160" s="884">
        <v>0</v>
      </c>
      <c r="BP160" s="884">
        <f>SUM(M161:P161,V161:AB161,AG161:AM161,AR161:AX161,BC161:BI161)</f>
        <v>0</v>
      </c>
      <c r="BQ160" s="878" t="str">
        <f t="shared" ref="BQ160" si="422">IF(AND(BO160=0,BP160=0),"-",IF(BO160=0,1,BP160/BO160))</f>
        <v>-</v>
      </c>
      <c r="BR160" s="2"/>
      <c r="BS160" s="884"/>
      <c r="BT160" s="884"/>
      <c r="BU160" s="884">
        <f ca="1">E160+Q161+AD161+AO161+AZ161+BK161</f>
        <v>14</v>
      </c>
      <c r="BV160" s="704">
        <v>104</v>
      </c>
      <c r="BW160" s="716">
        <f ca="1">IFERROR((BU160/BV160),"-")</f>
        <v>0.13461538461538461</v>
      </c>
      <c r="BX160" s="884">
        <v>14</v>
      </c>
      <c r="BY160" s="878">
        <f ca="1">IFERROR((BU160/BX160),"-")</f>
        <v>1</v>
      </c>
      <c r="BZ160" s="2"/>
      <c r="CA160" s="884">
        <v>12</v>
      </c>
      <c r="CB160" s="884">
        <v>0</v>
      </c>
      <c r="CC160" s="2"/>
      <c r="CD160" s="504">
        <f>IFERROR(AVERAGEIF($V$7:AB$7,"&lt;="&amp;$I$7,V160:AB160),0)</f>
        <v>0</v>
      </c>
      <c r="CE160" s="2"/>
      <c r="CH160" s="93" t="str">
        <f t="shared" si="385"/>
        <v>BDCC- 215+736</v>
      </c>
    </row>
    <row r="161" spans="1:86" s="16" customFormat="1" ht="20.45" hidden="1" customHeight="1" outlineLevel="2">
      <c r="A161" s="74"/>
      <c r="B161" s="1047"/>
      <c r="C161" s="1034"/>
      <c r="D161" s="2"/>
      <c r="E161" s="1024"/>
      <c r="F161" s="2"/>
      <c r="G161" s="50" t="s">
        <v>38</v>
      </c>
      <c r="H161" s="705">
        <f t="shared" si="386"/>
        <v>0</v>
      </c>
      <c r="I161" s="879"/>
      <c r="J161" s="2"/>
      <c r="K161" s="76"/>
      <c r="L161" s="76"/>
      <c r="M161" s="76"/>
      <c r="N161" s="76"/>
      <c r="O161" s="76"/>
      <c r="P161" s="76"/>
      <c r="Q161" s="706"/>
      <c r="R161" s="2"/>
      <c r="S161" s="705">
        <f ca="1">SUMIF($K$7:Q$7,"&lt;="&amp;$I$7,K161:P161)</f>
        <v>0</v>
      </c>
      <c r="T161" s="879"/>
      <c r="U161" s="2"/>
      <c r="V161" s="76"/>
      <c r="W161" s="76"/>
      <c r="X161" s="76"/>
      <c r="Y161" s="76"/>
      <c r="Z161" s="76"/>
      <c r="AA161" s="76"/>
      <c r="AB161" s="706"/>
      <c r="AC161" s="2"/>
      <c r="AD161" s="705">
        <f ca="1">SUMIF($V$7:AB$7,"&lt;="&amp;$I$7,V161:AA161)</f>
        <v>0</v>
      </c>
      <c r="AE161" s="879"/>
      <c r="AF161" s="2"/>
      <c r="AG161" s="76"/>
      <c r="AH161" s="76"/>
      <c r="AI161" s="76"/>
      <c r="AJ161" s="76"/>
      <c r="AK161" s="76"/>
      <c r="AL161" s="76"/>
      <c r="AM161" s="706"/>
      <c r="AN161" s="2"/>
      <c r="AO161" s="705">
        <f ca="1">SUMIF($AG$7:AM$7,"&lt;="&amp;$I$7,AG161:AL161)</f>
        <v>0</v>
      </c>
      <c r="AP161" s="879"/>
      <c r="AQ161" s="2"/>
      <c r="AR161" s="76"/>
      <c r="AS161" s="76"/>
      <c r="AT161" s="76"/>
      <c r="AU161" s="76"/>
      <c r="AV161" s="76"/>
      <c r="AW161" s="76"/>
      <c r="AX161" s="706"/>
      <c r="AY161" s="2"/>
      <c r="AZ161" s="705">
        <f ca="1">SUMIF($AR$7:AX$7,"&lt;="&amp;$I$7,AR161:AW161)</f>
        <v>0</v>
      </c>
      <c r="BA161" s="879"/>
      <c r="BB161" s="2"/>
      <c r="BC161" s="76"/>
      <c r="BD161" s="76"/>
      <c r="BE161" s="76"/>
      <c r="BF161" s="76"/>
      <c r="BG161" s="76"/>
      <c r="BH161" s="76"/>
      <c r="BI161" s="706"/>
      <c r="BJ161" s="2"/>
      <c r="BK161" s="705">
        <f ca="1">SUMIF($BC$7:BI$7,"&lt;="&amp;$I$7,BC161:BH161)</f>
        <v>0</v>
      </c>
      <c r="BL161" s="879"/>
      <c r="BM161" s="2"/>
      <c r="BN161" s="885"/>
      <c r="BO161" s="885"/>
      <c r="BP161" s="885"/>
      <c r="BQ161" s="879"/>
      <c r="BR161" s="2"/>
      <c r="BS161" s="885"/>
      <c r="BT161" s="885"/>
      <c r="BU161" s="885"/>
      <c r="BV161" s="704"/>
      <c r="BW161" s="716"/>
      <c r="BX161" s="885"/>
      <c r="BY161" s="879"/>
      <c r="BZ161" s="2"/>
      <c r="CA161" s="885"/>
      <c r="CB161" s="885"/>
      <c r="CC161" s="2"/>
      <c r="CD161" s="504">
        <f>IFERROR(AVERAGEIF($V$7:AB$7,"&lt;="&amp;$I$7,V161:AB161),0)</f>
        <v>0</v>
      </c>
      <c r="CE161" s="2"/>
      <c r="CH161" s="93" t="str">
        <f t="shared" si="385"/>
        <v>BDCC- 215+736</v>
      </c>
    </row>
    <row r="162" spans="1:86" s="21" customFormat="1" ht="15.95" hidden="1" customHeight="1" outlineLevel="2">
      <c r="A162" s="74" t="s">
        <v>3931</v>
      </c>
      <c r="B162" s="1046" t="s">
        <v>3924</v>
      </c>
      <c r="C162" s="1014" t="s">
        <v>1437</v>
      </c>
      <c r="D162" s="2"/>
      <c r="E162" s="1004">
        <v>15</v>
      </c>
      <c r="F162" s="2"/>
      <c r="G162" s="49" t="s">
        <v>37</v>
      </c>
      <c r="H162" s="705">
        <f t="shared" si="386"/>
        <v>0</v>
      </c>
      <c r="I162" s="878" t="str">
        <f t="shared" ref="I162" si="423">IF(H162=0,IF(H163&gt;0,1,"-"),IFERROR(H163/H162,"-"))</f>
        <v>-</v>
      </c>
      <c r="J162" s="2"/>
      <c r="K162" s="705"/>
      <c r="L162" s="705"/>
      <c r="M162" s="705"/>
      <c r="N162" s="705"/>
      <c r="O162" s="705"/>
      <c r="P162" s="705"/>
      <c r="Q162" s="705"/>
      <c r="R162" s="2"/>
      <c r="S162" s="705">
        <f ca="1">SUMIF($K$7:Q$7,"&lt;="&amp;$I$7,K162:P162)</f>
        <v>0</v>
      </c>
      <c r="T162" s="878" t="str">
        <f ca="1">IFERROR((S163/S162),"-")</f>
        <v>-</v>
      </c>
      <c r="U162" s="2"/>
      <c r="V162" s="705"/>
      <c r="W162" s="705"/>
      <c r="X162" s="705"/>
      <c r="Y162" s="705"/>
      <c r="Z162" s="705"/>
      <c r="AA162" s="705"/>
      <c r="AB162" s="705"/>
      <c r="AC162" s="2"/>
      <c r="AD162" s="705">
        <f ca="1">SUMIF($V$7:AB$7,"&lt;="&amp;$I$7,V162:AA162)</f>
        <v>0</v>
      </c>
      <c r="AE162" s="878" t="str">
        <f ca="1">IFERROR((AD163/AD162),"-")</f>
        <v>-</v>
      </c>
      <c r="AF162" s="2"/>
      <c r="AG162" s="705"/>
      <c r="AH162" s="705"/>
      <c r="AI162" s="705"/>
      <c r="AJ162" s="705"/>
      <c r="AK162" s="705"/>
      <c r="AL162" s="705"/>
      <c r="AM162" s="705"/>
      <c r="AN162" s="2"/>
      <c r="AO162" s="705">
        <f ca="1">SUMIF($AG$7:AM$7,"&lt;="&amp;$I$7,AG162:AL162)</f>
        <v>0</v>
      </c>
      <c r="AP162" s="878" t="str">
        <f ca="1">IFERROR((AO163/AO162),"-")</f>
        <v>-</v>
      </c>
      <c r="AQ162" s="2"/>
      <c r="AR162" s="705"/>
      <c r="AS162" s="705"/>
      <c r="AT162" s="705"/>
      <c r="AU162" s="705"/>
      <c r="AV162" s="705"/>
      <c r="AW162" s="705"/>
      <c r="AX162" s="705"/>
      <c r="AY162" s="2"/>
      <c r="AZ162" s="705">
        <f ca="1">SUMIF($AR$7:AX$7,"&lt;="&amp;$I$7,AR162:AW162)</f>
        <v>0</v>
      </c>
      <c r="BA162" s="878" t="str">
        <f ca="1">IFERROR((AZ163/AZ162),"-")</f>
        <v>-</v>
      </c>
      <c r="BB162" s="2"/>
      <c r="BC162" s="705"/>
      <c r="BD162" s="705"/>
      <c r="BE162" s="705"/>
      <c r="BF162" s="705"/>
      <c r="BG162" s="705"/>
      <c r="BH162" s="705"/>
      <c r="BI162" s="705"/>
      <c r="BJ162" s="2"/>
      <c r="BK162" s="705">
        <f ca="1">SUMIF($BC$7:BI$7,"&lt;="&amp;$I$7,BC162:BH162)</f>
        <v>0</v>
      </c>
      <c r="BL162" s="878" t="str">
        <f ca="1">IFERROR((BK163/BK162),"-")</f>
        <v>-</v>
      </c>
      <c r="BM162" s="2"/>
      <c r="BN162" s="884">
        <v>0</v>
      </c>
      <c r="BO162" s="884">
        <v>0</v>
      </c>
      <c r="BP162" s="884">
        <f>SUM(M163:P163,V163:AB163,AG163:AM163,AR163:AX163,BC163:BI163)</f>
        <v>0</v>
      </c>
      <c r="BQ162" s="878" t="str">
        <f t="shared" ref="BQ162" si="424">IF(AND(BO162=0,BP162=0),"-",IF(BO162=0,1,BP162/BO162))</f>
        <v>-</v>
      </c>
      <c r="BR162" s="2"/>
      <c r="BS162" s="884"/>
      <c r="BT162" s="884"/>
      <c r="BU162" s="884">
        <f ca="1">E162+Q163+AD163+AO163+AZ163+BK163</f>
        <v>15</v>
      </c>
      <c r="BV162" s="704">
        <v>104</v>
      </c>
      <c r="BW162" s="716">
        <f ca="1">IFERROR((BU162/BV162),"-")</f>
        <v>0.14423076923076922</v>
      </c>
      <c r="BX162" s="884">
        <v>14</v>
      </c>
      <c r="BY162" s="878">
        <f ca="1">IFERROR((BU162/BX162),"-")</f>
        <v>1.0714285714285714</v>
      </c>
      <c r="BZ162" s="2"/>
      <c r="CA162" s="884">
        <v>12</v>
      </c>
      <c r="CB162" s="884">
        <v>0</v>
      </c>
      <c r="CC162" s="2"/>
      <c r="CD162" s="504">
        <f>IFERROR(AVERAGEIF($V$7:AB$7,"&lt;="&amp;$I$7,V162:AB162),0)</f>
        <v>0</v>
      </c>
      <c r="CE162" s="2"/>
      <c r="CH162" s="93" t="str">
        <f t="shared" si="385"/>
        <v>BSCC - KM 224+286</v>
      </c>
    </row>
    <row r="163" spans="1:86" s="16" customFormat="1" ht="20.25" hidden="1" customHeight="1" outlineLevel="2">
      <c r="A163" s="74"/>
      <c r="B163" s="1047"/>
      <c r="C163" s="1034"/>
      <c r="D163" s="2"/>
      <c r="E163" s="1024"/>
      <c r="F163" s="2"/>
      <c r="G163" s="50" t="s">
        <v>38</v>
      </c>
      <c r="H163" s="705">
        <f t="shared" si="386"/>
        <v>0</v>
      </c>
      <c r="I163" s="879"/>
      <c r="J163" s="2"/>
      <c r="K163" s="76"/>
      <c r="L163" s="76"/>
      <c r="M163" s="76"/>
      <c r="N163" s="76"/>
      <c r="O163" s="76"/>
      <c r="P163" s="76"/>
      <c r="Q163" s="706"/>
      <c r="R163" s="2"/>
      <c r="S163" s="705">
        <f ca="1">SUMIF($K$7:Q$7,"&lt;="&amp;$I$7,K163:P163)</f>
        <v>0</v>
      </c>
      <c r="T163" s="879"/>
      <c r="U163" s="2"/>
      <c r="V163" s="76"/>
      <c r="W163" s="76"/>
      <c r="X163" s="76"/>
      <c r="Y163" s="76"/>
      <c r="Z163" s="76"/>
      <c r="AA163" s="76"/>
      <c r="AB163" s="706"/>
      <c r="AC163" s="2"/>
      <c r="AD163" s="705">
        <f ca="1">SUMIF($V$7:AB$7,"&lt;="&amp;$I$7,V163:AA163)</f>
        <v>0</v>
      </c>
      <c r="AE163" s="879"/>
      <c r="AF163" s="2"/>
      <c r="AG163" s="76"/>
      <c r="AH163" s="76"/>
      <c r="AI163" s="76"/>
      <c r="AJ163" s="76"/>
      <c r="AK163" s="76"/>
      <c r="AL163" s="76"/>
      <c r="AM163" s="706"/>
      <c r="AN163" s="2"/>
      <c r="AO163" s="705">
        <f ca="1">SUMIF($AG$7:AM$7,"&lt;="&amp;$I$7,AG163:AL163)</f>
        <v>0</v>
      </c>
      <c r="AP163" s="879"/>
      <c r="AQ163" s="2"/>
      <c r="AR163" s="76"/>
      <c r="AS163" s="76"/>
      <c r="AT163" s="76"/>
      <c r="AU163" s="76"/>
      <c r="AV163" s="76"/>
      <c r="AW163" s="76"/>
      <c r="AX163" s="706"/>
      <c r="AY163" s="2"/>
      <c r="AZ163" s="705">
        <f ca="1">SUMIF($AR$7:AX$7,"&lt;="&amp;$I$7,AR163:AW163)</f>
        <v>0</v>
      </c>
      <c r="BA163" s="879"/>
      <c r="BB163" s="2"/>
      <c r="BC163" s="76"/>
      <c r="BD163" s="76"/>
      <c r="BE163" s="76"/>
      <c r="BF163" s="76"/>
      <c r="BG163" s="76"/>
      <c r="BH163" s="76"/>
      <c r="BI163" s="706"/>
      <c r="BJ163" s="2"/>
      <c r="BK163" s="705">
        <f ca="1">SUMIF($BC$7:BI$7,"&lt;="&amp;$I$7,BC163:BH163)</f>
        <v>0</v>
      </c>
      <c r="BL163" s="879"/>
      <c r="BM163" s="2"/>
      <c r="BN163" s="885"/>
      <c r="BO163" s="885"/>
      <c r="BP163" s="885"/>
      <c r="BQ163" s="879"/>
      <c r="BR163" s="2"/>
      <c r="BS163" s="885"/>
      <c r="BT163" s="885"/>
      <c r="BU163" s="885"/>
      <c r="BV163" s="704"/>
      <c r="BW163" s="716"/>
      <c r="BX163" s="885"/>
      <c r="BY163" s="879"/>
      <c r="BZ163" s="2"/>
      <c r="CA163" s="885"/>
      <c r="CB163" s="885"/>
      <c r="CC163" s="2"/>
      <c r="CD163" s="504">
        <f>IFERROR(AVERAGEIF($V$7:AB$7,"&lt;="&amp;$I$7,V163:AB163),0)</f>
        <v>0</v>
      </c>
      <c r="CE163" s="2"/>
      <c r="CH163" s="93" t="str">
        <f t="shared" si="385"/>
        <v>BSCC - KM 224+286</v>
      </c>
    </row>
    <row r="164" spans="1:86" s="16" customFormat="1" ht="15.95" hidden="1" customHeight="1" outlineLevel="2">
      <c r="A164" s="74" t="s">
        <v>3932</v>
      </c>
      <c r="B164" s="1046" t="s">
        <v>3925</v>
      </c>
      <c r="C164" s="1014" t="s">
        <v>1437</v>
      </c>
      <c r="D164" s="2"/>
      <c r="E164" s="1004">
        <v>0</v>
      </c>
      <c r="F164" s="2"/>
      <c r="G164" s="49" t="s">
        <v>37</v>
      </c>
      <c r="H164" s="705">
        <f t="shared" si="386"/>
        <v>0</v>
      </c>
      <c r="I164" s="878" t="str">
        <f t="shared" ref="I164" si="425">IF(H164=0,IF(H165&gt;0,1,"-"),IFERROR(H165/H164,"-"))</f>
        <v>-</v>
      </c>
      <c r="J164" s="2"/>
      <c r="K164" s="705"/>
      <c r="L164" s="705"/>
      <c r="M164" s="705"/>
      <c r="N164" s="705"/>
      <c r="O164" s="705"/>
      <c r="P164" s="705"/>
      <c r="Q164" s="705"/>
      <c r="R164" s="2"/>
      <c r="S164" s="705">
        <f ca="1">SUMIF($K$7:Q$7,"&lt;="&amp;$I$7,K164:P164)</f>
        <v>0</v>
      </c>
      <c r="T164" s="878" t="str">
        <f ca="1">IFERROR((S165/S164),"-")</f>
        <v>-</v>
      </c>
      <c r="U164" s="2"/>
      <c r="V164" s="705"/>
      <c r="W164" s="705"/>
      <c r="X164" s="705"/>
      <c r="Y164" s="7"/>
      <c r="Z164" s="705"/>
      <c r="AA164" s="705">
        <v>16</v>
      </c>
      <c r="AB164" s="705"/>
      <c r="AC164" s="2"/>
      <c r="AD164" s="705">
        <f ca="1">SUMIF($V$7:AB$7,"&lt;="&amp;$I$7,V164:AA164)</f>
        <v>16</v>
      </c>
      <c r="AE164" s="878">
        <f ca="1">IFERROR((AD165/AD164),"-")</f>
        <v>0</v>
      </c>
      <c r="AF164" s="2"/>
      <c r="AG164" s="705"/>
      <c r="AH164" s="705"/>
      <c r="AI164" s="705"/>
      <c r="AJ164" s="705">
        <v>8</v>
      </c>
      <c r="AK164" s="705">
        <v>8</v>
      </c>
      <c r="AL164" s="705"/>
      <c r="AM164" s="705"/>
      <c r="AN164" s="2"/>
      <c r="AO164" s="705">
        <f ca="1">SUMIF($AG$7:AM$7,"&lt;="&amp;$I$7,AG164:AL164)</f>
        <v>0</v>
      </c>
      <c r="AP164" s="878" t="str">
        <f ca="1">IFERROR((AO165/AO164),"-")</f>
        <v>-</v>
      </c>
      <c r="AQ164" s="2"/>
      <c r="AR164" s="705"/>
      <c r="AS164" s="705"/>
      <c r="AT164" s="705"/>
      <c r="AU164" s="705"/>
      <c r="AV164" s="705"/>
      <c r="AW164" s="705"/>
      <c r="AX164" s="705"/>
      <c r="AY164" s="2"/>
      <c r="AZ164" s="705">
        <f ca="1">SUMIF($AR$7:AX$7,"&lt;="&amp;$I$7,AR164:AW164)</f>
        <v>0</v>
      </c>
      <c r="BA164" s="878" t="str">
        <f ca="1">IFERROR((AZ165/AZ164),"-")</f>
        <v>-</v>
      </c>
      <c r="BB164" s="2"/>
      <c r="BC164" s="705"/>
      <c r="BD164" s="705"/>
      <c r="BE164" s="705"/>
      <c r="BF164" s="705"/>
      <c r="BG164" s="705"/>
      <c r="BH164" s="705"/>
      <c r="BI164" s="705"/>
      <c r="BJ164" s="2"/>
      <c r="BK164" s="705">
        <f ca="1">SUMIF($BC$7:BI$7,"&lt;="&amp;$I$7,BC164:BH164)</f>
        <v>0</v>
      </c>
      <c r="BL164" s="878" t="str">
        <f ca="1">IFERROR((BK165/BK164),"-")</f>
        <v>-</v>
      </c>
      <c r="BM164" s="2"/>
      <c r="BN164" s="884">
        <v>0</v>
      </c>
      <c r="BO164" s="884">
        <v>0</v>
      </c>
      <c r="BP164" s="884">
        <f>SUM(M165:P165,V165:AB165,AG165:AM165,AR165:AX165,BC165:BI165)</f>
        <v>0</v>
      </c>
      <c r="BQ164" s="878" t="str">
        <f t="shared" ref="BQ164" si="426">IF(AND(BO164=0,BP164=0),"-",IF(BO164=0,1,BP164/BO164))</f>
        <v>-</v>
      </c>
      <c r="BR164" s="2"/>
      <c r="BS164" s="884"/>
      <c r="BT164" s="884"/>
      <c r="BU164" s="884">
        <f ca="1">E164+Q165+AD165+AO165+AZ165+BK165</f>
        <v>0</v>
      </c>
      <c r="BV164" s="704">
        <v>104</v>
      </c>
      <c r="BW164" s="716">
        <f ca="1">IFERROR((BU164/BV164),"-")</f>
        <v>0</v>
      </c>
      <c r="BX164" s="884">
        <v>12</v>
      </c>
      <c r="BY164" s="878">
        <f ca="1">IFERROR((BU164/BX164),"-")</f>
        <v>0</v>
      </c>
      <c r="BZ164" s="2"/>
      <c r="CA164" s="884">
        <v>10</v>
      </c>
      <c r="CB164" s="884">
        <v>0</v>
      </c>
      <c r="CC164" s="2"/>
      <c r="CD164" s="504">
        <f>IFERROR(AVERAGEIF($V$7:AB$7,"&lt;="&amp;$I$7,V164:AB164),0)</f>
        <v>16</v>
      </c>
      <c r="CE164" s="2"/>
      <c r="CH164" s="93" t="str">
        <f t="shared" si="385"/>
        <v>BDCC - KM 212+900</v>
      </c>
    </row>
    <row r="165" spans="1:86" s="16" customFormat="1" ht="15.95" hidden="1" customHeight="1" outlineLevel="2">
      <c r="A165" s="74"/>
      <c r="B165" s="1047"/>
      <c r="C165" s="1034"/>
      <c r="D165" s="2"/>
      <c r="E165" s="1024"/>
      <c r="F165" s="2"/>
      <c r="G165" s="50" t="s">
        <v>38</v>
      </c>
      <c r="H165" s="705">
        <f t="shared" si="386"/>
        <v>0</v>
      </c>
      <c r="I165" s="879"/>
      <c r="J165" s="2"/>
      <c r="K165" s="76"/>
      <c r="L165" s="76"/>
      <c r="M165" s="76"/>
      <c r="N165" s="76"/>
      <c r="O165" s="76"/>
      <c r="P165" s="76"/>
      <c r="Q165" s="706"/>
      <c r="R165" s="2"/>
      <c r="S165" s="705">
        <f ca="1">SUMIF($K$7:Q$7,"&lt;="&amp;$I$7,K165:P165)</f>
        <v>0</v>
      </c>
      <c r="T165" s="879"/>
      <c r="U165" s="2"/>
      <c r="V165" s="76"/>
      <c r="W165" s="76"/>
      <c r="X165" s="76"/>
      <c r="Y165" s="76"/>
      <c r="Z165" s="76"/>
      <c r="AA165" s="76"/>
      <c r="AB165" s="706"/>
      <c r="AC165" s="2"/>
      <c r="AD165" s="705">
        <f ca="1">SUMIF($V$7:AB$7,"&lt;="&amp;$I$7,V165:AA165)</f>
        <v>0</v>
      </c>
      <c r="AE165" s="879"/>
      <c r="AF165" s="2"/>
      <c r="AG165" s="76"/>
      <c r="AH165" s="76"/>
      <c r="AI165" s="76"/>
      <c r="AJ165" s="76"/>
      <c r="AK165" s="76"/>
      <c r="AL165" s="76"/>
      <c r="AM165" s="706"/>
      <c r="AN165" s="2"/>
      <c r="AO165" s="705">
        <f ca="1">SUMIF($AG$7:AM$7,"&lt;="&amp;$I$7,AG165:AL165)</f>
        <v>0</v>
      </c>
      <c r="AP165" s="879"/>
      <c r="AQ165" s="2"/>
      <c r="AR165" s="76"/>
      <c r="AS165" s="76"/>
      <c r="AT165" s="76"/>
      <c r="AU165" s="76"/>
      <c r="AV165" s="76"/>
      <c r="AW165" s="76"/>
      <c r="AX165" s="706"/>
      <c r="AY165" s="2"/>
      <c r="AZ165" s="705">
        <f ca="1">SUMIF($AR$7:AX$7,"&lt;="&amp;$I$7,AR165:AW165)</f>
        <v>0</v>
      </c>
      <c r="BA165" s="879"/>
      <c r="BB165" s="2"/>
      <c r="BC165" s="76"/>
      <c r="BD165" s="76"/>
      <c r="BE165" s="76"/>
      <c r="BF165" s="76"/>
      <c r="BG165" s="76"/>
      <c r="BH165" s="76"/>
      <c r="BI165" s="706"/>
      <c r="BJ165" s="2"/>
      <c r="BK165" s="705">
        <f ca="1">SUMIF($BC$7:BI$7,"&lt;="&amp;$I$7,BC165:BH165)</f>
        <v>0</v>
      </c>
      <c r="BL165" s="879"/>
      <c r="BM165" s="2"/>
      <c r="BN165" s="885"/>
      <c r="BO165" s="885"/>
      <c r="BP165" s="885"/>
      <c r="BQ165" s="879"/>
      <c r="BR165" s="2"/>
      <c r="BS165" s="885"/>
      <c r="BT165" s="885"/>
      <c r="BU165" s="885"/>
      <c r="BV165" s="704"/>
      <c r="BW165" s="716"/>
      <c r="BX165" s="885"/>
      <c r="BY165" s="879"/>
      <c r="BZ165" s="2"/>
      <c r="CA165" s="885"/>
      <c r="CB165" s="885"/>
      <c r="CC165" s="2"/>
      <c r="CD165" s="504">
        <f>IFERROR(AVERAGEIF($V$7:AB$7,"&lt;="&amp;$I$7,V165:AB165),0)</f>
        <v>0</v>
      </c>
      <c r="CE165" s="2"/>
      <c r="CH165" s="93" t="str">
        <f t="shared" si="385"/>
        <v>BDCC - KM 212+900</v>
      </c>
    </row>
    <row r="166" spans="1:86" s="16" customFormat="1" ht="15.95" hidden="1" customHeight="1" outlineLevel="2">
      <c r="A166" s="74"/>
      <c r="B166" s="1046" t="s">
        <v>3926</v>
      </c>
      <c r="C166" s="1014" t="s">
        <v>1437</v>
      </c>
      <c r="D166" s="2"/>
      <c r="E166" s="1004">
        <v>0</v>
      </c>
      <c r="F166" s="2"/>
      <c r="G166" s="49" t="s">
        <v>37</v>
      </c>
      <c r="H166" s="705">
        <f t="shared" si="386"/>
        <v>0</v>
      </c>
      <c r="I166" s="878" t="str">
        <f t="shared" ref="I166" si="427">IF(H166=0,IF(H167&gt;0,1,"-"),IFERROR(H167/H166,"-"))</f>
        <v>-</v>
      </c>
      <c r="J166" s="2"/>
      <c r="K166" s="705"/>
      <c r="L166" s="705"/>
      <c r="M166" s="705"/>
      <c r="N166" s="705"/>
      <c r="O166" s="705"/>
      <c r="P166" s="705"/>
      <c r="Q166" s="705"/>
      <c r="R166" s="2"/>
      <c r="S166" s="705">
        <f ca="1">SUMIF($K$7:Q$7,"&lt;="&amp;$I$7,K166:P166)</f>
        <v>0</v>
      </c>
      <c r="T166" s="878" t="str">
        <f ca="1">IFERROR((S167/S166),"-")</f>
        <v>-</v>
      </c>
      <c r="U166" s="2"/>
      <c r="V166" s="705"/>
      <c r="W166" s="705">
        <v>8</v>
      </c>
      <c r="X166" s="705"/>
      <c r="Y166" s="7"/>
      <c r="Z166" s="705"/>
      <c r="AA166" s="705"/>
      <c r="AB166" s="705"/>
      <c r="AC166" s="2"/>
      <c r="AD166" s="705">
        <f ca="1">SUMIF($V$7:AB$7,"&lt;="&amp;$I$7,V166:AA166)</f>
        <v>8</v>
      </c>
      <c r="AE166" s="878">
        <f ca="1">IFERROR((AD167/AD166),"-")</f>
        <v>0</v>
      </c>
      <c r="AF166" s="2"/>
      <c r="AG166" s="705"/>
      <c r="AH166" s="705"/>
      <c r="AI166" s="705">
        <v>8</v>
      </c>
      <c r="AJ166" s="705"/>
      <c r="AK166" s="705"/>
      <c r="AL166" s="705"/>
      <c r="AM166" s="705"/>
      <c r="AN166" s="2"/>
      <c r="AO166" s="705">
        <f ca="1">SUMIF($AG$7:AM$7,"&lt;="&amp;$I$7,AG166:AL166)</f>
        <v>0</v>
      </c>
      <c r="AP166" s="878" t="str">
        <f ca="1">IFERROR((AO167/AO166),"-")</f>
        <v>-</v>
      </c>
      <c r="AQ166" s="2"/>
      <c r="AR166" s="705"/>
      <c r="AS166" s="705"/>
      <c r="AT166" s="705"/>
      <c r="AU166" s="705"/>
      <c r="AV166" s="705"/>
      <c r="AW166" s="705"/>
      <c r="AX166" s="705"/>
      <c r="AY166" s="2"/>
      <c r="AZ166" s="705">
        <f ca="1">SUMIF($AR$7:AX$7,"&lt;="&amp;$I$7,AR166:AW166)</f>
        <v>0</v>
      </c>
      <c r="BA166" s="878" t="str">
        <f ca="1">IFERROR((AZ167/AZ166),"-")</f>
        <v>-</v>
      </c>
      <c r="BB166" s="2"/>
      <c r="BC166" s="705"/>
      <c r="BD166" s="705"/>
      <c r="BE166" s="705"/>
      <c r="BF166" s="705"/>
      <c r="BG166" s="705"/>
      <c r="BH166" s="705"/>
      <c r="BI166" s="705"/>
      <c r="BJ166" s="2"/>
      <c r="BK166" s="705">
        <f ca="1">SUMIF($BC$7:BI$7,"&lt;="&amp;$I$7,BC166:BH166)</f>
        <v>0</v>
      </c>
      <c r="BL166" s="878" t="str">
        <f ca="1">IFERROR((BK167/BK166),"-")</f>
        <v>-</v>
      </c>
      <c r="BM166" s="2"/>
      <c r="BN166" s="884">
        <v>0</v>
      </c>
      <c r="BO166" s="884">
        <v>0</v>
      </c>
      <c r="BP166" s="884">
        <f>SUM(M167:P167,V167:AB167,AG167:AM167,AR167:AX167,BC167:BI167)</f>
        <v>0</v>
      </c>
      <c r="BQ166" s="878" t="str">
        <f t="shared" ref="BQ166" si="428">IF(AND(BO166=0,BP166=0),"-",IF(BO166=0,1,BP166/BO166))</f>
        <v>-</v>
      </c>
      <c r="BR166" s="2"/>
      <c r="BS166" s="884"/>
      <c r="BT166" s="884"/>
      <c r="BU166" s="884">
        <f ca="1">E166+Q167+AD167+AO167+AZ167+BK167</f>
        <v>0</v>
      </c>
      <c r="BV166" s="704">
        <v>104</v>
      </c>
      <c r="BW166" s="716">
        <f ca="1">IFERROR((BU166/BV166),"-")</f>
        <v>0</v>
      </c>
      <c r="BX166" s="884">
        <v>0</v>
      </c>
      <c r="BY166" s="878" t="str">
        <f ca="1">IFERROR((BU166/BX166),"-")</f>
        <v>-</v>
      </c>
      <c r="BZ166" s="2"/>
      <c r="CA166" s="884">
        <v>10</v>
      </c>
      <c r="CB166" s="884">
        <v>0</v>
      </c>
      <c r="CC166" s="2"/>
      <c r="CD166" s="504">
        <f>IFERROR(AVERAGEIF($V$7:AB$7,"&lt;="&amp;$I$7,V166:AB166),0)</f>
        <v>8</v>
      </c>
      <c r="CE166" s="2"/>
      <c r="CH166" s="93" t="str">
        <f t="shared" si="385"/>
        <v>BDCC - KM 210+900</v>
      </c>
    </row>
    <row r="167" spans="1:86" s="16" customFormat="1" ht="15.95" hidden="1" customHeight="1" outlineLevel="2" collapsed="1">
      <c r="A167" s="74"/>
      <c r="B167" s="1047"/>
      <c r="C167" s="1034"/>
      <c r="D167" s="2"/>
      <c r="E167" s="1024"/>
      <c r="F167" s="2"/>
      <c r="G167" s="50" t="s">
        <v>38</v>
      </c>
      <c r="H167" s="705">
        <f t="shared" si="386"/>
        <v>0</v>
      </c>
      <c r="I167" s="879"/>
      <c r="J167" s="2"/>
      <c r="K167" s="76"/>
      <c r="L167" s="76"/>
      <c r="M167" s="76"/>
      <c r="N167" s="76"/>
      <c r="O167" s="76"/>
      <c r="P167" s="76"/>
      <c r="Q167" s="706"/>
      <c r="R167" s="2"/>
      <c r="S167" s="705">
        <f ca="1">SUMIF($K$7:Q$7,"&lt;="&amp;$I$7,K167:P167)</f>
        <v>0</v>
      </c>
      <c r="T167" s="879"/>
      <c r="U167" s="2"/>
      <c r="V167" s="76"/>
      <c r="W167" s="76"/>
      <c r="X167" s="76"/>
      <c r="Y167" s="76"/>
      <c r="Z167" s="76"/>
      <c r="AA167" s="76"/>
      <c r="AB167" s="706"/>
      <c r="AC167" s="2"/>
      <c r="AD167" s="705">
        <f ca="1">SUMIF($V$7:AB$7,"&lt;="&amp;$I$7,V167:AA167)</f>
        <v>0</v>
      </c>
      <c r="AE167" s="879"/>
      <c r="AF167" s="2"/>
      <c r="AG167" s="76"/>
      <c r="AH167" s="76"/>
      <c r="AI167" s="76"/>
      <c r="AJ167" s="76"/>
      <c r="AK167" s="76"/>
      <c r="AL167" s="76"/>
      <c r="AM167" s="706"/>
      <c r="AN167" s="2"/>
      <c r="AO167" s="705">
        <f ca="1">SUMIF($AG$7:AM$7,"&lt;="&amp;$I$7,AG167:AL167)</f>
        <v>0</v>
      </c>
      <c r="AP167" s="879"/>
      <c r="AQ167" s="2"/>
      <c r="AR167" s="76"/>
      <c r="AS167" s="76"/>
      <c r="AT167" s="76"/>
      <c r="AU167" s="76"/>
      <c r="AV167" s="76"/>
      <c r="AW167" s="76"/>
      <c r="AX167" s="706"/>
      <c r="AY167" s="2"/>
      <c r="AZ167" s="705">
        <f ca="1">SUMIF($AR$7:AX$7,"&lt;="&amp;$I$7,AR167:AW167)</f>
        <v>0</v>
      </c>
      <c r="BA167" s="879"/>
      <c r="BB167" s="2"/>
      <c r="BC167" s="76"/>
      <c r="BD167" s="76"/>
      <c r="BE167" s="76"/>
      <c r="BF167" s="76"/>
      <c r="BG167" s="76"/>
      <c r="BH167" s="76"/>
      <c r="BI167" s="706"/>
      <c r="BJ167" s="2"/>
      <c r="BK167" s="705">
        <f ca="1">SUMIF($BC$7:BI$7,"&lt;="&amp;$I$7,BC167:BH167)</f>
        <v>0</v>
      </c>
      <c r="BL167" s="879"/>
      <c r="BM167" s="2"/>
      <c r="BN167" s="885"/>
      <c r="BO167" s="885"/>
      <c r="BP167" s="885"/>
      <c r="BQ167" s="879"/>
      <c r="BR167" s="2"/>
      <c r="BS167" s="885"/>
      <c r="BT167" s="885"/>
      <c r="BU167" s="885"/>
      <c r="BV167" s="704"/>
      <c r="BW167" s="716"/>
      <c r="BX167" s="885"/>
      <c r="BY167" s="879"/>
      <c r="BZ167" s="2"/>
      <c r="CA167" s="885"/>
      <c r="CB167" s="885"/>
      <c r="CC167" s="2"/>
      <c r="CD167" s="504">
        <f>IFERROR(AVERAGEIF($V$7:AB$7,"&lt;="&amp;$I$7,V167:AB167),0)</f>
        <v>0</v>
      </c>
      <c r="CE167" s="2"/>
      <c r="CH167" s="93" t="str">
        <f t="shared" si="385"/>
        <v>BDCC - KM 210+900</v>
      </c>
    </row>
    <row r="168" spans="1:86" s="16" customFormat="1" ht="14.65" hidden="1" customHeight="1" outlineLevel="1" collapsed="1">
      <c r="A168" s="74"/>
      <c r="B168" s="1081" t="s">
        <v>3933</v>
      </c>
      <c r="C168" s="1071" t="s">
        <v>1437</v>
      </c>
      <c r="D168" s="2"/>
      <c r="E168" s="1019">
        <v>6</v>
      </c>
      <c r="F168" s="2"/>
      <c r="G168" s="53" t="s">
        <v>37</v>
      </c>
      <c r="H168" s="52">
        <f t="shared" si="386"/>
        <v>0</v>
      </c>
      <c r="I168" s="743" t="str">
        <f t="shared" ref="I168" si="429">IF(H168=0,IF(H169&gt;0,1,"-"),IFERROR(H169/H168,"-"))</f>
        <v>-</v>
      </c>
      <c r="J168" s="2"/>
      <c r="K168" s="80" t="str" cm="1">
        <f t="array" ref="K168">IF(
   SUM(IF($G$170:$G$175="P",IF(ISNUMBER(K170:K175),K170:K175,0)))&gt;0,
   SUM(IF($G$170:$G$175="P",IF(ISNUMBER(K170:K175),K170:K175,0))),
   IF(
      COUNTIFS($G$170:$G$175,"P",K170:K175,"X")&gt;0,
      "X",
      ""
   )
)</f>
        <v/>
      </c>
      <c r="L168" s="80" t="str" cm="1">
        <f t="array" ref="L168">IF(
   SUM(IF($G$170:$G$175="P",IF(ISNUMBER(L170:L175),L170:L175,0)))&gt;0,
   SUM(IF($G$170:$G$175="P",IF(ISNUMBER(L170:L175),L170:L175,0))),
   IF(
      COUNTIFS($G$170:$G$175,"P",L170:L175,"X")&gt;0,
      "X",
      ""
   )
)</f>
        <v/>
      </c>
      <c r="M168" s="80" t="str" cm="1">
        <f t="array" ref="M168">IF(
   SUM(IF($G$170:$G$175="P",IF(ISNUMBER(M170:M175),M170:M175,0)))&gt;0,
   SUM(IF($G$170:$G$175="P",IF(ISNUMBER(M170:M175),M170:M175,0))),
   IF(
      COUNTIFS($G$170:$G$175,"P",M170:M175,"X")&gt;0,
      "X",
      ""
   )
)</f>
        <v/>
      </c>
      <c r="N168" s="80" t="str" cm="1">
        <f t="array" ref="N168">IF(
   SUM(IF($G$170:$G$175="P",IF(ISNUMBER(N170:N175),N170:N175,0)))&gt;0,
   SUM(IF($G$170:$G$175="P",IF(ISNUMBER(N170:N175),N170:N175,0))),
   IF(
      COUNTIFS($G$170:$G$175,"P",N170:N175,"X")&gt;0,
      "X",
      ""
   )
)</f>
        <v/>
      </c>
      <c r="O168" s="80" t="str" cm="1">
        <f t="array" ref="O168">IF(
   SUM(IF($G$170:$G$175="P",IF(ISNUMBER(O170:O175),O170:O175,0)))&gt;0,
   SUM(IF($G$170:$G$175="P",IF(ISNUMBER(O170:O175),O170:O175,0))),
   IF(
      COUNTIFS($G$170:$G$175,"P",O170:O175,"X")&gt;0,
      "X",
      ""
   )
)</f>
        <v/>
      </c>
      <c r="P168" s="80" t="str" cm="1">
        <f t="array" ref="P168">IF(
   SUM(IF($G$170:$G$175="P",IF(ISNUMBER(P170:P175),P170:P175,0)))&gt;0,
   SUM(IF($G$170:$G$175="P",IF(ISNUMBER(P170:P175),P170:P175,0))),
   IF(
      COUNTIFS($G$170:$G$175,"P",P170:P175,"X")&gt;0,
      "X",
      ""
   )
)</f>
        <v/>
      </c>
      <c r="Q168" s="52"/>
      <c r="R168" s="2"/>
      <c r="S168" s="52">
        <f ca="1">SUMIF($K$7:Q$7,"&lt;="&amp;$I$7,K168:P168)</f>
        <v>0</v>
      </c>
      <c r="T168" s="743" t="str">
        <f ca="1">IFERROR((S169/S168),"-")</f>
        <v>-</v>
      </c>
      <c r="U168" s="2"/>
      <c r="V168" s="80" t="str" cm="1">
        <f t="array" ref="V168">IF(
   SUM(IF($G$170:$G$175="P",IF(ISNUMBER(V170:V175),V170:V175,0)))&gt;0,
   SUM(IF($G$170:$G$175="P",IF(ISNUMBER(V170:V175),V170:V175,0))),
   IF(
      COUNTIFS($G$170:$G$175,"P",V170:V175,"X")&gt;0,
      "X",
      ""
   )
)</f>
        <v/>
      </c>
      <c r="W168" s="80" t="str" cm="1">
        <f t="array" ref="W168">IF(
   SUM(IF($G$170:$G$175="P",IF(ISNUMBER(W170:W175),W170:W175,0)))&gt;0,
   SUM(IF($G$170:$G$175="P",IF(ISNUMBER(W170:W175),W170:W175,0))),
   IF(
      COUNTIFS($G$170:$G$175,"P",W170:W175,"X")&gt;0,
      "X",
      ""
   )
)</f>
        <v/>
      </c>
      <c r="X168" s="80" t="str" cm="1">
        <f t="array" ref="X168">IF(
   SUM(IF($G$170:$G$175="P",IF(ISNUMBER(X170:X175),X170:X175,0)))&gt;0,
   SUM(IF($G$170:$G$175="P",IF(ISNUMBER(X170:X175),X170:X175,0))),
   IF(
      COUNTIFS($G$170:$G$175,"P",X170:X175,"X")&gt;0,
      "X",
      ""
   )
)</f>
        <v>X</v>
      </c>
      <c r="Y168" s="80" t="str" cm="1">
        <f t="array" ref="Y168">IF(
   SUM(IF($G$170:$G$175="P",IF(ISNUMBER(Y170:Y175),Y170:Y175,0)))&gt;0,
   SUM(IF($G$170:$G$175="P",IF(ISNUMBER(Y170:Y175),Y170:Y175,0))),
   IF(
      COUNTIFS($G$170:$G$175,"P",Y170:Y175,"X")&gt;0,
      "X",
      ""
   )
)</f>
        <v>X</v>
      </c>
      <c r="Z168" s="80" t="str" cm="1">
        <f t="array" ref="Z168">IF(
   SUM(IF($G$170:$G$175="P",IF(ISNUMBER(Z170:Z175),Z170:Z175,0)))&gt;0,
   SUM(IF($G$170:$G$175="P",IF(ISNUMBER(Z170:Z175),Z170:Z175,0))),
   IF(
      COUNTIFS($G$170:$G$175,"P",Z170:Z175,"X")&gt;0,
      "X",
      ""
   )
)</f>
        <v>X</v>
      </c>
      <c r="AA168" s="80" t="str" cm="1">
        <f t="array" ref="AA168">IF(
   SUM(IF($G$170:$G$175="P",IF(ISNUMBER(AA170:AA175),AA170:AA175,0)))&gt;0,
   SUM(IF($G$170:$G$175="P",IF(ISNUMBER(AA170:AA175),AA170:AA175,0))),
   IF(
      COUNTIFS($G$170:$G$175,"P",AA170:AA175,"X")&gt;0,
      "X",
      ""
   )
)</f>
        <v>X</v>
      </c>
      <c r="AB168" s="52"/>
      <c r="AC168" s="2"/>
      <c r="AD168" s="52">
        <f>SUMIF($V$7:AB$7,"&lt;="&amp;$I$7,V168:AB168)</f>
        <v>0</v>
      </c>
      <c r="AE168" s="743" t="str">
        <f>IFERROR((AD169/AD168),"-")</f>
        <v>-</v>
      </c>
      <c r="AF168" s="2"/>
      <c r="AG168" s="80" t="str" cm="1">
        <f t="array" ref="AG168">IF(
   SUM(IF($G$170:$G$175="P",IF(ISNUMBER(AG170:AG175),AG170:AG175,0)))&gt;0,
   SUM(IF($G$170:$G$175="P",IF(ISNUMBER(AG170:AG175),AG170:AG175,0))),
   IF(
      COUNTIFS($G$170:$G$175,"P",AG170:AG175,"X")&gt;0,
      "X",
      ""
   )
)</f>
        <v/>
      </c>
      <c r="AH168" s="80" t="str" cm="1">
        <f t="array" ref="AH168">IF(
   SUM(IF($G$170:$G$175="P",IF(ISNUMBER(AH170:AH175),AH170:AH175,0)))&gt;0,
   SUM(IF($G$170:$G$175="P",IF(ISNUMBER(AH170:AH175),AH170:AH175,0))),
   IF(
      COUNTIFS($G$170:$G$175,"P",AH170:AH175,"X")&gt;0,
      "X",
      ""
   )
)</f>
        <v/>
      </c>
      <c r="AI168" s="80" t="str" cm="1">
        <f t="array" ref="AI168">IF(
   SUM(IF($G$170:$G$175="P",IF(ISNUMBER(AI170:AI175),AI170:AI175,0)))&gt;0,
   SUM(IF($G$170:$G$175="P",IF(ISNUMBER(AI170:AI175),AI170:AI175,0))),
   IF(
      COUNTIFS($G$170:$G$175,"P",AI170:AI175,"X")&gt;0,
      "X",
      ""
   )
)</f>
        <v/>
      </c>
      <c r="AJ168" s="80" t="str" cm="1">
        <f t="array" ref="AJ168">IF(
   SUM(IF($G$170:$G$175="P",IF(ISNUMBER(AJ170:AJ175),AJ170:AJ175,0)))&gt;0,
   SUM(IF($G$170:$G$175="P",IF(ISNUMBER(AJ170:AJ175),AJ170:AJ175,0))),
   IF(
      COUNTIFS($G$170:$G$175,"P",AJ170:AJ175,"X")&gt;0,
      "X",
      ""
   )
)</f>
        <v>X</v>
      </c>
      <c r="AK168" s="80" t="str" cm="1">
        <f t="array" ref="AK168">IF(
   SUM(IF($G$170:$G$175="P",IF(ISNUMBER(AK170:AK175),AK170:AK175,0)))&gt;0,
   SUM(IF($G$170:$G$175="P",IF(ISNUMBER(AK170:AK175),AK170:AK175,0))),
   IF(
      COUNTIFS($G$170:$G$175,"P",AK170:AK175,"X")&gt;0,
      "X",
      ""
   )
)</f>
        <v>X</v>
      </c>
      <c r="AL168" s="80" t="str" cm="1">
        <f t="array" ref="AL168">IF(
   SUM(IF($G$170:$G$175="P",IF(ISNUMBER(AL170:AL175),AL170:AL175,0)))&gt;0,
   SUM(IF($G$170:$G$175="P",IF(ISNUMBER(AL170:AL175),AL170:AL175,0))),
   IF(
      COUNTIFS($G$170:$G$175,"P",AL170:AL175,"X")&gt;0,
      "X",
      ""
   )
)</f>
        <v>X</v>
      </c>
      <c r="AM168" s="52"/>
      <c r="AN168" s="2"/>
      <c r="AO168" s="52">
        <f ca="1">SUMIF($AG$7:AM$7,"&lt;="&amp;$I$7,AG168:AL168)</f>
        <v>0</v>
      </c>
      <c r="AP168" s="743" t="str">
        <f ca="1">IFERROR((AO169/AO168),"-")</f>
        <v>-</v>
      </c>
      <c r="AQ168" s="2"/>
      <c r="AR168" s="80" t="str" cm="1">
        <f t="array" ref="AR168">IF(
   SUM(IF($G$170:$G$175="P",IF(ISNUMBER(AR170:AR175),AR170:AR175,0)))&gt;0,
   SUM(IF($G$170:$G$175="P",IF(ISNUMBER(AR170:AR175),AR170:AR175,0))),
   IF(
      COUNTIFS($G$170:$G$175,"P",AR170:AR175,"X")&gt;0,
      "X",
      ""
   )
)</f>
        <v/>
      </c>
      <c r="AS168" s="80" t="str" cm="1">
        <f t="array" ref="AS168">IF(
   SUM(IF($G$170:$G$175="P",IF(ISNUMBER(AS170:AS175),AS170:AS175,0)))&gt;0,
   SUM(IF($G$170:$G$175="P",IF(ISNUMBER(AS170:AS175),AS170:AS175,0))),
   IF(
      COUNTIFS($G$170:$G$175,"P",AS170:AS175,"X")&gt;0,
      "X",
      ""
   )
)</f>
        <v/>
      </c>
      <c r="AT168" s="80" t="str" cm="1">
        <f t="array" ref="AT168">IF(
   SUM(IF($G$170:$G$175="P",IF(ISNUMBER(AT170:AT175),AT170:AT175,0)))&gt;0,
   SUM(IF($G$170:$G$175="P",IF(ISNUMBER(AT170:AT175),AT170:AT175,0))),
   IF(
      COUNTIFS($G$170:$G$175,"P",AT170:AT175,"X")&gt;0,
      "X",
      ""
   )
)</f>
        <v/>
      </c>
      <c r="AU168" s="80" t="str" cm="1">
        <f t="array" ref="AU168">IF(
   SUM(IF($G$170:$G$175="P",IF(ISNUMBER(AU170:AU175),AU170:AU175,0)))&gt;0,
   SUM(IF($G$170:$G$175="P",IF(ISNUMBER(AU170:AU175),AU170:AU175,0))),
   IF(
      COUNTIFS($G$170:$G$175,"P",AU170:AU175,"X")&gt;0,
      "X",
      ""
   )
)</f>
        <v/>
      </c>
      <c r="AV168" s="80" t="str" cm="1">
        <f t="array" ref="AV168">IF(
   SUM(IF($G$170:$G$175="P",IF(ISNUMBER(AV170:AV175),AV170:AV175,0)))&gt;0,
   SUM(IF($G$170:$G$175="P",IF(ISNUMBER(AV170:AV175),AV170:AV175,0))),
   IF(
      COUNTIFS($G$170:$G$175,"P",AV170:AV175,"X")&gt;0,
      "X",
      ""
   )
)</f>
        <v/>
      </c>
      <c r="AW168" s="80" t="str" cm="1">
        <f t="array" ref="AW168">IF(
   SUM(IF($G$170:$G$175="P",IF(ISNUMBER(AW170:AW175),AW170:AW175,0)))&gt;0,
   SUM(IF($G$170:$G$175="P",IF(ISNUMBER(AW170:AW175),AW170:AW175,0))),
   IF(
      COUNTIFS($G$170:$G$175,"P",AW170:AW175,"X")&gt;0,
      "X",
      ""
   )
)</f>
        <v/>
      </c>
      <c r="AX168" s="52"/>
      <c r="AY168" s="2"/>
      <c r="AZ168" s="52">
        <f ca="1">SUMIF($AR$7:AX$7,"&lt;="&amp;$I$7,AR168:AW168)</f>
        <v>0</v>
      </c>
      <c r="BA168" s="743" t="str">
        <f ca="1">IFERROR((AZ169/AZ168),"-")</f>
        <v>-</v>
      </c>
      <c r="BB168" s="2"/>
      <c r="BC168" s="80" t="str" cm="1">
        <f t="array" ref="BC168">IF(
   SUM(IF($G$170:$G$175="P",IF(ISNUMBER(BC170:BC175),BC170:BC175,0)))&gt;0,
   SUM(IF($G$170:$G$175="P",IF(ISNUMBER(BC170:BC175),BC170:BC175,0))),
   IF(
      COUNTIFS($G$170:$G$175,"P",BC170:BC175,"X")&gt;0,
      "X",
      ""
   )
)</f>
        <v/>
      </c>
      <c r="BD168" s="80" t="str" cm="1">
        <f t="array" ref="BD168">IF(
   SUM(IF($G$170:$G$175="P",IF(ISNUMBER(BD170:BD175),BD170:BD175,0)))&gt;0,
   SUM(IF($G$170:$G$175="P",IF(ISNUMBER(BD170:BD175),BD170:BD175,0))),
   IF(
      COUNTIFS($G$170:$G$175,"P",BD170:BD175,"X")&gt;0,
      "X",
      ""
   )
)</f>
        <v/>
      </c>
      <c r="BE168" s="80" t="str" cm="1">
        <f t="array" ref="BE168">IF(
   SUM(IF($G$170:$G$175="P",IF(ISNUMBER(BE170:BE175),BE170:BE175,0)))&gt;0,
   SUM(IF($G$170:$G$175="P",IF(ISNUMBER(BE170:BE175),BE170:BE175,0))),
   IF(
      COUNTIFS($G$170:$G$175,"P",BE170:BE175,"X")&gt;0,
      "X",
      ""
   )
)</f>
        <v/>
      </c>
      <c r="BF168" s="80" t="str" cm="1">
        <f t="array" ref="BF168">IF(
   SUM(IF($G$170:$G$175="P",IF(ISNUMBER(BF170:BF175),BF170:BF175,0)))&gt;0,
   SUM(IF($G$170:$G$175="P",IF(ISNUMBER(BF170:BF175),BF170:BF175,0))),
   IF(
      COUNTIFS($G$170:$G$175,"P",BF170:BF175,"X")&gt;0,
      "X",
      ""
   )
)</f>
        <v/>
      </c>
      <c r="BG168" s="80" t="str" cm="1">
        <f t="array" ref="BG168">IF(
   SUM(IF($G$170:$G$175="P",IF(ISNUMBER(BG170:BG175),BG170:BG175,0)))&gt;0,
   SUM(IF($G$170:$G$175="P",IF(ISNUMBER(BG170:BG175),BG170:BG175,0))),
   IF(
      COUNTIFS($G$170:$G$175,"P",BG170:BG175,"X")&gt;0,
      "X",
      ""
   )
)</f>
        <v/>
      </c>
      <c r="BH168" s="80" t="str" cm="1">
        <f t="array" ref="BH168">IF(
   SUM(IF($G$170:$G$175="P",IF(ISNUMBER(BH170:BH175),BH170:BH175,0)))&gt;0,
   SUM(IF($G$170:$G$175="P",IF(ISNUMBER(BH170:BH175),BH170:BH175,0))),
   IF(
      COUNTIFS($G$170:$G$175,"P",BH170:BH175,"X")&gt;0,
      "X",
      ""
   )
)</f>
        <v/>
      </c>
      <c r="BI168" s="52"/>
      <c r="BJ168" s="2"/>
      <c r="BK168" s="52">
        <f ca="1">SUMIF($BC$7:BI$7,"&lt;="&amp;$I$7,BC168:BH168)</f>
        <v>0</v>
      </c>
      <c r="BL168" s="743" t="str">
        <f ca="1">IFERROR((BK169/BK168),"-")</f>
        <v>-</v>
      </c>
      <c r="BM168" s="2"/>
      <c r="BN168" s="888">
        <v>3</v>
      </c>
      <c r="BO168" s="888">
        <v>0</v>
      </c>
      <c r="BP168" s="888">
        <f>SUM(BP170:BP177)</f>
        <v>0</v>
      </c>
      <c r="BQ168" s="743" t="str">
        <f t="shared" ref="BQ168" si="430">IF(AND(BO168=0,BP168=0),"-",IF(BO168=0,1,BP168/BO168))</f>
        <v>-</v>
      </c>
      <c r="BR168" s="2"/>
      <c r="BS168" s="888"/>
      <c r="BT168" s="888"/>
      <c r="BU168" s="888">
        <f ca="1">E168+S169+AD169+AO169+AZ169+BK169</f>
        <v>6</v>
      </c>
      <c r="BV168" s="888">
        <v>104</v>
      </c>
      <c r="BW168" s="1019">
        <f ca="1">IFERROR((BU168/BV168),"-")</f>
        <v>5.7692307692307696E-2</v>
      </c>
      <c r="BX168" s="888">
        <v>4</v>
      </c>
      <c r="BY168" s="743">
        <f ca="1">IFERROR((BU168/BX168),"-")</f>
        <v>1.5</v>
      </c>
      <c r="BZ168" s="2"/>
      <c r="CA168" s="888">
        <v>23</v>
      </c>
      <c r="CB168" s="888">
        <f ca="1">CA168-BU168</f>
        <v>17</v>
      </c>
      <c r="CC168" s="2"/>
      <c r="CD168" s="84">
        <f>IFERROR(AVERAGEIF($V$7:AB$7,"&lt;="&amp;$I$7,V168:AB168),0)</f>
        <v>0</v>
      </c>
      <c r="CE168" s="2"/>
      <c r="CH168" s="93" t="str">
        <f t="shared" si="385"/>
        <v>BUEIROS - MONTAGEM DAS ALAS</v>
      </c>
    </row>
    <row r="169" spans="1:86" s="16" customFormat="1" ht="14.65" hidden="1" customHeight="1" outlineLevel="1">
      <c r="A169" s="74"/>
      <c r="B169" s="1082"/>
      <c r="C169" s="1072"/>
      <c r="D169" s="2"/>
      <c r="E169" s="1060"/>
      <c r="F169" s="2"/>
      <c r="G169" s="54" t="s">
        <v>38</v>
      </c>
      <c r="H169" s="52">
        <f t="shared" si="386"/>
        <v>0</v>
      </c>
      <c r="I169" s="744"/>
      <c r="J169" s="2"/>
      <c r="K169" s="75" t="str" cm="1">
        <f t="array" ref="K169">IF(
   SUM(IF($G$170:$G$175="R",IF(ISNUMBER(K170:K175),K170:K175,0)))&gt;0,
   SUM(IF($G$170:$G$175="R",IF(ISNUMBER(K170:K175),K170:K175,0))),
   IF(
      COUNTIFS($G$170:$G$175,"R",K170:K175,"X")&gt;0,
      "X",
      ""
   )
)</f>
        <v/>
      </c>
      <c r="L169" s="75" t="str" cm="1">
        <f t="array" ref="L169">IF(
   SUM(IF($G$170:$G$175="R",IF(ISNUMBER(L170:L175),L170:L175,0)))&gt;0,
   SUM(IF($G$170:$G$175="R",IF(ISNUMBER(L170:L175),L170:L175,0))),
   IF(
      COUNTIFS($G$170:$G$175,"R",L170:L175,"X")&gt;0,
      "X",
      ""
   )
)</f>
        <v/>
      </c>
      <c r="M169" s="75" t="str" cm="1">
        <f t="array" ref="M169">IF(
   SUM(IF($G$170:$G$175="R",IF(ISNUMBER(M170:M175),M170:M175,0)))&gt;0,
   SUM(IF($G$170:$G$175="R",IF(ISNUMBER(M170:M175),M170:M175,0))),
   IF(
      COUNTIFS($G$170:$G$175,"R",M170:M175,"X")&gt;0,
      "X",
      ""
   )
)</f>
        <v/>
      </c>
      <c r="N169" s="75" t="str" cm="1">
        <f t="array" ref="N169">IF(
   SUM(IF($G$170:$G$175="R",IF(ISNUMBER(N170:N175),N170:N175,0)))&gt;0,
   SUM(IF($G$170:$G$175="R",IF(ISNUMBER(N170:N175),N170:N175,0))),
   IF(
      COUNTIFS($G$170:$G$175,"R",N170:N175,"X")&gt;0,
      "X",
      ""
   )
)</f>
        <v/>
      </c>
      <c r="O169" s="75" t="str" cm="1">
        <f t="array" ref="O169">IF(
   SUM(IF($G$170:$G$175="R",IF(ISNUMBER(O170:O175),O170:O175,0)))&gt;0,
   SUM(IF($G$170:$G$175="R",IF(ISNUMBER(O170:O175),O170:O175,0))),
   IF(
      COUNTIFS($G$170:$G$175,"R",O170:O175,"X")&gt;0,
      "X",
      ""
   )
)</f>
        <v/>
      </c>
      <c r="P169" s="75" t="str" cm="1">
        <f t="array" ref="P169">IF(
   SUM(IF($G$170:$G$175="R",IF(ISNUMBER(P170:P175),P170:P175,0)))&gt;0,
   SUM(IF($G$170:$G$175="R",IF(ISNUMBER(P170:P175),P170:P175,0))),
   IF(
      COUNTIFS($G$170:$G$175,"R",P170:P175,"X")&gt;0,
      "X",
      ""
   )
)</f>
        <v/>
      </c>
      <c r="Q169" s="52" t="str" cm="1">
        <f t="array" ref="Q169">IF(
   SUM(IF($G$170:$G$175="R",IF(ISNUMBER(Q170:Q175),Q170:Q175,0)))&gt;0,
   SUM(IF($G$170:$G$175="R",IF(ISNUMBER(Q170:Q175),Q170:Q175,0))),
   IF(
      COUNTIFS($G$170:$G$175,"R",Q170:Q175,"X")&gt;0,
      "X",
      ""
   )
)</f>
        <v/>
      </c>
      <c r="R169" s="2"/>
      <c r="S169" s="52">
        <f ca="1">SUMIF($K$7:Q$7,"&lt;="&amp;$I$7,K169:P169)</f>
        <v>0</v>
      </c>
      <c r="T169" s="744"/>
      <c r="U169" s="2"/>
      <c r="V169" s="75" t="str" cm="1">
        <f t="array" ref="V169">IF(
   SUM(IF($G$170:$G$175="R",IF(ISNUMBER(V170:V175),V170:V175,0)))&gt;0,
   SUM(IF($G$170:$G$175="R",IF(ISNUMBER(V170:V175),V170:V175,0))),
   IF(
      COUNTIFS($G$170:$G$175,"R",V170:V175,"X")&gt;0,
      "X",
      ""
   )
)</f>
        <v/>
      </c>
      <c r="W169" s="75" t="str" cm="1">
        <f t="array" ref="W169">IF(
   SUM(IF($G$170:$G$175="R",IF(ISNUMBER(W170:W175),W170:W175,0)))&gt;0,
   SUM(IF($G$170:$G$175="R",IF(ISNUMBER(W170:W175),W170:W175,0))),
   IF(
      COUNTIFS($G$170:$G$175,"R",W170:W175,"X")&gt;0,
      "X",
      ""
   )
)</f>
        <v/>
      </c>
      <c r="X169" s="75" t="str" cm="1">
        <f t="array" ref="X169">IF(
   SUM(IF($G$170:$G$175="R",IF(ISNUMBER(X170:X175),X170:X175,0)))&gt;0,
   SUM(IF($G$170:$G$175="R",IF(ISNUMBER(X170:X175),X170:X175,0))),
   IF(
      COUNTIFS($G$170:$G$175,"R",X170:X175,"X")&gt;0,
      "X",
      ""
   )
)</f>
        <v/>
      </c>
      <c r="Y169" s="75" t="str" cm="1">
        <f t="array" ref="Y169">IF(
   SUM(IF($G$170:$G$175="R",IF(ISNUMBER(Y170:Y175),Y170:Y175,0)))&gt;0,
   SUM(IF($G$170:$G$175="R",IF(ISNUMBER(Y170:Y175),Y170:Y175,0))),
   IF(
      COUNTIFS($G$170:$G$175,"R",Y170:Y175,"X")&gt;0,
      "X",
      ""
   )
)</f>
        <v/>
      </c>
      <c r="Z169" s="75" t="str" cm="1">
        <f t="array" ref="Z169">IF(
   SUM(IF($G$170:$G$175="R",IF(ISNUMBER(Z170:Z175),Z170:Z175,0)))&gt;0,
   SUM(IF($G$170:$G$175="R",IF(ISNUMBER(Z170:Z175),Z170:Z175,0))),
   IF(
      COUNTIFS($G$170:$G$175,"R",Z170:Z175,"X")&gt;0,
      "X",
      ""
   )
)</f>
        <v/>
      </c>
      <c r="AA169" s="75" t="str" cm="1">
        <f t="array" ref="AA169">IF(
   SUM(IF($G$170:$G$175="R",IF(ISNUMBER(AA170:AA175),AA170:AA175,0)))&gt;0,
   SUM(IF($G$170:$G$175="R",IF(ISNUMBER(AA170:AA175),AA170:AA175,0))),
   IF(
      COUNTIFS($G$170:$G$175,"R",AA170:AA175,"X")&gt;0,
      "X",
      ""
   )
)</f>
        <v/>
      </c>
      <c r="AB169" s="80" t="str" cm="1">
        <f t="array" ref="AB169">IF(
   SUM(IF($G$170:$G$175="R",IF(ISNUMBER(AB170:AB175),AB170:AB175,0)))&gt;0,
   SUM(IF($G$170:$G$175="R",IF(ISNUMBER(AB170:AB175),AB170:AB175,0))),
   IF(
      COUNTIFS($G$170:$G$175,"R",AB170:AB175,"X")&gt;0,
      "X",
      ""
   )
)</f>
        <v/>
      </c>
      <c r="AC169" s="2"/>
      <c r="AD169" s="52">
        <f>SUMIF($V$7:AB$7,"&lt;="&amp;$I$7,V169:AB169)</f>
        <v>0</v>
      </c>
      <c r="AE169" s="744"/>
      <c r="AF169" s="2"/>
      <c r="AG169" s="75" t="str" cm="1">
        <f t="array" ref="AG169">IF(
   SUM(IF($G$170:$G$177="R",IF(ISNUMBER(AG170:AG177),AG170:AG177,0)))&gt;0,
   SUM(IF($G$170:$G$177="R",IF(ISNUMBER(AG170:AG177),AG170:AG177,0))),
   IF(
      COUNTIFS($G$170:$G$177,"R",AG170:AG177,"X")&gt;0,
      "X",
      ""
   )
)</f>
        <v/>
      </c>
      <c r="AH169" s="75" t="str" cm="1">
        <f t="array" ref="AH169">IF(
   SUM(IF($G$170:$G$177="R",IF(ISNUMBER(AH170:AH177),AH170:AH177,0)))&gt;0,
   SUM(IF($G$170:$G$177="R",IF(ISNUMBER(AH170:AH177),AH170:AH177,0))),
   IF(
      COUNTIFS($G$170:$G$177,"R",AH170:AH177,"X")&gt;0,
      "X",
      ""
   )
)</f>
        <v/>
      </c>
      <c r="AI169" s="75" t="str" cm="1">
        <f t="array" ref="AI169">IF(
   SUM(IF($G$170:$G$177="R",IF(ISNUMBER(AI170:AI177),AI170:AI177,0)))&gt;0,
   SUM(IF($G$170:$G$177="R",IF(ISNUMBER(AI170:AI177),AI170:AI177,0))),
   IF(
      COUNTIFS($G$170:$G$177,"R",AI170:AI177,"X")&gt;0,
      "X",
      ""
   )
)</f>
        <v/>
      </c>
      <c r="AJ169" s="75" t="str" cm="1">
        <f t="array" ref="AJ169">IF(
   SUM(IF($G$170:$G$177="R",IF(ISNUMBER(AJ170:AJ177),AJ170:AJ177,0)))&gt;0,
   SUM(IF($G$170:$G$177="R",IF(ISNUMBER(AJ170:AJ177),AJ170:AJ177,0))),
   IF(
      COUNTIFS($G$170:$G$177,"R",AJ170:AJ177,"X")&gt;0,
      "X",
      ""
   )
)</f>
        <v/>
      </c>
      <c r="AK169" s="75" t="str" cm="1">
        <f t="array" ref="AK169">IF(
   SUM(IF($G$170:$G$177="R",IF(ISNUMBER(AK170:AK177),AK170:AK177,0)))&gt;0,
   SUM(IF($G$170:$G$177="R",IF(ISNUMBER(AK170:AK177),AK170:AK177,0))),
   IF(
      COUNTIFS($G$170:$G$177,"R",AK170:AK177,"X")&gt;0,
      "X",
      ""
   )
)</f>
        <v/>
      </c>
      <c r="AL169" s="75" t="str" cm="1">
        <f t="array" ref="AL169">IF(
   SUM(IF($G$170:$G$177="R",IF(ISNUMBER(AL170:AL177),AL170:AL177,0)))&gt;0,
   SUM(IF($G$170:$G$177="R",IF(ISNUMBER(AL170:AL177),AL170:AL177,0))),
   IF(
      COUNTIFS($G$170:$G$177,"R",AL170:AL177,"X")&gt;0,
      "X",
      ""
   )
)</f>
        <v/>
      </c>
      <c r="AM169" s="80" t="str" cm="1">
        <f t="array" ref="AM169">IF(
   SUM(IF($G$170:$G$175="R",IF(ISNUMBER(AM170:AM175),AM170:AM175,0)))&gt;0,
   SUM(IF($G$170:$G$175="R",IF(ISNUMBER(AM170:AM175),AM170:AM175,0))),
   IF(
      COUNTIFS($G$170:$G$175,"R",AM170:AM175,"X")&gt;0,
      "X",
      ""
   )
)</f>
        <v/>
      </c>
      <c r="AN169" s="2"/>
      <c r="AO169" s="52">
        <f ca="1">SUMIF($AG$7:AM$7,"&lt;="&amp;$I$7,AG169:AL169)</f>
        <v>0</v>
      </c>
      <c r="AP169" s="744"/>
      <c r="AQ169" s="2"/>
      <c r="AR169" s="75" t="str" cm="1">
        <f t="array" ref="AR169">IF(
   SUM(IF($G$170:$G$175="R",IF(ISNUMBER(AR170:AR175),AR170:AR175,0)))&gt;0,
   SUM(IF($G$170:$G$175="R",IF(ISNUMBER(AR170:AR175),AR170:AR175,0))),
   IF(
      COUNTIFS($G$170:$G$175,"R",AR170:AR175,"X")&gt;0,
      "X",
      ""
   )
)</f>
        <v/>
      </c>
      <c r="AS169" s="75" t="str" cm="1">
        <f t="array" ref="AS169">IF(
   SUM(IF($G$170:$G$175="R",IF(ISNUMBER(AS170:AS175),AS170:AS175,0)))&gt;0,
   SUM(IF($G$170:$G$175="R",IF(ISNUMBER(AS170:AS175),AS170:AS175,0))),
   IF(
      COUNTIFS($G$170:$G$175,"R",AS170:AS175,"X")&gt;0,
      "X",
      ""
   )
)</f>
        <v/>
      </c>
      <c r="AT169" s="75" t="str" cm="1">
        <f t="array" ref="AT169">IF(
   SUM(IF($G$170:$G$175="R",IF(ISNUMBER(AT170:AT175),AT170:AT175,0)))&gt;0,
   SUM(IF($G$170:$G$175="R",IF(ISNUMBER(AT170:AT175),AT170:AT175,0))),
   IF(
      COUNTIFS($G$170:$G$175,"R",AT170:AT175,"X")&gt;0,
      "X",
      ""
   )
)</f>
        <v/>
      </c>
      <c r="AU169" s="75" t="str" cm="1">
        <f t="array" ref="AU169">IF(
   SUM(IF($G$170:$G$175="R",IF(ISNUMBER(AU170:AU175),AU170:AU175,0)))&gt;0,
   SUM(IF($G$170:$G$175="R",IF(ISNUMBER(AU170:AU175),AU170:AU175,0))),
   IF(
      COUNTIFS($G$170:$G$175,"R",AU170:AU175,"X")&gt;0,
      "X",
      ""
   )
)</f>
        <v/>
      </c>
      <c r="AV169" s="75" t="str" cm="1">
        <f t="array" ref="AV169">IF(
   SUM(IF($G$170:$G$175="R",IF(ISNUMBER(AV170:AV175),AV170:AV175,0)))&gt;0,
   SUM(IF($G$170:$G$175="R",IF(ISNUMBER(AV170:AV175),AV170:AV175,0))),
   IF(
      COUNTIFS($G$170:$G$175,"R",AV170:AV175,"X")&gt;0,
      "X",
      ""
   )
)</f>
        <v/>
      </c>
      <c r="AW169" s="75" t="str" cm="1">
        <f t="array" ref="AW169">IF(
   SUM(IF($G$170:$G$175="R",IF(ISNUMBER(AW170:AW175),AW170:AW175,0)))&gt;0,
   SUM(IF($G$170:$G$175="R",IF(ISNUMBER(AW170:AW175),AW170:AW175,0))),
   IF(
      COUNTIFS($G$170:$G$175,"R",AW170:AW175,"X")&gt;0,
      "X",
      ""
   )
)</f>
        <v/>
      </c>
      <c r="AX169" s="52" t="str" cm="1">
        <f t="array" ref="AX169">IF(
   SUM(IF($G$170:$G$175="R",IF(ISNUMBER(AX170:AX175),AX170:AX175,0)))&gt;0,
   SUM(IF($G$170:$G$175="R",IF(ISNUMBER(AX170:AX175),AX170:AX175,0))),
   IF(
      COUNTIFS($G$170:$G$175,"R",AX170:AX175,"X")&gt;0,
      "X",
      ""
   )
)</f>
        <v/>
      </c>
      <c r="AY169" s="2"/>
      <c r="AZ169" s="52">
        <f ca="1">SUMIF($AR$7:AX$7,"&lt;="&amp;$I$7,AR169:AW169)</f>
        <v>0</v>
      </c>
      <c r="BA169" s="744"/>
      <c r="BB169" s="2"/>
      <c r="BC169" s="75" t="str" cm="1">
        <f t="array" ref="BC169">IF(
   SUM(IF($G$170:$G$175="R",IF(ISNUMBER(BC170:BC175),BC170:BC175,0)))&gt;0,
   SUM(IF($G$170:$G$175="R",IF(ISNUMBER(BC170:BC175),BC170:BC175,0))),
   IF(
      COUNTIFS($G$170:$G$175,"R",BC170:BC175,"X")&gt;0,
      "X",
      ""
   )
)</f>
        <v/>
      </c>
      <c r="BD169" s="75" t="str" cm="1">
        <f t="array" ref="BD169">IF(
   SUM(IF($G$170:$G$175="R",IF(ISNUMBER(BD170:BD175),BD170:BD175,0)))&gt;0,
   SUM(IF($G$170:$G$175="R",IF(ISNUMBER(BD170:BD175),BD170:BD175,0))),
   IF(
      COUNTIFS($G$170:$G$175,"R",BD170:BD175,"X")&gt;0,
      "X",
      ""
   )
)</f>
        <v/>
      </c>
      <c r="BE169" s="75" t="str" cm="1">
        <f t="array" ref="BE169">IF(
   SUM(IF($G$170:$G$175="R",IF(ISNUMBER(BE170:BE175),BE170:BE175,0)))&gt;0,
   SUM(IF($G$170:$G$175="R",IF(ISNUMBER(BE170:BE175),BE170:BE175,0))),
   IF(
      COUNTIFS($G$170:$G$175,"R",BE170:BE175,"X")&gt;0,
      "X",
      ""
   )
)</f>
        <v/>
      </c>
      <c r="BF169" s="75" t="str" cm="1">
        <f t="array" ref="BF169">IF(
   SUM(IF($G$170:$G$175="R",IF(ISNUMBER(BF170:BF175),BF170:BF175,0)))&gt;0,
   SUM(IF($G$170:$G$175="R",IF(ISNUMBER(BF170:BF175),BF170:BF175,0))),
   IF(
      COUNTIFS($G$170:$G$175,"R",BF170:BF175,"X")&gt;0,
      "X",
      ""
   )
)</f>
        <v/>
      </c>
      <c r="BG169" s="75" t="str" cm="1">
        <f t="array" ref="BG169">IF(
   SUM(IF($G$170:$G$175="R",IF(ISNUMBER(BG170:BG175),BG170:BG175,0)))&gt;0,
   SUM(IF($G$170:$G$175="R",IF(ISNUMBER(BG170:BG175),BG170:BG175,0))),
   IF(
      COUNTIFS($G$170:$G$175,"R",BG170:BG175,"X")&gt;0,
      "X",
      ""
   )
)</f>
        <v/>
      </c>
      <c r="BH169" s="75" t="str" cm="1">
        <f t="array" ref="BH169">IF(
   SUM(IF($G$170:$G$175="R",IF(ISNUMBER(BH170:BH175),BH170:BH175,0)))&gt;0,
   SUM(IF($G$170:$G$175="R",IF(ISNUMBER(BH170:BH175),BH170:BH175,0))),
   IF(
      COUNTIFS($G$170:$G$175,"R",BH170:BH175,"X")&gt;0,
      "X",
      ""
   )
)</f>
        <v/>
      </c>
      <c r="BI169" s="52" t="str" cm="1">
        <f t="array" ref="BI169">IF(
   SUM(IF($G$170:$G$175="R",IF(ISNUMBER(BI170:BI175),BI170:BI175,0)))&gt;0,
   SUM(IF($G$170:$G$175="R",IF(ISNUMBER(BI170:BI175),BI170:BI175,0))),
   IF(
      COUNTIFS($G$170:$G$175,"R",BI170:BI175,"X")&gt;0,
      "X",
      ""
   )
)</f>
        <v/>
      </c>
      <c r="BJ169" s="2"/>
      <c r="BK169" s="52">
        <f ca="1">SUMIF($BC$7:BI$7,"&lt;="&amp;$I$7,BC169:BH169)</f>
        <v>0</v>
      </c>
      <c r="BL169" s="744"/>
      <c r="BM169" s="2"/>
      <c r="BN169" s="889"/>
      <c r="BO169" s="889"/>
      <c r="BP169" s="889"/>
      <c r="BQ169" s="744"/>
      <c r="BR169" s="2"/>
      <c r="BS169" s="889"/>
      <c r="BT169" s="889"/>
      <c r="BU169" s="889"/>
      <c r="BV169" s="889"/>
      <c r="BW169" s="1020"/>
      <c r="BX169" s="889"/>
      <c r="BY169" s="744"/>
      <c r="BZ169" s="2"/>
      <c r="CA169" s="889"/>
      <c r="CB169" s="889"/>
      <c r="CC169" s="2"/>
      <c r="CD169" s="84">
        <f>IFERROR(AVERAGEIF($V$7:AB$7,"&lt;="&amp;$I$7,V169:AB169),0)</f>
        <v>0</v>
      </c>
      <c r="CE169" s="2"/>
      <c r="CH169" s="93" t="str">
        <f t="shared" si="385"/>
        <v>BUEIROS - MONTAGEM DAS ALAS</v>
      </c>
    </row>
    <row r="170" spans="1:86" s="16" customFormat="1" ht="15.95" hidden="1" customHeight="1" outlineLevel="2">
      <c r="A170" s="74"/>
      <c r="B170" s="1046" t="s">
        <v>3930</v>
      </c>
      <c r="C170" s="1014"/>
      <c r="D170" s="2"/>
      <c r="E170" s="1004">
        <v>1</v>
      </c>
      <c r="F170" s="2"/>
      <c r="G170" s="49" t="s">
        <v>37</v>
      </c>
      <c r="H170" s="705">
        <f t="shared" si="386"/>
        <v>0</v>
      </c>
      <c r="I170" s="878" t="str">
        <f t="shared" ref="I170" si="431">IF(H170=0,IF(H171&gt;0,1,"-"),IFERROR(H171/H170,"-"))</f>
        <v>-</v>
      </c>
      <c r="J170" s="2"/>
      <c r="K170" s="705"/>
      <c r="L170" s="705"/>
      <c r="M170" s="705"/>
      <c r="N170" s="705"/>
      <c r="O170" s="705"/>
      <c r="P170" s="705"/>
      <c r="Q170" s="705"/>
      <c r="R170" s="2"/>
      <c r="S170" s="705">
        <f ca="1">SUMIF($K$7:Q$7,"&lt;="&amp;$I$7,K170:P170)</f>
        <v>0</v>
      </c>
      <c r="T170" s="878" t="str">
        <f ca="1">IFERROR((S171/S170),"-")</f>
        <v>-</v>
      </c>
      <c r="U170" s="2"/>
      <c r="V170" s="705"/>
      <c r="W170" s="705"/>
      <c r="X170" s="705"/>
      <c r="Y170" s="705"/>
      <c r="Z170" s="705"/>
      <c r="AA170" s="705"/>
      <c r="AB170" s="705"/>
      <c r="AC170" s="2"/>
      <c r="AD170" s="705">
        <f ca="1">SUMIF($V$7:AB$7,"&lt;="&amp;$I$7,V170:AA170)</f>
        <v>0</v>
      </c>
      <c r="AE170" s="878" t="str">
        <f ca="1">IFERROR((AD171/AD170),"-")</f>
        <v>-</v>
      </c>
      <c r="AF170" s="2"/>
      <c r="AG170" s="705"/>
      <c r="AH170" s="705"/>
      <c r="AI170" s="705"/>
      <c r="AJ170" s="705"/>
      <c r="AK170" s="705"/>
      <c r="AL170" s="705"/>
      <c r="AM170" s="705"/>
      <c r="AN170" s="2"/>
      <c r="AO170" s="705">
        <f ca="1">SUMIF($AG$7:AM$7,"&lt;="&amp;$I$7,AG170:AL170)</f>
        <v>0</v>
      </c>
      <c r="AP170" s="878" t="str">
        <f ca="1">IFERROR((AO171/AO170),"-")</f>
        <v>-</v>
      </c>
      <c r="AQ170" s="2"/>
      <c r="AR170" s="705"/>
      <c r="AS170" s="705"/>
      <c r="AT170" s="705"/>
      <c r="AU170" s="705"/>
      <c r="AV170" s="705"/>
      <c r="AW170" s="705"/>
      <c r="AX170" s="705"/>
      <c r="AY170" s="2"/>
      <c r="AZ170" s="705">
        <f ca="1">SUMIF($AR$7:AX$7,"&lt;="&amp;$I$7,AR170:AW170)</f>
        <v>0</v>
      </c>
      <c r="BA170" s="878" t="str">
        <f ca="1">IFERROR((AZ171/AZ170),"-")</f>
        <v>-</v>
      </c>
      <c r="BB170" s="2"/>
      <c r="BC170" s="705"/>
      <c r="BD170" s="705"/>
      <c r="BE170" s="705"/>
      <c r="BF170" s="705"/>
      <c r="BG170" s="705"/>
      <c r="BH170" s="705"/>
      <c r="BI170" s="705"/>
      <c r="BJ170" s="2"/>
      <c r="BK170" s="705">
        <f ca="1">SUMIF($BC$7:BI$7,"&lt;="&amp;$I$7,BC170:BH170)</f>
        <v>0</v>
      </c>
      <c r="BL170" s="878" t="str">
        <f ca="1">IFERROR((BK171/BK170),"-")</f>
        <v>-</v>
      </c>
      <c r="BM170" s="2"/>
      <c r="BN170" s="884">
        <v>0</v>
      </c>
      <c r="BO170" s="884">
        <v>0</v>
      </c>
      <c r="BP170" s="884">
        <f>SUM(M171:P171,V171:AB171,AG171:AM171,AR171:AX171,BC171:BI171)</f>
        <v>0</v>
      </c>
      <c r="BQ170" s="878" t="str">
        <f t="shared" ref="BQ170" si="432">IF(AND(BO170=0,BP170=0),"-",IF(BO170=0,1,BP170/BO170))</f>
        <v>-</v>
      </c>
      <c r="BR170" s="2"/>
      <c r="BS170" s="884"/>
      <c r="BT170" s="884"/>
      <c r="BU170" s="884">
        <f ca="1">E170+Q171+AD171+AO171+AZ171+BK171</f>
        <v>1</v>
      </c>
      <c r="BV170" s="884">
        <v>104</v>
      </c>
      <c r="BW170" s="1004">
        <f ca="1">IFERROR((BU170/BV170),"-")</f>
        <v>9.6153846153846159E-3</v>
      </c>
      <c r="BX170" s="884">
        <v>0</v>
      </c>
      <c r="BY170" s="878" t="str">
        <f ca="1">IFERROR((BU170/BX170),"-")</f>
        <v>-</v>
      </c>
      <c r="BZ170" s="2"/>
      <c r="CA170" s="884">
        <v>1</v>
      </c>
      <c r="CB170" s="884">
        <v>0</v>
      </c>
      <c r="CC170" s="2"/>
      <c r="CD170" s="504">
        <f>IFERROR(AVERAGEIF($V$7:AB$7,"&lt;="&amp;$I$7,V170:AB170),0)</f>
        <v>0</v>
      </c>
      <c r="CE170" s="2"/>
      <c r="CH170" s="93" t="str">
        <f t="shared" si="385"/>
        <v>BDCC- 215+736</v>
      </c>
    </row>
    <row r="171" spans="1:86" s="16" customFormat="1" ht="15.95" hidden="1" customHeight="1" outlineLevel="2">
      <c r="A171" s="74"/>
      <c r="B171" s="1047"/>
      <c r="C171" s="1034"/>
      <c r="D171" s="2"/>
      <c r="E171" s="1024"/>
      <c r="F171" s="2"/>
      <c r="G171" s="50" t="s">
        <v>38</v>
      </c>
      <c r="H171" s="705">
        <f t="shared" si="386"/>
        <v>0</v>
      </c>
      <c r="I171" s="879"/>
      <c r="J171" s="2"/>
      <c r="K171" s="76"/>
      <c r="L171" s="76"/>
      <c r="M171" s="76"/>
      <c r="N171" s="76"/>
      <c r="O171" s="76"/>
      <c r="P171" s="76"/>
      <c r="Q171" s="706"/>
      <c r="R171" s="2"/>
      <c r="S171" s="705">
        <f ca="1">SUMIF($K$7:Q$7,"&lt;="&amp;$I$7,K171:P171)</f>
        <v>0</v>
      </c>
      <c r="T171" s="879"/>
      <c r="U171" s="2"/>
      <c r="V171" s="76"/>
      <c r="W171" s="76"/>
      <c r="X171" s="76"/>
      <c r="Y171" s="76"/>
      <c r="Z171" s="76"/>
      <c r="AA171" s="76"/>
      <c r="AB171" s="706"/>
      <c r="AC171" s="2"/>
      <c r="AD171" s="705">
        <f ca="1">SUMIF($V$7:AB$7,"&lt;="&amp;$I$7,V171:AA171)</f>
        <v>0</v>
      </c>
      <c r="AE171" s="879"/>
      <c r="AF171" s="2"/>
      <c r="AG171" s="76"/>
      <c r="AH171" s="76"/>
      <c r="AI171" s="76"/>
      <c r="AJ171" s="76"/>
      <c r="AK171" s="76"/>
      <c r="AL171" s="76"/>
      <c r="AM171" s="706"/>
      <c r="AN171" s="2"/>
      <c r="AO171" s="705">
        <f ca="1">SUMIF($AG$7:AM$7,"&lt;="&amp;$I$7,AG171:AL171)</f>
        <v>0</v>
      </c>
      <c r="AP171" s="879"/>
      <c r="AQ171" s="2"/>
      <c r="AR171" s="76"/>
      <c r="AS171" s="76"/>
      <c r="AT171" s="76"/>
      <c r="AU171" s="76"/>
      <c r="AV171" s="76"/>
      <c r="AW171" s="76"/>
      <c r="AX171" s="706"/>
      <c r="AY171" s="2"/>
      <c r="AZ171" s="705">
        <f ca="1">SUMIF($AR$7:AX$7,"&lt;="&amp;$I$7,AR171:AW171)</f>
        <v>0</v>
      </c>
      <c r="BA171" s="879"/>
      <c r="BB171" s="2"/>
      <c r="BC171" s="76"/>
      <c r="BD171" s="76"/>
      <c r="BE171" s="76"/>
      <c r="BF171" s="76"/>
      <c r="BG171" s="76"/>
      <c r="BH171" s="76"/>
      <c r="BI171" s="706"/>
      <c r="BJ171" s="2"/>
      <c r="BK171" s="705">
        <f ca="1">SUMIF($BC$7:BI$7,"&lt;="&amp;$I$7,BC171:BH171)</f>
        <v>0</v>
      </c>
      <c r="BL171" s="879"/>
      <c r="BM171" s="2"/>
      <c r="BN171" s="885"/>
      <c r="BO171" s="885"/>
      <c r="BP171" s="885"/>
      <c r="BQ171" s="879"/>
      <c r="BR171" s="2"/>
      <c r="BS171" s="885"/>
      <c r="BT171" s="885"/>
      <c r="BU171" s="885"/>
      <c r="BV171" s="885"/>
      <c r="BW171" s="1005"/>
      <c r="BX171" s="885"/>
      <c r="BY171" s="879"/>
      <c r="BZ171" s="81"/>
      <c r="CA171" s="885"/>
      <c r="CB171" s="885"/>
      <c r="CC171" s="2"/>
      <c r="CD171" s="504">
        <f>IFERROR(AVERAGEIF($V$7:AB$7,"&lt;="&amp;$I$7,V171:AB171),0)</f>
        <v>0</v>
      </c>
      <c r="CE171" s="2"/>
      <c r="CH171" s="93" t="str">
        <f t="shared" si="385"/>
        <v>BDCC- 215+736</v>
      </c>
    </row>
    <row r="172" spans="1:86" ht="15.95" hidden="1" customHeight="1" outlineLevel="2">
      <c r="A172" s="74"/>
      <c r="B172" s="1046" t="s">
        <v>3924</v>
      </c>
      <c r="C172" s="1014"/>
      <c r="D172" s="2"/>
      <c r="E172" s="1004">
        <v>0</v>
      </c>
      <c r="F172" s="2"/>
      <c r="G172" s="49" t="s">
        <v>37</v>
      </c>
      <c r="H172" s="705">
        <f t="shared" si="386"/>
        <v>0</v>
      </c>
      <c r="I172" s="878" t="str">
        <f t="shared" ref="I172" si="433">IF(H172=0,IF(H173&gt;0,1,"-"),IFERROR(H173/H172,"-"))</f>
        <v>-</v>
      </c>
      <c r="J172" s="2"/>
      <c r="K172" s="705"/>
      <c r="L172" s="705"/>
      <c r="M172" s="705"/>
      <c r="N172" s="705"/>
      <c r="O172" s="705"/>
      <c r="P172" s="705"/>
      <c r="Q172" s="705"/>
      <c r="R172" s="2"/>
      <c r="S172" s="705">
        <f ca="1">SUMIF($K$7:Q$7,"&lt;="&amp;$I$7,K172:P172)</f>
        <v>0</v>
      </c>
      <c r="T172" s="878" t="str">
        <f ca="1">IFERROR((S173/S172),"-")</f>
        <v>-</v>
      </c>
      <c r="U172" s="2"/>
      <c r="V172" s="705"/>
      <c r="W172" s="705"/>
      <c r="X172" s="705"/>
      <c r="Y172" s="705"/>
      <c r="Z172" s="705"/>
      <c r="AA172" s="705"/>
      <c r="AB172" s="705"/>
      <c r="AC172" s="2"/>
      <c r="AD172" s="705">
        <f ca="1">SUMIF($V$7:AB$7,"&lt;="&amp;$I$7,V172:AA172)</f>
        <v>0</v>
      </c>
      <c r="AE172" s="878" t="str">
        <f ca="1">IFERROR((AD173/AD172),"-")</f>
        <v>-</v>
      </c>
      <c r="AF172" s="2"/>
      <c r="AG172" s="705"/>
      <c r="AH172" s="705"/>
      <c r="AI172" s="705"/>
      <c r="AJ172" s="705"/>
      <c r="AK172" s="705"/>
      <c r="AL172" s="705"/>
      <c r="AM172" s="705"/>
      <c r="AN172" s="2"/>
      <c r="AO172" s="705">
        <f ca="1">SUMIF($AG$7:AM$7,"&lt;="&amp;$I$7,AG172:AL172)</f>
        <v>0</v>
      </c>
      <c r="AP172" s="878" t="str">
        <f ca="1">IFERROR((AO173/AO172),"-")</f>
        <v>-</v>
      </c>
      <c r="AQ172" s="2"/>
      <c r="AR172" s="705"/>
      <c r="AS172" s="705"/>
      <c r="AT172" s="705"/>
      <c r="AU172" s="705"/>
      <c r="AV172" s="705"/>
      <c r="AW172" s="705"/>
      <c r="AX172" s="705"/>
      <c r="AY172" s="2"/>
      <c r="AZ172" s="705">
        <f ca="1">SUMIF($AR$7:AX$7,"&lt;="&amp;$I$7,AR172:AW172)</f>
        <v>0</v>
      </c>
      <c r="BA172" s="878" t="str">
        <f ca="1">IFERROR((AZ173/AZ172),"-")</f>
        <v>-</v>
      </c>
      <c r="BB172" s="2"/>
      <c r="BC172" s="705"/>
      <c r="BD172" s="705"/>
      <c r="BE172" s="705"/>
      <c r="BF172" s="705"/>
      <c r="BG172" s="705"/>
      <c r="BH172" s="705"/>
      <c r="BI172" s="705"/>
      <c r="BJ172" s="2"/>
      <c r="BK172" s="705">
        <f ca="1">SUMIF($BC$7:BI$7,"&lt;="&amp;$I$7,BC172:BH172)</f>
        <v>0</v>
      </c>
      <c r="BL172" s="878" t="str">
        <f ca="1">IFERROR((BK173/BK172),"-")</f>
        <v>-</v>
      </c>
      <c r="BM172" s="2"/>
      <c r="BN172" s="884">
        <v>0</v>
      </c>
      <c r="BO172" s="884">
        <v>0</v>
      </c>
      <c r="BP172" s="884">
        <f>SUM(M173:P173,V173:AB173,AG173:AM173,AR173:AX173,BC173:BI173)</f>
        <v>0</v>
      </c>
      <c r="BQ172" s="878" t="str">
        <f t="shared" ref="BQ172" si="434">IF(AND(BO172=0,BP172=0),"-",IF(BO172=0,1,BP172/BO172))</f>
        <v>-</v>
      </c>
      <c r="BR172" s="2"/>
      <c r="BS172" s="884"/>
      <c r="BT172" s="884"/>
      <c r="BU172" s="884">
        <f ca="1">E172+Q173+AD173+AO173+AZ173+BK173</f>
        <v>0</v>
      </c>
      <c r="BV172" s="884">
        <v>104</v>
      </c>
      <c r="BW172" s="1004">
        <f ca="1">IFERROR((BU172/BV172),"-")</f>
        <v>0</v>
      </c>
      <c r="BX172" s="884">
        <v>44</v>
      </c>
      <c r="BY172" s="878">
        <f ca="1">IFERROR((BU172/BX172),"-")</f>
        <v>0</v>
      </c>
      <c r="BZ172" s="2"/>
      <c r="CA172" s="884">
        <v>1</v>
      </c>
      <c r="CB172" s="884">
        <v>0</v>
      </c>
      <c r="CC172" s="2"/>
      <c r="CD172" s="504">
        <f>IFERROR(AVERAGEIF($V$7:AB$7,"&lt;="&amp;$I$7,V172:AB172),0)</f>
        <v>0</v>
      </c>
      <c r="CE172" s="2"/>
      <c r="CH172" s="93" t="str">
        <f t="shared" si="385"/>
        <v>BSCC - KM 224+286</v>
      </c>
    </row>
    <row r="173" spans="1:86" ht="15.95" hidden="1" customHeight="1" outlineLevel="2">
      <c r="A173" s="74"/>
      <c r="B173" s="1047"/>
      <c r="C173" s="1034"/>
      <c r="D173" s="2"/>
      <c r="E173" s="1024"/>
      <c r="F173" s="2"/>
      <c r="G173" s="50" t="s">
        <v>38</v>
      </c>
      <c r="H173" s="705">
        <f t="shared" si="386"/>
        <v>0</v>
      </c>
      <c r="I173" s="879"/>
      <c r="J173" s="2"/>
      <c r="K173" s="76"/>
      <c r="L173" s="76"/>
      <c r="M173" s="76"/>
      <c r="N173" s="76"/>
      <c r="O173" s="76"/>
      <c r="P173" s="76"/>
      <c r="Q173" s="706"/>
      <c r="R173" s="2"/>
      <c r="S173" s="705">
        <f ca="1">SUMIF($K$7:Q$7,"&lt;="&amp;$I$7,K173:P173)</f>
        <v>0</v>
      </c>
      <c r="T173" s="879"/>
      <c r="U173" s="2"/>
      <c r="V173" s="76"/>
      <c r="W173" s="76"/>
      <c r="X173" s="76"/>
      <c r="Y173" s="76"/>
      <c r="Z173" s="76"/>
      <c r="AA173" s="76"/>
      <c r="AB173" s="706"/>
      <c r="AC173" s="2"/>
      <c r="AD173" s="705">
        <f ca="1">SUMIF($V$7:AB$7,"&lt;="&amp;$I$7,V173:AA173)</f>
        <v>0</v>
      </c>
      <c r="AE173" s="879"/>
      <c r="AF173" s="2"/>
      <c r="AG173" s="76"/>
      <c r="AH173" s="76"/>
      <c r="AI173" s="76"/>
      <c r="AJ173" s="76"/>
      <c r="AK173" s="76"/>
      <c r="AL173" s="76"/>
      <c r="AM173" s="706"/>
      <c r="AN173" s="2"/>
      <c r="AO173" s="705">
        <f ca="1">SUMIF($AG$7:AM$7,"&lt;="&amp;$I$7,AG173:AL173)</f>
        <v>0</v>
      </c>
      <c r="AP173" s="879"/>
      <c r="AQ173" s="2"/>
      <c r="AR173" s="76"/>
      <c r="AS173" s="76"/>
      <c r="AT173" s="76"/>
      <c r="AU173" s="76"/>
      <c r="AV173" s="76"/>
      <c r="AW173" s="76"/>
      <c r="AX173" s="706"/>
      <c r="AY173" s="2"/>
      <c r="AZ173" s="705">
        <f ca="1">SUMIF($AR$7:AX$7,"&lt;="&amp;$I$7,AR173:AW173)</f>
        <v>0</v>
      </c>
      <c r="BA173" s="879"/>
      <c r="BB173" s="2"/>
      <c r="BC173" s="76"/>
      <c r="BD173" s="76"/>
      <c r="BE173" s="76"/>
      <c r="BF173" s="76"/>
      <c r="BG173" s="76"/>
      <c r="BH173" s="76"/>
      <c r="BI173" s="706"/>
      <c r="BJ173" s="2"/>
      <c r="BK173" s="705">
        <f ca="1">SUMIF($BC$7:BI$7,"&lt;="&amp;$I$7,BC173:BH173)</f>
        <v>0</v>
      </c>
      <c r="BL173" s="879"/>
      <c r="BM173" s="2"/>
      <c r="BN173" s="885"/>
      <c r="BO173" s="885"/>
      <c r="BP173" s="885"/>
      <c r="BQ173" s="879"/>
      <c r="BR173" s="2"/>
      <c r="BS173" s="885"/>
      <c r="BT173" s="885"/>
      <c r="BU173" s="885"/>
      <c r="BV173" s="885"/>
      <c r="BW173" s="1005"/>
      <c r="BX173" s="885"/>
      <c r="BY173" s="879"/>
      <c r="BZ173" s="81"/>
      <c r="CA173" s="885"/>
      <c r="CB173" s="885"/>
      <c r="CC173" s="2"/>
      <c r="CD173" s="504">
        <f>IFERROR(AVERAGEIF($V$7:AB$7,"&lt;="&amp;$I$7,V173:AB173),0)</f>
        <v>0</v>
      </c>
      <c r="CE173" s="2"/>
      <c r="CH173" s="93" t="str">
        <f t="shared" si="385"/>
        <v>BSCC - KM 224+286</v>
      </c>
    </row>
    <row r="174" spans="1:86" s="16" customFormat="1" ht="20.25" hidden="1" customHeight="1" outlineLevel="2">
      <c r="A174" s="74"/>
      <c r="B174" s="1046" t="s">
        <v>3926</v>
      </c>
      <c r="C174" s="1014"/>
      <c r="D174" s="2"/>
      <c r="E174" s="1004">
        <v>0</v>
      </c>
      <c r="F174" s="2"/>
      <c r="G174" s="49" t="s">
        <v>37</v>
      </c>
      <c r="H174" s="705">
        <f t="shared" si="386"/>
        <v>0</v>
      </c>
      <c r="I174" s="878" t="str">
        <f t="shared" ref="I174" si="435">IF(H174=0,IF(H175&gt;0,1,"-"),IFERROR(H175/H174,"-"))</f>
        <v>-</v>
      </c>
      <c r="J174" s="2"/>
      <c r="K174" s="705"/>
      <c r="L174" s="705"/>
      <c r="M174" s="705"/>
      <c r="N174" s="705"/>
      <c r="O174" s="705"/>
      <c r="P174" s="705"/>
      <c r="Q174" s="705"/>
      <c r="R174" s="2"/>
      <c r="S174" s="705">
        <f ca="1">SUMIF($K$7:Q$7,"&lt;="&amp;$I$7,K174:P174)</f>
        <v>0</v>
      </c>
      <c r="T174" s="878" t="str">
        <f ca="1">IFERROR((S175/S174),"-")</f>
        <v>-</v>
      </c>
      <c r="U174" s="2"/>
      <c r="V174" s="705"/>
      <c r="W174" s="705"/>
      <c r="X174" s="705" t="s">
        <v>1434</v>
      </c>
      <c r="Y174" s="705" t="s">
        <v>1434</v>
      </c>
      <c r="Z174" s="705" t="s">
        <v>1434</v>
      </c>
      <c r="AA174" s="705" t="s">
        <v>1434</v>
      </c>
      <c r="AB174" s="705"/>
      <c r="AC174" s="2"/>
      <c r="AD174" s="705">
        <f ca="1">SUMIF($V$7:AB$7,"&lt;="&amp;$I$7,V174:AA174)</f>
        <v>0</v>
      </c>
      <c r="AE174" s="878" t="str">
        <f ca="1">IFERROR((AD175/AD174),"-")</f>
        <v>-</v>
      </c>
      <c r="AF174" s="2"/>
      <c r="AG174" s="705"/>
      <c r="AH174" s="705"/>
      <c r="AI174" s="705"/>
      <c r="AJ174" s="705" t="s">
        <v>1434</v>
      </c>
      <c r="AK174" s="705" t="s">
        <v>1434</v>
      </c>
      <c r="AL174" s="705" t="s">
        <v>1434</v>
      </c>
      <c r="AM174" s="705"/>
      <c r="AN174" s="2"/>
      <c r="AO174" s="705">
        <f ca="1">SUMIF($AG$7:AM$7,"&lt;="&amp;$I$7,AG174:AL174)</f>
        <v>0</v>
      </c>
      <c r="AP174" s="878" t="str">
        <f ca="1">IFERROR((AO175/AO174),"-")</f>
        <v>-</v>
      </c>
      <c r="AQ174" s="2"/>
      <c r="AR174" s="705"/>
      <c r="AS174" s="705"/>
      <c r="AT174" s="705"/>
      <c r="AU174" s="705"/>
      <c r="AV174" s="705"/>
      <c r="AW174" s="705"/>
      <c r="AX174" s="705"/>
      <c r="AY174" s="2"/>
      <c r="AZ174" s="705">
        <f ca="1">SUMIF($AR$7:AX$7,"&lt;="&amp;$I$7,AR174:AW174)</f>
        <v>0</v>
      </c>
      <c r="BA174" s="878" t="str">
        <f ca="1">IFERROR((AZ175/AZ174),"-")</f>
        <v>-</v>
      </c>
      <c r="BB174" s="2"/>
      <c r="BC174" s="705"/>
      <c r="BD174" s="705"/>
      <c r="BE174" s="705"/>
      <c r="BF174" s="705"/>
      <c r="BG174" s="705"/>
      <c r="BH174" s="705"/>
      <c r="BI174" s="705"/>
      <c r="BJ174" s="2"/>
      <c r="BK174" s="705">
        <f ca="1">SUMIF($BC$7:BI$7,"&lt;="&amp;$I$7,BC174:BH174)</f>
        <v>0</v>
      </c>
      <c r="BL174" s="878" t="str">
        <f ca="1">IFERROR((BK175/BK174),"-")</f>
        <v>-</v>
      </c>
      <c r="BM174" s="2"/>
      <c r="BN174" s="884">
        <v>0</v>
      </c>
      <c r="BO174" s="884">
        <v>0</v>
      </c>
      <c r="BP174" s="884">
        <f>SUM(M175:P175,V175:AB175,AG175:AM175,AR175:AX175,BC175:BI175)</f>
        <v>0</v>
      </c>
      <c r="BQ174" s="878" t="str">
        <f t="shared" ref="BQ174" si="436">IF(AND(BO174=0,BP174=0),"-",IF(BO174=0,1,BP174/BO174))</f>
        <v>-</v>
      </c>
      <c r="BR174" s="2"/>
      <c r="BS174" s="884"/>
      <c r="BT174" s="884"/>
      <c r="BU174" s="884">
        <f ca="1">E174+Q175+AD175+AO175+AZ175+BK175</f>
        <v>0</v>
      </c>
      <c r="BV174" s="884">
        <v>104</v>
      </c>
      <c r="BW174" s="1004">
        <f ca="1">IFERROR((BU174/BV174),"-")</f>
        <v>0</v>
      </c>
      <c r="BX174" s="884">
        <v>0</v>
      </c>
      <c r="BY174" s="878" t="str">
        <f ca="1">IFERROR((BU174/BX174),"-")</f>
        <v>-</v>
      </c>
      <c r="BZ174" s="2"/>
      <c r="CA174" s="884">
        <v>1</v>
      </c>
      <c r="CB174" s="884">
        <v>0</v>
      </c>
      <c r="CC174" s="2"/>
      <c r="CD174" s="504">
        <f>IFERROR(AVERAGEIF($V$7:AB$7,"&lt;="&amp;$I$7,V174:AB174),0)</f>
        <v>0</v>
      </c>
      <c r="CE174" s="2"/>
      <c r="CH174" s="93" t="str">
        <f t="shared" si="385"/>
        <v>BDCC - KM 210+900</v>
      </c>
    </row>
    <row r="175" spans="1:86" s="21" customFormat="1" ht="14.85" hidden="1" customHeight="1" outlineLevel="2">
      <c r="A175" s="74"/>
      <c r="B175" s="1047"/>
      <c r="C175" s="1034"/>
      <c r="D175" s="2"/>
      <c r="E175" s="1024"/>
      <c r="F175" s="2"/>
      <c r="G175" s="50" t="s">
        <v>38</v>
      </c>
      <c r="H175" s="705">
        <f t="shared" si="386"/>
        <v>0</v>
      </c>
      <c r="I175" s="879"/>
      <c r="J175" s="2"/>
      <c r="K175" s="76"/>
      <c r="L175" s="76"/>
      <c r="M175" s="76"/>
      <c r="N175" s="76"/>
      <c r="O175" s="76"/>
      <c r="P175" s="76"/>
      <c r="Q175" s="706"/>
      <c r="R175" s="2"/>
      <c r="S175" s="705">
        <f ca="1">SUMIF($K$7:Q$7,"&lt;="&amp;$I$7,K175:P175)</f>
        <v>0</v>
      </c>
      <c r="T175" s="879"/>
      <c r="U175" s="2"/>
      <c r="V175" s="76"/>
      <c r="W175" s="76"/>
      <c r="X175" s="76"/>
      <c r="Y175" s="76"/>
      <c r="Z175" s="76"/>
      <c r="AA175" s="76"/>
      <c r="AB175" s="706"/>
      <c r="AC175" s="2"/>
      <c r="AD175" s="705">
        <f ca="1">SUMIF($V$7:AB$7,"&lt;="&amp;$I$7,V175:AA175)</f>
        <v>0</v>
      </c>
      <c r="AE175" s="879"/>
      <c r="AF175" s="2"/>
      <c r="AG175" s="76"/>
      <c r="AH175" s="76"/>
      <c r="AI175" s="76"/>
      <c r="AJ175" s="76"/>
      <c r="AK175" s="76"/>
      <c r="AL175" s="76"/>
      <c r="AM175" s="706"/>
      <c r="AN175" s="2"/>
      <c r="AO175" s="705">
        <f ca="1">SUMIF($AG$7:AM$7,"&lt;="&amp;$I$7,AG175:AL175)</f>
        <v>0</v>
      </c>
      <c r="AP175" s="879"/>
      <c r="AQ175" s="2"/>
      <c r="AR175" s="76"/>
      <c r="AS175" s="76"/>
      <c r="AT175" s="76"/>
      <c r="AU175" s="76"/>
      <c r="AV175" s="76"/>
      <c r="AW175" s="76"/>
      <c r="AX175" s="706"/>
      <c r="AY175" s="2"/>
      <c r="AZ175" s="705">
        <f ca="1">SUMIF($AR$7:AX$7,"&lt;="&amp;$I$7,AR175:AW175)</f>
        <v>0</v>
      </c>
      <c r="BA175" s="879"/>
      <c r="BB175" s="2"/>
      <c r="BC175" s="76"/>
      <c r="BD175" s="76"/>
      <c r="BE175" s="76"/>
      <c r="BF175" s="76"/>
      <c r="BG175" s="76"/>
      <c r="BH175" s="76"/>
      <c r="BI175" s="706"/>
      <c r="BJ175" s="2"/>
      <c r="BK175" s="705">
        <f ca="1">SUMIF($BC$7:BI$7,"&lt;="&amp;$I$7,BC175:BH175)</f>
        <v>0</v>
      </c>
      <c r="BL175" s="879"/>
      <c r="BM175" s="2"/>
      <c r="BN175" s="885"/>
      <c r="BO175" s="885"/>
      <c r="BP175" s="885"/>
      <c r="BQ175" s="879"/>
      <c r="BR175" s="2"/>
      <c r="BS175" s="885"/>
      <c r="BT175" s="885"/>
      <c r="BU175" s="885"/>
      <c r="BV175" s="885"/>
      <c r="BW175" s="1005"/>
      <c r="BX175" s="885"/>
      <c r="BY175" s="879"/>
      <c r="BZ175" s="81"/>
      <c r="CA175" s="885"/>
      <c r="CB175" s="885"/>
      <c r="CC175" s="2"/>
      <c r="CD175" s="504">
        <f>IFERROR(AVERAGEIF($V$7:AB$7,"&lt;="&amp;$I$7,V175:AB175),0)</f>
        <v>0</v>
      </c>
      <c r="CE175" s="2"/>
      <c r="CH175" s="93" t="str">
        <f t="shared" si="385"/>
        <v>BDCC - KM 210+900</v>
      </c>
    </row>
    <row r="176" spans="1:86" s="16" customFormat="1" ht="15.95" hidden="1" customHeight="1" outlineLevel="2">
      <c r="A176" s="74"/>
      <c r="B176" s="1046"/>
      <c r="C176" s="1014"/>
      <c r="D176" s="2"/>
      <c r="E176" s="1004">
        <v>0</v>
      </c>
      <c r="F176" s="2"/>
      <c r="G176" s="49" t="s">
        <v>37</v>
      </c>
      <c r="H176" s="705">
        <f t="shared" si="386"/>
        <v>0</v>
      </c>
      <c r="I176" s="878" t="str">
        <f t="shared" ref="I176" si="437">IF(H176=0,IF(H177&gt;0,1,"-"),IFERROR(H177/H176,"-"))</f>
        <v>-</v>
      </c>
      <c r="J176" s="2"/>
      <c r="K176" s="705"/>
      <c r="L176" s="705"/>
      <c r="M176" s="705"/>
      <c r="N176" s="705"/>
      <c r="O176" s="705"/>
      <c r="P176" s="705"/>
      <c r="Q176" s="705"/>
      <c r="R176" s="2"/>
      <c r="S176" s="705">
        <f ca="1">SUMIF($K$7:Q$7,"&lt;="&amp;$I$7,K176:P176)</f>
        <v>0</v>
      </c>
      <c r="T176" s="878" t="str">
        <f ca="1">IFERROR((S177/S176),"-")</f>
        <v>-</v>
      </c>
      <c r="U176" s="2"/>
      <c r="V176" s="705"/>
      <c r="W176" s="705"/>
      <c r="X176" s="705"/>
      <c r="Y176" s="705"/>
      <c r="Z176" s="705"/>
      <c r="AA176" s="705"/>
      <c r="AB176" s="705"/>
      <c r="AC176" s="2"/>
      <c r="AD176" s="705">
        <f ca="1">SUMIF($V$7:AB$7,"&lt;="&amp;$I$7,V176:AA176)</f>
        <v>0</v>
      </c>
      <c r="AE176" s="878" t="str">
        <f ca="1">IFERROR((AD177/AD176),"-")</f>
        <v>-</v>
      </c>
      <c r="AF176" s="2"/>
      <c r="AG176" s="705"/>
      <c r="AH176" s="705"/>
      <c r="AI176" s="705"/>
      <c r="AJ176" s="705"/>
      <c r="AK176" s="705"/>
      <c r="AL176" s="705"/>
      <c r="AM176" s="705"/>
      <c r="AN176" s="2"/>
      <c r="AO176" s="705">
        <f ca="1">SUMIF($AG$7:AM$7,"&lt;="&amp;$I$7,AG176:AL176)</f>
        <v>0</v>
      </c>
      <c r="AP176" s="878" t="str">
        <f ca="1">IFERROR((AO177/AO176),"-")</f>
        <v>-</v>
      </c>
      <c r="AQ176" s="2"/>
      <c r="AR176" s="705"/>
      <c r="AS176" s="705"/>
      <c r="AT176" s="705"/>
      <c r="AU176" s="705"/>
      <c r="AV176" s="705"/>
      <c r="AW176" s="705"/>
      <c r="AX176" s="705"/>
      <c r="AY176" s="2"/>
      <c r="AZ176" s="705">
        <f ca="1">SUMIF($AR$7:AX$7,"&lt;="&amp;$I$7,AR176:AW176)</f>
        <v>0</v>
      </c>
      <c r="BA176" s="878" t="str">
        <f ca="1">IFERROR((AZ177/AZ176),"-")</f>
        <v>-</v>
      </c>
      <c r="BB176" s="2"/>
      <c r="BC176" s="705"/>
      <c r="BD176" s="705"/>
      <c r="BE176" s="705"/>
      <c r="BF176" s="705"/>
      <c r="BG176" s="705"/>
      <c r="BH176" s="705"/>
      <c r="BI176" s="705"/>
      <c r="BJ176" s="2"/>
      <c r="BK176" s="705">
        <f ca="1">SUMIF($BC$7:BI$7,"&lt;="&amp;$I$7,BC176:BH176)</f>
        <v>0</v>
      </c>
      <c r="BL176" s="878" t="str">
        <f ca="1">IFERROR((BK177/BK176),"-")</f>
        <v>-</v>
      </c>
      <c r="BM176" s="2"/>
      <c r="BN176" s="884">
        <v>0</v>
      </c>
      <c r="BO176" s="884">
        <v>0</v>
      </c>
      <c r="BP176" s="884">
        <f>SUM(M177:P177,V177:AB177,AG177:AM177,AR177:AX177,BC177:BI177)</f>
        <v>0</v>
      </c>
      <c r="BQ176" s="878" t="str">
        <f t="shared" ref="BQ176" si="438">IF(AND(BO176=0,BP176=0),"-",IF(BO176=0,1,BP176/BO176))</f>
        <v>-</v>
      </c>
      <c r="BR176" s="2"/>
      <c r="BS176" s="884"/>
      <c r="BT176" s="884"/>
      <c r="BU176" s="884">
        <f ca="1">E176+Q177+AD177+AO177+AZ177+BK177</f>
        <v>0</v>
      </c>
      <c r="BV176" s="884">
        <v>104</v>
      </c>
      <c r="BW176" s="1004">
        <f ca="1">IFERROR((BU176/BV176),"-")</f>
        <v>0</v>
      </c>
      <c r="BX176" s="884">
        <v>0</v>
      </c>
      <c r="BY176" s="878" t="str">
        <f ca="1">IFERROR((BU176/BX176),"-")</f>
        <v>-</v>
      </c>
      <c r="BZ176" s="2"/>
      <c r="CA176" s="884">
        <v>1</v>
      </c>
      <c r="CB176" s="884">
        <v>0</v>
      </c>
      <c r="CC176" s="2"/>
      <c r="CD176" s="504">
        <f>IFERROR(AVERAGEIF($V$7:AB$7,"&lt;="&amp;$I$7,V176:AB176),0)</f>
        <v>0</v>
      </c>
      <c r="CE176" s="2"/>
      <c r="CH176" s="93" t="str">
        <f t="shared" si="385"/>
        <v>BDCC - KM 210+900</v>
      </c>
    </row>
    <row r="177" spans="1:86" s="16" customFormat="1" ht="15.95" hidden="1" customHeight="1" outlineLevel="1" collapsed="1">
      <c r="A177" s="74"/>
      <c r="B177" s="1047"/>
      <c r="C177" s="1034"/>
      <c r="D177" s="2"/>
      <c r="E177" s="1024"/>
      <c r="F177" s="2"/>
      <c r="G177" s="50" t="s">
        <v>38</v>
      </c>
      <c r="H177" s="705">
        <f t="shared" si="386"/>
        <v>0</v>
      </c>
      <c r="I177" s="879"/>
      <c r="J177" s="2"/>
      <c r="K177" s="76"/>
      <c r="L177" s="76"/>
      <c r="M177" s="76"/>
      <c r="N177" s="76"/>
      <c r="O177" s="76"/>
      <c r="P177" s="76"/>
      <c r="Q177" s="706"/>
      <c r="R177" s="2"/>
      <c r="S177" s="705">
        <f ca="1">SUMIF($K$7:Q$7,"&lt;="&amp;$I$7,K177:P177)</f>
        <v>0</v>
      </c>
      <c r="T177" s="879"/>
      <c r="U177" s="2"/>
      <c r="V177" s="76"/>
      <c r="W177" s="76"/>
      <c r="X177" s="76"/>
      <c r="Y177" s="76"/>
      <c r="Z177" s="76"/>
      <c r="AA177" s="76"/>
      <c r="AB177" s="706"/>
      <c r="AC177" s="2"/>
      <c r="AD177" s="705">
        <f ca="1">SUMIF($V$7:AB$7,"&lt;="&amp;$I$7,V177:AA177)</f>
        <v>0</v>
      </c>
      <c r="AE177" s="879"/>
      <c r="AF177" s="2"/>
      <c r="AG177" s="76"/>
      <c r="AH177" s="76"/>
      <c r="AI177" s="76"/>
      <c r="AJ177" s="76"/>
      <c r="AK177" s="76"/>
      <c r="AL177" s="76"/>
      <c r="AM177" s="706"/>
      <c r="AN177" s="2"/>
      <c r="AO177" s="705">
        <f ca="1">SUMIF($AG$7:AM$7,"&lt;="&amp;$I$7,AG177:AL177)</f>
        <v>0</v>
      </c>
      <c r="AP177" s="879"/>
      <c r="AQ177" s="2"/>
      <c r="AR177" s="76"/>
      <c r="AS177" s="76"/>
      <c r="AT177" s="76"/>
      <c r="AU177" s="76"/>
      <c r="AV177" s="76"/>
      <c r="AW177" s="76"/>
      <c r="AX177" s="706"/>
      <c r="AY177" s="2"/>
      <c r="AZ177" s="705">
        <f ca="1">SUMIF($AR$7:AX$7,"&lt;="&amp;$I$7,AR177:AW177)</f>
        <v>0</v>
      </c>
      <c r="BA177" s="879"/>
      <c r="BB177" s="2"/>
      <c r="BC177" s="76"/>
      <c r="BD177" s="76"/>
      <c r="BE177" s="76"/>
      <c r="BF177" s="76"/>
      <c r="BG177" s="76"/>
      <c r="BH177" s="76"/>
      <c r="BI177" s="706"/>
      <c r="BJ177" s="2"/>
      <c r="BK177" s="705">
        <f ca="1">SUMIF($BC$7:BI$7,"&lt;="&amp;$I$7,BC177:BH177)</f>
        <v>0</v>
      </c>
      <c r="BL177" s="879"/>
      <c r="BM177" s="2"/>
      <c r="BN177" s="885"/>
      <c r="BO177" s="885"/>
      <c r="BP177" s="885"/>
      <c r="BQ177" s="879"/>
      <c r="BR177" s="2"/>
      <c r="BS177" s="885"/>
      <c r="BT177" s="885"/>
      <c r="BU177" s="885"/>
      <c r="BV177" s="885"/>
      <c r="BW177" s="1005"/>
      <c r="BX177" s="885"/>
      <c r="BY177" s="879"/>
      <c r="BZ177" s="81"/>
      <c r="CA177" s="885"/>
      <c r="CB177" s="885"/>
      <c r="CC177" s="2"/>
      <c r="CD177" s="504">
        <f>IFERROR(AVERAGEIF($V$7:AB$7,"&lt;="&amp;$I$7,V177:AB177),0)</f>
        <v>0</v>
      </c>
      <c r="CE177" s="2"/>
      <c r="CH177" s="93" t="str">
        <f t="shared" si="385"/>
        <v>BDCC - KM 210+900</v>
      </c>
    </row>
    <row r="178" spans="1:86" s="16" customFormat="1" ht="14.65" hidden="1" customHeight="1" outlineLevel="1">
      <c r="A178" s="69"/>
      <c r="B178" s="3"/>
      <c r="C178"/>
      <c r="D178" s="3"/>
      <c r="E178"/>
      <c r="F178" s="3"/>
      <c r="G178"/>
      <c r="H178" s="57"/>
      <c r="I178"/>
      <c r="J178" s="3"/>
      <c r="K178" s="37"/>
      <c r="L178" s="37"/>
      <c r="M178" s="37"/>
      <c r="N178" s="37"/>
      <c r="O178" s="37"/>
      <c r="P178" s="37"/>
      <c r="Q178" s="37"/>
      <c r="R178" s="3"/>
      <c r="S178" s="37"/>
      <c r="T178" s="3"/>
      <c r="U178" s="3"/>
      <c r="V178" s="37"/>
      <c r="W178" s="37"/>
      <c r="X178" s="37"/>
      <c r="Y178" s="37"/>
      <c r="Z178" s="37"/>
      <c r="AA178" s="37"/>
      <c r="AB178" s="37"/>
      <c r="AC178" s="3"/>
      <c r="AD178" s="37"/>
      <c r="AE178" s="3"/>
      <c r="AF178" s="3"/>
      <c r="AG178" s="37"/>
      <c r="AH178" s="37"/>
      <c r="AI178" s="37"/>
      <c r="AJ178" s="37"/>
      <c r="AK178" s="37"/>
      <c r="AL178" s="37"/>
      <c r="AM178" s="37"/>
      <c r="AN178" s="3"/>
      <c r="AO178" s="37"/>
      <c r="AP178" s="3"/>
      <c r="AQ178" s="3"/>
      <c r="AR178" s="37"/>
      <c r="AS178" s="37"/>
      <c r="AT178" s="37"/>
      <c r="AU178" s="37"/>
      <c r="AV178" s="37"/>
      <c r="AW178" s="37"/>
      <c r="AX178" s="37"/>
      <c r="AY178" s="3"/>
      <c r="AZ178" s="37"/>
      <c r="BA178" s="3"/>
      <c r="BB178" s="3"/>
      <c r="BC178" s="37"/>
      <c r="BD178" s="37"/>
      <c r="BE178" s="37"/>
      <c r="BF178" s="37"/>
      <c r="BG178" s="37"/>
      <c r="BH178" s="37"/>
      <c r="BI178" s="37"/>
      <c r="BJ178" s="3"/>
      <c r="BK178" s="37"/>
      <c r="BL178" s="3"/>
      <c r="BM178" s="3"/>
      <c r="BN178" s="35"/>
      <c r="BO178" s="36"/>
      <c r="BP178" s="35"/>
      <c r="BQ178" s="3"/>
      <c r="BR178" s="3"/>
      <c r="BS178" s="36"/>
      <c r="BT178" s="36"/>
      <c r="BU178" s="36"/>
      <c r="BV178" s="36"/>
      <c r="BW178" s="36"/>
      <c r="BX178" s="36"/>
      <c r="BY178" s="3"/>
      <c r="BZ178" s="3"/>
      <c r="CA178" s="36"/>
      <c r="CB178" s="36"/>
      <c r="CC178" s="3"/>
      <c r="CD178" s="19"/>
      <c r="CE178" s="3"/>
      <c r="CH178" s="93" t="str">
        <f t="shared" si="385"/>
        <v>BDCC - KM 210+900</v>
      </c>
    </row>
    <row r="179" spans="1:86" s="16" customFormat="1" ht="14.65" hidden="1" customHeight="1" outlineLevel="1">
      <c r="A179" s="69"/>
      <c r="B179" s="3"/>
      <c r="C179" s="3"/>
      <c r="D179" s="3"/>
      <c r="E179" s="3"/>
      <c r="F179" s="3"/>
      <c r="G179" s="3"/>
      <c r="H179" s="36"/>
      <c r="I179" s="3"/>
      <c r="J179" s="3"/>
      <c r="K179" s="37"/>
      <c r="L179" s="37"/>
      <c r="M179" s="37"/>
      <c r="N179" s="37"/>
      <c r="O179" s="37"/>
      <c r="P179" s="37"/>
      <c r="Q179" s="37"/>
      <c r="R179" s="3"/>
      <c r="S179" s="37"/>
      <c r="T179" s="3"/>
      <c r="U179" s="3"/>
      <c r="V179" s="37"/>
      <c r="W179" s="37"/>
      <c r="X179" s="37"/>
      <c r="Y179" s="37"/>
      <c r="Z179" s="37"/>
      <c r="AA179" s="37"/>
      <c r="AB179" s="37"/>
      <c r="AC179" s="3"/>
      <c r="AD179" s="37"/>
      <c r="AE179" s="3"/>
      <c r="AF179" s="3"/>
      <c r="AG179" s="37"/>
      <c r="AH179" s="37"/>
      <c r="AI179" s="37"/>
      <c r="AJ179" s="37"/>
      <c r="AK179" s="37"/>
      <c r="AL179" s="37"/>
      <c r="AM179" s="37"/>
      <c r="AN179" s="3"/>
      <c r="AO179" s="37"/>
      <c r="AP179" s="3"/>
      <c r="AQ179" s="3"/>
      <c r="AR179" s="37"/>
      <c r="AS179" s="37"/>
      <c r="AT179" s="37"/>
      <c r="AU179" s="37"/>
      <c r="AV179" s="37"/>
      <c r="AW179" s="37"/>
      <c r="AX179" s="37"/>
      <c r="AY179" s="3"/>
      <c r="AZ179" s="37"/>
      <c r="BA179" s="3"/>
      <c r="BB179" s="3"/>
      <c r="BC179" s="37"/>
      <c r="BD179" s="37"/>
      <c r="BE179" s="37"/>
      <c r="BF179" s="37"/>
      <c r="BG179" s="37"/>
      <c r="BH179" s="37"/>
      <c r="BI179" s="37"/>
      <c r="BJ179" s="3"/>
      <c r="BK179" s="37"/>
      <c r="BL179" s="3"/>
      <c r="BM179" s="3"/>
      <c r="BN179" s="35"/>
      <c r="BO179" s="36"/>
      <c r="BP179" s="35"/>
      <c r="BQ179" s="3"/>
      <c r="BR179" s="3"/>
      <c r="BS179" s="36"/>
      <c r="BT179" s="36"/>
      <c r="BU179" s="36"/>
      <c r="BV179" s="36"/>
      <c r="BW179" s="36"/>
      <c r="BX179" s="36"/>
      <c r="BY179" s="3"/>
      <c r="BZ179" s="3"/>
      <c r="CA179" s="36"/>
      <c r="CB179" s="36"/>
      <c r="CC179" s="3"/>
      <c r="CD179" s="19"/>
      <c r="CE179" s="3"/>
      <c r="CH179" s="93" t="str">
        <f t="shared" si="385"/>
        <v>BDCC - KM 210+900</v>
      </c>
    </row>
    <row r="180" spans="1:86" s="16" customFormat="1" ht="14.65" hidden="1" customHeight="1" outlineLevel="1">
      <c r="A180" s="73"/>
      <c r="B180" s="1069" t="s">
        <v>3934</v>
      </c>
      <c r="C180" s="1071" t="s">
        <v>1437</v>
      </c>
      <c r="D180" s="2"/>
      <c r="E180" s="1019">
        <v>28</v>
      </c>
      <c r="F180" s="2"/>
      <c r="G180" s="53" t="s">
        <v>37</v>
      </c>
      <c r="H180" s="52">
        <f t="shared" ref="H180:H219" si="439">SUMIF($K$7:$BI$7,$I$7,K180:BI180)</f>
        <v>0</v>
      </c>
      <c r="I180" s="743" t="str">
        <f>IF(H180=0,IF(H181&gt;0,1,"-"),IFERROR(H181/H180,"-"))</f>
        <v>-</v>
      </c>
      <c r="J180" s="2"/>
      <c r="K180" s="80" t="str">
        <f>K210</f>
        <v/>
      </c>
      <c r="L180" s="80" t="str">
        <f t="shared" ref="L180:Q181" si="440">L210</f>
        <v/>
      </c>
      <c r="M180" s="80" t="str">
        <f t="shared" si="440"/>
        <v/>
      </c>
      <c r="N180" s="80" t="str">
        <f t="shared" si="440"/>
        <v/>
      </c>
      <c r="O180" s="80" t="str">
        <f t="shared" si="440"/>
        <v/>
      </c>
      <c r="P180" s="80" t="str">
        <f t="shared" si="440"/>
        <v>X</v>
      </c>
      <c r="Q180" s="80">
        <f t="shared" si="440"/>
        <v>0</v>
      </c>
      <c r="R180" s="2"/>
      <c r="S180" s="52">
        <f ca="1">SUMIF($K$7:Q$7,"&lt;="&amp;$I$7,K180:P180)</f>
        <v>0</v>
      </c>
      <c r="T180" s="743" t="str">
        <f ca="1">IFERROR((S181/S180),"-")</f>
        <v>-</v>
      </c>
      <c r="U180" s="2"/>
      <c r="V180" s="80" t="str">
        <f>V210</f>
        <v/>
      </c>
      <c r="W180" s="80" t="str">
        <f t="shared" ref="W180:AB181" si="441">W210</f>
        <v/>
      </c>
      <c r="X180" s="80" t="str">
        <f t="shared" si="441"/>
        <v/>
      </c>
      <c r="Y180" s="80" t="str">
        <f t="shared" si="441"/>
        <v/>
      </c>
      <c r="Z180" s="80" t="str">
        <f t="shared" si="441"/>
        <v/>
      </c>
      <c r="AA180" s="80" t="str">
        <f t="shared" si="441"/>
        <v>X</v>
      </c>
      <c r="AB180" s="80" t="str">
        <f t="shared" si="441"/>
        <v/>
      </c>
      <c r="AC180" s="2"/>
      <c r="AD180" s="52">
        <f>SUMIF($V$7:AB$7,"&lt;="&amp;$I$7,V180:AB180)</f>
        <v>0</v>
      </c>
      <c r="AE180" s="743" t="str">
        <f>IFERROR((AD181/AD180),"-")</f>
        <v>-</v>
      </c>
      <c r="AF180" s="2"/>
      <c r="AG180" s="80" t="str">
        <f t="shared" ref="AG180:AL181" si="442">AG210</f>
        <v>X</v>
      </c>
      <c r="AH180" s="80" t="str">
        <f t="shared" si="442"/>
        <v>X</v>
      </c>
      <c r="AI180" s="80" t="str">
        <f t="shared" si="442"/>
        <v>X</v>
      </c>
      <c r="AJ180" s="80" t="str">
        <f t="shared" si="442"/>
        <v>X</v>
      </c>
      <c r="AK180" s="80" t="str">
        <f t="shared" si="442"/>
        <v>X</v>
      </c>
      <c r="AL180" s="80" t="str">
        <f t="shared" si="442"/>
        <v>X</v>
      </c>
      <c r="AM180" s="80">
        <f>AM210</f>
        <v>0</v>
      </c>
      <c r="AN180" s="2"/>
      <c r="AO180" s="52">
        <f ca="1">SUMIF($AG$7:AM$7,"&lt;="&amp;$I$7,AG180:AL180)</f>
        <v>0</v>
      </c>
      <c r="AP180" s="743" t="str">
        <f ca="1">IFERROR((AO181/AO180),"-")</f>
        <v>-</v>
      </c>
      <c r="AQ180" s="2"/>
      <c r="AR180" s="80" t="str">
        <f>AR210</f>
        <v/>
      </c>
      <c r="AS180" s="80" t="str">
        <f t="shared" ref="AS180:AX181" si="443">AS210</f>
        <v/>
      </c>
      <c r="AT180" s="80" t="str">
        <f t="shared" si="443"/>
        <v/>
      </c>
      <c r="AU180" s="80" t="str">
        <f t="shared" si="443"/>
        <v/>
      </c>
      <c r="AV180" s="80" t="str">
        <f t="shared" si="443"/>
        <v/>
      </c>
      <c r="AW180" s="80" t="str">
        <f t="shared" si="443"/>
        <v/>
      </c>
      <c r="AX180" s="80">
        <f t="shared" si="443"/>
        <v>0</v>
      </c>
      <c r="AY180" s="2"/>
      <c r="AZ180" s="52">
        <f ca="1">SUMIF($AR$7:AX$7,"&lt;="&amp;$I$7,AR180:AW180)</f>
        <v>0</v>
      </c>
      <c r="BA180" s="743" t="str">
        <f ca="1">IFERROR((AZ181/AZ180),"-")</f>
        <v>-</v>
      </c>
      <c r="BB180" s="2"/>
      <c r="BC180" s="80" t="str">
        <f>BC210</f>
        <v/>
      </c>
      <c r="BD180" s="80" t="str">
        <f t="shared" ref="BD180:BI181" si="444">BD210</f>
        <v/>
      </c>
      <c r="BE180" s="80" t="str">
        <f t="shared" si="444"/>
        <v/>
      </c>
      <c r="BF180" s="80" t="str">
        <f t="shared" si="444"/>
        <v/>
      </c>
      <c r="BG180" s="80" t="str">
        <f t="shared" si="444"/>
        <v/>
      </c>
      <c r="BH180" s="80" t="str">
        <f t="shared" si="444"/>
        <v/>
      </c>
      <c r="BI180" s="80">
        <f t="shared" si="444"/>
        <v>0</v>
      </c>
      <c r="BJ180" s="2"/>
      <c r="BK180" s="52">
        <f ca="1">SUMIF($BC$7:BI$7,"&lt;="&amp;$I$7,BC180:BH180)</f>
        <v>0</v>
      </c>
      <c r="BL180" s="743" t="str">
        <f ca="1">IFERROR((BK181/BK180),"-")</f>
        <v>-</v>
      </c>
      <c r="BM180" s="2"/>
      <c r="BN180" s="888">
        <v>2</v>
      </c>
      <c r="BO180" s="888">
        <v>1</v>
      </c>
      <c r="BP180" s="888">
        <f t="shared" ref="BP180" si="445">BP210</f>
        <v>0</v>
      </c>
      <c r="BQ180" s="743">
        <f>IF(BO180=0,IF(BP180&gt;0,1,"-"),IFERROR(BP180/BO180,"-"))</f>
        <v>0</v>
      </c>
      <c r="BR180" s="2"/>
      <c r="BS180" s="888">
        <v>24</v>
      </c>
      <c r="BT180" s="888"/>
      <c r="BU180" s="888">
        <f ca="1">E180+S181+AD181+AO181+AZ181+BK181</f>
        <v>28</v>
      </c>
      <c r="BV180" s="888">
        <v>210</v>
      </c>
      <c r="BW180" s="1019">
        <f ca="1">IFERROR((BU180/BV180),"-")</f>
        <v>0.13333333333333333</v>
      </c>
      <c r="BX180" s="888">
        <v>29</v>
      </c>
      <c r="BY180" s="743">
        <f ca="1">IFERROR((BU180/BX180),"-")</f>
        <v>0.96551724137931039</v>
      </c>
      <c r="BZ180" s="2"/>
      <c r="CA180" s="888">
        <v>33</v>
      </c>
      <c r="CB180" s="888">
        <f ca="1">CA180-BU180</f>
        <v>5</v>
      </c>
      <c r="CC180" s="2"/>
      <c r="CD180" s="52">
        <f>IFERROR(AVERAGEIF($K$7:Q$7,"&lt;="&amp;$I$7,K180:Q180),0)</f>
        <v>0</v>
      </c>
      <c r="CE180" s="2"/>
      <c r="CH180" s="93" t="str">
        <f t="shared" si="385"/>
        <v xml:space="preserve">PASSAGEM DE GADO </v>
      </c>
    </row>
    <row r="181" spans="1:86" s="16" customFormat="1" ht="15.95" hidden="1" customHeight="1" outlineLevel="1">
      <c r="A181" s="74"/>
      <c r="B181" s="1070"/>
      <c r="C181" s="1072"/>
      <c r="D181" s="2"/>
      <c r="E181" s="1060"/>
      <c r="F181" s="2"/>
      <c r="G181" s="54" t="s">
        <v>38</v>
      </c>
      <c r="H181" s="52">
        <f t="shared" si="439"/>
        <v>0</v>
      </c>
      <c r="I181" s="744"/>
      <c r="J181" s="2"/>
      <c r="K181" s="75" t="str">
        <f>K211</f>
        <v/>
      </c>
      <c r="L181" s="75" t="str">
        <f t="shared" si="440"/>
        <v/>
      </c>
      <c r="M181" s="75" t="str">
        <f>M211</f>
        <v/>
      </c>
      <c r="N181" s="75" t="str">
        <f t="shared" si="440"/>
        <v/>
      </c>
      <c r="O181" s="75" t="str">
        <f t="shared" si="440"/>
        <v/>
      </c>
      <c r="P181" s="75" t="str">
        <f t="shared" si="440"/>
        <v/>
      </c>
      <c r="Q181" s="52"/>
      <c r="R181" s="2"/>
      <c r="S181" s="52">
        <f ca="1">SUMIF($K$7:Q$7,"&lt;="&amp;$I$7,K181:P181)</f>
        <v>0</v>
      </c>
      <c r="T181" s="744"/>
      <c r="U181" s="2"/>
      <c r="V181" s="75" t="str">
        <f>V211</f>
        <v/>
      </c>
      <c r="W181" s="75" t="str">
        <f t="shared" si="441"/>
        <v/>
      </c>
      <c r="X181" s="75" t="str">
        <f t="shared" si="441"/>
        <v/>
      </c>
      <c r="Y181" s="75" t="str">
        <f t="shared" si="441"/>
        <v/>
      </c>
      <c r="Z181" s="75" t="str">
        <f t="shared" si="441"/>
        <v/>
      </c>
      <c r="AA181" s="75" t="str">
        <f t="shared" si="441"/>
        <v>X</v>
      </c>
      <c r="AB181" s="52"/>
      <c r="AC181" s="2"/>
      <c r="AD181" s="52">
        <f>SUMIF($V$7:AB$7,"&lt;="&amp;$I$7,V181:AB181)</f>
        <v>0</v>
      </c>
      <c r="AE181" s="744"/>
      <c r="AF181" s="2"/>
      <c r="AG181" s="75" t="str">
        <f t="shared" si="442"/>
        <v>X</v>
      </c>
      <c r="AH181" s="75" t="str">
        <f t="shared" si="442"/>
        <v>X</v>
      </c>
      <c r="AI181" s="75" t="str">
        <f t="shared" si="442"/>
        <v/>
      </c>
      <c r="AJ181" s="75" t="str">
        <f t="shared" si="442"/>
        <v/>
      </c>
      <c r="AK181" s="75" t="str">
        <f t="shared" si="442"/>
        <v/>
      </c>
      <c r="AL181" s="75" t="str">
        <f t="shared" si="442"/>
        <v/>
      </c>
      <c r="AM181" s="52"/>
      <c r="AN181" s="2"/>
      <c r="AO181" s="52">
        <f ca="1">SUMIF($AG$7:AM$7,"&lt;="&amp;$I$7,AG181:AL181)</f>
        <v>0</v>
      </c>
      <c r="AP181" s="744"/>
      <c r="AQ181" s="2"/>
      <c r="AR181" s="75" t="str">
        <f>AR211</f>
        <v/>
      </c>
      <c r="AS181" s="75" t="str">
        <f t="shared" si="443"/>
        <v/>
      </c>
      <c r="AT181" s="75" t="str">
        <f t="shared" si="443"/>
        <v/>
      </c>
      <c r="AU181" s="75" t="str">
        <f t="shared" si="443"/>
        <v/>
      </c>
      <c r="AV181" s="75" t="str">
        <f t="shared" si="443"/>
        <v/>
      </c>
      <c r="AW181" s="75" t="str">
        <f t="shared" si="443"/>
        <v/>
      </c>
      <c r="AX181" s="52"/>
      <c r="AY181" s="2"/>
      <c r="AZ181" s="52">
        <f ca="1">SUMIF($AR$7:AX$7,"&lt;="&amp;$I$7,AR181:AW181)</f>
        <v>0</v>
      </c>
      <c r="BA181" s="744"/>
      <c r="BB181" s="2"/>
      <c r="BC181" s="75" t="str">
        <f>BC211</f>
        <v/>
      </c>
      <c r="BD181" s="75" t="str">
        <f t="shared" si="444"/>
        <v/>
      </c>
      <c r="BE181" s="75" t="str">
        <f t="shared" si="444"/>
        <v/>
      </c>
      <c r="BF181" s="75" t="str">
        <f t="shared" si="444"/>
        <v/>
      </c>
      <c r="BG181" s="75" t="str">
        <f t="shared" si="444"/>
        <v/>
      </c>
      <c r="BH181" s="75" t="str">
        <f t="shared" si="444"/>
        <v/>
      </c>
      <c r="BI181" s="52"/>
      <c r="BJ181" s="2"/>
      <c r="BK181" s="52">
        <f ca="1">SUMIF($BC$7:BI$7,"&lt;="&amp;$I$7,BC181:BH181)</f>
        <v>0</v>
      </c>
      <c r="BL181" s="744"/>
      <c r="BM181" s="2"/>
      <c r="BN181" s="889"/>
      <c r="BO181" s="889"/>
      <c r="BP181" s="889"/>
      <c r="BQ181" s="744"/>
      <c r="BR181" s="2"/>
      <c r="BS181" s="889"/>
      <c r="BT181" s="889"/>
      <c r="BU181" s="889"/>
      <c r="BV181" s="889"/>
      <c r="BW181" s="1020"/>
      <c r="BX181" s="889"/>
      <c r="BY181" s="744"/>
      <c r="BZ181" s="2"/>
      <c r="CA181" s="889"/>
      <c r="CB181" s="889"/>
      <c r="CC181" s="2"/>
      <c r="CD181" s="52">
        <f>IFERROR(AVERAGEIF($K$7:Q$7,"&lt;="&amp;$I$7,K181:Q181),0)</f>
        <v>0</v>
      </c>
      <c r="CE181" s="2"/>
      <c r="CH181" s="93" t="str">
        <f t="shared" si="385"/>
        <v xml:space="preserve">PASSAGEM DE GADO </v>
      </c>
    </row>
    <row r="182" spans="1:86" s="16" customFormat="1" ht="14.65" hidden="1" customHeight="1" outlineLevel="1">
      <c r="A182" s="73"/>
      <c r="B182" s="1081" t="s">
        <v>3935</v>
      </c>
      <c r="C182" s="1071" t="s">
        <v>3936</v>
      </c>
      <c r="D182" s="2"/>
      <c r="E182" s="1019">
        <v>0</v>
      </c>
      <c r="F182" s="2"/>
      <c r="G182" s="53" t="s">
        <v>37</v>
      </c>
      <c r="H182" s="52">
        <f t="shared" si="439"/>
        <v>0</v>
      </c>
      <c r="I182" s="743" t="str">
        <f t="shared" ref="I182" si="446">IF(H182=0,IF(H183&gt;0,1,"-"),IFERROR(H183/H182,"-"))</f>
        <v>-</v>
      </c>
      <c r="J182" s="2"/>
      <c r="K182" s="80">
        <f>K184</f>
        <v>0</v>
      </c>
      <c r="L182" s="80" t="str">
        <f t="shared" ref="L182:P183" si="447">L184</f>
        <v>X</v>
      </c>
      <c r="M182" s="80" t="str">
        <f t="shared" si="447"/>
        <v>X</v>
      </c>
      <c r="N182" s="80" t="str">
        <f t="shared" si="447"/>
        <v>X</v>
      </c>
      <c r="O182" s="80">
        <f t="shared" si="447"/>
        <v>1</v>
      </c>
      <c r="P182" s="80">
        <f t="shared" si="447"/>
        <v>0</v>
      </c>
      <c r="Q182" s="80">
        <v>0</v>
      </c>
      <c r="R182" s="2"/>
      <c r="S182" s="52">
        <f ca="1">SUMIF($K$7:Q$7,"&lt;="&amp;$I$7,K182:P182)</f>
        <v>1</v>
      </c>
      <c r="T182" s="743">
        <f ca="1">IFERROR((S183/S182),"-")</f>
        <v>0</v>
      </c>
      <c r="U182" s="2"/>
      <c r="V182" s="80" t="str">
        <f>V184</f>
        <v>X</v>
      </c>
      <c r="W182" s="80">
        <f t="shared" ref="W182:AA183" si="448">W184</f>
        <v>1</v>
      </c>
      <c r="X182" s="80">
        <f t="shared" si="448"/>
        <v>0</v>
      </c>
      <c r="Y182" s="80">
        <f t="shared" si="448"/>
        <v>0</v>
      </c>
      <c r="Z182" s="80">
        <f t="shared" si="448"/>
        <v>0</v>
      </c>
      <c r="AA182" s="80">
        <f t="shared" si="448"/>
        <v>0</v>
      </c>
      <c r="AB182" s="80">
        <v>0</v>
      </c>
      <c r="AC182" s="2"/>
      <c r="AD182" s="52">
        <f>SUMIF($V$7:AB$7,"&lt;="&amp;$I$7,V182:AB182)</f>
        <v>1</v>
      </c>
      <c r="AE182" s="743">
        <f>IFERROR((AD183/AD182),"-")</f>
        <v>1</v>
      </c>
      <c r="AF182" s="2"/>
      <c r="AG182" s="80"/>
      <c r="AH182" s="80"/>
      <c r="AI182" s="80"/>
      <c r="AJ182" s="80"/>
      <c r="AK182" s="80"/>
      <c r="AL182" s="80"/>
      <c r="AM182" s="80"/>
      <c r="AN182" s="2"/>
      <c r="AO182" s="52">
        <f ca="1">SUMIF($AG$7:AM$7,"&lt;="&amp;$I$7,AG182:AL182)</f>
        <v>0</v>
      </c>
      <c r="AP182" s="743" t="str">
        <f ca="1">IFERROR((AO183/AO182),"-")</f>
        <v>-</v>
      </c>
      <c r="AQ182" s="2"/>
      <c r="AR182" s="80">
        <f>AR184</f>
        <v>0</v>
      </c>
      <c r="AS182" s="80">
        <f t="shared" ref="AS182:AW183" si="449">AS184</f>
        <v>0</v>
      </c>
      <c r="AT182" s="80">
        <f t="shared" si="449"/>
        <v>0</v>
      </c>
      <c r="AU182" s="80">
        <f t="shared" si="449"/>
        <v>0</v>
      </c>
      <c r="AV182" s="80">
        <f t="shared" si="449"/>
        <v>0</v>
      </c>
      <c r="AW182" s="80">
        <f t="shared" si="449"/>
        <v>0</v>
      </c>
      <c r="AX182" s="80">
        <v>0</v>
      </c>
      <c r="AY182" s="2"/>
      <c r="AZ182" s="52">
        <f ca="1">SUMIF($AR$7:AX$7,"&lt;="&amp;$I$7,AR182:AW182)</f>
        <v>0</v>
      </c>
      <c r="BA182" s="743" t="str">
        <f ca="1">IFERROR((AZ183/AZ182),"-")</f>
        <v>-</v>
      </c>
      <c r="BB182" s="2"/>
      <c r="BC182" s="80">
        <f>BC184</f>
        <v>0</v>
      </c>
      <c r="BD182" s="80">
        <f t="shared" ref="BD182:BH183" si="450">BD184</f>
        <v>0</v>
      </c>
      <c r="BE182" s="80">
        <f t="shared" si="450"/>
        <v>0</v>
      </c>
      <c r="BF182" s="80">
        <f t="shared" si="450"/>
        <v>0</v>
      </c>
      <c r="BG182" s="80">
        <f t="shared" si="450"/>
        <v>0</v>
      </c>
      <c r="BH182" s="80">
        <f t="shared" si="450"/>
        <v>0</v>
      </c>
      <c r="BI182" s="80">
        <v>0</v>
      </c>
      <c r="BJ182" s="2"/>
      <c r="BK182" s="52">
        <f ca="1">SUMIF($BC$7:BI$7,"&lt;="&amp;$I$7,BC182:BH182)</f>
        <v>0</v>
      </c>
      <c r="BL182" s="743" t="str">
        <f ca="1">IFERROR((BK183/BK182),"-")</f>
        <v>-</v>
      </c>
      <c r="BM182" s="2"/>
      <c r="BN182" s="888">
        <v>0</v>
      </c>
      <c r="BO182" s="888">
        <v>0</v>
      </c>
      <c r="BP182" s="888">
        <f>SUM(BP184:BP191)</f>
        <v>1</v>
      </c>
      <c r="BQ182" s="743">
        <f t="shared" ref="BQ182" si="451">IF(AND(BO182=0,BP182=0),"-",IF(BO182=0,1,BP182/BO182))</f>
        <v>1</v>
      </c>
      <c r="BR182" s="2"/>
      <c r="BS182" s="888"/>
      <c r="BT182" s="888"/>
      <c r="BU182" s="888">
        <f ca="1">E182+S183+AD183+AO183+AZ183+BK183</f>
        <v>1</v>
      </c>
      <c r="BV182" s="888">
        <v>104</v>
      </c>
      <c r="BW182" s="1019">
        <f ca="1">IFERROR((BU182/BV182),"-")</f>
        <v>9.6153846153846159E-3</v>
      </c>
      <c r="BX182" s="888">
        <v>0</v>
      </c>
      <c r="BY182" s="743" t="str">
        <f ca="1">IFERROR((BU182/BX182),"-")</f>
        <v>-</v>
      </c>
      <c r="BZ182" s="2"/>
      <c r="CA182" s="888">
        <v>9</v>
      </c>
      <c r="CB182" s="888">
        <v>0</v>
      </c>
      <c r="CC182" s="2"/>
      <c r="CD182" s="52">
        <f>IFERROR(AVERAGEIF($K$7:Q$7,"&lt;="&amp;$I$7,K182:Q182),0)</f>
        <v>0.25</v>
      </c>
      <c r="CE182" s="2"/>
      <c r="CH182" s="93" t="str">
        <f t="shared" si="385"/>
        <v xml:space="preserve">PASSAGEM DE GADO - TRATAMENTO DE FUNDAÇÕES </v>
      </c>
    </row>
    <row r="183" spans="1:86" s="16" customFormat="1" ht="15.95" hidden="1" customHeight="1" outlineLevel="2">
      <c r="A183" s="74"/>
      <c r="B183" s="1082"/>
      <c r="C183" s="1072"/>
      <c r="D183" s="2"/>
      <c r="E183" s="1060"/>
      <c r="F183" s="2"/>
      <c r="G183" s="54" t="s">
        <v>38</v>
      </c>
      <c r="H183" s="52">
        <f t="shared" si="439"/>
        <v>0</v>
      </c>
      <c r="I183" s="744"/>
      <c r="J183" s="2"/>
      <c r="K183" s="75">
        <f>K185</f>
        <v>0</v>
      </c>
      <c r="L183" s="75">
        <f t="shared" si="447"/>
        <v>0</v>
      </c>
      <c r="M183" s="75">
        <f t="shared" si="447"/>
        <v>0</v>
      </c>
      <c r="N183" s="75">
        <f t="shared" si="447"/>
        <v>0</v>
      </c>
      <c r="O183" s="75">
        <f t="shared" si="447"/>
        <v>0</v>
      </c>
      <c r="P183" s="75">
        <f t="shared" si="447"/>
        <v>0</v>
      </c>
      <c r="Q183" s="52"/>
      <c r="R183" s="2"/>
      <c r="S183" s="52">
        <f ca="1">SUMIF($K$7:Q$7,"&lt;="&amp;$I$7,K183:P183)</f>
        <v>0</v>
      </c>
      <c r="T183" s="744"/>
      <c r="U183" s="2"/>
      <c r="V183" s="75" t="str">
        <f>V185</f>
        <v>X</v>
      </c>
      <c r="W183" s="75">
        <f t="shared" si="448"/>
        <v>1</v>
      </c>
      <c r="X183" s="75">
        <f t="shared" si="448"/>
        <v>0</v>
      </c>
      <c r="Y183" s="75">
        <f t="shared" si="448"/>
        <v>0</v>
      </c>
      <c r="Z183" s="75">
        <f t="shared" si="448"/>
        <v>0</v>
      </c>
      <c r="AA183" s="75">
        <f t="shared" si="448"/>
        <v>0</v>
      </c>
      <c r="AB183" s="52"/>
      <c r="AC183" s="2"/>
      <c r="AD183" s="52">
        <f>SUMIF($V$7:AB$7,"&lt;="&amp;$I$7,V183:AB183)</f>
        <v>1</v>
      </c>
      <c r="AE183" s="744"/>
      <c r="AF183" s="2"/>
      <c r="AG183" s="75"/>
      <c r="AH183" s="75"/>
      <c r="AI183" s="75"/>
      <c r="AJ183" s="75"/>
      <c r="AK183" s="75"/>
      <c r="AL183" s="75"/>
      <c r="AM183" s="52"/>
      <c r="AN183" s="2"/>
      <c r="AO183" s="52">
        <f ca="1">SUMIF($AG$7:AM$7,"&lt;="&amp;$I$7,AG183:AL183)</f>
        <v>0</v>
      </c>
      <c r="AP183" s="744"/>
      <c r="AQ183" s="2"/>
      <c r="AR183" s="75">
        <f>AR185</f>
        <v>0</v>
      </c>
      <c r="AS183" s="75">
        <f t="shared" si="449"/>
        <v>0</v>
      </c>
      <c r="AT183" s="75">
        <f t="shared" si="449"/>
        <v>0</v>
      </c>
      <c r="AU183" s="75">
        <f t="shared" si="449"/>
        <v>0</v>
      </c>
      <c r="AV183" s="75">
        <f t="shared" si="449"/>
        <v>0</v>
      </c>
      <c r="AW183" s="75">
        <f t="shared" si="449"/>
        <v>0</v>
      </c>
      <c r="AX183" s="52"/>
      <c r="AY183" s="2"/>
      <c r="AZ183" s="52">
        <f ca="1">SUMIF($AR$7:AX$7,"&lt;="&amp;$I$7,AR183:AW183)</f>
        <v>0</v>
      </c>
      <c r="BA183" s="744"/>
      <c r="BB183" s="2"/>
      <c r="BC183" s="75">
        <f>BC185</f>
        <v>0</v>
      </c>
      <c r="BD183" s="75">
        <f t="shared" si="450"/>
        <v>0</v>
      </c>
      <c r="BE183" s="75">
        <f t="shared" si="450"/>
        <v>0</v>
      </c>
      <c r="BF183" s="75">
        <f t="shared" si="450"/>
        <v>0</v>
      </c>
      <c r="BG183" s="75">
        <f t="shared" si="450"/>
        <v>0</v>
      </c>
      <c r="BH183" s="75">
        <f t="shared" si="450"/>
        <v>0</v>
      </c>
      <c r="BI183" s="52"/>
      <c r="BJ183" s="2"/>
      <c r="BK183" s="52">
        <f ca="1">SUMIF($BC$7:BI$7,"&lt;="&amp;$I$7,BC183:BH183)</f>
        <v>0</v>
      </c>
      <c r="BL183" s="744"/>
      <c r="BM183" s="2"/>
      <c r="BN183" s="889"/>
      <c r="BO183" s="889"/>
      <c r="BP183" s="889"/>
      <c r="BQ183" s="744"/>
      <c r="BR183" s="2"/>
      <c r="BS183" s="889"/>
      <c r="BT183" s="889"/>
      <c r="BU183" s="889"/>
      <c r="BV183" s="889"/>
      <c r="BW183" s="1020"/>
      <c r="BX183" s="889"/>
      <c r="BY183" s="744"/>
      <c r="BZ183" s="2"/>
      <c r="CA183" s="889"/>
      <c r="CB183" s="889"/>
      <c r="CC183" s="2"/>
      <c r="CD183" s="52">
        <f>IFERROR(AVERAGEIF($K$7:Q$7,"&lt;="&amp;$I$7,K183:Q183),0)</f>
        <v>0</v>
      </c>
      <c r="CE183" s="2"/>
      <c r="CH183" s="93" t="str">
        <f t="shared" si="385"/>
        <v xml:space="preserve">PASSAGEM DE GADO - TRATAMENTO DE FUNDAÇÕES </v>
      </c>
    </row>
    <row r="184" spans="1:86" s="16" customFormat="1" ht="15.95" hidden="1" customHeight="1" outlineLevel="2">
      <c r="A184" s="74"/>
      <c r="B184" s="1046" t="s">
        <v>3937</v>
      </c>
      <c r="C184" s="1014" t="s">
        <v>3936</v>
      </c>
      <c r="D184" s="2"/>
      <c r="E184" s="1004">
        <v>0</v>
      </c>
      <c r="F184" s="2"/>
      <c r="G184" s="49" t="s">
        <v>37</v>
      </c>
      <c r="H184" s="705">
        <f t="shared" si="439"/>
        <v>0</v>
      </c>
      <c r="I184" s="878" t="str">
        <f t="shared" ref="I184" si="452">IF(H184=0,IF(H185&gt;0,1,"-"),IFERROR(H185/H184,"-"))</f>
        <v>-</v>
      </c>
      <c r="J184" s="2"/>
      <c r="K184" s="705"/>
      <c r="L184" s="705" t="s">
        <v>1434</v>
      </c>
      <c r="M184" s="705" t="s">
        <v>1434</v>
      </c>
      <c r="N184" s="705" t="s">
        <v>1434</v>
      </c>
      <c r="O184" s="705">
        <v>1</v>
      </c>
      <c r="P184" s="705"/>
      <c r="Q184" s="705"/>
      <c r="R184" s="2"/>
      <c r="S184" s="705">
        <f ca="1">SUMIF($K$7:Q$7,"&lt;="&amp;$I$7,K184:P184)</f>
        <v>1</v>
      </c>
      <c r="T184" s="878">
        <f ca="1">IFERROR((S185/S184),"-")</f>
        <v>0</v>
      </c>
      <c r="U184" s="2"/>
      <c r="V184" s="705" t="s">
        <v>1434</v>
      </c>
      <c r="W184" s="705">
        <v>1</v>
      </c>
      <c r="X184" s="705"/>
      <c r="Y184" s="705"/>
      <c r="Z184" s="705"/>
      <c r="AA184" s="705"/>
      <c r="AB184" s="705"/>
      <c r="AC184" s="2"/>
      <c r="AD184" s="705">
        <f ca="1">SUMIF($V$7:AB$7,"&lt;="&amp;$I$7,V184:AA184)</f>
        <v>1</v>
      </c>
      <c r="AE184" s="878">
        <f ca="1">IFERROR((AD185/AD184),"-")</f>
        <v>1</v>
      </c>
      <c r="AF184" s="2"/>
      <c r="AG184" s="705"/>
      <c r="AH184" s="705"/>
      <c r="AI184" s="705"/>
      <c r="AJ184" s="705"/>
      <c r="AK184" s="705"/>
      <c r="AL184" s="705"/>
      <c r="AM184" s="705"/>
      <c r="AN184" s="2"/>
      <c r="AO184" s="705">
        <f ca="1">SUMIF($AG$7:AM$7,"&lt;="&amp;$I$7,AG184:AL184)</f>
        <v>0</v>
      </c>
      <c r="AP184" s="878" t="str">
        <f ca="1">IFERROR((AO185/AO184),"-")</f>
        <v>-</v>
      </c>
      <c r="AQ184" s="2"/>
      <c r="AR184" s="705"/>
      <c r="AS184" s="705"/>
      <c r="AT184" s="705"/>
      <c r="AU184" s="705"/>
      <c r="AV184" s="705"/>
      <c r="AW184" s="705"/>
      <c r="AX184" s="705"/>
      <c r="AY184" s="2"/>
      <c r="AZ184" s="705">
        <f ca="1">SUMIF($AR$7:AX$7,"&lt;="&amp;$I$7,AR184:AW184)</f>
        <v>0</v>
      </c>
      <c r="BA184" s="878" t="str">
        <f ca="1">IFERROR((AZ185/AZ184),"-")</f>
        <v>-</v>
      </c>
      <c r="BB184" s="2"/>
      <c r="BC184" s="705"/>
      <c r="BD184" s="705"/>
      <c r="BE184" s="705"/>
      <c r="BF184" s="705"/>
      <c r="BG184" s="705"/>
      <c r="BH184" s="705"/>
      <c r="BI184" s="705"/>
      <c r="BJ184" s="2"/>
      <c r="BK184" s="705">
        <f ca="1">SUMIF($BC$7:BI$7,"&lt;="&amp;$I$7,BC184:BH184)</f>
        <v>0</v>
      </c>
      <c r="BL184" s="878" t="str">
        <f ca="1">IFERROR((BK185/BK184),"-")</f>
        <v>-</v>
      </c>
      <c r="BM184" s="2"/>
      <c r="BN184" s="884">
        <v>0</v>
      </c>
      <c r="BO184" s="884">
        <v>0</v>
      </c>
      <c r="BP184" s="884">
        <f>SUM(M185:P185,V185:AB185,AG185:AM185,AR185:AX185,BC185:BI185)</f>
        <v>1</v>
      </c>
      <c r="BQ184" s="878">
        <f t="shared" ref="BQ184" si="453">IF(AND(BO184=0,BP184=0),"-",IF(BO184=0,1,BP184/BO184))</f>
        <v>1</v>
      </c>
      <c r="BR184" s="2"/>
      <c r="BS184" s="884"/>
      <c r="BT184" s="884"/>
      <c r="BU184" s="884">
        <f ca="1">E184+Q185+AD185+AO185+AZ185+BK185</f>
        <v>1</v>
      </c>
      <c r="BV184" s="884">
        <v>104</v>
      </c>
      <c r="BW184" s="1004">
        <f ca="1">IFERROR((BU184/BV184),"-")</f>
        <v>9.6153846153846159E-3</v>
      </c>
      <c r="BX184" s="884">
        <v>0</v>
      </c>
      <c r="BY184" s="878" t="str">
        <f ca="1">IFERROR((BU184/BX184),"-")</f>
        <v>-</v>
      </c>
      <c r="BZ184" s="2"/>
      <c r="CA184" s="884">
        <v>1</v>
      </c>
      <c r="CB184" s="884">
        <v>0</v>
      </c>
      <c r="CC184" s="2"/>
      <c r="CD184" s="504">
        <f>IFERROR(AVERAGEIF($K$7:Q$7,"&lt;="&amp;$I$7,K184:Q184),0)</f>
        <v>1</v>
      </c>
      <c r="CE184" s="2"/>
      <c r="CH184" s="93" t="str">
        <f t="shared" si="385"/>
        <v>PG BSCC - KM 210+160</v>
      </c>
    </row>
    <row r="185" spans="1:86" s="21" customFormat="1" ht="14.85" hidden="1" customHeight="1" outlineLevel="2">
      <c r="A185" s="74"/>
      <c r="B185" s="1047"/>
      <c r="C185" s="1034"/>
      <c r="D185" s="2"/>
      <c r="E185" s="1024"/>
      <c r="F185" s="2"/>
      <c r="G185" s="50" t="s">
        <v>38</v>
      </c>
      <c r="H185" s="705">
        <f t="shared" si="439"/>
        <v>0</v>
      </c>
      <c r="I185" s="879"/>
      <c r="J185" s="2"/>
      <c r="K185" s="76"/>
      <c r="L185" s="76"/>
      <c r="M185" s="76"/>
      <c r="N185" s="76"/>
      <c r="O185" s="76"/>
      <c r="P185" s="76"/>
      <c r="Q185" s="706"/>
      <c r="R185" s="2"/>
      <c r="S185" s="705">
        <f ca="1">SUMIF($K$7:Q$7,"&lt;="&amp;$I$7,K185:P185)</f>
        <v>0</v>
      </c>
      <c r="T185" s="879"/>
      <c r="U185" s="2"/>
      <c r="V185" s="76" t="s">
        <v>1434</v>
      </c>
      <c r="W185" s="76">
        <v>1</v>
      </c>
      <c r="X185" s="76"/>
      <c r="Y185" s="76"/>
      <c r="Z185" s="76"/>
      <c r="AA185" s="76"/>
      <c r="AB185" s="706"/>
      <c r="AC185" s="2"/>
      <c r="AD185" s="705">
        <f ca="1">SUMIF($V$7:AB$7,"&lt;="&amp;$I$7,V185:AA185)</f>
        <v>1</v>
      </c>
      <c r="AE185" s="879"/>
      <c r="AF185" s="2"/>
      <c r="AG185" s="76"/>
      <c r="AH185" s="76"/>
      <c r="AI185" s="76"/>
      <c r="AJ185" s="76"/>
      <c r="AK185" s="76"/>
      <c r="AL185" s="76"/>
      <c r="AM185" s="706"/>
      <c r="AN185" s="2"/>
      <c r="AO185" s="705">
        <f ca="1">SUMIF($AG$7:AM$7,"&lt;="&amp;$I$7,AG185:AL185)</f>
        <v>0</v>
      </c>
      <c r="AP185" s="879"/>
      <c r="AQ185" s="2"/>
      <c r="AR185" s="76"/>
      <c r="AS185" s="76"/>
      <c r="AT185" s="76"/>
      <c r="AU185" s="76"/>
      <c r="AV185" s="76"/>
      <c r="AW185" s="76"/>
      <c r="AX185" s="706"/>
      <c r="AY185" s="2"/>
      <c r="AZ185" s="705">
        <f ca="1">SUMIF($AR$7:AX$7,"&lt;="&amp;$I$7,AR185:AW185)</f>
        <v>0</v>
      </c>
      <c r="BA185" s="879"/>
      <c r="BB185" s="2"/>
      <c r="BC185" s="76"/>
      <c r="BD185" s="76"/>
      <c r="BE185" s="76"/>
      <c r="BF185" s="76"/>
      <c r="BG185" s="76"/>
      <c r="BH185" s="76"/>
      <c r="BI185" s="706"/>
      <c r="BJ185" s="2"/>
      <c r="BK185" s="705">
        <f ca="1">SUMIF($BC$7:BI$7,"&lt;="&amp;$I$7,BC185:BH185)</f>
        <v>0</v>
      </c>
      <c r="BL185" s="879"/>
      <c r="BM185" s="2"/>
      <c r="BN185" s="885"/>
      <c r="BO185" s="885"/>
      <c r="BP185" s="885"/>
      <c r="BQ185" s="879"/>
      <c r="BR185" s="2"/>
      <c r="BS185" s="885"/>
      <c r="BT185" s="885"/>
      <c r="BU185" s="885"/>
      <c r="BV185" s="885"/>
      <c r="BW185" s="1005"/>
      <c r="BX185" s="885"/>
      <c r="BY185" s="879"/>
      <c r="BZ185" s="2"/>
      <c r="CA185" s="885"/>
      <c r="CB185" s="885"/>
      <c r="CC185" s="2"/>
      <c r="CD185" s="504">
        <f>IFERROR(AVERAGEIF($K$7:Q$7,"&lt;="&amp;$I$7,K185:Q185),0)</f>
        <v>0</v>
      </c>
      <c r="CE185" s="2"/>
      <c r="CH185" s="93" t="str">
        <f t="shared" si="385"/>
        <v>PG BSCC - KM 210+160</v>
      </c>
    </row>
    <row r="186" spans="1:86" s="16" customFormat="1" ht="15.95" hidden="1" customHeight="1" outlineLevel="2">
      <c r="A186" s="74"/>
      <c r="B186" s="1046"/>
      <c r="C186" s="1014" t="s">
        <v>3936</v>
      </c>
      <c r="D186" s="2"/>
      <c r="E186" s="1004">
        <v>0</v>
      </c>
      <c r="F186" s="2"/>
      <c r="G186" s="49" t="s">
        <v>37</v>
      </c>
      <c r="H186" s="705">
        <f t="shared" si="439"/>
        <v>0</v>
      </c>
      <c r="I186" s="878" t="str">
        <f t="shared" ref="I186" si="454">IF(H186=0,IF(H187&gt;0,1,"-"),IFERROR(H187/H186,"-"))</f>
        <v>-</v>
      </c>
      <c r="J186" s="2"/>
      <c r="K186" s="705"/>
      <c r="L186" s="705"/>
      <c r="M186" s="705"/>
      <c r="N186" s="705"/>
      <c r="O186" s="705"/>
      <c r="P186" s="705"/>
      <c r="Q186" s="705"/>
      <c r="R186" s="2"/>
      <c r="S186" s="705">
        <f ca="1">SUMIF($K$7:Q$7,"&lt;="&amp;$I$7,K186:P186)</f>
        <v>0</v>
      </c>
      <c r="T186" s="878" t="str">
        <f ca="1">IFERROR((S187/S186),"-")</f>
        <v>-</v>
      </c>
      <c r="U186" s="2"/>
      <c r="V186" s="705"/>
      <c r="W186" s="705"/>
      <c r="X186" s="705"/>
      <c r="Y186" s="705"/>
      <c r="Z186" s="705"/>
      <c r="AA186" s="705"/>
      <c r="AB186" s="705"/>
      <c r="AC186" s="2"/>
      <c r="AD186" s="705">
        <f ca="1">SUMIF($V$7:AB$7,"&lt;="&amp;$I$7,V186:AA186)</f>
        <v>0</v>
      </c>
      <c r="AE186" s="878" t="str">
        <f ca="1">IFERROR((AD187/AD186),"-")</f>
        <v>-</v>
      </c>
      <c r="AF186" s="2"/>
      <c r="AG186" s="705"/>
      <c r="AH186" s="705"/>
      <c r="AI186" s="705"/>
      <c r="AJ186" s="705"/>
      <c r="AK186" s="705"/>
      <c r="AL186" s="705"/>
      <c r="AM186" s="705"/>
      <c r="AN186" s="2"/>
      <c r="AO186" s="705">
        <f ca="1">SUMIF($AG$7:AM$7,"&lt;="&amp;$I$7,AG186:AL186)</f>
        <v>0</v>
      </c>
      <c r="AP186" s="878" t="str">
        <f ca="1">IFERROR((AO187/AO186),"-")</f>
        <v>-</v>
      </c>
      <c r="AQ186" s="2"/>
      <c r="AR186" s="705"/>
      <c r="AS186" s="705"/>
      <c r="AT186" s="705"/>
      <c r="AU186" s="705"/>
      <c r="AV186" s="705"/>
      <c r="AW186" s="705"/>
      <c r="AX186" s="705"/>
      <c r="AY186" s="2"/>
      <c r="AZ186" s="705">
        <f ca="1">SUMIF($AR$7:AX$7,"&lt;="&amp;$I$7,AR186:AW186)</f>
        <v>0</v>
      </c>
      <c r="BA186" s="878" t="str">
        <f ca="1">IFERROR((AZ187/AZ186),"-")</f>
        <v>-</v>
      </c>
      <c r="BB186" s="2"/>
      <c r="BC186" s="705"/>
      <c r="BD186" s="705"/>
      <c r="BE186" s="705"/>
      <c r="BF186" s="705"/>
      <c r="BG186" s="705"/>
      <c r="BH186" s="705"/>
      <c r="BI186" s="705"/>
      <c r="BJ186" s="2"/>
      <c r="BK186" s="705">
        <f ca="1">SUMIF($BC$7:BI$7,"&lt;="&amp;$I$7,BC186:BH186)</f>
        <v>0</v>
      </c>
      <c r="BL186" s="878" t="str">
        <f ca="1">IFERROR((BK187/BK186),"-")</f>
        <v>-</v>
      </c>
      <c r="BM186" s="2"/>
      <c r="BN186" s="884">
        <v>0</v>
      </c>
      <c r="BO186" s="884">
        <v>0</v>
      </c>
      <c r="BP186" s="884">
        <f>SUM(M187:P187,V187:AB187,AG187:AM187,AR187:AX187,BC187:BI187)</f>
        <v>0</v>
      </c>
      <c r="BQ186" s="878" t="str">
        <f t="shared" ref="BQ186" si="455">IF(AND(BO186=0,BP186=0),"-",IF(BO186=0,1,BP186/BO186))</f>
        <v>-</v>
      </c>
      <c r="BR186" s="2"/>
      <c r="BS186" s="884"/>
      <c r="BT186" s="884"/>
      <c r="BU186" s="884">
        <f ca="1">E186+Q187+AD187+AO187+AZ187+BK187</f>
        <v>0</v>
      </c>
      <c r="BV186" s="884">
        <v>104</v>
      </c>
      <c r="BW186" s="1004">
        <f ca="1">IFERROR((BU186/BV186),"-")</f>
        <v>0</v>
      </c>
      <c r="BX186" s="884">
        <v>0</v>
      </c>
      <c r="BY186" s="878" t="str">
        <f ca="1">IFERROR((BU186/BX186),"-")</f>
        <v>-</v>
      </c>
      <c r="BZ186" s="2"/>
      <c r="CA186" s="884">
        <v>1</v>
      </c>
      <c r="CB186" s="884">
        <v>0</v>
      </c>
      <c r="CC186" s="2"/>
      <c r="CD186" s="504">
        <f>IFERROR(AVERAGEIF($K$7:Q$7,"&lt;="&amp;$I$7,K186:Q186),0)</f>
        <v>0</v>
      </c>
      <c r="CE186" s="2"/>
      <c r="CH186" s="93" t="str">
        <f t="shared" si="385"/>
        <v>PG BSCC - KM 210+160</v>
      </c>
    </row>
    <row r="187" spans="1:86" s="16" customFormat="1" ht="15.95" hidden="1" customHeight="1" outlineLevel="2">
      <c r="A187" s="74"/>
      <c r="B187" s="1047"/>
      <c r="C187" s="1034"/>
      <c r="D187" s="2"/>
      <c r="E187" s="1024"/>
      <c r="F187" s="2"/>
      <c r="G187" s="50" t="s">
        <v>38</v>
      </c>
      <c r="H187" s="705">
        <f t="shared" si="439"/>
        <v>0</v>
      </c>
      <c r="I187" s="879"/>
      <c r="J187" s="2"/>
      <c r="K187" s="76"/>
      <c r="L187" s="76"/>
      <c r="M187" s="76"/>
      <c r="N187" s="76"/>
      <c r="O187" s="76"/>
      <c r="P187" s="76"/>
      <c r="Q187" s="706"/>
      <c r="R187" s="2"/>
      <c r="S187" s="705">
        <f ca="1">SUMIF($K$7:Q$7,"&lt;="&amp;$I$7,K187:P187)</f>
        <v>0</v>
      </c>
      <c r="T187" s="879"/>
      <c r="U187" s="2"/>
      <c r="V187" s="76"/>
      <c r="W187" s="76"/>
      <c r="X187" s="76"/>
      <c r="Y187" s="76"/>
      <c r="Z187" s="76"/>
      <c r="AA187" s="76"/>
      <c r="AB187" s="706"/>
      <c r="AC187" s="2"/>
      <c r="AD187" s="705">
        <f ca="1">SUMIF($V$7:AB$7,"&lt;="&amp;$I$7,V187:AA187)</f>
        <v>0</v>
      </c>
      <c r="AE187" s="879"/>
      <c r="AF187" s="2"/>
      <c r="AG187" s="76"/>
      <c r="AH187" s="76"/>
      <c r="AI187" s="76"/>
      <c r="AJ187" s="76"/>
      <c r="AK187" s="76"/>
      <c r="AL187" s="76"/>
      <c r="AM187" s="706"/>
      <c r="AN187" s="2"/>
      <c r="AO187" s="705">
        <f ca="1">SUMIF($AG$7:AM$7,"&lt;="&amp;$I$7,AG187:AL187)</f>
        <v>0</v>
      </c>
      <c r="AP187" s="879"/>
      <c r="AQ187" s="2"/>
      <c r="AR187" s="76"/>
      <c r="AS187" s="76"/>
      <c r="AT187" s="76"/>
      <c r="AU187" s="76"/>
      <c r="AV187" s="76"/>
      <c r="AW187" s="76"/>
      <c r="AX187" s="706"/>
      <c r="AY187" s="2"/>
      <c r="AZ187" s="705">
        <f ca="1">SUMIF($AR$7:AX$7,"&lt;="&amp;$I$7,AR187:AW187)</f>
        <v>0</v>
      </c>
      <c r="BA187" s="879"/>
      <c r="BB187" s="2"/>
      <c r="BC187" s="76"/>
      <c r="BD187" s="76"/>
      <c r="BE187" s="76"/>
      <c r="BF187" s="76"/>
      <c r="BG187" s="76"/>
      <c r="BH187" s="76"/>
      <c r="BI187" s="706"/>
      <c r="BJ187" s="2"/>
      <c r="BK187" s="705">
        <f ca="1">SUMIF($BC$7:BI$7,"&lt;="&amp;$I$7,BC187:BH187)</f>
        <v>0</v>
      </c>
      <c r="BL187" s="879"/>
      <c r="BM187" s="2"/>
      <c r="BN187" s="885"/>
      <c r="BO187" s="885"/>
      <c r="BP187" s="885"/>
      <c r="BQ187" s="879"/>
      <c r="BR187" s="2"/>
      <c r="BS187" s="885"/>
      <c r="BT187" s="885"/>
      <c r="BU187" s="885"/>
      <c r="BV187" s="885"/>
      <c r="BW187" s="1005"/>
      <c r="BX187" s="885"/>
      <c r="BY187" s="879"/>
      <c r="BZ187" s="2"/>
      <c r="CA187" s="885"/>
      <c r="CB187" s="885"/>
      <c r="CC187" s="2"/>
      <c r="CD187" s="504">
        <f>IFERROR(AVERAGEIF($K$7:Q$7,"&lt;="&amp;$I$7,K187:Q187),0)</f>
        <v>0</v>
      </c>
      <c r="CE187" s="2"/>
      <c r="CH187" s="93" t="str">
        <f t="shared" si="385"/>
        <v>PG BSCC - KM 210+160</v>
      </c>
    </row>
    <row r="188" spans="1:86" s="16" customFormat="1" ht="15.95" hidden="1" customHeight="1" outlineLevel="2">
      <c r="A188" s="74"/>
      <c r="B188" s="1046"/>
      <c r="C188" s="1014" t="s">
        <v>3936</v>
      </c>
      <c r="D188" s="2"/>
      <c r="E188" s="1004">
        <v>0</v>
      </c>
      <c r="F188" s="2"/>
      <c r="G188" s="49" t="s">
        <v>37</v>
      </c>
      <c r="H188" s="705">
        <f t="shared" si="439"/>
        <v>0</v>
      </c>
      <c r="I188" s="878" t="str">
        <f t="shared" ref="I188" si="456">IF(H188=0,IF(H189&gt;0,1,"-"),IFERROR(H189/H188,"-"))</f>
        <v>-</v>
      </c>
      <c r="J188" s="2"/>
      <c r="K188" s="705"/>
      <c r="L188" s="705"/>
      <c r="M188" s="705"/>
      <c r="N188" s="705"/>
      <c r="O188" s="705"/>
      <c r="P188" s="705"/>
      <c r="Q188" s="705"/>
      <c r="R188" s="2"/>
      <c r="S188" s="705">
        <f ca="1">SUMIF($K$7:Q$7,"&lt;="&amp;$I$7,K188:P188)</f>
        <v>0</v>
      </c>
      <c r="T188" s="878" t="str">
        <f ca="1">IFERROR((S189/S188),"-")</f>
        <v>-</v>
      </c>
      <c r="U188" s="2"/>
      <c r="V188" s="705"/>
      <c r="W188" s="705"/>
      <c r="X188" s="705"/>
      <c r="Y188" s="705"/>
      <c r="Z188" s="705"/>
      <c r="AA188" s="705"/>
      <c r="AB188" s="705"/>
      <c r="AC188" s="2"/>
      <c r="AD188" s="705">
        <f ca="1">SUMIF($V$7:AB$7,"&lt;="&amp;$I$7,V188:AA188)</f>
        <v>0</v>
      </c>
      <c r="AE188" s="878" t="str">
        <f ca="1">IFERROR((AD189/AD188),"-")</f>
        <v>-</v>
      </c>
      <c r="AF188" s="2"/>
      <c r="AG188" s="705"/>
      <c r="AH188" s="705"/>
      <c r="AI188" s="705"/>
      <c r="AJ188" s="705"/>
      <c r="AK188" s="705"/>
      <c r="AL188" s="705"/>
      <c r="AM188" s="705"/>
      <c r="AN188" s="2"/>
      <c r="AO188" s="705">
        <f ca="1">SUMIF($AG$7:AM$7,"&lt;="&amp;$I$7,AG188:AL188)</f>
        <v>0</v>
      </c>
      <c r="AP188" s="878" t="str">
        <f ca="1">IFERROR((AO189/AO188),"-")</f>
        <v>-</v>
      </c>
      <c r="AQ188" s="2"/>
      <c r="AR188" s="705"/>
      <c r="AS188" s="705"/>
      <c r="AT188" s="705"/>
      <c r="AU188" s="705"/>
      <c r="AV188" s="705"/>
      <c r="AW188" s="705"/>
      <c r="AX188" s="705"/>
      <c r="AY188" s="2"/>
      <c r="AZ188" s="705">
        <f ca="1">SUMIF($AR$7:AX$7,"&lt;="&amp;$I$7,AR188:AW188)</f>
        <v>0</v>
      </c>
      <c r="BA188" s="878" t="str">
        <f ca="1">IFERROR((AZ189/AZ188),"-")</f>
        <v>-</v>
      </c>
      <c r="BB188" s="2"/>
      <c r="BC188" s="705"/>
      <c r="BD188" s="705"/>
      <c r="BE188" s="705"/>
      <c r="BF188" s="705"/>
      <c r="BG188" s="705"/>
      <c r="BH188" s="705"/>
      <c r="BI188" s="705"/>
      <c r="BJ188" s="2"/>
      <c r="BK188" s="705">
        <f ca="1">SUMIF($BC$7:BI$7,"&lt;="&amp;$I$7,BC188:BH188)</f>
        <v>0</v>
      </c>
      <c r="BL188" s="878" t="str">
        <f ca="1">IFERROR((BK189/BK188),"-")</f>
        <v>-</v>
      </c>
      <c r="BM188" s="2"/>
      <c r="BN188" s="884">
        <v>0</v>
      </c>
      <c r="BO188" s="884">
        <v>0</v>
      </c>
      <c r="BP188" s="884">
        <f>SUM(M189:P189,V189:AB189,AG189:AM189,AR189:AX189,BC189:BI189)</f>
        <v>0</v>
      </c>
      <c r="BQ188" s="878" t="str">
        <f t="shared" ref="BQ188" si="457">IF(AND(BO188=0,BP188=0),"-",IF(BO188=0,1,BP188/BO188))</f>
        <v>-</v>
      </c>
      <c r="BR188" s="2"/>
      <c r="BS188" s="884"/>
      <c r="BT188" s="884"/>
      <c r="BU188" s="884">
        <f ca="1">E188+Q189+AD189+AO189+AZ189+BK189</f>
        <v>0</v>
      </c>
      <c r="BV188" s="884">
        <v>104</v>
      </c>
      <c r="BW188" s="1004">
        <f ca="1">IFERROR((BU188/BV188),"-")</f>
        <v>0</v>
      </c>
      <c r="BX188" s="884">
        <v>0</v>
      </c>
      <c r="BY188" s="878" t="str">
        <f ca="1">IFERROR((BU188/BX188),"-")</f>
        <v>-</v>
      </c>
      <c r="BZ188" s="2"/>
      <c r="CA188" s="884">
        <v>1</v>
      </c>
      <c r="CB188" s="884">
        <v>0</v>
      </c>
      <c r="CC188" s="2"/>
      <c r="CD188" s="504">
        <f>IFERROR(AVERAGEIF($K$7:Q$7,"&lt;="&amp;$I$7,K188:Q188),0)</f>
        <v>0</v>
      </c>
      <c r="CE188" s="2"/>
      <c r="CH188" s="93" t="str">
        <f t="shared" si="385"/>
        <v>PG BSCC - KM 210+160</v>
      </c>
    </row>
    <row r="189" spans="1:86" s="16" customFormat="1" ht="15.95" hidden="1" customHeight="1" outlineLevel="2">
      <c r="A189" s="74"/>
      <c r="B189" s="1047"/>
      <c r="C189" s="1034"/>
      <c r="D189" s="2"/>
      <c r="E189" s="1024"/>
      <c r="F189" s="2"/>
      <c r="G189" s="50" t="s">
        <v>38</v>
      </c>
      <c r="H189" s="705">
        <f t="shared" si="439"/>
        <v>0</v>
      </c>
      <c r="I189" s="879"/>
      <c r="J189" s="2"/>
      <c r="K189" s="76"/>
      <c r="L189" s="76"/>
      <c r="M189" s="76"/>
      <c r="N189" s="76"/>
      <c r="O189" s="76"/>
      <c r="P189" s="76"/>
      <c r="Q189" s="706"/>
      <c r="R189" s="2"/>
      <c r="S189" s="705">
        <f ca="1">SUMIF($K$7:Q$7,"&lt;="&amp;$I$7,K189:P189)</f>
        <v>0</v>
      </c>
      <c r="T189" s="879"/>
      <c r="U189" s="2"/>
      <c r="V189" s="76"/>
      <c r="W189" s="76"/>
      <c r="X189" s="76"/>
      <c r="Y189" s="76"/>
      <c r="Z189" s="76"/>
      <c r="AA189" s="76"/>
      <c r="AB189" s="706"/>
      <c r="AC189" s="2"/>
      <c r="AD189" s="705">
        <f ca="1">SUMIF($V$7:AB$7,"&lt;="&amp;$I$7,V189:AA189)</f>
        <v>0</v>
      </c>
      <c r="AE189" s="879"/>
      <c r="AF189" s="2"/>
      <c r="AG189" s="76"/>
      <c r="AH189" s="76"/>
      <c r="AI189" s="76"/>
      <c r="AJ189" s="76"/>
      <c r="AK189" s="76"/>
      <c r="AL189" s="76"/>
      <c r="AM189" s="706"/>
      <c r="AN189" s="2"/>
      <c r="AO189" s="705">
        <f ca="1">SUMIF($AG$7:AM$7,"&lt;="&amp;$I$7,AG189:AL189)</f>
        <v>0</v>
      </c>
      <c r="AP189" s="879"/>
      <c r="AQ189" s="2"/>
      <c r="AR189" s="76"/>
      <c r="AS189" s="76"/>
      <c r="AT189" s="76"/>
      <c r="AU189" s="76"/>
      <c r="AV189" s="76"/>
      <c r="AW189" s="76"/>
      <c r="AX189" s="706"/>
      <c r="AY189" s="2"/>
      <c r="AZ189" s="705">
        <f ca="1">SUMIF($AR$7:AX$7,"&lt;="&amp;$I$7,AR189:AW189)</f>
        <v>0</v>
      </c>
      <c r="BA189" s="879"/>
      <c r="BB189" s="2"/>
      <c r="BC189" s="76"/>
      <c r="BD189" s="76"/>
      <c r="BE189" s="76"/>
      <c r="BF189" s="76"/>
      <c r="BG189" s="76"/>
      <c r="BH189" s="76"/>
      <c r="BI189" s="706"/>
      <c r="BJ189" s="2"/>
      <c r="BK189" s="705">
        <f ca="1">SUMIF($BC$7:BI$7,"&lt;="&amp;$I$7,BC189:BH189)</f>
        <v>0</v>
      </c>
      <c r="BL189" s="879"/>
      <c r="BM189" s="2"/>
      <c r="BN189" s="885"/>
      <c r="BO189" s="885"/>
      <c r="BP189" s="885"/>
      <c r="BQ189" s="879"/>
      <c r="BR189" s="2"/>
      <c r="BS189" s="885"/>
      <c r="BT189" s="885"/>
      <c r="BU189" s="885"/>
      <c r="BV189" s="885"/>
      <c r="BW189" s="1005"/>
      <c r="BX189" s="885"/>
      <c r="BY189" s="879"/>
      <c r="BZ189" s="2"/>
      <c r="CA189" s="885"/>
      <c r="CB189" s="885"/>
      <c r="CC189" s="2"/>
      <c r="CD189" s="504">
        <f>IFERROR(AVERAGEIF($K$7:Q$7,"&lt;="&amp;$I$7,K189:Q189),0)</f>
        <v>0</v>
      </c>
      <c r="CE189" s="2"/>
      <c r="CH189" s="93" t="str">
        <f t="shared" si="385"/>
        <v>PG BSCC - KM 210+160</v>
      </c>
    </row>
    <row r="190" spans="1:86" s="16" customFormat="1" ht="15.95" hidden="1" customHeight="1" outlineLevel="2">
      <c r="A190" s="74"/>
      <c r="B190" s="1046"/>
      <c r="C190" s="1014" t="s">
        <v>3936</v>
      </c>
      <c r="D190" s="2"/>
      <c r="E190" s="1004">
        <v>0</v>
      </c>
      <c r="F190" s="2"/>
      <c r="G190" s="49" t="s">
        <v>37</v>
      </c>
      <c r="H190" s="705">
        <f t="shared" si="439"/>
        <v>0</v>
      </c>
      <c r="I190" s="878" t="str">
        <f t="shared" ref="I190" si="458">IF(H190=0,IF(H191&gt;0,1,"-"),IFERROR(H191/H190,"-"))</f>
        <v>-</v>
      </c>
      <c r="J190" s="2"/>
      <c r="K190" s="705"/>
      <c r="L190" s="705"/>
      <c r="M190" s="705"/>
      <c r="N190" s="705"/>
      <c r="O190" s="705"/>
      <c r="P190" s="705"/>
      <c r="Q190" s="705"/>
      <c r="R190" s="2"/>
      <c r="S190" s="705">
        <f ca="1">SUMIF($K$7:Q$7,"&lt;="&amp;$I$7,K190:P190)</f>
        <v>0</v>
      </c>
      <c r="T190" s="878" t="str">
        <f ca="1">IFERROR((S191/S190),"-")</f>
        <v>-</v>
      </c>
      <c r="U190" s="2"/>
      <c r="V190" s="705"/>
      <c r="W190" s="705"/>
      <c r="X190" s="705"/>
      <c r="Y190" s="705"/>
      <c r="Z190" s="705"/>
      <c r="AA190" s="705"/>
      <c r="AB190" s="705"/>
      <c r="AC190" s="2"/>
      <c r="AD190" s="705">
        <f ca="1">SUMIF($V$7:AB$7,"&lt;="&amp;$I$7,V190:AA190)</f>
        <v>0</v>
      </c>
      <c r="AE190" s="878" t="str">
        <f ca="1">IFERROR((AD191/AD190),"-")</f>
        <v>-</v>
      </c>
      <c r="AF190" s="2"/>
      <c r="AG190" s="705"/>
      <c r="AH190" s="705"/>
      <c r="AI190" s="705"/>
      <c r="AJ190" s="705"/>
      <c r="AK190" s="705"/>
      <c r="AL190" s="705"/>
      <c r="AM190" s="705"/>
      <c r="AN190" s="2"/>
      <c r="AO190" s="705">
        <f ca="1">SUMIF($AG$7:AM$7,"&lt;="&amp;$I$7,AG190:AL190)</f>
        <v>0</v>
      </c>
      <c r="AP190" s="878" t="str">
        <f ca="1">IFERROR((AO191/AO190),"-")</f>
        <v>-</v>
      </c>
      <c r="AQ190" s="2"/>
      <c r="AR190" s="705"/>
      <c r="AS190" s="705"/>
      <c r="AT190" s="705"/>
      <c r="AU190" s="705"/>
      <c r="AV190" s="705"/>
      <c r="AW190" s="705"/>
      <c r="AX190" s="705"/>
      <c r="AY190" s="2"/>
      <c r="AZ190" s="705">
        <f ca="1">SUMIF($AR$7:AX$7,"&lt;="&amp;$I$7,AR190:AW190)</f>
        <v>0</v>
      </c>
      <c r="BA190" s="878" t="str">
        <f ca="1">IFERROR((AZ191/AZ190),"-")</f>
        <v>-</v>
      </c>
      <c r="BB190" s="2"/>
      <c r="BC190" s="705"/>
      <c r="BD190" s="705"/>
      <c r="BE190" s="705"/>
      <c r="BF190" s="705"/>
      <c r="BG190" s="705"/>
      <c r="BH190" s="705"/>
      <c r="BI190" s="705"/>
      <c r="BJ190" s="2"/>
      <c r="BK190" s="705">
        <f ca="1">SUMIF($BC$7:BI$7,"&lt;="&amp;$I$7,BC190:BH190)</f>
        <v>0</v>
      </c>
      <c r="BL190" s="878" t="str">
        <f ca="1">IFERROR((BK191/BK190),"-")</f>
        <v>-</v>
      </c>
      <c r="BM190" s="2"/>
      <c r="BN190" s="884">
        <v>0</v>
      </c>
      <c r="BO190" s="884">
        <v>0</v>
      </c>
      <c r="BP190" s="884">
        <f>SUM(M191:P191,V191:AB191,AG191:AM191,AR191:AX191,BC191:BI191)</f>
        <v>0</v>
      </c>
      <c r="BQ190" s="878" t="str">
        <f t="shared" ref="BQ190" si="459">IF(AND(BO190=0,BP190=0),"-",IF(BO190=0,1,BP190/BO190))</f>
        <v>-</v>
      </c>
      <c r="BR190" s="2"/>
      <c r="BS190" s="884"/>
      <c r="BT190" s="884"/>
      <c r="BU190" s="884">
        <f ca="1">E190+Q191+AD191+AO191+AZ191+BK191</f>
        <v>0</v>
      </c>
      <c r="BV190" s="884">
        <v>104</v>
      </c>
      <c r="BW190" s="1004">
        <f ca="1">IFERROR((BU190/BV190),"-")</f>
        <v>0</v>
      </c>
      <c r="BX190" s="884">
        <v>0</v>
      </c>
      <c r="BY190" s="878" t="str">
        <f ca="1">IFERROR((BU190/BX190),"-")</f>
        <v>-</v>
      </c>
      <c r="BZ190" s="2"/>
      <c r="CA190" s="884">
        <v>1</v>
      </c>
      <c r="CB190" s="884">
        <v>0</v>
      </c>
      <c r="CC190" s="2"/>
      <c r="CD190" s="504">
        <f>IFERROR(AVERAGEIF($K$7:Q$7,"&lt;="&amp;$I$7,K190:Q190),0)</f>
        <v>0</v>
      </c>
      <c r="CE190" s="2"/>
      <c r="CH190" s="93" t="str">
        <f t="shared" si="385"/>
        <v>PG BSCC - KM 210+160</v>
      </c>
    </row>
    <row r="191" spans="1:86" s="16" customFormat="1" ht="15.95" hidden="1" customHeight="1" outlineLevel="1">
      <c r="A191" s="74"/>
      <c r="B191" s="1047"/>
      <c r="C191" s="1034"/>
      <c r="D191" s="2"/>
      <c r="E191" s="1024"/>
      <c r="F191" s="2"/>
      <c r="G191" s="50" t="s">
        <v>38</v>
      </c>
      <c r="H191" s="705">
        <f t="shared" si="439"/>
        <v>0</v>
      </c>
      <c r="I191" s="879"/>
      <c r="J191" s="2"/>
      <c r="K191" s="76"/>
      <c r="L191" s="76"/>
      <c r="M191" s="76"/>
      <c r="N191" s="76"/>
      <c r="O191" s="76"/>
      <c r="P191" s="76"/>
      <c r="Q191" s="706"/>
      <c r="R191" s="2"/>
      <c r="S191" s="705">
        <f ca="1">SUMIF($K$7:Q$7,"&lt;="&amp;$I$7,K191:P191)</f>
        <v>0</v>
      </c>
      <c r="T191" s="879"/>
      <c r="U191" s="2"/>
      <c r="V191" s="76"/>
      <c r="W191" s="76"/>
      <c r="X191" s="76"/>
      <c r="Y191" s="76"/>
      <c r="Z191" s="76"/>
      <c r="AA191" s="76"/>
      <c r="AB191" s="706"/>
      <c r="AC191" s="2"/>
      <c r="AD191" s="705">
        <f ca="1">SUMIF($V$7:AB$7,"&lt;="&amp;$I$7,V191:AA191)</f>
        <v>0</v>
      </c>
      <c r="AE191" s="879"/>
      <c r="AF191" s="2"/>
      <c r="AG191" s="76"/>
      <c r="AH191" s="76"/>
      <c r="AI191" s="76"/>
      <c r="AJ191" s="76"/>
      <c r="AK191" s="76"/>
      <c r="AL191" s="76"/>
      <c r="AM191" s="706"/>
      <c r="AN191" s="2"/>
      <c r="AO191" s="705">
        <f ca="1">SUMIF($AG$7:AM$7,"&lt;="&amp;$I$7,AG191:AL191)</f>
        <v>0</v>
      </c>
      <c r="AP191" s="879"/>
      <c r="AQ191" s="2"/>
      <c r="AR191" s="76"/>
      <c r="AS191" s="76"/>
      <c r="AT191" s="76"/>
      <c r="AU191" s="76"/>
      <c r="AV191" s="76"/>
      <c r="AW191" s="76"/>
      <c r="AX191" s="706"/>
      <c r="AY191" s="2"/>
      <c r="AZ191" s="705">
        <f ca="1">SUMIF($AR$7:AX$7,"&lt;="&amp;$I$7,AR191:AW191)</f>
        <v>0</v>
      </c>
      <c r="BA191" s="879"/>
      <c r="BB191" s="2"/>
      <c r="BC191" s="76"/>
      <c r="BD191" s="76"/>
      <c r="BE191" s="76"/>
      <c r="BF191" s="76"/>
      <c r="BG191" s="76"/>
      <c r="BH191" s="76"/>
      <c r="BI191" s="706"/>
      <c r="BJ191" s="2"/>
      <c r="BK191" s="705">
        <f ca="1">SUMIF($BC$7:BI$7,"&lt;="&amp;$I$7,BC191:BH191)</f>
        <v>0</v>
      </c>
      <c r="BL191" s="879"/>
      <c r="BM191" s="2"/>
      <c r="BN191" s="885"/>
      <c r="BO191" s="885"/>
      <c r="BP191" s="885"/>
      <c r="BQ191" s="879"/>
      <c r="BR191" s="2"/>
      <c r="BS191" s="885"/>
      <c r="BT191" s="885"/>
      <c r="BU191" s="885"/>
      <c r="BV191" s="885"/>
      <c r="BW191" s="1005"/>
      <c r="BX191" s="885"/>
      <c r="BY191" s="879"/>
      <c r="BZ191" s="2"/>
      <c r="CA191" s="885"/>
      <c r="CB191" s="885"/>
      <c r="CC191" s="2"/>
      <c r="CD191" s="504">
        <f>IFERROR(AVERAGEIF($K$7:Q$7,"&lt;="&amp;$I$7,K191:Q191),0)</f>
        <v>0</v>
      </c>
      <c r="CE191" s="2"/>
      <c r="CH191" s="93" t="str">
        <f t="shared" si="385"/>
        <v>PG BSCC - KM 210+160</v>
      </c>
    </row>
    <row r="192" spans="1:86" s="16" customFormat="1" ht="15.95" hidden="1" customHeight="1" outlineLevel="1">
      <c r="A192" s="73"/>
      <c r="B192" s="1081" t="s">
        <v>3938</v>
      </c>
      <c r="C192" s="1071" t="s">
        <v>3936</v>
      </c>
      <c r="D192" s="2"/>
      <c r="E192" s="1019">
        <v>1</v>
      </c>
      <c r="F192" s="2"/>
      <c r="G192" s="53" t="s">
        <v>37</v>
      </c>
      <c r="H192" s="52">
        <f t="shared" si="439"/>
        <v>0</v>
      </c>
      <c r="I192" s="743" t="str">
        <f t="shared" ref="I192" si="460">IF(H192=0,IF(H193&gt;0,1,"-"),IFERROR(H193/H192,"-"))</f>
        <v>-</v>
      </c>
      <c r="J192" s="2"/>
      <c r="K192" s="80">
        <f>K194</f>
        <v>0</v>
      </c>
      <c r="L192" s="80">
        <f t="shared" ref="L192:P193" si="461">L194</f>
        <v>0</v>
      </c>
      <c r="M192" s="80">
        <f t="shared" si="461"/>
        <v>0</v>
      </c>
      <c r="N192" s="80">
        <f t="shared" si="461"/>
        <v>0</v>
      </c>
      <c r="O192" s="80">
        <f t="shared" si="461"/>
        <v>0</v>
      </c>
      <c r="P192" s="80" t="s">
        <v>1434</v>
      </c>
      <c r="Q192" s="80"/>
      <c r="R192" s="2"/>
      <c r="S192" s="52">
        <f t="shared" ref="S192:S193" si="462">SUM(K192:P192)</f>
        <v>0</v>
      </c>
      <c r="T192" s="743" t="str">
        <f>IFERROR((S193/S192),"-")</f>
        <v>-</v>
      </c>
      <c r="U192" s="2"/>
      <c r="V192" s="80">
        <f>V194</f>
        <v>0</v>
      </c>
      <c r="W192" s="80">
        <f t="shared" ref="W192:AA193" si="463">W194</f>
        <v>0</v>
      </c>
      <c r="X192" s="80">
        <f t="shared" si="463"/>
        <v>0</v>
      </c>
      <c r="Y192" s="80">
        <f t="shared" si="463"/>
        <v>0</v>
      </c>
      <c r="Z192" s="80">
        <f t="shared" si="463"/>
        <v>0</v>
      </c>
      <c r="AA192" s="80">
        <f t="shared" si="463"/>
        <v>0</v>
      </c>
      <c r="AB192" s="80"/>
      <c r="AC192" s="2"/>
      <c r="AD192" s="52">
        <f>SUMIF($V$7:AB$7,"&lt;="&amp;$I$7,V192:AB192)</f>
        <v>0</v>
      </c>
      <c r="AE192" s="743" t="str">
        <f ca="1">IFERROR((AD193/AD192),"-")</f>
        <v>-</v>
      </c>
      <c r="AF192" s="2"/>
      <c r="AG192" s="80"/>
      <c r="AH192" s="80"/>
      <c r="AI192" s="80"/>
      <c r="AJ192" s="80"/>
      <c r="AK192" s="80"/>
      <c r="AL192" s="80"/>
      <c r="AM192" s="80"/>
      <c r="AN192" s="2"/>
      <c r="AO192" s="52">
        <f ca="1">SUMIF($AG$7:AM$7,"&lt;="&amp;$I$7,AG192:AL192)</f>
        <v>0</v>
      </c>
      <c r="AP192" s="743" t="str">
        <f ca="1">IFERROR((AO193/AO192),"-")</f>
        <v>-</v>
      </c>
      <c r="AQ192" s="2"/>
      <c r="AR192" s="80">
        <f>AR194</f>
        <v>0</v>
      </c>
      <c r="AS192" s="80">
        <f t="shared" ref="AS192:AW193" si="464">AS194</f>
        <v>0</v>
      </c>
      <c r="AT192" s="80">
        <f t="shared" si="464"/>
        <v>0</v>
      </c>
      <c r="AU192" s="80">
        <f t="shared" si="464"/>
        <v>0</v>
      </c>
      <c r="AV192" s="80">
        <f t="shared" si="464"/>
        <v>0</v>
      </c>
      <c r="AW192" s="80">
        <f t="shared" si="464"/>
        <v>0</v>
      </c>
      <c r="AX192" s="80"/>
      <c r="AY192" s="2"/>
      <c r="AZ192" s="52">
        <f ca="1">SUMIF($AR$7:AX$7,"&lt;="&amp;$I$7,AR192:AW192)</f>
        <v>0</v>
      </c>
      <c r="BA192" s="743" t="str">
        <f ca="1">IFERROR((AZ193/AZ192),"-")</f>
        <v>-</v>
      </c>
      <c r="BB192" s="2"/>
      <c r="BC192" s="80">
        <f>BC194</f>
        <v>0</v>
      </c>
      <c r="BD192" s="80">
        <f t="shared" ref="BD192:BH193" si="465">BD194</f>
        <v>0</v>
      </c>
      <c r="BE192" s="80">
        <f t="shared" si="465"/>
        <v>0</v>
      </c>
      <c r="BF192" s="80">
        <f t="shared" si="465"/>
        <v>0</v>
      </c>
      <c r="BG192" s="80">
        <f t="shared" si="465"/>
        <v>0</v>
      </c>
      <c r="BH192" s="80"/>
      <c r="BI192" s="80"/>
      <c r="BJ192" s="2"/>
      <c r="BK192" s="52">
        <f ca="1">SUMIF($BC$7:BI$7,"&lt;="&amp;$I$7,BC192:BH192)</f>
        <v>0</v>
      </c>
      <c r="BL192" s="743" t="str">
        <f ca="1">IFERROR((BK193/BK192),"-")</f>
        <v>-</v>
      </c>
      <c r="BM192" s="2"/>
      <c r="BN192" s="888">
        <v>0</v>
      </c>
      <c r="BO192" s="888">
        <v>0</v>
      </c>
      <c r="BP192" s="888">
        <f>SUM(BP194:BP199)</f>
        <v>1</v>
      </c>
      <c r="BQ192" s="743">
        <f t="shared" ref="BQ192" si="466">IF(AND(BO192=0,BP192=0),"-",IF(BO192=0,1,BP192/BO192))</f>
        <v>1</v>
      </c>
      <c r="BR192" s="2"/>
      <c r="BS192" s="888"/>
      <c r="BT192" s="888"/>
      <c r="BU192" s="888">
        <f ca="1">E192+S193+AD193+AO193+AZ193+BK193</f>
        <v>2</v>
      </c>
      <c r="BV192" s="888">
        <v>104</v>
      </c>
      <c r="BW192" s="1019">
        <f ca="1">IFERROR((BU192/BV192),"-")</f>
        <v>1.9230769230769232E-2</v>
      </c>
      <c r="BX192" s="888">
        <v>0</v>
      </c>
      <c r="BY192" s="743" t="str">
        <f ca="1">IFERROR((BU192/BX192),"-")</f>
        <v>-</v>
      </c>
      <c r="BZ192" s="2"/>
      <c r="CA192" s="888">
        <v>9</v>
      </c>
      <c r="CB192" s="888">
        <v>0</v>
      </c>
      <c r="CC192" s="2"/>
      <c r="CD192" s="52">
        <f>IFERROR(AVERAGEIF($K$7:Q$7,"&lt;="&amp;$I$7,K192:Q192),0)</f>
        <v>0</v>
      </c>
      <c r="CE192" s="2"/>
      <c r="CH192" s="93" t="str">
        <f t="shared" si="385"/>
        <v>PASSAGEM DE GADO - CONCRETAGEM DO BERÇO</v>
      </c>
    </row>
    <row r="193" spans="1:86" s="21" customFormat="1" ht="14.85" hidden="1" customHeight="1" outlineLevel="2">
      <c r="A193" s="74"/>
      <c r="B193" s="1082"/>
      <c r="C193" s="1072"/>
      <c r="D193" s="2"/>
      <c r="E193" s="1060"/>
      <c r="F193" s="2"/>
      <c r="G193" s="54" t="s">
        <v>38</v>
      </c>
      <c r="H193" s="52">
        <f t="shared" si="439"/>
        <v>0</v>
      </c>
      <c r="I193" s="744"/>
      <c r="J193" s="2"/>
      <c r="K193" s="75">
        <f>K195</f>
        <v>0</v>
      </c>
      <c r="L193" s="75">
        <f t="shared" si="461"/>
        <v>0</v>
      </c>
      <c r="M193" s="75">
        <f t="shared" si="461"/>
        <v>0</v>
      </c>
      <c r="N193" s="75">
        <f t="shared" si="461"/>
        <v>0</v>
      </c>
      <c r="O193" s="75">
        <f t="shared" si="461"/>
        <v>0</v>
      </c>
      <c r="P193" s="75">
        <f t="shared" si="461"/>
        <v>0</v>
      </c>
      <c r="Q193" s="52"/>
      <c r="R193" s="2"/>
      <c r="S193" s="52">
        <f t="shared" si="462"/>
        <v>0</v>
      </c>
      <c r="T193" s="744"/>
      <c r="U193" s="2"/>
      <c r="V193" s="52">
        <f>V195</f>
        <v>1</v>
      </c>
      <c r="W193" s="52">
        <f t="shared" si="463"/>
        <v>0</v>
      </c>
      <c r="X193" s="52">
        <f t="shared" si="463"/>
        <v>0</v>
      </c>
      <c r="Y193" s="52">
        <f t="shared" si="463"/>
        <v>0</v>
      </c>
      <c r="Z193" s="52">
        <f t="shared" si="463"/>
        <v>0</v>
      </c>
      <c r="AA193" s="52">
        <f t="shared" si="463"/>
        <v>0</v>
      </c>
      <c r="AB193" s="52"/>
      <c r="AC193" s="2"/>
      <c r="AD193" s="52">
        <f ca="1">SUMIF($K$7:AB$7,"&lt;="&amp;$I$7,V193:AB193)</f>
        <v>1</v>
      </c>
      <c r="AE193" s="744"/>
      <c r="AF193" s="2"/>
      <c r="AG193" s="75"/>
      <c r="AH193" s="75"/>
      <c r="AI193" s="75"/>
      <c r="AJ193" s="75"/>
      <c r="AK193" s="75"/>
      <c r="AL193" s="75"/>
      <c r="AM193" s="52"/>
      <c r="AN193" s="2"/>
      <c r="AO193" s="52">
        <f ca="1">SUMIF($AG$7:AM$7,"&lt;="&amp;$I$7,AG193:AL193)</f>
        <v>0</v>
      </c>
      <c r="AP193" s="744"/>
      <c r="AQ193" s="2"/>
      <c r="AR193" s="52">
        <f>AR195</f>
        <v>0</v>
      </c>
      <c r="AS193" s="52">
        <f t="shared" si="464"/>
        <v>0</v>
      </c>
      <c r="AT193" s="52">
        <f t="shared" si="464"/>
        <v>0</v>
      </c>
      <c r="AU193" s="52">
        <f t="shared" si="464"/>
        <v>0</v>
      </c>
      <c r="AV193" s="52">
        <f t="shared" si="464"/>
        <v>0</v>
      </c>
      <c r="AW193" s="52">
        <f t="shared" si="464"/>
        <v>0</v>
      </c>
      <c r="AX193" s="52"/>
      <c r="AY193" s="2"/>
      <c r="AZ193" s="52">
        <f ca="1">SUMIF($AR$7:AX$7,"&lt;="&amp;$I$7,AR193:AW193)</f>
        <v>0</v>
      </c>
      <c r="BA193" s="744"/>
      <c r="BB193" s="2"/>
      <c r="BC193" s="52">
        <f>BC195</f>
        <v>0</v>
      </c>
      <c r="BD193" s="52">
        <f t="shared" si="465"/>
        <v>0</v>
      </c>
      <c r="BE193" s="52">
        <f t="shared" si="465"/>
        <v>0</v>
      </c>
      <c r="BF193" s="52">
        <f t="shared" si="465"/>
        <v>0</v>
      </c>
      <c r="BG193" s="52">
        <f t="shared" si="465"/>
        <v>0</v>
      </c>
      <c r="BH193" s="52">
        <f t="shared" si="465"/>
        <v>0</v>
      </c>
      <c r="BI193" s="52"/>
      <c r="BJ193" s="2"/>
      <c r="BK193" s="52">
        <f ca="1">SUMIF($BC$7:BI$7,"&lt;="&amp;$I$7,BC193:BH193)</f>
        <v>0</v>
      </c>
      <c r="BL193" s="744"/>
      <c r="BM193" s="2"/>
      <c r="BN193" s="889"/>
      <c r="BO193" s="889"/>
      <c r="BP193" s="889"/>
      <c r="BQ193" s="744"/>
      <c r="BR193" s="2"/>
      <c r="BS193" s="889"/>
      <c r="BT193" s="889"/>
      <c r="BU193" s="889"/>
      <c r="BV193" s="889"/>
      <c r="BW193" s="1020"/>
      <c r="BX193" s="889"/>
      <c r="BY193" s="744"/>
      <c r="BZ193" s="2"/>
      <c r="CA193" s="889"/>
      <c r="CB193" s="889"/>
      <c r="CC193" s="2"/>
      <c r="CD193" s="52">
        <f>IFERROR(AVERAGEIF($K$7:Q$7,"&lt;="&amp;$I$7,K193:Q193),0)</f>
        <v>0</v>
      </c>
      <c r="CE193" s="2"/>
      <c r="CH193" s="93" t="str">
        <f t="shared" si="385"/>
        <v>PASSAGEM DE GADO - CONCRETAGEM DO BERÇO</v>
      </c>
    </row>
    <row r="194" spans="1:86" s="16" customFormat="1" ht="15.95" hidden="1" customHeight="1" outlineLevel="2">
      <c r="A194" s="74"/>
      <c r="B194" s="1046" t="s">
        <v>3939</v>
      </c>
      <c r="C194" s="1014" t="s">
        <v>3936</v>
      </c>
      <c r="D194" s="2"/>
      <c r="E194" s="1004">
        <v>0</v>
      </c>
      <c r="F194" s="2"/>
      <c r="G194" s="49" t="s">
        <v>37</v>
      </c>
      <c r="H194" s="705">
        <f t="shared" si="439"/>
        <v>0</v>
      </c>
      <c r="I194" s="878" t="str">
        <f t="shared" ref="I194" si="467">IF(H194=0,IF(H195&gt;0,1,"-"),IFERROR(H195/H194,"-"))</f>
        <v>-</v>
      </c>
      <c r="J194" s="2"/>
      <c r="K194" s="705"/>
      <c r="L194" s="705"/>
      <c r="M194" s="705"/>
      <c r="N194" s="705"/>
      <c r="O194" s="705"/>
      <c r="P194" s="705"/>
      <c r="Q194" s="705"/>
      <c r="R194" s="2"/>
      <c r="S194" s="705">
        <f ca="1">SUMIF($K$7:Q$7,"&lt;="&amp;$I$7,K194:P194)</f>
        <v>0</v>
      </c>
      <c r="T194" s="878" t="str">
        <f ca="1">IFERROR((S195/S194),"-")</f>
        <v>-</v>
      </c>
      <c r="U194" s="2"/>
      <c r="V194" s="705"/>
      <c r="W194" s="705"/>
      <c r="X194" s="705"/>
      <c r="Y194" s="705"/>
      <c r="Z194" s="705"/>
      <c r="AA194" s="705"/>
      <c r="AB194" s="705"/>
      <c r="AC194" s="2"/>
      <c r="AD194" s="705">
        <f ca="1">SUMIF($V$7:AB$7,"&lt;="&amp;$I$7,V194:AA194)</f>
        <v>0</v>
      </c>
      <c r="AE194" s="878" t="str">
        <f ca="1">IFERROR((AD195/AD194),"-")</f>
        <v>-</v>
      </c>
      <c r="AF194" s="2"/>
      <c r="AG194" s="705"/>
      <c r="AH194" s="705"/>
      <c r="AI194" s="705"/>
      <c r="AJ194" s="705"/>
      <c r="AK194" s="705"/>
      <c r="AL194" s="705"/>
      <c r="AM194" s="705"/>
      <c r="AN194" s="2"/>
      <c r="AO194" s="705">
        <f ca="1">SUMIF($AG$7:AM$7,"&lt;="&amp;$I$7,AG194:AL194)</f>
        <v>0</v>
      </c>
      <c r="AP194" s="878" t="str">
        <f ca="1">IFERROR((AO195/AO194),"-")</f>
        <v>-</v>
      </c>
      <c r="AQ194" s="2"/>
      <c r="AR194" s="705"/>
      <c r="AS194" s="705"/>
      <c r="AT194" s="705"/>
      <c r="AU194" s="705"/>
      <c r="AV194" s="705"/>
      <c r="AW194" s="705"/>
      <c r="AX194" s="705"/>
      <c r="AY194" s="2"/>
      <c r="AZ194" s="705">
        <f ca="1">SUMIF($AR$7:AX$7,"&lt;="&amp;$I$7,AR194:AW194)</f>
        <v>0</v>
      </c>
      <c r="BA194" s="878" t="str">
        <f ca="1">IFERROR((AZ195/AZ194),"-")</f>
        <v>-</v>
      </c>
      <c r="BB194" s="2"/>
      <c r="BC194" s="705"/>
      <c r="BD194" s="705"/>
      <c r="BE194" s="705"/>
      <c r="BF194" s="705"/>
      <c r="BG194" s="705"/>
      <c r="BH194" s="705"/>
      <c r="BI194" s="705"/>
      <c r="BJ194" s="2"/>
      <c r="BK194" s="705">
        <f ca="1">SUMIF($BC$7:BI$7,"&lt;="&amp;$I$7,BC194:BH194)</f>
        <v>0</v>
      </c>
      <c r="BL194" s="878" t="str">
        <f ca="1">IFERROR((BK195/BK194),"-")</f>
        <v>-</v>
      </c>
      <c r="BM194" s="2"/>
      <c r="BN194" s="884">
        <v>0</v>
      </c>
      <c r="BO194" s="884">
        <v>0</v>
      </c>
      <c r="BP194" s="884">
        <f>SUM(M195:P195,V195:AB195,AG195:AM195,AR195:AX195,BC195:BI195)</f>
        <v>1</v>
      </c>
      <c r="BQ194" s="878">
        <f t="shared" ref="BQ194" si="468">IF(AND(BO194=0,BP194=0),"-",IF(BO194=0,1,BP194/BO194))</f>
        <v>1</v>
      </c>
      <c r="BR194" s="2"/>
      <c r="BS194" s="884"/>
      <c r="BT194" s="884"/>
      <c r="BU194" s="884">
        <f ca="1">E194+Q195+AD195+AO195+AZ195+BK195</f>
        <v>1</v>
      </c>
      <c r="BV194" s="884">
        <v>104</v>
      </c>
      <c r="BW194" s="1004">
        <f ca="1">IFERROR((BU194/BV194),"-")</f>
        <v>9.6153846153846159E-3</v>
      </c>
      <c r="BX194" s="884">
        <v>0</v>
      </c>
      <c r="BY194" s="878" t="str">
        <f ca="1">IFERROR((BU194/BX194),"-")</f>
        <v>-</v>
      </c>
      <c r="BZ194" s="2"/>
      <c r="CA194" s="884">
        <v>1</v>
      </c>
      <c r="CB194" s="884">
        <v>0</v>
      </c>
      <c r="CC194" s="2"/>
      <c r="CD194" s="504">
        <f>IFERROR(AVERAGEIF($K$7:Q$7,"&lt;="&amp;$I$7,K194:Q194),0)</f>
        <v>0</v>
      </c>
      <c r="CE194" s="2"/>
      <c r="CH194" s="93" t="str">
        <f t="shared" si="385"/>
        <v>PF BSCC - KM 226+000 (parcial)</v>
      </c>
    </row>
    <row r="195" spans="1:86" s="16" customFormat="1" ht="15.95" hidden="1" customHeight="1" outlineLevel="2">
      <c r="A195" s="74"/>
      <c r="B195" s="1047"/>
      <c r="C195" s="1034"/>
      <c r="D195" s="2"/>
      <c r="E195" s="1024"/>
      <c r="F195" s="2"/>
      <c r="G195" s="50" t="s">
        <v>38</v>
      </c>
      <c r="H195" s="705">
        <f t="shared" si="439"/>
        <v>0</v>
      </c>
      <c r="I195" s="879"/>
      <c r="J195" s="2"/>
      <c r="K195" s="76"/>
      <c r="L195" s="76"/>
      <c r="M195" s="76"/>
      <c r="N195" s="76"/>
      <c r="O195" s="76"/>
      <c r="P195" s="76"/>
      <c r="Q195" s="706"/>
      <c r="R195" s="2"/>
      <c r="S195" s="705">
        <f ca="1">SUMIF($K$7:Q$7,"&lt;="&amp;$I$7,K195:P195)</f>
        <v>0</v>
      </c>
      <c r="T195" s="879"/>
      <c r="U195" s="2"/>
      <c r="V195" s="76">
        <v>1</v>
      </c>
      <c r="W195" s="76"/>
      <c r="X195" s="76"/>
      <c r="Y195" s="76"/>
      <c r="Z195" s="76"/>
      <c r="AA195" s="76"/>
      <c r="AB195" s="706"/>
      <c r="AC195" s="2"/>
      <c r="AD195" s="705">
        <f ca="1">SUMIF($V$7:AB$7,"&lt;="&amp;$I$7,V195:AA195)</f>
        <v>1</v>
      </c>
      <c r="AE195" s="879"/>
      <c r="AF195" s="2"/>
      <c r="AG195" s="76"/>
      <c r="AH195" s="76"/>
      <c r="AI195" s="76"/>
      <c r="AJ195" s="76"/>
      <c r="AK195" s="76"/>
      <c r="AL195" s="76"/>
      <c r="AM195" s="706"/>
      <c r="AN195" s="2"/>
      <c r="AO195" s="705">
        <f ca="1">SUMIF($AG$7:AM$7,"&lt;="&amp;$I$7,AG195:AL195)</f>
        <v>0</v>
      </c>
      <c r="AP195" s="879"/>
      <c r="AQ195" s="2"/>
      <c r="AR195" s="76"/>
      <c r="AS195" s="76"/>
      <c r="AT195" s="76"/>
      <c r="AU195" s="76"/>
      <c r="AV195" s="76"/>
      <c r="AW195" s="76"/>
      <c r="AX195" s="706"/>
      <c r="AY195" s="2"/>
      <c r="AZ195" s="705">
        <f ca="1">SUMIF($AR$7:AX$7,"&lt;="&amp;$I$7,AR195:AW195)</f>
        <v>0</v>
      </c>
      <c r="BA195" s="879"/>
      <c r="BB195" s="2"/>
      <c r="BC195" s="76"/>
      <c r="BD195" s="76"/>
      <c r="BE195" s="76"/>
      <c r="BF195" s="76"/>
      <c r="BG195" s="76"/>
      <c r="BH195" s="76"/>
      <c r="BI195" s="706"/>
      <c r="BJ195" s="2"/>
      <c r="BK195" s="705">
        <f ca="1">SUMIF($BC$7:BI$7,"&lt;="&amp;$I$7,BC195:BH195)</f>
        <v>0</v>
      </c>
      <c r="BL195" s="879"/>
      <c r="BM195" s="2"/>
      <c r="BN195" s="885"/>
      <c r="BO195" s="885"/>
      <c r="BP195" s="885"/>
      <c r="BQ195" s="879"/>
      <c r="BR195" s="2"/>
      <c r="BS195" s="885"/>
      <c r="BT195" s="885"/>
      <c r="BU195" s="885"/>
      <c r="BV195" s="885"/>
      <c r="BW195" s="1005"/>
      <c r="BX195" s="885"/>
      <c r="BY195" s="879"/>
      <c r="BZ195" s="2"/>
      <c r="CA195" s="885"/>
      <c r="CB195" s="885"/>
      <c r="CC195" s="2"/>
      <c r="CD195" s="504">
        <f>IFERROR(AVERAGEIF($K$7:Q$7,"&lt;="&amp;$I$7,K195:Q195),0)</f>
        <v>0</v>
      </c>
      <c r="CE195" s="2"/>
      <c r="CH195" s="93" t="str">
        <f t="shared" si="385"/>
        <v>PF BSCC - KM 226+000 (parcial)</v>
      </c>
    </row>
    <row r="196" spans="1:86" s="16" customFormat="1" ht="15.95" hidden="1" customHeight="1" outlineLevel="2">
      <c r="A196" s="74"/>
      <c r="B196" s="1046" t="s">
        <v>3940</v>
      </c>
      <c r="C196" s="1014" t="s">
        <v>3936</v>
      </c>
      <c r="D196" s="2"/>
      <c r="E196" s="1004">
        <v>0</v>
      </c>
      <c r="F196" s="2"/>
      <c r="G196" s="49" t="s">
        <v>37</v>
      </c>
      <c r="H196" s="705">
        <f t="shared" si="439"/>
        <v>0</v>
      </c>
      <c r="I196" s="878" t="str">
        <f t="shared" ref="I196" si="469">IF(H196=0,IF(H197&gt;0,1,"-"),IFERROR(H197/H196,"-"))</f>
        <v>-</v>
      </c>
      <c r="J196" s="2"/>
      <c r="K196" s="705"/>
      <c r="L196" s="705"/>
      <c r="M196" s="705"/>
      <c r="N196" s="705"/>
      <c r="O196" s="705"/>
      <c r="P196" s="705"/>
      <c r="Q196" s="705"/>
      <c r="R196" s="2"/>
      <c r="S196" s="705">
        <f ca="1">SUMIF($K$7:Q$7,"&lt;="&amp;$I$7,K196:P196)</f>
        <v>0</v>
      </c>
      <c r="T196" s="878" t="str">
        <f ca="1">IFERROR((S197/S196),"-")</f>
        <v>-</v>
      </c>
      <c r="U196" s="2"/>
      <c r="V196" s="260"/>
      <c r="W196" s="705"/>
      <c r="X196" s="705"/>
      <c r="Y196" s="705"/>
      <c r="Z196" s="705"/>
      <c r="AA196" s="705"/>
      <c r="AB196" s="705"/>
      <c r="AC196" s="2"/>
      <c r="AD196" s="705">
        <f ca="1">SUMIF($V$7:AB$7,"&lt;="&amp;$I$7,V196:AA196)</f>
        <v>0</v>
      </c>
      <c r="AE196" s="878" t="str">
        <f ca="1">IFERROR((AD197/AD196),"-")</f>
        <v>-</v>
      </c>
      <c r="AF196" s="2"/>
      <c r="AG196" s="705"/>
      <c r="AH196" s="705"/>
      <c r="AI196" s="705"/>
      <c r="AJ196" s="705"/>
      <c r="AK196" s="705"/>
      <c r="AL196" s="705"/>
      <c r="AM196" s="705"/>
      <c r="AN196" s="2"/>
      <c r="AO196" s="705">
        <f ca="1">SUMIF($AG$7:AM$7,"&lt;="&amp;$I$7,AG196:AL196)</f>
        <v>0</v>
      </c>
      <c r="AP196" s="878" t="str">
        <f ca="1">IFERROR((AO197/AO196),"-")</f>
        <v>-</v>
      </c>
      <c r="AQ196" s="2"/>
      <c r="AR196" s="705"/>
      <c r="AS196" s="705"/>
      <c r="AT196" s="705"/>
      <c r="AU196" s="705"/>
      <c r="AV196" s="705"/>
      <c r="AW196" s="705"/>
      <c r="AX196" s="705"/>
      <c r="AY196" s="2"/>
      <c r="AZ196" s="705">
        <f ca="1">SUMIF($AR$7:AX$7,"&lt;="&amp;$I$7,AR196:AW196)</f>
        <v>0</v>
      </c>
      <c r="BA196" s="878" t="str">
        <f ca="1">IFERROR((AZ197/AZ196),"-")</f>
        <v>-</v>
      </c>
      <c r="BB196" s="2"/>
      <c r="BC196" s="705"/>
      <c r="BD196" s="705"/>
      <c r="BE196" s="705"/>
      <c r="BF196" s="705"/>
      <c r="BG196" s="705"/>
      <c r="BH196" s="705"/>
      <c r="BI196" s="705"/>
      <c r="BJ196" s="2"/>
      <c r="BK196" s="705">
        <f ca="1">SUMIF($BC$7:BI$7,"&lt;="&amp;$I$7,BC196:BH196)</f>
        <v>0</v>
      </c>
      <c r="BL196" s="878" t="str">
        <f ca="1">IFERROR((BK197/BK196),"-")</f>
        <v>-</v>
      </c>
      <c r="BM196" s="2"/>
      <c r="BN196" s="884">
        <v>0</v>
      </c>
      <c r="BO196" s="884">
        <v>0</v>
      </c>
      <c r="BP196" s="884">
        <f>SUM(M197:P197,V197:AB197,AG197:AM197,AR197:AX197,BC197:BI197)</f>
        <v>0</v>
      </c>
      <c r="BQ196" s="878" t="str">
        <f t="shared" ref="BQ196" si="470">IF(AND(BO196=0,BP196=0),"-",IF(BO196=0,1,BP196/BO196))</f>
        <v>-</v>
      </c>
      <c r="BR196" s="2"/>
      <c r="BS196" s="884"/>
      <c r="BT196" s="884"/>
      <c r="BU196" s="884">
        <f ca="1">E196+Q197+AD197+AO197+AZ197+BK197</f>
        <v>0</v>
      </c>
      <c r="BV196" s="884">
        <v>104</v>
      </c>
      <c r="BW196" s="1004">
        <f ca="1">IFERROR((BU196/BV196),"-")</f>
        <v>0</v>
      </c>
      <c r="BX196" s="884">
        <v>0</v>
      </c>
      <c r="BY196" s="878" t="str">
        <f ca="1">IFERROR((BU196/BX196),"-")</f>
        <v>-</v>
      </c>
      <c r="BZ196" s="2"/>
      <c r="CA196" s="884">
        <v>1</v>
      </c>
      <c r="CB196" s="884">
        <v>0</v>
      </c>
      <c r="CC196" s="2"/>
      <c r="CD196" s="504">
        <f>IFERROR(AVERAGEIF($K$7:Q$7,"&lt;="&amp;$I$7,K196:Q196),0)</f>
        <v>0</v>
      </c>
      <c r="CE196" s="2"/>
      <c r="CH196" s="93" t="str">
        <f t="shared" si="385"/>
        <v>PF BSCC - KM 225+080 (parcial)</v>
      </c>
    </row>
    <row r="197" spans="1:86" s="16" customFormat="1" ht="15.95" hidden="1" customHeight="1" outlineLevel="2">
      <c r="A197" s="74"/>
      <c r="B197" s="1047"/>
      <c r="C197" s="1034"/>
      <c r="D197" s="2"/>
      <c r="E197" s="1024"/>
      <c r="F197" s="2"/>
      <c r="G197" s="50" t="s">
        <v>38</v>
      </c>
      <c r="H197" s="705">
        <f t="shared" si="439"/>
        <v>0</v>
      </c>
      <c r="I197" s="879"/>
      <c r="J197" s="2"/>
      <c r="K197" s="76"/>
      <c r="L197" s="76"/>
      <c r="M197" s="76"/>
      <c r="N197" s="76"/>
      <c r="O197" s="76"/>
      <c r="P197" s="77"/>
      <c r="Q197" s="252"/>
      <c r="R197" s="253"/>
      <c r="S197" s="254">
        <f ca="1">SUMIF($K$7:Q$7,"&lt;="&amp;$I$7,K197:P197)</f>
        <v>0</v>
      </c>
      <c r="T197" s="879"/>
      <c r="U197" s="2"/>
      <c r="V197" s="76"/>
      <c r="W197" s="76"/>
      <c r="X197" s="76"/>
      <c r="Y197" s="76"/>
      <c r="Z197" s="76"/>
      <c r="AA197" s="76"/>
      <c r="AB197" s="706"/>
      <c r="AC197" s="2"/>
      <c r="AD197" s="705">
        <f ca="1">SUMIF($V$7:AB$7,"&lt;="&amp;$I$7,V197:AA197)</f>
        <v>0</v>
      </c>
      <c r="AE197" s="879"/>
      <c r="AF197" s="2"/>
      <c r="AG197" s="76"/>
      <c r="AH197" s="76"/>
      <c r="AI197" s="76"/>
      <c r="AJ197" s="76"/>
      <c r="AK197" s="76"/>
      <c r="AL197" s="76"/>
      <c r="AM197" s="706"/>
      <c r="AN197" s="2"/>
      <c r="AO197" s="705">
        <f ca="1">SUMIF($AG$7:AM$7,"&lt;="&amp;$I$7,AG197:AL197)</f>
        <v>0</v>
      </c>
      <c r="AP197" s="879"/>
      <c r="AQ197" s="2"/>
      <c r="AR197" s="76"/>
      <c r="AS197" s="76"/>
      <c r="AT197" s="76"/>
      <c r="AU197" s="76"/>
      <c r="AV197" s="76"/>
      <c r="AW197" s="76"/>
      <c r="AX197" s="706"/>
      <c r="AY197" s="2"/>
      <c r="AZ197" s="705">
        <f ca="1">SUMIF($AR$7:AX$7,"&lt;="&amp;$I$7,AR197:AW197)</f>
        <v>0</v>
      </c>
      <c r="BA197" s="879"/>
      <c r="BB197" s="2"/>
      <c r="BC197" s="76"/>
      <c r="BD197" s="76"/>
      <c r="BE197" s="76"/>
      <c r="BF197" s="76"/>
      <c r="BG197" s="76"/>
      <c r="BH197" s="76"/>
      <c r="BI197" s="706"/>
      <c r="BJ197" s="2"/>
      <c r="BK197" s="705">
        <f ca="1">SUMIF($BC$7:BI$7,"&lt;="&amp;$I$7,BC197:BH197)</f>
        <v>0</v>
      </c>
      <c r="BL197" s="879"/>
      <c r="BM197" s="2"/>
      <c r="BN197" s="885"/>
      <c r="BO197" s="885"/>
      <c r="BP197" s="885"/>
      <c r="BQ197" s="879"/>
      <c r="BR197" s="2"/>
      <c r="BS197" s="885"/>
      <c r="BT197" s="885"/>
      <c r="BU197" s="885"/>
      <c r="BV197" s="885"/>
      <c r="BW197" s="1005"/>
      <c r="BX197" s="885"/>
      <c r="BY197" s="879"/>
      <c r="BZ197" s="2"/>
      <c r="CA197" s="885"/>
      <c r="CB197" s="885"/>
      <c r="CC197" s="2"/>
      <c r="CD197" s="504">
        <f>IFERROR(AVERAGEIF($K$7:Q$7,"&lt;="&amp;$I$7,K197:Q197),0)</f>
        <v>0</v>
      </c>
      <c r="CE197" s="2"/>
      <c r="CH197" s="93" t="str">
        <f t="shared" si="385"/>
        <v>PF BSCC - KM 225+080 (parcial)</v>
      </c>
    </row>
    <row r="198" spans="1:86" s="16" customFormat="1" ht="15.95" hidden="1" customHeight="1" outlineLevel="2">
      <c r="A198" s="74"/>
      <c r="B198" s="1046" t="s">
        <v>3937</v>
      </c>
      <c r="C198" s="1014" t="s">
        <v>3936</v>
      </c>
      <c r="D198" s="2"/>
      <c r="E198" s="1004">
        <v>0</v>
      </c>
      <c r="F198" s="2"/>
      <c r="G198" s="49" t="s">
        <v>37</v>
      </c>
      <c r="H198" s="705">
        <f t="shared" si="439"/>
        <v>0</v>
      </c>
      <c r="I198" s="878" t="str">
        <f t="shared" ref="I198" si="471">IF(H198=0,IF(H199&gt;0,1,"-"),IFERROR(H199/H198,"-"))</f>
        <v>-</v>
      </c>
      <c r="J198" s="2"/>
      <c r="K198" s="705"/>
      <c r="L198" s="705"/>
      <c r="M198" s="705"/>
      <c r="N198" s="705"/>
      <c r="O198" s="705"/>
      <c r="P198" s="705" t="s">
        <v>1434</v>
      </c>
      <c r="Q198" s="705"/>
      <c r="R198" s="2"/>
      <c r="S198" s="705">
        <f ca="1">SUMIF($K$7:Q$7,"&lt;="&amp;$I$7,K198:P198)</f>
        <v>0</v>
      </c>
      <c r="T198" s="878" t="str">
        <f ca="1">IFERROR((S199/S198),"-")</f>
        <v>-</v>
      </c>
      <c r="U198" s="2"/>
      <c r="V198" s="705"/>
      <c r="W198" s="705"/>
      <c r="X198" s="705" t="s">
        <v>1434</v>
      </c>
      <c r="Y198" s="705">
        <v>1</v>
      </c>
      <c r="Z198" s="705"/>
      <c r="AA198" s="705"/>
      <c r="AB198" s="705"/>
      <c r="AC198" s="2"/>
      <c r="AD198" s="705">
        <f ca="1">SUMIF($V$7:AB$7,"&lt;="&amp;$I$7,V198:AA198)</f>
        <v>1</v>
      </c>
      <c r="AE198" s="878">
        <f ca="1">IFERROR((AD199/AD198),"-")</f>
        <v>0</v>
      </c>
      <c r="AF198" s="2"/>
      <c r="AG198" s="705"/>
      <c r="AH198" s="705"/>
      <c r="AI198" s="705"/>
      <c r="AJ198" s="705"/>
      <c r="AK198" s="705"/>
      <c r="AL198" s="705"/>
      <c r="AM198" s="705"/>
      <c r="AN198" s="2"/>
      <c r="AO198" s="705">
        <f ca="1">SUMIF($AG$7:AM$7,"&lt;="&amp;$I$7,AG198:AL198)</f>
        <v>0</v>
      </c>
      <c r="AP198" s="878" t="str">
        <f ca="1">IFERROR((AO199/AO198),"-")</f>
        <v>-</v>
      </c>
      <c r="AQ198" s="2"/>
      <c r="AR198" s="705"/>
      <c r="AS198" s="705"/>
      <c r="AT198" s="705"/>
      <c r="AU198" s="705"/>
      <c r="AV198" s="705"/>
      <c r="AW198" s="705"/>
      <c r="AX198" s="705"/>
      <c r="AY198" s="2"/>
      <c r="AZ198" s="705">
        <f ca="1">SUMIF($AR$7:AX$7,"&lt;="&amp;$I$7,AR198:AW198)</f>
        <v>0</v>
      </c>
      <c r="BA198" s="878" t="str">
        <f ca="1">IFERROR((AZ199/AZ198),"-")</f>
        <v>-</v>
      </c>
      <c r="BB198" s="2"/>
      <c r="BC198" s="705"/>
      <c r="BD198" s="705"/>
      <c r="BE198" s="705"/>
      <c r="BF198" s="705"/>
      <c r="BG198" s="705"/>
      <c r="BH198" s="705"/>
      <c r="BI198" s="705"/>
      <c r="BJ198" s="2"/>
      <c r="BK198" s="705">
        <f ca="1">SUMIF($BC$7:BI$7,"&lt;="&amp;$I$7,BC198:BH198)</f>
        <v>0</v>
      </c>
      <c r="BL198" s="878" t="str">
        <f ca="1">IFERROR((BK199/BK198),"-")</f>
        <v>-</v>
      </c>
      <c r="BM198" s="2"/>
      <c r="BN198" s="884">
        <v>0</v>
      </c>
      <c r="BO198" s="884">
        <v>0</v>
      </c>
      <c r="BP198" s="884">
        <f>SUM(M199:P199,V199:AB199,AG199:AM199,AR199:AX199,BC199:BI199)</f>
        <v>0</v>
      </c>
      <c r="BQ198" s="878" t="str">
        <f t="shared" ref="BQ198" si="472">IF(AND(BO198=0,BP198=0),"-",IF(BO198=0,1,BP198/BO198))</f>
        <v>-</v>
      </c>
      <c r="BR198" s="2"/>
      <c r="BS198" s="884"/>
      <c r="BT198" s="884"/>
      <c r="BU198" s="884">
        <f ca="1">E198+Q199+AD199+AO199+AZ199+BK199</f>
        <v>0</v>
      </c>
      <c r="BV198" s="884">
        <v>104</v>
      </c>
      <c r="BW198" s="1004">
        <f ca="1">IFERROR((BU198/BV198),"-")</f>
        <v>0</v>
      </c>
      <c r="BX198" s="884">
        <v>0</v>
      </c>
      <c r="BY198" s="878" t="str">
        <f ca="1">IFERROR((BU198/BX198),"-")</f>
        <v>-</v>
      </c>
      <c r="BZ198" s="2"/>
      <c r="CA198" s="884">
        <v>1</v>
      </c>
      <c r="CB198" s="884">
        <v>0</v>
      </c>
      <c r="CC198" s="2"/>
      <c r="CD198" s="504">
        <f>IFERROR(AVERAGEIF($K$7:Q$7,"&lt;="&amp;$I$7,K198:Q198),0)</f>
        <v>0</v>
      </c>
      <c r="CE198" s="2"/>
      <c r="CH198" s="93" t="str">
        <f t="shared" si="385"/>
        <v>PG BSCC - KM 210+160</v>
      </c>
    </row>
    <row r="199" spans="1:86" s="16" customFormat="1" ht="15.95" hidden="1" customHeight="1" outlineLevel="1">
      <c r="A199" s="74"/>
      <c r="B199" s="1047"/>
      <c r="C199" s="1034"/>
      <c r="D199" s="2"/>
      <c r="E199" s="1024"/>
      <c r="F199" s="2"/>
      <c r="G199" s="50" t="s">
        <v>38</v>
      </c>
      <c r="H199" s="705">
        <f t="shared" si="439"/>
        <v>0</v>
      </c>
      <c r="I199" s="879"/>
      <c r="J199" s="2"/>
      <c r="K199" s="76"/>
      <c r="L199" s="76"/>
      <c r="M199" s="76"/>
      <c r="N199" s="76"/>
      <c r="O199" s="76"/>
      <c r="P199" s="76"/>
      <c r="Q199" s="706"/>
      <c r="R199" s="2"/>
      <c r="S199" s="705">
        <f ca="1">SUMIF($K$7:Q$7,"&lt;="&amp;$I$7,K199:P199)</f>
        <v>0</v>
      </c>
      <c r="T199" s="879"/>
      <c r="U199" s="2"/>
      <c r="V199" s="76"/>
      <c r="W199" s="76"/>
      <c r="X199" s="76" t="s">
        <v>1434</v>
      </c>
      <c r="Y199" s="76"/>
      <c r="Z199" s="76"/>
      <c r="AA199" s="76"/>
      <c r="AB199" s="706"/>
      <c r="AC199" s="2"/>
      <c r="AD199" s="705">
        <f ca="1">SUMIF($V$7:AB$7,"&lt;="&amp;$I$7,V199:AA199)</f>
        <v>0</v>
      </c>
      <c r="AE199" s="879"/>
      <c r="AF199" s="2"/>
      <c r="AG199" s="76"/>
      <c r="AH199" s="76"/>
      <c r="AI199" s="76"/>
      <c r="AJ199" s="76"/>
      <c r="AK199" s="76"/>
      <c r="AL199" s="76"/>
      <c r="AM199" s="706"/>
      <c r="AN199" s="2"/>
      <c r="AO199" s="705">
        <f ca="1">SUMIF($AG$7:AM$7,"&lt;="&amp;$I$7,AG199:AL199)</f>
        <v>0</v>
      </c>
      <c r="AP199" s="879"/>
      <c r="AQ199" s="2"/>
      <c r="AR199" s="76"/>
      <c r="AS199" s="76"/>
      <c r="AT199" s="76"/>
      <c r="AU199" s="76"/>
      <c r="AV199" s="76"/>
      <c r="AW199" s="76"/>
      <c r="AX199" s="706"/>
      <c r="AY199" s="2"/>
      <c r="AZ199" s="705">
        <f ca="1">SUMIF($AR$7:AX$7,"&lt;="&amp;$I$7,AR199:AW199)</f>
        <v>0</v>
      </c>
      <c r="BA199" s="879"/>
      <c r="BB199" s="2"/>
      <c r="BC199" s="76"/>
      <c r="BD199" s="76"/>
      <c r="BE199" s="76"/>
      <c r="BF199" s="76"/>
      <c r="BG199" s="76"/>
      <c r="BH199" s="76"/>
      <c r="BI199" s="706"/>
      <c r="BJ199" s="2"/>
      <c r="BK199" s="705">
        <f ca="1">SUMIF($BC$7:BI$7,"&lt;="&amp;$I$7,BC199:BH199)</f>
        <v>0</v>
      </c>
      <c r="BL199" s="879"/>
      <c r="BM199" s="2"/>
      <c r="BN199" s="885"/>
      <c r="BO199" s="885"/>
      <c r="BP199" s="885"/>
      <c r="BQ199" s="879"/>
      <c r="BR199" s="2"/>
      <c r="BS199" s="885"/>
      <c r="BT199" s="885"/>
      <c r="BU199" s="885"/>
      <c r="BV199" s="885"/>
      <c r="BW199" s="1005"/>
      <c r="BX199" s="885"/>
      <c r="BY199" s="879"/>
      <c r="BZ199" s="2"/>
      <c r="CA199" s="885"/>
      <c r="CB199" s="885"/>
      <c r="CC199" s="2"/>
      <c r="CD199" s="504">
        <f>IFERROR(AVERAGEIF($K$7:Q$7,"&lt;="&amp;$I$7,K199:Q199),0)</f>
        <v>0</v>
      </c>
      <c r="CE199" s="2"/>
      <c r="CH199" s="93" t="str">
        <f t="shared" si="385"/>
        <v>PG BSCC - KM 210+160</v>
      </c>
    </row>
    <row r="200" spans="1:86" s="16" customFormat="1" ht="14.65" hidden="1" customHeight="1" outlineLevel="1">
      <c r="A200" s="73"/>
      <c r="B200" s="1081" t="s">
        <v>3941</v>
      </c>
      <c r="C200" s="1071" t="s">
        <v>1437</v>
      </c>
      <c r="D200" s="2"/>
      <c r="E200" s="1019">
        <v>121</v>
      </c>
      <c r="F200" s="2"/>
      <c r="G200" s="53" t="s">
        <v>37</v>
      </c>
      <c r="H200" s="52">
        <f t="shared" si="439"/>
        <v>4</v>
      </c>
      <c r="I200" s="743">
        <f t="shared" ref="I200" si="473">IF(H200=0,IF(H201&gt;0,1,"-"),IFERROR(H201/H200,"-"))</f>
        <v>0</v>
      </c>
      <c r="J200" s="2"/>
      <c r="K200" s="52">
        <f>SUMIF($G$202:$G$203,$G$200,K202:K203)</f>
        <v>0</v>
      </c>
      <c r="L200" s="52">
        <f t="shared" ref="L200:P200" si="474">SUMIF($G$202:$G$203,$G$200,L202:L203)</f>
        <v>0</v>
      </c>
      <c r="M200" s="52">
        <f t="shared" si="474"/>
        <v>0</v>
      </c>
      <c r="N200" s="52">
        <f t="shared" si="474"/>
        <v>0</v>
      </c>
      <c r="O200" s="52">
        <f t="shared" si="474"/>
        <v>14</v>
      </c>
      <c r="P200" s="52">
        <f t="shared" si="474"/>
        <v>0</v>
      </c>
      <c r="Q200" s="80"/>
      <c r="R200" s="2"/>
      <c r="S200" s="52">
        <f>SUM(K200:P200)</f>
        <v>14</v>
      </c>
      <c r="T200" s="743">
        <f>IFERROR((S201/S200),"-")</f>
        <v>0</v>
      </c>
      <c r="U200" s="2"/>
      <c r="V200" s="52">
        <f>SUMIF($G$202:$G$209,$G$200,V202:V209)</f>
        <v>0</v>
      </c>
      <c r="W200" s="52">
        <f t="shared" ref="W200:AA200" si="475">SUMIF($G$202:$G$209,$G$200,W202:W209)</f>
        <v>0</v>
      </c>
      <c r="X200" s="52">
        <f t="shared" si="475"/>
        <v>0</v>
      </c>
      <c r="Y200" s="52">
        <f t="shared" si="475"/>
        <v>0</v>
      </c>
      <c r="Z200" s="52">
        <f t="shared" si="475"/>
        <v>9</v>
      </c>
      <c r="AA200" s="52">
        <f t="shared" si="475"/>
        <v>0</v>
      </c>
      <c r="AB200" s="52">
        <f t="shared" ref="AB200" si="476">SUMIF($G$202:$G$203,$G$200,AB202:AB209)</f>
        <v>0</v>
      </c>
      <c r="AC200" s="2"/>
      <c r="AD200" s="52">
        <f>SUMIF($V$7:AB$7,"&lt;="&amp;$I$7,V200:AB200)</f>
        <v>9</v>
      </c>
      <c r="AE200" s="743">
        <f ca="1">IFERROR((AD201/AD200),"-")</f>
        <v>0.33333333333333331</v>
      </c>
      <c r="AF200" s="2"/>
      <c r="AG200" s="52">
        <f t="shared" ref="AG200:AL200" si="477">SUMIF($G$202:$G$209,$G$200,AG202:AG209)</f>
        <v>2</v>
      </c>
      <c r="AH200" s="52">
        <f t="shared" si="477"/>
        <v>4</v>
      </c>
      <c r="AI200" s="52">
        <f t="shared" si="477"/>
        <v>0</v>
      </c>
      <c r="AJ200" s="52">
        <f t="shared" si="477"/>
        <v>0</v>
      </c>
      <c r="AK200" s="52">
        <f t="shared" si="477"/>
        <v>0</v>
      </c>
      <c r="AL200" s="52">
        <f t="shared" si="477"/>
        <v>0</v>
      </c>
      <c r="AM200" s="52">
        <f t="shared" ref="AM200" si="478">SUMIF($G$202:$G$205,$G$200,AM202:AM205)</f>
        <v>0</v>
      </c>
      <c r="AN200" s="2"/>
      <c r="AO200" s="52">
        <f ca="1">SUMIF($AG$7:AM$7,"&lt;="&amp;$I$7,AG200:AL200)</f>
        <v>6</v>
      </c>
      <c r="AP200" s="743">
        <f ca="1">IFERROR((AO201/AO200),"-")</f>
        <v>0</v>
      </c>
      <c r="AQ200" s="2"/>
      <c r="AR200" s="52">
        <f>SUMIF($G$202:$G$209,$G$200,AR202:AR209)</f>
        <v>0</v>
      </c>
      <c r="AS200" s="52">
        <f t="shared" ref="AS200:AX200" si="479">SUMIF($G$202:$G$209,$G$200,AS202:AS209)</f>
        <v>0</v>
      </c>
      <c r="AT200" s="52">
        <f t="shared" si="479"/>
        <v>0</v>
      </c>
      <c r="AU200" s="52">
        <f t="shared" si="479"/>
        <v>0</v>
      </c>
      <c r="AV200" s="52">
        <f t="shared" si="479"/>
        <v>0</v>
      </c>
      <c r="AW200" s="52">
        <f>SUMIF($G$202:$G$209,$G$200,AW202:AW209)</f>
        <v>0</v>
      </c>
      <c r="AX200" s="52">
        <f t="shared" si="479"/>
        <v>0</v>
      </c>
      <c r="AY200" s="2"/>
      <c r="AZ200" s="52">
        <f ca="1">SUMIF($AR$7:AX$7,"&lt;="&amp;$I$7,AR200:AW200)</f>
        <v>0</v>
      </c>
      <c r="BA200" s="743" t="str">
        <f ca="1">IFERROR((AZ201/AZ200),"-")</f>
        <v>-</v>
      </c>
      <c r="BB200" s="2"/>
      <c r="BC200" s="52">
        <f>SUMIF($G$202:$G$209,$G$200,BC202:BC209)</f>
        <v>0</v>
      </c>
      <c r="BD200" s="52">
        <f t="shared" ref="BD200:BG200" si="480">SUMIF($G$202:$G$209,$G$200,BD202:BD209)</f>
        <v>0</v>
      </c>
      <c r="BE200" s="52">
        <f t="shared" si="480"/>
        <v>0</v>
      </c>
      <c r="BF200" s="52">
        <f t="shared" si="480"/>
        <v>0</v>
      </c>
      <c r="BG200" s="52">
        <f t="shared" si="480"/>
        <v>0</v>
      </c>
      <c r="BH200" s="52">
        <f>SUMIF($G$202:$G$209,$G$200,BH202:BH209)</f>
        <v>0</v>
      </c>
      <c r="BI200" s="52">
        <f t="shared" ref="BI200" si="481">SUMIF($G$202:$G$209,$G$200,BI202:BI209)</f>
        <v>0</v>
      </c>
      <c r="BJ200" s="2"/>
      <c r="BK200" s="52">
        <f ca="1">SUMIF($BC$7:BI$7,"&lt;="&amp;$I$7,BC200:BH200)</f>
        <v>0</v>
      </c>
      <c r="BL200" s="743" t="str">
        <f ca="1">IFERROR((BK201/BK200),"-")</f>
        <v>-</v>
      </c>
      <c r="BM200" s="2"/>
      <c r="BN200" s="888">
        <v>0</v>
      </c>
      <c r="BO200" s="888">
        <v>0</v>
      </c>
      <c r="BP200" s="888">
        <f>SUM(BP202:BP209)</f>
        <v>3</v>
      </c>
      <c r="BQ200" s="743">
        <f t="shared" ref="BQ200" si="482">IF(AND(BO200=0,BP200=0),"-",IF(BO200=0,1,BP200/BO200))</f>
        <v>1</v>
      </c>
      <c r="BR200" s="2"/>
      <c r="BS200" s="888"/>
      <c r="BT200" s="888"/>
      <c r="BU200" s="888">
        <f ca="1">E200+S201+AD201+AO201+AZ201+BK201</f>
        <v>124</v>
      </c>
      <c r="BV200" s="888">
        <v>104</v>
      </c>
      <c r="BW200" s="1019">
        <f ca="1">IFERROR((BU200/BV200),"-")</f>
        <v>1.1923076923076923</v>
      </c>
      <c r="BX200" s="888">
        <v>0</v>
      </c>
      <c r="BY200" s="743" t="str">
        <f ca="1">IFERROR((BU200/BX200),"-")</f>
        <v>-</v>
      </c>
      <c r="BZ200" s="2"/>
      <c r="CA200" s="888">
        <v>130</v>
      </c>
      <c r="CB200" s="888">
        <v>0</v>
      </c>
      <c r="CC200" s="2"/>
      <c r="CD200" s="52">
        <f>IFERROR(AVERAGEIF($K$7:Q$7,"&lt;="&amp;$I$7,K200:Q200),0)</f>
        <v>2.3333333333333335</v>
      </c>
      <c r="CE200" s="2"/>
      <c r="CH200" s="93" t="str">
        <f t="shared" si="385"/>
        <v>PASSAGEM DE GADO - ASSENTAMENTO DE ADUELAS</v>
      </c>
    </row>
    <row r="201" spans="1:86" s="16" customFormat="1" ht="15.95" hidden="1" customHeight="1" outlineLevel="2">
      <c r="A201" s="74"/>
      <c r="B201" s="1082"/>
      <c r="C201" s="1072"/>
      <c r="D201" s="2"/>
      <c r="E201" s="1060"/>
      <c r="F201" s="2"/>
      <c r="G201" s="54" t="s">
        <v>38</v>
      </c>
      <c r="H201" s="52">
        <f t="shared" si="439"/>
        <v>0</v>
      </c>
      <c r="I201" s="744"/>
      <c r="J201" s="2"/>
      <c r="K201" s="52">
        <f>SUMIF($G$202:$G$203,$G$201,K202:K203)</f>
        <v>0</v>
      </c>
      <c r="L201" s="52">
        <f t="shared" ref="L201:P201" si="483">SUMIF($G$202:$G$203,$G$201,L202:L203)</f>
        <v>0</v>
      </c>
      <c r="M201" s="52">
        <f t="shared" si="483"/>
        <v>0</v>
      </c>
      <c r="N201" s="52">
        <f t="shared" si="483"/>
        <v>0</v>
      </c>
      <c r="O201" s="52">
        <f t="shared" si="483"/>
        <v>0</v>
      </c>
      <c r="P201" s="52">
        <f t="shared" si="483"/>
        <v>0</v>
      </c>
      <c r="Q201" s="75">
        <f t="shared" ref="Q201" si="484">SUMIF($H$202:$H$203,$G$203,Q202:Q203)</f>
        <v>0</v>
      </c>
      <c r="R201" s="2"/>
      <c r="S201" s="52">
        <f t="shared" ref="S201" si="485">SUM(K201:P201)</f>
        <v>0</v>
      </c>
      <c r="T201" s="744"/>
      <c r="U201" s="2"/>
      <c r="V201" s="82">
        <f>SUMIF($G$202:$G$209,$G$201,V202:V209)</f>
        <v>0</v>
      </c>
      <c r="W201" s="82">
        <f t="shared" ref="W201:AA201" si="486">SUMIF($G$202:$G$209,$G$201,W202:W209)</f>
        <v>0</v>
      </c>
      <c r="X201" s="82">
        <f t="shared" si="486"/>
        <v>0</v>
      </c>
      <c r="Y201" s="82">
        <f t="shared" si="486"/>
        <v>0</v>
      </c>
      <c r="Z201" s="82">
        <f t="shared" si="486"/>
        <v>3</v>
      </c>
      <c r="AA201" s="82">
        <f t="shared" si="486"/>
        <v>0</v>
      </c>
      <c r="AB201" s="82">
        <f t="shared" ref="AB201" si="487">SUMIF($G$202:$G$203,$G$201,AB202:AB209)</f>
        <v>0</v>
      </c>
      <c r="AC201" s="2"/>
      <c r="AD201" s="52">
        <f ca="1">SUMIF($K$7:AB$7,"&lt;="&amp;$I$7,V201:AB201)</f>
        <v>3</v>
      </c>
      <c r="AE201" s="744"/>
      <c r="AF201" s="2"/>
      <c r="AG201" s="82">
        <f t="shared" ref="AG201:AL201" si="488">SUMIF($G$202:$G$209,$G$201,AG202:AG209)</f>
        <v>0</v>
      </c>
      <c r="AH201" s="82">
        <f t="shared" si="488"/>
        <v>0</v>
      </c>
      <c r="AI201" s="82">
        <f t="shared" si="488"/>
        <v>0</v>
      </c>
      <c r="AJ201" s="82">
        <f t="shared" si="488"/>
        <v>0</v>
      </c>
      <c r="AK201" s="82">
        <f t="shared" si="488"/>
        <v>0</v>
      </c>
      <c r="AL201" s="82">
        <f t="shared" si="488"/>
        <v>0</v>
      </c>
      <c r="AM201" s="75">
        <f t="shared" ref="AM201" si="489">SUMIF($H$202:$H$203,$G$203,AM202:AM203)</f>
        <v>0</v>
      </c>
      <c r="AN201" s="2"/>
      <c r="AO201" s="52">
        <f ca="1">SUMIF($AG$7:AM$7,"&lt;="&amp;$I$7,AG201:AL201)</f>
        <v>0</v>
      </c>
      <c r="AP201" s="744"/>
      <c r="AQ201" s="2"/>
      <c r="AR201" s="52">
        <f>SUMIF($G$202:$G$209,$G$201,AR202:AR209)</f>
        <v>0</v>
      </c>
      <c r="AS201" s="52">
        <f t="shared" ref="AS201:AX201" si="490">SUMIF($G$202:$G$209,$G$201,AS202:AS209)</f>
        <v>0</v>
      </c>
      <c r="AT201" s="52">
        <f t="shared" si="490"/>
        <v>0</v>
      </c>
      <c r="AU201" s="52">
        <f t="shared" si="490"/>
        <v>0</v>
      </c>
      <c r="AV201" s="52">
        <f t="shared" si="490"/>
        <v>0</v>
      </c>
      <c r="AW201" s="52">
        <f t="shared" si="490"/>
        <v>0</v>
      </c>
      <c r="AX201" s="52">
        <f t="shared" si="490"/>
        <v>0</v>
      </c>
      <c r="AY201" s="2"/>
      <c r="AZ201" s="52">
        <f ca="1">SUMIF($AR$7:AX$7,"&lt;="&amp;$I$7,AR201:AW201)</f>
        <v>0</v>
      </c>
      <c r="BA201" s="744"/>
      <c r="BB201" s="2"/>
      <c r="BC201" s="52">
        <f>SUMIF($G$202:$G$209,$G$201,BC202:BC209)</f>
        <v>0</v>
      </c>
      <c r="BD201" s="52">
        <f t="shared" ref="BD201:BI201" si="491">SUMIF($G$202:$G$209,$G$201,BD202:BD209)</f>
        <v>0</v>
      </c>
      <c r="BE201" s="52">
        <f t="shared" si="491"/>
        <v>0</v>
      </c>
      <c r="BF201" s="52">
        <f t="shared" si="491"/>
        <v>0</v>
      </c>
      <c r="BG201" s="52">
        <f t="shared" si="491"/>
        <v>0</v>
      </c>
      <c r="BH201" s="52">
        <f t="shared" si="491"/>
        <v>0</v>
      </c>
      <c r="BI201" s="52">
        <f t="shared" si="491"/>
        <v>0</v>
      </c>
      <c r="BJ201" s="2"/>
      <c r="BK201" s="52">
        <f ca="1">SUMIF($BC$7:BI$7,"&lt;="&amp;$I$7,BC201:BH201)</f>
        <v>0</v>
      </c>
      <c r="BL201" s="744"/>
      <c r="BM201" s="2"/>
      <c r="BN201" s="889"/>
      <c r="BO201" s="889"/>
      <c r="BP201" s="889"/>
      <c r="BQ201" s="744"/>
      <c r="BR201" s="2"/>
      <c r="BS201" s="889"/>
      <c r="BT201" s="889"/>
      <c r="BU201" s="889"/>
      <c r="BV201" s="889"/>
      <c r="BW201" s="1020"/>
      <c r="BX201" s="889"/>
      <c r="BY201" s="744"/>
      <c r="BZ201" s="2"/>
      <c r="CA201" s="889"/>
      <c r="CB201" s="889"/>
      <c r="CC201" s="2"/>
      <c r="CD201" s="52">
        <f>IFERROR(AVERAGEIF($K$7:Q$7,"&lt;="&amp;$I$7,K201:Q201),0)</f>
        <v>0</v>
      </c>
      <c r="CE201" s="2"/>
      <c r="CH201" s="93" t="str">
        <f t="shared" ref="CH201:CH229" si="492">IF(B201&lt;&gt;"",B201,CH200)</f>
        <v>PASSAGEM DE GADO - ASSENTAMENTO DE ADUELAS</v>
      </c>
    </row>
    <row r="202" spans="1:86" s="16" customFormat="1" ht="15.95" hidden="1" customHeight="1" outlineLevel="2">
      <c r="A202" s="74" t="s">
        <v>3942</v>
      </c>
      <c r="B202" s="1046" t="s">
        <v>3943</v>
      </c>
      <c r="C202" s="1014" t="s">
        <v>1437</v>
      </c>
      <c r="D202" s="2"/>
      <c r="E202" s="1004">
        <v>21</v>
      </c>
      <c r="F202" s="2"/>
      <c r="G202" s="49" t="s">
        <v>37</v>
      </c>
      <c r="H202" s="705">
        <f t="shared" si="439"/>
        <v>0</v>
      </c>
      <c r="I202" s="878" t="str">
        <f t="shared" ref="I202" si="493">IF(H202=0,IF(H203&gt;0,1,"-"),IFERROR(H203/H202,"-"))</f>
        <v>-</v>
      </c>
      <c r="J202" s="2"/>
      <c r="K202" s="705"/>
      <c r="L202" s="705"/>
      <c r="M202" s="705"/>
      <c r="N202" s="705"/>
      <c r="O202" s="705">
        <v>14</v>
      </c>
      <c r="P202" s="705"/>
      <c r="Q202" s="705"/>
      <c r="R202" s="2"/>
      <c r="S202" s="705">
        <f ca="1">SUMIF($K$7:Q$7,"&lt;="&amp;$I$7,K202:P202)</f>
        <v>14</v>
      </c>
      <c r="T202" s="878">
        <f ca="1">IFERROR((S203/S202),"-")</f>
        <v>0</v>
      </c>
      <c r="U202" s="2"/>
      <c r="V202" s="705"/>
      <c r="W202" s="705"/>
      <c r="X202" s="705"/>
      <c r="Y202" s="705"/>
      <c r="Z202" s="705"/>
      <c r="AA202" s="705"/>
      <c r="AB202" s="705"/>
      <c r="AC202" s="2"/>
      <c r="AD202" s="705">
        <f ca="1">SUMIF($V$7:AB$7,"&lt;="&amp;$I$7,V202:AA202)</f>
        <v>0</v>
      </c>
      <c r="AE202" s="878" t="str">
        <f ca="1">IFERROR((AD203/AD202),"-")</f>
        <v>-</v>
      </c>
      <c r="AF202" s="2"/>
      <c r="AG202" s="705"/>
      <c r="AH202" s="705"/>
      <c r="AI202" s="705"/>
      <c r="AJ202" s="705"/>
      <c r="AK202" s="705"/>
      <c r="AL202" s="705"/>
      <c r="AM202" s="705"/>
      <c r="AN202" s="2"/>
      <c r="AO202" s="705">
        <f ca="1">SUMIF($AG$7:AM$8,"&lt;="&amp;$I$7,AG202:AL202)</f>
        <v>0</v>
      </c>
      <c r="AP202" s="878" t="str">
        <f ca="1">IFERROR((AO203/AO202),"-")</f>
        <v>-</v>
      </c>
      <c r="AQ202" s="2"/>
      <c r="AR202" s="705"/>
      <c r="AS202" s="705"/>
      <c r="AT202" s="705"/>
      <c r="AU202" s="705"/>
      <c r="AV202" s="705"/>
      <c r="AW202" s="705"/>
      <c r="AX202" s="705"/>
      <c r="AY202" s="2"/>
      <c r="AZ202" s="705">
        <f ca="1">SUMIF($AR$7:AX$7,"&lt;="&amp;$I$7,AR202:AW202)</f>
        <v>0</v>
      </c>
      <c r="BA202" s="878" t="str">
        <f ca="1">IFERROR((AZ203/AZ202),"-")</f>
        <v>-</v>
      </c>
      <c r="BB202" s="2"/>
      <c r="BC202" s="705"/>
      <c r="BD202" s="705"/>
      <c r="BE202" s="705"/>
      <c r="BF202" s="705"/>
      <c r="BG202" s="705"/>
      <c r="BH202" s="705"/>
      <c r="BI202" s="705"/>
      <c r="BJ202" s="2"/>
      <c r="BK202" s="705">
        <f ca="1">SUMIF($BC$7:BI$7,"&lt;="&amp;$I$7,BC202:BH202)</f>
        <v>0</v>
      </c>
      <c r="BL202" s="878" t="str">
        <f ca="1">IFERROR((BK203/BK202),"-")</f>
        <v>-</v>
      </c>
      <c r="BM202" s="2"/>
      <c r="BN202" s="884">
        <v>0</v>
      </c>
      <c r="BO202" s="884">
        <v>0</v>
      </c>
      <c r="BP202" s="884">
        <f>SUM(M203:P203,V203:AB203,AG203:AM203,AR203:AX203,BC203:BI203)</f>
        <v>0</v>
      </c>
      <c r="BQ202" s="878" t="str">
        <f t="shared" ref="BQ202" si="494">IF(AND(BO202=0,BP202=0),"-",IF(BO202=0,1,BP202/BO202))</f>
        <v>-</v>
      </c>
      <c r="BR202" s="2"/>
      <c r="BS202" s="884"/>
      <c r="BT202" s="884"/>
      <c r="BU202" s="884">
        <f ca="1">E202+Q203+AD203+AO203+AZ203+BK203</f>
        <v>21</v>
      </c>
      <c r="BV202" s="704">
        <v>104</v>
      </c>
      <c r="BW202" s="716">
        <f ca="1">IFERROR((BU202/BV202),"-")</f>
        <v>0.20192307692307693</v>
      </c>
      <c r="BX202" s="884">
        <v>0</v>
      </c>
      <c r="BY202" s="878" t="str">
        <f ca="1">IFERROR((BU202/BX202),"-")</f>
        <v>-</v>
      </c>
      <c r="BZ202" s="2"/>
      <c r="CA202" s="884">
        <v>10</v>
      </c>
      <c r="CB202" s="884">
        <v>0</v>
      </c>
      <c r="CC202" s="2"/>
      <c r="CD202" s="504">
        <f>IFERROR(AVERAGEIF($K$7:Q$7,"&lt;="&amp;$I$7,K202:Q202),0)</f>
        <v>14</v>
      </c>
      <c r="CE202" s="2"/>
      <c r="CH202" s="93" t="str">
        <f t="shared" si="492"/>
        <v>PF BSCC - KM 226+000</v>
      </c>
    </row>
    <row r="203" spans="1:86" s="21" customFormat="1" ht="15.95" hidden="1" customHeight="1" outlineLevel="2">
      <c r="A203" s="74"/>
      <c r="B203" s="1047"/>
      <c r="C203" s="1034"/>
      <c r="D203" s="2"/>
      <c r="E203" s="1024"/>
      <c r="F203" s="2"/>
      <c r="G203" s="50" t="s">
        <v>38</v>
      </c>
      <c r="H203" s="705">
        <f t="shared" si="439"/>
        <v>0</v>
      </c>
      <c r="I203" s="879"/>
      <c r="J203" s="2"/>
      <c r="K203" s="76"/>
      <c r="L203" s="76"/>
      <c r="M203" s="76"/>
      <c r="N203" s="76"/>
      <c r="O203" s="76"/>
      <c r="P203" s="76"/>
      <c r="Q203" s="706"/>
      <c r="R203" s="2"/>
      <c r="S203" s="705">
        <f ca="1">SUMIF($K$7:Q$7,"&lt;="&amp;$I$7,K203:P203)</f>
        <v>0</v>
      </c>
      <c r="T203" s="879"/>
      <c r="U203" s="2"/>
      <c r="V203" s="76"/>
      <c r="W203" s="76"/>
      <c r="X203" s="76"/>
      <c r="Y203" s="76"/>
      <c r="Z203" s="76"/>
      <c r="AA203" s="76"/>
      <c r="AB203" s="706"/>
      <c r="AC203" s="2"/>
      <c r="AD203" s="705">
        <f ca="1">SUMIF($V$7:AB$7,"&lt;="&amp;$I$7,V203:AA203)</f>
        <v>0</v>
      </c>
      <c r="AE203" s="879"/>
      <c r="AF203" s="2"/>
      <c r="AG203" s="76"/>
      <c r="AH203" s="76"/>
      <c r="AI203" s="76"/>
      <c r="AJ203" s="76"/>
      <c r="AK203" s="76"/>
      <c r="AL203" s="76"/>
      <c r="AM203" s="706"/>
      <c r="AN203" s="2"/>
      <c r="AO203" s="705">
        <f ca="1">SUMIF($AG$7:AM$7,"&lt;="&amp;$I$7,AG203:AL203)</f>
        <v>0</v>
      </c>
      <c r="AP203" s="879"/>
      <c r="AQ203" s="2"/>
      <c r="AR203" s="76"/>
      <c r="AS203" s="76"/>
      <c r="AT203" s="76"/>
      <c r="AU203" s="76"/>
      <c r="AV203" s="76"/>
      <c r="AW203" s="76"/>
      <c r="AX203" s="706"/>
      <c r="AY203" s="2"/>
      <c r="AZ203" s="705">
        <f ca="1">SUMIF($AR$7:AX$7,"&lt;="&amp;$I$7,AR203:AW203)</f>
        <v>0</v>
      </c>
      <c r="BA203" s="879"/>
      <c r="BB203" s="2"/>
      <c r="BC203" s="76"/>
      <c r="BD203" s="76"/>
      <c r="BE203" s="76"/>
      <c r="BF203" s="76"/>
      <c r="BG203" s="76"/>
      <c r="BH203" s="76"/>
      <c r="BI203" s="706"/>
      <c r="BJ203" s="2"/>
      <c r="BK203" s="705">
        <f ca="1">SUMIF($BC$7:BI$7,"&lt;="&amp;$I$7,BC203:BH203)</f>
        <v>0</v>
      </c>
      <c r="BL203" s="879"/>
      <c r="BM203" s="2"/>
      <c r="BN203" s="885"/>
      <c r="BO203" s="885"/>
      <c r="BP203" s="885"/>
      <c r="BQ203" s="879"/>
      <c r="BR203" s="2"/>
      <c r="BS203" s="885"/>
      <c r="BT203" s="885"/>
      <c r="BU203" s="885"/>
      <c r="BV203" s="704"/>
      <c r="BW203" s="716"/>
      <c r="BX203" s="885"/>
      <c r="BY203" s="879"/>
      <c r="BZ203" s="2"/>
      <c r="CA203" s="885"/>
      <c r="CB203" s="885"/>
      <c r="CC203" s="2"/>
      <c r="CD203" s="504">
        <f>IFERROR(AVERAGEIF($K$7:Q$7,"&lt;="&amp;$I$7,K203:Q203),0)</f>
        <v>0</v>
      </c>
      <c r="CE203" s="2"/>
      <c r="CH203" s="93" t="str">
        <f t="shared" si="492"/>
        <v>PF BSCC - KM 226+000</v>
      </c>
    </row>
    <row r="204" spans="1:86" s="16" customFormat="1" ht="15.95" hidden="1" customHeight="1" outlineLevel="2">
      <c r="A204" s="74"/>
      <c r="B204" s="1046" t="s">
        <v>3944</v>
      </c>
      <c r="C204" s="1014" t="s">
        <v>1437</v>
      </c>
      <c r="D204" s="2"/>
      <c r="E204" s="1004">
        <v>19</v>
      </c>
      <c r="F204" s="2"/>
      <c r="G204" s="49" t="s">
        <v>37</v>
      </c>
      <c r="H204" s="705">
        <f t="shared" si="439"/>
        <v>0</v>
      </c>
      <c r="I204" s="878" t="str">
        <f t="shared" ref="I204" si="495">IF(H204=0,IF(H205&gt;0,1,"-"),IFERROR(H205/H204,"-"))</f>
        <v>-</v>
      </c>
      <c r="J204" s="2"/>
      <c r="K204" s="705"/>
      <c r="L204" s="705"/>
      <c r="M204" s="705"/>
      <c r="N204" s="705"/>
      <c r="O204" s="705"/>
      <c r="P204" s="705"/>
      <c r="Q204" s="705"/>
      <c r="R204" s="2"/>
      <c r="S204" s="705">
        <f ca="1">SUMIF($K$7:Q$7,"&lt;="&amp;$I$7,K204:P204)</f>
        <v>0</v>
      </c>
      <c r="T204" s="878" t="str">
        <f ca="1">IFERROR((S205/S204),"-")</f>
        <v>-</v>
      </c>
      <c r="U204" s="2"/>
      <c r="V204" s="705"/>
      <c r="W204" s="705"/>
      <c r="X204" s="705"/>
      <c r="Y204" s="705"/>
      <c r="Z204" s="705">
        <v>9</v>
      </c>
      <c r="AA204" s="705"/>
      <c r="AB204" s="705"/>
      <c r="AC204" s="2"/>
      <c r="AD204" s="705">
        <f ca="1">SUMIF($V$7:AB$7,"&lt;="&amp;$I$7,V204:AA204)</f>
        <v>9</v>
      </c>
      <c r="AE204" s="878">
        <f ca="1">IFERROR((AD205/AD204),"-")</f>
        <v>0</v>
      </c>
      <c r="AF204" s="2"/>
      <c r="AG204" s="705"/>
      <c r="AH204" s="705"/>
      <c r="AI204" s="705"/>
      <c r="AJ204" s="705"/>
      <c r="AK204" s="705"/>
      <c r="AL204" s="705"/>
      <c r="AM204" s="705"/>
      <c r="AN204" s="2"/>
      <c r="AO204" s="705">
        <f ca="1">SUMIF($AG$7:AM$8,"&lt;="&amp;$I$7,AG204:AL204)</f>
        <v>0</v>
      </c>
      <c r="AP204" s="878" t="str">
        <f ca="1">IFERROR((AO205/AO204),"-")</f>
        <v>-</v>
      </c>
      <c r="AQ204" s="2"/>
      <c r="AR204" s="705"/>
      <c r="AS204" s="705"/>
      <c r="AT204" s="705"/>
      <c r="AU204" s="705"/>
      <c r="AV204" s="705"/>
      <c r="AW204" s="705"/>
      <c r="AX204" s="705"/>
      <c r="AY204" s="2"/>
      <c r="AZ204" s="705">
        <f ca="1">SUMIF($AR$7:AX$7,"&lt;="&amp;$I$7,AR204:AW204)</f>
        <v>0</v>
      </c>
      <c r="BA204" s="878" t="str">
        <f ca="1">IFERROR((AZ205/AZ204),"-")</f>
        <v>-</v>
      </c>
      <c r="BB204" s="2"/>
      <c r="BC204" s="705"/>
      <c r="BD204" s="705"/>
      <c r="BE204" s="705"/>
      <c r="BF204" s="705"/>
      <c r="BG204" s="705"/>
      <c r="BH204" s="705"/>
      <c r="BI204" s="705"/>
      <c r="BJ204" s="2"/>
      <c r="BK204" s="705">
        <f ca="1">SUMIF($BC$7:BI$7,"&lt;="&amp;$I$7,BC204:BH204)</f>
        <v>0</v>
      </c>
      <c r="BL204" s="878" t="str">
        <f ca="1">IFERROR((BK205/BK204),"-")</f>
        <v>-</v>
      </c>
      <c r="BM204" s="2"/>
      <c r="BN204" s="884">
        <v>0</v>
      </c>
      <c r="BO204" s="884">
        <v>0</v>
      </c>
      <c r="BP204" s="884">
        <f>SUM(M205:P205,V205:AB205,AG205:AM205,AR205:AX205,BC205:BI205)</f>
        <v>0</v>
      </c>
      <c r="BQ204" s="878" t="str">
        <f t="shared" ref="BQ204" si="496">IF(AND(BO204=0,BP204=0),"-",IF(BO204=0,1,BP204/BO204))</f>
        <v>-</v>
      </c>
      <c r="BR204" s="2"/>
      <c r="BS204" s="884"/>
      <c r="BT204" s="884"/>
      <c r="BU204" s="884">
        <f ca="1">E204+Q205+AD205+AO205+AZ205+BK205</f>
        <v>19</v>
      </c>
      <c r="BV204" s="704">
        <v>104</v>
      </c>
      <c r="BW204" s="716">
        <f ca="1">IFERROR((BU204/BV204),"-")</f>
        <v>0.18269230769230768</v>
      </c>
      <c r="BX204" s="884">
        <v>0</v>
      </c>
      <c r="BY204" s="878" t="str">
        <f ca="1">IFERROR((BU204/BX204),"-")</f>
        <v>-</v>
      </c>
      <c r="BZ204" s="2"/>
      <c r="CA204" s="884">
        <v>10</v>
      </c>
      <c r="CB204" s="884">
        <v>0</v>
      </c>
      <c r="CC204" s="2"/>
      <c r="CD204" s="504">
        <f>IFERROR(AVERAGEIF($K$7:Q$7,"&lt;="&amp;$I$7,K204:Q204),0)</f>
        <v>0</v>
      </c>
      <c r="CE204" s="2"/>
      <c r="CH204" s="93" t="str">
        <f t="shared" si="492"/>
        <v>PF BSCC - KM 225+080</v>
      </c>
    </row>
    <row r="205" spans="1:86" s="16" customFormat="1" ht="15.95" hidden="1" customHeight="1" outlineLevel="2">
      <c r="A205" s="74"/>
      <c r="B205" s="1047"/>
      <c r="C205" s="1034"/>
      <c r="D205" s="2"/>
      <c r="E205" s="1024"/>
      <c r="F205" s="2"/>
      <c r="G205" s="50" t="s">
        <v>38</v>
      </c>
      <c r="H205" s="705">
        <f t="shared" si="439"/>
        <v>0</v>
      </c>
      <c r="I205" s="879"/>
      <c r="J205" s="2"/>
      <c r="K205" s="76"/>
      <c r="L205" s="76"/>
      <c r="M205" s="76"/>
      <c r="N205" s="76"/>
      <c r="O205" s="76"/>
      <c r="P205" s="76"/>
      <c r="Q205" s="706"/>
      <c r="R205" s="2"/>
      <c r="S205" s="705">
        <f ca="1">SUMIF($K$7:Q$7,"&lt;="&amp;$I$7,K205:P205)</f>
        <v>0</v>
      </c>
      <c r="T205" s="879"/>
      <c r="U205" s="2"/>
      <c r="V205" s="76"/>
      <c r="W205" s="76"/>
      <c r="X205" s="76"/>
      <c r="Y205" s="76"/>
      <c r="Z205" s="76"/>
      <c r="AA205" s="76"/>
      <c r="AB205" s="706"/>
      <c r="AC205" s="2"/>
      <c r="AD205" s="705">
        <f ca="1">SUMIF($V$7:AB$7,"&lt;="&amp;$I$7,V205:AA205)</f>
        <v>0</v>
      </c>
      <c r="AE205" s="879"/>
      <c r="AF205" s="2"/>
      <c r="AG205" s="76"/>
      <c r="AH205" s="76"/>
      <c r="AI205" s="76"/>
      <c r="AJ205" s="76"/>
      <c r="AK205" s="76"/>
      <c r="AL205" s="76"/>
      <c r="AM205" s="706"/>
      <c r="AN205" s="2"/>
      <c r="AO205" s="705">
        <f ca="1">SUMIF($AG$7:AM$7,"&lt;="&amp;$I$7,AG205:AL205)</f>
        <v>0</v>
      </c>
      <c r="AP205" s="879"/>
      <c r="AQ205" s="2"/>
      <c r="AR205" s="76"/>
      <c r="AS205" s="76"/>
      <c r="AT205" s="76"/>
      <c r="AU205" s="76"/>
      <c r="AV205" s="76"/>
      <c r="AW205" s="76"/>
      <c r="AX205" s="706"/>
      <c r="AY205" s="2"/>
      <c r="AZ205" s="705">
        <f ca="1">SUMIF($AR$7:AX$7,"&lt;="&amp;$I$7,AR205:AW205)</f>
        <v>0</v>
      </c>
      <c r="BA205" s="879"/>
      <c r="BB205" s="2"/>
      <c r="BC205" s="76"/>
      <c r="BD205" s="76"/>
      <c r="BE205" s="76"/>
      <c r="BF205" s="76"/>
      <c r="BG205" s="76"/>
      <c r="BH205" s="76"/>
      <c r="BI205" s="706"/>
      <c r="BJ205" s="2"/>
      <c r="BK205" s="705">
        <f ca="1">SUMIF($BC$7:BI$7,"&lt;="&amp;$I$7,BC205:BH205)</f>
        <v>0</v>
      </c>
      <c r="BL205" s="879"/>
      <c r="BM205" s="2"/>
      <c r="BN205" s="885"/>
      <c r="BO205" s="885"/>
      <c r="BP205" s="885"/>
      <c r="BQ205" s="879"/>
      <c r="BR205" s="2"/>
      <c r="BS205" s="885"/>
      <c r="BT205" s="885"/>
      <c r="BU205" s="885"/>
      <c r="BV205" s="704"/>
      <c r="BW205" s="716"/>
      <c r="BX205" s="885"/>
      <c r="BY205" s="879"/>
      <c r="BZ205" s="2"/>
      <c r="CA205" s="885"/>
      <c r="CB205" s="885"/>
      <c r="CC205" s="2"/>
      <c r="CD205" s="504">
        <f>IFERROR(AVERAGEIF($K$7:Q$7,"&lt;="&amp;$I$7,K205:Q205),0)</f>
        <v>0</v>
      </c>
      <c r="CE205" s="2"/>
      <c r="CH205" s="93" t="str">
        <f t="shared" si="492"/>
        <v>PF BSCC - KM 225+080</v>
      </c>
    </row>
    <row r="206" spans="1:86" s="16" customFormat="1" ht="15.95" hidden="1" customHeight="1" outlineLevel="2">
      <c r="A206" s="74"/>
      <c r="B206" s="1046" t="s">
        <v>3937</v>
      </c>
      <c r="C206" s="1014" t="s">
        <v>1437</v>
      </c>
      <c r="D206" s="2"/>
      <c r="E206" s="1004">
        <v>0</v>
      </c>
      <c r="F206" s="2"/>
      <c r="G206" s="49" t="s">
        <v>37</v>
      </c>
      <c r="H206" s="705">
        <f t="shared" si="439"/>
        <v>4</v>
      </c>
      <c r="I206" s="878">
        <f t="shared" ref="I206" si="497">IF(H206=0,IF(H207&gt;0,1,"-"),IFERROR(H207/H206,"-"))</f>
        <v>0</v>
      </c>
      <c r="J206" s="2"/>
      <c r="K206" s="705"/>
      <c r="L206" s="705"/>
      <c r="M206" s="705"/>
      <c r="N206" s="705"/>
      <c r="O206" s="705"/>
      <c r="P206" s="705"/>
      <c r="Q206" s="705"/>
      <c r="R206" s="2"/>
      <c r="S206" s="705">
        <f ca="1">SUMIF($K$7:Q$7,"&lt;="&amp;$I$7,K206:P206)</f>
        <v>0</v>
      </c>
      <c r="T206" s="878" t="str">
        <f ca="1">IFERROR((S207/S206),"-")</f>
        <v>-</v>
      </c>
      <c r="U206" s="2"/>
      <c r="V206" s="705"/>
      <c r="W206" s="705"/>
      <c r="X206" s="705"/>
      <c r="Y206" s="705"/>
      <c r="Z206" s="705"/>
      <c r="AA206" s="705"/>
      <c r="AB206" s="705"/>
      <c r="AC206" s="2"/>
      <c r="AD206" s="705">
        <f ca="1">SUMIF($V$7:AB$7,"&lt;="&amp;$I$7,V206:AA206)</f>
        <v>0</v>
      </c>
      <c r="AE206" s="878" t="str">
        <f ca="1">IFERROR((AD207/AD206),"-")</f>
        <v>-</v>
      </c>
      <c r="AF206" s="2"/>
      <c r="AG206" s="705">
        <v>2</v>
      </c>
      <c r="AH206" s="705">
        <v>4</v>
      </c>
      <c r="AI206" s="705"/>
      <c r="AJ206" s="705"/>
      <c r="AK206" s="705"/>
      <c r="AL206" s="705"/>
      <c r="AM206" s="705"/>
      <c r="AN206" s="2"/>
      <c r="AO206" s="705">
        <f ca="1">SUMIF($AG$7:AM$8,"&lt;="&amp;$I$7,AG206:AL206)</f>
        <v>6</v>
      </c>
      <c r="AP206" s="878">
        <f ca="1">IFERROR((AO207/AO206),"-")</f>
        <v>0</v>
      </c>
      <c r="AQ206" s="2"/>
      <c r="AR206" s="705"/>
      <c r="AS206" s="705"/>
      <c r="AT206" s="705"/>
      <c r="AU206" s="705"/>
      <c r="AV206" s="705"/>
      <c r="AW206" s="705"/>
      <c r="AX206" s="705"/>
      <c r="AY206" s="2"/>
      <c r="AZ206" s="705">
        <f ca="1">SUMIF($AR$7:AX$7,"&lt;="&amp;$I$7,AR206:AW206)</f>
        <v>0</v>
      </c>
      <c r="BA206" s="878" t="str">
        <f ca="1">IFERROR((AZ207/AZ206),"-")</f>
        <v>-</v>
      </c>
      <c r="BB206" s="2"/>
      <c r="BC206" s="705"/>
      <c r="BD206" s="705"/>
      <c r="BE206" s="705"/>
      <c r="BF206" s="705"/>
      <c r="BG206" s="705"/>
      <c r="BH206" s="705"/>
      <c r="BI206" s="705"/>
      <c r="BJ206" s="2"/>
      <c r="BK206" s="705">
        <f ca="1">SUMIF($BC$7:BI$7,"&lt;="&amp;$I$7,BC206:BH206)</f>
        <v>0</v>
      </c>
      <c r="BL206" s="878" t="str">
        <f ca="1">IFERROR((BK207/BK206),"-")</f>
        <v>-</v>
      </c>
      <c r="BM206" s="2"/>
      <c r="BN206" s="884">
        <v>0</v>
      </c>
      <c r="BO206" s="884">
        <v>0</v>
      </c>
      <c r="BP206" s="884">
        <f>SUM(M207:P207,V207:AB207,AG207:AM207,AR207:AX207,BC207:BI207)</f>
        <v>3</v>
      </c>
      <c r="BQ206" s="878">
        <f t="shared" ref="BQ206" si="498">IF(AND(BO206=0,BP206=0),"-",IF(BO206=0,1,BP206/BO206))</f>
        <v>1</v>
      </c>
      <c r="BR206" s="2"/>
      <c r="BS206" s="884"/>
      <c r="BT206" s="884"/>
      <c r="BU206" s="884">
        <f ca="1">E206+Q207+AD207+AO207+AZ207+BK207</f>
        <v>3</v>
      </c>
      <c r="BV206" s="704">
        <v>104</v>
      </c>
      <c r="BW206" s="716">
        <f ca="1">IFERROR((BU206/BV206),"-")</f>
        <v>2.8846153846153848E-2</v>
      </c>
      <c r="BX206" s="884">
        <v>0</v>
      </c>
      <c r="BY206" s="878" t="str">
        <f ca="1">IFERROR((BU206/BX206),"-")</f>
        <v>-</v>
      </c>
      <c r="BZ206" s="2"/>
      <c r="CA206" s="884">
        <v>10</v>
      </c>
      <c r="CB206" s="884">
        <v>0</v>
      </c>
      <c r="CC206" s="2"/>
      <c r="CD206" s="504">
        <f>IFERROR(AVERAGEIF($K$7:Q$7,"&lt;="&amp;$I$7,K206:Q206),0)</f>
        <v>0</v>
      </c>
      <c r="CE206" s="2"/>
      <c r="CH206" s="93" t="str">
        <f t="shared" si="492"/>
        <v>PG BSCC - KM 210+160</v>
      </c>
    </row>
    <row r="207" spans="1:86" s="16" customFormat="1" ht="15.95" hidden="1" customHeight="1" outlineLevel="2">
      <c r="A207" s="74"/>
      <c r="B207" s="1047"/>
      <c r="C207" s="1034"/>
      <c r="D207" s="2"/>
      <c r="E207" s="1024"/>
      <c r="F207" s="2"/>
      <c r="G207" s="50" t="s">
        <v>38</v>
      </c>
      <c r="H207" s="705">
        <f t="shared" si="439"/>
        <v>0</v>
      </c>
      <c r="I207" s="879"/>
      <c r="J207" s="2"/>
      <c r="K207" s="76"/>
      <c r="L207" s="76"/>
      <c r="M207" s="76"/>
      <c r="N207" s="76"/>
      <c r="O207" s="76"/>
      <c r="P207" s="76"/>
      <c r="Q207" s="706"/>
      <c r="R207" s="2"/>
      <c r="S207" s="705">
        <f ca="1">SUMIF($K$7:Q$7,"&lt;="&amp;$I$7,K207:P207)</f>
        <v>0</v>
      </c>
      <c r="T207" s="879"/>
      <c r="U207" s="2"/>
      <c r="V207" s="76"/>
      <c r="W207" s="76"/>
      <c r="X207" s="76"/>
      <c r="Y207" s="76"/>
      <c r="Z207" s="76">
        <v>3</v>
      </c>
      <c r="AA207" s="76"/>
      <c r="AB207" s="706"/>
      <c r="AC207" s="2"/>
      <c r="AD207" s="705">
        <f ca="1">SUMIF($V$7:AB$7,"&lt;="&amp;$I$7,V207:AA207)</f>
        <v>3</v>
      </c>
      <c r="AE207" s="879"/>
      <c r="AF207" s="2"/>
      <c r="AG207" s="76"/>
      <c r="AH207" s="76"/>
      <c r="AI207" s="76"/>
      <c r="AJ207" s="76"/>
      <c r="AK207" s="76"/>
      <c r="AL207" s="76"/>
      <c r="AM207" s="706"/>
      <c r="AN207" s="2"/>
      <c r="AO207" s="705">
        <f ca="1">SUMIF($AG$7:AM$7,"&lt;="&amp;$I$7,AG207:AL207)</f>
        <v>0</v>
      </c>
      <c r="AP207" s="879"/>
      <c r="AQ207" s="2"/>
      <c r="AR207" s="76"/>
      <c r="AS207" s="76"/>
      <c r="AT207" s="76"/>
      <c r="AU207" s="76"/>
      <c r="AV207" s="76"/>
      <c r="AW207" s="76"/>
      <c r="AX207" s="706"/>
      <c r="AY207" s="2"/>
      <c r="AZ207" s="705">
        <f ca="1">SUMIF($AR$7:AX$7,"&lt;="&amp;$I$7,AR207:AW207)</f>
        <v>0</v>
      </c>
      <c r="BA207" s="879"/>
      <c r="BB207" s="2"/>
      <c r="BC207" s="76"/>
      <c r="BD207" s="76"/>
      <c r="BE207" s="76"/>
      <c r="BF207" s="76"/>
      <c r="BG207" s="76"/>
      <c r="BH207" s="76"/>
      <c r="BI207" s="706"/>
      <c r="BJ207" s="2"/>
      <c r="BK207" s="705">
        <f ca="1">SUMIF($BC$7:BI$7,"&lt;="&amp;$I$7,BC207:BH207)</f>
        <v>0</v>
      </c>
      <c r="BL207" s="879"/>
      <c r="BM207" s="2"/>
      <c r="BN207" s="885"/>
      <c r="BO207" s="885"/>
      <c r="BP207" s="885"/>
      <c r="BQ207" s="879"/>
      <c r="BR207" s="2"/>
      <c r="BS207" s="885"/>
      <c r="BT207" s="885"/>
      <c r="BU207" s="885"/>
      <c r="BV207" s="704"/>
      <c r="BW207" s="716"/>
      <c r="BX207" s="885"/>
      <c r="BY207" s="879"/>
      <c r="BZ207" s="2"/>
      <c r="CA207" s="885"/>
      <c r="CB207" s="885"/>
      <c r="CC207" s="2"/>
      <c r="CD207" s="504">
        <f>IFERROR(AVERAGEIF($K$7:Q$7,"&lt;="&amp;$I$7,K207:Q207),0)</f>
        <v>0</v>
      </c>
      <c r="CE207" s="2"/>
      <c r="CH207" s="93" t="str">
        <f t="shared" si="492"/>
        <v>PG BSCC - KM 210+160</v>
      </c>
    </row>
    <row r="208" spans="1:86" s="16" customFormat="1" ht="15.95" hidden="1" customHeight="1" outlineLevel="2">
      <c r="A208" s="74"/>
      <c r="B208" s="1046"/>
      <c r="C208" s="1014" t="s">
        <v>1437</v>
      </c>
      <c r="D208" s="2"/>
      <c r="E208" s="1004">
        <v>0</v>
      </c>
      <c r="F208" s="2"/>
      <c r="G208" s="49" t="s">
        <v>37</v>
      </c>
      <c r="H208" s="705">
        <f t="shared" si="439"/>
        <v>0</v>
      </c>
      <c r="I208" s="878" t="str">
        <f t="shared" ref="I208" si="499">IF(H208=0,IF(H209&gt;0,1,"-"),IFERROR(H209/H208,"-"))</f>
        <v>-</v>
      </c>
      <c r="J208" s="2"/>
      <c r="K208" s="705"/>
      <c r="L208" s="705"/>
      <c r="M208" s="705"/>
      <c r="N208" s="705"/>
      <c r="O208" s="705"/>
      <c r="P208" s="705"/>
      <c r="Q208" s="705"/>
      <c r="R208" s="2"/>
      <c r="S208" s="705">
        <f ca="1">SUMIF($K$7:Q$7,"&lt;="&amp;$I$7,K208:P208)</f>
        <v>0</v>
      </c>
      <c r="T208" s="878" t="str">
        <f ca="1">IFERROR((S209/S208),"-")</f>
        <v>-</v>
      </c>
      <c r="U208" s="2"/>
      <c r="V208" s="705"/>
      <c r="W208" s="705"/>
      <c r="X208" s="705"/>
      <c r="Y208" s="705"/>
      <c r="Z208" s="705"/>
      <c r="AA208" s="705"/>
      <c r="AB208" s="705"/>
      <c r="AC208" s="2"/>
      <c r="AD208" s="705">
        <f ca="1">SUMIF($V$7:AB$7,"&lt;="&amp;$I$7,V208:AA208)</f>
        <v>0</v>
      </c>
      <c r="AE208" s="878" t="str">
        <f ca="1">IFERROR((AD209/AD208),"-")</f>
        <v>-</v>
      </c>
      <c r="AF208" s="2"/>
      <c r="AG208" s="705"/>
      <c r="AH208" s="705"/>
      <c r="AI208" s="705"/>
      <c r="AJ208" s="705"/>
      <c r="AK208" s="705"/>
      <c r="AL208" s="705"/>
      <c r="AM208" s="705"/>
      <c r="AN208" s="2"/>
      <c r="AO208" s="705">
        <f ca="1">SUMIF($AG$7:AM$8,"&lt;="&amp;$I$7,AG208:AL208)</f>
        <v>0</v>
      </c>
      <c r="AP208" s="878" t="str">
        <f ca="1">IFERROR((AO209/AO208),"-")</f>
        <v>-</v>
      </c>
      <c r="AQ208" s="2"/>
      <c r="AR208" s="705"/>
      <c r="AS208" s="705"/>
      <c r="AT208" s="705"/>
      <c r="AU208" s="705"/>
      <c r="AV208" s="705"/>
      <c r="AW208" s="705"/>
      <c r="AX208" s="705"/>
      <c r="AY208" s="2"/>
      <c r="AZ208" s="705">
        <f ca="1">SUMIF($AR$7:AX$7,"&lt;="&amp;$I$7,AR208:AW208)</f>
        <v>0</v>
      </c>
      <c r="BA208" s="878" t="str">
        <f ca="1">IFERROR((AZ209/AZ208),"-")</f>
        <v>-</v>
      </c>
      <c r="BB208" s="2"/>
      <c r="BC208" s="705"/>
      <c r="BD208" s="705"/>
      <c r="BE208" s="705"/>
      <c r="BF208" s="705"/>
      <c r="BG208" s="705"/>
      <c r="BH208" s="705"/>
      <c r="BI208" s="705"/>
      <c r="BJ208" s="2"/>
      <c r="BK208" s="705">
        <f ca="1">SUMIF($BC$7:BI$7,"&lt;="&amp;$I$7,BC208:BH208)</f>
        <v>0</v>
      </c>
      <c r="BL208" s="878" t="str">
        <f ca="1">IFERROR((BK209/BK208),"-")</f>
        <v>-</v>
      </c>
      <c r="BM208" s="2"/>
      <c r="BN208" s="884">
        <v>0</v>
      </c>
      <c r="BO208" s="884">
        <v>0</v>
      </c>
      <c r="BP208" s="884">
        <f>SUM(M209:P209,V209:AB209,AG209:AM209,AR209:AX209,BC209:BI209)</f>
        <v>0</v>
      </c>
      <c r="BQ208" s="878" t="str">
        <f t="shared" ref="BQ208" si="500">IF(AND(BO208=0,BP208=0),"-",IF(BO208=0,1,BP208/BO208))</f>
        <v>-</v>
      </c>
      <c r="BR208" s="2"/>
      <c r="BS208" s="884"/>
      <c r="BT208" s="884"/>
      <c r="BU208" s="884">
        <f ca="1">E208+Q209+AD209+AO209+AZ209+BK209</f>
        <v>0</v>
      </c>
      <c r="BV208" s="704">
        <v>104</v>
      </c>
      <c r="BW208" s="716">
        <f ca="1">IFERROR((BU208/BV208),"-")</f>
        <v>0</v>
      </c>
      <c r="BX208" s="884">
        <v>0</v>
      </c>
      <c r="BY208" s="878" t="str">
        <f ca="1">IFERROR((BU208/BX208),"-")</f>
        <v>-</v>
      </c>
      <c r="BZ208" s="2"/>
      <c r="CA208" s="884">
        <v>10</v>
      </c>
      <c r="CB208" s="884">
        <v>0</v>
      </c>
      <c r="CC208" s="2"/>
      <c r="CD208" s="504">
        <f>IFERROR(AVERAGEIF($K$7:Q$7,"&lt;="&amp;$I$7,K208:Q208),0)</f>
        <v>0</v>
      </c>
      <c r="CE208" s="2"/>
      <c r="CH208" s="93" t="str">
        <f t="shared" si="492"/>
        <v>PG BSCC - KM 210+160</v>
      </c>
    </row>
    <row r="209" spans="1:86" s="16" customFormat="1" ht="15.95" hidden="1" customHeight="1" outlineLevel="1">
      <c r="A209" s="74"/>
      <c r="B209" s="1047"/>
      <c r="C209" s="1034"/>
      <c r="D209" s="2"/>
      <c r="E209" s="1024"/>
      <c r="F209" s="2"/>
      <c r="G209" s="50" t="s">
        <v>38</v>
      </c>
      <c r="H209" s="705">
        <f t="shared" si="439"/>
        <v>0</v>
      </c>
      <c r="I209" s="879"/>
      <c r="J209" s="2"/>
      <c r="K209" s="76"/>
      <c r="L209" s="76"/>
      <c r="M209" s="76"/>
      <c r="N209" s="76"/>
      <c r="O209" s="76"/>
      <c r="P209" s="76"/>
      <c r="Q209" s="706"/>
      <c r="R209" s="2"/>
      <c r="S209" s="705">
        <f ca="1">SUMIF($K$7:Q$7,"&lt;="&amp;$I$7,K209:P209)</f>
        <v>0</v>
      </c>
      <c r="T209" s="879"/>
      <c r="U209" s="2"/>
      <c r="V209" s="76"/>
      <c r="W209" s="76"/>
      <c r="X209" s="76"/>
      <c r="Y209" s="76"/>
      <c r="Z209" s="76"/>
      <c r="AA209" s="76"/>
      <c r="AB209" s="706"/>
      <c r="AC209" s="2"/>
      <c r="AD209" s="705">
        <f ca="1">SUMIF($V$7:AB$7,"&lt;="&amp;$I$7,V209:AA209)</f>
        <v>0</v>
      </c>
      <c r="AE209" s="879"/>
      <c r="AF209" s="2"/>
      <c r="AG209" s="76"/>
      <c r="AH209" s="76"/>
      <c r="AI209" s="76"/>
      <c r="AJ209" s="76"/>
      <c r="AK209" s="76"/>
      <c r="AL209" s="76"/>
      <c r="AM209" s="706"/>
      <c r="AN209" s="2"/>
      <c r="AO209" s="705">
        <f ca="1">SUMIF($AG$7:AM$7,"&lt;="&amp;$I$7,AG209:AL209)</f>
        <v>0</v>
      </c>
      <c r="AP209" s="879"/>
      <c r="AQ209" s="2"/>
      <c r="AR209" s="76"/>
      <c r="AS209" s="76"/>
      <c r="AT209" s="76"/>
      <c r="AU209" s="76"/>
      <c r="AV209" s="76"/>
      <c r="AW209" s="76"/>
      <c r="AX209" s="706"/>
      <c r="AY209" s="2"/>
      <c r="AZ209" s="705">
        <f ca="1">SUMIF($AR$7:AX$7,"&lt;="&amp;$I$7,AR209:AW209)</f>
        <v>0</v>
      </c>
      <c r="BA209" s="879"/>
      <c r="BB209" s="2"/>
      <c r="BC209" s="76"/>
      <c r="BD209" s="76"/>
      <c r="BE209" s="76"/>
      <c r="BF209" s="76"/>
      <c r="BG209" s="76"/>
      <c r="BH209" s="76"/>
      <c r="BI209" s="706"/>
      <c r="BJ209" s="2"/>
      <c r="BK209" s="705">
        <f ca="1">SUMIF($BC$7:BI$7,"&lt;="&amp;$I$7,BC209:BH209)</f>
        <v>0</v>
      </c>
      <c r="BL209" s="879"/>
      <c r="BM209" s="2"/>
      <c r="BN209" s="885"/>
      <c r="BO209" s="885"/>
      <c r="BP209" s="885"/>
      <c r="BQ209" s="879"/>
      <c r="BR209" s="2"/>
      <c r="BS209" s="885"/>
      <c r="BT209" s="885"/>
      <c r="BU209" s="885"/>
      <c r="BV209" s="704"/>
      <c r="BW209" s="716"/>
      <c r="BX209" s="885"/>
      <c r="BY209" s="879"/>
      <c r="BZ209" s="2"/>
      <c r="CA209" s="885"/>
      <c r="CB209" s="885"/>
      <c r="CC209" s="2"/>
      <c r="CD209" s="504">
        <f>IFERROR(AVERAGEIF($K$7:Q$7,"&lt;="&amp;$I$7,K209:Q209),0)</f>
        <v>0</v>
      </c>
      <c r="CE209" s="2"/>
      <c r="CH209" s="93" t="str">
        <f t="shared" si="492"/>
        <v>PG BSCC - KM 210+160</v>
      </c>
    </row>
    <row r="210" spans="1:86" s="16" customFormat="1" ht="14.65" hidden="1" customHeight="1" outlineLevel="1">
      <c r="A210" s="73"/>
      <c r="B210" s="1081" t="s">
        <v>3945</v>
      </c>
      <c r="C210" s="1071" t="s">
        <v>3936</v>
      </c>
      <c r="D210" s="2"/>
      <c r="E210" s="1019">
        <v>6</v>
      </c>
      <c r="F210" s="2"/>
      <c r="G210" s="53" t="s">
        <v>37</v>
      </c>
      <c r="H210" s="52">
        <f t="shared" si="439"/>
        <v>0</v>
      </c>
      <c r="I210" s="743" t="str">
        <f t="shared" ref="I210" si="501">IF(H210=0,IF(H211&gt;0,1,"-"),IFERROR(H211/H210,"-"))</f>
        <v>-</v>
      </c>
      <c r="J210" s="2"/>
      <c r="K210" s="80" t="str" cm="1">
        <f t="array" ref="K210">IF(
   SUM(IF($G$212:$G$221="P",IF(ISNUMBER(K212:K221),K212:K221,0)))&gt;0,
   SUM(IF($G$212:$G$221="P",IF(ISNUMBER(K212:K221),K212:K221,0))),
   IF(
      COUNTIFS($G$212:$G$221,"P",K212:K221,"X")&gt;0,
      "X",
      ""
   )
)</f>
        <v/>
      </c>
      <c r="L210" s="80" t="str" cm="1">
        <f t="array" ref="L210">IF(
   SUM(IF($G$212:$G$221="P",IF(ISNUMBER(L212:L221),L212:L221,0)))&gt;0,
   SUM(IF($G$212:$G$221="P",IF(ISNUMBER(L212:L221),L212:L221,0))),
   IF(
      COUNTIFS($G$212:$G$221,"P",L212:L221,"X")&gt;0,
      "X",
      ""
   )
)</f>
        <v/>
      </c>
      <c r="M210" s="80" t="str" cm="1">
        <f t="array" ref="M210">IF(
   SUM(IF($G$212:$G$221="P",IF(ISNUMBER(M212:M221),M212:M221,0)))&gt;0,
   SUM(IF($G$212:$G$221="P",IF(ISNUMBER(M212:M221),M212:M221,0))),
   IF(
      COUNTIFS($G$212:$G$221,"P",M212:M221,"X")&gt;0,
      "X",
      ""
   )
)</f>
        <v/>
      </c>
      <c r="N210" s="80" t="str" cm="1">
        <f t="array" ref="N210">IF(
   SUM(IF($G$212:$G$221="P",IF(ISNUMBER(N212:N221),N212:N221,0)))&gt;0,
   SUM(IF($G$212:$G$221="P",IF(ISNUMBER(N212:N221),N212:N221,0))),
   IF(
      COUNTIFS($G$212:$G$221,"P",N212:N221,"X")&gt;0,
      "X",
      ""
   )
)</f>
        <v/>
      </c>
      <c r="O210" s="80" t="str" cm="1">
        <f t="array" ref="O210">IF(
   SUM(IF($G$212:$G$221="P",IF(ISNUMBER(O212:O221),O212:O221,0)))&gt;0,
   SUM(IF($G$212:$G$221="P",IF(ISNUMBER(O212:O221),O212:O221,0))),
   IF(
      COUNTIFS($G$212:$G$221,"P",O212:O221,"X")&gt;0,
      "X",
      ""
   )
)</f>
        <v/>
      </c>
      <c r="P210" s="80" t="str" cm="1">
        <f t="array" ref="P210">IF(
   SUM(IF($G$212:$G$221="P",IF(ISNUMBER(P212:P221),P212:P221,0)))&gt;0,
   SUM(IF($G$212:$G$221="P",IF(ISNUMBER(P212:P221),P212:P221,0))),
   IF(
      COUNTIFS($G$212:$G$221,"P",P212:P221,"X")&gt;0,
      "X",
      ""
   )
)</f>
        <v>X</v>
      </c>
      <c r="Q210" s="80"/>
      <c r="R210" s="2"/>
      <c r="S210" s="52">
        <f ca="1">SUMIF($K$7:Q$7,"&lt;="&amp;$I$7,K210:P210)</f>
        <v>0</v>
      </c>
      <c r="T210" s="743" t="str">
        <f ca="1">IFERROR((S211/S210),"-")</f>
        <v>-</v>
      </c>
      <c r="U210" s="2"/>
      <c r="V210" s="80" t="str" cm="1">
        <f t="array" ref="V210">IF(
   SUM(IF($G$212:$G$221="P",IF(ISNUMBER(V212:V221),V212:V221,0)))&gt;0,
   SUM(IF($G$212:$G$221="P",IF(ISNUMBER(V212:V221),V212:V221,0))),
   IF(
      COUNTIFS($G$212:$G$221,"P",V212:V221,"X")&gt;0,
      "X",
      ""
   )
)</f>
        <v/>
      </c>
      <c r="W210" s="80" t="str" cm="1">
        <f t="array" ref="W210">IF(
   SUM(IF($G$212:$G$221="P",IF(ISNUMBER(W212:W221),W212:W221,0)))&gt;0,
   SUM(IF($G$212:$G$221="P",IF(ISNUMBER(W212:W221),W212:W221,0))),
   IF(
      COUNTIFS($G$212:$G$221,"P",W212:W221,"X")&gt;0,
      "X",
      ""
   )
)</f>
        <v/>
      </c>
      <c r="X210" s="80" t="str" cm="1">
        <f t="array" ref="X210">IF(
   SUM(IF($G$212:$G$221="P",IF(ISNUMBER(X212:X221),X212:X221,0)))&gt;0,
   SUM(IF($G$212:$G$221="P",IF(ISNUMBER(X212:X221),X212:X221,0))),
   IF(
      COUNTIFS($G$212:$G$221,"P",X212:X221,"X")&gt;0,
      "X",
      ""
   )
)</f>
        <v/>
      </c>
      <c r="Y210" s="80" t="str" cm="1">
        <f t="array" ref="Y210">IF(
   SUM(IF($G$212:$G$221="P",IF(ISNUMBER(Y212:Y221),Y212:Y221,0)))&gt;0,
   SUM(IF($G$212:$G$221="P",IF(ISNUMBER(Y212:Y221),Y212:Y221,0))),
   IF(
      COUNTIFS($G$212:$G$221,"P",Y212:Y221,"X")&gt;0,
      "X",
      ""
   )
)</f>
        <v/>
      </c>
      <c r="Z210" s="80" t="str" cm="1">
        <f t="array" ref="Z210">IF(
   SUM(IF($G$212:$G$221="P",IF(ISNUMBER(Z212:Z221),Z212:Z221,0)))&gt;0,
   SUM(IF($G$212:$G$221="P",IF(ISNUMBER(Z212:Z221),Z212:Z221,0))),
   IF(
      COUNTIFS($G$212:$G$221,"P",Z212:Z221,"X")&gt;0,
      "X",
      ""
   )
)</f>
        <v/>
      </c>
      <c r="AA210" s="80" t="str" cm="1">
        <f t="array" ref="AA210">IF(
   SUM(IF($G$212:$G$221="P",IF(ISNUMBER(AA212:AA221),AA212:AA221,0)))&gt;0,
   SUM(IF($G$212:$G$221="P",IF(ISNUMBER(AA212:AA221),AA212:AA221,0))),
   IF(
      COUNTIFS($G$212:$G$221,"P",AA212:AA221,"X")&gt;0,
      "X",
      ""
   )
)</f>
        <v>X</v>
      </c>
      <c r="AB210" s="80" t="str" cm="1">
        <f t="array" ref="AB210">IF(
   SUM(IF($G$212:$G$221="P",IF(ISNUMBER(AB212:AB221),AB212:AB221,0)))&gt;0,
   SUM(IF($G$212:$G$221="P",IF(ISNUMBER(AB212:AB221),AB212:AB221,0))),
   IF(
      COUNTIFS($G$212:$G$221,"P",AB212:AB221,"X")&gt;0,
      "X",
      ""
   )
)</f>
        <v/>
      </c>
      <c r="AC210" s="2"/>
      <c r="AD210" s="52">
        <f>SUMIF($V$7:AB$7,"&lt;="&amp;$I$7,V210:AB210)</f>
        <v>0</v>
      </c>
      <c r="AE210" s="743" t="str">
        <f ca="1">IFERROR((AD211/AD210),"-")</f>
        <v>-</v>
      </c>
      <c r="AF210" s="2"/>
      <c r="AG210" s="80" t="str" cm="1">
        <f t="array" ref="AG210">IF(
   SUM(IF($G$212:$G$221="P",IF(ISNUMBER(AG212:AG221),AG212:AG221,0)))&gt;0,
   SUM(IF($G$212:$G$221="P",IF(ISNUMBER(AG212:AG221),AG212:AG221,0))),
   IF(
      COUNTIFS($G$212:$G$221,"P",AG212:AG221,"X")&gt;0,
      "X",
      ""
   )
)</f>
        <v>X</v>
      </c>
      <c r="AH210" s="80" t="str" cm="1">
        <f t="array" ref="AH210">IF(
   SUM(IF($G$212:$G$221="P",IF(ISNUMBER(AH212:AH221),AH212:AH221,0)))&gt;0,
   SUM(IF($G$212:$G$221="P",IF(ISNUMBER(AH212:AH221),AH212:AH221,0))),
   IF(
      COUNTIFS($G$212:$G$221,"P",AH212:AH221,"X")&gt;0,
      "X",
      ""
   )
)</f>
        <v>X</v>
      </c>
      <c r="AI210" s="80" t="str" cm="1">
        <f t="array" ref="AI210">IF(
   SUM(IF($G$212:$G$221="P",IF(ISNUMBER(AI212:AI221),AI212:AI221,0)))&gt;0,
   SUM(IF($G$212:$G$221="P",IF(ISNUMBER(AI212:AI221),AI212:AI221,0))),
   IF(
      COUNTIFS($G$212:$G$221,"P",AI212:AI221,"X")&gt;0,
      "X",
      ""
   )
)</f>
        <v>X</v>
      </c>
      <c r="AJ210" s="80" t="str" cm="1">
        <f t="array" ref="AJ210">IF(
   SUM(IF($G$212:$G$221="P",IF(ISNUMBER(AJ212:AJ221),AJ212:AJ221,0)))&gt;0,
   SUM(IF($G$212:$G$221="P",IF(ISNUMBER(AJ212:AJ221),AJ212:AJ221,0))),
   IF(
      COUNTIFS($G$212:$G$221,"P",AJ212:AJ221,"X")&gt;0,
      "X",
      ""
   )
)</f>
        <v>X</v>
      </c>
      <c r="AK210" s="80" t="str" cm="1">
        <f t="array" ref="AK210">IF(
   SUM(IF($G$212:$G$221="P",IF(ISNUMBER(AK212:AK221),AK212:AK221,0)))&gt;0,
   SUM(IF($G$212:$G$221="P",IF(ISNUMBER(AK212:AK221),AK212:AK221,0))),
   IF(
      COUNTIFS($G$212:$G$221,"P",AK212:AK221,"X")&gt;0,
      "X",
      ""
   )
)</f>
        <v>X</v>
      </c>
      <c r="AL210" s="80" t="str" cm="1">
        <f t="array" ref="AL210">IF(
   SUM(IF($G$212:$G$221="P",IF(ISNUMBER(AL212:AL221),AL212:AL221,0)))&gt;0,
   SUM(IF($G$212:$G$221="P",IF(ISNUMBER(AL212:AL221),AL212:AL221,0))),
   IF(
      COUNTIFS($G$212:$G$221,"P",AL212:AL221,"X")&gt;0,
      "X",
      ""
   )
)</f>
        <v>X</v>
      </c>
      <c r="AM210" s="80"/>
      <c r="AN210" s="2"/>
      <c r="AO210" s="52">
        <f ca="1">SUMIF($AG$7:AM$7,"&lt;="&amp;$I$7,AG210:AL210)</f>
        <v>0</v>
      </c>
      <c r="AP210" s="743" t="str">
        <f ca="1">IFERROR((AO211/AO210),"-")</f>
        <v>-</v>
      </c>
      <c r="AQ210" s="2"/>
      <c r="AR210" s="80" t="str" cm="1">
        <f t="array" ref="AR210">IF(
   SUM(IF($G$212:$G$223="P",IF(ISNUMBER(AR212:AR223),AR212:AR223,0)))&gt;0,
   SUM(IF($G$212:$G$223="P",IF(ISNUMBER(AR212:AR223),AR212:AR223,0))),
   IF(
      COUNTIFS($G$212:$G$223,"P",AR212:AR223,"X")&gt;0,
      "X",
      ""
   )
)</f>
        <v/>
      </c>
      <c r="AS210" s="80" t="str" cm="1">
        <f t="array" ref="AS210">IF(
   SUM(IF($G$212:$G$223="P",IF(ISNUMBER(AS212:AS223),AS212:AS223,0)))&gt;0,
   SUM(IF($G$212:$G$223="P",IF(ISNUMBER(AS212:AS223),AS212:AS223,0))),
   IF(
      COUNTIFS($G$212:$G$223,"P",AS212:AS223,"X")&gt;0,
      "X",
      ""
   )
)</f>
        <v/>
      </c>
      <c r="AT210" s="80" t="str" cm="1">
        <f t="array" ref="AT210">IF(
   SUM(IF($G$212:$G$223="P",IF(ISNUMBER(AT212:AT223),AT212:AT223,0)))&gt;0,
   SUM(IF($G$212:$G$223="P",IF(ISNUMBER(AT212:AT223),AT212:AT223,0))),
   IF(
      COUNTIFS($G$212:$G$223,"P",AT212:AT223,"X")&gt;0,
      "X",
      ""
   )
)</f>
        <v/>
      </c>
      <c r="AU210" s="80" t="str" cm="1">
        <f t="array" ref="AU210">IF(
   SUM(IF($G$212:$G$223="P",IF(ISNUMBER(AU212:AU223),AU212:AU223,0)))&gt;0,
   SUM(IF($G$212:$G$223="P",IF(ISNUMBER(AU212:AU223),AU212:AU223,0))),
   IF(
      COUNTIFS($G$212:$G$223,"P",AU212:AU223,"X")&gt;0,
      "X",
      ""
   )
)</f>
        <v/>
      </c>
      <c r="AV210" s="80" t="str" cm="1">
        <f t="array" ref="AV210">IF(
   SUM(IF($G$212:$G$223="P",IF(ISNUMBER(AV212:AV223),AV212:AV223,0)))&gt;0,
   SUM(IF($G$212:$G$223="P",IF(ISNUMBER(AV212:AV223),AV212:AV223,0))),
   IF(
      COUNTIFS($G$212:$G$223,"P",AV212:AV223,"X")&gt;0,
      "X",
      ""
   )
)</f>
        <v/>
      </c>
      <c r="AW210" s="80" t="str" cm="1">
        <f t="array" ref="AW210">IF(
   SUM(IF($G$212:$G$223="P",IF(ISNUMBER(AW212:AW223),AW212:AW223,0)))&gt;0,
   SUM(IF($G$212:$G$223="P",IF(ISNUMBER(AW212:AW223),AW212:AW223,0))),
   IF(
      COUNTIFS($G$212:$G$223,"P",AW212:AW223,"X")&gt;0,
      "X",
      ""
   )
)</f>
        <v/>
      </c>
      <c r="AX210" s="80"/>
      <c r="AY210" s="2"/>
      <c r="AZ210" s="52">
        <f ca="1">SUMIF($AR$7:AX$7,"&lt;="&amp;$I$7,AR210:AW210)</f>
        <v>0</v>
      </c>
      <c r="BA210" s="743" t="str">
        <f ca="1">IFERROR((AZ211/AZ210),"-")</f>
        <v>-</v>
      </c>
      <c r="BB210" s="2"/>
      <c r="BC210" s="80" t="str" cm="1">
        <f t="array" ref="BC210">IF(
   SUM(IF($G$212:$G$223="P",IF(ISNUMBER(BC212:BC223),BC212:BC223,0)))&gt;0,
   SUM(IF($G$212:$G$223="P",IF(ISNUMBER(BC212:BC223),BC212:BC223,0))),
   IF(
      COUNTIFS($G$212:$G$223,"P",BC212:BC223,"X")&gt;0,
      "X",
      ""
   )
)</f>
        <v/>
      </c>
      <c r="BD210" s="80" t="str" cm="1">
        <f t="array" ref="BD210">IF(
   SUM(IF($G$212:$G$223="P",IF(ISNUMBER(BD212:BD223),BD212:BD223,0)))&gt;0,
   SUM(IF($G$212:$G$223="P",IF(ISNUMBER(BD212:BD223),BD212:BD223,0))),
   IF(
      COUNTIFS($G$212:$G$223,"P",BD212:BD223,"X")&gt;0,
      "X",
      ""
   )
)</f>
        <v/>
      </c>
      <c r="BE210" s="80" t="str" cm="1">
        <f t="array" ref="BE210">IF(
   SUM(IF($G$212:$G$223="P",IF(ISNUMBER(BE212:BE223),BE212:BE223,0)))&gt;0,
   SUM(IF($G$212:$G$223="P",IF(ISNUMBER(BE212:BE223),BE212:BE223,0))),
   IF(
      COUNTIFS($G$212:$G$223,"P",BE212:BE223,"X")&gt;0,
      "X",
      ""
   )
)</f>
        <v/>
      </c>
      <c r="BF210" s="80" t="str" cm="1">
        <f t="array" ref="BF210">IF(
   SUM(IF($G$212:$G$223="P",IF(ISNUMBER(BF212:BF223),BF212:BF223,0)))&gt;0,
   SUM(IF($G$212:$G$223="P",IF(ISNUMBER(BF212:BF223),BF212:BF223,0))),
   IF(
      COUNTIFS($G$212:$G$223,"P",BF212:BF223,"X")&gt;0,
      "X",
      ""
   )
)</f>
        <v/>
      </c>
      <c r="BG210" s="80" t="str" cm="1">
        <f t="array" ref="BG210">IF(
   SUM(IF($G$212:$G$223="P",IF(ISNUMBER(BG212:BG223),BG212:BG223,0)))&gt;0,
   SUM(IF($G$212:$G$223="P",IF(ISNUMBER(BG212:BG223),BG212:BG223,0))),
   IF(
      COUNTIFS($G$212:$G$223,"P",BG212:BG223,"X")&gt;0,
      "X",
      ""
   )
)</f>
        <v/>
      </c>
      <c r="BH210" s="80" t="str" cm="1">
        <f t="array" ref="BH210">IF(
   SUM(IF($G$212:$G$223="P",IF(ISNUMBER(BH212:BH223),BH212:BH223,0)))&gt;0,
   SUM(IF($G$212:$G$223="P",IF(ISNUMBER(BH212:BH223),BH212:BH223,0))),
   IF(
      COUNTIFS($G$212:$G$223,"P",BH212:BH223,"X")&gt;0,
      "X",
      ""
   )
)</f>
        <v/>
      </c>
      <c r="BI210" s="80"/>
      <c r="BJ210" s="2"/>
      <c r="BK210" s="52">
        <f ca="1">SUMIF($BC$7:BI$7,"&lt;="&amp;$I$7,BC210:BH210)</f>
        <v>0</v>
      </c>
      <c r="BL210" s="743" t="str">
        <f ca="1">IFERROR((BK211/BK210),"-")</f>
        <v>-</v>
      </c>
      <c r="BM210" s="2"/>
      <c r="BN210" s="888">
        <v>2</v>
      </c>
      <c r="BO210" s="888">
        <v>0</v>
      </c>
      <c r="BP210" s="888">
        <f>SUM(BP212:BP223)</f>
        <v>0</v>
      </c>
      <c r="BQ210" s="743" t="str">
        <f t="shared" ref="BQ210" si="502">IF(AND(BO210=0,BP210=0),"-",IF(BO210=0,1,BP210/BO210))</f>
        <v>-</v>
      </c>
      <c r="BR210" s="2"/>
      <c r="BS210" s="888"/>
      <c r="BT210" s="888"/>
      <c r="BU210" s="888">
        <f ca="1">E210+S211+AD211+AO211+AZ211+BK211</f>
        <v>6</v>
      </c>
      <c r="BV210" s="888">
        <v>104</v>
      </c>
      <c r="BW210" s="1019">
        <f ca="1">IFERROR((BU210/BV210),"-")</f>
        <v>5.7692307692307696E-2</v>
      </c>
      <c r="BX210" s="888">
        <v>3</v>
      </c>
      <c r="BY210" s="743">
        <f ca="1">IFERROR((BU210/BX210),"-")</f>
        <v>2</v>
      </c>
      <c r="BZ210" s="2"/>
      <c r="CA210" s="888">
        <v>9</v>
      </c>
      <c r="CB210" s="888">
        <v>0</v>
      </c>
      <c r="CC210" s="2"/>
      <c r="CD210" s="52">
        <f>IFERROR(AVERAGEIF($K$7:Q$7,"&lt;="&amp;$I$7,K210:Q210),0)</f>
        <v>0</v>
      </c>
      <c r="CE210" s="2"/>
      <c r="CH210" s="93" t="str">
        <f t="shared" si="492"/>
        <v>PASSAGEM DE GADO - MONTAGEM DAS ALAS</v>
      </c>
    </row>
    <row r="211" spans="1:86" s="16" customFormat="1" ht="14.65" hidden="1" customHeight="1" outlineLevel="1">
      <c r="A211" s="74"/>
      <c r="B211" s="1082"/>
      <c r="C211" s="1072"/>
      <c r="D211" s="2"/>
      <c r="E211" s="1060"/>
      <c r="F211" s="2"/>
      <c r="G211" s="54" t="s">
        <v>38</v>
      </c>
      <c r="H211" s="52">
        <f t="shared" si="439"/>
        <v>0</v>
      </c>
      <c r="I211" s="744"/>
      <c r="J211" s="2"/>
      <c r="K211" s="75" t="str" cm="1">
        <f t="array" ref="K211">IF(
   SUM(IF($G$212:$G$221="R",IF(ISNUMBER(K212:K221),K212:K221,0)))&gt;0,
   SUM(IF($G$212:$G$221="R",IF(ISNUMBER(K212:K221),K212:K221,0))),
   IF(
      COUNTIFS($G$212:$G$221,"R",K212:K221,"X")&gt;0,
      "X",
      ""
   )
)</f>
        <v/>
      </c>
      <c r="L211" s="75" t="str" cm="1">
        <f t="array" ref="L211">IF(
   SUM(IF($G$212:$G$221="R",IF(ISNUMBER(L212:L221),L212:L221,0)))&gt;0,
   SUM(IF($G$212:$G$221="R",IF(ISNUMBER(L212:L221),L212:L221,0))),
   IF(
      COUNTIFS($G$212:$G$221,"R",L212:L221,"X")&gt;0,
      "X",
      ""
   )
)</f>
        <v/>
      </c>
      <c r="M211" s="75" t="str" cm="1">
        <f t="array" ref="M211">IF(
   SUM(IF($G$212:$G$221="R",IF(ISNUMBER(M212:M221),M212:M221,0)))&gt;0,
   SUM(IF($G$212:$G$221="R",IF(ISNUMBER(M212:M221),M212:M221,0))),
   IF(
      COUNTIFS($G$212:$G$221,"R",M212:M221,"X")&gt;0,
      "X",
      ""
   )
)</f>
        <v/>
      </c>
      <c r="N211" s="75" t="str" cm="1">
        <f t="array" ref="N211">IF(
   SUM(IF($G$212:$G$221="R",IF(ISNUMBER(N212:N221),N212:N221,0)))&gt;0,
   SUM(IF($G$212:$G$221="R",IF(ISNUMBER(N212:N221),N212:N221,0))),
   IF(
      COUNTIFS($G$212:$G$221,"R",N212:N221,"X")&gt;0,
      "X",
      ""
   )
)</f>
        <v/>
      </c>
      <c r="O211" s="75" t="str" cm="1">
        <f t="array" ref="O211">IF(
   SUM(IF($G$212:$G$221="R",IF(ISNUMBER(O212:O221),O212:O221,0)))&gt;0,
   SUM(IF($G$212:$G$221="R",IF(ISNUMBER(O212:O221),O212:O221,0))),
   IF(
      COUNTIFS($G$212:$G$221,"R",O212:O221,"X")&gt;0,
      "X",
      ""
   )
)</f>
        <v/>
      </c>
      <c r="P211" s="75" t="str" cm="1">
        <f t="array" ref="P211">IF(
   SUM(IF($G$212:$G$221="R",IF(ISNUMBER(P212:P221),P212:P221,0)))&gt;0,
   SUM(IF($G$212:$G$221="R",IF(ISNUMBER(P212:P221),P212:P221,0))),
   IF(
      COUNTIFS($G$212:$G$221,"R",P212:P221,"X")&gt;0,
      "X",
      ""
   )
)</f>
        <v/>
      </c>
      <c r="Q211" s="52"/>
      <c r="R211" s="2"/>
      <c r="S211" s="52">
        <f ca="1">SUMIF($K$7:Q$7,"&lt;="&amp;$I$7,K211:P211)</f>
        <v>0</v>
      </c>
      <c r="T211" s="744"/>
      <c r="U211" s="2"/>
      <c r="V211" s="83" t="str" cm="1">
        <f t="array" ref="V211">IF(
   SUM(IF($G$212:$G$221="R",IF(ISNUMBER(V212:V221),V212:V221,0)))&gt;0,
   SUM(IF($G$212:$G$221="R",IF(ISNUMBER(V212:V221),V212:V221,0))),
   IF(
      COUNTIFS($G$212:$G$221,"R",V212:V221,"X")&gt;0,
      "X",
      ""
   )
)</f>
        <v/>
      </c>
      <c r="W211" s="83" t="str" cm="1">
        <f t="array" ref="W211">IF(
   SUM(IF($G$212:$G$221="R",IF(ISNUMBER(W212:W221),W212:W221,0)))&gt;0,
   SUM(IF($G$212:$G$221="R",IF(ISNUMBER(W212:W221),W212:W221,0))),
   IF(
      COUNTIFS($G$212:$G$221,"R",W212:W221,"X")&gt;0,
      "X",
      ""
   )
)</f>
        <v/>
      </c>
      <c r="X211" s="83" t="str" cm="1">
        <f t="array" ref="X211">IF(
   SUM(IF($G$212:$G$221="R",IF(ISNUMBER(X212:X221),X212:X221,0)))&gt;0,
   SUM(IF($G$212:$G$221="R",IF(ISNUMBER(X212:X221),X212:X221,0))),
   IF(
      COUNTIFS($G$212:$G$221,"R",X212:X221,"X")&gt;0,
      "X",
      ""
   )
)</f>
        <v/>
      </c>
      <c r="Y211" s="83" t="str" cm="1">
        <f t="array" ref="Y211">IF(
   SUM(IF($G$212:$G$221="R",IF(ISNUMBER(Y212:Y221),Y212:Y221,0)))&gt;0,
   SUM(IF($G$212:$G$221="R",IF(ISNUMBER(Y212:Y221),Y212:Y221,0))),
   IF(
      COUNTIFS($G$212:$G$221,"R",Y212:Y221,"X")&gt;0,
      "X",
      ""
   )
)</f>
        <v/>
      </c>
      <c r="Z211" s="83" t="str" cm="1">
        <f t="array" ref="Z211">IF(
   SUM(IF($G$212:$G$221="R",IF(ISNUMBER(Z212:Z221),Z212:Z221,0)))&gt;0,
   SUM(IF($G$212:$G$221="R",IF(ISNUMBER(Z212:Z221),Z212:Z221,0))),
   IF(
      COUNTIFS($G$212:$G$221,"R",Z212:Z221,"X")&gt;0,
      "X",
      ""
   )
)</f>
        <v/>
      </c>
      <c r="AA211" s="83" t="str" cm="1">
        <f t="array" ref="AA211">IF(
   SUM(IF($G$212:$G$221="R",IF(ISNUMBER(AA212:AA221),AA212:AA221,0)))&gt;0,
   SUM(IF($G$212:$G$221="R",IF(ISNUMBER(AA212:AA221),AA212:AA221,0))),
   IF(
      COUNTIFS($G$212:$G$221,"R",AA212:AA221,"X")&gt;0,
      "X",
      ""
   )
)</f>
        <v>X</v>
      </c>
      <c r="AB211" s="52"/>
      <c r="AC211" s="2"/>
      <c r="AD211" s="52">
        <f ca="1">SUMIF($K$7:AB$7,"&lt;="&amp;$I$7,V211:AB211)</f>
        <v>0</v>
      </c>
      <c r="AE211" s="744"/>
      <c r="AF211" s="2"/>
      <c r="AG211" s="75" t="str" cm="1">
        <f t="array" ref="AG211">IF(
   SUM(IF($G$212:$G$221="R",IF(ISNUMBER(AG212:AG221),AG212:AG221,0)))&gt;0,
   SUM(IF($G$212:$G$221="R",IF(ISNUMBER(AG212:AG221),AG212:AG221,0))),
   IF(
      COUNTIFS($G$212:$G$221,"R",AG212:AG221,"X")&gt;0,
      "X",
      ""
   )
)</f>
        <v>X</v>
      </c>
      <c r="AH211" s="75" t="str" cm="1">
        <f t="array" ref="AH211">IF(
   SUM(IF($G$212:$G$221="R",IF(ISNUMBER(AH212:AH221),AH212:AH221,0)))&gt;0,
   SUM(IF($G$212:$G$221="R",IF(ISNUMBER(AH212:AH221),AH212:AH221,0))),
   IF(
      COUNTIFS($G$212:$G$221,"R",AH212:AH221,"X")&gt;0,
      "X",
      ""
   )
)</f>
        <v>X</v>
      </c>
      <c r="AI211" s="75" t="str" cm="1">
        <f t="array" ref="AI211">IF(
   SUM(IF($G$212:$G$221="R",IF(ISNUMBER(AI212:AI221),AI212:AI221,0)))&gt;0,
   SUM(IF($G$212:$G$221="R",IF(ISNUMBER(AI212:AI221),AI212:AI221,0))),
   IF(
      COUNTIFS($G$212:$G$221,"R",AI212:AI221,"X")&gt;0,
      "X",
      ""
   )
)</f>
        <v/>
      </c>
      <c r="AJ211" s="75" t="str" cm="1">
        <f t="array" ref="AJ211">IF(
   SUM(IF($G$212:$G$221="R",IF(ISNUMBER(AJ212:AJ221),AJ212:AJ221,0)))&gt;0,
   SUM(IF($G$212:$G$221="R",IF(ISNUMBER(AJ212:AJ221),AJ212:AJ221,0))),
   IF(
      COUNTIFS($G$212:$G$221,"R",AJ212:AJ221,"X")&gt;0,
      "X",
      ""
   )
)</f>
        <v/>
      </c>
      <c r="AK211" s="75" t="str" cm="1">
        <f t="array" ref="AK211">IF(
   SUM(IF($G$212:$G$221="R",IF(ISNUMBER(AK212:AK221),AK212:AK221,0)))&gt;0,
   SUM(IF($G$212:$G$221="R",IF(ISNUMBER(AK212:AK221),AK212:AK221,0))),
   IF(
      COUNTIFS($G$212:$G$221,"R",AK212:AK221,"X")&gt;0,
      "X",
      ""
   )
)</f>
        <v/>
      </c>
      <c r="AL211" s="75" t="str" cm="1">
        <f t="array" ref="AL211">IF(
   SUM(IF($G$212:$G$221="R",IF(ISNUMBER(AL212:AL221),AL212:AL221,0)))&gt;0,
   SUM(IF($G$212:$G$221="R",IF(ISNUMBER(AL212:AL221),AL212:AL221,0))),
   IF(
      COUNTIFS($G$212:$G$221,"R",AL212:AL221,"X")&gt;0,
      "X",
      ""
   )
)</f>
        <v/>
      </c>
      <c r="AM211" s="52"/>
      <c r="AN211" s="2"/>
      <c r="AO211" s="52">
        <f ca="1">SUMIF($AG$7:AM$7,"&lt;="&amp;$I$7,AG211:AL211)</f>
        <v>0</v>
      </c>
      <c r="AP211" s="744"/>
      <c r="AQ211" s="2"/>
      <c r="AR211" s="75" t="str" cm="1">
        <f t="array" ref="AR211">IF(
   SUM(IF($G$212:$G$223="R",IF(ISNUMBER(AR212:AR223),AR212:AR223,0)))&gt;0,
   SUM(IF($G$212:$G$223="R",IF(ISNUMBER(AR212:AR223),AR212:AR223,0))),
   IF(
      COUNTIFS($G$212:$G$223,"R",AR212:AR223,"X")&gt;0,
      "X",
      ""
   )
)</f>
        <v/>
      </c>
      <c r="AS211" s="75" t="str" cm="1">
        <f t="array" ref="AS211">IF(
   SUM(IF($G$212:$G$223="R",IF(ISNUMBER(AS212:AS223),AS212:AS223,0)))&gt;0,
   SUM(IF($G$212:$G$223="R",IF(ISNUMBER(AS212:AS223),AS212:AS223,0))),
   IF(
      COUNTIFS($G$212:$G$223,"R",AS212:AS223,"X")&gt;0,
      "X",
      ""
   )
)</f>
        <v/>
      </c>
      <c r="AT211" s="75" t="str" cm="1">
        <f t="array" ref="AT211">IF(
   SUM(IF($G$212:$G$223="R",IF(ISNUMBER(AT212:AT223),AT212:AT223,0)))&gt;0,
   SUM(IF($G$212:$G$223="R",IF(ISNUMBER(AT212:AT223),AT212:AT223,0))),
   IF(
      COUNTIFS($G$212:$G$223,"R",AT212:AT223,"X")&gt;0,
      "X",
      ""
   )
)</f>
        <v/>
      </c>
      <c r="AU211" s="75" t="str" cm="1">
        <f t="array" ref="AU211">IF(
   SUM(IF($G$212:$G$223="R",IF(ISNUMBER(AU212:AU223),AU212:AU223,0)))&gt;0,
   SUM(IF($G$212:$G$223="R",IF(ISNUMBER(AU212:AU223),AU212:AU223,0))),
   IF(
      COUNTIFS($G$212:$G$223,"R",AU212:AU223,"X")&gt;0,
      "X",
      ""
   )
)</f>
        <v/>
      </c>
      <c r="AV211" s="75" t="str" cm="1">
        <f t="array" ref="AV211">IF(
   SUM(IF($G$212:$G$223="R",IF(ISNUMBER(AV212:AV223),AV212:AV223,0)))&gt;0,
   SUM(IF($G$212:$G$223="R",IF(ISNUMBER(AV212:AV223),AV212:AV223,0))),
   IF(
      COUNTIFS($G$212:$G$223,"R",AV212:AV223,"X")&gt;0,
      "X",
      ""
   )
)</f>
        <v/>
      </c>
      <c r="AW211" s="75" t="str" cm="1">
        <f t="array" ref="AW211">IF(
   SUM(IF($G$212:$G$223="R",IF(ISNUMBER(AW212:AW223),AW212:AW223,0)))&gt;0,
   SUM(IF($G$212:$G$223="R",IF(ISNUMBER(AW212:AW223),AW212:AW223,0))),
   IF(
      COUNTIFS($G$212:$G$223,"R",AW212:AW223,"X")&gt;0,
      "X",
      ""
   )
)</f>
        <v/>
      </c>
      <c r="AX211" s="52"/>
      <c r="AY211" s="2"/>
      <c r="AZ211" s="52">
        <f ca="1">SUMIF($AR$7:AX$7,"&lt;="&amp;$I$7,AR211:AW211)</f>
        <v>0</v>
      </c>
      <c r="BA211" s="744"/>
      <c r="BB211" s="2"/>
      <c r="BC211" s="75" t="str" cm="1">
        <f t="array" ref="BC211">IF(
   SUM(IF($G$212:$G$223="R",IF(ISNUMBER(BC212:BC223),BC212:BC223,0)))&gt;0,
   SUM(IF($G$212:$G$223="R",IF(ISNUMBER(BC212:BC223),BC212:BC223,0))),
   IF(
      COUNTIFS($G$212:$G$223,"R",BC212:BC223,"X")&gt;0,
      "X",
      ""
   )
)</f>
        <v/>
      </c>
      <c r="BD211" s="75" t="str" cm="1">
        <f t="array" ref="BD211">IF(
   SUM(IF($G$212:$G$223="R",IF(ISNUMBER(BD212:BD223),BD212:BD223,0)))&gt;0,
   SUM(IF($G$212:$G$223="R",IF(ISNUMBER(BD212:BD223),BD212:BD223,0))),
   IF(
      COUNTIFS($G$212:$G$223,"R",BD212:BD223,"X")&gt;0,
      "X",
      ""
   )
)</f>
        <v/>
      </c>
      <c r="BE211" s="75" t="str" cm="1">
        <f t="array" ref="BE211">IF(
   SUM(IF($G$212:$G$223="R",IF(ISNUMBER(BE212:BE223),BE212:BE223,0)))&gt;0,
   SUM(IF($G$212:$G$223="R",IF(ISNUMBER(BE212:BE223),BE212:BE223,0))),
   IF(
      COUNTIFS($G$212:$G$223,"R",BE212:BE223,"X")&gt;0,
      "X",
      ""
   )
)</f>
        <v/>
      </c>
      <c r="BF211" s="75" t="str" cm="1">
        <f t="array" ref="BF211">IF(
   SUM(IF($G$212:$G$223="R",IF(ISNUMBER(BF212:BF223),BF212:BF223,0)))&gt;0,
   SUM(IF($G$212:$G$223="R",IF(ISNUMBER(BF212:BF223),BF212:BF223,0))),
   IF(
      COUNTIFS($G$212:$G$223,"R",BF212:BF223,"X")&gt;0,
      "X",
      ""
   )
)</f>
        <v/>
      </c>
      <c r="BG211" s="75" t="str" cm="1">
        <f t="array" ref="BG211">IF(
   SUM(IF($G$212:$G$223="R",IF(ISNUMBER(BG212:BG223),BG212:BG223,0)))&gt;0,
   SUM(IF($G$212:$G$223="R",IF(ISNUMBER(BG212:BG223),BG212:BG223,0))),
   IF(
      COUNTIFS($G$212:$G$223,"R",BG212:BG223,"X")&gt;0,
      "X",
      ""
   )
)</f>
        <v/>
      </c>
      <c r="BH211" s="75" t="str" cm="1">
        <f t="array" ref="BH211">IF(
   SUM(IF($G$212:$G$223="R",IF(ISNUMBER(BH212:BH223),BH212:BH223,0)))&gt;0,
   SUM(IF($G$212:$G$223="R",IF(ISNUMBER(BH212:BH223),BH212:BH223,0))),
   IF(
      COUNTIFS($G$212:$G$223,"R",BH212:BH223,"X")&gt;0,
      "X",
      ""
   )
)</f>
        <v/>
      </c>
      <c r="BI211" s="52"/>
      <c r="BJ211" s="2"/>
      <c r="BK211" s="52">
        <f ca="1">SUMIF($BC$7:BI$7,"&lt;="&amp;$I$7,BC211:BH211)</f>
        <v>0</v>
      </c>
      <c r="BL211" s="744"/>
      <c r="BM211" s="2"/>
      <c r="BN211" s="889"/>
      <c r="BO211" s="889"/>
      <c r="BP211" s="889"/>
      <c r="BQ211" s="744"/>
      <c r="BR211" s="2"/>
      <c r="BS211" s="889"/>
      <c r="BT211" s="889"/>
      <c r="BU211" s="889"/>
      <c r="BV211" s="889"/>
      <c r="BW211" s="1020"/>
      <c r="BX211" s="889"/>
      <c r="BY211" s="744"/>
      <c r="BZ211" s="2"/>
      <c r="CA211" s="889"/>
      <c r="CB211" s="889"/>
      <c r="CC211" s="2"/>
      <c r="CD211" s="52">
        <f>IFERROR(AVERAGEIF($K$7:Q$7,"&lt;="&amp;$I$7,K211:Q211),0)</f>
        <v>0</v>
      </c>
      <c r="CE211" s="2"/>
      <c r="CH211" s="93" t="str">
        <f t="shared" si="492"/>
        <v>PASSAGEM DE GADO - MONTAGEM DAS ALAS</v>
      </c>
    </row>
    <row r="212" spans="1:86" s="16" customFormat="1" ht="15.95" hidden="1" customHeight="1" outlineLevel="1">
      <c r="A212" s="74"/>
      <c r="B212" s="1046" t="s">
        <v>3946</v>
      </c>
      <c r="C212" s="1014" t="s">
        <v>1437</v>
      </c>
      <c r="D212" s="2"/>
      <c r="E212" s="1004">
        <v>0</v>
      </c>
      <c r="F212" s="2"/>
      <c r="G212" s="49" t="s">
        <v>37</v>
      </c>
      <c r="H212" s="705">
        <f t="shared" si="439"/>
        <v>0</v>
      </c>
      <c r="I212" s="878" t="str">
        <f t="shared" ref="I212" si="503">IF(H212=0,IF(H213&gt;0,1,"-"),IFERROR(H213/H212,"-"))</f>
        <v>-</v>
      </c>
      <c r="J212" s="2"/>
      <c r="K212" s="705"/>
      <c r="L212" s="705"/>
      <c r="M212" s="705"/>
      <c r="N212" s="705"/>
      <c r="O212" s="705"/>
      <c r="P212" s="705"/>
      <c r="Q212" s="705"/>
      <c r="R212" s="2"/>
      <c r="S212" s="705">
        <f ca="1">SUMIF($K$7:Q$7,"&lt;="&amp;$I$7,K212:P212)</f>
        <v>0</v>
      </c>
      <c r="T212" s="878" t="str">
        <f ca="1">IFERROR((S213/S212),"-")</f>
        <v>-</v>
      </c>
      <c r="U212" s="2"/>
      <c r="V212" s="705"/>
      <c r="W212" s="705"/>
      <c r="X212" s="705"/>
      <c r="Y212" s="705"/>
      <c r="Z212" s="705"/>
      <c r="AA212" s="705"/>
      <c r="AB212" s="705"/>
      <c r="AC212" s="2"/>
      <c r="AD212" s="705">
        <f ca="1">SUMIF($V$7:AB$7,"&lt;="&amp;$I$7,V212:AA212)</f>
        <v>0</v>
      </c>
      <c r="AE212" s="878" t="str">
        <f ca="1">IFERROR((AD213/AD212),"-")</f>
        <v>-</v>
      </c>
      <c r="AF212" s="2"/>
      <c r="AG212" s="705"/>
      <c r="AH212" s="705"/>
      <c r="AI212" s="705"/>
      <c r="AJ212" s="705"/>
      <c r="AK212" s="705"/>
      <c r="AL212" s="705"/>
      <c r="AM212" s="705"/>
      <c r="AN212" s="2"/>
      <c r="AO212" s="705">
        <f ca="1">SUMIF($AG$7:AM$7,"&lt;="&amp;$I$7,AG212:AL212)</f>
        <v>0</v>
      </c>
      <c r="AP212" s="878" t="str">
        <f ca="1">IFERROR((AO213/AO212),"-")</f>
        <v>-</v>
      </c>
      <c r="AQ212" s="2"/>
      <c r="AR212" s="705"/>
      <c r="AS212" s="705"/>
      <c r="AT212" s="705"/>
      <c r="AU212" s="705"/>
      <c r="AV212" s="705"/>
      <c r="AW212" s="705"/>
      <c r="AX212" s="705"/>
      <c r="AY212" s="2"/>
      <c r="AZ212" s="705">
        <f ca="1">SUMIF($AR$7:AX$7,"&lt;="&amp;$I$7,AR212:AW212)</f>
        <v>0</v>
      </c>
      <c r="BA212" s="878" t="str">
        <f ca="1">IFERROR((AZ213/AZ212),"-")</f>
        <v>-</v>
      </c>
      <c r="BB212" s="2"/>
      <c r="BC212" s="705"/>
      <c r="BD212" s="705"/>
      <c r="BE212" s="705"/>
      <c r="BF212" s="705"/>
      <c r="BG212" s="705"/>
      <c r="BH212" s="705"/>
      <c r="BI212" s="705"/>
      <c r="BJ212" s="2"/>
      <c r="BK212" s="705">
        <f ca="1">SUMIF($BC$7:BI$7,"&lt;="&amp;$I$7,BC212:BH212)</f>
        <v>0</v>
      </c>
      <c r="BL212" s="878" t="str">
        <f ca="1">IFERROR((BK213/BK212),"-")</f>
        <v>-</v>
      </c>
      <c r="BM212" s="2"/>
      <c r="BN212" s="884">
        <v>0</v>
      </c>
      <c r="BO212" s="884">
        <v>0</v>
      </c>
      <c r="BP212" s="884">
        <f>SUM(M213:P213,V213:AB213,AG213:AM213,AR213:AX213,BC213:BI213)</f>
        <v>0</v>
      </c>
      <c r="BQ212" s="878" t="str">
        <f t="shared" ref="BQ212" si="504">IF(AND(BO212=0,BP212=0),"-",IF(BO212=0,1,BP212/BO212))</f>
        <v>-</v>
      </c>
      <c r="BR212" s="2"/>
      <c r="BS212" s="884"/>
      <c r="BT212" s="884"/>
      <c r="BU212" s="884">
        <f ca="1">E212+Q213+AD213+AO213+AZ213+BK213</f>
        <v>0</v>
      </c>
      <c r="BV212" s="884">
        <v>104</v>
      </c>
      <c r="BW212" s="1004">
        <f ca="1">IFERROR((BU212/BV212),"-")</f>
        <v>0</v>
      </c>
      <c r="BX212" s="884">
        <v>0</v>
      </c>
      <c r="BY212" s="878" t="str">
        <f ca="1">IFERROR((BU212/BX212),"-")</f>
        <v>-</v>
      </c>
      <c r="BZ212" s="2"/>
      <c r="CA212" s="884">
        <v>1</v>
      </c>
      <c r="CB212" s="884">
        <v>0</v>
      </c>
      <c r="CC212" s="2"/>
      <c r="CD212" s="504">
        <f>IFERROR(AVERAGEIF($K$7:Q$7,"&lt;="&amp;$I$7,K212:Q212),0)</f>
        <v>0</v>
      </c>
      <c r="CE212" s="2"/>
      <c r="CH212" s="93" t="str">
        <f t="shared" si="492"/>
        <v>PG BSCC- 215+040</v>
      </c>
    </row>
    <row r="213" spans="1:86" s="16" customFormat="1" ht="15.95" hidden="1" customHeight="1" outlineLevel="1">
      <c r="A213" s="74"/>
      <c r="B213" s="1047"/>
      <c r="C213" s="1034"/>
      <c r="D213" s="2"/>
      <c r="E213" s="1024"/>
      <c r="F213" s="2"/>
      <c r="G213" s="50" t="s">
        <v>38</v>
      </c>
      <c r="H213" s="705">
        <f t="shared" si="439"/>
        <v>0</v>
      </c>
      <c r="I213" s="879"/>
      <c r="J213" s="2"/>
      <c r="K213" s="76"/>
      <c r="L213" s="76"/>
      <c r="M213" s="76"/>
      <c r="N213" s="76"/>
      <c r="O213" s="76"/>
      <c r="P213" s="76"/>
      <c r="Q213" s="706"/>
      <c r="R213" s="2"/>
      <c r="S213" s="705">
        <f ca="1">SUMIF($K$7:Q$7,"&lt;="&amp;$I$7,K213:P213)</f>
        <v>0</v>
      </c>
      <c r="T213" s="879"/>
      <c r="U213" s="2"/>
      <c r="V213" s="76"/>
      <c r="W213" s="76"/>
      <c r="X213" s="76"/>
      <c r="Y213" s="76"/>
      <c r="Z213" s="76"/>
      <c r="AA213" s="76"/>
      <c r="AB213" s="706"/>
      <c r="AC213" s="2"/>
      <c r="AD213" s="705">
        <f ca="1">SUMIF($V$7:AB$7,"&lt;="&amp;$I$7,V213:AA213)</f>
        <v>0</v>
      </c>
      <c r="AE213" s="879"/>
      <c r="AF213" s="2"/>
      <c r="AG213" s="76"/>
      <c r="AH213" s="76"/>
      <c r="AI213" s="76"/>
      <c r="AJ213" s="76"/>
      <c r="AK213" s="76"/>
      <c r="AL213" s="76"/>
      <c r="AM213" s="706"/>
      <c r="AN213" s="2"/>
      <c r="AO213" s="705">
        <f ca="1">SUMIF($AG$7:AM$7,"&lt;="&amp;$I$7,AG213:AL213)</f>
        <v>0</v>
      </c>
      <c r="AP213" s="879"/>
      <c r="AQ213" s="2"/>
      <c r="AR213" s="76"/>
      <c r="AS213" s="76"/>
      <c r="AT213" s="76"/>
      <c r="AU213" s="76"/>
      <c r="AV213" s="76"/>
      <c r="AW213" s="76"/>
      <c r="AX213" s="706"/>
      <c r="AY213" s="2"/>
      <c r="AZ213" s="705">
        <f ca="1">SUMIF($AR$7:AX$7,"&lt;="&amp;$I$7,AR213:AW213)</f>
        <v>0</v>
      </c>
      <c r="BA213" s="879"/>
      <c r="BB213" s="2"/>
      <c r="BC213" s="76"/>
      <c r="BD213" s="76"/>
      <c r="BE213" s="76"/>
      <c r="BF213" s="76"/>
      <c r="BG213" s="76"/>
      <c r="BH213" s="76"/>
      <c r="BI213" s="706"/>
      <c r="BJ213" s="2"/>
      <c r="BK213" s="705">
        <f ca="1">SUMIF($BC$7:BI$7,"&lt;="&amp;$I$7,BC213:BH213)</f>
        <v>0</v>
      </c>
      <c r="BL213" s="879"/>
      <c r="BM213" s="2"/>
      <c r="BN213" s="885"/>
      <c r="BO213" s="885"/>
      <c r="BP213" s="885"/>
      <c r="BQ213" s="879"/>
      <c r="BR213" s="2"/>
      <c r="BS213" s="885"/>
      <c r="BT213" s="885"/>
      <c r="BU213" s="885"/>
      <c r="BV213" s="885"/>
      <c r="BW213" s="1005"/>
      <c r="BX213" s="885"/>
      <c r="BY213" s="879"/>
      <c r="BZ213" s="81"/>
      <c r="CA213" s="885"/>
      <c r="CB213" s="885"/>
      <c r="CC213" s="2"/>
      <c r="CD213" s="504">
        <f>IFERROR(AVERAGEIF($K$7:Q$7,"&lt;="&amp;$I$7,K213:Q213),0)</f>
        <v>0</v>
      </c>
      <c r="CE213" s="2"/>
      <c r="CH213" s="93" t="str">
        <f t="shared" si="492"/>
        <v>PG BSCC- 215+040</v>
      </c>
    </row>
    <row r="214" spans="1:86" s="16" customFormat="1" ht="15.95" hidden="1" customHeight="1" outlineLevel="1">
      <c r="A214" s="74"/>
      <c r="B214" s="1046" t="s">
        <v>3943</v>
      </c>
      <c r="C214" s="1014" t="s">
        <v>1437</v>
      </c>
      <c r="D214" s="2"/>
      <c r="E214" s="1004">
        <v>0</v>
      </c>
      <c r="F214" s="2"/>
      <c r="G214" s="49" t="s">
        <v>37</v>
      </c>
      <c r="H214" s="705">
        <f t="shared" si="439"/>
        <v>0</v>
      </c>
      <c r="I214" s="878" t="str">
        <f t="shared" ref="I214" si="505">IF(H214=0,IF(H215&gt;0,1,"-"),IFERROR(H215/H214,"-"))</f>
        <v>-</v>
      </c>
      <c r="J214" s="2"/>
      <c r="K214" s="705"/>
      <c r="L214" s="705"/>
      <c r="M214" s="705"/>
      <c r="N214" s="705"/>
      <c r="O214" s="705"/>
      <c r="P214" s="705" t="s">
        <v>1434</v>
      </c>
      <c r="Q214" s="705"/>
      <c r="R214" s="2"/>
      <c r="S214" s="705">
        <f ca="1">SUMIF($K$7:Q$7,"&lt;="&amp;$I$7,K214:P214)</f>
        <v>0</v>
      </c>
      <c r="T214" s="878" t="str">
        <f ca="1">IFERROR((S215/S214),"-")</f>
        <v>-</v>
      </c>
      <c r="U214" s="2"/>
      <c r="V214" s="705"/>
      <c r="W214" s="705"/>
      <c r="X214" s="705"/>
      <c r="Y214" s="705"/>
      <c r="Z214" s="705"/>
      <c r="AA214" s="705"/>
      <c r="AB214" s="705"/>
      <c r="AC214" s="2"/>
      <c r="AD214" s="705">
        <f ca="1">SUMIF($V$7:AB$7,"&lt;="&amp;$I$7,V214:AA214)</f>
        <v>0</v>
      </c>
      <c r="AE214" s="878" t="str">
        <f ca="1">IFERROR((AD215/AD214),"-")</f>
        <v>-</v>
      </c>
      <c r="AF214" s="2"/>
      <c r="AG214" s="705"/>
      <c r="AH214" s="705"/>
      <c r="AI214" s="705"/>
      <c r="AJ214" s="705"/>
      <c r="AK214" s="705"/>
      <c r="AL214" s="705"/>
      <c r="AM214" s="705"/>
      <c r="AN214" s="2"/>
      <c r="AO214" s="705">
        <f ca="1">SUMIF($AG$7:AM$7,"&lt;="&amp;$I$7,AG214:AL214)</f>
        <v>0</v>
      </c>
      <c r="AP214" s="878" t="str">
        <f ca="1">IFERROR((AO215/AO214),"-")</f>
        <v>-</v>
      </c>
      <c r="AQ214" s="2"/>
      <c r="AR214" s="705"/>
      <c r="AS214" s="705"/>
      <c r="AT214" s="705"/>
      <c r="AU214" s="705"/>
      <c r="AV214" s="705"/>
      <c r="AW214" s="705"/>
      <c r="AX214" s="705"/>
      <c r="AY214" s="2"/>
      <c r="AZ214" s="705">
        <f ca="1">SUMIF($AR$7:AX$7,"&lt;="&amp;$I$7,AR214:AW214)</f>
        <v>0</v>
      </c>
      <c r="BA214" s="878" t="str">
        <f ca="1">IFERROR((AZ215/AZ214),"-")</f>
        <v>-</v>
      </c>
      <c r="BB214" s="2"/>
      <c r="BC214" s="705"/>
      <c r="BD214" s="705"/>
      <c r="BE214" s="705"/>
      <c r="BF214" s="705"/>
      <c r="BG214" s="705"/>
      <c r="BH214" s="705"/>
      <c r="BI214" s="705"/>
      <c r="BJ214" s="2"/>
      <c r="BK214" s="705">
        <f ca="1">SUMIF($BC$7:BI$7,"&lt;="&amp;$I$7,BC214:BH214)</f>
        <v>0</v>
      </c>
      <c r="BL214" s="878" t="str">
        <f ca="1">IFERROR((BK215/BK214),"-")</f>
        <v>-</v>
      </c>
      <c r="BM214" s="2"/>
      <c r="BN214" s="884">
        <v>0</v>
      </c>
      <c r="BO214" s="884">
        <v>0</v>
      </c>
      <c r="BP214" s="884">
        <f>SUM(M215:P215,V215:AB215,AG215:AM215,AR215:AX215,BC215:BI215)</f>
        <v>0</v>
      </c>
      <c r="BQ214" s="878" t="str">
        <f t="shared" ref="BQ214" si="506">IF(AND(BO214=0,BP214=0),"-",IF(BO214=0,1,BP214/BO214))</f>
        <v>-</v>
      </c>
      <c r="BR214" s="2"/>
      <c r="BS214" s="884"/>
      <c r="BT214" s="884"/>
      <c r="BU214" s="884">
        <f ca="1">E214+Q215+AD215+AO215+AZ215+BK215</f>
        <v>0</v>
      </c>
      <c r="BV214" s="884">
        <v>104</v>
      </c>
      <c r="BW214" s="1004">
        <f ca="1">IFERROR((BU214/BV214),"-")</f>
        <v>0</v>
      </c>
      <c r="BX214" s="884">
        <v>0</v>
      </c>
      <c r="BY214" s="878" t="str">
        <f ca="1">IFERROR((BU214/BX214),"-")</f>
        <v>-</v>
      </c>
      <c r="BZ214" s="2"/>
      <c r="CA214" s="884">
        <v>1</v>
      </c>
      <c r="CB214" s="884">
        <v>0</v>
      </c>
      <c r="CC214" s="2"/>
      <c r="CD214" s="504">
        <f>IFERROR(AVERAGEIF($K$7:Q$7,"&lt;="&amp;$I$7,K214:Q214),0)</f>
        <v>0</v>
      </c>
      <c r="CE214" s="2"/>
      <c r="CH214" s="93" t="str">
        <f t="shared" si="492"/>
        <v>PF BSCC - KM 226+000</v>
      </c>
    </row>
    <row r="215" spans="1:86" s="16" customFormat="1" ht="15.95" hidden="1" customHeight="1" outlineLevel="1">
      <c r="A215" s="74"/>
      <c r="B215" s="1047"/>
      <c r="C215" s="1034"/>
      <c r="D215" s="2"/>
      <c r="E215" s="1024"/>
      <c r="F215" s="2"/>
      <c r="G215" s="50" t="s">
        <v>38</v>
      </c>
      <c r="H215" s="705">
        <f t="shared" si="439"/>
        <v>0</v>
      </c>
      <c r="I215" s="879"/>
      <c r="J215" s="2"/>
      <c r="K215" s="76"/>
      <c r="L215" s="76"/>
      <c r="M215" s="76"/>
      <c r="N215" s="76"/>
      <c r="O215" s="76"/>
      <c r="P215" s="76"/>
      <c r="Q215" s="706"/>
      <c r="R215" s="2"/>
      <c r="S215" s="705">
        <f ca="1">SUMIF($K$7:Q$7,"&lt;="&amp;$I$7,K215:P215)</f>
        <v>0</v>
      </c>
      <c r="T215" s="879"/>
      <c r="U215" s="2"/>
      <c r="V215" s="76"/>
      <c r="W215" s="76"/>
      <c r="X215" s="76"/>
      <c r="Y215" s="76"/>
      <c r="Z215" s="76"/>
      <c r="AA215" s="76"/>
      <c r="AB215" s="706"/>
      <c r="AC215" s="2"/>
      <c r="AD215" s="705">
        <f ca="1">SUMIF($V$7:AB$7,"&lt;="&amp;$I$7,V215:AA215)</f>
        <v>0</v>
      </c>
      <c r="AE215" s="879"/>
      <c r="AF215" s="2"/>
      <c r="AG215" s="76"/>
      <c r="AH215" s="76"/>
      <c r="AI215" s="76"/>
      <c r="AJ215" s="76"/>
      <c r="AK215" s="76"/>
      <c r="AL215" s="76"/>
      <c r="AM215" s="706"/>
      <c r="AN215" s="2"/>
      <c r="AO215" s="705">
        <f ca="1">SUMIF($AG$7:AM$7,"&lt;="&amp;$I$7,AG215:AL215)</f>
        <v>0</v>
      </c>
      <c r="AP215" s="879"/>
      <c r="AQ215" s="2"/>
      <c r="AR215" s="76"/>
      <c r="AS215" s="76"/>
      <c r="AT215" s="76"/>
      <c r="AU215" s="76"/>
      <c r="AV215" s="76"/>
      <c r="AW215" s="76"/>
      <c r="AX215" s="706"/>
      <c r="AY215" s="2"/>
      <c r="AZ215" s="705">
        <f ca="1">SUMIF($AR$7:AX$7,"&lt;="&amp;$I$7,AR215:AW215)</f>
        <v>0</v>
      </c>
      <c r="BA215" s="879"/>
      <c r="BB215" s="2"/>
      <c r="BC215" s="76"/>
      <c r="BD215" s="76"/>
      <c r="BE215" s="76"/>
      <c r="BF215" s="76"/>
      <c r="BG215" s="76"/>
      <c r="BH215" s="76"/>
      <c r="BI215" s="706"/>
      <c r="BJ215" s="2"/>
      <c r="BK215" s="705">
        <f ca="1">SUMIF($BC$7:BI$7,"&lt;="&amp;$I$7,BC215:BH215)</f>
        <v>0</v>
      </c>
      <c r="BL215" s="879"/>
      <c r="BM215" s="2"/>
      <c r="BN215" s="885"/>
      <c r="BO215" s="885"/>
      <c r="BP215" s="885"/>
      <c r="BQ215" s="879"/>
      <c r="BR215" s="2"/>
      <c r="BS215" s="885"/>
      <c r="BT215" s="885"/>
      <c r="BU215" s="885"/>
      <c r="BV215" s="885"/>
      <c r="BW215" s="1005"/>
      <c r="BX215" s="885"/>
      <c r="BY215" s="879"/>
      <c r="BZ215" s="81"/>
      <c r="CA215" s="885"/>
      <c r="CB215" s="885"/>
      <c r="CC215" s="2"/>
      <c r="CD215" s="504">
        <f>IFERROR(AVERAGEIF($K$7:Q$7,"&lt;="&amp;$I$7,K215:Q215),0)</f>
        <v>0</v>
      </c>
      <c r="CE215" s="2"/>
      <c r="CH215" s="93" t="str">
        <f t="shared" si="492"/>
        <v>PF BSCC - KM 226+000</v>
      </c>
    </row>
    <row r="216" spans="1:86" s="16" customFormat="1" ht="15.95" hidden="1" customHeight="1" outlineLevel="1">
      <c r="A216" s="74"/>
      <c r="B216" s="1046" t="s">
        <v>3944</v>
      </c>
      <c r="C216" s="1014" t="s">
        <v>1437</v>
      </c>
      <c r="D216" s="2"/>
      <c r="E216" s="1004">
        <v>0</v>
      </c>
      <c r="F216" s="2"/>
      <c r="G216" s="49" t="s">
        <v>37</v>
      </c>
      <c r="H216" s="705">
        <f t="shared" si="439"/>
        <v>0</v>
      </c>
      <c r="I216" s="878" t="str">
        <f t="shared" ref="I216" si="507">IF(H216=0,IF(H217&gt;0,1,"-"),IFERROR(H217/H216,"-"))</f>
        <v>-</v>
      </c>
      <c r="J216" s="2"/>
      <c r="K216" s="705"/>
      <c r="L216" s="705"/>
      <c r="M216" s="705"/>
      <c r="N216" s="705"/>
      <c r="O216" s="705"/>
      <c r="P216" s="705"/>
      <c r="Q216" s="705"/>
      <c r="R216" s="2"/>
      <c r="S216" s="705">
        <f ca="1">SUMIF($K$7:Q$7,"&lt;="&amp;$I$7,K216:P216)</f>
        <v>0</v>
      </c>
      <c r="T216" s="878" t="str">
        <f ca="1">IFERROR((S217/S216),"-")</f>
        <v>-</v>
      </c>
      <c r="U216" s="2"/>
      <c r="V216" s="705"/>
      <c r="W216" s="705"/>
      <c r="X216" s="705"/>
      <c r="Y216" s="705"/>
      <c r="Z216" s="705"/>
      <c r="AA216" s="705"/>
      <c r="AB216" s="705"/>
      <c r="AC216" s="2"/>
      <c r="AD216" s="705">
        <f ca="1">SUMIF($V$7:AB$7,"&lt;="&amp;$I$7,V216:AA216)</f>
        <v>0</v>
      </c>
      <c r="AE216" s="878" t="str">
        <f ca="1">IFERROR((AD217/AD216),"-")</f>
        <v>-</v>
      </c>
      <c r="AF216" s="2"/>
      <c r="AG216" s="705"/>
      <c r="AH216" s="705"/>
      <c r="AI216" s="705"/>
      <c r="AJ216" s="705"/>
      <c r="AK216" s="705"/>
      <c r="AL216" s="705"/>
      <c r="AM216" s="705"/>
      <c r="AN216" s="2"/>
      <c r="AO216" s="705">
        <f ca="1">SUMIF($AG$7:AM$7,"&lt;="&amp;$I$7,AG216:AL216)</f>
        <v>0</v>
      </c>
      <c r="AP216" s="878" t="str">
        <f ca="1">IFERROR((AO217/AO216),"-")</f>
        <v>-</v>
      </c>
      <c r="AQ216" s="2"/>
      <c r="AR216" s="705"/>
      <c r="AS216" s="705"/>
      <c r="AT216" s="705"/>
      <c r="AU216" s="705"/>
      <c r="AV216" s="705"/>
      <c r="AW216" s="705"/>
      <c r="AX216" s="705"/>
      <c r="AY216" s="2"/>
      <c r="AZ216" s="705">
        <f ca="1">SUMIF($AR$7:AX$7,"&lt;="&amp;$I$7,AR216:AW216)</f>
        <v>0</v>
      </c>
      <c r="BA216" s="878" t="str">
        <f ca="1">IFERROR((AZ217/AZ216),"-")</f>
        <v>-</v>
      </c>
      <c r="BB216" s="2"/>
      <c r="BC216" s="705"/>
      <c r="BD216" s="705"/>
      <c r="BE216" s="705"/>
      <c r="BF216" s="705"/>
      <c r="BG216" s="705"/>
      <c r="BH216" s="705"/>
      <c r="BI216" s="705"/>
      <c r="BJ216" s="2"/>
      <c r="BK216" s="705">
        <f ca="1">SUMIF($BC$7:BI$7,"&lt;="&amp;$I$7,BC216:BH216)</f>
        <v>0</v>
      </c>
      <c r="BL216" s="878" t="str">
        <f ca="1">IFERROR((BK217/BK216),"-")</f>
        <v>-</v>
      </c>
      <c r="BM216" s="2"/>
      <c r="BN216" s="884">
        <v>0</v>
      </c>
      <c r="BO216" s="884">
        <v>0</v>
      </c>
      <c r="BP216" s="884">
        <f>SUM(M217:P217,V217:AB217,AG217:AM217,AR217:AX217,BC217:BI217)</f>
        <v>0</v>
      </c>
      <c r="BQ216" s="878" t="str">
        <f t="shared" ref="BQ216" si="508">IF(AND(BO216=0,BP216=0),"-",IF(BO216=0,1,BP216/BO216))</f>
        <v>-</v>
      </c>
      <c r="BR216" s="2"/>
      <c r="BS216" s="884"/>
      <c r="BT216" s="884"/>
      <c r="BU216" s="884">
        <f ca="1">E216+Q217+AD217+AO217+AZ217+BK217</f>
        <v>0</v>
      </c>
      <c r="BV216" s="884">
        <v>104</v>
      </c>
      <c r="BW216" s="1004">
        <f ca="1">IFERROR((BU216/BV216),"-")</f>
        <v>0</v>
      </c>
      <c r="BX216" s="884">
        <v>0</v>
      </c>
      <c r="BY216" s="878" t="str">
        <f ca="1">IFERROR((BU216/BX216),"-")</f>
        <v>-</v>
      </c>
      <c r="BZ216" s="2"/>
      <c r="CA216" s="884">
        <v>1</v>
      </c>
      <c r="CB216" s="884">
        <v>0</v>
      </c>
      <c r="CC216" s="2"/>
      <c r="CD216" s="504">
        <f>IFERROR(AVERAGEIF($K$7:Q$7,"&lt;="&amp;$I$7,K216:Q216),0)</f>
        <v>0</v>
      </c>
      <c r="CE216" s="2"/>
      <c r="CH216" s="93" t="str">
        <f t="shared" si="492"/>
        <v>PF BSCC - KM 225+080</v>
      </c>
    </row>
    <row r="217" spans="1:86" ht="7.5" hidden="1" customHeight="1" outlineLevel="1">
      <c r="A217" s="74"/>
      <c r="B217" s="1047"/>
      <c r="C217" s="1034"/>
      <c r="D217" s="2"/>
      <c r="E217" s="1024"/>
      <c r="F217" s="2"/>
      <c r="G217" s="50" t="s">
        <v>38</v>
      </c>
      <c r="H217" s="705">
        <f t="shared" si="439"/>
        <v>0</v>
      </c>
      <c r="I217" s="879"/>
      <c r="J217" s="2"/>
      <c r="K217" s="76"/>
      <c r="L217" s="76"/>
      <c r="M217" s="76"/>
      <c r="N217" s="76"/>
      <c r="O217" s="76"/>
      <c r="P217" s="76"/>
      <c r="Q217" s="706"/>
      <c r="R217" s="2"/>
      <c r="S217" s="705">
        <f ca="1">SUMIF($K$7:Q$7,"&lt;="&amp;$I$7,K217:P217)</f>
        <v>0</v>
      </c>
      <c r="T217" s="879"/>
      <c r="U217" s="2"/>
      <c r="V217" s="76"/>
      <c r="W217" s="76"/>
      <c r="X217" s="76"/>
      <c r="Y217" s="76"/>
      <c r="Z217" s="76"/>
      <c r="AA217" s="76"/>
      <c r="AB217" s="706"/>
      <c r="AC217" s="2"/>
      <c r="AD217" s="705">
        <f ca="1">SUMIF($V$7:AB$7,"&lt;="&amp;$I$7,V217:AA217)</f>
        <v>0</v>
      </c>
      <c r="AE217" s="879"/>
      <c r="AF217" s="2"/>
      <c r="AG217" s="76"/>
      <c r="AH217" s="76"/>
      <c r="AI217" s="76"/>
      <c r="AJ217" s="76"/>
      <c r="AK217" s="76"/>
      <c r="AL217" s="76"/>
      <c r="AM217" s="706"/>
      <c r="AN217" s="2"/>
      <c r="AO217" s="705">
        <f ca="1">SUMIF($AG$7:AM$7,"&lt;="&amp;$I$7,AG217:AL217)</f>
        <v>0</v>
      </c>
      <c r="AP217" s="879"/>
      <c r="AQ217" s="2"/>
      <c r="AR217" s="76"/>
      <c r="AS217" s="76"/>
      <c r="AT217" s="76"/>
      <c r="AU217" s="76"/>
      <c r="AV217" s="76"/>
      <c r="AW217" s="76"/>
      <c r="AX217" s="706"/>
      <c r="AY217" s="2"/>
      <c r="AZ217" s="705">
        <f ca="1">SUMIF($AR$7:AX$7,"&lt;="&amp;$I$7,AR217:AW217)</f>
        <v>0</v>
      </c>
      <c r="BA217" s="879"/>
      <c r="BB217" s="2"/>
      <c r="BC217" s="76"/>
      <c r="BD217" s="76"/>
      <c r="BE217" s="76"/>
      <c r="BF217" s="76"/>
      <c r="BG217" s="76"/>
      <c r="BH217" s="76"/>
      <c r="BI217" s="706"/>
      <c r="BJ217" s="2"/>
      <c r="BK217" s="705">
        <f ca="1">SUMIF($BC$7:BI$7,"&lt;="&amp;$I$7,BC217:BH217)</f>
        <v>0</v>
      </c>
      <c r="BL217" s="879"/>
      <c r="BM217" s="2"/>
      <c r="BN217" s="885"/>
      <c r="BO217" s="885"/>
      <c r="BP217" s="885"/>
      <c r="BQ217" s="879"/>
      <c r="BR217" s="2"/>
      <c r="BS217" s="885"/>
      <c r="BT217" s="885"/>
      <c r="BU217" s="885"/>
      <c r="BV217" s="885"/>
      <c r="BW217" s="1005"/>
      <c r="BX217" s="885"/>
      <c r="BY217" s="879"/>
      <c r="BZ217" s="81"/>
      <c r="CA217" s="885"/>
      <c r="CB217" s="885"/>
      <c r="CC217" s="2"/>
      <c r="CD217" s="504">
        <f>IFERROR(AVERAGEIF($K$7:Q$7,"&lt;="&amp;$I$7,K217:Q217),0)</f>
        <v>0</v>
      </c>
      <c r="CE217" s="2"/>
      <c r="CH217" s="93" t="str">
        <f t="shared" si="492"/>
        <v>PF BSCC - KM 225+080</v>
      </c>
    </row>
    <row r="218" spans="1:86" ht="21.6" hidden="1" customHeight="1" outlineLevel="1">
      <c r="A218" s="74"/>
      <c r="B218" s="1046" t="s">
        <v>3937</v>
      </c>
      <c r="C218" s="1014" t="s">
        <v>1437</v>
      </c>
      <c r="D218" s="2"/>
      <c r="E218" s="1004">
        <v>0</v>
      </c>
      <c r="F218" s="2"/>
      <c r="G218" s="49" t="s">
        <v>37</v>
      </c>
      <c r="H218" s="705">
        <f t="shared" si="439"/>
        <v>0</v>
      </c>
      <c r="I218" s="878" t="str">
        <f t="shared" ref="I218" si="509">IF(H218=0,IF(H219&gt;0,1,"-"),IFERROR(H219/H218,"-"))</f>
        <v>-</v>
      </c>
      <c r="J218" s="2"/>
      <c r="K218" s="705"/>
      <c r="L218" s="705"/>
      <c r="M218" s="705"/>
      <c r="N218" s="705"/>
      <c r="O218" s="705"/>
      <c r="P218" s="705"/>
      <c r="Q218" s="705"/>
      <c r="R218" s="2"/>
      <c r="S218" s="705">
        <f ca="1">SUMIF($K$7:Q$7,"&lt;="&amp;$I$7,K218:P218)</f>
        <v>0</v>
      </c>
      <c r="T218" s="878" t="str">
        <f ca="1">IFERROR((S219/S218),"-")</f>
        <v>-</v>
      </c>
      <c r="U218" s="2"/>
      <c r="V218" s="705"/>
      <c r="W218" s="705"/>
      <c r="X218" s="705"/>
      <c r="Y218" s="705"/>
      <c r="Z218" s="705"/>
      <c r="AA218" s="705" t="s">
        <v>1434</v>
      </c>
      <c r="AB218" s="705"/>
      <c r="AC218" s="2"/>
      <c r="AD218" s="705">
        <f ca="1">SUMIF($V$7:AB$7,"&lt;="&amp;$I$7,V218:AA218)</f>
        <v>0</v>
      </c>
      <c r="AE218" s="878" t="str">
        <f ca="1">IFERROR((AD219/AD218),"-")</f>
        <v>-</v>
      </c>
      <c r="AF218" s="2"/>
      <c r="AG218" s="705" t="s">
        <v>1434</v>
      </c>
      <c r="AH218" s="705" t="s">
        <v>1434</v>
      </c>
      <c r="AI218" s="705" t="s">
        <v>1434</v>
      </c>
      <c r="AJ218" s="705" t="s">
        <v>1434</v>
      </c>
      <c r="AK218" s="705" t="s">
        <v>1434</v>
      </c>
      <c r="AL218" s="705" t="s">
        <v>1434</v>
      </c>
      <c r="AM218" s="705"/>
      <c r="AN218" s="2"/>
      <c r="AO218" s="705">
        <f ca="1">SUMIF($AG$7:AM$7,"&lt;="&amp;$I$7,AG218:AL218)</f>
        <v>0</v>
      </c>
      <c r="AP218" s="878" t="str">
        <f ca="1">IFERROR((AO219/AO218),"-")</f>
        <v>-</v>
      </c>
      <c r="AQ218" s="2"/>
      <c r="AR218" s="705"/>
      <c r="AS218" s="705"/>
      <c r="AT218" s="705"/>
      <c r="AU218" s="705"/>
      <c r="AV218" s="705"/>
      <c r="AW218" s="705"/>
      <c r="AX218" s="705"/>
      <c r="AY218" s="2"/>
      <c r="AZ218" s="705">
        <f ca="1">SUMIF($AR$7:AX$7,"&lt;="&amp;$I$7,AR218:AW218)</f>
        <v>0</v>
      </c>
      <c r="BA218" s="878" t="str">
        <f ca="1">IFERROR((AZ219/AZ218),"-")</f>
        <v>-</v>
      </c>
      <c r="BB218" s="2"/>
      <c r="BC218" s="705"/>
      <c r="BD218" s="705"/>
      <c r="BE218" s="705"/>
      <c r="BF218" s="705"/>
      <c r="BG218" s="705"/>
      <c r="BH218" s="705"/>
      <c r="BI218" s="705"/>
      <c r="BJ218" s="2"/>
      <c r="BK218" s="705">
        <f ca="1">SUMIF($BC$7:BI$7,"&lt;="&amp;$I$7,BC218:BH218)</f>
        <v>0</v>
      </c>
      <c r="BL218" s="878" t="str">
        <f ca="1">IFERROR((BK219/BK218),"-")</f>
        <v>-</v>
      </c>
      <c r="BM218" s="2"/>
      <c r="BN218" s="884">
        <v>0</v>
      </c>
      <c r="BO218" s="884">
        <v>0</v>
      </c>
      <c r="BP218" s="884">
        <f>SUM(M219:P219,V219:AB219,AG219:AM219,AR219:AX219,BC219:BI219)</f>
        <v>0</v>
      </c>
      <c r="BQ218" s="878" t="str">
        <f t="shared" ref="BQ218" si="510">IF(AND(BO218=0,BP218=0),"-",IF(BO218=0,1,BP218/BO218))</f>
        <v>-</v>
      </c>
      <c r="BR218" s="2"/>
      <c r="BS218" s="884"/>
      <c r="BT218" s="884"/>
      <c r="BU218" s="884">
        <f ca="1">E218+Q219+AD219+AO219+AZ219+BK219</f>
        <v>0</v>
      </c>
      <c r="BV218" s="884">
        <v>104</v>
      </c>
      <c r="BW218" s="1004">
        <f ca="1">IFERROR((BU218/BV218),"-")</f>
        <v>0</v>
      </c>
      <c r="BX218" s="884">
        <v>0</v>
      </c>
      <c r="BY218" s="878" t="str">
        <f ca="1">IFERROR((BU218/BX218),"-")</f>
        <v>-</v>
      </c>
      <c r="BZ218" s="2"/>
      <c r="CA218" s="884">
        <v>1</v>
      </c>
      <c r="CB218" s="884">
        <v>0</v>
      </c>
      <c r="CC218" s="2"/>
      <c r="CD218" s="504">
        <f>IFERROR(AVERAGEIF($K$7:Q$7,"&lt;="&amp;$I$7,K218:Q218),0)</f>
        <v>0</v>
      </c>
      <c r="CE218" s="2"/>
      <c r="CH218" s="93" t="str">
        <f t="shared" si="492"/>
        <v>PG BSCC - KM 210+160</v>
      </c>
    </row>
    <row r="219" spans="1:86" s="44" customFormat="1" ht="15.95" hidden="1" customHeight="1" outlineLevel="1">
      <c r="A219" s="74"/>
      <c r="B219" s="1047"/>
      <c r="C219" s="1034"/>
      <c r="D219" s="2"/>
      <c r="E219" s="1024"/>
      <c r="F219" s="2"/>
      <c r="G219" s="50" t="s">
        <v>38</v>
      </c>
      <c r="H219" s="705">
        <f t="shared" si="439"/>
        <v>0</v>
      </c>
      <c r="I219" s="879"/>
      <c r="J219" s="2"/>
      <c r="K219" s="76"/>
      <c r="L219" s="76"/>
      <c r="M219" s="76"/>
      <c r="N219" s="76"/>
      <c r="O219" s="76"/>
      <c r="P219" s="76"/>
      <c r="Q219" s="706"/>
      <c r="R219" s="2"/>
      <c r="S219" s="705">
        <f ca="1">SUMIF($K$7:Q$7,"&lt;="&amp;$I$7,K219:P219)</f>
        <v>0</v>
      </c>
      <c r="T219" s="879"/>
      <c r="U219" s="2"/>
      <c r="V219" s="76"/>
      <c r="W219" s="76"/>
      <c r="X219" s="76"/>
      <c r="Y219" s="76"/>
      <c r="Z219" s="76"/>
      <c r="AA219" s="76" t="s">
        <v>1434</v>
      </c>
      <c r="AB219" s="706"/>
      <c r="AC219" s="2"/>
      <c r="AD219" s="705">
        <f ca="1">SUMIF($V$7:AB$7,"&lt;="&amp;$I$7,V219:AA219)</f>
        <v>0</v>
      </c>
      <c r="AE219" s="879"/>
      <c r="AF219" s="2"/>
      <c r="AG219" s="76" t="s">
        <v>1434</v>
      </c>
      <c r="AH219" s="76" t="s">
        <v>1434</v>
      </c>
      <c r="AI219" s="76"/>
      <c r="AJ219" s="76"/>
      <c r="AK219" s="76"/>
      <c r="AL219" s="76"/>
      <c r="AM219" s="706"/>
      <c r="AN219" s="2"/>
      <c r="AO219" s="705">
        <f ca="1">SUMIF($AG$7:AM$7,"&lt;="&amp;$I$7,AG219:AL219)</f>
        <v>0</v>
      </c>
      <c r="AP219" s="879"/>
      <c r="AQ219" s="2"/>
      <c r="AR219" s="76"/>
      <c r="AS219" s="76"/>
      <c r="AT219" s="76"/>
      <c r="AU219" s="76"/>
      <c r="AV219" s="76"/>
      <c r="AW219" s="76"/>
      <c r="AX219" s="706"/>
      <c r="AY219" s="2"/>
      <c r="AZ219" s="705">
        <f ca="1">SUMIF($AR$7:AX$7,"&lt;="&amp;$I$7,AR219:AW219)</f>
        <v>0</v>
      </c>
      <c r="BA219" s="879"/>
      <c r="BB219" s="2"/>
      <c r="BC219" s="76"/>
      <c r="BD219" s="76"/>
      <c r="BE219" s="76"/>
      <c r="BF219" s="76"/>
      <c r="BG219" s="76"/>
      <c r="BH219" s="76"/>
      <c r="BI219" s="706"/>
      <c r="BJ219" s="2"/>
      <c r="BK219" s="705">
        <f ca="1">SUMIF($BC$7:BI$7,"&lt;="&amp;$I$7,BC219:BH219)</f>
        <v>0</v>
      </c>
      <c r="BL219" s="879"/>
      <c r="BM219" s="2"/>
      <c r="BN219" s="885"/>
      <c r="BO219" s="885"/>
      <c r="BP219" s="885"/>
      <c r="BQ219" s="879"/>
      <c r="BR219" s="2"/>
      <c r="BS219" s="885"/>
      <c r="BT219" s="885"/>
      <c r="BU219" s="885"/>
      <c r="BV219" s="885"/>
      <c r="BW219" s="1005"/>
      <c r="BX219" s="885"/>
      <c r="BY219" s="879"/>
      <c r="BZ219" s="81"/>
      <c r="CA219" s="885"/>
      <c r="CB219" s="885"/>
      <c r="CC219" s="2"/>
      <c r="CD219" s="504">
        <f>IFERROR(AVERAGEIF($K$7:Q$7,"&lt;="&amp;$I$7,K219:Q219),0)</f>
        <v>0</v>
      </c>
      <c r="CE219" s="2"/>
      <c r="CH219" s="93" t="str">
        <f t="shared" si="492"/>
        <v>PG BSCC - KM 210+160</v>
      </c>
    </row>
    <row r="220" spans="1:86" ht="15.95" hidden="1" customHeight="1" outlineLevel="1">
      <c r="A220" s="74"/>
      <c r="B220" s="1046"/>
      <c r="C220" s="1014" t="s">
        <v>1437</v>
      </c>
      <c r="D220" s="2"/>
      <c r="E220" s="1004">
        <v>0</v>
      </c>
      <c r="F220" s="2"/>
      <c r="G220" s="49" t="s">
        <v>37</v>
      </c>
      <c r="H220" s="705">
        <f>SUMIF($BC$7:$BI$7,$I$7,BC220:BI220)</f>
        <v>0</v>
      </c>
      <c r="I220" s="878" t="str">
        <f t="shared" ref="I220" si="511">IF(H220=0,IF(H221&gt;0,1,"-"),IFERROR(H221/H220,"-"))</f>
        <v>-</v>
      </c>
      <c r="J220" s="2"/>
      <c r="K220" s="705"/>
      <c r="L220" s="705"/>
      <c r="M220" s="705"/>
      <c r="N220" s="705"/>
      <c r="O220" s="705"/>
      <c r="P220" s="705"/>
      <c r="Q220" s="705"/>
      <c r="R220" s="2"/>
      <c r="S220" s="705">
        <f ca="1">SUMIF($K$7:Q$7,"&lt;="&amp;$I$7,K220:P220)</f>
        <v>0</v>
      </c>
      <c r="T220" s="878" t="str">
        <f ca="1">IFERROR((S221/S220),"-")</f>
        <v>-</v>
      </c>
      <c r="U220" s="2"/>
      <c r="V220" s="705"/>
      <c r="W220" s="705"/>
      <c r="X220" s="705"/>
      <c r="Y220" s="705"/>
      <c r="Z220" s="705"/>
      <c r="AA220" s="705"/>
      <c r="AB220" s="705"/>
      <c r="AC220" s="2"/>
      <c r="AD220" s="705">
        <f ca="1">SUMIF($V$7:AB$7,"&lt;="&amp;$I$7,V220:AA220)</f>
        <v>0</v>
      </c>
      <c r="AE220" s="878" t="str">
        <f ca="1">IFERROR((AD221/AD220),"-")</f>
        <v>-</v>
      </c>
      <c r="AF220" s="2"/>
      <c r="AG220" s="705"/>
      <c r="AH220" s="705"/>
      <c r="AI220" s="705"/>
      <c r="AJ220" s="705"/>
      <c r="AK220" s="705"/>
      <c r="AL220" s="705"/>
      <c r="AM220" s="705"/>
      <c r="AN220" s="2"/>
      <c r="AO220" s="705">
        <f ca="1">SUMIF($AG$7:AM$7,"&lt;="&amp;$I$7,AG220:AL220)</f>
        <v>0</v>
      </c>
      <c r="AP220" s="878" t="str">
        <f ca="1">IFERROR((AO221/AO220),"-")</f>
        <v>-</v>
      </c>
      <c r="AQ220" s="2"/>
      <c r="AR220" s="705"/>
      <c r="AS220" s="705"/>
      <c r="AT220" s="705"/>
      <c r="AU220" s="705"/>
      <c r="AV220" s="705"/>
      <c r="AW220" s="705"/>
      <c r="AX220" s="705"/>
      <c r="AY220" s="2"/>
      <c r="AZ220" s="705">
        <f ca="1">SUMIF($AR$7:AX$7,"&lt;="&amp;$I$7,AR220:AW220)</f>
        <v>0</v>
      </c>
      <c r="BA220" s="878" t="str">
        <f ca="1">IFERROR((AZ221/AZ220),"-")</f>
        <v>-</v>
      </c>
      <c r="BB220" s="2"/>
      <c r="BC220" s="705"/>
      <c r="BD220" s="705"/>
      <c r="BE220" s="705"/>
      <c r="BF220" s="705"/>
      <c r="BG220" s="705"/>
      <c r="BH220" s="705"/>
      <c r="BI220" s="705"/>
      <c r="BJ220" s="2"/>
      <c r="BK220" s="705">
        <f ca="1">SUMIF($BC$7:BI$7,"&lt;="&amp;$I$7,BC220:BH220)</f>
        <v>0</v>
      </c>
      <c r="BL220" s="878" t="str">
        <f ca="1">IFERROR((BK221/BK220),"-")</f>
        <v>-</v>
      </c>
      <c r="BM220" s="2"/>
      <c r="BN220" s="884">
        <v>0</v>
      </c>
      <c r="BO220" s="884">
        <v>0</v>
      </c>
      <c r="BP220" s="884">
        <f>SUM(M221:P221,V221:AB221,AG221:AM221,AR221:AX221,BC221:BI221)</f>
        <v>0</v>
      </c>
      <c r="BQ220" s="878" t="str">
        <f t="shared" ref="BQ220" si="512">IF(AND(BO220=0,BP220=0),"-",IF(BO220=0,1,BP220/BO220))</f>
        <v>-</v>
      </c>
      <c r="BR220" s="2"/>
      <c r="BS220" s="884"/>
      <c r="BT220" s="884"/>
      <c r="BU220" s="884">
        <f ca="1">E220+Q221+AD221+AO221+AZ221+BK221</f>
        <v>0</v>
      </c>
      <c r="BV220" s="884">
        <v>104</v>
      </c>
      <c r="BW220" s="1004">
        <f ca="1">IFERROR((BU220/BV220),"-")</f>
        <v>0</v>
      </c>
      <c r="BX220" s="884">
        <v>0</v>
      </c>
      <c r="BY220" s="878" t="str">
        <f ca="1">IFERROR((BU220/BX220),"-")</f>
        <v>-</v>
      </c>
      <c r="BZ220" s="2"/>
      <c r="CA220" s="884">
        <v>1</v>
      </c>
      <c r="CB220" s="884">
        <v>0</v>
      </c>
      <c r="CC220" s="2"/>
      <c r="CD220" s="504">
        <f>IFERROR(AVERAGEIF($K$7:Q$7,"&lt;="&amp;$I$7,K220:Q220),0)</f>
        <v>0</v>
      </c>
      <c r="CE220" s="2"/>
      <c r="CH220" s="93" t="str">
        <f t="shared" si="492"/>
        <v>PG BSCC - KM 210+160</v>
      </c>
    </row>
    <row r="221" spans="1:86" s="44" customFormat="1" ht="18.95" hidden="1" customHeight="1" outlineLevel="1">
      <c r="A221" s="74"/>
      <c r="B221" s="1047"/>
      <c r="C221" s="1034"/>
      <c r="D221" s="2"/>
      <c r="E221" s="1024"/>
      <c r="F221" s="2"/>
      <c r="G221" s="50" t="s">
        <v>38</v>
      </c>
      <c r="H221" s="705">
        <f>SUMIF($BC$7:$BI$7,$I$7,BC221:BI221)</f>
        <v>0</v>
      </c>
      <c r="I221" s="879"/>
      <c r="J221" s="2"/>
      <c r="K221" s="76"/>
      <c r="L221" s="76"/>
      <c r="M221" s="76"/>
      <c r="N221" s="76"/>
      <c r="O221" s="76"/>
      <c r="P221" s="76"/>
      <c r="Q221" s="706"/>
      <c r="R221" s="2"/>
      <c r="S221" s="705">
        <f ca="1">SUMIF($K$7:Q$7,"&lt;="&amp;$I$7,K221:P221)</f>
        <v>0</v>
      </c>
      <c r="T221" s="879"/>
      <c r="U221" s="2"/>
      <c r="V221" s="76"/>
      <c r="W221" s="76"/>
      <c r="X221" s="76"/>
      <c r="Y221" s="76"/>
      <c r="Z221" s="76"/>
      <c r="AA221" s="76"/>
      <c r="AB221" s="706"/>
      <c r="AC221" s="2"/>
      <c r="AD221" s="705">
        <f ca="1">SUMIF($V$7:AB$7,"&lt;="&amp;$I$7,V221:AA221)</f>
        <v>0</v>
      </c>
      <c r="AE221" s="879"/>
      <c r="AF221" s="2"/>
      <c r="AG221" s="76"/>
      <c r="AH221" s="76"/>
      <c r="AI221" s="76"/>
      <c r="AJ221" s="76"/>
      <c r="AK221" s="76"/>
      <c r="AL221" s="76"/>
      <c r="AM221" s="706"/>
      <c r="AN221" s="2"/>
      <c r="AO221" s="705">
        <f ca="1">SUMIF($AG$7:AM$7,"&lt;="&amp;$I$7,AG221:AL221)</f>
        <v>0</v>
      </c>
      <c r="AP221" s="879"/>
      <c r="AQ221" s="2"/>
      <c r="AR221" s="76"/>
      <c r="AS221" s="76"/>
      <c r="AT221" s="76"/>
      <c r="AU221" s="76"/>
      <c r="AV221" s="76"/>
      <c r="AW221" s="76"/>
      <c r="AX221" s="706"/>
      <c r="AY221" s="2"/>
      <c r="AZ221" s="705">
        <f ca="1">SUMIF($AR$7:AX$7,"&lt;="&amp;$I$7,AR221:AW221)</f>
        <v>0</v>
      </c>
      <c r="BA221" s="879"/>
      <c r="BB221" s="2"/>
      <c r="BC221" s="76"/>
      <c r="BD221" s="76"/>
      <c r="BE221" s="76"/>
      <c r="BF221" s="76"/>
      <c r="BG221" s="76"/>
      <c r="BH221" s="76"/>
      <c r="BI221" s="706"/>
      <c r="BJ221" s="2"/>
      <c r="BK221" s="705">
        <f ca="1">SUMIF($BC$7:BI$7,"&lt;="&amp;$I$7,BC221:BH221)</f>
        <v>0</v>
      </c>
      <c r="BL221" s="879"/>
      <c r="BM221" s="2"/>
      <c r="BN221" s="885"/>
      <c r="BO221" s="885"/>
      <c r="BP221" s="885"/>
      <c r="BQ221" s="879"/>
      <c r="BR221" s="2"/>
      <c r="BS221" s="885"/>
      <c r="BT221" s="885"/>
      <c r="BU221" s="885"/>
      <c r="BV221" s="885"/>
      <c r="BW221" s="1005"/>
      <c r="BX221" s="885"/>
      <c r="BY221" s="879"/>
      <c r="BZ221" s="81"/>
      <c r="CA221" s="885"/>
      <c r="CB221" s="885"/>
      <c r="CC221" s="2"/>
      <c r="CD221" s="504">
        <f>IFERROR(AVERAGEIF($K$7:Q$7,"&lt;="&amp;$I$7,K221:Q221),0)</f>
        <v>0</v>
      </c>
      <c r="CE221" s="2"/>
      <c r="CH221" s="93" t="str">
        <f t="shared" si="492"/>
        <v>PG BSCC - KM 210+160</v>
      </c>
    </row>
    <row r="222" spans="1:86" s="44" customFormat="1" ht="15.95" hidden="1" customHeight="1" outlineLevel="1">
      <c r="A222" s="74"/>
      <c r="B222" s="1046"/>
      <c r="C222" s="1014" t="s">
        <v>1437</v>
      </c>
      <c r="D222" s="2"/>
      <c r="E222" s="1004">
        <v>0</v>
      </c>
      <c r="F222" s="2"/>
      <c r="G222" s="49" t="s">
        <v>37</v>
      </c>
      <c r="H222" s="705">
        <f>SUMIF($BC$7:$BI$7,$I$7,BC222:BI222)</f>
        <v>0</v>
      </c>
      <c r="I222" s="878" t="str">
        <f t="shared" ref="I222" si="513">IF(H222=0,IF(H223&gt;0,1,"-"),IFERROR(H223/H222,"-"))</f>
        <v>-</v>
      </c>
      <c r="J222" s="2"/>
      <c r="K222" s="705"/>
      <c r="L222" s="705"/>
      <c r="M222" s="705"/>
      <c r="N222" s="705"/>
      <c r="O222" s="705"/>
      <c r="P222" s="705"/>
      <c r="Q222" s="705"/>
      <c r="R222" s="2"/>
      <c r="S222" s="705">
        <f ca="1">SUMIF($K$7:Q$7,"&lt;="&amp;$I$7,K222:P222)</f>
        <v>0</v>
      </c>
      <c r="T222" s="878" t="str">
        <f ca="1">IFERROR((S223/S222),"-")</f>
        <v>-</v>
      </c>
      <c r="U222" s="2"/>
      <c r="V222" s="705"/>
      <c r="W222" s="705"/>
      <c r="X222" s="705"/>
      <c r="Y222" s="705"/>
      <c r="Z222" s="705"/>
      <c r="AA222" s="705"/>
      <c r="AB222" s="705"/>
      <c r="AC222" s="2"/>
      <c r="AD222" s="705">
        <f ca="1">SUMIF($V$7:AB$7,"&lt;="&amp;$I$7,V222:AA222)</f>
        <v>0</v>
      </c>
      <c r="AE222" s="878" t="str">
        <f ca="1">IFERROR((AD223/AD222),"-")</f>
        <v>-</v>
      </c>
      <c r="AF222" s="2"/>
      <c r="AG222" s="705"/>
      <c r="AH222" s="705"/>
      <c r="AI222" s="705"/>
      <c r="AJ222" s="705"/>
      <c r="AK222" s="705"/>
      <c r="AL222" s="705"/>
      <c r="AM222" s="705"/>
      <c r="AN222" s="2"/>
      <c r="AO222" s="705">
        <f ca="1">SUMIF($AG$7:AM$7,"&lt;="&amp;$I$7,AG222:AL222)</f>
        <v>0</v>
      </c>
      <c r="AP222" s="878" t="str">
        <f ca="1">IFERROR((AO223/AO222),"-")</f>
        <v>-</v>
      </c>
      <c r="AQ222" s="2"/>
      <c r="AR222" s="705"/>
      <c r="AS222" s="705"/>
      <c r="AT222" s="705"/>
      <c r="AU222" s="705"/>
      <c r="AV222" s="705"/>
      <c r="AW222" s="705"/>
      <c r="AX222" s="705"/>
      <c r="AY222" s="2"/>
      <c r="AZ222" s="705">
        <f ca="1">SUMIF($AR$7:AX$7,"&lt;="&amp;$I$7,AR222:AW222)</f>
        <v>0</v>
      </c>
      <c r="BA222" s="878" t="str">
        <f ca="1">IFERROR((AZ223/AZ222),"-")</f>
        <v>-</v>
      </c>
      <c r="BB222" s="2"/>
      <c r="BC222" s="705"/>
      <c r="BD222" s="705"/>
      <c r="BE222" s="705"/>
      <c r="BF222" s="705"/>
      <c r="BG222" s="705"/>
      <c r="BH222" s="705"/>
      <c r="BI222" s="705"/>
      <c r="BJ222" s="2"/>
      <c r="BK222" s="705">
        <f ca="1">SUMIF($BC$7:BI$7,"&lt;="&amp;$I$7,BC222:BH222)</f>
        <v>0</v>
      </c>
      <c r="BL222" s="878" t="str">
        <f ca="1">IFERROR((BK223/BK222),"-")</f>
        <v>-</v>
      </c>
      <c r="BM222" s="2"/>
      <c r="BN222" s="884">
        <v>0</v>
      </c>
      <c r="BO222" s="884">
        <v>0</v>
      </c>
      <c r="BP222" s="884">
        <f>SUM(M223:P223,V223:AB223,AG223:AM223,AR223:AX223,BC223:BI223)</f>
        <v>0</v>
      </c>
      <c r="BQ222" s="878" t="str">
        <f t="shared" ref="BQ222" si="514">IF(AND(BO222=0,BP222=0),"-",IF(BO222=0,1,BP222/BO222))</f>
        <v>-</v>
      </c>
      <c r="BR222" s="2"/>
      <c r="BS222" s="884"/>
      <c r="BT222" s="884"/>
      <c r="BU222" s="884">
        <f ca="1">E222+Q223+AD223+AO223+AZ223+BK223</f>
        <v>0</v>
      </c>
      <c r="BV222" s="884">
        <v>104</v>
      </c>
      <c r="BW222" s="1004">
        <f ca="1">IFERROR((BU222/BV222),"-")</f>
        <v>0</v>
      </c>
      <c r="BX222" s="884">
        <v>0</v>
      </c>
      <c r="BY222" s="878" t="str">
        <f ca="1">IFERROR((BU222/BX222),"-")</f>
        <v>-</v>
      </c>
      <c r="BZ222" s="2"/>
      <c r="CA222" s="884">
        <v>1</v>
      </c>
      <c r="CB222" s="884">
        <v>0</v>
      </c>
      <c r="CC222" s="2"/>
      <c r="CD222" s="504">
        <f>IFERROR(AVERAGEIF($K$7:Q$7,"&lt;="&amp;$I$7,K222:Q222),0)</f>
        <v>0</v>
      </c>
      <c r="CE222" s="2"/>
      <c r="CH222" s="93" t="str">
        <f t="shared" si="492"/>
        <v>PG BSCC - KM 210+160</v>
      </c>
    </row>
    <row r="223" spans="1:86" ht="15.95" hidden="1" customHeight="1" outlineLevel="1">
      <c r="A223" s="74"/>
      <c r="B223" s="1047"/>
      <c r="C223" s="1034"/>
      <c r="D223" s="2"/>
      <c r="E223" s="1024"/>
      <c r="F223" s="2"/>
      <c r="G223" s="50" t="s">
        <v>38</v>
      </c>
      <c r="H223" s="705">
        <f>SUMIF($BC$7:$BI$7,$I$7,BC223:BI223)</f>
        <v>0</v>
      </c>
      <c r="I223" s="879"/>
      <c r="J223" s="2"/>
      <c r="K223" s="76"/>
      <c r="L223" s="76"/>
      <c r="M223" s="76"/>
      <c r="N223" s="76"/>
      <c r="O223" s="76"/>
      <c r="P223" s="76"/>
      <c r="Q223" s="706"/>
      <c r="R223" s="2"/>
      <c r="S223" s="705">
        <f ca="1">SUMIF($K$7:Q$7,"&lt;="&amp;$I$7,K223:P223)</f>
        <v>0</v>
      </c>
      <c r="T223" s="879"/>
      <c r="U223" s="2"/>
      <c r="V223" s="76"/>
      <c r="W223" s="76"/>
      <c r="X223" s="76"/>
      <c r="Y223" s="76"/>
      <c r="Z223" s="76"/>
      <c r="AA223" s="76"/>
      <c r="AB223" s="706"/>
      <c r="AC223" s="2"/>
      <c r="AD223" s="705">
        <f ca="1">SUMIF($V$7:AB$7,"&lt;="&amp;$I$7,V223:AA223)</f>
        <v>0</v>
      </c>
      <c r="AE223" s="879"/>
      <c r="AF223" s="2"/>
      <c r="AG223" s="76"/>
      <c r="AH223" s="76"/>
      <c r="AI223" s="76"/>
      <c r="AJ223" s="76"/>
      <c r="AK223" s="76"/>
      <c r="AL223" s="76"/>
      <c r="AM223" s="706"/>
      <c r="AN223" s="2"/>
      <c r="AO223" s="705">
        <f ca="1">SUMIF($AG$7:AM$7,"&lt;="&amp;$I$7,AG223:AL223)</f>
        <v>0</v>
      </c>
      <c r="AP223" s="879"/>
      <c r="AQ223" s="2"/>
      <c r="AR223" s="76"/>
      <c r="AS223" s="76"/>
      <c r="AT223" s="76"/>
      <c r="AU223" s="76"/>
      <c r="AV223" s="76"/>
      <c r="AW223" s="76"/>
      <c r="AX223" s="706"/>
      <c r="AY223" s="2"/>
      <c r="AZ223" s="705">
        <f ca="1">SUMIF($AR$7:AX$7,"&lt;="&amp;$I$7,AR223:AW223)</f>
        <v>0</v>
      </c>
      <c r="BA223" s="879"/>
      <c r="BB223" s="2"/>
      <c r="BC223" s="76"/>
      <c r="BD223" s="76"/>
      <c r="BE223" s="76"/>
      <c r="BF223" s="76"/>
      <c r="BG223" s="76"/>
      <c r="BH223" s="76"/>
      <c r="BI223" s="706"/>
      <c r="BJ223" s="2"/>
      <c r="BK223" s="705">
        <f ca="1">SUMIF($BC$7:BI$7,"&lt;="&amp;$I$7,BC223:BH223)</f>
        <v>0</v>
      </c>
      <c r="BL223" s="879"/>
      <c r="BM223" s="2"/>
      <c r="BN223" s="885"/>
      <c r="BO223" s="885"/>
      <c r="BP223" s="885"/>
      <c r="BQ223" s="879"/>
      <c r="BR223" s="2"/>
      <c r="BS223" s="885"/>
      <c r="BT223" s="885"/>
      <c r="BU223" s="885"/>
      <c r="BV223" s="885"/>
      <c r="BW223" s="1005"/>
      <c r="BX223" s="885"/>
      <c r="BY223" s="879"/>
      <c r="BZ223" s="81"/>
      <c r="CA223" s="885"/>
      <c r="CB223" s="885"/>
      <c r="CC223" s="2"/>
      <c r="CD223" s="504">
        <f>IFERROR(AVERAGEIF($K$7:Q$7,"&lt;="&amp;$I$7,K223:Q223),0)</f>
        <v>0</v>
      </c>
      <c r="CE223" s="2"/>
      <c r="CH223" s="93" t="str">
        <f t="shared" si="492"/>
        <v>PG BSCC - KM 210+160</v>
      </c>
    </row>
    <row r="224" spans="1:86" ht="8.1" hidden="1" customHeight="1" outlineLevel="1">
      <c r="A224" s="69"/>
      <c r="B224" s="3"/>
      <c r="C224" s="3"/>
      <c r="E224" s="3"/>
      <c r="F224" s="3"/>
      <c r="G224" s="3"/>
      <c r="H224" s="36"/>
      <c r="I224" s="3"/>
      <c r="J224" s="3"/>
      <c r="K224" s="37"/>
      <c r="L224" s="37"/>
      <c r="M224" s="37"/>
      <c r="N224" s="37"/>
      <c r="O224" s="37"/>
      <c r="P224" s="37"/>
      <c r="Q224" s="37"/>
      <c r="R224" s="3"/>
      <c r="S224" s="37"/>
      <c r="T224" s="3"/>
      <c r="U224" s="3"/>
      <c r="V224" s="37"/>
      <c r="W224" s="37"/>
      <c r="X224" s="37"/>
      <c r="Y224" s="37"/>
      <c r="Z224" s="37"/>
      <c r="AA224" s="37"/>
      <c r="AB224" s="37"/>
      <c r="AC224" s="3"/>
      <c r="AD224" s="37"/>
      <c r="AE224" s="3"/>
      <c r="AF224" s="3"/>
      <c r="AG224" s="37"/>
      <c r="AH224" s="37"/>
      <c r="AI224" s="37"/>
      <c r="AJ224" s="37"/>
      <c r="AK224" s="37"/>
      <c r="AL224" s="37"/>
      <c r="AM224" s="37"/>
      <c r="AN224" s="3"/>
      <c r="AO224" s="37"/>
      <c r="AP224" s="3"/>
      <c r="AQ224" s="3"/>
      <c r="AR224" s="37"/>
      <c r="AS224" s="37"/>
      <c r="AT224" s="37"/>
      <c r="AU224" s="37"/>
      <c r="AV224" s="37"/>
      <c r="AW224" s="37"/>
      <c r="AX224" s="37"/>
      <c r="AY224" s="3"/>
      <c r="AZ224" s="37"/>
      <c r="BA224" s="3"/>
      <c r="BB224" s="3"/>
      <c r="BC224" s="37"/>
      <c r="BD224" s="37"/>
      <c r="BE224" s="37"/>
      <c r="BF224" s="37"/>
      <c r="BG224" s="37"/>
      <c r="BH224" s="37"/>
      <c r="BI224" s="37"/>
      <c r="BJ224" s="3"/>
      <c r="BK224" s="37"/>
      <c r="BL224" s="3"/>
      <c r="BM224" s="3"/>
      <c r="BN224" s="35"/>
      <c r="BO224" s="36"/>
      <c r="BP224" s="35"/>
      <c r="BQ224" s="3"/>
      <c r="BR224" s="3"/>
      <c r="BS224" s="36"/>
      <c r="BT224" s="36"/>
      <c r="BU224" s="36"/>
      <c r="BV224" s="36"/>
      <c r="BW224" s="36"/>
      <c r="BX224" s="36"/>
      <c r="BY224" s="3"/>
      <c r="BZ224" s="3"/>
      <c r="CA224" s="36"/>
      <c r="CB224" s="36"/>
      <c r="CC224" s="3"/>
      <c r="CD224" s="19"/>
      <c r="CE224" s="3"/>
      <c r="CH224" s="93" t="str">
        <f t="shared" si="492"/>
        <v>PG BSCC - KM 210+160</v>
      </c>
    </row>
    <row r="225" spans="1:86" s="16" customFormat="1" ht="22.35" customHeight="1" collapsed="1">
      <c r="A225" s="69"/>
      <c r="B225" s="3"/>
      <c r="C225" s="3"/>
      <c r="D225" s="3"/>
      <c r="E225" s="3"/>
      <c r="F225" s="3"/>
      <c r="G225" s="3"/>
      <c r="H225" s="36"/>
      <c r="I225" s="3"/>
      <c r="J225" s="3"/>
      <c r="K225" s="37"/>
      <c r="L225" s="37"/>
      <c r="M225" s="37"/>
      <c r="N225" s="37"/>
      <c r="O225" s="37"/>
      <c r="P225" s="37"/>
      <c r="Q225" s="37"/>
      <c r="R225" s="3"/>
      <c r="S225" s="37"/>
      <c r="T225" s="3"/>
      <c r="U225" s="3"/>
      <c r="V225" s="37"/>
      <c r="W225" s="37"/>
      <c r="X225" s="37"/>
      <c r="Y225" s="37"/>
      <c r="Z225" s="37"/>
      <c r="AA225" s="37"/>
      <c r="AB225" s="37"/>
      <c r="AC225" s="3"/>
      <c r="AD225" s="37"/>
      <c r="AE225" s="3"/>
      <c r="AF225" s="3"/>
      <c r="AG225" s="37"/>
      <c r="AH225" s="37"/>
      <c r="AI225" s="37"/>
      <c r="AJ225" s="37"/>
      <c r="AK225" s="37"/>
      <c r="AL225" s="37"/>
      <c r="AM225" s="37"/>
      <c r="AN225" s="3"/>
      <c r="AO225" s="37"/>
      <c r="AP225" s="3"/>
      <c r="AQ225" s="3"/>
      <c r="AR225" s="37"/>
      <c r="AS225" s="37"/>
      <c r="AT225" s="37"/>
      <c r="AU225" s="37"/>
      <c r="AV225" s="37"/>
      <c r="AW225" s="37"/>
      <c r="AX225" s="37"/>
      <c r="AY225" s="3"/>
      <c r="AZ225" s="37"/>
      <c r="BA225" s="3"/>
      <c r="BB225" s="3"/>
      <c r="BC225" s="37"/>
      <c r="BD225" s="37"/>
      <c r="BE225" s="37"/>
      <c r="BF225" s="37"/>
      <c r="BG225" s="37"/>
      <c r="BH225" s="37"/>
      <c r="BI225" s="37"/>
      <c r="BJ225" s="3"/>
      <c r="BK225" s="37"/>
      <c r="BL225" s="3"/>
      <c r="BM225" s="3"/>
      <c r="BN225" s="35"/>
      <c r="BO225" s="36"/>
      <c r="BP225" s="35"/>
      <c r="BQ225" s="3"/>
      <c r="BR225" s="3"/>
      <c r="BS225" s="36"/>
      <c r="BT225" s="36"/>
      <c r="BU225" s="36"/>
      <c r="BV225" s="36"/>
      <c r="BW225" s="36"/>
      <c r="BX225" s="36"/>
      <c r="BY225" s="3"/>
      <c r="BZ225" s="3"/>
      <c r="CA225" s="36"/>
      <c r="CB225" s="36"/>
      <c r="CC225" s="3"/>
      <c r="CD225" s="19"/>
      <c r="CE225" s="3"/>
      <c r="CH225" s="93" t="str">
        <f t="shared" si="492"/>
        <v>PG BSCC - KM 210+160</v>
      </c>
    </row>
    <row r="226" spans="1:86" s="16" customFormat="1" ht="22.35" customHeight="1">
      <c r="A226" s="70"/>
      <c r="B226" s="1066" t="s">
        <v>3947</v>
      </c>
      <c r="C226" s="1023" t="s">
        <v>52</v>
      </c>
      <c r="D226" s="40"/>
      <c r="E226" s="1004">
        <v>1366</v>
      </c>
      <c r="F226" s="40"/>
      <c r="G226" s="41" t="s">
        <v>37</v>
      </c>
      <c r="H226" s="43">
        <f>SUMIF($K$7:$BI$7,$I$7,K226:BI226)</f>
        <v>4</v>
      </c>
      <c r="I226" s="878">
        <f>IF(H226=0,IF(H227&gt;0,1,"-"),IFERROR(H227/H226,"-"))</f>
        <v>0</v>
      </c>
      <c r="J226" s="40"/>
      <c r="K226" s="43">
        <f>K158+K200</f>
        <v>0</v>
      </c>
      <c r="L226" s="43">
        <f t="shared" ref="L226:P227" si="515">L158+L200</f>
        <v>0</v>
      </c>
      <c r="M226" s="43">
        <f t="shared" si="515"/>
        <v>0</v>
      </c>
      <c r="N226" s="43">
        <f t="shared" si="515"/>
        <v>0</v>
      </c>
      <c r="O226" s="43">
        <f t="shared" si="515"/>
        <v>14</v>
      </c>
      <c r="P226" s="43">
        <f t="shared" si="515"/>
        <v>0</v>
      </c>
      <c r="Q226" s="43">
        <f>Q230+Q304</f>
        <v>0</v>
      </c>
      <c r="R226" s="40"/>
      <c r="S226" s="43">
        <f ca="1">SUMIF($K$7:Q$7,"&lt;="&amp;$I$7,K226:P226)</f>
        <v>14</v>
      </c>
      <c r="T226" s="878">
        <f ca="1">IF(S226=0,IF(S227&gt;0,1,"-"),IFERROR(S227/S226,"-"))</f>
        <v>0</v>
      </c>
      <c r="U226" s="40"/>
      <c r="V226" s="43">
        <f>V158+V200</f>
        <v>0</v>
      </c>
      <c r="W226" s="43">
        <f t="shared" ref="W226:AB227" si="516">W158+W200</f>
        <v>8</v>
      </c>
      <c r="X226" s="43">
        <f t="shared" si="516"/>
        <v>0</v>
      </c>
      <c r="Y226" s="43">
        <f t="shared" si="516"/>
        <v>0</v>
      </c>
      <c r="Z226" s="43">
        <f t="shared" si="516"/>
        <v>9</v>
      </c>
      <c r="AA226" s="43">
        <f t="shared" si="516"/>
        <v>16</v>
      </c>
      <c r="AB226" s="43">
        <f t="shared" si="516"/>
        <v>0</v>
      </c>
      <c r="AC226" s="40"/>
      <c r="AD226" s="43">
        <f ca="1">SUMIF($V$7:AB$7,"&lt;="&amp;$I$7,V226:AA226)</f>
        <v>33</v>
      </c>
      <c r="AE226" s="762">
        <f t="shared" ref="AE226" ca="1" si="517">IFERROR((AD227/AD226),"-")</f>
        <v>9.0909090909090912E-2</v>
      </c>
      <c r="AF226" s="40"/>
      <c r="AG226" s="43">
        <f t="shared" ref="AG226:AM227" si="518">AG158+AG200</f>
        <v>2</v>
      </c>
      <c r="AH226" s="43">
        <f t="shared" si="518"/>
        <v>4</v>
      </c>
      <c r="AI226" s="43">
        <f t="shared" si="518"/>
        <v>8</v>
      </c>
      <c r="AJ226" s="43">
        <f t="shared" si="518"/>
        <v>8</v>
      </c>
      <c r="AK226" s="43">
        <f t="shared" si="518"/>
        <v>8</v>
      </c>
      <c r="AL226" s="43">
        <f t="shared" si="518"/>
        <v>0</v>
      </c>
      <c r="AM226" s="43">
        <f t="shared" si="518"/>
        <v>0</v>
      </c>
      <c r="AN226" s="40"/>
      <c r="AO226" s="43">
        <f ca="1">SUMIF($AG$7:AM$7,"&lt;="&amp;$I$7,AG226:AL226)</f>
        <v>6</v>
      </c>
      <c r="AP226" s="762">
        <f t="shared" ref="AP226" ca="1" si="519">IFERROR((AO227/AO226),"-")</f>
        <v>0</v>
      </c>
      <c r="AQ226" s="40"/>
      <c r="AR226" s="43">
        <f t="shared" ref="AR226:AX227" si="520">AR158+AR200</f>
        <v>0</v>
      </c>
      <c r="AS226" s="43">
        <f t="shared" si="520"/>
        <v>0</v>
      </c>
      <c r="AT226" s="43">
        <f t="shared" si="520"/>
        <v>0</v>
      </c>
      <c r="AU226" s="43">
        <f t="shared" si="520"/>
        <v>0</v>
      </c>
      <c r="AV226" s="43">
        <f t="shared" si="520"/>
        <v>0</v>
      </c>
      <c r="AW226" s="43">
        <f t="shared" si="520"/>
        <v>0</v>
      </c>
      <c r="AX226" s="43">
        <f t="shared" si="520"/>
        <v>0</v>
      </c>
      <c r="AY226" s="40"/>
      <c r="AZ226" s="43">
        <f ca="1">SUMIF($AR$7:AX$7,"&lt;="&amp;$I$7,AR226:AW226)</f>
        <v>0</v>
      </c>
      <c r="BA226" s="762" t="str">
        <f t="shared" ref="BA226" ca="1" si="521">IFERROR((AZ227/AZ226),"-")</f>
        <v>-</v>
      </c>
      <c r="BB226" s="40"/>
      <c r="BC226" s="43">
        <f t="shared" ref="BC226:BI227" si="522">BC158+BC200</f>
        <v>0</v>
      </c>
      <c r="BD226" s="43">
        <f t="shared" si="522"/>
        <v>0</v>
      </c>
      <c r="BE226" s="43">
        <f t="shared" si="522"/>
        <v>0</v>
      </c>
      <c r="BF226" s="43">
        <f t="shared" si="522"/>
        <v>0</v>
      </c>
      <c r="BG226" s="43">
        <f t="shared" si="522"/>
        <v>0</v>
      </c>
      <c r="BH226" s="43">
        <f t="shared" si="522"/>
        <v>0</v>
      </c>
      <c r="BI226" s="43">
        <f t="shared" si="522"/>
        <v>0</v>
      </c>
      <c r="BJ226" s="40"/>
      <c r="BK226" s="43">
        <f ca="1">SUMIF($BC$7:BI$7,"&lt;="&amp;$I$7,BC226:BH226)</f>
        <v>0</v>
      </c>
      <c r="BL226" s="762" t="str">
        <f t="shared" ref="BL226" ca="1" si="523">IFERROR((BK227/BK226),"-")</f>
        <v>-</v>
      </c>
      <c r="BM226" s="40"/>
      <c r="BN226" s="910">
        <v>211</v>
      </c>
      <c r="BO226" s="910">
        <v>47</v>
      </c>
      <c r="BP226" s="910">
        <f>SUM(M227:Q227,V227:AB227,AG227:AM227,AR227:AX227,BC227:BI227)</f>
        <v>3</v>
      </c>
      <c r="BQ226" s="1073">
        <f>IF(BO226=0,IF(BP226&gt;0,1,"-"),IFERROR(BP226/BO226,"-"))</f>
        <v>6.3829787234042548E-2</v>
      </c>
      <c r="BR226" s="40"/>
      <c r="BS226" s="909">
        <f>BS230+BS304</f>
        <v>0</v>
      </c>
      <c r="BT226" s="909"/>
      <c r="BU226" s="910">
        <f ca="1">E226+S227+AD227+AO227+AZ227+BK227</f>
        <v>1369</v>
      </c>
      <c r="BV226" s="910">
        <v>370</v>
      </c>
      <c r="BW226" s="1079">
        <f ca="1">IFERROR((BU226/BV226),"-")</f>
        <v>3.7</v>
      </c>
      <c r="BX226" s="910">
        <v>1624</v>
      </c>
      <c r="BY226" s="1080">
        <f ca="1">IFERROR((BU226/BX226),"-")</f>
        <v>0.84298029556650245</v>
      </c>
      <c r="BZ226" s="40"/>
      <c r="CA226" s="910">
        <v>1787</v>
      </c>
      <c r="CB226" s="909">
        <f ca="1">CA226-BU226</f>
        <v>418</v>
      </c>
      <c r="CC226" s="40"/>
      <c r="CD226" s="43">
        <f>IFERROR(AVERAGEIF($V$7:AB$7,"&lt;="&amp;$I$7,V226:AB226),0)</f>
        <v>4.7142857142857144</v>
      </c>
      <c r="CE226" s="40"/>
      <c r="CH226" s="93" t="str">
        <f t="shared" si="492"/>
        <v>OAC - Obra de Arte Corrente (Assentamento)</v>
      </c>
    </row>
    <row r="227" spans="1:86" s="16" customFormat="1" ht="22.35" customHeight="1">
      <c r="A227" s="70"/>
      <c r="B227" s="1066"/>
      <c r="C227" s="761"/>
      <c r="D227" s="40"/>
      <c r="E227" s="1024"/>
      <c r="F227" s="40"/>
      <c r="G227" s="45" t="s">
        <v>38</v>
      </c>
      <c r="H227" s="43">
        <f>SUMIF($K$7:$BI$7,$I$7,K227:BI227)</f>
        <v>0</v>
      </c>
      <c r="I227" s="879"/>
      <c r="J227" s="40"/>
      <c r="K227" s="72">
        <f>K159+K201</f>
        <v>0</v>
      </c>
      <c r="L227" s="72">
        <f t="shared" si="515"/>
        <v>0</v>
      </c>
      <c r="M227" s="72">
        <f t="shared" si="515"/>
        <v>0</v>
      </c>
      <c r="N227" s="72">
        <f t="shared" si="515"/>
        <v>0</v>
      </c>
      <c r="O227" s="72">
        <f t="shared" si="515"/>
        <v>0</v>
      </c>
      <c r="P227" s="72">
        <f t="shared" si="515"/>
        <v>0</v>
      </c>
      <c r="Q227" s="43"/>
      <c r="R227" s="40"/>
      <c r="S227" s="43">
        <f ca="1">SUMIF($K$7:Q$7,"&lt;="&amp;$I$7,K227:P227)</f>
        <v>0</v>
      </c>
      <c r="T227" s="879"/>
      <c r="U227" s="40"/>
      <c r="V227" s="72">
        <f>V159+V201</f>
        <v>0</v>
      </c>
      <c r="W227" s="72">
        <f t="shared" si="516"/>
        <v>0</v>
      </c>
      <c r="X227" s="72">
        <f t="shared" si="516"/>
        <v>0</v>
      </c>
      <c r="Y227" s="72">
        <f t="shared" si="516"/>
        <v>0</v>
      </c>
      <c r="Z227" s="72">
        <f t="shared" si="516"/>
        <v>3</v>
      </c>
      <c r="AA227" s="72">
        <f t="shared" si="516"/>
        <v>0</v>
      </c>
      <c r="AB227" s="43">
        <f>AB305+AB341</f>
        <v>0</v>
      </c>
      <c r="AC227" s="40"/>
      <c r="AD227" s="140">
        <f ca="1">SUMIF($V$7:AB$7,"&lt;="&amp;$I$7,V227:AA227)</f>
        <v>3</v>
      </c>
      <c r="AE227" s="763"/>
      <c r="AF227" s="40"/>
      <c r="AG227" s="72">
        <f t="shared" si="518"/>
        <v>0</v>
      </c>
      <c r="AH227" s="72">
        <f t="shared" si="518"/>
        <v>0</v>
      </c>
      <c r="AI227" s="72">
        <f t="shared" si="518"/>
        <v>0</v>
      </c>
      <c r="AJ227" s="72">
        <f t="shared" si="518"/>
        <v>0</v>
      </c>
      <c r="AK227" s="72">
        <f t="shared" si="518"/>
        <v>0</v>
      </c>
      <c r="AL227" s="72">
        <f t="shared" si="518"/>
        <v>0</v>
      </c>
      <c r="AM227" s="72">
        <f t="shared" si="518"/>
        <v>0</v>
      </c>
      <c r="AN227" s="40"/>
      <c r="AO227" s="43">
        <f ca="1">SUMIF($AG$7:AM$7,"&lt;="&amp;$I$7,AG227:AL227)</f>
        <v>0</v>
      </c>
      <c r="AP227" s="763"/>
      <c r="AQ227" s="40"/>
      <c r="AR227" s="72">
        <f t="shared" si="520"/>
        <v>0</v>
      </c>
      <c r="AS227" s="72">
        <f t="shared" si="520"/>
        <v>0</v>
      </c>
      <c r="AT227" s="72">
        <f t="shared" si="520"/>
        <v>0</v>
      </c>
      <c r="AU227" s="72">
        <f t="shared" si="520"/>
        <v>0</v>
      </c>
      <c r="AV227" s="72">
        <f t="shared" si="520"/>
        <v>0</v>
      </c>
      <c r="AW227" s="72">
        <f t="shared" si="520"/>
        <v>0</v>
      </c>
      <c r="AX227" s="72">
        <f t="shared" si="520"/>
        <v>0</v>
      </c>
      <c r="AY227" s="40"/>
      <c r="AZ227" s="43">
        <f ca="1">SUMIF($AR$7:AX$7,"&lt;="&amp;$I$7,AR227:AW227)</f>
        <v>0</v>
      </c>
      <c r="BA227" s="763"/>
      <c r="BB227" s="40"/>
      <c r="BC227" s="72">
        <f t="shared" si="522"/>
        <v>0</v>
      </c>
      <c r="BD227" s="72">
        <f t="shared" si="522"/>
        <v>0</v>
      </c>
      <c r="BE227" s="72">
        <f t="shared" si="522"/>
        <v>0</v>
      </c>
      <c r="BF227" s="72">
        <f t="shared" si="522"/>
        <v>0</v>
      </c>
      <c r="BG227" s="72">
        <f t="shared" si="522"/>
        <v>0</v>
      </c>
      <c r="BH227" s="72">
        <f t="shared" si="522"/>
        <v>0</v>
      </c>
      <c r="BI227" s="72">
        <f t="shared" si="522"/>
        <v>0</v>
      </c>
      <c r="BJ227" s="40"/>
      <c r="BK227" s="43">
        <f ca="1">SUMIF($BC$7:BI$7,"&lt;="&amp;$I$7,BC227:BH227)</f>
        <v>0</v>
      </c>
      <c r="BL227" s="763"/>
      <c r="BM227" s="40"/>
      <c r="BN227" s="910"/>
      <c r="BO227" s="910"/>
      <c r="BP227" s="910"/>
      <c r="BQ227" s="1074"/>
      <c r="BR227" s="40"/>
      <c r="BS227" s="910"/>
      <c r="BT227" s="910"/>
      <c r="BU227" s="910"/>
      <c r="BV227" s="910"/>
      <c r="BW227" s="1079"/>
      <c r="BX227" s="910"/>
      <c r="BY227" s="1080"/>
      <c r="BZ227" s="40"/>
      <c r="CA227" s="910"/>
      <c r="CB227" s="910"/>
      <c r="CC227" s="40"/>
      <c r="CD227" s="43">
        <f>IFERROR(AVERAGEIF($V$7:AB$7,"&lt;="&amp;$I$7,V227:AB227),0)</f>
        <v>0.42857142857142855</v>
      </c>
      <c r="CE227" s="40"/>
      <c r="CH227" s="93" t="str">
        <f t="shared" si="492"/>
        <v>OAC - Obra de Arte Corrente (Assentamento)</v>
      </c>
    </row>
    <row r="228" spans="1:86" s="16" customFormat="1" ht="22.35" customHeight="1">
      <c r="A228" s="69"/>
      <c r="B228" s="3"/>
      <c r="C228"/>
      <c r="D228" s="3"/>
      <c r="E228"/>
      <c r="F228" s="3"/>
      <c r="G228"/>
      <c r="H228" s="58"/>
      <c r="I228"/>
      <c r="J228" s="3"/>
      <c r="K228" s="37"/>
      <c r="L228" s="37"/>
      <c r="M228" s="37"/>
      <c r="N228" s="37"/>
      <c r="O228" s="37"/>
      <c r="P228" s="37"/>
      <c r="Q228" s="37"/>
      <c r="R228" s="3"/>
      <c r="S228" s="37"/>
      <c r="T228" s="3"/>
      <c r="U228" s="3"/>
      <c r="V228" s="37"/>
      <c r="W228" s="37"/>
      <c r="X228" s="37"/>
      <c r="Y228" s="37"/>
      <c r="Z228" s="37"/>
      <c r="AA228" s="37"/>
      <c r="AB228" s="37"/>
      <c r="AC228" s="3"/>
      <c r="AD228" s="37"/>
      <c r="AE228" s="3"/>
      <c r="AF228" s="3"/>
      <c r="AG228" s="37"/>
      <c r="AH228" s="37"/>
      <c r="AI228" s="37"/>
      <c r="AJ228" s="37"/>
      <c r="AK228" s="37"/>
      <c r="AL228" s="37"/>
      <c r="AM228" s="37"/>
      <c r="AN228" s="3"/>
      <c r="AO228" s="37"/>
      <c r="AP228" s="3"/>
      <c r="AQ228" s="3"/>
      <c r="AR228" s="37"/>
      <c r="AS228" s="37"/>
      <c r="AT228" s="37"/>
      <c r="AU228" s="37"/>
      <c r="AV228" s="37"/>
      <c r="AW228" s="37"/>
      <c r="AX228" s="37"/>
      <c r="AY228" s="3"/>
      <c r="AZ228" s="37"/>
      <c r="BA228" s="3"/>
      <c r="BB228" s="3"/>
      <c r="BC228" s="37"/>
      <c r="BD228" s="37"/>
      <c r="BE228" s="37"/>
      <c r="BF228" s="37"/>
      <c r="BG228" s="37"/>
      <c r="BH228" s="37"/>
      <c r="BI228" s="37"/>
      <c r="BJ228" s="3"/>
      <c r="BK228" s="37"/>
      <c r="BL228" s="3"/>
      <c r="BM228" s="3"/>
      <c r="BN228" s="35"/>
      <c r="BO228" s="35"/>
      <c r="BP228" s="35"/>
      <c r="BQ228" s="3"/>
      <c r="BR228" s="3"/>
      <c r="BS228" s="35"/>
      <c r="BT228" s="35"/>
      <c r="BU228" s="35"/>
      <c r="BV228" s="35"/>
      <c r="BW228" s="35"/>
      <c r="BX228" s="35"/>
      <c r="BY228" s="3"/>
      <c r="BZ228" s="3"/>
      <c r="CA228" s="35"/>
      <c r="CB228" s="35"/>
      <c r="CC228" s="3"/>
      <c r="CD228" s="19"/>
      <c r="CE228" s="3"/>
      <c r="CH228" s="93" t="str">
        <f t="shared" si="492"/>
        <v>OAC - Obra de Arte Corrente (Assentamento)</v>
      </c>
    </row>
    <row r="229" spans="1:86" s="16" customFormat="1" ht="22.35" customHeight="1">
      <c r="A229" s="70" t="s">
        <v>3948</v>
      </c>
      <c r="B229" s="848" t="s">
        <v>51</v>
      </c>
      <c r="C229" s="1023" t="s">
        <v>52</v>
      </c>
      <c r="D229" s="40"/>
      <c r="E229" s="1004">
        <v>54907.38</v>
      </c>
      <c r="F229" s="40"/>
      <c r="G229" s="41" t="s">
        <v>37</v>
      </c>
      <c r="H229" s="43">
        <f>SUMIF($K$7:$BI$7,$I$7,K229:BI229)</f>
        <v>250</v>
      </c>
      <c r="I229" s="878">
        <f>IF(H229=0,IF(H230&gt;0,1,"-"),IFERROR(H230/H229,"-"))</f>
        <v>1.304</v>
      </c>
      <c r="J229" s="40"/>
      <c r="K229" s="71">
        <f t="shared" ref="K229:Q230" si="524">K233+K278</f>
        <v>20</v>
      </c>
      <c r="L229" s="71">
        <f t="shared" si="524"/>
        <v>470</v>
      </c>
      <c r="M229" s="71">
        <f t="shared" si="524"/>
        <v>470</v>
      </c>
      <c r="N229" s="71">
        <f t="shared" si="524"/>
        <v>450</v>
      </c>
      <c r="O229" s="71">
        <f t="shared" si="524"/>
        <v>530</v>
      </c>
      <c r="P229" s="71">
        <f t="shared" si="524"/>
        <v>400</v>
      </c>
      <c r="Q229" s="71">
        <f t="shared" si="524"/>
        <v>0</v>
      </c>
      <c r="R229" s="40"/>
      <c r="S229" s="43">
        <f ca="1">SUMIF($K$7:Q$7,"&lt;="&amp;$I$7,K229:P229)</f>
        <v>2340</v>
      </c>
      <c r="T229" s="1073">
        <f ca="1">IF(S229=0,IF(S230&gt;0,1,"-"),IFERROR(S230/S229,"-"))</f>
        <v>0.85854700854700849</v>
      </c>
      <c r="U229" s="40"/>
      <c r="V229" s="42">
        <f t="shared" ref="V229:AB230" si="525">V233+V278</f>
        <v>150</v>
      </c>
      <c r="W229" s="42">
        <f t="shared" si="525"/>
        <v>150</v>
      </c>
      <c r="X229" s="42">
        <f t="shared" si="525"/>
        <v>450</v>
      </c>
      <c r="Y229" s="42">
        <f t="shared" si="525"/>
        <v>600</v>
      </c>
      <c r="Z229" s="42">
        <f t="shared" si="525"/>
        <v>600</v>
      </c>
      <c r="AA229" s="42">
        <f t="shared" si="525"/>
        <v>350</v>
      </c>
      <c r="AB229" s="43">
        <f t="shared" si="525"/>
        <v>0</v>
      </c>
      <c r="AC229" s="40"/>
      <c r="AD229" s="43">
        <f ca="1">SUMIF($V$7:AB$7,"&lt;="&amp;$I$7,V229:AA229)</f>
        <v>2300</v>
      </c>
      <c r="AE229" s="762">
        <f t="shared" ref="AE229" ca="1" si="526">IFERROR((AD230/AD229),"-")</f>
        <v>0.63478260869565217</v>
      </c>
      <c r="AF229" s="40"/>
      <c r="AG229" s="42">
        <f t="shared" ref="AG229:AM230" si="527">AG233+AG278</f>
        <v>100</v>
      </c>
      <c r="AH229" s="42">
        <f t="shared" si="527"/>
        <v>250</v>
      </c>
      <c r="AI229" s="42">
        <f t="shared" si="527"/>
        <v>350</v>
      </c>
      <c r="AJ229" s="42">
        <f t="shared" si="527"/>
        <v>350</v>
      </c>
      <c r="AK229" s="42">
        <f t="shared" si="527"/>
        <v>350</v>
      </c>
      <c r="AL229" s="42">
        <f t="shared" si="527"/>
        <v>350</v>
      </c>
      <c r="AM229" s="43">
        <f t="shared" si="527"/>
        <v>0</v>
      </c>
      <c r="AN229" s="40"/>
      <c r="AO229" s="43">
        <f ca="1">SUMIF($AG$7:AM$7,"&lt;="&amp;$I$7,AG229:AL229)</f>
        <v>350</v>
      </c>
      <c r="AP229" s="762">
        <f t="shared" ref="AP229" ca="1" si="528">IFERROR((AO230/AO229),"-")</f>
        <v>1.36</v>
      </c>
      <c r="AQ229" s="40"/>
      <c r="AR229" s="42">
        <f t="shared" ref="AR229:AX230" si="529">AR233+AR278</f>
        <v>0</v>
      </c>
      <c r="AS229" s="42">
        <f t="shared" si="529"/>
        <v>0</v>
      </c>
      <c r="AT229" s="42">
        <f t="shared" si="529"/>
        <v>0</v>
      </c>
      <c r="AU229" s="42">
        <f t="shared" si="529"/>
        <v>0</v>
      </c>
      <c r="AV229" s="42">
        <f t="shared" si="529"/>
        <v>0</v>
      </c>
      <c r="AW229" s="42">
        <f t="shared" si="529"/>
        <v>0</v>
      </c>
      <c r="AX229" s="43">
        <f t="shared" si="529"/>
        <v>0</v>
      </c>
      <c r="AY229" s="40"/>
      <c r="AZ229" s="43">
        <f ca="1">SUMIF($AR$7:AX$7,"&lt;="&amp;$I$7,AR229:AW229)</f>
        <v>0</v>
      </c>
      <c r="BA229" s="762" t="str">
        <f t="shared" ref="BA229" ca="1" si="530">IFERROR((AZ230/AZ229),"-")</f>
        <v>-</v>
      </c>
      <c r="BB229" s="40"/>
      <c r="BC229" s="42">
        <f t="shared" ref="BC229:BI230" si="531">BC233+BC278</f>
        <v>0</v>
      </c>
      <c r="BD229" s="42">
        <f t="shared" si="531"/>
        <v>0</v>
      </c>
      <c r="BE229" s="42">
        <f t="shared" si="531"/>
        <v>0</v>
      </c>
      <c r="BF229" s="42">
        <f t="shared" si="531"/>
        <v>0</v>
      </c>
      <c r="BG229" s="42">
        <f t="shared" si="531"/>
        <v>0</v>
      </c>
      <c r="BH229" s="42">
        <f t="shared" si="531"/>
        <v>0</v>
      </c>
      <c r="BI229" s="43">
        <f t="shared" si="531"/>
        <v>0</v>
      </c>
      <c r="BJ229" s="40"/>
      <c r="BK229" s="43">
        <f ca="1">SUMIF($BC$7:BI$7,"&lt;="&amp;$I$7,BC229:BH229)</f>
        <v>0</v>
      </c>
      <c r="BL229" s="762" t="str">
        <f t="shared" ref="BL229" ca="1" si="532">IFERROR((BK230/BK229),"-")</f>
        <v>-</v>
      </c>
      <c r="BM229" s="40"/>
      <c r="BN229" s="924">
        <v>13799.46</v>
      </c>
      <c r="BO229" s="909">
        <v>6133.0933333333314</v>
      </c>
      <c r="BP229" s="910">
        <f>SUM(M230:Q230,V230:AB230,AG230:AM230,AR230:AX230,BC230:BI230)</f>
        <v>2915</v>
      </c>
      <c r="BQ229" s="1073">
        <f>IF(BO229=0,IF(BP229&gt;0,1,"-"),IFERROR(BP229/BO229,"-"))</f>
        <v>0.47529033744798727</v>
      </c>
      <c r="BR229" s="40"/>
      <c r="BS229" s="909">
        <v>48367</v>
      </c>
      <c r="BT229" s="909"/>
      <c r="BU229" s="924">
        <f ca="1">E229+S230+AD230+AO230+AZ230+BK230-K230---L230</f>
        <v>57822.38</v>
      </c>
      <c r="BV229" s="909">
        <v>370</v>
      </c>
      <c r="BW229" s="1030">
        <f ca="1">IFERROR((BU229/BV229),"-")</f>
        <v>156.27670270270269</v>
      </c>
      <c r="BX229" s="909">
        <v>61971.607826086962</v>
      </c>
      <c r="BY229" s="1032">
        <f ca="1">IFERROR((BU229/BX229),"-")</f>
        <v>0.93304630988869797</v>
      </c>
      <c r="BZ229" s="40"/>
      <c r="CA229" s="909">
        <v>127599</v>
      </c>
      <c r="CB229" s="909">
        <f ca="1">CA229-BU229</f>
        <v>69776.62</v>
      </c>
      <c r="CC229" s="40"/>
      <c r="CD229" s="43">
        <f>IFERROR(AVERAGEIF($V$7:AB$7,"&lt;="&amp;$I$7,V229:AB229),0)</f>
        <v>328.57142857142856</v>
      </c>
      <c r="CE229" s="40"/>
      <c r="CH229" s="93" t="str">
        <f t="shared" si="492"/>
        <v>Drenagem Superficial</v>
      </c>
    </row>
    <row r="230" spans="1:86" s="16" customFormat="1" ht="19.350000000000001" customHeight="1">
      <c r="A230" s="70"/>
      <c r="B230" s="1066"/>
      <c r="C230" s="761"/>
      <c r="D230" s="40"/>
      <c r="E230" s="1024"/>
      <c r="F230" s="40"/>
      <c r="G230" s="45" t="s">
        <v>38</v>
      </c>
      <c r="H230" s="43">
        <f>SUMIF($K$7:$BI$7,$I$7,K230:BI230)</f>
        <v>326</v>
      </c>
      <c r="I230" s="879"/>
      <c r="J230" s="40"/>
      <c r="K230" s="72">
        <f t="shared" si="524"/>
        <v>534</v>
      </c>
      <c r="L230" s="72">
        <f t="shared" si="524"/>
        <v>496</v>
      </c>
      <c r="M230" s="72">
        <f t="shared" si="524"/>
        <v>318</v>
      </c>
      <c r="N230" s="72">
        <f t="shared" si="524"/>
        <v>162</v>
      </c>
      <c r="O230" s="72">
        <f t="shared" si="524"/>
        <v>377</v>
      </c>
      <c r="P230" s="72">
        <f t="shared" si="524"/>
        <v>122</v>
      </c>
      <c r="Q230" s="43">
        <f t="shared" si="524"/>
        <v>0</v>
      </c>
      <c r="R230" s="40"/>
      <c r="S230" s="43">
        <f ca="1">SUMIF($K$7:Q$7,"&lt;="&amp;$I$7,K230:P230)</f>
        <v>2009</v>
      </c>
      <c r="T230" s="1074"/>
      <c r="U230" s="40"/>
      <c r="V230" s="72">
        <f t="shared" si="525"/>
        <v>105</v>
      </c>
      <c r="W230" s="72">
        <f t="shared" si="525"/>
        <v>177</v>
      </c>
      <c r="X230" s="72">
        <f t="shared" si="525"/>
        <v>150</v>
      </c>
      <c r="Y230" s="72">
        <f t="shared" si="525"/>
        <v>160</v>
      </c>
      <c r="Z230" s="72">
        <f t="shared" si="525"/>
        <v>470</v>
      </c>
      <c r="AA230" s="72">
        <f t="shared" si="525"/>
        <v>398</v>
      </c>
      <c r="AB230" s="43">
        <f t="shared" si="525"/>
        <v>0</v>
      </c>
      <c r="AC230" s="40"/>
      <c r="AD230" s="140">
        <f ca="1">SUMIF($V$7:AB$7,"&lt;="&amp;$I$7,V230:AA230)</f>
        <v>1460</v>
      </c>
      <c r="AE230" s="763"/>
      <c r="AF230" s="40"/>
      <c r="AG230" s="72">
        <f t="shared" si="527"/>
        <v>150</v>
      </c>
      <c r="AH230" s="72">
        <f t="shared" si="527"/>
        <v>326</v>
      </c>
      <c r="AI230" s="72">
        <f t="shared" si="527"/>
        <v>0</v>
      </c>
      <c r="AJ230" s="72">
        <f t="shared" si="527"/>
        <v>0</v>
      </c>
      <c r="AK230" s="72">
        <f t="shared" si="527"/>
        <v>0</v>
      </c>
      <c r="AL230" s="72">
        <f t="shared" si="527"/>
        <v>0</v>
      </c>
      <c r="AM230" s="214"/>
      <c r="AN230" s="40"/>
      <c r="AO230" s="43">
        <f ca="1">SUMIF($AG$7:AM$7,"&lt;="&amp;$I$7,AG230:AL230)</f>
        <v>476</v>
      </c>
      <c r="AP230" s="763"/>
      <c r="AQ230" s="40"/>
      <c r="AR230" s="72">
        <f t="shared" si="529"/>
        <v>0</v>
      </c>
      <c r="AS230" s="72">
        <f t="shared" si="529"/>
        <v>0</v>
      </c>
      <c r="AT230" s="72">
        <f t="shared" si="529"/>
        <v>0</v>
      </c>
      <c r="AU230" s="72">
        <f t="shared" si="529"/>
        <v>0</v>
      </c>
      <c r="AV230" s="72">
        <f t="shared" si="529"/>
        <v>0</v>
      </c>
      <c r="AW230" s="72">
        <f t="shared" si="529"/>
        <v>0</v>
      </c>
      <c r="AX230" s="43">
        <f t="shared" si="529"/>
        <v>0</v>
      </c>
      <c r="AY230" s="40"/>
      <c r="AZ230" s="43">
        <f ca="1">SUMIF($AR$7:AX$7,"&lt;="&amp;$I$7,AR230:AW230)</f>
        <v>0</v>
      </c>
      <c r="BA230" s="763"/>
      <c r="BB230" s="40"/>
      <c r="BC230" s="72">
        <f t="shared" si="531"/>
        <v>0</v>
      </c>
      <c r="BD230" s="72">
        <f t="shared" si="531"/>
        <v>0</v>
      </c>
      <c r="BE230" s="72">
        <f t="shared" si="531"/>
        <v>0</v>
      </c>
      <c r="BF230" s="72">
        <f t="shared" si="531"/>
        <v>0</v>
      </c>
      <c r="BG230" s="72">
        <f t="shared" si="531"/>
        <v>0</v>
      </c>
      <c r="BH230" s="72">
        <f t="shared" si="531"/>
        <v>0</v>
      </c>
      <c r="BI230" s="43">
        <f t="shared" si="531"/>
        <v>0</v>
      </c>
      <c r="BJ230" s="40"/>
      <c r="BK230" s="43">
        <f ca="1">SUMIF($BC$7:BI$7,"&lt;="&amp;$I$7,BC230:BH230)</f>
        <v>0</v>
      </c>
      <c r="BL230" s="763"/>
      <c r="BM230" s="40"/>
      <c r="BN230" s="925"/>
      <c r="BO230" s="910"/>
      <c r="BP230" s="910"/>
      <c r="BQ230" s="1074"/>
      <c r="BR230" s="40"/>
      <c r="BS230" s="910"/>
      <c r="BT230" s="910"/>
      <c r="BU230" s="925"/>
      <c r="BV230" s="910"/>
      <c r="BW230" s="1031"/>
      <c r="BX230" s="910"/>
      <c r="BY230" s="1033"/>
      <c r="BZ230" s="40"/>
      <c r="CA230" s="910"/>
      <c r="CB230" s="910"/>
      <c r="CC230" s="40"/>
      <c r="CD230" s="43">
        <f>IFERROR(AVERAGEIF($V$7:AB$7,"&lt;="&amp;$I$7,V230:AB230),0)</f>
        <v>208.57142857142858</v>
      </c>
      <c r="CE230" s="40"/>
      <c r="CH230" s="93" t="str">
        <f t="shared" ref="CH230:CH293" si="533">IF(B230&lt;&gt;"",B230,CH229)</f>
        <v>Drenagem Superficial</v>
      </c>
    </row>
    <row r="231" spans="1:86" s="16" customFormat="1" ht="14.25" hidden="1" customHeight="1" outlineLevel="1">
      <c r="A231" s="69"/>
      <c r="B231" s="3"/>
      <c r="C231"/>
      <c r="D231" s="3"/>
      <c r="E231"/>
      <c r="F231" s="3"/>
      <c r="G231"/>
      <c r="H231" s="57"/>
      <c r="I231"/>
      <c r="J231" s="3"/>
      <c r="K231" s="37"/>
      <c r="L231" s="37"/>
      <c r="M231" s="37"/>
      <c r="N231" s="37"/>
      <c r="O231" s="37"/>
      <c r="P231" s="37"/>
      <c r="Q231" s="37"/>
      <c r="R231" s="3"/>
      <c r="S231" s="37"/>
      <c r="T231" s="3"/>
      <c r="U231" s="3"/>
      <c r="V231" s="37"/>
      <c r="W231" s="37"/>
      <c r="X231" s="37"/>
      <c r="Y231" s="37"/>
      <c r="Z231" s="37"/>
      <c r="AA231" s="37"/>
      <c r="AB231" s="37"/>
      <c r="AC231" s="3"/>
      <c r="AD231" s="37"/>
      <c r="AE231" s="3"/>
      <c r="AF231" s="3"/>
      <c r="AG231" s="37"/>
      <c r="AH231" s="37"/>
      <c r="AI231" s="37"/>
      <c r="AJ231" s="37"/>
      <c r="AK231" s="37"/>
      <c r="AL231" s="37"/>
      <c r="AM231" s="37"/>
      <c r="AN231" s="3"/>
      <c r="AO231" s="37"/>
      <c r="AP231" s="3"/>
      <c r="AQ231" s="3"/>
      <c r="AR231" s="37"/>
      <c r="AS231" s="37"/>
      <c r="AT231" s="37"/>
      <c r="AU231" s="37"/>
      <c r="AV231" s="37"/>
      <c r="AW231" s="37"/>
      <c r="AX231" s="37"/>
      <c r="AY231" s="3"/>
      <c r="AZ231" s="37"/>
      <c r="BA231" s="3"/>
      <c r="BB231" s="3"/>
      <c r="BC231" s="37"/>
      <c r="BD231" s="37"/>
      <c r="BE231" s="37"/>
      <c r="BF231" s="37"/>
      <c r="BG231" s="37"/>
      <c r="BH231" s="37"/>
      <c r="BI231" s="37"/>
      <c r="BJ231" s="3"/>
      <c r="BK231" s="37"/>
      <c r="BL231" s="3"/>
      <c r="BM231" s="3"/>
      <c r="BN231" s="35"/>
      <c r="BO231" s="36"/>
      <c r="BP231" s="35"/>
      <c r="BQ231" s="3"/>
      <c r="BR231" s="3"/>
      <c r="BS231" s="36"/>
      <c r="BT231" s="36"/>
      <c r="BU231" s="36"/>
      <c r="BV231" s="36"/>
      <c r="BW231" s="36"/>
      <c r="BX231" s="36"/>
      <c r="BY231" s="3"/>
      <c r="BZ231" s="3"/>
      <c r="CA231" s="36"/>
      <c r="CB231" s="36"/>
      <c r="CC231" s="3"/>
      <c r="CD231" s="19"/>
      <c r="CE231" s="3"/>
      <c r="CH231" s="93" t="str">
        <f t="shared" si="533"/>
        <v>Drenagem Superficial</v>
      </c>
    </row>
    <row r="232" spans="1:86" s="16" customFormat="1" ht="14.25" hidden="1" customHeight="1" outlineLevel="1">
      <c r="A232" s="69"/>
      <c r="B232" s="3"/>
      <c r="C232" s="3"/>
      <c r="D232" s="3"/>
      <c r="E232" s="3"/>
      <c r="F232" s="3"/>
      <c r="G232" s="3"/>
      <c r="H232" s="36"/>
      <c r="I232" s="3"/>
      <c r="J232" s="3"/>
      <c r="K232" s="37"/>
      <c r="L232" s="37"/>
      <c r="M232" s="37"/>
      <c r="N232" s="37"/>
      <c r="O232" s="37"/>
      <c r="P232" s="37"/>
      <c r="Q232" s="37"/>
      <c r="R232" s="3"/>
      <c r="S232" s="37"/>
      <c r="T232" s="3"/>
      <c r="U232" s="3"/>
      <c r="V232" s="37"/>
      <c r="W232" s="37"/>
      <c r="X232" s="37"/>
      <c r="Y232" s="37"/>
      <c r="Z232" s="37"/>
      <c r="AA232" s="37"/>
      <c r="AB232" s="37"/>
      <c r="AC232" s="3"/>
      <c r="AD232" s="37"/>
      <c r="AE232" s="3"/>
      <c r="AF232" s="3"/>
      <c r="AG232" s="37"/>
      <c r="AH232" s="37"/>
      <c r="AI232" s="37"/>
      <c r="AJ232" s="37"/>
      <c r="AK232" s="37"/>
      <c r="AL232" s="37"/>
      <c r="AM232" s="37"/>
      <c r="AN232" s="3"/>
      <c r="AO232" s="37"/>
      <c r="AP232" s="3"/>
      <c r="AQ232" s="3"/>
      <c r="AR232" s="37"/>
      <c r="AS232" s="37"/>
      <c r="AT232" s="37"/>
      <c r="AU232" s="37"/>
      <c r="AV232" s="37"/>
      <c r="AW232" s="37"/>
      <c r="AX232" s="37"/>
      <c r="AY232" s="3"/>
      <c r="AZ232" s="37"/>
      <c r="BA232" s="3"/>
      <c r="BB232" s="3"/>
      <c r="BC232" s="37"/>
      <c r="BD232" s="37"/>
      <c r="BE232" s="37"/>
      <c r="BF232" s="37"/>
      <c r="BG232" s="37"/>
      <c r="BH232" s="37"/>
      <c r="BI232" s="37"/>
      <c r="BJ232" s="3"/>
      <c r="BK232" s="37"/>
      <c r="BL232" s="3"/>
      <c r="BM232" s="3"/>
      <c r="BN232" s="35"/>
      <c r="BO232" s="36"/>
      <c r="BP232" s="35"/>
      <c r="BQ232" s="3"/>
      <c r="BR232" s="3"/>
      <c r="BS232" s="36"/>
      <c r="BT232" s="36"/>
      <c r="BU232" s="36"/>
      <c r="BV232" s="36"/>
      <c r="BW232" s="36"/>
      <c r="BX232" s="36"/>
      <c r="BY232" s="3"/>
      <c r="BZ232" s="3"/>
      <c r="CA232" s="36"/>
      <c r="CB232" s="36"/>
      <c r="CC232" s="3"/>
      <c r="CD232" s="19"/>
      <c r="CE232" s="3"/>
      <c r="CH232" s="93" t="str">
        <f t="shared" si="533"/>
        <v>Drenagem Superficial</v>
      </c>
    </row>
    <row r="233" spans="1:86" s="16" customFormat="1" ht="14.25" hidden="1" customHeight="1" outlineLevel="1">
      <c r="A233" s="73" t="s">
        <v>3949</v>
      </c>
      <c r="B233" s="739" t="s">
        <v>3950</v>
      </c>
      <c r="C233" s="740" t="s">
        <v>52</v>
      </c>
      <c r="D233" s="2"/>
      <c r="E233" s="1019">
        <v>35102.720000000001</v>
      </c>
      <c r="F233" s="2"/>
      <c r="G233" s="53" t="s">
        <v>37</v>
      </c>
      <c r="H233" s="52">
        <f t="shared" ref="H233:H276" si="534">SUMIF($K$7:$BI$7,$I$7,K233:BI233)</f>
        <v>200</v>
      </c>
      <c r="I233" s="743">
        <f t="shared" ref="I233" si="535">IF(H233=0,IF(H234&gt;0,1,"-"),IFERROR(H234/H233,"-"))</f>
        <v>1.3</v>
      </c>
      <c r="J233" s="2"/>
      <c r="K233" s="52">
        <f t="shared" ref="K233:P233" si="536">SUMIF($G$235:$G$276,$G$233,K235:K276)</f>
        <v>0</v>
      </c>
      <c r="L233" s="52">
        <f t="shared" si="536"/>
        <v>250</v>
      </c>
      <c r="M233" s="52">
        <f t="shared" si="536"/>
        <v>250</v>
      </c>
      <c r="N233" s="52">
        <f t="shared" si="536"/>
        <v>300</v>
      </c>
      <c r="O233" s="52">
        <f t="shared" si="536"/>
        <v>380</v>
      </c>
      <c r="P233" s="52">
        <f t="shared" si="536"/>
        <v>250</v>
      </c>
      <c r="Q233" s="52">
        <f t="shared" ref="Q233" si="537">Q255</f>
        <v>0</v>
      </c>
      <c r="R233" s="2"/>
      <c r="S233" s="52">
        <f ca="1">SUMIF($K$7:Q$7,"&lt;="&amp;$I$7,K233:P233)</f>
        <v>1430</v>
      </c>
      <c r="T233" s="743">
        <f ca="1">IFERROR((S234/S233),"-")</f>
        <v>1.0713286713286714</v>
      </c>
      <c r="U233" s="2"/>
      <c r="V233" s="52">
        <f t="shared" ref="V233:AA233" si="538">SUMIF($G$235:$G$276,$G$233,V235:V276)</f>
        <v>50</v>
      </c>
      <c r="W233" s="52">
        <f t="shared" si="538"/>
        <v>50</v>
      </c>
      <c r="X233" s="52">
        <f t="shared" si="538"/>
        <v>400</v>
      </c>
      <c r="Y233" s="52">
        <f t="shared" si="538"/>
        <v>450</v>
      </c>
      <c r="Z233" s="52">
        <f t="shared" si="538"/>
        <v>450</v>
      </c>
      <c r="AA233" s="52">
        <f t="shared" si="538"/>
        <v>200</v>
      </c>
      <c r="AB233" s="52">
        <f t="shared" ref="AB233" si="539">AB255</f>
        <v>0</v>
      </c>
      <c r="AC233" s="2"/>
      <c r="AD233" s="52">
        <f>SUMIF($V$7:AB$7,"&lt;="&amp;$I$7,V233:AB233)</f>
        <v>1600</v>
      </c>
      <c r="AE233" s="743">
        <f>IFERROR((AD234/AD233),"-")</f>
        <v>0.32437500000000002</v>
      </c>
      <c r="AF233" s="2"/>
      <c r="AG233" s="52">
        <f t="shared" ref="AG233:AL233" si="540">SUMIF($G$235:$G$276,$G$233,AG235:AG276)</f>
        <v>0</v>
      </c>
      <c r="AH233" s="52">
        <f t="shared" si="540"/>
        <v>200</v>
      </c>
      <c r="AI233" s="52">
        <f t="shared" si="540"/>
        <v>200</v>
      </c>
      <c r="AJ233" s="52">
        <f t="shared" si="540"/>
        <v>200</v>
      </c>
      <c r="AK233" s="52">
        <f t="shared" si="540"/>
        <v>200</v>
      </c>
      <c r="AL233" s="52">
        <f t="shared" si="540"/>
        <v>200</v>
      </c>
      <c r="AM233" s="52">
        <f t="shared" ref="AM233" si="541">AM255</f>
        <v>0</v>
      </c>
      <c r="AN233" s="2"/>
      <c r="AO233" s="52">
        <f ca="1">SUMIF($AG$7:AM$7,"&lt;="&amp;$I$7,AG233:AL233)</f>
        <v>200</v>
      </c>
      <c r="AP233" s="743">
        <f ca="1">IFERROR((AO234/AO233),"-")</f>
        <v>1.3</v>
      </c>
      <c r="AQ233" s="2"/>
      <c r="AR233" s="52">
        <f t="shared" ref="AR233:AW233" si="542">SUMIF($G$235:$G$276,$G$233,AR235:AR276)</f>
        <v>0</v>
      </c>
      <c r="AS233" s="52">
        <f t="shared" si="542"/>
        <v>0</v>
      </c>
      <c r="AT233" s="52">
        <f t="shared" si="542"/>
        <v>0</v>
      </c>
      <c r="AU233" s="52">
        <f t="shared" si="542"/>
        <v>0</v>
      </c>
      <c r="AV233" s="52">
        <f t="shared" si="542"/>
        <v>0</v>
      </c>
      <c r="AW233" s="52">
        <f t="shared" si="542"/>
        <v>0</v>
      </c>
      <c r="AX233" s="52">
        <f t="shared" ref="AX233" si="543">AX255</f>
        <v>0</v>
      </c>
      <c r="AY233" s="2"/>
      <c r="AZ233" s="52">
        <f ca="1">SUMIF($AR$7:AX$7,"&lt;="&amp;$I$7,AR233:AW233)</f>
        <v>0</v>
      </c>
      <c r="BA233" s="743" t="str">
        <f ca="1">IFERROR((AZ234/AZ233),"-")</f>
        <v>-</v>
      </c>
      <c r="BB233" s="2"/>
      <c r="BC233" s="52">
        <f t="shared" ref="BC233:BH233" si="544">SUMIF($G$235:$G$276,$G$233,BC235:BC276)</f>
        <v>0</v>
      </c>
      <c r="BD233" s="52">
        <f t="shared" si="544"/>
        <v>0</v>
      </c>
      <c r="BE233" s="52">
        <f t="shared" si="544"/>
        <v>0</v>
      </c>
      <c r="BF233" s="52">
        <f t="shared" si="544"/>
        <v>0</v>
      </c>
      <c r="BG233" s="52">
        <f t="shared" si="544"/>
        <v>0</v>
      </c>
      <c r="BH233" s="52">
        <f t="shared" si="544"/>
        <v>0</v>
      </c>
      <c r="BI233" s="52">
        <f t="shared" ref="BI233" si="545">BI255</f>
        <v>0</v>
      </c>
      <c r="BJ233" s="2"/>
      <c r="BK233" s="52">
        <f ca="1">SUMIF($BC$7:BI$7,"&lt;="&amp;$I$7,BC233:BH233)</f>
        <v>0</v>
      </c>
      <c r="BL233" s="743" t="str">
        <f ca="1">IFERROR((BK234/BK233),"-")</f>
        <v>-</v>
      </c>
      <c r="BM233" s="2"/>
      <c r="BN233" s="888">
        <v>4365.47</v>
      </c>
      <c r="BO233" s="888">
        <v>3199.0899999999997</v>
      </c>
      <c r="BP233" s="888">
        <f>SUM(BP235:BP276)</f>
        <v>1596</v>
      </c>
      <c r="BQ233" s="743">
        <f>IFERROR((BP233/BO233),"-")</f>
        <v>0.49889187237620702</v>
      </c>
      <c r="BR233" s="2"/>
      <c r="BS233" s="888">
        <v>27823.72</v>
      </c>
      <c r="BT233" s="888"/>
      <c r="BU233" s="888">
        <f ca="1">E233+S234+AD234+AO234+AZ234+BK234-K234-L234</f>
        <v>36698.720000000001</v>
      </c>
      <c r="BV233" s="888">
        <v>210</v>
      </c>
      <c r="BW233" s="1019">
        <f ca="1">IFERROR((BU233/BV233),"-")</f>
        <v>174.75580952380952</v>
      </c>
      <c r="BX233" s="888">
        <v>38712.33</v>
      </c>
      <c r="BY233" s="743">
        <f ca="1">IFERROR((BU233/BX233),"-")</f>
        <v>0.94798530597357478</v>
      </c>
      <c r="BZ233" s="2"/>
      <c r="CA233" s="888">
        <v>71661.5</v>
      </c>
      <c r="CB233" s="888">
        <f ca="1">CA233-BU233</f>
        <v>34962.78</v>
      </c>
      <c r="CC233" s="2"/>
      <c r="CD233" s="84">
        <f>IFERROR(AVERAGEIF($V$7:AB$7,"&lt;="&amp;$I$7,V233:AB233),0)</f>
        <v>228.57142857142858</v>
      </c>
      <c r="CE233" s="2"/>
      <c r="CH233" s="93" t="str">
        <f t="shared" si="533"/>
        <v>Segmento 3.2 - km 167+300 a 202+700</v>
      </c>
    </row>
    <row r="234" spans="1:86" s="16" customFormat="1" ht="14.25" hidden="1" customHeight="1" outlineLevel="1">
      <c r="A234" s="74"/>
      <c r="B234" s="739"/>
      <c r="C234" s="740"/>
      <c r="D234" s="2"/>
      <c r="E234" s="1060"/>
      <c r="F234" s="2"/>
      <c r="G234" s="54" t="s">
        <v>38</v>
      </c>
      <c r="H234" s="52">
        <f t="shared" si="534"/>
        <v>260</v>
      </c>
      <c r="I234" s="744"/>
      <c r="J234" s="2"/>
      <c r="K234" s="52">
        <f t="shared" ref="K234:P234" si="546">SUMIF($G$235:$G$276,$G$234,K235:K276)</f>
        <v>375</v>
      </c>
      <c r="L234" s="52">
        <f t="shared" si="546"/>
        <v>340</v>
      </c>
      <c r="M234" s="52">
        <f t="shared" si="546"/>
        <v>270</v>
      </c>
      <c r="N234" s="52">
        <f t="shared" si="546"/>
        <v>90</v>
      </c>
      <c r="O234" s="52">
        <f t="shared" si="546"/>
        <v>335</v>
      </c>
      <c r="P234" s="52">
        <f t="shared" si="546"/>
        <v>122</v>
      </c>
      <c r="Q234" s="52">
        <f>Q236+Q256</f>
        <v>0</v>
      </c>
      <c r="R234" s="2"/>
      <c r="S234" s="52">
        <f ca="1">SUMIF($K$7:Q$7,"&lt;="&amp;$I$7,K234:P234)</f>
        <v>1532</v>
      </c>
      <c r="T234" s="744"/>
      <c r="U234" s="2"/>
      <c r="V234" s="79">
        <f t="shared" ref="V234:AA234" si="547">SUMIF($G$235:$G$276,$G$234,V235:V276)</f>
        <v>105</v>
      </c>
      <c r="W234" s="79">
        <f t="shared" si="547"/>
        <v>96</v>
      </c>
      <c r="X234" s="79">
        <f t="shared" si="547"/>
        <v>117</v>
      </c>
      <c r="Y234" s="79">
        <f t="shared" si="547"/>
        <v>0</v>
      </c>
      <c r="Z234" s="79">
        <f t="shared" si="547"/>
        <v>111</v>
      </c>
      <c r="AA234" s="79">
        <f t="shared" si="547"/>
        <v>90</v>
      </c>
      <c r="AB234" s="52">
        <f>AB236+AB256</f>
        <v>0</v>
      </c>
      <c r="AC234" s="2"/>
      <c r="AD234" s="52">
        <f>SUMIF($V$7:AB$7,"&lt;="&amp;$I$7,V234:AB234)</f>
        <v>519</v>
      </c>
      <c r="AE234" s="744"/>
      <c r="AF234" s="2"/>
      <c r="AG234" s="75">
        <f t="shared" ref="AG234:AL234" si="548">SUMIF($G$235:$G$276,$G$234,AG235:AG276)</f>
        <v>0</v>
      </c>
      <c r="AH234" s="153">
        <f t="shared" si="548"/>
        <v>260</v>
      </c>
      <c r="AI234" s="75">
        <f t="shared" si="548"/>
        <v>0</v>
      </c>
      <c r="AJ234" s="75">
        <f t="shared" si="548"/>
        <v>0</v>
      </c>
      <c r="AK234" s="75">
        <f t="shared" si="548"/>
        <v>0</v>
      </c>
      <c r="AL234" s="75">
        <f t="shared" si="548"/>
        <v>0</v>
      </c>
      <c r="AM234" s="52">
        <f>AM236+AM256</f>
        <v>0</v>
      </c>
      <c r="AN234" s="2"/>
      <c r="AO234" s="52">
        <f ca="1">SUMIF($AG$7:AM$7,"&lt;="&amp;$I$7,AG234:AL234)</f>
        <v>260</v>
      </c>
      <c r="AP234" s="744"/>
      <c r="AQ234" s="2"/>
      <c r="AR234" s="52">
        <f t="shared" ref="AR234:AW234" si="549">SUMIF($G$235:$G$276,$G$234,AR235:AR276)</f>
        <v>0</v>
      </c>
      <c r="AS234" s="52">
        <f t="shared" si="549"/>
        <v>0</v>
      </c>
      <c r="AT234" s="52">
        <f t="shared" si="549"/>
        <v>0</v>
      </c>
      <c r="AU234" s="52">
        <f t="shared" si="549"/>
        <v>0</v>
      </c>
      <c r="AV234" s="52">
        <f t="shared" si="549"/>
        <v>0</v>
      </c>
      <c r="AW234" s="52">
        <f t="shared" si="549"/>
        <v>0</v>
      </c>
      <c r="AX234" s="52">
        <f>AX236+AX256</f>
        <v>0</v>
      </c>
      <c r="AY234" s="2"/>
      <c r="AZ234" s="52">
        <f ca="1">SUMIF($AR$7:AX$7,"&lt;="&amp;$I$7,AR234:AW234)</f>
        <v>0</v>
      </c>
      <c r="BA234" s="744"/>
      <c r="BB234" s="2"/>
      <c r="BC234" s="52">
        <f t="shared" ref="BC234:BH234" si="550">SUMIF($G$235:$G$276,$G$234,BC235:BC276)</f>
        <v>0</v>
      </c>
      <c r="BD234" s="52">
        <f t="shared" si="550"/>
        <v>0</v>
      </c>
      <c r="BE234" s="52">
        <f t="shared" si="550"/>
        <v>0</v>
      </c>
      <c r="BF234" s="52">
        <f t="shared" si="550"/>
        <v>0</v>
      </c>
      <c r="BG234" s="52">
        <f t="shared" si="550"/>
        <v>0</v>
      </c>
      <c r="BH234" s="52">
        <f t="shared" si="550"/>
        <v>0</v>
      </c>
      <c r="BI234" s="52">
        <f>BI236+BI256</f>
        <v>0</v>
      </c>
      <c r="BJ234" s="2"/>
      <c r="BK234" s="52">
        <f ca="1">SUMIF($BC$7:BI$7,"&lt;="&amp;$I$7,BC234:BH234)</f>
        <v>0</v>
      </c>
      <c r="BL234" s="744"/>
      <c r="BM234" s="2"/>
      <c r="BN234" s="1018"/>
      <c r="BO234" s="889"/>
      <c r="BP234" s="1018"/>
      <c r="BQ234" s="744"/>
      <c r="BR234" s="2"/>
      <c r="BS234" s="888"/>
      <c r="BT234" s="888"/>
      <c r="BU234" s="889"/>
      <c r="BV234" s="888"/>
      <c r="BW234" s="1019"/>
      <c r="BX234" s="888"/>
      <c r="BY234" s="743"/>
      <c r="BZ234" s="2"/>
      <c r="CA234" s="888"/>
      <c r="CB234" s="888"/>
      <c r="CC234" s="2"/>
      <c r="CD234" s="84">
        <f>IFERROR(AVERAGEIF($V$7:AB$7,"&lt;="&amp;$I$7,V234:AB234),0)</f>
        <v>74.142857142857139</v>
      </c>
      <c r="CE234" s="2"/>
      <c r="CH234" s="93" t="str">
        <f t="shared" si="533"/>
        <v>Segmento 3.2 - km 167+300 a 202+700</v>
      </c>
    </row>
    <row r="235" spans="1:86" s="16" customFormat="1" ht="14.25" hidden="1" customHeight="1" outlineLevel="2">
      <c r="A235" s="74" t="s">
        <v>3951</v>
      </c>
      <c r="B235" s="1041" t="s">
        <v>3952</v>
      </c>
      <c r="C235" s="1023" t="s">
        <v>52</v>
      </c>
      <c r="D235" s="2"/>
      <c r="E235" s="1004">
        <v>1636</v>
      </c>
      <c r="F235" s="2"/>
      <c r="G235" s="49" t="s">
        <v>37</v>
      </c>
      <c r="H235" s="705">
        <f t="shared" si="534"/>
        <v>0</v>
      </c>
      <c r="I235" s="878" t="str">
        <f t="shared" ref="I235" si="551">IF(H235=0,IF(H236&gt;0,1,"-"),IFERROR(H236/H235,"-"))</f>
        <v>-</v>
      </c>
      <c r="J235" s="2"/>
      <c r="K235" s="705"/>
      <c r="L235" s="705"/>
      <c r="M235" s="705"/>
      <c r="N235" s="705"/>
      <c r="O235" s="705"/>
      <c r="P235" s="705"/>
      <c r="Q235" s="705"/>
      <c r="R235" s="2"/>
      <c r="S235" s="705">
        <f ca="1">SUMIF($K$7:Q$7,"&lt;="&amp;$I$7,K235:P235)</f>
        <v>0</v>
      </c>
      <c r="T235" s="878" t="str">
        <f ca="1">IFERROR((S236/S235),"-")</f>
        <v>-</v>
      </c>
      <c r="U235" s="2"/>
      <c r="V235" s="705"/>
      <c r="W235" s="705"/>
      <c r="X235" s="705"/>
      <c r="Y235" s="705"/>
      <c r="Z235" s="705"/>
      <c r="AA235" s="705"/>
      <c r="AB235" s="705"/>
      <c r="AC235" s="2"/>
      <c r="AD235" s="705">
        <f ca="1">SUMIF($V$7:AB$7,"&lt;="&amp;$I$7,V235:AA235)</f>
        <v>0</v>
      </c>
      <c r="AE235" s="878" t="str">
        <f ca="1">IFERROR((AD236/AD235),"-")</f>
        <v>-</v>
      </c>
      <c r="AF235" s="2"/>
      <c r="AG235" s="705"/>
      <c r="AH235" s="705"/>
      <c r="AI235" s="705"/>
      <c r="AJ235" s="705"/>
      <c r="AK235" s="705"/>
      <c r="AL235" s="705"/>
      <c r="AM235" s="705"/>
      <c r="AN235" s="2"/>
      <c r="AO235" s="705">
        <f ca="1">SUMIF($AG$7:AM$7,"&lt;="&amp;$I$7,AG235:AL235)</f>
        <v>0</v>
      </c>
      <c r="AP235" s="878" t="str">
        <f ca="1">IFERROR((AO236/AO235),"-")</f>
        <v>-</v>
      </c>
      <c r="AQ235" s="2"/>
      <c r="AR235" s="705"/>
      <c r="AS235" s="705"/>
      <c r="AT235" s="705"/>
      <c r="AU235" s="705"/>
      <c r="AV235" s="705"/>
      <c r="AW235" s="705"/>
      <c r="AX235" s="705"/>
      <c r="AY235" s="2"/>
      <c r="AZ235" s="705">
        <f ca="1">SUMIF($AR$7:AX$7,"&lt;="&amp;$I$7,AR235:AW235)</f>
        <v>0</v>
      </c>
      <c r="BA235" s="878" t="str">
        <f ca="1">IFERROR((AZ236/AZ235),"-")</f>
        <v>-</v>
      </c>
      <c r="BB235" s="2"/>
      <c r="BC235" s="705"/>
      <c r="BD235" s="705"/>
      <c r="BE235" s="705"/>
      <c r="BF235" s="705"/>
      <c r="BG235" s="705"/>
      <c r="BH235" s="705"/>
      <c r="BI235" s="705"/>
      <c r="BJ235" s="2"/>
      <c r="BK235" s="705">
        <f ca="1">SUMIF($BC$7:BI$7,"&lt;="&amp;$I$7,BC235:BH235)</f>
        <v>0</v>
      </c>
      <c r="BL235" s="878" t="str">
        <f ca="1">IFERROR((BK236/BK235),"-")</f>
        <v>-</v>
      </c>
      <c r="BM235" s="2"/>
      <c r="BN235" s="921">
        <v>0</v>
      </c>
      <c r="BO235" s="884">
        <v>0</v>
      </c>
      <c r="BP235" s="884">
        <f>SUM(M236:P236,V236:AB236,AG236:AM236,AR236:AX236,BC236:BI236)</f>
        <v>0</v>
      </c>
      <c r="BQ235" s="878" t="str">
        <f t="shared" ref="BQ235" si="552">IFERROR((BP235/BO235),"-")</f>
        <v>-</v>
      </c>
      <c r="BR235" s="2"/>
      <c r="BS235" s="884"/>
      <c r="BT235" s="884"/>
      <c r="BU235" s="884">
        <f ca="1">E235+S236+AD236+AO236+AZ236+BK236-K236-L236</f>
        <v>1636</v>
      </c>
      <c r="BV235" s="1016" t="e">
        <v>#N/A</v>
      </c>
      <c r="BW235" s="1004" t="str">
        <f ca="1">IFERROR((BU235/BV235),"-")</f>
        <v>-</v>
      </c>
      <c r="BX235" s="884">
        <v>0</v>
      </c>
      <c r="BY235" s="878" t="str">
        <f ca="1">IFERROR((BU235/BX235),"-")</f>
        <v>-</v>
      </c>
      <c r="BZ235" s="2"/>
      <c r="CA235" s="884"/>
      <c r="CB235" s="884"/>
      <c r="CC235" s="2"/>
      <c r="CD235" s="504">
        <f>IFERROR(AVERAGEIF($V$7:AB$7,"&lt;="&amp;$I$7,V235:AB235),0)</f>
        <v>0</v>
      </c>
      <c r="CE235" s="2"/>
      <c r="CH235" s="93" t="str">
        <f t="shared" si="533"/>
        <v>Aterro 2 - Km 171 + 180 a 173+720 (Banqueta- CZB 01 e 03)</v>
      </c>
    </row>
    <row r="236" spans="1:86" s="16" customFormat="1" ht="14.25" hidden="1" customHeight="1" outlineLevel="2">
      <c r="A236" s="74"/>
      <c r="B236" s="1078"/>
      <c r="C236" s="1023"/>
      <c r="D236" s="2"/>
      <c r="E236" s="1024"/>
      <c r="F236" s="2"/>
      <c r="G236" s="50" t="s">
        <v>38</v>
      </c>
      <c r="H236" s="705">
        <f t="shared" si="534"/>
        <v>0</v>
      </c>
      <c r="I236" s="879"/>
      <c r="J236" s="2"/>
      <c r="K236" s="76"/>
      <c r="L236" s="76"/>
      <c r="M236" s="76"/>
      <c r="N236" s="76"/>
      <c r="O236" s="76"/>
      <c r="P236" s="76"/>
      <c r="Q236" s="706"/>
      <c r="R236" s="2"/>
      <c r="S236" s="705">
        <f ca="1">SUMIF($K$7:Q$7,"&lt;="&amp;$I$7,K236:P236)</f>
        <v>0</v>
      </c>
      <c r="T236" s="879"/>
      <c r="U236" s="2"/>
      <c r="V236" s="76"/>
      <c r="W236" s="76"/>
      <c r="X236" s="76"/>
      <c r="Y236" s="76"/>
      <c r="Z236" s="76"/>
      <c r="AA236" s="76"/>
      <c r="AB236" s="706"/>
      <c r="AC236" s="2"/>
      <c r="AD236" s="705">
        <f ca="1">SUMIF($V$7:AB$7,"&lt;="&amp;$I$7,V236:AA236)</f>
        <v>0</v>
      </c>
      <c r="AE236" s="879"/>
      <c r="AF236" s="2"/>
      <c r="AG236" s="76"/>
      <c r="AH236" s="76"/>
      <c r="AI236" s="76"/>
      <c r="AJ236" s="76"/>
      <c r="AK236" s="76"/>
      <c r="AL236" s="76"/>
      <c r="AM236" s="706"/>
      <c r="AN236" s="2"/>
      <c r="AO236" s="705">
        <f ca="1">SUMIF($AG$7:AM$7,"&lt;="&amp;$I$7,AG236:AL236)</f>
        <v>0</v>
      </c>
      <c r="AP236" s="879"/>
      <c r="AQ236" s="2"/>
      <c r="AR236" s="76"/>
      <c r="AS236" s="76"/>
      <c r="AT236" s="76"/>
      <c r="AU236" s="76"/>
      <c r="AV236" s="76"/>
      <c r="AW236" s="76"/>
      <c r="AX236" s="706"/>
      <c r="AY236" s="2"/>
      <c r="AZ236" s="705">
        <f ca="1">SUMIF($AR$7:AX$7,"&lt;="&amp;$I$7,AR236:AW236)</f>
        <v>0</v>
      </c>
      <c r="BA236" s="879"/>
      <c r="BB236" s="2"/>
      <c r="BC236" s="76"/>
      <c r="BD236" s="76"/>
      <c r="BE236" s="76"/>
      <c r="BF236" s="76"/>
      <c r="BG236" s="76"/>
      <c r="BH236" s="76"/>
      <c r="BI236" s="706"/>
      <c r="BJ236" s="2"/>
      <c r="BK236" s="705">
        <f ca="1">SUMIF($BC$7:BI$7,"&lt;="&amp;$I$7,BC236:BH236)</f>
        <v>0</v>
      </c>
      <c r="BL236" s="879"/>
      <c r="BM236" s="2"/>
      <c r="BN236" s="922"/>
      <c r="BO236" s="885"/>
      <c r="BP236" s="885"/>
      <c r="BQ236" s="1050"/>
      <c r="BR236" s="2"/>
      <c r="BS236" s="922"/>
      <c r="BT236" s="922"/>
      <c r="BU236" s="885"/>
      <c r="BV236" s="1059"/>
      <c r="BW236" s="1051"/>
      <c r="BX236" s="922"/>
      <c r="BY236" s="1052"/>
      <c r="BZ236" s="2"/>
      <c r="CA236" s="922"/>
      <c r="CB236" s="922"/>
      <c r="CC236" s="2"/>
      <c r="CD236" s="504">
        <f>IFERROR(AVERAGEIF($V$7:AB$7,"&lt;="&amp;$I$7,V236:AB236),0)</f>
        <v>0</v>
      </c>
      <c r="CE236" s="2"/>
      <c r="CH236" s="93" t="str">
        <f t="shared" si="533"/>
        <v>Aterro 2 - Km 171 + 180 a 173+720 (Banqueta- CZB 01 e 03)</v>
      </c>
    </row>
    <row r="237" spans="1:86" s="16" customFormat="1" ht="14.25" hidden="1" customHeight="1" outlineLevel="2">
      <c r="A237" s="74" t="s">
        <v>3953</v>
      </c>
      <c r="B237" s="1041" t="s">
        <v>3954</v>
      </c>
      <c r="C237" s="1023" t="s">
        <v>52</v>
      </c>
      <c r="D237" s="2"/>
      <c r="E237" s="1004">
        <v>2104.92</v>
      </c>
      <c r="F237" s="2"/>
      <c r="G237" s="49" t="s">
        <v>37</v>
      </c>
      <c r="H237" s="705">
        <f t="shared" si="534"/>
        <v>0</v>
      </c>
      <c r="I237" s="878" t="str">
        <f t="shared" ref="I237" si="553">IF(H237=0,IF(H238&gt;0,1,"-"),IFERROR(H238/H237,"-"))</f>
        <v>-</v>
      </c>
      <c r="J237" s="2"/>
      <c r="K237" s="705"/>
      <c r="L237" s="705"/>
      <c r="M237" s="705"/>
      <c r="N237" s="705"/>
      <c r="O237" s="705"/>
      <c r="P237" s="705"/>
      <c r="Q237" s="705"/>
      <c r="R237" s="2"/>
      <c r="S237" s="705">
        <f ca="1">SUMIF($K$7:Q$7,"&lt;="&amp;$I$7,K237:P237)</f>
        <v>0</v>
      </c>
      <c r="T237" s="878" t="str">
        <f t="shared" ref="T237" ca="1" si="554">IFERROR((S238/S237),"-")</f>
        <v>-</v>
      </c>
      <c r="U237" s="2"/>
      <c r="V237" s="705"/>
      <c r="W237" s="705"/>
      <c r="X237" s="705"/>
      <c r="Y237" s="705"/>
      <c r="Z237" s="705"/>
      <c r="AA237" s="705"/>
      <c r="AB237" s="705"/>
      <c r="AC237" s="2"/>
      <c r="AD237" s="705">
        <f ca="1">SUMIF($V$7:AB$7,"&lt;="&amp;$I$7,V237:AA237)</f>
        <v>0</v>
      </c>
      <c r="AE237" s="878" t="str">
        <f t="shared" ref="AE237" ca="1" si="555">IFERROR((AD238/AD237),"-")</f>
        <v>-</v>
      </c>
      <c r="AF237" s="2"/>
      <c r="AG237" s="705"/>
      <c r="AH237" s="705"/>
      <c r="AI237" s="705"/>
      <c r="AJ237" s="705"/>
      <c r="AK237" s="705"/>
      <c r="AL237" s="705"/>
      <c r="AM237" s="705"/>
      <c r="AN237" s="2"/>
      <c r="AO237" s="705">
        <f ca="1">SUMIF($AG$7:AM$7,"&lt;="&amp;$I$7,AG237:AL237)</f>
        <v>0</v>
      </c>
      <c r="AP237" s="878" t="str">
        <f t="shared" ref="AP237" ca="1" si="556">IFERROR((AO238/AO237),"-")</f>
        <v>-</v>
      </c>
      <c r="AQ237" s="2"/>
      <c r="AR237" s="705"/>
      <c r="AS237" s="705"/>
      <c r="AT237" s="705"/>
      <c r="AU237" s="705"/>
      <c r="AV237" s="705"/>
      <c r="AW237" s="705"/>
      <c r="AX237" s="705"/>
      <c r="AY237" s="2"/>
      <c r="AZ237" s="705">
        <f ca="1">SUMIF($AR$7:AX$7,"&lt;="&amp;$I$7,AR237:AW237)</f>
        <v>0</v>
      </c>
      <c r="BA237" s="878" t="str">
        <f t="shared" ref="BA237" ca="1" si="557">IFERROR((AZ238/AZ237),"-")</f>
        <v>-</v>
      </c>
      <c r="BB237" s="2"/>
      <c r="BC237" s="705"/>
      <c r="BD237" s="705"/>
      <c r="BE237" s="705"/>
      <c r="BF237" s="705"/>
      <c r="BG237" s="705"/>
      <c r="BH237" s="705"/>
      <c r="BI237" s="705"/>
      <c r="BJ237" s="2"/>
      <c r="BK237" s="705">
        <f ca="1">SUMIF($BC$7:BI$7,"&lt;="&amp;$I$7,BC237:BH237)</f>
        <v>0</v>
      </c>
      <c r="BL237" s="878" t="str">
        <f t="shared" ref="BL237" ca="1" si="558">IFERROR((BK238/BK237),"-")</f>
        <v>-</v>
      </c>
      <c r="BM237" s="2"/>
      <c r="BN237" s="921">
        <v>0</v>
      </c>
      <c r="BO237" s="884">
        <v>0</v>
      </c>
      <c r="BP237" s="884">
        <f>SUM(M238:P238,V238:AB238,AG238:AM238,AR238:AX238,BC238:BI238)</f>
        <v>0</v>
      </c>
      <c r="BQ237" s="878" t="str">
        <f>IF(AND(BO237=0,BP237=0),"-",IF(BO237=0,1,BP237/BO237))</f>
        <v>-</v>
      </c>
      <c r="BR237" s="2"/>
      <c r="BS237" s="884"/>
      <c r="BT237" s="884"/>
      <c r="BU237" s="884">
        <f ca="1">E237+S238+AD238+AO238+AZ238+BK238-K238-L238</f>
        <v>2104.92</v>
      </c>
      <c r="BV237" s="884">
        <v>104</v>
      </c>
      <c r="BW237" s="1004">
        <f ca="1">IFERROR((BU237/BV237),"-")</f>
        <v>20.239615384615384</v>
      </c>
      <c r="BX237" s="884">
        <v>0</v>
      </c>
      <c r="BY237" s="878" t="str">
        <f ca="1">IFERROR((BU237/BX237),"-")</f>
        <v>-</v>
      </c>
      <c r="BZ237" s="2"/>
      <c r="CA237" s="884"/>
      <c r="CB237" s="884"/>
      <c r="CC237" s="2"/>
      <c r="CD237" s="504">
        <f>IFERROR(AVERAGEIF($V$7:AB$7,"&lt;="&amp;$I$7,V237:AB237),0)</f>
        <v>0</v>
      </c>
      <c r="CE237" s="2"/>
      <c r="CH237" s="93" t="str">
        <f t="shared" si="533"/>
        <v>Corte 2 -  Km 169+940 a 171+180
(Banqueta) - (Valeta de aterro - VPC 01, 02, 04 e 05)</v>
      </c>
    </row>
    <row r="238" spans="1:86" s="16" customFormat="1" ht="14.25" hidden="1" customHeight="1" outlineLevel="2">
      <c r="A238" s="74"/>
      <c r="B238" s="1042"/>
      <c r="C238" s="1023"/>
      <c r="D238" s="2"/>
      <c r="E238" s="1024"/>
      <c r="F238" s="2"/>
      <c r="G238" s="50" t="s">
        <v>38</v>
      </c>
      <c r="H238" s="705">
        <f t="shared" si="534"/>
        <v>0</v>
      </c>
      <c r="I238" s="879"/>
      <c r="J238" s="2"/>
      <c r="K238" s="76"/>
      <c r="L238" s="76"/>
      <c r="M238" s="76"/>
      <c r="N238" s="76"/>
      <c r="O238" s="76"/>
      <c r="P238" s="76"/>
      <c r="Q238" s="706"/>
      <c r="R238" s="2"/>
      <c r="S238" s="705">
        <f ca="1">SUMIF($K$7:Q$7,"&lt;="&amp;$I$7,K238:P238)</f>
        <v>0</v>
      </c>
      <c r="T238" s="879"/>
      <c r="U238" s="2"/>
      <c r="V238" s="76"/>
      <c r="W238" s="76"/>
      <c r="X238" s="76"/>
      <c r="Y238" s="76"/>
      <c r="Z238" s="76"/>
      <c r="AA238" s="76"/>
      <c r="AB238" s="706"/>
      <c r="AC238" s="2"/>
      <c r="AD238" s="705">
        <f ca="1">SUMIF($V$7:AB$7,"&lt;="&amp;$I$7,V238:AA238)</f>
        <v>0</v>
      </c>
      <c r="AE238" s="879"/>
      <c r="AF238" s="2"/>
      <c r="AG238" s="76"/>
      <c r="AH238" s="76"/>
      <c r="AI238" s="76"/>
      <c r="AJ238" s="76"/>
      <c r="AK238" s="76"/>
      <c r="AL238" s="76"/>
      <c r="AM238" s="706"/>
      <c r="AN238" s="2"/>
      <c r="AO238" s="705">
        <f ca="1">SUMIF($AG$7:AM$7,"&lt;="&amp;$I$7,AG238:AL238)</f>
        <v>0</v>
      </c>
      <c r="AP238" s="879"/>
      <c r="AQ238" s="2"/>
      <c r="AR238" s="76"/>
      <c r="AS238" s="76"/>
      <c r="AT238" s="76"/>
      <c r="AU238" s="76"/>
      <c r="AV238" s="76"/>
      <c r="AW238" s="76"/>
      <c r="AX238" s="706"/>
      <c r="AY238" s="2"/>
      <c r="AZ238" s="705">
        <f ca="1">SUMIF($AR$7:AX$7,"&lt;="&amp;$I$7,AR238:AW238)</f>
        <v>0</v>
      </c>
      <c r="BA238" s="879"/>
      <c r="BB238" s="2"/>
      <c r="BC238" s="76"/>
      <c r="BD238" s="76"/>
      <c r="BE238" s="76"/>
      <c r="BF238" s="76"/>
      <c r="BG238" s="76"/>
      <c r="BH238" s="76"/>
      <c r="BI238" s="706"/>
      <c r="BJ238" s="2"/>
      <c r="BK238" s="705">
        <f ca="1">SUMIF($BC$7:BI$7,"&lt;="&amp;$I$7,BC238:BH238)</f>
        <v>0</v>
      </c>
      <c r="BL238" s="879"/>
      <c r="BM238" s="2"/>
      <c r="BN238" s="922"/>
      <c r="BO238" s="885"/>
      <c r="BP238" s="885"/>
      <c r="BQ238" s="879"/>
      <c r="BR238" s="2"/>
      <c r="BS238" s="922"/>
      <c r="BT238" s="922"/>
      <c r="BU238" s="885"/>
      <c r="BV238" s="886"/>
      <c r="BW238" s="1051"/>
      <c r="BX238" s="922"/>
      <c r="BY238" s="1052"/>
      <c r="BZ238" s="2"/>
      <c r="CA238" s="922"/>
      <c r="CB238" s="922"/>
      <c r="CC238" s="2"/>
      <c r="CD238" s="504">
        <f>IFERROR(AVERAGEIF($V$7:AB$7,"&lt;="&amp;$I$7,V238:AB238),0)</f>
        <v>0</v>
      </c>
      <c r="CE238" s="2"/>
      <c r="CH238" s="93" t="str">
        <f t="shared" si="533"/>
        <v>Corte 2 -  Km 169+940 a 171+180
(Banqueta) - (Valeta de aterro - VPC 01, 02, 04 e 05)</v>
      </c>
    </row>
    <row r="239" spans="1:86" s="16" customFormat="1" ht="14.25" hidden="1" customHeight="1" outlineLevel="2">
      <c r="A239" s="74" t="s">
        <v>3955</v>
      </c>
      <c r="B239" s="1041" t="s">
        <v>3956</v>
      </c>
      <c r="C239" s="1023" t="s">
        <v>52</v>
      </c>
      <c r="D239" s="2"/>
      <c r="E239" s="1004">
        <v>1033.0929999999998</v>
      </c>
      <c r="F239" s="2"/>
      <c r="G239" s="49" t="s">
        <v>37</v>
      </c>
      <c r="H239" s="705">
        <f t="shared" si="534"/>
        <v>0</v>
      </c>
      <c r="I239" s="878" t="str">
        <f t="shared" ref="I239" si="559">IF(H239=0,IF(H240&gt;0,1,"-"),IFERROR(H240/H239,"-"))</f>
        <v>-</v>
      </c>
      <c r="J239" s="2"/>
      <c r="K239" s="705"/>
      <c r="L239" s="705"/>
      <c r="M239" s="705"/>
      <c r="N239" s="705"/>
      <c r="O239" s="705"/>
      <c r="P239" s="705"/>
      <c r="Q239" s="705"/>
      <c r="R239" s="2"/>
      <c r="S239" s="705">
        <f ca="1">SUMIF($K$7:Q$7,"&lt;="&amp;$I$7,K239:P239)</f>
        <v>0</v>
      </c>
      <c r="T239" s="878" t="str">
        <f t="shared" ref="T239" ca="1" si="560">IFERROR((S240/S239),"-")</f>
        <v>-</v>
      </c>
      <c r="U239" s="2"/>
      <c r="V239" s="705"/>
      <c r="W239" s="705"/>
      <c r="X239" s="705"/>
      <c r="Y239" s="705"/>
      <c r="Z239" s="705"/>
      <c r="AA239" s="705"/>
      <c r="AB239" s="705"/>
      <c r="AC239" s="2"/>
      <c r="AD239" s="705">
        <f ca="1">SUMIF($V$7:AB$7,"&lt;="&amp;$I$7,V239:AA239)</f>
        <v>0</v>
      </c>
      <c r="AE239" s="878" t="str">
        <f t="shared" ref="AE239" ca="1" si="561">IFERROR((AD240/AD239),"-")</f>
        <v>-</v>
      </c>
      <c r="AF239" s="2"/>
      <c r="AG239" s="705"/>
      <c r="AH239" s="705"/>
      <c r="AI239" s="705"/>
      <c r="AJ239" s="705"/>
      <c r="AK239" s="705"/>
      <c r="AL239" s="705"/>
      <c r="AM239" s="705"/>
      <c r="AN239" s="2"/>
      <c r="AO239" s="705">
        <f ca="1">SUMIF($AG$7:AM$7,"&lt;="&amp;$I$7,AG239:AL239)</f>
        <v>0</v>
      </c>
      <c r="AP239" s="878" t="str">
        <f t="shared" ref="AP239" ca="1" si="562">IFERROR((AO240/AO239),"-")</f>
        <v>-</v>
      </c>
      <c r="AQ239" s="2"/>
      <c r="AR239" s="705"/>
      <c r="AS239" s="705"/>
      <c r="AT239" s="705"/>
      <c r="AU239" s="705"/>
      <c r="AV239" s="705"/>
      <c r="AW239" s="705"/>
      <c r="AX239" s="705"/>
      <c r="AY239" s="2"/>
      <c r="AZ239" s="705">
        <f ca="1">SUMIF($AR$7:AX$7,"&lt;="&amp;$I$7,AR239:AW239)</f>
        <v>0</v>
      </c>
      <c r="BA239" s="878" t="str">
        <f t="shared" ref="BA239" ca="1" si="563">IFERROR((AZ240/AZ239),"-")</f>
        <v>-</v>
      </c>
      <c r="BB239" s="2"/>
      <c r="BC239" s="705"/>
      <c r="BD239" s="705"/>
      <c r="BE239" s="705"/>
      <c r="BF239" s="705"/>
      <c r="BG239" s="705"/>
      <c r="BH239" s="705"/>
      <c r="BI239" s="705"/>
      <c r="BJ239" s="2"/>
      <c r="BK239" s="705">
        <f ca="1">SUMIF($BC$7:BI$7,"&lt;="&amp;$I$7,BC239:BH239)</f>
        <v>0</v>
      </c>
      <c r="BL239" s="878" t="str">
        <f t="shared" ref="BL239" ca="1" si="564">IFERROR((BK240/BK239),"-")</f>
        <v>-</v>
      </c>
      <c r="BM239" s="2"/>
      <c r="BN239" s="921">
        <v>0</v>
      </c>
      <c r="BO239" s="884">
        <v>0</v>
      </c>
      <c r="BP239" s="884">
        <f>SUM(M240:P240,V240:AB240,AG240:AM240,AR240:AX240,BC240:BI240)</f>
        <v>0</v>
      </c>
      <c r="BQ239" s="878" t="str">
        <f>IF(AND(BO239=0,BP239=0),"-",IF(BO239=0,1,BP239/BO239))</f>
        <v>-</v>
      </c>
      <c r="BR239" s="2"/>
      <c r="BS239" s="884"/>
      <c r="BT239" s="884"/>
      <c r="BU239" s="884">
        <f ca="1">E239+S240+AD240+AO240+AZ240+BK240-K240-L240</f>
        <v>1033.0929999999998</v>
      </c>
      <c r="BV239" s="884">
        <v>104</v>
      </c>
      <c r="BW239" s="1004">
        <f ca="1">IFERROR((BU239/BV239),"-")</f>
        <v>9.9335865384615367</v>
      </c>
      <c r="BX239" s="884">
        <v>0</v>
      </c>
      <c r="BY239" s="878" t="str">
        <f ca="1">IFERROR((BU239/BX239),"-")</f>
        <v>-</v>
      </c>
      <c r="BZ239" s="2"/>
      <c r="CA239" s="884"/>
      <c r="CB239" s="884"/>
      <c r="CC239" s="2"/>
      <c r="CD239" s="504">
        <f>IFERROR(AVERAGEIF($V$7:AB$7,"&lt;="&amp;$I$7,V239:AB239),0)</f>
        <v>0</v>
      </c>
      <c r="CE239" s="2"/>
      <c r="CH239" s="93" t="str">
        <f t="shared" si="533"/>
        <v>Aterro 3 - Km 174 + 100 a 175+000
(Canaleta de aterro - CZB 01)</v>
      </c>
    </row>
    <row r="240" spans="1:86" s="16" customFormat="1" ht="14.25" hidden="1" customHeight="1" outlineLevel="2">
      <c r="A240" s="74"/>
      <c r="B240" s="1042"/>
      <c r="C240" s="1023"/>
      <c r="D240" s="2"/>
      <c r="E240" s="1024"/>
      <c r="F240" s="2"/>
      <c r="G240" s="50" t="s">
        <v>38</v>
      </c>
      <c r="H240" s="705">
        <f t="shared" si="534"/>
        <v>0</v>
      </c>
      <c r="I240" s="879"/>
      <c r="J240" s="2"/>
      <c r="K240" s="76"/>
      <c r="L240" s="76"/>
      <c r="M240" s="76"/>
      <c r="N240" s="76"/>
      <c r="O240" s="76"/>
      <c r="P240" s="76"/>
      <c r="Q240" s="706"/>
      <c r="R240" s="2"/>
      <c r="S240" s="705">
        <f ca="1">SUMIF($K$7:Q$7,"&lt;="&amp;$I$7,K240:P240)</f>
        <v>0</v>
      </c>
      <c r="T240" s="879"/>
      <c r="U240" s="2"/>
      <c r="V240" s="76"/>
      <c r="W240" s="76"/>
      <c r="X240" s="76"/>
      <c r="Y240" s="76"/>
      <c r="Z240" s="76"/>
      <c r="AA240" s="76"/>
      <c r="AB240" s="706"/>
      <c r="AC240" s="2"/>
      <c r="AD240" s="705">
        <f ca="1">SUMIF($V$7:AB$7,"&lt;="&amp;$I$7,V240:AA240)</f>
        <v>0</v>
      </c>
      <c r="AE240" s="879"/>
      <c r="AF240" s="2"/>
      <c r="AG240" s="76"/>
      <c r="AH240" s="76"/>
      <c r="AI240" s="76"/>
      <c r="AJ240" s="76"/>
      <c r="AK240" s="76"/>
      <c r="AL240" s="76"/>
      <c r="AM240" s="706"/>
      <c r="AN240" s="2"/>
      <c r="AO240" s="705">
        <f ca="1">SUMIF($AG$7:AM$7,"&lt;="&amp;$I$7,AG240:AL240)</f>
        <v>0</v>
      </c>
      <c r="AP240" s="879"/>
      <c r="AQ240" s="2"/>
      <c r="AR240" s="76"/>
      <c r="AS240" s="76"/>
      <c r="AT240" s="76"/>
      <c r="AU240" s="76"/>
      <c r="AV240" s="76"/>
      <c r="AW240" s="76"/>
      <c r="AX240" s="706"/>
      <c r="AY240" s="2"/>
      <c r="AZ240" s="705">
        <f ca="1">SUMIF($AR$7:AX$7,"&lt;="&amp;$I$7,AR240:AW240)</f>
        <v>0</v>
      </c>
      <c r="BA240" s="879"/>
      <c r="BB240" s="2"/>
      <c r="BC240" s="76"/>
      <c r="BD240" s="76"/>
      <c r="BE240" s="76"/>
      <c r="BF240" s="76"/>
      <c r="BG240" s="76"/>
      <c r="BH240" s="76"/>
      <c r="BI240" s="706"/>
      <c r="BJ240" s="2"/>
      <c r="BK240" s="705">
        <f ca="1">SUMIF($BC$7:BI$7,"&lt;="&amp;$I$7,BC240:BH240)</f>
        <v>0</v>
      </c>
      <c r="BL240" s="879"/>
      <c r="BM240" s="2"/>
      <c r="BN240" s="922"/>
      <c r="BO240" s="885"/>
      <c r="BP240" s="885"/>
      <c r="BQ240" s="879"/>
      <c r="BR240" s="2"/>
      <c r="BS240" s="922"/>
      <c r="BT240" s="922"/>
      <c r="BU240" s="885"/>
      <c r="BV240" s="886"/>
      <c r="BW240" s="1051"/>
      <c r="BX240" s="922"/>
      <c r="BY240" s="1052"/>
      <c r="BZ240" s="2"/>
      <c r="CA240" s="922"/>
      <c r="CB240" s="922"/>
      <c r="CC240" s="2"/>
      <c r="CD240" s="504">
        <f>IFERROR(AVERAGEIF($V$7:AB$7,"&lt;="&amp;$I$7,V240:AB240),0)</f>
        <v>0</v>
      </c>
      <c r="CE240" s="2"/>
      <c r="CH240" s="93" t="str">
        <f t="shared" si="533"/>
        <v>Aterro 3 - Km 174 + 100 a 175+000
(Canaleta de aterro - CZB 01)</v>
      </c>
    </row>
    <row r="241" spans="1:86" s="16" customFormat="1" ht="14.25" hidden="1" customHeight="1" outlineLevel="2">
      <c r="A241" s="74" t="s">
        <v>3957</v>
      </c>
      <c r="B241" s="1041" t="s">
        <v>3958</v>
      </c>
      <c r="C241" s="1023" t="s">
        <v>52</v>
      </c>
      <c r="D241" s="2"/>
      <c r="E241" s="1004">
        <v>189.77999999999997</v>
      </c>
      <c r="F241" s="2"/>
      <c r="G241" s="49" t="s">
        <v>37</v>
      </c>
      <c r="H241" s="705">
        <f t="shared" si="534"/>
        <v>0</v>
      </c>
      <c r="I241" s="878" t="str">
        <f t="shared" ref="I241" si="565">IF(H241=0,IF(H242&gt;0,1,"-"),IFERROR(H242/H241,"-"))</f>
        <v>-</v>
      </c>
      <c r="J241" s="2"/>
      <c r="K241" s="705"/>
      <c r="L241" s="705"/>
      <c r="M241" s="705"/>
      <c r="N241" s="705"/>
      <c r="O241" s="705"/>
      <c r="P241" s="705"/>
      <c r="Q241" s="705"/>
      <c r="R241" s="2"/>
      <c r="S241" s="705">
        <f ca="1">SUMIF($K$7:Q$7,"&lt;="&amp;$I$7,K241:P241)</f>
        <v>0</v>
      </c>
      <c r="T241" s="878" t="str">
        <f t="shared" ref="T241" ca="1" si="566">IFERROR((S242/S241),"-")</f>
        <v>-</v>
      </c>
      <c r="U241" s="2"/>
      <c r="V241" s="705"/>
      <c r="W241" s="705"/>
      <c r="X241" s="705"/>
      <c r="Y241" s="705"/>
      <c r="Z241" s="705"/>
      <c r="AA241" s="705"/>
      <c r="AB241" s="705"/>
      <c r="AC241" s="2"/>
      <c r="AD241" s="705">
        <f ca="1">SUMIF($V$7:AB$7,"&lt;="&amp;$I$7,V241:AA241)</f>
        <v>0</v>
      </c>
      <c r="AE241" s="878" t="str">
        <f t="shared" ref="AE241" ca="1" si="567">IFERROR((AD242/AD241),"-")</f>
        <v>-</v>
      </c>
      <c r="AF241" s="2"/>
      <c r="AG241" s="705"/>
      <c r="AH241" s="705"/>
      <c r="AI241" s="705"/>
      <c r="AJ241" s="705"/>
      <c r="AK241" s="705"/>
      <c r="AL241" s="705"/>
      <c r="AM241" s="705"/>
      <c r="AN241" s="2"/>
      <c r="AO241" s="705">
        <f ca="1">SUMIF($AG$7:AM$7,"&lt;="&amp;$I$7,AG241:AL241)</f>
        <v>0</v>
      </c>
      <c r="AP241" s="878" t="str">
        <f t="shared" ref="AP241" ca="1" si="568">IFERROR((AO242/AO241),"-")</f>
        <v>-</v>
      </c>
      <c r="AQ241" s="2"/>
      <c r="AR241" s="705"/>
      <c r="AS241" s="705"/>
      <c r="AT241" s="705"/>
      <c r="AU241" s="705"/>
      <c r="AV241" s="705"/>
      <c r="AW241" s="705"/>
      <c r="AX241" s="705"/>
      <c r="AY241" s="2"/>
      <c r="AZ241" s="705">
        <f ca="1">SUMIF($AR$7:AX$7,"&lt;="&amp;$I$7,AR241:AW241)</f>
        <v>0</v>
      </c>
      <c r="BA241" s="878" t="str">
        <f t="shared" ref="BA241" ca="1" si="569">IFERROR((AZ242/AZ241),"-")</f>
        <v>-</v>
      </c>
      <c r="BB241" s="2"/>
      <c r="BC241" s="705"/>
      <c r="BD241" s="705"/>
      <c r="BE241" s="705"/>
      <c r="BF241" s="705"/>
      <c r="BG241" s="705"/>
      <c r="BH241" s="705"/>
      <c r="BI241" s="705"/>
      <c r="BJ241" s="2"/>
      <c r="BK241" s="705">
        <f ca="1">SUMIF($BC$7:BI$7,"&lt;="&amp;$I$7,BC241:BH241)</f>
        <v>0</v>
      </c>
      <c r="BL241" s="878" t="str">
        <f t="shared" ref="BL241" ca="1" si="570">IFERROR((BK242/BK241),"-")</f>
        <v>-</v>
      </c>
      <c r="BM241" s="2"/>
      <c r="BN241" s="921">
        <v>0</v>
      </c>
      <c r="BO241" s="884">
        <v>0</v>
      </c>
      <c r="BP241" s="884">
        <f>SUM(M242:P242,V242:AB242,AG242:AM242,AR242:AX242,BC242:BI242)</f>
        <v>0</v>
      </c>
      <c r="BQ241" s="878" t="str">
        <f>IF(AND(BO241=0,BP241=0),"-",IF(BO241=0,1,BP241/BO241))</f>
        <v>-</v>
      </c>
      <c r="BR241" s="2"/>
      <c r="BS241" s="884"/>
      <c r="BT241" s="884"/>
      <c r="BU241" s="884">
        <f ca="1">E241+S242+AD242+AO242+AZ242+BK242-K242-L242</f>
        <v>189.77999999999997</v>
      </c>
      <c r="BV241" s="884">
        <v>104</v>
      </c>
      <c r="BW241" s="1004">
        <f ca="1">IFERROR((BU241/BV241),"-")</f>
        <v>1.8248076923076921</v>
      </c>
      <c r="BX241" s="884">
        <v>0</v>
      </c>
      <c r="BY241" s="878" t="str">
        <f ca="1">IFERROR((BU241/BX241),"-")</f>
        <v>-</v>
      </c>
      <c r="BZ241" s="2"/>
      <c r="CA241" s="884"/>
      <c r="CB241" s="884"/>
      <c r="CC241" s="2"/>
      <c r="CD241" s="504">
        <f>IFERROR(AVERAGEIF($V$7:AB$7,"&lt;="&amp;$I$7,V241:AB241),0)</f>
        <v>0</v>
      </c>
      <c r="CE241" s="2"/>
      <c r="CH241" s="93" t="str">
        <f t="shared" si="533"/>
        <v>Aterro 3 - Km 174 + 100 a 175+000
(Valeta de aterro - VPC 01)</v>
      </c>
    </row>
    <row r="242" spans="1:86" s="16" customFormat="1" ht="14.25" hidden="1" customHeight="1" outlineLevel="2">
      <c r="A242" s="74"/>
      <c r="B242" s="1042"/>
      <c r="C242" s="1023"/>
      <c r="D242" s="2"/>
      <c r="E242" s="1024"/>
      <c r="F242" s="2"/>
      <c r="G242" s="50" t="s">
        <v>38</v>
      </c>
      <c r="H242" s="705">
        <f t="shared" si="534"/>
        <v>0</v>
      </c>
      <c r="I242" s="879"/>
      <c r="J242" s="2"/>
      <c r="K242" s="76"/>
      <c r="L242" s="76"/>
      <c r="M242" s="76"/>
      <c r="N242" s="76"/>
      <c r="O242" s="76"/>
      <c r="P242" s="76"/>
      <c r="Q242" s="706"/>
      <c r="R242" s="2"/>
      <c r="S242" s="705">
        <f ca="1">SUMIF($K$7:Q$7,"&lt;="&amp;$I$7,K242:P242)</f>
        <v>0</v>
      </c>
      <c r="T242" s="879"/>
      <c r="U242" s="2"/>
      <c r="V242" s="76"/>
      <c r="W242" s="76"/>
      <c r="X242" s="76"/>
      <c r="Y242" s="76"/>
      <c r="Z242" s="76"/>
      <c r="AA242" s="76"/>
      <c r="AB242" s="706"/>
      <c r="AC242" s="2"/>
      <c r="AD242" s="705">
        <f ca="1">SUMIF($V$7:AB$7,"&lt;="&amp;$I$7,V242:AA242)</f>
        <v>0</v>
      </c>
      <c r="AE242" s="879"/>
      <c r="AF242" s="2"/>
      <c r="AG242" s="76"/>
      <c r="AH242" s="76"/>
      <c r="AI242" s="76"/>
      <c r="AJ242" s="76"/>
      <c r="AK242" s="76"/>
      <c r="AL242" s="76"/>
      <c r="AM242" s="706"/>
      <c r="AN242" s="2"/>
      <c r="AO242" s="705">
        <f ca="1">SUMIF($AG$7:AM$7,"&lt;="&amp;$I$7,AG242:AL242)</f>
        <v>0</v>
      </c>
      <c r="AP242" s="879"/>
      <c r="AQ242" s="2"/>
      <c r="AR242" s="76"/>
      <c r="AS242" s="76"/>
      <c r="AT242" s="76"/>
      <c r="AU242" s="76"/>
      <c r="AV242" s="76"/>
      <c r="AW242" s="76"/>
      <c r="AX242" s="706"/>
      <c r="AY242" s="2"/>
      <c r="AZ242" s="705">
        <f ca="1">SUMIF($AR$7:AX$7,"&lt;="&amp;$I$7,AR242:AW242)</f>
        <v>0</v>
      </c>
      <c r="BA242" s="879"/>
      <c r="BB242" s="2"/>
      <c r="BC242" s="76"/>
      <c r="BD242" s="76"/>
      <c r="BE242" s="76"/>
      <c r="BF242" s="76"/>
      <c r="BG242" s="76"/>
      <c r="BH242" s="76"/>
      <c r="BI242" s="706"/>
      <c r="BJ242" s="2"/>
      <c r="BK242" s="705">
        <f ca="1">SUMIF($BC$7:BI$7,"&lt;="&amp;$I$7,BC242:BH242)</f>
        <v>0</v>
      </c>
      <c r="BL242" s="879"/>
      <c r="BM242" s="2"/>
      <c r="BN242" s="922"/>
      <c r="BO242" s="885"/>
      <c r="BP242" s="885"/>
      <c r="BQ242" s="879"/>
      <c r="BR242" s="2"/>
      <c r="BS242" s="922"/>
      <c r="BT242" s="922"/>
      <c r="BU242" s="885"/>
      <c r="BV242" s="886"/>
      <c r="BW242" s="1051"/>
      <c r="BX242" s="922"/>
      <c r="BY242" s="1052"/>
      <c r="BZ242" s="2"/>
      <c r="CA242" s="922"/>
      <c r="CB242" s="922"/>
      <c r="CC242" s="2"/>
      <c r="CD242" s="504">
        <f>IFERROR(AVERAGEIF($V$7:AB$7,"&lt;="&amp;$I$7,V242:AB242),0)</f>
        <v>0</v>
      </c>
      <c r="CE242" s="2"/>
      <c r="CH242" s="93" t="str">
        <f t="shared" si="533"/>
        <v>Aterro 3 - Km 174 + 100 a 175+000
(Valeta de aterro - VPC 01)</v>
      </c>
    </row>
    <row r="243" spans="1:86" s="16" customFormat="1" ht="14.25" hidden="1" customHeight="1" outlineLevel="2">
      <c r="A243" s="74" t="s">
        <v>3959</v>
      </c>
      <c r="B243" s="1041" t="s">
        <v>3960</v>
      </c>
      <c r="C243" s="1023" t="s">
        <v>52</v>
      </c>
      <c r="D243" s="2"/>
      <c r="E243" s="1004">
        <v>1356.13</v>
      </c>
      <c r="F243" s="2"/>
      <c r="G243" s="49" t="s">
        <v>37</v>
      </c>
      <c r="H243" s="705">
        <f t="shared" si="534"/>
        <v>0</v>
      </c>
      <c r="I243" s="878" t="str">
        <f t="shared" ref="I243" si="571">IF(H243=0,IF(H244&gt;0,1,"-"),IFERROR(H244/H243,"-"))</f>
        <v>-</v>
      </c>
      <c r="J243" s="2"/>
      <c r="K243" s="705"/>
      <c r="L243" s="705"/>
      <c r="M243" s="705"/>
      <c r="N243" s="705"/>
      <c r="O243" s="705"/>
      <c r="P243" s="705"/>
      <c r="Q243" s="705"/>
      <c r="R243" s="2"/>
      <c r="S243" s="705">
        <f ca="1">SUMIF($K$7:Q$7,"&lt;="&amp;$I$7,K243:P243)</f>
        <v>0</v>
      </c>
      <c r="T243" s="878" t="str">
        <f t="shared" ref="T243" ca="1" si="572">IFERROR((S244/S243),"-")</f>
        <v>-</v>
      </c>
      <c r="U243" s="2"/>
      <c r="V243" s="705"/>
      <c r="W243" s="705"/>
      <c r="X243" s="705"/>
      <c r="Y243" s="705"/>
      <c r="Z243" s="705"/>
      <c r="AA243" s="705"/>
      <c r="AB243" s="705"/>
      <c r="AC243" s="2"/>
      <c r="AD243" s="705">
        <f ca="1">SUMIF($V$7:AB$7,"&lt;="&amp;$I$7,V243:AA243)</f>
        <v>0</v>
      </c>
      <c r="AE243" s="878" t="str">
        <f t="shared" ref="AE243" ca="1" si="573">IFERROR((AD244/AD243),"-")</f>
        <v>-</v>
      </c>
      <c r="AF243" s="2"/>
      <c r="AG243" s="705"/>
      <c r="AH243" s="705"/>
      <c r="AI243" s="705"/>
      <c r="AJ243" s="705"/>
      <c r="AK243" s="705"/>
      <c r="AL243" s="705"/>
      <c r="AM243" s="705"/>
      <c r="AN243" s="2"/>
      <c r="AO243" s="705">
        <f ca="1">SUMIF($AG$7:AM$7,"&lt;="&amp;$I$7,AG243:AL243)</f>
        <v>0</v>
      </c>
      <c r="AP243" s="878" t="str">
        <f t="shared" ref="AP243" ca="1" si="574">IFERROR((AO244/AO243),"-")</f>
        <v>-</v>
      </c>
      <c r="AQ243" s="2"/>
      <c r="AR243" s="705"/>
      <c r="AS243" s="705"/>
      <c r="AT243" s="705"/>
      <c r="AU243" s="705"/>
      <c r="AV243" s="705"/>
      <c r="AW243" s="705"/>
      <c r="AX243" s="705"/>
      <c r="AY243" s="2"/>
      <c r="AZ243" s="705">
        <f ca="1">SUMIF($AR$7:AX$7,"&lt;="&amp;$I$7,AR243:AW243)</f>
        <v>0</v>
      </c>
      <c r="BA243" s="878" t="str">
        <f t="shared" ref="BA243" ca="1" si="575">IFERROR((AZ244/AZ243),"-")</f>
        <v>-</v>
      </c>
      <c r="BB243" s="2"/>
      <c r="BC243" s="705"/>
      <c r="BD243" s="705"/>
      <c r="BE243" s="705"/>
      <c r="BF243" s="705"/>
      <c r="BG243" s="705"/>
      <c r="BH243" s="705"/>
      <c r="BI243" s="705"/>
      <c r="BJ243" s="2"/>
      <c r="BK243" s="705">
        <f ca="1">SUMIF($BC$7:BI$7,"&lt;="&amp;$I$7,BC243:BH243)</f>
        <v>0</v>
      </c>
      <c r="BL243" s="878" t="str">
        <f t="shared" ref="BL243" ca="1" si="576">IFERROR((BK244/BK243),"-")</f>
        <v>-</v>
      </c>
      <c r="BM243" s="2"/>
      <c r="BN243" s="921">
        <v>58.7</v>
      </c>
      <c r="BO243" s="884">
        <v>58.7</v>
      </c>
      <c r="BP243" s="884">
        <f>SUM(M244:P244,V244:AB244,AG244:AM244,AR244:AX244,BC244:BI244)</f>
        <v>0</v>
      </c>
      <c r="BQ243" s="878">
        <f>IF(AND(BO243=0,BP243=0),"-",IF(BO243=0,1,BP243/BO243))</f>
        <v>0</v>
      </c>
      <c r="BR243" s="2"/>
      <c r="BS243" s="884"/>
      <c r="BT243" s="884"/>
      <c r="BU243" s="884">
        <f ca="1">E243+S244+AD244+AO244+AZ244+BK244-K244-L244</f>
        <v>1356.13</v>
      </c>
      <c r="BV243" s="884">
        <v>104</v>
      </c>
      <c r="BW243" s="1004">
        <f ca="1">IFERROR((BU243/BV243),"-")</f>
        <v>13.039711538461539</v>
      </c>
      <c r="BX243" s="884">
        <v>0</v>
      </c>
      <c r="BY243" s="878" t="str">
        <f ca="1">IFERROR((BU243/BX243),"-")</f>
        <v>-</v>
      </c>
      <c r="BZ243" s="2"/>
      <c r="CA243" s="884"/>
      <c r="CB243" s="884"/>
      <c r="CC243" s="2"/>
      <c r="CD243" s="504">
        <f>IFERROR(AVERAGEIF($V$7:AB$7,"&lt;="&amp;$I$7,V243:AB243),0)</f>
        <v>0</v>
      </c>
      <c r="CE243" s="2"/>
      <c r="CH243" s="93" t="str">
        <f t="shared" si="533"/>
        <v>Corte 1 - Km 167+300 a 169+820
(Sarjeta de corte - VPC 15)</v>
      </c>
    </row>
    <row r="244" spans="1:86" s="16" customFormat="1" ht="14.25" hidden="1" customHeight="1" outlineLevel="2">
      <c r="A244" s="74"/>
      <c r="B244" s="1042"/>
      <c r="C244" s="1023"/>
      <c r="D244" s="2"/>
      <c r="E244" s="1024"/>
      <c r="F244" s="2"/>
      <c r="G244" s="50" t="s">
        <v>38</v>
      </c>
      <c r="H244" s="705">
        <f t="shared" si="534"/>
        <v>0</v>
      </c>
      <c r="I244" s="879"/>
      <c r="J244" s="2"/>
      <c r="K244" s="76"/>
      <c r="L244" s="76"/>
      <c r="M244" s="76"/>
      <c r="N244" s="76"/>
      <c r="O244" s="76"/>
      <c r="P244" s="76"/>
      <c r="Q244" s="706"/>
      <c r="R244" s="2"/>
      <c r="S244" s="705">
        <f ca="1">SUMIF($K$7:Q$7,"&lt;="&amp;$I$7,K244:P244)</f>
        <v>0</v>
      </c>
      <c r="T244" s="879"/>
      <c r="U244" s="2"/>
      <c r="V244" s="76"/>
      <c r="W244" s="76"/>
      <c r="X244" s="76"/>
      <c r="Y244" s="76"/>
      <c r="Z244" s="76"/>
      <c r="AA244" s="76"/>
      <c r="AB244" s="706"/>
      <c r="AC244" s="2"/>
      <c r="AD244" s="705">
        <f ca="1">SUMIF($V$7:AB$7,"&lt;="&amp;$I$7,V244:AA244)</f>
        <v>0</v>
      </c>
      <c r="AE244" s="879"/>
      <c r="AF244" s="2"/>
      <c r="AG244" s="76"/>
      <c r="AH244" s="76"/>
      <c r="AI244" s="76"/>
      <c r="AJ244" s="76"/>
      <c r="AK244" s="76"/>
      <c r="AL244" s="76"/>
      <c r="AM244" s="706"/>
      <c r="AN244" s="2"/>
      <c r="AO244" s="705">
        <f ca="1">SUMIF($AG$7:AM$7,"&lt;="&amp;$I$7,AG244:AL244)</f>
        <v>0</v>
      </c>
      <c r="AP244" s="879"/>
      <c r="AQ244" s="2"/>
      <c r="AR244" s="76"/>
      <c r="AS244" s="76"/>
      <c r="AT244" s="76"/>
      <c r="AU244" s="76"/>
      <c r="AV244" s="76"/>
      <c r="AW244" s="76"/>
      <c r="AX244" s="706"/>
      <c r="AY244" s="2"/>
      <c r="AZ244" s="705">
        <f ca="1">SUMIF($AR$7:AX$7,"&lt;="&amp;$I$7,AR244:AW244)</f>
        <v>0</v>
      </c>
      <c r="BA244" s="879"/>
      <c r="BB244" s="2"/>
      <c r="BC244" s="76"/>
      <c r="BD244" s="76"/>
      <c r="BE244" s="76"/>
      <c r="BF244" s="76"/>
      <c r="BG244" s="76"/>
      <c r="BH244" s="76"/>
      <c r="BI244" s="706"/>
      <c r="BJ244" s="2"/>
      <c r="BK244" s="705">
        <f ca="1">SUMIF($BC$7:BI$7,"&lt;="&amp;$I$7,BC244:BH244)</f>
        <v>0</v>
      </c>
      <c r="BL244" s="879"/>
      <c r="BM244" s="2"/>
      <c r="BN244" s="922"/>
      <c r="BO244" s="885"/>
      <c r="BP244" s="885"/>
      <c r="BQ244" s="879"/>
      <c r="BR244" s="2"/>
      <c r="BS244" s="922"/>
      <c r="BT244" s="922"/>
      <c r="BU244" s="885"/>
      <c r="BV244" s="886"/>
      <c r="BW244" s="1051"/>
      <c r="BX244" s="922"/>
      <c r="BY244" s="1052"/>
      <c r="BZ244" s="2"/>
      <c r="CA244" s="922"/>
      <c r="CB244" s="922"/>
      <c r="CC244" s="2"/>
      <c r="CD244" s="504">
        <f>IFERROR(AVERAGEIF($V$7:AB$7,"&lt;="&amp;$I$7,V244:AB244),0)</f>
        <v>0</v>
      </c>
      <c r="CE244" s="2"/>
      <c r="CH244" s="93" t="str">
        <f t="shared" si="533"/>
        <v>Corte 1 - Km 167+300 a 169+820
(Sarjeta de corte - VPC 15)</v>
      </c>
    </row>
    <row r="245" spans="1:86" s="16" customFormat="1" ht="14.25" hidden="1" customHeight="1" outlineLevel="2">
      <c r="A245" s="74" t="s">
        <v>3961</v>
      </c>
      <c r="B245" s="1041" t="s">
        <v>3962</v>
      </c>
      <c r="C245" s="1023" t="s">
        <v>52</v>
      </c>
      <c r="D245" s="2"/>
      <c r="E245" s="1004">
        <v>1749</v>
      </c>
      <c r="F245" s="2"/>
      <c r="G245" s="49" t="s">
        <v>37</v>
      </c>
      <c r="H245" s="705">
        <f t="shared" si="534"/>
        <v>0</v>
      </c>
      <c r="I245" s="878" t="str">
        <f t="shared" ref="I245" si="577">IF(H245=0,IF(H246&gt;0,1,"-"),IFERROR(H246/H245,"-"))</f>
        <v>-</v>
      </c>
      <c r="J245" s="2"/>
      <c r="K245" s="705"/>
      <c r="L245" s="705"/>
      <c r="M245" s="705"/>
      <c r="N245" s="705"/>
      <c r="O245" s="705"/>
      <c r="P245" s="705"/>
      <c r="Q245" s="705"/>
      <c r="R245" s="2"/>
      <c r="S245" s="705">
        <f ca="1">SUMIF($K$7:Q$7,"&lt;="&amp;$I$7,K245:P245)</f>
        <v>0</v>
      </c>
      <c r="T245" s="878" t="str">
        <f t="shared" ref="T245" ca="1" si="578">IFERROR((S246/S245),"-")</f>
        <v>-</v>
      </c>
      <c r="U245" s="2"/>
      <c r="V245" s="705"/>
      <c r="W245" s="705"/>
      <c r="X245" s="705"/>
      <c r="Y245" s="705"/>
      <c r="Z245" s="705"/>
      <c r="AA245" s="705"/>
      <c r="AB245" s="705"/>
      <c r="AC245" s="2"/>
      <c r="AD245" s="705">
        <f ca="1">SUMIF($V$7:AB$7,"&lt;="&amp;$I$7,V245:AA245)</f>
        <v>0</v>
      </c>
      <c r="AE245" s="878" t="str">
        <f t="shared" ref="AE245" ca="1" si="579">IFERROR((AD246/AD245),"-")</f>
        <v>-</v>
      </c>
      <c r="AF245" s="2"/>
      <c r="AG245" s="705"/>
      <c r="AH245" s="705"/>
      <c r="AI245" s="705"/>
      <c r="AJ245" s="705"/>
      <c r="AK245" s="705"/>
      <c r="AL245" s="705"/>
      <c r="AM245" s="705"/>
      <c r="AN245" s="2"/>
      <c r="AO245" s="705">
        <f ca="1">SUMIF($AG$7:AM$7,"&lt;="&amp;$I$7,AG245:AL245)</f>
        <v>0</v>
      </c>
      <c r="AP245" s="878" t="str">
        <f t="shared" ref="AP245" ca="1" si="580">IFERROR((AO246/AO245),"-")</f>
        <v>-</v>
      </c>
      <c r="AQ245" s="2"/>
      <c r="AR245" s="705"/>
      <c r="AS245" s="705"/>
      <c r="AT245" s="705"/>
      <c r="AU245" s="705"/>
      <c r="AV245" s="705"/>
      <c r="AW245" s="705"/>
      <c r="AX245" s="705"/>
      <c r="AY245" s="2"/>
      <c r="AZ245" s="705">
        <f ca="1">SUMIF($AR$7:AX$7,"&lt;="&amp;$I$7,AR245:AW245)</f>
        <v>0</v>
      </c>
      <c r="BA245" s="878" t="str">
        <f t="shared" ref="BA245" ca="1" si="581">IFERROR((AZ246/AZ245),"-")</f>
        <v>-</v>
      </c>
      <c r="BB245" s="2"/>
      <c r="BC245" s="705"/>
      <c r="BD245" s="705"/>
      <c r="BE245" s="705"/>
      <c r="BF245" s="705"/>
      <c r="BG245" s="705"/>
      <c r="BH245" s="705"/>
      <c r="BI245" s="705"/>
      <c r="BJ245" s="2"/>
      <c r="BK245" s="705">
        <f ca="1">SUMIF($BC$7:BI$7,"&lt;="&amp;$I$7,BC245:BH245)</f>
        <v>0</v>
      </c>
      <c r="BL245" s="878" t="str">
        <f t="shared" ref="BL245" ca="1" si="582">IFERROR((BK246/BK245),"-")</f>
        <v>-</v>
      </c>
      <c r="BM245" s="2"/>
      <c r="BN245" s="921">
        <v>0</v>
      </c>
      <c r="BO245" s="884">
        <v>0</v>
      </c>
      <c r="BP245" s="884">
        <f>SUM(M246:P246,V246:AB246,AG246:AM246,AR246:AX246,BC246:BI246)</f>
        <v>0</v>
      </c>
      <c r="BQ245" s="878" t="str">
        <f>IF(AND(BO245=0,BP245=0),"-",IF(BO245=0,1,BP245/BO245))</f>
        <v>-</v>
      </c>
      <c r="BR245" s="2"/>
      <c r="BS245" s="884"/>
      <c r="BT245" s="884"/>
      <c r="BU245" s="884">
        <f ca="1">E245+S246+AD246+AO246+AZ246+BK246-K246-L246</f>
        <v>1749</v>
      </c>
      <c r="BV245" s="884">
        <v>104</v>
      </c>
      <c r="BW245" s="1004">
        <f ca="1">IFERROR((BU245/BV245),"-")</f>
        <v>16.817307692307693</v>
      </c>
      <c r="BX245" s="884">
        <v>0</v>
      </c>
      <c r="BY245" s="878" t="str">
        <f ca="1">IFERROR((BU245/BX245),"-")</f>
        <v>-</v>
      </c>
      <c r="BZ245" s="2"/>
      <c r="CA245" s="884"/>
      <c r="CB245" s="884"/>
      <c r="CC245" s="2"/>
      <c r="CD245" s="504">
        <f>IFERROR(AVERAGEIF($V$7:AB$7,"&lt;="&amp;$I$7,V245:AB245),0)</f>
        <v>0</v>
      </c>
      <c r="CE245" s="2"/>
      <c r="CH245" s="93" t="str">
        <f t="shared" si="533"/>
        <v>Corte 1 - Km 167+300 a 169+820
(Sarjeta de corte - VPC 07)</v>
      </c>
    </row>
    <row r="246" spans="1:86" s="16" customFormat="1" ht="14.25" hidden="1" customHeight="1" outlineLevel="2">
      <c r="A246" s="74"/>
      <c r="B246" s="1042"/>
      <c r="C246" s="1023"/>
      <c r="D246" s="2"/>
      <c r="E246" s="1024"/>
      <c r="F246" s="2"/>
      <c r="G246" s="50" t="s">
        <v>38</v>
      </c>
      <c r="H246" s="705">
        <f t="shared" si="534"/>
        <v>0</v>
      </c>
      <c r="I246" s="879"/>
      <c r="J246" s="2"/>
      <c r="K246" s="76"/>
      <c r="L246" s="76"/>
      <c r="M246" s="76"/>
      <c r="N246" s="76"/>
      <c r="O246" s="76"/>
      <c r="P246" s="76"/>
      <c r="Q246" s="706"/>
      <c r="R246" s="2"/>
      <c r="S246" s="705">
        <f ca="1">SUMIF($K$7:Q$7,"&lt;="&amp;$I$7,K246:P246)</f>
        <v>0</v>
      </c>
      <c r="T246" s="879"/>
      <c r="U246" s="2"/>
      <c r="V246" s="76"/>
      <c r="W246" s="76"/>
      <c r="X246" s="76"/>
      <c r="Y246" s="76"/>
      <c r="Z246" s="76"/>
      <c r="AA246" s="76"/>
      <c r="AB246" s="706"/>
      <c r="AC246" s="2"/>
      <c r="AD246" s="705">
        <f ca="1">SUMIF($V$7:AB$7,"&lt;="&amp;$I$7,V246:AA246)</f>
        <v>0</v>
      </c>
      <c r="AE246" s="879"/>
      <c r="AF246" s="2"/>
      <c r="AG246" s="76"/>
      <c r="AH246" s="76"/>
      <c r="AI246" s="76"/>
      <c r="AJ246" s="76"/>
      <c r="AK246" s="76"/>
      <c r="AL246" s="76"/>
      <c r="AM246" s="706"/>
      <c r="AN246" s="2"/>
      <c r="AO246" s="705">
        <f ca="1">SUMIF($AG$7:AM$7,"&lt;="&amp;$I$7,AG246:AL246)</f>
        <v>0</v>
      </c>
      <c r="AP246" s="879"/>
      <c r="AQ246" s="2"/>
      <c r="AR246" s="76"/>
      <c r="AS246" s="76"/>
      <c r="AT246" s="76"/>
      <c r="AU246" s="76"/>
      <c r="AV246" s="76"/>
      <c r="AW246" s="76"/>
      <c r="AX246" s="706"/>
      <c r="AY246" s="2"/>
      <c r="AZ246" s="705">
        <f ca="1">SUMIF($AR$7:AX$7,"&lt;="&amp;$I$7,AR246:AW246)</f>
        <v>0</v>
      </c>
      <c r="BA246" s="879"/>
      <c r="BB246" s="2"/>
      <c r="BC246" s="76"/>
      <c r="BD246" s="76"/>
      <c r="BE246" s="76"/>
      <c r="BF246" s="76"/>
      <c r="BG246" s="76"/>
      <c r="BH246" s="76"/>
      <c r="BI246" s="706"/>
      <c r="BJ246" s="2"/>
      <c r="BK246" s="705">
        <f ca="1">SUMIF($BC$7:BI$7,"&lt;="&amp;$I$7,BC246:BH246)</f>
        <v>0</v>
      </c>
      <c r="BL246" s="879"/>
      <c r="BM246" s="2"/>
      <c r="BN246" s="922"/>
      <c r="BO246" s="885"/>
      <c r="BP246" s="885"/>
      <c r="BQ246" s="879"/>
      <c r="BR246" s="2"/>
      <c r="BS246" s="922"/>
      <c r="BT246" s="922"/>
      <c r="BU246" s="885"/>
      <c r="BV246" s="886"/>
      <c r="BW246" s="1051"/>
      <c r="BX246" s="922"/>
      <c r="BY246" s="1052"/>
      <c r="BZ246" s="2"/>
      <c r="CA246" s="922"/>
      <c r="CB246" s="922"/>
      <c r="CC246" s="2"/>
      <c r="CD246" s="504">
        <f>IFERROR(AVERAGEIF($V$7:AB$7,"&lt;="&amp;$I$7,V246:AB246),0)</f>
        <v>0</v>
      </c>
      <c r="CE246" s="2"/>
      <c r="CH246" s="93" t="str">
        <f t="shared" si="533"/>
        <v>Corte 1 - Km 167+300 a 169+820
(Sarjeta de corte - VPC 07)</v>
      </c>
    </row>
    <row r="247" spans="1:86" s="16" customFormat="1" ht="14.25" hidden="1" customHeight="1" outlineLevel="2">
      <c r="A247" s="74" t="s">
        <v>3963</v>
      </c>
      <c r="B247" s="1041" t="s">
        <v>3964</v>
      </c>
      <c r="C247" s="1023" t="s">
        <v>52</v>
      </c>
      <c r="D247" s="2"/>
      <c r="E247" s="1004">
        <v>6345.01</v>
      </c>
      <c r="F247" s="2"/>
      <c r="G247" s="49" t="s">
        <v>37</v>
      </c>
      <c r="H247" s="705">
        <f t="shared" si="534"/>
        <v>0</v>
      </c>
      <c r="I247" s="878" t="str">
        <f t="shared" ref="I247" si="583">IF(H247=0,IF(H248&gt;0,1,"-"),IFERROR(H248/H247,"-"))</f>
        <v>-</v>
      </c>
      <c r="J247" s="2"/>
      <c r="K247" s="705"/>
      <c r="L247" s="705"/>
      <c r="M247" s="705"/>
      <c r="N247" s="705"/>
      <c r="O247" s="705"/>
      <c r="P247" s="705"/>
      <c r="Q247" s="705"/>
      <c r="R247" s="2"/>
      <c r="S247" s="705">
        <f ca="1">SUMIF($K$7:Q$7,"&lt;="&amp;$I$7,K247:P247)</f>
        <v>0</v>
      </c>
      <c r="T247" s="878" t="str">
        <f t="shared" ref="T247" ca="1" si="584">IFERROR((S248/S247),"-")</f>
        <v>-</v>
      </c>
      <c r="U247" s="2"/>
      <c r="V247" s="705"/>
      <c r="W247" s="705"/>
      <c r="X247" s="705"/>
      <c r="Y247" s="705"/>
      <c r="Z247" s="705"/>
      <c r="AA247" s="705"/>
      <c r="AB247" s="705"/>
      <c r="AC247" s="2"/>
      <c r="AD247" s="705">
        <f ca="1">SUMIF($V$7:AB$7,"&lt;="&amp;$I$7,V247:AA247)</f>
        <v>0</v>
      </c>
      <c r="AE247" s="878" t="str">
        <f t="shared" ref="AE247" ca="1" si="585">IFERROR((AD248/AD247),"-")</f>
        <v>-</v>
      </c>
      <c r="AF247" s="2"/>
      <c r="AG247" s="705"/>
      <c r="AH247" s="705"/>
      <c r="AI247" s="705"/>
      <c r="AJ247" s="705"/>
      <c r="AK247" s="705"/>
      <c r="AL247" s="705"/>
      <c r="AM247" s="705"/>
      <c r="AN247" s="2"/>
      <c r="AO247" s="705">
        <f ca="1">SUMIF($AG$7:AM$7,"&lt;="&amp;$I$7,AG247:AL247)</f>
        <v>0</v>
      </c>
      <c r="AP247" s="878" t="str">
        <f t="shared" ref="AP247" ca="1" si="586">IFERROR((AO248/AO247),"-")</f>
        <v>-</v>
      </c>
      <c r="AQ247" s="2"/>
      <c r="AR247" s="705"/>
      <c r="AS247" s="705"/>
      <c r="AT247" s="705"/>
      <c r="AU247" s="705"/>
      <c r="AV247" s="705"/>
      <c r="AW247" s="705"/>
      <c r="AX247" s="705"/>
      <c r="AY247" s="2"/>
      <c r="AZ247" s="705">
        <f ca="1">SUMIF($AR$7:AX$7,"&lt;="&amp;$I$7,AR247:AW247)</f>
        <v>0</v>
      </c>
      <c r="BA247" s="878" t="str">
        <f t="shared" ref="BA247" ca="1" si="587">IFERROR((AZ248/AZ247),"-")</f>
        <v>-</v>
      </c>
      <c r="BB247" s="2"/>
      <c r="BC247" s="705"/>
      <c r="BD247" s="705"/>
      <c r="BE247" s="705"/>
      <c r="BF247" s="705"/>
      <c r="BG247" s="705"/>
      <c r="BH247" s="705"/>
      <c r="BI247" s="705"/>
      <c r="BJ247" s="2"/>
      <c r="BK247" s="705">
        <f ca="1">SUMIF($BC$7:BI$7,"&lt;="&amp;$I$7,BC247:BH247)</f>
        <v>0</v>
      </c>
      <c r="BL247" s="878" t="str">
        <f t="shared" ref="BL247" ca="1" si="588">IFERROR((BK248/BK247),"-")</f>
        <v>-</v>
      </c>
      <c r="BM247" s="2"/>
      <c r="BN247" s="921">
        <v>0</v>
      </c>
      <c r="BO247" s="884">
        <v>0</v>
      </c>
      <c r="BP247" s="884">
        <f>SUM(M248:P248,V248:AB248,AG248:AM248,AR248:AX248,BC248:BI248)</f>
        <v>479</v>
      </c>
      <c r="BQ247" s="878">
        <f>IF(AND(BO247=0,BP247=0),"-",IF(BO247=0,1,BP247/BO247))</f>
        <v>1</v>
      </c>
      <c r="BR247" s="2"/>
      <c r="BS247" s="884"/>
      <c r="BT247" s="884"/>
      <c r="BU247" s="884">
        <f ca="1">E247+S248+AD248+AO248+AZ248+BK248-K248-L248</f>
        <v>6824.01</v>
      </c>
      <c r="BV247" s="884">
        <v>104</v>
      </c>
      <c r="BW247" s="1004">
        <f ca="1">IFERROR((BU247/BV247),"-")</f>
        <v>65.615480769230771</v>
      </c>
      <c r="BX247" s="884">
        <v>0</v>
      </c>
      <c r="BY247" s="878" t="str">
        <f ca="1">IFERROR((BU247/BX247),"-")</f>
        <v>-</v>
      </c>
      <c r="BZ247" s="2"/>
      <c r="CA247" s="884"/>
      <c r="CB247" s="884"/>
      <c r="CC247" s="2"/>
      <c r="CD247" s="504">
        <f>IFERROR(AVERAGEIF($V$7:AB$7,"&lt;="&amp;$I$7,V247:AB247),0)</f>
        <v>0</v>
      </c>
      <c r="CE247" s="2"/>
      <c r="CH247" s="93" t="str">
        <f t="shared" si="533"/>
        <v>Aterro 06 - Km 190+360 a 190+440
(Sarjeta de aterro - SZA 02)</v>
      </c>
    </row>
    <row r="248" spans="1:86" s="16" customFormat="1" ht="13.5" hidden="1" customHeight="1" outlineLevel="2">
      <c r="A248" s="74"/>
      <c r="B248" s="1042"/>
      <c r="C248" s="1023"/>
      <c r="D248" s="2"/>
      <c r="E248" s="1024"/>
      <c r="F248" s="2"/>
      <c r="G248" s="50" t="s">
        <v>38</v>
      </c>
      <c r="H248" s="705">
        <f t="shared" si="534"/>
        <v>0</v>
      </c>
      <c r="I248" s="879"/>
      <c r="J248" s="2"/>
      <c r="K248" s="76"/>
      <c r="L248" s="76"/>
      <c r="M248" s="76">
        <v>210</v>
      </c>
      <c r="N248" s="76"/>
      <c r="O248" s="76">
        <v>269</v>
      </c>
      <c r="P248" s="76"/>
      <c r="Q248" s="706"/>
      <c r="R248" s="2"/>
      <c r="S248" s="705">
        <f ca="1">SUMIF($K$7:Q$7,"&lt;="&amp;$I$7,K248:P248)</f>
        <v>479</v>
      </c>
      <c r="T248" s="879"/>
      <c r="U248" s="2"/>
      <c r="V248" s="76"/>
      <c r="W248" s="76"/>
      <c r="X248" s="76"/>
      <c r="Y248" s="76"/>
      <c r="Z248" s="76"/>
      <c r="AA248" s="76"/>
      <c r="AB248" s="706"/>
      <c r="AC248" s="2"/>
      <c r="AD248" s="705">
        <f ca="1">SUMIF($V$7:AB$7,"&lt;="&amp;$I$7,V248:AA248)</f>
        <v>0</v>
      </c>
      <c r="AE248" s="879"/>
      <c r="AF248" s="2"/>
      <c r="AG248" s="76"/>
      <c r="AH248" s="76"/>
      <c r="AI248" s="76"/>
      <c r="AJ248" s="76"/>
      <c r="AK248" s="76"/>
      <c r="AL248" s="76"/>
      <c r="AM248" s="706"/>
      <c r="AN248" s="2"/>
      <c r="AO248" s="705">
        <f ca="1">SUMIF($AG$7:AM$7,"&lt;="&amp;$I$7,AG248:AL248)</f>
        <v>0</v>
      </c>
      <c r="AP248" s="879"/>
      <c r="AQ248" s="2"/>
      <c r="AR248" s="76"/>
      <c r="AS248" s="76"/>
      <c r="AT248" s="76"/>
      <c r="AU248" s="76"/>
      <c r="AV248" s="76"/>
      <c r="AW248" s="76"/>
      <c r="AX248" s="706"/>
      <c r="AY248" s="2"/>
      <c r="AZ248" s="705">
        <f ca="1">SUMIF($AR$7:AX$7,"&lt;="&amp;$I$7,AR248:AW248)</f>
        <v>0</v>
      </c>
      <c r="BA248" s="879"/>
      <c r="BB248" s="2"/>
      <c r="BC248" s="76"/>
      <c r="BD248" s="76"/>
      <c r="BE248" s="76"/>
      <c r="BF248" s="76"/>
      <c r="BG248" s="76"/>
      <c r="BH248" s="76"/>
      <c r="BI248" s="706"/>
      <c r="BJ248" s="2"/>
      <c r="BK248" s="705">
        <f ca="1">SUMIF($BC$7:BI$7,"&lt;="&amp;$I$7,BC248:BH248)</f>
        <v>0</v>
      </c>
      <c r="BL248" s="879"/>
      <c r="BM248" s="2"/>
      <c r="BN248" s="922"/>
      <c r="BO248" s="885"/>
      <c r="BP248" s="885"/>
      <c r="BQ248" s="879"/>
      <c r="BR248" s="2"/>
      <c r="BS248" s="922"/>
      <c r="BT248" s="922"/>
      <c r="BU248" s="885"/>
      <c r="BV248" s="886"/>
      <c r="BW248" s="1051"/>
      <c r="BX248" s="922"/>
      <c r="BY248" s="1052"/>
      <c r="BZ248" s="2"/>
      <c r="CA248" s="922"/>
      <c r="CB248" s="922"/>
      <c r="CC248" s="2"/>
      <c r="CD248" s="504">
        <f>IFERROR(AVERAGEIF($V$7:AB$7,"&lt;="&amp;$I$7,V248:AB248),0)</f>
        <v>0</v>
      </c>
      <c r="CE248" s="2"/>
      <c r="CH248" s="93" t="str">
        <f t="shared" si="533"/>
        <v>Aterro 06 - Km 190+360 a 190+440
(Sarjeta de aterro - SZA 02)</v>
      </c>
    </row>
    <row r="249" spans="1:86" s="16" customFormat="1" ht="14.25" hidden="1" customHeight="1" outlineLevel="2">
      <c r="A249" s="74"/>
      <c r="B249" s="1041" t="s">
        <v>3965</v>
      </c>
      <c r="C249" s="1023" t="s">
        <v>52</v>
      </c>
      <c r="D249" s="2"/>
      <c r="E249" s="1004">
        <v>600</v>
      </c>
      <c r="F249" s="2"/>
      <c r="G249" s="49" t="s">
        <v>37</v>
      </c>
      <c r="H249" s="705">
        <f t="shared" si="534"/>
        <v>0</v>
      </c>
      <c r="I249" s="878" t="str">
        <f t="shared" ref="I249" si="589">IF(H249=0,IF(H250&gt;0,1,"-"),IFERROR(H250/H249,"-"))</f>
        <v>-</v>
      </c>
      <c r="J249" s="2"/>
      <c r="K249" s="705"/>
      <c r="L249" s="705">
        <v>50</v>
      </c>
      <c r="M249" s="705">
        <v>50</v>
      </c>
      <c r="N249" s="705">
        <v>50</v>
      </c>
      <c r="O249" s="705">
        <v>50</v>
      </c>
      <c r="P249" s="705">
        <v>50</v>
      </c>
      <c r="Q249" s="705"/>
      <c r="R249" s="2"/>
      <c r="S249" s="705">
        <f ca="1">SUMIF($K$7:Q$7,"&lt;="&amp;$I$7,K249:P249)</f>
        <v>250</v>
      </c>
      <c r="T249" s="878">
        <f t="shared" ref="T249" ca="1" si="590">IFERROR((S250/S249),"-")</f>
        <v>0.504</v>
      </c>
      <c r="U249" s="2"/>
      <c r="V249" s="705">
        <v>50</v>
      </c>
      <c r="W249" s="705">
        <v>50</v>
      </c>
      <c r="X249" s="705"/>
      <c r="Y249" s="705"/>
      <c r="Z249" s="705"/>
      <c r="AA249" s="705"/>
      <c r="AB249" s="705"/>
      <c r="AC249" s="2"/>
      <c r="AD249" s="705">
        <f ca="1">SUMIF($V$7:AB$7,"&lt;="&amp;$I$7,V249:AA249)</f>
        <v>100</v>
      </c>
      <c r="AE249" s="878">
        <f t="shared" ref="AE249" ca="1" si="591">IFERROR((AD250/AD249),"-")</f>
        <v>1.5</v>
      </c>
      <c r="AF249" s="2"/>
      <c r="AG249" s="705"/>
      <c r="AH249" s="705"/>
      <c r="AI249" s="705"/>
      <c r="AJ249" s="705"/>
      <c r="AK249" s="705"/>
      <c r="AL249" s="705"/>
      <c r="AM249" s="705"/>
      <c r="AN249" s="2"/>
      <c r="AO249" s="705">
        <f ca="1">SUMIF($AG$7:AM$7,"&lt;="&amp;$I$7,AG249:AL249)</f>
        <v>0</v>
      </c>
      <c r="AP249" s="878" t="str">
        <f t="shared" ref="AP249" ca="1" si="592">IFERROR((AO250/AO249),"-")</f>
        <v>-</v>
      </c>
      <c r="AQ249" s="2"/>
      <c r="AR249" s="705"/>
      <c r="AS249" s="705"/>
      <c r="AT249" s="705"/>
      <c r="AU249" s="705"/>
      <c r="AV249" s="705"/>
      <c r="AW249" s="705"/>
      <c r="AX249" s="705"/>
      <c r="AY249" s="2"/>
      <c r="AZ249" s="705">
        <f ca="1">SUMIF($AR$7:AX$7,"&lt;="&amp;$I$7,AR249:AW249)</f>
        <v>0</v>
      </c>
      <c r="BA249" s="878" t="str">
        <f t="shared" ref="BA249" ca="1" si="593">IFERROR((AZ250/AZ249),"-")</f>
        <v>-</v>
      </c>
      <c r="BB249" s="2"/>
      <c r="BC249" s="705"/>
      <c r="BD249" s="705"/>
      <c r="BE249" s="705"/>
      <c r="BF249" s="705"/>
      <c r="BG249" s="705"/>
      <c r="BH249" s="705"/>
      <c r="BI249" s="705"/>
      <c r="BJ249" s="2"/>
      <c r="BK249" s="705">
        <f ca="1">SUMIF($BC$7:BI$7,"&lt;="&amp;$I$7,BC249:BH249)</f>
        <v>0</v>
      </c>
      <c r="BL249" s="878" t="str">
        <f t="shared" ref="BL249" ca="1" si="594">IFERROR((BK250/BK249),"-")</f>
        <v>-</v>
      </c>
      <c r="BM249" s="2"/>
      <c r="BN249" s="921">
        <v>0</v>
      </c>
      <c r="BO249" s="884">
        <v>0</v>
      </c>
      <c r="BP249" s="884">
        <f>SUM(M250:P250,V250:AB250,AG250:AM250,AR250:AX250,BC250:BI250)</f>
        <v>276</v>
      </c>
      <c r="BQ249" s="878">
        <f>IF(AND(BO249=0,BP249=0),"-",IF(BO249=0,1,BP249/BO249))</f>
        <v>1</v>
      </c>
      <c r="BR249" s="2"/>
      <c r="BS249" s="884"/>
      <c r="BT249" s="884"/>
      <c r="BU249" s="884">
        <f ca="1">E249+S250+AD250+AO250+AZ250+BK250-K250-L250</f>
        <v>876</v>
      </c>
      <c r="BV249" s="884">
        <v>104</v>
      </c>
      <c r="BW249" s="1004">
        <f ca="1">IFERROR((BU249/BV249),"-")</f>
        <v>8.4230769230769234</v>
      </c>
      <c r="BX249" s="884">
        <v>0</v>
      </c>
      <c r="BY249" s="878" t="str">
        <f ca="1">IFERROR((BU249/BX249),"-")</f>
        <v>-</v>
      </c>
      <c r="BZ249" s="2"/>
      <c r="CA249" s="884"/>
      <c r="CB249" s="884"/>
      <c r="CC249" s="2"/>
      <c r="CD249" s="504">
        <f>IFERROR(AVERAGEIF($V$7:AB$7,"&lt;="&amp;$I$7,V249:AB249),0)</f>
        <v>50</v>
      </c>
      <c r="CE249" s="2"/>
      <c r="CH249" s="93" t="str">
        <f t="shared" si="533"/>
        <v>Aterro 06 - VPC 07, VPC 10)</v>
      </c>
    </row>
    <row r="250" spans="1:86" s="16" customFormat="1" ht="13.5" hidden="1" customHeight="1" outlineLevel="2">
      <c r="A250" s="74"/>
      <c r="B250" s="1042"/>
      <c r="C250" s="1023"/>
      <c r="D250" s="2"/>
      <c r="E250" s="1024"/>
      <c r="F250" s="2"/>
      <c r="G250" s="50" t="s">
        <v>38</v>
      </c>
      <c r="H250" s="705">
        <f t="shared" si="534"/>
        <v>0</v>
      </c>
      <c r="I250" s="879"/>
      <c r="J250" s="2"/>
      <c r="K250" s="76"/>
      <c r="L250" s="76"/>
      <c r="M250" s="76"/>
      <c r="N250" s="76">
        <v>81</v>
      </c>
      <c r="O250" s="76">
        <v>45</v>
      </c>
      <c r="P250" s="76"/>
      <c r="Q250" s="706"/>
      <c r="R250" s="2"/>
      <c r="S250" s="705">
        <f ca="1">SUMIF($K$7:Q$7,"&lt;="&amp;$I$7,K250:P250)</f>
        <v>126</v>
      </c>
      <c r="T250" s="879"/>
      <c r="U250" s="2"/>
      <c r="V250" s="76">
        <v>105</v>
      </c>
      <c r="W250" s="76">
        <v>45</v>
      </c>
      <c r="X250" s="76"/>
      <c r="Y250" s="76"/>
      <c r="Z250" s="76"/>
      <c r="AA250" s="76"/>
      <c r="AB250" s="706"/>
      <c r="AC250" s="2"/>
      <c r="AD250" s="705">
        <f ca="1">SUMIF($V$7:AB$7,"&lt;="&amp;$I$7,V250:AA250)</f>
        <v>150</v>
      </c>
      <c r="AE250" s="879"/>
      <c r="AF250" s="2"/>
      <c r="AG250" s="76"/>
      <c r="AH250" s="76"/>
      <c r="AI250" s="76"/>
      <c r="AJ250" s="76"/>
      <c r="AK250" s="76"/>
      <c r="AL250" s="76"/>
      <c r="AM250" s="706"/>
      <c r="AN250" s="2"/>
      <c r="AO250" s="705">
        <f ca="1">SUMIF($AG$7:AM$7,"&lt;="&amp;$I$7,AG250:AL250)</f>
        <v>0</v>
      </c>
      <c r="AP250" s="879"/>
      <c r="AQ250" s="2"/>
      <c r="AR250" s="76"/>
      <c r="AS250" s="76"/>
      <c r="AT250" s="76"/>
      <c r="AU250" s="76"/>
      <c r="AV250" s="76"/>
      <c r="AW250" s="76"/>
      <c r="AX250" s="706"/>
      <c r="AY250" s="2"/>
      <c r="AZ250" s="705">
        <f ca="1">SUMIF($AR$7:AX$7,"&lt;="&amp;$I$7,AR250:AW250)</f>
        <v>0</v>
      </c>
      <c r="BA250" s="879"/>
      <c r="BB250" s="2"/>
      <c r="BC250" s="76"/>
      <c r="BD250" s="76"/>
      <c r="BE250" s="76"/>
      <c r="BF250" s="76"/>
      <c r="BG250" s="76"/>
      <c r="BH250" s="76"/>
      <c r="BI250" s="706"/>
      <c r="BJ250" s="2"/>
      <c r="BK250" s="705">
        <f ca="1">SUMIF($BC$7:BI$7,"&lt;="&amp;$I$7,BC250:BH250)</f>
        <v>0</v>
      </c>
      <c r="BL250" s="879"/>
      <c r="BM250" s="2"/>
      <c r="BN250" s="922"/>
      <c r="BO250" s="885"/>
      <c r="BP250" s="885"/>
      <c r="BQ250" s="879"/>
      <c r="BR250" s="2"/>
      <c r="BS250" s="922"/>
      <c r="BT250" s="922"/>
      <c r="BU250" s="885"/>
      <c r="BV250" s="886"/>
      <c r="BW250" s="1051"/>
      <c r="BX250" s="922"/>
      <c r="BY250" s="1052"/>
      <c r="BZ250" s="2"/>
      <c r="CA250" s="922"/>
      <c r="CB250" s="922"/>
      <c r="CC250" s="2"/>
      <c r="CD250" s="504">
        <f>IFERROR(AVERAGEIF($V$7:AB$7,"&lt;="&amp;$I$7,V250:AB250),0)</f>
        <v>75</v>
      </c>
      <c r="CE250" s="2"/>
      <c r="CH250" s="93" t="str">
        <f t="shared" si="533"/>
        <v>Aterro 06 - VPC 07, VPC 10)</v>
      </c>
    </row>
    <row r="251" spans="1:86" s="16" customFormat="1" ht="14.25" hidden="1" customHeight="1" outlineLevel="2">
      <c r="A251" s="74" t="s">
        <v>3966</v>
      </c>
      <c r="B251" s="1041" t="s">
        <v>3967</v>
      </c>
      <c r="C251" s="1023" t="s">
        <v>52</v>
      </c>
      <c r="D251" s="2"/>
      <c r="E251" s="1004">
        <v>504</v>
      </c>
      <c r="F251" s="2"/>
      <c r="G251" s="49" t="s">
        <v>37</v>
      </c>
      <c r="H251" s="705">
        <f t="shared" si="534"/>
        <v>0</v>
      </c>
      <c r="I251" s="878" t="str">
        <f t="shared" ref="I251" si="595">IF(H251=0,IF(H252&gt;0,1,"-"),IFERROR(H252/H251,"-"))</f>
        <v>-</v>
      </c>
      <c r="J251" s="2"/>
      <c r="K251" s="705"/>
      <c r="L251" s="705"/>
      <c r="M251" s="705"/>
      <c r="N251" s="705"/>
      <c r="O251" s="705"/>
      <c r="P251" s="705"/>
      <c r="Q251" s="705"/>
      <c r="R251" s="2"/>
      <c r="S251" s="705">
        <f ca="1">SUMIF($K$7:Q$7,"&lt;="&amp;$I$7,K251:P251)</f>
        <v>0</v>
      </c>
      <c r="T251" s="878" t="str">
        <f t="shared" ref="T251" ca="1" si="596">IFERROR((S252/S251),"-")</f>
        <v>-</v>
      </c>
      <c r="U251" s="2"/>
      <c r="V251" s="705"/>
      <c r="W251" s="705"/>
      <c r="X251" s="705"/>
      <c r="Y251" s="705"/>
      <c r="Z251" s="705"/>
      <c r="AA251" s="705"/>
      <c r="AB251" s="705"/>
      <c r="AC251" s="2"/>
      <c r="AD251" s="705">
        <f ca="1">SUMIF($V$7:AB$7,"&lt;="&amp;$I$7,V251:AA251)</f>
        <v>0</v>
      </c>
      <c r="AE251" s="878" t="str">
        <f t="shared" ref="AE251" ca="1" si="597">IFERROR((AD252/AD251),"-")</f>
        <v>-</v>
      </c>
      <c r="AF251" s="2"/>
      <c r="AG251" s="705"/>
      <c r="AH251" s="705"/>
      <c r="AI251" s="705"/>
      <c r="AJ251" s="705"/>
      <c r="AK251" s="705"/>
      <c r="AL251" s="705"/>
      <c r="AM251" s="705"/>
      <c r="AN251" s="2"/>
      <c r="AO251" s="705">
        <f ca="1">SUMIF($AG$7:AM$7,"&lt;="&amp;$I$7,AG251:AL251)</f>
        <v>0</v>
      </c>
      <c r="AP251" s="878" t="str">
        <f t="shared" ref="AP251" ca="1" si="598">IFERROR((AO252/AO251),"-")</f>
        <v>-</v>
      </c>
      <c r="AQ251" s="2"/>
      <c r="AR251" s="705"/>
      <c r="AS251" s="705"/>
      <c r="AT251" s="705"/>
      <c r="AU251" s="705"/>
      <c r="AV251" s="705"/>
      <c r="AW251" s="705"/>
      <c r="AX251" s="705"/>
      <c r="AY251" s="2"/>
      <c r="AZ251" s="705">
        <f ca="1">SUMIF($AR$7:AX$7,"&lt;="&amp;$I$7,AR251:AW251)</f>
        <v>0</v>
      </c>
      <c r="BA251" s="878" t="str">
        <f t="shared" ref="BA251" ca="1" si="599">IFERROR((AZ252/AZ251),"-")</f>
        <v>-</v>
      </c>
      <c r="BB251" s="2"/>
      <c r="BC251" s="705"/>
      <c r="BD251" s="705"/>
      <c r="BE251" s="705"/>
      <c r="BF251" s="705"/>
      <c r="BG251" s="705"/>
      <c r="BH251" s="705"/>
      <c r="BI251" s="705"/>
      <c r="BJ251" s="2"/>
      <c r="BK251" s="705">
        <f ca="1">SUMIF($BC$7:BI$7,"&lt;="&amp;$I$7,BC251:BH251)</f>
        <v>0</v>
      </c>
      <c r="BL251" s="878" t="str">
        <f t="shared" ref="BL251" ca="1" si="600">IFERROR((BK252/BK251),"-")</f>
        <v>-</v>
      </c>
      <c r="BM251" s="2"/>
      <c r="BN251" s="921">
        <v>0</v>
      </c>
      <c r="BO251" s="884">
        <v>0</v>
      </c>
      <c r="BP251" s="884">
        <f>SUM(M252:P252,V252:AB252,AG252:AM252,AR252:AX252,BC252:BI252)</f>
        <v>0</v>
      </c>
      <c r="BQ251" s="878" t="str">
        <f>IF(AND(BO251=0,BP251=0),"-",IF(BO251=0,1,BP251/BO251))</f>
        <v>-</v>
      </c>
      <c r="BR251" s="2"/>
      <c r="BS251" s="884"/>
      <c r="BT251" s="884"/>
      <c r="BU251" s="884">
        <f ca="1">E251+S252+AD252+AO252+AZ252+BK252-K252-L252</f>
        <v>504</v>
      </c>
      <c r="BV251" s="884">
        <v>104</v>
      </c>
      <c r="BW251" s="1004">
        <f ca="1">IFERROR((BU251/BV251),"-")</f>
        <v>4.8461538461538458</v>
      </c>
      <c r="BX251" s="884">
        <v>0</v>
      </c>
      <c r="BY251" s="878" t="str">
        <f ca="1">IFERROR((BU251/BX251),"-")</f>
        <v>-</v>
      </c>
      <c r="BZ251" s="2"/>
      <c r="CA251" s="884"/>
      <c r="CB251" s="884"/>
      <c r="CC251" s="2"/>
      <c r="CD251" s="504">
        <f>IFERROR(AVERAGEIF($V$7:AB$7,"&lt;="&amp;$I$7,V251:AB251),0)</f>
        <v>0</v>
      </c>
      <c r="CE251" s="2"/>
      <c r="CH251" s="93" t="str">
        <f t="shared" si="533"/>
        <v>Corte 02 - Km 169+940 a 171+180 (Sarjeta de corte - VPC 01, VPC 04 e VPC 05)</v>
      </c>
    </row>
    <row r="252" spans="1:86" s="16" customFormat="1" ht="13.5" hidden="1" customHeight="1" outlineLevel="2">
      <c r="A252" s="74"/>
      <c r="B252" s="1042"/>
      <c r="C252" s="1023"/>
      <c r="D252" s="2"/>
      <c r="E252" s="1024"/>
      <c r="F252" s="2"/>
      <c r="G252" s="50" t="s">
        <v>38</v>
      </c>
      <c r="H252" s="705">
        <f t="shared" si="534"/>
        <v>0</v>
      </c>
      <c r="I252" s="879"/>
      <c r="J252" s="2"/>
      <c r="K252" s="76"/>
      <c r="L252" s="76"/>
      <c r="M252" s="76"/>
      <c r="N252" s="76"/>
      <c r="O252" s="76"/>
      <c r="P252" s="76"/>
      <c r="Q252" s="706"/>
      <c r="R252" s="2"/>
      <c r="S252" s="705">
        <f ca="1">SUMIF($K$7:Q$7,"&lt;="&amp;$I$7,K252:P252)</f>
        <v>0</v>
      </c>
      <c r="T252" s="879"/>
      <c r="U252" s="2"/>
      <c r="V252" s="76"/>
      <c r="W252" s="76"/>
      <c r="X252" s="76"/>
      <c r="Y252" s="76"/>
      <c r="Z252" s="76"/>
      <c r="AA252" s="76"/>
      <c r="AB252" s="706"/>
      <c r="AC252" s="2"/>
      <c r="AD252" s="705">
        <f ca="1">SUMIF($V$7:AB$7,"&lt;="&amp;$I$7,V252:AA252)</f>
        <v>0</v>
      </c>
      <c r="AE252" s="879"/>
      <c r="AF252" s="2"/>
      <c r="AG252" s="76"/>
      <c r="AH252" s="76"/>
      <c r="AI252" s="76"/>
      <c r="AJ252" s="76"/>
      <c r="AK252" s="76"/>
      <c r="AL252" s="76"/>
      <c r="AM252" s="706"/>
      <c r="AN252" s="2"/>
      <c r="AO252" s="705">
        <f ca="1">SUMIF($AG$7:AM$7,"&lt;="&amp;$I$7,AG252:AL252)</f>
        <v>0</v>
      </c>
      <c r="AP252" s="879"/>
      <c r="AQ252" s="2"/>
      <c r="AR252" s="76"/>
      <c r="AS252" s="76"/>
      <c r="AT252" s="76"/>
      <c r="AU252" s="76"/>
      <c r="AV252" s="76"/>
      <c r="AW252" s="76"/>
      <c r="AX252" s="706"/>
      <c r="AY252" s="2"/>
      <c r="AZ252" s="705">
        <f ca="1">SUMIF($AR$7:AX$7,"&lt;="&amp;$I$7,AR252:AW252)</f>
        <v>0</v>
      </c>
      <c r="BA252" s="879"/>
      <c r="BB252" s="2"/>
      <c r="BC252" s="76"/>
      <c r="BD252" s="76"/>
      <c r="BE252" s="76"/>
      <c r="BF252" s="76"/>
      <c r="BG252" s="76"/>
      <c r="BH252" s="76"/>
      <c r="BI252" s="706"/>
      <c r="BJ252" s="2"/>
      <c r="BK252" s="705">
        <f ca="1">SUMIF($BC$7:BI$7,"&lt;="&amp;$I$7,BC252:BH252)</f>
        <v>0</v>
      </c>
      <c r="BL252" s="879"/>
      <c r="BM252" s="2"/>
      <c r="BN252" s="922"/>
      <c r="BO252" s="885"/>
      <c r="BP252" s="885"/>
      <c r="BQ252" s="879"/>
      <c r="BR252" s="2"/>
      <c r="BS252" s="922"/>
      <c r="BT252" s="922"/>
      <c r="BU252" s="885"/>
      <c r="BV252" s="886"/>
      <c r="BW252" s="1051"/>
      <c r="BX252" s="922"/>
      <c r="BY252" s="1052"/>
      <c r="BZ252" s="2"/>
      <c r="CA252" s="922"/>
      <c r="CB252" s="922"/>
      <c r="CC252" s="2"/>
      <c r="CD252" s="504">
        <f>IFERROR(AVERAGEIF($V$7:AB$7,"&lt;="&amp;$I$7,V252:AB252),0)</f>
        <v>0</v>
      </c>
      <c r="CE252" s="2"/>
      <c r="CH252" s="93" t="str">
        <f t="shared" si="533"/>
        <v>Corte 02 - Km 169+940 a 171+180 (Sarjeta de corte - VPC 01, VPC 04 e VPC 05)</v>
      </c>
    </row>
    <row r="253" spans="1:86" s="16" customFormat="1" ht="14.25" hidden="1" customHeight="1" outlineLevel="2">
      <c r="A253" s="74"/>
      <c r="B253" s="1041" t="s">
        <v>3968</v>
      </c>
      <c r="C253" s="1023" t="s">
        <v>52</v>
      </c>
      <c r="D253" s="2"/>
      <c r="E253" s="1004">
        <v>147</v>
      </c>
      <c r="F253" s="2"/>
      <c r="G253" s="49" t="s">
        <v>37</v>
      </c>
      <c r="H253" s="705">
        <f t="shared" si="534"/>
        <v>0</v>
      </c>
      <c r="I253" s="878" t="str">
        <f t="shared" ref="I253" si="601">IF(H253=0,IF(H254&gt;0,1,"-"),IFERROR(H254/H253,"-"))</f>
        <v>-</v>
      </c>
      <c r="J253" s="2"/>
      <c r="K253" s="705"/>
      <c r="L253" s="705"/>
      <c r="M253" s="705"/>
      <c r="N253" s="705"/>
      <c r="O253" s="705"/>
      <c r="P253" s="705"/>
      <c r="Q253" s="705"/>
      <c r="R253" s="2"/>
      <c r="S253" s="705">
        <f ca="1">SUMIF($K$7:Q$7,"&lt;="&amp;$I$7,K253:P253)</f>
        <v>0</v>
      </c>
      <c r="T253" s="878" t="str">
        <f t="shared" ref="T253" ca="1" si="602">IFERROR((S254/S253),"-")</f>
        <v>-</v>
      </c>
      <c r="U253" s="2"/>
      <c r="V253" s="705"/>
      <c r="W253" s="705"/>
      <c r="X253" s="705"/>
      <c r="Y253" s="705"/>
      <c r="Z253" s="705"/>
      <c r="AA253" s="705"/>
      <c r="AB253" s="705"/>
      <c r="AC253" s="2"/>
      <c r="AD253" s="705">
        <f ca="1">SUMIF($V$7:AB$7,"&lt;="&amp;$I$7,V253:AA253)</f>
        <v>0</v>
      </c>
      <c r="AE253" s="878" t="str">
        <f t="shared" ref="AE253" ca="1" si="603">IFERROR((AD254/AD253),"-")</f>
        <v>-</v>
      </c>
      <c r="AF253" s="2"/>
      <c r="AG253" s="705"/>
      <c r="AH253" s="705"/>
      <c r="AI253" s="705"/>
      <c r="AJ253" s="705"/>
      <c r="AK253" s="705"/>
      <c r="AL253" s="705"/>
      <c r="AM253" s="705"/>
      <c r="AN253" s="2"/>
      <c r="AO253" s="705">
        <f ca="1">SUMIF($AG$7:AM$7,"&lt;="&amp;$I$7,AG253:AL253)</f>
        <v>0</v>
      </c>
      <c r="AP253" s="878" t="str">
        <f t="shared" ref="AP253" ca="1" si="604">IFERROR((AO254/AO253),"-")</f>
        <v>-</v>
      </c>
      <c r="AQ253" s="2"/>
      <c r="AR253" s="705"/>
      <c r="AS253" s="705"/>
      <c r="AT253" s="705"/>
      <c r="AU253" s="705"/>
      <c r="AV253" s="705"/>
      <c r="AW253" s="705"/>
      <c r="AX253" s="705"/>
      <c r="AY253" s="2"/>
      <c r="AZ253" s="705">
        <f ca="1">SUMIF($AR$7:AX$7,"&lt;="&amp;$I$7,AR253:AW253)</f>
        <v>0</v>
      </c>
      <c r="BA253" s="878" t="str">
        <f t="shared" ref="BA253" ca="1" si="605">IFERROR((AZ254/AZ253),"-")</f>
        <v>-</v>
      </c>
      <c r="BB253" s="2"/>
      <c r="BC253" s="705"/>
      <c r="BD253" s="705"/>
      <c r="BE253" s="705"/>
      <c r="BF253" s="705"/>
      <c r="BG253" s="705"/>
      <c r="BH253" s="705"/>
      <c r="BI253" s="705"/>
      <c r="BJ253" s="2"/>
      <c r="BK253" s="705">
        <f ca="1">SUMIF($BC$7:BI$7,"&lt;="&amp;$I$7,BC253:BH253)</f>
        <v>0</v>
      </c>
      <c r="BL253" s="878" t="str">
        <f t="shared" ref="BL253" ca="1" si="606">IFERROR((BK254/BK253),"-")</f>
        <v>-</v>
      </c>
      <c r="BM253" s="2"/>
      <c r="BN253" s="921">
        <v>0</v>
      </c>
      <c r="BO253" s="884">
        <v>0</v>
      </c>
      <c r="BP253" s="884">
        <f>SUM(M254:P254,V254:AB254,AG254:AM254,AR254:AX254,BC254:BI254)</f>
        <v>0</v>
      </c>
      <c r="BQ253" s="878" t="str">
        <f>IF(AND(BO253=0,BP253=0),"-",IF(BO253=0,1,BP253/BO253))</f>
        <v>-</v>
      </c>
      <c r="BR253" s="2"/>
      <c r="BS253" s="884"/>
      <c r="BT253" s="884"/>
      <c r="BU253" s="884">
        <f ca="1">E253+S254+AD254+AO254+AZ254+BK254-K254-L254</f>
        <v>147</v>
      </c>
      <c r="BV253" s="884">
        <v>104</v>
      </c>
      <c r="BW253" s="1004">
        <f ca="1">IFERROR((BU253/BV253),"-")</f>
        <v>1.4134615384615385</v>
      </c>
      <c r="BX253" s="884">
        <v>0</v>
      </c>
      <c r="BY253" s="878" t="str">
        <f ca="1">IFERROR((BU253/BX253),"-")</f>
        <v>-</v>
      </c>
      <c r="BZ253" s="2"/>
      <c r="CA253" s="884"/>
      <c r="CB253" s="884"/>
      <c r="CC253" s="2"/>
      <c r="CD253" s="504">
        <f>IFERROR(AVERAGEIF($V$7:AB$7,"&lt;="&amp;$I$7,V253:AB253),0)</f>
        <v>0</v>
      </c>
      <c r="CE253" s="2"/>
      <c r="CH253" s="93" t="str">
        <f t="shared" si="533"/>
        <v>Corte 02 - Km 169+940 a 171+180 (SZC 04)</v>
      </c>
    </row>
    <row r="254" spans="1:86" ht="14.25" hidden="1" customHeight="1" outlineLevel="2">
      <c r="A254" s="74"/>
      <c r="B254" s="1042"/>
      <c r="C254" s="1023"/>
      <c r="D254" s="2"/>
      <c r="E254" s="1024"/>
      <c r="F254" s="2"/>
      <c r="G254" s="50" t="s">
        <v>38</v>
      </c>
      <c r="H254" s="705">
        <f t="shared" si="534"/>
        <v>0</v>
      </c>
      <c r="I254" s="879"/>
      <c r="J254" s="2"/>
      <c r="K254" s="76"/>
      <c r="L254" s="76"/>
      <c r="M254" s="76"/>
      <c r="N254" s="76"/>
      <c r="O254" s="76"/>
      <c r="P254" s="76"/>
      <c r="Q254" s="706"/>
      <c r="R254" s="2"/>
      <c r="S254" s="705">
        <f ca="1">SUMIF($K$7:Q$7,"&lt;="&amp;$I$7,K254:P254)</f>
        <v>0</v>
      </c>
      <c r="T254" s="879"/>
      <c r="U254" s="2"/>
      <c r="V254" s="76"/>
      <c r="W254" s="76"/>
      <c r="X254" s="76"/>
      <c r="Y254" s="76"/>
      <c r="Z254" s="76"/>
      <c r="AA254" s="76"/>
      <c r="AB254" s="706"/>
      <c r="AC254" s="2"/>
      <c r="AD254" s="705">
        <f ca="1">SUMIF($V$7:AB$7,"&lt;="&amp;$I$7,V254:AA254)</f>
        <v>0</v>
      </c>
      <c r="AE254" s="879"/>
      <c r="AF254" s="2"/>
      <c r="AG254" s="76"/>
      <c r="AH254" s="76"/>
      <c r="AI254" s="76"/>
      <c r="AJ254" s="76"/>
      <c r="AK254" s="76"/>
      <c r="AL254" s="76"/>
      <c r="AM254" s="706"/>
      <c r="AN254" s="2"/>
      <c r="AO254" s="705">
        <f ca="1">SUMIF($AG$7:AM$7,"&lt;="&amp;$I$7,AG254:AL254)</f>
        <v>0</v>
      </c>
      <c r="AP254" s="879"/>
      <c r="AQ254" s="2"/>
      <c r="AR254" s="76"/>
      <c r="AS254" s="76"/>
      <c r="AT254" s="76"/>
      <c r="AU254" s="76"/>
      <c r="AV254" s="76"/>
      <c r="AW254" s="76"/>
      <c r="AX254" s="706"/>
      <c r="AY254" s="2"/>
      <c r="AZ254" s="705">
        <f ca="1">SUMIF($AR$7:AX$7,"&lt;="&amp;$I$7,AR254:AW254)</f>
        <v>0</v>
      </c>
      <c r="BA254" s="879"/>
      <c r="BB254" s="2"/>
      <c r="BC254" s="76"/>
      <c r="BD254" s="76"/>
      <c r="BE254" s="76"/>
      <c r="BF254" s="76"/>
      <c r="BG254" s="76"/>
      <c r="BH254" s="76"/>
      <c r="BI254" s="706"/>
      <c r="BJ254" s="2"/>
      <c r="BK254" s="705">
        <f ca="1">SUMIF($BC$7:BI$7,"&lt;="&amp;$I$7,BC254:BH254)</f>
        <v>0</v>
      </c>
      <c r="BL254" s="879"/>
      <c r="BM254" s="2"/>
      <c r="BN254" s="922"/>
      <c r="BO254" s="885"/>
      <c r="BP254" s="885"/>
      <c r="BQ254" s="879"/>
      <c r="BR254" s="2"/>
      <c r="BS254" s="922"/>
      <c r="BT254" s="922"/>
      <c r="BU254" s="885"/>
      <c r="BV254" s="886"/>
      <c r="BW254" s="1051"/>
      <c r="BX254" s="922"/>
      <c r="BY254" s="1052"/>
      <c r="BZ254" s="2"/>
      <c r="CA254" s="922"/>
      <c r="CB254" s="922"/>
      <c r="CC254" s="2"/>
      <c r="CD254" s="504">
        <f>IFERROR(AVERAGEIF($V$7:AB$7,"&lt;="&amp;$I$7,V254:AB254),0)</f>
        <v>0</v>
      </c>
      <c r="CE254" s="2"/>
      <c r="CH254" s="93" t="str">
        <f t="shared" si="533"/>
        <v>Corte 02 - Km 169+940 a 171+180 (SZC 04)</v>
      </c>
    </row>
    <row r="255" spans="1:86" s="21" customFormat="1" ht="14.25" hidden="1" customHeight="1" outlineLevel="2">
      <c r="A255" s="74"/>
      <c r="B255" s="1041" t="s">
        <v>3969</v>
      </c>
      <c r="C255" s="1023" t="s">
        <v>52</v>
      </c>
      <c r="D255" s="2"/>
      <c r="E255" s="1004">
        <v>279</v>
      </c>
      <c r="F255" s="2"/>
      <c r="G255" s="49" t="s">
        <v>37</v>
      </c>
      <c r="H255" s="705">
        <f t="shared" si="534"/>
        <v>0</v>
      </c>
      <c r="I255" s="878" t="str">
        <f t="shared" ref="I255" si="607">IF(H255=0,IF(H256&gt;0,1,"-"),IFERROR(H256/H255,"-"))</f>
        <v>-</v>
      </c>
      <c r="J255" s="2"/>
      <c r="K255" s="705"/>
      <c r="L255" s="705"/>
      <c r="M255" s="705"/>
      <c r="N255" s="705"/>
      <c r="O255" s="705"/>
      <c r="P255" s="705"/>
      <c r="Q255" s="705"/>
      <c r="R255" s="2"/>
      <c r="S255" s="705">
        <f ca="1">SUMIF($K$7:Q$7,"&lt;="&amp;$I$7,K255:P255)</f>
        <v>0</v>
      </c>
      <c r="T255" s="878" t="str">
        <f t="shared" ref="T255" ca="1" si="608">IFERROR((S256/S255),"-")</f>
        <v>-</v>
      </c>
      <c r="U255" s="2"/>
      <c r="V255" s="705"/>
      <c r="W255" s="705"/>
      <c r="X255" s="705"/>
      <c r="Y255" s="705"/>
      <c r="Z255" s="705"/>
      <c r="AA255" s="705"/>
      <c r="AB255" s="705"/>
      <c r="AC255" s="2"/>
      <c r="AD255" s="705">
        <f ca="1">SUMIF($V$7:AB$7,"&lt;="&amp;$I$7,V255:AA255)</f>
        <v>0</v>
      </c>
      <c r="AE255" s="878" t="str">
        <f t="shared" ref="AE255" ca="1" si="609">IFERROR((AD256/AD255),"-")</f>
        <v>-</v>
      </c>
      <c r="AF255" s="2"/>
      <c r="AG255" s="705"/>
      <c r="AH255" s="705"/>
      <c r="AI255" s="705"/>
      <c r="AJ255" s="705"/>
      <c r="AK255" s="705"/>
      <c r="AL255" s="705"/>
      <c r="AM255" s="705"/>
      <c r="AN255" s="2"/>
      <c r="AO255" s="705">
        <f ca="1">SUMIF($AG$7:AM$7,"&lt;="&amp;$I$7,AG255:AL255)</f>
        <v>0</v>
      </c>
      <c r="AP255" s="878" t="str">
        <f t="shared" ref="AP255" ca="1" si="610">IFERROR((AO256/AO255),"-")</f>
        <v>-</v>
      </c>
      <c r="AQ255" s="2"/>
      <c r="AR255" s="705"/>
      <c r="AS255" s="705"/>
      <c r="AT255" s="705"/>
      <c r="AU255" s="705"/>
      <c r="AV255" s="705"/>
      <c r="AW255" s="705"/>
      <c r="AX255" s="705"/>
      <c r="AY255" s="2"/>
      <c r="AZ255" s="705">
        <f ca="1">SUMIF($AR$7:AX$7,"&lt;="&amp;$I$7,AR255:AW255)</f>
        <v>0</v>
      </c>
      <c r="BA255" s="878" t="str">
        <f t="shared" ref="BA255" ca="1" si="611">IFERROR((AZ256/AZ255),"-")</f>
        <v>-</v>
      </c>
      <c r="BB255" s="2"/>
      <c r="BC255" s="705"/>
      <c r="BD255" s="705"/>
      <c r="BE255" s="705"/>
      <c r="BF255" s="705"/>
      <c r="BG255" s="705"/>
      <c r="BH255" s="705"/>
      <c r="BI255" s="705"/>
      <c r="BJ255" s="2"/>
      <c r="BK255" s="705">
        <f ca="1">SUMIF($BC$7:BI$7,"&lt;="&amp;$I$7,BC255:BH255)</f>
        <v>0</v>
      </c>
      <c r="BL255" s="878" t="str">
        <f t="shared" ref="BL255" ca="1" si="612">IFERROR((BK256/BK255),"-")</f>
        <v>-</v>
      </c>
      <c r="BM255" s="2"/>
      <c r="BN255" s="921">
        <v>0</v>
      </c>
      <c r="BO255" s="884">
        <v>0</v>
      </c>
      <c r="BP255" s="884">
        <f>SUM(M256:P256,V256:AB256,AG256:AM256,AR256:AX256,BC256:BI256)</f>
        <v>0</v>
      </c>
      <c r="BQ255" s="878" t="str">
        <f>IF(AND(BO255=0,BP255=0),"-",IF(BO255=0,1,BP255/BO255))</f>
        <v>-</v>
      </c>
      <c r="BR255" s="2"/>
      <c r="BS255" s="884"/>
      <c r="BT255" s="884"/>
      <c r="BU255" s="884">
        <f ca="1">E255+S256+AD256+AO256+AZ256+BK256-K256-L256</f>
        <v>279</v>
      </c>
      <c r="BV255" s="884">
        <v>104</v>
      </c>
      <c r="BW255" s="1004">
        <f ca="1">IFERROR((BU255/BV255),"-")</f>
        <v>2.6826923076923075</v>
      </c>
      <c r="BX255" s="884">
        <v>0</v>
      </c>
      <c r="BY255" s="878" t="str">
        <f ca="1">IFERROR((BU255/BX255),"-")</f>
        <v>-</v>
      </c>
      <c r="BZ255" s="2"/>
      <c r="CA255" s="884"/>
      <c r="CB255" s="884"/>
      <c r="CC255" s="2"/>
      <c r="CD255" s="504">
        <f>IFERROR(AVERAGEIF($V$7:AB$7,"&lt;="&amp;$I$7,V255:AB255),0)</f>
        <v>0</v>
      </c>
      <c r="CE255" s="2"/>
      <c r="CH255" s="93" t="str">
        <f t="shared" si="533"/>
        <v>vpc 13</v>
      </c>
    </row>
    <row r="256" spans="1:86" s="16" customFormat="1" ht="14.25" hidden="1" customHeight="1" outlineLevel="2">
      <c r="A256" s="74"/>
      <c r="B256" s="1042"/>
      <c r="C256" s="1023"/>
      <c r="D256" s="2"/>
      <c r="E256" s="1024"/>
      <c r="F256" s="2"/>
      <c r="G256" s="50" t="s">
        <v>38</v>
      </c>
      <c r="H256" s="705">
        <f t="shared" si="534"/>
        <v>0</v>
      </c>
      <c r="I256" s="879"/>
      <c r="J256" s="2"/>
      <c r="K256" s="76"/>
      <c r="L256" s="76"/>
      <c r="M256" s="76"/>
      <c r="N256" s="76"/>
      <c r="O256" s="76"/>
      <c r="P256" s="76"/>
      <c r="Q256" s="706"/>
      <c r="R256" s="2"/>
      <c r="S256" s="705">
        <f ca="1">SUMIF($K$7:Q$7,"&lt;="&amp;$I$7,K256:P256)</f>
        <v>0</v>
      </c>
      <c r="T256" s="879"/>
      <c r="U256" s="2"/>
      <c r="V256" s="76"/>
      <c r="W256" s="76"/>
      <c r="X256" s="76"/>
      <c r="Y256" s="76"/>
      <c r="Z256" s="76"/>
      <c r="AA256" s="76"/>
      <c r="AB256" s="706"/>
      <c r="AC256" s="2"/>
      <c r="AD256" s="705">
        <f ca="1">SUMIF($V$7:AB$7,"&lt;="&amp;$I$7,V256:AA256)</f>
        <v>0</v>
      </c>
      <c r="AE256" s="879"/>
      <c r="AF256" s="2"/>
      <c r="AG256" s="76"/>
      <c r="AH256" s="76"/>
      <c r="AI256" s="76"/>
      <c r="AJ256" s="76"/>
      <c r="AK256" s="76"/>
      <c r="AL256" s="76"/>
      <c r="AM256" s="706"/>
      <c r="AN256" s="2"/>
      <c r="AO256" s="705">
        <f ca="1">SUMIF($AG$7:AM$7,"&lt;="&amp;$I$7,AG256:AL256)</f>
        <v>0</v>
      </c>
      <c r="AP256" s="879"/>
      <c r="AQ256" s="2"/>
      <c r="AR256" s="76"/>
      <c r="AS256" s="76"/>
      <c r="AT256" s="76"/>
      <c r="AU256" s="76"/>
      <c r="AV256" s="76"/>
      <c r="AW256" s="76"/>
      <c r="AX256" s="706"/>
      <c r="AY256" s="2"/>
      <c r="AZ256" s="705">
        <f ca="1">SUMIF($AR$7:AX$7,"&lt;="&amp;$I$7,AR256:AW256)</f>
        <v>0</v>
      </c>
      <c r="BA256" s="879"/>
      <c r="BB256" s="2"/>
      <c r="BC256" s="76"/>
      <c r="BD256" s="76"/>
      <c r="BE256" s="76"/>
      <c r="BF256" s="76"/>
      <c r="BG256" s="76"/>
      <c r="BH256" s="76"/>
      <c r="BI256" s="706"/>
      <c r="BJ256" s="2"/>
      <c r="BK256" s="705">
        <f ca="1">SUMIF($BC$7:BI$7,"&lt;="&amp;$I$7,BC256:BH256)</f>
        <v>0</v>
      </c>
      <c r="BL256" s="879"/>
      <c r="BM256" s="2"/>
      <c r="BN256" s="922"/>
      <c r="BO256" s="885"/>
      <c r="BP256" s="885"/>
      <c r="BQ256" s="879"/>
      <c r="BR256" s="2"/>
      <c r="BS256" s="922"/>
      <c r="BT256" s="922"/>
      <c r="BU256" s="885"/>
      <c r="BV256" s="886"/>
      <c r="BW256" s="1051"/>
      <c r="BX256" s="922"/>
      <c r="BY256" s="1052"/>
      <c r="BZ256" s="2"/>
      <c r="CA256" s="922"/>
      <c r="CB256" s="922"/>
      <c r="CC256" s="2"/>
      <c r="CD256" s="504">
        <f>IFERROR(AVERAGEIF($V$7:AB$7,"&lt;="&amp;$I$7,V256:AB256),0)</f>
        <v>0</v>
      </c>
      <c r="CE256" s="2"/>
      <c r="CH256" s="93" t="str">
        <f t="shared" si="533"/>
        <v>vpc 13</v>
      </c>
    </row>
    <row r="257" spans="1:86" s="16" customFormat="1" ht="18.600000000000001" hidden="1" customHeight="1" outlineLevel="2">
      <c r="A257" s="74"/>
      <c r="B257" s="1041" t="s">
        <v>3970</v>
      </c>
      <c r="C257" s="1023" t="s">
        <v>52</v>
      </c>
      <c r="D257" s="2"/>
      <c r="E257" s="1004">
        <v>776</v>
      </c>
      <c r="F257" s="2"/>
      <c r="G257" s="49" t="s">
        <v>37</v>
      </c>
      <c r="H257" s="705">
        <f t="shared" si="534"/>
        <v>0</v>
      </c>
      <c r="I257" s="878" t="str">
        <f t="shared" ref="I257" si="613">IF(H257=0,IF(H258&gt;0,1,"-"),IFERROR(H258/H257,"-"))</f>
        <v>-</v>
      </c>
      <c r="J257" s="2"/>
      <c r="K257" s="705"/>
      <c r="L257" s="705"/>
      <c r="M257" s="705"/>
      <c r="N257" s="705"/>
      <c r="O257" s="705"/>
      <c r="P257" s="705"/>
      <c r="Q257" s="705"/>
      <c r="R257" s="2"/>
      <c r="S257" s="705">
        <f ca="1">SUMIF($K$7:Q$7,"&lt;="&amp;$I$7,K257:P257)</f>
        <v>0</v>
      </c>
      <c r="T257" s="878" t="str">
        <f t="shared" ref="T257" ca="1" si="614">IFERROR((S258/S257),"-")</f>
        <v>-</v>
      </c>
      <c r="U257" s="2"/>
      <c r="V257" s="705"/>
      <c r="W257" s="705"/>
      <c r="X257" s="705"/>
      <c r="Y257" s="705"/>
      <c r="Z257" s="705"/>
      <c r="AA257" s="705"/>
      <c r="AB257" s="705"/>
      <c r="AC257" s="2"/>
      <c r="AD257" s="705">
        <f ca="1">SUMIF($V$7:AB$7,"&lt;="&amp;$I$7,V257:AA257)</f>
        <v>0</v>
      </c>
      <c r="AE257" s="878" t="str">
        <f t="shared" ref="AE257" ca="1" si="615">IFERROR((AD258/AD257),"-")</f>
        <v>-</v>
      </c>
      <c r="AF257" s="2"/>
      <c r="AG257" s="705"/>
      <c r="AH257" s="705"/>
      <c r="AI257" s="705"/>
      <c r="AJ257" s="705"/>
      <c r="AK257" s="705"/>
      <c r="AL257" s="705"/>
      <c r="AM257" s="705"/>
      <c r="AN257" s="2"/>
      <c r="AO257" s="705">
        <f ca="1">SUMIF($AG$7:AM$7,"&lt;="&amp;$I$7,AG257:AL257)</f>
        <v>0</v>
      </c>
      <c r="AP257" s="878" t="str">
        <f t="shared" ref="AP257" ca="1" si="616">IFERROR((AO258/AO257),"-")</f>
        <v>-</v>
      </c>
      <c r="AQ257" s="2"/>
      <c r="AR257" s="705"/>
      <c r="AS257" s="705"/>
      <c r="AT257" s="705"/>
      <c r="AU257" s="705"/>
      <c r="AV257" s="705"/>
      <c r="AW257" s="705"/>
      <c r="AX257" s="705"/>
      <c r="AY257" s="2"/>
      <c r="AZ257" s="705">
        <f ca="1">SUMIF($AR$7:AX$7,"&lt;="&amp;$I$7,AR257:AW257)</f>
        <v>0</v>
      </c>
      <c r="BA257" s="878" t="str">
        <f t="shared" ref="BA257" ca="1" si="617">IFERROR((AZ258/AZ257),"-")</f>
        <v>-</v>
      </c>
      <c r="BB257" s="2"/>
      <c r="BC257" s="705"/>
      <c r="BD257" s="705"/>
      <c r="BE257" s="705"/>
      <c r="BF257" s="705"/>
      <c r="BG257" s="705"/>
      <c r="BH257" s="705"/>
      <c r="BI257" s="705"/>
      <c r="BJ257" s="2"/>
      <c r="BK257" s="705">
        <f ca="1">SUMIF($BC$7:BI$7,"&lt;="&amp;$I$7,BC257:BH257)</f>
        <v>0</v>
      </c>
      <c r="BL257" s="878" t="str">
        <f t="shared" ref="BL257" ca="1" si="618">IFERROR((BK258/BK257),"-")</f>
        <v>-</v>
      </c>
      <c r="BM257" s="2"/>
      <c r="BN257" s="921">
        <v>0</v>
      </c>
      <c r="BO257" s="884">
        <v>0</v>
      </c>
      <c r="BP257" s="884">
        <f>SUM(M258:P258,V258:AB258,AG258:AM258,AR258:AX258,BC258:BI258)</f>
        <v>0</v>
      </c>
      <c r="BQ257" s="878" t="str">
        <f>IF(AND(BO257=0,BP257=0),"-",IF(BO257=0,1,BP257/BO257))</f>
        <v>-</v>
      </c>
      <c r="BR257" s="2"/>
      <c r="BS257" s="884"/>
      <c r="BT257" s="884"/>
      <c r="BU257" s="884">
        <f ca="1">E257+S258+AD258+AO258+AZ258+BK258-K258-L258</f>
        <v>776</v>
      </c>
      <c r="BV257" s="884">
        <v>104</v>
      </c>
      <c r="BW257" s="1004">
        <f ca="1">IFERROR((BU257/BV257),"-")</f>
        <v>7.4615384615384617</v>
      </c>
      <c r="BX257" s="884">
        <v>0</v>
      </c>
      <c r="BY257" s="878" t="str">
        <f ca="1">IFERROR((BU257/BX257),"-")</f>
        <v>-</v>
      </c>
      <c r="BZ257" s="2"/>
      <c r="CA257" s="884"/>
      <c r="CB257" s="884"/>
      <c r="CC257" s="2"/>
      <c r="CD257" s="504">
        <f>IFERROR(AVERAGEIF($V$7:AB$7,"&lt;="&amp;$I$7,V257:AB257),0)</f>
        <v>0</v>
      </c>
      <c r="CE257" s="2"/>
      <c r="CH257" s="93" t="str">
        <f t="shared" si="533"/>
        <v>ADME - Km 174+100 (Sarjeta de aterro VPA - 04)</v>
      </c>
    </row>
    <row r="258" spans="1:86" s="16" customFormat="1" ht="20.45" hidden="1" customHeight="1" outlineLevel="2">
      <c r="A258" s="74"/>
      <c r="B258" s="1042"/>
      <c r="C258" s="1023"/>
      <c r="D258" s="2"/>
      <c r="E258" s="1024"/>
      <c r="F258" s="2"/>
      <c r="G258" s="50" t="s">
        <v>38</v>
      </c>
      <c r="H258" s="705">
        <f t="shared" si="534"/>
        <v>0</v>
      </c>
      <c r="I258" s="879"/>
      <c r="J258" s="2"/>
      <c r="K258" s="76"/>
      <c r="L258" s="76"/>
      <c r="M258" s="76"/>
      <c r="N258" s="76"/>
      <c r="O258" s="76"/>
      <c r="P258" s="76"/>
      <c r="Q258" s="706"/>
      <c r="R258" s="2"/>
      <c r="S258" s="705">
        <f ca="1">SUMIF($K$7:Q$7,"&lt;="&amp;$I$7,K258:P258)</f>
        <v>0</v>
      </c>
      <c r="T258" s="879"/>
      <c r="U258" s="2"/>
      <c r="V258" s="76"/>
      <c r="W258" s="76"/>
      <c r="X258" s="76"/>
      <c r="Y258" s="76"/>
      <c r="Z258" s="76"/>
      <c r="AA258" s="76"/>
      <c r="AB258" s="706"/>
      <c r="AC258" s="2"/>
      <c r="AD258" s="705">
        <f ca="1">SUMIF($V$7:AB$7,"&lt;="&amp;$I$7,V258:AA258)</f>
        <v>0</v>
      </c>
      <c r="AE258" s="879"/>
      <c r="AF258" s="2"/>
      <c r="AG258" s="76"/>
      <c r="AH258" s="76"/>
      <c r="AI258" s="76"/>
      <c r="AJ258" s="76"/>
      <c r="AK258" s="76"/>
      <c r="AL258" s="76"/>
      <c r="AM258" s="706"/>
      <c r="AN258" s="2"/>
      <c r="AO258" s="705">
        <f ca="1">SUMIF($AG$7:AM$7,"&lt;="&amp;$I$7,AG258:AL258)</f>
        <v>0</v>
      </c>
      <c r="AP258" s="879"/>
      <c r="AQ258" s="2"/>
      <c r="AR258" s="76"/>
      <c r="AS258" s="76"/>
      <c r="AT258" s="76"/>
      <c r="AU258" s="76"/>
      <c r="AV258" s="76"/>
      <c r="AW258" s="76"/>
      <c r="AX258" s="706"/>
      <c r="AY258" s="2"/>
      <c r="AZ258" s="705">
        <f ca="1">SUMIF($AR$7:AX$7,"&lt;="&amp;$I$7,AR258:AW258)</f>
        <v>0</v>
      </c>
      <c r="BA258" s="879"/>
      <c r="BB258" s="2"/>
      <c r="BC258" s="76"/>
      <c r="BD258" s="76"/>
      <c r="BE258" s="76"/>
      <c r="BF258" s="76"/>
      <c r="BG258" s="76"/>
      <c r="BH258" s="76"/>
      <c r="BI258" s="706"/>
      <c r="BJ258" s="2"/>
      <c r="BK258" s="705">
        <f ca="1">SUMIF($BC$7:BI$7,"&lt;="&amp;$I$7,BC258:BH258)</f>
        <v>0</v>
      </c>
      <c r="BL258" s="879"/>
      <c r="BM258" s="2"/>
      <c r="BN258" s="922"/>
      <c r="BO258" s="885"/>
      <c r="BP258" s="885"/>
      <c r="BQ258" s="879"/>
      <c r="BR258" s="2"/>
      <c r="BS258" s="922"/>
      <c r="BT258" s="922"/>
      <c r="BU258" s="885"/>
      <c r="BV258" s="886"/>
      <c r="BW258" s="1051"/>
      <c r="BX258" s="922"/>
      <c r="BY258" s="1052"/>
      <c r="BZ258" s="2"/>
      <c r="CA258" s="922"/>
      <c r="CB258" s="922"/>
      <c r="CC258" s="2"/>
      <c r="CD258" s="504">
        <f>IFERROR(AVERAGEIF($V$7:AB$7,"&lt;="&amp;$I$7,V258:AB258),0)</f>
        <v>0</v>
      </c>
      <c r="CE258" s="2"/>
      <c r="CH258" s="93" t="str">
        <f t="shared" si="533"/>
        <v>ADME - Km 174+100 (Sarjeta de aterro VPA - 04)</v>
      </c>
    </row>
    <row r="259" spans="1:86" s="16" customFormat="1" ht="20.25" hidden="1" customHeight="1" outlineLevel="2">
      <c r="A259" s="74"/>
      <c r="B259" s="1041" t="s">
        <v>3971</v>
      </c>
      <c r="C259" s="1023" t="s">
        <v>52</v>
      </c>
      <c r="D259" s="2"/>
      <c r="E259" s="1004">
        <v>0</v>
      </c>
      <c r="F259" s="2"/>
      <c r="G259" s="49" t="s">
        <v>37</v>
      </c>
      <c r="H259" s="705">
        <f t="shared" si="534"/>
        <v>0</v>
      </c>
      <c r="I259" s="878" t="str">
        <f t="shared" ref="I259" si="619">IF(H259=0,IF(H260&gt;0,1,"-"),IFERROR(H260/H259,"-"))</f>
        <v>-</v>
      </c>
      <c r="J259" s="2"/>
      <c r="K259" s="705"/>
      <c r="L259" s="705"/>
      <c r="M259" s="705"/>
      <c r="N259" s="705"/>
      <c r="O259" s="705"/>
      <c r="P259" s="705"/>
      <c r="Q259" s="705"/>
      <c r="R259" s="2"/>
      <c r="S259" s="705">
        <f ca="1">SUMIF($K$7:Q$7,"&lt;="&amp;$I$7,K259:P259)</f>
        <v>0</v>
      </c>
      <c r="T259" s="878" t="str">
        <f t="shared" ref="T259" ca="1" si="620">IFERROR((S260/S259),"-")</f>
        <v>-</v>
      </c>
      <c r="U259" s="2"/>
      <c r="V259" s="705"/>
      <c r="W259" s="705"/>
      <c r="X259" s="705"/>
      <c r="Y259" s="705"/>
      <c r="Z259" s="705"/>
      <c r="AA259" s="705"/>
      <c r="AB259" s="705"/>
      <c r="AC259" s="2"/>
      <c r="AD259" s="705">
        <f ca="1">SUMIF($V$7:AB$7,"&lt;="&amp;$I$7,V259:AA259)</f>
        <v>0</v>
      </c>
      <c r="AE259" s="878" t="str">
        <f t="shared" ref="AE259" ca="1" si="621">IFERROR((AD260/AD259),"-")</f>
        <v>-</v>
      </c>
      <c r="AF259" s="2"/>
      <c r="AG259" s="705"/>
      <c r="AH259" s="705"/>
      <c r="AI259" s="705"/>
      <c r="AJ259" s="705"/>
      <c r="AK259" s="705"/>
      <c r="AL259" s="705"/>
      <c r="AM259" s="705"/>
      <c r="AN259" s="2"/>
      <c r="AO259" s="705">
        <f ca="1">SUMIF($AG$7:AM$7,"&lt;="&amp;$I$7,AG259:AL259)</f>
        <v>0</v>
      </c>
      <c r="AP259" s="878" t="str">
        <f t="shared" ref="AP259" ca="1" si="622">IFERROR((AO260/AO259),"-")</f>
        <v>-</v>
      </c>
      <c r="AQ259" s="2"/>
      <c r="AR259" s="705"/>
      <c r="AS259" s="705"/>
      <c r="AT259" s="705"/>
      <c r="AU259" s="705"/>
      <c r="AV259" s="705"/>
      <c r="AW259" s="705"/>
      <c r="AX259" s="705"/>
      <c r="AY259" s="2"/>
      <c r="AZ259" s="705">
        <f ca="1">SUMIF($AR$7:AX$7,"&lt;="&amp;$I$7,AR259:AW259)</f>
        <v>0</v>
      </c>
      <c r="BA259" s="878" t="str">
        <f t="shared" ref="BA259" ca="1" si="623">IFERROR((AZ260/AZ259),"-")</f>
        <v>-</v>
      </c>
      <c r="BB259" s="2"/>
      <c r="BC259" s="705"/>
      <c r="BD259" s="705"/>
      <c r="BE259" s="705"/>
      <c r="BF259" s="705"/>
      <c r="BG259" s="705"/>
      <c r="BH259" s="705"/>
      <c r="BI259" s="705"/>
      <c r="BJ259" s="2"/>
      <c r="BK259" s="705">
        <f ca="1">SUMIF($BC$7:BI$7,"&lt;="&amp;$I$7,BC259:BH259)</f>
        <v>0</v>
      </c>
      <c r="BL259" s="878" t="str">
        <f t="shared" ref="BL259" ca="1" si="624">IFERROR((BK260/BK259),"-")</f>
        <v>-</v>
      </c>
      <c r="BM259" s="2"/>
      <c r="BN259" s="921">
        <v>0</v>
      </c>
      <c r="BO259" s="884">
        <v>0</v>
      </c>
      <c r="BP259" s="884">
        <f>SUM(M260:P260,V260:AB260,AG260:AM260,AR260:AX260,BC260:BI260)</f>
        <v>0</v>
      </c>
      <c r="BQ259" s="878" t="str">
        <f>IF(AND(BO259=0,BP259=0),"-",IF(BO259=0,1,BP259/BO259))</f>
        <v>-</v>
      </c>
      <c r="BR259" s="2"/>
      <c r="BS259" s="884"/>
      <c r="BT259" s="884"/>
      <c r="BU259" s="884">
        <f ca="1">E259+S260+AD260+AO260+AZ260+BK260-K260-L260</f>
        <v>0</v>
      </c>
      <c r="BV259" s="884">
        <v>104</v>
      </c>
      <c r="BW259" s="1004">
        <f ca="1">IFERROR((BU259/BV259),"-")</f>
        <v>0</v>
      </c>
      <c r="BX259" s="884">
        <v>0</v>
      </c>
      <c r="BY259" s="878" t="str">
        <f ca="1">IFERROR((BU259/BX259),"-")</f>
        <v>-</v>
      </c>
      <c r="BZ259" s="2"/>
      <c r="CA259" s="884"/>
      <c r="CB259" s="884"/>
      <c r="CC259" s="2"/>
      <c r="CD259" s="504">
        <f>IFERROR(AVERAGEIF($V$7:AB$7,"&lt;="&amp;$I$7,V259:AB259),0)</f>
        <v>0</v>
      </c>
      <c r="CE259" s="2"/>
      <c r="CH259" s="93" t="str">
        <f t="shared" si="533"/>
        <v>Acesso - VPC 01 e 04</v>
      </c>
    </row>
    <row r="260" spans="1:86" s="16" customFormat="1" ht="20.25" hidden="1" customHeight="1" outlineLevel="2">
      <c r="A260" s="74"/>
      <c r="B260" s="1042"/>
      <c r="C260" s="1023"/>
      <c r="D260" s="2"/>
      <c r="E260" s="1024"/>
      <c r="F260" s="2"/>
      <c r="G260" s="50" t="s">
        <v>38</v>
      </c>
      <c r="H260" s="705">
        <f t="shared" si="534"/>
        <v>0</v>
      </c>
      <c r="I260" s="879"/>
      <c r="J260" s="2"/>
      <c r="K260" s="76"/>
      <c r="L260" s="76"/>
      <c r="M260" s="76"/>
      <c r="N260" s="76"/>
      <c r="O260" s="76"/>
      <c r="P260" s="76"/>
      <c r="Q260" s="706"/>
      <c r="R260" s="2"/>
      <c r="S260" s="705">
        <f ca="1">SUMIF($K$7:Q$7,"&lt;="&amp;$I$7,K260:P260)</f>
        <v>0</v>
      </c>
      <c r="T260" s="879"/>
      <c r="U260" s="2"/>
      <c r="V260" s="76"/>
      <c r="W260" s="76"/>
      <c r="X260" s="76"/>
      <c r="Y260" s="76"/>
      <c r="Z260" s="76"/>
      <c r="AA260" s="76"/>
      <c r="AB260" s="706"/>
      <c r="AC260" s="2"/>
      <c r="AD260" s="705">
        <f ca="1">SUMIF($V$7:AB$7,"&lt;="&amp;$I$7,V260:AA260)</f>
        <v>0</v>
      </c>
      <c r="AE260" s="879"/>
      <c r="AF260" s="2"/>
      <c r="AG260" s="76"/>
      <c r="AH260" s="76"/>
      <c r="AI260" s="76"/>
      <c r="AJ260" s="76"/>
      <c r="AK260" s="76"/>
      <c r="AL260" s="76"/>
      <c r="AM260" s="706"/>
      <c r="AN260" s="2"/>
      <c r="AO260" s="705">
        <f ca="1">SUMIF($AG$7:AM$7,"&lt;="&amp;$I$7,AG260:AL260)</f>
        <v>0</v>
      </c>
      <c r="AP260" s="879"/>
      <c r="AQ260" s="2"/>
      <c r="AR260" s="76"/>
      <c r="AS260" s="76"/>
      <c r="AT260" s="76"/>
      <c r="AU260" s="76"/>
      <c r="AV260" s="76"/>
      <c r="AW260" s="76"/>
      <c r="AX260" s="706"/>
      <c r="AY260" s="2"/>
      <c r="AZ260" s="705">
        <f ca="1">SUMIF($AR$7:AX$7,"&lt;="&amp;$I$7,AR260:AW260)</f>
        <v>0</v>
      </c>
      <c r="BA260" s="879"/>
      <c r="BB260" s="2"/>
      <c r="BC260" s="76"/>
      <c r="BD260" s="76"/>
      <c r="BE260" s="76"/>
      <c r="BF260" s="76"/>
      <c r="BG260" s="76"/>
      <c r="BH260" s="76"/>
      <c r="BI260" s="706"/>
      <c r="BJ260" s="2"/>
      <c r="BK260" s="705">
        <f ca="1">SUMIF($BC$7:BI$7,"&lt;="&amp;$I$7,BC260:BH260)</f>
        <v>0</v>
      </c>
      <c r="BL260" s="879"/>
      <c r="BM260" s="2"/>
      <c r="BN260" s="922"/>
      <c r="BO260" s="885"/>
      <c r="BP260" s="885"/>
      <c r="BQ260" s="879"/>
      <c r="BR260" s="2"/>
      <c r="BS260" s="922"/>
      <c r="BT260" s="922"/>
      <c r="BU260" s="885"/>
      <c r="BV260" s="886"/>
      <c r="BW260" s="1051"/>
      <c r="BX260" s="922"/>
      <c r="BY260" s="1052"/>
      <c r="BZ260" s="2"/>
      <c r="CA260" s="922"/>
      <c r="CB260" s="922"/>
      <c r="CC260" s="2"/>
      <c r="CD260" s="504">
        <f>IFERROR(AVERAGEIF($V$7:AB$7,"&lt;="&amp;$I$7,V260:AB260),0)</f>
        <v>0</v>
      </c>
      <c r="CE260" s="2"/>
      <c r="CH260" s="93" t="str">
        <f t="shared" si="533"/>
        <v>Acesso - VPC 01 e 04</v>
      </c>
    </row>
    <row r="261" spans="1:86" s="16" customFormat="1" ht="20.25" hidden="1" customHeight="1" outlineLevel="2">
      <c r="A261" s="74"/>
      <c r="B261" s="1041" t="s">
        <v>3972</v>
      </c>
      <c r="C261" s="1023" t="s">
        <v>52</v>
      </c>
      <c r="D261" s="2"/>
      <c r="E261" s="1004">
        <v>0</v>
      </c>
      <c r="F261" s="2"/>
      <c r="G261" s="49" t="s">
        <v>37</v>
      </c>
      <c r="H261" s="705">
        <f t="shared" si="534"/>
        <v>0</v>
      </c>
      <c r="I261" s="878" t="str">
        <f t="shared" ref="I261" si="625">IF(H261=0,IF(H262&gt;0,1,"-"),IFERROR(H262/H261,"-"))</f>
        <v>-</v>
      </c>
      <c r="J261" s="2"/>
      <c r="K261" s="705"/>
      <c r="L261" s="705">
        <v>200</v>
      </c>
      <c r="M261" s="705">
        <v>200</v>
      </c>
      <c r="N261" s="705">
        <v>250</v>
      </c>
      <c r="O261" s="705">
        <v>250</v>
      </c>
      <c r="P261" s="705"/>
      <c r="Q261" s="705"/>
      <c r="R261" s="2"/>
      <c r="S261" s="705">
        <f ca="1">SUMIF($K$7:Q$7,"&lt;="&amp;$I$7,K261:P261)</f>
        <v>900</v>
      </c>
      <c r="T261" s="878">
        <f t="shared" ref="T261" ca="1" si="626">IFERROR((S262/S261),"-")</f>
        <v>0</v>
      </c>
      <c r="U261" s="2"/>
      <c r="V261" s="705"/>
      <c r="W261" s="705"/>
      <c r="X261" s="705"/>
      <c r="Y261" s="705"/>
      <c r="Z261" s="705"/>
      <c r="AA261" s="705"/>
      <c r="AB261" s="705"/>
      <c r="AC261" s="2"/>
      <c r="AD261" s="705">
        <f ca="1">SUMIF($V$7:AB$7,"&lt;="&amp;$I$7,V261:AA261)</f>
        <v>0</v>
      </c>
      <c r="AE261" s="878" t="str">
        <f t="shared" ref="AE261" ca="1" si="627">IFERROR((AD262/AD261),"-")</f>
        <v>-</v>
      </c>
      <c r="AF261" s="2"/>
      <c r="AG261" s="705"/>
      <c r="AH261" s="705"/>
      <c r="AI261" s="705"/>
      <c r="AJ261" s="705"/>
      <c r="AK261" s="705"/>
      <c r="AL261" s="705"/>
      <c r="AM261" s="705"/>
      <c r="AN261" s="2"/>
      <c r="AO261" s="705">
        <f ca="1">SUMIF($AG$7:AM$7,"&lt;="&amp;$I$7,AG261:AL261)</f>
        <v>0</v>
      </c>
      <c r="AP261" s="878" t="str">
        <f t="shared" ref="AP261" ca="1" si="628">IFERROR((AO262/AO261),"-")</f>
        <v>-</v>
      </c>
      <c r="AQ261" s="2"/>
      <c r="AR261" s="705"/>
      <c r="AS261" s="705"/>
      <c r="AT261" s="705"/>
      <c r="AU261" s="705"/>
      <c r="AV261" s="705"/>
      <c r="AW261" s="705"/>
      <c r="AX261" s="705"/>
      <c r="AY261" s="2"/>
      <c r="AZ261" s="705">
        <f ca="1">SUMIF($AR$7:AX$7,"&lt;="&amp;$I$7,AR261:AW261)</f>
        <v>0</v>
      </c>
      <c r="BA261" s="878" t="str">
        <f t="shared" ref="BA261" ca="1" si="629">IFERROR((AZ262/AZ261),"-")</f>
        <v>-</v>
      </c>
      <c r="BB261" s="2"/>
      <c r="BC261" s="705"/>
      <c r="BD261" s="705"/>
      <c r="BE261" s="705"/>
      <c r="BF261" s="705"/>
      <c r="BG261" s="705"/>
      <c r="BH261" s="705"/>
      <c r="BI261" s="705"/>
      <c r="BJ261" s="2"/>
      <c r="BK261" s="705">
        <f ca="1">SUMIF($BC$7:BI$7,"&lt;="&amp;$I$7,BC261:BH261)</f>
        <v>0</v>
      </c>
      <c r="BL261" s="878" t="str">
        <f t="shared" ref="BL261" ca="1" si="630">IFERROR((BK262/BK261),"-")</f>
        <v>-</v>
      </c>
      <c r="BM261" s="2"/>
      <c r="BN261" s="921">
        <v>0</v>
      </c>
      <c r="BO261" s="884">
        <v>0</v>
      </c>
      <c r="BP261" s="884">
        <f>SUM(M262:P262,V262:AB262,AG262:AM262,AR262:AX262,BC262:BI262)</f>
        <v>0</v>
      </c>
      <c r="BQ261" s="878" t="str">
        <f>IF(AND(BO261=0,BP261=0),"-",IF(BO261=0,1,BP261/BO261))</f>
        <v>-</v>
      </c>
      <c r="BR261" s="2"/>
      <c r="BS261" s="884"/>
      <c r="BT261" s="884"/>
      <c r="BU261" s="884">
        <f ca="1">E261+S262+AD262+AO262+AZ262+BK262-K262-L262</f>
        <v>0</v>
      </c>
      <c r="BV261" s="884">
        <v>104</v>
      </c>
      <c r="BW261" s="1004">
        <f ca="1">IFERROR((BU261/BV261),"-")</f>
        <v>0</v>
      </c>
      <c r="BX261" s="884">
        <v>0</v>
      </c>
      <c r="BY261" s="878" t="str">
        <f ca="1">IFERROR((BU261/BX261),"-")</f>
        <v>-</v>
      </c>
      <c r="BZ261" s="2"/>
      <c r="CA261" s="884"/>
      <c r="CB261" s="884"/>
      <c r="CC261" s="2"/>
      <c r="CD261" s="504">
        <f>IFERROR(AVERAGEIF($V$7:AB$7,"&lt;="&amp;$I$7,V261:AB261),0)</f>
        <v>0</v>
      </c>
      <c r="CE261" s="2"/>
      <c r="CH261" s="93" t="str">
        <f t="shared" si="533"/>
        <v>Acesso - PN's 175 e 177 (STC - 06, 07 e 08)</v>
      </c>
    </row>
    <row r="262" spans="1:86" s="16" customFormat="1" ht="20.25" hidden="1" customHeight="1" outlineLevel="2">
      <c r="A262" s="74"/>
      <c r="B262" s="1042"/>
      <c r="C262" s="1023"/>
      <c r="D262" s="2"/>
      <c r="E262" s="1024"/>
      <c r="F262" s="2"/>
      <c r="G262" s="50" t="s">
        <v>38</v>
      </c>
      <c r="H262" s="705">
        <f t="shared" si="534"/>
        <v>0</v>
      </c>
      <c r="I262" s="879"/>
      <c r="J262" s="2"/>
      <c r="K262" s="76"/>
      <c r="L262" s="76"/>
      <c r="M262" s="76"/>
      <c r="N262" s="76"/>
      <c r="O262" s="76"/>
      <c r="P262" s="76"/>
      <c r="Q262" s="706"/>
      <c r="R262" s="2"/>
      <c r="S262" s="705">
        <f ca="1">SUMIF($K$7:Q$7,"&lt;="&amp;$I$7,K262:P262)</f>
        <v>0</v>
      </c>
      <c r="T262" s="879"/>
      <c r="U262" s="2"/>
      <c r="V262" s="76"/>
      <c r="W262" s="76"/>
      <c r="X262" s="76"/>
      <c r="Y262" s="76"/>
      <c r="Z262" s="76"/>
      <c r="AA262" s="76"/>
      <c r="AB262" s="706"/>
      <c r="AC262" s="2"/>
      <c r="AD262" s="705">
        <f ca="1">SUMIF($V$7:AB$7,"&lt;="&amp;$I$7,V262:AA262)</f>
        <v>0</v>
      </c>
      <c r="AE262" s="879"/>
      <c r="AF262" s="2"/>
      <c r="AG262" s="76"/>
      <c r="AH262" s="76"/>
      <c r="AI262" s="76"/>
      <c r="AJ262" s="76"/>
      <c r="AK262" s="76"/>
      <c r="AL262" s="76"/>
      <c r="AM262" s="706"/>
      <c r="AN262" s="2"/>
      <c r="AO262" s="705">
        <f ca="1">SUMIF($AG$7:AM$7,"&lt;="&amp;$I$7,AG262:AL262)</f>
        <v>0</v>
      </c>
      <c r="AP262" s="879"/>
      <c r="AQ262" s="2"/>
      <c r="AR262" s="76"/>
      <c r="AS262" s="76"/>
      <c r="AT262" s="76"/>
      <c r="AU262" s="76"/>
      <c r="AV262" s="76"/>
      <c r="AW262" s="76"/>
      <c r="AX262" s="706"/>
      <c r="AY262" s="2"/>
      <c r="AZ262" s="705">
        <f ca="1">SUMIF($AR$7:AX$7,"&lt;="&amp;$I$7,AR262:AW262)</f>
        <v>0</v>
      </c>
      <c r="BA262" s="879"/>
      <c r="BB262" s="2"/>
      <c r="BC262" s="76"/>
      <c r="BD262" s="76"/>
      <c r="BE262" s="76"/>
      <c r="BF262" s="76"/>
      <c r="BG262" s="76"/>
      <c r="BH262" s="76"/>
      <c r="BI262" s="706"/>
      <c r="BJ262" s="2"/>
      <c r="BK262" s="705">
        <f ca="1">SUMIF($BC$7:BI$7,"&lt;="&amp;$I$7,BC262:BH262)</f>
        <v>0</v>
      </c>
      <c r="BL262" s="879"/>
      <c r="BM262" s="2"/>
      <c r="BN262" s="922"/>
      <c r="BO262" s="885"/>
      <c r="BP262" s="885"/>
      <c r="BQ262" s="879"/>
      <c r="BR262" s="2"/>
      <c r="BS262" s="922"/>
      <c r="BT262" s="922"/>
      <c r="BU262" s="885"/>
      <c r="BV262" s="886"/>
      <c r="BW262" s="1051"/>
      <c r="BX262" s="922"/>
      <c r="BY262" s="1052"/>
      <c r="BZ262" s="2"/>
      <c r="CA262" s="922"/>
      <c r="CB262" s="922"/>
      <c r="CC262" s="2"/>
      <c r="CD262" s="504">
        <f>IFERROR(AVERAGEIF($V$7:AB$7,"&lt;="&amp;$I$7,V262:AB262),0)</f>
        <v>0</v>
      </c>
      <c r="CE262" s="2"/>
      <c r="CH262" s="93" t="str">
        <f t="shared" si="533"/>
        <v>Acesso - PN's 175 e 177 (STC - 06, 07 e 08)</v>
      </c>
    </row>
    <row r="263" spans="1:86" s="16" customFormat="1" ht="20.25" hidden="1" customHeight="1" outlineLevel="2">
      <c r="A263" s="74"/>
      <c r="B263" s="1041" t="s">
        <v>3973</v>
      </c>
      <c r="C263" s="1023" t="s">
        <v>52</v>
      </c>
      <c r="D263" s="2"/>
      <c r="E263" s="1004">
        <v>0</v>
      </c>
      <c r="F263" s="2"/>
      <c r="G263" s="49" t="s">
        <v>37</v>
      </c>
      <c r="H263" s="705">
        <f t="shared" si="534"/>
        <v>0</v>
      </c>
      <c r="I263" s="878" t="str">
        <f t="shared" ref="I263" si="631">IF(H263=0,IF(H264&gt;0,1,"-"),IFERROR(H264/H263,"-"))</f>
        <v>-</v>
      </c>
      <c r="J263" s="2"/>
      <c r="K263" s="705"/>
      <c r="L263" s="705"/>
      <c r="M263" s="705"/>
      <c r="N263" s="705"/>
      <c r="O263" s="705"/>
      <c r="P263" s="705">
        <v>200</v>
      </c>
      <c r="Q263" s="705"/>
      <c r="R263" s="2"/>
      <c r="S263" s="705">
        <f ca="1">SUMIF($K$7:Q$7,"&lt;="&amp;$I$7,K263:P263)</f>
        <v>200</v>
      </c>
      <c r="T263" s="878">
        <f t="shared" ref="T263" ca="1" si="632">IFERROR((S264/S263),"-")</f>
        <v>0.25</v>
      </c>
      <c r="U263" s="2"/>
      <c r="V263" s="705"/>
      <c r="W263" s="705"/>
      <c r="X263" s="705">
        <v>200</v>
      </c>
      <c r="Y263" s="705"/>
      <c r="Z263" s="705"/>
      <c r="AA263" s="705"/>
      <c r="AB263" s="705"/>
      <c r="AC263" s="2"/>
      <c r="AD263" s="705">
        <f ca="1">SUMIF($V$7:AB$7,"&lt;="&amp;$I$7,V263:AA263)</f>
        <v>200</v>
      </c>
      <c r="AE263" s="878">
        <f t="shared" ref="AE263" ca="1" si="633">IFERROR((AD264/AD263),"-")</f>
        <v>1.0049999999999999</v>
      </c>
      <c r="AF263" s="2"/>
      <c r="AG263" s="705"/>
      <c r="AH263" s="705"/>
      <c r="AI263" s="705"/>
      <c r="AJ263" s="705"/>
      <c r="AK263" s="705"/>
      <c r="AL263" s="705"/>
      <c r="AM263" s="705"/>
      <c r="AN263" s="2"/>
      <c r="AO263" s="705">
        <f ca="1">SUMIF($AG$7:AM$7,"&lt;="&amp;$I$7,AG263:AL263)</f>
        <v>0</v>
      </c>
      <c r="AP263" s="878" t="str">
        <f t="shared" ref="AP263" ca="1" si="634">IFERROR((AO264/AO263),"-")</f>
        <v>-</v>
      </c>
      <c r="AQ263" s="2"/>
      <c r="AR263" s="705"/>
      <c r="AS263" s="705"/>
      <c r="AT263" s="705"/>
      <c r="AU263" s="705"/>
      <c r="AV263" s="705"/>
      <c r="AW263" s="705"/>
      <c r="AX263" s="705"/>
      <c r="AY263" s="2"/>
      <c r="AZ263" s="705">
        <f ca="1">SUMIF($AR$7:AX$7,"&lt;="&amp;$I$7,AR263:AW263)</f>
        <v>0</v>
      </c>
      <c r="BA263" s="878" t="str">
        <f t="shared" ref="BA263" ca="1" si="635">IFERROR((AZ264/AZ263),"-")</f>
        <v>-</v>
      </c>
      <c r="BB263" s="2"/>
      <c r="BC263" s="705"/>
      <c r="BD263" s="705"/>
      <c r="BE263" s="705"/>
      <c r="BF263" s="705"/>
      <c r="BG263" s="705"/>
      <c r="BH263" s="705"/>
      <c r="BI263" s="705"/>
      <c r="BJ263" s="2"/>
      <c r="BK263" s="705">
        <f ca="1">SUMIF($BC$7:BI$7,"&lt;="&amp;$I$7,BC263:BH263)</f>
        <v>0</v>
      </c>
      <c r="BL263" s="878" t="str">
        <f t="shared" ref="BL263" ca="1" si="636">IFERROR((BK264/BK263),"-")</f>
        <v>-</v>
      </c>
      <c r="BM263" s="2"/>
      <c r="BN263" s="921">
        <v>0</v>
      </c>
      <c r="BO263" s="884">
        <v>0</v>
      </c>
      <c r="BP263" s="884">
        <f>SUM(M264:P264,V264:AB264,AG264:AM264,AR264:AX264,BC264:BI264)</f>
        <v>251</v>
      </c>
      <c r="BQ263" s="878">
        <f>IF(AND(BO263=0,BP263=0),"-",IF(BO263=0,1,BP263/BO263))</f>
        <v>1</v>
      </c>
      <c r="BR263" s="2"/>
      <c r="BS263" s="884"/>
      <c r="BT263" s="884"/>
      <c r="BU263" s="884">
        <f ca="1">E263+S264+AD264+AO264+AZ264+BK264-K264-L264</f>
        <v>251</v>
      </c>
      <c r="BV263" s="884">
        <v>104</v>
      </c>
      <c r="BW263" s="1004">
        <f ca="1">IFERROR((BU263/BV263),"-")</f>
        <v>2.4134615384615383</v>
      </c>
      <c r="BX263" s="884">
        <v>0</v>
      </c>
      <c r="BY263" s="878" t="str">
        <f ca="1">IFERROR((BU263/BX263),"-")</f>
        <v>-</v>
      </c>
      <c r="BZ263" s="2"/>
      <c r="CA263" s="884"/>
      <c r="CB263" s="884"/>
      <c r="CC263" s="2"/>
      <c r="CD263" s="504">
        <f>IFERROR(AVERAGEIF($V$7:AB$7,"&lt;="&amp;$I$7,V263:AB263),0)</f>
        <v>200</v>
      </c>
      <c r="CE263" s="2"/>
      <c r="CH263" s="93" t="str">
        <f t="shared" si="533"/>
        <v>Acesso - PN 173 (STA)</v>
      </c>
    </row>
    <row r="264" spans="1:86" s="16" customFormat="1" ht="20.25" hidden="1" customHeight="1" outlineLevel="2">
      <c r="A264" s="74"/>
      <c r="B264" s="1042"/>
      <c r="C264" s="1023"/>
      <c r="D264" s="2"/>
      <c r="E264" s="1024"/>
      <c r="F264" s="2"/>
      <c r="G264" s="50" t="s">
        <v>38</v>
      </c>
      <c r="H264" s="705">
        <f t="shared" si="534"/>
        <v>0</v>
      </c>
      <c r="I264" s="879"/>
      <c r="J264" s="2"/>
      <c r="K264" s="76"/>
      <c r="L264" s="76"/>
      <c r="M264" s="76"/>
      <c r="N264" s="76"/>
      <c r="O264" s="76"/>
      <c r="P264" s="76">
        <v>50</v>
      </c>
      <c r="Q264" s="706"/>
      <c r="R264" s="2"/>
      <c r="S264" s="705">
        <f ca="1">SUMIF($K$7:Q$7,"&lt;="&amp;$I$7,K264:P264)</f>
        <v>50</v>
      </c>
      <c r="T264" s="879"/>
      <c r="U264" s="2"/>
      <c r="V264" s="76"/>
      <c r="W264" s="76"/>
      <c r="X264" s="76"/>
      <c r="Y264" s="76"/>
      <c r="Z264" s="76">
        <v>111</v>
      </c>
      <c r="AA264" s="76">
        <v>90</v>
      </c>
      <c r="AB264" s="706"/>
      <c r="AC264" s="2"/>
      <c r="AD264" s="705">
        <f ca="1">SUMIF($V$7:AB$7,"&lt;="&amp;$I$7,V264:AA264)</f>
        <v>201</v>
      </c>
      <c r="AE264" s="879"/>
      <c r="AF264" s="2"/>
      <c r="AG264" s="76"/>
      <c r="AH264" s="76"/>
      <c r="AI264" s="76"/>
      <c r="AJ264" s="76"/>
      <c r="AK264" s="76"/>
      <c r="AL264" s="76"/>
      <c r="AM264" s="706"/>
      <c r="AN264" s="2"/>
      <c r="AO264" s="705">
        <f ca="1">SUMIF($AG$7:AM$7,"&lt;="&amp;$I$7,AG264:AL264)</f>
        <v>0</v>
      </c>
      <c r="AP264" s="879"/>
      <c r="AQ264" s="2"/>
      <c r="AR264" s="76"/>
      <c r="AS264" s="76"/>
      <c r="AT264" s="76"/>
      <c r="AU264" s="76"/>
      <c r="AV264" s="76"/>
      <c r="AW264" s="76"/>
      <c r="AX264" s="706"/>
      <c r="AY264" s="2"/>
      <c r="AZ264" s="705">
        <f ca="1">SUMIF($AR$7:AX$7,"&lt;="&amp;$I$7,AR264:AW264)</f>
        <v>0</v>
      </c>
      <c r="BA264" s="879"/>
      <c r="BB264" s="2"/>
      <c r="BC264" s="76"/>
      <c r="BD264" s="76"/>
      <c r="BE264" s="76"/>
      <c r="BF264" s="76"/>
      <c r="BG264" s="76"/>
      <c r="BH264" s="76"/>
      <c r="BI264" s="706"/>
      <c r="BJ264" s="2"/>
      <c r="BK264" s="705">
        <f ca="1">SUMIF($BC$7:BI$7,"&lt;="&amp;$I$7,BC264:BH264)</f>
        <v>0</v>
      </c>
      <c r="BL264" s="879"/>
      <c r="BM264" s="2"/>
      <c r="BN264" s="922"/>
      <c r="BO264" s="885"/>
      <c r="BP264" s="885"/>
      <c r="BQ264" s="879"/>
      <c r="BR264" s="2"/>
      <c r="BS264" s="922"/>
      <c r="BT264" s="922"/>
      <c r="BU264" s="885"/>
      <c r="BV264" s="886"/>
      <c r="BW264" s="1051"/>
      <c r="BX264" s="922"/>
      <c r="BY264" s="1052"/>
      <c r="BZ264" s="2"/>
      <c r="CA264" s="922"/>
      <c r="CB264" s="922"/>
      <c r="CC264" s="2"/>
      <c r="CD264" s="504">
        <f>IFERROR(AVERAGEIF($V$7:AB$7,"&lt;="&amp;$I$7,V264:AB264),0)</f>
        <v>100.5</v>
      </c>
      <c r="CE264" s="2"/>
      <c r="CH264" s="93" t="str">
        <f t="shared" si="533"/>
        <v>Acesso - PN 173 (STA)</v>
      </c>
    </row>
    <row r="265" spans="1:86" s="16" customFormat="1" ht="20.45" hidden="1" customHeight="1" outlineLevel="2">
      <c r="A265" s="74"/>
      <c r="B265" s="1041" t="s">
        <v>3974</v>
      </c>
      <c r="C265" s="1023" t="s">
        <v>52</v>
      </c>
      <c r="D265" s="2"/>
      <c r="E265" s="1004">
        <v>0</v>
      </c>
      <c r="F265" s="2"/>
      <c r="G265" s="49" t="s">
        <v>37</v>
      </c>
      <c r="H265" s="705">
        <f t="shared" si="534"/>
        <v>0</v>
      </c>
      <c r="I265" s="878" t="str">
        <f t="shared" ref="I265" si="637">IF(H265=0,IF(H266&gt;0,1,"-"),IFERROR(H266/H265,"-"))</f>
        <v>-</v>
      </c>
      <c r="J265" s="2"/>
      <c r="K265" s="705"/>
      <c r="L265" s="705"/>
      <c r="M265" s="705"/>
      <c r="N265" s="705"/>
      <c r="O265" s="705"/>
      <c r="P265" s="705"/>
      <c r="Q265" s="705"/>
      <c r="R265" s="2"/>
      <c r="S265" s="705">
        <f ca="1">SUMIF($K$7:Q$7,"&lt;="&amp;$I$7,K265:P265)</f>
        <v>0</v>
      </c>
      <c r="T265" s="878" t="str">
        <f t="shared" ref="T265" ca="1" si="638">IFERROR((S266/S265),"-")</f>
        <v>-</v>
      </c>
      <c r="U265" s="2"/>
      <c r="V265" s="705"/>
      <c r="W265" s="705"/>
      <c r="X265" s="705"/>
      <c r="Y265" s="705">
        <v>250</v>
      </c>
      <c r="Z265" s="705"/>
      <c r="AA265" s="705"/>
      <c r="AB265" s="705"/>
      <c r="AC265" s="2"/>
      <c r="AD265" s="705">
        <f ca="1">SUMIF($V$7:AB$7,"&lt;="&amp;$I$7,V265:AA265)</f>
        <v>250</v>
      </c>
      <c r="AE265" s="878">
        <f t="shared" ref="AE265" ca="1" si="639">IFERROR((AD266/AD265),"-")</f>
        <v>0.67200000000000004</v>
      </c>
      <c r="AF265" s="2"/>
      <c r="AG265" s="705"/>
      <c r="AH265" s="705"/>
      <c r="AI265" s="705"/>
      <c r="AJ265" s="705"/>
      <c r="AK265" s="705"/>
      <c r="AL265" s="705"/>
      <c r="AM265" s="705"/>
      <c r="AN265" s="2"/>
      <c r="AO265" s="705">
        <f ca="1">SUMIF($AG$7:AM$7,"&lt;="&amp;$I$7,AG265:AL265)</f>
        <v>0</v>
      </c>
      <c r="AP265" s="878" t="str">
        <f t="shared" ref="AP265" ca="1" si="640">IFERROR((AO266/AO265),"-")</f>
        <v>-</v>
      </c>
      <c r="AQ265" s="2"/>
      <c r="AR265" s="705"/>
      <c r="AS265" s="705"/>
      <c r="AT265" s="705"/>
      <c r="AU265" s="705"/>
      <c r="AV265" s="705"/>
      <c r="AW265" s="705"/>
      <c r="AX265" s="705"/>
      <c r="AY265" s="2"/>
      <c r="AZ265" s="705">
        <f ca="1">SUMIF($AR$7:AX$7,"&lt;="&amp;$I$7,AR265:AW265)</f>
        <v>0</v>
      </c>
      <c r="BA265" s="878" t="str">
        <f t="shared" ref="BA265" ca="1" si="641">IFERROR((AZ266/AZ265),"-")</f>
        <v>-</v>
      </c>
      <c r="BB265" s="2"/>
      <c r="BC265" s="705"/>
      <c r="BD265" s="705"/>
      <c r="BE265" s="705"/>
      <c r="BF265" s="705"/>
      <c r="BG265" s="705"/>
      <c r="BH265" s="705"/>
      <c r="BI265" s="705"/>
      <c r="BJ265" s="2"/>
      <c r="BK265" s="705">
        <f ca="1">SUMIF($BC$7:BI$7,"&lt;="&amp;$I$7,BC265:BH265)</f>
        <v>0</v>
      </c>
      <c r="BL265" s="878" t="str">
        <f t="shared" ref="BL265" ca="1" si="642">IFERROR((BK266/BK265),"-")</f>
        <v>-</v>
      </c>
      <c r="BM265" s="2"/>
      <c r="BN265" s="921">
        <v>0</v>
      </c>
      <c r="BO265" s="884">
        <v>0</v>
      </c>
      <c r="BP265" s="884">
        <f>SUM(M266:P266,V266:AB266,AG266:AM266,AR266:AX266,BC266:BI266)</f>
        <v>168</v>
      </c>
      <c r="BQ265" s="878">
        <f>IF(AND(BO265=0,BP265=0),"-",IF(BO265=0,1,BP265/BO265))</f>
        <v>1</v>
      </c>
      <c r="BR265" s="2"/>
      <c r="BS265" s="884"/>
      <c r="BT265" s="884"/>
      <c r="BU265" s="884">
        <f ca="1">E265+S266+AD266+AO266+AZ266+BK266-K266-L266</f>
        <v>168</v>
      </c>
      <c r="BV265" s="884">
        <v>104</v>
      </c>
      <c r="BW265" s="1004">
        <f ca="1">IFERROR((BU265/BV265),"-")</f>
        <v>1.6153846153846154</v>
      </c>
      <c r="BX265" s="884">
        <v>0</v>
      </c>
      <c r="BY265" s="878" t="str">
        <f ca="1">IFERROR((BU265/BX265),"-")</f>
        <v>-</v>
      </c>
      <c r="BZ265" s="2"/>
      <c r="CA265" s="884"/>
      <c r="CB265" s="884"/>
      <c r="CC265" s="2"/>
      <c r="CD265" s="504">
        <f>IFERROR(AVERAGEIF($V$7:AB$7,"&lt;="&amp;$I$7,V265:AB265),0)</f>
        <v>250</v>
      </c>
      <c r="CE265" s="2"/>
      <c r="CH265" s="93" t="str">
        <f t="shared" si="533"/>
        <v>Acesso - PN 181+422 (STA 01)</v>
      </c>
    </row>
    <row r="266" spans="1:86" s="16" customFormat="1" ht="20.45" hidden="1" customHeight="1" outlineLevel="2">
      <c r="A266" s="74"/>
      <c r="B266" s="1042"/>
      <c r="C266" s="1023"/>
      <c r="D266" s="2"/>
      <c r="E266" s="1024"/>
      <c r="F266" s="2"/>
      <c r="G266" s="50" t="s">
        <v>38</v>
      </c>
      <c r="H266" s="705">
        <f t="shared" si="534"/>
        <v>0</v>
      </c>
      <c r="I266" s="879"/>
      <c r="J266" s="2"/>
      <c r="K266" s="76"/>
      <c r="L266" s="76"/>
      <c r="M266" s="76"/>
      <c r="N266" s="76"/>
      <c r="O266" s="76"/>
      <c r="P266" s="76"/>
      <c r="Q266" s="706"/>
      <c r="R266" s="2"/>
      <c r="S266" s="705">
        <f ca="1">SUMIF($K$7:Q$7,"&lt;="&amp;$I$7,K266:P266)</f>
        <v>0</v>
      </c>
      <c r="T266" s="879"/>
      <c r="U266" s="2"/>
      <c r="V266" s="76"/>
      <c r="W266" s="76">
        <v>51</v>
      </c>
      <c r="X266" s="76">
        <v>117</v>
      </c>
      <c r="Y266" s="76"/>
      <c r="Z266" s="76"/>
      <c r="AA266" s="76"/>
      <c r="AB266" s="706"/>
      <c r="AC266" s="2"/>
      <c r="AD266" s="705">
        <f ca="1">SUMIF($V$7:AB$7,"&lt;="&amp;$I$7,V266:AA266)</f>
        <v>168</v>
      </c>
      <c r="AE266" s="879"/>
      <c r="AF266" s="2"/>
      <c r="AG266" s="76"/>
      <c r="AH266" s="76"/>
      <c r="AI266" s="76"/>
      <c r="AJ266" s="76"/>
      <c r="AK266" s="76"/>
      <c r="AL266" s="76"/>
      <c r="AM266" s="706"/>
      <c r="AN266" s="2"/>
      <c r="AO266" s="705">
        <f ca="1">SUMIF($AG$7:AM$7,"&lt;="&amp;$I$7,AG266:AL266)</f>
        <v>0</v>
      </c>
      <c r="AP266" s="879"/>
      <c r="AQ266" s="2"/>
      <c r="AR266" s="76"/>
      <c r="AS266" s="76"/>
      <c r="AT266" s="76"/>
      <c r="AU266" s="76"/>
      <c r="AV266" s="76"/>
      <c r="AW266" s="76"/>
      <c r="AX266" s="706"/>
      <c r="AY266" s="2"/>
      <c r="AZ266" s="705">
        <f ca="1">SUMIF($AR$7:AX$7,"&lt;="&amp;$I$7,AR266:AW266)</f>
        <v>0</v>
      </c>
      <c r="BA266" s="879"/>
      <c r="BB266" s="2"/>
      <c r="BC266" s="76"/>
      <c r="BD266" s="76"/>
      <c r="BE266" s="76"/>
      <c r="BF266" s="76"/>
      <c r="BG266" s="76"/>
      <c r="BH266" s="76"/>
      <c r="BI266" s="706"/>
      <c r="BJ266" s="2"/>
      <c r="BK266" s="705">
        <f ca="1">SUMIF($BC$7:BI$7,"&lt;="&amp;$I$7,BC266:BH266)</f>
        <v>0</v>
      </c>
      <c r="BL266" s="879"/>
      <c r="BM266" s="2"/>
      <c r="BN266" s="922"/>
      <c r="BO266" s="885"/>
      <c r="BP266" s="885"/>
      <c r="BQ266" s="879"/>
      <c r="BR266" s="2"/>
      <c r="BS266" s="922"/>
      <c r="BT266" s="922"/>
      <c r="BU266" s="885"/>
      <c r="BV266" s="886"/>
      <c r="BW266" s="1051"/>
      <c r="BX266" s="922"/>
      <c r="BY266" s="1052"/>
      <c r="BZ266" s="2"/>
      <c r="CA266" s="922"/>
      <c r="CB266" s="922"/>
      <c r="CC266" s="2"/>
      <c r="CD266" s="504">
        <f>IFERROR(AVERAGEIF($V$7:AB$7,"&lt;="&amp;$I$7,V266:AB266),0)</f>
        <v>84</v>
      </c>
      <c r="CE266" s="2"/>
      <c r="CH266" s="93" t="str">
        <f t="shared" si="533"/>
        <v>Acesso - PN 181+422 (STA 01)</v>
      </c>
    </row>
    <row r="267" spans="1:86" ht="15.95" hidden="1" customHeight="1" outlineLevel="2">
      <c r="A267" s="74"/>
      <c r="B267" s="1041" t="s">
        <v>3975</v>
      </c>
      <c r="C267" s="1023" t="s">
        <v>52</v>
      </c>
      <c r="D267" s="2"/>
      <c r="E267" s="1004">
        <v>0</v>
      </c>
      <c r="F267" s="2"/>
      <c r="G267" s="49" t="s">
        <v>37</v>
      </c>
      <c r="H267" s="705">
        <f t="shared" si="534"/>
        <v>0</v>
      </c>
      <c r="I267" s="878" t="str">
        <f t="shared" ref="I267" si="643">IF(H267=0,IF(H268&gt;0,1,"-"),IFERROR(H268/H267,"-"))</f>
        <v>-</v>
      </c>
      <c r="J267" s="2"/>
      <c r="K267" s="705"/>
      <c r="L267" s="705"/>
      <c r="M267" s="705"/>
      <c r="N267" s="705"/>
      <c r="O267" s="705"/>
      <c r="P267" s="705"/>
      <c r="Q267" s="705"/>
      <c r="R267" s="2"/>
      <c r="S267" s="705">
        <f ca="1">SUMIF($K$7:Q$7,"&lt;="&amp;$I$7,K267:P267)</f>
        <v>0</v>
      </c>
      <c r="T267" s="878" t="str">
        <f t="shared" ref="T267" ca="1" si="644">IFERROR((S268/S267),"-")</f>
        <v>-</v>
      </c>
      <c r="U267" s="2"/>
      <c r="V267" s="705"/>
      <c r="W267" s="705"/>
      <c r="X267" s="705"/>
      <c r="Y267" s="705"/>
      <c r="Z267" s="705">
        <v>250</v>
      </c>
      <c r="AA267" s="705"/>
      <c r="AB267" s="705"/>
      <c r="AC267" s="2"/>
      <c r="AD267" s="705">
        <f ca="1">SUMIF($V$7:AB$7,"&lt;="&amp;$I$7,V267:AA267)</f>
        <v>250</v>
      </c>
      <c r="AE267" s="878">
        <f t="shared" ref="AE267" ca="1" si="645">IFERROR((AD268/AD267),"-")</f>
        <v>0</v>
      </c>
      <c r="AF267" s="2"/>
      <c r="AG267" s="705"/>
      <c r="AH267" s="705"/>
      <c r="AI267" s="705"/>
      <c r="AJ267" s="705"/>
      <c r="AK267" s="705"/>
      <c r="AL267" s="705"/>
      <c r="AM267" s="705"/>
      <c r="AN267" s="2"/>
      <c r="AO267" s="705">
        <f ca="1">SUMIF($AG$7:AM$7,"&lt;="&amp;$I$7,AG267:AL267)</f>
        <v>0</v>
      </c>
      <c r="AP267" s="878" t="str">
        <f t="shared" ref="AP267" ca="1" si="646">IFERROR((AO268/AO267),"-")</f>
        <v>-</v>
      </c>
      <c r="AQ267" s="2"/>
      <c r="AR267" s="705"/>
      <c r="AS267" s="705"/>
      <c r="AT267" s="705"/>
      <c r="AU267" s="705"/>
      <c r="AV267" s="705"/>
      <c r="AW267" s="705"/>
      <c r="AX267" s="705"/>
      <c r="AY267" s="2"/>
      <c r="AZ267" s="705">
        <f ca="1">SUMIF($AR$7:AX$7,"&lt;="&amp;$I$7,AR267:AW267)</f>
        <v>0</v>
      </c>
      <c r="BA267" s="878" t="str">
        <f t="shared" ref="BA267" ca="1" si="647">IFERROR((AZ268/AZ267),"-")</f>
        <v>-</v>
      </c>
      <c r="BB267" s="2"/>
      <c r="BC267" s="705"/>
      <c r="BD267" s="705"/>
      <c r="BE267" s="705"/>
      <c r="BF267" s="705"/>
      <c r="BG267" s="705"/>
      <c r="BH267" s="705"/>
      <c r="BI267" s="705"/>
      <c r="BJ267" s="2"/>
      <c r="BK267" s="705">
        <f ca="1">SUMIF($BC$7:BI$7,"&lt;="&amp;$I$7,BC267:BH267)</f>
        <v>0</v>
      </c>
      <c r="BL267" s="878" t="str">
        <f t="shared" ref="BL267" ca="1" si="648">IFERROR((BK268/BK267),"-")</f>
        <v>-</v>
      </c>
      <c r="BM267" s="2"/>
      <c r="BN267" s="921">
        <v>0</v>
      </c>
      <c r="BO267" s="884">
        <v>0</v>
      </c>
      <c r="BP267" s="884">
        <f>SUM(M268:P268,V268:AB268,AG268:AM268,AR268:AX268,BC268:BI268)</f>
        <v>0</v>
      </c>
      <c r="BQ267" s="878" t="str">
        <f>IF(AND(BO267=0,BP267=0),"-",IF(BO267=0,1,BP267/BO267))</f>
        <v>-</v>
      </c>
      <c r="BR267" s="2"/>
      <c r="BS267" s="884"/>
      <c r="BT267" s="884"/>
      <c r="BU267" s="884">
        <f ca="1">E267+S268+AD268+AO268+AZ268+BK268-K268-L268</f>
        <v>0</v>
      </c>
      <c r="BV267" s="884">
        <v>104</v>
      </c>
      <c r="BW267" s="1004">
        <f ca="1">IFERROR((BU267/BV267),"-")</f>
        <v>0</v>
      </c>
      <c r="BX267" s="884">
        <v>0</v>
      </c>
      <c r="BY267" s="878" t="str">
        <f ca="1">IFERROR((BU267/BX267),"-")</f>
        <v>-</v>
      </c>
      <c r="BZ267" s="2"/>
      <c r="CA267" s="884"/>
      <c r="CB267" s="884"/>
      <c r="CC267" s="2"/>
      <c r="CD267" s="504">
        <f>IFERROR(AVERAGEIF($V$7:AB$7,"&lt;="&amp;$I$7,V267:AB267),0)</f>
        <v>250</v>
      </c>
      <c r="CE267" s="2"/>
      <c r="CH267" s="93" t="str">
        <f t="shared" si="533"/>
        <v>Acesso - PN 184+390 (STA 01)</v>
      </c>
    </row>
    <row r="268" spans="1:86" s="21" customFormat="1" ht="18.600000000000001" hidden="1" customHeight="1" outlineLevel="2">
      <c r="A268" s="74"/>
      <c r="B268" s="1042"/>
      <c r="C268" s="1023"/>
      <c r="D268" s="2"/>
      <c r="E268" s="1024"/>
      <c r="F268" s="2"/>
      <c r="G268" s="50" t="s">
        <v>38</v>
      </c>
      <c r="H268" s="705">
        <f t="shared" si="534"/>
        <v>0</v>
      </c>
      <c r="I268" s="879"/>
      <c r="J268" s="2"/>
      <c r="K268" s="76"/>
      <c r="L268" s="76"/>
      <c r="M268" s="76"/>
      <c r="N268" s="76"/>
      <c r="O268" s="76"/>
      <c r="P268" s="76"/>
      <c r="Q268" s="706"/>
      <c r="R268" s="2"/>
      <c r="S268" s="705">
        <f ca="1">SUMIF($K$7:Q$7,"&lt;="&amp;$I$7,K268:P268)</f>
        <v>0</v>
      </c>
      <c r="T268" s="879"/>
      <c r="U268" s="2"/>
      <c r="V268" s="76"/>
      <c r="W268" s="76"/>
      <c r="X268" s="76"/>
      <c r="Y268" s="76"/>
      <c r="Z268" s="76"/>
      <c r="AA268" s="76"/>
      <c r="AB268" s="706"/>
      <c r="AC268" s="2"/>
      <c r="AD268" s="705">
        <f ca="1">SUMIF($V$7:AB$7,"&lt;="&amp;$I$7,V268:AA268)</f>
        <v>0</v>
      </c>
      <c r="AE268" s="879"/>
      <c r="AF268" s="2"/>
      <c r="AG268" s="76"/>
      <c r="AH268" s="76"/>
      <c r="AI268" s="76"/>
      <c r="AJ268" s="76"/>
      <c r="AK268" s="76"/>
      <c r="AL268" s="76"/>
      <c r="AM268" s="706"/>
      <c r="AN268" s="2"/>
      <c r="AO268" s="705">
        <f ca="1">SUMIF($AG$7:AM$7,"&lt;="&amp;$I$7,AG268:AL268)</f>
        <v>0</v>
      </c>
      <c r="AP268" s="879"/>
      <c r="AQ268" s="2"/>
      <c r="AR268" s="76"/>
      <c r="AS268" s="76"/>
      <c r="AT268" s="76"/>
      <c r="AU268" s="76"/>
      <c r="AV268" s="76"/>
      <c r="AW268" s="76"/>
      <c r="AX268" s="706"/>
      <c r="AY268" s="2"/>
      <c r="AZ268" s="705">
        <f ca="1">SUMIF($AR$7:AX$7,"&lt;="&amp;$I$7,AR268:AW268)</f>
        <v>0</v>
      </c>
      <c r="BA268" s="879"/>
      <c r="BB268" s="2"/>
      <c r="BC268" s="76"/>
      <c r="BD268" s="76"/>
      <c r="BE268" s="76"/>
      <c r="BF268" s="76"/>
      <c r="BG268" s="76"/>
      <c r="BH268" s="76"/>
      <c r="BI268" s="706"/>
      <c r="BJ268" s="2"/>
      <c r="BK268" s="705">
        <f ca="1">SUMIF($BC$7:BI$7,"&lt;="&amp;$I$7,BC268:BH268)</f>
        <v>0</v>
      </c>
      <c r="BL268" s="879"/>
      <c r="BM268" s="2"/>
      <c r="BN268" s="922"/>
      <c r="BO268" s="885"/>
      <c r="BP268" s="885"/>
      <c r="BQ268" s="879"/>
      <c r="BR268" s="2"/>
      <c r="BS268" s="922"/>
      <c r="BT268" s="922"/>
      <c r="BU268" s="885"/>
      <c r="BV268" s="886"/>
      <c r="BW268" s="1051"/>
      <c r="BX268" s="922"/>
      <c r="BY268" s="1052"/>
      <c r="BZ268" s="2"/>
      <c r="CA268" s="922"/>
      <c r="CB268" s="922"/>
      <c r="CC268" s="2"/>
      <c r="CD268" s="504">
        <f>IFERROR(AVERAGEIF($V$7:AB$7,"&lt;="&amp;$I$7,V268:AB268),0)</f>
        <v>0</v>
      </c>
      <c r="CE268" s="2"/>
      <c r="CH268" s="93" t="str">
        <f t="shared" si="533"/>
        <v>Acesso - PN 184+390 (STA 01)</v>
      </c>
    </row>
    <row r="269" spans="1:86" s="16" customFormat="1" ht="15.95" hidden="1" customHeight="1" outlineLevel="2">
      <c r="A269" s="74"/>
      <c r="B269" s="1041" t="s">
        <v>3976</v>
      </c>
      <c r="C269" s="1023" t="s">
        <v>52</v>
      </c>
      <c r="D269" s="2"/>
      <c r="E269" s="1004">
        <v>40</v>
      </c>
      <c r="F269" s="2"/>
      <c r="G269" s="49" t="s">
        <v>37</v>
      </c>
      <c r="H269" s="705">
        <f t="shared" si="534"/>
        <v>0</v>
      </c>
      <c r="I269" s="878" t="str">
        <f t="shared" ref="I269" si="649">IF(H269=0,IF(H270&gt;0,1,"-"),IFERROR(H270/H269,"-"))</f>
        <v>-</v>
      </c>
      <c r="J269" s="2"/>
      <c r="K269" s="705"/>
      <c r="L269" s="705"/>
      <c r="M269" s="705"/>
      <c r="N269" s="705"/>
      <c r="O269" s="705"/>
      <c r="P269" s="705"/>
      <c r="Q269" s="705"/>
      <c r="R269" s="2"/>
      <c r="S269" s="705">
        <f ca="1">SUMIF($K$7:Q$7,"&lt;="&amp;$I$7,K269:P269)</f>
        <v>0</v>
      </c>
      <c r="T269" s="878" t="str">
        <f t="shared" ref="T269" ca="1" si="650">IFERROR((S270/S269),"-")</f>
        <v>-</v>
      </c>
      <c r="U269" s="2"/>
      <c r="V269" s="705"/>
      <c r="W269" s="705"/>
      <c r="X269" s="705"/>
      <c r="Y269" s="705"/>
      <c r="Z269" s="705"/>
      <c r="AA269" s="705"/>
      <c r="AB269" s="705"/>
      <c r="AC269" s="2"/>
      <c r="AD269" s="705">
        <f ca="1">SUMIF($V$7:AB$7,"&lt;="&amp;$I$7,V269:AA269)</f>
        <v>0</v>
      </c>
      <c r="AE269" s="878" t="str">
        <f t="shared" ref="AE269" ca="1" si="651">IFERROR((AD270/AD269),"-")</f>
        <v>-</v>
      </c>
      <c r="AF269" s="2"/>
      <c r="AG269" s="705"/>
      <c r="AH269" s="705"/>
      <c r="AI269" s="705"/>
      <c r="AJ269" s="705"/>
      <c r="AK269" s="705"/>
      <c r="AL269" s="705"/>
      <c r="AM269" s="705"/>
      <c r="AN269" s="2"/>
      <c r="AO269" s="705">
        <f ca="1">SUMIF($AG$7:AM$7,"&lt;="&amp;$I$7,AG269:AL269)</f>
        <v>0</v>
      </c>
      <c r="AP269" s="878" t="str">
        <f t="shared" ref="AP269" ca="1" si="652">IFERROR((AO270/AO269),"-")</f>
        <v>-</v>
      </c>
      <c r="AQ269" s="2"/>
      <c r="AR269" s="705"/>
      <c r="AS269" s="705"/>
      <c r="AT269" s="705"/>
      <c r="AU269" s="705"/>
      <c r="AV269" s="705"/>
      <c r="AW269" s="705"/>
      <c r="AX269" s="705"/>
      <c r="AY269" s="2"/>
      <c r="AZ269" s="705">
        <f ca="1">SUMIF($AR$7:AX$7,"&lt;="&amp;$I$7,AR269:AW269)</f>
        <v>0</v>
      </c>
      <c r="BA269" s="878" t="str">
        <f t="shared" ref="BA269" ca="1" si="653">IFERROR((AZ270/AZ269),"-")</f>
        <v>-</v>
      </c>
      <c r="BB269" s="2"/>
      <c r="BC269" s="705"/>
      <c r="BD269" s="705"/>
      <c r="BE269" s="705"/>
      <c r="BF269" s="705"/>
      <c r="BG269" s="705"/>
      <c r="BH269" s="705"/>
      <c r="BI269" s="705"/>
      <c r="BJ269" s="2"/>
      <c r="BK269" s="705">
        <f ca="1">SUMIF($BC$7:BI$7,"&lt;="&amp;$I$7,BC269:BH269)</f>
        <v>0</v>
      </c>
      <c r="BL269" s="878" t="str">
        <f t="shared" ref="BL269" ca="1" si="654">IFERROR((BK270/BK269),"-")</f>
        <v>-</v>
      </c>
      <c r="BM269" s="2"/>
      <c r="BN269" s="921">
        <v>0</v>
      </c>
      <c r="BO269" s="884">
        <v>0</v>
      </c>
      <c r="BP269" s="884">
        <f>SUM(M270:P270,V270:AB270,AG270:AM270,AR270:AX270,BC270:BI270)</f>
        <v>0</v>
      </c>
      <c r="BQ269" s="878" t="str">
        <f>IF(AND(BO269=0,BP269=0),"-",IF(BO269=0,1,BP269/BO269))</f>
        <v>-</v>
      </c>
      <c r="BR269" s="2"/>
      <c r="BS269" s="884"/>
      <c r="BT269" s="884"/>
      <c r="BU269" s="884">
        <f ca="1">E269+S270+AD270+AO270+AZ270+BK270-K270-L270</f>
        <v>40</v>
      </c>
      <c r="BV269" s="884">
        <v>104</v>
      </c>
      <c r="BW269" s="1004">
        <f ca="1">IFERROR((BU269/BV269),"-")</f>
        <v>0.38461538461538464</v>
      </c>
      <c r="BX269" s="884">
        <v>0</v>
      </c>
      <c r="BY269" s="878" t="str">
        <f ca="1">IFERROR((BU269/BX269),"-")</f>
        <v>-</v>
      </c>
      <c r="BZ269" s="2"/>
      <c r="CA269" s="884"/>
      <c r="CB269" s="884"/>
      <c r="CC269" s="2"/>
      <c r="CD269" s="504">
        <f>IFERROR(AVERAGEIF($V$7:AB$7,"&lt;="&amp;$I$7,V269:AB269),0)</f>
        <v>0</v>
      </c>
      <c r="CE269" s="2"/>
      <c r="CH269" s="93" t="str">
        <f t="shared" si="533"/>
        <v>Acesso - KM 177+600</v>
      </c>
    </row>
    <row r="270" spans="1:86" ht="20.25" hidden="1" customHeight="1" outlineLevel="2">
      <c r="A270" s="74"/>
      <c r="B270" s="1042"/>
      <c r="C270" s="1023"/>
      <c r="D270" s="2"/>
      <c r="E270" s="1024"/>
      <c r="F270" s="2"/>
      <c r="G270" s="50" t="s">
        <v>38</v>
      </c>
      <c r="H270" s="705">
        <f t="shared" si="534"/>
        <v>0</v>
      </c>
      <c r="I270" s="879"/>
      <c r="J270" s="2"/>
      <c r="K270" s="76">
        <v>40</v>
      </c>
      <c r="L270" s="76"/>
      <c r="M270" s="76"/>
      <c r="N270" s="76"/>
      <c r="O270" s="76"/>
      <c r="P270" s="76"/>
      <c r="Q270" s="706"/>
      <c r="R270" s="2"/>
      <c r="S270" s="705">
        <f ca="1">SUMIF($K$7:Q$7,"&lt;="&amp;$I$7,K270:P270)</f>
        <v>40</v>
      </c>
      <c r="T270" s="879"/>
      <c r="U270" s="2"/>
      <c r="V270" s="76"/>
      <c r="W270" s="76"/>
      <c r="X270" s="76"/>
      <c r="Y270" s="76"/>
      <c r="Z270" s="76"/>
      <c r="AA270" s="76"/>
      <c r="AB270" s="706"/>
      <c r="AC270" s="2"/>
      <c r="AD270" s="705">
        <f ca="1">SUMIF($V$7:AB$7,"&lt;="&amp;$I$7,V270:AA270)</f>
        <v>0</v>
      </c>
      <c r="AE270" s="879"/>
      <c r="AF270" s="2"/>
      <c r="AG270" s="76"/>
      <c r="AH270" s="76"/>
      <c r="AI270" s="76"/>
      <c r="AJ270" s="76"/>
      <c r="AK270" s="76"/>
      <c r="AL270" s="76"/>
      <c r="AM270" s="706"/>
      <c r="AN270" s="2"/>
      <c r="AO270" s="705">
        <f ca="1">SUMIF($AG$7:AM$7,"&lt;="&amp;$I$7,AG270:AL270)</f>
        <v>0</v>
      </c>
      <c r="AP270" s="879"/>
      <c r="AQ270" s="2"/>
      <c r="AR270" s="76"/>
      <c r="AS270" s="76"/>
      <c r="AT270" s="76"/>
      <c r="AU270" s="76"/>
      <c r="AV270" s="76"/>
      <c r="AW270" s="76"/>
      <c r="AX270" s="706"/>
      <c r="AY270" s="2"/>
      <c r="AZ270" s="705">
        <f ca="1">SUMIF($AR$7:AX$7,"&lt;="&amp;$I$7,AR270:AW270)</f>
        <v>0</v>
      </c>
      <c r="BA270" s="879"/>
      <c r="BB270" s="2"/>
      <c r="BC270" s="76"/>
      <c r="BD270" s="76"/>
      <c r="BE270" s="76"/>
      <c r="BF270" s="76"/>
      <c r="BG270" s="76"/>
      <c r="BH270" s="76"/>
      <c r="BI270" s="706"/>
      <c r="BJ270" s="2"/>
      <c r="BK270" s="705">
        <f ca="1">SUMIF($BC$7:BI$7,"&lt;="&amp;$I$7,BC270:BH270)</f>
        <v>0</v>
      </c>
      <c r="BL270" s="879"/>
      <c r="BM270" s="2"/>
      <c r="BN270" s="922"/>
      <c r="BO270" s="885"/>
      <c r="BP270" s="885"/>
      <c r="BQ270" s="879"/>
      <c r="BR270" s="2"/>
      <c r="BS270" s="922"/>
      <c r="BT270" s="922"/>
      <c r="BU270" s="885"/>
      <c r="BV270" s="886"/>
      <c r="BW270" s="1051"/>
      <c r="BX270" s="922"/>
      <c r="BY270" s="1052"/>
      <c r="BZ270" s="2"/>
      <c r="CA270" s="922"/>
      <c r="CB270" s="922"/>
      <c r="CC270" s="2"/>
      <c r="CD270" s="504">
        <f>IFERROR(AVERAGEIF($V$7:AB$7,"&lt;="&amp;$I$7,V270:AB270),0)</f>
        <v>0</v>
      </c>
      <c r="CE270" s="2"/>
      <c r="CH270" s="93" t="str">
        <f t="shared" si="533"/>
        <v>Acesso - KM 177+600</v>
      </c>
    </row>
    <row r="271" spans="1:86" ht="20.25" hidden="1" customHeight="1" outlineLevel="2">
      <c r="A271" s="74"/>
      <c r="B271" s="1041" t="s">
        <v>3977</v>
      </c>
      <c r="C271" s="1023" t="s">
        <v>52</v>
      </c>
      <c r="D271" s="2"/>
      <c r="E271" s="1004">
        <v>0</v>
      </c>
      <c r="F271" s="2"/>
      <c r="G271" s="49" t="s">
        <v>37</v>
      </c>
      <c r="H271" s="705">
        <f t="shared" si="534"/>
        <v>200</v>
      </c>
      <c r="I271" s="878">
        <f t="shared" ref="I271" si="655">IF(H271=0,IF(H272&gt;0,1,"-"),IFERROR(H272/H271,"-"))</f>
        <v>1.3</v>
      </c>
      <c r="J271" s="2"/>
      <c r="K271" s="705"/>
      <c r="L271" s="705"/>
      <c r="M271" s="705"/>
      <c r="N271" s="705"/>
      <c r="O271" s="705"/>
      <c r="P271" s="705"/>
      <c r="Q271" s="705"/>
      <c r="R271" s="2"/>
      <c r="S271" s="705">
        <f ca="1">SUMIF($K$7:Q$7,"&lt;="&amp;$I$7,K271:P271)</f>
        <v>0</v>
      </c>
      <c r="T271" s="878" t="str">
        <f t="shared" ref="T271" ca="1" si="656">IFERROR((S272/S271),"-")</f>
        <v>-</v>
      </c>
      <c r="U271" s="2"/>
      <c r="V271" s="705"/>
      <c r="W271" s="705"/>
      <c r="X271" s="705">
        <v>200</v>
      </c>
      <c r="Y271" s="705">
        <v>200</v>
      </c>
      <c r="Z271" s="705">
        <v>200</v>
      </c>
      <c r="AA271" s="705">
        <v>200</v>
      </c>
      <c r="AB271" s="705"/>
      <c r="AC271" s="2"/>
      <c r="AD271" s="705">
        <f ca="1">SUMIF($V$7:AB$7,"&lt;="&amp;$I$7,V271:AA271)</f>
        <v>800</v>
      </c>
      <c r="AE271" s="878">
        <f t="shared" ref="AE271" ca="1" si="657">IFERROR((AD272/AD271),"-")</f>
        <v>0</v>
      </c>
      <c r="AF271" s="2"/>
      <c r="AG271" s="705"/>
      <c r="AH271" s="705">
        <v>200</v>
      </c>
      <c r="AI271" s="705">
        <v>200</v>
      </c>
      <c r="AJ271" s="705">
        <v>200</v>
      </c>
      <c r="AK271" s="705">
        <v>200</v>
      </c>
      <c r="AL271" s="705">
        <v>200</v>
      </c>
      <c r="AM271" s="705"/>
      <c r="AN271" s="2"/>
      <c r="AO271" s="705">
        <f ca="1">SUMIF($AG$7:AM$7,"&lt;="&amp;$I$7,AG271:AL271)</f>
        <v>200</v>
      </c>
      <c r="AP271" s="878">
        <f t="shared" ref="AP271" ca="1" si="658">IFERROR((AO272/AO271),"-")</f>
        <v>1.3</v>
      </c>
      <c r="AQ271" s="2"/>
      <c r="AR271" s="705"/>
      <c r="AS271" s="705"/>
      <c r="AT271" s="705"/>
      <c r="AU271" s="705"/>
      <c r="AV271" s="705"/>
      <c r="AW271" s="705"/>
      <c r="AX271" s="705"/>
      <c r="AY271" s="2"/>
      <c r="AZ271" s="705">
        <f ca="1">SUMIF($AR$7:AX$7,"&lt;="&amp;$I$7,AR271:AW271)</f>
        <v>0</v>
      </c>
      <c r="BA271" s="878" t="str">
        <f t="shared" ref="BA271" ca="1" si="659">IFERROR((AZ272/AZ271),"-")</f>
        <v>-</v>
      </c>
      <c r="BB271" s="2"/>
      <c r="BC271" s="705"/>
      <c r="BD271" s="705"/>
      <c r="BE271" s="705"/>
      <c r="BF271" s="705"/>
      <c r="BG271" s="705"/>
      <c r="BH271" s="705"/>
      <c r="BI271" s="705"/>
      <c r="BJ271" s="2"/>
      <c r="BK271" s="705">
        <f ca="1">SUMIF($BC$7:BI$7,"&lt;="&amp;$I$7,BC271:BH271)</f>
        <v>0</v>
      </c>
      <c r="BL271" s="878" t="str">
        <f t="shared" ref="BL271" ca="1" si="660">IFERROR((BK272/BK271),"-")</f>
        <v>-</v>
      </c>
      <c r="BM271" s="2"/>
      <c r="BN271" s="921">
        <v>0</v>
      </c>
      <c r="BO271" s="884">
        <v>0</v>
      </c>
      <c r="BP271" s="884">
        <f>SUM(M272:P272,V272:AB272,AG272:AM272,AR272:AX272,BC272:BI272)</f>
        <v>260</v>
      </c>
      <c r="BQ271" s="878">
        <f>IF(AND(BO271=0,BP271=0),"-",IF(BO271=0,1,BP271/BO271))</f>
        <v>1</v>
      </c>
      <c r="BR271" s="2"/>
      <c r="BS271" s="884"/>
      <c r="BT271" s="884"/>
      <c r="BU271" s="884">
        <f ca="1">E271+S272+AD272+AO272+AZ272+BK272-K272-L272</f>
        <v>260</v>
      </c>
      <c r="BV271" s="884">
        <v>104</v>
      </c>
      <c r="BW271" s="1004">
        <f ca="1">IFERROR((BU271/BV271),"-")</f>
        <v>2.5</v>
      </c>
      <c r="BX271" s="884">
        <v>0</v>
      </c>
      <c r="BY271" s="878" t="str">
        <f ca="1">IFERROR((BU271/BX271),"-")</f>
        <v>-</v>
      </c>
      <c r="BZ271" s="2"/>
      <c r="CA271" s="884"/>
      <c r="CB271" s="884"/>
      <c r="CC271" s="2"/>
      <c r="CD271" s="504">
        <f>IFERROR(AVERAGEIF($V$7:AB$7,"&lt;="&amp;$I$7,V271:AB271),0)</f>
        <v>200</v>
      </c>
      <c r="CE271" s="3"/>
      <c r="CH271" s="93" t="str">
        <f t="shared" si="533"/>
        <v>Corte 05 - Km 177+611 a 177+860 (Sarjeta de corte - SZC 02 e SZC 03)</v>
      </c>
    </row>
    <row r="272" spans="1:86" s="21" customFormat="1" ht="14.85" hidden="1" customHeight="1" outlineLevel="2">
      <c r="A272" s="74"/>
      <c r="B272" s="1042"/>
      <c r="C272" s="1023"/>
      <c r="D272" s="2"/>
      <c r="E272" s="1024"/>
      <c r="F272" s="2"/>
      <c r="G272" s="50" t="s">
        <v>38</v>
      </c>
      <c r="H272" s="705">
        <f t="shared" si="534"/>
        <v>260</v>
      </c>
      <c r="I272" s="879"/>
      <c r="J272" s="2"/>
      <c r="K272" s="76"/>
      <c r="L272" s="76"/>
      <c r="M272" s="76"/>
      <c r="N272" s="76"/>
      <c r="O272" s="76"/>
      <c r="P272" s="76"/>
      <c r="Q272" s="706"/>
      <c r="R272" s="2"/>
      <c r="S272" s="705">
        <f ca="1">SUMIF($K$7:Q$7,"&lt;="&amp;$I$7,K272:P272)</f>
        <v>0</v>
      </c>
      <c r="T272" s="879"/>
      <c r="U272" s="2"/>
      <c r="V272" s="76"/>
      <c r="W272" s="76"/>
      <c r="X272" s="76"/>
      <c r="Y272" s="76"/>
      <c r="Z272" s="76"/>
      <c r="AA272" s="76"/>
      <c r="AB272" s="706"/>
      <c r="AC272" s="2"/>
      <c r="AD272" s="705">
        <f ca="1">SUMIF($V$7:AB$7,"&lt;="&amp;$I$7,V272:AA272)</f>
        <v>0</v>
      </c>
      <c r="AE272" s="879"/>
      <c r="AF272" s="2"/>
      <c r="AG272" s="76"/>
      <c r="AH272" s="76">
        <v>260</v>
      </c>
      <c r="AI272" s="76"/>
      <c r="AJ272" s="76"/>
      <c r="AK272" s="76"/>
      <c r="AL272" s="76"/>
      <c r="AM272" s="706"/>
      <c r="AN272" s="2"/>
      <c r="AO272" s="705">
        <f ca="1">SUMIF($AG$7:AM$7,"&lt;="&amp;$I$7,AG272:AL272)</f>
        <v>260</v>
      </c>
      <c r="AP272" s="879"/>
      <c r="AQ272" s="2"/>
      <c r="AR272" s="76"/>
      <c r="AS272" s="76"/>
      <c r="AT272" s="76"/>
      <c r="AU272" s="76"/>
      <c r="AV272" s="76"/>
      <c r="AW272" s="76"/>
      <c r="AX272" s="706"/>
      <c r="AY272" s="2"/>
      <c r="AZ272" s="705">
        <f ca="1">SUMIF($AR$7:AX$7,"&lt;="&amp;$I$7,AR272:AW272)</f>
        <v>0</v>
      </c>
      <c r="BA272" s="879"/>
      <c r="BB272" s="2"/>
      <c r="BC272" s="76"/>
      <c r="BD272" s="76"/>
      <c r="BE272" s="76"/>
      <c r="BF272" s="76"/>
      <c r="BG272" s="76"/>
      <c r="BH272" s="76"/>
      <c r="BI272" s="706"/>
      <c r="BJ272" s="2"/>
      <c r="BK272" s="705">
        <f ca="1">SUMIF($BC$7:BI$7,"&lt;="&amp;$I$7,BC272:BH272)</f>
        <v>0</v>
      </c>
      <c r="BL272" s="879"/>
      <c r="BM272" s="2"/>
      <c r="BN272" s="922"/>
      <c r="BO272" s="885"/>
      <c r="BP272" s="885"/>
      <c r="BQ272" s="879"/>
      <c r="BR272" s="2"/>
      <c r="BS272" s="922"/>
      <c r="BT272" s="922"/>
      <c r="BU272" s="885"/>
      <c r="BV272" s="886"/>
      <c r="BW272" s="1051"/>
      <c r="BX272" s="922"/>
      <c r="BY272" s="1052"/>
      <c r="BZ272" s="2"/>
      <c r="CA272" s="922"/>
      <c r="CB272" s="922"/>
      <c r="CC272" s="2"/>
      <c r="CD272" s="504">
        <f>IFERROR(AVERAGEIF($V$7:AB$7,"&lt;="&amp;$I$7,V272:AB272),0)</f>
        <v>0</v>
      </c>
      <c r="CE272" s="2"/>
      <c r="CH272" s="93" t="str">
        <f t="shared" si="533"/>
        <v>Corte 05 - Km 177+611 a 177+860 (Sarjeta de corte - SZC 02 e SZC 03)</v>
      </c>
    </row>
    <row r="273" spans="1:86" ht="3.6" hidden="1" customHeight="1" outlineLevel="2">
      <c r="A273" s="74"/>
      <c r="B273" s="1041" t="s">
        <v>3978</v>
      </c>
      <c r="C273" s="1023" t="s">
        <v>52</v>
      </c>
      <c r="D273" s="2"/>
      <c r="E273" s="1004">
        <v>675</v>
      </c>
      <c r="F273" s="2"/>
      <c r="G273" s="49" t="s">
        <v>37</v>
      </c>
      <c r="H273" s="705">
        <f t="shared" si="534"/>
        <v>0</v>
      </c>
      <c r="I273" s="878" t="str">
        <f t="shared" ref="I273" si="661">IF(H273=0,IF(H274&gt;0,1,"-"),IFERROR(H274/H273,"-"))</f>
        <v>-</v>
      </c>
      <c r="J273" s="2"/>
      <c r="K273" s="705"/>
      <c r="L273" s="705"/>
      <c r="M273" s="705"/>
      <c r="N273" s="705"/>
      <c r="O273" s="705"/>
      <c r="P273" s="705"/>
      <c r="Q273" s="705"/>
      <c r="R273" s="2"/>
      <c r="S273" s="705">
        <f ca="1">SUMIF($K$7:Q$7,"&lt;="&amp;$I$7,K273:P273)</f>
        <v>0</v>
      </c>
      <c r="T273" s="878" t="str">
        <f t="shared" ref="T273" ca="1" si="662">IFERROR((S274/S273),"-")</f>
        <v>-</v>
      </c>
      <c r="U273" s="2"/>
      <c r="V273" s="705"/>
      <c r="W273" s="705"/>
      <c r="X273" s="705"/>
      <c r="Y273" s="705"/>
      <c r="Z273" s="705"/>
      <c r="AA273" s="705"/>
      <c r="AB273" s="705"/>
      <c r="AC273" s="2"/>
      <c r="AD273" s="705">
        <f ca="1">SUMIF($V$7:AB$7,"&lt;="&amp;$I$7,V273:AA273)</f>
        <v>0</v>
      </c>
      <c r="AE273" s="878" t="str">
        <f t="shared" ref="AE273" ca="1" si="663">IFERROR((AD274/AD273),"-")</f>
        <v>-</v>
      </c>
      <c r="AF273" s="2"/>
      <c r="AG273" s="705"/>
      <c r="AH273" s="705"/>
      <c r="AI273" s="705"/>
      <c r="AJ273" s="705"/>
      <c r="AK273" s="705"/>
      <c r="AL273" s="705"/>
      <c r="AM273" s="705"/>
      <c r="AN273" s="2"/>
      <c r="AO273" s="705">
        <f ca="1">SUMIF($AG$7:AM$7,"&lt;="&amp;$I$7,AG273:AL273)</f>
        <v>0</v>
      </c>
      <c r="AP273" s="878" t="str">
        <f t="shared" ref="AP273" ca="1" si="664">IFERROR((AO274/AO273),"-")</f>
        <v>-</v>
      </c>
      <c r="AQ273" s="2"/>
      <c r="AR273" s="705"/>
      <c r="AS273" s="705"/>
      <c r="AT273" s="705"/>
      <c r="AU273" s="705"/>
      <c r="AV273" s="705"/>
      <c r="AW273" s="705"/>
      <c r="AX273" s="705"/>
      <c r="AY273" s="2"/>
      <c r="AZ273" s="705">
        <f ca="1">SUMIF($AR$7:AX$7,"&lt;="&amp;$I$7,AR273:AW273)</f>
        <v>0</v>
      </c>
      <c r="BA273" s="878" t="str">
        <f t="shared" ref="BA273" ca="1" si="665">IFERROR((AZ274/AZ273),"-")</f>
        <v>-</v>
      </c>
      <c r="BB273" s="2"/>
      <c r="BC273" s="705"/>
      <c r="BD273" s="705"/>
      <c r="BE273" s="705"/>
      <c r="BF273" s="705"/>
      <c r="BG273" s="705"/>
      <c r="BH273" s="705"/>
      <c r="BI273" s="705"/>
      <c r="BJ273" s="2"/>
      <c r="BK273" s="705">
        <f ca="1">SUMIF($BC$7:BI$7,"&lt;="&amp;$I$7,BC273:BH273)</f>
        <v>0</v>
      </c>
      <c r="BL273" s="878" t="str">
        <f t="shared" ref="BL273" ca="1" si="666">IFERROR((BK274/BK273),"-")</f>
        <v>-</v>
      </c>
      <c r="BM273" s="2"/>
      <c r="BN273" s="921">
        <v>0</v>
      </c>
      <c r="BO273" s="884">
        <v>0</v>
      </c>
      <c r="BP273" s="884">
        <f>SUM(M274:P274,V274:AB274,AG274:AM274,AR274:AX274,BC274:BI274)</f>
        <v>0</v>
      </c>
      <c r="BQ273" s="878" t="str">
        <f>IF(AND(BO273=0,BP273=0),"-",IF(BO273=0,1,BP273/BO273))</f>
        <v>-</v>
      </c>
      <c r="BR273" s="2"/>
      <c r="BS273" s="884"/>
      <c r="BT273" s="884"/>
      <c r="BU273" s="884">
        <f ca="1">E273+S274+AD274+AO274+AZ274+BK274-K274-L274</f>
        <v>675</v>
      </c>
      <c r="BV273" s="884">
        <v>104</v>
      </c>
      <c r="BW273" s="1004">
        <f ca="1">IFERROR((BU273/BV273),"-")</f>
        <v>6.490384615384615</v>
      </c>
      <c r="BX273" s="884">
        <v>0</v>
      </c>
      <c r="BY273" s="878" t="str">
        <f ca="1">IFERROR((BU273/BX273),"-")</f>
        <v>-</v>
      </c>
      <c r="BZ273" s="2"/>
      <c r="CA273" s="884"/>
      <c r="CB273" s="884"/>
      <c r="CC273" s="2"/>
      <c r="CD273" s="504">
        <f>IFERROR(AVERAGEIF($V$7:AB$7,"&lt;="&amp;$I$7,V273:AB273),0)</f>
        <v>0</v>
      </c>
      <c r="CE273" s="2"/>
      <c r="CH273" s="93" t="str">
        <f t="shared" si="533"/>
        <v>Corte 07 - SZC 06, SZC 04</v>
      </c>
    </row>
    <row r="274" spans="1:86" ht="20.25" hidden="1" customHeight="1" outlineLevel="2">
      <c r="A274" s="74"/>
      <c r="B274" s="1042"/>
      <c r="C274" s="1023"/>
      <c r="D274" s="2"/>
      <c r="E274" s="1024"/>
      <c r="F274" s="2"/>
      <c r="G274" s="50" t="s">
        <v>38</v>
      </c>
      <c r="H274" s="705">
        <f t="shared" si="534"/>
        <v>0</v>
      </c>
      <c r="I274" s="879"/>
      <c r="J274" s="2"/>
      <c r="K274" s="76">
        <v>335</v>
      </c>
      <c r="L274" s="76">
        <v>340</v>
      </c>
      <c r="M274" s="76"/>
      <c r="N274" s="76"/>
      <c r="O274" s="76"/>
      <c r="P274" s="76"/>
      <c r="Q274" s="706"/>
      <c r="R274" s="2"/>
      <c r="S274" s="705">
        <f ca="1">SUMIF($K$7:Q$7,"&lt;="&amp;$I$7,K274:P274)</f>
        <v>675</v>
      </c>
      <c r="T274" s="879"/>
      <c r="U274" s="2"/>
      <c r="V274" s="76"/>
      <c r="W274" s="76"/>
      <c r="X274" s="76"/>
      <c r="Y274" s="76"/>
      <c r="Z274" s="76"/>
      <c r="AA274" s="76"/>
      <c r="AB274" s="706"/>
      <c r="AC274" s="2"/>
      <c r="AD274" s="705">
        <f ca="1">SUMIF($V$7:AB$7,"&lt;="&amp;$I$7,V274:AA274)</f>
        <v>0</v>
      </c>
      <c r="AE274" s="879"/>
      <c r="AF274" s="2"/>
      <c r="AG274" s="76"/>
      <c r="AH274" s="76"/>
      <c r="AI274" s="76"/>
      <c r="AJ274" s="76"/>
      <c r="AK274" s="76"/>
      <c r="AL274" s="76"/>
      <c r="AM274" s="706"/>
      <c r="AN274" s="2"/>
      <c r="AO274" s="705">
        <f ca="1">SUMIF($AG$7:AM$7,"&lt;="&amp;$I$7,AG274:AL274)</f>
        <v>0</v>
      </c>
      <c r="AP274" s="879"/>
      <c r="AQ274" s="2"/>
      <c r="AR274" s="76"/>
      <c r="AS274" s="76"/>
      <c r="AT274" s="76"/>
      <c r="AU274" s="76"/>
      <c r="AV274" s="76"/>
      <c r="AW274" s="76"/>
      <c r="AX274" s="706"/>
      <c r="AY274" s="2"/>
      <c r="AZ274" s="705">
        <f ca="1">SUMIF($AR$7:AX$7,"&lt;="&amp;$I$7,AR274:AW274)</f>
        <v>0</v>
      </c>
      <c r="BA274" s="879"/>
      <c r="BB274" s="2"/>
      <c r="BC274" s="76"/>
      <c r="BD274" s="76"/>
      <c r="BE274" s="76"/>
      <c r="BF274" s="76"/>
      <c r="BG274" s="76"/>
      <c r="BH274" s="76"/>
      <c r="BI274" s="706"/>
      <c r="BJ274" s="2"/>
      <c r="BK274" s="705">
        <f ca="1">SUMIF($BC$7:BI$7,"&lt;="&amp;$I$7,BC274:BH274)</f>
        <v>0</v>
      </c>
      <c r="BL274" s="879"/>
      <c r="BM274" s="2"/>
      <c r="BN274" s="922"/>
      <c r="BO274" s="885"/>
      <c r="BP274" s="885"/>
      <c r="BQ274" s="879"/>
      <c r="BR274" s="2"/>
      <c r="BS274" s="922"/>
      <c r="BT274" s="922"/>
      <c r="BU274" s="885"/>
      <c r="BV274" s="886"/>
      <c r="BW274" s="1051"/>
      <c r="BX274" s="922"/>
      <c r="BY274" s="1052"/>
      <c r="BZ274" s="2"/>
      <c r="CA274" s="922"/>
      <c r="CB274" s="922"/>
      <c r="CC274" s="2"/>
      <c r="CD274" s="504">
        <f>IFERROR(AVERAGEIF($V$7:AB$7,"&lt;="&amp;$I$7,V274:AB274),0)</f>
        <v>0</v>
      </c>
      <c r="CE274" s="2"/>
      <c r="CH274" s="93" t="str">
        <f t="shared" si="533"/>
        <v>Corte 07 - SZC 06, SZC 04</v>
      </c>
    </row>
    <row r="275" spans="1:86" ht="20.25" hidden="1" customHeight="1" outlineLevel="2">
      <c r="A275" s="74"/>
      <c r="B275" s="1041" t="s">
        <v>3979</v>
      </c>
      <c r="C275" s="1023" t="s">
        <v>52</v>
      </c>
      <c r="D275" s="2"/>
      <c r="E275" s="1004">
        <v>0</v>
      </c>
      <c r="F275" s="2"/>
      <c r="G275" s="49" t="s">
        <v>37</v>
      </c>
      <c r="H275" s="705">
        <f t="shared" si="534"/>
        <v>0</v>
      </c>
      <c r="I275" s="878" t="str">
        <f t="shared" ref="I275" si="667">IF(H275=0,IF(H276&gt;0,1,"-"),IFERROR(H276/H275,"-"))</f>
        <v>-</v>
      </c>
      <c r="J275" s="2"/>
      <c r="K275" s="705"/>
      <c r="L275" s="705"/>
      <c r="M275" s="705"/>
      <c r="N275" s="705"/>
      <c r="O275" s="705">
        <v>80</v>
      </c>
      <c r="P275" s="705"/>
      <c r="Q275" s="705"/>
      <c r="R275" s="2"/>
      <c r="S275" s="705">
        <f ca="1">SUMIF($K$7:Q$7,"&lt;="&amp;$I$7,K275:P275)</f>
        <v>80</v>
      </c>
      <c r="T275" s="878">
        <f t="shared" ref="T275" ca="1" si="668">IFERROR((S276/S275),"-")</f>
        <v>2.0249999999999999</v>
      </c>
      <c r="U275" s="2"/>
      <c r="V275" s="705"/>
      <c r="W275" s="705"/>
      <c r="X275" s="705"/>
      <c r="Y275" s="705"/>
      <c r="Z275" s="705"/>
      <c r="AA275" s="705"/>
      <c r="AB275" s="705"/>
      <c r="AC275" s="2"/>
      <c r="AD275" s="705">
        <f ca="1">SUMIF($V$7:AB$7,"&lt;="&amp;$I$7,V275:AA275)</f>
        <v>0</v>
      </c>
      <c r="AE275" s="878" t="str">
        <f t="shared" ref="AE275" ca="1" si="669">IFERROR((AD276/AD275),"-")</f>
        <v>-</v>
      </c>
      <c r="AF275" s="2"/>
      <c r="AG275" s="705"/>
      <c r="AH275" s="705"/>
      <c r="AI275" s="705"/>
      <c r="AJ275" s="705"/>
      <c r="AK275" s="705"/>
      <c r="AL275" s="705"/>
      <c r="AM275" s="705"/>
      <c r="AN275" s="2"/>
      <c r="AO275" s="705">
        <f ca="1">SUMIF($AG$7:AM$7,"&lt;="&amp;$I$7,AG275:AL275)</f>
        <v>0</v>
      </c>
      <c r="AP275" s="878" t="str">
        <f t="shared" ref="AP275" ca="1" si="670">IFERROR((AO276/AO275),"-")</f>
        <v>-</v>
      </c>
      <c r="AQ275" s="2"/>
      <c r="AR275" s="705"/>
      <c r="AS275" s="705"/>
      <c r="AT275" s="705"/>
      <c r="AU275" s="705"/>
      <c r="AV275" s="705"/>
      <c r="AW275" s="705"/>
      <c r="AX275" s="705"/>
      <c r="AY275" s="2"/>
      <c r="AZ275" s="705">
        <f ca="1">SUMIF($AR$7:AX$7,"&lt;="&amp;$I$7,AR275:AW275)</f>
        <v>0</v>
      </c>
      <c r="BA275" s="878" t="str">
        <f t="shared" ref="BA275" ca="1" si="671">IFERROR((AZ276/AZ275),"-")</f>
        <v>-</v>
      </c>
      <c r="BB275" s="2"/>
      <c r="BC275" s="705"/>
      <c r="BD275" s="705"/>
      <c r="BE275" s="705"/>
      <c r="BF275" s="705"/>
      <c r="BG275" s="705"/>
      <c r="BH275" s="705"/>
      <c r="BI275" s="705"/>
      <c r="BJ275" s="2"/>
      <c r="BK275" s="705">
        <f ca="1">SUMIF($BC$7:BI$7,"&lt;="&amp;$I$7,BC275:BH275)</f>
        <v>0</v>
      </c>
      <c r="BL275" s="878" t="str">
        <f t="shared" ref="BL275" ca="1" si="672">IFERROR((BK276/BK275),"-")</f>
        <v>-</v>
      </c>
      <c r="BM275" s="2"/>
      <c r="BN275" s="921">
        <v>0</v>
      </c>
      <c r="BO275" s="884">
        <v>0</v>
      </c>
      <c r="BP275" s="884">
        <f>SUM(M276:P276,V276:AB276,AG276:AM276,AR276:AX276,BC276:BI276)</f>
        <v>162</v>
      </c>
      <c r="BQ275" s="878">
        <f>IF(AND(BO275=0,BP275=0),"-",IF(BO275=0,1,BP275/BO275))</f>
        <v>1</v>
      </c>
      <c r="BR275" s="2"/>
      <c r="BS275" s="884"/>
      <c r="BT275" s="884"/>
      <c r="BU275" s="884">
        <f ca="1">E275+S276+AD276+AO276+AZ276+BK276-K276-L276</f>
        <v>162</v>
      </c>
      <c r="BV275" s="884">
        <v>104</v>
      </c>
      <c r="BW275" s="1004">
        <f ca="1">IFERROR((BU275/BV275),"-")</f>
        <v>1.5576923076923077</v>
      </c>
      <c r="BX275" s="884">
        <v>0</v>
      </c>
      <c r="BY275" s="878" t="str">
        <f ca="1">IFERROR((BU275/BX275),"-")</f>
        <v>-</v>
      </c>
      <c r="BZ275" s="2"/>
      <c r="CA275" s="884"/>
      <c r="CB275" s="884"/>
      <c r="CC275" s="2"/>
      <c r="CD275" s="504">
        <f>IFERROR(AVERAGEIF($V$7:AB$7,"&lt;="&amp;$I$7,V275:AB275),0)</f>
        <v>0</v>
      </c>
      <c r="CE275" s="2"/>
      <c r="CH275" s="93" t="str">
        <f t="shared" si="533"/>
        <v>Corte 04 - Km 175+130 a 176+009  (VPC 10, VPC 01 e VPC 04)</v>
      </c>
    </row>
    <row r="276" spans="1:86" s="16" customFormat="1" ht="20.45" hidden="1" customHeight="1" outlineLevel="2">
      <c r="A276" s="74"/>
      <c r="B276" s="1042"/>
      <c r="C276" s="1023"/>
      <c r="D276" s="2"/>
      <c r="E276" s="1024"/>
      <c r="F276" s="2"/>
      <c r="G276" s="50" t="s">
        <v>38</v>
      </c>
      <c r="H276" s="705">
        <f t="shared" si="534"/>
        <v>0</v>
      </c>
      <c r="I276" s="879"/>
      <c r="J276" s="2"/>
      <c r="K276" s="76"/>
      <c r="L276" s="76"/>
      <c r="M276" s="76">
        <v>60</v>
      </c>
      <c r="N276" s="76">
        <v>9</v>
      </c>
      <c r="O276" s="76">
        <v>21</v>
      </c>
      <c r="P276" s="76">
        <v>72</v>
      </c>
      <c r="Q276" s="706"/>
      <c r="R276" s="2"/>
      <c r="S276" s="705">
        <f ca="1">SUMIF($K$7:Q$7,"&lt;="&amp;$I$7,K276:P276)</f>
        <v>162</v>
      </c>
      <c r="T276" s="879"/>
      <c r="U276" s="2"/>
      <c r="V276" s="76"/>
      <c r="W276" s="76"/>
      <c r="X276" s="76"/>
      <c r="Y276" s="76"/>
      <c r="Z276" s="76"/>
      <c r="AA276" s="76"/>
      <c r="AB276" s="706"/>
      <c r="AC276" s="2"/>
      <c r="AD276" s="705">
        <f ca="1">SUMIF($V$7:AB$7,"&lt;="&amp;$I$7,V276:AA276)</f>
        <v>0</v>
      </c>
      <c r="AE276" s="879"/>
      <c r="AF276" s="2"/>
      <c r="AG276" s="76"/>
      <c r="AH276" s="76"/>
      <c r="AI276" s="76"/>
      <c r="AJ276" s="76"/>
      <c r="AK276" s="76"/>
      <c r="AL276" s="76"/>
      <c r="AM276" s="706"/>
      <c r="AN276" s="2"/>
      <c r="AO276" s="705">
        <f ca="1">SUMIF($AG$7:AM$7,"&lt;="&amp;$I$7,AG276:AL276)</f>
        <v>0</v>
      </c>
      <c r="AP276" s="879"/>
      <c r="AQ276" s="2"/>
      <c r="AR276" s="76"/>
      <c r="AS276" s="76"/>
      <c r="AT276" s="76"/>
      <c r="AU276" s="76"/>
      <c r="AV276" s="76"/>
      <c r="AW276" s="76"/>
      <c r="AX276" s="706"/>
      <c r="AY276" s="2"/>
      <c r="AZ276" s="705">
        <f ca="1">SUMIF($AR$7:AX$7,"&lt;="&amp;$I$7,AR276:AW276)</f>
        <v>0</v>
      </c>
      <c r="BA276" s="879"/>
      <c r="BB276" s="2"/>
      <c r="BC276" s="76"/>
      <c r="BD276" s="76"/>
      <c r="BE276" s="76"/>
      <c r="BF276" s="76"/>
      <c r="BG276" s="76"/>
      <c r="BH276" s="76"/>
      <c r="BI276" s="706"/>
      <c r="BJ276" s="2"/>
      <c r="BK276" s="705">
        <f ca="1">SUMIF($BC$7:BI$7,"&lt;="&amp;$I$7,BC276:BH276)</f>
        <v>0</v>
      </c>
      <c r="BL276" s="879"/>
      <c r="BM276" s="2"/>
      <c r="BN276" s="922"/>
      <c r="BO276" s="885"/>
      <c r="BP276" s="885"/>
      <c r="BQ276" s="879"/>
      <c r="BR276" s="2"/>
      <c r="BS276" s="922"/>
      <c r="BT276" s="922"/>
      <c r="BU276" s="885"/>
      <c r="BV276" s="886"/>
      <c r="BW276" s="1051"/>
      <c r="BX276" s="922"/>
      <c r="BY276" s="1052"/>
      <c r="BZ276" s="2"/>
      <c r="CA276" s="922"/>
      <c r="CB276" s="922"/>
      <c r="CC276" s="2"/>
      <c r="CD276" s="504">
        <f>IFERROR(AVERAGEIF($V$7:AB$7,"&lt;="&amp;$I$7,V276:AB276),0)</f>
        <v>0</v>
      </c>
      <c r="CE276" s="2"/>
      <c r="CH276" s="93" t="str">
        <f t="shared" si="533"/>
        <v>Corte 04 - Km 175+130 a 176+009  (VPC 10, VPC 01 e VPC 04)</v>
      </c>
    </row>
    <row r="277" spans="1:86" s="16" customFormat="1" ht="24.6" hidden="1" customHeight="1" outlineLevel="1">
      <c r="A277" s="69"/>
      <c r="B277" s="3"/>
      <c r="C277"/>
      <c r="D277" s="3"/>
      <c r="E277"/>
      <c r="F277" s="3"/>
      <c r="G277"/>
      <c r="H277" s="58"/>
      <c r="I277"/>
      <c r="J277" s="3"/>
      <c r="K277" s="37"/>
      <c r="L277" s="37"/>
      <c r="M277" s="37"/>
      <c r="N277" s="37"/>
      <c r="O277" s="37"/>
      <c r="P277" s="37"/>
      <c r="Q277" s="37"/>
      <c r="R277" s="3"/>
      <c r="S277" s="37"/>
      <c r="T277" s="3"/>
      <c r="U277" s="3"/>
      <c r="V277" s="37"/>
      <c r="W277" s="37"/>
      <c r="X277" s="37"/>
      <c r="Y277" s="37"/>
      <c r="Z277" s="37"/>
      <c r="AA277" s="37"/>
      <c r="AB277" s="37"/>
      <c r="AC277" s="3"/>
      <c r="AD277" s="37"/>
      <c r="AE277" s="3"/>
      <c r="AF277" s="3"/>
      <c r="AG277" s="37"/>
      <c r="AH277" s="37"/>
      <c r="AI277" s="37"/>
      <c r="AJ277" s="37"/>
      <c r="AK277" s="37"/>
      <c r="AL277" s="37"/>
      <c r="AM277" s="37"/>
      <c r="AN277" s="3"/>
      <c r="AO277" s="37"/>
      <c r="AP277" s="3"/>
      <c r="AQ277" s="3"/>
      <c r="AR277" s="37"/>
      <c r="AS277" s="37"/>
      <c r="AT277" s="37"/>
      <c r="AU277" s="37"/>
      <c r="AV277" s="37"/>
      <c r="AW277" s="37"/>
      <c r="AX277" s="37"/>
      <c r="AY277" s="3"/>
      <c r="AZ277" s="37"/>
      <c r="BA277" s="3"/>
      <c r="BB277" s="3"/>
      <c r="BC277" s="37"/>
      <c r="BD277" s="37"/>
      <c r="BE277" s="37"/>
      <c r="BF277" s="37"/>
      <c r="BG277" s="37"/>
      <c r="BH277" s="37"/>
      <c r="BI277" s="37"/>
      <c r="BJ277" s="3"/>
      <c r="BK277" s="37"/>
      <c r="BL277" s="3"/>
      <c r="BM277" s="3"/>
      <c r="BN277" s="35"/>
      <c r="BO277" s="35"/>
      <c r="BP277" s="35"/>
      <c r="BQ277" s="3"/>
      <c r="BR277" s="3"/>
      <c r="BS277" s="35"/>
      <c r="BT277" s="35"/>
      <c r="BU277" s="35"/>
      <c r="BV277" s="35"/>
      <c r="BW277" s="35"/>
      <c r="BX277" s="35"/>
      <c r="BY277" s="3"/>
      <c r="BZ277" s="3"/>
      <c r="CA277" s="35"/>
      <c r="CB277" s="35"/>
      <c r="CC277" s="3"/>
      <c r="CD277" s="19"/>
      <c r="CE277" s="2"/>
      <c r="CH277" s="93" t="str">
        <f t="shared" si="533"/>
        <v>Corte 04 - Km 175+130 a 176+009  (VPC 10, VPC 01 e VPC 04)</v>
      </c>
    </row>
    <row r="278" spans="1:86" s="16" customFormat="1" ht="24.6" hidden="1" customHeight="1" outlineLevel="1">
      <c r="A278" s="73" t="s">
        <v>3980</v>
      </c>
      <c r="B278" s="739" t="s">
        <v>3981</v>
      </c>
      <c r="C278" s="740" t="s">
        <v>52</v>
      </c>
      <c r="D278" s="2"/>
      <c r="E278" s="1019">
        <v>3727</v>
      </c>
      <c r="F278" s="2"/>
      <c r="G278" s="53" t="s">
        <v>37</v>
      </c>
      <c r="H278" s="52">
        <f t="shared" ref="H278:H297" si="673">SUMIF($K$7:$BI$7,$I$7,K278:BI278)</f>
        <v>50</v>
      </c>
      <c r="I278" s="743">
        <f>IFERROR((H279/H278),"-")</f>
        <v>1.32</v>
      </c>
      <c r="J278" s="2"/>
      <c r="K278" s="52">
        <f>SUMIF($G$280:$G$297,$G$278,K280:K297)</f>
        <v>20</v>
      </c>
      <c r="L278" s="52">
        <f t="shared" ref="L278:P278" si="674">SUMIF($G$280:$G$297,$G$278,L280:L297)</f>
        <v>220</v>
      </c>
      <c r="M278" s="52">
        <f t="shared" si="674"/>
        <v>220</v>
      </c>
      <c r="N278" s="52">
        <f t="shared" si="674"/>
        <v>150</v>
      </c>
      <c r="O278" s="52">
        <f t="shared" si="674"/>
        <v>150</v>
      </c>
      <c r="P278" s="52">
        <f t="shared" si="674"/>
        <v>150</v>
      </c>
      <c r="Q278" s="52">
        <f t="shared" ref="Q278:Q279" si="675">Q280+Q296</f>
        <v>0</v>
      </c>
      <c r="R278" s="2"/>
      <c r="S278" s="52">
        <f>SUM(K278:P278)</f>
        <v>910</v>
      </c>
      <c r="T278" s="743">
        <f>IFERROR((S279/S278),"-")</f>
        <v>0.5241758241758242</v>
      </c>
      <c r="U278" s="2"/>
      <c r="V278" s="52">
        <f t="shared" ref="V278:AA278" si="676">SUMIF($G$280:$G$297,$G$278,V280:V297)</f>
        <v>100</v>
      </c>
      <c r="W278" s="52">
        <f t="shared" si="676"/>
        <v>100</v>
      </c>
      <c r="X278" s="52">
        <f t="shared" si="676"/>
        <v>50</v>
      </c>
      <c r="Y278" s="52">
        <f t="shared" si="676"/>
        <v>150</v>
      </c>
      <c r="Z278" s="52">
        <f t="shared" si="676"/>
        <v>150</v>
      </c>
      <c r="AA278" s="52">
        <f t="shared" si="676"/>
        <v>150</v>
      </c>
      <c r="AB278" s="52">
        <f t="shared" ref="AB278:AB279" si="677">AB280+AB296</f>
        <v>0</v>
      </c>
      <c r="AC278" s="2"/>
      <c r="AD278" s="52">
        <f>SUMIF($V$7:AB$7,"&lt;="&amp;$I$7,V278:AB278)</f>
        <v>700</v>
      </c>
      <c r="AE278" s="743">
        <f>IFERROR((AD279/AD278),"-")</f>
        <v>1.3442857142857143</v>
      </c>
      <c r="AF278" s="2"/>
      <c r="AG278" s="52">
        <f>SUMIF($G$280:$G$297,$G$278,AG280:AG297)</f>
        <v>100</v>
      </c>
      <c r="AH278" s="52">
        <f t="shared" ref="AH278:AL278" si="678">SUMIF($G$280:$G$297,$G$278,AH280:AH297)</f>
        <v>50</v>
      </c>
      <c r="AI278" s="52">
        <f t="shared" si="678"/>
        <v>150</v>
      </c>
      <c r="AJ278" s="52">
        <f t="shared" si="678"/>
        <v>150</v>
      </c>
      <c r="AK278" s="52">
        <f t="shared" si="678"/>
        <v>150</v>
      </c>
      <c r="AL278" s="52">
        <f t="shared" si="678"/>
        <v>150</v>
      </c>
      <c r="AM278" s="52">
        <f t="shared" ref="AM278:AM279" si="679">AM280+AM296</f>
        <v>0</v>
      </c>
      <c r="AN278" s="2"/>
      <c r="AO278" s="52">
        <f ca="1">SUMIF($AG$7:AM$7,"&lt;="&amp;$I$7,AG278:AL278)</f>
        <v>150</v>
      </c>
      <c r="AP278" s="743">
        <f ca="1">IFERROR((AO279/AO278),"-")</f>
        <v>1.44</v>
      </c>
      <c r="AQ278" s="2"/>
      <c r="AR278" s="52">
        <f>SUMIF($G$280:$G$297,$G$278,AR280:AR297)</f>
        <v>0</v>
      </c>
      <c r="AS278" s="52">
        <f t="shared" ref="AS278:AW278" si="680">SUMIF($G$280:$G$297,$G$278,AS280:AS297)</f>
        <v>0</v>
      </c>
      <c r="AT278" s="52">
        <f t="shared" si="680"/>
        <v>0</v>
      </c>
      <c r="AU278" s="52">
        <f t="shared" si="680"/>
        <v>0</v>
      </c>
      <c r="AV278" s="52">
        <f t="shared" si="680"/>
        <v>0</v>
      </c>
      <c r="AW278" s="52">
        <f t="shared" si="680"/>
        <v>0</v>
      </c>
      <c r="AX278" s="52">
        <f>SUMIF($G$280:$G$297,$G$278,AX280:AX297)</f>
        <v>0</v>
      </c>
      <c r="AY278" s="2"/>
      <c r="AZ278" s="52">
        <f ca="1">SUMIF($AR$7:AX$7,"&lt;="&amp;$I$7,AR278:AW278)</f>
        <v>0</v>
      </c>
      <c r="BA278" s="743" t="str">
        <f ca="1">IFERROR((AZ279/AZ278),"-")</f>
        <v>-</v>
      </c>
      <c r="BB278" s="2"/>
      <c r="BC278" s="52">
        <f>SUMIF($G$280:$G$297,$G$278,BC280:BC297)</f>
        <v>0</v>
      </c>
      <c r="BD278" s="52">
        <f t="shared" ref="BD278:BH278" si="681">SUMIF($G$280:$G$297,$G$278,BD280:BD297)</f>
        <v>0</v>
      </c>
      <c r="BE278" s="52">
        <f t="shared" si="681"/>
        <v>0</v>
      </c>
      <c r="BF278" s="52">
        <f t="shared" si="681"/>
        <v>0</v>
      </c>
      <c r="BG278" s="52">
        <f t="shared" si="681"/>
        <v>0</v>
      </c>
      <c r="BH278" s="52">
        <f t="shared" si="681"/>
        <v>0</v>
      </c>
      <c r="BI278" s="52">
        <f>SUMIF($G$280:$G$297,$G$278,BI280:BI297)</f>
        <v>0</v>
      </c>
      <c r="BJ278" s="2"/>
      <c r="BK278" s="52">
        <f ca="1">SUMIF($BC$7:BI$7,"&lt;="&amp;$I$7,BC278:BH278)</f>
        <v>0</v>
      </c>
      <c r="BL278" s="743" t="str">
        <f ca="1">IFERROR((BK279/BK278),"-")</f>
        <v>-</v>
      </c>
      <c r="BM278" s="2"/>
      <c r="BN278" s="888">
        <v>4583.7000000000007</v>
      </c>
      <c r="BO278" s="888">
        <v>1861.7999999999997</v>
      </c>
      <c r="BP278" s="888">
        <f>SUM(BP280:BP297)</f>
        <v>1319</v>
      </c>
      <c r="BQ278" s="743">
        <f>IFERROR((BP278/BO278),"-")</f>
        <v>0.70845418412289196</v>
      </c>
      <c r="BR278" s="2"/>
      <c r="BS278" s="888">
        <v>1288.55</v>
      </c>
      <c r="BT278" s="888"/>
      <c r="BU278" s="888">
        <f ca="1">E278+S279+AD279+AO279+AZ279+BK279-K279-L279</f>
        <v>5046</v>
      </c>
      <c r="BV278" s="888">
        <v>210</v>
      </c>
      <c r="BW278" s="1019">
        <f ca="1">IFERROR((BU278/BV278),"-")</f>
        <v>24.028571428571428</v>
      </c>
      <c r="BX278" s="888">
        <f>SUM(BX280:BX297)</f>
        <v>2767.9699999999993</v>
      </c>
      <c r="BY278" s="743">
        <f ca="1">IFERROR((BU278/BX278),"-")</f>
        <v>1.8229966365242403</v>
      </c>
      <c r="BZ278" s="2"/>
      <c r="CA278" s="888">
        <f>CA229-CA233</f>
        <v>55937.5</v>
      </c>
      <c r="CB278" s="888">
        <f ca="1">CA278-BU278</f>
        <v>50891.5</v>
      </c>
      <c r="CC278" s="2"/>
      <c r="CD278" s="84">
        <f>IFERROR(AVERAGEIF($V$7:AB$7,"&lt;="&amp;$I$7,V278:AB278),0)</f>
        <v>100</v>
      </c>
      <c r="CE278" s="2"/>
      <c r="CH278" s="93" t="str">
        <f t="shared" si="533"/>
        <v>Segmento 3.3 - km 202+700 a 225+000</v>
      </c>
    </row>
    <row r="279" spans="1:86" s="16" customFormat="1" ht="24.6" hidden="1" customHeight="1" outlineLevel="1">
      <c r="A279" s="74"/>
      <c r="B279" s="739"/>
      <c r="C279" s="740"/>
      <c r="D279" s="2"/>
      <c r="E279" s="1060"/>
      <c r="F279" s="2"/>
      <c r="G279" s="54" t="s">
        <v>38</v>
      </c>
      <c r="H279" s="52">
        <f t="shared" si="673"/>
        <v>66</v>
      </c>
      <c r="I279" s="744"/>
      <c r="J279" s="2"/>
      <c r="K279" s="52">
        <f>SUMIF($G$280:$G$297,$G$279,K280:K297)</f>
        <v>159</v>
      </c>
      <c r="L279" s="52">
        <f t="shared" ref="L279:P279" si="682">SUMIF($G$280:$G$297,$G$279,L280:L297)</f>
        <v>156</v>
      </c>
      <c r="M279" s="52">
        <f t="shared" si="682"/>
        <v>48</v>
      </c>
      <c r="N279" s="52">
        <f t="shared" si="682"/>
        <v>72</v>
      </c>
      <c r="O279" s="52">
        <f t="shared" si="682"/>
        <v>42</v>
      </c>
      <c r="P279" s="52">
        <f t="shared" si="682"/>
        <v>0</v>
      </c>
      <c r="Q279" s="52">
        <f t="shared" si="675"/>
        <v>0</v>
      </c>
      <c r="R279" s="2"/>
      <c r="S279" s="52">
        <f>SUM(K279:P279)</f>
        <v>477</v>
      </c>
      <c r="T279" s="744"/>
      <c r="U279" s="2"/>
      <c r="V279" s="79">
        <f t="shared" ref="V279:AA279" si="683">SUMIF($G$280:$G$297,$G$279,V280:V297)</f>
        <v>0</v>
      </c>
      <c r="W279" s="79">
        <f t="shared" si="683"/>
        <v>81</v>
      </c>
      <c r="X279" s="79">
        <f t="shared" si="683"/>
        <v>33</v>
      </c>
      <c r="Y279" s="79">
        <f t="shared" si="683"/>
        <v>160</v>
      </c>
      <c r="Z279" s="79">
        <f t="shared" si="683"/>
        <v>359</v>
      </c>
      <c r="AA279" s="79">
        <f t="shared" si="683"/>
        <v>308</v>
      </c>
      <c r="AB279" s="52">
        <f t="shared" si="677"/>
        <v>0</v>
      </c>
      <c r="AC279" s="2"/>
      <c r="AD279" s="52">
        <f>SUMIF($V$7:AB$7,"&lt;="&amp;$I$7,V279:AB279)</f>
        <v>941</v>
      </c>
      <c r="AE279" s="744"/>
      <c r="AF279" s="2"/>
      <c r="AG279" s="75">
        <f>SUMIF($G$280:$G$297,$G$279,AG280:AG297)</f>
        <v>150</v>
      </c>
      <c r="AH279" s="153">
        <f t="shared" ref="AH279:AL279" si="684">SUMIF($G$280:$G$297,$G$279,AH280:AH297)</f>
        <v>66</v>
      </c>
      <c r="AI279" s="75">
        <f t="shared" si="684"/>
        <v>0</v>
      </c>
      <c r="AJ279" s="75">
        <f t="shared" si="684"/>
        <v>0</v>
      </c>
      <c r="AK279" s="75">
        <f t="shared" si="684"/>
        <v>0</v>
      </c>
      <c r="AL279" s="75">
        <f t="shared" si="684"/>
        <v>0</v>
      </c>
      <c r="AM279" s="52">
        <f t="shared" si="679"/>
        <v>0</v>
      </c>
      <c r="AN279" s="2"/>
      <c r="AO279" s="52">
        <f ca="1">SUMIF($AG$7:AM$7,"&lt;="&amp;$I$7,AG279:AL279)</f>
        <v>216</v>
      </c>
      <c r="AP279" s="744"/>
      <c r="AQ279" s="2"/>
      <c r="AR279" s="52">
        <f>SUMIF($G$280:$G$297,$G$279,AR280:AR297)</f>
        <v>0</v>
      </c>
      <c r="AS279" s="52">
        <f t="shared" ref="AS279:AW279" si="685">SUMIF($G$280:$G$297,$G$279,AS280:AS297)</f>
        <v>0</v>
      </c>
      <c r="AT279" s="52">
        <f t="shared" si="685"/>
        <v>0</v>
      </c>
      <c r="AU279" s="52">
        <f t="shared" si="685"/>
        <v>0</v>
      </c>
      <c r="AV279" s="52">
        <f t="shared" si="685"/>
        <v>0</v>
      </c>
      <c r="AW279" s="52">
        <f t="shared" si="685"/>
        <v>0</v>
      </c>
      <c r="AX279" s="52">
        <f t="shared" ref="AX279" si="686">AX281+AX297</f>
        <v>0</v>
      </c>
      <c r="AY279" s="2"/>
      <c r="AZ279" s="52">
        <f ca="1">SUMIF($AR$7:AX$7,"&lt;="&amp;$I$7,AR279:AW279)</f>
        <v>0</v>
      </c>
      <c r="BA279" s="744"/>
      <c r="BB279" s="2"/>
      <c r="BC279" s="52">
        <f>SUMIF($G$280:$G$297,$G$279,BC280:BC297)</f>
        <v>0</v>
      </c>
      <c r="BD279" s="52">
        <f t="shared" ref="BD279:BH279" si="687">SUMIF($G$280:$G$297,$G$279,BD280:BD297)</f>
        <v>0</v>
      </c>
      <c r="BE279" s="52">
        <f t="shared" si="687"/>
        <v>0</v>
      </c>
      <c r="BF279" s="52">
        <f t="shared" si="687"/>
        <v>0</v>
      </c>
      <c r="BG279" s="52">
        <f t="shared" si="687"/>
        <v>0</v>
      </c>
      <c r="BH279" s="52">
        <f t="shared" si="687"/>
        <v>0</v>
      </c>
      <c r="BI279" s="52">
        <f t="shared" ref="BI279" si="688">BI281+BI297</f>
        <v>0</v>
      </c>
      <c r="BJ279" s="2"/>
      <c r="BK279" s="52">
        <f ca="1">SUMIF($BC$7:BI$7,"&lt;="&amp;$I$7,BC279:BH279)</f>
        <v>0</v>
      </c>
      <c r="BL279" s="744"/>
      <c r="BM279" s="2"/>
      <c r="BN279" s="1018"/>
      <c r="BO279" s="889"/>
      <c r="BP279" s="1018"/>
      <c r="BQ279" s="744"/>
      <c r="BR279" s="2"/>
      <c r="BS279" s="888"/>
      <c r="BT279" s="888"/>
      <c r="BU279" s="889"/>
      <c r="BV279" s="888"/>
      <c r="BW279" s="1019"/>
      <c r="BX279" s="888"/>
      <c r="BY279" s="743"/>
      <c r="BZ279" s="2"/>
      <c r="CA279" s="888"/>
      <c r="CB279" s="888"/>
      <c r="CC279" s="2"/>
      <c r="CD279" s="84">
        <f>IFERROR(AVERAGEIF($V$7:AB$7,"&lt;="&amp;$I$7,V279:AB279),0)</f>
        <v>134.42857142857142</v>
      </c>
      <c r="CE279" s="2"/>
      <c r="CH279" s="93" t="str">
        <f t="shared" si="533"/>
        <v>Segmento 3.3 - km 202+700 a 225+000</v>
      </c>
    </row>
    <row r="280" spans="1:86" s="16" customFormat="1" ht="24.6" hidden="1" customHeight="1" outlineLevel="1">
      <c r="A280" s="74" t="s">
        <v>3982</v>
      </c>
      <c r="B280" s="1041" t="s">
        <v>3983</v>
      </c>
      <c r="C280" s="1023" t="s">
        <v>52</v>
      </c>
      <c r="D280" s="2"/>
      <c r="E280" s="1004">
        <v>953</v>
      </c>
      <c r="F280" s="2"/>
      <c r="G280" s="49" t="s">
        <v>37</v>
      </c>
      <c r="H280" s="705">
        <f t="shared" si="673"/>
        <v>0</v>
      </c>
      <c r="I280" s="878" t="str">
        <f t="shared" ref="I280" si="689">IFERROR((H281/H280),"-")</f>
        <v>-</v>
      </c>
      <c r="J280" s="2"/>
      <c r="K280" s="705"/>
      <c r="L280" s="705">
        <v>50</v>
      </c>
      <c r="M280" s="705">
        <v>50</v>
      </c>
      <c r="N280" s="705">
        <v>50</v>
      </c>
      <c r="O280" s="705">
        <v>50</v>
      </c>
      <c r="P280" s="705">
        <v>50</v>
      </c>
      <c r="Q280" s="705">
        <v>0</v>
      </c>
      <c r="R280" s="2"/>
      <c r="S280" s="705">
        <f>SUM(K280:P280)</f>
        <v>250</v>
      </c>
      <c r="T280" s="878">
        <f t="shared" ref="T280" si="690">IFERROR((S281/S280),"-")</f>
        <v>0.94799999999999995</v>
      </c>
      <c r="U280" s="2"/>
      <c r="V280" s="705"/>
      <c r="W280" s="705"/>
      <c r="X280" s="705"/>
      <c r="Y280" s="705"/>
      <c r="Z280" s="705"/>
      <c r="AA280" s="705"/>
      <c r="AB280" s="705"/>
      <c r="AC280" s="2"/>
      <c r="AD280" s="705">
        <f ca="1">SUMIF($V$7:AB$7,"&lt;="&amp;$I$7,V280:AA280)</f>
        <v>0</v>
      </c>
      <c r="AE280" s="878" t="str">
        <f t="shared" ref="AE280" ca="1" si="691">IFERROR((AD281/AD280),"-")</f>
        <v>-</v>
      </c>
      <c r="AF280" s="2"/>
      <c r="AG280" s="705"/>
      <c r="AH280" s="705"/>
      <c r="AI280" s="705"/>
      <c r="AJ280" s="705"/>
      <c r="AK280" s="705"/>
      <c r="AL280" s="705"/>
      <c r="AM280" s="705"/>
      <c r="AN280" s="2"/>
      <c r="AO280" s="705">
        <f ca="1">SUMIF($AG$7:AM$7,"&lt;="&amp;$I$7,AG280:AL280)</f>
        <v>0</v>
      </c>
      <c r="AP280" s="878" t="str">
        <f t="shared" ref="AP280" ca="1" si="692">IFERROR((AO281/AO280),"-")</f>
        <v>-</v>
      </c>
      <c r="AQ280" s="2"/>
      <c r="AR280" s="705"/>
      <c r="AS280" s="705"/>
      <c r="AT280" s="705"/>
      <c r="AU280" s="705"/>
      <c r="AV280" s="705"/>
      <c r="AW280" s="705"/>
      <c r="AX280" s="705"/>
      <c r="AY280" s="2"/>
      <c r="AZ280" s="705">
        <f ca="1">SUMIF($AR$7:AX$7,"&lt;="&amp;$I$7,AR280:AW280)</f>
        <v>0</v>
      </c>
      <c r="BA280" s="878" t="str">
        <f t="shared" ref="BA280" ca="1" si="693">IFERROR((AZ281/AZ280),"-")</f>
        <v>-</v>
      </c>
      <c r="BB280" s="2"/>
      <c r="BC280" s="76"/>
      <c r="BD280" s="705"/>
      <c r="BE280" s="705"/>
      <c r="BF280" s="705"/>
      <c r="BG280" s="705"/>
      <c r="BH280" s="705"/>
      <c r="BI280" s="705"/>
      <c r="BJ280" s="2"/>
      <c r="BK280" s="705">
        <f ca="1">SUMIF($BC$7:BI$7,"&lt;="&amp;$I$7,BC280:BH280)</f>
        <v>0</v>
      </c>
      <c r="BL280" s="878" t="str">
        <f t="shared" ref="BL280" ca="1" si="694">IFERROR((BK281/BK280),"-")</f>
        <v>-</v>
      </c>
      <c r="BM280" s="2"/>
      <c r="BN280" s="921">
        <v>0</v>
      </c>
      <c r="BO280" s="884">
        <v>0</v>
      </c>
      <c r="BP280" s="884">
        <f>SUM(M281:P281,V281:AB281,AG281:AM281,AR281:AX281,BC281:BI281)</f>
        <v>162</v>
      </c>
      <c r="BQ280" s="878">
        <f>IF(AND(BO280=0,BP280=0),"-",IF(BO280=0,1,BP280/BO280))</f>
        <v>1</v>
      </c>
      <c r="BR280" s="2"/>
      <c r="BS280" s="884"/>
      <c r="BT280" s="884"/>
      <c r="BU280" s="884">
        <f ca="1">E280+S281+AD281+AO281+AZ281+BK281-K281-L281</f>
        <v>1115</v>
      </c>
      <c r="BV280" s="884">
        <v>106</v>
      </c>
      <c r="BW280" s="1004">
        <f ca="1">IFERROR((BU280/BV280),"-")</f>
        <v>10.518867924528301</v>
      </c>
      <c r="BX280" s="884">
        <v>2767.9699999999993</v>
      </c>
      <c r="BY280" s="878">
        <f ca="1">IFERROR((BU280/BX280),"-")</f>
        <v>0.40282228492360839</v>
      </c>
      <c r="BZ280" s="2"/>
      <c r="CA280" s="884">
        <v>0</v>
      </c>
      <c r="CB280" s="884">
        <v>0</v>
      </c>
      <c r="CC280" s="2"/>
      <c r="CD280" s="504">
        <f>IFERROR(AVERAGEIF($V$7:AB$7,"&lt;="&amp;$I$7,V280:AB280),0)</f>
        <v>0</v>
      </c>
      <c r="CE280" s="2"/>
      <c r="CH280" s="93" t="str">
        <f t="shared" si="533"/>
        <v>Aterro 07 - Km 214+640 a 216+080 (Valeta aterro - VPC 01, 02, 06 e 07)</v>
      </c>
    </row>
    <row r="281" spans="1:86" s="16" customFormat="1" ht="24.6" hidden="1" customHeight="1" outlineLevel="1">
      <c r="A281" s="74"/>
      <c r="B281" s="1078"/>
      <c r="C281" s="1023"/>
      <c r="D281" s="2"/>
      <c r="E281" s="1024"/>
      <c r="F281" s="2"/>
      <c r="G281" s="50" t="s">
        <v>38</v>
      </c>
      <c r="H281" s="705">
        <f t="shared" si="673"/>
        <v>0</v>
      </c>
      <c r="I281" s="879"/>
      <c r="J281" s="2"/>
      <c r="K281" s="76"/>
      <c r="L281" s="76">
        <v>75</v>
      </c>
      <c r="M281" s="76">
        <v>48</v>
      </c>
      <c r="N281" s="76">
        <v>72</v>
      </c>
      <c r="O281" s="76">
        <v>42</v>
      </c>
      <c r="P281" s="76"/>
      <c r="Q281" s="706">
        <v>0</v>
      </c>
      <c r="R281" s="2"/>
      <c r="S281" s="705">
        <f>SUM(K281:P281)</f>
        <v>237</v>
      </c>
      <c r="T281" s="879"/>
      <c r="U281" s="2"/>
      <c r="V281" s="76"/>
      <c r="W281" s="76"/>
      <c r="X281" s="76"/>
      <c r="Y281" s="76"/>
      <c r="Z281" s="76"/>
      <c r="AA281" s="76"/>
      <c r="AB281" s="706"/>
      <c r="AC281" s="2"/>
      <c r="AD281" s="705">
        <f ca="1">SUMIF($V$7:AB$7,"&lt;="&amp;$I$7,V281:AA281)</f>
        <v>0</v>
      </c>
      <c r="AE281" s="879"/>
      <c r="AF281" s="2"/>
      <c r="AG281" s="76"/>
      <c r="AH281" s="76"/>
      <c r="AI281" s="76"/>
      <c r="AJ281" s="76"/>
      <c r="AK281" s="76"/>
      <c r="AL281" s="76"/>
      <c r="AM281" s="706"/>
      <c r="AN281" s="2"/>
      <c r="AO281" s="705">
        <f ca="1">SUMIF($AG$7:AM$7,"&lt;="&amp;$I$7,AG281:AL281)</f>
        <v>0</v>
      </c>
      <c r="AP281" s="879"/>
      <c r="AQ281" s="2"/>
      <c r="AR281" s="76"/>
      <c r="AS281" s="76"/>
      <c r="AT281" s="76"/>
      <c r="AU281" s="76"/>
      <c r="AV281" s="76"/>
      <c r="AW281" s="76"/>
      <c r="AX281" s="706"/>
      <c r="AY281" s="2"/>
      <c r="AZ281" s="705">
        <f ca="1">SUMIF($AR$7:AX$7,"&lt;="&amp;$I$7,AR281:AW281)</f>
        <v>0</v>
      </c>
      <c r="BA281" s="879"/>
      <c r="BB281" s="2"/>
      <c r="BC281" s="412"/>
      <c r="BD281" s="76"/>
      <c r="BE281" s="76"/>
      <c r="BF281" s="76"/>
      <c r="BG281" s="76"/>
      <c r="BH281" s="76"/>
      <c r="BI281" s="706"/>
      <c r="BJ281" s="2"/>
      <c r="BK281" s="705">
        <f ca="1">SUMIF($BC$7:BI$7,"&lt;="&amp;$I$7,BC281:BH281)</f>
        <v>0</v>
      </c>
      <c r="BL281" s="879"/>
      <c r="BM281" s="2"/>
      <c r="BN281" s="922"/>
      <c r="BO281" s="885"/>
      <c r="BP281" s="885"/>
      <c r="BQ281" s="879"/>
      <c r="BR281" s="2"/>
      <c r="BS281" s="886"/>
      <c r="BT281" s="886"/>
      <c r="BU281" s="885"/>
      <c r="BV281" s="886"/>
      <c r="BW281" s="1051"/>
      <c r="BX281" s="886"/>
      <c r="BY281" s="1053"/>
      <c r="BZ281" s="2"/>
      <c r="CA281" s="886"/>
      <c r="CB281" s="886"/>
      <c r="CC281" s="2"/>
      <c r="CD281" s="504">
        <f>IFERROR(AVERAGEIF($V$7:AB$7,"&lt;="&amp;$I$7,V281:AB281),0)</f>
        <v>0</v>
      </c>
      <c r="CE281" s="2"/>
      <c r="CH281" s="93" t="str">
        <f t="shared" si="533"/>
        <v>Aterro 07 - Km 214+640 a 216+080 (Valeta aterro - VPC 01, 02, 06 e 07)</v>
      </c>
    </row>
    <row r="282" spans="1:86" ht="24.6" hidden="1" customHeight="1" outlineLevel="1">
      <c r="A282" s="74"/>
      <c r="B282" s="1041" t="s">
        <v>3984</v>
      </c>
      <c r="C282" s="1023" t="s">
        <v>52</v>
      </c>
      <c r="D282" s="2"/>
      <c r="E282" s="1004">
        <v>550</v>
      </c>
      <c r="F282" s="2"/>
      <c r="G282" s="49" t="s">
        <v>37</v>
      </c>
      <c r="H282" s="705">
        <f t="shared" si="673"/>
        <v>0</v>
      </c>
      <c r="I282" s="878" t="str">
        <f t="shared" ref="I282" si="695">IFERROR((H283/H282),"-")</f>
        <v>-</v>
      </c>
      <c r="J282" s="2"/>
      <c r="K282" s="705">
        <v>20</v>
      </c>
      <c r="L282" s="705">
        <v>70</v>
      </c>
      <c r="M282" s="705">
        <v>70</v>
      </c>
      <c r="N282" s="705"/>
      <c r="O282" s="705"/>
      <c r="P282" s="705"/>
      <c r="Q282" s="705">
        <v>0</v>
      </c>
      <c r="R282" s="2"/>
      <c r="S282" s="705">
        <f t="shared" ref="S282:S297" si="696">SUMIFS(K282:Q282,$K$7:$Q$7,"&gt;="&amp;$K$7,$K$7:$Q$7,"&lt;="&amp;$I$7)</f>
        <v>160</v>
      </c>
      <c r="T282" s="878">
        <f t="shared" ref="T282" si="697">IFERROR((S283/S282),"-")</f>
        <v>1.5</v>
      </c>
      <c r="U282" s="2"/>
      <c r="V282" s="705"/>
      <c r="W282" s="705"/>
      <c r="X282" s="705"/>
      <c r="Y282" s="705"/>
      <c r="Z282" s="705"/>
      <c r="AA282" s="705"/>
      <c r="AB282" s="705"/>
      <c r="AC282" s="2"/>
      <c r="AD282" s="705">
        <f ca="1">SUMIF($V$7:AB$7,"&lt;="&amp;$I$7,V282:AA282)</f>
        <v>0</v>
      </c>
      <c r="AE282" s="878" t="str">
        <f t="shared" ref="AE282" ca="1" si="698">IFERROR((AD283/AD282),"-")</f>
        <v>-</v>
      </c>
      <c r="AF282" s="2"/>
      <c r="AG282" s="705"/>
      <c r="AH282" s="705"/>
      <c r="AI282" s="705"/>
      <c r="AJ282" s="705"/>
      <c r="AK282" s="705"/>
      <c r="AL282" s="705"/>
      <c r="AM282" s="705"/>
      <c r="AN282" s="2"/>
      <c r="AO282" s="705">
        <f ca="1">SUMIF($AG$7:AM$7,"&lt;="&amp;$I$7,AG282:AL282)</f>
        <v>0</v>
      </c>
      <c r="AP282" s="878" t="str">
        <f t="shared" ref="AP282" ca="1" si="699">IFERROR((AO283/AO282),"-")</f>
        <v>-</v>
      </c>
      <c r="AQ282" s="2"/>
      <c r="AR282" s="705"/>
      <c r="AS282" s="705"/>
      <c r="AT282" s="705"/>
      <c r="AU282" s="705"/>
      <c r="AV282" s="705"/>
      <c r="AW282" s="705"/>
      <c r="AX282" s="705"/>
      <c r="AY282" s="2"/>
      <c r="AZ282" s="705">
        <f ca="1">SUMIF($AR$7:AX$7,"&lt;="&amp;$I$7,AR282:AW282)</f>
        <v>0</v>
      </c>
      <c r="BA282" s="878" t="str">
        <f t="shared" ref="BA282" ca="1" si="700">IFERROR((AZ283/AZ282),"-")</f>
        <v>-</v>
      </c>
      <c r="BB282" s="2"/>
      <c r="BC282" s="705"/>
      <c r="BD282" s="705"/>
      <c r="BE282" s="705"/>
      <c r="BF282" s="705"/>
      <c r="BG282" s="705"/>
      <c r="BH282" s="705"/>
      <c r="BI282" s="705"/>
      <c r="BJ282" s="2"/>
      <c r="BK282" s="705">
        <f ca="1">SUMIF($BC$7:BI$7,"&lt;="&amp;$I$7,BC282:BH282)</f>
        <v>0</v>
      </c>
      <c r="BL282" s="878" t="str">
        <f t="shared" ref="BL282" ca="1" si="701">IFERROR((BK283/BK282),"-")</f>
        <v>-</v>
      </c>
      <c r="BM282" s="2"/>
      <c r="BN282" s="921">
        <v>0</v>
      </c>
      <c r="BO282" s="884">
        <v>0</v>
      </c>
      <c r="BP282" s="884">
        <f>SUM(M283:P283,V283:AB283,AG283:AM283,AR283:AX283,BC283:BI283)</f>
        <v>0</v>
      </c>
      <c r="BQ282" s="878" t="str">
        <f t="shared" ref="BQ282" si="702">IFERROR((BP282/BO282),"-")</f>
        <v>-</v>
      </c>
      <c r="BR282" s="2"/>
      <c r="BS282" s="884"/>
      <c r="BT282" s="884"/>
      <c r="BU282" s="884">
        <f ca="1">E282+S283+AD283+AO283+AZ283+BK283-K283-L283</f>
        <v>550</v>
      </c>
      <c r="BV282" s="884">
        <v>104</v>
      </c>
      <c r="BW282" s="1004">
        <f ca="1">IFERROR((BU282/BV282),"-")</f>
        <v>5.2884615384615383</v>
      </c>
      <c r="BX282" s="884">
        <v>0</v>
      </c>
      <c r="BY282" s="878" t="str">
        <f ca="1">IFERROR((BU282/BX282),"-")</f>
        <v>-</v>
      </c>
      <c r="BZ282" s="2"/>
      <c r="CA282" s="884">
        <v>0</v>
      </c>
      <c r="CB282" s="884">
        <v>0</v>
      </c>
      <c r="CC282" s="2"/>
      <c r="CD282" s="504">
        <f>IFERROR(AVERAGEIF($V$7:AB$7,"&lt;="&amp;$I$7,V282:AB282),0)</f>
        <v>0</v>
      </c>
      <c r="CE282" s="2"/>
      <c r="CH282" s="93" t="str">
        <f t="shared" si="533"/>
        <v>Aterro 08 - Km 219+200 a 220+400 
(Valeta de aterro - VPC 05)</v>
      </c>
    </row>
    <row r="283" spans="1:86" ht="24.6" hidden="1" customHeight="1" outlineLevel="1">
      <c r="A283" s="74"/>
      <c r="B283" s="1042"/>
      <c r="C283" s="1023"/>
      <c r="D283" s="2"/>
      <c r="E283" s="1024"/>
      <c r="F283" s="2"/>
      <c r="G283" s="50" t="s">
        <v>38</v>
      </c>
      <c r="H283" s="705">
        <f t="shared" si="673"/>
        <v>0</v>
      </c>
      <c r="I283" s="879"/>
      <c r="J283" s="2"/>
      <c r="K283" s="706">
        <v>159</v>
      </c>
      <c r="L283" s="706">
        <v>81</v>
      </c>
      <c r="M283" s="706"/>
      <c r="N283" s="706"/>
      <c r="O283" s="706"/>
      <c r="P283" s="706"/>
      <c r="Q283" s="706">
        <v>0</v>
      </c>
      <c r="R283" s="2"/>
      <c r="S283" s="705">
        <f t="shared" si="696"/>
        <v>240</v>
      </c>
      <c r="T283" s="879"/>
      <c r="U283" s="2"/>
      <c r="V283" s="706"/>
      <c r="W283" s="706"/>
      <c r="X283" s="706"/>
      <c r="Y283" s="706"/>
      <c r="Z283" s="706"/>
      <c r="AA283" s="706"/>
      <c r="AB283" s="706"/>
      <c r="AC283" s="2"/>
      <c r="AD283" s="705">
        <f ca="1">SUMIF($V$7:AB$7,"&lt;="&amp;$I$7,V283:AA283)</f>
        <v>0</v>
      </c>
      <c r="AE283" s="879"/>
      <c r="AF283" s="2"/>
      <c r="AG283" s="76"/>
      <c r="AH283" s="76"/>
      <c r="AI283" s="76"/>
      <c r="AJ283" s="76"/>
      <c r="AK283" s="76"/>
      <c r="AL283" s="76"/>
      <c r="AM283" s="706"/>
      <c r="AN283" s="2"/>
      <c r="AO283" s="705">
        <f ca="1">SUMIF($AG$7:AM$7,"&lt;="&amp;$I$7,AG283:AL283)</f>
        <v>0</v>
      </c>
      <c r="AP283" s="879"/>
      <c r="AQ283" s="2"/>
      <c r="AR283" s="76"/>
      <c r="AS283" s="76"/>
      <c r="AT283" s="76"/>
      <c r="AU283" s="76"/>
      <c r="AV283" s="76"/>
      <c r="AW283" s="76"/>
      <c r="AX283" s="706"/>
      <c r="AY283" s="2"/>
      <c r="AZ283" s="705">
        <f ca="1">SUMIF($AR$7:AX$7,"&lt;="&amp;$I$7,AR283:AW283)</f>
        <v>0</v>
      </c>
      <c r="BA283" s="879"/>
      <c r="BB283" s="2"/>
      <c r="BC283" s="76"/>
      <c r="BD283" s="76"/>
      <c r="BE283" s="76"/>
      <c r="BF283" s="76"/>
      <c r="BG283" s="76"/>
      <c r="BH283" s="76"/>
      <c r="BI283" s="706"/>
      <c r="BJ283" s="2"/>
      <c r="BK283" s="705">
        <f ca="1">SUMIF($BC$7:BI$7,"&lt;="&amp;$I$7,BC283:BH283)</f>
        <v>0</v>
      </c>
      <c r="BL283" s="879"/>
      <c r="BM283" s="2"/>
      <c r="BN283" s="922"/>
      <c r="BO283" s="885"/>
      <c r="BP283" s="885"/>
      <c r="BQ283" s="1050"/>
      <c r="BR283" s="2"/>
      <c r="BS283" s="922"/>
      <c r="BT283" s="922"/>
      <c r="BU283" s="885"/>
      <c r="BV283" s="922"/>
      <c r="BW283" s="1056"/>
      <c r="BX283" s="922"/>
      <c r="BY283" s="1052"/>
      <c r="BZ283" s="2"/>
      <c r="CA283" s="922"/>
      <c r="CB283" s="922"/>
      <c r="CC283" s="2"/>
      <c r="CD283" s="504">
        <f>IFERROR(AVERAGEIF($V$7:AB$7,"&lt;="&amp;$I$7,V283:AB283),0)</f>
        <v>0</v>
      </c>
      <c r="CE283" s="2"/>
      <c r="CH283" s="93" t="str">
        <f t="shared" si="533"/>
        <v>Aterro 08 - Km 219+200 a 220+400 
(Valeta de aterro - VPC 05)</v>
      </c>
    </row>
    <row r="284" spans="1:86" ht="24.6" hidden="1" customHeight="1" outlineLevel="1">
      <c r="A284" s="74"/>
      <c r="B284" s="1041" t="s">
        <v>3985</v>
      </c>
      <c r="C284" s="1023" t="s">
        <v>52</v>
      </c>
      <c r="D284" s="2"/>
      <c r="E284" s="1004">
        <v>0</v>
      </c>
      <c r="F284" s="2"/>
      <c r="G284" s="49" t="s">
        <v>37</v>
      </c>
      <c r="H284" s="705">
        <f t="shared" si="673"/>
        <v>0</v>
      </c>
      <c r="I284" s="878" t="str">
        <f t="shared" ref="I284" si="703">IFERROR((H285/H284),"-")</f>
        <v>-</v>
      </c>
      <c r="J284" s="2"/>
      <c r="K284" s="705"/>
      <c r="L284" s="705"/>
      <c r="M284" s="705"/>
      <c r="N284" s="705"/>
      <c r="O284" s="705"/>
      <c r="P284" s="705"/>
      <c r="Q284" s="705">
        <v>0</v>
      </c>
      <c r="R284" s="2"/>
      <c r="S284" s="705">
        <f t="shared" si="696"/>
        <v>0</v>
      </c>
      <c r="T284" s="878" t="str">
        <f t="shared" ref="T284" si="704">IFERROR((S285/S284),"-")</f>
        <v>-</v>
      </c>
      <c r="U284" s="2"/>
      <c r="V284" s="705"/>
      <c r="W284" s="705"/>
      <c r="X284" s="705"/>
      <c r="Y284" s="705"/>
      <c r="Z284" s="705"/>
      <c r="AA284" s="705"/>
      <c r="AB284" s="705"/>
      <c r="AC284" s="2"/>
      <c r="AD284" s="705">
        <f ca="1">SUMIF($V$7:AB$7,"&lt;="&amp;$I$7,V284:AA284)</f>
        <v>0</v>
      </c>
      <c r="AE284" s="878" t="str">
        <f t="shared" ref="AE284" ca="1" si="705">IFERROR((AD285/AD284),"-")</f>
        <v>-</v>
      </c>
      <c r="AF284" s="2"/>
      <c r="AG284" s="705"/>
      <c r="AH284" s="705"/>
      <c r="AI284" s="705"/>
      <c r="AJ284" s="705"/>
      <c r="AK284" s="705"/>
      <c r="AL284" s="705"/>
      <c r="AM284" s="705"/>
      <c r="AN284" s="2"/>
      <c r="AO284" s="705">
        <f ca="1">SUMIF($AG$7:AM$7,"&lt;="&amp;$I$7,AG284:AL284)</f>
        <v>0</v>
      </c>
      <c r="AP284" s="878" t="str">
        <f t="shared" ref="AP284" ca="1" si="706">IFERROR((AO285/AO284),"-")</f>
        <v>-</v>
      </c>
      <c r="AQ284" s="2"/>
      <c r="AR284" s="705"/>
      <c r="AS284" s="705"/>
      <c r="AT284" s="705"/>
      <c r="AU284" s="705"/>
      <c r="AV284" s="705"/>
      <c r="AW284" s="705"/>
      <c r="AX284" s="705"/>
      <c r="AY284" s="2"/>
      <c r="AZ284" s="705">
        <f ca="1">SUMIF($AR$7:AX$7,"&lt;="&amp;$I$7,AR284:AW284)</f>
        <v>0</v>
      </c>
      <c r="BA284" s="878" t="str">
        <f t="shared" ref="BA284" ca="1" si="707">IFERROR((AZ285/AZ284),"-")</f>
        <v>-</v>
      </c>
      <c r="BB284" s="2"/>
      <c r="BC284" s="705"/>
      <c r="BD284" s="705"/>
      <c r="BE284" s="705"/>
      <c r="BF284" s="705"/>
      <c r="BG284" s="705"/>
      <c r="BH284" s="705"/>
      <c r="BI284" s="705"/>
      <c r="BJ284" s="2"/>
      <c r="BK284" s="705">
        <f ca="1">SUMIF($BC$7:BI$7,"&lt;="&amp;$I$7,BC284:BH284)</f>
        <v>0</v>
      </c>
      <c r="BL284" s="878" t="str">
        <f t="shared" ref="BL284" ca="1" si="708">IFERROR((BK285/BK284),"-")</f>
        <v>-</v>
      </c>
      <c r="BM284" s="2"/>
      <c r="BN284" s="921">
        <v>0</v>
      </c>
      <c r="BO284" s="884">
        <v>0</v>
      </c>
      <c r="BP284" s="884">
        <f>SUM(M285:P285,V285:AB285,AG285:AM285,AR285:AX285,BC285:BI285)</f>
        <v>0</v>
      </c>
      <c r="BQ284" s="878" t="str">
        <f t="shared" ref="BQ284" si="709">IFERROR((BP284/BO284),"-")</f>
        <v>-</v>
      </c>
      <c r="BR284" s="2"/>
      <c r="BS284" s="884"/>
      <c r="BT284" s="884"/>
      <c r="BU284" s="884">
        <f ca="1">E284+S285+AD285+AO285+AZ285+BK285-K285-L285</f>
        <v>0</v>
      </c>
      <c r="BV284" s="884">
        <v>104</v>
      </c>
      <c r="BW284" s="1004">
        <f ca="1">IFERROR((BU284/BV284),"-")</f>
        <v>0</v>
      </c>
      <c r="BX284" s="884">
        <v>0</v>
      </c>
      <c r="BY284" s="878" t="str">
        <f ca="1">IFERROR((BU284/BX284),"-")</f>
        <v>-</v>
      </c>
      <c r="BZ284" s="2"/>
      <c r="CA284" s="884">
        <v>0</v>
      </c>
      <c r="CB284" s="884">
        <v>0</v>
      </c>
      <c r="CC284" s="2"/>
      <c r="CD284" s="504">
        <f>IFERROR(AVERAGEIF($V$7:AB$7,"&lt;="&amp;$I$7,V284:AB284),0)</f>
        <v>0</v>
      </c>
      <c r="CE284" s="2"/>
      <c r="CH284" s="93" t="str">
        <f t="shared" si="533"/>
        <v>Aterro 08 - Km 219+200 a 220+400 
(Sarjeta - VLA)</v>
      </c>
    </row>
    <row r="285" spans="1:86" s="44" customFormat="1" ht="24.6" hidden="1" customHeight="1" outlineLevel="1">
      <c r="A285" s="74"/>
      <c r="B285" s="1042"/>
      <c r="C285" s="1023"/>
      <c r="D285" s="2"/>
      <c r="E285" s="1024"/>
      <c r="F285" s="2"/>
      <c r="G285" s="50" t="s">
        <v>38</v>
      </c>
      <c r="H285" s="705">
        <f t="shared" si="673"/>
        <v>0</v>
      </c>
      <c r="I285" s="879"/>
      <c r="J285" s="2"/>
      <c r="K285" s="706"/>
      <c r="L285" s="706"/>
      <c r="M285" s="706"/>
      <c r="N285" s="706"/>
      <c r="O285" s="706"/>
      <c r="P285" s="706"/>
      <c r="Q285" s="706">
        <v>0</v>
      </c>
      <c r="R285" s="2"/>
      <c r="S285" s="705">
        <f t="shared" si="696"/>
        <v>0</v>
      </c>
      <c r="T285" s="879"/>
      <c r="U285" s="2"/>
      <c r="V285" s="706"/>
      <c r="W285" s="706"/>
      <c r="X285" s="706"/>
      <c r="Y285" s="706"/>
      <c r="Z285" s="706"/>
      <c r="AA285" s="706"/>
      <c r="AB285" s="706"/>
      <c r="AC285" s="2"/>
      <c r="AD285" s="705">
        <f ca="1">SUMIF($V$7:AB$7,"&lt;="&amp;$I$7,V285:AA285)</f>
        <v>0</v>
      </c>
      <c r="AE285" s="879"/>
      <c r="AF285" s="2"/>
      <c r="AG285" s="706"/>
      <c r="AH285" s="706"/>
      <c r="AI285" s="706"/>
      <c r="AJ285" s="706"/>
      <c r="AK285" s="706"/>
      <c r="AL285" s="706"/>
      <c r="AM285" s="706"/>
      <c r="AN285" s="2"/>
      <c r="AO285" s="705">
        <f ca="1">SUMIF($AG$7:AM$7,"&lt;="&amp;$I$7,AG285:AL285)</f>
        <v>0</v>
      </c>
      <c r="AP285" s="879"/>
      <c r="AQ285" s="2"/>
      <c r="AR285" s="76"/>
      <c r="AS285" s="76"/>
      <c r="AT285" s="76"/>
      <c r="AU285" s="76"/>
      <c r="AV285" s="76"/>
      <c r="AW285" s="76"/>
      <c r="AX285" s="706"/>
      <c r="AY285" s="2"/>
      <c r="AZ285" s="705">
        <f ca="1">SUMIF($AR$7:AX$7,"&lt;="&amp;$I$7,AR285:AW285)</f>
        <v>0</v>
      </c>
      <c r="BA285" s="879"/>
      <c r="BB285" s="2"/>
      <c r="BC285" s="76"/>
      <c r="BD285" s="76"/>
      <c r="BE285" s="76"/>
      <c r="BF285" s="76"/>
      <c r="BG285" s="76"/>
      <c r="BH285" s="76"/>
      <c r="BI285" s="706"/>
      <c r="BJ285" s="2"/>
      <c r="BK285" s="705">
        <f ca="1">SUMIF($BC$7:BI$7,"&lt;="&amp;$I$7,BC285:BH285)</f>
        <v>0</v>
      </c>
      <c r="BL285" s="879"/>
      <c r="BM285" s="2"/>
      <c r="BN285" s="922"/>
      <c r="BO285" s="885"/>
      <c r="BP285" s="885"/>
      <c r="BQ285" s="1050"/>
      <c r="BR285" s="2"/>
      <c r="BS285" s="922"/>
      <c r="BT285" s="922"/>
      <c r="BU285" s="885"/>
      <c r="BV285" s="922"/>
      <c r="BW285" s="1056"/>
      <c r="BX285" s="922"/>
      <c r="BY285" s="1052"/>
      <c r="BZ285" s="2"/>
      <c r="CA285" s="922"/>
      <c r="CB285" s="922"/>
      <c r="CC285" s="2"/>
      <c r="CD285" s="504">
        <f>IFERROR(AVERAGEIF($V$7:AB$7,"&lt;="&amp;$I$7,V285:AB285),0)</f>
        <v>0</v>
      </c>
      <c r="CE285" s="2"/>
      <c r="CH285" s="93" t="str">
        <f t="shared" si="533"/>
        <v>Aterro 08 - Km 219+200 a 220+400 
(Sarjeta - VLA)</v>
      </c>
    </row>
    <row r="286" spans="1:86" s="44" customFormat="1" ht="23.1" hidden="1" customHeight="1" outlineLevel="1">
      <c r="A286" s="74"/>
      <c r="B286" s="1041" t="s">
        <v>3986</v>
      </c>
      <c r="C286" s="1023" t="s">
        <v>52</v>
      </c>
      <c r="D286" s="2"/>
      <c r="E286" s="1004">
        <v>520</v>
      </c>
      <c r="F286" s="2"/>
      <c r="G286" s="49" t="s">
        <v>37</v>
      </c>
      <c r="H286" s="705">
        <f t="shared" si="673"/>
        <v>0</v>
      </c>
      <c r="I286" s="878" t="str">
        <f t="shared" ref="I286" si="710">IFERROR((H287/H286),"-")</f>
        <v>-</v>
      </c>
      <c r="J286" s="2"/>
      <c r="K286" s="705"/>
      <c r="L286" s="705">
        <v>50</v>
      </c>
      <c r="M286" s="705">
        <v>50</v>
      </c>
      <c r="N286" s="705">
        <v>50</v>
      </c>
      <c r="O286" s="705">
        <v>50</v>
      </c>
      <c r="P286" s="705">
        <v>50</v>
      </c>
      <c r="Q286" s="705">
        <v>0</v>
      </c>
      <c r="R286" s="2"/>
      <c r="S286" s="705">
        <f t="shared" si="696"/>
        <v>250</v>
      </c>
      <c r="T286" s="878">
        <f t="shared" ref="T286" si="711">IFERROR((S287/S286),"-")</f>
        <v>0</v>
      </c>
      <c r="U286" s="2"/>
      <c r="V286" s="705"/>
      <c r="W286" s="705"/>
      <c r="X286" s="705"/>
      <c r="Y286" s="705">
        <v>100</v>
      </c>
      <c r="Z286" s="705">
        <v>100</v>
      </c>
      <c r="AA286" s="705">
        <v>100</v>
      </c>
      <c r="AB286" s="705"/>
      <c r="AC286" s="2"/>
      <c r="AD286" s="705">
        <f ca="1">SUMIF($V$7:AB$7,"&lt;="&amp;$I$7,V286:AA286)</f>
        <v>300</v>
      </c>
      <c r="AE286" s="878">
        <f t="shared" ref="AE286" ca="1" si="712">IFERROR((AD287/AD286),"-")</f>
        <v>2.0466666666666669</v>
      </c>
      <c r="AF286" s="2"/>
      <c r="AG286" s="705">
        <v>50</v>
      </c>
      <c r="AH286" s="705"/>
      <c r="AI286" s="705"/>
      <c r="AJ286" s="705"/>
      <c r="AK286" s="705"/>
      <c r="AL286" s="705"/>
      <c r="AM286" s="705"/>
      <c r="AN286" s="2"/>
      <c r="AO286" s="705">
        <f ca="1">SUMIF($AG$7:AM$7,"&lt;="&amp;$I$7,AG286:AL286)</f>
        <v>50</v>
      </c>
      <c r="AP286" s="878">
        <f t="shared" ref="AP286" ca="1" si="713">IFERROR((AO287/AO286),"-")</f>
        <v>1.2</v>
      </c>
      <c r="AQ286" s="2"/>
      <c r="AR286" s="705"/>
      <c r="AS286" s="705"/>
      <c r="AT286" s="705"/>
      <c r="AU286" s="705"/>
      <c r="AV286" s="705"/>
      <c r="AW286" s="705"/>
      <c r="AX286" s="705"/>
      <c r="AY286" s="2"/>
      <c r="AZ286" s="705">
        <f ca="1">SUMIF($AR$7:AX$7,"&lt;="&amp;$I$7,AR286:AW286)</f>
        <v>0</v>
      </c>
      <c r="BA286" s="878" t="str">
        <f t="shared" ref="BA286" ca="1" si="714">IFERROR((AZ287/AZ286),"-")</f>
        <v>-</v>
      </c>
      <c r="BB286" s="2"/>
      <c r="BC286" s="705"/>
      <c r="BD286" s="705"/>
      <c r="BE286" s="705"/>
      <c r="BF286" s="705"/>
      <c r="BG286" s="705"/>
      <c r="BH286" s="705"/>
      <c r="BI286" s="705"/>
      <c r="BJ286" s="2"/>
      <c r="BK286" s="705">
        <f ca="1">SUMIF($BC$7:BI$7,"&lt;="&amp;$I$7,BC286:BH286)</f>
        <v>0</v>
      </c>
      <c r="BL286" s="878" t="str">
        <f t="shared" ref="BL286" ca="1" si="715">IFERROR((BK287/BK286),"-")</f>
        <v>-</v>
      </c>
      <c r="BM286" s="2"/>
      <c r="BN286" s="921">
        <v>0</v>
      </c>
      <c r="BO286" s="884">
        <v>0</v>
      </c>
      <c r="BP286" s="884">
        <f>SUM(M287:P287,V287:AB287,AG287:AM287,AR287:AX287,BC287:BI287)</f>
        <v>674</v>
      </c>
      <c r="BQ286" s="878" t="str">
        <f t="shared" ref="BQ286" si="716">IFERROR((BP286/BO286),"-")</f>
        <v>-</v>
      </c>
      <c r="BR286" s="2"/>
      <c r="BS286" s="884"/>
      <c r="BT286" s="884"/>
      <c r="BU286" s="884">
        <f ca="1">E286+S287+AD287+AO287+AZ287+BK287-K287-L287</f>
        <v>1194</v>
      </c>
      <c r="BV286" s="884">
        <v>104</v>
      </c>
      <c r="BW286" s="1004">
        <f ca="1">IFERROR((BU286/BV286),"-")</f>
        <v>11.48076923076923</v>
      </c>
      <c r="BX286" s="884">
        <v>0</v>
      </c>
      <c r="BY286" s="878" t="str">
        <f ca="1">IFERROR((BU286/BX286),"-")</f>
        <v>-</v>
      </c>
      <c r="BZ286" s="2"/>
      <c r="CA286" s="884">
        <v>0</v>
      </c>
      <c r="CB286" s="884">
        <v>0</v>
      </c>
      <c r="CC286" s="2"/>
      <c r="CD286" s="504">
        <f>IFERROR(AVERAGEIF($V$7:AB$7,"&lt;="&amp;$I$7,V286:AB286),0)</f>
        <v>100</v>
      </c>
      <c r="CE286" s="2"/>
      <c r="CH286" s="93" t="str">
        <f t="shared" si="533"/>
        <v>Aterro 07 - Km 214+640 a 216+080 - (Sarjeta de aterro - SZA 02)</v>
      </c>
    </row>
    <row r="287" spans="1:86" s="44" customFormat="1" ht="23.1" hidden="1" customHeight="1" outlineLevel="1">
      <c r="A287" s="74"/>
      <c r="B287" s="1078"/>
      <c r="C287" s="1023"/>
      <c r="D287" s="2"/>
      <c r="E287" s="1024"/>
      <c r="F287" s="2"/>
      <c r="G287" s="50" t="s">
        <v>38</v>
      </c>
      <c r="H287" s="705">
        <f t="shared" si="673"/>
        <v>0</v>
      </c>
      <c r="I287" s="879"/>
      <c r="J287" s="2"/>
      <c r="K287" s="706"/>
      <c r="L287" s="706"/>
      <c r="M287" s="706"/>
      <c r="N287" s="706"/>
      <c r="O287" s="706"/>
      <c r="P287" s="706"/>
      <c r="Q287" s="706">
        <v>0</v>
      </c>
      <c r="R287" s="2"/>
      <c r="S287" s="705">
        <f t="shared" si="696"/>
        <v>0</v>
      </c>
      <c r="T287" s="879"/>
      <c r="U287" s="2"/>
      <c r="V287" s="76"/>
      <c r="W287" s="76"/>
      <c r="X287" s="76"/>
      <c r="Y287" s="76">
        <v>97</v>
      </c>
      <c r="Z287" s="76">
        <v>257</v>
      </c>
      <c r="AA287" s="76">
        <v>260</v>
      </c>
      <c r="AB287" s="706"/>
      <c r="AC287" s="2"/>
      <c r="AD287" s="705">
        <f ca="1">SUMIF($V$7:AB$7,"&lt;="&amp;$I$7,V287:AA287)</f>
        <v>614</v>
      </c>
      <c r="AE287" s="879"/>
      <c r="AF287" s="2"/>
      <c r="AG287" s="76">
        <v>60</v>
      </c>
      <c r="AH287" s="76"/>
      <c r="AI287" s="76"/>
      <c r="AJ287" s="76"/>
      <c r="AK287" s="76"/>
      <c r="AL287" s="76"/>
      <c r="AM287" s="706"/>
      <c r="AN287" s="2"/>
      <c r="AO287" s="705">
        <f ca="1">SUMIF($AG$7:AM$7,"&lt;="&amp;$I$7,AG287:AL287)</f>
        <v>60</v>
      </c>
      <c r="AP287" s="879"/>
      <c r="AQ287" s="2"/>
      <c r="AR287" s="76"/>
      <c r="AS287" s="76"/>
      <c r="AT287" s="76"/>
      <c r="AU287" s="76"/>
      <c r="AV287" s="76"/>
      <c r="AW287" s="76"/>
      <c r="AX287" s="706"/>
      <c r="AY287" s="2"/>
      <c r="AZ287" s="705">
        <f ca="1">SUMIF($AR$7:AX$7,"&lt;="&amp;$I$7,AR287:AW287)</f>
        <v>0</v>
      </c>
      <c r="BA287" s="879"/>
      <c r="BB287" s="2"/>
      <c r="BC287" s="76"/>
      <c r="BD287" s="76"/>
      <c r="BE287" s="76"/>
      <c r="BF287" s="76"/>
      <c r="BG287" s="76"/>
      <c r="BH287" s="76"/>
      <c r="BI287" s="706"/>
      <c r="BJ287" s="2"/>
      <c r="BK287" s="705">
        <f ca="1">SUMIF($BC$7:BI$7,"&lt;="&amp;$I$7,BC287:BH287)</f>
        <v>0</v>
      </c>
      <c r="BL287" s="879"/>
      <c r="BM287" s="2"/>
      <c r="BN287" s="922"/>
      <c r="BO287" s="885"/>
      <c r="BP287" s="885"/>
      <c r="BQ287" s="1050"/>
      <c r="BR287" s="2"/>
      <c r="BS287" s="922"/>
      <c r="BT287" s="922"/>
      <c r="BU287" s="885"/>
      <c r="BV287" s="922"/>
      <c r="BW287" s="1056"/>
      <c r="BX287" s="922"/>
      <c r="BY287" s="1052"/>
      <c r="BZ287" s="2"/>
      <c r="CA287" s="922"/>
      <c r="CB287" s="922"/>
      <c r="CC287" s="2"/>
      <c r="CD287" s="504">
        <f>IFERROR(AVERAGEIF($V$7:AB$7,"&lt;="&amp;$I$7,V287:AB287),0)</f>
        <v>204.66666666666666</v>
      </c>
      <c r="CE287" s="2"/>
      <c r="CH287" s="93" t="str">
        <f t="shared" si="533"/>
        <v>Aterro 07 - Km 214+640 a 216+080 - (Sarjeta de aterro - SZA 02)</v>
      </c>
    </row>
    <row r="288" spans="1:86" ht="15.95" hidden="1" customHeight="1" outlineLevel="1">
      <c r="A288" s="74"/>
      <c r="B288" s="1041" t="s">
        <v>3987</v>
      </c>
      <c r="C288" s="1023" t="s">
        <v>52</v>
      </c>
      <c r="D288" s="2"/>
      <c r="E288" s="1004">
        <v>819</v>
      </c>
      <c r="F288" s="2"/>
      <c r="G288" s="49" t="s">
        <v>37</v>
      </c>
      <c r="H288" s="705">
        <f t="shared" si="673"/>
        <v>0</v>
      </c>
      <c r="I288" s="878" t="str">
        <f t="shared" ref="I288" si="717">IFERROR((H289/H288),"-")</f>
        <v>-</v>
      </c>
      <c r="J288" s="2"/>
      <c r="K288" s="705"/>
      <c r="L288" s="705"/>
      <c r="M288" s="705"/>
      <c r="N288" s="705"/>
      <c r="O288" s="705"/>
      <c r="P288" s="705"/>
      <c r="Q288" s="705">
        <v>0</v>
      </c>
      <c r="R288" s="2"/>
      <c r="S288" s="705">
        <f t="shared" si="696"/>
        <v>0</v>
      </c>
      <c r="T288" s="878" t="str">
        <f t="shared" ref="T288" si="718">IFERROR((S289/S288),"-")</f>
        <v>-</v>
      </c>
      <c r="U288" s="2"/>
      <c r="V288" s="705"/>
      <c r="W288" s="705"/>
      <c r="X288" s="705"/>
      <c r="Y288" s="705"/>
      <c r="Z288" s="705"/>
      <c r="AA288" s="705"/>
      <c r="AB288" s="705"/>
      <c r="AC288" s="2"/>
      <c r="AD288" s="705">
        <f ca="1">SUMIF($V$7:AB$7,"&lt;="&amp;$I$7,V288:AA288)</f>
        <v>0</v>
      </c>
      <c r="AE288" s="878" t="str">
        <f t="shared" ref="AE288" ca="1" si="719">IFERROR((AD289/AD288),"-")</f>
        <v>-</v>
      </c>
      <c r="AF288" s="2"/>
      <c r="AG288" s="705"/>
      <c r="AH288" s="705"/>
      <c r="AI288" s="705"/>
      <c r="AJ288" s="705"/>
      <c r="AK288" s="705"/>
      <c r="AL288" s="705"/>
      <c r="AM288" s="705"/>
      <c r="AN288" s="2"/>
      <c r="AO288" s="705">
        <f ca="1">SUMIF($AG$7:AM$7,"&lt;="&amp;$I$7,AG288:AL288)</f>
        <v>0</v>
      </c>
      <c r="AP288" s="878" t="str">
        <f t="shared" ref="AP288" ca="1" si="720">IFERROR((AO289/AO288),"-")</f>
        <v>-</v>
      </c>
      <c r="AQ288" s="2"/>
      <c r="AR288" s="705"/>
      <c r="AS288" s="705"/>
      <c r="AT288" s="705"/>
      <c r="AU288" s="705"/>
      <c r="AV288" s="705"/>
      <c r="AW288" s="705"/>
      <c r="AX288" s="705"/>
      <c r="AY288" s="2"/>
      <c r="AZ288" s="705">
        <f ca="1">SUMIF($AR$7:AX$7,"&lt;="&amp;$I$7,AR288:AW288)</f>
        <v>0</v>
      </c>
      <c r="BA288" s="878" t="str">
        <f t="shared" ref="BA288" ca="1" si="721">IFERROR((AZ289/AZ288),"-")</f>
        <v>-</v>
      </c>
      <c r="BB288" s="2"/>
      <c r="BC288" s="705"/>
      <c r="BD288" s="705"/>
      <c r="BE288" s="705"/>
      <c r="BF288" s="705"/>
      <c r="BG288" s="705"/>
      <c r="BH288" s="705"/>
      <c r="BI288" s="705"/>
      <c r="BJ288" s="2"/>
      <c r="BK288" s="705">
        <f ca="1">SUMIF($BC$7:BI$7,"&lt;="&amp;$I$7,BC288:BH288)</f>
        <v>0</v>
      </c>
      <c r="BL288" s="878" t="str">
        <f t="shared" ref="BL288" ca="1" si="722">IFERROR((BK289/BK288),"-")</f>
        <v>-</v>
      </c>
      <c r="BM288" s="2"/>
      <c r="BN288" s="921">
        <v>0</v>
      </c>
      <c r="BO288" s="884">
        <v>0</v>
      </c>
      <c r="BP288" s="884">
        <f>SUM(M289:P289,V289:AB289,AG289:AM289,AR289:AX289,BC289:BI289)</f>
        <v>0</v>
      </c>
      <c r="BQ288" s="878" t="str">
        <f t="shared" ref="BQ288" si="723">IFERROR((BP288/BO288),"-")</f>
        <v>-</v>
      </c>
      <c r="BR288" s="2"/>
      <c r="BS288" s="884"/>
      <c r="BT288" s="884"/>
      <c r="BU288" s="884">
        <f ca="1">E288+S289+AD289+AO289+AZ289+BK289-K289-L289</f>
        <v>819</v>
      </c>
      <c r="BV288" s="884">
        <v>104</v>
      </c>
      <c r="BW288" s="1004">
        <f ca="1">IFERROR((BU288/BV288),"-")</f>
        <v>7.875</v>
      </c>
      <c r="BX288" s="884">
        <v>0</v>
      </c>
      <c r="BY288" s="878" t="str">
        <f ca="1">IFERROR((BU288/BX288),"-")</f>
        <v>-</v>
      </c>
      <c r="BZ288" s="2"/>
      <c r="CA288" s="884">
        <v>0</v>
      </c>
      <c r="CB288" s="884">
        <v>0</v>
      </c>
      <c r="CC288" s="2"/>
      <c r="CD288" s="504">
        <f>IFERROR(AVERAGEIF($V$7:AB$7,"&lt;="&amp;$I$7,V288:AB288),0)</f>
        <v>0</v>
      </c>
      <c r="CE288" s="2"/>
      <c r="CH288" s="93" t="str">
        <f t="shared" si="533"/>
        <v>Corte 04 - Km 221+495 a 221+980  (Canaleta de banqueta - CZB 02)</v>
      </c>
    </row>
    <row r="289" spans="1:86" s="44" customFormat="1" ht="23.1" hidden="1" customHeight="1" outlineLevel="1">
      <c r="A289" s="74"/>
      <c r="B289" s="1078"/>
      <c r="C289" s="1023"/>
      <c r="D289" s="2"/>
      <c r="E289" s="1024"/>
      <c r="F289" s="2"/>
      <c r="G289" s="50" t="s">
        <v>38</v>
      </c>
      <c r="H289" s="705">
        <f t="shared" si="673"/>
        <v>0</v>
      </c>
      <c r="I289" s="879"/>
      <c r="J289" s="2"/>
      <c r="K289" s="706"/>
      <c r="L289" s="706"/>
      <c r="M289" s="706"/>
      <c r="N289" s="706"/>
      <c r="O289" s="706"/>
      <c r="P289" s="706"/>
      <c r="Q289" s="706">
        <v>0</v>
      </c>
      <c r="R289" s="2"/>
      <c r="S289" s="705">
        <f t="shared" si="696"/>
        <v>0</v>
      </c>
      <c r="T289" s="879"/>
      <c r="U289" s="2"/>
      <c r="V289" s="706"/>
      <c r="W289" s="706"/>
      <c r="X289" s="706"/>
      <c r="Y289" s="706"/>
      <c r="Z289" s="706"/>
      <c r="AA289" s="706"/>
      <c r="AB289" s="706"/>
      <c r="AC289" s="2"/>
      <c r="AD289" s="705">
        <f ca="1">SUMIF($V$7:AB$7,"&lt;="&amp;$I$7,V289:AA289)</f>
        <v>0</v>
      </c>
      <c r="AE289" s="879"/>
      <c r="AF289" s="2"/>
      <c r="AG289" s="76"/>
      <c r="AH289" s="76"/>
      <c r="AI289" s="76"/>
      <c r="AJ289" s="76"/>
      <c r="AK289" s="76"/>
      <c r="AL289" s="76"/>
      <c r="AM289" s="706"/>
      <c r="AN289" s="2"/>
      <c r="AO289" s="705">
        <f ca="1">SUMIF($AG$7:AM$7,"&lt;="&amp;$I$7,AG289:AL289)</f>
        <v>0</v>
      </c>
      <c r="AP289" s="879"/>
      <c r="AQ289" s="2"/>
      <c r="AR289" s="76"/>
      <c r="AS289" s="76"/>
      <c r="AT289" s="76"/>
      <c r="AU289" s="76"/>
      <c r="AV289" s="76"/>
      <c r="AW289" s="76"/>
      <c r="AX289" s="706"/>
      <c r="AY289" s="2"/>
      <c r="AZ289" s="705">
        <f ca="1">SUMIF($AR$7:AX$7,"&lt;="&amp;$I$7,AR289:AW289)</f>
        <v>0</v>
      </c>
      <c r="BA289" s="879"/>
      <c r="BB289" s="2"/>
      <c r="BC289" s="76"/>
      <c r="BD289" s="76"/>
      <c r="BE289" s="76"/>
      <c r="BF289" s="76"/>
      <c r="BG289" s="76"/>
      <c r="BH289" s="76"/>
      <c r="BI289" s="706"/>
      <c r="BJ289" s="2"/>
      <c r="BK289" s="705">
        <f ca="1">SUMIF($BC$7:BI$7,"&lt;="&amp;$I$7,BC289:BH289)</f>
        <v>0</v>
      </c>
      <c r="BL289" s="879"/>
      <c r="BM289" s="2"/>
      <c r="BN289" s="922"/>
      <c r="BO289" s="885"/>
      <c r="BP289" s="885"/>
      <c r="BQ289" s="1050"/>
      <c r="BR289" s="2"/>
      <c r="BS289" s="922"/>
      <c r="BT289" s="922"/>
      <c r="BU289" s="885"/>
      <c r="BV289" s="922"/>
      <c r="BW289" s="1056"/>
      <c r="BX289" s="922"/>
      <c r="BY289" s="1052"/>
      <c r="BZ289" s="2"/>
      <c r="CA289" s="922"/>
      <c r="CB289" s="922"/>
      <c r="CC289" s="2"/>
      <c r="CD289" s="504">
        <f>IFERROR(AVERAGEIF($V$7:AB$7,"&lt;="&amp;$I$7,V289:AB289),0)</f>
        <v>0</v>
      </c>
      <c r="CE289" s="2"/>
      <c r="CH289" s="93" t="str">
        <f t="shared" si="533"/>
        <v>Corte 04 - Km 221+495 a 221+980  (Canaleta de banqueta - CZB 02)</v>
      </c>
    </row>
    <row r="290" spans="1:86" ht="15.95" hidden="1" customHeight="1" outlineLevel="1">
      <c r="A290" s="74"/>
      <c r="B290" s="1041" t="s">
        <v>3988</v>
      </c>
      <c r="C290" s="1023" t="s">
        <v>52</v>
      </c>
      <c r="D290" s="2"/>
      <c r="E290" s="1004">
        <v>0</v>
      </c>
      <c r="F290" s="2"/>
      <c r="G290" s="49" t="s">
        <v>37</v>
      </c>
      <c r="H290" s="705">
        <f t="shared" si="673"/>
        <v>0</v>
      </c>
      <c r="I290" s="878" t="str">
        <f t="shared" ref="I290" si="724">IFERROR((H291/H290),"-")</f>
        <v>-</v>
      </c>
      <c r="J290" s="2"/>
      <c r="K290" s="705"/>
      <c r="L290" s="705">
        <v>50</v>
      </c>
      <c r="M290" s="705">
        <v>50</v>
      </c>
      <c r="N290" s="705">
        <v>50</v>
      </c>
      <c r="O290" s="705">
        <v>50</v>
      </c>
      <c r="P290" s="705">
        <v>50</v>
      </c>
      <c r="Q290" s="705">
        <v>0</v>
      </c>
      <c r="R290" s="2"/>
      <c r="S290" s="705">
        <f t="shared" si="696"/>
        <v>250</v>
      </c>
      <c r="T290" s="878">
        <f t="shared" ref="T290" si="725">IFERROR((S291/S290),"-")</f>
        <v>0</v>
      </c>
      <c r="U290" s="2"/>
      <c r="V290" s="705">
        <v>50</v>
      </c>
      <c r="W290" s="705">
        <v>50</v>
      </c>
      <c r="X290" s="705"/>
      <c r="Y290" s="705"/>
      <c r="Z290" s="705"/>
      <c r="AA290" s="705"/>
      <c r="AB290" s="705"/>
      <c r="AC290" s="2"/>
      <c r="AD290" s="705">
        <f ca="1">SUMIF($V$7:AB$7,"&lt;="&amp;$I$7,V290:AA290)</f>
        <v>100</v>
      </c>
      <c r="AE290" s="878">
        <f t="shared" ref="AE290" ca="1" si="726">IFERROR((AD291/AD290),"-")</f>
        <v>1.1399999999999999</v>
      </c>
      <c r="AF290" s="2"/>
      <c r="AG290" s="705"/>
      <c r="AH290" s="705"/>
      <c r="AI290" s="705">
        <v>100</v>
      </c>
      <c r="AJ290" s="705">
        <v>100</v>
      </c>
      <c r="AK290" s="705">
        <v>100</v>
      </c>
      <c r="AL290" s="705">
        <v>100</v>
      </c>
      <c r="AM290" s="705"/>
      <c r="AN290" s="2"/>
      <c r="AO290" s="705">
        <f ca="1">SUMIF($AG$7:AM$7,"&lt;="&amp;$I$7,AG290:AL290)</f>
        <v>0</v>
      </c>
      <c r="AP290" s="878" t="str">
        <f t="shared" ref="AP290" ca="1" si="727">IFERROR((AO291/AO290),"-")</f>
        <v>-</v>
      </c>
      <c r="AQ290" s="2"/>
      <c r="AR290" s="705"/>
      <c r="AS290" s="705"/>
      <c r="AT290" s="705"/>
      <c r="AU290" s="705"/>
      <c r="AV290" s="705"/>
      <c r="AW290" s="705"/>
      <c r="AX290" s="705"/>
      <c r="AY290" s="2"/>
      <c r="AZ290" s="705">
        <f ca="1">SUMIF($AR$7:AX$7,"&lt;="&amp;$I$7,AR290:AW290)</f>
        <v>0</v>
      </c>
      <c r="BA290" s="878" t="str">
        <f t="shared" ref="BA290" ca="1" si="728">IFERROR((AZ291/AZ290),"-")</f>
        <v>-</v>
      </c>
      <c r="BB290" s="2"/>
      <c r="BC290" s="705"/>
      <c r="BD290" s="705"/>
      <c r="BE290" s="705"/>
      <c r="BF290" s="705"/>
      <c r="BG290" s="705"/>
      <c r="BH290" s="705"/>
      <c r="BI290" s="705"/>
      <c r="BJ290" s="2"/>
      <c r="BK290" s="705">
        <f ca="1">SUMIF($BC$7:BI$7,"&lt;="&amp;$I$7,BC290:BH290)</f>
        <v>0</v>
      </c>
      <c r="BL290" s="878" t="str">
        <f t="shared" ref="BL290" ca="1" si="729">IFERROR((BK291/BK290),"-")</f>
        <v>-</v>
      </c>
      <c r="BM290" s="2"/>
      <c r="BN290" s="921">
        <v>0</v>
      </c>
      <c r="BO290" s="884">
        <v>0</v>
      </c>
      <c r="BP290" s="884">
        <f>SUM(M291:P291,V291:AB291,AG291:AM291,AR291:AX291,BC291:BI291)</f>
        <v>114</v>
      </c>
      <c r="BQ290" s="878" t="str">
        <f t="shared" ref="BQ290" si="730">IFERROR((BP290/BO290),"-")</f>
        <v>-</v>
      </c>
      <c r="BR290" s="2"/>
      <c r="BS290" s="884"/>
      <c r="BT290" s="884"/>
      <c r="BU290" s="884">
        <f ca="1">E290+S291+AD291+AO291+AZ291+BK291-K291-L291</f>
        <v>114</v>
      </c>
      <c r="BV290" s="884">
        <v>104</v>
      </c>
      <c r="BW290" s="1004">
        <f ca="1">IFERROR((BU290/BV290),"-")</f>
        <v>1.0961538461538463</v>
      </c>
      <c r="BX290" s="884">
        <v>0</v>
      </c>
      <c r="BY290" s="878" t="str">
        <f ca="1">IFERROR((BU290/BX290),"-")</f>
        <v>-</v>
      </c>
      <c r="BZ290" s="2"/>
      <c r="CA290" s="884">
        <v>0</v>
      </c>
      <c r="CB290" s="884">
        <v>0</v>
      </c>
      <c r="CC290" s="2"/>
      <c r="CD290" s="504">
        <f>IFERROR(AVERAGEIF($V$7:AB$7,"&lt;="&amp;$I$7,V290:AB290),0)</f>
        <v>50</v>
      </c>
      <c r="CE290" s="3"/>
      <c r="CH290" s="93" t="str">
        <f t="shared" si="533"/>
        <v>Corte 03 - Km 217+400 a 218+400 (Canaleta de banqueta - CZB 02/03)</v>
      </c>
    </row>
    <row r="291" spans="1:86" s="44" customFormat="1" ht="23.1" hidden="1" customHeight="1" outlineLevel="1">
      <c r="A291" s="74"/>
      <c r="B291" s="1078"/>
      <c r="C291" s="1023"/>
      <c r="D291" s="2"/>
      <c r="E291" s="1024"/>
      <c r="F291" s="2"/>
      <c r="G291" s="50" t="s">
        <v>38</v>
      </c>
      <c r="H291" s="705">
        <f t="shared" si="673"/>
        <v>0</v>
      </c>
      <c r="I291" s="879"/>
      <c r="J291" s="2"/>
      <c r="K291" s="706"/>
      <c r="L291" s="706"/>
      <c r="M291" s="706"/>
      <c r="N291" s="706"/>
      <c r="O291" s="706"/>
      <c r="P291" s="706"/>
      <c r="Q291" s="706">
        <v>0</v>
      </c>
      <c r="R291" s="2"/>
      <c r="S291" s="705">
        <f t="shared" si="696"/>
        <v>0</v>
      </c>
      <c r="T291" s="879"/>
      <c r="U291" s="2"/>
      <c r="V291" s="76"/>
      <c r="W291" s="76">
        <v>81</v>
      </c>
      <c r="X291" s="76">
        <v>33</v>
      </c>
      <c r="Y291" s="76"/>
      <c r="Z291" s="76"/>
      <c r="AA291" s="76"/>
      <c r="AB291" s="706"/>
      <c r="AC291" s="2"/>
      <c r="AD291" s="705">
        <f ca="1">SUMIF($V$7:AB$7,"&lt;="&amp;$I$7,V291:AA291)</f>
        <v>114</v>
      </c>
      <c r="AE291" s="879"/>
      <c r="AF291" s="2"/>
      <c r="AG291" s="76"/>
      <c r="AH291" s="76"/>
      <c r="AI291" s="76"/>
      <c r="AJ291" s="76"/>
      <c r="AK291" s="76"/>
      <c r="AL291" s="76"/>
      <c r="AM291" s="706"/>
      <c r="AN291" s="2"/>
      <c r="AO291" s="705">
        <f ca="1">SUMIF($AG$7:AM$7,"&lt;="&amp;$I$7,AG291:AL291)</f>
        <v>0</v>
      </c>
      <c r="AP291" s="879"/>
      <c r="AQ291" s="2"/>
      <c r="AR291" s="76"/>
      <c r="AS291" s="76"/>
      <c r="AT291" s="76"/>
      <c r="AU291" s="76"/>
      <c r="AV291" s="76"/>
      <c r="AW291" s="76"/>
      <c r="AX291" s="706"/>
      <c r="AY291" s="2"/>
      <c r="AZ291" s="705">
        <f ca="1">SUMIF($AR$7:AX$7,"&lt;="&amp;$I$7,AR291:AW291)</f>
        <v>0</v>
      </c>
      <c r="BA291" s="879"/>
      <c r="BB291" s="2"/>
      <c r="BC291" s="76"/>
      <c r="BD291" s="76"/>
      <c r="BE291" s="76"/>
      <c r="BF291" s="76"/>
      <c r="BG291" s="76"/>
      <c r="BH291" s="76"/>
      <c r="BI291" s="706"/>
      <c r="BJ291" s="2"/>
      <c r="BK291" s="705">
        <f ca="1">SUMIF($BC$7:BI$7,"&lt;="&amp;$I$7,BC291:BH291)</f>
        <v>0</v>
      </c>
      <c r="BL291" s="879"/>
      <c r="BM291" s="2"/>
      <c r="BN291" s="922"/>
      <c r="BO291" s="885"/>
      <c r="BP291" s="885"/>
      <c r="BQ291" s="1050"/>
      <c r="BR291" s="2"/>
      <c r="BS291" s="922"/>
      <c r="BT291" s="922"/>
      <c r="BU291" s="885"/>
      <c r="BV291" s="922"/>
      <c r="BW291" s="1056"/>
      <c r="BX291" s="922"/>
      <c r="BY291" s="1052"/>
      <c r="BZ291" s="2"/>
      <c r="CA291" s="922"/>
      <c r="CB291" s="922"/>
      <c r="CC291" s="2"/>
      <c r="CD291" s="504">
        <f>IFERROR(AVERAGEIF($V$7:AB$7,"&lt;="&amp;$I$7,V291:AB291),0)</f>
        <v>57</v>
      </c>
      <c r="CE291" s="2"/>
      <c r="CH291" s="93" t="str">
        <f t="shared" si="533"/>
        <v>Corte 03 - Km 217+400 a 218+400 (Canaleta de banqueta - CZB 02/03)</v>
      </c>
    </row>
    <row r="292" spans="1:86" ht="21.6" hidden="1" customHeight="1" outlineLevel="1">
      <c r="A292" s="74"/>
      <c r="B292" s="1041" t="s">
        <v>3989</v>
      </c>
      <c r="C292" s="1023" t="s">
        <v>52</v>
      </c>
      <c r="D292" s="2"/>
      <c r="E292" s="1004"/>
      <c r="F292" s="2"/>
      <c r="G292" s="49" t="s">
        <v>37</v>
      </c>
      <c r="H292" s="705">
        <f t="shared" si="673"/>
        <v>50</v>
      </c>
      <c r="I292" s="878">
        <f t="shared" ref="I292" si="731">IFERROR((H293/H292),"-")</f>
        <v>1.32</v>
      </c>
      <c r="J292" s="2"/>
      <c r="K292" s="705"/>
      <c r="L292" s="705"/>
      <c r="M292" s="705"/>
      <c r="N292" s="705"/>
      <c r="O292" s="705"/>
      <c r="P292" s="705"/>
      <c r="Q292" s="705">
        <v>0</v>
      </c>
      <c r="R292" s="2"/>
      <c r="S292" s="705">
        <f t="shared" si="696"/>
        <v>0</v>
      </c>
      <c r="T292" s="878" t="str">
        <f t="shared" ref="T292" si="732">IFERROR((S293/S292),"-")</f>
        <v>-</v>
      </c>
      <c r="U292" s="2"/>
      <c r="V292" s="705">
        <v>50</v>
      </c>
      <c r="W292" s="705">
        <v>50</v>
      </c>
      <c r="X292" s="705">
        <v>50</v>
      </c>
      <c r="Y292" s="705">
        <v>50</v>
      </c>
      <c r="Z292" s="705">
        <v>50</v>
      </c>
      <c r="AA292" s="705">
        <v>50</v>
      </c>
      <c r="AB292" s="705"/>
      <c r="AC292" s="2"/>
      <c r="AD292" s="705">
        <f ca="1">SUMIF($V$7:AB$7,"&lt;="&amp;$I$7,V292:AA292)</f>
        <v>300</v>
      </c>
      <c r="AE292" s="878">
        <f t="shared" ref="AE292" ca="1" si="733">IFERROR((AD293/AD292),"-")</f>
        <v>0.71</v>
      </c>
      <c r="AF292" s="2"/>
      <c r="AG292" s="705">
        <v>50</v>
      </c>
      <c r="AH292" s="705">
        <v>50</v>
      </c>
      <c r="AI292" s="705">
        <v>50</v>
      </c>
      <c r="AJ292" s="705">
        <v>50</v>
      </c>
      <c r="AK292" s="705">
        <v>50</v>
      </c>
      <c r="AL292" s="705">
        <v>50</v>
      </c>
      <c r="AM292" s="705"/>
      <c r="AN292" s="2"/>
      <c r="AO292" s="705">
        <f ca="1">SUMIF($AG$7:AM$7,"&lt;="&amp;$I$7,AG292:AL292)</f>
        <v>100</v>
      </c>
      <c r="AP292" s="878">
        <f t="shared" ref="AP292" ca="1" si="734">IFERROR((AO293/AO292),"-")</f>
        <v>1.56</v>
      </c>
      <c r="AQ292" s="2"/>
      <c r="AR292" s="705"/>
      <c r="AS292" s="705"/>
      <c r="AT292" s="705"/>
      <c r="AU292" s="705"/>
      <c r="AV292" s="705"/>
      <c r="AW292" s="705"/>
      <c r="AX292" s="705"/>
      <c r="AY292" s="2"/>
      <c r="AZ292" s="705">
        <f ca="1">SUMIF($AR$7:AX$7,"&lt;="&amp;$I$7,AR292:AW292)</f>
        <v>0</v>
      </c>
      <c r="BA292" s="878" t="str">
        <f t="shared" ref="BA292" ca="1" si="735">IFERROR((AZ293/AZ292),"-")</f>
        <v>-</v>
      </c>
      <c r="BB292" s="2"/>
      <c r="BC292" s="705"/>
      <c r="BD292" s="705"/>
      <c r="BE292" s="705"/>
      <c r="BF292" s="705"/>
      <c r="BG292" s="705"/>
      <c r="BH292" s="705"/>
      <c r="BI292" s="705"/>
      <c r="BJ292" s="2"/>
      <c r="BK292" s="705">
        <f ca="1">SUMIF($BC$7:BI$7,"&lt;="&amp;$I$7,BC292:BH292)</f>
        <v>0</v>
      </c>
      <c r="BL292" s="878" t="str">
        <f t="shared" ref="BL292" ca="1" si="736">IFERROR((BK293/BK292),"-")</f>
        <v>-</v>
      </c>
      <c r="BM292" s="2"/>
      <c r="BN292" s="921">
        <v>0</v>
      </c>
      <c r="BO292" s="884">
        <v>0</v>
      </c>
      <c r="BP292" s="884">
        <f>SUM(M293:P293,V293:AB293,AG293:AM293,AR293:AX293,BC293:BI293)</f>
        <v>369</v>
      </c>
      <c r="BQ292" s="878" t="str">
        <f t="shared" ref="BQ292" si="737">IFERROR((BP292/BO292),"-")</f>
        <v>-</v>
      </c>
      <c r="BR292" s="2"/>
      <c r="BS292" s="884"/>
      <c r="BT292" s="884"/>
      <c r="BU292" s="884">
        <f ca="1">E292+S293+AD293+AO293+AZ293+BK293-K293-L293</f>
        <v>369</v>
      </c>
      <c r="BV292" s="884">
        <v>104</v>
      </c>
      <c r="BW292" s="1004">
        <f ca="1">IFERROR((BU292/BV292),"-")</f>
        <v>3.5480769230769229</v>
      </c>
      <c r="BX292" s="884">
        <v>0</v>
      </c>
      <c r="BY292" s="878" t="str">
        <f ca="1">IFERROR((BU292/BX292),"-")</f>
        <v>-</v>
      </c>
      <c r="BZ292" s="2"/>
      <c r="CA292" s="884">
        <v>0</v>
      </c>
      <c r="CB292" s="884">
        <v>0</v>
      </c>
      <c r="CC292" s="2"/>
      <c r="CD292" s="504">
        <f>IFERROR(AVERAGEIF($V$7:AB$7,"&lt;="&amp;$I$7,V292:AB292),0)</f>
        <v>50</v>
      </c>
      <c r="CE292" s="2"/>
      <c r="CH292" s="93" t="str">
        <f t="shared" si="533"/>
        <v>Corte 02 - Km 212+950 a 213+400 (Sarjeta de corte - VPC 10 e 11 )</v>
      </c>
    </row>
    <row r="293" spans="1:86" s="16" customFormat="1" ht="21.6" hidden="1" customHeight="1" outlineLevel="1">
      <c r="A293" s="74"/>
      <c r="B293" s="1078"/>
      <c r="C293" s="1023"/>
      <c r="D293" s="2"/>
      <c r="E293" s="1024"/>
      <c r="F293" s="2"/>
      <c r="G293" s="50" t="s">
        <v>38</v>
      </c>
      <c r="H293" s="705">
        <f t="shared" si="673"/>
        <v>66</v>
      </c>
      <c r="I293" s="879"/>
      <c r="J293" s="2"/>
      <c r="K293" s="706"/>
      <c r="L293" s="706"/>
      <c r="M293" s="706"/>
      <c r="N293" s="706"/>
      <c r="O293" s="706"/>
      <c r="P293" s="706"/>
      <c r="Q293" s="706">
        <v>0</v>
      </c>
      <c r="R293" s="2"/>
      <c r="S293" s="705">
        <f t="shared" si="696"/>
        <v>0</v>
      </c>
      <c r="T293" s="879"/>
      <c r="U293" s="2"/>
      <c r="V293" s="76"/>
      <c r="W293" s="76"/>
      <c r="X293" s="76"/>
      <c r="Y293" s="76">
        <v>63</v>
      </c>
      <c r="Z293" s="76">
        <v>102</v>
      </c>
      <c r="AA293" s="76">
        <v>48</v>
      </c>
      <c r="AB293" s="706"/>
      <c r="AC293" s="2"/>
      <c r="AD293" s="705">
        <f ca="1">SUMIF($V$7:AB$7,"&lt;="&amp;$I$7,V293:AA293)</f>
        <v>213</v>
      </c>
      <c r="AE293" s="879"/>
      <c r="AF293" s="2"/>
      <c r="AG293" s="76">
        <v>90</v>
      </c>
      <c r="AH293" s="76">
        <v>66</v>
      </c>
      <c r="AI293" s="76"/>
      <c r="AJ293" s="76"/>
      <c r="AK293" s="76"/>
      <c r="AL293" s="76"/>
      <c r="AM293" s="706"/>
      <c r="AN293" s="2"/>
      <c r="AO293" s="705">
        <f ca="1">SUMIF($AG$7:AM$7,"&lt;="&amp;$I$7,AG293:AL293)</f>
        <v>156</v>
      </c>
      <c r="AP293" s="879"/>
      <c r="AQ293" s="2"/>
      <c r="AR293" s="76"/>
      <c r="AS293" s="76"/>
      <c r="AT293" s="76"/>
      <c r="AU293" s="76"/>
      <c r="AV293" s="76"/>
      <c r="AW293" s="76"/>
      <c r="AX293" s="706"/>
      <c r="AY293" s="2"/>
      <c r="AZ293" s="705">
        <f ca="1">SUMIF($AR$7:AX$7,"&lt;="&amp;$I$7,AR293:AW293)</f>
        <v>0</v>
      </c>
      <c r="BA293" s="879"/>
      <c r="BB293" s="2"/>
      <c r="BC293" s="76"/>
      <c r="BD293" s="76"/>
      <c r="BE293" s="76"/>
      <c r="BF293" s="76"/>
      <c r="BG293" s="76"/>
      <c r="BH293" s="76"/>
      <c r="BI293" s="706"/>
      <c r="BJ293" s="2"/>
      <c r="BK293" s="705">
        <f ca="1">SUMIF($BC$7:BI$7,"&lt;="&amp;$I$7,BC293:BH293)</f>
        <v>0</v>
      </c>
      <c r="BL293" s="879"/>
      <c r="BM293" s="2"/>
      <c r="BN293" s="922"/>
      <c r="BO293" s="885"/>
      <c r="BP293" s="885"/>
      <c r="BQ293" s="1050"/>
      <c r="BR293" s="2"/>
      <c r="BS293" s="922"/>
      <c r="BT293" s="922"/>
      <c r="BU293" s="885"/>
      <c r="BV293" s="922"/>
      <c r="BW293" s="1056"/>
      <c r="BX293" s="922"/>
      <c r="BY293" s="1052"/>
      <c r="BZ293" s="2"/>
      <c r="CA293" s="922"/>
      <c r="CB293" s="922"/>
      <c r="CC293" s="2"/>
      <c r="CD293" s="504">
        <f>IFERROR(AVERAGEIF($V$7:AB$7,"&lt;="&amp;$I$7,V293:AB293),0)</f>
        <v>71</v>
      </c>
      <c r="CE293" s="3"/>
      <c r="CH293" s="93" t="str">
        <f t="shared" si="533"/>
        <v>Corte 02 - Km 212+950 a 213+400 (Sarjeta de corte - VPC 10 e 11 )</v>
      </c>
    </row>
    <row r="294" spans="1:86" s="16" customFormat="1" ht="21.6" hidden="1" customHeight="1" outlineLevel="1">
      <c r="A294" s="74"/>
      <c r="B294" s="1058" t="s">
        <v>3990</v>
      </c>
      <c r="C294" s="1023" t="s">
        <v>52</v>
      </c>
      <c r="D294" s="2"/>
      <c r="E294" s="1004">
        <v>160</v>
      </c>
      <c r="F294" s="2"/>
      <c r="G294" s="49" t="s">
        <v>37</v>
      </c>
      <c r="H294" s="705">
        <f t="shared" si="673"/>
        <v>0</v>
      </c>
      <c r="I294" s="878" t="str">
        <f t="shared" ref="I294" si="738">IFERROR((H295/H294),"-")</f>
        <v>-</v>
      </c>
      <c r="J294" s="2"/>
      <c r="K294" s="705"/>
      <c r="L294" s="705"/>
      <c r="M294" s="705"/>
      <c r="N294" s="705"/>
      <c r="O294" s="705"/>
      <c r="P294" s="705"/>
      <c r="Q294" s="705">
        <v>0</v>
      </c>
      <c r="R294" s="2"/>
      <c r="S294" s="705">
        <f t="shared" si="696"/>
        <v>0</v>
      </c>
      <c r="T294" s="878" t="str">
        <f t="shared" ref="T294" si="739">IFERROR((S295/S294),"-")</f>
        <v>-</v>
      </c>
      <c r="U294" s="2"/>
      <c r="V294" s="705"/>
      <c r="W294" s="705"/>
      <c r="X294" s="705"/>
      <c r="Y294" s="705"/>
      <c r="Z294" s="705"/>
      <c r="AA294" s="705"/>
      <c r="AB294" s="705"/>
      <c r="AC294" s="2"/>
      <c r="AD294" s="705">
        <f ca="1">SUMIF($V$7:AB$7,"&lt;="&amp;$I$7,V294:AA294)</f>
        <v>0</v>
      </c>
      <c r="AE294" s="878" t="str">
        <f t="shared" ref="AE294" ca="1" si="740">IFERROR((AD295/AD294),"-")</f>
        <v>-</v>
      </c>
      <c r="AF294" s="2"/>
      <c r="AG294" s="705"/>
      <c r="AH294" s="705"/>
      <c r="AI294" s="705"/>
      <c r="AJ294" s="705"/>
      <c r="AK294" s="705"/>
      <c r="AL294" s="705"/>
      <c r="AM294" s="705"/>
      <c r="AN294" s="2"/>
      <c r="AO294" s="705">
        <f ca="1">SUMIF($AG$7:AM$7,"&lt;="&amp;$I$7,AG294:AL294)</f>
        <v>0</v>
      </c>
      <c r="AP294" s="878" t="str">
        <f t="shared" ref="AP294" ca="1" si="741">IFERROR((AO295/AO294),"-")</f>
        <v>-</v>
      </c>
      <c r="AQ294" s="2"/>
      <c r="AR294" s="705"/>
      <c r="AS294" s="705"/>
      <c r="AT294" s="705"/>
      <c r="AU294" s="705"/>
      <c r="AV294" s="705"/>
      <c r="AW294" s="705"/>
      <c r="AX294" s="705"/>
      <c r="AY294" s="2"/>
      <c r="AZ294" s="705">
        <f ca="1">SUMIF($AR$7:AX$7,"&lt;="&amp;$I$7,AR294:AW294)</f>
        <v>0</v>
      </c>
      <c r="BA294" s="878" t="str">
        <f t="shared" ref="BA294" ca="1" si="742">IFERROR((AZ295/AZ294),"-")</f>
        <v>-</v>
      </c>
      <c r="BB294" s="2"/>
      <c r="BC294" s="705"/>
      <c r="BD294" s="705"/>
      <c r="BE294" s="705"/>
      <c r="BF294" s="705"/>
      <c r="BG294" s="705"/>
      <c r="BH294" s="705"/>
      <c r="BI294" s="705"/>
      <c r="BJ294" s="2"/>
      <c r="BK294" s="705">
        <f ca="1">SUMIF($BC$7:BI$7,"&lt;="&amp;$I$7,BC294:BH294)</f>
        <v>0</v>
      </c>
      <c r="BL294" s="878" t="str">
        <f t="shared" ref="BL294" ca="1" si="743">IFERROR((BK295/BK294),"-")</f>
        <v>-</v>
      </c>
      <c r="BM294" s="2"/>
      <c r="BN294" s="921">
        <v>0</v>
      </c>
      <c r="BO294" s="884">
        <v>0</v>
      </c>
      <c r="BP294" s="884">
        <f>SUM(M295:P295,V295:AB295,AG295:AM295,AR295:AX295,BC295:BI295)</f>
        <v>0</v>
      </c>
      <c r="BQ294" s="878" t="str">
        <f t="shared" ref="BQ294" si="744">IFERROR((BP294/BO294),"-")</f>
        <v>-</v>
      </c>
      <c r="BR294" s="2"/>
      <c r="BS294" s="884"/>
      <c r="BT294" s="884"/>
      <c r="BU294" s="884">
        <f ca="1">E294+S295+AD295+AO295+AZ295+BK295-K295-L295</f>
        <v>160</v>
      </c>
      <c r="BV294" s="884">
        <v>104</v>
      </c>
      <c r="BW294" s="1004">
        <f ca="1">IFERROR((BU294/BV294),"-")</f>
        <v>1.5384615384615385</v>
      </c>
      <c r="BX294" s="884">
        <v>0</v>
      </c>
      <c r="BY294" s="878" t="str">
        <f ca="1">IFERROR((BU294/BX294),"-")</f>
        <v>-</v>
      </c>
      <c r="BZ294" s="2"/>
      <c r="CA294" s="884">
        <v>0</v>
      </c>
      <c r="CB294" s="884">
        <v>0</v>
      </c>
      <c r="CC294" s="2"/>
      <c r="CD294" s="504">
        <f>IFERROR(AVERAGEIF($V$7:AB$7,"&lt;="&amp;$I$7,V294:AB294),0)</f>
        <v>0</v>
      </c>
      <c r="CE294" s="3"/>
      <c r="CH294" s="93" t="str">
        <f t="shared" ref="CH294:CH300" si="745">IF(B294&lt;&gt;"",B294,CH293)</f>
        <v>Km 220+600 a 222+400 VPA</v>
      </c>
    </row>
    <row r="295" spans="1:86" s="16" customFormat="1" ht="21.6" hidden="1" customHeight="1" outlineLevel="1">
      <c r="A295" s="74"/>
      <c r="B295" s="1042"/>
      <c r="C295" s="1023"/>
      <c r="D295" s="2"/>
      <c r="E295" s="1024"/>
      <c r="F295" s="2"/>
      <c r="G295" s="50" t="s">
        <v>38</v>
      </c>
      <c r="H295" s="705">
        <f t="shared" si="673"/>
        <v>0</v>
      </c>
      <c r="I295" s="879"/>
      <c r="J295" s="2"/>
      <c r="K295" s="706"/>
      <c r="L295" s="706"/>
      <c r="M295" s="706"/>
      <c r="N295" s="706"/>
      <c r="O295" s="706"/>
      <c r="P295" s="706"/>
      <c r="Q295" s="706">
        <v>0</v>
      </c>
      <c r="R295" s="2"/>
      <c r="S295" s="705">
        <f t="shared" si="696"/>
        <v>0</v>
      </c>
      <c r="T295" s="879"/>
      <c r="U295" s="2"/>
      <c r="V295" s="706"/>
      <c r="W295" s="706"/>
      <c r="X295" s="706"/>
      <c r="Y295" s="706"/>
      <c r="Z295" s="706"/>
      <c r="AA295" s="706"/>
      <c r="AB295" s="706"/>
      <c r="AC295" s="2"/>
      <c r="AD295" s="705">
        <f ca="1">SUMIF($V$7:AB$7,"&lt;="&amp;$I$7,V295:AA295)</f>
        <v>0</v>
      </c>
      <c r="AE295" s="879"/>
      <c r="AF295" s="2"/>
      <c r="AG295" s="76"/>
      <c r="AH295" s="76"/>
      <c r="AI295" s="76"/>
      <c r="AJ295" s="76"/>
      <c r="AK295" s="76"/>
      <c r="AL295" s="76"/>
      <c r="AM295" s="706"/>
      <c r="AN295" s="2"/>
      <c r="AO295" s="705">
        <f ca="1">SUMIF($AG$7:AM$7,"&lt;="&amp;$I$7,AG295:AL295)</f>
        <v>0</v>
      </c>
      <c r="AP295" s="879"/>
      <c r="AQ295" s="2"/>
      <c r="AR295" s="76"/>
      <c r="AS295" s="76"/>
      <c r="AT295" s="76"/>
      <c r="AU295" s="76"/>
      <c r="AV295" s="76"/>
      <c r="AW295" s="76"/>
      <c r="AX295" s="706"/>
      <c r="AY295" s="2"/>
      <c r="AZ295" s="705">
        <f ca="1">SUMIF($AR$7:AX$7,"&lt;="&amp;$I$7,AR295:AW295)</f>
        <v>0</v>
      </c>
      <c r="BA295" s="879"/>
      <c r="BB295" s="2"/>
      <c r="BC295" s="76"/>
      <c r="BD295" s="76"/>
      <c r="BE295" s="76"/>
      <c r="BF295" s="76"/>
      <c r="BG295" s="76"/>
      <c r="BH295" s="76"/>
      <c r="BI295" s="706"/>
      <c r="BJ295" s="2"/>
      <c r="BK295" s="705">
        <f ca="1">SUMIF($BC$7:BI$7,"&lt;="&amp;$I$7,BC295:BH295)</f>
        <v>0</v>
      </c>
      <c r="BL295" s="879"/>
      <c r="BM295" s="2"/>
      <c r="BN295" s="922"/>
      <c r="BO295" s="885"/>
      <c r="BP295" s="885"/>
      <c r="BQ295" s="1050"/>
      <c r="BR295" s="2"/>
      <c r="BS295" s="922"/>
      <c r="BT295" s="922"/>
      <c r="BU295" s="885"/>
      <c r="BV295" s="922"/>
      <c r="BW295" s="1056"/>
      <c r="BX295" s="922"/>
      <c r="BY295" s="1052"/>
      <c r="BZ295" s="2"/>
      <c r="CA295" s="922"/>
      <c r="CB295" s="922"/>
      <c r="CC295" s="2"/>
      <c r="CD295" s="504">
        <f>IFERROR(AVERAGEIF($V$7:AB$7,"&lt;="&amp;$I$7,V295:AB295),0)</f>
        <v>0</v>
      </c>
      <c r="CE295" s="3"/>
      <c r="CH295" s="93" t="str">
        <f t="shared" si="745"/>
        <v>Km 220+600 a 222+400 VPA</v>
      </c>
    </row>
    <row r="296" spans="1:86" s="16" customFormat="1" ht="21.6" hidden="1" customHeight="1" outlineLevel="1">
      <c r="A296" s="74"/>
      <c r="B296" s="1058" t="s">
        <v>3991</v>
      </c>
      <c r="C296" s="1023" t="s">
        <v>52</v>
      </c>
      <c r="D296" s="2"/>
      <c r="E296" s="1004">
        <v>1288.55</v>
      </c>
      <c r="F296" s="2"/>
      <c r="G296" s="49" t="s">
        <v>37</v>
      </c>
      <c r="H296" s="705">
        <f t="shared" si="673"/>
        <v>0</v>
      </c>
      <c r="I296" s="878" t="str">
        <f t="shared" ref="I296" si="746">IFERROR((H297/H296),"-")</f>
        <v>-</v>
      </c>
      <c r="J296" s="2"/>
      <c r="K296" s="705"/>
      <c r="L296" s="705"/>
      <c r="M296" s="705"/>
      <c r="N296" s="705"/>
      <c r="O296" s="705"/>
      <c r="P296" s="705"/>
      <c r="Q296" s="705">
        <v>0</v>
      </c>
      <c r="R296" s="2"/>
      <c r="S296" s="705">
        <f t="shared" si="696"/>
        <v>0</v>
      </c>
      <c r="T296" s="878" t="str">
        <f t="shared" ref="T296" si="747">IFERROR((S297/S296),"-")</f>
        <v>-</v>
      </c>
      <c r="U296" s="2"/>
      <c r="V296" s="705"/>
      <c r="W296" s="705"/>
      <c r="X296" s="705"/>
      <c r="Y296" s="705"/>
      <c r="Z296" s="705"/>
      <c r="AA296" s="705"/>
      <c r="AB296" s="705"/>
      <c r="AC296" s="2"/>
      <c r="AD296" s="705">
        <f ca="1">SUMIF($V$7:AB$7,"&lt;="&amp;$I$7,V296:AA296)</f>
        <v>0</v>
      </c>
      <c r="AE296" s="878" t="str">
        <f t="shared" ref="AE296" ca="1" si="748">IFERROR((AD297/AD296),"-")</f>
        <v>-</v>
      </c>
      <c r="AF296" s="2"/>
      <c r="AG296" s="705"/>
      <c r="AH296" s="705"/>
      <c r="AI296" s="705"/>
      <c r="AJ296" s="705"/>
      <c r="AK296" s="705"/>
      <c r="AL296" s="705"/>
      <c r="AM296" s="705"/>
      <c r="AN296" s="2"/>
      <c r="AO296" s="705">
        <f ca="1">SUMIF($AG$7:AM$7,"&lt;="&amp;$I$7,AG296:AL296)</f>
        <v>0</v>
      </c>
      <c r="AP296" s="878" t="str">
        <f t="shared" ref="AP296" ca="1" si="749">IFERROR((AO297/AO296),"-")</f>
        <v>-</v>
      </c>
      <c r="AQ296" s="2"/>
      <c r="AR296" s="705"/>
      <c r="AS296" s="705"/>
      <c r="AT296" s="705"/>
      <c r="AU296" s="705"/>
      <c r="AV296" s="705"/>
      <c r="AW296" s="705"/>
      <c r="AX296" s="705"/>
      <c r="AY296" s="2"/>
      <c r="AZ296" s="705">
        <f ca="1">SUMIF($AR$7:AX$7,"&lt;="&amp;$I$7,AR296:AW296)</f>
        <v>0</v>
      </c>
      <c r="BA296" s="878" t="str">
        <f t="shared" ref="BA296" ca="1" si="750">IFERROR((AZ297/AZ296),"-")</f>
        <v>-</v>
      </c>
      <c r="BB296" s="2"/>
      <c r="BC296" s="705"/>
      <c r="BD296" s="705"/>
      <c r="BE296" s="705"/>
      <c r="BF296" s="705"/>
      <c r="BG296" s="705"/>
      <c r="BH296" s="705"/>
      <c r="BI296" s="705"/>
      <c r="BJ296" s="2"/>
      <c r="BK296" s="705">
        <f ca="1">SUMIF($BC$7:BI$7,"&lt;="&amp;$I$7,BC296:BH296)</f>
        <v>0</v>
      </c>
      <c r="BL296" s="878" t="str">
        <f t="shared" ref="BL296" ca="1" si="751">IFERROR((BK297/BK296),"-")</f>
        <v>-</v>
      </c>
      <c r="BM296" s="2"/>
      <c r="BN296" s="921">
        <v>0</v>
      </c>
      <c r="BO296" s="884">
        <v>0</v>
      </c>
      <c r="BP296" s="884">
        <f>SUM(M297:P297,V297:AB297,AG297:AM297,AR297:AX297,BC297:BI297)</f>
        <v>0</v>
      </c>
      <c r="BQ296" s="878" t="str">
        <f t="shared" ref="BQ296" si="752">IFERROR((BP296/BO296),"-")</f>
        <v>-</v>
      </c>
      <c r="BR296" s="2"/>
      <c r="BS296" s="884"/>
      <c r="BT296" s="884"/>
      <c r="BU296" s="884">
        <f ca="1">E296+S297+AD297+AO297+AZ297+BK297-K297-L297</f>
        <v>1288.55</v>
      </c>
      <c r="BV296" s="884">
        <v>104</v>
      </c>
      <c r="BW296" s="1004">
        <f ca="1">IFERROR((BU296/BV296),"-")</f>
        <v>12.389903846153846</v>
      </c>
      <c r="BX296" s="884">
        <v>0</v>
      </c>
      <c r="BY296" s="878" t="str">
        <f ca="1">IFERROR((BU296/BX296),"-")</f>
        <v>-</v>
      </c>
      <c r="BZ296" s="2"/>
      <c r="CA296" s="908">
        <v>0</v>
      </c>
      <c r="CB296" s="908">
        <v>0</v>
      </c>
      <c r="CC296" s="2"/>
      <c r="CD296" s="504">
        <f>IFERROR(AVERAGEIF($V$7:AB$7,"&lt;="&amp;$I$7,V296:AB296),0)</f>
        <v>0</v>
      </c>
      <c r="CE296" s="2"/>
      <c r="CH296" s="93" t="str">
        <f t="shared" si="745"/>
        <v>Fator de correção - Acumulado ate BM22</v>
      </c>
    </row>
    <row r="297" spans="1:86" s="21" customFormat="1" ht="15.95" hidden="1" customHeight="1" outlineLevel="1">
      <c r="A297" s="74"/>
      <c r="B297" s="1042"/>
      <c r="C297" s="1023"/>
      <c r="D297" s="2"/>
      <c r="E297" s="1024"/>
      <c r="F297" s="2"/>
      <c r="G297" s="50" t="s">
        <v>38</v>
      </c>
      <c r="H297" s="705">
        <f t="shared" si="673"/>
        <v>0</v>
      </c>
      <c r="I297" s="879"/>
      <c r="J297" s="2"/>
      <c r="K297" s="706"/>
      <c r="L297" s="706"/>
      <c r="M297" s="706"/>
      <c r="N297" s="706"/>
      <c r="O297" s="706"/>
      <c r="P297" s="706"/>
      <c r="Q297" s="706">
        <v>0</v>
      </c>
      <c r="R297" s="2"/>
      <c r="S297" s="705">
        <f t="shared" si="696"/>
        <v>0</v>
      </c>
      <c r="T297" s="879"/>
      <c r="U297" s="2"/>
      <c r="V297" s="706"/>
      <c r="W297" s="706"/>
      <c r="X297" s="706"/>
      <c r="Y297" s="706"/>
      <c r="Z297" s="706"/>
      <c r="AA297" s="706"/>
      <c r="AB297" s="706"/>
      <c r="AC297" s="2"/>
      <c r="AD297" s="705">
        <f ca="1">SUMIF($V$7:AB$7,"&lt;="&amp;$I$7,V297:AA297)</f>
        <v>0</v>
      </c>
      <c r="AE297" s="879"/>
      <c r="AF297" s="2"/>
      <c r="AG297" s="706"/>
      <c r="AH297" s="706"/>
      <c r="AI297" s="706"/>
      <c r="AJ297" s="706"/>
      <c r="AK297" s="706"/>
      <c r="AL297" s="706"/>
      <c r="AM297" s="706"/>
      <c r="AN297" s="2"/>
      <c r="AO297" s="705">
        <f ca="1">SUMIF($AG$7:AM$7,"&lt;="&amp;$I$7,AG297:AL297)</f>
        <v>0</v>
      </c>
      <c r="AP297" s="879"/>
      <c r="AQ297" s="2"/>
      <c r="AR297" s="76"/>
      <c r="AS297" s="76"/>
      <c r="AT297" s="76"/>
      <c r="AU297" s="76"/>
      <c r="AV297" s="76"/>
      <c r="AW297" s="76"/>
      <c r="AX297" s="706"/>
      <c r="AY297" s="2"/>
      <c r="AZ297" s="705">
        <f ca="1">SUMIF($AR$7:AX$7,"&lt;="&amp;$I$7,AR297:AW297)</f>
        <v>0</v>
      </c>
      <c r="BA297" s="879"/>
      <c r="BB297" s="2"/>
      <c r="BC297" s="76"/>
      <c r="BD297" s="76"/>
      <c r="BE297" s="76"/>
      <c r="BF297" s="76"/>
      <c r="BG297" s="76"/>
      <c r="BH297" s="76"/>
      <c r="BI297" s="706"/>
      <c r="BJ297" s="2"/>
      <c r="BK297" s="705">
        <f ca="1">SUMIF($BC$7:BI$7,"&lt;="&amp;$I$7,BC297:BH297)</f>
        <v>0</v>
      </c>
      <c r="BL297" s="879"/>
      <c r="BM297" s="2"/>
      <c r="BN297" s="922"/>
      <c r="BO297" s="885"/>
      <c r="BP297" s="885"/>
      <c r="BQ297" s="1050"/>
      <c r="BR297" s="2"/>
      <c r="BS297" s="922"/>
      <c r="BT297" s="922"/>
      <c r="BU297" s="885"/>
      <c r="BV297" s="922"/>
      <c r="BW297" s="1056"/>
      <c r="BX297" s="922"/>
      <c r="BY297" s="1052"/>
      <c r="BZ297" s="2"/>
      <c r="CA297" s="922"/>
      <c r="CB297" s="922"/>
      <c r="CC297" s="2"/>
      <c r="CD297" s="504">
        <f>IFERROR(AVERAGEIF($V$7:AB$7,"&lt;="&amp;$I$7,V297:AB297),0)</f>
        <v>0</v>
      </c>
      <c r="CE297" s="2"/>
      <c r="CH297" s="93" t="str">
        <f t="shared" si="745"/>
        <v>Fator de correção - Acumulado ate BM22</v>
      </c>
    </row>
    <row r="298" spans="1:86" s="16" customFormat="1" ht="23.1" customHeight="1" collapsed="1">
      <c r="A298" s="69"/>
      <c r="B298" s="3"/>
      <c r="C298" s="3"/>
      <c r="D298" s="3"/>
      <c r="E298" s="3"/>
      <c r="F298" s="3"/>
      <c r="G298" s="3"/>
      <c r="H298" s="36"/>
      <c r="I298" s="3"/>
      <c r="J298" s="3"/>
      <c r="K298" s="37"/>
      <c r="L298" s="37"/>
      <c r="M298" s="37"/>
      <c r="N298" s="37"/>
      <c r="O298" s="37"/>
      <c r="P298" s="37"/>
      <c r="Q298" s="37"/>
      <c r="R298" s="3"/>
      <c r="S298" s="37"/>
      <c r="T298" s="3"/>
      <c r="U298" s="3"/>
      <c r="V298" s="37"/>
      <c r="W298" s="37"/>
      <c r="X298" s="37"/>
      <c r="Y298" s="37"/>
      <c r="Z298" s="37"/>
      <c r="AA298" s="37"/>
      <c r="AB298" s="37"/>
      <c r="AC298" s="3"/>
      <c r="AD298" s="37"/>
      <c r="AE298" s="3"/>
      <c r="AF298" s="3"/>
      <c r="AG298" s="37"/>
      <c r="AH298" s="37"/>
      <c r="AI298" s="37"/>
      <c r="AJ298" s="37"/>
      <c r="AK298" s="37"/>
      <c r="AL298" s="37"/>
      <c r="AM298" s="37"/>
      <c r="AN298" s="3"/>
      <c r="AO298" s="37"/>
      <c r="AP298" s="3"/>
      <c r="AQ298" s="3"/>
      <c r="AR298" s="37"/>
      <c r="AS298" s="37"/>
      <c r="AT298" s="37"/>
      <c r="AU298" s="37"/>
      <c r="AV298" s="37"/>
      <c r="AW298" s="37"/>
      <c r="AX298" s="37"/>
      <c r="AY298" s="3"/>
      <c r="AZ298" s="37"/>
      <c r="BA298" s="3"/>
      <c r="BB298" s="3"/>
      <c r="BC298" s="37"/>
      <c r="BD298" s="37"/>
      <c r="BE298" s="37"/>
      <c r="BF298" s="37"/>
      <c r="BG298" s="37"/>
      <c r="BH298" s="37"/>
      <c r="BI298" s="37"/>
      <c r="BJ298" s="3"/>
      <c r="BK298" s="37"/>
      <c r="BL298" s="3"/>
      <c r="BM298" s="3"/>
      <c r="BN298" s="35"/>
      <c r="BO298" s="36"/>
      <c r="BP298" s="35"/>
      <c r="BQ298" s="3"/>
      <c r="BR298" s="3"/>
      <c r="BS298" s="36"/>
      <c r="BT298" s="36"/>
      <c r="BU298" s="36"/>
      <c r="BV298" s="36"/>
      <c r="BW298" s="36"/>
      <c r="BX298" s="36"/>
      <c r="BY298" s="3"/>
      <c r="BZ298" s="3"/>
      <c r="CA298" s="36"/>
      <c r="CB298" s="36"/>
      <c r="CC298" s="3"/>
      <c r="CD298" s="19"/>
      <c r="CE298" s="3"/>
      <c r="CH298" s="93" t="str">
        <f t="shared" si="745"/>
        <v>Fator de correção - Acumulado ate BM22</v>
      </c>
    </row>
    <row r="299" spans="1:86" s="16" customFormat="1" ht="21.6" customHeight="1">
      <c r="A299" s="73" t="s">
        <v>3992</v>
      </c>
      <c r="B299" s="739" t="s">
        <v>3993</v>
      </c>
      <c r="C299" s="740" t="s">
        <v>52</v>
      </c>
      <c r="D299" s="2"/>
      <c r="E299" s="1019">
        <v>13034</v>
      </c>
      <c r="F299" s="2"/>
      <c r="G299" s="53" t="s">
        <v>37</v>
      </c>
      <c r="H299" s="52">
        <f>SUMIF($K$7:$BI$7,$I$7,K299:BI299)</f>
        <v>100</v>
      </c>
      <c r="I299" s="743">
        <f t="shared" ref="I299" si="753">IFERROR((H300/H299),"-")</f>
        <v>0.8</v>
      </c>
      <c r="J299" s="2"/>
      <c r="K299" s="84"/>
      <c r="L299" s="84">
        <v>100</v>
      </c>
      <c r="M299" s="84">
        <v>100</v>
      </c>
      <c r="N299" s="84">
        <v>100</v>
      </c>
      <c r="O299" s="84">
        <v>100</v>
      </c>
      <c r="P299" s="84">
        <v>100</v>
      </c>
      <c r="Q299" s="52"/>
      <c r="R299" s="2"/>
      <c r="S299" s="84">
        <f ca="1">SUMIF($K$7:Q$7,"&lt;="&amp;$I$7,K299:P299)</f>
        <v>500</v>
      </c>
      <c r="T299" s="743">
        <f t="shared" ref="T299" ca="1" si="754">IFERROR((S300/S299),"-")</f>
        <v>0</v>
      </c>
      <c r="U299" s="2"/>
      <c r="V299" s="84">
        <v>100</v>
      </c>
      <c r="W299" s="84">
        <v>100</v>
      </c>
      <c r="X299" s="84">
        <v>100</v>
      </c>
      <c r="Y299" s="84">
        <v>100</v>
      </c>
      <c r="Z299" s="84">
        <v>100</v>
      </c>
      <c r="AA299" s="84">
        <v>100</v>
      </c>
      <c r="AB299" s="84"/>
      <c r="AC299" s="2"/>
      <c r="AD299" s="52">
        <f>SUMIF($V$7:AB$7,"&lt;="&amp;$I$7,V299:AB299)</f>
        <v>600</v>
      </c>
      <c r="AE299" s="743">
        <f t="shared" ref="AE299" si="755">IFERROR((AD300/AD299),"-")</f>
        <v>0.54166666666666663</v>
      </c>
      <c r="AF299" s="2"/>
      <c r="AG299" s="84">
        <v>100</v>
      </c>
      <c r="AH299" s="84">
        <v>100</v>
      </c>
      <c r="AI299" s="84">
        <v>100</v>
      </c>
      <c r="AJ299" s="84">
        <v>100</v>
      </c>
      <c r="AK299" s="84">
        <v>100</v>
      </c>
      <c r="AL299" s="84">
        <v>100</v>
      </c>
      <c r="AM299" s="52"/>
      <c r="AN299" s="2"/>
      <c r="AO299" s="52">
        <f ca="1">SUMIF($AG$7:AM$7,"&lt;="&amp;$I$7,AG299:AL299)</f>
        <v>200</v>
      </c>
      <c r="AP299" s="743">
        <f t="shared" ref="AP299" ca="1" si="756">IFERROR((AO300/AO299),"-")</f>
        <v>0.7</v>
      </c>
      <c r="AQ299" s="2"/>
      <c r="AR299" s="84"/>
      <c r="AS299" s="84"/>
      <c r="AT299" s="84"/>
      <c r="AU299" s="84"/>
      <c r="AV299" s="84"/>
      <c r="AW299" s="84"/>
      <c r="AX299" s="84"/>
      <c r="AY299" s="215"/>
      <c r="AZ299" s="84">
        <f ca="1">SUMIF($AR$7:AX$7,"&lt;="&amp;$I$7,AR299:AW299)</f>
        <v>0</v>
      </c>
      <c r="BA299" s="743" t="str">
        <f t="shared" ref="BA299" ca="1" si="757">IFERROR((AZ300/AZ299),"-")</f>
        <v>-</v>
      </c>
      <c r="BB299" s="2"/>
      <c r="BC299" s="84"/>
      <c r="BD299" s="84"/>
      <c r="BE299" s="84"/>
      <c r="BF299" s="84"/>
      <c r="BG299" s="84"/>
      <c r="BH299" s="84"/>
      <c r="BI299" s="84"/>
      <c r="BJ299" s="215"/>
      <c r="BK299" s="52">
        <f ca="1">SUMIF($BC$7:BI$7,"&lt;="&amp;$I$7,BC299:BH299)</f>
        <v>0</v>
      </c>
      <c r="BL299" s="743" t="str">
        <f t="shared" ref="BL299" ca="1" si="758">IFERROR((BK300/BK299),"-")</f>
        <v>-</v>
      </c>
      <c r="BM299" s="2"/>
      <c r="BN299" s="888">
        <v>3497.9</v>
      </c>
      <c r="BO299" s="888">
        <v>1554.622222222222</v>
      </c>
      <c r="BP299" s="888">
        <f>SUM(M300:P300,V300:AB300,AG300:AM300,AR300:AX300,BC300:BH300)</f>
        <v>465</v>
      </c>
      <c r="BQ299" s="743">
        <f>IF(AND(BO299=0,BP299=0),"-",IF(BO299=0,1,BP299/BO299))</f>
        <v>0.29910803625032167</v>
      </c>
      <c r="BR299" s="2"/>
      <c r="BS299" s="888">
        <v>11049.59</v>
      </c>
      <c r="BT299" s="888"/>
      <c r="BU299" s="888">
        <f ca="1">E299+S300+AD300+AZ300+AO300+BK300</f>
        <v>13499</v>
      </c>
      <c r="BV299" s="888">
        <v>370</v>
      </c>
      <c r="BW299" s="1019">
        <f ca="1">IFERROR((BU299/BV299),"-")</f>
        <v>36.483783783783785</v>
      </c>
      <c r="BX299" s="888">
        <v>18708.200000000004</v>
      </c>
      <c r="BY299" s="743">
        <f ca="1">IFERROR((BU299/BX299),"-")</f>
        <v>0.72155525384590702</v>
      </c>
      <c r="BZ299" s="2"/>
      <c r="CA299" s="888">
        <v>27874.73</v>
      </c>
      <c r="CB299" s="888">
        <f>CA299-BS299</f>
        <v>16825.14</v>
      </c>
      <c r="CC299" s="2"/>
      <c r="CD299" s="84">
        <f>IFERROR(AVERAGEIF($V$7:AB$7,"&lt;="&amp;$I$7,V299:AB299),0)</f>
        <v>100</v>
      </c>
      <c r="CE299" s="3"/>
      <c r="CH299" s="93" t="str">
        <f t="shared" si="745"/>
        <v>DPS - Dreno Longitudinal Profundo</v>
      </c>
    </row>
    <row r="300" spans="1:86" s="16" customFormat="1" ht="21.6" customHeight="1">
      <c r="A300" s="74"/>
      <c r="B300" s="739"/>
      <c r="C300" s="740"/>
      <c r="D300" s="2"/>
      <c r="E300" s="1060"/>
      <c r="F300" s="2"/>
      <c r="G300" s="54" t="s">
        <v>38</v>
      </c>
      <c r="H300" s="52">
        <f>SUMIF($K$7:$BI$7,$I$7,K300:BI300)</f>
        <v>80</v>
      </c>
      <c r="I300" s="744"/>
      <c r="J300" s="2"/>
      <c r="K300" s="75"/>
      <c r="L300" s="75"/>
      <c r="M300" s="75"/>
      <c r="N300" s="75"/>
      <c r="O300" s="75"/>
      <c r="P300" s="75"/>
      <c r="Q300" s="52"/>
      <c r="R300" s="2"/>
      <c r="S300" s="52">
        <f ca="1">SUMIF($K$7:Q$7,"&lt;="&amp;$I$7,K300:P300)</f>
        <v>0</v>
      </c>
      <c r="T300" s="744"/>
      <c r="U300" s="2"/>
      <c r="V300" s="75"/>
      <c r="W300" s="75">
        <v>65</v>
      </c>
      <c r="X300" s="75">
        <v>60</v>
      </c>
      <c r="Y300" s="75">
        <v>60</v>
      </c>
      <c r="Z300" s="75">
        <v>80</v>
      </c>
      <c r="AA300" s="75">
        <v>60</v>
      </c>
      <c r="AB300" s="52"/>
      <c r="AC300" s="2"/>
      <c r="AD300" s="75">
        <f>SUMIF($V$7:AB$7,"&lt;="&amp;$I$7,V300:AB300)</f>
        <v>325</v>
      </c>
      <c r="AE300" s="744"/>
      <c r="AF300" s="2"/>
      <c r="AG300" s="75">
        <v>60</v>
      </c>
      <c r="AH300" s="75">
        <v>80</v>
      </c>
      <c r="AI300" s="75"/>
      <c r="AJ300" s="75"/>
      <c r="AK300" s="75"/>
      <c r="AL300" s="75"/>
      <c r="AM300" s="52"/>
      <c r="AN300" s="2"/>
      <c r="AO300" s="82">
        <f ca="1">SUMIF($AG$7:AM$7,"&lt;="&amp;$I$7,AG300:AL300)</f>
        <v>140</v>
      </c>
      <c r="AP300" s="744"/>
      <c r="AQ300" s="2"/>
      <c r="AR300" s="75"/>
      <c r="AS300" s="75"/>
      <c r="AT300" s="75"/>
      <c r="AU300" s="75"/>
      <c r="AV300" s="75"/>
      <c r="AW300" s="75"/>
      <c r="AX300" s="84"/>
      <c r="AY300" s="215"/>
      <c r="AZ300" s="84">
        <f ca="1">SUMIF($AR$7:AX$7,"&lt;="&amp;$I$7,AR300:AW300)</f>
        <v>0</v>
      </c>
      <c r="BA300" s="744"/>
      <c r="BB300" s="2"/>
      <c r="BC300" s="75"/>
      <c r="BD300" s="75"/>
      <c r="BE300" s="75"/>
      <c r="BF300" s="75"/>
      <c r="BG300" s="75"/>
      <c r="BH300" s="75"/>
      <c r="BI300" s="84"/>
      <c r="BJ300" s="215"/>
      <c r="BK300" s="52">
        <f ca="1">SUMIF($BC$7:BI$7,"&lt;="&amp;$I$7,BC300:BH300)</f>
        <v>0</v>
      </c>
      <c r="BL300" s="744"/>
      <c r="BM300" s="2"/>
      <c r="BN300" s="1018"/>
      <c r="BO300" s="889"/>
      <c r="BP300" s="889"/>
      <c r="BQ300" s="744"/>
      <c r="BR300" s="2"/>
      <c r="BS300" s="1018"/>
      <c r="BT300" s="1018"/>
      <c r="BU300" s="1018"/>
      <c r="BV300" s="1018"/>
      <c r="BW300" s="1077"/>
      <c r="BX300" s="1018"/>
      <c r="BY300" s="1057"/>
      <c r="BZ300" s="2"/>
      <c r="CA300" s="1018"/>
      <c r="CB300" s="1018"/>
      <c r="CC300" s="2"/>
      <c r="CD300" s="84">
        <f>IFERROR(AVERAGEIF($V$7:AB$7,"&lt;="&amp;$I$7,V300:AB300),0)</f>
        <v>65</v>
      </c>
      <c r="CE300" s="2"/>
      <c r="CH300" s="93" t="str">
        <f t="shared" si="745"/>
        <v>DPS - Dreno Longitudinal Profundo</v>
      </c>
    </row>
    <row r="301" spans="1:86" s="16" customFormat="1" ht="21.6" customHeight="1">
      <c r="A301" s="69"/>
      <c r="B301" s="3"/>
      <c r="C301"/>
      <c r="D301" s="3"/>
      <c r="E301"/>
      <c r="F301" s="3"/>
      <c r="G301"/>
      <c r="H301" s="57"/>
      <c r="I301"/>
      <c r="J301" s="3"/>
      <c r="K301" s="37"/>
      <c r="L301" s="37"/>
      <c r="M301" s="37"/>
      <c r="N301" s="37"/>
      <c r="O301" s="37"/>
      <c r="P301" s="37"/>
      <c r="Q301" s="37"/>
      <c r="R301" s="3"/>
      <c r="S301" s="37"/>
      <c r="T301" s="3"/>
      <c r="U301" s="3"/>
      <c r="V301" s="37"/>
      <c r="W301" s="37"/>
      <c r="X301" s="37"/>
      <c r="Y301" s="37"/>
      <c r="Z301" s="37"/>
      <c r="AA301" s="37"/>
      <c r="AB301" s="37"/>
      <c r="AC301" s="3"/>
      <c r="AD301" s="37"/>
      <c r="AE301" s="3"/>
      <c r="AF301" s="3"/>
      <c r="AG301" s="37"/>
      <c r="AH301" s="37"/>
      <c r="AI301" s="37"/>
      <c r="AJ301" s="37"/>
      <c r="AK301" s="37"/>
      <c r="AL301" s="37"/>
      <c r="AM301" s="37"/>
      <c r="AN301" s="3"/>
      <c r="AO301" s="37"/>
      <c r="AP301" s="3"/>
      <c r="AQ301" s="3"/>
      <c r="AR301" s="216"/>
      <c r="AS301" s="216"/>
      <c r="AT301" s="216"/>
      <c r="AU301" s="216"/>
      <c r="AV301" s="216"/>
      <c r="AW301" s="216"/>
      <c r="AX301" s="216"/>
      <c r="AY301" s="92"/>
      <c r="AZ301" s="216"/>
      <c r="BA301" s="3"/>
      <c r="BB301" s="3"/>
      <c r="BC301" s="216"/>
      <c r="BD301" s="216"/>
      <c r="BE301" s="216"/>
      <c r="BF301" s="216"/>
      <c r="BG301" s="216"/>
      <c r="BH301" s="216"/>
      <c r="BI301" s="216"/>
      <c r="BJ301" s="92"/>
      <c r="BK301" s="216"/>
      <c r="BL301" s="3"/>
      <c r="BM301" s="3"/>
      <c r="BN301" s="35"/>
      <c r="BO301" s="36"/>
      <c r="BP301" s="35"/>
      <c r="BQ301" s="3"/>
      <c r="BR301" s="3"/>
      <c r="BS301" s="36"/>
      <c r="BT301" s="36"/>
      <c r="BU301" s="36"/>
      <c r="BV301" s="36"/>
      <c r="BW301" s="36"/>
      <c r="BX301" s="36"/>
      <c r="BY301" s="3"/>
      <c r="BZ301" s="3"/>
      <c r="CA301" s="36"/>
      <c r="CB301" s="36"/>
      <c r="CC301" s="3"/>
      <c r="CD301" s="19"/>
      <c r="CE301" s="2"/>
      <c r="CH301" s="93" t="str">
        <f t="shared" ref="CH301:CH365" si="759">IF(B301&lt;&gt;"",B301,CH300)</f>
        <v>DPS - Dreno Longitudinal Profundo</v>
      </c>
    </row>
    <row r="302" spans="1:86" s="16" customFormat="1" ht="20.45" customHeight="1">
      <c r="A302" s="69"/>
      <c r="B302" s="3"/>
      <c r="C302" s="3"/>
      <c r="D302" s="3"/>
      <c r="E302" s="3"/>
      <c r="F302" s="3"/>
      <c r="G302" s="3"/>
      <c r="H302" s="36"/>
      <c r="I302" s="3"/>
      <c r="J302" s="3"/>
      <c r="K302" s="37"/>
      <c r="L302" s="37"/>
      <c r="M302" s="37"/>
      <c r="N302" s="37"/>
      <c r="O302" s="37"/>
      <c r="P302" s="37"/>
      <c r="Q302" s="37"/>
      <c r="R302" s="3"/>
      <c r="S302" s="37"/>
      <c r="T302" s="3"/>
      <c r="U302" s="3"/>
      <c r="V302" s="37"/>
      <c r="W302" s="37"/>
      <c r="X302" s="37"/>
      <c r="Y302" s="37"/>
      <c r="Z302" s="37"/>
      <c r="AA302" s="37"/>
      <c r="AB302" s="37"/>
      <c r="AC302" s="3"/>
      <c r="AD302" s="37"/>
      <c r="AE302" s="3"/>
      <c r="AF302" s="3"/>
      <c r="AG302" s="37"/>
      <c r="AH302" s="37"/>
      <c r="AI302" s="37"/>
      <c r="AJ302" s="37"/>
      <c r="AK302" s="37"/>
      <c r="AL302" s="37"/>
      <c r="AM302" s="37"/>
      <c r="AN302" s="3"/>
      <c r="AO302" s="37"/>
      <c r="AP302" s="3"/>
      <c r="AQ302" s="3"/>
      <c r="AR302" s="37"/>
      <c r="AS302" s="37"/>
      <c r="AT302" s="37"/>
      <c r="AU302" s="37"/>
      <c r="AV302" s="37"/>
      <c r="AW302" s="37"/>
      <c r="AX302" s="37"/>
      <c r="AY302" s="3"/>
      <c r="AZ302" s="37"/>
      <c r="BA302" s="3"/>
      <c r="BB302" s="3"/>
      <c r="BC302" s="37"/>
      <c r="BD302" s="37"/>
      <c r="BE302" s="37"/>
      <c r="BF302" s="37"/>
      <c r="BG302" s="37"/>
      <c r="BH302" s="37"/>
      <c r="BI302" s="37"/>
      <c r="BJ302" s="3"/>
      <c r="BK302" s="37"/>
      <c r="BL302" s="3"/>
      <c r="BM302" s="3"/>
      <c r="BN302" s="35"/>
      <c r="BO302" s="36"/>
      <c r="BP302" s="35"/>
      <c r="BQ302" s="3"/>
      <c r="BR302" s="3"/>
      <c r="BS302" s="36"/>
      <c r="BT302" s="36"/>
      <c r="BU302" s="36"/>
      <c r="BV302" s="36"/>
      <c r="BW302" s="36"/>
      <c r="BX302" s="36"/>
      <c r="BY302" s="3"/>
      <c r="BZ302" s="3"/>
      <c r="CA302" s="36"/>
      <c r="CB302" s="36"/>
      <c r="CC302" s="3"/>
      <c r="CD302" s="19"/>
      <c r="CE302" s="2"/>
      <c r="CH302" s="93" t="str">
        <f t="shared" si="759"/>
        <v>DPS - Dreno Longitudinal Profundo</v>
      </c>
    </row>
    <row r="303" spans="1:86" s="16" customFormat="1">
      <c r="A303" s="69"/>
      <c r="B303" s="3"/>
      <c r="C303" s="3"/>
      <c r="D303" s="3"/>
      <c r="E303" s="3"/>
      <c r="F303" s="3"/>
      <c r="G303" s="3"/>
      <c r="H303" s="36"/>
      <c r="I303" s="3"/>
      <c r="J303" s="3"/>
      <c r="K303" s="37"/>
      <c r="L303" s="37"/>
      <c r="M303" s="37"/>
      <c r="N303" s="37"/>
      <c r="O303" s="37"/>
      <c r="P303" s="37"/>
      <c r="Q303" s="37"/>
      <c r="R303" s="3"/>
      <c r="S303" s="37"/>
      <c r="T303" s="3"/>
      <c r="U303" s="3"/>
      <c r="V303" s="37"/>
      <c r="W303" s="37"/>
      <c r="X303" s="37"/>
      <c r="Y303" s="37"/>
      <c r="Z303" s="37"/>
      <c r="AA303" s="37"/>
      <c r="AB303" s="37"/>
      <c r="AC303" s="3"/>
      <c r="AD303" s="37"/>
      <c r="AE303" s="3"/>
      <c r="AF303" s="3"/>
      <c r="AG303" s="37"/>
      <c r="AH303" s="37"/>
      <c r="AI303" s="37"/>
      <c r="AJ303" s="37"/>
      <c r="AK303" s="37"/>
      <c r="AL303" s="37"/>
      <c r="AM303" s="37"/>
      <c r="AN303" s="3"/>
      <c r="AO303" s="37"/>
      <c r="AP303" s="3"/>
      <c r="AQ303" s="3"/>
      <c r="AR303" s="37"/>
      <c r="AS303" s="37"/>
      <c r="AT303" s="37"/>
      <c r="AU303" s="37"/>
      <c r="AV303" s="37"/>
      <c r="AW303" s="37"/>
      <c r="AX303" s="37"/>
      <c r="AY303" s="3"/>
      <c r="AZ303" s="37"/>
      <c r="BA303" s="3"/>
      <c r="BB303" s="3"/>
      <c r="BC303" s="37"/>
      <c r="BD303" s="37"/>
      <c r="BE303" s="37"/>
      <c r="BF303" s="37"/>
      <c r="BG303" s="37"/>
      <c r="BH303" s="37"/>
      <c r="BI303" s="37"/>
      <c r="BJ303" s="3"/>
      <c r="BK303" s="37"/>
      <c r="BL303" s="3"/>
      <c r="BM303" s="3"/>
      <c r="BN303" s="35"/>
      <c r="BO303" s="36"/>
      <c r="BP303" s="35"/>
      <c r="BQ303" s="3"/>
      <c r="BR303" s="3"/>
      <c r="BS303" s="36"/>
      <c r="BT303" s="36"/>
      <c r="BU303" s="36"/>
      <c r="BV303" s="36"/>
      <c r="BW303" s="36"/>
      <c r="BX303" s="36"/>
      <c r="BY303" s="3"/>
      <c r="BZ303" s="3"/>
      <c r="CA303" s="36"/>
      <c r="CB303" s="36"/>
      <c r="CC303" s="3"/>
      <c r="CD303" s="19"/>
      <c r="CE303" s="2"/>
      <c r="CH303" s="93" t="str">
        <f t="shared" si="759"/>
        <v>DPS - Dreno Longitudinal Profundo</v>
      </c>
    </row>
    <row r="304" spans="1:86" s="16" customFormat="1" ht="20.45" customHeight="1">
      <c r="A304" s="73"/>
      <c r="B304" s="1069" t="s">
        <v>3994</v>
      </c>
      <c r="C304" s="1071" t="s">
        <v>52</v>
      </c>
      <c r="D304" s="2"/>
      <c r="E304" s="1019">
        <v>648</v>
      </c>
      <c r="F304" s="2"/>
      <c r="G304" s="53" t="s">
        <v>37</v>
      </c>
      <c r="H304" s="52">
        <f>SUMIF($K$7:$BI$7,$I$7,K304:BI304)</f>
        <v>0</v>
      </c>
      <c r="I304" s="743" t="str">
        <f t="shared" ref="I304" si="760">IFERROR((H305/H304),"-")</f>
        <v>-</v>
      </c>
      <c r="J304" s="2"/>
      <c r="K304" s="52"/>
      <c r="L304" s="52"/>
      <c r="M304" s="52"/>
      <c r="N304" s="52"/>
      <c r="O304" s="52"/>
      <c r="P304" s="52"/>
      <c r="Q304" s="52"/>
      <c r="R304" s="2"/>
      <c r="S304" s="84">
        <f ca="1">SUMIF($K$7:Q$7,"&lt;="&amp;$I$7,K304:P304)</f>
        <v>0</v>
      </c>
      <c r="T304" s="743" t="str">
        <f t="shared" ref="T304" ca="1" si="761">IFERROR((S305/S304),"-")</f>
        <v>-</v>
      </c>
      <c r="U304" s="2"/>
      <c r="V304" s="52"/>
      <c r="W304" s="52"/>
      <c r="X304" s="52"/>
      <c r="Y304" s="52"/>
      <c r="Z304" s="52"/>
      <c r="AA304" s="52"/>
      <c r="AB304" s="52"/>
      <c r="AC304" s="2"/>
      <c r="AD304" s="52">
        <f>SUMIF($V$7:AB$7,"&lt;="&amp;$I$7,V304:AB304)</f>
        <v>0</v>
      </c>
      <c r="AE304" s="743" t="str">
        <f t="shared" ref="AE304" si="762">IFERROR((AD305/AD304),"-")</f>
        <v>-</v>
      </c>
      <c r="AF304" s="2"/>
      <c r="AG304" s="52"/>
      <c r="AH304" s="52"/>
      <c r="AI304" s="52"/>
      <c r="AJ304" s="52"/>
      <c r="AK304" s="52"/>
      <c r="AL304" s="52"/>
      <c r="AM304" s="52"/>
      <c r="AN304" s="2"/>
      <c r="AO304" s="52">
        <f ca="1">SUMIF($AG$7:AM$7,"&lt;="&amp;$I$7,AG304:AL304)</f>
        <v>0</v>
      </c>
      <c r="AP304" s="743" t="str">
        <f t="shared" ref="AP304" ca="1" si="763">IFERROR((AO305/AO304),"-")</f>
        <v>-</v>
      </c>
      <c r="AQ304" s="2"/>
      <c r="AR304" s="52"/>
      <c r="AS304" s="52"/>
      <c r="AT304" s="52"/>
      <c r="AU304" s="52"/>
      <c r="AV304" s="52"/>
      <c r="AW304" s="52"/>
      <c r="AX304" s="52"/>
      <c r="AY304" s="2"/>
      <c r="AZ304" s="84">
        <f ca="1">SUMIF($AR$7:AX$7,"&lt;="&amp;$I$7,AR304:AW304)</f>
        <v>0</v>
      </c>
      <c r="BA304" s="743" t="str">
        <f t="shared" ref="BA304" ca="1" si="764">IFERROR((AZ305/AZ304),"-")</f>
        <v>-</v>
      </c>
      <c r="BB304" s="2"/>
      <c r="BC304" s="52"/>
      <c r="BD304" s="52"/>
      <c r="BE304" s="52"/>
      <c r="BF304" s="52"/>
      <c r="BG304" s="52"/>
      <c r="BH304" s="52"/>
      <c r="BI304" s="52"/>
      <c r="BJ304" s="2"/>
      <c r="BK304" s="52">
        <f ca="1">SUMIF($BC$7:BI$7,"&lt;="&amp;$I$7,BC304:BH304)</f>
        <v>0</v>
      </c>
      <c r="BL304" s="743" t="str">
        <f t="shared" ref="BL304" ca="1" si="765">IFERROR((BK305/BK304),"-")</f>
        <v>-</v>
      </c>
      <c r="BM304" s="2"/>
      <c r="BN304" s="888">
        <v>0</v>
      </c>
      <c r="BO304" s="888">
        <v>0</v>
      </c>
      <c r="BP304" s="888">
        <f>SUM(M305:P305,V305:AB305,AG305:AM305,AR305:AX305,BC305:BH305)</f>
        <v>0</v>
      </c>
      <c r="BQ304" s="743" t="str">
        <f>IFERROR((BP304/BO304),"-")</f>
        <v>-</v>
      </c>
      <c r="BR304" s="2"/>
      <c r="BS304" s="888"/>
      <c r="BT304" s="888"/>
      <c r="BU304" s="888">
        <f ca="1">E304+S305+AD305+AZ305+AO305+BK305</f>
        <v>648</v>
      </c>
      <c r="BV304" s="888">
        <v>370</v>
      </c>
      <c r="BW304" s="1019">
        <f ca="1">IFERROR((BU304/BV304),"-")</f>
        <v>1.7513513513513514</v>
      </c>
      <c r="BX304" s="888">
        <v>648</v>
      </c>
      <c r="BY304" s="743">
        <f ca="1">IFERROR((BU304/BX304),"-")</f>
        <v>1</v>
      </c>
      <c r="BZ304" s="2"/>
      <c r="CA304" s="888">
        <v>3084</v>
      </c>
      <c r="CB304" s="888">
        <f ca="1">CA304-BU304</f>
        <v>2436</v>
      </c>
      <c r="CC304" s="2"/>
      <c r="CD304" s="52">
        <f>IFERROR(AVERAGEIF($V$7:AB$7,"&lt;="&amp;$I$7,V304:AB304),0)</f>
        <v>0</v>
      </c>
      <c r="CE304" s="2"/>
      <c r="CH304" s="93" t="str">
        <f t="shared" si="759"/>
        <v>DSH / DHP - Drenos Sub-Horizontal e Horizontal Profundo</v>
      </c>
    </row>
    <row r="305" spans="1:86" s="16" customFormat="1">
      <c r="A305" s="74"/>
      <c r="B305" s="1070"/>
      <c r="C305" s="1072"/>
      <c r="D305" s="2"/>
      <c r="E305" s="1020"/>
      <c r="F305" s="2"/>
      <c r="G305" s="54" t="s">
        <v>38</v>
      </c>
      <c r="H305" s="52">
        <f>SUMIF($K$7:$BI$7,$I$7,K305:BI305)</f>
        <v>0</v>
      </c>
      <c r="I305" s="744"/>
      <c r="J305" s="2"/>
      <c r="K305" s="75"/>
      <c r="L305" s="75"/>
      <c r="M305" s="75"/>
      <c r="N305" s="75"/>
      <c r="O305" s="75"/>
      <c r="P305" s="75"/>
      <c r="Q305" s="52"/>
      <c r="R305" s="2"/>
      <c r="S305" s="52">
        <f ca="1">SUMIF($K$7:Q$7,"&lt;="&amp;$I$7,K305:P305)</f>
        <v>0</v>
      </c>
      <c r="T305" s="744"/>
      <c r="U305" s="2"/>
      <c r="V305" s="75"/>
      <c r="W305" s="75"/>
      <c r="X305" s="75"/>
      <c r="Y305" s="75"/>
      <c r="Z305" s="75"/>
      <c r="AA305" s="75"/>
      <c r="AB305" s="52"/>
      <c r="AC305" s="2"/>
      <c r="AD305" s="75">
        <f>SUMIF($V$7:AB$7,"&lt;="&amp;$I$7,V305:AB305)</f>
        <v>0</v>
      </c>
      <c r="AE305" s="744"/>
      <c r="AF305" s="2"/>
      <c r="AG305" s="75"/>
      <c r="AH305" s="75"/>
      <c r="AI305" s="75"/>
      <c r="AJ305" s="75"/>
      <c r="AK305" s="75"/>
      <c r="AL305" s="75"/>
      <c r="AM305" s="52"/>
      <c r="AN305" s="2"/>
      <c r="AO305" s="82">
        <f ca="1">SUMIF($AG$7:AM$7,"&lt;="&amp;$I$7,AG305:AL305)</f>
        <v>0</v>
      </c>
      <c r="AP305" s="744"/>
      <c r="AQ305" s="2"/>
      <c r="AR305" s="75"/>
      <c r="AS305" s="75"/>
      <c r="AT305" s="75"/>
      <c r="AU305" s="75"/>
      <c r="AV305" s="75"/>
      <c r="AW305" s="75"/>
      <c r="AX305" s="52"/>
      <c r="AY305" s="2"/>
      <c r="AZ305" s="84">
        <f ca="1">SUMIF($AR$7:AX$7,"&lt;="&amp;$I$7,AR305:AW305)</f>
        <v>0</v>
      </c>
      <c r="BA305" s="744"/>
      <c r="BB305" s="2"/>
      <c r="BC305" s="75"/>
      <c r="BD305" s="75"/>
      <c r="BE305" s="75"/>
      <c r="BF305" s="75"/>
      <c r="BG305" s="75"/>
      <c r="BH305" s="75"/>
      <c r="BI305" s="52"/>
      <c r="BJ305" s="2"/>
      <c r="BK305" s="52">
        <f ca="1">SUMIF($BC$7:BI$7,"&lt;="&amp;$I$7,BC305:BH305)</f>
        <v>0</v>
      </c>
      <c r="BL305" s="744"/>
      <c r="BM305" s="2"/>
      <c r="BN305" s="889"/>
      <c r="BO305" s="889"/>
      <c r="BP305" s="889"/>
      <c r="BQ305" s="744"/>
      <c r="BR305" s="2"/>
      <c r="BS305" s="889"/>
      <c r="BT305" s="889"/>
      <c r="BU305" s="1018"/>
      <c r="BV305" s="889"/>
      <c r="BW305" s="1020"/>
      <c r="BX305" s="889"/>
      <c r="BY305" s="744"/>
      <c r="BZ305" s="2"/>
      <c r="CA305" s="889"/>
      <c r="CB305" s="889"/>
      <c r="CC305" s="2"/>
      <c r="CD305" s="52">
        <f>IFERROR(AVERAGEIF($V$7:AB$7,"&lt;="&amp;$I$7,V305:AB305),0)</f>
        <v>0</v>
      </c>
      <c r="CE305" s="2"/>
      <c r="CH305" s="93" t="str">
        <f t="shared" si="759"/>
        <v>DSH / DHP - Drenos Sub-Horizontal e Horizontal Profundo</v>
      </c>
    </row>
    <row r="306" spans="1:86" s="16" customFormat="1" ht="20.45" customHeight="1">
      <c r="A306" s="69"/>
      <c r="B306" s="3"/>
      <c r="C306" s="3"/>
      <c r="D306" s="3"/>
      <c r="E306" s="3"/>
      <c r="F306" s="3"/>
      <c r="G306" s="3"/>
      <c r="H306" s="36"/>
      <c r="I306" s="3"/>
      <c r="J306" s="3"/>
      <c r="K306" s="37"/>
      <c r="L306" s="37"/>
      <c r="M306" s="37"/>
      <c r="N306" s="37"/>
      <c r="O306" s="37"/>
      <c r="P306" s="37"/>
      <c r="Q306" s="37"/>
      <c r="R306" s="3"/>
      <c r="S306" s="37"/>
      <c r="T306" s="3"/>
      <c r="U306" s="3"/>
      <c r="V306" s="37"/>
      <c r="W306" s="37"/>
      <c r="X306" s="37"/>
      <c r="Y306" s="37"/>
      <c r="Z306" s="37"/>
      <c r="AA306" s="37"/>
      <c r="AB306" s="37"/>
      <c r="AC306" s="3"/>
      <c r="AD306" s="37"/>
      <c r="AE306" s="3"/>
      <c r="AF306" s="3"/>
      <c r="AG306" s="37"/>
      <c r="AH306" s="37"/>
      <c r="AI306" s="37"/>
      <c r="AJ306" s="37"/>
      <c r="AK306" s="37"/>
      <c r="AL306" s="37"/>
      <c r="AM306" s="37"/>
      <c r="AN306" s="3"/>
      <c r="AO306" s="37"/>
      <c r="AP306" s="3"/>
      <c r="AQ306" s="3"/>
      <c r="AR306" s="37"/>
      <c r="AS306" s="37"/>
      <c r="AT306" s="37"/>
      <c r="AU306" s="37"/>
      <c r="AV306" s="37"/>
      <c r="AW306" s="37"/>
      <c r="AX306" s="37"/>
      <c r="AY306" s="3"/>
      <c r="AZ306" s="37"/>
      <c r="BA306" s="3"/>
      <c r="BB306" s="3"/>
      <c r="BC306" s="37"/>
      <c r="BD306" s="37"/>
      <c r="BE306" s="37"/>
      <c r="BF306" s="37"/>
      <c r="BG306" s="37"/>
      <c r="BH306" s="37"/>
      <c r="BI306" s="37"/>
      <c r="BJ306" s="3"/>
      <c r="BK306" s="37"/>
      <c r="BL306" s="3"/>
      <c r="BM306" s="3"/>
      <c r="BN306" s="35"/>
      <c r="BO306" s="36"/>
      <c r="BP306" s="35"/>
      <c r="BQ306" s="3"/>
      <c r="BR306" s="3"/>
      <c r="BS306" s="36"/>
      <c r="BT306" s="36"/>
      <c r="BU306" s="36"/>
      <c r="BV306" s="36"/>
      <c r="BW306" s="36"/>
      <c r="BX306" s="36"/>
      <c r="BY306" s="3"/>
      <c r="BZ306" s="3"/>
      <c r="CA306" s="36"/>
      <c r="CB306" s="36"/>
      <c r="CC306" s="3"/>
      <c r="CD306" s="19"/>
      <c r="CE306" s="2"/>
      <c r="CH306" s="93" t="str">
        <f t="shared" si="759"/>
        <v>DSH / DHP - Drenos Sub-Horizontal e Horizontal Profundo</v>
      </c>
    </row>
    <row r="307" spans="1:86" s="21" customFormat="1" ht="25.35" customHeight="1">
      <c r="A307" s="70" t="s">
        <v>3995</v>
      </c>
      <c r="B307" s="1075" t="s">
        <v>3996</v>
      </c>
      <c r="C307" s="1023" t="s">
        <v>3997</v>
      </c>
      <c r="D307" s="40"/>
      <c r="E307" s="1004">
        <v>575121</v>
      </c>
      <c r="F307" s="40"/>
      <c r="G307" s="41" t="s">
        <v>37</v>
      </c>
      <c r="H307" s="43">
        <f>SUMIF($K$7:$BI$7,$I$7,K307:BI307)</f>
        <v>5000</v>
      </c>
      <c r="I307" s="878">
        <f t="shared" ref="I307" si="766">IFERROR((H308/H307),"-")</f>
        <v>0</v>
      </c>
      <c r="J307" s="40"/>
      <c r="K307" s="43"/>
      <c r="L307" s="43">
        <v>2000</v>
      </c>
      <c r="M307" s="43">
        <v>2000</v>
      </c>
      <c r="N307" s="43">
        <v>2000</v>
      </c>
      <c r="O307" s="43">
        <v>2000</v>
      </c>
      <c r="P307" s="43"/>
      <c r="Q307" s="43"/>
      <c r="R307" s="40"/>
      <c r="S307" s="43">
        <f ca="1">SUMIF($K$7:Q$7,"&lt;="&amp;$I$7,K307:P307)</f>
        <v>8000</v>
      </c>
      <c r="T307" s="1073">
        <f ca="1">IF(S307=0,IF(S308&gt;0,1,"-"),IFERROR(S308/S307,"-"))</f>
        <v>3.2537500000000001</v>
      </c>
      <c r="U307" s="40"/>
      <c r="V307" s="43">
        <v>5000</v>
      </c>
      <c r="W307" s="43">
        <v>5000</v>
      </c>
      <c r="X307" s="43">
        <v>5000</v>
      </c>
      <c r="Y307" s="43">
        <v>5000</v>
      </c>
      <c r="Z307" s="43">
        <v>5000</v>
      </c>
      <c r="AA307" s="43"/>
      <c r="AB307" s="43"/>
      <c r="AC307" s="40"/>
      <c r="AD307" s="43">
        <f ca="1">SUMIF($V$7:AB$7,"&lt;="&amp;$I$7,V307:AA307)</f>
        <v>25000</v>
      </c>
      <c r="AE307" s="762">
        <f t="shared" ref="AE307" ca="1" si="767">IFERROR((AD308/AD307),"-")</f>
        <v>0.88919999999999999</v>
      </c>
      <c r="AF307" s="40"/>
      <c r="AG307" s="43">
        <v>5000</v>
      </c>
      <c r="AH307" s="43">
        <v>5000</v>
      </c>
      <c r="AI307" s="43">
        <v>5000</v>
      </c>
      <c r="AJ307" s="43">
        <v>5000</v>
      </c>
      <c r="AK307" s="43">
        <v>5000</v>
      </c>
      <c r="AL307" s="43"/>
      <c r="AM307" s="43"/>
      <c r="AN307" s="40"/>
      <c r="AO307" s="43">
        <f ca="1">SUMIF($AG$7:AM$7,"&lt;="&amp;$I$7,AG307:AL307)</f>
        <v>10000</v>
      </c>
      <c r="AP307" s="762">
        <f t="shared" ref="AP307" ca="1" si="768">IFERROR((AO308/AO307),"-")</f>
        <v>0</v>
      </c>
      <c r="AQ307" s="40"/>
      <c r="AR307" s="43"/>
      <c r="AS307" s="43"/>
      <c r="AT307" s="43"/>
      <c r="AU307" s="43"/>
      <c r="AV307" s="43"/>
      <c r="AW307" s="43"/>
      <c r="AX307" s="43"/>
      <c r="AY307" s="40"/>
      <c r="AZ307" s="43">
        <f ca="1">SUMIF($AR$7:AX$7,"&lt;="&amp;$I$7,AR307:AW307)</f>
        <v>0</v>
      </c>
      <c r="BA307" s="762" t="str">
        <f t="shared" ref="BA307" ca="1" si="769">IFERROR((AZ308/AZ307),"-")</f>
        <v>-</v>
      </c>
      <c r="BB307" s="40"/>
      <c r="BC307" s="43"/>
      <c r="BD307" s="43"/>
      <c r="BE307" s="43"/>
      <c r="BF307" s="43"/>
      <c r="BG307" s="43"/>
      <c r="BH307" s="43"/>
      <c r="BI307" s="43"/>
      <c r="BJ307" s="40"/>
      <c r="BK307" s="43">
        <f ca="1">SUMIF($BC$7:BI$7,"&lt;="&amp;$I$7,BC307:BH307)</f>
        <v>0</v>
      </c>
      <c r="BL307" s="762" t="str">
        <f t="shared" ref="BL307" ca="1" si="770">IFERROR((BK308/BK307),"-")</f>
        <v>-</v>
      </c>
      <c r="BM307" s="40"/>
      <c r="BN307" s="921">
        <v>0</v>
      </c>
      <c r="BO307" s="884">
        <v>0</v>
      </c>
      <c r="BP307" s="909">
        <f>SUM(M308:P308,V308:AB308,AG308:AM308,AR308:AW308,BC308:BH308)</f>
        <v>41110</v>
      </c>
      <c r="BQ307" s="1073">
        <f>IF(BO307=0,IF(BP307&gt;0,1,"-"),IFERROR(BP307/BO307,"-"))</f>
        <v>1</v>
      </c>
      <c r="BR307" s="40"/>
      <c r="BS307" s="910"/>
      <c r="BT307" s="910"/>
      <c r="BU307" s="910">
        <f ca="1">E307+S308+AD308+AO308+AZ308+BK308-K308-L308</f>
        <v>616231</v>
      </c>
      <c r="BV307" s="909">
        <v>370</v>
      </c>
      <c r="BW307" s="1030">
        <f ca="1">IFERROR((BU307/BV307),"-")</f>
        <v>1665.4891891891891</v>
      </c>
      <c r="BX307" s="909">
        <v>0</v>
      </c>
      <c r="BY307" s="1032" t="str">
        <f ca="1">IFERROR((BU307/BX307),"-")</f>
        <v>-</v>
      </c>
      <c r="BZ307" s="40"/>
      <c r="CA307" s="910"/>
      <c r="CB307" s="910"/>
      <c r="CC307" s="3"/>
      <c r="CD307" s="19"/>
      <c r="CE307" s="2"/>
      <c r="CH307" s="93" t="str">
        <f t="shared" si="759"/>
        <v>Supressão Vegetal
CX de Emp. +  215+400/ 220+950/ 225+780 ao 226+500</v>
      </c>
    </row>
    <row r="308" spans="1:86" s="16" customFormat="1" ht="25.35" customHeight="1">
      <c r="A308" s="70"/>
      <c r="B308" s="1076"/>
      <c r="C308" s="761"/>
      <c r="D308" s="40"/>
      <c r="E308" s="1024"/>
      <c r="F308" s="40"/>
      <c r="G308" s="45" t="s">
        <v>38</v>
      </c>
      <c r="H308" s="43">
        <f>SUMIF($K$7:$BI$7,$I$7,K308:BI308)</f>
        <v>0</v>
      </c>
      <c r="I308" s="879"/>
      <c r="J308" s="40"/>
      <c r="K308" s="85">
        <v>1950</v>
      </c>
      <c r="L308" s="85">
        <v>5200</v>
      </c>
      <c r="M308" s="85">
        <v>9880</v>
      </c>
      <c r="N308" s="85">
        <v>9000</v>
      </c>
      <c r="O308" s="85"/>
      <c r="P308" s="85"/>
      <c r="Q308" s="43"/>
      <c r="R308" s="40"/>
      <c r="S308" s="43">
        <f ca="1">SUMIF($K$7:Q$7,"&lt;="&amp;$I$7,K308:P308)</f>
        <v>26030</v>
      </c>
      <c r="T308" s="1074"/>
      <c r="U308" s="40"/>
      <c r="V308" s="85">
        <v>3080</v>
      </c>
      <c r="W308" s="85">
        <v>2000</v>
      </c>
      <c r="X308" s="85">
        <v>3150</v>
      </c>
      <c r="Y308" s="85">
        <v>4200</v>
      </c>
      <c r="Z308" s="85">
        <v>2940</v>
      </c>
      <c r="AA308" s="85">
        <v>6860</v>
      </c>
      <c r="AB308" s="43"/>
      <c r="AC308" s="40"/>
      <c r="AD308" s="140">
        <f ca="1">SUMIF($V$7:AB$7,"&lt;="&amp;$I$7,V308:AA308)</f>
        <v>22230</v>
      </c>
      <c r="AE308" s="763"/>
      <c r="AF308" s="40"/>
      <c r="AG308" s="85"/>
      <c r="AH308" s="85"/>
      <c r="AI308" s="85"/>
      <c r="AJ308" s="85"/>
      <c r="AK308" s="85"/>
      <c r="AL308" s="85"/>
      <c r="AM308" s="43"/>
      <c r="AN308" s="40"/>
      <c r="AO308" s="43">
        <f ca="1">SUMIF($AG$7:AM$7,"&lt;="&amp;$I$7,AG308:AL308)</f>
        <v>0</v>
      </c>
      <c r="AP308" s="763"/>
      <c r="AQ308" s="40"/>
      <c r="AR308" s="85"/>
      <c r="AS308" s="85"/>
      <c r="AT308" s="85"/>
      <c r="AU308" s="85"/>
      <c r="AV308" s="85"/>
      <c r="AW308" s="85"/>
      <c r="AX308" s="43"/>
      <c r="AY308" s="40"/>
      <c r="AZ308" s="43">
        <f ca="1">SUMIF($AR$7:AX$7,"&lt;="&amp;$I$7,AR308:AW308)</f>
        <v>0</v>
      </c>
      <c r="BA308" s="763"/>
      <c r="BB308" s="40"/>
      <c r="BC308" s="85"/>
      <c r="BD308" s="85"/>
      <c r="BE308" s="85"/>
      <c r="BF308" s="85"/>
      <c r="BG308" s="85"/>
      <c r="BH308" s="85"/>
      <c r="BI308" s="43"/>
      <c r="BJ308" s="40"/>
      <c r="BK308" s="43">
        <f ca="1">SUMIF($BC$7:BI$7,"&lt;="&amp;$I$7,BC308:BH308)</f>
        <v>0</v>
      </c>
      <c r="BL308" s="763"/>
      <c r="BM308" s="40"/>
      <c r="BN308" s="922"/>
      <c r="BO308" s="885"/>
      <c r="BP308" s="910"/>
      <c r="BQ308" s="1074"/>
      <c r="BR308" s="40"/>
      <c r="BS308" s="910"/>
      <c r="BT308" s="910"/>
      <c r="BU308" s="910"/>
      <c r="BV308" s="910"/>
      <c r="BW308" s="1031"/>
      <c r="BX308" s="910"/>
      <c r="BY308" s="1033"/>
      <c r="BZ308" s="40"/>
      <c r="CA308" s="910"/>
      <c r="CB308" s="910"/>
      <c r="CC308" s="2"/>
      <c r="CD308" s="52">
        <f>AVERAGEIF($K$7:Q$7,"&lt;="&amp;$I$7,K308:Q308)</f>
        <v>6507.5</v>
      </c>
      <c r="CE308" s="3"/>
      <c r="CH308" s="93" t="str">
        <f t="shared" si="759"/>
        <v>Supressão Vegetal
CX de Emp. +  215+400/ 220+950/ 225+780 ao 226+500</v>
      </c>
    </row>
    <row r="309" spans="1:86" s="16" customFormat="1" ht="15.95" customHeight="1">
      <c r="A309" s="69"/>
      <c r="B309" s="3"/>
      <c r="C309" s="3"/>
      <c r="D309" s="3"/>
      <c r="E309" s="3"/>
      <c r="F309" s="3"/>
      <c r="G309" s="3"/>
      <c r="H309" s="36"/>
      <c r="I309" s="3"/>
      <c r="J309" s="3"/>
      <c r="K309" s="37"/>
      <c r="L309" s="37"/>
      <c r="M309" s="37"/>
      <c r="N309" s="37"/>
      <c r="O309" s="37"/>
      <c r="P309" s="37"/>
      <c r="Q309" s="37"/>
      <c r="R309" s="3"/>
      <c r="S309" s="37"/>
      <c r="T309" s="3"/>
      <c r="U309" s="3"/>
      <c r="V309" s="37"/>
      <c r="W309" s="37"/>
      <c r="X309" s="37"/>
      <c r="Y309" s="37"/>
      <c r="Z309" s="37"/>
      <c r="AA309" s="37"/>
      <c r="AB309" s="37"/>
      <c r="AC309" s="3"/>
      <c r="AD309" s="37"/>
      <c r="AE309" s="3"/>
      <c r="AF309" s="3"/>
      <c r="AG309" s="37"/>
      <c r="AH309" s="37"/>
      <c r="AI309" s="37"/>
      <c r="AJ309" s="37"/>
      <c r="AK309" s="37"/>
      <c r="AL309" s="37"/>
      <c r="AM309" s="37"/>
      <c r="AN309" s="3"/>
      <c r="AO309" s="37"/>
      <c r="AP309" s="3"/>
      <c r="AQ309" s="3"/>
      <c r="AR309" s="37"/>
      <c r="AS309" s="37"/>
      <c r="AT309" s="37"/>
      <c r="AU309" s="37"/>
      <c r="AV309" s="37"/>
      <c r="AW309" s="37"/>
      <c r="AX309" s="37"/>
      <c r="AY309" s="3"/>
      <c r="AZ309" s="37"/>
      <c r="BA309" s="3"/>
      <c r="BB309" s="3"/>
      <c r="BC309" s="37"/>
      <c r="BD309" s="37"/>
      <c r="BE309" s="37"/>
      <c r="BF309" s="37"/>
      <c r="BG309" s="37"/>
      <c r="BH309" s="37"/>
      <c r="BI309" s="37"/>
      <c r="BJ309" s="3"/>
      <c r="BK309" s="37"/>
      <c r="BL309" s="3"/>
      <c r="BM309" s="3"/>
      <c r="BN309" s="35"/>
      <c r="BO309" s="36"/>
      <c r="BP309" s="35"/>
      <c r="BQ309" s="3"/>
      <c r="BR309" s="3"/>
      <c r="BS309" s="36"/>
      <c r="BT309" s="36"/>
      <c r="BU309" s="36"/>
      <c r="BV309" s="36"/>
      <c r="BW309" s="36"/>
      <c r="BX309" s="36"/>
      <c r="BY309" s="3"/>
      <c r="BZ309" s="3"/>
      <c r="CA309" s="36"/>
      <c r="CB309" s="36"/>
      <c r="CC309" s="2"/>
      <c r="CD309" s="52" t="e">
        <f>AVERAGEIF($K$7:Q$7,"&lt;="&amp;$I$7,K309:Q309)</f>
        <v>#DIV/0!</v>
      </c>
      <c r="CE309" s="3"/>
      <c r="CH309" s="93" t="str">
        <f t="shared" si="759"/>
        <v>Supressão Vegetal
CX de Emp. +  215+400/ 220+950/ 225+780 ao 226+500</v>
      </c>
    </row>
    <row r="310" spans="1:86" s="16" customFormat="1" ht="19.350000000000001" customHeight="1">
      <c r="A310" s="70"/>
      <c r="B310" s="848" t="s">
        <v>3998</v>
      </c>
      <c r="C310" s="1023" t="s">
        <v>1437</v>
      </c>
      <c r="D310" s="2"/>
      <c r="E310" s="1004">
        <v>0</v>
      </c>
      <c r="F310" s="2"/>
      <c r="G310" s="49" t="s">
        <v>37</v>
      </c>
      <c r="H310" s="43">
        <f>SUMIF($K$7:$BI$7,$I$7,K310:BI310)</f>
        <v>0</v>
      </c>
      <c r="I310" s="878" t="str">
        <f t="shared" ref="I310" si="771">IFERROR((H311/H310),"-")</f>
        <v>-</v>
      </c>
      <c r="J310" s="40"/>
      <c r="K310" s="42"/>
      <c r="L310" s="42"/>
      <c r="M310" s="42"/>
      <c r="N310" s="42"/>
      <c r="O310" s="42"/>
      <c r="P310" s="42"/>
      <c r="Q310" s="42"/>
      <c r="R310" s="40"/>
      <c r="S310" s="43">
        <f ca="1">SUMIF($K$7:Q$7,"&lt;="&amp;$I$7,K310:P310)</f>
        <v>0</v>
      </c>
      <c r="T310" s="762" t="str">
        <f t="shared" ref="T310" ca="1" si="772">IFERROR((S311/S310),"-")</f>
        <v>-</v>
      </c>
      <c r="U310" s="40"/>
      <c r="V310" s="42"/>
      <c r="W310" s="42"/>
      <c r="X310" s="42"/>
      <c r="Y310" s="42"/>
      <c r="Z310" s="42"/>
      <c r="AA310" s="42"/>
      <c r="AB310" s="42"/>
      <c r="AC310" s="40"/>
      <c r="AD310" s="705">
        <f ca="1">SUMIF($V$7:AB$7,"&lt;="&amp;$I$7,V310:AA310)</f>
        <v>0</v>
      </c>
      <c r="AE310" s="762" t="str">
        <f t="shared" ref="AE310" ca="1" si="773">IFERROR((AD311/AD310),"-")</f>
        <v>-</v>
      </c>
      <c r="AF310" s="40"/>
      <c r="AG310" s="42"/>
      <c r="AH310" s="42"/>
      <c r="AI310" s="42"/>
      <c r="AJ310" s="42"/>
      <c r="AK310" s="42"/>
      <c r="AL310" s="42"/>
      <c r="AM310" s="42"/>
      <c r="AN310" s="40"/>
      <c r="AO310" s="43">
        <f ca="1">SUMIF($AG$7:AM$7,"&lt;="&amp;$I$7,AG310:AL310)</f>
        <v>0</v>
      </c>
      <c r="AP310" s="762" t="str">
        <f t="shared" ref="AP310" ca="1" si="774">IFERROR((AO311/AO310),"-")</f>
        <v>-</v>
      </c>
      <c r="AQ310" s="40"/>
      <c r="AR310" s="42"/>
      <c r="AS310" s="42"/>
      <c r="AT310" s="42"/>
      <c r="AU310" s="42"/>
      <c r="AV310" s="42"/>
      <c r="AW310" s="42"/>
      <c r="AX310" s="42"/>
      <c r="AY310" s="40"/>
      <c r="AZ310" s="43">
        <f ca="1">SUMIF($AR$7:AX$7,"&lt;="&amp;$I$7,AR310:AW310)</f>
        <v>0</v>
      </c>
      <c r="BA310" s="762" t="str">
        <f t="shared" ref="BA310" ca="1" si="775">IFERROR((AZ311/AZ310),"-")</f>
        <v>-</v>
      </c>
      <c r="BB310" s="40"/>
      <c r="BC310" s="42"/>
      <c r="BD310" s="42"/>
      <c r="BE310" s="42"/>
      <c r="BF310" s="42"/>
      <c r="BG310" s="42"/>
      <c r="BH310" s="42"/>
      <c r="BI310" s="42"/>
      <c r="BJ310" s="40"/>
      <c r="BK310" s="43">
        <f ca="1">SUMIF($BC$7:BI$7,"&lt;="&amp;$I$7,BC310:BH310)</f>
        <v>0</v>
      </c>
      <c r="BL310" s="762" t="str">
        <f t="shared" ref="BL310" ca="1" si="776">IFERROR((BK311/BK310),"-")</f>
        <v>-</v>
      </c>
      <c r="BM310" s="40"/>
      <c r="BN310" s="1025">
        <v>0</v>
      </c>
      <c r="BO310" s="1027">
        <v>0</v>
      </c>
      <c r="BP310" s="909">
        <f>BP314+BP393</f>
        <v>0</v>
      </c>
      <c r="BQ310" s="762" t="str">
        <f>IFERROR((BP310/BO310),"-")</f>
        <v>-</v>
      </c>
      <c r="BR310" s="40"/>
      <c r="BS310" s="909"/>
      <c r="BT310" s="909"/>
      <c r="BU310" s="909">
        <f>BU314</f>
        <v>0</v>
      </c>
      <c r="BV310" s="909">
        <v>370</v>
      </c>
      <c r="BW310" s="1030">
        <f>IFERROR((BU310/BV310),"-")</f>
        <v>0</v>
      </c>
      <c r="BX310" s="909">
        <v>0</v>
      </c>
      <c r="BY310" s="1032" t="str">
        <f>IFERROR((BU310/BX310),"-")</f>
        <v>-</v>
      </c>
      <c r="BZ310" s="40"/>
      <c r="CA310" s="909">
        <v>4</v>
      </c>
      <c r="CB310" s="909">
        <f>CA310-BU310</f>
        <v>4</v>
      </c>
      <c r="CC310" s="2"/>
      <c r="CD310" s="504">
        <f>IFERROR(AVERAGEIF($K$7:Q$7,"&lt;="&amp;$I$7,K310:Q310),0)</f>
        <v>0</v>
      </c>
      <c r="CE310" s="3"/>
      <c r="CH310" s="93" t="str">
        <f t="shared" si="759"/>
        <v>OAE - Obra de Arte Especial</v>
      </c>
    </row>
    <row r="311" spans="1:86" s="16" customFormat="1" ht="19.350000000000001" customHeight="1">
      <c r="A311" s="70"/>
      <c r="B311" s="1066"/>
      <c r="C311" s="1023"/>
      <c r="D311" s="2"/>
      <c r="E311" s="1024"/>
      <c r="F311" s="2"/>
      <c r="G311" s="50" t="s">
        <v>38</v>
      </c>
      <c r="H311" s="43">
        <f>SUMIF($K$7:$BI$7,$I$7,K311:BI311)</f>
        <v>0</v>
      </c>
      <c r="I311" s="879"/>
      <c r="J311" s="40"/>
      <c r="K311" s="72"/>
      <c r="L311" s="72"/>
      <c r="M311" s="72"/>
      <c r="N311" s="72"/>
      <c r="O311" s="72"/>
      <c r="P311" s="72"/>
      <c r="Q311" s="43"/>
      <c r="R311" s="40"/>
      <c r="S311" s="43">
        <f ca="1">SUMIF($K$7:Q$7,"&lt;="&amp;$I$7,K311:P311)</f>
        <v>0</v>
      </c>
      <c r="T311" s="763"/>
      <c r="U311" s="40"/>
      <c r="V311" s="72"/>
      <c r="W311" s="72"/>
      <c r="X311" s="72"/>
      <c r="Y311" s="72"/>
      <c r="Z311" s="72"/>
      <c r="AA311" s="72"/>
      <c r="AB311" s="43"/>
      <c r="AC311" s="40"/>
      <c r="AD311" s="705">
        <f ca="1">SUMIF($V$7:AB$7,"&lt;="&amp;$I$7,V311:AA311)</f>
        <v>0</v>
      </c>
      <c r="AE311" s="763"/>
      <c r="AF311" s="40"/>
      <c r="AG311" s="72"/>
      <c r="AH311" s="72"/>
      <c r="AI311" s="72"/>
      <c r="AJ311" s="72"/>
      <c r="AK311" s="72"/>
      <c r="AL311" s="72"/>
      <c r="AM311" s="43"/>
      <c r="AN311" s="40"/>
      <c r="AO311" s="43">
        <f ca="1">SUMIF($AG$7:AM$7,"&lt;="&amp;$I$7,AG311:AL311)</f>
        <v>0</v>
      </c>
      <c r="AP311" s="763"/>
      <c r="AQ311" s="40"/>
      <c r="AR311" s="72"/>
      <c r="AS311" s="72"/>
      <c r="AT311" s="72"/>
      <c r="AU311" s="72"/>
      <c r="AV311" s="72"/>
      <c r="AW311" s="72"/>
      <c r="AX311" s="43"/>
      <c r="AY311" s="40"/>
      <c r="AZ311" s="43">
        <f ca="1">SUMIF($AR$7:AX$7,"&lt;="&amp;$I$7,AR311:AW311)</f>
        <v>0</v>
      </c>
      <c r="BA311" s="763"/>
      <c r="BB311" s="40"/>
      <c r="BC311" s="72"/>
      <c r="BD311" s="72"/>
      <c r="BE311" s="72"/>
      <c r="BF311" s="72"/>
      <c r="BG311" s="72"/>
      <c r="BH311" s="72"/>
      <c r="BI311" s="43"/>
      <c r="BJ311" s="40"/>
      <c r="BK311" s="43">
        <f ca="1">SUMIF($BC$7:BI$7,"&lt;="&amp;$I$7,BC311:BH311)</f>
        <v>0</v>
      </c>
      <c r="BL311" s="763"/>
      <c r="BM311" s="40"/>
      <c r="BN311" s="1026"/>
      <c r="BO311" s="1028"/>
      <c r="BP311" s="910"/>
      <c r="BQ311" s="1029"/>
      <c r="BR311" s="40"/>
      <c r="BS311" s="910"/>
      <c r="BT311" s="910"/>
      <c r="BU311" s="910"/>
      <c r="BV311" s="910"/>
      <c r="BW311" s="1031"/>
      <c r="BX311" s="910"/>
      <c r="BY311" s="1033"/>
      <c r="BZ311" s="40"/>
      <c r="CA311" s="910"/>
      <c r="CB311" s="910"/>
      <c r="CC311" s="2"/>
      <c r="CD311" s="504">
        <f>IFERROR(AVERAGEIF($K$7:Q$7,"&lt;="&amp;$I$7,K311:Q311),0)</f>
        <v>0</v>
      </c>
      <c r="CE311" s="3"/>
      <c r="CH311" s="93" t="str">
        <f t="shared" si="759"/>
        <v>OAE - Obra de Arte Especial</v>
      </c>
    </row>
    <row r="312" spans="1:86" s="16" customFormat="1" ht="20.25" customHeight="1">
      <c r="A312" s="69"/>
      <c r="B312" s="3"/>
      <c r="C312"/>
      <c r="D312" s="3"/>
      <c r="E312"/>
      <c r="F312" s="3"/>
      <c r="G312"/>
      <c r="H312" s="57"/>
      <c r="I312"/>
      <c r="J312" s="3"/>
      <c r="K312" s="37"/>
      <c r="L312" s="37"/>
      <c r="M312" s="37"/>
      <c r="N312" s="37"/>
      <c r="O312" s="37"/>
      <c r="P312" s="37"/>
      <c r="Q312" s="37"/>
      <c r="R312" s="3"/>
      <c r="S312" s="37"/>
      <c r="T312" s="3"/>
      <c r="U312" s="3"/>
      <c r="V312" s="37"/>
      <c r="W312" s="37"/>
      <c r="X312" s="37"/>
      <c r="Y312" s="37"/>
      <c r="Z312" s="37"/>
      <c r="AA312" s="37"/>
      <c r="AB312" s="37"/>
      <c r="AC312" s="3"/>
      <c r="AD312" s="37"/>
      <c r="AE312" s="3"/>
      <c r="AF312" s="3"/>
      <c r="AG312" s="37"/>
      <c r="AH312" s="37"/>
      <c r="AI312" s="37"/>
      <c r="AJ312" s="37"/>
      <c r="AK312" s="37"/>
      <c r="AL312" s="37"/>
      <c r="AM312" s="37"/>
      <c r="AN312" s="3"/>
      <c r="AO312" s="37"/>
      <c r="AP312" s="3"/>
      <c r="AQ312" s="3"/>
      <c r="AR312" s="37"/>
      <c r="AS312" s="37"/>
      <c r="AT312" s="37"/>
      <c r="AU312" s="37"/>
      <c r="AV312" s="37"/>
      <c r="AW312" s="37"/>
      <c r="AX312" s="37"/>
      <c r="AY312" s="3"/>
      <c r="AZ312" s="37"/>
      <c r="BA312" s="3"/>
      <c r="BB312" s="3"/>
      <c r="BC312" s="37"/>
      <c r="BD312" s="37"/>
      <c r="BE312" s="37"/>
      <c r="BF312" s="37"/>
      <c r="BG312" s="37"/>
      <c r="BH312" s="37"/>
      <c r="BI312" s="37"/>
      <c r="BJ312" s="3"/>
      <c r="BK312" s="37"/>
      <c r="BL312" s="3"/>
      <c r="BM312" s="3"/>
      <c r="BN312" s="35"/>
      <c r="BO312" s="36"/>
      <c r="BP312" s="35"/>
      <c r="BQ312" s="3"/>
      <c r="BR312" s="3"/>
      <c r="BS312" s="36"/>
      <c r="BT312" s="36"/>
      <c r="BU312" s="36"/>
      <c r="BV312" s="36"/>
      <c r="BW312" s="36"/>
      <c r="BX312" s="36"/>
      <c r="BY312" s="3"/>
      <c r="BZ312" s="3"/>
      <c r="CA312" s="36"/>
      <c r="CB312" s="36"/>
      <c r="CC312" s="2"/>
      <c r="CD312" s="504">
        <f>IFERROR(AVERAGEIF($K$7:Q$7,"&lt;="&amp;$I$7,K312:Q312),0)</f>
        <v>0</v>
      </c>
      <c r="CE312" s="40"/>
      <c r="CH312" s="93" t="str">
        <f t="shared" si="759"/>
        <v>OAE - Obra de Arte Especial</v>
      </c>
    </row>
    <row r="313" spans="1:86" s="16" customFormat="1" ht="15.95" customHeight="1">
      <c r="A313" s="69"/>
      <c r="B313" s="3"/>
      <c r="C313" s="3"/>
      <c r="D313" s="3"/>
      <c r="E313" s="3"/>
      <c r="F313" s="3"/>
      <c r="G313" s="3"/>
      <c r="H313" s="36"/>
      <c r="I313" s="3"/>
      <c r="J313" s="3"/>
      <c r="K313" s="37"/>
      <c r="L313" s="37"/>
      <c r="M313" s="37"/>
      <c r="N313" s="37"/>
      <c r="O313" s="37"/>
      <c r="P313" s="37"/>
      <c r="Q313" s="37"/>
      <c r="R313" s="3"/>
      <c r="S313" s="37"/>
      <c r="T313" s="3"/>
      <c r="U313" s="3"/>
      <c r="V313" s="37"/>
      <c r="W313" s="37"/>
      <c r="X313" s="37"/>
      <c r="Y313" s="37"/>
      <c r="Z313" s="37"/>
      <c r="AA313" s="37"/>
      <c r="AB313" s="37"/>
      <c r="AC313" s="3"/>
      <c r="AD313" s="37"/>
      <c r="AE313" s="3"/>
      <c r="AF313" s="3"/>
      <c r="AG313" s="37"/>
      <c r="AH313" s="37"/>
      <c r="AI313" s="37"/>
      <c r="AJ313" s="37"/>
      <c r="AK313" s="37"/>
      <c r="AL313" s="37"/>
      <c r="AM313" s="37"/>
      <c r="AN313" s="3"/>
      <c r="AO313" s="37"/>
      <c r="AP313" s="3"/>
      <c r="AQ313" s="3"/>
      <c r="AR313" s="37"/>
      <c r="AS313" s="37"/>
      <c r="AT313" s="37"/>
      <c r="AU313" s="37"/>
      <c r="AV313" s="37"/>
      <c r="AW313" s="37"/>
      <c r="AX313" s="37"/>
      <c r="AY313" s="3"/>
      <c r="AZ313" s="37"/>
      <c r="BA313" s="3"/>
      <c r="BB313" s="3"/>
      <c r="BC313" s="37"/>
      <c r="BD313" s="37"/>
      <c r="BE313" s="37"/>
      <c r="BF313" s="37"/>
      <c r="BG313" s="37"/>
      <c r="BH313" s="37"/>
      <c r="BI313" s="37"/>
      <c r="BJ313" s="3"/>
      <c r="BK313" s="37"/>
      <c r="BL313" s="3"/>
      <c r="BM313" s="3"/>
      <c r="BN313" s="35"/>
      <c r="BO313" s="36"/>
      <c r="BP313" s="35"/>
      <c r="BQ313" s="3"/>
      <c r="BR313" s="3"/>
      <c r="BS313" s="36"/>
      <c r="BT313" s="36"/>
      <c r="BU313" s="36"/>
      <c r="BV313" s="36"/>
      <c r="BW313" s="36"/>
      <c r="BX313" s="36"/>
      <c r="BY313" s="3"/>
      <c r="BZ313" s="3"/>
      <c r="CA313" s="36"/>
      <c r="CB313" s="36"/>
      <c r="CC313" s="2"/>
      <c r="CD313" s="504">
        <f>IFERROR(AVERAGEIF($K$7:Q$7,"&lt;="&amp;$I$7,K313:Q313),0)</f>
        <v>0</v>
      </c>
      <c r="CE313" s="40"/>
      <c r="CH313" s="93" t="str">
        <f t="shared" si="759"/>
        <v>OAE - Obra de Arte Especial</v>
      </c>
    </row>
    <row r="314" spans="1:86" s="16" customFormat="1" ht="20.45" customHeight="1">
      <c r="A314" s="73"/>
      <c r="B314" s="739" t="s">
        <v>3999</v>
      </c>
      <c r="C314" s="740" t="s">
        <v>1437</v>
      </c>
      <c r="D314" s="2"/>
      <c r="E314" s="1019">
        <v>0</v>
      </c>
      <c r="F314" s="2"/>
      <c r="G314" s="53" t="s">
        <v>37</v>
      </c>
      <c r="H314" s="52">
        <f t="shared" ref="H314:H377" si="777">SUMIF($K$7:$BI$7,$I$7,K314:BI314)</f>
        <v>0</v>
      </c>
      <c r="I314" s="743" t="str">
        <f>IFERROR((H315/H314),"-")</f>
        <v>-</v>
      </c>
      <c r="J314" s="2"/>
      <c r="K314" s="52"/>
      <c r="L314" s="52"/>
      <c r="M314" s="52"/>
      <c r="N314" s="52"/>
      <c r="O314" s="52"/>
      <c r="P314" s="52"/>
      <c r="Q314" s="52">
        <f>Q318+Q340+Q350</f>
        <v>0</v>
      </c>
      <c r="R314" s="2"/>
      <c r="S314" s="52">
        <f ca="1">SUMIF($K$7:Q$7,"&lt;="&amp;$I$7,K314:P314)</f>
        <v>0</v>
      </c>
      <c r="T314" s="743" t="str">
        <f ca="1">IFERROR((S315/S314),"-")</f>
        <v>-</v>
      </c>
      <c r="U314" s="2"/>
      <c r="V314" s="52"/>
      <c r="W314" s="52"/>
      <c r="X314" s="52"/>
      <c r="Y314" s="52"/>
      <c r="Z314" s="52"/>
      <c r="AA314" s="52"/>
      <c r="AB314" s="52">
        <f>AB318+AB340+AB350</f>
        <v>0</v>
      </c>
      <c r="AC314" s="2"/>
      <c r="AD314" s="52">
        <f>SUMIF($V$7:AB$7,"&lt;="&amp;$I$7,V314:AB314)</f>
        <v>0</v>
      </c>
      <c r="AE314" s="743" t="str">
        <f>IFERROR((AD315/AD314),"-")</f>
        <v>-</v>
      </c>
      <c r="AF314" s="2"/>
      <c r="AG314" s="52"/>
      <c r="AH314" s="52"/>
      <c r="AI314" s="52"/>
      <c r="AJ314" s="52"/>
      <c r="AK314" s="52"/>
      <c r="AL314" s="52"/>
      <c r="AM314" s="52">
        <f>AM318+AM340+AM350</f>
        <v>0</v>
      </c>
      <c r="AN314" s="2"/>
      <c r="AO314" s="52">
        <f ca="1">SUMIF($AG$7:AM$7,"&lt;="&amp;$I$7,AG314:AL314)</f>
        <v>0</v>
      </c>
      <c r="AP314" s="743" t="str">
        <f ca="1">IFERROR((AO315/AO314),"-")</f>
        <v>-</v>
      </c>
      <c r="AQ314" s="2"/>
      <c r="AR314" s="52"/>
      <c r="AS314" s="52"/>
      <c r="AT314" s="52"/>
      <c r="AU314" s="52"/>
      <c r="AV314" s="52"/>
      <c r="AW314" s="52"/>
      <c r="AX314" s="52">
        <f>AX318+AX340+AX350</f>
        <v>0</v>
      </c>
      <c r="AY314" s="2"/>
      <c r="AZ314" s="52">
        <f ca="1">SUMIF($AR$7:AX$7,"&lt;="&amp;$I$7,AR314:AW314)</f>
        <v>0</v>
      </c>
      <c r="BA314" s="743" t="str">
        <f ca="1">IFERROR((AZ315/AZ314),"-")</f>
        <v>-</v>
      </c>
      <c r="BB314" s="2"/>
      <c r="BC314" s="52"/>
      <c r="BD314" s="52"/>
      <c r="BE314" s="52"/>
      <c r="BF314" s="52"/>
      <c r="BG314" s="52"/>
      <c r="BH314" s="52"/>
      <c r="BI314" s="52">
        <f>BI318+BI340+BI350</f>
        <v>0</v>
      </c>
      <c r="BJ314" s="2"/>
      <c r="BK314" s="52">
        <f ca="1">SUMIF($BC$7:BI$7,"&lt;="&amp;$I$7,BC314:BH314)</f>
        <v>0</v>
      </c>
      <c r="BL314" s="743" t="str">
        <f ca="1">IFERROR((BK315/BK314),"-")</f>
        <v>-</v>
      </c>
      <c r="BM314" s="2"/>
      <c r="BN314" s="888">
        <v>0</v>
      </c>
      <c r="BO314" s="888">
        <v>0</v>
      </c>
      <c r="BP314" s="888">
        <v>0</v>
      </c>
      <c r="BQ314" s="743" t="str">
        <f>IFERROR((BP314/BO314),"-")</f>
        <v>-</v>
      </c>
      <c r="BR314" s="2"/>
      <c r="BS314" s="888"/>
      <c r="BT314" s="888"/>
      <c r="BU314" s="888">
        <v>0</v>
      </c>
      <c r="BV314" s="888">
        <v>210</v>
      </c>
      <c r="BW314" s="1019">
        <f>IFERROR((BU314/BV314),"-")</f>
        <v>0</v>
      </c>
      <c r="BX314" s="888">
        <v>0</v>
      </c>
      <c r="BY314" s="743" t="str">
        <f>IFERROR((BU314/BX314),"-")</f>
        <v>-</v>
      </c>
      <c r="BZ314" s="2"/>
      <c r="CA314" s="888">
        <v>1</v>
      </c>
      <c r="CB314" s="888">
        <v>1</v>
      </c>
      <c r="CC314" s="2"/>
      <c r="CD314" s="504">
        <f>IFERROR(AVERAGEIF($K$7:Q$7,"&lt;="&amp;$I$7,K314:Q314),0)</f>
        <v>0</v>
      </c>
      <c r="CE314" s="3"/>
      <c r="CH314" s="93" t="str">
        <f t="shared" si="759"/>
        <v>Viaduto J&amp;F- km 212+260</v>
      </c>
    </row>
    <row r="315" spans="1:86" s="21" customFormat="1" ht="15.95" customHeight="1">
      <c r="A315" s="74"/>
      <c r="B315" s="739"/>
      <c r="C315" s="740"/>
      <c r="D315" s="2"/>
      <c r="E315" s="1060"/>
      <c r="F315" s="2"/>
      <c r="G315" s="54" t="s">
        <v>38</v>
      </c>
      <c r="H315" s="52">
        <f t="shared" si="777"/>
        <v>0</v>
      </c>
      <c r="I315" s="744"/>
      <c r="J315" s="2"/>
      <c r="K315" s="75"/>
      <c r="L315" s="75"/>
      <c r="M315" s="75"/>
      <c r="N315" s="75"/>
      <c r="O315" s="75"/>
      <c r="P315" s="75"/>
      <c r="Q315" s="52">
        <f>Q319+Q341+Q351</f>
        <v>0</v>
      </c>
      <c r="R315" s="2"/>
      <c r="S315" s="52">
        <f ca="1">SUMIF($K$7:Q$7,"&lt;="&amp;$I$7,K315:P315)</f>
        <v>0</v>
      </c>
      <c r="T315" s="744"/>
      <c r="U315" s="2"/>
      <c r="V315" s="75"/>
      <c r="W315" s="75"/>
      <c r="X315" s="75"/>
      <c r="Y315" s="75"/>
      <c r="Z315" s="75"/>
      <c r="AA315" s="75"/>
      <c r="AB315" s="52">
        <f>AB319+AB341+AB351</f>
        <v>0</v>
      </c>
      <c r="AC315" s="2"/>
      <c r="AD315" s="52">
        <f>SUMIF($V$7:AB$7,"&lt;="&amp;$I$7,V315:AB315)</f>
        <v>0</v>
      </c>
      <c r="AE315" s="744"/>
      <c r="AF315" s="2"/>
      <c r="AG315" s="75"/>
      <c r="AH315" s="75"/>
      <c r="AI315" s="75"/>
      <c r="AJ315" s="75"/>
      <c r="AK315" s="75"/>
      <c r="AL315" s="75"/>
      <c r="AM315" s="52">
        <f>AM319+AM341+AM351</f>
        <v>0</v>
      </c>
      <c r="AN315" s="2"/>
      <c r="AO315" s="52">
        <f ca="1">SUMIF($AG$7:AM$7,"&lt;="&amp;$I$7,AG315:AL315)</f>
        <v>0</v>
      </c>
      <c r="AP315" s="744"/>
      <c r="AQ315" s="2"/>
      <c r="AR315" s="75"/>
      <c r="AS315" s="75"/>
      <c r="AT315" s="75"/>
      <c r="AU315" s="75"/>
      <c r="AV315" s="75"/>
      <c r="AW315" s="75"/>
      <c r="AX315" s="52">
        <f>AX319+AX341+AX351</f>
        <v>0</v>
      </c>
      <c r="AY315" s="2"/>
      <c r="AZ315" s="52">
        <f ca="1">SUMIF($AR$7:AX$7,"&lt;="&amp;$I$7,AR315:AW315)</f>
        <v>0</v>
      </c>
      <c r="BA315" s="744"/>
      <c r="BB315" s="2"/>
      <c r="BC315" s="75"/>
      <c r="BD315" s="75"/>
      <c r="BE315" s="75"/>
      <c r="BF315" s="75"/>
      <c r="BG315" s="75"/>
      <c r="BH315" s="75"/>
      <c r="BI315" s="52">
        <f>BI319+BI341+BI351</f>
        <v>0</v>
      </c>
      <c r="BJ315" s="2"/>
      <c r="BK315" s="52">
        <f ca="1">SUMIF($BC$7:BI$7,"&lt;="&amp;$I$7,BC315:BH315)</f>
        <v>0</v>
      </c>
      <c r="BL315" s="744"/>
      <c r="BM315" s="2"/>
      <c r="BN315" s="888"/>
      <c r="BO315" s="889"/>
      <c r="BP315" s="888"/>
      <c r="BQ315" s="744"/>
      <c r="BR315" s="2"/>
      <c r="BS315" s="888"/>
      <c r="BT315" s="888"/>
      <c r="BU315" s="888"/>
      <c r="BV315" s="888"/>
      <c r="BW315" s="1019"/>
      <c r="BX315" s="888"/>
      <c r="BY315" s="743"/>
      <c r="BZ315" s="2"/>
      <c r="CA315" s="888"/>
      <c r="CB315" s="888"/>
      <c r="CC315" s="2"/>
      <c r="CD315" s="504">
        <f>IFERROR(AVERAGEIF($K$7:Q$7,"&lt;="&amp;$I$7,K315:Q315),0)</f>
        <v>0</v>
      </c>
      <c r="CE315" s="40"/>
      <c r="CH315" s="93" t="str">
        <f t="shared" si="759"/>
        <v>Viaduto J&amp;F- km 212+260</v>
      </c>
    </row>
    <row r="316" spans="1:86" s="16" customFormat="1" ht="20.45" customHeight="1">
      <c r="A316" s="70"/>
      <c r="B316" s="848" t="s">
        <v>4000</v>
      </c>
      <c r="C316" s="1023" t="s">
        <v>1437</v>
      </c>
      <c r="D316" s="2"/>
      <c r="E316" s="1004">
        <v>6</v>
      </c>
      <c r="F316" s="2"/>
      <c r="G316" s="49" t="s">
        <v>37</v>
      </c>
      <c r="H316" s="43">
        <f t="shared" si="777"/>
        <v>0</v>
      </c>
      <c r="I316" s="878" t="str">
        <f>IFERROR((H317/H316),"-")</f>
        <v>-</v>
      </c>
      <c r="J316" s="40"/>
      <c r="K316" s="42"/>
      <c r="L316" s="42"/>
      <c r="M316" s="42"/>
      <c r="N316" s="42"/>
      <c r="O316" s="42"/>
      <c r="P316" s="42"/>
      <c r="Q316" s="42"/>
      <c r="R316" s="40"/>
      <c r="S316" s="43">
        <f ca="1">SUMIF($K$7:Q$7,"&lt;="&amp;$I$7,K316:P316)</f>
        <v>0</v>
      </c>
      <c r="T316" s="762" t="str">
        <f ca="1">IFERROR((S317/S316),"-")</f>
        <v>-</v>
      </c>
      <c r="U316" s="40"/>
      <c r="V316" s="42"/>
      <c r="W316" s="42"/>
      <c r="X316" s="42"/>
      <c r="Y316" s="42"/>
      <c r="Z316" s="42"/>
      <c r="AA316" s="42"/>
      <c r="AB316" s="42">
        <f>AB340+AB350+AB352</f>
        <v>0</v>
      </c>
      <c r="AC316" s="40"/>
      <c r="AD316" s="705">
        <f ca="1">SUMIF($V$7:AB$7,"&lt;="&amp;$I$7,V316:AA316)</f>
        <v>0</v>
      </c>
      <c r="AE316" s="762" t="str">
        <f ca="1">IFERROR((AD317/AD316),"-")</f>
        <v>-</v>
      </c>
      <c r="AF316" s="40"/>
      <c r="AG316" s="42"/>
      <c r="AH316" s="42"/>
      <c r="AI316" s="42"/>
      <c r="AJ316" s="42"/>
      <c r="AK316" s="42"/>
      <c r="AL316" s="42"/>
      <c r="AM316" s="42">
        <f>AM340+AM350+AM352</f>
        <v>0</v>
      </c>
      <c r="AN316" s="40"/>
      <c r="AO316" s="43">
        <f ca="1">SUMIF($AG$7:AM$7,"&lt;="&amp;$I$7,AG316:AL316)</f>
        <v>0</v>
      </c>
      <c r="AP316" s="762" t="str">
        <f ca="1">IFERROR((AO317/AO316),"-")</f>
        <v>-</v>
      </c>
      <c r="AQ316" s="40"/>
      <c r="AR316" s="42"/>
      <c r="AS316" s="42"/>
      <c r="AT316" s="42"/>
      <c r="AU316" s="42"/>
      <c r="AV316" s="42"/>
      <c r="AW316" s="42"/>
      <c r="AX316" s="42"/>
      <c r="AY316" s="40"/>
      <c r="AZ316" s="705">
        <f ca="1">SUMIF($AR$7:AX$7,"&lt;="&amp;$I$7,AR316:AW316)</f>
        <v>0</v>
      </c>
      <c r="BA316" s="762" t="str">
        <f ca="1">IFERROR((AZ317/AZ316),"-")</f>
        <v>-</v>
      </c>
      <c r="BB316" s="40"/>
      <c r="BC316" s="42"/>
      <c r="BD316" s="42"/>
      <c r="BE316" s="42"/>
      <c r="BF316" s="42"/>
      <c r="BG316" s="42"/>
      <c r="BH316" s="42"/>
      <c r="BI316" s="42"/>
      <c r="BJ316" s="40"/>
      <c r="BK316" s="43">
        <f ca="1">SUMIF($BC$7:BI$7,"&lt;="&amp;$I$7,BC316:BH316)</f>
        <v>0</v>
      </c>
      <c r="BL316" s="762" t="str">
        <f ca="1">IFERROR((BK317/BK316),"-")</f>
        <v>-</v>
      </c>
      <c r="BM316" s="40"/>
      <c r="BN316" s="1025"/>
      <c r="BO316" s="1027"/>
      <c r="BP316" s="909"/>
      <c r="BQ316" s="762" t="str">
        <f>IFERROR((BP316/BO316),"-")</f>
        <v>-</v>
      </c>
      <c r="BR316" s="40"/>
      <c r="BS316" s="909"/>
      <c r="BT316" s="909"/>
      <c r="BU316" s="909">
        <v>6</v>
      </c>
      <c r="BV316" s="909">
        <v>210</v>
      </c>
      <c r="BW316" s="1030">
        <f>IFERROR((BU316/BV316),"-")</f>
        <v>2.8571428571428571E-2</v>
      </c>
      <c r="BX316" s="909">
        <v>6</v>
      </c>
      <c r="BY316" s="1032">
        <f>IFERROR((BU316/BX316),"-")</f>
        <v>1</v>
      </c>
      <c r="BZ316" s="40"/>
      <c r="CA316" s="909">
        <v>6</v>
      </c>
      <c r="CB316" s="909">
        <f>CA316-BU316</f>
        <v>0</v>
      </c>
      <c r="CC316" s="3"/>
      <c r="CD316" s="19"/>
      <c r="CE316" s="40"/>
      <c r="CH316" s="93" t="str">
        <f t="shared" si="759"/>
        <v>BLOCOS DE APOIO</v>
      </c>
    </row>
    <row r="317" spans="1:86" s="16" customFormat="1" ht="14.65" customHeight="1">
      <c r="A317" s="70"/>
      <c r="B317" s="1066"/>
      <c r="C317" s="1023"/>
      <c r="D317" s="2"/>
      <c r="E317" s="1024"/>
      <c r="F317" s="2"/>
      <c r="G317" s="50" t="s">
        <v>38</v>
      </c>
      <c r="H317" s="43">
        <f t="shared" si="777"/>
        <v>0</v>
      </c>
      <c r="I317" s="879"/>
      <c r="J317" s="40"/>
      <c r="K317" s="72"/>
      <c r="L317" s="72"/>
      <c r="M317" s="72"/>
      <c r="N317" s="72"/>
      <c r="O317" s="72"/>
      <c r="P317" s="72"/>
      <c r="Q317" s="43"/>
      <c r="R317" s="40"/>
      <c r="S317" s="43">
        <f ca="1">SUMIF($K$7:Q$7,"&lt;="&amp;$I$7,K317:P317)</f>
        <v>0</v>
      </c>
      <c r="T317" s="763"/>
      <c r="U317" s="40"/>
      <c r="V317" s="72"/>
      <c r="W317" s="72"/>
      <c r="X317" s="72"/>
      <c r="Y317" s="72"/>
      <c r="Z317" s="72"/>
      <c r="AA317" s="72"/>
      <c r="AB317" s="43">
        <f>AB341+AB351+AB353</f>
        <v>0</v>
      </c>
      <c r="AC317" s="40"/>
      <c r="AD317" s="705">
        <f ca="1">SUMIF($V$7:AB$7,"&lt;="&amp;$I$7,V317:AA317)</f>
        <v>0</v>
      </c>
      <c r="AE317" s="763"/>
      <c r="AF317" s="40"/>
      <c r="AG317" s="72"/>
      <c r="AH317" s="72"/>
      <c r="AI317" s="72"/>
      <c r="AJ317" s="72"/>
      <c r="AK317" s="72"/>
      <c r="AL317" s="72"/>
      <c r="AM317" s="43">
        <f>AM341+AM351+AM353</f>
        <v>0</v>
      </c>
      <c r="AN317" s="40"/>
      <c r="AO317" s="43">
        <f ca="1">SUMIF($AG$7:AM$7,"&lt;="&amp;$I$7,AG317:AL317)</f>
        <v>0</v>
      </c>
      <c r="AP317" s="763"/>
      <c r="AQ317" s="40"/>
      <c r="AR317" s="72"/>
      <c r="AS317" s="72"/>
      <c r="AT317" s="72"/>
      <c r="AU317" s="72"/>
      <c r="AV317" s="72"/>
      <c r="AW317" s="72"/>
      <c r="AX317" s="43">
        <f>AX341+AX351+AX353</f>
        <v>0</v>
      </c>
      <c r="AY317" s="40"/>
      <c r="AZ317" s="705">
        <f ca="1">SUMIF($AR$7:AX$7,"&lt;="&amp;$I$7,AR317:AW317)</f>
        <v>0</v>
      </c>
      <c r="BA317" s="763"/>
      <c r="BB317" s="40"/>
      <c r="BC317" s="72"/>
      <c r="BD317" s="72"/>
      <c r="BE317" s="72"/>
      <c r="BF317" s="72"/>
      <c r="BG317" s="72"/>
      <c r="BH317" s="72"/>
      <c r="BI317" s="43">
        <f>BI341+BI351+BI353</f>
        <v>0</v>
      </c>
      <c r="BJ317" s="40"/>
      <c r="BK317" s="43">
        <f ca="1">SUMIF($BC$7:BI$7,"&lt;="&amp;$I$7,BC317:BH317)</f>
        <v>0</v>
      </c>
      <c r="BL317" s="763"/>
      <c r="BM317" s="40"/>
      <c r="BN317" s="1026"/>
      <c r="BO317" s="1028"/>
      <c r="BP317" s="910"/>
      <c r="BQ317" s="1029"/>
      <c r="BR317" s="40"/>
      <c r="BS317" s="910"/>
      <c r="BT317" s="910"/>
      <c r="BU317" s="910"/>
      <c r="BV317" s="910"/>
      <c r="BW317" s="1031"/>
      <c r="BX317" s="910"/>
      <c r="BY317" s="1033"/>
      <c r="BZ317" s="40"/>
      <c r="CA317" s="910"/>
      <c r="CB317" s="910"/>
      <c r="CC317" s="3"/>
      <c r="CD317" s="19"/>
      <c r="CE317" s="3"/>
      <c r="CH317" s="93" t="str">
        <f t="shared" si="759"/>
        <v>BLOCOS DE APOIO</v>
      </c>
    </row>
    <row r="318" spans="1:86" s="16" customFormat="1" ht="20.45" hidden="1" customHeight="1" outlineLevel="1">
      <c r="A318" s="74"/>
      <c r="B318" s="1067" t="s">
        <v>4001</v>
      </c>
      <c r="C318" s="1014" t="s">
        <v>1437</v>
      </c>
      <c r="D318" s="2"/>
      <c r="E318" s="1004">
        <v>0</v>
      </c>
      <c r="F318" s="2"/>
      <c r="G318" s="49" t="s">
        <v>37</v>
      </c>
      <c r="H318" s="705">
        <f t="shared" si="777"/>
        <v>0</v>
      </c>
      <c r="I318" s="878" t="str">
        <f t="shared" ref="I318" si="778">IFERROR((H319/H318),"-")</f>
        <v>-</v>
      </c>
      <c r="J318" s="2"/>
      <c r="K318" s="705"/>
      <c r="L318" s="705"/>
      <c r="M318" s="705"/>
      <c r="N318" s="705"/>
      <c r="O318" s="705"/>
      <c r="P318" s="705"/>
      <c r="Q318" s="705"/>
      <c r="R318" s="2"/>
      <c r="S318" s="705">
        <f ca="1">SUMIF($K$7:Q$7,"&lt;="&amp;$I$7,K318:P318)</f>
        <v>0</v>
      </c>
      <c r="T318" s="878" t="str">
        <f ca="1">IFERROR((S319/S318),"-")</f>
        <v>-</v>
      </c>
      <c r="U318" s="2"/>
      <c r="V318" s="705"/>
      <c r="W318" s="705"/>
      <c r="X318" s="705"/>
      <c r="Y318" s="705"/>
      <c r="Z318" s="705"/>
      <c r="AA318" s="705"/>
      <c r="AB318" s="705"/>
      <c r="AC318" s="2"/>
      <c r="AD318" s="705">
        <f ca="1">SUMIF($V$7:AB$7,"&lt;="&amp;$I$7,V318:AA318)</f>
        <v>0</v>
      </c>
      <c r="AE318" s="878" t="str">
        <f ca="1">IFERROR((AD319/AD318),"-")</f>
        <v>-</v>
      </c>
      <c r="AF318" s="2"/>
      <c r="AG318" s="705"/>
      <c r="AH318" s="705"/>
      <c r="AI318" s="705"/>
      <c r="AJ318" s="705"/>
      <c r="AK318" s="705"/>
      <c r="AL318" s="705"/>
      <c r="AM318" s="705"/>
      <c r="AN318" s="2"/>
      <c r="AO318" s="705">
        <f ca="1">SUMIF($AG$7:AM$7,"&lt;="&amp;$I$7,AG318:AL318)</f>
        <v>0</v>
      </c>
      <c r="AP318" s="878" t="str">
        <f ca="1">IFERROR((AO319/AO318),"-")</f>
        <v>-</v>
      </c>
      <c r="AQ318" s="2"/>
      <c r="AR318" s="705"/>
      <c r="AS318" s="705"/>
      <c r="AT318" s="705"/>
      <c r="AU318" s="705"/>
      <c r="AV318" s="705"/>
      <c r="AW318" s="705"/>
      <c r="AX318" s="705"/>
      <c r="AY318" s="2"/>
      <c r="AZ318" s="705">
        <f ca="1">SUMIF($AR$7:AX$7,"&lt;="&amp;$I$7,AR318:AW318)</f>
        <v>0</v>
      </c>
      <c r="BA318" s="878" t="str">
        <f ca="1">IFERROR((AZ319/AZ318),"-")</f>
        <v>-</v>
      </c>
      <c r="BB318" s="2"/>
      <c r="BC318" s="705"/>
      <c r="BD318" s="705"/>
      <c r="BE318" s="705"/>
      <c r="BF318" s="705"/>
      <c r="BG318" s="705"/>
      <c r="BH318" s="705"/>
      <c r="BI318" s="705"/>
      <c r="BJ318" s="2"/>
      <c r="BK318" s="705">
        <f ca="1">SUMIF($AR$7:BI$7,"&lt;="&amp;$I$7,BC318:BH318)</f>
        <v>0</v>
      </c>
      <c r="BL318" s="878" t="str">
        <f ca="1">IFERROR((BK319/BK318),"-")</f>
        <v>-</v>
      </c>
      <c r="BM318" s="2"/>
      <c r="BN318" s="884">
        <v>0</v>
      </c>
      <c r="BO318" s="884">
        <v>0</v>
      </c>
      <c r="BP318" s="884">
        <f>SUM(M319:P319,V319:AB319,AG319:AM319,AR319:AX319)</f>
        <v>0</v>
      </c>
      <c r="BQ318" s="878" t="str">
        <f t="shared" ref="BQ318" si="779">IFERROR((BP318/BO318),"-")</f>
        <v>-</v>
      </c>
      <c r="BR318" s="2"/>
      <c r="BS318" s="884"/>
      <c r="BT318" s="884"/>
      <c r="BU318" s="884">
        <v>0</v>
      </c>
      <c r="BV318" s="884">
        <v>106</v>
      </c>
      <c r="BW318" s="1004">
        <f>IFERROR((BU318/BV318),"-")</f>
        <v>0</v>
      </c>
      <c r="BX318" s="884">
        <v>0</v>
      </c>
      <c r="BY318" s="878" t="str">
        <f>IFERROR((BU318/BX318),"-")</f>
        <v>-</v>
      </c>
      <c r="BZ318" s="2"/>
      <c r="CA318" s="884">
        <v>0</v>
      </c>
      <c r="CB318" s="884">
        <v>0</v>
      </c>
      <c r="CC318" s="3"/>
      <c r="CD318" s="19"/>
      <c r="CE318" s="3"/>
      <c r="CH318" s="93" t="str">
        <f t="shared" si="759"/>
        <v>Execução de concreto magro</v>
      </c>
    </row>
    <row r="319" spans="1:86" s="16" customFormat="1" ht="14.65" hidden="1" customHeight="1" outlineLevel="1">
      <c r="A319" s="74"/>
      <c r="B319" s="1068"/>
      <c r="C319" s="1034"/>
      <c r="D319" s="2"/>
      <c r="E319" s="1024"/>
      <c r="F319" s="2"/>
      <c r="G319" s="50" t="s">
        <v>38</v>
      </c>
      <c r="H319" s="705">
        <f t="shared" si="777"/>
        <v>0</v>
      </c>
      <c r="I319" s="879"/>
      <c r="J319" s="2"/>
      <c r="K319" s="76"/>
      <c r="L319" s="76"/>
      <c r="M319" s="76"/>
      <c r="N319" s="76"/>
      <c r="O319" s="76"/>
      <c r="P319" s="76"/>
      <c r="Q319" s="706"/>
      <c r="R319" s="2"/>
      <c r="S319" s="705">
        <f ca="1">SUMIF($K$7:Q$7,"&lt;="&amp;$I$7,K319:P319)</f>
        <v>0</v>
      </c>
      <c r="T319" s="879"/>
      <c r="U319" s="2"/>
      <c r="V319" s="76"/>
      <c r="W319" s="76"/>
      <c r="X319" s="76"/>
      <c r="Y319" s="76"/>
      <c r="Z319" s="76"/>
      <c r="AA319" s="76"/>
      <c r="AB319" s="706"/>
      <c r="AC319" s="2"/>
      <c r="AD319" s="705">
        <f ca="1">SUMIF($V$7:AB$7,"&lt;="&amp;$I$7,V319:AA319)</f>
        <v>0</v>
      </c>
      <c r="AE319" s="879"/>
      <c r="AF319" s="2"/>
      <c r="AG319" s="76"/>
      <c r="AH319" s="76"/>
      <c r="AI319" s="76"/>
      <c r="AJ319" s="76"/>
      <c r="AK319" s="76"/>
      <c r="AL319" s="76"/>
      <c r="AM319" s="706"/>
      <c r="AN319" s="2"/>
      <c r="AO319" s="705">
        <f ca="1">SUMIF($AG$7:AM$7,"&lt;="&amp;$I$7,AG319:AL319)</f>
        <v>0</v>
      </c>
      <c r="AP319" s="879"/>
      <c r="AQ319" s="2"/>
      <c r="AR319" s="76"/>
      <c r="AS319" s="76"/>
      <c r="AT319" s="76"/>
      <c r="AU319" s="76"/>
      <c r="AV319" s="76"/>
      <c r="AW319" s="76"/>
      <c r="AX319" s="706"/>
      <c r="AY319" s="2"/>
      <c r="AZ319" s="705">
        <f ca="1">SUMIF($AR$7:AX$7,"&lt;="&amp;$I$7,AR319:AW319)</f>
        <v>0</v>
      </c>
      <c r="BA319" s="879"/>
      <c r="BB319" s="2"/>
      <c r="BC319" s="76"/>
      <c r="BD319" s="76"/>
      <c r="BE319" s="76"/>
      <c r="BF319" s="76"/>
      <c r="BG319" s="76"/>
      <c r="BH319" s="76"/>
      <c r="BI319" s="706"/>
      <c r="BJ319" s="2"/>
      <c r="BK319" s="705">
        <f ca="1">SUMIF($AR$7:BI$7,"&lt;="&amp;$I$7,BC319:BH319)</f>
        <v>0</v>
      </c>
      <c r="BL319" s="879"/>
      <c r="BM319" s="2"/>
      <c r="BN319" s="885"/>
      <c r="BO319" s="885"/>
      <c r="BP319" s="885"/>
      <c r="BQ319" s="879"/>
      <c r="BR319" s="2"/>
      <c r="BS319" s="885"/>
      <c r="BT319" s="885"/>
      <c r="BU319" s="885"/>
      <c r="BV319" s="885"/>
      <c r="BW319" s="1005"/>
      <c r="BX319" s="885"/>
      <c r="BY319" s="879"/>
      <c r="BZ319" s="2"/>
      <c r="CA319" s="885"/>
      <c r="CB319" s="885"/>
      <c r="CC319" s="3"/>
      <c r="CD319" s="19"/>
      <c r="CE319" s="2"/>
      <c r="CH319" s="93" t="str">
        <f t="shared" si="759"/>
        <v>Execução de concreto magro</v>
      </c>
    </row>
    <row r="320" spans="1:86" s="16" customFormat="1" ht="20.45" hidden="1" customHeight="1" outlineLevel="1">
      <c r="A320" s="74" t="s">
        <v>4002</v>
      </c>
      <c r="B320" s="1062" t="s">
        <v>4003</v>
      </c>
      <c r="C320" s="1023" t="s">
        <v>1437</v>
      </c>
      <c r="D320" s="2"/>
      <c r="E320" s="1004">
        <v>0</v>
      </c>
      <c r="F320" s="2"/>
      <c r="G320" s="49" t="s">
        <v>37</v>
      </c>
      <c r="H320" s="705">
        <f t="shared" si="777"/>
        <v>0</v>
      </c>
      <c r="I320" s="878" t="str">
        <f t="shared" ref="I320" si="780">IFERROR((H321/H320),"-")</f>
        <v>-</v>
      </c>
      <c r="J320" s="2"/>
      <c r="K320" s="705"/>
      <c r="L320" s="705"/>
      <c r="M320" s="705"/>
      <c r="N320" s="705"/>
      <c r="O320" s="705"/>
      <c r="P320" s="705"/>
      <c r="Q320" s="705"/>
      <c r="R320" s="2"/>
      <c r="S320" s="705">
        <f ca="1">SUMIF($K$7:Q$7,"&lt;="&amp;$I$7,K320:P320)</f>
        <v>0</v>
      </c>
      <c r="T320" s="762" t="str">
        <f t="shared" ref="T320" ca="1" si="781">IFERROR((S321/S320),"-")</f>
        <v>-</v>
      </c>
      <c r="U320" s="2"/>
      <c r="V320" s="705"/>
      <c r="W320" s="705"/>
      <c r="X320" s="705"/>
      <c r="Y320" s="705"/>
      <c r="Z320" s="705"/>
      <c r="AA320" s="705"/>
      <c r="AB320" s="705"/>
      <c r="AC320" s="2"/>
      <c r="AD320" s="705">
        <f ca="1">SUMIF($V$7:AB$7,"&lt;="&amp;$I$7,V320:AA320)</f>
        <v>0</v>
      </c>
      <c r="AE320" s="762" t="str">
        <f t="shared" ref="AE320" ca="1" si="782">IFERROR((AD321/AD320),"-")</f>
        <v>-</v>
      </c>
      <c r="AF320" s="2"/>
      <c r="AG320" s="705"/>
      <c r="AH320" s="705"/>
      <c r="AI320" s="705"/>
      <c r="AJ320" s="705"/>
      <c r="AK320" s="705"/>
      <c r="AL320" s="705"/>
      <c r="AM320" s="705"/>
      <c r="AN320" s="2"/>
      <c r="AO320" s="705">
        <f ca="1">SUMIF($AG$7:AM$7,"&lt;="&amp;$I$7,AG320:AL320)</f>
        <v>0</v>
      </c>
      <c r="AP320" s="762" t="str">
        <f t="shared" ref="AP320" ca="1" si="783">IFERROR((AO321/AO320),"-")</f>
        <v>-</v>
      </c>
      <c r="AQ320" s="2"/>
      <c r="AR320" s="705"/>
      <c r="AS320" s="705"/>
      <c r="AT320" s="705"/>
      <c r="AU320" s="705"/>
      <c r="AV320" s="705"/>
      <c r="AW320" s="705"/>
      <c r="AX320" s="705"/>
      <c r="AY320" s="2"/>
      <c r="AZ320" s="705">
        <f ca="1">SUMIF($AR$7:AX$7,"&lt;="&amp;$I$7,AR320:AW320)</f>
        <v>0</v>
      </c>
      <c r="BA320" s="762" t="str">
        <f t="shared" ref="BA320" ca="1" si="784">IFERROR((AZ321/AZ320),"-")</f>
        <v>-</v>
      </c>
      <c r="BB320" s="2"/>
      <c r="BC320" s="705"/>
      <c r="BD320" s="705"/>
      <c r="BE320" s="705"/>
      <c r="BF320" s="705"/>
      <c r="BG320" s="705"/>
      <c r="BH320" s="705"/>
      <c r="BI320" s="705"/>
      <c r="BJ320" s="2"/>
      <c r="BK320" s="705">
        <f ca="1">SUMIF($AR$7:BI$7,"&lt;="&amp;$I$7,BC320:BH320)</f>
        <v>0</v>
      </c>
      <c r="BL320" s="762" t="str">
        <f t="shared" ref="BL320" ca="1" si="785">IFERROR((BK321/BK320),"-")</f>
        <v>-</v>
      </c>
      <c r="BM320" s="2"/>
      <c r="BN320" s="921">
        <v>0</v>
      </c>
      <c r="BO320" s="884">
        <v>0</v>
      </c>
      <c r="BP320" s="884">
        <f>SUM(M321:P321,V321:AB321,AG321:AM321,AR321:AX321)</f>
        <v>0</v>
      </c>
      <c r="BQ320" s="878" t="str">
        <f t="shared" ref="BQ320" si="786">IFERROR((BP320/BO320),"-")</f>
        <v>-</v>
      </c>
      <c r="BR320" s="2"/>
      <c r="BS320" s="884"/>
      <c r="BT320" s="884"/>
      <c r="BU320" s="884">
        <v>0</v>
      </c>
      <c r="BV320" s="884">
        <v>104</v>
      </c>
      <c r="BW320" s="1004">
        <f>IFERROR((BU320/BV320),"-")</f>
        <v>0</v>
      </c>
      <c r="BX320" s="884">
        <v>0</v>
      </c>
      <c r="BY320" s="878" t="str">
        <f>IFERROR((BU320/BX320),"-")</f>
        <v>-</v>
      </c>
      <c r="BZ320" s="2"/>
      <c r="CA320" s="884">
        <v>0</v>
      </c>
      <c r="CB320" s="884">
        <v>0</v>
      </c>
      <c r="CC320" s="40"/>
      <c r="CD320" s="43">
        <f>IFERROR(AVERAGEIF($V$7:AB$7,"&lt;="&amp;$I$7,V320:AB320),0)</f>
        <v>0</v>
      </c>
      <c r="CE320" s="2"/>
      <c r="CH320" s="93" t="str">
        <f t="shared" si="759"/>
        <v>Arrasamento de Estacas</v>
      </c>
    </row>
    <row r="321" spans="1:86" s="16" customFormat="1" ht="15.75" hidden="1" outlineLevel="1">
      <c r="A321" s="74"/>
      <c r="B321" s="1063"/>
      <c r="C321" s="1023"/>
      <c r="D321" s="2"/>
      <c r="E321" s="1024"/>
      <c r="F321" s="2"/>
      <c r="G321" s="50" t="s">
        <v>38</v>
      </c>
      <c r="H321" s="705">
        <f t="shared" si="777"/>
        <v>0</v>
      </c>
      <c r="I321" s="879"/>
      <c r="J321" s="2"/>
      <c r="K321" s="86"/>
      <c r="L321" s="86"/>
      <c r="M321" s="86"/>
      <c r="N321" s="86"/>
      <c r="O321" s="86"/>
      <c r="P321" s="86"/>
      <c r="Q321" s="706"/>
      <c r="R321" s="2"/>
      <c r="S321" s="705">
        <f ca="1">SUMIF($K$7:Q$7,"&lt;="&amp;$I$7,K321:P321)</f>
        <v>0</v>
      </c>
      <c r="T321" s="763"/>
      <c r="U321" s="2"/>
      <c r="V321" s="86"/>
      <c r="W321" s="86"/>
      <c r="X321" s="86"/>
      <c r="Y321" s="86"/>
      <c r="Z321" s="86"/>
      <c r="AA321" s="86"/>
      <c r="AB321" s="706"/>
      <c r="AC321" s="2"/>
      <c r="AD321" s="705">
        <f ca="1">SUMIF($V$7:AB$7,"&lt;="&amp;$I$7,V321:AA321)</f>
        <v>0</v>
      </c>
      <c r="AE321" s="763"/>
      <c r="AF321" s="2"/>
      <c r="AG321" s="86"/>
      <c r="AH321" s="86"/>
      <c r="AI321" s="86"/>
      <c r="AJ321" s="86"/>
      <c r="AK321" s="86"/>
      <c r="AL321" s="86"/>
      <c r="AM321" s="706"/>
      <c r="AN321" s="2"/>
      <c r="AO321" s="705">
        <f ca="1">SUMIF($AG$7:AM$7,"&lt;="&amp;$I$7,AG321:AL321)</f>
        <v>0</v>
      </c>
      <c r="AP321" s="763"/>
      <c r="AQ321" s="2"/>
      <c r="AR321" s="86"/>
      <c r="AS321" s="86"/>
      <c r="AT321" s="86"/>
      <c r="AU321" s="86"/>
      <c r="AV321" s="86"/>
      <c r="AW321" s="86"/>
      <c r="AX321" s="706"/>
      <c r="AY321" s="2"/>
      <c r="AZ321" s="705">
        <f ca="1">SUMIF($AR$7:AX$7,"&lt;="&amp;$I$7,AR321:AW321)</f>
        <v>0</v>
      </c>
      <c r="BA321" s="763"/>
      <c r="BB321" s="2"/>
      <c r="BC321" s="86"/>
      <c r="BD321" s="86"/>
      <c r="BE321" s="86"/>
      <c r="BF321" s="86"/>
      <c r="BG321" s="86"/>
      <c r="BH321" s="86"/>
      <c r="BI321" s="706"/>
      <c r="BJ321" s="2"/>
      <c r="BK321" s="705">
        <f ca="1">SUMIF($AR$7:BI$7,"&lt;="&amp;$I$7,BC321:BH321)</f>
        <v>0</v>
      </c>
      <c r="BL321" s="763"/>
      <c r="BM321" s="2"/>
      <c r="BN321" s="922"/>
      <c r="BO321" s="885"/>
      <c r="BP321" s="885"/>
      <c r="BQ321" s="1050"/>
      <c r="BR321" s="2"/>
      <c r="BS321" s="886"/>
      <c r="BT321" s="886"/>
      <c r="BU321" s="886"/>
      <c r="BV321" s="886"/>
      <c r="BW321" s="1051"/>
      <c r="BX321" s="886"/>
      <c r="BY321" s="1053"/>
      <c r="BZ321" s="2"/>
      <c r="CA321" s="886"/>
      <c r="CB321" s="886"/>
      <c r="CC321" s="40"/>
      <c r="CD321" s="43">
        <f>IFERROR(AVERAGEIF($V$7:AB$7,"&lt;="&amp;$I$7,V321:AB321),0)</f>
        <v>0</v>
      </c>
      <c r="CE321" s="40"/>
      <c r="CH321" s="93" t="str">
        <f t="shared" si="759"/>
        <v>Arrasamento de Estacas</v>
      </c>
    </row>
    <row r="322" spans="1:86" s="16" customFormat="1" ht="15.75" customHeight="1" collapsed="1">
      <c r="A322" s="73"/>
      <c r="B322" s="1045" t="s">
        <v>4004</v>
      </c>
      <c r="C322" s="740" t="s">
        <v>1437</v>
      </c>
      <c r="D322" s="2"/>
      <c r="E322" s="1019">
        <v>6</v>
      </c>
      <c r="F322" s="2"/>
      <c r="G322" s="53" t="s">
        <v>37</v>
      </c>
      <c r="H322" s="52">
        <f t="shared" si="777"/>
        <v>0</v>
      </c>
      <c r="I322" s="743" t="str">
        <f t="shared" ref="I322" si="787">IFERROR((H323/H322),"-")</f>
        <v>-</v>
      </c>
      <c r="J322" s="2"/>
      <c r="K322" s="52"/>
      <c r="L322" s="52"/>
      <c r="M322" s="52"/>
      <c r="N322" s="52"/>
      <c r="O322" s="52"/>
      <c r="P322" s="52"/>
      <c r="Q322" s="52"/>
      <c r="R322" s="2"/>
      <c r="S322" s="52">
        <f ca="1">SUMIF($K$7:Q$7,"&lt;="&amp;$I$7,K322:P322)</f>
        <v>0</v>
      </c>
      <c r="T322" s="743" t="str">
        <f t="shared" ref="T322" ca="1" si="788">IFERROR((S323/S322),"-")</f>
        <v>-</v>
      </c>
      <c r="U322" s="2"/>
      <c r="V322" s="52">
        <f>SUMIF($G$324:$G$331,$G$322,V324:V331)</f>
        <v>0</v>
      </c>
      <c r="W322" s="52">
        <f t="shared" ref="W322:AA322" si="789">SUMIF($G$324:$G$331,$G$322,W324:W331)</f>
        <v>0</v>
      </c>
      <c r="X322" s="52">
        <f t="shared" si="789"/>
        <v>0</v>
      </c>
      <c r="Y322" s="52">
        <f t="shared" si="789"/>
        <v>0</v>
      </c>
      <c r="Z322" s="52">
        <f t="shared" si="789"/>
        <v>0</v>
      </c>
      <c r="AA322" s="52">
        <f t="shared" si="789"/>
        <v>0</v>
      </c>
      <c r="AB322" s="52"/>
      <c r="AC322" s="2"/>
      <c r="AD322" s="52">
        <f>SUMIF($V$7:AB$7,"&lt;="&amp;$I$7,V322:AB322)</f>
        <v>0</v>
      </c>
      <c r="AE322" s="743" t="str">
        <f t="shared" ref="AE322" si="790">IFERROR((AD323/AD322),"-")</f>
        <v>-</v>
      </c>
      <c r="AF322" s="2"/>
      <c r="AG322" s="52">
        <f t="shared" ref="AG322:AL322" si="791">SUMIF($G$324:$G$331,$G$322,AG324:AG331)</f>
        <v>0</v>
      </c>
      <c r="AH322" s="52">
        <f t="shared" si="791"/>
        <v>0</v>
      </c>
      <c r="AI322" s="52">
        <f t="shared" si="791"/>
        <v>0</v>
      </c>
      <c r="AJ322" s="52">
        <f t="shared" si="791"/>
        <v>0</v>
      </c>
      <c r="AK322" s="52">
        <f t="shared" si="791"/>
        <v>0</v>
      </c>
      <c r="AL322" s="52">
        <f t="shared" si="791"/>
        <v>0</v>
      </c>
      <c r="AM322" s="52"/>
      <c r="AN322" s="2"/>
      <c r="AO322" s="52">
        <f ca="1">SUMIF($AG$7:AM$7,"&lt;="&amp;$I$7,AG322:AL322)</f>
        <v>0</v>
      </c>
      <c r="AP322" s="743" t="str">
        <f t="shared" ref="AP322" ca="1" si="792">IFERROR((AO323/AO322),"-")</f>
        <v>-</v>
      </c>
      <c r="AQ322" s="2"/>
      <c r="AR322" s="52">
        <f t="shared" ref="AR322:AX322" si="793">SUMIF($G$324:$G$331,$G$322,AR324:AR331)</f>
        <v>0</v>
      </c>
      <c r="AS322" s="52">
        <f t="shared" si="793"/>
        <v>0</v>
      </c>
      <c r="AT322" s="52">
        <f t="shared" si="793"/>
        <v>0</v>
      </c>
      <c r="AU322" s="52">
        <f t="shared" si="793"/>
        <v>0</v>
      </c>
      <c r="AV322" s="52">
        <f t="shared" si="793"/>
        <v>0</v>
      </c>
      <c r="AW322" s="52">
        <f t="shared" si="793"/>
        <v>0</v>
      </c>
      <c r="AX322" s="52">
        <f t="shared" si="793"/>
        <v>0</v>
      </c>
      <c r="AY322" s="2"/>
      <c r="AZ322" s="52">
        <f ca="1">SUMIF($AR$7:AX$7,"&lt;="&amp;$I$7,AR322:AW322)</f>
        <v>0</v>
      </c>
      <c r="BA322" s="743" t="str">
        <f t="shared" ref="BA322" ca="1" si="794">IFERROR((AZ323/AZ322),"-")</f>
        <v>-</v>
      </c>
      <c r="BB322" s="2"/>
      <c r="BC322" s="52">
        <f t="shared" ref="BC322:BI322" si="795">SUMIF($G$324:$G$331,$G$322,BC324:BC331)</f>
        <v>0</v>
      </c>
      <c r="BD322" s="52">
        <f t="shared" si="795"/>
        <v>0</v>
      </c>
      <c r="BE322" s="52">
        <f t="shared" si="795"/>
        <v>0</v>
      </c>
      <c r="BF322" s="52">
        <f t="shared" si="795"/>
        <v>0</v>
      </c>
      <c r="BG322" s="52">
        <f t="shared" si="795"/>
        <v>0</v>
      </c>
      <c r="BH322" s="52">
        <f t="shared" si="795"/>
        <v>0</v>
      </c>
      <c r="BI322" s="52">
        <f t="shared" si="795"/>
        <v>0</v>
      </c>
      <c r="BJ322" s="2"/>
      <c r="BK322" s="52">
        <f ca="1">SUMIF($BC$7:BI$7,"&lt;="&amp;$I$7,BC322:BH322)</f>
        <v>0</v>
      </c>
      <c r="BL322" s="743" t="str">
        <f t="shared" ref="BL322" ca="1" si="796">IFERROR((BK323/BK322),"-")</f>
        <v>-</v>
      </c>
      <c r="BM322" s="2"/>
      <c r="BN322" s="888"/>
      <c r="BO322" s="888"/>
      <c r="BP322" s="888"/>
      <c r="BQ322" s="743" t="str">
        <f t="shared" ref="BQ322" si="797">IFERROR((BP322/BO322),"-")</f>
        <v>-</v>
      </c>
      <c r="BR322" s="2"/>
      <c r="BS322" s="888"/>
      <c r="BT322" s="888"/>
      <c r="BU322" s="888">
        <v>6</v>
      </c>
      <c r="BV322" s="888">
        <v>104</v>
      </c>
      <c r="BW322" s="1019">
        <f>IFERROR((BU322/BV322),"-")</f>
        <v>5.7692307692307696E-2</v>
      </c>
      <c r="BX322" s="888">
        <v>6</v>
      </c>
      <c r="BY322" s="743">
        <f>IFERROR((BU322/BX322),"-")</f>
        <v>1</v>
      </c>
      <c r="BZ322" s="2"/>
      <c r="CA322" s="888">
        <v>6</v>
      </c>
      <c r="CB322" s="888">
        <f>CA322-BU322</f>
        <v>0</v>
      </c>
      <c r="CC322" s="3"/>
      <c r="CD322" s="19"/>
      <c r="CE322" s="40"/>
      <c r="CH322" s="93" t="str">
        <f t="shared" si="759"/>
        <v xml:space="preserve">Armação dos Blocos </v>
      </c>
    </row>
    <row r="323" spans="1:86" s="16" customFormat="1" ht="15.75">
      <c r="A323" s="74"/>
      <c r="B323" s="1045"/>
      <c r="C323" s="740"/>
      <c r="D323" s="2"/>
      <c r="E323" s="1060"/>
      <c r="F323" s="2"/>
      <c r="G323" s="54" t="s">
        <v>38</v>
      </c>
      <c r="H323" s="52">
        <f t="shared" si="777"/>
        <v>0</v>
      </c>
      <c r="I323" s="744"/>
      <c r="J323" s="2"/>
      <c r="K323" s="75"/>
      <c r="L323" s="75"/>
      <c r="M323" s="75"/>
      <c r="N323" s="75"/>
      <c r="O323" s="75"/>
      <c r="P323" s="75"/>
      <c r="Q323" s="52"/>
      <c r="R323" s="2"/>
      <c r="S323" s="52">
        <f ca="1">SUMIF($K$7:Q$7,"&lt;="&amp;$I$7,K323:P323)</f>
        <v>0</v>
      </c>
      <c r="T323" s="744"/>
      <c r="U323" s="2"/>
      <c r="V323" s="75">
        <f>SUMIF($G$324:$G$331,$G$323,V324:V331)</f>
        <v>0</v>
      </c>
      <c r="W323" s="75">
        <f t="shared" ref="W323:AA323" si="798">SUMIF($G$324:$G$331,$G$323,W324:W331)</f>
        <v>0</v>
      </c>
      <c r="X323" s="75">
        <f t="shared" si="798"/>
        <v>0</v>
      </c>
      <c r="Y323" s="75">
        <f t="shared" si="798"/>
        <v>0</v>
      </c>
      <c r="Z323" s="75">
        <f t="shared" si="798"/>
        <v>0</v>
      </c>
      <c r="AA323" s="75">
        <f t="shared" si="798"/>
        <v>0</v>
      </c>
      <c r="AB323" s="52"/>
      <c r="AC323" s="2"/>
      <c r="AD323" s="52">
        <f>SUMIF($V$7:AB$7,"&lt;="&amp;$I$7,V323:AB323)</f>
        <v>0</v>
      </c>
      <c r="AE323" s="744"/>
      <c r="AF323" s="2"/>
      <c r="AG323" s="75">
        <f t="shared" ref="AG323:AM323" si="799">SUMIF($G$324:$G$331,$G$323,AG324:AG331)</f>
        <v>0</v>
      </c>
      <c r="AH323" s="75">
        <f t="shared" si="799"/>
        <v>0</v>
      </c>
      <c r="AI323" s="75">
        <f t="shared" si="799"/>
        <v>0</v>
      </c>
      <c r="AJ323" s="75">
        <f t="shared" si="799"/>
        <v>0</v>
      </c>
      <c r="AK323" s="75">
        <f t="shared" si="799"/>
        <v>0</v>
      </c>
      <c r="AL323" s="75">
        <f t="shared" si="799"/>
        <v>0</v>
      </c>
      <c r="AM323" s="52">
        <f t="shared" si="799"/>
        <v>0</v>
      </c>
      <c r="AN323" s="2"/>
      <c r="AO323" s="52">
        <f ca="1">SUMIF($AG$7:AM$7,"&lt;="&amp;$I$7,AG323:AL323)</f>
        <v>0</v>
      </c>
      <c r="AP323" s="744"/>
      <c r="AQ323" s="2"/>
      <c r="AR323" s="75">
        <f t="shared" ref="AR323:AX323" si="800">SUMIF($G$324:$G$331,$G$323,AR324:AR331)</f>
        <v>0</v>
      </c>
      <c r="AS323" s="75">
        <f t="shared" si="800"/>
        <v>0</v>
      </c>
      <c r="AT323" s="75">
        <f t="shared" si="800"/>
        <v>0</v>
      </c>
      <c r="AU323" s="75">
        <f t="shared" si="800"/>
        <v>0</v>
      </c>
      <c r="AV323" s="75">
        <f t="shared" si="800"/>
        <v>0</v>
      </c>
      <c r="AW323" s="75">
        <f t="shared" si="800"/>
        <v>0</v>
      </c>
      <c r="AX323" s="75">
        <f t="shared" si="800"/>
        <v>0</v>
      </c>
      <c r="AY323" s="2"/>
      <c r="AZ323" s="52">
        <f ca="1">SUMIF($AR$7:AX$7,"&lt;="&amp;$I$7,AR323:AW323)</f>
        <v>0</v>
      </c>
      <c r="BA323" s="744"/>
      <c r="BB323" s="2"/>
      <c r="BC323" s="75">
        <f t="shared" ref="BC323:BI323" si="801">SUMIF($G$324:$G$331,$G$323,BC324:BC331)</f>
        <v>0</v>
      </c>
      <c r="BD323" s="75">
        <f t="shared" si="801"/>
        <v>0</v>
      </c>
      <c r="BE323" s="75">
        <f t="shared" si="801"/>
        <v>0</v>
      </c>
      <c r="BF323" s="75">
        <f t="shared" si="801"/>
        <v>0</v>
      </c>
      <c r="BG323" s="75">
        <f t="shared" si="801"/>
        <v>0</v>
      </c>
      <c r="BH323" s="75">
        <f t="shared" si="801"/>
        <v>0</v>
      </c>
      <c r="BI323" s="75">
        <f t="shared" si="801"/>
        <v>0</v>
      </c>
      <c r="BJ323" s="2"/>
      <c r="BK323" s="52">
        <f ca="1">SUMIF($BC$7:BI$7,"&lt;="&amp;$I$7,BC323:BH323)</f>
        <v>0</v>
      </c>
      <c r="BL323" s="744"/>
      <c r="BM323" s="2"/>
      <c r="BN323" s="888"/>
      <c r="BO323" s="889"/>
      <c r="BP323" s="888"/>
      <c r="BQ323" s="744"/>
      <c r="BR323" s="2"/>
      <c r="BS323" s="888"/>
      <c r="BT323" s="888"/>
      <c r="BU323" s="888"/>
      <c r="BV323" s="888"/>
      <c r="BW323" s="1019"/>
      <c r="BX323" s="888"/>
      <c r="BY323" s="743"/>
      <c r="BZ323" s="2"/>
      <c r="CA323" s="888"/>
      <c r="CB323" s="888"/>
      <c r="CC323" s="40"/>
      <c r="CD323" s="43">
        <f>IFERROR(AVERAGEIF($V$7:AB$7,"&lt;="&amp;$I$7,V323:AB323),0)</f>
        <v>0</v>
      </c>
      <c r="CE323" s="2"/>
      <c r="CH323" s="93" t="str">
        <f t="shared" si="759"/>
        <v xml:space="preserve">Armação dos Blocos </v>
      </c>
    </row>
    <row r="324" spans="1:86" s="16" customFormat="1" ht="15.75" hidden="1" customHeight="1" outlineLevel="1">
      <c r="A324" s="74"/>
      <c r="B324" s="1064" t="s">
        <v>4005</v>
      </c>
      <c r="C324" s="1023" t="s">
        <v>1437</v>
      </c>
      <c r="D324" s="2"/>
      <c r="E324" s="1004">
        <v>0</v>
      </c>
      <c r="F324" s="2"/>
      <c r="G324" s="49" t="s">
        <v>37</v>
      </c>
      <c r="H324" s="705">
        <f t="shared" si="777"/>
        <v>0</v>
      </c>
      <c r="I324" s="878" t="str">
        <f t="shared" ref="I324" si="802">IFERROR((H325/H324),"-")</f>
        <v>-</v>
      </c>
      <c r="J324" s="2"/>
      <c r="K324" s="705"/>
      <c r="L324" s="705"/>
      <c r="M324" s="705"/>
      <c r="N324" s="705"/>
      <c r="O324" s="705"/>
      <c r="P324" s="705"/>
      <c r="Q324" s="705"/>
      <c r="R324" s="2"/>
      <c r="S324" s="705">
        <f ca="1">SUMIF($K$7:Q$7,"&lt;="&amp;$I$7,K324:P324)</f>
        <v>0</v>
      </c>
      <c r="T324" s="762" t="str">
        <f t="shared" ref="T324" ca="1" si="803">IFERROR((S325/S324),"-")</f>
        <v>-</v>
      </c>
      <c r="U324" s="2"/>
      <c r="V324" s="705"/>
      <c r="W324" s="705"/>
      <c r="X324" s="705"/>
      <c r="Y324" s="705"/>
      <c r="Z324" s="705"/>
      <c r="AA324" s="705"/>
      <c r="AB324" s="705"/>
      <c r="AC324" s="2"/>
      <c r="AD324" s="705">
        <f ca="1">SUMIF($V$7:AB$7,"&lt;="&amp;$I$7,V324:AA324)</f>
        <v>0</v>
      </c>
      <c r="AE324" s="762" t="str">
        <f t="shared" ref="AE324" ca="1" si="804">IFERROR((AD325/AD324),"-")</f>
        <v>-</v>
      </c>
      <c r="AF324" s="2"/>
      <c r="AG324" s="705"/>
      <c r="AH324" s="705"/>
      <c r="AI324" s="705"/>
      <c r="AJ324" s="705"/>
      <c r="AK324" s="705"/>
      <c r="AL324" s="705"/>
      <c r="AM324" s="705"/>
      <c r="AN324" s="2"/>
      <c r="AO324" s="705">
        <f ca="1">SUMIF($AG$7:AM$7,"&lt;="&amp;$I$7,AG324:AL324)</f>
        <v>0</v>
      </c>
      <c r="AP324" s="762" t="str">
        <f t="shared" ref="AP324" ca="1" si="805">IFERROR((AO325/AO324),"-")</f>
        <v>-</v>
      </c>
      <c r="AQ324" s="2"/>
      <c r="AR324" s="705"/>
      <c r="AS324" s="705"/>
      <c r="AT324" s="705"/>
      <c r="AU324" s="705"/>
      <c r="AV324" s="705"/>
      <c r="AW324" s="705"/>
      <c r="AX324" s="705"/>
      <c r="AY324" s="2"/>
      <c r="AZ324" s="705">
        <f ca="1">SUMIF($AR$7:AX$7,"&lt;="&amp;$I$7,AR324:AW324)</f>
        <v>0</v>
      </c>
      <c r="BA324" s="762" t="str">
        <f t="shared" ref="BA324" ca="1" si="806">IFERROR((AZ325/AZ324),"-")</f>
        <v>-</v>
      </c>
      <c r="BB324" s="2"/>
      <c r="BC324" s="705"/>
      <c r="BD324" s="705"/>
      <c r="BE324" s="705"/>
      <c r="BF324" s="705"/>
      <c r="BG324" s="705"/>
      <c r="BH324" s="705"/>
      <c r="BI324" s="705"/>
      <c r="BJ324" s="2"/>
      <c r="BK324" s="705">
        <f ca="1">SUMIF($AR$7:BI$7,"&lt;="&amp;$I$7,BC324:BH324)</f>
        <v>0</v>
      </c>
      <c r="BL324" s="762" t="str">
        <f t="shared" ref="BL324" ca="1" si="807">IFERROR((BK325/BK324),"-")</f>
        <v>-</v>
      </c>
      <c r="BM324" s="2"/>
      <c r="BN324" s="921"/>
      <c r="BO324" s="884"/>
      <c r="BP324" s="884"/>
      <c r="BQ324" s="878" t="str">
        <f t="shared" ref="BQ324" si="808">IFERROR((BP324/BO324),"-")</f>
        <v>-</v>
      </c>
      <c r="BR324" s="2"/>
      <c r="BS324" s="884"/>
      <c r="BT324" s="884"/>
      <c r="BU324" s="884">
        <v>0</v>
      </c>
      <c r="BV324" s="884">
        <v>104</v>
      </c>
      <c r="BW324" s="1004">
        <f>IFERROR((BU324/BV324),"-")</f>
        <v>0</v>
      </c>
      <c r="BX324" s="884">
        <v>0</v>
      </c>
      <c r="BY324" s="878" t="str">
        <f>IFERROR((BU324/BX324),"-")</f>
        <v>-</v>
      </c>
      <c r="BZ324" s="2"/>
      <c r="CA324" s="884">
        <v>1</v>
      </c>
      <c r="CB324" s="884">
        <f>CA324-BU324</f>
        <v>1</v>
      </c>
      <c r="CC324" s="40"/>
      <c r="CD324" s="43">
        <f>IFERROR(AVERAGEIF($V$7:AB$7,"&lt;="&amp;$I$7,V324:AB324),0)</f>
        <v>0</v>
      </c>
      <c r="CE324" s="2"/>
      <c r="CH324" s="93" t="str">
        <f t="shared" si="759"/>
        <v>BLOCO P3</v>
      </c>
    </row>
    <row r="325" spans="1:86" s="44" customFormat="1" ht="15.95" hidden="1" customHeight="1" outlineLevel="1">
      <c r="A325" s="74"/>
      <c r="B325" s="1065"/>
      <c r="C325" s="1023"/>
      <c r="D325" s="2"/>
      <c r="E325" s="1024"/>
      <c r="F325" s="2"/>
      <c r="G325" s="50" t="s">
        <v>38</v>
      </c>
      <c r="H325" s="705">
        <f t="shared" si="777"/>
        <v>0</v>
      </c>
      <c r="I325" s="879"/>
      <c r="J325" s="2"/>
      <c r="K325" s="86"/>
      <c r="L325" s="86"/>
      <c r="M325" s="86"/>
      <c r="N325" s="86"/>
      <c r="O325" s="86"/>
      <c r="P325" s="86"/>
      <c r="Q325" s="706"/>
      <c r="R325" s="2"/>
      <c r="S325" s="705">
        <f ca="1">SUMIF($K$7:Q$7,"&lt;="&amp;$I$7,K325:P325)</f>
        <v>0</v>
      </c>
      <c r="T325" s="763"/>
      <c r="U325" s="2"/>
      <c r="V325" s="86"/>
      <c r="W325" s="86"/>
      <c r="X325" s="86"/>
      <c r="Y325" s="86"/>
      <c r="Z325" s="86"/>
      <c r="AA325" s="86"/>
      <c r="AB325" s="706"/>
      <c r="AC325" s="2"/>
      <c r="AD325" s="705">
        <f ca="1">SUMIF($V$7:AB$7,"&lt;="&amp;$I$7,V325:AA325)</f>
        <v>0</v>
      </c>
      <c r="AE325" s="763"/>
      <c r="AF325" s="2"/>
      <c r="AG325" s="86"/>
      <c r="AH325" s="86"/>
      <c r="AI325" s="86"/>
      <c r="AJ325" s="86"/>
      <c r="AK325" s="86"/>
      <c r="AL325" s="86"/>
      <c r="AM325" s="706"/>
      <c r="AN325" s="2"/>
      <c r="AO325" s="705">
        <f ca="1">SUMIF($AG$7:AM$7,"&lt;="&amp;$I$7,AG325:AL325)</f>
        <v>0</v>
      </c>
      <c r="AP325" s="763"/>
      <c r="AQ325" s="2"/>
      <c r="AR325" s="86"/>
      <c r="AS325" s="86"/>
      <c r="AT325" s="86"/>
      <c r="AU325" s="86"/>
      <c r="AV325" s="86"/>
      <c r="AW325" s="86"/>
      <c r="AX325" s="706"/>
      <c r="AY325" s="2"/>
      <c r="AZ325" s="705">
        <f ca="1">SUMIF($AR$7:AX$7,"&lt;="&amp;$I$7,AR325:AW325)</f>
        <v>0</v>
      </c>
      <c r="BA325" s="763"/>
      <c r="BB325" s="2"/>
      <c r="BC325" s="86"/>
      <c r="BD325" s="86"/>
      <c r="BE325" s="86"/>
      <c r="BF325" s="86"/>
      <c r="BG325" s="86"/>
      <c r="BH325" s="86"/>
      <c r="BI325" s="706"/>
      <c r="BJ325" s="2"/>
      <c r="BK325" s="705">
        <f ca="1">SUMIF($AR$7:BI$7,"&lt;="&amp;$I$7,BC325:BH325)</f>
        <v>0</v>
      </c>
      <c r="BL325" s="763"/>
      <c r="BM325" s="2"/>
      <c r="BN325" s="922"/>
      <c r="BO325" s="885"/>
      <c r="BP325" s="885"/>
      <c r="BQ325" s="1050"/>
      <c r="BR325" s="2"/>
      <c r="BS325" s="886"/>
      <c r="BT325" s="886"/>
      <c r="BU325" s="886"/>
      <c r="BV325" s="886"/>
      <c r="BW325" s="1051"/>
      <c r="BX325" s="886"/>
      <c r="BY325" s="1053"/>
      <c r="BZ325" s="2"/>
      <c r="CA325" s="886"/>
      <c r="CB325" s="886"/>
      <c r="CC325" s="3"/>
      <c r="CD325" s="19"/>
      <c r="CE325" s="2"/>
      <c r="CH325" s="93" t="str">
        <f t="shared" si="759"/>
        <v>BLOCO P3</v>
      </c>
    </row>
    <row r="326" spans="1:86" s="44" customFormat="1" ht="15.95" hidden="1" customHeight="1" outlineLevel="1">
      <c r="A326" s="74"/>
      <c r="B326" s="1064" t="s">
        <v>4006</v>
      </c>
      <c r="C326" s="1023" t="s">
        <v>1437</v>
      </c>
      <c r="D326" s="2"/>
      <c r="E326" s="1004">
        <v>0</v>
      </c>
      <c r="F326" s="2"/>
      <c r="G326" s="49" t="s">
        <v>37</v>
      </c>
      <c r="H326" s="705">
        <f t="shared" si="777"/>
        <v>0</v>
      </c>
      <c r="I326" s="878" t="str">
        <f t="shared" ref="I326" si="809">IFERROR((H327/H326),"-")</f>
        <v>-</v>
      </c>
      <c r="J326" s="2"/>
      <c r="K326" s="705"/>
      <c r="L326" s="705"/>
      <c r="M326" s="705"/>
      <c r="N326" s="705"/>
      <c r="O326" s="705"/>
      <c r="P326" s="705"/>
      <c r="Q326" s="705"/>
      <c r="R326" s="2"/>
      <c r="S326" s="705">
        <f ca="1">SUMIF($K$7:Q$7,"&lt;="&amp;$I$7,K326:P326)</f>
        <v>0</v>
      </c>
      <c r="T326" s="762" t="str">
        <f t="shared" ref="T326" ca="1" si="810">IFERROR((S327/S326),"-")</f>
        <v>-</v>
      </c>
      <c r="U326" s="2"/>
      <c r="V326" s="705"/>
      <c r="W326" s="705"/>
      <c r="X326" s="705"/>
      <c r="Y326" s="705"/>
      <c r="Z326" s="705"/>
      <c r="AA326" s="705"/>
      <c r="AB326" s="705"/>
      <c r="AC326" s="2"/>
      <c r="AD326" s="705">
        <f ca="1">SUMIF($V$7:AB$7,"&lt;="&amp;$I$7,V326:AA326)</f>
        <v>0</v>
      </c>
      <c r="AE326" s="762" t="str">
        <f t="shared" ref="AE326" ca="1" si="811">IFERROR((AD327/AD326),"-")</f>
        <v>-</v>
      </c>
      <c r="AF326" s="2"/>
      <c r="AG326" s="705"/>
      <c r="AH326" s="705"/>
      <c r="AI326" s="705"/>
      <c r="AJ326" s="705"/>
      <c r="AK326" s="705"/>
      <c r="AL326" s="705"/>
      <c r="AM326" s="705"/>
      <c r="AN326" s="2"/>
      <c r="AO326" s="705">
        <f ca="1">SUMIF($AG$7:AM$7,"&lt;="&amp;$I$7,AG326:AL326)</f>
        <v>0</v>
      </c>
      <c r="AP326" s="762" t="str">
        <f t="shared" ref="AP326" ca="1" si="812">IFERROR((AO327/AO326),"-")</f>
        <v>-</v>
      </c>
      <c r="AQ326" s="2"/>
      <c r="AR326" s="705"/>
      <c r="AS326" s="705"/>
      <c r="AT326" s="705"/>
      <c r="AU326" s="705"/>
      <c r="AV326" s="705"/>
      <c r="AW326" s="705"/>
      <c r="AX326" s="705"/>
      <c r="AY326" s="2"/>
      <c r="AZ326" s="705">
        <f ca="1">SUMIF($AR$7:AX$7,"&lt;="&amp;$I$7,AR326:AW326)</f>
        <v>0</v>
      </c>
      <c r="BA326" s="762" t="str">
        <f t="shared" ref="BA326" ca="1" si="813">IFERROR((AZ327/AZ326),"-")</f>
        <v>-</v>
      </c>
      <c r="BB326" s="2"/>
      <c r="BC326" s="705"/>
      <c r="BD326" s="705"/>
      <c r="BE326" s="705"/>
      <c r="BF326" s="705"/>
      <c r="BG326" s="705"/>
      <c r="BH326" s="705"/>
      <c r="BI326" s="705"/>
      <c r="BJ326" s="2"/>
      <c r="BK326" s="705">
        <f ca="1">SUMIF($AR$7:BI$7,"&lt;="&amp;$I$7,BC326:BH326)</f>
        <v>0</v>
      </c>
      <c r="BL326" s="762" t="str">
        <f t="shared" ref="BL326" ca="1" si="814">IFERROR((BK327/BK326),"-")</f>
        <v>-</v>
      </c>
      <c r="BM326" s="2"/>
      <c r="BN326" s="921"/>
      <c r="BO326" s="884"/>
      <c r="BP326" s="884"/>
      <c r="BQ326" s="878" t="str">
        <f t="shared" ref="BQ326" si="815">IFERROR((BP326/BO326),"-")</f>
        <v>-</v>
      </c>
      <c r="BR326" s="2"/>
      <c r="BS326" s="884"/>
      <c r="BT326" s="884"/>
      <c r="BU326" s="884">
        <v>0</v>
      </c>
      <c r="BV326" s="884">
        <v>104</v>
      </c>
      <c r="BW326" s="1004">
        <f>IFERROR((BU326/BV326),"-")</f>
        <v>0</v>
      </c>
      <c r="BX326" s="884">
        <v>0</v>
      </c>
      <c r="BY326" s="878" t="str">
        <f>IFERROR((BU326/BX326),"-")</f>
        <v>-</v>
      </c>
      <c r="BZ326" s="2"/>
      <c r="CA326" s="884">
        <v>1</v>
      </c>
      <c r="CB326" s="884">
        <f t="shared" ref="CB326" si="816">CA326-BU326</f>
        <v>1</v>
      </c>
      <c r="CC326" s="3"/>
      <c r="CD326" s="19"/>
      <c r="CE326" s="2"/>
      <c r="CH326" s="93" t="str">
        <f t="shared" si="759"/>
        <v>BLOCO P4</v>
      </c>
    </row>
    <row r="327" spans="1:86" s="16" customFormat="1" ht="20.25" hidden="1" customHeight="1" outlineLevel="1">
      <c r="A327" s="74"/>
      <c r="B327" s="1065"/>
      <c r="C327" s="1023"/>
      <c r="D327" s="2"/>
      <c r="E327" s="1024"/>
      <c r="F327" s="2"/>
      <c r="G327" s="50" t="s">
        <v>38</v>
      </c>
      <c r="H327" s="705">
        <f t="shared" si="777"/>
        <v>0</v>
      </c>
      <c r="I327" s="879"/>
      <c r="J327" s="2"/>
      <c r="K327" s="86"/>
      <c r="L327" s="86"/>
      <c r="M327" s="86"/>
      <c r="N327" s="86"/>
      <c r="O327" s="86"/>
      <c r="P327" s="86"/>
      <c r="Q327" s="706"/>
      <c r="R327" s="2"/>
      <c r="S327" s="705">
        <f ca="1">SUMIF($K$7:Q$7,"&lt;="&amp;$I$7,K327:P327)</f>
        <v>0</v>
      </c>
      <c r="T327" s="763"/>
      <c r="U327" s="2"/>
      <c r="V327" s="86"/>
      <c r="W327" s="86"/>
      <c r="X327" s="86"/>
      <c r="Y327" s="86"/>
      <c r="Z327" s="86"/>
      <c r="AA327" s="86"/>
      <c r="AB327" s="706"/>
      <c r="AC327" s="2"/>
      <c r="AD327" s="705">
        <f ca="1">SUMIF($V$7:AB$7,"&lt;="&amp;$I$7,V327:AA327)</f>
        <v>0</v>
      </c>
      <c r="AE327" s="763"/>
      <c r="AF327" s="2"/>
      <c r="AG327" s="86"/>
      <c r="AH327" s="86"/>
      <c r="AI327" s="86"/>
      <c r="AJ327" s="86"/>
      <c r="AK327" s="86"/>
      <c r="AL327" s="86"/>
      <c r="AM327" s="706"/>
      <c r="AN327" s="2"/>
      <c r="AO327" s="705">
        <f ca="1">SUMIF($AG$7:AM$7,"&lt;="&amp;$I$7,AG327:AL327)</f>
        <v>0</v>
      </c>
      <c r="AP327" s="763"/>
      <c r="AQ327" s="2"/>
      <c r="AR327" s="86"/>
      <c r="AS327" s="86"/>
      <c r="AT327" s="86"/>
      <c r="AU327" s="86"/>
      <c r="AV327" s="86"/>
      <c r="AW327" s="86"/>
      <c r="AX327" s="706"/>
      <c r="AY327" s="2"/>
      <c r="AZ327" s="705">
        <f ca="1">SUMIF($AR$7:AX$7,"&lt;="&amp;$I$7,AR327:AW327)</f>
        <v>0</v>
      </c>
      <c r="BA327" s="763"/>
      <c r="BB327" s="2"/>
      <c r="BC327" s="86"/>
      <c r="BD327" s="86"/>
      <c r="BE327" s="86"/>
      <c r="BF327" s="86"/>
      <c r="BG327" s="86"/>
      <c r="BH327" s="86"/>
      <c r="BI327" s="706"/>
      <c r="BJ327" s="2"/>
      <c r="BK327" s="705">
        <f ca="1">SUMIF($AR$7:BI$7,"&lt;="&amp;$I$7,BC327:BH327)</f>
        <v>0</v>
      </c>
      <c r="BL327" s="763"/>
      <c r="BM327" s="2"/>
      <c r="BN327" s="922"/>
      <c r="BO327" s="885"/>
      <c r="BP327" s="885"/>
      <c r="BQ327" s="1050"/>
      <c r="BR327" s="2"/>
      <c r="BS327" s="886"/>
      <c r="BT327" s="886"/>
      <c r="BU327" s="886"/>
      <c r="BV327" s="886"/>
      <c r="BW327" s="1051"/>
      <c r="BX327" s="886"/>
      <c r="BY327" s="1053"/>
      <c r="BZ327" s="2"/>
      <c r="CA327" s="886"/>
      <c r="CB327" s="886"/>
      <c r="CC327" s="2"/>
      <c r="CD327" s="84">
        <f>IFERROR(AVERAGEIF($V$7:AB$7,"&lt;="&amp;$I$7,V327:AB327),0)</f>
        <v>0</v>
      </c>
      <c r="CE327" s="2"/>
      <c r="CH327" s="93" t="str">
        <f t="shared" si="759"/>
        <v>BLOCO P4</v>
      </c>
    </row>
    <row r="328" spans="1:86" s="16" customFormat="1" ht="15.4" hidden="1" customHeight="1" outlineLevel="1">
      <c r="A328" s="74"/>
      <c r="B328" s="1064" t="s">
        <v>4007</v>
      </c>
      <c r="C328" s="1023" t="s">
        <v>1437</v>
      </c>
      <c r="D328" s="2"/>
      <c r="E328" s="1004">
        <v>0</v>
      </c>
      <c r="F328" s="2"/>
      <c r="G328" s="49" t="s">
        <v>37</v>
      </c>
      <c r="H328" s="705">
        <f t="shared" si="777"/>
        <v>0</v>
      </c>
      <c r="I328" s="878" t="str">
        <f t="shared" ref="I328" si="817">IFERROR((H329/H328),"-")</f>
        <v>-</v>
      </c>
      <c r="J328" s="2"/>
      <c r="K328" s="705"/>
      <c r="L328" s="705"/>
      <c r="M328" s="705"/>
      <c r="N328" s="705"/>
      <c r="O328" s="705"/>
      <c r="P328" s="705"/>
      <c r="Q328" s="705"/>
      <c r="R328" s="2"/>
      <c r="S328" s="705">
        <f ca="1">SUMIF($K$7:Q$7,"&lt;="&amp;$I$7,K328:P328)</f>
        <v>0</v>
      </c>
      <c r="T328" s="762" t="str">
        <f t="shared" ref="T328" ca="1" si="818">IFERROR((S329/S328),"-")</f>
        <v>-</v>
      </c>
      <c r="U328" s="2"/>
      <c r="V328" s="705"/>
      <c r="W328" s="705"/>
      <c r="X328" s="705"/>
      <c r="Y328" s="705"/>
      <c r="Z328" s="705"/>
      <c r="AA328" s="705"/>
      <c r="AB328" s="705"/>
      <c r="AC328" s="2"/>
      <c r="AD328" s="705">
        <f ca="1">SUMIF($V$7:AB$7,"&lt;="&amp;$I$7,V328:AA328)</f>
        <v>0</v>
      </c>
      <c r="AE328" s="762" t="str">
        <f t="shared" ref="AE328" ca="1" si="819">IFERROR((AD329/AD328),"-")</f>
        <v>-</v>
      </c>
      <c r="AF328" s="2"/>
      <c r="AG328" s="705"/>
      <c r="AH328" s="705"/>
      <c r="AI328" s="705"/>
      <c r="AJ328" s="705"/>
      <c r="AK328" s="705"/>
      <c r="AL328" s="705"/>
      <c r="AM328" s="705"/>
      <c r="AN328" s="2"/>
      <c r="AO328" s="705">
        <f ca="1">SUMIF($AG$7:AM$7,"&lt;="&amp;$I$7,AG328:AL328)</f>
        <v>0</v>
      </c>
      <c r="AP328" s="762" t="str">
        <f t="shared" ref="AP328" ca="1" si="820">IFERROR((AO329/AO328),"-")</f>
        <v>-</v>
      </c>
      <c r="AQ328" s="2"/>
      <c r="AR328" s="705"/>
      <c r="AS328" s="705"/>
      <c r="AT328" s="705"/>
      <c r="AU328" s="705"/>
      <c r="AV328" s="705"/>
      <c r="AW328" s="705"/>
      <c r="AX328" s="705"/>
      <c r="AY328" s="2"/>
      <c r="AZ328" s="705">
        <f ca="1">SUMIF($AR$7:AX$7,"&lt;="&amp;$I$7,AR328:AW328)</f>
        <v>0</v>
      </c>
      <c r="BA328" s="762" t="str">
        <f t="shared" ref="BA328" ca="1" si="821">IFERROR((AZ329/AZ328),"-")</f>
        <v>-</v>
      </c>
      <c r="BB328" s="2"/>
      <c r="BC328" s="705"/>
      <c r="BD328" s="705"/>
      <c r="BE328" s="705"/>
      <c r="BF328" s="705"/>
      <c r="BG328" s="705"/>
      <c r="BH328" s="705"/>
      <c r="BI328" s="705"/>
      <c r="BJ328" s="2"/>
      <c r="BK328" s="705">
        <f ca="1">SUMIF($AR$7:BI$7,"&lt;="&amp;$I$7,BC328:BH328)</f>
        <v>0</v>
      </c>
      <c r="BL328" s="762" t="str">
        <f t="shared" ref="BL328" ca="1" si="822">IFERROR((BK329/BK328),"-")</f>
        <v>-</v>
      </c>
      <c r="BM328" s="2"/>
      <c r="BN328" s="921"/>
      <c r="BO328" s="884"/>
      <c r="BP328" s="884"/>
      <c r="BQ328" s="878" t="str">
        <f t="shared" ref="BQ328" si="823">IFERROR((BP328/BO328),"-")</f>
        <v>-</v>
      </c>
      <c r="BR328" s="2"/>
      <c r="BS328" s="884"/>
      <c r="BT328" s="884"/>
      <c r="BU328" s="884">
        <v>0</v>
      </c>
      <c r="BV328" s="884">
        <v>104</v>
      </c>
      <c r="BW328" s="1004">
        <f>IFERROR((BU328/BV328),"-")</f>
        <v>0</v>
      </c>
      <c r="BX328" s="884">
        <v>0</v>
      </c>
      <c r="BY328" s="878" t="str">
        <f>IFERROR((BU328/BX328),"-")</f>
        <v>-</v>
      </c>
      <c r="BZ328" s="2"/>
      <c r="CA328" s="884">
        <v>1</v>
      </c>
      <c r="CB328" s="884">
        <f t="shared" ref="CB328" si="824">CA328-BU328</f>
        <v>1</v>
      </c>
      <c r="CC328" s="2"/>
      <c r="CD328" s="84">
        <f>IFERROR(AVERAGEIF($V$7:AB$7,"&lt;="&amp;$I$7,V328:AB328),0)</f>
        <v>0</v>
      </c>
      <c r="CE328" s="2"/>
      <c r="CH328" s="93" t="str">
        <f t="shared" si="759"/>
        <v>BLOCO P5</v>
      </c>
    </row>
    <row r="329" spans="1:86" s="16" customFormat="1" ht="20.25" hidden="1" customHeight="1" outlineLevel="1">
      <c r="A329" s="74"/>
      <c r="B329" s="1065"/>
      <c r="C329" s="1023"/>
      <c r="D329" s="2"/>
      <c r="E329" s="1024"/>
      <c r="F329" s="2"/>
      <c r="G329" s="50" t="s">
        <v>38</v>
      </c>
      <c r="H329" s="705">
        <f t="shared" si="777"/>
        <v>0</v>
      </c>
      <c r="I329" s="879"/>
      <c r="J329" s="2"/>
      <c r="K329" s="86"/>
      <c r="L329" s="86"/>
      <c r="M329" s="86"/>
      <c r="N329" s="86"/>
      <c r="O329" s="86"/>
      <c r="P329" s="86"/>
      <c r="Q329" s="706"/>
      <c r="R329" s="2"/>
      <c r="S329" s="705">
        <f ca="1">SUMIF($K$7:Q$7,"&lt;="&amp;$I$7,K329:P329)</f>
        <v>0</v>
      </c>
      <c r="T329" s="763"/>
      <c r="U329" s="2"/>
      <c r="V329" s="86"/>
      <c r="W329" s="86"/>
      <c r="X329" s="86"/>
      <c r="Y329" s="86"/>
      <c r="Z329" s="86"/>
      <c r="AA329" s="86"/>
      <c r="AB329" s="706"/>
      <c r="AC329" s="2"/>
      <c r="AD329" s="705">
        <f ca="1">SUMIF($V$7:AB$7,"&lt;="&amp;$I$7,V329:AA329)</f>
        <v>0</v>
      </c>
      <c r="AE329" s="763"/>
      <c r="AF329" s="2"/>
      <c r="AG329" s="86"/>
      <c r="AH329" s="86"/>
      <c r="AI329" s="86"/>
      <c r="AJ329" s="86"/>
      <c r="AK329" s="86"/>
      <c r="AL329" s="86"/>
      <c r="AM329" s="706"/>
      <c r="AN329" s="2"/>
      <c r="AO329" s="705">
        <f ca="1">SUMIF($AG$7:AM$7,"&lt;="&amp;$I$7,AG329:AL329)</f>
        <v>0</v>
      </c>
      <c r="AP329" s="763"/>
      <c r="AQ329" s="2"/>
      <c r="AR329" s="86"/>
      <c r="AS329" s="86"/>
      <c r="AT329" s="86"/>
      <c r="AU329" s="86"/>
      <c r="AV329" s="86"/>
      <c r="AW329" s="86"/>
      <c r="AX329" s="706"/>
      <c r="AY329" s="2"/>
      <c r="AZ329" s="705">
        <f ca="1">SUMIF($AR$7:AX$7,"&lt;="&amp;$I$7,AR329:AW329)</f>
        <v>0</v>
      </c>
      <c r="BA329" s="763"/>
      <c r="BB329" s="2"/>
      <c r="BC329" s="86"/>
      <c r="BD329" s="86"/>
      <c r="BE329" s="86"/>
      <c r="BF329" s="86"/>
      <c r="BG329" s="86"/>
      <c r="BH329" s="86"/>
      <c r="BI329" s="706"/>
      <c r="BJ329" s="2"/>
      <c r="BK329" s="705">
        <f ca="1">SUMIF($AR$7:BI$7,"&lt;="&amp;$I$7,BC329:BH329)</f>
        <v>0</v>
      </c>
      <c r="BL329" s="763"/>
      <c r="BM329" s="2"/>
      <c r="BN329" s="922"/>
      <c r="BO329" s="885"/>
      <c r="BP329" s="885"/>
      <c r="BQ329" s="1050"/>
      <c r="BR329" s="2"/>
      <c r="BS329" s="886"/>
      <c r="BT329" s="886"/>
      <c r="BU329" s="886"/>
      <c r="BV329" s="886"/>
      <c r="BW329" s="1051"/>
      <c r="BX329" s="886"/>
      <c r="BY329" s="1053"/>
      <c r="BZ329" s="2"/>
      <c r="CA329" s="886"/>
      <c r="CB329" s="886"/>
      <c r="CC329" s="2"/>
      <c r="CD329" s="504">
        <f>IFERROR(AVERAGEIF($V$7:AB$7,"&lt;="&amp;$I$7,V329:AB329),0)</f>
        <v>0</v>
      </c>
      <c r="CE329" s="2"/>
      <c r="CH329" s="93" t="str">
        <f t="shared" si="759"/>
        <v>BLOCO P5</v>
      </c>
    </row>
    <row r="330" spans="1:86" s="21" customFormat="1" ht="20.25" hidden="1" customHeight="1" outlineLevel="1">
      <c r="A330" s="74"/>
      <c r="B330" s="1064" t="s">
        <v>4008</v>
      </c>
      <c r="C330" s="1023" t="s">
        <v>1437</v>
      </c>
      <c r="D330" s="2"/>
      <c r="E330" s="1004">
        <v>0</v>
      </c>
      <c r="F330" s="2"/>
      <c r="G330" s="49" t="s">
        <v>37</v>
      </c>
      <c r="H330" s="705">
        <f t="shared" si="777"/>
        <v>0</v>
      </c>
      <c r="I330" s="878" t="str">
        <f t="shared" ref="I330" si="825">IFERROR((H331/H330),"-")</f>
        <v>-</v>
      </c>
      <c r="J330" s="2"/>
      <c r="K330" s="705"/>
      <c r="L330" s="705"/>
      <c r="M330" s="705"/>
      <c r="N330" s="705"/>
      <c r="O330" s="705"/>
      <c r="P330" s="705"/>
      <c r="Q330" s="705"/>
      <c r="R330" s="2"/>
      <c r="S330" s="705">
        <f ca="1">SUMIF($K$7:Q$7,"&lt;="&amp;$I$7,K330:P330)</f>
        <v>0</v>
      </c>
      <c r="T330" s="762" t="str">
        <f t="shared" ref="T330" ca="1" si="826">IFERROR((S331/S330),"-")</f>
        <v>-</v>
      </c>
      <c r="U330" s="2"/>
      <c r="V330" s="705"/>
      <c r="W330" s="705"/>
      <c r="X330" s="705"/>
      <c r="Y330" s="705"/>
      <c r="Z330" s="705"/>
      <c r="AA330" s="705"/>
      <c r="AB330" s="705"/>
      <c r="AC330" s="2"/>
      <c r="AD330" s="705">
        <f ca="1">SUMIF($V$7:AB$7,"&lt;="&amp;$I$7,V330:AA330)</f>
        <v>0</v>
      </c>
      <c r="AE330" s="762" t="str">
        <f t="shared" ref="AE330" ca="1" si="827">IFERROR((AD331/AD330),"-")</f>
        <v>-</v>
      </c>
      <c r="AF330" s="2"/>
      <c r="AG330" s="705"/>
      <c r="AH330" s="705"/>
      <c r="AI330" s="705"/>
      <c r="AJ330" s="705"/>
      <c r="AK330" s="705"/>
      <c r="AL330" s="705"/>
      <c r="AM330" s="705"/>
      <c r="AN330" s="2"/>
      <c r="AO330" s="705">
        <f ca="1">SUMIF($AG$7:AM$7,"&lt;="&amp;$I$7,AG330:AL330)</f>
        <v>0</v>
      </c>
      <c r="AP330" s="762" t="str">
        <f t="shared" ref="AP330" ca="1" si="828">IFERROR((AO331/AO330),"-")</f>
        <v>-</v>
      </c>
      <c r="AQ330" s="2"/>
      <c r="AR330" s="705"/>
      <c r="AS330" s="705"/>
      <c r="AT330" s="705"/>
      <c r="AU330" s="705"/>
      <c r="AV330" s="705"/>
      <c r="AW330" s="705"/>
      <c r="AX330" s="705"/>
      <c r="AY330" s="2"/>
      <c r="AZ330" s="705">
        <f ca="1">SUMIF($AR$7:AX$7,"&lt;="&amp;$I$7,AR330:AW330)</f>
        <v>0</v>
      </c>
      <c r="BA330" s="762" t="str">
        <f t="shared" ref="BA330" ca="1" si="829">IFERROR((AZ331/AZ330),"-")</f>
        <v>-</v>
      </c>
      <c r="BB330" s="2"/>
      <c r="BC330" s="705"/>
      <c r="BD330" s="705"/>
      <c r="BE330" s="705"/>
      <c r="BF330" s="705"/>
      <c r="BG330" s="705"/>
      <c r="BH330" s="705"/>
      <c r="BI330" s="705"/>
      <c r="BJ330" s="2"/>
      <c r="BK330" s="705">
        <f ca="1">SUMIF($AR$7:BI$7,"&lt;="&amp;$I$7,BC330:BH330)</f>
        <v>0</v>
      </c>
      <c r="BL330" s="762" t="str">
        <f t="shared" ref="BL330" ca="1" si="830">IFERROR((BK331/BK330),"-")</f>
        <v>-</v>
      </c>
      <c r="BM330" s="2"/>
      <c r="BN330" s="921"/>
      <c r="BO330" s="884"/>
      <c r="BP330" s="884"/>
      <c r="BQ330" s="878" t="str">
        <f t="shared" ref="BQ330" si="831">IFERROR((BP330/BO330),"-")</f>
        <v>-</v>
      </c>
      <c r="BR330" s="2"/>
      <c r="BS330" s="884"/>
      <c r="BT330" s="884"/>
      <c r="BU330" s="884">
        <v>0</v>
      </c>
      <c r="BV330" s="884">
        <v>104</v>
      </c>
      <c r="BW330" s="1004">
        <f>IFERROR((BU330/BV330),"-")</f>
        <v>0</v>
      </c>
      <c r="BX330" s="884">
        <v>0</v>
      </c>
      <c r="BY330" s="878" t="str">
        <f>IFERROR((BU330/BX330),"-")</f>
        <v>-</v>
      </c>
      <c r="BZ330" s="2"/>
      <c r="CA330" s="884">
        <v>1</v>
      </c>
      <c r="CB330" s="884">
        <f t="shared" ref="CB330" si="832">CA330-BU330</f>
        <v>1</v>
      </c>
      <c r="CC330" s="2"/>
      <c r="CD330" s="504">
        <f>IFERROR(AVERAGEIF($V$7:AB$7,"&lt;="&amp;$I$7,V330:AB330),0)</f>
        <v>0</v>
      </c>
      <c r="CE330" s="2"/>
      <c r="CH330" s="93" t="str">
        <f t="shared" si="759"/>
        <v>BLOCO P6</v>
      </c>
    </row>
    <row r="331" spans="1:86" s="16" customFormat="1" ht="20.25" hidden="1" customHeight="1" outlineLevel="1">
      <c r="A331" s="74"/>
      <c r="B331" s="1065"/>
      <c r="C331" s="1023"/>
      <c r="D331" s="2"/>
      <c r="E331" s="1024"/>
      <c r="F331" s="2"/>
      <c r="G331" s="50" t="s">
        <v>38</v>
      </c>
      <c r="H331" s="705">
        <f t="shared" si="777"/>
        <v>0</v>
      </c>
      <c r="I331" s="879"/>
      <c r="J331" s="2"/>
      <c r="K331" s="86"/>
      <c r="L331" s="86"/>
      <c r="M331" s="86"/>
      <c r="N331" s="86"/>
      <c r="O331" s="86"/>
      <c r="P331" s="86"/>
      <c r="Q331" s="706"/>
      <c r="R331" s="2"/>
      <c r="S331" s="705">
        <f ca="1">SUMIF($K$7:Q$7,"&lt;="&amp;$I$7,K331:P331)</f>
        <v>0</v>
      </c>
      <c r="T331" s="763"/>
      <c r="U331" s="2"/>
      <c r="V331" s="86"/>
      <c r="W331" s="86"/>
      <c r="X331" s="86"/>
      <c r="Y331" s="86"/>
      <c r="Z331" s="86"/>
      <c r="AA331" s="86"/>
      <c r="AB331" s="706"/>
      <c r="AC331" s="2"/>
      <c r="AD331" s="705">
        <f ca="1">SUMIF($V$7:AB$7,"&lt;="&amp;$I$7,V331:AA331)</f>
        <v>0</v>
      </c>
      <c r="AE331" s="763"/>
      <c r="AF331" s="2"/>
      <c r="AG331" s="86"/>
      <c r="AH331" s="86"/>
      <c r="AI331" s="86"/>
      <c r="AJ331" s="86"/>
      <c r="AK331" s="86"/>
      <c r="AL331" s="86"/>
      <c r="AM331" s="706"/>
      <c r="AN331" s="2"/>
      <c r="AO331" s="705">
        <f ca="1">SUMIF($AG$7:AM$7,"&lt;="&amp;$I$7,AG331:AL331)</f>
        <v>0</v>
      </c>
      <c r="AP331" s="763"/>
      <c r="AQ331" s="2"/>
      <c r="AR331" s="86"/>
      <c r="AS331" s="86"/>
      <c r="AT331" s="86"/>
      <c r="AU331" s="86"/>
      <c r="AV331" s="86"/>
      <c r="AW331" s="86"/>
      <c r="AX331" s="706"/>
      <c r="AY331" s="2"/>
      <c r="AZ331" s="705">
        <f ca="1">SUMIF($AR$7:AX$7,"&lt;="&amp;$I$7,AR331:AW331)</f>
        <v>0</v>
      </c>
      <c r="BA331" s="763"/>
      <c r="BB331" s="2"/>
      <c r="BC331" s="86"/>
      <c r="BD331" s="86"/>
      <c r="BE331" s="86"/>
      <c r="BF331" s="86"/>
      <c r="BG331" s="86"/>
      <c r="BH331" s="86"/>
      <c r="BI331" s="706"/>
      <c r="BJ331" s="2"/>
      <c r="BK331" s="705">
        <f ca="1">SUMIF($AR$7:BI$7,"&lt;="&amp;$I$7,BC331:BH331)</f>
        <v>0</v>
      </c>
      <c r="BL331" s="763"/>
      <c r="BM331" s="2"/>
      <c r="BN331" s="922"/>
      <c r="BO331" s="885"/>
      <c r="BP331" s="885"/>
      <c r="BQ331" s="1050"/>
      <c r="BR331" s="2"/>
      <c r="BS331" s="886"/>
      <c r="BT331" s="886"/>
      <c r="BU331" s="886"/>
      <c r="BV331" s="886"/>
      <c r="BW331" s="1051"/>
      <c r="BX331" s="886"/>
      <c r="BY331" s="1053"/>
      <c r="BZ331" s="2"/>
      <c r="CA331" s="886"/>
      <c r="CB331" s="886"/>
      <c r="CC331" s="2"/>
      <c r="CD331" s="504">
        <f>IFERROR(AVERAGEIF($V$7:AB$7,"&lt;="&amp;$I$7,V331:AB331),0)</f>
        <v>0</v>
      </c>
      <c r="CE331" s="2"/>
      <c r="CH331" s="93" t="str">
        <f t="shared" si="759"/>
        <v>BLOCO P6</v>
      </c>
    </row>
    <row r="332" spans="1:86" s="21" customFormat="1" ht="20.25" customHeight="1" collapsed="1">
      <c r="A332" s="73"/>
      <c r="B332" s="1045" t="s">
        <v>4009</v>
      </c>
      <c r="C332" s="740" t="s">
        <v>1437</v>
      </c>
      <c r="D332" s="2"/>
      <c r="E332" s="1019">
        <v>6</v>
      </c>
      <c r="F332" s="2"/>
      <c r="G332" s="53" t="s">
        <v>37</v>
      </c>
      <c r="H332" s="52">
        <f t="shared" si="777"/>
        <v>0</v>
      </c>
      <c r="I332" s="743" t="str">
        <f t="shared" ref="I332" si="833">IFERROR((H333/H332),"-")</f>
        <v>-</v>
      </c>
      <c r="J332" s="2"/>
      <c r="K332" s="52"/>
      <c r="L332" s="52"/>
      <c r="M332" s="52"/>
      <c r="N332" s="52"/>
      <c r="O332" s="52"/>
      <c r="P332" s="52"/>
      <c r="Q332" s="52"/>
      <c r="R332" s="2"/>
      <c r="S332" s="52">
        <f ca="1">SUMIF($K$7:Q$7,"&lt;="&amp;$I$7,K332:P332)</f>
        <v>0</v>
      </c>
      <c r="T332" s="743" t="str">
        <f t="shared" ref="T332" ca="1" si="834">IFERROR((S333/S332),"-")</f>
        <v>-</v>
      </c>
      <c r="U332" s="2"/>
      <c r="V332" s="52">
        <f>SUMIF($G$334:$G$339,$G$332,V334:V339)</f>
        <v>0</v>
      </c>
      <c r="W332" s="52">
        <f t="shared" ref="W332:AB332" si="835">SUMIF($G$334:$G$339,$G$332,W334:W339)</f>
        <v>0</v>
      </c>
      <c r="X332" s="52">
        <f t="shared" si="835"/>
        <v>0</v>
      </c>
      <c r="Y332" s="52">
        <f t="shared" si="835"/>
        <v>0</v>
      </c>
      <c r="Z332" s="52">
        <f t="shared" si="835"/>
        <v>0</v>
      </c>
      <c r="AA332" s="52">
        <f t="shared" si="835"/>
        <v>0</v>
      </c>
      <c r="AB332" s="52">
        <f t="shared" si="835"/>
        <v>0</v>
      </c>
      <c r="AC332" s="2"/>
      <c r="AD332" s="52">
        <f>SUMIF($V$7:AB$7,"&lt;="&amp;$I$7,V332:AB332)</f>
        <v>0</v>
      </c>
      <c r="AE332" s="743" t="str">
        <f t="shared" ref="AE332" si="836">IFERROR((AD333/AD332),"-")</f>
        <v>-</v>
      </c>
      <c r="AF332" s="2"/>
      <c r="AG332" s="52">
        <f>SUMIF($G$334:$G$339,$G$332,AG334:AG339)</f>
        <v>0</v>
      </c>
      <c r="AH332" s="52">
        <f t="shared" ref="AH332:AL332" si="837">SUMIF($G$334:$G$339,$G$332,AH334:AH339)</f>
        <v>0</v>
      </c>
      <c r="AI332" s="52">
        <f t="shared" si="837"/>
        <v>0</v>
      </c>
      <c r="AJ332" s="52">
        <f t="shared" si="837"/>
        <v>0</v>
      </c>
      <c r="AK332" s="52">
        <f t="shared" si="837"/>
        <v>0</v>
      </c>
      <c r="AL332" s="52">
        <f t="shared" si="837"/>
        <v>0</v>
      </c>
      <c r="AM332" s="52"/>
      <c r="AN332" s="2"/>
      <c r="AO332" s="52">
        <f ca="1">SUMIF($AG$7:AM$7,"&lt;="&amp;$I$7,AG332:AL332)</f>
        <v>0</v>
      </c>
      <c r="AP332" s="743" t="str">
        <f t="shared" ref="AP332" ca="1" si="838">IFERROR((AO333/AO332),"-")</f>
        <v>-</v>
      </c>
      <c r="AQ332" s="2"/>
      <c r="AR332" s="52">
        <f t="shared" ref="AR332:AW332" si="839">SUMIF($G$334:$G$339,$G$332,AR334:AR339)</f>
        <v>0</v>
      </c>
      <c r="AS332" s="52">
        <f t="shared" si="839"/>
        <v>0</v>
      </c>
      <c r="AT332" s="52">
        <f t="shared" si="839"/>
        <v>0</v>
      </c>
      <c r="AU332" s="52">
        <f t="shared" si="839"/>
        <v>0</v>
      </c>
      <c r="AV332" s="52">
        <f t="shared" si="839"/>
        <v>0</v>
      </c>
      <c r="AW332" s="52">
        <f t="shared" si="839"/>
        <v>0</v>
      </c>
      <c r="AX332" s="52"/>
      <c r="AY332" s="2"/>
      <c r="AZ332" s="52">
        <f ca="1">SUMIF($AR$7:AX$7,"&lt;="&amp;$I$7,AR332:AW332)</f>
        <v>0</v>
      </c>
      <c r="BA332" s="743" t="str">
        <f t="shared" ref="BA332" ca="1" si="840">IFERROR((AZ333/AZ332),"-")</f>
        <v>-</v>
      </c>
      <c r="BB332" s="2"/>
      <c r="BC332" s="52">
        <f t="shared" ref="BC332:BH332" si="841">SUMIF($G$334:$G$339,$G$332,BC334:BC339)</f>
        <v>0</v>
      </c>
      <c r="BD332" s="52">
        <f t="shared" si="841"/>
        <v>0</v>
      </c>
      <c r="BE332" s="52">
        <f t="shared" si="841"/>
        <v>0</v>
      </c>
      <c r="BF332" s="52">
        <f t="shared" si="841"/>
        <v>0</v>
      </c>
      <c r="BG332" s="52">
        <f t="shared" si="841"/>
        <v>0</v>
      </c>
      <c r="BH332" s="52">
        <f t="shared" si="841"/>
        <v>0</v>
      </c>
      <c r="BI332" s="52"/>
      <c r="BJ332" s="2"/>
      <c r="BK332" s="52">
        <f ca="1">SUMIF($BC$7:BI$7,"&lt;="&amp;$I$7,BC332:BH332)</f>
        <v>0</v>
      </c>
      <c r="BL332" s="743" t="str">
        <f t="shared" ref="BL332" ca="1" si="842">IFERROR((BK333/BK332),"-")</f>
        <v>-</v>
      </c>
      <c r="BM332" s="2"/>
      <c r="BN332" s="888"/>
      <c r="BO332" s="888"/>
      <c r="BP332" s="888"/>
      <c r="BQ332" s="743" t="str">
        <f>IF(BO332=0,IF(BP332&gt;0,1,"-"),IFERROR(BP332/BO332,"-"))</f>
        <v>-</v>
      </c>
      <c r="BR332" s="2"/>
      <c r="BS332" s="888"/>
      <c r="BT332" s="888"/>
      <c r="BU332" s="888">
        <v>6</v>
      </c>
      <c r="BV332" s="888">
        <v>104</v>
      </c>
      <c r="BW332" s="1019">
        <f>IFERROR((BU332/BV332),"-")</f>
        <v>5.7692307692307696E-2</v>
      </c>
      <c r="BX332" s="888">
        <v>6</v>
      </c>
      <c r="BY332" s="743">
        <f>IFERROR((BU332/BX332),"-")</f>
        <v>1</v>
      </c>
      <c r="BZ332" s="2"/>
      <c r="CA332" s="888">
        <v>6</v>
      </c>
      <c r="CB332" s="888">
        <f>CA332-BU332</f>
        <v>0</v>
      </c>
      <c r="CC332" s="2"/>
      <c r="CD332" s="504">
        <f>IFERROR(AVERAGEIF($V$7:AB$7,"&lt;="&amp;$I$7,V332:AB332),0)</f>
        <v>0</v>
      </c>
      <c r="CE332" s="2"/>
      <c r="CH332" s="93" t="str">
        <f t="shared" si="759"/>
        <v xml:space="preserve">Forma dos Blocos </v>
      </c>
    </row>
    <row r="333" spans="1:86" s="16" customFormat="1" ht="20.25" customHeight="1">
      <c r="A333" s="74"/>
      <c r="B333" s="1045"/>
      <c r="C333" s="740"/>
      <c r="D333" s="2"/>
      <c r="E333" s="1060"/>
      <c r="F333" s="2"/>
      <c r="G333" s="54" t="s">
        <v>38</v>
      </c>
      <c r="H333" s="52">
        <f t="shared" si="777"/>
        <v>0</v>
      </c>
      <c r="I333" s="744"/>
      <c r="J333" s="2"/>
      <c r="K333" s="75"/>
      <c r="L333" s="75"/>
      <c r="M333" s="75"/>
      <c r="N333" s="75"/>
      <c r="O333" s="75"/>
      <c r="P333" s="75"/>
      <c r="Q333" s="52"/>
      <c r="R333" s="2"/>
      <c r="S333" s="52">
        <f ca="1">SUMIF($K$7:Q$7,"&lt;="&amp;$I$7,K333:P333)</f>
        <v>0</v>
      </c>
      <c r="T333" s="744"/>
      <c r="U333" s="2"/>
      <c r="V333" s="52">
        <f>SUMIF($G$334:$G$339,$G$333,V334:V339)</f>
        <v>0</v>
      </c>
      <c r="W333" s="52">
        <f t="shared" ref="W333:AB333" si="843">SUMIF($G$334:$G$339,$G$333,W334:W339)</f>
        <v>0</v>
      </c>
      <c r="X333" s="52">
        <f t="shared" si="843"/>
        <v>0</v>
      </c>
      <c r="Y333" s="52">
        <f t="shared" si="843"/>
        <v>0</v>
      </c>
      <c r="Z333" s="52">
        <f t="shared" si="843"/>
        <v>0</v>
      </c>
      <c r="AA333" s="52">
        <f t="shared" si="843"/>
        <v>0</v>
      </c>
      <c r="AB333" s="52">
        <f t="shared" si="843"/>
        <v>0</v>
      </c>
      <c r="AC333" s="2"/>
      <c r="AD333" s="52">
        <f>SUMIF($V$7:AB$7,"&lt;="&amp;$I$7,V333:AB333)</f>
        <v>0</v>
      </c>
      <c r="AE333" s="744"/>
      <c r="AF333" s="2"/>
      <c r="AG333" s="52">
        <f>SUMIF($G$334:$G$339,$G$333,AG334:AG339)</f>
        <v>0</v>
      </c>
      <c r="AH333" s="52">
        <f t="shared" ref="AH333:AL333" si="844">SUMIF($G$334:$G$339,$G$333,AH334:AH339)</f>
        <v>0</v>
      </c>
      <c r="AI333" s="52">
        <f t="shared" si="844"/>
        <v>0</v>
      </c>
      <c r="AJ333" s="52">
        <f t="shared" si="844"/>
        <v>0</v>
      </c>
      <c r="AK333" s="52">
        <f t="shared" si="844"/>
        <v>0</v>
      </c>
      <c r="AL333" s="52">
        <f t="shared" si="844"/>
        <v>0</v>
      </c>
      <c r="AM333" s="52"/>
      <c r="AN333" s="2"/>
      <c r="AO333" s="52">
        <f ca="1">SUMIF($AG$7:AM$7,"&lt;="&amp;$I$7,AG333:AL333)</f>
        <v>0</v>
      </c>
      <c r="AP333" s="744"/>
      <c r="AQ333" s="2"/>
      <c r="AR333" s="75">
        <f t="shared" ref="AR333:AW333" si="845">SUMIF($G$334:$G$339,$G$333,AR334:AR339)</f>
        <v>0</v>
      </c>
      <c r="AS333" s="75">
        <f t="shared" si="845"/>
        <v>0</v>
      </c>
      <c r="AT333" s="75">
        <f t="shared" si="845"/>
        <v>0</v>
      </c>
      <c r="AU333" s="75">
        <f t="shared" si="845"/>
        <v>0</v>
      </c>
      <c r="AV333" s="75">
        <f t="shared" si="845"/>
        <v>0</v>
      </c>
      <c r="AW333" s="75">
        <f t="shared" si="845"/>
        <v>0</v>
      </c>
      <c r="AX333" s="52"/>
      <c r="AY333" s="2"/>
      <c r="AZ333" s="52">
        <f ca="1">SUMIF($AR$7:AX$7,"&lt;="&amp;$I$7,AR333:AW333)</f>
        <v>0</v>
      </c>
      <c r="BA333" s="744"/>
      <c r="BB333" s="2"/>
      <c r="BC333" s="75">
        <f t="shared" ref="BC333:BH333" si="846">SUMIF($G$334:$G$339,$G$333,BC334:BC339)</f>
        <v>0</v>
      </c>
      <c r="BD333" s="75">
        <f t="shared" si="846"/>
        <v>0</v>
      </c>
      <c r="BE333" s="75">
        <f t="shared" si="846"/>
        <v>0</v>
      </c>
      <c r="BF333" s="75">
        <f t="shared" si="846"/>
        <v>0</v>
      </c>
      <c r="BG333" s="75">
        <f t="shared" si="846"/>
        <v>0</v>
      </c>
      <c r="BH333" s="75">
        <f t="shared" si="846"/>
        <v>0</v>
      </c>
      <c r="BI333" s="52"/>
      <c r="BJ333" s="2"/>
      <c r="BK333" s="52">
        <f ca="1">SUMIF($BC$7:BI$7,"&lt;="&amp;$I$7,BC333:BH333)</f>
        <v>0</v>
      </c>
      <c r="BL333" s="744"/>
      <c r="BM333" s="2"/>
      <c r="BN333" s="888"/>
      <c r="BO333" s="889"/>
      <c r="BP333" s="888"/>
      <c r="BQ333" s="744"/>
      <c r="BR333" s="2"/>
      <c r="BS333" s="888"/>
      <c r="BT333" s="888"/>
      <c r="BU333" s="888"/>
      <c r="BV333" s="888"/>
      <c r="BW333" s="1019"/>
      <c r="BX333" s="888"/>
      <c r="BY333" s="743"/>
      <c r="BZ333" s="2"/>
      <c r="CA333" s="888"/>
      <c r="CB333" s="888"/>
      <c r="CC333" s="2"/>
      <c r="CD333" s="504">
        <f>IFERROR(AVERAGEIF($V$7:AB$7,"&lt;="&amp;$I$7,V333:AB333),0)</f>
        <v>0</v>
      </c>
      <c r="CE333" s="2"/>
      <c r="CH333" s="93" t="str">
        <f t="shared" si="759"/>
        <v xml:space="preserve">Forma dos Blocos </v>
      </c>
    </row>
    <row r="334" spans="1:86" s="21" customFormat="1" ht="25.7" hidden="1" customHeight="1" outlineLevel="1">
      <c r="A334" s="74"/>
      <c r="B334" s="1064" t="s">
        <v>4005</v>
      </c>
      <c r="C334" s="1023" t="s">
        <v>1437</v>
      </c>
      <c r="D334" s="2"/>
      <c r="E334" s="1004">
        <v>0</v>
      </c>
      <c r="F334" s="2"/>
      <c r="G334" s="49" t="s">
        <v>37</v>
      </c>
      <c r="H334" s="705">
        <f t="shared" si="777"/>
        <v>0</v>
      </c>
      <c r="I334" s="878" t="str">
        <f t="shared" ref="I334" si="847">IFERROR((H335/H334),"-")</f>
        <v>-</v>
      </c>
      <c r="J334" s="2"/>
      <c r="K334" s="705"/>
      <c r="L334" s="705"/>
      <c r="M334" s="705"/>
      <c r="N334" s="705"/>
      <c r="O334" s="705"/>
      <c r="P334" s="705"/>
      <c r="Q334" s="705"/>
      <c r="R334" s="2"/>
      <c r="S334" s="705">
        <f ca="1">SUMIF($K$7:Q$7,"&lt;="&amp;$I$7,K334:P334)</f>
        <v>0</v>
      </c>
      <c r="T334" s="762" t="str">
        <f t="shared" ref="T334" ca="1" si="848">IFERROR((S335/S334),"-")</f>
        <v>-</v>
      </c>
      <c r="U334" s="2"/>
      <c r="V334" s="705"/>
      <c r="W334" s="705"/>
      <c r="X334" s="705"/>
      <c r="Y334" s="705"/>
      <c r="Z334" s="705"/>
      <c r="AA334" s="705"/>
      <c r="AB334" s="705"/>
      <c r="AC334" s="2"/>
      <c r="AD334" s="705">
        <f ca="1">SUMIF($V$7:AB$7,"&lt;="&amp;$I$7,V334:AA334)</f>
        <v>0</v>
      </c>
      <c r="AE334" s="762" t="str">
        <f t="shared" ref="AE334" ca="1" si="849">IFERROR((AD335/AD334),"-")</f>
        <v>-</v>
      </c>
      <c r="AF334" s="2"/>
      <c r="AG334" s="705"/>
      <c r="AH334" s="705"/>
      <c r="AI334" s="705"/>
      <c r="AJ334" s="705"/>
      <c r="AK334" s="705"/>
      <c r="AL334" s="705"/>
      <c r="AM334" s="705"/>
      <c r="AN334" s="2"/>
      <c r="AO334" s="705">
        <f ca="1">SUMIF($AG$7:AM$7,"&lt;="&amp;$I$7,AG334:AL334)</f>
        <v>0</v>
      </c>
      <c r="AP334" s="762" t="str">
        <f t="shared" ref="AP334" ca="1" si="850">IFERROR((AO335/AO334),"-")</f>
        <v>-</v>
      </c>
      <c r="AQ334" s="2"/>
      <c r="AR334" s="705"/>
      <c r="AS334" s="705"/>
      <c r="AT334" s="705"/>
      <c r="AU334" s="705"/>
      <c r="AV334" s="705"/>
      <c r="AW334" s="705"/>
      <c r="AX334" s="705"/>
      <c r="AY334" s="2"/>
      <c r="AZ334" s="705">
        <f ca="1">SUMIF($AR$7:AX$7,"&lt;="&amp;$I$7,AR334:AW334)</f>
        <v>0</v>
      </c>
      <c r="BA334" s="762" t="str">
        <f t="shared" ref="BA334" ca="1" si="851">IFERROR((AZ335/AZ334),"-")</f>
        <v>-</v>
      </c>
      <c r="BB334" s="2"/>
      <c r="BC334" s="705"/>
      <c r="BD334" s="705"/>
      <c r="BE334" s="705"/>
      <c r="BF334" s="705"/>
      <c r="BG334" s="705"/>
      <c r="BH334" s="705"/>
      <c r="BI334" s="705"/>
      <c r="BJ334" s="2"/>
      <c r="BK334" s="705">
        <f ca="1">SUMIF($AR$7:BI$7,"&lt;="&amp;$I$7,BC334:BH334)</f>
        <v>0</v>
      </c>
      <c r="BL334" s="762" t="str">
        <f t="shared" ref="BL334" ca="1" si="852">IFERROR((BK335/BK334),"-")</f>
        <v>-</v>
      </c>
      <c r="BM334" s="2"/>
      <c r="BN334" s="921"/>
      <c r="BO334" s="884"/>
      <c r="BP334" s="884"/>
      <c r="BQ334" s="878" t="str">
        <f t="shared" ref="BQ334" si="853">IFERROR((BP334/BO334),"-")</f>
        <v>-</v>
      </c>
      <c r="BR334" s="2"/>
      <c r="BS334" s="884"/>
      <c r="BT334" s="884"/>
      <c r="BU334" s="884">
        <v>0</v>
      </c>
      <c r="BV334" s="884">
        <v>104</v>
      </c>
      <c r="BW334" s="1004">
        <f>IFERROR((BU334/BV334),"-")</f>
        <v>0</v>
      </c>
      <c r="BX334" s="884">
        <v>0</v>
      </c>
      <c r="BY334" s="878" t="str">
        <f>IFERROR((BU334/BX334),"-")</f>
        <v>-</v>
      </c>
      <c r="BZ334" s="2"/>
      <c r="CA334" s="884">
        <v>1</v>
      </c>
      <c r="CB334" s="884">
        <f>CA334-BU334</f>
        <v>1</v>
      </c>
      <c r="CC334" s="2"/>
      <c r="CD334" s="504">
        <f>IFERROR(AVERAGEIF($V$7:AB$7,"&lt;="&amp;$I$7,V334:AB334),0)</f>
        <v>0</v>
      </c>
      <c r="CE334" s="2"/>
      <c r="CH334" s="93" t="str">
        <f t="shared" si="759"/>
        <v>BLOCO P3</v>
      </c>
    </row>
    <row r="335" spans="1:86" s="44" customFormat="1" ht="15.95" hidden="1" customHeight="1" outlineLevel="1">
      <c r="A335" s="74"/>
      <c r="B335" s="1065"/>
      <c r="C335" s="1023"/>
      <c r="D335" s="2"/>
      <c r="E335" s="1024"/>
      <c r="F335" s="2"/>
      <c r="G335" s="50" t="s">
        <v>38</v>
      </c>
      <c r="H335" s="705">
        <f t="shared" si="777"/>
        <v>0</v>
      </c>
      <c r="I335" s="879"/>
      <c r="J335" s="2"/>
      <c r="K335" s="86"/>
      <c r="L335" s="86"/>
      <c r="M335" s="86"/>
      <c r="N335" s="86"/>
      <c r="O335" s="86"/>
      <c r="P335" s="86"/>
      <c r="Q335" s="706"/>
      <c r="R335" s="2"/>
      <c r="S335" s="705">
        <f ca="1">SUMIF($K$7:Q$7,"&lt;="&amp;$I$7,K335:P335)</f>
        <v>0</v>
      </c>
      <c r="T335" s="763"/>
      <c r="U335" s="2"/>
      <c r="V335" s="86"/>
      <c r="W335" s="86"/>
      <c r="X335" s="86"/>
      <c r="Y335" s="86"/>
      <c r="Z335" s="86"/>
      <c r="AA335" s="86"/>
      <c r="AB335" s="706"/>
      <c r="AC335" s="2"/>
      <c r="AD335" s="705">
        <f ca="1">SUMIF($V$7:AB$7,"&lt;="&amp;$I$7,V335:AA335)</f>
        <v>0</v>
      </c>
      <c r="AE335" s="763"/>
      <c r="AF335" s="2"/>
      <c r="AG335" s="86"/>
      <c r="AH335" s="86"/>
      <c r="AI335" s="86"/>
      <c r="AJ335" s="86"/>
      <c r="AK335" s="86"/>
      <c r="AL335" s="86"/>
      <c r="AM335" s="706"/>
      <c r="AN335" s="2"/>
      <c r="AO335" s="705">
        <f ca="1">SUMIF($AG$7:AM$7,"&lt;="&amp;$I$7,AG335:AL335)</f>
        <v>0</v>
      </c>
      <c r="AP335" s="763"/>
      <c r="AQ335" s="2"/>
      <c r="AR335" s="86"/>
      <c r="AS335" s="86"/>
      <c r="AT335" s="86"/>
      <c r="AU335" s="86"/>
      <c r="AV335" s="86"/>
      <c r="AW335" s="86"/>
      <c r="AX335" s="706"/>
      <c r="AY335" s="2"/>
      <c r="AZ335" s="705">
        <f ca="1">SUMIF($AR$7:AX$7,"&lt;="&amp;$I$7,AR335:AW335)</f>
        <v>0</v>
      </c>
      <c r="BA335" s="763"/>
      <c r="BB335" s="2"/>
      <c r="BC335" s="86"/>
      <c r="BD335" s="86"/>
      <c r="BE335" s="86"/>
      <c r="BF335" s="86"/>
      <c r="BG335" s="86"/>
      <c r="BH335" s="86"/>
      <c r="BI335" s="706"/>
      <c r="BJ335" s="2"/>
      <c r="BK335" s="705">
        <f ca="1">SUMIF($AR$7:BI$7,"&lt;="&amp;$I$7,BC335:BH335)</f>
        <v>0</v>
      </c>
      <c r="BL335" s="763"/>
      <c r="BM335" s="2"/>
      <c r="BN335" s="922"/>
      <c r="BO335" s="885"/>
      <c r="BP335" s="885"/>
      <c r="BQ335" s="1050"/>
      <c r="BR335" s="2"/>
      <c r="BS335" s="886"/>
      <c r="BT335" s="886"/>
      <c r="BU335" s="886"/>
      <c r="BV335" s="886"/>
      <c r="BW335" s="1051"/>
      <c r="BX335" s="886"/>
      <c r="BY335" s="1053"/>
      <c r="BZ335" s="2"/>
      <c r="CA335" s="886"/>
      <c r="CB335" s="886"/>
      <c r="CC335" s="3"/>
      <c r="CD335" s="19"/>
      <c r="CE335" s="2"/>
      <c r="CH335" s="93"/>
    </row>
    <row r="336" spans="1:86" s="16" customFormat="1" ht="20.25" hidden="1" customHeight="1" outlineLevel="1">
      <c r="A336" s="74"/>
      <c r="B336" s="1064" t="s">
        <v>4006</v>
      </c>
      <c r="C336" s="1023" t="s">
        <v>1437</v>
      </c>
      <c r="D336" s="2"/>
      <c r="E336" s="1004">
        <v>0</v>
      </c>
      <c r="F336" s="2"/>
      <c r="G336" s="49" t="s">
        <v>37</v>
      </c>
      <c r="H336" s="705">
        <f t="shared" si="777"/>
        <v>0</v>
      </c>
      <c r="I336" s="878" t="str">
        <f t="shared" ref="I336" si="854">IFERROR((H337/H336),"-")</f>
        <v>-</v>
      </c>
      <c r="J336" s="2"/>
      <c r="K336" s="705"/>
      <c r="L336" s="705"/>
      <c r="M336" s="705"/>
      <c r="N336" s="705"/>
      <c r="O336" s="705"/>
      <c r="P336" s="705"/>
      <c r="Q336" s="705"/>
      <c r="R336" s="2"/>
      <c r="S336" s="705">
        <f ca="1">SUMIF($K$7:Q$7,"&lt;="&amp;$I$7,K336:P336)</f>
        <v>0</v>
      </c>
      <c r="T336" s="762" t="str">
        <f t="shared" ref="T336" ca="1" si="855">IFERROR((S337/S336),"-")</f>
        <v>-</v>
      </c>
      <c r="U336" s="2"/>
      <c r="V336" s="705"/>
      <c r="W336" s="705"/>
      <c r="X336" s="705"/>
      <c r="Y336" s="705"/>
      <c r="Z336" s="705"/>
      <c r="AA336" s="705"/>
      <c r="AB336" s="705"/>
      <c r="AC336" s="2"/>
      <c r="AD336" s="705">
        <f ca="1">SUMIF($V$7:AB$7,"&lt;="&amp;$I$7,V336:AA336)</f>
        <v>0</v>
      </c>
      <c r="AE336" s="762" t="str">
        <f t="shared" ref="AE336" ca="1" si="856">IFERROR((AD337/AD336),"-")</f>
        <v>-</v>
      </c>
      <c r="AF336" s="2"/>
      <c r="AG336" s="705"/>
      <c r="AH336" s="705"/>
      <c r="AI336" s="705"/>
      <c r="AJ336" s="705"/>
      <c r="AK336" s="705"/>
      <c r="AL336" s="705"/>
      <c r="AM336" s="705"/>
      <c r="AN336" s="2"/>
      <c r="AO336" s="705">
        <f ca="1">SUMIF($AG$7:AM$7,"&lt;="&amp;$I$7,AG336:AL336)</f>
        <v>0</v>
      </c>
      <c r="AP336" s="762" t="str">
        <f t="shared" ref="AP336" ca="1" si="857">IFERROR((AO337/AO336),"-")</f>
        <v>-</v>
      </c>
      <c r="AQ336" s="2"/>
      <c r="AR336" s="705"/>
      <c r="AS336" s="705"/>
      <c r="AT336" s="705"/>
      <c r="AU336" s="705"/>
      <c r="AV336" s="705"/>
      <c r="AW336" s="705"/>
      <c r="AX336" s="705"/>
      <c r="AY336" s="2"/>
      <c r="AZ336" s="705">
        <f ca="1">SUMIF($AR$7:AX$7,"&lt;="&amp;$I$7,AR336:AW336)</f>
        <v>0</v>
      </c>
      <c r="BA336" s="762" t="str">
        <f t="shared" ref="BA336" ca="1" si="858">IFERROR((AZ337/AZ336),"-")</f>
        <v>-</v>
      </c>
      <c r="BB336" s="2"/>
      <c r="BC336" s="705"/>
      <c r="BD336" s="705"/>
      <c r="BE336" s="705"/>
      <c r="BF336" s="705"/>
      <c r="BG336" s="705"/>
      <c r="BH336" s="705"/>
      <c r="BI336" s="705"/>
      <c r="BJ336" s="2"/>
      <c r="BK336" s="705">
        <f ca="1">SUMIF($AR$7:BI$7,"&lt;="&amp;$I$7,BC336:BH336)</f>
        <v>0</v>
      </c>
      <c r="BL336" s="762" t="str">
        <f t="shared" ref="BL336" ca="1" si="859">IFERROR((BK337/BK336),"-")</f>
        <v>-</v>
      </c>
      <c r="BM336" s="2"/>
      <c r="BN336" s="921"/>
      <c r="BO336" s="884"/>
      <c r="BP336" s="884"/>
      <c r="BQ336" s="878" t="str">
        <f t="shared" ref="BQ336" si="860">IFERROR((BP336/BO336),"-")</f>
        <v>-</v>
      </c>
      <c r="BR336" s="2"/>
      <c r="BS336" s="884"/>
      <c r="BT336" s="884"/>
      <c r="BU336" s="884">
        <v>0</v>
      </c>
      <c r="BV336" s="884">
        <v>104</v>
      </c>
      <c r="BW336" s="1004">
        <f>IFERROR((BU336/BV336),"-")</f>
        <v>0</v>
      </c>
      <c r="BX336" s="884">
        <v>0</v>
      </c>
      <c r="BY336" s="878" t="str">
        <f>IFERROR((BU336/BX336),"-")</f>
        <v>-</v>
      </c>
      <c r="BZ336" s="2"/>
      <c r="CA336" s="884">
        <v>1</v>
      </c>
      <c r="CB336" s="884">
        <f>CA336-BU336</f>
        <v>1</v>
      </c>
      <c r="CC336" s="2"/>
      <c r="CD336" s="84">
        <f>IFERROR(AVERAGEIF($V$7:AB$7,"&lt;="&amp;$I$7,V336:AB336),0)</f>
        <v>0</v>
      </c>
      <c r="CE336" s="2"/>
      <c r="CH336" s="93" t="str">
        <f>IF(B336&lt;&gt;"",B336,CH334)</f>
        <v>BLOCO P4</v>
      </c>
    </row>
    <row r="337" spans="1:86" s="16" customFormat="1" ht="19.7" hidden="1" customHeight="1" outlineLevel="1">
      <c r="A337" s="74"/>
      <c r="B337" s="1065"/>
      <c r="C337" s="1023"/>
      <c r="D337" s="2"/>
      <c r="E337" s="1024"/>
      <c r="F337" s="2"/>
      <c r="G337" s="50" t="s">
        <v>38</v>
      </c>
      <c r="H337" s="705">
        <f t="shared" si="777"/>
        <v>0</v>
      </c>
      <c r="I337" s="879"/>
      <c r="J337" s="2"/>
      <c r="K337" s="86"/>
      <c r="L337" s="86"/>
      <c r="M337" s="86"/>
      <c r="N337" s="86"/>
      <c r="O337" s="86"/>
      <c r="P337" s="86"/>
      <c r="Q337" s="706"/>
      <c r="R337" s="2"/>
      <c r="S337" s="705">
        <f ca="1">SUMIF($K$7:Q$7,"&lt;="&amp;$I$7,K337:P337)</f>
        <v>0</v>
      </c>
      <c r="T337" s="763"/>
      <c r="U337" s="2"/>
      <c r="V337" s="86"/>
      <c r="W337" s="86"/>
      <c r="X337" s="86"/>
      <c r="Y337" s="86"/>
      <c r="Z337" s="86"/>
      <c r="AA337" s="86"/>
      <c r="AB337" s="706"/>
      <c r="AC337" s="2"/>
      <c r="AD337" s="705">
        <f ca="1">SUMIF($V$7:AB$7,"&lt;="&amp;$I$7,V337:AA337)</f>
        <v>0</v>
      </c>
      <c r="AE337" s="763"/>
      <c r="AF337" s="2"/>
      <c r="AG337" s="86"/>
      <c r="AH337" s="86"/>
      <c r="AI337" s="86"/>
      <c r="AJ337" s="86"/>
      <c r="AK337" s="86"/>
      <c r="AL337" s="86"/>
      <c r="AM337" s="706"/>
      <c r="AN337" s="2"/>
      <c r="AO337" s="705">
        <f ca="1">SUMIF($AG$7:AM$7,"&lt;="&amp;$I$7,AG337:AL337)</f>
        <v>0</v>
      </c>
      <c r="AP337" s="763"/>
      <c r="AQ337" s="2"/>
      <c r="AR337" s="86"/>
      <c r="AS337" s="86"/>
      <c r="AT337" s="86"/>
      <c r="AU337" s="86"/>
      <c r="AV337" s="86"/>
      <c r="AW337" s="86"/>
      <c r="AX337" s="706"/>
      <c r="AY337" s="2"/>
      <c r="AZ337" s="705">
        <f ca="1">SUMIF($AR$7:AX$7,"&lt;="&amp;$I$7,AR337:AW337)</f>
        <v>0</v>
      </c>
      <c r="BA337" s="763"/>
      <c r="BB337" s="2"/>
      <c r="BC337" s="86"/>
      <c r="BD337" s="86"/>
      <c r="BE337" s="86"/>
      <c r="BF337" s="86"/>
      <c r="BG337" s="86"/>
      <c r="BH337" s="86"/>
      <c r="BI337" s="706"/>
      <c r="BJ337" s="2"/>
      <c r="BK337" s="705">
        <f ca="1">SUMIF($AR$7:BI$7,"&lt;="&amp;$I$7,BC337:BH337)</f>
        <v>0</v>
      </c>
      <c r="BL337" s="763"/>
      <c r="BM337" s="2"/>
      <c r="BN337" s="922"/>
      <c r="BO337" s="885"/>
      <c r="BP337" s="885"/>
      <c r="BQ337" s="1050"/>
      <c r="BR337" s="2"/>
      <c r="BS337" s="886"/>
      <c r="BT337" s="886"/>
      <c r="BU337" s="886"/>
      <c r="BV337" s="886"/>
      <c r="BW337" s="1051"/>
      <c r="BX337" s="886"/>
      <c r="BY337" s="1053"/>
      <c r="BZ337" s="2"/>
      <c r="CA337" s="886"/>
      <c r="CB337" s="886"/>
      <c r="CC337" s="2"/>
      <c r="CD337" s="84">
        <f>IFERROR(AVERAGEIF($V$7:AB$7,"&lt;="&amp;$I$7,V337:AB337),0)</f>
        <v>0</v>
      </c>
      <c r="CE337" s="2"/>
      <c r="CH337" s="93" t="str">
        <f t="shared" si="759"/>
        <v>BLOCO P4</v>
      </c>
    </row>
    <row r="338" spans="1:86" s="16" customFormat="1" ht="22.35" hidden="1" customHeight="1" outlineLevel="1">
      <c r="A338" s="74"/>
      <c r="B338" s="1064" t="s">
        <v>4007</v>
      </c>
      <c r="C338" s="1023" t="s">
        <v>1437</v>
      </c>
      <c r="D338" s="2"/>
      <c r="E338" s="1004">
        <v>0</v>
      </c>
      <c r="F338" s="2"/>
      <c r="G338" s="49" t="s">
        <v>37</v>
      </c>
      <c r="H338" s="705">
        <f t="shared" si="777"/>
        <v>0</v>
      </c>
      <c r="I338" s="878" t="str">
        <f t="shared" ref="I338" si="861">IFERROR((H339/H338),"-")</f>
        <v>-</v>
      </c>
      <c r="J338" s="2"/>
      <c r="K338" s="705"/>
      <c r="L338" s="705"/>
      <c r="M338" s="705"/>
      <c r="N338" s="705"/>
      <c r="O338" s="705"/>
      <c r="P338" s="705"/>
      <c r="Q338" s="705"/>
      <c r="R338" s="2"/>
      <c r="S338" s="705">
        <f ca="1">SUMIF($K$7:Q$7,"&lt;="&amp;$I$7,K338:P338)</f>
        <v>0</v>
      </c>
      <c r="T338" s="762" t="str">
        <f t="shared" ref="T338" ca="1" si="862">IFERROR((S339/S338),"-")</f>
        <v>-</v>
      </c>
      <c r="U338" s="2"/>
      <c r="V338" s="705"/>
      <c r="W338" s="705"/>
      <c r="X338" s="705"/>
      <c r="Y338" s="705"/>
      <c r="Z338" s="705"/>
      <c r="AA338" s="705"/>
      <c r="AB338" s="705"/>
      <c r="AC338" s="2"/>
      <c r="AD338" s="705">
        <f ca="1">SUMIF($V$7:AB$7,"&lt;="&amp;$I$7,V338:AA338)</f>
        <v>0</v>
      </c>
      <c r="AE338" s="762" t="str">
        <f t="shared" ref="AE338" ca="1" si="863">IFERROR((AD339/AD338),"-")</f>
        <v>-</v>
      </c>
      <c r="AF338" s="2"/>
      <c r="AG338" s="705"/>
      <c r="AH338" s="705"/>
      <c r="AI338" s="705"/>
      <c r="AJ338" s="705"/>
      <c r="AK338" s="705"/>
      <c r="AL338" s="705"/>
      <c r="AM338" s="705"/>
      <c r="AN338" s="2"/>
      <c r="AO338" s="705">
        <f ca="1">SUMIF($AG$7:AM$7,"&lt;="&amp;$I$7,AG338:AL338)</f>
        <v>0</v>
      </c>
      <c r="AP338" s="762" t="str">
        <f t="shared" ref="AP338" ca="1" si="864">IFERROR((AO339/AO338),"-")</f>
        <v>-</v>
      </c>
      <c r="AQ338" s="2"/>
      <c r="AR338" s="705"/>
      <c r="AS338" s="705"/>
      <c r="AT338" s="705"/>
      <c r="AU338" s="705"/>
      <c r="AV338" s="705"/>
      <c r="AW338" s="705"/>
      <c r="AX338" s="705"/>
      <c r="AY338" s="2"/>
      <c r="AZ338" s="705">
        <f ca="1">SUMIF($AR$7:AX$7,"&lt;="&amp;$I$7,AR338:AW338)</f>
        <v>0</v>
      </c>
      <c r="BA338" s="762" t="str">
        <f t="shared" ref="BA338" ca="1" si="865">IFERROR((AZ339/AZ338),"-")</f>
        <v>-</v>
      </c>
      <c r="BB338" s="2"/>
      <c r="BC338" s="705"/>
      <c r="BD338" s="705"/>
      <c r="BE338" s="705"/>
      <c r="BF338" s="705"/>
      <c r="BG338" s="705"/>
      <c r="BH338" s="705"/>
      <c r="BI338" s="705"/>
      <c r="BJ338" s="2"/>
      <c r="BK338" s="705">
        <f ca="1">SUMIF($AR$7:BI$7,"&lt;="&amp;$I$7,BC338:BH338)</f>
        <v>0</v>
      </c>
      <c r="BL338" s="762" t="str">
        <f t="shared" ref="BL338" ca="1" si="866">IFERROR((BK339/BK338),"-")</f>
        <v>-</v>
      </c>
      <c r="BM338" s="2"/>
      <c r="BN338" s="921"/>
      <c r="BO338" s="884"/>
      <c r="BP338" s="884"/>
      <c r="BQ338" s="878" t="str">
        <f t="shared" ref="BQ338" si="867">IFERROR((BP338/BO338),"-")</f>
        <v>-</v>
      </c>
      <c r="BR338" s="2"/>
      <c r="BS338" s="884"/>
      <c r="BT338" s="884"/>
      <c r="BU338" s="884">
        <v>0</v>
      </c>
      <c r="BV338" s="884">
        <v>104</v>
      </c>
      <c r="BW338" s="1004">
        <f>IFERROR((BU338/BV338),"-")</f>
        <v>0</v>
      </c>
      <c r="BX338" s="884">
        <v>0</v>
      </c>
      <c r="BY338" s="878" t="str">
        <f>IFERROR((BU338/BX338),"-")</f>
        <v>-</v>
      </c>
      <c r="BZ338" s="2"/>
      <c r="CA338" s="884">
        <v>1</v>
      </c>
      <c r="CB338" s="884">
        <f>CA338-BU338</f>
        <v>1</v>
      </c>
      <c r="CC338" s="2"/>
      <c r="CD338" s="504">
        <f>IFERROR(AVERAGEIF($V$7:AB$7,"&lt;="&amp;$I$7,V338:AB338),0)</f>
        <v>0</v>
      </c>
      <c r="CE338" s="2"/>
      <c r="CH338" s="93" t="str">
        <f t="shared" si="759"/>
        <v>BLOCO P5</v>
      </c>
    </row>
    <row r="339" spans="1:86" s="21" customFormat="1" ht="22.35" hidden="1" customHeight="1" outlineLevel="1">
      <c r="A339" s="74"/>
      <c r="B339" s="1065"/>
      <c r="C339" s="1023"/>
      <c r="D339" s="2"/>
      <c r="E339" s="1024"/>
      <c r="F339" s="2"/>
      <c r="G339" s="50" t="s">
        <v>38</v>
      </c>
      <c r="H339" s="705">
        <f t="shared" si="777"/>
        <v>0</v>
      </c>
      <c r="I339" s="879"/>
      <c r="J339" s="2"/>
      <c r="K339" s="86"/>
      <c r="L339" s="86"/>
      <c r="M339" s="86"/>
      <c r="N339" s="86"/>
      <c r="O339" s="86"/>
      <c r="P339" s="86"/>
      <c r="Q339" s="706"/>
      <c r="R339" s="2"/>
      <c r="S339" s="705">
        <f ca="1">SUMIF($K$7:Q$7,"&lt;="&amp;$I$7,K339:P339)</f>
        <v>0</v>
      </c>
      <c r="T339" s="763"/>
      <c r="U339" s="2"/>
      <c r="V339" s="86"/>
      <c r="W339" s="86"/>
      <c r="X339" s="86"/>
      <c r="Y339" s="86"/>
      <c r="Z339" s="86"/>
      <c r="AA339" s="86"/>
      <c r="AB339" s="706"/>
      <c r="AC339" s="2"/>
      <c r="AD339" s="705">
        <f ca="1">SUMIF($V$7:AB$7,"&lt;="&amp;$I$7,V339:AA339)</f>
        <v>0</v>
      </c>
      <c r="AE339" s="763"/>
      <c r="AF339" s="2"/>
      <c r="AG339" s="86"/>
      <c r="AH339" s="86"/>
      <c r="AI339" s="86"/>
      <c r="AJ339" s="86"/>
      <c r="AK339" s="86"/>
      <c r="AL339" s="86"/>
      <c r="AM339" s="706"/>
      <c r="AN339" s="2"/>
      <c r="AO339" s="705">
        <f ca="1">SUMIF($AG$7:AM$7,"&lt;="&amp;$I$7,AG339:AL339)</f>
        <v>0</v>
      </c>
      <c r="AP339" s="763"/>
      <c r="AQ339" s="2"/>
      <c r="AR339" s="86"/>
      <c r="AS339" s="86"/>
      <c r="AT339" s="86"/>
      <c r="AU339" s="86"/>
      <c r="AV339" s="86"/>
      <c r="AW339" s="86"/>
      <c r="AX339" s="706"/>
      <c r="AY339" s="2"/>
      <c r="AZ339" s="705">
        <f ca="1">SUMIF($AR$7:AX$7,"&lt;="&amp;$I$7,AR339:AW339)</f>
        <v>0</v>
      </c>
      <c r="BA339" s="763"/>
      <c r="BB339" s="2"/>
      <c r="BC339" s="86"/>
      <c r="BD339" s="86"/>
      <c r="BE339" s="86"/>
      <c r="BF339" s="86"/>
      <c r="BG339" s="86"/>
      <c r="BH339" s="86"/>
      <c r="BI339" s="706"/>
      <c r="BJ339" s="2"/>
      <c r="BK339" s="705">
        <f ca="1">SUMIF($AR$7:BI$7,"&lt;="&amp;$I$7,BC339:BH339)</f>
        <v>0</v>
      </c>
      <c r="BL339" s="763"/>
      <c r="BM339" s="2"/>
      <c r="BN339" s="922"/>
      <c r="BO339" s="885"/>
      <c r="BP339" s="885"/>
      <c r="BQ339" s="1050"/>
      <c r="BR339" s="2"/>
      <c r="BS339" s="886"/>
      <c r="BT339" s="886"/>
      <c r="BU339" s="886"/>
      <c r="BV339" s="886"/>
      <c r="BW339" s="1051"/>
      <c r="BX339" s="886"/>
      <c r="BY339" s="1053"/>
      <c r="BZ339" s="2"/>
      <c r="CA339" s="886"/>
      <c r="CB339" s="886"/>
      <c r="CC339" s="2"/>
      <c r="CD339" s="504">
        <f>IFERROR(AVERAGEIF($V$7:AB$7,"&lt;="&amp;$I$7,V339:AB339),0)</f>
        <v>0</v>
      </c>
      <c r="CE339" s="2"/>
      <c r="CH339" s="93" t="str">
        <f t="shared" si="759"/>
        <v>BLOCO P5</v>
      </c>
    </row>
    <row r="340" spans="1:86" s="16" customFormat="1" ht="22.35" customHeight="1" collapsed="1">
      <c r="A340" s="73"/>
      <c r="B340" s="1045" t="s">
        <v>4010</v>
      </c>
      <c r="C340" s="740" t="s">
        <v>1437</v>
      </c>
      <c r="D340" s="2"/>
      <c r="E340" s="1019">
        <v>6</v>
      </c>
      <c r="F340" s="2"/>
      <c r="G340" s="53" t="s">
        <v>37</v>
      </c>
      <c r="H340" s="52">
        <f t="shared" si="777"/>
        <v>0</v>
      </c>
      <c r="I340" s="743" t="str">
        <f t="shared" ref="I340" si="868">IFERROR((H341/H340),"-")</f>
        <v>-</v>
      </c>
      <c r="J340" s="2"/>
      <c r="K340" s="52"/>
      <c r="L340" s="52"/>
      <c r="M340" s="52"/>
      <c r="N340" s="52"/>
      <c r="O340" s="52"/>
      <c r="P340" s="52"/>
      <c r="Q340" s="52"/>
      <c r="R340" s="2"/>
      <c r="S340" s="52">
        <f ca="1">SUMIF($K$7:Q$7,"&lt;="&amp;$I$7,K340:P340)</f>
        <v>0</v>
      </c>
      <c r="T340" s="743" t="str">
        <f t="shared" ref="T340" ca="1" si="869">IFERROR((S341/S340),"-")</f>
        <v>-</v>
      </c>
      <c r="U340" s="2"/>
      <c r="V340" s="52">
        <f>SUMIF($G$342:$G$349,$G$340,V342:V349)</f>
        <v>0</v>
      </c>
      <c r="W340" s="52">
        <f t="shared" ref="W340:AA340" si="870">SUMIF($G$342:$G$349,$G$340,W342:W349)</f>
        <v>0</v>
      </c>
      <c r="X340" s="52">
        <f t="shared" si="870"/>
        <v>0</v>
      </c>
      <c r="Y340" s="52">
        <f t="shared" si="870"/>
        <v>0</v>
      </c>
      <c r="Z340" s="52">
        <f t="shared" si="870"/>
        <v>0</v>
      </c>
      <c r="AA340" s="52">
        <f t="shared" si="870"/>
        <v>0</v>
      </c>
      <c r="AB340" s="52"/>
      <c r="AC340" s="2"/>
      <c r="AD340" s="52">
        <f>SUMIF($V$7:AB$7,"&lt;="&amp;$I$7,V340:AB340)</f>
        <v>0</v>
      </c>
      <c r="AE340" s="743" t="str">
        <f t="shared" ref="AE340" si="871">IFERROR((AD341/AD340),"-")</f>
        <v>-</v>
      </c>
      <c r="AF340" s="2"/>
      <c r="AG340" s="52">
        <f>SUMIF($G$342:$G$349,$G$340,AG342:AG349)</f>
        <v>0</v>
      </c>
      <c r="AH340" s="52">
        <f t="shared" ref="AH340:AL340" si="872">SUMIF($G$342:$G$349,$G$340,AH342:AH349)</f>
        <v>0</v>
      </c>
      <c r="AI340" s="52">
        <f t="shared" si="872"/>
        <v>0</v>
      </c>
      <c r="AJ340" s="52">
        <f t="shared" si="872"/>
        <v>0</v>
      </c>
      <c r="AK340" s="52">
        <f t="shared" si="872"/>
        <v>0</v>
      </c>
      <c r="AL340" s="52">
        <f t="shared" si="872"/>
        <v>0</v>
      </c>
      <c r="AM340" s="52"/>
      <c r="AN340" s="2"/>
      <c r="AO340" s="52">
        <f ca="1">SUMIF($AG$7:AM$7,"&lt;="&amp;$I$7,AG340:AL340)</f>
        <v>0</v>
      </c>
      <c r="AP340" s="743" t="str">
        <f t="shared" ref="AP340" ca="1" si="873">IFERROR((AO341/AO340),"-")</f>
        <v>-</v>
      </c>
      <c r="AQ340" s="2"/>
      <c r="AR340" s="52">
        <f t="shared" ref="AR340:AW340" si="874">SUMIF($G$342:$G$349,$G$340,AR342:AR349)</f>
        <v>0</v>
      </c>
      <c r="AS340" s="52">
        <f t="shared" si="874"/>
        <v>0</v>
      </c>
      <c r="AT340" s="52">
        <f t="shared" si="874"/>
        <v>0</v>
      </c>
      <c r="AU340" s="52">
        <f t="shared" si="874"/>
        <v>0</v>
      </c>
      <c r="AV340" s="52">
        <f t="shared" si="874"/>
        <v>0</v>
      </c>
      <c r="AW340" s="52">
        <f t="shared" si="874"/>
        <v>0</v>
      </c>
      <c r="AX340" s="52"/>
      <c r="AY340" s="2"/>
      <c r="AZ340" s="52">
        <f ca="1">SUMIF($AR$7:AX$7,"&lt;="&amp;$I$7,AR340:AW340)</f>
        <v>0</v>
      </c>
      <c r="BA340" s="743" t="str">
        <f t="shared" ref="BA340" ca="1" si="875">IFERROR((AZ341/AZ340),"-")</f>
        <v>-</v>
      </c>
      <c r="BB340" s="2"/>
      <c r="BC340" s="52">
        <f t="shared" ref="BC340:BH340" si="876">SUMIF($G$342:$G$349,$G$340,BC342:BC349)</f>
        <v>0</v>
      </c>
      <c r="BD340" s="52">
        <f t="shared" si="876"/>
        <v>0</v>
      </c>
      <c r="BE340" s="52">
        <f t="shared" si="876"/>
        <v>0</v>
      </c>
      <c r="BF340" s="52">
        <f t="shared" si="876"/>
        <v>0</v>
      </c>
      <c r="BG340" s="52">
        <f t="shared" si="876"/>
        <v>0</v>
      </c>
      <c r="BH340" s="52">
        <f t="shared" si="876"/>
        <v>0</v>
      </c>
      <c r="BI340" s="52"/>
      <c r="BJ340" s="2"/>
      <c r="BK340" s="52">
        <f ca="1">SUMIF($BC$7:BI$7,"&lt;="&amp;$I$7,BC340:BH340)</f>
        <v>0</v>
      </c>
      <c r="BL340" s="743" t="str">
        <f t="shared" ref="BL340" ca="1" si="877">IFERROR((BK341/BK340),"-")</f>
        <v>-</v>
      </c>
      <c r="BM340" s="2"/>
      <c r="BN340" s="888"/>
      <c r="BO340" s="888"/>
      <c r="BP340" s="888"/>
      <c r="BQ340" s="743" t="str">
        <f t="shared" ref="BQ340" si="878">IFERROR((BP340/BO340),"-")</f>
        <v>-</v>
      </c>
      <c r="BR340" s="2"/>
      <c r="BS340" s="888"/>
      <c r="BT340" s="888"/>
      <c r="BU340" s="888">
        <v>6</v>
      </c>
      <c r="BV340" s="888">
        <v>104</v>
      </c>
      <c r="BW340" s="1019">
        <f>IFERROR((BU340/BV340),"-")</f>
        <v>5.7692307692307696E-2</v>
      </c>
      <c r="BX340" s="888">
        <v>6</v>
      </c>
      <c r="BY340" s="743">
        <f>IFERROR((BU340/BX340),"-")</f>
        <v>1</v>
      </c>
      <c r="BZ340" s="2"/>
      <c r="CA340" s="888">
        <v>6</v>
      </c>
      <c r="CB340" s="888">
        <f>CA340-BU340</f>
        <v>0</v>
      </c>
      <c r="CC340" s="2"/>
      <c r="CD340" s="504">
        <f>IFERROR(AVERAGEIF($V$7:AB$7,"&lt;="&amp;$I$7,V340:AB340),0)</f>
        <v>0</v>
      </c>
      <c r="CE340" s="2"/>
      <c r="CH340" s="93" t="str">
        <f t="shared" si="759"/>
        <v xml:space="preserve">Concretagem dos Blocos </v>
      </c>
    </row>
    <row r="341" spans="1:86" s="21" customFormat="1" ht="22.35" customHeight="1">
      <c r="A341" s="74"/>
      <c r="B341" s="1045"/>
      <c r="C341" s="740"/>
      <c r="D341" s="2"/>
      <c r="E341" s="1060"/>
      <c r="F341" s="2"/>
      <c r="G341" s="54" t="s">
        <v>38</v>
      </c>
      <c r="H341" s="52">
        <f t="shared" si="777"/>
        <v>0</v>
      </c>
      <c r="I341" s="744"/>
      <c r="J341" s="2"/>
      <c r="K341" s="75"/>
      <c r="L341" s="75"/>
      <c r="M341" s="75"/>
      <c r="N341" s="75"/>
      <c r="O341" s="75"/>
      <c r="P341" s="75"/>
      <c r="Q341" s="52"/>
      <c r="R341" s="2"/>
      <c r="S341" s="52">
        <f ca="1">SUMIF($K$7:Q$7,"&lt;="&amp;$I$7,K341:P341)</f>
        <v>0</v>
      </c>
      <c r="T341" s="744"/>
      <c r="U341" s="2"/>
      <c r="V341" s="52">
        <f>SUMIF($G$342:$G$349,$G$341,V342:V349)</f>
        <v>0</v>
      </c>
      <c r="W341" s="52">
        <f t="shared" ref="W341:AA341" si="879">SUMIF($G$342:$G$349,$G$341,W342:W349)</f>
        <v>0</v>
      </c>
      <c r="X341" s="52">
        <f t="shared" si="879"/>
        <v>0</v>
      </c>
      <c r="Y341" s="52">
        <f t="shared" si="879"/>
        <v>0</v>
      </c>
      <c r="Z341" s="52">
        <f t="shared" si="879"/>
        <v>0</v>
      </c>
      <c r="AA341" s="52">
        <f t="shared" si="879"/>
        <v>0</v>
      </c>
      <c r="AB341" s="52"/>
      <c r="AC341" s="2"/>
      <c r="AD341" s="52">
        <f>SUMIF($V$7:AB$7,"&lt;="&amp;$I$7,V341:AB341)</f>
        <v>0</v>
      </c>
      <c r="AE341" s="744"/>
      <c r="AF341" s="2"/>
      <c r="AG341" s="52">
        <f>SUMIF($G$342:$G$349,$G$341,AG342:AG349)</f>
        <v>0</v>
      </c>
      <c r="AH341" s="52">
        <f t="shared" ref="AH341:AL341" si="880">SUMIF($G$342:$G$349,$G$341,AH342:AH349)</f>
        <v>0</v>
      </c>
      <c r="AI341" s="52">
        <f t="shared" si="880"/>
        <v>0</v>
      </c>
      <c r="AJ341" s="52">
        <f t="shared" si="880"/>
        <v>0</v>
      </c>
      <c r="AK341" s="52">
        <f t="shared" si="880"/>
        <v>0</v>
      </c>
      <c r="AL341" s="52">
        <f t="shared" si="880"/>
        <v>0</v>
      </c>
      <c r="AM341" s="52"/>
      <c r="AN341" s="2"/>
      <c r="AO341" s="52">
        <f ca="1">SUMIF($AG$7:AM$7,"&lt;="&amp;$I$7,AG341:AL341)</f>
        <v>0</v>
      </c>
      <c r="AP341" s="744"/>
      <c r="AQ341" s="2"/>
      <c r="AR341" s="75">
        <f>SUMIF($G$342:$G$349,$G$341,AR342:AR349)</f>
        <v>0</v>
      </c>
      <c r="AS341" s="75">
        <f t="shared" ref="AS341:AW341" si="881">SUMIF($G$342:$G$349,$G$341,AS342:AS349)</f>
        <v>0</v>
      </c>
      <c r="AT341" s="75">
        <f t="shared" si="881"/>
        <v>0</v>
      </c>
      <c r="AU341" s="75">
        <f t="shared" si="881"/>
        <v>0</v>
      </c>
      <c r="AV341" s="75">
        <f t="shared" si="881"/>
        <v>0</v>
      </c>
      <c r="AW341" s="75">
        <f t="shared" si="881"/>
        <v>0</v>
      </c>
      <c r="AX341" s="52"/>
      <c r="AY341" s="2"/>
      <c r="AZ341" s="52">
        <f ca="1">SUMIF($AR$7:AX$7,"&lt;="&amp;$I$7,AR341:AW341)</f>
        <v>0</v>
      </c>
      <c r="BA341" s="744"/>
      <c r="BB341" s="2"/>
      <c r="BC341" s="75">
        <f>SUMIF($G$342:$G$349,$G$341,BC342:BC349)</f>
        <v>0</v>
      </c>
      <c r="BD341" s="75">
        <f t="shared" ref="BD341:BH341" si="882">SUMIF($G$342:$G$349,$G$341,BD342:BD349)</f>
        <v>0</v>
      </c>
      <c r="BE341" s="75">
        <f t="shared" si="882"/>
        <v>0</v>
      </c>
      <c r="BF341" s="75">
        <f t="shared" si="882"/>
        <v>0</v>
      </c>
      <c r="BG341" s="75">
        <f t="shared" si="882"/>
        <v>0</v>
      </c>
      <c r="BH341" s="75">
        <f t="shared" si="882"/>
        <v>0</v>
      </c>
      <c r="BI341" s="52"/>
      <c r="BJ341" s="2"/>
      <c r="BK341" s="52">
        <f ca="1">SUMIF($BC$7:BI$7,"&lt;="&amp;$I$7,BC341:BH341)</f>
        <v>0</v>
      </c>
      <c r="BL341" s="744"/>
      <c r="BM341" s="2"/>
      <c r="BN341" s="888"/>
      <c r="BO341" s="889"/>
      <c r="BP341" s="888"/>
      <c r="BQ341" s="744"/>
      <c r="BR341" s="2"/>
      <c r="BS341" s="888"/>
      <c r="BT341" s="888"/>
      <c r="BU341" s="888"/>
      <c r="BV341" s="888"/>
      <c r="BW341" s="1019"/>
      <c r="BX341" s="888"/>
      <c r="BY341" s="743"/>
      <c r="BZ341" s="2"/>
      <c r="CA341" s="888"/>
      <c r="CB341" s="888"/>
      <c r="CC341" s="2"/>
      <c r="CD341" s="504">
        <f>IFERROR(AVERAGEIF($V$7:AB$7,"&lt;="&amp;$I$7,V341:AB341),0)</f>
        <v>0</v>
      </c>
      <c r="CE341" s="2"/>
      <c r="CH341" s="93" t="str">
        <f t="shared" si="759"/>
        <v xml:space="preserve">Concretagem dos Blocos </v>
      </c>
    </row>
    <row r="342" spans="1:86" s="16" customFormat="1" ht="22.35" hidden="1" customHeight="1" outlineLevel="1">
      <c r="A342" s="74"/>
      <c r="B342" s="1062" t="s">
        <v>4005</v>
      </c>
      <c r="C342" s="1023" t="s">
        <v>1437</v>
      </c>
      <c r="D342" s="2"/>
      <c r="E342" s="1004">
        <v>0</v>
      </c>
      <c r="F342" s="2"/>
      <c r="G342" s="49" t="s">
        <v>37</v>
      </c>
      <c r="H342" s="705">
        <f t="shared" si="777"/>
        <v>0</v>
      </c>
      <c r="I342" s="878" t="str">
        <f t="shared" ref="I342" si="883">IFERROR((H343/H342),"-")</f>
        <v>-</v>
      </c>
      <c r="J342" s="2"/>
      <c r="K342" s="705"/>
      <c r="L342" s="705"/>
      <c r="M342" s="705"/>
      <c r="N342" s="705"/>
      <c r="O342" s="705"/>
      <c r="P342" s="705"/>
      <c r="Q342" s="705"/>
      <c r="R342" s="2"/>
      <c r="S342" s="705">
        <f ca="1">SUMIF($K$7:Q$7,"&lt;="&amp;$I$7,K342:P342)</f>
        <v>0</v>
      </c>
      <c r="T342" s="762" t="str">
        <f t="shared" ref="T342" ca="1" si="884">IFERROR((S343/S342),"-")</f>
        <v>-</v>
      </c>
      <c r="U342" s="2"/>
      <c r="V342" s="705"/>
      <c r="W342" s="705"/>
      <c r="X342" s="705"/>
      <c r="Y342" s="705"/>
      <c r="Z342" s="705"/>
      <c r="AA342" s="705"/>
      <c r="AB342" s="705"/>
      <c r="AC342" s="2"/>
      <c r="AD342" s="705">
        <f ca="1">SUMIF($V$7:AB$7,"&lt;="&amp;$I$7,V342:AA342)</f>
        <v>0</v>
      </c>
      <c r="AE342" s="762" t="str">
        <f t="shared" ref="AE342" ca="1" si="885">IFERROR((AD343/AD342),"-")</f>
        <v>-</v>
      </c>
      <c r="AF342" s="2"/>
      <c r="AG342" s="705"/>
      <c r="AH342" s="705"/>
      <c r="AI342" s="705"/>
      <c r="AJ342" s="705"/>
      <c r="AK342" s="705"/>
      <c r="AL342" s="705"/>
      <c r="AM342" s="705"/>
      <c r="AN342" s="2"/>
      <c r="AO342" s="705">
        <f ca="1">SUMIF($AG$7:AM$7,"&lt;="&amp;$I$7,AG342:AL342)</f>
        <v>0</v>
      </c>
      <c r="AP342" s="762" t="str">
        <f t="shared" ref="AP342" ca="1" si="886">IFERROR((AO343/AO342),"-")</f>
        <v>-</v>
      </c>
      <c r="AQ342" s="2"/>
      <c r="AR342" s="705"/>
      <c r="AS342" s="705"/>
      <c r="AT342" s="705"/>
      <c r="AU342" s="705"/>
      <c r="AV342" s="705"/>
      <c r="AW342" s="705"/>
      <c r="AX342" s="705"/>
      <c r="AY342" s="2"/>
      <c r="AZ342" s="705">
        <f ca="1">SUMIF($AR$7:AX$7,"&lt;="&amp;$I$7,AR342:AW342)</f>
        <v>0</v>
      </c>
      <c r="BA342" s="762" t="str">
        <f t="shared" ref="BA342" ca="1" si="887">IFERROR((AZ343/AZ342),"-")</f>
        <v>-</v>
      </c>
      <c r="BB342" s="2"/>
      <c r="BC342" s="705"/>
      <c r="BD342" s="705"/>
      <c r="BE342" s="705"/>
      <c r="BF342" s="705"/>
      <c r="BG342" s="705"/>
      <c r="BH342" s="705"/>
      <c r="BI342" s="705"/>
      <c r="BJ342" s="2"/>
      <c r="BK342" s="705">
        <f ca="1">SUMIF($AR$7:BI$7,"&lt;="&amp;$I$7,BC342:BH342)</f>
        <v>0</v>
      </c>
      <c r="BL342" s="762" t="str">
        <f t="shared" ref="BL342" ca="1" si="888">IFERROR((BK343/BK342),"-")</f>
        <v>-</v>
      </c>
      <c r="BM342" s="2"/>
      <c r="BN342" s="921">
        <v>0</v>
      </c>
      <c r="BO342" s="884">
        <v>0</v>
      </c>
      <c r="BP342" s="884">
        <f>SUM(K343:P343,V343:AB343,AG343:AM343,AR343:AX343)</f>
        <v>0</v>
      </c>
      <c r="BQ342" s="878" t="str">
        <f t="shared" ref="BQ342" si="889">IFERROR((BP342/BO342),"-")</f>
        <v>-</v>
      </c>
      <c r="BR342" s="2"/>
      <c r="BS342" s="884"/>
      <c r="BT342" s="884"/>
      <c r="BU342" s="884">
        <v>0</v>
      </c>
      <c r="BV342" s="884">
        <v>104</v>
      </c>
      <c r="BW342" s="1004">
        <f>IFERROR((BU342/BV342),"-")</f>
        <v>0</v>
      </c>
      <c r="BX342" s="884">
        <v>0</v>
      </c>
      <c r="BY342" s="878" t="str">
        <f>IFERROR((BU342/BX342),"-")</f>
        <v>-</v>
      </c>
      <c r="BZ342" s="2"/>
      <c r="CA342" s="884">
        <v>1</v>
      </c>
      <c r="CB342" s="884">
        <f>CA342-BU342</f>
        <v>1</v>
      </c>
      <c r="CC342" s="2"/>
      <c r="CD342" s="504">
        <f>IFERROR(AVERAGEIF($V$7:AB$7,"&lt;="&amp;$I$7,V342:AB342),0)</f>
        <v>0</v>
      </c>
      <c r="CE342" s="2"/>
      <c r="CH342" s="93" t="str">
        <f t="shared" si="759"/>
        <v>BLOCO P3</v>
      </c>
    </row>
    <row r="343" spans="1:86" s="21" customFormat="1" ht="22.35" hidden="1" customHeight="1" outlineLevel="1">
      <c r="A343" s="74"/>
      <c r="B343" s="1063"/>
      <c r="C343" s="1023"/>
      <c r="D343" s="2"/>
      <c r="E343" s="1024"/>
      <c r="F343" s="2"/>
      <c r="G343" s="50" t="s">
        <v>38</v>
      </c>
      <c r="H343" s="705">
        <f t="shared" si="777"/>
        <v>0</v>
      </c>
      <c r="I343" s="879"/>
      <c r="J343" s="2"/>
      <c r="K343" s="86"/>
      <c r="L343" s="86"/>
      <c r="M343" s="86"/>
      <c r="N343" s="86"/>
      <c r="O343" s="86"/>
      <c r="P343" s="86"/>
      <c r="Q343" s="706"/>
      <c r="R343" s="2"/>
      <c r="S343" s="705">
        <f ca="1">SUMIF($K$7:Q$7,"&lt;="&amp;$I$7,K343:P343)</f>
        <v>0</v>
      </c>
      <c r="T343" s="763"/>
      <c r="U343" s="2"/>
      <c r="V343" s="86"/>
      <c r="W343" s="86"/>
      <c r="X343" s="86"/>
      <c r="Y343" s="86"/>
      <c r="Z343" s="86"/>
      <c r="AA343" s="86"/>
      <c r="AB343" s="706"/>
      <c r="AC343" s="2"/>
      <c r="AD343" s="705">
        <f ca="1">SUMIF($V$7:AB$7,"&lt;="&amp;$I$7,V343:AA343)</f>
        <v>0</v>
      </c>
      <c r="AE343" s="763"/>
      <c r="AF343" s="2"/>
      <c r="AG343" s="86"/>
      <c r="AH343" s="86"/>
      <c r="AI343" s="86"/>
      <c r="AJ343" s="86"/>
      <c r="AK343" s="86"/>
      <c r="AL343" s="86"/>
      <c r="AM343" s="706"/>
      <c r="AN343" s="2"/>
      <c r="AO343" s="705">
        <f ca="1">SUMIF($AG$7:AM$7,"&lt;="&amp;$I$7,AG343:AL343)</f>
        <v>0</v>
      </c>
      <c r="AP343" s="763"/>
      <c r="AQ343" s="2"/>
      <c r="AR343" s="86"/>
      <c r="AS343" s="86"/>
      <c r="AT343" s="86"/>
      <c r="AU343" s="86"/>
      <c r="AV343" s="86"/>
      <c r="AW343" s="86"/>
      <c r="AX343" s="706"/>
      <c r="AY343" s="2"/>
      <c r="AZ343" s="705">
        <f ca="1">SUMIF($AR$7:AX$7,"&lt;="&amp;$I$7,AR343:AW343)</f>
        <v>0</v>
      </c>
      <c r="BA343" s="763"/>
      <c r="BB343" s="2"/>
      <c r="BC343" s="86"/>
      <c r="BD343" s="86"/>
      <c r="BE343" s="86"/>
      <c r="BF343" s="86"/>
      <c r="BG343" s="86"/>
      <c r="BH343" s="86"/>
      <c r="BI343" s="706"/>
      <c r="BJ343" s="2"/>
      <c r="BK343" s="705">
        <f ca="1">SUMIF($AR$7:BI$7,"&lt;="&amp;$I$7,BC343:BH343)</f>
        <v>0</v>
      </c>
      <c r="BL343" s="763"/>
      <c r="BM343" s="2"/>
      <c r="BN343" s="922"/>
      <c r="BO343" s="885"/>
      <c r="BP343" s="885"/>
      <c r="BQ343" s="1050"/>
      <c r="BR343" s="2"/>
      <c r="BS343" s="886"/>
      <c r="BT343" s="886"/>
      <c r="BU343" s="886"/>
      <c r="BV343" s="886"/>
      <c r="BW343" s="1051"/>
      <c r="BX343" s="886"/>
      <c r="BY343" s="1053"/>
      <c r="BZ343" s="2"/>
      <c r="CA343" s="886"/>
      <c r="CB343" s="886"/>
      <c r="CC343" s="2"/>
      <c r="CD343" s="504">
        <f>IFERROR(AVERAGEIF($V$7:AB$7,"&lt;="&amp;$I$7,V343:AB343),0)</f>
        <v>0</v>
      </c>
      <c r="CE343" s="2"/>
      <c r="CH343" s="93" t="str">
        <f t="shared" si="759"/>
        <v>BLOCO P3</v>
      </c>
    </row>
    <row r="344" spans="1:86" s="16" customFormat="1" ht="22.35" hidden="1" customHeight="1" outlineLevel="1">
      <c r="A344" s="74"/>
      <c r="B344" s="1062" t="s">
        <v>4006</v>
      </c>
      <c r="C344" s="1023" t="s">
        <v>1437</v>
      </c>
      <c r="D344" s="2"/>
      <c r="E344" s="1004">
        <v>0</v>
      </c>
      <c r="F344" s="2"/>
      <c r="G344" s="49" t="s">
        <v>37</v>
      </c>
      <c r="H344" s="705">
        <f t="shared" si="777"/>
        <v>0</v>
      </c>
      <c r="I344" s="878" t="str">
        <f t="shared" ref="I344" si="890">IFERROR((H345/H344),"-")</f>
        <v>-</v>
      </c>
      <c r="J344" s="2"/>
      <c r="K344" s="705"/>
      <c r="L344" s="705"/>
      <c r="M344" s="705"/>
      <c r="N344" s="705"/>
      <c r="O344" s="705"/>
      <c r="P344" s="705"/>
      <c r="Q344" s="705"/>
      <c r="R344" s="2"/>
      <c r="S344" s="705">
        <f ca="1">SUMIF($K$7:Q$7,"&lt;="&amp;$I$7,K344:P344)</f>
        <v>0</v>
      </c>
      <c r="T344" s="762" t="str">
        <f t="shared" ref="T344" ca="1" si="891">IFERROR((S345/S344),"-")</f>
        <v>-</v>
      </c>
      <c r="U344" s="2"/>
      <c r="V344" s="705"/>
      <c r="W344" s="705"/>
      <c r="X344" s="705"/>
      <c r="Y344" s="705"/>
      <c r="Z344" s="705"/>
      <c r="AA344" s="705"/>
      <c r="AB344" s="705"/>
      <c r="AC344" s="2"/>
      <c r="AD344" s="705">
        <f ca="1">SUMIF($V$7:AB$7,"&lt;="&amp;$I$7,V344:AA344)</f>
        <v>0</v>
      </c>
      <c r="AE344" s="762" t="str">
        <f t="shared" ref="AE344" ca="1" si="892">IFERROR((AD345/AD344),"-")</f>
        <v>-</v>
      </c>
      <c r="AF344" s="2"/>
      <c r="AG344" s="705"/>
      <c r="AH344" s="705"/>
      <c r="AI344" s="705"/>
      <c r="AJ344" s="705"/>
      <c r="AK344" s="705"/>
      <c r="AL344" s="705"/>
      <c r="AM344" s="705"/>
      <c r="AN344" s="2"/>
      <c r="AO344" s="705">
        <f ca="1">SUMIF($AG$7:AM$7,"&lt;="&amp;$I$7,AG344:AL344)</f>
        <v>0</v>
      </c>
      <c r="AP344" s="762" t="str">
        <f t="shared" ref="AP344" ca="1" si="893">IFERROR((AO345/AO344),"-")</f>
        <v>-</v>
      </c>
      <c r="AQ344" s="2"/>
      <c r="AR344" s="705"/>
      <c r="AS344" s="705"/>
      <c r="AT344" s="705"/>
      <c r="AU344" s="705"/>
      <c r="AV344" s="705"/>
      <c r="AW344" s="705"/>
      <c r="AX344" s="705"/>
      <c r="AY344" s="2"/>
      <c r="AZ344" s="705">
        <f ca="1">SUMIF($AR$7:AX$7,"&lt;="&amp;$I$7,AR344:AW344)</f>
        <v>0</v>
      </c>
      <c r="BA344" s="762" t="str">
        <f t="shared" ref="BA344" ca="1" si="894">IFERROR((AZ345/AZ344),"-")</f>
        <v>-</v>
      </c>
      <c r="BB344" s="2"/>
      <c r="BC344" s="705"/>
      <c r="BD344" s="705"/>
      <c r="BE344" s="705"/>
      <c r="BF344" s="705"/>
      <c r="BG344" s="705"/>
      <c r="BH344" s="705"/>
      <c r="BI344" s="705"/>
      <c r="BJ344" s="2"/>
      <c r="BK344" s="705">
        <f ca="1">SUMIF($AR$7:BI$7,"&lt;="&amp;$I$7,BC344:BH344)</f>
        <v>0</v>
      </c>
      <c r="BL344" s="762" t="str">
        <f t="shared" ref="BL344" ca="1" si="895">IFERROR((BK345/BK344),"-")</f>
        <v>-</v>
      </c>
      <c r="BM344" s="2"/>
      <c r="BN344" s="921">
        <v>0</v>
      </c>
      <c r="BO344" s="884">
        <v>0</v>
      </c>
      <c r="BP344" s="884">
        <f>SUM(K345:P345,V345:AB345,AG345:AM345,AR345:AX345)</f>
        <v>0</v>
      </c>
      <c r="BQ344" s="878" t="str">
        <f t="shared" ref="BQ344" si="896">IFERROR((BP344/BO344),"-")</f>
        <v>-</v>
      </c>
      <c r="BR344" s="2"/>
      <c r="BS344" s="884"/>
      <c r="BT344" s="884"/>
      <c r="BU344" s="884">
        <v>0</v>
      </c>
      <c r="BV344" s="884">
        <v>104</v>
      </c>
      <c r="BW344" s="1004">
        <f>IFERROR((BU344/BV344),"-")</f>
        <v>0</v>
      </c>
      <c r="BX344" s="884">
        <v>0</v>
      </c>
      <c r="BY344" s="878" t="str">
        <f>IFERROR((BU344/BX344),"-")</f>
        <v>-</v>
      </c>
      <c r="BZ344" s="2"/>
      <c r="CA344" s="884">
        <v>1</v>
      </c>
      <c r="CB344" s="884">
        <f>CA344-BU344</f>
        <v>1</v>
      </c>
      <c r="CC344" s="2"/>
      <c r="CD344" s="504">
        <f>IFERROR(AVERAGEIF($V$7:AB$7,"&lt;="&amp;$I$7,V344:AB344),0)</f>
        <v>0</v>
      </c>
      <c r="CE344" s="2"/>
      <c r="CH344" s="93" t="str">
        <f t="shared" si="759"/>
        <v>BLOCO P4</v>
      </c>
    </row>
    <row r="345" spans="1:86" s="21" customFormat="1" ht="29.65" hidden="1" customHeight="1" outlineLevel="1">
      <c r="A345" s="74"/>
      <c r="B345" s="1063"/>
      <c r="C345" s="1023"/>
      <c r="D345" s="2"/>
      <c r="E345" s="1024"/>
      <c r="F345" s="2"/>
      <c r="G345" s="50" t="s">
        <v>38</v>
      </c>
      <c r="H345" s="705">
        <f t="shared" si="777"/>
        <v>0</v>
      </c>
      <c r="I345" s="879"/>
      <c r="J345" s="2"/>
      <c r="K345" s="86"/>
      <c r="L345" s="86"/>
      <c r="M345" s="86"/>
      <c r="N345" s="86"/>
      <c r="O345" s="86"/>
      <c r="P345" s="86"/>
      <c r="Q345" s="706"/>
      <c r="R345" s="2"/>
      <c r="S345" s="705">
        <f ca="1">SUMIF($K$7:Q$7,"&lt;="&amp;$I$7,K345:P345)</f>
        <v>0</v>
      </c>
      <c r="T345" s="763"/>
      <c r="U345" s="2"/>
      <c r="V345" s="86"/>
      <c r="W345" s="86"/>
      <c r="X345" s="86"/>
      <c r="Y345" s="86"/>
      <c r="Z345" s="86"/>
      <c r="AA345" s="86"/>
      <c r="AB345" s="706"/>
      <c r="AC345" s="2"/>
      <c r="AD345" s="705">
        <f ca="1">SUMIF($V$7:AB$7,"&lt;="&amp;$I$7,V345:AA345)</f>
        <v>0</v>
      </c>
      <c r="AE345" s="763"/>
      <c r="AF345" s="2"/>
      <c r="AG345" s="86"/>
      <c r="AH345" s="86"/>
      <c r="AI345" s="86"/>
      <c r="AJ345" s="86"/>
      <c r="AK345" s="86"/>
      <c r="AL345" s="86"/>
      <c r="AM345" s="706"/>
      <c r="AN345" s="2"/>
      <c r="AO345" s="705">
        <f ca="1">SUMIF($AG$7:AM$7,"&lt;="&amp;$I$7,AG345:AL345)</f>
        <v>0</v>
      </c>
      <c r="AP345" s="763"/>
      <c r="AQ345" s="2"/>
      <c r="AR345" s="86"/>
      <c r="AS345" s="86"/>
      <c r="AT345" s="86"/>
      <c r="AU345" s="86"/>
      <c r="AV345" s="86"/>
      <c r="AW345" s="86"/>
      <c r="AX345" s="706"/>
      <c r="AY345" s="2"/>
      <c r="AZ345" s="705">
        <f ca="1">SUMIF($AR$7:AX$7,"&lt;="&amp;$I$7,AR345:AW345)</f>
        <v>0</v>
      </c>
      <c r="BA345" s="763"/>
      <c r="BB345" s="2"/>
      <c r="BC345" s="86"/>
      <c r="BD345" s="86"/>
      <c r="BE345" s="86"/>
      <c r="BF345" s="86"/>
      <c r="BG345" s="86"/>
      <c r="BH345" s="86"/>
      <c r="BI345" s="706"/>
      <c r="BJ345" s="2"/>
      <c r="BK345" s="705">
        <f ca="1">SUMIF($AR$7:BI$7,"&lt;="&amp;$I$7,BC345:BH345)</f>
        <v>0</v>
      </c>
      <c r="BL345" s="763"/>
      <c r="BM345" s="2"/>
      <c r="BN345" s="922"/>
      <c r="BO345" s="885"/>
      <c r="BP345" s="885"/>
      <c r="BQ345" s="1050"/>
      <c r="BR345" s="2"/>
      <c r="BS345" s="886"/>
      <c r="BT345" s="886"/>
      <c r="BU345" s="886"/>
      <c r="BV345" s="886"/>
      <c r="BW345" s="1051"/>
      <c r="BX345" s="886"/>
      <c r="BY345" s="1053"/>
      <c r="BZ345" s="2"/>
      <c r="CA345" s="886"/>
      <c r="CB345" s="886"/>
      <c r="CC345" s="2"/>
      <c r="CD345" s="504">
        <f>IFERROR(AVERAGEIF($V$7:AB$7,"&lt;="&amp;$I$7,V345:AB345),0)</f>
        <v>0</v>
      </c>
      <c r="CE345" s="2"/>
      <c r="CH345" s="93" t="str">
        <f t="shared" si="759"/>
        <v>BLOCO P4</v>
      </c>
    </row>
    <row r="346" spans="1:86" s="16" customFormat="1" ht="20.25" hidden="1" customHeight="1" outlineLevel="1">
      <c r="A346" s="74"/>
      <c r="B346" s="1062" t="s">
        <v>4008</v>
      </c>
      <c r="C346" s="1023" t="s">
        <v>1437</v>
      </c>
      <c r="D346" s="2"/>
      <c r="E346" s="1004">
        <v>0</v>
      </c>
      <c r="F346" s="2"/>
      <c r="G346" s="49" t="s">
        <v>37</v>
      </c>
      <c r="H346" s="705">
        <f t="shared" si="777"/>
        <v>0</v>
      </c>
      <c r="I346" s="878" t="str">
        <f t="shared" ref="I346" si="897">IFERROR((H347/H346),"-")</f>
        <v>-</v>
      </c>
      <c r="J346" s="2"/>
      <c r="K346" s="705"/>
      <c r="L346" s="705"/>
      <c r="M346" s="705"/>
      <c r="N346" s="705"/>
      <c r="O346" s="705"/>
      <c r="P346" s="705"/>
      <c r="Q346" s="705"/>
      <c r="R346" s="2"/>
      <c r="S346" s="705">
        <f ca="1">SUMIF($K$7:Q$7,"&lt;="&amp;$I$7,K346:P346)</f>
        <v>0</v>
      </c>
      <c r="T346" s="762" t="str">
        <f t="shared" ref="T346" ca="1" si="898">IFERROR((S347/S346),"-")</f>
        <v>-</v>
      </c>
      <c r="U346" s="2"/>
      <c r="V346" s="705"/>
      <c r="W346" s="705"/>
      <c r="X346" s="705"/>
      <c r="Y346" s="705"/>
      <c r="Z346" s="705"/>
      <c r="AA346" s="705"/>
      <c r="AB346" s="705"/>
      <c r="AC346" s="2"/>
      <c r="AD346" s="705">
        <f ca="1">SUMIF($V$7:AB$7,"&lt;="&amp;$I$7,V346:AA346)</f>
        <v>0</v>
      </c>
      <c r="AE346" s="762" t="str">
        <f t="shared" ref="AE346" ca="1" si="899">IFERROR((AD347/AD346),"-")</f>
        <v>-</v>
      </c>
      <c r="AF346" s="2"/>
      <c r="AG346" s="705"/>
      <c r="AH346" s="705"/>
      <c r="AI346" s="705"/>
      <c r="AJ346" s="705"/>
      <c r="AK346" s="705"/>
      <c r="AL346" s="705"/>
      <c r="AM346" s="705"/>
      <c r="AN346" s="2"/>
      <c r="AO346" s="705">
        <f ca="1">SUMIF($AG$7:AM$7,"&lt;="&amp;$I$7,AG346:AL346)</f>
        <v>0</v>
      </c>
      <c r="AP346" s="762" t="str">
        <f t="shared" ref="AP346" ca="1" si="900">IFERROR((AO347/AO346),"-")</f>
        <v>-</v>
      </c>
      <c r="AQ346" s="2"/>
      <c r="AR346" s="705"/>
      <c r="AS346" s="705"/>
      <c r="AT346" s="705"/>
      <c r="AU346" s="705"/>
      <c r="AV346" s="705"/>
      <c r="AW346" s="705"/>
      <c r="AX346" s="705"/>
      <c r="AY346" s="2"/>
      <c r="AZ346" s="705">
        <f ca="1">SUMIF($AR$7:AX$7,"&lt;="&amp;$I$7,AR346:AW346)</f>
        <v>0</v>
      </c>
      <c r="BA346" s="762" t="str">
        <f t="shared" ref="BA346" ca="1" si="901">IFERROR((AZ347/AZ346),"-")</f>
        <v>-</v>
      </c>
      <c r="BB346" s="2"/>
      <c r="BC346" s="705"/>
      <c r="BD346" s="705"/>
      <c r="BE346" s="705"/>
      <c r="BF346" s="705"/>
      <c r="BG346" s="705"/>
      <c r="BH346" s="705"/>
      <c r="BI346" s="705"/>
      <c r="BJ346" s="2"/>
      <c r="BK346" s="705">
        <f ca="1">SUMIF($AR$7:BI$7,"&lt;="&amp;$I$7,BC346:BH346)</f>
        <v>0</v>
      </c>
      <c r="BL346" s="762" t="str">
        <f t="shared" ref="BL346" ca="1" si="902">IFERROR((BK347/BK346),"-")</f>
        <v>-</v>
      </c>
      <c r="BM346" s="2"/>
      <c r="BN346" s="921">
        <v>0</v>
      </c>
      <c r="BO346" s="884">
        <v>0</v>
      </c>
      <c r="BP346" s="884">
        <f>SUM(K347:P347,V347:AB347,AG347:AM347,AR347:AX347)</f>
        <v>0</v>
      </c>
      <c r="BQ346" s="878" t="str">
        <f t="shared" ref="BQ346" si="903">IFERROR((BP346/BO346),"-")</f>
        <v>-</v>
      </c>
      <c r="BR346" s="2"/>
      <c r="BS346" s="884"/>
      <c r="BT346" s="884"/>
      <c r="BU346" s="884">
        <v>0</v>
      </c>
      <c r="BV346" s="884">
        <v>104</v>
      </c>
      <c r="BW346" s="1004">
        <f>IFERROR((BU346/BV346),"-")</f>
        <v>0</v>
      </c>
      <c r="BX346" s="884">
        <v>0</v>
      </c>
      <c r="BY346" s="878" t="str">
        <f>IFERROR((BU346/BX346),"-")</f>
        <v>-</v>
      </c>
      <c r="BZ346" s="2"/>
      <c r="CA346" s="884">
        <v>1</v>
      </c>
      <c r="CB346" s="884">
        <f>CA346-BU346</f>
        <v>1</v>
      </c>
      <c r="CC346" s="2"/>
      <c r="CD346" s="84">
        <f>IFERROR(AVERAGEIF($V$7:AB$7,"&lt;="&amp;$I$7,V346:AB346),0)</f>
        <v>0</v>
      </c>
      <c r="CE346" s="2"/>
      <c r="CH346" s="93" t="str">
        <f t="shared" si="759"/>
        <v>BLOCO P6</v>
      </c>
    </row>
    <row r="347" spans="1:86" s="16" customFormat="1" ht="19.7" hidden="1" customHeight="1" outlineLevel="1">
      <c r="A347" s="74"/>
      <c r="B347" s="1063"/>
      <c r="C347" s="1023"/>
      <c r="D347" s="2"/>
      <c r="E347" s="1024"/>
      <c r="F347" s="2"/>
      <c r="G347" s="50" t="s">
        <v>38</v>
      </c>
      <c r="H347" s="705">
        <f t="shared" si="777"/>
        <v>0</v>
      </c>
      <c r="I347" s="879"/>
      <c r="J347" s="2"/>
      <c r="K347" s="86"/>
      <c r="L347" s="86"/>
      <c r="M347" s="86"/>
      <c r="N347" s="86"/>
      <c r="O347" s="86"/>
      <c r="P347" s="86"/>
      <c r="Q347" s="706"/>
      <c r="R347" s="2"/>
      <c r="S347" s="705">
        <f ca="1">SUMIF($K$7:Q$7,"&lt;="&amp;$I$7,K347:P347)</f>
        <v>0</v>
      </c>
      <c r="T347" s="763"/>
      <c r="U347" s="2"/>
      <c r="V347" s="86"/>
      <c r="W347" s="86"/>
      <c r="X347" s="86"/>
      <c r="Y347" s="86"/>
      <c r="Z347" s="86"/>
      <c r="AA347" s="86"/>
      <c r="AB347" s="706"/>
      <c r="AC347" s="2"/>
      <c r="AD347" s="705">
        <f ca="1">SUMIF($V$7:AB$7,"&lt;="&amp;$I$7,V347:AA347)</f>
        <v>0</v>
      </c>
      <c r="AE347" s="763"/>
      <c r="AF347" s="2"/>
      <c r="AG347" s="86"/>
      <c r="AH347" s="86"/>
      <c r="AI347" s="86"/>
      <c r="AJ347" s="86"/>
      <c r="AK347" s="86"/>
      <c r="AL347" s="86"/>
      <c r="AM347" s="706"/>
      <c r="AN347" s="2"/>
      <c r="AO347" s="705">
        <f ca="1">SUMIF($AG$7:AM$7,"&lt;="&amp;$I$7,AG347:AL347)</f>
        <v>0</v>
      </c>
      <c r="AP347" s="763"/>
      <c r="AQ347" s="2"/>
      <c r="AR347" s="86"/>
      <c r="AS347" s="86"/>
      <c r="AT347" s="86"/>
      <c r="AU347" s="86"/>
      <c r="AV347" s="86"/>
      <c r="AW347" s="86"/>
      <c r="AX347" s="706"/>
      <c r="AY347" s="2"/>
      <c r="AZ347" s="705">
        <f ca="1">SUMIF($AR$7:AX$7,"&lt;="&amp;$I$7,AR347:AW347)</f>
        <v>0</v>
      </c>
      <c r="BA347" s="763"/>
      <c r="BB347" s="2"/>
      <c r="BC347" s="86"/>
      <c r="BD347" s="86"/>
      <c r="BE347" s="86"/>
      <c r="BF347" s="86"/>
      <c r="BG347" s="86"/>
      <c r="BH347" s="86"/>
      <c r="BI347" s="706"/>
      <c r="BJ347" s="2"/>
      <c r="BK347" s="705">
        <f ca="1">SUMIF($AR$7:BI$7,"&lt;="&amp;$I$7,BC347:BH347)</f>
        <v>0</v>
      </c>
      <c r="BL347" s="763"/>
      <c r="BM347" s="2"/>
      <c r="BN347" s="922"/>
      <c r="BO347" s="885"/>
      <c r="BP347" s="885"/>
      <c r="BQ347" s="1050"/>
      <c r="BR347" s="2"/>
      <c r="BS347" s="886"/>
      <c r="BT347" s="886"/>
      <c r="BU347" s="886"/>
      <c r="BV347" s="886"/>
      <c r="BW347" s="1051"/>
      <c r="BX347" s="886"/>
      <c r="BY347" s="1053"/>
      <c r="BZ347" s="2"/>
      <c r="CA347" s="886"/>
      <c r="CB347" s="886"/>
      <c r="CC347" s="2"/>
      <c r="CD347" s="84">
        <f>IFERROR(AVERAGEIF($V$7:AB$7,"&lt;="&amp;$I$7,V347:AB347),0)</f>
        <v>0</v>
      </c>
      <c r="CE347" s="2"/>
      <c r="CH347" s="93" t="str">
        <f t="shared" si="759"/>
        <v>BLOCO P6</v>
      </c>
    </row>
    <row r="348" spans="1:86" s="16" customFormat="1" ht="24.95" hidden="1" customHeight="1" outlineLevel="1">
      <c r="A348" s="74"/>
      <c r="B348" s="1062" t="s">
        <v>4007</v>
      </c>
      <c r="C348" s="1023" t="s">
        <v>1437</v>
      </c>
      <c r="D348" s="2"/>
      <c r="E348" s="1004">
        <v>0</v>
      </c>
      <c r="F348" s="2"/>
      <c r="G348" s="49" t="s">
        <v>37</v>
      </c>
      <c r="H348" s="705">
        <f t="shared" si="777"/>
        <v>0</v>
      </c>
      <c r="I348" s="878" t="str">
        <f t="shared" ref="I348" si="904">IFERROR((H349/H348),"-")</f>
        <v>-</v>
      </c>
      <c r="J348" s="2"/>
      <c r="K348" s="705"/>
      <c r="L348" s="705"/>
      <c r="M348" s="705"/>
      <c r="N348" s="705"/>
      <c r="O348" s="705"/>
      <c r="P348" s="705"/>
      <c r="Q348" s="705"/>
      <c r="R348" s="2"/>
      <c r="S348" s="705">
        <f ca="1">SUMIF($K$7:Q$7,"&lt;="&amp;$I$7,K348:P348)</f>
        <v>0</v>
      </c>
      <c r="T348" s="762" t="str">
        <f t="shared" ref="T348" ca="1" si="905">IFERROR((S349/S348),"-")</f>
        <v>-</v>
      </c>
      <c r="U348" s="2"/>
      <c r="V348" s="705"/>
      <c r="W348" s="705"/>
      <c r="X348" s="705"/>
      <c r="Y348" s="705"/>
      <c r="Z348" s="705"/>
      <c r="AA348" s="705"/>
      <c r="AB348" s="705"/>
      <c r="AC348" s="2"/>
      <c r="AD348" s="705">
        <f ca="1">SUMIF($V$7:AB$7,"&lt;="&amp;$I$7,V348:AA348)</f>
        <v>0</v>
      </c>
      <c r="AE348" s="762" t="str">
        <f t="shared" ref="AE348" ca="1" si="906">IFERROR((AD349/AD348),"-")</f>
        <v>-</v>
      </c>
      <c r="AF348" s="2"/>
      <c r="AG348" s="705"/>
      <c r="AH348" s="705"/>
      <c r="AI348" s="705"/>
      <c r="AJ348" s="705"/>
      <c r="AK348" s="705"/>
      <c r="AL348" s="705"/>
      <c r="AM348" s="705"/>
      <c r="AN348" s="2"/>
      <c r="AO348" s="705">
        <f ca="1">SUMIF($AG$7:AM$7,"&lt;="&amp;$I$7,AG348:AL348)</f>
        <v>0</v>
      </c>
      <c r="AP348" s="762" t="str">
        <f t="shared" ref="AP348" ca="1" si="907">IFERROR((AO349/AO348),"-")</f>
        <v>-</v>
      </c>
      <c r="AQ348" s="2"/>
      <c r="AR348" s="705"/>
      <c r="AS348" s="705"/>
      <c r="AT348" s="705"/>
      <c r="AU348" s="705"/>
      <c r="AV348" s="705"/>
      <c r="AW348" s="705"/>
      <c r="AX348" s="705"/>
      <c r="AY348" s="2"/>
      <c r="AZ348" s="705">
        <f ca="1">SUMIF($AR$7:AX$7,"&lt;="&amp;$I$7,AR348:AW348)</f>
        <v>0</v>
      </c>
      <c r="BA348" s="762" t="str">
        <f t="shared" ref="BA348" ca="1" si="908">IFERROR((AZ349/AZ348),"-")</f>
        <v>-</v>
      </c>
      <c r="BB348" s="2"/>
      <c r="BC348" s="705"/>
      <c r="BD348" s="705"/>
      <c r="BE348" s="705"/>
      <c r="BF348" s="705"/>
      <c r="BG348" s="705"/>
      <c r="BH348" s="705"/>
      <c r="BI348" s="705"/>
      <c r="BJ348" s="2"/>
      <c r="BK348" s="705">
        <f ca="1">SUMIF($AR$7:BI$7,"&lt;="&amp;$I$7,BC348:BH348)</f>
        <v>0</v>
      </c>
      <c r="BL348" s="762" t="str">
        <f t="shared" ref="BL348" ca="1" si="909">IFERROR((BK349/BK348),"-")</f>
        <v>-</v>
      </c>
      <c r="BM348" s="2"/>
      <c r="BN348" s="921">
        <v>0</v>
      </c>
      <c r="BO348" s="884">
        <v>0</v>
      </c>
      <c r="BP348" s="884">
        <f>SUM(K349:P349,V349:AB349,AG349:AM349,AR349:AX349)</f>
        <v>0</v>
      </c>
      <c r="BQ348" s="878" t="str">
        <f t="shared" ref="BQ348" si="910">IFERROR((BP348/BO348),"-")</f>
        <v>-</v>
      </c>
      <c r="BR348" s="2"/>
      <c r="BS348" s="884"/>
      <c r="BT348" s="884"/>
      <c r="BU348" s="884">
        <v>0</v>
      </c>
      <c r="BV348" s="884">
        <v>104</v>
      </c>
      <c r="BW348" s="1004">
        <f>IFERROR((BU348/BV348),"-")</f>
        <v>0</v>
      </c>
      <c r="BX348" s="884">
        <v>0</v>
      </c>
      <c r="BY348" s="878" t="str">
        <f>IFERROR((BU348/BX348),"-")</f>
        <v>-</v>
      </c>
      <c r="BZ348" s="2"/>
      <c r="CA348" s="884">
        <v>1</v>
      </c>
      <c r="CB348" s="884">
        <f>CA348-BU348</f>
        <v>1</v>
      </c>
      <c r="CC348" s="2"/>
      <c r="CD348" s="504">
        <f>IFERROR(AVERAGEIF($V$7:AB$7,"&lt;="&amp;$I$7,V348:AB348),0)</f>
        <v>0</v>
      </c>
      <c r="CE348" s="2"/>
      <c r="CH348" s="93" t="str">
        <f t="shared" si="759"/>
        <v>BLOCO P5</v>
      </c>
    </row>
    <row r="349" spans="1:86" s="21" customFormat="1" ht="24.95" hidden="1" customHeight="1" outlineLevel="1">
      <c r="A349" s="74"/>
      <c r="B349" s="1063"/>
      <c r="C349" s="1023"/>
      <c r="D349" s="2"/>
      <c r="E349" s="1024"/>
      <c r="F349" s="2"/>
      <c r="G349" s="50" t="s">
        <v>38</v>
      </c>
      <c r="H349" s="705">
        <f t="shared" si="777"/>
        <v>0</v>
      </c>
      <c r="I349" s="879"/>
      <c r="J349" s="2"/>
      <c r="K349" s="86"/>
      <c r="L349" s="86"/>
      <c r="M349" s="86"/>
      <c r="N349" s="86"/>
      <c r="O349" s="86"/>
      <c r="P349" s="86"/>
      <c r="Q349" s="706"/>
      <c r="R349" s="2"/>
      <c r="S349" s="705">
        <f ca="1">SUMIF($K$7:Q$7,"&lt;="&amp;$I$7,K349:P349)</f>
        <v>0</v>
      </c>
      <c r="T349" s="763"/>
      <c r="U349" s="2"/>
      <c r="V349" s="86"/>
      <c r="W349" s="86"/>
      <c r="X349" s="86"/>
      <c r="Y349" s="86"/>
      <c r="Z349" s="86"/>
      <c r="AA349" s="86"/>
      <c r="AB349" s="706"/>
      <c r="AC349" s="2"/>
      <c r="AD349" s="705">
        <f ca="1">SUMIF($V$7:AB$7,"&lt;="&amp;$I$7,V349:AA349)</f>
        <v>0</v>
      </c>
      <c r="AE349" s="763"/>
      <c r="AF349" s="2"/>
      <c r="AG349" s="86"/>
      <c r="AH349" s="86"/>
      <c r="AI349" s="86"/>
      <c r="AJ349" s="86"/>
      <c r="AK349" s="86"/>
      <c r="AL349" s="86"/>
      <c r="AM349" s="706"/>
      <c r="AN349" s="2"/>
      <c r="AO349" s="705">
        <f ca="1">SUMIF($AG$7:AM$7,"&lt;="&amp;$I$7,AG349:AL349)</f>
        <v>0</v>
      </c>
      <c r="AP349" s="763"/>
      <c r="AQ349" s="2"/>
      <c r="AR349" s="86"/>
      <c r="AS349" s="86"/>
      <c r="AT349" s="86"/>
      <c r="AU349" s="86"/>
      <c r="AV349" s="86"/>
      <c r="AW349" s="86"/>
      <c r="AX349" s="706"/>
      <c r="AY349" s="2"/>
      <c r="AZ349" s="705">
        <f ca="1">SUMIF($AR$7:AX$7,"&lt;="&amp;$I$7,AR349:AW349)</f>
        <v>0</v>
      </c>
      <c r="BA349" s="763"/>
      <c r="BB349" s="2"/>
      <c r="BC349" s="86"/>
      <c r="BD349" s="86"/>
      <c r="BE349" s="86"/>
      <c r="BF349" s="86"/>
      <c r="BG349" s="86"/>
      <c r="BH349" s="86"/>
      <c r="BI349" s="706"/>
      <c r="BJ349" s="2"/>
      <c r="BK349" s="705">
        <f ca="1">SUMIF($AR$7:BI$7,"&lt;="&amp;$I$7,BC349:BH349)</f>
        <v>0</v>
      </c>
      <c r="BL349" s="763"/>
      <c r="BM349" s="2"/>
      <c r="BN349" s="922"/>
      <c r="BO349" s="885"/>
      <c r="BP349" s="885"/>
      <c r="BQ349" s="1050"/>
      <c r="BR349" s="2"/>
      <c r="BS349" s="886"/>
      <c r="BT349" s="886"/>
      <c r="BU349" s="886"/>
      <c r="BV349" s="886"/>
      <c r="BW349" s="1051"/>
      <c r="BX349" s="886"/>
      <c r="BY349" s="1053"/>
      <c r="BZ349" s="2"/>
      <c r="CA349" s="886"/>
      <c r="CB349" s="886"/>
      <c r="CC349" s="2"/>
      <c r="CD349" s="504">
        <f>IFERROR(AVERAGEIF($V$7:AB$7,"&lt;="&amp;$I$7,V349:AB349),0)</f>
        <v>0</v>
      </c>
      <c r="CE349" s="2"/>
      <c r="CH349" s="93" t="str">
        <f t="shared" si="759"/>
        <v>BLOCO P5</v>
      </c>
    </row>
    <row r="350" spans="1:86" s="16" customFormat="1" ht="24.95" customHeight="1" collapsed="1">
      <c r="A350" s="70"/>
      <c r="B350" s="1021" t="s">
        <v>4011</v>
      </c>
      <c r="C350" s="1023" t="s">
        <v>1437</v>
      </c>
      <c r="D350" s="2"/>
      <c r="E350" s="1004">
        <v>2</v>
      </c>
      <c r="F350" s="2"/>
      <c r="G350" s="49" t="s">
        <v>37</v>
      </c>
      <c r="H350" s="43">
        <f t="shared" si="777"/>
        <v>0</v>
      </c>
      <c r="I350" s="878" t="str">
        <f>IFERROR((H351/H350),"-")</f>
        <v>-</v>
      </c>
      <c r="J350" s="40"/>
      <c r="K350" s="42"/>
      <c r="L350" s="42"/>
      <c r="M350" s="42"/>
      <c r="N350" s="42"/>
      <c r="O350" s="42"/>
      <c r="P350" s="42"/>
      <c r="Q350" s="42">
        <f>Q354+Q356+Q368</f>
        <v>0</v>
      </c>
      <c r="R350" s="40"/>
      <c r="S350" s="43">
        <f ca="1">SUMIF($K$7:Q$7,"&lt;="&amp;$I$7,K350:P350)</f>
        <v>0</v>
      </c>
      <c r="T350" s="762" t="str">
        <f ca="1">IFERROR((S351/S350),"-")</f>
        <v>-</v>
      </c>
      <c r="U350" s="40"/>
      <c r="V350" s="42"/>
      <c r="W350" s="42"/>
      <c r="X350" s="42"/>
      <c r="Y350" s="42"/>
      <c r="Z350" s="42"/>
      <c r="AA350" s="42"/>
      <c r="AB350" s="42"/>
      <c r="AC350" s="40"/>
      <c r="AD350" s="705">
        <f>SUMIF($V$7:AB$7,"&lt;="&amp;$I$7,V350:AB350)</f>
        <v>0</v>
      </c>
      <c r="AE350" s="762" t="str">
        <f ca="1">IFERROR((AD351/AD350),"-")</f>
        <v>-</v>
      </c>
      <c r="AF350" s="40"/>
      <c r="AG350" s="42"/>
      <c r="AH350" s="42"/>
      <c r="AI350" s="42"/>
      <c r="AJ350" s="42"/>
      <c r="AK350" s="42"/>
      <c r="AL350" s="42"/>
      <c r="AM350" s="42">
        <f>AM354+AM356+AM368</f>
        <v>0</v>
      </c>
      <c r="AN350" s="40"/>
      <c r="AO350" s="43">
        <f ca="1">SUMIF($AG$7:AM$7,"&lt;="&amp;$I$7,AG350:AL350)</f>
        <v>0</v>
      </c>
      <c r="AP350" s="762" t="str">
        <f ca="1">IFERROR((AO351/AO350),"-")</f>
        <v>-</v>
      </c>
      <c r="AQ350" s="40"/>
      <c r="AR350" s="42"/>
      <c r="AS350" s="42"/>
      <c r="AT350" s="42"/>
      <c r="AU350" s="42"/>
      <c r="AV350" s="42"/>
      <c r="AW350" s="42"/>
      <c r="AX350" s="42">
        <f>AX354+AX356+AX368</f>
        <v>0</v>
      </c>
      <c r="AY350" s="40"/>
      <c r="AZ350" s="43">
        <f ca="1">SUMIF($AR$7:AX$7,"&lt;="&amp;$I$7,AR350:AW350)</f>
        <v>0</v>
      </c>
      <c r="BA350" s="762" t="str">
        <f ca="1">IFERROR((AZ351/AZ350),"-")</f>
        <v>-</v>
      </c>
      <c r="BB350" s="40"/>
      <c r="BC350" s="42"/>
      <c r="BD350" s="42"/>
      <c r="BE350" s="42"/>
      <c r="BF350" s="42"/>
      <c r="BG350" s="42"/>
      <c r="BH350" s="42"/>
      <c r="BI350" s="42">
        <f>BI354+BI356+BI368</f>
        <v>0</v>
      </c>
      <c r="BJ350" s="40"/>
      <c r="BK350" s="43">
        <f ca="1">SUMIF($BC$7:BI$7,"&lt;="&amp;$I$7,BC350:BH350)</f>
        <v>0</v>
      </c>
      <c r="BL350" s="762" t="str">
        <f ca="1">IFERROR((BK351/BK350),"-")</f>
        <v>-</v>
      </c>
      <c r="BM350" s="40"/>
      <c r="BN350" s="1025"/>
      <c r="BO350" s="1027"/>
      <c r="BP350" s="909"/>
      <c r="BQ350" s="762" t="str">
        <f>IFERROR((BP350/BO350),"-")</f>
        <v>-</v>
      </c>
      <c r="BR350" s="40"/>
      <c r="BS350" s="909"/>
      <c r="BT350" s="909"/>
      <c r="BU350" s="909">
        <v>2</v>
      </c>
      <c r="BV350" s="909">
        <v>210</v>
      </c>
      <c r="BW350" s="1030">
        <f>IFERROR((BU350/BV350),"-")</f>
        <v>9.5238095238095247E-3</v>
      </c>
      <c r="BX350" s="909">
        <v>2</v>
      </c>
      <c r="BY350" s="1032">
        <f>IFERROR((BU350/BX350),"-")</f>
        <v>1</v>
      </c>
      <c r="BZ350" s="40"/>
      <c r="CA350" s="909">
        <v>2</v>
      </c>
      <c r="CB350" s="909">
        <f>CA350-BU350</f>
        <v>0</v>
      </c>
      <c r="CC350" s="2"/>
      <c r="CD350" s="504">
        <f>IFERROR(AVERAGEIF($V$7:AB$7,"&lt;="&amp;$I$7,V350:AB350),0)</f>
        <v>0</v>
      </c>
      <c r="CE350" s="2"/>
      <c r="CH350" s="93" t="str">
        <f t="shared" si="759"/>
        <v>BLOCOS DE ENCONTRO</v>
      </c>
    </row>
    <row r="351" spans="1:86" s="21" customFormat="1" ht="24.95" customHeight="1">
      <c r="A351" s="70"/>
      <c r="B351" s="1022"/>
      <c r="C351" s="1023"/>
      <c r="D351" s="2"/>
      <c r="E351" s="1024"/>
      <c r="F351" s="2"/>
      <c r="G351" s="50" t="s">
        <v>38</v>
      </c>
      <c r="H351" s="43">
        <f t="shared" si="777"/>
        <v>0</v>
      </c>
      <c r="I351" s="879"/>
      <c r="J351" s="40"/>
      <c r="K351" s="72"/>
      <c r="L351" s="72"/>
      <c r="M351" s="72"/>
      <c r="N351" s="72"/>
      <c r="O351" s="72"/>
      <c r="P351" s="72"/>
      <c r="Q351" s="43">
        <f>Q355+Q357+Q369</f>
        <v>0</v>
      </c>
      <c r="R351" s="40"/>
      <c r="S351" s="43">
        <f ca="1">SUMIF($K$7:Q$7,"&lt;="&amp;$I$7,K351:P351)</f>
        <v>0</v>
      </c>
      <c r="T351" s="763"/>
      <c r="U351" s="40"/>
      <c r="V351" s="72"/>
      <c r="W351" s="72"/>
      <c r="X351" s="72"/>
      <c r="Y351" s="72"/>
      <c r="Z351" s="72"/>
      <c r="AA351" s="72"/>
      <c r="AB351" s="43"/>
      <c r="AC351" s="40"/>
      <c r="AD351" s="705">
        <f ca="1">SUMIF($K$7:AB$7,"&lt;="&amp;$I$7,V351:AB351)</f>
        <v>0</v>
      </c>
      <c r="AE351" s="763"/>
      <c r="AF351" s="40"/>
      <c r="AG351" s="72"/>
      <c r="AH351" s="72"/>
      <c r="AI351" s="72"/>
      <c r="AJ351" s="72"/>
      <c r="AK351" s="72"/>
      <c r="AL351" s="72"/>
      <c r="AM351" s="43">
        <f>AM355+AM357+AM369</f>
        <v>0</v>
      </c>
      <c r="AN351" s="40"/>
      <c r="AO351" s="43">
        <f ca="1">SUMIF($K$7:AM$7,"&lt;="&amp;$I$7,AG351:AL351)</f>
        <v>0</v>
      </c>
      <c r="AP351" s="763"/>
      <c r="AQ351" s="40"/>
      <c r="AR351" s="72"/>
      <c r="AS351" s="72"/>
      <c r="AT351" s="72"/>
      <c r="AU351" s="72"/>
      <c r="AV351" s="72"/>
      <c r="AW351" s="72"/>
      <c r="AX351" s="43">
        <f>AX355+AX357+AX369</f>
        <v>0</v>
      </c>
      <c r="AY351" s="40"/>
      <c r="AZ351" s="43">
        <f ca="1">SUMIF($AR$7:AX$7,"&lt;="&amp;$I$7,AR351:AW351)</f>
        <v>0</v>
      </c>
      <c r="BA351" s="763"/>
      <c r="BB351" s="40"/>
      <c r="BC351" s="72"/>
      <c r="BD351" s="72"/>
      <c r="BE351" s="72"/>
      <c r="BF351" s="72"/>
      <c r="BG351" s="72"/>
      <c r="BH351" s="72"/>
      <c r="BI351" s="43">
        <f>BI355+BI357+BI369</f>
        <v>0</v>
      </c>
      <c r="BJ351" s="40"/>
      <c r="BK351" s="43">
        <f ca="1">SUMIF($BC$7:BI$7,"&lt;="&amp;$I$7,BC351:BH351)</f>
        <v>0</v>
      </c>
      <c r="BL351" s="763"/>
      <c r="BM351" s="40"/>
      <c r="BN351" s="1026"/>
      <c r="BO351" s="1028"/>
      <c r="BP351" s="910"/>
      <c r="BQ351" s="1029"/>
      <c r="BR351" s="40"/>
      <c r="BS351" s="910"/>
      <c r="BT351" s="910"/>
      <c r="BU351" s="910"/>
      <c r="BV351" s="910"/>
      <c r="BW351" s="1031"/>
      <c r="BX351" s="910"/>
      <c r="BY351" s="1033"/>
      <c r="BZ351" s="40"/>
      <c r="CA351" s="910"/>
      <c r="CB351" s="910"/>
      <c r="CC351" s="2"/>
      <c r="CD351" s="504">
        <f>IFERROR(AVERAGEIF($V$7:AB$7,"&lt;="&amp;$I$7,V351:AB351),0)</f>
        <v>0</v>
      </c>
      <c r="CE351" s="2"/>
      <c r="CH351" s="93" t="str">
        <f t="shared" si="759"/>
        <v>BLOCOS DE ENCONTRO</v>
      </c>
    </row>
    <row r="352" spans="1:86" s="16" customFormat="1" ht="24.95" hidden="1" customHeight="1" outlineLevel="1">
      <c r="A352" s="74"/>
      <c r="B352" s="1058" t="s">
        <v>4004</v>
      </c>
      <c r="C352" s="1023" t="s">
        <v>1437</v>
      </c>
      <c r="D352" s="2"/>
      <c r="E352" s="1004">
        <v>0</v>
      </c>
      <c r="F352" s="2"/>
      <c r="G352" s="49" t="s">
        <v>37</v>
      </c>
      <c r="H352" s="705">
        <f t="shared" si="777"/>
        <v>0</v>
      </c>
      <c r="I352" s="878" t="str">
        <f t="shared" ref="I352:I356" si="911">IFERROR((H353/H352),"-")</f>
        <v>-</v>
      </c>
      <c r="J352" s="2"/>
      <c r="K352" s="705"/>
      <c r="L352" s="705"/>
      <c r="M352" s="705"/>
      <c r="N352" s="705"/>
      <c r="O352" s="705"/>
      <c r="P352" s="705"/>
      <c r="Q352" s="705">
        <v>0</v>
      </c>
      <c r="R352" s="2"/>
      <c r="S352" s="705">
        <f t="shared" ref="S352:S357" si="912">SUM(K352:P352)</f>
        <v>0</v>
      </c>
      <c r="T352" s="878" t="str">
        <f>IFERROR((S353/S352),"-")</f>
        <v>-</v>
      </c>
      <c r="U352" s="2"/>
      <c r="V352" s="705"/>
      <c r="W352" s="705"/>
      <c r="X352" s="705"/>
      <c r="Y352" s="705"/>
      <c r="Z352" s="705"/>
      <c r="AA352" s="705"/>
      <c r="AB352" s="705"/>
      <c r="AC352" s="2"/>
      <c r="AD352" s="705">
        <f ca="1">SUMIF($V$7:AB$7,"&lt;="&amp;$I$7,V352:AA352)</f>
        <v>0</v>
      </c>
      <c r="AE352" s="878" t="str">
        <f ca="1">IFERROR((AD353/AD352),"-")</f>
        <v>-</v>
      </c>
      <c r="AF352" s="2"/>
      <c r="AG352" s="705"/>
      <c r="AH352" s="705"/>
      <c r="AI352" s="705"/>
      <c r="AJ352" s="705"/>
      <c r="AK352" s="705"/>
      <c r="AL352" s="705"/>
      <c r="AM352" s="705"/>
      <c r="AN352" s="2"/>
      <c r="AO352" s="705">
        <f ca="1">SUMIF($AG$7:AM$7,"&lt;="&amp;$I$7,AG352:AL352)</f>
        <v>0</v>
      </c>
      <c r="AP352" s="878" t="str">
        <f ca="1">IFERROR((AO353/AO352),"-")</f>
        <v>-</v>
      </c>
      <c r="AQ352" s="2"/>
      <c r="AR352" s="705"/>
      <c r="AS352" s="705"/>
      <c r="AT352" s="705"/>
      <c r="AU352" s="705"/>
      <c r="AV352" s="705"/>
      <c r="AW352" s="705"/>
      <c r="AX352" s="705"/>
      <c r="AY352" s="2"/>
      <c r="AZ352" s="705">
        <f t="shared" ref="AZ352:AZ357" si="913">SUM(AR352:AW352)</f>
        <v>0</v>
      </c>
      <c r="BA352" s="878" t="str">
        <f>IFERROR((AZ353/AZ352),"-")</f>
        <v>-</v>
      </c>
      <c r="BB352" s="2"/>
      <c r="BC352" s="705"/>
      <c r="BD352" s="705"/>
      <c r="BE352" s="705"/>
      <c r="BF352" s="705"/>
      <c r="BG352" s="705"/>
      <c r="BH352" s="705"/>
      <c r="BI352" s="705"/>
      <c r="BJ352" s="2"/>
      <c r="BK352" s="705">
        <f t="shared" ref="BK352:BK357" si="914">SUM(BC352:BH352)</f>
        <v>0</v>
      </c>
      <c r="BL352" s="878" t="str">
        <f>IFERROR((BK353/BK352),"-")</f>
        <v>-</v>
      </c>
      <c r="BM352" s="2"/>
      <c r="BN352" s="921">
        <v>0</v>
      </c>
      <c r="BO352" s="921">
        <v>0</v>
      </c>
      <c r="BP352" s="884">
        <f>SUM(K353:P353,V353:AB353,AG353:AM353,AR353:AX353)</f>
        <v>0</v>
      </c>
      <c r="BQ352" s="878" t="str">
        <f t="shared" ref="BQ352" si="915">IFERROR((BP352/BO352),"-")</f>
        <v>-</v>
      </c>
      <c r="BR352" s="2"/>
      <c r="BS352" s="884"/>
      <c r="BT352" s="884"/>
      <c r="BU352" s="884">
        <v>0</v>
      </c>
      <c r="BV352" s="1016" t="e">
        <v>#N/A</v>
      </c>
      <c r="BW352" s="1004" t="str">
        <f>IFERROR((BU352/BV352),"-")</f>
        <v>-</v>
      </c>
      <c r="BX352" s="884">
        <v>0</v>
      </c>
      <c r="BY352" s="878" t="str">
        <f>IFERROR((BU352/BX352),"-")</f>
        <v>-</v>
      </c>
      <c r="BZ352" s="2"/>
      <c r="CA352" s="884">
        <v>0</v>
      </c>
      <c r="CB352" s="858">
        <f t="shared" ref="CB352" si="916">CA352-BU352</f>
        <v>0</v>
      </c>
      <c r="CC352" s="2"/>
      <c r="CD352" s="504">
        <f>IFERROR(AVERAGEIF($V$7:AB$7,"&lt;="&amp;$I$7,V352:AB352),0)</f>
        <v>0</v>
      </c>
      <c r="CE352" s="2"/>
      <c r="CH352" s="93" t="str">
        <f t="shared" si="759"/>
        <v xml:space="preserve">Armação dos Blocos </v>
      </c>
    </row>
    <row r="353" spans="1:86" s="21" customFormat="1" ht="24.95" hidden="1" customHeight="1" outlineLevel="1">
      <c r="A353" s="74"/>
      <c r="B353" s="1042"/>
      <c r="C353" s="1023"/>
      <c r="D353" s="2"/>
      <c r="E353" s="1024"/>
      <c r="F353" s="2"/>
      <c r="G353" s="50" t="s">
        <v>38</v>
      </c>
      <c r="H353" s="705">
        <f t="shared" si="777"/>
        <v>0</v>
      </c>
      <c r="I353" s="879"/>
      <c r="J353" s="2"/>
      <c r="K353" s="86"/>
      <c r="L353" s="86"/>
      <c r="M353" s="86"/>
      <c r="N353" s="86"/>
      <c r="O353" s="86"/>
      <c r="P353" s="86"/>
      <c r="Q353" s="706">
        <v>0</v>
      </c>
      <c r="R353" s="2"/>
      <c r="S353" s="705">
        <f t="shared" si="912"/>
        <v>0</v>
      </c>
      <c r="T353" s="879"/>
      <c r="U353" s="2"/>
      <c r="V353" s="86"/>
      <c r="W353" s="86"/>
      <c r="X353" s="86"/>
      <c r="Y353" s="86"/>
      <c r="Z353" s="86"/>
      <c r="AA353" s="86"/>
      <c r="AB353" s="706"/>
      <c r="AC353" s="2"/>
      <c r="AD353" s="705">
        <f ca="1">SUMIF($V$7:AB$7,"&lt;="&amp;$I$7,V353:AA353)</f>
        <v>0</v>
      </c>
      <c r="AE353" s="879"/>
      <c r="AF353" s="2"/>
      <c r="AG353" s="86"/>
      <c r="AH353" s="86"/>
      <c r="AI353" s="86"/>
      <c r="AJ353" s="86"/>
      <c r="AK353" s="86"/>
      <c r="AL353" s="86"/>
      <c r="AM353" s="706"/>
      <c r="AN353" s="2"/>
      <c r="AO353" s="705">
        <f ca="1">SUMIF($AG$7:AM$7,"&lt;="&amp;$I$7,AG353:AL353)</f>
        <v>0</v>
      </c>
      <c r="AP353" s="879"/>
      <c r="AQ353" s="2"/>
      <c r="AR353" s="86"/>
      <c r="AS353" s="86"/>
      <c r="AT353" s="86"/>
      <c r="AU353" s="86"/>
      <c r="AV353" s="86"/>
      <c r="AW353" s="86"/>
      <c r="AX353" s="706"/>
      <c r="AY353" s="2"/>
      <c r="AZ353" s="705">
        <f t="shared" si="913"/>
        <v>0</v>
      </c>
      <c r="BA353" s="879"/>
      <c r="BB353" s="2"/>
      <c r="BC353" s="86"/>
      <c r="BD353" s="86"/>
      <c r="BE353" s="86"/>
      <c r="BF353" s="86"/>
      <c r="BG353" s="86"/>
      <c r="BH353" s="86"/>
      <c r="BI353" s="706"/>
      <c r="BJ353" s="2"/>
      <c r="BK353" s="705">
        <f t="shared" si="914"/>
        <v>0</v>
      </c>
      <c r="BL353" s="879"/>
      <c r="BM353" s="2"/>
      <c r="BN353" s="922"/>
      <c r="BO353" s="922"/>
      <c r="BP353" s="885"/>
      <c r="BQ353" s="1050"/>
      <c r="BR353" s="2"/>
      <c r="BS353" s="922"/>
      <c r="BT353" s="922"/>
      <c r="BU353" s="922"/>
      <c r="BV353" s="1059"/>
      <c r="BW353" s="1051"/>
      <c r="BX353" s="922"/>
      <c r="BY353" s="1052"/>
      <c r="BZ353" s="2"/>
      <c r="CA353" s="922"/>
      <c r="CB353" s="857"/>
      <c r="CC353" s="2"/>
      <c r="CD353" s="504">
        <f>IFERROR(AVERAGEIF($V$7:AB$7,"&lt;="&amp;$I$7,V353:AB353),0)</f>
        <v>0</v>
      </c>
      <c r="CE353" s="2"/>
      <c r="CH353" s="93" t="str">
        <f t="shared" si="759"/>
        <v xml:space="preserve">Armação dos Blocos </v>
      </c>
    </row>
    <row r="354" spans="1:86" s="16" customFormat="1" ht="20.25" hidden="1" customHeight="1" outlineLevel="1">
      <c r="A354" s="74"/>
      <c r="B354" s="1058" t="s">
        <v>4009</v>
      </c>
      <c r="C354" s="1023" t="s">
        <v>1437</v>
      </c>
      <c r="D354" s="2"/>
      <c r="E354" s="1004">
        <v>0</v>
      </c>
      <c r="F354" s="2"/>
      <c r="G354" s="49" t="s">
        <v>37</v>
      </c>
      <c r="H354" s="705">
        <f t="shared" si="777"/>
        <v>0</v>
      </c>
      <c r="I354" s="878" t="str">
        <f t="shared" si="911"/>
        <v>-</v>
      </c>
      <c r="J354" s="2"/>
      <c r="K354" s="705"/>
      <c r="L354" s="705"/>
      <c r="M354" s="705"/>
      <c r="N354" s="705"/>
      <c r="O354" s="705"/>
      <c r="P354" s="705"/>
      <c r="Q354" s="705">
        <v>0</v>
      </c>
      <c r="R354" s="2"/>
      <c r="S354" s="705">
        <f t="shared" si="912"/>
        <v>0</v>
      </c>
      <c r="T354" s="878" t="str">
        <f>IFERROR((S355/S354),"-")</f>
        <v>-</v>
      </c>
      <c r="U354" s="2"/>
      <c r="V354" s="705"/>
      <c r="W354" s="705"/>
      <c r="X354" s="705"/>
      <c r="Y354" s="705"/>
      <c r="Z354" s="705"/>
      <c r="AA354" s="705"/>
      <c r="AB354" s="705"/>
      <c r="AC354" s="2"/>
      <c r="AD354" s="705">
        <f ca="1">SUMIF($V$7:AB$7,"&lt;="&amp;$I$7,V354:AA354)</f>
        <v>0</v>
      </c>
      <c r="AE354" s="878" t="str">
        <f ca="1">IFERROR((AD355/AD354),"-")</f>
        <v>-</v>
      </c>
      <c r="AF354" s="2"/>
      <c r="AG354" s="705"/>
      <c r="AH354" s="705"/>
      <c r="AI354" s="705"/>
      <c r="AJ354" s="705"/>
      <c r="AK354" s="705"/>
      <c r="AL354" s="705"/>
      <c r="AM354" s="705"/>
      <c r="AN354" s="2"/>
      <c r="AO354" s="705">
        <f ca="1">SUMIF($AG$7:AM$7,"&lt;="&amp;$I$7,AG354:AL354)</f>
        <v>0</v>
      </c>
      <c r="AP354" s="878" t="str">
        <f ca="1">IFERROR((AO355/AO354),"-")</f>
        <v>-</v>
      </c>
      <c r="AQ354" s="2"/>
      <c r="AR354" s="705"/>
      <c r="AS354" s="705"/>
      <c r="AT354" s="705"/>
      <c r="AU354" s="705"/>
      <c r="AV354" s="705"/>
      <c r="AW354" s="705"/>
      <c r="AX354" s="705"/>
      <c r="AY354" s="2"/>
      <c r="AZ354" s="705">
        <f t="shared" si="913"/>
        <v>0</v>
      </c>
      <c r="BA354" s="878" t="str">
        <f>IFERROR((AZ355/AZ354),"-")</f>
        <v>-</v>
      </c>
      <c r="BB354" s="2"/>
      <c r="BC354" s="705"/>
      <c r="BD354" s="705"/>
      <c r="BE354" s="705"/>
      <c r="BF354" s="705"/>
      <c r="BG354" s="705"/>
      <c r="BH354" s="705"/>
      <c r="BI354" s="705"/>
      <c r="BJ354" s="2"/>
      <c r="BK354" s="705">
        <f t="shared" si="914"/>
        <v>0</v>
      </c>
      <c r="BL354" s="878" t="str">
        <f>IFERROR((BK355/BK354),"-")</f>
        <v>-</v>
      </c>
      <c r="BM354" s="2"/>
      <c r="BN354" s="921">
        <v>0</v>
      </c>
      <c r="BO354" s="921">
        <v>0</v>
      </c>
      <c r="BP354" s="884">
        <f>SUM(K355:P355,V355:AB355,AG355:AM355,AR355:AX355)</f>
        <v>0</v>
      </c>
      <c r="BQ354" s="878" t="str">
        <f t="shared" ref="BQ354" si="917">IFERROR((BP354/BO354),"-")</f>
        <v>-</v>
      </c>
      <c r="BR354" s="2"/>
      <c r="BS354" s="884"/>
      <c r="BT354" s="884"/>
      <c r="BU354" s="884">
        <v>0</v>
      </c>
      <c r="BV354" s="1016" t="e">
        <v>#N/A</v>
      </c>
      <c r="BW354" s="1004" t="str">
        <f>IFERROR((BU354/BV354),"-")</f>
        <v>-</v>
      </c>
      <c r="BX354" s="884">
        <v>0</v>
      </c>
      <c r="BY354" s="878" t="str">
        <f>IFERROR((BU354/BX354),"-")</f>
        <v>-</v>
      </c>
      <c r="BZ354" s="2"/>
      <c r="CA354" s="884">
        <v>0</v>
      </c>
      <c r="CB354" s="858">
        <f t="shared" ref="CB354" si="918">CA354-BU354</f>
        <v>0</v>
      </c>
      <c r="CC354" s="2"/>
      <c r="CD354" s="84">
        <f>IFERROR(AVERAGEIF($V$7:AB$7,"&lt;="&amp;$I$7,V354:AB354),0)</f>
        <v>0</v>
      </c>
      <c r="CE354" s="2"/>
      <c r="CH354" s="93" t="str">
        <f t="shared" si="759"/>
        <v xml:space="preserve">Forma dos Blocos </v>
      </c>
    </row>
    <row r="355" spans="1:86" s="16" customFormat="1" ht="19.7" hidden="1" customHeight="1" outlineLevel="1">
      <c r="A355" s="74"/>
      <c r="B355" s="1042"/>
      <c r="C355" s="1023"/>
      <c r="D355" s="2"/>
      <c r="E355" s="1024"/>
      <c r="F355" s="2"/>
      <c r="G355" s="50" t="s">
        <v>38</v>
      </c>
      <c r="H355" s="705">
        <f t="shared" si="777"/>
        <v>0</v>
      </c>
      <c r="I355" s="879"/>
      <c r="J355" s="2"/>
      <c r="K355" s="86"/>
      <c r="L355" s="86"/>
      <c r="M355" s="86"/>
      <c r="N355" s="86"/>
      <c r="O355" s="86"/>
      <c r="P355" s="86"/>
      <c r="Q355" s="706">
        <v>0</v>
      </c>
      <c r="R355" s="2"/>
      <c r="S355" s="705">
        <f t="shared" si="912"/>
        <v>0</v>
      </c>
      <c r="T355" s="879"/>
      <c r="U355" s="2"/>
      <c r="V355" s="706"/>
      <c r="W355" s="706"/>
      <c r="X355" s="706"/>
      <c r="Y355" s="706"/>
      <c r="Z355" s="706"/>
      <c r="AA355" s="706"/>
      <c r="AB355" s="706"/>
      <c r="AC355" s="2"/>
      <c r="AD355" s="705">
        <f ca="1">SUMIF($V$7:AB$7,"&lt;="&amp;$I$7,V355:AA355)</f>
        <v>0</v>
      </c>
      <c r="AE355" s="879"/>
      <c r="AF355" s="2"/>
      <c r="AG355" s="706"/>
      <c r="AH355" s="706"/>
      <c r="AI355" s="706"/>
      <c r="AJ355" s="706"/>
      <c r="AK355" s="706"/>
      <c r="AL355" s="706"/>
      <c r="AM355" s="706"/>
      <c r="AN355" s="2"/>
      <c r="AO355" s="705">
        <f ca="1">SUMIF($AG$7:AM$7,"&lt;="&amp;$I$7,AG355:AL355)</f>
        <v>0</v>
      </c>
      <c r="AP355" s="879"/>
      <c r="AQ355" s="2"/>
      <c r="AR355" s="706"/>
      <c r="AS355" s="706"/>
      <c r="AT355" s="706"/>
      <c r="AU355" s="706"/>
      <c r="AV355" s="706"/>
      <c r="AW355" s="706"/>
      <c r="AX355" s="706"/>
      <c r="AY355" s="2"/>
      <c r="AZ355" s="705">
        <f t="shared" si="913"/>
        <v>0</v>
      </c>
      <c r="BA355" s="879"/>
      <c r="BB355" s="2"/>
      <c r="BC355" s="706"/>
      <c r="BD355" s="706"/>
      <c r="BE355" s="706"/>
      <c r="BF355" s="706"/>
      <c r="BG355" s="706"/>
      <c r="BH355" s="706"/>
      <c r="BI355" s="706"/>
      <c r="BJ355" s="2"/>
      <c r="BK355" s="705">
        <f t="shared" si="914"/>
        <v>0</v>
      </c>
      <c r="BL355" s="879"/>
      <c r="BM355" s="2"/>
      <c r="BN355" s="922"/>
      <c r="BO355" s="922"/>
      <c r="BP355" s="885"/>
      <c r="BQ355" s="1050"/>
      <c r="BR355" s="2"/>
      <c r="BS355" s="922"/>
      <c r="BT355" s="922"/>
      <c r="BU355" s="922"/>
      <c r="BV355" s="1059"/>
      <c r="BW355" s="1051"/>
      <c r="BX355" s="922"/>
      <c r="BY355" s="1052"/>
      <c r="BZ355" s="2"/>
      <c r="CA355" s="922"/>
      <c r="CB355" s="857"/>
      <c r="CC355" s="2"/>
      <c r="CD355" s="84">
        <f>IFERROR(AVERAGEIF($V$7:AB$7,"&lt;="&amp;$I$7,V355:AB355),0)</f>
        <v>0</v>
      </c>
      <c r="CE355" s="2"/>
      <c r="CH355" s="93" t="str">
        <f t="shared" si="759"/>
        <v xml:space="preserve">Forma dos Blocos </v>
      </c>
    </row>
    <row r="356" spans="1:86" s="16" customFormat="1" ht="24.95" hidden="1" customHeight="1" outlineLevel="1">
      <c r="A356" s="74"/>
      <c r="B356" s="1058" t="s">
        <v>4012</v>
      </c>
      <c r="C356" s="1023" t="s">
        <v>1437</v>
      </c>
      <c r="D356" s="2"/>
      <c r="E356" s="1004">
        <v>0</v>
      </c>
      <c r="F356" s="2"/>
      <c r="G356" s="49" t="s">
        <v>37</v>
      </c>
      <c r="H356" s="705">
        <f t="shared" si="777"/>
        <v>0</v>
      </c>
      <c r="I356" s="878" t="str">
        <f t="shared" si="911"/>
        <v>-</v>
      </c>
      <c r="J356" s="2"/>
      <c r="K356" s="705"/>
      <c r="L356" s="705"/>
      <c r="M356" s="705"/>
      <c r="N356" s="705"/>
      <c r="O356" s="705"/>
      <c r="P356" s="705"/>
      <c r="Q356" s="705">
        <v>0</v>
      </c>
      <c r="R356" s="2"/>
      <c r="S356" s="705">
        <f t="shared" si="912"/>
        <v>0</v>
      </c>
      <c r="T356" s="878" t="str">
        <f>IFERROR((S357/S356),"-")</f>
        <v>-</v>
      </c>
      <c r="U356" s="2"/>
      <c r="V356" s="705"/>
      <c r="W356" s="705"/>
      <c r="X356" s="705"/>
      <c r="Y356" s="705"/>
      <c r="Z356" s="705"/>
      <c r="AA356" s="705"/>
      <c r="AB356" s="705"/>
      <c r="AC356" s="2"/>
      <c r="AD356" s="705">
        <f ca="1">SUMIF($V$7:AB$7,"&lt;="&amp;$I$7,V356:AA356)</f>
        <v>0</v>
      </c>
      <c r="AE356" s="878" t="str">
        <f ca="1">IFERROR((AD357/AD356),"-")</f>
        <v>-</v>
      </c>
      <c r="AF356" s="2"/>
      <c r="AG356" s="705"/>
      <c r="AH356" s="705"/>
      <c r="AI356" s="705"/>
      <c r="AJ356" s="705"/>
      <c r="AK356" s="705"/>
      <c r="AL356" s="705"/>
      <c r="AM356" s="705"/>
      <c r="AN356" s="2"/>
      <c r="AO356" s="705">
        <f ca="1">SUMIF($AG$7:AM$7,"&lt;="&amp;$I$7,AG356:AL356)</f>
        <v>0</v>
      </c>
      <c r="AP356" s="878" t="str">
        <f ca="1">IFERROR((AO357/AO356),"-")</f>
        <v>-</v>
      </c>
      <c r="AQ356" s="2"/>
      <c r="AR356" s="705"/>
      <c r="AS356" s="705"/>
      <c r="AT356" s="705"/>
      <c r="AU356" s="705"/>
      <c r="AV356" s="705"/>
      <c r="AW356" s="705"/>
      <c r="AX356" s="705"/>
      <c r="AY356" s="2"/>
      <c r="AZ356" s="705">
        <f t="shared" si="913"/>
        <v>0</v>
      </c>
      <c r="BA356" s="878" t="str">
        <f>IFERROR((AZ357/AZ356),"-")</f>
        <v>-</v>
      </c>
      <c r="BB356" s="2"/>
      <c r="BC356" s="705"/>
      <c r="BD356" s="705"/>
      <c r="BE356" s="705"/>
      <c r="BF356" s="705"/>
      <c r="BG356" s="705"/>
      <c r="BH356" s="705"/>
      <c r="BI356" s="705"/>
      <c r="BJ356" s="2"/>
      <c r="BK356" s="705">
        <f t="shared" si="914"/>
        <v>0</v>
      </c>
      <c r="BL356" s="878" t="str">
        <f>IFERROR((BK357/BK356),"-")</f>
        <v>-</v>
      </c>
      <c r="BM356" s="2"/>
      <c r="BN356" s="921">
        <v>0</v>
      </c>
      <c r="BO356" s="921">
        <v>0</v>
      </c>
      <c r="BP356" s="884">
        <f>SUM(K357:P357,V357:AB357,AG357:AM357,AR357:AX357)</f>
        <v>0</v>
      </c>
      <c r="BQ356" s="878" t="str">
        <f t="shared" ref="BQ356" si="919">IFERROR((BP356/BO356),"-")</f>
        <v>-</v>
      </c>
      <c r="BR356" s="2"/>
      <c r="BS356" s="884"/>
      <c r="BT356" s="884"/>
      <c r="BU356" s="884">
        <v>0</v>
      </c>
      <c r="BV356" s="1016" t="e">
        <v>#N/A</v>
      </c>
      <c r="BW356" s="1004" t="str">
        <f>IFERROR((BU356/BV356),"-")</f>
        <v>-</v>
      </c>
      <c r="BX356" s="884">
        <v>0</v>
      </c>
      <c r="BY356" s="878" t="str">
        <f>IFERROR((BU356/BX356),"-")</f>
        <v>-</v>
      </c>
      <c r="BZ356" s="2"/>
      <c r="CA356" s="884">
        <v>0</v>
      </c>
      <c r="CB356" s="858">
        <f t="shared" ref="CB356" si="920">CA356-BU356</f>
        <v>0</v>
      </c>
      <c r="CC356" s="2"/>
      <c r="CD356" s="504">
        <f>IFERROR(AVERAGEIF($V$7:AB$7,"&lt;="&amp;$I$7,V356:AB356),0)</f>
        <v>0</v>
      </c>
      <c r="CE356" s="2"/>
      <c r="CH356" s="93" t="str">
        <f t="shared" si="759"/>
        <v xml:space="preserve">Concretagem dos blocos </v>
      </c>
    </row>
    <row r="357" spans="1:86" s="21" customFormat="1" ht="24.95" hidden="1" customHeight="1" outlineLevel="1">
      <c r="A357" s="74"/>
      <c r="B357" s="1042"/>
      <c r="C357" s="1023"/>
      <c r="D357" s="2"/>
      <c r="E357" s="1024"/>
      <c r="F357" s="2"/>
      <c r="G357" s="50" t="s">
        <v>38</v>
      </c>
      <c r="H357" s="705">
        <f t="shared" si="777"/>
        <v>0</v>
      </c>
      <c r="I357" s="879"/>
      <c r="J357" s="2"/>
      <c r="K357" s="86"/>
      <c r="L357" s="86"/>
      <c r="M357" s="86"/>
      <c r="N357" s="86"/>
      <c r="O357" s="86"/>
      <c r="P357" s="86"/>
      <c r="Q357" s="706">
        <v>0</v>
      </c>
      <c r="R357" s="2"/>
      <c r="S357" s="705">
        <f t="shared" si="912"/>
        <v>0</v>
      </c>
      <c r="T357" s="879"/>
      <c r="U357" s="2"/>
      <c r="V357" s="706"/>
      <c r="W357" s="706"/>
      <c r="X357" s="706"/>
      <c r="Y357" s="706"/>
      <c r="Z357" s="706"/>
      <c r="AA357" s="706"/>
      <c r="AB357" s="706"/>
      <c r="AC357" s="2"/>
      <c r="AD357" s="705">
        <f ca="1">SUMIF($V$7:AB$7,"&lt;="&amp;$I$7,V357:AA357)</f>
        <v>0</v>
      </c>
      <c r="AE357" s="879"/>
      <c r="AF357" s="2"/>
      <c r="AG357" s="706"/>
      <c r="AH357" s="706"/>
      <c r="AI357" s="706"/>
      <c r="AJ357" s="706"/>
      <c r="AK357" s="706"/>
      <c r="AL357" s="706"/>
      <c r="AM357" s="706"/>
      <c r="AN357" s="2"/>
      <c r="AO357" s="705">
        <f ca="1">SUMIF($AG$7:AM$7,"&lt;="&amp;$I$7,AG357:AL357)</f>
        <v>0</v>
      </c>
      <c r="AP357" s="879"/>
      <c r="AQ357" s="2"/>
      <c r="AR357" s="706"/>
      <c r="AS357" s="706"/>
      <c r="AT357" s="706"/>
      <c r="AU357" s="706"/>
      <c r="AV357" s="706"/>
      <c r="AW357" s="706"/>
      <c r="AX357" s="706"/>
      <c r="AY357" s="2"/>
      <c r="AZ357" s="705">
        <f t="shared" si="913"/>
        <v>0</v>
      </c>
      <c r="BA357" s="879"/>
      <c r="BB357" s="2"/>
      <c r="BC357" s="706"/>
      <c r="BD357" s="706"/>
      <c r="BE357" s="706"/>
      <c r="BF357" s="706"/>
      <c r="BG357" s="706"/>
      <c r="BH357" s="706"/>
      <c r="BI357" s="706"/>
      <c r="BJ357" s="2"/>
      <c r="BK357" s="705">
        <f t="shared" si="914"/>
        <v>0</v>
      </c>
      <c r="BL357" s="879"/>
      <c r="BM357" s="2"/>
      <c r="BN357" s="922"/>
      <c r="BO357" s="922"/>
      <c r="BP357" s="885"/>
      <c r="BQ357" s="1050"/>
      <c r="BR357" s="2"/>
      <c r="BS357" s="922"/>
      <c r="BT357" s="922"/>
      <c r="BU357" s="922"/>
      <c r="BV357" s="1059"/>
      <c r="BW357" s="1051"/>
      <c r="BX357" s="922"/>
      <c r="BY357" s="1052"/>
      <c r="BZ357" s="2"/>
      <c r="CA357" s="922"/>
      <c r="CB357" s="857"/>
      <c r="CC357" s="2"/>
      <c r="CD357" s="504">
        <f>IFERROR(AVERAGEIF($V$7:AB$7,"&lt;="&amp;$I$7,V357:AB357),0)</f>
        <v>0</v>
      </c>
      <c r="CE357" s="2"/>
      <c r="CH357" s="93" t="str">
        <f t="shared" si="759"/>
        <v xml:space="preserve">Concretagem dos blocos </v>
      </c>
    </row>
    <row r="358" spans="1:86" s="16" customFormat="1" ht="24.95" customHeight="1" collapsed="1">
      <c r="A358" s="70"/>
      <c r="B358" s="1021" t="s">
        <v>4013</v>
      </c>
      <c r="C358" s="1023" t="s">
        <v>1437</v>
      </c>
      <c r="D358" s="2"/>
      <c r="E358" s="1004">
        <v>2</v>
      </c>
      <c r="F358" s="2"/>
      <c r="G358" s="49" t="s">
        <v>37</v>
      </c>
      <c r="H358" s="43">
        <f t="shared" si="777"/>
        <v>0</v>
      </c>
      <c r="I358" s="878" t="str">
        <f>IFERROR((H359/H358),"-")</f>
        <v>-</v>
      </c>
      <c r="J358" s="40"/>
      <c r="K358" s="42"/>
      <c r="L358" s="42"/>
      <c r="M358" s="42" t="s">
        <v>1434</v>
      </c>
      <c r="N358" s="42" t="s">
        <v>1434</v>
      </c>
      <c r="O358" s="42">
        <v>1</v>
      </c>
      <c r="P358" s="42">
        <v>0</v>
      </c>
      <c r="Q358" s="42">
        <f>Q368+Q372+Q378</f>
        <v>0</v>
      </c>
      <c r="R358" s="40"/>
      <c r="S358" s="43">
        <f ca="1">SUMIF($K$7:Q$7,"&lt;="&amp;$I$7,K358:P358)</f>
        <v>1</v>
      </c>
      <c r="T358" s="762">
        <f ca="1">IFERROR((S359/S358),"-")</f>
        <v>0</v>
      </c>
      <c r="U358" s="40"/>
      <c r="V358" s="42"/>
      <c r="W358" s="42"/>
      <c r="X358" s="42"/>
      <c r="Y358" s="42" t="s">
        <v>1434</v>
      </c>
      <c r="Z358" s="42" t="s">
        <v>1434</v>
      </c>
      <c r="AA358" s="42">
        <v>1</v>
      </c>
      <c r="AB358" s="42"/>
      <c r="AC358" s="40"/>
      <c r="AD358" s="705">
        <f>SUMIF($V$7:AB$7,"&lt;="&amp;$I$7,V358:AB358)</f>
        <v>1</v>
      </c>
      <c r="AE358" s="762">
        <f ca="1">IFERROR((AD359/AD358),"-")</f>
        <v>0</v>
      </c>
      <c r="AF358" s="40"/>
      <c r="AG358" s="42"/>
      <c r="AH358" s="42"/>
      <c r="AI358" s="42" t="s">
        <v>1434</v>
      </c>
      <c r="AJ358" s="42" t="s">
        <v>1434</v>
      </c>
      <c r="AK358" s="42">
        <v>1</v>
      </c>
      <c r="AL358" s="42"/>
      <c r="AM358" s="42"/>
      <c r="AN358" s="40"/>
      <c r="AO358" s="43">
        <f ca="1">SUMIF($AG$7:AM$7,"&lt;="&amp;$I$7,AG358:AL358)</f>
        <v>0</v>
      </c>
      <c r="AP358" s="762" t="str">
        <f ca="1">IFERROR((AO359/AO358),"-")</f>
        <v>-</v>
      </c>
      <c r="AQ358" s="40"/>
      <c r="AR358" s="42"/>
      <c r="AS358" s="42"/>
      <c r="AT358" s="42"/>
      <c r="AU358" s="42"/>
      <c r="AV358" s="42"/>
      <c r="AW358" s="42"/>
      <c r="AX358" s="42"/>
      <c r="AY358" s="40"/>
      <c r="AZ358" s="43">
        <f ca="1">SUMIF($AR$7:AX$7,"&lt;="&amp;$I$7,AR358:AW358)</f>
        <v>0</v>
      </c>
      <c r="BA358" s="762" t="str">
        <f ca="1">IFERROR((AZ359/AZ358),"-")</f>
        <v>-</v>
      </c>
      <c r="BB358" s="40"/>
      <c r="BC358" s="42"/>
      <c r="BD358" s="42"/>
      <c r="BE358" s="42"/>
      <c r="BF358" s="42"/>
      <c r="BG358" s="42"/>
      <c r="BH358" s="42"/>
      <c r="BI358" s="42">
        <f>BI368+BI372+BI378</f>
        <v>0</v>
      </c>
      <c r="BJ358" s="40"/>
      <c r="BK358" s="43">
        <f ca="1">SUMIF($BC$7:BI$7,"&lt;="&amp;$I$7,BC358:BH358)</f>
        <v>0</v>
      </c>
      <c r="BL358" s="762" t="str">
        <f ca="1">IFERROR((BK359/BK358),"-")</f>
        <v>-</v>
      </c>
      <c r="BM358" s="40"/>
      <c r="BN358" s="1025">
        <v>4</v>
      </c>
      <c r="BO358" s="1027">
        <v>1</v>
      </c>
      <c r="BP358" s="909">
        <f>SUM(K359:P359,V359:AB359,AG359:AM359,AR359:AW359,BC359:BH359)</f>
        <v>0</v>
      </c>
      <c r="BQ358" s="762">
        <f>IFERROR((BP358/BO358),"-")</f>
        <v>0</v>
      </c>
      <c r="BR358" s="40"/>
      <c r="BS358" s="909"/>
      <c r="BT358" s="909"/>
      <c r="BU358" s="924">
        <v>2</v>
      </c>
      <c r="BV358" s="909">
        <v>210</v>
      </c>
      <c r="BW358" s="1030">
        <f>IFERROR((BU358/BV358),"-")</f>
        <v>9.5238095238095247E-3</v>
      </c>
      <c r="BX358" s="909">
        <v>6</v>
      </c>
      <c r="BY358" s="1032">
        <f>IFERROR((BU358/BX358),"-")</f>
        <v>0.33333333333333331</v>
      </c>
      <c r="BZ358" s="40"/>
      <c r="CA358" s="909">
        <v>6</v>
      </c>
      <c r="CB358" s="909">
        <f>CA358-BU358</f>
        <v>4</v>
      </c>
      <c r="CC358" s="2"/>
      <c r="CD358" s="504">
        <f>IFERROR(AVERAGEIF($V$7:AB$7,"&lt;="&amp;$I$7,V358:AB358),0)</f>
        <v>1</v>
      </c>
      <c r="CE358" s="2"/>
      <c r="CH358" s="93" t="str">
        <f t="shared" si="759"/>
        <v>PLINTOS</v>
      </c>
    </row>
    <row r="359" spans="1:86" s="21" customFormat="1" ht="24.95" customHeight="1">
      <c r="A359" s="70"/>
      <c r="B359" s="1022"/>
      <c r="C359" s="1023"/>
      <c r="D359" s="2"/>
      <c r="E359" s="1024"/>
      <c r="F359" s="2"/>
      <c r="G359" s="50" t="s">
        <v>38</v>
      </c>
      <c r="H359" s="43">
        <f t="shared" si="777"/>
        <v>0</v>
      </c>
      <c r="I359" s="879"/>
      <c r="J359" s="40"/>
      <c r="K359" s="72"/>
      <c r="L359" s="72"/>
      <c r="M359" s="72"/>
      <c r="N359" s="72"/>
      <c r="O359" s="72"/>
      <c r="P359" s="72">
        <v>0</v>
      </c>
      <c r="Q359" s="43"/>
      <c r="R359" s="40"/>
      <c r="S359" s="43">
        <f ca="1">SUMIF($K$7:Q$7,"&lt;="&amp;$I$7,K359:P359)</f>
        <v>0</v>
      </c>
      <c r="T359" s="763"/>
      <c r="U359" s="40"/>
      <c r="V359" s="72"/>
      <c r="W359" s="72"/>
      <c r="X359" s="72"/>
      <c r="Y359" s="72"/>
      <c r="Z359" s="72"/>
      <c r="AA359" s="72"/>
      <c r="AB359" s="43"/>
      <c r="AC359" s="40"/>
      <c r="AD359" s="705">
        <f ca="1">SUMIF($K$7:AB$7,"&lt;="&amp;$I$7,V359:AB359)</f>
        <v>0</v>
      </c>
      <c r="AE359" s="763"/>
      <c r="AF359" s="40"/>
      <c r="AG359" s="72"/>
      <c r="AH359" s="72"/>
      <c r="AI359" s="72"/>
      <c r="AJ359" s="72"/>
      <c r="AK359" s="72"/>
      <c r="AL359" s="72"/>
      <c r="AM359" s="43"/>
      <c r="AN359" s="40"/>
      <c r="AO359" s="43">
        <f ca="1">SUMIF($AG$7:AM$7,"&lt;="&amp;$I$7,AG359:AL359)</f>
        <v>0</v>
      </c>
      <c r="AP359" s="763"/>
      <c r="AQ359" s="40"/>
      <c r="AR359" s="42"/>
      <c r="AS359" s="42"/>
      <c r="AT359" s="42"/>
      <c r="AU359" s="42"/>
      <c r="AV359" s="42"/>
      <c r="AW359" s="42"/>
      <c r="AX359" s="43"/>
      <c r="AY359" s="40"/>
      <c r="AZ359" s="43">
        <f ca="1">SUMIF($AR$7:AX$7,"&lt;="&amp;$I$7,AR359:AW359)</f>
        <v>0</v>
      </c>
      <c r="BA359" s="763"/>
      <c r="BB359" s="40"/>
      <c r="BC359" s="42"/>
      <c r="BD359" s="42"/>
      <c r="BE359" s="42"/>
      <c r="BF359" s="42"/>
      <c r="BG359" s="42"/>
      <c r="BH359" s="42"/>
      <c r="BI359" s="43">
        <f>BI369+BI373+BI379</f>
        <v>0</v>
      </c>
      <c r="BJ359" s="40"/>
      <c r="BK359" s="43">
        <f ca="1">SUMIF($BC$7:BI$7,"&lt;="&amp;$I$7,BC359:BH359)</f>
        <v>0</v>
      </c>
      <c r="BL359" s="763"/>
      <c r="BM359" s="40"/>
      <c r="BN359" s="1026"/>
      <c r="BO359" s="1028"/>
      <c r="BP359" s="910"/>
      <c r="BQ359" s="1029"/>
      <c r="BR359" s="40"/>
      <c r="BS359" s="910"/>
      <c r="BT359" s="910"/>
      <c r="BU359" s="925"/>
      <c r="BV359" s="910"/>
      <c r="BW359" s="1031"/>
      <c r="BX359" s="910"/>
      <c r="BY359" s="1033"/>
      <c r="BZ359" s="40"/>
      <c r="CA359" s="910"/>
      <c r="CB359" s="910"/>
      <c r="CC359" s="2"/>
      <c r="CD359" s="504">
        <f>IFERROR(AVERAGEIF($V$7:AB$7,"&lt;="&amp;$I$7,V359:AB359),0)</f>
        <v>0</v>
      </c>
      <c r="CE359" s="2"/>
      <c r="CH359" s="93" t="str">
        <f t="shared" si="759"/>
        <v>PLINTOS</v>
      </c>
    </row>
    <row r="360" spans="1:86" s="16" customFormat="1" ht="24.95" hidden="1" customHeight="1" outlineLevel="1">
      <c r="A360" s="74"/>
      <c r="B360" s="1058" t="s">
        <v>4014</v>
      </c>
      <c r="C360" s="1023" t="s">
        <v>1437</v>
      </c>
      <c r="D360" s="2"/>
      <c r="E360" s="1004">
        <v>0</v>
      </c>
      <c r="F360" s="2"/>
      <c r="G360" s="49" t="s">
        <v>37</v>
      </c>
      <c r="H360" s="705">
        <f t="shared" si="777"/>
        <v>0</v>
      </c>
      <c r="I360" s="878" t="str">
        <f t="shared" ref="I360" si="921">IFERROR((H361/H360),"-")</f>
        <v>-</v>
      </c>
      <c r="J360" s="2"/>
      <c r="K360" s="705"/>
      <c r="L360" s="705"/>
      <c r="M360" s="705"/>
      <c r="N360" s="705"/>
      <c r="O360" s="705"/>
      <c r="P360" s="705"/>
      <c r="Q360" s="705">
        <v>0</v>
      </c>
      <c r="R360" s="2"/>
      <c r="S360" s="705">
        <f t="shared" ref="S360:S371" si="922">SUM(K360:P360)</f>
        <v>0</v>
      </c>
      <c r="T360" s="878" t="str">
        <f>IFERROR((S361/S360),"-")</f>
        <v>-</v>
      </c>
      <c r="U360" s="2"/>
      <c r="V360" s="705"/>
      <c r="W360" s="705"/>
      <c r="X360" s="705"/>
      <c r="Y360" s="705"/>
      <c r="Z360" s="705"/>
      <c r="AA360" s="705"/>
      <c r="AB360" s="705"/>
      <c r="AC360" s="2"/>
      <c r="AD360" s="705">
        <f ca="1">SUMIF($V$7:AB$7,"&lt;="&amp;$I$7,V360:AA360)</f>
        <v>0</v>
      </c>
      <c r="AE360" s="878" t="str">
        <f ca="1">IFERROR((AD361/AD360),"-")</f>
        <v>-</v>
      </c>
      <c r="AF360" s="2"/>
      <c r="AG360" s="705"/>
      <c r="AH360" s="705"/>
      <c r="AI360" s="705"/>
      <c r="AJ360" s="705"/>
      <c r="AK360" s="705"/>
      <c r="AL360" s="705"/>
      <c r="AM360" s="705"/>
      <c r="AN360" s="2"/>
      <c r="AO360" s="705">
        <f ca="1">SUMIF($AG$7:AM$7,"&lt;="&amp;$I$7,AG360:AL360)</f>
        <v>0</v>
      </c>
      <c r="AP360" s="878" t="str">
        <f ca="1">IFERROR((AO361/AO360),"-")</f>
        <v>-</v>
      </c>
      <c r="AQ360" s="2"/>
      <c r="AR360" s="705"/>
      <c r="AS360" s="705"/>
      <c r="AT360" s="705"/>
      <c r="AU360" s="705"/>
      <c r="AV360" s="705"/>
      <c r="AW360" s="705"/>
      <c r="AX360" s="705"/>
      <c r="AY360" s="2"/>
      <c r="AZ360" s="705">
        <f ca="1">SUMIF($AR$7:AX$7,"&lt;="&amp;$I$7,AR360:AW360)</f>
        <v>0</v>
      </c>
      <c r="BA360" s="878" t="str">
        <f ca="1">IFERROR((AZ361/AZ360),"-")</f>
        <v>-</v>
      </c>
      <c r="BB360" s="2"/>
      <c r="BC360" s="705"/>
      <c r="BD360" s="705"/>
      <c r="BE360" s="705"/>
      <c r="BF360" s="705"/>
      <c r="BG360" s="705"/>
      <c r="BH360" s="705"/>
      <c r="BI360" s="705"/>
      <c r="BJ360" s="2"/>
      <c r="BK360" s="705">
        <f ca="1">SUMIF($BC$7:BI$7,"&lt;="&amp;$I$7,BC360:BH360)</f>
        <v>0</v>
      </c>
      <c r="BL360" s="878" t="str">
        <f ca="1">IFERROR((BK361/BK360),"-")</f>
        <v>-</v>
      </c>
      <c r="BM360" s="2"/>
      <c r="BN360" s="921">
        <v>0</v>
      </c>
      <c r="BO360" s="921">
        <v>0</v>
      </c>
      <c r="BP360" s="884">
        <f>SUM(M361:P361,V361:AB361,AG361:AM361,AR361:AX361,BC361:BH361)</f>
        <v>0</v>
      </c>
      <c r="BQ360" s="878" t="str">
        <f t="shared" ref="BQ360" si="923">IFERROR((BP360/BO360),"-")</f>
        <v>-</v>
      </c>
      <c r="BR360" s="2"/>
      <c r="BS360" s="884"/>
      <c r="BT360" s="884"/>
      <c r="BU360" s="884">
        <v>0</v>
      </c>
      <c r="BV360" s="1016" t="e">
        <v>#N/A</v>
      </c>
      <c r="BW360" s="1004" t="str">
        <f>IFERROR((BU360/BV360),"-")</f>
        <v>-</v>
      </c>
      <c r="BX360" s="884">
        <v>0</v>
      </c>
      <c r="BY360" s="878" t="str">
        <f>IFERROR((BU360/BX360),"-")</f>
        <v>-</v>
      </c>
      <c r="BZ360" s="2"/>
      <c r="CA360" s="884">
        <v>1</v>
      </c>
      <c r="CB360" s="858">
        <f t="shared" ref="CB360" si="924">CA360-BU360</f>
        <v>1</v>
      </c>
      <c r="CC360" s="2"/>
      <c r="CD360" s="504">
        <f>IFERROR(AVERAGEIF($V$7:AB$7,"&lt;="&amp;$I$7,V360:AB360),0)</f>
        <v>0</v>
      </c>
      <c r="CE360" s="2"/>
      <c r="CH360" s="93" t="str">
        <f t="shared" si="759"/>
        <v>P1 - CONCRETAGEM</v>
      </c>
    </row>
    <row r="361" spans="1:86" s="21" customFormat="1" ht="24.95" hidden="1" customHeight="1" outlineLevel="1">
      <c r="A361" s="74"/>
      <c r="B361" s="1042"/>
      <c r="C361" s="1023"/>
      <c r="D361" s="2"/>
      <c r="E361" s="1024"/>
      <c r="F361" s="2"/>
      <c r="G361" s="50" t="s">
        <v>38</v>
      </c>
      <c r="H361" s="705">
        <f t="shared" si="777"/>
        <v>0</v>
      </c>
      <c r="I361" s="879"/>
      <c r="J361" s="2"/>
      <c r="K361" s="86"/>
      <c r="L361" s="86"/>
      <c r="M361" s="86"/>
      <c r="N361" s="86"/>
      <c r="O361" s="86"/>
      <c r="P361" s="86"/>
      <c r="Q361" s="706">
        <v>0</v>
      </c>
      <c r="R361" s="2"/>
      <c r="S361" s="705">
        <f t="shared" si="922"/>
        <v>0</v>
      </c>
      <c r="T361" s="879"/>
      <c r="U361" s="2"/>
      <c r="V361" s="86"/>
      <c r="W361" s="86"/>
      <c r="X361" s="86"/>
      <c r="Y361" s="86"/>
      <c r="Z361" s="86"/>
      <c r="AA361" s="86"/>
      <c r="AB361" s="706"/>
      <c r="AC361" s="2"/>
      <c r="AD361" s="705">
        <f ca="1">SUMIF($V$7:AB$7,"&lt;="&amp;$I$7,V361:AA361)</f>
        <v>0</v>
      </c>
      <c r="AE361" s="879"/>
      <c r="AF361" s="2"/>
      <c r="AG361" s="86"/>
      <c r="AH361" s="86"/>
      <c r="AI361" s="86"/>
      <c r="AJ361" s="86"/>
      <c r="AK361" s="86"/>
      <c r="AL361" s="86"/>
      <c r="AM361" s="706"/>
      <c r="AN361" s="2"/>
      <c r="AO361" s="705">
        <f ca="1">SUMIF($AG$7:AM$7,"&lt;="&amp;$I$7,AG361:AL361)</f>
        <v>0</v>
      </c>
      <c r="AP361" s="879"/>
      <c r="AQ361" s="2"/>
      <c r="AR361" s="86"/>
      <c r="AS361" s="86"/>
      <c r="AT361" s="86"/>
      <c r="AU361" s="86"/>
      <c r="AV361" s="86"/>
      <c r="AW361" s="86"/>
      <c r="AX361" s="706"/>
      <c r="AY361" s="2"/>
      <c r="AZ361" s="705">
        <f ca="1">SUMIF($AR$7:AX$7,"&lt;="&amp;$I$7,AR361:AW361)</f>
        <v>0</v>
      </c>
      <c r="BA361" s="879"/>
      <c r="BB361" s="2"/>
      <c r="BC361" s="86"/>
      <c r="BD361" s="86"/>
      <c r="BE361" s="86"/>
      <c r="BF361" s="86"/>
      <c r="BG361" s="86"/>
      <c r="BH361" s="86"/>
      <c r="BI361" s="706"/>
      <c r="BJ361" s="2"/>
      <c r="BK361" s="705">
        <f ca="1">SUMIF($BC$7:BI$7,"&lt;="&amp;$I$7,BC361:BH361)</f>
        <v>0</v>
      </c>
      <c r="BL361" s="879"/>
      <c r="BM361" s="2"/>
      <c r="BN361" s="922"/>
      <c r="BO361" s="922"/>
      <c r="BP361" s="885"/>
      <c r="BQ361" s="1050"/>
      <c r="BR361" s="2"/>
      <c r="BS361" s="922"/>
      <c r="BT361" s="922"/>
      <c r="BU361" s="922"/>
      <c r="BV361" s="1059"/>
      <c r="BW361" s="1051"/>
      <c r="BX361" s="922"/>
      <c r="BY361" s="1052"/>
      <c r="BZ361" s="2"/>
      <c r="CA361" s="922"/>
      <c r="CB361" s="857"/>
      <c r="CC361" s="2"/>
      <c r="CD361" s="504">
        <f>IFERROR(AVERAGEIF($V$7:AB$7,"&lt;="&amp;$I$7,V361:AB361),0)</f>
        <v>0</v>
      </c>
      <c r="CE361" s="2"/>
      <c r="CH361" s="93" t="str">
        <f t="shared" si="759"/>
        <v>P1 - CONCRETAGEM</v>
      </c>
    </row>
    <row r="362" spans="1:86" s="16" customFormat="1" ht="24.95" hidden="1" customHeight="1" outlineLevel="1">
      <c r="A362" s="74"/>
      <c r="B362" s="1058" t="s">
        <v>4015</v>
      </c>
      <c r="C362" s="1023" t="s">
        <v>1437</v>
      </c>
      <c r="D362" s="2"/>
      <c r="E362" s="1004">
        <v>0</v>
      </c>
      <c r="F362" s="2"/>
      <c r="G362" s="49" t="s">
        <v>37</v>
      </c>
      <c r="H362" s="705">
        <f t="shared" si="777"/>
        <v>0</v>
      </c>
      <c r="I362" s="878" t="str">
        <f t="shared" ref="I362" si="925">IFERROR((H363/H362),"-")</f>
        <v>-</v>
      </c>
      <c r="J362" s="2"/>
      <c r="K362" s="705"/>
      <c r="L362" s="705"/>
      <c r="M362" s="705"/>
      <c r="N362" s="705"/>
      <c r="O362" s="705"/>
      <c r="P362" s="705"/>
      <c r="Q362" s="705"/>
      <c r="R362" s="2"/>
      <c r="S362" s="705"/>
      <c r="T362" s="878"/>
      <c r="U362" s="2"/>
      <c r="V362" s="705"/>
      <c r="W362" s="705"/>
      <c r="X362" s="705"/>
      <c r="Y362" s="705"/>
      <c r="Z362" s="705"/>
      <c r="AA362" s="705"/>
      <c r="AB362" s="705"/>
      <c r="AC362" s="2"/>
      <c r="AD362" s="705">
        <f ca="1">SUMIF($V$7:AB$7,"&lt;="&amp;$I$7,V362:AA362)</f>
        <v>0</v>
      </c>
      <c r="AE362" s="878" t="str">
        <f ca="1">IFERROR((AD363/AD362),"-")</f>
        <v>-</v>
      </c>
      <c r="AF362" s="2"/>
      <c r="AG362" s="705"/>
      <c r="AH362" s="705"/>
      <c r="AI362" s="705"/>
      <c r="AJ362" s="705"/>
      <c r="AK362" s="705"/>
      <c r="AL362" s="705"/>
      <c r="AM362" s="705"/>
      <c r="AN362" s="2"/>
      <c r="AO362" s="705">
        <f ca="1">SUMIF($AG$7:AM$7,"&lt;="&amp;$I$7,AG362:AL362)</f>
        <v>0</v>
      </c>
      <c r="AP362" s="878" t="str">
        <f ca="1">IFERROR((AO363/AO362),"-")</f>
        <v>-</v>
      </c>
      <c r="AQ362" s="2"/>
      <c r="AR362" s="705"/>
      <c r="AS362" s="705"/>
      <c r="AT362" s="705"/>
      <c r="AU362" s="705"/>
      <c r="AV362" s="705"/>
      <c r="AW362" s="705"/>
      <c r="AX362" s="705"/>
      <c r="AY362" s="2"/>
      <c r="AZ362" s="705">
        <f ca="1">SUMIF($AR$7:AX$7,"&lt;="&amp;$I$7,AR362:AW362)</f>
        <v>0</v>
      </c>
      <c r="BA362" s="878" t="str">
        <f ca="1">IFERROR((AZ363/AZ362),"-")</f>
        <v>-</v>
      </c>
      <c r="BB362" s="2"/>
      <c r="BC362" s="705"/>
      <c r="BD362" s="705"/>
      <c r="BE362" s="705"/>
      <c r="BF362" s="705"/>
      <c r="BG362" s="705"/>
      <c r="BH362" s="705"/>
      <c r="BI362" s="705"/>
      <c r="BJ362" s="2"/>
      <c r="BK362" s="705">
        <f ca="1">SUMIF($BC$7:BI$7,"&lt;="&amp;$I$7,BC362:BH362)</f>
        <v>0</v>
      </c>
      <c r="BL362" s="878" t="str">
        <f ca="1">IFERROR((BK363/BK362),"-")</f>
        <v>-</v>
      </c>
      <c r="BM362" s="2"/>
      <c r="BN362" s="921">
        <v>0</v>
      </c>
      <c r="BO362" s="921">
        <v>0</v>
      </c>
      <c r="BP362" s="884">
        <f>SUM(M363:P363,V363:AB363,AG363:AM363,AR363:AX363,BC363:BH363)</f>
        <v>0</v>
      </c>
      <c r="BQ362" s="878" t="str">
        <f t="shared" ref="BQ362" si="926">IFERROR((BP362/BO362),"-")</f>
        <v>-</v>
      </c>
      <c r="BR362" s="2"/>
      <c r="BS362" s="884"/>
      <c r="BT362" s="884"/>
      <c r="BU362" s="884">
        <v>0</v>
      </c>
      <c r="BV362" s="1016" t="e">
        <v>#N/A</v>
      </c>
      <c r="BW362" s="1004" t="str">
        <f>IFERROR((BU362/BV362),"-")</f>
        <v>-</v>
      </c>
      <c r="BX362" s="884">
        <v>0</v>
      </c>
      <c r="BY362" s="878" t="str">
        <f>IFERROR((BU362/BX362),"-")</f>
        <v>-</v>
      </c>
      <c r="BZ362" s="2"/>
      <c r="CA362" s="884">
        <v>2</v>
      </c>
      <c r="CB362" s="858">
        <f t="shared" ref="CB362" si="927">CA362-BU362</f>
        <v>2</v>
      </c>
      <c r="CC362" s="2"/>
      <c r="CD362" s="504">
        <f>IFERROR(AVERAGEIF($V$7:AB$7,"&lt;="&amp;$I$7,V362:AB362),0)</f>
        <v>0</v>
      </c>
      <c r="CE362" s="2"/>
      <c r="CH362" s="93" t="str">
        <f t="shared" si="759"/>
        <v>P2 - CONCRETAGEM</v>
      </c>
    </row>
    <row r="363" spans="1:86" s="21" customFormat="1" ht="24.95" hidden="1" customHeight="1" outlineLevel="1">
      <c r="A363" s="74"/>
      <c r="B363" s="1042"/>
      <c r="C363" s="1023"/>
      <c r="D363" s="2"/>
      <c r="E363" s="1024"/>
      <c r="F363" s="2"/>
      <c r="G363" s="50" t="s">
        <v>38</v>
      </c>
      <c r="H363" s="705">
        <f t="shared" si="777"/>
        <v>0</v>
      </c>
      <c r="I363" s="879"/>
      <c r="J363" s="2"/>
      <c r="K363" s="86"/>
      <c r="L363" s="86"/>
      <c r="M363" s="86"/>
      <c r="N363" s="86"/>
      <c r="O363" s="86"/>
      <c r="P363" s="86"/>
      <c r="Q363" s="706"/>
      <c r="R363" s="2"/>
      <c r="S363" s="705"/>
      <c r="T363" s="879"/>
      <c r="U363" s="2"/>
      <c r="V363" s="86"/>
      <c r="W363" s="86"/>
      <c r="X363" s="86"/>
      <c r="Y363" s="86"/>
      <c r="Z363" s="86"/>
      <c r="AA363" s="86"/>
      <c r="AB363" s="706"/>
      <c r="AC363" s="2"/>
      <c r="AD363" s="705">
        <f ca="1">SUMIF($V$7:AB$7,"&lt;="&amp;$I$7,V363:AA363)</f>
        <v>0</v>
      </c>
      <c r="AE363" s="879"/>
      <c r="AF363" s="2"/>
      <c r="AG363" s="86"/>
      <c r="AH363" s="86"/>
      <c r="AI363" s="86"/>
      <c r="AJ363" s="86"/>
      <c r="AK363" s="86"/>
      <c r="AL363" s="86"/>
      <c r="AM363" s="706"/>
      <c r="AN363" s="2"/>
      <c r="AO363" s="705">
        <f ca="1">SUMIF($AG$7:AM$7,"&lt;="&amp;$I$7,AG363:AL363)</f>
        <v>0</v>
      </c>
      <c r="AP363" s="879"/>
      <c r="AQ363" s="2"/>
      <c r="AR363" s="86"/>
      <c r="AS363" s="86"/>
      <c r="AT363" s="86"/>
      <c r="AU363" s="86"/>
      <c r="AV363" s="86"/>
      <c r="AW363" s="86"/>
      <c r="AX363" s="706"/>
      <c r="AY363" s="2"/>
      <c r="AZ363" s="705">
        <f ca="1">SUMIF($AR$7:AX$7,"&lt;="&amp;$I$7,AR363:AW363)</f>
        <v>0</v>
      </c>
      <c r="BA363" s="879"/>
      <c r="BB363" s="2"/>
      <c r="BC363" s="86"/>
      <c r="BD363" s="86"/>
      <c r="BE363" s="86"/>
      <c r="BF363" s="86"/>
      <c r="BG363" s="86"/>
      <c r="BH363" s="86"/>
      <c r="BI363" s="706"/>
      <c r="BJ363" s="2"/>
      <c r="BK363" s="705">
        <f ca="1">SUMIF($BC$7:BI$7,"&lt;="&amp;$I$7,BC363:BH363)</f>
        <v>0</v>
      </c>
      <c r="BL363" s="879"/>
      <c r="BM363" s="2"/>
      <c r="BN363" s="922"/>
      <c r="BO363" s="922"/>
      <c r="BP363" s="885"/>
      <c r="BQ363" s="1050"/>
      <c r="BR363" s="2"/>
      <c r="BS363" s="922"/>
      <c r="BT363" s="922"/>
      <c r="BU363" s="922"/>
      <c r="BV363" s="1059"/>
      <c r="BW363" s="1051"/>
      <c r="BX363" s="922"/>
      <c r="BY363" s="1052"/>
      <c r="BZ363" s="2"/>
      <c r="CA363" s="922"/>
      <c r="CB363" s="857"/>
      <c r="CC363" s="2"/>
      <c r="CD363" s="504">
        <f>IFERROR(AVERAGEIF($V$7:AB$7,"&lt;="&amp;$I$7,V363:AB363),0)</f>
        <v>0</v>
      </c>
      <c r="CE363" s="2"/>
      <c r="CH363" s="93" t="str">
        <f t="shared" si="759"/>
        <v>P2 - CONCRETAGEM</v>
      </c>
    </row>
    <row r="364" spans="1:86" s="16" customFormat="1" ht="21.4" hidden="1" customHeight="1" outlineLevel="1">
      <c r="A364" s="74"/>
      <c r="B364" s="1058" t="s">
        <v>4016</v>
      </c>
      <c r="C364" s="1023" t="s">
        <v>1437</v>
      </c>
      <c r="D364" s="2"/>
      <c r="E364" s="1004">
        <v>1</v>
      </c>
      <c r="F364" s="2"/>
      <c r="G364" s="49" t="s">
        <v>37</v>
      </c>
      <c r="H364" s="705">
        <f t="shared" si="777"/>
        <v>0</v>
      </c>
      <c r="I364" s="878" t="str">
        <f t="shared" ref="I364" si="928">IFERROR((H365/H364),"-")</f>
        <v>-</v>
      </c>
      <c r="J364" s="2"/>
      <c r="K364" s="705"/>
      <c r="L364" s="705"/>
      <c r="M364" s="705"/>
      <c r="N364" s="705"/>
      <c r="O364" s="705"/>
      <c r="P364" s="705"/>
      <c r="Q364" s="705">
        <v>0</v>
      </c>
      <c r="R364" s="2"/>
      <c r="S364" s="705">
        <f t="shared" ref="S364:S365" si="929">SUM(K364:P364)</f>
        <v>0</v>
      </c>
      <c r="T364" s="878" t="str">
        <f>IFERROR((S365/S364),"-")</f>
        <v>-</v>
      </c>
      <c r="U364" s="2"/>
      <c r="V364" s="705"/>
      <c r="W364" s="705"/>
      <c r="X364" s="705"/>
      <c r="Y364" s="705"/>
      <c r="Z364" s="705"/>
      <c r="AA364" s="705"/>
      <c r="AB364" s="705"/>
      <c r="AC364" s="2"/>
      <c r="AD364" s="705">
        <f ca="1">SUMIF($V$7:AB$7,"&lt;="&amp;$I$7,V364:AA364)</f>
        <v>0</v>
      </c>
      <c r="AE364" s="878" t="str">
        <f ca="1">IFERROR((AD365/AD364),"-")</f>
        <v>-</v>
      </c>
      <c r="AF364" s="2"/>
      <c r="AG364" s="705"/>
      <c r="AH364" s="705"/>
      <c r="AI364" s="705"/>
      <c r="AJ364" s="705"/>
      <c r="AK364" s="705"/>
      <c r="AL364" s="705"/>
      <c r="AM364" s="705"/>
      <c r="AN364" s="2"/>
      <c r="AO364" s="705">
        <f ca="1">SUMIF($AG$7:AM$7,"&lt;="&amp;$I$7,AG364:AL364)</f>
        <v>0</v>
      </c>
      <c r="AP364" s="878" t="str">
        <f ca="1">IFERROR((AO365/AO364),"-")</f>
        <v>-</v>
      </c>
      <c r="AQ364" s="2"/>
      <c r="AR364" s="705"/>
      <c r="AS364" s="705"/>
      <c r="AT364" s="705"/>
      <c r="AU364" s="705"/>
      <c r="AV364" s="705"/>
      <c r="AW364" s="705"/>
      <c r="AX364" s="705"/>
      <c r="AY364" s="2"/>
      <c r="AZ364" s="705">
        <f ca="1">SUMIF($AR$7:AX$7,"&lt;="&amp;$I$7,AR364:AW364)</f>
        <v>0</v>
      </c>
      <c r="BA364" s="878" t="str">
        <f ca="1">IFERROR((AZ365/AZ364),"-")</f>
        <v>-</v>
      </c>
      <c r="BB364" s="2"/>
      <c r="BC364" s="705"/>
      <c r="BD364" s="705"/>
      <c r="BE364" s="705"/>
      <c r="BF364" s="705"/>
      <c r="BG364" s="705"/>
      <c r="BH364" s="705"/>
      <c r="BI364" s="705"/>
      <c r="BJ364" s="2"/>
      <c r="BK364" s="705">
        <f ca="1">SUMIF($BC$7:BI$7,"&lt;="&amp;$I$7,BC364:BH364)</f>
        <v>0</v>
      </c>
      <c r="BL364" s="878" t="str">
        <f ca="1">IFERROR((BK365/BK364),"-")</f>
        <v>-</v>
      </c>
      <c r="BM364" s="2"/>
      <c r="BN364" s="921">
        <v>0</v>
      </c>
      <c r="BO364" s="921">
        <v>0</v>
      </c>
      <c r="BP364" s="884">
        <f>SUM(M365:P365,V365:AB365,AG365:AM365,AR365:AX365,BC365:BH365)</f>
        <v>0</v>
      </c>
      <c r="BQ364" s="878" t="str">
        <f t="shared" ref="BQ364" si="930">IFERROR((BP364/BO364),"-")</f>
        <v>-</v>
      </c>
      <c r="BR364" s="2"/>
      <c r="BS364" s="884"/>
      <c r="BT364" s="884"/>
      <c r="BU364" s="884">
        <v>1</v>
      </c>
      <c r="BV364" s="1016" t="e">
        <v>#N/A</v>
      </c>
      <c r="BW364" s="1004" t="str">
        <f>IFERROR((BU364/BV364),"-")</f>
        <v>-</v>
      </c>
      <c r="BX364" s="884">
        <v>0</v>
      </c>
      <c r="BY364" s="878" t="str">
        <f>IFERROR((BU364/BX364),"-")</f>
        <v>-</v>
      </c>
      <c r="BZ364" s="2"/>
      <c r="CA364" s="884">
        <v>3</v>
      </c>
      <c r="CB364" s="858">
        <f t="shared" ref="CB364" si="931">CA364-BU364</f>
        <v>2</v>
      </c>
      <c r="CC364" s="40"/>
      <c r="CD364" s="43">
        <f>IFERROR(AVERAGEIF($V$7:AB$7,"&lt;="&amp;$I$7,V364:AB364),0)</f>
        <v>0</v>
      </c>
      <c r="CE364" s="40"/>
      <c r="CH364" s="93" t="str">
        <f t="shared" si="759"/>
        <v xml:space="preserve">P3 - CONCRETAGEM </v>
      </c>
    </row>
    <row r="365" spans="1:86" s="16" customFormat="1" ht="21.4" hidden="1" customHeight="1" outlineLevel="1">
      <c r="A365" s="74"/>
      <c r="B365" s="1042"/>
      <c r="C365" s="1023"/>
      <c r="D365" s="2"/>
      <c r="E365" s="1024"/>
      <c r="F365" s="2"/>
      <c r="G365" s="50" t="s">
        <v>38</v>
      </c>
      <c r="H365" s="705">
        <f t="shared" si="777"/>
        <v>0</v>
      </c>
      <c r="I365" s="879"/>
      <c r="J365" s="2"/>
      <c r="K365" s="86"/>
      <c r="L365" s="86"/>
      <c r="M365" s="86"/>
      <c r="N365" s="86"/>
      <c r="O365" s="86"/>
      <c r="P365" s="86"/>
      <c r="Q365" s="706">
        <v>0</v>
      </c>
      <c r="R365" s="2"/>
      <c r="S365" s="705">
        <f t="shared" si="929"/>
        <v>0</v>
      </c>
      <c r="T365" s="879"/>
      <c r="U365" s="2"/>
      <c r="V365" s="706"/>
      <c r="W365" s="706"/>
      <c r="X365" s="706"/>
      <c r="Y365" s="706"/>
      <c r="Z365" s="706"/>
      <c r="AA365" s="706"/>
      <c r="AB365" s="706"/>
      <c r="AC365" s="2"/>
      <c r="AD365" s="705">
        <f ca="1">SUMIF($V$7:AB$7,"&lt;="&amp;$I$7,V365:AA365)</f>
        <v>0</v>
      </c>
      <c r="AE365" s="879"/>
      <c r="AF365" s="2"/>
      <c r="AG365" s="86"/>
      <c r="AH365" s="86"/>
      <c r="AI365" s="86"/>
      <c r="AJ365" s="86"/>
      <c r="AK365" s="86"/>
      <c r="AL365" s="86"/>
      <c r="AM365" s="706"/>
      <c r="AN365" s="2"/>
      <c r="AO365" s="705">
        <f ca="1">SUMIF($AG$7:AM$7,"&lt;="&amp;$I$7,AG365:AL365)</f>
        <v>0</v>
      </c>
      <c r="AP365" s="879"/>
      <c r="AQ365" s="2"/>
      <c r="AR365" s="706"/>
      <c r="AS365" s="706"/>
      <c r="AT365" s="706"/>
      <c r="AU365" s="706"/>
      <c r="AV365" s="706"/>
      <c r="AW365" s="706"/>
      <c r="AX365" s="706"/>
      <c r="AY365" s="2"/>
      <c r="AZ365" s="705">
        <f ca="1">SUMIF($AR$7:AX$7,"&lt;="&amp;$I$7,AR365:AW365)</f>
        <v>0</v>
      </c>
      <c r="BA365" s="879"/>
      <c r="BB365" s="2"/>
      <c r="BC365" s="706"/>
      <c r="BD365" s="706"/>
      <c r="BE365" s="706"/>
      <c r="BF365" s="706"/>
      <c r="BG365" s="706"/>
      <c r="BH365" s="706"/>
      <c r="BI365" s="706"/>
      <c r="BJ365" s="2"/>
      <c r="BK365" s="705">
        <f ca="1">SUMIF($BC$7:BI$7,"&lt;="&amp;$I$7,BC365:BH365)</f>
        <v>0</v>
      </c>
      <c r="BL365" s="879"/>
      <c r="BM365" s="2"/>
      <c r="BN365" s="922"/>
      <c r="BO365" s="922"/>
      <c r="BP365" s="885"/>
      <c r="BQ365" s="1050"/>
      <c r="BR365" s="2"/>
      <c r="BS365" s="922"/>
      <c r="BT365" s="922"/>
      <c r="BU365" s="922"/>
      <c r="BV365" s="1059"/>
      <c r="BW365" s="1051"/>
      <c r="BX365" s="922"/>
      <c r="BY365" s="1052"/>
      <c r="BZ365" s="2"/>
      <c r="CA365" s="922"/>
      <c r="CB365" s="857"/>
      <c r="CC365" s="40"/>
      <c r="CD365" s="43">
        <f>IFERROR(AVERAGEIF($V$7:AB$7,"&lt;="&amp;$I$7,V365:AB365),0)</f>
        <v>0</v>
      </c>
      <c r="CE365" s="40"/>
      <c r="CH365" s="93" t="str">
        <f t="shared" si="759"/>
        <v xml:space="preserve">P3 - CONCRETAGEM </v>
      </c>
    </row>
    <row r="366" spans="1:86" s="16" customFormat="1" ht="20.25" hidden="1" customHeight="1" outlineLevel="1">
      <c r="A366" s="74"/>
      <c r="B366" s="1058" t="s">
        <v>4017</v>
      </c>
      <c r="C366" s="1023" t="s">
        <v>1437</v>
      </c>
      <c r="D366" s="2"/>
      <c r="E366" s="1004">
        <v>0</v>
      </c>
      <c r="F366" s="2"/>
      <c r="G366" s="49" t="s">
        <v>37</v>
      </c>
      <c r="H366" s="705">
        <f t="shared" si="777"/>
        <v>0</v>
      </c>
      <c r="I366" s="878" t="str">
        <f t="shared" ref="I366" si="932">IFERROR((H367/H366),"-")</f>
        <v>-</v>
      </c>
      <c r="J366" s="2"/>
      <c r="K366" s="705"/>
      <c r="L366" s="705"/>
      <c r="M366" s="705" t="s">
        <v>1434</v>
      </c>
      <c r="N366" s="705" t="s">
        <v>1434</v>
      </c>
      <c r="O366" s="705">
        <v>1</v>
      </c>
      <c r="P366" s="705"/>
      <c r="Q366" s="705"/>
      <c r="R366" s="2"/>
      <c r="S366" s="705"/>
      <c r="T366" s="878"/>
      <c r="U366" s="2"/>
      <c r="V366" s="705"/>
      <c r="W366" s="705"/>
      <c r="X366" s="705"/>
      <c r="Y366" s="705" t="s">
        <v>1434</v>
      </c>
      <c r="Z366" s="705" t="s">
        <v>1434</v>
      </c>
      <c r="AA366" s="705">
        <v>1</v>
      </c>
      <c r="AB366" s="705"/>
      <c r="AC366" s="2"/>
      <c r="AD366" s="705">
        <f ca="1">SUMIF($V$7:AB$7,"&lt;="&amp;$I$7,V366:AA366)</f>
        <v>1</v>
      </c>
      <c r="AE366" s="878">
        <f ca="1">IFERROR((AD367/AD366),"-")</f>
        <v>0</v>
      </c>
      <c r="AF366" s="2"/>
      <c r="AG366" s="705"/>
      <c r="AH366" s="705"/>
      <c r="AI366" s="705" t="s">
        <v>1434</v>
      </c>
      <c r="AJ366" s="705" t="s">
        <v>1434</v>
      </c>
      <c r="AK366" s="705">
        <v>1</v>
      </c>
      <c r="AL366" s="705"/>
      <c r="AM366" s="705"/>
      <c r="AN366" s="2"/>
      <c r="AO366" s="705">
        <f ca="1">SUMIF($AG$7:AM$7,"&lt;="&amp;$I$7,AG366:AL366)</f>
        <v>0</v>
      </c>
      <c r="AP366" s="878" t="str">
        <f ca="1">IFERROR((AO367/AO366),"-")</f>
        <v>-</v>
      </c>
      <c r="AQ366" s="2"/>
      <c r="AR366" s="705"/>
      <c r="AS366" s="705"/>
      <c r="AT366" s="705"/>
      <c r="AU366" s="705"/>
      <c r="AV366" s="705"/>
      <c r="AW366" s="705"/>
      <c r="AX366" s="705"/>
      <c r="AY366" s="2"/>
      <c r="AZ366" s="705">
        <f ca="1">SUMIF($AR$7:AX$7,"&lt;="&amp;$I$7,AR366:AW366)</f>
        <v>0</v>
      </c>
      <c r="BA366" s="878" t="str">
        <f ca="1">IFERROR((AZ367/AZ366),"-")</f>
        <v>-</v>
      </c>
      <c r="BB366" s="2"/>
      <c r="BC366" s="705"/>
      <c r="BD366" s="705"/>
      <c r="BE366" s="705"/>
      <c r="BF366" s="705"/>
      <c r="BG366" s="705"/>
      <c r="BH366" s="705"/>
      <c r="BI366" s="705"/>
      <c r="BJ366" s="2"/>
      <c r="BK366" s="705">
        <f ca="1">SUMIF($BC$7:BI$7,"&lt;="&amp;$I$7,BC366:BH366)</f>
        <v>0</v>
      </c>
      <c r="BL366" s="878" t="str">
        <f ca="1">IFERROR((BK367/BK366),"-")</f>
        <v>-</v>
      </c>
      <c r="BM366" s="2"/>
      <c r="BN366" s="921">
        <v>0</v>
      </c>
      <c r="BO366" s="921">
        <v>0</v>
      </c>
      <c r="BP366" s="884">
        <f>SUM(M367:P367,V367:AB367,AG367:AM367,AR367:AX367,BC367:BH367)</f>
        <v>0</v>
      </c>
      <c r="BQ366" s="878" t="str">
        <f t="shared" ref="BQ366" si="933">IFERROR((BP366/BO366),"-")</f>
        <v>-</v>
      </c>
      <c r="BR366" s="2"/>
      <c r="BS366" s="884"/>
      <c r="BT366" s="884"/>
      <c r="BU366" s="884">
        <v>0</v>
      </c>
      <c r="BV366" s="1016" t="e">
        <v>#N/A</v>
      </c>
      <c r="BW366" s="1004" t="str">
        <f>IFERROR((BU366/BV366),"-")</f>
        <v>-</v>
      </c>
      <c r="BX366" s="884">
        <v>0</v>
      </c>
      <c r="BY366" s="878" t="str">
        <f>IFERROR((BU366/BX366),"-")</f>
        <v>-</v>
      </c>
      <c r="BZ366" s="2"/>
      <c r="CA366" s="884">
        <v>4</v>
      </c>
      <c r="CB366" s="858">
        <f t="shared" ref="CB366" si="934">CA366-BU366</f>
        <v>4</v>
      </c>
      <c r="CC366" s="2"/>
      <c r="CD366" s="504">
        <f>IFERROR(AVERAGEIF($V$7:AB$7,"&lt;="&amp;$I$7,V366:AB366),0)</f>
        <v>1</v>
      </c>
      <c r="CE366" s="2"/>
      <c r="CH366" s="93" t="str">
        <f t="shared" ref="CH366:CH429" si="935">IF(B366&lt;&gt;"",B366,CH365)</f>
        <v>P4 - CONCRETAGEM</v>
      </c>
    </row>
    <row r="367" spans="1:86" s="16" customFormat="1" ht="20.25" hidden="1" customHeight="1" outlineLevel="1">
      <c r="A367" s="74"/>
      <c r="B367" s="1042"/>
      <c r="C367" s="1023"/>
      <c r="D367" s="2"/>
      <c r="E367" s="1024"/>
      <c r="F367" s="2"/>
      <c r="G367" s="50" t="s">
        <v>38</v>
      </c>
      <c r="H367" s="705">
        <f t="shared" si="777"/>
        <v>0</v>
      </c>
      <c r="I367" s="879"/>
      <c r="J367" s="2"/>
      <c r="K367" s="86"/>
      <c r="L367" s="86"/>
      <c r="M367" s="86"/>
      <c r="N367" s="86"/>
      <c r="O367" s="86"/>
      <c r="P367" s="86"/>
      <c r="Q367" s="706"/>
      <c r="R367" s="2"/>
      <c r="S367" s="705"/>
      <c r="T367" s="879"/>
      <c r="U367" s="2"/>
      <c r="V367" s="86"/>
      <c r="W367" s="86"/>
      <c r="X367" s="86"/>
      <c r="Y367" s="86"/>
      <c r="Z367" s="86"/>
      <c r="AA367" s="86"/>
      <c r="AB367" s="706"/>
      <c r="AC367" s="2"/>
      <c r="AD367" s="705">
        <f ca="1">SUMIF($V$7:AB$7,"&lt;="&amp;$I$7,V367:AA367)</f>
        <v>0</v>
      </c>
      <c r="AE367" s="879"/>
      <c r="AF367" s="2"/>
      <c r="AG367" s="86"/>
      <c r="AH367" s="86"/>
      <c r="AI367" s="86"/>
      <c r="AJ367" s="86"/>
      <c r="AK367" s="86"/>
      <c r="AL367" s="86"/>
      <c r="AM367" s="706"/>
      <c r="AN367" s="2"/>
      <c r="AO367" s="705">
        <f ca="1">SUMIF($AG$7:AM$7,"&lt;="&amp;$I$7,AG367:AL367)</f>
        <v>0</v>
      </c>
      <c r="AP367" s="879"/>
      <c r="AQ367" s="2"/>
      <c r="AR367" s="86"/>
      <c r="AS367" s="86"/>
      <c r="AT367" s="86"/>
      <c r="AU367" s="86"/>
      <c r="AV367" s="86"/>
      <c r="AW367" s="86"/>
      <c r="AX367" s="706"/>
      <c r="AY367" s="2"/>
      <c r="AZ367" s="705">
        <f ca="1">SUMIF($AR$7:AX$7,"&lt;="&amp;$I$7,AR367:AW367)</f>
        <v>0</v>
      </c>
      <c r="BA367" s="879"/>
      <c r="BB367" s="2"/>
      <c r="BC367" s="86"/>
      <c r="BD367" s="86"/>
      <c r="BE367" s="86"/>
      <c r="BF367" s="86"/>
      <c r="BG367" s="86"/>
      <c r="BH367" s="86"/>
      <c r="BI367" s="706"/>
      <c r="BJ367" s="2"/>
      <c r="BK367" s="705">
        <f ca="1">SUMIF($BC$7:BI$7,"&lt;="&amp;$I$7,BC367:BH367)</f>
        <v>0</v>
      </c>
      <c r="BL367" s="879"/>
      <c r="BM367" s="2"/>
      <c r="BN367" s="922"/>
      <c r="BO367" s="922"/>
      <c r="BP367" s="885"/>
      <c r="BQ367" s="1050"/>
      <c r="BR367" s="2"/>
      <c r="BS367" s="922"/>
      <c r="BT367" s="922"/>
      <c r="BU367" s="922"/>
      <c r="BV367" s="1059"/>
      <c r="BW367" s="1051"/>
      <c r="BX367" s="922"/>
      <c r="BY367" s="1052"/>
      <c r="BZ367" s="2"/>
      <c r="CA367" s="922"/>
      <c r="CB367" s="857"/>
      <c r="CC367" s="2"/>
      <c r="CD367" s="504">
        <f>IFERROR(AVERAGEIF($V$7:AB$7,"&lt;="&amp;$I$7,V367:AB367),0)</f>
        <v>0</v>
      </c>
      <c r="CE367" s="2"/>
      <c r="CH367" s="93" t="str">
        <f t="shared" si="935"/>
        <v>P4 - CONCRETAGEM</v>
      </c>
    </row>
    <row r="368" spans="1:86" s="16" customFormat="1" ht="20.25" hidden="1" customHeight="1" outlineLevel="1">
      <c r="A368" s="74"/>
      <c r="B368" s="1058" t="s">
        <v>4018</v>
      </c>
      <c r="C368" s="1023" t="s">
        <v>1437</v>
      </c>
      <c r="D368" s="2"/>
      <c r="E368" s="1004">
        <v>1</v>
      </c>
      <c r="F368" s="2"/>
      <c r="G368" s="49" t="s">
        <v>37</v>
      </c>
      <c r="H368" s="705">
        <f t="shared" si="777"/>
        <v>0</v>
      </c>
      <c r="I368" s="878" t="str">
        <f t="shared" ref="I368" si="936">IFERROR((H369/H368),"-")</f>
        <v>-</v>
      </c>
      <c r="J368" s="2"/>
      <c r="K368" s="705"/>
      <c r="L368" s="705"/>
      <c r="M368" s="705"/>
      <c r="N368" s="705"/>
      <c r="O368" s="705"/>
      <c r="P368" s="705"/>
      <c r="Q368" s="705">
        <v>0</v>
      </c>
      <c r="R368" s="2"/>
      <c r="S368" s="705">
        <f t="shared" si="922"/>
        <v>0</v>
      </c>
      <c r="T368" s="878" t="str">
        <f>IFERROR((S369/S368),"-")</f>
        <v>-</v>
      </c>
      <c r="U368" s="2"/>
      <c r="V368" s="705"/>
      <c r="W368" s="705"/>
      <c r="X368" s="705"/>
      <c r="Y368" s="705"/>
      <c r="Z368" s="705"/>
      <c r="AA368" s="705"/>
      <c r="AB368" s="705"/>
      <c r="AC368" s="2"/>
      <c r="AD368" s="705">
        <f ca="1">SUMIF($V$7:AB$7,"&lt;="&amp;$I$7,V368:AA368)</f>
        <v>0</v>
      </c>
      <c r="AE368" s="878" t="str">
        <f ca="1">IFERROR((AD369/AD368),"-")</f>
        <v>-</v>
      </c>
      <c r="AF368" s="2"/>
      <c r="AG368" s="705"/>
      <c r="AH368" s="705"/>
      <c r="AI368" s="705"/>
      <c r="AJ368" s="705"/>
      <c r="AK368" s="705"/>
      <c r="AL368" s="705"/>
      <c r="AM368" s="705"/>
      <c r="AN368" s="2"/>
      <c r="AO368" s="705">
        <f ca="1">SUMIF($AG$7:AM$7,"&lt;="&amp;$I$7,AG368:AL368)</f>
        <v>0</v>
      </c>
      <c r="AP368" s="878" t="str">
        <f ca="1">IFERROR((AO369/AO368),"-")</f>
        <v>-</v>
      </c>
      <c r="AQ368" s="2"/>
      <c r="AR368" s="705"/>
      <c r="AS368" s="705"/>
      <c r="AT368" s="705"/>
      <c r="AU368" s="705"/>
      <c r="AV368" s="705"/>
      <c r="AW368" s="705"/>
      <c r="AX368" s="705"/>
      <c r="AY368" s="2"/>
      <c r="AZ368" s="705">
        <f ca="1">SUMIF($AR$7:AX$7,"&lt;="&amp;$I$7,AR368:AW368)</f>
        <v>0</v>
      </c>
      <c r="BA368" s="878" t="str">
        <f ca="1">IFERROR((AZ369/AZ368),"-")</f>
        <v>-</v>
      </c>
      <c r="BB368" s="2"/>
      <c r="BC368" s="705"/>
      <c r="BD368" s="705"/>
      <c r="BE368" s="705"/>
      <c r="BF368" s="705"/>
      <c r="BG368" s="705"/>
      <c r="BH368" s="705"/>
      <c r="BI368" s="705"/>
      <c r="BJ368" s="2"/>
      <c r="BK368" s="705">
        <f ca="1">SUMIF($BC$7:BI$7,"&lt;="&amp;$I$7,BC368:BH368)</f>
        <v>0</v>
      </c>
      <c r="BL368" s="878" t="str">
        <f ca="1">IFERROR((BK369/BK368),"-")</f>
        <v>-</v>
      </c>
      <c r="BM368" s="2"/>
      <c r="BN368" s="921">
        <v>0</v>
      </c>
      <c r="BO368" s="921">
        <v>0</v>
      </c>
      <c r="BP368" s="884">
        <f>SUM(M369:P369,V369:AB369,AG369:AM369,AR369:AX369,BC369:BH369)</f>
        <v>0</v>
      </c>
      <c r="BQ368" s="878" t="str">
        <f t="shared" ref="BQ368" si="937">IFERROR((BP368/BO368),"-")</f>
        <v>-</v>
      </c>
      <c r="BR368" s="2"/>
      <c r="BS368" s="884"/>
      <c r="BT368" s="884"/>
      <c r="BU368" s="884">
        <v>1</v>
      </c>
      <c r="BV368" s="1016" t="e">
        <v>#N/A</v>
      </c>
      <c r="BW368" s="1004" t="str">
        <f>IFERROR((BU368/BV368),"-")</f>
        <v>-</v>
      </c>
      <c r="BX368" s="884">
        <v>0</v>
      </c>
      <c r="BY368" s="878" t="str">
        <f>IFERROR((BU368/BX368),"-")</f>
        <v>-</v>
      </c>
      <c r="BZ368" s="2"/>
      <c r="CA368" s="884">
        <v>5</v>
      </c>
      <c r="CB368" s="858">
        <f t="shared" ref="CB368" si="938">CA368-BU368</f>
        <v>4</v>
      </c>
      <c r="CC368" s="2"/>
      <c r="CD368" s="504">
        <f>IFERROR(AVERAGEIF($V$7:AB$7,"&lt;="&amp;$I$7,V368:AB368),0)</f>
        <v>0</v>
      </c>
      <c r="CE368" s="2"/>
      <c r="CH368" s="93" t="str">
        <f t="shared" si="935"/>
        <v xml:space="preserve">P5 - CONCRETAGEM </v>
      </c>
    </row>
    <row r="369" spans="1:86" s="16" customFormat="1" ht="20.25" hidden="1" customHeight="1" outlineLevel="1">
      <c r="A369" s="74"/>
      <c r="B369" s="1042"/>
      <c r="C369" s="1023"/>
      <c r="D369" s="2"/>
      <c r="E369" s="1024"/>
      <c r="F369" s="2"/>
      <c r="G369" s="50" t="s">
        <v>38</v>
      </c>
      <c r="H369" s="705">
        <f t="shared" si="777"/>
        <v>0</v>
      </c>
      <c r="I369" s="879"/>
      <c r="J369" s="2"/>
      <c r="K369" s="86"/>
      <c r="L369" s="86"/>
      <c r="M369" s="86"/>
      <c r="N369" s="86"/>
      <c r="O369" s="86"/>
      <c r="P369" s="86"/>
      <c r="Q369" s="706">
        <v>0</v>
      </c>
      <c r="R369" s="2"/>
      <c r="S369" s="705">
        <f t="shared" si="922"/>
        <v>0</v>
      </c>
      <c r="T369" s="879"/>
      <c r="U369" s="2"/>
      <c r="V369" s="706"/>
      <c r="W369" s="706"/>
      <c r="X369" s="706"/>
      <c r="Y369" s="706"/>
      <c r="Z369" s="706"/>
      <c r="AA369" s="706"/>
      <c r="AB369" s="706"/>
      <c r="AC369" s="2"/>
      <c r="AD369" s="705">
        <f ca="1">SUMIF($V$7:AB$7,"&lt;="&amp;$I$7,V369:AA369)</f>
        <v>0</v>
      </c>
      <c r="AE369" s="879"/>
      <c r="AF369" s="2"/>
      <c r="AG369" s="86"/>
      <c r="AH369" s="86"/>
      <c r="AI369" s="86"/>
      <c r="AJ369" s="86"/>
      <c r="AK369" s="86"/>
      <c r="AL369" s="86"/>
      <c r="AM369" s="706"/>
      <c r="AN369" s="2"/>
      <c r="AO369" s="705">
        <f ca="1">SUMIF($AG$7:AM$7,"&lt;="&amp;$I$7,AG369:AL369)</f>
        <v>0</v>
      </c>
      <c r="AP369" s="879"/>
      <c r="AQ369" s="2"/>
      <c r="AR369" s="706"/>
      <c r="AS369" s="706"/>
      <c r="AT369" s="706"/>
      <c r="AU369" s="706"/>
      <c r="AV369" s="706"/>
      <c r="AW369" s="706"/>
      <c r="AX369" s="706"/>
      <c r="AY369" s="2"/>
      <c r="AZ369" s="705">
        <f ca="1">SUMIF($AR$7:AX$7,"&lt;="&amp;$I$7,AR369:AW369)</f>
        <v>0</v>
      </c>
      <c r="BA369" s="879"/>
      <c r="BB369" s="2"/>
      <c r="BC369" s="706"/>
      <c r="BD369" s="706"/>
      <c r="BE369" s="706"/>
      <c r="BF369" s="706"/>
      <c r="BG369" s="706"/>
      <c r="BH369" s="706"/>
      <c r="BI369" s="706"/>
      <c r="BJ369" s="2"/>
      <c r="BK369" s="705">
        <f ca="1">SUMIF($BC$7:BI$7,"&lt;="&amp;$I$7,BC369:BH369)</f>
        <v>0</v>
      </c>
      <c r="BL369" s="879"/>
      <c r="BM369" s="2"/>
      <c r="BN369" s="922"/>
      <c r="BO369" s="922"/>
      <c r="BP369" s="885"/>
      <c r="BQ369" s="1050"/>
      <c r="BR369" s="2"/>
      <c r="BS369" s="922"/>
      <c r="BT369" s="922"/>
      <c r="BU369" s="922"/>
      <c r="BV369" s="1059"/>
      <c r="BW369" s="1051"/>
      <c r="BX369" s="922"/>
      <c r="BY369" s="1052"/>
      <c r="BZ369" s="2"/>
      <c r="CA369" s="922"/>
      <c r="CB369" s="857"/>
      <c r="CC369" s="2"/>
      <c r="CD369" s="504">
        <f>IFERROR(AVERAGEIF($V$7:AB$7,"&lt;="&amp;$I$7,V369:AB369),0)</f>
        <v>0</v>
      </c>
      <c r="CE369" s="2"/>
      <c r="CH369" s="93" t="str">
        <f t="shared" si="935"/>
        <v xml:space="preserve">P5 - CONCRETAGEM </v>
      </c>
    </row>
    <row r="370" spans="1:86" s="16" customFormat="1" ht="20.25" hidden="1" customHeight="1" outlineLevel="1">
      <c r="A370" s="74"/>
      <c r="B370" s="1058" t="s">
        <v>4019</v>
      </c>
      <c r="C370" s="1023" t="s">
        <v>1437</v>
      </c>
      <c r="D370" s="2"/>
      <c r="E370" s="1004">
        <v>0</v>
      </c>
      <c r="F370" s="2"/>
      <c r="G370" s="49" t="s">
        <v>37</v>
      </c>
      <c r="H370" s="705">
        <f t="shared" si="777"/>
        <v>0</v>
      </c>
      <c r="I370" s="878" t="str">
        <f t="shared" ref="I370" si="939">IFERROR((H371/H370),"-")</f>
        <v>-</v>
      </c>
      <c r="J370" s="2"/>
      <c r="K370" s="705"/>
      <c r="L370" s="705"/>
      <c r="M370" s="705"/>
      <c r="N370" s="705"/>
      <c r="O370" s="705"/>
      <c r="P370" s="705"/>
      <c r="Q370" s="705">
        <v>0</v>
      </c>
      <c r="R370" s="2"/>
      <c r="S370" s="705">
        <f t="shared" si="922"/>
        <v>0</v>
      </c>
      <c r="T370" s="878" t="str">
        <f>IFERROR((S371/S370),"-")</f>
        <v>-</v>
      </c>
      <c r="U370" s="2"/>
      <c r="V370" s="705"/>
      <c r="W370" s="705"/>
      <c r="X370" s="705"/>
      <c r="Y370" s="705"/>
      <c r="Z370" s="705"/>
      <c r="AA370" s="705"/>
      <c r="AB370" s="705"/>
      <c r="AC370" s="2"/>
      <c r="AD370" s="705">
        <f ca="1">SUMIF($V$7:AB$7,"&lt;="&amp;$I$7,V370:AA370)</f>
        <v>0</v>
      </c>
      <c r="AE370" s="878" t="str">
        <f ca="1">IFERROR((AD371/AD370),"-")</f>
        <v>-</v>
      </c>
      <c r="AF370" s="2"/>
      <c r="AG370" s="705"/>
      <c r="AH370" s="705"/>
      <c r="AI370" s="705"/>
      <c r="AJ370" s="705"/>
      <c r="AK370" s="705"/>
      <c r="AL370" s="705"/>
      <c r="AM370" s="705"/>
      <c r="AN370" s="2"/>
      <c r="AO370" s="705">
        <f ca="1">SUMIF($AG$7:AM$7,"&lt;="&amp;$I$7,AG370:AL370)</f>
        <v>0</v>
      </c>
      <c r="AP370" s="878" t="str">
        <f ca="1">IFERROR((AO371/AO370),"-")</f>
        <v>-</v>
      </c>
      <c r="AQ370" s="2"/>
      <c r="AR370" s="705"/>
      <c r="AS370" s="705"/>
      <c r="AT370" s="705"/>
      <c r="AU370" s="705"/>
      <c r="AV370" s="705"/>
      <c r="AW370" s="705"/>
      <c r="AX370" s="705"/>
      <c r="AY370" s="2"/>
      <c r="AZ370" s="705">
        <f ca="1">SUMIF($AR$7:AX$7,"&lt;="&amp;$I$7,AR370:AW370)</f>
        <v>0</v>
      </c>
      <c r="BA370" s="878" t="str">
        <f ca="1">IFERROR((AZ371/AZ370),"-")</f>
        <v>-</v>
      </c>
      <c r="BB370" s="2"/>
      <c r="BC370" s="705"/>
      <c r="BD370" s="705"/>
      <c r="BE370" s="705"/>
      <c r="BF370" s="705"/>
      <c r="BG370" s="705"/>
      <c r="BH370" s="705"/>
      <c r="BI370" s="705"/>
      <c r="BJ370" s="2"/>
      <c r="BK370" s="705">
        <f ca="1">SUMIF($BC$7:BI$7,"&lt;="&amp;$I$7,BC370:BH370)</f>
        <v>0</v>
      </c>
      <c r="BL370" s="878" t="str">
        <f ca="1">IFERROR((BK371/BK370),"-")</f>
        <v>-</v>
      </c>
      <c r="BM370" s="2"/>
      <c r="BN370" s="921">
        <v>0</v>
      </c>
      <c r="BO370" s="921">
        <v>0</v>
      </c>
      <c r="BP370" s="884">
        <f>SUM(M371:P371,V371:AB371,AG371:AM371,AR371:AX371,BC371:BH371)</f>
        <v>0</v>
      </c>
      <c r="BQ370" s="878" t="str">
        <f t="shared" ref="BQ370" si="940">IFERROR((BP370/BO370),"-")</f>
        <v>-</v>
      </c>
      <c r="BR370" s="2"/>
      <c r="BS370" s="884"/>
      <c r="BT370" s="884"/>
      <c r="BU370" s="884">
        <v>0</v>
      </c>
      <c r="BV370" s="1016" t="e">
        <v>#N/A</v>
      </c>
      <c r="BW370" s="1004" t="str">
        <f>IFERROR((BU370/BV370),"-")</f>
        <v>-</v>
      </c>
      <c r="BX370" s="884">
        <v>0</v>
      </c>
      <c r="BY370" s="878" t="str">
        <f>IFERROR((BU370/BX370),"-")</f>
        <v>-</v>
      </c>
      <c r="BZ370" s="2"/>
      <c r="CA370" s="884">
        <v>6</v>
      </c>
      <c r="CB370" s="858">
        <f t="shared" ref="CB370" si="941">CA370-BU370</f>
        <v>6</v>
      </c>
      <c r="CC370" s="2"/>
      <c r="CD370" s="504">
        <f>IFERROR(AVERAGEIF($V$7:AB$7,"&lt;="&amp;$I$7,V370:AB370),0)</f>
        <v>0</v>
      </c>
      <c r="CE370" s="2"/>
      <c r="CH370" s="93" t="str">
        <f t="shared" si="935"/>
        <v xml:space="preserve">P6 - CONCRETAGEM </v>
      </c>
    </row>
    <row r="371" spans="1:86" s="16" customFormat="1" ht="20.25" hidden="1" customHeight="1" outlineLevel="1">
      <c r="A371" s="74"/>
      <c r="B371" s="1042"/>
      <c r="C371" s="1023"/>
      <c r="D371" s="2"/>
      <c r="E371" s="1024"/>
      <c r="F371" s="2"/>
      <c r="G371" s="50" t="s">
        <v>38</v>
      </c>
      <c r="H371" s="705">
        <f t="shared" si="777"/>
        <v>0</v>
      </c>
      <c r="I371" s="879"/>
      <c r="J371" s="2"/>
      <c r="K371" s="86"/>
      <c r="L371" s="86"/>
      <c r="M371" s="86"/>
      <c r="N371" s="86"/>
      <c r="O371" s="86"/>
      <c r="P371" s="86"/>
      <c r="Q371" s="706">
        <v>0</v>
      </c>
      <c r="R371" s="2"/>
      <c r="S371" s="705">
        <f t="shared" si="922"/>
        <v>0</v>
      </c>
      <c r="T371" s="879"/>
      <c r="U371" s="2"/>
      <c r="V371" s="706"/>
      <c r="W371" s="706"/>
      <c r="X371" s="706"/>
      <c r="Y371" s="706"/>
      <c r="Z371" s="706"/>
      <c r="AA371" s="706"/>
      <c r="AB371" s="706"/>
      <c r="AC371" s="2"/>
      <c r="AD371" s="705">
        <f ca="1">SUMIF($V$7:AB$7,"&lt;="&amp;$I$7,V371:AA371)</f>
        <v>0</v>
      </c>
      <c r="AE371" s="879"/>
      <c r="AF371" s="2"/>
      <c r="AG371" s="706"/>
      <c r="AH371" s="706"/>
      <c r="AI371" s="706"/>
      <c r="AJ371" s="706"/>
      <c r="AK371" s="706"/>
      <c r="AL371" s="706"/>
      <c r="AM371" s="706"/>
      <c r="AN371" s="2"/>
      <c r="AO371" s="705">
        <f ca="1">SUMIF($AG$7:AM$7,"&lt;="&amp;$I$7,AG371:AL371)</f>
        <v>0</v>
      </c>
      <c r="AP371" s="879"/>
      <c r="AQ371" s="2"/>
      <c r="AR371" s="706"/>
      <c r="AS371" s="706"/>
      <c r="AT371" s="706"/>
      <c r="AU371" s="706"/>
      <c r="AV371" s="706"/>
      <c r="AW371" s="706"/>
      <c r="AX371" s="706"/>
      <c r="AY371" s="2"/>
      <c r="AZ371" s="705">
        <f ca="1">SUMIF($AR$7:AX$7,"&lt;="&amp;$I$7,AR371:AW371)</f>
        <v>0</v>
      </c>
      <c r="BA371" s="879"/>
      <c r="BB371" s="2"/>
      <c r="BC371" s="706"/>
      <c r="BD371" s="706"/>
      <c r="BE371" s="706"/>
      <c r="BF371" s="706"/>
      <c r="BG371" s="706"/>
      <c r="BH371" s="706"/>
      <c r="BI371" s="706"/>
      <c r="BJ371" s="2"/>
      <c r="BK371" s="705">
        <f ca="1">SUMIF($BC$7:BI$7,"&lt;="&amp;$I$7,BC371:BH371)</f>
        <v>0</v>
      </c>
      <c r="BL371" s="879"/>
      <c r="BM371" s="2"/>
      <c r="BN371" s="922"/>
      <c r="BO371" s="922"/>
      <c r="BP371" s="885"/>
      <c r="BQ371" s="1050"/>
      <c r="BR371" s="2"/>
      <c r="BS371" s="922"/>
      <c r="BT371" s="922"/>
      <c r="BU371" s="922"/>
      <c r="BV371" s="1059"/>
      <c r="BW371" s="1051"/>
      <c r="BX371" s="922"/>
      <c r="BY371" s="1052"/>
      <c r="BZ371" s="2"/>
      <c r="CA371" s="922"/>
      <c r="CB371" s="857"/>
      <c r="CC371" s="2"/>
      <c r="CD371" s="504">
        <f>IFERROR(AVERAGEIF($V$7:AB$7,"&lt;="&amp;$I$7,V371:AB371),0)</f>
        <v>0</v>
      </c>
      <c r="CE371" s="2"/>
      <c r="CH371" s="93" t="str">
        <f t="shared" si="935"/>
        <v xml:space="preserve">P6 - CONCRETAGEM </v>
      </c>
    </row>
    <row r="372" spans="1:86" s="16" customFormat="1" ht="21.4" customHeight="1" collapsed="1">
      <c r="A372" s="70"/>
      <c r="B372" s="1021" t="s">
        <v>4020</v>
      </c>
      <c r="C372" s="1023" t="s">
        <v>1437</v>
      </c>
      <c r="D372" s="2"/>
      <c r="E372" s="1004">
        <v>2</v>
      </c>
      <c r="F372" s="2"/>
      <c r="G372" s="49" t="s">
        <v>37</v>
      </c>
      <c r="H372" s="43">
        <f t="shared" si="777"/>
        <v>0</v>
      </c>
      <c r="I372" s="878" t="str">
        <f>IFERROR((H373/H372),"-")</f>
        <v>-</v>
      </c>
      <c r="J372" s="40"/>
      <c r="K372" s="42"/>
      <c r="L372" s="42"/>
      <c r="M372" s="42"/>
      <c r="N372" s="42"/>
      <c r="O372" s="42"/>
      <c r="P372" s="42"/>
      <c r="Q372" s="42">
        <f>Q378+Q392+Q393</f>
        <v>0</v>
      </c>
      <c r="R372" s="40"/>
      <c r="S372" s="43">
        <f ca="1">SUMIF($K$7:Q$7,"&lt;="&amp;$I$7,K372:P372)</f>
        <v>0</v>
      </c>
      <c r="T372" s="762" t="str">
        <f ca="1">IFERROR((S373/S372),"-")</f>
        <v>-</v>
      </c>
      <c r="U372" s="40"/>
      <c r="V372" s="42"/>
      <c r="W372" s="42"/>
      <c r="X372" s="42"/>
      <c r="Y372" s="42"/>
      <c r="Z372" s="42"/>
      <c r="AA372" s="42"/>
      <c r="AB372" s="42"/>
      <c r="AC372" s="40"/>
      <c r="AD372" s="705">
        <f ca="1">SUMIF($V$7:AB$7,"&lt;="&amp;$I$7,V372:AA372)</f>
        <v>0</v>
      </c>
      <c r="AE372" s="762" t="str">
        <f ca="1">IFERROR((AD373/AD372),"-")</f>
        <v>-</v>
      </c>
      <c r="AF372" s="40"/>
      <c r="AG372" s="42"/>
      <c r="AH372" s="42"/>
      <c r="AI372" s="42"/>
      <c r="AJ372" s="42"/>
      <c r="AK372" s="42"/>
      <c r="AL372" s="42"/>
      <c r="AM372" s="42"/>
      <c r="AN372" s="40"/>
      <c r="AO372" s="43">
        <f ca="1">SUMIF($AG$7:AM$7,"&lt;="&amp;$I$7,AG372:AL372)</f>
        <v>0</v>
      </c>
      <c r="AP372" s="762" t="str">
        <f ca="1">IFERROR((AO373/AO372),"-")</f>
        <v>-</v>
      </c>
      <c r="AQ372" s="40"/>
      <c r="AR372" s="42"/>
      <c r="AS372" s="42"/>
      <c r="AT372" s="42"/>
      <c r="AU372" s="42"/>
      <c r="AV372" s="42"/>
      <c r="AW372" s="42"/>
      <c r="AX372" s="42"/>
      <c r="AY372" s="40"/>
      <c r="AZ372" s="705">
        <f ca="1">SUMIF($AR$7:AX$7,"&lt;="&amp;$I$7,AR372:AW372)</f>
        <v>0</v>
      </c>
      <c r="BA372" s="762" t="str">
        <f ca="1">IFERROR((AZ373/AZ372),"-")</f>
        <v>-</v>
      </c>
      <c r="BB372" s="40"/>
      <c r="BC372" s="42"/>
      <c r="BD372" s="42"/>
      <c r="BE372" s="42"/>
      <c r="BF372" s="42"/>
      <c r="BG372" s="42"/>
      <c r="BH372" s="42"/>
      <c r="BI372" s="42">
        <f>BI378+BI392+BI393</f>
        <v>0</v>
      </c>
      <c r="BJ372" s="40"/>
      <c r="BK372" s="43">
        <f ca="1">SUMIF($BC$7:BI$7,"&lt;="&amp;$I$7,BC372:BH372)</f>
        <v>0</v>
      </c>
      <c r="BL372" s="762" t="str">
        <f ca="1">IFERROR((BK373/BK372),"-")</f>
        <v>-</v>
      </c>
      <c r="BM372" s="40"/>
      <c r="BN372" s="1025">
        <v>6</v>
      </c>
      <c r="BO372" s="1027">
        <v>0</v>
      </c>
      <c r="BP372" s="909">
        <v>0</v>
      </c>
      <c r="BQ372" s="762" t="str">
        <f>IFERROR((BP372/BO372),"-")</f>
        <v>-</v>
      </c>
      <c r="BR372" s="40"/>
      <c r="BS372" s="909"/>
      <c r="BT372" s="909"/>
      <c r="BU372" s="909">
        <v>2</v>
      </c>
      <c r="BV372" s="909">
        <v>210</v>
      </c>
      <c r="BW372" s="1030">
        <f>IFERROR((BU372/BV372),"-")</f>
        <v>9.5238095238095247E-3</v>
      </c>
      <c r="BX372" s="909">
        <v>4</v>
      </c>
      <c r="BY372" s="1032">
        <f>IFERROR((BU372/BX372),"-")</f>
        <v>0.5</v>
      </c>
      <c r="BZ372" s="40"/>
      <c r="CA372" s="909">
        <v>8</v>
      </c>
      <c r="CB372" s="909">
        <f t="shared" ref="CB372" si="942">CA372-BU372</f>
        <v>6</v>
      </c>
      <c r="CC372" s="40"/>
      <c r="CD372" s="43">
        <f>IFERROR(AVERAGEIF($V$7:AB$7,"&lt;="&amp;$I$7,V372:AB372),0)</f>
        <v>0</v>
      </c>
      <c r="CE372" s="40"/>
      <c r="CH372" s="93" t="str">
        <f t="shared" si="935"/>
        <v>PILARES</v>
      </c>
    </row>
    <row r="373" spans="1:86" s="16" customFormat="1" ht="21.4" customHeight="1">
      <c r="A373" s="70"/>
      <c r="B373" s="1022"/>
      <c r="C373" s="1023"/>
      <c r="D373" s="2"/>
      <c r="E373" s="1024"/>
      <c r="F373" s="2"/>
      <c r="G373" s="50" t="s">
        <v>38</v>
      </c>
      <c r="H373" s="43">
        <f t="shared" si="777"/>
        <v>0</v>
      </c>
      <c r="I373" s="879"/>
      <c r="J373" s="40"/>
      <c r="K373" s="72"/>
      <c r="L373" s="72"/>
      <c r="M373" s="72"/>
      <c r="N373" s="72"/>
      <c r="O373" s="72"/>
      <c r="P373" s="72"/>
      <c r="Q373" s="43"/>
      <c r="R373" s="40"/>
      <c r="S373" s="43">
        <f ca="1">SUMIF($K$7:Q$7,"&lt;="&amp;$I$7,K373:P373)</f>
        <v>0</v>
      </c>
      <c r="T373" s="763"/>
      <c r="U373" s="40"/>
      <c r="V373" s="72"/>
      <c r="W373" s="72"/>
      <c r="X373" s="72"/>
      <c r="Y373" s="72"/>
      <c r="Z373" s="72"/>
      <c r="AA373" s="72"/>
      <c r="AB373" s="43"/>
      <c r="AC373" s="40"/>
      <c r="AD373" s="705">
        <f ca="1">SUMIF($V$7:AB$7,"&lt;="&amp;$I$7,V373:AA373)</f>
        <v>0</v>
      </c>
      <c r="AE373" s="763"/>
      <c r="AF373" s="40"/>
      <c r="AG373" s="72"/>
      <c r="AH373" s="72"/>
      <c r="AI373" s="72"/>
      <c r="AJ373" s="72"/>
      <c r="AK373" s="72"/>
      <c r="AL373" s="72"/>
      <c r="AM373" s="43"/>
      <c r="AN373" s="40"/>
      <c r="AO373" s="43">
        <f ca="1">SUMIF($AG$7:AM$7,"&lt;="&amp;$I$7,AG373:AL373)</f>
        <v>0</v>
      </c>
      <c r="AP373" s="763"/>
      <c r="AQ373" s="40"/>
      <c r="AR373" s="72"/>
      <c r="AS373" s="72"/>
      <c r="AT373" s="72"/>
      <c r="AU373" s="72"/>
      <c r="AV373" s="72"/>
      <c r="AW373" s="72"/>
      <c r="AX373" s="43"/>
      <c r="AY373" s="40"/>
      <c r="AZ373" s="705">
        <f ca="1">SUMIF($AR$7:AX$7,"&lt;="&amp;$I$7,AR373:AW373)</f>
        <v>0</v>
      </c>
      <c r="BA373" s="763"/>
      <c r="BB373" s="40"/>
      <c r="BC373" s="72"/>
      <c r="BD373" s="72"/>
      <c r="BE373" s="72"/>
      <c r="BF373" s="72"/>
      <c r="BG373" s="72"/>
      <c r="BH373" s="72"/>
      <c r="BI373" s="43"/>
      <c r="BJ373" s="40"/>
      <c r="BK373" s="43">
        <f ca="1">SUMIF($BC$7:BI$7,"&lt;="&amp;$I$7,BC373:BH373)</f>
        <v>0</v>
      </c>
      <c r="BL373" s="763"/>
      <c r="BM373" s="40"/>
      <c r="BN373" s="1026"/>
      <c r="BO373" s="1028"/>
      <c r="BP373" s="910"/>
      <c r="BQ373" s="1029"/>
      <c r="BR373" s="40"/>
      <c r="BS373" s="910"/>
      <c r="BT373" s="910"/>
      <c r="BU373" s="910"/>
      <c r="BV373" s="910"/>
      <c r="BW373" s="1031"/>
      <c r="BX373" s="910"/>
      <c r="BY373" s="1033"/>
      <c r="BZ373" s="40"/>
      <c r="CA373" s="910"/>
      <c r="CB373" s="910"/>
      <c r="CC373" s="40"/>
      <c r="CD373" s="43">
        <f>IFERROR(AVERAGEIF($V$7:AB$7,"&lt;="&amp;$I$7,V373:AB373),0)</f>
        <v>0</v>
      </c>
      <c r="CE373" s="40"/>
      <c r="CH373" s="93" t="str">
        <f t="shared" si="935"/>
        <v>PILARES</v>
      </c>
    </row>
    <row r="374" spans="1:86" s="16" customFormat="1" ht="15.95" hidden="1" customHeight="1" outlineLevel="1">
      <c r="A374" s="73"/>
      <c r="B374" s="1045" t="s">
        <v>4021</v>
      </c>
      <c r="C374" s="740" t="s">
        <v>1437</v>
      </c>
      <c r="D374" s="2"/>
      <c r="E374" s="1019">
        <v>0</v>
      </c>
      <c r="F374" s="2"/>
      <c r="G374" s="53" t="s">
        <v>37</v>
      </c>
      <c r="H374" s="52">
        <f t="shared" si="777"/>
        <v>0</v>
      </c>
      <c r="I374" s="743" t="str">
        <f t="shared" ref="I374" si="943">IFERROR((H375/H374),"-")</f>
        <v>-</v>
      </c>
      <c r="J374" s="2"/>
      <c r="K374" s="52"/>
      <c r="L374" s="52"/>
      <c r="M374" s="52"/>
      <c r="N374" s="52"/>
      <c r="O374" s="52"/>
      <c r="P374" s="52"/>
      <c r="Q374" s="52"/>
      <c r="R374" s="2"/>
      <c r="S374" s="52">
        <f t="shared" ref="S374:S385" si="944">SUM(K374:P374)</f>
        <v>0</v>
      </c>
      <c r="T374" s="743" t="str">
        <f>IFERROR((S375/S374),"-")</f>
        <v>-</v>
      </c>
      <c r="U374" s="2"/>
      <c r="V374" s="52"/>
      <c r="W374" s="52"/>
      <c r="X374" s="52"/>
      <c r="Y374" s="52"/>
      <c r="Z374" s="52"/>
      <c r="AA374" s="52"/>
      <c r="AB374" s="52"/>
      <c r="AC374" s="2"/>
      <c r="AD374" s="52">
        <f>SUMIF($V$7:AB$7,"&lt;="&amp;$I$7,V374:AB374)</f>
        <v>0</v>
      </c>
      <c r="AE374" s="743" t="str">
        <f>IFERROR((AD375/AD374),"-")</f>
        <v>-</v>
      </c>
      <c r="AF374" s="2"/>
      <c r="AG374" s="52"/>
      <c r="AH374" s="52"/>
      <c r="AI374" s="52"/>
      <c r="AJ374" s="52"/>
      <c r="AK374" s="52"/>
      <c r="AL374" s="52"/>
      <c r="AM374" s="52"/>
      <c r="AN374" s="2"/>
      <c r="AO374" s="52">
        <f ca="1">SUMIF($AG$7:AM$7,"&lt;="&amp;$I$7,AG374:AL374)</f>
        <v>0</v>
      </c>
      <c r="AP374" s="743" t="str">
        <f ca="1">IFERROR((AO375/AO374),"-")</f>
        <v>-</v>
      </c>
      <c r="AQ374" s="2"/>
      <c r="AR374" s="52"/>
      <c r="AS374" s="52"/>
      <c r="AT374" s="52"/>
      <c r="AU374" s="52"/>
      <c r="AV374" s="52"/>
      <c r="AW374" s="52"/>
      <c r="AX374" s="52"/>
      <c r="AY374" s="2"/>
      <c r="AZ374" s="52">
        <f ca="1">SUMIF($AR$7:AX$7,"&lt;="&amp;$I$7,AR374:AW374)</f>
        <v>0</v>
      </c>
      <c r="BA374" s="743" t="str">
        <f ca="1">IFERROR((AZ375/AZ374),"-")</f>
        <v>-</v>
      </c>
      <c r="BB374" s="2"/>
      <c r="BC374" s="52"/>
      <c r="BD374" s="52"/>
      <c r="BE374" s="52"/>
      <c r="BF374" s="52"/>
      <c r="BG374" s="52"/>
      <c r="BH374" s="52"/>
      <c r="BI374" s="52"/>
      <c r="BJ374" s="2"/>
      <c r="BK374" s="52">
        <f ca="1">SUMIF($AR$7:BI$7,"&lt;="&amp;$I$7,BC374:BH374)</f>
        <v>0</v>
      </c>
      <c r="BL374" s="743" t="str">
        <f ca="1">IFERROR((BK375/BK374),"-")</f>
        <v>-</v>
      </c>
      <c r="BM374" s="2"/>
      <c r="BN374" s="888"/>
      <c r="BO374" s="888"/>
      <c r="BP374" s="888"/>
      <c r="BQ374" s="743" t="str">
        <f t="shared" ref="BQ374" si="945">IFERROR((BP374/BO374),"-")</f>
        <v>-</v>
      </c>
      <c r="BR374" s="2"/>
      <c r="BS374" s="888"/>
      <c r="BT374" s="888"/>
      <c r="BU374" s="888">
        <v>0</v>
      </c>
      <c r="BV374" s="888" t="e">
        <v>#N/A</v>
      </c>
      <c r="BW374" s="1019" t="str">
        <f>IFERROR((BU374/BV374),"-")</f>
        <v>-</v>
      </c>
      <c r="BX374" s="888">
        <v>0</v>
      </c>
      <c r="BY374" s="743" t="str">
        <f>IFERROR((BU374/BX374),"-")</f>
        <v>-</v>
      </c>
      <c r="BZ374" s="2"/>
      <c r="CA374" s="888">
        <v>2</v>
      </c>
      <c r="CB374" s="888">
        <f>CA374-BU374</f>
        <v>2</v>
      </c>
      <c r="CC374" s="2"/>
      <c r="CD374" s="504">
        <f>IFERROR(AVERAGEIF($V$7:AB$7,"&lt;="&amp;$I$7,V374:AB374),0)</f>
        <v>0</v>
      </c>
      <c r="CE374" s="2"/>
      <c r="CH374" s="93" t="str">
        <f t="shared" si="935"/>
        <v xml:space="preserve">Armação  </v>
      </c>
    </row>
    <row r="375" spans="1:86" s="16" customFormat="1" ht="15.95" hidden="1" customHeight="1" outlineLevel="1">
      <c r="A375" s="74"/>
      <c r="B375" s="1045"/>
      <c r="C375" s="740"/>
      <c r="D375" s="2"/>
      <c r="E375" s="1060"/>
      <c r="F375" s="2"/>
      <c r="G375" s="54" t="s">
        <v>38</v>
      </c>
      <c r="H375" s="52">
        <f t="shared" si="777"/>
        <v>0</v>
      </c>
      <c r="I375" s="744"/>
      <c r="J375" s="2"/>
      <c r="K375" s="75"/>
      <c r="L375" s="75"/>
      <c r="M375" s="75"/>
      <c r="N375" s="75"/>
      <c r="O375" s="75"/>
      <c r="P375" s="75"/>
      <c r="Q375" s="52"/>
      <c r="R375" s="2"/>
      <c r="S375" s="52">
        <f t="shared" si="944"/>
        <v>0</v>
      </c>
      <c r="T375" s="744"/>
      <c r="U375" s="2"/>
      <c r="V375" s="75"/>
      <c r="W375" s="75"/>
      <c r="X375" s="75"/>
      <c r="Y375" s="75"/>
      <c r="Z375" s="75"/>
      <c r="AA375" s="75"/>
      <c r="AB375" s="52"/>
      <c r="AC375" s="2"/>
      <c r="AD375" s="52">
        <f>SUMIF($V$7:AB$7,"&lt;="&amp;$I$7,V375:AB375)</f>
        <v>0</v>
      </c>
      <c r="AE375" s="744"/>
      <c r="AF375" s="2"/>
      <c r="AG375" s="75"/>
      <c r="AH375" s="75"/>
      <c r="AI375" s="52"/>
      <c r="AJ375" s="52"/>
      <c r="AK375" s="52"/>
      <c r="AL375" s="52"/>
      <c r="AM375" s="52"/>
      <c r="AN375" s="2"/>
      <c r="AO375" s="52">
        <f ca="1">SUMIF($AG$7:AM$7,"&lt;="&amp;$I$7,AG375:AL375)</f>
        <v>0</v>
      </c>
      <c r="AP375" s="744"/>
      <c r="AQ375" s="2"/>
      <c r="AR375" s="75"/>
      <c r="AS375" s="75"/>
      <c r="AT375" s="52"/>
      <c r="AU375" s="52"/>
      <c r="AV375" s="52"/>
      <c r="AW375" s="52"/>
      <c r="AX375" s="52"/>
      <c r="AY375" s="2"/>
      <c r="AZ375" s="52">
        <f ca="1">SUMIF($AR$7:AX$7,"&lt;="&amp;$I$7,AR375:AW375)</f>
        <v>0</v>
      </c>
      <c r="BA375" s="744"/>
      <c r="BB375" s="2"/>
      <c r="BC375" s="75"/>
      <c r="BD375" s="75"/>
      <c r="BE375" s="52"/>
      <c r="BF375" s="52"/>
      <c r="BG375" s="52"/>
      <c r="BH375" s="52"/>
      <c r="BI375" s="52"/>
      <c r="BJ375" s="2"/>
      <c r="BK375" s="52">
        <f ca="1">SUMIF($AR$7:BI$7,"&lt;="&amp;$I$7,BC375:BH375)</f>
        <v>0</v>
      </c>
      <c r="BL375" s="744"/>
      <c r="BM375" s="2"/>
      <c r="BN375" s="1018"/>
      <c r="BO375" s="889"/>
      <c r="BP375" s="1018"/>
      <c r="BQ375" s="744"/>
      <c r="BR375" s="2"/>
      <c r="BS375" s="888"/>
      <c r="BT375" s="888"/>
      <c r="BU375" s="888"/>
      <c r="BV375" s="888"/>
      <c r="BW375" s="1019"/>
      <c r="BX375" s="888"/>
      <c r="BY375" s="743"/>
      <c r="BZ375" s="2"/>
      <c r="CA375" s="888"/>
      <c r="CB375" s="888"/>
      <c r="CC375" s="2"/>
      <c r="CD375" s="504">
        <f>IFERROR(AVERAGEIF($V$7:AB$7,"&lt;="&amp;$I$7,V375:AB375),0)</f>
        <v>0</v>
      </c>
      <c r="CE375" s="2"/>
      <c r="CH375" s="93" t="str">
        <f t="shared" si="935"/>
        <v xml:space="preserve">Armação  </v>
      </c>
    </row>
    <row r="376" spans="1:86" s="16" customFormat="1" ht="15.95" hidden="1" customHeight="1" outlineLevel="1">
      <c r="A376" s="74"/>
      <c r="B376" s="1061" t="s">
        <v>4022</v>
      </c>
      <c r="C376" s="1023" t="s">
        <v>52</v>
      </c>
      <c r="D376" s="2"/>
      <c r="E376" s="1004">
        <v>0</v>
      </c>
      <c r="F376" s="2"/>
      <c r="G376" s="49" t="s">
        <v>37</v>
      </c>
      <c r="H376" s="705">
        <f t="shared" si="777"/>
        <v>0</v>
      </c>
      <c r="I376" s="878" t="str">
        <f t="shared" ref="I376" si="946">IFERROR((H377/H376),"-")</f>
        <v>-</v>
      </c>
      <c r="J376" s="2"/>
      <c r="K376" s="705"/>
      <c r="L376" s="705"/>
      <c r="M376" s="705"/>
      <c r="N376" s="705"/>
      <c r="O376" s="705"/>
      <c r="P376" s="705"/>
      <c r="Q376" s="705">
        <v>0</v>
      </c>
      <c r="R376" s="2"/>
      <c r="S376" s="705">
        <f t="shared" si="944"/>
        <v>0</v>
      </c>
      <c r="T376" s="878" t="str">
        <f>IFERROR((S377/S376),"-")</f>
        <v>-</v>
      </c>
      <c r="U376" s="2"/>
      <c r="V376" s="705"/>
      <c r="W376" s="705"/>
      <c r="X376" s="705"/>
      <c r="Y376" s="705"/>
      <c r="Z376" s="705"/>
      <c r="AA376" s="705"/>
      <c r="AB376" s="705"/>
      <c r="AC376" s="2"/>
      <c r="AD376" s="705">
        <f ca="1">SUMIF($V$7:AB$7,"&lt;="&amp;$I$7,V376:AA376)</f>
        <v>0</v>
      </c>
      <c r="AE376" s="878" t="str">
        <f ca="1">IFERROR((AD377/AD376),"-")</f>
        <v>-</v>
      </c>
      <c r="AF376" s="2"/>
      <c r="AG376" s="705"/>
      <c r="AH376" s="705"/>
      <c r="AI376" s="705"/>
      <c r="AJ376" s="705"/>
      <c r="AK376" s="705"/>
      <c r="AL376" s="705"/>
      <c r="AM376" s="705"/>
      <c r="AN376" s="2"/>
      <c r="AO376" s="705">
        <f ca="1">SUMIF($AG$7:AM$7,"&lt;="&amp;$I$7,AG376:AL376)</f>
        <v>0</v>
      </c>
      <c r="AP376" s="878" t="str">
        <f ca="1">IFERROR((AO377/AO376),"-")</f>
        <v>-</v>
      </c>
      <c r="AQ376" s="2"/>
      <c r="AR376" s="705"/>
      <c r="AS376" s="705"/>
      <c r="AT376" s="705"/>
      <c r="AU376" s="705"/>
      <c r="AV376" s="705"/>
      <c r="AW376" s="705"/>
      <c r="AX376" s="705"/>
      <c r="AY376" s="2"/>
      <c r="AZ376" s="705">
        <f ca="1">SUMIF($AR$7:AX$7,"&lt;="&amp;$I$7,AR376:AW376)</f>
        <v>0</v>
      </c>
      <c r="BA376" s="878" t="str">
        <f ca="1">IFERROR((AZ377/AZ376),"-")</f>
        <v>-</v>
      </c>
      <c r="BB376" s="2"/>
      <c r="BC376" s="705"/>
      <c r="BD376" s="705"/>
      <c r="BE376" s="705"/>
      <c r="BF376" s="705"/>
      <c r="BG376" s="705"/>
      <c r="BH376" s="705"/>
      <c r="BI376" s="705"/>
      <c r="BJ376" s="2"/>
      <c r="BK376" s="705">
        <f ca="1">SUMIF($AR$7:BI$7,"&lt;="&amp;$I$7,BC376:BH376)</f>
        <v>0</v>
      </c>
      <c r="BL376" s="878" t="str">
        <f ca="1">IFERROR((BK377/BK376),"-")</f>
        <v>-</v>
      </c>
      <c r="BM376" s="2"/>
      <c r="BN376" s="921"/>
      <c r="BO376" s="921"/>
      <c r="BP376" s="884"/>
      <c r="BQ376" s="878" t="str">
        <f t="shared" ref="BQ376" si="947">IFERROR((BP376/BO376),"-")</f>
        <v>-</v>
      </c>
      <c r="BR376" s="2"/>
      <c r="BS376" s="884"/>
      <c r="BT376" s="884"/>
      <c r="BU376" s="884">
        <v>0</v>
      </c>
      <c r="BV376" s="1016" t="e">
        <v>#N/A</v>
      </c>
      <c r="BW376" s="1004" t="str">
        <f>IFERROR((BU376/BV376),"-")</f>
        <v>-</v>
      </c>
      <c r="BX376" s="884">
        <v>0</v>
      </c>
      <c r="BY376" s="878" t="str">
        <f>IFERROR((BU376/BX376),"-")</f>
        <v>-</v>
      </c>
      <c r="BZ376" s="2"/>
      <c r="CA376" s="884">
        <v>1</v>
      </c>
      <c r="CB376" s="884">
        <f>CA376-BU376</f>
        <v>1</v>
      </c>
      <c r="CC376" s="2"/>
      <c r="CD376" s="504">
        <f>IFERROR(AVERAGEIF($V$7:AB$7,"&lt;="&amp;$I$7,V376:AB376),0)</f>
        <v>0</v>
      </c>
      <c r="CE376" s="2"/>
      <c r="CH376" s="93" t="str">
        <f t="shared" si="935"/>
        <v>E2</v>
      </c>
    </row>
    <row r="377" spans="1:86" s="16" customFormat="1" ht="15.95" hidden="1" customHeight="1" outlineLevel="1">
      <c r="A377" s="74"/>
      <c r="B377" s="1049"/>
      <c r="C377" s="1023"/>
      <c r="D377" s="2"/>
      <c r="E377" s="1024"/>
      <c r="F377" s="2"/>
      <c r="G377" s="50" t="s">
        <v>38</v>
      </c>
      <c r="H377" s="705">
        <f t="shared" si="777"/>
        <v>0</v>
      </c>
      <c r="I377" s="879"/>
      <c r="J377" s="2"/>
      <c r="K377" s="706"/>
      <c r="L377" s="706"/>
      <c r="M377" s="706"/>
      <c r="N377" s="706"/>
      <c r="O377" s="706"/>
      <c r="P377" s="706"/>
      <c r="Q377" s="706">
        <v>0</v>
      </c>
      <c r="R377" s="2"/>
      <c r="S377" s="705">
        <f t="shared" si="944"/>
        <v>0</v>
      </c>
      <c r="T377" s="879"/>
      <c r="U377" s="2"/>
      <c r="V377" s="706"/>
      <c r="W377" s="706"/>
      <c r="X377" s="706"/>
      <c r="Y377" s="706"/>
      <c r="Z377" s="706"/>
      <c r="AA377" s="706"/>
      <c r="AB377" s="706"/>
      <c r="AC377" s="2"/>
      <c r="AD377" s="705">
        <f ca="1">SUMIF($V$7:AB$7,"&lt;="&amp;$I$7,V377:AA377)</f>
        <v>0</v>
      </c>
      <c r="AE377" s="879"/>
      <c r="AF377" s="2"/>
      <c r="AG377" s="86"/>
      <c r="AH377" s="86"/>
      <c r="AI377" s="86"/>
      <c r="AJ377" s="86"/>
      <c r="AK377" s="86"/>
      <c r="AL377" s="86"/>
      <c r="AM377" s="86"/>
      <c r="AN377" s="2"/>
      <c r="AO377" s="705">
        <f ca="1">SUMIF($AG$7:AM$7,"&lt;="&amp;$I$7,AG377:AL377)</f>
        <v>0</v>
      </c>
      <c r="AP377" s="879"/>
      <c r="AQ377" s="2"/>
      <c r="AR377" s="706"/>
      <c r="AS377" s="706"/>
      <c r="AT377" s="706"/>
      <c r="AU377" s="706"/>
      <c r="AV377" s="706"/>
      <c r="AW377" s="706"/>
      <c r="AX377" s="706"/>
      <c r="AY377" s="2"/>
      <c r="AZ377" s="705">
        <f ca="1">SUMIF($AR$7:AX$7,"&lt;="&amp;$I$7,AR377:AW377)</f>
        <v>0</v>
      </c>
      <c r="BA377" s="879"/>
      <c r="BB377" s="2"/>
      <c r="BC377" s="706"/>
      <c r="BD377" s="706"/>
      <c r="BE377" s="706"/>
      <c r="BF377" s="706"/>
      <c r="BG377" s="706"/>
      <c r="BH377" s="706"/>
      <c r="BI377" s="706"/>
      <c r="BJ377" s="2"/>
      <c r="BK377" s="705">
        <f ca="1">SUMIF($AR$7:BI$7,"&lt;="&amp;$I$7,BC377:BH377)</f>
        <v>0</v>
      </c>
      <c r="BL377" s="879"/>
      <c r="BM377" s="2"/>
      <c r="BN377" s="922"/>
      <c r="BO377" s="922"/>
      <c r="BP377" s="885"/>
      <c r="BQ377" s="1050"/>
      <c r="BR377" s="2"/>
      <c r="BS377" s="922"/>
      <c r="BT377" s="922"/>
      <c r="BU377" s="922"/>
      <c r="BV377" s="1059"/>
      <c r="BW377" s="1051"/>
      <c r="BX377" s="922"/>
      <c r="BY377" s="1052"/>
      <c r="BZ377" s="2"/>
      <c r="CA377" s="922"/>
      <c r="CB377" s="922"/>
      <c r="CC377" s="2"/>
      <c r="CD377" s="504">
        <f>IFERROR(AVERAGEIF($V$7:AB$7,"&lt;="&amp;$I$7,V377:AB377),0)</f>
        <v>0</v>
      </c>
      <c r="CE377" s="2"/>
      <c r="CH377" s="93" t="str">
        <f t="shared" si="935"/>
        <v>E2</v>
      </c>
    </row>
    <row r="378" spans="1:86" s="16" customFormat="1" ht="15.95" hidden="1" customHeight="1" outlineLevel="1">
      <c r="A378" s="73"/>
      <c r="B378" s="1045" t="s">
        <v>4023</v>
      </c>
      <c r="C378" s="740" t="s">
        <v>1437</v>
      </c>
      <c r="D378" s="2"/>
      <c r="E378" s="1019">
        <v>0</v>
      </c>
      <c r="F378" s="2"/>
      <c r="G378" s="53" t="s">
        <v>37</v>
      </c>
      <c r="H378" s="52">
        <f t="shared" ref="H378:H391" si="948">SUMIF($K$7:$BI$7,$I$7,K378:BI378)</f>
        <v>0</v>
      </c>
      <c r="I378" s="743" t="str">
        <f t="shared" ref="I378" si="949">IFERROR((H379/H378),"-")</f>
        <v>-</v>
      </c>
      <c r="J378" s="2"/>
      <c r="K378" s="52"/>
      <c r="L378" s="52"/>
      <c r="M378" s="52"/>
      <c r="N378" s="52"/>
      <c r="O378" s="52"/>
      <c r="P378" s="52"/>
      <c r="Q378" s="52"/>
      <c r="R378" s="2"/>
      <c r="S378" s="52">
        <f t="shared" si="944"/>
        <v>0</v>
      </c>
      <c r="T378" s="743" t="str">
        <f>IFERROR((S379/S378),"-")</f>
        <v>-</v>
      </c>
      <c r="U378" s="2"/>
      <c r="V378" s="52"/>
      <c r="W378" s="52"/>
      <c r="X378" s="52"/>
      <c r="Y378" s="52"/>
      <c r="Z378" s="52"/>
      <c r="AA378" s="52"/>
      <c r="AB378" s="52"/>
      <c r="AC378" s="2"/>
      <c r="AD378" s="52">
        <f>SUMIF($V$7:AB$7,"&lt;="&amp;$I$7,V378:AB378)</f>
        <v>0</v>
      </c>
      <c r="AE378" s="743" t="str">
        <f>IFERROR((AD379/AD378),"-")</f>
        <v>-</v>
      </c>
      <c r="AF378" s="2"/>
      <c r="AG378" s="52"/>
      <c r="AH378" s="52"/>
      <c r="AI378" s="52"/>
      <c r="AJ378" s="52"/>
      <c r="AK378" s="52"/>
      <c r="AL378" s="52"/>
      <c r="AM378" s="52"/>
      <c r="AN378" s="2"/>
      <c r="AO378" s="52">
        <f ca="1">SUMIF($AG$7:AM$7,"&lt;="&amp;$I$7,AG378:AL378)</f>
        <v>0</v>
      </c>
      <c r="AP378" s="743" t="str">
        <f ca="1">IFERROR((AO379/AO378),"-")</f>
        <v>-</v>
      </c>
      <c r="AQ378" s="2"/>
      <c r="AR378" s="52"/>
      <c r="AS378" s="52"/>
      <c r="AT378" s="52"/>
      <c r="AU378" s="52"/>
      <c r="AV378" s="52"/>
      <c r="AW378" s="52"/>
      <c r="AX378" s="52"/>
      <c r="AY378" s="2"/>
      <c r="AZ378" s="52">
        <f ca="1">SUMIF($AR$7:AX$7,"&lt;="&amp;$I$7,AR378:AW378)</f>
        <v>0</v>
      </c>
      <c r="BA378" s="743" t="str">
        <f ca="1">IFERROR((AZ379/AZ378),"-")</f>
        <v>-</v>
      </c>
      <c r="BB378" s="2"/>
      <c r="BC378" s="52"/>
      <c r="BD378" s="52"/>
      <c r="BE378" s="52"/>
      <c r="BF378" s="52"/>
      <c r="BG378" s="52"/>
      <c r="BH378" s="52"/>
      <c r="BI378" s="52"/>
      <c r="BJ378" s="2"/>
      <c r="BK378" s="52">
        <f ca="1">SUMIF($AR$7:BI$7,"&lt;="&amp;$I$7,BC378:BH378)</f>
        <v>0</v>
      </c>
      <c r="BL378" s="743" t="str">
        <f ca="1">IFERROR((BK379/BK378),"-")</f>
        <v>-</v>
      </c>
      <c r="BM378" s="2"/>
      <c r="BN378" s="888"/>
      <c r="BO378" s="888"/>
      <c r="BP378" s="888"/>
      <c r="BQ378" s="743" t="str">
        <f t="shared" ref="BQ378" si="950">IFERROR((BP378/BO378),"-")</f>
        <v>-</v>
      </c>
      <c r="BR378" s="2"/>
      <c r="BS378" s="888"/>
      <c r="BT378" s="888"/>
      <c r="BU378" s="888">
        <v>0</v>
      </c>
      <c r="BV378" s="888" t="e">
        <v>#N/A</v>
      </c>
      <c r="BW378" s="1019" t="str">
        <f>IFERROR((BU378/BV378),"-")</f>
        <v>-</v>
      </c>
      <c r="BX378" s="888">
        <v>0</v>
      </c>
      <c r="BY378" s="743" t="str">
        <f>IFERROR((BU378/BX378),"-")</f>
        <v>-</v>
      </c>
      <c r="BZ378" s="2"/>
      <c r="CA378" s="888">
        <v>2</v>
      </c>
      <c r="CB378" s="888">
        <f>CA378-BU378</f>
        <v>2</v>
      </c>
      <c r="CC378" s="2"/>
      <c r="CD378" s="504">
        <f>IFERROR(AVERAGEIF($V$7:AB$7,"&lt;="&amp;$I$7,V378:AB378),0)</f>
        <v>0</v>
      </c>
      <c r="CE378" s="2"/>
      <c r="CH378" s="93" t="str">
        <f t="shared" si="935"/>
        <v xml:space="preserve">Forma  </v>
      </c>
    </row>
    <row r="379" spans="1:86" s="16" customFormat="1" ht="15.95" hidden="1" customHeight="1" outlineLevel="1">
      <c r="A379" s="74"/>
      <c r="B379" s="1045"/>
      <c r="C379" s="740"/>
      <c r="D379" s="2"/>
      <c r="E379" s="1060"/>
      <c r="F379" s="2"/>
      <c r="G379" s="54" t="s">
        <v>38</v>
      </c>
      <c r="H379" s="52">
        <f t="shared" si="948"/>
        <v>0</v>
      </c>
      <c r="I379" s="744"/>
      <c r="J379" s="2"/>
      <c r="K379" s="75"/>
      <c r="L379" s="75"/>
      <c r="M379" s="75"/>
      <c r="N379" s="75"/>
      <c r="O379" s="75"/>
      <c r="P379" s="75"/>
      <c r="Q379" s="52"/>
      <c r="R379" s="2"/>
      <c r="S379" s="52">
        <f t="shared" si="944"/>
        <v>0</v>
      </c>
      <c r="T379" s="744"/>
      <c r="U379" s="2"/>
      <c r="V379" s="75"/>
      <c r="W379" s="75"/>
      <c r="X379" s="75"/>
      <c r="Y379" s="75"/>
      <c r="Z379" s="75"/>
      <c r="AA379" s="75"/>
      <c r="AB379" s="52"/>
      <c r="AC379" s="2"/>
      <c r="AD379" s="52">
        <f>SUMIF($V$7:AB$7,"&lt;="&amp;$I$7,V379:AB379)</f>
        <v>0</v>
      </c>
      <c r="AE379" s="744"/>
      <c r="AF379" s="2"/>
      <c r="AG379" s="75"/>
      <c r="AH379" s="75"/>
      <c r="AI379" s="75"/>
      <c r="AJ379" s="52"/>
      <c r="AK379" s="52"/>
      <c r="AL379" s="52"/>
      <c r="AM379" s="52"/>
      <c r="AN379" s="2"/>
      <c r="AO379" s="52">
        <f ca="1">SUMIF($AG$7:AM$7,"&lt;="&amp;$I$7,AG379:AL379)</f>
        <v>0</v>
      </c>
      <c r="AP379" s="744"/>
      <c r="AQ379" s="2"/>
      <c r="AR379" s="75"/>
      <c r="AS379" s="75"/>
      <c r="AT379" s="52"/>
      <c r="AU379" s="52"/>
      <c r="AV379" s="52"/>
      <c r="AW379" s="52"/>
      <c r="AX379" s="52"/>
      <c r="AY379" s="2"/>
      <c r="AZ379" s="52">
        <f ca="1">SUMIF($AR$7:AX$7,"&lt;="&amp;$I$7,AR379:AW379)</f>
        <v>0</v>
      </c>
      <c r="BA379" s="744"/>
      <c r="BB379" s="2"/>
      <c r="BC379" s="75"/>
      <c r="BD379" s="75"/>
      <c r="BE379" s="52"/>
      <c r="BF379" s="52"/>
      <c r="BG379" s="52"/>
      <c r="BH379" s="52"/>
      <c r="BI379" s="52"/>
      <c r="BJ379" s="2"/>
      <c r="BK379" s="52">
        <f ca="1">SUMIF($AR$7:BI$7,"&lt;="&amp;$I$7,BC379:BH379)</f>
        <v>0</v>
      </c>
      <c r="BL379" s="744"/>
      <c r="BM379" s="2"/>
      <c r="BN379" s="1018"/>
      <c r="BO379" s="889"/>
      <c r="BP379" s="1018"/>
      <c r="BQ379" s="744"/>
      <c r="BR379" s="2"/>
      <c r="BS379" s="888"/>
      <c r="BT379" s="888"/>
      <c r="BU379" s="888"/>
      <c r="BV379" s="888"/>
      <c r="BW379" s="1019"/>
      <c r="BX379" s="888"/>
      <c r="BY379" s="743"/>
      <c r="BZ379" s="2"/>
      <c r="CA379" s="888"/>
      <c r="CB379" s="888"/>
      <c r="CC379" s="2"/>
      <c r="CD379" s="504">
        <f>IFERROR(AVERAGEIF($V$7:AB$7,"&lt;="&amp;$I$7,V379:AB379),0)</f>
        <v>0</v>
      </c>
      <c r="CE379" s="2"/>
      <c r="CH379" s="93" t="str">
        <f t="shared" si="935"/>
        <v xml:space="preserve">Forma  </v>
      </c>
    </row>
    <row r="380" spans="1:86" s="16" customFormat="1" ht="15.95" hidden="1" customHeight="1" outlineLevel="1">
      <c r="A380" s="74"/>
      <c r="B380" s="1061" t="s">
        <v>4022</v>
      </c>
      <c r="C380" s="1023" t="s">
        <v>52</v>
      </c>
      <c r="D380" s="2"/>
      <c r="E380" s="1004">
        <v>0</v>
      </c>
      <c r="F380" s="2"/>
      <c r="G380" s="49" t="s">
        <v>37</v>
      </c>
      <c r="H380" s="705">
        <f t="shared" si="948"/>
        <v>0</v>
      </c>
      <c r="I380" s="878" t="str">
        <f t="shared" ref="I380" si="951">IFERROR((H381/H380),"-")</f>
        <v>-</v>
      </c>
      <c r="J380" s="2"/>
      <c r="K380" s="705"/>
      <c r="L380" s="705"/>
      <c r="M380" s="705"/>
      <c r="N380" s="705"/>
      <c r="O380" s="705"/>
      <c r="P380" s="705"/>
      <c r="Q380" s="705">
        <v>0</v>
      </c>
      <c r="R380" s="2"/>
      <c r="S380" s="705">
        <f t="shared" si="944"/>
        <v>0</v>
      </c>
      <c r="T380" s="878" t="str">
        <f>IFERROR((S381/S380),"-")</f>
        <v>-</v>
      </c>
      <c r="U380" s="2"/>
      <c r="V380" s="705"/>
      <c r="W380" s="705"/>
      <c r="X380" s="705"/>
      <c r="Y380" s="705"/>
      <c r="Z380" s="705"/>
      <c r="AA380" s="705"/>
      <c r="AB380" s="705"/>
      <c r="AC380" s="2"/>
      <c r="AD380" s="705">
        <f ca="1">SUMIF($V$7:AB$7,"&lt;="&amp;$I$7,V380:AA380)</f>
        <v>0</v>
      </c>
      <c r="AE380" s="878" t="str">
        <f ca="1">IFERROR((AD381/AD380),"-")</f>
        <v>-</v>
      </c>
      <c r="AF380" s="2"/>
      <c r="AG380" s="705"/>
      <c r="AH380" s="705"/>
      <c r="AI380" s="705"/>
      <c r="AJ380" s="705"/>
      <c r="AK380" s="705"/>
      <c r="AL380" s="705"/>
      <c r="AM380" s="705"/>
      <c r="AN380" s="2"/>
      <c r="AO380" s="705">
        <f ca="1">SUMIF($AG$7:AM$7,"&lt;="&amp;$I$7,AG380:AL380)</f>
        <v>0</v>
      </c>
      <c r="AP380" s="878" t="str">
        <f ca="1">IFERROR((AO381/AO380),"-")</f>
        <v>-</v>
      </c>
      <c r="AQ380" s="2"/>
      <c r="AR380" s="705"/>
      <c r="AS380" s="705"/>
      <c r="AT380" s="705"/>
      <c r="AU380" s="705"/>
      <c r="AV380" s="705"/>
      <c r="AW380" s="705"/>
      <c r="AX380" s="705"/>
      <c r="AY380" s="2"/>
      <c r="AZ380" s="705">
        <f ca="1">SUMIF($AR$7:AX$7,"&lt;="&amp;$I$7,AR380:AW380)</f>
        <v>0</v>
      </c>
      <c r="BA380" s="878" t="str">
        <f ca="1">IFERROR((AZ381/AZ380),"-")</f>
        <v>-</v>
      </c>
      <c r="BB380" s="2"/>
      <c r="BC380" s="705"/>
      <c r="BD380" s="705"/>
      <c r="BE380" s="705"/>
      <c r="BF380" s="705"/>
      <c r="BG380" s="705"/>
      <c r="BH380" s="705"/>
      <c r="BI380" s="705"/>
      <c r="BJ380" s="2"/>
      <c r="BK380" s="705">
        <f ca="1">SUMIF($AR$7:BI$7,"&lt;="&amp;$I$7,BC380:BH380)</f>
        <v>0</v>
      </c>
      <c r="BL380" s="878" t="str">
        <f ca="1">IFERROR((BK381/BK380),"-")</f>
        <v>-</v>
      </c>
      <c r="BM380" s="2"/>
      <c r="BN380" s="921"/>
      <c r="BO380" s="921"/>
      <c r="BP380" s="884"/>
      <c r="BQ380" s="878" t="str">
        <f t="shared" ref="BQ380" si="952">IFERROR((BP380/BO380),"-")</f>
        <v>-</v>
      </c>
      <c r="BR380" s="2"/>
      <c r="BS380" s="884"/>
      <c r="BT380" s="884"/>
      <c r="BU380" s="884">
        <v>0</v>
      </c>
      <c r="BV380" s="1016" t="e">
        <v>#N/A</v>
      </c>
      <c r="BW380" s="1004" t="str">
        <f>IFERROR((BU380/BV380),"-")</f>
        <v>-</v>
      </c>
      <c r="BX380" s="884">
        <v>0</v>
      </c>
      <c r="BY380" s="878" t="str">
        <f>IFERROR((BU380/BX380),"-")</f>
        <v>-</v>
      </c>
      <c r="BZ380" s="2"/>
      <c r="CA380" s="884">
        <v>1</v>
      </c>
      <c r="CB380" s="884">
        <f>CA380-BU380</f>
        <v>1</v>
      </c>
      <c r="CC380" s="2"/>
      <c r="CD380" s="504">
        <f>IFERROR(AVERAGEIF($V$7:AB$7,"&lt;="&amp;$I$7,V380:AB380),0)</f>
        <v>0</v>
      </c>
      <c r="CE380" s="2"/>
      <c r="CH380" s="93" t="str">
        <f t="shared" si="935"/>
        <v>E2</v>
      </c>
    </row>
    <row r="381" spans="1:86" s="16" customFormat="1" ht="15.95" hidden="1" customHeight="1" outlineLevel="1">
      <c r="A381" s="74"/>
      <c r="B381" s="1049"/>
      <c r="C381" s="1023"/>
      <c r="D381" s="2"/>
      <c r="E381" s="1024"/>
      <c r="F381" s="2"/>
      <c r="G381" s="50" t="s">
        <v>38</v>
      </c>
      <c r="H381" s="705">
        <f t="shared" si="948"/>
        <v>0</v>
      </c>
      <c r="I381" s="879"/>
      <c r="J381" s="2"/>
      <c r="K381" s="706"/>
      <c r="L381" s="706"/>
      <c r="M381" s="706"/>
      <c r="N381" s="706"/>
      <c r="O381" s="706"/>
      <c r="P381" s="706"/>
      <c r="Q381" s="706">
        <v>0</v>
      </c>
      <c r="R381" s="2"/>
      <c r="S381" s="705">
        <f t="shared" si="944"/>
        <v>0</v>
      </c>
      <c r="T381" s="879"/>
      <c r="U381" s="2"/>
      <c r="V381" s="706"/>
      <c r="W381" s="706"/>
      <c r="X381" s="706"/>
      <c r="Y381" s="706"/>
      <c r="Z381" s="706"/>
      <c r="AA381" s="706"/>
      <c r="AB381" s="706"/>
      <c r="AC381" s="2"/>
      <c r="AD381" s="705">
        <f ca="1">SUMIF($V$7:AB$7,"&lt;="&amp;$I$7,V381:AA381)</f>
        <v>0</v>
      </c>
      <c r="AE381" s="879"/>
      <c r="AF381" s="2"/>
      <c r="AG381" s="86"/>
      <c r="AH381" s="86"/>
      <c r="AI381" s="86"/>
      <c r="AJ381" s="86"/>
      <c r="AK381" s="86"/>
      <c r="AL381" s="86"/>
      <c r="AM381" s="86"/>
      <c r="AN381" s="2"/>
      <c r="AO381" s="705">
        <f ca="1">SUMIF($AG$7:AM$7,"&lt;="&amp;$I$7,AG381:AL381)</f>
        <v>0</v>
      </c>
      <c r="AP381" s="879"/>
      <c r="AQ381" s="2"/>
      <c r="AR381" s="706"/>
      <c r="AS381" s="706"/>
      <c r="AT381" s="706"/>
      <c r="AU381" s="706"/>
      <c r="AV381" s="706"/>
      <c r="AW381" s="706"/>
      <c r="AX381" s="706"/>
      <c r="AY381" s="2"/>
      <c r="AZ381" s="705">
        <f ca="1">SUMIF($AR$7:AX$7,"&lt;="&amp;$I$7,AR381:AW381)</f>
        <v>0</v>
      </c>
      <c r="BA381" s="879"/>
      <c r="BB381" s="2"/>
      <c r="BC381" s="706"/>
      <c r="BD381" s="706"/>
      <c r="BE381" s="706"/>
      <c r="BF381" s="706"/>
      <c r="BG381" s="706"/>
      <c r="BH381" s="706"/>
      <c r="BI381" s="706"/>
      <c r="BJ381" s="2"/>
      <c r="BK381" s="705">
        <f ca="1">SUMIF($AR$7:BI$7,"&lt;="&amp;$I$7,BC381:BH381)</f>
        <v>0</v>
      </c>
      <c r="BL381" s="879"/>
      <c r="BM381" s="2"/>
      <c r="BN381" s="922"/>
      <c r="BO381" s="922"/>
      <c r="BP381" s="885"/>
      <c r="BQ381" s="1050"/>
      <c r="BR381" s="2"/>
      <c r="BS381" s="922"/>
      <c r="BT381" s="922"/>
      <c r="BU381" s="922"/>
      <c r="BV381" s="1059"/>
      <c r="BW381" s="1051"/>
      <c r="BX381" s="922"/>
      <c r="BY381" s="1052"/>
      <c r="BZ381" s="2"/>
      <c r="CA381" s="922"/>
      <c r="CB381" s="922"/>
      <c r="CC381" s="2"/>
      <c r="CD381" s="504">
        <f>IFERROR(AVERAGEIF($V$7:AB$7,"&lt;="&amp;$I$7,V381:AB381),0)</f>
        <v>0</v>
      </c>
      <c r="CE381" s="2"/>
      <c r="CH381" s="93" t="str">
        <f t="shared" si="935"/>
        <v>E2</v>
      </c>
    </row>
    <row r="382" spans="1:86" s="16" customFormat="1" ht="15.95" hidden="1" customHeight="1" outlineLevel="1">
      <c r="A382" s="73"/>
      <c r="B382" s="1045" t="s">
        <v>4024</v>
      </c>
      <c r="C382" s="740" t="s">
        <v>1437</v>
      </c>
      <c r="D382" s="2"/>
      <c r="E382" s="1019">
        <v>0</v>
      </c>
      <c r="F382" s="2"/>
      <c r="G382" s="53" t="s">
        <v>37</v>
      </c>
      <c r="H382" s="52">
        <f t="shared" si="948"/>
        <v>0</v>
      </c>
      <c r="I382" s="743" t="str">
        <f t="shared" ref="I382" si="953">IFERROR((H383/H382),"-")</f>
        <v>-</v>
      </c>
      <c r="J382" s="2"/>
      <c r="K382" s="52"/>
      <c r="L382" s="52"/>
      <c r="M382" s="52"/>
      <c r="N382" s="52"/>
      <c r="O382" s="52"/>
      <c r="P382" s="52"/>
      <c r="Q382" s="52"/>
      <c r="R382" s="2"/>
      <c r="S382" s="52">
        <f t="shared" si="944"/>
        <v>0</v>
      </c>
      <c r="T382" s="743" t="str">
        <f>IFERROR((S383/S382),"-")</f>
        <v>-</v>
      </c>
      <c r="U382" s="2"/>
      <c r="V382" s="52"/>
      <c r="W382" s="52"/>
      <c r="X382" s="52"/>
      <c r="Y382" s="52"/>
      <c r="Z382" s="52"/>
      <c r="AA382" s="52"/>
      <c r="AB382" s="52"/>
      <c r="AC382" s="2"/>
      <c r="AD382" s="52">
        <f>SUMIF($V$7:AB$7,"&lt;="&amp;$I$7,V382:AB382)</f>
        <v>0</v>
      </c>
      <c r="AE382" s="743" t="str">
        <f>IFERROR((AD383/AD382),"-")</f>
        <v>-</v>
      </c>
      <c r="AF382" s="2"/>
      <c r="AG382" s="52"/>
      <c r="AH382" s="52"/>
      <c r="AI382" s="52"/>
      <c r="AJ382" s="52"/>
      <c r="AK382" s="52"/>
      <c r="AL382" s="52"/>
      <c r="AM382" s="52"/>
      <c r="AN382" s="2"/>
      <c r="AO382" s="52">
        <f ca="1">SUMIF($AG$7:AM$7,"&lt;="&amp;$I$7,AG382:AL382)</f>
        <v>0</v>
      </c>
      <c r="AP382" s="743" t="str">
        <f ca="1">IFERROR((AO383/AO382),"-")</f>
        <v>-</v>
      </c>
      <c r="AQ382" s="2"/>
      <c r="AR382" s="52"/>
      <c r="AS382" s="52"/>
      <c r="AT382" s="52"/>
      <c r="AU382" s="52"/>
      <c r="AV382" s="52"/>
      <c r="AW382" s="52"/>
      <c r="AX382" s="52"/>
      <c r="AY382" s="2"/>
      <c r="AZ382" s="52">
        <f ca="1">SUMIF($AR$7:AX$7,"&lt;="&amp;$I$7,AR382:AW382)</f>
        <v>0</v>
      </c>
      <c r="BA382" s="743" t="str">
        <f ca="1">IFERROR((AZ383/AZ382),"-")</f>
        <v>-</v>
      </c>
      <c r="BB382" s="2"/>
      <c r="BC382" s="52"/>
      <c r="BD382" s="52"/>
      <c r="BE382" s="52"/>
      <c r="BF382" s="52"/>
      <c r="BG382" s="52"/>
      <c r="BH382" s="52"/>
      <c r="BI382" s="52"/>
      <c r="BJ382" s="2"/>
      <c r="BK382" s="52">
        <f ca="1">SUMIF($AR$7:BI$7,"&lt;="&amp;$I$7,BC382:BH382)</f>
        <v>0</v>
      </c>
      <c r="BL382" s="743" t="str">
        <f ca="1">IFERROR((BK383/BK382),"-")</f>
        <v>-</v>
      </c>
      <c r="BM382" s="2"/>
      <c r="BN382" s="888"/>
      <c r="BO382" s="888"/>
      <c r="BP382" s="888"/>
      <c r="BQ382" s="743" t="str">
        <f t="shared" ref="BQ382" si="954">IFERROR((BP382/BO382),"-")</f>
        <v>-</v>
      </c>
      <c r="BR382" s="2"/>
      <c r="BS382" s="888"/>
      <c r="BT382" s="888"/>
      <c r="BU382" s="888">
        <v>0</v>
      </c>
      <c r="BV382" s="888" t="e">
        <v>#N/A</v>
      </c>
      <c r="BW382" s="1019" t="str">
        <f>IFERROR((BU382/BV382),"-")</f>
        <v>-</v>
      </c>
      <c r="BX382" s="888">
        <v>0</v>
      </c>
      <c r="BY382" s="743" t="str">
        <f>IFERROR((BU382/BX382),"-")</f>
        <v>-</v>
      </c>
      <c r="BZ382" s="2"/>
      <c r="CA382" s="888">
        <v>2</v>
      </c>
      <c r="CB382" s="888">
        <f>CA382-BU382</f>
        <v>2</v>
      </c>
      <c r="CC382" s="2"/>
      <c r="CD382" s="504">
        <f>IFERROR(AVERAGEIF($V$7:AB$7,"&lt;="&amp;$I$7,V382:AB382),0)</f>
        <v>0</v>
      </c>
      <c r="CE382" s="2"/>
      <c r="CH382" s="93" t="str">
        <f t="shared" si="935"/>
        <v xml:space="preserve">Concretagem   </v>
      </c>
    </row>
    <row r="383" spans="1:86" s="16" customFormat="1" ht="15.95" hidden="1" customHeight="1" outlineLevel="1">
      <c r="A383" s="74"/>
      <c r="B383" s="1045"/>
      <c r="C383" s="740"/>
      <c r="D383" s="2"/>
      <c r="E383" s="1060"/>
      <c r="F383" s="2"/>
      <c r="G383" s="54" t="s">
        <v>38</v>
      </c>
      <c r="H383" s="52">
        <f t="shared" si="948"/>
        <v>0</v>
      </c>
      <c r="I383" s="744"/>
      <c r="J383" s="2"/>
      <c r="K383" s="75"/>
      <c r="L383" s="75"/>
      <c r="M383" s="75"/>
      <c r="N383" s="75"/>
      <c r="O383" s="75"/>
      <c r="P383" s="75"/>
      <c r="Q383" s="52"/>
      <c r="R383" s="2"/>
      <c r="S383" s="52">
        <f t="shared" si="944"/>
        <v>0</v>
      </c>
      <c r="T383" s="744"/>
      <c r="U383" s="2"/>
      <c r="V383" s="75"/>
      <c r="W383" s="75"/>
      <c r="X383" s="75"/>
      <c r="Y383" s="75"/>
      <c r="Z383" s="75"/>
      <c r="AA383" s="75"/>
      <c r="AB383" s="52"/>
      <c r="AC383" s="2"/>
      <c r="AD383" s="52">
        <f>SUMIF($V$7:AB$7,"&lt;="&amp;$I$7,V383:AB383)</f>
        <v>0</v>
      </c>
      <c r="AE383" s="744"/>
      <c r="AF383" s="2"/>
      <c r="AG383" s="75"/>
      <c r="AH383" s="75"/>
      <c r="AI383" s="52"/>
      <c r="AJ383" s="52"/>
      <c r="AK383" s="52"/>
      <c r="AL383" s="52"/>
      <c r="AM383" s="52"/>
      <c r="AN383" s="2"/>
      <c r="AO383" s="52">
        <f ca="1">SUMIF($AG$7:AM$7,"&lt;="&amp;$I$7,AG383:AL383)</f>
        <v>0</v>
      </c>
      <c r="AP383" s="744"/>
      <c r="AQ383" s="2"/>
      <c r="AR383" s="75"/>
      <c r="AS383" s="75"/>
      <c r="AT383" s="52"/>
      <c r="AU383" s="52"/>
      <c r="AV383" s="52"/>
      <c r="AW383" s="52"/>
      <c r="AX383" s="52"/>
      <c r="AY383" s="2"/>
      <c r="AZ383" s="52">
        <f ca="1">SUMIF($AR$7:AX$7,"&lt;="&amp;$I$7,AR383:AW383)</f>
        <v>0</v>
      </c>
      <c r="BA383" s="744"/>
      <c r="BB383" s="2"/>
      <c r="BC383" s="75"/>
      <c r="BD383" s="75"/>
      <c r="BE383" s="52"/>
      <c r="BF383" s="52"/>
      <c r="BG383" s="52"/>
      <c r="BH383" s="52"/>
      <c r="BI383" s="52"/>
      <c r="BJ383" s="2"/>
      <c r="BK383" s="52">
        <f ca="1">SUMIF($AR$7:BI$7,"&lt;="&amp;$I$7,BC383:BH383)</f>
        <v>0</v>
      </c>
      <c r="BL383" s="744"/>
      <c r="BM383" s="2"/>
      <c r="BN383" s="1018"/>
      <c r="BO383" s="889"/>
      <c r="BP383" s="1018"/>
      <c r="BQ383" s="744"/>
      <c r="BR383" s="2"/>
      <c r="BS383" s="888"/>
      <c r="BT383" s="888"/>
      <c r="BU383" s="888"/>
      <c r="BV383" s="888"/>
      <c r="BW383" s="1019"/>
      <c r="BX383" s="888"/>
      <c r="BY383" s="743"/>
      <c r="BZ383" s="2"/>
      <c r="CA383" s="888"/>
      <c r="CB383" s="888"/>
      <c r="CC383" s="2"/>
      <c r="CD383" s="504">
        <f>IFERROR(AVERAGEIF($V$7:AB$7,"&lt;="&amp;$I$7,V383:AB383),0)</f>
        <v>0</v>
      </c>
      <c r="CE383" s="2"/>
      <c r="CH383" s="93" t="str">
        <f t="shared" si="935"/>
        <v xml:space="preserve">Concretagem   </v>
      </c>
    </row>
    <row r="384" spans="1:86" s="16" customFormat="1" ht="15.95" hidden="1" customHeight="1" outlineLevel="1">
      <c r="A384" s="74"/>
      <c r="B384" s="1058" t="s">
        <v>4022</v>
      </c>
      <c r="C384" s="1023" t="s">
        <v>52</v>
      </c>
      <c r="D384" s="2"/>
      <c r="E384" s="1004">
        <v>0</v>
      </c>
      <c r="F384" s="2"/>
      <c r="G384" s="49" t="s">
        <v>37</v>
      </c>
      <c r="H384" s="705">
        <f t="shared" si="948"/>
        <v>0</v>
      </c>
      <c r="I384" s="878" t="str">
        <f t="shared" ref="I384" si="955">IFERROR((H385/H384),"-")</f>
        <v>-</v>
      </c>
      <c r="J384" s="2"/>
      <c r="K384" s="705"/>
      <c r="L384" s="705"/>
      <c r="M384" s="705"/>
      <c r="N384" s="705"/>
      <c r="O384" s="705"/>
      <c r="P384" s="705"/>
      <c r="Q384" s="705">
        <v>0</v>
      </c>
      <c r="R384" s="2"/>
      <c r="S384" s="705">
        <f t="shared" si="944"/>
        <v>0</v>
      </c>
      <c r="T384" s="878" t="str">
        <f>IFERROR((S385/S384),"-")</f>
        <v>-</v>
      </c>
      <c r="U384" s="2"/>
      <c r="V384" s="705"/>
      <c r="W384" s="705"/>
      <c r="X384" s="705"/>
      <c r="Y384" s="705"/>
      <c r="Z384" s="705"/>
      <c r="AA384" s="705"/>
      <c r="AB384" s="705"/>
      <c r="AC384" s="2"/>
      <c r="AD384" s="705">
        <f ca="1">SUMIF($V$7:AB$7,"&lt;="&amp;$I$7,V384:AA384)</f>
        <v>0</v>
      </c>
      <c r="AE384" s="878" t="str">
        <f ca="1">IFERROR((AD385/AD384),"-")</f>
        <v>-</v>
      </c>
      <c r="AF384" s="2"/>
      <c r="AG384" s="705"/>
      <c r="AH384" s="705"/>
      <c r="AI384" s="705"/>
      <c r="AJ384" s="705"/>
      <c r="AK384" s="705"/>
      <c r="AL384" s="705"/>
      <c r="AM384" s="705"/>
      <c r="AN384" s="2"/>
      <c r="AO384" s="705">
        <f ca="1">SUMIF($AG$7:AM$7,"&lt;="&amp;$I$7,AG384:AL384)</f>
        <v>0</v>
      </c>
      <c r="AP384" s="878" t="str">
        <f ca="1">IFERROR((AO385/AO384),"-")</f>
        <v>-</v>
      </c>
      <c r="AQ384" s="2"/>
      <c r="AR384" s="705"/>
      <c r="AS384" s="705"/>
      <c r="AT384" s="705"/>
      <c r="AU384" s="705"/>
      <c r="AV384" s="705"/>
      <c r="AW384" s="705"/>
      <c r="AX384" s="705"/>
      <c r="AY384" s="2"/>
      <c r="AZ384" s="705">
        <f ca="1">SUMIF($AR$7:AX$7,"&lt;="&amp;$I$7,AR384:AW384)</f>
        <v>0</v>
      </c>
      <c r="BA384" s="878" t="str">
        <f ca="1">IFERROR((AZ385/AZ384),"-")</f>
        <v>-</v>
      </c>
      <c r="BB384" s="2"/>
      <c r="BC384" s="705"/>
      <c r="BD384" s="705"/>
      <c r="BE384" s="705"/>
      <c r="BF384" s="705"/>
      <c r="BG384" s="705"/>
      <c r="BH384" s="705"/>
      <c r="BI384" s="705"/>
      <c r="BJ384" s="2"/>
      <c r="BK384" s="705">
        <f ca="1">SUMIF($AR$7:BI$7,"&lt;="&amp;$I$7,BC384:BH384)</f>
        <v>0</v>
      </c>
      <c r="BL384" s="878" t="str">
        <f ca="1">IFERROR((BK385/BK384),"-")</f>
        <v>-</v>
      </c>
      <c r="BM384" s="2"/>
      <c r="BN384" s="921"/>
      <c r="BO384" s="921"/>
      <c r="BP384" s="884"/>
      <c r="BQ384" s="878" t="str">
        <f t="shared" ref="BQ384" si="956">IFERROR((BP384/BO384),"-")</f>
        <v>-</v>
      </c>
      <c r="BR384" s="2"/>
      <c r="BS384" s="884"/>
      <c r="BT384" s="884"/>
      <c r="BU384" s="884">
        <v>0</v>
      </c>
      <c r="BV384" s="1016" t="e">
        <v>#N/A</v>
      </c>
      <c r="BW384" s="1004" t="str">
        <f>IFERROR((BU384/BV384),"-")</f>
        <v>-</v>
      </c>
      <c r="BX384" s="884">
        <v>0</v>
      </c>
      <c r="BY384" s="878" t="str">
        <f>IFERROR((BU384/BX384),"-")</f>
        <v>-</v>
      </c>
      <c r="BZ384" s="2"/>
      <c r="CA384" s="884">
        <v>1</v>
      </c>
      <c r="CB384" s="884">
        <f>CA384-BU384</f>
        <v>1</v>
      </c>
      <c r="CC384" s="2"/>
      <c r="CD384" s="504">
        <f>IFERROR(AVERAGEIF($V$7:AB$7,"&lt;="&amp;$I$7,V384:AB384),0)</f>
        <v>0</v>
      </c>
      <c r="CE384" s="2"/>
      <c r="CH384" s="93" t="str">
        <f t="shared" si="935"/>
        <v>E2</v>
      </c>
    </row>
    <row r="385" spans="1:86" s="16" customFormat="1" ht="15.95" hidden="1" customHeight="1" outlineLevel="1">
      <c r="A385" s="74"/>
      <c r="B385" s="1042"/>
      <c r="C385" s="1023"/>
      <c r="D385" s="2"/>
      <c r="E385" s="1024"/>
      <c r="F385" s="2"/>
      <c r="G385" s="50" t="s">
        <v>38</v>
      </c>
      <c r="H385" s="705">
        <f t="shared" si="948"/>
        <v>0</v>
      </c>
      <c r="I385" s="879"/>
      <c r="J385" s="2"/>
      <c r="K385" s="706"/>
      <c r="L385" s="706"/>
      <c r="M385" s="706"/>
      <c r="N385" s="706"/>
      <c r="O385" s="706"/>
      <c r="P385" s="706"/>
      <c r="Q385" s="706"/>
      <c r="R385" s="2"/>
      <c r="S385" s="705">
        <f t="shared" si="944"/>
        <v>0</v>
      </c>
      <c r="T385" s="879"/>
      <c r="U385" s="2"/>
      <c r="V385" s="706"/>
      <c r="W385" s="706"/>
      <c r="X385" s="706"/>
      <c r="Y385" s="706"/>
      <c r="Z385" s="706"/>
      <c r="AA385" s="706"/>
      <c r="AB385" s="706"/>
      <c r="AC385" s="2"/>
      <c r="AD385" s="705">
        <f ca="1">SUMIF($V$7:AB$7,"&lt;="&amp;$I$7,V385:AA385)</f>
        <v>0</v>
      </c>
      <c r="AE385" s="879"/>
      <c r="AF385" s="2"/>
      <c r="AG385" s="86"/>
      <c r="AH385" s="86"/>
      <c r="AI385" s="86"/>
      <c r="AJ385" s="86"/>
      <c r="AK385" s="86"/>
      <c r="AL385" s="86"/>
      <c r="AM385" s="86"/>
      <c r="AN385" s="2"/>
      <c r="AO385" s="705">
        <f ca="1">SUMIF($AG$7:AM$7,"&lt;="&amp;$I$7,AG385:AL385)</f>
        <v>0</v>
      </c>
      <c r="AP385" s="879"/>
      <c r="AQ385" s="2"/>
      <c r="AR385" s="706"/>
      <c r="AS385" s="706"/>
      <c r="AT385" s="706"/>
      <c r="AU385" s="706"/>
      <c r="AV385" s="706"/>
      <c r="AW385" s="706"/>
      <c r="AX385" s="706"/>
      <c r="AY385" s="2"/>
      <c r="AZ385" s="705">
        <f ca="1">SUMIF($AR$7:AX$7,"&lt;="&amp;$I$7,AR385:AW385)</f>
        <v>0</v>
      </c>
      <c r="BA385" s="879"/>
      <c r="BB385" s="2"/>
      <c r="BC385" s="706"/>
      <c r="BD385" s="706"/>
      <c r="BE385" s="706"/>
      <c r="BF385" s="706"/>
      <c r="BG385" s="706"/>
      <c r="BH385" s="706"/>
      <c r="BI385" s="706"/>
      <c r="BJ385" s="2"/>
      <c r="BK385" s="705">
        <f ca="1">SUMIF($AR$7:BI$7,"&lt;="&amp;$I$7,BC385:BH385)</f>
        <v>0</v>
      </c>
      <c r="BL385" s="879"/>
      <c r="BM385" s="2"/>
      <c r="BN385" s="922"/>
      <c r="BO385" s="922"/>
      <c r="BP385" s="885"/>
      <c r="BQ385" s="1050"/>
      <c r="BR385" s="2"/>
      <c r="BS385" s="922"/>
      <c r="BT385" s="922"/>
      <c r="BU385" s="922"/>
      <c r="BV385" s="1059"/>
      <c r="BW385" s="1051"/>
      <c r="BX385" s="922"/>
      <c r="BY385" s="1052"/>
      <c r="BZ385" s="2"/>
      <c r="CA385" s="922"/>
      <c r="CB385" s="922"/>
      <c r="CC385" s="2"/>
      <c r="CD385" s="504">
        <f>IFERROR(AVERAGEIF($V$7:AB$7,"&lt;="&amp;$I$7,V385:AB385),0)</f>
        <v>0</v>
      </c>
      <c r="CE385" s="2"/>
      <c r="CH385" s="93" t="str">
        <f t="shared" si="935"/>
        <v>E2</v>
      </c>
    </row>
    <row r="386" spans="1:86" ht="18" customHeight="1" collapsed="1">
      <c r="A386" s="74"/>
      <c r="B386" s="1045" t="s">
        <v>4025</v>
      </c>
      <c r="C386" s="740" t="s">
        <v>3936</v>
      </c>
      <c r="D386" s="2"/>
      <c r="E386" s="1019">
        <v>0</v>
      </c>
      <c r="F386" s="2"/>
      <c r="G386" s="53" t="s">
        <v>37</v>
      </c>
      <c r="H386" s="52">
        <f t="shared" si="948"/>
        <v>0</v>
      </c>
      <c r="I386" s="743" t="str">
        <f t="shared" ref="I386" si="957">IFERROR((H387/H386),"-")</f>
        <v>-</v>
      </c>
      <c r="J386" s="2"/>
      <c r="K386" s="52"/>
      <c r="L386" s="52"/>
      <c r="M386" s="52"/>
      <c r="N386" s="52"/>
      <c r="O386" s="52"/>
      <c r="P386" s="52"/>
      <c r="Q386" s="52"/>
      <c r="R386" s="2"/>
      <c r="S386" s="52">
        <f ca="1">SUMIF($K$7:Q$7,"&lt;="&amp;$I$7,K386:P386)</f>
        <v>0</v>
      </c>
      <c r="T386" s="743" t="str">
        <f ca="1">IFERROR((S387/S386),"-")</f>
        <v>-</v>
      </c>
      <c r="U386" s="2"/>
      <c r="V386" s="84" t="s">
        <v>1434</v>
      </c>
      <c r="W386" s="84" t="s">
        <v>1434</v>
      </c>
      <c r="X386" s="84" t="s">
        <v>1434</v>
      </c>
      <c r="Y386" s="84" t="s">
        <v>1434</v>
      </c>
      <c r="Z386" s="84" t="s">
        <v>1434</v>
      </c>
      <c r="AA386" s="84" t="s">
        <v>1434</v>
      </c>
      <c r="AB386" s="52"/>
      <c r="AC386" s="2"/>
      <c r="AD386" s="52">
        <f>SUMIF($V$7:AB$7,"&lt;="&amp;$I$7,V386:AB386)</f>
        <v>0</v>
      </c>
      <c r="AE386" s="743" t="str">
        <f>IFERROR((AD387/AD386),"-")</f>
        <v>-</v>
      </c>
      <c r="AF386" s="2"/>
      <c r="AG386" s="52" t="s">
        <v>1434</v>
      </c>
      <c r="AH386" s="52" t="s">
        <v>1434</v>
      </c>
      <c r="AI386" s="52" t="s">
        <v>1434</v>
      </c>
      <c r="AJ386" s="52" t="s">
        <v>1434</v>
      </c>
      <c r="AK386" s="52" t="s">
        <v>1434</v>
      </c>
      <c r="AL386" s="52" t="s">
        <v>1434</v>
      </c>
      <c r="AM386" s="52"/>
      <c r="AN386" s="2"/>
      <c r="AO386" s="52">
        <f ca="1">SUMIF($AG$7:AM$7,"&lt;="&amp;$I$7,AG386:AL386)</f>
        <v>0</v>
      </c>
      <c r="AP386" s="743" t="str">
        <f ca="1">IFERROR((AO387/AO386),"-")</f>
        <v>-</v>
      </c>
      <c r="AQ386" s="2"/>
      <c r="AR386" s="52"/>
      <c r="AS386" s="52"/>
      <c r="AT386" s="52"/>
      <c r="AU386" s="52"/>
      <c r="AV386" s="52"/>
      <c r="AW386" s="52"/>
      <c r="AX386" s="52"/>
      <c r="AY386" s="2"/>
      <c r="AZ386" s="52">
        <f ca="1">SUMIF($AR$7:AX$7,"&lt;="&amp;$I$7,AR386:AW386)</f>
        <v>0</v>
      </c>
      <c r="BA386" s="743" t="str">
        <f ca="1">IFERROR((AZ387/AZ386),"-")</f>
        <v>-</v>
      </c>
      <c r="BB386" s="2"/>
      <c r="BC386" s="52"/>
      <c r="BD386" s="52"/>
      <c r="BE386" s="52" t="s">
        <v>1434</v>
      </c>
      <c r="BF386" s="52">
        <v>1</v>
      </c>
      <c r="BG386" s="52"/>
      <c r="BH386" s="52"/>
      <c r="BI386" s="52"/>
      <c r="BJ386" s="2"/>
      <c r="BK386" s="52">
        <f ca="1">SUMIF($BC$7:BI$7,"&lt;="&amp;$I$7,BC386:BH386)</f>
        <v>0</v>
      </c>
      <c r="BL386" s="743" t="str">
        <f ca="1">IFERROR((BK387/BK386),"-")</f>
        <v>-</v>
      </c>
      <c r="BM386" s="2"/>
      <c r="BN386" s="1018">
        <v>2</v>
      </c>
      <c r="BO386" s="1018">
        <v>0</v>
      </c>
      <c r="BP386" s="1018">
        <v>0</v>
      </c>
      <c r="BQ386" s="743" t="str">
        <f t="shared" ref="BQ386" si="958">IFERROR((BP386/BO386),"-")</f>
        <v>-</v>
      </c>
      <c r="BR386" s="2"/>
      <c r="BS386" s="888"/>
      <c r="BT386" s="888"/>
      <c r="BU386" s="888">
        <v>0</v>
      </c>
      <c r="BV386" s="884">
        <v>106</v>
      </c>
      <c r="BW386" s="1004">
        <f>IFERROR((BU386/BV386),"-")</f>
        <v>0</v>
      </c>
      <c r="BX386" s="888">
        <v>0</v>
      </c>
      <c r="BY386" s="743" t="str">
        <f>IFERROR((BU386/BX386),"-")</f>
        <v>-</v>
      </c>
      <c r="BZ386" s="2"/>
      <c r="CA386" s="888">
        <v>2</v>
      </c>
      <c r="CB386" s="888">
        <f>CA386-BU386</f>
        <v>2</v>
      </c>
      <c r="CC386" s="40"/>
      <c r="CD386" s="43">
        <f>IFERROR(AVERAGEIF($V$7:AB$7,"&lt;="&amp;$I$7,V386:AB386),0)</f>
        <v>0</v>
      </c>
      <c r="CE386" s="2"/>
      <c r="CH386" s="93" t="str">
        <f t="shared" si="935"/>
        <v>TRAVESSA</v>
      </c>
    </row>
    <row r="387" spans="1:86" s="21" customFormat="1" ht="15.75" collapsed="1">
      <c r="A387" s="74"/>
      <c r="B387" s="1045"/>
      <c r="C387" s="740"/>
      <c r="D387" s="2"/>
      <c r="E387" s="1020"/>
      <c r="F387" s="2"/>
      <c r="G387" s="54" t="s">
        <v>38</v>
      </c>
      <c r="H387" s="52">
        <f t="shared" si="948"/>
        <v>0</v>
      </c>
      <c r="I387" s="744"/>
      <c r="J387" s="2"/>
      <c r="K387" s="82"/>
      <c r="L387" s="82"/>
      <c r="M387" s="82"/>
      <c r="N387" s="82" t="s">
        <v>1434</v>
      </c>
      <c r="O387" s="82"/>
      <c r="P387" s="82"/>
      <c r="Q387" s="52"/>
      <c r="R387" s="2"/>
      <c r="S387" s="52">
        <f ca="1">SUMIF($K$7:Q$7,"&lt;="&amp;$I$7,K387:P387)</f>
        <v>0</v>
      </c>
      <c r="T387" s="744"/>
      <c r="U387" s="2"/>
      <c r="V387" s="82" t="s">
        <v>1434</v>
      </c>
      <c r="W387" s="82" t="s">
        <v>1434</v>
      </c>
      <c r="X387" s="82" t="s">
        <v>1434</v>
      </c>
      <c r="Y387" s="82" t="s">
        <v>1434</v>
      </c>
      <c r="Z387" s="82" t="s">
        <v>1434</v>
      </c>
      <c r="AA387" s="82" t="s">
        <v>1434</v>
      </c>
      <c r="AB387" s="52"/>
      <c r="AC387" s="2"/>
      <c r="AD387" s="52">
        <f>SUMIF($V$7:AB$7,"&lt;="&amp;$I$7,V387:AB387)</f>
        <v>0</v>
      </c>
      <c r="AE387" s="744"/>
      <c r="AF387" s="2"/>
      <c r="AG387" s="82" t="s">
        <v>1434</v>
      </c>
      <c r="AH387" s="82" t="s">
        <v>1434</v>
      </c>
      <c r="AI387" s="82"/>
      <c r="AJ387" s="82"/>
      <c r="AK387" s="82"/>
      <c r="AL387" s="82"/>
      <c r="AM387" s="52"/>
      <c r="AN387" s="2"/>
      <c r="AO387" s="52">
        <f ca="1">SUMIF($AG$7:AM$7,"&lt;="&amp;$I$7,AG387:AL387)</f>
        <v>0</v>
      </c>
      <c r="AP387" s="744"/>
      <c r="AQ387" s="2"/>
      <c r="AR387" s="82"/>
      <c r="AS387" s="82"/>
      <c r="AT387" s="82"/>
      <c r="AU387" s="82"/>
      <c r="AV387" s="82"/>
      <c r="AW387" s="82"/>
      <c r="AX387" s="52"/>
      <c r="AY387" s="2"/>
      <c r="AZ387" s="52">
        <f ca="1">SUMIF($AR$7:AX$7,"&lt;="&amp;$I$7,AR387:AW387)</f>
        <v>0</v>
      </c>
      <c r="BA387" s="744"/>
      <c r="BB387" s="2"/>
      <c r="BC387" s="82"/>
      <c r="BD387" s="82"/>
      <c r="BE387" s="82"/>
      <c r="BF387" s="82"/>
      <c r="BG387" s="82"/>
      <c r="BH387" s="82"/>
      <c r="BI387" s="52"/>
      <c r="BJ387" s="2"/>
      <c r="BK387" s="52">
        <f ca="1">SUMIF($BC$7:BI$7,"&lt;="&amp;$I$7,BC387:BH387)</f>
        <v>0</v>
      </c>
      <c r="BL387" s="744"/>
      <c r="BM387" s="2"/>
      <c r="BN387" s="1018"/>
      <c r="BO387" s="1018"/>
      <c r="BP387" s="1018"/>
      <c r="BQ387" s="744"/>
      <c r="BR387" s="2"/>
      <c r="BS387" s="888"/>
      <c r="BT387" s="888"/>
      <c r="BU387" s="1018"/>
      <c r="BV387" s="886"/>
      <c r="BW387" s="1051"/>
      <c r="BX387" s="1018"/>
      <c r="BY387" s="1057"/>
      <c r="BZ387" s="2"/>
      <c r="CA387" s="1018"/>
      <c r="CB387" s="1018"/>
      <c r="CC387" s="40"/>
      <c r="CD387" s="43">
        <f>IFERROR(AVERAGEIF($V$7:AB$7,"&lt;="&amp;$I$7,V387:AB387),0)</f>
        <v>0</v>
      </c>
      <c r="CE387" s="2"/>
      <c r="CH387" s="93" t="str">
        <f t="shared" si="935"/>
        <v>TRAVESSA</v>
      </c>
    </row>
    <row r="388" spans="1:86" s="16" customFormat="1" ht="22.35" hidden="1" customHeight="1" outlineLevel="1">
      <c r="A388" s="74"/>
      <c r="B388" s="1048" t="s">
        <v>4026</v>
      </c>
      <c r="C388" s="1023" t="s">
        <v>3936</v>
      </c>
      <c r="D388" s="2"/>
      <c r="E388" s="1004">
        <v>0</v>
      </c>
      <c r="F388" s="2"/>
      <c r="G388" s="49" t="s">
        <v>37</v>
      </c>
      <c r="H388" s="705">
        <f t="shared" si="948"/>
        <v>0</v>
      </c>
      <c r="I388" s="878" t="str">
        <f t="shared" ref="I388" si="959">IFERROR((H389/H388),"-")</f>
        <v>-</v>
      </c>
      <c r="J388" s="2"/>
      <c r="K388" s="705"/>
      <c r="L388" s="705"/>
      <c r="M388" s="705"/>
      <c r="N388" s="705"/>
      <c r="O388" s="705"/>
      <c r="P388" s="705"/>
      <c r="Q388" s="705"/>
      <c r="R388" s="2"/>
      <c r="S388" s="705">
        <f ca="1">SUMIF($K$7:Q$7,"&lt;="&amp;$I$7,K388:P388)</f>
        <v>0</v>
      </c>
      <c r="T388" s="878" t="str">
        <f ca="1">IFERROR((S389/S388),"-")</f>
        <v>-</v>
      </c>
      <c r="U388" s="2"/>
      <c r="V388" s="705" t="s">
        <v>1434</v>
      </c>
      <c r="W388" s="705" t="s">
        <v>1434</v>
      </c>
      <c r="X388" s="705" t="s">
        <v>1434</v>
      </c>
      <c r="Y388" s="705" t="s">
        <v>1434</v>
      </c>
      <c r="Z388" s="705" t="s">
        <v>1434</v>
      </c>
      <c r="AA388" s="705" t="s">
        <v>1434</v>
      </c>
      <c r="AB388" s="705"/>
      <c r="AC388" s="2"/>
      <c r="AD388" s="705">
        <f ca="1">SUMIF($V$7:AB$7,"&lt;="&amp;$I$7,V388:AA388)</f>
        <v>0</v>
      </c>
      <c r="AE388" s="878" t="str">
        <f ca="1">IFERROR((AD389/AD388),"-")</f>
        <v>-</v>
      </c>
      <c r="AF388" s="2"/>
      <c r="AG388" s="705" t="s">
        <v>1434</v>
      </c>
      <c r="AH388" s="705" t="s">
        <v>1434</v>
      </c>
      <c r="AI388" s="705" t="s">
        <v>1434</v>
      </c>
      <c r="AJ388" s="705" t="s">
        <v>1434</v>
      </c>
      <c r="AK388" s="705" t="s">
        <v>1434</v>
      </c>
      <c r="AL388" s="705" t="s">
        <v>1434</v>
      </c>
      <c r="AM388" s="705"/>
      <c r="AN388" s="2"/>
      <c r="AO388" s="705">
        <f ca="1">SUMIF($AG$7:AM$7,"&lt;="&amp;$I$7,AG388:AL388)</f>
        <v>0</v>
      </c>
      <c r="AP388" s="878" t="str">
        <f ca="1">IFERROR((AO389/AO388),"-")</f>
        <v>-</v>
      </c>
      <c r="AQ388" s="2"/>
      <c r="AR388" s="705"/>
      <c r="AS388" s="705"/>
      <c r="AT388" s="705"/>
      <c r="AU388" s="705"/>
      <c r="AV388" s="705"/>
      <c r="AW388" s="705"/>
      <c r="AX388" s="705"/>
      <c r="AY388" s="2"/>
      <c r="AZ388" s="43">
        <f ca="1">SUMIF($AR$7:AX$7,"&lt;="&amp;$I$7,AR388:AW388)</f>
        <v>0</v>
      </c>
      <c r="BA388" s="878" t="str">
        <f ca="1">IFERROR((AZ389/AZ388),"-")</f>
        <v>-</v>
      </c>
      <c r="BB388" s="2"/>
      <c r="BC388" s="705"/>
      <c r="BD388" s="705"/>
      <c r="BE388" s="705" t="s">
        <v>1434</v>
      </c>
      <c r="BF388" s="705">
        <v>1</v>
      </c>
      <c r="BG388" s="705"/>
      <c r="BH388" s="705"/>
      <c r="BI388" s="705"/>
      <c r="BJ388" s="2"/>
      <c r="BK388" s="43">
        <f ca="1">SUMIF($BC$7:BI$7,"&lt;="&amp;$I$7,BC388:BH388)</f>
        <v>0</v>
      </c>
      <c r="BL388" s="878" t="str">
        <f ca="1">IFERROR((BK389/BK388),"-")</f>
        <v>-</v>
      </c>
      <c r="BM388" s="2"/>
      <c r="BN388" s="921">
        <v>2</v>
      </c>
      <c r="BO388" s="921">
        <v>0</v>
      </c>
      <c r="BP388" s="884">
        <f>SUM(M389:P389,V389:AB389,AG389:AM389,AR389:AX389,BC389:BH389)</f>
        <v>0</v>
      </c>
      <c r="BQ388" s="878" t="str">
        <f t="shared" ref="BQ388" si="960">IFERROR((BP388/BO388),"-")</f>
        <v>-</v>
      </c>
      <c r="BR388" s="2"/>
      <c r="BS388" s="884"/>
      <c r="BT388" s="884"/>
      <c r="BU388" s="884">
        <v>0</v>
      </c>
      <c r="BV388" s="884">
        <v>106</v>
      </c>
      <c r="BW388" s="1004">
        <f>IFERROR((BU388/BV388),"-")</f>
        <v>0</v>
      </c>
      <c r="BX388" s="884">
        <v>0</v>
      </c>
      <c r="BY388" s="878" t="str">
        <f>IFERROR((BU388/BX388),"-")</f>
        <v>-</v>
      </c>
      <c r="BZ388" s="2"/>
      <c r="CA388" s="884">
        <v>1</v>
      </c>
      <c r="CB388" s="884">
        <f>CA388-BU388</f>
        <v>1</v>
      </c>
      <c r="CC388" s="2"/>
      <c r="CD388" s="52">
        <f>IFERROR(AVERAGEIF($K$7:Q$7,"&lt;="&amp;$I$7,K388:Q388),0)</f>
        <v>0</v>
      </c>
      <c r="CE388" s="2"/>
      <c r="CH388" s="93" t="str">
        <f t="shared" si="935"/>
        <v>TRAVESSA - E1 (Magro+Arm.+For.+Concreto)</v>
      </c>
    </row>
    <row r="389" spans="1:86" s="21" customFormat="1" ht="22.35" hidden="1" customHeight="1" outlineLevel="1">
      <c r="A389" s="74"/>
      <c r="B389" s="1049"/>
      <c r="C389" s="1023"/>
      <c r="D389" s="2"/>
      <c r="E389" s="1005"/>
      <c r="F389" s="2"/>
      <c r="G389" s="50" t="s">
        <v>38</v>
      </c>
      <c r="H389" s="705">
        <f t="shared" si="948"/>
        <v>0</v>
      </c>
      <c r="I389" s="879"/>
      <c r="J389" s="2"/>
      <c r="K389" s="86"/>
      <c r="L389" s="86"/>
      <c r="M389" s="86"/>
      <c r="N389" s="86"/>
      <c r="O389" s="86" t="s">
        <v>1434</v>
      </c>
      <c r="P389" s="86"/>
      <c r="Q389" s="706"/>
      <c r="R389" s="2"/>
      <c r="S389" s="705">
        <f ca="1">SUMIF($K$7:Q$7,"&lt;="&amp;$I$7,K389:P389)</f>
        <v>0</v>
      </c>
      <c r="T389" s="879"/>
      <c r="U389" s="2"/>
      <c r="V389" s="86"/>
      <c r="W389" s="86"/>
      <c r="X389" s="86"/>
      <c r="Y389" s="86"/>
      <c r="Z389" s="86"/>
      <c r="AA389" s="86" t="s">
        <v>1434</v>
      </c>
      <c r="AB389" s="706"/>
      <c r="AC389" s="2"/>
      <c r="AD389" s="705">
        <f ca="1">SUMIF($V$7:AB$7,"&lt;="&amp;$I$7,V389:AA389)</f>
        <v>0</v>
      </c>
      <c r="AE389" s="879"/>
      <c r="AF389" s="2"/>
      <c r="AG389" s="86" t="s">
        <v>1434</v>
      </c>
      <c r="AH389" s="86" t="s">
        <v>1434</v>
      </c>
      <c r="AI389" s="86"/>
      <c r="AJ389" s="86"/>
      <c r="AK389" s="86"/>
      <c r="AL389" s="86"/>
      <c r="AM389" s="706"/>
      <c r="AN389" s="2"/>
      <c r="AO389" s="705">
        <f ca="1">SUMIF($AG$7:AM$7,"&lt;="&amp;$I$7,AG389:AL389)</f>
        <v>0</v>
      </c>
      <c r="AP389" s="879"/>
      <c r="AQ389" s="2"/>
      <c r="AR389" s="86"/>
      <c r="AS389" s="86"/>
      <c r="AT389" s="86"/>
      <c r="AU389" s="86"/>
      <c r="AV389" s="86"/>
      <c r="AW389" s="86"/>
      <c r="AX389" s="706"/>
      <c r="AY389" s="2"/>
      <c r="AZ389" s="43">
        <f ca="1">SUMIF($AR$7:AX$7,"&lt;="&amp;$I$7,AR389:AW389)</f>
        <v>0</v>
      </c>
      <c r="BA389" s="879"/>
      <c r="BB389" s="2"/>
      <c r="BC389" s="86"/>
      <c r="BD389" s="86"/>
      <c r="BE389" s="86"/>
      <c r="BF389" s="86"/>
      <c r="BG389" s="86"/>
      <c r="BH389" s="86"/>
      <c r="BI389" s="706"/>
      <c r="BJ389" s="2"/>
      <c r="BK389" s="43">
        <f ca="1">SUMIF($BC$7:BI$7,"&lt;="&amp;$I$7,BC389:BH389)</f>
        <v>0</v>
      </c>
      <c r="BL389" s="879"/>
      <c r="BM389" s="2"/>
      <c r="BN389" s="922"/>
      <c r="BO389" s="922"/>
      <c r="BP389" s="885"/>
      <c r="BQ389" s="1050"/>
      <c r="BR389" s="2"/>
      <c r="BS389" s="922"/>
      <c r="BT389" s="922"/>
      <c r="BU389" s="922"/>
      <c r="BV389" s="886"/>
      <c r="BW389" s="1051"/>
      <c r="BX389" s="922"/>
      <c r="BY389" s="1052"/>
      <c r="BZ389" s="2"/>
      <c r="CA389" s="922"/>
      <c r="CB389" s="922"/>
      <c r="CC389" s="2"/>
      <c r="CD389" s="52">
        <f>IFERROR(AVERAGEIF($K$7:Q$7,"&lt;="&amp;$I$7,K389:Q389),0)</f>
        <v>0</v>
      </c>
      <c r="CE389" s="2"/>
      <c r="CH389" s="93" t="str">
        <f t="shared" si="935"/>
        <v>TRAVESSA - E1 (Magro+Arm.+For.+Concreto)</v>
      </c>
    </row>
    <row r="390" spans="1:86" s="16" customFormat="1" ht="22.35" hidden="1" customHeight="1" outlineLevel="1">
      <c r="A390" s="74"/>
      <c r="B390" s="1048" t="s">
        <v>4027</v>
      </c>
      <c r="C390" s="1023" t="s">
        <v>3936</v>
      </c>
      <c r="D390" s="2"/>
      <c r="E390" s="1004">
        <v>0</v>
      </c>
      <c r="F390" s="2"/>
      <c r="G390" s="49" t="s">
        <v>37</v>
      </c>
      <c r="H390" s="705">
        <f t="shared" si="948"/>
        <v>0</v>
      </c>
      <c r="I390" s="878" t="str">
        <f t="shared" ref="I390" si="961">IFERROR((H391/H390),"-")</f>
        <v>-</v>
      </c>
      <c r="J390" s="2"/>
      <c r="K390" s="705"/>
      <c r="L390" s="705"/>
      <c r="M390" s="705"/>
      <c r="N390" s="705"/>
      <c r="O390" s="705"/>
      <c r="P390" s="705"/>
      <c r="Q390" s="705"/>
      <c r="R390" s="2"/>
      <c r="S390" s="705">
        <f ca="1">SUMIF($K$7:Q$7,"&lt;="&amp;$I$7,K390:P390)</f>
        <v>0</v>
      </c>
      <c r="T390" s="878" t="str">
        <f ca="1">IFERROR((S391/S390),"-")</f>
        <v>-</v>
      </c>
      <c r="U390" s="2"/>
      <c r="V390" s="705" t="s">
        <v>1434</v>
      </c>
      <c r="W390" s="705" t="s">
        <v>1434</v>
      </c>
      <c r="X390" s="705" t="s">
        <v>1434</v>
      </c>
      <c r="Y390" s="705" t="s">
        <v>1434</v>
      </c>
      <c r="Z390" s="705" t="s">
        <v>1434</v>
      </c>
      <c r="AA390" s="705" t="s">
        <v>1434</v>
      </c>
      <c r="AB390" s="705"/>
      <c r="AC390" s="2"/>
      <c r="AD390" s="705">
        <f ca="1">SUMIF($V$7:AB$7,"&lt;="&amp;$I$7,V390:AA390)</f>
        <v>0</v>
      </c>
      <c r="AE390" s="878" t="str">
        <f ca="1">IFERROR((AD391/AD390),"-")</f>
        <v>-</v>
      </c>
      <c r="AF390" s="2"/>
      <c r="AG390" s="705" t="s">
        <v>1434</v>
      </c>
      <c r="AH390" s="705" t="s">
        <v>1434</v>
      </c>
      <c r="AI390" s="705" t="s">
        <v>1434</v>
      </c>
      <c r="AJ390" s="705" t="s">
        <v>1434</v>
      </c>
      <c r="AK390" s="705" t="s">
        <v>1434</v>
      </c>
      <c r="AL390" s="705">
        <v>1</v>
      </c>
      <c r="AM390" s="705"/>
      <c r="AN390" s="2"/>
      <c r="AO390" s="705">
        <f ca="1">SUMIF($AG$7:AM$7,"&lt;="&amp;$I$7,AG390:AL390)</f>
        <v>0</v>
      </c>
      <c r="AP390" s="878" t="str">
        <f ca="1">IFERROR((AO391/AO390),"-")</f>
        <v>-</v>
      </c>
      <c r="AQ390" s="2"/>
      <c r="AR390" s="705"/>
      <c r="AS390" s="705"/>
      <c r="AT390" s="705"/>
      <c r="AU390" s="705"/>
      <c r="AV390" s="705"/>
      <c r="AW390" s="705"/>
      <c r="AX390" s="705"/>
      <c r="AY390" s="2"/>
      <c r="AZ390" s="43">
        <f ca="1">SUMIF($AR$7:AX$7,"&lt;="&amp;$I$7,AR390:AW390)</f>
        <v>0</v>
      </c>
      <c r="BA390" s="878" t="str">
        <f ca="1">IFERROR((AZ391/AZ390),"-")</f>
        <v>-</v>
      </c>
      <c r="BB390" s="2"/>
      <c r="BC390" s="705"/>
      <c r="BD390" s="705"/>
      <c r="BE390" s="705"/>
      <c r="BF390" s="705"/>
      <c r="BG390" s="705"/>
      <c r="BH390" s="705"/>
      <c r="BI390" s="705"/>
      <c r="BJ390" s="2"/>
      <c r="BK390" s="43">
        <f ca="1">SUMIF($BC$7:BI$7,"&lt;="&amp;$I$7,BC390:BH390)</f>
        <v>0</v>
      </c>
      <c r="BL390" s="878" t="str">
        <f ca="1">IFERROR((BK391/BK390),"-")</f>
        <v>-</v>
      </c>
      <c r="BM390" s="2"/>
      <c r="BN390" s="921">
        <v>2</v>
      </c>
      <c r="BO390" s="921">
        <v>0</v>
      </c>
      <c r="BP390" s="884">
        <f>SUM(M391:P391,V391:AB391,AG391:AM391,AR391:AX391,BC391:BH391)</f>
        <v>0</v>
      </c>
      <c r="BQ390" s="878" t="str">
        <f t="shared" ref="BQ390" si="962">IFERROR((BP390/BO390),"-")</f>
        <v>-</v>
      </c>
      <c r="BR390" s="2"/>
      <c r="BS390" s="884"/>
      <c r="BT390" s="884"/>
      <c r="BU390" s="884">
        <v>0</v>
      </c>
      <c r="BV390" s="884">
        <v>106</v>
      </c>
      <c r="BW390" s="1004">
        <f>IFERROR((BU390/BV390),"-")</f>
        <v>0</v>
      </c>
      <c r="BX390" s="884">
        <v>0</v>
      </c>
      <c r="BY390" s="878" t="str">
        <f>IFERROR((BU390/BX390),"-")</f>
        <v>-</v>
      </c>
      <c r="BZ390" s="2"/>
      <c r="CA390" s="884">
        <v>1</v>
      </c>
      <c r="CB390" s="884">
        <f>CA390-BU390</f>
        <v>1</v>
      </c>
      <c r="CC390" s="2"/>
      <c r="CD390" s="504">
        <f>IFERROR(AVERAGEIF($K$7:Q$7,"&lt;="&amp;$I$7,K390:Q390),0)</f>
        <v>0</v>
      </c>
      <c r="CE390" s="2"/>
      <c r="CH390" s="93" t="str">
        <f t="shared" si="935"/>
        <v>TRAVESSA - E2 (Magro+Arm.+For.+Concreto)</v>
      </c>
    </row>
    <row r="391" spans="1:86" s="21" customFormat="1" ht="22.35" hidden="1" customHeight="1" outlineLevel="1">
      <c r="A391" s="74"/>
      <c r="B391" s="1049"/>
      <c r="C391" s="1023"/>
      <c r="D391" s="2"/>
      <c r="E391" s="1005"/>
      <c r="F391" s="2"/>
      <c r="G391" s="50" t="s">
        <v>38</v>
      </c>
      <c r="H391" s="705">
        <f t="shared" si="948"/>
        <v>0</v>
      </c>
      <c r="I391" s="879"/>
      <c r="J391" s="2"/>
      <c r="K391" s="85"/>
      <c r="L391" s="85"/>
      <c r="M391" s="85"/>
      <c r="N391" s="85" t="s">
        <v>1434</v>
      </c>
      <c r="O391" s="85"/>
      <c r="P391" s="85"/>
      <c r="Q391" s="706"/>
      <c r="R391" s="2"/>
      <c r="S391" s="705">
        <f ca="1">SUMIF($K$7:Q$7,"&lt;="&amp;$I$7,K391:P391)</f>
        <v>0</v>
      </c>
      <c r="T391" s="879"/>
      <c r="U391" s="2"/>
      <c r="V391" s="86" t="s">
        <v>1434</v>
      </c>
      <c r="W391" s="86" t="s">
        <v>1434</v>
      </c>
      <c r="X391" s="86" t="s">
        <v>1434</v>
      </c>
      <c r="Y391" s="86" t="s">
        <v>1434</v>
      </c>
      <c r="Z391" s="86"/>
      <c r="AA391" s="86"/>
      <c r="AB391" s="86"/>
      <c r="AC391" s="2"/>
      <c r="AD391" s="705">
        <f ca="1">SUMIF($V$7:AB$7,"&lt;="&amp;$I$7,V391:AA391)</f>
        <v>0</v>
      </c>
      <c r="AE391" s="879"/>
      <c r="AF391" s="2"/>
      <c r="AG391" s="86"/>
      <c r="AH391" s="86"/>
      <c r="AI391" s="86"/>
      <c r="AJ391" s="86"/>
      <c r="AK391" s="86"/>
      <c r="AL391" s="86"/>
      <c r="AM391" s="706"/>
      <c r="AN391" s="2"/>
      <c r="AO391" s="705">
        <f ca="1">SUMIF($AG$7:AM$7,"&lt;="&amp;$I$7,AG391:AL391)</f>
        <v>0</v>
      </c>
      <c r="AP391" s="879"/>
      <c r="AQ391" s="2"/>
      <c r="AR391" s="86"/>
      <c r="AS391" s="86"/>
      <c r="AT391" s="86"/>
      <c r="AU391" s="86"/>
      <c r="AV391" s="86"/>
      <c r="AW391" s="86"/>
      <c r="AX391" s="706"/>
      <c r="AY391" s="2"/>
      <c r="AZ391" s="43">
        <f ca="1">SUMIF($AR$7:AX$7,"&lt;="&amp;$I$7,AR391:AW391)</f>
        <v>0</v>
      </c>
      <c r="BA391" s="879"/>
      <c r="BB391" s="2"/>
      <c r="BC391" s="86"/>
      <c r="BD391" s="86"/>
      <c r="BE391" s="86"/>
      <c r="BF391" s="86"/>
      <c r="BG391" s="86"/>
      <c r="BH391" s="86"/>
      <c r="BI391" s="706"/>
      <c r="BJ391" s="2"/>
      <c r="BK391" s="43">
        <f ca="1">SUMIF($BC$7:BI$7,"&lt;="&amp;$I$7,BC391:BH391)</f>
        <v>0</v>
      </c>
      <c r="BL391" s="879"/>
      <c r="BM391" s="2"/>
      <c r="BN391" s="922"/>
      <c r="BO391" s="922"/>
      <c r="BP391" s="885"/>
      <c r="BQ391" s="1050"/>
      <c r="BR391" s="2"/>
      <c r="BS391" s="886"/>
      <c r="BT391" s="886"/>
      <c r="BU391" s="922"/>
      <c r="BV391" s="922"/>
      <c r="BW391" s="1056"/>
      <c r="BX391" s="922"/>
      <c r="BY391" s="1052"/>
      <c r="BZ391" s="2"/>
      <c r="CA391" s="922"/>
      <c r="CB391" s="922"/>
      <c r="CC391" s="2"/>
      <c r="CD391" s="504">
        <f>IFERROR(AVERAGEIF($K$7:Q$7,"&lt;="&amp;$I$7,K391:Q391),0)</f>
        <v>0</v>
      </c>
      <c r="CE391" s="2"/>
      <c r="CH391" s="93" t="str">
        <f t="shared" si="935"/>
        <v>TRAVESSA - E2 (Magro+Arm.+For.+Concreto)</v>
      </c>
    </row>
    <row r="392" spans="1:86" s="16" customFormat="1" ht="22.35" customHeight="1" collapsed="1">
      <c r="A392" s="69"/>
      <c r="B392" s="3"/>
      <c r="C392"/>
      <c r="D392" s="3"/>
      <c r="E392"/>
      <c r="F392" s="3"/>
      <c r="G392"/>
      <c r="H392" s="87"/>
      <c r="I392"/>
      <c r="J392" s="3"/>
      <c r="K392" s="37"/>
      <c r="L392" s="37"/>
      <c r="M392" s="37"/>
      <c r="N392" s="37"/>
      <c r="O392" s="37"/>
      <c r="P392" s="37"/>
      <c r="Q392" s="37"/>
      <c r="R392" s="3"/>
      <c r="S392" s="3"/>
      <c r="T392" s="3"/>
      <c r="U392" s="3"/>
      <c r="V392" s="37"/>
      <c r="W392" s="37"/>
      <c r="X392" s="37"/>
      <c r="Y392" s="37"/>
      <c r="Z392" s="37"/>
      <c r="AA392" s="37"/>
      <c r="AB392" s="37"/>
      <c r="AC392" s="3"/>
      <c r="AD392" s="3"/>
      <c r="AE392" s="3"/>
      <c r="AF392" s="3"/>
      <c r="AG392" s="37"/>
      <c r="AH392" s="37"/>
      <c r="AI392" s="37"/>
      <c r="AJ392" s="37"/>
      <c r="AK392" s="37"/>
      <c r="AL392" s="37"/>
      <c r="AM392" s="37"/>
      <c r="AN392" s="3"/>
      <c r="AO392" s="3"/>
      <c r="AP392" s="3"/>
      <c r="AQ392" s="3"/>
      <c r="AR392" s="37"/>
      <c r="AS392" s="37"/>
      <c r="AT392" s="37"/>
      <c r="AU392" s="37"/>
      <c r="AV392" s="37"/>
      <c r="AW392" s="37"/>
      <c r="AX392" s="37"/>
      <c r="AY392" s="3"/>
      <c r="AZ392" s="3"/>
      <c r="BA392" s="3"/>
      <c r="BB392" s="3"/>
      <c r="BC392" s="37"/>
      <c r="BD392" s="37"/>
      <c r="BE392" s="37"/>
      <c r="BF392" s="37"/>
      <c r="BG392" s="37"/>
      <c r="BH392" s="37"/>
      <c r="BI392" s="37"/>
      <c r="BJ392" s="3"/>
      <c r="BK392" s="3"/>
      <c r="BL392" s="3"/>
      <c r="BM392" s="3"/>
      <c r="BN392" s="35"/>
      <c r="BO392" s="36"/>
      <c r="BP392" s="35"/>
      <c r="BQ392" s="3"/>
      <c r="BR392" s="3"/>
      <c r="BS392" s="36"/>
      <c r="BT392" s="36"/>
      <c r="BU392" s="36"/>
      <c r="BV392" s="36"/>
      <c r="BW392" s="36"/>
      <c r="BX392" s="36"/>
      <c r="BY392" s="3"/>
      <c r="BZ392" s="3"/>
      <c r="CA392" s="36"/>
      <c r="CB392" s="36"/>
      <c r="CC392" s="2"/>
      <c r="CD392" s="52">
        <f>IFERROR(AVERAGEIF($K$7:Q$7,"&lt;="&amp;$I$7,K392:Q392),0)</f>
        <v>0</v>
      </c>
      <c r="CE392" s="2"/>
      <c r="CH392" s="93" t="str">
        <f t="shared" si="935"/>
        <v>TRAVESSA - E2 (Magro+Arm.+For.+Concreto)</v>
      </c>
    </row>
    <row r="393" spans="1:86" s="16" customFormat="1" ht="22.35" customHeight="1" collapsed="1">
      <c r="A393" s="73"/>
      <c r="B393" s="1069" t="s">
        <v>4028</v>
      </c>
      <c r="C393" s="1071" t="s">
        <v>1437</v>
      </c>
      <c r="D393" s="2"/>
      <c r="E393" s="1019">
        <v>0</v>
      </c>
      <c r="F393" s="2"/>
      <c r="G393" s="53" t="s">
        <v>37</v>
      </c>
      <c r="H393" s="52">
        <f t="shared" ref="H393:H426" si="963">SUMIF($K$7:$BI$7,$I$7,K393:BI393)</f>
        <v>0</v>
      </c>
      <c r="I393" s="743" t="str">
        <f>IFERROR((H394/H393),"-")</f>
        <v>-</v>
      </c>
      <c r="J393" s="2"/>
      <c r="K393" s="52"/>
      <c r="L393" s="52"/>
      <c r="M393" s="52"/>
      <c r="N393" s="52"/>
      <c r="O393" s="52"/>
      <c r="P393" s="52"/>
      <c r="Q393" s="52"/>
      <c r="R393" s="2"/>
      <c r="S393" s="52">
        <f ca="1">SUMIF($K$7:Q$7,"&lt;="&amp;$I$7,K393:P393)</f>
        <v>0</v>
      </c>
      <c r="T393" s="743" t="str">
        <f ca="1">IFERROR((S394/S393),"-")</f>
        <v>-</v>
      </c>
      <c r="U393" s="2"/>
      <c r="V393" s="52"/>
      <c r="W393" s="52"/>
      <c r="X393" s="52"/>
      <c r="Y393" s="52"/>
      <c r="Z393" s="52"/>
      <c r="AA393" s="52"/>
      <c r="AB393" s="52"/>
      <c r="AC393" s="2"/>
      <c r="AD393" s="52">
        <f>SUMIF($V$7:AB$7,"&lt;="&amp;$I$7,V393:AB393)</f>
        <v>0</v>
      </c>
      <c r="AE393" s="743" t="str">
        <f>IFERROR((AD394/AD393),"-")</f>
        <v>-</v>
      </c>
      <c r="AF393" s="2"/>
      <c r="AG393" s="52"/>
      <c r="AH393" s="52"/>
      <c r="AI393" s="52"/>
      <c r="AJ393" s="52"/>
      <c r="AK393" s="52"/>
      <c r="AL393" s="52"/>
      <c r="AM393" s="52"/>
      <c r="AN393" s="2"/>
      <c r="AO393" s="52">
        <f ca="1">SUMIF($K$7:AM$7,"&lt;="&amp;$I$7,AG393:AL393)</f>
        <v>0</v>
      </c>
      <c r="AP393" s="743" t="str">
        <f ca="1">IFERROR((AO394/AO393),"-")</f>
        <v>-</v>
      </c>
      <c r="AQ393" s="2"/>
      <c r="AR393" s="52"/>
      <c r="AS393" s="52"/>
      <c r="AT393" s="52"/>
      <c r="AU393" s="52"/>
      <c r="AV393" s="52"/>
      <c r="AW393" s="52"/>
      <c r="AX393" s="52"/>
      <c r="AY393" s="2"/>
      <c r="AZ393" s="52">
        <f ca="1">SUMIF($AR$7:AX$7,"&lt;="&amp;$I$7,AR393:AW393)</f>
        <v>0</v>
      </c>
      <c r="BA393" s="743" t="str">
        <f ca="1">IFERROR((AZ394/AZ393),"-")</f>
        <v>-</v>
      </c>
      <c r="BB393" s="2"/>
      <c r="BC393" s="52"/>
      <c r="BD393" s="52"/>
      <c r="BE393" s="52"/>
      <c r="BF393" s="52"/>
      <c r="BG393" s="52"/>
      <c r="BH393" s="52"/>
      <c r="BI393" s="52"/>
      <c r="BJ393" s="2"/>
      <c r="BK393" s="52">
        <f ca="1">SUMIF($BC$7:BI$7,"&lt;="&amp;$I$7,BC393:BH393)</f>
        <v>0</v>
      </c>
      <c r="BL393" s="743" t="str">
        <f ca="1">IFERROR((BK394/BK393),"-")</f>
        <v>-</v>
      </c>
      <c r="BM393" s="2"/>
      <c r="BN393" s="888">
        <v>0</v>
      </c>
      <c r="BO393" s="888">
        <v>0</v>
      </c>
      <c r="BP393" s="888">
        <v>0</v>
      </c>
      <c r="BQ393" s="743" t="str">
        <f>IFERROR((BP393/BO393),"-")</f>
        <v>-</v>
      </c>
      <c r="BR393" s="2"/>
      <c r="BS393" s="888"/>
      <c r="BT393" s="888"/>
      <c r="BU393" s="888">
        <v>0</v>
      </c>
      <c r="BV393" s="888">
        <v>210</v>
      </c>
      <c r="BW393" s="1019">
        <f>IFERROR((BU393/BV393),"-")</f>
        <v>0</v>
      </c>
      <c r="BX393" s="888">
        <v>0</v>
      </c>
      <c r="BY393" s="743" t="str">
        <f>IFERROR((BU393/BX393),"-")</f>
        <v>-</v>
      </c>
      <c r="BZ393" s="2"/>
      <c r="CA393" s="888">
        <v>1</v>
      </c>
      <c r="CB393" s="888">
        <v>1</v>
      </c>
      <c r="CC393" s="2"/>
      <c r="CD393" s="52">
        <f>IFERROR(AVERAGEIF($K$7:Q$7,"&lt;="&amp;$I$7,K393:Q393),0)</f>
        <v>0</v>
      </c>
      <c r="CE393" s="2"/>
      <c r="CH393" s="93" t="str">
        <f t="shared" si="935"/>
        <v>Viaduto J&amp;F- km 216+836</v>
      </c>
    </row>
    <row r="394" spans="1:86" s="16" customFormat="1" ht="22.35" customHeight="1">
      <c r="A394" s="74"/>
      <c r="B394" s="1070"/>
      <c r="C394" s="1072"/>
      <c r="D394" s="2"/>
      <c r="E394" s="1020"/>
      <c r="F394" s="2"/>
      <c r="G394" s="54" t="s">
        <v>38</v>
      </c>
      <c r="H394" s="52">
        <f t="shared" si="963"/>
        <v>0</v>
      </c>
      <c r="I394" s="744"/>
      <c r="J394" s="2"/>
      <c r="K394" s="75"/>
      <c r="L394" s="75"/>
      <c r="M394" s="75"/>
      <c r="N394" s="75"/>
      <c r="O394" s="75"/>
      <c r="P394" s="75"/>
      <c r="Q394" s="52"/>
      <c r="R394" s="2"/>
      <c r="S394" s="52">
        <f ca="1">SUMIF($K$7:Q$7,"&lt;="&amp;$I$7,K394:P394)</f>
        <v>0</v>
      </c>
      <c r="T394" s="744"/>
      <c r="U394" s="2"/>
      <c r="V394" s="75"/>
      <c r="W394" s="75"/>
      <c r="X394" s="75"/>
      <c r="Y394" s="75"/>
      <c r="Z394" s="75"/>
      <c r="AA394" s="75"/>
      <c r="AB394" s="75"/>
      <c r="AC394" s="2"/>
      <c r="AD394" s="52">
        <f>SUMIF($V$7:AB$7,"&lt;="&amp;$I$7,V394:AB394)</f>
        <v>0</v>
      </c>
      <c r="AE394" s="744"/>
      <c r="AF394" s="2"/>
      <c r="AG394" s="75"/>
      <c r="AH394" s="75"/>
      <c r="AI394" s="75"/>
      <c r="AJ394" s="75"/>
      <c r="AK394" s="75"/>
      <c r="AL394" s="75"/>
      <c r="AM394" s="52"/>
      <c r="AN394" s="2"/>
      <c r="AO394" s="52">
        <f ca="1">SUMIF($K$7:AM$7,"&lt;="&amp;$I$7,AG394:AL394)</f>
        <v>0</v>
      </c>
      <c r="AP394" s="744"/>
      <c r="AQ394" s="2"/>
      <c r="AR394" s="75"/>
      <c r="AS394" s="75"/>
      <c r="AT394" s="75"/>
      <c r="AU394" s="75"/>
      <c r="AV394" s="75"/>
      <c r="AW394" s="75"/>
      <c r="AX394" s="52"/>
      <c r="AY394" s="2"/>
      <c r="AZ394" s="52">
        <f ca="1">SUMIF($AR$7:AX$7,"&lt;="&amp;$I$7,AR394:AW394)</f>
        <v>0</v>
      </c>
      <c r="BA394" s="744"/>
      <c r="BB394" s="2"/>
      <c r="BC394" s="75"/>
      <c r="BD394" s="75"/>
      <c r="BE394" s="75"/>
      <c r="BF394" s="75"/>
      <c r="BG394" s="75"/>
      <c r="BH394" s="75"/>
      <c r="BI394" s="52"/>
      <c r="BJ394" s="2"/>
      <c r="BK394" s="52">
        <f ca="1">SUMIF($BC$7:BI$7,"&lt;="&amp;$I$7,BC394:BH394)</f>
        <v>0</v>
      </c>
      <c r="BL394" s="744"/>
      <c r="BM394" s="2"/>
      <c r="BN394" s="889"/>
      <c r="BO394" s="889"/>
      <c r="BP394" s="889"/>
      <c r="BQ394" s="744"/>
      <c r="BR394" s="2"/>
      <c r="BS394" s="889"/>
      <c r="BT394" s="889"/>
      <c r="BU394" s="889"/>
      <c r="BV394" s="889"/>
      <c r="BW394" s="1020"/>
      <c r="BX394" s="889"/>
      <c r="BY394" s="744"/>
      <c r="BZ394" s="2"/>
      <c r="CA394" s="889"/>
      <c r="CB394" s="889"/>
      <c r="CC394" s="2"/>
      <c r="CD394" s="504">
        <f>IFERROR(AVERAGEIF($K$7:Q$7,"&lt;="&amp;$I$7,K394:Q394),0)</f>
        <v>0</v>
      </c>
      <c r="CE394" s="2"/>
      <c r="CH394" s="93" t="str">
        <f t="shared" si="935"/>
        <v>Viaduto J&amp;F- km 216+836</v>
      </c>
    </row>
    <row r="395" spans="1:86" s="21" customFormat="1" ht="22.35" customHeight="1">
      <c r="A395" s="74"/>
      <c r="B395" s="1045" t="s">
        <v>4020</v>
      </c>
      <c r="C395" s="740" t="s">
        <v>3936</v>
      </c>
      <c r="D395" s="2"/>
      <c r="E395" s="1019">
        <v>4</v>
      </c>
      <c r="F395" s="2"/>
      <c r="G395" s="53" t="s">
        <v>37</v>
      </c>
      <c r="H395" s="52">
        <f t="shared" si="963"/>
        <v>0</v>
      </c>
      <c r="I395" s="743" t="str">
        <f t="shared" ref="I395" si="964">IFERROR((H396/H395),"-")</f>
        <v>-</v>
      </c>
      <c r="J395" s="2"/>
      <c r="K395" s="52"/>
      <c r="L395" s="52"/>
      <c r="M395" s="52"/>
      <c r="N395" s="52"/>
      <c r="O395" s="52"/>
      <c r="P395" s="52"/>
      <c r="Q395" s="52"/>
      <c r="R395" s="2"/>
      <c r="S395" s="52">
        <f ca="1">SUMIF($K$7:Q$7,"&lt;="&amp;$I$7,K395:P395)</f>
        <v>0</v>
      </c>
      <c r="T395" s="743" t="str">
        <f ca="1">IFERROR((S396/S395),"-")</f>
        <v>-</v>
      </c>
      <c r="U395" s="2"/>
      <c r="V395" s="52"/>
      <c r="W395" s="52"/>
      <c r="X395" s="52"/>
      <c r="Y395" s="52"/>
      <c r="Z395" s="52"/>
      <c r="AA395" s="52"/>
      <c r="AB395" s="52"/>
      <c r="AC395" s="2"/>
      <c r="AD395" s="52">
        <f>SUMIF($V$7:AB$7,"&lt;="&amp;$I$7,V395:AB395)</f>
        <v>0</v>
      </c>
      <c r="AE395" s="743" t="str">
        <f>IFERROR((AD396/AD395),"-")</f>
        <v>-</v>
      </c>
      <c r="AF395" s="2"/>
      <c r="AG395" s="52"/>
      <c r="AH395" s="52"/>
      <c r="AI395" s="52"/>
      <c r="AJ395" s="52"/>
      <c r="AK395" s="52"/>
      <c r="AL395" s="52"/>
      <c r="AM395" s="52"/>
      <c r="AN395" s="2"/>
      <c r="AO395" s="52">
        <f ca="1">SUMIF($AG$7:AM$7,"&lt;="&amp;$I$7,AG395:AL395)</f>
        <v>0</v>
      </c>
      <c r="AP395" s="743" t="str">
        <f ca="1">IFERROR((AO396/AO395),"-")</f>
        <v>-</v>
      </c>
      <c r="AQ395" s="2"/>
      <c r="AR395" s="52"/>
      <c r="AS395" s="52"/>
      <c r="AT395" s="52"/>
      <c r="AU395" s="52"/>
      <c r="AV395" s="52"/>
      <c r="AW395" s="52"/>
      <c r="AX395" s="52"/>
      <c r="AY395" s="2"/>
      <c r="AZ395" s="52">
        <f ca="1">SUMIF($AR$7:AX$7,"&lt;="&amp;$I$7,AR395:AW395)</f>
        <v>0</v>
      </c>
      <c r="BA395" s="743" t="str">
        <f ca="1">IFERROR((AZ396/AZ395),"-")</f>
        <v>-</v>
      </c>
      <c r="BB395" s="2"/>
      <c r="BC395" s="52"/>
      <c r="BD395" s="52"/>
      <c r="BE395" s="52"/>
      <c r="BF395" s="52"/>
      <c r="BG395" s="52"/>
      <c r="BH395" s="52"/>
      <c r="BI395" s="52"/>
      <c r="BJ395" s="2"/>
      <c r="BK395" s="52">
        <f ca="1">SUMIF($BC$7:BI$7,"&lt;="&amp;$I$7,BC395:BH395)</f>
        <v>0</v>
      </c>
      <c r="BL395" s="743" t="str">
        <f ca="1">IFERROR((BK396/BK395),"-")</f>
        <v>-</v>
      </c>
      <c r="BM395" s="2"/>
      <c r="BN395" s="1018">
        <v>0</v>
      </c>
      <c r="BO395" s="1018">
        <v>0</v>
      </c>
      <c r="BP395" s="888">
        <f>SUM(K396:P396,V396:AB396,AG396:AM396,AR396:AX396,BC396:BH396)</f>
        <v>0</v>
      </c>
      <c r="BQ395" s="743" t="str">
        <f>IF(BO395=0,IF(BP395&gt;0,1,"-"),IFERROR(BP395/BO395,"-"))</f>
        <v>-</v>
      </c>
      <c r="BR395" s="2"/>
      <c r="BS395" s="888"/>
      <c r="BT395" s="888"/>
      <c r="BU395" s="888">
        <f>E395</f>
        <v>4</v>
      </c>
      <c r="BV395" s="884">
        <v>106</v>
      </c>
      <c r="BW395" s="1004">
        <f>IFERROR((BU395/BV395),"-")</f>
        <v>3.7735849056603772E-2</v>
      </c>
      <c r="BX395" s="888">
        <v>4</v>
      </c>
      <c r="BY395" s="743">
        <f>IFERROR((BU395/BX395),"-")</f>
        <v>1</v>
      </c>
      <c r="BZ395" s="2"/>
      <c r="CA395" s="888">
        <v>4</v>
      </c>
      <c r="CB395" s="888">
        <f>CA395-BU395</f>
        <v>0</v>
      </c>
      <c r="CC395" s="2"/>
      <c r="CD395" s="504">
        <f>IFERROR(AVERAGEIF($K$7:Q$7,"&lt;="&amp;$I$7,K395:Q395),0)</f>
        <v>0</v>
      </c>
      <c r="CE395" s="2"/>
      <c r="CH395" s="93" t="str">
        <f t="shared" si="935"/>
        <v>PILARES</v>
      </c>
    </row>
    <row r="396" spans="1:86" s="16" customFormat="1" ht="22.35" customHeight="1">
      <c r="A396" s="74"/>
      <c r="B396" s="1045"/>
      <c r="C396" s="740"/>
      <c r="D396" s="2"/>
      <c r="E396" s="1020"/>
      <c r="F396" s="2"/>
      <c r="G396" s="54" t="s">
        <v>38</v>
      </c>
      <c r="H396" s="52">
        <f t="shared" si="963"/>
        <v>0</v>
      </c>
      <c r="I396" s="744"/>
      <c r="J396" s="2"/>
      <c r="K396" s="82"/>
      <c r="L396" s="82"/>
      <c r="M396" s="82"/>
      <c r="N396" s="82"/>
      <c r="O396" s="82"/>
      <c r="P396" s="82"/>
      <c r="Q396" s="52"/>
      <c r="R396" s="2"/>
      <c r="S396" s="52">
        <f ca="1">SUMIF($K$7:Q$7,"&lt;="&amp;$I$7,K396:P396)</f>
        <v>0</v>
      </c>
      <c r="T396" s="744"/>
      <c r="U396" s="2"/>
      <c r="V396" s="82"/>
      <c r="W396" s="82"/>
      <c r="X396" s="82"/>
      <c r="Y396" s="82"/>
      <c r="Z396" s="82"/>
      <c r="AA396" s="82"/>
      <c r="AB396" s="52"/>
      <c r="AC396" s="2"/>
      <c r="AD396" s="52">
        <f>SUMIF($V$7:AB$7,"&lt;="&amp;$I$7,V396:AB396)</f>
        <v>0</v>
      </c>
      <c r="AE396" s="744"/>
      <c r="AF396" s="2"/>
      <c r="AG396" s="82"/>
      <c r="AH396" s="82"/>
      <c r="AI396" s="82"/>
      <c r="AJ396" s="82"/>
      <c r="AK396" s="82"/>
      <c r="AL396" s="82"/>
      <c r="AM396" s="82"/>
      <c r="AN396" s="2"/>
      <c r="AO396" s="52">
        <f ca="1">SUMIF($AG$7:AM$7,"&lt;="&amp;$I$7,AG396:AL396)</f>
        <v>0</v>
      </c>
      <c r="AP396" s="744"/>
      <c r="AQ396" s="2"/>
      <c r="AR396" s="82"/>
      <c r="AS396" s="82"/>
      <c r="AT396" s="82"/>
      <c r="AU396" s="82"/>
      <c r="AV396" s="82"/>
      <c r="AW396" s="82"/>
      <c r="AX396" s="52"/>
      <c r="AY396" s="2"/>
      <c r="AZ396" s="52">
        <f ca="1">SUMIF($AR$7:AX$7,"&lt;="&amp;$I$7,AR396:AW396)</f>
        <v>0</v>
      </c>
      <c r="BA396" s="744"/>
      <c r="BB396" s="2"/>
      <c r="BC396" s="82"/>
      <c r="BD396" s="82"/>
      <c r="BE396" s="82"/>
      <c r="BF396" s="82"/>
      <c r="BG396" s="82"/>
      <c r="BH396" s="82"/>
      <c r="BI396" s="52"/>
      <c r="BJ396" s="2"/>
      <c r="BK396" s="52">
        <f ca="1">SUMIF($BC$7:BI$7,"&lt;="&amp;$I$7,BC396:BH396)</f>
        <v>0</v>
      </c>
      <c r="BL396" s="744"/>
      <c r="BM396" s="2"/>
      <c r="BN396" s="1018"/>
      <c r="BO396" s="1018"/>
      <c r="BP396" s="888"/>
      <c r="BQ396" s="744"/>
      <c r="BR396" s="2"/>
      <c r="BS396" s="888"/>
      <c r="BT396" s="888"/>
      <c r="BU396" s="888"/>
      <c r="BV396" s="886"/>
      <c r="BW396" s="1051"/>
      <c r="BX396" s="888"/>
      <c r="BY396" s="743"/>
      <c r="BZ396" s="2"/>
      <c r="CA396" s="888"/>
      <c r="CB396" s="888"/>
      <c r="CC396" s="2"/>
      <c r="CD396" s="504">
        <f>IFERROR(AVERAGEIF($K$7:Q$7,"&lt;="&amp;$I$7,K396:Q396),0)</f>
        <v>0</v>
      </c>
      <c r="CE396" s="2"/>
      <c r="CH396" s="93" t="str">
        <f t="shared" si="935"/>
        <v>PILARES</v>
      </c>
    </row>
    <row r="397" spans="1:86" s="21" customFormat="1" ht="22.35" hidden="1" customHeight="1" outlineLevel="1">
      <c r="A397" s="74"/>
      <c r="B397" s="1048" t="s">
        <v>4029</v>
      </c>
      <c r="C397" s="1023" t="s">
        <v>3936</v>
      </c>
      <c r="D397" s="2"/>
      <c r="E397" s="1004">
        <v>0</v>
      </c>
      <c r="F397" s="2"/>
      <c r="G397" s="49" t="s">
        <v>37</v>
      </c>
      <c r="H397" s="705">
        <f t="shared" si="963"/>
        <v>0</v>
      </c>
      <c r="I397" s="878" t="str">
        <f t="shared" ref="I397" si="965">IFERROR((H398/H397),"-")</f>
        <v>-</v>
      </c>
      <c r="J397" s="2"/>
      <c r="K397" s="705"/>
      <c r="L397" s="705"/>
      <c r="M397" s="705"/>
      <c r="N397" s="705"/>
      <c r="O397" s="705"/>
      <c r="P397" s="705"/>
      <c r="Q397" s="705"/>
      <c r="R397" s="2"/>
      <c r="S397" s="705">
        <f ca="1">SUMIF($K$7:Q$7,"&lt;="&amp;$I$7,K397:P397)</f>
        <v>0</v>
      </c>
      <c r="T397" s="878" t="str">
        <f ca="1">IFERROR((S398/S397),"-")</f>
        <v>-</v>
      </c>
      <c r="U397" s="2"/>
      <c r="V397" s="705"/>
      <c r="W397" s="705"/>
      <c r="X397" s="705"/>
      <c r="Y397" s="705"/>
      <c r="Z397" s="705"/>
      <c r="AA397" s="705"/>
      <c r="AB397" s="705"/>
      <c r="AC397" s="2"/>
      <c r="AD397" s="705">
        <f ca="1">SUMIF($V$7:AB$7,"&lt;="&amp;$I$7,V397:AA397)</f>
        <v>0</v>
      </c>
      <c r="AE397" s="878" t="str">
        <f ca="1">IFERROR((AD398/AD397),"-")</f>
        <v>-</v>
      </c>
      <c r="AF397" s="2"/>
      <c r="AG397" s="705"/>
      <c r="AH397" s="705"/>
      <c r="AI397" s="705"/>
      <c r="AJ397" s="705"/>
      <c r="AK397" s="705"/>
      <c r="AL397" s="705"/>
      <c r="AM397" s="705"/>
      <c r="AN397" s="2"/>
      <c r="AO397" s="705">
        <f ca="1">SUMIF($AG$7:AM$7,"&lt;="&amp;$I$7,AG397:AL397)</f>
        <v>0</v>
      </c>
      <c r="AP397" s="878" t="str">
        <f ca="1">IFERROR((AO398/AO397),"-")</f>
        <v>-</v>
      </c>
      <c r="AQ397" s="2"/>
      <c r="AR397" s="705"/>
      <c r="AS397" s="705"/>
      <c r="AT397" s="705"/>
      <c r="AU397" s="705"/>
      <c r="AV397" s="705"/>
      <c r="AW397" s="705"/>
      <c r="AX397" s="705"/>
      <c r="AY397" s="2"/>
      <c r="AZ397" s="43">
        <f ca="1">SUMIF($AR$7:AX$7,"&lt;="&amp;$I$7,AR397:AW397)</f>
        <v>0</v>
      </c>
      <c r="BA397" s="878" t="str">
        <f ca="1">IFERROR((AZ398/AZ397),"-")</f>
        <v>-</v>
      </c>
      <c r="BB397" s="2"/>
      <c r="BC397" s="705"/>
      <c r="BD397" s="705"/>
      <c r="BE397" s="705"/>
      <c r="BF397" s="705"/>
      <c r="BG397" s="705"/>
      <c r="BH397" s="705"/>
      <c r="BI397" s="705"/>
      <c r="BJ397" s="2"/>
      <c r="BK397" s="43">
        <f ca="1">SUMIF($BC$7:BI$7,"&lt;="&amp;$I$7,BC397:BH397)</f>
        <v>0</v>
      </c>
      <c r="BL397" s="878" t="str">
        <f ca="1">IFERROR((BK398/BK397),"-")</f>
        <v>-</v>
      </c>
      <c r="BM397" s="2"/>
      <c r="BN397" s="921">
        <v>0</v>
      </c>
      <c r="BO397" s="921">
        <v>0</v>
      </c>
      <c r="BP397" s="884">
        <f>SUM(M398:P398,V398:AB398,AG398:AM398,AR398:AX398,BC398:BH398)</f>
        <v>0</v>
      </c>
      <c r="BQ397" s="878" t="str">
        <f t="shared" ref="BQ397" si="966">IFERROR((BP397/BO397),"-")</f>
        <v>-</v>
      </c>
      <c r="BR397" s="2"/>
      <c r="BS397" s="884"/>
      <c r="BT397" s="884"/>
      <c r="BU397" s="884">
        <v>0</v>
      </c>
      <c r="BV397" s="884">
        <v>106</v>
      </c>
      <c r="BW397" s="1004">
        <f>IFERROR((BU397/BV397),"-")</f>
        <v>0</v>
      </c>
      <c r="BX397" s="884">
        <v>0</v>
      </c>
      <c r="BY397" s="878" t="str">
        <f>IFERROR((BU397/BX397),"-")</f>
        <v>-</v>
      </c>
      <c r="BZ397" s="2"/>
      <c r="CA397" s="884">
        <v>2</v>
      </c>
      <c r="CB397" s="884">
        <v>2</v>
      </c>
      <c r="CC397" s="2"/>
      <c r="CD397" s="504">
        <f>IFERROR(AVERAGEIF($K$7:Q$7,"&lt;="&amp;$I$7,K397:Q397),0)</f>
        <v>0</v>
      </c>
      <c r="CE397" s="2"/>
      <c r="CH397" s="93" t="str">
        <f t="shared" si="935"/>
        <v>Pilares
(Concretagem)</v>
      </c>
    </row>
    <row r="398" spans="1:86" s="16" customFormat="1" ht="22.35" hidden="1" customHeight="1" outlineLevel="1">
      <c r="A398" s="74"/>
      <c r="B398" s="1049"/>
      <c r="C398" s="1023"/>
      <c r="D398" s="2"/>
      <c r="E398" s="1005"/>
      <c r="F398" s="2"/>
      <c r="G398" s="50" t="s">
        <v>38</v>
      </c>
      <c r="H398" s="705">
        <f t="shared" si="963"/>
        <v>0</v>
      </c>
      <c r="I398" s="879"/>
      <c r="J398" s="2"/>
      <c r="K398" s="86"/>
      <c r="L398" s="86"/>
      <c r="M398" s="86"/>
      <c r="N398" s="86"/>
      <c r="O398" s="86"/>
      <c r="P398" s="86"/>
      <c r="Q398" s="706"/>
      <c r="R398" s="2"/>
      <c r="S398" s="705">
        <f ca="1">SUMIF($K$7:Q$7,"&lt;="&amp;$I$7,K398:P398)</f>
        <v>0</v>
      </c>
      <c r="T398" s="879"/>
      <c r="U398" s="2"/>
      <c r="V398" s="86"/>
      <c r="W398" s="86"/>
      <c r="X398" s="86"/>
      <c r="Y398" s="86"/>
      <c r="Z398" s="86"/>
      <c r="AA398" s="86"/>
      <c r="AB398" s="706"/>
      <c r="AC398" s="2"/>
      <c r="AD398" s="705">
        <f ca="1">SUMIF($V$7:AB$7,"&lt;="&amp;$I$7,V398:AA398)</f>
        <v>0</v>
      </c>
      <c r="AE398" s="879"/>
      <c r="AF398" s="2"/>
      <c r="AG398" s="86"/>
      <c r="AH398" s="86"/>
      <c r="AI398" s="86"/>
      <c r="AJ398" s="86"/>
      <c r="AK398" s="86"/>
      <c r="AL398" s="86"/>
      <c r="AM398" s="706"/>
      <c r="AN398" s="2"/>
      <c r="AO398" s="705">
        <f ca="1">SUMIF($AG$7:AM$7,"&lt;="&amp;$I$7,AG398:AL398)</f>
        <v>0</v>
      </c>
      <c r="AP398" s="879"/>
      <c r="AQ398" s="2"/>
      <c r="AR398" s="86"/>
      <c r="AS398" s="86"/>
      <c r="AT398" s="86"/>
      <c r="AU398" s="86"/>
      <c r="AV398" s="86"/>
      <c r="AW398" s="86"/>
      <c r="AX398" s="706"/>
      <c r="AY398" s="2"/>
      <c r="AZ398" s="43">
        <f ca="1">SUMIF($AR$7:AX$7,"&lt;="&amp;$I$7,AR398:AW398)</f>
        <v>0</v>
      </c>
      <c r="BA398" s="879"/>
      <c r="BB398" s="2"/>
      <c r="BC398" s="86"/>
      <c r="BD398" s="86"/>
      <c r="BE398" s="86"/>
      <c r="BF398" s="86"/>
      <c r="BG398" s="86"/>
      <c r="BH398" s="86"/>
      <c r="BI398" s="706"/>
      <c r="BJ398" s="2"/>
      <c r="BK398" s="43">
        <f ca="1">SUMIF($BC$7:BI$7,"&lt;="&amp;$I$7,BC398:BH398)</f>
        <v>0</v>
      </c>
      <c r="BL398" s="879"/>
      <c r="BM398" s="2"/>
      <c r="BN398" s="922"/>
      <c r="BO398" s="922"/>
      <c r="BP398" s="885"/>
      <c r="BQ398" s="1050"/>
      <c r="BR398" s="2"/>
      <c r="BS398" s="922"/>
      <c r="BT398" s="922"/>
      <c r="BU398" s="922"/>
      <c r="BV398" s="886"/>
      <c r="BW398" s="1051"/>
      <c r="BX398" s="922"/>
      <c r="BY398" s="1052"/>
      <c r="BZ398" s="2"/>
      <c r="CA398" s="922"/>
      <c r="CB398" s="922"/>
      <c r="CC398" s="2"/>
      <c r="CD398" s="504">
        <f>IFERROR(AVERAGEIF($K$7:Q$7,"&lt;="&amp;$I$7,K398:Q398),0)</f>
        <v>0</v>
      </c>
      <c r="CE398" s="2"/>
      <c r="CH398" s="93" t="str">
        <f t="shared" si="935"/>
        <v>Pilares
(Concretagem)</v>
      </c>
    </row>
    <row r="399" spans="1:86" s="21" customFormat="1" ht="22.35" hidden="1" customHeight="1" outlineLevel="1">
      <c r="A399" s="74"/>
      <c r="B399" s="1048" t="s">
        <v>4030</v>
      </c>
      <c r="C399" s="1023" t="s">
        <v>36</v>
      </c>
      <c r="D399" s="2"/>
      <c r="E399" s="1004">
        <v>0</v>
      </c>
      <c r="F399" s="2"/>
      <c r="G399" s="49" t="s">
        <v>37</v>
      </c>
      <c r="H399" s="705">
        <f t="shared" si="963"/>
        <v>0</v>
      </c>
      <c r="I399" s="878" t="str">
        <f t="shared" ref="I399" si="967">IFERROR((H400/H399),"-")</f>
        <v>-</v>
      </c>
      <c r="J399" s="2"/>
      <c r="K399" s="705"/>
      <c r="L399" s="705"/>
      <c r="M399" s="705"/>
      <c r="N399" s="705"/>
      <c r="O399" s="705"/>
      <c r="P399" s="705"/>
      <c r="Q399" s="705"/>
      <c r="R399" s="2"/>
      <c r="S399" s="705">
        <f ca="1">SUMIF($K$7:Q$7,"&lt;="&amp;$I$7,K399:P399)</f>
        <v>0</v>
      </c>
      <c r="T399" s="878" t="str">
        <f ca="1">IFERROR((S400/S399),"-")</f>
        <v>-</v>
      </c>
      <c r="U399" s="2"/>
      <c r="V399" s="705"/>
      <c r="W399" s="705"/>
      <c r="X399" s="705"/>
      <c r="Y399" s="705"/>
      <c r="Z399" s="705"/>
      <c r="AA399" s="705"/>
      <c r="AB399" s="705"/>
      <c r="AC399" s="2"/>
      <c r="AD399" s="705">
        <f ca="1">SUMIF($V$7:AB$7,"&lt;="&amp;$I$7,V399:AA399)</f>
        <v>0</v>
      </c>
      <c r="AE399" s="878" t="str">
        <f ca="1">IFERROR((AD400/AD399),"-")</f>
        <v>-</v>
      </c>
      <c r="AF399" s="2"/>
      <c r="AG399" s="705"/>
      <c r="AH399" s="705"/>
      <c r="AI399" s="705"/>
      <c r="AJ399" s="705"/>
      <c r="AK399" s="705"/>
      <c r="AL399" s="705"/>
      <c r="AM399" s="705"/>
      <c r="AN399" s="2"/>
      <c r="AO399" s="705">
        <f ca="1">SUMIF($AG$7:AM$7,"&lt;="&amp;$I$7,AG399:AL399)</f>
        <v>0</v>
      </c>
      <c r="AP399" s="878" t="str">
        <f ca="1">IFERROR((AO400/AO399),"-")</f>
        <v>-</v>
      </c>
      <c r="AQ399" s="2"/>
      <c r="AR399" s="705"/>
      <c r="AS399" s="705"/>
      <c r="AT399" s="705"/>
      <c r="AU399" s="705"/>
      <c r="AV399" s="705"/>
      <c r="AW399" s="705"/>
      <c r="AX399" s="705"/>
      <c r="AY399" s="2"/>
      <c r="AZ399" s="43">
        <f ca="1">SUMIF($AR$7:AX$7,"&lt;="&amp;$I$7,AR399:AW399)</f>
        <v>0</v>
      </c>
      <c r="BA399" s="878" t="str">
        <f ca="1">IFERROR((AZ400/AZ399),"-")</f>
        <v>-</v>
      </c>
      <c r="BB399" s="2"/>
      <c r="BC399" s="705"/>
      <c r="BD399" s="705"/>
      <c r="BE399" s="705"/>
      <c r="BF399" s="705"/>
      <c r="BG399" s="705"/>
      <c r="BH399" s="705"/>
      <c r="BI399" s="705"/>
      <c r="BJ399" s="2"/>
      <c r="BK399" s="43">
        <f ca="1">SUMIF($BC$7:BI$7,"&lt;="&amp;$I$7,BC399:BH399)</f>
        <v>0</v>
      </c>
      <c r="BL399" s="878" t="str">
        <f ca="1">IFERROR((BK400/BK399),"-")</f>
        <v>-</v>
      </c>
      <c r="BM399" s="2"/>
      <c r="BN399" s="921">
        <v>0</v>
      </c>
      <c r="BO399" s="921">
        <v>0</v>
      </c>
      <c r="BP399" s="884">
        <f>SUM(M400:P400,V400:AB400,AG400:AM400,AR400:AX400,BC400:BH400)</f>
        <v>0</v>
      </c>
      <c r="BQ399" s="878" t="str">
        <f t="shared" ref="BQ399" si="968">IFERROR((BP399/BO399),"-")</f>
        <v>-</v>
      </c>
      <c r="BR399" s="2"/>
      <c r="BS399" s="884"/>
      <c r="BT399" s="884"/>
      <c r="BU399" s="884">
        <v>0</v>
      </c>
      <c r="BV399" s="884">
        <v>106</v>
      </c>
      <c r="BW399" s="1004">
        <f>IFERROR((BU399/BV399),"-")</f>
        <v>0</v>
      </c>
      <c r="BX399" s="884">
        <v>0</v>
      </c>
      <c r="BY399" s="878" t="str">
        <f>IFERROR((BU399/BX399),"-")</f>
        <v>-</v>
      </c>
      <c r="BZ399" s="2"/>
      <c r="CA399" s="884">
        <v>1</v>
      </c>
      <c r="CB399" s="884">
        <v>1</v>
      </c>
      <c r="CC399" s="2"/>
      <c r="CD399" s="504">
        <f>IFERROR(AVERAGEIF($K$7:Q$7,"&lt;="&amp;$I$7,K399:Q399),0)</f>
        <v>0</v>
      </c>
      <c r="CE399" s="2"/>
      <c r="CH399" s="93" t="str">
        <f t="shared" si="935"/>
        <v xml:space="preserve">Pilar E2
ATERRRO </v>
      </c>
    </row>
    <row r="400" spans="1:86" s="16" customFormat="1" ht="19.350000000000001" hidden="1" customHeight="1" outlineLevel="1">
      <c r="A400" s="74"/>
      <c r="B400" s="1049"/>
      <c r="C400" s="1023"/>
      <c r="D400" s="2"/>
      <c r="E400" s="1005"/>
      <c r="F400" s="2"/>
      <c r="G400" s="50" t="s">
        <v>38</v>
      </c>
      <c r="H400" s="705">
        <f t="shared" si="963"/>
        <v>0</v>
      </c>
      <c r="I400" s="879"/>
      <c r="J400" s="2"/>
      <c r="K400" s="86"/>
      <c r="L400" s="86"/>
      <c r="M400" s="86"/>
      <c r="N400" s="86"/>
      <c r="O400" s="86"/>
      <c r="P400" s="86"/>
      <c r="Q400" s="706"/>
      <c r="R400" s="2"/>
      <c r="S400" s="705">
        <f ca="1">SUMIF($K$7:Q$7,"&lt;="&amp;$I$7,K400:P400)</f>
        <v>0</v>
      </c>
      <c r="T400" s="879"/>
      <c r="U400" s="2"/>
      <c r="V400" s="86"/>
      <c r="W400" s="86"/>
      <c r="X400" s="86"/>
      <c r="Y400" s="86"/>
      <c r="Z400" s="86"/>
      <c r="AA400" s="86"/>
      <c r="AB400" s="86"/>
      <c r="AC400" s="2"/>
      <c r="AD400" s="705">
        <f ca="1">SUMIF($V$7:AB$7,"&lt;="&amp;$I$7,V400:AA400)</f>
        <v>0</v>
      </c>
      <c r="AE400" s="879"/>
      <c r="AF400" s="2"/>
      <c r="AG400" s="86"/>
      <c r="AH400" s="86"/>
      <c r="AI400" s="86"/>
      <c r="AJ400" s="86"/>
      <c r="AK400" s="86"/>
      <c r="AL400" s="86"/>
      <c r="AM400" s="86"/>
      <c r="AN400" s="2"/>
      <c r="AO400" s="705">
        <f ca="1">SUMIF($AG$7:AM$7,"&lt;="&amp;$I$7,AG400:AL400)</f>
        <v>0</v>
      </c>
      <c r="AP400" s="879"/>
      <c r="AQ400" s="2"/>
      <c r="AR400" s="86"/>
      <c r="AS400" s="86"/>
      <c r="AT400" s="86"/>
      <c r="AU400" s="86"/>
      <c r="AV400" s="86"/>
      <c r="AW400" s="86"/>
      <c r="AX400" s="706"/>
      <c r="AY400" s="2"/>
      <c r="AZ400" s="43">
        <f ca="1">SUMIF($AR$7:AX$7,"&lt;="&amp;$I$7,AR400:AW400)</f>
        <v>0</v>
      </c>
      <c r="BA400" s="879"/>
      <c r="BB400" s="2"/>
      <c r="BC400" s="86"/>
      <c r="BD400" s="86"/>
      <c r="BE400" s="86"/>
      <c r="BF400" s="86"/>
      <c r="BG400" s="86"/>
      <c r="BH400" s="86"/>
      <c r="BI400" s="706"/>
      <c r="BJ400" s="2"/>
      <c r="BK400" s="43">
        <f ca="1">SUMIF($BC$7:BI$7,"&lt;="&amp;$I$7,BC400:BH400)</f>
        <v>0</v>
      </c>
      <c r="BL400" s="879"/>
      <c r="BM400" s="2"/>
      <c r="BN400" s="922"/>
      <c r="BO400" s="922"/>
      <c r="BP400" s="885"/>
      <c r="BQ400" s="1050"/>
      <c r="BR400" s="2"/>
      <c r="BS400" s="922"/>
      <c r="BT400" s="922"/>
      <c r="BU400" s="922"/>
      <c r="BV400" s="886"/>
      <c r="BW400" s="1051"/>
      <c r="BX400" s="922"/>
      <c r="BY400" s="1052"/>
      <c r="BZ400" s="2"/>
      <c r="CA400" s="922"/>
      <c r="CB400" s="922"/>
      <c r="CC400" s="2"/>
      <c r="CD400" s="84">
        <f>IFERROR(AVERAGEIF($V$7:AB$7,"&lt;="&amp;$I$7,V400:AB400),0)</f>
        <v>0</v>
      </c>
      <c r="CE400" s="2"/>
      <c r="CH400" s="93" t="str">
        <f t="shared" si="935"/>
        <v xml:space="preserve">Pilar E2
ATERRRO </v>
      </c>
    </row>
    <row r="401" spans="1:86" s="16" customFormat="1" ht="20.45" hidden="1" customHeight="1" outlineLevel="1" collapsed="1">
      <c r="A401" s="74"/>
      <c r="B401" s="1048" t="s">
        <v>4031</v>
      </c>
      <c r="C401" s="1023" t="s">
        <v>36</v>
      </c>
      <c r="D401" s="2"/>
      <c r="E401" s="1004">
        <v>0</v>
      </c>
      <c r="F401" s="2"/>
      <c r="G401" s="49" t="s">
        <v>37</v>
      </c>
      <c r="H401" s="705">
        <f t="shared" si="963"/>
        <v>0</v>
      </c>
      <c r="I401" s="878" t="str">
        <f t="shared" ref="I401" si="969">IFERROR((H402/H401),"-")</f>
        <v>-</v>
      </c>
      <c r="J401" s="2"/>
      <c r="K401" s="705"/>
      <c r="L401" s="705"/>
      <c r="M401" s="705"/>
      <c r="N401" s="705"/>
      <c r="O401" s="705"/>
      <c r="P401" s="705"/>
      <c r="Q401" s="705"/>
      <c r="R401" s="2"/>
      <c r="S401" s="705">
        <f ca="1">SUMIF($K$7:Q$7,"&lt;="&amp;$I$7,K401:P401)</f>
        <v>0</v>
      </c>
      <c r="T401" s="878" t="str">
        <f ca="1">IFERROR((S402/S401),"-")</f>
        <v>-</v>
      </c>
      <c r="U401" s="2"/>
      <c r="V401" s="705"/>
      <c r="W401" s="705"/>
      <c r="X401" s="705"/>
      <c r="Y401" s="705"/>
      <c r="Z401" s="705"/>
      <c r="AA401" s="705"/>
      <c r="AB401" s="705"/>
      <c r="AC401" s="2"/>
      <c r="AD401" s="705">
        <f ca="1">SUMIF($V$7:AB$7,"&lt;="&amp;$I$7,V401:AA401)</f>
        <v>0</v>
      </c>
      <c r="AE401" s="878" t="str">
        <f ca="1">IFERROR((AD402/AD401),"-")</f>
        <v>-</v>
      </c>
      <c r="AF401" s="2"/>
      <c r="AG401" s="705"/>
      <c r="AH401" s="705"/>
      <c r="AI401" s="705"/>
      <c r="AJ401" s="705"/>
      <c r="AK401" s="705"/>
      <c r="AL401" s="705"/>
      <c r="AM401" s="705"/>
      <c r="AN401" s="2"/>
      <c r="AO401" s="705">
        <f ca="1">SUMIF($AG$7:AM$7,"&lt;="&amp;$I$7,AG401:AL401)</f>
        <v>0</v>
      </c>
      <c r="AP401" s="878" t="str">
        <f ca="1">IFERROR((AO402/AO401),"-")</f>
        <v>-</v>
      </c>
      <c r="AQ401" s="2"/>
      <c r="AR401" s="705"/>
      <c r="AS401" s="705"/>
      <c r="AT401" s="705"/>
      <c r="AU401" s="705"/>
      <c r="AV401" s="705"/>
      <c r="AW401" s="705"/>
      <c r="AX401" s="705"/>
      <c r="AY401" s="2"/>
      <c r="AZ401" s="43">
        <f ca="1">SUMIF($AR$7:AX$7,"&lt;="&amp;$I$7,AR401:AW401)</f>
        <v>0</v>
      </c>
      <c r="BA401" s="878" t="str">
        <f ca="1">IFERROR((AZ402/AZ401),"-")</f>
        <v>-</v>
      </c>
      <c r="BB401" s="2"/>
      <c r="BC401" s="705"/>
      <c r="BD401" s="705"/>
      <c r="BE401" s="705"/>
      <c r="BF401" s="705"/>
      <c r="BG401" s="705"/>
      <c r="BH401" s="705"/>
      <c r="BI401" s="705"/>
      <c r="BJ401" s="2"/>
      <c r="BK401" s="43">
        <f ca="1">SUMIF($BC$7:BI$7,"&lt;="&amp;$I$7,BC401:BH401)</f>
        <v>0</v>
      </c>
      <c r="BL401" s="878" t="str">
        <f ca="1">IFERROR((BK402/BK401),"-")</f>
        <v>-</v>
      </c>
      <c r="BM401" s="2"/>
      <c r="BN401" s="921">
        <v>2</v>
      </c>
      <c r="BO401" s="921">
        <v>0</v>
      </c>
      <c r="BP401" s="884">
        <f>SUM(M402:P402,V402:AB402,AG402:AM402,AR402:AX402,BC402:BH402)</f>
        <v>0</v>
      </c>
      <c r="BQ401" s="878" t="str">
        <f t="shared" ref="BQ401" si="970">IFERROR((BP401/BO401),"-")</f>
        <v>-</v>
      </c>
      <c r="BR401" s="2"/>
      <c r="BS401" s="884"/>
      <c r="BT401" s="884"/>
      <c r="BU401" s="884">
        <v>0</v>
      </c>
      <c r="BV401" s="884">
        <v>106</v>
      </c>
      <c r="BW401" s="1004">
        <f>IFERROR((BU401/BV401),"-")</f>
        <v>0</v>
      </c>
      <c r="BX401" s="884">
        <v>1</v>
      </c>
      <c r="BY401" s="878">
        <f>IFERROR((BU401/BX401),"-")</f>
        <v>0</v>
      </c>
      <c r="BZ401" s="2"/>
      <c r="CA401" s="884">
        <v>1</v>
      </c>
      <c r="CB401" s="884">
        <v>1</v>
      </c>
      <c r="CC401" s="2"/>
      <c r="CD401" s="84">
        <f>IFERROR(AVERAGEIF($V$7:AB$7,"&lt;="&amp;$I$7,V401:AB401),0)</f>
        <v>0</v>
      </c>
      <c r="CE401" s="2"/>
      <c r="CH401" s="93" t="str">
        <f t="shared" si="935"/>
        <v>P1 - POSICIONAMENTO DOS TUBOS METÁLICOS</v>
      </c>
    </row>
    <row r="402" spans="1:86" s="16" customFormat="1" ht="20.45" hidden="1" customHeight="1" outlineLevel="1">
      <c r="A402" s="74"/>
      <c r="B402" s="1049"/>
      <c r="C402" s="1023"/>
      <c r="D402" s="2"/>
      <c r="E402" s="1005"/>
      <c r="F402" s="2"/>
      <c r="G402" s="50" t="s">
        <v>38</v>
      </c>
      <c r="H402" s="705">
        <f t="shared" si="963"/>
        <v>0</v>
      </c>
      <c r="I402" s="879"/>
      <c r="J402" s="2"/>
      <c r="K402" s="86"/>
      <c r="L402" s="86"/>
      <c r="M402" s="86"/>
      <c r="N402" s="86"/>
      <c r="O402" s="86"/>
      <c r="P402" s="86"/>
      <c r="Q402" s="706"/>
      <c r="R402" s="2"/>
      <c r="S402" s="705">
        <f ca="1">SUMIF($K$7:Q$7,"&lt;="&amp;$I$7,K402:P402)</f>
        <v>0</v>
      </c>
      <c r="T402" s="879"/>
      <c r="U402" s="2"/>
      <c r="V402" s="86"/>
      <c r="W402" s="86"/>
      <c r="X402" s="86"/>
      <c r="Y402" s="86"/>
      <c r="Z402" s="86"/>
      <c r="AA402" s="86"/>
      <c r="AB402" s="86"/>
      <c r="AC402" s="2"/>
      <c r="AD402" s="705">
        <f ca="1">SUMIF($V$7:AB$7,"&lt;="&amp;$I$7,V402:AA402)</f>
        <v>0</v>
      </c>
      <c r="AE402" s="879"/>
      <c r="AF402" s="2"/>
      <c r="AG402" s="86"/>
      <c r="AH402" s="86"/>
      <c r="AI402" s="86"/>
      <c r="AJ402" s="86"/>
      <c r="AK402" s="86"/>
      <c r="AL402" s="86"/>
      <c r="AM402" s="86"/>
      <c r="AN402" s="2"/>
      <c r="AO402" s="705">
        <f ca="1">SUMIF($AG$7:AM$7,"&lt;="&amp;$I$7,AG402:AL402)</f>
        <v>0</v>
      </c>
      <c r="AP402" s="879"/>
      <c r="AQ402" s="2"/>
      <c r="AR402" s="86"/>
      <c r="AS402" s="86"/>
      <c r="AT402" s="86"/>
      <c r="AU402" s="86"/>
      <c r="AV402" s="86"/>
      <c r="AW402" s="86"/>
      <c r="AX402" s="706"/>
      <c r="AY402" s="2"/>
      <c r="AZ402" s="43">
        <f ca="1">SUMIF($AR$7:AX$7,"&lt;="&amp;$I$7,AR402:AW402)</f>
        <v>0</v>
      </c>
      <c r="BA402" s="879"/>
      <c r="BB402" s="2"/>
      <c r="BC402" s="86"/>
      <c r="BD402" s="86"/>
      <c r="BE402" s="86"/>
      <c r="BF402" s="86"/>
      <c r="BG402" s="86"/>
      <c r="BH402" s="86"/>
      <c r="BI402" s="706"/>
      <c r="BJ402" s="2"/>
      <c r="BK402" s="43">
        <f ca="1">SUMIF($BC$7:BI$7,"&lt;="&amp;$I$7,BC402:BH402)</f>
        <v>0</v>
      </c>
      <c r="BL402" s="879"/>
      <c r="BM402" s="2"/>
      <c r="BN402" s="922"/>
      <c r="BO402" s="922"/>
      <c r="BP402" s="885"/>
      <c r="BQ402" s="1050"/>
      <c r="BR402" s="2"/>
      <c r="BS402" s="922"/>
      <c r="BT402" s="922"/>
      <c r="BU402" s="922"/>
      <c r="BV402" s="886"/>
      <c r="BW402" s="1051"/>
      <c r="BX402" s="922"/>
      <c r="BY402" s="1052"/>
      <c r="BZ402" s="2"/>
      <c r="CA402" s="922"/>
      <c r="CB402" s="922"/>
      <c r="CC402" s="2"/>
      <c r="CD402" s="504">
        <f>IFERROR(AVERAGEIF($V$7:AB$7,"&lt;="&amp;$I$7,V402:AB402),0)</f>
        <v>0</v>
      </c>
      <c r="CE402" s="2"/>
      <c r="CH402" s="93" t="str">
        <f t="shared" si="935"/>
        <v>P1 - POSICIONAMENTO DOS TUBOS METÁLICOS</v>
      </c>
    </row>
    <row r="403" spans="1:86" s="16" customFormat="1" ht="20.45" hidden="1" customHeight="1" outlineLevel="1">
      <c r="A403" s="74"/>
      <c r="B403" s="1048" t="s">
        <v>4032</v>
      </c>
      <c r="C403" s="1023" t="s">
        <v>36</v>
      </c>
      <c r="D403" s="2"/>
      <c r="E403" s="1004">
        <v>0</v>
      </c>
      <c r="F403" s="2"/>
      <c r="G403" s="49" t="s">
        <v>37</v>
      </c>
      <c r="H403" s="705">
        <f t="shared" si="963"/>
        <v>0</v>
      </c>
      <c r="I403" s="878" t="str">
        <f t="shared" ref="I403" si="971">IFERROR((H404/H403),"-")</f>
        <v>-</v>
      </c>
      <c r="J403" s="2"/>
      <c r="K403" s="705"/>
      <c r="L403" s="705"/>
      <c r="M403" s="705"/>
      <c r="N403" s="705"/>
      <c r="O403" s="705"/>
      <c r="P403" s="705"/>
      <c r="Q403" s="705"/>
      <c r="R403" s="2"/>
      <c r="S403" s="705">
        <f ca="1">SUMIF($K$7:Q$7,"&lt;="&amp;$I$7,K403:P403)</f>
        <v>0</v>
      </c>
      <c r="T403" s="878" t="str">
        <f ca="1">IFERROR((S404/S403),"-")</f>
        <v>-</v>
      </c>
      <c r="U403" s="2"/>
      <c r="V403" s="705"/>
      <c r="W403" s="705"/>
      <c r="X403" s="705"/>
      <c r="Y403" s="705"/>
      <c r="Z403" s="705"/>
      <c r="AA403" s="705"/>
      <c r="AB403" s="705"/>
      <c r="AC403" s="2"/>
      <c r="AD403" s="705">
        <f ca="1">SUMIF($V$7:AB$7,"&lt;="&amp;$I$7,V403:AA403)</f>
        <v>0</v>
      </c>
      <c r="AE403" s="878" t="str">
        <f ca="1">IFERROR((AD404/AD403),"-")</f>
        <v>-</v>
      </c>
      <c r="AF403" s="2"/>
      <c r="AG403" s="705"/>
      <c r="AH403" s="705"/>
      <c r="AI403" s="705"/>
      <c r="AJ403" s="705"/>
      <c r="AK403" s="705"/>
      <c r="AL403" s="705"/>
      <c r="AM403" s="705"/>
      <c r="AN403" s="2"/>
      <c r="AO403" s="705">
        <f ca="1">SUMIF($AG$7:AM$7,"&lt;="&amp;$I$7,AG403:AL403)</f>
        <v>0</v>
      </c>
      <c r="AP403" s="878" t="str">
        <f ca="1">IFERROR((AO404/AO403),"-")</f>
        <v>-</v>
      </c>
      <c r="AQ403" s="2"/>
      <c r="AR403" s="705"/>
      <c r="AS403" s="705"/>
      <c r="AT403" s="705"/>
      <c r="AU403" s="705"/>
      <c r="AV403" s="705"/>
      <c r="AW403" s="705"/>
      <c r="AX403" s="705"/>
      <c r="AY403" s="2"/>
      <c r="AZ403" s="43">
        <f ca="1">SUMIF($AR$7:AX$7,"&lt;="&amp;$I$7,AR403:AW403)</f>
        <v>0</v>
      </c>
      <c r="BA403" s="878" t="str">
        <f ca="1">IFERROR((AZ404/AZ403),"-")</f>
        <v>-</v>
      </c>
      <c r="BB403" s="2"/>
      <c r="BC403" s="705"/>
      <c r="BD403" s="705"/>
      <c r="BE403" s="705"/>
      <c r="BF403" s="705"/>
      <c r="BG403" s="705"/>
      <c r="BH403" s="705"/>
      <c r="BI403" s="705"/>
      <c r="BJ403" s="2"/>
      <c r="BK403" s="43">
        <f ca="1">SUMIF($BC$7:BI$7,"&lt;="&amp;$I$7,BC403:BH403)</f>
        <v>0</v>
      </c>
      <c r="BL403" s="878" t="str">
        <f ca="1">IFERROR((BK404/BK403),"-")</f>
        <v>-</v>
      </c>
      <c r="BM403" s="2"/>
      <c r="BN403" s="921">
        <v>2</v>
      </c>
      <c r="BO403" s="921">
        <v>0</v>
      </c>
      <c r="BP403" s="884">
        <f>SUM(M404:P404,V404:AB404,AG404:AM404,AR404:AX404,BC404:BH404)</f>
        <v>0</v>
      </c>
      <c r="BQ403" s="878" t="str">
        <f t="shared" ref="BQ403" si="972">IFERROR((BP403/BO403),"-")</f>
        <v>-</v>
      </c>
      <c r="BR403" s="2"/>
      <c r="BS403" s="884"/>
      <c r="BT403" s="884"/>
      <c r="BU403" s="884">
        <v>0</v>
      </c>
      <c r="BV403" s="884">
        <v>106</v>
      </c>
      <c r="BW403" s="1004">
        <f>IFERROR((BU403/BV403),"-")</f>
        <v>0</v>
      </c>
      <c r="BX403" s="884">
        <v>1</v>
      </c>
      <c r="BY403" s="878">
        <f>IFERROR((BU403/BX403),"-")</f>
        <v>0</v>
      </c>
      <c r="BZ403" s="2"/>
      <c r="CA403" s="884">
        <v>1</v>
      </c>
      <c r="CB403" s="884">
        <v>1</v>
      </c>
      <c r="CC403" s="2"/>
      <c r="CD403" s="504">
        <f>IFERROR(AVERAGEIF($V$7:AB$7,"&lt;="&amp;$I$7,V403:AB403),0)</f>
        <v>0</v>
      </c>
      <c r="CE403" s="2"/>
      <c r="CH403" s="93" t="str">
        <f t="shared" si="935"/>
        <v xml:space="preserve">P2 - POSICIONAMENTO DOS TUBOS METÁLICOS </v>
      </c>
    </row>
    <row r="404" spans="1:86" s="16" customFormat="1" ht="15.95" hidden="1" customHeight="1" outlineLevel="1">
      <c r="A404" s="74"/>
      <c r="B404" s="1049"/>
      <c r="C404" s="1023"/>
      <c r="D404" s="2"/>
      <c r="E404" s="1005"/>
      <c r="F404" s="2"/>
      <c r="G404" s="50" t="s">
        <v>38</v>
      </c>
      <c r="H404" s="705">
        <f t="shared" si="963"/>
        <v>0</v>
      </c>
      <c r="I404" s="879"/>
      <c r="J404" s="2"/>
      <c r="K404" s="86"/>
      <c r="L404" s="86"/>
      <c r="M404" s="86"/>
      <c r="N404" s="86"/>
      <c r="O404" s="86"/>
      <c r="P404" s="86"/>
      <c r="Q404" s="706"/>
      <c r="R404" s="2"/>
      <c r="S404" s="705">
        <f ca="1">SUMIF($K$7:Q$7,"&lt;="&amp;$I$7,K404:P404)</f>
        <v>0</v>
      </c>
      <c r="T404" s="879"/>
      <c r="U404" s="2"/>
      <c r="V404" s="86"/>
      <c r="W404" s="86"/>
      <c r="X404" s="86"/>
      <c r="Y404" s="86"/>
      <c r="Z404" s="86"/>
      <c r="AA404" s="86"/>
      <c r="AB404" s="86"/>
      <c r="AC404" s="2"/>
      <c r="AD404" s="705">
        <f ca="1">SUMIF($V$7:AB$7,"&lt;="&amp;$I$7,V404:AA404)</f>
        <v>0</v>
      </c>
      <c r="AE404" s="879"/>
      <c r="AF404" s="2"/>
      <c r="AG404" s="86"/>
      <c r="AH404" s="86"/>
      <c r="AI404" s="86"/>
      <c r="AJ404" s="86"/>
      <c r="AK404" s="86"/>
      <c r="AL404" s="86"/>
      <c r="AM404" s="86"/>
      <c r="AN404" s="2"/>
      <c r="AO404" s="705">
        <f ca="1">SUMIF($AG$7:AM$7,"&lt;="&amp;$I$7,AG404:AL404)</f>
        <v>0</v>
      </c>
      <c r="AP404" s="879"/>
      <c r="AQ404" s="2"/>
      <c r="AR404" s="86"/>
      <c r="AS404" s="86"/>
      <c r="AT404" s="86"/>
      <c r="AU404" s="86"/>
      <c r="AV404" s="86"/>
      <c r="AW404" s="86"/>
      <c r="AX404" s="706"/>
      <c r="AY404" s="2"/>
      <c r="AZ404" s="43">
        <f ca="1">SUMIF($AR$7:AX$7,"&lt;="&amp;$I$7,AR404:AW404)</f>
        <v>0</v>
      </c>
      <c r="BA404" s="879"/>
      <c r="BB404" s="2"/>
      <c r="BC404" s="86"/>
      <c r="BD404" s="86"/>
      <c r="BE404" s="86"/>
      <c r="BF404" s="86"/>
      <c r="BG404" s="86"/>
      <c r="BH404" s="86"/>
      <c r="BI404" s="706"/>
      <c r="BJ404" s="2"/>
      <c r="BK404" s="43">
        <f ca="1">SUMIF($BC$7:BI$7,"&lt;="&amp;$I$7,BC404:BH404)</f>
        <v>0</v>
      </c>
      <c r="BL404" s="879"/>
      <c r="BM404" s="2"/>
      <c r="BN404" s="922"/>
      <c r="BO404" s="922"/>
      <c r="BP404" s="885"/>
      <c r="BQ404" s="1050"/>
      <c r="BR404" s="2"/>
      <c r="BS404" s="922"/>
      <c r="BT404" s="922"/>
      <c r="BU404" s="922"/>
      <c r="BV404" s="886"/>
      <c r="BW404" s="1051"/>
      <c r="BX404" s="922"/>
      <c r="BY404" s="1052"/>
      <c r="BZ404" s="2"/>
      <c r="CA404" s="922"/>
      <c r="CB404" s="922"/>
      <c r="CC404" s="2"/>
      <c r="CD404" s="504">
        <f>IFERROR(AVERAGEIF($V$7:AB$7,"&lt;="&amp;$I$7,V404:AB404),0)</f>
        <v>0</v>
      </c>
      <c r="CE404" s="2"/>
      <c r="CH404" s="93" t="str">
        <f t="shared" si="935"/>
        <v xml:space="preserve">P2 - POSICIONAMENTO DOS TUBOS METÁLICOS </v>
      </c>
    </row>
    <row r="405" spans="1:86" s="16" customFormat="1" ht="28.9" customHeight="1" collapsed="1">
      <c r="A405" s="74"/>
      <c r="B405" s="1045" t="s">
        <v>4025</v>
      </c>
      <c r="C405" s="740" t="s">
        <v>3936</v>
      </c>
      <c r="D405" s="2"/>
      <c r="E405" s="1019">
        <v>1</v>
      </c>
      <c r="F405" s="2"/>
      <c r="G405" s="53" t="s">
        <v>37</v>
      </c>
      <c r="H405" s="52">
        <f t="shared" si="963"/>
        <v>0</v>
      </c>
      <c r="I405" s="743" t="str">
        <f t="shared" ref="I405" si="973">IFERROR((H406/H405),"-")</f>
        <v>-</v>
      </c>
      <c r="J405" s="2"/>
      <c r="K405" s="52"/>
      <c r="L405" s="52"/>
      <c r="M405" s="52"/>
      <c r="N405" s="52"/>
      <c r="O405" s="52"/>
      <c r="P405" s="52"/>
      <c r="Q405" s="52"/>
      <c r="R405" s="2"/>
      <c r="S405" s="52">
        <f ca="1">SUMIF($K$7:Q$7,"&lt;="&amp;$I$7,K405:P405)</f>
        <v>0</v>
      </c>
      <c r="T405" s="743" t="str">
        <f ca="1">IFERROR((S406/S405),"-")</f>
        <v>-</v>
      </c>
      <c r="U405" s="2"/>
      <c r="V405" s="52" t="s">
        <v>1434</v>
      </c>
      <c r="W405" s="52" t="s">
        <v>1434</v>
      </c>
      <c r="X405" s="52">
        <v>1</v>
      </c>
      <c r="Y405" s="52"/>
      <c r="Z405" s="52"/>
      <c r="AA405" s="52"/>
      <c r="AB405" s="52"/>
      <c r="AC405" s="2"/>
      <c r="AD405" s="52">
        <f>SUMIF($V$7:AB$7,"&lt;="&amp;$I$7,V405:AB405)</f>
        <v>1</v>
      </c>
      <c r="AE405" s="743">
        <f>IFERROR((AD406/AD405),"-")</f>
        <v>1</v>
      </c>
      <c r="AF405" s="2"/>
      <c r="AG405" s="52"/>
      <c r="AH405" s="52"/>
      <c r="AI405" s="52"/>
      <c r="AJ405" s="52"/>
      <c r="AK405" s="52"/>
      <c r="AL405" s="52"/>
      <c r="AM405" s="52"/>
      <c r="AN405" s="2"/>
      <c r="AO405" s="52">
        <f ca="1">SUMIF($AG$7:AM$7,"&lt;="&amp;$I$7,AG405:AL405)</f>
        <v>0</v>
      </c>
      <c r="AP405" s="743" t="str">
        <f ca="1">IFERROR((AO406/AO405),"-")</f>
        <v>-</v>
      </c>
      <c r="AQ405" s="2"/>
      <c r="AR405" s="52"/>
      <c r="AS405" s="52"/>
      <c r="AT405" s="52"/>
      <c r="AU405" s="52"/>
      <c r="AV405" s="52"/>
      <c r="AW405" s="52"/>
      <c r="AX405" s="52"/>
      <c r="AY405" s="2"/>
      <c r="AZ405" s="52">
        <f ca="1">SUMIF($AR$7:AX$7,"&lt;="&amp;$I$7,AR405:AW405)</f>
        <v>0</v>
      </c>
      <c r="BA405" s="743" t="str">
        <f ca="1">IFERROR((AZ406/AZ405),"-")</f>
        <v>-</v>
      </c>
      <c r="BB405" s="2"/>
      <c r="BC405" s="52"/>
      <c r="BD405" s="52"/>
      <c r="BE405" s="52"/>
      <c r="BF405" s="52"/>
      <c r="BG405" s="52"/>
      <c r="BH405" s="52"/>
      <c r="BI405" s="52"/>
      <c r="BJ405" s="2"/>
      <c r="BK405" s="52">
        <f ca="1">SUMIF($BC$7:BI$7,"&lt;="&amp;$I$7,BC405:BH405)</f>
        <v>0</v>
      </c>
      <c r="BL405" s="743" t="str">
        <f ca="1">IFERROR((BK406/BK405),"-")</f>
        <v>-</v>
      </c>
      <c r="BM405" s="2"/>
      <c r="BN405" s="1018">
        <v>1</v>
      </c>
      <c r="BO405" s="1018">
        <v>0</v>
      </c>
      <c r="BP405" s="888">
        <f>SUM(M406:P406,V406:AB406,AG406:AM406,AR406:AX406,BC406:BH406)</f>
        <v>1</v>
      </c>
      <c r="BQ405" s="743" t="str">
        <f t="shared" ref="BQ405" si="974">IFERROR((BP405/BO405),"-")</f>
        <v>-</v>
      </c>
      <c r="BR405" s="2"/>
      <c r="BS405" s="888"/>
      <c r="BT405" s="888"/>
      <c r="BU405" s="888">
        <f ca="1">E405+S406+AD406+AZ406+AO406+BK406</f>
        <v>2</v>
      </c>
      <c r="BV405" s="884">
        <v>106</v>
      </c>
      <c r="BW405" s="1004">
        <f ca="1">IFERROR((BU405/BV405),"-")</f>
        <v>1.8867924528301886E-2</v>
      </c>
      <c r="BX405" s="888">
        <v>2</v>
      </c>
      <c r="BY405" s="743">
        <f ca="1">IFERROR((BU405/BX405),"-")</f>
        <v>1</v>
      </c>
      <c r="BZ405" s="2"/>
      <c r="CA405" s="888">
        <v>2</v>
      </c>
      <c r="CB405" s="888">
        <f ca="1">CA405-BU405</f>
        <v>0</v>
      </c>
      <c r="CC405" s="2"/>
      <c r="CD405" s="504">
        <f>IFERROR(AVERAGEIF($V$7:AB$7,"&lt;="&amp;$I$7,V405:AB405),0)</f>
        <v>1</v>
      </c>
      <c r="CE405" s="2"/>
      <c r="CH405" s="93" t="str">
        <f t="shared" si="935"/>
        <v>TRAVESSA</v>
      </c>
    </row>
    <row r="406" spans="1:86" s="16" customFormat="1" ht="15.95" customHeight="1">
      <c r="A406" s="74"/>
      <c r="B406" s="1045"/>
      <c r="C406" s="740"/>
      <c r="D406" s="2"/>
      <c r="E406" s="1020"/>
      <c r="F406" s="2"/>
      <c r="G406" s="54" t="s">
        <v>38</v>
      </c>
      <c r="H406" s="52">
        <f t="shared" si="963"/>
        <v>0</v>
      </c>
      <c r="I406" s="744"/>
      <c r="J406" s="2"/>
      <c r="K406" s="82" t="s">
        <v>1434</v>
      </c>
      <c r="L406" s="82" t="s">
        <v>1434</v>
      </c>
      <c r="M406" s="82"/>
      <c r="N406" s="82"/>
      <c r="O406" s="82"/>
      <c r="P406" s="82"/>
      <c r="Q406" s="52"/>
      <c r="R406" s="2"/>
      <c r="S406" s="52">
        <f ca="1">SUMIF($K$7:Q$7,"&lt;="&amp;$I$7,K406:P406)</f>
        <v>0</v>
      </c>
      <c r="T406" s="744"/>
      <c r="U406" s="2"/>
      <c r="V406" s="82" t="s">
        <v>1434</v>
      </c>
      <c r="W406" s="82" t="s">
        <v>1434</v>
      </c>
      <c r="X406" s="82">
        <v>1</v>
      </c>
      <c r="Y406" s="82"/>
      <c r="Z406" s="82"/>
      <c r="AA406" s="82"/>
      <c r="AB406" s="52"/>
      <c r="AC406" s="2"/>
      <c r="AD406" s="52">
        <f>SUMIF($V$7:AB$7,"&lt;="&amp;$I$7,V406:AB406)</f>
        <v>1</v>
      </c>
      <c r="AE406" s="744"/>
      <c r="AF406" s="2"/>
      <c r="AG406" s="82" t="s">
        <v>1434</v>
      </c>
      <c r="AH406" s="82" t="s">
        <v>1434</v>
      </c>
      <c r="AI406" s="82"/>
      <c r="AJ406" s="82"/>
      <c r="AK406" s="82"/>
      <c r="AL406" s="82"/>
      <c r="AM406" s="52"/>
      <c r="AN406" s="2"/>
      <c r="AO406" s="52">
        <f ca="1">SUMIF($AG$7:AM$7,"&lt;="&amp;$I$7,AG406:AL406)</f>
        <v>0</v>
      </c>
      <c r="AP406" s="744"/>
      <c r="AQ406" s="2"/>
      <c r="AR406" s="82"/>
      <c r="AS406" s="82"/>
      <c r="AT406" s="82"/>
      <c r="AU406" s="82"/>
      <c r="AV406" s="82"/>
      <c r="AW406" s="82"/>
      <c r="AX406" s="52"/>
      <c r="AY406" s="2"/>
      <c r="AZ406" s="52">
        <f ca="1">SUMIF($AR$7:AX$7,"&lt;="&amp;$I$7,AR406:AW406)</f>
        <v>0</v>
      </c>
      <c r="BA406" s="744"/>
      <c r="BB406" s="2"/>
      <c r="BC406" s="82"/>
      <c r="BD406" s="82"/>
      <c r="BE406" s="82"/>
      <c r="BF406" s="82"/>
      <c r="BG406" s="82"/>
      <c r="BH406" s="82"/>
      <c r="BI406" s="52"/>
      <c r="BJ406" s="2"/>
      <c r="BK406" s="52">
        <f ca="1">SUMIF($BC$7:BI$7,"&lt;="&amp;$I$7,BC406:BH406)</f>
        <v>0</v>
      </c>
      <c r="BL406" s="744"/>
      <c r="BM406" s="2"/>
      <c r="BN406" s="1018"/>
      <c r="BO406" s="1018"/>
      <c r="BP406" s="888"/>
      <c r="BQ406" s="744"/>
      <c r="BR406" s="2"/>
      <c r="BS406" s="888"/>
      <c r="BT406" s="888"/>
      <c r="BU406" s="1018"/>
      <c r="BV406" s="886"/>
      <c r="BW406" s="1051"/>
      <c r="BX406" s="888"/>
      <c r="BY406" s="743"/>
      <c r="BZ406" s="2"/>
      <c r="CA406" s="888"/>
      <c r="CB406" s="888"/>
      <c r="CC406" s="3"/>
      <c r="CD406" s="19"/>
      <c r="CE406" s="2"/>
      <c r="CH406" s="93" t="str">
        <f t="shared" si="935"/>
        <v>TRAVESSA</v>
      </c>
    </row>
    <row r="407" spans="1:86" s="16" customFormat="1" ht="20.45" hidden="1" customHeight="1" outlineLevel="1">
      <c r="A407" s="74"/>
      <c r="B407" s="1048" t="s">
        <v>4033</v>
      </c>
      <c r="C407" s="1023" t="s">
        <v>3936</v>
      </c>
      <c r="D407" s="2"/>
      <c r="E407" s="1004">
        <v>0</v>
      </c>
      <c r="F407" s="2"/>
      <c r="G407" s="49" t="s">
        <v>37</v>
      </c>
      <c r="H407" s="705">
        <f t="shared" si="963"/>
        <v>0</v>
      </c>
      <c r="I407" s="878" t="str">
        <f t="shared" ref="I407" si="975">IFERROR((H408/H407),"-")</f>
        <v>-</v>
      </c>
      <c r="J407" s="2"/>
      <c r="K407" s="705"/>
      <c r="L407" s="705"/>
      <c r="M407" s="705"/>
      <c r="N407" s="705"/>
      <c r="O407" s="705"/>
      <c r="P407" s="705"/>
      <c r="Q407" s="705"/>
      <c r="R407" s="2"/>
      <c r="S407" s="705">
        <f ca="1">SUMIF($K$7:Q$7,"&lt;="&amp;$I$7,K407:P407)</f>
        <v>0</v>
      </c>
      <c r="T407" s="878" t="str">
        <f ca="1">IFERROR((S408/S407),"-")</f>
        <v>-</v>
      </c>
      <c r="U407" s="2"/>
      <c r="V407" s="705"/>
      <c r="W407" s="705"/>
      <c r="X407" s="705"/>
      <c r="Y407" s="705"/>
      <c r="Z407" s="705"/>
      <c r="AA407" s="705"/>
      <c r="AB407" s="705"/>
      <c r="AC407" s="2"/>
      <c r="AD407" s="705">
        <f ca="1">SUMIF($V$7:AB$7,"&lt;="&amp;$I$7,V407:AA407)</f>
        <v>0</v>
      </c>
      <c r="AE407" s="878" t="str">
        <f ca="1">IFERROR((AD408/AD407),"-")</f>
        <v>-</v>
      </c>
      <c r="AF407" s="2"/>
      <c r="AG407" s="705"/>
      <c r="AH407" s="705"/>
      <c r="AI407" s="705"/>
      <c r="AJ407" s="705"/>
      <c r="AK407" s="705"/>
      <c r="AL407" s="705"/>
      <c r="AM407" s="705"/>
      <c r="AN407" s="2"/>
      <c r="AO407" s="705">
        <f ca="1">SUMIF($AG$7:AM$7,"&lt;="&amp;$I$7,AG407:AL407)</f>
        <v>0</v>
      </c>
      <c r="AP407" s="878" t="str">
        <f ca="1">IFERROR((AO408/AO407),"-")</f>
        <v>-</v>
      </c>
      <c r="AQ407" s="2"/>
      <c r="AR407" s="705"/>
      <c r="AS407" s="705"/>
      <c r="AT407" s="705"/>
      <c r="AU407" s="705"/>
      <c r="AV407" s="705"/>
      <c r="AW407" s="705"/>
      <c r="AX407" s="705"/>
      <c r="AY407" s="2"/>
      <c r="AZ407" s="43">
        <f ca="1">SUMIF($AR$7:AX$7,"&lt;="&amp;$I$7,AR407:AW407)</f>
        <v>0</v>
      </c>
      <c r="BA407" s="878" t="str">
        <f ca="1">IFERROR((AZ408/AZ407),"-")</f>
        <v>-</v>
      </c>
      <c r="BB407" s="2"/>
      <c r="BC407" s="705"/>
      <c r="BD407" s="705"/>
      <c r="BE407" s="705"/>
      <c r="BF407" s="705"/>
      <c r="BG407" s="705"/>
      <c r="BH407" s="705"/>
      <c r="BI407" s="705"/>
      <c r="BJ407" s="2"/>
      <c r="BK407" s="43">
        <f ca="1">SUMIF($BC$7:BI$7,"&lt;="&amp;$I$7,BC407:BH407)</f>
        <v>0</v>
      </c>
      <c r="BL407" s="878" t="str">
        <f ca="1">IFERROR((BK408/BK407),"-")</f>
        <v>-</v>
      </c>
      <c r="BM407" s="2"/>
      <c r="BN407" s="921">
        <v>1</v>
      </c>
      <c r="BO407" s="921">
        <v>0</v>
      </c>
      <c r="BP407" s="884">
        <f>SUM(M408:P408,V408:AB408,AG408:AM408,AR408:AX408,BC408:BH408)</f>
        <v>0</v>
      </c>
      <c r="BQ407" s="878" t="str">
        <f t="shared" ref="BQ407" si="976">IFERROR((BP407/BO407),"-")</f>
        <v>-</v>
      </c>
      <c r="BR407" s="2"/>
      <c r="BS407" s="884"/>
      <c r="BT407" s="884"/>
      <c r="BU407" s="884">
        <v>0</v>
      </c>
      <c r="BV407" s="884">
        <v>106</v>
      </c>
      <c r="BW407" s="1004">
        <f>IFERROR((BU407/BV407),"-")</f>
        <v>0</v>
      </c>
      <c r="BX407" s="884">
        <v>0</v>
      </c>
      <c r="BY407" s="878" t="str">
        <f>IFERROR((BU407/BX407),"-")</f>
        <v>-</v>
      </c>
      <c r="BZ407" s="2"/>
      <c r="CA407" s="884">
        <v>1</v>
      </c>
      <c r="CB407" s="884">
        <f>CA407-BU407</f>
        <v>1</v>
      </c>
      <c r="CC407" s="2"/>
      <c r="CD407" s="84">
        <f>IFERROR(AVERAGEIF($V$7:AB$7,"&lt;="&amp;$I$7,V407:AB407),0)</f>
        <v>0</v>
      </c>
      <c r="CE407" s="2"/>
      <c r="CH407" s="93" t="str">
        <f t="shared" si="935"/>
        <v>TRAVESSA - E1 (Armação + Forma + Concreto)</v>
      </c>
    </row>
    <row r="408" spans="1:86" s="16" customFormat="1" ht="15.95" hidden="1" customHeight="1" outlineLevel="1">
      <c r="A408" s="74"/>
      <c r="B408" s="1049"/>
      <c r="C408" s="1023"/>
      <c r="D408" s="2"/>
      <c r="E408" s="1005"/>
      <c r="F408" s="2"/>
      <c r="G408" s="50" t="s">
        <v>38</v>
      </c>
      <c r="H408" s="705">
        <f t="shared" si="963"/>
        <v>0</v>
      </c>
      <c r="I408" s="879"/>
      <c r="J408" s="2"/>
      <c r="K408" s="86"/>
      <c r="L408" s="86"/>
      <c r="M408" s="86"/>
      <c r="N408" s="86"/>
      <c r="O408" s="86"/>
      <c r="P408" s="86"/>
      <c r="Q408" s="706"/>
      <c r="R408" s="2"/>
      <c r="S408" s="705">
        <f ca="1">SUMIF($K$7:Q$7,"&lt;="&amp;$I$7,K408:P408)</f>
        <v>0</v>
      </c>
      <c r="T408" s="879"/>
      <c r="U408" s="2"/>
      <c r="V408" s="86"/>
      <c r="W408" s="86"/>
      <c r="X408" s="86"/>
      <c r="Y408" s="86"/>
      <c r="Z408" s="86"/>
      <c r="AA408" s="86"/>
      <c r="AB408" s="706"/>
      <c r="AC408" s="2"/>
      <c r="AD408" s="705">
        <f ca="1">SUMIF($V$7:AB$7,"&lt;="&amp;$I$7,V408:AA408)</f>
        <v>0</v>
      </c>
      <c r="AE408" s="879"/>
      <c r="AF408" s="2"/>
      <c r="AG408" s="86" t="s">
        <v>1434</v>
      </c>
      <c r="AH408" s="86" t="s">
        <v>1434</v>
      </c>
      <c r="AI408" s="86"/>
      <c r="AJ408" s="86"/>
      <c r="AK408" s="86"/>
      <c r="AL408" s="86"/>
      <c r="AM408" s="706"/>
      <c r="AN408" s="2"/>
      <c r="AO408" s="705">
        <f ca="1">SUMIF($AG$7:AM$7,"&lt;="&amp;$I$7,AG408:AL408)</f>
        <v>0</v>
      </c>
      <c r="AP408" s="879"/>
      <c r="AQ408" s="2"/>
      <c r="AR408" s="86"/>
      <c r="AS408" s="86"/>
      <c r="AT408" s="86"/>
      <c r="AU408" s="86"/>
      <c r="AV408" s="86"/>
      <c r="AW408" s="86"/>
      <c r="AX408" s="706"/>
      <c r="AY408" s="2"/>
      <c r="AZ408" s="43">
        <f ca="1">SUMIF($AR$7:AX$7,"&lt;="&amp;$I$7,AR408:AW408)</f>
        <v>0</v>
      </c>
      <c r="BA408" s="879"/>
      <c r="BB408" s="2"/>
      <c r="BC408" s="86"/>
      <c r="BD408" s="86"/>
      <c r="BE408" s="86"/>
      <c r="BF408" s="86"/>
      <c r="BG408" s="86"/>
      <c r="BH408" s="86"/>
      <c r="BI408" s="706"/>
      <c r="BJ408" s="2"/>
      <c r="BK408" s="43">
        <f ca="1">SUMIF($BC$7:BI$7,"&lt;="&amp;$I$7,BC408:BH408)</f>
        <v>0</v>
      </c>
      <c r="BL408" s="879"/>
      <c r="BM408" s="2"/>
      <c r="BN408" s="922"/>
      <c r="BO408" s="922"/>
      <c r="BP408" s="885"/>
      <c r="BQ408" s="1050"/>
      <c r="BR408" s="2"/>
      <c r="BS408" s="922"/>
      <c r="BT408" s="922"/>
      <c r="BU408" s="922"/>
      <c r="BV408" s="886"/>
      <c r="BW408" s="1051"/>
      <c r="BX408" s="922"/>
      <c r="BY408" s="1052"/>
      <c r="BZ408" s="2"/>
      <c r="CA408" s="922"/>
      <c r="CB408" s="922"/>
      <c r="CC408" s="2"/>
      <c r="CD408" s="84">
        <f>IFERROR(AVERAGEIF($V$7:AB$7,"&lt;="&amp;$I$7,V408:AB408),0)</f>
        <v>0</v>
      </c>
      <c r="CE408" s="2"/>
      <c r="CH408" s="93" t="str">
        <f t="shared" si="935"/>
        <v>TRAVESSA - E1 (Armação + Forma + Concreto)</v>
      </c>
    </row>
    <row r="409" spans="1:86" s="16" customFormat="1" ht="20.45" hidden="1" customHeight="1" outlineLevel="1">
      <c r="A409" s="74"/>
      <c r="B409" s="1048" t="s">
        <v>4034</v>
      </c>
      <c r="C409" s="1023" t="s">
        <v>3936</v>
      </c>
      <c r="D409" s="2"/>
      <c r="E409" s="1004">
        <v>0</v>
      </c>
      <c r="F409" s="2"/>
      <c r="G409" s="49" t="s">
        <v>37</v>
      </c>
      <c r="H409" s="705">
        <f t="shared" si="963"/>
        <v>0</v>
      </c>
      <c r="I409" s="878" t="str">
        <f t="shared" ref="I409" si="977">IFERROR((H410/H409),"-")</f>
        <v>-</v>
      </c>
      <c r="J409" s="2"/>
      <c r="K409" s="705"/>
      <c r="L409" s="705"/>
      <c r="M409" s="705"/>
      <c r="N409" s="705"/>
      <c r="O409" s="705"/>
      <c r="P409" s="705"/>
      <c r="Q409" s="705"/>
      <c r="R409" s="2"/>
      <c r="S409" s="705">
        <f ca="1">SUMIF($K$7:Q$7,"&lt;="&amp;$I$7,K409:P409)</f>
        <v>0</v>
      </c>
      <c r="T409" s="878" t="str">
        <f ca="1">IFERROR((S410/S409),"-")</f>
        <v>-</v>
      </c>
      <c r="U409" s="2"/>
      <c r="V409" s="705" t="s">
        <v>1434</v>
      </c>
      <c r="W409" s="705" t="s">
        <v>1434</v>
      </c>
      <c r="X409" s="705">
        <v>1</v>
      </c>
      <c r="Y409" s="705"/>
      <c r="Z409" s="705"/>
      <c r="AA409" s="705"/>
      <c r="AB409" s="705"/>
      <c r="AC409" s="2"/>
      <c r="AD409" s="705">
        <f ca="1">SUMIF($V$7:AB$7,"&lt;="&amp;$I$7,V409:AA409)</f>
        <v>1</v>
      </c>
      <c r="AE409" s="878">
        <f ca="1">IFERROR((AD410/AD409),"-")</f>
        <v>1</v>
      </c>
      <c r="AF409" s="2"/>
      <c r="AG409" s="705"/>
      <c r="AH409" s="705"/>
      <c r="AI409" s="705"/>
      <c r="AJ409" s="705"/>
      <c r="AK409" s="705"/>
      <c r="AL409" s="705"/>
      <c r="AM409" s="705"/>
      <c r="AN409" s="2"/>
      <c r="AO409" s="705">
        <f ca="1">SUMIF($AG$7:AM$7,"&lt;="&amp;$I$7,AG409:AL409)</f>
        <v>0</v>
      </c>
      <c r="AP409" s="878" t="str">
        <f ca="1">IFERROR((AO410/AO409),"-")</f>
        <v>-</v>
      </c>
      <c r="AQ409" s="2"/>
      <c r="AR409" s="705"/>
      <c r="AS409" s="705"/>
      <c r="AT409" s="705"/>
      <c r="AU409" s="705"/>
      <c r="AV409" s="705"/>
      <c r="AW409" s="705"/>
      <c r="AX409" s="705"/>
      <c r="AY409" s="2"/>
      <c r="AZ409" s="43">
        <f ca="1">SUMIF($AR$7:AX$7,"&lt;="&amp;$I$7,AR409:AW409)</f>
        <v>0</v>
      </c>
      <c r="BA409" s="878" t="str">
        <f ca="1">IFERROR((AZ410/AZ409),"-")</f>
        <v>-</v>
      </c>
      <c r="BB409" s="2"/>
      <c r="BC409" s="705"/>
      <c r="BD409" s="705"/>
      <c r="BE409" s="705"/>
      <c r="BF409" s="705"/>
      <c r="BG409" s="705"/>
      <c r="BH409" s="705"/>
      <c r="BI409" s="705"/>
      <c r="BJ409" s="2"/>
      <c r="BK409" s="43">
        <f ca="1">SUMIF($BC$7:BI$7,"&lt;="&amp;$I$7,BC409:BH409)</f>
        <v>0</v>
      </c>
      <c r="BL409" s="878" t="str">
        <f ca="1">IFERROR((BK410/BK409),"-")</f>
        <v>-</v>
      </c>
      <c r="BM409" s="2"/>
      <c r="BN409" s="921">
        <v>1</v>
      </c>
      <c r="BO409" s="921">
        <v>0</v>
      </c>
      <c r="BP409" s="884">
        <f>SUM(M410:P410,V410:AB410,AG410:AM410,AR410:AX410,BC410:BH410)</f>
        <v>1</v>
      </c>
      <c r="BQ409" s="878" t="str">
        <f t="shared" ref="BQ409" si="978">IFERROR((BP409/BO409),"-")</f>
        <v>-</v>
      </c>
      <c r="BR409" s="2"/>
      <c r="BS409" s="884"/>
      <c r="BT409" s="884"/>
      <c r="BU409" s="884">
        <v>0</v>
      </c>
      <c r="BV409" s="884">
        <v>106</v>
      </c>
      <c r="BW409" s="1004">
        <f>IFERROR((BU409/BV409),"-")</f>
        <v>0</v>
      </c>
      <c r="BX409" s="884">
        <v>0</v>
      </c>
      <c r="BY409" s="878" t="str">
        <f>IFERROR((BU409/BX409),"-")</f>
        <v>-</v>
      </c>
      <c r="BZ409" s="2"/>
      <c r="CA409" s="884">
        <v>1</v>
      </c>
      <c r="CB409" s="884">
        <f>CA409-BU409</f>
        <v>1</v>
      </c>
      <c r="CC409" s="2"/>
      <c r="CD409" s="84">
        <f>IFERROR(AVERAGEIF($V$7:AB$7,"&lt;="&amp;$I$7,V409:AB409),0)</f>
        <v>1</v>
      </c>
      <c r="CE409" s="2"/>
      <c r="CH409" s="93" t="str">
        <f t="shared" si="935"/>
        <v>TRAVESSA - E2 (Armação + Forma + Concreto)</v>
      </c>
    </row>
    <row r="410" spans="1:86" s="16" customFormat="1" ht="15.95" hidden="1" customHeight="1" outlineLevel="1">
      <c r="A410" s="74"/>
      <c r="B410" s="1049"/>
      <c r="C410" s="1023"/>
      <c r="D410" s="2"/>
      <c r="E410" s="1005"/>
      <c r="F410" s="2"/>
      <c r="G410" s="50" t="s">
        <v>38</v>
      </c>
      <c r="H410" s="705">
        <f t="shared" si="963"/>
        <v>0</v>
      </c>
      <c r="I410" s="879"/>
      <c r="J410" s="2"/>
      <c r="K410" s="85" t="s">
        <v>1434</v>
      </c>
      <c r="L410" s="85" t="s">
        <v>1434</v>
      </c>
      <c r="M410" s="85"/>
      <c r="N410" s="85"/>
      <c r="O410" s="85"/>
      <c r="P410" s="85"/>
      <c r="Q410" s="706"/>
      <c r="R410" s="2"/>
      <c r="S410" s="705">
        <f ca="1">SUMIF($K$7:Q$7,"&lt;="&amp;$I$7,K410:P410)</f>
        <v>0</v>
      </c>
      <c r="T410" s="879"/>
      <c r="U410" s="2"/>
      <c r="V410" s="86" t="s">
        <v>1434</v>
      </c>
      <c r="W410" s="86" t="s">
        <v>1434</v>
      </c>
      <c r="X410" s="86">
        <v>1</v>
      </c>
      <c r="Y410" s="86"/>
      <c r="Z410" s="86"/>
      <c r="AA410" s="86"/>
      <c r="AB410" s="86"/>
      <c r="AC410" s="2"/>
      <c r="AD410" s="705">
        <f ca="1">SUMIF($V$7:AB$7,"&lt;="&amp;$I$7,V410:AA410)</f>
        <v>1</v>
      </c>
      <c r="AE410" s="879"/>
      <c r="AF410" s="2"/>
      <c r="AG410" s="86"/>
      <c r="AH410" s="86"/>
      <c r="AI410" s="86"/>
      <c r="AJ410" s="86"/>
      <c r="AK410" s="86"/>
      <c r="AL410" s="86"/>
      <c r="AM410" s="706"/>
      <c r="AN410" s="2"/>
      <c r="AO410" s="705">
        <f ca="1">SUMIF($AG$7:AM$7,"&lt;="&amp;$I$7,AG410:AL410)</f>
        <v>0</v>
      </c>
      <c r="AP410" s="879"/>
      <c r="AQ410" s="2"/>
      <c r="AR410" s="86"/>
      <c r="AS410" s="86"/>
      <c r="AT410" s="86"/>
      <c r="AU410" s="86"/>
      <c r="AV410" s="86"/>
      <c r="AW410" s="86"/>
      <c r="AX410" s="706"/>
      <c r="AY410" s="2"/>
      <c r="AZ410" s="43">
        <f ca="1">SUMIF($AR$7:AX$7,"&lt;="&amp;$I$7,AR410:AW410)</f>
        <v>0</v>
      </c>
      <c r="BA410" s="879"/>
      <c r="BB410" s="2"/>
      <c r="BC410" s="86"/>
      <c r="BD410" s="86"/>
      <c r="BE410" s="86"/>
      <c r="BF410" s="86"/>
      <c r="BG410" s="86"/>
      <c r="BH410" s="86"/>
      <c r="BI410" s="706"/>
      <c r="BJ410" s="2"/>
      <c r="BK410" s="43">
        <f ca="1">SUMIF($BC$7:BI$7,"&lt;="&amp;$I$7,BC410:BH410)</f>
        <v>0</v>
      </c>
      <c r="BL410" s="879"/>
      <c r="BM410" s="2"/>
      <c r="BN410" s="922"/>
      <c r="BO410" s="922"/>
      <c r="BP410" s="885"/>
      <c r="BQ410" s="1050"/>
      <c r="BR410" s="2"/>
      <c r="BS410" s="886"/>
      <c r="BT410" s="886"/>
      <c r="BU410" s="886"/>
      <c r="BV410" s="886"/>
      <c r="BW410" s="1051"/>
      <c r="BX410" s="886"/>
      <c r="BY410" s="1053"/>
      <c r="BZ410" s="2"/>
      <c r="CA410" s="886"/>
      <c r="CB410" s="922"/>
      <c r="CC410" s="2"/>
      <c r="CD410" s="84">
        <f>IFERROR(AVERAGEIF($V$7:AB$7,"&lt;="&amp;$I$7,V410:AB410),0)</f>
        <v>1</v>
      </c>
      <c r="CE410" s="2"/>
      <c r="CH410" s="93" t="str">
        <f t="shared" si="935"/>
        <v>TRAVESSA - E2 (Armação + Forma + Concreto)</v>
      </c>
    </row>
    <row r="411" spans="1:86" s="16" customFormat="1" ht="20.45" customHeight="1" collapsed="1">
      <c r="A411" s="74"/>
      <c r="B411" s="1045" t="s">
        <v>4035</v>
      </c>
      <c r="C411" s="740" t="s">
        <v>3936</v>
      </c>
      <c r="D411" s="2"/>
      <c r="E411" s="1019">
        <v>0</v>
      </c>
      <c r="F411" s="2"/>
      <c r="G411" s="53" t="s">
        <v>37</v>
      </c>
      <c r="H411" s="52">
        <f t="shared" si="963"/>
        <v>0</v>
      </c>
      <c r="I411" s="743" t="str">
        <f t="shared" ref="I411" si="979">IFERROR((H412/H411),"-")</f>
        <v>-</v>
      </c>
      <c r="J411" s="2"/>
      <c r="K411" s="52" t="s">
        <v>1434</v>
      </c>
      <c r="L411" s="52" t="s">
        <v>1434</v>
      </c>
      <c r="M411" s="52" t="s">
        <v>1434</v>
      </c>
      <c r="N411" s="52">
        <v>1</v>
      </c>
      <c r="O411" s="52"/>
      <c r="P411" s="52"/>
      <c r="Q411" s="52"/>
      <c r="R411" s="2"/>
      <c r="S411" s="52">
        <f ca="1">SUMIF($K$7:Q$7,"&lt;="&amp;$I$7,K411:P411)</f>
        <v>1</v>
      </c>
      <c r="T411" s="743">
        <f ca="1">IFERROR((S412/S411),"-")</f>
        <v>1</v>
      </c>
      <c r="U411" s="2"/>
      <c r="V411" s="52" t="s">
        <v>1434</v>
      </c>
      <c r="W411" s="52" t="s">
        <v>1434</v>
      </c>
      <c r="X411" s="52" t="s">
        <v>1434</v>
      </c>
      <c r="Y411" s="52" t="s">
        <v>1434</v>
      </c>
      <c r="Z411" s="52" t="s">
        <v>1434</v>
      </c>
      <c r="AA411" s="52">
        <v>1</v>
      </c>
      <c r="AB411" s="52"/>
      <c r="AC411" s="2"/>
      <c r="AD411" s="52">
        <f>SUMIF($V$7:AB$7,"&lt;="&amp;$I$7,V411:AB411)</f>
        <v>1</v>
      </c>
      <c r="AE411" s="743">
        <f>IFERROR((AD412/AD411),"-")</f>
        <v>0</v>
      </c>
      <c r="AF411" s="2"/>
      <c r="AG411" s="52" t="s">
        <v>1434</v>
      </c>
      <c r="AH411" s="52" t="s">
        <v>1434</v>
      </c>
      <c r="AI411" s="52">
        <v>1</v>
      </c>
      <c r="AJ411" s="52"/>
      <c r="AK411" s="52"/>
      <c r="AL411" s="52"/>
      <c r="AM411" s="52"/>
      <c r="AN411" s="2"/>
      <c r="AO411" s="52">
        <f ca="1">SUMIF($AG$7:AM$7,"&lt;="&amp;$I$7,AG411:AL411)</f>
        <v>0</v>
      </c>
      <c r="AP411" s="743" t="str">
        <f ca="1">IFERROR((AO412/AO411),"-")</f>
        <v>-</v>
      </c>
      <c r="AQ411" s="2"/>
      <c r="AR411" s="52"/>
      <c r="AS411" s="52"/>
      <c r="AT411" s="52"/>
      <c r="AU411" s="52"/>
      <c r="AV411" s="52"/>
      <c r="AW411" s="52"/>
      <c r="AX411" s="52"/>
      <c r="AY411" s="2"/>
      <c r="AZ411" s="52">
        <f ca="1">SUMIF($AR$7:AX$7,"&lt;="&amp;$I$7,AR411:AW411)</f>
        <v>0</v>
      </c>
      <c r="BA411" s="743" t="str">
        <f ca="1">IFERROR((AZ412/AZ411),"-")</f>
        <v>-</v>
      </c>
      <c r="BB411" s="2"/>
      <c r="BC411" s="52"/>
      <c r="BD411" s="52"/>
      <c r="BE411" s="52"/>
      <c r="BF411" s="52"/>
      <c r="BG411" s="52"/>
      <c r="BH411" s="52"/>
      <c r="BI411" s="52"/>
      <c r="BJ411" s="2"/>
      <c r="BK411" s="52">
        <f ca="1">SUMIF($BC$7:BI$7,"&lt;="&amp;$I$7,BC411:BH411)</f>
        <v>0</v>
      </c>
      <c r="BL411" s="743" t="str">
        <f ca="1">IFERROR((BK412/BK411),"-")</f>
        <v>-</v>
      </c>
      <c r="BM411" s="2"/>
      <c r="BN411" s="1018">
        <v>2</v>
      </c>
      <c r="BO411" s="1018">
        <v>1</v>
      </c>
      <c r="BP411" s="888">
        <f>SUM(M412:P412,V412:AB412,AG412:AM412,AR412:AX412,BC412:BH412)</f>
        <v>1</v>
      </c>
      <c r="BQ411" s="743">
        <f t="shared" ref="BQ411" si="980">IFERROR((BP411/BO411),"-")</f>
        <v>1</v>
      </c>
      <c r="BR411" s="2"/>
      <c r="BS411" s="888"/>
      <c r="BT411" s="888"/>
      <c r="BU411" s="888">
        <f ca="1">E411+S412+AD412+AZ412+AO412+BK412</f>
        <v>1</v>
      </c>
      <c r="BV411" s="884">
        <v>106</v>
      </c>
      <c r="BW411" s="1004">
        <f ca="1">IFERROR((BU411/BV411),"-")</f>
        <v>9.433962264150943E-3</v>
      </c>
      <c r="BX411" s="888">
        <v>2</v>
      </c>
      <c r="BY411" s="743">
        <f ca="1">IFERROR((BU411/BX411),"-")</f>
        <v>0.5</v>
      </c>
      <c r="BZ411" s="2"/>
      <c r="CA411" s="888">
        <v>2</v>
      </c>
      <c r="CB411" s="888">
        <f ca="1">CA411-BU411</f>
        <v>1</v>
      </c>
      <c r="CC411" s="2"/>
      <c r="CD411" s="504">
        <f>IFERROR(AVERAGEIF($V$7:AB$7,"&lt;="&amp;$I$7,V411:AB411),0)</f>
        <v>1</v>
      </c>
      <c r="CE411" s="2"/>
      <c r="CH411" s="93" t="str">
        <f t="shared" si="935"/>
        <v>PAREDES E ALAS</v>
      </c>
    </row>
    <row r="412" spans="1:86" s="16" customFormat="1" ht="15.95" customHeight="1">
      <c r="A412" s="74"/>
      <c r="B412" s="1045"/>
      <c r="C412" s="740"/>
      <c r="D412" s="2"/>
      <c r="E412" s="1020"/>
      <c r="F412" s="2"/>
      <c r="G412" s="54" t="s">
        <v>38</v>
      </c>
      <c r="H412" s="52">
        <f t="shared" si="963"/>
        <v>0</v>
      </c>
      <c r="I412" s="744"/>
      <c r="J412" s="2"/>
      <c r="K412" s="82"/>
      <c r="L412" s="82"/>
      <c r="M412" s="82" t="s">
        <v>1434</v>
      </c>
      <c r="N412" s="82" t="s">
        <v>1434</v>
      </c>
      <c r="O412" s="82" t="s">
        <v>1434</v>
      </c>
      <c r="P412" s="82">
        <v>1</v>
      </c>
      <c r="Q412" s="52"/>
      <c r="R412" s="2"/>
      <c r="S412" s="52">
        <f ca="1">SUMIF($K$7:Q$7,"&lt;="&amp;$I$7,K412:P412)</f>
        <v>1</v>
      </c>
      <c r="T412" s="744"/>
      <c r="U412" s="2"/>
      <c r="V412" s="82"/>
      <c r="W412" s="82"/>
      <c r="X412" s="82"/>
      <c r="Y412" s="82"/>
      <c r="Z412" s="82"/>
      <c r="AA412" s="82"/>
      <c r="AB412" s="52"/>
      <c r="AC412" s="2"/>
      <c r="AD412" s="52">
        <f>SUMIF($V$7:AB$7,"&lt;="&amp;$I$7,V412:AB412)</f>
        <v>0</v>
      </c>
      <c r="AE412" s="744"/>
      <c r="AF412" s="2"/>
      <c r="AG412" s="82"/>
      <c r="AH412" s="82"/>
      <c r="AI412" s="82"/>
      <c r="AJ412" s="82"/>
      <c r="AK412" s="82"/>
      <c r="AL412" s="82"/>
      <c r="AM412" s="52"/>
      <c r="AN412" s="2"/>
      <c r="AO412" s="52">
        <f ca="1">SUMIF($AG$7:AM$7,"&lt;="&amp;$I$7,AG412:AL412)</f>
        <v>0</v>
      </c>
      <c r="AP412" s="744"/>
      <c r="AQ412" s="2"/>
      <c r="AR412" s="82"/>
      <c r="AS412" s="82"/>
      <c r="AT412" s="82"/>
      <c r="AU412" s="82"/>
      <c r="AV412" s="82"/>
      <c r="AW412" s="82"/>
      <c r="AX412" s="52"/>
      <c r="AY412" s="2"/>
      <c r="AZ412" s="52">
        <f ca="1">SUMIF($AR$7:AX$7,"&lt;="&amp;$I$7,AR412:AW412)</f>
        <v>0</v>
      </c>
      <c r="BA412" s="744"/>
      <c r="BB412" s="2"/>
      <c r="BC412" s="82"/>
      <c r="BD412" s="82"/>
      <c r="BE412" s="82"/>
      <c r="BF412" s="82"/>
      <c r="BG412" s="82"/>
      <c r="BH412" s="82"/>
      <c r="BI412" s="52"/>
      <c r="BJ412" s="2"/>
      <c r="BK412" s="52">
        <f ca="1">SUMIF($BC$7:BI$7,"&lt;="&amp;$I$7,BC412:BH412)</f>
        <v>0</v>
      </c>
      <c r="BL412" s="744"/>
      <c r="BM412" s="2"/>
      <c r="BN412" s="1018"/>
      <c r="BO412" s="1018"/>
      <c r="BP412" s="888"/>
      <c r="BQ412" s="744"/>
      <c r="BR412" s="2"/>
      <c r="BS412" s="888"/>
      <c r="BT412" s="888"/>
      <c r="BU412" s="1018"/>
      <c r="BV412" s="886"/>
      <c r="BW412" s="1051"/>
      <c r="BX412" s="888"/>
      <c r="BY412" s="743"/>
      <c r="BZ412" s="2"/>
      <c r="CA412" s="888"/>
      <c r="CB412" s="888"/>
      <c r="CC412" s="2"/>
      <c r="CD412" s="504">
        <f>IFERROR(AVERAGEIF($V$7:AB$7,"&lt;="&amp;$I$7,V412:AB412),0)</f>
        <v>0</v>
      </c>
      <c r="CE412" s="2"/>
      <c r="CH412" s="93" t="str">
        <f t="shared" si="935"/>
        <v>PAREDES E ALAS</v>
      </c>
    </row>
    <row r="413" spans="1:86" s="16" customFormat="1" ht="20.45" hidden="1" customHeight="1" outlineLevel="1">
      <c r="A413" s="74"/>
      <c r="B413" s="1048" t="s">
        <v>4036</v>
      </c>
      <c r="C413" s="1023" t="s">
        <v>3936</v>
      </c>
      <c r="D413" s="2"/>
      <c r="E413" s="1004">
        <v>0</v>
      </c>
      <c r="F413" s="2"/>
      <c r="G413" s="49" t="s">
        <v>37</v>
      </c>
      <c r="H413" s="705">
        <f t="shared" si="963"/>
        <v>0</v>
      </c>
      <c r="I413" s="878" t="str">
        <f t="shared" ref="I413" si="981">IFERROR((H414/H413),"-")</f>
        <v>-</v>
      </c>
      <c r="J413" s="2"/>
      <c r="K413" s="705" t="s">
        <v>1434</v>
      </c>
      <c r="L413" s="705" t="s">
        <v>1434</v>
      </c>
      <c r="M413" s="705" t="s">
        <v>1434</v>
      </c>
      <c r="N413" s="705">
        <v>1</v>
      </c>
      <c r="O413" s="705"/>
      <c r="P413" s="705"/>
      <c r="Q413" s="705"/>
      <c r="R413" s="2"/>
      <c r="S413" s="705">
        <f ca="1">SUMIF($K$7:Q$7,"&lt;="&amp;$I$7,K413:P413)</f>
        <v>1</v>
      </c>
      <c r="T413" s="878">
        <f ca="1">IFERROR((S414/S413),"-")</f>
        <v>1</v>
      </c>
      <c r="U413" s="2"/>
      <c r="V413" s="705"/>
      <c r="W413" s="705"/>
      <c r="X413" s="705"/>
      <c r="Y413" s="705"/>
      <c r="Z413" s="705"/>
      <c r="AA413" s="705"/>
      <c r="AB413" s="705"/>
      <c r="AC413" s="2"/>
      <c r="AD413" s="705">
        <f ca="1">SUMIF($V$7:AB$7,"&lt;="&amp;$I$7,V413:AA413)</f>
        <v>0</v>
      </c>
      <c r="AE413" s="878" t="str">
        <f ca="1">IFERROR((AD414/AD413),"-")</f>
        <v>-</v>
      </c>
      <c r="AF413" s="2"/>
      <c r="AG413" s="705"/>
      <c r="AH413" s="705"/>
      <c r="AI413" s="705"/>
      <c r="AJ413" s="705"/>
      <c r="AK413" s="705"/>
      <c r="AL413" s="705"/>
      <c r="AM413" s="705"/>
      <c r="AN413" s="2"/>
      <c r="AO413" s="705">
        <f ca="1">SUMIF($AG$7:AM$7,"&lt;="&amp;$I$7,AG413:AL413)</f>
        <v>0</v>
      </c>
      <c r="AP413" s="878" t="str">
        <f ca="1">IFERROR((AO414/AO413),"-")</f>
        <v>-</v>
      </c>
      <c r="AQ413" s="2"/>
      <c r="AR413" s="705"/>
      <c r="AS413" s="705"/>
      <c r="AT413" s="705"/>
      <c r="AU413" s="705"/>
      <c r="AV413" s="705"/>
      <c r="AW413" s="705"/>
      <c r="AX413" s="705"/>
      <c r="AY413" s="2"/>
      <c r="AZ413" s="43">
        <f ca="1">SUMIF($AR$7:AX$7,"&lt;="&amp;$I$7,AR413:AW413)</f>
        <v>0</v>
      </c>
      <c r="BA413" s="878" t="str">
        <f ca="1">IFERROR((AZ414/AZ413),"-")</f>
        <v>-</v>
      </c>
      <c r="BB413" s="2"/>
      <c r="BC413" s="705"/>
      <c r="BD413" s="705"/>
      <c r="BE413" s="705"/>
      <c r="BF413" s="705"/>
      <c r="BG413" s="705"/>
      <c r="BH413" s="705"/>
      <c r="BI413" s="705"/>
      <c r="BJ413" s="2"/>
      <c r="BK413" s="43">
        <f ca="1">SUMIF($BC$7:BI$7,"&lt;="&amp;$I$7,BC413:BH413)</f>
        <v>0</v>
      </c>
      <c r="BL413" s="878" t="str">
        <f ca="1">IFERROR((BK414/BK413),"-")</f>
        <v>-</v>
      </c>
      <c r="BM413" s="2"/>
      <c r="BN413" s="921">
        <v>1</v>
      </c>
      <c r="BO413" s="921">
        <v>0</v>
      </c>
      <c r="BP413" s="884">
        <f>SUM(M414:P414,V414:AB414,AG414:AM414,AR414:AX414,BC414:BH414)</f>
        <v>1</v>
      </c>
      <c r="BQ413" s="878" t="str">
        <f t="shared" ref="BQ413" si="982">IFERROR((BP413/BO413),"-")</f>
        <v>-</v>
      </c>
      <c r="BR413" s="2"/>
      <c r="BS413" s="884"/>
      <c r="BT413" s="884"/>
      <c r="BU413" s="884">
        <v>1</v>
      </c>
      <c r="BV413" s="884">
        <v>106</v>
      </c>
      <c r="BW413" s="1004">
        <f>IFERROR((BU413/BV413),"-")</f>
        <v>9.433962264150943E-3</v>
      </c>
      <c r="BX413" s="884">
        <v>1</v>
      </c>
      <c r="BY413" s="878">
        <f>IFERROR((BU413/BX413),"-")</f>
        <v>1</v>
      </c>
      <c r="BZ413" s="2"/>
      <c r="CA413" s="884">
        <v>1</v>
      </c>
      <c r="CB413" s="884">
        <f>CA413-BU413</f>
        <v>0</v>
      </c>
      <c r="CC413" s="2"/>
      <c r="CD413" s="504">
        <f>IFERROR(AVERAGEIF($V$7:AB$7,"&lt;="&amp;$I$7,V413:AB413),0)</f>
        <v>0</v>
      </c>
      <c r="CE413" s="2"/>
      <c r="CH413" s="93" t="str">
        <f t="shared" si="935"/>
        <v>PAREDES E ALAS - E1 (Armação + Forma + Concreto)</v>
      </c>
    </row>
    <row r="414" spans="1:86" s="16" customFormat="1" ht="15.95" hidden="1" customHeight="1" outlineLevel="1">
      <c r="A414" s="74"/>
      <c r="B414" s="1049"/>
      <c r="C414" s="1023"/>
      <c r="D414" s="2"/>
      <c r="E414" s="1005"/>
      <c r="F414" s="2"/>
      <c r="G414" s="50" t="s">
        <v>38</v>
      </c>
      <c r="H414" s="705">
        <f t="shared" si="963"/>
        <v>0</v>
      </c>
      <c r="I414" s="879"/>
      <c r="J414" s="2"/>
      <c r="K414" s="86"/>
      <c r="L414" s="86"/>
      <c r="M414" s="86" t="s">
        <v>1434</v>
      </c>
      <c r="N414" s="86" t="s">
        <v>1434</v>
      </c>
      <c r="O414" s="86" t="s">
        <v>1434</v>
      </c>
      <c r="P414" s="86">
        <v>1</v>
      </c>
      <c r="Q414" s="706"/>
      <c r="R414" s="2"/>
      <c r="S414" s="705">
        <f ca="1">SUMIF($K$7:Q$7,"&lt;="&amp;$I$7,K414:P414)</f>
        <v>1</v>
      </c>
      <c r="T414" s="879"/>
      <c r="U414" s="2"/>
      <c r="V414" s="86"/>
      <c r="W414" s="86"/>
      <c r="X414" s="86"/>
      <c r="Y414" s="86"/>
      <c r="Z414" s="86"/>
      <c r="AA414" s="86"/>
      <c r="AB414" s="706"/>
      <c r="AC414" s="2"/>
      <c r="AD414" s="705">
        <f ca="1">SUMIF($V$7:AB$7,"&lt;="&amp;$I$7,V414:AA414)</f>
        <v>0</v>
      </c>
      <c r="AE414" s="879"/>
      <c r="AF414" s="2"/>
      <c r="AG414" s="86"/>
      <c r="AH414" s="86"/>
      <c r="AI414" s="86"/>
      <c r="AJ414" s="86"/>
      <c r="AK414" s="86"/>
      <c r="AL414" s="86"/>
      <c r="AM414" s="706"/>
      <c r="AN414" s="2"/>
      <c r="AO414" s="705">
        <f ca="1">SUMIF($AG$7:AM$7,"&lt;="&amp;$I$7,AG414:AL414)</f>
        <v>0</v>
      </c>
      <c r="AP414" s="879"/>
      <c r="AQ414" s="2"/>
      <c r="AR414" s="86"/>
      <c r="AS414" s="86"/>
      <c r="AT414" s="86"/>
      <c r="AU414" s="86"/>
      <c r="AV414" s="86"/>
      <c r="AW414" s="86"/>
      <c r="AX414" s="706"/>
      <c r="AY414" s="2"/>
      <c r="AZ414" s="43">
        <f ca="1">SUMIF($AR$7:AX$7,"&lt;="&amp;$I$7,AR414:AW414)</f>
        <v>0</v>
      </c>
      <c r="BA414" s="879"/>
      <c r="BB414" s="2"/>
      <c r="BC414" s="86"/>
      <c r="BD414" s="86"/>
      <c r="BE414" s="86"/>
      <c r="BF414" s="86"/>
      <c r="BG414" s="86"/>
      <c r="BH414" s="86"/>
      <c r="BI414" s="706"/>
      <c r="BJ414" s="2"/>
      <c r="BK414" s="43">
        <f ca="1">SUMIF($BC$7:BI$7,"&lt;="&amp;$I$7,BC414:BH414)</f>
        <v>0</v>
      </c>
      <c r="BL414" s="879"/>
      <c r="BM414" s="2"/>
      <c r="BN414" s="922"/>
      <c r="BO414" s="922"/>
      <c r="BP414" s="885"/>
      <c r="BQ414" s="1050"/>
      <c r="BR414" s="2"/>
      <c r="BS414" s="922"/>
      <c r="BT414" s="922"/>
      <c r="BU414" s="922"/>
      <c r="BV414" s="886"/>
      <c r="BW414" s="1051"/>
      <c r="BX414" s="922"/>
      <c r="BY414" s="1052"/>
      <c r="BZ414" s="2"/>
      <c r="CA414" s="922"/>
      <c r="CB414" s="922"/>
      <c r="CC414" s="2"/>
      <c r="CD414" s="504">
        <f>IFERROR(AVERAGEIF($V$7:AB$7,"&lt;="&amp;$I$7,V414:AB414),0)</f>
        <v>0</v>
      </c>
      <c r="CE414" s="2"/>
      <c r="CH414" s="93" t="str">
        <f t="shared" si="935"/>
        <v>PAREDES E ALAS - E1 (Armação + Forma + Concreto)</v>
      </c>
    </row>
    <row r="415" spans="1:86" s="21" customFormat="1" ht="15.95" hidden="1" customHeight="1" outlineLevel="1">
      <c r="A415" s="74"/>
      <c r="B415" s="1048" t="s">
        <v>4037</v>
      </c>
      <c r="C415" s="1023" t="s">
        <v>3936</v>
      </c>
      <c r="D415" s="2"/>
      <c r="E415" s="1004">
        <v>0</v>
      </c>
      <c r="F415" s="2"/>
      <c r="G415" s="49" t="s">
        <v>37</v>
      </c>
      <c r="H415" s="705">
        <f t="shared" si="963"/>
        <v>0</v>
      </c>
      <c r="I415" s="878" t="str">
        <f t="shared" ref="I415" si="983">IFERROR((H416/H415),"-")</f>
        <v>-</v>
      </c>
      <c r="J415" s="2"/>
      <c r="K415" s="705" t="s">
        <v>1434</v>
      </c>
      <c r="L415" s="705" t="s">
        <v>1434</v>
      </c>
      <c r="M415" s="705" t="s">
        <v>1434</v>
      </c>
      <c r="N415" s="705" t="s">
        <v>1434</v>
      </c>
      <c r="O415" s="705" t="s">
        <v>1434</v>
      </c>
      <c r="P415" s="705" t="s">
        <v>1434</v>
      </c>
      <c r="Q415" s="705"/>
      <c r="R415" s="2"/>
      <c r="S415" s="705">
        <f ca="1">SUMIF($K$7:Q$7,"&lt;="&amp;$I$7,K415:P415)</f>
        <v>0</v>
      </c>
      <c r="T415" s="878" t="str">
        <f ca="1">IFERROR((S416/S415),"-")</f>
        <v>-</v>
      </c>
      <c r="U415" s="2"/>
      <c r="V415" s="705" t="s">
        <v>1434</v>
      </c>
      <c r="W415" s="705" t="s">
        <v>1434</v>
      </c>
      <c r="X415" s="705" t="s">
        <v>1434</v>
      </c>
      <c r="Y415" s="705" t="s">
        <v>1434</v>
      </c>
      <c r="Z415" s="705" t="s">
        <v>1434</v>
      </c>
      <c r="AA415" s="705">
        <v>1</v>
      </c>
      <c r="AB415" s="705"/>
      <c r="AC415" s="2"/>
      <c r="AD415" s="705">
        <f ca="1">SUMIF($V$7:AB$7,"&lt;="&amp;$I$7,V415:AA415)</f>
        <v>1</v>
      </c>
      <c r="AE415" s="878">
        <f ca="1">IFERROR((AD416/AD415),"-")</f>
        <v>0</v>
      </c>
      <c r="AF415" s="2"/>
      <c r="AG415" s="705" t="s">
        <v>1434</v>
      </c>
      <c r="AH415" s="705" t="s">
        <v>1434</v>
      </c>
      <c r="AI415" s="705">
        <v>1</v>
      </c>
      <c r="AJ415" s="705"/>
      <c r="AK415" s="705"/>
      <c r="AL415" s="705"/>
      <c r="AM415" s="705"/>
      <c r="AN415" s="2"/>
      <c r="AO415" s="705">
        <f ca="1">SUMIF($AG$7:AM$7,"&lt;="&amp;$I$7,AG415:AL415)</f>
        <v>0</v>
      </c>
      <c r="AP415" s="878" t="str">
        <f ca="1">IFERROR((AO416/AO415),"-")</f>
        <v>-</v>
      </c>
      <c r="AQ415" s="2"/>
      <c r="AR415" s="705"/>
      <c r="AS415" s="705"/>
      <c r="AT415" s="705"/>
      <c r="AU415" s="705"/>
      <c r="AV415" s="705"/>
      <c r="AW415" s="705"/>
      <c r="AX415" s="705"/>
      <c r="AY415" s="2"/>
      <c r="AZ415" s="43">
        <f ca="1">SUMIF($AR$7:AX$7,"&lt;="&amp;$I$7,AR415:AW415)</f>
        <v>0</v>
      </c>
      <c r="BA415" s="878" t="str">
        <f ca="1">IFERROR((AZ416/AZ415),"-")</f>
        <v>-</v>
      </c>
      <c r="BB415" s="2"/>
      <c r="BC415" s="705"/>
      <c r="BD415" s="705"/>
      <c r="BE415" s="705"/>
      <c r="BF415" s="705"/>
      <c r="BG415" s="705"/>
      <c r="BH415" s="705"/>
      <c r="BI415" s="705"/>
      <c r="BJ415" s="2"/>
      <c r="BK415" s="43">
        <f ca="1">SUMIF($BC$7:BI$7,"&lt;="&amp;$I$7,BC415:BH415)</f>
        <v>0</v>
      </c>
      <c r="BL415" s="878" t="str">
        <f ca="1">IFERROR((BK416/BK415),"-")</f>
        <v>-</v>
      </c>
      <c r="BM415" s="2"/>
      <c r="BN415" s="921">
        <v>1</v>
      </c>
      <c r="BO415" s="921">
        <v>0</v>
      </c>
      <c r="BP415" s="884">
        <f>SUM(M416:P416,V416:AB416,AG416:AM416,AR416:AX416,BC416:BH416)</f>
        <v>0</v>
      </c>
      <c r="BQ415" s="878" t="str">
        <f t="shared" ref="BQ415" si="984">IFERROR((BP415/BO415),"-")</f>
        <v>-</v>
      </c>
      <c r="BR415" s="2"/>
      <c r="BS415" s="884"/>
      <c r="BT415" s="884"/>
      <c r="BU415" s="884">
        <v>0</v>
      </c>
      <c r="BV415" s="884">
        <v>106</v>
      </c>
      <c r="BW415" s="1004">
        <f>IFERROR((BU415/BV415),"-")</f>
        <v>0</v>
      </c>
      <c r="BX415" s="884">
        <v>1</v>
      </c>
      <c r="BY415" s="878">
        <f>IFERROR((BU415/BX415),"-")</f>
        <v>0</v>
      </c>
      <c r="BZ415" s="2"/>
      <c r="CA415" s="884">
        <v>1</v>
      </c>
      <c r="CB415" s="884">
        <f>CA415-BU415</f>
        <v>1</v>
      </c>
      <c r="CC415" s="2"/>
      <c r="CD415" s="504">
        <f>IFERROR(AVERAGEIF($V$7:AB$7,"&lt;="&amp;$I$7,V415:AB415),0)</f>
        <v>1</v>
      </c>
      <c r="CE415" s="2"/>
      <c r="CH415" s="93" t="str">
        <f t="shared" si="935"/>
        <v>PAREDES E ALAS - E2 (Armação + Forma + Concreto)</v>
      </c>
    </row>
    <row r="416" spans="1:86" s="16" customFormat="1" ht="20.45" hidden="1" customHeight="1" outlineLevel="1">
      <c r="A416" s="74"/>
      <c r="B416" s="1049"/>
      <c r="C416" s="1023"/>
      <c r="D416" s="2"/>
      <c r="E416" s="1005"/>
      <c r="F416" s="2"/>
      <c r="G416" s="50" t="s">
        <v>38</v>
      </c>
      <c r="H416" s="705">
        <f t="shared" si="963"/>
        <v>0</v>
      </c>
      <c r="I416" s="879"/>
      <c r="J416" s="2"/>
      <c r="K416" s="85"/>
      <c r="L416" s="85"/>
      <c r="M416" s="85"/>
      <c r="N416" s="85" t="s">
        <v>1434</v>
      </c>
      <c r="O416" s="85"/>
      <c r="P416" s="85"/>
      <c r="Q416" s="706"/>
      <c r="R416" s="2"/>
      <c r="S416" s="705">
        <f ca="1">SUMIF($K$7:Q$7,"&lt;="&amp;$I$7,K416:P416)</f>
        <v>0</v>
      </c>
      <c r="T416" s="879"/>
      <c r="U416" s="2"/>
      <c r="V416" s="86"/>
      <c r="W416" s="86"/>
      <c r="X416" s="86"/>
      <c r="Y416" s="86"/>
      <c r="Z416" s="86"/>
      <c r="AA416" s="86"/>
      <c r="AB416" s="86"/>
      <c r="AC416" s="2"/>
      <c r="AD416" s="705">
        <f ca="1">SUMIF($V$7:AB$7,"&lt;="&amp;$I$7,V416:AA416)</f>
        <v>0</v>
      </c>
      <c r="AE416" s="879"/>
      <c r="AF416" s="2"/>
      <c r="AG416" s="86"/>
      <c r="AH416" s="86"/>
      <c r="AI416" s="86"/>
      <c r="AJ416" s="86"/>
      <c r="AK416" s="86"/>
      <c r="AL416" s="86"/>
      <c r="AM416" s="706"/>
      <c r="AN416" s="2"/>
      <c r="AO416" s="705">
        <f ca="1">SUMIF($AG$7:AM$7,"&lt;="&amp;$I$7,AG416:AL416)</f>
        <v>0</v>
      </c>
      <c r="AP416" s="879"/>
      <c r="AQ416" s="2"/>
      <c r="AR416" s="86"/>
      <c r="AS416" s="86"/>
      <c r="AT416" s="86"/>
      <c r="AU416" s="86"/>
      <c r="AV416" s="86"/>
      <c r="AW416" s="86"/>
      <c r="AX416" s="706"/>
      <c r="AY416" s="2"/>
      <c r="AZ416" s="43">
        <f ca="1">SUMIF($AR$7:AX$7,"&lt;="&amp;$I$7,AR416:AW416)</f>
        <v>0</v>
      </c>
      <c r="BA416" s="879"/>
      <c r="BB416" s="2"/>
      <c r="BC416" s="86"/>
      <c r="BD416" s="86"/>
      <c r="BE416" s="86"/>
      <c r="BF416" s="86"/>
      <c r="BG416" s="86"/>
      <c r="BH416" s="86"/>
      <c r="BI416" s="706"/>
      <c r="BJ416" s="2"/>
      <c r="BK416" s="43">
        <f ca="1">SUMIF($BC$7:BI$7,"&lt;="&amp;$I$7,BC416:BH416)</f>
        <v>0</v>
      </c>
      <c r="BL416" s="879"/>
      <c r="BM416" s="2"/>
      <c r="BN416" s="922"/>
      <c r="BO416" s="922"/>
      <c r="BP416" s="885"/>
      <c r="BQ416" s="1050"/>
      <c r="BR416" s="2"/>
      <c r="BS416" s="886"/>
      <c r="BT416" s="886"/>
      <c r="BU416" s="886"/>
      <c r="BV416" s="886"/>
      <c r="BW416" s="1051"/>
      <c r="BX416" s="886"/>
      <c r="BY416" s="1053"/>
      <c r="BZ416" s="2"/>
      <c r="CA416" s="886"/>
      <c r="CB416" s="922"/>
      <c r="CC416" s="2"/>
      <c r="CD416" s="504">
        <f>IFERROR(AVERAGEIF($V$7:AB$7,"&lt;="&amp;$I$7,V416:AB416),0)</f>
        <v>0</v>
      </c>
      <c r="CE416" s="2"/>
      <c r="CH416" s="93" t="str">
        <f t="shared" si="935"/>
        <v>PAREDES E ALAS - E2 (Armação + Forma + Concreto)</v>
      </c>
    </row>
    <row r="417" spans="1:86" s="16" customFormat="1" ht="20.45" customHeight="1" collapsed="1">
      <c r="A417" s="74"/>
      <c r="B417" s="1045" t="s">
        <v>4038</v>
      </c>
      <c r="C417" s="740" t="s">
        <v>3936</v>
      </c>
      <c r="D417" s="2"/>
      <c r="E417" s="1019">
        <v>5</v>
      </c>
      <c r="F417" s="2"/>
      <c r="G417" s="53" t="s">
        <v>37</v>
      </c>
      <c r="H417" s="52">
        <f t="shared" si="963"/>
        <v>3</v>
      </c>
      <c r="I417" s="743">
        <f t="shared" ref="I417" si="985">IFERROR((H418/H417),"-")</f>
        <v>0.33333333333333331</v>
      </c>
      <c r="J417" s="2"/>
      <c r="K417" s="52"/>
      <c r="L417" s="52">
        <v>3</v>
      </c>
      <c r="M417" s="52"/>
      <c r="N417" s="52">
        <v>3</v>
      </c>
      <c r="O417" s="52"/>
      <c r="P417" s="52">
        <v>3</v>
      </c>
      <c r="Q417" s="52"/>
      <c r="R417" s="2"/>
      <c r="S417" s="52">
        <f ca="1">SUMIF($K$7:Q$7,"&lt;="&amp;$I$7,K417:P417)</f>
        <v>9</v>
      </c>
      <c r="T417" s="743">
        <f ca="1">IFERROR((S418/S417),"-")</f>
        <v>0.33333333333333331</v>
      </c>
      <c r="U417" s="2"/>
      <c r="V417" s="52"/>
      <c r="W417" s="52">
        <v>3</v>
      </c>
      <c r="X417" s="52"/>
      <c r="Y417" s="52">
        <v>3</v>
      </c>
      <c r="Z417" s="52"/>
      <c r="AA417" s="52">
        <v>3</v>
      </c>
      <c r="AB417" s="52"/>
      <c r="AC417" s="2"/>
      <c r="AD417" s="52">
        <f>SUMIF($V$7:AB$7,"&lt;="&amp;$I$7,V417:AB417)</f>
        <v>9</v>
      </c>
      <c r="AE417" s="743">
        <f>IFERROR((AD418/AD417),"-")</f>
        <v>0.44444444444444442</v>
      </c>
      <c r="AF417" s="2"/>
      <c r="AG417" s="52"/>
      <c r="AH417" s="52">
        <v>3</v>
      </c>
      <c r="AI417" s="52"/>
      <c r="AJ417" s="52">
        <v>3</v>
      </c>
      <c r="AK417" s="52"/>
      <c r="AL417" s="52">
        <v>3</v>
      </c>
      <c r="AM417" s="52"/>
      <c r="AN417" s="2"/>
      <c r="AO417" s="52">
        <f ca="1">SUMIF($AG$7:AM$7,"&lt;="&amp;$I$7,AG417:AL417)</f>
        <v>3</v>
      </c>
      <c r="AP417" s="743">
        <f ca="1">IFERROR((AO418/AO417),"-")</f>
        <v>0.33333333333333331</v>
      </c>
      <c r="AQ417" s="2"/>
      <c r="AR417" s="52"/>
      <c r="AS417" s="52"/>
      <c r="AT417" s="52"/>
      <c r="AU417" s="52"/>
      <c r="AV417" s="52"/>
      <c r="AW417" s="52"/>
      <c r="AX417" s="52"/>
      <c r="AY417" s="2"/>
      <c r="AZ417" s="52">
        <f ca="1">SUMIF($AR$7:AX$7,"&lt;="&amp;$I$7,AR417:AW417)</f>
        <v>0</v>
      </c>
      <c r="BA417" s="743" t="str">
        <f ca="1">IFERROR((AZ418/AZ417),"-")</f>
        <v>-</v>
      </c>
      <c r="BB417" s="2"/>
      <c r="BC417" s="52"/>
      <c r="BD417" s="52"/>
      <c r="BE417" s="52"/>
      <c r="BF417" s="52"/>
      <c r="BG417" s="52"/>
      <c r="BH417" s="52"/>
      <c r="BI417" s="52"/>
      <c r="BJ417" s="2"/>
      <c r="BK417" s="52">
        <f ca="1">SUMIF($BC$7:BI$7,"&lt;="&amp;$I$7,BC417:BH417)</f>
        <v>0</v>
      </c>
      <c r="BL417" s="743" t="str">
        <f ca="1">IFERROR((BK418/BK417),"-")</f>
        <v>-</v>
      </c>
      <c r="BM417" s="2"/>
      <c r="BN417" s="1018">
        <v>16</v>
      </c>
      <c r="BO417" s="1018">
        <v>15</v>
      </c>
      <c r="BP417" s="888">
        <f>SUM(M418:P418,V418:AB418,AG418:AM418,AR418:AX418,BC418:BH418)</f>
        <v>8</v>
      </c>
      <c r="BQ417" s="743">
        <f t="shared" ref="BQ417" si="986">IFERROR((BP417/BO417),"-")</f>
        <v>0.53333333333333333</v>
      </c>
      <c r="BR417" s="2"/>
      <c r="BS417" s="888"/>
      <c r="BT417" s="888"/>
      <c r="BU417" s="888">
        <f ca="1">E417+S418+AD418+AZ418+AO418+BK418</f>
        <v>13</v>
      </c>
      <c r="BV417" s="884">
        <v>106</v>
      </c>
      <c r="BW417" s="1004">
        <f ca="1">IFERROR((BU417/BV417),"-")</f>
        <v>0.12264150943396226</v>
      </c>
      <c r="BX417" s="888">
        <v>21</v>
      </c>
      <c r="BY417" s="743">
        <f ca="1">IFERROR((BU417/BX417),"-")</f>
        <v>0.61904761904761907</v>
      </c>
      <c r="BZ417" s="2"/>
      <c r="CA417" s="888">
        <v>21</v>
      </c>
      <c r="CB417" s="888">
        <f ca="1">CA417-BU417</f>
        <v>8</v>
      </c>
      <c r="CC417" s="2"/>
      <c r="CD417" s="504">
        <f>IFERROR(AVERAGEIF($V$7:AB$7,"&lt;="&amp;$I$7,V417:AB417),0)</f>
        <v>3</v>
      </c>
      <c r="CE417" s="2"/>
      <c r="CH417" s="93" t="str">
        <f t="shared" si="935"/>
        <v>LAJES (FABRICAÇÃO)</v>
      </c>
    </row>
    <row r="418" spans="1:86" s="16" customFormat="1" ht="15.95" customHeight="1">
      <c r="A418" s="74"/>
      <c r="B418" s="1045"/>
      <c r="C418" s="740"/>
      <c r="D418" s="2"/>
      <c r="E418" s="1020"/>
      <c r="F418" s="2"/>
      <c r="G418" s="54" t="s">
        <v>38</v>
      </c>
      <c r="H418" s="52">
        <f t="shared" si="963"/>
        <v>1</v>
      </c>
      <c r="I418" s="744"/>
      <c r="J418" s="2"/>
      <c r="K418" s="82"/>
      <c r="L418" s="82"/>
      <c r="M418" s="82"/>
      <c r="N418" s="82">
        <v>1</v>
      </c>
      <c r="O418" s="82">
        <v>1</v>
      </c>
      <c r="P418" s="82">
        <v>1</v>
      </c>
      <c r="Q418" s="52"/>
      <c r="R418" s="2"/>
      <c r="S418" s="52">
        <f ca="1">SUMIF($K$7:Q$7,"&lt;="&amp;$I$7,K418:P418)</f>
        <v>3</v>
      </c>
      <c r="T418" s="744"/>
      <c r="U418" s="2"/>
      <c r="V418" s="82">
        <v>1</v>
      </c>
      <c r="W418" s="82"/>
      <c r="X418" s="82">
        <v>1</v>
      </c>
      <c r="Y418" s="82"/>
      <c r="Z418" s="82">
        <v>2</v>
      </c>
      <c r="AA418" s="82"/>
      <c r="AB418" s="52"/>
      <c r="AC418" s="2"/>
      <c r="AD418" s="52">
        <f>SUMIF($V$7:AB$7,"&lt;="&amp;$I$7,V418:AB418)</f>
        <v>4</v>
      </c>
      <c r="AE418" s="744"/>
      <c r="AF418" s="2"/>
      <c r="AG418" s="82"/>
      <c r="AH418" s="82">
        <v>1</v>
      </c>
      <c r="AI418" s="82"/>
      <c r="AJ418" s="82"/>
      <c r="AK418" s="82"/>
      <c r="AL418" s="82"/>
      <c r="AM418" s="52"/>
      <c r="AN418" s="2"/>
      <c r="AO418" s="52">
        <f ca="1">SUMIF($AG$7:AM$7,"&lt;="&amp;$I$7,AG418:AL418)</f>
        <v>1</v>
      </c>
      <c r="AP418" s="744"/>
      <c r="AQ418" s="2"/>
      <c r="AR418" s="82"/>
      <c r="AS418" s="82"/>
      <c r="AT418" s="82"/>
      <c r="AU418" s="82"/>
      <c r="AV418" s="82"/>
      <c r="AW418" s="82"/>
      <c r="AX418" s="52"/>
      <c r="AY418" s="2"/>
      <c r="AZ418" s="52">
        <f ca="1">SUMIF($AR$7:AX$7,"&lt;="&amp;$I$7,AR418:AW418)</f>
        <v>0</v>
      </c>
      <c r="BA418" s="744"/>
      <c r="BB418" s="2"/>
      <c r="BC418" s="82"/>
      <c r="BD418" s="82"/>
      <c r="BE418" s="82"/>
      <c r="BF418" s="82"/>
      <c r="BG418" s="82"/>
      <c r="BH418" s="82"/>
      <c r="BI418" s="52"/>
      <c r="BJ418" s="2"/>
      <c r="BK418" s="52">
        <f ca="1">SUMIF($BC$7:BI$7,"&lt;="&amp;$I$7,BC418:BH418)</f>
        <v>0</v>
      </c>
      <c r="BL418" s="744"/>
      <c r="BM418" s="2"/>
      <c r="BN418" s="1018"/>
      <c r="BO418" s="1018"/>
      <c r="BP418" s="1018"/>
      <c r="BQ418" s="744"/>
      <c r="BR418" s="2"/>
      <c r="BS418" s="888"/>
      <c r="BT418" s="888"/>
      <c r="BU418" s="1018"/>
      <c r="BV418" s="886"/>
      <c r="BW418" s="1051"/>
      <c r="BX418" s="1018"/>
      <c r="BY418" s="1057"/>
      <c r="BZ418" s="2"/>
      <c r="CA418" s="1018"/>
      <c r="CB418" s="1018"/>
      <c r="CC418" s="2"/>
      <c r="CD418" s="504">
        <f>IFERROR(AVERAGEIF($V$7:AB$7,"&lt;="&amp;$I$7,V418:AB418),0)</f>
        <v>1.3333333333333333</v>
      </c>
      <c r="CE418" s="2"/>
      <c r="CH418" s="93" t="str">
        <f t="shared" si="935"/>
        <v>LAJES (FABRICAÇÃO)</v>
      </c>
    </row>
    <row r="419" spans="1:86" s="16" customFormat="1" ht="20.45" hidden="1" customHeight="1" outlineLevel="1">
      <c r="A419" s="74"/>
      <c r="B419" s="1048" t="s">
        <v>4039</v>
      </c>
      <c r="C419" s="1023" t="s">
        <v>3936</v>
      </c>
      <c r="D419" s="2"/>
      <c r="E419" s="1004">
        <v>0</v>
      </c>
      <c r="F419" s="2"/>
      <c r="G419" s="49" t="s">
        <v>37</v>
      </c>
      <c r="H419" s="705">
        <f t="shared" si="963"/>
        <v>0</v>
      </c>
      <c r="I419" s="878" t="str">
        <f t="shared" ref="I419" si="987">IFERROR((H420/H419),"-")</f>
        <v>-</v>
      </c>
      <c r="J419" s="2"/>
      <c r="K419" s="705"/>
      <c r="L419" s="705"/>
      <c r="M419" s="705"/>
      <c r="N419" s="705"/>
      <c r="O419" s="705"/>
      <c r="P419" s="705"/>
      <c r="Q419" s="705"/>
      <c r="R419" s="2"/>
      <c r="S419" s="705">
        <f ca="1">SUMIF($K$7:Q$7,"&lt;="&amp;$I$7,K419:P419)</f>
        <v>0</v>
      </c>
      <c r="T419" s="878" t="str">
        <f ca="1">IFERROR((S420/S419),"-")</f>
        <v>-</v>
      </c>
      <c r="U419" s="2"/>
      <c r="V419" s="705"/>
      <c r="W419" s="705"/>
      <c r="X419" s="705"/>
      <c r="Y419" s="705"/>
      <c r="Z419" s="705"/>
      <c r="AA419" s="705"/>
      <c r="AB419" s="705"/>
      <c r="AC419" s="2"/>
      <c r="AD419" s="705">
        <f ca="1">SUMIF($V$7:AB$7,"&lt;="&amp;$I$7,V419:AA419)</f>
        <v>0</v>
      </c>
      <c r="AE419" s="878" t="str">
        <f ca="1">IFERROR((AD420/AD419),"-")</f>
        <v>-</v>
      </c>
      <c r="AF419" s="2"/>
      <c r="AG419" s="705"/>
      <c r="AH419" s="705"/>
      <c r="AI419" s="705"/>
      <c r="AJ419" s="705"/>
      <c r="AK419" s="705"/>
      <c r="AL419" s="705"/>
      <c r="AM419" s="705"/>
      <c r="AN419" s="2"/>
      <c r="AO419" s="705">
        <f ca="1">SUMIF($AG$7:AM$7,"&lt;="&amp;$I$7,AG419:AL419)</f>
        <v>0</v>
      </c>
      <c r="AP419" s="878" t="str">
        <f ca="1">IFERROR((AO420/AO419),"-")</f>
        <v>-</v>
      </c>
      <c r="AQ419" s="2"/>
      <c r="AR419" s="705"/>
      <c r="AS419" s="705"/>
      <c r="AT419" s="705"/>
      <c r="AU419" s="705"/>
      <c r="AV419" s="705"/>
      <c r="AW419" s="705"/>
      <c r="AX419" s="705"/>
      <c r="AY419" s="2"/>
      <c r="AZ419" s="43">
        <f ca="1">SUMIF($AR$7:AX$7,"&lt;="&amp;$I$7,AR419:AW419)</f>
        <v>0</v>
      </c>
      <c r="BA419" s="878" t="str">
        <f ca="1">IFERROR((AZ420/AZ419),"-")</f>
        <v>-</v>
      </c>
      <c r="BB419" s="2"/>
      <c r="BC419" s="705"/>
      <c r="BD419" s="705"/>
      <c r="BE419" s="705"/>
      <c r="BF419" s="705"/>
      <c r="BG419" s="705"/>
      <c r="BH419" s="705"/>
      <c r="BI419" s="705"/>
      <c r="BJ419" s="2"/>
      <c r="BK419" s="43">
        <f ca="1">SUMIF($BC$7:BI$7,"&lt;="&amp;$I$7,BC419:BH419)</f>
        <v>0</v>
      </c>
      <c r="BL419" s="878" t="str">
        <f ca="1">IFERROR((BK420/BK419),"-")</f>
        <v>-</v>
      </c>
      <c r="BM419" s="2"/>
      <c r="BN419" s="921">
        <v>0</v>
      </c>
      <c r="BO419" s="921">
        <v>0</v>
      </c>
      <c r="BP419" s="884">
        <f>SUM(M420:P420,V420:AB420,AG420:AM420,AR420:AX420,BC420:BH420)</f>
        <v>0</v>
      </c>
      <c r="BQ419" s="878" t="str">
        <f t="shared" ref="BQ419" si="988">IFERROR((BP419/BO419),"-")</f>
        <v>-</v>
      </c>
      <c r="BR419" s="2"/>
      <c r="BS419" s="884"/>
      <c r="BT419" s="884"/>
      <c r="BU419" s="884">
        <v>0</v>
      </c>
      <c r="BV419" s="884">
        <v>106</v>
      </c>
      <c r="BW419" s="1004">
        <f>IFERROR((BU419/BV419),"-")</f>
        <v>0</v>
      </c>
      <c r="BX419" s="908">
        <v>0</v>
      </c>
      <c r="BY419" s="878" t="str">
        <f>IFERROR((BU419/BX419),"-")</f>
        <v>-</v>
      </c>
      <c r="BZ419" s="2"/>
      <c r="CA419" s="884">
        <v>0</v>
      </c>
      <c r="CB419" s="884">
        <v>0</v>
      </c>
      <c r="CC419" s="2"/>
      <c r="CD419" s="84">
        <f>IFERROR(AVERAGEIF($V$7:AB$7,"&lt;="&amp;$I$7,V419:AB419),0)</f>
        <v>0</v>
      </c>
      <c r="CE419" s="2"/>
      <c r="CH419" s="93" t="str">
        <f t="shared" si="935"/>
        <v>LAJE 2.1 - FORMA</v>
      </c>
    </row>
    <row r="420" spans="1:86" s="16" customFormat="1" ht="15.95" hidden="1" customHeight="1" outlineLevel="1">
      <c r="A420" s="74"/>
      <c r="B420" s="1049"/>
      <c r="C420" s="1023"/>
      <c r="D420" s="2"/>
      <c r="E420" s="1005"/>
      <c r="F420" s="2"/>
      <c r="G420" s="50" t="s">
        <v>38</v>
      </c>
      <c r="H420" s="705">
        <f t="shared" si="963"/>
        <v>0</v>
      </c>
      <c r="I420" s="879"/>
      <c r="J420" s="2"/>
      <c r="K420" s="86"/>
      <c r="L420" s="86"/>
      <c r="M420" s="86"/>
      <c r="N420" s="86"/>
      <c r="O420" s="86"/>
      <c r="P420" s="86"/>
      <c r="Q420" s="706"/>
      <c r="R420" s="2"/>
      <c r="S420" s="705">
        <f ca="1">SUMIF($K$7:Q$7,"&lt;="&amp;$I$7,K420:P420)</f>
        <v>0</v>
      </c>
      <c r="T420" s="879"/>
      <c r="U420" s="2"/>
      <c r="V420" s="86"/>
      <c r="W420" s="86"/>
      <c r="X420" s="86"/>
      <c r="Y420" s="86"/>
      <c r="Z420" s="86"/>
      <c r="AA420" s="86"/>
      <c r="AB420" s="706"/>
      <c r="AC420" s="2"/>
      <c r="AD420" s="705">
        <f ca="1">SUMIF($V$7:AB$7,"&lt;="&amp;$I$7,V420:AA420)</f>
        <v>0</v>
      </c>
      <c r="AE420" s="879"/>
      <c r="AF420" s="2"/>
      <c r="AG420" s="86"/>
      <c r="AH420" s="86"/>
      <c r="AI420" s="86"/>
      <c r="AJ420" s="86"/>
      <c r="AK420" s="86"/>
      <c r="AL420" s="86"/>
      <c r="AM420" s="706"/>
      <c r="AN420" s="2"/>
      <c r="AO420" s="705">
        <f ca="1">SUMIF($AG$7:AM$7,"&lt;="&amp;$I$7,AG420:AL420)</f>
        <v>0</v>
      </c>
      <c r="AP420" s="879"/>
      <c r="AQ420" s="2"/>
      <c r="AR420" s="86"/>
      <c r="AS420" s="86"/>
      <c r="AT420" s="86"/>
      <c r="AU420" s="86"/>
      <c r="AV420" s="86"/>
      <c r="AW420" s="86"/>
      <c r="AX420" s="706"/>
      <c r="AY420" s="2"/>
      <c r="AZ420" s="43">
        <f ca="1">SUMIF($AR$7:AX$7,"&lt;="&amp;$I$7,AR420:AW420)</f>
        <v>0</v>
      </c>
      <c r="BA420" s="879"/>
      <c r="BB420" s="2"/>
      <c r="BC420" s="86"/>
      <c r="BD420" s="86"/>
      <c r="BE420" s="86"/>
      <c r="BF420" s="86"/>
      <c r="BG420" s="86"/>
      <c r="BH420" s="86"/>
      <c r="BI420" s="706"/>
      <c r="BJ420" s="2"/>
      <c r="BK420" s="43">
        <f ca="1">SUMIF($BC$7:BI$7,"&lt;="&amp;$I$7,BC420:BH420)</f>
        <v>0</v>
      </c>
      <c r="BL420" s="879"/>
      <c r="BM420" s="2"/>
      <c r="BN420" s="922"/>
      <c r="BO420" s="922"/>
      <c r="BP420" s="885"/>
      <c r="BQ420" s="1050"/>
      <c r="BR420" s="2"/>
      <c r="BS420" s="922"/>
      <c r="BT420" s="922"/>
      <c r="BU420" s="922"/>
      <c r="BV420" s="886"/>
      <c r="BW420" s="1051"/>
      <c r="BX420" s="922"/>
      <c r="BY420" s="1052"/>
      <c r="BZ420" s="2"/>
      <c r="CA420" s="922"/>
      <c r="CB420" s="922"/>
      <c r="CC420" s="2"/>
      <c r="CD420" s="84">
        <f>IFERROR(AVERAGEIF($V$7:AB$7,"&lt;="&amp;$I$7,V420:AB420),0)</f>
        <v>0</v>
      </c>
      <c r="CE420" s="2"/>
      <c r="CH420" s="93" t="str">
        <f t="shared" si="935"/>
        <v>LAJE 2.1 - FORMA</v>
      </c>
    </row>
    <row r="421" spans="1:86" s="16" customFormat="1" ht="20.45" hidden="1" customHeight="1" outlineLevel="1">
      <c r="A421" s="74"/>
      <c r="B421" s="1048" t="s">
        <v>4040</v>
      </c>
      <c r="C421" s="1023" t="s">
        <v>3936</v>
      </c>
      <c r="D421" s="2"/>
      <c r="E421" s="1004">
        <v>0</v>
      </c>
      <c r="F421" s="2"/>
      <c r="G421" s="49" t="s">
        <v>37</v>
      </c>
      <c r="H421" s="705">
        <f t="shared" si="963"/>
        <v>0</v>
      </c>
      <c r="I421" s="878" t="str">
        <f t="shared" ref="I421" si="989">IFERROR((H422/H421),"-")</f>
        <v>-</v>
      </c>
      <c r="J421" s="2"/>
      <c r="K421" s="705"/>
      <c r="L421" s="705"/>
      <c r="M421" s="705"/>
      <c r="N421" s="705"/>
      <c r="O421" s="705"/>
      <c r="P421" s="705"/>
      <c r="Q421" s="705"/>
      <c r="R421" s="2"/>
      <c r="S421" s="705">
        <f ca="1">SUMIF($K$7:Q$7,"&lt;="&amp;$I$7,K421:P421)</f>
        <v>0</v>
      </c>
      <c r="T421" s="878" t="str">
        <f ca="1">IFERROR((S422/S421),"-")</f>
        <v>-</v>
      </c>
      <c r="U421" s="2"/>
      <c r="V421" s="705"/>
      <c r="W421" s="705"/>
      <c r="X421" s="705"/>
      <c r="Y421" s="705"/>
      <c r="Z421" s="705"/>
      <c r="AA421" s="705"/>
      <c r="AB421" s="705"/>
      <c r="AC421" s="2"/>
      <c r="AD421" s="705">
        <f ca="1">SUMIF($V$7:AB$7,"&lt;="&amp;$I$7,V421:AA421)</f>
        <v>0</v>
      </c>
      <c r="AE421" s="878" t="str">
        <f ca="1">IFERROR((AD422/AD421),"-")</f>
        <v>-</v>
      </c>
      <c r="AF421" s="2"/>
      <c r="AG421" s="705"/>
      <c r="AH421" s="705"/>
      <c r="AI421" s="705"/>
      <c r="AJ421" s="705"/>
      <c r="AK421" s="705"/>
      <c r="AL421" s="705"/>
      <c r="AM421" s="705"/>
      <c r="AN421" s="2"/>
      <c r="AO421" s="705">
        <f ca="1">SUMIF($AG$7:AM$7,"&lt;="&amp;$I$7,AG421:AL421)</f>
        <v>0</v>
      </c>
      <c r="AP421" s="878" t="str">
        <f ca="1">IFERROR((AO422/AO421),"-")</f>
        <v>-</v>
      </c>
      <c r="AQ421" s="2"/>
      <c r="AR421" s="705"/>
      <c r="AS421" s="705"/>
      <c r="AT421" s="705"/>
      <c r="AU421" s="705"/>
      <c r="AV421" s="705"/>
      <c r="AW421" s="705"/>
      <c r="AX421" s="705"/>
      <c r="AY421" s="2"/>
      <c r="AZ421" s="43">
        <f ca="1">SUMIF($AR$7:AX$7,"&lt;="&amp;$I$7,AR421:AW421)</f>
        <v>0</v>
      </c>
      <c r="BA421" s="878" t="str">
        <f ca="1">IFERROR((AZ422/AZ421),"-")</f>
        <v>-</v>
      </c>
      <c r="BB421" s="2"/>
      <c r="BC421" s="705"/>
      <c r="BD421" s="705"/>
      <c r="BE421" s="705"/>
      <c r="BF421" s="705"/>
      <c r="BG421" s="705"/>
      <c r="BH421" s="705"/>
      <c r="BI421" s="705"/>
      <c r="BJ421" s="2"/>
      <c r="BK421" s="43">
        <f ca="1">SUMIF($BC$7:BI$7,"&lt;="&amp;$I$7,BC421:BH421)</f>
        <v>0</v>
      </c>
      <c r="BL421" s="878" t="str">
        <f ca="1">IFERROR((BK422/BK421),"-")</f>
        <v>-</v>
      </c>
      <c r="BM421" s="2"/>
      <c r="BN421" s="921">
        <v>0</v>
      </c>
      <c r="BO421" s="921">
        <v>0</v>
      </c>
      <c r="BP421" s="884">
        <f>SUM(M422:P422,V422:AB422,AG422:AM422,AR422:AX422,BC422:BH422)</f>
        <v>0</v>
      </c>
      <c r="BQ421" s="878" t="str">
        <f t="shared" ref="BQ421" si="990">IFERROR((BP421/BO421),"-")</f>
        <v>-</v>
      </c>
      <c r="BR421" s="2"/>
      <c r="BS421" s="884"/>
      <c r="BT421" s="884"/>
      <c r="BU421" s="884">
        <v>0</v>
      </c>
      <c r="BV421" s="884">
        <v>106</v>
      </c>
      <c r="BW421" s="1004">
        <f>IFERROR((BU421/BV421),"-")</f>
        <v>0</v>
      </c>
      <c r="BX421" s="884">
        <v>0</v>
      </c>
      <c r="BY421" s="878" t="str">
        <f>IFERROR((BU421/BX421),"-")</f>
        <v>-</v>
      </c>
      <c r="BZ421" s="2"/>
      <c r="CA421" s="884">
        <v>0</v>
      </c>
      <c r="CB421" s="884">
        <v>0</v>
      </c>
      <c r="CC421" s="2"/>
      <c r="CD421" s="504">
        <f>IFERROR(AVERAGEIF($V$7:AB$7,"&lt;="&amp;$I$7,V421:AB421),0)</f>
        <v>0</v>
      </c>
      <c r="CE421" s="2"/>
      <c r="CH421" s="93" t="str">
        <f t="shared" si="935"/>
        <v>LAJE 2.1 - ARMAÇÃO</v>
      </c>
    </row>
    <row r="422" spans="1:86" s="16" customFormat="1" ht="15.95" hidden="1" customHeight="1" outlineLevel="1">
      <c r="A422" s="74"/>
      <c r="B422" s="1049"/>
      <c r="C422" s="1023"/>
      <c r="D422" s="2"/>
      <c r="E422" s="1005"/>
      <c r="F422" s="2"/>
      <c r="G422" s="50" t="s">
        <v>38</v>
      </c>
      <c r="H422" s="705">
        <f t="shared" si="963"/>
        <v>0</v>
      </c>
      <c r="I422" s="879"/>
      <c r="J422" s="2"/>
      <c r="K422" s="85"/>
      <c r="L422" s="85"/>
      <c r="M422" s="85"/>
      <c r="N422" s="85"/>
      <c r="O422" s="85"/>
      <c r="P422" s="85"/>
      <c r="Q422" s="706"/>
      <c r="R422" s="2"/>
      <c r="S422" s="705">
        <f ca="1">SUMIF($K$7:Q$7,"&lt;="&amp;$I$7,K422:P422)</f>
        <v>0</v>
      </c>
      <c r="T422" s="879"/>
      <c r="U422" s="2"/>
      <c r="V422" s="86"/>
      <c r="W422" s="86"/>
      <c r="X422" s="86"/>
      <c r="Y422" s="86"/>
      <c r="Z422" s="86"/>
      <c r="AA422" s="86"/>
      <c r="AB422" s="86"/>
      <c r="AC422" s="2"/>
      <c r="AD422" s="705">
        <f ca="1">SUMIF($V$7:AB$7,"&lt;="&amp;$I$7,V422:AA422)</f>
        <v>0</v>
      </c>
      <c r="AE422" s="879"/>
      <c r="AF422" s="2"/>
      <c r="AG422" s="86"/>
      <c r="AH422" s="86"/>
      <c r="AI422" s="86"/>
      <c r="AJ422" s="86"/>
      <c r="AK422" s="86"/>
      <c r="AL422" s="86"/>
      <c r="AM422" s="706"/>
      <c r="AN422" s="2"/>
      <c r="AO422" s="705">
        <f ca="1">SUMIF($AG$7:AM$7,"&lt;="&amp;$I$7,AG422:AL422)</f>
        <v>0</v>
      </c>
      <c r="AP422" s="879"/>
      <c r="AQ422" s="2"/>
      <c r="AR422" s="86"/>
      <c r="AS422" s="86"/>
      <c r="AT422" s="86"/>
      <c r="AU422" s="86"/>
      <c r="AV422" s="86"/>
      <c r="AW422" s="86"/>
      <c r="AX422" s="706"/>
      <c r="AY422" s="2"/>
      <c r="AZ422" s="43">
        <f ca="1">SUMIF($AR$7:AX$7,"&lt;="&amp;$I$7,AR422:AW422)</f>
        <v>0</v>
      </c>
      <c r="BA422" s="879"/>
      <c r="BB422" s="2"/>
      <c r="BC422" s="86"/>
      <c r="BD422" s="86"/>
      <c r="BE422" s="86"/>
      <c r="BF422" s="86"/>
      <c r="BG422" s="86"/>
      <c r="BH422" s="86"/>
      <c r="BI422" s="706"/>
      <c r="BJ422" s="2"/>
      <c r="BK422" s="43">
        <f ca="1">SUMIF($BC$7:BI$7,"&lt;="&amp;$I$7,BC422:BH422)</f>
        <v>0</v>
      </c>
      <c r="BL422" s="879"/>
      <c r="BM422" s="2"/>
      <c r="BN422" s="922"/>
      <c r="BO422" s="922"/>
      <c r="BP422" s="885"/>
      <c r="BQ422" s="1050"/>
      <c r="BR422" s="2"/>
      <c r="BS422" s="886"/>
      <c r="BT422" s="886"/>
      <c r="BU422" s="886"/>
      <c r="BV422" s="886"/>
      <c r="BW422" s="1051"/>
      <c r="BX422" s="886"/>
      <c r="BY422" s="1053"/>
      <c r="BZ422" s="2"/>
      <c r="CA422" s="886"/>
      <c r="CB422" s="886"/>
      <c r="CC422" s="2"/>
      <c r="CD422" s="504">
        <f>IFERROR(AVERAGEIF($V$7:AB$7,"&lt;="&amp;$I$7,V422:AB422),0)</f>
        <v>0</v>
      </c>
      <c r="CE422" s="2"/>
      <c r="CH422" s="93" t="str">
        <f t="shared" si="935"/>
        <v>LAJE 2.1 - ARMAÇÃO</v>
      </c>
    </row>
    <row r="423" spans="1:86" s="16" customFormat="1" ht="20.45" hidden="1" customHeight="1" outlineLevel="1">
      <c r="A423" s="74"/>
      <c r="B423" s="1048" t="s">
        <v>4041</v>
      </c>
      <c r="C423" s="1023" t="s">
        <v>36</v>
      </c>
      <c r="D423" s="2"/>
      <c r="E423" s="1004">
        <v>5</v>
      </c>
      <c r="F423" s="2"/>
      <c r="G423" s="49" t="s">
        <v>37</v>
      </c>
      <c r="H423" s="705">
        <f t="shared" si="963"/>
        <v>3</v>
      </c>
      <c r="I423" s="878">
        <f t="shared" ref="I423" si="991">IFERROR((H424/H423),"-")</f>
        <v>0.33333333333333331</v>
      </c>
      <c r="J423" s="2"/>
      <c r="K423" s="705"/>
      <c r="L423" s="705">
        <v>3</v>
      </c>
      <c r="M423" s="705"/>
      <c r="N423" s="705">
        <v>3</v>
      </c>
      <c r="O423" s="705"/>
      <c r="P423" s="705">
        <v>3</v>
      </c>
      <c r="Q423" s="705"/>
      <c r="R423" s="2"/>
      <c r="S423" s="705">
        <f ca="1">SUMIF($K$7:Q$7,"&lt;="&amp;$I$7,K423:P423)</f>
        <v>9</v>
      </c>
      <c r="T423" s="878">
        <f ca="1">IFERROR((S424/S423),"-")</f>
        <v>0.33333333333333331</v>
      </c>
      <c r="U423" s="2"/>
      <c r="V423" s="705"/>
      <c r="W423" s="705">
        <v>3</v>
      </c>
      <c r="X423" s="705"/>
      <c r="Y423" s="705">
        <v>3</v>
      </c>
      <c r="Z423" s="705"/>
      <c r="AA423" s="705">
        <v>3</v>
      </c>
      <c r="AB423" s="705"/>
      <c r="AC423" s="2"/>
      <c r="AD423" s="705">
        <f ca="1">SUMIF($V$7:AB$7,"&lt;="&amp;$I$7,V423:AA423)</f>
        <v>9</v>
      </c>
      <c r="AE423" s="878">
        <f ca="1">IFERROR((AD424/AD423),"-")</f>
        <v>0.44444444444444442</v>
      </c>
      <c r="AF423" s="2"/>
      <c r="AG423" s="705"/>
      <c r="AH423" s="705">
        <v>3</v>
      </c>
      <c r="AI423" s="705"/>
      <c r="AJ423" s="705">
        <v>3</v>
      </c>
      <c r="AK423" s="705"/>
      <c r="AL423" s="705">
        <v>3</v>
      </c>
      <c r="AM423" s="705"/>
      <c r="AN423" s="2"/>
      <c r="AO423" s="705">
        <f ca="1">SUMIF($AG$7:AM$7,"&lt;="&amp;$I$7,AG423:AL423)</f>
        <v>3</v>
      </c>
      <c r="AP423" s="878">
        <f ca="1">IFERROR((AO424/AO423),"-")</f>
        <v>0.33333333333333331</v>
      </c>
      <c r="AQ423" s="2"/>
      <c r="AR423" s="705"/>
      <c r="AS423" s="705"/>
      <c r="AT423" s="705"/>
      <c r="AU423" s="705"/>
      <c r="AV423" s="705"/>
      <c r="AW423" s="705"/>
      <c r="AX423" s="705"/>
      <c r="AY423" s="2"/>
      <c r="AZ423" s="504">
        <f ca="1">SUMIF($AR$7:AX$7,"&lt;="&amp;$I$7,AR423:AW423)</f>
        <v>0</v>
      </c>
      <c r="BA423" s="878" t="str">
        <f ca="1">IFERROR((AZ424/AZ423),"-")</f>
        <v>-</v>
      </c>
      <c r="BB423" s="2"/>
      <c r="BC423" s="705"/>
      <c r="BD423" s="705"/>
      <c r="BE423" s="705"/>
      <c r="BF423" s="705"/>
      <c r="BG423" s="705"/>
      <c r="BH423" s="705"/>
      <c r="BI423" s="705"/>
      <c r="BJ423" s="2"/>
      <c r="BK423" s="43">
        <f ca="1">SUMIF($BC$7:BI$7,"&lt;="&amp;$I$7,BC423:BH423)</f>
        <v>0</v>
      </c>
      <c r="BL423" s="878" t="str">
        <f ca="1">IFERROR((BK424/BK423),"-")</f>
        <v>-</v>
      </c>
      <c r="BM423" s="2"/>
      <c r="BN423" s="921">
        <v>21</v>
      </c>
      <c r="BO423" s="921">
        <v>21</v>
      </c>
      <c r="BP423" s="884">
        <f>SUM(M424:P424,V424:AB424,AG424:AM424,AR424:AX424,BC424:BH424)</f>
        <v>8</v>
      </c>
      <c r="BQ423" s="878">
        <f t="shared" ref="BQ423" si="992">IFERROR((BP423/BO423),"-")</f>
        <v>0.38095238095238093</v>
      </c>
      <c r="BR423" s="2"/>
      <c r="BS423" s="884"/>
      <c r="BT423" s="884"/>
      <c r="BU423" s="884">
        <f>BP423+E423</f>
        <v>13</v>
      </c>
      <c r="BV423" s="884">
        <v>106</v>
      </c>
      <c r="BW423" s="1004">
        <f>IFERROR((BU423/BV423),"-")</f>
        <v>0.12264150943396226</v>
      </c>
      <c r="BX423" s="884">
        <v>21</v>
      </c>
      <c r="BY423" s="878">
        <f>IFERROR((BU423/BX423),"-")</f>
        <v>0.61904761904761907</v>
      </c>
      <c r="BZ423" s="2"/>
      <c r="CA423" s="884">
        <v>21</v>
      </c>
      <c r="CB423" s="884">
        <f>CA423-BP423</f>
        <v>13</v>
      </c>
      <c r="CC423" s="2"/>
      <c r="CD423" s="504">
        <f>IFERROR(AVERAGEIF($V$7:AB$7,"&lt;="&amp;$I$7,V423:AB423),0)</f>
        <v>3</v>
      </c>
      <c r="CE423" s="2"/>
      <c r="CH423" s="93" t="str">
        <f t="shared" si="935"/>
        <v xml:space="preserve">LAJE 2.1 - CONCRETAGEM </v>
      </c>
    </row>
    <row r="424" spans="1:86" s="16" customFormat="1" ht="15.95" hidden="1" customHeight="1" outlineLevel="1">
      <c r="A424" s="74"/>
      <c r="B424" s="1049"/>
      <c r="C424" s="1023"/>
      <c r="D424" s="2"/>
      <c r="E424" s="1005"/>
      <c r="F424" s="2"/>
      <c r="G424" s="50" t="s">
        <v>38</v>
      </c>
      <c r="H424" s="705">
        <f t="shared" si="963"/>
        <v>1</v>
      </c>
      <c r="I424" s="879"/>
      <c r="J424" s="2"/>
      <c r="K424" s="86"/>
      <c r="L424" s="86"/>
      <c r="M424" s="86"/>
      <c r="N424" s="86">
        <v>1</v>
      </c>
      <c r="O424" s="86">
        <v>1</v>
      </c>
      <c r="P424" s="86">
        <v>1</v>
      </c>
      <c r="Q424" s="706"/>
      <c r="R424" s="2"/>
      <c r="S424" s="705">
        <f ca="1">SUMIF($K$7:Q$7,"&lt;="&amp;$I$7,K424:P424)</f>
        <v>3</v>
      </c>
      <c r="T424" s="879"/>
      <c r="U424" s="2"/>
      <c r="V424" s="86">
        <v>1</v>
      </c>
      <c r="W424" s="86"/>
      <c r="X424" s="86">
        <v>1</v>
      </c>
      <c r="Y424" s="86"/>
      <c r="Z424" s="86">
        <v>2</v>
      </c>
      <c r="AA424" s="86"/>
      <c r="AB424" s="86"/>
      <c r="AC424" s="2"/>
      <c r="AD424" s="705">
        <f ca="1">SUMIF($V$7:AB$7,"&lt;="&amp;$I$7,V424:AA424)</f>
        <v>4</v>
      </c>
      <c r="AE424" s="879"/>
      <c r="AF424" s="2"/>
      <c r="AG424" s="86"/>
      <c r="AH424" s="86">
        <v>1</v>
      </c>
      <c r="AI424" s="86"/>
      <c r="AJ424" s="86"/>
      <c r="AK424" s="86"/>
      <c r="AL424" s="86"/>
      <c r="AM424" s="706"/>
      <c r="AN424" s="2"/>
      <c r="AO424" s="705">
        <f ca="1">SUMIF($AG$7:AM$7,"&lt;="&amp;$I$7,AG424:AL424)</f>
        <v>1</v>
      </c>
      <c r="AP424" s="879"/>
      <c r="AQ424" s="2"/>
      <c r="AR424" s="86"/>
      <c r="AS424" s="86"/>
      <c r="AT424" s="86"/>
      <c r="AU424" s="86"/>
      <c r="AV424" s="86"/>
      <c r="AW424" s="86"/>
      <c r="AX424" s="706"/>
      <c r="AY424" s="2"/>
      <c r="AZ424" s="504">
        <f ca="1">SUMIF($AR$7:AX$7,"&lt;="&amp;$I$7,AR424:AW424)</f>
        <v>0</v>
      </c>
      <c r="BA424" s="879"/>
      <c r="BB424" s="2"/>
      <c r="BC424" s="86"/>
      <c r="BD424" s="86"/>
      <c r="BE424" s="86"/>
      <c r="BF424" s="86"/>
      <c r="BG424" s="86"/>
      <c r="BH424" s="86"/>
      <c r="BI424" s="706"/>
      <c r="BJ424" s="2"/>
      <c r="BK424" s="43">
        <f ca="1">SUMIF($BC$7:BI$7,"&lt;="&amp;$I$7,BC424:BH424)</f>
        <v>0</v>
      </c>
      <c r="BL424" s="879"/>
      <c r="BM424" s="2"/>
      <c r="BN424" s="922"/>
      <c r="BO424" s="922"/>
      <c r="BP424" s="885"/>
      <c r="BQ424" s="1050"/>
      <c r="BR424" s="2"/>
      <c r="BS424" s="922"/>
      <c r="BT424" s="922"/>
      <c r="BU424" s="922"/>
      <c r="BV424" s="886"/>
      <c r="BW424" s="1051"/>
      <c r="BX424" s="922"/>
      <c r="BY424" s="1052"/>
      <c r="BZ424" s="2"/>
      <c r="CA424" s="922"/>
      <c r="CB424" s="922"/>
      <c r="CC424" s="2"/>
      <c r="CD424" s="504">
        <f>IFERROR(AVERAGEIF($V$7:AB$7,"&lt;="&amp;$I$7,V424:AB424),0)</f>
        <v>1.3333333333333333</v>
      </c>
      <c r="CE424" s="2"/>
      <c r="CH424" s="93" t="str">
        <f t="shared" si="935"/>
        <v xml:space="preserve">LAJE 2.1 - CONCRETAGEM </v>
      </c>
    </row>
    <row r="425" spans="1:86" s="16" customFormat="1" ht="20.45" customHeight="1" collapsed="1">
      <c r="A425" s="74"/>
      <c r="B425" s="1045" t="s">
        <v>4042</v>
      </c>
      <c r="C425" s="740" t="s">
        <v>3936</v>
      </c>
      <c r="D425" s="2"/>
      <c r="E425" s="1019"/>
      <c r="F425" s="2"/>
      <c r="G425" s="53" t="s">
        <v>37</v>
      </c>
      <c r="H425" s="52">
        <f t="shared" si="963"/>
        <v>0</v>
      </c>
      <c r="I425" s="743" t="str">
        <f t="shared" ref="I425" si="993">IFERROR((H426/H425),"-")</f>
        <v>-</v>
      </c>
      <c r="J425" s="2"/>
      <c r="K425" s="52"/>
      <c r="L425" s="52"/>
      <c r="M425" s="52"/>
      <c r="N425" s="52"/>
      <c r="O425" s="52"/>
      <c r="P425" s="52"/>
      <c r="Q425" s="52"/>
      <c r="R425" s="2"/>
      <c r="S425" s="52">
        <f ca="1">SUMIF($K$7:Q$7,"&lt;="&amp;$I$7,K425:P425)</f>
        <v>0</v>
      </c>
      <c r="T425" s="743" t="str">
        <f ca="1">IFERROR((S426/S425),"-")</f>
        <v>-</v>
      </c>
      <c r="U425" s="2"/>
      <c r="V425" s="52"/>
      <c r="W425" s="52"/>
      <c r="X425" s="52"/>
      <c r="Y425" s="52"/>
      <c r="Z425" s="52"/>
      <c r="AA425" s="52"/>
      <c r="AB425" s="52"/>
      <c r="AC425" s="2"/>
      <c r="AD425" s="52">
        <f>SUMIF($V$7:AB$7,"&lt;="&amp;$I$7,V425:AB425)</f>
        <v>0</v>
      </c>
      <c r="AE425" s="743" t="str">
        <f>IFERROR((AD426/AD425),"-")</f>
        <v>-</v>
      </c>
      <c r="AF425" s="2"/>
      <c r="AG425" s="52"/>
      <c r="AH425" s="52"/>
      <c r="AI425" s="52"/>
      <c r="AJ425" s="52">
        <v>2</v>
      </c>
      <c r="AK425" s="52">
        <v>2</v>
      </c>
      <c r="AL425" s="52"/>
      <c r="AM425" s="52"/>
      <c r="AN425" s="2"/>
      <c r="AO425" s="52">
        <f ca="1">SUMIF($AG$7:AM$7,"&lt;="&amp;$I$7,AG425:AL425)</f>
        <v>0</v>
      </c>
      <c r="AP425" s="743" t="str">
        <f ca="1">IFERROR((AO426/AO425),"-")</f>
        <v>-</v>
      </c>
      <c r="AQ425" s="2"/>
      <c r="AR425" s="52"/>
      <c r="AS425" s="52"/>
      <c r="AT425" s="52"/>
      <c r="AU425" s="52"/>
      <c r="AV425" s="52"/>
      <c r="AW425" s="52"/>
      <c r="AX425" s="52"/>
      <c r="AY425" s="2"/>
      <c r="AZ425" s="52">
        <f ca="1">SUMIF($AR$7:AX$7,"&lt;="&amp;$I$7,AR425:AW425)</f>
        <v>0</v>
      </c>
      <c r="BA425" s="743" t="str">
        <f ca="1">IFERROR((AZ426/AZ425),"-")</f>
        <v>-</v>
      </c>
      <c r="BB425" s="2"/>
      <c r="BC425" s="52"/>
      <c r="BD425" s="52"/>
      <c r="BE425" s="52"/>
      <c r="BF425" s="52"/>
      <c r="BG425" s="52"/>
      <c r="BH425" s="52"/>
      <c r="BI425" s="52"/>
      <c r="BJ425" s="2"/>
      <c r="BK425" s="52">
        <f ca="1">SUMIF($BC$7:BI$7,"&lt;="&amp;$I$7,BC425:BH425)</f>
        <v>0</v>
      </c>
      <c r="BL425" s="743" t="str">
        <f ca="1">IFERROR((BK426/BK425),"-")</f>
        <v>-</v>
      </c>
      <c r="BM425" s="2"/>
      <c r="BN425" s="1018">
        <v>6</v>
      </c>
      <c r="BO425" s="1018">
        <v>0</v>
      </c>
      <c r="BP425" s="888">
        <f>SUM(M426:P426,V426:AB426,AG426:AM426,AR426:AX426,BC426:BH426)</f>
        <v>0</v>
      </c>
      <c r="BQ425" s="743" t="str">
        <f t="shared" ref="BQ425" si="994">IFERROR((BP425/BO425),"-")</f>
        <v>-</v>
      </c>
      <c r="BR425" s="2"/>
      <c r="BS425" s="888"/>
      <c r="BT425" s="888"/>
      <c r="BU425" s="888">
        <f ca="1">E425+S426+AD426+AZ426+AO426+BK426</f>
        <v>0</v>
      </c>
      <c r="BV425" s="884">
        <v>106</v>
      </c>
      <c r="BW425" s="1004">
        <f ca="1">IFERROR((BU425/BV425),"-")</f>
        <v>0</v>
      </c>
      <c r="BX425" s="888">
        <v>6</v>
      </c>
      <c r="BY425" s="743">
        <f ca="1">IFERROR((BU425/BX425),"-")</f>
        <v>0</v>
      </c>
      <c r="BZ425" s="2"/>
      <c r="CA425" s="888">
        <v>6</v>
      </c>
      <c r="CB425" s="888">
        <f ca="1">CA425-BU425</f>
        <v>6</v>
      </c>
      <c r="CC425" s="2"/>
      <c r="CD425" s="84">
        <f>IFERROR(AVERAGEIF($V$7:AB$7,"&lt;="&amp;$I$7,V425:AB425),0)</f>
        <v>0</v>
      </c>
      <c r="CE425" s="2"/>
      <c r="CH425" s="93" t="str">
        <f t="shared" si="935"/>
        <v xml:space="preserve">VIGAS METÁLICAS </v>
      </c>
    </row>
    <row r="426" spans="1:86" s="16" customFormat="1" ht="15.95" customHeight="1">
      <c r="A426" s="74"/>
      <c r="B426" s="1045"/>
      <c r="C426" s="740"/>
      <c r="D426" s="2"/>
      <c r="E426" s="1020"/>
      <c r="F426" s="2"/>
      <c r="G426" s="54" t="s">
        <v>38</v>
      </c>
      <c r="H426" s="52">
        <f t="shared" si="963"/>
        <v>0</v>
      </c>
      <c r="I426" s="744"/>
      <c r="J426" s="2"/>
      <c r="K426" s="82"/>
      <c r="L426" s="82"/>
      <c r="M426" s="82"/>
      <c r="N426" s="82"/>
      <c r="O426" s="82"/>
      <c r="P426" s="82"/>
      <c r="Q426" s="52"/>
      <c r="R426" s="2"/>
      <c r="S426" s="52">
        <f ca="1">SUMIF($K$7:Q$7,"&lt;="&amp;$I$7,K426:P426)</f>
        <v>0</v>
      </c>
      <c r="T426" s="744"/>
      <c r="U426" s="2"/>
      <c r="V426" s="82"/>
      <c r="W426" s="82"/>
      <c r="X426" s="82"/>
      <c r="Y426" s="82"/>
      <c r="Z426" s="82"/>
      <c r="AA426" s="82"/>
      <c r="AB426" s="52"/>
      <c r="AC426" s="2"/>
      <c r="AD426" s="52">
        <f>SUMIF($V$7:AB$7,"&lt;="&amp;$I$7,V426:AB426)</f>
        <v>0</v>
      </c>
      <c r="AE426" s="744"/>
      <c r="AF426" s="2"/>
      <c r="AG426" s="82"/>
      <c r="AH426" s="82"/>
      <c r="AI426" s="82"/>
      <c r="AJ426" s="82"/>
      <c r="AK426" s="82"/>
      <c r="AL426" s="82"/>
      <c r="AM426" s="52"/>
      <c r="AN426" s="2"/>
      <c r="AO426" s="52">
        <f ca="1">SUMIF($AG$7:AM$7,"&lt;="&amp;$I$7,AG426:AL426)</f>
        <v>0</v>
      </c>
      <c r="AP426" s="744"/>
      <c r="AQ426" s="2"/>
      <c r="AR426" s="82"/>
      <c r="AS426" s="82"/>
      <c r="AT426" s="82"/>
      <c r="AU426" s="82"/>
      <c r="AV426" s="82"/>
      <c r="AW426" s="82"/>
      <c r="AX426" s="52"/>
      <c r="AY426" s="2"/>
      <c r="AZ426" s="52">
        <f ca="1">SUMIF($AR$7:AX$7,"&lt;="&amp;$I$7,AR426:AW426)</f>
        <v>0</v>
      </c>
      <c r="BA426" s="744"/>
      <c r="BB426" s="2"/>
      <c r="BC426" s="82"/>
      <c r="BD426" s="82"/>
      <c r="BE426" s="82"/>
      <c r="BF426" s="82"/>
      <c r="BG426" s="82"/>
      <c r="BH426" s="82"/>
      <c r="BI426" s="52"/>
      <c r="BJ426" s="2"/>
      <c r="BK426" s="52">
        <f ca="1">SUMIF($BC$7:BI$7,"&lt;="&amp;$I$7,BC426:BH426)</f>
        <v>0</v>
      </c>
      <c r="BL426" s="744"/>
      <c r="BM426" s="2"/>
      <c r="BN426" s="1018"/>
      <c r="BO426" s="1018"/>
      <c r="BP426" s="1018"/>
      <c r="BQ426" s="744"/>
      <c r="BR426" s="2"/>
      <c r="BS426" s="888"/>
      <c r="BT426" s="888"/>
      <c r="BU426" s="1018"/>
      <c r="BV426" s="886"/>
      <c r="BW426" s="1051"/>
      <c r="BX426" s="1018"/>
      <c r="BY426" s="1057"/>
      <c r="BZ426" s="2"/>
      <c r="CA426" s="1018"/>
      <c r="CB426" s="1018"/>
      <c r="CC426" s="2"/>
      <c r="CD426" s="84">
        <f>IFERROR(AVERAGEIF($V$7:AB$7,"&lt;="&amp;$I$7,V426:AB426),0)</f>
        <v>0</v>
      </c>
      <c r="CE426" s="2"/>
      <c r="CH426" s="93" t="str">
        <f t="shared" si="935"/>
        <v xml:space="preserve">VIGAS METÁLICAS </v>
      </c>
    </row>
    <row r="427" spans="1:86" s="16" customFormat="1" ht="20.45" customHeight="1">
      <c r="A427" s="69"/>
      <c r="B427" s="2"/>
      <c r="C427" s="3"/>
      <c r="D427" s="3"/>
      <c r="E427" s="3"/>
      <c r="F427" s="3"/>
      <c r="G427" s="3"/>
      <c r="H427" s="35"/>
      <c r="I427" s="3"/>
      <c r="J427" s="3"/>
      <c r="K427" s="5"/>
      <c r="L427" s="5"/>
      <c r="M427" s="5"/>
      <c r="N427" s="5"/>
      <c r="O427" s="5"/>
      <c r="P427" s="5"/>
      <c r="Q427" s="5"/>
      <c r="R427" s="5"/>
      <c r="S427" s="37"/>
      <c r="T427" s="3"/>
      <c r="U427" s="3"/>
      <c r="V427" s="5"/>
      <c r="W427" s="5"/>
      <c r="X427" s="5"/>
      <c r="Y427" s="5"/>
      <c r="Z427" s="5"/>
      <c r="AA427" s="5"/>
      <c r="AB427" s="5"/>
      <c r="AC427" s="5"/>
      <c r="AD427" s="37"/>
      <c r="AE427" s="3"/>
      <c r="AF427" s="3"/>
      <c r="AG427" s="5"/>
      <c r="AH427" s="5"/>
      <c r="AI427" s="5"/>
      <c r="AJ427" s="5"/>
      <c r="AK427" s="5"/>
      <c r="AL427" s="5"/>
      <c r="AM427" s="5"/>
      <c r="AN427" s="5"/>
      <c r="AO427" s="37"/>
      <c r="AP427" s="3"/>
      <c r="AQ427" s="3"/>
      <c r="AR427" s="5"/>
      <c r="AS427" s="5"/>
      <c r="AT427" s="5"/>
      <c r="AU427" s="5"/>
      <c r="AV427" s="5"/>
      <c r="AW427" s="5"/>
      <c r="AX427" s="5"/>
      <c r="AY427" s="5"/>
      <c r="AZ427" s="37"/>
      <c r="BA427" s="3"/>
      <c r="BB427" s="3"/>
      <c r="BC427" s="5"/>
      <c r="BD427" s="5"/>
      <c r="BE427" s="5"/>
      <c r="BF427" s="5"/>
      <c r="BG427" s="5"/>
      <c r="BH427" s="5"/>
      <c r="BI427" s="5"/>
      <c r="BJ427" s="5"/>
      <c r="BK427" s="37"/>
      <c r="BL427" s="3"/>
      <c r="BM427" s="3"/>
      <c r="BN427" s="3"/>
      <c r="BO427" s="3"/>
      <c r="BP427" s="3"/>
      <c r="BQ427" s="3"/>
      <c r="BR427" s="3"/>
      <c r="BS427" s="3"/>
      <c r="BT427" s="3"/>
      <c r="BU427" s="3"/>
      <c r="BV427" s="3"/>
      <c r="BW427" s="3"/>
      <c r="BX427" s="3"/>
      <c r="BY427" s="3"/>
      <c r="BZ427" s="3"/>
      <c r="CA427" s="3"/>
      <c r="CB427" s="3"/>
      <c r="CC427" s="2"/>
      <c r="CD427" s="504">
        <f>IFERROR(AVERAGEIF($V$7:AB$7,"&lt;="&amp;$I$7,V427:AB427),0)</f>
        <v>0</v>
      </c>
      <c r="CE427" s="2"/>
      <c r="CH427" s="93" t="str">
        <f t="shared" si="935"/>
        <v xml:space="preserve">VIGAS METÁLICAS </v>
      </c>
    </row>
    <row r="428" spans="1:86" s="16" customFormat="1" ht="15.95" customHeight="1">
      <c r="A428" s="73"/>
      <c r="B428" s="739" t="s">
        <v>4043</v>
      </c>
      <c r="C428" s="740" t="s">
        <v>3936</v>
      </c>
      <c r="D428" s="2"/>
      <c r="E428" s="1019">
        <v>0</v>
      </c>
      <c r="F428" s="2"/>
      <c r="G428" s="53" t="s">
        <v>37</v>
      </c>
      <c r="H428" s="52">
        <f t="shared" ref="H428:H433" si="995">SUMIF($K$7:$BI$7,$I$7,K428:BI428)</f>
        <v>0</v>
      </c>
      <c r="I428" s="743" t="str">
        <f>IFERROR((H429/H428),"-")</f>
        <v>-</v>
      </c>
      <c r="J428" s="2"/>
      <c r="K428" s="52"/>
      <c r="L428" s="52"/>
      <c r="M428" s="52"/>
      <c r="N428" s="52"/>
      <c r="O428" s="52"/>
      <c r="P428" s="52"/>
      <c r="Q428" s="52"/>
      <c r="R428" s="2"/>
      <c r="S428" s="52">
        <f ca="1">SUMIF($K$7:Q$7,"&lt;="&amp;$I$7,K428:P428)</f>
        <v>0</v>
      </c>
      <c r="T428" s="743" t="str">
        <f ca="1">IFERROR((S429/S428),"-")</f>
        <v>-</v>
      </c>
      <c r="U428" s="2"/>
      <c r="V428" s="52"/>
      <c r="W428" s="52"/>
      <c r="X428" s="52"/>
      <c r="Y428" s="52"/>
      <c r="Z428" s="52"/>
      <c r="AA428" s="52"/>
      <c r="AB428" s="52">
        <f>AB430+AB444+AB448</f>
        <v>0</v>
      </c>
      <c r="AC428" s="2"/>
      <c r="AD428" s="52">
        <f>SUMIF($V$7:AB$7,"&lt;="&amp;$I$7,V428:AB428)</f>
        <v>0</v>
      </c>
      <c r="AE428" s="743" t="str">
        <f>IFERROR((AD429/AD428),"-")</f>
        <v>-</v>
      </c>
      <c r="AF428" s="2"/>
      <c r="AG428" s="52"/>
      <c r="AH428" s="52"/>
      <c r="AI428" s="52"/>
      <c r="AJ428" s="52"/>
      <c r="AK428" s="52"/>
      <c r="AL428" s="52"/>
      <c r="AM428" s="52">
        <f>AM430+AM444+AM448</f>
        <v>0</v>
      </c>
      <c r="AN428" s="2"/>
      <c r="AO428" s="52">
        <f ca="1">SUMIF($AG$7:AM$7,"&lt;="&amp;$I$7,AG428:AL428)</f>
        <v>0</v>
      </c>
      <c r="AP428" s="743" t="str">
        <f ca="1">IFERROR((AO429/AO428),"-")</f>
        <v>-</v>
      </c>
      <c r="AQ428" s="2"/>
      <c r="AR428" s="52"/>
      <c r="AS428" s="52"/>
      <c r="AT428" s="52"/>
      <c r="AU428" s="52"/>
      <c r="AV428" s="52"/>
      <c r="AW428" s="52"/>
      <c r="AX428" s="52">
        <f>AX430+AX444+AX448</f>
        <v>0</v>
      </c>
      <c r="AY428" s="2"/>
      <c r="AZ428" s="52">
        <f ca="1">SUMIF($AR$7:AX$7,"&lt;="&amp;$I$7,AR428:AW428)</f>
        <v>0</v>
      </c>
      <c r="BA428" s="743" t="str">
        <f ca="1">IFERROR((AZ429/AZ428),"-")</f>
        <v>-</v>
      </c>
      <c r="BB428" s="2"/>
      <c r="BC428" s="52"/>
      <c r="BD428" s="52"/>
      <c r="BE428" s="52"/>
      <c r="BF428" s="52"/>
      <c r="BG428" s="52"/>
      <c r="BH428" s="52"/>
      <c r="BI428" s="52"/>
      <c r="BJ428" s="2"/>
      <c r="BK428" s="52">
        <f ca="1">SUMIF($BC$7:BI$7,"&lt;="&amp;$I$7,BC428:BH428)</f>
        <v>0</v>
      </c>
      <c r="BL428" s="743" t="str">
        <f ca="1">IFERROR((BK429/BK428),"-")</f>
        <v>-</v>
      </c>
      <c r="BM428" s="2"/>
      <c r="BN428" s="888">
        <v>0</v>
      </c>
      <c r="BO428" s="888">
        <v>0</v>
      </c>
      <c r="BP428" s="888">
        <v>0</v>
      </c>
      <c r="BQ428" s="743" t="str">
        <f>IFERROR((BP428/BO428),"-")</f>
        <v>-</v>
      </c>
      <c r="BR428" s="2"/>
      <c r="BS428" s="888">
        <v>0</v>
      </c>
      <c r="BT428" s="888"/>
      <c r="BU428" s="888">
        <v>0</v>
      </c>
      <c r="BV428" s="888">
        <v>210</v>
      </c>
      <c r="BW428" s="1019">
        <f>IFERROR((BU428/BV428),"-")</f>
        <v>0</v>
      </c>
      <c r="BX428" s="888">
        <v>0</v>
      </c>
      <c r="BY428" s="743" t="str">
        <f>IFERROR((BU428/BX428),"-")</f>
        <v>-</v>
      </c>
      <c r="BZ428" s="2"/>
      <c r="CA428" s="888">
        <v>100</v>
      </c>
      <c r="CB428" s="888">
        <v>0</v>
      </c>
      <c r="CC428" s="2"/>
      <c r="CD428" s="504">
        <f>IFERROR(AVERAGEIF($V$7:AB$7,"&lt;="&amp;$I$7,V428:AB428),0)</f>
        <v>0</v>
      </c>
      <c r="CE428" s="2"/>
      <c r="CH428" s="93" t="str">
        <f t="shared" si="935"/>
        <v>OAE - Ponte sobre o Rio Peixe III</v>
      </c>
    </row>
    <row r="429" spans="1:86" s="16" customFormat="1" ht="20.45" customHeight="1">
      <c r="A429" s="74"/>
      <c r="B429" s="739"/>
      <c r="C429" s="740"/>
      <c r="D429" s="2"/>
      <c r="E429" s="1060"/>
      <c r="F429" s="2"/>
      <c r="G429" s="54" t="s">
        <v>38</v>
      </c>
      <c r="H429" s="52">
        <f t="shared" si="995"/>
        <v>0</v>
      </c>
      <c r="I429" s="744"/>
      <c r="J429" s="2"/>
      <c r="K429" s="75"/>
      <c r="L429" s="75"/>
      <c r="M429" s="75"/>
      <c r="N429" s="75"/>
      <c r="O429" s="75"/>
      <c r="P429" s="75"/>
      <c r="Q429" s="52"/>
      <c r="R429" s="2"/>
      <c r="S429" s="52">
        <f ca="1">SUMIF($K$7:Q$7,"&lt;="&amp;$I$7,K429:P429)</f>
        <v>0</v>
      </c>
      <c r="T429" s="744"/>
      <c r="U429" s="2"/>
      <c r="V429" s="75"/>
      <c r="W429" s="75"/>
      <c r="X429" s="75"/>
      <c r="Y429" s="75"/>
      <c r="Z429" s="75"/>
      <c r="AA429" s="75"/>
      <c r="AB429" s="52">
        <f>AB431</f>
        <v>0</v>
      </c>
      <c r="AC429" s="2"/>
      <c r="AD429" s="52">
        <f>SUMIF($V$7:AB$7,"&lt;="&amp;$I$7,V429:AB429)</f>
        <v>0</v>
      </c>
      <c r="AE429" s="744"/>
      <c r="AF429" s="2"/>
      <c r="AG429" s="75"/>
      <c r="AH429" s="75"/>
      <c r="AI429" s="75"/>
      <c r="AJ429" s="75"/>
      <c r="AK429" s="75"/>
      <c r="AL429" s="75"/>
      <c r="AM429" s="52">
        <f>AM431</f>
        <v>0</v>
      </c>
      <c r="AN429" s="2"/>
      <c r="AO429" s="52">
        <f ca="1">SUMIF($AG$7:AM$7,"&lt;="&amp;$I$7,AG429:AL429)</f>
        <v>0</v>
      </c>
      <c r="AP429" s="744"/>
      <c r="AQ429" s="2"/>
      <c r="AR429" s="75"/>
      <c r="AS429" s="75"/>
      <c r="AT429" s="75"/>
      <c r="AU429" s="75"/>
      <c r="AV429" s="75"/>
      <c r="AW429" s="75"/>
      <c r="AX429" s="52">
        <f>AX431</f>
        <v>0</v>
      </c>
      <c r="AY429" s="2"/>
      <c r="AZ429" s="52">
        <f ca="1">SUMIF($AR$7:AX$7,"&lt;="&amp;$I$7,AR429:AW429)</f>
        <v>0</v>
      </c>
      <c r="BA429" s="744"/>
      <c r="BB429" s="2"/>
      <c r="BC429" s="75"/>
      <c r="BD429" s="75"/>
      <c r="BE429" s="75"/>
      <c r="BF429" s="75"/>
      <c r="BG429" s="75"/>
      <c r="BH429" s="75"/>
      <c r="BI429" s="52"/>
      <c r="BJ429" s="2"/>
      <c r="BK429" s="52">
        <f ca="1">SUMIF($BC$7:BI$7,"&lt;="&amp;$I$7,BC429:BH429)</f>
        <v>0</v>
      </c>
      <c r="BL429" s="744"/>
      <c r="BM429" s="2"/>
      <c r="BN429" s="888"/>
      <c r="BO429" s="888"/>
      <c r="BP429" s="888"/>
      <c r="BQ429" s="744"/>
      <c r="BR429" s="2"/>
      <c r="BS429" s="888"/>
      <c r="BT429" s="888"/>
      <c r="BU429" s="888"/>
      <c r="BV429" s="888"/>
      <c r="BW429" s="1019"/>
      <c r="BX429" s="888"/>
      <c r="BY429" s="743"/>
      <c r="BZ429" s="2"/>
      <c r="CA429" s="888"/>
      <c r="CB429" s="888"/>
      <c r="CC429" s="2"/>
      <c r="CD429" s="504">
        <f>IFERROR(AVERAGEIF($V$7:AB$7,"&lt;="&amp;$I$7,V429:AB429),0)</f>
        <v>0</v>
      </c>
      <c r="CE429" s="2"/>
      <c r="CH429" s="93" t="str">
        <f t="shared" si="935"/>
        <v>OAE - Ponte sobre o Rio Peixe III</v>
      </c>
    </row>
    <row r="430" spans="1:86" s="16" customFormat="1" ht="15.95" customHeight="1">
      <c r="A430" s="73"/>
      <c r="B430" s="739" t="s">
        <v>4044</v>
      </c>
      <c r="C430" s="740" t="s">
        <v>1437</v>
      </c>
      <c r="D430" s="2"/>
      <c r="E430" s="1019">
        <v>55</v>
      </c>
      <c r="F430" s="2"/>
      <c r="G430" s="53" t="s">
        <v>37</v>
      </c>
      <c r="H430" s="52">
        <f t="shared" si="995"/>
        <v>1</v>
      </c>
      <c r="I430" s="743">
        <f t="shared" ref="I430" si="996">IFERROR((H431/H430),"-")</f>
        <v>2</v>
      </c>
      <c r="J430" s="2"/>
      <c r="K430" s="52">
        <f t="shared" ref="K430:P431" si="997">K432+K460+K488+K530+K502</f>
        <v>0</v>
      </c>
      <c r="L430" s="52">
        <f t="shared" si="997"/>
        <v>3</v>
      </c>
      <c r="M430" s="52">
        <f t="shared" si="997"/>
        <v>0</v>
      </c>
      <c r="N430" s="52">
        <f t="shared" si="997"/>
        <v>4</v>
      </c>
      <c r="O430" s="52">
        <f t="shared" si="997"/>
        <v>0</v>
      </c>
      <c r="P430" s="52">
        <f t="shared" si="997"/>
        <v>3</v>
      </c>
      <c r="Q430" s="52"/>
      <c r="R430" s="2"/>
      <c r="S430" s="52">
        <f ca="1">SUMIF($K$7:Q$7,"&lt;="&amp;$I$7,K430:P430)</f>
        <v>10</v>
      </c>
      <c r="T430" s="743">
        <f ca="1">IFERROR((S431/S430),"-")</f>
        <v>0.9</v>
      </c>
      <c r="U430" s="2"/>
      <c r="V430" s="52">
        <f t="shared" ref="V430:AA431" si="998">V432+V460+V488+V530+V502</f>
        <v>1</v>
      </c>
      <c r="W430" s="52">
        <f t="shared" si="998"/>
        <v>2</v>
      </c>
      <c r="X430" s="52">
        <f t="shared" si="998"/>
        <v>0</v>
      </c>
      <c r="Y430" s="52">
        <f t="shared" si="998"/>
        <v>2</v>
      </c>
      <c r="Z430" s="52">
        <f t="shared" si="998"/>
        <v>0</v>
      </c>
      <c r="AA430" s="52">
        <f t="shared" si="998"/>
        <v>2</v>
      </c>
      <c r="AB430" s="52"/>
      <c r="AC430" s="2"/>
      <c r="AD430" s="52">
        <f>SUMIF($V$7:AB$7,"&lt;="&amp;$I$7,V430:AB430)</f>
        <v>7</v>
      </c>
      <c r="AE430" s="743">
        <f>IFERROR((AD431/AD430),"-")</f>
        <v>0.5714285714285714</v>
      </c>
      <c r="AF430" s="2"/>
      <c r="AG430" s="52">
        <f>AG432+AG460+AG488+AG530+AG502</f>
        <v>2</v>
      </c>
      <c r="AH430" s="52">
        <f t="shared" ref="AH430:AL431" si="999">AH432+AH460+AH488+AH530+AH502</f>
        <v>1</v>
      </c>
      <c r="AI430" s="52">
        <f t="shared" si="999"/>
        <v>1</v>
      </c>
      <c r="AJ430" s="52">
        <f t="shared" si="999"/>
        <v>1</v>
      </c>
      <c r="AK430" s="52">
        <f t="shared" si="999"/>
        <v>1</v>
      </c>
      <c r="AL430" s="52">
        <f t="shared" si="999"/>
        <v>1</v>
      </c>
      <c r="AM430" s="52"/>
      <c r="AN430" s="2"/>
      <c r="AO430" s="52">
        <f ca="1">SUMIF($AG$7:AM$7,"&lt;="&amp;$I$7,AG430:AL430)</f>
        <v>3</v>
      </c>
      <c r="AP430" s="743">
        <f ca="1">IFERROR((AO431/AO430),"-")</f>
        <v>1</v>
      </c>
      <c r="AQ430" s="2"/>
      <c r="AR430" s="52">
        <f t="shared" ref="AR430:AW431" ca="1" si="1000">AR432+AR460+AR488+AR530+AR502</f>
        <v>0</v>
      </c>
      <c r="AS430" s="52">
        <f t="shared" ca="1" si="1000"/>
        <v>0</v>
      </c>
      <c r="AT430" s="52">
        <f t="shared" ca="1" si="1000"/>
        <v>0</v>
      </c>
      <c r="AU430" s="52">
        <f t="shared" ca="1" si="1000"/>
        <v>0</v>
      </c>
      <c r="AV430" s="52">
        <f t="shared" ca="1" si="1000"/>
        <v>0</v>
      </c>
      <c r="AW430" s="52">
        <f t="shared" ca="1" si="1000"/>
        <v>0</v>
      </c>
      <c r="AX430" s="52"/>
      <c r="AY430" s="2"/>
      <c r="AZ430" s="52">
        <f ca="1">SUMIF($AR$7:AX$7,"&lt;="&amp;$I$7,AR430:AW430)</f>
        <v>0</v>
      </c>
      <c r="BA430" s="743" t="str">
        <f ca="1">IFERROR((AZ431/AZ430),"-")</f>
        <v>-</v>
      </c>
      <c r="BB430" s="2"/>
      <c r="BC430" s="52">
        <f t="shared" ref="BC430:BH431" si="1001">BC432+BC460+BC488+BC530+BC502</f>
        <v>0</v>
      </c>
      <c r="BD430" s="52">
        <f t="shared" si="1001"/>
        <v>0</v>
      </c>
      <c r="BE430" s="52">
        <f t="shared" si="1001"/>
        <v>0</v>
      </c>
      <c r="BF430" s="52">
        <f t="shared" si="1001"/>
        <v>0</v>
      </c>
      <c r="BG430" s="52">
        <f t="shared" si="1001"/>
        <v>0</v>
      </c>
      <c r="BH430" s="52">
        <f t="shared" si="1001"/>
        <v>0</v>
      </c>
      <c r="BI430" s="52"/>
      <c r="BJ430" s="2"/>
      <c r="BK430" s="52">
        <f ca="1">SUMIF($BC$7:BI$7,"&lt;="&amp;$I$7,BC430:BH430)</f>
        <v>0</v>
      </c>
      <c r="BL430" s="743" t="str">
        <f ca="1">IFERROR((BK431/BK430),"-")</f>
        <v>-</v>
      </c>
      <c r="BM430" s="2"/>
      <c r="BN430" s="888">
        <f>BN432+BN460+BN502++BN488+BN530</f>
        <v>18</v>
      </c>
      <c r="BO430" s="888">
        <f>BO432+BO460+BO502++BO488+BO530</f>
        <v>15</v>
      </c>
      <c r="BP430" s="888">
        <f>BP432+BP460+BP488+BP502+BP530</f>
        <v>13</v>
      </c>
      <c r="BQ430" s="743">
        <f t="shared" ref="BQ430" si="1002">IFERROR((BP430/BO430),"-")</f>
        <v>0.8666666666666667</v>
      </c>
      <c r="BR430" s="2"/>
      <c r="BS430" s="888">
        <v>22</v>
      </c>
      <c r="BT430" s="888"/>
      <c r="BU430" s="888">
        <f ca="1">E430+S431+AD431+AM431+AZ431+BK431-K431-L431</f>
        <v>65</v>
      </c>
      <c r="BV430" s="888">
        <v>106</v>
      </c>
      <c r="BW430" s="1019">
        <f ca="1">IFERROR((BU430/BV430),"-")</f>
        <v>0.6132075471698113</v>
      </c>
      <c r="BX430" s="888">
        <f>BX432+BX460+BX488+BX502+BX530</f>
        <v>76</v>
      </c>
      <c r="BY430" s="743">
        <f ca="1">IFERROR((BU430/BX430),"-")</f>
        <v>0.85526315789473684</v>
      </c>
      <c r="BZ430" s="2"/>
      <c r="CA430" s="888">
        <v>90</v>
      </c>
      <c r="CB430" s="888">
        <f ca="1">CA430-BU430</f>
        <v>25</v>
      </c>
      <c r="CC430" s="2"/>
      <c r="CD430" s="504">
        <f>IFERROR(AVERAGEIF($V$7:AB$7,"&lt;="&amp;$I$7,V430:AB430),0)</f>
        <v>1.1666666666666667</v>
      </c>
      <c r="CE430" s="2"/>
      <c r="CH430" s="93" t="str">
        <f t="shared" ref="CH430:CH493" si="1003">IF(B430&lt;&gt;"",B430,CH429)</f>
        <v xml:space="preserve">ESTACAS </v>
      </c>
    </row>
    <row r="431" spans="1:86" s="16" customFormat="1" ht="20.45" customHeight="1">
      <c r="A431" s="74"/>
      <c r="B431" s="739"/>
      <c r="C431" s="740"/>
      <c r="D431" s="2"/>
      <c r="E431" s="1020"/>
      <c r="F431" s="2"/>
      <c r="G431" s="54" t="s">
        <v>38</v>
      </c>
      <c r="H431" s="52">
        <f t="shared" si="995"/>
        <v>2</v>
      </c>
      <c r="I431" s="744"/>
      <c r="J431" s="2"/>
      <c r="K431" s="75">
        <f t="shared" si="997"/>
        <v>0</v>
      </c>
      <c r="L431" s="75">
        <f t="shared" si="997"/>
        <v>3</v>
      </c>
      <c r="M431" s="75">
        <f t="shared" si="997"/>
        <v>1</v>
      </c>
      <c r="N431" s="75">
        <f t="shared" si="997"/>
        <v>3</v>
      </c>
      <c r="O431" s="75">
        <f t="shared" si="997"/>
        <v>0</v>
      </c>
      <c r="P431" s="75">
        <f t="shared" si="997"/>
        <v>2</v>
      </c>
      <c r="Q431" s="52"/>
      <c r="R431" s="2"/>
      <c r="S431" s="52">
        <f ca="1">SUMIF($K$7:Q$7,"&lt;="&amp;$I$7,K431:P431)</f>
        <v>9</v>
      </c>
      <c r="T431" s="744"/>
      <c r="U431" s="2"/>
      <c r="V431" s="75">
        <f t="shared" si="998"/>
        <v>0</v>
      </c>
      <c r="W431" s="75">
        <f t="shared" si="998"/>
        <v>1</v>
      </c>
      <c r="X431" s="75">
        <f t="shared" si="998"/>
        <v>1</v>
      </c>
      <c r="Y431" s="75">
        <f t="shared" si="998"/>
        <v>1</v>
      </c>
      <c r="Z431" s="75">
        <f t="shared" si="998"/>
        <v>1</v>
      </c>
      <c r="AA431" s="75">
        <f t="shared" si="998"/>
        <v>0</v>
      </c>
      <c r="AB431" s="52"/>
      <c r="AC431" s="2"/>
      <c r="AD431" s="52">
        <f>SUMIF($V$7:AB$7,"&lt;="&amp;$I$7,V431:AB431)</f>
        <v>4</v>
      </c>
      <c r="AE431" s="744"/>
      <c r="AF431" s="2"/>
      <c r="AG431" s="75">
        <f>AG433+AG461+AG489+AG531+AG503</f>
        <v>1</v>
      </c>
      <c r="AH431" s="75">
        <f t="shared" si="999"/>
        <v>2</v>
      </c>
      <c r="AI431" s="75">
        <f t="shared" si="999"/>
        <v>0</v>
      </c>
      <c r="AJ431" s="75">
        <f t="shared" si="999"/>
        <v>0</v>
      </c>
      <c r="AK431" s="75">
        <f t="shared" si="999"/>
        <v>0</v>
      </c>
      <c r="AL431" s="75">
        <f t="shared" si="999"/>
        <v>0</v>
      </c>
      <c r="AM431" s="52"/>
      <c r="AN431" s="2"/>
      <c r="AO431" s="52">
        <f ca="1">SUMIF($AG$7:AM$7,"&lt;="&amp;$I$7,AG431:AL431)</f>
        <v>3</v>
      </c>
      <c r="AP431" s="744"/>
      <c r="AQ431" s="2"/>
      <c r="AR431" s="75">
        <f t="shared" si="1000"/>
        <v>0</v>
      </c>
      <c r="AS431" s="75">
        <f t="shared" si="1000"/>
        <v>0</v>
      </c>
      <c r="AT431" s="75">
        <f t="shared" si="1000"/>
        <v>0</v>
      </c>
      <c r="AU431" s="75">
        <f t="shared" si="1000"/>
        <v>0</v>
      </c>
      <c r="AV431" s="75">
        <f t="shared" si="1000"/>
        <v>0</v>
      </c>
      <c r="AW431" s="75">
        <f t="shared" si="1000"/>
        <v>0</v>
      </c>
      <c r="AX431" s="52"/>
      <c r="AY431" s="2"/>
      <c r="AZ431" s="52">
        <f ca="1">SUMIF($AR$7:AX$7,"&lt;="&amp;$I$7,AR431:AW431)</f>
        <v>0</v>
      </c>
      <c r="BA431" s="744"/>
      <c r="BB431" s="2"/>
      <c r="BC431" s="75">
        <f t="shared" si="1001"/>
        <v>0</v>
      </c>
      <c r="BD431" s="75">
        <f t="shared" si="1001"/>
        <v>0</v>
      </c>
      <c r="BE431" s="75">
        <f t="shared" si="1001"/>
        <v>0</v>
      </c>
      <c r="BF431" s="75">
        <f t="shared" si="1001"/>
        <v>0</v>
      </c>
      <c r="BG431" s="75">
        <f t="shared" si="1001"/>
        <v>0</v>
      </c>
      <c r="BH431" s="75">
        <f t="shared" si="1001"/>
        <v>0</v>
      </c>
      <c r="BI431" s="52"/>
      <c r="BJ431" s="2"/>
      <c r="BK431" s="52">
        <f ca="1">SUMIF($BC$7:BI$7,"&lt;="&amp;$I$7,BC431:BH431)</f>
        <v>0</v>
      </c>
      <c r="BL431" s="744"/>
      <c r="BM431" s="2"/>
      <c r="BN431" s="888"/>
      <c r="BO431" s="888"/>
      <c r="BP431" s="888"/>
      <c r="BQ431" s="744"/>
      <c r="BR431" s="2"/>
      <c r="BS431" s="888"/>
      <c r="BT431" s="888"/>
      <c r="BU431" s="888"/>
      <c r="BV431" s="888"/>
      <c r="BW431" s="1019"/>
      <c r="BX431" s="888"/>
      <c r="BY431" s="743"/>
      <c r="BZ431" s="2"/>
      <c r="CA431" s="888"/>
      <c r="CB431" s="888"/>
      <c r="CC431" s="2"/>
      <c r="CD431" s="84">
        <f>IFERROR(AVERAGEIF($V$7:AB$7,"&lt;="&amp;$I$7,V431:AB431),0)</f>
        <v>0.66666666666666663</v>
      </c>
      <c r="CE431" s="3"/>
      <c r="CH431" s="93" t="str">
        <f t="shared" si="1003"/>
        <v xml:space="preserve">ESTACAS </v>
      </c>
    </row>
    <row r="432" spans="1:86" s="16" customFormat="1" ht="14.65" customHeight="1">
      <c r="A432" s="73"/>
      <c r="B432" s="1045" t="s">
        <v>4045</v>
      </c>
      <c r="C432" s="740" t="s">
        <v>1437</v>
      </c>
      <c r="D432" s="2"/>
      <c r="E432" s="1019">
        <v>12</v>
      </c>
      <c r="F432" s="2"/>
      <c r="G432" s="53" t="s">
        <v>37</v>
      </c>
      <c r="H432" s="52">
        <f t="shared" si="995"/>
        <v>0</v>
      </c>
      <c r="I432" s="743" t="str">
        <f t="shared" ref="I432" si="1004">IFERROR((H433/H432),"-")</f>
        <v>-</v>
      </c>
      <c r="J432" s="2"/>
      <c r="K432" s="52">
        <f>SUMIF($G$434:$G$459,$G$432,K434:K459)</f>
        <v>0</v>
      </c>
      <c r="L432" s="52">
        <f t="shared" ref="L432:Q432" si="1005">SUMIF($G$434:$G$459,$G$432,L434:L459)</f>
        <v>1</v>
      </c>
      <c r="M432" s="52">
        <f t="shared" si="1005"/>
        <v>0</v>
      </c>
      <c r="N432" s="52">
        <f t="shared" si="1005"/>
        <v>1</v>
      </c>
      <c r="O432" s="52">
        <f t="shared" si="1005"/>
        <v>0</v>
      </c>
      <c r="P432" s="52">
        <f t="shared" si="1005"/>
        <v>1</v>
      </c>
      <c r="Q432" s="52">
        <f t="shared" si="1005"/>
        <v>0</v>
      </c>
      <c r="R432" s="2"/>
      <c r="S432" s="52">
        <f ca="1">SUMIF($K$7:Q$7,"&lt;="&amp;$I$7,K432:P432)</f>
        <v>3</v>
      </c>
      <c r="T432" s="743">
        <f ca="1">IFERROR((S433/S432),"-")</f>
        <v>1</v>
      </c>
      <c r="U432" s="2"/>
      <c r="V432" s="52">
        <f>SUMIF($G$434:$G$459,$G$432,V434:V459)</f>
        <v>0</v>
      </c>
      <c r="W432" s="52">
        <f t="shared" ref="W432:AB432" si="1006">SUMIF($G$434:$G$459,$G$432,W434:W459)</f>
        <v>0</v>
      </c>
      <c r="X432" s="52">
        <f t="shared" si="1006"/>
        <v>0</v>
      </c>
      <c r="Y432" s="52">
        <f t="shared" si="1006"/>
        <v>0</v>
      </c>
      <c r="Z432" s="52">
        <f t="shared" si="1006"/>
        <v>0</v>
      </c>
      <c r="AA432" s="52">
        <f t="shared" si="1006"/>
        <v>0</v>
      </c>
      <c r="AB432" s="52">
        <f t="shared" si="1006"/>
        <v>0</v>
      </c>
      <c r="AC432" s="2"/>
      <c r="AD432" s="52">
        <f>SUMIF($V$7:AB$7,"&lt;="&amp;$I$7,V432:AB432)</f>
        <v>0</v>
      </c>
      <c r="AE432" s="743" t="str">
        <f ca="1">IFERROR((AD433/AD432),"-")</f>
        <v>-</v>
      </c>
      <c r="AF432" s="2"/>
      <c r="AG432" s="52">
        <f>SUMIF($G$434:$G$459,$G$432,AG434:AG459)</f>
        <v>0</v>
      </c>
      <c r="AH432" s="52">
        <f t="shared" ref="AH432:AL432" si="1007">SUMIF($G$434:$G$459,$G$432,AH434:AH459)</f>
        <v>0</v>
      </c>
      <c r="AI432" s="52">
        <f t="shared" si="1007"/>
        <v>0</v>
      </c>
      <c r="AJ432" s="52">
        <f t="shared" si="1007"/>
        <v>0</v>
      </c>
      <c r="AK432" s="52">
        <f t="shared" si="1007"/>
        <v>0</v>
      </c>
      <c r="AL432" s="52">
        <f t="shared" si="1007"/>
        <v>0</v>
      </c>
      <c r="AM432" s="52"/>
      <c r="AN432" s="2"/>
      <c r="AO432" s="52">
        <f ca="1">SUMIF($AG$7:AM$7,"&lt;="&amp;$I$7,AG432:AL432)</f>
        <v>0</v>
      </c>
      <c r="AP432" s="743" t="str">
        <f ca="1">IFERROR((AO433/AO432),"-")</f>
        <v>-</v>
      </c>
      <c r="AQ432" s="2"/>
      <c r="AR432" s="52">
        <f>SUMIF($G$434:$G$459,$G$432,AR434:AR459)</f>
        <v>0</v>
      </c>
      <c r="AS432" s="52">
        <f t="shared" ref="AS432:AW432" si="1008">SUMIF($G$434:$G$459,$G$432,AS434:AS459)</f>
        <v>0</v>
      </c>
      <c r="AT432" s="52">
        <f t="shared" si="1008"/>
        <v>0</v>
      </c>
      <c r="AU432" s="52">
        <f t="shared" si="1008"/>
        <v>0</v>
      </c>
      <c r="AV432" s="52">
        <f t="shared" si="1008"/>
        <v>0</v>
      </c>
      <c r="AW432" s="52">
        <f t="shared" si="1008"/>
        <v>0</v>
      </c>
      <c r="AX432" s="52"/>
      <c r="AY432" s="2"/>
      <c r="AZ432" s="52">
        <f ca="1">SUMIF($AR$7:AX$7,"&lt;="&amp;$I$7,AR432:AW432)</f>
        <v>0</v>
      </c>
      <c r="BA432" s="743" t="str">
        <f ca="1">IFERROR((AZ433/AZ432),"-")</f>
        <v>-</v>
      </c>
      <c r="BB432" s="2"/>
      <c r="BC432" s="52">
        <f>SUMIF($G$434:$G$459,$G$432,BC434:BC459)</f>
        <v>0</v>
      </c>
      <c r="BD432" s="52">
        <f t="shared" ref="BD432:BH432" si="1009">SUMIF($G$434:$G$459,$G$432,BD434:BD459)</f>
        <v>0</v>
      </c>
      <c r="BE432" s="52">
        <f t="shared" si="1009"/>
        <v>0</v>
      </c>
      <c r="BF432" s="52">
        <f t="shared" si="1009"/>
        <v>0</v>
      </c>
      <c r="BG432" s="52">
        <f t="shared" si="1009"/>
        <v>0</v>
      </c>
      <c r="BH432" s="52">
        <f t="shared" si="1009"/>
        <v>0</v>
      </c>
      <c r="BI432" s="52"/>
      <c r="BJ432" s="2"/>
      <c r="BK432" s="52">
        <f ca="1">SUMIF($BC$7:BI$7,"&lt;="&amp;$I$7,BC432:BH432)</f>
        <v>0</v>
      </c>
      <c r="BL432" s="743" t="str">
        <f ca="1">IFERROR((BK433/BK432),"-")</f>
        <v>-</v>
      </c>
      <c r="BM432" s="2"/>
      <c r="BN432" s="888">
        <v>2</v>
      </c>
      <c r="BO432" s="888">
        <v>2</v>
      </c>
      <c r="BP432" s="888">
        <f>SUM(BP434:BP459)</f>
        <v>2</v>
      </c>
      <c r="BQ432" s="743">
        <f t="shared" ref="BQ432" si="1010">IFERROR((BP432/BO432),"-")</f>
        <v>1</v>
      </c>
      <c r="BR432" s="2"/>
      <c r="BS432" s="888">
        <v>3</v>
      </c>
      <c r="BT432" s="888"/>
      <c r="BU432" s="888">
        <f ca="1">E432+S433++AO433+AZ433+AD433+BK433-K433-L433</f>
        <v>14</v>
      </c>
      <c r="BV432" s="888">
        <v>106</v>
      </c>
      <c r="BW432" s="1019">
        <f ca="1">IFERROR((BU432/BV432),"-")</f>
        <v>0.13207547169811321</v>
      </c>
      <c r="BX432" s="888">
        <v>14</v>
      </c>
      <c r="BY432" s="743">
        <f ca="1">IFERROR((BU432/BX432),"-")</f>
        <v>1</v>
      </c>
      <c r="BZ432" s="2"/>
      <c r="CA432" s="888">
        <v>14</v>
      </c>
      <c r="CB432" s="888">
        <f ca="1">CA432-BU432</f>
        <v>0</v>
      </c>
      <c r="CC432" s="2"/>
      <c r="CD432" s="84">
        <f>IFERROR(AVERAGEIF($V$7:AB$7,"&lt;="&amp;$I$7,V432:AB432),0)</f>
        <v>0</v>
      </c>
      <c r="CE432" s="2"/>
      <c r="CH432" s="93" t="str">
        <f t="shared" si="1003"/>
        <v>ESTACAS E1</v>
      </c>
    </row>
    <row r="433" spans="1:86" s="16" customFormat="1" ht="20.45" customHeight="1">
      <c r="A433" s="74"/>
      <c r="B433" s="1045"/>
      <c r="C433" s="740"/>
      <c r="D433" s="2"/>
      <c r="E433" s="1020"/>
      <c r="F433" s="2"/>
      <c r="G433" s="54" t="s">
        <v>38</v>
      </c>
      <c r="H433" s="52">
        <f t="shared" si="995"/>
        <v>0</v>
      </c>
      <c r="I433" s="744"/>
      <c r="J433" s="2"/>
      <c r="K433" s="75">
        <f>SUMIF($G$434:$G$459,$G$433,K434:K459)</f>
        <v>0</v>
      </c>
      <c r="L433" s="75">
        <f t="shared" ref="L433:P433" si="1011">SUMIF($G$434:$G$459,$G$433,L434:L459)</f>
        <v>1</v>
      </c>
      <c r="M433" s="75">
        <f t="shared" si="1011"/>
        <v>0</v>
      </c>
      <c r="N433" s="75">
        <f t="shared" si="1011"/>
        <v>1</v>
      </c>
      <c r="O433" s="75">
        <f t="shared" si="1011"/>
        <v>0</v>
      </c>
      <c r="P433" s="75">
        <f t="shared" si="1011"/>
        <v>1</v>
      </c>
      <c r="Q433" s="75">
        <f ca="1">SUMIF($G$434:$G$459,$G$433,Q448:Q459)</f>
        <v>0</v>
      </c>
      <c r="R433" s="2"/>
      <c r="S433" s="52">
        <f ca="1">SUMIF($K$7:Q$7,"&lt;="&amp;$I$7,K433:P433)</f>
        <v>3</v>
      </c>
      <c r="T433" s="744"/>
      <c r="U433" s="2"/>
      <c r="V433" s="75">
        <f>SUMIF($G$434:$G$459,$G$433,V434:V459)</f>
        <v>0</v>
      </c>
      <c r="W433" s="75">
        <f>SUMIF($G$434:$G$459,$G$433,W434:W459)</f>
        <v>0</v>
      </c>
      <c r="X433" s="75">
        <f t="shared" ref="X433:AA433" si="1012">SUMIF($G$434:$G$459,$G$433,X434:X459)</f>
        <v>0</v>
      </c>
      <c r="Y433" s="75">
        <f t="shared" si="1012"/>
        <v>0</v>
      </c>
      <c r="Z433" s="75">
        <f t="shared" si="1012"/>
        <v>0</v>
      </c>
      <c r="AA433" s="75">
        <f t="shared" si="1012"/>
        <v>0</v>
      </c>
      <c r="AB433" s="75">
        <f t="shared" ref="AB433" ca="1" si="1013">SUMIF($G$434:$G$459,$G$433,AB448:AB459)</f>
        <v>0</v>
      </c>
      <c r="AC433" s="2"/>
      <c r="AD433" s="52">
        <f ca="1">SUMIF($V$7:AB$7,"&lt;="&amp;$I$7,V433:AB433)</f>
        <v>0</v>
      </c>
      <c r="AE433" s="744"/>
      <c r="AF433" s="2"/>
      <c r="AG433" s="75">
        <f>SUMIF($G$434:$G$459,$G$433,AG434:AG459)</f>
        <v>0</v>
      </c>
      <c r="AH433" s="75">
        <f t="shared" ref="AH433:AL433" si="1014">SUMIF($G$434:$G$459,$G$433,AH434:AH459)</f>
        <v>0</v>
      </c>
      <c r="AI433" s="75">
        <f t="shared" si="1014"/>
        <v>0</v>
      </c>
      <c r="AJ433" s="75">
        <f t="shared" si="1014"/>
        <v>0</v>
      </c>
      <c r="AK433" s="75">
        <f t="shared" si="1014"/>
        <v>0</v>
      </c>
      <c r="AL433" s="75">
        <f t="shared" si="1014"/>
        <v>0</v>
      </c>
      <c r="AM433" s="52"/>
      <c r="AN433" s="2"/>
      <c r="AO433" s="52">
        <f ca="1">SUMIF($AG$7:AM$7,"&lt;="&amp;$I$7,AG433:AL433)</f>
        <v>0</v>
      </c>
      <c r="AP433" s="744"/>
      <c r="AQ433" s="2"/>
      <c r="AR433" s="75">
        <f>SUMIF($G$434:$G$459,$G$433,AR434:AR459)</f>
        <v>0</v>
      </c>
      <c r="AS433" s="75">
        <f t="shared" ref="AS433:AW433" si="1015">SUMIF($G$434:$G$459,$G$433,AS434:AS459)</f>
        <v>0</v>
      </c>
      <c r="AT433" s="75">
        <f t="shared" si="1015"/>
        <v>0</v>
      </c>
      <c r="AU433" s="75">
        <f t="shared" si="1015"/>
        <v>0</v>
      </c>
      <c r="AV433" s="75">
        <f t="shared" si="1015"/>
        <v>0</v>
      </c>
      <c r="AW433" s="75">
        <f t="shared" si="1015"/>
        <v>0</v>
      </c>
      <c r="AX433" s="52"/>
      <c r="AY433" s="2"/>
      <c r="AZ433" s="52">
        <f ca="1">SUMIF($AR$7:AX$7,"&lt;="&amp;$I$7,AR433:AW433)</f>
        <v>0</v>
      </c>
      <c r="BA433" s="744"/>
      <c r="BB433" s="2"/>
      <c r="BC433" s="75">
        <f>SUMIF($G$434:$G$459,$G$433,BC434:BC459)</f>
        <v>0</v>
      </c>
      <c r="BD433" s="75">
        <f t="shared" ref="BD433:BH433" si="1016">SUMIF($G$434:$G$459,$G$433,BD434:BD459)</f>
        <v>0</v>
      </c>
      <c r="BE433" s="75">
        <f t="shared" si="1016"/>
        <v>0</v>
      </c>
      <c r="BF433" s="75">
        <f t="shared" si="1016"/>
        <v>0</v>
      </c>
      <c r="BG433" s="75">
        <f t="shared" si="1016"/>
        <v>0</v>
      </c>
      <c r="BH433" s="75">
        <f t="shared" si="1016"/>
        <v>0</v>
      </c>
      <c r="BI433" s="52"/>
      <c r="BJ433" s="2"/>
      <c r="BK433" s="52">
        <f ca="1">SUMIF($BC$7:BI$7,"&lt;="&amp;$I$7,BC433:BH433)</f>
        <v>0</v>
      </c>
      <c r="BL433" s="744"/>
      <c r="BM433" s="2"/>
      <c r="BN433" s="888"/>
      <c r="BO433" s="888"/>
      <c r="BP433" s="888"/>
      <c r="BQ433" s="744"/>
      <c r="BR433" s="2"/>
      <c r="BS433" s="888"/>
      <c r="BT433" s="888"/>
      <c r="BU433" s="888"/>
      <c r="BV433" s="888"/>
      <c r="BW433" s="1019"/>
      <c r="BX433" s="888"/>
      <c r="BY433" s="743"/>
      <c r="BZ433" s="2"/>
      <c r="CA433" s="888"/>
      <c r="CB433" s="888"/>
      <c r="CC433" s="2"/>
      <c r="CD433" s="504">
        <f ca="1">IFERROR(AVERAGEIF($V$7:AB$7,"&lt;="&amp;$I$7,V433:AB433),0)</f>
        <v>0</v>
      </c>
      <c r="CE433" s="2"/>
      <c r="CH433" s="93" t="str">
        <f t="shared" si="1003"/>
        <v>ESTACAS E1</v>
      </c>
    </row>
    <row r="434" spans="1:86" s="16" customFormat="1" ht="15.95" hidden="1" customHeight="1" outlineLevel="1">
      <c r="A434" s="74"/>
      <c r="B434" s="1035" t="s">
        <v>4046</v>
      </c>
      <c r="C434" s="1014" t="s">
        <v>1437</v>
      </c>
      <c r="D434" s="2"/>
      <c r="E434" s="1004">
        <v>1</v>
      </c>
      <c r="F434" s="2"/>
      <c r="G434" s="49" t="s">
        <v>37</v>
      </c>
      <c r="H434" s="705">
        <v>0</v>
      </c>
      <c r="I434" s="878" t="str">
        <f t="shared" ref="I434" si="1017">IFERROR((H435/H434),"-")</f>
        <v>-</v>
      </c>
      <c r="J434" s="2"/>
      <c r="K434" s="705"/>
      <c r="L434" s="705"/>
      <c r="M434" s="705"/>
      <c r="N434" s="705"/>
      <c r="O434" s="705"/>
      <c r="P434" s="705"/>
      <c r="Q434" s="705"/>
      <c r="R434" s="2"/>
      <c r="S434" s="705">
        <f ca="1">SUMIF($K$7:Q$7,"&lt;="&amp;$I$7,K434:P434)</f>
        <v>0</v>
      </c>
      <c r="T434" s="878" t="str">
        <f ca="1">IFERROR((S435/S434),"-")</f>
        <v>-</v>
      </c>
      <c r="U434" s="2"/>
      <c r="V434" s="705"/>
      <c r="W434" s="705"/>
      <c r="X434" s="705"/>
      <c r="Y434" s="705"/>
      <c r="Z434" s="705"/>
      <c r="AA434" s="705"/>
      <c r="AB434" s="705"/>
      <c r="AC434" s="2"/>
      <c r="AD434" s="705">
        <f ca="1">SUMIF($V$7:AB$7,"&lt;="&amp;$I$7,V434:AA434)</f>
        <v>0</v>
      </c>
      <c r="AE434" s="878" t="str">
        <f ca="1">IFERROR((AD435/AD434),"-")</f>
        <v>-</v>
      </c>
      <c r="AF434" s="2"/>
      <c r="AG434" s="705"/>
      <c r="AH434" s="705"/>
      <c r="AI434" s="705"/>
      <c r="AJ434" s="705"/>
      <c r="AK434" s="705"/>
      <c r="AL434" s="705"/>
      <c r="AM434" s="705"/>
      <c r="AN434" s="2"/>
      <c r="AO434" s="705">
        <f ca="1">SUMIF($AG$7:AM$7,"&lt;="&amp;$I$7,AG434:AL434)</f>
        <v>0</v>
      </c>
      <c r="AP434" s="878" t="str">
        <f ca="1">IFERROR((AO435/AO434),"-")</f>
        <v>-</v>
      </c>
      <c r="AQ434" s="2"/>
      <c r="AR434" s="705"/>
      <c r="AS434" s="705"/>
      <c r="AT434" s="705"/>
      <c r="AU434" s="705"/>
      <c r="AV434" s="705"/>
      <c r="AW434" s="705"/>
      <c r="AX434" s="705"/>
      <c r="AY434" s="2"/>
      <c r="AZ434" s="705">
        <f ca="1">SUMIF($AR$7:AX$7,"&lt;="&amp;$I$7,AR434:AW434)</f>
        <v>0</v>
      </c>
      <c r="BA434" s="878" t="str">
        <f ca="1">IFERROR((AZ435/AZ434),"-")</f>
        <v>-</v>
      </c>
      <c r="BB434" s="2"/>
      <c r="BC434" s="705"/>
      <c r="BD434" s="705"/>
      <c r="BE434" s="705"/>
      <c r="BF434" s="705"/>
      <c r="BG434" s="705"/>
      <c r="BH434" s="705"/>
      <c r="BI434" s="705"/>
      <c r="BJ434" s="2"/>
      <c r="BK434" s="705">
        <f ca="1">SUMIF($BC$7:BI$7,"&lt;="&amp;$I$7,BC434:BH434)</f>
        <v>0</v>
      </c>
      <c r="BL434" s="878" t="str">
        <f ca="1">IFERROR((BK435/BK434),"-")</f>
        <v>-</v>
      </c>
      <c r="BM434" s="2"/>
      <c r="BN434" s="884">
        <v>0</v>
      </c>
      <c r="BO434" s="921">
        <v>0</v>
      </c>
      <c r="BP434" s="884">
        <f>SUM(M435:P435,V435:AB435,AG435:AM435,AR435:AX435,BC435:BI435)</f>
        <v>0</v>
      </c>
      <c r="BQ434" s="878" t="str">
        <f t="shared" ref="BQ434" si="1018">IFERROR((BP434/BO434),"-")</f>
        <v>-</v>
      </c>
      <c r="BR434" s="2"/>
      <c r="BS434" s="884"/>
      <c r="BT434" s="884"/>
      <c r="BU434" s="884">
        <f ca="1">E434+S435+AD435+AO435+AZ435+BK435-K435-L435</f>
        <v>1</v>
      </c>
      <c r="BV434" s="884">
        <v>104</v>
      </c>
      <c r="BW434" s="1004">
        <f ca="1">IFERROR((BU434/BV434),"-")</f>
        <v>9.6153846153846159E-3</v>
      </c>
      <c r="BX434" s="884">
        <v>0</v>
      </c>
      <c r="BY434" s="878" t="str">
        <f ca="1">IFERROR((BU434/BX434),"-")</f>
        <v>-</v>
      </c>
      <c r="BZ434" s="2"/>
      <c r="CA434" s="884">
        <v>0</v>
      </c>
      <c r="CB434" s="884">
        <v>0</v>
      </c>
      <c r="CC434" s="2"/>
      <c r="CD434" s="504">
        <f>IFERROR(AVERAGEIF($V$7:AB$7,"&lt;="&amp;$I$7,V434:AB434),0)</f>
        <v>0</v>
      </c>
      <c r="CE434" s="2"/>
      <c r="CH434" s="93" t="str">
        <f t="shared" si="1003"/>
        <v>E1 - Execução de estaca EE1.01</v>
      </c>
    </row>
    <row r="435" spans="1:86" s="16" customFormat="1" ht="20.45" hidden="1" customHeight="1" outlineLevel="1">
      <c r="A435" s="74"/>
      <c r="B435" s="1036"/>
      <c r="C435" s="1034"/>
      <c r="D435" s="2"/>
      <c r="E435" s="1005"/>
      <c r="F435" s="2"/>
      <c r="G435" s="50" t="s">
        <v>38</v>
      </c>
      <c r="H435" s="705">
        <v>0</v>
      </c>
      <c r="I435" s="879"/>
      <c r="J435" s="2"/>
      <c r="K435" s="86"/>
      <c r="L435" s="86"/>
      <c r="M435" s="86"/>
      <c r="N435" s="86"/>
      <c r="O435" s="86"/>
      <c r="P435" s="86"/>
      <c r="Q435" s="706"/>
      <c r="R435" s="2"/>
      <c r="S435" s="705">
        <f ca="1">SUMIF($K$7:Q$7,"&lt;="&amp;$I$7,K435:P435)</f>
        <v>0</v>
      </c>
      <c r="T435" s="879"/>
      <c r="U435" s="2"/>
      <c r="V435" s="86"/>
      <c r="W435" s="86"/>
      <c r="X435" s="86"/>
      <c r="Y435" s="86"/>
      <c r="Z435" s="86"/>
      <c r="AA435" s="86"/>
      <c r="AB435" s="706"/>
      <c r="AC435" s="2"/>
      <c r="AD435" s="705">
        <f ca="1">SUMIF($V$7:AB$7,"&lt;="&amp;$I$7,V435:AA435)</f>
        <v>0</v>
      </c>
      <c r="AE435" s="879"/>
      <c r="AF435" s="2"/>
      <c r="AG435" s="86"/>
      <c r="AH435" s="86"/>
      <c r="AI435" s="86"/>
      <c r="AJ435" s="86"/>
      <c r="AK435" s="86"/>
      <c r="AL435" s="86"/>
      <c r="AM435" s="706"/>
      <c r="AN435" s="2"/>
      <c r="AO435" s="705">
        <f ca="1">SUMIF($AG$7:AM$7,"&lt;="&amp;$I$7,AG435:AL435)</f>
        <v>0</v>
      </c>
      <c r="AP435" s="879"/>
      <c r="AQ435" s="2"/>
      <c r="AR435" s="86"/>
      <c r="AS435" s="86"/>
      <c r="AT435" s="86"/>
      <c r="AU435" s="86"/>
      <c r="AV435" s="86"/>
      <c r="AW435" s="86"/>
      <c r="AX435" s="706"/>
      <c r="AY435" s="2"/>
      <c r="AZ435" s="705">
        <f ca="1">SUMIF($AR$7:AX$7,"&lt;="&amp;$I$7,AR435:AW435)</f>
        <v>0</v>
      </c>
      <c r="BA435" s="879"/>
      <c r="BB435" s="2"/>
      <c r="BC435" s="86"/>
      <c r="BD435" s="86"/>
      <c r="BE435" s="86"/>
      <c r="BF435" s="86"/>
      <c r="BG435" s="86"/>
      <c r="BH435" s="86"/>
      <c r="BI435" s="706"/>
      <c r="BJ435" s="2"/>
      <c r="BK435" s="705">
        <f ca="1">SUMIF($BC$7:BI$7,"&lt;="&amp;$I$7,BC435:BH435)</f>
        <v>0</v>
      </c>
      <c r="BL435" s="879"/>
      <c r="BM435" s="2"/>
      <c r="BN435" s="885"/>
      <c r="BO435" s="922"/>
      <c r="BP435" s="885"/>
      <c r="BQ435" s="879"/>
      <c r="BR435" s="2"/>
      <c r="BS435" s="885"/>
      <c r="BT435" s="885"/>
      <c r="BU435" s="885"/>
      <c r="BV435" s="885"/>
      <c r="BW435" s="1005"/>
      <c r="BX435" s="885"/>
      <c r="BY435" s="879"/>
      <c r="BZ435" s="2"/>
      <c r="CA435" s="885"/>
      <c r="CB435" s="885"/>
      <c r="CC435" s="2"/>
      <c r="CD435" s="504">
        <f>IFERROR(AVERAGEIF($V$7:AB$7,"&lt;="&amp;$I$7,V435:AB435),0)</f>
        <v>0</v>
      </c>
      <c r="CE435" s="2"/>
      <c r="CH435" s="93" t="str">
        <f t="shared" si="1003"/>
        <v>E1 - Execução de estaca EE1.01</v>
      </c>
    </row>
    <row r="436" spans="1:86" s="16" customFormat="1" ht="15.95" hidden="1" customHeight="1" outlineLevel="1">
      <c r="A436" s="74"/>
      <c r="B436" s="1035" t="s">
        <v>4047</v>
      </c>
      <c r="C436" s="1014" t="s">
        <v>1437</v>
      </c>
      <c r="D436" s="2"/>
      <c r="E436" s="1004">
        <v>1</v>
      </c>
      <c r="F436" s="2"/>
      <c r="G436" s="49" t="s">
        <v>37</v>
      </c>
      <c r="H436" s="705">
        <v>0</v>
      </c>
      <c r="I436" s="878" t="str">
        <f t="shared" ref="I436" si="1019">IFERROR((H437/H436),"-")</f>
        <v>-</v>
      </c>
      <c r="J436" s="2"/>
      <c r="K436" s="705"/>
      <c r="L436" s="705"/>
      <c r="M436" s="705"/>
      <c r="N436" s="705"/>
      <c r="O436" s="705"/>
      <c r="P436" s="705"/>
      <c r="Q436" s="705"/>
      <c r="R436" s="2"/>
      <c r="S436" s="705">
        <f ca="1">SUMIF($K$7:Q$7,"&lt;="&amp;$I$7,K436:P436)</f>
        <v>0</v>
      </c>
      <c r="T436" s="878" t="str">
        <f ca="1">IFERROR((S437/S436),"-")</f>
        <v>-</v>
      </c>
      <c r="U436" s="2"/>
      <c r="V436" s="705"/>
      <c r="W436" s="705"/>
      <c r="X436" s="705"/>
      <c r="Y436" s="705"/>
      <c r="Z436" s="705"/>
      <c r="AA436" s="705"/>
      <c r="AB436" s="705"/>
      <c r="AC436" s="2"/>
      <c r="AD436" s="705">
        <f ca="1">SUMIF($V$7:AB$7,"&lt;="&amp;$I$7,V436:AA436)</f>
        <v>0</v>
      </c>
      <c r="AE436" s="878" t="str">
        <f ca="1">IFERROR((AD437/AD436),"-")</f>
        <v>-</v>
      </c>
      <c r="AF436" s="2"/>
      <c r="AG436" s="705"/>
      <c r="AH436" s="705"/>
      <c r="AI436" s="705"/>
      <c r="AJ436" s="705"/>
      <c r="AK436" s="705"/>
      <c r="AL436" s="705"/>
      <c r="AM436" s="705"/>
      <c r="AN436" s="2"/>
      <c r="AO436" s="705">
        <f ca="1">SUMIF($AG$7:AM$7,"&lt;="&amp;$I$7,AG436:AL436)</f>
        <v>0</v>
      </c>
      <c r="AP436" s="878" t="str">
        <f ca="1">IFERROR((AO437/AO436),"-")</f>
        <v>-</v>
      </c>
      <c r="AQ436" s="2"/>
      <c r="AR436" s="705"/>
      <c r="AS436" s="705"/>
      <c r="AT436" s="705"/>
      <c r="AU436" s="705"/>
      <c r="AV436" s="705"/>
      <c r="AW436" s="705"/>
      <c r="AX436" s="705"/>
      <c r="AY436" s="2"/>
      <c r="AZ436" s="705">
        <f ca="1">SUMIF($AR$7:AX$7,"&lt;="&amp;$I$7,AR436:AW436)</f>
        <v>0</v>
      </c>
      <c r="BA436" s="878" t="str">
        <f ca="1">IFERROR((AZ437/AZ436),"-")</f>
        <v>-</v>
      </c>
      <c r="BB436" s="2"/>
      <c r="BC436" s="705"/>
      <c r="BD436" s="705"/>
      <c r="BE436" s="705"/>
      <c r="BF436" s="705"/>
      <c r="BG436" s="705"/>
      <c r="BH436" s="705"/>
      <c r="BI436" s="705"/>
      <c r="BJ436" s="2"/>
      <c r="BK436" s="705">
        <f ca="1">SUMIF($BC$7:BI$7,"&lt;="&amp;$I$7,BC436:BH436)</f>
        <v>0</v>
      </c>
      <c r="BL436" s="878" t="str">
        <f ca="1">IFERROR((BK437/BK436),"-")</f>
        <v>-</v>
      </c>
      <c r="BM436" s="2"/>
      <c r="BN436" s="884">
        <v>0</v>
      </c>
      <c r="BO436" s="921">
        <v>0</v>
      </c>
      <c r="BP436" s="884">
        <f>SUM(M437:P437,V437:AB437,AG437:AM437,AR437:AX437,BC437:BI437)</f>
        <v>0</v>
      </c>
      <c r="BQ436" s="878" t="str">
        <f t="shared" ref="BQ436" si="1020">IFERROR((BP436/BO436),"-")</f>
        <v>-</v>
      </c>
      <c r="BR436" s="2"/>
      <c r="BS436" s="884"/>
      <c r="BT436" s="884"/>
      <c r="BU436" s="884">
        <f ca="1">E436+S437+AD437+AO437+AZ437+BK437-K437-L437</f>
        <v>1</v>
      </c>
      <c r="BV436" s="1016" t="e">
        <v>#N/A</v>
      </c>
      <c r="BW436" s="1004" t="str">
        <f ca="1">IFERROR((BU436/BV436),"-")</f>
        <v>-</v>
      </c>
      <c r="BX436" s="884">
        <v>0</v>
      </c>
      <c r="BY436" s="878" t="str">
        <f ca="1">IFERROR((BU436/BX436),"-")</f>
        <v>-</v>
      </c>
      <c r="BZ436" s="2"/>
      <c r="CA436" s="884">
        <v>0</v>
      </c>
      <c r="CB436" s="884">
        <v>0</v>
      </c>
      <c r="CC436" s="2"/>
      <c r="CD436" s="504">
        <f>IFERROR(AVERAGEIF($V$7:AB$7,"&lt;="&amp;$I$7,V436:AB436),0)</f>
        <v>0</v>
      </c>
      <c r="CE436" s="2"/>
      <c r="CH436" s="93" t="str">
        <f t="shared" si="1003"/>
        <v>E1 - Execução de estaca EE1.02</v>
      </c>
    </row>
    <row r="437" spans="1:86" s="16" customFormat="1" ht="20.45" hidden="1" customHeight="1" outlineLevel="1">
      <c r="A437" s="74"/>
      <c r="B437" s="1036"/>
      <c r="C437" s="1034"/>
      <c r="D437" s="2"/>
      <c r="E437" s="1005"/>
      <c r="F437" s="2"/>
      <c r="G437" s="50" t="s">
        <v>38</v>
      </c>
      <c r="H437" s="705">
        <v>0</v>
      </c>
      <c r="I437" s="879"/>
      <c r="J437" s="2"/>
      <c r="K437" s="86"/>
      <c r="L437" s="86"/>
      <c r="M437" s="86"/>
      <c r="N437" s="86"/>
      <c r="O437" s="86"/>
      <c r="P437" s="86"/>
      <c r="Q437" s="706"/>
      <c r="R437" s="2"/>
      <c r="S437" s="705">
        <f ca="1">SUMIF($K$7:Q$7,"&lt;="&amp;$I$7,K437:P437)</f>
        <v>0</v>
      </c>
      <c r="T437" s="879"/>
      <c r="U437" s="2"/>
      <c r="V437" s="86"/>
      <c r="W437" s="86"/>
      <c r="X437" s="86"/>
      <c r="Y437" s="86"/>
      <c r="Z437" s="86"/>
      <c r="AA437" s="86"/>
      <c r="AB437" s="706"/>
      <c r="AC437" s="2"/>
      <c r="AD437" s="705">
        <f ca="1">SUMIF($V$7:AB$7,"&lt;="&amp;$I$7,V437:AA437)</f>
        <v>0</v>
      </c>
      <c r="AE437" s="879"/>
      <c r="AF437" s="2"/>
      <c r="AG437" s="86"/>
      <c r="AH437" s="86"/>
      <c r="AI437" s="86"/>
      <c r="AJ437" s="86"/>
      <c r="AK437" s="86"/>
      <c r="AL437" s="86"/>
      <c r="AM437" s="706"/>
      <c r="AN437" s="2"/>
      <c r="AO437" s="705">
        <f ca="1">SUMIF($AG$7:AM$7,"&lt;="&amp;$I$7,AG437:AL437)</f>
        <v>0</v>
      </c>
      <c r="AP437" s="879"/>
      <c r="AQ437" s="2"/>
      <c r="AR437" s="86"/>
      <c r="AS437" s="86"/>
      <c r="AT437" s="86"/>
      <c r="AU437" s="86"/>
      <c r="AV437" s="86"/>
      <c r="AW437" s="86"/>
      <c r="AX437" s="706"/>
      <c r="AY437" s="2"/>
      <c r="AZ437" s="705">
        <f ca="1">SUMIF($AR$7:AX$7,"&lt;="&amp;$I$7,AR437:AW437)</f>
        <v>0</v>
      </c>
      <c r="BA437" s="879"/>
      <c r="BB437" s="2"/>
      <c r="BC437" s="86"/>
      <c r="BD437" s="86"/>
      <c r="BE437" s="86"/>
      <c r="BF437" s="86"/>
      <c r="BG437" s="86"/>
      <c r="BH437" s="86"/>
      <c r="BI437" s="706"/>
      <c r="BJ437" s="2"/>
      <c r="BK437" s="705">
        <f ca="1">SUMIF($BC$7:BI$7,"&lt;="&amp;$I$7,BC437:BH437)</f>
        <v>0</v>
      </c>
      <c r="BL437" s="879"/>
      <c r="BM437" s="2"/>
      <c r="BN437" s="885"/>
      <c r="BO437" s="922"/>
      <c r="BP437" s="885"/>
      <c r="BQ437" s="879"/>
      <c r="BR437" s="2"/>
      <c r="BS437" s="885"/>
      <c r="BT437" s="885"/>
      <c r="BU437" s="885"/>
      <c r="BV437" s="1017"/>
      <c r="BW437" s="1005"/>
      <c r="BX437" s="885"/>
      <c r="BY437" s="879"/>
      <c r="BZ437" s="2"/>
      <c r="CA437" s="885"/>
      <c r="CB437" s="885"/>
      <c r="CC437" s="2"/>
      <c r="CD437" s="504">
        <f>IFERROR(AVERAGEIF($V$7:AB$7,"&lt;="&amp;$I$7,V437:AB437),0)</f>
        <v>0</v>
      </c>
      <c r="CE437" s="2"/>
      <c r="CH437" s="93" t="str">
        <f t="shared" si="1003"/>
        <v>E1 - Execução de estaca EE1.02</v>
      </c>
    </row>
    <row r="438" spans="1:86" s="16" customFormat="1" ht="15.95" hidden="1" customHeight="1" outlineLevel="1">
      <c r="A438" s="74"/>
      <c r="B438" s="1035" t="s">
        <v>4048</v>
      </c>
      <c r="C438" s="1014" t="s">
        <v>1437</v>
      </c>
      <c r="D438" s="2"/>
      <c r="E438" s="1004">
        <v>0</v>
      </c>
      <c r="F438" s="2"/>
      <c r="G438" s="49" t="s">
        <v>37</v>
      </c>
      <c r="H438" s="705">
        <v>0</v>
      </c>
      <c r="I438" s="878" t="str">
        <f t="shared" ref="I438" si="1021">IFERROR((H439/H438),"-")</f>
        <v>-</v>
      </c>
      <c r="J438" s="2"/>
      <c r="K438" s="705" t="s">
        <v>1434</v>
      </c>
      <c r="L438" s="705">
        <v>1</v>
      </c>
      <c r="M438" s="705"/>
      <c r="N438" s="705"/>
      <c r="O438" s="705"/>
      <c r="P438" s="705"/>
      <c r="Q438" s="705"/>
      <c r="R438" s="2"/>
      <c r="S438" s="705">
        <f ca="1">SUMIF($K$7:Q$7,"&lt;="&amp;$I$7,K438:P438)</f>
        <v>1</v>
      </c>
      <c r="T438" s="878">
        <f ca="1">IFERROR((S439/S438),"-")</f>
        <v>1</v>
      </c>
      <c r="U438" s="2"/>
      <c r="V438" s="705"/>
      <c r="W438" s="705"/>
      <c r="X438" s="705"/>
      <c r="Y438" s="705"/>
      <c r="Z438" s="705"/>
      <c r="AA438" s="705"/>
      <c r="AB438" s="705"/>
      <c r="AC438" s="2"/>
      <c r="AD438" s="705">
        <f ca="1">SUMIF($V$7:AB$7,"&lt;="&amp;$I$7,V438:AA438)</f>
        <v>0</v>
      </c>
      <c r="AE438" s="878" t="str">
        <f ca="1">IFERROR((AD439/AD438),"-")</f>
        <v>-</v>
      </c>
      <c r="AF438" s="2"/>
      <c r="AG438" s="705"/>
      <c r="AH438" s="705"/>
      <c r="AI438" s="705"/>
      <c r="AJ438" s="705"/>
      <c r="AK438" s="705"/>
      <c r="AL438" s="705"/>
      <c r="AM438" s="705"/>
      <c r="AN438" s="2"/>
      <c r="AO438" s="705">
        <f ca="1">SUMIF($AG$7:AM$7,"&lt;="&amp;$I$7,AG438:AL438)</f>
        <v>0</v>
      </c>
      <c r="AP438" s="878" t="str">
        <f ca="1">IFERROR((AO439/AO438),"-")</f>
        <v>-</v>
      </c>
      <c r="AQ438" s="2"/>
      <c r="AR438" s="705"/>
      <c r="AS438" s="705"/>
      <c r="AT438" s="410"/>
      <c r="AU438" s="411"/>
      <c r="AV438" s="705"/>
      <c r="AW438" s="705"/>
      <c r="AX438" s="705"/>
      <c r="AY438" s="2"/>
      <c r="AZ438" s="705">
        <f ca="1">SUMIF($AR$7:AX$7,"&lt;="&amp;$I$7,AR438:AW438)</f>
        <v>0</v>
      </c>
      <c r="BA438" s="878" t="str">
        <f ca="1">IFERROR((AZ439/AZ438),"-")</f>
        <v>-</v>
      </c>
      <c r="BB438" s="2"/>
      <c r="BC438" s="705"/>
      <c r="BD438" s="705"/>
      <c r="BE438" s="410"/>
      <c r="BF438" s="411"/>
      <c r="BG438" s="705"/>
      <c r="BH438" s="705"/>
      <c r="BI438" s="705"/>
      <c r="BJ438" s="2"/>
      <c r="BK438" s="705">
        <f ca="1">SUMIF($BC$7:BI$7,"&lt;="&amp;$I$7,BC438:BH438)</f>
        <v>0</v>
      </c>
      <c r="BL438" s="878" t="str">
        <f ca="1">IFERROR((BK439/BK438),"-")</f>
        <v>-</v>
      </c>
      <c r="BM438" s="2"/>
      <c r="BN438" s="884">
        <v>0</v>
      </c>
      <c r="BO438" s="921">
        <v>0</v>
      </c>
      <c r="BP438" s="884">
        <f>SUM(M439:P439,V439:AB439,AG439:AM439,AR439:AX439,BC439:BI439)</f>
        <v>1</v>
      </c>
      <c r="BQ438" s="878" t="str">
        <f t="shared" ref="BQ438" si="1022">IFERROR((BP438/BO438),"-")</f>
        <v>-</v>
      </c>
      <c r="BR438" s="2"/>
      <c r="BS438" s="884"/>
      <c r="BT438" s="884"/>
      <c r="BU438" s="884">
        <f ca="1">E438+S439+AD439+AO439+AZ439+BK439-K439-L439</f>
        <v>1</v>
      </c>
      <c r="BV438" s="1016" t="e">
        <v>#N/A</v>
      </c>
      <c r="BW438" s="1004" t="str">
        <f ca="1">IFERROR((BU438/BV438),"-")</f>
        <v>-</v>
      </c>
      <c r="BX438" s="884">
        <v>0</v>
      </c>
      <c r="BY438" s="878" t="str">
        <f ca="1">IFERROR((BU438/BX438),"-")</f>
        <v>-</v>
      </c>
      <c r="BZ438" s="2"/>
      <c r="CA438" s="884">
        <v>0</v>
      </c>
      <c r="CB438" s="884">
        <v>0</v>
      </c>
      <c r="CC438" s="2"/>
      <c r="CD438" s="504">
        <f>IFERROR(AVERAGEIF($V$7:AB$7,"&lt;="&amp;$I$7,V438:AB438),0)</f>
        <v>0</v>
      </c>
      <c r="CE438" s="2"/>
      <c r="CH438" s="93" t="str">
        <f t="shared" si="1003"/>
        <v>E1 - Execução de estaca EE1.03</v>
      </c>
    </row>
    <row r="439" spans="1:86" s="16" customFormat="1" ht="20.45" hidden="1" customHeight="1" outlineLevel="1">
      <c r="A439" s="74"/>
      <c r="B439" s="1036"/>
      <c r="C439" s="1034"/>
      <c r="D439" s="2"/>
      <c r="E439" s="1005"/>
      <c r="F439" s="2"/>
      <c r="G439" s="50" t="s">
        <v>38</v>
      </c>
      <c r="H439" s="705">
        <v>0</v>
      </c>
      <c r="I439" s="879"/>
      <c r="J439" s="2"/>
      <c r="K439" s="86"/>
      <c r="L439" s="86"/>
      <c r="M439" s="86"/>
      <c r="N439" s="86">
        <v>1</v>
      </c>
      <c r="O439" s="86"/>
      <c r="P439" s="86"/>
      <c r="Q439" s="706"/>
      <c r="R439" s="2"/>
      <c r="S439" s="705">
        <f ca="1">SUMIF($K$7:Q$7,"&lt;="&amp;$I$7,K439:P439)</f>
        <v>1</v>
      </c>
      <c r="T439" s="879"/>
      <c r="U439" s="2"/>
      <c r="V439" s="86"/>
      <c r="W439" s="86"/>
      <c r="X439" s="86"/>
      <c r="Y439" s="86"/>
      <c r="Z439" s="86"/>
      <c r="AA439" s="86"/>
      <c r="AB439" s="706"/>
      <c r="AC439" s="2"/>
      <c r="AD439" s="705">
        <f ca="1">SUMIF($V$7:AB$7,"&lt;="&amp;$I$7,V439:AA439)</f>
        <v>0</v>
      </c>
      <c r="AE439" s="879"/>
      <c r="AF439" s="2"/>
      <c r="AG439" s="86"/>
      <c r="AH439" s="86"/>
      <c r="AI439" s="86"/>
      <c r="AJ439" s="86"/>
      <c r="AK439" s="86"/>
      <c r="AL439" s="86"/>
      <c r="AM439" s="706"/>
      <c r="AN439" s="2"/>
      <c r="AO439" s="705">
        <f ca="1">SUMIF($AG$7:AM$7,"&lt;="&amp;$I$7,AG439:AL439)</f>
        <v>0</v>
      </c>
      <c r="AP439" s="879"/>
      <c r="AQ439" s="2"/>
      <c r="AR439" s="86"/>
      <c r="AS439" s="86"/>
      <c r="AT439" s="86"/>
      <c r="AU439" s="86"/>
      <c r="AV439" s="86"/>
      <c r="AW439" s="86"/>
      <c r="AX439" s="706"/>
      <c r="AY439" s="2"/>
      <c r="AZ439" s="705">
        <f ca="1">SUMIF($AR$7:AX$7,"&lt;="&amp;$I$7,AR439:AW439)</f>
        <v>0</v>
      </c>
      <c r="BA439" s="879"/>
      <c r="BB439" s="2"/>
      <c r="BC439" s="86"/>
      <c r="BD439" s="86"/>
      <c r="BE439" s="86"/>
      <c r="BF439" s="86"/>
      <c r="BG439" s="86"/>
      <c r="BH439" s="86"/>
      <c r="BI439" s="706"/>
      <c r="BJ439" s="2"/>
      <c r="BK439" s="705">
        <f ca="1">SUMIF($BC$7:BI$7,"&lt;="&amp;$I$7,BC439:BH439)</f>
        <v>0</v>
      </c>
      <c r="BL439" s="879"/>
      <c r="BM439" s="2"/>
      <c r="BN439" s="885"/>
      <c r="BO439" s="922"/>
      <c r="BP439" s="885"/>
      <c r="BQ439" s="879"/>
      <c r="BR439" s="2"/>
      <c r="BS439" s="885"/>
      <c r="BT439" s="885"/>
      <c r="BU439" s="885"/>
      <c r="BV439" s="1017"/>
      <c r="BW439" s="1005"/>
      <c r="BX439" s="885"/>
      <c r="BY439" s="879"/>
      <c r="BZ439" s="2"/>
      <c r="CA439" s="885"/>
      <c r="CB439" s="885"/>
      <c r="CC439" s="3"/>
      <c r="CD439" s="7"/>
      <c r="CE439" s="2"/>
      <c r="CH439" s="93" t="str">
        <f t="shared" si="1003"/>
        <v>E1 - Execução de estaca EE1.03</v>
      </c>
    </row>
    <row r="440" spans="1:86" s="16" customFormat="1" ht="14.65" hidden="1" customHeight="1" outlineLevel="1">
      <c r="A440" s="74"/>
      <c r="B440" s="1035" t="s">
        <v>4049</v>
      </c>
      <c r="C440" s="1014" t="s">
        <v>1437</v>
      </c>
      <c r="D440" s="2"/>
      <c r="E440" s="1004">
        <v>0</v>
      </c>
      <c r="F440" s="2"/>
      <c r="G440" s="49" t="s">
        <v>37</v>
      </c>
      <c r="H440" s="705">
        <v>0</v>
      </c>
      <c r="I440" s="878" t="str">
        <f t="shared" ref="I440" si="1023">IFERROR((H441/H440),"-")</f>
        <v>-</v>
      </c>
      <c r="J440" s="2"/>
      <c r="K440" s="705"/>
      <c r="L440" s="705"/>
      <c r="M440" s="705"/>
      <c r="N440" s="705"/>
      <c r="O440" s="705"/>
      <c r="P440" s="705"/>
      <c r="Q440" s="705"/>
      <c r="R440" s="2"/>
      <c r="S440" s="705">
        <f ca="1">SUMIF($K$7:Q$7,"&lt;="&amp;$I$7,K440:P440)</f>
        <v>0</v>
      </c>
      <c r="T440" s="878" t="str">
        <f ca="1">IFERROR((S441/S440),"-")</f>
        <v>-</v>
      </c>
      <c r="U440" s="2"/>
      <c r="V440" s="705"/>
      <c r="W440" s="705"/>
      <c r="X440" s="705"/>
      <c r="Y440" s="705"/>
      <c r="Z440" s="705"/>
      <c r="AA440" s="705"/>
      <c r="AB440" s="705"/>
      <c r="AC440" s="2"/>
      <c r="AD440" s="705">
        <f ca="1">SUMIF($V$7:AB$7,"&lt;="&amp;$I$7,V440:AA440)</f>
        <v>0</v>
      </c>
      <c r="AE440" s="878" t="str">
        <f ca="1">IFERROR((AD441/AD440),"-")</f>
        <v>-</v>
      </c>
      <c r="AF440" s="2"/>
      <c r="AG440" s="705"/>
      <c r="AH440" s="705"/>
      <c r="AI440" s="705"/>
      <c r="AJ440" s="705"/>
      <c r="AK440" s="705"/>
      <c r="AL440" s="705"/>
      <c r="AM440" s="705"/>
      <c r="AN440" s="2"/>
      <c r="AO440" s="705">
        <f ca="1">SUMIF($AG$7:AM$7,"&lt;="&amp;$I$7,AG440:AL440)</f>
        <v>0</v>
      </c>
      <c r="AP440" s="878" t="str">
        <f ca="1">IFERROR((AO441/AO440),"-")</f>
        <v>-</v>
      </c>
      <c r="AQ440" s="2"/>
      <c r="AR440" s="705"/>
      <c r="AS440" s="705"/>
      <c r="AT440" s="705"/>
      <c r="AU440" s="705"/>
      <c r="AV440" s="705"/>
      <c r="AW440" s="705"/>
      <c r="AX440" s="705"/>
      <c r="AY440" s="2"/>
      <c r="AZ440" s="705">
        <f ca="1">SUMIF($AR$7:AX$7,"&lt;="&amp;$I$7,AR440:AW440)</f>
        <v>0</v>
      </c>
      <c r="BA440" s="878" t="str">
        <f ca="1">IFERROR((AZ441/AZ440),"-")</f>
        <v>-</v>
      </c>
      <c r="BB440" s="2"/>
      <c r="BC440" s="705"/>
      <c r="BD440" s="705"/>
      <c r="BE440" s="705"/>
      <c r="BF440" s="705"/>
      <c r="BG440" s="705"/>
      <c r="BH440" s="705"/>
      <c r="BI440" s="705"/>
      <c r="BJ440" s="2"/>
      <c r="BK440" s="705">
        <f ca="1">SUMIF($BC$7:BI$7,"&lt;="&amp;$I$7,BC440:BH440)</f>
        <v>0</v>
      </c>
      <c r="BL440" s="878" t="str">
        <f ca="1">IFERROR((BK441/BK440),"-")</f>
        <v>-</v>
      </c>
      <c r="BM440" s="2"/>
      <c r="BN440" s="884">
        <v>0</v>
      </c>
      <c r="BO440" s="921">
        <v>0</v>
      </c>
      <c r="BP440" s="884">
        <f>SUM(M441:P441,V441:AB441,AG441:AM441,AR441:AX441,BC441:BI441)</f>
        <v>0</v>
      </c>
      <c r="BQ440" s="878" t="str">
        <f t="shared" ref="BQ440" si="1024">IFERROR((BP440/BO440),"-")</f>
        <v>-</v>
      </c>
      <c r="BR440" s="2"/>
      <c r="BS440" s="884"/>
      <c r="BT440" s="884"/>
      <c r="BU440" s="884">
        <f ca="1">E440+S441+AD441+AO441+AZ441+BK441-K441-L441</f>
        <v>0</v>
      </c>
      <c r="BV440" s="1016" t="e">
        <v>#N/A</v>
      </c>
      <c r="BW440" s="1004" t="str">
        <f ca="1">IFERROR((BU440/BV440),"-")</f>
        <v>-</v>
      </c>
      <c r="BX440" s="884">
        <v>0</v>
      </c>
      <c r="BY440" s="878" t="str">
        <f ca="1">IFERROR((BU440/BX440),"-")</f>
        <v>-</v>
      </c>
      <c r="BZ440" s="2"/>
      <c r="CA440" s="884">
        <v>0</v>
      </c>
      <c r="CB440" s="884">
        <v>0</v>
      </c>
      <c r="CC440" s="2"/>
      <c r="CD440" s="84">
        <f>IFERROR(AVERAGEIF($V$7:AB$7,"&lt;="&amp;$I$7,V440:AB440),0)</f>
        <v>0</v>
      </c>
      <c r="CE440" s="2"/>
      <c r="CH440" s="93" t="str">
        <f t="shared" si="1003"/>
        <v>E1 - Execução de estaca EE1.04</v>
      </c>
    </row>
    <row r="441" spans="1:86" s="16" customFormat="1" ht="20.45" hidden="1" customHeight="1" outlineLevel="1">
      <c r="A441" s="74"/>
      <c r="B441" s="1036"/>
      <c r="C441" s="1034"/>
      <c r="D441" s="2"/>
      <c r="E441" s="1005"/>
      <c r="F441" s="2"/>
      <c r="G441" s="50" t="s">
        <v>38</v>
      </c>
      <c r="H441" s="705">
        <v>0</v>
      </c>
      <c r="I441" s="879"/>
      <c r="J441" s="2"/>
      <c r="K441" s="86"/>
      <c r="L441" s="86"/>
      <c r="M441" s="86"/>
      <c r="N441" s="86"/>
      <c r="O441" s="86"/>
      <c r="P441" s="86"/>
      <c r="Q441" s="706"/>
      <c r="R441" s="2"/>
      <c r="S441" s="705">
        <f ca="1">SUMIF($K$7:Q$7,"&lt;="&amp;$I$7,K441:P441)</f>
        <v>0</v>
      </c>
      <c r="T441" s="879"/>
      <c r="U441" s="2"/>
      <c r="V441" s="86"/>
      <c r="W441" s="86"/>
      <c r="X441" s="86"/>
      <c r="Y441" s="86"/>
      <c r="Z441" s="86"/>
      <c r="AA441" s="86"/>
      <c r="AB441" s="706"/>
      <c r="AC441" s="2"/>
      <c r="AD441" s="705">
        <f ca="1">SUMIF($V$7:AB$7,"&lt;="&amp;$I$7,V441:AA441)</f>
        <v>0</v>
      </c>
      <c r="AE441" s="879"/>
      <c r="AF441" s="2"/>
      <c r="AG441" s="86"/>
      <c r="AH441" s="86"/>
      <c r="AI441" s="86"/>
      <c r="AJ441" s="86"/>
      <c r="AK441" s="86"/>
      <c r="AL441" s="86"/>
      <c r="AM441" s="706"/>
      <c r="AN441" s="2"/>
      <c r="AO441" s="705">
        <f ca="1">SUMIF($AG$7:AM$7,"&lt;="&amp;$I$7,AG441:AL441)</f>
        <v>0</v>
      </c>
      <c r="AP441" s="879"/>
      <c r="AQ441" s="2"/>
      <c r="AR441" s="86"/>
      <c r="AS441" s="86"/>
      <c r="AT441" s="86"/>
      <c r="AU441" s="86"/>
      <c r="AV441" s="86"/>
      <c r="AW441" s="86"/>
      <c r="AX441" s="706"/>
      <c r="AY441" s="2"/>
      <c r="AZ441" s="705">
        <f ca="1">SUMIF($AR$7:AX$7,"&lt;="&amp;$I$7,AR441:AW441)</f>
        <v>0</v>
      </c>
      <c r="BA441" s="879"/>
      <c r="BB441" s="2"/>
      <c r="BC441" s="86"/>
      <c r="BD441" s="86"/>
      <c r="BE441" s="86"/>
      <c r="BF441" s="86"/>
      <c r="BG441" s="86"/>
      <c r="BH441" s="86"/>
      <c r="BI441" s="706"/>
      <c r="BJ441" s="2"/>
      <c r="BK441" s="705">
        <f ca="1">SUMIF($BC$7:BI$7,"&lt;="&amp;$I$7,BC441:BH441)</f>
        <v>0</v>
      </c>
      <c r="BL441" s="879"/>
      <c r="BM441" s="2"/>
      <c r="BN441" s="885"/>
      <c r="BO441" s="922"/>
      <c r="BP441" s="885"/>
      <c r="BQ441" s="879"/>
      <c r="BR441" s="2"/>
      <c r="BS441" s="885"/>
      <c r="BT441" s="885"/>
      <c r="BU441" s="885"/>
      <c r="BV441" s="1017"/>
      <c r="BW441" s="1005"/>
      <c r="BX441" s="885"/>
      <c r="BY441" s="879"/>
      <c r="BZ441" s="2"/>
      <c r="CA441" s="885"/>
      <c r="CB441" s="885"/>
      <c r="CC441" s="2"/>
      <c r="CD441" s="84">
        <f>IFERROR(AVERAGEIF($V$7:AB$7,"&lt;="&amp;$I$7,V441:AB441),0)</f>
        <v>0</v>
      </c>
      <c r="CE441" s="2"/>
      <c r="CH441" s="93" t="str">
        <f t="shared" si="1003"/>
        <v>E1 - Execução de estaca EE1.04</v>
      </c>
    </row>
    <row r="442" spans="1:86" s="16" customFormat="1" ht="14.65" hidden="1" customHeight="1" outlineLevel="1">
      <c r="A442" s="74"/>
      <c r="B442" s="1035" t="s">
        <v>4050</v>
      </c>
      <c r="C442" s="1014" t="s">
        <v>1437</v>
      </c>
      <c r="D442" s="2"/>
      <c r="E442" s="1004">
        <v>1</v>
      </c>
      <c r="F442" s="2"/>
      <c r="G442" s="49" t="s">
        <v>37</v>
      </c>
      <c r="H442" s="705">
        <v>0</v>
      </c>
      <c r="I442" s="878" t="str">
        <f t="shared" ref="I442" si="1025">IFERROR((H443/H442),"-")</f>
        <v>-</v>
      </c>
      <c r="J442" s="2"/>
      <c r="K442" s="705"/>
      <c r="L442" s="705"/>
      <c r="M442" s="705"/>
      <c r="N442" s="705"/>
      <c r="O442" s="705" t="s">
        <v>1434</v>
      </c>
      <c r="P442" s="705">
        <v>1</v>
      </c>
      <c r="Q442" s="705"/>
      <c r="R442" s="2"/>
      <c r="S442" s="705">
        <f ca="1">SUMIF($K$7:Q$7,"&lt;="&amp;$I$7,K442:P442)</f>
        <v>1</v>
      </c>
      <c r="T442" s="878">
        <f ca="1">IFERROR((S443/S442),"-")</f>
        <v>1</v>
      </c>
      <c r="U442" s="2"/>
      <c r="V442" s="705"/>
      <c r="W442" s="705"/>
      <c r="X442" s="705"/>
      <c r="Y442" s="705"/>
      <c r="Z442" s="705"/>
      <c r="AA442" s="705"/>
      <c r="AB442" s="705"/>
      <c r="AC442" s="2"/>
      <c r="AD442" s="705">
        <f ca="1">SUMIF($V$7:AB$7,"&lt;="&amp;$I$7,V442:AA442)</f>
        <v>0</v>
      </c>
      <c r="AE442" s="878" t="str">
        <f ca="1">IFERROR((AD443/AD442),"-")</f>
        <v>-</v>
      </c>
      <c r="AF442" s="2"/>
      <c r="AG442" s="705"/>
      <c r="AH442" s="705"/>
      <c r="AI442" s="705"/>
      <c r="AJ442" s="705"/>
      <c r="AK442" s="705"/>
      <c r="AL442" s="705"/>
      <c r="AM442" s="705"/>
      <c r="AN442" s="2"/>
      <c r="AO442" s="705">
        <f ca="1">SUMIF($AG$7:AM$7,"&lt;="&amp;$I$7,AG442:AL442)</f>
        <v>0</v>
      </c>
      <c r="AP442" s="878" t="str">
        <f ca="1">IFERROR((AO443/AO442),"-")</f>
        <v>-</v>
      </c>
      <c r="AQ442" s="2"/>
      <c r="AR442" s="705"/>
      <c r="AS442" s="705"/>
      <c r="AT442" s="705"/>
      <c r="AU442" s="705"/>
      <c r="AV442" s="705"/>
      <c r="AW442" s="705"/>
      <c r="AX442" s="705"/>
      <c r="AY442" s="2"/>
      <c r="AZ442" s="705">
        <f ca="1">SUMIF($AR$7:AX$7,"&lt;="&amp;$I$7,AR442:AW442)</f>
        <v>0</v>
      </c>
      <c r="BA442" s="878" t="str">
        <f ca="1">IFERROR((AZ443/AZ442),"-")</f>
        <v>-</v>
      </c>
      <c r="BB442" s="2"/>
      <c r="BC442" s="705"/>
      <c r="BD442" s="705"/>
      <c r="BE442" s="705"/>
      <c r="BF442" s="705"/>
      <c r="BG442" s="705"/>
      <c r="BH442" s="705"/>
      <c r="BI442" s="705"/>
      <c r="BJ442" s="2"/>
      <c r="BK442" s="705">
        <f ca="1">SUMIF($BC$7:BI$7,"&lt;="&amp;$I$7,BC442:BH442)</f>
        <v>0</v>
      </c>
      <c r="BL442" s="878" t="str">
        <f ca="1">IFERROR((BK443/BK442),"-")</f>
        <v>-</v>
      </c>
      <c r="BM442" s="2"/>
      <c r="BN442" s="884">
        <v>0</v>
      </c>
      <c r="BO442" s="921">
        <v>0</v>
      </c>
      <c r="BP442" s="884">
        <f>SUM(M443:P443,V443:AB443,AG443:AM443,AR443:AX443,BC443:BI443)</f>
        <v>0</v>
      </c>
      <c r="BQ442" s="878" t="str">
        <f t="shared" ref="BQ442" si="1026">IFERROR((BP442/BO442),"-")</f>
        <v>-</v>
      </c>
      <c r="BR442" s="2"/>
      <c r="BS442" s="884"/>
      <c r="BT442" s="884"/>
      <c r="BU442" s="884">
        <f ca="1">E442+S443+AD443+AO443+AZ443+BK443-K443-L443</f>
        <v>1</v>
      </c>
      <c r="BV442" s="1016" t="e">
        <v>#N/A</v>
      </c>
      <c r="BW442" s="1004" t="str">
        <f ca="1">IFERROR((BU442/BV442),"-")</f>
        <v>-</v>
      </c>
      <c r="BX442" s="884">
        <v>0</v>
      </c>
      <c r="BY442" s="878" t="str">
        <f ca="1">IFERROR((BU442/BX442),"-")</f>
        <v>-</v>
      </c>
      <c r="BZ442" s="2"/>
      <c r="CA442" s="884">
        <v>0</v>
      </c>
      <c r="CB442" s="884">
        <v>0</v>
      </c>
      <c r="CC442" s="2"/>
      <c r="CD442" s="84">
        <f>IFERROR(AVERAGEIF($V$7:AB$7,"&lt;="&amp;$I$7,V442:AB442),0)</f>
        <v>0</v>
      </c>
      <c r="CE442" s="2"/>
      <c r="CH442" s="93" t="str">
        <f t="shared" si="1003"/>
        <v>E1 - Execução de estaca EE1.05</v>
      </c>
    </row>
    <row r="443" spans="1:86" s="21" customFormat="1" ht="14.65" hidden="1" customHeight="1" outlineLevel="1">
      <c r="A443" s="74"/>
      <c r="B443" s="1036"/>
      <c r="C443" s="1034"/>
      <c r="D443" s="2"/>
      <c r="E443" s="1005"/>
      <c r="F443" s="2"/>
      <c r="G443" s="50" t="s">
        <v>38</v>
      </c>
      <c r="H443" s="705">
        <v>0</v>
      </c>
      <c r="I443" s="879"/>
      <c r="J443" s="2"/>
      <c r="K443" s="86"/>
      <c r="L443" s="86">
        <v>1</v>
      </c>
      <c r="M443" s="86"/>
      <c r="N443" s="86"/>
      <c r="O443" s="86"/>
      <c r="P443" s="86"/>
      <c r="Q443" s="706"/>
      <c r="R443" s="2"/>
      <c r="S443" s="705">
        <f ca="1">SUMIF($K$7:Q$7,"&lt;="&amp;$I$7,K443:P443)</f>
        <v>1</v>
      </c>
      <c r="T443" s="879"/>
      <c r="U443" s="2"/>
      <c r="V443" s="86"/>
      <c r="W443" s="86"/>
      <c r="X443" s="86"/>
      <c r="Y443" s="86"/>
      <c r="Z443" s="86"/>
      <c r="AA443" s="86"/>
      <c r="AB443" s="706"/>
      <c r="AC443" s="2"/>
      <c r="AD443" s="705">
        <f ca="1">SUMIF($V$7:AB$7,"&lt;="&amp;$I$7,V443:AA443)</f>
        <v>0</v>
      </c>
      <c r="AE443" s="879"/>
      <c r="AF443" s="2"/>
      <c r="AG443" s="86"/>
      <c r="AH443" s="86"/>
      <c r="AI443" s="86"/>
      <c r="AJ443" s="86"/>
      <c r="AK443" s="86"/>
      <c r="AL443" s="86"/>
      <c r="AM443" s="706"/>
      <c r="AN443" s="2"/>
      <c r="AO443" s="705">
        <f ca="1">SUMIF($AG$7:AM$7,"&lt;="&amp;$I$7,AG443:AL443)</f>
        <v>0</v>
      </c>
      <c r="AP443" s="879"/>
      <c r="AQ443" s="2"/>
      <c r="AR443" s="86"/>
      <c r="AS443" s="86"/>
      <c r="AT443" s="86"/>
      <c r="AU443" s="86"/>
      <c r="AV443" s="86"/>
      <c r="AW443" s="86"/>
      <c r="AX443" s="706"/>
      <c r="AY443" s="2"/>
      <c r="AZ443" s="705">
        <f ca="1">SUMIF($AR$7:AX$7,"&lt;="&amp;$I$7,AR443:AW443)</f>
        <v>0</v>
      </c>
      <c r="BA443" s="879"/>
      <c r="BB443" s="2"/>
      <c r="BC443" s="86"/>
      <c r="BD443" s="86"/>
      <c r="BE443" s="86"/>
      <c r="BF443" s="86"/>
      <c r="BG443" s="86"/>
      <c r="BH443" s="86"/>
      <c r="BI443" s="706"/>
      <c r="BJ443" s="2"/>
      <c r="BK443" s="705">
        <f ca="1">SUMIF($BC$7:BI$7,"&lt;="&amp;$I$7,BC443:BH443)</f>
        <v>0</v>
      </c>
      <c r="BL443" s="879"/>
      <c r="BM443" s="2"/>
      <c r="BN443" s="885"/>
      <c r="BO443" s="922"/>
      <c r="BP443" s="885"/>
      <c r="BQ443" s="879"/>
      <c r="BR443" s="2"/>
      <c r="BS443" s="885"/>
      <c r="BT443" s="885"/>
      <c r="BU443" s="885"/>
      <c r="BV443" s="1017"/>
      <c r="BW443" s="1005"/>
      <c r="BX443" s="885"/>
      <c r="BY443" s="879"/>
      <c r="BZ443" s="2"/>
      <c r="CA443" s="885"/>
      <c r="CB443" s="885"/>
      <c r="CC443" s="2"/>
      <c r="CD443" s="84">
        <f>IFERROR(AVERAGEIF($V$7:AB$7,"&lt;="&amp;$I$7,V443:AB443),0)</f>
        <v>0</v>
      </c>
      <c r="CE443" s="2"/>
      <c r="CH443" s="93" t="str">
        <f t="shared" si="1003"/>
        <v>E1 - Execução de estaca EE1.05</v>
      </c>
    </row>
    <row r="444" spans="1:86" s="16" customFormat="1" ht="20.45" hidden="1" customHeight="1" outlineLevel="1">
      <c r="A444" s="74"/>
      <c r="B444" s="1035" t="s">
        <v>4051</v>
      </c>
      <c r="C444" s="1014" t="s">
        <v>1437</v>
      </c>
      <c r="D444" s="2"/>
      <c r="E444" s="1004">
        <v>0</v>
      </c>
      <c r="F444" s="2"/>
      <c r="G444" s="49" t="s">
        <v>37</v>
      </c>
      <c r="H444" s="705">
        <v>0</v>
      </c>
      <c r="I444" s="878" t="str">
        <f t="shared" ref="I444" si="1027">IFERROR((H445/H444),"-")</f>
        <v>-</v>
      </c>
      <c r="J444" s="2"/>
      <c r="K444" s="705"/>
      <c r="L444" s="705"/>
      <c r="M444" s="705"/>
      <c r="N444" s="705"/>
      <c r="O444" s="705"/>
      <c r="P444" s="705"/>
      <c r="Q444" s="705"/>
      <c r="R444" s="2"/>
      <c r="S444" s="705">
        <f ca="1">SUMIF($K$7:Q$7,"&lt;="&amp;$I$7,K444:P444)</f>
        <v>0</v>
      </c>
      <c r="T444" s="878" t="str">
        <f ca="1">IFERROR((S445/S444),"-")</f>
        <v>-</v>
      </c>
      <c r="U444" s="2"/>
      <c r="V444" s="705"/>
      <c r="W444" s="705"/>
      <c r="X444" s="705"/>
      <c r="Y444" s="705"/>
      <c r="Z444" s="705"/>
      <c r="AA444" s="705"/>
      <c r="AB444" s="705"/>
      <c r="AC444" s="2"/>
      <c r="AD444" s="705">
        <f ca="1">SUMIF($V$7:AB$7,"&lt;="&amp;$I$7,V444:AA444)</f>
        <v>0</v>
      </c>
      <c r="AE444" s="878" t="str">
        <f ca="1">IFERROR((AD445/AD444),"-")</f>
        <v>-</v>
      </c>
      <c r="AF444" s="2"/>
      <c r="AG444" s="705"/>
      <c r="AH444" s="705"/>
      <c r="AI444" s="705"/>
      <c r="AJ444" s="705"/>
      <c r="AK444" s="705"/>
      <c r="AL444" s="705"/>
      <c r="AM444" s="705"/>
      <c r="AN444" s="2"/>
      <c r="AO444" s="705">
        <f ca="1">SUMIF($AG$7:AM$7,"&lt;="&amp;$I$7,AG444:AL444)</f>
        <v>0</v>
      </c>
      <c r="AP444" s="878" t="str">
        <f ca="1">IFERROR((AO445/AO444),"-")</f>
        <v>-</v>
      </c>
      <c r="AQ444" s="2"/>
      <c r="AR444" s="705"/>
      <c r="AS444" s="705"/>
      <c r="AT444" s="705"/>
      <c r="AU444" s="705"/>
      <c r="AV444" s="705"/>
      <c r="AW444" s="705"/>
      <c r="AX444" s="705"/>
      <c r="AY444" s="2"/>
      <c r="AZ444" s="705">
        <f ca="1">SUMIF($AR$7:AX$7,"&lt;="&amp;$I$7,AR444:AW444)</f>
        <v>0</v>
      </c>
      <c r="BA444" s="878" t="str">
        <f ca="1">IFERROR((AZ445/AZ444),"-")</f>
        <v>-</v>
      </c>
      <c r="BB444" s="2"/>
      <c r="BC444" s="705"/>
      <c r="BD444" s="705"/>
      <c r="BE444" s="705"/>
      <c r="BF444" s="705"/>
      <c r="BG444" s="705"/>
      <c r="BH444" s="705"/>
      <c r="BI444" s="705"/>
      <c r="BJ444" s="2"/>
      <c r="BK444" s="705">
        <f ca="1">SUMIF($BC$7:BI$7,"&lt;="&amp;$I$7,BC444:BH444)</f>
        <v>0</v>
      </c>
      <c r="BL444" s="878" t="str">
        <f ca="1">IFERROR((BK445/BK444),"-")</f>
        <v>-</v>
      </c>
      <c r="BM444" s="2"/>
      <c r="BN444" s="884">
        <v>0</v>
      </c>
      <c r="BO444" s="921">
        <v>0</v>
      </c>
      <c r="BP444" s="884">
        <f>SUM(M445:P445,V445:AB445,AG445:AM445,AR445:AX445,BC445:BI445)</f>
        <v>0</v>
      </c>
      <c r="BQ444" s="878" t="str">
        <f t="shared" ref="BQ444" si="1028">IFERROR((BP444/BO444),"-")</f>
        <v>-</v>
      </c>
      <c r="BR444" s="2"/>
      <c r="BS444" s="884"/>
      <c r="BT444" s="884"/>
      <c r="BU444" s="884">
        <f ca="1">E444+S445+AD445+AO445+AZ445+BK445-K445-L445</f>
        <v>0</v>
      </c>
      <c r="BV444" s="884">
        <v>104</v>
      </c>
      <c r="BW444" s="1004">
        <f ca="1">IFERROR((BU444/BV444),"-")</f>
        <v>0</v>
      </c>
      <c r="BX444" s="884">
        <v>0</v>
      </c>
      <c r="BY444" s="878" t="str">
        <f ca="1">IFERROR((BU444/BX444),"-")</f>
        <v>-</v>
      </c>
      <c r="BZ444" s="2"/>
      <c r="CA444" s="884">
        <v>0</v>
      </c>
      <c r="CB444" s="884">
        <v>0</v>
      </c>
      <c r="CC444" s="2"/>
      <c r="CD444" s="84">
        <f>IFERROR(AVERAGEIF($V$7:AB$7,"&lt;="&amp;$I$7,V444:AB444),0)</f>
        <v>0</v>
      </c>
      <c r="CE444" s="2"/>
      <c r="CH444" s="93" t="str">
        <f t="shared" si="1003"/>
        <v>E1 - Execução de estaca EE1.11</v>
      </c>
    </row>
    <row r="445" spans="1:86" s="16" customFormat="1" ht="20.45" hidden="1" customHeight="1" outlineLevel="1">
      <c r="A445" s="74"/>
      <c r="B445" s="1036"/>
      <c r="C445" s="1034"/>
      <c r="D445" s="2"/>
      <c r="E445" s="1005"/>
      <c r="F445" s="2"/>
      <c r="G445" s="50" t="s">
        <v>38</v>
      </c>
      <c r="H445" s="705">
        <v>0</v>
      </c>
      <c r="I445" s="879"/>
      <c r="J445" s="2"/>
      <c r="K445" s="86"/>
      <c r="L445" s="86"/>
      <c r="M445" s="86"/>
      <c r="N445" s="86"/>
      <c r="O445" s="86"/>
      <c r="P445" s="86"/>
      <c r="Q445" s="706"/>
      <c r="R445" s="2"/>
      <c r="S445" s="705">
        <f ca="1">SUMIF($K$7:Q$7,"&lt;="&amp;$I$7,K445:P445)</f>
        <v>0</v>
      </c>
      <c r="T445" s="879"/>
      <c r="U445" s="2"/>
      <c r="V445" s="86"/>
      <c r="W445" s="86"/>
      <c r="X445" s="86"/>
      <c r="Y445" s="86"/>
      <c r="Z445" s="86"/>
      <c r="AA445" s="86"/>
      <c r="AB445" s="706"/>
      <c r="AC445" s="2"/>
      <c r="AD445" s="705">
        <f ca="1">SUMIF($V$7:AB$7,"&lt;="&amp;$I$7,V445:AA445)</f>
        <v>0</v>
      </c>
      <c r="AE445" s="879"/>
      <c r="AF445" s="2"/>
      <c r="AG445" s="86"/>
      <c r="AH445" s="86"/>
      <c r="AI445" s="86"/>
      <c r="AJ445" s="86"/>
      <c r="AK445" s="86"/>
      <c r="AL445" s="86"/>
      <c r="AM445" s="706"/>
      <c r="AN445" s="2"/>
      <c r="AO445" s="705">
        <f ca="1">SUMIF($AG$7:AM$7,"&lt;="&amp;$I$7,AG445:AL445)</f>
        <v>0</v>
      </c>
      <c r="AP445" s="879"/>
      <c r="AQ445" s="2"/>
      <c r="AR445" s="86"/>
      <c r="AS445" s="86"/>
      <c r="AT445" s="86"/>
      <c r="AU445" s="86"/>
      <c r="AV445" s="86"/>
      <c r="AX445" s="706"/>
      <c r="AY445" s="2"/>
      <c r="AZ445" s="705">
        <f ca="1">SUMIF($AR$7:AX$7,"&lt;="&amp;$I$7,AR445:AW445)</f>
        <v>0</v>
      </c>
      <c r="BA445" s="879"/>
      <c r="BB445" s="2"/>
      <c r="BC445" s="86"/>
      <c r="BD445" s="86"/>
      <c r="BE445" s="86"/>
      <c r="BF445" s="86"/>
      <c r="BG445" s="86"/>
      <c r="BI445" s="706"/>
      <c r="BJ445" s="2"/>
      <c r="BK445" s="705">
        <f ca="1">SUMIF($BC$7:BI$7,"&lt;="&amp;$I$7,BC445:BH445)</f>
        <v>0</v>
      </c>
      <c r="BL445" s="879"/>
      <c r="BM445" s="2"/>
      <c r="BN445" s="885"/>
      <c r="BO445" s="922"/>
      <c r="BP445" s="885"/>
      <c r="BQ445" s="879"/>
      <c r="BR445" s="2"/>
      <c r="BS445" s="885"/>
      <c r="BT445" s="885"/>
      <c r="BU445" s="885"/>
      <c r="BV445" s="885"/>
      <c r="BW445" s="1005"/>
      <c r="BX445" s="885"/>
      <c r="BY445" s="879"/>
      <c r="BZ445" s="2"/>
      <c r="CA445" s="885"/>
      <c r="CB445" s="885"/>
      <c r="CC445" s="2"/>
      <c r="CD445" s="84">
        <f>IFERROR(AVERAGEIF($V$7:AB$7,"&lt;="&amp;$I$7,V445:AB445),0)</f>
        <v>0</v>
      </c>
      <c r="CE445" s="2"/>
      <c r="CH445" s="93" t="str">
        <f t="shared" si="1003"/>
        <v>E1 - Execução de estaca EE1.11</v>
      </c>
    </row>
    <row r="446" spans="1:86" s="16" customFormat="1" ht="20.45" hidden="1" customHeight="1" outlineLevel="1">
      <c r="A446" s="74"/>
      <c r="B446" s="1035" t="s">
        <v>4052</v>
      </c>
      <c r="C446" s="1014" t="s">
        <v>1437</v>
      </c>
      <c r="D446" s="2"/>
      <c r="E446" s="1004">
        <v>1</v>
      </c>
      <c r="F446" s="2"/>
      <c r="G446" s="49" t="s">
        <v>37</v>
      </c>
      <c r="H446" s="705">
        <v>0</v>
      </c>
      <c r="I446" s="878" t="str">
        <f t="shared" ref="I446" si="1029">IFERROR((H447/H446),"-")</f>
        <v>-</v>
      </c>
      <c r="J446" s="2"/>
      <c r="K446" s="705"/>
      <c r="L446" s="705"/>
      <c r="M446" s="705"/>
      <c r="N446" s="705"/>
      <c r="O446" s="705"/>
      <c r="P446" s="705"/>
      <c r="Q446" s="705"/>
      <c r="R446" s="2"/>
      <c r="S446" s="705">
        <f ca="1">SUMIF($K$7:Q$7,"&lt;="&amp;$I$7,K446:P446)</f>
        <v>0</v>
      </c>
      <c r="T446" s="878" t="str">
        <f ca="1">IFERROR((S447/S446),"-")</f>
        <v>-</v>
      </c>
      <c r="U446" s="2"/>
      <c r="V446" s="705"/>
      <c r="W446" s="705"/>
      <c r="X446" s="705"/>
      <c r="Y446" s="705"/>
      <c r="Z446" s="705"/>
      <c r="AA446" s="705"/>
      <c r="AB446" s="705"/>
      <c r="AC446" s="2"/>
      <c r="AD446" s="705">
        <f ca="1">SUMIF($V$7:AB$7,"&lt;="&amp;$I$7,V446:AA446)</f>
        <v>0</v>
      </c>
      <c r="AE446" s="878" t="str">
        <f ca="1">IFERROR((AD447/AD446),"-")</f>
        <v>-</v>
      </c>
      <c r="AF446" s="2"/>
      <c r="AG446" s="705"/>
      <c r="AH446" s="705"/>
      <c r="AI446" s="705"/>
      <c r="AJ446" s="705"/>
      <c r="AK446" s="705"/>
      <c r="AL446" s="705"/>
      <c r="AM446" s="705"/>
      <c r="AN446" s="2"/>
      <c r="AO446" s="705">
        <f ca="1">SUMIF($AG$7:AM$7,"&lt;="&amp;$I$7,AG446:AL446)</f>
        <v>0</v>
      </c>
      <c r="AP446" s="878" t="str">
        <f ca="1">IFERROR((AO447/AO446),"-")</f>
        <v>-</v>
      </c>
      <c r="AQ446" s="2"/>
      <c r="AR446" s="705"/>
      <c r="AS446" s="705"/>
      <c r="AT446" s="705"/>
      <c r="AU446" s="705"/>
      <c r="AV446" s="705"/>
      <c r="AW446" s="86"/>
      <c r="AX446" s="705"/>
      <c r="AY446" s="2"/>
      <c r="AZ446" s="705">
        <f ca="1">SUMIF($AR$7:AX$7,"&lt;="&amp;$I$7,AR446:AW446)</f>
        <v>0</v>
      </c>
      <c r="BA446" s="878" t="str">
        <f ca="1">IFERROR((AZ447/AZ446),"-")</f>
        <v>-</v>
      </c>
      <c r="BB446" s="2"/>
      <c r="BC446" s="705"/>
      <c r="BD446" s="705"/>
      <c r="BE446" s="705"/>
      <c r="BF446" s="705"/>
      <c r="BG446" s="705"/>
      <c r="BH446" s="86"/>
      <c r="BI446" s="705"/>
      <c r="BJ446" s="2"/>
      <c r="BK446" s="705">
        <f ca="1">SUMIF($BC$7:BI$7,"&lt;="&amp;$I$7,BC446:BH446)</f>
        <v>0</v>
      </c>
      <c r="BL446" s="878" t="str">
        <f ca="1">IFERROR((BK447/BK446),"-")</f>
        <v>-</v>
      </c>
      <c r="BM446" s="2"/>
      <c r="BN446" s="884">
        <v>0</v>
      </c>
      <c r="BO446" s="921">
        <v>0</v>
      </c>
      <c r="BP446" s="884">
        <f>SUM(M447:P447,V447:AB447,AG447:AM447,AR447:AX447,BC447:BI447)</f>
        <v>0</v>
      </c>
      <c r="BQ446" s="878" t="str">
        <f t="shared" ref="BQ446" si="1030">IFERROR((BP446/BO446),"-")</f>
        <v>-</v>
      </c>
      <c r="BR446" s="2"/>
      <c r="BS446" s="884"/>
      <c r="BT446" s="884"/>
      <c r="BU446" s="884">
        <f ca="1">E446+S447+AD447+AO447+AZ447+BK447-K447-L447</f>
        <v>1</v>
      </c>
      <c r="BV446" s="1016" t="e">
        <v>#N/A</v>
      </c>
      <c r="BW446" s="1004" t="str">
        <f ca="1">IFERROR((BU446/BV446),"-")</f>
        <v>-</v>
      </c>
      <c r="BX446" s="884">
        <v>0</v>
      </c>
      <c r="BY446" s="878" t="str">
        <f ca="1">IFERROR((BU446/BX446),"-")</f>
        <v>-</v>
      </c>
      <c r="BZ446" s="2"/>
      <c r="CA446" s="884">
        <v>0</v>
      </c>
      <c r="CB446" s="884">
        <v>0</v>
      </c>
      <c r="CC446" s="2"/>
      <c r="CD446" s="504">
        <f>IFERROR(AVERAGEIF($V$7:AB$7,"&lt;="&amp;$I$7,V446:AB446),0)</f>
        <v>0</v>
      </c>
      <c r="CE446" s="2"/>
      <c r="CH446" s="93" t="str">
        <f t="shared" si="1003"/>
        <v>E1 - Execução de estaca EE1.07</v>
      </c>
    </row>
    <row r="447" spans="1:86" s="16" customFormat="1" ht="20.45" hidden="1" customHeight="1" outlineLevel="1">
      <c r="A447" s="74"/>
      <c r="B447" s="1036"/>
      <c r="C447" s="1034"/>
      <c r="D447" s="2"/>
      <c r="E447" s="1005"/>
      <c r="F447" s="2"/>
      <c r="G447" s="50" t="s">
        <v>38</v>
      </c>
      <c r="H447" s="705">
        <v>0</v>
      </c>
      <c r="I447" s="879"/>
      <c r="J447" s="2"/>
      <c r="K447" s="86"/>
      <c r="L447" s="86"/>
      <c r="M447" s="86"/>
      <c r="N447" s="86"/>
      <c r="O447" s="86"/>
      <c r="P447" s="86"/>
      <c r="Q447" s="706"/>
      <c r="R447" s="2"/>
      <c r="S447" s="705">
        <f ca="1">SUMIF($K$7:Q$7,"&lt;="&amp;$I$7,K447:P447)</f>
        <v>0</v>
      </c>
      <c r="T447" s="879"/>
      <c r="U447" s="2"/>
      <c r="V447" s="86"/>
      <c r="W447" s="86"/>
      <c r="X447" s="86"/>
      <c r="Y447" s="86"/>
      <c r="Z447" s="86"/>
      <c r="AA447" s="86"/>
      <c r="AB447" s="706"/>
      <c r="AC447" s="2"/>
      <c r="AD447" s="705">
        <f ca="1">SUMIF($V$7:AB$7,"&lt;="&amp;$I$7,V447:AA447)</f>
        <v>0</v>
      </c>
      <c r="AE447" s="879"/>
      <c r="AF447" s="2"/>
      <c r="AG447" s="86"/>
      <c r="AH447" s="86"/>
      <c r="AI447" s="86"/>
      <c r="AJ447" s="86"/>
      <c r="AK447" s="86"/>
      <c r="AL447" s="86"/>
      <c r="AM447" s="706"/>
      <c r="AN447" s="2"/>
      <c r="AO447" s="705">
        <f ca="1">SUMIF($AG$7:AM$7,"&lt;="&amp;$I$7,AG447:AL447)</f>
        <v>0</v>
      </c>
      <c r="AP447" s="879"/>
      <c r="AQ447" s="2"/>
      <c r="AR447" s="86"/>
      <c r="AS447" s="86"/>
      <c r="AT447" s="86"/>
      <c r="AU447" s="86"/>
      <c r="AV447" s="86"/>
      <c r="AW447" s="86"/>
      <c r="AX447" s="706"/>
      <c r="AY447" s="2"/>
      <c r="AZ447" s="705">
        <f ca="1">SUMIF($AR$7:AX$7,"&lt;="&amp;$I$7,AR447:AW447)</f>
        <v>0</v>
      </c>
      <c r="BA447" s="879"/>
      <c r="BB447" s="2"/>
      <c r="BC447" s="86"/>
      <c r="BD447" s="86"/>
      <c r="BE447" s="86"/>
      <c r="BF447" s="86"/>
      <c r="BG447" s="86"/>
      <c r="BH447" s="86"/>
      <c r="BI447" s="706"/>
      <c r="BJ447" s="2"/>
      <c r="BK447" s="705">
        <f ca="1">SUMIF($BC$7:BI$7,"&lt;="&amp;$I$7,BC447:BH447)</f>
        <v>0</v>
      </c>
      <c r="BL447" s="879"/>
      <c r="BM447" s="2"/>
      <c r="BN447" s="885"/>
      <c r="BO447" s="922"/>
      <c r="BP447" s="885"/>
      <c r="BQ447" s="879"/>
      <c r="BR447" s="2"/>
      <c r="BS447" s="885"/>
      <c r="BT447" s="885"/>
      <c r="BU447" s="885"/>
      <c r="BV447" s="1017"/>
      <c r="BW447" s="1005"/>
      <c r="BX447" s="885"/>
      <c r="BY447" s="879"/>
      <c r="BZ447" s="2"/>
      <c r="CA447" s="885"/>
      <c r="CB447" s="885"/>
      <c r="CC447" s="2"/>
      <c r="CD447" s="504">
        <f>IFERROR(AVERAGEIF($V$7:AB$7,"&lt;="&amp;$I$7,V447:AB447),0)</f>
        <v>0</v>
      </c>
      <c r="CE447" s="2"/>
      <c r="CH447" s="93" t="str">
        <f t="shared" si="1003"/>
        <v>E1 - Execução de estaca EE1.07</v>
      </c>
    </row>
    <row r="448" spans="1:86" s="16" customFormat="1" ht="15.95" hidden="1" customHeight="1" outlineLevel="1">
      <c r="A448" s="74"/>
      <c r="B448" s="1035" t="s">
        <v>4053</v>
      </c>
      <c r="C448" s="1014" t="s">
        <v>1437</v>
      </c>
      <c r="D448" s="2"/>
      <c r="E448" s="1004">
        <v>0</v>
      </c>
      <c r="F448" s="2"/>
      <c r="G448" s="49" t="s">
        <v>37</v>
      </c>
      <c r="H448" s="705">
        <v>50</v>
      </c>
      <c r="I448" s="878">
        <f t="shared" ref="I448" si="1031">IFERROR((H449/H448),"-")</f>
        <v>0</v>
      </c>
      <c r="J448" s="2"/>
      <c r="K448" s="705"/>
      <c r="L448" s="705"/>
      <c r="M448" s="705" t="s">
        <v>1434</v>
      </c>
      <c r="N448" s="705">
        <v>1</v>
      </c>
      <c r="O448" s="705"/>
      <c r="P448" s="705"/>
      <c r="Q448" s="705"/>
      <c r="R448" s="2"/>
      <c r="S448" s="705">
        <f ca="1">SUMIF($K$7:Q$7,"&lt;="&amp;$I$7,K448:P448)</f>
        <v>1</v>
      </c>
      <c r="T448" s="878">
        <f ca="1">IFERROR((S449/S448),"-")</f>
        <v>1</v>
      </c>
      <c r="U448" s="2"/>
      <c r="V448" s="705"/>
      <c r="W448" s="705"/>
      <c r="X448" s="705"/>
      <c r="Y448" s="705"/>
      <c r="Z448" s="705"/>
      <c r="AA448" s="705"/>
      <c r="AB448" s="705"/>
      <c r="AC448" s="2"/>
      <c r="AD448" s="705">
        <f ca="1">SUMIF($V$7:AB$7,"&lt;="&amp;$I$7,V448:AA448)</f>
        <v>0</v>
      </c>
      <c r="AE448" s="878" t="str">
        <f ca="1">IFERROR((AD449/AD448),"-")</f>
        <v>-</v>
      </c>
      <c r="AF448" s="2"/>
      <c r="AG448" s="705"/>
      <c r="AH448" s="705"/>
      <c r="AI448" s="705"/>
      <c r="AJ448" s="705"/>
      <c r="AK448" s="705"/>
      <c r="AL448" s="705"/>
      <c r="AM448" s="705"/>
      <c r="AN448" s="2"/>
      <c r="AO448" s="705">
        <f ca="1">SUMIF($AG$7:AM$7,"&lt;="&amp;$I$7,AG448:AL448)</f>
        <v>0</v>
      </c>
      <c r="AP448" s="878" t="str">
        <f ca="1">IFERROR((AO449/AO448),"-")</f>
        <v>-</v>
      </c>
      <c r="AQ448" s="2"/>
      <c r="AR448" s="705"/>
      <c r="AS448" s="705"/>
      <c r="AT448" s="705"/>
      <c r="AU448" s="705"/>
      <c r="AV448" s="705"/>
      <c r="AW448" s="705"/>
      <c r="AX448" s="705"/>
      <c r="AY448" s="2"/>
      <c r="AZ448" s="705">
        <f ca="1">SUMIF($AR$7:AX$7,"&lt;="&amp;$I$7,AR448:AW448)</f>
        <v>0</v>
      </c>
      <c r="BA448" s="878" t="str">
        <f ca="1">IFERROR((AZ449/AZ448),"-")</f>
        <v>-</v>
      </c>
      <c r="BB448" s="2"/>
      <c r="BC448" s="705"/>
      <c r="BD448" s="705"/>
      <c r="BE448" s="705"/>
      <c r="BF448" s="705"/>
      <c r="BG448" s="705"/>
      <c r="BH448" s="705"/>
      <c r="BI448" s="705"/>
      <c r="BJ448" s="2"/>
      <c r="BK448" s="705">
        <f ca="1">SUMIF($BC$7:BI$7,"&lt;="&amp;$I$7,BC448:BH448)</f>
        <v>0</v>
      </c>
      <c r="BL448" s="878" t="str">
        <f ca="1">IFERROR((BK449/BK448),"-")</f>
        <v>-</v>
      </c>
      <c r="BM448" s="2"/>
      <c r="BN448" s="884">
        <v>0</v>
      </c>
      <c r="BO448" s="921">
        <v>0</v>
      </c>
      <c r="BP448" s="884">
        <f>SUM(M449:P449,V449:AB449,AG449:AM449,AR449:AX449,BC449:BI449)</f>
        <v>1</v>
      </c>
      <c r="BQ448" s="878" t="str">
        <f t="shared" ref="BQ448" si="1032">IFERROR((BP448/BO448),"-")</f>
        <v>-</v>
      </c>
      <c r="BR448" s="2"/>
      <c r="BS448" s="884"/>
      <c r="BT448" s="884"/>
      <c r="BU448" s="884">
        <f ca="1">E448+S449+AD449+AO449+AZ449+BK449-K449-L449</f>
        <v>1</v>
      </c>
      <c r="BV448" s="1016" t="e">
        <v>#N/A</v>
      </c>
      <c r="BW448" s="1004" t="str">
        <f ca="1">IFERROR((BU448/BV448),"-")</f>
        <v>-</v>
      </c>
      <c r="BX448" s="884">
        <v>0</v>
      </c>
      <c r="BY448" s="878" t="str">
        <f ca="1">IFERROR((BU448/BX448),"-")</f>
        <v>-</v>
      </c>
      <c r="BZ448" s="2"/>
      <c r="CA448" s="884">
        <v>0</v>
      </c>
      <c r="CB448" s="884">
        <v>0</v>
      </c>
      <c r="CC448" s="2"/>
      <c r="CD448" s="504">
        <f>IFERROR(AVERAGEIF($V$7:AB$7,"&lt;="&amp;$I$7,V448:AB448),0)</f>
        <v>0</v>
      </c>
      <c r="CE448" s="2"/>
      <c r="CH448" s="93" t="str">
        <f t="shared" si="1003"/>
        <v>E1 - Execução de estaca EE1.06</v>
      </c>
    </row>
    <row r="449" spans="1:86" s="16" customFormat="1" ht="20.45" hidden="1" customHeight="1" outlineLevel="1">
      <c r="A449" s="74"/>
      <c r="B449" s="1036"/>
      <c r="C449" s="1034"/>
      <c r="D449" s="2"/>
      <c r="E449" s="1005"/>
      <c r="F449" s="2"/>
      <c r="G449" s="50" t="s">
        <v>38</v>
      </c>
      <c r="H449" s="705">
        <v>0</v>
      </c>
      <c r="I449" s="879"/>
      <c r="J449" s="2"/>
      <c r="K449" s="86"/>
      <c r="L449" s="86"/>
      <c r="M449" s="86"/>
      <c r="N449" s="86"/>
      <c r="O449" s="86" t="s">
        <v>1434</v>
      </c>
      <c r="P449" s="86">
        <v>1</v>
      </c>
      <c r="Q449" s="706"/>
      <c r="R449" s="2"/>
      <c r="S449" s="705">
        <f ca="1">SUMIF($K$7:Q$7,"&lt;="&amp;$I$7,K449:P449)</f>
        <v>1</v>
      </c>
      <c r="T449" s="879"/>
      <c r="U449" s="2"/>
      <c r="V449" s="86"/>
      <c r="W449" s="86"/>
      <c r="X449" s="86"/>
      <c r="Y449" s="86"/>
      <c r="Z449" s="86"/>
      <c r="AA449" s="86"/>
      <c r="AB449" s="706"/>
      <c r="AC449" s="2"/>
      <c r="AD449" s="705">
        <f ca="1">SUMIF($V$7:AB$7,"&lt;="&amp;$I$7,V449:AA449)</f>
        <v>0</v>
      </c>
      <c r="AE449" s="879"/>
      <c r="AF449" s="2"/>
      <c r="AG449" s="86"/>
      <c r="AH449" s="86"/>
      <c r="AI449" s="86"/>
      <c r="AJ449" s="86"/>
      <c r="AK449" s="86"/>
      <c r="AL449" s="86"/>
      <c r="AM449" s="706"/>
      <c r="AN449" s="2"/>
      <c r="AO449" s="705">
        <f ca="1">SUMIF($AG$7:AM$7,"&lt;="&amp;$I$7,AG449:AL449)</f>
        <v>0</v>
      </c>
      <c r="AP449" s="879"/>
      <c r="AQ449" s="2"/>
      <c r="AR449" s="86"/>
      <c r="AS449" s="86"/>
      <c r="AT449" s="86"/>
      <c r="AU449" s="86"/>
      <c r="AV449" s="86"/>
      <c r="AW449" s="86"/>
      <c r="AX449" s="706"/>
      <c r="AY449" s="2"/>
      <c r="AZ449" s="705">
        <f ca="1">SUMIF($AR$7:AX$7,"&lt;="&amp;$I$7,AR449:AW449)</f>
        <v>0</v>
      </c>
      <c r="BA449" s="879"/>
      <c r="BB449" s="2"/>
      <c r="BC449" s="86"/>
      <c r="BD449" s="86"/>
      <c r="BE449" s="86"/>
      <c r="BF449" s="86"/>
      <c r="BG449" s="86"/>
      <c r="BH449" s="86"/>
      <c r="BI449" s="706"/>
      <c r="BJ449" s="2"/>
      <c r="BK449" s="705">
        <f ca="1">SUMIF($BC$7:BI$7,"&lt;="&amp;$I$7,BC449:BH449)</f>
        <v>0</v>
      </c>
      <c r="BL449" s="879"/>
      <c r="BM449" s="2"/>
      <c r="BN449" s="885"/>
      <c r="BO449" s="922"/>
      <c r="BP449" s="885"/>
      <c r="BQ449" s="879"/>
      <c r="BR449" s="2"/>
      <c r="BS449" s="885"/>
      <c r="BT449" s="885"/>
      <c r="BU449" s="885"/>
      <c r="BV449" s="1017"/>
      <c r="BW449" s="1005"/>
      <c r="BX449" s="885"/>
      <c r="BY449" s="879"/>
      <c r="BZ449" s="2"/>
      <c r="CA449" s="885"/>
      <c r="CB449" s="885"/>
      <c r="CC449" s="2"/>
      <c r="CD449" s="504">
        <f>IFERROR(AVERAGEIF($V$7:AB$7,"&lt;="&amp;$I$7,V449:AB449),0)</f>
        <v>0</v>
      </c>
      <c r="CE449" s="2"/>
      <c r="CH449" s="93" t="str">
        <f t="shared" si="1003"/>
        <v>E1 - Execução de estaca EE1.06</v>
      </c>
    </row>
    <row r="450" spans="1:86" s="16" customFormat="1" ht="15.95" hidden="1" customHeight="1" outlineLevel="1">
      <c r="A450" s="74"/>
      <c r="B450" s="1035" t="s">
        <v>4054</v>
      </c>
      <c r="C450" s="1014" t="s">
        <v>1437</v>
      </c>
      <c r="D450" s="2"/>
      <c r="E450" s="1004">
        <v>0</v>
      </c>
      <c r="F450" s="2"/>
      <c r="G450" s="49" t="s">
        <v>37</v>
      </c>
      <c r="H450" s="705">
        <v>0</v>
      </c>
      <c r="I450" s="878" t="str">
        <f t="shared" ref="I450" si="1033">IFERROR((H451/H450),"-")</f>
        <v>-</v>
      </c>
      <c r="J450" s="2"/>
      <c r="K450" s="705"/>
      <c r="L450" s="705"/>
      <c r="M450" s="705"/>
      <c r="N450" s="705"/>
      <c r="O450" s="705"/>
      <c r="P450" s="705"/>
      <c r="Q450" s="705"/>
      <c r="R450" s="2"/>
      <c r="S450" s="705">
        <f ca="1">SUMIF($K$7:Q$7,"&lt;="&amp;$I$7,K450:P450)</f>
        <v>0</v>
      </c>
      <c r="T450" s="878" t="str">
        <f ca="1">IFERROR((S451/S450),"-")</f>
        <v>-</v>
      </c>
      <c r="U450" s="2"/>
      <c r="V450" s="705"/>
      <c r="W450" s="705"/>
      <c r="X450" s="705"/>
      <c r="Y450" s="705"/>
      <c r="Z450" s="705"/>
      <c r="AA450" s="705"/>
      <c r="AB450" s="705"/>
      <c r="AC450" s="2"/>
      <c r="AD450" s="705">
        <f ca="1">SUMIF($V$7:AB$7,"&lt;="&amp;$I$7,V450:AA450)</f>
        <v>0</v>
      </c>
      <c r="AE450" s="878" t="str">
        <f ca="1">IFERROR((AD451/AD450),"-")</f>
        <v>-</v>
      </c>
      <c r="AF450" s="2"/>
      <c r="AG450" s="705"/>
      <c r="AH450" s="705"/>
      <c r="AI450" s="705"/>
      <c r="AJ450" s="705"/>
      <c r="AK450" s="705"/>
      <c r="AL450" s="705"/>
      <c r="AM450" s="705"/>
      <c r="AN450" s="2"/>
      <c r="AO450" s="705">
        <f ca="1">SUMIF($AG$7:AM$7,"&lt;="&amp;$I$7,AG450:AL450)</f>
        <v>0</v>
      </c>
      <c r="AP450" s="878" t="str">
        <f ca="1">IFERROR((AO451/AO450),"-")</f>
        <v>-</v>
      </c>
      <c r="AQ450" s="2"/>
      <c r="AR450" s="705"/>
      <c r="AS450" s="705"/>
      <c r="AT450" s="705"/>
      <c r="AU450" s="705"/>
      <c r="AV450" s="705"/>
      <c r="AW450" s="705"/>
      <c r="AX450" s="705"/>
      <c r="AY450" s="2"/>
      <c r="AZ450" s="705">
        <f ca="1">SUMIF($AR$7:AX$7,"&lt;="&amp;$I$7,AR450:AW450)</f>
        <v>0</v>
      </c>
      <c r="BA450" s="878" t="str">
        <f ca="1">IFERROR((AZ451/AZ450),"-")</f>
        <v>-</v>
      </c>
      <c r="BB450" s="2"/>
      <c r="BC450" s="705"/>
      <c r="BD450" s="705"/>
      <c r="BE450" s="705"/>
      <c r="BF450" s="705"/>
      <c r="BG450" s="705"/>
      <c r="BH450" s="705"/>
      <c r="BI450" s="705"/>
      <c r="BJ450" s="2"/>
      <c r="BK450" s="705">
        <f ca="1">SUMIF($BC$7:BI$7,"&lt;="&amp;$I$7,BC450:BH450)</f>
        <v>0</v>
      </c>
      <c r="BL450" s="878" t="str">
        <f ca="1">IFERROR((BK451/BK450),"-")</f>
        <v>-</v>
      </c>
      <c r="BM450" s="2"/>
      <c r="BN450" s="884">
        <v>0</v>
      </c>
      <c r="BO450" s="921">
        <v>0</v>
      </c>
      <c r="BP450" s="884">
        <f>SUM(M451:P451,V451:AB451,AG451:AM451,AR451:AX451,BC451:BI451)</f>
        <v>0</v>
      </c>
      <c r="BQ450" s="878" t="str">
        <f t="shared" ref="BQ450" si="1034">IFERROR((BP450/BO450),"-")</f>
        <v>-</v>
      </c>
      <c r="BR450" s="2"/>
      <c r="BS450" s="884"/>
      <c r="BT450" s="884"/>
      <c r="BU450" s="884">
        <f ca="1">E450+S451+AD451+AO451+AZ451+BK451-K451-L451</f>
        <v>0</v>
      </c>
      <c r="BV450" s="1016" t="e">
        <v>#N/A</v>
      </c>
      <c r="BW450" s="1004" t="str">
        <f ca="1">IFERROR((BU450/BV450),"-")</f>
        <v>-</v>
      </c>
      <c r="BX450" s="884">
        <v>0</v>
      </c>
      <c r="BY450" s="878" t="str">
        <f ca="1">IFERROR((BU450/BX450),"-")</f>
        <v>-</v>
      </c>
      <c r="BZ450" s="2"/>
      <c r="CA450" s="884">
        <v>0</v>
      </c>
      <c r="CB450" s="884">
        <v>0</v>
      </c>
      <c r="CC450" s="2"/>
      <c r="CD450" s="504">
        <f>IFERROR(AVERAGEIF($V$7:AB$7,"&lt;="&amp;$I$7,V450:AB450),0)</f>
        <v>0</v>
      </c>
      <c r="CE450" s="2"/>
      <c r="CH450" s="93" t="str">
        <f t="shared" si="1003"/>
        <v>E1 - Execução de estaca EE1.09</v>
      </c>
    </row>
    <row r="451" spans="1:86" s="16" customFormat="1" ht="20.45" hidden="1" customHeight="1" outlineLevel="1">
      <c r="A451" s="74"/>
      <c r="B451" s="1036"/>
      <c r="C451" s="1034"/>
      <c r="D451" s="2"/>
      <c r="E451" s="1005"/>
      <c r="F451" s="2"/>
      <c r="G451" s="50" t="s">
        <v>38</v>
      </c>
      <c r="H451" s="705">
        <v>0</v>
      </c>
      <c r="I451" s="879"/>
      <c r="J451" s="2"/>
      <c r="K451" s="86"/>
      <c r="L451" s="86"/>
      <c r="M451" s="86"/>
      <c r="N451" s="86"/>
      <c r="O451" s="86"/>
      <c r="P451" s="86"/>
      <c r="Q451" s="706"/>
      <c r="R451" s="2"/>
      <c r="S451" s="705">
        <f ca="1">SUMIF($K$7:Q$7,"&lt;="&amp;$I$7,K451:P451)</f>
        <v>0</v>
      </c>
      <c r="T451" s="879"/>
      <c r="U451" s="2"/>
      <c r="V451" s="86"/>
      <c r="W451" s="86"/>
      <c r="X451" s="86"/>
      <c r="Y451" s="86"/>
      <c r="Z451" s="86"/>
      <c r="AA451" s="86"/>
      <c r="AB451" s="706"/>
      <c r="AC451" s="2"/>
      <c r="AD451" s="705">
        <f ca="1">SUMIF($V$7:AB$7,"&lt;="&amp;$I$7,V451:AA451)</f>
        <v>0</v>
      </c>
      <c r="AE451" s="879"/>
      <c r="AF451" s="2"/>
      <c r="AG451" s="86"/>
      <c r="AH451" s="86"/>
      <c r="AI451" s="86"/>
      <c r="AJ451" s="86"/>
      <c r="AK451" s="86"/>
      <c r="AL451" s="86"/>
      <c r="AM451" s="706"/>
      <c r="AN451" s="2"/>
      <c r="AO451" s="705">
        <f ca="1">SUMIF($AG$7:AM$7,"&lt;="&amp;$I$7,AG451:AL451)</f>
        <v>0</v>
      </c>
      <c r="AP451" s="879"/>
      <c r="AQ451" s="2"/>
      <c r="AR451" s="86"/>
      <c r="AS451" s="86"/>
      <c r="AT451" s="86"/>
      <c r="AU451" s="86"/>
      <c r="AV451" s="86"/>
      <c r="AW451" s="86"/>
      <c r="AX451" s="706"/>
      <c r="AY451" s="2"/>
      <c r="AZ451" s="705">
        <f ca="1">SUMIF($AR$7:AX$7,"&lt;="&amp;$I$7,AR451:AW451)</f>
        <v>0</v>
      </c>
      <c r="BA451" s="879"/>
      <c r="BB451" s="2"/>
      <c r="BC451" s="86"/>
      <c r="BD451" s="86"/>
      <c r="BE451" s="86"/>
      <c r="BF451" s="86"/>
      <c r="BG451" s="86"/>
      <c r="BH451" s="86"/>
      <c r="BI451" s="706"/>
      <c r="BJ451" s="2"/>
      <c r="BK451" s="705">
        <f ca="1">SUMIF($BC$7:BI$7,"&lt;="&amp;$I$7,BC451:BH451)</f>
        <v>0</v>
      </c>
      <c r="BL451" s="879"/>
      <c r="BM451" s="2"/>
      <c r="BN451" s="885"/>
      <c r="BO451" s="922"/>
      <c r="BP451" s="885"/>
      <c r="BQ451" s="879"/>
      <c r="BR451" s="2"/>
      <c r="BS451" s="885"/>
      <c r="BT451" s="885"/>
      <c r="BU451" s="885"/>
      <c r="BV451" s="1017"/>
      <c r="BW451" s="1005"/>
      <c r="BX451" s="885"/>
      <c r="BY451" s="879"/>
      <c r="BZ451" s="2"/>
      <c r="CA451" s="885"/>
      <c r="CB451" s="885"/>
      <c r="CC451" s="2"/>
      <c r="CD451" s="504">
        <f>IFERROR(AVERAGEIF($V$7:AB$7,"&lt;="&amp;$I$7,V451:AB451),0)</f>
        <v>0</v>
      </c>
      <c r="CE451" s="2"/>
      <c r="CH451" s="93" t="str">
        <f t="shared" si="1003"/>
        <v>E1 - Execução de estaca EE1.09</v>
      </c>
    </row>
    <row r="452" spans="1:86" s="16" customFormat="1" ht="15.95" hidden="1" customHeight="1" outlineLevel="1">
      <c r="A452" s="74"/>
      <c r="B452" s="1035" t="s">
        <v>4055</v>
      </c>
      <c r="C452" s="1014" t="s">
        <v>1437</v>
      </c>
      <c r="D452" s="2"/>
      <c r="E452" s="1004">
        <v>0</v>
      </c>
      <c r="F452" s="2"/>
      <c r="G452" s="49" t="s">
        <v>37</v>
      </c>
      <c r="H452" s="705">
        <v>0</v>
      </c>
      <c r="I452" s="878" t="str">
        <f t="shared" ref="I452" si="1035">IFERROR((H453/H452),"-")</f>
        <v>-</v>
      </c>
      <c r="J452" s="2"/>
      <c r="K452" s="705"/>
      <c r="L452" s="705"/>
      <c r="M452" s="705"/>
      <c r="N452" s="705"/>
      <c r="O452" s="705"/>
      <c r="P452" s="705"/>
      <c r="Q452" s="705"/>
      <c r="R452" s="2"/>
      <c r="S452" s="705">
        <f ca="1">SUMIF($K$7:Q$7,"&lt;="&amp;$I$7,K452:P452)</f>
        <v>0</v>
      </c>
      <c r="T452" s="878" t="str">
        <f ca="1">IFERROR((S453/S452),"-")</f>
        <v>-</v>
      </c>
      <c r="U452" s="2"/>
      <c r="V452" s="705"/>
      <c r="W452" s="705"/>
      <c r="X452" s="705"/>
      <c r="Y452" s="705"/>
      <c r="Z452" s="705"/>
      <c r="AA452" s="705"/>
      <c r="AB452" s="705"/>
      <c r="AC452" s="2"/>
      <c r="AD452" s="705">
        <f ca="1">SUMIF($V$7:AB$7,"&lt;="&amp;$I$7,V452:AA452)</f>
        <v>0</v>
      </c>
      <c r="AE452" s="878" t="str">
        <f ca="1">IFERROR((AD453/AD452),"-")</f>
        <v>-</v>
      </c>
      <c r="AF452" s="2"/>
      <c r="AG452" s="705"/>
      <c r="AH452" s="705"/>
      <c r="AI452" s="705"/>
      <c r="AJ452" s="705"/>
      <c r="AK452" s="705"/>
      <c r="AL452" s="705"/>
      <c r="AM452" s="705"/>
      <c r="AN452" s="2"/>
      <c r="AO452" s="705">
        <f ca="1">SUMIF($AG$7:AM$7,"&lt;="&amp;$I$7,AG452:AL452)</f>
        <v>0</v>
      </c>
      <c r="AP452" s="878" t="str">
        <f ca="1">IFERROR((AO453/AO452),"-")</f>
        <v>-</v>
      </c>
      <c r="AQ452" s="2"/>
      <c r="AR452" s="705"/>
      <c r="AS452" s="705"/>
      <c r="AT452" s="705"/>
      <c r="AU452" s="705"/>
      <c r="AV452" s="705"/>
      <c r="AW452" s="705"/>
      <c r="AX452" s="705"/>
      <c r="AY452" s="2"/>
      <c r="AZ452" s="705">
        <f ca="1">SUMIF($AR$7:AX$7,"&lt;="&amp;$I$7,AR452:AW452)</f>
        <v>0</v>
      </c>
      <c r="BA452" s="878" t="str">
        <f ca="1">IFERROR((AZ453/AZ452),"-")</f>
        <v>-</v>
      </c>
      <c r="BB452" s="2"/>
      <c r="BC452" s="705"/>
      <c r="BD452" s="705"/>
      <c r="BE452" s="705"/>
      <c r="BF452" s="705"/>
      <c r="BG452" s="705"/>
      <c r="BH452" s="705"/>
      <c r="BI452" s="705"/>
      <c r="BJ452" s="2"/>
      <c r="BK452" s="705">
        <f ca="1">SUMIF($BC$7:BI$7,"&lt;="&amp;$I$7,BC452:BH452)</f>
        <v>0</v>
      </c>
      <c r="BL452" s="878" t="str">
        <f ca="1">IFERROR((BK453/BK452),"-")</f>
        <v>-</v>
      </c>
      <c r="BM452" s="2"/>
      <c r="BN452" s="884">
        <v>0</v>
      </c>
      <c r="BO452" s="921">
        <v>0</v>
      </c>
      <c r="BP452" s="884">
        <f>SUM(M453:P453,V453:AB453,AG453:AM453,AR453:AX453,BC453:BI453)</f>
        <v>0</v>
      </c>
      <c r="BQ452" s="878" t="str">
        <f t="shared" ref="BQ452" si="1036">IFERROR((BP452/BO452),"-")</f>
        <v>-</v>
      </c>
      <c r="BR452" s="2"/>
      <c r="BS452" s="884"/>
      <c r="BT452" s="884"/>
      <c r="BU452" s="884">
        <f ca="1">E452+S453+AD453+AO453+AZ453+BK453-K453-L453</f>
        <v>0</v>
      </c>
      <c r="BV452" s="1016" t="e">
        <v>#N/A</v>
      </c>
      <c r="BW452" s="1004" t="str">
        <f ca="1">IFERROR((BU452/BV452),"-")</f>
        <v>-</v>
      </c>
      <c r="BX452" s="884">
        <v>0</v>
      </c>
      <c r="BY452" s="878" t="str">
        <f ca="1">IFERROR((BU452/BX452),"-")</f>
        <v>-</v>
      </c>
      <c r="BZ452" s="2"/>
      <c r="CA452" s="884">
        <v>0</v>
      </c>
      <c r="CB452" s="884">
        <v>0</v>
      </c>
      <c r="CC452" s="2"/>
      <c r="CD452" s="504">
        <f>IFERROR(AVERAGEIF($V$7:AB$7,"&lt;="&amp;$I$7,V452:AB452),0)</f>
        <v>0</v>
      </c>
      <c r="CE452" s="2"/>
      <c r="CH452" s="93" t="str">
        <f t="shared" si="1003"/>
        <v>E1 - Execução de estaca EE1.13</v>
      </c>
    </row>
    <row r="453" spans="1:86" s="16" customFormat="1" ht="20.45" hidden="1" customHeight="1" outlineLevel="1">
      <c r="A453" s="74"/>
      <c r="B453" s="1036"/>
      <c r="C453" s="1034"/>
      <c r="D453" s="2"/>
      <c r="E453" s="1005"/>
      <c r="F453" s="2"/>
      <c r="G453" s="50" t="s">
        <v>38</v>
      </c>
      <c r="H453" s="705">
        <v>0</v>
      </c>
      <c r="I453" s="879"/>
      <c r="J453" s="2"/>
      <c r="K453" s="86"/>
      <c r="L453" s="86"/>
      <c r="M453" s="86"/>
      <c r="N453" s="86"/>
      <c r="O453" s="86"/>
      <c r="P453" s="86"/>
      <c r="Q453" s="706"/>
      <c r="R453" s="2"/>
      <c r="S453" s="705">
        <f ca="1">SUMIF($K$7:Q$7,"&lt;="&amp;$I$7,K453:P453)</f>
        <v>0</v>
      </c>
      <c r="T453" s="879"/>
      <c r="U453" s="2"/>
      <c r="V453" s="86"/>
      <c r="W453" s="86"/>
      <c r="X453" s="86"/>
      <c r="Y453" s="86"/>
      <c r="Z453" s="86"/>
      <c r="AA453" s="86"/>
      <c r="AB453" s="706"/>
      <c r="AC453" s="2"/>
      <c r="AD453" s="705">
        <f ca="1">SUMIF($V$7:AB$7,"&lt;="&amp;$I$7,V453:AA453)</f>
        <v>0</v>
      </c>
      <c r="AE453" s="879"/>
      <c r="AF453" s="2"/>
      <c r="AG453" s="86"/>
      <c r="AH453" s="86"/>
      <c r="AI453" s="86"/>
      <c r="AJ453" s="86"/>
      <c r="AK453" s="86"/>
      <c r="AL453" s="86"/>
      <c r="AM453" s="706"/>
      <c r="AN453" s="2"/>
      <c r="AO453" s="705">
        <f ca="1">SUMIF($AG$7:AM$7,"&lt;="&amp;$I$7,AG453:AL453)</f>
        <v>0</v>
      </c>
      <c r="AP453" s="879"/>
      <c r="AQ453" s="2"/>
      <c r="AR453" s="86"/>
      <c r="AS453" s="86"/>
      <c r="AT453" s="86"/>
      <c r="AU453" s="86"/>
      <c r="AV453" s="86"/>
      <c r="AW453" s="86"/>
      <c r="AX453" s="706"/>
      <c r="AY453" s="2"/>
      <c r="AZ453" s="705">
        <f ca="1">SUMIF($AR$7:AX$7,"&lt;="&amp;$I$7,AR453:AW453)</f>
        <v>0</v>
      </c>
      <c r="BA453" s="879"/>
      <c r="BB453" s="2"/>
      <c r="BC453" s="86"/>
      <c r="BD453" s="86"/>
      <c r="BE453" s="86"/>
      <c r="BF453" s="86"/>
      <c r="BG453" s="86"/>
      <c r="BH453" s="86"/>
      <c r="BI453" s="706"/>
      <c r="BJ453" s="2"/>
      <c r="BK453" s="705">
        <f ca="1">SUMIF($BC$7:BI$7,"&lt;="&amp;$I$7,BC453:BH453)</f>
        <v>0</v>
      </c>
      <c r="BL453" s="879"/>
      <c r="BM453" s="2"/>
      <c r="BN453" s="885"/>
      <c r="BO453" s="922"/>
      <c r="BP453" s="885"/>
      <c r="BQ453" s="879"/>
      <c r="BR453" s="2"/>
      <c r="BS453" s="885"/>
      <c r="BT453" s="885"/>
      <c r="BU453" s="885"/>
      <c r="BV453" s="1017"/>
      <c r="BW453" s="1005"/>
      <c r="BX453" s="885"/>
      <c r="BY453" s="879"/>
      <c r="BZ453" s="2"/>
      <c r="CA453" s="885"/>
      <c r="CB453" s="885"/>
      <c r="CC453" s="2"/>
      <c r="CD453" s="504">
        <f>IFERROR(AVERAGEIF($V$7:AB$7,"&lt;="&amp;$I$7,V453:AB453),0)</f>
        <v>0</v>
      </c>
      <c r="CE453" s="2"/>
      <c r="CH453" s="93" t="str">
        <f t="shared" si="1003"/>
        <v>E1 - Execução de estaca EE1.13</v>
      </c>
    </row>
    <row r="454" spans="1:86" s="16" customFormat="1" ht="15.95" hidden="1" customHeight="1" outlineLevel="1">
      <c r="A454" s="74"/>
      <c r="B454" s="1035" t="s">
        <v>4056</v>
      </c>
      <c r="C454" s="1014" t="s">
        <v>1437</v>
      </c>
      <c r="D454" s="2"/>
      <c r="E454" s="1004">
        <v>1</v>
      </c>
      <c r="F454" s="2"/>
      <c r="G454" s="49" t="s">
        <v>37</v>
      </c>
      <c r="H454" s="705">
        <v>0</v>
      </c>
      <c r="I454" s="878" t="str">
        <f t="shared" ref="I454" si="1037">IFERROR((H455/H454),"-")</f>
        <v>-</v>
      </c>
      <c r="J454" s="2"/>
      <c r="K454" s="705"/>
      <c r="L454" s="705"/>
      <c r="M454" s="705"/>
      <c r="N454" s="705"/>
      <c r="O454" s="705"/>
      <c r="P454" s="705"/>
      <c r="Q454" s="705"/>
      <c r="R454" s="2"/>
      <c r="S454" s="705">
        <f ca="1">SUMIF($K$7:Q$7,"&lt;="&amp;$I$7,K454:P454)</f>
        <v>0</v>
      </c>
      <c r="T454" s="878" t="str">
        <f ca="1">IFERROR((S455/S454),"-")</f>
        <v>-</v>
      </c>
      <c r="U454" s="2"/>
      <c r="V454" s="705"/>
      <c r="W454" s="705"/>
      <c r="X454" s="705"/>
      <c r="Y454" s="705"/>
      <c r="Z454" s="705"/>
      <c r="AA454" s="705"/>
      <c r="AB454" s="705"/>
      <c r="AC454" s="2"/>
      <c r="AD454" s="705">
        <f ca="1">SUMIF($V$7:AB$7,"&lt;="&amp;$I$7,V454:AA454)</f>
        <v>0</v>
      </c>
      <c r="AE454" s="878" t="str">
        <f ca="1">IFERROR((AD455/AD454),"-")</f>
        <v>-</v>
      </c>
      <c r="AF454" s="2"/>
      <c r="AG454" s="705"/>
      <c r="AH454" s="705"/>
      <c r="AI454" s="705"/>
      <c r="AJ454" s="705"/>
      <c r="AK454" s="705"/>
      <c r="AL454" s="705"/>
      <c r="AM454" s="705"/>
      <c r="AN454" s="2"/>
      <c r="AO454" s="705">
        <f ca="1">SUMIF($AG$7:AM$7,"&lt;="&amp;$I$7,AG454:AL454)</f>
        <v>0</v>
      </c>
      <c r="AP454" s="878" t="str">
        <f ca="1">IFERROR((AO455/AO454),"-")</f>
        <v>-</v>
      </c>
      <c r="AQ454" s="2"/>
      <c r="AR454" s="705"/>
      <c r="AS454" s="705"/>
      <c r="AT454" s="705"/>
      <c r="AU454" s="705"/>
      <c r="AV454" s="705"/>
      <c r="AW454" s="705"/>
      <c r="AX454" s="705"/>
      <c r="AY454" s="2"/>
      <c r="AZ454" s="705">
        <f ca="1">SUMIF($AR$7:AX$7,"&lt;="&amp;$I$7,AR454:AW454)</f>
        <v>0</v>
      </c>
      <c r="BA454" s="878" t="str">
        <f ca="1">IFERROR((AZ455/AZ454),"-")</f>
        <v>-</v>
      </c>
      <c r="BB454" s="2"/>
      <c r="BC454" s="705"/>
      <c r="BD454" s="705"/>
      <c r="BE454" s="705"/>
      <c r="BF454" s="705"/>
      <c r="BG454" s="705"/>
      <c r="BH454" s="705"/>
      <c r="BI454" s="705"/>
      <c r="BJ454" s="2"/>
      <c r="BK454" s="705">
        <f ca="1">SUMIF($BC$7:BI$7,"&lt;="&amp;$I$7,BC454:BH454)</f>
        <v>0</v>
      </c>
      <c r="BL454" s="878" t="str">
        <f ca="1">IFERROR((BK455/BK454),"-")</f>
        <v>-</v>
      </c>
      <c r="BM454" s="2"/>
      <c r="BN454" s="884">
        <v>0</v>
      </c>
      <c r="BO454" s="921">
        <v>0</v>
      </c>
      <c r="BP454" s="884">
        <f>SUM(M455:P455,V455:AB455,AG455:AM455,AR455:AX455,BC455:BI455)</f>
        <v>0</v>
      </c>
      <c r="BQ454" s="878" t="str">
        <f t="shared" ref="BQ454" si="1038">IFERROR((BP454/BO454),"-")</f>
        <v>-</v>
      </c>
      <c r="BR454" s="2"/>
      <c r="BS454" s="884"/>
      <c r="BT454" s="884"/>
      <c r="BU454" s="884">
        <f ca="1">E454+S455+AD455+AO455+AZ455+BK455-K455-L455</f>
        <v>1</v>
      </c>
      <c r="BV454" s="1016" t="e">
        <v>#N/A</v>
      </c>
      <c r="BW454" s="1004" t="str">
        <f ca="1">IFERROR((BU454/BV454),"-")</f>
        <v>-</v>
      </c>
      <c r="BX454" s="884">
        <v>0</v>
      </c>
      <c r="BY454" s="878" t="str">
        <f ca="1">IFERROR((BU454/BX454),"-")</f>
        <v>-</v>
      </c>
      <c r="BZ454" s="2"/>
      <c r="CA454" s="884">
        <v>0</v>
      </c>
      <c r="CB454" s="884">
        <v>0</v>
      </c>
      <c r="CC454" s="2"/>
      <c r="CD454" s="504">
        <f>IFERROR(AVERAGEIF($V$7:AB$7,"&lt;="&amp;$I$7,V454:AB454),0)</f>
        <v>0</v>
      </c>
      <c r="CE454" s="2"/>
      <c r="CH454" s="93" t="str">
        <f t="shared" si="1003"/>
        <v>E1 - Execução de estaca EE1.10</v>
      </c>
    </row>
    <row r="455" spans="1:86" s="16" customFormat="1" ht="20.45" hidden="1" customHeight="1" outlineLevel="1">
      <c r="A455" s="74"/>
      <c r="B455" s="1036"/>
      <c r="C455" s="1034"/>
      <c r="D455" s="2"/>
      <c r="E455" s="1005"/>
      <c r="F455" s="2"/>
      <c r="G455" s="50" t="s">
        <v>38</v>
      </c>
      <c r="H455" s="705">
        <v>0</v>
      </c>
      <c r="I455" s="879"/>
      <c r="J455" s="2"/>
      <c r="K455" s="86"/>
      <c r="L455" s="86"/>
      <c r="M455" s="86"/>
      <c r="N455" s="86"/>
      <c r="O455" s="86"/>
      <c r="P455" s="86"/>
      <c r="Q455" s="706"/>
      <c r="R455" s="2"/>
      <c r="S455" s="705">
        <f ca="1">SUMIF($K$7:Q$7,"&lt;="&amp;$I$7,K455:P455)</f>
        <v>0</v>
      </c>
      <c r="T455" s="879"/>
      <c r="U455" s="2"/>
      <c r="V455" s="86"/>
      <c r="W455" s="86"/>
      <c r="X455" s="86"/>
      <c r="Y455" s="86"/>
      <c r="Z455" s="86"/>
      <c r="AA455" s="86"/>
      <c r="AB455" s="706"/>
      <c r="AC455" s="2"/>
      <c r="AD455" s="705">
        <f ca="1">SUMIF($V$7:AB$7,"&lt;="&amp;$I$7,V455:AA455)</f>
        <v>0</v>
      </c>
      <c r="AE455" s="879"/>
      <c r="AF455" s="2"/>
      <c r="AG455" s="86"/>
      <c r="AH455" s="86"/>
      <c r="AI455" s="86"/>
      <c r="AJ455" s="86"/>
      <c r="AK455" s="86"/>
      <c r="AL455" s="86"/>
      <c r="AM455" s="706"/>
      <c r="AN455" s="2"/>
      <c r="AO455" s="705">
        <f ca="1">SUMIF($AG$7:AM$7,"&lt;="&amp;$I$7,AG455:AL455)</f>
        <v>0</v>
      </c>
      <c r="AP455" s="879"/>
      <c r="AQ455" s="2"/>
      <c r="AR455" s="86"/>
      <c r="AS455" s="86"/>
      <c r="AT455" s="86"/>
      <c r="AU455" s="86"/>
      <c r="AV455" s="86"/>
      <c r="AW455" s="86"/>
      <c r="AX455" s="706"/>
      <c r="AY455" s="2"/>
      <c r="AZ455" s="705">
        <f ca="1">SUMIF($AR$7:AX$7,"&lt;="&amp;$I$7,AR455:AW455)</f>
        <v>0</v>
      </c>
      <c r="BA455" s="879"/>
      <c r="BB455" s="2"/>
      <c r="BC455" s="86"/>
      <c r="BD455" s="86"/>
      <c r="BE455" s="86"/>
      <c r="BF455" s="86"/>
      <c r="BG455" s="86"/>
      <c r="BH455" s="86"/>
      <c r="BI455" s="706"/>
      <c r="BJ455" s="2"/>
      <c r="BK455" s="705">
        <f ca="1">SUMIF($BC$7:BI$7,"&lt;="&amp;$I$7,BC455:BH455)</f>
        <v>0</v>
      </c>
      <c r="BL455" s="879"/>
      <c r="BM455" s="2"/>
      <c r="BN455" s="885"/>
      <c r="BO455" s="922"/>
      <c r="BP455" s="885"/>
      <c r="BQ455" s="879"/>
      <c r="BR455" s="2"/>
      <c r="BS455" s="885"/>
      <c r="BT455" s="885"/>
      <c r="BU455" s="885"/>
      <c r="BV455" s="1017"/>
      <c r="BW455" s="1005"/>
      <c r="BX455" s="885"/>
      <c r="BY455" s="879"/>
      <c r="BZ455" s="2"/>
      <c r="CA455" s="885"/>
      <c r="CB455" s="885"/>
      <c r="CC455" s="2"/>
      <c r="CD455" s="504">
        <f>IFERROR(AVERAGEIF($V$7:AB$7,"&lt;="&amp;$I$7,V455:AB455),0)</f>
        <v>0</v>
      </c>
      <c r="CE455" s="2"/>
      <c r="CH455" s="93" t="str">
        <f t="shared" si="1003"/>
        <v>E1 - Execução de estaca EE1.10</v>
      </c>
    </row>
    <row r="456" spans="1:86" s="16" customFormat="1" ht="15.95" hidden="1" customHeight="1" outlineLevel="1">
      <c r="A456" s="74"/>
      <c r="B456" s="1035" t="s">
        <v>4057</v>
      </c>
      <c r="C456" s="1014" t="s">
        <v>1437</v>
      </c>
      <c r="D456" s="2"/>
      <c r="E456" s="1004">
        <v>0</v>
      </c>
      <c r="F456" s="2"/>
      <c r="G456" s="49" t="s">
        <v>37</v>
      </c>
      <c r="H456" s="705">
        <v>0</v>
      </c>
      <c r="I456" s="878" t="str">
        <f t="shared" ref="I456" si="1039">IFERROR((H457/H456),"-")</f>
        <v>-</v>
      </c>
      <c r="J456" s="2"/>
      <c r="K456" s="705"/>
      <c r="L456" s="705"/>
      <c r="M456" s="705"/>
      <c r="N456" s="705"/>
      <c r="O456" s="705"/>
      <c r="P456" s="705"/>
      <c r="Q456" s="705"/>
      <c r="R456" s="2"/>
      <c r="S456" s="705">
        <f t="shared" ref="S456:S459" si="1040">SUM(K456:P456)</f>
        <v>0</v>
      </c>
      <c r="T456" s="878" t="str">
        <f>IFERROR((S457/S456),"-")</f>
        <v>-</v>
      </c>
      <c r="U456" s="2"/>
      <c r="V456" s="705"/>
      <c r="W456" s="705"/>
      <c r="X456" s="705"/>
      <c r="Y456" s="705"/>
      <c r="Z456" s="705"/>
      <c r="AA456" s="705"/>
      <c r="AB456" s="705"/>
      <c r="AC456" s="2"/>
      <c r="AD456" s="705">
        <f ca="1">SUMIF($V$7:AB$7,"&lt;="&amp;$I$7,V456:AA456)</f>
        <v>0</v>
      </c>
      <c r="AE456" s="878" t="str">
        <f ca="1">IFERROR((AD457/AD456),"-")</f>
        <v>-</v>
      </c>
      <c r="AF456" s="2"/>
      <c r="AG456" s="705"/>
      <c r="AH456" s="705"/>
      <c r="AI456" s="705"/>
      <c r="AJ456" s="705"/>
      <c r="AK456" s="705"/>
      <c r="AL456" s="705"/>
      <c r="AM456" s="705"/>
      <c r="AN456" s="2"/>
      <c r="AO456" s="705">
        <f ca="1">SUMIF($AG$7:AM$7,"&lt;="&amp;$I$7,AG456:AL456)</f>
        <v>0</v>
      </c>
      <c r="AP456" s="878" t="str">
        <f ca="1">IFERROR((AO457/AO456),"-")</f>
        <v>-</v>
      </c>
      <c r="AQ456" s="2"/>
      <c r="AR456" s="705"/>
      <c r="AS456" s="705"/>
      <c r="AT456" s="705"/>
      <c r="AU456" s="705"/>
      <c r="AV456" s="705"/>
      <c r="AW456" s="705"/>
      <c r="AX456" s="705"/>
      <c r="AY456" s="2"/>
      <c r="AZ456" s="705">
        <f ca="1">SUMIF($AR$7:AX$7,"&lt;="&amp;$I$7,AR456:AW456)</f>
        <v>0</v>
      </c>
      <c r="BA456" s="878" t="str">
        <f ca="1">IFERROR((AZ457/AZ456),"-")</f>
        <v>-</v>
      </c>
      <c r="BB456" s="2"/>
      <c r="BC456" s="705"/>
      <c r="BD456" s="705"/>
      <c r="BE456" s="705"/>
      <c r="BF456" s="705"/>
      <c r="BG456" s="705"/>
      <c r="BH456" s="705"/>
      <c r="BI456" s="705"/>
      <c r="BJ456" s="2"/>
      <c r="BK456" s="705">
        <f ca="1">SUMIF($BC$7:BI$7,"&lt;="&amp;$I$7,BC456:BH456)</f>
        <v>0</v>
      </c>
      <c r="BL456" s="878" t="str">
        <f ca="1">IFERROR((BK457/BK456),"-")</f>
        <v>-</v>
      </c>
      <c r="BM456" s="2"/>
      <c r="BN456" s="884">
        <v>0</v>
      </c>
      <c r="BO456" s="921">
        <v>0</v>
      </c>
      <c r="BP456" s="884">
        <f>SUM(M457:P457,V457:AB457,AG457:AM457,AR457:AX457,BC457:BI457)</f>
        <v>0</v>
      </c>
      <c r="BQ456" s="878" t="str">
        <f t="shared" ref="BQ456" si="1041">IFERROR((BP456/BO456),"-")</f>
        <v>-</v>
      </c>
      <c r="BR456" s="2"/>
      <c r="BS456" s="884"/>
      <c r="BT456" s="884"/>
      <c r="BU456" s="884">
        <f ca="1">E456+S457+AD457+AO457+AZ457+BK457-K457-L457</f>
        <v>0</v>
      </c>
      <c r="BV456" s="1016" t="e">
        <v>#N/A</v>
      </c>
      <c r="BW456" s="1004" t="str">
        <f ca="1">IFERROR((BU456/BV456),"-")</f>
        <v>-</v>
      </c>
      <c r="BX456" s="884">
        <v>0</v>
      </c>
      <c r="BY456" s="878" t="str">
        <f ca="1">IFERROR((BU456/BX456),"-")</f>
        <v>-</v>
      </c>
      <c r="BZ456" s="2"/>
      <c r="CA456" s="884">
        <v>0</v>
      </c>
      <c r="CB456" s="884">
        <v>0</v>
      </c>
      <c r="CC456" s="2"/>
      <c r="CD456" s="504">
        <f>IFERROR(AVERAGEIF($V$7:AB$7,"&lt;="&amp;$I$7,V456:AB456),0)</f>
        <v>0</v>
      </c>
      <c r="CE456" s="2"/>
      <c r="CH456" s="93" t="str">
        <f t="shared" si="1003"/>
        <v>E1 - Execução de estaca EE1.14</v>
      </c>
    </row>
    <row r="457" spans="1:86" s="21" customFormat="1" ht="15.95" hidden="1" customHeight="1" outlineLevel="1">
      <c r="A457" s="74"/>
      <c r="B457" s="1036"/>
      <c r="C457" s="1034"/>
      <c r="D457" s="2"/>
      <c r="E457" s="1005"/>
      <c r="F457" s="2"/>
      <c r="G457" s="50" t="s">
        <v>38</v>
      </c>
      <c r="H457" s="705">
        <v>0</v>
      </c>
      <c r="I457" s="879"/>
      <c r="J457" s="2"/>
      <c r="K457" s="86"/>
      <c r="L457" s="86"/>
      <c r="M457" s="86"/>
      <c r="N457" s="86"/>
      <c r="O457" s="86"/>
      <c r="P457" s="86"/>
      <c r="Q457" s="706"/>
      <c r="R457" s="2"/>
      <c r="S457" s="705">
        <f t="shared" si="1040"/>
        <v>0</v>
      </c>
      <c r="T457" s="879"/>
      <c r="U457" s="2"/>
      <c r="V457" s="86"/>
      <c r="W457" s="86"/>
      <c r="X457" s="86"/>
      <c r="Y457" s="86"/>
      <c r="Z457" s="86"/>
      <c r="AA457" s="86"/>
      <c r="AB457" s="706"/>
      <c r="AC457" s="2"/>
      <c r="AD457" s="705">
        <f ca="1">SUMIF($V$7:AB$7,"&lt;="&amp;$I$7,V457:AA457)</f>
        <v>0</v>
      </c>
      <c r="AE457" s="879"/>
      <c r="AF457" s="2"/>
      <c r="AG457" s="86"/>
      <c r="AH457" s="86"/>
      <c r="AI457" s="86"/>
      <c r="AJ457" s="86"/>
      <c r="AK457" s="86"/>
      <c r="AL457" s="86"/>
      <c r="AM457" s="706"/>
      <c r="AN457" s="2"/>
      <c r="AO457" s="705">
        <f ca="1">SUMIF($AG$7:AM$7,"&lt;="&amp;$I$7,AG457:AL457)</f>
        <v>0</v>
      </c>
      <c r="AP457" s="879"/>
      <c r="AQ457" s="2"/>
      <c r="AR457" s="86"/>
      <c r="AS457" s="86"/>
      <c r="AT457" s="86"/>
      <c r="AU457" s="86"/>
      <c r="AV457" s="86"/>
      <c r="AW457" s="86"/>
      <c r="AX457" s="706"/>
      <c r="AY457" s="2"/>
      <c r="AZ457" s="705">
        <f ca="1">SUMIF($AR$7:AX$7,"&lt;="&amp;$I$7,AR457:AW457)</f>
        <v>0</v>
      </c>
      <c r="BA457" s="879"/>
      <c r="BB457" s="2"/>
      <c r="BC457" s="86"/>
      <c r="BD457" s="86"/>
      <c r="BE457" s="86"/>
      <c r="BF457" s="86"/>
      <c r="BG457" s="86"/>
      <c r="BH457" s="86"/>
      <c r="BI457" s="706"/>
      <c r="BJ457" s="2"/>
      <c r="BK457" s="705">
        <f ca="1">SUMIF($BC$7:BI$7,"&lt;="&amp;$I$7,BC457:BH457)</f>
        <v>0</v>
      </c>
      <c r="BL457" s="879"/>
      <c r="BM457" s="2"/>
      <c r="BN457" s="885"/>
      <c r="BO457" s="922"/>
      <c r="BP457" s="885"/>
      <c r="BQ457" s="879"/>
      <c r="BR457" s="2"/>
      <c r="BS457" s="885"/>
      <c r="BT457" s="885"/>
      <c r="BU457" s="885"/>
      <c r="BV457" s="1055"/>
      <c r="BW457" s="1037"/>
      <c r="BX457" s="885"/>
      <c r="BY457" s="879"/>
      <c r="BZ457" s="2"/>
      <c r="CA457" s="885"/>
      <c r="CB457" s="885"/>
      <c r="CC457" s="2"/>
      <c r="CD457" s="504">
        <f>IFERROR(AVERAGEIF($V$7:AB$7,"&lt;="&amp;$I$7,V457:AB457),0)</f>
        <v>0</v>
      </c>
      <c r="CE457" s="2"/>
      <c r="CH457" s="93" t="str">
        <f t="shared" si="1003"/>
        <v>E1 - Execução de estaca EE1.14</v>
      </c>
    </row>
    <row r="458" spans="1:86" s="16" customFormat="1" ht="20.45" hidden="1" customHeight="1" outlineLevel="1">
      <c r="A458" s="74"/>
      <c r="B458" s="1054" t="s">
        <v>4058</v>
      </c>
      <c r="C458" s="1023" t="s">
        <v>3936</v>
      </c>
      <c r="D458" s="2"/>
      <c r="E458" s="1004">
        <v>1</v>
      </c>
      <c r="F458" s="2"/>
      <c r="G458" s="49" t="s">
        <v>37</v>
      </c>
      <c r="H458" s="705">
        <v>0</v>
      </c>
      <c r="I458" s="878" t="str">
        <f t="shared" ref="I458" si="1042">IFERROR((H459/H458),"-")</f>
        <v>-</v>
      </c>
      <c r="J458" s="2"/>
      <c r="K458" s="705"/>
      <c r="L458" s="705"/>
      <c r="M458" s="705"/>
      <c r="N458" s="705"/>
      <c r="O458" s="705"/>
      <c r="P458" s="705"/>
      <c r="Q458" s="705"/>
      <c r="R458" s="2"/>
      <c r="S458" s="705">
        <f t="shared" si="1040"/>
        <v>0</v>
      </c>
      <c r="T458" s="878" t="str">
        <f>IFERROR((S459/S458),"-")</f>
        <v>-</v>
      </c>
      <c r="U458" s="2"/>
      <c r="V458" s="705"/>
      <c r="W458" s="705"/>
      <c r="X458" s="705"/>
      <c r="Y458" s="705"/>
      <c r="Z458" s="705"/>
      <c r="AA458" s="705"/>
      <c r="AB458" s="705"/>
      <c r="AC458" s="2"/>
      <c r="AD458" s="705">
        <f ca="1">SUMIF($V$7:AB$7,"&lt;="&amp;$I$7,V458:AA458)</f>
        <v>0</v>
      </c>
      <c r="AE458" s="878" t="str">
        <f ca="1">IFERROR((AD459/AD458),"-")</f>
        <v>-</v>
      </c>
      <c r="AF458" s="2"/>
      <c r="AG458" s="705"/>
      <c r="AH458" s="705"/>
      <c r="AI458" s="705"/>
      <c r="AJ458" s="705"/>
      <c r="AK458" s="705"/>
      <c r="AL458" s="705"/>
      <c r="AM458" s="705"/>
      <c r="AN458" s="2"/>
      <c r="AO458" s="705">
        <f ca="1">SUMIF($AG$7:AM$7,"&lt;="&amp;$I$7,AG458:AL458)</f>
        <v>0</v>
      </c>
      <c r="AP458" s="878" t="str">
        <f ca="1">IFERROR((AO459/AO458),"-")</f>
        <v>-</v>
      </c>
      <c r="AQ458" s="2"/>
      <c r="AR458" s="705"/>
      <c r="AS458" s="705"/>
      <c r="AT458" s="705"/>
      <c r="AU458" s="705"/>
      <c r="AV458" s="705"/>
      <c r="AW458" s="705"/>
      <c r="AX458" s="705"/>
      <c r="AY458" s="2"/>
      <c r="AZ458" s="705">
        <f ca="1">SUMIF($AR$7:AX$7,"&lt;="&amp;$I$7,AR458:AW458)</f>
        <v>0</v>
      </c>
      <c r="BA458" s="878" t="str">
        <f ca="1">IFERROR((AZ459/AZ458),"-")</f>
        <v>-</v>
      </c>
      <c r="BB458" s="2"/>
      <c r="BC458" s="705"/>
      <c r="BD458" s="705"/>
      <c r="BE458" s="705"/>
      <c r="BF458" s="705"/>
      <c r="BG458" s="705"/>
      <c r="BH458" s="705"/>
      <c r="BI458" s="705"/>
      <c r="BJ458" s="2"/>
      <c r="BK458" s="705">
        <f ca="1">SUMIF($BC$7:BI$7,"&lt;="&amp;$I$7,BC458:BH458)</f>
        <v>0</v>
      </c>
      <c r="BL458" s="878" t="str">
        <f ca="1">IFERROR((BK459/BK458),"-")</f>
        <v>-</v>
      </c>
      <c r="BM458" s="2"/>
      <c r="BN458" s="921">
        <v>0</v>
      </c>
      <c r="BO458" s="921">
        <v>0</v>
      </c>
      <c r="BP458" s="884">
        <f>SUM(M459:P459,V459:AB459,AG459:AM459,AR459:AX459,BC459:BI459)</f>
        <v>0</v>
      </c>
      <c r="BQ458" s="878" t="str">
        <f t="shared" ref="BQ458" si="1043">IFERROR((BP458/BO458),"-")</f>
        <v>-</v>
      </c>
      <c r="BR458" s="2"/>
      <c r="BS458" s="884"/>
      <c r="BT458" s="884"/>
      <c r="BU458" s="884">
        <f ca="1">E458+S459+AD459+AO459+AZ459+BK459-K459-L459</f>
        <v>1</v>
      </c>
      <c r="BV458" s="884">
        <v>106</v>
      </c>
      <c r="BW458" s="1004">
        <f ca="1">IFERROR((BU458/BV458),"-")</f>
        <v>9.433962264150943E-3</v>
      </c>
      <c r="BX458" s="884">
        <v>0</v>
      </c>
      <c r="BY458" s="878" t="str">
        <f ca="1">IFERROR((BU458/BX458),"-")</f>
        <v>-</v>
      </c>
      <c r="BZ458" s="2"/>
      <c r="CA458" s="884">
        <v>0</v>
      </c>
      <c r="CB458" s="884">
        <v>0</v>
      </c>
      <c r="CC458" s="2"/>
      <c r="CD458" s="504">
        <f>IFERROR(AVERAGEIF($V$7:AB$7,"&lt;="&amp;$I$7,V458:AB458),0)</f>
        <v>0</v>
      </c>
      <c r="CE458" s="2"/>
      <c r="CH458" s="93" t="str">
        <f t="shared" si="1003"/>
        <v>E1 - Execução de estaca EE1.12</v>
      </c>
    </row>
    <row r="459" spans="1:86" s="16" customFormat="1" ht="20.45" hidden="1" customHeight="1" outlineLevel="1">
      <c r="A459" s="74"/>
      <c r="B459" s="1049"/>
      <c r="C459" s="1023"/>
      <c r="D459" s="2"/>
      <c r="E459" s="1005"/>
      <c r="F459" s="2"/>
      <c r="G459" s="50" t="s">
        <v>38</v>
      </c>
      <c r="H459" s="705">
        <v>0</v>
      </c>
      <c r="I459" s="879"/>
      <c r="J459" s="2"/>
      <c r="K459" s="86"/>
      <c r="L459" s="86"/>
      <c r="M459" s="86"/>
      <c r="N459" s="86"/>
      <c r="O459" s="86"/>
      <c r="P459" s="86"/>
      <c r="Q459" s="706"/>
      <c r="R459" s="2"/>
      <c r="S459" s="705">
        <f t="shared" si="1040"/>
        <v>0</v>
      </c>
      <c r="T459" s="879"/>
      <c r="U459" s="2"/>
      <c r="V459" s="86"/>
      <c r="W459" s="86"/>
      <c r="X459" s="86"/>
      <c r="Y459" s="86"/>
      <c r="Z459" s="86"/>
      <c r="AA459" s="86"/>
      <c r="AB459" s="706"/>
      <c r="AC459" s="2"/>
      <c r="AD459" s="705">
        <f ca="1">SUMIF($V$7:AB$7,"&lt;="&amp;$I$7,V459:AA459)</f>
        <v>0</v>
      </c>
      <c r="AE459" s="879"/>
      <c r="AF459" s="2"/>
      <c r="AG459" s="86"/>
      <c r="AH459" s="86"/>
      <c r="AI459" s="86"/>
      <c r="AJ459" s="86"/>
      <c r="AK459" s="86"/>
      <c r="AL459" s="86"/>
      <c r="AM459" s="706"/>
      <c r="AN459" s="2"/>
      <c r="AO459" s="705">
        <f ca="1">SUMIF($AG$7:AM$7,"&lt;="&amp;$I$7,AG459:AL459)</f>
        <v>0</v>
      </c>
      <c r="AP459" s="879"/>
      <c r="AQ459" s="2"/>
      <c r="AR459" s="86"/>
      <c r="AS459" s="86"/>
      <c r="AT459" s="86"/>
      <c r="AU459" s="86"/>
      <c r="AV459" s="86"/>
      <c r="AW459" s="86"/>
      <c r="AX459" s="706"/>
      <c r="AY459" s="2"/>
      <c r="AZ459" s="705">
        <f ca="1">SUMIF($AR$7:AX$7,"&lt;="&amp;$I$7,AR459:AW459)</f>
        <v>0</v>
      </c>
      <c r="BA459" s="879"/>
      <c r="BB459" s="2"/>
      <c r="BC459" s="86"/>
      <c r="BD459" s="86"/>
      <c r="BE459" s="86"/>
      <c r="BF459" s="86"/>
      <c r="BG459" s="86"/>
      <c r="BH459" s="86"/>
      <c r="BI459" s="706"/>
      <c r="BJ459" s="2"/>
      <c r="BK459" s="705">
        <f ca="1">SUMIF($BC$7:BI$7,"&lt;="&amp;$I$7,BC459:BH459)</f>
        <v>0</v>
      </c>
      <c r="BL459" s="879"/>
      <c r="BM459" s="2"/>
      <c r="BN459" s="922"/>
      <c r="BO459" s="922"/>
      <c r="BP459" s="885"/>
      <c r="BQ459" s="1050"/>
      <c r="BR459" s="2"/>
      <c r="BS459" s="886"/>
      <c r="BT459" s="886"/>
      <c r="BU459" s="885"/>
      <c r="BV459" s="886"/>
      <c r="BW459" s="1051"/>
      <c r="BX459" s="886"/>
      <c r="BY459" s="1053"/>
      <c r="BZ459" s="2"/>
      <c r="CA459" s="886"/>
      <c r="CB459" s="886"/>
      <c r="CC459" s="2"/>
      <c r="CD459" s="504">
        <f>IFERROR(AVERAGEIF($V$7:AB$7,"&lt;="&amp;$I$7,V459:AB459),0)</f>
        <v>0</v>
      </c>
      <c r="CE459" s="2"/>
      <c r="CH459" s="93" t="str">
        <f t="shared" si="1003"/>
        <v>E1 - Execução de estaca EE1.12</v>
      </c>
    </row>
    <row r="460" spans="1:86" s="16" customFormat="1" ht="20.45" customHeight="1" collapsed="1">
      <c r="A460" s="73"/>
      <c r="B460" s="1045" t="s">
        <v>4059</v>
      </c>
      <c r="C460" s="740" t="s">
        <v>1437</v>
      </c>
      <c r="D460" s="2"/>
      <c r="E460" s="1019">
        <v>14</v>
      </c>
      <c r="F460" s="2"/>
      <c r="G460" s="53" t="s">
        <v>37</v>
      </c>
      <c r="H460" s="52">
        <f t="shared" ref="H460:H523" si="1044">SUMIF($K$7:$BI$7,$I$7,K460:BI460)</f>
        <v>0</v>
      </c>
      <c r="I460" s="743" t="str">
        <f t="shared" ref="I460" si="1045">IFERROR((H461/H460),"-")</f>
        <v>-</v>
      </c>
      <c r="J460" s="2"/>
      <c r="K460" s="52">
        <f>SUMIF($G$462:$G$487,$G$460,K462:K487)</f>
        <v>0</v>
      </c>
      <c r="L460" s="52">
        <f t="shared" ref="L460:Q460" si="1046">SUMIF($G$462:$G$487,$G$460,L462:L487)</f>
        <v>0</v>
      </c>
      <c r="M460" s="52">
        <f t="shared" si="1046"/>
        <v>0</v>
      </c>
      <c r="N460" s="52">
        <f t="shared" si="1046"/>
        <v>0</v>
      </c>
      <c r="O460" s="52">
        <f t="shared" si="1046"/>
        <v>0</v>
      </c>
      <c r="P460" s="52">
        <f t="shared" si="1046"/>
        <v>0</v>
      </c>
      <c r="Q460" s="52">
        <f t="shared" si="1046"/>
        <v>0</v>
      </c>
      <c r="R460" s="2"/>
      <c r="S460" s="52">
        <f ca="1">SUMIF($K$7:Q$7,"&lt;="&amp;$I$7,K460:P460)</f>
        <v>0</v>
      </c>
      <c r="T460" s="743" t="str">
        <f ca="1">IFERROR((S461/S460),"-")</f>
        <v>-</v>
      </c>
      <c r="U460" s="2"/>
      <c r="V460" s="52">
        <f>SUMIF($G$462:$G$487,$G$460,V462:V487)</f>
        <v>0</v>
      </c>
      <c r="W460" s="52">
        <f t="shared" ref="W460:AB460" si="1047">SUMIF($G$462:$G$487,$G$460,W462:W487)</f>
        <v>0</v>
      </c>
      <c r="X460" s="52">
        <f t="shared" si="1047"/>
        <v>0</v>
      </c>
      <c r="Y460" s="52">
        <f t="shared" si="1047"/>
        <v>0</v>
      </c>
      <c r="Z460" s="52">
        <f t="shared" si="1047"/>
        <v>0</v>
      </c>
      <c r="AA460" s="52">
        <f t="shared" si="1047"/>
        <v>0</v>
      </c>
      <c r="AB460" s="52">
        <f t="shared" si="1047"/>
        <v>0</v>
      </c>
      <c r="AC460" s="2"/>
      <c r="AD460" s="52">
        <f>SUMIF($V$7:AB$7,"&lt;="&amp;$I$7,V460:AB460)</f>
        <v>0</v>
      </c>
      <c r="AE460" s="743" t="str">
        <f>IFERROR((AD461/AD460),"-")</f>
        <v>-</v>
      </c>
      <c r="AF460" s="2"/>
      <c r="AG460" s="52">
        <f t="shared" ref="AG460:AL460" si="1048">SUMIF($G$462:$G$487,$G$460,AG462:AG487)</f>
        <v>0</v>
      </c>
      <c r="AH460" s="52">
        <f t="shared" si="1048"/>
        <v>0</v>
      </c>
      <c r="AI460" s="52">
        <f t="shared" si="1048"/>
        <v>0</v>
      </c>
      <c r="AJ460" s="52">
        <f t="shared" si="1048"/>
        <v>0</v>
      </c>
      <c r="AK460" s="52">
        <f t="shared" si="1048"/>
        <v>0</v>
      </c>
      <c r="AL460" s="52">
        <f t="shared" si="1048"/>
        <v>0</v>
      </c>
      <c r="AM460" s="52"/>
      <c r="AN460" s="2"/>
      <c r="AO460" s="52">
        <f ca="1">SUMIF($AG$7:AM$7,"&lt;="&amp;$I$7,AG460:AL460)</f>
        <v>0</v>
      </c>
      <c r="AP460" s="743" t="str">
        <f ca="1">IFERROR((AO461/AO460),"-")</f>
        <v>-</v>
      </c>
      <c r="AQ460" s="2"/>
      <c r="AR460" s="52">
        <f>SUMIF($G$462:$G$487,$G$460,AR462:AR487)</f>
        <v>0</v>
      </c>
      <c r="AS460" s="52">
        <f t="shared" ref="AS460:AW460" si="1049">SUMIF($G$462:$G$487,$G$460,AS462:AS487)</f>
        <v>0</v>
      </c>
      <c r="AT460" s="52">
        <f t="shared" si="1049"/>
        <v>0</v>
      </c>
      <c r="AU460" s="52">
        <f t="shared" si="1049"/>
        <v>0</v>
      </c>
      <c r="AV460" s="52">
        <f t="shared" si="1049"/>
        <v>0</v>
      </c>
      <c r="AW460" s="52">
        <f t="shared" si="1049"/>
        <v>0</v>
      </c>
      <c r="AX460" s="52"/>
      <c r="AY460" s="2"/>
      <c r="AZ460" s="52">
        <f ca="1">SUMIF($AR$7:AX$7,"&lt;="&amp;$I$7,AR460:AW460)</f>
        <v>0</v>
      </c>
      <c r="BA460" s="743" t="str">
        <f ca="1">IFERROR((AZ461/AZ460),"-")</f>
        <v>-</v>
      </c>
      <c r="BB460" s="2"/>
      <c r="BC460" s="52">
        <f>SUMIF($G$462:$G$487,$G$460,BC462:BC487)</f>
        <v>0</v>
      </c>
      <c r="BD460" s="52">
        <f t="shared" ref="BD460:BH460" si="1050">SUMIF($G$462:$G$487,$G$460,BD462:BD487)</f>
        <v>0</v>
      </c>
      <c r="BE460" s="52">
        <f t="shared" si="1050"/>
        <v>0</v>
      </c>
      <c r="BF460" s="52">
        <f t="shared" si="1050"/>
        <v>0</v>
      </c>
      <c r="BG460" s="52">
        <f t="shared" si="1050"/>
        <v>0</v>
      </c>
      <c r="BH460" s="52">
        <f t="shared" si="1050"/>
        <v>0</v>
      </c>
      <c r="BI460" s="52"/>
      <c r="BJ460" s="2"/>
      <c r="BK460" s="52">
        <f ca="1">SUMIF($BC$7:BI$7,"&lt;="&amp;$I$7,BC460:BH460)</f>
        <v>0</v>
      </c>
      <c r="BL460" s="743" t="str">
        <f ca="1">IFERROR((BK461/BK460),"-")</f>
        <v>-</v>
      </c>
      <c r="BM460" s="2"/>
      <c r="BN460" s="888">
        <v>0</v>
      </c>
      <c r="BO460" s="888">
        <v>0</v>
      </c>
      <c r="BP460" s="888">
        <f>SUM(BP462:BP487)</f>
        <v>0</v>
      </c>
      <c r="BQ460" s="743" t="str">
        <f>IF(BO460=0,IF(BP460&gt;0,1,"-"),IFERROR(BP460/BO460,"-"))</f>
        <v>-</v>
      </c>
      <c r="BR460" s="2"/>
      <c r="BS460" s="888">
        <v>0</v>
      </c>
      <c r="BT460" s="888"/>
      <c r="BU460" s="888">
        <f ca="1">E460+S461+AO461+AZ461+AD461+BK461</f>
        <v>14</v>
      </c>
      <c r="BV460" s="888">
        <v>106</v>
      </c>
      <c r="BW460" s="1019">
        <f ca="1">IFERROR((BU460/BV460),"-")</f>
        <v>0.13207547169811321</v>
      </c>
      <c r="BX460" s="888">
        <v>14</v>
      </c>
      <c r="BY460" s="743">
        <f ca="1">IFERROR((BU460/BX460),"-")</f>
        <v>1</v>
      </c>
      <c r="BZ460" s="2"/>
      <c r="CA460" s="888">
        <v>14</v>
      </c>
      <c r="CB460" s="888">
        <f ca="1">CA460-BU460</f>
        <v>0</v>
      </c>
      <c r="CC460" s="2"/>
      <c r="CD460" s="504">
        <f>IFERROR(AVERAGEIF($V$7:AB$7,"&lt;="&amp;$I$7,V460:AB460),0)</f>
        <v>0</v>
      </c>
      <c r="CE460" s="2"/>
      <c r="CH460" s="93" t="str">
        <f t="shared" si="1003"/>
        <v>ESTACAS E2</v>
      </c>
    </row>
    <row r="461" spans="1:86" s="16" customFormat="1" ht="20.45" customHeight="1">
      <c r="A461" s="74"/>
      <c r="B461" s="1045"/>
      <c r="C461" s="740"/>
      <c r="D461" s="2"/>
      <c r="E461" s="1020"/>
      <c r="F461" s="2"/>
      <c r="G461" s="54" t="s">
        <v>38</v>
      </c>
      <c r="H461" s="52">
        <f t="shared" si="1044"/>
        <v>0</v>
      </c>
      <c r="I461" s="744"/>
      <c r="J461" s="2"/>
      <c r="K461" s="75">
        <f>SUMIF($G$462:$G$487,$G$461,K462:K487)</f>
        <v>0</v>
      </c>
      <c r="L461" s="75">
        <f t="shared" ref="L461:Q461" si="1051">SUMIF($G$462:$G$487,$G$461,L462:L487)</f>
        <v>0</v>
      </c>
      <c r="M461" s="75">
        <f t="shared" si="1051"/>
        <v>0</v>
      </c>
      <c r="N461" s="75">
        <f t="shared" si="1051"/>
        <v>0</v>
      </c>
      <c r="O461" s="75">
        <f t="shared" si="1051"/>
        <v>0</v>
      </c>
      <c r="P461" s="75">
        <f t="shared" si="1051"/>
        <v>0</v>
      </c>
      <c r="Q461" s="75">
        <f t="shared" si="1051"/>
        <v>0</v>
      </c>
      <c r="R461" s="2"/>
      <c r="S461" s="52">
        <f ca="1">SUMIF($K$7:Q$7,"&lt;="&amp;$I$7,K461:P461)</f>
        <v>0</v>
      </c>
      <c r="T461" s="744"/>
      <c r="U461" s="2"/>
      <c r="V461" s="75">
        <f>SUMIF($G$462:$G$487,$G$461,V462:V487)</f>
        <v>0</v>
      </c>
      <c r="W461" s="75">
        <f t="shared" ref="W461:AB461" si="1052">SUMIF($G$462:$G$487,$G$461,W462:W487)</f>
        <v>0</v>
      </c>
      <c r="X461" s="75">
        <f t="shared" si="1052"/>
        <v>0</v>
      </c>
      <c r="Y461" s="75">
        <f t="shared" si="1052"/>
        <v>0</v>
      </c>
      <c r="Z461" s="75">
        <f t="shared" si="1052"/>
        <v>0</v>
      </c>
      <c r="AA461" s="75">
        <f t="shared" si="1052"/>
        <v>0</v>
      </c>
      <c r="AB461" s="75">
        <f t="shared" si="1052"/>
        <v>0</v>
      </c>
      <c r="AC461" s="2"/>
      <c r="AD461" s="52">
        <f>SUMIF($V$7:AB$7,"&lt;="&amp;$I$7,V461:AB461)</f>
        <v>0</v>
      </c>
      <c r="AE461" s="744"/>
      <c r="AF461" s="2"/>
      <c r="AG461" s="75">
        <f t="shared" ref="AG461:AI461" si="1053">SUMIF($G$462:$G$487,$G$461,AG462:AG487)</f>
        <v>0</v>
      </c>
      <c r="AH461" s="75">
        <f t="shared" si="1053"/>
        <v>0</v>
      </c>
      <c r="AI461" s="75">
        <f t="shared" si="1053"/>
        <v>0</v>
      </c>
      <c r="AJ461" s="75"/>
      <c r="AK461" s="75">
        <f t="shared" ref="AK461:AL461" si="1054">SUMIF($G$462:$G$487,$G$461,AK462:AK487)</f>
        <v>0</v>
      </c>
      <c r="AL461" s="75">
        <f t="shared" si="1054"/>
        <v>0</v>
      </c>
      <c r="AM461" s="52"/>
      <c r="AN461" s="2"/>
      <c r="AO461" s="52">
        <f ca="1">SUMIF($AG$7:AM$7,"&lt;="&amp;$I$7,AG461:AL461)</f>
        <v>0</v>
      </c>
      <c r="AP461" s="744"/>
      <c r="AQ461" s="2"/>
      <c r="AR461" s="75">
        <f>SUMIF($G$462:$G$487,$G$461,AR462:AR487)</f>
        <v>0</v>
      </c>
      <c r="AS461" s="75">
        <f t="shared" ref="AS461:AW461" si="1055">SUMIF($G$462:$G$487,$G$461,AS462:AS487)</f>
        <v>0</v>
      </c>
      <c r="AT461" s="75">
        <f t="shared" si="1055"/>
        <v>0</v>
      </c>
      <c r="AU461" s="75">
        <f t="shared" si="1055"/>
        <v>0</v>
      </c>
      <c r="AV461" s="75">
        <f t="shared" si="1055"/>
        <v>0</v>
      </c>
      <c r="AW461" s="75">
        <f t="shared" si="1055"/>
        <v>0</v>
      </c>
      <c r="AX461" s="75">
        <f>SUMIF($G$462:$G$487,$G$461,AX462:AX487)</f>
        <v>0</v>
      </c>
      <c r="AY461" s="2"/>
      <c r="AZ461" s="52">
        <f ca="1">SUMIF($AR$7:AX$7,"&lt;="&amp;$I$7,AR461:AW461)</f>
        <v>0</v>
      </c>
      <c r="BA461" s="744"/>
      <c r="BB461" s="2"/>
      <c r="BC461" s="75">
        <f>SUMIF($G$462:$G$487,$G$461,BC462:BC487)</f>
        <v>0</v>
      </c>
      <c r="BD461" s="75">
        <f t="shared" ref="BD461:BH461" si="1056">SUMIF($G$462:$G$487,$G$461,BD462:BD487)</f>
        <v>0</v>
      </c>
      <c r="BE461" s="75">
        <f t="shared" si="1056"/>
        <v>0</v>
      </c>
      <c r="BF461" s="75">
        <f t="shared" si="1056"/>
        <v>0</v>
      </c>
      <c r="BG461" s="75">
        <f t="shared" si="1056"/>
        <v>0</v>
      </c>
      <c r="BH461" s="75">
        <f t="shared" si="1056"/>
        <v>0</v>
      </c>
      <c r="BI461" s="52"/>
      <c r="BJ461" s="2"/>
      <c r="BK461" s="52">
        <f ca="1">SUMIF($BC$7:BI$7,"&lt;="&amp;$I$7,BC461:BH461)</f>
        <v>0</v>
      </c>
      <c r="BL461" s="744"/>
      <c r="BM461" s="2"/>
      <c r="BN461" s="888"/>
      <c r="BO461" s="888"/>
      <c r="BP461" s="888"/>
      <c r="BQ461" s="744"/>
      <c r="BR461" s="2"/>
      <c r="BS461" s="888"/>
      <c r="BT461" s="888"/>
      <c r="BU461" s="888"/>
      <c r="BV461" s="888"/>
      <c r="BW461" s="1019"/>
      <c r="BX461" s="888"/>
      <c r="BY461" s="743"/>
      <c r="BZ461" s="2"/>
      <c r="CA461" s="888"/>
      <c r="CB461" s="888"/>
      <c r="CC461" s="2"/>
      <c r="CD461" s="504">
        <f>IFERROR(AVERAGEIF($V$7:AB$7,"&lt;="&amp;$I$7,V461:AB461),0)</f>
        <v>0</v>
      </c>
      <c r="CE461" s="2"/>
      <c r="CH461" s="93" t="str">
        <f t="shared" si="1003"/>
        <v>ESTACAS E2</v>
      </c>
    </row>
    <row r="462" spans="1:86" s="16" customFormat="1" ht="15.95" hidden="1" customHeight="1" outlineLevel="1">
      <c r="A462" s="74"/>
      <c r="B462" s="1048" t="s">
        <v>4060</v>
      </c>
      <c r="C462" s="1023" t="s">
        <v>1437</v>
      </c>
      <c r="D462" s="2"/>
      <c r="E462" s="1004">
        <v>0</v>
      </c>
      <c r="F462" s="2"/>
      <c r="G462" s="49" t="s">
        <v>37</v>
      </c>
      <c r="H462" s="705">
        <f t="shared" si="1044"/>
        <v>0</v>
      </c>
      <c r="I462" s="878" t="str">
        <f t="shared" ref="I462" si="1057">IFERROR((H463/H462),"-")</f>
        <v>-</v>
      </c>
      <c r="J462" s="2"/>
      <c r="K462" s="705"/>
      <c r="L462" s="705"/>
      <c r="M462" s="705"/>
      <c r="N462" s="705"/>
      <c r="O462" s="705"/>
      <c r="P462" s="705"/>
      <c r="Q462" s="705"/>
      <c r="R462" s="2"/>
      <c r="S462" s="705">
        <f ca="1">SUMIF($K$7:Q$7,"&lt;="&amp;$I$7,K462:P462)</f>
        <v>0</v>
      </c>
      <c r="T462" s="878" t="str">
        <f ca="1">IFERROR((S463/S462),"-")</f>
        <v>-</v>
      </c>
      <c r="U462" s="2"/>
      <c r="V462" s="705"/>
      <c r="W462" s="705"/>
      <c r="X462" s="705"/>
      <c r="Y462" s="705"/>
      <c r="Z462" s="705"/>
      <c r="AA462" s="705"/>
      <c r="AB462" s="705"/>
      <c r="AC462" s="2"/>
      <c r="AD462" s="705">
        <f ca="1">SUMIF($V$7:AB$7,"&lt;="&amp;$I$7,V462:AA462)</f>
        <v>0</v>
      </c>
      <c r="AE462" s="878" t="str">
        <f ca="1">IFERROR((AD463/AD462),"-")</f>
        <v>-</v>
      </c>
      <c r="AF462" s="2"/>
      <c r="AG462" s="705"/>
      <c r="AH462" s="705"/>
      <c r="AI462" s="705"/>
      <c r="AJ462" s="705"/>
      <c r="AK462" s="705"/>
      <c r="AL462" s="705"/>
      <c r="AM462" s="705"/>
      <c r="AN462" s="2"/>
      <c r="AO462" s="705">
        <f ca="1">SUMIF($AG$7:AM$7,"&lt;="&amp;$I$7,AG462:AL462)</f>
        <v>0</v>
      </c>
      <c r="AP462" s="878" t="str">
        <f ca="1">IFERROR((AO463/AO462),"-")</f>
        <v>-</v>
      </c>
      <c r="AQ462" s="2"/>
      <c r="AR462" s="705"/>
      <c r="AS462" s="705"/>
      <c r="AT462" s="705"/>
      <c r="AU462" s="705"/>
      <c r="AV462" s="705"/>
      <c r="AW462" s="705"/>
      <c r="AX462" s="705"/>
      <c r="AY462" s="2"/>
      <c r="AZ462" s="705">
        <f ca="1">SUMIF($AR$7:AX$7,"&lt;="&amp;$I$7,AR462:AW462)</f>
        <v>0</v>
      </c>
      <c r="BA462" s="878" t="str">
        <f ca="1">IFERROR((AZ463/AZ462),"-")</f>
        <v>-</v>
      </c>
      <c r="BB462" s="2"/>
      <c r="BC462" s="705"/>
      <c r="BD462" s="705"/>
      <c r="BE462" s="705"/>
      <c r="BF462" s="705"/>
      <c r="BG462" s="705"/>
      <c r="BH462" s="705"/>
      <c r="BI462" s="705"/>
      <c r="BJ462" s="2"/>
      <c r="BK462" s="705">
        <f ca="1">SUMIF($BC$7:BI$7,"&lt;="&amp;$I$7,BC462:BH462)</f>
        <v>0</v>
      </c>
      <c r="BL462" s="878" t="str">
        <f ca="1">IFERROR((BK463/BK462),"-")</f>
        <v>-</v>
      </c>
      <c r="BM462" s="2"/>
      <c r="BN462" s="921">
        <v>0</v>
      </c>
      <c r="BO462" s="921">
        <v>0</v>
      </c>
      <c r="BP462" s="884">
        <f>SUM(M463:P463,V463:AB463,AG463:AM463,AR463:AX463)</f>
        <v>0</v>
      </c>
      <c r="BQ462" s="878" t="str">
        <f t="shared" ref="BQ462" si="1058">IFERROR((BP462/BO462),"-")</f>
        <v>-</v>
      </c>
      <c r="BR462" s="2"/>
      <c r="BS462" s="884"/>
      <c r="BT462" s="884"/>
      <c r="BU462" s="884">
        <f ca="1">E462+Q463+AD463+AO463+AZ463+BK463</f>
        <v>0</v>
      </c>
      <c r="BV462" s="884">
        <v>106</v>
      </c>
      <c r="BW462" s="1004">
        <f ca="1">IFERROR((BU462/BV462),"-")</f>
        <v>0</v>
      </c>
      <c r="BX462" s="884">
        <v>0</v>
      </c>
      <c r="BY462" s="878" t="str">
        <f ca="1">IFERROR((BU462/BX462),"-")</f>
        <v>-</v>
      </c>
      <c r="BZ462" s="2"/>
      <c r="CA462" s="884">
        <v>0</v>
      </c>
      <c r="CB462" s="884">
        <v>0</v>
      </c>
      <c r="CC462" s="2"/>
      <c r="CD462" s="504">
        <f>IFERROR(AVERAGEIF($V$7:AB$7,"&lt;="&amp;$I$7,V462:AB462),0)</f>
        <v>0</v>
      </c>
      <c r="CE462" s="2"/>
      <c r="CH462" s="93" t="str">
        <f t="shared" si="1003"/>
        <v>E2 - Execução de estaca EE2.09</v>
      </c>
    </row>
    <row r="463" spans="1:86" s="16" customFormat="1" ht="20.45" hidden="1" customHeight="1" outlineLevel="1">
      <c r="A463" s="74"/>
      <c r="B463" s="1049"/>
      <c r="C463" s="1023"/>
      <c r="D463" s="2"/>
      <c r="E463" s="1005"/>
      <c r="F463" s="2"/>
      <c r="G463" s="50" t="s">
        <v>38</v>
      </c>
      <c r="H463" s="705">
        <f t="shared" si="1044"/>
        <v>0</v>
      </c>
      <c r="I463" s="879"/>
      <c r="J463" s="2"/>
      <c r="K463" s="86"/>
      <c r="L463" s="86"/>
      <c r="M463" s="86"/>
      <c r="N463" s="86"/>
      <c r="O463" s="86"/>
      <c r="P463" s="86"/>
      <c r="Q463" s="706"/>
      <c r="R463" s="2"/>
      <c r="S463" s="705">
        <f ca="1">SUMIF($K$7:Q$7,"&lt;="&amp;$I$7,K463:P463)</f>
        <v>0</v>
      </c>
      <c r="T463" s="879"/>
      <c r="U463" s="2"/>
      <c r="V463" s="86"/>
      <c r="W463" s="86"/>
      <c r="X463" s="86"/>
      <c r="Y463" s="86"/>
      <c r="Z463" s="86"/>
      <c r="AA463" s="86"/>
      <c r="AB463" s="706"/>
      <c r="AC463" s="2"/>
      <c r="AD463" s="705">
        <f ca="1">SUMIF($V$7:AB$7,"&lt;="&amp;$I$7,V463:AA463)</f>
        <v>0</v>
      </c>
      <c r="AE463" s="879"/>
      <c r="AF463" s="2"/>
      <c r="AG463" s="86"/>
      <c r="AH463" s="86"/>
      <c r="AI463" s="86"/>
      <c r="AJ463" s="86"/>
      <c r="AK463" s="86"/>
      <c r="AL463" s="86"/>
      <c r="AM463" s="706"/>
      <c r="AN463" s="2"/>
      <c r="AO463" s="705">
        <f ca="1">SUMIF($AG$7:AM$7,"&lt;="&amp;$I$7,AG463:AL463)</f>
        <v>0</v>
      </c>
      <c r="AP463" s="879"/>
      <c r="AQ463" s="2"/>
      <c r="AR463" s="86"/>
      <c r="AS463" s="86"/>
      <c r="AT463" s="86"/>
      <c r="AU463" s="86"/>
      <c r="AV463" s="86"/>
      <c r="AW463" s="86"/>
      <c r="AX463" s="706"/>
      <c r="AY463" s="2"/>
      <c r="AZ463" s="705">
        <f ca="1">SUMIF($AR$7:AX$7,"&lt;="&amp;$I$7,AR463:AW463)</f>
        <v>0</v>
      </c>
      <c r="BA463" s="879"/>
      <c r="BB463" s="2"/>
      <c r="BC463" s="86"/>
      <c r="BD463" s="86"/>
      <c r="BE463" s="86"/>
      <c r="BF463" s="86"/>
      <c r="BG463" s="86"/>
      <c r="BH463" s="86"/>
      <c r="BI463" s="706"/>
      <c r="BJ463" s="2"/>
      <c r="BK463" s="705">
        <f ca="1">SUMIF($BC$7:BI$7,"&lt;="&amp;$I$7,BC463:BH463)</f>
        <v>0</v>
      </c>
      <c r="BL463" s="879"/>
      <c r="BM463" s="2"/>
      <c r="BN463" s="922"/>
      <c r="BO463" s="922"/>
      <c r="BP463" s="885"/>
      <c r="BQ463" s="1050"/>
      <c r="BR463" s="2"/>
      <c r="BS463" s="886"/>
      <c r="BT463" s="886"/>
      <c r="BU463" s="885"/>
      <c r="BV463" s="886"/>
      <c r="BW463" s="1051"/>
      <c r="BX463" s="886"/>
      <c r="BY463" s="1053"/>
      <c r="BZ463" s="2"/>
      <c r="CA463" s="886"/>
      <c r="CB463" s="886"/>
      <c r="CC463" s="2"/>
      <c r="CD463" s="504">
        <f>IFERROR(AVERAGEIF($V$7:AB$7,"&lt;="&amp;$I$7,V463:AB463),0)</f>
        <v>0</v>
      </c>
      <c r="CE463" s="2"/>
      <c r="CH463" s="93" t="str">
        <f t="shared" si="1003"/>
        <v>E2 - Execução de estaca EE2.09</v>
      </c>
    </row>
    <row r="464" spans="1:86" s="16" customFormat="1" ht="15.95" hidden="1" customHeight="1" outlineLevel="1">
      <c r="A464" s="74"/>
      <c r="B464" s="1048" t="s">
        <v>4061</v>
      </c>
      <c r="C464" s="1023" t="s">
        <v>1437</v>
      </c>
      <c r="D464" s="2"/>
      <c r="E464" s="1004">
        <v>1</v>
      </c>
      <c r="F464" s="2"/>
      <c r="G464" s="49" t="s">
        <v>37</v>
      </c>
      <c r="H464" s="705">
        <f t="shared" si="1044"/>
        <v>0</v>
      </c>
      <c r="I464" s="878" t="str">
        <f t="shared" ref="I464" si="1059">IFERROR((H465/H464),"-")</f>
        <v>-</v>
      </c>
      <c r="J464" s="2"/>
      <c r="K464" s="705"/>
      <c r="L464" s="705"/>
      <c r="M464" s="705"/>
      <c r="N464" s="705"/>
      <c r="O464" s="705"/>
      <c r="P464" s="705"/>
      <c r="Q464" s="705"/>
      <c r="R464" s="2"/>
      <c r="S464" s="705">
        <f ca="1">SUMIF($K$7:Q$7,"&lt;="&amp;$I$7,K464:P464)</f>
        <v>0</v>
      </c>
      <c r="T464" s="878" t="str">
        <f ca="1">IFERROR((S465/S464),"-")</f>
        <v>-</v>
      </c>
      <c r="U464" s="2"/>
      <c r="V464" s="705"/>
      <c r="W464" s="705"/>
      <c r="X464" s="705"/>
      <c r="Y464" s="705"/>
      <c r="Z464" s="705"/>
      <c r="AA464" s="705"/>
      <c r="AB464" s="705"/>
      <c r="AC464" s="2"/>
      <c r="AD464" s="705">
        <f ca="1">SUMIF($V$7:AB$7,"&lt;="&amp;$I$7,V464:AA464)</f>
        <v>0</v>
      </c>
      <c r="AE464" s="878" t="str">
        <f ca="1">IFERROR((AD465/AD464),"-")</f>
        <v>-</v>
      </c>
      <c r="AF464" s="2"/>
      <c r="AG464" s="705"/>
      <c r="AH464" s="705"/>
      <c r="AI464" s="705"/>
      <c r="AJ464" s="705"/>
      <c r="AK464" s="705"/>
      <c r="AL464" s="705"/>
      <c r="AM464" s="705"/>
      <c r="AN464" s="2"/>
      <c r="AO464" s="705">
        <f ca="1">SUMIF($AG$7:AM$7,"&lt;="&amp;$I$7,AG464:AL464)</f>
        <v>0</v>
      </c>
      <c r="AP464" s="878" t="str">
        <f ca="1">IFERROR((AO465/AO464),"-")</f>
        <v>-</v>
      </c>
      <c r="AQ464" s="2"/>
      <c r="AR464" s="705"/>
      <c r="AS464" s="705"/>
      <c r="AT464" s="705"/>
      <c r="AU464" s="705"/>
      <c r="AV464" s="705"/>
      <c r="AW464" s="705"/>
      <c r="AX464" s="705"/>
      <c r="AY464" s="2"/>
      <c r="AZ464" s="705">
        <f ca="1">SUMIF($AR$7:AX$7,"&lt;="&amp;$I$7,AR464:AW464)</f>
        <v>0</v>
      </c>
      <c r="BA464" s="878" t="str">
        <f ca="1">IFERROR((AZ465/AZ464),"-")</f>
        <v>-</v>
      </c>
      <c r="BB464" s="2"/>
      <c r="BC464" s="705"/>
      <c r="BD464" s="705"/>
      <c r="BE464" s="705"/>
      <c r="BF464" s="705"/>
      <c r="BG464" s="705"/>
      <c r="BH464" s="705"/>
      <c r="BI464" s="705"/>
      <c r="BJ464" s="2"/>
      <c r="BK464" s="705">
        <f ca="1">SUMIF($BC$7:BI$7,"&lt;="&amp;$I$7,BC464:BH464)</f>
        <v>0</v>
      </c>
      <c r="BL464" s="878" t="str">
        <f ca="1">IFERROR((BK465/BK464),"-")</f>
        <v>-</v>
      </c>
      <c r="BM464" s="2"/>
      <c r="BN464" s="921">
        <v>0</v>
      </c>
      <c r="BO464" s="921">
        <v>0</v>
      </c>
      <c r="BP464" s="884">
        <f>SUM(M465:P465,V465:AB465,AG465:AM465,AR465:AX465)</f>
        <v>0</v>
      </c>
      <c r="BQ464" s="878" t="str">
        <f t="shared" ref="BQ464" si="1060">IFERROR((BP464/BO464),"-")</f>
        <v>-</v>
      </c>
      <c r="BR464" s="2"/>
      <c r="BS464" s="884"/>
      <c r="BT464" s="884"/>
      <c r="BU464" s="884">
        <f ca="1">E464+Q465+AD465+AO465+AZ465+BK465</f>
        <v>1</v>
      </c>
      <c r="BV464" s="884">
        <v>106</v>
      </c>
      <c r="BW464" s="1004">
        <f ca="1">IFERROR((BU464/BV464),"-")</f>
        <v>9.433962264150943E-3</v>
      </c>
      <c r="BX464" s="884">
        <v>0</v>
      </c>
      <c r="BY464" s="878" t="str">
        <f ca="1">IFERROR((BU464/BX464),"-")</f>
        <v>-</v>
      </c>
      <c r="BZ464" s="2"/>
      <c r="CA464" s="884">
        <v>0</v>
      </c>
      <c r="CB464" s="884">
        <v>0</v>
      </c>
      <c r="CC464" s="2"/>
      <c r="CD464" s="504">
        <f>IFERROR(AVERAGEIF($V$7:AB$7,"&lt;="&amp;$I$7,V464:AB464),0)</f>
        <v>0</v>
      </c>
      <c r="CE464" s="2"/>
      <c r="CH464" s="93" t="str">
        <f t="shared" si="1003"/>
        <v>E2 - Execução de estaca EE2.10</v>
      </c>
    </row>
    <row r="465" spans="1:86" s="16" customFormat="1" ht="20.45" hidden="1" customHeight="1" outlineLevel="1">
      <c r="A465" s="74"/>
      <c r="B465" s="1049"/>
      <c r="C465" s="1023"/>
      <c r="D465" s="2"/>
      <c r="E465" s="1005"/>
      <c r="F465" s="2"/>
      <c r="G465" s="50" t="s">
        <v>38</v>
      </c>
      <c r="H465" s="705">
        <f t="shared" si="1044"/>
        <v>0</v>
      </c>
      <c r="I465" s="879"/>
      <c r="J465" s="2"/>
      <c r="K465" s="86"/>
      <c r="L465" s="86"/>
      <c r="M465" s="86"/>
      <c r="N465" s="86"/>
      <c r="O465" s="86"/>
      <c r="P465" s="86"/>
      <c r="Q465" s="706"/>
      <c r="R465" s="2"/>
      <c r="S465" s="705">
        <f ca="1">SUMIF($K$7:Q$7,"&lt;="&amp;$I$7,K465:P465)</f>
        <v>0</v>
      </c>
      <c r="T465" s="879"/>
      <c r="U465" s="2"/>
      <c r="V465" s="86"/>
      <c r="W465" s="86"/>
      <c r="X465" s="86"/>
      <c r="Y465" s="86"/>
      <c r="Z465" s="86"/>
      <c r="AA465" s="86"/>
      <c r="AB465" s="706"/>
      <c r="AC465" s="2"/>
      <c r="AD465" s="705">
        <f ca="1">SUMIF($V$7:AB$7,"&lt;="&amp;$I$7,V465:AA465)</f>
        <v>0</v>
      </c>
      <c r="AE465" s="879"/>
      <c r="AF465" s="2"/>
      <c r="AG465" s="86"/>
      <c r="AH465" s="86"/>
      <c r="AI465" s="86"/>
      <c r="AJ465" s="86"/>
      <c r="AK465" s="86"/>
      <c r="AL465" s="86"/>
      <c r="AM465" s="706"/>
      <c r="AN465" s="2"/>
      <c r="AO465" s="705">
        <f ca="1">SUMIF($AG$7:AM$7,"&lt;="&amp;$I$7,AG465:AL465)</f>
        <v>0</v>
      </c>
      <c r="AP465" s="879"/>
      <c r="AQ465" s="2"/>
      <c r="AR465" s="86"/>
      <c r="AS465" s="86"/>
      <c r="AT465" s="86"/>
      <c r="AU465" s="86"/>
      <c r="AV465" s="86"/>
      <c r="AW465" s="86"/>
      <c r="AX465" s="706"/>
      <c r="AY465" s="2"/>
      <c r="AZ465" s="705">
        <f ca="1">SUMIF($AR$7:AX$7,"&lt;="&amp;$I$7,AR465:AW465)</f>
        <v>0</v>
      </c>
      <c r="BA465" s="879"/>
      <c r="BB465" s="2"/>
      <c r="BC465" s="86"/>
      <c r="BD465" s="86"/>
      <c r="BE465" s="86"/>
      <c r="BF465" s="86"/>
      <c r="BG465" s="86"/>
      <c r="BH465" s="86"/>
      <c r="BI465" s="706"/>
      <c r="BJ465" s="2"/>
      <c r="BK465" s="705">
        <f ca="1">SUMIF($BC$7:BI$7,"&lt;="&amp;$I$7,BC465:BH465)</f>
        <v>0</v>
      </c>
      <c r="BL465" s="879"/>
      <c r="BM465" s="2"/>
      <c r="BN465" s="922"/>
      <c r="BO465" s="922"/>
      <c r="BP465" s="885"/>
      <c r="BQ465" s="1050"/>
      <c r="BR465" s="2"/>
      <c r="BS465" s="886"/>
      <c r="BT465" s="886"/>
      <c r="BU465" s="885"/>
      <c r="BV465" s="886"/>
      <c r="BW465" s="1051"/>
      <c r="BX465" s="886"/>
      <c r="BY465" s="1053"/>
      <c r="BZ465" s="2"/>
      <c r="CA465" s="886"/>
      <c r="CB465" s="886"/>
      <c r="CC465" s="2"/>
      <c r="CD465" s="504">
        <f>IFERROR(AVERAGEIF($V$7:AB$7,"&lt;="&amp;$I$7,V465:AB465),0)</f>
        <v>0</v>
      </c>
      <c r="CE465" s="2"/>
      <c r="CH465" s="93" t="str">
        <f t="shared" si="1003"/>
        <v>E2 - Execução de estaca EE2.10</v>
      </c>
    </row>
    <row r="466" spans="1:86" s="16" customFormat="1" ht="15.95" hidden="1" customHeight="1" outlineLevel="1">
      <c r="A466" s="74"/>
      <c r="B466" s="1048" t="s">
        <v>4062</v>
      </c>
      <c r="C466" s="1023" t="s">
        <v>1437</v>
      </c>
      <c r="D466" s="2"/>
      <c r="E466" s="1004">
        <v>0</v>
      </c>
      <c r="F466" s="2"/>
      <c r="G466" s="49" t="s">
        <v>37</v>
      </c>
      <c r="H466" s="705">
        <f t="shared" si="1044"/>
        <v>0</v>
      </c>
      <c r="I466" s="878" t="str">
        <f t="shared" ref="I466" si="1061">IFERROR((H467/H466),"-")</f>
        <v>-</v>
      </c>
      <c r="J466" s="2"/>
      <c r="K466" s="705"/>
      <c r="L466" s="705"/>
      <c r="M466" s="705"/>
      <c r="N466" s="705"/>
      <c r="O466" s="705"/>
      <c r="P466" s="705"/>
      <c r="Q466" s="705"/>
      <c r="R466" s="2"/>
      <c r="S466" s="705">
        <f ca="1">SUMIF($K$7:Q$7,"&lt;="&amp;$I$7,K466:P466)</f>
        <v>0</v>
      </c>
      <c r="T466" s="878" t="str">
        <f ca="1">IFERROR((S467/S466),"-")</f>
        <v>-</v>
      </c>
      <c r="U466" s="2"/>
      <c r="V466" s="705"/>
      <c r="W466" s="705"/>
      <c r="X466" s="705"/>
      <c r="Y466" s="705"/>
      <c r="Z466" s="705"/>
      <c r="AA466" s="705"/>
      <c r="AB466" s="705"/>
      <c r="AC466" s="2"/>
      <c r="AD466" s="705">
        <f ca="1">SUMIF($V$7:AB$7,"&lt;="&amp;$I$7,V466:AA466)</f>
        <v>0</v>
      </c>
      <c r="AE466" s="878" t="str">
        <f ca="1">IFERROR((AD467/AD466),"-")</f>
        <v>-</v>
      </c>
      <c r="AF466" s="2"/>
      <c r="AG466" s="705"/>
      <c r="AH466" s="705"/>
      <c r="AI466" s="705"/>
      <c r="AJ466" s="705"/>
      <c r="AK466" s="705"/>
      <c r="AL466" s="705"/>
      <c r="AM466" s="705"/>
      <c r="AN466" s="2"/>
      <c r="AO466" s="705">
        <f ca="1">SUMIF($AG$7:AM$7,"&lt;="&amp;$I$7,AG466:AL466)</f>
        <v>0</v>
      </c>
      <c r="AP466" s="878" t="str">
        <f ca="1">IFERROR((AO467/AO466),"-")</f>
        <v>-</v>
      </c>
      <c r="AQ466" s="2"/>
      <c r="AR466" s="705"/>
      <c r="AS466" s="705"/>
      <c r="AT466" s="705"/>
      <c r="AU466" s="705"/>
      <c r="AV466" s="705"/>
      <c r="AW466" s="705"/>
      <c r="AX466" s="705"/>
      <c r="AY466" s="2"/>
      <c r="AZ466" s="705">
        <f ca="1">SUMIF($AR$7:AX$7,"&lt;="&amp;$I$7,AR466:AW466)</f>
        <v>0</v>
      </c>
      <c r="BA466" s="878" t="str">
        <f ca="1">IFERROR((AZ467/AZ466),"-")</f>
        <v>-</v>
      </c>
      <c r="BB466" s="2"/>
      <c r="BC466" s="705"/>
      <c r="BD466" s="705"/>
      <c r="BE466" s="705"/>
      <c r="BF466" s="705"/>
      <c r="BG466" s="705"/>
      <c r="BH466" s="705"/>
      <c r="BI466" s="705"/>
      <c r="BJ466" s="2"/>
      <c r="BK466" s="705">
        <f ca="1">SUMIF($BC$7:BI$7,"&lt;="&amp;$I$7,BC466:BH466)</f>
        <v>0</v>
      </c>
      <c r="BL466" s="878" t="str">
        <f ca="1">IFERROR((BK467/BK466),"-")</f>
        <v>-</v>
      </c>
      <c r="BM466" s="2"/>
      <c r="BN466" s="921">
        <v>0</v>
      </c>
      <c r="BO466" s="921">
        <v>0</v>
      </c>
      <c r="BP466" s="884">
        <f>SUM(M467:P467,V467:AB467,AG467:AM467,AR467:AX467)</f>
        <v>0</v>
      </c>
      <c r="BQ466" s="878" t="str">
        <f t="shared" ref="BQ466" si="1062">IFERROR((BP466/BO466),"-")</f>
        <v>-</v>
      </c>
      <c r="BR466" s="2"/>
      <c r="BS466" s="884"/>
      <c r="BT466" s="884"/>
      <c r="BU466" s="884">
        <f ca="1">E466+Q467+AD467+AO467+AZ467+BK467</f>
        <v>0</v>
      </c>
      <c r="BV466" s="884">
        <v>106</v>
      </c>
      <c r="BW466" s="1004">
        <f ca="1">IFERROR((BU466/BV466),"-")</f>
        <v>0</v>
      </c>
      <c r="BX466" s="884">
        <v>0</v>
      </c>
      <c r="BY466" s="878" t="str">
        <f ca="1">IFERROR((BU466/BX466),"-")</f>
        <v>-</v>
      </c>
      <c r="BZ466" s="2"/>
      <c r="CA466" s="884">
        <v>0</v>
      </c>
      <c r="CB466" s="884">
        <v>0</v>
      </c>
      <c r="CC466" s="2"/>
      <c r="CD466" s="504">
        <f>IFERROR(AVERAGEIF($V$7:AB$7,"&lt;="&amp;$I$7,V466:AB466),0)</f>
        <v>0</v>
      </c>
      <c r="CE466" s="2"/>
      <c r="CH466" s="93" t="str">
        <f t="shared" si="1003"/>
        <v>E2 - Execução de estaca EE2.02</v>
      </c>
    </row>
    <row r="467" spans="1:86" s="16" customFormat="1" ht="20.45" hidden="1" customHeight="1" outlineLevel="1">
      <c r="A467" s="74"/>
      <c r="B467" s="1049"/>
      <c r="C467" s="1023"/>
      <c r="D467" s="2"/>
      <c r="E467" s="1005"/>
      <c r="F467" s="2"/>
      <c r="G467" s="50" t="s">
        <v>38</v>
      </c>
      <c r="H467" s="705">
        <f t="shared" si="1044"/>
        <v>0</v>
      </c>
      <c r="I467" s="879"/>
      <c r="J467" s="2"/>
      <c r="K467" s="86"/>
      <c r="L467" s="86"/>
      <c r="M467" s="86"/>
      <c r="N467" s="86"/>
      <c r="O467" s="86"/>
      <c r="P467" s="86"/>
      <c r="Q467" s="706"/>
      <c r="R467" s="2"/>
      <c r="S467" s="705">
        <f ca="1">SUMIF($K$7:Q$7,"&lt;="&amp;$I$7,K467:P467)</f>
        <v>0</v>
      </c>
      <c r="T467" s="879"/>
      <c r="U467" s="2"/>
      <c r="V467" s="86"/>
      <c r="W467" s="86"/>
      <c r="X467" s="86"/>
      <c r="Y467" s="86"/>
      <c r="Z467" s="86"/>
      <c r="AA467" s="86"/>
      <c r="AB467" s="706"/>
      <c r="AC467" s="2"/>
      <c r="AD467" s="705">
        <f ca="1">SUMIF($V$7:AB$7,"&lt;="&amp;$I$7,V467:AA467)</f>
        <v>0</v>
      </c>
      <c r="AE467" s="879"/>
      <c r="AF467" s="2"/>
      <c r="AG467" s="86"/>
      <c r="AH467" s="86"/>
      <c r="AI467" s="86"/>
      <c r="AJ467" s="86"/>
      <c r="AK467" s="86"/>
      <c r="AL467" s="86"/>
      <c r="AM467" s="706"/>
      <c r="AN467" s="2"/>
      <c r="AO467" s="705">
        <f ca="1">SUMIF($AG$7:AM$7,"&lt;="&amp;$I$7,AG467:AL467)</f>
        <v>0</v>
      </c>
      <c r="AP467" s="879"/>
      <c r="AQ467" s="2"/>
      <c r="AR467" s="86"/>
      <c r="AS467" s="86"/>
      <c r="AT467" s="86"/>
      <c r="AU467" s="86"/>
      <c r="AV467" s="86"/>
      <c r="AW467" s="86"/>
      <c r="AX467" s="706"/>
      <c r="AY467" s="2"/>
      <c r="AZ467" s="705">
        <f ca="1">SUMIF($AR$7:AX$7,"&lt;="&amp;$I$7,AR467:AW467)</f>
        <v>0</v>
      </c>
      <c r="BA467" s="879"/>
      <c r="BB467" s="2"/>
      <c r="BC467" s="86"/>
      <c r="BD467" s="86"/>
      <c r="BE467" s="86"/>
      <c r="BF467" s="86"/>
      <c r="BG467" s="86"/>
      <c r="BH467" s="86"/>
      <c r="BI467" s="706"/>
      <c r="BJ467" s="2"/>
      <c r="BK467" s="705">
        <f ca="1">SUMIF($BC$7:BI$7,"&lt;="&amp;$I$7,BC467:BH467)</f>
        <v>0</v>
      </c>
      <c r="BL467" s="879"/>
      <c r="BM467" s="2"/>
      <c r="BN467" s="922"/>
      <c r="BO467" s="922"/>
      <c r="BP467" s="885"/>
      <c r="BQ467" s="1050"/>
      <c r="BR467" s="2"/>
      <c r="BS467" s="886"/>
      <c r="BT467" s="886"/>
      <c r="BU467" s="885"/>
      <c r="BV467" s="886"/>
      <c r="BW467" s="1051"/>
      <c r="BX467" s="886"/>
      <c r="BY467" s="1053"/>
      <c r="BZ467" s="2"/>
      <c r="CA467" s="886"/>
      <c r="CB467" s="886"/>
      <c r="CC467" s="2"/>
      <c r="CD467" s="504">
        <f>IFERROR(AVERAGEIF($V$7:AB$7,"&lt;="&amp;$I$7,V467:AB467),0)</f>
        <v>0</v>
      </c>
      <c r="CE467" s="2"/>
      <c r="CH467" s="93" t="str">
        <f t="shared" si="1003"/>
        <v>E2 - Execução de estaca EE2.02</v>
      </c>
    </row>
    <row r="468" spans="1:86" s="16" customFormat="1" ht="15.95" hidden="1" customHeight="1" outlineLevel="1">
      <c r="A468" s="74"/>
      <c r="B468" s="1048" t="s">
        <v>4063</v>
      </c>
      <c r="C468" s="1023" t="s">
        <v>1437</v>
      </c>
      <c r="D468" s="2"/>
      <c r="E468" s="1004">
        <v>0</v>
      </c>
      <c r="F468" s="2"/>
      <c r="G468" s="49" t="s">
        <v>37</v>
      </c>
      <c r="H468" s="705">
        <f t="shared" si="1044"/>
        <v>0</v>
      </c>
      <c r="I468" s="878" t="str">
        <f t="shared" ref="I468" si="1063">IFERROR((H469/H468),"-")</f>
        <v>-</v>
      </c>
      <c r="J468" s="2"/>
      <c r="K468" s="705"/>
      <c r="L468" s="705"/>
      <c r="M468" s="705"/>
      <c r="N468" s="705"/>
      <c r="O468" s="705"/>
      <c r="P468" s="705"/>
      <c r="Q468" s="705"/>
      <c r="R468" s="2"/>
      <c r="S468" s="705">
        <f ca="1">SUMIF($K$7:Q$7,"&lt;="&amp;$I$7,K468:P468)</f>
        <v>0</v>
      </c>
      <c r="T468" s="878" t="str">
        <f ca="1">IFERROR((S469/S468),"-")</f>
        <v>-</v>
      </c>
      <c r="U468" s="2"/>
      <c r="V468" s="705"/>
      <c r="W468" s="705"/>
      <c r="X468" s="705"/>
      <c r="Y468" s="705"/>
      <c r="Z468" s="705"/>
      <c r="AA468" s="705"/>
      <c r="AB468" s="705"/>
      <c r="AC468" s="2"/>
      <c r="AD468" s="705">
        <f ca="1">SUMIF($V$7:AB$7,"&lt;="&amp;$I$7,V468:AA468)</f>
        <v>0</v>
      </c>
      <c r="AE468" s="878" t="str">
        <f ca="1">IFERROR((AD469/AD468),"-")</f>
        <v>-</v>
      </c>
      <c r="AF468" s="2"/>
      <c r="AG468" s="705"/>
      <c r="AH468" s="705"/>
      <c r="AI468" s="705"/>
      <c r="AJ468" s="705"/>
      <c r="AK468" s="705"/>
      <c r="AL468" s="705"/>
      <c r="AM468" s="705"/>
      <c r="AN468" s="2"/>
      <c r="AO468" s="705">
        <f ca="1">SUMIF($AG$7:AM$7,"&lt;="&amp;$I$7,AG468:AL468)</f>
        <v>0</v>
      </c>
      <c r="AP468" s="878" t="str">
        <f ca="1">IFERROR((AO469/AO468),"-")</f>
        <v>-</v>
      </c>
      <c r="AQ468" s="2"/>
      <c r="AR468" s="705"/>
      <c r="AS468" s="705"/>
      <c r="AT468" s="705"/>
      <c r="AU468" s="705"/>
      <c r="AV468" s="705"/>
      <c r="AW468" s="705"/>
      <c r="AX468" s="705"/>
      <c r="AY468" s="2"/>
      <c r="AZ468" s="705">
        <f ca="1">SUMIF($AR$7:AX$7,"&lt;="&amp;$I$7,AR468:AW468)</f>
        <v>0</v>
      </c>
      <c r="BA468" s="878" t="str">
        <f ca="1">IFERROR((AZ469/AZ468),"-")</f>
        <v>-</v>
      </c>
      <c r="BB468" s="2"/>
      <c r="BC468" s="705"/>
      <c r="BD468" s="705"/>
      <c r="BE468" s="705"/>
      <c r="BF468" s="705"/>
      <c r="BG468" s="705"/>
      <c r="BH468" s="705"/>
      <c r="BI468" s="705"/>
      <c r="BJ468" s="2"/>
      <c r="BK468" s="705">
        <f ca="1">SUMIF($BC$7:BI$7,"&lt;="&amp;$I$7,BC468:BH468)</f>
        <v>0</v>
      </c>
      <c r="BL468" s="878" t="str">
        <f ca="1">IFERROR((BK469/BK468),"-")</f>
        <v>-</v>
      </c>
      <c r="BM468" s="2"/>
      <c r="BN468" s="921">
        <v>0</v>
      </c>
      <c r="BO468" s="921">
        <v>0</v>
      </c>
      <c r="BP468" s="884">
        <f>SUM(M469:P469,V469:AB469,AG469:AM469,AR469:AX469)</f>
        <v>0</v>
      </c>
      <c r="BQ468" s="878" t="str">
        <f t="shared" ref="BQ468" si="1064">IFERROR((BP468/BO468),"-")</f>
        <v>-</v>
      </c>
      <c r="BR468" s="2"/>
      <c r="BS468" s="884"/>
      <c r="BT468" s="884"/>
      <c r="BU468" s="884">
        <f ca="1">E468+Q469+AD469+AO469+AZ469+BK469</f>
        <v>0</v>
      </c>
      <c r="BV468" s="884">
        <v>106</v>
      </c>
      <c r="BW468" s="1004">
        <f ca="1">IFERROR((BU468/BV468),"-")</f>
        <v>0</v>
      </c>
      <c r="BX468" s="884">
        <v>0</v>
      </c>
      <c r="BY468" s="878" t="str">
        <f ca="1">IFERROR((BU468/BX468),"-")</f>
        <v>-</v>
      </c>
      <c r="BZ468" s="2"/>
      <c r="CA468" s="884">
        <v>0</v>
      </c>
      <c r="CB468" s="884">
        <v>0</v>
      </c>
      <c r="CC468" s="2"/>
      <c r="CD468" s="504">
        <f>IFERROR(AVERAGEIF($V$7:AB$7,"&lt;="&amp;$I$7,V468:AB468),0)</f>
        <v>0</v>
      </c>
      <c r="CE468" s="2"/>
      <c r="CH468" s="93" t="str">
        <f t="shared" si="1003"/>
        <v>E2 - Execução de estaca EE2.06</v>
      </c>
    </row>
    <row r="469" spans="1:86" s="16" customFormat="1" ht="20.45" hidden="1" customHeight="1" outlineLevel="1">
      <c r="A469" s="74"/>
      <c r="B469" s="1049"/>
      <c r="C469" s="1023"/>
      <c r="D469" s="2"/>
      <c r="E469" s="1005"/>
      <c r="F469" s="2"/>
      <c r="G469" s="50" t="s">
        <v>38</v>
      </c>
      <c r="H469" s="705">
        <f t="shared" si="1044"/>
        <v>0</v>
      </c>
      <c r="I469" s="879"/>
      <c r="J469" s="2"/>
      <c r="K469" s="86"/>
      <c r="L469" s="86"/>
      <c r="M469" s="86"/>
      <c r="N469" s="86"/>
      <c r="O469" s="86"/>
      <c r="P469" s="86"/>
      <c r="Q469" s="706"/>
      <c r="R469" s="2"/>
      <c r="S469" s="705">
        <f ca="1">SUMIF($K$7:Q$7,"&lt;="&amp;$I$7,K469:P469)</f>
        <v>0</v>
      </c>
      <c r="T469" s="879"/>
      <c r="U469" s="2"/>
      <c r="V469" s="86"/>
      <c r="W469" s="86"/>
      <c r="X469" s="86"/>
      <c r="Y469" s="86"/>
      <c r="Z469" s="86"/>
      <c r="AA469" s="86"/>
      <c r="AB469" s="706"/>
      <c r="AC469" s="2"/>
      <c r="AD469" s="705">
        <f ca="1">SUMIF($V$7:AB$7,"&lt;="&amp;$I$7,V469:AA469)</f>
        <v>0</v>
      </c>
      <c r="AE469" s="879"/>
      <c r="AF469" s="2"/>
      <c r="AG469" s="86"/>
      <c r="AH469" s="86"/>
      <c r="AI469" s="86"/>
      <c r="AJ469" s="86"/>
      <c r="AK469" s="86"/>
      <c r="AL469" s="86"/>
      <c r="AM469" s="706"/>
      <c r="AN469" s="2"/>
      <c r="AO469" s="705">
        <f ca="1">SUMIF($AG$7:AM$7,"&lt;="&amp;$I$7,AG469:AL469)</f>
        <v>0</v>
      </c>
      <c r="AP469" s="879"/>
      <c r="AQ469" s="2"/>
      <c r="AR469" s="86"/>
      <c r="AS469" s="86"/>
      <c r="AT469" s="86"/>
      <c r="AU469" s="86"/>
      <c r="AV469" s="86"/>
      <c r="AW469" s="86"/>
      <c r="AX469" s="706"/>
      <c r="AY469" s="2"/>
      <c r="AZ469" s="705">
        <f ca="1">SUMIF($AR$7:AX$7,"&lt;="&amp;$I$7,AR469:AW469)</f>
        <v>0</v>
      </c>
      <c r="BA469" s="879"/>
      <c r="BB469" s="2"/>
      <c r="BC469" s="86"/>
      <c r="BD469" s="86"/>
      <c r="BE469" s="86"/>
      <c r="BF469" s="86"/>
      <c r="BG469" s="86"/>
      <c r="BH469" s="86"/>
      <c r="BI469" s="706"/>
      <c r="BJ469" s="2"/>
      <c r="BK469" s="705">
        <f ca="1">SUMIF($BC$7:BI$7,"&lt;="&amp;$I$7,BC469:BH469)</f>
        <v>0</v>
      </c>
      <c r="BL469" s="879"/>
      <c r="BM469" s="2"/>
      <c r="BN469" s="922"/>
      <c r="BO469" s="922"/>
      <c r="BP469" s="885"/>
      <c r="BQ469" s="1050"/>
      <c r="BR469" s="2"/>
      <c r="BS469" s="886"/>
      <c r="BT469" s="886"/>
      <c r="BU469" s="885"/>
      <c r="BV469" s="886"/>
      <c r="BW469" s="1051"/>
      <c r="BX469" s="886"/>
      <c r="BY469" s="1053"/>
      <c r="BZ469" s="2"/>
      <c r="CA469" s="886"/>
      <c r="CB469" s="886"/>
      <c r="CC469" s="2"/>
      <c r="CD469" s="504">
        <f>IFERROR(AVERAGEIF($V$7:AB$7,"&lt;="&amp;$I$7,V469:AB469),0)</f>
        <v>0</v>
      </c>
      <c r="CE469" s="2"/>
      <c r="CH469" s="93" t="str">
        <f t="shared" si="1003"/>
        <v>E2 - Execução de estaca EE2.06</v>
      </c>
    </row>
    <row r="470" spans="1:86" s="16" customFormat="1" ht="15.95" hidden="1" customHeight="1" outlineLevel="1">
      <c r="A470" s="74"/>
      <c r="B470" s="1048" t="s">
        <v>4064</v>
      </c>
      <c r="C470" s="1023" t="s">
        <v>1437</v>
      </c>
      <c r="D470" s="2"/>
      <c r="E470" s="1004">
        <v>0</v>
      </c>
      <c r="F470" s="2"/>
      <c r="G470" s="49" t="s">
        <v>37</v>
      </c>
      <c r="H470" s="705">
        <f t="shared" si="1044"/>
        <v>0</v>
      </c>
      <c r="I470" s="878" t="str">
        <f t="shared" ref="I470" si="1065">IFERROR((H471/H470),"-")</f>
        <v>-</v>
      </c>
      <c r="J470" s="2"/>
      <c r="K470" s="705"/>
      <c r="L470" s="705"/>
      <c r="M470" s="705"/>
      <c r="N470" s="705"/>
      <c r="O470" s="705"/>
      <c r="P470" s="705"/>
      <c r="Q470" s="705"/>
      <c r="R470" s="2"/>
      <c r="S470" s="705">
        <f ca="1">SUMIF($K$7:Q$7,"&lt;="&amp;$I$7,K470:P470)</f>
        <v>0</v>
      </c>
      <c r="T470" s="878" t="str">
        <f ca="1">IFERROR((S471/S470),"-")</f>
        <v>-</v>
      </c>
      <c r="U470" s="2"/>
      <c r="V470" s="705"/>
      <c r="W470" s="705"/>
      <c r="X470" s="705"/>
      <c r="Y470" s="705"/>
      <c r="Z470" s="705"/>
      <c r="AA470" s="705"/>
      <c r="AB470" s="705"/>
      <c r="AC470" s="2"/>
      <c r="AD470" s="705">
        <f ca="1">SUMIF($V$7:AB$7,"&lt;="&amp;$I$7,V470:AA470)</f>
        <v>0</v>
      </c>
      <c r="AE470" s="878" t="str">
        <f ca="1">IFERROR((AD471/AD470),"-")</f>
        <v>-</v>
      </c>
      <c r="AF470" s="2"/>
      <c r="AG470" s="705"/>
      <c r="AH470" s="705"/>
      <c r="AI470" s="705"/>
      <c r="AJ470" s="705"/>
      <c r="AK470" s="705"/>
      <c r="AL470" s="705"/>
      <c r="AM470" s="705"/>
      <c r="AN470" s="2"/>
      <c r="AO470" s="705">
        <f ca="1">SUMIF($AG$7:AM$7,"&lt;="&amp;$I$7,AG470:AL470)</f>
        <v>0</v>
      </c>
      <c r="AP470" s="878" t="str">
        <f ca="1">IFERROR((AO471/AO470),"-")</f>
        <v>-</v>
      </c>
      <c r="AQ470" s="2"/>
      <c r="AR470" s="705"/>
      <c r="AS470" s="705"/>
      <c r="AT470" s="705"/>
      <c r="AU470" s="705"/>
      <c r="AV470" s="705"/>
      <c r="AW470" s="705"/>
      <c r="AX470" s="705"/>
      <c r="AY470" s="2"/>
      <c r="AZ470" s="705">
        <f ca="1">SUMIF($AR$7:AX$7,"&lt;="&amp;$I$7,AR470:AW470)</f>
        <v>0</v>
      </c>
      <c r="BA470" s="878" t="str">
        <f ca="1">IFERROR((AZ471/AZ470),"-")</f>
        <v>-</v>
      </c>
      <c r="BB470" s="2"/>
      <c r="BC470" s="705"/>
      <c r="BD470" s="705"/>
      <c r="BE470" s="705"/>
      <c r="BF470" s="705"/>
      <c r="BG470" s="705"/>
      <c r="BH470" s="705"/>
      <c r="BI470" s="705"/>
      <c r="BJ470" s="2"/>
      <c r="BK470" s="705">
        <f ca="1">SUMIF($BC$7:BI$7,"&lt;="&amp;$I$7,BC470:BH470)</f>
        <v>0</v>
      </c>
      <c r="BL470" s="878" t="str">
        <f ca="1">IFERROR((BK471/BK470),"-")</f>
        <v>-</v>
      </c>
      <c r="BM470" s="2"/>
      <c r="BN470" s="921">
        <v>0</v>
      </c>
      <c r="BO470" s="921">
        <v>0</v>
      </c>
      <c r="BP470" s="884">
        <f>SUM(M471:P471,V471:AB471,AG471:AM471,AR471:AX471)</f>
        <v>0</v>
      </c>
      <c r="BQ470" s="878" t="str">
        <f t="shared" ref="BQ470" si="1066">IFERROR((BP470/BO470),"-")</f>
        <v>-</v>
      </c>
      <c r="BR470" s="2"/>
      <c r="BS470" s="884"/>
      <c r="BT470" s="884"/>
      <c r="BU470" s="884">
        <f ca="1">E470+Q471+AD471+AO471+AZ471+BK471</f>
        <v>0</v>
      </c>
      <c r="BV470" s="884">
        <v>106</v>
      </c>
      <c r="BW470" s="1004">
        <f ca="1">IFERROR((BU470/BV470),"-")</f>
        <v>0</v>
      </c>
      <c r="BX470" s="884">
        <v>0</v>
      </c>
      <c r="BY470" s="878" t="str">
        <f ca="1">IFERROR((BU470/BX470),"-")</f>
        <v>-</v>
      </c>
      <c r="BZ470" s="2"/>
      <c r="CA470" s="884">
        <v>0</v>
      </c>
      <c r="CB470" s="884">
        <v>0</v>
      </c>
      <c r="CC470" s="2"/>
      <c r="CD470" s="504">
        <f>IFERROR(AVERAGEIF($V$7:AB$7,"&lt;="&amp;$I$7,V470:AB470),0)</f>
        <v>0</v>
      </c>
      <c r="CE470" s="2"/>
      <c r="CH470" s="93" t="str">
        <f t="shared" si="1003"/>
        <v>E2 - Execução de estaca EE2.14</v>
      </c>
    </row>
    <row r="471" spans="1:86" s="21" customFormat="1" ht="15.95" hidden="1" customHeight="1" outlineLevel="1">
      <c r="A471" s="74"/>
      <c r="B471" s="1049"/>
      <c r="C471" s="1023"/>
      <c r="D471" s="2"/>
      <c r="E471" s="1005"/>
      <c r="F471" s="2"/>
      <c r="G471" s="50" t="s">
        <v>38</v>
      </c>
      <c r="H471" s="705">
        <f t="shared" si="1044"/>
        <v>0</v>
      </c>
      <c r="I471" s="879"/>
      <c r="J471" s="2"/>
      <c r="K471" s="86"/>
      <c r="L471" s="86"/>
      <c r="M471" s="86"/>
      <c r="N471" s="86"/>
      <c r="O471" s="86"/>
      <c r="P471" s="86"/>
      <c r="Q471" s="706"/>
      <c r="R471" s="2"/>
      <c r="S471" s="705">
        <f ca="1">SUMIF($K$7:Q$7,"&lt;="&amp;$I$7,K471:P471)</f>
        <v>0</v>
      </c>
      <c r="T471" s="879"/>
      <c r="U471" s="2"/>
      <c r="V471" s="86"/>
      <c r="W471" s="86"/>
      <c r="X471" s="86"/>
      <c r="Y471" s="86"/>
      <c r="Z471" s="86"/>
      <c r="AA471" s="86"/>
      <c r="AB471" s="706"/>
      <c r="AC471" s="2"/>
      <c r="AD471" s="705">
        <f ca="1">SUMIF($V$7:AB$7,"&lt;="&amp;$I$7,V471:AA471)</f>
        <v>0</v>
      </c>
      <c r="AE471" s="879"/>
      <c r="AF471" s="2"/>
      <c r="AG471" s="86"/>
      <c r="AH471" s="86"/>
      <c r="AI471" s="86"/>
      <c r="AJ471" s="86"/>
      <c r="AK471" s="86"/>
      <c r="AL471" s="86"/>
      <c r="AM471" s="706"/>
      <c r="AN471" s="2"/>
      <c r="AO471" s="705">
        <f ca="1">SUMIF($AG$7:AM$7,"&lt;="&amp;$I$7,AG471:AL471)</f>
        <v>0</v>
      </c>
      <c r="AP471" s="879"/>
      <c r="AQ471" s="2"/>
      <c r="AR471" s="86"/>
      <c r="AS471" s="86"/>
      <c r="AT471" s="86"/>
      <c r="AU471" s="86"/>
      <c r="AV471" s="86"/>
      <c r="AW471" s="86"/>
      <c r="AX471" s="706"/>
      <c r="AY471" s="2"/>
      <c r="AZ471" s="705">
        <f ca="1">SUMIF($AR$7:AX$7,"&lt;="&amp;$I$7,AR471:AW471)</f>
        <v>0</v>
      </c>
      <c r="BA471" s="879"/>
      <c r="BB471" s="2"/>
      <c r="BC471" s="86"/>
      <c r="BD471" s="86"/>
      <c r="BE471" s="86"/>
      <c r="BF471" s="86"/>
      <c r="BG471" s="86"/>
      <c r="BH471" s="86"/>
      <c r="BI471" s="706"/>
      <c r="BJ471" s="2"/>
      <c r="BK471" s="705">
        <f ca="1">SUMIF($BC$7:BI$7,"&lt;="&amp;$I$7,BC471:BH471)</f>
        <v>0</v>
      </c>
      <c r="BL471" s="879"/>
      <c r="BM471" s="2"/>
      <c r="BN471" s="922"/>
      <c r="BO471" s="922"/>
      <c r="BP471" s="885"/>
      <c r="BQ471" s="1050"/>
      <c r="BR471" s="2"/>
      <c r="BS471" s="886"/>
      <c r="BT471" s="886"/>
      <c r="BU471" s="885"/>
      <c r="BV471" s="886"/>
      <c r="BW471" s="1051"/>
      <c r="BX471" s="886"/>
      <c r="BY471" s="1053"/>
      <c r="BZ471" s="2"/>
      <c r="CA471" s="886"/>
      <c r="CB471" s="886"/>
      <c r="CC471" s="2"/>
      <c r="CD471" s="504">
        <f>IFERROR(AVERAGEIF($V$7:AB$7,"&lt;="&amp;$I$7,V471:AB471),0)</f>
        <v>0</v>
      </c>
      <c r="CE471" s="2"/>
      <c r="CH471" s="93" t="str">
        <f t="shared" si="1003"/>
        <v>E2 - Execução de estaca EE2.14</v>
      </c>
    </row>
    <row r="472" spans="1:86" s="16" customFormat="1" ht="20.45" hidden="1" customHeight="1" outlineLevel="1">
      <c r="A472" s="74"/>
      <c r="B472" s="1048" t="s">
        <v>4065</v>
      </c>
      <c r="C472" s="1023" t="s">
        <v>1437</v>
      </c>
      <c r="D472" s="2"/>
      <c r="E472" s="1004">
        <v>0</v>
      </c>
      <c r="F472" s="2"/>
      <c r="G472" s="49" t="s">
        <v>37</v>
      </c>
      <c r="H472" s="705">
        <f t="shared" si="1044"/>
        <v>0</v>
      </c>
      <c r="I472" s="878" t="str">
        <f t="shared" ref="I472" si="1067">IFERROR((H473/H472),"-")</f>
        <v>-</v>
      </c>
      <c r="J472" s="2"/>
      <c r="K472" s="705"/>
      <c r="L472" s="705"/>
      <c r="M472" s="705"/>
      <c r="N472" s="705"/>
      <c r="O472" s="705"/>
      <c r="P472" s="705"/>
      <c r="Q472" s="705"/>
      <c r="R472" s="2"/>
      <c r="S472" s="705">
        <f t="shared" ref="S472:S487" si="1068">SUM(K472:P472)</f>
        <v>0</v>
      </c>
      <c r="T472" s="878" t="str">
        <f>IFERROR((S473/S472),"-")</f>
        <v>-</v>
      </c>
      <c r="U472" s="2"/>
      <c r="V472" s="705"/>
      <c r="W472" s="705"/>
      <c r="X472" s="705"/>
      <c r="Y472" s="705"/>
      <c r="Z472" s="705"/>
      <c r="AA472" s="705"/>
      <c r="AB472" s="705"/>
      <c r="AC472" s="2"/>
      <c r="AD472" s="705">
        <f ca="1">SUMIF($V$7:AB$7,"&lt;="&amp;$I$7,V472:AA472)</f>
        <v>0</v>
      </c>
      <c r="AE472" s="878" t="str">
        <f ca="1">IFERROR((AD473/AD472),"-")</f>
        <v>-</v>
      </c>
      <c r="AF472" s="2"/>
      <c r="AG472" s="705"/>
      <c r="AH472" s="705"/>
      <c r="AI472" s="705"/>
      <c r="AJ472" s="705"/>
      <c r="AK472" s="705"/>
      <c r="AL472" s="705"/>
      <c r="AM472" s="705"/>
      <c r="AN472" s="2"/>
      <c r="AO472" s="705">
        <f ca="1">SUMIF($AG$7:AM$7,"&lt;="&amp;$I$7,AG472:AL472)</f>
        <v>0</v>
      </c>
      <c r="AP472" s="878" t="str">
        <f ca="1">IFERROR((AO473/AO472),"-")</f>
        <v>-</v>
      </c>
      <c r="AQ472" s="2"/>
      <c r="AR472" s="705"/>
      <c r="AS472" s="705"/>
      <c r="AT472" s="705"/>
      <c r="AU472" s="705"/>
      <c r="AV472" s="705"/>
      <c r="AW472" s="705"/>
      <c r="AX472" s="705"/>
      <c r="AY472" s="2"/>
      <c r="AZ472" s="705">
        <f ca="1">SUMIF($AR$7:AX$7,"&lt;="&amp;$I$7,AR472:AW472)</f>
        <v>0</v>
      </c>
      <c r="BA472" s="878" t="str">
        <f ca="1">IFERROR((AZ473/AZ472),"-")</f>
        <v>-</v>
      </c>
      <c r="BB472" s="2"/>
      <c r="BC472" s="705"/>
      <c r="BD472" s="705"/>
      <c r="BE472" s="705"/>
      <c r="BF472" s="705"/>
      <c r="BG472" s="705"/>
      <c r="BH472" s="705"/>
      <c r="BI472" s="705"/>
      <c r="BJ472" s="2"/>
      <c r="BK472" s="705">
        <f ca="1">SUMIF($BC$7:BI$7,"&lt;="&amp;$I$7,BC472:BH472)</f>
        <v>0</v>
      </c>
      <c r="BL472" s="878" t="str">
        <f ca="1">IFERROR((BK473/BK472),"-")</f>
        <v>-</v>
      </c>
      <c r="BM472" s="2"/>
      <c r="BN472" s="921">
        <v>0</v>
      </c>
      <c r="BO472" s="921">
        <v>0</v>
      </c>
      <c r="BP472" s="884">
        <f>SUM(M473:P473,V473:AB473,AG473:AM473,AR473:AX473)</f>
        <v>0</v>
      </c>
      <c r="BQ472" s="878" t="str">
        <f t="shared" ref="BQ472" si="1069">IFERROR((BP472/BO472),"-")</f>
        <v>-</v>
      </c>
      <c r="BR472" s="2"/>
      <c r="BS472" s="884"/>
      <c r="BT472" s="884"/>
      <c r="BU472" s="884">
        <f ca="1">E472+Q473+AD473+AO473+AZ473+BK473</f>
        <v>0</v>
      </c>
      <c r="BV472" s="884">
        <v>106</v>
      </c>
      <c r="BW472" s="1004">
        <f ca="1">IFERROR((BU472/BV472),"-")</f>
        <v>0</v>
      </c>
      <c r="BX472" s="884">
        <v>0</v>
      </c>
      <c r="BY472" s="878" t="str">
        <f ca="1">IFERROR((BU472/BX472),"-")</f>
        <v>-</v>
      </c>
      <c r="BZ472" s="2"/>
      <c r="CA472" s="884">
        <v>0</v>
      </c>
      <c r="CB472" s="884">
        <v>0</v>
      </c>
      <c r="CC472" s="2"/>
      <c r="CD472" s="84">
        <f>IFERROR(AVERAGEIF($V$7:AB$7,"&lt;="&amp;$I$7,V472:AB472),0)</f>
        <v>0</v>
      </c>
      <c r="CE472" s="2"/>
      <c r="CH472" s="93" t="str">
        <f t="shared" si="1003"/>
        <v>E2 - Execução de estaca EE2.08</v>
      </c>
    </row>
    <row r="473" spans="1:86" s="16" customFormat="1" ht="20.45" hidden="1" customHeight="1" outlineLevel="1">
      <c r="A473" s="74"/>
      <c r="B473" s="1049"/>
      <c r="C473" s="1023"/>
      <c r="D473" s="2"/>
      <c r="E473" s="1005"/>
      <c r="F473" s="2"/>
      <c r="G473" s="50" t="s">
        <v>38</v>
      </c>
      <c r="H473" s="705">
        <f t="shared" si="1044"/>
        <v>0</v>
      </c>
      <c r="I473" s="879"/>
      <c r="J473" s="2"/>
      <c r="K473" s="86"/>
      <c r="L473" s="86"/>
      <c r="M473" s="86"/>
      <c r="N473" s="86"/>
      <c r="O473" s="86"/>
      <c r="P473" s="86"/>
      <c r="Q473" s="706"/>
      <c r="R473" s="2"/>
      <c r="S473" s="705">
        <f t="shared" si="1068"/>
        <v>0</v>
      </c>
      <c r="T473" s="879"/>
      <c r="U473" s="2"/>
      <c r="V473" s="86"/>
      <c r="W473" s="86"/>
      <c r="X473" s="86"/>
      <c r="Y473" s="86"/>
      <c r="Z473" s="86"/>
      <c r="AA473" s="86"/>
      <c r="AB473" s="706"/>
      <c r="AC473" s="2"/>
      <c r="AD473" s="705">
        <f ca="1">SUMIF($V$7:AB$7,"&lt;="&amp;$I$7,V473:AA473)</f>
        <v>0</v>
      </c>
      <c r="AE473" s="879"/>
      <c r="AF473" s="2"/>
      <c r="AG473" s="86"/>
      <c r="AH473" s="86"/>
      <c r="AI473" s="86"/>
      <c r="AJ473" s="86"/>
      <c r="AK473" s="86"/>
      <c r="AL473" s="86"/>
      <c r="AM473" s="706"/>
      <c r="AN473" s="2"/>
      <c r="AO473" s="705">
        <f ca="1">SUMIF($AG$7:AM$7,"&lt;="&amp;$I$7,AG473:AL473)</f>
        <v>0</v>
      </c>
      <c r="AP473" s="879"/>
      <c r="AQ473" s="2"/>
      <c r="AR473" s="86"/>
      <c r="AS473" s="86"/>
      <c r="AT473" s="86"/>
      <c r="AU473" s="86"/>
      <c r="AV473" s="86"/>
      <c r="AW473" s="86"/>
      <c r="AX473" s="706"/>
      <c r="AY473" s="2"/>
      <c r="AZ473" s="705">
        <f ca="1">SUMIF($AR$7:AX$7,"&lt;="&amp;$I$7,AR473:AW473)</f>
        <v>0</v>
      </c>
      <c r="BA473" s="879"/>
      <c r="BB473" s="2"/>
      <c r="BC473" s="86"/>
      <c r="BD473" s="86"/>
      <c r="BE473" s="86"/>
      <c r="BF473" s="86"/>
      <c r="BG473" s="86"/>
      <c r="BH473" s="86"/>
      <c r="BI473" s="706"/>
      <c r="BJ473" s="2"/>
      <c r="BK473" s="705">
        <f ca="1">SUMIF($BC$7:BI$7,"&lt;="&amp;$I$7,BC473:BH473)</f>
        <v>0</v>
      </c>
      <c r="BL473" s="879"/>
      <c r="BM473" s="2"/>
      <c r="BN473" s="922"/>
      <c r="BO473" s="922"/>
      <c r="BP473" s="885"/>
      <c r="BQ473" s="1050"/>
      <c r="BR473" s="2"/>
      <c r="BS473" s="886"/>
      <c r="BT473" s="886"/>
      <c r="BU473" s="885"/>
      <c r="BV473" s="886"/>
      <c r="BW473" s="1051"/>
      <c r="BX473" s="886"/>
      <c r="BY473" s="1053"/>
      <c r="BZ473" s="2"/>
      <c r="CA473" s="886"/>
      <c r="CB473" s="886"/>
      <c r="CC473" s="2"/>
      <c r="CD473" s="84">
        <f>IFERROR(AVERAGEIF($V$7:AB$7,"&lt;="&amp;$I$7,V473:AB473),0)</f>
        <v>0</v>
      </c>
      <c r="CE473" s="2"/>
      <c r="CH473" s="93" t="str">
        <f t="shared" si="1003"/>
        <v>E2 - Execução de estaca EE2.08</v>
      </c>
    </row>
    <row r="474" spans="1:86" s="16" customFormat="1" ht="20.45" hidden="1" customHeight="1" outlineLevel="1">
      <c r="A474" s="74"/>
      <c r="B474" s="1048" t="s">
        <v>4066</v>
      </c>
      <c r="C474" s="1023" t="s">
        <v>1437</v>
      </c>
      <c r="D474" s="2"/>
      <c r="E474" s="1004">
        <v>0</v>
      </c>
      <c r="F474" s="2"/>
      <c r="G474" s="49" t="s">
        <v>37</v>
      </c>
      <c r="H474" s="705">
        <f t="shared" si="1044"/>
        <v>0</v>
      </c>
      <c r="I474" s="878" t="str">
        <f t="shared" ref="I474" si="1070">IFERROR((H475/H474),"-")</f>
        <v>-</v>
      </c>
      <c r="J474" s="2"/>
      <c r="K474" s="705"/>
      <c r="L474" s="705"/>
      <c r="M474" s="705"/>
      <c r="N474" s="705"/>
      <c r="O474" s="705"/>
      <c r="P474" s="705"/>
      <c r="Q474" s="705"/>
      <c r="R474" s="2"/>
      <c r="S474" s="705">
        <f t="shared" si="1068"/>
        <v>0</v>
      </c>
      <c r="T474" s="878" t="str">
        <f>IFERROR((S475/S474),"-")</f>
        <v>-</v>
      </c>
      <c r="U474" s="2"/>
      <c r="V474" s="705"/>
      <c r="W474" s="705"/>
      <c r="X474" s="705"/>
      <c r="Y474" s="705"/>
      <c r="Z474" s="705"/>
      <c r="AA474" s="705"/>
      <c r="AB474" s="705"/>
      <c r="AC474" s="2"/>
      <c r="AD474" s="705">
        <f ca="1">SUMIF($V$7:AB$7,"&lt;="&amp;$I$7,V474:AA474)</f>
        <v>0</v>
      </c>
      <c r="AE474" s="878" t="str">
        <f ca="1">IFERROR((AD475/AD474),"-")</f>
        <v>-</v>
      </c>
      <c r="AF474" s="2"/>
      <c r="AG474" s="705"/>
      <c r="AH474" s="705"/>
      <c r="AI474" s="705"/>
      <c r="AJ474" s="705"/>
      <c r="AK474" s="705"/>
      <c r="AL474" s="705"/>
      <c r="AM474" s="705"/>
      <c r="AN474" s="2"/>
      <c r="AO474" s="705">
        <f ca="1">SUMIF($AG$7:AM$7,"&lt;="&amp;$I$7,AG474:AL474)</f>
        <v>0</v>
      </c>
      <c r="AP474" s="878" t="str">
        <f ca="1">IFERROR((AO475/AO474),"-")</f>
        <v>-</v>
      </c>
      <c r="AQ474" s="2"/>
      <c r="AR474" s="705"/>
      <c r="AS474" s="705"/>
      <c r="AT474" s="705"/>
      <c r="AU474" s="705"/>
      <c r="AV474" s="705"/>
      <c r="AW474" s="705"/>
      <c r="AX474" s="705"/>
      <c r="AY474" s="2"/>
      <c r="AZ474" s="705">
        <f ca="1">SUMIF($AR$7:AX$7,"&lt;="&amp;$I$7,AR474:AW474)</f>
        <v>0</v>
      </c>
      <c r="BA474" s="878" t="str">
        <f ca="1">IFERROR((AZ475/AZ474),"-")</f>
        <v>-</v>
      </c>
      <c r="BB474" s="2"/>
      <c r="BC474" s="705"/>
      <c r="BD474" s="705"/>
      <c r="BE474" s="705"/>
      <c r="BF474" s="705"/>
      <c r="BG474" s="705"/>
      <c r="BH474" s="705"/>
      <c r="BI474" s="705"/>
      <c r="BJ474" s="2"/>
      <c r="BK474" s="705">
        <f ca="1">SUMIF($BC$7:BI$7,"&lt;="&amp;$I$7,BC474:BH474)</f>
        <v>0</v>
      </c>
      <c r="BL474" s="878" t="str">
        <f ca="1">IFERROR((BK475/BK474),"-")</f>
        <v>-</v>
      </c>
      <c r="BM474" s="2"/>
      <c r="BN474" s="921">
        <v>0</v>
      </c>
      <c r="BO474" s="921">
        <v>0</v>
      </c>
      <c r="BP474" s="884">
        <f>SUM(M475:P475,V475:AB475,AG475:AM475,AR475:AX475)</f>
        <v>0</v>
      </c>
      <c r="BQ474" s="878" t="str">
        <f t="shared" ref="BQ474" si="1071">IFERROR((BP474/BO474),"-")</f>
        <v>-</v>
      </c>
      <c r="BR474" s="2"/>
      <c r="BS474" s="884"/>
      <c r="BT474" s="884"/>
      <c r="BU474" s="884">
        <f ca="1">E474+Q475+AD475+AO475+AZ475+BK475</f>
        <v>0</v>
      </c>
      <c r="BV474" s="884">
        <v>106</v>
      </c>
      <c r="BW474" s="1004">
        <f ca="1">IFERROR((BU474/BV474),"-")</f>
        <v>0</v>
      </c>
      <c r="BX474" s="884">
        <v>0</v>
      </c>
      <c r="BY474" s="878" t="str">
        <f ca="1">IFERROR((BU474/BX474),"-")</f>
        <v>-</v>
      </c>
      <c r="BZ474" s="2"/>
      <c r="CA474" s="884">
        <v>0</v>
      </c>
      <c r="CB474" s="884">
        <v>0</v>
      </c>
      <c r="CC474" s="2"/>
      <c r="CD474" s="504">
        <f>IFERROR(AVERAGEIF($V$7:AB$7,"&lt;="&amp;$I$7,V474:AB474),0)</f>
        <v>0</v>
      </c>
      <c r="CE474" s="2"/>
      <c r="CH474" s="93" t="str">
        <f t="shared" si="1003"/>
        <v>E2 - Execução de estaca EE2.11</v>
      </c>
    </row>
    <row r="475" spans="1:86" s="16" customFormat="1" ht="20.45" hidden="1" customHeight="1" outlineLevel="1">
      <c r="A475" s="74"/>
      <c r="B475" s="1049"/>
      <c r="C475" s="1023"/>
      <c r="D475" s="2"/>
      <c r="E475" s="1005"/>
      <c r="F475" s="2"/>
      <c r="G475" s="50" t="s">
        <v>38</v>
      </c>
      <c r="H475" s="705">
        <f t="shared" si="1044"/>
        <v>0</v>
      </c>
      <c r="I475" s="879"/>
      <c r="J475" s="2"/>
      <c r="K475" s="86"/>
      <c r="L475" s="86"/>
      <c r="M475" s="86"/>
      <c r="N475" s="86"/>
      <c r="O475" s="86"/>
      <c r="P475" s="86"/>
      <c r="Q475" s="706"/>
      <c r="R475" s="2"/>
      <c r="S475" s="705">
        <f t="shared" si="1068"/>
        <v>0</v>
      </c>
      <c r="T475" s="879"/>
      <c r="U475" s="2"/>
      <c r="V475" s="86"/>
      <c r="W475" s="86"/>
      <c r="X475" s="86"/>
      <c r="Y475" s="86"/>
      <c r="Z475" s="86"/>
      <c r="AA475" s="86"/>
      <c r="AB475" s="706"/>
      <c r="AC475" s="2"/>
      <c r="AD475" s="705">
        <f ca="1">SUMIF($V$7:AB$7,"&lt;="&amp;$I$7,V475:AA475)</f>
        <v>0</v>
      </c>
      <c r="AE475" s="879"/>
      <c r="AF475" s="2"/>
      <c r="AG475" s="86"/>
      <c r="AH475" s="86"/>
      <c r="AI475" s="86"/>
      <c r="AJ475" s="86"/>
      <c r="AK475" s="86"/>
      <c r="AL475" s="86"/>
      <c r="AM475" s="706"/>
      <c r="AN475" s="2"/>
      <c r="AO475" s="705">
        <f ca="1">SUMIF($AG$7:AM$7,"&lt;="&amp;$I$7,AG475:AL475)</f>
        <v>0</v>
      </c>
      <c r="AP475" s="879"/>
      <c r="AQ475" s="2"/>
      <c r="AR475" s="86"/>
      <c r="AS475" s="86"/>
      <c r="AT475" s="86"/>
      <c r="AU475" s="86"/>
      <c r="AV475" s="86"/>
      <c r="AW475" s="86"/>
      <c r="AX475" s="706"/>
      <c r="AY475" s="2"/>
      <c r="AZ475" s="705">
        <f ca="1">SUMIF($AR$7:AX$7,"&lt;="&amp;$I$7,AR475:AW475)</f>
        <v>0</v>
      </c>
      <c r="BA475" s="879"/>
      <c r="BB475" s="2"/>
      <c r="BC475" s="86"/>
      <c r="BD475" s="86"/>
      <c r="BE475" s="86"/>
      <c r="BF475" s="86"/>
      <c r="BG475" s="86"/>
      <c r="BH475" s="86"/>
      <c r="BI475" s="706"/>
      <c r="BJ475" s="2"/>
      <c r="BK475" s="705">
        <f ca="1">SUMIF($BC$7:BI$7,"&lt;="&amp;$I$7,BC475:BH475)</f>
        <v>0</v>
      </c>
      <c r="BL475" s="879"/>
      <c r="BM475" s="2"/>
      <c r="BN475" s="922"/>
      <c r="BO475" s="922"/>
      <c r="BP475" s="885"/>
      <c r="BQ475" s="1050"/>
      <c r="BR475" s="2"/>
      <c r="BS475" s="922"/>
      <c r="BT475" s="922"/>
      <c r="BU475" s="885"/>
      <c r="BV475" s="886"/>
      <c r="BW475" s="1051"/>
      <c r="BX475" s="922"/>
      <c r="BY475" s="1052"/>
      <c r="BZ475" s="2"/>
      <c r="CA475" s="922"/>
      <c r="CB475" s="922"/>
      <c r="CC475" s="2"/>
      <c r="CD475" s="504">
        <f>IFERROR(AVERAGEIF($V$7:AB$7,"&lt;="&amp;$I$7,V475:AB475),0)</f>
        <v>0</v>
      </c>
      <c r="CE475" s="2"/>
      <c r="CH475" s="93" t="str">
        <f t="shared" si="1003"/>
        <v>E2 - Execução de estaca EE2.11</v>
      </c>
    </row>
    <row r="476" spans="1:86" s="16" customFormat="1" ht="15.95" hidden="1" customHeight="1" outlineLevel="1">
      <c r="A476" s="74"/>
      <c r="B476" s="1048" t="s">
        <v>4067</v>
      </c>
      <c r="C476" s="1023" t="s">
        <v>1437</v>
      </c>
      <c r="D476" s="2"/>
      <c r="E476" s="1004">
        <v>0</v>
      </c>
      <c r="F476" s="2"/>
      <c r="G476" s="49" t="s">
        <v>37</v>
      </c>
      <c r="H476" s="705">
        <f t="shared" si="1044"/>
        <v>0</v>
      </c>
      <c r="I476" s="878" t="str">
        <f t="shared" ref="I476" si="1072">IFERROR((H477/H476),"-")</f>
        <v>-</v>
      </c>
      <c r="J476" s="2"/>
      <c r="K476" s="705"/>
      <c r="L476" s="705"/>
      <c r="M476" s="705"/>
      <c r="N476" s="705"/>
      <c r="O476" s="705"/>
      <c r="P476" s="705"/>
      <c r="Q476" s="705"/>
      <c r="R476" s="2"/>
      <c r="S476" s="705">
        <f t="shared" si="1068"/>
        <v>0</v>
      </c>
      <c r="T476" s="878" t="str">
        <f>IFERROR((S477/S476),"-")</f>
        <v>-</v>
      </c>
      <c r="U476" s="2"/>
      <c r="V476" s="705"/>
      <c r="W476" s="705"/>
      <c r="X476" s="705"/>
      <c r="Y476" s="705"/>
      <c r="Z476" s="705"/>
      <c r="AA476" s="705"/>
      <c r="AB476" s="705"/>
      <c r="AC476" s="2"/>
      <c r="AD476" s="705">
        <f ca="1">SUMIF($V$7:AB$7,"&lt;="&amp;$I$7,V476:AA476)</f>
        <v>0</v>
      </c>
      <c r="AE476" s="878" t="str">
        <f ca="1">IFERROR((AD477/AD476),"-")</f>
        <v>-</v>
      </c>
      <c r="AF476" s="2"/>
      <c r="AG476" s="705"/>
      <c r="AH476" s="705"/>
      <c r="AI476" s="705"/>
      <c r="AJ476" s="705"/>
      <c r="AK476" s="705"/>
      <c r="AL476" s="705"/>
      <c r="AM476" s="705"/>
      <c r="AN476" s="2"/>
      <c r="AO476" s="705">
        <f ca="1">SUMIF($AG$7:AM$7,"&lt;="&amp;$I$7,AG476:AL476)</f>
        <v>0</v>
      </c>
      <c r="AP476" s="878" t="str">
        <f ca="1">IFERROR((AO477/AO476),"-")</f>
        <v>-</v>
      </c>
      <c r="AQ476" s="2"/>
      <c r="AR476" s="705"/>
      <c r="AS476" s="705"/>
      <c r="AT476" s="705"/>
      <c r="AU476" s="705"/>
      <c r="AV476" s="705"/>
      <c r="AW476" s="705"/>
      <c r="AX476" s="705"/>
      <c r="AY476" s="2"/>
      <c r="AZ476" s="705">
        <f ca="1">SUMIF($AR$7:AX$7,"&lt;="&amp;$I$7,AR476:AW476)</f>
        <v>0</v>
      </c>
      <c r="BA476" s="878" t="str">
        <f ca="1">IFERROR((AZ477/AZ476),"-")</f>
        <v>-</v>
      </c>
      <c r="BB476" s="2"/>
      <c r="BC476" s="705"/>
      <c r="BD476" s="705"/>
      <c r="BE476" s="705"/>
      <c r="BF476" s="705"/>
      <c r="BG476" s="705"/>
      <c r="BH476" s="705"/>
      <c r="BI476" s="705"/>
      <c r="BJ476" s="2"/>
      <c r="BK476" s="705">
        <f ca="1">SUMIF($BC$7:BI$7,"&lt;="&amp;$I$7,BC476:BH476)</f>
        <v>0</v>
      </c>
      <c r="BL476" s="878" t="str">
        <f ca="1">IFERROR((BK477/BK476),"-")</f>
        <v>-</v>
      </c>
      <c r="BM476" s="2"/>
      <c r="BN476" s="921">
        <v>0</v>
      </c>
      <c r="BO476" s="921">
        <v>0</v>
      </c>
      <c r="BP476" s="884">
        <f>SUM(M477:P477,V477:AB477,AG477:AM477,AR477:AX477)</f>
        <v>0</v>
      </c>
      <c r="BQ476" s="878" t="str">
        <f t="shared" ref="BQ476" si="1073">IFERROR((BP476/BO476),"-")</f>
        <v>-</v>
      </c>
      <c r="BR476" s="2"/>
      <c r="BS476" s="884"/>
      <c r="BT476" s="884"/>
      <c r="BU476" s="884">
        <f ca="1">E476+Q477+AD477+AO477+AZ477+BK477</f>
        <v>0</v>
      </c>
      <c r="BV476" s="884">
        <v>106</v>
      </c>
      <c r="BW476" s="1004">
        <f ca="1">IFERROR((BU476/BV476),"-")</f>
        <v>0</v>
      </c>
      <c r="BX476" s="884">
        <v>0</v>
      </c>
      <c r="BY476" s="878" t="str">
        <f ca="1">IFERROR((BU476/BX476),"-")</f>
        <v>-</v>
      </c>
      <c r="BZ476" s="2"/>
      <c r="CA476" s="884">
        <v>0</v>
      </c>
      <c r="CB476" s="884">
        <v>0</v>
      </c>
      <c r="CC476" s="2"/>
      <c r="CD476" s="504">
        <f>IFERROR(AVERAGEIF($V$7:AB$7,"&lt;="&amp;$I$7,V476:AB476),0)</f>
        <v>0</v>
      </c>
      <c r="CE476" s="2"/>
      <c r="CH476" s="93" t="str">
        <f t="shared" si="1003"/>
        <v>E2 - Execução de estaca EE2.07</v>
      </c>
    </row>
    <row r="477" spans="1:86" s="16" customFormat="1" ht="20.45" hidden="1" customHeight="1" outlineLevel="1">
      <c r="A477" s="74"/>
      <c r="B477" s="1049"/>
      <c r="C477" s="1023"/>
      <c r="D477" s="2"/>
      <c r="E477" s="1005"/>
      <c r="F477" s="2"/>
      <c r="G477" s="50" t="s">
        <v>38</v>
      </c>
      <c r="H477" s="705">
        <f t="shared" si="1044"/>
        <v>0</v>
      </c>
      <c r="I477" s="879"/>
      <c r="J477" s="2"/>
      <c r="K477" s="86"/>
      <c r="L477" s="86"/>
      <c r="M477" s="86"/>
      <c r="N477" s="86"/>
      <c r="O477" s="86"/>
      <c r="P477" s="86"/>
      <c r="Q477" s="706"/>
      <c r="R477" s="2"/>
      <c r="S477" s="705">
        <f t="shared" si="1068"/>
        <v>0</v>
      </c>
      <c r="T477" s="879"/>
      <c r="U477" s="2"/>
      <c r="V477" s="86"/>
      <c r="W477" s="86"/>
      <c r="X477" s="86"/>
      <c r="Y477" s="86"/>
      <c r="Z477" s="86"/>
      <c r="AA477" s="86"/>
      <c r="AB477" s="706"/>
      <c r="AC477" s="2"/>
      <c r="AD477" s="705">
        <f ca="1">SUMIF($V$7:AB$7,"&lt;="&amp;$I$7,V477:AA477)</f>
        <v>0</v>
      </c>
      <c r="AE477" s="879"/>
      <c r="AF477" s="2"/>
      <c r="AG477" s="86"/>
      <c r="AH477" s="86"/>
      <c r="AI477" s="86"/>
      <c r="AJ477" s="86"/>
      <c r="AK477" s="86"/>
      <c r="AL477" s="86"/>
      <c r="AM477" s="706"/>
      <c r="AN477" s="2"/>
      <c r="AO477" s="705">
        <f ca="1">SUMIF($AG$7:AM$7,"&lt;="&amp;$I$7,AG477:AL477)</f>
        <v>0</v>
      </c>
      <c r="AP477" s="879"/>
      <c r="AQ477" s="2"/>
      <c r="AR477" s="86"/>
      <c r="AS477" s="86"/>
      <c r="AT477" s="86"/>
      <c r="AU477" s="86"/>
      <c r="AV477" s="86"/>
      <c r="AW477" s="86"/>
      <c r="AX477" s="706"/>
      <c r="AY477" s="2"/>
      <c r="AZ477" s="705">
        <f ca="1">SUMIF($AR$7:AX$7,"&lt;="&amp;$I$7,AR477:AW477)</f>
        <v>0</v>
      </c>
      <c r="BA477" s="879"/>
      <c r="BB477" s="2"/>
      <c r="BC477" s="86"/>
      <c r="BD477" s="86"/>
      <c r="BE477" s="86"/>
      <c r="BF477" s="86"/>
      <c r="BG477" s="86"/>
      <c r="BH477" s="86"/>
      <c r="BI477" s="706"/>
      <c r="BJ477" s="2"/>
      <c r="BK477" s="705">
        <f ca="1">SUMIF($BC$7:BI$7,"&lt;="&amp;$I$7,BC477:BH477)</f>
        <v>0</v>
      </c>
      <c r="BL477" s="879"/>
      <c r="BM477" s="2"/>
      <c r="BN477" s="922"/>
      <c r="BO477" s="922"/>
      <c r="BP477" s="885"/>
      <c r="BQ477" s="1050"/>
      <c r="BR477" s="2"/>
      <c r="BS477" s="922"/>
      <c r="BT477" s="922"/>
      <c r="BU477" s="885"/>
      <c r="BV477" s="886"/>
      <c r="BW477" s="1051"/>
      <c r="BX477" s="922"/>
      <c r="BY477" s="1052"/>
      <c r="BZ477" s="2"/>
      <c r="CA477" s="922"/>
      <c r="CB477" s="922"/>
      <c r="CC477" s="2"/>
      <c r="CD477" s="504">
        <f>IFERROR(AVERAGEIF($V$7:AB$7,"&lt;="&amp;$I$7,V477:AB477),0)</f>
        <v>0</v>
      </c>
      <c r="CE477" s="2"/>
      <c r="CH477" s="93" t="str">
        <f t="shared" si="1003"/>
        <v>E2 - Execução de estaca EE2.07</v>
      </c>
    </row>
    <row r="478" spans="1:86" s="16" customFormat="1" ht="15.95" hidden="1" customHeight="1" outlineLevel="1">
      <c r="A478" s="74"/>
      <c r="B478" s="1048" t="s">
        <v>4068</v>
      </c>
      <c r="C478" s="1023" t="s">
        <v>1437</v>
      </c>
      <c r="D478" s="2"/>
      <c r="E478" s="1004">
        <v>0</v>
      </c>
      <c r="F478" s="2"/>
      <c r="G478" s="49" t="s">
        <v>37</v>
      </c>
      <c r="H478" s="705">
        <f t="shared" si="1044"/>
        <v>0</v>
      </c>
      <c r="I478" s="878" t="str">
        <f t="shared" ref="I478" si="1074">IFERROR((H479/H478),"-")</f>
        <v>-</v>
      </c>
      <c r="J478" s="2"/>
      <c r="K478" s="705"/>
      <c r="L478" s="705"/>
      <c r="M478" s="705"/>
      <c r="N478" s="705"/>
      <c r="O478" s="705"/>
      <c r="P478" s="705"/>
      <c r="Q478" s="705"/>
      <c r="R478" s="2"/>
      <c r="S478" s="705">
        <f t="shared" si="1068"/>
        <v>0</v>
      </c>
      <c r="T478" s="878" t="str">
        <f>IFERROR((S479/S478),"-")</f>
        <v>-</v>
      </c>
      <c r="U478" s="2"/>
      <c r="V478" s="705"/>
      <c r="W478" s="705"/>
      <c r="X478" s="705"/>
      <c r="Y478" s="705"/>
      <c r="Z478" s="705"/>
      <c r="AA478" s="705"/>
      <c r="AB478" s="705"/>
      <c r="AC478" s="2"/>
      <c r="AD478" s="705">
        <f ca="1">SUMIF($V$7:AB$7,"&lt;="&amp;$I$7,V478:AA478)</f>
        <v>0</v>
      </c>
      <c r="AE478" s="878" t="str">
        <f ca="1">IFERROR((AD479/AD478),"-")</f>
        <v>-</v>
      </c>
      <c r="AF478" s="2"/>
      <c r="AG478" s="705"/>
      <c r="AH478" s="705"/>
      <c r="AI478" s="705"/>
      <c r="AJ478" s="705"/>
      <c r="AK478" s="705"/>
      <c r="AL478" s="705"/>
      <c r="AM478" s="705"/>
      <c r="AN478" s="2"/>
      <c r="AO478" s="705">
        <f ca="1">SUMIF($AG$7:AM$7,"&lt;="&amp;$I$7,AG478:AL478)</f>
        <v>0</v>
      </c>
      <c r="AP478" s="878" t="str">
        <f ca="1">IFERROR((AO479/AO478),"-")</f>
        <v>-</v>
      </c>
      <c r="AQ478" s="2"/>
      <c r="AR478" s="705"/>
      <c r="AS478" s="705"/>
      <c r="AT478" s="705"/>
      <c r="AU478" s="705"/>
      <c r="AV478" s="705"/>
      <c r="AW478" s="705"/>
      <c r="AX478" s="705"/>
      <c r="AY478" s="2"/>
      <c r="AZ478" s="705">
        <f ca="1">SUMIF($AR$7:AX$7,"&lt;="&amp;$I$7,AR478:AW478)</f>
        <v>0</v>
      </c>
      <c r="BA478" s="878" t="str">
        <f ca="1">IFERROR((AZ479/AZ478),"-")</f>
        <v>-</v>
      </c>
      <c r="BB478" s="2"/>
      <c r="BC478" s="705"/>
      <c r="BD478" s="705"/>
      <c r="BE478" s="705"/>
      <c r="BF478" s="705"/>
      <c r="BG478" s="705"/>
      <c r="BH478" s="705"/>
      <c r="BI478" s="705"/>
      <c r="BJ478" s="2"/>
      <c r="BK478" s="705">
        <f ca="1">SUMIF($BC$7:BI$7,"&lt;="&amp;$I$7,BC478:BH478)</f>
        <v>0</v>
      </c>
      <c r="BL478" s="878" t="str">
        <f ca="1">IFERROR((BK479/BK478),"-")</f>
        <v>-</v>
      </c>
      <c r="BM478" s="2"/>
      <c r="BN478" s="921">
        <v>0</v>
      </c>
      <c r="BO478" s="921">
        <v>0</v>
      </c>
      <c r="BP478" s="884">
        <f>SUM(M479:P479,V479:AB479,AG479:AM479,AR479:AX479)</f>
        <v>0</v>
      </c>
      <c r="BQ478" s="878" t="str">
        <f t="shared" ref="BQ478" si="1075">IFERROR((BP478/BO478),"-")</f>
        <v>-</v>
      </c>
      <c r="BR478" s="2"/>
      <c r="BS478" s="884"/>
      <c r="BT478" s="884"/>
      <c r="BU478" s="884">
        <f ca="1">E478+Q479+AD479+AO479+AZ479+BK479</f>
        <v>0</v>
      </c>
      <c r="BV478" s="884">
        <v>106</v>
      </c>
      <c r="BW478" s="1004">
        <f ca="1">IFERROR((BU478/BV478),"-")</f>
        <v>0</v>
      </c>
      <c r="BX478" s="884">
        <v>0</v>
      </c>
      <c r="BY478" s="878" t="str">
        <f ca="1">IFERROR((BU478/BX478),"-")</f>
        <v>-</v>
      </c>
      <c r="BZ478" s="2"/>
      <c r="CA478" s="884">
        <v>0</v>
      </c>
      <c r="CB478" s="884">
        <v>0</v>
      </c>
      <c r="CC478" s="2"/>
      <c r="CD478" s="504">
        <f>IFERROR(AVERAGEIF($V$7:AB$7,"&lt;="&amp;$I$7,V478:AB478),0)</f>
        <v>0</v>
      </c>
      <c r="CE478" s="2"/>
      <c r="CH478" s="93" t="str">
        <f t="shared" si="1003"/>
        <v>E2 - Execução de estaca EE2.01</v>
      </c>
    </row>
    <row r="479" spans="1:86" s="16" customFormat="1" ht="20.45" hidden="1" customHeight="1" outlineLevel="1">
      <c r="A479" s="74"/>
      <c r="B479" s="1049"/>
      <c r="C479" s="1023"/>
      <c r="D479" s="2"/>
      <c r="E479" s="1005"/>
      <c r="F479" s="2"/>
      <c r="G479" s="50" t="s">
        <v>38</v>
      </c>
      <c r="H479" s="705">
        <f t="shared" si="1044"/>
        <v>0</v>
      </c>
      <c r="I479" s="879"/>
      <c r="J479" s="2"/>
      <c r="K479" s="86"/>
      <c r="L479" s="86"/>
      <c r="M479" s="86"/>
      <c r="N479" s="86"/>
      <c r="O479" s="86"/>
      <c r="P479" s="86"/>
      <c r="Q479" s="706"/>
      <c r="R479" s="2"/>
      <c r="S479" s="705">
        <f t="shared" si="1068"/>
        <v>0</v>
      </c>
      <c r="T479" s="879"/>
      <c r="U479" s="2"/>
      <c r="V479" s="86"/>
      <c r="W479" s="86"/>
      <c r="X479" s="86"/>
      <c r="Y479" s="86"/>
      <c r="Z479" s="86"/>
      <c r="AA479" s="86"/>
      <c r="AB479" s="706"/>
      <c r="AC479" s="2"/>
      <c r="AD479" s="705">
        <f ca="1">SUMIF($V$7:AB$7,"&lt;="&amp;$I$7,V479:AA479)</f>
        <v>0</v>
      </c>
      <c r="AE479" s="879"/>
      <c r="AF479" s="2"/>
      <c r="AG479" s="86"/>
      <c r="AH479" s="86"/>
      <c r="AI479" s="86"/>
      <c r="AJ479" s="86"/>
      <c r="AK479" s="86"/>
      <c r="AL479" s="86"/>
      <c r="AM479" s="706"/>
      <c r="AN479" s="2"/>
      <c r="AO479" s="705">
        <f ca="1">SUMIF($AG$7:AM$7,"&lt;="&amp;$I$7,AG479:AL479)</f>
        <v>0</v>
      </c>
      <c r="AP479" s="879"/>
      <c r="AQ479" s="2"/>
      <c r="AR479" s="86"/>
      <c r="AS479" s="86"/>
      <c r="AT479" s="86"/>
      <c r="AU479" s="86"/>
      <c r="AV479" s="86"/>
      <c r="AW479" s="86"/>
      <c r="AX479" s="706"/>
      <c r="AY479" s="2"/>
      <c r="AZ479" s="705">
        <f ca="1">SUMIF($AR$7:AX$7,"&lt;="&amp;$I$7,AR479:AW479)</f>
        <v>0</v>
      </c>
      <c r="BA479" s="879"/>
      <c r="BB479" s="2"/>
      <c r="BC479" s="86"/>
      <c r="BD479" s="86"/>
      <c r="BE479" s="86"/>
      <c r="BF479" s="86"/>
      <c r="BG479" s="86"/>
      <c r="BH479" s="86"/>
      <c r="BI479" s="706"/>
      <c r="BJ479" s="2"/>
      <c r="BK479" s="705">
        <f ca="1">SUMIF($BC$7:BI$7,"&lt;="&amp;$I$7,BC479:BH479)</f>
        <v>0</v>
      </c>
      <c r="BL479" s="879"/>
      <c r="BM479" s="2"/>
      <c r="BN479" s="922"/>
      <c r="BO479" s="922"/>
      <c r="BP479" s="885"/>
      <c r="BQ479" s="1050"/>
      <c r="BR479" s="2"/>
      <c r="BS479" s="922"/>
      <c r="BT479" s="922"/>
      <c r="BU479" s="885"/>
      <c r="BV479" s="886"/>
      <c r="BW479" s="1051"/>
      <c r="BX479" s="922"/>
      <c r="BY479" s="1052"/>
      <c r="BZ479" s="2"/>
      <c r="CA479" s="922"/>
      <c r="CB479" s="922"/>
      <c r="CC479" s="2"/>
      <c r="CD479" s="504">
        <f>IFERROR(AVERAGEIF($V$7:AB$7,"&lt;="&amp;$I$7,V479:AB479),0)</f>
        <v>0</v>
      </c>
      <c r="CE479" s="2"/>
      <c r="CH479" s="93" t="str">
        <f t="shared" si="1003"/>
        <v>E2 - Execução de estaca EE2.01</v>
      </c>
    </row>
    <row r="480" spans="1:86" s="16" customFormat="1" ht="15.95" hidden="1" customHeight="1" outlineLevel="1">
      <c r="A480" s="74"/>
      <c r="B480" s="1048" t="s">
        <v>4069</v>
      </c>
      <c r="C480" s="1023" t="s">
        <v>1437</v>
      </c>
      <c r="D480" s="2"/>
      <c r="E480" s="1004">
        <v>0</v>
      </c>
      <c r="F480" s="2"/>
      <c r="G480" s="49" t="s">
        <v>37</v>
      </c>
      <c r="H480" s="705">
        <f t="shared" si="1044"/>
        <v>0</v>
      </c>
      <c r="I480" s="878" t="str">
        <f t="shared" ref="I480" si="1076">IFERROR((H481/H480),"-")</f>
        <v>-</v>
      </c>
      <c r="J480" s="2"/>
      <c r="K480" s="705"/>
      <c r="L480" s="705"/>
      <c r="M480" s="705"/>
      <c r="N480" s="705"/>
      <c r="O480" s="705"/>
      <c r="P480" s="705"/>
      <c r="Q480" s="705"/>
      <c r="R480" s="2"/>
      <c r="S480" s="705">
        <f t="shared" si="1068"/>
        <v>0</v>
      </c>
      <c r="T480" s="878" t="str">
        <f>IFERROR((S481/S480),"-")</f>
        <v>-</v>
      </c>
      <c r="U480" s="2"/>
      <c r="V480" s="705"/>
      <c r="W480" s="705"/>
      <c r="X480" s="705"/>
      <c r="Y480" s="705"/>
      <c r="Z480" s="705"/>
      <c r="AA480" s="705"/>
      <c r="AB480" s="705"/>
      <c r="AC480" s="2"/>
      <c r="AD480" s="705">
        <f ca="1">SUMIF($V$7:AB$7,"&lt;="&amp;$I$7,V480:AA480)</f>
        <v>0</v>
      </c>
      <c r="AE480" s="878" t="str">
        <f ca="1">IFERROR((AD481/AD480),"-")</f>
        <v>-</v>
      </c>
      <c r="AF480" s="2"/>
      <c r="AG480" s="705"/>
      <c r="AH480" s="705"/>
      <c r="AI480" s="705"/>
      <c r="AJ480" s="705"/>
      <c r="AK480" s="705"/>
      <c r="AL480" s="705"/>
      <c r="AM480" s="705"/>
      <c r="AN480" s="2"/>
      <c r="AO480" s="705">
        <f ca="1">SUMIF($AG$7:AM$7,"&lt;="&amp;$I$7,AG480:AL480)</f>
        <v>0</v>
      </c>
      <c r="AP480" s="878" t="str">
        <f ca="1">IFERROR((AO481/AO480),"-")</f>
        <v>-</v>
      </c>
      <c r="AQ480" s="2"/>
      <c r="AR480" s="705"/>
      <c r="AS480" s="705"/>
      <c r="AT480" s="705"/>
      <c r="AU480" s="705"/>
      <c r="AV480" s="705"/>
      <c r="AW480" s="705"/>
      <c r="AX480" s="705"/>
      <c r="AY480" s="2"/>
      <c r="AZ480" s="705">
        <f t="shared" ref="AZ480:AZ487" si="1077">SUM(AR480:AW480)</f>
        <v>0</v>
      </c>
      <c r="BA480" s="878" t="str">
        <f>IFERROR((AZ481/AZ480),"-")</f>
        <v>-</v>
      </c>
      <c r="BB480" s="2"/>
      <c r="BC480" s="705"/>
      <c r="BD480" s="705"/>
      <c r="BE480" s="705"/>
      <c r="BF480" s="705"/>
      <c r="BG480" s="705"/>
      <c r="BH480" s="705"/>
      <c r="BI480" s="705"/>
      <c r="BJ480" s="2"/>
      <c r="BK480" s="705">
        <f ca="1">SUMIF($BC$7:BI$7,"&lt;="&amp;$I$7,BC480:BH480)</f>
        <v>0</v>
      </c>
      <c r="BL480" s="878" t="str">
        <f ca="1">IFERROR((BK481/BK480),"-")</f>
        <v>-</v>
      </c>
      <c r="BM480" s="2"/>
      <c r="BN480" s="921">
        <v>0</v>
      </c>
      <c r="BO480" s="921">
        <v>0</v>
      </c>
      <c r="BP480" s="884">
        <f>SUM(M481:P481,V481:AB481,AG481:AM481,AR481:AX481)</f>
        <v>0</v>
      </c>
      <c r="BQ480" s="878" t="str">
        <f t="shared" ref="BQ480" si="1078">IFERROR((BP480/BO480),"-")</f>
        <v>-</v>
      </c>
      <c r="BR480" s="2"/>
      <c r="BS480" s="884"/>
      <c r="BT480" s="884"/>
      <c r="BU480" s="884">
        <f ca="1">E480+Q481+AD481+AO481+AZ481+BK481</f>
        <v>0</v>
      </c>
      <c r="BV480" s="884">
        <v>106</v>
      </c>
      <c r="BW480" s="1004">
        <f ca="1">IFERROR((BU480/BV480),"-")</f>
        <v>0</v>
      </c>
      <c r="BX480" s="884">
        <v>0</v>
      </c>
      <c r="BY480" s="878" t="str">
        <f ca="1">IFERROR((BU480/BX480),"-")</f>
        <v>-</v>
      </c>
      <c r="BZ480" s="2"/>
      <c r="CA480" s="884">
        <v>0</v>
      </c>
      <c r="CB480" s="884">
        <v>0</v>
      </c>
      <c r="CC480" s="2"/>
      <c r="CD480" s="504">
        <f>IFERROR(AVERAGEIF($V$7:AB$7,"&lt;="&amp;$I$7,V480:AB480),0)</f>
        <v>0</v>
      </c>
      <c r="CE480" s="2"/>
      <c r="CH480" s="93" t="str">
        <f t="shared" si="1003"/>
        <v>E2 - Execução de estaca EE2.03</v>
      </c>
    </row>
    <row r="481" spans="1:86" s="16" customFormat="1" ht="20.45" hidden="1" customHeight="1" outlineLevel="1">
      <c r="A481" s="74"/>
      <c r="B481" s="1049"/>
      <c r="C481" s="1023"/>
      <c r="D481" s="2"/>
      <c r="E481" s="1005"/>
      <c r="F481" s="2"/>
      <c r="G481" s="50" t="s">
        <v>38</v>
      </c>
      <c r="H481" s="705">
        <f t="shared" si="1044"/>
        <v>0</v>
      </c>
      <c r="I481" s="879"/>
      <c r="J481" s="2"/>
      <c r="K481" s="86"/>
      <c r="L481" s="86"/>
      <c r="M481" s="86"/>
      <c r="N481" s="86"/>
      <c r="O481" s="86"/>
      <c r="P481" s="86"/>
      <c r="Q481" s="706"/>
      <c r="R481" s="2"/>
      <c r="S481" s="705">
        <f t="shared" si="1068"/>
        <v>0</v>
      </c>
      <c r="T481" s="879"/>
      <c r="U481" s="2"/>
      <c r="V481" s="86"/>
      <c r="W481" s="86"/>
      <c r="X481" s="86"/>
      <c r="Y481" s="86"/>
      <c r="Z481" s="86"/>
      <c r="AA481" s="86"/>
      <c r="AB481" s="706"/>
      <c r="AC481" s="2"/>
      <c r="AD481" s="705">
        <f ca="1">SUMIF($V$7:AB$7,"&lt;="&amp;$I$7,V481:AA481)</f>
        <v>0</v>
      </c>
      <c r="AE481" s="879"/>
      <c r="AF481" s="2"/>
      <c r="AG481" s="86"/>
      <c r="AH481" s="86"/>
      <c r="AI481" s="86"/>
      <c r="AJ481" s="86"/>
      <c r="AK481" s="86"/>
      <c r="AL481" s="86"/>
      <c r="AM481" s="706"/>
      <c r="AN481" s="2"/>
      <c r="AO481" s="705">
        <f ca="1">SUMIF($AG$7:AM$7,"&lt;="&amp;$I$7,AG481:AL481)</f>
        <v>0</v>
      </c>
      <c r="AP481" s="879"/>
      <c r="AQ481" s="2"/>
      <c r="AR481" s="86"/>
      <c r="AS481" s="86"/>
      <c r="AT481" s="86"/>
      <c r="AU481" s="86"/>
      <c r="AV481" s="86"/>
      <c r="AW481" s="86"/>
      <c r="AX481" s="706"/>
      <c r="AY481" s="2"/>
      <c r="AZ481" s="705">
        <f t="shared" si="1077"/>
        <v>0</v>
      </c>
      <c r="BA481" s="879"/>
      <c r="BB481" s="2"/>
      <c r="BC481" s="86"/>
      <c r="BD481" s="86"/>
      <c r="BE481" s="86"/>
      <c r="BF481" s="86"/>
      <c r="BG481" s="86"/>
      <c r="BH481" s="86"/>
      <c r="BI481" s="706"/>
      <c r="BJ481" s="2"/>
      <c r="BK481" s="705">
        <f ca="1">SUMIF($BC$7:BI$7,"&lt;="&amp;$I$7,BC481:BH481)</f>
        <v>0</v>
      </c>
      <c r="BL481" s="879"/>
      <c r="BM481" s="2"/>
      <c r="BN481" s="922"/>
      <c r="BO481" s="922"/>
      <c r="BP481" s="885"/>
      <c r="BQ481" s="1050"/>
      <c r="BR481" s="2"/>
      <c r="BS481" s="922"/>
      <c r="BT481" s="922"/>
      <c r="BU481" s="885"/>
      <c r="BV481" s="886"/>
      <c r="BW481" s="1051"/>
      <c r="BX481" s="922"/>
      <c r="BY481" s="1052"/>
      <c r="BZ481" s="2"/>
      <c r="CA481" s="922"/>
      <c r="CB481" s="922"/>
      <c r="CC481" s="2"/>
      <c r="CD481" s="504">
        <f>IFERROR(AVERAGEIF($V$7:AB$7,"&lt;="&amp;$I$7,V481:AB481),0)</f>
        <v>0</v>
      </c>
      <c r="CE481" s="2"/>
      <c r="CH481" s="93" t="str">
        <f t="shared" si="1003"/>
        <v>E2 - Execução de estaca EE2.03</v>
      </c>
    </row>
    <row r="482" spans="1:86" s="16" customFormat="1" ht="15.95" hidden="1" customHeight="1" outlineLevel="1">
      <c r="A482" s="74"/>
      <c r="B482" s="1048" t="s">
        <v>4070</v>
      </c>
      <c r="C482" s="1023" t="s">
        <v>1437</v>
      </c>
      <c r="D482" s="2"/>
      <c r="E482" s="1004">
        <v>0</v>
      </c>
      <c r="F482" s="2"/>
      <c r="G482" s="49" t="s">
        <v>37</v>
      </c>
      <c r="H482" s="705">
        <f t="shared" si="1044"/>
        <v>0</v>
      </c>
      <c r="I482" s="878" t="str">
        <f t="shared" ref="I482" si="1079">IFERROR((H483/H482),"-")</f>
        <v>-</v>
      </c>
      <c r="J482" s="2"/>
      <c r="K482" s="705"/>
      <c r="L482" s="705"/>
      <c r="M482" s="705"/>
      <c r="N482" s="705"/>
      <c r="O482" s="705"/>
      <c r="P482" s="705"/>
      <c r="Q482" s="705"/>
      <c r="R482" s="2"/>
      <c r="S482" s="705">
        <f t="shared" si="1068"/>
        <v>0</v>
      </c>
      <c r="T482" s="878" t="str">
        <f>IFERROR((S483/S482),"-")</f>
        <v>-</v>
      </c>
      <c r="U482" s="2"/>
      <c r="V482" s="705"/>
      <c r="W482" s="705"/>
      <c r="X482" s="705"/>
      <c r="Y482" s="705"/>
      <c r="Z482" s="705"/>
      <c r="AA482" s="705"/>
      <c r="AB482" s="705"/>
      <c r="AC482" s="2"/>
      <c r="AD482" s="705">
        <f ca="1">SUMIF($V$7:AB$7,"&lt;="&amp;$I$7,V482:AA482)</f>
        <v>0</v>
      </c>
      <c r="AE482" s="878" t="str">
        <f ca="1">IFERROR((AD483/AD482),"-")</f>
        <v>-</v>
      </c>
      <c r="AF482" s="2"/>
      <c r="AG482" s="705"/>
      <c r="AH482" s="705"/>
      <c r="AI482" s="705"/>
      <c r="AJ482" s="705"/>
      <c r="AK482" s="705"/>
      <c r="AL482" s="705"/>
      <c r="AM482" s="705"/>
      <c r="AN482" s="2"/>
      <c r="AO482" s="705">
        <f ca="1">SUMIF($AG$7:AM$7,"&lt;="&amp;$I$7,AG482:AL482)</f>
        <v>0</v>
      </c>
      <c r="AP482" s="878" t="str">
        <f ca="1">IFERROR((AO483/AO482),"-")</f>
        <v>-</v>
      </c>
      <c r="AQ482" s="2"/>
      <c r="AR482" s="705"/>
      <c r="AS482" s="705"/>
      <c r="AT482" s="705"/>
      <c r="AU482" s="705"/>
      <c r="AV482" s="705"/>
      <c r="AW482" s="705"/>
      <c r="AX482" s="705"/>
      <c r="AY482" s="2"/>
      <c r="AZ482" s="705">
        <f t="shared" si="1077"/>
        <v>0</v>
      </c>
      <c r="BA482" s="878" t="str">
        <f>IFERROR((AZ483/AZ482),"-")</f>
        <v>-</v>
      </c>
      <c r="BB482" s="2"/>
      <c r="BC482" s="705"/>
      <c r="BD482" s="705"/>
      <c r="BE482" s="705"/>
      <c r="BF482" s="705"/>
      <c r="BG482" s="705"/>
      <c r="BH482" s="705"/>
      <c r="BI482" s="705"/>
      <c r="BJ482" s="2"/>
      <c r="BK482" s="705">
        <f ca="1">SUMIF($BC$7:BI$7,"&lt;="&amp;$I$7,BC482:BH482)</f>
        <v>0</v>
      </c>
      <c r="BL482" s="878" t="str">
        <f ca="1">IFERROR((BK483/BK482),"-")</f>
        <v>-</v>
      </c>
      <c r="BM482" s="2"/>
      <c r="BN482" s="921">
        <v>0</v>
      </c>
      <c r="BO482" s="921">
        <v>0</v>
      </c>
      <c r="BP482" s="884">
        <f>SUM(M483:P483,V483:AB483,AG483:AM483,AR483:AX483)</f>
        <v>0</v>
      </c>
      <c r="BQ482" s="878" t="str">
        <f t="shared" ref="BQ482" si="1080">IFERROR((BP482/BO482),"-")</f>
        <v>-</v>
      </c>
      <c r="BR482" s="2"/>
      <c r="BS482" s="884"/>
      <c r="BT482" s="884"/>
      <c r="BU482" s="884">
        <f ca="1">E482+Q483+AD483+AO483+AZ483+BK483</f>
        <v>0</v>
      </c>
      <c r="BV482" s="884">
        <v>106</v>
      </c>
      <c r="BW482" s="1004">
        <f ca="1">IFERROR((BU482/BV482),"-")</f>
        <v>0</v>
      </c>
      <c r="BX482" s="884">
        <v>0</v>
      </c>
      <c r="BY482" s="878" t="str">
        <f ca="1">IFERROR((BU482/BX482),"-")</f>
        <v>-</v>
      </c>
      <c r="BZ482" s="2"/>
      <c r="CA482" s="884">
        <v>0</v>
      </c>
      <c r="CB482" s="884">
        <v>0</v>
      </c>
      <c r="CC482" s="2"/>
      <c r="CD482" s="504">
        <f>IFERROR(AVERAGEIF($V$7:AB$7,"&lt;="&amp;$I$7,V482:AB482),0)</f>
        <v>0</v>
      </c>
      <c r="CE482" s="2"/>
      <c r="CH482" s="93" t="str">
        <f t="shared" si="1003"/>
        <v>E2 - Execução de estaca EE2.04</v>
      </c>
    </row>
    <row r="483" spans="1:86" s="16" customFormat="1" ht="20.45" hidden="1" customHeight="1" outlineLevel="1">
      <c r="A483" s="74"/>
      <c r="B483" s="1049"/>
      <c r="C483" s="1023"/>
      <c r="D483" s="2"/>
      <c r="E483" s="1005"/>
      <c r="F483" s="2"/>
      <c r="G483" s="50" t="s">
        <v>38</v>
      </c>
      <c r="H483" s="705">
        <f t="shared" si="1044"/>
        <v>0</v>
      </c>
      <c r="I483" s="879"/>
      <c r="J483" s="2"/>
      <c r="K483" s="86"/>
      <c r="L483" s="86"/>
      <c r="M483" s="86"/>
      <c r="N483" s="86"/>
      <c r="O483" s="86"/>
      <c r="P483" s="86"/>
      <c r="Q483" s="706"/>
      <c r="R483" s="2"/>
      <c r="S483" s="705">
        <f t="shared" si="1068"/>
        <v>0</v>
      </c>
      <c r="T483" s="879"/>
      <c r="U483" s="2"/>
      <c r="V483" s="86"/>
      <c r="W483" s="86"/>
      <c r="X483" s="86"/>
      <c r="Y483" s="86"/>
      <c r="Z483" s="86"/>
      <c r="AA483" s="86"/>
      <c r="AB483" s="706"/>
      <c r="AC483" s="2"/>
      <c r="AD483" s="705">
        <f ca="1">SUMIF($V$7:AB$7,"&lt;="&amp;$I$7,V483:AA483)</f>
        <v>0</v>
      </c>
      <c r="AE483" s="879"/>
      <c r="AF483" s="2"/>
      <c r="AG483" s="86"/>
      <c r="AH483" s="86"/>
      <c r="AI483" s="86"/>
      <c r="AJ483" s="86"/>
      <c r="AK483" s="86"/>
      <c r="AL483" s="86"/>
      <c r="AM483" s="706"/>
      <c r="AN483" s="2"/>
      <c r="AO483" s="705">
        <f ca="1">SUMIF($AG$7:AM$7,"&lt;="&amp;$I$7,AG483:AL483)</f>
        <v>0</v>
      </c>
      <c r="AP483" s="879"/>
      <c r="AQ483" s="2"/>
      <c r="AR483" s="86"/>
      <c r="AS483" s="86"/>
      <c r="AT483" s="86"/>
      <c r="AU483" s="86"/>
      <c r="AV483" s="86"/>
      <c r="AW483" s="86"/>
      <c r="AX483" s="706"/>
      <c r="AY483" s="2"/>
      <c r="AZ483" s="705">
        <f t="shared" si="1077"/>
        <v>0</v>
      </c>
      <c r="BA483" s="879"/>
      <c r="BB483" s="2"/>
      <c r="BC483" s="86"/>
      <c r="BD483" s="86"/>
      <c r="BE483" s="86"/>
      <c r="BF483" s="86"/>
      <c r="BG483" s="86"/>
      <c r="BH483" s="86"/>
      <c r="BI483" s="706"/>
      <c r="BJ483" s="2"/>
      <c r="BK483" s="705">
        <f ca="1">SUMIF($BC$7:BI$7,"&lt;="&amp;$I$7,BC483:BH483)</f>
        <v>0</v>
      </c>
      <c r="BL483" s="879"/>
      <c r="BM483" s="2"/>
      <c r="BN483" s="922"/>
      <c r="BO483" s="922"/>
      <c r="BP483" s="885"/>
      <c r="BQ483" s="1050"/>
      <c r="BR483" s="2"/>
      <c r="BS483" s="922"/>
      <c r="BT483" s="922"/>
      <c r="BU483" s="885"/>
      <c r="BV483" s="886"/>
      <c r="BW483" s="1051"/>
      <c r="BX483" s="922"/>
      <c r="BY483" s="1052"/>
      <c r="BZ483" s="2"/>
      <c r="CA483" s="922"/>
      <c r="CB483" s="922"/>
      <c r="CC483" s="2"/>
      <c r="CD483" s="504">
        <f>IFERROR(AVERAGEIF($V$7:AB$7,"&lt;="&amp;$I$7,V483:AB483),0)</f>
        <v>0</v>
      </c>
      <c r="CE483" s="2"/>
      <c r="CH483" s="93" t="str">
        <f t="shared" si="1003"/>
        <v>E2 - Execução de estaca EE2.04</v>
      </c>
    </row>
    <row r="484" spans="1:86" s="16" customFormat="1" ht="15.95" hidden="1" customHeight="1" outlineLevel="1">
      <c r="A484" s="74"/>
      <c r="B484" s="1048" t="s">
        <v>4071</v>
      </c>
      <c r="C484" s="1023" t="s">
        <v>1437</v>
      </c>
      <c r="D484" s="2"/>
      <c r="E484" s="1004">
        <v>1</v>
      </c>
      <c r="F484" s="2"/>
      <c r="G484" s="49" t="s">
        <v>37</v>
      </c>
      <c r="H484" s="705">
        <f t="shared" si="1044"/>
        <v>0</v>
      </c>
      <c r="I484" s="878" t="str">
        <f t="shared" ref="I484" si="1081">IFERROR((H485/H484),"-")</f>
        <v>-</v>
      </c>
      <c r="J484" s="2"/>
      <c r="K484" s="705"/>
      <c r="L484" s="705"/>
      <c r="M484" s="705"/>
      <c r="N484" s="705"/>
      <c r="O484" s="705"/>
      <c r="P484" s="705"/>
      <c r="Q484" s="705"/>
      <c r="R484" s="2"/>
      <c r="S484" s="705">
        <f t="shared" si="1068"/>
        <v>0</v>
      </c>
      <c r="T484" s="878" t="str">
        <f>IFERROR((S485/S484),"-")</f>
        <v>-</v>
      </c>
      <c r="U484" s="2"/>
      <c r="V484" s="705"/>
      <c r="W484" s="705"/>
      <c r="X484" s="705"/>
      <c r="Y484" s="705"/>
      <c r="Z484" s="705"/>
      <c r="AA484" s="705"/>
      <c r="AB484" s="705"/>
      <c r="AC484" s="2"/>
      <c r="AD484" s="705">
        <f ca="1">SUMIF($V$7:AB$7,"&lt;="&amp;$I$7,V484:AA484)</f>
        <v>0</v>
      </c>
      <c r="AE484" s="878" t="str">
        <f ca="1">IFERROR((AD485/AD484),"-")</f>
        <v>-</v>
      </c>
      <c r="AF484" s="2"/>
      <c r="AG484" s="705"/>
      <c r="AH484" s="705"/>
      <c r="AI484" s="705"/>
      <c r="AJ484" s="705"/>
      <c r="AK484" s="705"/>
      <c r="AL484" s="705"/>
      <c r="AM484" s="705"/>
      <c r="AN484" s="2"/>
      <c r="AO484" s="705">
        <f ca="1">SUMIF($AG$7:AM$7,"&lt;="&amp;$I$7,AG484:AL484)</f>
        <v>0</v>
      </c>
      <c r="AP484" s="878" t="str">
        <f ca="1">IFERROR((AO485/AO484),"-")</f>
        <v>-</v>
      </c>
      <c r="AQ484" s="2"/>
      <c r="AR484" s="705"/>
      <c r="AS484" s="705"/>
      <c r="AT484" s="705"/>
      <c r="AU484" s="705"/>
      <c r="AV484" s="705"/>
      <c r="AW484" s="705"/>
      <c r="AX484" s="705"/>
      <c r="AY484" s="2"/>
      <c r="AZ484" s="705">
        <f t="shared" si="1077"/>
        <v>0</v>
      </c>
      <c r="BA484" s="878" t="str">
        <f>IFERROR((AZ485/AZ484),"-")</f>
        <v>-</v>
      </c>
      <c r="BB484" s="2"/>
      <c r="BC484" s="705"/>
      <c r="BD484" s="705"/>
      <c r="BE484" s="705"/>
      <c r="BF484" s="705"/>
      <c r="BG484" s="705"/>
      <c r="BH484" s="705"/>
      <c r="BI484" s="705"/>
      <c r="BJ484" s="2"/>
      <c r="BK484" s="705">
        <f ca="1">SUMIF($BC$7:BI$7,"&lt;="&amp;$I$7,BC484:BH484)</f>
        <v>0</v>
      </c>
      <c r="BL484" s="878" t="str">
        <f ca="1">IFERROR((BK485/BK484),"-")</f>
        <v>-</v>
      </c>
      <c r="BM484" s="2"/>
      <c r="BN484" s="921">
        <v>0</v>
      </c>
      <c r="BO484" s="921">
        <v>0</v>
      </c>
      <c r="BP484" s="884">
        <f>SUM(M485:P485,V485:AB485,AG485:AM485,AR485:AX485)</f>
        <v>0</v>
      </c>
      <c r="BQ484" s="878" t="str">
        <f t="shared" ref="BQ484" si="1082">IFERROR((BP484/BO484),"-")</f>
        <v>-</v>
      </c>
      <c r="BR484" s="2"/>
      <c r="BS484" s="884"/>
      <c r="BT484" s="884"/>
      <c r="BU484" s="884">
        <f ca="1">E484+Q485+AD485+AO485+AZ485+BK485</f>
        <v>1</v>
      </c>
      <c r="BV484" s="884">
        <v>106</v>
      </c>
      <c r="BW484" s="1004">
        <f ca="1">IFERROR((BU484/BV484),"-")</f>
        <v>9.433962264150943E-3</v>
      </c>
      <c r="BX484" s="884">
        <v>0</v>
      </c>
      <c r="BY484" s="878" t="str">
        <f ca="1">IFERROR((BU484/BX484),"-")</f>
        <v>-</v>
      </c>
      <c r="BZ484" s="2"/>
      <c r="CA484" s="884">
        <v>0</v>
      </c>
      <c r="CB484" s="884">
        <v>0</v>
      </c>
      <c r="CC484" s="2"/>
      <c r="CD484" s="504">
        <f>IFERROR(AVERAGEIF($V$7:AB$7,"&lt;="&amp;$I$7,V484:AB484),0)</f>
        <v>0</v>
      </c>
      <c r="CE484" s="2"/>
      <c r="CH484" s="93" t="str">
        <f t="shared" si="1003"/>
        <v>E2 - Execução de estaca EE2.13</v>
      </c>
    </row>
    <row r="485" spans="1:86" s="16" customFormat="1" ht="20.45" hidden="1" customHeight="1" outlineLevel="1">
      <c r="A485" s="74"/>
      <c r="B485" s="1049"/>
      <c r="C485" s="1023"/>
      <c r="D485" s="2"/>
      <c r="E485" s="1005"/>
      <c r="F485" s="2"/>
      <c r="G485" s="50" t="s">
        <v>38</v>
      </c>
      <c r="H485" s="705">
        <f t="shared" si="1044"/>
        <v>0</v>
      </c>
      <c r="I485" s="879"/>
      <c r="J485" s="2"/>
      <c r="K485" s="86"/>
      <c r="L485" s="86"/>
      <c r="M485" s="86"/>
      <c r="N485" s="86"/>
      <c r="O485" s="86"/>
      <c r="P485" s="86"/>
      <c r="Q485" s="706"/>
      <c r="R485" s="2"/>
      <c r="S485" s="705">
        <f t="shared" si="1068"/>
        <v>0</v>
      </c>
      <c r="T485" s="879"/>
      <c r="U485" s="2"/>
      <c r="V485" s="86"/>
      <c r="W485" s="86"/>
      <c r="X485" s="86"/>
      <c r="Y485" s="86"/>
      <c r="Z485" s="86"/>
      <c r="AA485" s="86"/>
      <c r="AB485" s="706"/>
      <c r="AC485" s="2"/>
      <c r="AD485" s="705">
        <f ca="1">SUMIF($V$7:AB$7,"&lt;="&amp;$I$7,V485:AA485)</f>
        <v>0</v>
      </c>
      <c r="AE485" s="879"/>
      <c r="AF485" s="2"/>
      <c r="AG485" s="86"/>
      <c r="AH485" s="86"/>
      <c r="AI485" s="86"/>
      <c r="AJ485" s="86"/>
      <c r="AK485" s="86"/>
      <c r="AL485" s="86"/>
      <c r="AM485" s="706"/>
      <c r="AN485" s="2"/>
      <c r="AO485" s="705">
        <f ca="1">SUMIF($AG$7:AM$7,"&lt;="&amp;$I$7,AG485:AL485)</f>
        <v>0</v>
      </c>
      <c r="AP485" s="879"/>
      <c r="AQ485" s="2"/>
      <c r="AR485" s="86"/>
      <c r="AS485" s="86"/>
      <c r="AT485" s="86"/>
      <c r="AU485" s="86"/>
      <c r="AV485" s="86"/>
      <c r="AW485" s="86"/>
      <c r="AX485" s="706"/>
      <c r="AY485" s="2"/>
      <c r="AZ485" s="705">
        <f t="shared" si="1077"/>
        <v>0</v>
      </c>
      <c r="BA485" s="879"/>
      <c r="BB485" s="2"/>
      <c r="BC485" s="86"/>
      <c r="BD485" s="86"/>
      <c r="BE485" s="86"/>
      <c r="BF485" s="86"/>
      <c r="BG485" s="86"/>
      <c r="BH485" s="86"/>
      <c r="BI485" s="706"/>
      <c r="BJ485" s="2"/>
      <c r="BK485" s="705">
        <f ca="1">SUMIF($BC$7:BI$7,"&lt;="&amp;$I$7,BC485:BH485)</f>
        <v>0</v>
      </c>
      <c r="BL485" s="879"/>
      <c r="BM485" s="2"/>
      <c r="BN485" s="922"/>
      <c r="BO485" s="922"/>
      <c r="BP485" s="885"/>
      <c r="BQ485" s="1050"/>
      <c r="BR485" s="2"/>
      <c r="BS485" s="922"/>
      <c r="BT485" s="922"/>
      <c r="BU485" s="885"/>
      <c r="BV485" s="886"/>
      <c r="BW485" s="1051"/>
      <c r="BX485" s="922"/>
      <c r="BY485" s="1052"/>
      <c r="BZ485" s="2"/>
      <c r="CA485" s="922"/>
      <c r="CB485" s="922"/>
      <c r="CC485" s="2"/>
      <c r="CD485" s="504">
        <f>IFERROR(AVERAGEIF($V$7:AB$7,"&lt;="&amp;$I$7,V485:AB485),0)</f>
        <v>0</v>
      </c>
      <c r="CE485" s="2"/>
      <c r="CH485" s="93" t="str">
        <f t="shared" si="1003"/>
        <v>E2 - Execução de estaca EE2.13</v>
      </c>
    </row>
    <row r="486" spans="1:86" s="16" customFormat="1" ht="20.45" hidden="1" customHeight="1" outlineLevel="1">
      <c r="A486" s="74"/>
      <c r="B486" s="1048" t="s">
        <v>4072</v>
      </c>
      <c r="C486" s="1023" t="s">
        <v>1437</v>
      </c>
      <c r="D486" s="2"/>
      <c r="E486" s="1004">
        <v>1</v>
      </c>
      <c r="F486" s="2"/>
      <c r="G486" s="49" t="s">
        <v>37</v>
      </c>
      <c r="H486" s="705">
        <f t="shared" si="1044"/>
        <v>0</v>
      </c>
      <c r="I486" s="878" t="str">
        <f t="shared" ref="I486" si="1083">IFERROR((H487/H486),"-")</f>
        <v>-</v>
      </c>
      <c r="J486" s="2"/>
      <c r="K486" s="705"/>
      <c r="L486" s="705"/>
      <c r="M486" s="705"/>
      <c r="N486" s="705"/>
      <c r="O486" s="705"/>
      <c r="P486" s="705"/>
      <c r="Q486" s="705"/>
      <c r="R486" s="2"/>
      <c r="S486" s="705">
        <f t="shared" si="1068"/>
        <v>0</v>
      </c>
      <c r="T486" s="878" t="str">
        <f>IFERROR((S487/S486),"-")</f>
        <v>-</v>
      </c>
      <c r="U486" s="2"/>
      <c r="V486" s="705"/>
      <c r="W486" s="705"/>
      <c r="X486" s="705"/>
      <c r="Y486" s="705"/>
      <c r="Z486" s="705"/>
      <c r="AA486" s="705"/>
      <c r="AB486" s="705"/>
      <c r="AC486" s="2"/>
      <c r="AD486" s="705">
        <f ca="1">SUMIF($V$7:AB$7,"&lt;="&amp;$I$7,V486:AA486)</f>
        <v>0</v>
      </c>
      <c r="AE486" s="878" t="str">
        <f ca="1">IFERROR((AD487/AD486),"-")</f>
        <v>-</v>
      </c>
      <c r="AF486" s="2"/>
      <c r="AG486" s="705"/>
      <c r="AH486" s="705"/>
      <c r="AI486" s="705"/>
      <c r="AJ486" s="705"/>
      <c r="AK486" s="705"/>
      <c r="AL486" s="705"/>
      <c r="AM486" s="705"/>
      <c r="AN486" s="2"/>
      <c r="AO486" s="705">
        <f ca="1">SUMIF($AG$7:AM$7,"&lt;="&amp;$I$7,AG486:AL486)</f>
        <v>0</v>
      </c>
      <c r="AP486" s="878" t="str">
        <f ca="1">IFERROR((AO487/AO486),"-")</f>
        <v>-</v>
      </c>
      <c r="AQ486" s="2"/>
      <c r="AR486" s="705"/>
      <c r="AS486" s="705"/>
      <c r="AT486" s="705"/>
      <c r="AU486" s="705"/>
      <c r="AV486" s="705"/>
      <c r="AW486" s="705"/>
      <c r="AX486" s="705"/>
      <c r="AY486" s="2"/>
      <c r="AZ486" s="705">
        <f t="shared" si="1077"/>
        <v>0</v>
      </c>
      <c r="BA486" s="878" t="str">
        <f>IFERROR((AZ487/AZ486),"-")</f>
        <v>-</v>
      </c>
      <c r="BB486" s="2"/>
      <c r="BC486" s="705"/>
      <c r="BD486" s="705"/>
      <c r="BE486" s="705"/>
      <c r="BF486" s="705"/>
      <c r="BG486" s="705"/>
      <c r="BH486" s="705"/>
      <c r="BI486" s="705"/>
      <c r="BJ486" s="2"/>
      <c r="BK486" s="705">
        <f ca="1">SUMIF($BC$7:BI$7,"&lt;="&amp;$I$7,BC486:BH486)</f>
        <v>0</v>
      </c>
      <c r="BL486" s="878" t="str">
        <f ca="1">IFERROR((BK487/BK486),"-")</f>
        <v>-</v>
      </c>
      <c r="BM486" s="2"/>
      <c r="BN486" s="921">
        <v>0</v>
      </c>
      <c r="BO486" s="921">
        <v>0</v>
      </c>
      <c r="BP486" s="884">
        <f>SUM(M487:P487,V487:AB487,AG487:AM487,AR487:AX487)</f>
        <v>0</v>
      </c>
      <c r="BQ486" s="878" t="str">
        <f t="shared" ref="BQ486" si="1084">IFERROR((BP486/BO486),"-")</f>
        <v>-</v>
      </c>
      <c r="BR486" s="2"/>
      <c r="BS486" s="884"/>
      <c r="BT486" s="884"/>
      <c r="BU486" s="884">
        <f ca="1">E486+Q487+AD487+AO487+AZ487+BK487</f>
        <v>1</v>
      </c>
      <c r="BV486" s="884">
        <v>106</v>
      </c>
      <c r="BW486" s="1004">
        <f ca="1">IFERROR((BU486/BV486),"-")</f>
        <v>9.433962264150943E-3</v>
      </c>
      <c r="BX486" s="884">
        <v>0</v>
      </c>
      <c r="BY486" s="878" t="str">
        <f ca="1">IFERROR((BU486/BX486),"-")</f>
        <v>-</v>
      </c>
      <c r="BZ486" s="2"/>
      <c r="CA486" s="884">
        <v>0</v>
      </c>
      <c r="CB486" s="884">
        <v>0</v>
      </c>
      <c r="CC486" s="2"/>
      <c r="CD486" s="504">
        <f>IFERROR(AVERAGEIF($V$7:AB$7,"&lt;="&amp;$I$7,V486:AB486),0)</f>
        <v>0</v>
      </c>
      <c r="CE486" s="2"/>
      <c r="CH486" s="93" t="str">
        <f t="shared" si="1003"/>
        <v>E2 - Execução de estaca EE2.12</v>
      </c>
    </row>
    <row r="487" spans="1:86" s="16" customFormat="1" ht="20.45" hidden="1" customHeight="1" outlineLevel="1">
      <c r="A487" s="74"/>
      <c r="B487" s="1049"/>
      <c r="C487" s="1023"/>
      <c r="D487" s="2"/>
      <c r="E487" s="1005"/>
      <c r="F487" s="2"/>
      <c r="G487" s="50" t="s">
        <v>38</v>
      </c>
      <c r="H487" s="705">
        <f t="shared" si="1044"/>
        <v>0</v>
      </c>
      <c r="I487" s="879"/>
      <c r="J487" s="2"/>
      <c r="K487" s="86"/>
      <c r="L487" s="86"/>
      <c r="M487" s="86"/>
      <c r="N487" s="86"/>
      <c r="O487" s="86"/>
      <c r="P487" s="86"/>
      <c r="Q487" s="706"/>
      <c r="R487" s="2"/>
      <c r="S487" s="705">
        <f t="shared" si="1068"/>
        <v>0</v>
      </c>
      <c r="T487" s="879"/>
      <c r="U487" s="2"/>
      <c r="V487" s="86"/>
      <c r="W487" s="86"/>
      <c r="X487" s="86"/>
      <c r="Y487" s="86"/>
      <c r="Z487" s="86"/>
      <c r="AA487" s="86"/>
      <c r="AB487" s="706"/>
      <c r="AC487" s="2"/>
      <c r="AD487" s="705">
        <f ca="1">SUMIF($V$7:AB$7,"&lt;="&amp;$I$7,V487:AA487)</f>
        <v>0</v>
      </c>
      <c r="AE487" s="879"/>
      <c r="AF487" s="2"/>
      <c r="AG487" s="86"/>
      <c r="AH487" s="86"/>
      <c r="AI487" s="86"/>
      <c r="AJ487" s="86"/>
      <c r="AK487" s="86"/>
      <c r="AL487" s="86"/>
      <c r="AM487" s="706"/>
      <c r="AN487" s="2"/>
      <c r="AO487" s="705">
        <f ca="1">SUMIF($AG$7:AM$7,"&lt;="&amp;$I$7,AG487:AL487)</f>
        <v>0</v>
      </c>
      <c r="AP487" s="879"/>
      <c r="AQ487" s="2"/>
      <c r="AR487" s="86"/>
      <c r="AS487" s="86"/>
      <c r="AT487" s="86"/>
      <c r="AU487" s="86"/>
      <c r="AV487" s="86"/>
      <c r="AW487" s="86"/>
      <c r="AX487" s="706"/>
      <c r="AY487" s="2"/>
      <c r="AZ487" s="705">
        <f t="shared" si="1077"/>
        <v>0</v>
      </c>
      <c r="BA487" s="879"/>
      <c r="BB487" s="2"/>
      <c r="BC487" s="86"/>
      <c r="BD487" s="86"/>
      <c r="BE487" s="86"/>
      <c r="BF487" s="86"/>
      <c r="BG487" s="86"/>
      <c r="BH487" s="86"/>
      <c r="BI487" s="706"/>
      <c r="BJ487" s="2"/>
      <c r="BK487" s="705">
        <f ca="1">SUMIF($BC$7:BI$7,"&lt;="&amp;$I$7,BC487:BH487)</f>
        <v>0</v>
      </c>
      <c r="BL487" s="879"/>
      <c r="BM487" s="2"/>
      <c r="BN487" s="922"/>
      <c r="BO487" s="922"/>
      <c r="BP487" s="885"/>
      <c r="BQ487" s="1050"/>
      <c r="BR487" s="2"/>
      <c r="BS487" s="922"/>
      <c r="BT487" s="922"/>
      <c r="BU487" s="885"/>
      <c r="BV487" s="886"/>
      <c r="BW487" s="1051"/>
      <c r="BX487" s="922"/>
      <c r="BY487" s="1052"/>
      <c r="BZ487" s="2"/>
      <c r="CA487" s="922"/>
      <c r="CB487" s="922"/>
      <c r="CC487" s="2"/>
      <c r="CD487" s="504">
        <f>IFERROR(AVERAGEIF($V$7:AB$7,"&lt;="&amp;$I$7,V487:AB487),0)</f>
        <v>0</v>
      </c>
      <c r="CE487" s="2"/>
      <c r="CH487" s="93" t="str">
        <f t="shared" si="1003"/>
        <v>E2 - Execução de estaca EE2.12</v>
      </c>
    </row>
    <row r="488" spans="1:86" s="16" customFormat="1" ht="20.45" customHeight="1" collapsed="1">
      <c r="A488" s="73"/>
      <c r="B488" s="1045" t="s">
        <v>4073</v>
      </c>
      <c r="C488" s="740" t="s">
        <v>1437</v>
      </c>
      <c r="D488" s="2"/>
      <c r="E488" s="1019">
        <v>22</v>
      </c>
      <c r="F488" s="2"/>
      <c r="G488" s="53" t="s">
        <v>37</v>
      </c>
      <c r="H488" s="52">
        <f t="shared" si="1044"/>
        <v>0</v>
      </c>
      <c r="I488" s="743" t="str">
        <f t="shared" ref="I488" si="1085">IFERROR((H489/H488),"-")</f>
        <v>-</v>
      </c>
      <c r="J488" s="2"/>
      <c r="K488" s="52">
        <f>SUMIF($G$490:$G$501,$G$488,K490:K501)</f>
        <v>0</v>
      </c>
      <c r="L488" s="52">
        <f>SUMIF($G$490:$G$501,$G$488,L490:L501)</f>
        <v>0</v>
      </c>
      <c r="M488" s="52">
        <f t="shared" ref="M488:P488" si="1086">SUMIF($G$490:$G$501,$G$488,M490:M501)</f>
        <v>0</v>
      </c>
      <c r="N488" s="52">
        <f t="shared" si="1086"/>
        <v>0</v>
      </c>
      <c r="O488" s="52">
        <f t="shared" si="1086"/>
        <v>0</v>
      </c>
      <c r="P488" s="52">
        <f t="shared" si="1086"/>
        <v>0</v>
      </c>
      <c r="Q488" s="52"/>
      <c r="R488" s="2"/>
      <c r="S488" s="52">
        <f ca="1">SUMIF($K$7:Q$7,"&lt;="&amp;$I$7,K488:P488)</f>
        <v>0</v>
      </c>
      <c r="T488" s="743" t="str">
        <f ca="1">IFERROR((S489/S488),"-")</f>
        <v>-</v>
      </c>
      <c r="U488" s="2"/>
      <c r="V488" s="52">
        <f t="shared" ref="V488:AA488" si="1087">SUMIF($G$490:$G$501,$G$488,V490:V501)</f>
        <v>0</v>
      </c>
      <c r="W488" s="52">
        <f t="shared" si="1087"/>
        <v>0</v>
      </c>
      <c r="X488" s="52">
        <f t="shared" si="1087"/>
        <v>0</v>
      </c>
      <c r="Y488" s="52">
        <f t="shared" si="1087"/>
        <v>0</v>
      </c>
      <c r="Z488" s="52">
        <f t="shared" si="1087"/>
        <v>0</v>
      </c>
      <c r="AA488" s="52">
        <f t="shared" si="1087"/>
        <v>0</v>
      </c>
      <c r="AB488" s="52"/>
      <c r="AC488" s="2"/>
      <c r="AD488" s="52">
        <f>SUMIF($V$7:AB$7,"&lt;="&amp;$I$7,V488:AB488)</f>
        <v>0</v>
      </c>
      <c r="AE488" s="743" t="str">
        <f>IFERROR((AD489/AD488),"-")</f>
        <v>-</v>
      </c>
      <c r="AF488" s="2"/>
      <c r="AG488" s="52"/>
      <c r="AH488" s="52"/>
      <c r="AI488" s="52"/>
      <c r="AJ488" s="52"/>
      <c r="AK488" s="52"/>
      <c r="AL488" s="52"/>
      <c r="AM488" s="52"/>
      <c r="AN488" s="2"/>
      <c r="AO488" s="52">
        <f ca="1">SUMIF($AG$7:AM$7,"&lt;="&amp;$I$7,AG488:AL488)</f>
        <v>0</v>
      </c>
      <c r="AP488" s="743" t="str">
        <f ca="1">IFERROR((AO489/AO488),"-")</f>
        <v>-</v>
      </c>
      <c r="AQ488" s="2"/>
      <c r="AR488" s="52"/>
      <c r="AS488" s="52"/>
      <c r="AT488" s="52"/>
      <c r="AU488" s="52"/>
      <c r="AV488" s="52"/>
      <c r="AW488" s="52"/>
      <c r="AX488" s="52"/>
      <c r="AY488" s="2"/>
      <c r="AZ488" s="52">
        <f ca="1">SUMIF($AR$7:AX$7,"&lt;="&amp;$I$7,AR488:AW488)</f>
        <v>0</v>
      </c>
      <c r="BA488" s="743" t="str">
        <f ca="1">IFERROR((AZ489/AZ488),"-")</f>
        <v>-</v>
      </c>
      <c r="BB488" s="2"/>
      <c r="BC488" s="52"/>
      <c r="BD488" s="52"/>
      <c r="BE488" s="52"/>
      <c r="BF488" s="52"/>
      <c r="BG488" s="52"/>
      <c r="BH488" s="52"/>
      <c r="BI488" s="52"/>
      <c r="BJ488" s="2"/>
      <c r="BK488" s="52">
        <f ca="1">SUMIF($BC$7:BI$7,"&lt;="&amp;$I$7,BC488:BH488)</f>
        <v>0</v>
      </c>
      <c r="BL488" s="743" t="str">
        <f ca="1">IFERROR((BK489/BK488),"-")</f>
        <v>-</v>
      </c>
      <c r="BM488" s="2"/>
      <c r="BN488" s="888">
        <v>0</v>
      </c>
      <c r="BO488" s="888">
        <v>0</v>
      </c>
      <c r="BP488" s="888">
        <f>SUM(BP490:BP501)</f>
        <v>0</v>
      </c>
      <c r="BQ488" s="743" t="str">
        <f t="shared" ref="BQ488" si="1088">IFERROR((BP488/BO488),"-")</f>
        <v>-</v>
      </c>
      <c r="BR488" s="2"/>
      <c r="BS488" s="888"/>
      <c r="BT488" s="888"/>
      <c r="BU488" s="888">
        <v>22</v>
      </c>
      <c r="BV488" s="888">
        <v>106</v>
      </c>
      <c r="BW488" s="1019">
        <f>IFERROR((BU488/BV488),"-")</f>
        <v>0.20754716981132076</v>
      </c>
      <c r="BX488" s="888">
        <v>22</v>
      </c>
      <c r="BY488" s="743">
        <f>IFERROR((BU488/BX488),"-")</f>
        <v>1</v>
      </c>
      <c r="BZ488" s="2"/>
      <c r="CA488" s="888">
        <v>22</v>
      </c>
      <c r="CB488" s="888">
        <f>CA488-BU488</f>
        <v>0</v>
      </c>
      <c r="CC488" s="2"/>
      <c r="CD488" s="504">
        <f>IFERROR(AVERAGEIF($V$7:AB$7,"&lt;="&amp;$I$7,V488:AB488),0)</f>
        <v>0</v>
      </c>
      <c r="CE488" s="2"/>
      <c r="CH488" s="93" t="str">
        <f t="shared" si="1003"/>
        <v>ESTACAS P1</v>
      </c>
    </row>
    <row r="489" spans="1:86" s="16" customFormat="1" ht="20.45" customHeight="1">
      <c r="A489" s="74"/>
      <c r="B489" s="1045"/>
      <c r="C489" s="740"/>
      <c r="D489" s="2"/>
      <c r="E489" s="1020"/>
      <c r="F489" s="2"/>
      <c r="G489" s="54" t="s">
        <v>38</v>
      </c>
      <c r="H489" s="52">
        <f t="shared" si="1044"/>
        <v>0</v>
      </c>
      <c r="I489" s="744"/>
      <c r="J489" s="2"/>
      <c r="K489" s="52">
        <f>SUMIF($G$490:$G$501,$G$489,K490:K501)</f>
        <v>0</v>
      </c>
      <c r="L489" s="52">
        <f>SUMIF($G$490:$G$501,$G$489,L490:L501)</f>
        <v>0</v>
      </c>
      <c r="M489" s="52">
        <f t="shared" ref="M489:P489" si="1089">SUMIF($G$490:$G$501,$G$489,M490:M501)</f>
        <v>0</v>
      </c>
      <c r="N489" s="52">
        <f t="shared" si="1089"/>
        <v>0</v>
      </c>
      <c r="O489" s="52">
        <f t="shared" si="1089"/>
        <v>0</v>
      </c>
      <c r="P489" s="52">
        <f t="shared" si="1089"/>
        <v>0</v>
      </c>
      <c r="Q489" s="52">
        <f t="shared" ref="Q489" si="1090">SUMIF($G$490:$G$495,$G$489,Q490:Q501)</f>
        <v>0</v>
      </c>
      <c r="R489" s="2"/>
      <c r="S489" s="52">
        <f ca="1">SUMIF($K$7:Q$7,"&lt;="&amp;$I$7,K489:P489)</f>
        <v>0</v>
      </c>
      <c r="T489" s="744"/>
      <c r="U489" s="2"/>
      <c r="V489" s="52">
        <f t="shared" ref="V489:AA489" si="1091">SUMIF($G$490:$G$501,$G$489,V490:V501)</f>
        <v>0</v>
      </c>
      <c r="W489" s="52">
        <f t="shared" si="1091"/>
        <v>0</v>
      </c>
      <c r="X489" s="52">
        <f t="shared" si="1091"/>
        <v>0</v>
      </c>
      <c r="Y489" s="52">
        <f t="shared" si="1091"/>
        <v>0</v>
      </c>
      <c r="Z489" s="52">
        <f t="shared" si="1091"/>
        <v>0</v>
      </c>
      <c r="AA489" s="52">
        <f t="shared" si="1091"/>
        <v>0</v>
      </c>
      <c r="AB489" s="52"/>
      <c r="AC489" s="2"/>
      <c r="AD489" s="52">
        <f>SUMIF($V$7:AB$7,"&lt;="&amp;$I$7,V489:AB489)</f>
        <v>0</v>
      </c>
      <c r="AE489" s="744"/>
      <c r="AF489" s="2"/>
      <c r="AG489" s="52"/>
      <c r="AH489" s="52"/>
      <c r="AI489" s="52"/>
      <c r="AJ489" s="52"/>
      <c r="AK489" s="52"/>
      <c r="AL489" s="52"/>
      <c r="AM489" s="52"/>
      <c r="AN489" s="2"/>
      <c r="AO489" s="52">
        <f ca="1">SUMIF($AG$7:AM$7,"&lt;="&amp;$I$7,AG489:AL489)</f>
        <v>0</v>
      </c>
      <c r="AP489" s="744"/>
      <c r="AQ489" s="2"/>
      <c r="AR489" s="52"/>
      <c r="AS489" s="52"/>
      <c r="AT489" s="52"/>
      <c r="AU489" s="52"/>
      <c r="AV489" s="52"/>
      <c r="AW489" s="52"/>
      <c r="AX489" s="52"/>
      <c r="AY489" s="2"/>
      <c r="AZ489" s="52">
        <f ca="1">SUMIF($AR$7:AX$7,"&lt;="&amp;$I$7,AR489:AW489)</f>
        <v>0</v>
      </c>
      <c r="BA489" s="744"/>
      <c r="BB489" s="2"/>
      <c r="BC489" s="52"/>
      <c r="BD489" s="52"/>
      <c r="BE489" s="52"/>
      <c r="BF489" s="52"/>
      <c r="BG489" s="52"/>
      <c r="BH489" s="52"/>
      <c r="BI489" s="52"/>
      <c r="BJ489" s="2"/>
      <c r="BK489" s="52">
        <f ca="1">SUMIF($BC$7:BI$7,"&lt;="&amp;$I$7,BC489:BH489)</f>
        <v>0</v>
      </c>
      <c r="BL489" s="744"/>
      <c r="BM489" s="2"/>
      <c r="BN489" s="888"/>
      <c r="BO489" s="888"/>
      <c r="BP489" s="889"/>
      <c r="BQ489" s="744"/>
      <c r="BR489" s="2"/>
      <c r="BS489" s="888"/>
      <c r="BT489" s="888"/>
      <c r="BU489" s="888"/>
      <c r="BV489" s="888"/>
      <c r="BW489" s="1019"/>
      <c r="BX489" s="888"/>
      <c r="BY489" s="743"/>
      <c r="BZ489" s="2"/>
      <c r="CA489" s="888"/>
      <c r="CB489" s="888"/>
      <c r="CC489" s="2"/>
      <c r="CD489" s="504">
        <f>IFERROR(AVERAGEIF($V$7:AB$7,"&lt;="&amp;$I$7,V489:AB489),0)</f>
        <v>0</v>
      </c>
      <c r="CE489" s="2"/>
      <c r="CH489" s="93" t="str">
        <f t="shared" si="1003"/>
        <v>ESTACAS P1</v>
      </c>
    </row>
    <row r="490" spans="1:86" s="16" customFormat="1" ht="15.95" hidden="1" customHeight="1" outlineLevel="1">
      <c r="A490" s="74"/>
      <c r="B490" s="1046" t="s">
        <v>4074</v>
      </c>
      <c r="C490" s="1014" t="s">
        <v>1437</v>
      </c>
      <c r="D490" s="2"/>
      <c r="E490" s="1004">
        <v>0</v>
      </c>
      <c r="F490" s="2"/>
      <c r="G490" s="49" t="s">
        <v>37</v>
      </c>
      <c r="H490" s="705">
        <f t="shared" si="1044"/>
        <v>0</v>
      </c>
      <c r="I490" s="878" t="str">
        <f t="shared" ref="I490" si="1092">IFERROR((H491/H490),"-")</f>
        <v>-</v>
      </c>
      <c r="J490" s="2"/>
      <c r="K490" s="705"/>
      <c r="L490" s="705"/>
      <c r="M490" s="705"/>
      <c r="N490" s="705"/>
      <c r="O490" s="705"/>
      <c r="P490" s="705"/>
      <c r="Q490" s="705"/>
      <c r="R490" s="2"/>
      <c r="S490" s="705">
        <f t="shared" ref="S490:S501" si="1093">SUM(K490:P490)</f>
        <v>0</v>
      </c>
      <c r="T490" s="878" t="str">
        <f>IFERROR((S491/S490),"-")</f>
        <v>-</v>
      </c>
      <c r="U490" s="2"/>
      <c r="V490" s="705"/>
      <c r="W490" s="705"/>
      <c r="X490" s="705"/>
      <c r="Y490" s="705"/>
      <c r="Z490" s="705"/>
      <c r="AA490" s="705"/>
      <c r="AB490" s="705"/>
      <c r="AC490" s="2"/>
      <c r="AD490" s="705">
        <f ca="1">SUMIF($V$7:AB$7,"&lt;="&amp;$I$7,V490:AA490)</f>
        <v>0</v>
      </c>
      <c r="AE490" s="878" t="str">
        <f ca="1">IFERROR((AD491/AD490),"-")</f>
        <v>-</v>
      </c>
      <c r="AF490" s="2"/>
      <c r="AG490" s="705"/>
      <c r="AH490" s="705"/>
      <c r="AI490" s="705"/>
      <c r="AJ490" s="705"/>
      <c r="AK490" s="705"/>
      <c r="AL490" s="705"/>
      <c r="AM490" s="705"/>
      <c r="AN490" s="2"/>
      <c r="AO490" s="705">
        <f ca="1">SUMIF($AG$7:AM$7,"&lt;="&amp;$I$7,AG490:AL490)</f>
        <v>0</v>
      </c>
      <c r="AP490" s="878" t="str">
        <f ca="1">IFERROR((AO491/AO490),"-")</f>
        <v>-</v>
      </c>
      <c r="AQ490" s="2"/>
      <c r="AR490" s="705"/>
      <c r="AS490" s="705"/>
      <c r="AT490" s="705"/>
      <c r="AU490" s="705"/>
      <c r="AV490" s="705"/>
      <c r="AW490" s="705"/>
      <c r="AX490" s="705"/>
      <c r="AY490" s="2"/>
      <c r="AZ490" s="705">
        <f t="shared" ref="AZ490:AZ501" si="1094">SUM(AR490:AW490)</f>
        <v>0</v>
      </c>
      <c r="BA490" s="878" t="str">
        <f>IFERROR((AZ491/AZ490),"-")</f>
        <v>-</v>
      </c>
      <c r="BB490" s="2"/>
      <c r="BC490" s="705"/>
      <c r="BD490" s="705"/>
      <c r="BE490" s="705"/>
      <c r="BF490" s="705"/>
      <c r="BG490" s="705"/>
      <c r="BH490" s="705"/>
      <c r="BI490" s="705"/>
      <c r="BJ490" s="2"/>
      <c r="BK490" s="705">
        <f ca="1">SUMIF($BC$7:BI$7,"&lt;="&amp;$I$7,BC490:BH490)</f>
        <v>0</v>
      </c>
      <c r="BL490" s="878" t="str">
        <f ca="1">IFERROR((BK491/BK490),"-")</f>
        <v>-</v>
      </c>
      <c r="BM490" s="2"/>
      <c r="BN490" s="884">
        <v>0</v>
      </c>
      <c r="BO490" s="884">
        <v>0</v>
      </c>
      <c r="BP490" s="884">
        <f>SUM(M491:P491,V491:AB491,AG491:AM491,AR491:AX491)</f>
        <v>0</v>
      </c>
      <c r="BQ490" s="878" t="str">
        <f t="shared" ref="BQ490" si="1095">IFERROR((BP490/BO490),"-")</f>
        <v>-</v>
      </c>
      <c r="BR490" s="2"/>
      <c r="BS490" s="884"/>
      <c r="BT490" s="884"/>
      <c r="BU490" s="884">
        <v>0</v>
      </c>
      <c r="BV490" s="884">
        <v>104</v>
      </c>
      <c r="BW490" s="1004">
        <f>IFERROR((BU490/BV490),"-")</f>
        <v>0</v>
      </c>
      <c r="BX490" s="884">
        <v>0</v>
      </c>
      <c r="BY490" s="878" t="str">
        <f>IFERROR((BU490/BX490),"-")</f>
        <v>-</v>
      </c>
      <c r="BZ490" s="2"/>
      <c r="CA490" s="884">
        <v>0</v>
      </c>
      <c r="CB490" s="884">
        <v>0</v>
      </c>
      <c r="CC490" s="2"/>
      <c r="CD490" s="504">
        <f>IFERROR(AVERAGEIF($V$7:AB$7,"&lt;="&amp;$I$7,V490:AB490),0)</f>
        <v>0</v>
      </c>
      <c r="CE490" s="2"/>
      <c r="CH490" s="93" t="str">
        <f t="shared" si="1003"/>
        <v>P1 - Execução de estaca EP1.06</v>
      </c>
    </row>
    <row r="491" spans="1:86" s="16" customFormat="1" ht="20.45" hidden="1" customHeight="1" outlineLevel="1">
      <c r="A491" s="74"/>
      <c r="B491" s="1047"/>
      <c r="C491" s="1034"/>
      <c r="D491" s="2"/>
      <c r="E491" s="1005"/>
      <c r="F491" s="2"/>
      <c r="G491" s="50" t="s">
        <v>38</v>
      </c>
      <c r="H491" s="705">
        <f t="shared" si="1044"/>
        <v>0</v>
      </c>
      <c r="I491" s="879"/>
      <c r="J491" s="2"/>
      <c r="K491" s="86"/>
      <c r="L491" s="86"/>
      <c r="M491" s="86"/>
      <c r="N491" s="86"/>
      <c r="O491" s="86"/>
      <c r="P491" s="86"/>
      <c r="Q491" s="706"/>
      <c r="R491" s="2"/>
      <c r="S491" s="705">
        <f t="shared" si="1093"/>
        <v>0</v>
      </c>
      <c r="T491" s="879"/>
      <c r="U491" s="2"/>
      <c r="V491" s="86"/>
      <c r="W491" s="86"/>
      <c r="X491" s="86"/>
      <c r="Y491" s="86"/>
      <c r="Z491" s="86"/>
      <c r="AA491" s="86"/>
      <c r="AB491" s="706"/>
      <c r="AC491" s="2"/>
      <c r="AD491" s="705">
        <f ca="1">SUMIF($V$7:AB$7,"&lt;="&amp;$I$7,V491:AA491)</f>
        <v>0</v>
      </c>
      <c r="AE491" s="879"/>
      <c r="AF491" s="2"/>
      <c r="AG491" s="86"/>
      <c r="AH491" s="86"/>
      <c r="AI491" s="86"/>
      <c r="AJ491" s="86"/>
      <c r="AK491" s="86"/>
      <c r="AL491" s="86"/>
      <c r="AM491" s="706"/>
      <c r="AN491" s="2"/>
      <c r="AO491" s="705">
        <f ca="1">SUMIF($AG$7:AM$7,"&lt;="&amp;$I$7,AG491:AL491)</f>
        <v>0</v>
      </c>
      <c r="AP491" s="879"/>
      <c r="AQ491" s="2"/>
      <c r="AR491" s="86"/>
      <c r="AS491" s="86"/>
      <c r="AT491" s="86"/>
      <c r="AU491" s="86"/>
      <c r="AV491" s="86"/>
      <c r="AW491" s="86"/>
      <c r="AX491" s="706"/>
      <c r="AY491" s="2"/>
      <c r="AZ491" s="705">
        <f t="shared" si="1094"/>
        <v>0</v>
      </c>
      <c r="BA491" s="879"/>
      <c r="BB491" s="2"/>
      <c r="BC491" s="86"/>
      <c r="BD491" s="86"/>
      <c r="BE491" s="86"/>
      <c r="BF491" s="86"/>
      <c r="BG491" s="86"/>
      <c r="BH491" s="86"/>
      <c r="BI491" s="706"/>
      <c r="BJ491" s="2"/>
      <c r="BK491" s="705">
        <f ca="1">SUMIF($BC$7:BI$7,"&lt;="&amp;$I$7,BC491:BH491)</f>
        <v>0</v>
      </c>
      <c r="BL491" s="879"/>
      <c r="BM491" s="2"/>
      <c r="BN491" s="885"/>
      <c r="BO491" s="885"/>
      <c r="BP491" s="885"/>
      <c r="BQ491" s="879"/>
      <c r="BR491" s="2"/>
      <c r="BS491" s="885"/>
      <c r="BT491" s="885"/>
      <c r="BU491" s="885"/>
      <c r="BV491" s="885"/>
      <c r="BW491" s="1005"/>
      <c r="BX491" s="885"/>
      <c r="BY491" s="879"/>
      <c r="BZ491" s="2"/>
      <c r="CA491" s="885"/>
      <c r="CB491" s="885"/>
      <c r="CC491" s="2"/>
      <c r="CD491" s="504">
        <f>IFERROR(AVERAGEIF($V$7:AB$7,"&lt;="&amp;$I$7,V491:AB491),0)</f>
        <v>0</v>
      </c>
      <c r="CE491" s="2"/>
      <c r="CH491" s="93" t="str">
        <f t="shared" si="1003"/>
        <v>P1 - Execução de estaca EP1.06</v>
      </c>
    </row>
    <row r="492" spans="1:86" s="16" customFormat="1" ht="15.95" hidden="1" customHeight="1" outlineLevel="1">
      <c r="A492" s="74"/>
      <c r="B492" s="1039" t="s">
        <v>4075</v>
      </c>
      <c r="C492" s="1014" t="s">
        <v>1437</v>
      </c>
      <c r="D492" s="2"/>
      <c r="E492" s="1004">
        <v>0</v>
      </c>
      <c r="F492" s="2"/>
      <c r="G492" s="49" t="s">
        <v>37</v>
      </c>
      <c r="H492" s="705">
        <f t="shared" si="1044"/>
        <v>0</v>
      </c>
      <c r="I492" s="878" t="str">
        <f t="shared" ref="I492" si="1096">IFERROR((H493/H492),"-")</f>
        <v>-</v>
      </c>
      <c r="J492" s="2"/>
      <c r="K492" s="705"/>
      <c r="L492" s="705"/>
      <c r="M492" s="705"/>
      <c r="N492" s="705"/>
      <c r="O492" s="705"/>
      <c r="P492" s="705"/>
      <c r="Q492" s="705"/>
      <c r="R492" s="2"/>
      <c r="S492" s="705">
        <f t="shared" si="1093"/>
        <v>0</v>
      </c>
      <c r="T492" s="878" t="str">
        <f>IFERROR((S493/S492),"-")</f>
        <v>-</v>
      </c>
      <c r="U492" s="2"/>
      <c r="V492" s="705"/>
      <c r="W492" s="705"/>
      <c r="X492" s="705"/>
      <c r="Y492" s="705"/>
      <c r="Z492" s="705"/>
      <c r="AA492" s="705"/>
      <c r="AB492" s="705"/>
      <c r="AC492" s="2"/>
      <c r="AD492" s="705">
        <f ca="1">SUMIF($V$7:AB$7,"&lt;="&amp;$I$7,V492:AA492)</f>
        <v>0</v>
      </c>
      <c r="AE492" s="878" t="str">
        <f ca="1">IFERROR((AD493/AD492),"-")</f>
        <v>-</v>
      </c>
      <c r="AF492" s="2"/>
      <c r="AG492" s="705"/>
      <c r="AH492" s="705"/>
      <c r="AI492" s="705"/>
      <c r="AJ492" s="705"/>
      <c r="AK492" s="705"/>
      <c r="AL492" s="705"/>
      <c r="AM492" s="705"/>
      <c r="AN492" s="2"/>
      <c r="AO492" s="705">
        <f ca="1">SUMIF($AG$7:AM$7,"&lt;="&amp;$I$7,AG492:AL492)</f>
        <v>0</v>
      </c>
      <c r="AP492" s="878" t="str">
        <f ca="1">IFERROR((AO493/AO492),"-")</f>
        <v>-</v>
      </c>
      <c r="AQ492" s="2"/>
      <c r="AR492" s="705"/>
      <c r="AS492" s="705"/>
      <c r="AT492" s="705"/>
      <c r="AU492" s="705"/>
      <c r="AV492" s="705"/>
      <c r="AW492" s="705"/>
      <c r="AX492" s="705"/>
      <c r="AY492" s="2"/>
      <c r="AZ492" s="705">
        <f t="shared" si="1094"/>
        <v>0</v>
      </c>
      <c r="BA492" s="878" t="str">
        <f>IFERROR((AZ493/AZ492),"-")</f>
        <v>-</v>
      </c>
      <c r="BB492" s="2"/>
      <c r="BC492" s="705"/>
      <c r="BD492" s="705"/>
      <c r="BE492" s="705"/>
      <c r="BF492" s="705"/>
      <c r="BG492" s="705"/>
      <c r="BH492" s="705"/>
      <c r="BI492" s="705"/>
      <c r="BJ492" s="2"/>
      <c r="BK492" s="705">
        <f ca="1">SUMIF($BC$7:BI$7,"&lt;="&amp;$I$7,BC492:BH492)</f>
        <v>0</v>
      </c>
      <c r="BL492" s="878" t="str">
        <f ca="1">IFERROR((BK493/BK492),"-")</f>
        <v>-</v>
      </c>
      <c r="BM492" s="2"/>
      <c r="BN492" s="884">
        <v>0</v>
      </c>
      <c r="BO492" s="884">
        <v>0</v>
      </c>
      <c r="BP492" s="884">
        <f>SUM(M493:P493,V493:AB493,AG493:AM493,AR493:AX493)</f>
        <v>0</v>
      </c>
      <c r="BQ492" s="878" t="str">
        <f t="shared" ref="BQ492" si="1097">IFERROR((BP492/BO492),"-")</f>
        <v>-</v>
      </c>
      <c r="BR492" s="2"/>
      <c r="BS492" s="884"/>
      <c r="BT492" s="884"/>
      <c r="BU492" s="884">
        <v>0</v>
      </c>
      <c r="BV492" s="1016" t="e">
        <v>#N/A</v>
      </c>
      <c r="BW492" s="1004" t="str">
        <f>IFERROR((BU492/BV492),"-")</f>
        <v>-</v>
      </c>
      <c r="BX492" s="884">
        <v>0</v>
      </c>
      <c r="BY492" s="878" t="str">
        <f>IFERROR((BU492/BX492),"-")</f>
        <v>-</v>
      </c>
      <c r="BZ492" s="2"/>
      <c r="CA492" s="884">
        <v>0</v>
      </c>
      <c r="CB492" s="884">
        <v>0</v>
      </c>
      <c r="CC492" s="2"/>
      <c r="CD492" s="504">
        <f>IFERROR(AVERAGEIF($V$7:AB$7,"&lt;="&amp;$I$7,V492:AB492),0)</f>
        <v>0</v>
      </c>
      <c r="CE492" s="2"/>
      <c r="CH492" s="93" t="str">
        <f t="shared" si="1003"/>
        <v>P1 - Execução de estaca EP1.10</v>
      </c>
    </row>
    <row r="493" spans="1:86" s="16" customFormat="1" ht="20.45" hidden="1" customHeight="1" outlineLevel="1">
      <c r="A493" s="74"/>
      <c r="B493" s="1040"/>
      <c r="C493" s="1034"/>
      <c r="D493" s="2"/>
      <c r="E493" s="1005"/>
      <c r="F493" s="2"/>
      <c r="G493" s="50" t="s">
        <v>38</v>
      </c>
      <c r="H493" s="705">
        <f t="shared" si="1044"/>
        <v>0</v>
      </c>
      <c r="I493" s="879"/>
      <c r="J493" s="2"/>
      <c r="K493" s="86"/>
      <c r="L493" s="86"/>
      <c r="M493" s="86"/>
      <c r="N493" s="86"/>
      <c r="O493" s="86"/>
      <c r="P493" s="86"/>
      <c r="Q493" s="706"/>
      <c r="R493" s="2"/>
      <c r="S493" s="705">
        <f t="shared" si="1093"/>
        <v>0</v>
      </c>
      <c r="T493" s="879"/>
      <c r="U493" s="2"/>
      <c r="V493" s="86"/>
      <c r="W493" s="86"/>
      <c r="X493" s="86"/>
      <c r="Y493" s="86"/>
      <c r="Z493" s="86"/>
      <c r="AA493" s="86"/>
      <c r="AB493" s="706"/>
      <c r="AC493" s="2"/>
      <c r="AD493" s="705">
        <f ca="1">SUMIF($V$7:AB$7,"&lt;="&amp;$I$7,V493:AA493)</f>
        <v>0</v>
      </c>
      <c r="AE493" s="879"/>
      <c r="AF493" s="2"/>
      <c r="AG493" s="86"/>
      <c r="AH493" s="86"/>
      <c r="AI493" s="86"/>
      <c r="AJ493" s="86"/>
      <c r="AK493" s="86"/>
      <c r="AL493" s="86"/>
      <c r="AM493" s="706"/>
      <c r="AN493" s="2"/>
      <c r="AO493" s="705">
        <f ca="1">SUMIF($AG$7:AM$7,"&lt;="&amp;$I$7,AG493:AL493)</f>
        <v>0</v>
      </c>
      <c r="AP493" s="879"/>
      <c r="AQ493" s="2"/>
      <c r="AR493" s="86"/>
      <c r="AS493" s="86"/>
      <c r="AT493" s="86"/>
      <c r="AU493" s="86"/>
      <c r="AV493" s="86"/>
      <c r="AW493" s="86"/>
      <c r="AX493" s="706"/>
      <c r="AY493" s="2"/>
      <c r="AZ493" s="705">
        <f t="shared" si="1094"/>
        <v>0</v>
      </c>
      <c r="BA493" s="879"/>
      <c r="BB493" s="2"/>
      <c r="BC493" s="86"/>
      <c r="BD493" s="86"/>
      <c r="BE493" s="86"/>
      <c r="BF493" s="86"/>
      <c r="BG493" s="86"/>
      <c r="BH493" s="86"/>
      <c r="BI493" s="706"/>
      <c r="BJ493" s="2"/>
      <c r="BK493" s="705">
        <f ca="1">SUMIF($BC$7:BI$7,"&lt;="&amp;$I$7,BC493:BH493)</f>
        <v>0</v>
      </c>
      <c r="BL493" s="879"/>
      <c r="BM493" s="2"/>
      <c r="BN493" s="885"/>
      <c r="BO493" s="885"/>
      <c r="BP493" s="885"/>
      <c r="BQ493" s="879"/>
      <c r="BR493" s="2"/>
      <c r="BS493" s="885"/>
      <c r="BT493" s="885"/>
      <c r="BU493" s="885"/>
      <c r="BV493" s="1017"/>
      <c r="BW493" s="1005"/>
      <c r="BX493" s="885"/>
      <c r="BY493" s="879"/>
      <c r="BZ493" s="2"/>
      <c r="CA493" s="885"/>
      <c r="CB493" s="885"/>
      <c r="CC493" s="2"/>
      <c r="CD493" s="504">
        <f>IFERROR(AVERAGEIF($V$7:AB$7,"&lt;="&amp;$I$7,V493:AB493),0)</f>
        <v>0</v>
      </c>
      <c r="CE493" s="2"/>
      <c r="CH493" s="93" t="str">
        <f t="shared" si="1003"/>
        <v>P1 - Execução de estaca EP1.10</v>
      </c>
    </row>
    <row r="494" spans="1:86" s="16" customFormat="1" ht="15.95" hidden="1" customHeight="1" outlineLevel="1">
      <c r="A494" s="74"/>
      <c r="B494" s="1039" t="s">
        <v>4076</v>
      </c>
      <c r="C494" s="1014" t="s">
        <v>1437</v>
      </c>
      <c r="D494" s="2"/>
      <c r="E494" s="1004">
        <v>0</v>
      </c>
      <c r="F494" s="2"/>
      <c r="G494" s="49" t="s">
        <v>37</v>
      </c>
      <c r="H494" s="705">
        <f t="shared" si="1044"/>
        <v>0</v>
      </c>
      <c r="I494" s="878" t="str">
        <f t="shared" ref="I494" si="1098">IFERROR((H495/H494),"-")</f>
        <v>-</v>
      </c>
      <c r="J494" s="2"/>
      <c r="K494" s="705"/>
      <c r="L494" s="705"/>
      <c r="M494" s="705"/>
      <c r="N494" s="705"/>
      <c r="O494" s="705"/>
      <c r="P494" s="705"/>
      <c r="Q494" s="705"/>
      <c r="R494" s="2"/>
      <c r="S494" s="705">
        <f t="shared" si="1093"/>
        <v>0</v>
      </c>
      <c r="T494" s="878" t="str">
        <f>IFERROR((S495/S494),"-")</f>
        <v>-</v>
      </c>
      <c r="U494" s="2"/>
      <c r="V494" s="705"/>
      <c r="W494" s="705"/>
      <c r="X494" s="705"/>
      <c r="Y494" s="705"/>
      <c r="Z494" s="705"/>
      <c r="AA494" s="705"/>
      <c r="AB494" s="705"/>
      <c r="AC494" s="2"/>
      <c r="AD494" s="705">
        <f ca="1">SUMIF($V$7:AB$7,"&lt;="&amp;$I$7,V494:AA494)</f>
        <v>0</v>
      </c>
      <c r="AE494" s="878" t="str">
        <f ca="1">IFERROR((AD495/AD494),"-")</f>
        <v>-</v>
      </c>
      <c r="AF494" s="2"/>
      <c r="AG494" s="705"/>
      <c r="AH494" s="705"/>
      <c r="AI494" s="705"/>
      <c r="AJ494" s="705"/>
      <c r="AK494" s="705"/>
      <c r="AL494" s="705"/>
      <c r="AM494" s="705"/>
      <c r="AN494" s="2"/>
      <c r="AO494" s="705">
        <f ca="1">SUMIF($AG$7:AM$7,"&lt;="&amp;$I$7,AG494:AL494)</f>
        <v>0</v>
      </c>
      <c r="AP494" s="878" t="str">
        <f ca="1">IFERROR((AO495/AO494),"-")</f>
        <v>-</v>
      </c>
      <c r="AQ494" s="2"/>
      <c r="AR494" s="705"/>
      <c r="AS494" s="705"/>
      <c r="AT494" s="705"/>
      <c r="AU494" s="705"/>
      <c r="AV494" s="705"/>
      <c r="AW494" s="705"/>
      <c r="AX494" s="705"/>
      <c r="AY494" s="2"/>
      <c r="AZ494" s="705">
        <f t="shared" si="1094"/>
        <v>0</v>
      </c>
      <c r="BA494" s="878" t="str">
        <f>IFERROR((AZ495/AZ494),"-")</f>
        <v>-</v>
      </c>
      <c r="BB494" s="2"/>
      <c r="BC494" s="705"/>
      <c r="BD494" s="705"/>
      <c r="BE494" s="705"/>
      <c r="BF494" s="705"/>
      <c r="BG494" s="705"/>
      <c r="BH494" s="705"/>
      <c r="BI494" s="705"/>
      <c r="BJ494" s="2"/>
      <c r="BK494" s="705">
        <f ca="1">SUMIF($BC$7:BI$7,"&lt;="&amp;$I$7,BC494:BH494)</f>
        <v>0</v>
      </c>
      <c r="BL494" s="878" t="str">
        <f ca="1">IFERROR((BK495/BK494),"-")</f>
        <v>-</v>
      </c>
      <c r="BM494" s="2"/>
      <c r="BN494" s="884">
        <v>0</v>
      </c>
      <c r="BO494" s="884">
        <v>0</v>
      </c>
      <c r="BP494" s="884">
        <f>SUM(M495:P495,V495:AB495,AG495:AM495,AR495:AX495)</f>
        <v>0</v>
      </c>
      <c r="BQ494" s="878" t="str">
        <f t="shared" ref="BQ494" si="1099">IFERROR((BP494/BO494),"-")</f>
        <v>-</v>
      </c>
      <c r="BR494" s="2"/>
      <c r="BS494" s="884"/>
      <c r="BT494" s="884"/>
      <c r="BU494" s="884">
        <v>0</v>
      </c>
      <c r="BV494" s="1016" t="e">
        <v>#N/A</v>
      </c>
      <c r="BW494" s="1004" t="str">
        <f>IFERROR((BU494/BV494),"-")</f>
        <v>-</v>
      </c>
      <c r="BX494" s="884">
        <v>0</v>
      </c>
      <c r="BY494" s="878" t="str">
        <f>IFERROR((BU494/BX494),"-")</f>
        <v>-</v>
      </c>
      <c r="BZ494" s="2"/>
      <c r="CA494" s="884">
        <v>0</v>
      </c>
      <c r="CB494" s="884">
        <v>0</v>
      </c>
      <c r="CC494" s="2"/>
      <c r="CD494" s="504">
        <f>IFERROR(AVERAGEIF($V$7:AB$7,"&lt;="&amp;$I$7,V494:AB494),0)</f>
        <v>0</v>
      </c>
      <c r="CE494" s="2"/>
      <c r="CH494" s="93" t="str">
        <f t="shared" ref="CH494:CH557" si="1100">IF(B494&lt;&gt;"",B494,CH493)</f>
        <v>P1 - Execução de estaca EP1.22</v>
      </c>
    </row>
    <row r="495" spans="1:86" s="16" customFormat="1" ht="20.45" hidden="1" customHeight="1" outlineLevel="1">
      <c r="A495" s="74"/>
      <c r="B495" s="1040"/>
      <c r="C495" s="1034"/>
      <c r="D495" s="2"/>
      <c r="E495" s="1005"/>
      <c r="F495" s="2"/>
      <c r="G495" s="50" t="s">
        <v>38</v>
      </c>
      <c r="H495" s="705">
        <f t="shared" si="1044"/>
        <v>0</v>
      </c>
      <c r="I495" s="879"/>
      <c r="J495" s="2"/>
      <c r="K495" s="86"/>
      <c r="L495" s="86"/>
      <c r="M495" s="86"/>
      <c r="N495" s="255"/>
      <c r="O495" s="86"/>
      <c r="P495" s="86"/>
      <c r="Q495" s="706"/>
      <c r="R495" s="2"/>
      <c r="S495" s="705">
        <f t="shared" si="1093"/>
        <v>0</v>
      </c>
      <c r="T495" s="879"/>
      <c r="U495" s="2"/>
      <c r="V495" s="86"/>
      <c r="W495" s="86"/>
      <c r="X495" s="86"/>
      <c r="Y495" s="86"/>
      <c r="Z495" s="86"/>
      <c r="AA495" s="86"/>
      <c r="AB495" s="706"/>
      <c r="AC495" s="2"/>
      <c r="AD495" s="705">
        <f ca="1">SUMIF($V$7:AB$7,"&lt;="&amp;$I$7,V495:AA495)</f>
        <v>0</v>
      </c>
      <c r="AE495" s="879"/>
      <c r="AF495" s="2"/>
      <c r="AG495" s="86"/>
      <c r="AH495" s="86"/>
      <c r="AI495" s="86"/>
      <c r="AJ495" s="86"/>
      <c r="AK495" s="86"/>
      <c r="AL495" s="86"/>
      <c r="AM495" s="706"/>
      <c r="AN495" s="2"/>
      <c r="AO495" s="705">
        <f ca="1">SUMIF($AG$7:AM$7,"&lt;="&amp;$I$7,AG495:AL495)</f>
        <v>0</v>
      </c>
      <c r="AP495" s="879"/>
      <c r="AQ495" s="2"/>
      <c r="AR495" s="86"/>
      <c r="AS495" s="86"/>
      <c r="AT495" s="86"/>
      <c r="AU495" s="86"/>
      <c r="AV495" s="86"/>
      <c r="AW495" s="86"/>
      <c r="AX495" s="706"/>
      <c r="AY495" s="2"/>
      <c r="AZ495" s="705">
        <f t="shared" si="1094"/>
        <v>0</v>
      </c>
      <c r="BA495" s="879"/>
      <c r="BB495" s="2"/>
      <c r="BC495" s="86"/>
      <c r="BD495" s="86"/>
      <c r="BE495" s="86"/>
      <c r="BF495" s="86"/>
      <c r="BG495" s="86"/>
      <c r="BH495" s="86"/>
      <c r="BI495" s="706"/>
      <c r="BJ495" s="2"/>
      <c r="BK495" s="705">
        <f ca="1">SUMIF($BC$7:BI$7,"&lt;="&amp;$I$7,BC495:BH495)</f>
        <v>0</v>
      </c>
      <c r="BL495" s="879"/>
      <c r="BM495" s="2"/>
      <c r="BN495" s="885"/>
      <c r="BO495" s="885"/>
      <c r="BP495" s="885"/>
      <c r="BQ495" s="879"/>
      <c r="BR495" s="2"/>
      <c r="BS495" s="885"/>
      <c r="BT495" s="885"/>
      <c r="BU495" s="885"/>
      <c r="BV495" s="1017"/>
      <c r="BW495" s="1005"/>
      <c r="BX495" s="885"/>
      <c r="BY495" s="879"/>
      <c r="BZ495" s="2"/>
      <c r="CA495" s="885"/>
      <c r="CB495" s="885"/>
      <c r="CC495" s="2"/>
      <c r="CD495" s="504">
        <f>IFERROR(AVERAGEIF($V$7:AB$7,"&lt;="&amp;$I$7,V495:AB495),0)</f>
        <v>0</v>
      </c>
      <c r="CE495" s="2"/>
      <c r="CH495" s="93" t="str">
        <f t="shared" si="1100"/>
        <v>P1 - Execução de estaca EP1.22</v>
      </c>
    </row>
    <row r="496" spans="1:86" s="16" customFormat="1" ht="15.95" hidden="1" customHeight="1" outlineLevel="1">
      <c r="A496" s="74"/>
      <c r="B496" s="1035"/>
      <c r="C496" s="1014" t="s">
        <v>1437</v>
      </c>
      <c r="D496" s="2"/>
      <c r="E496" s="1004">
        <v>0</v>
      </c>
      <c r="F496" s="2"/>
      <c r="G496" s="49" t="s">
        <v>37</v>
      </c>
      <c r="H496" s="705">
        <f t="shared" si="1044"/>
        <v>0</v>
      </c>
      <c r="I496" s="878" t="str">
        <f t="shared" ref="I496" si="1101">IFERROR((H497/H496),"-")</f>
        <v>-</v>
      </c>
      <c r="J496" s="2"/>
      <c r="K496" s="705"/>
      <c r="L496" s="705"/>
      <c r="M496" s="705"/>
      <c r="N496" s="705"/>
      <c r="O496" s="705"/>
      <c r="P496" s="705"/>
      <c r="Q496" s="705"/>
      <c r="R496" s="2"/>
      <c r="S496" s="705">
        <f t="shared" si="1093"/>
        <v>0</v>
      </c>
      <c r="T496" s="878" t="str">
        <f>IFERROR((S497/S496),"-")</f>
        <v>-</v>
      </c>
      <c r="U496" s="2"/>
      <c r="V496" s="705"/>
      <c r="W496" s="705"/>
      <c r="X496" s="705"/>
      <c r="Y496" s="705"/>
      <c r="Z496" s="705"/>
      <c r="AA496" s="705"/>
      <c r="AB496" s="705"/>
      <c r="AC496" s="2"/>
      <c r="AD496" s="705">
        <f ca="1">SUMIF($V$7:AB$7,"&lt;="&amp;$I$7,V496:AA496)</f>
        <v>0</v>
      </c>
      <c r="AE496" s="878" t="str">
        <f ca="1">IFERROR((AD497/AD496),"-")</f>
        <v>-</v>
      </c>
      <c r="AF496" s="2"/>
      <c r="AG496" s="705"/>
      <c r="AH496" s="705"/>
      <c r="AI496" s="705"/>
      <c r="AJ496" s="705"/>
      <c r="AK496" s="705"/>
      <c r="AL496" s="705"/>
      <c r="AM496" s="705"/>
      <c r="AN496" s="2"/>
      <c r="AO496" s="705">
        <f ca="1">SUMIF($AG$7:AM$7,"&lt;="&amp;$I$7,AG496:AL496)</f>
        <v>0</v>
      </c>
      <c r="AP496" s="878" t="str">
        <f ca="1">IFERROR((AO497/AO496),"-")</f>
        <v>-</v>
      </c>
      <c r="AQ496" s="2"/>
      <c r="AR496" s="705"/>
      <c r="AS496" s="705"/>
      <c r="AT496" s="705"/>
      <c r="AU496" s="705"/>
      <c r="AV496" s="705"/>
      <c r="AW496" s="705"/>
      <c r="AX496" s="705"/>
      <c r="AY496" s="2"/>
      <c r="AZ496" s="705">
        <f t="shared" si="1094"/>
        <v>0</v>
      </c>
      <c r="BA496" s="878" t="str">
        <f>IFERROR((AZ497/AZ496),"-")</f>
        <v>-</v>
      </c>
      <c r="BB496" s="2"/>
      <c r="BC496" s="705"/>
      <c r="BD496" s="705"/>
      <c r="BE496" s="705"/>
      <c r="BF496" s="705"/>
      <c r="BG496" s="705"/>
      <c r="BH496" s="705"/>
      <c r="BI496" s="705"/>
      <c r="BJ496" s="2"/>
      <c r="BK496" s="705">
        <f ca="1">SUMIF($BC$7:BI$7,"&lt;="&amp;$I$7,BC496:BH496)</f>
        <v>0</v>
      </c>
      <c r="BL496" s="878" t="str">
        <f ca="1">IFERROR((BK497/BK496),"-")</f>
        <v>-</v>
      </c>
      <c r="BM496" s="2"/>
      <c r="BN496" s="884">
        <v>0</v>
      </c>
      <c r="BO496" s="884">
        <v>0</v>
      </c>
      <c r="BP496" s="884">
        <f>SUM(M497:P497,V497:AB497,AG497:AM497,AR497:AX497)</f>
        <v>0</v>
      </c>
      <c r="BQ496" s="878" t="str">
        <f t="shared" ref="BQ496" si="1102">IFERROR((BP496/BO496),"-")</f>
        <v>-</v>
      </c>
      <c r="BR496" s="2"/>
      <c r="BS496" s="884"/>
      <c r="BT496" s="884"/>
      <c r="BU496" s="884">
        <v>0</v>
      </c>
      <c r="BV496" s="1016" t="e">
        <v>#N/A</v>
      </c>
      <c r="BW496" s="1004" t="str">
        <f>IFERROR((BU496/BV496),"-")</f>
        <v>-</v>
      </c>
      <c r="BX496" s="884">
        <v>0</v>
      </c>
      <c r="BY496" s="878" t="str">
        <f>IFERROR((BU496/BX496),"-")</f>
        <v>-</v>
      </c>
      <c r="BZ496" s="2"/>
      <c r="CA496" s="884">
        <v>0</v>
      </c>
      <c r="CB496" s="884">
        <v>0</v>
      </c>
      <c r="CC496" s="2"/>
      <c r="CD496" s="504">
        <f>IFERROR(AVERAGEIF($V$7:AB$7,"&lt;="&amp;$I$7,V496:AB496),0)</f>
        <v>0</v>
      </c>
      <c r="CE496" s="2"/>
      <c r="CH496" s="93" t="str">
        <f t="shared" si="1100"/>
        <v>P1 - Execução de estaca EP1.22</v>
      </c>
    </row>
    <row r="497" spans="1:86" s="16" customFormat="1" ht="20.45" hidden="1" customHeight="1" outlineLevel="1">
      <c r="A497" s="74"/>
      <c r="B497" s="1036"/>
      <c r="C497" s="1034"/>
      <c r="D497" s="2"/>
      <c r="E497" s="1005"/>
      <c r="F497" s="2"/>
      <c r="G497" s="50" t="s">
        <v>38</v>
      </c>
      <c r="H497" s="705">
        <f t="shared" si="1044"/>
        <v>0</v>
      </c>
      <c r="I497" s="879"/>
      <c r="J497" s="2"/>
      <c r="K497" s="86"/>
      <c r="L497" s="86"/>
      <c r="M497" s="86"/>
      <c r="N497" s="86"/>
      <c r="O497" s="86"/>
      <c r="P497" s="86"/>
      <c r="Q497" s="706"/>
      <c r="R497" s="2"/>
      <c r="S497" s="705">
        <f t="shared" si="1093"/>
        <v>0</v>
      </c>
      <c r="T497" s="879"/>
      <c r="U497" s="2"/>
      <c r="V497" s="86"/>
      <c r="W497" s="86"/>
      <c r="X497" s="86"/>
      <c r="Y497" s="86"/>
      <c r="Z497" s="86"/>
      <c r="AA497" s="86"/>
      <c r="AB497" s="706"/>
      <c r="AC497" s="2"/>
      <c r="AD497" s="705">
        <f ca="1">SUMIF($V$7:AB$7,"&lt;="&amp;$I$7,V497:AA497)</f>
        <v>0</v>
      </c>
      <c r="AE497" s="879"/>
      <c r="AF497" s="2"/>
      <c r="AG497" s="86"/>
      <c r="AH497" s="86"/>
      <c r="AI497" s="86"/>
      <c r="AJ497" s="86"/>
      <c r="AK497" s="86"/>
      <c r="AL497" s="86"/>
      <c r="AM497" s="706"/>
      <c r="AN497" s="2"/>
      <c r="AO497" s="705">
        <f ca="1">SUMIF($AG$7:AM$7,"&lt;="&amp;$I$7,AG497:AL497)</f>
        <v>0</v>
      </c>
      <c r="AP497" s="879"/>
      <c r="AQ497" s="2"/>
      <c r="AR497" s="86"/>
      <c r="AS497" s="86"/>
      <c r="AT497" s="86"/>
      <c r="AU497" s="86"/>
      <c r="AV497" s="86"/>
      <c r="AW497" s="86"/>
      <c r="AX497" s="706"/>
      <c r="AY497" s="2"/>
      <c r="AZ497" s="705">
        <f t="shared" si="1094"/>
        <v>0</v>
      </c>
      <c r="BA497" s="879"/>
      <c r="BB497" s="2"/>
      <c r="BC497" s="86"/>
      <c r="BD497" s="86"/>
      <c r="BE497" s="86"/>
      <c r="BF497" s="86"/>
      <c r="BG497" s="86"/>
      <c r="BH497" s="86"/>
      <c r="BI497" s="706"/>
      <c r="BJ497" s="2"/>
      <c r="BK497" s="705">
        <f ca="1">SUMIF($BC$7:BI$7,"&lt;="&amp;$I$7,BC497:BH497)</f>
        <v>0</v>
      </c>
      <c r="BL497" s="879"/>
      <c r="BM497" s="2"/>
      <c r="BN497" s="885"/>
      <c r="BO497" s="885"/>
      <c r="BP497" s="885"/>
      <c r="BQ497" s="879"/>
      <c r="BR497" s="2"/>
      <c r="BS497" s="885"/>
      <c r="BT497" s="885"/>
      <c r="BU497" s="885"/>
      <c r="BV497" s="1017"/>
      <c r="BW497" s="1005"/>
      <c r="BX497" s="885"/>
      <c r="BY497" s="879"/>
      <c r="BZ497" s="2"/>
      <c r="CA497" s="885"/>
      <c r="CB497" s="885"/>
      <c r="CC497" s="2"/>
      <c r="CD497" s="504">
        <f>IFERROR(AVERAGEIF($V$7:AB$7,"&lt;="&amp;$I$7,V497:AB497),0)</f>
        <v>0</v>
      </c>
      <c r="CE497" s="2"/>
      <c r="CH497" s="93" t="str">
        <f t="shared" si="1100"/>
        <v>P1 - Execução de estaca EP1.22</v>
      </c>
    </row>
    <row r="498" spans="1:86" s="16" customFormat="1" ht="15.95" hidden="1" customHeight="1" outlineLevel="1">
      <c r="A498" s="74"/>
      <c r="B498" s="1035"/>
      <c r="C498" s="1014" t="s">
        <v>1437</v>
      </c>
      <c r="D498" s="2"/>
      <c r="E498" s="1004">
        <v>0</v>
      </c>
      <c r="F498" s="2"/>
      <c r="G498" s="49" t="s">
        <v>37</v>
      </c>
      <c r="H498" s="705">
        <f t="shared" si="1044"/>
        <v>0</v>
      </c>
      <c r="I498" s="878" t="str">
        <f t="shared" ref="I498" si="1103">IFERROR((H499/H498),"-")</f>
        <v>-</v>
      </c>
      <c r="J498" s="2"/>
      <c r="K498" s="705"/>
      <c r="L498" s="705"/>
      <c r="M498" s="705"/>
      <c r="N498" s="705"/>
      <c r="O498" s="705"/>
      <c r="P498" s="705"/>
      <c r="Q498" s="705"/>
      <c r="R498" s="2"/>
      <c r="S498" s="705">
        <f t="shared" si="1093"/>
        <v>0</v>
      </c>
      <c r="T498" s="878" t="str">
        <f>IFERROR((S499/S498),"-")</f>
        <v>-</v>
      </c>
      <c r="U498" s="2"/>
      <c r="V498" s="705"/>
      <c r="W498" s="705"/>
      <c r="X498" s="705"/>
      <c r="Y498" s="705"/>
      <c r="Z498" s="705"/>
      <c r="AA498" s="705"/>
      <c r="AB498" s="705"/>
      <c r="AC498" s="2"/>
      <c r="AD498" s="705">
        <f ca="1">SUMIF($V$7:AB$7,"&lt;="&amp;$I$7,V498:AA498)</f>
        <v>0</v>
      </c>
      <c r="AE498" s="878" t="str">
        <f ca="1">IFERROR((AD499/AD498),"-")</f>
        <v>-</v>
      </c>
      <c r="AF498" s="2"/>
      <c r="AG498" s="705"/>
      <c r="AH498" s="705"/>
      <c r="AI498" s="705"/>
      <c r="AJ498" s="705"/>
      <c r="AK498" s="705"/>
      <c r="AL498" s="705"/>
      <c r="AM498" s="705"/>
      <c r="AN498" s="2"/>
      <c r="AO498" s="705">
        <f ca="1">SUMIF($AG$7:AM$7,"&lt;="&amp;$I$7,AG498:AL498)</f>
        <v>0</v>
      </c>
      <c r="AP498" s="878" t="str">
        <f ca="1">IFERROR((AO499/AO498),"-")</f>
        <v>-</v>
      </c>
      <c r="AQ498" s="2"/>
      <c r="AR498" s="705"/>
      <c r="AS498" s="705"/>
      <c r="AT498" s="705"/>
      <c r="AU498" s="705"/>
      <c r="AV498" s="705"/>
      <c r="AW498" s="705"/>
      <c r="AX498" s="705"/>
      <c r="AY498" s="2"/>
      <c r="AZ498" s="705">
        <f t="shared" si="1094"/>
        <v>0</v>
      </c>
      <c r="BA498" s="878" t="str">
        <f>IFERROR((AZ499/AZ498),"-")</f>
        <v>-</v>
      </c>
      <c r="BB498" s="2"/>
      <c r="BC498" s="705"/>
      <c r="BD498" s="705"/>
      <c r="BE498" s="705"/>
      <c r="BF498" s="705"/>
      <c r="BG498" s="705"/>
      <c r="BH498" s="705"/>
      <c r="BI498" s="705"/>
      <c r="BJ498" s="2"/>
      <c r="BK498" s="705">
        <f ca="1">SUMIF($BC$7:BI$7,"&lt;="&amp;$I$7,BC498:BH498)</f>
        <v>0</v>
      </c>
      <c r="BL498" s="878" t="str">
        <f ca="1">IFERROR((BK499/BK498),"-")</f>
        <v>-</v>
      </c>
      <c r="BM498" s="2"/>
      <c r="BN498" s="884">
        <v>0</v>
      </c>
      <c r="BO498" s="884">
        <v>0</v>
      </c>
      <c r="BP498" s="884">
        <f>SUM(M499:P499,V499:AB499,AG499:AM499,AR499:AX499)</f>
        <v>0</v>
      </c>
      <c r="BQ498" s="878" t="str">
        <f t="shared" ref="BQ498" si="1104">IFERROR((BP498/BO498),"-")</f>
        <v>-</v>
      </c>
      <c r="BR498" s="2"/>
      <c r="BS498" s="884"/>
      <c r="BT498" s="884"/>
      <c r="BU498" s="884">
        <v>0</v>
      </c>
      <c r="BV498" s="1016" t="e">
        <v>#N/A</v>
      </c>
      <c r="BW498" s="1004" t="str">
        <f>IFERROR((BU498/BV498),"-")</f>
        <v>-</v>
      </c>
      <c r="BX498" s="884">
        <v>0</v>
      </c>
      <c r="BY498" s="878" t="str">
        <f>IFERROR((BU498/BX498),"-")</f>
        <v>-</v>
      </c>
      <c r="BZ498" s="2"/>
      <c r="CA498" s="884">
        <v>0</v>
      </c>
      <c r="CB498" s="884">
        <v>0</v>
      </c>
      <c r="CC498" s="2"/>
      <c r="CD498" s="504">
        <f>IFERROR(AVERAGEIF($V$7:AB$7,"&lt;="&amp;$I$7,V498:AB498),0)</f>
        <v>0</v>
      </c>
      <c r="CE498" s="2"/>
      <c r="CH498" s="93" t="str">
        <f t="shared" si="1100"/>
        <v>P1 - Execução de estaca EP1.22</v>
      </c>
    </row>
    <row r="499" spans="1:86" s="16" customFormat="1" ht="20.45" hidden="1" customHeight="1" outlineLevel="1">
      <c r="A499" s="74"/>
      <c r="B499" s="1036"/>
      <c r="C499" s="1034"/>
      <c r="D499" s="2"/>
      <c r="E499" s="1005"/>
      <c r="F499" s="2"/>
      <c r="G499" s="50" t="s">
        <v>38</v>
      </c>
      <c r="H499" s="705">
        <f t="shared" si="1044"/>
        <v>0</v>
      </c>
      <c r="I499" s="879"/>
      <c r="J499" s="2"/>
      <c r="K499" s="86"/>
      <c r="L499" s="86"/>
      <c r="M499" s="86"/>
      <c r="N499" s="86"/>
      <c r="O499" s="86"/>
      <c r="P499" s="86"/>
      <c r="Q499" s="706"/>
      <c r="R499" s="2"/>
      <c r="S499" s="705">
        <f t="shared" si="1093"/>
        <v>0</v>
      </c>
      <c r="T499" s="879"/>
      <c r="U499" s="2"/>
      <c r="V499" s="86"/>
      <c r="W499" s="86"/>
      <c r="X499" s="86"/>
      <c r="Y499" s="86"/>
      <c r="Z499" s="86"/>
      <c r="AA499" s="86"/>
      <c r="AB499" s="706"/>
      <c r="AC499" s="2"/>
      <c r="AD499" s="705">
        <f ca="1">SUMIF($V$7:AB$7,"&lt;="&amp;$I$7,V499:AA499)</f>
        <v>0</v>
      </c>
      <c r="AE499" s="879"/>
      <c r="AF499" s="2"/>
      <c r="AG499" s="86"/>
      <c r="AH499" s="86"/>
      <c r="AI499" s="86"/>
      <c r="AJ499" s="86"/>
      <c r="AK499" s="86"/>
      <c r="AL499" s="86"/>
      <c r="AM499" s="706"/>
      <c r="AN499" s="2"/>
      <c r="AO499" s="705">
        <f ca="1">SUMIF($AG$7:AM$7,"&lt;="&amp;$I$7,AG499:AL499)</f>
        <v>0</v>
      </c>
      <c r="AP499" s="879"/>
      <c r="AQ499" s="2"/>
      <c r="AR499" s="86"/>
      <c r="AS499" s="86"/>
      <c r="AT499" s="86"/>
      <c r="AU499" s="86"/>
      <c r="AV499" s="86"/>
      <c r="AW499" s="86"/>
      <c r="AX499" s="706"/>
      <c r="AY499" s="2"/>
      <c r="AZ499" s="705">
        <f t="shared" si="1094"/>
        <v>0</v>
      </c>
      <c r="BA499" s="879"/>
      <c r="BB499" s="2"/>
      <c r="BC499" s="86"/>
      <c r="BD499" s="86"/>
      <c r="BE499" s="86"/>
      <c r="BF499" s="86"/>
      <c r="BG499" s="86"/>
      <c r="BH499" s="86"/>
      <c r="BI499" s="706"/>
      <c r="BJ499" s="2"/>
      <c r="BK499" s="705">
        <f ca="1">SUMIF($BC$7:BI$7,"&lt;="&amp;$I$7,BC499:BH499)</f>
        <v>0</v>
      </c>
      <c r="BL499" s="879"/>
      <c r="BM499" s="2"/>
      <c r="BN499" s="885"/>
      <c r="BO499" s="885"/>
      <c r="BP499" s="885"/>
      <c r="BQ499" s="879"/>
      <c r="BR499" s="2"/>
      <c r="BS499" s="885"/>
      <c r="BT499" s="885"/>
      <c r="BU499" s="885"/>
      <c r="BV499" s="1017"/>
      <c r="BW499" s="1005"/>
      <c r="BX499" s="885"/>
      <c r="BY499" s="879"/>
      <c r="BZ499" s="2"/>
      <c r="CA499" s="885"/>
      <c r="CB499" s="885"/>
      <c r="CC499" s="2"/>
      <c r="CD499" s="504">
        <f>IFERROR(AVERAGEIF($V$7:AB$7,"&lt;="&amp;$I$7,V499:AB499),0)</f>
        <v>0</v>
      </c>
      <c r="CE499" s="2"/>
      <c r="CH499" s="93" t="str">
        <f t="shared" si="1100"/>
        <v>P1 - Execução de estaca EP1.22</v>
      </c>
    </row>
    <row r="500" spans="1:86" s="16" customFormat="1" ht="20.45" hidden="1" customHeight="1" outlineLevel="1" collapsed="1">
      <c r="A500" s="74"/>
      <c r="B500" s="1035"/>
      <c r="C500" s="1014" t="s">
        <v>1437</v>
      </c>
      <c r="D500" s="2"/>
      <c r="E500" s="1004">
        <v>0</v>
      </c>
      <c r="F500" s="2"/>
      <c r="G500" s="49" t="s">
        <v>37</v>
      </c>
      <c r="H500" s="705">
        <f t="shared" si="1044"/>
        <v>0</v>
      </c>
      <c r="I500" s="878" t="str">
        <f t="shared" ref="I500" si="1105">IFERROR((H501/H500),"-")</f>
        <v>-</v>
      </c>
      <c r="J500" s="2"/>
      <c r="K500" s="705"/>
      <c r="L500" s="705"/>
      <c r="M500" s="705"/>
      <c r="N500" s="705"/>
      <c r="O500" s="705"/>
      <c r="P500" s="705"/>
      <c r="Q500" s="705"/>
      <c r="R500" s="2"/>
      <c r="S500" s="705">
        <f t="shared" si="1093"/>
        <v>0</v>
      </c>
      <c r="T500" s="878" t="str">
        <f>IFERROR((S501/S500),"-")</f>
        <v>-</v>
      </c>
      <c r="U500" s="2"/>
      <c r="V500" s="705"/>
      <c r="W500" s="705"/>
      <c r="X500" s="705"/>
      <c r="Y500" s="705"/>
      <c r="Z500" s="705"/>
      <c r="AA500" s="705"/>
      <c r="AB500" s="705"/>
      <c r="AC500" s="2"/>
      <c r="AD500" s="705">
        <f ca="1">SUMIF($V$7:AB$7,"&lt;="&amp;$I$7,V500:AA500)</f>
        <v>0</v>
      </c>
      <c r="AE500" s="878" t="str">
        <f ca="1">IFERROR((AD501/AD500),"-")</f>
        <v>-</v>
      </c>
      <c r="AF500" s="2"/>
      <c r="AG500" s="705"/>
      <c r="AH500" s="705"/>
      <c r="AI500" s="705"/>
      <c r="AJ500" s="705"/>
      <c r="AK500" s="705"/>
      <c r="AL500" s="705"/>
      <c r="AM500" s="705"/>
      <c r="AN500" s="2"/>
      <c r="AO500" s="705">
        <f ca="1">SUMIF($AG$7:AM$7,"&lt;="&amp;$I$7,AG500:AL500)</f>
        <v>0</v>
      </c>
      <c r="AP500" s="878" t="str">
        <f ca="1">IFERROR((AO501/AO500),"-")</f>
        <v>-</v>
      </c>
      <c r="AQ500" s="2"/>
      <c r="AR500" s="705"/>
      <c r="AS500" s="705"/>
      <c r="AT500" s="705"/>
      <c r="AU500" s="705"/>
      <c r="AV500" s="705"/>
      <c r="AW500" s="705"/>
      <c r="AX500" s="705"/>
      <c r="AY500" s="2"/>
      <c r="AZ500" s="705">
        <f t="shared" si="1094"/>
        <v>0</v>
      </c>
      <c r="BA500" s="878" t="str">
        <f>IFERROR((AZ501/AZ500),"-")</f>
        <v>-</v>
      </c>
      <c r="BB500" s="2"/>
      <c r="BC500" s="705"/>
      <c r="BD500" s="705"/>
      <c r="BE500" s="705"/>
      <c r="BF500" s="705"/>
      <c r="BG500" s="705"/>
      <c r="BH500" s="705"/>
      <c r="BI500" s="705"/>
      <c r="BJ500" s="2"/>
      <c r="BK500" s="705">
        <f ca="1">SUMIF($BC$7:BI$7,"&lt;="&amp;$I$7,BC500:BH500)</f>
        <v>0</v>
      </c>
      <c r="BL500" s="878" t="str">
        <f ca="1">IFERROR((BK501/BK500),"-")</f>
        <v>-</v>
      </c>
      <c r="BM500" s="2"/>
      <c r="BN500" s="884">
        <v>0</v>
      </c>
      <c r="BO500" s="884">
        <v>0</v>
      </c>
      <c r="BP500" s="884">
        <f>SUM(M501:P501,V501:AB501,AG501:AM501,AR501:AX501)</f>
        <v>0</v>
      </c>
      <c r="BQ500" s="878" t="str">
        <f t="shared" ref="BQ500" si="1106">IFERROR((BP500/BO500),"-")</f>
        <v>-</v>
      </c>
      <c r="BR500" s="2"/>
      <c r="BS500" s="884"/>
      <c r="BT500" s="884"/>
      <c r="BU500" s="884">
        <v>0</v>
      </c>
      <c r="BV500" s="1016" t="e">
        <v>#N/A</v>
      </c>
      <c r="BW500" s="1004" t="str">
        <f>IFERROR((BU500/BV500),"-")</f>
        <v>-</v>
      </c>
      <c r="BX500" s="884">
        <v>0</v>
      </c>
      <c r="BY500" s="878" t="str">
        <f>IFERROR((BU500/BX500),"-")</f>
        <v>-</v>
      </c>
      <c r="BZ500" s="2"/>
      <c r="CA500" s="884">
        <v>0</v>
      </c>
      <c r="CB500" s="884">
        <v>0</v>
      </c>
      <c r="CC500" s="2"/>
      <c r="CD500" s="84">
        <f>IFERROR(AVERAGEIF($V$7:AB$7,"&lt;="&amp;$I$7,V500:AB500),0)</f>
        <v>0</v>
      </c>
      <c r="CE500" s="2"/>
      <c r="CH500" s="93" t="str">
        <f t="shared" si="1100"/>
        <v>P1 - Execução de estaca EP1.22</v>
      </c>
    </row>
    <row r="501" spans="1:86" s="16" customFormat="1" ht="20.45" hidden="1" customHeight="1" outlineLevel="1">
      <c r="A501" s="74"/>
      <c r="B501" s="1036"/>
      <c r="C501" s="1034"/>
      <c r="D501" s="2"/>
      <c r="E501" s="1005"/>
      <c r="F501" s="2"/>
      <c r="G501" s="50" t="s">
        <v>38</v>
      </c>
      <c r="H501" s="705">
        <f t="shared" si="1044"/>
        <v>0</v>
      </c>
      <c r="I501" s="879"/>
      <c r="J501" s="2"/>
      <c r="K501" s="86"/>
      <c r="L501" s="86"/>
      <c r="M501" s="86"/>
      <c r="N501" s="86"/>
      <c r="O501" s="86"/>
      <c r="P501" s="86"/>
      <c r="Q501" s="706"/>
      <c r="R501" s="2"/>
      <c r="S501" s="705">
        <f t="shared" si="1093"/>
        <v>0</v>
      </c>
      <c r="T501" s="879"/>
      <c r="U501" s="2"/>
      <c r="V501" s="86"/>
      <c r="W501" s="86"/>
      <c r="X501" s="86"/>
      <c r="Y501" s="86"/>
      <c r="Z501" s="86"/>
      <c r="AA501" s="86"/>
      <c r="AB501" s="706"/>
      <c r="AC501" s="2"/>
      <c r="AD501" s="705">
        <f ca="1">SUMIF($V$7:AB$7,"&lt;="&amp;$I$7,V501:AA501)</f>
        <v>0</v>
      </c>
      <c r="AE501" s="879"/>
      <c r="AF501" s="2"/>
      <c r="AG501" s="86"/>
      <c r="AH501" s="86"/>
      <c r="AI501" s="86"/>
      <c r="AJ501" s="86"/>
      <c r="AK501" s="86"/>
      <c r="AL501" s="86"/>
      <c r="AM501" s="706"/>
      <c r="AN501" s="2"/>
      <c r="AO501" s="705">
        <f ca="1">SUMIF($AG$7:AM$7,"&lt;="&amp;$I$7,AG501:AL501)</f>
        <v>0</v>
      </c>
      <c r="AP501" s="879"/>
      <c r="AQ501" s="2"/>
      <c r="AR501" s="86"/>
      <c r="AS501" s="86"/>
      <c r="AT501" s="86"/>
      <c r="AU501" s="86"/>
      <c r="AV501" s="86"/>
      <c r="AW501" s="86"/>
      <c r="AX501" s="706"/>
      <c r="AY501" s="2"/>
      <c r="AZ501" s="705">
        <f t="shared" si="1094"/>
        <v>0</v>
      </c>
      <c r="BA501" s="879"/>
      <c r="BB501" s="2"/>
      <c r="BC501" s="86"/>
      <c r="BD501" s="86"/>
      <c r="BE501" s="86"/>
      <c r="BF501" s="86"/>
      <c r="BG501" s="86"/>
      <c r="BH501" s="86"/>
      <c r="BI501" s="706"/>
      <c r="BJ501" s="2"/>
      <c r="BK501" s="705">
        <f ca="1">SUMIF($BC$7:BI$7,"&lt;="&amp;$I$7,BC501:BH501)</f>
        <v>0</v>
      </c>
      <c r="BL501" s="879"/>
      <c r="BM501" s="2"/>
      <c r="BN501" s="885"/>
      <c r="BO501" s="885"/>
      <c r="BP501" s="885"/>
      <c r="BQ501" s="879"/>
      <c r="BR501" s="2"/>
      <c r="BS501" s="885"/>
      <c r="BT501" s="885"/>
      <c r="BU501" s="885"/>
      <c r="BV501" s="1017"/>
      <c r="BW501" s="1005"/>
      <c r="BX501" s="885"/>
      <c r="BY501" s="879"/>
      <c r="BZ501" s="2"/>
      <c r="CA501" s="885"/>
      <c r="CB501" s="885"/>
      <c r="CC501" s="2"/>
      <c r="CD501" s="84">
        <f>IFERROR(AVERAGEIF($V$7:AB$7,"&lt;="&amp;$I$7,V501:AB501),0)</f>
        <v>0</v>
      </c>
      <c r="CE501" s="2"/>
      <c r="CH501" s="93" t="str">
        <f t="shared" si="1100"/>
        <v>P1 - Execução de estaca EP1.22</v>
      </c>
    </row>
    <row r="502" spans="1:86" s="16" customFormat="1" ht="15.95" hidden="1" customHeight="1" outlineLevel="1">
      <c r="A502" s="73"/>
      <c r="B502" s="1045" t="s">
        <v>4077</v>
      </c>
      <c r="C502" s="740" t="s">
        <v>1437</v>
      </c>
      <c r="D502" s="2"/>
      <c r="E502" s="1019">
        <v>3</v>
      </c>
      <c r="F502" s="2"/>
      <c r="G502" s="53" t="s">
        <v>37</v>
      </c>
      <c r="H502" s="52">
        <f t="shared" si="1044"/>
        <v>1</v>
      </c>
      <c r="I502" s="743">
        <f t="shared" ref="I502" si="1107">IFERROR((H503/H502),"-")</f>
        <v>1</v>
      </c>
      <c r="J502" s="2"/>
      <c r="K502" s="52">
        <f>SUMIF($G$504:$G$529,$G$502,K504:K529)</f>
        <v>0</v>
      </c>
      <c r="L502" s="52">
        <f t="shared" ref="L502:P502" si="1108">SUMIF($G$504:$G$529,$G$502,L504:L529)</f>
        <v>1</v>
      </c>
      <c r="M502" s="52">
        <f t="shared" si="1108"/>
        <v>0</v>
      </c>
      <c r="N502" s="52">
        <f t="shared" si="1108"/>
        <v>1</v>
      </c>
      <c r="O502" s="52">
        <f t="shared" si="1108"/>
        <v>0</v>
      </c>
      <c r="P502" s="52">
        <f t="shared" si="1108"/>
        <v>1</v>
      </c>
      <c r="Q502" s="52"/>
      <c r="R502" s="2"/>
      <c r="S502" s="52">
        <f ca="1">SUMIF($K$7:Q$7,"&lt;="&amp;$I$7,K502:P502)</f>
        <v>3</v>
      </c>
      <c r="T502" s="743">
        <f ca="1">IFERROR((S503/S502),"-")</f>
        <v>0.33333333333333331</v>
      </c>
      <c r="U502" s="2"/>
      <c r="V502" s="52">
        <f t="shared" ref="V502:AA502" si="1109">SUMIF($G$504:$G$529,$G$502,V504:V529)</f>
        <v>1</v>
      </c>
      <c r="W502" s="52">
        <f t="shared" si="1109"/>
        <v>1</v>
      </c>
      <c r="X502" s="52">
        <f t="shared" si="1109"/>
        <v>0</v>
      </c>
      <c r="Y502" s="52">
        <f t="shared" si="1109"/>
        <v>1</v>
      </c>
      <c r="Z502" s="52">
        <f t="shared" si="1109"/>
        <v>0</v>
      </c>
      <c r="AA502" s="52">
        <f t="shared" si="1109"/>
        <v>1</v>
      </c>
      <c r="AB502" s="52"/>
      <c r="AC502" s="2"/>
      <c r="AD502" s="52">
        <f>SUMIF($V$7:AB$7,"&lt;="&amp;$I$7,V502:AB502)</f>
        <v>4</v>
      </c>
      <c r="AE502" s="743">
        <f>IFERROR((AD503/AD502),"-")</f>
        <v>0.5</v>
      </c>
      <c r="AF502" s="2"/>
      <c r="AG502" s="52">
        <f>SUMIF($G$504:$G$529,$G$460,AG504:AG529)</f>
        <v>1</v>
      </c>
      <c r="AH502" s="52">
        <f t="shared" ref="AH502:AL502" si="1110">SUMIF($G$504:$G$529,$G$460,AH504:AH529)</f>
        <v>1</v>
      </c>
      <c r="AI502" s="52">
        <f t="shared" si="1110"/>
        <v>0</v>
      </c>
      <c r="AJ502" s="52">
        <f t="shared" si="1110"/>
        <v>1</v>
      </c>
      <c r="AK502" s="52">
        <f t="shared" si="1110"/>
        <v>0</v>
      </c>
      <c r="AL502" s="52">
        <f t="shared" si="1110"/>
        <v>1</v>
      </c>
      <c r="AM502" s="52"/>
      <c r="AN502" s="2"/>
      <c r="AO502" s="52">
        <f ca="1">SUMIF($AG$7:AM$7,"&lt;="&amp;$I$7,AG502:AL502)</f>
        <v>2</v>
      </c>
      <c r="AP502" s="743">
        <f ca="1">IFERROR((AO503/AO502),"-")</f>
        <v>0.5</v>
      </c>
      <c r="AQ502" s="2"/>
      <c r="AR502" s="52">
        <f t="shared" ref="AR502:AW502" ca="1" si="1111">SUMIF($G$532:$G$563,$G$460,AR504:AR529)</f>
        <v>0</v>
      </c>
      <c r="AS502" s="52">
        <f t="shared" ca="1" si="1111"/>
        <v>0</v>
      </c>
      <c r="AT502" s="52">
        <f t="shared" ca="1" si="1111"/>
        <v>0</v>
      </c>
      <c r="AU502" s="52">
        <f t="shared" ca="1" si="1111"/>
        <v>0</v>
      </c>
      <c r="AV502" s="52">
        <f t="shared" ca="1" si="1111"/>
        <v>0</v>
      </c>
      <c r="AW502" s="52">
        <f t="shared" ca="1" si="1111"/>
        <v>0</v>
      </c>
      <c r="AX502" s="52"/>
      <c r="AY502" s="2"/>
      <c r="AZ502" s="52">
        <f ca="1">SUMIF($AR$7:AX$7,"&lt;="&amp;$I$7,AR502:AW502)</f>
        <v>0</v>
      </c>
      <c r="BA502" s="743" t="str">
        <f ca="1">IFERROR((AZ503/AZ502),"-")</f>
        <v>-</v>
      </c>
      <c r="BB502" s="2"/>
      <c r="BC502" s="52">
        <f>SUMIF($G$504:$G$529,$G$460,BC504:BC529)</f>
        <v>0</v>
      </c>
      <c r="BD502" s="52">
        <f t="shared" ref="BD502:BH502" si="1112">SUMIF($G$504:$G$529,$G$460,BD504:BD529)</f>
        <v>0</v>
      </c>
      <c r="BE502" s="52">
        <f t="shared" si="1112"/>
        <v>0</v>
      </c>
      <c r="BF502" s="52">
        <f t="shared" si="1112"/>
        <v>0</v>
      </c>
      <c r="BG502" s="52">
        <f t="shared" si="1112"/>
        <v>0</v>
      </c>
      <c r="BH502" s="52">
        <f t="shared" si="1112"/>
        <v>0</v>
      </c>
      <c r="BI502" s="52">
        <f ca="1">SUMIF($G$532:$G$563,$G$460,BI504:BI529)</f>
        <v>0</v>
      </c>
      <c r="BJ502" s="2"/>
      <c r="BK502" s="52">
        <f ca="1">SUMIF($BC$7:BI$7,"&lt;="&amp;$I$7,BC502:BH502)</f>
        <v>0</v>
      </c>
      <c r="BL502" s="743" t="str">
        <f ca="1">IFERROR((BK503/BK502),"-")</f>
        <v>-</v>
      </c>
      <c r="BM502" s="2"/>
      <c r="BN502" s="888">
        <v>8</v>
      </c>
      <c r="BO502" s="888">
        <v>7</v>
      </c>
      <c r="BP502" s="888">
        <f>SUM(BP504:BP529)</f>
        <v>4</v>
      </c>
      <c r="BQ502" s="743">
        <f t="shared" ref="BQ502" si="1113">IFERROR((BP502/BO502),"-")</f>
        <v>0.5714285714285714</v>
      </c>
      <c r="BR502" s="2"/>
      <c r="BS502" s="888"/>
      <c r="BT502" s="888"/>
      <c r="BU502" s="888">
        <f ca="1">E502+S503++AO503+AZ503+AD503+BK503</f>
        <v>7</v>
      </c>
      <c r="BV502" s="888">
        <v>106</v>
      </c>
      <c r="BW502" s="1019">
        <f ca="1">IFERROR((BU502/BV502),"-")</f>
        <v>6.6037735849056603E-2</v>
      </c>
      <c r="BX502" s="888">
        <v>13</v>
      </c>
      <c r="BY502" s="743">
        <f ca="1">IFERROR((BU502/BX502),"-")</f>
        <v>0.53846153846153844</v>
      </c>
      <c r="BZ502" s="2"/>
      <c r="CA502" s="888">
        <v>20</v>
      </c>
      <c r="CB502" s="888">
        <f ca="1">CA502-BU502</f>
        <v>13</v>
      </c>
      <c r="CC502" s="2"/>
      <c r="CD502" s="504">
        <f>IFERROR(AVERAGEIF($V$7:AB$7,"&lt;="&amp;$I$7,V502:AB502),0)</f>
        <v>0.66666666666666663</v>
      </c>
      <c r="CE502" s="2"/>
      <c r="CH502" s="93" t="str">
        <f t="shared" si="1100"/>
        <v>ESTACAS P2</v>
      </c>
    </row>
    <row r="503" spans="1:86" s="16" customFormat="1" ht="20.45" hidden="1" customHeight="1" outlineLevel="1">
      <c r="A503" s="74"/>
      <c r="B503" s="1045"/>
      <c r="C503" s="740"/>
      <c r="D503" s="2"/>
      <c r="E503" s="1020"/>
      <c r="F503" s="2"/>
      <c r="G503" s="54" t="s">
        <v>38</v>
      </c>
      <c r="H503" s="52">
        <f t="shared" si="1044"/>
        <v>1</v>
      </c>
      <c r="I503" s="744"/>
      <c r="J503" s="2"/>
      <c r="K503" s="75">
        <f>SUMIF($G$504:$G$529,$G$503,K504:K529)</f>
        <v>0</v>
      </c>
      <c r="L503" s="75">
        <f t="shared" ref="L503:P503" si="1114">SUMIF($G$504:$G$529,$G$503,L504:L529)</f>
        <v>0</v>
      </c>
      <c r="M503" s="75">
        <f t="shared" si="1114"/>
        <v>0</v>
      </c>
      <c r="N503" s="75">
        <f t="shared" si="1114"/>
        <v>1</v>
      </c>
      <c r="O503" s="75">
        <f t="shared" si="1114"/>
        <v>0</v>
      </c>
      <c r="P503" s="75">
        <f t="shared" si="1114"/>
        <v>0</v>
      </c>
      <c r="Q503" s="52">
        <f t="shared" ref="Q503" si="1115">SUMIF($G$490:$G$495,$G$489,Q504:Q529)</f>
        <v>0</v>
      </c>
      <c r="R503" s="2"/>
      <c r="S503" s="52">
        <f ca="1">SUMIF($K$7:Q$7,"&lt;="&amp;$I$7,K503:P503)</f>
        <v>1</v>
      </c>
      <c r="T503" s="744"/>
      <c r="U503" s="2"/>
      <c r="V503" s="75">
        <f t="shared" ref="V503" si="1116">SUMIF($G$504:$G$529,$G$503,V504:V529)</f>
        <v>0</v>
      </c>
      <c r="W503" s="75">
        <f>SUMIF($G$504:$G$529,$G$489,W504:W529)</f>
        <v>1</v>
      </c>
      <c r="X503" s="75">
        <f t="shared" ref="X503:AA503" si="1117">SUMIF($G$504:$G$529,$G$489,X504:X529)</f>
        <v>0</v>
      </c>
      <c r="Y503" s="75">
        <f t="shared" si="1117"/>
        <v>0</v>
      </c>
      <c r="Z503" s="75">
        <f t="shared" si="1117"/>
        <v>1</v>
      </c>
      <c r="AA503" s="75">
        <f t="shared" si="1117"/>
        <v>0</v>
      </c>
      <c r="AB503" s="52"/>
      <c r="AC503" s="2"/>
      <c r="AD503" s="52">
        <f>SUMIF($V$7:AB$7,"&lt;="&amp;$I$7,V503:AB503)</f>
        <v>2</v>
      </c>
      <c r="AE503" s="744"/>
      <c r="AF503" s="2"/>
      <c r="AG503" s="75">
        <f t="shared" ref="AG503:AL503" si="1118">SUMIF($G$504:$G$529,$G$489,AG504:AG529)</f>
        <v>0</v>
      </c>
      <c r="AH503" s="75">
        <f t="shared" si="1118"/>
        <v>1</v>
      </c>
      <c r="AI503" s="75">
        <f>SUMIF($G$504:$G$529,$G$489,AI504:AI529)</f>
        <v>0</v>
      </c>
      <c r="AJ503" s="75">
        <f t="shared" si="1118"/>
        <v>0</v>
      </c>
      <c r="AK503" s="75">
        <f t="shared" si="1118"/>
        <v>0</v>
      </c>
      <c r="AL503" s="75">
        <f t="shared" si="1118"/>
        <v>0</v>
      </c>
      <c r="AM503" s="52"/>
      <c r="AN503" s="2"/>
      <c r="AO503" s="52">
        <f ca="1">SUMIF($AG$7:AM$7,"&lt;="&amp;$I$7,AG503:AL503)</f>
        <v>1</v>
      </c>
      <c r="AP503" s="744"/>
      <c r="AQ503" s="2"/>
      <c r="AR503" s="75">
        <f t="shared" ref="AR503:AT503" si="1119">SUMIF($G$504:$G$529,$G$503,AR504:AR529)</f>
        <v>0</v>
      </c>
      <c r="AS503" s="75">
        <f t="shared" si="1119"/>
        <v>0</v>
      </c>
      <c r="AT503" s="75">
        <f t="shared" si="1119"/>
        <v>0</v>
      </c>
      <c r="AU503" s="75">
        <f>SUMIF($G$504:$G$529,$G$503,AU504:AU529)</f>
        <v>0</v>
      </c>
      <c r="AV503" s="75">
        <f t="shared" ref="AV503:AW503" si="1120">SUMIF($G$504:$G$529,$G$503,AV504:AV529)</f>
        <v>0</v>
      </c>
      <c r="AW503" s="75">
        <f t="shared" si="1120"/>
        <v>0</v>
      </c>
      <c r="AX503" s="52"/>
      <c r="AY503" s="2"/>
      <c r="AZ503" s="52">
        <f ca="1">SUMIF($AR$7:AX$7,"&lt;="&amp;$I$7,AR503:AW503)</f>
        <v>0</v>
      </c>
      <c r="BA503" s="744"/>
      <c r="BB503" s="2"/>
      <c r="BC503" s="75">
        <f>SUMIF($G$504:$G$529,$G$503,BC504:BC529)</f>
        <v>0</v>
      </c>
      <c r="BD503" s="75">
        <f t="shared" ref="BD503:BH503" si="1121">SUMIF($G$504:$G$529,$G$503,BD504:BD529)</f>
        <v>0</v>
      </c>
      <c r="BE503" s="75">
        <f t="shared" si="1121"/>
        <v>0</v>
      </c>
      <c r="BF503" s="75">
        <f t="shared" si="1121"/>
        <v>0</v>
      </c>
      <c r="BG503" s="75">
        <f t="shared" si="1121"/>
        <v>0</v>
      </c>
      <c r="BH503" s="75">
        <f t="shared" si="1121"/>
        <v>0</v>
      </c>
      <c r="BI503" s="75">
        <f>SUMIF($G$504:$G$529,$G$503,BI504:BI529)</f>
        <v>0</v>
      </c>
      <c r="BJ503" s="2"/>
      <c r="BK503" s="52">
        <f ca="1">SUMIF($BC$7:BI$7,"&lt;="&amp;$I$7,BC503:BH503)</f>
        <v>0</v>
      </c>
      <c r="BL503" s="744"/>
      <c r="BM503" s="2"/>
      <c r="BN503" s="888"/>
      <c r="BO503" s="888"/>
      <c r="BP503" s="889"/>
      <c r="BQ503" s="744"/>
      <c r="BR503" s="2"/>
      <c r="BS503" s="888"/>
      <c r="BT503" s="888"/>
      <c r="BU503" s="888"/>
      <c r="BV503" s="888"/>
      <c r="BW503" s="1019"/>
      <c r="BX503" s="888"/>
      <c r="BY503" s="743"/>
      <c r="BZ503" s="2"/>
      <c r="CA503" s="888"/>
      <c r="CB503" s="888"/>
      <c r="CC503" s="2"/>
      <c r="CD503" s="504">
        <f>IFERROR(AVERAGEIF($V$7:AB$7,"&lt;="&amp;$I$7,V503:AB503),0)</f>
        <v>0.33333333333333331</v>
      </c>
      <c r="CE503" s="2"/>
      <c r="CH503" s="93" t="str">
        <f t="shared" si="1100"/>
        <v>ESTACAS P2</v>
      </c>
    </row>
    <row r="504" spans="1:86" s="16" customFormat="1" ht="15.95" hidden="1" customHeight="1" outlineLevel="1">
      <c r="A504" s="74"/>
      <c r="B504" s="1041" t="s">
        <v>4078</v>
      </c>
      <c r="C504" s="1014" t="s">
        <v>1437</v>
      </c>
      <c r="D504" s="2"/>
      <c r="E504" s="1004">
        <v>0</v>
      </c>
      <c r="F504" s="2"/>
      <c r="G504" s="49" t="s">
        <v>37</v>
      </c>
      <c r="H504" s="705">
        <f t="shared" si="1044"/>
        <v>0</v>
      </c>
      <c r="I504" s="878" t="str">
        <f t="shared" ref="I504" si="1122">IFERROR((H505/H504),"-")</f>
        <v>-</v>
      </c>
      <c r="J504" s="2"/>
      <c r="K504" s="705"/>
      <c r="L504" s="705"/>
      <c r="M504" s="705"/>
      <c r="N504" s="705"/>
      <c r="O504" s="705"/>
      <c r="P504" s="705"/>
      <c r="Q504" s="705"/>
      <c r="R504" s="2"/>
      <c r="S504" s="705">
        <f t="shared" ref="S504:S529" si="1123">SUM(K504:P504)</f>
        <v>0</v>
      </c>
      <c r="T504" s="878" t="str">
        <f>IFERROR((S505/S504),"-")</f>
        <v>-</v>
      </c>
      <c r="U504" s="2"/>
      <c r="V504" s="705">
        <v>1</v>
      </c>
      <c r="W504" s="705"/>
      <c r="X504" s="705"/>
      <c r="Y504" s="705"/>
      <c r="Z504" s="705"/>
      <c r="AA504" s="705"/>
      <c r="AB504" s="705"/>
      <c r="AC504" s="2"/>
      <c r="AD504" s="705">
        <f ca="1">SUMIF($V$7:AB$7,"&lt;="&amp;$I$7,V504:AA504)</f>
        <v>1</v>
      </c>
      <c r="AE504" s="878">
        <f ca="1">IFERROR((AD505/AD504),"-")</f>
        <v>1</v>
      </c>
      <c r="AF504" s="2"/>
      <c r="AG504" s="705"/>
      <c r="AH504" s="705"/>
      <c r="AI504" s="705"/>
      <c r="AJ504" s="705"/>
      <c r="AK504" s="705"/>
      <c r="AL504" s="705"/>
      <c r="AM504" s="705"/>
      <c r="AN504" s="2"/>
      <c r="AO504" s="705">
        <f ca="1">SUMIF($AG$7:AM$7,"&lt;="&amp;$I$7,AG504:AL504)</f>
        <v>0</v>
      </c>
      <c r="AP504" s="878" t="str">
        <f ca="1">IFERROR((AO505/AO504),"-")</f>
        <v>-</v>
      </c>
      <c r="AQ504" s="2"/>
      <c r="AR504" s="705"/>
      <c r="AS504" s="705"/>
      <c r="AT504" s="705"/>
      <c r="AU504" s="705"/>
      <c r="AV504" s="705"/>
      <c r="AW504" s="705"/>
      <c r="AX504" s="705"/>
      <c r="AY504" s="2"/>
      <c r="AZ504" s="705">
        <f ca="1">SUMIF($AR$7:AX$7,"&lt;="&amp;$I$7,AR504:AW504)</f>
        <v>0</v>
      </c>
      <c r="BA504" s="878" t="str">
        <f ca="1">IFERROR((AZ505/AZ504),"-")</f>
        <v>-</v>
      </c>
      <c r="BB504" s="2"/>
      <c r="BC504" s="705"/>
      <c r="BD504" s="705"/>
      <c r="BE504" s="705"/>
      <c r="BF504" s="705"/>
      <c r="BG504" s="705"/>
      <c r="BH504" s="705"/>
      <c r="BI504" s="705"/>
      <c r="BJ504" s="2"/>
      <c r="BK504" s="705">
        <f ca="1">SUMIF($BC$7:BI$7,"&lt;="&amp;$I$7,BC504:BH504)</f>
        <v>0</v>
      </c>
      <c r="BL504" s="878" t="str">
        <f ca="1">IFERROR((BK505/BK504),"-")</f>
        <v>-</v>
      </c>
      <c r="BM504" s="2"/>
      <c r="BN504" s="884">
        <v>0</v>
      </c>
      <c r="BO504" s="884">
        <v>0</v>
      </c>
      <c r="BP504" s="884">
        <f>SUM(M505:P505,V505:AB505,AG505:AM505,AR505:AX505,BC505:BI505)</f>
        <v>1</v>
      </c>
      <c r="BQ504" s="878" t="str">
        <f t="shared" ref="BQ504" si="1124">IFERROR((BP504/BO504),"-")</f>
        <v>-</v>
      </c>
      <c r="BR504" s="2"/>
      <c r="BS504" s="884"/>
      <c r="BT504" s="884"/>
      <c r="BU504" s="884">
        <f ca="1">E504+S505+AD505+AO505+AZ505+BK505-K505-L505</f>
        <v>1</v>
      </c>
      <c r="BV504" s="884">
        <v>104</v>
      </c>
      <c r="BW504" s="1004">
        <f ca="1">IFERROR((BU504/BV504),"-")</f>
        <v>9.6153846153846159E-3</v>
      </c>
      <c r="BX504" s="884">
        <v>0</v>
      </c>
      <c r="BY504" s="878" t="str">
        <f ca="1">IFERROR((BU504/BX504),"-")</f>
        <v>-</v>
      </c>
      <c r="BZ504" s="2"/>
      <c r="CA504" s="884">
        <v>0</v>
      </c>
      <c r="CB504" s="884">
        <v>0</v>
      </c>
      <c r="CC504" s="2"/>
      <c r="CD504" s="504">
        <f>IFERROR(AVERAGEIF($V$7:AB$7,"&lt;="&amp;$I$7,V504:AB504),0)</f>
        <v>1</v>
      </c>
      <c r="CE504" s="2"/>
      <c r="CH504" s="93" t="str">
        <f t="shared" si="1100"/>
        <v>P2 - Execução da estaca EP2.12</v>
      </c>
    </row>
    <row r="505" spans="1:86" s="16" customFormat="1" ht="20.45" hidden="1" customHeight="1" outlineLevel="1">
      <c r="A505" s="74"/>
      <c r="B505" s="1042"/>
      <c r="C505" s="1034"/>
      <c r="D505" s="2"/>
      <c r="E505" s="1005"/>
      <c r="F505" s="2"/>
      <c r="G505" s="50" t="s">
        <v>38</v>
      </c>
      <c r="H505" s="705">
        <f t="shared" si="1044"/>
        <v>0</v>
      </c>
      <c r="I505" s="879"/>
      <c r="J505" s="2"/>
      <c r="K505" s="86"/>
      <c r="L505" s="86"/>
      <c r="M505" s="86"/>
      <c r="N505" s="86"/>
      <c r="O505" s="86" t="s">
        <v>176</v>
      </c>
      <c r="P505" s="86"/>
      <c r="Q505" s="706"/>
      <c r="R505" s="2"/>
      <c r="S505" s="705">
        <f t="shared" si="1123"/>
        <v>0</v>
      </c>
      <c r="T505" s="879"/>
      <c r="U505" s="2"/>
      <c r="V505" s="86" t="s">
        <v>1434</v>
      </c>
      <c r="W505" s="86">
        <v>1</v>
      </c>
      <c r="X505" s="86"/>
      <c r="Y505" s="86"/>
      <c r="Z505" s="86"/>
      <c r="AA505" s="86"/>
      <c r="AB505" s="706"/>
      <c r="AC505" s="2"/>
      <c r="AD505" s="705">
        <f ca="1">SUMIF($V$7:AB$7,"&lt;="&amp;$I$7,V505:AA505)</f>
        <v>1</v>
      </c>
      <c r="AE505" s="879"/>
      <c r="AF505" s="2"/>
      <c r="AG505" s="86"/>
      <c r="AH505" s="86"/>
      <c r="AI505" s="86"/>
      <c r="AJ505" s="86"/>
      <c r="AK505" s="86"/>
      <c r="AL505" s="86"/>
      <c r="AM505" s="706"/>
      <c r="AN505" s="2"/>
      <c r="AO505" s="705">
        <f ca="1">SUMIF($AG$7:AM$7,"&lt;="&amp;$I$7,AG505:AL505)</f>
        <v>0</v>
      </c>
      <c r="AP505" s="879"/>
      <c r="AQ505" s="2"/>
      <c r="AR505" s="86"/>
      <c r="AS505" s="86"/>
      <c r="AT505" s="86"/>
      <c r="AU505" s="86"/>
      <c r="AV505" s="86"/>
      <c r="AW505" s="86"/>
      <c r="AX505" s="706"/>
      <c r="AY505" s="2"/>
      <c r="AZ505" s="705">
        <f ca="1">SUMIF($AR$7:AX$7,"&lt;="&amp;$I$7,AR505:AW505)</f>
        <v>0</v>
      </c>
      <c r="BA505" s="879"/>
      <c r="BB505" s="2"/>
      <c r="BC505" s="86"/>
      <c r="BD505" s="86"/>
      <c r="BE505" s="86"/>
      <c r="BF505" s="86"/>
      <c r="BG505" s="86"/>
      <c r="BH505" s="86"/>
      <c r="BI505" s="706"/>
      <c r="BJ505" s="2"/>
      <c r="BK505" s="705">
        <f ca="1">SUMIF($BC$7:BI$7,"&lt;="&amp;$I$7,BC505:BH505)</f>
        <v>0</v>
      </c>
      <c r="BL505" s="879"/>
      <c r="BM505" s="2"/>
      <c r="BN505" s="885"/>
      <c r="BO505" s="885"/>
      <c r="BP505" s="885"/>
      <c r="BQ505" s="879"/>
      <c r="BR505" s="2"/>
      <c r="BS505" s="885"/>
      <c r="BT505" s="885"/>
      <c r="BU505" s="885"/>
      <c r="BV505" s="885"/>
      <c r="BW505" s="1005"/>
      <c r="BX505" s="885"/>
      <c r="BY505" s="879"/>
      <c r="BZ505" s="2"/>
      <c r="CA505" s="885"/>
      <c r="CB505" s="885"/>
      <c r="CC505" s="2"/>
      <c r="CD505" s="504">
        <f>IFERROR(AVERAGEIF($V$7:AB$7,"&lt;="&amp;$I$7,V505:AB505),0)</f>
        <v>1</v>
      </c>
      <c r="CE505" s="2"/>
      <c r="CH505" s="93" t="str">
        <f t="shared" si="1100"/>
        <v>P2 - Execução da estaca EP2.12</v>
      </c>
    </row>
    <row r="506" spans="1:86" s="16" customFormat="1" ht="15.95" hidden="1" customHeight="1" outlineLevel="1">
      <c r="A506" s="74"/>
      <c r="B506" s="1039" t="s">
        <v>4079</v>
      </c>
      <c r="C506" s="1014" t="s">
        <v>1437</v>
      </c>
      <c r="D506" s="2"/>
      <c r="E506" s="1004">
        <v>0</v>
      </c>
      <c r="F506" s="2"/>
      <c r="G506" s="49" t="s">
        <v>37</v>
      </c>
      <c r="H506" s="705">
        <f t="shared" si="1044"/>
        <v>0</v>
      </c>
      <c r="I506" s="878" t="str">
        <f t="shared" ref="I506" si="1125">IFERROR((H507/H506),"-")</f>
        <v>-</v>
      </c>
      <c r="J506" s="2"/>
      <c r="K506" s="705"/>
      <c r="L506" s="705"/>
      <c r="M506" s="705"/>
      <c r="N506" s="705"/>
      <c r="O506" s="705"/>
      <c r="P506" s="705"/>
      <c r="Q506" s="705"/>
      <c r="R506" s="2"/>
      <c r="S506" s="705">
        <f t="shared" si="1123"/>
        <v>0</v>
      </c>
      <c r="T506" s="878" t="str">
        <f>IFERROR((S507/S506),"-")</f>
        <v>-</v>
      </c>
      <c r="U506" s="2"/>
      <c r="V506" s="705"/>
      <c r="W506" s="705"/>
      <c r="X506" s="705"/>
      <c r="Y506" s="705"/>
      <c r="Z506" s="705"/>
      <c r="AA506" s="705"/>
      <c r="AB506" s="705"/>
      <c r="AC506" s="2"/>
      <c r="AD506" s="705">
        <f ca="1">SUMIF($V$7:AB$7,"&lt;="&amp;$I$7,V506:AA506)</f>
        <v>0</v>
      </c>
      <c r="AE506" s="878" t="str">
        <f ca="1">IFERROR((AD507/AD506),"-")</f>
        <v>-</v>
      </c>
      <c r="AF506" s="2"/>
      <c r="AG506" s="705"/>
      <c r="AH506" s="705"/>
      <c r="AI506" s="705"/>
      <c r="AJ506" s="705"/>
      <c r="AK506" s="705"/>
      <c r="AL506" s="705"/>
      <c r="AM506" s="705"/>
      <c r="AN506" s="2"/>
      <c r="AO506" s="705">
        <f ca="1">SUMIF($AG$7:AM$7,"&lt;="&amp;$I$7,AG506:AL506)</f>
        <v>0</v>
      </c>
      <c r="AP506" s="878" t="str">
        <f ca="1">IFERROR((AO507/AO506),"-")</f>
        <v>-</v>
      </c>
      <c r="AQ506" s="2"/>
      <c r="AR506" s="705"/>
      <c r="AS506" s="705"/>
      <c r="AT506" s="705"/>
      <c r="AU506" s="705"/>
      <c r="AV506" s="705"/>
      <c r="AW506" s="705"/>
      <c r="AX506" s="705"/>
      <c r="AY506" s="2"/>
      <c r="AZ506" s="705">
        <f ca="1">SUMIF($AR$7:AX$7,"&lt;="&amp;$I$7,AR506:AW506)</f>
        <v>0</v>
      </c>
      <c r="BA506" s="878" t="str">
        <f ca="1">IFERROR((AZ507/AZ506),"-")</f>
        <v>-</v>
      </c>
      <c r="BB506" s="2"/>
      <c r="BC506" s="705"/>
      <c r="BD506" s="705"/>
      <c r="BE506" s="705"/>
      <c r="BF506" s="705"/>
      <c r="BG506" s="705"/>
      <c r="BH506" s="705"/>
      <c r="BI506" s="705"/>
      <c r="BJ506" s="2"/>
      <c r="BK506" s="705">
        <f ca="1">SUMIF($BC$7:BI$7,"&lt;="&amp;$I$7,BC506:BH506)</f>
        <v>0</v>
      </c>
      <c r="BL506" s="878" t="str">
        <f ca="1">IFERROR((BK507/BK506),"-")</f>
        <v>-</v>
      </c>
      <c r="BM506" s="2"/>
      <c r="BN506" s="884">
        <v>0</v>
      </c>
      <c r="BO506" s="884">
        <v>0</v>
      </c>
      <c r="BP506" s="884">
        <f>SUM(M507:P507,V507:AB507,AG507:AM507,AR507:AX507,BC507:BI507)</f>
        <v>1</v>
      </c>
      <c r="BQ506" s="878" t="str">
        <f t="shared" ref="BQ506" si="1126">IFERROR((BP506/BO506),"-")</f>
        <v>-</v>
      </c>
      <c r="BR506" s="2"/>
      <c r="BS506" s="884"/>
      <c r="BT506" s="884"/>
      <c r="BU506" s="884">
        <f ca="1">E506+S507+AD507+AO507+AZ507+BK507-K507-L507</f>
        <v>1</v>
      </c>
      <c r="BV506" s="1016" t="e">
        <v>#N/A</v>
      </c>
      <c r="BW506" s="1004" t="str">
        <f ca="1">IFERROR((BU506/BV506),"-")</f>
        <v>-</v>
      </c>
      <c r="BX506" s="884">
        <v>0</v>
      </c>
      <c r="BY506" s="878" t="str">
        <f ca="1">IFERROR((BU506/BX506),"-")</f>
        <v>-</v>
      </c>
      <c r="BZ506" s="2"/>
      <c r="CA506" s="884">
        <v>0</v>
      </c>
      <c r="CB506" s="884">
        <v>0</v>
      </c>
      <c r="CC506" s="2"/>
      <c r="CD506" s="504">
        <f>IFERROR(AVERAGEIF($V$7:AB$7,"&lt;="&amp;$I$7,V506:AB506),0)</f>
        <v>0</v>
      </c>
      <c r="CE506" s="2"/>
      <c r="CH506" s="93" t="str">
        <f t="shared" si="1100"/>
        <v>P2 - Execução da estaca EP2.15</v>
      </c>
    </row>
    <row r="507" spans="1:86" s="16" customFormat="1" ht="20.45" hidden="1" customHeight="1" outlineLevel="1">
      <c r="A507" s="74"/>
      <c r="B507" s="1040"/>
      <c r="C507" s="1034"/>
      <c r="D507" s="2"/>
      <c r="E507" s="1005"/>
      <c r="F507" s="2"/>
      <c r="G507" s="50" t="s">
        <v>38</v>
      </c>
      <c r="H507" s="705">
        <f t="shared" si="1044"/>
        <v>0</v>
      </c>
      <c r="I507" s="879"/>
      <c r="J507" s="2"/>
      <c r="K507" s="86"/>
      <c r="L507" s="86"/>
      <c r="M507" s="86"/>
      <c r="N507" s="86">
        <v>1</v>
      </c>
      <c r="O507" s="86"/>
      <c r="P507" s="86"/>
      <c r="Q507" s="706"/>
      <c r="R507" s="2"/>
      <c r="S507" s="705">
        <f t="shared" si="1123"/>
        <v>1</v>
      </c>
      <c r="T507" s="879"/>
      <c r="U507" s="2"/>
      <c r="V507" s="86"/>
      <c r="W507" s="86"/>
      <c r="X507" s="86"/>
      <c r="Y507" s="86"/>
      <c r="Z507" s="86"/>
      <c r="AA507" s="86"/>
      <c r="AB507" s="706"/>
      <c r="AC507" s="2"/>
      <c r="AD507" s="705">
        <f ca="1">SUMIF($V$7:AB$7,"&lt;="&amp;$I$7,V507:AA507)</f>
        <v>0</v>
      </c>
      <c r="AE507" s="879"/>
      <c r="AF507" s="2"/>
      <c r="AG507" s="86"/>
      <c r="AH507" s="86"/>
      <c r="AI507" s="86"/>
      <c r="AJ507" s="86"/>
      <c r="AK507" s="86"/>
      <c r="AL507" s="86"/>
      <c r="AM507" s="706"/>
      <c r="AN507" s="2"/>
      <c r="AO507" s="705">
        <f ca="1">SUMIF($AG$7:AM$7,"&lt;="&amp;$I$7,AG507:AL507)</f>
        <v>0</v>
      </c>
      <c r="AP507" s="879"/>
      <c r="AQ507" s="2"/>
      <c r="AR507" s="86"/>
      <c r="AS507" s="86"/>
      <c r="AT507" s="86"/>
      <c r="AU507" s="86"/>
      <c r="AV507" s="86"/>
      <c r="AW507" s="86"/>
      <c r="AX507" s="706"/>
      <c r="AY507" s="2"/>
      <c r="AZ507" s="705">
        <f ca="1">SUMIF($AR$7:AX$7,"&lt;="&amp;$I$7,AR507:AW507)</f>
        <v>0</v>
      </c>
      <c r="BA507" s="879"/>
      <c r="BB507" s="2"/>
      <c r="BC507" s="86"/>
      <c r="BD507" s="86"/>
      <c r="BE507" s="86"/>
      <c r="BF507" s="86"/>
      <c r="BG507" s="86"/>
      <c r="BH507" s="86"/>
      <c r="BI507" s="706"/>
      <c r="BJ507" s="2"/>
      <c r="BK507" s="705">
        <f ca="1">SUMIF($BC$7:BI$7,"&lt;="&amp;$I$7,BC507:BH507)</f>
        <v>0</v>
      </c>
      <c r="BL507" s="879"/>
      <c r="BM507" s="2"/>
      <c r="BN507" s="885"/>
      <c r="BO507" s="885"/>
      <c r="BP507" s="885"/>
      <c r="BQ507" s="879"/>
      <c r="BR507" s="2"/>
      <c r="BS507" s="885"/>
      <c r="BT507" s="885"/>
      <c r="BU507" s="885"/>
      <c r="BV507" s="1017"/>
      <c r="BW507" s="1005"/>
      <c r="BX507" s="885"/>
      <c r="BY507" s="879"/>
      <c r="BZ507" s="2"/>
      <c r="CA507" s="885"/>
      <c r="CB507" s="885"/>
      <c r="CC507" s="2"/>
      <c r="CD507" s="504">
        <f>IFERROR(AVERAGEIF($V$7:AB$7,"&lt;="&amp;$I$7,V507:AB507),0)</f>
        <v>0</v>
      </c>
      <c r="CE507" s="2"/>
      <c r="CH507" s="93" t="str">
        <f t="shared" si="1100"/>
        <v>P2 - Execução da estaca EP2.15</v>
      </c>
    </row>
    <row r="508" spans="1:86" s="16" customFormat="1" ht="15.95" hidden="1" customHeight="1" outlineLevel="1">
      <c r="A508" s="74"/>
      <c r="B508" s="1039" t="s">
        <v>4080</v>
      </c>
      <c r="C508" s="1014" t="s">
        <v>1437</v>
      </c>
      <c r="D508" s="2"/>
      <c r="E508" s="1004">
        <v>1</v>
      </c>
      <c r="F508" s="2"/>
      <c r="G508" s="49" t="s">
        <v>37</v>
      </c>
      <c r="H508" s="705">
        <f t="shared" si="1044"/>
        <v>0</v>
      </c>
      <c r="I508" s="878" t="str">
        <f t="shared" ref="I508" si="1127">IFERROR((H509/H508),"-")</f>
        <v>-</v>
      </c>
      <c r="J508" s="2"/>
      <c r="K508" s="705"/>
      <c r="L508" s="705"/>
      <c r="M508" s="705"/>
      <c r="N508" s="705"/>
      <c r="O508" s="705"/>
      <c r="P508" s="705"/>
      <c r="Q508" s="705"/>
      <c r="R508" s="2"/>
      <c r="S508" s="705">
        <f t="shared" si="1123"/>
        <v>0</v>
      </c>
      <c r="T508" s="878" t="str">
        <f>IFERROR((S509/S508),"-")</f>
        <v>-</v>
      </c>
      <c r="U508" s="2"/>
      <c r="V508" s="705"/>
      <c r="W508" s="705"/>
      <c r="X508" s="705"/>
      <c r="Y508" s="705"/>
      <c r="Z508" s="705"/>
      <c r="AA508" s="705"/>
      <c r="AB508" s="705"/>
      <c r="AC508" s="2"/>
      <c r="AD508" s="705">
        <f ca="1">SUMIF($V$7:AB$7,"&lt;="&amp;$I$7,V508:AA508)</f>
        <v>0</v>
      </c>
      <c r="AE508" s="878" t="str">
        <f ca="1">IFERROR((AD509/AD508),"-")</f>
        <v>-</v>
      </c>
      <c r="AF508" s="2"/>
      <c r="AG508" s="705"/>
      <c r="AH508" s="705"/>
      <c r="AI508" s="705"/>
      <c r="AJ508" s="705"/>
      <c r="AK508" s="705"/>
      <c r="AL508" s="705"/>
      <c r="AM508" s="705"/>
      <c r="AN508" s="2"/>
      <c r="AO508" s="705">
        <f ca="1">SUMIF($AG$7:AM$7,"&lt;="&amp;$I$7,AG508:AL508)</f>
        <v>0</v>
      </c>
      <c r="AP508" s="878" t="str">
        <f ca="1">IFERROR((AO509/AO508),"-")</f>
        <v>-</v>
      </c>
      <c r="AQ508" s="2"/>
      <c r="AR508" s="705"/>
      <c r="AS508" s="705"/>
      <c r="AT508" s="705"/>
      <c r="AU508" s="705"/>
      <c r="AV508" s="705"/>
      <c r="AW508" s="705"/>
      <c r="AX508" s="705"/>
      <c r="AY508" s="2"/>
      <c r="AZ508" s="705">
        <f ca="1">SUMIF($AR$7:AX$7,"&lt;="&amp;$I$7,AR508:AW508)</f>
        <v>0</v>
      </c>
      <c r="BA508" s="878" t="str">
        <f ca="1">IFERROR((AZ509/AZ508),"-")</f>
        <v>-</v>
      </c>
      <c r="BB508" s="2"/>
      <c r="BC508" s="705"/>
      <c r="BD508" s="705"/>
      <c r="BE508" s="705"/>
      <c r="BF508" s="705"/>
      <c r="BG508" s="705"/>
      <c r="BH508" s="705"/>
      <c r="BI508" s="705"/>
      <c r="BJ508" s="2"/>
      <c r="BK508" s="705">
        <f ca="1">SUMIF($BC$7:BI$7,"&lt;="&amp;$I$7,BC508:BH508)</f>
        <v>0</v>
      </c>
      <c r="BL508" s="878" t="str">
        <f ca="1">IFERROR((BK509/BK508),"-")</f>
        <v>-</v>
      </c>
      <c r="BM508" s="2"/>
      <c r="BN508" s="884">
        <v>0</v>
      </c>
      <c r="BO508" s="884">
        <v>0</v>
      </c>
      <c r="BP508" s="884">
        <f>SUM(M509:P509,V509:AB509,AG509:AM509,AR509:AX509,BC509:BI509)</f>
        <v>0</v>
      </c>
      <c r="BQ508" s="878" t="str">
        <f t="shared" ref="BQ508" si="1128">IFERROR((BP508/BO508),"-")</f>
        <v>-</v>
      </c>
      <c r="BR508" s="2"/>
      <c r="BS508" s="884"/>
      <c r="BT508" s="884"/>
      <c r="BU508" s="884">
        <f ca="1">E508+S509+AD509+AO509+AZ509+BK509-K509-L509</f>
        <v>1</v>
      </c>
      <c r="BV508" s="1016" t="e">
        <v>#N/A</v>
      </c>
      <c r="BW508" s="1004" t="str">
        <f ca="1">IFERROR((BU508/BV508),"-")</f>
        <v>-</v>
      </c>
      <c r="BX508" s="884">
        <v>0</v>
      </c>
      <c r="BY508" s="878" t="str">
        <f ca="1">IFERROR((BU508/BX508),"-")</f>
        <v>-</v>
      </c>
      <c r="BZ508" s="2"/>
      <c r="CA508" s="884">
        <v>0</v>
      </c>
      <c r="CB508" s="884">
        <v>0</v>
      </c>
      <c r="CC508" s="2"/>
      <c r="CD508" s="504">
        <f>IFERROR(AVERAGEIF($V$7:AB$7,"&lt;="&amp;$I$7,V508:AB508),0)</f>
        <v>0</v>
      </c>
      <c r="CE508" s="2"/>
      <c r="CH508" s="93" t="str">
        <f t="shared" si="1100"/>
        <v>P2 - Execução da estaca EP2.06</v>
      </c>
    </row>
    <row r="509" spans="1:86" s="21" customFormat="1" ht="15.95" hidden="1" customHeight="1" outlineLevel="1" collapsed="1">
      <c r="A509" s="74"/>
      <c r="B509" s="1040"/>
      <c r="C509" s="1034"/>
      <c r="D509" s="2"/>
      <c r="E509" s="1005"/>
      <c r="F509" s="2"/>
      <c r="G509" s="50" t="s">
        <v>38</v>
      </c>
      <c r="H509" s="705">
        <f t="shared" si="1044"/>
        <v>0</v>
      </c>
      <c r="I509" s="879"/>
      <c r="J509" s="2"/>
      <c r="K509" s="86"/>
      <c r="L509" s="86"/>
      <c r="M509" s="86"/>
      <c r="N509" s="255"/>
      <c r="O509" s="86"/>
      <c r="P509" s="86"/>
      <c r="Q509" s="706"/>
      <c r="R509" s="2"/>
      <c r="S509" s="705">
        <f t="shared" si="1123"/>
        <v>0</v>
      </c>
      <c r="T509" s="879"/>
      <c r="U509" s="2"/>
      <c r="V509" s="86"/>
      <c r="W509" s="86"/>
      <c r="X509" s="86"/>
      <c r="Y509" s="86"/>
      <c r="Z509" s="86"/>
      <c r="AA509" s="86"/>
      <c r="AB509" s="706"/>
      <c r="AC509" s="2"/>
      <c r="AD509" s="705">
        <f ca="1">SUMIF($V$7:AB$7,"&lt;="&amp;$I$7,V509:AA509)</f>
        <v>0</v>
      </c>
      <c r="AE509" s="879"/>
      <c r="AF509" s="2"/>
      <c r="AG509" s="86"/>
      <c r="AH509" s="86"/>
      <c r="AI509" s="86"/>
      <c r="AJ509" s="86"/>
      <c r="AK509" s="86"/>
      <c r="AL509" s="86"/>
      <c r="AM509" s="706"/>
      <c r="AN509" s="2"/>
      <c r="AO509" s="705">
        <f ca="1">SUMIF($AG$7:AM$7,"&lt;="&amp;$I$7,AG509:AL509)</f>
        <v>0</v>
      </c>
      <c r="AP509" s="879"/>
      <c r="AQ509" s="2"/>
      <c r="AR509" s="86"/>
      <c r="AS509" s="86"/>
      <c r="AT509" s="86"/>
      <c r="AU509" s="86"/>
      <c r="AV509" s="86"/>
      <c r="AW509" s="86"/>
      <c r="AX509" s="706"/>
      <c r="AY509" s="2"/>
      <c r="AZ509" s="705">
        <f ca="1">SUMIF($AR$7:AX$7,"&lt;="&amp;$I$7,AR509:AW509)</f>
        <v>0</v>
      </c>
      <c r="BA509" s="879"/>
      <c r="BB509" s="2"/>
      <c r="BC509" s="86"/>
      <c r="BD509" s="86"/>
      <c r="BE509" s="86"/>
      <c r="BF509" s="86"/>
      <c r="BG509" s="86"/>
      <c r="BH509" s="86"/>
      <c r="BI509" s="706"/>
      <c r="BJ509" s="2"/>
      <c r="BK509" s="705">
        <f ca="1">SUMIF($BC$7:BI$7,"&lt;="&amp;$I$7,BC509:BH509)</f>
        <v>0</v>
      </c>
      <c r="BL509" s="879"/>
      <c r="BM509" s="2"/>
      <c r="BN509" s="885"/>
      <c r="BO509" s="885"/>
      <c r="BP509" s="885"/>
      <c r="BQ509" s="879"/>
      <c r="BR509" s="2"/>
      <c r="BS509" s="885"/>
      <c r="BT509" s="885"/>
      <c r="BU509" s="885"/>
      <c r="BV509" s="1017"/>
      <c r="BW509" s="1005"/>
      <c r="BX509" s="885"/>
      <c r="BY509" s="879"/>
      <c r="BZ509" s="2"/>
      <c r="CA509" s="885"/>
      <c r="CB509" s="885"/>
      <c r="CC509" s="2"/>
      <c r="CD509" s="504">
        <f>IFERROR(AVERAGEIF($V$7:AB$7,"&lt;="&amp;$I$7,V509:AB509),0)</f>
        <v>0</v>
      </c>
      <c r="CE509" s="2"/>
      <c r="CH509" s="93" t="str">
        <f t="shared" si="1100"/>
        <v>P2 - Execução da estaca EP2.06</v>
      </c>
    </row>
    <row r="510" spans="1:86" s="16" customFormat="1" ht="20.45" hidden="1" customHeight="1" outlineLevel="1">
      <c r="A510" s="74"/>
      <c r="B510" s="1039" t="s">
        <v>4081</v>
      </c>
      <c r="C510" s="1014" t="s">
        <v>1437</v>
      </c>
      <c r="D510" s="2"/>
      <c r="E510" s="1004">
        <v>0</v>
      </c>
      <c r="F510" s="2"/>
      <c r="G510" s="49" t="s">
        <v>37</v>
      </c>
      <c r="H510" s="705">
        <f t="shared" si="1044"/>
        <v>1</v>
      </c>
      <c r="I510" s="878">
        <f t="shared" ref="I510" si="1129">IFERROR((H511/H510),"-")</f>
        <v>0</v>
      </c>
      <c r="J510" s="2"/>
      <c r="K510" s="705"/>
      <c r="L510" s="705"/>
      <c r="M510" s="705"/>
      <c r="N510" s="705"/>
      <c r="O510" s="705"/>
      <c r="P510" s="705"/>
      <c r="Q510" s="705"/>
      <c r="R510" s="2"/>
      <c r="S510" s="705">
        <f t="shared" si="1123"/>
        <v>0</v>
      </c>
      <c r="T510" s="878" t="str">
        <f>IFERROR((S511/S510),"-")</f>
        <v>-</v>
      </c>
      <c r="U510" s="2"/>
      <c r="V510" s="705"/>
      <c r="W510" s="705"/>
      <c r="X510" s="705"/>
      <c r="Y510" s="705"/>
      <c r="Z510" s="705"/>
      <c r="AA510" s="705"/>
      <c r="AB510" s="705"/>
      <c r="AC510" s="2"/>
      <c r="AD510" s="705">
        <f ca="1">SUMIF($V$7:AB$7,"&lt;="&amp;$I$7,V510:AA510)</f>
        <v>0</v>
      </c>
      <c r="AE510" s="878" t="str">
        <f ca="1">IFERROR((AD511/AD510),"-")</f>
        <v>-</v>
      </c>
      <c r="AF510" s="2"/>
      <c r="AG510" s="705" t="s">
        <v>1434</v>
      </c>
      <c r="AH510" s="705">
        <v>1</v>
      </c>
      <c r="AI510" s="705"/>
      <c r="AJ510" s="705"/>
      <c r="AK510" s="705"/>
      <c r="AL510" s="705"/>
      <c r="AM510" s="705"/>
      <c r="AN510" s="2"/>
      <c r="AO510" s="705">
        <f ca="1">SUMIF($AG$7:AM$7,"&lt;="&amp;$I$7,AG510:AL510)</f>
        <v>1</v>
      </c>
      <c r="AP510" s="878">
        <f ca="1">IFERROR((AO511/AO510),"-")</f>
        <v>0</v>
      </c>
      <c r="AQ510" s="2"/>
      <c r="AR510" s="705"/>
      <c r="AS510" s="705"/>
      <c r="AT510" s="705"/>
      <c r="AU510" s="705"/>
      <c r="AV510" s="705"/>
      <c r="AW510" s="705"/>
      <c r="AX510" s="705"/>
      <c r="AY510" s="2"/>
      <c r="AZ510" s="705">
        <f ca="1">SUMIF($AR$7:AX$7,"&lt;="&amp;$I$7,AR510:AW510)</f>
        <v>0</v>
      </c>
      <c r="BA510" s="878" t="str">
        <f ca="1">IFERROR((AZ511/AZ510),"-")</f>
        <v>-</v>
      </c>
      <c r="BB510" s="2"/>
      <c r="BC510" s="705"/>
      <c r="BD510" s="705"/>
      <c r="BE510" s="705"/>
      <c r="BF510" s="705"/>
      <c r="BG510" s="705"/>
      <c r="BH510" s="705"/>
      <c r="BI510" s="705"/>
      <c r="BJ510" s="2"/>
      <c r="BK510" s="705">
        <f ca="1">SUMIF($BC$7:BI$7,"&lt;="&amp;$I$7,BC510:BH510)</f>
        <v>0</v>
      </c>
      <c r="BL510" s="878" t="str">
        <f ca="1">IFERROR((BK511/BK510),"-")</f>
        <v>-</v>
      </c>
      <c r="BM510" s="2"/>
      <c r="BN510" s="884">
        <v>0</v>
      </c>
      <c r="BO510" s="884">
        <v>0</v>
      </c>
      <c r="BP510" s="884">
        <f>SUM(M511:P511,V511:AB511,AG511:AM511,AR511:AX511,BC511:BI511)</f>
        <v>0</v>
      </c>
      <c r="BQ510" s="878" t="str">
        <f t="shared" ref="BQ510" si="1130">IFERROR((BP510/BO510),"-")</f>
        <v>-</v>
      </c>
      <c r="BR510" s="2"/>
      <c r="BS510" s="884"/>
      <c r="BT510" s="884"/>
      <c r="BU510" s="884">
        <f ca="1">E510+S511+AD511+AO511+AZ511+BK511-K511-L511</f>
        <v>0</v>
      </c>
      <c r="BV510" s="1016" t="e">
        <v>#N/A</v>
      </c>
      <c r="BW510" s="1004" t="str">
        <f ca="1">IFERROR((BU510/BV510),"-")</f>
        <v>-</v>
      </c>
      <c r="BX510" s="884">
        <v>0</v>
      </c>
      <c r="BY510" s="878" t="str">
        <f ca="1">IFERROR((BU510/BX510),"-")</f>
        <v>-</v>
      </c>
      <c r="BZ510" s="2"/>
      <c r="CA510" s="884">
        <v>0</v>
      </c>
      <c r="CB510" s="884">
        <v>0</v>
      </c>
      <c r="CC510" s="2"/>
      <c r="CD510" s="504">
        <f>IFERROR(AVERAGEIF($V$7:AB$7,"&lt;="&amp;$I$7,V510:AB510),0)</f>
        <v>0</v>
      </c>
      <c r="CE510" s="2"/>
      <c r="CH510" s="93" t="str">
        <f t="shared" si="1100"/>
        <v>P2 - Execução da estaca EP2.01</v>
      </c>
    </row>
    <row r="511" spans="1:86" ht="15.95" hidden="1" customHeight="1" outlineLevel="1">
      <c r="A511" s="74"/>
      <c r="B511" s="1040"/>
      <c r="C511" s="1034"/>
      <c r="D511" s="2"/>
      <c r="E511" s="1005"/>
      <c r="F511" s="2"/>
      <c r="G511" s="50" t="s">
        <v>38</v>
      </c>
      <c r="H511" s="705">
        <f t="shared" si="1044"/>
        <v>0</v>
      </c>
      <c r="I511" s="879"/>
      <c r="J511" s="2"/>
      <c r="K511" s="86"/>
      <c r="L511" s="86"/>
      <c r="M511" s="86"/>
      <c r="N511" s="86"/>
      <c r="O511" s="86"/>
      <c r="P511" s="86"/>
      <c r="Q511" s="706"/>
      <c r="R511" s="2"/>
      <c r="S511" s="705">
        <f t="shared" si="1123"/>
        <v>0</v>
      </c>
      <c r="T511" s="879"/>
      <c r="U511" s="2"/>
      <c r="V511" s="86"/>
      <c r="W511" s="86"/>
      <c r="X511" s="86"/>
      <c r="Y511" s="86"/>
      <c r="Z511" s="86"/>
      <c r="AA511" s="86"/>
      <c r="AB511" s="706"/>
      <c r="AC511" s="2"/>
      <c r="AD511" s="705">
        <f ca="1">SUMIF($V$7:AB$7,"&lt;="&amp;$I$7,V511:AA511)</f>
        <v>0</v>
      </c>
      <c r="AE511" s="879"/>
      <c r="AF511" s="2"/>
      <c r="AG511" s="86"/>
      <c r="AH511" s="86"/>
      <c r="AI511" s="86"/>
      <c r="AJ511" s="86"/>
      <c r="AK511" s="86"/>
      <c r="AL511" s="86"/>
      <c r="AM511" s="706"/>
      <c r="AN511" s="2"/>
      <c r="AO511" s="705">
        <f ca="1">SUMIF($AG$7:AM$7,"&lt;="&amp;$I$7,AG511:AL511)</f>
        <v>0</v>
      </c>
      <c r="AP511" s="879"/>
      <c r="AQ511" s="2"/>
      <c r="AR511" s="86"/>
      <c r="AS511" s="86"/>
      <c r="AT511" s="86"/>
      <c r="AU511" s="86"/>
      <c r="AV511" s="86"/>
      <c r="AW511" s="86"/>
      <c r="AX511" s="706"/>
      <c r="AY511" s="2"/>
      <c r="AZ511" s="705">
        <f ca="1">SUMIF($AR$7:AX$7,"&lt;="&amp;$I$7,AR511:AW511)</f>
        <v>0</v>
      </c>
      <c r="BA511" s="879"/>
      <c r="BB511" s="2"/>
      <c r="BC511" s="86"/>
      <c r="BD511" s="86"/>
      <c r="BE511" s="86"/>
      <c r="BF511" s="86"/>
      <c r="BG511" s="86"/>
      <c r="BH511" s="86"/>
      <c r="BI511" s="706"/>
      <c r="BJ511" s="2"/>
      <c r="BK511" s="705">
        <f ca="1">SUMIF($BC$7:BI$7,"&lt;="&amp;$I$7,BC511:BH511)</f>
        <v>0</v>
      </c>
      <c r="BL511" s="879"/>
      <c r="BM511" s="2"/>
      <c r="BN511" s="885"/>
      <c r="BO511" s="885"/>
      <c r="BP511" s="885"/>
      <c r="BQ511" s="879"/>
      <c r="BR511" s="2"/>
      <c r="BS511" s="885"/>
      <c r="BT511" s="885"/>
      <c r="BU511" s="885"/>
      <c r="BV511" s="1017"/>
      <c r="BW511" s="1005"/>
      <c r="BX511" s="885"/>
      <c r="BY511" s="879"/>
      <c r="BZ511" s="2"/>
      <c r="CA511" s="885"/>
      <c r="CB511" s="885"/>
      <c r="CC511" s="2"/>
      <c r="CD511" s="504">
        <f>IFERROR(AVERAGEIF($V$7:AB$7,"&lt;="&amp;$I$7,V511:AB511),0)</f>
        <v>0</v>
      </c>
      <c r="CE511" s="2"/>
      <c r="CH511" s="93" t="str">
        <f t="shared" si="1100"/>
        <v>P2 - Execução da estaca EP2.01</v>
      </c>
    </row>
    <row r="512" spans="1:86" s="21" customFormat="1" ht="15.75" hidden="1" outlineLevel="1" collapsed="1">
      <c r="A512" s="74"/>
      <c r="B512" s="1039" t="s">
        <v>4082</v>
      </c>
      <c r="C512" s="1014" t="s">
        <v>1437</v>
      </c>
      <c r="D512" s="2"/>
      <c r="E512" s="1004">
        <v>1</v>
      </c>
      <c r="F512" s="2"/>
      <c r="G512" s="49" t="s">
        <v>37</v>
      </c>
      <c r="H512" s="705">
        <f t="shared" si="1044"/>
        <v>0</v>
      </c>
      <c r="I512" s="878" t="str">
        <f t="shared" ref="I512" si="1131">IFERROR((H513/H512),"-")</f>
        <v>-</v>
      </c>
      <c r="J512" s="2"/>
      <c r="K512" s="705"/>
      <c r="L512" s="705"/>
      <c r="M512" s="705"/>
      <c r="N512" s="705"/>
      <c r="O512" s="705"/>
      <c r="P512" s="705"/>
      <c r="Q512" s="705"/>
      <c r="R512" s="2"/>
      <c r="S512" s="705">
        <f t="shared" si="1123"/>
        <v>0</v>
      </c>
      <c r="T512" s="878" t="str">
        <f>IFERROR((S513/S512),"-")</f>
        <v>-</v>
      </c>
      <c r="U512" s="2"/>
      <c r="V512" s="705"/>
      <c r="W512" s="705"/>
      <c r="X512" s="705"/>
      <c r="Y512" s="705"/>
      <c r="Z512" s="705"/>
      <c r="AA512" s="705"/>
      <c r="AB512" s="705"/>
      <c r="AC512" s="2"/>
      <c r="AD512" s="705">
        <f ca="1">SUMIF($V$7:AB$7,"&lt;="&amp;$I$7,V512:AA512)</f>
        <v>0</v>
      </c>
      <c r="AE512" s="878" t="str">
        <f ca="1">IFERROR((AD513/AD512),"-")</f>
        <v>-</v>
      </c>
      <c r="AF512" s="2"/>
      <c r="AG512" s="705"/>
      <c r="AH512" s="705"/>
      <c r="AI512" s="705"/>
      <c r="AJ512" s="705"/>
      <c r="AK512" s="705"/>
      <c r="AL512" s="705"/>
      <c r="AM512" s="705"/>
      <c r="AN512" s="2"/>
      <c r="AO512" s="705">
        <f ca="1">SUMIF($AG$7:AM$7,"&lt;="&amp;$I$7,AG512:AL512)</f>
        <v>0</v>
      </c>
      <c r="AP512" s="878" t="str">
        <f ca="1">IFERROR((AO513/AO512),"-")</f>
        <v>-</v>
      </c>
      <c r="AQ512" s="2"/>
      <c r="AR512" s="705"/>
      <c r="AS512" s="705"/>
      <c r="AT512" s="705"/>
      <c r="AU512" s="705"/>
      <c r="AV512" s="705"/>
      <c r="AW512" s="705"/>
      <c r="AX512" s="705"/>
      <c r="AY512" s="2"/>
      <c r="AZ512" s="705">
        <f ca="1">SUMIF($AR$7:AX$7,"&lt;="&amp;$I$7,AR512:AW512)</f>
        <v>0</v>
      </c>
      <c r="BA512" s="878" t="str">
        <f ca="1">IFERROR((AZ513/AZ512),"-")</f>
        <v>-</v>
      </c>
      <c r="BB512" s="2"/>
      <c r="BC512" s="705"/>
      <c r="BD512" s="705"/>
      <c r="BE512" s="705"/>
      <c r="BF512" s="705"/>
      <c r="BG512" s="705"/>
      <c r="BH512" s="705"/>
      <c r="BI512" s="705"/>
      <c r="BJ512" s="2"/>
      <c r="BK512" s="705">
        <f ca="1">SUMIF($BC$7:BI$7,"&lt;="&amp;$I$7,BC512:BH512)</f>
        <v>0</v>
      </c>
      <c r="BL512" s="878" t="str">
        <f ca="1">IFERROR((BK513/BK512),"-")</f>
        <v>-</v>
      </c>
      <c r="BM512" s="2"/>
      <c r="BN512" s="884">
        <v>0</v>
      </c>
      <c r="BO512" s="884">
        <v>0</v>
      </c>
      <c r="BP512" s="884">
        <f>SUM(M513:P513,V513:AB513,AG513:AM513,AR513:AX513,BC513:BI513)</f>
        <v>0</v>
      </c>
      <c r="BQ512" s="878" t="str">
        <f t="shared" ref="BQ512" si="1132">IFERROR((BP512/BO512),"-")</f>
        <v>-</v>
      </c>
      <c r="BR512" s="2"/>
      <c r="BS512" s="884"/>
      <c r="BT512" s="884"/>
      <c r="BU512" s="884">
        <f ca="1">E512+S513+AD513+AO513+AZ513+BK513-K513-L513</f>
        <v>1</v>
      </c>
      <c r="BV512" s="1016" t="e">
        <v>#N/A</v>
      </c>
      <c r="BW512" s="1004" t="str">
        <f ca="1">IFERROR((BU512/BV512),"-")</f>
        <v>-</v>
      </c>
      <c r="BX512" s="884">
        <v>0</v>
      </c>
      <c r="BY512" s="878" t="str">
        <f ca="1">IFERROR((BU512/BX512),"-")</f>
        <v>-</v>
      </c>
      <c r="BZ512" s="2"/>
      <c r="CA512" s="884">
        <v>0</v>
      </c>
      <c r="CB512" s="884">
        <v>0</v>
      </c>
      <c r="CC512" s="2"/>
      <c r="CD512" s="504">
        <f>IFERROR(AVERAGEIF($V$7:AB$7,"&lt;="&amp;$I$7,V512:AB512),0)</f>
        <v>0</v>
      </c>
      <c r="CE512" s="2"/>
      <c r="CH512" s="93" t="str">
        <f t="shared" si="1100"/>
        <v>P2 - Execução da estaca EP2.02</v>
      </c>
    </row>
    <row r="513" spans="1:86" s="16" customFormat="1" ht="20.45" hidden="1" customHeight="1" outlineLevel="1">
      <c r="A513" s="74"/>
      <c r="B513" s="1040"/>
      <c r="C513" s="1034"/>
      <c r="D513" s="2"/>
      <c r="E513" s="1005"/>
      <c r="F513" s="2"/>
      <c r="G513" s="50" t="s">
        <v>38</v>
      </c>
      <c r="H513" s="705">
        <f t="shared" si="1044"/>
        <v>0</v>
      </c>
      <c r="I513" s="879"/>
      <c r="J513" s="2"/>
      <c r="K513" s="86"/>
      <c r="L513" s="86"/>
      <c r="M513" s="86"/>
      <c r="N513" s="86"/>
      <c r="O513" s="86"/>
      <c r="P513" s="86"/>
      <c r="Q513" s="706"/>
      <c r="R513" s="2"/>
      <c r="S513" s="705">
        <f t="shared" si="1123"/>
        <v>0</v>
      </c>
      <c r="T513" s="879"/>
      <c r="U513" s="2"/>
      <c r="V513" s="86"/>
      <c r="W513" s="86"/>
      <c r="X513" s="86"/>
      <c r="Y513" s="86"/>
      <c r="Z513" s="86"/>
      <c r="AA513" s="86"/>
      <c r="AB513" s="706"/>
      <c r="AC513" s="2"/>
      <c r="AD513" s="705">
        <f ca="1">SUMIF($V$7:AB$7,"&lt;="&amp;$I$7,V513:AA513)</f>
        <v>0</v>
      </c>
      <c r="AE513" s="879"/>
      <c r="AF513" s="2"/>
      <c r="AG513" s="86"/>
      <c r="AH513" s="86"/>
      <c r="AI513" s="86"/>
      <c r="AJ513" s="86"/>
      <c r="AK513" s="86"/>
      <c r="AL513" s="86"/>
      <c r="AM513" s="706"/>
      <c r="AN513" s="2"/>
      <c r="AO513" s="705">
        <f ca="1">SUMIF($AG$7:AM$7,"&lt;="&amp;$I$7,AG513:AL513)</f>
        <v>0</v>
      </c>
      <c r="AP513" s="879"/>
      <c r="AQ513" s="2"/>
      <c r="AR513" s="86"/>
      <c r="AS513" s="86"/>
      <c r="AT513" s="86"/>
      <c r="AU513" s="86"/>
      <c r="AV513" s="86"/>
      <c r="AW513" s="86"/>
      <c r="AX513" s="706"/>
      <c r="AY513" s="2"/>
      <c r="AZ513" s="705">
        <f ca="1">SUMIF($AR$7:AX$7,"&lt;="&amp;$I$7,AR513:AW513)</f>
        <v>0</v>
      </c>
      <c r="BA513" s="879"/>
      <c r="BB513" s="2"/>
      <c r="BC513" s="86"/>
      <c r="BD513" s="86"/>
      <c r="BE513" s="86"/>
      <c r="BF513" s="86"/>
      <c r="BG513" s="86"/>
      <c r="BH513" s="86"/>
      <c r="BI513" s="706"/>
      <c r="BJ513" s="2"/>
      <c r="BK513" s="705">
        <f ca="1">SUMIF($BC$7:BI$7,"&lt;="&amp;$I$7,BC513:BH513)</f>
        <v>0</v>
      </c>
      <c r="BL513" s="879"/>
      <c r="BM513" s="2"/>
      <c r="BN513" s="885"/>
      <c r="BO513" s="885"/>
      <c r="BP513" s="885"/>
      <c r="BQ513" s="879"/>
      <c r="BR513" s="2"/>
      <c r="BS513" s="885"/>
      <c r="BT513" s="885"/>
      <c r="BU513" s="885"/>
      <c r="BV513" s="1017"/>
      <c r="BW513" s="1005"/>
      <c r="BX513" s="885"/>
      <c r="BY513" s="879"/>
      <c r="BZ513" s="2"/>
      <c r="CA513" s="885"/>
      <c r="CB513" s="885"/>
      <c r="CC513" s="2"/>
      <c r="CD513" s="504">
        <f>IFERROR(AVERAGEIF($V$7:AB$7,"&lt;="&amp;$I$7,V513:AB513),0)</f>
        <v>0</v>
      </c>
      <c r="CE513" s="2"/>
      <c r="CH513" s="93" t="str">
        <f t="shared" si="1100"/>
        <v>P2 - Execução da estaca EP2.02</v>
      </c>
    </row>
    <row r="514" spans="1:86" s="21" customFormat="1" hidden="1" outlineLevel="1">
      <c r="A514" s="74"/>
      <c r="B514" s="1039" t="s">
        <v>4083</v>
      </c>
      <c r="C514" s="1014" t="s">
        <v>1437</v>
      </c>
      <c r="D514" s="2"/>
      <c r="E514" s="1004">
        <v>0</v>
      </c>
      <c r="F514" s="2"/>
      <c r="G514" s="49" t="s">
        <v>37</v>
      </c>
      <c r="H514" s="705">
        <f t="shared" si="1044"/>
        <v>0</v>
      </c>
      <c r="I514" s="878" t="str">
        <f t="shared" ref="I514" si="1133">IFERROR((H515/H514),"-")</f>
        <v>-</v>
      </c>
      <c r="J514" s="2"/>
      <c r="K514" s="705"/>
      <c r="L514" s="705"/>
      <c r="M514" s="705"/>
      <c r="N514" s="705"/>
      <c r="O514" s="705"/>
      <c r="P514" s="705"/>
      <c r="Q514" s="705"/>
      <c r="R514" s="2"/>
      <c r="S514" s="705">
        <f t="shared" si="1123"/>
        <v>0</v>
      </c>
      <c r="T514" s="878" t="str">
        <f>IFERROR((S515/S514),"-")</f>
        <v>-</v>
      </c>
      <c r="U514" s="2"/>
      <c r="V514" s="705"/>
      <c r="W514" s="705"/>
      <c r="X514" s="705"/>
      <c r="Y514" s="705"/>
      <c r="Z514" s="705"/>
      <c r="AA514" s="705"/>
      <c r="AB514" s="705"/>
      <c r="AC514" s="2"/>
      <c r="AD514" s="705">
        <f ca="1">SUMIF($V$7:AB$7,"&lt;="&amp;$I$7,V514:AA514)</f>
        <v>0</v>
      </c>
      <c r="AE514" s="878" t="str">
        <f ca="1">IFERROR((AD515/AD514),"-")</f>
        <v>-</v>
      </c>
      <c r="AF514" s="2"/>
      <c r="AG514" s="705"/>
      <c r="AH514" s="705"/>
      <c r="AI514" s="705"/>
      <c r="AJ514" s="705"/>
      <c r="AK514" s="705" t="s">
        <v>1434</v>
      </c>
      <c r="AL514" s="705">
        <v>1</v>
      </c>
      <c r="AM514" s="705"/>
      <c r="AN514" s="2"/>
      <c r="AO514" s="705">
        <f ca="1">SUMIF($AG$7:AM$7,"&lt;="&amp;$I$7,AG514:AL514)</f>
        <v>0</v>
      </c>
      <c r="AP514" s="878" t="str">
        <f ca="1">IFERROR((AO515/AO514),"-")</f>
        <v>-</v>
      </c>
      <c r="AQ514" s="2"/>
      <c r="AR514" s="705"/>
      <c r="AS514" s="705"/>
      <c r="AT514" s="705"/>
      <c r="AU514" s="705"/>
      <c r="AV514" s="705"/>
      <c r="AW514" s="705"/>
      <c r="AX514" s="705"/>
      <c r="AY514" s="2"/>
      <c r="AZ514" s="705">
        <f ca="1">SUMIF($AR$7:AX$7,"&lt;="&amp;$I$7,AR514:AW514)</f>
        <v>0</v>
      </c>
      <c r="BA514" s="878" t="str">
        <f ca="1">IFERROR((AZ515/AZ514),"-")</f>
        <v>-</v>
      </c>
      <c r="BB514" s="2"/>
      <c r="BC514" s="705"/>
      <c r="BD514" s="705"/>
      <c r="BE514" s="705"/>
      <c r="BF514" s="705"/>
      <c r="BG514" s="705"/>
      <c r="BH514" s="705"/>
      <c r="BI514" s="705"/>
      <c r="BJ514" s="2"/>
      <c r="BK514" s="705">
        <f ca="1">SUMIF($BC$7:BI$7,"&lt;="&amp;$I$7,BC514:BH514)</f>
        <v>0</v>
      </c>
      <c r="BL514" s="878" t="str">
        <f ca="1">IFERROR((BK515/BK514),"-")</f>
        <v>-</v>
      </c>
      <c r="BM514" s="2"/>
      <c r="BN514" s="884">
        <v>0</v>
      </c>
      <c r="BO514" s="884">
        <v>0</v>
      </c>
      <c r="BP514" s="884">
        <f>SUM(M515:P515,V515:AB515,AG515:AM515,AR515:AX515,BC515:BI515)</f>
        <v>0</v>
      </c>
      <c r="BQ514" s="878" t="str">
        <f t="shared" ref="BQ514" si="1134">IFERROR((BP514/BO514),"-")</f>
        <v>-</v>
      </c>
      <c r="BR514" s="2"/>
      <c r="BS514" s="884"/>
      <c r="BT514" s="884"/>
      <c r="BU514" s="884">
        <f ca="1">E514+S515+AD515+AO515+AZ515+BK515-K515-L515</f>
        <v>0</v>
      </c>
      <c r="BV514" s="1016" t="e">
        <v>#N/A</v>
      </c>
      <c r="BW514" s="1004" t="str">
        <f ca="1">IFERROR((BU514/BV514),"-")</f>
        <v>-</v>
      </c>
      <c r="BX514" s="884">
        <v>0</v>
      </c>
      <c r="BY514" s="878" t="str">
        <f ca="1">IFERROR((BU514/BX514),"-")</f>
        <v>-</v>
      </c>
      <c r="BZ514" s="2"/>
      <c r="CA514" s="884">
        <v>0</v>
      </c>
      <c r="CB514" s="884">
        <v>0</v>
      </c>
      <c r="CC514" s="2"/>
      <c r="CD514" s="84">
        <f>IFERROR(AVERAGEIF($V$7:AB$7,"&lt;="&amp;$I$7,V514:AB514),0)</f>
        <v>0</v>
      </c>
      <c r="CE514" s="2"/>
      <c r="CH514" s="93" t="str">
        <f t="shared" si="1100"/>
        <v>P2 - Execução da estaca EP2.03</v>
      </c>
    </row>
    <row r="515" spans="1:86" s="44" customFormat="1" ht="23.1" hidden="1" customHeight="1" outlineLevel="1">
      <c r="A515" s="74"/>
      <c r="B515" s="1040"/>
      <c r="C515" s="1034"/>
      <c r="D515" s="2"/>
      <c r="E515" s="1005"/>
      <c r="F515" s="2"/>
      <c r="G515" s="50" t="s">
        <v>38</v>
      </c>
      <c r="H515" s="705">
        <f t="shared" si="1044"/>
        <v>0</v>
      </c>
      <c r="I515" s="879"/>
      <c r="J515" s="2"/>
      <c r="K515" s="86"/>
      <c r="L515" s="86"/>
      <c r="M515" s="86"/>
      <c r="N515" s="86"/>
      <c r="O515" s="86"/>
      <c r="P515" s="86"/>
      <c r="Q515" s="706"/>
      <c r="R515" s="2"/>
      <c r="S515" s="705">
        <f t="shared" si="1123"/>
        <v>0</v>
      </c>
      <c r="T515" s="879"/>
      <c r="U515" s="2"/>
      <c r="V515" s="86"/>
      <c r="W515" s="86"/>
      <c r="X515" s="86"/>
      <c r="Y515" s="86"/>
      <c r="Z515" s="86"/>
      <c r="AA515" s="86"/>
      <c r="AB515" s="706"/>
      <c r="AC515" s="2"/>
      <c r="AD515" s="705">
        <f ca="1">SUMIF($V$7:AB$7,"&lt;="&amp;$I$7,V515:AA515)</f>
        <v>0</v>
      </c>
      <c r="AE515" s="879"/>
      <c r="AF515" s="2"/>
      <c r="AG515" s="86"/>
      <c r="AH515" s="86"/>
      <c r="AI515" s="86"/>
      <c r="AJ515" s="86"/>
      <c r="AK515" s="86"/>
      <c r="AL515" s="86"/>
      <c r="AM515" s="706"/>
      <c r="AN515" s="2"/>
      <c r="AO515" s="705">
        <f ca="1">SUMIF($AG$7:AM$7,"&lt;="&amp;$I$7,AG515:AL515)</f>
        <v>0</v>
      </c>
      <c r="AP515" s="879"/>
      <c r="AQ515" s="2"/>
      <c r="AR515" s="86"/>
      <c r="AS515" s="86"/>
      <c r="AT515" s="86"/>
      <c r="AU515" s="86"/>
      <c r="AV515" s="86"/>
      <c r="AW515" s="86"/>
      <c r="AX515" s="706"/>
      <c r="AY515" s="2"/>
      <c r="AZ515" s="705">
        <f ca="1">SUMIF($AR$7:AX$7,"&lt;="&amp;$I$7,AR515:AW515)</f>
        <v>0</v>
      </c>
      <c r="BA515" s="879"/>
      <c r="BB515" s="2"/>
      <c r="BC515" s="86"/>
      <c r="BD515" s="86"/>
      <c r="BE515" s="86"/>
      <c r="BF515" s="86"/>
      <c r="BG515" s="86"/>
      <c r="BH515" s="86"/>
      <c r="BI515" s="706"/>
      <c r="BJ515" s="2"/>
      <c r="BK515" s="705">
        <f ca="1">SUMIF($BC$7:BI$7,"&lt;="&amp;$I$7,BC515:BH515)</f>
        <v>0</v>
      </c>
      <c r="BL515" s="879"/>
      <c r="BM515" s="2"/>
      <c r="BN515" s="885"/>
      <c r="BO515" s="885"/>
      <c r="BP515" s="885"/>
      <c r="BQ515" s="879"/>
      <c r="BR515" s="2"/>
      <c r="BS515" s="885"/>
      <c r="BT515" s="885"/>
      <c r="BU515" s="885"/>
      <c r="BV515" s="1017"/>
      <c r="BW515" s="1005"/>
      <c r="BX515" s="885"/>
      <c r="BY515" s="879"/>
      <c r="BZ515" s="2"/>
      <c r="CA515" s="885"/>
      <c r="CB515" s="885"/>
      <c r="CC515" s="2"/>
      <c r="CD515" s="84">
        <f>IFERROR(AVERAGEIF($V$7:AB$7,"&lt;="&amp;$I$7,V515:AB515),0)</f>
        <v>0</v>
      </c>
      <c r="CE515" s="2"/>
      <c r="CH515" s="93" t="str">
        <f t="shared" si="1100"/>
        <v>P2 - Execução da estaca EP2.03</v>
      </c>
    </row>
    <row r="516" spans="1:86" s="44" customFormat="1" ht="23.1" hidden="1" customHeight="1" outlineLevel="1">
      <c r="A516" s="74"/>
      <c r="B516" s="1039" t="s">
        <v>4084</v>
      </c>
      <c r="C516" s="1014" t="s">
        <v>1437</v>
      </c>
      <c r="D516" s="2"/>
      <c r="E516" s="1004">
        <v>0</v>
      </c>
      <c r="F516" s="2"/>
      <c r="G516" s="49" t="s">
        <v>37</v>
      </c>
      <c r="H516" s="705">
        <f t="shared" si="1044"/>
        <v>0</v>
      </c>
      <c r="I516" s="878" t="str">
        <f t="shared" ref="I516" si="1135">IFERROR((H517/H516),"-")</f>
        <v>-</v>
      </c>
      <c r="J516" s="2"/>
      <c r="K516" s="705"/>
      <c r="L516" s="705"/>
      <c r="M516" s="705"/>
      <c r="N516" s="705"/>
      <c r="O516" s="705"/>
      <c r="P516" s="705"/>
      <c r="Q516" s="705"/>
      <c r="R516" s="2"/>
      <c r="S516" s="705">
        <f t="shared" si="1123"/>
        <v>0</v>
      </c>
      <c r="T516" s="878" t="str">
        <f>IFERROR((S517/S516),"-")</f>
        <v>-</v>
      </c>
      <c r="U516" s="2"/>
      <c r="V516" s="705" t="s">
        <v>1434</v>
      </c>
      <c r="W516" s="705">
        <v>1</v>
      </c>
      <c r="X516" s="705"/>
      <c r="Y516" s="705"/>
      <c r="Z516" s="705"/>
      <c r="AA516" s="705"/>
      <c r="AB516" s="705"/>
      <c r="AC516" s="2"/>
      <c r="AD516" s="705">
        <f ca="1">SUMIF($V$7:AB$7,"&lt;="&amp;$I$7,V516:AA516)</f>
        <v>1</v>
      </c>
      <c r="AE516" s="878">
        <f ca="1">IFERROR((AD517/AD516),"-")</f>
        <v>0</v>
      </c>
      <c r="AF516" s="2"/>
      <c r="AG516" s="705"/>
      <c r="AH516" s="705"/>
      <c r="AI516" s="705"/>
      <c r="AJ516" s="705"/>
      <c r="AK516" s="705"/>
      <c r="AL516" s="705"/>
      <c r="AM516" s="705"/>
      <c r="AN516" s="2"/>
      <c r="AO516" s="705">
        <f ca="1">SUMIF($AG$7:AM$7,"&lt;="&amp;$I$7,AG516:AL516)</f>
        <v>0</v>
      </c>
      <c r="AP516" s="878" t="str">
        <f ca="1">IFERROR((AO517/AO516),"-")</f>
        <v>-</v>
      </c>
      <c r="AQ516" s="2"/>
      <c r="AR516" s="705"/>
      <c r="AS516" s="705"/>
      <c r="AT516" s="705"/>
      <c r="AU516" s="705"/>
      <c r="AV516" s="705"/>
      <c r="AW516" s="705"/>
      <c r="AX516" s="705"/>
      <c r="AY516" s="2"/>
      <c r="AZ516" s="705">
        <f ca="1">SUMIF($AR$7:AX$7,"&lt;="&amp;$I$7,AR516:AW516)</f>
        <v>0</v>
      </c>
      <c r="BA516" s="878" t="str">
        <f ca="1">IFERROR((AZ517/AZ516),"-")</f>
        <v>-</v>
      </c>
      <c r="BB516" s="2"/>
      <c r="BC516" s="705"/>
      <c r="BD516" s="705"/>
      <c r="BE516" s="705"/>
      <c r="BF516" s="705"/>
      <c r="BG516" s="705"/>
      <c r="BH516" s="705"/>
      <c r="BI516" s="705"/>
      <c r="BJ516" s="2"/>
      <c r="BK516" s="705">
        <f ca="1">SUMIF($BC$7:BI$7,"&lt;="&amp;$I$7,BC516:BH516)</f>
        <v>0</v>
      </c>
      <c r="BL516" s="878" t="str">
        <f ca="1">IFERROR((BK517/BK516),"-")</f>
        <v>-</v>
      </c>
      <c r="BM516" s="2"/>
      <c r="BN516" s="884">
        <v>0</v>
      </c>
      <c r="BO516" s="884">
        <v>0</v>
      </c>
      <c r="BP516" s="884">
        <f>SUM(M517:P517,V517:AB517,AG517:AM517,AR517:AX517,BC517:BI517)</f>
        <v>0</v>
      </c>
      <c r="BQ516" s="878" t="str">
        <f t="shared" ref="BQ516" si="1136">IFERROR((BP516/BO516),"-")</f>
        <v>-</v>
      </c>
      <c r="BR516" s="2"/>
      <c r="BS516" s="884"/>
      <c r="BT516" s="884"/>
      <c r="BU516" s="884">
        <f ca="1">E516+S517+AD517+AO517+AZ517+BK517-K517-L517</f>
        <v>0</v>
      </c>
      <c r="BV516" s="1016" t="e">
        <v>#N/A</v>
      </c>
      <c r="BW516" s="1004" t="str">
        <f ca="1">IFERROR((BU516/BV516),"-")</f>
        <v>-</v>
      </c>
      <c r="BX516" s="884">
        <v>0</v>
      </c>
      <c r="BY516" s="878" t="str">
        <f ca="1">IFERROR((BU516/BX516),"-")</f>
        <v>-</v>
      </c>
      <c r="BZ516" s="2"/>
      <c r="CA516" s="884">
        <v>0</v>
      </c>
      <c r="CB516" s="884">
        <v>0</v>
      </c>
      <c r="CC516" s="2"/>
      <c r="CD516" s="504">
        <f>IFERROR(AVERAGEIF($V$7:AB$7,"&lt;="&amp;$I$7,V516:AB516),0)</f>
        <v>1</v>
      </c>
      <c r="CE516" s="2"/>
      <c r="CH516" s="93" t="str">
        <f t="shared" si="1100"/>
        <v>P2 - Execução da estaca EP2.04</v>
      </c>
    </row>
    <row r="517" spans="1:86" ht="14.85" hidden="1" customHeight="1" outlineLevel="1">
      <c r="A517" s="74"/>
      <c r="B517" s="1040"/>
      <c r="C517" s="1034"/>
      <c r="D517" s="2"/>
      <c r="E517" s="1005"/>
      <c r="F517" s="2"/>
      <c r="G517" s="50" t="s">
        <v>38</v>
      </c>
      <c r="H517" s="705">
        <f t="shared" si="1044"/>
        <v>0</v>
      </c>
      <c r="I517" s="879"/>
      <c r="J517" s="2"/>
      <c r="K517" s="86"/>
      <c r="L517" s="86"/>
      <c r="M517" s="86"/>
      <c r="N517" s="86"/>
      <c r="O517" s="86"/>
      <c r="P517" s="86"/>
      <c r="Q517" s="706"/>
      <c r="R517" s="2"/>
      <c r="S517" s="705">
        <f t="shared" si="1123"/>
        <v>0</v>
      </c>
      <c r="T517" s="879"/>
      <c r="U517" s="2"/>
      <c r="V517" s="86"/>
      <c r="W517" s="86"/>
      <c r="X517" s="86"/>
      <c r="Y517" s="86"/>
      <c r="Z517" s="86"/>
      <c r="AA517" s="86"/>
      <c r="AB517" s="706"/>
      <c r="AC517" s="2"/>
      <c r="AD517" s="705">
        <f ca="1">SUMIF($V$7:AB$7,"&lt;="&amp;$I$7,V517:AA517)</f>
        <v>0</v>
      </c>
      <c r="AE517" s="879"/>
      <c r="AF517" s="2"/>
      <c r="AG517" s="86"/>
      <c r="AH517" s="86"/>
      <c r="AI517" s="86"/>
      <c r="AJ517" s="86"/>
      <c r="AK517" s="86"/>
      <c r="AL517" s="86"/>
      <c r="AM517" s="706"/>
      <c r="AN517" s="2"/>
      <c r="AO517" s="705">
        <f ca="1">SUMIF($AG$7:AM$7,"&lt;="&amp;$I$7,AG517:AL517)</f>
        <v>0</v>
      </c>
      <c r="AP517" s="879"/>
      <c r="AQ517" s="2"/>
      <c r="AR517" s="86"/>
      <c r="AS517" s="86"/>
      <c r="AT517" s="86"/>
      <c r="AU517" s="86"/>
      <c r="AV517" s="86"/>
      <c r="AW517" s="86"/>
      <c r="AX517" s="706"/>
      <c r="AY517" s="2"/>
      <c r="AZ517" s="705">
        <f ca="1">SUMIF($AR$7:AX$7,"&lt;="&amp;$I$7,AR517:AW517)</f>
        <v>0</v>
      </c>
      <c r="BA517" s="879"/>
      <c r="BB517" s="2"/>
      <c r="BC517" s="86"/>
      <c r="BD517" s="86"/>
      <c r="BE517" s="86"/>
      <c r="BF517" s="86"/>
      <c r="BG517" s="86"/>
      <c r="BH517" s="86"/>
      <c r="BI517" s="706"/>
      <c r="BJ517" s="2"/>
      <c r="BK517" s="705">
        <f ca="1">SUMIF($BC$7:BI$7,"&lt;="&amp;$I$7,BC517:BH517)</f>
        <v>0</v>
      </c>
      <c r="BL517" s="879"/>
      <c r="BM517" s="2"/>
      <c r="BN517" s="885"/>
      <c r="BO517" s="885"/>
      <c r="BP517" s="885"/>
      <c r="BQ517" s="879"/>
      <c r="BR517" s="2"/>
      <c r="BS517" s="885"/>
      <c r="BT517" s="885"/>
      <c r="BU517" s="885"/>
      <c r="BV517" s="1017"/>
      <c r="BW517" s="1005"/>
      <c r="BX517" s="885"/>
      <c r="BY517" s="879"/>
      <c r="BZ517" s="2"/>
      <c r="CA517" s="885"/>
      <c r="CB517" s="885"/>
      <c r="CC517" s="2"/>
      <c r="CD517" s="504">
        <f>IFERROR(AVERAGEIF($V$7:AB$7,"&lt;="&amp;$I$7,V517:AB517),0)</f>
        <v>0</v>
      </c>
      <c r="CE517" s="2"/>
      <c r="CH517" s="93" t="str">
        <f t="shared" si="1100"/>
        <v>P2 - Execução da estaca EP2.04</v>
      </c>
    </row>
    <row r="518" spans="1:86" s="16" customFormat="1" ht="20.25" hidden="1" customHeight="1" outlineLevel="1">
      <c r="A518" s="74"/>
      <c r="B518" s="1039" t="s">
        <v>4085</v>
      </c>
      <c r="C518" s="1014" t="s">
        <v>1437</v>
      </c>
      <c r="D518" s="2"/>
      <c r="E518" s="1004">
        <v>0</v>
      </c>
      <c r="F518" s="2"/>
      <c r="G518" s="49" t="s">
        <v>37</v>
      </c>
      <c r="H518" s="705">
        <f t="shared" si="1044"/>
        <v>0</v>
      </c>
      <c r="I518" s="878" t="str">
        <f t="shared" ref="I518" si="1137">IFERROR((H519/H518),"-")</f>
        <v>-</v>
      </c>
      <c r="J518" s="2"/>
      <c r="K518" s="705"/>
      <c r="L518" s="705"/>
      <c r="M518" s="705"/>
      <c r="N518" s="705"/>
      <c r="O518" s="705"/>
      <c r="P518" s="705"/>
      <c r="Q518" s="705"/>
      <c r="R518" s="2"/>
      <c r="S518" s="705">
        <f t="shared" si="1123"/>
        <v>0</v>
      </c>
      <c r="T518" s="878" t="str">
        <f>IFERROR((S519/S518),"-")</f>
        <v>-</v>
      </c>
      <c r="U518" s="2"/>
      <c r="V518" s="705"/>
      <c r="W518" s="705"/>
      <c r="X518" s="705"/>
      <c r="Y518" s="705"/>
      <c r="Z518" s="705" t="s">
        <v>1434</v>
      </c>
      <c r="AA518" s="705">
        <v>1</v>
      </c>
      <c r="AB518" s="705"/>
      <c r="AC518" s="2"/>
      <c r="AD518" s="705">
        <f ca="1">SUMIF($V$7:AB$7,"&lt;="&amp;$I$7,V518:AA518)</f>
        <v>1</v>
      </c>
      <c r="AE518" s="878">
        <f ca="1">IFERROR((AD519/AD518),"-")</f>
        <v>0</v>
      </c>
      <c r="AF518" s="2"/>
      <c r="AG518" s="705"/>
      <c r="AH518" s="705"/>
      <c r="AI518" s="705"/>
      <c r="AJ518" s="705"/>
      <c r="AK518" s="705"/>
      <c r="AL518" s="705"/>
      <c r="AM518" s="705"/>
      <c r="AN518" s="2"/>
      <c r="AO518" s="705">
        <f ca="1">SUMIF($AG$7:AM$7,"&lt;="&amp;$I$7,AG518:AL518)</f>
        <v>0</v>
      </c>
      <c r="AP518" s="878" t="str">
        <f ca="1">IFERROR((AO519/AO518),"-")</f>
        <v>-</v>
      </c>
      <c r="AQ518" s="2"/>
      <c r="AR518" s="705"/>
      <c r="AS518" s="705"/>
      <c r="AT518" s="705"/>
      <c r="AU518" s="705"/>
      <c r="AV518" s="705"/>
      <c r="AW518" s="705"/>
      <c r="AX518" s="705"/>
      <c r="AY518" s="2"/>
      <c r="AZ518" s="705">
        <f ca="1">SUMIF($AR$7:AX$7,"&lt;="&amp;$I$7,AR518:AW518)</f>
        <v>0</v>
      </c>
      <c r="BA518" s="878" t="str">
        <f ca="1">IFERROR((AZ519/AZ518),"-")</f>
        <v>-</v>
      </c>
      <c r="BB518" s="2"/>
      <c r="BC518" s="705"/>
      <c r="BD518" s="705"/>
      <c r="BE518" s="705"/>
      <c r="BF518" s="705"/>
      <c r="BG518" s="705"/>
      <c r="BH518" s="705"/>
      <c r="BI518" s="705"/>
      <c r="BJ518" s="2"/>
      <c r="BK518" s="705">
        <f ca="1">SUMIF($BC$7:BI$7,"&lt;="&amp;$I$7,BC518:BH518)</f>
        <v>0</v>
      </c>
      <c r="BL518" s="878" t="str">
        <f ca="1">IFERROR((BK519/BK518),"-")</f>
        <v>-</v>
      </c>
      <c r="BM518" s="2"/>
      <c r="BN518" s="884">
        <v>0</v>
      </c>
      <c r="BO518" s="884">
        <v>0</v>
      </c>
      <c r="BP518" s="884">
        <f>SUM(M519:P519,V519:AB519,AG519:AM519,AR519:AX519,BC519:BI519)</f>
        <v>0</v>
      </c>
      <c r="BQ518" s="878" t="str">
        <f t="shared" ref="BQ518" si="1138">IFERROR((BP518/BO518),"-")</f>
        <v>-</v>
      </c>
      <c r="BR518" s="2"/>
      <c r="BS518" s="884"/>
      <c r="BT518" s="884"/>
      <c r="BU518" s="884">
        <f ca="1">E518+S519+AD519+AO519+AZ519+BK519-K519-L519</f>
        <v>0</v>
      </c>
      <c r="BV518" s="1016" t="e">
        <v>#N/A</v>
      </c>
      <c r="BW518" s="1004" t="str">
        <f ca="1">IFERROR((BU518/BV518),"-")</f>
        <v>-</v>
      </c>
      <c r="BX518" s="884">
        <v>0</v>
      </c>
      <c r="BY518" s="878" t="str">
        <f ca="1">IFERROR((BU518/BX518),"-")</f>
        <v>-</v>
      </c>
      <c r="BZ518" s="2"/>
      <c r="CA518" s="884">
        <v>0</v>
      </c>
      <c r="CB518" s="884">
        <v>0</v>
      </c>
      <c r="CC518" s="2"/>
      <c r="CD518" s="504">
        <f>IFERROR(AVERAGEIF($V$7:AB$7,"&lt;="&amp;$I$7,V518:AB518),0)</f>
        <v>1</v>
      </c>
      <c r="CE518" s="2"/>
      <c r="CH518" s="93" t="str">
        <f t="shared" si="1100"/>
        <v>P2 - Execução da estaca EP2.05</v>
      </c>
    </row>
    <row r="519" spans="1:86" s="16" customFormat="1" ht="15.95" hidden="1" customHeight="1" outlineLevel="1">
      <c r="A519" s="74"/>
      <c r="B519" s="1040"/>
      <c r="C519" s="1034"/>
      <c r="D519" s="2"/>
      <c r="E519" s="1005"/>
      <c r="F519" s="2"/>
      <c r="G519" s="50" t="s">
        <v>38</v>
      </c>
      <c r="H519" s="705">
        <f t="shared" si="1044"/>
        <v>0</v>
      </c>
      <c r="I519" s="879"/>
      <c r="J519" s="2"/>
      <c r="K519" s="86"/>
      <c r="L519" s="86"/>
      <c r="M519" s="86"/>
      <c r="N519" s="86"/>
      <c r="O519" s="86"/>
      <c r="P519" s="86"/>
      <c r="Q519" s="706"/>
      <c r="R519" s="2"/>
      <c r="S519" s="705">
        <f t="shared" si="1123"/>
        <v>0</v>
      </c>
      <c r="T519" s="879"/>
      <c r="U519" s="2"/>
      <c r="V519" s="86"/>
      <c r="W519" s="86"/>
      <c r="X519" s="86"/>
      <c r="Y519" s="86"/>
      <c r="Z519" s="86"/>
      <c r="AA519" s="86"/>
      <c r="AB519" s="706"/>
      <c r="AC519" s="2"/>
      <c r="AD519" s="705">
        <f ca="1">SUMIF($V$7:AB$7,"&lt;="&amp;$I$7,V519:AA519)</f>
        <v>0</v>
      </c>
      <c r="AE519" s="879"/>
      <c r="AF519" s="2"/>
      <c r="AG519" s="86"/>
      <c r="AH519" s="86"/>
      <c r="AI519" s="86"/>
      <c r="AJ519" s="86"/>
      <c r="AK519" s="86"/>
      <c r="AL519" s="86"/>
      <c r="AM519" s="706"/>
      <c r="AN519" s="2"/>
      <c r="AO519" s="705">
        <f ca="1">SUMIF($AG$7:AM$7,"&lt;="&amp;$I$7,AG519:AL519)</f>
        <v>0</v>
      </c>
      <c r="AP519" s="879"/>
      <c r="AQ519" s="2"/>
      <c r="AR519" s="86"/>
      <c r="AS519" s="86"/>
      <c r="AT519" s="86"/>
      <c r="AU519" s="86"/>
      <c r="AV519" s="86"/>
      <c r="AW519" s="86"/>
      <c r="AX519" s="706"/>
      <c r="AY519" s="2"/>
      <c r="AZ519" s="705">
        <f ca="1">SUMIF($AR$7:AX$7,"&lt;="&amp;$I$7,AR519:AW519)</f>
        <v>0</v>
      </c>
      <c r="BA519" s="879"/>
      <c r="BB519" s="2"/>
      <c r="BC519" s="86"/>
      <c r="BD519" s="86"/>
      <c r="BE519" s="86"/>
      <c r="BF519" s="86"/>
      <c r="BG519" s="86"/>
      <c r="BH519" s="86"/>
      <c r="BI519" s="706"/>
      <c r="BJ519" s="2"/>
      <c r="BK519" s="705">
        <f ca="1">SUMIF($BC$7:BI$7,"&lt;="&amp;$I$7,BC519:BH519)</f>
        <v>0</v>
      </c>
      <c r="BL519" s="879"/>
      <c r="BM519" s="2"/>
      <c r="BN519" s="885"/>
      <c r="BO519" s="885"/>
      <c r="BP519" s="885"/>
      <c r="BQ519" s="879"/>
      <c r="BR519" s="2"/>
      <c r="BS519" s="885"/>
      <c r="BT519" s="885"/>
      <c r="BU519" s="885"/>
      <c r="BV519" s="1017"/>
      <c r="BW519" s="1005"/>
      <c r="BX519" s="885"/>
      <c r="BY519" s="879"/>
      <c r="BZ519" s="2"/>
      <c r="CA519" s="885"/>
      <c r="CB519" s="885"/>
      <c r="CC519" s="2"/>
      <c r="CD519" s="504">
        <f>IFERROR(AVERAGEIF($V$7:AB$7,"&lt;="&amp;$I$7,V519:AB519),0)</f>
        <v>0</v>
      </c>
      <c r="CE519" s="2"/>
      <c r="CH519" s="93" t="str">
        <f t="shared" si="1100"/>
        <v>P2 - Execução da estaca EP2.05</v>
      </c>
    </row>
    <row r="520" spans="1:86" s="16" customFormat="1" ht="20.25" hidden="1" customHeight="1" outlineLevel="1">
      <c r="A520" s="74"/>
      <c r="B520" s="1039" t="s">
        <v>4086</v>
      </c>
      <c r="C520" s="1014" t="s">
        <v>1437</v>
      </c>
      <c r="D520" s="2"/>
      <c r="E520" s="1004">
        <v>1</v>
      </c>
      <c r="F520" s="2"/>
      <c r="G520" s="49" t="s">
        <v>37</v>
      </c>
      <c r="H520" s="705">
        <f t="shared" si="1044"/>
        <v>0</v>
      </c>
      <c r="I520" s="878" t="str">
        <f t="shared" ref="I520" si="1139">IFERROR((H521/H520),"-")</f>
        <v>-</v>
      </c>
      <c r="J520" s="2"/>
      <c r="K520" s="705"/>
      <c r="L520" s="705"/>
      <c r="M520" s="705"/>
      <c r="N520" s="705"/>
      <c r="O520" s="705"/>
      <c r="P520" s="705"/>
      <c r="Q520" s="705"/>
      <c r="R520" s="2"/>
      <c r="S520" s="705">
        <f t="shared" si="1123"/>
        <v>0</v>
      </c>
      <c r="T520" s="878" t="str">
        <f>IFERROR((S521/S520),"-")</f>
        <v>-</v>
      </c>
      <c r="U520" s="2"/>
      <c r="V520" s="705"/>
      <c r="W520" s="705"/>
      <c r="X520" s="705"/>
      <c r="Y520" s="705"/>
      <c r="Z520" s="705"/>
      <c r="AA520" s="705"/>
      <c r="AB520" s="705"/>
      <c r="AC520" s="2"/>
      <c r="AD520" s="705">
        <f ca="1">SUMIF($V$7:AB$7,"&lt;="&amp;$I$7,V520:AA520)</f>
        <v>0</v>
      </c>
      <c r="AE520" s="878" t="str">
        <f ca="1">IFERROR((AD521/AD520),"-")</f>
        <v>-</v>
      </c>
      <c r="AF520" s="2"/>
      <c r="AG520" s="705"/>
      <c r="AH520" s="705"/>
      <c r="AI520" s="705"/>
      <c r="AJ520" s="705"/>
      <c r="AK520" s="705"/>
      <c r="AL520" s="705"/>
      <c r="AM520" s="705"/>
      <c r="AN520" s="2"/>
      <c r="AO520" s="705">
        <f ca="1">SUMIF($AG$7:AM$7,"&lt;="&amp;$I$7,AG520:AL520)</f>
        <v>0</v>
      </c>
      <c r="AP520" s="878" t="str">
        <f ca="1">IFERROR((AO521/AO520),"-")</f>
        <v>-</v>
      </c>
      <c r="AQ520" s="2"/>
      <c r="AR520" s="705"/>
      <c r="AS520" s="705"/>
      <c r="AT520" s="705"/>
      <c r="AU520" s="705"/>
      <c r="AV520" s="705"/>
      <c r="AW520" s="705"/>
      <c r="AX520" s="705"/>
      <c r="AY520" s="2"/>
      <c r="AZ520" s="705">
        <f ca="1">SUMIF($AR$7:AX$7,"&lt;="&amp;$I$7,AR520:AW520)</f>
        <v>0</v>
      </c>
      <c r="BA520" s="878" t="str">
        <f ca="1">IFERROR((AZ521/AZ520),"-")</f>
        <v>-</v>
      </c>
      <c r="BB520" s="2"/>
      <c r="BC520" s="705"/>
      <c r="BD520" s="705"/>
      <c r="BE520" s="705"/>
      <c r="BF520" s="705"/>
      <c r="BG520" s="705"/>
      <c r="BH520" s="705"/>
      <c r="BI520" s="705"/>
      <c r="BJ520" s="2"/>
      <c r="BK520" s="705">
        <f ca="1">SUMIF($BC$7:BI$7,"&lt;="&amp;$I$7,BC520:BH520)</f>
        <v>0</v>
      </c>
      <c r="BL520" s="878" t="str">
        <f ca="1">IFERROR((BK521/BK520),"-")</f>
        <v>-</v>
      </c>
      <c r="BM520" s="2"/>
      <c r="BN520" s="884">
        <v>0</v>
      </c>
      <c r="BO520" s="884">
        <v>0</v>
      </c>
      <c r="BP520" s="884">
        <f>SUM(M521:P521,V521:AB521,AG521:AM521,AR521:AX521,BC521:BI521)</f>
        <v>0</v>
      </c>
      <c r="BQ520" s="878" t="str">
        <f t="shared" ref="BQ520" si="1140">IFERROR((BP520/BO520),"-")</f>
        <v>-</v>
      </c>
      <c r="BR520" s="2"/>
      <c r="BS520" s="884"/>
      <c r="BT520" s="884"/>
      <c r="BU520" s="884">
        <f ca="1">E520+S521+AD521+AO521+AZ521+BK521-K521-L521</f>
        <v>1</v>
      </c>
      <c r="BV520" s="1016" t="e">
        <v>#N/A</v>
      </c>
      <c r="BW520" s="1004" t="str">
        <f ca="1">IFERROR((BU520/BV520),"-")</f>
        <v>-</v>
      </c>
      <c r="BX520" s="884">
        <v>0</v>
      </c>
      <c r="BY520" s="878" t="str">
        <f ca="1">IFERROR((BU520/BX520),"-")</f>
        <v>-</v>
      </c>
      <c r="BZ520" s="2"/>
      <c r="CA520" s="884">
        <v>0</v>
      </c>
      <c r="CB520" s="884">
        <v>0</v>
      </c>
      <c r="CC520" s="2"/>
      <c r="CD520" s="504">
        <f>IFERROR(AVERAGEIF($V$7:AB$7,"&lt;="&amp;$I$7,V520:AB520),0)</f>
        <v>0</v>
      </c>
      <c r="CE520" s="2"/>
      <c r="CH520" s="93" t="str">
        <f t="shared" si="1100"/>
        <v>P2 - Execução da estaca EP2.19</v>
      </c>
    </row>
    <row r="521" spans="1:86" s="16" customFormat="1" ht="15.95" hidden="1" customHeight="1" outlineLevel="1">
      <c r="A521" s="74"/>
      <c r="B521" s="1040"/>
      <c r="C521" s="1034"/>
      <c r="D521" s="2"/>
      <c r="E521" s="1005"/>
      <c r="F521" s="2"/>
      <c r="G521" s="50" t="s">
        <v>38</v>
      </c>
      <c r="H521" s="705">
        <f t="shared" si="1044"/>
        <v>0</v>
      </c>
      <c r="I521" s="879"/>
      <c r="J521" s="2"/>
      <c r="K521" s="86"/>
      <c r="L521" s="86"/>
      <c r="M521" s="86"/>
      <c r="N521" s="86"/>
      <c r="O521" s="86"/>
      <c r="P521" s="86"/>
      <c r="Q521" s="706"/>
      <c r="R521" s="2"/>
      <c r="S521" s="705">
        <f t="shared" si="1123"/>
        <v>0</v>
      </c>
      <c r="T521" s="879"/>
      <c r="U521" s="2"/>
      <c r="V521" s="86"/>
      <c r="W521" s="86"/>
      <c r="X521" s="86"/>
      <c r="Y521" s="86"/>
      <c r="Z521" s="86"/>
      <c r="AA521" s="86"/>
      <c r="AB521" s="706"/>
      <c r="AC521" s="2"/>
      <c r="AD521" s="705">
        <f ca="1">SUMIF($V$7:AB$7,"&lt;="&amp;$I$7,V521:AA521)</f>
        <v>0</v>
      </c>
      <c r="AE521" s="879"/>
      <c r="AF521" s="2"/>
      <c r="AG521" s="86"/>
      <c r="AH521" s="86"/>
      <c r="AI521" s="86"/>
      <c r="AJ521" s="86"/>
      <c r="AK521" s="86"/>
      <c r="AL521" s="86"/>
      <c r="AM521" s="706"/>
      <c r="AN521" s="2"/>
      <c r="AO521" s="705">
        <f ca="1">SUMIF($AG$7:AM$7,"&lt;="&amp;$I$7,AG521:AL521)</f>
        <v>0</v>
      </c>
      <c r="AP521" s="879"/>
      <c r="AQ521" s="2"/>
      <c r="AR521" s="86"/>
      <c r="AS521" s="86"/>
      <c r="AT521" s="86"/>
      <c r="AU521" s="86"/>
      <c r="AV521" s="86"/>
      <c r="AW521" s="86"/>
      <c r="AX521" s="706"/>
      <c r="AY521" s="2"/>
      <c r="AZ521" s="705">
        <f ca="1">SUMIF($AR$7:AX$7,"&lt;="&amp;$I$7,AR521:AW521)</f>
        <v>0</v>
      </c>
      <c r="BA521" s="879"/>
      <c r="BB521" s="2"/>
      <c r="BC521" s="86"/>
      <c r="BD521" s="86"/>
      <c r="BE521" s="86"/>
      <c r="BF521" s="86"/>
      <c r="BG521" s="86"/>
      <c r="BH521" s="86"/>
      <c r="BI521" s="706"/>
      <c r="BJ521" s="2"/>
      <c r="BK521" s="705">
        <f ca="1">SUMIF($BC$7:BI$7,"&lt;="&amp;$I$7,BC521:BH521)</f>
        <v>0</v>
      </c>
      <c r="BL521" s="879"/>
      <c r="BM521" s="2"/>
      <c r="BN521" s="885"/>
      <c r="BO521" s="885"/>
      <c r="BP521" s="885"/>
      <c r="BQ521" s="879"/>
      <c r="BR521" s="2"/>
      <c r="BS521" s="885"/>
      <c r="BT521" s="885"/>
      <c r="BU521" s="885"/>
      <c r="BV521" s="1017"/>
      <c r="BW521" s="1005"/>
      <c r="BX521" s="885"/>
      <c r="BY521" s="879"/>
      <c r="BZ521" s="2"/>
      <c r="CA521" s="885"/>
      <c r="CB521" s="885"/>
      <c r="CC521" s="2"/>
      <c r="CD521" s="504">
        <f>IFERROR(AVERAGEIF($V$7:AB$7,"&lt;="&amp;$I$7,V521:AB521),0)</f>
        <v>0</v>
      </c>
      <c r="CE521" s="2"/>
      <c r="CH521" s="93" t="str">
        <f t="shared" si="1100"/>
        <v>P2 - Execução da estaca EP2.19</v>
      </c>
    </row>
    <row r="522" spans="1:86" s="16" customFormat="1" ht="20.25" hidden="1" customHeight="1" outlineLevel="1">
      <c r="A522" s="74"/>
      <c r="B522" s="1039" t="s">
        <v>4087</v>
      </c>
      <c r="C522" s="1014" t="s">
        <v>1437</v>
      </c>
      <c r="D522" s="2"/>
      <c r="E522" s="1004">
        <v>0</v>
      </c>
      <c r="F522" s="2"/>
      <c r="G522" s="49" t="s">
        <v>37</v>
      </c>
      <c r="H522" s="705">
        <f t="shared" si="1044"/>
        <v>0</v>
      </c>
      <c r="I522" s="878" t="str">
        <f t="shared" ref="I522" si="1141">IFERROR((H523/H522),"-")</f>
        <v>-</v>
      </c>
      <c r="J522" s="2"/>
      <c r="K522" s="705"/>
      <c r="L522" s="705"/>
      <c r="M522" s="705" t="s">
        <v>1434</v>
      </c>
      <c r="N522" s="705">
        <v>1</v>
      </c>
      <c r="O522" s="705"/>
      <c r="P522" s="705"/>
      <c r="Q522" s="705"/>
      <c r="R522" s="2"/>
      <c r="S522" s="705">
        <f t="shared" si="1123"/>
        <v>1</v>
      </c>
      <c r="T522" s="878">
        <f>IFERROR((S523/S522),"-")</f>
        <v>0</v>
      </c>
      <c r="U522" s="2"/>
      <c r="V522" s="705"/>
      <c r="W522" s="705"/>
      <c r="X522" s="705"/>
      <c r="Y522" s="705"/>
      <c r="Z522" s="705"/>
      <c r="AA522" s="705"/>
      <c r="AB522" s="705"/>
      <c r="AC522" s="2"/>
      <c r="AD522" s="705">
        <f ca="1">SUMIF($V$7:AB$7,"&lt;="&amp;$I$7,V522:AA522)</f>
        <v>0</v>
      </c>
      <c r="AE522" s="878" t="str">
        <f ca="1">IFERROR((AD523/AD522),"-")</f>
        <v>-</v>
      </c>
      <c r="AF522" s="2"/>
      <c r="AG522" s="705"/>
      <c r="AH522" s="705"/>
      <c r="AI522" s="705"/>
      <c r="AJ522" s="705"/>
      <c r="AK522" s="705"/>
      <c r="AL522" s="705"/>
      <c r="AM522" s="705"/>
      <c r="AN522" s="2"/>
      <c r="AO522" s="705">
        <f ca="1">SUMIF($AG$7:AM$7,"&lt;="&amp;$I$7,AG522:AL522)</f>
        <v>0</v>
      </c>
      <c r="AP522" s="878" t="str">
        <f ca="1">IFERROR((AO523/AO522),"-")</f>
        <v>-</v>
      </c>
      <c r="AQ522" s="2"/>
      <c r="AR522" s="705"/>
      <c r="AS522" s="705"/>
      <c r="AT522" s="705"/>
      <c r="AU522" s="705"/>
      <c r="AV522" s="705"/>
      <c r="AW522" s="705"/>
      <c r="AX522" s="705"/>
      <c r="AY522" s="2"/>
      <c r="AZ522" s="705">
        <f ca="1">SUMIF($AR$7:AX$7,"&lt;="&amp;$I$7,AR522:AW522)</f>
        <v>0</v>
      </c>
      <c r="BA522" s="878" t="str">
        <f ca="1">IFERROR((AZ523/AZ522),"-")</f>
        <v>-</v>
      </c>
      <c r="BB522" s="2"/>
      <c r="BC522" s="705"/>
      <c r="BD522" s="705"/>
      <c r="BE522" s="705"/>
      <c r="BF522" s="705"/>
      <c r="BG522" s="705"/>
      <c r="BH522" s="705"/>
      <c r="BI522" s="705"/>
      <c r="BJ522" s="2"/>
      <c r="BK522" s="705">
        <f ca="1">SUMIF($BC$7:BI$7,"&lt;="&amp;$I$7,BC522:BH522)</f>
        <v>0</v>
      </c>
      <c r="BL522" s="878" t="str">
        <f ca="1">IFERROR((BK523/BK522),"-")</f>
        <v>-</v>
      </c>
      <c r="BM522" s="2"/>
      <c r="BN522" s="884">
        <v>0</v>
      </c>
      <c r="BO522" s="884">
        <v>0</v>
      </c>
      <c r="BP522" s="884">
        <f>SUM(M523:P523,V523:AB523,AG523:AM523,AR523:AX523,BC523:BI523)</f>
        <v>1</v>
      </c>
      <c r="BQ522" s="878" t="str">
        <f t="shared" ref="BQ522" si="1142">IFERROR((BP522/BO522),"-")</f>
        <v>-</v>
      </c>
      <c r="BR522" s="2"/>
      <c r="BS522" s="884"/>
      <c r="BT522" s="884"/>
      <c r="BU522" s="884">
        <f ca="1">E522+S523+AD523+AO523+AZ523+BK523-K523-L523</f>
        <v>1</v>
      </c>
      <c r="BV522" s="1016" t="e">
        <v>#N/A</v>
      </c>
      <c r="BW522" s="1004" t="str">
        <f ca="1">IFERROR((BU522/BV522),"-")</f>
        <v>-</v>
      </c>
      <c r="BX522" s="884">
        <v>0</v>
      </c>
      <c r="BY522" s="878" t="str">
        <f ca="1">IFERROR((BU522/BX522),"-")</f>
        <v>-</v>
      </c>
      <c r="BZ522" s="2"/>
      <c r="CA522" s="884">
        <v>0</v>
      </c>
      <c r="CB522" s="884">
        <v>0</v>
      </c>
      <c r="CC522" s="2"/>
      <c r="CD522" s="504">
        <f>IFERROR(AVERAGEIF($V$7:AB$7,"&lt;="&amp;$I$7,V522:AB522),0)</f>
        <v>0</v>
      </c>
      <c r="CE522" s="2"/>
      <c r="CH522" s="93" t="str">
        <f t="shared" si="1100"/>
        <v>P2 - Execução da estaca EP2.08</v>
      </c>
    </row>
    <row r="523" spans="1:86" s="16" customFormat="1" ht="15.95" hidden="1" customHeight="1" outlineLevel="1">
      <c r="A523" s="74"/>
      <c r="B523" s="1040"/>
      <c r="C523" s="1034"/>
      <c r="D523" s="2"/>
      <c r="E523" s="1005"/>
      <c r="F523" s="2"/>
      <c r="G523" s="50" t="s">
        <v>38</v>
      </c>
      <c r="H523" s="705">
        <f t="shared" si="1044"/>
        <v>0</v>
      </c>
      <c r="I523" s="879"/>
      <c r="J523" s="2"/>
      <c r="K523" s="86"/>
      <c r="L523" s="86"/>
      <c r="M523" s="86"/>
      <c r="N523" s="86"/>
      <c r="O523" s="86"/>
      <c r="P523" s="86"/>
      <c r="Q523" s="706"/>
      <c r="R523" s="2"/>
      <c r="S523" s="705">
        <f t="shared" si="1123"/>
        <v>0</v>
      </c>
      <c r="T523" s="879"/>
      <c r="U523" s="2"/>
      <c r="V523" s="86"/>
      <c r="W523" s="86"/>
      <c r="X523" s="86"/>
      <c r="Y523" s="86"/>
      <c r="Z523" s="86">
        <v>1</v>
      </c>
      <c r="AA523" s="86"/>
      <c r="AB523" s="706"/>
      <c r="AC523" s="2"/>
      <c r="AD523" s="705">
        <f ca="1">SUMIF($V$7:AB$7,"&lt;="&amp;$I$7,V523:AA523)</f>
        <v>1</v>
      </c>
      <c r="AE523" s="879"/>
      <c r="AF523" s="2"/>
      <c r="AG523" s="86"/>
      <c r="AH523" s="86"/>
      <c r="AI523" s="86"/>
      <c r="AJ523" s="86"/>
      <c r="AK523" s="86"/>
      <c r="AL523" s="86"/>
      <c r="AM523" s="706"/>
      <c r="AN523" s="2"/>
      <c r="AO523" s="705">
        <f ca="1">SUMIF($AG$7:AM$7,"&lt;="&amp;$I$7,AG523:AL523)</f>
        <v>0</v>
      </c>
      <c r="AP523" s="879"/>
      <c r="AQ523" s="2"/>
      <c r="AR523" s="86"/>
      <c r="AS523" s="86"/>
      <c r="AT523" s="86"/>
      <c r="AU523" s="86"/>
      <c r="AV523" s="86"/>
      <c r="AW523" s="86"/>
      <c r="AX523" s="706"/>
      <c r="AY523" s="2"/>
      <c r="AZ523" s="705">
        <f ca="1">SUMIF($AR$7:AX$7,"&lt;="&amp;$I$7,AR523:AW523)</f>
        <v>0</v>
      </c>
      <c r="BA523" s="879"/>
      <c r="BB523" s="2"/>
      <c r="BC523" s="86"/>
      <c r="BD523" s="86"/>
      <c r="BE523" s="86"/>
      <c r="BF523" s="86"/>
      <c r="BG523" s="86"/>
      <c r="BH523" s="86"/>
      <c r="BI523" s="706"/>
      <c r="BJ523" s="2"/>
      <c r="BK523" s="705">
        <f ca="1">SUMIF($BC$7:BI$7,"&lt;="&amp;$I$7,BC523:BH523)</f>
        <v>0</v>
      </c>
      <c r="BL523" s="879"/>
      <c r="BM523" s="2"/>
      <c r="BN523" s="885"/>
      <c r="BO523" s="885"/>
      <c r="BP523" s="885"/>
      <c r="BQ523" s="879"/>
      <c r="BR523" s="2"/>
      <c r="BS523" s="885"/>
      <c r="BT523" s="885"/>
      <c r="BU523" s="885"/>
      <c r="BV523" s="1017"/>
      <c r="BW523" s="1005"/>
      <c r="BX523" s="885"/>
      <c r="BY523" s="879"/>
      <c r="BZ523" s="2"/>
      <c r="CA523" s="885"/>
      <c r="CB523" s="885"/>
      <c r="CC523" s="2"/>
      <c r="CD523" s="504">
        <f>IFERROR(AVERAGEIF($V$7:AB$7,"&lt;="&amp;$I$7,V523:AB523),0)</f>
        <v>1</v>
      </c>
      <c r="CE523" s="2"/>
      <c r="CH523" s="93" t="str">
        <f t="shared" si="1100"/>
        <v>P2 - Execução da estaca EP2.08</v>
      </c>
    </row>
    <row r="524" spans="1:86" s="16" customFormat="1" ht="20.25" hidden="1" customHeight="1" outlineLevel="1" collapsed="1">
      <c r="A524" s="74"/>
      <c r="B524" s="1039" t="s">
        <v>4088</v>
      </c>
      <c r="C524" s="1014" t="s">
        <v>1437</v>
      </c>
      <c r="D524" s="2"/>
      <c r="E524" s="1004">
        <v>0</v>
      </c>
      <c r="F524" s="2"/>
      <c r="G524" s="49" t="s">
        <v>37</v>
      </c>
      <c r="H524" s="705">
        <f t="shared" ref="H524:H587" si="1143">SUMIF($K$7:$BI$7,$I$7,K524:BI524)</f>
        <v>0</v>
      </c>
      <c r="I524" s="878" t="str">
        <f t="shared" ref="I524" si="1144">IFERROR((H525/H524),"-")</f>
        <v>-</v>
      </c>
      <c r="J524" s="2"/>
      <c r="K524" s="705"/>
      <c r="L524" s="705"/>
      <c r="M524" s="705"/>
      <c r="N524" s="705"/>
      <c r="O524" s="705" t="s">
        <v>1434</v>
      </c>
      <c r="P524" s="705">
        <v>1</v>
      </c>
      <c r="Q524" s="705"/>
      <c r="R524" s="2"/>
      <c r="S524" s="705">
        <f t="shared" si="1123"/>
        <v>1</v>
      </c>
      <c r="T524" s="878">
        <f>IFERROR((S525/S524),"-")</f>
        <v>0</v>
      </c>
      <c r="U524" s="2"/>
      <c r="V524" s="705"/>
      <c r="W524" s="705"/>
      <c r="X524" s="705"/>
      <c r="Y524" s="705"/>
      <c r="Z524" s="705"/>
      <c r="AA524" s="705"/>
      <c r="AB524" s="705"/>
      <c r="AC524" s="2"/>
      <c r="AD524" s="705">
        <f ca="1">SUMIF($V$7:AB$7,"&lt;="&amp;$I$7,V524:AA524)</f>
        <v>0</v>
      </c>
      <c r="AE524" s="878" t="str">
        <f ca="1">IFERROR((AD525/AD524),"-")</f>
        <v>-</v>
      </c>
      <c r="AF524" s="2"/>
      <c r="AG524" s="705">
        <v>1</v>
      </c>
      <c r="AH524" s="705"/>
      <c r="AI524" s="705"/>
      <c r="AJ524" s="705"/>
      <c r="AK524" s="705"/>
      <c r="AL524" s="705"/>
      <c r="AM524" s="705"/>
      <c r="AN524" s="2"/>
      <c r="AO524" s="705">
        <f ca="1">SUMIF($AG$7:AM$7,"&lt;="&amp;$I$7,AG524:AL524)</f>
        <v>1</v>
      </c>
      <c r="AP524" s="878">
        <f ca="1">IFERROR((AO525/AO524),"-")</f>
        <v>1</v>
      </c>
      <c r="AQ524" s="2"/>
      <c r="AR524" s="705"/>
      <c r="AS524" s="705"/>
      <c r="AT524" s="705"/>
      <c r="AU524" s="705"/>
      <c r="AV524" s="705"/>
      <c r="AW524" s="705"/>
      <c r="AX524" s="705"/>
      <c r="AY524" s="2"/>
      <c r="AZ524" s="705">
        <f ca="1">SUMIF($AR$7:AX$7,"&lt;="&amp;$I$7,AR524:AW524)</f>
        <v>0</v>
      </c>
      <c r="BA524" s="878" t="str">
        <f ca="1">IFERROR((AZ525/AZ524),"-")</f>
        <v>-</v>
      </c>
      <c r="BB524" s="2"/>
      <c r="BC524" s="705"/>
      <c r="BD524" s="705"/>
      <c r="BE524" s="705"/>
      <c r="BF524" s="705"/>
      <c r="BG524" s="705"/>
      <c r="BH524" s="705"/>
      <c r="BI524" s="705"/>
      <c r="BJ524" s="2"/>
      <c r="BK524" s="705">
        <f ca="1">SUMIF($BC$7:BI$7,"&lt;="&amp;$I$7,BC524:BH524)</f>
        <v>0</v>
      </c>
      <c r="BL524" s="878" t="str">
        <f ca="1">IFERROR((BK525/BK524),"-")</f>
        <v>-</v>
      </c>
      <c r="BM524" s="2"/>
      <c r="BN524" s="884">
        <v>0</v>
      </c>
      <c r="BO524" s="884">
        <v>0</v>
      </c>
      <c r="BP524" s="884">
        <f>SUM(M525:P525,V525:AB525,AG525:AM525,AR525:AX525,BC525:BI525)</f>
        <v>1</v>
      </c>
      <c r="BQ524" s="878" t="str">
        <f t="shared" ref="BQ524" si="1145">IFERROR((BP524/BO524),"-")</f>
        <v>-</v>
      </c>
      <c r="BR524" s="2"/>
      <c r="BS524" s="884"/>
      <c r="BT524" s="884"/>
      <c r="BU524" s="884">
        <f ca="1">E524+S525+AD525+AO525+AZ525+BK525-K525-L525</f>
        <v>1</v>
      </c>
      <c r="BV524" s="1016" t="e">
        <v>#N/A</v>
      </c>
      <c r="BW524" s="1004" t="str">
        <f ca="1">IFERROR((BU524/BV524),"-")</f>
        <v>-</v>
      </c>
      <c r="BX524" s="884">
        <v>0</v>
      </c>
      <c r="BY524" s="878" t="str">
        <f ca="1">IFERROR((BU524/BX524),"-")</f>
        <v>-</v>
      </c>
      <c r="BZ524" s="2"/>
      <c r="CA524" s="884">
        <v>0</v>
      </c>
      <c r="CB524" s="884">
        <v>0</v>
      </c>
      <c r="CC524" s="2"/>
      <c r="CD524" s="504">
        <f>IFERROR(AVERAGEIF($V$7:AB$7,"&lt;="&amp;$I$7,V524:AB524),0)</f>
        <v>0</v>
      </c>
      <c r="CE524" s="2"/>
      <c r="CH524" s="93" t="str">
        <f t="shared" si="1100"/>
        <v>P2 - Execução da estaca EP2.17</v>
      </c>
    </row>
    <row r="525" spans="1:86" s="16" customFormat="1" ht="15.95" hidden="1" customHeight="1" outlineLevel="1">
      <c r="A525" s="74"/>
      <c r="B525" s="1040"/>
      <c r="C525" s="1034"/>
      <c r="D525" s="2"/>
      <c r="E525" s="1005"/>
      <c r="F525" s="2"/>
      <c r="G525" s="50" t="s">
        <v>38</v>
      </c>
      <c r="H525" s="705">
        <f t="shared" si="1143"/>
        <v>1</v>
      </c>
      <c r="I525" s="879"/>
      <c r="J525" s="2"/>
      <c r="K525" s="86"/>
      <c r="L525" s="86"/>
      <c r="M525" s="86"/>
      <c r="N525" s="86"/>
      <c r="O525" s="86"/>
      <c r="P525" s="86"/>
      <c r="Q525" s="706"/>
      <c r="R525" s="2"/>
      <c r="S525" s="705">
        <f t="shared" si="1123"/>
        <v>0</v>
      </c>
      <c r="T525" s="879"/>
      <c r="U525" s="2"/>
      <c r="V525" s="86"/>
      <c r="W525" s="86"/>
      <c r="X525" s="86"/>
      <c r="Y525" s="86"/>
      <c r="Z525" s="86"/>
      <c r="AA525" s="86"/>
      <c r="AB525" s="706"/>
      <c r="AC525" s="2"/>
      <c r="AD525" s="705">
        <f ca="1">SUMIF($V$7:AB$7,"&lt;="&amp;$I$7,V525:AA525)</f>
        <v>0</v>
      </c>
      <c r="AE525" s="879"/>
      <c r="AF525" s="2"/>
      <c r="AG525" s="86" t="s">
        <v>1434</v>
      </c>
      <c r="AH525" s="86">
        <v>1</v>
      </c>
      <c r="AI525" s="86"/>
      <c r="AJ525" s="86"/>
      <c r="AK525" s="86"/>
      <c r="AL525" s="86"/>
      <c r="AM525" s="706"/>
      <c r="AN525" s="2"/>
      <c r="AO525" s="705">
        <f ca="1">SUMIF($AG$7:AM$7,"&lt;="&amp;$I$7,AG525:AL525)</f>
        <v>1</v>
      </c>
      <c r="AP525" s="879"/>
      <c r="AQ525" s="2"/>
      <c r="AR525" s="86"/>
      <c r="AS525" s="86"/>
      <c r="AT525" s="86"/>
      <c r="AU525" s="86"/>
      <c r="AV525" s="86"/>
      <c r="AW525" s="86"/>
      <c r="AX525" s="706"/>
      <c r="AY525" s="2"/>
      <c r="AZ525" s="705">
        <f ca="1">SUMIF($AR$7:AX$7,"&lt;="&amp;$I$7,AR525:AW525)</f>
        <v>0</v>
      </c>
      <c r="BA525" s="879"/>
      <c r="BB525" s="2"/>
      <c r="BC525" s="86"/>
      <c r="BD525" s="86"/>
      <c r="BE525" s="86"/>
      <c r="BF525" s="86"/>
      <c r="BG525" s="86"/>
      <c r="BH525" s="86"/>
      <c r="BI525" s="706"/>
      <c r="BJ525" s="2"/>
      <c r="BK525" s="705">
        <f ca="1">SUMIF($BC$7:BI$7,"&lt;="&amp;$I$7,BC525:BH525)</f>
        <v>0</v>
      </c>
      <c r="BL525" s="879"/>
      <c r="BM525" s="2"/>
      <c r="BN525" s="885"/>
      <c r="BO525" s="885"/>
      <c r="BP525" s="885"/>
      <c r="BQ525" s="879"/>
      <c r="BR525" s="2"/>
      <c r="BS525" s="885"/>
      <c r="BT525" s="885"/>
      <c r="BU525" s="885"/>
      <c r="BV525" s="1017"/>
      <c r="BW525" s="1005"/>
      <c r="BX525" s="885"/>
      <c r="BY525" s="879"/>
      <c r="BZ525" s="2"/>
      <c r="CA525" s="885"/>
      <c r="CB525" s="885"/>
      <c r="CC525" s="2"/>
      <c r="CD525" s="504">
        <f>IFERROR(AVERAGEIF($V$7:AB$7,"&lt;="&amp;$I$7,V525:AB525),0)</f>
        <v>0</v>
      </c>
      <c r="CE525" s="2"/>
      <c r="CH525" s="93" t="str">
        <f t="shared" si="1100"/>
        <v>P2 - Execução da estaca EP2.17</v>
      </c>
    </row>
    <row r="526" spans="1:86" s="16" customFormat="1" ht="20.25" hidden="1" customHeight="1" outlineLevel="1">
      <c r="A526" s="74"/>
      <c r="B526" s="1039" t="s">
        <v>4089</v>
      </c>
      <c r="C526" s="1014" t="s">
        <v>1437</v>
      </c>
      <c r="D526" s="2"/>
      <c r="E526" s="1004">
        <v>0</v>
      </c>
      <c r="F526" s="2"/>
      <c r="G526" s="49" t="s">
        <v>37</v>
      </c>
      <c r="H526" s="705">
        <f t="shared" si="1143"/>
        <v>0</v>
      </c>
      <c r="I526" s="878" t="str">
        <f t="shared" ref="I526" si="1146">IFERROR((H527/H526),"-")</f>
        <v>-</v>
      </c>
      <c r="J526" s="2"/>
      <c r="K526" s="705"/>
      <c r="L526" s="705"/>
      <c r="M526" s="705"/>
      <c r="N526" s="705"/>
      <c r="O526" s="705"/>
      <c r="P526" s="705"/>
      <c r="Q526" s="705"/>
      <c r="R526" s="2"/>
      <c r="S526" s="705">
        <f t="shared" si="1123"/>
        <v>0</v>
      </c>
      <c r="T526" s="878" t="str">
        <f>IFERROR((S527/S526),"-")</f>
        <v>-</v>
      </c>
      <c r="U526" s="2"/>
      <c r="V526" s="705"/>
      <c r="W526" s="705"/>
      <c r="X526" s="705" t="s">
        <v>1434</v>
      </c>
      <c r="Y526" s="705">
        <v>1</v>
      </c>
      <c r="Z526" s="705"/>
      <c r="AA526" s="705"/>
      <c r="AB526" s="705"/>
      <c r="AC526" s="2"/>
      <c r="AD526" s="705">
        <f ca="1">SUMIF($V$7:AB$7,"&lt;="&amp;$I$7,V526:AA526)</f>
        <v>1</v>
      </c>
      <c r="AE526" s="878">
        <f ca="1">IFERROR((AD527/AD526),"-")</f>
        <v>0</v>
      </c>
      <c r="AF526" s="2"/>
      <c r="AG526" s="705"/>
      <c r="AH526" s="705"/>
      <c r="AI526" s="705"/>
      <c r="AJ526" s="705"/>
      <c r="AK526" s="705"/>
      <c r="AL526" s="705"/>
      <c r="AM526" s="705"/>
      <c r="AN526" s="2"/>
      <c r="AO526" s="705">
        <f ca="1">SUMIF($AG$7:AM$7,"&lt;="&amp;$I$7,AG526:AL526)</f>
        <v>0</v>
      </c>
      <c r="AP526" s="878" t="str">
        <f ca="1">IFERROR((AO527/AO526),"-")</f>
        <v>-</v>
      </c>
      <c r="AQ526" s="2"/>
      <c r="AR526" s="705"/>
      <c r="AS526" s="705"/>
      <c r="AT526" s="705"/>
      <c r="AU526" s="705"/>
      <c r="AV526" s="705"/>
      <c r="AW526" s="705"/>
      <c r="AX526" s="705"/>
      <c r="AY526" s="2"/>
      <c r="AZ526" s="705">
        <f ca="1">SUMIF($AR$7:AX$7,"&lt;="&amp;$I$7,AR526:AW526)</f>
        <v>0</v>
      </c>
      <c r="BA526" s="878" t="str">
        <f ca="1">IFERROR((AZ527/AZ526),"-")</f>
        <v>-</v>
      </c>
      <c r="BB526" s="2"/>
      <c r="BC526" s="705"/>
      <c r="BD526" s="705"/>
      <c r="BE526" s="705"/>
      <c r="BF526" s="705"/>
      <c r="BG526" s="705"/>
      <c r="BH526" s="705"/>
      <c r="BI526" s="705"/>
      <c r="BJ526" s="2"/>
      <c r="BK526" s="705">
        <f ca="1">SUMIF($BC$7:BI$7,"&lt;="&amp;$I$7,BC526:BH526)</f>
        <v>0</v>
      </c>
      <c r="BL526" s="878" t="str">
        <f ca="1">IFERROR((BK527/BK526),"-")</f>
        <v>-</v>
      </c>
      <c r="BM526" s="2"/>
      <c r="BN526" s="884">
        <v>0</v>
      </c>
      <c r="BO526" s="884">
        <v>0</v>
      </c>
      <c r="BP526" s="884">
        <f>SUM(M527:P527,V527:AB527,AG527:AM527,AR527:AX527,BC527:BI527)</f>
        <v>0</v>
      </c>
      <c r="BQ526" s="878" t="str">
        <f t="shared" ref="BQ526" si="1147">IFERROR((BP526/BO526),"-")</f>
        <v>-</v>
      </c>
      <c r="BR526" s="2"/>
      <c r="BS526" s="884"/>
      <c r="BT526" s="884"/>
      <c r="BU526" s="884">
        <f ca="1">E526+S527+AD527+AO527+AZ527+BK527-K527-L527</f>
        <v>0</v>
      </c>
      <c r="BV526" s="1016" t="e">
        <v>#N/A</v>
      </c>
      <c r="BW526" s="1004" t="str">
        <f ca="1">IFERROR((BU526/BV526),"-")</f>
        <v>-</v>
      </c>
      <c r="BX526" s="884">
        <v>0</v>
      </c>
      <c r="BY526" s="878" t="str">
        <f ca="1">IFERROR((BU526/BX526),"-")</f>
        <v>-</v>
      </c>
      <c r="BZ526" s="2"/>
      <c r="CA526" s="884">
        <v>0</v>
      </c>
      <c r="CB526" s="884">
        <v>0</v>
      </c>
      <c r="CC526" s="2"/>
      <c r="CD526" s="504">
        <f>IFERROR(AVERAGEIF($V$7:AB$7,"&lt;="&amp;$I$7,V526:AB526),0)</f>
        <v>1</v>
      </c>
      <c r="CE526" s="2"/>
      <c r="CH526" s="93" t="str">
        <f t="shared" si="1100"/>
        <v>P2 - Execução da estaca EP2.16</v>
      </c>
    </row>
    <row r="527" spans="1:86" s="16" customFormat="1" ht="15.95" hidden="1" customHeight="1" outlineLevel="1">
      <c r="A527" s="74"/>
      <c r="B527" s="1040"/>
      <c r="C527" s="1034"/>
      <c r="D527" s="2"/>
      <c r="E527" s="1005"/>
      <c r="F527" s="2"/>
      <c r="G527" s="50" t="s">
        <v>38</v>
      </c>
      <c r="H527" s="705">
        <f t="shared" si="1143"/>
        <v>0</v>
      </c>
      <c r="I527" s="879"/>
      <c r="J527" s="2"/>
      <c r="K527" s="86"/>
      <c r="L527" s="86"/>
      <c r="M527" s="86"/>
      <c r="N527" s="86"/>
      <c r="O527" s="86"/>
      <c r="P527" s="86"/>
      <c r="Q527" s="706"/>
      <c r="R527" s="2"/>
      <c r="S527" s="705">
        <f t="shared" si="1123"/>
        <v>0</v>
      </c>
      <c r="T527" s="879"/>
      <c r="U527" s="2"/>
      <c r="V527" s="86"/>
      <c r="W527" s="86"/>
      <c r="X527" s="86"/>
      <c r="Y527" s="86"/>
      <c r="Z527" s="86"/>
      <c r="AA527" s="86"/>
      <c r="AB527" s="706"/>
      <c r="AC527" s="2"/>
      <c r="AD527" s="705">
        <f ca="1">SUMIF($V$7:AB$7,"&lt;="&amp;$I$7,V527:AA527)</f>
        <v>0</v>
      </c>
      <c r="AE527" s="879"/>
      <c r="AF527" s="2"/>
      <c r="AG527" s="86"/>
      <c r="AH527" s="86"/>
      <c r="AI527" s="86"/>
      <c r="AJ527" s="86"/>
      <c r="AK527" s="86"/>
      <c r="AL527" s="86"/>
      <c r="AM527" s="706"/>
      <c r="AN527" s="2"/>
      <c r="AO527" s="705">
        <f ca="1">SUMIF($AG$7:AM$7,"&lt;="&amp;$I$7,AG527:AL527)</f>
        <v>0</v>
      </c>
      <c r="AP527" s="879"/>
      <c r="AQ527" s="2"/>
      <c r="AR527" s="86"/>
      <c r="AS527" s="86"/>
      <c r="AT527" s="86"/>
      <c r="AU527" s="86"/>
      <c r="AV527" s="86"/>
      <c r="AW527" s="86"/>
      <c r="AX527" s="706"/>
      <c r="AY527" s="2"/>
      <c r="AZ527" s="705">
        <f ca="1">SUMIF($AR$7:AX$7,"&lt;="&amp;$I$7,AR527:AW527)</f>
        <v>0</v>
      </c>
      <c r="BA527" s="879"/>
      <c r="BB527" s="2"/>
      <c r="BC527" s="86"/>
      <c r="BD527" s="86"/>
      <c r="BE527" s="86"/>
      <c r="BF527" s="86"/>
      <c r="BG527" s="86"/>
      <c r="BH527" s="86"/>
      <c r="BI527" s="706"/>
      <c r="BJ527" s="2"/>
      <c r="BK527" s="705">
        <f ca="1">SUMIF($BC$7:BI$7,"&lt;="&amp;$I$7,BC527:BH527)</f>
        <v>0</v>
      </c>
      <c r="BL527" s="879"/>
      <c r="BM527" s="2"/>
      <c r="BN527" s="885"/>
      <c r="BO527" s="885"/>
      <c r="BP527" s="885"/>
      <c r="BQ527" s="879"/>
      <c r="BR527" s="2"/>
      <c r="BS527" s="885"/>
      <c r="BT527" s="885"/>
      <c r="BU527" s="885"/>
      <c r="BV527" s="1017"/>
      <c r="BW527" s="1005"/>
      <c r="BX527" s="885"/>
      <c r="BY527" s="879"/>
      <c r="BZ527" s="2"/>
      <c r="CA527" s="885"/>
      <c r="CB527" s="885"/>
      <c r="CC527" s="2"/>
      <c r="CD527" s="504">
        <f>IFERROR(AVERAGEIF($V$7:AB$7,"&lt;="&amp;$I$7,V527:AB527),0)</f>
        <v>0</v>
      </c>
      <c r="CE527" s="2"/>
      <c r="CH527" s="93" t="str">
        <f t="shared" si="1100"/>
        <v>P2 - Execução da estaca EP2.16</v>
      </c>
    </row>
    <row r="528" spans="1:86" s="16" customFormat="1" ht="20.25" hidden="1" customHeight="1" outlineLevel="1">
      <c r="A528" s="74"/>
      <c r="B528" s="1039" t="s">
        <v>4090</v>
      </c>
      <c r="C528" s="1014" t="s">
        <v>1437</v>
      </c>
      <c r="D528" s="2"/>
      <c r="E528" s="1004">
        <v>0</v>
      </c>
      <c r="F528" s="2"/>
      <c r="G528" s="49" t="s">
        <v>37</v>
      </c>
      <c r="H528" s="705">
        <f t="shared" si="1143"/>
        <v>0</v>
      </c>
      <c r="I528" s="878" t="str">
        <f t="shared" ref="I528" si="1148">IFERROR((H529/H528),"-")</f>
        <v>-</v>
      </c>
      <c r="J528" s="2"/>
      <c r="K528" s="705" t="s">
        <v>1434</v>
      </c>
      <c r="L528" s="705">
        <v>1</v>
      </c>
      <c r="M528" s="705"/>
      <c r="N528" s="705"/>
      <c r="O528" s="705"/>
      <c r="P528" s="705"/>
      <c r="Q528" s="705"/>
      <c r="R528" s="2"/>
      <c r="S528" s="705">
        <f t="shared" si="1123"/>
        <v>1</v>
      </c>
      <c r="T528" s="878">
        <f>IFERROR((S529/S528),"-")</f>
        <v>0</v>
      </c>
      <c r="U528" s="2"/>
      <c r="V528" s="705"/>
      <c r="W528" s="705"/>
      <c r="X528" s="705"/>
      <c r="Y528" s="705"/>
      <c r="Z528" s="705"/>
      <c r="AA528" s="705"/>
      <c r="AB528" s="705"/>
      <c r="AC528" s="2"/>
      <c r="AD528" s="705">
        <f ca="1">SUMIF($V$7:AB$7,"&lt;="&amp;$I$7,V528:AA528)</f>
        <v>0</v>
      </c>
      <c r="AE528" s="878" t="str">
        <f ca="1">IFERROR((AD529/AD528),"-")</f>
        <v>-</v>
      </c>
      <c r="AF528" s="2"/>
      <c r="AG528" s="705"/>
      <c r="AH528" s="705"/>
      <c r="AI528" s="705" t="s">
        <v>1434</v>
      </c>
      <c r="AJ528" s="705">
        <v>1</v>
      </c>
      <c r="AK528" s="705"/>
      <c r="AL528" s="705"/>
      <c r="AM528" s="705"/>
      <c r="AN528" s="2"/>
      <c r="AO528" s="705">
        <f ca="1">SUMIF($AG$7:AM$7,"&lt;="&amp;$I$7,AG528:AL528)</f>
        <v>0</v>
      </c>
      <c r="AP528" s="878" t="str">
        <f ca="1">IFERROR((AO529/AO528),"-")</f>
        <v>-</v>
      </c>
      <c r="AQ528" s="2"/>
      <c r="AR528" s="705"/>
      <c r="AS528" s="705"/>
      <c r="AT528" s="705"/>
      <c r="AU528" s="705"/>
      <c r="AV528" s="705"/>
      <c r="AW528" s="705"/>
      <c r="AX528" s="705"/>
      <c r="AY528" s="2"/>
      <c r="AZ528" s="705">
        <f ca="1">SUMIF($AR$7:AX$7,"&lt;="&amp;$I$7,AR528:AW528)</f>
        <v>0</v>
      </c>
      <c r="BA528" s="878" t="str">
        <f ca="1">IFERROR((AZ529/AZ528),"-")</f>
        <v>-</v>
      </c>
      <c r="BB528" s="2"/>
      <c r="BC528" s="705"/>
      <c r="BD528" s="705"/>
      <c r="BE528" s="705"/>
      <c r="BF528" s="705"/>
      <c r="BG528" s="705"/>
      <c r="BH528" s="705"/>
      <c r="BI528" s="705"/>
      <c r="BJ528" s="2"/>
      <c r="BK528" s="705">
        <f ca="1">SUMIF($BC$7:BI$7,"&lt;="&amp;$I$7,BC528:BH528)</f>
        <v>0</v>
      </c>
      <c r="BL528" s="878" t="str">
        <f ca="1">IFERROR((BK529/BK528),"-")</f>
        <v>-</v>
      </c>
      <c r="BM528" s="2"/>
      <c r="BN528" s="884">
        <v>0</v>
      </c>
      <c r="BO528" s="884">
        <v>0</v>
      </c>
      <c r="BP528" s="884">
        <f>SUM(M529:P529,V529:AB529,AG529:AM529,AR529:AX529,BC529:BI529)</f>
        <v>0</v>
      </c>
      <c r="BQ528" s="878" t="str">
        <f t="shared" ref="BQ528" si="1149">IFERROR((BP528/BO528),"-")</f>
        <v>-</v>
      </c>
      <c r="BR528" s="2"/>
      <c r="BS528" s="884"/>
      <c r="BT528" s="884"/>
      <c r="BU528" s="884">
        <f ca="1">E528+S529+AD529+AO529+AZ529+BK529-K529-L529</f>
        <v>0</v>
      </c>
      <c r="BV528" s="1016" t="e">
        <v>#N/A</v>
      </c>
      <c r="BW528" s="1004" t="str">
        <f ca="1">IFERROR((BU528/BV528),"-")</f>
        <v>-</v>
      </c>
      <c r="BX528" s="884">
        <v>0</v>
      </c>
      <c r="BY528" s="878" t="str">
        <f ca="1">IFERROR((BU528/BX528),"-")</f>
        <v>-</v>
      </c>
      <c r="BZ528" s="2"/>
      <c r="CA528" s="884">
        <v>0</v>
      </c>
      <c r="CB528" s="884">
        <v>0</v>
      </c>
      <c r="CC528" s="2"/>
      <c r="CD528" s="504">
        <f>IFERROR(AVERAGEIF($V$7:AB$7,"&lt;="&amp;$I$7,V528:AB528),0)</f>
        <v>0</v>
      </c>
      <c r="CE528" s="2"/>
      <c r="CH528" s="93" t="str">
        <f t="shared" si="1100"/>
        <v>P2 - Execução da estaca EP2.18</v>
      </c>
    </row>
    <row r="529" spans="1:86" s="16" customFormat="1" ht="15.95" hidden="1" customHeight="1" outlineLevel="1">
      <c r="A529" s="74"/>
      <c r="B529" s="1040"/>
      <c r="C529" s="1034"/>
      <c r="D529" s="2"/>
      <c r="E529" s="1005"/>
      <c r="F529" s="2"/>
      <c r="G529" s="50" t="s">
        <v>38</v>
      </c>
      <c r="H529" s="705">
        <f t="shared" si="1143"/>
        <v>0</v>
      </c>
      <c r="I529" s="879"/>
      <c r="J529" s="2"/>
      <c r="K529" s="86"/>
      <c r="L529" s="86"/>
      <c r="M529" s="86"/>
      <c r="N529" s="86"/>
      <c r="O529" s="86"/>
      <c r="P529" s="86"/>
      <c r="Q529" s="706"/>
      <c r="R529" s="2"/>
      <c r="S529" s="705">
        <f t="shared" si="1123"/>
        <v>0</v>
      </c>
      <c r="T529" s="879"/>
      <c r="U529" s="2"/>
      <c r="V529" s="86"/>
      <c r="W529" s="86"/>
      <c r="X529" s="86"/>
      <c r="Y529" s="86"/>
      <c r="Z529" s="86"/>
      <c r="AA529" s="86"/>
      <c r="AB529" s="706"/>
      <c r="AC529" s="2"/>
      <c r="AD529" s="705">
        <f ca="1">SUMIF($V$7:AB$7,"&lt;="&amp;$I$7,V529:AA529)</f>
        <v>0</v>
      </c>
      <c r="AE529" s="879"/>
      <c r="AF529" s="2"/>
      <c r="AG529" s="86"/>
      <c r="AH529" s="86"/>
      <c r="AI529" s="86"/>
      <c r="AJ529" s="86"/>
      <c r="AK529" s="86"/>
      <c r="AL529" s="86"/>
      <c r="AM529" s="706"/>
      <c r="AN529" s="2"/>
      <c r="AO529" s="705">
        <f ca="1">SUMIF($AG$7:AM$7,"&lt;="&amp;$I$7,AG529:AL529)</f>
        <v>0</v>
      </c>
      <c r="AP529" s="879"/>
      <c r="AQ529" s="2"/>
      <c r="AR529" s="86"/>
      <c r="AS529" s="86"/>
      <c r="AT529" s="86"/>
      <c r="AU529" s="86"/>
      <c r="AV529" s="86"/>
      <c r="AW529" s="86"/>
      <c r="AX529" s="706"/>
      <c r="AY529" s="2"/>
      <c r="AZ529" s="705">
        <f ca="1">SUMIF($AR$7:AX$7,"&lt;="&amp;$I$7,AR529:AW529)</f>
        <v>0</v>
      </c>
      <c r="BA529" s="879"/>
      <c r="BB529" s="2"/>
      <c r="BC529" s="86"/>
      <c r="BD529" s="86"/>
      <c r="BE529" s="86"/>
      <c r="BF529" s="86"/>
      <c r="BG529" s="86"/>
      <c r="BH529" s="86"/>
      <c r="BI529" s="706"/>
      <c r="BJ529" s="2"/>
      <c r="BK529" s="705">
        <f ca="1">SUMIF($BC$7:BI$7,"&lt;="&amp;$I$7,BC529:BH529)</f>
        <v>0</v>
      </c>
      <c r="BL529" s="879"/>
      <c r="BM529" s="2"/>
      <c r="BN529" s="885"/>
      <c r="BO529" s="885"/>
      <c r="BP529" s="885"/>
      <c r="BQ529" s="879"/>
      <c r="BR529" s="2"/>
      <c r="BS529" s="885"/>
      <c r="BT529" s="885"/>
      <c r="BU529" s="885"/>
      <c r="BV529" s="1017"/>
      <c r="BW529" s="1005"/>
      <c r="BX529" s="885"/>
      <c r="BY529" s="879"/>
      <c r="BZ529" s="2"/>
      <c r="CA529" s="885"/>
      <c r="CB529" s="885"/>
      <c r="CC529" s="2"/>
      <c r="CD529" s="504">
        <f>IFERROR(AVERAGEIF($V$7:AB$7,"&lt;="&amp;$I$7,V529:AB529),0)</f>
        <v>0</v>
      </c>
      <c r="CE529" s="2"/>
      <c r="CH529" s="93" t="str">
        <f t="shared" si="1100"/>
        <v>P2 - Execução da estaca EP2.18</v>
      </c>
    </row>
    <row r="530" spans="1:86" s="16" customFormat="1" ht="20.25" customHeight="1" collapsed="1">
      <c r="A530" s="73"/>
      <c r="B530" s="1045" t="s">
        <v>4091</v>
      </c>
      <c r="C530" s="740" t="s">
        <v>1437</v>
      </c>
      <c r="D530" s="2"/>
      <c r="E530" s="1019">
        <v>4</v>
      </c>
      <c r="F530" s="2"/>
      <c r="G530" s="53" t="s">
        <v>37</v>
      </c>
      <c r="H530" s="52">
        <f t="shared" si="1143"/>
        <v>0</v>
      </c>
      <c r="I530" s="743" t="str">
        <f t="shared" ref="I530" si="1150">IFERROR((H531/H530),"-")</f>
        <v>-</v>
      </c>
      <c r="J530" s="2"/>
      <c r="K530" s="52">
        <f>SUMIF($G$490:$G$495,$G$488,K532:K563)</f>
        <v>0</v>
      </c>
      <c r="L530" s="52">
        <f>SUMIF($G$462:$G$487,$G$460,L532:L589)</f>
        <v>1</v>
      </c>
      <c r="M530" s="52">
        <f>SUMIF($G$462:$G$487,$G$460,M532:M589)</f>
        <v>0</v>
      </c>
      <c r="N530" s="52">
        <f>SUMIF($G$462:$G$487,$G$460,N532:N589)</f>
        <v>2</v>
      </c>
      <c r="O530" s="52">
        <f>SUMIF($G$462:$G$487,$G$460,O532:O589)</f>
        <v>0</v>
      </c>
      <c r="P530" s="52">
        <f>SUMIF($G$462:$G$487,$G$460,P532:P589)</f>
        <v>1</v>
      </c>
      <c r="Q530" s="52"/>
      <c r="R530" s="2"/>
      <c r="S530" s="52">
        <f ca="1">SUMIF($K$7:Q$7,"&lt;="&amp;$I$7,K530:P530)</f>
        <v>4</v>
      </c>
      <c r="T530" s="743">
        <f ca="1">IFERROR((S531/S530),"-")</f>
        <v>1.25</v>
      </c>
      <c r="U530" s="2"/>
      <c r="V530" s="52">
        <f t="shared" ref="V530:AA530" si="1151">SUMIF($G$532:$G$563,$G$460,V532:V563)</f>
        <v>0</v>
      </c>
      <c r="W530" s="52">
        <f t="shared" si="1151"/>
        <v>1</v>
      </c>
      <c r="X530" s="52">
        <f t="shared" si="1151"/>
        <v>0</v>
      </c>
      <c r="Y530" s="52">
        <f t="shared" si="1151"/>
        <v>1</v>
      </c>
      <c r="Z530" s="52">
        <f t="shared" si="1151"/>
        <v>0</v>
      </c>
      <c r="AA530" s="52">
        <f t="shared" si="1151"/>
        <v>1</v>
      </c>
      <c r="AB530" s="52"/>
      <c r="AC530" s="2"/>
      <c r="AD530" s="52">
        <f>SUMIF($V$7:AB$7,"&lt;="&amp;$I$7,V530:AB530)</f>
        <v>3</v>
      </c>
      <c r="AE530" s="743">
        <f>IFERROR((AD531/AD530),"-")</f>
        <v>0.66666666666666663</v>
      </c>
      <c r="AF530" s="2"/>
      <c r="AG530" s="52">
        <f t="shared" ref="AG530:AL530" si="1152">SUMIF($G$532:$G$563,$G$460,AG532:AG563)</f>
        <v>1</v>
      </c>
      <c r="AH530" s="52">
        <f t="shared" si="1152"/>
        <v>0</v>
      </c>
      <c r="AI530" s="52">
        <f t="shared" si="1152"/>
        <v>1</v>
      </c>
      <c r="AJ530" s="52">
        <f t="shared" si="1152"/>
        <v>0</v>
      </c>
      <c r="AK530" s="52">
        <f t="shared" si="1152"/>
        <v>1</v>
      </c>
      <c r="AL530" s="52">
        <f t="shared" si="1152"/>
        <v>0</v>
      </c>
      <c r="AM530" s="52"/>
      <c r="AN530" s="2"/>
      <c r="AO530" s="52">
        <f ca="1">SUMIF($AG$7:AM$7,"&lt;="&amp;$I$7,AG530:AL530)</f>
        <v>1</v>
      </c>
      <c r="AP530" s="743">
        <f ca="1">IFERROR((AO531/AO530),"-")</f>
        <v>2</v>
      </c>
      <c r="AQ530" s="2"/>
      <c r="AR530" s="52">
        <f t="shared" ref="AR530:AW530" si="1153">SUMIF($G$532:$G$563,$G$460,AR532:AR563)</f>
        <v>0</v>
      </c>
      <c r="AS530" s="52">
        <f t="shared" si="1153"/>
        <v>0</v>
      </c>
      <c r="AT530" s="52">
        <f t="shared" si="1153"/>
        <v>0</v>
      </c>
      <c r="AU530" s="52">
        <f t="shared" si="1153"/>
        <v>0</v>
      </c>
      <c r="AV530" s="52">
        <f t="shared" si="1153"/>
        <v>0</v>
      </c>
      <c r="AW530" s="52">
        <f t="shared" si="1153"/>
        <v>0</v>
      </c>
      <c r="AX530" s="52"/>
      <c r="AY530" s="2"/>
      <c r="AZ530" s="52">
        <f ca="1">SUMIF($AR$7:AX$7,"&lt;="&amp;$I$7,AR530:AW530)</f>
        <v>0</v>
      </c>
      <c r="BA530" s="743" t="str">
        <f ca="1">IFERROR((AZ531/AZ530),"-")</f>
        <v>-</v>
      </c>
      <c r="BB530" s="2"/>
      <c r="BC530" s="52">
        <f t="shared" ref="BC530:BH530" si="1154">SUMIF($G$532:$G$563,$G$460,BC532:BC563)</f>
        <v>0</v>
      </c>
      <c r="BD530" s="52">
        <f t="shared" si="1154"/>
        <v>0</v>
      </c>
      <c r="BE530" s="52">
        <f t="shared" si="1154"/>
        <v>0</v>
      </c>
      <c r="BF530" s="52">
        <f t="shared" si="1154"/>
        <v>0</v>
      </c>
      <c r="BG530" s="52">
        <f t="shared" si="1154"/>
        <v>0</v>
      </c>
      <c r="BH530" s="52">
        <f t="shared" si="1154"/>
        <v>0</v>
      </c>
      <c r="BI530" s="52"/>
      <c r="BJ530" s="2"/>
      <c r="BK530" s="52">
        <f ca="1">SUMIF($BC$7:BI$7,"&lt;="&amp;$I$7,BC530:BH530)</f>
        <v>0</v>
      </c>
      <c r="BL530" s="743" t="str">
        <f ca="1">IFERROR((BK531/BK530),"-")</f>
        <v>-</v>
      </c>
      <c r="BM530" s="2"/>
      <c r="BN530" s="888">
        <v>8</v>
      </c>
      <c r="BO530" s="888">
        <v>6</v>
      </c>
      <c r="BP530" s="888">
        <f>SUM(BP532:BP586)</f>
        <v>7</v>
      </c>
      <c r="BQ530" s="743">
        <f t="shared" ref="BQ530" si="1155">IFERROR((BP530/BO530),"-")</f>
        <v>1.1666666666666667</v>
      </c>
      <c r="BR530" s="2"/>
      <c r="BS530" s="888"/>
      <c r="BT530" s="888"/>
      <c r="BU530" s="888">
        <f ca="1">E530+S531+AD531+AZ531+AO531+BK531</f>
        <v>13</v>
      </c>
      <c r="BV530" s="888">
        <v>106</v>
      </c>
      <c r="BW530" s="1019">
        <f ca="1">IFERROR((BU530/BV530),"-")</f>
        <v>0.12264150943396226</v>
      </c>
      <c r="BX530" s="888">
        <v>13</v>
      </c>
      <c r="BY530" s="743">
        <f ca="1">IFERROR((BU530/BX530),"-")</f>
        <v>1</v>
      </c>
      <c r="BZ530" s="2"/>
      <c r="CA530" s="888">
        <v>20</v>
      </c>
      <c r="CB530" s="888">
        <f ca="1">CA530-BU530</f>
        <v>7</v>
      </c>
      <c r="CC530" s="2"/>
      <c r="CD530" s="504">
        <f>IFERROR(AVERAGEIF($V$7:AB$7,"&lt;="&amp;$I$7,V530:AB530),0)</f>
        <v>0.5</v>
      </c>
      <c r="CE530" s="2"/>
      <c r="CH530" s="93" t="str">
        <f t="shared" si="1100"/>
        <v>ESTACAS P3</v>
      </c>
    </row>
    <row r="531" spans="1:86" s="16" customFormat="1" ht="15.95" customHeight="1">
      <c r="A531" s="74"/>
      <c r="B531" s="1045"/>
      <c r="C531" s="740"/>
      <c r="D531" s="2"/>
      <c r="E531" s="1020"/>
      <c r="F531" s="2"/>
      <c r="G531" s="54" t="s">
        <v>38</v>
      </c>
      <c r="H531" s="52">
        <f t="shared" si="1143"/>
        <v>1</v>
      </c>
      <c r="I531" s="744"/>
      <c r="J531" s="2"/>
      <c r="K531" s="75">
        <f t="shared" ref="K531:P531" si="1156">SUMIF($G$532:$G$563,$G$531,K532:K563)</f>
        <v>0</v>
      </c>
      <c r="L531" s="75">
        <f t="shared" si="1156"/>
        <v>2</v>
      </c>
      <c r="M531" s="75">
        <f t="shared" si="1156"/>
        <v>1</v>
      </c>
      <c r="N531" s="75">
        <f t="shared" si="1156"/>
        <v>1</v>
      </c>
      <c r="O531" s="75">
        <f t="shared" si="1156"/>
        <v>0</v>
      </c>
      <c r="P531" s="75">
        <f t="shared" si="1156"/>
        <v>1</v>
      </c>
      <c r="Q531" s="52">
        <f>SUMIF($G$490:$G$495,$G$489,Q532:Q563)</f>
        <v>0</v>
      </c>
      <c r="R531" s="2"/>
      <c r="S531" s="52">
        <f ca="1">SUMIF($K$7:Q$7,"&lt;="&amp;$I$7,K531:P531)</f>
        <v>5</v>
      </c>
      <c r="T531" s="744"/>
      <c r="U531" s="2"/>
      <c r="V531" s="75">
        <f>SUMIF($G$532:$G$563,$G$489,V532:V563)</f>
        <v>0</v>
      </c>
      <c r="W531" s="75">
        <f t="shared" ref="W531:AA531" si="1157">SUMIF($G$532:$G$563,$G$489,W532:W563)</f>
        <v>0</v>
      </c>
      <c r="X531" s="75">
        <f t="shared" si="1157"/>
        <v>1</v>
      </c>
      <c r="Y531" s="75">
        <f t="shared" si="1157"/>
        <v>1</v>
      </c>
      <c r="Z531" s="75">
        <f t="shared" si="1157"/>
        <v>0</v>
      </c>
      <c r="AA531" s="75">
        <f t="shared" si="1157"/>
        <v>0</v>
      </c>
      <c r="AB531" s="52"/>
      <c r="AC531" s="2"/>
      <c r="AD531" s="52">
        <f>SUMIF($V$7:AB$7,"&lt;="&amp;$I$7,V531:AB531)</f>
        <v>2</v>
      </c>
      <c r="AE531" s="744"/>
      <c r="AF531" s="2"/>
      <c r="AG531" s="75">
        <f t="shared" ref="AG531:AL531" si="1158">SUMIF($G$532:$G$563,$G$489,AG532:AG563)</f>
        <v>1</v>
      </c>
      <c r="AH531" s="75">
        <f t="shared" si="1158"/>
        <v>1</v>
      </c>
      <c r="AI531" s="75">
        <f t="shared" si="1158"/>
        <v>0</v>
      </c>
      <c r="AJ531" s="75">
        <f t="shared" si="1158"/>
        <v>0</v>
      </c>
      <c r="AK531" s="75">
        <f t="shared" si="1158"/>
        <v>0</v>
      </c>
      <c r="AL531" s="75">
        <f t="shared" si="1158"/>
        <v>0</v>
      </c>
      <c r="AM531" s="52"/>
      <c r="AN531" s="2"/>
      <c r="AO531" s="52">
        <f ca="1">SUMIF($AG$7:AM$7,"&lt;="&amp;$I$7,AG531:AL531)</f>
        <v>2</v>
      </c>
      <c r="AP531" s="744"/>
      <c r="AQ531" s="2"/>
      <c r="AR531" s="75">
        <f t="shared" ref="AR531:AW531" si="1159">SUMIF($G$532:$G$563,$G$531,AR532:AR563)</f>
        <v>0</v>
      </c>
      <c r="AS531" s="75">
        <f t="shared" si="1159"/>
        <v>0</v>
      </c>
      <c r="AT531" s="75">
        <f t="shared" si="1159"/>
        <v>0</v>
      </c>
      <c r="AU531" s="75">
        <f t="shared" si="1159"/>
        <v>0</v>
      </c>
      <c r="AV531" s="75">
        <f t="shared" si="1159"/>
        <v>0</v>
      </c>
      <c r="AW531" s="75">
        <f t="shared" si="1159"/>
        <v>0</v>
      </c>
      <c r="AX531" s="52"/>
      <c r="AY531" s="2"/>
      <c r="AZ531" s="52">
        <f ca="1">SUMIF($AR$7:AX$7,"&lt;="&amp;$I$7,AR531:AW531)</f>
        <v>0</v>
      </c>
      <c r="BA531" s="744"/>
      <c r="BB531" s="2"/>
      <c r="BC531" s="75">
        <f t="shared" ref="BC531:BH531" si="1160">SUMIF($G$532:$G$563,$G$531,BC532:BC563)</f>
        <v>0</v>
      </c>
      <c r="BD531" s="75">
        <f t="shared" si="1160"/>
        <v>0</v>
      </c>
      <c r="BE531" s="75">
        <f t="shared" si="1160"/>
        <v>0</v>
      </c>
      <c r="BF531" s="75">
        <f t="shared" si="1160"/>
        <v>0</v>
      </c>
      <c r="BG531" s="75">
        <f t="shared" si="1160"/>
        <v>0</v>
      </c>
      <c r="BH531" s="75">
        <f t="shared" si="1160"/>
        <v>0</v>
      </c>
      <c r="BI531" s="52"/>
      <c r="BJ531" s="2"/>
      <c r="BK531" s="52">
        <f ca="1">SUMIF($BC$7:BI$7,"&lt;="&amp;$I$7,BC531:BH531)</f>
        <v>0</v>
      </c>
      <c r="BL531" s="744"/>
      <c r="BM531" s="2"/>
      <c r="BN531" s="888"/>
      <c r="BO531" s="888"/>
      <c r="BP531" s="889"/>
      <c r="BQ531" s="744"/>
      <c r="BR531" s="2"/>
      <c r="BS531" s="888"/>
      <c r="BT531" s="888"/>
      <c r="BU531" s="1018"/>
      <c r="BV531" s="888"/>
      <c r="BW531" s="1019"/>
      <c r="BX531" s="888"/>
      <c r="BY531" s="743"/>
      <c r="BZ531" s="2"/>
      <c r="CA531" s="888"/>
      <c r="CB531" s="888"/>
      <c r="CC531" s="2"/>
      <c r="CD531" s="504">
        <f>IFERROR(AVERAGEIF($V$7:AB$7,"&lt;="&amp;$I$7,V531:AB531),0)</f>
        <v>0.33333333333333331</v>
      </c>
      <c r="CE531" s="2"/>
      <c r="CH531" s="93" t="str">
        <f t="shared" si="1100"/>
        <v>ESTACAS P3</v>
      </c>
    </row>
    <row r="532" spans="1:86" s="16" customFormat="1" ht="20.25" hidden="1" customHeight="1" outlineLevel="1">
      <c r="A532" s="74"/>
      <c r="B532" s="1041" t="s">
        <v>4092</v>
      </c>
      <c r="C532" s="1014" t="s">
        <v>1437</v>
      </c>
      <c r="D532" s="2"/>
      <c r="E532" s="1004"/>
      <c r="F532" s="2"/>
      <c r="G532" s="49" t="s">
        <v>37</v>
      </c>
      <c r="H532" s="705">
        <f t="shared" si="1143"/>
        <v>0</v>
      </c>
      <c r="I532" s="878" t="str">
        <f t="shared" ref="I532" si="1161">IFERROR((H533/H532),"-")</f>
        <v>-</v>
      </c>
      <c r="J532" s="2"/>
      <c r="K532" s="705"/>
      <c r="L532" s="705"/>
      <c r="M532" s="705"/>
      <c r="N532" s="705"/>
      <c r="O532" s="705"/>
      <c r="P532" s="705"/>
      <c r="Q532" s="705"/>
      <c r="R532" s="2"/>
      <c r="S532" s="705">
        <f t="shared" ref="S532:S551" si="1162">SUM(K532:P532)</f>
        <v>0</v>
      </c>
      <c r="T532" s="878" t="str">
        <f>IFERROR((S533/S532),"-")</f>
        <v>-</v>
      </c>
      <c r="U532" s="2"/>
      <c r="V532" s="705"/>
      <c r="W532" s="705"/>
      <c r="X532" s="705" t="s">
        <v>1434</v>
      </c>
      <c r="Y532" s="705">
        <v>1</v>
      </c>
      <c r="Z532" s="705"/>
      <c r="AA532" s="705"/>
      <c r="AB532" s="705"/>
      <c r="AC532" s="2"/>
      <c r="AD532" s="705">
        <f ca="1">SUMIF($V$7:AB$7,"&lt;="&amp;$I$7,V532:AA532)</f>
        <v>1</v>
      </c>
      <c r="AE532" s="878">
        <f ca="1">IFERROR((AD533/AD532),"-")</f>
        <v>0</v>
      </c>
      <c r="AF532" s="2"/>
      <c r="AG532" s="705"/>
      <c r="AH532" s="705"/>
      <c r="AI532" s="705"/>
      <c r="AJ532" s="705" t="s">
        <v>1434</v>
      </c>
      <c r="AK532" s="705">
        <v>1</v>
      </c>
      <c r="AL532" s="705"/>
      <c r="AM532" s="705"/>
      <c r="AN532" s="2"/>
      <c r="AO532" s="705">
        <f ca="1">SUMIF($AG$7:AM$7,"&lt;="&amp;$I$7,AG532:AL532)</f>
        <v>0</v>
      </c>
      <c r="AP532" s="878" t="str">
        <f ca="1">IFERROR((AO533/AO532),"-")</f>
        <v>-</v>
      </c>
      <c r="AQ532" s="2"/>
      <c r="AR532" s="705"/>
      <c r="AS532" s="705"/>
      <c r="AT532" s="705"/>
      <c r="AU532" s="705"/>
      <c r="AV532" s="705"/>
      <c r="AW532" s="705"/>
      <c r="AX532" s="705"/>
      <c r="AY532" s="2"/>
      <c r="AZ532" s="705">
        <f ca="1">SUMIF($AR$7:AX$7,"&lt;="&amp;$I$7,AR532:AW532)</f>
        <v>0</v>
      </c>
      <c r="BA532" s="878" t="str">
        <f ca="1">IFERROR((AZ533/AZ532),"-")</f>
        <v>-</v>
      </c>
      <c r="BB532" s="2"/>
      <c r="BC532" s="705"/>
      <c r="BD532" s="705"/>
      <c r="BE532" s="705"/>
      <c r="BF532" s="705"/>
      <c r="BG532" s="705"/>
      <c r="BH532" s="705"/>
      <c r="BI532" s="705"/>
      <c r="BJ532" s="2"/>
      <c r="BK532" s="705">
        <f ca="1">SUMIF($BC$7:BI$7,"&lt;="&amp;$I$7,BC532:BH532)</f>
        <v>0</v>
      </c>
      <c r="BL532" s="878" t="str">
        <f ca="1">IFERROR((BK533/BK532),"-")</f>
        <v>-</v>
      </c>
      <c r="BM532" s="2"/>
      <c r="BN532" s="884">
        <v>0</v>
      </c>
      <c r="BO532" s="884">
        <v>0</v>
      </c>
      <c r="BP532" s="884">
        <f>SUM(M533:P533,V533:AB533,AG533:AM533,AR533:AX533,BC533:BI533)</f>
        <v>0</v>
      </c>
      <c r="BQ532" s="878" t="str">
        <f t="shared" ref="BQ532" si="1163">IFERROR((BP532/BO532),"-")</f>
        <v>-</v>
      </c>
      <c r="BR532" s="2"/>
      <c r="BS532" s="884"/>
      <c r="BT532" s="884"/>
      <c r="BU532" s="884">
        <f ca="1">E532+S533+AD533+AO533+AZ533+BK533-K533-L533</f>
        <v>0</v>
      </c>
      <c r="BV532" s="884">
        <v>104</v>
      </c>
      <c r="BW532" s="1004">
        <f ca="1">IFERROR((BU532/BV532),"-")</f>
        <v>0</v>
      </c>
      <c r="BX532" s="884">
        <v>0</v>
      </c>
      <c r="BY532" s="878" t="str">
        <f ca="1">IFERROR((BU532/BX532),"-")</f>
        <v>-</v>
      </c>
      <c r="BZ532" s="2"/>
      <c r="CA532" s="884">
        <v>0</v>
      </c>
      <c r="CB532" s="884">
        <v>0</v>
      </c>
      <c r="CC532" s="2"/>
      <c r="CD532" s="504">
        <f>IFERROR(AVERAGEIF($V$7:AB$7,"&lt;="&amp;$I$7,V532:AB532),0)</f>
        <v>1</v>
      </c>
      <c r="CE532" s="2"/>
      <c r="CH532" s="93" t="str">
        <f t="shared" si="1100"/>
        <v>P3 - Execução da estaca EP3.01</v>
      </c>
    </row>
    <row r="533" spans="1:86" s="16" customFormat="1" ht="15.95" hidden="1" customHeight="1" outlineLevel="1">
      <c r="A533" s="74"/>
      <c r="B533" s="1042"/>
      <c r="C533" s="1034"/>
      <c r="D533" s="2"/>
      <c r="E533" s="1005"/>
      <c r="F533" s="2"/>
      <c r="G533" s="50" t="s">
        <v>38</v>
      </c>
      <c r="H533" s="705">
        <f t="shared" si="1143"/>
        <v>0</v>
      </c>
      <c r="I533" s="879"/>
      <c r="J533" s="2"/>
      <c r="K533" s="86"/>
      <c r="L533" s="86"/>
      <c r="M533" s="86"/>
      <c r="N533" s="86"/>
      <c r="O533" s="86"/>
      <c r="P533" s="86"/>
      <c r="Q533" s="706"/>
      <c r="R533" s="2"/>
      <c r="S533" s="705">
        <f t="shared" si="1162"/>
        <v>0</v>
      </c>
      <c r="T533" s="879"/>
      <c r="U533" s="2"/>
      <c r="V533" s="86"/>
      <c r="W533" s="86"/>
      <c r="X533" s="86"/>
      <c r="Y533" s="86"/>
      <c r="Z533" s="86"/>
      <c r="AA533" s="86"/>
      <c r="AB533" s="706"/>
      <c r="AC533" s="2"/>
      <c r="AD533" s="705">
        <f ca="1">SUMIF($V$7:AB$7,"&lt;="&amp;$I$7,V533:AA533)</f>
        <v>0</v>
      </c>
      <c r="AE533" s="879"/>
      <c r="AF533" s="2"/>
      <c r="AG533" s="86"/>
      <c r="AH533" s="86"/>
      <c r="AI533" s="86"/>
      <c r="AJ533" s="86"/>
      <c r="AK533" s="86"/>
      <c r="AL533" s="86"/>
      <c r="AM533" s="706"/>
      <c r="AN533" s="2"/>
      <c r="AO533" s="705">
        <f ca="1">SUMIF($AG$7:AM$7,"&lt;="&amp;$I$7,AG533:AL533)</f>
        <v>0</v>
      </c>
      <c r="AP533" s="879"/>
      <c r="AQ533" s="2"/>
      <c r="AR533" s="86"/>
      <c r="AS533" s="86"/>
      <c r="AT533" s="86"/>
      <c r="AU533" s="86"/>
      <c r="AV533" s="86"/>
      <c r="AW533" s="86"/>
      <c r="AX533" s="706"/>
      <c r="AY533" s="2"/>
      <c r="AZ533" s="705">
        <f ca="1">SUMIF($AR$7:AX$7,"&lt;="&amp;$I$7,AR533:AW533)</f>
        <v>0</v>
      </c>
      <c r="BA533" s="879"/>
      <c r="BB533" s="2"/>
      <c r="BC533" s="86"/>
      <c r="BD533" s="86"/>
      <c r="BE533" s="86"/>
      <c r="BF533" s="86"/>
      <c r="BG533" s="86"/>
      <c r="BH533" s="86"/>
      <c r="BI533" s="706"/>
      <c r="BJ533" s="2"/>
      <c r="BK533" s="705">
        <f ca="1">SUMIF($BC$7:BI$7,"&lt;="&amp;$I$7,BC533:BH533)</f>
        <v>0</v>
      </c>
      <c r="BL533" s="879"/>
      <c r="BM533" s="2"/>
      <c r="BN533" s="885"/>
      <c r="BO533" s="885"/>
      <c r="BP533" s="885"/>
      <c r="BQ533" s="879"/>
      <c r="BR533" s="2"/>
      <c r="BS533" s="885"/>
      <c r="BT533" s="885"/>
      <c r="BU533" s="885"/>
      <c r="BV533" s="885"/>
      <c r="BW533" s="1005"/>
      <c r="BX533" s="885"/>
      <c r="BY533" s="879"/>
      <c r="BZ533" s="2"/>
      <c r="CA533" s="885"/>
      <c r="CB533" s="885"/>
      <c r="CC533" s="2"/>
      <c r="CD533" s="504">
        <f>IFERROR(AVERAGEIF($V$7:AB$7,"&lt;="&amp;$I$7,V533:AB533),0)</f>
        <v>0</v>
      </c>
      <c r="CE533" s="2"/>
      <c r="CH533" s="93" t="str">
        <f t="shared" si="1100"/>
        <v>P3 - Execução da estaca EP3.01</v>
      </c>
    </row>
    <row r="534" spans="1:86" s="16" customFormat="1" ht="20.25" hidden="1" customHeight="1" outlineLevel="1">
      <c r="A534" s="74"/>
      <c r="B534" s="1041" t="s">
        <v>4093</v>
      </c>
      <c r="C534" s="1014" t="s">
        <v>1437</v>
      </c>
      <c r="D534" s="2"/>
      <c r="E534" s="1004">
        <v>1</v>
      </c>
      <c r="F534" s="2"/>
      <c r="G534" s="49" t="s">
        <v>37</v>
      </c>
      <c r="H534" s="705">
        <f t="shared" si="1143"/>
        <v>0</v>
      </c>
      <c r="I534" s="878" t="str">
        <f t="shared" ref="I534" si="1164">IFERROR((H535/H534),"-")</f>
        <v>-</v>
      </c>
      <c r="J534" s="2"/>
      <c r="K534" s="705"/>
      <c r="L534" s="705"/>
      <c r="M534" s="705"/>
      <c r="N534" s="705"/>
      <c r="O534" s="705"/>
      <c r="P534" s="705"/>
      <c r="Q534" s="705"/>
      <c r="R534" s="2"/>
      <c r="S534" s="705">
        <f t="shared" si="1162"/>
        <v>0</v>
      </c>
      <c r="T534" s="878" t="str">
        <f>IFERROR((S535/S534),"-")</f>
        <v>-</v>
      </c>
      <c r="U534" s="2"/>
      <c r="V534" s="705"/>
      <c r="W534" s="705"/>
      <c r="X534" s="705"/>
      <c r="Y534" s="705"/>
      <c r="Z534" s="705"/>
      <c r="AA534" s="705"/>
      <c r="AB534" s="705"/>
      <c r="AC534" s="2"/>
      <c r="AD534" s="705">
        <f ca="1">SUMIF($V$7:AB$7,"&lt;="&amp;$I$7,V534:AA534)</f>
        <v>0</v>
      </c>
      <c r="AE534" s="878" t="str">
        <f ca="1">IFERROR((AD535/AD534),"-")</f>
        <v>-</v>
      </c>
      <c r="AF534" s="2"/>
      <c r="AG534" s="705"/>
      <c r="AH534" s="705"/>
      <c r="AI534" s="705"/>
      <c r="AJ534" s="705"/>
      <c r="AK534" s="705"/>
      <c r="AL534" s="705"/>
      <c r="AM534" s="705"/>
      <c r="AN534" s="2"/>
      <c r="AO534" s="705">
        <f ca="1">SUMIF($AG$7:AM$7,"&lt;="&amp;$I$7,AG534:AL534)</f>
        <v>0</v>
      </c>
      <c r="AP534" s="878" t="str">
        <f ca="1">IFERROR((AO535/AO534),"-")</f>
        <v>-</v>
      </c>
      <c r="AQ534" s="2"/>
      <c r="AR534" s="705"/>
      <c r="AS534" s="705"/>
      <c r="AT534" s="705"/>
      <c r="AU534" s="705"/>
      <c r="AV534" s="705"/>
      <c r="AW534" s="705"/>
      <c r="AX534" s="705"/>
      <c r="AY534" s="2"/>
      <c r="AZ534" s="705">
        <f ca="1">SUMIF($AR$7:AX$7,"&lt;="&amp;$I$7,AR534:AW534)</f>
        <v>0</v>
      </c>
      <c r="BA534" s="878" t="str">
        <f ca="1">IFERROR((AZ535/AZ534),"-")</f>
        <v>-</v>
      </c>
      <c r="BB534" s="2"/>
      <c r="BC534" s="705"/>
      <c r="BD534" s="705"/>
      <c r="BE534" s="705"/>
      <c r="BF534" s="705"/>
      <c r="BG534" s="705"/>
      <c r="BH534" s="705"/>
      <c r="BI534" s="705"/>
      <c r="BJ534" s="2"/>
      <c r="BK534" s="705">
        <f ca="1">SUMIF($BC$7:BI$7,"&lt;="&amp;$I$7,BC534:BH534)</f>
        <v>0</v>
      </c>
      <c r="BL534" s="878" t="str">
        <f ca="1">IFERROR((BK535/BK534),"-")</f>
        <v>-</v>
      </c>
      <c r="BM534" s="2"/>
      <c r="BN534" s="884">
        <v>0</v>
      </c>
      <c r="BO534" s="884">
        <v>0</v>
      </c>
      <c r="BP534" s="884">
        <f>SUM(M535:P535,V535:AB535,AG535:AM535,AR535:AX535,BC535:BI535)</f>
        <v>0</v>
      </c>
      <c r="BQ534" s="878" t="str">
        <f t="shared" ref="BQ534" si="1165">IFERROR((BP534/BO534),"-")</f>
        <v>-</v>
      </c>
      <c r="BR534" s="2"/>
      <c r="BS534" s="884"/>
      <c r="BT534" s="884"/>
      <c r="BU534" s="884">
        <f ca="1">E534+S535+AD535+AO535+AZ535+BK535-K535-L535</f>
        <v>1</v>
      </c>
      <c r="BV534" s="884">
        <v>104</v>
      </c>
      <c r="BW534" s="1004">
        <f ca="1">IFERROR((BU534/BV534),"-")</f>
        <v>9.6153846153846159E-3</v>
      </c>
      <c r="BX534" s="884">
        <v>0</v>
      </c>
      <c r="BY534" s="878" t="str">
        <f ca="1">IFERROR((BU534/BX534),"-")</f>
        <v>-</v>
      </c>
      <c r="BZ534" s="2"/>
      <c r="CA534" s="884">
        <v>0</v>
      </c>
      <c r="CB534" s="884">
        <v>0</v>
      </c>
      <c r="CC534" s="2"/>
      <c r="CD534" s="504">
        <f>IFERROR(AVERAGEIF($V$7:AB$7,"&lt;="&amp;$I$7,V534:AB534),0)</f>
        <v>0</v>
      </c>
      <c r="CE534" s="2"/>
      <c r="CH534" s="93" t="str">
        <f t="shared" si="1100"/>
        <v>P3 - Execução da estaca EP3.02</v>
      </c>
    </row>
    <row r="535" spans="1:86" s="16" customFormat="1" ht="15.95" hidden="1" customHeight="1" outlineLevel="1">
      <c r="A535" s="74"/>
      <c r="B535" s="1042"/>
      <c r="C535" s="1034"/>
      <c r="D535" s="2"/>
      <c r="E535" s="1005"/>
      <c r="F535" s="2"/>
      <c r="G535" s="50" t="s">
        <v>38</v>
      </c>
      <c r="H535" s="705">
        <f t="shared" si="1143"/>
        <v>0</v>
      </c>
      <c r="I535" s="879"/>
      <c r="J535" s="2"/>
      <c r="K535" s="86"/>
      <c r="L535" s="86"/>
      <c r="M535" s="86"/>
      <c r="N535" s="86"/>
      <c r="O535" s="86"/>
      <c r="P535" s="86"/>
      <c r="Q535" s="706"/>
      <c r="R535" s="2"/>
      <c r="S535" s="705">
        <f t="shared" si="1162"/>
        <v>0</v>
      </c>
      <c r="T535" s="879"/>
      <c r="U535" s="2"/>
      <c r="V535" s="86"/>
      <c r="W535" s="86"/>
      <c r="X535" s="86"/>
      <c r="Y535" s="86"/>
      <c r="Z535" s="86"/>
      <c r="AA535" s="86"/>
      <c r="AB535" s="706"/>
      <c r="AC535" s="2"/>
      <c r="AD535" s="705">
        <f ca="1">SUMIF($V$7:AB$7,"&lt;="&amp;$I$7,V535:AA535)</f>
        <v>0</v>
      </c>
      <c r="AE535" s="879"/>
      <c r="AF535" s="2"/>
      <c r="AG535" s="86"/>
      <c r="AH535" s="86"/>
      <c r="AI535" s="86"/>
      <c r="AJ535" s="86"/>
      <c r="AK535" s="86"/>
      <c r="AL535" s="86"/>
      <c r="AM535" s="706"/>
      <c r="AN535" s="2"/>
      <c r="AO535" s="705">
        <f ca="1">SUMIF($AG$7:AM$7,"&lt;="&amp;$I$7,AG535:AL535)</f>
        <v>0</v>
      </c>
      <c r="AP535" s="879"/>
      <c r="AQ535" s="2"/>
      <c r="AR535" s="86"/>
      <c r="AS535" s="86"/>
      <c r="AT535" s="86"/>
      <c r="AU535" s="86"/>
      <c r="AV535" s="86"/>
      <c r="AW535" s="86"/>
      <c r="AX535" s="706"/>
      <c r="AY535" s="2"/>
      <c r="AZ535" s="705">
        <f ca="1">SUMIF($AR$7:AX$7,"&lt;="&amp;$I$7,AR535:AW535)</f>
        <v>0</v>
      </c>
      <c r="BA535" s="879"/>
      <c r="BB535" s="2"/>
      <c r="BC535" s="86"/>
      <c r="BD535" s="86"/>
      <c r="BE535" s="86"/>
      <c r="BF535" s="86"/>
      <c r="BG535" s="86"/>
      <c r="BH535" s="86"/>
      <c r="BI535" s="706"/>
      <c r="BJ535" s="2"/>
      <c r="BK535" s="705">
        <f ca="1">SUMIF($BC$7:BI$7,"&lt;="&amp;$I$7,BC535:BH535)</f>
        <v>0</v>
      </c>
      <c r="BL535" s="879"/>
      <c r="BM535" s="2"/>
      <c r="BN535" s="885"/>
      <c r="BO535" s="885"/>
      <c r="BP535" s="885"/>
      <c r="BQ535" s="879"/>
      <c r="BR535" s="2"/>
      <c r="BS535" s="885"/>
      <c r="BT535" s="885"/>
      <c r="BU535" s="885"/>
      <c r="BV535" s="885"/>
      <c r="BW535" s="1005"/>
      <c r="BX535" s="885"/>
      <c r="BY535" s="879"/>
      <c r="BZ535" s="2"/>
      <c r="CA535" s="885"/>
      <c r="CB535" s="885"/>
      <c r="CC535" s="2"/>
      <c r="CD535" s="504">
        <f>IFERROR(AVERAGEIF($V$7:AB$7,"&lt;="&amp;$I$7,V535:AB535),0)</f>
        <v>0</v>
      </c>
      <c r="CE535" s="2"/>
      <c r="CH535" s="93" t="str">
        <f t="shared" si="1100"/>
        <v>P3 - Execução da estaca EP3.02</v>
      </c>
    </row>
    <row r="536" spans="1:86" s="44" customFormat="1" ht="15.95" hidden="1" customHeight="1" outlineLevel="1">
      <c r="A536" s="74"/>
      <c r="B536" s="1039" t="s">
        <v>4094</v>
      </c>
      <c r="C536" s="1014" t="s">
        <v>1437</v>
      </c>
      <c r="D536" s="2"/>
      <c r="E536" s="1004">
        <v>1</v>
      </c>
      <c r="F536" s="2"/>
      <c r="G536" s="49" t="s">
        <v>37</v>
      </c>
      <c r="H536" s="705">
        <f t="shared" si="1143"/>
        <v>0</v>
      </c>
      <c r="I536" s="878" t="str">
        <f t="shared" ref="I536" si="1166">IFERROR((H537/H536),"-")</f>
        <v>-</v>
      </c>
      <c r="J536" s="2"/>
      <c r="K536" s="705"/>
      <c r="L536" s="705"/>
      <c r="M536" s="705"/>
      <c r="N536" s="705"/>
      <c r="O536" s="705"/>
      <c r="P536" s="705"/>
      <c r="Q536" s="705"/>
      <c r="R536" s="2"/>
      <c r="S536" s="705">
        <f t="shared" si="1162"/>
        <v>0</v>
      </c>
      <c r="T536" s="878" t="str">
        <f>IFERROR((S537/S536),"-")</f>
        <v>-</v>
      </c>
      <c r="U536" s="2"/>
      <c r="V536" s="705"/>
      <c r="W536" s="705"/>
      <c r="X536" s="705"/>
      <c r="Y536" s="705"/>
      <c r="Z536" s="705"/>
      <c r="AA536" s="705"/>
      <c r="AB536" s="705"/>
      <c r="AC536" s="2"/>
      <c r="AD536" s="705">
        <f ca="1">SUMIF($V$7:AB$7,"&lt;="&amp;$I$7,V536:AA536)</f>
        <v>0</v>
      </c>
      <c r="AE536" s="878" t="str">
        <f ca="1">IFERROR((AD537/AD536),"-")</f>
        <v>-</v>
      </c>
      <c r="AF536" s="2"/>
      <c r="AG536" s="705"/>
      <c r="AH536" s="705"/>
      <c r="AI536" s="705"/>
      <c r="AJ536" s="705"/>
      <c r="AK536" s="705"/>
      <c r="AL536" s="705"/>
      <c r="AM536" s="705"/>
      <c r="AN536" s="2"/>
      <c r="AO536" s="705">
        <f ca="1">SUMIF($AG$7:AM$7,"&lt;="&amp;$I$7,AG536:AL536)</f>
        <v>0</v>
      </c>
      <c r="AP536" s="878" t="str">
        <f ca="1">IFERROR((AO537/AO536),"-")</f>
        <v>-</v>
      </c>
      <c r="AQ536" s="2"/>
      <c r="AR536" s="705"/>
      <c r="AS536" s="705"/>
      <c r="AT536" s="705"/>
      <c r="AU536" s="705"/>
      <c r="AV536" s="705"/>
      <c r="AW536" s="705"/>
      <c r="AX536" s="705"/>
      <c r="AY536" s="2"/>
      <c r="AZ536" s="705">
        <f ca="1">SUMIF($AR$7:AX$7,"&lt;="&amp;$I$7,AR536:AW536)</f>
        <v>0</v>
      </c>
      <c r="BA536" s="878" t="str">
        <f ca="1">IFERROR((AZ537/AZ536),"-")</f>
        <v>-</v>
      </c>
      <c r="BB536" s="2"/>
      <c r="BC536" s="705"/>
      <c r="BD536" s="705"/>
      <c r="BE536" s="705"/>
      <c r="BF536" s="705"/>
      <c r="BG536" s="705"/>
      <c r="BH536" s="705"/>
      <c r="BI536" s="705"/>
      <c r="BJ536" s="2"/>
      <c r="BK536" s="705">
        <f ca="1">SUMIF($BC$7:BI$7,"&lt;="&amp;$I$7,BC536:BH536)</f>
        <v>0</v>
      </c>
      <c r="BL536" s="878" t="str">
        <f ca="1">IFERROR((BK537/BK536),"-")</f>
        <v>-</v>
      </c>
      <c r="BM536" s="2"/>
      <c r="BN536" s="884">
        <v>0</v>
      </c>
      <c r="BO536" s="884">
        <v>0</v>
      </c>
      <c r="BP536" s="884">
        <f>SUM(M537:P537,V537:AB537,AG537:AM537,AR537:AX537,BC537:BI537)</f>
        <v>0</v>
      </c>
      <c r="BQ536" s="878" t="str">
        <f t="shared" ref="BQ536" si="1167">IFERROR((BP536/BO536),"-")</f>
        <v>-</v>
      </c>
      <c r="BR536" s="2"/>
      <c r="BS536" s="884"/>
      <c r="BT536" s="884"/>
      <c r="BU536" s="884">
        <f ca="1">E536+S537+AD537+AO537+AZ537+BK537-K537-L537</f>
        <v>1</v>
      </c>
      <c r="BV536" s="1016" t="e">
        <v>#N/A</v>
      </c>
      <c r="BW536" s="1004" t="str">
        <f ca="1">IFERROR((BU536/BV536),"-")</f>
        <v>-</v>
      </c>
      <c r="BX536" s="884">
        <v>0</v>
      </c>
      <c r="BY536" s="878" t="str">
        <f ca="1">IFERROR((BU536/BX536),"-")</f>
        <v>-</v>
      </c>
      <c r="BZ536" s="2"/>
      <c r="CA536" s="884">
        <v>0</v>
      </c>
      <c r="CB536" s="884">
        <v>0</v>
      </c>
      <c r="CC536" s="2"/>
      <c r="CD536" s="504">
        <f>IFERROR(AVERAGEIF($V$7:AB$7,"&lt;="&amp;$I$7,V536:AB536),0)</f>
        <v>0</v>
      </c>
      <c r="CE536" s="2"/>
      <c r="CH536" s="93" t="str">
        <f t="shared" si="1100"/>
        <v>P3 - Execução da estaca EP3.09</v>
      </c>
    </row>
    <row r="537" spans="1:86" s="44" customFormat="1" ht="15.95" hidden="1" customHeight="1" outlineLevel="1">
      <c r="A537" s="74"/>
      <c r="B537" s="1040"/>
      <c r="C537" s="1034"/>
      <c r="D537" s="2"/>
      <c r="E537" s="1005"/>
      <c r="F537" s="2"/>
      <c r="G537" s="50" t="s">
        <v>38</v>
      </c>
      <c r="H537" s="705">
        <f t="shared" si="1143"/>
        <v>0</v>
      </c>
      <c r="I537" s="879"/>
      <c r="J537" s="2"/>
      <c r="K537" s="86"/>
      <c r="L537" s="86"/>
      <c r="M537" s="86"/>
      <c r="N537" s="86"/>
      <c r="O537" s="86"/>
      <c r="P537" s="86"/>
      <c r="Q537" s="706"/>
      <c r="R537" s="2"/>
      <c r="S537" s="705">
        <f t="shared" si="1162"/>
        <v>0</v>
      </c>
      <c r="T537" s="879"/>
      <c r="U537" s="2"/>
      <c r="V537" s="86"/>
      <c r="W537" s="86"/>
      <c r="X537" s="86"/>
      <c r="Y537" s="86"/>
      <c r="Z537" s="86"/>
      <c r="AA537" s="86"/>
      <c r="AB537" s="706"/>
      <c r="AC537" s="2"/>
      <c r="AD537" s="705">
        <f ca="1">SUMIF($V$7:AB$7,"&lt;="&amp;$I$7,V537:AA537)</f>
        <v>0</v>
      </c>
      <c r="AE537" s="879"/>
      <c r="AF537" s="2"/>
      <c r="AG537" s="86"/>
      <c r="AH537" s="86"/>
      <c r="AI537" s="86"/>
      <c r="AJ537" s="86"/>
      <c r="AK537" s="86"/>
      <c r="AL537" s="86"/>
      <c r="AM537" s="706"/>
      <c r="AN537" s="2"/>
      <c r="AO537" s="705">
        <f ca="1">SUMIF($AG$7:AM$7,"&lt;="&amp;$I$7,AG537:AL537)</f>
        <v>0</v>
      </c>
      <c r="AP537" s="879"/>
      <c r="AQ537" s="2"/>
      <c r="AR537" s="86"/>
      <c r="AS537" s="86"/>
      <c r="AT537" s="86"/>
      <c r="AU537" s="86"/>
      <c r="AV537" s="86"/>
      <c r="AW537" s="86"/>
      <c r="AX537" s="706"/>
      <c r="AY537" s="2"/>
      <c r="AZ537" s="705">
        <f ca="1">SUMIF($AR$7:AX$7,"&lt;="&amp;$I$7,AR537:AW537)</f>
        <v>0</v>
      </c>
      <c r="BA537" s="879"/>
      <c r="BB537" s="2"/>
      <c r="BC537" s="86"/>
      <c r="BD537" s="86"/>
      <c r="BE537" s="86"/>
      <c r="BF537" s="86"/>
      <c r="BG537" s="86"/>
      <c r="BH537" s="86"/>
      <c r="BI537" s="706"/>
      <c r="BJ537" s="2"/>
      <c r="BK537" s="705">
        <f ca="1">SUMIF($BC$7:BI$7,"&lt;="&amp;$I$7,BC537:BH537)</f>
        <v>0</v>
      </c>
      <c r="BL537" s="879"/>
      <c r="BM537" s="2"/>
      <c r="BN537" s="885"/>
      <c r="BO537" s="885"/>
      <c r="BP537" s="885"/>
      <c r="BQ537" s="879"/>
      <c r="BR537" s="2"/>
      <c r="BS537" s="885"/>
      <c r="BT537" s="885"/>
      <c r="BU537" s="885"/>
      <c r="BV537" s="1017"/>
      <c r="BW537" s="1005"/>
      <c r="BX537" s="885"/>
      <c r="BY537" s="879"/>
      <c r="BZ537" s="2"/>
      <c r="CA537" s="885"/>
      <c r="CB537" s="885"/>
      <c r="CC537" s="2"/>
      <c r="CD537" s="504">
        <f>IFERROR(AVERAGEIF($V$7:AB$7,"&lt;="&amp;$I$7,V537:AB537),0)</f>
        <v>0</v>
      </c>
      <c r="CE537" s="2"/>
      <c r="CH537" s="93" t="str">
        <f t="shared" si="1100"/>
        <v>P3 - Execução da estaca EP3.09</v>
      </c>
    </row>
    <row r="538" spans="1:86" s="21" customFormat="1" ht="14.85" hidden="1" customHeight="1" outlineLevel="1">
      <c r="A538" s="74"/>
      <c r="B538" s="1041" t="s">
        <v>4095</v>
      </c>
      <c r="C538" s="1014" t="s">
        <v>1437</v>
      </c>
      <c r="D538" s="2"/>
      <c r="E538" s="1004">
        <v>0</v>
      </c>
      <c r="F538" s="2"/>
      <c r="G538" s="49" t="s">
        <v>37</v>
      </c>
      <c r="H538" s="705">
        <f t="shared" si="1143"/>
        <v>0</v>
      </c>
      <c r="I538" s="878" t="str">
        <f t="shared" ref="I538" si="1168">IFERROR((H539/H538),"-")</f>
        <v>-</v>
      </c>
      <c r="J538" s="2"/>
      <c r="K538" s="705"/>
      <c r="L538" s="705"/>
      <c r="M538" s="705"/>
      <c r="N538" s="705"/>
      <c r="O538" s="705"/>
      <c r="P538" s="705"/>
      <c r="Q538" s="705"/>
      <c r="R538" s="2"/>
      <c r="S538" s="705">
        <f t="shared" si="1162"/>
        <v>0</v>
      </c>
      <c r="T538" s="878" t="str">
        <f>IFERROR((S539/S538),"-")</f>
        <v>-</v>
      </c>
      <c r="U538" s="2"/>
      <c r="V538" s="705"/>
      <c r="W538" s="705"/>
      <c r="X538" s="705"/>
      <c r="Y538" s="705"/>
      <c r="Z538" s="705"/>
      <c r="AA538" s="705"/>
      <c r="AB538" s="705"/>
      <c r="AC538" s="2"/>
      <c r="AD538" s="705">
        <f ca="1">SUMIF($V$7:AB$7,"&lt;="&amp;$I$7,V538:AA538)</f>
        <v>0</v>
      </c>
      <c r="AE538" s="878" t="str">
        <f ca="1">IFERROR((AD539/AD538),"-")</f>
        <v>-</v>
      </c>
      <c r="AF538" s="2"/>
      <c r="AG538" s="705"/>
      <c r="AH538" s="705"/>
      <c r="AI538" s="705"/>
      <c r="AJ538" s="705"/>
      <c r="AK538" s="705"/>
      <c r="AL538" s="705"/>
      <c r="AM538" s="705"/>
      <c r="AN538" s="2"/>
      <c r="AO538" s="705">
        <f ca="1">SUMIF($AG$7:AM$7,"&lt;="&amp;$I$7,AG538:AL538)</f>
        <v>0</v>
      </c>
      <c r="AP538" s="878" t="str">
        <f ca="1">IFERROR((AO539/AO538),"-")</f>
        <v>-</v>
      </c>
      <c r="AQ538" s="2"/>
      <c r="AR538" s="705"/>
      <c r="AS538" s="705"/>
      <c r="AT538" s="705"/>
      <c r="AU538" s="705"/>
      <c r="AV538" s="705"/>
      <c r="AW538" s="705"/>
      <c r="AX538" s="705"/>
      <c r="AY538" s="2"/>
      <c r="AZ538" s="705">
        <f ca="1">SUMIF($AR$7:AX$7,"&lt;="&amp;$I$7,AR538:AW538)</f>
        <v>0</v>
      </c>
      <c r="BA538" s="878" t="str">
        <f ca="1">IFERROR((AZ539/AZ538),"-")</f>
        <v>-</v>
      </c>
      <c r="BB538" s="2"/>
      <c r="BC538" s="705"/>
      <c r="BD538" s="705"/>
      <c r="BE538" s="705"/>
      <c r="BF538" s="705"/>
      <c r="BG538" s="705"/>
      <c r="BH538" s="705"/>
      <c r="BI538" s="705"/>
      <c r="BJ538" s="2"/>
      <c r="BK538" s="705">
        <f ca="1">SUMIF($BC$7:BI$7,"&lt;="&amp;$I$7,BC538:BH538)</f>
        <v>0</v>
      </c>
      <c r="BL538" s="878" t="str">
        <f ca="1">IFERROR((BK539/BK538),"-")</f>
        <v>-</v>
      </c>
      <c r="BM538" s="2"/>
      <c r="BN538" s="884">
        <v>0</v>
      </c>
      <c r="BO538" s="884">
        <v>0</v>
      </c>
      <c r="BP538" s="884">
        <f>SUM(M539:P539,V539:AB539,AG539:AM539,AR539:AX539,BC539:BI539)</f>
        <v>1</v>
      </c>
      <c r="BQ538" s="878" t="str">
        <f t="shared" ref="BQ538" si="1169">IFERROR((BP538/BO538),"-")</f>
        <v>-</v>
      </c>
      <c r="BR538" s="2"/>
      <c r="BS538" s="884"/>
      <c r="BT538" s="884"/>
      <c r="BU538" s="884">
        <f ca="1">E538+S539+AD539+AO539+AZ539+BK539-K539-L539</f>
        <v>1</v>
      </c>
      <c r="BV538" s="1016" t="e">
        <v>#N/A</v>
      </c>
      <c r="BW538" s="1004" t="str">
        <f ca="1">IFERROR((BU538/BV538),"-")</f>
        <v>-</v>
      </c>
      <c r="BX538" s="884">
        <v>0</v>
      </c>
      <c r="BY538" s="878" t="str">
        <f ca="1">IFERROR((BU538/BX538),"-")</f>
        <v>-</v>
      </c>
      <c r="BZ538" s="2"/>
      <c r="CA538" s="884">
        <v>0</v>
      </c>
      <c r="CB538" s="884">
        <v>0</v>
      </c>
      <c r="CC538" s="2"/>
      <c r="CD538" s="84">
        <f>IFERROR(AVERAGEIF($V$7:AB$7,"&lt;="&amp;$I$7,V538:AB538),0)</f>
        <v>0</v>
      </c>
      <c r="CE538" s="2"/>
      <c r="CH538" s="93" t="str">
        <f t="shared" si="1100"/>
        <v>P3 - Execução da estaca EP3.08</v>
      </c>
    </row>
    <row r="539" spans="1:86" ht="14.85" hidden="1" customHeight="1" outlineLevel="1">
      <c r="A539" s="74"/>
      <c r="B539" s="1042"/>
      <c r="C539" s="1034"/>
      <c r="D539" s="2"/>
      <c r="E539" s="1005"/>
      <c r="F539" s="2"/>
      <c r="G539" s="50" t="s">
        <v>38</v>
      </c>
      <c r="H539" s="705">
        <f t="shared" si="1143"/>
        <v>0</v>
      </c>
      <c r="I539" s="879"/>
      <c r="J539" s="2"/>
      <c r="K539" s="86"/>
      <c r="L539" s="86"/>
      <c r="M539" s="86"/>
      <c r="N539" s="255">
        <v>1</v>
      </c>
      <c r="O539" s="86"/>
      <c r="P539" s="86"/>
      <c r="Q539" s="706"/>
      <c r="R539" s="2"/>
      <c r="S539" s="705">
        <f t="shared" si="1162"/>
        <v>1</v>
      </c>
      <c r="T539" s="879"/>
      <c r="U539" s="2"/>
      <c r="V539" s="86"/>
      <c r="W539" s="86" t="s">
        <v>1434</v>
      </c>
      <c r="X539" s="86"/>
      <c r="Y539" s="86"/>
      <c r="Z539" s="86"/>
      <c r="AA539" s="86"/>
      <c r="AB539" s="706"/>
      <c r="AC539" s="2"/>
      <c r="AD539" s="705">
        <f ca="1">SUMIF($V$7:AB$7,"&lt;="&amp;$I$7,V539:AA539)</f>
        <v>0</v>
      </c>
      <c r="AE539" s="879"/>
      <c r="AF539" s="2"/>
      <c r="AG539" s="86"/>
      <c r="AH539" s="86"/>
      <c r="AI539" s="86"/>
      <c r="AJ539" s="86"/>
      <c r="AK539" s="86"/>
      <c r="AL539" s="86"/>
      <c r="AM539" s="706"/>
      <c r="AN539" s="2"/>
      <c r="AO539" s="705">
        <f ca="1">SUMIF($AG$7:AM$7,"&lt;="&amp;$I$7,AG539:AL539)</f>
        <v>0</v>
      </c>
      <c r="AP539" s="879"/>
      <c r="AQ539" s="2"/>
      <c r="AR539" s="86"/>
      <c r="AS539" s="86"/>
      <c r="AT539" s="86"/>
      <c r="AU539" s="86"/>
      <c r="AV539" s="86"/>
      <c r="AW539" s="86"/>
      <c r="AX539" s="706"/>
      <c r="AY539" s="2"/>
      <c r="AZ539" s="705">
        <f ca="1">SUMIF($AR$7:AX$7,"&lt;="&amp;$I$7,AR539:AW539)</f>
        <v>0</v>
      </c>
      <c r="BA539" s="879"/>
      <c r="BB539" s="2"/>
      <c r="BC539" s="86"/>
      <c r="BD539" s="86"/>
      <c r="BE539" s="86"/>
      <c r="BF539" s="86"/>
      <c r="BG539" s="86"/>
      <c r="BH539" s="86"/>
      <c r="BI539" s="706"/>
      <c r="BJ539" s="2"/>
      <c r="BK539" s="705">
        <f ca="1">SUMIF($BC$7:BI$7,"&lt;="&amp;$I$7,BC539:BH539)</f>
        <v>0</v>
      </c>
      <c r="BL539" s="879"/>
      <c r="BM539" s="2"/>
      <c r="BN539" s="885"/>
      <c r="BO539" s="885"/>
      <c r="BP539" s="885"/>
      <c r="BQ539" s="879"/>
      <c r="BR539" s="2"/>
      <c r="BS539" s="885"/>
      <c r="BT539" s="885"/>
      <c r="BU539" s="885"/>
      <c r="BV539" s="1017"/>
      <c r="BW539" s="1005"/>
      <c r="BX539" s="885"/>
      <c r="BY539" s="879"/>
      <c r="BZ539" s="2"/>
      <c r="CA539" s="885"/>
      <c r="CB539" s="885"/>
      <c r="CC539" s="2"/>
      <c r="CD539" s="84">
        <f>IFERROR(AVERAGEIF($V$7:AB$7,"&lt;="&amp;$I$7,V539:AB539),0)</f>
        <v>0</v>
      </c>
      <c r="CE539" s="2"/>
      <c r="CH539" s="93" t="str">
        <f t="shared" si="1100"/>
        <v>P3 - Execução da estaca EP3.08</v>
      </c>
    </row>
    <row r="540" spans="1:86" s="16" customFormat="1" ht="20.25" hidden="1" customHeight="1" outlineLevel="1">
      <c r="A540" s="74"/>
      <c r="B540" s="1041" t="s">
        <v>4096</v>
      </c>
      <c r="C540" s="1014" t="s">
        <v>1437</v>
      </c>
      <c r="D540" s="2"/>
      <c r="E540" s="1004">
        <v>0</v>
      </c>
      <c r="F540" s="2"/>
      <c r="G540" s="49" t="s">
        <v>37</v>
      </c>
      <c r="H540" s="705">
        <f t="shared" si="1143"/>
        <v>0</v>
      </c>
      <c r="I540" s="878" t="str">
        <f t="shared" ref="I540" si="1170">IFERROR((H541/H540),"-")</f>
        <v>-</v>
      </c>
      <c r="J540" s="2"/>
      <c r="K540" s="705"/>
      <c r="L540" s="705"/>
      <c r="M540" s="705"/>
      <c r="N540" s="705"/>
      <c r="O540" s="705" t="s">
        <v>1434</v>
      </c>
      <c r="P540" s="705">
        <v>1</v>
      </c>
      <c r="Q540" s="705"/>
      <c r="R540" s="2"/>
      <c r="S540" s="705">
        <f t="shared" si="1162"/>
        <v>1</v>
      </c>
      <c r="T540" s="878">
        <f>IFERROR((S541/S540),"-")</f>
        <v>0</v>
      </c>
      <c r="U540" s="2"/>
      <c r="V540" s="705"/>
      <c r="W540" s="705"/>
      <c r="X540" s="705"/>
      <c r="Y540" s="705"/>
      <c r="Z540" s="705" t="s">
        <v>1434</v>
      </c>
      <c r="AA540" s="705">
        <v>1</v>
      </c>
      <c r="AB540" s="705"/>
      <c r="AC540" s="2"/>
      <c r="AD540" s="705">
        <f ca="1">SUMIF($V$7:AB$7,"&lt;="&amp;$I$7,V540:AA540)</f>
        <v>1</v>
      </c>
      <c r="AE540" s="878">
        <f ca="1">IFERROR((AD541/AD540),"-")</f>
        <v>0</v>
      </c>
      <c r="AF540" s="2"/>
      <c r="AG540" s="705"/>
      <c r="AH540" s="705"/>
      <c r="AI540" s="705"/>
      <c r="AJ540" s="705"/>
      <c r="AK540" s="705"/>
      <c r="AL540" s="705"/>
      <c r="AM540" s="705"/>
      <c r="AN540" s="2"/>
      <c r="AO540" s="705">
        <f ca="1">SUMIF($AG$7:AM$7,"&lt;="&amp;$I$7,AG540:AL540)</f>
        <v>0</v>
      </c>
      <c r="AP540" s="878" t="str">
        <f ca="1">IFERROR((AO541/AO540),"-")</f>
        <v>-</v>
      </c>
      <c r="AQ540" s="2"/>
      <c r="AR540" s="705"/>
      <c r="AS540" s="705"/>
      <c r="AT540" s="705"/>
      <c r="AU540" s="705"/>
      <c r="AV540" s="705"/>
      <c r="AW540" s="705"/>
      <c r="AX540" s="705"/>
      <c r="AY540" s="2"/>
      <c r="AZ540" s="705">
        <f ca="1">SUMIF($AR$7:AX$7,"&lt;="&amp;$I$7,AR540:AW540)</f>
        <v>0</v>
      </c>
      <c r="BA540" s="878" t="str">
        <f ca="1">IFERROR((AZ541/AZ540),"-")</f>
        <v>-</v>
      </c>
      <c r="BB540" s="2"/>
      <c r="BC540" s="705"/>
      <c r="BD540" s="705"/>
      <c r="BE540" s="705"/>
      <c r="BF540" s="705"/>
      <c r="BG540" s="705"/>
      <c r="BH540" s="705"/>
      <c r="BI540" s="705"/>
      <c r="BJ540" s="2"/>
      <c r="BK540" s="705">
        <f ca="1">SUMIF($BC$7:BI$7,"&lt;="&amp;$I$7,BC540:BH540)</f>
        <v>0</v>
      </c>
      <c r="BL540" s="878" t="str">
        <f ca="1">IFERROR((BK541/BK540),"-")</f>
        <v>-</v>
      </c>
      <c r="BM540" s="2"/>
      <c r="BN540" s="884">
        <v>0</v>
      </c>
      <c r="BO540" s="884">
        <v>0</v>
      </c>
      <c r="BP540" s="884">
        <f>SUM(M541:P541,V541:AB541,AG541:AM541,AR541:AX541,BC541:BI541)</f>
        <v>0</v>
      </c>
      <c r="BQ540" s="878" t="str">
        <f t="shared" ref="BQ540" si="1171">IFERROR((BP540/BO540),"-")</f>
        <v>-</v>
      </c>
      <c r="BR540" s="2"/>
      <c r="BS540" s="884"/>
      <c r="BT540" s="884"/>
      <c r="BU540" s="884">
        <f ca="1">E540+S541+AD541+AO541+AZ541+BK541-K541-L541</f>
        <v>0</v>
      </c>
      <c r="BV540" s="1016" t="e">
        <v>#N/A</v>
      </c>
      <c r="BW540" s="1004" t="str">
        <f ca="1">IFERROR((BU540/BV540),"-")</f>
        <v>-</v>
      </c>
      <c r="BX540" s="884">
        <v>0</v>
      </c>
      <c r="BY540" s="878" t="str">
        <f ca="1">IFERROR((BU540/BX540),"-")</f>
        <v>-</v>
      </c>
      <c r="BZ540" s="2"/>
      <c r="CA540" s="884">
        <v>0</v>
      </c>
      <c r="CB540" s="884">
        <v>0</v>
      </c>
      <c r="CC540" s="2"/>
      <c r="CD540" s="504">
        <f>IFERROR(AVERAGEIF($V$7:AB$7,"&lt;="&amp;$I$7,V540:AB540),0)</f>
        <v>1</v>
      </c>
      <c r="CE540" s="2"/>
      <c r="CH540" s="93" t="str">
        <f t="shared" si="1100"/>
        <v>P3 - Execução da estaca EP3.03</v>
      </c>
    </row>
    <row r="541" spans="1:86" s="16" customFormat="1" ht="15.95" hidden="1" customHeight="1" outlineLevel="1">
      <c r="A541" s="74"/>
      <c r="B541" s="1042"/>
      <c r="C541" s="1034"/>
      <c r="D541" s="2"/>
      <c r="E541" s="1005"/>
      <c r="F541" s="2"/>
      <c r="G541" s="50" t="s">
        <v>38</v>
      </c>
      <c r="H541" s="705">
        <f t="shared" si="1143"/>
        <v>0</v>
      </c>
      <c r="I541" s="879"/>
      <c r="J541" s="2"/>
      <c r="K541" s="86"/>
      <c r="L541" s="86"/>
      <c r="M541" s="86"/>
      <c r="N541" s="86"/>
      <c r="O541" s="86"/>
      <c r="P541" s="86"/>
      <c r="Q541" s="706"/>
      <c r="R541" s="2"/>
      <c r="S541" s="705">
        <f t="shared" si="1162"/>
        <v>0</v>
      </c>
      <c r="T541" s="879"/>
      <c r="U541" s="2"/>
      <c r="V541" s="86"/>
      <c r="W541" s="86"/>
      <c r="X541" s="86"/>
      <c r="Y541" s="86"/>
      <c r="Z541" s="86"/>
      <c r="AA541" s="86"/>
      <c r="AB541" s="706"/>
      <c r="AC541" s="2"/>
      <c r="AD541" s="705">
        <f ca="1">SUMIF($V$7:AB$7,"&lt;="&amp;$I$7,V541:AA541)</f>
        <v>0</v>
      </c>
      <c r="AE541" s="879"/>
      <c r="AF541" s="2"/>
      <c r="AG541" s="86"/>
      <c r="AH541" s="86"/>
      <c r="AI541" s="86"/>
      <c r="AJ541" s="86"/>
      <c r="AK541" s="86"/>
      <c r="AL541" s="86"/>
      <c r="AM541" s="706"/>
      <c r="AN541" s="2"/>
      <c r="AO541" s="705">
        <f ca="1">SUMIF($AG$7:AM$7,"&lt;="&amp;$I$7,AG541:AL541)</f>
        <v>0</v>
      </c>
      <c r="AP541" s="879"/>
      <c r="AQ541" s="2"/>
      <c r="AR541" s="86"/>
      <c r="AS541" s="86"/>
      <c r="AT541" s="86"/>
      <c r="AU541" s="86"/>
      <c r="AV541" s="86"/>
      <c r="AW541" s="86"/>
      <c r="AX541" s="706"/>
      <c r="AY541" s="2"/>
      <c r="AZ541" s="705">
        <f ca="1">SUMIF($AR$7:AX$7,"&lt;="&amp;$I$7,AR541:AW541)</f>
        <v>0</v>
      </c>
      <c r="BA541" s="879"/>
      <c r="BB541" s="2"/>
      <c r="BC541" s="86"/>
      <c r="BD541" s="86"/>
      <c r="BE541" s="86"/>
      <c r="BF541" s="86"/>
      <c r="BG541" s="86"/>
      <c r="BH541" s="86"/>
      <c r="BI541" s="706"/>
      <c r="BJ541" s="2"/>
      <c r="BK541" s="705">
        <f ca="1">SUMIF($BC$7:BI$7,"&lt;="&amp;$I$7,BC541:BH541)</f>
        <v>0</v>
      </c>
      <c r="BL541" s="879"/>
      <c r="BM541" s="2"/>
      <c r="BN541" s="885"/>
      <c r="BO541" s="885"/>
      <c r="BP541" s="885"/>
      <c r="BQ541" s="879"/>
      <c r="BR541" s="2"/>
      <c r="BS541" s="885"/>
      <c r="BT541" s="885"/>
      <c r="BU541" s="885"/>
      <c r="BV541" s="1017"/>
      <c r="BW541" s="1005"/>
      <c r="BX541" s="885"/>
      <c r="BY541" s="879"/>
      <c r="BZ541" s="2"/>
      <c r="CA541" s="885"/>
      <c r="CB541" s="885"/>
      <c r="CC541" s="2"/>
      <c r="CD541" s="504">
        <f>IFERROR(AVERAGEIF($V$7:AB$7,"&lt;="&amp;$I$7,V541:AB541),0)</f>
        <v>0</v>
      </c>
      <c r="CE541" s="2"/>
      <c r="CH541" s="93" t="str">
        <f t="shared" si="1100"/>
        <v>P3 - Execução da estaca EP3.03</v>
      </c>
    </row>
    <row r="542" spans="1:86" ht="15.95" hidden="1" customHeight="1" outlineLevel="1">
      <c r="A542" s="74"/>
      <c r="B542" s="1041" t="s">
        <v>4097</v>
      </c>
      <c r="C542" s="1014" t="s">
        <v>1437</v>
      </c>
      <c r="D542" s="2"/>
      <c r="E542" s="1004">
        <v>0</v>
      </c>
      <c r="F542" s="2"/>
      <c r="G542" s="49" t="s">
        <v>37</v>
      </c>
      <c r="H542" s="705">
        <f t="shared" si="1143"/>
        <v>0</v>
      </c>
      <c r="I542" s="878" t="str">
        <f t="shared" ref="I542" si="1172">IFERROR((H543/H542),"-")</f>
        <v>-</v>
      </c>
      <c r="J542" s="2"/>
      <c r="K542" s="705"/>
      <c r="L542" s="705"/>
      <c r="M542" s="705"/>
      <c r="N542" s="705"/>
      <c r="O542" s="705"/>
      <c r="P542" s="705"/>
      <c r="Q542" s="705"/>
      <c r="R542" s="2"/>
      <c r="S542" s="705">
        <f t="shared" si="1162"/>
        <v>0</v>
      </c>
      <c r="T542" s="878" t="str">
        <f>IFERROR((S543/S542),"-")</f>
        <v>-</v>
      </c>
      <c r="U542" s="2"/>
      <c r="V542" s="705"/>
      <c r="W542" s="705"/>
      <c r="X542" s="705"/>
      <c r="Y542" s="705"/>
      <c r="Z542" s="705"/>
      <c r="AA542" s="705"/>
      <c r="AB542" s="705"/>
      <c r="AC542" s="2"/>
      <c r="AD542" s="705">
        <f ca="1">SUMIF($V$7:AB$7,"&lt;="&amp;$I$7,V542:AA542)</f>
        <v>0</v>
      </c>
      <c r="AE542" s="878" t="str">
        <f ca="1">IFERROR((AD543/AD542),"-")</f>
        <v>-</v>
      </c>
      <c r="AF542" s="2"/>
      <c r="AG542" s="705">
        <v>1</v>
      </c>
      <c r="AH542" s="705"/>
      <c r="AI542" s="705"/>
      <c r="AJ542" s="705"/>
      <c r="AK542" s="705"/>
      <c r="AL542" s="705"/>
      <c r="AM542" s="705"/>
      <c r="AN542" s="2"/>
      <c r="AO542" s="705">
        <f ca="1">SUMIF($AG$7:AM$7,"&lt;="&amp;$I$7,AG542:AL542)</f>
        <v>1</v>
      </c>
      <c r="AP542" s="878">
        <f ca="1">IFERROR((AO543/AO542),"-")</f>
        <v>1</v>
      </c>
      <c r="AQ542" s="2"/>
      <c r="AR542" s="705"/>
      <c r="AS542" s="705"/>
      <c r="AT542" s="705"/>
      <c r="AU542" s="705"/>
      <c r="AV542" s="705"/>
      <c r="AW542" s="705"/>
      <c r="AX542" s="705"/>
      <c r="AY542" s="2"/>
      <c r="AZ542" s="705">
        <f ca="1">SUMIF($AR$7:AX$7,"&lt;="&amp;$I$7,AR542:AW542)</f>
        <v>0</v>
      </c>
      <c r="BA542" s="878" t="str">
        <f ca="1">IFERROR((AZ543/AZ542),"-")</f>
        <v>-</v>
      </c>
      <c r="BB542" s="2"/>
      <c r="BC542" s="705"/>
      <c r="BD542" s="705"/>
      <c r="BE542" s="705"/>
      <c r="BF542" s="705"/>
      <c r="BG542" s="705"/>
      <c r="BH542" s="705"/>
      <c r="BI542" s="705"/>
      <c r="BJ542" s="2"/>
      <c r="BK542" s="705">
        <f ca="1">SUMIF($BC$7:BI$7,"&lt;="&amp;$I$7,BC542:BH542)</f>
        <v>0</v>
      </c>
      <c r="BL542" s="878" t="str">
        <f ca="1">IFERROR((BK543/BK542),"-")</f>
        <v>-</v>
      </c>
      <c r="BM542" s="2"/>
      <c r="BN542" s="884">
        <v>0</v>
      </c>
      <c r="BO542" s="884">
        <v>0</v>
      </c>
      <c r="BP542" s="884">
        <f>SUM(M543:P543,V543:AB543,AG543:AM543,AR543:AX543,BC543:BI543)</f>
        <v>1</v>
      </c>
      <c r="BQ542" s="878" t="str">
        <f t="shared" ref="BQ542" si="1173">IFERROR((BP542/BO542),"-")</f>
        <v>-</v>
      </c>
      <c r="BR542" s="2"/>
      <c r="BS542" s="884"/>
      <c r="BT542" s="884"/>
      <c r="BU542" s="884">
        <f ca="1">E542+S543+AD543+AO543+AZ543+BK543-K543-L543</f>
        <v>1</v>
      </c>
      <c r="BV542" s="1016" t="e">
        <v>#N/A</v>
      </c>
      <c r="BW542" s="1004" t="str">
        <f ca="1">IFERROR((BU542/BV542),"-")</f>
        <v>-</v>
      </c>
      <c r="BX542" s="884">
        <v>0</v>
      </c>
      <c r="BY542" s="878" t="str">
        <f ca="1">IFERROR((BU542/BX542),"-")</f>
        <v>-</v>
      </c>
      <c r="BZ542" s="2"/>
      <c r="CA542" s="884">
        <v>0</v>
      </c>
      <c r="CB542" s="884">
        <v>0</v>
      </c>
      <c r="CC542" s="2"/>
      <c r="CD542" s="504">
        <f>IFERROR(AVERAGEIF($V$7:AB$7,"&lt;="&amp;$I$7,V542:AB542),0)</f>
        <v>0</v>
      </c>
      <c r="CE542" s="2"/>
      <c r="CH542" s="93" t="str">
        <f t="shared" si="1100"/>
        <v>P3 - Execução da estaca EP3.05</v>
      </c>
    </row>
    <row r="543" spans="1:86" ht="14.85" hidden="1" customHeight="1" outlineLevel="1">
      <c r="A543" s="74"/>
      <c r="B543" s="1042"/>
      <c r="C543" s="1034"/>
      <c r="D543" s="2"/>
      <c r="E543" s="1005"/>
      <c r="F543" s="2"/>
      <c r="G543" s="50" t="s">
        <v>38</v>
      </c>
      <c r="H543" s="705">
        <f t="shared" si="1143"/>
        <v>0</v>
      </c>
      <c r="I543" s="879"/>
      <c r="J543" s="2"/>
      <c r="K543" s="86"/>
      <c r="L543" s="86"/>
      <c r="M543" s="86"/>
      <c r="N543" s="86"/>
      <c r="O543" s="86"/>
      <c r="P543" s="86"/>
      <c r="Q543" s="706"/>
      <c r="R543" s="2"/>
      <c r="S543" s="705">
        <f t="shared" si="1162"/>
        <v>0</v>
      </c>
      <c r="T543" s="879"/>
      <c r="U543" s="2"/>
      <c r="V543" s="86"/>
      <c r="W543" s="86"/>
      <c r="X543" s="86"/>
      <c r="Y543" s="86"/>
      <c r="Z543" s="86"/>
      <c r="AA543" s="86"/>
      <c r="AB543" s="706"/>
      <c r="AC543" s="2"/>
      <c r="AD543" s="705">
        <f ca="1">SUMIF($V$7:AB$7,"&lt;="&amp;$I$7,V543:AA543)</f>
        <v>0</v>
      </c>
      <c r="AE543" s="879"/>
      <c r="AF543" s="2"/>
      <c r="AG543" s="86">
        <v>1</v>
      </c>
      <c r="AH543" s="86"/>
      <c r="AI543" s="86"/>
      <c r="AJ543" s="86"/>
      <c r="AK543" s="86"/>
      <c r="AL543" s="86"/>
      <c r="AM543" s="706"/>
      <c r="AN543" s="2"/>
      <c r="AO543" s="705">
        <f ca="1">SUMIF($AG$7:AM$7,"&lt;="&amp;$I$7,AG543:AL543)</f>
        <v>1</v>
      </c>
      <c r="AP543" s="879"/>
      <c r="AQ543" s="2"/>
      <c r="AR543" s="86"/>
      <c r="AS543" s="86"/>
      <c r="AT543" s="86"/>
      <c r="AU543" s="86"/>
      <c r="AV543" s="86"/>
      <c r="AW543" s="86"/>
      <c r="AX543" s="706"/>
      <c r="AY543" s="2"/>
      <c r="AZ543" s="705">
        <f ca="1">SUMIF($AR$7:AX$7,"&lt;="&amp;$I$7,AR543:AW543)</f>
        <v>0</v>
      </c>
      <c r="BA543" s="879"/>
      <c r="BB543" s="2"/>
      <c r="BC543" s="86"/>
      <c r="BD543" s="86"/>
      <c r="BE543" s="86"/>
      <c r="BF543" s="86"/>
      <c r="BG543" s="86"/>
      <c r="BH543" s="86"/>
      <c r="BI543" s="706"/>
      <c r="BJ543" s="2"/>
      <c r="BK543" s="705">
        <f ca="1">SUMIF($BC$7:BI$7,"&lt;="&amp;$I$7,BC543:BH543)</f>
        <v>0</v>
      </c>
      <c r="BL543" s="879"/>
      <c r="BM543" s="2"/>
      <c r="BN543" s="885"/>
      <c r="BO543" s="885"/>
      <c r="BP543" s="885"/>
      <c r="BQ543" s="879"/>
      <c r="BR543" s="2"/>
      <c r="BS543" s="885"/>
      <c r="BT543" s="885"/>
      <c r="BU543" s="885"/>
      <c r="BV543" s="1017"/>
      <c r="BW543" s="1005"/>
      <c r="BX543" s="885"/>
      <c r="BY543" s="879"/>
      <c r="BZ543" s="2"/>
      <c r="CA543" s="885"/>
      <c r="CB543" s="885"/>
      <c r="CC543" s="2"/>
      <c r="CD543" s="504">
        <f>IFERROR(AVERAGEIF($V$7:AB$7,"&lt;="&amp;$I$7,V543:AB543),0)</f>
        <v>0</v>
      </c>
      <c r="CE543" s="2"/>
      <c r="CH543" s="93" t="str">
        <f t="shared" si="1100"/>
        <v>P3 - Execução da estaca EP3.05</v>
      </c>
    </row>
    <row r="544" spans="1:86" ht="14.85" hidden="1" customHeight="1" outlineLevel="1">
      <c r="A544" s="74"/>
      <c r="B544" s="1041" t="s">
        <v>4098</v>
      </c>
      <c r="C544" s="1014" t="s">
        <v>1437</v>
      </c>
      <c r="D544" s="2"/>
      <c r="E544" s="1004">
        <v>0</v>
      </c>
      <c r="F544" s="2"/>
      <c r="G544" s="49" t="s">
        <v>37</v>
      </c>
      <c r="H544" s="705">
        <f t="shared" si="1143"/>
        <v>0</v>
      </c>
      <c r="I544" s="878" t="str">
        <f t="shared" ref="I544" si="1174">IFERROR((H545/H544),"-")</f>
        <v>-</v>
      </c>
      <c r="J544" s="2"/>
      <c r="K544" s="705"/>
      <c r="L544" s="705"/>
      <c r="M544" s="705"/>
      <c r="N544" s="705"/>
      <c r="O544" s="705"/>
      <c r="P544" s="705"/>
      <c r="Q544" s="705"/>
      <c r="R544" s="2"/>
      <c r="S544" s="705">
        <f t="shared" si="1162"/>
        <v>0</v>
      </c>
      <c r="T544" s="878" t="str">
        <f>IFERROR((S545/S544),"-")</f>
        <v>-</v>
      </c>
      <c r="U544" s="2"/>
      <c r="V544" s="705"/>
      <c r="W544" s="705"/>
      <c r="X544" s="705"/>
      <c r="Y544" s="705"/>
      <c r="Z544" s="705"/>
      <c r="AA544" s="705"/>
      <c r="AB544" s="705"/>
      <c r="AC544" s="2"/>
      <c r="AD544" s="705">
        <f ca="1">SUMIF($V$7:AB$7,"&lt;="&amp;$I$7,V544:AA544)</f>
        <v>0</v>
      </c>
      <c r="AE544" s="878" t="str">
        <f ca="1">IFERROR((AD545/AD544),"-")</f>
        <v>-</v>
      </c>
      <c r="AF544" s="2"/>
      <c r="AG544" s="705"/>
      <c r="AH544" s="705"/>
      <c r="AI544" s="705"/>
      <c r="AJ544" s="705"/>
      <c r="AK544" s="705"/>
      <c r="AL544" s="705"/>
      <c r="AM544" s="705"/>
      <c r="AN544" s="2"/>
      <c r="AO544" s="705">
        <f ca="1">SUMIF($AG$7:AM$7,"&lt;="&amp;$I$7,AG544:AL544)</f>
        <v>0</v>
      </c>
      <c r="AP544" s="878" t="str">
        <f ca="1">IFERROR((AO545/AO544),"-")</f>
        <v>-</v>
      </c>
      <c r="AQ544" s="2"/>
      <c r="AR544" s="705"/>
      <c r="AS544" s="705"/>
      <c r="AT544" s="705"/>
      <c r="AU544" s="705"/>
      <c r="AV544" s="705"/>
      <c r="AW544" s="705"/>
      <c r="AX544" s="705"/>
      <c r="AY544" s="2"/>
      <c r="AZ544" s="705">
        <f ca="1">SUMIF($AR$7:AX$7,"&lt;="&amp;$I$7,AR544:AW544)</f>
        <v>0</v>
      </c>
      <c r="BA544" s="878" t="str">
        <f ca="1">IFERROR((AZ545/AZ544),"-")</f>
        <v>-</v>
      </c>
      <c r="BB544" s="2"/>
      <c r="BC544" s="705"/>
      <c r="BD544" s="705"/>
      <c r="BE544" s="705"/>
      <c r="BF544" s="705"/>
      <c r="BG544" s="705"/>
      <c r="BH544" s="705"/>
      <c r="BI544" s="705"/>
      <c r="BJ544" s="2"/>
      <c r="BK544" s="705">
        <f ca="1">SUMIF($BC$7:BI$7,"&lt;="&amp;$I$7,BC544:BH544)</f>
        <v>0</v>
      </c>
      <c r="BL544" s="878" t="str">
        <f ca="1">IFERROR((BK545/BK544),"-")</f>
        <v>-</v>
      </c>
      <c r="BM544" s="2"/>
      <c r="BN544" s="884">
        <v>0</v>
      </c>
      <c r="BO544" s="884">
        <v>0</v>
      </c>
      <c r="BP544" s="884">
        <f>SUM(M545:P545,V545:AB545,AG545:AM545,AR545:AX545,BC545:BI545)</f>
        <v>1</v>
      </c>
      <c r="BQ544" s="878" t="str">
        <f t="shared" ref="BQ544" si="1175">IFERROR((BP544/BO544),"-")</f>
        <v>-</v>
      </c>
      <c r="BR544" s="2"/>
      <c r="BS544" s="884"/>
      <c r="BT544" s="884"/>
      <c r="BU544" s="884">
        <f ca="1">E544+S545+AD545+AO545+AZ545+BK545-K545-L545</f>
        <v>1</v>
      </c>
      <c r="BV544" s="1016" t="e">
        <v>#N/A</v>
      </c>
      <c r="BW544" s="1004" t="str">
        <f ca="1">IFERROR((BU544/BV544),"-")</f>
        <v>-</v>
      </c>
      <c r="BX544" s="884">
        <v>0</v>
      </c>
      <c r="BY544" s="878" t="str">
        <f ca="1">IFERROR((BU544/BX544),"-")</f>
        <v>-</v>
      </c>
      <c r="BZ544" s="2"/>
      <c r="CA544" s="884">
        <v>0</v>
      </c>
      <c r="CB544" s="884">
        <v>0</v>
      </c>
      <c r="CC544" s="2"/>
      <c r="CD544" s="504">
        <f>IFERROR(AVERAGEIF($V$7:AB$7,"&lt;="&amp;$I$7,V544:AB544),0)</f>
        <v>0</v>
      </c>
      <c r="CE544" s="2"/>
      <c r="CH544" s="93" t="str">
        <f t="shared" si="1100"/>
        <v>P3 - Execução da estaca EP3.06</v>
      </c>
    </row>
    <row r="545" spans="1:86" ht="15.95" hidden="1" customHeight="1" outlineLevel="1">
      <c r="A545" s="74"/>
      <c r="B545" s="1042"/>
      <c r="C545" s="1034"/>
      <c r="D545" s="2"/>
      <c r="E545" s="1005"/>
      <c r="F545" s="2"/>
      <c r="G545" s="50" t="s">
        <v>38</v>
      </c>
      <c r="H545" s="705">
        <f t="shared" si="1143"/>
        <v>0</v>
      </c>
      <c r="I545" s="879"/>
      <c r="J545" s="2"/>
      <c r="K545" s="86"/>
      <c r="L545" s="86"/>
      <c r="M545" s="86">
        <v>1</v>
      </c>
      <c r="N545" s="86"/>
      <c r="O545" s="86"/>
      <c r="P545" s="86"/>
      <c r="Q545" s="706"/>
      <c r="R545" s="2"/>
      <c r="S545" s="705">
        <f t="shared" si="1162"/>
        <v>1</v>
      </c>
      <c r="T545" s="879"/>
      <c r="U545" s="2"/>
      <c r="V545" s="86"/>
      <c r="W545" s="86"/>
      <c r="X545" s="86"/>
      <c r="Y545" s="86"/>
      <c r="Z545" s="86"/>
      <c r="AA545" s="86"/>
      <c r="AB545" s="706"/>
      <c r="AC545" s="2"/>
      <c r="AD545" s="705">
        <f ca="1">SUMIF($V$7:AB$7,"&lt;="&amp;$I$7,V545:AA545)</f>
        <v>0</v>
      </c>
      <c r="AE545" s="879"/>
      <c r="AF545" s="2"/>
      <c r="AG545" s="86"/>
      <c r="AH545" s="86"/>
      <c r="AI545" s="86"/>
      <c r="AJ545" s="86"/>
      <c r="AK545" s="86"/>
      <c r="AL545" s="86"/>
      <c r="AM545" s="706"/>
      <c r="AN545" s="2"/>
      <c r="AO545" s="705">
        <f ca="1">SUMIF($AG$7:AM$7,"&lt;="&amp;$I$7,AG545:AL545)</f>
        <v>0</v>
      </c>
      <c r="AP545" s="879"/>
      <c r="AQ545" s="2"/>
      <c r="AR545" s="86"/>
      <c r="AS545" s="86"/>
      <c r="AT545" s="86"/>
      <c r="AU545" s="86"/>
      <c r="AV545" s="86"/>
      <c r="AW545" s="86"/>
      <c r="AX545" s="706"/>
      <c r="AY545" s="2"/>
      <c r="AZ545" s="705">
        <f ca="1">SUMIF($AR$7:AX$7,"&lt;="&amp;$I$7,AR545:AW545)</f>
        <v>0</v>
      </c>
      <c r="BA545" s="879"/>
      <c r="BB545" s="2"/>
      <c r="BC545" s="86"/>
      <c r="BD545" s="86"/>
      <c r="BE545" s="86"/>
      <c r="BF545" s="86"/>
      <c r="BG545" s="86"/>
      <c r="BH545" s="86"/>
      <c r="BI545" s="706"/>
      <c r="BJ545" s="2"/>
      <c r="BK545" s="705">
        <f ca="1">SUMIF($BC$7:BI$7,"&lt;="&amp;$I$7,BC545:BH545)</f>
        <v>0</v>
      </c>
      <c r="BL545" s="879"/>
      <c r="BM545" s="2"/>
      <c r="BN545" s="885"/>
      <c r="BO545" s="885"/>
      <c r="BP545" s="885"/>
      <c r="BQ545" s="879"/>
      <c r="BR545" s="2"/>
      <c r="BS545" s="885"/>
      <c r="BT545" s="885"/>
      <c r="BU545" s="885"/>
      <c r="BV545" s="1017"/>
      <c r="BW545" s="1005"/>
      <c r="BX545" s="885"/>
      <c r="BY545" s="879"/>
      <c r="BZ545" s="2"/>
      <c r="CA545" s="885"/>
      <c r="CB545" s="885"/>
      <c r="CC545" s="2"/>
      <c r="CD545" s="504">
        <f>IFERROR(AVERAGEIF($V$7:AB$7,"&lt;="&amp;$I$7,V545:AB545),0)</f>
        <v>0</v>
      </c>
      <c r="CE545" s="2"/>
      <c r="CH545" s="93" t="str">
        <f t="shared" si="1100"/>
        <v>P3 - Execução da estaca EP3.06</v>
      </c>
    </row>
    <row r="546" spans="1:86" ht="15.95" hidden="1" customHeight="1" outlineLevel="1">
      <c r="A546" s="74"/>
      <c r="B546" s="1041" t="s">
        <v>4099</v>
      </c>
      <c r="C546" s="1014" t="s">
        <v>1437</v>
      </c>
      <c r="D546" s="2"/>
      <c r="E546" s="1004"/>
      <c r="F546" s="2"/>
      <c r="G546" s="49" t="s">
        <v>37</v>
      </c>
      <c r="H546" s="705">
        <f t="shared" si="1143"/>
        <v>0</v>
      </c>
      <c r="I546" s="878" t="str">
        <f t="shared" ref="I546" si="1176">IFERROR((H547/H546),"-")</f>
        <v>-</v>
      </c>
      <c r="J546" s="2"/>
      <c r="K546" s="705" t="s">
        <v>1434</v>
      </c>
      <c r="L546" s="705">
        <v>1</v>
      </c>
      <c r="M546" s="705"/>
      <c r="N546" s="705"/>
      <c r="O546" s="705"/>
      <c r="P546" s="705"/>
      <c r="Q546" s="705"/>
      <c r="R546" s="2"/>
      <c r="S546" s="705">
        <f t="shared" si="1162"/>
        <v>1</v>
      </c>
      <c r="T546" s="878">
        <f>IFERROR((S547/S546),"-")</f>
        <v>1</v>
      </c>
      <c r="U546" s="2"/>
      <c r="V546" s="705"/>
      <c r="W546" s="705"/>
      <c r="X546" s="705"/>
      <c r="Y546" s="705"/>
      <c r="Z546" s="705"/>
      <c r="AA546" s="705"/>
      <c r="AB546" s="705"/>
      <c r="AC546" s="2"/>
      <c r="AD546" s="705">
        <f ca="1">SUMIF($V$7:AB$7,"&lt;="&amp;$I$7,V546:AA546)</f>
        <v>0</v>
      </c>
      <c r="AE546" s="878" t="str">
        <f ca="1">IFERROR((AD547/AD546),"-")</f>
        <v>-</v>
      </c>
      <c r="AF546" s="2"/>
      <c r="AG546" s="705"/>
      <c r="AH546" s="705"/>
      <c r="AI546" s="705"/>
      <c r="AJ546" s="705"/>
      <c r="AK546" s="705"/>
      <c r="AL546" s="705"/>
      <c r="AM546" s="705"/>
      <c r="AN546" s="2"/>
      <c r="AO546" s="705">
        <f ca="1">SUMIF($AG$7:AM$7,"&lt;="&amp;$I$7,AG546:AL546)</f>
        <v>0</v>
      </c>
      <c r="AP546" s="878" t="str">
        <f ca="1">IFERROR((AO547/AO546),"-")</f>
        <v>-</v>
      </c>
      <c r="AQ546" s="2"/>
      <c r="AR546" s="705"/>
      <c r="AS546" s="705"/>
      <c r="AT546" s="705"/>
      <c r="AU546" s="705"/>
      <c r="AV546" s="705"/>
      <c r="AW546" s="705"/>
      <c r="AX546" s="705"/>
      <c r="AY546" s="2"/>
      <c r="AZ546" s="705">
        <f ca="1">SUMIF($AR$7:AX$7,"&lt;="&amp;$I$7,AR546:AW546)</f>
        <v>0</v>
      </c>
      <c r="BA546" s="878" t="str">
        <f ca="1">IFERROR((AZ547/AZ546),"-")</f>
        <v>-</v>
      </c>
      <c r="BB546" s="2"/>
      <c r="BC546" s="705"/>
      <c r="BD546" s="705"/>
      <c r="BE546" s="705"/>
      <c r="BF546" s="705"/>
      <c r="BG546" s="705"/>
      <c r="BH546" s="705"/>
      <c r="BI546" s="705"/>
      <c r="BJ546" s="2"/>
      <c r="BK546" s="705">
        <f ca="1">SUMIF($BC$7:BI$7,"&lt;="&amp;$I$7,BC546:BH546)</f>
        <v>0</v>
      </c>
      <c r="BL546" s="878" t="str">
        <f ca="1">IFERROR((BK547/BK546),"-")</f>
        <v>-</v>
      </c>
      <c r="BM546" s="2"/>
      <c r="BN546" s="884">
        <v>0</v>
      </c>
      <c r="BO546" s="884">
        <v>0</v>
      </c>
      <c r="BP546" s="884">
        <f>SUM(M547:P547,V547:AB547,AG547:AM547,AR547:AX547,BC547:BI547)</f>
        <v>1</v>
      </c>
      <c r="BQ546" s="878" t="str">
        <f t="shared" ref="BQ546" si="1177">IFERROR((BP546/BO546),"-")</f>
        <v>-</v>
      </c>
      <c r="BR546" s="2"/>
      <c r="BS546" s="884"/>
      <c r="BT546" s="884"/>
      <c r="BU546" s="884">
        <f ca="1">E546+S547+AD547+AO547+AZ547+BK547-K547-L547</f>
        <v>1</v>
      </c>
      <c r="BV546" s="1016" t="e">
        <v>#N/A</v>
      </c>
      <c r="BW546" s="1004" t="str">
        <f ca="1">IFERROR((BU546/BV546),"-")</f>
        <v>-</v>
      </c>
      <c r="BX546" s="884">
        <v>0</v>
      </c>
      <c r="BY546" s="878" t="str">
        <f ca="1">IFERROR((BU546/BX546),"-")</f>
        <v>-</v>
      </c>
      <c r="BZ546" s="2"/>
      <c r="CA546" s="884">
        <v>0</v>
      </c>
      <c r="CB546" s="884">
        <v>0</v>
      </c>
      <c r="CC546" s="2"/>
      <c r="CD546" s="504">
        <f>IFERROR(AVERAGEIF($V$7:AB$7,"&lt;="&amp;$I$7,V546:AB546),0)</f>
        <v>0</v>
      </c>
      <c r="CE546" s="2"/>
      <c r="CH546" s="93" t="str">
        <f t="shared" si="1100"/>
        <v>P3 - Execução da estaca EP3.07</v>
      </c>
    </row>
    <row r="547" spans="1:86" ht="15.95" hidden="1" customHeight="1" outlineLevel="1">
      <c r="A547" s="74"/>
      <c r="B547" s="1042"/>
      <c r="C547" s="1034"/>
      <c r="D547" s="2"/>
      <c r="E547" s="1005"/>
      <c r="F547" s="2"/>
      <c r="G547" s="50" t="s">
        <v>38</v>
      </c>
      <c r="H547" s="705">
        <f t="shared" si="1143"/>
        <v>0</v>
      </c>
      <c r="I547" s="879"/>
      <c r="J547" s="2"/>
      <c r="K547" s="86"/>
      <c r="L547" s="86">
        <v>1</v>
      </c>
      <c r="M547" s="86"/>
      <c r="N547" s="86"/>
      <c r="O547" s="86"/>
      <c r="P547" s="86"/>
      <c r="Q547" s="706"/>
      <c r="R547" s="2"/>
      <c r="S547" s="705">
        <f t="shared" si="1162"/>
        <v>1</v>
      </c>
      <c r="T547" s="879"/>
      <c r="U547" s="2"/>
      <c r="V547" s="86" t="s">
        <v>1434</v>
      </c>
      <c r="W547" s="86" t="s">
        <v>1434</v>
      </c>
      <c r="X547" s="86">
        <v>1</v>
      </c>
      <c r="Y547" s="86"/>
      <c r="Z547" s="86"/>
      <c r="AA547" s="86"/>
      <c r="AB547" s="706"/>
      <c r="AC547" s="2"/>
      <c r="AD547" s="705">
        <f ca="1">SUMIF($V$7:AB$7,"&lt;="&amp;$I$7,V547:AA547)</f>
        <v>1</v>
      </c>
      <c r="AE547" s="879"/>
      <c r="AF547" s="2"/>
      <c r="AG547" s="86"/>
      <c r="AH547" s="86"/>
      <c r="AI547" s="86"/>
      <c r="AJ547" s="86"/>
      <c r="AK547" s="86"/>
      <c r="AL547" s="86"/>
      <c r="AM547" s="706"/>
      <c r="AN547" s="2"/>
      <c r="AO547" s="705">
        <f ca="1">SUMIF($AG$7:AM$7,"&lt;="&amp;$I$7,AG547:AL547)</f>
        <v>0</v>
      </c>
      <c r="AP547" s="879"/>
      <c r="AQ547" s="2"/>
      <c r="AR547" s="86"/>
      <c r="AS547" s="86"/>
      <c r="AT547" s="86"/>
      <c r="AU547" s="86"/>
      <c r="AV547" s="86"/>
      <c r="AW547" s="86"/>
      <c r="AX547" s="706"/>
      <c r="AY547" s="2"/>
      <c r="AZ547" s="705">
        <f ca="1">SUMIF($AR$7:AX$7,"&lt;="&amp;$I$7,AR547:AW547)</f>
        <v>0</v>
      </c>
      <c r="BA547" s="879"/>
      <c r="BB547" s="2"/>
      <c r="BC547" s="86"/>
      <c r="BD547" s="86"/>
      <c r="BE547" s="86"/>
      <c r="BF547" s="86"/>
      <c r="BG547" s="86"/>
      <c r="BH547" s="86"/>
      <c r="BI547" s="706"/>
      <c r="BJ547" s="2"/>
      <c r="BK547" s="705">
        <f ca="1">SUMIF($BC$7:BI$7,"&lt;="&amp;$I$7,BC547:BH547)</f>
        <v>0</v>
      </c>
      <c r="BL547" s="879"/>
      <c r="BM547" s="2"/>
      <c r="BN547" s="885"/>
      <c r="BO547" s="885"/>
      <c r="BP547" s="885"/>
      <c r="BQ547" s="879"/>
      <c r="BR547" s="2"/>
      <c r="BS547" s="885"/>
      <c r="BT547" s="885"/>
      <c r="BU547" s="885"/>
      <c r="BV547" s="1017"/>
      <c r="BW547" s="1005"/>
      <c r="BX547" s="885"/>
      <c r="BY547" s="879"/>
      <c r="BZ547" s="2"/>
      <c r="CA547" s="885"/>
      <c r="CB547" s="885"/>
      <c r="CC547" s="2"/>
      <c r="CD547" s="504">
        <f>IFERROR(AVERAGEIF($V$7:AB$7,"&lt;="&amp;$I$7,V547:AB547),0)</f>
        <v>1</v>
      </c>
      <c r="CE547" s="2"/>
      <c r="CH547" s="93" t="str">
        <f t="shared" si="1100"/>
        <v>P3 - Execução da estaca EP3.07</v>
      </c>
    </row>
    <row r="548" spans="1:86" ht="15.95" hidden="1" customHeight="1" outlineLevel="1">
      <c r="A548" s="74"/>
      <c r="B548" s="1041" t="s">
        <v>4100</v>
      </c>
      <c r="C548" s="1014" t="s">
        <v>1437</v>
      </c>
      <c r="D548" s="2"/>
      <c r="E548" s="1004">
        <v>0</v>
      </c>
      <c r="F548" s="2"/>
      <c r="G548" s="49" t="s">
        <v>37</v>
      </c>
      <c r="H548" s="705">
        <f t="shared" si="1143"/>
        <v>0</v>
      </c>
      <c r="I548" s="878" t="str">
        <f t="shared" ref="I548" si="1178">IFERROR((H549/H548),"-")</f>
        <v>-</v>
      </c>
      <c r="J548" s="2"/>
      <c r="K548" s="705"/>
      <c r="L548" s="705"/>
      <c r="M548" s="705" t="s">
        <v>1434</v>
      </c>
      <c r="N548" s="705">
        <v>1</v>
      </c>
      <c r="O548" s="705"/>
      <c r="P548" s="705"/>
      <c r="Q548" s="705"/>
      <c r="R548" s="2"/>
      <c r="S548" s="705">
        <f t="shared" si="1162"/>
        <v>1</v>
      </c>
      <c r="T548" s="878">
        <f>IFERROR((S549/S548),"-")</f>
        <v>0</v>
      </c>
      <c r="U548" s="2"/>
      <c r="V548" s="705"/>
      <c r="W548" s="705"/>
      <c r="X548" s="705"/>
      <c r="Y548" s="705"/>
      <c r="Z548" s="705"/>
      <c r="AA548" s="705"/>
      <c r="AB548" s="705"/>
      <c r="AC548" s="2"/>
      <c r="AD548" s="705">
        <f ca="1">SUMIF($V$7:AB$7,"&lt;="&amp;$I$7,V548:AA548)</f>
        <v>0</v>
      </c>
      <c r="AE548" s="878" t="str">
        <f ca="1">IFERROR((AD549/AD548),"-")</f>
        <v>-</v>
      </c>
      <c r="AF548" s="2"/>
      <c r="AG548" s="705"/>
      <c r="AH548" s="705"/>
      <c r="AI548" s="705"/>
      <c r="AJ548" s="705"/>
      <c r="AK548" s="705"/>
      <c r="AL548" s="705"/>
      <c r="AM548" s="705"/>
      <c r="AN548" s="2"/>
      <c r="AO548" s="705">
        <f ca="1">SUMIF($AG$7:AM$7,"&lt;="&amp;$I$7,AG548:AL548)</f>
        <v>0</v>
      </c>
      <c r="AP548" s="878" t="str">
        <f ca="1">IFERROR((AO549/AO548),"-")</f>
        <v>-</v>
      </c>
      <c r="AQ548" s="2"/>
      <c r="AR548" s="705"/>
      <c r="AS548" s="705"/>
      <c r="AT548" s="705"/>
      <c r="AU548" s="705"/>
      <c r="AV548" s="705"/>
      <c r="AW548" s="705"/>
      <c r="AX548" s="705"/>
      <c r="AY548" s="2"/>
      <c r="AZ548" s="705">
        <f ca="1">SUMIF($AR$7:AX$7,"&lt;="&amp;$I$7,AR548:AW548)</f>
        <v>0</v>
      </c>
      <c r="BA548" s="878" t="str">
        <f ca="1">IFERROR((AZ549/AZ548),"-")</f>
        <v>-</v>
      </c>
      <c r="BB548" s="2"/>
      <c r="BC548" s="705"/>
      <c r="BD548" s="705"/>
      <c r="BE548" s="705"/>
      <c r="BF548" s="705"/>
      <c r="BG548" s="705"/>
      <c r="BH548" s="705"/>
      <c r="BI548" s="705"/>
      <c r="BJ548" s="2"/>
      <c r="BK548" s="705">
        <f ca="1">SUMIF($BC$7:BI$7,"&lt;="&amp;$I$7,BC548:BH548)</f>
        <v>0</v>
      </c>
      <c r="BL548" s="878" t="str">
        <f ca="1">IFERROR((BK549/BK548),"-")</f>
        <v>-</v>
      </c>
      <c r="BM548" s="2"/>
      <c r="BN548" s="884">
        <v>0</v>
      </c>
      <c r="BO548" s="884">
        <v>0</v>
      </c>
      <c r="BP548" s="884">
        <f>SUM(M549:P549,V549:AB549,AG549:AM549,AR549:AX549,BC549:BI549)</f>
        <v>1</v>
      </c>
      <c r="BQ548" s="878" t="str">
        <f t="shared" ref="BQ548" si="1179">IFERROR((BP548/BO548),"-")</f>
        <v>-</v>
      </c>
      <c r="BR548" s="2"/>
      <c r="BS548" s="884"/>
      <c r="BT548" s="884"/>
      <c r="BU548" s="884">
        <f ca="1">E548+S549+AD549+AO549+AZ549+BK549-K549-L549</f>
        <v>1</v>
      </c>
      <c r="BV548" s="1016" t="e">
        <v>#N/A</v>
      </c>
      <c r="BW548" s="1004" t="str">
        <f ca="1">IFERROR((BU548/BV548),"-")</f>
        <v>-</v>
      </c>
      <c r="BX548" s="884">
        <v>0</v>
      </c>
      <c r="BY548" s="878" t="str">
        <f ca="1">IFERROR((BU548/BX548),"-")</f>
        <v>-</v>
      </c>
      <c r="BZ548" s="2"/>
      <c r="CA548" s="884">
        <v>0</v>
      </c>
      <c r="CB548" s="884">
        <v>0</v>
      </c>
      <c r="CC548" s="2"/>
      <c r="CD548" s="504">
        <f>IFERROR(AVERAGEIF($V$7:AB$7,"&lt;="&amp;$I$7,V548:AB548),0)</f>
        <v>0</v>
      </c>
      <c r="CE548" s="2"/>
      <c r="CH548" s="93" t="str">
        <f t="shared" si="1100"/>
        <v>P3 - Execução da estaca EP3.13</v>
      </c>
    </row>
    <row r="549" spans="1:86" ht="15.95" hidden="1" customHeight="1" outlineLevel="1">
      <c r="A549" s="74"/>
      <c r="B549" s="1042"/>
      <c r="C549" s="1034"/>
      <c r="D549" s="2"/>
      <c r="E549" s="1005"/>
      <c r="F549" s="2"/>
      <c r="G549" s="50" t="s">
        <v>38</v>
      </c>
      <c r="H549" s="705">
        <f t="shared" si="1143"/>
        <v>1</v>
      </c>
      <c r="I549" s="879"/>
      <c r="J549" s="2"/>
      <c r="K549" s="86"/>
      <c r="L549" s="86"/>
      <c r="M549" s="86"/>
      <c r="N549" s="86"/>
      <c r="O549" s="86"/>
      <c r="P549" s="86"/>
      <c r="Q549" s="706"/>
      <c r="R549" s="2"/>
      <c r="S549" s="705">
        <f t="shared" si="1162"/>
        <v>0</v>
      </c>
      <c r="T549" s="879"/>
      <c r="U549" s="2"/>
      <c r="V549" s="86"/>
      <c r="W549" s="86"/>
      <c r="X549" s="86"/>
      <c r="Y549" s="86"/>
      <c r="Z549" s="86"/>
      <c r="AA549" s="86"/>
      <c r="AB549" s="706"/>
      <c r="AC549" s="2"/>
      <c r="AD549" s="705">
        <f ca="1">SUMIF($V$7:AB$7,"&lt;="&amp;$I$7,V549:AA549)</f>
        <v>0</v>
      </c>
      <c r="AE549" s="879"/>
      <c r="AF549" s="2"/>
      <c r="AG549" s="86"/>
      <c r="AH549" s="86">
        <v>1</v>
      </c>
      <c r="AI549" s="86"/>
      <c r="AJ549" s="86"/>
      <c r="AK549" s="86"/>
      <c r="AL549" s="86"/>
      <c r="AM549" s="706"/>
      <c r="AN549" s="2"/>
      <c r="AO549" s="705">
        <f ca="1">SUMIF($AG$7:AM$7,"&lt;="&amp;$I$7,AG549:AL549)</f>
        <v>1</v>
      </c>
      <c r="AP549" s="879"/>
      <c r="AQ549" s="2"/>
      <c r="AR549" s="86"/>
      <c r="AS549" s="86"/>
      <c r="AT549" s="86"/>
      <c r="AU549" s="86"/>
      <c r="AV549" s="86"/>
      <c r="AW549" s="86"/>
      <c r="AX549" s="706"/>
      <c r="AY549" s="2"/>
      <c r="AZ549" s="705">
        <f ca="1">SUMIF($AR$7:AX$7,"&lt;="&amp;$I$7,AR549:AW549)</f>
        <v>0</v>
      </c>
      <c r="BA549" s="879"/>
      <c r="BB549" s="2"/>
      <c r="BC549" s="86"/>
      <c r="BD549" s="86"/>
      <c r="BE549" s="86"/>
      <c r="BF549" s="86"/>
      <c r="BG549" s="86"/>
      <c r="BH549" s="86"/>
      <c r="BI549" s="706"/>
      <c r="BJ549" s="2"/>
      <c r="BK549" s="705">
        <f ca="1">SUMIF($BC$7:BI$7,"&lt;="&amp;$I$7,BC549:BH549)</f>
        <v>0</v>
      </c>
      <c r="BL549" s="879"/>
      <c r="BM549" s="2"/>
      <c r="BN549" s="885"/>
      <c r="BO549" s="885"/>
      <c r="BP549" s="885"/>
      <c r="BQ549" s="879"/>
      <c r="BR549" s="2"/>
      <c r="BS549" s="885"/>
      <c r="BT549" s="885"/>
      <c r="BU549" s="885"/>
      <c r="BV549" s="1017"/>
      <c r="BW549" s="1005"/>
      <c r="BX549" s="885"/>
      <c r="BY549" s="879"/>
      <c r="BZ549" s="2"/>
      <c r="CA549" s="885"/>
      <c r="CB549" s="885"/>
      <c r="CC549" s="2"/>
      <c r="CD549" s="504">
        <f>IFERROR(AVERAGEIF($V$7:AB$7,"&lt;="&amp;$I$7,V549:AB549),0)</f>
        <v>0</v>
      </c>
      <c r="CE549" s="2"/>
      <c r="CH549" s="93" t="str">
        <f t="shared" si="1100"/>
        <v>P3 - Execução da estaca EP3.13</v>
      </c>
    </row>
    <row r="550" spans="1:86" ht="15.95" hidden="1" customHeight="1" outlineLevel="1">
      <c r="A550" s="74"/>
      <c r="B550" s="1041" t="s">
        <v>4101</v>
      </c>
      <c r="C550" s="1014" t="s">
        <v>1437</v>
      </c>
      <c r="D550" s="2"/>
      <c r="E550" s="1004">
        <v>0</v>
      </c>
      <c r="F550" s="2"/>
      <c r="G550" s="49" t="s">
        <v>37</v>
      </c>
      <c r="H550" s="705">
        <f t="shared" si="1143"/>
        <v>0</v>
      </c>
      <c r="I550" s="878" t="str">
        <f t="shared" ref="I550" si="1180">IFERROR((H551/H550),"-")</f>
        <v>-</v>
      </c>
      <c r="J550" s="2"/>
      <c r="K550" s="705"/>
      <c r="L550" s="705"/>
      <c r="M550" s="705" t="s">
        <v>1434</v>
      </c>
      <c r="N550" s="705">
        <v>1</v>
      </c>
      <c r="O550" s="705"/>
      <c r="P550" s="705"/>
      <c r="Q550" s="705"/>
      <c r="R550" s="2"/>
      <c r="S550" s="705">
        <f t="shared" si="1162"/>
        <v>1</v>
      </c>
      <c r="T550" s="878">
        <f>IFERROR((S551/S550),"-")</f>
        <v>0</v>
      </c>
      <c r="U550" s="2"/>
      <c r="V550" s="705"/>
      <c r="W550" s="705"/>
      <c r="X550" s="705"/>
      <c r="Y550" s="705"/>
      <c r="Z550" s="705"/>
      <c r="AA550" s="705"/>
      <c r="AB550" s="705"/>
      <c r="AC550" s="2"/>
      <c r="AD550" s="705">
        <f ca="1">SUMIF($V$7:AB$7,"&lt;="&amp;$I$7,V550:AA550)</f>
        <v>0</v>
      </c>
      <c r="AE550" s="878" t="str">
        <f ca="1">IFERROR((AD551/AD550),"-")</f>
        <v>-</v>
      </c>
      <c r="AF550" s="2"/>
      <c r="AG550" s="705"/>
      <c r="AH550" s="705"/>
      <c r="AI550" s="705"/>
      <c r="AJ550" s="705"/>
      <c r="AK550" s="705"/>
      <c r="AL550" s="705"/>
      <c r="AM550" s="705"/>
      <c r="AN550" s="2"/>
      <c r="AO550" s="705">
        <f ca="1">SUMIF($AG$7:AM$7,"&lt;="&amp;$I$7,AG550:AL550)</f>
        <v>0</v>
      </c>
      <c r="AP550" s="878" t="str">
        <f ca="1">IFERROR((AO551/AO550),"-")</f>
        <v>-</v>
      </c>
      <c r="AQ550" s="2"/>
      <c r="AR550" s="705"/>
      <c r="AS550" s="705"/>
      <c r="AT550" s="705"/>
      <c r="AU550" s="705"/>
      <c r="AV550" s="705"/>
      <c r="AW550" s="705"/>
      <c r="AX550" s="705"/>
      <c r="AY550" s="2"/>
      <c r="AZ550" s="705">
        <f ca="1">SUMIF($AR$7:AX$7,"&lt;="&amp;$I$7,AR550:AW550)</f>
        <v>0</v>
      </c>
      <c r="BA550" s="878" t="str">
        <f ca="1">IFERROR((AZ551/AZ550),"-")</f>
        <v>-</v>
      </c>
      <c r="BB550" s="2"/>
      <c r="BC550" s="705"/>
      <c r="BD550" s="705"/>
      <c r="BE550" s="705"/>
      <c r="BF550" s="705"/>
      <c r="BG550" s="705"/>
      <c r="BH550" s="705"/>
      <c r="BI550" s="705"/>
      <c r="BJ550" s="2"/>
      <c r="BK550" s="705">
        <f ca="1">SUMIF($BC$7:BI$7,"&lt;="&amp;$I$7,BC550:BH550)</f>
        <v>0</v>
      </c>
      <c r="BL550" s="878" t="str">
        <f ca="1">IFERROR((BK551/BK550),"-")</f>
        <v>-</v>
      </c>
      <c r="BM550" s="2"/>
      <c r="BN550" s="884">
        <v>0</v>
      </c>
      <c r="BO550" s="884">
        <v>0</v>
      </c>
      <c r="BP550" s="884">
        <f>SUM(M551:P551,V551:AB551,AG551:AM551,AR551:AX551,BC551:BI551)</f>
        <v>1</v>
      </c>
      <c r="BQ550" s="878" t="str">
        <f t="shared" ref="BQ550" si="1181">IFERROR((BP550/BO550),"-")</f>
        <v>-</v>
      </c>
      <c r="BR550" s="2"/>
      <c r="BS550" s="884"/>
      <c r="BT550" s="884"/>
      <c r="BU550" s="884">
        <f ca="1">E550+S551+AD551+AO551+AZ551+BK551-K551-L551</f>
        <v>1</v>
      </c>
      <c r="BV550" s="1016" t="e">
        <v>#N/A</v>
      </c>
      <c r="BW550" s="1004" t="str">
        <f ca="1">IFERROR((BU550/BV550),"-")</f>
        <v>-</v>
      </c>
      <c r="BX550" s="884">
        <v>0</v>
      </c>
      <c r="BY550" s="878" t="str">
        <f ca="1">IFERROR((BU550/BX550),"-")</f>
        <v>-</v>
      </c>
      <c r="BZ550" s="2"/>
      <c r="CA550" s="884">
        <v>0</v>
      </c>
      <c r="CB550" s="884">
        <v>0</v>
      </c>
      <c r="CC550" s="2"/>
      <c r="CD550" s="504">
        <f>IFERROR(AVERAGEIF($V$7:AB$7,"&lt;="&amp;$I$7,V550:AB550),0)</f>
        <v>0</v>
      </c>
      <c r="CE550" s="2"/>
      <c r="CH550" s="93" t="str">
        <f t="shared" si="1100"/>
        <v>P3 - Execução da estaca EP3.14</v>
      </c>
    </row>
    <row r="551" spans="1:86" ht="15.95" hidden="1" customHeight="1" outlineLevel="1" collapsed="1">
      <c r="A551" s="74"/>
      <c r="B551" s="1042"/>
      <c r="C551" s="1034"/>
      <c r="D551" s="2"/>
      <c r="E551" s="1005"/>
      <c r="F551" s="2"/>
      <c r="G551" s="50" t="s">
        <v>38</v>
      </c>
      <c r="H551" s="705">
        <f t="shared" si="1143"/>
        <v>0</v>
      </c>
      <c r="I551" s="879"/>
      <c r="J551" s="2"/>
      <c r="K551" s="86"/>
      <c r="L551" s="86"/>
      <c r="M551" s="86"/>
      <c r="N551" s="86"/>
      <c r="O551" s="86"/>
      <c r="P551" s="86"/>
      <c r="Q551" s="706"/>
      <c r="R551" s="2"/>
      <c r="S551" s="705">
        <f t="shared" si="1162"/>
        <v>0</v>
      </c>
      <c r="T551" s="879"/>
      <c r="U551" s="2"/>
      <c r="V551" s="86"/>
      <c r="W551" s="86"/>
      <c r="X551" s="86"/>
      <c r="Y551" s="86">
        <v>1</v>
      </c>
      <c r="Z551" s="86"/>
      <c r="AA551" s="86"/>
      <c r="AB551" s="706"/>
      <c r="AC551" s="2"/>
      <c r="AD551" s="705">
        <f ca="1">SUMIF($V$7:AB$7,"&lt;="&amp;$I$7,V551:AA551)</f>
        <v>1</v>
      </c>
      <c r="AE551" s="879"/>
      <c r="AF551" s="2"/>
      <c r="AG551" s="86"/>
      <c r="AH551" s="86"/>
      <c r="AI551" s="86"/>
      <c r="AJ551" s="86"/>
      <c r="AK551" s="86"/>
      <c r="AL551" s="86"/>
      <c r="AM551" s="706"/>
      <c r="AN551" s="2"/>
      <c r="AO551" s="705">
        <f ca="1">SUMIF($AG$7:AM$7,"&lt;="&amp;$I$7,AG551:AL551)</f>
        <v>0</v>
      </c>
      <c r="AP551" s="879"/>
      <c r="AQ551" s="2"/>
      <c r="AR551" s="86"/>
      <c r="AS551" s="86"/>
      <c r="AT551" s="86"/>
      <c r="AU551" s="86"/>
      <c r="AV551" s="86"/>
      <c r="AW551" s="86"/>
      <c r="AX551" s="706"/>
      <c r="AY551" s="2"/>
      <c r="AZ551" s="705">
        <f ca="1">SUMIF($AR$7:AX$7,"&lt;="&amp;$I$7,AR551:AW551)</f>
        <v>0</v>
      </c>
      <c r="BA551" s="879"/>
      <c r="BB551" s="2"/>
      <c r="BC551" s="86"/>
      <c r="BD551" s="86"/>
      <c r="BE551" s="86"/>
      <c r="BF551" s="86"/>
      <c r="BG551" s="86"/>
      <c r="BH551" s="86"/>
      <c r="BI551" s="706"/>
      <c r="BJ551" s="2"/>
      <c r="BK551" s="705">
        <f ca="1">SUMIF($BC$7:BI$7,"&lt;="&amp;$I$7,BC551:BH551)</f>
        <v>0</v>
      </c>
      <c r="BL551" s="879"/>
      <c r="BM551" s="2"/>
      <c r="BN551" s="885"/>
      <c r="BO551" s="885"/>
      <c r="BP551" s="885"/>
      <c r="BQ551" s="879"/>
      <c r="BR551" s="2"/>
      <c r="BS551" s="885"/>
      <c r="BT551" s="885"/>
      <c r="BU551" s="885"/>
      <c r="BV551" s="1017"/>
      <c r="BW551" s="1005"/>
      <c r="BX551" s="885"/>
      <c r="BY551" s="879"/>
      <c r="BZ551" s="2"/>
      <c r="CA551" s="885"/>
      <c r="CB551" s="885"/>
      <c r="CC551" s="2"/>
      <c r="CD551" s="504">
        <f>IFERROR(AVERAGEIF($V$7:AB$7,"&lt;="&amp;$I$7,V551:AB551),0)</f>
        <v>1</v>
      </c>
      <c r="CE551" s="2"/>
      <c r="CH551" s="93" t="str">
        <f t="shared" si="1100"/>
        <v>P3 - Execução da estaca EP3.14</v>
      </c>
    </row>
    <row r="552" spans="1:86" ht="15.95" hidden="1" customHeight="1" outlineLevel="1">
      <c r="A552" s="74"/>
      <c r="B552" s="1041" t="s">
        <v>4102</v>
      </c>
      <c r="C552" s="1014" t="s">
        <v>1437</v>
      </c>
      <c r="D552" s="2"/>
      <c r="E552" s="1043">
        <v>0</v>
      </c>
      <c r="F552" s="2"/>
      <c r="G552" s="49" t="s">
        <v>37</v>
      </c>
      <c r="H552" s="705">
        <f t="shared" si="1143"/>
        <v>0</v>
      </c>
      <c r="I552" s="968" t="str">
        <f>IFERROR((H553/H552),"-")</f>
        <v>-</v>
      </c>
      <c r="J552" s="2"/>
      <c r="K552" s="705"/>
      <c r="L552" s="705"/>
      <c r="M552" s="705"/>
      <c r="N552" s="705"/>
      <c r="O552" s="705"/>
      <c r="P552" s="705"/>
      <c r="Q552" s="705"/>
      <c r="R552" s="2"/>
      <c r="S552" s="705">
        <f>SUM(K552:P552)</f>
        <v>0</v>
      </c>
      <c r="T552" s="968" t="str">
        <f>IFERROR((S553/S552),"-")</f>
        <v>-</v>
      </c>
      <c r="U552" s="2"/>
      <c r="V552" s="705"/>
      <c r="W552" s="705"/>
      <c r="X552" s="705"/>
      <c r="Y552" s="705"/>
      <c r="Z552" s="705"/>
      <c r="AA552" s="705"/>
      <c r="AB552" s="705"/>
      <c r="AC552" s="2"/>
      <c r="AD552" s="705">
        <f ca="1">SUMIF($V$7:AB$7,"&lt;="&amp;$I$7,V552:AA552)</f>
        <v>0</v>
      </c>
      <c r="AE552" s="968" t="str">
        <f ca="1">IFERROR((AD553/AD552),"-")</f>
        <v>-</v>
      </c>
      <c r="AF552" s="2"/>
      <c r="AG552" s="705"/>
      <c r="AH552" s="705"/>
      <c r="AI552" s="705"/>
      <c r="AJ552" s="705"/>
      <c r="AK552" s="705"/>
      <c r="AL552" s="705"/>
      <c r="AM552" s="705"/>
      <c r="AN552" s="2"/>
      <c r="AO552" s="705">
        <f ca="1">SUMIF($AG$7:AM$7,"&lt;="&amp;$I$7,AG552:AL552)</f>
        <v>0</v>
      </c>
      <c r="AP552" s="968" t="str">
        <f ca="1">IFERROR((AO553/AO552),"-")</f>
        <v>-</v>
      </c>
      <c r="AQ552" s="2"/>
      <c r="AR552" s="705"/>
      <c r="AS552" s="705"/>
      <c r="AT552" s="705"/>
      <c r="AU552" s="705"/>
      <c r="AV552" s="705"/>
      <c r="AW552" s="705"/>
      <c r="AX552" s="705"/>
      <c r="AY552" s="2"/>
      <c r="AZ552" s="705">
        <f ca="1">SUMIF($AR$7:AX$7,"&lt;="&amp;$I$7,AR552:AW552)</f>
        <v>0</v>
      </c>
      <c r="BA552" s="968" t="str">
        <f ca="1">IFERROR((AZ553/AZ552),"-")</f>
        <v>-</v>
      </c>
      <c r="BB552" s="2"/>
      <c r="BC552" s="705"/>
      <c r="BD552" s="705"/>
      <c r="BE552" s="705"/>
      <c r="BF552" s="705"/>
      <c r="BG552" s="705"/>
      <c r="BH552" s="705"/>
      <c r="BI552" s="705"/>
      <c r="BJ552" s="2"/>
      <c r="BK552" s="705">
        <f ca="1">SUMIF($BC$7:BI$7,"&lt;="&amp;$I$7,BC552:BH552)</f>
        <v>0</v>
      </c>
      <c r="BL552" s="968" t="str">
        <f ca="1">IFERROR((BK553/BK552),"-")</f>
        <v>-</v>
      </c>
      <c r="BM552" s="2"/>
      <c r="BN552" s="884">
        <v>0</v>
      </c>
      <c r="BO552" s="884">
        <v>0</v>
      </c>
      <c r="BP552" s="884">
        <f>SUM(M553:P553,V553:AB553,AG553:AM553,AR553:AX553,BC553:BI553)</f>
        <v>1</v>
      </c>
      <c r="BQ552" s="968" t="str">
        <f>IFERROR((BP552/BO552),"-")</f>
        <v>-</v>
      </c>
      <c r="BR552" s="2"/>
      <c r="BS552" s="884"/>
      <c r="BT552" s="884"/>
      <c r="BU552" s="884">
        <f ca="1">E552+S553+AD553+AO553+AZ553+BK553-K553-L553</f>
        <v>1</v>
      </c>
      <c r="BV552" s="1016" t="e">
        <v>#N/A</v>
      </c>
      <c r="BW552" s="1043" t="str">
        <f ca="1">IFERROR((BU552/BV552),"-")</f>
        <v>-</v>
      </c>
      <c r="BX552" s="884">
        <v>0</v>
      </c>
      <c r="BY552" s="968" t="str">
        <f ca="1">IFERROR((BU552/BX552),"-")</f>
        <v>-</v>
      </c>
      <c r="BZ552" s="2"/>
      <c r="CA552" s="884">
        <v>0</v>
      </c>
      <c r="CB552" s="884">
        <v>0</v>
      </c>
      <c r="CC552" s="2"/>
      <c r="CD552" s="504">
        <f>IFERROR(AVERAGEIF($V$7:AB$7,"&lt;="&amp;$I$7,V552:AB552),0)</f>
        <v>0</v>
      </c>
      <c r="CE552" s="2"/>
      <c r="CH552" s="93" t="str">
        <f t="shared" si="1100"/>
        <v>P3 - Execução da estaca EP3.15</v>
      </c>
    </row>
    <row r="553" spans="1:86" ht="15.95" hidden="1" customHeight="1" outlineLevel="1">
      <c r="A553" s="74"/>
      <c r="B553" s="1042"/>
      <c r="C553" s="1034"/>
      <c r="D553" s="2"/>
      <c r="E553" s="1044"/>
      <c r="F553" s="2"/>
      <c r="G553" s="50" t="s">
        <v>38</v>
      </c>
      <c r="H553" s="705">
        <f t="shared" si="1143"/>
        <v>0</v>
      </c>
      <c r="I553" s="969"/>
      <c r="J553" s="2"/>
      <c r="K553" s="86"/>
      <c r="L553" s="86"/>
      <c r="M553" s="86"/>
      <c r="N553" s="86"/>
      <c r="O553" s="86"/>
      <c r="P553" s="86">
        <v>1</v>
      </c>
      <c r="Q553" s="706"/>
      <c r="R553" s="2"/>
      <c r="S553" s="705">
        <f>SUM(K553:P553)</f>
        <v>1</v>
      </c>
      <c r="T553" s="969"/>
      <c r="U553" s="2"/>
      <c r="V553" s="86"/>
      <c r="W553" s="86"/>
      <c r="X553" s="86"/>
      <c r="Y553" s="86"/>
      <c r="Z553" s="86"/>
      <c r="AA553" s="86"/>
      <c r="AB553" s="706"/>
      <c r="AC553" s="2"/>
      <c r="AD553" s="705">
        <f ca="1">SUMIF($V$7:AB$7,"&lt;="&amp;$I$7,V553:AA553)</f>
        <v>0</v>
      </c>
      <c r="AE553" s="969"/>
      <c r="AF553" s="2"/>
      <c r="AG553" s="86"/>
      <c r="AH553" s="86"/>
      <c r="AI553" s="86"/>
      <c r="AJ553" s="86"/>
      <c r="AK553" s="86"/>
      <c r="AL553" s="86"/>
      <c r="AM553" s="706"/>
      <c r="AN553" s="2"/>
      <c r="AO553" s="705">
        <f ca="1">SUMIF($AG$7:AM$7,"&lt;="&amp;$I$7,AG553:AL553)</f>
        <v>0</v>
      </c>
      <c r="AP553" s="969"/>
      <c r="AQ553" s="2"/>
      <c r="AR553" s="86"/>
      <c r="AS553" s="86"/>
      <c r="AT553" s="86"/>
      <c r="AU553" s="86"/>
      <c r="AV553" s="86"/>
      <c r="AW553" s="86"/>
      <c r="AX553" s="706"/>
      <c r="AY553" s="2"/>
      <c r="AZ553" s="705">
        <f ca="1">SUMIF($AR$7:AX$7,"&lt;="&amp;$I$7,AR553:AW553)</f>
        <v>0</v>
      </c>
      <c r="BA553" s="969"/>
      <c r="BB553" s="2"/>
      <c r="BC553" s="86"/>
      <c r="BD553" s="86"/>
      <c r="BE553" s="86"/>
      <c r="BF553" s="86"/>
      <c r="BG553" s="86"/>
      <c r="BH553" s="86"/>
      <c r="BI553" s="706"/>
      <c r="BJ553" s="2"/>
      <c r="BK553" s="705">
        <f ca="1">SUMIF($BC$7:BI$7,"&lt;="&amp;$I$7,BC553:BH553)</f>
        <v>0</v>
      </c>
      <c r="BL553" s="969"/>
      <c r="BM553" s="2"/>
      <c r="BN553" s="885"/>
      <c r="BO553" s="885"/>
      <c r="BP553" s="885"/>
      <c r="BQ553" s="969"/>
      <c r="BR553" s="2"/>
      <c r="BS553" s="885"/>
      <c r="BT553" s="885"/>
      <c r="BU553" s="885"/>
      <c r="BV553" s="1017"/>
      <c r="BW553" s="1044"/>
      <c r="BX553" s="885"/>
      <c r="BY553" s="969"/>
      <c r="BZ553" s="2"/>
      <c r="CA553" s="885"/>
      <c r="CB553" s="885"/>
      <c r="CC553" s="2"/>
      <c r="CD553" s="504">
        <f>IFERROR(AVERAGEIF($V$7:AB$7,"&lt;="&amp;$I$7,V553:AB553),0)</f>
        <v>0</v>
      </c>
      <c r="CE553" s="2"/>
      <c r="CH553" s="93" t="str">
        <f t="shared" si="1100"/>
        <v>P3 - Execução da estaca EP3.15</v>
      </c>
    </row>
    <row r="554" spans="1:86" ht="15.95" hidden="1" customHeight="1" outlineLevel="1">
      <c r="A554" s="74"/>
      <c r="B554" s="1041" t="s">
        <v>4103</v>
      </c>
      <c r="C554" s="1014" t="s">
        <v>1437</v>
      </c>
      <c r="D554" s="2"/>
      <c r="E554" s="1004"/>
      <c r="F554" s="2"/>
      <c r="G554" s="49" t="s">
        <v>37</v>
      </c>
      <c r="H554" s="705">
        <f t="shared" si="1143"/>
        <v>0</v>
      </c>
      <c r="I554" s="878" t="str">
        <f t="shared" ref="I554" si="1182">IFERROR((H555/H554),"-")</f>
        <v>-</v>
      </c>
      <c r="J554" s="2"/>
      <c r="K554" s="705"/>
      <c r="L554" s="705"/>
      <c r="M554" s="705"/>
      <c r="N554" s="705"/>
      <c r="O554" s="705"/>
      <c r="P554" s="705"/>
      <c r="Q554" s="705"/>
      <c r="R554" s="2"/>
      <c r="S554" s="705">
        <f t="shared" ref="S554:S587" si="1183">SUM(K554:P554)</f>
        <v>0</v>
      </c>
      <c r="T554" s="878" t="str">
        <f>IFERROR((S555/S554),"-")</f>
        <v>-</v>
      </c>
      <c r="U554" s="2"/>
      <c r="V554" s="705" t="s">
        <v>1434</v>
      </c>
      <c r="W554" s="705">
        <v>1</v>
      </c>
      <c r="X554" s="705"/>
      <c r="Y554" s="705"/>
      <c r="Z554" s="705"/>
      <c r="AA554" s="705"/>
      <c r="AB554" s="705"/>
      <c r="AC554" s="2"/>
      <c r="AD554" s="705">
        <f ca="1">SUMIF($V$7:AB$7,"&lt;="&amp;$I$7,V554:AA554)</f>
        <v>1</v>
      </c>
      <c r="AE554" s="878">
        <f ca="1">IFERROR((AD555/AD554),"-")</f>
        <v>0</v>
      </c>
      <c r="AF554" s="2"/>
      <c r="AG554" s="705"/>
      <c r="AH554" s="705"/>
      <c r="AI554" s="705"/>
      <c r="AJ554" s="705"/>
      <c r="AK554" s="705"/>
      <c r="AL554" s="705"/>
      <c r="AM554" s="705"/>
      <c r="AN554" s="2"/>
      <c r="AO554" s="705">
        <f ca="1">SUMIF($AG$7:AM$7,"&lt;="&amp;$I$7,AG554:AL554)</f>
        <v>0</v>
      </c>
      <c r="AP554" s="878" t="str">
        <f ca="1">IFERROR((AO555/AO554),"-")</f>
        <v>-</v>
      </c>
      <c r="AQ554" s="2"/>
      <c r="AR554" s="705"/>
      <c r="AS554" s="705"/>
      <c r="AT554" s="705"/>
      <c r="AU554" s="705"/>
      <c r="AV554" s="705"/>
      <c r="AW554" s="705"/>
      <c r="AX554" s="705"/>
      <c r="AY554" s="2"/>
      <c r="AZ554" s="705">
        <f ca="1">SUMIF($AR$7:AX$7,"&lt;="&amp;$I$7,AR554:AW554)</f>
        <v>0</v>
      </c>
      <c r="BA554" s="878" t="str">
        <f ca="1">IFERROR((AZ555/AZ554),"-")</f>
        <v>-</v>
      </c>
      <c r="BB554" s="2"/>
      <c r="BC554" s="705"/>
      <c r="BD554" s="705"/>
      <c r="BE554" s="705"/>
      <c r="BF554" s="705"/>
      <c r="BG554" s="705"/>
      <c r="BH554" s="705"/>
      <c r="BI554" s="705"/>
      <c r="BJ554" s="2"/>
      <c r="BK554" s="705">
        <f ca="1">SUMIF($BC$7:BI$7,"&lt;="&amp;$I$7,BC554:BH554)</f>
        <v>0</v>
      </c>
      <c r="BL554" s="878" t="str">
        <f ca="1">IFERROR((BK555/BK554),"-")</f>
        <v>-</v>
      </c>
      <c r="BM554" s="2"/>
      <c r="BN554" s="884">
        <v>0</v>
      </c>
      <c r="BO554" s="884">
        <v>0</v>
      </c>
      <c r="BP554" s="884">
        <f>SUM(M555:P555,V555:AB555,AG555:AM555,AR555:AX555,BC555:BI555)</f>
        <v>0</v>
      </c>
      <c r="BQ554" s="878" t="str">
        <f t="shared" ref="BQ554" si="1184">IFERROR((BP554/BO554),"-")</f>
        <v>-</v>
      </c>
      <c r="BR554" s="2"/>
      <c r="BS554" s="884"/>
      <c r="BT554" s="884"/>
      <c r="BU554" s="884">
        <f ca="1">E554+S555+AD555+AO555+AZ555+BK555-K555-L555</f>
        <v>0</v>
      </c>
      <c r="BV554" s="1016" t="e">
        <v>#N/A</v>
      </c>
      <c r="BW554" s="1004" t="str">
        <f ca="1">IFERROR((BU554/BV554),"-")</f>
        <v>-</v>
      </c>
      <c r="BX554" s="884">
        <v>0</v>
      </c>
      <c r="BY554" s="878" t="str">
        <f ca="1">IFERROR((BU554/BX554),"-")</f>
        <v>-</v>
      </c>
      <c r="BZ554" s="2"/>
      <c r="CA554" s="884">
        <v>0</v>
      </c>
      <c r="CB554" s="884">
        <v>0</v>
      </c>
      <c r="CC554" s="2"/>
      <c r="CD554" s="504">
        <f>IFERROR(AVERAGEIF($V$7:AB$7,"&lt;="&amp;$I$7,V554:AB554),0)</f>
        <v>1</v>
      </c>
      <c r="CE554" s="2"/>
      <c r="CH554" s="93" t="str">
        <f t="shared" si="1100"/>
        <v>P3 - Execução da estaca EP3.16</v>
      </c>
    </row>
    <row r="555" spans="1:86" ht="15.95" hidden="1" customHeight="1" outlineLevel="1">
      <c r="A555" s="74"/>
      <c r="B555" s="1042"/>
      <c r="C555" s="1034"/>
      <c r="D555" s="2"/>
      <c r="E555" s="1005"/>
      <c r="F555" s="2"/>
      <c r="G555" s="50" t="s">
        <v>38</v>
      </c>
      <c r="H555" s="705">
        <f t="shared" si="1143"/>
        <v>0</v>
      </c>
      <c r="I555" s="879"/>
      <c r="J555" s="2"/>
      <c r="K555" s="86"/>
      <c r="L555" s="86"/>
      <c r="M555" s="86"/>
      <c r="N555" s="86"/>
      <c r="O555" s="86"/>
      <c r="P555" s="86"/>
      <c r="Q555" s="706"/>
      <c r="R555" s="2"/>
      <c r="S555" s="705">
        <f t="shared" si="1183"/>
        <v>0</v>
      </c>
      <c r="T555" s="879"/>
      <c r="U555" s="2"/>
      <c r="V555" s="86"/>
      <c r="W555" s="86"/>
      <c r="X555" s="86"/>
      <c r="Y555" s="86"/>
      <c r="Z555" s="86"/>
      <c r="AA555" s="86"/>
      <c r="AB555" s="706"/>
      <c r="AC555" s="2"/>
      <c r="AD555" s="705">
        <f ca="1">SUMIF($V$7:AB$7,"&lt;="&amp;$I$7,V555:AA555)</f>
        <v>0</v>
      </c>
      <c r="AE555" s="879"/>
      <c r="AF555" s="2"/>
      <c r="AG555" s="86"/>
      <c r="AH555" s="86"/>
      <c r="AI555" s="86"/>
      <c r="AJ555" s="86"/>
      <c r="AK555" s="86"/>
      <c r="AL555" s="86"/>
      <c r="AM555" s="706"/>
      <c r="AN555" s="2"/>
      <c r="AO555" s="705">
        <f ca="1">SUMIF($AG$7:AM$7,"&lt;="&amp;$I$7,AG555:AL555)</f>
        <v>0</v>
      </c>
      <c r="AP555" s="879"/>
      <c r="AQ555" s="2"/>
      <c r="AR555" s="86"/>
      <c r="AS555" s="86"/>
      <c r="AT555" s="86"/>
      <c r="AU555" s="86"/>
      <c r="AV555" s="86"/>
      <c r="AW555" s="86"/>
      <c r="AX555" s="706"/>
      <c r="AY555" s="2"/>
      <c r="AZ555" s="705">
        <f ca="1">SUMIF($AR$7:AX$7,"&lt;="&amp;$I$7,AR555:AW555)</f>
        <v>0</v>
      </c>
      <c r="BA555" s="879"/>
      <c r="BB555" s="2"/>
      <c r="BC555" s="86"/>
      <c r="BD555" s="86"/>
      <c r="BE555" s="86"/>
      <c r="BF555" s="86"/>
      <c r="BG555" s="86"/>
      <c r="BH555" s="86"/>
      <c r="BI555" s="706"/>
      <c r="BJ555" s="2"/>
      <c r="BK555" s="705">
        <f ca="1">SUMIF($BC$7:BI$7,"&lt;="&amp;$I$7,BC555:BH555)</f>
        <v>0</v>
      </c>
      <c r="BL555" s="879"/>
      <c r="BM555" s="2"/>
      <c r="BN555" s="885"/>
      <c r="BO555" s="885"/>
      <c r="BP555" s="885"/>
      <c r="BQ555" s="879"/>
      <c r="BR555" s="2"/>
      <c r="BS555" s="885"/>
      <c r="BT555" s="885"/>
      <c r="BU555" s="885"/>
      <c r="BV555" s="1017"/>
      <c r="BW555" s="1005"/>
      <c r="BX555" s="885"/>
      <c r="BY555" s="879"/>
      <c r="BZ555" s="2"/>
      <c r="CA555" s="885"/>
      <c r="CB555" s="885"/>
      <c r="CC555" s="2"/>
      <c r="CD555" s="504">
        <f>IFERROR(AVERAGEIF($V$7:AB$7,"&lt;="&amp;$I$7,V555:AB555),0)</f>
        <v>0</v>
      </c>
      <c r="CE555" s="2"/>
      <c r="CH555" s="93" t="str">
        <f t="shared" si="1100"/>
        <v>P3 - Execução da estaca EP3.16</v>
      </c>
    </row>
    <row r="556" spans="1:86" ht="15.95" hidden="1" customHeight="1" outlineLevel="1">
      <c r="A556" s="74"/>
      <c r="B556" s="1041" t="s">
        <v>4104</v>
      </c>
      <c r="C556" s="1014" t="s">
        <v>1437</v>
      </c>
      <c r="D556" s="2"/>
      <c r="E556" s="1004">
        <v>1</v>
      </c>
      <c r="F556" s="2"/>
      <c r="G556" s="49" t="s">
        <v>37</v>
      </c>
      <c r="H556" s="705">
        <f t="shared" si="1143"/>
        <v>0</v>
      </c>
      <c r="I556" s="878" t="str">
        <f t="shared" ref="I556" si="1185">IFERROR((H557/H556),"-")</f>
        <v>-</v>
      </c>
      <c r="J556" s="2"/>
      <c r="K556" s="705"/>
      <c r="L556" s="705"/>
      <c r="M556" s="705"/>
      <c r="N556" s="705"/>
      <c r="O556" s="705"/>
      <c r="P556" s="705"/>
      <c r="Q556" s="705"/>
      <c r="R556" s="2"/>
      <c r="S556" s="705">
        <f t="shared" si="1183"/>
        <v>0</v>
      </c>
      <c r="T556" s="878" t="str">
        <f>IFERROR((S557/S556),"-")</f>
        <v>-</v>
      </c>
      <c r="U556" s="2"/>
      <c r="V556" s="705"/>
      <c r="W556" s="705"/>
      <c r="X556" s="705"/>
      <c r="Y556" s="705"/>
      <c r="Z556" s="705"/>
      <c r="AA556" s="705"/>
      <c r="AB556" s="705"/>
      <c r="AC556" s="2"/>
      <c r="AD556" s="705">
        <f ca="1">SUMIF($V$7:AB$7,"&lt;="&amp;$I$7,V556:AA556)</f>
        <v>0</v>
      </c>
      <c r="AE556" s="878" t="str">
        <f ca="1">IFERROR((AD557/AD556),"-")</f>
        <v>-</v>
      </c>
      <c r="AF556" s="2"/>
      <c r="AG556" s="705"/>
      <c r="AH556" s="705"/>
      <c r="AI556" s="705"/>
      <c r="AJ556" s="705"/>
      <c r="AK556" s="705"/>
      <c r="AL556" s="705"/>
      <c r="AM556" s="705"/>
      <c r="AN556" s="2"/>
      <c r="AO556" s="705">
        <f ca="1">SUMIF($AG$7:AM$7,"&lt;="&amp;$I$7,AG556:AL556)</f>
        <v>0</v>
      </c>
      <c r="AP556" s="878" t="str">
        <f ca="1">IFERROR((AO557/AO556),"-")</f>
        <v>-</v>
      </c>
      <c r="AQ556" s="2"/>
      <c r="AR556" s="705"/>
      <c r="AS556" s="705"/>
      <c r="AT556" s="705"/>
      <c r="AU556" s="705"/>
      <c r="AV556" s="705"/>
      <c r="AW556" s="705"/>
      <c r="AX556" s="705"/>
      <c r="AY556" s="2"/>
      <c r="AZ556" s="705">
        <f ca="1">SUMIF($AR$7:AX$7,"&lt;="&amp;$I$7,AR556:AW556)</f>
        <v>0</v>
      </c>
      <c r="BA556" s="878" t="str">
        <f ca="1">IFERROR((AZ557/AZ556),"-")</f>
        <v>-</v>
      </c>
      <c r="BB556" s="2"/>
      <c r="BC556" s="705"/>
      <c r="BD556" s="705"/>
      <c r="BE556" s="705"/>
      <c r="BF556" s="705"/>
      <c r="BG556" s="705"/>
      <c r="BH556" s="705"/>
      <c r="BI556" s="705"/>
      <c r="BJ556" s="2"/>
      <c r="BK556" s="705">
        <f ca="1">SUMIF($BC$7:BI$7,"&lt;="&amp;$I$7,BC556:BH556)</f>
        <v>0</v>
      </c>
      <c r="BL556" s="878" t="str">
        <f ca="1">IFERROR((BK557/BK556),"-")</f>
        <v>-</v>
      </c>
      <c r="BM556" s="2"/>
      <c r="BN556" s="884">
        <v>0</v>
      </c>
      <c r="BO556" s="884">
        <v>0</v>
      </c>
      <c r="BP556" s="884">
        <f>SUM(M557:P557,V557:AB557,AG557:AM557,AR557:AX557,BC557:BI557)</f>
        <v>0</v>
      </c>
      <c r="BQ556" s="878" t="str">
        <f t="shared" ref="BQ556" si="1186">IFERROR((BP556/BO556),"-")</f>
        <v>-</v>
      </c>
      <c r="BR556" s="2"/>
      <c r="BS556" s="884"/>
      <c r="BT556" s="884"/>
      <c r="BU556" s="884">
        <f ca="1">E556+S557+AD557+AO557+AZ557+BK557-K557-L557</f>
        <v>1</v>
      </c>
      <c r="BV556" s="1016" t="e">
        <v>#N/A</v>
      </c>
      <c r="BW556" s="1004" t="str">
        <f ca="1">IFERROR((BU556/BV556),"-")</f>
        <v>-</v>
      </c>
      <c r="BX556" s="884">
        <v>0</v>
      </c>
      <c r="BY556" s="878" t="str">
        <f ca="1">IFERROR((BU556/BX556),"-")</f>
        <v>-</v>
      </c>
      <c r="BZ556" s="2"/>
      <c r="CA556" s="884">
        <v>0</v>
      </c>
      <c r="CB556" s="884">
        <v>0</v>
      </c>
      <c r="CC556" s="2"/>
      <c r="CD556" s="504">
        <f>IFERROR(AVERAGEIF($V$7:AB$7,"&lt;="&amp;$I$7,V556:AB556),0)</f>
        <v>0</v>
      </c>
      <c r="CE556" s="2"/>
      <c r="CH556" s="93" t="str">
        <f t="shared" si="1100"/>
        <v>P3 - Execução da estaca EP3.17</v>
      </c>
    </row>
    <row r="557" spans="1:86" ht="15.95" hidden="1" customHeight="1" outlineLevel="1" collapsed="1">
      <c r="A557" s="74"/>
      <c r="B557" s="1042"/>
      <c r="C557" s="1034"/>
      <c r="D557" s="2"/>
      <c r="E557" s="1005"/>
      <c r="F557" s="2"/>
      <c r="G557" s="50" t="s">
        <v>38</v>
      </c>
      <c r="H557" s="705">
        <f t="shared" si="1143"/>
        <v>0</v>
      </c>
      <c r="I557" s="879"/>
      <c r="J557" s="2"/>
      <c r="K557" s="86"/>
      <c r="L557" s="86"/>
      <c r="M557" s="86"/>
      <c r="N557" s="86"/>
      <c r="O557" s="86"/>
      <c r="P557" s="86"/>
      <c r="Q557" s="706"/>
      <c r="R557" s="2"/>
      <c r="S557" s="705">
        <f t="shared" si="1183"/>
        <v>0</v>
      </c>
      <c r="T557" s="879"/>
      <c r="U557" s="2"/>
      <c r="V557" s="86"/>
      <c r="W557" s="86"/>
      <c r="X557" s="86"/>
      <c r="Y557" s="86"/>
      <c r="Z557" s="86"/>
      <c r="AA557" s="86"/>
      <c r="AB557" s="706"/>
      <c r="AC557" s="2"/>
      <c r="AD557" s="705">
        <f ca="1">SUMIF($V$7:AB$7,"&lt;="&amp;$I$7,V557:AA557)</f>
        <v>0</v>
      </c>
      <c r="AE557" s="879"/>
      <c r="AF557" s="2"/>
      <c r="AG557" s="86"/>
      <c r="AH557" s="86"/>
      <c r="AI557" s="86"/>
      <c r="AJ557" s="86"/>
      <c r="AK557" s="86"/>
      <c r="AL557" s="86"/>
      <c r="AM557" s="706"/>
      <c r="AN557" s="2"/>
      <c r="AO557" s="705">
        <f ca="1">SUMIF($AG$7:AM$7,"&lt;="&amp;$I$7,AG557:AL557)</f>
        <v>0</v>
      </c>
      <c r="AP557" s="879"/>
      <c r="AQ557" s="2"/>
      <c r="AR557" s="86"/>
      <c r="AS557" s="86"/>
      <c r="AT557" s="86"/>
      <c r="AU557" s="86"/>
      <c r="AV557" s="86"/>
      <c r="AW557" s="86"/>
      <c r="AX557" s="706"/>
      <c r="AY557" s="2"/>
      <c r="AZ557" s="705">
        <f ca="1">SUMIF($AR$7:AX$7,"&lt;="&amp;$I$7,AR557:AW557)</f>
        <v>0</v>
      </c>
      <c r="BA557" s="879"/>
      <c r="BB557" s="2"/>
      <c r="BC557" s="86"/>
      <c r="BD557" s="86"/>
      <c r="BE557" s="86"/>
      <c r="BF557" s="86"/>
      <c r="BG557" s="86"/>
      <c r="BH557" s="86"/>
      <c r="BI557" s="706"/>
      <c r="BJ557" s="2"/>
      <c r="BK557" s="705">
        <f ca="1">SUMIF($BC$7:BI$7,"&lt;="&amp;$I$7,BC557:BH557)</f>
        <v>0</v>
      </c>
      <c r="BL557" s="879"/>
      <c r="BM557" s="2"/>
      <c r="BN557" s="885"/>
      <c r="BO557" s="885"/>
      <c r="BP557" s="885"/>
      <c r="BQ557" s="879"/>
      <c r="BR557" s="2"/>
      <c r="BS557" s="885"/>
      <c r="BT557" s="885"/>
      <c r="BU557" s="885"/>
      <c r="BV557" s="1017"/>
      <c r="BW557" s="1005"/>
      <c r="BX557" s="885"/>
      <c r="BY557" s="879"/>
      <c r="BZ557" s="2"/>
      <c r="CA557" s="885"/>
      <c r="CB557" s="885"/>
      <c r="CC557" s="2"/>
      <c r="CD557" s="504">
        <f>IFERROR(AVERAGEIF($V$7:AB$7,"&lt;="&amp;$I$7,V557:AB557),0)</f>
        <v>0</v>
      </c>
      <c r="CE557" s="2"/>
      <c r="CH557" s="93" t="str">
        <f t="shared" si="1100"/>
        <v>P3 - Execução da estaca EP3.17</v>
      </c>
    </row>
    <row r="558" spans="1:86" ht="15.95" hidden="1" customHeight="1" outlineLevel="1">
      <c r="A558" s="74"/>
      <c r="B558" s="1041" t="s">
        <v>4105</v>
      </c>
      <c r="C558" s="1014" t="s">
        <v>1437</v>
      </c>
      <c r="D558" s="2"/>
      <c r="E558" s="1004">
        <v>0</v>
      </c>
      <c r="F558" s="2"/>
      <c r="G558" s="49" t="s">
        <v>37</v>
      </c>
      <c r="H558" s="705">
        <f t="shared" si="1143"/>
        <v>0</v>
      </c>
      <c r="I558" s="878" t="str">
        <f t="shared" ref="I558" si="1187">IFERROR((H559/H558),"-")</f>
        <v>-</v>
      </c>
      <c r="J558" s="2"/>
      <c r="K558" s="705"/>
      <c r="L558" s="705"/>
      <c r="M558" s="705" t="s">
        <v>1434</v>
      </c>
      <c r="N558" s="705">
        <v>1</v>
      </c>
      <c r="O558" s="705"/>
      <c r="P558" s="705"/>
      <c r="Q558" s="705"/>
      <c r="R558" s="2"/>
      <c r="S558" s="705">
        <f t="shared" si="1183"/>
        <v>1</v>
      </c>
      <c r="T558" s="878">
        <f>IFERROR((S559/S558),"-")</f>
        <v>0</v>
      </c>
      <c r="U558" s="2"/>
      <c r="V558" s="705"/>
      <c r="W558" s="705"/>
      <c r="X558" s="705"/>
      <c r="Y558" s="705"/>
      <c r="Z558" s="705"/>
      <c r="AA558" s="705"/>
      <c r="AB558" s="705"/>
      <c r="AC558" s="2"/>
      <c r="AD558" s="705">
        <f ca="1">SUMIF($V$7:AB$7,"&lt;="&amp;$I$7,V558:AA558)</f>
        <v>0</v>
      </c>
      <c r="AE558" s="878" t="str">
        <f ca="1">IFERROR((AD559/AD558),"-")</f>
        <v>-</v>
      </c>
      <c r="AF558" s="2"/>
      <c r="AG558" s="705"/>
      <c r="AH558" s="705"/>
      <c r="AI558" s="705"/>
      <c r="AJ558" s="705"/>
      <c r="AK558" s="705"/>
      <c r="AL558" s="705" t="s">
        <v>1434</v>
      </c>
      <c r="AM558" s="705"/>
      <c r="AN558" s="2"/>
      <c r="AO558" s="705">
        <f ca="1">SUMIF($AG$7:AM$7,"&lt;="&amp;$I$7,AG558:AL558)</f>
        <v>0</v>
      </c>
      <c r="AP558" s="878" t="str">
        <f ca="1">IFERROR((AO559/AO558),"-")</f>
        <v>-</v>
      </c>
      <c r="AQ558" s="2"/>
      <c r="AR558" s="705"/>
      <c r="AS558" s="705"/>
      <c r="AT558" s="705"/>
      <c r="AU558" s="705"/>
      <c r="AV558" s="705"/>
      <c r="AW558" s="705"/>
      <c r="AX558" s="705"/>
      <c r="AY558" s="2"/>
      <c r="AZ558" s="705">
        <f ca="1">SUMIF($AR$7:AX$7,"&lt;="&amp;$I$7,AR558:AW558)</f>
        <v>0</v>
      </c>
      <c r="BA558" s="878" t="str">
        <f ca="1">IFERROR((AZ559/AZ558),"-")</f>
        <v>-</v>
      </c>
      <c r="BB558" s="2"/>
      <c r="BC558" s="705"/>
      <c r="BD558" s="705"/>
      <c r="BE558" s="705"/>
      <c r="BF558" s="705"/>
      <c r="BG558" s="705"/>
      <c r="BH558" s="705"/>
      <c r="BI558" s="705"/>
      <c r="BJ558" s="2"/>
      <c r="BK558" s="705">
        <f ca="1">SUMIF($BC$7:BI$7,"&lt;="&amp;$I$7,BC558:BH558)</f>
        <v>0</v>
      </c>
      <c r="BL558" s="878" t="str">
        <f ca="1">IFERROR((BK559/BK558),"-")</f>
        <v>-</v>
      </c>
      <c r="BM558" s="2"/>
      <c r="BN558" s="884">
        <v>0</v>
      </c>
      <c r="BO558" s="884">
        <v>0</v>
      </c>
      <c r="BP558" s="884">
        <f>SUM(M559:P559,V559:AB559,AG559:AM559,AR559:AX559,BC559:BI559)</f>
        <v>0</v>
      </c>
      <c r="BQ558" s="878" t="str">
        <f t="shared" ref="BQ558" si="1188">IFERROR((BP558/BO558),"-")</f>
        <v>-</v>
      </c>
      <c r="BR558" s="2"/>
      <c r="BS558" s="884"/>
      <c r="BT558" s="884"/>
      <c r="BU558" s="884">
        <f ca="1">E558+S559+AD559+AO559+AZ559+BK559-K559-L559</f>
        <v>0</v>
      </c>
      <c r="BV558" s="1016" t="e">
        <v>#N/A</v>
      </c>
      <c r="BW558" s="1004" t="str">
        <f ca="1">IFERROR((BU558/BV558),"-")</f>
        <v>-</v>
      </c>
      <c r="BX558" s="884">
        <v>0</v>
      </c>
      <c r="BY558" s="878" t="str">
        <f ca="1">IFERROR((BU558/BX558),"-")</f>
        <v>-</v>
      </c>
      <c r="BZ558" s="2"/>
      <c r="CA558" s="884">
        <v>0</v>
      </c>
      <c r="CB558" s="884">
        <v>0</v>
      </c>
      <c r="CC558" s="2"/>
      <c r="CD558" s="504">
        <f>IFERROR(AVERAGEIF($V$7:AB$7,"&lt;="&amp;$I$7,V558:AB558),0)</f>
        <v>0</v>
      </c>
      <c r="CE558" s="2"/>
      <c r="CH558" s="93" t="str">
        <f t="shared" ref="CH558:CH598" si="1189">IF(B558&lt;&gt;"",B558,CH557)</f>
        <v>P3 - Execução da estaca EP3.18</v>
      </c>
    </row>
    <row r="559" spans="1:86" ht="15.95" hidden="1" customHeight="1" outlineLevel="1">
      <c r="A559" s="74"/>
      <c r="B559" s="1042"/>
      <c r="C559" s="1034"/>
      <c r="D559" s="2"/>
      <c r="E559" s="1005"/>
      <c r="F559" s="2"/>
      <c r="G559" s="50" t="s">
        <v>38</v>
      </c>
      <c r="H559" s="705">
        <f t="shared" si="1143"/>
        <v>0</v>
      </c>
      <c r="I559" s="879"/>
      <c r="J559" s="2"/>
      <c r="K559" s="86"/>
      <c r="L559" s="86"/>
      <c r="M559" s="86"/>
      <c r="N559" s="86"/>
      <c r="O559" s="86"/>
      <c r="P559" s="86"/>
      <c r="Q559" s="706"/>
      <c r="R559" s="2"/>
      <c r="S559" s="705">
        <f t="shared" si="1183"/>
        <v>0</v>
      </c>
      <c r="T559" s="879"/>
      <c r="U559" s="2"/>
      <c r="V559" s="86"/>
      <c r="W559" s="86"/>
      <c r="X559" s="86"/>
      <c r="Y559" s="86"/>
      <c r="Z559" s="86"/>
      <c r="AA559" s="86"/>
      <c r="AB559" s="706"/>
      <c r="AC559" s="2"/>
      <c r="AD559" s="705">
        <f ca="1">SUMIF($V$7:AB$7,"&lt;="&amp;$I$7,V559:AA559)</f>
        <v>0</v>
      </c>
      <c r="AE559" s="879"/>
      <c r="AF559" s="2"/>
      <c r="AG559" s="86"/>
      <c r="AH559" s="86"/>
      <c r="AI559" s="86"/>
      <c r="AJ559" s="86"/>
      <c r="AK559" s="86"/>
      <c r="AL559" s="86"/>
      <c r="AM559" s="706"/>
      <c r="AN559" s="2"/>
      <c r="AO559" s="705">
        <f ca="1">SUMIF($AG$7:AM$7,"&lt;="&amp;$I$7,AG559:AL559)</f>
        <v>0</v>
      </c>
      <c r="AP559" s="879"/>
      <c r="AQ559" s="2"/>
      <c r="AR559" s="86"/>
      <c r="AS559" s="86"/>
      <c r="AT559" s="86"/>
      <c r="AU559" s="86"/>
      <c r="AV559" s="86"/>
      <c r="AW559" s="86"/>
      <c r="AX559" s="706"/>
      <c r="AY559" s="2"/>
      <c r="AZ559" s="705">
        <f ca="1">SUMIF($AR$7:AX$7,"&lt;="&amp;$I$7,AR559:AW559)</f>
        <v>0</v>
      </c>
      <c r="BA559" s="879"/>
      <c r="BB559" s="2"/>
      <c r="BC559" s="86"/>
      <c r="BD559" s="86"/>
      <c r="BE559" s="86"/>
      <c r="BF559" s="86"/>
      <c r="BG559" s="86"/>
      <c r="BH559" s="86"/>
      <c r="BI559" s="706"/>
      <c r="BJ559" s="2"/>
      <c r="BK559" s="705">
        <f ca="1">SUMIF($BC$7:BI$7,"&lt;="&amp;$I$7,BC559:BH559)</f>
        <v>0</v>
      </c>
      <c r="BL559" s="879"/>
      <c r="BM559" s="2"/>
      <c r="BN559" s="885"/>
      <c r="BO559" s="885"/>
      <c r="BP559" s="885"/>
      <c r="BQ559" s="879"/>
      <c r="BR559" s="2"/>
      <c r="BS559" s="885"/>
      <c r="BT559" s="885"/>
      <c r="BU559" s="885"/>
      <c r="BV559" s="1017"/>
      <c r="BW559" s="1005"/>
      <c r="BX559" s="885"/>
      <c r="BY559" s="879"/>
      <c r="BZ559" s="2"/>
      <c r="CA559" s="885"/>
      <c r="CB559" s="885"/>
      <c r="CC559" s="2"/>
      <c r="CD559" s="504">
        <f>IFERROR(AVERAGEIF($V$7:AB$7,"&lt;="&amp;$I$7,V559:AB559),0)</f>
        <v>0</v>
      </c>
      <c r="CE559" s="2"/>
      <c r="CH559" s="93" t="str">
        <f t="shared" si="1189"/>
        <v>P3 - Execução da estaca EP3.18</v>
      </c>
    </row>
    <row r="560" spans="1:86" ht="15.95" hidden="1" customHeight="1" outlineLevel="1">
      <c r="A560" s="74"/>
      <c r="B560" s="1041" t="s">
        <v>4106</v>
      </c>
      <c r="C560" s="1014" t="s">
        <v>1437</v>
      </c>
      <c r="D560" s="2"/>
      <c r="E560" s="1004">
        <v>1</v>
      </c>
      <c r="F560" s="2"/>
      <c r="G560" s="49" t="s">
        <v>37</v>
      </c>
      <c r="H560" s="705">
        <f t="shared" si="1143"/>
        <v>0</v>
      </c>
      <c r="I560" s="878" t="str">
        <f t="shared" ref="I560" si="1190">IFERROR((H561/H560),"-")</f>
        <v>-</v>
      </c>
      <c r="J560" s="2"/>
      <c r="K560" s="705" t="s">
        <v>1434</v>
      </c>
      <c r="L560" s="705">
        <v>1</v>
      </c>
      <c r="M560" s="705"/>
      <c r="N560" s="705"/>
      <c r="O560" s="705"/>
      <c r="P560" s="705"/>
      <c r="Q560" s="705"/>
      <c r="R560" s="2"/>
      <c r="S560" s="705">
        <f t="shared" si="1183"/>
        <v>1</v>
      </c>
      <c r="T560" s="878">
        <f>IFERROR((S561/S560),"-")</f>
        <v>1</v>
      </c>
      <c r="U560" s="2"/>
      <c r="V560" s="705"/>
      <c r="W560" s="705"/>
      <c r="X560" s="705"/>
      <c r="Y560" s="705"/>
      <c r="Z560" s="705"/>
      <c r="AA560" s="705"/>
      <c r="AB560" s="705"/>
      <c r="AC560" s="2"/>
      <c r="AD560" s="705">
        <f ca="1">SUMIF($V$7:AB$7,"&lt;="&amp;$I$7,V560:AA560)</f>
        <v>0</v>
      </c>
      <c r="AE560" s="878" t="str">
        <f ca="1">IFERROR((AD561/AD560),"-")</f>
        <v>-</v>
      </c>
      <c r="AF560" s="2"/>
      <c r="AG560" s="705"/>
      <c r="AH560" s="705"/>
      <c r="AI560" s="705"/>
      <c r="AJ560" s="705"/>
      <c r="AK560" s="705"/>
      <c r="AL560" s="705"/>
      <c r="AM560" s="705"/>
      <c r="AN560" s="2"/>
      <c r="AO560" s="705">
        <f ca="1">SUMIF($AG$7:AM$7,"&lt;="&amp;$I$7,AG560:AL560)</f>
        <v>0</v>
      </c>
      <c r="AP560" s="878" t="str">
        <f ca="1">IFERROR((AO561/AO560),"-")</f>
        <v>-</v>
      </c>
      <c r="AQ560" s="2"/>
      <c r="AR560" s="705"/>
      <c r="AS560" s="705"/>
      <c r="AT560" s="705"/>
      <c r="AU560" s="705"/>
      <c r="AV560" s="705"/>
      <c r="AW560" s="705"/>
      <c r="AX560" s="705"/>
      <c r="AY560" s="2"/>
      <c r="AZ560" s="705">
        <f ca="1">SUMIF($AR$7:AX$7,"&lt;="&amp;$I$7,AR560:AW560)</f>
        <v>0</v>
      </c>
      <c r="BA560" s="878" t="str">
        <f ca="1">IFERROR((AZ561/AZ560),"-")</f>
        <v>-</v>
      </c>
      <c r="BB560" s="2"/>
      <c r="BC560" s="705"/>
      <c r="BD560" s="705"/>
      <c r="BE560" s="705"/>
      <c r="BF560" s="705"/>
      <c r="BG560" s="705"/>
      <c r="BH560" s="705"/>
      <c r="BI560" s="705"/>
      <c r="BJ560" s="2"/>
      <c r="BK560" s="705">
        <f ca="1">SUMIF($BC$7:BI$7,"&lt;="&amp;$I$7,BC560:BH560)</f>
        <v>0</v>
      </c>
      <c r="BL560" s="878" t="str">
        <f ca="1">IFERROR((BK561/BK560),"-")</f>
        <v>-</v>
      </c>
      <c r="BM560" s="2"/>
      <c r="BN560" s="884">
        <v>0</v>
      </c>
      <c r="BO560" s="884">
        <v>0</v>
      </c>
      <c r="BP560" s="884">
        <f>SUM(M561:P561,V561:AB561,AG561:AM561,AR561:AX561,BC561:BI561)</f>
        <v>0</v>
      </c>
      <c r="BQ560" s="878" t="str">
        <f t="shared" ref="BQ560" si="1191">IFERROR((BP560/BO560),"-")</f>
        <v>-</v>
      </c>
      <c r="BR560" s="2"/>
      <c r="BS560" s="884"/>
      <c r="BT560" s="884"/>
      <c r="BU560" s="884">
        <f ca="1">E560+S561+AD561+AO561+AZ561+BK561-K561-L561</f>
        <v>1</v>
      </c>
      <c r="BV560" s="1016" t="e">
        <v>#N/A</v>
      </c>
      <c r="BW560" s="1004" t="str">
        <f ca="1">IFERROR((BU560/BV560),"-")</f>
        <v>-</v>
      </c>
      <c r="BX560" s="884">
        <v>0</v>
      </c>
      <c r="BY560" s="878" t="str">
        <f ca="1">IFERROR((BU560/BX560),"-")</f>
        <v>-</v>
      </c>
      <c r="BZ560" s="2"/>
      <c r="CA560" s="884">
        <v>0</v>
      </c>
      <c r="CB560" s="884">
        <v>0</v>
      </c>
      <c r="CC560" s="2"/>
      <c r="CD560" s="504">
        <f>IFERROR(AVERAGEIF($V$7:AB$7,"&lt;="&amp;$I$7,V560:AB560),0)</f>
        <v>0</v>
      </c>
      <c r="CE560" s="2"/>
      <c r="CH560" s="93" t="str">
        <f t="shared" si="1189"/>
        <v>P3 - Execução da estaca EP3.19</v>
      </c>
    </row>
    <row r="561" spans="1:86" ht="15.95" hidden="1" customHeight="1" outlineLevel="1">
      <c r="A561" s="74"/>
      <c r="B561" s="1042"/>
      <c r="C561" s="1034"/>
      <c r="D561" s="2"/>
      <c r="E561" s="1005"/>
      <c r="F561" s="2"/>
      <c r="G561" s="50" t="s">
        <v>38</v>
      </c>
      <c r="H561" s="705">
        <f t="shared" si="1143"/>
        <v>0</v>
      </c>
      <c r="I561" s="879"/>
      <c r="J561" s="2"/>
      <c r="K561" s="86"/>
      <c r="L561" s="86">
        <v>1</v>
      </c>
      <c r="M561" s="86"/>
      <c r="N561" s="86"/>
      <c r="O561" s="86"/>
      <c r="P561" s="86"/>
      <c r="Q561" s="706"/>
      <c r="R561" s="2"/>
      <c r="S561" s="705">
        <f t="shared" si="1183"/>
        <v>1</v>
      </c>
      <c r="T561" s="879"/>
      <c r="U561" s="2"/>
      <c r="V561" s="86"/>
      <c r="W561" s="86"/>
      <c r="X561" s="86"/>
      <c r="Y561" s="86"/>
      <c r="Z561" s="86"/>
      <c r="AA561" s="86"/>
      <c r="AB561" s="706"/>
      <c r="AC561" s="2"/>
      <c r="AD561" s="705">
        <f ca="1">SUMIF($V$7:AB$7,"&lt;="&amp;$I$7,V561:AA561)</f>
        <v>0</v>
      </c>
      <c r="AE561" s="879"/>
      <c r="AF561" s="2"/>
      <c r="AG561" s="86"/>
      <c r="AH561" s="86"/>
      <c r="AI561" s="86"/>
      <c r="AJ561" s="86"/>
      <c r="AK561" s="86"/>
      <c r="AL561" s="86"/>
      <c r="AM561" s="706"/>
      <c r="AN561" s="2"/>
      <c r="AO561" s="705">
        <f ca="1">SUMIF($AG$7:AM$7,"&lt;="&amp;$I$7,AG561:AL561)</f>
        <v>0</v>
      </c>
      <c r="AP561" s="879"/>
      <c r="AQ561" s="2"/>
      <c r="AR561" s="86"/>
      <c r="AS561" s="86"/>
      <c r="AT561" s="86"/>
      <c r="AU561" s="86"/>
      <c r="AV561" s="86"/>
      <c r="AW561" s="86"/>
      <c r="AX561" s="706"/>
      <c r="AY561" s="2"/>
      <c r="AZ561" s="705">
        <f ca="1">SUMIF($AR$7:AX$7,"&lt;="&amp;$I$7,AR561:AW561)</f>
        <v>0</v>
      </c>
      <c r="BA561" s="879"/>
      <c r="BB561" s="2"/>
      <c r="BC561" s="86"/>
      <c r="BD561" s="86"/>
      <c r="BE561" s="86"/>
      <c r="BF561" s="86"/>
      <c r="BG561" s="86"/>
      <c r="BH561" s="86"/>
      <c r="BI561" s="706"/>
      <c r="BJ561" s="2"/>
      <c r="BK561" s="705">
        <f ca="1">SUMIF($BC$7:BI$7,"&lt;="&amp;$I$7,BC561:BH561)</f>
        <v>0</v>
      </c>
      <c r="BL561" s="879"/>
      <c r="BM561" s="2"/>
      <c r="BN561" s="885"/>
      <c r="BO561" s="885"/>
      <c r="BP561" s="885"/>
      <c r="BQ561" s="879"/>
      <c r="BR561" s="2"/>
      <c r="BS561" s="885"/>
      <c r="BT561" s="885"/>
      <c r="BU561" s="885"/>
      <c r="BV561" s="1017"/>
      <c r="BW561" s="1005"/>
      <c r="BX561" s="885"/>
      <c r="BY561" s="879"/>
      <c r="BZ561" s="2"/>
      <c r="CA561" s="885"/>
      <c r="CB561" s="885"/>
      <c r="CC561" s="2"/>
      <c r="CD561" s="504">
        <f>IFERROR(AVERAGEIF($V$7:AB$7,"&lt;="&amp;$I$7,V561:AB561),0)</f>
        <v>0</v>
      </c>
      <c r="CE561" s="2"/>
      <c r="CH561" s="93" t="str">
        <f t="shared" si="1189"/>
        <v>P3 - Execução da estaca EP3.19</v>
      </c>
    </row>
    <row r="562" spans="1:86" ht="15.95" hidden="1" customHeight="1" outlineLevel="1">
      <c r="A562" s="74"/>
      <c r="B562" s="1041" t="s">
        <v>4107</v>
      </c>
      <c r="C562" s="1014" t="s">
        <v>1437</v>
      </c>
      <c r="D562" s="2"/>
      <c r="E562" s="1004">
        <v>1</v>
      </c>
      <c r="F562" s="2"/>
      <c r="G562" s="49" t="s">
        <v>37</v>
      </c>
      <c r="H562" s="705">
        <f t="shared" si="1143"/>
        <v>0</v>
      </c>
      <c r="I562" s="878" t="str">
        <f t="shared" ref="I562" si="1192">IFERROR((H563/H562),"-")</f>
        <v>-</v>
      </c>
      <c r="J562" s="2"/>
      <c r="K562" s="705"/>
      <c r="L562" s="705"/>
      <c r="M562" s="705"/>
      <c r="N562" s="705"/>
      <c r="O562" s="705"/>
      <c r="P562" s="705"/>
      <c r="Q562" s="705"/>
      <c r="R562" s="2"/>
      <c r="S562" s="705">
        <f t="shared" si="1183"/>
        <v>0</v>
      </c>
      <c r="T562" s="878" t="str">
        <f>IFERROR((S563/S562),"-")</f>
        <v>-</v>
      </c>
      <c r="U562" s="2"/>
      <c r="V562" s="705"/>
      <c r="W562" s="705"/>
      <c r="X562" s="705"/>
      <c r="Y562" s="705"/>
      <c r="Z562" s="705"/>
      <c r="AA562" s="705"/>
      <c r="AB562" s="705"/>
      <c r="AC562" s="2"/>
      <c r="AD562" s="705">
        <f ca="1">SUMIF($V$7:AB$7,"&lt;="&amp;$I$7,V562:AA562)</f>
        <v>0</v>
      </c>
      <c r="AE562" s="878" t="str">
        <f ca="1">IFERROR((AD563/AD562),"-")</f>
        <v>-</v>
      </c>
      <c r="AF562" s="2"/>
      <c r="AG562" s="705"/>
      <c r="AH562" s="705" t="s">
        <v>1434</v>
      </c>
      <c r="AI562" s="705">
        <v>1</v>
      </c>
      <c r="AJ562" s="705"/>
      <c r="AK562" s="705"/>
      <c r="AL562" s="705"/>
      <c r="AM562" s="705"/>
      <c r="AN562" s="2"/>
      <c r="AO562" s="705">
        <f ca="1">SUMIF($AG$7:AM$7,"&lt;="&amp;$I$7,AG562:AL562)</f>
        <v>0</v>
      </c>
      <c r="AP562" s="878" t="str">
        <f ca="1">IFERROR((AO563/AO562),"-")</f>
        <v>-</v>
      </c>
      <c r="AQ562" s="2"/>
      <c r="AR562" s="705"/>
      <c r="AS562" s="705"/>
      <c r="AT562" s="705"/>
      <c r="AU562" s="705"/>
      <c r="AV562" s="705"/>
      <c r="AW562" s="705"/>
      <c r="AX562" s="705"/>
      <c r="AY562" s="2"/>
      <c r="AZ562" s="705">
        <f ca="1">SUMIF($AR$7:AX$7,"&lt;="&amp;$I$7,AR562:AW562)</f>
        <v>0</v>
      </c>
      <c r="BA562" s="878" t="str">
        <f ca="1">IFERROR((AZ563/AZ562),"-")</f>
        <v>-</v>
      </c>
      <c r="BB562" s="2"/>
      <c r="BC562" s="705"/>
      <c r="BD562" s="705"/>
      <c r="BE562" s="705"/>
      <c r="BF562" s="705"/>
      <c r="BG562" s="705"/>
      <c r="BH562" s="705"/>
      <c r="BI562" s="705"/>
      <c r="BJ562" s="2"/>
      <c r="BK562" s="705">
        <f ca="1">SUMIF($BC$7:BI$7,"&lt;="&amp;$I$7,BC562:BH562)</f>
        <v>0</v>
      </c>
      <c r="BL562" s="878" t="str">
        <f ca="1">IFERROR((BK563/BK562),"-")</f>
        <v>-</v>
      </c>
      <c r="BM562" s="2"/>
      <c r="BN562" s="884">
        <v>0</v>
      </c>
      <c r="BO562" s="884">
        <v>0</v>
      </c>
      <c r="BP562" s="884">
        <f>SUM(M563:P563,V563:AB563,AG563:AM563,AR563:AX563,BC563:BI563)</f>
        <v>0</v>
      </c>
      <c r="BQ562" s="878" t="str">
        <f t="shared" ref="BQ562" si="1193">IFERROR((BP562/BO562),"-")</f>
        <v>-</v>
      </c>
      <c r="BR562" s="2"/>
      <c r="BS562" s="884"/>
      <c r="BT562" s="884"/>
      <c r="BU562" s="884">
        <f ca="1">E562+S563+AD563+AO563+AZ563+BK563-K563-L563</f>
        <v>1</v>
      </c>
      <c r="BV562" s="1016" t="e">
        <v>#N/A</v>
      </c>
      <c r="BW562" s="1004" t="str">
        <f ca="1">IFERROR((BU562/BV562),"-")</f>
        <v>-</v>
      </c>
      <c r="BX562" s="884">
        <v>0</v>
      </c>
      <c r="BY562" s="878" t="str">
        <f ca="1">IFERROR((BU562/BX562),"-")</f>
        <v>-</v>
      </c>
      <c r="BZ562" s="2"/>
      <c r="CA562" s="884">
        <v>0</v>
      </c>
      <c r="CB562" s="884">
        <v>0</v>
      </c>
      <c r="CC562" s="2"/>
      <c r="CD562" s="504">
        <f>IFERROR(AVERAGEIF($V$7:AB$7,"&lt;="&amp;$I$7,V562:AB562),0)</f>
        <v>0</v>
      </c>
      <c r="CE562" s="2"/>
      <c r="CH562" s="93" t="str">
        <f t="shared" si="1189"/>
        <v>P3 - Execução da estaca EP3.20</v>
      </c>
    </row>
    <row r="563" spans="1:86" ht="15.95" hidden="1" customHeight="1" outlineLevel="1">
      <c r="A563" s="74"/>
      <c r="B563" s="1042"/>
      <c r="C563" s="1034"/>
      <c r="D563" s="2"/>
      <c r="E563" s="1005"/>
      <c r="F563" s="2"/>
      <c r="G563" s="50" t="s">
        <v>38</v>
      </c>
      <c r="H563" s="705">
        <f t="shared" si="1143"/>
        <v>0</v>
      </c>
      <c r="I563" s="879"/>
      <c r="J563" s="2"/>
      <c r="K563" s="86"/>
      <c r="L563" s="86"/>
      <c r="M563" s="86"/>
      <c r="N563" s="86"/>
      <c r="O563" s="86"/>
      <c r="P563" s="86"/>
      <c r="Q563" s="706"/>
      <c r="R563" s="2"/>
      <c r="S563" s="705">
        <f t="shared" si="1183"/>
        <v>0</v>
      </c>
      <c r="T563" s="879"/>
      <c r="U563" s="2"/>
      <c r="V563" s="86"/>
      <c r="W563" s="86"/>
      <c r="X563" s="86"/>
      <c r="Y563" s="86"/>
      <c r="Z563" s="86"/>
      <c r="AA563" s="86"/>
      <c r="AB563" s="706"/>
      <c r="AC563" s="2"/>
      <c r="AD563" s="705">
        <f ca="1">SUMIF($V$7:AB$7,"&lt;="&amp;$I$7,V563:AA563)</f>
        <v>0</v>
      </c>
      <c r="AE563" s="879"/>
      <c r="AF563" s="2"/>
      <c r="AG563" s="86"/>
      <c r="AH563" s="86"/>
      <c r="AI563" s="86"/>
      <c r="AJ563" s="86"/>
      <c r="AK563" s="86"/>
      <c r="AL563" s="86"/>
      <c r="AM563" s="706"/>
      <c r="AN563" s="2"/>
      <c r="AO563" s="705">
        <f ca="1">SUMIF($AG$7:AM$7,"&lt;="&amp;$I$7,AG563:AL563)</f>
        <v>0</v>
      </c>
      <c r="AP563" s="879"/>
      <c r="AQ563" s="2"/>
      <c r="AR563" s="86"/>
      <c r="AS563" s="86"/>
      <c r="AT563" s="86"/>
      <c r="AU563" s="86"/>
      <c r="AV563" s="86"/>
      <c r="AW563" s="86"/>
      <c r="AX563" s="706"/>
      <c r="AY563" s="2"/>
      <c r="AZ563" s="705">
        <f ca="1">SUMIF($AR$7:AX$7,"&lt;="&amp;$I$7,AR563:AW563)</f>
        <v>0</v>
      </c>
      <c r="BA563" s="879"/>
      <c r="BB563" s="2"/>
      <c r="BC563" s="86"/>
      <c r="BD563" s="86"/>
      <c r="BE563" s="86"/>
      <c r="BF563" s="86"/>
      <c r="BG563" s="86"/>
      <c r="BH563" s="86"/>
      <c r="BI563" s="706"/>
      <c r="BJ563" s="2"/>
      <c r="BK563" s="705">
        <f ca="1">SUMIF($BC$7:BI$7,"&lt;="&amp;$I$7,BC563:BH563)</f>
        <v>0</v>
      </c>
      <c r="BL563" s="879"/>
      <c r="BM563" s="2"/>
      <c r="BN563" s="885"/>
      <c r="BO563" s="885"/>
      <c r="BP563" s="885"/>
      <c r="BQ563" s="879"/>
      <c r="BR563" s="2"/>
      <c r="BS563" s="885"/>
      <c r="BT563" s="885"/>
      <c r="BU563" s="885"/>
      <c r="BV563" s="1017"/>
      <c r="BW563" s="1005"/>
      <c r="BX563" s="885"/>
      <c r="BY563" s="879"/>
      <c r="BZ563" s="2"/>
      <c r="CA563" s="885"/>
      <c r="CB563" s="885"/>
      <c r="CC563" s="2"/>
      <c r="CD563" s="504">
        <f>IFERROR(AVERAGEIF($V$7:AB$7,"&lt;="&amp;$I$7,V563:AB563),0)</f>
        <v>0</v>
      </c>
      <c r="CE563" s="2"/>
      <c r="CH563" s="93" t="str">
        <f t="shared" si="1189"/>
        <v>P3 - Execução da estaca EP3.20</v>
      </c>
    </row>
    <row r="564" spans="1:86" ht="15.95" hidden="1" customHeight="1" outlineLevel="1">
      <c r="A564" s="74"/>
      <c r="B564" s="1039" t="s">
        <v>4108</v>
      </c>
      <c r="C564" s="1014" t="s">
        <v>1437</v>
      </c>
      <c r="D564" s="2"/>
      <c r="E564" s="1004">
        <v>0</v>
      </c>
      <c r="F564" s="2"/>
      <c r="G564" s="49" t="s">
        <v>37</v>
      </c>
      <c r="H564" s="705">
        <f t="shared" si="1143"/>
        <v>0</v>
      </c>
      <c r="I564" s="878" t="str">
        <f t="shared" ref="I564" si="1194">IFERROR((H565/H564),"-")</f>
        <v>-</v>
      </c>
      <c r="J564" s="2"/>
      <c r="K564" s="705"/>
      <c r="L564" s="705"/>
      <c r="M564" s="705"/>
      <c r="N564" s="705"/>
      <c r="O564" s="705"/>
      <c r="P564" s="705"/>
      <c r="Q564" s="705"/>
      <c r="R564" s="2"/>
      <c r="S564" s="705">
        <f t="shared" si="1183"/>
        <v>0</v>
      </c>
      <c r="T564" s="878" t="str">
        <f>IFERROR((S565/S564),"-")</f>
        <v>-</v>
      </c>
      <c r="U564" s="2"/>
      <c r="V564" s="705"/>
      <c r="W564" s="705"/>
      <c r="X564" s="705"/>
      <c r="Y564" s="705"/>
      <c r="Z564" s="705"/>
      <c r="AA564" s="705"/>
      <c r="AB564" s="705"/>
      <c r="AC564" s="2"/>
      <c r="AD564" s="705">
        <f ca="1">SUMIF($V$7:AB$7,"&lt;="&amp;$I$7,V564:AA564)</f>
        <v>0</v>
      </c>
      <c r="AE564" s="878" t="str">
        <f ca="1">IFERROR((AD565/AD564),"-")</f>
        <v>-</v>
      </c>
      <c r="AF564" s="2"/>
      <c r="AG564" s="705"/>
      <c r="AH564" s="705"/>
      <c r="AI564" s="705"/>
      <c r="AJ564" s="705"/>
      <c r="AK564" s="705"/>
      <c r="AL564" s="705"/>
      <c r="AM564" s="705"/>
      <c r="AN564" s="2"/>
      <c r="AO564" s="705">
        <f ca="1">SUMIF($AG$7:AM$7,"&lt;="&amp;$I$7,AG564:AL564)</f>
        <v>0</v>
      </c>
      <c r="AP564" s="878" t="str">
        <f ca="1">IFERROR((AO565/AO564),"-")</f>
        <v>-</v>
      </c>
      <c r="AQ564" s="2"/>
      <c r="AR564" s="705"/>
      <c r="AS564" s="705"/>
      <c r="AT564" s="705"/>
      <c r="AU564" s="705"/>
      <c r="AV564" s="705"/>
      <c r="AW564" s="705"/>
      <c r="AX564" s="705"/>
      <c r="AY564" s="2"/>
      <c r="AZ564" s="705">
        <f ca="1">SUMIF($AR$7:AX$7,"&lt;="&amp;$I$7,AR564:AW564)</f>
        <v>0</v>
      </c>
      <c r="BA564" s="878" t="str">
        <f ca="1">IFERROR((AZ565/AZ564),"-")</f>
        <v>-</v>
      </c>
      <c r="BB564" s="2"/>
      <c r="BC564" s="705"/>
      <c r="BD564" s="705"/>
      <c r="BE564" s="705"/>
      <c r="BF564" s="705"/>
      <c r="BG564" s="705"/>
      <c r="BH564" s="705"/>
      <c r="BI564" s="705"/>
      <c r="BJ564" s="2"/>
      <c r="BK564" s="705">
        <f ca="1">SUMIF($BC$7:BI$7,"&lt;="&amp;$I$7,BC564:BH564)</f>
        <v>0</v>
      </c>
      <c r="BL564" s="878" t="str">
        <f ca="1">IFERROR((BK565/BK564),"-")</f>
        <v>-</v>
      </c>
      <c r="BM564" s="2"/>
      <c r="BN564" s="884">
        <v>0</v>
      </c>
      <c r="BO564" s="884">
        <v>0</v>
      </c>
      <c r="BP564" s="884">
        <f>SUM(M565:P565,V565:AB565,AG565:AM565,AR565:AX565,BC565:BI565)</f>
        <v>0</v>
      </c>
      <c r="BQ564" s="878" t="str">
        <f t="shared" ref="BQ564" si="1195">IFERROR((BP564/BO564),"-")</f>
        <v>-</v>
      </c>
      <c r="BR564" s="2"/>
      <c r="BS564" s="884"/>
      <c r="BT564" s="884"/>
      <c r="BU564" s="884">
        <f ca="1">E564+S565+AD565+AO565+AZ565+BK565-K565-L565</f>
        <v>0</v>
      </c>
      <c r="BV564" s="884">
        <v>104</v>
      </c>
      <c r="BW564" s="1004">
        <f ca="1">IFERROR((BU564/BV564),"-")</f>
        <v>0</v>
      </c>
      <c r="BX564" s="884">
        <v>0</v>
      </c>
      <c r="BY564" s="878" t="str">
        <f ca="1">IFERROR((BU564/BX564),"-")</f>
        <v>-</v>
      </c>
      <c r="BZ564" s="2"/>
      <c r="CA564" s="884">
        <v>0</v>
      </c>
      <c r="CB564" s="884">
        <v>0</v>
      </c>
      <c r="CC564" s="2"/>
      <c r="CD564" s="504">
        <f>IFERROR(AVERAGEIF($V$7:AB$7,"&lt;="&amp;$I$7,V564:AB564),0)</f>
        <v>0</v>
      </c>
      <c r="CE564" s="2"/>
      <c r="CH564" s="93" t="str">
        <f t="shared" si="1189"/>
        <v>BLOCOS ENCONTROS</v>
      </c>
    </row>
    <row r="565" spans="1:86" ht="15.95" hidden="1" customHeight="1" outlineLevel="1">
      <c r="A565" s="74"/>
      <c r="B565" s="1040"/>
      <c r="C565" s="1034"/>
      <c r="D565" s="2"/>
      <c r="E565" s="1005"/>
      <c r="F565" s="2"/>
      <c r="G565" s="50" t="s">
        <v>38</v>
      </c>
      <c r="H565" s="705">
        <f t="shared" si="1143"/>
        <v>0</v>
      </c>
      <c r="I565" s="879"/>
      <c r="J565" s="2"/>
      <c r="K565" s="86"/>
      <c r="L565" s="86"/>
      <c r="M565" s="86"/>
      <c r="N565" s="86"/>
      <c r="O565" s="86"/>
      <c r="P565" s="86"/>
      <c r="Q565" s="706"/>
      <c r="R565" s="2"/>
      <c r="S565" s="705">
        <f t="shared" si="1183"/>
        <v>0</v>
      </c>
      <c r="T565" s="879"/>
      <c r="U565" s="2"/>
      <c r="V565" s="86"/>
      <c r="W565" s="86"/>
      <c r="X565" s="86"/>
      <c r="Y565" s="86"/>
      <c r="Z565" s="86"/>
      <c r="AA565" s="86"/>
      <c r="AB565" s="706"/>
      <c r="AC565" s="2"/>
      <c r="AD565" s="705">
        <f ca="1">SUMIF($V$7:AB$7,"&lt;="&amp;$I$7,V565:AA565)</f>
        <v>0</v>
      </c>
      <c r="AE565" s="879"/>
      <c r="AF565" s="2"/>
      <c r="AG565" s="86"/>
      <c r="AH565" s="86"/>
      <c r="AI565" s="86"/>
      <c r="AJ565" s="86"/>
      <c r="AK565" s="86"/>
      <c r="AL565" s="86"/>
      <c r="AM565" s="706"/>
      <c r="AN565" s="2"/>
      <c r="AO565" s="705">
        <f ca="1">SUMIF($AG$7:AM$7,"&lt;="&amp;$I$7,AG565:AL565)</f>
        <v>0</v>
      </c>
      <c r="AP565" s="879"/>
      <c r="AQ565" s="2"/>
      <c r="AR565" s="86"/>
      <c r="AS565" s="86"/>
      <c r="AT565" s="86"/>
      <c r="AU565" s="86"/>
      <c r="AV565" s="86"/>
      <c r="AW565" s="86"/>
      <c r="AX565" s="706"/>
      <c r="AY565" s="2"/>
      <c r="AZ565" s="705">
        <f ca="1">SUMIF($AR$7:AX$7,"&lt;="&amp;$I$7,AR565:AW565)</f>
        <v>0</v>
      </c>
      <c r="BA565" s="879"/>
      <c r="BB565" s="2"/>
      <c r="BC565" s="86"/>
      <c r="BD565" s="86"/>
      <c r="BE565" s="86"/>
      <c r="BF565" s="86"/>
      <c r="BG565" s="86"/>
      <c r="BH565" s="86"/>
      <c r="BI565" s="706"/>
      <c r="BJ565" s="2"/>
      <c r="BK565" s="705">
        <f ca="1">SUMIF($BC$7:BI$7,"&lt;="&amp;$I$7,BC565:BH565)</f>
        <v>0</v>
      </c>
      <c r="BL565" s="879"/>
      <c r="BM565" s="2"/>
      <c r="BN565" s="885"/>
      <c r="BO565" s="885"/>
      <c r="BP565" s="885"/>
      <c r="BQ565" s="879"/>
      <c r="BR565" s="2"/>
      <c r="BS565" s="885"/>
      <c r="BT565" s="885"/>
      <c r="BU565" s="885"/>
      <c r="BV565" s="885"/>
      <c r="BW565" s="1005"/>
      <c r="BX565" s="885"/>
      <c r="BY565" s="879"/>
      <c r="BZ565" s="2"/>
      <c r="CA565" s="885"/>
      <c r="CB565" s="885"/>
      <c r="CC565" s="2"/>
      <c r="CD565" s="504">
        <f>IFERROR(AVERAGEIF($V$7:AB$7,"&lt;="&amp;$I$7,V565:AB565),0)</f>
        <v>0</v>
      </c>
      <c r="CE565" s="2"/>
      <c r="CH565" s="93" t="str">
        <f t="shared" si="1189"/>
        <v>BLOCOS ENCONTROS</v>
      </c>
    </row>
    <row r="566" spans="1:86" ht="14.65" hidden="1" customHeight="1" outlineLevel="1">
      <c r="A566" s="74"/>
      <c r="B566" s="1035" t="s">
        <v>4109</v>
      </c>
      <c r="C566" s="1014" t="s">
        <v>1437</v>
      </c>
      <c r="D566" s="2"/>
      <c r="E566" s="1004">
        <v>0</v>
      </c>
      <c r="F566" s="2"/>
      <c r="G566" s="49" t="s">
        <v>37</v>
      </c>
      <c r="H566" s="705">
        <f t="shared" si="1143"/>
        <v>0</v>
      </c>
      <c r="I566" s="878" t="str">
        <f t="shared" ref="I566" si="1196">IFERROR((H567/H566),"-")</f>
        <v>-</v>
      </c>
      <c r="J566" s="2"/>
      <c r="K566" s="705"/>
      <c r="L566" s="705"/>
      <c r="M566" s="705"/>
      <c r="N566" s="705"/>
      <c r="O566" s="705"/>
      <c r="P566" s="705"/>
      <c r="Q566" s="705"/>
      <c r="R566" s="2"/>
      <c r="S566" s="705">
        <f t="shared" si="1183"/>
        <v>0</v>
      </c>
      <c r="T566" s="878" t="str">
        <f>IFERROR((S567/S566),"-")</f>
        <v>-</v>
      </c>
      <c r="U566" s="2"/>
      <c r="V566" s="705"/>
      <c r="W566" s="705"/>
      <c r="X566" s="705"/>
      <c r="Y566" s="705"/>
      <c r="Z566" s="705"/>
      <c r="AA566" s="705"/>
      <c r="AB566" s="705"/>
      <c r="AC566" s="2"/>
      <c r="AD566" s="705">
        <f ca="1">SUMIF($V$7:AB$7,"&lt;="&amp;$I$7,V566:AA566)</f>
        <v>0</v>
      </c>
      <c r="AE566" s="878" t="str">
        <f ca="1">IFERROR((AD567/AD566),"-")</f>
        <v>-</v>
      </c>
      <c r="AF566" s="2"/>
      <c r="AG566" s="705"/>
      <c r="AH566" s="705"/>
      <c r="AI566" s="705"/>
      <c r="AJ566" s="705"/>
      <c r="AK566" s="705"/>
      <c r="AL566" s="705"/>
      <c r="AM566" s="705"/>
      <c r="AN566" s="2"/>
      <c r="AO566" s="705">
        <f ca="1">SUMIF($AG$7:AM$7,"&lt;="&amp;$I$7,AG566:AL566)</f>
        <v>0</v>
      </c>
      <c r="AP566" s="878" t="str">
        <f ca="1">IFERROR((AO567/AO566),"-")</f>
        <v>-</v>
      </c>
      <c r="AQ566" s="2"/>
      <c r="AR566" s="705"/>
      <c r="AS566" s="705"/>
      <c r="AT566" s="705"/>
      <c r="AU566" s="705"/>
      <c r="AV566" s="705"/>
      <c r="AW566" s="705"/>
      <c r="AX566" s="705"/>
      <c r="AY566" s="2"/>
      <c r="AZ566" s="705">
        <f t="shared" ref="AZ566:AZ575" si="1197">SUM(AR566:AW566)</f>
        <v>0</v>
      </c>
      <c r="BA566" s="878" t="str">
        <f>IFERROR((AZ567/AZ566),"-")</f>
        <v>-</v>
      </c>
      <c r="BB566" s="2"/>
      <c r="BC566" s="705"/>
      <c r="BD566" s="705"/>
      <c r="BE566" s="705"/>
      <c r="BF566" s="705"/>
      <c r="BG566" s="705"/>
      <c r="BH566" s="705"/>
      <c r="BI566" s="705"/>
      <c r="BJ566" s="2"/>
      <c r="BK566" s="705">
        <f ca="1">SUMIF($BC$7:BI$7,"&lt;="&amp;$I$7,BC566:BH566)</f>
        <v>0</v>
      </c>
      <c r="BL566" s="878" t="str">
        <f ca="1">IFERROR((BK567/BK566),"-")</f>
        <v>-</v>
      </c>
      <c r="BM566" s="2"/>
      <c r="BN566" s="884">
        <v>0</v>
      </c>
      <c r="BO566" s="884">
        <v>0</v>
      </c>
      <c r="BP566" s="884">
        <f>SUM(M567:P567,V567:AB567,AG567:AM567,AR567:AX567,BC567:BI567)</f>
        <v>0</v>
      </c>
      <c r="BQ566" s="878" t="str">
        <f t="shared" ref="BQ566" si="1198">IFERROR((BP566/BO566),"-")</f>
        <v>-</v>
      </c>
      <c r="BR566" s="2"/>
      <c r="BS566" s="884"/>
      <c r="BT566" s="884"/>
      <c r="BU566" s="884">
        <f ca="1">E566+S567+AD567+AO567+AZ567+BK567-K567-L567</f>
        <v>0</v>
      </c>
      <c r="BV566" s="1016" t="e">
        <v>#N/A</v>
      </c>
      <c r="BW566" s="1004" t="str">
        <f ca="1">IFERROR((BU566/BV566),"-")</f>
        <v>-</v>
      </c>
      <c r="BX566" s="884">
        <v>0</v>
      </c>
      <c r="BY566" s="878" t="str">
        <f ca="1">IFERROR((BU566/BX566),"-")</f>
        <v>-</v>
      </c>
      <c r="BZ566" s="2"/>
      <c r="CA566" s="884">
        <v>0</v>
      </c>
      <c r="CB566" s="884">
        <v>0</v>
      </c>
      <c r="CC566" s="2"/>
      <c r="CD566" s="504">
        <f>IFERROR(AVERAGEIF($V$7:AB$7,"&lt;="&amp;$I$7,V566:AB566),0)</f>
        <v>0</v>
      </c>
      <c r="CE566" s="2"/>
      <c r="CH566" s="93" t="str">
        <f t="shared" si="1189"/>
        <v>Concreto Magro</v>
      </c>
    </row>
    <row r="567" spans="1:86" ht="14.65" hidden="1" customHeight="1" outlineLevel="1">
      <c r="A567" s="74"/>
      <c r="B567" s="1036"/>
      <c r="C567" s="1034"/>
      <c r="D567" s="2"/>
      <c r="E567" s="1005"/>
      <c r="F567" s="2"/>
      <c r="G567" s="50" t="s">
        <v>38</v>
      </c>
      <c r="H567" s="705">
        <f t="shared" si="1143"/>
        <v>0</v>
      </c>
      <c r="I567" s="879"/>
      <c r="J567" s="2"/>
      <c r="K567" s="86"/>
      <c r="L567" s="86"/>
      <c r="M567" s="86"/>
      <c r="N567" s="86"/>
      <c r="O567" s="86"/>
      <c r="P567" s="86"/>
      <c r="Q567" s="706"/>
      <c r="R567" s="2"/>
      <c r="S567" s="705">
        <f t="shared" si="1183"/>
        <v>0</v>
      </c>
      <c r="T567" s="879"/>
      <c r="U567" s="2"/>
      <c r="V567" s="86"/>
      <c r="W567" s="86"/>
      <c r="X567" s="86"/>
      <c r="Y567" s="86"/>
      <c r="Z567" s="86"/>
      <c r="AA567" s="86"/>
      <c r="AB567" s="706"/>
      <c r="AC567" s="2"/>
      <c r="AD567" s="705">
        <f ca="1">SUMIF($V$7:AB$7,"&lt;="&amp;$I$7,V567:AA567)</f>
        <v>0</v>
      </c>
      <c r="AE567" s="879"/>
      <c r="AF567" s="2"/>
      <c r="AG567" s="86"/>
      <c r="AH567" s="86"/>
      <c r="AI567" s="86"/>
      <c r="AJ567" s="86"/>
      <c r="AK567" s="86"/>
      <c r="AL567" s="86"/>
      <c r="AM567" s="706"/>
      <c r="AN567" s="2"/>
      <c r="AO567" s="705">
        <f ca="1">SUMIF($AG$7:AM$7,"&lt;="&amp;$I$7,AG567:AL567)</f>
        <v>0</v>
      </c>
      <c r="AP567" s="879"/>
      <c r="AQ567" s="2"/>
      <c r="AR567" s="86"/>
      <c r="AS567" s="86"/>
      <c r="AT567" s="86"/>
      <c r="AU567" s="86"/>
      <c r="AV567" s="86"/>
      <c r="AW567" s="86"/>
      <c r="AX567" s="706"/>
      <c r="AY567" s="2"/>
      <c r="AZ567" s="705">
        <f t="shared" si="1197"/>
        <v>0</v>
      </c>
      <c r="BA567" s="879"/>
      <c r="BB567" s="2"/>
      <c r="BC567" s="86"/>
      <c r="BD567" s="86"/>
      <c r="BE567" s="86"/>
      <c r="BF567" s="86"/>
      <c r="BG567" s="86"/>
      <c r="BH567" s="86"/>
      <c r="BI567" s="706"/>
      <c r="BJ567" s="2"/>
      <c r="BK567" s="705">
        <f ca="1">SUMIF($BC$7:BI$7,"&lt;="&amp;$I$7,BC567:BH567)</f>
        <v>0</v>
      </c>
      <c r="BL567" s="879"/>
      <c r="BM567" s="2"/>
      <c r="BN567" s="885"/>
      <c r="BO567" s="885"/>
      <c r="BP567" s="885"/>
      <c r="BQ567" s="879"/>
      <c r="BR567" s="2"/>
      <c r="BS567" s="885"/>
      <c r="BT567" s="885"/>
      <c r="BU567" s="885"/>
      <c r="BV567" s="1017"/>
      <c r="BW567" s="1005"/>
      <c r="BX567" s="885"/>
      <c r="BY567" s="879"/>
      <c r="BZ567" s="2"/>
      <c r="CA567" s="885"/>
      <c r="CB567" s="885"/>
      <c r="CC567" s="2"/>
      <c r="CD567" s="504">
        <f>IFERROR(AVERAGEIF($V$7:AB$7,"&lt;="&amp;$I$7,V567:AB567),0)</f>
        <v>0</v>
      </c>
      <c r="CE567" s="2"/>
      <c r="CH567" s="93" t="str">
        <f t="shared" si="1189"/>
        <v>Concreto Magro</v>
      </c>
    </row>
    <row r="568" spans="1:86" ht="14.65" hidden="1" customHeight="1" outlineLevel="1">
      <c r="A568" s="74"/>
      <c r="B568" s="1035" t="s">
        <v>4003</v>
      </c>
      <c r="C568" s="1014" t="s">
        <v>1437</v>
      </c>
      <c r="D568" s="2"/>
      <c r="E568" s="1004">
        <v>0</v>
      </c>
      <c r="F568" s="2"/>
      <c r="G568" s="49" t="s">
        <v>37</v>
      </c>
      <c r="H568" s="705">
        <f t="shared" si="1143"/>
        <v>0</v>
      </c>
      <c r="I568" s="878" t="str">
        <f t="shared" ref="I568" si="1199">IFERROR((H569/H568),"-")</f>
        <v>-</v>
      </c>
      <c r="J568" s="2"/>
      <c r="K568" s="705"/>
      <c r="L568" s="705"/>
      <c r="M568" s="705"/>
      <c r="N568" s="705"/>
      <c r="O568" s="705"/>
      <c r="P568" s="705"/>
      <c r="Q568" s="705"/>
      <c r="R568" s="2"/>
      <c r="S568" s="705">
        <f t="shared" si="1183"/>
        <v>0</v>
      </c>
      <c r="T568" s="878" t="str">
        <f>IFERROR((S569/S568),"-")</f>
        <v>-</v>
      </c>
      <c r="U568" s="2"/>
      <c r="V568" s="705"/>
      <c r="W568" s="705"/>
      <c r="X568" s="705"/>
      <c r="Y568" s="705"/>
      <c r="Z568" s="705"/>
      <c r="AA568" s="705"/>
      <c r="AB568" s="705"/>
      <c r="AC568" s="2"/>
      <c r="AD568" s="705">
        <f ca="1">SUMIF($V$7:AB$7,"&lt;="&amp;$I$7,V568:AA568)</f>
        <v>0</v>
      </c>
      <c r="AE568" s="878" t="str">
        <f ca="1">IFERROR((AD569/AD568),"-")</f>
        <v>-</v>
      </c>
      <c r="AF568" s="2"/>
      <c r="AG568" s="705"/>
      <c r="AH568" s="705"/>
      <c r="AI568" s="705"/>
      <c r="AJ568" s="705"/>
      <c r="AK568" s="705"/>
      <c r="AL568" s="705"/>
      <c r="AM568" s="705"/>
      <c r="AN568" s="2"/>
      <c r="AO568" s="705">
        <f ca="1">SUMIF($AG$7:AM$7,"&lt;="&amp;$I$7,AG568:AL568)</f>
        <v>0</v>
      </c>
      <c r="AP568" s="878" t="str">
        <f ca="1">IFERROR((AO569/AO568),"-")</f>
        <v>-</v>
      </c>
      <c r="AQ568" s="2"/>
      <c r="AR568" s="705"/>
      <c r="AS568" s="705"/>
      <c r="AT568" s="705"/>
      <c r="AU568" s="705"/>
      <c r="AV568" s="705"/>
      <c r="AW568" s="705"/>
      <c r="AX568" s="705"/>
      <c r="AY568" s="2"/>
      <c r="AZ568" s="705">
        <f t="shared" si="1197"/>
        <v>0</v>
      </c>
      <c r="BA568" s="878" t="str">
        <f>IFERROR((AZ569/AZ568),"-")</f>
        <v>-</v>
      </c>
      <c r="BB568" s="2"/>
      <c r="BC568" s="705"/>
      <c r="BD568" s="705"/>
      <c r="BE568" s="705"/>
      <c r="BF568" s="705"/>
      <c r="BG568" s="705"/>
      <c r="BH568" s="705"/>
      <c r="BI568" s="705"/>
      <c r="BJ568" s="2"/>
      <c r="BK568" s="705">
        <f ca="1">SUMIF($BC$7:BI$7,"&lt;="&amp;$I$7,BC568:BH568)</f>
        <v>0</v>
      </c>
      <c r="BL568" s="878" t="str">
        <f ca="1">IFERROR((BK569/BK568),"-")</f>
        <v>-</v>
      </c>
      <c r="BM568" s="2"/>
      <c r="BN568" s="884">
        <v>0</v>
      </c>
      <c r="BO568" s="884">
        <v>0</v>
      </c>
      <c r="BP568" s="884">
        <f>SUM(M569:P569,V569:AB569,AG569:AM569,AR569:AX569,BC569:BI569)</f>
        <v>0</v>
      </c>
      <c r="BQ568" s="878" t="str">
        <f t="shared" ref="BQ568" si="1200">IFERROR((BP568/BO568),"-")</f>
        <v>-</v>
      </c>
      <c r="BR568" s="2"/>
      <c r="BS568" s="884"/>
      <c r="BT568" s="884"/>
      <c r="BU568" s="884">
        <f ca="1">E568+S569+AD569+AO569+AZ569+BK569-K569-L569</f>
        <v>0</v>
      </c>
      <c r="BV568" s="1016" t="e">
        <v>#N/A</v>
      </c>
      <c r="BW568" s="1004" t="str">
        <f ca="1">IFERROR((BU568/BV568),"-")</f>
        <v>-</v>
      </c>
      <c r="BX568" s="884">
        <v>0</v>
      </c>
      <c r="BY568" s="878" t="str">
        <f ca="1">IFERROR((BU568/BX568),"-")</f>
        <v>-</v>
      </c>
      <c r="BZ568" s="2"/>
      <c r="CA568" s="884">
        <v>0</v>
      </c>
      <c r="CB568" s="884">
        <v>0</v>
      </c>
      <c r="CC568" s="2"/>
      <c r="CD568" s="504">
        <f>IFERROR(AVERAGEIF($V$7:AB$7,"&lt;="&amp;$I$7,V568:AB568),0)</f>
        <v>0</v>
      </c>
      <c r="CH568" s="93" t="str">
        <f t="shared" si="1189"/>
        <v>Arrasamento de Estacas</v>
      </c>
    </row>
    <row r="569" spans="1:86" ht="14.65" hidden="1" customHeight="1" outlineLevel="1">
      <c r="A569" s="74"/>
      <c r="B569" s="1036"/>
      <c r="C569" s="1034"/>
      <c r="D569" s="2"/>
      <c r="E569" s="1005"/>
      <c r="F569" s="2"/>
      <c r="G569" s="50" t="s">
        <v>38</v>
      </c>
      <c r="H569" s="705">
        <f t="shared" si="1143"/>
        <v>0</v>
      </c>
      <c r="I569" s="879"/>
      <c r="J569" s="2"/>
      <c r="K569" s="86"/>
      <c r="L569" s="86"/>
      <c r="M569" s="86"/>
      <c r="N569" s="86"/>
      <c r="O569" s="86"/>
      <c r="P569" s="86"/>
      <c r="Q569" s="706"/>
      <c r="R569" s="2"/>
      <c r="S569" s="705">
        <f t="shared" si="1183"/>
        <v>0</v>
      </c>
      <c r="T569" s="879"/>
      <c r="U569" s="2"/>
      <c r="V569" s="86"/>
      <c r="W569" s="86"/>
      <c r="X569" s="86"/>
      <c r="Y569" s="86"/>
      <c r="Z569" s="86"/>
      <c r="AA569" s="86"/>
      <c r="AB569" s="706"/>
      <c r="AC569" s="2"/>
      <c r="AD569" s="705">
        <f ca="1">SUMIF($V$7:AB$7,"&lt;="&amp;$I$7,V569:AA569)</f>
        <v>0</v>
      </c>
      <c r="AE569" s="879"/>
      <c r="AF569" s="2"/>
      <c r="AG569" s="86"/>
      <c r="AH569" s="86"/>
      <c r="AI569" s="86"/>
      <c r="AJ569" s="86"/>
      <c r="AK569" s="86"/>
      <c r="AL569" s="86"/>
      <c r="AM569" s="706"/>
      <c r="AN569" s="2"/>
      <c r="AO569" s="705">
        <f ca="1">SUMIF($AG$7:AM$7,"&lt;="&amp;$I$7,AG569:AL569)</f>
        <v>0</v>
      </c>
      <c r="AP569" s="879"/>
      <c r="AQ569" s="2"/>
      <c r="AR569" s="86"/>
      <c r="AS569" s="86"/>
      <c r="AT569" s="86"/>
      <c r="AU569" s="86"/>
      <c r="AV569" s="86"/>
      <c r="AW569" s="86"/>
      <c r="AX569" s="706"/>
      <c r="AY569" s="2"/>
      <c r="AZ569" s="705">
        <f t="shared" si="1197"/>
        <v>0</v>
      </c>
      <c r="BA569" s="879"/>
      <c r="BB569" s="2"/>
      <c r="BC569" s="86"/>
      <c r="BD569" s="86"/>
      <c r="BE569" s="86"/>
      <c r="BF569" s="86"/>
      <c r="BG569" s="86"/>
      <c r="BH569" s="86"/>
      <c r="BI569" s="706"/>
      <c r="BJ569" s="2"/>
      <c r="BK569" s="705">
        <f ca="1">SUMIF($BC$7:BI$7,"&lt;="&amp;$I$7,BC569:BH569)</f>
        <v>0</v>
      </c>
      <c r="BL569" s="879"/>
      <c r="BM569" s="2"/>
      <c r="BN569" s="885"/>
      <c r="BO569" s="885"/>
      <c r="BP569" s="885"/>
      <c r="BQ569" s="879"/>
      <c r="BR569" s="2"/>
      <c r="BS569" s="885"/>
      <c r="BT569" s="885"/>
      <c r="BU569" s="885"/>
      <c r="BV569" s="1017"/>
      <c r="BW569" s="1005"/>
      <c r="BX569" s="885"/>
      <c r="BY569" s="879"/>
      <c r="BZ569" s="2"/>
      <c r="CA569" s="885"/>
      <c r="CB569" s="885"/>
      <c r="CC569" s="2"/>
      <c r="CD569" s="504">
        <f>IFERROR(AVERAGEIF($V$7:AB$7,"&lt;="&amp;$I$7,V569:AB569),0)</f>
        <v>0</v>
      </c>
      <c r="CE569" s="2"/>
      <c r="CH569" s="93" t="str">
        <f t="shared" si="1189"/>
        <v>Arrasamento de Estacas</v>
      </c>
    </row>
    <row r="570" spans="1:86" ht="14.65" hidden="1" customHeight="1" outlineLevel="1">
      <c r="A570" s="74"/>
      <c r="B570" s="1035" t="s">
        <v>4110</v>
      </c>
      <c r="C570" s="1014" t="s">
        <v>1437</v>
      </c>
      <c r="D570" s="2"/>
      <c r="E570" s="1004">
        <v>0</v>
      </c>
      <c r="F570" s="2"/>
      <c r="G570" s="49" t="s">
        <v>37</v>
      </c>
      <c r="H570" s="705">
        <f t="shared" si="1143"/>
        <v>0</v>
      </c>
      <c r="I570" s="878" t="str">
        <f t="shared" ref="I570" si="1201">IFERROR((H571/H570),"-")</f>
        <v>-</v>
      </c>
      <c r="J570" s="2"/>
      <c r="K570" s="705"/>
      <c r="L570" s="705"/>
      <c r="M570" s="705"/>
      <c r="N570" s="705"/>
      <c r="O570" s="705"/>
      <c r="P570" s="705"/>
      <c r="Q570" s="705"/>
      <c r="R570" s="2"/>
      <c r="S570" s="705">
        <f t="shared" si="1183"/>
        <v>0</v>
      </c>
      <c r="T570" s="878" t="str">
        <f>IFERROR((S571/S570),"-")</f>
        <v>-</v>
      </c>
      <c r="U570" s="2"/>
      <c r="V570" s="705"/>
      <c r="W570" s="705"/>
      <c r="X570" s="705"/>
      <c r="Y570" s="705"/>
      <c r="Z570" s="705"/>
      <c r="AA570" s="705"/>
      <c r="AB570" s="705"/>
      <c r="AC570" s="2"/>
      <c r="AD570" s="705">
        <f ca="1">SUMIF($V$7:AB$7,"&lt;="&amp;$I$7,V570:AA570)</f>
        <v>0</v>
      </c>
      <c r="AE570" s="878" t="str">
        <f ca="1">IFERROR((AD571/AD570),"-")</f>
        <v>-</v>
      </c>
      <c r="AF570" s="2"/>
      <c r="AG570" s="705"/>
      <c r="AH570" s="705"/>
      <c r="AI570" s="705"/>
      <c r="AJ570" s="705"/>
      <c r="AK570" s="705"/>
      <c r="AL570" s="705"/>
      <c r="AM570" s="705"/>
      <c r="AN570" s="2"/>
      <c r="AO570" s="705">
        <f ca="1">SUMIF($AG$7:AM$7,"&lt;="&amp;$I$7,AG570:AL570)</f>
        <v>0</v>
      </c>
      <c r="AP570" s="878" t="str">
        <f ca="1">IFERROR((AO571/AO570),"-")</f>
        <v>-</v>
      </c>
      <c r="AQ570" s="2"/>
      <c r="AR570" s="705"/>
      <c r="AS570" s="705"/>
      <c r="AT570" s="705"/>
      <c r="AU570" s="705"/>
      <c r="AV570" s="705"/>
      <c r="AW570" s="705"/>
      <c r="AX570" s="705"/>
      <c r="AY570" s="2"/>
      <c r="AZ570" s="705">
        <f t="shared" si="1197"/>
        <v>0</v>
      </c>
      <c r="BA570" s="878" t="str">
        <f>IFERROR((AZ571/AZ570),"-")</f>
        <v>-</v>
      </c>
      <c r="BB570" s="2"/>
      <c r="BC570" s="705"/>
      <c r="BD570" s="705"/>
      <c r="BE570" s="705"/>
      <c r="BF570" s="705"/>
      <c r="BG570" s="705"/>
      <c r="BH570" s="705"/>
      <c r="BI570" s="705"/>
      <c r="BJ570" s="2"/>
      <c r="BK570" s="705">
        <f ca="1">SUMIF($BC$7:BI$7,"&lt;="&amp;$I$7,BC570:BH570)</f>
        <v>0</v>
      </c>
      <c r="BL570" s="878" t="str">
        <f ca="1">IFERROR((BK571/BK570),"-")</f>
        <v>-</v>
      </c>
      <c r="BM570" s="2"/>
      <c r="BN570" s="884">
        <v>0</v>
      </c>
      <c r="BO570" s="884">
        <v>0</v>
      </c>
      <c r="BP570" s="884">
        <f>SUM(M571:P571,V571:AB571,AG571:AM571,AR571:AX571,BC571:BI571)</f>
        <v>0</v>
      </c>
      <c r="BQ570" s="878" t="str">
        <f t="shared" ref="BQ570" si="1202">IFERROR((BP570/BO570),"-")</f>
        <v>-</v>
      </c>
      <c r="BR570" s="2"/>
      <c r="BS570" s="884"/>
      <c r="BT570" s="884"/>
      <c r="BU570" s="884">
        <f ca="1">E570+S571+AD571+AO571+AZ571+BK571-K571-L571</f>
        <v>0</v>
      </c>
      <c r="BV570" s="1016" t="e">
        <v>#N/A</v>
      </c>
      <c r="BW570" s="1004" t="str">
        <f ca="1">IFERROR((BU570/BV570),"-")</f>
        <v>-</v>
      </c>
      <c r="BX570" s="884">
        <v>0</v>
      </c>
      <c r="BY570" s="878" t="str">
        <f ca="1">IFERROR((BU570/BX570),"-")</f>
        <v>-</v>
      </c>
      <c r="BZ570" s="2"/>
      <c r="CA570" s="884">
        <v>0</v>
      </c>
      <c r="CB570" s="884">
        <v>0</v>
      </c>
      <c r="CC570" s="2"/>
      <c r="CD570" s="504">
        <f>IFERROR(AVERAGEIF($V$7:AB$7,"&lt;="&amp;$I$7,V570:AB570),0)</f>
        <v>0</v>
      </c>
      <c r="CE570" s="2"/>
      <c r="CH570" s="93" t="str">
        <f t="shared" si="1189"/>
        <v xml:space="preserve">Posicionamento da aramação </v>
      </c>
    </row>
    <row r="571" spans="1:86" ht="14.65" hidden="1" customHeight="1" outlineLevel="1">
      <c r="A571" s="74"/>
      <c r="B571" s="1036"/>
      <c r="C571" s="1034"/>
      <c r="D571" s="2"/>
      <c r="E571" s="1005"/>
      <c r="F571" s="2"/>
      <c r="G571" s="50" t="s">
        <v>38</v>
      </c>
      <c r="H571" s="705">
        <f t="shared" si="1143"/>
        <v>0</v>
      </c>
      <c r="I571" s="879"/>
      <c r="J571" s="2"/>
      <c r="K571" s="86"/>
      <c r="L571" s="86"/>
      <c r="M571" s="86"/>
      <c r="N571" s="86"/>
      <c r="O571" s="86"/>
      <c r="P571" s="86"/>
      <c r="Q571" s="706"/>
      <c r="R571" s="2"/>
      <c r="S571" s="705">
        <f t="shared" si="1183"/>
        <v>0</v>
      </c>
      <c r="T571" s="879"/>
      <c r="U571" s="2"/>
      <c r="V571" s="86"/>
      <c r="W571" s="86"/>
      <c r="X571" s="86"/>
      <c r="Y571" s="86"/>
      <c r="Z571" s="86"/>
      <c r="AA571" s="86"/>
      <c r="AB571" s="706"/>
      <c r="AC571" s="2"/>
      <c r="AD571" s="705">
        <f ca="1">SUMIF($V$7:AB$7,"&lt;="&amp;$I$7,V571:AA571)</f>
        <v>0</v>
      </c>
      <c r="AE571" s="879"/>
      <c r="AF571" s="2"/>
      <c r="AG571" s="86"/>
      <c r="AH571" s="86"/>
      <c r="AI571" s="86"/>
      <c r="AJ571" s="86"/>
      <c r="AK571" s="86"/>
      <c r="AL571" s="86"/>
      <c r="AM571" s="706"/>
      <c r="AN571" s="2"/>
      <c r="AO571" s="705">
        <f ca="1">SUMIF($AG$7:AM$7,"&lt;="&amp;$I$7,AG571:AL571)</f>
        <v>0</v>
      </c>
      <c r="AP571" s="879"/>
      <c r="AQ571" s="2"/>
      <c r="AR571" s="86"/>
      <c r="AS571" s="86"/>
      <c r="AT571" s="86"/>
      <c r="AU571" s="86"/>
      <c r="AV571" s="86"/>
      <c r="AW571" s="86"/>
      <c r="AX571" s="706"/>
      <c r="AY571" s="2"/>
      <c r="AZ571" s="705">
        <f t="shared" si="1197"/>
        <v>0</v>
      </c>
      <c r="BA571" s="879"/>
      <c r="BB571" s="2"/>
      <c r="BC571" s="86"/>
      <c r="BD571" s="86"/>
      <c r="BE571" s="86"/>
      <c r="BF571" s="86"/>
      <c r="BG571" s="86"/>
      <c r="BH571" s="86"/>
      <c r="BI571" s="706"/>
      <c r="BJ571" s="2"/>
      <c r="BK571" s="705">
        <f ca="1">SUMIF($BC$7:BI$7,"&lt;="&amp;$I$7,BC571:BH571)</f>
        <v>0</v>
      </c>
      <c r="BL571" s="879"/>
      <c r="BM571" s="2"/>
      <c r="BN571" s="885"/>
      <c r="BO571" s="885"/>
      <c r="BP571" s="885"/>
      <c r="BQ571" s="879"/>
      <c r="BR571" s="2"/>
      <c r="BS571" s="885"/>
      <c r="BT571" s="885"/>
      <c r="BU571" s="885"/>
      <c r="BV571" s="1017"/>
      <c r="BW571" s="1005"/>
      <c r="BX571" s="885"/>
      <c r="BY571" s="879"/>
      <c r="BZ571" s="2"/>
      <c r="CA571" s="885"/>
      <c r="CB571" s="885"/>
      <c r="CC571" s="2"/>
      <c r="CD571" s="504">
        <f>IFERROR(AVERAGEIF($V$7:AB$7,"&lt;="&amp;$I$7,V571:AB571),0)</f>
        <v>0</v>
      </c>
      <c r="CE571" s="2"/>
      <c r="CH571" s="93" t="str">
        <f t="shared" si="1189"/>
        <v xml:space="preserve">Posicionamento da aramação </v>
      </c>
    </row>
    <row r="572" spans="1:86" ht="14.65" hidden="1" customHeight="1" outlineLevel="1">
      <c r="A572" s="74"/>
      <c r="B572" s="1035" t="s">
        <v>4111</v>
      </c>
      <c r="C572" s="1014" t="s">
        <v>1437</v>
      </c>
      <c r="D572" s="2"/>
      <c r="E572" s="1004">
        <v>0</v>
      </c>
      <c r="F572" s="2"/>
      <c r="G572" s="49" t="s">
        <v>37</v>
      </c>
      <c r="H572" s="705">
        <f t="shared" si="1143"/>
        <v>0</v>
      </c>
      <c r="I572" s="878" t="str">
        <f t="shared" ref="I572" si="1203">IFERROR((H573/H572),"-")</f>
        <v>-</v>
      </c>
      <c r="J572" s="2"/>
      <c r="K572" s="705"/>
      <c r="L572" s="705"/>
      <c r="M572" s="705"/>
      <c r="N572" s="705"/>
      <c r="O572" s="705"/>
      <c r="P572" s="705"/>
      <c r="Q572" s="705"/>
      <c r="R572" s="2"/>
      <c r="S572" s="705">
        <f t="shared" si="1183"/>
        <v>0</v>
      </c>
      <c r="T572" s="878" t="str">
        <f>IFERROR((S573/S572),"-")</f>
        <v>-</v>
      </c>
      <c r="U572" s="2"/>
      <c r="V572" s="705"/>
      <c r="W572" s="705"/>
      <c r="X572" s="705"/>
      <c r="Y572" s="705"/>
      <c r="Z572" s="705"/>
      <c r="AA572" s="705"/>
      <c r="AB572" s="705"/>
      <c r="AC572" s="2"/>
      <c r="AD572" s="705">
        <f ca="1">SUMIF($V$7:AB$7,"&lt;="&amp;$I$7,V572:AA572)</f>
        <v>0</v>
      </c>
      <c r="AE572" s="878" t="str">
        <f ca="1">IFERROR((AD573/AD572),"-")</f>
        <v>-</v>
      </c>
      <c r="AF572" s="2"/>
      <c r="AG572" s="705"/>
      <c r="AH572" s="705"/>
      <c r="AI572" s="705"/>
      <c r="AJ572" s="705"/>
      <c r="AK572" s="705"/>
      <c r="AL572" s="705"/>
      <c r="AM572" s="705"/>
      <c r="AN572" s="2"/>
      <c r="AO572" s="705">
        <f ca="1">SUMIF($AG$7:AM$7,"&lt;="&amp;$I$7,AG572:AL572)</f>
        <v>0</v>
      </c>
      <c r="AP572" s="878" t="str">
        <f ca="1">IFERROR((AO573/AO572),"-")</f>
        <v>-</v>
      </c>
      <c r="AQ572" s="2"/>
      <c r="AR572" s="705"/>
      <c r="AS572" s="705"/>
      <c r="AT572" s="705"/>
      <c r="AU572" s="705"/>
      <c r="AV572" s="705"/>
      <c r="AW572" s="705"/>
      <c r="AX572" s="705"/>
      <c r="AY572" s="2"/>
      <c r="AZ572" s="705">
        <f t="shared" si="1197"/>
        <v>0</v>
      </c>
      <c r="BA572" s="878" t="str">
        <f>IFERROR((AZ573/AZ572),"-")</f>
        <v>-</v>
      </c>
      <c r="BB572" s="2"/>
      <c r="BC572" s="705"/>
      <c r="BD572" s="705"/>
      <c r="BE572" s="705"/>
      <c r="BF572" s="705"/>
      <c r="BG572" s="705"/>
      <c r="BH572" s="705"/>
      <c r="BI572" s="705"/>
      <c r="BJ572" s="2"/>
      <c r="BK572" s="705">
        <f ca="1">SUMIF($BC$7:BI$7,"&lt;="&amp;$I$7,BC572:BH572)</f>
        <v>0</v>
      </c>
      <c r="BL572" s="878" t="str">
        <f ca="1">IFERROR((BK573/BK572),"-")</f>
        <v>-</v>
      </c>
      <c r="BM572" s="2"/>
      <c r="BN572" s="884">
        <v>0</v>
      </c>
      <c r="BO572" s="884">
        <v>0</v>
      </c>
      <c r="BP572" s="884">
        <f>SUM(M573:P573,V573:AB573,AG573:AM573,AR573:AX573,BC573:BI573)</f>
        <v>0</v>
      </c>
      <c r="BQ572" s="878" t="str">
        <f t="shared" ref="BQ572" si="1204">IFERROR((BP572/BO572),"-")</f>
        <v>-</v>
      </c>
      <c r="BR572" s="2"/>
      <c r="BS572" s="884"/>
      <c r="BT572" s="884"/>
      <c r="BU572" s="884">
        <f ca="1">E572+S573+AD573+AO573+AZ573+BK573-K573-L573</f>
        <v>0</v>
      </c>
      <c r="BV572" s="1016" t="e">
        <v>#N/A</v>
      </c>
      <c r="BW572" s="1004" t="str">
        <f ca="1">IFERROR((BU572/BV572),"-")</f>
        <v>-</v>
      </c>
      <c r="BX572" s="884">
        <v>0</v>
      </c>
      <c r="BY572" s="878" t="str">
        <f ca="1">IFERROR((BU572/BX572),"-")</f>
        <v>-</v>
      </c>
      <c r="BZ572" s="2"/>
      <c r="CA572" s="884">
        <v>0</v>
      </c>
      <c r="CB572" s="884">
        <v>0</v>
      </c>
      <c r="CC572" s="2"/>
      <c r="CD572" s="504">
        <f>IFERROR(AVERAGEIF($V$7:AB$7,"&lt;="&amp;$I$7,V572:AB572),0)</f>
        <v>0</v>
      </c>
      <c r="CE572" s="2"/>
      <c r="CH572" s="93" t="str">
        <f t="shared" si="1189"/>
        <v xml:space="preserve">Montagem da Forma </v>
      </c>
    </row>
    <row r="573" spans="1:86" ht="14.65" hidden="1" customHeight="1" outlineLevel="1">
      <c r="A573" s="74"/>
      <c r="B573" s="1036"/>
      <c r="C573" s="1034"/>
      <c r="D573" s="2"/>
      <c r="E573" s="1005"/>
      <c r="F573" s="2"/>
      <c r="G573" s="50" t="s">
        <v>38</v>
      </c>
      <c r="H573" s="705">
        <f t="shared" si="1143"/>
        <v>0</v>
      </c>
      <c r="I573" s="879"/>
      <c r="J573" s="2"/>
      <c r="K573" s="86"/>
      <c r="L573" s="86"/>
      <c r="M573" s="86"/>
      <c r="N573" s="86"/>
      <c r="O573" s="86"/>
      <c r="P573" s="86"/>
      <c r="Q573" s="706"/>
      <c r="R573" s="2"/>
      <c r="S573" s="705">
        <f t="shared" si="1183"/>
        <v>0</v>
      </c>
      <c r="T573" s="879"/>
      <c r="U573" s="2"/>
      <c r="V573" s="86"/>
      <c r="W573" s="86"/>
      <c r="X573" s="86"/>
      <c r="Y573" s="86"/>
      <c r="Z573" s="86"/>
      <c r="AA573" s="86"/>
      <c r="AB573" s="706"/>
      <c r="AC573" s="2"/>
      <c r="AD573" s="705">
        <f ca="1">SUMIF($V$7:AB$7,"&lt;="&amp;$I$7,V573:AA573)</f>
        <v>0</v>
      </c>
      <c r="AE573" s="879"/>
      <c r="AF573" s="2"/>
      <c r="AG573" s="86"/>
      <c r="AH573" s="86"/>
      <c r="AI573" s="86"/>
      <c r="AJ573" s="86"/>
      <c r="AK573" s="86"/>
      <c r="AL573" s="86"/>
      <c r="AM573" s="706"/>
      <c r="AN573" s="2"/>
      <c r="AO573" s="705">
        <f ca="1">SUMIF($AG$7:AM$7,"&lt;="&amp;$I$7,AG573:AL573)</f>
        <v>0</v>
      </c>
      <c r="AP573" s="879"/>
      <c r="AQ573" s="2"/>
      <c r="AR573" s="86"/>
      <c r="AS573" s="86"/>
      <c r="AT573" s="86"/>
      <c r="AU573" s="86"/>
      <c r="AV573" s="86"/>
      <c r="AW573" s="86"/>
      <c r="AX573" s="706"/>
      <c r="AY573" s="2"/>
      <c r="AZ573" s="705">
        <f t="shared" si="1197"/>
        <v>0</v>
      </c>
      <c r="BA573" s="879"/>
      <c r="BB573" s="2"/>
      <c r="BC573" s="86"/>
      <c r="BD573" s="86"/>
      <c r="BE573" s="86"/>
      <c r="BF573" s="86"/>
      <c r="BG573" s="86"/>
      <c r="BH573" s="86"/>
      <c r="BI573" s="706"/>
      <c r="BJ573" s="2"/>
      <c r="BK573" s="705">
        <f ca="1">SUMIF($BC$7:BI$7,"&lt;="&amp;$I$7,BC573:BH573)</f>
        <v>0</v>
      </c>
      <c r="BL573" s="879"/>
      <c r="BM573" s="2"/>
      <c r="BN573" s="885"/>
      <c r="BO573" s="885"/>
      <c r="BP573" s="885"/>
      <c r="BQ573" s="879"/>
      <c r="BR573" s="2"/>
      <c r="BS573" s="885"/>
      <c r="BT573" s="885"/>
      <c r="BU573" s="885"/>
      <c r="BV573" s="1017"/>
      <c r="BW573" s="1005"/>
      <c r="BX573" s="885"/>
      <c r="BY573" s="879"/>
      <c r="BZ573" s="2"/>
      <c r="CA573" s="885"/>
      <c r="CB573" s="885"/>
      <c r="CC573" s="2"/>
      <c r="CD573" s="504">
        <f>IFERROR(AVERAGEIF($V$7:AB$7,"&lt;="&amp;$I$7,V573:AB573),0)</f>
        <v>0</v>
      </c>
      <c r="CE573" s="2"/>
      <c r="CH573" s="93" t="str">
        <f t="shared" si="1189"/>
        <v xml:space="preserve">Montagem da Forma </v>
      </c>
    </row>
    <row r="574" spans="1:86" ht="14.65" hidden="1" customHeight="1" outlineLevel="1">
      <c r="A574" s="74"/>
      <c r="B574" s="1035" t="s">
        <v>4112</v>
      </c>
      <c r="C574" s="1014" t="s">
        <v>1437</v>
      </c>
      <c r="D574" s="2"/>
      <c r="E574" s="1004">
        <v>0</v>
      </c>
      <c r="F574" s="2"/>
      <c r="G574" s="49" t="s">
        <v>37</v>
      </c>
      <c r="H574" s="705">
        <f t="shared" si="1143"/>
        <v>0</v>
      </c>
      <c r="I574" s="878" t="str">
        <f t="shared" ref="I574" si="1205">IFERROR((H575/H574),"-")</f>
        <v>-</v>
      </c>
      <c r="J574" s="2"/>
      <c r="K574" s="705"/>
      <c r="L574" s="705"/>
      <c r="M574" s="705"/>
      <c r="N574" s="705"/>
      <c r="O574" s="705"/>
      <c r="P574" s="705"/>
      <c r="Q574" s="705"/>
      <c r="R574" s="2"/>
      <c r="S574" s="705">
        <f t="shared" si="1183"/>
        <v>0</v>
      </c>
      <c r="T574" s="878" t="str">
        <f>IFERROR((S575/S574),"-")</f>
        <v>-</v>
      </c>
      <c r="U574" s="2"/>
      <c r="V574" s="705"/>
      <c r="W574" s="705"/>
      <c r="X574" s="705"/>
      <c r="Y574" s="705"/>
      <c r="Z574" s="705"/>
      <c r="AA574" s="705"/>
      <c r="AB574" s="705"/>
      <c r="AC574" s="2"/>
      <c r="AD574" s="705">
        <f ca="1">SUMIF($V$7:AB$7,"&lt;="&amp;$I$7,V574:AA574)</f>
        <v>0</v>
      </c>
      <c r="AE574" s="878" t="str">
        <f ca="1">IFERROR((AD575/AD574),"-")</f>
        <v>-</v>
      </c>
      <c r="AF574" s="2"/>
      <c r="AG574" s="705"/>
      <c r="AH574" s="705"/>
      <c r="AI574" s="705"/>
      <c r="AJ574" s="705"/>
      <c r="AK574" s="705"/>
      <c r="AL574" s="705"/>
      <c r="AM574" s="705"/>
      <c r="AN574" s="2"/>
      <c r="AO574" s="705">
        <f ca="1">SUMIF($AG$7:AM$7,"&lt;="&amp;$I$7,AG574:AL574)</f>
        <v>0</v>
      </c>
      <c r="AP574" s="878" t="str">
        <f ca="1">IFERROR((AO575/AO574),"-")</f>
        <v>-</v>
      </c>
      <c r="AQ574" s="2"/>
      <c r="AR574" s="705"/>
      <c r="AS574" s="705"/>
      <c r="AT574" s="705"/>
      <c r="AU574" s="705"/>
      <c r="AV574" s="705"/>
      <c r="AW574" s="705"/>
      <c r="AX574" s="705"/>
      <c r="AY574" s="2"/>
      <c r="AZ574" s="705">
        <f t="shared" si="1197"/>
        <v>0</v>
      </c>
      <c r="BA574" s="878" t="str">
        <f>IFERROR((AZ575/AZ574),"-")</f>
        <v>-</v>
      </c>
      <c r="BB574" s="2"/>
      <c r="BC574" s="705"/>
      <c r="BD574" s="705"/>
      <c r="BE574" s="705"/>
      <c r="BF574" s="705"/>
      <c r="BG574" s="705"/>
      <c r="BH574" s="705"/>
      <c r="BI574" s="705"/>
      <c r="BJ574" s="2"/>
      <c r="BK574" s="705">
        <f ca="1">SUMIF($BC$7:BI$7,"&lt;="&amp;$I$7,BC574:BH574)</f>
        <v>0</v>
      </c>
      <c r="BL574" s="878" t="str">
        <f ca="1">IFERROR((BK575/BK574),"-")</f>
        <v>-</v>
      </c>
      <c r="BM574" s="2"/>
      <c r="BN574" s="884">
        <v>0</v>
      </c>
      <c r="BO574" s="884">
        <v>0</v>
      </c>
      <c r="BP574" s="884">
        <f>SUM(M575:P575,V575:AB575,AG575:AM575,AR575:AX575,BC575:BI575)</f>
        <v>0</v>
      </c>
      <c r="BQ574" s="878" t="str">
        <f t="shared" ref="BQ574" si="1206">IFERROR((BP574/BO574),"-")</f>
        <v>-</v>
      </c>
      <c r="BR574" s="2"/>
      <c r="BS574" s="884"/>
      <c r="BT574" s="884"/>
      <c r="BU574" s="884">
        <f ca="1">E574+S575+AD575+AO575+AZ575+BK575-K575-L575</f>
        <v>0</v>
      </c>
      <c r="BV574" s="1016" t="e">
        <v>#N/A</v>
      </c>
      <c r="BW574" s="1004" t="str">
        <f ca="1">IFERROR((BU574/BV574),"-")</f>
        <v>-</v>
      </c>
      <c r="BX574" s="884">
        <v>0</v>
      </c>
      <c r="BY574" s="878" t="str">
        <f ca="1">IFERROR((BU574/BX574),"-")</f>
        <v>-</v>
      </c>
      <c r="BZ574" s="2"/>
      <c r="CA574" s="884">
        <v>0</v>
      </c>
      <c r="CB574" s="884">
        <v>0</v>
      </c>
      <c r="CC574" s="2"/>
      <c r="CD574" s="504">
        <f>IFERROR(AVERAGEIF($V$7:AB$7,"&lt;="&amp;$I$7,V574:AB574),0)</f>
        <v>0</v>
      </c>
      <c r="CE574" s="2"/>
      <c r="CH574" s="93" t="str">
        <f t="shared" si="1189"/>
        <v xml:space="preserve">Concretagem </v>
      </c>
    </row>
    <row r="575" spans="1:86" ht="15.95" hidden="1" customHeight="1" outlineLevel="1">
      <c r="A575" s="74"/>
      <c r="B575" s="1036"/>
      <c r="C575" s="1034"/>
      <c r="D575" s="2"/>
      <c r="E575" s="1005"/>
      <c r="F575" s="2"/>
      <c r="G575" s="50" t="s">
        <v>38</v>
      </c>
      <c r="H575" s="705">
        <f t="shared" si="1143"/>
        <v>0</v>
      </c>
      <c r="I575" s="879"/>
      <c r="J575" s="2"/>
      <c r="K575" s="86"/>
      <c r="L575" s="86"/>
      <c r="M575" s="86"/>
      <c r="N575" s="86"/>
      <c r="O575" s="86"/>
      <c r="P575" s="86"/>
      <c r="Q575" s="706"/>
      <c r="R575" s="2"/>
      <c r="S575" s="705">
        <f t="shared" si="1183"/>
        <v>0</v>
      </c>
      <c r="T575" s="879"/>
      <c r="U575" s="2"/>
      <c r="V575" s="86"/>
      <c r="W575" s="86"/>
      <c r="X575" s="86"/>
      <c r="Y575" s="86"/>
      <c r="Z575" s="86"/>
      <c r="AA575" s="86"/>
      <c r="AB575" s="706"/>
      <c r="AC575" s="2"/>
      <c r="AD575" s="705">
        <f ca="1">SUMIF($V$7:AB$7,"&lt;="&amp;$I$7,V575:AA575)</f>
        <v>0</v>
      </c>
      <c r="AE575" s="879"/>
      <c r="AF575" s="2"/>
      <c r="AG575" s="86"/>
      <c r="AH575" s="86"/>
      <c r="AI575" s="86"/>
      <c r="AJ575" s="86"/>
      <c r="AK575" s="86"/>
      <c r="AL575" s="86"/>
      <c r="AM575" s="706"/>
      <c r="AN575" s="2"/>
      <c r="AO575" s="705">
        <f ca="1">SUMIF($AG$7:AM$7,"&lt;="&amp;$I$7,AG575:AL575)</f>
        <v>0</v>
      </c>
      <c r="AP575" s="879"/>
      <c r="AQ575" s="2"/>
      <c r="AR575" s="86"/>
      <c r="AS575" s="86"/>
      <c r="AT575" s="86"/>
      <c r="AU575" s="86"/>
      <c r="AV575" s="86"/>
      <c r="AW575" s="86"/>
      <c r="AX575" s="706"/>
      <c r="AY575" s="2"/>
      <c r="AZ575" s="705">
        <f t="shared" si="1197"/>
        <v>0</v>
      </c>
      <c r="BA575" s="879"/>
      <c r="BB575" s="2"/>
      <c r="BC575" s="86"/>
      <c r="BD575" s="86"/>
      <c r="BE575" s="86"/>
      <c r="BF575" s="86"/>
      <c r="BG575" s="86"/>
      <c r="BH575" s="86"/>
      <c r="BI575" s="706"/>
      <c r="BJ575" s="2"/>
      <c r="BK575" s="705">
        <f ca="1">SUMIF($BC$7:BI$7,"&lt;="&amp;$I$7,BC575:BH575)</f>
        <v>0</v>
      </c>
      <c r="BL575" s="879"/>
      <c r="BM575" s="2"/>
      <c r="BN575" s="885"/>
      <c r="BO575" s="885"/>
      <c r="BP575" s="885"/>
      <c r="BQ575" s="879"/>
      <c r="BR575" s="2"/>
      <c r="BS575" s="885"/>
      <c r="BT575" s="885"/>
      <c r="BU575" s="885"/>
      <c r="BV575" s="1017"/>
      <c r="BW575" s="1005"/>
      <c r="BX575" s="885"/>
      <c r="BY575" s="879"/>
      <c r="BZ575" s="2"/>
      <c r="CA575" s="885"/>
      <c r="CB575" s="885"/>
      <c r="CC575" s="2"/>
      <c r="CD575" s="504">
        <f>IFERROR(AVERAGEIF($V$7:AB$7,"&lt;="&amp;$I$7,V575:AB575),0)</f>
        <v>0</v>
      </c>
      <c r="CE575" s="2"/>
      <c r="CH575" s="93" t="str">
        <f t="shared" si="1189"/>
        <v xml:space="preserve">Concretagem </v>
      </c>
    </row>
    <row r="576" spans="1:86" ht="15.95" hidden="1" customHeight="1" outlineLevel="1">
      <c r="A576" s="74"/>
      <c r="B576" s="1039" t="s">
        <v>4113</v>
      </c>
      <c r="C576" s="1014" t="s">
        <v>1437</v>
      </c>
      <c r="D576" s="2"/>
      <c r="E576" s="1004">
        <v>0</v>
      </c>
      <c r="F576" s="2"/>
      <c r="G576" s="49" t="s">
        <v>37</v>
      </c>
      <c r="H576" s="705">
        <f t="shared" si="1143"/>
        <v>0</v>
      </c>
      <c r="I576" s="878" t="str">
        <f t="shared" ref="I576" si="1207">IFERROR((H577/H576),"-")</f>
        <v>-</v>
      </c>
      <c r="J576" s="2"/>
      <c r="K576" s="705"/>
      <c r="L576" s="705"/>
      <c r="M576" s="705"/>
      <c r="N576" s="705"/>
      <c r="O576" s="705"/>
      <c r="P576" s="705"/>
      <c r="Q576" s="705"/>
      <c r="R576" s="2"/>
      <c r="S576" s="705">
        <f t="shared" si="1183"/>
        <v>0</v>
      </c>
      <c r="T576" s="878" t="str">
        <f>IFERROR((S577/S576),"-")</f>
        <v>-</v>
      </c>
      <c r="U576" s="2"/>
      <c r="V576" s="705"/>
      <c r="W576" s="705"/>
      <c r="X576" s="705"/>
      <c r="Y576" s="705"/>
      <c r="Z576" s="705"/>
      <c r="AA576" s="705"/>
      <c r="AB576" s="705"/>
      <c r="AC576" s="2"/>
      <c r="AD576" s="705">
        <f ca="1">SUMIF($V$7:AB$7,"&lt;="&amp;$I$7,V576:AA576)</f>
        <v>0</v>
      </c>
      <c r="AE576" s="878" t="str">
        <f ca="1">IFERROR((AD577/AD576),"-")</f>
        <v>-</v>
      </c>
      <c r="AF576" s="2"/>
      <c r="AG576" s="705"/>
      <c r="AH576" s="705"/>
      <c r="AI576" s="705"/>
      <c r="AJ576" s="705"/>
      <c r="AK576" s="705"/>
      <c r="AL576" s="705"/>
      <c r="AM576" s="705"/>
      <c r="AN576" s="2"/>
      <c r="AO576" s="705">
        <f ca="1">SUMIF($AG$7:AM$7,"&lt;="&amp;$I$7,AG576:AL576)</f>
        <v>0</v>
      </c>
      <c r="AP576" s="878" t="str">
        <f ca="1">IFERROR((AO577/AO576),"-")</f>
        <v>-</v>
      </c>
      <c r="AQ576" s="2"/>
      <c r="AR576" s="705"/>
      <c r="AS576" s="705"/>
      <c r="AT576" s="705"/>
      <c r="AU576" s="705"/>
      <c r="AV576" s="705"/>
      <c r="AW576" s="705"/>
      <c r="AX576" s="705"/>
      <c r="AY576" s="2"/>
      <c r="AZ576" s="705">
        <f ca="1">SUMIF($AR$7:AX$7,"&lt;="&amp;$I$7,AR576:AW576)</f>
        <v>0</v>
      </c>
      <c r="BA576" s="878" t="str">
        <f ca="1">IFERROR((AZ577/AZ576),"-")</f>
        <v>-</v>
      </c>
      <c r="BB576" s="2"/>
      <c r="BC576" s="705"/>
      <c r="BD576" s="705"/>
      <c r="BE576" s="705"/>
      <c r="BF576" s="705"/>
      <c r="BG576" s="705"/>
      <c r="BH576" s="705"/>
      <c r="BI576" s="705"/>
      <c r="BJ576" s="2"/>
      <c r="BK576" s="705">
        <f ca="1">SUMIF($BC$7:BI$7,"&lt;="&amp;$I$7,BC576:BH576)</f>
        <v>0</v>
      </c>
      <c r="BL576" s="878" t="str">
        <f ca="1">IFERROR((BK577/BK576),"-")</f>
        <v>-</v>
      </c>
      <c r="BM576" s="2"/>
      <c r="BN576" s="884">
        <v>0</v>
      </c>
      <c r="BO576" s="884">
        <v>0</v>
      </c>
      <c r="BP576" s="884">
        <f>SUM(M577:P577,V577:AB577,AG577:AM577,AR577:AX577,BC577:BI577)</f>
        <v>0</v>
      </c>
      <c r="BQ576" s="878" t="str">
        <f t="shared" ref="BQ576" si="1208">IFERROR((BP576/BO576),"-")</f>
        <v>-</v>
      </c>
      <c r="BR576" s="2"/>
      <c r="BS576" s="884"/>
      <c r="BT576" s="884"/>
      <c r="BU576" s="884">
        <f ca="1">E576+S577+AD577+AO577+AZ577+BK577-K577-L577</f>
        <v>0</v>
      </c>
      <c r="BV576" s="884">
        <v>106</v>
      </c>
      <c r="BW576" s="1004">
        <f ca="1">IFERROR((BU576/BV576),"-")</f>
        <v>0</v>
      </c>
      <c r="BX576" s="884">
        <v>0</v>
      </c>
      <c r="BY576" s="878" t="str">
        <f ca="1">IFERROR((BU576/BX576),"-")</f>
        <v>-</v>
      </c>
      <c r="BZ576" s="2"/>
      <c r="CA576" s="884">
        <v>0</v>
      </c>
      <c r="CB576" s="884">
        <v>0</v>
      </c>
      <c r="CC576" s="2"/>
      <c r="CD576" s="504">
        <f>IFERROR(AVERAGEIF($V$7:AB$7,"&lt;="&amp;$I$7,V576:AB576),0)</f>
        <v>0</v>
      </c>
      <c r="CE576" s="2"/>
      <c r="CH576" s="93" t="str">
        <f t="shared" si="1189"/>
        <v>BLOCOS P1</v>
      </c>
    </row>
    <row r="577" spans="1:86" ht="15.95" hidden="1" customHeight="1" outlineLevel="1">
      <c r="A577" s="74"/>
      <c r="B577" s="1040"/>
      <c r="C577" s="1034"/>
      <c r="D577" s="2"/>
      <c r="E577" s="1005"/>
      <c r="F577" s="2"/>
      <c r="G577" s="50" t="s">
        <v>38</v>
      </c>
      <c r="H577" s="705">
        <f t="shared" si="1143"/>
        <v>0</v>
      </c>
      <c r="I577" s="879"/>
      <c r="J577" s="2"/>
      <c r="K577" s="86"/>
      <c r="L577" s="86"/>
      <c r="M577" s="86"/>
      <c r="N577" s="86"/>
      <c r="O577" s="86"/>
      <c r="P577" s="86"/>
      <c r="Q577" s="706"/>
      <c r="R577" s="2"/>
      <c r="S577" s="705">
        <f t="shared" si="1183"/>
        <v>0</v>
      </c>
      <c r="T577" s="879"/>
      <c r="U577" s="2"/>
      <c r="V577" s="86"/>
      <c r="W577" s="86"/>
      <c r="X577" s="86"/>
      <c r="Y577" s="86"/>
      <c r="Z577" s="86"/>
      <c r="AA577" s="86"/>
      <c r="AB577" s="706"/>
      <c r="AC577" s="2"/>
      <c r="AD577" s="705">
        <f ca="1">SUMIF($V$7:AB$7,"&lt;="&amp;$I$7,V577:AA577)</f>
        <v>0</v>
      </c>
      <c r="AE577" s="879"/>
      <c r="AF577" s="2"/>
      <c r="AG577" s="86"/>
      <c r="AH577" s="86"/>
      <c r="AI577" s="86"/>
      <c r="AJ577" s="86"/>
      <c r="AK577" s="86"/>
      <c r="AL577" s="86"/>
      <c r="AM577" s="706"/>
      <c r="AN577" s="2"/>
      <c r="AO577" s="705">
        <f ca="1">SUMIF($AG$7:AM$7,"&lt;="&amp;$I$7,AG577:AL577)</f>
        <v>0</v>
      </c>
      <c r="AP577" s="879"/>
      <c r="AQ577" s="2"/>
      <c r="AR577" s="86"/>
      <c r="AS577" s="86"/>
      <c r="AT577" s="86"/>
      <c r="AU577" s="86"/>
      <c r="AV577" s="86"/>
      <c r="AW577" s="86"/>
      <c r="AX577" s="706"/>
      <c r="AY577" s="2"/>
      <c r="AZ577" s="705">
        <f ca="1">SUMIF($AR$7:AX$7,"&lt;="&amp;$I$7,AR577:AW577)</f>
        <v>0</v>
      </c>
      <c r="BA577" s="879"/>
      <c r="BB577" s="2"/>
      <c r="BC577" s="86"/>
      <c r="BD577" s="86"/>
      <c r="BE577" s="86"/>
      <c r="BF577" s="86"/>
      <c r="BG577" s="86"/>
      <c r="BH577" s="86"/>
      <c r="BI577" s="706"/>
      <c r="BJ577" s="2"/>
      <c r="BK577" s="705">
        <f ca="1">SUMIF($BC$7:BI$7,"&lt;="&amp;$I$7,BC577:BH577)</f>
        <v>0</v>
      </c>
      <c r="BL577" s="879"/>
      <c r="BM577" s="2"/>
      <c r="BN577" s="885"/>
      <c r="BO577" s="885"/>
      <c r="BP577" s="885"/>
      <c r="BQ577" s="879"/>
      <c r="BR577" s="2"/>
      <c r="BS577" s="885"/>
      <c r="BT577" s="885"/>
      <c r="BU577" s="885"/>
      <c r="BV577" s="885"/>
      <c r="BW577" s="1005"/>
      <c r="BX577" s="885"/>
      <c r="BY577" s="879"/>
      <c r="BZ577" s="2"/>
      <c r="CA577" s="885"/>
      <c r="CB577" s="885"/>
      <c r="CC577" s="2"/>
      <c r="CD577" s="504">
        <f>IFERROR(AVERAGEIF($V$7:AB$7,"&lt;="&amp;$I$7,V577:AB577),0)</f>
        <v>0</v>
      </c>
      <c r="CE577" s="2"/>
      <c r="CH577" s="93" t="str">
        <f t="shared" si="1189"/>
        <v>BLOCOS P1</v>
      </c>
    </row>
    <row r="578" spans="1:86" ht="15.95" hidden="1" customHeight="1" outlineLevel="1">
      <c r="A578" s="74"/>
      <c r="B578" s="1035" t="s">
        <v>4109</v>
      </c>
      <c r="C578" s="1014" t="s">
        <v>1437</v>
      </c>
      <c r="D578" s="2"/>
      <c r="E578" s="1004">
        <v>0</v>
      </c>
      <c r="F578" s="2"/>
      <c r="G578" s="49" t="s">
        <v>37</v>
      </c>
      <c r="H578" s="705">
        <f t="shared" si="1143"/>
        <v>0</v>
      </c>
      <c r="I578" s="878" t="str">
        <f t="shared" ref="I578" si="1209">IFERROR((H579/H578),"-")</f>
        <v>-</v>
      </c>
      <c r="J578" s="2"/>
      <c r="K578" s="705"/>
      <c r="L578" s="705"/>
      <c r="M578" s="705"/>
      <c r="N578" s="705"/>
      <c r="O578" s="705"/>
      <c r="P578" s="705"/>
      <c r="Q578" s="705"/>
      <c r="R578" s="2"/>
      <c r="S578" s="705">
        <f t="shared" si="1183"/>
        <v>0</v>
      </c>
      <c r="T578" s="878" t="str">
        <f>IFERROR((S579/S578),"-")</f>
        <v>-</v>
      </c>
      <c r="U578" s="2"/>
      <c r="V578" s="705"/>
      <c r="W578" s="705"/>
      <c r="X578" s="705"/>
      <c r="Y578" s="705"/>
      <c r="Z578" s="705"/>
      <c r="AA578" s="705"/>
      <c r="AB578" s="705"/>
      <c r="AC578" s="2"/>
      <c r="AD578" s="705">
        <f ca="1">SUMIF($V$7:AB$7,"&lt;="&amp;$I$7,V578:AA578)</f>
        <v>0</v>
      </c>
      <c r="AE578" s="878" t="str">
        <f ca="1">IFERROR((AD579/AD578),"-")</f>
        <v>-</v>
      </c>
      <c r="AF578" s="2"/>
      <c r="AG578" s="705"/>
      <c r="AH578" s="705"/>
      <c r="AI578" s="705"/>
      <c r="AJ578" s="705"/>
      <c r="AK578" s="705"/>
      <c r="AL578" s="705"/>
      <c r="AM578" s="705"/>
      <c r="AN578" s="2"/>
      <c r="AO578" s="705">
        <f ca="1">SUMIF($AG$7:AM$7,"&lt;="&amp;$I$7,AG578:AL578)</f>
        <v>0</v>
      </c>
      <c r="AP578" s="878" t="str">
        <f ca="1">IFERROR((AO579/AO578),"-")</f>
        <v>-</v>
      </c>
      <c r="AQ578" s="2"/>
      <c r="AR578" s="705"/>
      <c r="AS578" s="705"/>
      <c r="AT578" s="705"/>
      <c r="AU578" s="705"/>
      <c r="AV578" s="705"/>
      <c r="AW578" s="705"/>
      <c r="AX578" s="705"/>
      <c r="AY578" s="2"/>
      <c r="AZ578" s="705">
        <f ca="1">SUMIF($AR$7:AX$7,"&lt;="&amp;$I$7,AR578:AW578)</f>
        <v>0</v>
      </c>
      <c r="BA578" s="878" t="str">
        <f ca="1">IFERROR((AZ579/AZ578),"-")</f>
        <v>-</v>
      </c>
      <c r="BB578" s="2"/>
      <c r="BC578" s="705"/>
      <c r="BD578" s="705"/>
      <c r="BE578" s="705"/>
      <c r="BF578" s="705"/>
      <c r="BG578" s="705"/>
      <c r="BH578" s="705"/>
      <c r="BI578" s="705"/>
      <c r="BJ578" s="2"/>
      <c r="BK578" s="705">
        <f ca="1">SUMIF($AR$7:BI$7,"&lt;="&amp;$I$7,BC578:BH578)</f>
        <v>0</v>
      </c>
      <c r="BL578" s="878" t="str">
        <f ca="1">IFERROR((BK579/BK578),"-")</f>
        <v>-</v>
      </c>
      <c r="BM578" s="2"/>
      <c r="BN578" s="884">
        <v>0</v>
      </c>
      <c r="BO578" s="884">
        <v>0</v>
      </c>
      <c r="BP578" s="884">
        <f>SUM(M579:P579,V579:AB579,AG579:AM579,AR579:AX579,BC579:BI579)</f>
        <v>0</v>
      </c>
      <c r="BQ578" s="878" t="str">
        <f t="shared" ref="BQ578" si="1210">IFERROR((BP578/BO578),"-")</f>
        <v>-</v>
      </c>
      <c r="BR578" s="2"/>
      <c r="BS578" s="884"/>
      <c r="BT578" s="884"/>
      <c r="BU578" s="884">
        <f ca="1">E578+S579+AD579+AO579+AZ579+BK579-K579-L579</f>
        <v>0</v>
      </c>
      <c r="BV578" s="884">
        <v>106</v>
      </c>
      <c r="BW578" s="1004">
        <f ca="1">IFERROR((BU578/BV578),"-")</f>
        <v>0</v>
      </c>
      <c r="BX578" s="884">
        <v>0</v>
      </c>
      <c r="BY578" s="878" t="str">
        <f ca="1">IFERROR((BU578/BX578),"-")</f>
        <v>-</v>
      </c>
      <c r="BZ578" s="2"/>
      <c r="CA578" s="884">
        <v>0</v>
      </c>
      <c r="CB578" s="884">
        <v>0</v>
      </c>
      <c r="CC578" s="2"/>
      <c r="CD578" s="504">
        <f>IFERROR(AVERAGEIF($V$7:AB$7,"&lt;="&amp;$I$7,V578:AB578),0)</f>
        <v>0</v>
      </c>
      <c r="CE578" s="2"/>
      <c r="CH578" s="93" t="str">
        <f t="shared" si="1189"/>
        <v>Concreto Magro</v>
      </c>
    </row>
    <row r="579" spans="1:86" ht="15.95" hidden="1" customHeight="1" outlineLevel="1">
      <c r="A579" s="74"/>
      <c r="B579" s="1036"/>
      <c r="C579" s="1034"/>
      <c r="D579" s="2"/>
      <c r="E579" s="1005"/>
      <c r="F579" s="2"/>
      <c r="G579" s="50" t="s">
        <v>38</v>
      </c>
      <c r="H579" s="705">
        <f t="shared" si="1143"/>
        <v>0</v>
      </c>
      <c r="I579" s="879"/>
      <c r="J579" s="2"/>
      <c r="K579" s="86"/>
      <c r="L579" s="86"/>
      <c r="M579" s="86"/>
      <c r="N579" s="86"/>
      <c r="O579" s="86"/>
      <c r="P579" s="86"/>
      <c r="Q579" s="706"/>
      <c r="R579" s="2"/>
      <c r="S579" s="705">
        <f t="shared" si="1183"/>
        <v>0</v>
      </c>
      <c r="T579" s="879"/>
      <c r="U579" s="2"/>
      <c r="V579" s="86"/>
      <c r="W579" s="86"/>
      <c r="X579" s="86"/>
      <c r="Y579" s="86"/>
      <c r="Z579" s="86"/>
      <c r="AA579" s="86"/>
      <c r="AB579" s="706"/>
      <c r="AC579" s="2"/>
      <c r="AD579" s="705">
        <f ca="1">SUMIF($V$7:AB$7,"&lt;="&amp;$I$7,V579:AA579)</f>
        <v>0</v>
      </c>
      <c r="AE579" s="879"/>
      <c r="AF579" s="2"/>
      <c r="AG579" s="86"/>
      <c r="AH579" s="86"/>
      <c r="AI579" s="86"/>
      <c r="AJ579" s="86"/>
      <c r="AK579" s="86"/>
      <c r="AL579" s="86"/>
      <c r="AM579" s="706"/>
      <c r="AN579" s="2"/>
      <c r="AO579" s="705">
        <f ca="1">SUMIF($AG$7:AM$7,"&lt;="&amp;$I$7,AG579:AL579)</f>
        <v>0</v>
      </c>
      <c r="AP579" s="879"/>
      <c r="AQ579" s="2"/>
      <c r="AR579" s="86"/>
      <c r="AS579" s="86"/>
      <c r="AT579" s="86"/>
      <c r="AU579" s="86"/>
      <c r="AV579" s="86"/>
      <c r="AW579" s="86"/>
      <c r="AX579" s="706"/>
      <c r="AY579" s="2"/>
      <c r="AZ579" s="705">
        <f ca="1">SUMIF($AR$7:AX$7,"&lt;="&amp;$I$7,AR579:AW579)</f>
        <v>0</v>
      </c>
      <c r="BA579" s="879"/>
      <c r="BB579" s="2"/>
      <c r="BC579" s="86"/>
      <c r="BD579" s="86"/>
      <c r="BE579" s="86"/>
      <c r="BF579" s="86"/>
      <c r="BG579" s="86"/>
      <c r="BH579" s="86"/>
      <c r="BI579" s="706"/>
      <c r="BJ579" s="2"/>
      <c r="BK579" s="705">
        <f ca="1">SUMIF($AR$7:BI$7,"&lt;="&amp;$I$7,BC579:BH579)</f>
        <v>0</v>
      </c>
      <c r="BL579" s="879"/>
      <c r="BM579" s="2"/>
      <c r="BN579" s="885"/>
      <c r="BO579" s="885"/>
      <c r="BP579" s="885"/>
      <c r="BQ579" s="879"/>
      <c r="BR579" s="2"/>
      <c r="BS579" s="885"/>
      <c r="BT579" s="885"/>
      <c r="BU579" s="885"/>
      <c r="BV579" s="885"/>
      <c r="BW579" s="1005"/>
      <c r="BX579" s="885"/>
      <c r="BY579" s="879"/>
      <c r="BZ579" s="2"/>
      <c r="CA579" s="885"/>
      <c r="CB579" s="885"/>
      <c r="CC579" s="2"/>
      <c r="CD579" s="504">
        <f>IFERROR(AVERAGEIF($V$7:AB$7,"&lt;="&amp;$I$7,V579:AB579),0)</f>
        <v>0</v>
      </c>
      <c r="CE579" s="2"/>
      <c r="CH579" s="93" t="str">
        <f t="shared" si="1189"/>
        <v>Concreto Magro</v>
      </c>
    </row>
    <row r="580" spans="1:86" ht="15.95" hidden="1" customHeight="1" outlineLevel="1">
      <c r="A580" s="74"/>
      <c r="B580" s="1035" t="s">
        <v>4003</v>
      </c>
      <c r="C580" s="1014" t="s">
        <v>1437</v>
      </c>
      <c r="D580" s="2"/>
      <c r="E580" s="1004">
        <v>0</v>
      </c>
      <c r="F580" s="2"/>
      <c r="G580" s="49" t="s">
        <v>37</v>
      </c>
      <c r="H580" s="705">
        <f t="shared" si="1143"/>
        <v>0</v>
      </c>
      <c r="I580" s="878" t="str">
        <f t="shared" ref="I580" si="1211">IFERROR((H581/H580),"-")</f>
        <v>-</v>
      </c>
      <c r="J580" s="2"/>
      <c r="K580" s="705"/>
      <c r="L580" s="705"/>
      <c r="M580" s="705"/>
      <c r="N580" s="705"/>
      <c r="O580" s="705"/>
      <c r="P580" s="705"/>
      <c r="Q580" s="705"/>
      <c r="R580" s="2"/>
      <c r="S580" s="705">
        <f t="shared" si="1183"/>
        <v>0</v>
      </c>
      <c r="T580" s="878" t="str">
        <f>IFERROR((S581/S580),"-")</f>
        <v>-</v>
      </c>
      <c r="U580" s="2"/>
      <c r="V580" s="705"/>
      <c r="W580" s="705"/>
      <c r="X580" s="705"/>
      <c r="Y580" s="705"/>
      <c r="Z580" s="705"/>
      <c r="AA580" s="705"/>
      <c r="AB580" s="705"/>
      <c r="AC580" s="2"/>
      <c r="AD580" s="705">
        <f ca="1">SUMIF($V$7:AB$7,"&lt;="&amp;$I$7,V580:AA580)</f>
        <v>0</v>
      </c>
      <c r="AE580" s="878" t="str">
        <f ca="1">IFERROR((AD581/AD580),"-")</f>
        <v>-</v>
      </c>
      <c r="AF580" s="2"/>
      <c r="AG580" s="705"/>
      <c r="AH580" s="705"/>
      <c r="AI580" s="705"/>
      <c r="AJ580" s="705"/>
      <c r="AK580" s="705"/>
      <c r="AL580" s="705"/>
      <c r="AM580" s="705"/>
      <c r="AN580" s="2"/>
      <c r="AO580" s="705">
        <f ca="1">SUMIF($AG$7:AM$7,"&lt;="&amp;$I$7,AG580:AL580)</f>
        <v>0</v>
      </c>
      <c r="AP580" s="878" t="str">
        <f ca="1">IFERROR((AO581/AO580),"-")</f>
        <v>-</v>
      </c>
      <c r="AQ580" s="2"/>
      <c r="AR580" s="705"/>
      <c r="AS580" s="705"/>
      <c r="AT580" s="705"/>
      <c r="AU580" s="705"/>
      <c r="AV580" s="705"/>
      <c r="AW580" s="705"/>
      <c r="AX580" s="705"/>
      <c r="AY580" s="2"/>
      <c r="AZ580" s="705">
        <f ca="1">SUMIF($AR$7:AX$7,"&lt;="&amp;$I$7,AR580:AW580)</f>
        <v>0</v>
      </c>
      <c r="BA580" s="878" t="str">
        <f ca="1">IFERROR((AZ581/AZ580),"-")</f>
        <v>-</v>
      </c>
      <c r="BB580" s="2"/>
      <c r="BC580" s="705"/>
      <c r="BD580" s="705"/>
      <c r="BE580" s="705"/>
      <c r="BF580" s="705"/>
      <c r="BG580" s="705"/>
      <c r="BH580" s="705"/>
      <c r="BI580" s="705"/>
      <c r="BJ580" s="2"/>
      <c r="BK580" s="705">
        <f ca="1">SUMIF($AR$7:BI$7,"&lt;="&amp;$I$7,BC580:BH580)</f>
        <v>0</v>
      </c>
      <c r="BL580" s="878" t="str">
        <f ca="1">IFERROR((BK581/BK580),"-")</f>
        <v>-</v>
      </c>
      <c r="BM580" s="2"/>
      <c r="BN580" s="884">
        <v>0</v>
      </c>
      <c r="BO580" s="884">
        <v>0</v>
      </c>
      <c r="BP580" s="884">
        <f>SUM(M581:P581,V581:AB581,AG581:AM581,AR581:AX581,BC581:BI581)</f>
        <v>0</v>
      </c>
      <c r="BQ580" s="878" t="str">
        <f t="shared" ref="BQ580" si="1212">IFERROR((BP580/BO580),"-")</f>
        <v>-</v>
      </c>
      <c r="BR580" s="2"/>
      <c r="BS580" s="884"/>
      <c r="BT580" s="884"/>
      <c r="BU580" s="884">
        <f ca="1">E580+S581+AD581+AO581+AZ581+BK581-K581-L581</f>
        <v>0</v>
      </c>
      <c r="BV580" s="884">
        <v>106</v>
      </c>
      <c r="BW580" s="1004">
        <f ca="1">IFERROR((BU580/BV580),"-")</f>
        <v>0</v>
      </c>
      <c r="BX580" s="884">
        <v>0</v>
      </c>
      <c r="BY580" s="878" t="str">
        <f ca="1">IFERROR((BU580/BX580),"-")</f>
        <v>-</v>
      </c>
      <c r="BZ580" s="2"/>
      <c r="CA580" s="884">
        <v>0</v>
      </c>
      <c r="CB580" s="884">
        <v>0</v>
      </c>
      <c r="CC580" s="2"/>
      <c r="CD580" s="504">
        <f>IFERROR(AVERAGEIF($V$7:AB$7,"&lt;="&amp;$I$7,V580:AB580),0)</f>
        <v>0</v>
      </c>
      <c r="CE580" s="2"/>
      <c r="CH580" s="93" t="str">
        <f t="shared" si="1189"/>
        <v>Arrasamento de Estacas</v>
      </c>
    </row>
    <row r="581" spans="1:86" ht="15.95" hidden="1" customHeight="1" outlineLevel="1">
      <c r="A581" s="74"/>
      <c r="B581" s="1036"/>
      <c r="C581" s="1034"/>
      <c r="D581" s="2"/>
      <c r="E581" s="1005"/>
      <c r="F581" s="2"/>
      <c r="G581" s="50" t="s">
        <v>38</v>
      </c>
      <c r="H581" s="705">
        <f t="shared" si="1143"/>
        <v>0</v>
      </c>
      <c r="I581" s="879"/>
      <c r="J581" s="2"/>
      <c r="K581" s="86"/>
      <c r="L581" s="86"/>
      <c r="M581" s="86"/>
      <c r="N581" s="86"/>
      <c r="O581" s="86"/>
      <c r="P581" s="86"/>
      <c r="Q581" s="706"/>
      <c r="R581" s="2"/>
      <c r="S581" s="705">
        <f t="shared" si="1183"/>
        <v>0</v>
      </c>
      <c r="T581" s="879"/>
      <c r="U581" s="2"/>
      <c r="V581" s="86"/>
      <c r="W581" s="86"/>
      <c r="X581" s="86"/>
      <c r="Y581" s="86"/>
      <c r="Z581" s="86"/>
      <c r="AA581" s="86"/>
      <c r="AB581" s="706"/>
      <c r="AC581" s="2"/>
      <c r="AD581" s="705">
        <f ca="1">SUMIF($V$7:AB$7,"&lt;="&amp;$I$7,V581:AA581)</f>
        <v>0</v>
      </c>
      <c r="AE581" s="879"/>
      <c r="AF581" s="2"/>
      <c r="AG581" s="86"/>
      <c r="AH581" s="86"/>
      <c r="AI581" s="86"/>
      <c r="AJ581" s="86"/>
      <c r="AK581" s="86"/>
      <c r="AL581" s="86"/>
      <c r="AM581" s="706"/>
      <c r="AN581" s="2"/>
      <c r="AO581" s="705">
        <f ca="1">SUMIF($AG$7:AM$7,"&lt;="&amp;$I$7,AG581:AL581)</f>
        <v>0</v>
      </c>
      <c r="AP581" s="879"/>
      <c r="AQ581" s="2"/>
      <c r="AR581" s="86"/>
      <c r="AS581" s="86"/>
      <c r="AT581" s="86"/>
      <c r="AU581" s="86"/>
      <c r="AV581" s="86"/>
      <c r="AW581" s="86"/>
      <c r="AX581" s="706"/>
      <c r="AY581" s="2"/>
      <c r="AZ581" s="705">
        <f ca="1">SUMIF($AR$7:AX$7,"&lt;="&amp;$I$7,AR581:AW581)</f>
        <v>0</v>
      </c>
      <c r="BA581" s="879"/>
      <c r="BB581" s="2"/>
      <c r="BC581" s="86"/>
      <c r="BD581" s="86"/>
      <c r="BE581" s="86"/>
      <c r="BF581" s="86"/>
      <c r="BG581" s="86"/>
      <c r="BH581" s="86"/>
      <c r="BI581" s="706"/>
      <c r="BJ581" s="2"/>
      <c r="BK581" s="705">
        <f ca="1">SUMIF($AR$7:BI$7,"&lt;="&amp;$I$7,BC581:BH581)</f>
        <v>0</v>
      </c>
      <c r="BL581" s="879"/>
      <c r="BM581" s="2"/>
      <c r="BN581" s="885"/>
      <c r="BO581" s="885"/>
      <c r="BP581" s="885"/>
      <c r="BQ581" s="879"/>
      <c r="BR581" s="2"/>
      <c r="BS581" s="885"/>
      <c r="BT581" s="885"/>
      <c r="BU581" s="885"/>
      <c r="BV581" s="885"/>
      <c r="BW581" s="1005"/>
      <c r="BX581" s="885"/>
      <c r="BY581" s="879"/>
      <c r="BZ581" s="2"/>
      <c r="CA581" s="885"/>
      <c r="CB581" s="885"/>
      <c r="CC581" s="2"/>
      <c r="CD581" s="504">
        <f>IFERROR(AVERAGEIF($V$7:AB$7,"&lt;="&amp;$I$7,V581:AB581),0)</f>
        <v>0</v>
      </c>
      <c r="CE581" s="2"/>
      <c r="CH581" s="93" t="str">
        <f t="shared" si="1189"/>
        <v>Arrasamento de Estacas</v>
      </c>
    </row>
    <row r="582" spans="1:86" ht="15.95" hidden="1" customHeight="1" outlineLevel="1">
      <c r="A582" s="74"/>
      <c r="B582" s="1035" t="s">
        <v>4110</v>
      </c>
      <c r="C582" s="1014" t="s">
        <v>1437</v>
      </c>
      <c r="D582" s="2"/>
      <c r="E582" s="1004">
        <v>0</v>
      </c>
      <c r="F582" s="2"/>
      <c r="G582" s="49" t="s">
        <v>37</v>
      </c>
      <c r="H582" s="705">
        <f t="shared" si="1143"/>
        <v>0</v>
      </c>
      <c r="I582" s="878" t="str">
        <f t="shared" ref="I582" si="1213">IFERROR((H583/H582),"-")</f>
        <v>-</v>
      </c>
      <c r="J582" s="2"/>
      <c r="K582" s="705"/>
      <c r="L582" s="705"/>
      <c r="M582" s="705"/>
      <c r="N582" s="705"/>
      <c r="O582" s="705"/>
      <c r="P582" s="705"/>
      <c r="Q582" s="705"/>
      <c r="R582" s="2"/>
      <c r="S582" s="705">
        <f t="shared" si="1183"/>
        <v>0</v>
      </c>
      <c r="T582" s="878" t="str">
        <f>IFERROR((S583/S582),"-")</f>
        <v>-</v>
      </c>
      <c r="U582" s="2"/>
      <c r="V582" s="705"/>
      <c r="W582" s="705"/>
      <c r="X582" s="705"/>
      <c r="Y582" s="705"/>
      <c r="Z582" s="705"/>
      <c r="AA582" s="705"/>
      <c r="AB582" s="705"/>
      <c r="AC582" s="2"/>
      <c r="AD582" s="705">
        <f ca="1">SUMIF($V$7:AB$7,"&lt;="&amp;$I$7,V582:AA582)</f>
        <v>0</v>
      </c>
      <c r="AE582" s="878" t="str">
        <f ca="1">IFERROR((AD583/AD582),"-")</f>
        <v>-</v>
      </c>
      <c r="AF582" s="2"/>
      <c r="AG582" s="705"/>
      <c r="AH582" s="705"/>
      <c r="AI582" s="705"/>
      <c r="AJ582" s="705"/>
      <c r="AK582" s="705"/>
      <c r="AL582" s="705"/>
      <c r="AM582" s="705"/>
      <c r="AN582" s="2"/>
      <c r="AO582" s="705">
        <f ca="1">SUMIF($AG$7:AM$7,"&lt;="&amp;$I$7,AG582:AL582)</f>
        <v>0</v>
      </c>
      <c r="AP582" s="878" t="str">
        <f ca="1">IFERROR((AO583/AO582),"-")</f>
        <v>-</v>
      </c>
      <c r="AQ582" s="2"/>
      <c r="AR582" s="705"/>
      <c r="AS582" s="705"/>
      <c r="AT582" s="705"/>
      <c r="AU582" s="705"/>
      <c r="AV582" s="705"/>
      <c r="AW582" s="705"/>
      <c r="AX582" s="705"/>
      <c r="AY582" s="2"/>
      <c r="AZ582" s="705">
        <f ca="1">SUMIF($AR$7:AX$7,"&lt;="&amp;$I$7,AR582:AW582)</f>
        <v>0</v>
      </c>
      <c r="BA582" s="878" t="str">
        <f ca="1">IFERROR((AZ583/AZ582),"-")</f>
        <v>-</v>
      </c>
      <c r="BB582" s="2"/>
      <c r="BC582" s="705"/>
      <c r="BD582" s="705"/>
      <c r="BE582" s="705"/>
      <c r="BF582" s="705"/>
      <c r="BG582" s="705"/>
      <c r="BH582" s="705"/>
      <c r="BI582" s="705"/>
      <c r="BJ582" s="2"/>
      <c r="BK582" s="705">
        <f ca="1">SUMIF($AR$7:BI$7,"&lt;="&amp;$I$7,BC582:BH582)</f>
        <v>0</v>
      </c>
      <c r="BL582" s="878" t="str">
        <f ca="1">IFERROR((BK583/BK582),"-")</f>
        <v>-</v>
      </c>
      <c r="BM582" s="2"/>
      <c r="BN582" s="884">
        <v>0</v>
      </c>
      <c r="BO582" s="884">
        <v>0</v>
      </c>
      <c r="BP582" s="884">
        <f>SUM(M583:P583,V583:AB583,AG583:AM583,AR583:AX583,BC583:BI583)</f>
        <v>0</v>
      </c>
      <c r="BQ582" s="878" t="str">
        <f t="shared" ref="BQ582" si="1214">IFERROR((BP582/BO582),"-")</f>
        <v>-</v>
      </c>
      <c r="BR582" s="2"/>
      <c r="BS582" s="884"/>
      <c r="BT582" s="884"/>
      <c r="BU582" s="884">
        <f ca="1">E582+S583+AD583+AO583+AZ583+BK583-K583-L583</f>
        <v>0</v>
      </c>
      <c r="BV582" s="884">
        <v>106</v>
      </c>
      <c r="BW582" s="1004">
        <f ca="1">IFERROR((BU582/BV582),"-")</f>
        <v>0</v>
      </c>
      <c r="BX582" s="884">
        <v>0</v>
      </c>
      <c r="BY582" s="878" t="str">
        <f ca="1">IFERROR((BU582/BX582),"-")</f>
        <v>-</v>
      </c>
      <c r="BZ582" s="2"/>
      <c r="CA582" s="884">
        <v>0</v>
      </c>
      <c r="CB582" s="884">
        <v>0</v>
      </c>
      <c r="CC582" s="2"/>
      <c r="CD582" s="504">
        <f>IFERROR(AVERAGEIF($V$7:AB$7,"&lt;="&amp;$I$7,V582:AB582),0)</f>
        <v>0</v>
      </c>
      <c r="CE582" s="2"/>
      <c r="CH582" s="93" t="str">
        <f t="shared" si="1189"/>
        <v xml:space="preserve">Posicionamento da aramação </v>
      </c>
    </row>
    <row r="583" spans="1:86" ht="15.95" hidden="1" customHeight="1" outlineLevel="1">
      <c r="A583" s="74"/>
      <c r="B583" s="1036"/>
      <c r="C583" s="1034"/>
      <c r="D583" s="2"/>
      <c r="E583" s="1005"/>
      <c r="F583" s="2"/>
      <c r="G583" s="50" t="s">
        <v>38</v>
      </c>
      <c r="H583" s="705">
        <f t="shared" si="1143"/>
        <v>0</v>
      </c>
      <c r="I583" s="879"/>
      <c r="J583" s="2"/>
      <c r="K583" s="86"/>
      <c r="L583" s="86"/>
      <c r="M583" s="86"/>
      <c r="N583" s="86"/>
      <c r="O583" s="86"/>
      <c r="P583" s="86"/>
      <c r="Q583" s="706"/>
      <c r="R583" s="2"/>
      <c r="S583" s="705">
        <f t="shared" si="1183"/>
        <v>0</v>
      </c>
      <c r="T583" s="879"/>
      <c r="U583" s="2"/>
      <c r="V583" s="86"/>
      <c r="W583" s="86"/>
      <c r="X583" s="86"/>
      <c r="Y583" s="86"/>
      <c r="Z583" s="86"/>
      <c r="AA583" s="86"/>
      <c r="AB583" s="706"/>
      <c r="AC583" s="2"/>
      <c r="AD583" s="705">
        <f ca="1">SUMIF($V$7:AB$7,"&lt;="&amp;$I$7,V583:AA583)</f>
        <v>0</v>
      </c>
      <c r="AE583" s="879"/>
      <c r="AF583" s="2"/>
      <c r="AG583" s="86"/>
      <c r="AH583" s="86"/>
      <c r="AI583" s="86"/>
      <c r="AJ583" s="86"/>
      <c r="AK583" s="86"/>
      <c r="AL583" s="86"/>
      <c r="AM583" s="706"/>
      <c r="AN583" s="2"/>
      <c r="AO583" s="705">
        <f ca="1">SUMIF($AG$7:AM$7,"&lt;="&amp;$I$7,AG583:AL583)</f>
        <v>0</v>
      </c>
      <c r="AP583" s="879"/>
      <c r="AQ583" s="2"/>
      <c r="AR583" s="86"/>
      <c r="AS583" s="86"/>
      <c r="AT583" s="86"/>
      <c r="AU583" s="86"/>
      <c r="AV583" s="86"/>
      <c r="AW583" s="86"/>
      <c r="AX583" s="706"/>
      <c r="AY583" s="2"/>
      <c r="AZ583" s="705">
        <f ca="1">SUMIF($AR$7:AX$7,"&lt;="&amp;$I$7,AR583:AW583)</f>
        <v>0</v>
      </c>
      <c r="BA583" s="879"/>
      <c r="BB583" s="2"/>
      <c r="BC583" s="86"/>
      <c r="BD583" s="86"/>
      <c r="BE583" s="86"/>
      <c r="BF583" s="86"/>
      <c r="BG583" s="86"/>
      <c r="BH583" s="86"/>
      <c r="BI583" s="706"/>
      <c r="BJ583" s="2"/>
      <c r="BK583" s="705">
        <f ca="1">SUMIF($AR$7:BI$7,"&lt;="&amp;$I$7,BC583:BH583)</f>
        <v>0</v>
      </c>
      <c r="BL583" s="879"/>
      <c r="BM583" s="2"/>
      <c r="BN583" s="885"/>
      <c r="BO583" s="885"/>
      <c r="BP583" s="885"/>
      <c r="BQ583" s="879"/>
      <c r="BR583" s="2"/>
      <c r="BS583" s="885"/>
      <c r="BT583" s="885"/>
      <c r="BU583" s="885"/>
      <c r="BV583" s="885"/>
      <c r="BW583" s="1005"/>
      <c r="BX583" s="885"/>
      <c r="BY583" s="879"/>
      <c r="BZ583" s="2"/>
      <c r="CA583" s="885"/>
      <c r="CB583" s="885"/>
      <c r="CC583" s="2"/>
      <c r="CD583" s="504">
        <f>IFERROR(AVERAGEIF($V$7:AB$7,"&lt;="&amp;$I$7,V583:AB583),0)</f>
        <v>0</v>
      </c>
      <c r="CE583" s="2"/>
      <c r="CH583" s="93" t="str">
        <f t="shared" si="1189"/>
        <v xml:space="preserve">Posicionamento da aramação </v>
      </c>
    </row>
    <row r="584" spans="1:86" ht="15.95" hidden="1" customHeight="1" outlineLevel="1">
      <c r="A584" s="74"/>
      <c r="B584" s="1035" t="s">
        <v>4111</v>
      </c>
      <c r="C584" s="1014" t="s">
        <v>1437</v>
      </c>
      <c r="D584" s="2"/>
      <c r="E584" s="1004">
        <v>0</v>
      </c>
      <c r="F584" s="2"/>
      <c r="G584" s="49" t="s">
        <v>37</v>
      </c>
      <c r="H584" s="705">
        <f t="shared" si="1143"/>
        <v>0</v>
      </c>
      <c r="I584" s="878" t="str">
        <f t="shared" ref="I584" si="1215">IFERROR((H585/H584),"-")</f>
        <v>-</v>
      </c>
      <c r="J584" s="2"/>
      <c r="K584" s="705"/>
      <c r="L584" s="705"/>
      <c r="M584" s="705"/>
      <c r="N584" s="705"/>
      <c r="O584" s="705"/>
      <c r="P584" s="705"/>
      <c r="Q584" s="705"/>
      <c r="R584" s="2"/>
      <c r="S584" s="705">
        <f t="shared" si="1183"/>
        <v>0</v>
      </c>
      <c r="T584" s="878" t="str">
        <f>IFERROR((S585/S584),"-")</f>
        <v>-</v>
      </c>
      <c r="U584" s="2"/>
      <c r="V584" s="705"/>
      <c r="W584" s="705"/>
      <c r="X584" s="705"/>
      <c r="Y584" s="705"/>
      <c r="Z584" s="705"/>
      <c r="AA584" s="705"/>
      <c r="AB584" s="705"/>
      <c r="AC584" s="2"/>
      <c r="AD584" s="705">
        <f ca="1">SUMIF($V$7:AB$7,"&lt;="&amp;$I$7,V584:AA584)</f>
        <v>0</v>
      </c>
      <c r="AE584" s="878" t="str">
        <f ca="1">IFERROR((AD585/AD584),"-")</f>
        <v>-</v>
      </c>
      <c r="AF584" s="2"/>
      <c r="AG584" s="705"/>
      <c r="AH584" s="705"/>
      <c r="AI584" s="705"/>
      <c r="AJ584" s="705"/>
      <c r="AK584" s="705"/>
      <c r="AL584" s="705"/>
      <c r="AM584" s="705"/>
      <c r="AN584" s="2"/>
      <c r="AO584" s="705">
        <f ca="1">SUMIF($AG$7:AM$7,"&lt;="&amp;$I$7,AG584:AL584)</f>
        <v>0</v>
      </c>
      <c r="AP584" s="878" t="str">
        <f ca="1">IFERROR((AO585/AO584),"-")</f>
        <v>-</v>
      </c>
      <c r="AQ584" s="2"/>
      <c r="AR584" s="705"/>
      <c r="AS584" s="705"/>
      <c r="AT584" s="705"/>
      <c r="AU584" s="705"/>
      <c r="AV584" s="705"/>
      <c r="AW584" s="705"/>
      <c r="AX584" s="705"/>
      <c r="AY584" s="2"/>
      <c r="AZ584" s="705">
        <f ca="1">SUMIF($AR$7:AX$7,"&lt;="&amp;$I$7,AR584:AW584)</f>
        <v>0</v>
      </c>
      <c r="BA584" s="878" t="str">
        <f ca="1">IFERROR((AZ585/AZ584),"-")</f>
        <v>-</v>
      </c>
      <c r="BB584" s="2"/>
      <c r="BC584" s="705"/>
      <c r="BD584" s="705"/>
      <c r="BE584" s="705"/>
      <c r="BF584" s="705"/>
      <c r="BG584" s="705"/>
      <c r="BH584" s="705"/>
      <c r="BI584" s="705"/>
      <c r="BJ584" s="2"/>
      <c r="BK584" s="705">
        <f ca="1">SUMIF($AR$7:BI$7,"&lt;="&amp;$I$7,BC584:BH584)</f>
        <v>0</v>
      </c>
      <c r="BL584" s="878" t="str">
        <f ca="1">IFERROR((BK585/BK584),"-")</f>
        <v>-</v>
      </c>
      <c r="BM584" s="2"/>
      <c r="BN584" s="884">
        <v>0</v>
      </c>
      <c r="BO584" s="884">
        <v>0</v>
      </c>
      <c r="BP584" s="884">
        <f>SUM(M585:P585,V585:AB585,AG585:AM585,AR585:AX585,BC585:BI585)</f>
        <v>0</v>
      </c>
      <c r="BQ584" s="878" t="str">
        <f t="shared" ref="BQ584" si="1216">IFERROR((BP584/BO584),"-")</f>
        <v>-</v>
      </c>
      <c r="BR584" s="2"/>
      <c r="BS584" s="884"/>
      <c r="BT584" s="884"/>
      <c r="BU584" s="884">
        <f ca="1">E584+S585+AD585+AO585+AZ585+BK585-K585-L585</f>
        <v>0</v>
      </c>
      <c r="BV584" s="884">
        <v>106</v>
      </c>
      <c r="BW584" s="1004">
        <f ca="1">IFERROR((BU584/BV584),"-")</f>
        <v>0</v>
      </c>
      <c r="BX584" s="884">
        <v>0</v>
      </c>
      <c r="BY584" s="878" t="str">
        <f ca="1">IFERROR((BU584/BX584),"-")</f>
        <v>-</v>
      </c>
      <c r="BZ584" s="2"/>
      <c r="CA584" s="884">
        <v>0</v>
      </c>
      <c r="CB584" s="884">
        <v>0</v>
      </c>
      <c r="CC584" s="2"/>
      <c r="CD584" s="504">
        <f>IFERROR(AVERAGEIF($V$7:AB$7,"&lt;="&amp;$I$7,V584:AB584),0)</f>
        <v>0</v>
      </c>
      <c r="CE584" s="2"/>
      <c r="CH584" s="93" t="str">
        <f t="shared" si="1189"/>
        <v xml:space="preserve">Montagem da Forma </v>
      </c>
    </row>
    <row r="585" spans="1:86" ht="15.95" hidden="1" customHeight="1" outlineLevel="1">
      <c r="A585" s="74"/>
      <c r="B585" s="1036"/>
      <c r="C585" s="1034"/>
      <c r="D585" s="2"/>
      <c r="E585" s="1005"/>
      <c r="F585" s="2"/>
      <c r="G585" s="50" t="s">
        <v>38</v>
      </c>
      <c r="H585" s="705">
        <f t="shared" si="1143"/>
        <v>0</v>
      </c>
      <c r="I585" s="879"/>
      <c r="J585" s="2"/>
      <c r="K585" s="86"/>
      <c r="L585" s="86"/>
      <c r="M585" s="86"/>
      <c r="N585" s="86"/>
      <c r="O585" s="86"/>
      <c r="P585" s="86"/>
      <c r="Q585" s="706"/>
      <c r="R585" s="2"/>
      <c r="S585" s="705">
        <f t="shared" si="1183"/>
        <v>0</v>
      </c>
      <c r="T585" s="879"/>
      <c r="U585" s="2"/>
      <c r="V585" s="86"/>
      <c r="W585" s="86"/>
      <c r="X585" s="86"/>
      <c r="Y585" s="86"/>
      <c r="Z585" s="86"/>
      <c r="AA585" s="86"/>
      <c r="AB585" s="706"/>
      <c r="AC585" s="2"/>
      <c r="AD585" s="705">
        <f ca="1">SUMIF($V$7:AB$7,"&lt;="&amp;$I$7,V585:AA585)</f>
        <v>0</v>
      </c>
      <c r="AE585" s="879"/>
      <c r="AF585" s="2"/>
      <c r="AG585" s="86"/>
      <c r="AH585" s="86"/>
      <c r="AI585" s="86"/>
      <c r="AJ585" s="86"/>
      <c r="AK585" s="86"/>
      <c r="AL585" s="86"/>
      <c r="AM585" s="706"/>
      <c r="AN585" s="2"/>
      <c r="AO585" s="705">
        <f ca="1">SUMIF($AG$7:AM$7,"&lt;="&amp;$I$7,AG585:AL585)</f>
        <v>0</v>
      </c>
      <c r="AP585" s="879"/>
      <c r="AQ585" s="2"/>
      <c r="AR585" s="86"/>
      <c r="AS585" s="86"/>
      <c r="AT585" s="86"/>
      <c r="AU585" s="86"/>
      <c r="AV585" s="86"/>
      <c r="AW585" s="86"/>
      <c r="AX585" s="706"/>
      <c r="AY585" s="2"/>
      <c r="AZ585" s="705">
        <f ca="1">SUMIF($AR$7:AX$7,"&lt;="&amp;$I$7,AR585:AW585)</f>
        <v>0</v>
      </c>
      <c r="BA585" s="879"/>
      <c r="BB585" s="2"/>
      <c r="BC585" s="86"/>
      <c r="BD585" s="86"/>
      <c r="BE585" s="86"/>
      <c r="BF585" s="86"/>
      <c r="BG585" s="86"/>
      <c r="BH585" s="86"/>
      <c r="BI585" s="706"/>
      <c r="BJ585" s="2"/>
      <c r="BK585" s="705">
        <f ca="1">SUMIF($AR$7:BI$7,"&lt;="&amp;$I$7,BC585:BH585)</f>
        <v>0</v>
      </c>
      <c r="BL585" s="879"/>
      <c r="BM585" s="2"/>
      <c r="BN585" s="885"/>
      <c r="BO585" s="885"/>
      <c r="BP585" s="885"/>
      <c r="BQ585" s="879"/>
      <c r="BR585" s="2"/>
      <c r="BS585" s="885"/>
      <c r="BT585" s="885"/>
      <c r="BU585" s="885"/>
      <c r="BV585" s="885"/>
      <c r="BW585" s="1005"/>
      <c r="BX585" s="885"/>
      <c r="BY585" s="879"/>
      <c r="BZ585" s="2"/>
      <c r="CA585" s="885"/>
      <c r="CB585" s="885"/>
      <c r="CC585" s="2"/>
      <c r="CD585" s="504">
        <f>IFERROR(AVERAGEIF($V$7:AB$7,"&lt;="&amp;$I$7,V585:AB585),0)</f>
        <v>0</v>
      </c>
      <c r="CE585" s="2"/>
      <c r="CH585" s="93" t="str">
        <f t="shared" si="1189"/>
        <v xml:space="preserve">Montagem da Forma </v>
      </c>
    </row>
    <row r="586" spans="1:86" ht="15.95" customHeight="1" collapsed="1">
      <c r="A586" s="74"/>
      <c r="B586" s="1035" t="s">
        <v>4112</v>
      </c>
      <c r="C586" s="1014" t="s">
        <v>1437</v>
      </c>
      <c r="D586" s="2"/>
      <c r="E586" s="1004">
        <v>0</v>
      </c>
      <c r="F586" s="2"/>
      <c r="G586" s="49" t="s">
        <v>37</v>
      </c>
      <c r="H586" s="705">
        <f t="shared" si="1143"/>
        <v>0</v>
      </c>
      <c r="I586" s="878" t="str">
        <f t="shared" ref="I586" si="1217">IFERROR((H587/H586),"-")</f>
        <v>-</v>
      </c>
      <c r="J586" s="2"/>
      <c r="K586" s="705"/>
      <c r="L586" s="705"/>
      <c r="M586" s="705"/>
      <c r="N586" s="705"/>
      <c r="O586" s="705"/>
      <c r="P586" s="705"/>
      <c r="Q586" s="705"/>
      <c r="R586" s="2"/>
      <c r="S586" s="705">
        <f t="shared" si="1183"/>
        <v>0</v>
      </c>
      <c r="T586" s="878" t="str">
        <f>IFERROR((S587/S586),"-")</f>
        <v>-</v>
      </c>
      <c r="U586" s="2"/>
      <c r="V586" s="705"/>
      <c r="W586" s="705"/>
      <c r="X586" s="705"/>
      <c r="Y586" s="705"/>
      <c r="Z586" s="705"/>
      <c r="AA586" s="705"/>
      <c r="AB586" s="705"/>
      <c r="AC586" s="2"/>
      <c r="AD586" s="705">
        <f ca="1">SUMIF($V$7:AB$7,"&lt;="&amp;$I$7,V586:AA586)</f>
        <v>0</v>
      </c>
      <c r="AE586" s="878" t="str">
        <f ca="1">IFERROR((AD587/AD586),"-")</f>
        <v>-</v>
      </c>
      <c r="AF586" s="2"/>
      <c r="AG586" s="705"/>
      <c r="AH586" s="705"/>
      <c r="AI586" s="705"/>
      <c r="AJ586" s="705"/>
      <c r="AK586" s="705"/>
      <c r="AL586" s="705"/>
      <c r="AM586" s="705"/>
      <c r="AN586" s="2"/>
      <c r="AO586" s="705">
        <f ca="1">SUMIF($AG$7:AM$7,"&lt;="&amp;$I$7,AG586:AL586)</f>
        <v>0</v>
      </c>
      <c r="AP586" s="878" t="str">
        <f ca="1">IFERROR((AO587/AO586),"-")</f>
        <v>-</v>
      </c>
      <c r="AQ586" s="2"/>
      <c r="AR586" s="705"/>
      <c r="AS586" s="705"/>
      <c r="AT586" s="705"/>
      <c r="AU586" s="705"/>
      <c r="AV586" s="705"/>
      <c r="AW586" s="705"/>
      <c r="AX586" s="705"/>
      <c r="AY586" s="2"/>
      <c r="AZ586" s="705">
        <f ca="1">SUMIF($AR$7:AX$7,"&lt;="&amp;$I$7,AR586:AW586)</f>
        <v>0</v>
      </c>
      <c r="BA586" s="878" t="str">
        <f ca="1">IFERROR((AZ587/AZ586),"-")</f>
        <v>-</v>
      </c>
      <c r="BB586" s="2"/>
      <c r="BC586" s="705"/>
      <c r="BD586" s="705"/>
      <c r="BE586" s="705"/>
      <c r="BF586" s="705"/>
      <c r="BG586" s="705"/>
      <c r="BH586" s="705"/>
      <c r="BI586" s="705"/>
      <c r="BJ586" s="2"/>
      <c r="BK586" s="705">
        <f ca="1">SUMIF($AR$7:BI$7,"&lt;="&amp;$I$7,BC586:BH586)</f>
        <v>0</v>
      </c>
      <c r="BL586" s="878" t="str">
        <f ca="1">IFERROR((BK587/BK586),"-")</f>
        <v>-</v>
      </c>
      <c r="BM586" s="2"/>
      <c r="BN586" s="884">
        <v>0</v>
      </c>
      <c r="BO586" s="884">
        <v>0</v>
      </c>
      <c r="BP586" s="884">
        <f>SUM(M587:P587,V587:AB587,AG587:AM587,AR587:AX587,BC587:BI587)</f>
        <v>0</v>
      </c>
      <c r="BQ586" s="878" t="str">
        <f t="shared" ref="BQ586" si="1218">IFERROR((BP586/BO586),"-")</f>
        <v>-</v>
      </c>
      <c r="BR586" s="2"/>
      <c r="BS586" s="884"/>
      <c r="BT586" s="884"/>
      <c r="BU586" s="884">
        <f ca="1">E586+S587+AD587+AO587+AZ587+BK587-K587-L587</f>
        <v>0</v>
      </c>
      <c r="BV586" s="884">
        <v>106</v>
      </c>
      <c r="BW586" s="1004">
        <f ca="1">IFERROR((BU586/BV586),"-")</f>
        <v>0</v>
      </c>
      <c r="BX586" s="884">
        <v>0</v>
      </c>
      <c r="BY586" s="878" t="str">
        <f ca="1">IFERROR((BU586/BX586),"-")</f>
        <v>-</v>
      </c>
      <c r="BZ586" s="2"/>
      <c r="CA586" s="884">
        <v>0</v>
      </c>
      <c r="CB586" s="884">
        <v>0</v>
      </c>
      <c r="CC586" s="2"/>
      <c r="CD586" s="504">
        <f>IFERROR(AVERAGEIF($V$7:AB$7,"&lt;="&amp;$I$7,V586:AB586),0)</f>
        <v>0</v>
      </c>
      <c r="CE586" s="2"/>
      <c r="CH586" s="93" t="str">
        <f t="shared" si="1189"/>
        <v xml:space="preserve">Concretagem </v>
      </c>
    </row>
    <row r="587" spans="1:86" ht="15.95" customHeight="1">
      <c r="A587" s="74"/>
      <c r="B587" s="1036"/>
      <c r="C587" s="1034"/>
      <c r="D587" s="2"/>
      <c r="E587" s="1005"/>
      <c r="F587" s="2"/>
      <c r="G587" s="50" t="s">
        <v>38</v>
      </c>
      <c r="H587" s="705">
        <f t="shared" si="1143"/>
        <v>0</v>
      </c>
      <c r="I587" s="879"/>
      <c r="J587" s="2"/>
      <c r="K587" s="86"/>
      <c r="L587" s="86"/>
      <c r="M587" s="86"/>
      <c r="N587" s="86"/>
      <c r="O587" s="86"/>
      <c r="P587" s="86"/>
      <c r="Q587" s="706"/>
      <c r="R587" s="2"/>
      <c r="S587" s="705">
        <f t="shared" si="1183"/>
        <v>0</v>
      </c>
      <c r="T587" s="879"/>
      <c r="U587" s="2"/>
      <c r="V587" s="86"/>
      <c r="W587" s="86"/>
      <c r="X587" s="86"/>
      <c r="Y587" s="86"/>
      <c r="Z587" s="86"/>
      <c r="AA587" s="86"/>
      <c r="AB587" s="706"/>
      <c r="AC587" s="2"/>
      <c r="AD587" s="705">
        <f ca="1">SUMIF($V$7:AB$7,"&lt;="&amp;$I$7,V587:AA587)</f>
        <v>0</v>
      </c>
      <c r="AE587" s="879"/>
      <c r="AF587" s="2"/>
      <c r="AG587" s="86"/>
      <c r="AH587" s="86"/>
      <c r="AI587" s="86"/>
      <c r="AJ587" s="86"/>
      <c r="AK587" s="86"/>
      <c r="AL587" s="86"/>
      <c r="AM587" s="706"/>
      <c r="AN587" s="2"/>
      <c r="AO587" s="705">
        <f ca="1">SUMIF($AG$7:AM$7,"&lt;="&amp;$I$7,AG587:AL587)</f>
        <v>0</v>
      </c>
      <c r="AP587" s="879"/>
      <c r="AQ587" s="2"/>
      <c r="AR587" s="86"/>
      <c r="AS587" s="86"/>
      <c r="AT587" s="86"/>
      <c r="AU587" s="86"/>
      <c r="AV587" s="86"/>
      <c r="AW587" s="86"/>
      <c r="AX587" s="706"/>
      <c r="AY587" s="2"/>
      <c r="AZ587" s="705">
        <f ca="1">SUMIF($AR$7:AX$7,"&lt;="&amp;$I$7,AR587:AW587)</f>
        <v>0</v>
      </c>
      <c r="BA587" s="879"/>
      <c r="BB587" s="2"/>
      <c r="BC587" s="86"/>
      <c r="BD587" s="86"/>
      <c r="BE587" s="86"/>
      <c r="BF587" s="86"/>
      <c r="BG587" s="86"/>
      <c r="BH587" s="86"/>
      <c r="BI587" s="706"/>
      <c r="BJ587" s="2"/>
      <c r="BK587" s="705">
        <f ca="1">SUMIF($AR$7:BI$7,"&lt;="&amp;$I$7,BC587:BH587)</f>
        <v>0</v>
      </c>
      <c r="BL587" s="879"/>
      <c r="BM587" s="2"/>
      <c r="BN587" s="885"/>
      <c r="BO587" s="885"/>
      <c r="BP587" s="885"/>
      <c r="BQ587" s="879"/>
      <c r="BR587" s="2"/>
      <c r="BS587" s="885"/>
      <c r="BT587" s="885"/>
      <c r="BU587" s="885"/>
      <c r="BV587" s="908"/>
      <c r="BW587" s="1037"/>
      <c r="BX587" s="885"/>
      <c r="BY587" s="879"/>
      <c r="BZ587" s="2"/>
      <c r="CA587" s="885"/>
      <c r="CB587" s="885"/>
      <c r="CC587" s="2"/>
      <c r="CD587" s="504">
        <f>IFERROR(AVERAGEIF($V$7:AB$7,"&lt;="&amp;$I$7,V587:AB587),0)</f>
        <v>0</v>
      </c>
      <c r="CE587" s="2"/>
      <c r="CH587" s="93" t="str">
        <f t="shared" si="1189"/>
        <v xml:space="preserve">Concretagem </v>
      </c>
    </row>
    <row r="588" spans="1:86" ht="14.65" customHeight="1">
      <c r="A588" s="73"/>
      <c r="B588" s="739" t="s">
        <v>4114</v>
      </c>
      <c r="C588" s="740" t="s">
        <v>1437</v>
      </c>
      <c r="D588" s="2"/>
      <c r="E588" s="1019">
        <v>0</v>
      </c>
      <c r="F588" s="2"/>
      <c r="G588" s="53" t="s">
        <v>37</v>
      </c>
      <c r="H588" s="52">
        <f t="shared" ref="H588:H589" si="1219">SUMIF($K$7:$BI$7,$I$7,K588:BI588)</f>
        <v>0</v>
      </c>
      <c r="I588" s="743" t="str">
        <f t="shared" ref="I588" si="1220">IFERROR((H589/H588),"-")</f>
        <v>-</v>
      </c>
      <c r="J588" s="2"/>
      <c r="K588" s="52"/>
      <c r="L588" s="52"/>
      <c r="M588" s="52"/>
      <c r="N588" s="52"/>
      <c r="O588" s="52"/>
      <c r="P588" s="52"/>
      <c r="Q588" s="52"/>
      <c r="R588" s="2"/>
      <c r="S588" s="52">
        <f ca="1">SUMIF($K$7:Q$7,"&lt;="&amp;$I$7,K588:P588)</f>
        <v>0</v>
      </c>
      <c r="T588" s="743" t="str">
        <f ca="1">IFERROR((S589/S588),"-")</f>
        <v>-</v>
      </c>
      <c r="U588" s="2"/>
      <c r="V588" s="52"/>
      <c r="W588" s="52"/>
      <c r="X588" s="52"/>
      <c r="Y588" s="52"/>
      <c r="Z588" s="52"/>
      <c r="AA588" s="52"/>
      <c r="AB588" s="52"/>
      <c r="AC588" s="2"/>
      <c r="AD588" s="52">
        <f>SUMIF($V$7:AB$7,"&lt;="&amp;$I$7,V588:AB588)</f>
        <v>0</v>
      </c>
      <c r="AE588" s="743" t="str">
        <f>IFERROR((AD589/AD588),"-")</f>
        <v>-</v>
      </c>
      <c r="AF588" s="2"/>
      <c r="AG588" s="52"/>
      <c r="AH588" s="52"/>
      <c r="AI588" s="52"/>
      <c r="AJ588" s="52"/>
      <c r="AK588" s="52"/>
      <c r="AL588" s="52"/>
      <c r="AM588" s="52"/>
      <c r="AN588" s="2"/>
      <c r="AO588" s="52">
        <f ca="1">SUMIF($AG$7:AM$7,"&lt;="&amp;$I$7,AG588:AL588)</f>
        <v>0</v>
      </c>
      <c r="AP588" s="743" t="str">
        <f ca="1">IFERROR((AO589/AO588),"-")</f>
        <v>-</v>
      </c>
      <c r="AQ588" s="2"/>
      <c r="AR588" s="52"/>
      <c r="AS588" s="52"/>
      <c r="AT588" s="52"/>
      <c r="AU588" s="52"/>
      <c r="AV588" s="52"/>
      <c r="AW588" s="52"/>
      <c r="AX588" s="52"/>
      <c r="AY588" s="2"/>
      <c r="AZ588" s="52">
        <f ca="1">SUMIF($AR$7:AX$7,"&lt;="&amp;$I$7,AR588:AW588)</f>
        <v>0</v>
      </c>
      <c r="BA588" s="743" t="str">
        <f ca="1">IFERROR((AZ589/AZ588),"-")</f>
        <v>-</v>
      </c>
      <c r="BB588" s="2"/>
      <c r="BC588" s="52"/>
      <c r="BD588" s="52"/>
      <c r="BE588" s="52"/>
      <c r="BF588" s="52"/>
      <c r="BG588" s="52"/>
      <c r="BH588" s="52"/>
      <c r="BI588" s="52"/>
      <c r="BJ588" s="2"/>
      <c r="BK588" s="52">
        <f ca="1">SUMIF($BC$7:BI$7,"&lt;="&amp;$I$7,BC588:BH588)</f>
        <v>0</v>
      </c>
      <c r="BL588" s="743" t="str">
        <f ca="1">IFERROR((BK589/BK588),"-")</f>
        <v>-</v>
      </c>
      <c r="BM588" s="2"/>
      <c r="BN588" s="888">
        <v>0</v>
      </c>
      <c r="BO588" s="888">
        <v>0</v>
      </c>
      <c r="BP588" s="888">
        <f>SUM(BP590)</f>
        <v>0</v>
      </c>
      <c r="BQ588" s="743" t="str">
        <f t="shared" ref="BQ588" si="1221">IFERROR((BP588/BO588),"-")</f>
        <v>-</v>
      </c>
      <c r="BR588" s="2"/>
      <c r="BS588" s="888"/>
      <c r="BT588" s="888"/>
      <c r="BU588" s="888">
        <v>0</v>
      </c>
      <c r="BV588" s="888">
        <v>106</v>
      </c>
      <c r="BW588" s="1019">
        <f>IFERROR((BU588/BV588),"-")</f>
        <v>0</v>
      </c>
      <c r="BX588" s="888">
        <v>0</v>
      </c>
      <c r="BY588" s="743" t="str">
        <f>IFERROR((BU588/BX588),"-")</f>
        <v>-</v>
      </c>
      <c r="BZ588" s="2"/>
      <c r="CA588" s="888">
        <v>2</v>
      </c>
      <c r="CB588" s="888">
        <f>CA588-BU588</f>
        <v>2</v>
      </c>
      <c r="CC588" s="2"/>
      <c r="CD588" s="84">
        <f>IFERROR(AVERAGEIF($V$7:AB$7,"&lt;="&amp;$I$7,V588:AB588),0)</f>
        <v>0</v>
      </c>
      <c r="CE588" s="2"/>
      <c r="CH588" s="93" t="str">
        <f t="shared" si="1189"/>
        <v>ENCONTROS</v>
      </c>
    </row>
    <row r="589" spans="1:86" ht="14.65" customHeight="1">
      <c r="A589" s="74"/>
      <c r="B589" s="739"/>
      <c r="C589" s="740"/>
      <c r="D589" s="2"/>
      <c r="E589" s="1020"/>
      <c r="F589" s="2"/>
      <c r="G589" s="54" t="s">
        <v>38</v>
      </c>
      <c r="H589" s="52">
        <f t="shared" si="1219"/>
        <v>0</v>
      </c>
      <c r="I589" s="744"/>
      <c r="J589" s="2"/>
      <c r="K589" s="52"/>
      <c r="L589" s="52"/>
      <c r="M589" s="52"/>
      <c r="N589" s="52"/>
      <c r="O589" s="52"/>
      <c r="P589" s="52"/>
      <c r="Q589" s="52"/>
      <c r="R589" s="2"/>
      <c r="S589" s="52">
        <f ca="1">SUMIF($K$7:Q$7,"&lt;="&amp;$I$7,K589:P589)</f>
        <v>0</v>
      </c>
      <c r="T589" s="744"/>
      <c r="U589" s="2"/>
      <c r="V589" s="52"/>
      <c r="W589" s="52"/>
      <c r="X589" s="52"/>
      <c r="Y589" s="52"/>
      <c r="Z589" s="52"/>
      <c r="AA589" s="52"/>
      <c r="AB589" s="52"/>
      <c r="AC589" s="2"/>
      <c r="AD589" s="52">
        <f>SUMIF($V$7:AB$7,"&lt;="&amp;$I$7,V589:AB589)</f>
        <v>0</v>
      </c>
      <c r="AE589" s="744"/>
      <c r="AF589" s="2"/>
      <c r="AG589" s="52"/>
      <c r="AH589" s="52"/>
      <c r="AI589" s="52"/>
      <c r="AJ589" s="52"/>
      <c r="AK589" s="52"/>
      <c r="AL589" s="52"/>
      <c r="AM589" s="52"/>
      <c r="AN589" s="2"/>
      <c r="AO589" s="52">
        <f ca="1">SUMIF($AG$7:AM$7,"&lt;="&amp;$I$7,AG589:AL589)</f>
        <v>0</v>
      </c>
      <c r="AP589" s="744"/>
      <c r="AQ589" s="2"/>
      <c r="AR589" s="52"/>
      <c r="AS589" s="52"/>
      <c r="AT589" s="52"/>
      <c r="AU589" s="52"/>
      <c r="AV589" s="52"/>
      <c r="AW589" s="52"/>
      <c r="AX589" s="52"/>
      <c r="AY589" s="2"/>
      <c r="AZ589" s="52">
        <f ca="1">SUMIF($AR$7:AX$7,"&lt;="&amp;$I$7,AR589:AW589)</f>
        <v>0</v>
      </c>
      <c r="BA589" s="744"/>
      <c r="BB589" s="2"/>
      <c r="BC589" s="52"/>
      <c r="BD589" s="52"/>
      <c r="BE589" s="52"/>
      <c r="BF589" s="52"/>
      <c r="BG589" s="52"/>
      <c r="BH589" s="52"/>
      <c r="BI589" s="52"/>
      <c r="BJ589" s="2"/>
      <c r="BK589" s="52">
        <f ca="1">SUMIF($BC$7:BI$7,"&lt;="&amp;$I$7,BC589:BH589)</f>
        <v>0</v>
      </c>
      <c r="BL589" s="744"/>
      <c r="BM589" s="2"/>
      <c r="BN589" s="888"/>
      <c r="BO589" s="888"/>
      <c r="BP589" s="889"/>
      <c r="BQ589" s="744"/>
      <c r="BR589" s="2"/>
      <c r="BS589" s="888"/>
      <c r="BT589" s="888"/>
      <c r="BU589" s="888"/>
      <c r="BV589" s="888"/>
      <c r="BW589" s="1019"/>
      <c r="BX589" s="888"/>
      <c r="BY589" s="743"/>
      <c r="BZ589" s="2"/>
      <c r="CA589" s="888"/>
      <c r="CB589" s="888"/>
      <c r="CC589" s="2"/>
      <c r="CD589" s="84">
        <f>IFERROR(AVERAGEIF($V$7:AB$7,"&lt;="&amp;$I$7,V589:AB589),0)</f>
        <v>0</v>
      </c>
      <c r="CE589" s="2"/>
      <c r="CH589" s="93" t="str">
        <f t="shared" si="1189"/>
        <v>ENCONTROS</v>
      </c>
    </row>
    <row r="590" spans="1:86" ht="14.65" customHeight="1">
      <c r="CE590" s="2"/>
      <c r="CH590" s="93" t="str">
        <f t="shared" si="1189"/>
        <v>ENCONTROS</v>
      </c>
    </row>
    <row r="591" spans="1:86" ht="14.65" customHeight="1">
      <c r="A591" s="73"/>
      <c r="B591" s="739" t="s">
        <v>4115</v>
      </c>
      <c r="C591" s="740" t="s">
        <v>3936</v>
      </c>
      <c r="D591" s="2"/>
      <c r="E591" s="1019">
        <v>0</v>
      </c>
      <c r="F591" s="2"/>
      <c r="G591" s="53" t="s">
        <v>37</v>
      </c>
      <c r="H591" s="52">
        <f t="shared" ref="H591:H616" si="1222">SUMIF($K$7:$BI$7,$I$7,K591:BI591)</f>
        <v>0</v>
      </c>
      <c r="I591" s="743" t="str">
        <f>IFERROR((H592/H591),"-")</f>
        <v>-</v>
      </c>
      <c r="J591" s="2"/>
      <c r="K591" s="52"/>
      <c r="L591" s="52"/>
      <c r="M591" s="52"/>
      <c r="N591" s="52"/>
      <c r="O591" s="52"/>
      <c r="P591" s="52"/>
      <c r="Q591" s="52"/>
      <c r="R591" s="2"/>
      <c r="S591" s="52">
        <f ca="1">SUMIF($K$7:Q$7,"&lt;="&amp;$I$7,K591:P591)</f>
        <v>0</v>
      </c>
      <c r="T591" s="743" t="str">
        <f ca="1">IFERROR((S592/S591),"-")</f>
        <v>-</v>
      </c>
      <c r="U591" s="2"/>
      <c r="V591" s="52"/>
      <c r="W591" s="52"/>
      <c r="X591" s="52"/>
      <c r="Y591" s="52"/>
      <c r="Z591" s="52"/>
      <c r="AA591" s="52"/>
      <c r="AB591" s="52"/>
      <c r="AC591" s="2"/>
      <c r="AD591" s="52">
        <f>SUMIF($V$7:AB$7,"&lt;="&amp;$I$7,V591:AB591)</f>
        <v>0</v>
      </c>
      <c r="AE591" s="743" t="str">
        <f>IFERROR((AD592/AD591),"-")</f>
        <v>-</v>
      </c>
      <c r="AF591" s="2"/>
      <c r="AG591" s="52"/>
      <c r="AH591" s="52"/>
      <c r="AI591" s="52"/>
      <c r="AJ591" s="52"/>
      <c r="AK591" s="52"/>
      <c r="AL591" s="52"/>
      <c r="AM591" s="52"/>
      <c r="AN591" s="2"/>
      <c r="AO591" s="52">
        <f ca="1">SUMIF($AG$7:AM$7,"&lt;="&amp;$I$7,AG591:AL591)</f>
        <v>0</v>
      </c>
      <c r="AP591" s="743" t="str">
        <f ca="1">IFERROR((AO592/AO591),"-")</f>
        <v>-</v>
      </c>
      <c r="AQ591" s="2"/>
      <c r="AR591" s="52"/>
      <c r="AS591" s="52"/>
      <c r="AT591" s="52"/>
      <c r="AU591" s="52"/>
      <c r="AV591" s="52"/>
      <c r="AW591" s="52"/>
      <c r="AX591" s="52"/>
      <c r="AY591" s="2"/>
      <c r="AZ591" s="52">
        <f ca="1">SUMIF($AR$7:AX$7,"&lt;="&amp;$I$7,AR591:AW591)</f>
        <v>0</v>
      </c>
      <c r="BA591" s="743" t="str">
        <f ca="1">IFERROR((AZ592/AZ591),"-")</f>
        <v>-</v>
      </c>
      <c r="BB591" s="2"/>
      <c r="BC591" s="52"/>
      <c r="BD591" s="52"/>
      <c r="BE591" s="52"/>
      <c r="BF591" s="52"/>
      <c r="BG591" s="52"/>
      <c r="BH591" s="52"/>
      <c r="BI591" s="52"/>
      <c r="BJ591" s="2"/>
      <c r="BK591" s="52">
        <f ca="1">SUMIF($BC$7:BI$7,"&lt;="&amp;$I$7,BC591:BH591)</f>
        <v>0</v>
      </c>
      <c r="BL591" s="743" t="str">
        <f ca="1">IFERROR((BK592/BK591),"-")</f>
        <v>-</v>
      </c>
      <c r="BM591" s="2"/>
      <c r="BN591" s="888">
        <v>0</v>
      </c>
      <c r="BO591" s="888">
        <v>0</v>
      </c>
      <c r="BP591" s="888">
        <v>0</v>
      </c>
      <c r="BQ591" s="743" t="str">
        <f>IFERROR((BP591/BO591),"-")</f>
        <v>-</v>
      </c>
      <c r="BR591" s="2"/>
      <c r="BS591" s="888"/>
      <c r="BT591" s="888"/>
      <c r="BU591" s="888">
        <v>0</v>
      </c>
      <c r="BV591" s="888">
        <v>210</v>
      </c>
      <c r="BW591" s="1019">
        <f>IFERROR((BU591/BV591),"-")</f>
        <v>0</v>
      </c>
      <c r="BX591" s="888">
        <v>0</v>
      </c>
      <c r="BY591" s="743" t="str">
        <f>IFERROR((BU591/BX591),"-")</f>
        <v>-</v>
      </c>
      <c r="BZ591" s="2"/>
      <c r="CA591" s="888">
        <v>100</v>
      </c>
      <c r="CB591" s="888">
        <v>0</v>
      </c>
      <c r="CC591" s="2"/>
      <c r="CD591" s="84">
        <f>IFERROR(AVERAGEIF($V$7:AB$7,"&lt;="&amp;$I$7,V591:AB591),0)</f>
        <v>0</v>
      </c>
      <c r="CE591" s="2"/>
      <c r="CH591" s="93" t="str">
        <f t="shared" si="1189"/>
        <v>OAE - Ponte sobre o Rio Preto</v>
      </c>
    </row>
    <row r="592" spans="1:86" ht="14.65" customHeight="1">
      <c r="A592" s="74"/>
      <c r="B592" s="739"/>
      <c r="C592" s="740"/>
      <c r="D592" s="2"/>
      <c r="E592" s="1060"/>
      <c r="F592" s="2"/>
      <c r="G592" s="54" t="s">
        <v>38</v>
      </c>
      <c r="H592" s="52">
        <f t="shared" si="1222"/>
        <v>0</v>
      </c>
      <c r="I592" s="744"/>
      <c r="J592" s="2"/>
      <c r="K592" s="75"/>
      <c r="L592" s="75"/>
      <c r="M592" s="75"/>
      <c r="N592" s="75"/>
      <c r="O592" s="75"/>
      <c r="P592" s="75"/>
      <c r="Q592" s="52">
        <f>Q596</f>
        <v>0</v>
      </c>
      <c r="R592" s="2"/>
      <c r="S592" s="52">
        <f ca="1">SUMIF($K$7:Q$7,"&lt;="&amp;$I$7,K592:P592)</f>
        <v>0</v>
      </c>
      <c r="T592" s="744"/>
      <c r="U592" s="2"/>
      <c r="V592" s="75"/>
      <c r="W592" s="75"/>
      <c r="X592" s="75"/>
      <c r="Y592" s="75"/>
      <c r="Z592" s="75"/>
      <c r="AA592" s="75"/>
      <c r="AB592" s="52">
        <f>AB596</f>
        <v>0</v>
      </c>
      <c r="AC592" s="2"/>
      <c r="AD592" s="52">
        <f>SUMIF($V$7:AB$7,"&lt;="&amp;$I$7,V592:AB592)</f>
        <v>0</v>
      </c>
      <c r="AE592" s="744"/>
      <c r="AF592" s="2"/>
      <c r="AG592" s="75"/>
      <c r="AH592" s="75"/>
      <c r="AI592" s="75"/>
      <c r="AJ592" s="75"/>
      <c r="AK592" s="75"/>
      <c r="AL592" s="75"/>
      <c r="AM592" s="52">
        <f>AM596</f>
        <v>0</v>
      </c>
      <c r="AN592" s="2"/>
      <c r="AO592" s="52">
        <f ca="1">SUMIF($AG$7:AM$7,"&lt;="&amp;$I$7,AG592:AL592)</f>
        <v>0</v>
      </c>
      <c r="AP592" s="744"/>
      <c r="AQ592" s="2"/>
      <c r="AR592" s="75"/>
      <c r="AS592" s="75"/>
      <c r="AT592" s="75"/>
      <c r="AU592" s="75"/>
      <c r="AV592" s="75"/>
      <c r="AW592" s="75"/>
      <c r="AX592" s="52"/>
      <c r="AY592" s="2"/>
      <c r="AZ592" s="52">
        <f ca="1">SUMIF($AR$7:AX$7,"&lt;="&amp;$I$7,AR592:AW592)</f>
        <v>0</v>
      </c>
      <c r="BA592" s="744"/>
      <c r="BB592" s="2"/>
      <c r="BC592" s="75"/>
      <c r="BD592" s="75"/>
      <c r="BE592" s="75"/>
      <c r="BF592" s="75"/>
      <c r="BG592" s="75"/>
      <c r="BH592" s="75"/>
      <c r="BI592" s="52"/>
      <c r="BJ592" s="2"/>
      <c r="BK592" s="52">
        <f ca="1">SUMIF($BC$7:BI$7,"&lt;="&amp;$I$7,BC592:BH592)</f>
        <v>0</v>
      </c>
      <c r="BL592" s="744"/>
      <c r="BM592" s="2"/>
      <c r="BN592" s="889"/>
      <c r="BO592" s="889"/>
      <c r="BP592" s="888"/>
      <c r="BQ592" s="744"/>
      <c r="BR592" s="2"/>
      <c r="BS592" s="888"/>
      <c r="BT592" s="888"/>
      <c r="BU592" s="888"/>
      <c r="BV592" s="888"/>
      <c r="BW592" s="1019"/>
      <c r="BX592" s="888"/>
      <c r="BY592" s="743"/>
      <c r="BZ592" s="2"/>
      <c r="CA592" s="888"/>
      <c r="CB592" s="888"/>
      <c r="CC592" s="2"/>
      <c r="CD592" s="84">
        <f>IFERROR(AVERAGEIF($V$7:AB$7,"&lt;="&amp;$I$7,V592:AB592),0)</f>
        <v>0</v>
      </c>
      <c r="CE592" s="2"/>
      <c r="CH592" s="93" t="str">
        <f t="shared" si="1189"/>
        <v>OAE - Ponte sobre o Rio Preto</v>
      </c>
    </row>
    <row r="593" spans="1:86" ht="15.75">
      <c r="A593" s="73"/>
      <c r="B593" s="739" t="s">
        <v>4044</v>
      </c>
      <c r="C593" s="740" t="s">
        <v>1437</v>
      </c>
      <c r="D593" s="2"/>
      <c r="E593" s="1019">
        <v>63</v>
      </c>
      <c r="F593" s="2"/>
      <c r="G593" s="53" t="s">
        <v>37</v>
      </c>
      <c r="H593" s="52">
        <f t="shared" si="1222"/>
        <v>0</v>
      </c>
      <c r="I593" s="743" t="str">
        <f t="shared" ref="I593" si="1223">IFERROR((H594/H593),"-")</f>
        <v>-</v>
      </c>
      <c r="J593" s="2"/>
      <c r="K593" s="52">
        <f>SUMIF($G$597:$G$614,$G$593,K597:K614)</f>
        <v>0</v>
      </c>
      <c r="L593" s="52">
        <f t="shared" ref="L593:P593" si="1224">SUMIF($G$597:$G$614,$G$593,L597:L614)</f>
        <v>0</v>
      </c>
      <c r="M593" s="52">
        <f t="shared" si="1224"/>
        <v>0</v>
      </c>
      <c r="N593" s="52">
        <f t="shared" si="1224"/>
        <v>0</v>
      </c>
      <c r="O593" s="52">
        <f t="shared" si="1224"/>
        <v>0</v>
      </c>
      <c r="P593" s="52">
        <f t="shared" si="1224"/>
        <v>0</v>
      </c>
      <c r="Q593" s="52"/>
      <c r="R593" s="2"/>
      <c r="S593" s="52">
        <f ca="1">SUMIF($K$7:Q$7,"&lt;="&amp;$I$7,K593:P593)</f>
        <v>0</v>
      </c>
      <c r="T593" s="743" t="str">
        <f ca="1">IFERROR((S594/S593),"-")</f>
        <v>-</v>
      </c>
      <c r="U593" s="2"/>
      <c r="V593" s="52">
        <f>SUMIF($G$597:$G$614,$G$593,V597:V614)</f>
        <v>0</v>
      </c>
      <c r="W593" s="52">
        <f t="shared" ref="W593:AA593" si="1225">SUMIF($G$597:$G$614,$G$593,W597:W614)</f>
        <v>0</v>
      </c>
      <c r="X593" s="52">
        <f t="shared" si="1225"/>
        <v>0</v>
      </c>
      <c r="Y593" s="52">
        <f t="shared" si="1225"/>
        <v>0</v>
      </c>
      <c r="Z593" s="52">
        <f t="shared" si="1225"/>
        <v>0</v>
      </c>
      <c r="AA593" s="52">
        <f t="shared" si="1225"/>
        <v>0</v>
      </c>
      <c r="AB593" s="52"/>
      <c r="AC593" s="2"/>
      <c r="AD593" s="52">
        <f>SUMIF($V$7:AB$7,"&lt;="&amp;$I$7,V593:AB593)</f>
        <v>0</v>
      </c>
      <c r="AE593" s="743" t="str">
        <f>IFERROR((AD594/AD593),"-")</f>
        <v>-</v>
      </c>
      <c r="AF593" s="2"/>
      <c r="AG593" s="52">
        <f>SUMIF($G$597:$G$614,$G$593,AG597:AG614)</f>
        <v>0</v>
      </c>
      <c r="AH593" s="52">
        <f t="shared" ref="AH593:AL593" si="1226">SUMIF($G$597:$G$614,$G$593,AH597:AH614)</f>
        <v>0</v>
      </c>
      <c r="AI593" s="52">
        <f t="shared" si="1226"/>
        <v>0</v>
      </c>
      <c r="AJ593" s="52">
        <f t="shared" si="1226"/>
        <v>0</v>
      </c>
      <c r="AK593" s="52">
        <f t="shared" si="1226"/>
        <v>0</v>
      </c>
      <c r="AL593" s="52">
        <f t="shared" si="1226"/>
        <v>0</v>
      </c>
      <c r="AM593" s="52"/>
      <c r="AN593" s="2"/>
      <c r="AO593" s="52">
        <f ca="1">SUMIF($AG$7:AM$7,"&lt;="&amp;$I$7,AG593:AL593)</f>
        <v>0</v>
      </c>
      <c r="AP593" s="743" t="str">
        <f ca="1">IFERROR((AO594/AO593),"-")</f>
        <v>-</v>
      </c>
      <c r="AQ593" s="2"/>
      <c r="AR593" s="52">
        <f t="shared" ref="AR593:AW593" si="1227">SUMIF($G$597:$G$614,$G$430,AR597:AR614)</f>
        <v>0</v>
      </c>
      <c r="AS593" s="52">
        <f t="shared" si="1227"/>
        <v>0</v>
      </c>
      <c r="AT593" s="52">
        <f t="shared" si="1227"/>
        <v>0</v>
      </c>
      <c r="AU593" s="52">
        <f t="shared" si="1227"/>
        <v>0</v>
      </c>
      <c r="AV593" s="52">
        <f t="shared" si="1227"/>
        <v>0</v>
      </c>
      <c r="AW593" s="52">
        <f t="shared" si="1227"/>
        <v>0</v>
      </c>
      <c r="AX593" s="52"/>
      <c r="AY593" s="2"/>
      <c r="AZ593" s="52">
        <f ca="1">SUMIF($AR$7:AX$7,"&lt;="&amp;$I$7,AR593:AW593)</f>
        <v>0</v>
      </c>
      <c r="BA593" s="743" t="str">
        <f ca="1">IFERROR((AZ594/AZ593),"-")</f>
        <v>-</v>
      </c>
      <c r="BB593" s="2"/>
      <c r="BC593" s="52">
        <f t="shared" ref="BC593:BH593" si="1228">SUMIF($G$597:$G$614,$G$430,BC597:BC614)</f>
        <v>0</v>
      </c>
      <c r="BD593" s="52">
        <f t="shared" si="1228"/>
        <v>0</v>
      </c>
      <c r="BE593" s="52">
        <f t="shared" si="1228"/>
        <v>0</v>
      </c>
      <c r="BF593" s="52">
        <f t="shared" si="1228"/>
        <v>0</v>
      </c>
      <c r="BG593" s="52">
        <f t="shared" si="1228"/>
        <v>0</v>
      </c>
      <c r="BH593" s="52">
        <f t="shared" si="1228"/>
        <v>0</v>
      </c>
      <c r="BI593" s="52"/>
      <c r="BJ593" s="2"/>
      <c r="BK593" s="52">
        <f ca="1">SUMIF($BC$7:BI$7,"&lt;="&amp;$I$7,BC593:BH593)</f>
        <v>0</v>
      </c>
      <c r="BL593" s="743" t="str">
        <f ca="1">IFERROR((BK594/BK593),"-")</f>
        <v>-</v>
      </c>
      <c r="BM593" s="2"/>
      <c r="BN593" s="888">
        <v>0</v>
      </c>
      <c r="BO593" s="888">
        <v>0</v>
      </c>
      <c r="BP593" s="888">
        <f>SUM(BP597:BP614)</f>
        <v>0</v>
      </c>
      <c r="BQ593" s="743" t="str">
        <f t="shared" ref="BQ593" si="1229">IFERROR((BP593/BO593),"-")</f>
        <v>-</v>
      </c>
      <c r="BR593" s="2"/>
      <c r="BS593" s="888">
        <v>54</v>
      </c>
      <c r="BT593" s="888"/>
      <c r="BU593" s="888">
        <v>63</v>
      </c>
      <c r="BV593" s="888">
        <v>106</v>
      </c>
      <c r="BW593" s="1019">
        <f>IFERROR((BU593/BV593),"-")</f>
        <v>0.59433962264150941</v>
      </c>
      <c r="BX593" s="888">
        <v>63</v>
      </c>
      <c r="BY593" s="743">
        <f>IFERROR((BU593/BX593),"-")</f>
        <v>1</v>
      </c>
      <c r="BZ593" s="2"/>
      <c r="CA593" s="888">
        <v>63</v>
      </c>
      <c r="CB593" s="888">
        <f>CA593-BU593</f>
        <v>0</v>
      </c>
      <c r="CC593" s="2"/>
      <c r="CD593" s="84">
        <f>IFERROR(AVERAGEIF($V$7:AB$7,"&lt;="&amp;$I$7,V593:AB593),0)</f>
        <v>0</v>
      </c>
      <c r="CE593" s="40"/>
      <c r="CH593" s="93" t="str">
        <f t="shared" si="1189"/>
        <v xml:space="preserve">ESTACAS </v>
      </c>
    </row>
    <row r="594" spans="1:86" ht="15.75">
      <c r="B594" s="1038"/>
      <c r="C594" s="1323"/>
      <c r="E594" s="1323"/>
      <c r="G594" s="54" t="s">
        <v>38</v>
      </c>
      <c r="H594" s="52">
        <f t="shared" si="1222"/>
        <v>0</v>
      </c>
      <c r="I594" s="744"/>
      <c r="J594" s="2"/>
      <c r="K594" s="75">
        <f>SUMIF($G$597:$G$614,$G$594,K597:K614)</f>
        <v>0</v>
      </c>
      <c r="L594" s="75">
        <f t="shared" ref="L594:P594" si="1230">SUMIF($G$597:$G$614,$G$594,L597:L614)</f>
        <v>0</v>
      </c>
      <c r="M594" s="75">
        <f t="shared" si="1230"/>
        <v>0</v>
      </c>
      <c r="N594" s="75">
        <f t="shared" si="1230"/>
        <v>0</v>
      </c>
      <c r="O594" s="75">
        <f t="shared" si="1230"/>
        <v>0</v>
      </c>
      <c r="P594" s="75">
        <f t="shared" si="1230"/>
        <v>0</v>
      </c>
      <c r="Q594" s="52"/>
      <c r="R594" s="2"/>
      <c r="S594" s="52">
        <f ca="1">SUMIF($K$7:Q$7,"&lt;="&amp;$I$7,K594:P594)</f>
        <v>0</v>
      </c>
      <c r="T594" s="744"/>
      <c r="U594" s="2"/>
      <c r="V594" s="75">
        <f>SUMIF($G$597:$G$614,$G$594,V597:V614)</f>
        <v>0</v>
      </c>
      <c r="W594" s="75">
        <f t="shared" ref="W594:AA594" si="1231">SUMIF($G$597:$G$614,$G$594,W597:W614)</f>
        <v>0</v>
      </c>
      <c r="X594" s="75">
        <f t="shared" si="1231"/>
        <v>0</v>
      </c>
      <c r="Y594" s="75">
        <f t="shared" si="1231"/>
        <v>0</v>
      </c>
      <c r="Z594" s="75">
        <f t="shared" si="1231"/>
        <v>0</v>
      </c>
      <c r="AA594" s="75">
        <f t="shared" si="1231"/>
        <v>0</v>
      </c>
      <c r="AB594" s="52"/>
      <c r="AC594" s="2"/>
      <c r="AD594" s="52">
        <f>SUMIF($V$7:AB$7,"&lt;="&amp;$I$7,V594:AB594)</f>
        <v>0</v>
      </c>
      <c r="AE594" s="744"/>
      <c r="AF594" s="2"/>
      <c r="AG594" s="75">
        <f>SUMIF($G$597:$G$614,$G$594,AG597:AG614)</f>
        <v>0</v>
      </c>
      <c r="AH594" s="75">
        <f t="shared" ref="AH594:AL594" si="1232">SUMIF($G$597:$G$614,$G$594,AH597:AH614)</f>
        <v>0</v>
      </c>
      <c r="AI594" s="75">
        <f t="shared" si="1232"/>
        <v>0</v>
      </c>
      <c r="AJ594" s="75">
        <f t="shared" si="1232"/>
        <v>0</v>
      </c>
      <c r="AK594" s="75">
        <f t="shared" si="1232"/>
        <v>0</v>
      </c>
      <c r="AL594" s="75">
        <f t="shared" si="1232"/>
        <v>0</v>
      </c>
      <c r="AM594" s="52"/>
      <c r="AN594" s="2"/>
      <c r="AO594" s="52">
        <f ca="1">SUMIF($AG$7:AM$7,"&lt;="&amp;$I$7,AG594:AL594)</f>
        <v>0</v>
      </c>
      <c r="AP594" s="744"/>
      <c r="AQ594" s="2"/>
      <c r="AR594" s="75"/>
      <c r="AS594" s="75"/>
      <c r="AT594" s="75"/>
      <c r="AU594" s="75"/>
      <c r="AV594" s="75"/>
      <c r="AW594" s="75"/>
      <c r="AX594" s="52"/>
      <c r="AY594" s="2"/>
      <c r="AZ594" s="52">
        <f ca="1">SUMIF($AR$7:AX$7,"&lt;="&amp;$I$7,AR594:AW594)</f>
        <v>0</v>
      </c>
      <c r="BA594" s="744"/>
      <c r="BB594" s="2"/>
      <c r="BC594" s="75"/>
      <c r="BD594" s="75"/>
      <c r="BE594" s="75"/>
      <c r="BF594" s="75"/>
      <c r="BG594" s="75"/>
      <c r="BH594" s="75"/>
      <c r="BI594" s="52"/>
      <c r="BJ594" s="2"/>
      <c r="BK594" s="52">
        <f ca="1">SUMIF($BC$7:BI$7,"&lt;="&amp;$I$7,BC594:BH594)</f>
        <v>0</v>
      </c>
      <c r="BL594" s="744"/>
      <c r="BM594" s="2"/>
      <c r="BN594" s="888"/>
      <c r="BO594" s="888"/>
      <c r="BP594" s="889"/>
      <c r="BQ594" s="744"/>
      <c r="BR594" s="2"/>
      <c r="BS594" s="888"/>
      <c r="BT594" s="888"/>
      <c r="BU594" s="888"/>
      <c r="BV594" s="888"/>
      <c r="BW594" s="1019"/>
      <c r="BX594" s="888"/>
      <c r="BY594" s="743"/>
      <c r="BZ594" s="2"/>
      <c r="CA594" s="888"/>
      <c r="CB594" s="888"/>
      <c r="CC594" s="2"/>
      <c r="CD594" s="84">
        <f>IFERROR(AVERAGEIF($V$7:AB$7,"&lt;="&amp;$I$7,V594:AB594),0)</f>
        <v>0</v>
      </c>
      <c r="CE594" s="40"/>
      <c r="CH594" s="93" t="str">
        <f t="shared" si="1189"/>
        <v xml:space="preserve">ESTACAS </v>
      </c>
    </row>
    <row r="595" spans="1:86" ht="14.65" hidden="1" customHeight="1" outlineLevel="1">
      <c r="A595" s="73" t="s">
        <v>4116</v>
      </c>
      <c r="B595" s="739" t="s">
        <v>4117</v>
      </c>
      <c r="C595" s="740" t="s">
        <v>1437</v>
      </c>
      <c r="D595" s="2"/>
      <c r="E595" s="1019">
        <v>17</v>
      </c>
      <c r="F595" s="2"/>
      <c r="G595" s="53" t="s">
        <v>37</v>
      </c>
      <c r="H595" s="52">
        <f t="shared" si="1222"/>
        <v>0</v>
      </c>
      <c r="I595" s="743" t="str">
        <f t="shared" ref="I595" si="1233">IFERROR((H596/H595),"-")</f>
        <v>-</v>
      </c>
      <c r="J595" s="2"/>
      <c r="K595" s="52">
        <f t="shared" ref="K595:P595" ca="1" si="1234">SUMIF($G$444:$G$487,$G$430,K597:K614)</f>
        <v>0</v>
      </c>
      <c r="L595" s="52">
        <f t="shared" ca="1" si="1234"/>
        <v>0</v>
      </c>
      <c r="M595" s="52">
        <f t="shared" ca="1" si="1234"/>
        <v>0</v>
      </c>
      <c r="N595" s="52">
        <f t="shared" ca="1" si="1234"/>
        <v>0</v>
      </c>
      <c r="O595" s="52">
        <f t="shared" ca="1" si="1234"/>
        <v>0</v>
      </c>
      <c r="P595" s="52">
        <f t="shared" ca="1" si="1234"/>
        <v>0</v>
      </c>
      <c r="Q595" s="52"/>
      <c r="R595" s="2"/>
      <c r="S595" s="52">
        <f ca="1">SUMIF($K$7:Q$7,"&lt;="&amp;$I$7,K595:P595)</f>
        <v>0</v>
      </c>
      <c r="T595" s="743" t="str">
        <f ca="1">IFERROR((S596/S595),"-")</f>
        <v>-</v>
      </c>
      <c r="U595" s="2"/>
      <c r="V595" s="52">
        <f t="shared" ref="V595:AA595" ca="1" si="1235">SUMIF($G$444:$G$487,$G$430,V597:V614)</f>
        <v>0</v>
      </c>
      <c r="W595" s="52">
        <f t="shared" ca="1" si="1235"/>
        <v>0</v>
      </c>
      <c r="X595" s="52">
        <f t="shared" ca="1" si="1235"/>
        <v>0</v>
      </c>
      <c r="Y595" s="52">
        <f t="shared" ca="1" si="1235"/>
        <v>0</v>
      </c>
      <c r="Z595" s="52">
        <f t="shared" ca="1" si="1235"/>
        <v>0</v>
      </c>
      <c r="AA595" s="52">
        <f t="shared" ca="1" si="1235"/>
        <v>0</v>
      </c>
      <c r="AB595" s="52"/>
      <c r="AC595" s="2"/>
      <c r="AD595" s="52">
        <f ca="1">SUMIF($V$7:AB$7,"&lt;="&amp;$I$7,V595:AB595)</f>
        <v>0</v>
      </c>
      <c r="AE595" s="743" t="str">
        <f ca="1">IFERROR((AD596/AD595),"-")</f>
        <v>-</v>
      </c>
      <c r="AF595" s="2"/>
      <c r="AG595" s="52">
        <f t="shared" ref="AG595:AH595" si="1236">SUMIF($G$597:$G$614,$G$430,AG597:AG614)</f>
        <v>0</v>
      </c>
      <c r="AH595" s="52">
        <f t="shared" si="1236"/>
        <v>0</v>
      </c>
      <c r="AI595" s="52">
        <f>SUMIF($G$597:$G$614,$G$430,AI597:AI614)</f>
        <v>0</v>
      </c>
      <c r="AJ595" s="52">
        <f t="shared" ref="AJ595:AL595" si="1237">SUMIF($G$597:$G$614,$G$430,AJ597:AJ614)</f>
        <v>0</v>
      </c>
      <c r="AK595" s="52">
        <f t="shared" si="1237"/>
        <v>0</v>
      </c>
      <c r="AL595" s="52">
        <f t="shared" si="1237"/>
        <v>0</v>
      </c>
      <c r="AM595" s="52"/>
      <c r="AN595" s="2"/>
      <c r="AO595" s="52">
        <f ca="1">SUMIF($AG$7:AM$7,"&lt;="&amp;$I$7,AG595:AL595)</f>
        <v>0</v>
      </c>
      <c r="AP595" s="743" t="str">
        <f ca="1">IFERROR((AO596/AO595),"-")</f>
        <v>-</v>
      </c>
      <c r="AQ595" s="2"/>
      <c r="AR595" s="52">
        <f t="shared" ref="AR595:AX595" si="1238">SUMIF($G$597:$G$614,$G$430,AR597:AR614)</f>
        <v>0</v>
      </c>
      <c r="AS595" s="52">
        <f t="shared" si="1238"/>
        <v>0</v>
      </c>
      <c r="AT595" s="52">
        <f t="shared" si="1238"/>
        <v>0</v>
      </c>
      <c r="AU595" s="52">
        <f t="shared" si="1238"/>
        <v>0</v>
      </c>
      <c r="AV595" s="52">
        <f t="shared" si="1238"/>
        <v>0</v>
      </c>
      <c r="AW595" s="52">
        <f t="shared" si="1238"/>
        <v>0</v>
      </c>
      <c r="AX595" s="52">
        <f t="shared" si="1238"/>
        <v>0</v>
      </c>
      <c r="AY595" s="2"/>
      <c r="AZ595" s="52">
        <f ca="1">SUMIF($AR$7:AX$7,"&lt;="&amp;$I$7,AR595:AW595)</f>
        <v>0</v>
      </c>
      <c r="BA595" s="743" t="str">
        <f ca="1">IFERROR((AZ596/AZ595),"-")</f>
        <v>-</v>
      </c>
      <c r="BB595" s="2"/>
      <c r="BC595" s="52">
        <f t="shared" ref="BC595:BI595" si="1239">SUMIF($G$597:$G$614,$G$430,BC597:BC614)</f>
        <v>0</v>
      </c>
      <c r="BD595" s="52">
        <f t="shared" si="1239"/>
        <v>0</v>
      </c>
      <c r="BE595" s="52">
        <f t="shared" si="1239"/>
        <v>0</v>
      </c>
      <c r="BF595" s="52">
        <f t="shared" si="1239"/>
        <v>0</v>
      </c>
      <c r="BG595" s="52">
        <f t="shared" si="1239"/>
        <v>0</v>
      </c>
      <c r="BH595" s="52">
        <f t="shared" si="1239"/>
        <v>0</v>
      </c>
      <c r="BI595" s="52">
        <f t="shared" si="1239"/>
        <v>0</v>
      </c>
      <c r="BJ595" s="2"/>
      <c r="BK595" s="52">
        <f ca="1">SUMIF($BC$7:BI$7,"&lt;="&amp;$I$7,BC595:BH595)</f>
        <v>0</v>
      </c>
      <c r="BL595" s="743" t="str">
        <f ca="1">IFERROR((BK596/BK595),"-")</f>
        <v>-</v>
      </c>
      <c r="BM595" s="2"/>
      <c r="BN595" s="888">
        <v>0</v>
      </c>
      <c r="BO595" s="888">
        <v>0</v>
      </c>
      <c r="BP595" s="888">
        <f>SUM(BP597:BP614)</f>
        <v>0</v>
      </c>
      <c r="BQ595" s="743" t="str">
        <f t="shared" ref="BQ595" si="1240">IFERROR((BP595/BO595),"-")</f>
        <v>-</v>
      </c>
      <c r="BR595" s="2"/>
      <c r="BS595" s="888">
        <v>6</v>
      </c>
      <c r="BT595" s="888"/>
      <c r="BU595" s="888">
        <v>17</v>
      </c>
      <c r="BV595" s="888">
        <v>106</v>
      </c>
      <c r="BW595" s="1019">
        <f>IFERROR((BU595/BV595),"-")</f>
        <v>0.16037735849056603</v>
      </c>
      <c r="BX595" s="888">
        <v>17</v>
      </c>
      <c r="BY595" s="743">
        <f>IFERROR((BU595/BX595),"-")</f>
        <v>1</v>
      </c>
      <c r="BZ595" s="2"/>
      <c r="CA595" s="888">
        <v>17</v>
      </c>
      <c r="CB595" s="888">
        <f>CA595-BU595</f>
        <v>0</v>
      </c>
      <c r="CC595" s="2"/>
      <c r="CD595" s="84">
        <f ca="1">IFERROR(AVERAGEIF($V$7:AB$7,"&lt;="&amp;$I$7,V595:AB595),0)</f>
        <v>0</v>
      </c>
      <c r="CE595" s="2"/>
      <c r="CH595" s="93" t="str">
        <f t="shared" si="1189"/>
        <v>ESTACAS - E2</v>
      </c>
    </row>
    <row r="596" spans="1:86" ht="14.65" hidden="1" customHeight="1" outlineLevel="1">
      <c r="B596" s="1038"/>
      <c r="C596" s="1323"/>
      <c r="E596" s="1323"/>
      <c r="G596" s="54" t="s">
        <v>38</v>
      </c>
      <c r="H596" s="52">
        <f t="shared" si="1222"/>
        <v>0</v>
      </c>
      <c r="I596" s="744"/>
      <c r="J596" s="2"/>
      <c r="K596" s="75">
        <f>SUMIF($G$597:$G$614,$G$596,K597:K614)</f>
        <v>0</v>
      </c>
      <c r="L596" s="75">
        <f t="shared" ref="L596:P596" si="1241">SUMIF($G$597:$G$614,$G$596,L597:L614)</f>
        <v>0</v>
      </c>
      <c r="M596" s="75">
        <f t="shared" si="1241"/>
        <v>0</v>
      </c>
      <c r="N596" s="75">
        <f t="shared" si="1241"/>
        <v>0</v>
      </c>
      <c r="O596" s="75">
        <f t="shared" si="1241"/>
        <v>0</v>
      </c>
      <c r="P596" s="75">
        <f t="shared" si="1241"/>
        <v>0</v>
      </c>
      <c r="Q596" s="52"/>
      <c r="R596" s="2"/>
      <c r="S596" s="52">
        <f ca="1">SUMIF($K$7:Q$7,"&lt;="&amp;$I$7,K596:P596)</f>
        <v>0</v>
      </c>
      <c r="T596" s="744"/>
      <c r="U596" s="2"/>
      <c r="V596" s="75">
        <f t="shared" ref="V596:AA596" si="1242">SUMIF($G$597:$G$614,$G$596,V597:V614)</f>
        <v>0</v>
      </c>
      <c r="W596" s="75">
        <f t="shared" si="1242"/>
        <v>0</v>
      </c>
      <c r="X596" s="75">
        <f t="shared" si="1242"/>
        <v>0</v>
      </c>
      <c r="Y596" s="75">
        <f t="shared" si="1242"/>
        <v>0</v>
      </c>
      <c r="Z596" s="75">
        <f t="shared" si="1242"/>
        <v>0</v>
      </c>
      <c r="AA596" s="75">
        <f t="shared" si="1242"/>
        <v>0</v>
      </c>
      <c r="AB596" s="52"/>
      <c r="AC596" s="2"/>
      <c r="AD596" s="52">
        <f>SUMIF($V$7:AB$7,"&lt;="&amp;$I$7,V596:AB596)</f>
        <v>0</v>
      </c>
      <c r="AE596" s="744"/>
      <c r="AF596" s="2"/>
      <c r="AG596" s="75">
        <f t="shared" ref="AG596:AL596" si="1243">SUMIF($G$597:$G$614,$G$596,AG597:AG614)</f>
        <v>0</v>
      </c>
      <c r="AH596" s="75">
        <f t="shared" si="1243"/>
        <v>0</v>
      </c>
      <c r="AI596" s="75">
        <f t="shared" si="1243"/>
        <v>0</v>
      </c>
      <c r="AJ596" s="75">
        <f t="shared" si="1243"/>
        <v>0</v>
      </c>
      <c r="AK596" s="75">
        <f t="shared" si="1243"/>
        <v>0</v>
      </c>
      <c r="AL596" s="75">
        <f t="shared" si="1243"/>
        <v>0</v>
      </c>
      <c r="AM596" s="52"/>
      <c r="AN596" s="2"/>
      <c r="AO596" s="52">
        <f ca="1">SUMIF($AG$7:AM$7,"&lt;="&amp;$I$7,AG596:AL596)</f>
        <v>0</v>
      </c>
      <c r="AP596" s="744"/>
      <c r="AQ596" s="2"/>
      <c r="AR596" s="75"/>
      <c r="AS596" s="75"/>
      <c r="AT596" s="75"/>
      <c r="AU596" s="75"/>
      <c r="AV596" s="75"/>
      <c r="AW596" s="75"/>
      <c r="AX596" s="52"/>
      <c r="AY596" s="2"/>
      <c r="AZ596" s="52">
        <f ca="1">SUMIF($AR$7:AX$7,"&lt;="&amp;$I$7,AR596:AW596)</f>
        <v>0</v>
      </c>
      <c r="BA596" s="744"/>
      <c r="BB596" s="2"/>
      <c r="BC596" s="75"/>
      <c r="BD596" s="75"/>
      <c r="BE596" s="75"/>
      <c r="BF596" s="75"/>
      <c r="BG596" s="75"/>
      <c r="BH596" s="75"/>
      <c r="BI596" s="52"/>
      <c r="BJ596" s="2"/>
      <c r="BK596" s="52">
        <f ca="1">SUMIF($BC$7:BI$7,"&lt;="&amp;$I$7,BC596:BH596)</f>
        <v>0</v>
      </c>
      <c r="BL596" s="744"/>
      <c r="BM596" s="2"/>
      <c r="BN596" s="888"/>
      <c r="BO596" s="888"/>
      <c r="BP596" s="889"/>
      <c r="BQ596" s="744"/>
      <c r="BR596" s="2"/>
      <c r="BS596" s="888"/>
      <c r="BT596" s="888"/>
      <c r="BU596" s="888"/>
      <c r="BV596" s="888"/>
      <c r="BW596" s="1019"/>
      <c r="BX596" s="888"/>
      <c r="BY596" s="743"/>
      <c r="BZ596" s="2"/>
      <c r="CA596" s="888"/>
      <c r="CB596" s="888"/>
      <c r="CC596" s="2"/>
      <c r="CD596" s="84">
        <f>IFERROR(AVERAGEIF($V$7:AB$7,"&lt;="&amp;$I$7,V596:AB596),0)</f>
        <v>0</v>
      </c>
      <c r="CE596" s="2"/>
      <c r="CH596" s="93" t="str">
        <f t="shared" si="1189"/>
        <v>ESTACAS - E2</v>
      </c>
    </row>
    <row r="597" spans="1:86" ht="15.95" hidden="1" customHeight="1" outlineLevel="1">
      <c r="A597" s="74"/>
      <c r="B597" s="1012" t="s">
        <v>4063</v>
      </c>
      <c r="C597" s="1014" t="s">
        <v>1437</v>
      </c>
      <c r="D597" s="2"/>
      <c r="E597" s="1004">
        <v>0</v>
      </c>
      <c r="F597" s="2"/>
      <c r="G597" s="49" t="s">
        <v>37</v>
      </c>
      <c r="H597" s="705">
        <f t="shared" si="1222"/>
        <v>0</v>
      </c>
      <c r="I597" s="878" t="str">
        <f t="shared" ref="I597" si="1244">IFERROR((H598/H597),"-")</f>
        <v>-</v>
      </c>
      <c r="J597" s="2"/>
      <c r="K597" s="705"/>
      <c r="L597" s="705"/>
      <c r="M597" s="705"/>
      <c r="N597" s="705"/>
      <c r="O597" s="705"/>
      <c r="P597" s="705"/>
      <c r="Q597" s="705"/>
      <c r="R597" s="2"/>
      <c r="S597" s="705">
        <f ca="1">SUMIF($K$7:Q$7,"&lt;="&amp;$I$7,K597:P597)</f>
        <v>0</v>
      </c>
      <c r="T597" s="878" t="str">
        <f ca="1">IFERROR((S598/S597),"-")</f>
        <v>-</v>
      </c>
      <c r="U597" s="2"/>
      <c r="V597" s="705"/>
      <c r="W597" s="705"/>
      <c r="X597" s="705"/>
      <c r="Y597" s="705"/>
      <c r="Z597" s="705"/>
      <c r="AA597" s="705"/>
      <c r="AB597" s="705"/>
      <c r="AC597" s="2"/>
      <c r="AD597" s="705">
        <f ca="1">SUMIF($V$7:AB$7,"&lt;="&amp;$I$7,V597:AA597)</f>
        <v>0</v>
      </c>
      <c r="AE597" s="878" t="str">
        <f ca="1">IFERROR((AD598/AD597),"-")</f>
        <v>-</v>
      </c>
      <c r="AF597" s="2"/>
      <c r="AG597" s="705"/>
      <c r="AH597" s="705"/>
      <c r="AI597" s="705"/>
      <c r="AJ597" s="705"/>
      <c r="AK597" s="705"/>
      <c r="AL597" s="705"/>
      <c r="AM597" s="705"/>
      <c r="AN597" s="2"/>
      <c r="AO597" s="705">
        <f ca="1">SUMIF($AG$7:AM$7,"&lt;="&amp;$I$7,AG597:AL597)</f>
        <v>0</v>
      </c>
      <c r="AP597" s="878" t="str">
        <f ca="1">IFERROR((AO598/AO597),"-")</f>
        <v>-</v>
      </c>
      <c r="AQ597" s="2"/>
      <c r="AR597" s="705"/>
      <c r="AS597" s="705"/>
      <c r="AT597" s="705"/>
      <c r="AU597" s="705"/>
      <c r="AV597" s="705"/>
      <c r="AW597" s="705"/>
      <c r="AX597" s="705"/>
      <c r="AY597" s="2"/>
      <c r="AZ597" s="705">
        <f ca="1">SUMIF($AR$7:AX$7,"&lt;="&amp;$I$7,AR597:AW597)</f>
        <v>0</v>
      </c>
      <c r="BA597" s="878" t="str">
        <f ca="1">IFERROR((AZ598/AZ597),"-")</f>
        <v>-</v>
      </c>
      <c r="BB597" s="2"/>
      <c r="BC597" s="705"/>
      <c r="BD597" s="705"/>
      <c r="BE597" s="705"/>
      <c r="BF597" s="705"/>
      <c r="BG597" s="705"/>
      <c r="BH597" s="705"/>
      <c r="BI597" s="705"/>
      <c r="BJ597" s="2"/>
      <c r="BK597" s="705">
        <f ca="1">SUMIF($K$7:BI$7,"&lt;="&amp;$I$7,BC597:BH597)</f>
        <v>0</v>
      </c>
      <c r="BL597" s="878" t="str">
        <f ca="1">IFERROR((BK598/BK597),"-")</f>
        <v>-</v>
      </c>
      <c r="BM597" s="2"/>
      <c r="BN597" s="884">
        <v>0</v>
      </c>
      <c r="BO597" s="921">
        <v>0</v>
      </c>
      <c r="BP597" s="884">
        <f>SUM(M598:P598,V598:AB598,AG598:AM598,AR598:AX598)</f>
        <v>0</v>
      </c>
      <c r="BQ597" s="878" t="str">
        <f t="shared" ref="BQ597" si="1245">IFERROR((BP597/BO597),"-")</f>
        <v>-</v>
      </c>
      <c r="BR597" s="2"/>
      <c r="BS597" s="884"/>
      <c r="BT597" s="884"/>
      <c r="BU597" s="884">
        <v>0</v>
      </c>
      <c r="BV597" s="1016" t="e">
        <v>#N/A</v>
      </c>
      <c r="BW597" s="1004" t="str">
        <f>IFERROR((BU597/BV597),"-")</f>
        <v>-</v>
      </c>
      <c r="BX597" s="884">
        <v>0</v>
      </c>
      <c r="BY597" s="878" t="str">
        <f>IFERROR((BU597/BX597),"-")</f>
        <v>-</v>
      </c>
      <c r="BZ597" s="2"/>
      <c r="CA597" s="884">
        <v>0</v>
      </c>
      <c r="CB597" s="884">
        <v>0</v>
      </c>
      <c r="CC597" s="2"/>
      <c r="CD597" s="504">
        <f>IFERROR(AVERAGEIF($V$7:AB$7,"&lt;="&amp;$I$7,V597:AB597),0)</f>
        <v>0</v>
      </c>
      <c r="CE597" s="2"/>
      <c r="CH597" s="93" t="str">
        <f t="shared" si="1189"/>
        <v>E2 - Execução de estaca EE2.06</v>
      </c>
    </row>
    <row r="598" spans="1:86" ht="15.95" hidden="1" customHeight="1" outlineLevel="1">
      <c r="A598" s="74"/>
      <c r="B598" s="1013"/>
      <c r="C598" s="1034"/>
      <c r="D598" s="2"/>
      <c r="E598" s="1005"/>
      <c r="F598" s="2"/>
      <c r="G598" s="50" t="s">
        <v>38</v>
      </c>
      <c r="H598" s="705">
        <f t="shared" si="1222"/>
        <v>0</v>
      </c>
      <c r="I598" s="879"/>
      <c r="J598" s="2"/>
      <c r="K598" s="86"/>
      <c r="L598" s="86"/>
      <c r="M598" s="86"/>
      <c r="N598" s="86"/>
      <c r="O598" s="86"/>
      <c r="P598" s="86"/>
      <c r="Q598" s="706"/>
      <c r="R598" s="2"/>
      <c r="S598" s="705">
        <f ca="1">SUMIF($K$7:Q$7,"&lt;="&amp;$I$7,K598:P598)</f>
        <v>0</v>
      </c>
      <c r="T598" s="879"/>
      <c r="U598" s="2"/>
      <c r="V598" s="86"/>
      <c r="W598" s="86"/>
      <c r="X598" s="86"/>
      <c r="Y598" s="86"/>
      <c r="Z598" s="86"/>
      <c r="AA598" s="86"/>
      <c r="AB598" s="706"/>
      <c r="AC598" s="2"/>
      <c r="AD598" s="705">
        <f ca="1">SUMIF($V$7:AB$7,"&lt;="&amp;$I$7,V598:AA598)</f>
        <v>0</v>
      </c>
      <c r="AE598" s="879"/>
      <c r="AF598" s="2"/>
      <c r="AG598" s="86"/>
      <c r="AH598" s="86"/>
      <c r="AI598" s="86"/>
      <c r="AJ598" s="86"/>
      <c r="AK598" s="86"/>
      <c r="AL598" s="86"/>
      <c r="AM598" s="706"/>
      <c r="AN598" s="2"/>
      <c r="AO598" s="705">
        <f ca="1">SUMIF($AG$7:AM$7,"&lt;="&amp;$I$7,AG598:AL598)</f>
        <v>0</v>
      </c>
      <c r="AP598" s="879"/>
      <c r="AQ598" s="2"/>
      <c r="AR598" s="86"/>
      <c r="AS598" s="86"/>
      <c r="AT598" s="86"/>
      <c r="AU598" s="86"/>
      <c r="AV598" s="86"/>
      <c r="AW598" s="86"/>
      <c r="AX598" s="706"/>
      <c r="AY598" s="2"/>
      <c r="AZ598" s="705">
        <f ca="1">SUMIF($AR$7:AX$7,"&lt;="&amp;$I$7,AR598:AW598)</f>
        <v>0</v>
      </c>
      <c r="BA598" s="879"/>
      <c r="BB598" s="2"/>
      <c r="BC598" s="86"/>
      <c r="BD598" s="86"/>
      <c r="BE598" s="86"/>
      <c r="BF598" s="86"/>
      <c r="BG598" s="86"/>
      <c r="BH598" s="86"/>
      <c r="BI598" s="706"/>
      <c r="BJ598" s="2"/>
      <c r="BK598" s="705">
        <f ca="1">SUMIF($K$7:BI$7,"&lt;="&amp;$I$7,BC598:BH598)</f>
        <v>0</v>
      </c>
      <c r="BL598" s="879"/>
      <c r="BM598" s="2"/>
      <c r="BN598" s="885"/>
      <c r="BO598" s="922"/>
      <c r="BP598" s="885"/>
      <c r="BQ598" s="879"/>
      <c r="BR598" s="2"/>
      <c r="BS598" s="885"/>
      <c r="BT598" s="885"/>
      <c r="BU598" s="885"/>
      <c r="BV598" s="1017"/>
      <c r="BW598" s="1005"/>
      <c r="BX598" s="885"/>
      <c r="BY598" s="879"/>
      <c r="BZ598" s="2"/>
      <c r="CA598" s="885"/>
      <c r="CB598" s="885"/>
      <c r="CC598" s="2"/>
      <c r="CD598" s="504">
        <f>IFERROR(AVERAGEIF($V$7:AB$7,"&lt;="&amp;$I$7,V598:AB598),0)</f>
        <v>0</v>
      </c>
      <c r="CE598" s="2"/>
      <c r="CH598" s="93" t="str">
        <f t="shared" si="1189"/>
        <v>E2 - Execução de estaca EE2.06</v>
      </c>
    </row>
    <row r="599" spans="1:86" ht="15.95" hidden="1" customHeight="1" outlineLevel="1">
      <c r="A599" s="74"/>
      <c r="B599" s="1012" t="s">
        <v>4061</v>
      </c>
      <c r="C599" s="1014" t="s">
        <v>1437</v>
      </c>
      <c r="D599" s="2"/>
      <c r="E599" s="1004">
        <v>0</v>
      </c>
      <c r="F599" s="2"/>
      <c r="G599" s="49" t="s">
        <v>37</v>
      </c>
      <c r="H599" s="705">
        <f t="shared" si="1222"/>
        <v>0</v>
      </c>
      <c r="I599" s="878" t="str">
        <f t="shared" ref="I599" si="1246">IFERROR((H600/H599),"-")</f>
        <v>-</v>
      </c>
      <c r="J599" s="2"/>
      <c r="K599" s="705"/>
      <c r="L599" s="705"/>
      <c r="M599" s="705"/>
      <c r="N599" s="705"/>
      <c r="O599" s="705"/>
      <c r="P599" s="705"/>
      <c r="Q599" s="705"/>
      <c r="R599" s="2"/>
      <c r="S599" s="705">
        <f ca="1">SUMIF($K$7:Q$7,"&lt;="&amp;$I$7,K599:P599)</f>
        <v>0</v>
      </c>
      <c r="T599" s="878" t="str">
        <f ca="1">IFERROR((S600/S599),"-")</f>
        <v>-</v>
      </c>
      <c r="U599" s="2"/>
      <c r="V599" s="705"/>
      <c r="W599" s="705"/>
      <c r="X599" s="705"/>
      <c r="Y599" s="705"/>
      <c r="Z599" s="705"/>
      <c r="AA599" s="705"/>
      <c r="AB599" s="705"/>
      <c r="AC599" s="2"/>
      <c r="AD599" s="705">
        <f ca="1">SUMIF($V$7:AB$7,"&lt;="&amp;$I$7,V599:AA599)</f>
        <v>0</v>
      </c>
      <c r="AE599" s="878" t="str">
        <f ca="1">IFERROR((AD600/AD599),"-")</f>
        <v>-</v>
      </c>
      <c r="AF599" s="2"/>
      <c r="AG599" s="705"/>
      <c r="AH599" s="705"/>
      <c r="AI599" s="705"/>
      <c r="AJ599" s="705"/>
      <c r="AK599" s="705"/>
      <c r="AL599" s="705"/>
      <c r="AM599" s="705"/>
      <c r="AN599" s="2"/>
      <c r="AO599" s="705">
        <f ca="1">SUMIF($AG$7:AM$7,"&lt;="&amp;$I$7,AG599:AL599)</f>
        <v>0</v>
      </c>
      <c r="AP599" s="878" t="str">
        <f ca="1">IFERROR((AO600/AO599),"-")</f>
        <v>-</v>
      </c>
      <c r="AQ599" s="2"/>
      <c r="AR599" s="705"/>
      <c r="AS599" s="705"/>
      <c r="AT599" s="705"/>
      <c r="AU599" s="705"/>
      <c r="AV599" s="705"/>
      <c r="AW599" s="705"/>
      <c r="AX599" s="705"/>
      <c r="AY599" s="2"/>
      <c r="AZ599" s="705">
        <f ca="1">SUMIF($AR$7:AX$7,"&lt;="&amp;$I$7,AR599:AW599)</f>
        <v>0</v>
      </c>
      <c r="BA599" s="878" t="str">
        <f ca="1">IFERROR((AZ600/AZ599),"-")</f>
        <v>-</v>
      </c>
      <c r="BB599" s="2"/>
      <c r="BC599" s="705"/>
      <c r="BD599" s="705"/>
      <c r="BE599" s="705"/>
      <c r="BF599" s="705"/>
      <c r="BG599" s="705"/>
      <c r="BH599" s="705"/>
      <c r="BI599" s="705"/>
      <c r="BJ599" s="2"/>
      <c r="BK599" s="705">
        <f ca="1">SUMIF($K$7:BI$7,"&lt;="&amp;$I$7,BC599:BH599)</f>
        <v>0</v>
      </c>
      <c r="BL599" s="878" t="str">
        <f ca="1">IFERROR((BK600/BK599),"-")</f>
        <v>-</v>
      </c>
      <c r="BM599" s="2"/>
      <c r="BN599" s="884">
        <v>0</v>
      </c>
      <c r="BO599" s="921">
        <v>0</v>
      </c>
      <c r="BP599" s="884">
        <f>SUM(M600:P600,V600:AB600,AG600:AM600,AR600:AX600)</f>
        <v>0</v>
      </c>
      <c r="BQ599" s="878" t="str">
        <f t="shared" ref="BQ599" si="1247">IFERROR((BP599/BO599),"-")</f>
        <v>-</v>
      </c>
      <c r="BR599" s="2"/>
      <c r="BS599" s="884"/>
      <c r="BT599" s="884"/>
      <c r="BU599" s="884">
        <v>0</v>
      </c>
      <c r="BV599" s="1016" t="e">
        <v>#N/A</v>
      </c>
      <c r="BW599" s="1004" t="str">
        <f>IFERROR((BU599/BV599),"-")</f>
        <v>-</v>
      </c>
      <c r="BX599" s="884">
        <v>0</v>
      </c>
      <c r="BY599" s="878" t="str">
        <f>IFERROR((BU599/BX599),"-")</f>
        <v>-</v>
      </c>
      <c r="BZ599" s="2"/>
      <c r="CA599" s="884">
        <v>0</v>
      </c>
      <c r="CB599" s="884">
        <v>0</v>
      </c>
      <c r="CC599" s="2"/>
      <c r="CD599" s="504">
        <f>IFERROR(AVERAGEIF($V$7:AB$7,"&lt;="&amp;$I$7,V599:AB599),0)</f>
        <v>0</v>
      </c>
    </row>
    <row r="600" spans="1:86" ht="15.95" hidden="1" customHeight="1" outlineLevel="1">
      <c r="A600" s="74"/>
      <c r="B600" s="1013"/>
      <c r="C600" s="1034"/>
      <c r="D600" s="2"/>
      <c r="E600" s="1005"/>
      <c r="F600" s="2"/>
      <c r="G600" s="50" t="s">
        <v>38</v>
      </c>
      <c r="H600" s="705">
        <f t="shared" si="1222"/>
        <v>0</v>
      </c>
      <c r="I600" s="879"/>
      <c r="J600" s="2"/>
      <c r="K600" s="86"/>
      <c r="L600" s="86"/>
      <c r="M600" s="86"/>
      <c r="N600" s="86"/>
      <c r="O600" s="86"/>
      <c r="P600" s="86"/>
      <c r="Q600" s="706"/>
      <c r="R600" s="2"/>
      <c r="S600" s="705">
        <f ca="1">SUMIF($K$7:Q$7,"&lt;="&amp;$I$7,K600:P600)</f>
        <v>0</v>
      </c>
      <c r="T600" s="879"/>
      <c r="U600" s="2"/>
      <c r="V600" s="86"/>
      <c r="W600" s="86"/>
      <c r="X600" s="86"/>
      <c r="Y600" s="86"/>
      <c r="Z600" s="86"/>
      <c r="AA600" s="86"/>
      <c r="AB600" s="706"/>
      <c r="AC600" s="2"/>
      <c r="AD600" s="705">
        <f ca="1">SUMIF($V$7:AB$7,"&lt;="&amp;$I$7,V600:AA600)</f>
        <v>0</v>
      </c>
      <c r="AE600" s="879"/>
      <c r="AF600" s="2"/>
      <c r="AG600" s="86"/>
      <c r="AH600" s="86"/>
      <c r="AI600" s="86"/>
      <c r="AJ600" s="86"/>
      <c r="AK600" s="86"/>
      <c r="AL600" s="86"/>
      <c r="AM600" s="706"/>
      <c r="AN600" s="2"/>
      <c r="AO600" s="705">
        <f ca="1">SUMIF($AG$7:AM$7,"&lt;="&amp;$I$7,AG600:AL600)</f>
        <v>0</v>
      </c>
      <c r="AP600" s="879"/>
      <c r="AQ600" s="2"/>
      <c r="AR600" s="86"/>
      <c r="AS600" s="86"/>
      <c r="AT600" s="86"/>
      <c r="AU600" s="86"/>
      <c r="AV600" s="86"/>
      <c r="AW600" s="86"/>
      <c r="AX600" s="706"/>
      <c r="AY600" s="2"/>
      <c r="AZ600" s="705">
        <f ca="1">SUMIF($AR$7:AX$7,"&lt;="&amp;$I$7,AR600:AW600)</f>
        <v>0</v>
      </c>
      <c r="BA600" s="879"/>
      <c r="BB600" s="2"/>
      <c r="BC600" s="86"/>
      <c r="BD600" s="86"/>
      <c r="BE600" s="86"/>
      <c r="BF600" s="86"/>
      <c r="BG600" s="86"/>
      <c r="BH600" s="86"/>
      <c r="BI600" s="706"/>
      <c r="BJ600" s="2"/>
      <c r="BK600" s="705">
        <f ca="1">SUMIF($K$7:BI$7,"&lt;="&amp;$I$7,BC600:BH600)</f>
        <v>0</v>
      </c>
      <c r="BL600" s="879"/>
      <c r="BM600" s="2"/>
      <c r="BN600" s="885"/>
      <c r="BO600" s="922"/>
      <c r="BP600" s="885"/>
      <c r="BQ600" s="879"/>
      <c r="BR600" s="2"/>
      <c r="BS600" s="885"/>
      <c r="BT600" s="885"/>
      <c r="BU600" s="885"/>
      <c r="BV600" s="1017"/>
      <c r="BW600" s="1005"/>
      <c r="BX600" s="885"/>
      <c r="BY600" s="879"/>
      <c r="BZ600" s="2"/>
      <c r="CA600" s="885"/>
      <c r="CB600" s="885"/>
      <c r="CC600" s="2"/>
      <c r="CD600" s="504">
        <f>IFERROR(AVERAGEIF($V$7:AB$7,"&lt;="&amp;$I$7,V600:AB600),0)</f>
        <v>0</v>
      </c>
    </row>
    <row r="601" spans="1:86" ht="15.95" hidden="1" customHeight="1" outlineLevel="1">
      <c r="A601" s="74"/>
      <c r="B601" s="1012" t="s">
        <v>4072</v>
      </c>
      <c r="C601" s="1014" t="s">
        <v>1437</v>
      </c>
      <c r="D601" s="2"/>
      <c r="E601" s="1004">
        <v>0</v>
      </c>
      <c r="F601" s="2"/>
      <c r="G601" s="49" t="s">
        <v>37</v>
      </c>
      <c r="H601" s="705">
        <f t="shared" si="1222"/>
        <v>0</v>
      </c>
      <c r="I601" s="878" t="str">
        <f t="shared" ref="I601" si="1248">IFERROR((H602/H601),"-")</f>
        <v>-</v>
      </c>
      <c r="J601" s="2"/>
      <c r="K601" s="705"/>
      <c r="L601" s="705"/>
      <c r="M601" s="705"/>
      <c r="N601" s="705"/>
      <c r="O601" s="705"/>
      <c r="P601" s="705"/>
      <c r="Q601" s="705"/>
      <c r="R601" s="2"/>
      <c r="S601" s="705">
        <f ca="1">SUMIF($K$7:Q$7,"&lt;="&amp;$I$7,K601:P601)</f>
        <v>0</v>
      </c>
      <c r="T601" s="878" t="str">
        <f ca="1">IFERROR((S602/S601),"-")</f>
        <v>-</v>
      </c>
      <c r="U601" s="2"/>
      <c r="V601" s="705"/>
      <c r="W601" s="705"/>
      <c r="X601" s="705"/>
      <c r="Y601" s="705"/>
      <c r="Z601" s="705"/>
      <c r="AA601" s="705"/>
      <c r="AB601" s="705"/>
      <c r="AC601" s="2"/>
      <c r="AD601" s="705">
        <f ca="1">SUMIF($V$7:AB$7,"&lt;="&amp;$I$7,V601:AA601)</f>
        <v>0</v>
      </c>
      <c r="AE601" s="878" t="str">
        <f ca="1">IFERROR((AD602/AD601),"-")</f>
        <v>-</v>
      </c>
      <c r="AF601" s="2"/>
      <c r="AG601" s="705"/>
      <c r="AH601" s="705"/>
      <c r="AI601" s="705"/>
      <c r="AJ601" s="705"/>
      <c r="AK601" s="705"/>
      <c r="AL601" s="705"/>
      <c r="AM601" s="705"/>
      <c r="AN601" s="2"/>
      <c r="AO601" s="705">
        <f ca="1">SUMIF($AG$7:AM$7,"&lt;="&amp;$I$7,AG601:AL601)</f>
        <v>0</v>
      </c>
      <c r="AP601" s="878" t="str">
        <f ca="1">IFERROR((AO602/AO601),"-")</f>
        <v>-</v>
      </c>
      <c r="AQ601" s="2"/>
      <c r="AR601" s="705"/>
      <c r="AS601" s="705"/>
      <c r="AT601" s="705"/>
      <c r="AU601" s="705"/>
      <c r="AV601" s="705"/>
      <c r="AW601" s="705"/>
      <c r="AX601" s="705"/>
      <c r="AY601" s="2"/>
      <c r="AZ601" s="705">
        <f ca="1">SUMIF($AR$7:AX$7,"&lt;="&amp;$I$7,AR601:AW601)</f>
        <v>0</v>
      </c>
      <c r="BA601" s="878" t="str">
        <f ca="1">IFERROR((AZ602/AZ601),"-")</f>
        <v>-</v>
      </c>
      <c r="BB601" s="2"/>
      <c r="BC601" s="705"/>
      <c r="BD601" s="705"/>
      <c r="BE601" s="705"/>
      <c r="BF601" s="705"/>
      <c r="BG601" s="705"/>
      <c r="BH601" s="705"/>
      <c r="BI601" s="705"/>
      <c r="BJ601" s="2"/>
      <c r="BK601" s="705">
        <f ca="1">SUMIF($K$7:BI$7,"&lt;="&amp;$I$7,BC601:BH601)</f>
        <v>0</v>
      </c>
      <c r="BL601" s="878" t="str">
        <f ca="1">IFERROR((BK602/BK601),"-")</f>
        <v>-</v>
      </c>
      <c r="BM601" s="2"/>
      <c r="BN601" s="884">
        <v>0</v>
      </c>
      <c r="BO601" s="921">
        <v>0</v>
      </c>
      <c r="BP601" s="884">
        <f>SUM(M602:P602,V602:AB602,AG602:AM602,AR602:AX602)</f>
        <v>0</v>
      </c>
      <c r="BQ601" s="878" t="str">
        <f t="shared" ref="BQ601" si="1249">IFERROR((BP601/BO601),"-")</f>
        <v>-</v>
      </c>
      <c r="BR601" s="2"/>
      <c r="BS601" s="884"/>
      <c r="BT601" s="884"/>
      <c r="BU601" s="884">
        <v>0</v>
      </c>
      <c r="BV601" s="1016" t="e">
        <v>#N/A</v>
      </c>
      <c r="BW601" s="1004" t="str">
        <f>IFERROR((BU601/BV601),"-")</f>
        <v>-</v>
      </c>
      <c r="BX601" s="884">
        <v>0</v>
      </c>
      <c r="BY601" s="878" t="str">
        <f>IFERROR((BU601/BX601),"-")</f>
        <v>-</v>
      </c>
      <c r="BZ601" s="2"/>
      <c r="CA601" s="884">
        <v>0</v>
      </c>
      <c r="CB601" s="884">
        <v>0</v>
      </c>
      <c r="CC601" s="2"/>
      <c r="CD601" s="504">
        <f>IFERROR(AVERAGEIF($V$7:AB$7,"&lt;="&amp;$I$7,V601:AB601),0)</f>
        <v>0</v>
      </c>
    </row>
    <row r="602" spans="1:86" ht="15.95" hidden="1" customHeight="1" outlineLevel="1">
      <c r="A602" s="74"/>
      <c r="B602" s="1013"/>
      <c r="C602" s="1034"/>
      <c r="D602" s="2"/>
      <c r="E602" s="1005"/>
      <c r="F602" s="2"/>
      <c r="G602" s="50" t="s">
        <v>38</v>
      </c>
      <c r="H602" s="705">
        <f t="shared" si="1222"/>
        <v>0</v>
      </c>
      <c r="I602" s="879"/>
      <c r="J602" s="2"/>
      <c r="K602" s="86"/>
      <c r="L602" s="86"/>
      <c r="M602" s="86"/>
      <c r="N602" s="86"/>
      <c r="O602" s="86"/>
      <c r="P602" s="86"/>
      <c r="Q602" s="706"/>
      <c r="R602" s="2"/>
      <c r="S602" s="705">
        <f ca="1">SUMIF($K$7:Q$7,"&lt;="&amp;$I$7,K602:P602)</f>
        <v>0</v>
      </c>
      <c r="T602" s="879"/>
      <c r="U602" s="2"/>
      <c r="V602" s="86"/>
      <c r="W602" s="86"/>
      <c r="X602" s="86"/>
      <c r="Y602" s="86"/>
      <c r="Z602" s="86"/>
      <c r="AA602" s="86"/>
      <c r="AB602" s="706"/>
      <c r="AC602" s="2"/>
      <c r="AD602" s="705">
        <f ca="1">SUMIF($V$7:AB$7,"&lt;="&amp;$I$7,V602:AA602)</f>
        <v>0</v>
      </c>
      <c r="AE602" s="879"/>
      <c r="AF602" s="2"/>
      <c r="AG602" s="86"/>
      <c r="AH602" s="86"/>
      <c r="AI602" s="86"/>
      <c r="AJ602" s="86"/>
      <c r="AK602" s="86"/>
      <c r="AL602" s="86"/>
      <c r="AM602" s="706"/>
      <c r="AN602" s="2"/>
      <c r="AO602" s="705">
        <f ca="1">SUMIF($AG$7:AM$7,"&lt;="&amp;$I$7,AG602:AL602)</f>
        <v>0</v>
      </c>
      <c r="AP602" s="879"/>
      <c r="AQ602" s="2"/>
      <c r="AR602" s="86"/>
      <c r="AS602" s="86"/>
      <c r="AT602" s="86"/>
      <c r="AU602" s="86"/>
      <c r="AV602" s="86"/>
      <c r="AW602" s="86"/>
      <c r="AX602" s="706"/>
      <c r="AY602" s="2"/>
      <c r="AZ602" s="705">
        <f ca="1">SUMIF($AR$7:AX$7,"&lt;="&amp;$I$7,AR602:AW602)</f>
        <v>0</v>
      </c>
      <c r="BA602" s="879"/>
      <c r="BB602" s="2"/>
      <c r="BC602" s="86"/>
      <c r="BD602" s="86"/>
      <c r="BE602" s="86"/>
      <c r="BF602" s="86"/>
      <c r="BG602" s="86"/>
      <c r="BH602" s="86"/>
      <c r="BI602" s="706"/>
      <c r="BJ602" s="2"/>
      <c r="BK602" s="705">
        <f ca="1">SUMIF($K$7:BI$7,"&lt;="&amp;$I$7,BC602:BH602)</f>
        <v>0</v>
      </c>
      <c r="BL602" s="879"/>
      <c r="BM602" s="2"/>
      <c r="BN602" s="885"/>
      <c r="BO602" s="922"/>
      <c r="BP602" s="885"/>
      <c r="BQ602" s="879"/>
      <c r="BR602" s="2"/>
      <c r="BS602" s="885"/>
      <c r="BT602" s="885"/>
      <c r="BU602" s="885"/>
      <c r="BV602" s="1017"/>
      <c r="BW602" s="1005"/>
      <c r="BX602" s="885"/>
      <c r="BY602" s="879"/>
      <c r="BZ602" s="2"/>
      <c r="CA602" s="885"/>
      <c r="CB602" s="885"/>
      <c r="CC602" s="2"/>
      <c r="CD602" s="504">
        <f>IFERROR(AVERAGEIF($V$7:AB$7,"&lt;="&amp;$I$7,V602:AB602),0)</f>
        <v>0</v>
      </c>
    </row>
    <row r="603" spans="1:86" ht="15.95" hidden="1" customHeight="1" outlineLevel="1">
      <c r="A603" s="74"/>
      <c r="B603" s="1012" t="s">
        <v>4064</v>
      </c>
      <c r="C603" s="1014" t="s">
        <v>1437</v>
      </c>
      <c r="D603" s="2"/>
      <c r="E603" s="1004">
        <v>0</v>
      </c>
      <c r="F603" s="2"/>
      <c r="G603" s="49" t="s">
        <v>37</v>
      </c>
      <c r="H603" s="705">
        <f t="shared" si="1222"/>
        <v>0</v>
      </c>
      <c r="I603" s="878" t="str">
        <f t="shared" ref="I603" si="1250">IFERROR((H604/H603),"-")</f>
        <v>-</v>
      </c>
      <c r="J603" s="2"/>
      <c r="K603" s="705"/>
      <c r="L603" s="705"/>
      <c r="M603" s="705"/>
      <c r="N603" s="705"/>
      <c r="O603" s="705"/>
      <c r="P603" s="705"/>
      <c r="Q603" s="705"/>
      <c r="R603" s="2"/>
      <c r="S603" s="705">
        <f ca="1">SUMIF($K$7:Q$7,"&lt;="&amp;$I$7,K603:P603)</f>
        <v>0</v>
      </c>
      <c r="T603" s="878" t="str">
        <f ca="1">IFERROR((S604/S603),"-")</f>
        <v>-</v>
      </c>
      <c r="U603" s="2"/>
      <c r="V603" s="705"/>
      <c r="W603" s="705"/>
      <c r="X603" s="705"/>
      <c r="Y603" s="705"/>
      <c r="Z603" s="705"/>
      <c r="AA603" s="705"/>
      <c r="AB603" s="705"/>
      <c r="AC603" s="2"/>
      <c r="AD603" s="705">
        <f ca="1">SUMIF($V$7:AB$7,"&lt;="&amp;$I$7,V603:AA603)</f>
        <v>0</v>
      </c>
      <c r="AE603" s="878" t="str">
        <f ca="1">IFERROR((AD604/AD603),"-")</f>
        <v>-</v>
      </c>
      <c r="AF603" s="2"/>
      <c r="AG603" s="705"/>
      <c r="AH603" s="705"/>
      <c r="AI603" s="705"/>
      <c r="AJ603" s="705"/>
      <c r="AK603" s="705"/>
      <c r="AL603" s="705"/>
      <c r="AM603" s="705"/>
      <c r="AN603" s="2"/>
      <c r="AO603" s="705">
        <f ca="1">SUMIF($AG$7:AM$7,"&lt;="&amp;$I$7,AG603:AL603)</f>
        <v>0</v>
      </c>
      <c r="AP603" s="878" t="str">
        <f ca="1">IFERROR((AO604/AO603),"-")</f>
        <v>-</v>
      </c>
      <c r="AQ603" s="2"/>
      <c r="AR603" s="705"/>
      <c r="AS603" s="705"/>
      <c r="AT603" s="705"/>
      <c r="AU603" s="705"/>
      <c r="AV603" s="705"/>
      <c r="AW603" s="705"/>
      <c r="AX603" s="705"/>
      <c r="AY603" s="2"/>
      <c r="AZ603" s="705">
        <f ca="1">SUMIF($AR$7:AX$7,"&lt;="&amp;$I$7,AR603:AW603)</f>
        <v>0</v>
      </c>
      <c r="BA603" s="878" t="str">
        <f ca="1">IFERROR((AZ604/AZ603),"-")</f>
        <v>-</v>
      </c>
      <c r="BB603" s="2"/>
      <c r="BC603" s="705"/>
      <c r="BD603" s="705"/>
      <c r="BE603" s="705"/>
      <c r="BF603" s="705"/>
      <c r="BG603" s="705"/>
      <c r="BH603" s="705"/>
      <c r="BI603" s="705"/>
      <c r="BJ603" s="2"/>
      <c r="BK603" s="705">
        <f ca="1">SUMIF($K$7:BI$7,"&lt;="&amp;$I$7,BC603:BH603)</f>
        <v>0</v>
      </c>
      <c r="BL603" s="878" t="str">
        <f ca="1">IFERROR((BK604/BK603),"-")</f>
        <v>-</v>
      </c>
      <c r="BM603" s="2"/>
      <c r="BN603" s="884">
        <v>0</v>
      </c>
      <c r="BO603" s="921">
        <v>0</v>
      </c>
      <c r="BP603" s="884">
        <f>SUM(M604:P604,V604:AB604,AG604:AM604,AR604:AX604)</f>
        <v>0</v>
      </c>
      <c r="BQ603" s="878" t="str">
        <f t="shared" ref="BQ603" si="1251">IFERROR((BP603/BO603),"-")</f>
        <v>-</v>
      </c>
      <c r="BR603" s="2"/>
      <c r="BS603" s="884"/>
      <c r="BT603" s="884"/>
      <c r="BU603" s="884">
        <v>0</v>
      </c>
      <c r="BV603" s="1016" t="e">
        <v>#N/A</v>
      </c>
      <c r="BW603" s="1004" t="str">
        <f>IFERROR((BU603/BV603),"-")</f>
        <v>-</v>
      </c>
      <c r="BX603" s="884">
        <v>0</v>
      </c>
      <c r="BY603" s="878" t="str">
        <f>IFERROR((BU603/BX603),"-")</f>
        <v>-</v>
      </c>
      <c r="BZ603" s="2"/>
      <c r="CA603" s="884">
        <v>0</v>
      </c>
      <c r="CB603" s="884">
        <v>0</v>
      </c>
      <c r="CC603" s="2"/>
      <c r="CD603" s="504">
        <f>IFERROR(AVERAGEIF($V$7:AB$7,"&lt;="&amp;$I$7,V603:AB603),0)</f>
        <v>0</v>
      </c>
    </row>
    <row r="604" spans="1:86" ht="15.95" hidden="1" customHeight="1" outlineLevel="1">
      <c r="A604" s="74"/>
      <c r="B604" s="1013"/>
      <c r="C604" s="1034"/>
      <c r="D604" s="2"/>
      <c r="E604" s="1005"/>
      <c r="F604" s="2"/>
      <c r="G604" s="50" t="s">
        <v>38</v>
      </c>
      <c r="H604" s="705">
        <f t="shared" si="1222"/>
        <v>0</v>
      </c>
      <c r="I604" s="879"/>
      <c r="J604" s="2"/>
      <c r="K604" s="86"/>
      <c r="L604" s="86"/>
      <c r="M604" s="86"/>
      <c r="N604" s="86"/>
      <c r="O604" s="86"/>
      <c r="P604" s="86"/>
      <c r="Q604" s="706"/>
      <c r="R604" s="2"/>
      <c r="S604" s="705">
        <f ca="1">SUMIF($K$7:Q$7,"&lt;="&amp;$I$7,K604:P604)</f>
        <v>0</v>
      </c>
      <c r="T604" s="879"/>
      <c r="U604" s="2"/>
      <c r="V604" s="86"/>
      <c r="W604" s="86"/>
      <c r="X604" s="86"/>
      <c r="Y604" s="86"/>
      <c r="Z604" s="86"/>
      <c r="AA604" s="86"/>
      <c r="AB604" s="706"/>
      <c r="AC604" s="2"/>
      <c r="AD604" s="705">
        <f ca="1">SUMIF($V$7:AB$7,"&lt;="&amp;$I$7,V604:AA604)</f>
        <v>0</v>
      </c>
      <c r="AE604" s="879"/>
      <c r="AF604" s="2"/>
      <c r="AG604" s="86"/>
      <c r="AH604" s="86"/>
      <c r="AI604" s="86"/>
      <c r="AJ604" s="86"/>
      <c r="AK604" s="86"/>
      <c r="AL604" s="86"/>
      <c r="AM604" s="706"/>
      <c r="AN604" s="2"/>
      <c r="AO604" s="705">
        <f ca="1">SUMIF($AG$7:AM$7,"&lt;="&amp;$I$7,AG604:AL604)</f>
        <v>0</v>
      </c>
      <c r="AP604" s="879"/>
      <c r="AQ604" s="2"/>
      <c r="AR604" s="86"/>
      <c r="AS604" s="86"/>
      <c r="AT604" s="86"/>
      <c r="AU604" s="86"/>
      <c r="AV604" s="86"/>
      <c r="AW604" s="86"/>
      <c r="AX604" s="706"/>
      <c r="AY604" s="2"/>
      <c r="AZ604" s="705">
        <f ca="1">SUMIF($AR$7:AX$7,"&lt;="&amp;$I$7,AR604:AW604)</f>
        <v>0</v>
      </c>
      <c r="BA604" s="879"/>
      <c r="BB604" s="2"/>
      <c r="BC604" s="86"/>
      <c r="BD604" s="86"/>
      <c r="BE604" s="86"/>
      <c r="BF604" s="86"/>
      <c r="BG604" s="86"/>
      <c r="BH604" s="86"/>
      <c r="BI604" s="706"/>
      <c r="BJ604" s="2"/>
      <c r="BK604" s="705">
        <f ca="1">SUMIF($K$7:BI$7,"&lt;="&amp;$I$7,BC604:BH604)</f>
        <v>0</v>
      </c>
      <c r="BL604" s="879"/>
      <c r="BM604" s="2"/>
      <c r="BN604" s="885"/>
      <c r="BO604" s="922"/>
      <c r="BP604" s="885"/>
      <c r="BQ604" s="879"/>
      <c r="BR604" s="2"/>
      <c r="BS604" s="885"/>
      <c r="BT604" s="885"/>
      <c r="BU604" s="885"/>
      <c r="BV604" s="1017"/>
      <c r="BW604" s="1005"/>
      <c r="BX604" s="885"/>
      <c r="BY604" s="879"/>
      <c r="BZ604" s="2"/>
      <c r="CA604" s="885"/>
      <c r="CB604" s="885"/>
      <c r="CC604" s="2"/>
      <c r="CD604" s="504">
        <f>IFERROR(AVERAGEIF($V$7:AB$7,"&lt;="&amp;$I$7,V604:AB604),0)</f>
        <v>0</v>
      </c>
    </row>
    <row r="605" spans="1:86" ht="15.95" hidden="1" customHeight="1" outlineLevel="1">
      <c r="A605" s="74"/>
      <c r="B605" s="1012" t="s">
        <v>4070</v>
      </c>
      <c r="C605" s="1014" t="s">
        <v>1437</v>
      </c>
      <c r="D605" s="2"/>
      <c r="E605" s="1004">
        <v>0</v>
      </c>
      <c r="F605" s="2"/>
      <c r="G605" s="49" t="s">
        <v>37</v>
      </c>
      <c r="H605" s="705">
        <f t="shared" si="1222"/>
        <v>0</v>
      </c>
      <c r="I605" s="878" t="str">
        <f t="shared" ref="I605" si="1252">IFERROR((H606/H605),"-")</f>
        <v>-</v>
      </c>
      <c r="J605" s="2"/>
      <c r="K605" s="705"/>
      <c r="L605" s="705"/>
      <c r="M605" s="705"/>
      <c r="N605" s="705"/>
      <c r="O605" s="705"/>
      <c r="P605" s="705"/>
      <c r="Q605" s="705"/>
      <c r="R605" s="2"/>
      <c r="S605" s="705">
        <f ca="1">SUMIF($K$7:Q$7,"&lt;="&amp;$I$7,K605:P605)</f>
        <v>0</v>
      </c>
      <c r="T605" s="878" t="str">
        <f ca="1">IFERROR((S606/S605),"-")</f>
        <v>-</v>
      </c>
      <c r="U605" s="2"/>
      <c r="V605" s="705"/>
      <c r="W605" s="705"/>
      <c r="X605" s="705"/>
      <c r="Y605" s="705"/>
      <c r="Z605" s="705"/>
      <c r="AA605" s="705"/>
      <c r="AB605" s="705"/>
      <c r="AC605" s="2"/>
      <c r="AD605" s="705">
        <f ca="1">SUMIF($V$7:AB$7,"&lt;="&amp;$I$7,V605:AA605)</f>
        <v>0</v>
      </c>
      <c r="AE605" s="878" t="str">
        <f ca="1">IFERROR((AD606/AD605),"-")</f>
        <v>-</v>
      </c>
      <c r="AF605" s="2"/>
      <c r="AG605" s="705"/>
      <c r="AH605" s="705"/>
      <c r="AI605" s="705"/>
      <c r="AJ605" s="705"/>
      <c r="AK605" s="705"/>
      <c r="AL605" s="705"/>
      <c r="AM605" s="705"/>
      <c r="AN605" s="2"/>
      <c r="AO605" s="705">
        <f ca="1">SUMIF($AG$7:AM$7,"&lt;="&amp;$I$7,AG605:AL605)</f>
        <v>0</v>
      </c>
      <c r="AP605" s="878" t="str">
        <f ca="1">IFERROR((AO606/AO605),"-")</f>
        <v>-</v>
      </c>
      <c r="AQ605" s="2"/>
      <c r="AR605" s="705"/>
      <c r="AS605" s="705"/>
      <c r="AT605" s="705"/>
      <c r="AU605" s="705"/>
      <c r="AV605" s="705"/>
      <c r="AW605" s="705"/>
      <c r="AX605" s="705"/>
      <c r="AY605" s="2"/>
      <c r="AZ605" s="705">
        <f ca="1">SUMIF($AR$7:AX$7,"&lt;="&amp;$I$7,AR605:AW605)</f>
        <v>0</v>
      </c>
      <c r="BA605" s="878" t="str">
        <f ca="1">IFERROR((AZ606/AZ605),"-")</f>
        <v>-</v>
      </c>
      <c r="BB605" s="2"/>
      <c r="BC605" s="705"/>
      <c r="BD605" s="705"/>
      <c r="BE605" s="705"/>
      <c r="BF605" s="705"/>
      <c r="BG605" s="705"/>
      <c r="BH605" s="705"/>
      <c r="BI605" s="705"/>
      <c r="BJ605" s="2"/>
      <c r="BK605" s="705">
        <f ca="1">SUMIF($K$7:BI$7,"&lt;="&amp;$I$7,BC605:BH605)</f>
        <v>0</v>
      </c>
      <c r="BL605" s="878" t="str">
        <f ca="1">IFERROR((BK606/BK605),"-")</f>
        <v>-</v>
      </c>
      <c r="BM605" s="2"/>
      <c r="BN605" s="884">
        <v>0</v>
      </c>
      <c r="BO605" s="921">
        <v>0</v>
      </c>
      <c r="BP605" s="884">
        <f>SUM(M606:P606,V606:AB606,AG606:AM606,AR606:AX606)</f>
        <v>0</v>
      </c>
      <c r="BQ605" s="878" t="str">
        <f t="shared" ref="BQ605" si="1253">IFERROR((BP605/BO605),"-")</f>
        <v>-</v>
      </c>
      <c r="BR605" s="2"/>
      <c r="BS605" s="884"/>
      <c r="BT605" s="884"/>
      <c r="BU605" s="884">
        <v>0</v>
      </c>
      <c r="BV605" s="1016" t="e">
        <v>#N/A</v>
      </c>
      <c r="BW605" s="1004" t="str">
        <f>IFERROR((BU605/BV605),"-")</f>
        <v>-</v>
      </c>
      <c r="BX605" s="884">
        <v>0</v>
      </c>
      <c r="BY605" s="878" t="str">
        <f>IFERROR((BU605/BX605),"-")</f>
        <v>-</v>
      </c>
      <c r="BZ605" s="2"/>
      <c r="CA605" s="884">
        <v>0</v>
      </c>
      <c r="CB605" s="884">
        <v>0</v>
      </c>
      <c r="CC605" s="2"/>
      <c r="CD605" s="504">
        <f>IFERROR(AVERAGEIF($V$7:AB$7,"&lt;="&amp;$I$7,V605:AB605),0)</f>
        <v>0</v>
      </c>
    </row>
    <row r="606" spans="1:86" ht="15.95" hidden="1" customHeight="1" outlineLevel="1">
      <c r="A606" s="74"/>
      <c r="B606" s="1013"/>
      <c r="C606" s="1034"/>
      <c r="D606" s="2"/>
      <c r="E606" s="1005"/>
      <c r="F606" s="2"/>
      <c r="G606" s="50" t="s">
        <v>38</v>
      </c>
      <c r="H606" s="705">
        <f t="shared" si="1222"/>
        <v>0</v>
      </c>
      <c r="I606" s="879"/>
      <c r="J606" s="2"/>
      <c r="K606" s="86"/>
      <c r="L606" s="86"/>
      <c r="M606" s="86"/>
      <c r="N606" s="86"/>
      <c r="O606" s="86"/>
      <c r="P606" s="86"/>
      <c r="Q606" s="706"/>
      <c r="R606" s="2"/>
      <c r="S606" s="705">
        <f ca="1">SUMIF($K$7:Q$7,"&lt;="&amp;$I$7,K606:P606)</f>
        <v>0</v>
      </c>
      <c r="T606" s="879"/>
      <c r="U606" s="2"/>
      <c r="V606" s="86"/>
      <c r="W606" s="86"/>
      <c r="X606" s="86"/>
      <c r="Y606" s="86"/>
      <c r="Z606" s="86"/>
      <c r="AA606" s="86"/>
      <c r="AB606" s="706"/>
      <c r="AC606" s="2"/>
      <c r="AD606" s="705">
        <f ca="1">SUMIF($V$7:AB$7,"&lt;="&amp;$I$7,V606:AA606)</f>
        <v>0</v>
      </c>
      <c r="AE606" s="879"/>
      <c r="AF606" s="2"/>
      <c r="AG606" s="86"/>
      <c r="AH606" s="86"/>
      <c r="AI606" s="86"/>
      <c r="AJ606" s="86"/>
      <c r="AK606" s="86"/>
      <c r="AL606" s="86"/>
      <c r="AM606" s="706"/>
      <c r="AN606" s="2"/>
      <c r="AO606" s="705">
        <f ca="1">SUMIF($AG$7:AM$7,"&lt;="&amp;$I$7,AG606:AL606)</f>
        <v>0</v>
      </c>
      <c r="AP606" s="879"/>
      <c r="AQ606" s="2"/>
      <c r="AR606" s="86"/>
      <c r="AS606" s="86"/>
      <c r="AT606" s="86"/>
      <c r="AU606" s="86"/>
      <c r="AV606" s="86"/>
      <c r="AW606" s="86"/>
      <c r="AX606" s="706"/>
      <c r="AY606" s="2"/>
      <c r="AZ606" s="705">
        <f ca="1">SUMIF($AR$7:AX$7,"&lt;="&amp;$I$7,AR606:AW606)</f>
        <v>0</v>
      </c>
      <c r="BA606" s="879"/>
      <c r="BB606" s="2"/>
      <c r="BC606" s="86"/>
      <c r="BD606" s="86"/>
      <c r="BE606" s="86"/>
      <c r="BF606" s="86"/>
      <c r="BG606" s="86"/>
      <c r="BH606" s="86"/>
      <c r="BI606" s="706"/>
      <c r="BJ606" s="2"/>
      <c r="BK606" s="705">
        <f ca="1">SUMIF($K$7:BI$7,"&lt;="&amp;$I$7,BC606:BH606)</f>
        <v>0</v>
      </c>
      <c r="BL606" s="879"/>
      <c r="BM606" s="2"/>
      <c r="BN606" s="885"/>
      <c r="BO606" s="922"/>
      <c r="BP606" s="885"/>
      <c r="BQ606" s="879"/>
      <c r="BR606" s="2"/>
      <c r="BS606" s="885"/>
      <c r="BT606" s="885"/>
      <c r="BU606" s="885"/>
      <c r="BV606" s="1017"/>
      <c r="BW606" s="1005"/>
      <c r="BX606" s="885"/>
      <c r="BY606" s="879"/>
      <c r="BZ606" s="2"/>
      <c r="CA606" s="885"/>
      <c r="CB606" s="885"/>
      <c r="CC606" s="2"/>
      <c r="CD606" s="504">
        <f>IFERROR(AVERAGEIF($V$7:AB$7,"&lt;="&amp;$I$7,V606:AB606),0)</f>
        <v>0</v>
      </c>
    </row>
    <row r="607" spans="1:86" ht="15.95" hidden="1" customHeight="1" outlineLevel="1">
      <c r="A607" s="74"/>
      <c r="B607" s="1012" t="s">
        <v>4118</v>
      </c>
      <c r="C607" s="1014" t="s">
        <v>1437</v>
      </c>
      <c r="D607" s="2"/>
      <c r="E607" s="1004">
        <v>0</v>
      </c>
      <c r="F607" s="2"/>
      <c r="G607" s="49" t="s">
        <v>37</v>
      </c>
      <c r="H607" s="705">
        <f t="shared" si="1222"/>
        <v>0</v>
      </c>
      <c r="I607" s="878" t="str">
        <f t="shared" ref="I607" si="1254">IFERROR((H608/H607),"-")</f>
        <v>-</v>
      </c>
      <c r="J607" s="2"/>
      <c r="K607" s="705"/>
      <c r="L607" s="705"/>
      <c r="M607" s="705"/>
      <c r="N607" s="705"/>
      <c r="O607" s="705"/>
      <c r="P607" s="705"/>
      <c r="Q607" s="705"/>
      <c r="R607" s="2"/>
      <c r="S607" s="705">
        <f ca="1">SUMIF($K$7:Q$7,"&lt;="&amp;$I$7,K607:P607)</f>
        <v>0</v>
      </c>
      <c r="T607" s="878" t="str">
        <f ca="1">IFERROR((S608/S607),"-")</f>
        <v>-</v>
      </c>
      <c r="U607" s="2"/>
      <c r="V607" s="705"/>
      <c r="W607" s="705"/>
      <c r="X607" s="705"/>
      <c r="Y607" s="705"/>
      <c r="Z607" s="705"/>
      <c r="AA607" s="705"/>
      <c r="AB607" s="705"/>
      <c r="AC607" s="2"/>
      <c r="AD607" s="705">
        <f ca="1">SUMIF($V$7:AB$7,"&lt;="&amp;$I$7,V607:AA607)</f>
        <v>0</v>
      </c>
      <c r="AE607" s="878" t="str">
        <f ca="1">IFERROR((AD608/AD607),"-")</f>
        <v>-</v>
      </c>
      <c r="AF607" s="2"/>
      <c r="AG607" s="705"/>
      <c r="AH607" s="705"/>
      <c r="AI607" s="705"/>
      <c r="AJ607" s="705"/>
      <c r="AK607" s="705"/>
      <c r="AL607" s="705"/>
      <c r="AM607" s="705"/>
      <c r="AN607" s="2"/>
      <c r="AO607" s="705">
        <f ca="1">SUMIF($AG$7:AM$7,"&lt;="&amp;$I$7,AG607:AL607)</f>
        <v>0</v>
      </c>
      <c r="AP607" s="878" t="str">
        <f ca="1">IFERROR((AO608/AO607),"-")</f>
        <v>-</v>
      </c>
      <c r="AQ607" s="2"/>
      <c r="AR607" s="705"/>
      <c r="AS607" s="705"/>
      <c r="AT607" s="705"/>
      <c r="AU607" s="705"/>
      <c r="AV607" s="705"/>
      <c r="AW607" s="705"/>
      <c r="AX607" s="705"/>
      <c r="AY607" s="2"/>
      <c r="AZ607" s="705">
        <f ca="1">SUMIF($AR$7:AX$7,"&lt;="&amp;$I$7,AR607:AW607)</f>
        <v>0</v>
      </c>
      <c r="BA607" s="878" t="str">
        <f ca="1">IFERROR((AZ608/AZ607),"-")</f>
        <v>-</v>
      </c>
      <c r="BB607" s="2"/>
      <c r="BC607" s="705"/>
      <c r="BD607" s="705"/>
      <c r="BE607" s="705"/>
      <c r="BF607" s="705"/>
      <c r="BG607" s="705"/>
      <c r="BH607" s="705"/>
      <c r="BI607" s="705"/>
      <c r="BJ607" s="2"/>
      <c r="BK607" s="705">
        <f ca="1">SUMIF($K$7:BI$7,"&lt;="&amp;$I$7,BC607:BH607)</f>
        <v>0</v>
      </c>
      <c r="BL607" s="878" t="str">
        <f ca="1">IFERROR((BK608/BK607),"-")</f>
        <v>-</v>
      </c>
      <c r="BM607" s="2"/>
      <c r="BN607" s="884">
        <v>0</v>
      </c>
      <c r="BO607" s="921">
        <v>0</v>
      </c>
      <c r="BP607" s="884">
        <f>SUM(M608:P608,V608:AB608,AG608:AM608,AR608:AX608)</f>
        <v>0</v>
      </c>
      <c r="BQ607" s="878" t="str">
        <f t="shared" ref="BQ607" si="1255">IFERROR((BP607/BO607),"-")</f>
        <v>-</v>
      </c>
      <c r="BR607" s="2"/>
      <c r="BS607" s="884"/>
      <c r="BT607" s="884"/>
      <c r="BU607" s="884">
        <v>0</v>
      </c>
      <c r="BV607" s="1016" t="e">
        <v>#N/A</v>
      </c>
      <c r="BW607" s="1004" t="str">
        <f>IFERROR((BU607/BV607),"-")</f>
        <v>-</v>
      </c>
      <c r="BX607" s="884">
        <v>0</v>
      </c>
      <c r="BY607" s="878" t="str">
        <f>IFERROR((BU607/BX607),"-")</f>
        <v>-</v>
      </c>
      <c r="BZ607" s="2"/>
      <c r="CA607" s="884">
        <v>0</v>
      </c>
      <c r="CB607" s="884">
        <v>0</v>
      </c>
      <c r="CC607" s="2"/>
      <c r="CD607" s="504">
        <f>IFERROR(AVERAGEIF($V$7:AB$7,"&lt;="&amp;$I$7,V607:AB607),0)</f>
        <v>0</v>
      </c>
    </row>
    <row r="608" spans="1:86" ht="15.95" hidden="1" customHeight="1" outlineLevel="1">
      <c r="A608" s="74"/>
      <c r="B608" s="1013"/>
      <c r="C608" s="1034"/>
      <c r="D608" s="2"/>
      <c r="E608" s="1005"/>
      <c r="F608" s="2"/>
      <c r="G608" s="50" t="s">
        <v>38</v>
      </c>
      <c r="H608" s="705">
        <f t="shared" si="1222"/>
        <v>0</v>
      </c>
      <c r="I608" s="879"/>
      <c r="J608" s="2"/>
      <c r="K608" s="86"/>
      <c r="L608" s="86"/>
      <c r="M608" s="86"/>
      <c r="N608" s="86"/>
      <c r="O608" s="86"/>
      <c r="P608" s="86"/>
      <c r="Q608" s="706"/>
      <c r="R608" s="2"/>
      <c r="S608" s="705">
        <f ca="1">SUMIF($K$7:Q$7,"&lt;="&amp;$I$7,K608:P608)</f>
        <v>0</v>
      </c>
      <c r="T608" s="879"/>
      <c r="U608" s="2"/>
      <c r="V608" s="86"/>
      <c r="W608" s="86"/>
      <c r="X608" s="86"/>
      <c r="Y608" s="86"/>
      <c r="Z608" s="86"/>
      <c r="AA608" s="86"/>
      <c r="AB608" s="706"/>
      <c r="AC608" s="2"/>
      <c r="AD608" s="705">
        <f ca="1">SUMIF($V$7:AB$7,"&lt;="&amp;$I$7,V608:AA608)</f>
        <v>0</v>
      </c>
      <c r="AE608" s="879"/>
      <c r="AF608" s="2"/>
      <c r="AG608" s="86"/>
      <c r="AH608" s="86"/>
      <c r="AI608" s="86"/>
      <c r="AJ608" s="86"/>
      <c r="AK608" s="86"/>
      <c r="AL608" s="86"/>
      <c r="AM608" s="706"/>
      <c r="AN608" s="2"/>
      <c r="AO608" s="705">
        <f ca="1">SUMIF($AG$7:AM$7,"&lt;="&amp;$I$7,AG608:AL608)</f>
        <v>0</v>
      </c>
      <c r="AP608" s="879"/>
      <c r="AQ608" s="2"/>
      <c r="AR608" s="86"/>
      <c r="AS608" s="86"/>
      <c r="AT608" s="86"/>
      <c r="AU608" s="86"/>
      <c r="AV608" s="86"/>
      <c r="AW608" s="86"/>
      <c r="AX608" s="706"/>
      <c r="AY608" s="2"/>
      <c r="AZ608" s="705">
        <f ca="1">SUMIF($AR$7:AX$7,"&lt;="&amp;$I$7,AR608:AW608)</f>
        <v>0</v>
      </c>
      <c r="BA608" s="879"/>
      <c r="BB608" s="2"/>
      <c r="BC608" s="86"/>
      <c r="BD608" s="86"/>
      <c r="BE608" s="86"/>
      <c r="BF608" s="86"/>
      <c r="BG608" s="86"/>
      <c r="BH608" s="86"/>
      <c r="BI608" s="706"/>
      <c r="BJ608" s="2"/>
      <c r="BK608" s="705">
        <f ca="1">SUMIF($K$7:BI$7,"&lt;="&amp;$I$7,BC608:BH608)</f>
        <v>0</v>
      </c>
      <c r="BL608" s="879"/>
      <c r="BM608" s="2"/>
      <c r="BN608" s="885"/>
      <c r="BO608" s="922"/>
      <c r="BP608" s="885"/>
      <c r="BQ608" s="879"/>
      <c r="BR608" s="2"/>
      <c r="BS608" s="885"/>
      <c r="BT608" s="885"/>
      <c r="BU608" s="885"/>
      <c r="BV608" s="1017"/>
      <c r="BW608" s="1005"/>
      <c r="BX608" s="885"/>
      <c r="BY608" s="879"/>
      <c r="BZ608" s="2"/>
      <c r="CA608" s="885"/>
      <c r="CB608" s="885"/>
      <c r="CC608" s="2"/>
      <c r="CD608" s="504">
        <f>IFERROR(AVERAGEIF($V$7:AB$7,"&lt;="&amp;$I$7,V608:AB608),0)</f>
        <v>0</v>
      </c>
    </row>
    <row r="609" spans="1:82" ht="15.95" hidden="1" customHeight="1" outlineLevel="1">
      <c r="A609" s="74"/>
      <c r="B609" s="1012" t="s">
        <v>4119</v>
      </c>
      <c r="C609" s="1014" t="s">
        <v>1437</v>
      </c>
      <c r="D609" s="2"/>
      <c r="E609" s="1004">
        <v>0</v>
      </c>
      <c r="F609" s="2"/>
      <c r="G609" s="49" t="s">
        <v>37</v>
      </c>
      <c r="H609" s="705">
        <f t="shared" si="1222"/>
        <v>0</v>
      </c>
      <c r="I609" s="878" t="str">
        <f t="shared" ref="I609" si="1256">IFERROR((H610/H609),"-")</f>
        <v>-</v>
      </c>
      <c r="J609" s="2"/>
      <c r="K609" s="705"/>
      <c r="L609" s="705"/>
      <c r="M609" s="705"/>
      <c r="N609" s="705"/>
      <c r="O609" s="705"/>
      <c r="P609" s="705"/>
      <c r="Q609" s="705"/>
      <c r="R609" s="2"/>
      <c r="S609" s="705">
        <f ca="1">SUMIF($K$7:Q$7,"&lt;="&amp;$I$7,K609:P609)</f>
        <v>0</v>
      </c>
      <c r="T609" s="878" t="str">
        <f ca="1">IFERROR((S610/S609),"-")</f>
        <v>-</v>
      </c>
      <c r="U609" s="2"/>
      <c r="V609" s="705"/>
      <c r="W609" s="705"/>
      <c r="X609" s="705"/>
      <c r="Y609" s="705"/>
      <c r="Z609" s="705"/>
      <c r="AA609" s="705"/>
      <c r="AB609" s="705"/>
      <c r="AC609" s="2"/>
      <c r="AD609" s="705">
        <f ca="1">SUMIF($V$7:AB$7,"&lt;="&amp;$I$7,V609:AA609)</f>
        <v>0</v>
      </c>
      <c r="AE609" s="878" t="str">
        <f ca="1">IFERROR((AD610/AD609),"-")</f>
        <v>-</v>
      </c>
      <c r="AF609" s="2"/>
      <c r="AG609" s="705"/>
      <c r="AH609" s="705"/>
      <c r="AI609" s="705"/>
      <c r="AJ609" s="705"/>
      <c r="AK609" s="705"/>
      <c r="AL609" s="705"/>
      <c r="AM609" s="705"/>
      <c r="AN609" s="2"/>
      <c r="AO609" s="705">
        <f ca="1">SUMIF($AG$7:AM$7,"&lt;="&amp;$I$7,AG609:AL609)</f>
        <v>0</v>
      </c>
      <c r="AP609" s="878" t="str">
        <f ca="1">IFERROR((AO610/AO609),"-")</f>
        <v>-</v>
      </c>
      <c r="AQ609" s="2"/>
      <c r="AR609" s="705"/>
      <c r="AS609" s="705"/>
      <c r="AT609" s="705"/>
      <c r="AU609" s="705"/>
      <c r="AV609" s="705"/>
      <c r="AW609" s="705"/>
      <c r="AX609" s="705"/>
      <c r="AY609" s="2"/>
      <c r="AZ609" s="705">
        <f ca="1">SUMIF($AR$7:AX$7,"&lt;="&amp;$I$7,AR609:AW609)</f>
        <v>0</v>
      </c>
      <c r="BA609" s="878" t="str">
        <f ca="1">IFERROR((AZ610/AZ609),"-")</f>
        <v>-</v>
      </c>
      <c r="BB609" s="2"/>
      <c r="BC609" s="705"/>
      <c r="BD609" s="705"/>
      <c r="BE609" s="705"/>
      <c r="BF609" s="705"/>
      <c r="BG609" s="705"/>
      <c r="BH609" s="705"/>
      <c r="BI609" s="705"/>
      <c r="BJ609" s="2"/>
      <c r="BK609" s="705">
        <f ca="1">SUMIF($K$7:BI$7,"&lt;="&amp;$I$7,BC609:BH609)</f>
        <v>0</v>
      </c>
      <c r="BL609" s="878" t="str">
        <f ca="1">IFERROR((BK610/BK609),"-")</f>
        <v>-</v>
      </c>
      <c r="BM609" s="2"/>
      <c r="BN609" s="884">
        <v>0</v>
      </c>
      <c r="BO609" s="921">
        <v>0</v>
      </c>
      <c r="BP609" s="884">
        <f>SUM(M610:P610,V610:AB610,AG610:AM610,AR610:AX610)</f>
        <v>0</v>
      </c>
      <c r="BQ609" s="878" t="str">
        <f t="shared" ref="BQ609" si="1257">IFERROR((BP609/BO609),"-")</f>
        <v>-</v>
      </c>
      <c r="BR609" s="2"/>
      <c r="BS609" s="884"/>
      <c r="BT609" s="884"/>
      <c r="BU609" s="884">
        <v>0</v>
      </c>
      <c r="BV609" s="1016" t="e">
        <v>#N/A</v>
      </c>
      <c r="BW609" s="1004" t="str">
        <f>IFERROR((BU609/BV609),"-")</f>
        <v>-</v>
      </c>
      <c r="BX609" s="884">
        <v>0</v>
      </c>
      <c r="BY609" s="878" t="str">
        <f>IFERROR((BU609/BX609),"-")</f>
        <v>-</v>
      </c>
      <c r="BZ609" s="2"/>
      <c r="CA609" s="884">
        <v>0</v>
      </c>
      <c r="CB609" s="884">
        <v>0</v>
      </c>
      <c r="CC609" s="2"/>
      <c r="CD609" s="504">
        <f>IFERROR(AVERAGEIF($V$7:AB$7,"&lt;="&amp;$I$7,V609:AB609),0)</f>
        <v>0</v>
      </c>
    </row>
    <row r="610" spans="1:82" ht="15.95" hidden="1" customHeight="1" outlineLevel="1">
      <c r="A610" s="74"/>
      <c r="B610" s="1013"/>
      <c r="C610" s="1034"/>
      <c r="D610" s="2"/>
      <c r="E610" s="1005"/>
      <c r="F610" s="2"/>
      <c r="G610" s="50" t="s">
        <v>38</v>
      </c>
      <c r="H610" s="705">
        <f t="shared" si="1222"/>
        <v>0</v>
      </c>
      <c r="I610" s="879"/>
      <c r="J610" s="2"/>
      <c r="K610" s="86"/>
      <c r="L610" s="86"/>
      <c r="M610" s="86"/>
      <c r="N610" s="86"/>
      <c r="O610" s="86"/>
      <c r="P610" s="86"/>
      <c r="Q610" s="706"/>
      <c r="R610" s="2"/>
      <c r="S610" s="705">
        <f ca="1">SUMIF($K$7:Q$7,"&lt;="&amp;$I$7,K610:P610)</f>
        <v>0</v>
      </c>
      <c r="T610" s="879"/>
      <c r="U610" s="2"/>
      <c r="V610" s="86"/>
      <c r="W610" s="86"/>
      <c r="X610" s="86"/>
      <c r="Y610" s="86"/>
      <c r="Z610" s="86"/>
      <c r="AA610" s="86"/>
      <c r="AB610" s="706"/>
      <c r="AC610" s="2"/>
      <c r="AD610" s="705">
        <f ca="1">SUMIF($V$7:AB$7,"&lt;="&amp;$I$7,V610:AA610)</f>
        <v>0</v>
      </c>
      <c r="AE610" s="879"/>
      <c r="AF610" s="2"/>
      <c r="AG610" s="86"/>
      <c r="AH610" s="86"/>
      <c r="AI610" s="86"/>
      <c r="AJ610" s="86"/>
      <c r="AK610" s="86"/>
      <c r="AL610" s="86"/>
      <c r="AM610" s="706"/>
      <c r="AN610" s="2"/>
      <c r="AO610" s="705">
        <f ca="1">SUMIF($AG$7:AM$7,"&lt;="&amp;$I$7,AG610:AL610)</f>
        <v>0</v>
      </c>
      <c r="AP610" s="879"/>
      <c r="AQ610" s="2"/>
      <c r="AR610" s="86"/>
      <c r="AS610" s="86"/>
      <c r="AT610" s="86"/>
      <c r="AU610" s="86"/>
      <c r="AV610" s="86"/>
      <c r="AW610" s="86"/>
      <c r="AX610" s="706"/>
      <c r="AY610" s="2"/>
      <c r="AZ610" s="705">
        <f ca="1">SUMIF($AR$7:AX$7,"&lt;="&amp;$I$7,AR610:AW610)</f>
        <v>0</v>
      </c>
      <c r="BA610" s="879"/>
      <c r="BB610" s="2"/>
      <c r="BC610" s="86"/>
      <c r="BD610" s="86"/>
      <c r="BE610" s="86"/>
      <c r="BF610" s="86"/>
      <c r="BG610" s="86"/>
      <c r="BH610" s="86"/>
      <c r="BI610" s="706"/>
      <c r="BJ610" s="2"/>
      <c r="BK610" s="705">
        <f ca="1">SUMIF($K$7:BI$7,"&lt;="&amp;$I$7,BC610:BH610)</f>
        <v>0</v>
      </c>
      <c r="BL610" s="879"/>
      <c r="BM610" s="2"/>
      <c r="BN610" s="885"/>
      <c r="BO610" s="922"/>
      <c r="BP610" s="885"/>
      <c r="BQ610" s="879"/>
      <c r="BR610" s="2"/>
      <c r="BS610" s="885"/>
      <c r="BT610" s="885"/>
      <c r="BU610" s="885"/>
      <c r="BV610" s="1017"/>
      <c r="BW610" s="1005"/>
      <c r="BX610" s="885"/>
      <c r="BY610" s="879"/>
      <c r="BZ610" s="2"/>
      <c r="CA610" s="885"/>
      <c r="CB610" s="885"/>
      <c r="CC610" s="2"/>
      <c r="CD610" s="504">
        <f>IFERROR(AVERAGEIF($V$7:AB$7,"&lt;="&amp;$I$7,V610:AB610),0)</f>
        <v>0</v>
      </c>
    </row>
    <row r="611" spans="1:82" ht="15.95" hidden="1" customHeight="1" outlineLevel="1">
      <c r="A611" s="74"/>
      <c r="B611" s="1012" t="s">
        <v>4120</v>
      </c>
      <c r="C611" s="1014" t="s">
        <v>1437</v>
      </c>
      <c r="D611" s="2"/>
      <c r="E611" s="1004">
        <v>0</v>
      </c>
      <c r="F611" s="2"/>
      <c r="G611" s="49" t="s">
        <v>37</v>
      </c>
      <c r="H611" s="705">
        <f t="shared" si="1222"/>
        <v>0</v>
      </c>
      <c r="I611" s="878" t="str">
        <f t="shared" ref="I611" si="1258">IFERROR((H612/H611),"-")</f>
        <v>-</v>
      </c>
      <c r="J611" s="2"/>
      <c r="K611" s="705"/>
      <c r="L611" s="705"/>
      <c r="M611" s="705"/>
      <c r="N611" s="705"/>
      <c r="O611" s="705"/>
      <c r="P611" s="705"/>
      <c r="Q611" s="705"/>
      <c r="R611" s="2"/>
      <c r="S611" s="705">
        <f ca="1">SUMIF($K$7:Q$7,"&lt;="&amp;$I$7,K611:P611)</f>
        <v>0</v>
      </c>
      <c r="T611" s="878" t="str">
        <f ca="1">IFERROR((S612/S611),"-")</f>
        <v>-</v>
      </c>
      <c r="U611" s="2"/>
      <c r="V611" s="705"/>
      <c r="W611" s="705"/>
      <c r="X611" s="705"/>
      <c r="Y611" s="705"/>
      <c r="Z611" s="705"/>
      <c r="AA611" s="705"/>
      <c r="AB611" s="705"/>
      <c r="AC611" s="2"/>
      <c r="AD611" s="705">
        <f ca="1">SUMIF($V$7:AB$7,"&lt;="&amp;$I$7,V611:AA611)</f>
        <v>0</v>
      </c>
      <c r="AE611" s="878" t="str">
        <f ca="1">IFERROR((AD612/AD611),"-")</f>
        <v>-</v>
      </c>
      <c r="AF611" s="2"/>
      <c r="AG611" s="705"/>
      <c r="AH611" s="705"/>
      <c r="AI611" s="705"/>
      <c r="AJ611" s="705"/>
      <c r="AK611" s="705"/>
      <c r="AL611" s="705"/>
      <c r="AM611" s="705"/>
      <c r="AN611" s="2"/>
      <c r="AO611" s="705">
        <f ca="1">SUMIF($AG$7:AM$7,"&lt;="&amp;$I$7,AG611:AL611)</f>
        <v>0</v>
      </c>
      <c r="AP611" s="878" t="str">
        <f ca="1">IFERROR((AO612/AO611),"-")</f>
        <v>-</v>
      </c>
      <c r="AQ611" s="2"/>
      <c r="AR611" s="705"/>
      <c r="AS611" s="705"/>
      <c r="AT611" s="705"/>
      <c r="AU611" s="705"/>
      <c r="AV611" s="705"/>
      <c r="AW611" s="705"/>
      <c r="AX611" s="705"/>
      <c r="AY611" s="2"/>
      <c r="AZ611" s="705">
        <f ca="1">SUMIF($AR$7:AX$7,"&lt;="&amp;$I$7,AR611:AW611)</f>
        <v>0</v>
      </c>
      <c r="BA611" s="878" t="str">
        <f ca="1">IFERROR((AZ612/AZ611),"-")</f>
        <v>-</v>
      </c>
      <c r="BB611" s="2"/>
      <c r="BC611" s="705"/>
      <c r="BD611" s="705"/>
      <c r="BE611" s="705"/>
      <c r="BF611" s="705"/>
      <c r="BG611" s="705"/>
      <c r="BH611" s="705"/>
      <c r="BI611" s="705"/>
      <c r="BJ611" s="2"/>
      <c r="BK611" s="705">
        <f ca="1">SUMIF($K$7:BI$7,"&lt;="&amp;$I$7,BC611:BH611)</f>
        <v>0</v>
      </c>
      <c r="BL611" s="878" t="str">
        <f ca="1">IFERROR((BK612/BK611),"-")</f>
        <v>-</v>
      </c>
      <c r="BM611" s="2"/>
      <c r="BN611" s="884">
        <v>0</v>
      </c>
      <c r="BO611" s="921">
        <v>0</v>
      </c>
      <c r="BP611" s="884">
        <f>SUM(M612:P612,V612:AB612,AG612:AM612,AR612:AX612)</f>
        <v>0</v>
      </c>
      <c r="BQ611" s="878" t="str">
        <f t="shared" ref="BQ611" si="1259">IFERROR((BP611/BO611),"-")</f>
        <v>-</v>
      </c>
      <c r="BR611" s="2"/>
      <c r="BS611" s="884"/>
      <c r="BT611" s="884"/>
      <c r="BU611" s="884">
        <v>0</v>
      </c>
      <c r="BV611" s="1016" t="e">
        <v>#N/A</v>
      </c>
      <c r="BW611" s="1004" t="str">
        <f>IFERROR((BU611/BV611),"-")</f>
        <v>-</v>
      </c>
      <c r="BX611" s="884">
        <v>0</v>
      </c>
      <c r="BY611" s="878" t="str">
        <f>IFERROR((BU611/BX611),"-")</f>
        <v>-</v>
      </c>
      <c r="BZ611" s="2"/>
      <c r="CA611" s="884">
        <v>0</v>
      </c>
      <c r="CB611" s="884">
        <v>0</v>
      </c>
      <c r="CC611" s="2"/>
      <c r="CD611" s="504">
        <f>IFERROR(AVERAGEIF($V$7:AB$7,"&lt;="&amp;$I$7,V611:AB611),0)</f>
        <v>0</v>
      </c>
    </row>
    <row r="612" spans="1:82" ht="15.95" hidden="1" customHeight="1" outlineLevel="1">
      <c r="A612" s="74"/>
      <c r="B612" s="1013"/>
      <c r="C612" s="1034"/>
      <c r="D612" s="2"/>
      <c r="E612" s="1005"/>
      <c r="F612" s="2"/>
      <c r="G612" s="50" t="s">
        <v>38</v>
      </c>
      <c r="H612" s="705">
        <f t="shared" si="1222"/>
        <v>0</v>
      </c>
      <c r="I612" s="879"/>
      <c r="J612" s="2"/>
      <c r="K612" s="86"/>
      <c r="L612" s="86"/>
      <c r="M612" s="86"/>
      <c r="N612" s="86"/>
      <c r="O612" s="86"/>
      <c r="P612" s="86"/>
      <c r="Q612" s="706"/>
      <c r="R612" s="2"/>
      <c r="S612" s="705">
        <f ca="1">SUMIF($K$7:Q$7,"&lt;="&amp;$I$7,K612:P612)</f>
        <v>0</v>
      </c>
      <c r="T612" s="879"/>
      <c r="U612" s="2"/>
      <c r="V612" s="86"/>
      <c r="W612" s="86"/>
      <c r="X612" s="86"/>
      <c r="Y612" s="86"/>
      <c r="Z612" s="86"/>
      <c r="AA612" s="86"/>
      <c r="AB612" s="706"/>
      <c r="AC612" s="2"/>
      <c r="AD612" s="705">
        <f ca="1">SUMIF($V$7:AB$7,"&lt;="&amp;$I$7,V612:AA612)</f>
        <v>0</v>
      </c>
      <c r="AE612" s="879"/>
      <c r="AF612" s="2"/>
      <c r="AG612" s="86"/>
      <c r="AH612" s="86"/>
      <c r="AI612" s="86"/>
      <c r="AJ612" s="86"/>
      <c r="AK612" s="86"/>
      <c r="AL612" s="86"/>
      <c r="AM612" s="706"/>
      <c r="AN612" s="2"/>
      <c r="AO612" s="705">
        <f ca="1">SUMIF($AG$7:AM$7,"&lt;="&amp;$I$7,AG612:AL612)</f>
        <v>0</v>
      </c>
      <c r="AP612" s="879"/>
      <c r="AQ612" s="2"/>
      <c r="AR612" s="86"/>
      <c r="AS612" s="86"/>
      <c r="AT612" s="86"/>
      <c r="AU612" s="86"/>
      <c r="AV612" s="86"/>
      <c r="AW612" s="86"/>
      <c r="AX612" s="706"/>
      <c r="AY612" s="2"/>
      <c r="AZ612" s="705">
        <f ca="1">SUMIF($AR$7:AX$7,"&lt;="&amp;$I$7,AR612:AW612)</f>
        <v>0</v>
      </c>
      <c r="BA612" s="879"/>
      <c r="BB612" s="2"/>
      <c r="BC612" s="86"/>
      <c r="BD612" s="86"/>
      <c r="BE612" s="86"/>
      <c r="BF612" s="86"/>
      <c r="BG612" s="86"/>
      <c r="BH612" s="86"/>
      <c r="BI612" s="706"/>
      <c r="BJ612" s="2"/>
      <c r="BK612" s="705">
        <f ca="1">SUMIF($K$7:BI$7,"&lt;="&amp;$I$7,BC612:BH612)</f>
        <v>0</v>
      </c>
      <c r="BL612" s="879"/>
      <c r="BM612" s="2"/>
      <c r="BN612" s="885"/>
      <c r="BO612" s="922"/>
      <c r="BP612" s="885"/>
      <c r="BQ612" s="879"/>
      <c r="BR612" s="2"/>
      <c r="BS612" s="885"/>
      <c r="BT612" s="885"/>
      <c r="BU612" s="885"/>
      <c r="BV612" s="1017"/>
      <c r="BW612" s="1005"/>
      <c r="BX612" s="885"/>
      <c r="BY612" s="879"/>
      <c r="BZ612" s="2"/>
      <c r="CA612" s="885"/>
      <c r="CB612" s="885"/>
      <c r="CC612" s="2"/>
      <c r="CD612" s="504">
        <f>IFERROR(AVERAGEIF($V$7:AB$7,"&lt;="&amp;$I$7,V612:AB612),0)</f>
        <v>0</v>
      </c>
    </row>
    <row r="613" spans="1:82" ht="15.95" hidden="1" customHeight="1" outlineLevel="1">
      <c r="A613" s="74"/>
      <c r="B613" s="1012" t="s">
        <v>4062</v>
      </c>
      <c r="C613" s="1014" t="s">
        <v>1437</v>
      </c>
      <c r="D613" s="2"/>
      <c r="E613" s="1004">
        <v>0</v>
      </c>
      <c r="F613" s="2"/>
      <c r="G613" s="49" t="s">
        <v>37</v>
      </c>
      <c r="H613" s="705">
        <f t="shared" si="1222"/>
        <v>0</v>
      </c>
      <c r="I613" s="878" t="str">
        <f t="shared" ref="I613" si="1260">IFERROR((H614/H613),"-")</f>
        <v>-</v>
      </c>
      <c r="J613" s="2"/>
      <c r="K613" s="705"/>
      <c r="L613" s="705"/>
      <c r="M613" s="705"/>
      <c r="N613" s="705"/>
      <c r="O613" s="705"/>
      <c r="P613" s="705"/>
      <c r="Q613" s="705"/>
      <c r="R613" s="2"/>
      <c r="S613" s="705">
        <f ca="1">SUMIF($K$7:Q$7,"&lt;="&amp;$I$7,K613:P613)</f>
        <v>0</v>
      </c>
      <c r="T613" s="878" t="str">
        <f ca="1">IFERROR((S614/S613),"-")</f>
        <v>-</v>
      </c>
      <c r="U613" s="2"/>
      <c r="V613" s="705"/>
      <c r="W613" s="705"/>
      <c r="X613" s="705"/>
      <c r="Y613" s="705"/>
      <c r="Z613" s="705"/>
      <c r="AA613" s="705"/>
      <c r="AB613" s="705"/>
      <c r="AC613" s="2"/>
      <c r="AD613" s="705">
        <f ca="1">SUMIF($V$7:AB$7,"&lt;="&amp;$I$7,V613:AA613)</f>
        <v>0</v>
      </c>
      <c r="AE613" s="878" t="str">
        <f ca="1">IFERROR((AD614/AD613),"-")</f>
        <v>-</v>
      </c>
      <c r="AF613" s="2"/>
      <c r="AG613" s="705"/>
      <c r="AH613" s="705"/>
      <c r="AI613" s="705"/>
      <c r="AJ613" s="705"/>
      <c r="AK613" s="705"/>
      <c r="AL613" s="705"/>
      <c r="AM613" s="705"/>
      <c r="AN613" s="2"/>
      <c r="AO613" s="705">
        <f ca="1">SUMIF($AG$7:AM$7,"&lt;="&amp;$I$7,AG613:AL613)</f>
        <v>0</v>
      </c>
      <c r="AP613" s="878" t="str">
        <f ca="1">IFERROR((AO614/AO613),"-")</f>
        <v>-</v>
      </c>
      <c r="AQ613" s="2"/>
      <c r="AR613" s="705"/>
      <c r="AS613" s="705"/>
      <c r="AT613" s="705"/>
      <c r="AU613" s="705"/>
      <c r="AV613" s="705"/>
      <c r="AW613" s="705"/>
      <c r="AX613" s="705"/>
      <c r="AY613" s="2"/>
      <c r="AZ613" s="705">
        <f ca="1">SUMIF($AR$7:AX$7,"&lt;="&amp;$I$7,AR613:AW613)</f>
        <v>0</v>
      </c>
      <c r="BA613" s="878" t="str">
        <f ca="1">IFERROR((AZ614/AZ613),"-")</f>
        <v>-</v>
      </c>
      <c r="BB613" s="2"/>
      <c r="BC613" s="705"/>
      <c r="BD613" s="705"/>
      <c r="BE613" s="705"/>
      <c r="BF613" s="705"/>
      <c r="BG613" s="705"/>
      <c r="BH613" s="705"/>
      <c r="BI613" s="705"/>
      <c r="BJ613" s="2"/>
      <c r="BK613" s="705">
        <f ca="1">SUMIF($K$7:BI$7,"&lt;="&amp;$I$7,BC613:BH613)</f>
        <v>0</v>
      </c>
      <c r="BL613" s="878" t="str">
        <f ca="1">IFERROR((BK614/BK613),"-")</f>
        <v>-</v>
      </c>
      <c r="BM613" s="2"/>
      <c r="BN613" s="884">
        <v>0</v>
      </c>
      <c r="BO613" s="921">
        <v>0</v>
      </c>
      <c r="BP613" s="884">
        <f>SUM(M614:P614,V614:AB614,AG614:AM614,AR614:AX614)</f>
        <v>0</v>
      </c>
      <c r="BQ613" s="878" t="str">
        <f t="shared" ref="BQ613" si="1261">IFERROR((BP613/BO613),"-")</f>
        <v>-</v>
      </c>
      <c r="BR613" s="2"/>
      <c r="BS613" s="884"/>
      <c r="BT613" s="884"/>
      <c r="BU613" s="884">
        <v>0</v>
      </c>
      <c r="BV613" s="1016" t="e">
        <v>#N/A</v>
      </c>
      <c r="BW613" s="1004" t="str">
        <f>IFERROR((BU613/BV613),"-")</f>
        <v>-</v>
      </c>
      <c r="BX613" s="884">
        <v>0</v>
      </c>
      <c r="BY613" s="878" t="str">
        <f>IFERROR((BU613/BX613),"-")</f>
        <v>-</v>
      </c>
      <c r="BZ613" s="2"/>
      <c r="CA613" s="884">
        <v>0</v>
      </c>
      <c r="CB613" s="884">
        <v>0</v>
      </c>
      <c r="CC613" s="2"/>
      <c r="CD613" s="504">
        <f>IFERROR(AVERAGEIF($V$7:AB$7,"&lt;="&amp;$I$7,V613:AB613),0)</f>
        <v>0</v>
      </c>
    </row>
    <row r="614" spans="1:82" ht="15.95" hidden="1" customHeight="1" outlineLevel="1">
      <c r="A614" s="74"/>
      <c r="B614" s="1013"/>
      <c r="C614" s="1034"/>
      <c r="D614" s="2"/>
      <c r="E614" s="1005"/>
      <c r="F614" s="2"/>
      <c r="G614" s="50" t="s">
        <v>38</v>
      </c>
      <c r="H614" s="705">
        <f t="shared" si="1222"/>
        <v>0</v>
      </c>
      <c r="I614" s="879"/>
      <c r="J614" s="2"/>
      <c r="K614" s="86"/>
      <c r="L614" s="86"/>
      <c r="M614" s="86"/>
      <c r="N614" s="86"/>
      <c r="O614" s="86"/>
      <c r="P614" s="86"/>
      <c r="Q614" s="706"/>
      <c r="R614" s="2"/>
      <c r="S614" s="705">
        <f ca="1">SUMIF($K$7:Q$7,"&lt;="&amp;$I$7,K614:P614)</f>
        <v>0</v>
      </c>
      <c r="T614" s="879"/>
      <c r="U614" s="2"/>
      <c r="V614" s="86"/>
      <c r="W614" s="86"/>
      <c r="X614" s="86"/>
      <c r="Y614" s="86"/>
      <c r="Z614" s="86"/>
      <c r="AA614" s="86"/>
      <c r="AB614" s="706"/>
      <c r="AC614" s="2"/>
      <c r="AD614" s="705">
        <f ca="1">SUMIF($V$7:AB$7,"&lt;="&amp;$I$7,V614:AA614)</f>
        <v>0</v>
      </c>
      <c r="AE614" s="879"/>
      <c r="AF614" s="2"/>
      <c r="AG614" s="86"/>
      <c r="AH614" s="86"/>
      <c r="AI614" s="86"/>
      <c r="AJ614" s="86"/>
      <c r="AK614" s="86"/>
      <c r="AL614" s="86"/>
      <c r="AM614" s="706"/>
      <c r="AN614" s="2"/>
      <c r="AO614" s="705">
        <f ca="1">SUMIF($AG$7:AM$7,"&lt;="&amp;$I$7,AG614:AL614)</f>
        <v>0</v>
      </c>
      <c r="AP614" s="879"/>
      <c r="AQ614" s="2"/>
      <c r="AR614" s="86"/>
      <c r="AS614" s="86"/>
      <c r="AT614" s="86"/>
      <c r="AU614" s="86"/>
      <c r="AV614" s="86"/>
      <c r="AW614" s="86"/>
      <c r="AX614" s="706"/>
      <c r="AY614" s="2"/>
      <c r="AZ614" s="705">
        <f ca="1">SUMIF($AR$7:AX$7,"&lt;="&amp;$I$7,AR614:AW614)</f>
        <v>0</v>
      </c>
      <c r="BA614" s="879"/>
      <c r="BB614" s="2"/>
      <c r="BC614" s="86"/>
      <c r="BD614" s="86"/>
      <c r="BE614" s="86"/>
      <c r="BF614" s="86"/>
      <c r="BG614" s="86"/>
      <c r="BH614" s="86"/>
      <c r="BI614" s="706"/>
      <c r="BJ614" s="2"/>
      <c r="BK614" s="705">
        <f ca="1">SUMIF($K$7:BI$7,"&lt;="&amp;$I$7,BC614:BH614)</f>
        <v>0</v>
      </c>
      <c r="BL614" s="879"/>
      <c r="BM614" s="2"/>
      <c r="BN614" s="885"/>
      <c r="BO614" s="922"/>
      <c r="BP614" s="885"/>
      <c r="BQ614" s="879"/>
      <c r="BR614" s="2"/>
      <c r="BS614" s="885"/>
      <c r="BT614" s="885"/>
      <c r="BU614" s="885"/>
      <c r="BV614" s="1017"/>
      <c r="BW614" s="1005"/>
      <c r="BX614" s="885"/>
      <c r="BY614" s="879"/>
      <c r="BZ614" s="2"/>
      <c r="CA614" s="885"/>
      <c r="CB614" s="885"/>
      <c r="CC614" s="2"/>
      <c r="CD614" s="504">
        <f>IFERROR(AVERAGEIF($V$7:AB$7,"&lt;="&amp;$I$7,V614:AB614),0)</f>
        <v>0</v>
      </c>
    </row>
    <row r="615" spans="1:82" ht="15.75" collapsed="1">
      <c r="A615" s="70"/>
      <c r="B615" s="1021" t="s">
        <v>4011</v>
      </c>
      <c r="C615" s="1023" t="s">
        <v>1437</v>
      </c>
      <c r="D615" s="2"/>
      <c r="E615" s="1004">
        <v>1</v>
      </c>
      <c r="F615" s="2"/>
      <c r="G615" s="49" t="s">
        <v>37</v>
      </c>
      <c r="H615" s="43">
        <f t="shared" si="1222"/>
        <v>0</v>
      </c>
      <c r="I615" s="878" t="str">
        <f t="shared" ref="I615" si="1262">IFERROR((H616/H615),"-")</f>
        <v>-</v>
      </c>
      <c r="J615" s="40"/>
      <c r="K615" s="42">
        <v>0</v>
      </c>
      <c r="L615" s="42">
        <v>0</v>
      </c>
      <c r="M615" s="42">
        <v>0</v>
      </c>
      <c r="N615" s="42">
        <v>0</v>
      </c>
      <c r="O615" s="42">
        <v>0</v>
      </c>
      <c r="P615" s="42">
        <v>0</v>
      </c>
      <c r="Q615" s="42"/>
      <c r="R615" s="40"/>
      <c r="S615" s="43">
        <f ca="1">SUMIF($K$7:Q$7,"&lt;="&amp;$I$7,K615:P615)</f>
        <v>0</v>
      </c>
      <c r="T615" s="762" t="str">
        <f ca="1">IFERROR((S616/S615),"-")</f>
        <v>-</v>
      </c>
      <c r="U615" s="40"/>
      <c r="V615" s="42" t="s">
        <v>1434</v>
      </c>
      <c r="W615" s="42" t="s">
        <v>1434</v>
      </c>
      <c r="X615" s="42" t="s">
        <v>1434</v>
      </c>
      <c r="Y615" s="42" t="s">
        <v>1434</v>
      </c>
      <c r="Z615" s="42" t="s">
        <v>1434</v>
      </c>
      <c r="AA615" s="42" t="s">
        <v>1434</v>
      </c>
      <c r="AB615" s="42"/>
      <c r="AC615" s="40"/>
      <c r="AD615" s="705">
        <f>SUMIF($V$7:AB$7,"&lt;="&amp;$I$7,V615:AB615)</f>
        <v>0</v>
      </c>
      <c r="AE615" s="762" t="str">
        <f>IFERROR((AD616/AD615),"-")</f>
        <v>-</v>
      </c>
      <c r="AF615" s="40"/>
      <c r="AG615" s="42" t="s">
        <v>1434</v>
      </c>
      <c r="AH615" s="42" t="s">
        <v>1434</v>
      </c>
      <c r="AI615" s="42" t="s">
        <v>1434</v>
      </c>
      <c r="AJ615" s="42" t="s">
        <v>1434</v>
      </c>
      <c r="AK615" s="42" t="s">
        <v>1434</v>
      </c>
      <c r="AL615" s="42" t="s">
        <v>1434</v>
      </c>
      <c r="AM615" s="42"/>
      <c r="AN615" s="40"/>
      <c r="AO615" s="43">
        <f ca="1">SUMIF($AG$7:AM$7,"&lt;="&amp;$I$7,AG615:AL615)</f>
        <v>0</v>
      </c>
      <c r="AP615" s="762" t="str">
        <f ca="1">IFERROR((AO616/AO615),"-")</f>
        <v>-</v>
      </c>
      <c r="AQ615" s="40"/>
      <c r="AR615" s="42">
        <f>SUMIF($G$623:$G$624,$G$621,AR623:AR624)</f>
        <v>0</v>
      </c>
      <c r="AS615" s="42">
        <f t="shared" ref="AS615:AW615" si="1263">SUMIF($G$623:$G$624,$G$621,AS623:AS624)</f>
        <v>0</v>
      </c>
      <c r="AT615" s="42">
        <f t="shared" si="1263"/>
        <v>0</v>
      </c>
      <c r="AU615" s="42">
        <f t="shared" si="1263"/>
        <v>0</v>
      </c>
      <c r="AV615" s="42">
        <f t="shared" si="1263"/>
        <v>0</v>
      </c>
      <c r="AW615" s="42">
        <f t="shared" si="1263"/>
        <v>0</v>
      </c>
      <c r="AX615" s="42"/>
      <c r="AY615" s="40"/>
      <c r="AZ615" s="705">
        <f ca="1">SUMIF($AR$7:AX$7,"&lt;="&amp;$I$7,AR615:AW615)</f>
        <v>0</v>
      </c>
      <c r="BA615" s="762" t="str">
        <f ca="1">IFERROR((AZ616/AZ615),"-")</f>
        <v>-</v>
      </c>
      <c r="BB615" s="40"/>
      <c r="BC615" s="42">
        <f>SUMIF($G$623:$G$624,$G$621,BC623:BC624)</f>
        <v>0</v>
      </c>
      <c r="BD615" s="42">
        <f t="shared" ref="BD615:BH615" si="1264">SUMIF($G$623:$G$624,$G$621,BD623:BD624)</f>
        <v>0</v>
      </c>
      <c r="BE615" s="42">
        <f t="shared" si="1264"/>
        <v>0</v>
      </c>
      <c r="BF615" s="42">
        <f t="shared" si="1264"/>
        <v>0</v>
      </c>
      <c r="BG615" s="42">
        <f t="shared" si="1264"/>
        <v>0</v>
      </c>
      <c r="BH615" s="42">
        <f t="shared" si="1264"/>
        <v>0</v>
      </c>
      <c r="BI615" s="42"/>
      <c r="BJ615" s="40"/>
      <c r="BK615" s="43">
        <f ca="1">SUMIF($BC$7:BI$7,"&lt;="&amp;$I$7,BC615:BH615)</f>
        <v>0</v>
      </c>
      <c r="BL615" s="762" t="str">
        <f ca="1">IFERROR((BK616/BK615),"-")</f>
        <v>-</v>
      </c>
      <c r="BM615" s="40"/>
      <c r="BN615" s="1025">
        <v>1</v>
      </c>
      <c r="BO615" s="1027">
        <v>0</v>
      </c>
      <c r="BP615" s="909">
        <f>SUM(BP623)</f>
        <v>0</v>
      </c>
      <c r="BQ615" s="762" t="str">
        <f t="shared" ref="BQ615" si="1265">IFERROR((BP615/BO615),"-")</f>
        <v>-</v>
      </c>
      <c r="BR615" s="40"/>
      <c r="BS615" s="909">
        <v>54</v>
      </c>
      <c r="BT615" s="909"/>
      <c r="BU615" s="909">
        <v>1</v>
      </c>
      <c r="BV615" s="909">
        <v>106</v>
      </c>
      <c r="BW615" s="1030">
        <f>IFERROR((BU615/BV615),"-")</f>
        <v>9.433962264150943E-3</v>
      </c>
      <c r="BX615" s="909">
        <v>1</v>
      </c>
      <c r="BY615" s="1032">
        <f>IFERROR((BU615/BX615),"-")</f>
        <v>1</v>
      </c>
      <c r="BZ615" s="40"/>
      <c r="CA615" s="909">
        <v>2</v>
      </c>
      <c r="CB615" s="909">
        <f>CA615-BU615</f>
        <v>1</v>
      </c>
      <c r="CC615" s="40"/>
      <c r="CD615" s="43">
        <f>IFERROR(AVERAGEIF($V$7:AB$7,"&lt;="&amp;$I$7,V615:AB615),0)</f>
        <v>0</v>
      </c>
    </row>
    <row r="616" spans="1:82" ht="15.75">
      <c r="A616" s="70"/>
      <c r="B616" s="1022"/>
      <c r="C616" s="1023"/>
      <c r="D616" s="2"/>
      <c r="E616" s="1024"/>
      <c r="F616" s="2"/>
      <c r="G616" s="50" t="s">
        <v>38</v>
      </c>
      <c r="H616" s="43">
        <f t="shared" si="1222"/>
        <v>0</v>
      </c>
      <c r="I616" s="879"/>
      <c r="J616" s="40"/>
      <c r="K616" s="72"/>
      <c r="L616" s="72"/>
      <c r="M616" s="72"/>
      <c r="N616" s="72"/>
      <c r="O616" s="72"/>
      <c r="P616" s="72"/>
      <c r="Q616" s="43"/>
      <c r="R616" s="40"/>
      <c r="S616" s="43">
        <f ca="1">SUMIF($K$7:Q$7,"&lt;="&amp;$I$7,K616:P616)</f>
        <v>0</v>
      </c>
      <c r="T616" s="763"/>
      <c r="U616" s="40"/>
      <c r="V616" s="72" t="s">
        <v>1434</v>
      </c>
      <c r="W616" s="72" t="s">
        <v>1434</v>
      </c>
      <c r="X616" s="72" t="s">
        <v>1434</v>
      </c>
      <c r="Y616" s="72" t="s">
        <v>1434</v>
      </c>
      <c r="Z616" s="72" t="s">
        <v>1434</v>
      </c>
      <c r="AA616" s="72" t="s">
        <v>1434</v>
      </c>
      <c r="AB616" s="43"/>
      <c r="AC616" s="40"/>
      <c r="AD616" s="705">
        <f>SUMIF($V$7:AB$7,"&lt;="&amp;$I$7,V616:AB616)</f>
        <v>0</v>
      </c>
      <c r="AE616" s="763"/>
      <c r="AF616" s="40"/>
      <c r="AG616" s="72" t="s">
        <v>1434</v>
      </c>
      <c r="AH616" s="72" t="s">
        <v>1434</v>
      </c>
      <c r="AI616" s="72">
        <f t="shared" ref="AI616:AL616" si="1266">SUMIF($G$597:$G$614,$G$594,AI623:AI640)</f>
        <v>0</v>
      </c>
      <c r="AJ616" s="72">
        <f t="shared" si="1266"/>
        <v>0</v>
      </c>
      <c r="AK616" s="72">
        <f t="shared" si="1266"/>
        <v>0</v>
      </c>
      <c r="AL616" s="72">
        <f t="shared" si="1266"/>
        <v>0</v>
      </c>
      <c r="AM616" s="43"/>
      <c r="AN616" s="40"/>
      <c r="AO616" s="43">
        <f ca="1">SUMIF($AG$7:AM$7,"&lt;="&amp;$I$7,AG616:AL616)</f>
        <v>0</v>
      </c>
      <c r="AP616" s="763"/>
      <c r="AQ616" s="40"/>
      <c r="AR616" s="72"/>
      <c r="AS616" s="72"/>
      <c r="AT616" s="72"/>
      <c r="AU616" s="72"/>
      <c r="AV616" s="72"/>
      <c r="AW616" s="72"/>
      <c r="AX616" s="43"/>
      <c r="AY616" s="40"/>
      <c r="AZ616" s="705">
        <f ca="1">SUMIF($AR$7:AX$7,"&lt;="&amp;$I$7,AR616:AW616)</f>
        <v>0</v>
      </c>
      <c r="BA616" s="763"/>
      <c r="BB616" s="40"/>
      <c r="BC616" s="72"/>
      <c r="BD616" s="72"/>
      <c r="BE616" s="72"/>
      <c r="BF616" s="72"/>
      <c r="BG616" s="72"/>
      <c r="BH616" s="72"/>
      <c r="BI616" s="43"/>
      <c r="BJ616" s="40"/>
      <c r="BK616" s="43">
        <f ca="1">SUMIF($BC$7:BI$7,"&lt;="&amp;$I$7,BC616:BH616)</f>
        <v>0</v>
      </c>
      <c r="BL616" s="763"/>
      <c r="BM616" s="40"/>
      <c r="BN616" s="1026"/>
      <c r="BO616" s="1028"/>
      <c r="BP616" s="910"/>
      <c r="BQ616" s="1029"/>
      <c r="BR616" s="40"/>
      <c r="BS616" s="910"/>
      <c r="BT616" s="910"/>
      <c r="BU616" s="910"/>
      <c r="BV616" s="910"/>
      <c r="BW616" s="1031"/>
      <c r="BX616" s="910"/>
      <c r="BY616" s="1033"/>
      <c r="BZ616" s="40"/>
      <c r="CA616" s="910"/>
      <c r="CB616" s="910"/>
      <c r="CC616" s="40"/>
      <c r="CD616" s="43">
        <f>IFERROR(AVERAGEIF($V$7:AB$7,"&lt;="&amp;$I$7,V616:AB616),0)</f>
        <v>0</v>
      </c>
    </row>
    <row r="617" spans="1:82" ht="14.65" customHeight="1">
      <c r="A617" s="73"/>
      <c r="B617" s="1006" t="s">
        <v>4121</v>
      </c>
      <c r="C617" s="1008" t="s">
        <v>1437</v>
      </c>
      <c r="D617" s="2"/>
      <c r="E617" s="1010">
        <v>1</v>
      </c>
      <c r="F617" s="2"/>
      <c r="G617" s="53" t="s">
        <v>37</v>
      </c>
      <c r="H617" s="52">
        <f>SUMIF($BC$7:$BI$7,$I$7,BC617:BI617)</f>
        <v>0</v>
      </c>
      <c r="I617" s="743" t="str">
        <f t="shared" ref="I617" si="1267">IFERROR((H618/H617),"-")</f>
        <v>-</v>
      </c>
      <c r="J617" s="2"/>
      <c r="K617" s="52">
        <v>0</v>
      </c>
      <c r="L617" s="52">
        <v>0</v>
      </c>
      <c r="M617" s="52" t="s">
        <v>1434</v>
      </c>
      <c r="N617" s="52" t="s">
        <v>1434</v>
      </c>
      <c r="O617" s="52" t="s">
        <v>1434</v>
      </c>
      <c r="P617" s="52" t="s">
        <v>1434</v>
      </c>
      <c r="Q617" s="52"/>
      <c r="R617" s="2"/>
      <c r="S617" s="52">
        <f ca="1">SUMIF($K$7:Q$7,"&lt;="&amp;$I$7,K617:P617)</f>
        <v>0</v>
      </c>
      <c r="T617" s="743" t="str">
        <f ca="1">IFERROR((S618/S617),"-")</f>
        <v>-</v>
      </c>
      <c r="U617" s="2"/>
      <c r="V617" s="52" t="s">
        <v>1434</v>
      </c>
      <c r="W617" s="52" t="s">
        <v>1434</v>
      </c>
      <c r="X617" s="52" t="s">
        <v>1434</v>
      </c>
      <c r="Y617" s="52" t="s">
        <v>1434</v>
      </c>
      <c r="Z617" s="52" t="s">
        <v>1434</v>
      </c>
      <c r="AA617" s="52" t="s">
        <v>1434</v>
      </c>
      <c r="AB617" s="52"/>
      <c r="AC617" s="2"/>
      <c r="AD617" s="52">
        <f>SUMIF($V$7:AB$7,"&lt;="&amp;$I$7,V617:AB617)</f>
        <v>0</v>
      </c>
      <c r="AE617" s="743" t="str">
        <f>IFERROR((AD618/AD617),"-")</f>
        <v>-</v>
      </c>
      <c r="AF617" s="2"/>
      <c r="AG617" s="52" t="s">
        <v>1434</v>
      </c>
      <c r="AH617" s="52" t="s">
        <v>1434</v>
      </c>
      <c r="AI617" s="52">
        <v>1</v>
      </c>
      <c r="AJ617" s="52"/>
      <c r="AK617" s="52"/>
      <c r="AL617" s="52"/>
      <c r="AM617" s="52"/>
      <c r="AN617" s="2"/>
      <c r="AO617" s="52">
        <f ca="1">SUMIF($AG$7:AM$7,"&lt;="&amp;$I$7,AG617:AL617)</f>
        <v>0</v>
      </c>
      <c r="AP617" s="743" t="str">
        <f ca="1">IFERROR((AO618/AO617),"-")</f>
        <v>-</v>
      </c>
      <c r="AQ617" s="2"/>
      <c r="AR617" s="52">
        <f t="shared" ref="AR617:AW617" ca="1" si="1268">SUMIF($G$444:$G$487,$G$430,AR619:AR636)</f>
        <v>0</v>
      </c>
      <c r="AS617" s="52">
        <f t="shared" ca="1" si="1268"/>
        <v>0</v>
      </c>
      <c r="AT617" s="52">
        <f t="shared" ca="1" si="1268"/>
        <v>0</v>
      </c>
      <c r="AU617" s="52">
        <f t="shared" ca="1" si="1268"/>
        <v>0</v>
      </c>
      <c r="AV617" s="52">
        <f t="shared" ca="1" si="1268"/>
        <v>0</v>
      </c>
      <c r="AW617" s="52">
        <f t="shared" ca="1" si="1268"/>
        <v>0</v>
      </c>
      <c r="AX617" s="52"/>
      <c r="AY617" s="2"/>
      <c r="AZ617" s="52">
        <f ca="1">SUMIF($AR$7:AX$7,"&lt;="&amp;$I$7,AR617:AW617)</f>
        <v>0</v>
      </c>
      <c r="BA617" s="743" t="str">
        <f ca="1">IFERROR((AZ618/AZ617),"-")</f>
        <v>-</v>
      </c>
      <c r="BB617" s="2"/>
      <c r="BC617" s="52">
        <f t="shared" ref="BC617:BD617" ca="1" si="1269">SUMIF($G$444:$G$487,$G$430,BC619:BC636)</f>
        <v>0</v>
      </c>
      <c r="BD617" s="52">
        <f t="shared" ca="1" si="1269"/>
        <v>0</v>
      </c>
      <c r="BE617" s="52" t="s">
        <v>1434</v>
      </c>
      <c r="BF617" s="52" t="s">
        <v>1434</v>
      </c>
      <c r="BG617" s="52" t="s">
        <v>1434</v>
      </c>
      <c r="BH617" s="52" t="s">
        <v>1434</v>
      </c>
      <c r="BI617" s="52"/>
      <c r="BJ617" s="2"/>
      <c r="BK617" s="52">
        <f ca="1">SUMIF($BC$7:BI$7,"&lt;="&amp;$I$7,BC617:BH617)</f>
        <v>0</v>
      </c>
      <c r="BL617" s="743" t="str">
        <f ca="1">IFERROR((BK618/BK617),"-")</f>
        <v>-</v>
      </c>
      <c r="BM617" s="2"/>
      <c r="BN617" s="888">
        <v>1</v>
      </c>
      <c r="BO617" s="888">
        <v>0</v>
      </c>
      <c r="BP617" s="888">
        <v>0</v>
      </c>
      <c r="BQ617" s="743" t="str">
        <f t="shared" ref="BQ617" si="1270">IFERROR((BP617/BO617),"-")</f>
        <v>-</v>
      </c>
      <c r="BR617" s="2"/>
      <c r="BS617" s="888">
        <v>6</v>
      </c>
      <c r="BT617" s="888"/>
      <c r="BU617" s="888">
        <f ca="1">E617+S618+AD618+AZ618+AO618+BK618</f>
        <v>2</v>
      </c>
      <c r="BV617" s="888">
        <v>106</v>
      </c>
      <c r="BW617" s="1019">
        <f ca="1">IFERROR((BU617/BV617),"-")</f>
        <v>1.8867924528301886E-2</v>
      </c>
      <c r="BX617" s="888">
        <v>0</v>
      </c>
      <c r="BY617" s="743" t="str">
        <f ca="1">IFERROR((BU617/BX617),"-")</f>
        <v>-</v>
      </c>
      <c r="BZ617" s="2"/>
      <c r="CA617" s="888">
        <v>2</v>
      </c>
      <c r="CB617" s="888">
        <f ca="1">CA617-BU617</f>
        <v>0</v>
      </c>
      <c r="CC617" s="2"/>
      <c r="CD617" s="52">
        <f>IFERROR(AVERAGEIF($BC$7:BI$7,"&lt;="&amp;$I$7,BC617:BI617),0)</f>
        <v>0</v>
      </c>
    </row>
    <row r="618" spans="1:82">
      <c r="B618" s="1007"/>
      <c r="C618" s="1009"/>
      <c r="D618" s="2"/>
      <c r="E618" s="1011"/>
      <c r="G618" s="54" t="s">
        <v>38</v>
      </c>
      <c r="H618" s="52">
        <f>SUMIF($BC$7:$BI$7,$I$7,BC618:BI618)</f>
        <v>0</v>
      </c>
      <c r="I618" s="744"/>
      <c r="J618" s="2"/>
      <c r="K618" s="75"/>
      <c r="L618" s="75"/>
      <c r="M618" s="75"/>
      <c r="N618" s="75"/>
      <c r="O618" s="75"/>
      <c r="P618" s="75"/>
      <c r="Q618" s="52"/>
      <c r="R618" s="2"/>
      <c r="S618" s="52">
        <f ca="1">SUMIF($K$7:Q$7,"&lt;="&amp;$I$7,K618:P618)</f>
        <v>0</v>
      </c>
      <c r="T618" s="744"/>
      <c r="U618" s="2"/>
      <c r="V618" s="75" t="s">
        <v>1434</v>
      </c>
      <c r="W618" s="75" t="s">
        <v>1434</v>
      </c>
      <c r="X618" s="75" t="s">
        <v>1434</v>
      </c>
      <c r="Y618" s="75" t="s">
        <v>1434</v>
      </c>
      <c r="Z618" s="75" t="s">
        <v>1434</v>
      </c>
      <c r="AA618" s="75" t="s">
        <v>1434</v>
      </c>
      <c r="AB618" s="52"/>
      <c r="AC618" s="2"/>
      <c r="AD618" s="52">
        <f>SUMIF($V$7:AB$7,"&lt;="&amp;$I$7,V618:AB618)</f>
        <v>0</v>
      </c>
      <c r="AE618" s="744"/>
      <c r="AF618" s="2"/>
      <c r="AG618" s="75" t="s">
        <v>1434</v>
      </c>
      <c r="AH618" s="75">
        <f t="shared" ref="AH618:AL618" si="1271">SUMIF($G$597:$G$614,$G$596,AH619:AH636)</f>
        <v>1</v>
      </c>
      <c r="AI618" s="75">
        <f t="shared" si="1271"/>
        <v>0</v>
      </c>
      <c r="AJ618" s="75">
        <f t="shared" si="1271"/>
        <v>0</v>
      </c>
      <c r="AK618" s="75">
        <f t="shared" si="1271"/>
        <v>0</v>
      </c>
      <c r="AL618" s="75">
        <f t="shared" si="1271"/>
        <v>0</v>
      </c>
      <c r="AM618" s="52"/>
      <c r="AN618" s="2"/>
      <c r="AO618" s="52">
        <f ca="1">SUMIF($AG$7:AM$7,"&lt;="&amp;$I$7,AG618:AL618)</f>
        <v>1</v>
      </c>
      <c r="AP618" s="744"/>
      <c r="AQ618" s="2"/>
      <c r="AR618" s="75"/>
      <c r="AS618" s="75"/>
      <c r="AT618" s="75"/>
      <c r="AU618" s="75"/>
      <c r="AV618" s="75"/>
      <c r="AW618" s="75"/>
      <c r="AX618" s="52"/>
      <c r="AY618" s="2"/>
      <c r="AZ618" s="52">
        <f ca="1">SUMIF($AR$7:AX$7,"&lt;="&amp;$I$7,AR618:AW618)</f>
        <v>0</v>
      </c>
      <c r="BA618" s="744"/>
      <c r="BB618" s="2"/>
      <c r="BC618" s="75"/>
      <c r="BD618" s="75"/>
      <c r="BE618" s="75"/>
      <c r="BF618" s="75"/>
      <c r="BG618" s="75"/>
      <c r="BH618" s="75"/>
      <c r="BI618" s="52"/>
      <c r="BJ618" s="2"/>
      <c r="BK618" s="52">
        <f ca="1">SUMIF($BC$7:BI$7,"&lt;="&amp;$I$7,BC618:BH618)</f>
        <v>0</v>
      </c>
      <c r="BL618" s="744"/>
      <c r="BM618" s="2"/>
      <c r="BN618" s="889"/>
      <c r="BO618" s="889"/>
      <c r="BP618" s="889"/>
      <c r="BQ618" s="744"/>
      <c r="BR618" s="2"/>
      <c r="BS618" s="889"/>
      <c r="BT618" s="889"/>
      <c r="BU618" s="1018"/>
      <c r="BV618" s="889"/>
      <c r="BW618" s="1020"/>
      <c r="BX618" s="889"/>
      <c r="BY618" s="744"/>
      <c r="BZ618" s="2"/>
      <c r="CA618" s="889"/>
      <c r="CB618" s="889"/>
      <c r="CC618" s="2"/>
      <c r="CD618" s="52">
        <f>IFERROR(AVERAGEIF($BC$7:BI$7,"&lt;="&amp;$I$7,BC618:BI618),0)</f>
        <v>0</v>
      </c>
    </row>
    <row r="619" spans="1:82" ht="15.75">
      <c r="A619" s="74"/>
      <c r="B619" s="1012" t="s">
        <v>4122</v>
      </c>
      <c r="C619" s="1014" t="s">
        <v>1437</v>
      </c>
      <c r="D619" s="2"/>
      <c r="E619" s="1004"/>
      <c r="F619" s="2"/>
      <c r="G619" s="49" t="s">
        <v>37</v>
      </c>
      <c r="H619" s="705">
        <f>SUMIF($K$7:$BI$7,$I$7,K619:BI619)</f>
        <v>0</v>
      </c>
      <c r="I619" s="878" t="str">
        <f t="shared" ref="I619" si="1272">IFERROR((H620/H619),"-")</f>
        <v>-</v>
      </c>
      <c r="J619" s="2"/>
      <c r="K619" s="705"/>
      <c r="L619" s="705"/>
      <c r="M619" s="705" t="s">
        <v>1434</v>
      </c>
      <c r="N619" s="705" t="s">
        <v>1434</v>
      </c>
      <c r="O619" s="705" t="s">
        <v>1434</v>
      </c>
      <c r="P619" s="705" t="s">
        <v>1434</v>
      </c>
      <c r="Q619" s="705"/>
      <c r="R619" s="2"/>
      <c r="S619" s="705">
        <f ca="1">SUMIF($K$7:Q$7,"&lt;="&amp;$I$7,K619:P619)</f>
        <v>0</v>
      </c>
      <c r="T619" s="878" t="str">
        <f ca="1">IFERROR((S620/S619),"-")</f>
        <v>-</v>
      </c>
      <c r="U619" s="2"/>
      <c r="V619" s="705" t="s">
        <v>1434</v>
      </c>
      <c r="W619" s="705" t="s">
        <v>1434</v>
      </c>
      <c r="X619" s="705" t="s">
        <v>1434</v>
      </c>
      <c r="Y619" s="705" t="s">
        <v>1434</v>
      </c>
      <c r="Z619" s="705" t="s">
        <v>1434</v>
      </c>
      <c r="AA619" s="705" t="s">
        <v>1434</v>
      </c>
      <c r="AB619" s="705"/>
      <c r="AC619" s="2"/>
      <c r="AD619" s="705">
        <f ca="1">SUMIF($V$7:AB$7,"&lt;="&amp;$I$7,V619:AA619)</f>
        <v>0</v>
      </c>
      <c r="AE619" s="878" t="str">
        <f ca="1">IFERROR((AD620/AD619),"-")</f>
        <v>-</v>
      </c>
      <c r="AF619" s="2"/>
      <c r="AG619" s="705" t="s">
        <v>1434</v>
      </c>
      <c r="AH619" s="705" t="s">
        <v>1434</v>
      </c>
      <c r="AI619" s="705">
        <v>1</v>
      </c>
      <c r="AJ619" s="705"/>
      <c r="AK619" s="705"/>
      <c r="AL619" s="705"/>
      <c r="AM619" s="705"/>
      <c r="AN619" s="2"/>
      <c r="AO619" s="705">
        <f ca="1">SUMIF($AG$7:AM$7,"&lt;="&amp;$I$7,AG619:AL619)</f>
        <v>0</v>
      </c>
      <c r="AP619" s="878" t="str">
        <f ca="1">IFERROR((AO620/AO619),"-")</f>
        <v>-</v>
      </c>
      <c r="AQ619" s="2"/>
      <c r="AR619" s="705"/>
      <c r="AS619" s="705"/>
      <c r="AT619" s="705"/>
      <c r="AU619" s="705"/>
      <c r="AV619" s="705"/>
      <c r="AW619" s="705"/>
      <c r="AX619" s="705"/>
      <c r="AY619" s="2"/>
      <c r="AZ619" s="705">
        <f ca="1">SUMIF($AR$7:AX$7,"&lt;="&amp;$I$7,AR619:AW619)</f>
        <v>0</v>
      </c>
      <c r="BA619" s="878" t="str">
        <f ca="1">IFERROR((AZ620/AZ619),"-")</f>
        <v>-</v>
      </c>
      <c r="BB619" s="2"/>
      <c r="BC619" s="705"/>
      <c r="BD619" s="705"/>
      <c r="BE619" s="705"/>
      <c r="BF619" s="705"/>
      <c r="BG619" s="705"/>
      <c r="BH619" s="705"/>
      <c r="BI619" s="705"/>
      <c r="BJ619" s="2"/>
      <c r="BK619" s="43">
        <f ca="1">SUMIF($BC$7:BI$7,"&lt;="&amp;$I$7,BC619:BH619)</f>
        <v>0</v>
      </c>
      <c r="BL619" s="878" t="str">
        <f ca="1">IFERROR((BK620/BK619),"-")</f>
        <v>-</v>
      </c>
      <c r="BM619" s="2"/>
      <c r="BN619" s="884">
        <v>1</v>
      </c>
      <c r="BO619" s="921">
        <v>0</v>
      </c>
      <c r="BP619" s="884">
        <f>SUM(K620:P620,V620:AB620,AG620:AM620,AR620:AX620)</f>
        <v>1</v>
      </c>
      <c r="BQ619" s="878" t="str">
        <f t="shared" ref="BQ619" si="1273">IFERROR((BP619/BO619),"-")</f>
        <v>-</v>
      </c>
      <c r="BR619" s="2"/>
      <c r="BS619" s="884"/>
      <c r="BT619" s="884"/>
      <c r="BU619" s="884">
        <v>0</v>
      </c>
      <c r="BV619" s="1016" t="e">
        <v>#N/A</v>
      </c>
      <c r="BW619" s="1004" t="str">
        <f>IFERROR((BU619/BV619),"-")</f>
        <v>-</v>
      </c>
      <c r="BX619" s="884">
        <v>0</v>
      </c>
      <c r="BY619" s="878" t="str">
        <f>IFERROR((BU619/BX619),"-")</f>
        <v>-</v>
      </c>
      <c r="BZ619" s="2"/>
      <c r="CA619" s="884">
        <v>1</v>
      </c>
      <c r="CB619" s="884">
        <f>CA619-BU619</f>
        <v>1</v>
      </c>
      <c r="CC619" s="2"/>
      <c r="CD619" s="504">
        <f>IFERROR(AVERAGEIF($V$7:AB$7,"&lt;="&amp;$I$7,V619:AB619),0)</f>
        <v>0</v>
      </c>
    </row>
    <row r="620" spans="1:82" ht="15.75">
      <c r="A620" s="74"/>
      <c r="B620" s="1013"/>
      <c r="C620" s="1015"/>
      <c r="D620" s="2"/>
      <c r="E620" s="1005"/>
      <c r="F620" s="2"/>
      <c r="G620" s="50" t="s">
        <v>38</v>
      </c>
      <c r="H620" s="705">
        <f>SUMIF($K$7:$BI$7,$I$7,K620:BI620)</f>
        <v>1</v>
      </c>
      <c r="I620" s="879"/>
      <c r="J620" s="2"/>
      <c r="K620" s="86"/>
      <c r="L620" s="86"/>
      <c r="M620" s="86"/>
      <c r="N620" s="86" t="s">
        <v>1434</v>
      </c>
      <c r="O620" s="86" t="s">
        <v>1434</v>
      </c>
      <c r="P620" s="86" t="s">
        <v>1434</v>
      </c>
      <c r="Q620" s="706"/>
      <c r="R620" s="2"/>
      <c r="S620" s="705">
        <f ca="1">SUMIF($K$7:Q$7,"&lt;="&amp;$I$7,K620:P620)</f>
        <v>0</v>
      </c>
      <c r="T620" s="879"/>
      <c r="U620" s="2"/>
      <c r="V620" s="86" t="s">
        <v>1434</v>
      </c>
      <c r="W620" s="86" t="s">
        <v>1434</v>
      </c>
      <c r="X620" s="86" t="s">
        <v>1434</v>
      </c>
      <c r="Y620" s="86" t="s">
        <v>1434</v>
      </c>
      <c r="Z620" s="86" t="s">
        <v>1434</v>
      </c>
      <c r="AA620" s="86" t="s">
        <v>1434</v>
      </c>
      <c r="AB620" s="706"/>
      <c r="AC620" s="2"/>
      <c r="AD620" s="705">
        <f ca="1">SUMIF($V$7:AB$7,"&lt;="&amp;$I$7,V620:AA620)</f>
        <v>0</v>
      </c>
      <c r="AE620" s="879"/>
      <c r="AF620" s="2"/>
      <c r="AG620" s="86" t="s">
        <v>1434</v>
      </c>
      <c r="AH620" s="86">
        <v>1</v>
      </c>
      <c r="AI620" s="86"/>
      <c r="AJ620" s="86"/>
      <c r="AK620" s="86"/>
      <c r="AL620" s="86"/>
      <c r="AM620" s="706"/>
      <c r="AN620" s="2"/>
      <c r="AO620" s="705">
        <f ca="1">SUMIF($AG$7:AM$7,"&lt;="&amp;$I$7,AG620:AL620)</f>
        <v>1</v>
      </c>
      <c r="AP620" s="879"/>
      <c r="AQ620" s="2"/>
      <c r="AR620" s="86"/>
      <c r="AS620" s="86"/>
      <c r="AT620" s="86"/>
      <c r="AU620" s="86"/>
      <c r="AV620" s="86"/>
      <c r="AW620" s="86"/>
      <c r="AX620" s="706"/>
      <c r="AY620" s="2"/>
      <c r="AZ620" s="705">
        <f ca="1">SUMIF($AR$7:AX$7,"&lt;="&amp;$I$7,AR620:AW620)</f>
        <v>0</v>
      </c>
      <c r="BA620" s="879"/>
      <c r="BB620" s="2"/>
      <c r="BC620" s="86"/>
      <c r="BD620" s="86"/>
      <c r="BE620" s="86"/>
      <c r="BF620" s="86"/>
      <c r="BG620" s="86"/>
      <c r="BH620" s="86"/>
      <c r="BI620" s="706"/>
      <c r="BJ620" s="2"/>
      <c r="BK620" s="43">
        <f ca="1">SUMIF($BC$7:BI$7,"&lt;="&amp;$I$7,BC620:BH620)</f>
        <v>0</v>
      </c>
      <c r="BL620" s="879"/>
      <c r="BM620" s="2"/>
      <c r="BN620" s="885"/>
      <c r="BO620" s="922"/>
      <c r="BP620" s="885"/>
      <c r="BQ620" s="879"/>
      <c r="BR620" s="2"/>
      <c r="BS620" s="885"/>
      <c r="BT620" s="885"/>
      <c r="BU620" s="885"/>
      <c r="BV620" s="1017"/>
      <c r="BW620" s="1005"/>
      <c r="BX620" s="885"/>
      <c r="BY620" s="879"/>
      <c r="BZ620" s="2"/>
      <c r="CA620" s="885"/>
      <c r="CB620" s="885"/>
      <c r="CC620" s="2"/>
      <c r="CD620" s="504">
        <f>IFERROR(AVERAGEIF($V$7:AB$7,"&lt;="&amp;$I$7,V620:AB620),0)</f>
        <v>0</v>
      </c>
    </row>
    <row r="621" spans="1:82">
      <c r="A621" s="73"/>
      <c r="B621" s="1006" t="s">
        <v>4123</v>
      </c>
      <c r="C621" s="1008" t="s">
        <v>1437</v>
      </c>
      <c r="D621" s="2"/>
      <c r="E621" s="1010">
        <v>1</v>
      </c>
      <c r="F621" s="2"/>
      <c r="G621" s="53" t="s">
        <v>37</v>
      </c>
      <c r="H621" s="52">
        <f>SUMIF($BC$7:$BI$7,$I$7,BC621:BI621)</f>
        <v>0</v>
      </c>
      <c r="I621" s="743" t="str">
        <f t="shared" ref="I621" si="1274">IFERROR((H622/H621),"-")</f>
        <v>-</v>
      </c>
      <c r="J621" s="2"/>
      <c r="K621" s="52">
        <v>0</v>
      </c>
      <c r="L621" s="52">
        <v>0</v>
      </c>
      <c r="M621" s="52" t="s">
        <v>1434</v>
      </c>
      <c r="N621" s="52" t="s">
        <v>1434</v>
      </c>
      <c r="O621" s="52" t="s">
        <v>1434</v>
      </c>
      <c r="P621" s="52" t="s">
        <v>1434</v>
      </c>
      <c r="Q621" s="52"/>
      <c r="R621" s="2"/>
      <c r="S621" s="52">
        <f ca="1">SUMIF($K$7:Q$7,"&lt;="&amp;$I$7,K621:P621)</f>
        <v>0</v>
      </c>
      <c r="T621" s="743" t="str">
        <f ca="1">IFERROR((S622/S621),"-")</f>
        <v>-</v>
      </c>
      <c r="U621" s="2"/>
      <c r="V621" s="52"/>
      <c r="W621" s="52"/>
      <c r="X621" s="52"/>
      <c r="Y621" s="52"/>
      <c r="Z621" s="52"/>
      <c r="AA621" s="52"/>
      <c r="AB621" s="52"/>
      <c r="AC621" s="2"/>
      <c r="AD621" s="52">
        <f>SUMIF($V$7:AB$7,"&lt;="&amp;$I$7,V621:AB621)</f>
        <v>0</v>
      </c>
      <c r="AE621" s="743" t="str">
        <f>IFERROR((AD622/AD621),"-")</f>
        <v>-</v>
      </c>
      <c r="AF621" s="2"/>
      <c r="AG621" s="52"/>
      <c r="AH621" s="52"/>
      <c r="AI621" s="52"/>
      <c r="AJ621" s="52" t="s">
        <v>1434</v>
      </c>
      <c r="AK621" s="52" t="s">
        <v>1434</v>
      </c>
      <c r="AL621" s="52">
        <f ca="1">SUMIF($G$444:$G$487,$G$430,AL623:AL624)</f>
        <v>1</v>
      </c>
      <c r="AM621" s="52"/>
      <c r="AN621" s="2"/>
      <c r="AO621" s="52">
        <f ca="1">SUMIF($AG$7:AM$7,"&lt;="&amp;$I$7,AG621:AL621)</f>
        <v>0</v>
      </c>
      <c r="AP621" s="743" t="str">
        <f ca="1">IFERROR((AO622/AO621),"-")</f>
        <v>-</v>
      </c>
      <c r="AQ621" s="2"/>
      <c r="AR621" s="52">
        <f t="shared" ref="AR621:AW621" ca="1" si="1275">SUMIF($G$444:$G$487,$G$430,AR623:AR640)</f>
        <v>0</v>
      </c>
      <c r="AS621" s="52">
        <f t="shared" ca="1" si="1275"/>
        <v>0</v>
      </c>
      <c r="AT621" s="52">
        <f t="shared" ca="1" si="1275"/>
        <v>0</v>
      </c>
      <c r="AU621" s="52">
        <f t="shared" ca="1" si="1275"/>
        <v>0</v>
      </c>
      <c r="AV621" s="52">
        <f t="shared" ca="1" si="1275"/>
        <v>0</v>
      </c>
      <c r="AW621" s="52">
        <f t="shared" ca="1" si="1275"/>
        <v>0</v>
      </c>
      <c r="AX621" s="52"/>
      <c r="AY621" s="2"/>
      <c r="AZ621" s="52">
        <f ca="1">SUMIF($AR$7:AX$7,"&lt;="&amp;$I$7,AR621:AW621)</f>
        <v>0</v>
      </c>
      <c r="BA621" s="743" t="str">
        <f ca="1">IFERROR((AZ622/AZ621),"-")</f>
        <v>-</v>
      </c>
      <c r="BB621" s="2"/>
      <c r="BC621" s="52">
        <f t="shared" ref="BC621:BD621" ca="1" si="1276">SUMIF($G$444:$G$487,$G$430,BC623:BC640)</f>
        <v>0</v>
      </c>
      <c r="BD621" s="52">
        <f t="shared" ca="1" si="1276"/>
        <v>0</v>
      </c>
      <c r="BE621" s="52" t="s">
        <v>1434</v>
      </c>
      <c r="BF621" s="52" t="s">
        <v>1434</v>
      </c>
      <c r="BG621" s="52" t="s">
        <v>1434</v>
      </c>
      <c r="BH621" s="52" t="s">
        <v>1434</v>
      </c>
      <c r="BI621" s="52"/>
      <c r="BJ621" s="2"/>
      <c r="BK621" s="52">
        <f ca="1">SUMIF($BC$7:BI$7,"&lt;="&amp;$I$7,BC621:BH621)</f>
        <v>0</v>
      </c>
      <c r="BL621" s="743" t="str">
        <f ca="1">IFERROR((BK622/BK621),"-")</f>
        <v>-</v>
      </c>
      <c r="BM621" s="2"/>
      <c r="BN621" s="888">
        <v>1</v>
      </c>
      <c r="BO621" s="888">
        <v>0</v>
      </c>
      <c r="BP621" s="888">
        <v>0</v>
      </c>
      <c r="BQ621" s="743" t="str">
        <f t="shared" ref="BQ621" si="1277">IFERROR((BP621/BO621),"-")</f>
        <v>-</v>
      </c>
      <c r="BR621" s="2"/>
      <c r="BS621" s="888">
        <v>6</v>
      </c>
      <c r="BT621" s="888"/>
      <c r="BU621" s="888">
        <f ca="1">E621+S622+AD622+AZ622+AO622+BK622</f>
        <v>1</v>
      </c>
      <c r="BV621" s="888">
        <v>106</v>
      </c>
      <c r="BW621" s="1019">
        <f ca="1">IFERROR((BU621/BV621),"-")</f>
        <v>9.433962264150943E-3</v>
      </c>
      <c r="BX621" s="888">
        <v>0</v>
      </c>
      <c r="BY621" s="743" t="str">
        <f ca="1">IFERROR((BU621/BX621),"-")</f>
        <v>-</v>
      </c>
      <c r="BZ621" s="2"/>
      <c r="CA621" s="888">
        <v>2</v>
      </c>
      <c r="CB621" s="888">
        <f ca="1">CA621-BU621</f>
        <v>1</v>
      </c>
    </row>
    <row r="622" spans="1:82">
      <c r="B622" s="1007"/>
      <c r="C622" s="1009"/>
      <c r="D622" s="2"/>
      <c r="E622" s="1011"/>
      <c r="G622" s="54" t="s">
        <v>38</v>
      </c>
      <c r="H622" s="52">
        <f>SUMIF($BC$7:$BI$7,$I$7,BC622:BI622)</f>
        <v>0</v>
      </c>
      <c r="I622" s="744"/>
      <c r="J622" s="2"/>
      <c r="K622" s="75"/>
      <c r="L622" s="75"/>
      <c r="M622" s="75"/>
      <c r="N622" s="75"/>
      <c r="O622" s="75"/>
      <c r="P622" s="75"/>
      <c r="Q622" s="52"/>
      <c r="R622" s="2"/>
      <c r="S622" s="52">
        <f ca="1">SUMIF($K$7:Q$7,"&lt;="&amp;$I$7,K622:P622)</f>
        <v>0</v>
      </c>
      <c r="T622" s="744"/>
      <c r="U622" s="2"/>
      <c r="V622" s="75"/>
      <c r="W622" s="75"/>
      <c r="X622" s="75"/>
      <c r="Y622" s="75"/>
      <c r="Z622" s="75"/>
      <c r="AA622" s="75"/>
      <c r="AB622" s="52"/>
      <c r="AC622" s="2"/>
      <c r="AD622" s="52">
        <f>SUMIF($V$7:AB$7,"&lt;="&amp;$I$7,V622:AB622)</f>
        <v>0</v>
      </c>
      <c r="AE622" s="744"/>
      <c r="AF622" s="2"/>
      <c r="AG622" s="75">
        <f t="shared" ref="AG622:AL622" si="1278">SUMIF($G$597:$G$614,$G$596,AG623:AG640)</f>
        <v>0</v>
      </c>
      <c r="AH622" s="75" t="s">
        <v>1434</v>
      </c>
      <c r="AI622" s="75">
        <f t="shared" si="1278"/>
        <v>0</v>
      </c>
      <c r="AJ622" s="75">
        <f t="shared" si="1278"/>
        <v>0</v>
      </c>
      <c r="AK622" s="75">
        <f t="shared" si="1278"/>
        <v>0</v>
      </c>
      <c r="AL622" s="75">
        <f t="shared" si="1278"/>
        <v>0</v>
      </c>
      <c r="AM622" s="52"/>
      <c r="AN622" s="2"/>
      <c r="AO622" s="52">
        <f ca="1">SUMIF($AG$7:AM$7,"&lt;="&amp;$I$7,AG622:AL622)</f>
        <v>0</v>
      </c>
      <c r="AP622" s="744"/>
      <c r="AQ622" s="2"/>
      <c r="AR622" s="75"/>
      <c r="AS622" s="75"/>
      <c r="AT622" s="75"/>
      <c r="AU622" s="75"/>
      <c r="AV622" s="75"/>
      <c r="AW622" s="75"/>
      <c r="AX622" s="52"/>
      <c r="AY622" s="2"/>
      <c r="AZ622" s="52">
        <f ca="1">SUMIF($AR$7:AX$7,"&lt;="&amp;$I$7,AR622:AW622)</f>
        <v>0</v>
      </c>
      <c r="BA622" s="744"/>
      <c r="BB622" s="2"/>
      <c r="BC622" s="75"/>
      <c r="BD622" s="75"/>
      <c r="BE622" s="75"/>
      <c r="BF622" s="75"/>
      <c r="BG622" s="75"/>
      <c r="BH622" s="75"/>
      <c r="BI622" s="52"/>
      <c r="BJ622" s="2"/>
      <c r="BK622" s="52">
        <f ca="1">SUMIF($BC$7:BI$7,"&lt;="&amp;$I$7,BC622:BH622)</f>
        <v>0</v>
      </c>
      <c r="BL622" s="744"/>
      <c r="BM622" s="2"/>
      <c r="BN622" s="889"/>
      <c r="BO622" s="889"/>
      <c r="BP622" s="889"/>
      <c r="BQ622" s="744"/>
      <c r="BR622" s="2"/>
      <c r="BS622" s="889"/>
      <c r="BT622" s="889"/>
      <c r="BU622" s="1018"/>
      <c r="BV622" s="889"/>
      <c r="BW622" s="1020"/>
      <c r="BX622" s="889"/>
      <c r="BY622" s="744"/>
      <c r="BZ622" s="2"/>
      <c r="CA622" s="889"/>
      <c r="CB622" s="889"/>
    </row>
    <row r="623" spans="1:82" ht="15.75">
      <c r="A623" s="74"/>
      <c r="B623" s="1012" t="s">
        <v>4124</v>
      </c>
      <c r="C623" s="1014" t="s">
        <v>1437</v>
      </c>
      <c r="D623" s="2"/>
      <c r="E623" s="1004"/>
      <c r="F623" s="2"/>
      <c r="G623" s="49" t="s">
        <v>37</v>
      </c>
      <c r="H623" s="705">
        <f>SUMIF($K$7:$BI$7,$I$7,K623:BI623)</f>
        <v>0</v>
      </c>
      <c r="I623" s="878" t="str">
        <f t="shared" ref="I623" si="1279">IFERROR((H624/H623),"-")</f>
        <v>-</v>
      </c>
      <c r="J623" s="2"/>
      <c r="K623" s="705"/>
      <c r="L623" s="705"/>
      <c r="M623" s="705" t="s">
        <v>1434</v>
      </c>
      <c r="N623" s="705" t="s">
        <v>1434</v>
      </c>
      <c r="O623" s="705" t="s">
        <v>1434</v>
      </c>
      <c r="P623" s="705" t="s">
        <v>1434</v>
      </c>
      <c r="Q623" s="705"/>
      <c r="R623" s="2"/>
      <c r="S623" s="705">
        <f ca="1">SUMIF($K$7:Q$7,"&lt;="&amp;$I$7,K623:P623)</f>
        <v>0</v>
      </c>
      <c r="T623" s="878" t="str">
        <f ca="1">IFERROR((S624/S623),"-")</f>
        <v>-</v>
      </c>
      <c r="U623" s="2"/>
      <c r="V623" s="705"/>
      <c r="W623" s="705"/>
      <c r="X623" s="705"/>
      <c r="Y623" s="705"/>
      <c r="Z623" s="705"/>
      <c r="AA623" s="705"/>
      <c r="AB623" s="705"/>
      <c r="AC623" s="2"/>
      <c r="AD623" s="705">
        <f ca="1">SUMIF($V$7:AB$7,"&lt;="&amp;$I$7,V623:AA623)</f>
        <v>0</v>
      </c>
      <c r="AE623" s="878" t="str">
        <f ca="1">IFERROR((AD624/AD623),"-")</f>
        <v>-</v>
      </c>
      <c r="AF623" s="2"/>
      <c r="AG623" s="705"/>
      <c r="AH623" s="705"/>
      <c r="AI623" s="705"/>
      <c r="AJ623" s="705" t="s">
        <v>1434</v>
      </c>
      <c r="AK623" s="705" t="s">
        <v>1434</v>
      </c>
      <c r="AL623" s="705">
        <v>1</v>
      </c>
      <c r="AM623" s="705"/>
      <c r="AN623" s="2"/>
      <c r="AO623" s="705">
        <f ca="1">SUMIF($AG$7:AM$7,"&lt;="&amp;$I$7,AG623:AL623)</f>
        <v>0</v>
      </c>
      <c r="AP623" s="878" t="str">
        <f ca="1">IFERROR((AO624/AO623),"-")</f>
        <v>-</v>
      </c>
      <c r="AQ623" s="2"/>
      <c r="AR623" s="705"/>
      <c r="AS623" s="705"/>
      <c r="AT623" s="705"/>
      <c r="AU623" s="705"/>
      <c r="AV623" s="705"/>
      <c r="AW623" s="705"/>
      <c r="AX623" s="705"/>
      <c r="AY623" s="2"/>
      <c r="AZ623" s="705">
        <f ca="1">SUMIF($AR$7:AX$7,"&lt;="&amp;$I$7,AR623:AW623)</f>
        <v>0</v>
      </c>
      <c r="BA623" s="878" t="str">
        <f ca="1">IFERROR((AZ624/AZ623),"-")</f>
        <v>-</v>
      </c>
      <c r="BB623" s="2"/>
      <c r="BC623" s="705"/>
      <c r="BD623" s="705"/>
      <c r="BE623" s="705"/>
      <c r="BF623" s="705"/>
      <c r="BG623" s="705"/>
      <c r="BH623" s="705"/>
      <c r="BI623" s="705"/>
      <c r="BJ623" s="2"/>
      <c r="BK623" s="43">
        <f ca="1">SUMIF($BC$7:BI$7,"&lt;="&amp;$I$7,BC623:BH623)</f>
        <v>0</v>
      </c>
      <c r="BL623" s="878" t="str">
        <f ca="1">IFERROR((BK624/BK623),"-")</f>
        <v>-</v>
      </c>
      <c r="BM623" s="2"/>
      <c r="BN623" s="884">
        <v>1</v>
      </c>
      <c r="BO623" s="921">
        <v>0</v>
      </c>
      <c r="BP623" s="884">
        <f>SUM(K624:P624,V624:AB624,AG624:AM624,AR624:AX624)</f>
        <v>0</v>
      </c>
      <c r="BQ623" s="878" t="str">
        <f t="shared" ref="BQ623" si="1280">IFERROR((BP623/BO623),"-")</f>
        <v>-</v>
      </c>
      <c r="BR623" s="2"/>
      <c r="BS623" s="884"/>
      <c r="BT623" s="884"/>
      <c r="BU623" s="884">
        <v>1</v>
      </c>
      <c r="BV623" s="1016" t="e">
        <v>#N/A</v>
      </c>
      <c r="BW623" s="1004" t="str">
        <f>IFERROR((BU623/BV623),"-")</f>
        <v>-</v>
      </c>
      <c r="BX623" s="884">
        <v>0</v>
      </c>
      <c r="BY623" s="878" t="str">
        <f>IFERROR((BU623/BX623),"-")</f>
        <v>-</v>
      </c>
      <c r="BZ623" s="2"/>
      <c r="CA623" s="884">
        <v>1</v>
      </c>
      <c r="CB623" s="884">
        <v>0</v>
      </c>
    </row>
    <row r="624" spans="1:82" ht="15.75">
      <c r="A624" s="74"/>
      <c r="B624" s="1013"/>
      <c r="C624" s="1015"/>
      <c r="D624" s="2"/>
      <c r="E624" s="1005"/>
      <c r="F624" s="2"/>
      <c r="G624" s="50" t="s">
        <v>38</v>
      </c>
      <c r="H624" s="705">
        <f>SUMIF($K$7:$BI$7,$I$7,K624:BI624)</f>
        <v>0</v>
      </c>
      <c r="I624" s="879"/>
      <c r="J624" s="2"/>
      <c r="K624" s="86"/>
      <c r="L624" s="86"/>
      <c r="M624" s="86"/>
      <c r="N624" s="86" t="s">
        <v>1434</v>
      </c>
      <c r="O624" s="86" t="s">
        <v>1434</v>
      </c>
      <c r="P624" s="86" t="s">
        <v>1434</v>
      </c>
      <c r="Q624" s="706"/>
      <c r="R624" s="2"/>
      <c r="S624" s="705">
        <f ca="1">SUMIF($K$7:Q$7,"&lt;="&amp;$I$7,K624:P624)</f>
        <v>0</v>
      </c>
      <c r="T624" s="879"/>
      <c r="U624" s="2"/>
      <c r="V624" s="86"/>
      <c r="W624" s="86"/>
      <c r="X624" s="86"/>
      <c r="Y624" s="86"/>
      <c r="Z624" s="86"/>
      <c r="AA624" s="86"/>
      <c r="AB624" s="706"/>
      <c r="AC624" s="2"/>
      <c r="AD624" s="705">
        <f ca="1">SUMIF($V$7:AB$7,"&lt;="&amp;$I$7,V624:AA624)</f>
        <v>0</v>
      </c>
      <c r="AE624" s="879"/>
      <c r="AF624" s="2"/>
      <c r="AG624" s="86"/>
      <c r="AH624" s="86" t="s">
        <v>1434</v>
      </c>
      <c r="AI624" s="86"/>
      <c r="AJ624" s="86"/>
      <c r="AK624" s="86"/>
      <c r="AL624" s="86"/>
      <c r="AM624" s="706"/>
      <c r="AN624" s="2"/>
      <c r="AO624" s="705">
        <f ca="1">SUMIF($AG$7:AM$7,"&lt;="&amp;$I$7,AG624:AL624)</f>
        <v>0</v>
      </c>
      <c r="AP624" s="879"/>
      <c r="AQ624" s="2"/>
      <c r="AR624" s="86"/>
      <c r="AS624" s="86"/>
      <c r="AT624" s="86"/>
      <c r="AU624" s="86"/>
      <c r="AV624" s="86"/>
      <c r="AW624" s="86"/>
      <c r="AX624" s="706"/>
      <c r="AY624" s="2"/>
      <c r="AZ624" s="705">
        <f ca="1">SUMIF($AR$7:AX$7,"&lt;="&amp;$I$7,AR624:AW624)</f>
        <v>0</v>
      </c>
      <c r="BA624" s="879"/>
      <c r="BB624" s="2"/>
      <c r="BC624" s="86"/>
      <c r="BD624" s="86"/>
      <c r="BE624" s="86"/>
      <c r="BF624" s="86"/>
      <c r="BG624" s="86"/>
      <c r="BH624" s="86"/>
      <c r="BI624" s="706"/>
      <c r="BJ624" s="2"/>
      <c r="BK624" s="43">
        <f ca="1">SUMIF($BC$7:BI$7,"&lt;="&amp;$I$7,BC624:BH624)</f>
        <v>0</v>
      </c>
      <c r="BL624" s="879"/>
      <c r="BM624" s="2"/>
      <c r="BN624" s="885"/>
      <c r="BO624" s="922"/>
      <c r="BP624" s="885"/>
      <c r="BQ624" s="879"/>
      <c r="BR624" s="2"/>
      <c r="BS624" s="885"/>
      <c r="BT624" s="885"/>
      <c r="BU624" s="885"/>
      <c r="BV624" s="1017"/>
      <c r="BW624" s="1005"/>
      <c r="BX624" s="885"/>
      <c r="BY624" s="879"/>
      <c r="BZ624" s="2"/>
      <c r="CA624" s="885"/>
      <c r="CB624" s="885"/>
    </row>
    <row r="625" spans="1:80" ht="15.75">
      <c r="A625" s="70"/>
      <c r="B625" s="1021" t="s">
        <v>4125</v>
      </c>
      <c r="C625" s="1023" t="s">
        <v>1437</v>
      </c>
      <c r="D625" s="2"/>
      <c r="E625" s="1004"/>
      <c r="F625" s="2"/>
      <c r="G625" s="49" t="s">
        <v>37</v>
      </c>
      <c r="H625" s="43">
        <f t="shared" ref="H625:H626" ca="1" si="1281">SUMIF($K$7:$BI$7,$I$7,K625:BI625)</f>
        <v>0</v>
      </c>
      <c r="I625" s="878" t="str">
        <f t="shared" ref="I625" ca="1" si="1282">IFERROR((H626/H625),"-")</f>
        <v>-</v>
      </c>
      <c r="J625" s="40"/>
      <c r="K625" s="42">
        <f t="shared" ref="K625:P625" ca="1" si="1283">SUMIF($G$444:$G$487,$G$430,K627:K644)</f>
        <v>0</v>
      </c>
      <c r="L625" s="42">
        <f t="shared" ca="1" si="1283"/>
        <v>0</v>
      </c>
      <c r="M625" s="42">
        <f t="shared" ca="1" si="1283"/>
        <v>0</v>
      </c>
      <c r="N625" s="42">
        <f t="shared" ca="1" si="1283"/>
        <v>0</v>
      </c>
      <c r="O625" s="42">
        <f t="shared" ca="1" si="1283"/>
        <v>0</v>
      </c>
      <c r="P625" s="42">
        <f t="shared" ca="1" si="1283"/>
        <v>0</v>
      </c>
      <c r="Q625" s="42"/>
      <c r="R625" s="40"/>
      <c r="S625" s="43">
        <f ca="1">SUMIF($K$7:Q$7,"&lt;="&amp;$I$7,K625:P625)</f>
        <v>0</v>
      </c>
      <c r="T625" s="762" t="str">
        <f ca="1">IFERROR((S626/S625),"-")</f>
        <v>-</v>
      </c>
      <c r="U625" s="40"/>
      <c r="V625" s="42">
        <f t="shared" ref="V625:AA625" ca="1" si="1284">SUMIF($G$444:$G$487,$G$430,V627:V644)</f>
        <v>0</v>
      </c>
      <c r="W625" s="42">
        <f t="shared" ca="1" si="1284"/>
        <v>0</v>
      </c>
      <c r="X625" s="42">
        <f t="shared" ca="1" si="1284"/>
        <v>0</v>
      </c>
      <c r="Y625" s="42">
        <f t="shared" ca="1" si="1284"/>
        <v>0</v>
      </c>
      <c r="Z625" s="42">
        <f t="shared" ca="1" si="1284"/>
        <v>0</v>
      </c>
      <c r="AA625" s="42">
        <f t="shared" ca="1" si="1284"/>
        <v>0</v>
      </c>
      <c r="AB625" s="42"/>
      <c r="AC625" s="40"/>
      <c r="AD625" s="705">
        <f ca="1">SUMIF($V$7:AB$7,"&lt;="&amp;$I$7,V625:AB625)</f>
        <v>0</v>
      </c>
      <c r="AE625" s="762">
        <f ca="1">IF(AD625=0,IF(AD626&gt;0,1,"-"),IFERROR(AD626/AD625,"-"))</f>
        <v>1</v>
      </c>
      <c r="AF625" s="40"/>
      <c r="AG625" s="42">
        <f t="shared" ref="AG625:AL625" ca="1" si="1285">SUMIF($G$444:$G$487,$G$430,AG627:AG644)</f>
        <v>0</v>
      </c>
      <c r="AH625" s="42">
        <f t="shared" ca="1" si="1285"/>
        <v>0</v>
      </c>
      <c r="AI625" s="42">
        <f t="shared" ca="1" si="1285"/>
        <v>0</v>
      </c>
      <c r="AJ625" s="42">
        <f t="shared" ca="1" si="1285"/>
        <v>0</v>
      </c>
      <c r="AK625" s="42">
        <f t="shared" ca="1" si="1285"/>
        <v>0</v>
      </c>
      <c r="AL625" s="42">
        <f t="shared" ca="1" si="1285"/>
        <v>0</v>
      </c>
      <c r="AM625" s="42"/>
      <c r="AN625" s="40"/>
      <c r="AO625" s="43">
        <f ca="1">SUMIF($AG$7:AM$7,"&lt;="&amp;$I$7,AG625:AL625)</f>
        <v>0</v>
      </c>
      <c r="AP625" s="762" t="str">
        <f ca="1">IFERROR((AO626/AO625),"-")</f>
        <v>-</v>
      </c>
      <c r="AQ625" s="40"/>
      <c r="AR625" s="42">
        <f t="shared" ref="AR625:AX625" si="1286">SUMIF($G$597:$G$614,$G$430,AR627:AR644)</f>
        <v>0</v>
      </c>
      <c r="AS625" s="42">
        <f t="shared" si="1286"/>
        <v>0</v>
      </c>
      <c r="AT625" s="42">
        <f t="shared" si="1286"/>
        <v>0</v>
      </c>
      <c r="AU625" s="42">
        <f t="shared" si="1286"/>
        <v>0</v>
      </c>
      <c r="AV625" s="42">
        <f t="shared" si="1286"/>
        <v>0</v>
      </c>
      <c r="AW625" s="42">
        <f t="shared" si="1286"/>
        <v>0</v>
      </c>
      <c r="AX625" s="42">
        <f t="shared" si="1286"/>
        <v>0</v>
      </c>
      <c r="AY625" s="40"/>
      <c r="AZ625" s="705">
        <f ca="1">SUMIF($AR$7:AX$7,"&lt;="&amp;$I$7,AR625:AW625)</f>
        <v>0</v>
      </c>
      <c r="BA625" s="762" t="str">
        <f ca="1">IFERROR((AZ626/AZ625),"-")</f>
        <v>-</v>
      </c>
      <c r="BB625" s="40"/>
      <c r="BC625" s="42">
        <f t="shared" ref="BC625:BI625" si="1287">SUMIF($G$597:$G$614,$G$430,BC627:BC644)</f>
        <v>0</v>
      </c>
      <c r="BD625" s="42">
        <f t="shared" si="1287"/>
        <v>0</v>
      </c>
      <c r="BE625" s="42">
        <f t="shared" si="1287"/>
        <v>0</v>
      </c>
      <c r="BF625" s="42">
        <f t="shared" si="1287"/>
        <v>0</v>
      </c>
      <c r="BG625" s="42">
        <f t="shared" si="1287"/>
        <v>0</v>
      </c>
      <c r="BH625" s="42">
        <f t="shared" si="1287"/>
        <v>0</v>
      </c>
      <c r="BI625" s="42">
        <f t="shared" si="1287"/>
        <v>0</v>
      </c>
      <c r="BJ625" s="40"/>
      <c r="BK625" s="43">
        <f ca="1">SUMIF($BC$7:BI$7,"&lt;="&amp;$I$7,BC625:BH625)</f>
        <v>0</v>
      </c>
      <c r="BL625" s="762" t="str">
        <f ca="1">IFERROR((BK626/BK625),"-")</f>
        <v>-</v>
      </c>
      <c r="BM625" s="40"/>
      <c r="BN625" s="1025">
        <v>0</v>
      </c>
      <c r="BO625" s="1027">
        <v>0</v>
      </c>
      <c r="BP625" s="909">
        <f>SUM(M626:P626,V626:AB626,AG626:AM626,AR626:AX626,BC626:BH626)</f>
        <v>2</v>
      </c>
      <c r="BQ625" s="762" t="str">
        <f t="shared" ref="BQ625" si="1288">IFERROR((BP625/BO625),"-")</f>
        <v>-</v>
      </c>
      <c r="BR625" s="40"/>
      <c r="BS625" s="909">
        <v>6</v>
      </c>
      <c r="BT625" s="909"/>
      <c r="BU625" s="909">
        <f ca="1">E625+S626+AD626+AZ626+AO626+BK626</f>
        <v>2</v>
      </c>
      <c r="BV625" s="909">
        <v>106</v>
      </c>
      <c r="BW625" s="1030">
        <f ca="1">IFERROR((BU625/BV625),"-")</f>
        <v>1.8867924528301886E-2</v>
      </c>
      <c r="BX625" s="909">
        <v>0</v>
      </c>
      <c r="BY625" s="1032">
        <f ca="1">IF(AND(BX625=0,BU625=0),"-",IF(BX625=0,1,BU625/BX625))</f>
        <v>1</v>
      </c>
      <c r="BZ625" s="40"/>
      <c r="CA625" s="909">
        <v>3</v>
      </c>
      <c r="CB625" s="909">
        <f ca="1">CA625-BU625</f>
        <v>1</v>
      </c>
    </row>
    <row r="626" spans="1:80" ht="15.75">
      <c r="A626" s="70"/>
      <c r="B626" s="1022"/>
      <c r="C626" s="1023"/>
      <c r="D626" s="2"/>
      <c r="E626" s="1024"/>
      <c r="F626" s="2"/>
      <c r="G626" s="50" t="s">
        <v>38</v>
      </c>
      <c r="H626" s="43">
        <f t="shared" si="1281"/>
        <v>0</v>
      </c>
      <c r="I626" s="879"/>
      <c r="J626" s="40"/>
      <c r="K626" s="72">
        <f>SUMIF($G$597:$G$614,$G$596,K627:K644)</f>
        <v>0</v>
      </c>
      <c r="L626" s="72">
        <f t="shared" ref="L626:P626" si="1289">SUMIF($G$597:$G$614,$G$596,L627:L644)</f>
        <v>0</v>
      </c>
      <c r="M626" s="72">
        <f t="shared" si="1289"/>
        <v>0</v>
      </c>
      <c r="N626" s="72">
        <f t="shared" si="1289"/>
        <v>0</v>
      </c>
      <c r="O626" s="72">
        <f t="shared" si="1289"/>
        <v>0</v>
      </c>
      <c r="P626" s="72">
        <f t="shared" si="1289"/>
        <v>0</v>
      </c>
      <c r="Q626" s="43"/>
      <c r="R626" s="40"/>
      <c r="S626" s="43">
        <f ca="1">SUMIF($K$7:Q$7,"&lt;="&amp;$I$7,K626:P626)</f>
        <v>0</v>
      </c>
      <c r="T626" s="763"/>
      <c r="U626" s="40"/>
      <c r="V626" s="72">
        <f t="shared" ref="V626:Y626" si="1290">SUMIF($G$597:$G$614,$G$596,V627:V644)</f>
        <v>0</v>
      </c>
      <c r="W626" s="72">
        <f t="shared" si="1290"/>
        <v>0</v>
      </c>
      <c r="X626" s="72">
        <f t="shared" si="1290"/>
        <v>0</v>
      </c>
      <c r="Y626" s="72">
        <f t="shared" si="1290"/>
        <v>0</v>
      </c>
      <c r="Z626" s="72">
        <v>1</v>
      </c>
      <c r="AA626" s="72">
        <v>1</v>
      </c>
      <c r="AB626" s="43"/>
      <c r="AC626" s="40"/>
      <c r="AD626" s="705">
        <f>SUMIF($V$7:AB$7,"&lt;="&amp;$I$7,V626:AB626)</f>
        <v>2</v>
      </c>
      <c r="AE626" s="763"/>
      <c r="AF626" s="40"/>
      <c r="AG626" s="72">
        <f t="shared" ref="AG626:AL626" si="1291">SUMIF($G$597:$G$614,$G$596,AG627:AG644)</f>
        <v>0</v>
      </c>
      <c r="AH626" s="72">
        <f t="shared" si="1291"/>
        <v>0</v>
      </c>
      <c r="AI626" s="72">
        <f t="shared" si="1291"/>
        <v>0</v>
      </c>
      <c r="AJ626" s="72">
        <f t="shared" si="1291"/>
        <v>0</v>
      </c>
      <c r="AK626" s="72">
        <f t="shared" si="1291"/>
        <v>0</v>
      </c>
      <c r="AL626" s="72">
        <f t="shared" si="1291"/>
        <v>0</v>
      </c>
      <c r="AM626" s="43"/>
      <c r="AN626" s="40"/>
      <c r="AO626" s="43">
        <f ca="1">SUMIF($AG$7:AM$7,"&lt;="&amp;$I$7,AG626:AL626)</f>
        <v>0</v>
      </c>
      <c r="AP626" s="763"/>
      <c r="AQ626" s="40"/>
      <c r="AR626" s="72"/>
      <c r="AS626" s="72"/>
      <c r="AT626" s="72"/>
      <c r="AU626" s="72"/>
      <c r="AV626" s="72"/>
      <c r="AW626" s="72"/>
      <c r="AX626" s="43"/>
      <c r="AY626" s="40"/>
      <c r="AZ626" s="705">
        <f ca="1">SUMIF($AR$7:AX$7,"&lt;="&amp;$I$7,AR626:AW626)</f>
        <v>0</v>
      </c>
      <c r="BA626" s="763"/>
      <c r="BB626" s="40"/>
      <c r="BC626" s="72"/>
      <c r="BD626" s="72"/>
      <c r="BE626" s="72"/>
      <c r="BF626" s="72"/>
      <c r="BG626" s="72"/>
      <c r="BH626" s="72"/>
      <c r="BI626" s="43"/>
      <c r="BJ626" s="40"/>
      <c r="BK626" s="43">
        <f ca="1">SUMIF($BC$7:BI$7,"&lt;="&amp;$I$7,BC626:BH626)</f>
        <v>0</v>
      </c>
      <c r="BL626" s="763"/>
      <c r="BM626" s="40"/>
      <c r="BN626" s="1026"/>
      <c r="BO626" s="1028"/>
      <c r="BP626" s="910"/>
      <c r="BQ626" s="1029"/>
      <c r="BR626" s="40"/>
      <c r="BS626" s="910"/>
      <c r="BT626" s="910"/>
      <c r="BU626" s="910"/>
      <c r="BV626" s="910"/>
      <c r="BW626" s="1031"/>
      <c r="BX626" s="910"/>
      <c r="BY626" s="1033"/>
      <c r="BZ626" s="40"/>
      <c r="CA626" s="910"/>
      <c r="CB626" s="910"/>
    </row>
  </sheetData>
  <mergeCells count="6387">
    <mergeCell ref="BW625:BW626"/>
    <mergeCell ref="BX625:BX626"/>
    <mergeCell ref="BY625:BY626"/>
    <mergeCell ref="CA625:CA626"/>
    <mergeCell ref="CB625:CB626"/>
    <mergeCell ref="B625:B626"/>
    <mergeCell ref="C625:C626"/>
    <mergeCell ref="E625:E626"/>
    <mergeCell ref="I625:I626"/>
    <mergeCell ref="T625:T626"/>
    <mergeCell ref="AE625:AE626"/>
    <mergeCell ref="AP625:AP626"/>
    <mergeCell ref="BA625:BA626"/>
    <mergeCell ref="BL625:BL626"/>
    <mergeCell ref="BN625:BN626"/>
    <mergeCell ref="BO625:BO626"/>
    <mergeCell ref="BP625:BP626"/>
    <mergeCell ref="BQ625:BQ626"/>
    <mergeCell ref="BS625:BS626"/>
    <mergeCell ref="BT625:BT626"/>
    <mergeCell ref="BU625:BU626"/>
    <mergeCell ref="BV625:BV626"/>
    <mergeCell ref="B588:B589"/>
    <mergeCell ref="C588:C589"/>
    <mergeCell ref="E588:E589"/>
    <mergeCell ref="I588:I589"/>
    <mergeCell ref="T588:T589"/>
    <mergeCell ref="AE588:AE589"/>
    <mergeCell ref="AP588:AP589"/>
    <mergeCell ref="BA588:BA589"/>
    <mergeCell ref="BL588:BL589"/>
    <mergeCell ref="BN588:BN589"/>
    <mergeCell ref="BO588:BO589"/>
    <mergeCell ref="BP588:BP589"/>
    <mergeCell ref="BQ588:BQ589"/>
    <mergeCell ref="BS588:BS589"/>
    <mergeCell ref="BT588:BT589"/>
    <mergeCell ref="BU588:BU589"/>
    <mergeCell ref="BV588:BV589"/>
    <mergeCell ref="B609:B610"/>
    <mergeCell ref="C609:C610"/>
    <mergeCell ref="E609:E610"/>
    <mergeCell ref="I609:I610"/>
    <mergeCell ref="T609:T610"/>
    <mergeCell ref="AE609:AE610"/>
    <mergeCell ref="AP609:AP610"/>
    <mergeCell ref="BA609:BA610"/>
    <mergeCell ref="BL609:BL610"/>
    <mergeCell ref="BN609:BN610"/>
    <mergeCell ref="BO609:BO610"/>
    <mergeCell ref="BP609:BP610"/>
    <mergeCell ref="BQ609:BQ610"/>
    <mergeCell ref="BS609:BS610"/>
    <mergeCell ref="BT609:BT610"/>
    <mergeCell ref="CA611:CA612"/>
    <mergeCell ref="CB611:CB612"/>
    <mergeCell ref="B611:B612"/>
    <mergeCell ref="C611:C612"/>
    <mergeCell ref="E611:E612"/>
    <mergeCell ref="I611:I612"/>
    <mergeCell ref="T611:T612"/>
    <mergeCell ref="I599:I600"/>
    <mergeCell ref="T599:T600"/>
    <mergeCell ref="AE599:AE600"/>
    <mergeCell ref="AP599:AP600"/>
    <mergeCell ref="BA599:BA600"/>
    <mergeCell ref="BL599:BL600"/>
    <mergeCell ref="BN599:BN600"/>
    <mergeCell ref="BO599:BO600"/>
    <mergeCell ref="BP599:BP600"/>
    <mergeCell ref="BQ599:BQ600"/>
    <mergeCell ref="BS599:BS600"/>
    <mergeCell ref="BT599:BT600"/>
    <mergeCell ref="B603:B604"/>
    <mergeCell ref="C603:C604"/>
    <mergeCell ref="E603:E604"/>
    <mergeCell ref="I603:I604"/>
    <mergeCell ref="T603:T604"/>
    <mergeCell ref="AE603:AE604"/>
    <mergeCell ref="AP603:AP604"/>
    <mergeCell ref="BA603:BA604"/>
    <mergeCell ref="BL603:BL604"/>
    <mergeCell ref="BN603:BN604"/>
    <mergeCell ref="BO603:BO604"/>
    <mergeCell ref="BP603:BP604"/>
    <mergeCell ref="BQ603:BQ604"/>
    <mergeCell ref="BS603:BS604"/>
    <mergeCell ref="BT603:BT604"/>
    <mergeCell ref="B601:B602"/>
    <mergeCell ref="C601:C602"/>
    <mergeCell ref="E601:E602"/>
    <mergeCell ref="I601:I602"/>
    <mergeCell ref="T601:T602"/>
    <mergeCell ref="BQ595:BQ596"/>
    <mergeCell ref="BS595:BS596"/>
    <mergeCell ref="BT595:BT596"/>
    <mergeCell ref="BX591:BX592"/>
    <mergeCell ref="BY591:BY592"/>
    <mergeCell ref="CA591:CA592"/>
    <mergeCell ref="CB591:CB592"/>
    <mergeCell ref="BW591:BW592"/>
    <mergeCell ref="BV591:BV592"/>
    <mergeCell ref="BU595:BU596"/>
    <mergeCell ref="BV595:BV596"/>
    <mergeCell ref="BW595:BW596"/>
    <mergeCell ref="BX595:BX596"/>
    <mergeCell ref="BY595:BY596"/>
    <mergeCell ref="CA595:CA596"/>
    <mergeCell ref="CB595:CB596"/>
    <mergeCell ref="BW588:BW589"/>
    <mergeCell ref="BX588:BX589"/>
    <mergeCell ref="BY588:BY589"/>
    <mergeCell ref="CA588:CA589"/>
    <mergeCell ref="CB588:CB589"/>
    <mergeCell ref="BW580:BW581"/>
    <mergeCell ref="BX580:BX581"/>
    <mergeCell ref="BY580:BY581"/>
    <mergeCell ref="CA580:CA581"/>
    <mergeCell ref="CB580:CB581"/>
    <mergeCell ref="I582:I583"/>
    <mergeCell ref="T582:T583"/>
    <mergeCell ref="AE582:AE583"/>
    <mergeCell ref="AP582:AP583"/>
    <mergeCell ref="BA582:BA583"/>
    <mergeCell ref="BQ580:BQ581"/>
    <mergeCell ref="BS580:BS581"/>
    <mergeCell ref="BT580:BT581"/>
    <mergeCell ref="BU580:BU581"/>
    <mergeCell ref="BV580:BV581"/>
    <mergeCell ref="CA560:CA561"/>
    <mergeCell ref="BP560:BP561"/>
    <mergeCell ref="BQ560:BQ561"/>
    <mergeCell ref="BS560:BS561"/>
    <mergeCell ref="BT560:BT561"/>
    <mergeCell ref="BU560:BU561"/>
    <mergeCell ref="BV560:BV561"/>
    <mergeCell ref="BW560:BW561"/>
    <mergeCell ref="BL570:BL571"/>
    <mergeCell ref="BN570:BN571"/>
    <mergeCell ref="BO570:BO571"/>
    <mergeCell ref="BP570:BP571"/>
    <mergeCell ref="BQ570:BQ571"/>
    <mergeCell ref="BS570:BS571"/>
    <mergeCell ref="BT570:BT571"/>
    <mergeCell ref="BU570:BU571"/>
    <mergeCell ref="BV570:BV571"/>
    <mergeCell ref="BW570:BW571"/>
    <mergeCell ref="BX570:BX571"/>
    <mergeCell ref="BY570:BY571"/>
    <mergeCell ref="BW566:BW567"/>
    <mergeCell ref="BX566:BX567"/>
    <mergeCell ref="BY566:BY567"/>
    <mergeCell ref="CA566:CA567"/>
    <mergeCell ref="CA570:CA571"/>
    <mergeCell ref="BN566:BN567"/>
    <mergeCell ref="BO566:BO567"/>
    <mergeCell ref="BP566:BP567"/>
    <mergeCell ref="BQ566:BQ567"/>
    <mergeCell ref="BS566:BS567"/>
    <mergeCell ref="BN538:BN539"/>
    <mergeCell ref="BO538:BO539"/>
    <mergeCell ref="BP538:BP539"/>
    <mergeCell ref="BQ538:BQ539"/>
    <mergeCell ref="BS538:BS539"/>
    <mergeCell ref="BT538:BT539"/>
    <mergeCell ref="BU538:BU539"/>
    <mergeCell ref="BV538:BV539"/>
    <mergeCell ref="BW540:BW541"/>
    <mergeCell ref="BV540:BV541"/>
    <mergeCell ref="BX540:BX541"/>
    <mergeCell ref="BY540:BY541"/>
    <mergeCell ref="CA540:CA541"/>
    <mergeCell ref="CA542:CA543"/>
    <mergeCell ref="CA546:CA547"/>
    <mergeCell ref="BP550:BP551"/>
    <mergeCell ref="BQ550:BQ551"/>
    <mergeCell ref="BS550:BS551"/>
    <mergeCell ref="BT550:BT551"/>
    <mergeCell ref="CB560:CB561"/>
    <mergeCell ref="BP562:BP563"/>
    <mergeCell ref="BQ562:BQ563"/>
    <mergeCell ref="BS562:BS563"/>
    <mergeCell ref="BT562:BT563"/>
    <mergeCell ref="BU562:BU563"/>
    <mergeCell ref="BV562:BV563"/>
    <mergeCell ref="BW562:BW563"/>
    <mergeCell ref="BX562:BX563"/>
    <mergeCell ref="BY562:BY563"/>
    <mergeCell ref="CA562:CA563"/>
    <mergeCell ref="E562:E563"/>
    <mergeCell ref="I562:I563"/>
    <mergeCell ref="T562:T563"/>
    <mergeCell ref="AE562:AE563"/>
    <mergeCell ref="AP562:AP563"/>
    <mergeCell ref="BA562:BA563"/>
    <mergeCell ref="BL562:BL563"/>
    <mergeCell ref="BN562:BN563"/>
    <mergeCell ref="BX560:BX561"/>
    <mergeCell ref="BY560:BY561"/>
    <mergeCell ref="C546:C547"/>
    <mergeCell ref="BY546:BY547"/>
    <mergeCell ref="BW550:BW551"/>
    <mergeCell ref="BX550:BX551"/>
    <mergeCell ref="BY550:BY551"/>
    <mergeCell ref="B558:B559"/>
    <mergeCell ref="C558:C559"/>
    <mergeCell ref="E558:E559"/>
    <mergeCell ref="I558:I559"/>
    <mergeCell ref="T558:T559"/>
    <mergeCell ref="AE558:AE559"/>
    <mergeCell ref="AP558:AP559"/>
    <mergeCell ref="BA558:BA559"/>
    <mergeCell ref="BL558:BL559"/>
    <mergeCell ref="BN558:BN559"/>
    <mergeCell ref="BO558:BO559"/>
    <mergeCell ref="BO546:BO547"/>
    <mergeCell ref="BP546:BP547"/>
    <mergeCell ref="BQ546:BQ547"/>
    <mergeCell ref="BS546:BS547"/>
    <mergeCell ref="BT546:BT547"/>
    <mergeCell ref="BU546:BU547"/>
    <mergeCell ref="BV546:BV547"/>
    <mergeCell ref="BW546:BW547"/>
    <mergeCell ref="BX546:BX547"/>
    <mergeCell ref="B550:B551"/>
    <mergeCell ref="C550:C551"/>
    <mergeCell ref="E550:E551"/>
    <mergeCell ref="BL550:BL551"/>
    <mergeCell ref="BN550:BN551"/>
    <mergeCell ref="BO550:BO551"/>
    <mergeCell ref="BX512:BX513"/>
    <mergeCell ref="BY512:BY513"/>
    <mergeCell ref="CA512:CA513"/>
    <mergeCell ref="BP512:BP513"/>
    <mergeCell ref="BQ512:BQ513"/>
    <mergeCell ref="BS512:BS513"/>
    <mergeCell ref="BT512:BT513"/>
    <mergeCell ref="BU512:BU513"/>
    <mergeCell ref="BV512:BV513"/>
    <mergeCell ref="BW512:BW513"/>
    <mergeCell ref="BL522:BL523"/>
    <mergeCell ref="BN522:BN523"/>
    <mergeCell ref="BO522:BO523"/>
    <mergeCell ref="BP522:BP523"/>
    <mergeCell ref="BQ522:BQ523"/>
    <mergeCell ref="BS522:BS523"/>
    <mergeCell ref="BT522:BT523"/>
    <mergeCell ref="BU522:BU523"/>
    <mergeCell ref="BV522:BV523"/>
    <mergeCell ref="BW522:BW523"/>
    <mergeCell ref="BX522:BX523"/>
    <mergeCell ref="BY522:BY523"/>
    <mergeCell ref="BW518:BW519"/>
    <mergeCell ref="BX518:BX519"/>
    <mergeCell ref="BY518:BY519"/>
    <mergeCell ref="CA518:CA519"/>
    <mergeCell ref="CA522:CA523"/>
    <mergeCell ref="BN518:BN519"/>
    <mergeCell ref="BO518:BO519"/>
    <mergeCell ref="BP518:BP519"/>
    <mergeCell ref="BQ518:BQ519"/>
    <mergeCell ref="BS518:BS519"/>
    <mergeCell ref="BA490:BA491"/>
    <mergeCell ref="BL490:BL491"/>
    <mergeCell ref="BN490:BN491"/>
    <mergeCell ref="BO490:BO491"/>
    <mergeCell ref="BP490:BP491"/>
    <mergeCell ref="BQ490:BQ491"/>
    <mergeCell ref="BS490:BS491"/>
    <mergeCell ref="BT490:BT491"/>
    <mergeCell ref="BU490:BU491"/>
    <mergeCell ref="BV490:BV491"/>
    <mergeCell ref="BY490:BY491"/>
    <mergeCell ref="BX492:BX493"/>
    <mergeCell ref="B514:B515"/>
    <mergeCell ref="C514:C515"/>
    <mergeCell ref="CB512:CB513"/>
    <mergeCell ref="BP514:BP515"/>
    <mergeCell ref="BQ514:BQ515"/>
    <mergeCell ref="BS514:BS515"/>
    <mergeCell ref="BT514:BT515"/>
    <mergeCell ref="BU514:BU515"/>
    <mergeCell ref="BV514:BV515"/>
    <mergeCell ref="BW514:BW515"/>
    <mergeCell ref="BX514:BX515"/>
    <mergeCell ref="BY514:BY515"/>
    <mergeCell ref="CA514:CA515"/>
    <mergeCell ref="E514:E515"/>
    <mergeCell ref="I514:I515"/>
    <mergeCell ref="T514:T515"/>
    <mergeCell ref="AE514:AE515"/>
    <mergeCell ref="AP514:AP515"/>
    <mergeCell ref="BA514:BA515"/>
    <mergeCell ref="BL514:BL515"/>
    <mergeCell ref="B498:B499"/>
    <mergeCell ref="C498:C499"/>
    <mergeCell ref="BY498:BY499"/>
    <mergeCell ref="BW502:BW503"/>
    <mergeCell ref="BX502:BX503"/>
    <mergeCell ref="BY502:BY503"/>
    <mergeCell ref="B510:B511"/>
    <mergeCell ref="C510:C511"/>
    <mergeCell ref="E510:E511"/>
    <mergeCell ref="I510:I511"/>
    <mergeCell ref="T510:T511"/>
    <mergeCell ref="AE510:AE511"/>
    <mergeCell ref="AP510:AP511"/>
    <mergeCell ref="BA510:BA511"/>
    <mergeCell ref="BL510:BL511"/>
    <mergeCell ref="BN510:BN511"/>
    <mergeCell ref="BO510:BO511"/>
    <mergeCell ref="BO498:BO499"/>
    <mergeCell ref="BP498:BP499"/>
    <mergeCell ref="BQ498:BQ499"/>
    <mergeCell ref="BS498:BS499"/>
    <mergeCell ref="BT498:BT499"/>
    <mergeCell ref="BU498:BU499"/>
    <mergeCell ref="BV498:BV499"/>
    <mergeCell ref="BW498:BW499"/>
    <mergeCell ref="BX498:BX499"/>
    <mergeCell ref="B502:B503"/>
    <mergeCell ref="C502:C503"/>
    <mergeCell ref="E502:E503"/>
    <mergeCell ref="I502:I503"/>
    <mergeCell ref="BN502:BN503"/>
    <mergeCell ref="BO502:BO503"/>
    <mergeCell ref="B474:B475"/>
    <mergeCell ref="C474:C475"/>
    <mergeCell ref="E474:E475"/>
    <mergeCell ref="I474:I475"/>
    <mergeCell ref="T474:T475"/>
    <mergeCell ref="AE474:AE475"/>
    <mergeCell ref="AP474:AP475"/>
    <mergeCell ref="BA474:BA475"/>
    <mergeCell ref="BL474:BL475"/>
    <mergeCell ref="BN474:BN475"/>
    <mergeCell ref="BO474:BO475"/>
    <mergeCell ref="BP474:BP475"/>
    <mergeCell ref="BQ474:BQ475"/>
    <mergeCell ref="BS474:BS475"/>
    <mergeCell ref="BT474:BT475"/>
    <mergeCell ref="BU474:BU475"/>
    <mergeCell ref="AE470:AE471"/>
    <mergeCell ref="AP470:AP471"/>
    <mergeCell ref="BA470:BA471"/>
    <mergeCell ref="BL470:BL471"/>
    <mergeCell ref="BN470:BN471"/>
    <mergeCell ref="BO470:BO471"/>
    <mergeCell ref="BP470:BP471"/>
    <mergeCell ref="BQ470:BQ471"/>
    <mergeCell ref="BS470:BS471"/>
    <mergeCell ref="BT470:BT471"/>
    <mergeCell ref="BU470:BU471"/>
    <mergeCell ref="B472:B473"/>
    <mergeCell ref="C472:C473"/>
    <mergeCell ref="E472:E473"/>
    <mergeCell ref="I472:I473"/>
    <mergeCell ref="B470:B471"/>
    <mergeCell ref="B462:B463"/>
    <mergeCell ref="C462:C463"/>
    <mergeCell ref="E462:E463"/>
    <mergeCell ref="I462:I463"/>
    <mergeCell ref="T462:T463"/>
    <mergeCell ref="AE462:AE463"/>
    <mergeCell ref="AP462:AP463"/>
    <mergeCell ref="BA462:BA463"/>
    <mergeCell ref="BL462:BL463"/>
    <mergeCell ref="BN462:BN463"/>
    <mergeCell ref="BO462:BO463"/>
    <mergeCell ref="B466:B467"/>
    <mergeCell ref="C466:C467"/>
    <mergeCell ref="CB464:CB465"/>
    <mergeCell ref="BP466:BP467"/>
    <mergeCell ref="BQ466:BQ467"/>
    <mergeCell ref="BS466:BS467"/>
    <mergeCell ref="BT466:BT467"/>
    <mergeCell ref="BU466:BU467"/>
    <mergeCell ref="BV466:BV467"/>
    <mergeCell ref="BW466:BW467"/>
    <mergeCell ref="BX466:BX467"/>
    <mergeCell ref="BY466:BY467"/>
    <mergeCell ref="CA466:CA467"/>
    <mergeCell ref="E466:E467"/>
    <mergeCell ref="I466:I467"/>
    <mergeCell ref="T466:T467"/>
    <mergeCell ref="AE466:AE467"/>
    <mergeCell ref="AP466:AP467"/>
    <mergeCell ref="BA466:BA467"/>
    <mergeCell ref="BL466:BL467"/>
    <mergeCell ref="BN466:BN467"/>
    <mergeCell ref="T436:T437"/>
    <mergeCell ref="AE436:AE437"/>
    <mergeCell ref="AP436:AP437"/>
    <mergeCell ref="BA436:BA437"/>
    <mergeCell ref="BL436:BL437"/>
    <mergeCell ref="BN436:BN437"/>
    <mergeCell ref="BO436:BO437"/>
    <mergeCell ref="B436:B437"/>
    <mergeCell ref="C436:C437"/>
    <mergeCell ref="BW442:BW443"/>
    <mergeCell ref="BX442:BX443"/>
    <mergeCell ref="BW446:BW447"/>
    <mergeCell ref="BX446:BX447"/>
    <mergeCell ref="B450:B451"/>
    <mergeCell ref="C450:C451"/>
    <mergeCell ref="BY450:BY451"/>
    <mergeCell ref="BW454:BW455"/>
    <mergeCell ref="BX454:BX455"/>
    <mergeCell ref="BY454:BY455"/>
    <mergeCell ref="E436:E437"/>
    <mergeCell ref="BA442:BA443"/>
    <mergeCell ref="BL442:BL443"/>
    <mergeCell ref="BN442:BN443"/>
    <mergeCell ref="BO442:BO443"/>
    <mergeCell ref="BP442:BP443"/>
    <mergeCell ref="BQ442:BQ443"/>
    <mergeCell ref="BS442:BS443"/>
    <mergeCell ref="BT442:BT443"/>
    <mergeCell ref="BU442:BU443"/>
    <mergeCell ref="BV442:BV443"/>
    <mergeCell ref="BY442:BY443"/>
    <mergeCell ref="BO450:BO451"/>
    <mergeCell ref="BU434:BU435"/>
    <mergeCell ref="BV434:BV435"/>
    <mergeCell ref="BW434:BW435"/>
    <mergeCell ref="BX434:BX435"/>
    <mergeCell ref="BY434:BY435"/>
    <mergeCell ref="CA434:CA435"/>
    <mergeCell ref="CB434:CB435"/>
    <mergeCell ref="CA436:CA437"/>
    <mergeCell ref="CB436:CB437"/>
    <mergeCell ref="B438:B439"/>
    <mergeCell ref="C438:C439"/>
    <mergeCell ref="E438:E439"/>
    <mergeCell ref="I438:I439"/>
    <mergeCell ref="T438:T439"/>
    <mergeCell ref="AE438:AE439"/>
    <mergeCell ref="AP438:AP439"/>
    <mergeCell ref="BA438:BA439"/>
    <mergeCell ref="BL438:BL439"/>
    <mergeCell ref="BN438:BN439"/>
    <mergeCell ref="BO438:BO439"/>
    <mergeCell ref="BP438:BP439"/>
    <mergeCell ref="BQ438:BQ439"/>
    <mergeCell ref="BS438:BS439"/>
    <mergeCell ref="BT438:BT439"/>
    <mergeCell ref="BU438:BU439"/>
    <mergeCell ref="BV438:BV439"/>
    <mergeCell ref="BW438:BW439"/>
    <mergeCell ref="BX438:BX439"/>
    <mergeCell ref="BY438:BY439"/>
    <mergeCell ref="CA438:CA439"/>
    <mergeCell ref="CB438:CB439"/>
    <mergeCell ref="I436:I437"/>
    <mergeCell ref="CA430:CA431"/>
    <mergeCell ref="CB430:CB431"/>
    <mergeCell ref="B428:B429"/>
    <mergeCell ref="C428:C429"/>
    <mergeCell ref="E428:E429"/>
    <mergeCell ref="I428:I429"/>
    <mergeCell ref="T428:T429"/>
    <mergeCell ref="BP436:BP437"/>
    <mergeCell ref="BQ436:BQ437"/>
    <mergeCell ref="BS436:BS437"/>
    <mergeCell ref="BT436:BT437"/>
    <mergeCell ref="BU436:BU437"/>
    <mergeCell ref="BV436:BV437"/>
    <mergeCell ref="BW436:BW437"/>
    <mergeCell ref="BX436:BX437"/>
    <mergeCell ref="BY436:BY437"/>
    <mergeCell ref="CB432:CB433"/>
    <mergeCell ref="B434:B435"/>
    <mergeCell ref="C434:C435"/>
    <mergeCell ref="E434:E435"/>
    <mergeCell ref="I434:I435"/>
    <mergeCell ref="T434:T435"/>
    <mergeCell ref="AE434:AE435"/>
    <mergeCell ref="AP434:AP435"/>
    <mergeCell ref="BA434:BA435"/>
    <mergeCell ref="BL434:BL435"/>
    <mergeCell ref="BN434:BN435"/>
    <mergeCell ref="BO434:BO435"/>
    <mergeCell ref="BP434:BP435"/>
    <mergeCell ref="BQ434:BQ435"/>
    <mergeCell ref="BS434:BS435"/>
    <mergeCell ref="BT434:BT435"/>
    <mergeCell ref="BU428:BU429"/>
    <mergeCell ref="BV428:BV429"/>
    <mergeCell ref="BW428:BW429"/>
    <mergeCell ref="BX428:BX429"/>
    <mergeCell ref="BY428:BY429"/>
    <mergeCell ref="CA428:CA429"/>
    <mergeCell ref="CB428:CB429"/>
    <mergeCell ref="BU425:BU426"/>
    <mergeCell ref="BV425:BV426"/>
    <mergeCell ref="BW425:BW426"/>
    <mergeCell ref="BX425:BX426"/>
    <mergeCell ref="BY425:BY426"/>
    <mergeCell ref="B430:B431"/>
    <mergeCell ref="C430:C431"/>
    <mergeCell ref="E430:E431"/>
    <mergeCell ref="I430:I431"/>
    <mergeCell ref="T430:T431"/>
    <mergeCell ref="AE430:AE431"/>
    <mergeCell ref="AP430:AP431"/>
    <mergeCell ref="BA430:BA431"/>
    <mergeCell ref="BL430:BL431"/>
    <mergeCell ref="BN430:BN431"/>
    <mergeCell ref="BO430:BO431"/>
    <mergeCell ref="BP430:BP431"/>
    <mergeCell ref="BQ430:BQ431"/>
    <mergeCell ref="BS430:BS431"/>
    <mergeCell ref="BT430:BT431"/>
    <mergeCell ref="BU430:BU431"/>
    <mergeCell ref="BV430:BV431"/>
    <mergeCell ref="BW430:BW431"/>
    <mergeCell ref="BX430:BX431"/>
    <mergeCell ref="BY430:BY431"/>
    <mergeCell ref="AP425:AP426"/>
    <mergeCell ref="BA425:BA426"/>
    <mergeCell ref="BL425:BL426"/>
    <mergeCell ref="BN425:BN426"/>
    <mergeCell ref="BO425:BO426"/>
    <mergeCell ref="BP425:BP426"/>
    <mergeCell ref="BQ425:BQ426"/>
    <mergeCell ref="BS425:BS426"/>
    <mergeCell ref="BT425:BT426"/>
    <mergeCell ref="AE428:AE429"/>
    <mergeCell ref="AP428:AP429"/>
    <mergeCell ref="BA428:BA429"/>
    <mergeCell ref="BL428:BL429"/>
    <mergeCell ref="BN428:BN429"/>
    <mergeCell ref="BO428:BO429"/>
    <mergeCell ref="BP428:BP429"/>
    <mergeCell ref="BQ428:BQ429"/>
    <mergeCell ref="BS428:BS429"/>
    <mergeCell ref="BT428:BT429"/>
    <mergeCell ref="AP413:AP414"/>
    <mergeCell ref="BA413:BA414"/>
    <mergeCell ref="BL413:BL414"/>
    <mergeCell ref="BN413:BN414"/>
    <mergeCell ref="BO413:BO414"/>
    <mergeCell ref="B417:B418"/>
    <mergeCell ref="C417:C418"/>
    <mergeCell ref="CB415:CB416"/>
    <mergeCell ref="BP417:BP418"/>
    <mergeCell ref="BQ417:BQ418"/>
    <mergeCell ref="BS417:BS418"/>
    <mergeCell ref="BT417:BT418"/>
    <mergeCell ref="BU417:BU418"/>
    <mergeCell ref="BV417:BV418"/>
    <mergeCell ref="BW417:BW418"/>
    <mergeCell ref="BX417:BX418"/>
    <mergeCell ref="BY417:BY418"/>
    <mergeCell ref="CA417:CA418"/>
    <mergeCell ref="E417:E418"/>
    <mergeCell ref="I417:I418"/>
    <mergeCell ref="T417:T418"/>
    <mergeCell ref="AE417:AE418"/>
    <mergeCell ref="AP417:AP418"/>
    <mergeCell ref="BA417:BA418"/>
    <mergeCell ref="BL417:BL418"/>
    <mergeCell ref="BN417:BN418"/>
    <mergeCell ref="BS413:BS414"/>
    <mergeCell ref="BT413:BT414"/>
    <mergeCell ref="BU413:BU414"/>
    <mergeCell ref="BV413:BV414"/>
    <mergeCell ref="B403:B404"/>
    <mergeCell ref="C403:C404"/>
    <mergeCell ref="E403:E404"/>
    <mergeCell ref="I403:I404"/>
    <mergeCell ref="T403:T404"/>
    <mergeCell ref="BU401:BU402"/>
    <mergeCell ref="BV401:BV402"/>
    <mergeCell ref="AE403:AE404"/>
    <mergeCell ref="AP403:AP404"/>
    <mergeCell ref="BA403:BA404"/>
    <mergeCell ref="BL403:BL404"/>
    <mergeCell ref="BN403:BN404"/>
    <mergeCell ref="BO403:BO404"/>
    <mergeCell ref="BP403:BP404"/>
    <mergeCell ref="BQ403:BQ404"/>
    <mergeCell ref="BS403:BS404"/>
    <mergeCell ref="BT403:BT404"/>
    <mergeCell ref="BU403:BU404"/>
    <mergeCell ref="AP401:AP402"/>
    <mergeCell ref="BA401:BA402"/>
    <mergeCell ref="BL401:BL402"/>
    <mergeCell ref="BN401:BN402"/>
    <mergeCell ref="BO401:BO402"/>
    <mergeCell ref="BP401:BP402"/>
    <mergeCell ref="BQ401:BQ402"/>
    <mergeCell ref="AE401:AE402"/>
    <mergeCell ref="CA399:CA400"/>
    <mergeCell ref="CB399:CB400"/>
    <mergeCell ref="BW401:BW402"/>
    <mergeCell ref="BX401:BX402"/>
    <mergeCell ref="BY401:BY402"/>
    <mergeCell ref="CA401:CA402"/>
    <mergeCell ref="CB401:CB402"/>
    <mergeCell ref="BW403:BW404"/>
    <mergeCell ref="BX403:BX404"/>
    <mergeCell ref="BY403:BY404"/>
    <mergeCell ref="CA403:CA404"/>
    <mergeCell ref="CB403:CB404"/>
    <mergeCell ref="BU399:BU400"/>
    <mergeCell ref="BV399:BV400"/>
    <mergeCell ref="CA397:CA398"/>
    <mergeCell ref="CB397:CB398"/>
    <mergeCell ref="B395:B396"/>
    <mergeCell ref="C395:C396"/>
    <mergeCell ref="BA395:BA396"/>
    <mergeCell ref="BL395:BL396"/>
    <mergeCell ref="BN395:BN396"/>
    <mergeCell ref="BO395:BO396"/>
    <mergeCell ref="BV403:BV404"/>
    <mergeCell ref="BW399:BW400"/>
    <mergeCell ref="BX399:BX400"/>
    <mergeCell ref="BY399:BY400"/>
    <mergeCell ref="B399:B400"/>
    <mergeCell ref="C399:C400"/>
    <mergeCell ref="E399:E400"/>
    <mergeCell ref="I399:I400"/>
    <mergeCell ref="T399:T400"/>
    <mergeCell ref="AE399:AE400"/>
    <mergeCell ref="AP399:AP400"/>
    <mergeCell ref="BA399:BA400"/>
    <mergeCell ref="BL399:BL400"/>
    <mergeCell ref="BN399:BN400"/>
    <mergeCell ref="BO399:BO400"/>
    <mergeCell ref="BP399:BP400"/>
    <mergeCell ref="BQ399:BQ400"/>
    <mergeCell ref="BS399:BS400"/>
    <mergeCell ref="BT399:BT400"/>
    <mergeCell ref="B401:B402"/>
    <mergeCell ref="C401:C402"/>
    <mergeCell ref="E401:E402"/>
    <mergeCell ref="I401:I402"/>
    <mergeCell ref="T401:T402"/>
    <mergeCell ref="BW368:BW369"/>
    <mergeCell ref="BX368:BX369"/>
    <mergeCell ref="BY368:BY369"/>
    <mergeCell ref="AP368:AP369"/>
    <mergeCell ref="BA368:BA369"/>
    <mergeCell ref="BL368:BL369"/>
    <mergeCell ref="BN368:BN369"/>
    <mergeCell ref="BO368:BO369"/>
    <mergeCell ref="BP368:BP369"/>
    <mergeCell ref="BQ368:BQ369"/>
    <mergeCell ref="BS368:BS369"/>
    <mergeCell ref="BT368:BT369"/>
    <mergeCell ref="BU368:BU369"/>
    <mergeCell ref="BV368:BV369"/>
    <mergeCell ref="BL372:BL373"/>
    <mergeCell ref="BN372:BN373"/>
    <mergeCell ref="BO372:BO373"/>
    <mergeCell ref="BP372:BP373"/>
    <mergeCell ref="CA368:CA369"/>
    <mergeCell ref="CB368:CB369"/>
    <mergeCell ref="BW370:BW371"/>
    <mergeCell ref="BX370:BX371"/>
    <mergeCell ref="BY370:BY371"/>
    <mergeCell ref="CA370:CA371"/>
    <mergeCell ref="CB370:CB371"/>
    <mergeCell ref="BW372:BW373"/>
    <mergeCell ref="BX372:BX373"/>
    <mergeCell ref="BY372:BY373"/>
    <mergeCell ref="B376:B377"/>
    <mergeCell ref="C376:C377"/>
    <mergeCell ref="E376:E377"/>
    <mergeCell ref="I376:I377"/>
    <mergeCell ref="T376:T377"/>
    <mergeCell ref="AE376:AE377"/>
    <mergeCell ref="AP376:AP377"/>
    <mergeCell ref="BA376:BA377"/>
    <mergeCell ref="BL376:BL377"/>
    <mergeCell ref="BN376:BN377"/>
    <mergeCell ref="BO376:BO377"/>
    <mergeCell ref="BP376:BP377"/>
    <mergeCell ref="BQ376:BQ377"/>
    <mergeCell ref="BS376:BS377"/>
    <mergeCell ref="BT376:BT377"/>
    <mergeCell ref="BU376:BU377"/>
    <mergeCell ref="B368:B369"/>
    <mergeCell ref="C368:C369"/>
    <mergeCell ref="E368:E369"/>
    <mergeCell ref="I368:I369"/>
    <mergeCell ref="T368:T369"/>
    <mergeCell ref="AE368:AE369"/>
    <mergeCell ref="BW350:BW351"/>
    <mergeCell ref="BX350:BX351"/>
    <mergeCell ref="BY350:BY351"/>
    <mergeCell ref="CA350:CA351"/>
    <mergeCell ref="CB350:CB351"/>
    <mergeCell ref="BU352:BU353"/>
    <mergeCell ref="BV352:BV353"/>
    <mergeCell ref="BW352:BW353"/>
    <mergeCell ref="BX352:BX353"/>
    <mergeCell ref="BY352:BY353"/>
    <mergeCell ref="CA352:CA353"/>
    <mergeCell ref="CB352:CB353"/>
    <mergeCell ref="E364:E365"/>
    <mergeCell ref="I364:I365"/>
    <mergeCell ref="T364:T365"/>
    <mergeCell ref="AE364:AE365"/>
    <mergeCell ref="AP364:AP365"/>
    <mergeCell ref="BA364:BA365"/>
    <mergeCell ref="BL364:BL365"/>
    <mergeCell ref="BN364:BN365"/>
    <mergeCell ref="BO364:BO365"/>
    <mergeCell ref="BP364:BP365"/>
    <mergeCell ref="BQ364:BQ365"/>
    <mergeCell ref="BS364:BS365"/>
    <mergeCell ref="BW354:BW355"/>
    <mergeCell ref="BX354:BX355"/>
    <mergeCell ref="BY354:BY355"/>
    <mergeCell ref="CA354:CA355"/>
    <mergeCell ref="CB354:CB355"/>
    <mergeCell ref="BL356:BL357"/>
    <mergeCell ref="BN356:BN357"/>
    <mergeCell ref="BO356:BO357"/>
    <mergeCell ref="I352:I353"/>
    <mergeCell ref="T352:T353"/>
    <mergeCell ref="AE352:AE353"/>
    <mergeCell ref="AP352:AP353"/>
    <mergeCell ref="BA352:BA353"/>
    <mergeCell ref="BL352:BL353"/>
    <mergeCell ref="BN352:BN353"/>
    <mergeCell ref="BO352:BO353"/>
    <mergeCell ref="BP352:BP353"/>
    <mergeCell ref="BQ352:BQ353"/>
    <mergeCell ref="BS352:BS353"/>
    <mergeCell ref="BT352:BT353"/>
    <mergeCell ref="BQ336:BQ337"/>
    <mergeCell ref="BS336:BS337"/>
    <mergeCell ref="BT336:BT337"/>
    <mergeCell ref="BU336:BU337"/>
    <mergeCell ref="BV336:BV337"/>
    <mergeCell ref="BO336:BO337"/>
    <mergeCell ref="BP336:BP337"/>
    <mergeCell ref="AE340:AE341"/>
    <mergeCell ref="AP340:AP341"/>
    <mergeCell ref="BA340:BA341"/>
    <mergeCell ref="BL340:BL341"/>
    <mergeCell ref="BN340:BN341"/>
    <mergeCell ref="BO340:BO341"/>
    <mergeCell ref="BP340:BP341"/>
    <mergeCell ref="BQ340:BQ341"/>
    <mergeCell ref="BQ342:BQ343"/>
    <mergeCell ref="BS342:BS343"/>
    <mergeCell ref="BT342:BT343"/>
    <mergeCell ref="BU342:BU343"/>
    <mergeCell ref="BV342:BV343"/>
    <mergeCell ref="CD6:CD7"/>
    <mergeCell ref="B4:C4"/>
    <mergeCell ref="B6:B7"/>
    <mergeCell ref="C6:C7"/>
    <mergeCell ref="E6:E7"/>
    <mergeCell ref="G6:H7"/>
    <mergeCell ref="S6:S7"/>
    <mergeCell ref="T6:T7"/>
    <mergeCell ref="AD6:AD7"/>
    <mergeCell ref="AE6:AE7"/>
    <mergeCell ref="AO6:AO7"/>
    <mergeCell ref="AP6:AP7"/>
    <mergeCell ref="AZ6:AZ7"/>
    <mergeCell ref="BA6:BA7"/>
    <mergeCell ref="BK6:BK7"/>
    <mergeCell ref="BL6:BL7"/>
    <mergeCell ref="BN6:BN7"/>
    <mergeCell ref="BO6:BO7"/>
    <mergeCell ref="CB6:CB7"/>
    <mergeCell ref="BU6:BU7"/>
    <mergeCell ref="BV6:BV7"/>
    <mergeCell ref="BW6:BW7"/>
    <mergeCell ref="BX6:BX7"/>
    <mergeCell ref="BY6:BY7"/>
    <mergeCell ref="CA6:CA7"/>
    <mergeCell ref="BU13:BU14"/>
    <mergeCell ref="BV13:BV14"/>
    <mergeCell ref="BW13:BW14"/>
    <mergeCell ref="B9:B10"/>
    <mergeCell ref="C9:C10"/>
    <mergeCell ref="E9:E10"/>
    <mergeCell ref="I9:I10"/>
    <mergeCell ref="T9:T10"/>
    <mergeCell ref="AE9:AE10"/>
    <mergeCell ref="AP9:AP10"/>
    <mergeCell ref="BA9:BA10"/>
    <mergeCell ref="BL9:BL10"/>
    <mergeCell ref="BN9:BN10"/>
    <mergeCell ref="BO9:BO10"/>
    <mergeCell ref="BP9:BP10"/>
    <mergeCell ref="BQ9:BQ10"/>
    <mergeCell ref="BS9:BS10"/>
    <mergeCell ref="BT9:BT10"/>
    <mergeCell ref="BU9:BU10"/>
    <mergeCell ref="BV9:BV10"/>
    <mergeCell ref="BW9:BW10"/>
    <mergeCell ref="BQ13:BQ14"/>
    <mergeCell ref="BS13:BS14"/>
    <mergeCell ref="BT13:BT14"/>
    <mergeCell ref="BX9:BX10"/>
    <mergeCell ref="BY9:BY10"/>
    <mergeCell ref="CA9:CA10"/>
    <mergeCell ref="CA17:CA18"/>
    <mergeCell ref="CB17:CB18"/>
    <mergeCell ref="BX13:BX14"/>
    <mergeCell ref="BY13:BY14"/>
    <mergeCell ref="CA13:CA14"/>
    <mergeCell ref="CB13:CB14"/>
    <mergeCell ref="B15:B16"/>
    <mergeCell ref="C15:C16"/>
    <mergeCell ref="E15:E16"/>
    <mergeCell ref="I15:I16"/>
    <mergeCell ref="T15:T16"/>
    <mergeCell ref="AE15:AE16"/>
    <mergeCell ref="AP15:AP16"/>
    <mergeCell ref="BA15:BA16"/>
    <mergeCell ref="BL15:BL16"/>
    <mergeCell ref="BN15:BN16"/>
    <mergeCell ref="BO15:BO16"/>
    <mergeCell ref="BP15:BP16"/>
    <mergeCell ref="BL13:BL14"/>
    <mergeCell ref="CA15:CA16"/>
    <mergeCell ref="CB15:CB16"/>
    <mergeCell ref="B17:B18"/>
    <mergeCell ref="C17:C18"/>
    <mergeCell ref="E17:E18"/>
    <mergeCell ref="I17:I18"/>
    <mergeCell ref="T17:T18"/>
    <mergeCell ref="AE17:AE18"/>
    <mergeCell ref="AP17:AP18"/>
    <mergeCell ref="BP13:BP14"/>
    <mergeCell ref="CB9:CB10"/>
    <mergeCell ref="BP6:BP7"/>
    <mergeCell ref="BQ6:BQ7"/>
    <mergeCell ref="BS6:BS7"/>
    <mergeCell ref="BT6:BT7"/>
    <mergeCell ref="BN13:BN14"/>
    <mergeCell ref="BO13:BO14"/>
    <mergeCell ref="BS19:BS20"/>
    <mergeCell ref="BT19:BT20"/>
    <mergeCell ref="BU19:BU20"/>
    <mergeCell ref="BV19:BV20"/>
    <mergeCell ref="BW19:BW20"/>
    <mergeCell ref="B19:B20"/>
    <mergeCell ref="C19:C20"/>
    <mergeCell ref="E19:E20"/>
    <mergeCell ref="I19:I20"/>
    <mergeCell ref="T19:T20"/>
    <mergeCell ref="AE19:AE20"/>
    <mergeCell ref="AP19:AP20"/>
    <mergeCell ref="BA19:BA20"/>
    <mergeCell ref="BL19:BL20"/>
    <mergeCell ref="B13:B14"/>
    <mergeCell ref="C13:C14"/>
    <mergeCell ref="E13:E14"/>
    <mergeCell ref="I13:I14"/>
    <mergeCell ref="T13:T14"/>
    <mergeCell ref="AE13:AE14"/>
    <mergeCell ref="AP13:AP14"/>
    <mergeCell ref="BA13:BA14"/>
    <mergeCell ref="BA17:BA18"/>
    <mergeCell ref="BL17:BL18"/>
    <mergeCell ref="BN17:BN18"/>
    <mergeCell ref="BO17:BO18"/>
    <mergeCell ref="BP17:BP18"/>
    <mergeCell ref="BQ17:BQ18"/>
    <mergeCell ref="BS17:BS18"/>
    <mergeCell ref="BT17:BT18"/>
    <mergeCell ref="BU17:BU18"/>
    <mergeCell ref="BQ15:BQ16"/>
    <mergeCell ref="BS15:BS16"/>
    <mergeCell ref="BT15:BT16"/>
    <mergeCell ref="BU15:BU16"/>
    <mergeCell ref="BV15:BV16"/>
    <mergeCell ref="BW15:BW16"/>
    <mergeCell ref="BX15:BX16"/>
    <mergeCell ref="BY15:BY16"/>
    <mergeCell ref="BV17:BV18"/>
    <mergeCell ref="BW17:BW18"/>
    <mergeCell ref="BX17:BX18"/>
    <mergeCell ref="BY17:BY18"/>
    <mergeCell ref="BX23:BX24"/>
    <mergeCell ref="BY23:BY24"/>
    <mergeCell ref="CA23:CA24"/>
    <mergeCell ref="CB23:CB24"/>
    <mergeCell ref="BX19:BX20"/>
    <mergeCell ref="BY19:BY20"/>
    <mergeCell ref="CA19:CA20"/>
    <mergeCell ref="CB19:CB20"/>
    <mergeCell ref="B21:B22"/>
    <mergeCell ref="C21:C22"/>
    <mergeCell ref="E21:E22"/>
    <mergeCell ref="I21:I22"/>
    <mergeCell ref="T21:T22"/>
    <mergeCell ref="AE21:AE22"/>
    <mergeCell ref="AP21:AP22"/>
    <mergeCell ref="BA21:BA22"/>
    <mergeCell ref="BL21:BL22"/>
    <mergeCell ref="BN21:BN22"/>
    <mergeCell ref="BO21:BO22"/>
    <mergeCell ref="BP21:BP22"/>
    <mergeCell ref="BQ21:BQ22"/>
    <mergeCell ref="BS21:BS22"/>
    <mergeCell ref="BT21:BT22"/>
    <mergeCell ref="BU21:BU22"/>
    <mergeCell ref="BV21:BV22"/>
    <mergeCell ref="BW21:BW22"/>
    <mergeCell ref="BX21:BX22"/>
    <mergeCell ref="BY21:BY22"/>
    <mergeCell ref="BN19:BN20"/>
    <mergeCell ref="BO19:BO20"/>
    <mergeCell ref="BP19:BP20"/>
    <mergeCell ref="BQ19:BQ20"/>
    <mergeCell ref="BU25:BU26"/>
    <mergeCell ref="BV25:BV26"/>
    <mergeCell ref="BW25:BW26"/>
    <mergeCell ref="B25:B26"/>
    <mergeCell ref="C25:C26"/>
    <mergeCell ref="E25:E26"/>
    <mergeCell ref="I25:I26"/>
    <mergeCell ref="T25:T26"/>
    <mergeCell ref="AE25:AE26"/>
    <mergeCell ref="AP25:AP26"/>
    <mergeCell ref="BA25:BA26"/>
    <mergeCell ref="BL25:BL26"/>
    <mergeCell ref="CA21:CA22"/>
    <mergeCell ref="CB21:CB22"/>
    <mergeCell ref="B23:B24"/>
    <mergeCell ref="C23:C24"/>
    <mergeCell ref="E23:E24"/>
    <mergeCell ref="I23:I24"/>
    <mergeCell ref="T23:T24"/>
    <mergeCell ref="AE23:AE24"/>
    <mergeCell ref="AP23:AP24"/>
    <mergeCell ref="BA23:BA24"/>
    <mergeCell ref="BL23:BL24"/>
    <mergeCell ref="BN23:BN24"/>
    <mergeCell ref="BO23:BO24"/>
    <mergeCell ref="BP23:BP24"/>
    <mergeCell ref="BQ23:BQ24"/>
    <mergeCell ref="BS23:BS24"/>
    <mergeCell ref="BT23:BT24"/>
    <mergeCell ref="BU23:BU24"/>
    <mergeCell ref="BV23:BV24"/>
    <mergeCell ref="BW23:BW24"/>
    <mergeCell ref="CA29:CA30"/>
    <mergeCell ref="CB29:CB30"/>
    <mergeCell ref="BX25:BX26"/>
    <mergeCell ref="BY25:BY26"/>
    <mergeCell ref="CA25:CA26"/>
    <mergeCell ref="CB25:CB26"/>
    <mergeCell ref="B27:B28"/>
    <mergeCell ref="C27:C28"/>
    <mergeCell ref="E27:E28"/>
    <mergeCell ref="I27:I28"/>
    <mergeCell ref="T27:T28"/>
    <mergeCell ref="AE27:AE28"/>
    <mergeCell ref="AP27:AP28"/>
    <mergeCell ref="BA27:BA28"/>
    <mergeCell ref="BL27:BL28"/>
    <mergeCell ref="BN27:BN28"/>
    <mergeCell ref="BO27:BO28"/>
    <mergeCell ref="BP27:BP28"/>
    <mergeCell ref="BQ27:BQ28"/>
    <mergeCell ref="BS27:BS28"/>
    <mergeCell ref="BT27:BT28"/>
    <mergeCell ref="BU27:BU28"/>
    <mergeCell ref="BV27:BV28"/>
    <mergeCell ref="BW27:BW28"/>
    <mergeCell ref="BX27:BX28"/>
    <mergeCell ref="BY27:BY28"/>
    <mergeCell ref="BN25:BN26"/>
    <mergeCell ref="BO25:BO26"/>
    <mergeCell ref="BP25:BP26"/>
    <mergeCell ref="BQ25:BQ26"/>
    <mergeCell ref="BS25:BS26"/>
    <mergeCell ref="BT25:BT26"/>
    <mergeCell ref="BW31:BW32"/>
    <mergeCell ref="B31:B32"/>
    <mergeCell ref="C31:C32"/>
    <mergeCell ref="E31:E32"/>
    <mergeCell ref="I31:I32"/>
    <mergeCell ref="T31:T32"/>
    <mergeCell ref="AE31:AE32"/>
    <mergeCell ref="AP31:AP32"/>
    <mergeCell ref="BA31:BA32"/>
    <mergeCell ref="BL31:BL32"/>
    <mergeCell ref="CA27:CA28"/>
    <mergeCell ref="CB27:CB28"/>
    <mergeCell ref="B29:B30"/>
    <mergeCell ref="C29:C30"/>
    <mergeCell ref="E29:E30"/>
    <mergeCell ref="I29:I30"/>
    <mergeCell ref="T29:T30"/>
    <mergeCell ref="AE29:AE30"/>
    <mergeCell ref="AP29:AP30"/>
    <mergeCell ref="BA29:BA30"/>
    <mergeCell ref="BL29:BL30"/>
    <mergeCell ref="BN29:BN30"/>
    <mergeCell ref="BO29:BO30"/>
    <mergeCell ref="BP29:BP30"/>
    <mergeCell ref="BQ29:BQ30"/>
    <mergeCell ref="BS29:BS30"/>
    <mergeCell ref="BT29:BT30"/>
    <mergeCell ref="BU29:BU30"/>
    <mergeCell ref="BV29:BV30"/>
    <mergeCell ref="BW29:BW30"/>
    <mergeCell ref="BX29:BX30"/>
    <mergeCell ref="BY29:BY30"/>
    <mergeCell ref="BX31:BX32"/>
    <mergeCell ref="BY31:BY32"/>
    <mergeCell ref="CA31:CA32"/>
    <mergeCell ref="CB31:CB32"/>
    <mergeCell ref="B35:B36"/>
    <mergeCell ref="C35:C36"/>
    <mergeCell ref="E35:E36"/>
    <mergeCell ref="I35:I36"/>
    <mergeCell ref="T35:T36"/>
    <mergeCell ref="AE35:AE36"/>
    <mergeCell ref="AP35:AP36"/>
    <mergeCell ref="BA35:BA36"/>
    <mergeCell ref="BL35:BL36"/>
    <mergeCell ref="BN35:BN36"/>
    <mergeCell ref="BO35:BO36"/>
    <mergeCell ref="BP35:BP36"/>
    <mergeCell ref="BQ35:BQ36"/>
    <mergeCell ref="BS35:BS36"/>
    <mergeCell ref="BT35:BT36"/>
    <mergeCell ref="BU35:BU36"/>
    <mergeCell ref="BV35:BV36"/>
    <mergeCell ref="BW35:BW36"/>
    <mergeCell ref="BX35:BX36"/>
    <mergeCell ref="BY35:BY36"/>
    <mergeCell ref="BN31:BN32"/>
    <mergeCell ref="BO31:BO32"/>
    <mergeCell ref="BP31:BP32"/>
    <mergeCell ref="BQ31:BQ32"/>
    <mergeCell ref="BS31:BS32"/>
    <mergeCell ref="BT31:BT32"/>
    <mergeCell ref="BU31:BU32"/>
    <mergeCell ref="BV31:BV32"/>
    <mergeCell ref="CB35:CB36"/>
    <mergeCell ref="B37:B38"/>
    <mergeCell ref="C37:C38"/>
    <mergeCell ref="E37:E38"/>
    <mergeCell ref="I37:I38"/>
    <mergeCell ref="T37:T38"/>
    <mergeCell ref="AE37:AE38"/>
    <mergeCell ref="AP37:AP38"/>
    <mergeCell ref="BA37:BA38"/>
    <mergeCell ref="BL37:BL38"/>
    <mergeCell ref="BN37:BN38"/>
    <mergeCell ref="BO37:BO38"/>
    <mergeCell ref="BP37:BP38"/>
    <mergeCell ref="BQ37:BQ38"/>
    <mergeCell ref="BS37:BS38"/>
    <mergeCell ref="BT37:BT38"/>
    <mergeCell ref="BU37:BU38"/>
    <mergeCell ref="BV37:BV38"/>
    <mergeCell ref="BW37:BW38"/>
    <mergeCell ref="BX37:BX38"/>
    <mergeCell ref="BY37:BY38"/>
    <mergeCell ref="CA37:CA38"/>
    <mergeCell ref="CB37:CB38"/>
    <mergeCell ref="BP39:BP40"/>
    <mergeCell ref="BQ39:BQ40"/>
    <mergeCell ref="BS39:BS40"/>
    <mergeCell ref="BT39:BT40"/>
    <mergeCell ref="BU39:BU40"/>
    <mergeCell ref="BV39:BV40"/>
    <mergeCell ref="BW39:BW40"/>
    <mergeCell ref="B39:B40"/>
    <mergeCell ref="C39:C40"/>
    <mergeCell ref="E39:E40"/>
    <mergeCell ref="I39:I40"/>
    <mergeCell ref="T39:T40"/>
    <mergeCell ref="AE39:AE40"/>
    <mergeCell ref="AP39:AP40"/>
    <mergeCell ref="BA39:BA40"/>
    <mergeCell ref="BL39:BL40"/>
    <mergeCell ref="CA35:CA36"/>
    <mergeCell ref="BV43:BV44"/>
    <mergeCell ref="BW43:BW44"/>
    <mergeCell ref="BX43:BX44"/>
    <mergeCell ref="BY43:BY44"/>
    <mergeCell ref="CA43:CA44"/>
    <mergeCell ref="CB43:CB44"/>
    <mergeCell ref="BX39:BX40"/>
    <mergeCell ref="BY39:BY40"/>
    <mergeCell ref="CA39:CA40"/>
    <mergeCell ref="CB39:CB40"/>
    <mergeCell ref="B41:B42"/>
    <mergeCell ref="C41:C42"/>
    <mergeCell ref="E41:E42"/>
    <mergeCell ref="I41:I42"/>
    <mergeCell ref="T41:T42"/>
    <mergeCell ref="AE41:AE42"/>
    <mergeCell ref="AP41:AP42"/>
    <mergeCell ref="BA41:BA42"/>
    <mergeCell ref="BL41:BL42"/>
    <mergeCell ref="BN41:BN42"/>
    <mergeCell ref="BO41:BO42"/>
    <mergeCell ref="BP41:BP42"/>
    <mergeCell ref="BQ41:BQ42"/>
    <mergeCell ref="BS41:BS42"/>
    <mergeCell ref="BT41:BT42"/>
    <mergeCell ref="BU41:BU42"/>
    <mergeCell ref="BV41:BV42"/>
    <mergeCell ref="BW41:BW42"/>
    <mergeCell ref="BX41:BX42"/>
    <mergeCell ref="BY41:BY42"/>
    <mergeCell ref="BN39:BN40"/>
    <mergeCell ref="BO39:BO40"/>
    <mergeCell ref="BS47:BS48"/>
    <mergeCell ref="BT47:BT48"/>
    <mergeCell ref="BU47:BU48"/>
    <mergeCell ref="BV47:BV48"/>
    <mergeCell ref="BW47:BW48"/>
    <mergeCell ref="B47:B48"/>
    <mergeCell ref="C47:C48"/>
    <mergeCell ref="E47:E48"/>
    <mergeCell ref="I47:I48"/>
    <mergeCell ref="T47:T48"/>
    <mergeCell ref="AE47:AE48"/>
    <mergeCell ref="AP47:AP48"/>
    <mergeCell ref="BA47:BA48"/>
    <mergeCell ref="BL47:BL48"/>
    <mergeCell ref="CA41:CA42"/>
    <mergeCell ref="CB41:CB42"/>
    <mergeCell ref="B43:B44"/>
    <mergeCell ref="C43:C44"/>
    <mergeCell ref="E43:E44"/>
    <mergeCell ref="I43:I44"/>
    <mergeCell ref="T43:T44"/>
    <mergeCell ref="AE43:AE44"/>
    <mergeCell ref="AP43:AP44"/>
    <mergeCell ref="BA43:BA44"/>
    <mergeCell ref="BL43:BL44"/>
    <mergeCell ref="BN43:BN44"/>
    <mergeCell ref="BO43:BO44"/>
    <mergeCell ref="BP43:BP44"/>
    <mergeCell ref="BQ43:BQ44"/>
    <mergeCell ref="BS43:BS44"/>
    <mergeCell ref="BT43:BT44"/>
    <mergeCell ref="BU43:BU44"/>
    <mergeCell ref="BX51:BX52"/>
    <mergeCell ref="BY51:BY52"/>
    <mergeCell ref="CA51:CA52"/>
    <mergeCell ref="CB51:CB52"/>
    <mergeCell ref="BX47:BX48"/>
    <mergeCell ref="BY47:BY48"/>
    <mergeCell ref="CA47:CA48"/>
    <mergeCell ref="CB47:CB48"/>
    <mergeCell ref="B49:B50"/>
    <mergeCell ref="C49:C50"/>
    <mergeCell ref="E49:E50"/>
    <mergeCell ref="I49:I50"/>
    <mergeCell ref="T49:T50"/>
    <mergeCell ref="AE49:AE50"/>
    <mergeCell ref="AP49:AP50"/>
    <mergeCell ref="BA49:BA50"/>
    <mergeCell ref="BL49:BL50"/>
    <mergeCell ref="BN49:BN50"/>
    <mergeCell ref="BO49:BO50"/>
    <mergeCell ref="BP49:BP50"/>
    <mergeCell ref="BQ49:BQ50"/>
    <mergeCell ref="BS49:BS50"/>
    <mergeCell ref="BT49:BT50"/>
    <mergeCell ref="BU49:BU50"/>
    <mergeCell ref="BV49:BV50"/>
    <mergeCell ref="BW49:BW50"/>
    <mergeCell ref="BX49:BX50"/>
    <mergeCell ref="BY49:BY50"/>
    <mergeCell ref="BN47:BN48"/>
    <mergeCell ref="BO47:BO48"/>
    <mergeCell ref="BP47:BP48"/>
    <mergeCell ref="BQ47:BQ48"/>
    <mergeCell ref="BU53:BU54"/>
    <mergeCell ref="BV53:BV54"/>
    <mergeCell ref="BW53:BW54"/>
    <mergeCell ref="B53:B54"/>
    <mergeCell ref="C53:C54"/>
    <mergeCell ref="E53:E54"/>
    <mergeCell ref="I53:I54"/>
    <mergeCell ref="T53:T54"/>
    <mergeCell ref="AE53:AE54"/>
    <mergeCell ref="AP53:AP54"/>
    <mergeCell ref="BA53:BA54"/>
    <mergeCell ref="BL53:BL54"/>
    <mergeCell ref="CA49:CA50"/>
    <mergeCell ref="CB49:CB50"/>
    <mergeCell ref="B51:B52"/>
    <mergeCell ref="C51:C52"/>
    <mergeCell ref="E51:E52"/>
    <mergeCell ref="I51:I52"/>
    <mergeCell ref="T51:T52"/>
    <mergeCell ref="AE51:AE52"/>
    <mergeCell ref="AP51:AP52"/>
    <mergeCell ref="BA51:BA52"/>
    <mergeCell ref="BL51:BL52"/>
    <mergeCell ref="BN51:BN52"/>
    <mergeCell ref="BO51:BO52"/>
    <mergeCell ref="BP51:BP52"/>
    <mergeCell ref="BQ51:BQ52"/>
    <mergeCell ref="BS51:BS52"/>
    <mergeCell ref="BT51:BT52"/>
    <mergeCell ref="BU51:BU52"/>
    <mergeCell ref="BV51:BV52"/>
    <mergeCell ref="BW51:BW52"/>
    <mergeCell ref="CA57:CA58"/>
    <mergeCell ref="CB57:CB58"/>
    <mergeCell ref="BX53:BX54"/>
    <mergeCell ref="BY53:BY54"/>
    <mergeCell ref="CA53:CA54"/>
    <mergeCell ref="CB53:CB54"/>
    <mergeCell ref="B55:B56"/>
    <mergeCell ref="C55:C56"/>
    <mergeCell ref="E55:E56"/>
    <mergeCell ref="I55:I56"/>
    <mergeCell ref="T55:T56"/>
    <mergeCell ref="AE55:AE56"/>
    <mergeCell ref="AP55:AP56"/>
    <mergeCell ref="BA55:BA56"/>
    <mergeCell ref="BL55:BL56"/>
    <mergeCell ref="BN55:BN56"/>
    <mergeCell ref="BO55:BO56"/>
    <mergeCell ref="BP55:BP56"/>
    <mergeCell ref="BQ55:BQ56"/>
    <mergeCell ref="BS55:BS56"/>
    <mergeCell ref="BT55:BT56"/>
    <mergeCell ref="BU55:BU56"/>
    <mergeCell ref="BV55:BV56"/>
    <mergeCell ref="BW55:BW56"/>
    <mergeCell ref="BX55:BX56"/>
    <mergeCell ref="BY55:BY56"/>
    <mergeCell ref="BN53:BN54"/>
    <mergeCell ref="BO53:BO54"/>
    <mergeCell ref="BP53:BP54"/>
    <mergeCell ref="BQ53:BQ54"/>
    <mergeCell ref="BS53:BS54"/>
    <mergeCell ref="BT53:BT54"/>
    <mergeCell ref="BW59:BW60"/>
    <mergeCell ref="B59:B60"/>
    <mergeCell ref="C59:C60"/>
    <mergeCell ref="E59:E60"/>
    <mergeCell ref="I59:I60"/>
    <mergeCell ref="T59:T60"/>
    <mergeCell ref="AE59:AE60"/>
    <mergeCell ref="AP59:AP60"/>
    <mergeCell ref="BA59:BA60"/>
    <mergeCell ref="BL59:BL60"/>
    <mergeCell ref="CA55:CA56"/>
    <mergeCell ref="CB55:CB56"/>
    <mergeCell ref="B57:B58"/>
    <mergeCell ref="C57:C58"/>
    <mergeCell ref="E57:E58"/>
    <mergeCell ref="I57:I58"/>
    <mergeCell ref="T57:T58"/>
    <mergeCell ref="AE57:AE58"/>
    <mergeCell ref="AP57:AP58"/>
    <mergeCell ref="BA57:BA58"/>
    <mergeCell ref="BL57:BL58"/>
    <mergeCell ref="BN57:BN58"/>
    <mergeCell ref="BO57:BO58"/>
    <mergeCell ref="BP57:BP58"/>
    <mergeCell ref="BQ57:BQ58"/>
    <mergeCell ref="BS57:BS58"/>
    <mergeCell ref="BT57:BT58"/>
    <mergeCell ref="BU57:BU58"/>
    <mergeCell ref="BV57:BV58"/>
    <mergeCell ref="BW57:BW58"/>
    <mergeCell ref="BX57:BX58"/>
    <mergeCell ref="BY57:BY58"/>
    <mergeCell ref="BX59:BX60"/>
    <mergeCell ref="BY59:BY60"/>
    <mergeCell ref="CA59:CA60"/>
    <mergeCell ref="CB59:CB60"/>
    <mergeCell ref="B61:B62"/>
    <mergeCell ref="C61:C62"/>
    <mergeCell ref="E61:E62"/>
    <mergeCell ref="I61:I62"/>
    <mergeCell ref="T61:T62"/>
    <mergeCell ref="AE61:AE62"/>
    <mergeCell ref="AP61:AP62"/>
    <mergeCell ref="BA61:BA62"/>
    <mergeCell ref="BL61:BL62"/>
    <mergeCell ref="BN61:BN62"/>
    <mergeCell ref="BO61:BO62"/>
    <mergeCell ref="BP61:BP62"/>
    <mergeCell ref="BQ61:BQ62"/>
    <mergeCell ref="BS61:BS62"/>
    <mergeCell ref="BT61:BT62"/>
    <mergeCell ref="BU61:BU62"/>
    <mergeCell ref="BV61:BV62"/>
    <mergeCell ref="BW61:BW62"/>
    <mergeCell ref="BX61:BX62"/>
    <mergeCell ref="BY61:BY62"/>
    <mergeCell ref="BN59:BN60"/>
    <mergeCell ref="BO59:BO60"/>
    <mergeCell ref="BP59:BP60"/>
    <mergeCell ref="BQ59:BQ60"/>
    <mergeCell ref="BS59:BS60"/>
    <mergeCell ref="BT59:BT60"/>
    <mergeCell ref="BU59:BU60"/>
    <mergeCell ref="BV59:BV60"/>
    <mergeCell ref="CB61:CB62"/>
    <mergeCell ref="B63:B64"/>
    <mergeCell ref="C63:C64"/>
    <mergeCell ref="E63:E64"/>
    <mergeCell ref="I63:I64"/>
    <mergeCell ref="T63:T64"/>
    <mergeCell ref="AE63:AE64"/>
    <mergeCell ref="AP63:AP64"/>
    <mergeCell ref="BA63:BA64"/>
    <mergeCell ref="BL63:BL64"/>
    <mergeCell ref="BN63:BN64"/>
    <mergeCell ref="BO63:BO64"/>
    <mergeCell ref="BP63:BP64"/>
    <mergeCell ref="BQ63:BQ64"/>
    <mergeCell ref="BS63:BS64"/>
    <mergeCell ref="BT63:BT64"/>
    <mergeCell ref="BU63:BU64"/>
    <mergeCell ref="BV63:BV64"/>
    <mergeCell ref="BW63:BW64"/>
    <mergeCell ref="BX63:BX64"/>
    <mergeCell ref="BY63:BY64"/>
    <mergeCell ref="CA63:CA64"/>
    <mergeCell ref="CB63:CB64"/>
    <mergeCell ref="BP65:BP66"/>
    <mergeCell ref="BQ65:BQ66"/>
    <mergeCell ref="BS65:BS66"/>
    <mergeCell ref="BT65:BT66"/>
    <mergeCell ref="BU65:BU66"/>
    <mergeCell ref="BV65:BV66"/>
    <mergeCell ref="BW65:BW66"/>
    <mergeCell ref="B65:B66"/>
    <mergeCell ref="C65:C66"/>
    <mergeCell ref="E65:E66"/>
    <mergeCell ref="I65:I66"/>
    <mergeCell ref="T65:T66"/>
    <mergeCell ref="AE65:AE66"/>
    <mergeCell ref="AP65:AP66"/>
    <mergeCell ref="BA65:BA66"/>
    <mergeCell ref="BL65:BL66"/>
    <mergeCell ref="CA61:CA62"/>
    <mergeCell ref="BV69:BV70"/>
    <mergeCell ref="BW69:BW70"/>
    <mergeCell ref="BX69:BX70"/>
    <mergeCell ref="BY69:BY70"/>
    <mergeCell ref="CA69:CA70"/>
    <mergeCell ref="CB69:CB70"/>
    <mergeCell ref="BX65:BX66"/>
    <mergeCell ref="BY65:BY66"/>
    <mergeCell ref="CA65:CA66"/>
    <mergeCell ref="CB65:CB66"/>
    <mergeCell ref="B67:B68"/>
    <mergeCell ref="C67:C68"/>
    <mergeCell ref="E67:E68"/>
    <mergeCell ref="I67:I68"/>
    <mergeCell ref="T67:T68"/>
    <mergeCell ref="AE67:AE68"/>
    <mergeCell ref="AP67:AP68"/>
    <mergeCell ref="BA67:BA68"/>
    <mergeCell ref="BL67:BL68"/>
    <mergeCell ref="BN67:BN68"/>
    <mergeCell ref="BO67:BO68"/>
    <mergeCell ref="BP67:BP68"/>
    <mergeCell ref="BQ67:BQ68"/>
    <mergeCell ref="BS67:BS68"/>
    <mergeCell ref="BT67:BT68"/>
    <mergeCell ref="BU67:BU68"/>
    <mergeCell ref="BV67:BV68"/>
    <mergeCell ref="BW67:BW68"/>
    <mergeCell ref="BX67:BX68"/>
    <mergeCell ref="BY67:BY68"/>
    <mergeCell ref="BN65:BN66"/>
    <mergeCell ref="BO65:BO66"/>
    <mergeCell ref="BS73:BS74"/>
    <mergeCell ref="BT73:BT74"/>
    <mergeCell ref="BU73:BU74"/>
    <mergeCell ref="BV73:BV74"/>
    <mergeCell ref="BW73:BW74"/>
    <mergeCell ref="B73:B74"/>
    <mergeCell ref="C73:C74"/>
    <mergeCell ref="E73:E74"/>
    <mergeCell ref="I73:I74"/>
    <mergeCell ref="T73:T74"/>
    <mergeCell ref="AE73:AE74"/>
    <mergeCell ref="AP73:AP74"/>
    <mergeCell ref="BA73:BA74"/>
    <mergeCell ref="BL73:BL74"/>
    <mergeCell ref="CA67:CA68"/>
    <mergeCell ref="CB67:CB68"/>
    <mergeCell ref="B69:B70"/>
    <mergeCell ref="C69:C70"/>
    <mergeCell ref="E69:E70"/>
    <mergeCell ref="I69:I70"/>
    <mergeCell ref="T69:T70"/>
    <mergeCell ref="AE69:AE70"/>
    <mergeCell ref="AP69:AP70"/>
    <mergeCell ref="BA69:BA70"/>
    <mergeCell ref="BL69:BL70"/>
    <mergeCell ref="BN69:BN70"/>
    <mergeCell ref="BO69:BO70"/>
    <mergeCell ref="BP69:BP70"/>
    <mergeCell ref="BQ69:BQ70"/>
    <mergeCell ref="BS69:BS70"/>
    <mergeCell ref="BT69:BT70"/>
    <mergeCell ref="BU69:BU70"/>
    <mergeCell ref="BX79:BX80"/>
    <mergeCell ref="BY79:BY80"/>
    <mergeCell ref="CA79:CA80"/>
    <mergeCell ref="CB79:CB80"/>
    <mergeCell ref="BX73:BX74"/>
    <mergeCell ref="BY73:BY74"/>
    <mergeCell ref="CA73:CA74"/>
    <mergeCell ref="CB73:CB74"/>
    <mergeCell ref="B77:B78"/>
    <mergeCell ref="C77:C78"/>
    <mergeCell ref="E77:E78"/>
    <mergeCell ref="I77:I78"/>
    <mergeCell ref="T77:T78"/>
    <mergeCell ref="AE77:AE78"/>
    <mergeCell ref="AP77:AP78"/>
    <mergeCell ref="BA77:BA78"/>
    <mergeCell ref="BL77:BL78"/>
    <mergeCell ref="BN77:BN78"/>
    <mergeCell ref="BO77:BO78"/>
    <mergeCell ref="BP77:BP78"/>
    <mergeCell ref="BQ77:BQ78"/>
    <mergeCell ref="BS77:BS78"/>
    <mergeCell ref="BT77:BT78"/>
    <mergeCell ref="BU77:BU78"/>
    <mergeCell ref="BV77:BV78"/>
    <mergeCell ref="BW77:BW78"/>
    <mergeCell ref="BX77:BX78"/>
    <mergeCell ref="BY77:BY78"/>
    <mergeCell ref="BN73:BN74"/>
    <mergeCell ref="BO73:BO74"/>
    <mergeCell ref="BP73:BP74"/>
    <mergeCell ref="BQ73:BQ74"/>
    <mergeCell ref="BU81:BU82"/>
    <mergeCell ref="BV81:BV82"/>
    <mergeCell ref="BW81:BW82"/>
    <mergeCell ref="B81:B82"/>
    <mergeCell ref="C81:C82"/>
    <mergeCell ref="E81:E82"/>
    <mergeCell ref="I81:I82"/>
    <mergeCell ref="T81:T82"/>
    <mergeCell ref="AE81:AE82"/>
    <mergeCell ref="AP81:AP82"/>
    <mergeCell ref="BA81:BA82"/>
    <mergeCell ref="BL81:BL82"/>
    <mergeCell ref="CA77:CA78"/>
    <mergeCell ref="CB77:CB78"/>
    <mergeCell ref="B79:B80"/>
    <mergeCell ref="C79:C80"/>
    <mergeCell ref="E79:E80"/>
    <mergeCell ref="I79:I80"/>
    <mergeCell ref="T79:T80"/>
    <mergeCell ref="AE79:AE80"/>
    <mergeCell ref="AP79:AP80"/>
    <mergeCell ref="BA79:BA80"/>
    <mergeCell ref="BL79:BL80"/>
    <mergeCell ref="BN79:BN80"/>
    <mergeCell ref="BO79:BO80"/>
    <mergeCell ref="BP79:BP80"/>
    <mergeCell ref="BQ79:BQ80"/>
    <mergeCell ref="BS79:BS80"/>
    <mergeCell ref="BT79:BT80"/>
    <mergeCell ref="BU79:BU80"/>
    <mergeCell ref="BV79:BV80"/>
    <mergeCell ref="BW79:BW80"/>
    <mergeCell ref="CA85:CA86"/>
    <mergeCell ref="CB85:CB86"/>
    <mergeCell ref="BX81:BX82"/>
    <mergeCell ref="BY81:BY82"/>
    <mergeCell ref="CA81:CA82"/>
    <mergeCell ref="CB81:CB82"/>
    <mergeCell ref="B83:B84"/>
    <mergeCell ref="C83:C84"/>
    <mergeCell ref="E83:E84"/>
    <mergeCell ref="I83:I84"/>
    <mergeCell ref="T83:T84"/>
    <mergeCell ref="AE83:AE84"/>
    <mergeCell ref="AP83:AP84"/>
    <mergeCell ref="BA83:BA84"/>
    <mergeCell ref="BL83:BL84"/>
    <mergeCell ref="BN83:BN84"/>
    <mergeCell ref="BO83:BO84"/>
    <mergeCell ref="BP83:BP84"/>
    <mergeCell ref="BQ83:BQ84"/>
    <mergeCell ref="BS83:BS84"/>
    <mergeCell ref="BT83:BT84"/>
    <mergeCell ref="BU83:BU84"/>
    <mergeCell ref="BV83:BV84"/>
    <mergeCell ref="BW83:BW84"/>
    <mergeCell ref="BX83:BX84"/>
    <mergeCell ref="BY83:BY84"/>
    <mergeCell ref="BN81:BN82"/>
    <mergeCell ref="BO81:BO82"/>
    <mergeCell ref="BP81:BP82"/>
    <mergeCell ref="BQ81:BQ82"/>
    <mergeCell ref="BS81:BS82"/>
    <mergeCell ref="BT81:BT82"/>
    <mergeCell ref="BW87:BW88"/>
    <mergeCell ref="B87:B88"/>
    <mergeCell ref="C87:C88"/>
    <mergeCell ref="E87:E88"/>
    <mergeCell ref="I87:I88"/>
    <mergeCell ref="T87:T88"/>
    <mergeCell ref="AE87:AE88"/>
    <mergeCell ref="AP87:AP88"/>
    <mergeCell ref="BA87:BA88"/>
    <mergeCell ref="BL87:BL88"/>
    <mergeCell ref="CA83:CA84"/>
    <mergeCell ref="CB83:CB84"/>
    <mergeCell ref="B85:B86"/>
    <mergeCell ref="C85:C86"/>
    <mergeCell ref="E85:E86"/>
    <mergeCell ref="I85:I86"/>
    <mergeCell ref="T85:T86"/>
    <mergeCell ref="AE85:AE86"/>
    <mergeCell ref="AP85:AP86"/>
    <mergeCell ref="BA85:BA86"/>
    <mergeCell ref="BL85:BL86"/>
    <mergeCell ref="BN85:BN86"/>
    <mergeCell ref="BO85:BO86"/>
    <mergeCell ref="BP85:BP86"/>
    <mergeCell ref="BQ85:BQ86"/>
    <mergeCell ref="BS85:BS86"/>
    <mergeCell ref="BT85:BT86"/>
    <mergeCell ref="BU85:BU86"/>
    <mergeCell ref="BV85:BV86"/>
    <mergeCell ref="BW85:BW86"/>
    <mergeCell ref="BX85:BX86"/>
    <mergeCell ref="BY85:BY86"/>
    <mergeCell ref="BX87:BX88"/>
    <mergeCell ref="BY87:BY88"/>
    <mergeCell ref="CA87:CA88"/>
    <mergeCell ref="CB87:CB88"/>
    <mergeCell ref="B89:B90"/>
    <mergeCell ref="C89:C90"/>
    <mergeCell ref="E89:E90"/>
    <mergeCell ref="I89:I90"/>
    <mergeCell ref="T89:T90"/>
    <mergeCell ref="AE89:AE90"/>
    <mergeCell ref="AP89:AP90"/>
    <mergeCell ref="BA89:BA90"/>
    <mergeCell ref="BL89:BL90"/>
    <mergeCell ref="BN89:BN90"/>
    <mergeCell ref="BO89:BO90"/>
    <mergeCell ref="BP89:BP90"/>
    <mergeCell ref="BQ89:BQ90"/>
    <mergeCell ref="BS89:BS90"/>
    <mergeCell ref="BT89:BT90"/>
    <mergeCell ref="BU89:BU90"/>
    <mergeCell ref="BV89:BV90"/>
    <mergeCell ref="BW89:BW90"/>
    <mergeCell ref="BX89:BX90"/>
    <mergeCell ref="BY89:BY90"/>
    <mergeCell ref="BN87:BN88"/>
    <mergeCell ref="BO87:BO88"/>
    <mergeCell ref="BP87:BP88"/>
    <mergeCell ref="BQ87:BQ88"/>
    <mergeCell ref="BS87:BS88"/>
    <mergeCell ref="BT87:BT88"/>
    <mergeCell ref="BU87:BU88"/>
    <mergeCell ref="BV87:BV88"/>
    <mergeCell ref="CB89:CB90"/>
    <mergeCell ref="B93:B94"/>
    <mergeCell ref="C93:C94"/>
    <mergeCell ref="E93:E94"/>
    <mergeCell ref="I93:I94"/>
    <mergeCell ref="T93:T94"/>
    <mergeCell ref="AE93:AE94"/>
    <mergeCell ref="AP93:AP94"/>
    <mergeCell ref="BA93:BA94"/>
    <mergeCell ref="BL93:BL94"/>
    <mergeCell ref="BN93:BN94"/>
    <mergeCell ref="BO93:BO94"/>
    <mergeCell ref="BP93:BP94"/>
    <mergeCell ref="BQ93:BQ94"/>
    <mergeCell ref="BS93:BS94"/>
    <mergeCell ref="BT93:BT94"/>
    <mergeCell ref="BU93:BU94"/>
    <mergeCell ref="BV93:BV94"/>
    <mergeCell ref="BW93:BW94"/>
    <mergeCell ref="BX93:BX94"/>
    <mergeCell ref="BY93:BY94"/>
    <mergeCell ref="CA93:CA94"/>
    <mergeCell ref="CB93:CB94"/>
    <mergeCell ref="BP95:BP96"/>
    <mergeCell ref="BQ95:BQ96"/>
    <mergeCell ref="BS95:BS96"/>
    <mergeCell ref="BT95:BT96"/>
    <mergeCell ref="BU95:BU96"/>
    <mergeCell ref="BV95:BV96"/>
    <mergeCell ref="BW95:BW96"/>
    <mergeCell ref="B95:B96"/>
    <mergeCell ref="C95:C96"/>
    <mergeCell ref="E95:E96"/>
    <mergeCell ref="I95:I96"/>
    <mergeCell ref="T95:T96"/>
    <mergeCell ref="AE95:AE96"/>
    <mergeCell ref="AP95:AP96"/>
    <mergeCell ref="BA95:BA96"/>
    <mergeCell ref="BL95:BL96"/>
    <mergeCell ref="CA89:CA90"/>
    <mergeCell ref="BV99:BV100"/>
    <mergeCell ref="BW99:BW100"/>
    <mergeCell ref="BX99:BX100"/>
    <mergeCell ref="BY99:BY100"/>
    <mergeCell ref="CA99:CA100"/>
    <mergeCell ref="CB99:CB100"/>
    <mergeCell ref="BX95:BX96"/>
    <mergeCell ref="BY95:BY96"/>
    <mergeCell ref="CA95:CA96"/>
    <mergeCell ref="CB95:CB96"/>
    <mergeCell ref="B97:B98"/>
    <mergeCell ref="C97:C98"/>
    <mergeCell ref="E97:E98"/>
    <mergeCell ref="I97:I98"/>
    <mergeCell ref="T97:T98"/>
    <mergeCell ref="AE97:AE98"/>
    <mergeCell ref="AP97:AP98"/>
    <mergeCell ref="BA97:BA98"/>
    <mergeCell ref="BL97:BL98"/>
    <mergeCell ref="BN97:BN98"/>
    <mergeCell ref="BO97:BO98"/>
    <mergeCell ref="BP97:BP98"/>
    <mergeCell ref="BQ97:BQ98"/>
    <mergeCell ref="BS97:BS98"/>
    <mergeCell ref="BT97:BT98"/>
    <mergeCell ref="BU97:BU98"/>
    <mergeCell ref="BV97:BV98"/>
    <mergeCell ref="BW97:BW98"/>
    <mergeCell ref="BX97:BX98"/>
    <mergeCell ref="BY97:BY98"/>
    <mergeCell ref="BN95:BN96"/>
    <mergeCell ref="BO95:BO96"/>
    <mergeCell ref="BS101:BS102"/>
    <mergeCell ref="BT101:BT102"/>
    <mergeCell ref="BU101:BU102"/>
    <mergeCell ref="BV101:BV102"/>
    <mergeCell ref="BW101:BW102"/>
    <mergeCell ref="B101:B102"/>
    <mergeCell ref="C101:C102"/>
    <mergeCell ref="E101:E102"/>
    <mergeCell ref="I101:I102"/>
    <mergeCell ref="T101:T102"/>
    <mergeCell ref="AE101:AE102"/>
    <mergeCell ref="AP101:AP102"/>
    <mergeCell ref="BA101:BA102"/>
    <mergeCell ref="BL101:BL102"/>
    <mergeCell ref="CA97:CA98"/>
    <mergeCell ref="CB97:CB98"/>
    <mergeCell ref="B99:B100"/>
    <mergeCell ref="C99:C100"/>
    <mergeCell ref="E99:E100"/>
    <mergeCell ref="I99:I100"/>
    <mergeCell ref="T99:T100"/>
    <mergeCell ref="AE99:AE100"/>
    <mergeCell ref="AP99:AP100"/>
    <mergeCell ref="BA99:BA100"/>
    <mergeCell ref="BL99:BL100"/>
    <mergeCell ref="BN99:BN100"/>
    <mergeCell ref="BO99:BO100"/>
    <mergeCell ref="BP99:BP100"/>
    <mergeCell ref="BQ99:BQ100"/>
    <mergeCell ref="BS99:BS100"/>
    <mergeCell ref="BT99:BT100"/>
    <mergeCell ref="BU99:BU100"/>
    <mergeCell ref="BX105:BX106"/>
    <mergeCell ref="BY105:BY106"/>
    <mergeCell ref="CA105:CA106"/>
    <mergeCell ref="CB105:CB106"/>
    <mergeCell ref="BX101:BX102"/>
    <mergeCell ref="BY101:BY102"/>
    <mergeCell ref="CA101:CA102"/>
    <mergeCell ref="CB101:CB102"/>
    <mergeCell ref="B103:B104"/>
    <mergeCell ref="C103:C104"/>
    <mergeCell ref="E103:E104"/>
    <mergeCell ref="I103:I104"/>
    <mergeCell ref="T103:T104"/>
    <mergeCell ref="AE103:AE104"/>
    <mergeCell ref="AP103:AP104"/>
    <mergeCell ref="BA103:BA104"/>
    <mergeCell ref="BL103:BL104"/>
    <mergeCell ref="BN103:BN104"/>
    <mergeCell ref="BO103:BO104"/>
    <mergeCell ref="BP103:BP104"/>
    <mergeCell ref="BQ103:BQ104"/>
    <mergeCell ref="BS103:BS104"/>
    <mergeCell ref="BT103:BT104"/>
    <mergeCell ref="BU103:BU104"/>
    <mergeCell ref="BV103:BV104"/>
    <mergeCell ref="BW103:BW104"/>
    <mergeCell ref="BX103:BX104"/>
    <mergeCell ref="BY103:BY104"/>
    <mergeCell ref="BN101:BN102"/>
    <mergeCell ref="BO101:BO102"/>
    <mergeCell ref="BP101:BP102"/>
    <mergeCell ref="BQ101:BQ102"/>
    <mergeCell ref="BU107:BU108"/>
    <mergeCell ref="BV107:BV108"/>
    <mergeCell ref="BW107:BW108"/>
    <mergeCell ref="B107:B108"/>
    <mergeCell ref="C107:C108"/>
    <mergeCell ref="E107:E108"/>
    <mergeCell ref="I107:I108"/>
    <mergeCell ref="T107:T108"/>
    <mergeCell ref="AE107:AE108"/>
    <mergeCell ref="AP107:AP108"/>
    <mergeCell ref="BA107:BA108"/>
    <mergeCell ref="BL107:BL108"/>
    <mergeCell ref="CA103:CA104"/>
    <mergeCell ref="CB103:CB104"/>
    <mergeCell ref="B105:B106"/>
    <mergeCell ref="C105:C106"/>
    <mergeCell ref="E105:E106"/>
    <mergeCell ref="I105:I106"/>
    <mergeCell ref="T105:T106"/>
    <mergeCell ref="AE105:AE106"/>
    <mergeCell ref="AP105:AP106"/>
    <mergeCell ref="BA105:BA106"/>
    <mergeCell ref="BL105:BL106"/>
    <mergeCell ref="BN105:BN106"/>
    <mergeCell ref="BO105:BO106"/>
    <mergeCell ref="BP105:BP106"/>
    <mergeCell ref="BQ105:BQ106"/>
    <mergeCell ref="BS105:BS106"/>
    <mergeCell ref="BT105:BT106"/>
    <mergeCell ref="BU105:BU106"/>
    <mergeCell ref="BV105:BV106"/>
    <mergeCell ref="BW105:BW106"/>
    <mergeCell ref="CA113:CA114"/>
    <mergeCell ref="CB113:CB114"/>
    <mergeCell ref="BX107:BX108"/>
    <mergeCell ref="BY107:BY108"/>
    <mergeCell ref="CA107:CA108"/>
    <mergeCell ref="CB107:CB108"/>
    <mergeCell ref="B109:B110"/>
    <mergeCell ref="C109:C110"/>
    <mergeCell ref="E109:E110"/>
    <mergeCell ref="I109:I110"/>
    <mergeCell ref="T109:T110"/>
    <mergeCell ref="AE109:AE110"/>
    <mergeCell ref="AP109:AP110"/>
    <mergeCell ref="BA109:BA110"/>
    <mergeCell ref="BL109:BL110"/>
    <mergeCell ref="BN109:BN110"/>
    <mergeCell ref="BO109:BO110"/>
    <mergeCell ref="BP109:BP110"/>
    <mergeCell ref="BQ109:BQ110"/>
    <mergeCell ref="BS109:BS110"/>
    <mergeCell ref="BT109:BT110"/>
    <mergeCell ref="BU109:BU110"/>
    <mergeCell ref="BV109:BV110"/>
    <mergeCell ref="BW109:BW110"/>
    <mergeCell ref="BX109:BX110"/>
    <mergeCell ref="BY109:BY110"/>
    <mergeCell ref="BN107:BN108"/>
    <mergeCell ref="BO107:BO108"/>
    <mergeCell ref="BP107:BP108"/>
    <mergeCell ref="BQ107:BQ108"/>
    <mergeCell ref="BS107:BS108"/>
    <mergeCell ref="BT107:BT108"/>
    <mergeCell ref="BW115:BW116"/>
    <mergeCell ref="B115:B116"/>
    <mergeCell ref="C115:C116"/>
    <mergeCell ref="E115:E116"/>
    <mergeCell ref="I115:I116"/>
    <mergeCell ref="T115:T116"/>
    <mergeCell ref="AE115:AE116"/>
    <mergeCell ref="AP115:AP116"/>
    <mergeCell ref="BA115:BA116"/>
    <mergeCell ref="BL115:BL116"/>
    <mergeCell ref="CA109:CA110"/>
    <mergeCell ref="CB109:CB110"/>
    <mergeCell ref="B113:B114"/>
    <mergeCell ref="C113:C114"/>
    <mergeCell ref="E113:E114"/>
    <mergeCell ref="I113:I114"/>
    <mergeCell ref="T113:T114"/>
    <mergeCell ref="AE113:AE114"/>
    <mergeCell ref="AP113:AP114"/>
    <mergeCell ref="BA113:BA114"/>
    <mergeCell ref="BL113:BL114"/>
    <mergeCell ref="BN113:BN114"/>
    <mergeCell ref="BO113:BO114"/>
    <mergeCell ref="BP113:BP114"/>
    <mergeCell ref="BQ113:BQ114"/>
    <mergeCell ref="BS113:BS114"/>
    <mergeCell ref="BT113:BT114"/>
    <mergeCell ref="BU113:BU114"/>
    <mergeCell ref="BV113:BV114"/>
    <mergeCell ref="BW113:BW114"/>
    <mergeCell ref="BX113:BX114"/>
    <mergeCell ref="BY113:BY114"/>
    <mergeCell ref="BX115:BX116"/>
    <mergeCell ref="BY115:BY116"/>
    <mergeCell ref="CA115:CA116"/>
    <mergeCell ref="CB115:CB116"/>
    <mergeCell ref="B119:B120"/>
    <mergeCell ref="C119:C120"/>
    <mergeCell ref="E119:E120"/>
    <mergeCell ref="I119:I120"/>
    <mergeCell ref="T119:T120"/>
    <mergeCell ref="AE119:AE120"/>
    <mergeCell ref="AP119:AP120"/>
    <mergeCell ref="BA119:BA120"/>
    <mergeCell ref="BL119:BL120"/>
    <mergeCell ref="BN119:BN120"/>
    <mergeCell ref="BO119:BO120"/>
    <mergeCell ref="BP119:BP120"/>
    <mergeCell ref="BQ119:BQ120"/>
    <mergeCell ref="BS119:BS120"/>
    <mergeCell ref="BT119:BT120"/>
    <mergeCell ref="BU119:BU120"/>
    <mergeCell ref="BV119:BV120"/>
    <mergeCell ref="BW119:BW120"/>
    <mergeCell ref="BX119:BX120"/>
    <mergeCell ref="BY119:BY120"/>
    <mergeCell ref="BN115:BN116"/>
    <mergeCell ref="BO115:BO116"/>
    <mergeCell ref="BP115:BP116"/>
    <mergeCell ref="BQ115:BQ116"/>
    <mergeCell ref="BS115:BS116"/>
    <mergeCell ref="BT115:BT116"/>
    <mergeCell ref="BU115:BU116"/>
    <mergeCell ref="BV115:BV116"/>
    <mergeCell ref="CB119:CB120"/>
    <mergeCell ref="B121:B122"/>
    <mergeCell ref="C121:C122"/>
    <mergeCell ref="E121:E122"/>
    <mergeCell ref="I121:I122"/>
    <mergeCell ref="T121:T122"/>
    <mergeCell ref="AE121:AE122"/>
    <mergeCell ref="AP121:AP122"/>
    <mergeCell ref="BA121:BA122"/>
    <mergeCell ref="BL121:BL122"/>
    <mergeCell ref="BN121:BN122"/>
    <mergeCell ref="BO121:BO122"/>
    <mergeCell ref="BP121:BP122"/>
    <mergeCell ref="BQ121:BQ122"/>
    <mergeCell ref="BS121:BS122"/>
    <mergeCell ref="BT121:BT122"/>
    <mergeCell ref="BU121:BU122"/>
    <mergeCell ref="BV121:BV122"/>
    <mergeCell ref="BW121:BW122"/>
    <mergeCell ref="BX121:BX122"/>
    <mergeCell ref="BY121:BY122"/>
    <mergeCell ref="CA121:CA122"/>
    <mergeCell ref="CB121:CB122"/>
    <mergeCell ref="BP123:BP124"/>
    <mergeCell ref="BQ123:BQ124"/>
    <mergeCell ref="BS123:BS124"/>
    <mergeCell ref="BT123:BT124"/>
    <mergeCell ref="BU123:BU124"/>
    <mergeCell ref="BV123:BV124"/>
    <mergeCell ref="BW123:BW124"/>
    <mergeCell ref="B123:B124"/>
    <mergeCell ref="C123:C124"/>
    <mergeCell ref="E123:E124"/>
    <mergeCell ref="I123:I124"/>
    <mergeCell ref="T123:T124"/>
    <mergeCell ref="AE123:AE124"/>
    <mergeCell ref="AP123:AP124"/>
    <mergeCell ref="BA123:BA124"/>
    <mergeCell ref="BL123:BL124"/>
    <mergeCell ref="CA119:CA120"/>
    <mergeCell ref="BV127:BV128"/>
    <mergeCell ref="BW127:BW128"/>
    <mergeCell ref="BX127:BX128"/>
    <mergeCell ref="BY127:BY128"/>
    <mergeCell ref="CA127:CA128"/>
    <mergeCell ref="CB127:CB128"/>
    <mergeCell ref="BX123:BX124"/>
    <mergeCell ref="BY123:BY124"/>
    <mergeCell ref="CA123:CA124"/>
    <mergeCell ref="CB123:CB124"/>
    <mergeCell ref="B125:B126"/>
    <mergeCell ref="C125:C126"/>
    <mergeCell ref="E125:E126"/>
    <mergeCell ref="I125:I126"/>
    <mergeCell ref="T125:T126"/>
    <mergeCell ref="AE125:AE126"/>
    <mergeCell ref="AP125:AP126"/>
    <mergeCell ref="BA125:BA126"/>
    <mergeCell ref="BL125:BL126"/>
    <mergeCell ref="BN125:BN126"/>
    <mergeCell ref="BO125:BO126"/>
    <mergeCell ref="BP125:BP126"/>
    <mergeCell ref="BQ125:BQ126"/>
    <mergeCell ref="BS125:BS126"/>
    <mergeCell ref="BT125:BT126"/>
    <mergeCell ref="BU125:BU126"/>
    <mergeCell ref="BV125:BV126"/>
    <mergeCell ref="BW125:BW126"/>
    <mergeCell ref="BX125:BX126"/>
    <mergeCell ref="BY125:BY126"/>
    <mergeCell ref="BN123:BN124"/>
    <mergeCell ref="BO123:BO124"/>
    <mergeCell ref="BS129:BS130"/>
    <mergeCell ref="BT129:BT130"/>
    <mergeCell ref="BU129:BU130"/>
    <mergeCell ref="BV129:BV130"/>
    <mergeCell ref="BW129:BW130"/>
    <mergeCell ref="B129:B130"/>
    <mergeCell ref="C129:C130"/>
    <mergeCell ref="E129:E130"/>
    <mergeCell ref="I129:I130"/>
    <mergeCell ref="T129:T130"/>
    <mergeCell ref="AE129:AE130"/>
    <mergeCell ref="AP129:AP130"/>
    <mergeCell ref="BA129:BA130"/>
    <mergeCell ref="BL129:BL130"/>
    <mergeCell ref="CA125:CA126"/>
    <mergeCell ref="CB125:CB126"/>
    <mergeCell ref="B127:B128"/>
    <mergeCell ref="C127:C128"/>
    <mergeCell ref="E127:E128"/>
    <mergeCell ref="I127:I128"/>
    <mergeCell ref="T127:T128"/>
    <mergeCell ref="AE127:AE128"/>
    <mergeCell ref="AP127:AP128"/>
    <mergeCell ref="BA127:BA128"/>
    <mergeCell ref="BL127:BL128"/>
    <mergeCell ref="BN127:BN128"/>
    <mergeCell ref="BO127:BO128"/>
    <mergeCell ref="BP127:BP128"/>
    <mergeCell ref="BQ127:BQ128"/>
    <mergeCell ref="BS127:BS128"/>
    <mergeCell ref="BT127:BT128"/>
    <mergeCell ref="BU127:BU128"/>
    <mergeCell ref="BX134:BX135"/>
    <mergeCell ref="BY134:BY135"/>
    <mergeCell ref="CA134:CA135"/>
    <mergeCell ref="CB134:CB135"/>
    <mergeCell ref="BX129:BX130"/>
    <mergeCell ref="BY129:BY130"/>
    <mergeCell ref="CA129:CA130"/>
    <mergeCell ref="CB129:CB130"/>
    <mergeCell ref="B131:B132"/>
    <mergeCell ref="C131:C132"/>
    <mergeCell ref="E131:E132"/>
    <mergeCell ref="I131:I132"/>
    <mergeCell ref="T131:T132"/>
    <mergeCell ref="AE131:AE132"/>
    <mergeCell ref="AP131:AP132"/>
    <mergeCell ref="BA131:BA132"/>
    <mergeCell ref="BL131:BL132"/>
    <mergeCell ref="BN131:BN132"/>
    <mergeCell ref="BO131:BO132"/>
    <mergeCell ref="BP131:BP132"/>
    <mergeCell ref="BQ131:BQ132"/>
    <mergeCell ref="BS131:BS132"/>
    <mergeCell ref="BT131:BT132"/>
    <mergeCell ref="BU131:BU132"/>
    <mergeCell ref="BV131:BV132"/>
    <mergeCell ref="BW131:BW132"/>
    <mergeCell ref="BX131:BX132"/>
    <mergeCell ref="BY131:BY132"/>
    <mergeCell ref="BN129:BN130"/>
    <mergeCell ref="BO129:BO130"/>
    <mergeCell ref="BP129:BP130"/>
    <mergeCell ref="BQ129:BQ130"/>
    <mergeCell ref="BU137:BU138"/>
    <mergeCell ref="BV137:BV138"/>
    <mergeCell ref="BW137:BW138"/>
    <mergeCell ref="B137:B138"/>
    <mergeCell ref="C137:C138"/>
    <mergeCell ref="E137:E138"/>
    <mergeCell ref="I137:I138"/>
    <mergeCell ref="T137:T138"/>
    <mergeCell ref="AE137:AE138"/>
    <mergeCell ref="AP137:AP138"/>
    <mergeCell ref="BA137:BA138"/>
    <mergeCell ref="BL137:BL138"/>
    <mergeCell ref="CA131:CA132"/>
    <mergeCell ref="CB131:CB132"/>
    <mergeCell ref="B134:B135"/>
    <mergeCell ref="C134:C135"/>
    <mergeCell ref="E134:E135"/>
    <mergeCell ref="I134:I135"/>
    <mergeCell ref="T134:T135"/>
    <mergeCell ref="AE134:AE135"/>
    <mergeCell ref="AP134:AP135"/>
    <mergeCell ref="BA134:BA135"/>
    <mergeCell ref="BL134:BL135"/>
    <mergeCell ref="BN134:BN135"/>
    <mergeCell ref="BO134:BO135"/>
    <mergeCell ref="BP134:BP135"/>
    <mergeCell ref="BQ134:BQ135"/>
    <mergeCell ref="BS134:BS135"/>
    <mergeCell ref="BT134:BT135"/>
    <mergeCell ref="BU134:BU135"/>
    <mergeCell ref="BV134:BV135"/>
    <mergeCell ref="BW134:BW135"/>
    <mergeCell ref="CA142:CA143"/>
    <mergeCell ref="CB142:CB143"/>
    <mergeCell ref="BX137:BX138"/>
    <mergeCell ref="BY137:BY138"/>
    <mergeCell ref="CA137:CA138"/>
    <mergeCell ref="CB137:CB138"/>
    <mergeCell ref="B140:B141"/>
    <mergeCell ref="C140:C141"/>
    <mergeCell ref="E140:E141"/>
    <mergeCell ref="I140:I141"/>
    <mergeCell ref="T140:T141"/>
    <mergeCell ref="AE140:AE141"/>
    <mergeCell ref="AP140:AP141"/>
    <mergeCell ref="BA140:BA141"/>
    <mergeCell ref="BL140:BL141"/>
    <mergeCell ref="BN140:BN141"/>
    <mergeCell ref="BO140:BO141"/>
    <mergeCell ref="BP140:BP141"/>
    <mergeCell ref="BQ140:BQ141"/>
    <mergeCell ref="BS140:BS141"/>
    <mergeCell ref="BT140:BT141"/>
    <mergeCell ref="BU140:BU141"/>
    <mergeCell ref="BV140:BV141"/>
    <mergeCell ref="BW140:BW141"/>
    <mergeCell ref="BX140:BX141"/>
    <mergeCell ref="BY140:BY141"/>
    <mergeCell ref="BN137:BN138"/>
    <mergeCell ref="BO137:BO138"/>
    <mergeCell ref="BP137:BP138"/>
    <mergeCell ref="BQ137:BQ138"/>
    <mergeCell ref="BS137:BS138"/>
    <mergeCell ref="BT137:BT138"/>
    <mergeCell ref="BW144:BW145"/>
    <mergeCell ref="B144:B145"/>
    <mergeCell ref="C144:C145"/>
    <mergeCell ref="E144:E145"/>
    <mergeCell ref="I144:I145"/>
    <mergeCell ref="T144:T145"/>
    <mergeCell ref="AE144:AE145"/>
    <mergeCell ref="AP144:AP145"/>
    <mergeCell ref="BA144:BA145"/>
    <mergeCell ref="BL144:BL145"/>
    <mergeCell ref="CA140:CA141"/>
    <mergeCell ref="CB140:CB141"/>
    <mergeCell ref="B142:B143"/>
    <mergeCell ref="C142:C143"/>
    <mergeCell ref="E142:E143"/>
    <mergeCell ref="I142:I143"/>
    <mergeCell ref="T142:T143"/>
    <mergeCell ref="AE142:AE143"/>
    <mergeCell ref="AP142:AP143"/>
    <mergeCell ref="BA142:BA143"/>
    <mergeCell ref="BL142:BL143"/>
    <mergeCell ref="BN142:BN143"/>
    <mergeCell ref="BO142:BO143"/>
    <mergeCell ref="BP142:BP143"/>
    <mergeCell ref="BQ142:BQ143"/>
    <mergeCell ref="BS142:BS143"/>
    <mergeCell ref="BT142:BT143"/>
    <mergeCell ref="BU142:BU143"/>
    <mergeCell ref="BV142:BV143"/>
    <mergeCell ref="BW142:BW143"/>
    <mergeCell ref="BX142:BX143"/>
    <mergeCell ref="BY142:BY143"/>
    <mergeCell ref="BX144:BX145"/>
    <mergeCell ref="BY144:BY145"/>
    <mergeCell ref="CA144:CA145"/>
    <mergeCell ref="CB144:CB145"/>
    <mergeCell ref="B146:B147"/>
    <mergeCell ref="C146:C147"/>
    <mergeCell ref="E146:E147"/>
    <mergeCell ref="I146:I147"/>
    <mergeCell ref="T146:T147"/>
    <mergeCell ref="AE146:AE147"/>
    <mergeCell ref="AP146:AP147"/>
    <mergeCell ref="BA146:BA147"/>
    <mergeCell ref="BL146:BL147"/>
    <mergeCell ref="BN146:BN147"/>
    <mergeCell ref="BO146:BO147"/>
    <mergeCell ref="BP146:BP147"/>
    <mergeCell ref="BQ146:BQ147"/>
    <mergeCell ref="BS146:BS147"/>
    <mergeCell ref="BT146:BT147"/>
    <mergeCell ref="BU146:BU147"/>
    <mergeCell ref="BV146:BV147"/>
    <mergeCell ref="BW146:BW147"/>
    <mergeCell ref="BX146:BX147"/>
    <mergeCell ref="BY146:BY147"/>
    <mergeCell ref="BN144:BN145"/>
    <mergeCell ref="BO144:BO145"/>
    <mergeCell ref="BP144:BP145"/>
    <mergeCell ref="BQ144:BQ145"/>
    <mergeCell ref="BS144:BS145"/>
    <mergeCell ref="BT144:BT145"/>
    <mergeCell ref="BU144:BU145"/>
    <mergeCell ref="BV144:BV145"/>
    <mergeCell ref="CA146:CA147"/>
    <mergeCell ref="CB146:CB147"/>
    <mergeCell ref="B148:B149"/>
    <mergeCell ref="C148:C149"/>
    <mergeCell ref="E148:E149"/>
    <mergeCell ref="I148:I149"/>
    <mergeCell ref="T148:T149"/>
    <mergeCell ref="AE148:AE149"/>
    <mergeCell ref="AP148:AP149"/>
    <mergeCell ref="BA148:BA149"/>
    <mergeCell ref="BL148:BL149"/>
    <mergeCell ref="BN148:BN149"/>
    <mergeCell ref="BO148:BO149"/>
    <mergeCell ref="BP148:BP149"/>
    <mergeCell ref="BQ148:BQ149"/>
    <mergeCell ref="BS148:BS149"/>
    <mergeCell ref="BT148:BT149"/>
    <mergeCell ref="BU148:BU149"/>
    <mergeCell ref="BV148:BV149"/>
    <mergeCell ref="BW148:BW149"/>
    <mergeCell ref="BX148:BX149"/>
    <mergeCell ref="BY148:BY149"/>
    <mergeCell ref="CA148:CA149"/>
    <mergeCell ref="CB148:CB149"/>
    <mergeCell ref="BN150:BN151"/>
    <mergeCell ref="BO150:BO151"/>
    <mergeCell ref="BP150:BP151"/>
    <mergeCell ref="BQ150:BQ151"/>
    <mergeCell ref="BS150:BS151"/>
    <mergeCell ref="BT150:BT151"/>
    <mergeCell ref="BU150:BU151"/>
    <mergeCell ref="BV150:BV151"/>
    <mergeCell ref="BW150:BW151"/>
    <mergeCell ref="B150:B151"/>
    <mergeCell ref="C150:C151"/>
    <mergeCell ref="E150:E151"/>
    <mergeCell ref="I150:I151"/>
    <mergeCell ref="T150:T151"/>
    <mergeCell ref="AE150:AE151"/>
    <mergeCell ref="AP150:AP151"/>
    <mergeCell ref="BA150:BA151"/>
    <mergeCell ref="BL150:BL151"/>
    <mergeCell ref="C154:C155"/>
    <mergeCell ref="E154:E155"/>
    <mergeCell ref="I154:I155"/>
    <mergeCell ref="T154:T155"/>
    <mergeCell ref="AE154:AE155"/>
    <mergeCell ref="AP154:AP155"/>
    <mergeCell ref="BA154:BA155"/>
    <mergeCell ref="BL154:BL155"/>
    <mergeCell ref="BX150:BX151"/>
    <mergeCell ref="BY150:BY151"/>
    <mergeCell ref="CA150:CA151"/>
    <mergeCell ref="CB150:CB151"/>
    <mergeCell ref="B152:B153"/>
    <mergeCell ref="C152:C153"/>
    <mergeCell ref="E152:E153"/>
    <mergeCell ref="I152:I153"/>
    <mergeCell ref="T152:T153"/>
    <mergeCell ref="AE152:AE153"/>
    <mergeCell ref="AP152:AP153"/>
    <mergeCell ref="BA152:BA153"/>
    <mergeCell ref="BL152:BL153"/>
    <mergeCell ref="BN152:BN153"/>
    <mergeCell ref="BO152:BO153"/>
    <mergeCell ref="BP152:BP153"/>
    <mergeCell ref="BQ152:BQ153"/>
    <mergeCell ref="BS152:BS153"/>
    <mergeCell ref="BT152:BT153"/>
    <mergeCell ref="BU152:BU153"/>
    <mergeCell ref="BX152:BX153"/>
    <mergeCell ref="BY152:BY153"/>
    <mergeCell ref="CA152:CA153"/>
    <mergeCell ref="CB152:CB153"/>
    <mergeCell ref="CA154:CA155"/>
    <mergeCell ref="CB154:CB155"/>
    <mergeCell ref="B156:B157"/>
    <mergeCell ref="C156:C157"/>
    <mergeCell ref="E156:E157"/>
    <mergeCell ref="I156:I157"/>
    <mergeCell ref="T156:T157"/>
    <mergeCell ref="AE156:AE157"/>
    <mergeCell ref="AP156:AP157"/>
    <mergeCell ref="BA156:BA157"/>
    <mergeCell ref="BL156:BL157"/>
    <mergeCell ref="BN156:BN157"/>
    <mergeCell ref="BO156:BO157"/>
    <mergeCell ref="BP156:BP157"/>
    <mergeCell ref="BQ156:BQ157"/>
    <mergeCell ref="BS156:BS157"/>
    <mergeCell ref="BT156:BT157"/>
    <mergeCell ref="BU156:BU157"/>
    <mergeCell ref="BX156:BX157"/>
    <mergeCell ref="BY156:BY157"/>
    <mergeCell ref="CA156:CA157"/>
    <mergeCell ref="CB156:CB157"/>
    <mergeCell ref="BN154:BN155"/>
    <mergeCell ref="BO154:BO155"/>
    <mergeCell ref="BP154:BP155"/>
    <mergeCell ref="BQ154:BQ155"/>
    <mergeCell ref="BS154:BS155"/>
    <mergeCell ref="BT154:BT155"/>
    <mergeCell ref="BU154:BU155"/>
    <mergeCell ref="BX154:BX155"/>
    <mergeCell ref="BY154:BY155"/>
    <mergeCell ref="B154:B155"/>
    <mergeCell ref="BN158:BN159"/>
    <mergeCell ref="BO158:BO159"/>
    <mergeCell ref="BP158:BP159"/>
    <mergeCell ref="BQ158:BQ159"/>
    <mergeCell ref="BS158:BS159"/>
    <mergeCell ref="BT158:BT159"/>
    <mergeCell ref="BU158:BU159"/>
    <mergeCell ref="BV158:BV159"/>
    <mergeCell ref="BW158:BW159"/>
    <mergeCell ref="B158:B159"/>
    <mergeCell ref="C158:C159"/>
    <mergeCell ref="E158:E159"/>
    <mergeCell ref="I158:I159"/>
    <mergeCell ref="T158:T159"/>
    <mergeCell ref="AE158:AE159"/>
    <mergeCell ref="AP158:AP159"/>
    <mergeCell ref="BA158:BA159"/>
    <mergeCell ref="BL158:BL159"/>
    <mergeCell ref="C162:C163"/>
    <mergeCell ref="E162:E163"/>
    <mergeCell ref="I162:I163"/>
    <mergeCell ref="T162:T163"/>
    <mergeCell ref="AE162:AE163"/>
    <mergeCell ref="AP162:AP163"/>
    <mergeCell ref="BA162:BA163"/>
    <mergeCell ref="BL162:BL163"/>
    <mergeCell ref="BX158:BX159"/>
    <mergeCell ref="BY158:BY159"/>
    <mergeCell ref="CA158:CA159"/>
    <mergeCell ref="CB158:CB159"/>
    <mergeCell ref="B160:B161"/>
    <mergeCell ref="C160:C161"/>
    <mergeCell ref="E160:E161"/>
    <mergeCell ref="I160:I161"/>
    <mergeCell ref="T160:T161"/>
    <mergeCell ref="AE160:AE161"/>
    <mergeCell ref="AP160:AP161"/>
    <mergeCell ref="BA160:BA161"/>
    <mergeCell ref="BL160:BL161"/>
    <mergeCell ref="BN160:BN161"/>
    <mergeCell ref="BO160:BO161"/>
    <mergeCell ref="BP160:BP161"/>
    <mergeCell ref="BQ160:BQ161"/>
    <mergeCell ref="BS160:BS161"/>
    <mergeCell ref="BT160:BT161"/>
    <mergeCell ref="BU160:BU161"/>
    <mergeCell ref="BX160:BX161"/>
    <mergeCell ref="BY160:BY161"/>
    <mergeCell ref="CA160:CA161"/>
    <mergeCell ref="CB160:CB161"/>
    <mergeCell ref="CA162:CA163"/>
    <mergeCell ref="CB162:CB163"/>
    <mergeCell ref="B164:B165"/>
    <mergeCell ref="C164:C165"/>
    <mergeCell ref="E164:E165"/>
    <mergeCell ref="I164:I165"/>
    <mergeCell ref="T164:T165"/>
    <mergeCell ref="AE164:AE165"/>
    <mergeCell ref="AP164:AP165"/>
    <mergeCell ref="BA164:BA165"/>
    <mergeCell ref="BL164:BL165"/>
    <mergeCell ref="BN164:BN165"/>
    <mergeCell ref="BO164:BO165"/>
    <mergeCell ref="BP164:BP165"/>
    <mergeCell ref="BQ164:BQ165"/>
    <mergeCell ref="BS164:BS165"/>
    <mergeCell ref="BT164:BT165"/>
    <mergeCell ref="BU164:BU165"/>
    <mergeCell ref="BX164:BX165"/>
    <mergeCell ref="BY164:BY165"/>
    <mergeCell ref="CA164:CA165"/>
    <mergeCell ref="CB164:CB165"/>
    <mergeCell ref="BN162:BN163"/>
    <mergeCell ref="BO162:BO163"/>
    <mergeCell ref="BP162:BP163"/>
    <mergeCell ref="BQ162:BQ163"/>
    <mergeCell ref="BS162:BS163"/>
    <mergeCell ref="BT162:BT163"/>
    <mergeCell ref="BU162:BU163"/>
    <mergeCell ref="BX162:BX163"/>
    <mergeCell ref="BY162:BY163"/>
    <mergeCell ref="B162:B163"/>
    <mergeCell ref="CA168:CA169"/>
    <mergeCell ref="CB168:CB169"/>
    <mergeCell ref="BN166:BN167"/>
    <mergeCell ref="BO166:BO167"/>
    <mergeCell ref="BP166:BP167"/>
    <mergeCell ref="BQ166:BQ167"/>
    <mergeCell ref="BS166:BS167"/>
    <mergeCell ref="BT166:BT167"/>
    <mergeCell ref="BU166:BU167"/>
    <mergeCell ref="BX166:BX167"/>
    <mergeCell ref="BY166:BY167"/>
    <mergeCell ref="B166:B167"/>
    <mergeCell ref="C166:C167"/>
    <mergeCell ref="E166:E167"/>
    <mergeCell ref="I166:I167"/>
    <mergeCell ref="T166:T167"/>
    <mergeCell ref="AE166:AE167"/>
    <mergeCell ref="AP166:AP167"/>
    <mergeCell ref="BA166:BA167"/>
    <mergeCell ref="BL166:BL167"/>
    <mergeCell ref="BW170:BW171"/>
    <mergeCell ref="B170:B171"/>
    <mergeCell ref="C170:C171"/>
    <mergeCell ref="E170:E171"/>
    <mergeCell ref="I170:I171"/>
    <mergeCell ref="T170:T171"/>
    <mergeCell ref="AE170:AE171"/>
    <mergeCell ref="AP170:AP171"/>
    <mergeCell ref="BA170:BA171"/>
    <mergeCell ref="BL170:BL171"/>
    <mergeCell ref="CA166:CA167"/>
    <mergeCell ref="CB166:CB167"/>
    <mergeCell ref="B168:B169"/>
    <mergeCell ref="C168:C169"/>
    <mergeCell ref="E168:E169"/>
    <mergeCell ref="I168:I169"/>
    <mergeCell ref="T168:T169"/>
    <mergeCell ref="AE168:AE169"/>
    <mergeCell ref="AP168:AP169"/>
    <mergeCell ref="BA168:BA169"/>
    <mergeCell ref="BL168:BL169"/>
    <mergeCell ref="BN168:BN169"/>
    <mergeCell ref="BO168:BO169"/>
    <mergeCell ref="BP168:BP169"/>
    <mergeCell ref="BQ168:BQ169"/>
    <mergeCell ref="BS168:BS169"/>
    <mergeCell ref="BT168:BT169"/>
    <mergeCell ref="BU168:BU169"/>
    <mergeCell ref="BV168:BV169"/>
    <mergeCell ref="BW168:BW169"/>
    <mergeCell ref="BX168:BX169"/>
    <mergeCell ref="BY168:BY169"/>
    <mergeCell ref="BX170:BX171"/>
    <mergeCell ref="BY170:BY171"/>
    <mergeCell ref="CA170:CA171"/>
    <mergeCell ref="CB170:CB171"/>
    <mergeCell ref="B172:B173"/>
    <mergeCell ref="C172:C173"/>
    <mergeCell ref="E172:E173"/>
    <mergeCell ref="I172:I173"/>
    <mergeCell ref="T172:T173"/>
    <mergeCell ref="AE172:AE173"/>
    <mergeCell ref="AP172:AP173"/>
    <mergeCell ref="BA172:BA173"/>
    <mergeCell ref="BL172:BL173"/>
    <mergeCell ref="BN172:BN173"/>
    <mergeCell ref="BO172:BO173"/>
    <mergeCell ref="BP172:BP173"/>
    <mergeCell ref="BQ172:BQ173"/>
    <mergeCell ref="BS172:BS173"/>
    <mergeCell ref="BT172:BT173"/>
    <mergeCell ref="BU172:BU173"/>
    <mergeCell ref="BV172:BV173"/>
    <mergeCell ref="BW172:BW173"/>
    <mergeCell ref="BX172:BX173"/>
    <mergeCell ref="BY172:BY173"/>
    <mergeCell ref="BN170:BN171"/>
    <mergeCell ref="BO170:BO171"/>
    <mergeCell ref="BP170:BP171"/>
    <mergeCell ref="BQ170:BQ171"/>
    <mergeCell ref="BS170:BS171"/>
    <mergeCell ref="BT170:BT171"/>
    <mergeCell ref="BU170:BU171"/>
    <mergeCell ref="BV170:BV171"/>
    <mergeCell ref="CB172:CB173"/>
    <mergeCell ref="B174:B175"/>
    <mergeCell ref="C174:C175"/>
    <mergeCell ref="E174:E175"/>
    <mergeCell ref="I174:I175"/>
    <mergeCell ref="T174:T175"/>
    <mergeCell ref="AE174:AE175"/>
    <mergeCell ref="AP174:AP175"/>
    <mergeCell ref="BA174:BA175"/>
    <mergeCell ref="BL174:BL175"/>
    <mergeCell ref="BN174:BN175"/>
    <mergeCell ref="BO174:BO175"/>
    <mergeCell ref="BP174:BP175"/>
    <mergeCell ref="BQ174:BQ175"/>
    <mergeCell ref="BS174:BS175"/>
    <mergeCell ref="BT174:BT175"/>
    <mergeCell ref="BU174:BU175"/>
    <mergeCell ref="BV174:BV175"/>
    <mergeCell ref="BW174:BW175"/>
    <mergeCell ref="BX174:BX175"/>
    <mergeCell ref="BY174:BY175"/>
    <mergeCell ref="CA174:CA175"/>
    <mergeCell ref="CB174:CB175"/>
    <mergeCell ref="BP176:BP177"/>
    <mergeCell ref="BQ176:BQ177"/>
    <mergeCell ref="BS176:BS177"/>
    <mergeCell ref="BT176:BT177"/>
    <mergeCell ref="BU176:BU177"/>
    <mergeCell ref="BV176:BV177"/>
    <mergeCell ref="BW176:BW177"/>
    <mergeCell ref="B176:B177"/>
    <mergeCell ref="C176:C177"/>
    <mergeCell ref="E176:E177"/>
    <mergeCell ref="I176:I177"/>
    <mergeCell ref="T176:T177"/>
    <mergeCell ref="AE176:AE177"/>
    <mergeCell ref="AP176:AP177"/>
    <mergeCell ref="BA176:BA177"/>
    <mergeCell ref="BL176:BL177"/>
    <mergeCell ref="CA172:CA173"/>
    <mergeCell ref="BV182:BV183"/>
    <mergeCell ref="BW182:BW183"/>
    <mergeCell ref="BX182:BX183"/>
    <mergeCell ref="BY182:BY183"/>
    <mergeCell ref="CA182:CA183"/>
    <mergeCell ref="CB182:CB183"/>
    <mergeCell ref="BX176:BX177"/>
    <mergeCell ref="BY176:BY177"/>
    <mergeCell ref="CA176:CA177"/>
    <mergeCell ref="CB176:CB177"/>
    <mergeCell ref="B180:B181"/>
    <mergeCell ref="C180:C181"/>
    <mergeCell ref="E180:E181"/>
    <mergeCell ref="I180:I181"/>
    <mergeCell ref="T180:T181"/>
    <mergeCell ref="AE180:AE181"/>
    <mergeCell ref="AP180:AP181"/>
    <mergeCell ref="BA180:BA181"/>
    <mergeCell ref="BL180:BL181"/>
    <mergeCell ref="BN180:BN181"/>
    <mergeCell ref="BO180:BO181"/>
    <mergeCell ref="BP180:BP181"/>
    <mergeCell ref="BQ180:BQ181"/>
    <mergeCell ref="BS180:BS181"/>
    <mergeCell ref="BT180:BT181"/>
    <mergeCell ref="BU180:BU181"/>
    <mergeCell ref="BV180:BV181"/>
    <mergeCell ref="BW180:BW181"/>
    <mergeCell ref="BX180:BX181"/>
    <mergeCell ref="BY180:BY181"/>
    <mergeCell ref="BN176:BN177"/>
    <mergeCell ref="BO176:BO177"/>
    <mergeCell ref="BS184:BS185"/>
    <mergeCell ref="BT184:BT185"/>
    <mergeCell ref="BU184:BU185"/>
    <mergeCell ref="BV184:BV185"/>
    <mergeCell ref="BW184:BW185"/>
    <mergeCell ref="B184:B185"/>
    <mergeCell ref="C184:C185"/>
    <mergeCell ref="E184:E185"/>
    <mergeCell ref="I184:I185"/>
    <mergeCell ref="T184:T185"/>
    <mergeCell ref="AE184:AE185"/>
    <mergeCell ref="AP184:AP185"/>
    <mergeCell ref="BA184:BA185"/>
    <mergeCell ref="BL184:BL185"/>
    <mergeCell ref="CA180:CA181"/>
    <mergeCell ref="CB180:CB181"/>
    <mergeCell ref="B182:B183"/>
    <mergeCell ref="C182:C183"/>
    <mergeCell ref="E182:E183"/>
    <mergeCell ref="I182:I183"/>
    <mergeCell ref="T182:T183"/>
    <mergeCell ref="AE182:AE183"/>
    <mergeCell ref="AP182:AP183"/>
    <mergeCell ref="BA182:BA183"/>
    <mergeCell ref="BL182:BL183"/>
    <mergeCell ref="BN182:BN183"/>
    <mergeCell ref="BO182:BO183"/>
    <mergeCell ref="BP182:BP183"/>
    <mergeCell ref="BQ182:BQ183"/>
    <mergeCell ref="BS182:BS183"/>
    <mergeCell ref="BT182:BT183"/>
    <mergeCell ref="BU182:BU183"/>
    <mergeCell ref="BX188:BX189"/>
    <mergeCell ref="BY188:BY189"/>
    <mergeCell ref="CA188:CA189"/>
    <mergeCell ref="CB188:CB189"/>
    <mergeCell ref="BX184:BX185"/>
    <mergeCell ref="BY184:BY185"/>
    <mergeCell ref="CA184:CA185"/>
    <mergeCell ref="CB184:CB185"/>
    <mergeCell ref="B186:B187"/>
    <mergeCell ref="C186:C187"/>
    <mergeCell ref="E186:E187"/>
    <mergeCell ref="I186:I187"/>
    <mergeCell ref="T186:T187"/>
    <mergeCell ref="AE186:AE187"/>
    <mergeCell ref="AP186:AP187"/>
    <mergeCell ref="BA186:BA187"/>
    <mergeCell ref="BL186:BL187"/>
    <mergeCell ref="BN186:BN187"/>
    <mergeCell ref="BO186:BO187"/>
    <mergeCell ref="BP186:BP187"/>
    <mergeCell ref="BQ186:BQ187"/>
    <mergeCell ref="BS186:BS187"/>
    <mergeCell ref="BT186:BT187"/>
    <mergeCell ref="BU186:BU187"/>
    <mergeCell ref="BV186:BV187"/>
    <mergeCell ref="BW186:BW187"/>
    <mergeCell ref="BX186:BX187"/>
    <mergeCell ref="BY186:BY187"/>
    <mergeCell ref="BN184:BN185"/>
    <mergeCell ref="BO184:BO185"/>
    <mergeCell ref="BP184:BP185"/>
    <mergeCell ref="BQ184:BQ185"/>
    <mergeCell ref="BU190:BU191"/>
    <mergeCell ref="BV190:BV191"/>
    <mergeCell ref="BW190:BW191"/>
    <mergeCell ref="B190:B191"/>
    <mergeCell ref="C190:C191"/>
    <mergeCell ref="E190:E191"/>
    <mergeCell ref="I190:I191"/>
    <mergeCell ref="T190:T191"/>
    <mergeCell ref="AE190:AE191"/>
    <mergeCell ref="AP190:AP191"/>
    <mergeCell ref="BA190:BA191"/>
    <mergeCell ref="BL190:BL191"/>
    <mergeCell ref="CA186:CA187"/>
    <mergeCell ref="CB186:CB187"/>
    <mergeCell ref="B188:B189"/>
    <mergeCell ref="C188:C189"/>
    <mergeCell ref="E188:E189"/>
    <mergeCell ref="I188:I189"/>
    <mergeCell ref="T188:T189"/>
    <mergeCell ref="AE188:AE189"/>
    <mergeCell ref="AP188:AP189"/>
    <mergeCell ref="BA188:BA189"/>
    <mergeCell ref="BL188:BL189"/>
    <mergeCell ref="BN188:BN189"/>
    <mergeCell ref="BO188:BO189"/>
    <mergeCell ref="BP188:BP189"/>
    <mergeCell ref="BQ188:BQ189"/>
    <mergeCell ref="BS188:BS189"/>
    <mergeCell ref="BT188:BT189"/>
    <mergeCell ref="BU188:BU189"/>
    <mergeCell ref="BV188:BV189"/>
    <mergeCell ref="BW188:BW189"/>
    <mergeCell ref="CA194:CA195"/>
    <mergeCell ref="CB194:CB195"/>
    <mergeCell ref="BX190:BX191"/>
    <mergeCell ref="BY190:BY191"/>
    <mergeCell ref="CA190:CA191"/>
    <mergeCell ref="CB190:CB191"/>
    <mergeCell ref="B192:B193"/>
    <mergeCell ref="C192:C193"/>
    <mergeCell ref="E192:E193"/>
    <mergeCell ref="I192:I193"/>
    <mergeCell ref="T192:T193"/>
    <mergeCell ref="AE192:AE193"/>
    <mergeCell ref="AP192:AP193"/>
    <mergeCell ref="BA192:BA193"/>
    <mergeCell ref="BL192:BL193"/>
    <mergeCell ref="BN192:BN193"/>
    <mergeCell ref="BO192:BO193"/>
    <mergeCell ref="BP192:BP193"/>
    <mergeCell ref="BQ192:BQ193"/>
    <mergeCell ref="BS192:BS193"/>
    <mergeCell ref="BT192:BT193"/>
    <mergeCell ref="BU192:BU193"/>
    <mergeCell ref="BV192:BV193"/>
    <mergeCell ref="BW192:BW193"/>
    <mergeCell ref="BX192:BX193"/>
    <mergeCell ref="BY192:BY193"/>
    <mergeCell ref="BN190:BN191"/>
    <mergeCell ref="BO190:BO191"/>
    <mergeCell ref="BP190:BP191"/>
    <mergeCell ref="BQ190:BQ191"/>
    <mergeCell ref="BS190:BS191"/>
    <mergeCell ref="BT190:BT191"/>
    <mergeCell ref="BW196:BW197"/>
    <mergeCell ref="B196:B197"/>
    <mergeCell ref="C196:C197"/>
    <mergeCell ref="E196:E197"/>
    <mergeCell ref="I196:I197"/>
    <mergeCell ref="T196:T197"/>
    <mergeCell ref="AE196:AE197"/>
    <mergeCell ref="AP196:AP197"/>
    <mergeCell ref="BA196:BA197"/>
    <mergeCell ref="BL196:BL197"/>
    <mergeCell ref="CA192:CA193"/>
    <mergeCell ref="CB192:CB193"/>
    <mergeCell ref="B194:B195"/>
    <mergeCell ref="C194:C195"/>
    <mergeCell ref="E194:E195"/>
    <mergeCell ref="I194:I195"/>
    <mergeCell ref="T194:T195"/>
    <mergeCell ref="AE194:AE195"/>
    <mergeCell ref="AP194:AP195"/>
    <mergeCell ref="BA194:BA195"/>
    <mergeCell ref="BL194:BL195"/>
    <mergeCell ref="BN194:BN195"/>
    <mergeCell ref="BO194:BO195"/>
    <mergeCell ref="BP194:BP195"/>
    <mergeCell ref="BQ194:BQ195"/>
    <mergeCell ref="BS194:BS195"/>
    <mergeCell ref="BT194:BT195"/>
    <mergeCell ref="BU194:BU195"/>
    <mergeCell ref="BV194:BV195"/>
    <mergeCell ref="BW194:BW195"/>
    <mergeCell ref="BX194:BX195"/>
    <mergeCell ref="BY194:BY195"/>
    <mergeCell ref="BX196:BX197"/>
    <mergeCell ref="BY196:BY197"/>
    <mergeCell ref="CA196:CA197"/>
    <mergeCell ref="CB196:CB197"/>
    <mergeCell ref="B198:B199"/>
    <mergeCell ref="C198:C199"/>
    <mergeCell ref="E198:E199"/>
    <mergeCell ref="I198:I199"/>
    <mergeCell ref="T198:T199"/>
    <mergeCell ref="AE198:AE199"/>
    <mergeCell ref="AP198:AP199"/>
    <mergeCell ref="BA198:BA199"/>
    <mergeCell ref="BL198:BL199"/>
    <mergeCell ref="BN198:BN199"/>
    <mergeCell ref="BO198:BO199"/>
    <mergeCell ref="BP198:BP199"/>
    <mergeCell ref="BQ198:BQ199"/>
    <mergeCell ref="BS198:BS199"/>
    <mergeCell ref="BT198:BT199"/>
    <mergeCell ref="BU198:BU199"/>
    <mergeCell ref="BV198:BV199"/>
    <mergeCell ref="BW198:BW199"/>
    <mergeCell ref="BX198:BX199"/>
    <mergeCell ref="BY198:BY199"/>
    <mergeCell ref="BN196:BN197"/>
    <mergeCell ref="BO196:BO197"/>
    <mergeCell ref="BP196:BP197"/>
    <mergeCell ref="BQ196:BQ197"/>
    <mergeCell ref="BS196:BS197"/>
    <mergeCell ref="BT196:BT197"/>
    <mergeCell ref="BU196:BU197"/>
    <mergeCell ref="BV196:BV197"/>
    <mergeCell ref="C202:C203"/>
    <mergeCell ref="E202:E203"/>
    <mergeCell ref="I202:I203"/>
    <mergeCell ref="T202:T203"/>
    <mergeCell ref="AE202:AE203"/>
    <mergeCell ref="AP202:AP203"/>
    <mergeCell ref="BA202:BA203"/>
    <mergeCell ref="BL202:BL203"/>
    <mergeCell ref="CA198:CA199"/>
    <mergeCell ref="CB198:CB199"/>
    <mergeCell ref="B200:B201"/>
    <mergeCell ref="C200:C201"/>
    <mergeCell ref="E200:E201"/>
    <mergeCell ref="I200:I201"/>
    <mergeCell ref="T200:T201"/>
    <mergeCell ref="AE200:AE201"/>
    <mergeCell ref="AP200:AP201"/>
    <mergeCell ref="BA200:BA201"/>
    <mergeCell ref="BL200:BL201"/>
    <mergeCell ref="BN200:BN201"/>
    <mergeCell ref="BO200:BO201"/>
    <mergeCell ref="BP200:BP201"/>
    <mergeCell ref="BQ200:BQ201"/>
    <mergeCell ref="BS200:BS201"/>
    <mergeCell ref="BT200:BT201"/>
    <mergeCell ref="BU200:BU201"/>
    <mergeCell ref="BV200:BV201"/>
    <mergeCell ref="BW200:BW201"/>
    <mergeCell ref="BX200:BX201"/>
    <mergeCell ref="BY200:BY201"/>
    <mergeCell ref="CA200:CA201"/>
    <mergeCell ref="CB200:CB201"/>
    <mergeCell ref="CA202:CA203"/>
    <mergeCell ref="CB202:CB203"/>
    <mergeCell ref="B204:B205"/>
    <mergeCell ref="C204:C205"/>
    <mergeCell ref="E204:E205"/>
    <mergeCell ref="I204:I205"/>
    <mergeCell ref="T204:T205"/>
    <mergeCell ref="AE204:AE205"/>
    <mergeCell ref="AP204:AP205"/>
    <mergeCell ref="BA204:BA205"/>
    <mergeCell ref="BL204:BL205"/>
    <mergeCell ref="BN204:BN205"/>
    <mergeCell ref="BO204:BO205"/>
    <mergeCell ref="BP204:BP205"/>
    <mergeCell ref="BQ204:BQ205"/>
    <mergeCell ref="BS204:BS205"/>
    <mergeCell ref="BT204:BT205"/>
    <mergeCell ref="BU204:BU205"/>
    <mergeCell ref="BX204:BX205"/>
    <mergeCell ref="BY204:BY205"/>
    <mergeCell ref="CA204:CA205"/>
    <mergeCell ref="CB204:CB205"/>
    <mergeCell ref="BN202:BN203"/>
    <mergeCell ref="BO202:BO203"/>
    <mergeCell ref="BP202:BP203"/>
    <mergeCell ref="BQ202:BQ203"/>
    <mergeCell ref="BS202:BS203"/>
    <mergeCell ref="BT202:BT203"/>
    <mergeCell ref="BU202:BU203"/>
    <mergeCell ref="BX202:BX203"/>
    <mergeCell ref="BY202:BY203"/>
    <mergeCell ref="B202:B203"/>
    <mergeCell ref="CB206:CB207"/>
    <mergeCell ref="B208:B209"/>
    <mergeCell ref="C208:C209"/>
    <mergeCell ref="E208:E209"/>
    <mergeCell ref="I208:I209"/>
    <mergeCell ref="T208:T209"/>
    <mergeCell ref="AE208:AE209"/>
    <mergeCell ref="AP208:AP209"/>
    <mergeCell ref="BA208:BA209"/>
    <mergeCell ref="BL208:BL209"/>
    <mergeCell ref="BN208:BN209"/>
    <mergeCell ref="BO208:BO209"/>
    <mergeCell ref="BP208:BP209"/>
    <mergeCell ref="BQ208:BQ209"/>
    <mergeCell ref="BS208:BS209"/>
    <mergeCell ref="BT208:BT209"/>
    <mergeCell ref="BU208:BU209"/>
    <mergeCell ref="BX208:BX209"/>
    <mergeCell ref="BY208:BY209"/>
    <mergeCell ref="CA208:CA209"/>
    <mergeCell ref="CB208:CB209"/>
    <mergeCell ref="BN206:BN207"/>
    <mergeCell ref="BO206:BO207"/>
    <mergeCell ref="BP206:BP207"/>
    <mergeCell ref="BQ206:BQ207"/>
    <mergeCell ref="BS206:BS207"/>
    <mergeCell ref="BT206:BT207"/>
    <mergeCell ref="BU206:BU207"/>
    <mergeCell ref="BX206:BX207"/>
    <mergeCell ref="BY206:BY207"/>
    <mergeCell ref="B206:B207"/>
    <mergeCell ref="C206:C207"/>
    <mergeCell ref="BU210:BU211"/>
    <mergeCell ref="BV210:BV211"/>
    <mergeCell ref="BW210:BW211"/>
    <mergeCell ref="B210:B211"/>
    <mergeCell ref="C210:C211"/>
    <mergeCell ref="E210:E211"/>
    <mergeCell ref="I210:I211"/>
    <mergeCell ref="T210:T211"/>
    <mergeCell ref="AE210:AE211"/>
    <mergeCell ref="AP210:AP211"/>
    <mergeCell ref="BA210:BA211"/>
    <mergeCell ref="BL210:BL211"/>
    <mergeCell ref="CA206:CA207"/>
    <mergeCell ref="E206:E207"/>
    <mergeCell ref="I206:I207"/>
    <mergeCell ref="T206:T207"/>
    <mergeCell ref="AE206:AE207"/>
    <mergeCell ref="AP206:AP207"/>
    <mergeCell ref="BA206:BA207"/>
    <mergeCell ref="BL206:BL207"/>
    <mergeCell ref="CA214:CA215"/>
    <mergeCell ref="CB214:CB215"/>
    <mergeCell ref="BX210:BX211"/>
    <mergeCell ref="BY210:BY211"/>
    <mergeCell ref="CA210:CA211"/>
    <mergeCell ref="CB210:CB211"/>
    <mergeCell ref="B212:B213"/>
    <mergeCell ref="C212:C213"/>
    <mergeCell ref="E212:E213"/>
    <mergeCell ref="I212:I213"/>
    <mergeCell ref="T212:T213"/>
    <mergeCell ref="AE212:AE213"/>
    <mergeCell ref="AP212:AP213"/>
    <mergeCell ref="BA212:BA213"/>
    <mergeCell ref="BL212:BL213"/>
    <mergeCell ref="BN212:BN213"/>
    <mergeCell ref="BO212:BO213"/>
    <mergeCell ref="BP212:BP213"/>
    <mergeCell ref="BQ212:BQ213"/>
    <mergeCell ref="BS212:BS213"/>
    <mergeCell ref="BT212:BT213"/>
    <mergeCell ref="BU212:BU213"/>
    <mergeCell ref="BV212:BV213"/>
    <mergeCell ref="BW212:BW213"/>
    <mergeCell ref="BX212:BX213"/>
    <mergeCell ref="BY212:BY213"/>
    <mergeCell ref="BN210:BN211"/>
    <mergeCell ref="BO210:BO211"/>
    <mergeCell ref="BP210:BP211"/>
    <mergeCell ref="BQ210:BQ211"/>
    <mergeCell ref="BS210:BS211"/>
    <mergeCell ref="BT210:BT211"/>
    <mergeCell ref="BW216:BW217"/>
    <mergeCell ref="B216:B217"/>
    <mergeCell ref="C216:C217"/>
    <mergeCell ref="E216:E217"/>
    <mergeCell ref="I216:I217"/>
    <mergeCell ref="T216:T217"/>
    <mergeCell ref="AE216:AE217"/>
    <mergeCell ref="AP216:AP217"/>
    <mergeCell ref="BA216:BA217"/>
    <mergeCell ref="BL216:BL217"/>
    <mergeCell ref="CA212:CA213"/>
    <mergeCell ref="CB212:CB213"/>
    <mergeCell ref="B214:B215"/>
    <mergeCell ref="C214:C215"/>
    <mergeCell ref="E214:E215"/>
    <mergeCell ref="I214:I215"/>
    <mergeCell ref="T214:T215"/>
    <mergeCell ref="AE214:AE215"/>
    <mergeCell ref="AP214:AP215"/>
    <mergeCell ref="BA214:BA215"/>
    <mergeCell ref="BL214:BL215"/>
    <mergeCell ref="BN214:BN215"/>
    <mergeCell ref="BO214:BO215"/>
    <mergeCell ref="BP214:BP215"/>
    <mergeCell ref="BQ214:BQ215"/>
    <mergeCell ref="BS214:BS215"/>
    <mergeCell ref="BT214:BT215"/>
    <mergeCell ref="BU214:BU215"/>
    <mergeCell ref="BV214:BV215"/>
    <mergeCell ref="BW214:BW215"/>
    <mergeCell ref="BX214:BX215"/>
    <mergeCell ref="BY214:BY215"/>
    <mergeCell ref="BX216:BX217"/>
    <mergeCell ref="BY216:BY217"/>
    <mergeCell ref="CA216:CA217"/>
    <mergeCell ref="CB216:CB217"/>
    <mergeCell ref="B218:B219"/>
    <mergeCell ref="C218:C219"/>
    <mergeCell ref="E218:E219"/>
    <mergeCell ref="I218:I219"/>
    <mergeCell ref="T218:T219"/>
    <mergeCell ref="AE218:AE219"/>
    <mergeCell ref="AP218:AP219"/>
    <mergeCell ref="BA218:BA219"/>
    <mergeCell ref="BL218:BL219"/>
    <mergeCell ref="BN218:BN219"/>
    <mergeCell ref="BO218:BO219"/>
    <mergeCell ref="BP218:BP219"/>
    <mergeCell ref="BQ218:BQ219"/>
    <mergeCell ref="BS218:BS219"/>
    <mergeCell ref="BT218:BT219"/>
    <mergeCell ref="BU218:BU219"/>
    <mergeCell ref="BV218:BV219"/>
    <mergeCell ref="BW218:BW219"/>
    <mergeCell ref="BX218:BX219"/>
    <mergeCell ref="BY218:BY219"/>
    <mergeCell ref="BN216:BN217"/>
    <mergeCell ref="BO216:BO217"/>
    <mergeCell ref="BP216:BP217"/>
    <mergeCell ref="BQ216:BQ217"/>
    <mergeCell ref="BS216:BS217"/>
    <mergeCell ref="BT216:BT217"/>
    <mergeCell ref="BU216:BU217"/>
    <mergeCell ref="BV216:BV217"/>
    <mergeCell ref="CB218:CB219"/>
    <mergeCell ref="B220:B221"/>
    <mergeCell ref="C220:C221"/>
    <mergeCell ref="E220:E221"/>
    <mergeCell ref="I220:I221"/>
    <mergeCell ref="T220:T221"/>
    <mergeCell ref="AE220:AE221"/>
    <mergeCell ref="AP220:AP221"/>
    <mergeCell ref="BA220:BA221"/>
    <mergeCell ref="BL220:BL221"/>
    <mergeCell ref="BN220:BN221"/>
    <mergeCell ref="BO220:BO221"/>
    <mergeCell ref="BP220:BP221"/>
    <mergeCell ref="BQ220:BQ221"/>
    <mergeCell ref="BS220:BS221"/>
    <mergeCell ref="BT220:BT221"/>
    <mergeCell ref="BU220:BU221"/>
    <mergeCell ref="BV220:BV221"/>
    <mergeCell ref="BW220:BW221"/>
    <mergeCell ref="BX220:BX221"/>
    <mergeCell ref="BY220:BY221"/>
    <mergeCell ref="CA220:CA221"/>
    <mergeCell ref="CB220:CB221"/>
    <mergeCell ref="BP222:BP223"/>
    <mergeCell ref="BQ222:BQ223"/>
    <mergeCell ref="BS222:BS223"/>
    <mergeCell ref="BT222:BT223"/>
    <mergeCell ref="BU222:BU223"/>
    <mergeCell ref="BV222:BV223"/>
    <mergeCell ref="BW222:BW223"/>
    <mergeCell ref="B222:B223"/>
    <mergeCell ref="C222:C223"/>
    <mergeCell ref="E222:E223"/>
    <mergeCell ref="I222:I223"/>
    <mergeCell ref="T222:T223"/>
    <mergeCell ref="AE222:AE223"/>
    <mergeCell ref="AP222:AP223"/>
    <mergeCell ref="BA222:BA223"/>
    <mergeCell ref="BL222:BL223"/>
    <mergeCell ref="CA218:CA219"/>
    <mergeCell ref="BV229:BV230"/>
    <mergeCell ref="BW229:BW230"/>
    <mergeCell ref="BX229:BX230"/>
    <mergeCell ref="BY229:BY230"/>
    <mergeCell ref="CA229:CA230"/>
    <mergeCell ref="CB229:CB230"/>
    <mergeCell ref="BX222:BX223"/>
    <mergeCell ref="BY222:BY223"/>
    <mergeCell ref="CA222:CA223"/>
    <mergeCell ref="CB222:CB223"/>
    <mergeCell ref="B226:B227"/>
    <mergeCell ref="C226:C227"/>
    <mergeCell ref="E226:E227"/>
    <mergeCell ref="I226:I227"/>
    <mergeCell ref="T226:T227"/>
    <mergeCell ref="AE226:AE227"/>
    <mergeCell ref="AP226:AP227"/>
    <mergeCell ref="BA226:BA227"/>
    <mergeCell ref="BL226:BL227"/>
    <mergeCell ref="BN226:BN227"/>
    <mergeCell ref="BO226:BO227"/>
    <mergeCell ref="BP226:BP227"/>
    <mergeCell ref="BQ226:BQ227"/>
    <mergeCell ref="BS226:BS227"/>
    <mergeCell ref="BT226:BT227"/>
    <mergeCell ref="BU226:BU227"/>
    <mergeCell ref="BV226:BV227"/>
    <mergeCell ref="BW226:BW227"/>
    <mergeCell ref="BX226:BX227"/>
    <mergeCell ref="BY226:BY227"/>
    <mergeCell ref="BN222:BN223"/>
    <mergeCell ref="BO222:BO223"/>
    <mergeCell ref="BS233:BS234"/>
    <mergeCell ref="BT233:BT234"/>
    <mergeCell ref="BU233:BU234"/>
    <mergeCell ref="BV233:BV234"/>
    <mergeCell ref="BW233:BW234"/>
    <mergeCell ref="B233:B234"/>
    <mergeCell ref="C233:C234"/>
    <mergeCell ref="E233:E234"/>
    <mergeCell ref="I233:I234"/>
    <mergeCell ref="T233:T234"/>
    <mergeCell ref="AE233:AE234"/>
    <mergeCell ref="AP233:AP234"/>
    <mergeCell ref="BA233:BA234"/>
    <mergeCell ref="BL233:BL234"/>
    <mergeCell ref="CA226:CA227"/>
    <mergeCell ref="CB226:CB227"/>
    <mergeCell ref="B229:B230"/>
    <mergeCell ref="C229:C230"/>
    <mergeCell ref="E229:E230"/>
    <mergeCell ref="I229:I230"/>
    <mergeCell ref="T229:T230"/>
    <mergeCell ref="AE229:AE230"/>
    <mergeCell ref="AP229:AP230"/>
    <mergeCell ref="BA229:BA230"/>
    <mergeCell ref="BL229:BL230"/>
    <mergeCell ref="BN229:BN230"/>
    <mergeCell ref="BO229:BO230"/>
    <mergeCell ref="BP229:BP230"/>
    <mergeCell ref="BQ229:BQ230"/>
    <mergeCell ref="BS229:BS230"/>
    <mergeCell ref="BT229:BT230"/>
    <mergeCell ref="BU229:BU230"/>
    <mergeCell ref="BX237:BX238"/>
    <mergeCell ref="BY237:BY238"/>
    <mergeCell ref="CA237:CA238"/>
    <mergeCell ref="CB237:CB238"/>
    <mergeCell ref="BX233:BX234"/>
    <mergeCell ref="BY233:BY234"/>
    <mergeCell ref="CA233:CA234"/>
    <mergeCell ref="CB233:CB234"/>
    <mergeCell ref="B235:B236"/>
    <mergeCell ref="C235:C236"/>
    <mergeCell ref="E235:E236"/>
    <mergeCell ref="I235:I236"/>
    <mergeCell ref="T235:T236"/>
    <mergeCell ref="AE235:AE236"/>
    <mergeCell ref="AP235:AP236"/>
    <mergeCell ref="BA235:BA236"/>
    <mergeCell ref="BL235:BL236"/>
    <mergeCell ref="BN235:BN236"/>
    <mergeCell ref="BO235:BO236"/>
    <mergeCell ref="BP235:BP236"/>
    <mergeCell ref="BQ235:BQ236"/>
    <mergeCell ref="BS235:BS236"/>
    <mergeCell ref="BT235:BT236"/>
    <mergeCell ref="BU235:BU236"/>
    <mergeCell ref="BV235:BV236"/>
    <mergeCell ref="BW235:BW236"/>
    <mergeCell ref="BX235:BX236"/>
    <mergeCell ref="BY235:BY236"/>
    <mergeCell ref="BN233:BN234"/>
    <mergeCell ref="BO233:BO234"/>
    <mergeCell ref="BP233:BP234"/>
    <mergeCell ref="BQ233:BQ234"/>
    <mergeCell ref="BU239:BU240"/>
    <mergeCell ref="BV239:BV240"/>
    <mergeCell ref="BW239:BW240"/>
    <mergeCell ref="B239:B240"/>
    <mergeCell ref="C239:C240"/>
    <mergeCell ref="E239:E240"/>
    <mergeCell ref="I239:I240"/>
    <mergeCell ref="T239:T240"/>
    <mergeCell ref="AE239:AE240"/>
    <mergeCell ref="AP239:AP240"/>
    <mergeCell ref="BA239:BA240"/>
    <mergeCell ref="BL239:BL240"/>
    <mergeCell ref="CA235:CA236"/>
    <mergeCell ref="CB235:CB236"/>
    <mergeCell ref="B237:B238"/>
    <mergeCell ref="C237:C238"/>
    <mergeCell ref="E237:E238"/>
    <mergeCell ref="I237:I238"/>
    <mergeCell ref="T237:T238"/>
    <mergeCell ref="AE237:AE238"/>
    <mergeCell ref="AP237:AP238"/>
    <mergeCell ref="BA237:BA238"/>
    <mergeCell ref="BL237:BL238"/>
    <mergeCell ref="BN237:BN238"/>
    <mergeCell ref="BO237:BO238"/>
    <mergeCell ref="BP237:BP238"/>
    <mergeCell ref="BQ237:BQ238"/>
    <mergeCell ref="BS237:BS238"/>
    <mergeCell ref="BT237:BT238"/>
    <mergeCell ref="BU237:BU238"/>
    <mergeCell ref="BV237:BV238"/>
    <mergeCell ref="BW237:BW238"/>
    <mergeCell ref="CA243:CA244"/>
    <mergeCell ref="CB243:CB244"/>
    <mergeCell ref="BX239:BX240"/>
    <mergeCell ref="BY239:BY240"/>
    <mergeCell ref="CA239:CA240"/>
    <mergeCell ref="CB239:CB240"/>
    <mergeCell ref="B241:B242"/>
    <mergeCell ref="C241:C242"/>
    <mergeCell ref="E241:E242"/>
    <mergeCell ref="I241:I242"/>
    <mergeCell ref="T241:T242"/>
    <mergeCell ref="AE241:AE242"/>
    <mergeCell ref="AP241:AP242"/>
    <mergeCell ref="BA241:BA242"/>
    <mergeCell ref="BL241:BL242"/>
    <mergeCell ref="BN241:BN242"/>
    <mergeCell ref="BO241:BO242"/>
    <mergeCell ref="BP241:BP242"/>
    <mergeCell ref="BQ241:BQ242"/>
    <mergeCell ref="BS241:BS242"/>
    <mergeCell ref="BT241:BT242"/>
    <mergeCell ref="BU241:BU242"/>
    <mergeCell ref="BV241:BV242"/>
    <mergeCell ref="BW241:BW242"/>
    <mergeCell ref="BX241:BX242"/>
    <mergeCell ref="BY241:BY242"/>
    <mergeCell ref="BN239:BN240"/>
    <mergeCell ref="BO239:BO240"/>
    <mergeCell ref="BP239:BP240"/>
    <mergeCell ref="BQ239:BQ240"/>
    <mergeCell ref="BS239:BS240"/>
    <mergeCell ref="BT239:BT240"/>
    <mergeCell ref="BW245:BW246"/>
    <mergeCell ref="B245:B246"/>
    <mergeCell ref="C245:C246"/>
    <mergeCell ref="E245:E246"/>
    <mergeCell ref="I245:I246"/>
    <mergeCell ref="T245:T246"/>
    <mergeCell ref="AE245:AE246"/>
    <mergeCell ref="AP245:AP246"/>
    <mergeCell ref="BA245:BA246"/>
    <mergeCell ref="BL245:BL246"/>
    <mergeCell ref="CA241:CA242"/>
    <mergeCell ref="CB241:CB242"/>
    <mergeCell ref="B243:B244"/>
    <mergeCell ref="C243:C244"/>
    <mergeCell ref="E243:E244"/>
    <mergeCell ref="I243:I244"/>
    <mergeCell ref="T243:T244"/>
    <mergeCell ref="AE243:AE244"/>
    <mergeCell ref="AP243:AP244"/>
    <mergeCell ref="BA243:BA244"/>
    <mergeCell ref="BL243:BL244"/>
    <mergeCell ref="BN243:BN244"/>
    <mergeCell ref="BO243:BO244"/>
    <mergeCell ref="BP243:BP244"/>
    <mergeCell ref="BQ243:BQ244"/>
    <mergeCell ref="BS243:BS244"/>
    <mergeCell ref="BT243:BT244"/>
    <mergeCell ref="BU243:BU244"/>
    <mergeCell ref="BV243:BV244"/>
    <mergeCell ref="BW243:BW244"/>
    <mergeCell ref="BX243:BX244"/>
    <mergeCell ref="BY243:BY244"/>
    <mergeCell ref="BX245:BX246"/>
    <mergeCell ref="BY245:BY246"/>
    <mergeCell ref="CA245:CA246"/>
    <mergeCell ref="CB245:CB246"/>
    <mergeCell ref="B247:B248"/>
    <mergeCell ref="C247:C248"/>
    <mergeCell ref="E247:E248"/>
    <mergeCell ref="I247:I248"/>
    <mergeCell ref="T247:T248"/>
    <mergeCell ref="AE247:AE248"/>
    <mergeCell ref="AP247:AP248"/>
    <mergeCell ref="BA247:BA248"/>
    <mergeCell ref="BL247:BL248"/>
    <mergeCell ref="BN247:BN248"/>
    <mergeCell ref="BO247:BO248"/>
    <mergeCell ref="BP247:BP248"/>
    <mergeCell ref="BQ247:BQ248"/>
    <mergeCell ref="BS247:BS248"/>
    <mergeCell ref="BT247:BT248"/>
    <mergeCell ref="BU247:BU248"/>
    <mergeCell ref="BV247:BV248"/>
    <mergeCell ref="BW247:BW248"/>
    <mergeCell ref="BX247:BX248"/>
    <mergeCell ref="BY247:BY248"/>
    <mergeCell ref="BN245:BN246"/>
    <mergeCell ref="BO245:BO246"/>
    <mergeCell ref="BP245:BP246"/>
    <mergeCell ref="BQ245:BQ246"/>
    <mergeCell ref="BS245:BS246"/>
    <mergeCell ref="BT245:BT246"/>
    <mergeCell ref="BU245:BU246"/>
    <mergeCell ref="BV245:BV246"/>
    <mergeCell ref="CB247:CB248"/>
    <mergeCell ref="B249:B250"/>
    <mergeCell ref="C249:C250"/>
    <mergeCell ref="E249:E250"/>
    <mergeCell ref="I249:I250"/>
    <mergeCell ref="T249:T250"/>
    <mergeCell ref="AE249:AE250"/>
    <mergeCell ref="AP249:AP250"/>
    <mergeCell ref="BA249:BA250"/>
    <mergeCell ref="BL249:BL250"/>
    <mergeCell ref="BN249:BN250"/>
    <mergeCell ref="BO249:BO250"/>
    <mergeCell ref="BP249:BP250"/>
    <mergeCell ref="BQ249:BQ250"/>
    <mergeCell ref="BS249:BS250"/>
    <mergeCell ref="BT249:BT250"/>
    <mergeCell ref="BU249:BU250"/>
    <mergeCell ref="BV249:BV250"/>
    <mergeCell ref="BW249:BW250"/>
    <mergeCell ref="BX249:BX250"/>
    <mergeCell ref="BY249:BY250"/>
    <mergeCell ref="CA249:CA250"/>
    <mergeCell ref="CB249:CB250"/>
    <mergeCell ref="BP251:BP252"/>
    <mergeCell ref="BQ251:BQ252"/>
    <mergeCell ref="BS251:BS252"/>
    <mergeCell ref="BT251:BT252"/>
    <mergeCell ref="BU251:BU252"/>
    <mergeCell ref="BV251:BV252"/>
    <mergeCell ref="BW251:BW252"/>
    <mergeCell ref="B251:B252"/>
    <mergeCell ref="C251:C252"/>
    <mergeCell ref="E251:E252"/>
    <mergeCell ref="I251:I252"/>
    <mergeCell ref="T251:T252"/>
    <mergeCell ref="AE251:AE252"/>
    <mergeCell ref="AP251:AP252"/>
    <mergeCell ref="BA251:BA252"/>
    <mergeCell ref="BL251:BL252"/>
    <mergeCell ref="CA247:CA248"/>
    <mergeCell ref="BV255:BV256"/>
    <mergeCell ref="BW255:BW256"/>
    <mergeCell ref="BX255:BX256"/>
    <mergeCell ref="BY255:BY256"/>
    <mergeCell ref="CA255:CA256"/>
    <mergeCell ref="CB255:CB256"/>
    <mergeCell ref="BX251:BX252"/>
    <mergeCell ref="BY251:BY252"/>
    <mergeCell ref="CA251:CA252"/>
    <mergeCell ref="CB251:CB252"/>
    <mergeCell ref="B253:B254"/>
    <mergeCell ref="C253:C254"/>
    <mergeCell ref="E253:E254"/>
    <mergeCell ref="I253:I254"/>
    <mergeCell ref="T253:T254"/>
    <mergeCell ref="AE253:AE254"/>
    <mergeCell ref="AP253:AP254"/>
    <mergeCell ref="BA253:BA254"/>
    <mergeCell ref="BL253:BL254"/>
    <mergeCell ref="BN253:BN254"/>
    <mergeCell ref="BO253:BO254"/>
    <mergeCell ref="BP253:BP254"/>
    <mergeCell ref="BQ253:BQ254"/>
    <mergeCell ref="BS253:BS254"/>
    <mergeCell ref="BT253:BT254"/>
    <mergeCell ref="BU253:BU254"/>
    <mergeCell ref="BV253:BV254"/>
    <mergeCell ref="BW253:BW254"/>
    <mergeCell ref="BX253:BX254"/>
    <mergeCell ref="BY253:BY254"/>
    <mergeCell ref="BN251:BN252"/>
    <mergeCell ref="BO251:BO252"/>
    <mergeCell ref="BS257:BS258"/>
    <mergeCell ref="BT257:BT258"/>
    <mergeCell ref="BU257:BU258"/>
    <mergeCell ref="BV257:BV258"/>
    <mergeCell ref="BW257:BW258"/>
    <mergeCell ref="B257:B258"/>
    <mergeCell ref="C257:C258"/>
    <mergeCell ref="E257:E258"/>
    <mergeCell ref="I257:I258"/>
    <mergeCell ref="T257:T258"/>
    <mergeCell ref="AE257:AE258"/>
    <mergeCell ref="AP257:AP258"/>
    <mergeCell ref="BA257:BA258"/>
    <mergeCell ref="BL257:BL258"/>
    <mergeCell ref="CA253:CA254"/>
    <mergeCell ref="CB253:CB254"/>
    <mergeCell ref="B255:B256"/>
    <mergeCell ref="C255:C256"/>
    <mergeCell ref="E255:E256"/>
    <mergeCell ref="I255:I256"/>
    <mergeCell ref="T255:T256"/>
    <mergeCell ref="AE255:AE256"/>
    <mergeCell ref="AP255:AP256"/>
    <mergeCell ref="BA255:BA256"/>
    <mergeCell ref="BL255:BL256"/>
    <mergeCell ref="BN255:BN256"/>
    <mergeCell ref="BO255:BO256"/>
    <mergeCell ref="BP255:BP256"/>
    <mergeCell ref="BQ255:BQ256"/>
    <mergeCell ref="BS255:BS256"/>
    <mergeCell ref="BT255:BT256"/>
    <mergeCell ref="BU255:BU256"/>
    <mergeCell ref="BX261:BX262"/>
    <mergeCell ref="BY261:BY262"/>
    <mergeCell ref="CA261:CA262"/>
    <mergeCell ref="CB261:CB262"/>
    <mergeCell ref="BX257:BX258"/>
    <mergeCell ref="BY257:BY258"/>
    <mergeCell ref="CA257:CA258"/>
    <mergeCell ref="CB257:CB258"/>
    <mergeCell ref="B259:B260"/>
    <mergeCell ref="C259:C260"/>
    <mergeCell ref="E259:E260"/>
    <mergeCell ref="I259:I260"/>
    <mergeCell ref="T259:T260"/>
    <mergeCell ref="AE259:AE260"/>
    <mergeCell ref="AP259:AP260"/>
    <mergeCell ref="BA259:BA260"/>
    <mergeCell ref="BL259:BL260"/>
    <mergeCell ref="BN259:BN260"/>
    <mergeCell ref="BO259:BO260"/>
    <mergeCell ref="BP259:BP260"/>
    <mergeCell ref="BQ259:BQ260"/>
    <mergeCell ref="BS259:BS260"/>
    <mergeCell ref="BT259:BT260"/>
    <mergeCell ref="BU259:BU260"/>
    <mergeCell ref="BV259:BV260"/>
    <mergeCell ref="BW259:BW260"/>
    <mergeCell ref="BX259:BX260"/>
    <mergeCell ref="BY259:BY260"/>
    <mergeCell ref="BN257:BN258"/>
    <mergeCell ref="BO257:BO258"/>
    <mergeCell ref="BP257:BP258"/>
    <mergeCell ref="BQ257:BQ258"/>
    <mergeCell ref="BU263:BU264"/>
    <mergeCell ref="BV263:BV264"/>
    <mergeCell ref="BW263:BW264"/>
    <mergeCell ref="B263:B264"/>
    <mergeCell ref="C263:C264"/>
    <mergeCell ref="E263:E264"/>
    <mergeCell ref="I263:I264"/>
    <mergeCell ref="T263:T264"/>
    <mergeCell ref="AE263:AE264"/>
    <mergeCell ref="AP263:AP264"/>
    <mergeCell ref="BA263:BA264"/>
    <mergeCell ref="BL263:BL264"/>
    <mergeCell ref="CA259:CA260"/>
    <mergeCell ref="CB259:CB260"/>
    <mergeCell ref="B261:B262"/>
    <mergeCell ref="C261:C262"/>
    <mergeCell ref="E261:E262"/>
    <mergeCell ref="I261:I262"/>
    <mergeCell ref="T261:T262"/>
    <mergeCell ref="AE261:AE262"/>
    <mergeCell ref="AP261:AP262"/>
    <mergeCell ref="BA261:BA262"/>
    <mergeCell ref="BL261:BL262"/>
    <mergeCell ref="BN261:BN262"/>
    <mergeCell ref="BO261:BO262"/>
    <mergeCell ref="BP261:BP262"/>
    <mergeCell ref="BQ261:BQ262"/>
    <mergeCell ref="BS261:BS262"/>
    <mergeCell ref="BT261:BT262"/>
    <mergeCell ref="BU261:BU262"/>
    <mergeCell ref="BV261:BV262"/>
    <mergeCell ref="BW261:BW262"/>
    <mergeCell ref="CA267:CA268"/>
    <mergeCell ref="CB267:CB268"/>
    <mergeCell ref="BX263:BX264"/>
    <mergeCell ref="BY263:BY264"/>
    <mergeCell ref="CA263:CA264"/>
    <mergeCell ref="CB263:CB264"/>
    <mergeCell ref="B265:B266"/>
    <mergeCell ref="C265:C266"/>
    <mergeCell ref="E265:E266"/>
    <mergeCell ref="I265:I266"/>
    <mergeCell ref="T265:T266"/>
    <mergeCell ref="AE265:AE266"/>
    <mergeCell ref="AP265:AP266"/>
    <mergeCell ref="BA265:BA266"/>
    <mergeCell ref="BL265:BL266"/>
    <mergeCell ref="BN265:BN266"/>
    <mergeCell ref="BO265:BO266"/>
    <mergeCell ref="BP265:BP266"/>
    <mergeCell ref="BQ265:BQ266"/>
    <mergeCell ref="BS265:BS266"/>
    <mergeCell ref="BT265:BT266"/>
    <mergeCell ref="BU265:BU266"/>
    <mergeCell ref="BV265:BV266"/>
    <mergeCell ref="BW265:BW266"/>
    <mergeCell ref="BX265:BX266"/>
    <mergeCell ref="BY265:BY266"/>
    <mergeCell ref="BN263:BN264"/>
    <mergeCell ref="BO263:BO264"/>
    <mergeCell ref="BP263:BP264"/>
    <mergeCell ref="BQ263:BQ264"/>
    <mergeCell ref="BS263:BS264"/>
    <mergeCell ref="BT263:BT264"/>
    <mergeCell ref="BW269:BW270"/>
    <mergeCell ref="B269:B270"/>
    <mergeCell ref="C269:C270"/>
    <mergeCell ref="E269:E270"/>
    <mergeCell ref="I269:I270"/>
    <mergeCell ref="T269:T270"/>
    <mergeCell ref="AE269:AE270"/>
    <mergeCell ref="AP269:AP270"/>
    <mergeCell ref="BA269:BA270"/>
    <mergeCell ref="BL269:BL270"/>
    <mergeCell ref="CA265:CA266"/>
    <mergeCell ref="CB265:CB266"/>
    <mergeCell ref="B267:B268"/>
    <mergeCell ref="C267:C268"/>
    <mergeCell ref="E267:E268"/>
    <mergeCell ref="I267:I268"/>
    <mergeCell ref="T267:T268"/>
    <mergeCell ref="AE267:AE268"/>
    <mergeCell ref="AP267:AP268"/>
    <mergeCell ref="BA267:BA268"/>
    <mergeCell ref="BL267:BL268"/>
    <mergeCell ref="BN267:BN268"/>
    <mergeCell ref="BO267:BO268"/>
    <mergeCell ref="BP267:BP268"/>
    <mergeCell ref="BQ267:BQ268"/>
    <mergeCell ref="BS267:BS268"/>
    <mergeCell ref="BT267:BT268"/>
    <mergeCell ref="BU267:BU268"/>
    <mergeCell ref="BV267:BV268"/>
    <mergeCell ref="BW267:BW268"/>
    <mergeCell ref="BX267:BX268"/>
    <mergeCell ref="BY267:BY268"/>
    <mergeCell ref="BX269:BX270"/>
    <mergeCell ref="BY269:BY270"/>
    <mergeCell ref="CA269:CA270"/>
    <mergeCell ref="CB269:CB270"/>
    <mergeCell ref="B271:B272"/>
    <mergeCell ref="C271:C272"/>
    <mergeCell ref="E271:E272"/>
    <mergeCell ref="I271:I272"/>
    <mergeCell ref="T271:T272"/>
    <mergeCell ref="AE271:AE272"/>
    <mergeCell ref="AP271:AP272"/>
    <mergeCell ref="BA271:BA272"/>
    <mergeCell ref="BL271:BL272"/>
    <mergeCell ref="BN271:BN272"/>
    <mergeCell ref="BO271:BO272"/>
    <mergeCell ref="BP271:BP272"/>
    <mergeCell ref="BQ271:BQ272"/>
    <mergeCell ref="BS271:BS272"/>
    <mergeCell ref="BT271:BT272"/>
    <mergeCell ref="BU271:BU272"/>
    <mergeCell ref="BV271:BV272"/>
    <mergeCell ref="BW271:BW272"/>
    <mergeCell ref="BX271:BX272"/>
    <mergeCell ref="BY271:BY272"/>
    <mergeCell ref="BN269:BN270"/>
    <mergeCell ref="BO269:BO270"/>
    <mergeCell ref="BP269:BP270"/>
    <mergeCell ref="BQ269:BQ270"/>
    <mergeCell ref="BS269:BS270"/>
    <mergeCell ref="BT269:BT270"/>
    <mergeCell ref="BU269:BU270"/>
    <mergeCell ref="BV269:BV270"/>
    <mergeCell ref="CB271:CB272"/>
    <mergeCell ref="B273:B274"/>
    <mergeCell ref="C273:C274"/>
    <mergeCell ref="E273:E274"/>
    <mergeCell ref="I273:I274"/>
    <mergeCell ref="T273:T274"/>
    <mergeCell ref="AE273:AE274"/>
    <mergeCell ref="AP273:AP274"/>
    <mergeCell ref="BA273:BA274"/>
    <mergeCell ref="BL273:BL274"/>
    <mergeCell ref="BN273:BN274"/>
    <mergeCell ref="BO273:BO274"/>
    <mergeCell ref="BP273:BP274"/>
    <mergeCell ref="BQ273:BQ274"/>
    <mergeCell ref="BS273:BS274"/>
    <mergeCell ref="BT273:BT274"/>
    <mergeCell ref="BU273:BU274"/>
    <mergeCell ref="BV273:BV274"/>
    <mergeCell ref="BW273:BW274"/>
    <mergeCell ref="BX273:BX274"/>
    <mergeCell ref="BY273:BY274"/>
    <mergeCell ref="CA273:CA274"/>
    <mergeCell ref="CB273:CB274"/>
    <mergeCell ref="BP275:BP276"/>
    <mergeCell ref="BQ275:BQ276"/>
    <mergeCell ref="BS275:BS276"/>
    <mergeCell ref="BT275:BT276"/>
    <mergeCell ref="BU275:BU276"/>
    <mergeCell ref="BV275:BV276"/>
    <mergeCell ref="BW275:BW276"/>
    <mergeCell ref="B275:B276"/>
    <mergeCell ref="C275:C276"/>
    <mergeCell ref="E275:E276"/>
    <mergeCell ref="I275:I276"/>
    <mergeCell ref="T275:T276"/>
    <mergeCell ref="AE275:AE276"/>
    <mergeCell ref="AP275:AP276"/>
    <mergeCell ref="BA275:BA276"/>
    <mergeCell ref="BL275:BL276"/>
    <mergeCell ref="CA271:CA272"/>
    <mergeCell ref="BV280:BV281"/>
    <mergeCell ref="BW280:BW281"/>
    <mergeCell ref="BX280:BX281"/>
    <mergeCell ref="BY280:BY281"/>
    <mergeCell ref="CA280:CA281"/>
    <mergeCell ref="CB280:CB281"/>
    <mergeCell ref="BX275:BX276"/>
    <mergeCell ref="BY275:BY276"/>
    <mergeCell ref="CA275:CA276"/>
    <mergeCell ref="CB275:CB276"/>
    <mergeCell ref="B278:B279"/>
    <mergeCell ref="C278:C279"/>
    <mergeCell ref="E278:E279"/>
    <mergeCell ref="I278:I279"/>
    <mergeCell ref="T278:T279"/>
    <mergeCell ref="AE278:AE279"/>
    <mergeCell ref="AP278:AP279"/>
    <mergeCell ref="BA278:BA279"/>
    <mergeCell ref="BL278:BL279"/>
    <mergeCell ref="BN278:BN279"/>
    <mergeCell ref="BO278:BO279"/>
    <mergeCell ref="BP278:BP279"/>
    <mergeCell ref="BQ278:BQ279"/>
    <mergeCell ref="BS278:BS279"/>
    <mergeCell ref="BT278:BT279"/>
    <mergeCell ref="BU278:BU279"/>
    <mergeCell ref="BV278:BV279"/>
    <mergeCell ref="BW278:BW279"/>
    <mergeCell ref="BX278:BX279"/>
    <mergeCell ref="BY278:BY279"/>
    <mergeCell ref="BN275:BN276"/>
    <mergeCell ref="BO275:BO276"/>
    <mergeCell ref="BS282:BS283"/>
    <mergeCell ref="BT282:BT283"/>
    <mergeCell ref="BU282:BU283"/>
    <mergeCell ref="BV282:BV283"/>
    <mergeCell ref="BW282:BW283"/>
    <mergeCell ref="B282:B283"/>
    <mergeCell ref="C282:C283"/>
    <mergeCell ref="E282:E283"/>
    <mergeCell ref="I282:I283"/>
    <mergeCell ref="T282:T283"/>
    <mergeCell ref="AE282:AE283"/>
    <mergeCell ref="AP282:AP283"/>
    <mergeCell ref="BA282:BA283"/>
    <mergeCell ref="BL282:BL283"/>
    <mergeCell ref="CA278:CA279"/>
    <mergeCell ref="CB278:CB279"/>
    <mergeCell ref="B280:B281"/>
    <mergeCell ref="C280:C281"/>
    <mergeCell ref="E280:E281"/>
    <mergeCell ref="I280:I281"/>
    <mergeCell ref="T280:T281"/>
    <mergeCell ref="AE280:AE281"/>
    <mergeCell ref="AP280:AP281"/>
    <mergeCell ref="BA280:BA281"/>
    <mergeCell ref="BL280:BL281"/>
    <mergeCell ref="BN280:BN281"/>
    <mergeCell ref="BO280:BO281"/>
    <mergeCell ref="BP280:BP281"/>
    <mergeCell ref="BQ280:BQ281"/>
    <mergeCell ref="BS280:BS281"/>
    <mergeCell ref="BT280:BT281"/>
    <mergeCell ref="BU280:BU281"/>
    <mergeCell ref="BX286:BX287"/>
    <mergeCell ref="BY286:BY287"/>
    <mergeCell ref="CA286:CA287"/>
    <mergeCell ref="CB286:CB287"/>
    <mergeCell ref="BX282:BX283"/>
    <mergeCell ref="BY282:BY283"/>
    <mergeCell ref="CA282:CA283"/>
    <mergeCell ref="CB282:CB283"/>
    <mergeCell ref="B284:B285"/>
    <mergeCell ref="C284:C285"/>
    <mergeCell ref="E284:E285"/>
    <mergeCell ref="I284:I285"/>
    <mergeCell ref="T284:T285"/>
    <mergeCell ref="AE284:AE285"/>
    <mergeCell ref="AP284:AP285"/>
    <mergeCell ref="BA284:BA285"/>
    <mergeCell ref="BL284:BL285"/>
    <mergeCell ref="BN284:BN285"/>
    <mergeCell ref="BO284:BO285"/>
    <mergeCell ref="BP284:BP285"/>
    <mergeCell ref="BQ284:BQ285"/>
    <mergeCell ref="BS284:BS285"/>
    <mergeCell ref="BT284:BT285"/>
    <mergeCell ref="BU284:BU285"/>
    <mergeCell ref="BV284:BV285"/>
    <mergeCell ref="BW284:BW285"/>
    <mergeCell ref="BX284:BX285"/>
    <mergeCell ref="BY284:BY285"/>
    <mergeCell ref="BN282:BN283"/>
    <mergeCell ref="BO282:BO283"/>
    <mergeCell ref="BP282:BP283"/>
    <mergeCell ref="BQ282:BQ283"/>
    <mergeCell ref="BU288:BU289"/>
    <mergeCell ref="BV288:BV289"/>
    <mergeCell ref="BW288:BW289"/>
    <mergeCell ref="B288:B289"/>
    <mergeCell ref="C288:C289"/>
    <mergeCell ref="E288:E289"/>
    <mergeCell ref="I288:I289"/>
    <mergeCell ref="T288:T289"/>
    <mergeCell ref="AE288:AE289"/>
    <mergeCell ref="AP288:AP289"/>
    <mergeCell ref="BA288:BA289"/>
    <mergeCell ref="BL288:BL289"/>
    <mergeCell ref="CA284:CA285"/>
    <mergeCell ref="CB284:CB285"/>
    <mergeCell ref="B286:B287"/>
    <mergeCell ref="C286:C287"/>
    <mergeCell ref="E286:E287"/>
    <mergeCell ref="I286:I287"/>
    <mergeCell ref="T286:T287"/>
    <mergeCell ref="AE286:AE287"/>
    <mergeCell ref="AP286:AP287"/>
    <mergeCell ref="BA286:BA287"/>
    <mergeCell ref="BL286:BL287"/>
    <mergeCell ref="BN286:BN287"/>
    <mergeCell ref="BO286:BO287"/>
    <mergeCell ref="BP286:BP287"/>
    <mergeCell ref="BQ286:BQ287"/>
    <mergeCell ref="BS286:BS287"/>
    <mergeCell ref="BT286:BT287"/>
    <mergeCell ref="BU286:BU287"/>
    <mergeCell ref="BV286:BV287"/>
    <mergeCell ref="BW286:BW287"/>
    <mergeCell ref="CA292:CA293"/>
    <mergeCell ref="CB292:CB293"/>
    <mergeCell ref="BX288:BX289"/>
    <mergeCell ref="BY288:BY289"/>
    <mergeCell ref="CA288:CA289"/>
    <mergeCell ref="CB288:CB289"/>
    <mergeCell ref="B290:B291"/>
    <mergeCell ref="C290:C291"/>
    <mergeCell ref="E290:E291"/>
    <mergeCell ref="I290:I291"/>
    <mergeCell ref="T290:T291"/>
    <mergeCell ref="AE290:AE291"/>
    <mergeCell ref="AP290:AP291"/>
    <mergeCell ref="BA290:BA291"/>
    <mergeCell ref="BL290:BL291"/>
    <mergeCell ref="BN290:BN291"/>
    <mergeCell ref="BO290:BO291"/>
    <mergeCell ref="BP290:BP291"/>
    <mergeCell ref="BQ290:BQ291"/>
    <mergeCell ref="BS290:BS291"/>
    <mergeCell ref="BT290:BT291"/>
    <mergeCell ref="BU290:BU291"/>
    <mergeCell ref="BV290:BV291"/>
    <mergeCell ref="BW290:BW291"/>
    <mergeCell ref="BX290:BX291"/>
    <mergeCell ref="BY290:BY291"/>
    <mergeCell ref="BN288:BN289"/>
    <mergeCell ref="BO288:BO289"/>
    <mergeCell ref="BP288:BP289"/>
    <mergeCell ref="BQ288:BQ289"/>
    <mergeCell ref="BS288:BS289"/>
    <mergeCell ref="BT288:BT289"/>
    <mergeCell ref="BW294:BW295"/>
    <mergeCell ref="B294:B295"/>
    <mergeCell ref="C294:C295"/>
    <mergeCell ref="E294:E295"/>
    <mergeCell ref="I294:I295"/>
    <mergeCell ref="T294:T295"/>
    <mergeCell ref="AE294:AE295"/>
    <mergeCell ref="AP294:AP295"/>
    <mergeCell ref="BA294:BA295"/>
    <mergeCell ref="BL294:BL295"/>
    <mergeCell ref="CA290:CA291"/>
    <mergeCell ref="CB290:CB291"/>
    <mergeCell ref="B292:B293"/>
    <mergeCell ref="C292:C293"/>
    <mergeCell ref="E292:E293"/>
    <mergeCell ref="I292:I293"/>
    <mergeCell ref="T292:T293"/>
    <mergeCell ref="AE292:AE293"/>
    <mergeCell ref="AP292:AP293"/>
    <mergeCell ref="BA292:BA293"/>
    <mergeCell ref="BL292:BL293"/>
    <mergeCell ref="BN292:BN293"/>
    <mergeCell ref="BO292:BO293"/>
    <mergeCell ref="BP292:BP293"/>
    <mergeCell ref="BQ292:BQ293"/>
    <mergeCell ref="BS292:BS293"/>
    <mergeCell ref="BT292:BT293"/>
    <mergeCell ref="BU292:BU293"/>
    <mergeCell ref="BV292:BV293"/>
    <mergeCell ref="BW292:BW293"/>
    <mergeCell ref="BX292:BX293"/>
    <mergeCell ref="BY292:BY293"/>
    <mergeCell ref="BX294:BX295"/>
    <mergeCell ref="BY294:BY295"/>
    <mergeCell ref="CA294:CA295"/>
    <mergeCell ref="CB294:CB295"/>
    <mergeCell ref="B296:B297"/>
    <mergeCell ref="C296:C297"/>
    <mergeCell ref="E296:E297"/>
    <mergeCell ref="I296:I297"/>
    <mergeCell ref="T296:T297"/>
    <mergeCell ref="AE296:AE297"/>
    <mergeCell ref="AP296:AP297"/>
    <mergeCell ref="BA296:BA297"/>
    <mergeCell ref="BL296:BL297"/>
    <mergeCell ref="BN296:BN297"/>
    <mergeCell ref="BO296:BO297"/>
    <mergeCell ref="BP296:BP297"/>
    <mergeCell ref="BQ296:BQ297"/>
    <mergeCell ref="BS296:BS297"/>
    <mergeCell ref="BT296:BT297"/>
    <mergeCell ref="BU296:BU297"/>
    <mergeCell ref="BV296:BV297"/>
    <mergeCell ref="BW296:BW297"/>
    <mergeCell ref="BX296:BX297"/>
    <mergeCell ref="BY296:BY297"/>
    <mergeCell ref="BN294:BN295"/>
    <mergeCell ref="BO294:BO295"/>
    <mergeCell ref="BP294:BP295"/>
    <mergeCell ref="BQ294:BQ295"/>
    <mergeCell ref="BS294:BS295"/>
    <mergeCell ref="BT294:BT295"/>
    <mergeCell ref="BU294:BU295"/>
    <mergeCell ref="BV294:BV295"/>
    <mergeCell ref="CA296:CA297"/>
    <mergeCell ref="CB296:CB297"/>
    <mergeCell ref="B299:B300"/>
    <mergeCell ref="C299:C300"/>
    <mergeCell ref="E299:E300"/>
    <mergeCell ref="I299:I300"/>
    <mergeCell ref="T299:T300"/>
    <mergeCell ref="AE299:AE300"/>
    <mergeCell ref="AP299:AP300"/>
    <mergeCell ref="BA299:BA300"/>
    <mergeCell ref="BL299:BL300"/>
    <mergeCell ref="BN299:BN300"/>
    <mergeCell ref="BO299:BO300"/>
    <mergeCell ref="BP299:BP300"/>
    <mergeCell ref="BQ299:BQ300"/>
    <mergeCell ref="BS299:BS300"/>
    <mergeCell ref="BT299:BT300"/>
    <mergeCell ref="BU299:BU300"/>
    <mergeCell ref="BV299:BV300"/>
    <mergeCell ref="BW299:BW300"/>
    <mergeCell ref="BX299:BX300"/>
    <mergeCell ref="BY299:BY300"/>
    <mergeCell ref="CA299:CA300"/>
    <mergeCell ref="CB299:CB300"/>
    <mergeCell ref="B304:B305"/>
    <mergeCell ref="C304:C305"/>
    <mergeCell ref="E304:E305"/>
    <mergeCell ref="I304:I305"/>
    <mergeCell ref="T304:T305"/>
    <mergeCell ref="AE304:AE305"/>
    <mergeCell ref="AP304:AP305"/>
    <mergeCell ref="BA304:BA305"/>
    <mergeCell ref="BL304:BL305"/>
    <mergeCell ref="I307:I308"/>
    <mergeCell ref="T307:T308"/>
    <mergeCell ref="BA307:BA308"/>
    <mergeCell ref="BL307:BL308"/>
    <mergeCell ref="BN307:BN308"/>
    <mergeCell ref="BO307:BO308"/>
    <mergeCell ref="BP307:BP308"/>
    <mergeCell ref="BQ307:BQ308"/>
    <mergeCell ref="B307:B308"/>
    <mergeCell ref="C307:C308"/>
    <mergeCell ref="E307:E308"/>
    <mergeCell ref="AE307:AE308"/>
    <mergeCell ref="AP307:AP308"/>
    <mergeCell ref="BA314:BA315"/>
    <mergeCell ref="BL314:BL315"/>
    <mergeCell ref="CA310:CA311"/>
    <mergeCell ref="CB310:CB311"/>
    <mergeCell ref="BX304:BX305"/>
    <mergeCell ref="BY304:BY305"/>
    <mergeCell ref="CA304:CA305"/>
    <mergeCell ref="CB304:CB305"/>
    <mergeCell ref="BN304:BN305"/>
    <mergeCell ref="BO304:BO305"/>
    <mergeCell ref="BP304:BP305"/>
    <mergeCell ref="BQ304:BQ305"/>
    <mergeCell ref="BS304:BS305"/>
    <mergeCell ref="BT304:BT305"/>
    <mergeCell ref="BU304:BU305"/>
    <mergeCell ref="BV304:BV305"/>
    <mergeCell ref="BW304:BW305"/>
    <mergeCell ref="BS307:BS308"/>
    <mergeCell ref="BT307:BT308"/>
    <mergeCell ref="BU307:BU308"/>
    <mergeCell ref="BV307:BV308"/>
    <mergeCell ref="CA320:CA321"/>
    <mergeCell ref="CB320:CB321"/>
    <mergeCell ref="BW314:BW315"/>
    <mergeCell ref="BX314:BX315"/>
    <mergeCell ref="BY314:BY315"/>
    <mergeCell ref="B310:B311"/>
    <mergeCell ref="C310:C311"/>
    <mergeCell ref="E310:E311"/>
    <mergeCell ref="I310:I311"/>
    <mergeCell ref="T310:T311"/>
    <mergeCell ref="AE310:AE311"/>
    <mergeCell ref="AP310:AP311"/>
    <mergeCell ref="BA310:BA311"/>
    <mergeCell ref="BL310:BL311"/>
    <mergeCell ref="BN310:BN311"/>
    <mergeCell ref="BO310:BO311"/>
    <mergeCell ref="BP310:BP311"/>
    <mergeCell ref="BQ310:BQ311"/>
    <mergeCell ref="BS310:BS311"/>
    <mergeCell ref="BT310:BT311"/>
    <mergeCell ref="BU310:BU311"/>
    <mergeCell ref="BV310:BV311"/>
    <mergeCell ref="BW310:BW311"/>
    <mergeCell ref="BX310:BX311"/>
    <mergeCell ref="BY310:BY311"/>
    <mergeCell ref="B314:B315"/>
    <mergeCell ref="C314:C315"/>
    <mergeCell ref="E314:E315"/>
    <mergeCell ref="I314:I315"/>
    <mergeCell ref="T314:T315"/>
    <mergeCell ref="AE314:AE315"/>
    <mergeCell ref="AP314:AP315"/>
    <mergeCell ref="AE395:AE396"/>
    <mergeCell ref="AP395:AP396"/>
    <mergeCell ref="BN314:BN315"/>
    <mergeCell ref="BO314:BO315"/>
    <mergeCell ref="BP314:BP315"/>
    <mergeCell ref="BQ314:BQ315"/>
    <mergeCell ref="BS314:BS315"/>
    <mergeCell ref="BT314:BT315"/>
    <mergeCell ref="BU314:BU315"/>
    <mergeCell ref="BV314:BV315"/>
    <mergeCell ref="CA314:CA315"/>
    <mergeCell ref="CB314:CB315"/>
    <mergeCell ref="B320:B321"/>
    <mergeCell ref="C320:C321"/>
    <mergeCell ref="E320:E321"/>
    <mergeCell ref="I320:I321"/>
    <mergeCell ref="T320:T321"/>
    <mergeCell ref="AE320:AE321"/>
    <mergeCell ref="AP320:AP321"/>
    <mergeCell ref="BA320:BA321"/>
    <mergeCell ref="BL320:BL321"/>
    <mergeCell ref="BN320:BN321"/>
    <mergeCell ref="BO320:BO321"/>
    <mergeCell ref="BP320:BP321"/>
    <mergeCell ref="BQ320:BQ321"/>
    <mergeCell ref="BS320:BS321"/>
    <mergeCell ref="BT320:BT321"/>
    <mergeCell ref="BU320:BU321"/>
    <mergeCell ref="BV320:BV321"/>
    <mergeCell ref="BW320:BW321"/>
    <mergeCell ref="BX320:BX321"/>
    <mergeCell ref="BY320:BY321"/>
    <mergeCell ref="BS421:BS422"/>
    <mergeCell ref="AE407:AE408"/>
    <mergeCell ref="AP407:AP408"/>
    <mergeCell ref="BA407:BA408"/>
    <mergeCell ref="B318:B319"/>
    <mergeCell ref="C318:C319"/>
    <mergeCell ref="E318:E319"/>
    <mergeCell ref="I318:I319"/>
    <mergeCell ref="T318:T319"/>
    <mergeCell ref="AE318:AE319"/>
    <mergeCell ref="AP318:AP319"/>
    <mergeCell ref="BA318:BA319"/>
    <mergeCell ref="BY432:BY433"/>
    <mergeCell ref="CA432:CA433"/>
    <mergeCell ref="B393:B394"/>
    <mergeCell ref="C393:C394"/>
    <mergeCell ref="E393:E394"/>
    <mergeCell ref="I393:I394"/>
    <mergeCell ref="T393:T394"/>
    <mergeCell ref="AE393:AE394"/>
    <mergeCell ref="AP393:AP394"/>
    <mergeCell ref="BA393:BA394"/>
    <mergeCell ref="BL393:BL394"/>
    <mergeCell ref="BN393:BN394"/>
    <mergeCell ref="BO393:BO394"/>
    <mergeCell ref="BP393:BP394"/>
    <mergeCell ref="BQ393:BQ394"/>
    <mergeCell ref="BS393:BS394"/>
    <mergeCell ref="E395:E396"/>
    <mergeCell ref="I395:I396"/>
    <mergeCell ref="T395:T396"/>
    <mergeCell ref="BT393:BT394"/>
    <mergeCell ref="BN318:BN319"/>
    <mergeCell ref="BO318:BO319"/>
    <mergeCell ref="BP318:BP319"/>
    <mergeCell ref="BQ318:BQ319"/>
    <mergeCell ref="BS318:BS319"/>
    <mergeCell ref="AP432:AP433"/>
    <mergeCell ref="BA432:BA433"/>
    <mergeCell ref="BL432:BL433"/>
    <mergeCell ref="BN432:BN433"/>
    <mergeCell ref="BO432:BO433"/>
    <mergeCell ref="BP432:BP433"/>
    <mergeCell ref="BQ432:BQ433"/>
    <mergeCell ref="BS432:BS433"/>
    <mergeCell ref="BT432:BT433"/>
    <mergeCell ref="AE405:AE406"/>
    <mergeCell ref="AP405:AP406"/>
    <mergeCell ref="BA405:BA406"/>
    <mergeCell ref="BL405:BL406"/>
    <mergeCell ref="BN405:BN406"/>
    <mergeCell ref="BO405:BO406"/>
    <mergeCell ref="BP405:BP406"/>
    <mergeCell ref="BQ405:BQ406"/>
    <mergeCell ref="BS405:BS406"/>
    <mergeCell ref="BT405:BT406"/>
    <mergeCell ref="AE421:AE422"/>
    <mergeCell ref="AP421:AP422"/>
    <mergeCell ref="BA421:BA422"/>
    <mergeCell ref="BO417:BO418"/>
    <mergeCell ref="BL421:BL422"/>
    <mergeCell ref="BN421:BN422"/>
    <mergeCell ref="BO421:BO422"/>
    <mergeCell ref="BP421:BP422"/>
    <mergeCell ref="B591:B592"/>
    <mergeCell ref="C591:C592"/>
    <mergeCell ref="E591:E592"/>
    <mergeCell ref="I591:I592"/>
    <mergeCell ref="T591:T592"/>
    <mergeCell ref="AE591:AE592"/>
    <mergeCell ref="AP591:AP592"/>
    <mergeCell ref="BA591:BA592"/>
    <mergeCell ref="BL591:BL592"/>
    <mergeCell ref="BN591:BN592"/>
    <mergeCell ref="BO591:BO592"/>
    <mergeCell ref="BP591:BP592"/>
    <mergeCell ref="BQ591:BQ592"/>
    <mergeCell ref="BS591:BS592"/>
    <mergeCell ref="BT591:BT592"/>
    <mergeCell ref="BU591:BU592"/>
    <mergeCell ref="BP395:BP396"/>
    <mergeCell ref="BQ395:BQ396"/>
    <mergeCell ref="BS395:BS396"/>
    <mergeCell ref="BT395:BT396"/>
    <mergeCell ref="E432:E433"/>
    <mergeCell ref="I432:I433"/>
    <mergeCell ref="BL407:BL408"/>
    <mergeCell ref="BN407:BN408"/>
    <mergeCell ref="BO407:BO408"/>
    <mergeCell ref="BP407:BP408"/>
    <mergeCell ref="BQ407:BQ408"/>
    <mergeCell ref="BS407:BS408"/>
    <mergeCell ref="BT407:BT408"/>
    <mergeCell ref="BU407:BU408"/>
    <mergeCell ref="BP413:BP414"/>
    <mergeCell ref="BQ413:BQ414"/>
    <mergeCell ref="BL318:BL319"/>
    <mergeCell ref="BW322:BW323"/>
    <mergeCell ref="BX322:BX323"/>
    <mergeCell ref="BY322:BY323"/>
    <mergeCell ref="CA322:CA323"/>
    <mergeCell ref="CB322:CB323"/>
    <mergeCell ref="BW307:BW308"/>
    <mergeCell ref="BX307:BX308"/>
    <mergeCell ref="BY307:BY308"/>
    <mergeCell ref="CA307:CA308"/>
    <mergeCell ref="CB307:CB308"/>
    <mergeCell ref="B316:B317"/>
    <mergeCell ref="C316:C317"/>
    <mergeCell ref="E316:E317"/>
    <mergeCell ref="I316:I317"/>
    <mergeCell ref="T316:T317"/>
    <mergeCell ref="AE316:AE317"/>
    <mergeCell ref="AP316:AP317"/>
    <mergeCell ref="BA316:BA317"/>
    <mergeCell ref="BL316:BL317"/>
    <mergeCell ref="BN316:BN317"/>
    <mergeCell ref="BO316:BO317"/>
    <mergeCell ref="BP316:BP317"/>
    <mergeCell ref="BQ316:BQ317"/>
    <mergeCell ref="BS316:BS317"/>
    <mergeCell ref="BT316:BT317"/>
    <mergeCell ref="BU316:BU317"/>
    <mergeCell ref="BV316:BV317"/>
    <mergeCell ref="BW316:BW317"/>
    <mergeCell ref="BX316:BX317"/>
    <mergeCell ref="BY316:BY317"/>
    <mergeCell ref="CA316:CA317"/>
    <mergeCell ref="CB316:CB317"/>
    <mergeCell ref="BO324:BO325"/>
    <mergeCell ref="BP324:BP325"/>
    <mergeCell ref="BQ324:BQ325"/>
    <mergeCell ref="BS324:BS325"/>
    <mergeCell ref="BT324:BT325"/>
    <mergeCell ref="BU324:BU325"/>
    <mergeCell ref="BV324:BV325"/>
    <mergeCell ref="BT318:BT319"/>
    <mergeCell ref="BU318:BU319"/>
    <mergeCell ref="BV318:BV319"/>
    <mergeCell ref="BW318:BW319"/>
    <mergeCell ref="BX318:BX319"/>
    <mergeCell ref="BY318:BY319"/>
    <mergeCell ref="CA318:CA319"/>
    <mergeCell ref="CB318:CB319"/>
    <mergeCell ref="B322:B323"/>
    <mergeCell ref="C322:C323"/>
    <mergeCell ref="E322:E323"/>
    <mergeCell ref="I322:I323"/>
    <mergeCell ref="T322:T323"/>
    <mergeCell ref="AE322:AE323"/>
    <mergeCell ref="AP322:AP323"/>
    <mergeCell ref="BA322:BA323"/>
    <mergeCell ref="BL322:BL323"/>
    <mergeCell ref="BN322:BN323"/>
    <mergeCell ref="BO322:BO323"/>
    <mergeCell ref="BP322:BP323"/>
    <mergeCell ref="BQ322:BQ323"/>
    <mergeCell ref="BS322:BS323"/>
    <mergeCell ref="BT322:BT323"/>
    <mergeCell ref="BU322:BU323"/>
    <mergeCell ref="BV322:BV323"/>
    <mergeCell ref="BW324:BW325"/>
    <mergeCell ref="BX324:BX325"/>
    <mergeCell ref="BY324:BY325"/>
    <mergeCell ref="CA324:CA325"/>
    <mergeCell ref="CB324:CB325"/>
    <mergeCell ref="B326:B327"/>
    <mergeCell ref="C326:C327"/>
    <mergeCell ref="E326:E327"/>
    <mergeCell ref="I326:I327"/>
    <mergeCell ref="T326:T327"/>
    <mergeCell ref="AE326:AE327"/>
    <mergeCell ref="AP326:AP327"/>
    <mergeCell ref="BA326:BA327"/>
    <mergeCell ref="BL326:BL327"/>
    <mergeCell ref="BN326:BN327"/>
    <mergeCell ref="BO326:BO327"/>
    <mergeCell ref="BP326:BP327"/>
    <mergeCell ref="BQ326:BQ327"/>
    <mergeCell ref="BS326:BS327"/>
    <mergeCell ref="BT326:BT327"/>
    <mergeCell ref="BU326:BU327"/>
    <mergeCell ref="BV326:BV327"/>
    <mergeCell ref="B324:B325"/>
    <mergeCell ref="C324:C325"/>
    <mergeCell ref="E324:E325"/>
    <mergeCell ref="I324:I325"/>
    <mergeCell ref="T324:T325"/>
    <mergeCell ref="AE324:AE325"/>
    <mergeCell ref="AP324:AP325"/>
    <mergeCell ref="BA324:BA325"/>
    <mergeCell ref="BL324:BL325"/>
    <mergeCell ref="BN324:BN325"/>
    <mergeCell ref="BW326:BW327"/>
    <mergeCell ref="BX326:BX327"/>
    <mergeCell ref="BY326:BY327"/>
    <mergeCell ref="CA326:CA327"/>
    <mergeCell ref="CB326:CB327"/>
    <mergeCell ref="BW328:BW329"/>
    <mergeCell ref="BX328:BX329"/>
    <mergeCell ref="BY328:BY329"/>
    <mergeCell ref="CA328:CA329"/>
    <mergeCell ref="CB328:CB329"/>
    <mergeCell ref="BW330:BW331"/>
    <mergeCell ref="BX330:BX331"/>
    <mergeCell ref="BY330:BY331"/>
    <mergeCell ref="CA330:CA331"/>
    <mergeCell ref="CB330:CB331"/>
    <mergeCell ref="B328:B329"/>
    <mergeCell ref="C328:C329"/>
    <mergeCell ref="E328:E329"/>
    <mergeCell ref="I328:I329"/>
    <mergeCell ref="T328:T329"/>
    <mergeCell ref="AE328:AE329"/>
    <mergeCell ref="AP328:AP329"/>
    <mergeCell ref="BA328:BA329"/>
    <mergeCell ref="BL328:BL329"/>
    <mergeCell ref="BN328:BN329"/>
    <mergeCell ref="BO328:BO329"/>
    <mergeCell ref="BP328:BP329"/>
    <mergeCell ref="BQ328:BQ329"/>
    <mergeCell ref="BS328:BS329"/>
    <mergeCell ref="BT328:BT329"/>
    <mergeCell ref="BU328:BU329"/>
    <mergeCell ref="BV328:BV329"/>
    <mergeCell ref="E332:E333"/>
    <mergeCell ref="I332:I333"/>
    <mergeCell ref="T332:T333"/>
    <mergeCell ref="AE332:AE333"/>
    <mergeCell ref="AP332:AP333"/>
    <mergeCell ref="BA332:BA333"/>
    <mergeCell ref="BL332:BL333"/>
    <mergeCell ref="BN332:BN333"/>
    <mergeCell ref="BO332:BO333"/>
    <mergeCell ref="BP332:BP333"/>
    <mergeCell ref="BQ332:BQ333"/>
    <mergeCell ref="BS332:BS333"/>
    <mergeCell ref="BT332:BT333"/>
    <mergeCell ref="BU332:BU333"/>
    <mergeCell ref="BV332:BV333"/>
    <mergeCell ref="BQ330:BQ331"/>
    <mergeCell ref="BS330:BS331"/>
    <mergeCell ref="BT330:BT331"/>
    <mergeCell ref="BU330:BU331"/>
    <mergeCell ref="BV330:BV331"/>
    <mergeCell ref="BO330:BO331"/>
    <mergeCell ref="BP330:BP331"/>
    <mergeCell ref="B330:B331"/>
    <mergeCell ref="C330:C331"/>
    <mergeCell ref="E330:E331"/>
    <mergeCell ref="I330:I331"/>
    <mergeCell ref="T330:T331"/>
    <mergeCell ref="B336:B337"/>
    <mergeCell ref="C336:C337"/>
    <mergeCell ref="E336:E337"/>
    <mergeCell ref="I336:I337"/>
    <mergeCell ref="T336:T337"/>
    <mergeCell ref="AE336:AE337"/>
    <mergeCell ref="AP336:AP337"/>
    <mergeCell ref="BA336:BA337"/>
    <mergeCell ref="BL336:BL337"/>
    <mergeCell ref="BN336:BN337"/>
    <mergeCell ref="AE330:AE331"/>
    <mergeCell ref="AP330:AP331"/>
    <mergeCell ref="BA330:BA331"/>
    <mergeCell ref="BL330:BL331"/>
    <mergeCell ref="BN330:BN331"/>
    <mergeCell ref="B332:B333"/>
    <mergeCell ref="C332:C333"/>
    <mergeCell ref="BP334:BP335"/>
    <mergeCell ref="BW334:BW335"/>
    <mergeCell ref="BX334:BX335"/>
    <mergeCell ref="BY334:BY335"/>
    <mergeCell ref="CA334:CA335"/>
    <mergeCell ref="CB334:CB335"/>
    <mergeCell ref="BW336:BW337"/>
    <mergeCell ref="BX336:BX337"/>
    <mergeCell ref="BY336:BY337"/>
    <mergeCell ref="CA336:CA337"/>
    <mergeCell ref="CB336:CB337"/>
    <mergeCell ref="BW338:BW339"/>
    <mergeCell ref="BX338:BX339"/>
    <mergeCell ref="BY338:BY339"/>
    <mergeCell ref="CA338:CA339"/>
    <mergeCell ref="CB338:CB339"/>
    <mergeCell ref="B334:B335"/>
    <mergeCell ref="C334:C335"/>
    <mergeCell ref="E334:E335"/>
    <mergeCell ref="I334:I335"/>
    <mergeCell ref="T334:T335"/>
    <mergeCell ref="AE334:AE335"/>
    <mergeCell ref="AP334:AP335"/>
    <mergeCell ref="BA334:BA335"/>
    <mergeCell ref="BL334:BL335"/>
    <mergeCell ref="BN334:BN335"/>
    <mergeCell ref="B338:B339"/>
    <mergeCell ref="C338:C339"/>
    <mergeCell ref="E338:E339"/>
    <mergeCell ref="I338:I339"/>
    <mergeCell ref="T338:T339"/>
    <mergeCell ref="BW332:BW333"/>
    <mergeCell ref="BX332:BX333"/>
    <mergeCell ref="BY332:BY333"/>
    <mergeCell ref="CA332:CA333"/>
    <mergeCell ref="CB332:CB333"/>
    <mergeCell ref="BQ334:BQ335"/>
    <mergeCell ref="BS334:BS335"/>
    <mergeCell ref="BT334:BT335"/>
    <mergeCell ref="BU334:BU335"/>
    <mergeCell ref="BV334:BV335"/>
    <mergeCell ref="BS340:BS341"/>
    <mergeCell ref="BT340:BT341"/>
    <mergeCell ref="BU340:BU341"/>
    <mergeCell ref="BV340:BV341"/>
    <mergeCell ref="AE338:AE339"/>
    <mergeCell ref="AP338:AP339"/>
    <mergeCell ref="BA338:BA339"/>
    <mergeCell ref="BL338:BL339"/>
    <mergeCell ref="BN338:BN339"/>
    <mergeCell ref="BO338:BO339"/>
    <mergeCell ref="BP338:BP339"/>
    <mergeCell ref="BQ338:BQ339"/>
    <mergeCell ref="BS338:BS339"/>
    <mergeCell ref="BT338:BT339"/>
    <mergeCell ref="BU338:BU339"/>
    <mergeCell ref="BV338:BV339"/>
    <mergeCell ref="BW340:BW341"/>
    <mergeCell ref="BX340:BX341"/>
    <mergeCell ref="BY340:BY341"/>
    <mergeCell ref="CA340:CA341"/>
    <mergeCell ref="CB340:CB341"/>
    <mergeCell ref="BO334:BO335"/>
    <mergeCell ref="B342:B343"/>
    <mergeCell ref="C342:C343"/>
    <mergeCell ref="E342:E343"/>
    <mergeCell ref="I342:I343"/>
    <mergeCell ref="T342:T343"/>
    <mergeCell ref="AE342:AE343"/>
    <mergeCell ref="AP342:AP343"/>
    <mergeCell ref="BA342:BA343"/>
    <mergeCell ref="BL342:BL343"/>
    <mergeCell ref="BN342:BN343"/>
    <mergeCell ref="BO342:BO343"/>
    <mergeCell ref="BP342:BP343"/>
    <mergeCell ref="B340:B341"/>
    <mergeCell ref="C340:C341"/>
    <mergeCell ref="E340:E341"/>
    <mergeCell ref="I340:I341"/>
    <mergeCell ref="T340:T341"/>
    <mergeCell ref="BW342:BW343"/>
    <mergeCell ref="BX342:BX343"/>
    <mergeCell ref="BY342:BY343"/>
    <mergeCell ref="CA342:CA343"/>
    <mergeCell ref="CB342:CB343"/>
    <mergeCell ref="BW344:BW345"/>
    <mergeCell ref="BX344:BX345"/>
    <mergeCell ref="BY344:BY345"/>
    <mergeCell ref="CA344:CA345"/>
    <mergeCell ref="CB344:CB345"/>
    <mergeCell ref="BW346:BW347"/>
    <mergeCell ref="BX346:BX347"/>
    <mergeCell ref="BY346:BY347"/>
    <mergeCell ref="CA346:CA347"/>
    <mergeCell ref="CB346:CB347"/>
    <mergeCell ref="B344:B345"/>
    <mergeCell ref="C344:C345"/>
    <mergeCell ref="E344:E345"/>
    <mergeCell ref="I344:I345"/>
    <mergeCell ref="T344:T345"/>
    <mergeCell ref="AE344:AE345"/>
    <mergeCell ref="AP344:AP345"/>
    <mergeCell ref="BA344:BA345"/>
    <mergeCell ref="BL344:BL345"/>
    <mergeCell ref="BN344:BN345"/>
    <mergeCell ref="BO344:BO345"/>
    <mergeCell ref="BP344:BP345"/>
    <mergeCell ref="BQ344:BQ345"/>
    <mergeCell ref="BS344:BS345"/>
    <mergeCell ref="BT344:BT345"/>
    <mergeCell ref="BU344:BU345"/>
    <mergeCell ref="BV344:BV345"/>
    <mergeCell ref="AE348:AE349"/>
    <mergeCell ref="AP348:AP349"/>
    <mergeCell ref="BA348:BA349"/>
    <mergeCell ref="BL348:BL349"/>
    <mergeCell ref="BN348:BN349"/>
    <mergeCell ref="BO348:BO349"/>
    <mergeCell ref="BP348:BP349"/>
    <mergeCell ref="BQ348:BQ349"/>
    <mergeCell ref="BS348:BS349"/>
    <mergeCell ref="BT348:BT349"/>
    <mergeCell ref="BU348:BU349"/>
    <mergeCell ref="BV348:BV349"/>
    <mergeCell ref="AE346:AE347"/>
    <mergeCell ref="AP346:AP347"/>
    <mergeCell ref="BA346:BA347"/>
    <mergeCell ref="BL346:BL347"/>
    <mergeCell ref="BN346:BN347"/>
    <mergeCell ref="BO346:BO347"/>
    <mergeCell ref="BP346:BP347"/>
    <mergeCell ref="BQ346:BQ347"/>
    <mergeCell ref="BS346:BS347"/>
    <mergeCell ref="BT346:BT347"/>
    <mergeCell ref="BU346:BU347"/>
    <mergeCell ref="BV346:BV347"/>
    <mergeCell ref="BW348:BW349"/>
    <mergeCell ref="BX348:BX349"/>
    <mergeCell ref="BY348:BY349"/>
    <mergeCell ref="CA348:CA349"/>
    <mergeCell ref="CB348:CB349"/>
    <mergeCell ref="B346:B347"/>
    <mergeCell ref="C346:C347"/>
    <mergeCell ref="E346:E347"/>
    <mergeCell ref="I346:I347"/>
    <mergeCell ref="T346:T347"/>
    <mergeCell ref="B350:B351"/>
    <mergeCell ref="C350:C351"/>
    <mergeCell ref="E350:E351"/>
    <mergeCell ref="I350:I351"/>
    <mergeCell ref="T350:T351"/>
    <mergeCell ref="AE350:AE351"/>
    <mergeCell ref="AP350:AP351"/>
    <mergeCell ref="BA350:BA351"/>
    <mergeCell ref="BL350:BL351"/>
    <mergeCell ref="BN350:BN351"/>
    <mergeCell ref="BO350:BO351"/>
    <mergeCell ref="BP350:BP351"/>
    <mergeCell ref="BQ350:BQ351"/>
    <mergeCell ref="BS350:BS351"/>
    <mergeCell ref="BT350:BT351"/>
    <mergeCell ref="BU350:BU351"/>
    <mergeCell ref="BV350:BV351"/>
    <mergeCell ref="B348:B349"/>
    <mergeCell ref="C348:C349"/>
    <mergeCell ref="E348:E349"/>
    <mergeCell ref="I348:I349"/>
    <mergeCell ref="T348:T349"/>
    <mergeCell ref="B354:B355"/>
    <mergeCell ref="C354:C355"/>
    <mergeCell ref="E354:E355"/>
    <mergeCell ref="I354:I355"/>
    <mergeCell ref="T354:T355"/>
    <mergeCell ref="AE354:AE355"/>
    <mergeCell ref="AP354:AP355"/>
    <mergeCell ref="BA354:BA355"/>
    <mergeCell ref="BL354:BL355"/>
    <mergeCell ref="BN354:BN355"/>
    <mergeCell ref="BO354:BO355"/>
    <mergeCell ref="BP354:BP355"/>
    <mergeCell ref="BQ354:BQ355"/>
    <mergeCell ref="BS354:BS355"/>
    <mergeCell ref="BT354:BT355"/>
    <mergeCell ref="BU354:BU355"/>
    <mergeCell ref="BV354:BV355"/>
    <mergeCell ref="B352:B353"/>
    <mergeCell ref="C352:C353"/>
    <mergeCell ref="E352:E353"/>
    <mergeCell ref="CA356:CA357"/>
    <mergeCell ref="CB356:CB357"/>
    <mergeCell ref="B358:B359"/>
    <mergeCell ref="C358:C359"/>
    <mergeCell ref="E358:E359"/>
    <mergeCell ref="I358:I359"/>
    <mergeCell ref="T358:T359"/>
    <mergeCell ref="AE358:AE359"/>
    <mergeCell ref="AP358:AP359"/>
    <mergeCell ref="BA358:BA359"/>
    <mergeCell ref="BL358:BL359"/>
    <mergeCell ref="BN358:BN359"/>
    <mergeCell ref="BO358:BO359"/>
    <mergeCell ref="BP358:BP359"/>
    <mergeCell ref="BQ358:BQ359"/>
    <mergeCell ref="BS358:BS359"/>
    <mergeCell ref="BT358:BT359"/>
    <mergeCell ref="BU358:BU359"/>
    <mergeCell ref="BV358:BV359"/>
    <mergeCell ref="BW358:BW359"/>
    <mergeCell ref="BX358:BX359"/>
    <mergeCell ref="BY358:BY359"/>
    <mergeCell ref="CA358:CA359"/>
    <mergeCell ref="CB358:CB359"/>
    <mergeCell ref="BU356:BU357"/>
    <mergeCell ref="BV356:BV357"/>
    <mergeCell ref="BW356:BW357"/>
    <mergeCell ref="BX356:BX357"/>
    <mergeCell ref="BY356:BY357"/>
    <mergeCell ref="BP356:BP357"/>
    <mergeCell ref="BQ356:BQ357"/>
    <mergeCell ref="BS356:BS357"/>
    <mergeCell ref="BT356:BT357"/>
    <mergeCell ref="BW360:BW361"/>
    <mergeCell ref="BX360:BX361"/>
    <mergeCell ref="BY360:BY361"/>
    <mergeCell ref="B356:B357"/>
    <mergeCell ref="C356:C357"/>
    <mergeCell ref="E356:E357"/>
    <mergeCell ref="I356:I357"/>
    <mergeCell ref="T356:T357"/>
    <mergeCell ref="AE356:AE357"/>
    <mergeCell ref="AP356:AP357"/>
    <mergeCell ref="BA356:BA357"/>
    <mergeCell ref="AE360:AE361"/>
    <mergeCell ref="AP360:AP361"/>
    <mergeCell ref="BA360:BA361"/>
    <mergeCell ref="BL360:BL361"/>
    <mergeCell ref="BN360:BN361"/>
    <mergeCell ref="BO360:BO361"/>
    <mergeCell ref="BP360:BP361"/>
    <mergeCell ref="BQ360:BQ361"/>
    <mergeCell ref="BS360:BS361"/>
    <mergeCell ref="CA360:CA361"/>
    <mergeCell ref="CB360:CB361"/>
    <mergeCell ref="B362:B363"/>
    <mergeCell ref="C362:C363"/>
    <mergeCell ref="E362:E363"/>
    <mergeCell ref="I362:I363"/>
    <mergeCell ref="T362:T363"/>
    <mergeCell ref="AE362:AE363"/>
    <mergeCell ref="AP362:AP363"/>
    <mergeCell ref="BA362:BA363"/>
    <mergeCell ref="BL362:BL363"/>
    <mergeCell ref="BN362:BN363"/>
    <mergeCell ref="BO362:BO363"/>
    <mergeCell ref="BP362:BP363"/>
    <mergeCell ref="BQ362:BQ363"/>
    <mergeCell ref="BS362:BS363"/>
    <mergeCell ref="BT362:BT363"/>
    <mergeCell ref="BU362:BU363"/>
    <mergeCell ref="BV362:BV363"/>
    <mergeCell ref="BW362:BW363"/>
    <mergeCell ref="BX362:BX363"/>
    <mergeCell ref="BY362:BY363"/>
    <mergeCell ref="CA362:CA363"/>
    <mergeCell ref="CB362:CB363"/>
    <mergeCell ref="B360:B361"/>
    <mergeCell ref="C360:C361"/>
    <mergeCell ref="E360:E361"/>
    <mergeCell ref="I360:I361"/>
    <mergeCell ref="T360:T361"/>
    <mergeCell ref="BT360:BT361"/>
    <mergeCell ref="BU360:BU361"/>
    <mergeCell ref="BV360:BV361"/>
    <mergeCell ref="BT364:BT365"/>
    <mergeCell ref="BU364:BU365"/>
    <mergeCell ref="BV364:BV365"/>
    <mergeCell ref="BW364:BW365"/>
    <mergeCell ref="BX364:BX365"/>
    <mergeCell ref="BY364:BY365"/>
    <mergeCell ref="CA364:CA365"/>
    <mergeCell ref="CB364:CB365"/>
    <mergeCell ref="B366:B367"/>
    <mergeCell ref="C366:C367"/>
    <mergeCell ref="E366:E367"/>
    <mergeCell ref="I366:I367"/>
    <mergeCell ref="T366:T367"/>
    <mergeCell ref="AE366:AE367"/>
    <mergeCell ref="AP366:AP367"/>
    <mergeCell ref="BA366:BA367"/>
    <mergeCell ref="BL366:BL367"/>
    <mergeCell ref="BN366:BN367"/>
    <mergeCell ref="BO366:BO367"/>
    <mergeCell ref="BP366:BP367"/>
    <mergeCell ref="BQ366:BQ367"/>
    <mergeCell ref="BS366:BS367"/>
    <mergeCell ref="BT366:BT367"/>
    <mergeCell ref="BU366:BU367"/>
    <mergeCell ref="BV366:BV367"/>
    <mergeCell ref="BW366:BW367"/>
    <mergeCell ref="BX366:BX367"/>
    <mergeCell ref="BY366:BY367"/>
    <mergeCell ref="CA366:CA367"/>
    <mergeCell ref="CB366:CB367"/>
    <mergeCell ref="B364:B365"/>
    <mergeCell ref="C364:C365"/>
    <mergeCell ref="BQ372:BQ373"/>
    <mergeCell ref="BS372:BS373"/>
    <mergeCell ref="BT372:BT373"/>
    <mergeCell ref="BU372:BU373"/>
    <mergeCell ref="BV372:BV373"/>
    <mergeCell ref="B370:B371"/>
    <mergeCell ref="C370:C371"/>
    <mergeCell ref="E370:E371"/>
    <mergeCell ref="I370:I371"/>
    <mergeCell ref="T370:T371"/>
    <mergeCell ref="AE370:AE371"/>
    <mergeCell ref="AP370:AP371"/>
    <mergeCell ref="BA370:BA371"/>
    <mergeCell ref="BL370:BL371"/>
    <mergeCell ref="BN370:BN371"/>
    <mergeCell ref="BO370:BO371"/>
    <mergeCell ref="BP370:BP371"/>
    <mergeCell ref="BQ370:BQ371"/>
    <mergeCell ref="BS370:BS371"/>
    <mergeCell ref="BT370:BT371"/>
    <mergeCell ref="BU370:BU371"/>
    <mergeCell ref="BV370:BV371"/>
    <mergeCell ref="CA372:CA373"/>
    <mergeCell ref="CB372:CB373"/>
    <mergeCell ref="B374:B375"/>
    <mergeCell ref="C374:C375"/>
    <mergeCell ref="E374:E375"/>
    <mergeCell ref="I374:I375"/>
    <mergeCell ref="T374:T375"/>
    <mergeCell ref="AE374:AE375"/>
    <mergeCell ref="AP374:AP375"/>
    <mergeCell ref="BA374:BA375"/>
    <mergeCell ref="BL374:BL375"/>
    <mergeCell ref="BN374:BN375"/>
    <mergeCell ref="BO374:BO375"/>
    <mergeCell ref="BP374:BP375"/>
    <mergeCell ref="BQ374:BQ375"/>
    <mergeCell ref="BS374:BS375"/>
    <mergeCell ref="BT374:BT375"/>
    <mergeCell ref="BU374:BU375"/>
    <mergeCell ref="BV374:BV375"/>
    <mergeCell ref="BW374:BW375"/>
    <mergeCell ref="BX374:BX375"/>
    <mergeCell ref="BY374:BY375"/>
    <mergeCell ref="CA374:CA375"/>
    <mergeCell ref="CB374:CB375"/>
    <mergeCell ref="B372:B373"/>
    <mergeCell ref="C372:C373"/>
    <mergeCell ref="E372:E373"/>
    <mergeCell ref="I372:I373"/>
    <mergeCell ref="T372:T373"/>
    <mergeCell ref="AE372:AE373"/>
    <mergeCell ref="AP372:AP373"/>
    <mergeCell ref="BA372:BA373"/>
    <mergeCell ref="CA376:CA377"/>
    <mergeCell ref="CB376:CB377"/>
    <mergeCell ref="B378:B379"/>
    <mergeCell ref="C378:C379"/>
    <mergeCell ref="E378:E379"/>
    <mergeCell ref="I378:I379"/>
    <mergeCell ref="T378:T379"/>
    <mergeCell ref="AE378:AE379"/>
    <mergeCell ref="AP378:AP379"/>
    <mergeCell ref="BA378:BA379"/>
    <mergeCell ref="BL378:BL379"/>
    <mergeCell ref="BN378:BN379"/>
    <mergeCell ref="BO378:BO379"/>
    <mergeCell ref="BP378:BP379"/>
    <mergeCell ref="BQ378:BQ379"/>
    <mergeCell ref="BS378:BS379"/>
    <mergeCell ref="BT378:BT379"/>
    <mergeCell ref="BU378:BU379"/>
    <mergeCell ref="BV378:BV379"/>
    <mergeCell ref="BW378:BW379"/>
    <mergeCell ref="BX378:BX379"/>
    <mergeCell ref="BY378:BY379"/>
    <mergeCell ref="CA378:CA379"/>
    <mergeCell ref="CB378:CB379"/>
    <mergeCell ref="BV376:BV377"/>
    <mergeCell ref="BW376:BW377"/>
    <mergeCell ref="BX376:BX377"/>
    <mergeCell ref="BY376:BY377"/>
    <mergeCell ref="CA380:CA381"/>
    <mergeCell ref="CB380:CB381"/>
    <mergeCell ref="B382:B383"/>
    <mergeCell ref="C382:C383"/>
    <mergeCell ref="E382:E383"/>
    <mergeCell ref="I382:I383"/>
    <mergeCell ref="T382:T383"/>
    <mergeCell ref="AE382:AE383"/>
    <mergeCell ref="AP382:AP383"/>
    <mergeCell ref="BA382:BA383"/>
    <mergeCell ref="BL382:BL383"/>
    <mergeCell ref="BN382:BN383"/>
    <mergeCell ref="BO382:BO383"/>
    <mergeCell ref="BP382:BP383"/>
    <mergeCell ref="BQ382:BQ383"/>
    <mergeCell ref="BS382:BS383"/>
    <mergeCell ref="BT382:BT383"/>
    <mergeCell ref="BU382:BU383"/>
    <mergeCell ref="BV382:BV383"/>
    <mergeCell ref="BW382:BW383"/>
    <mergeCell ref="BX382:BX383"/>
    <mergeCell ref="BY382:BY383"/>
    <mergeCell ref="CA382:CA383"/>
    <mergeCell ref="CB382:CB383"/>
    <mergeCell ref="B380:B381"/>
    <mergeCell ref="C380:C381"/>
    <mergeCell ref="E380:E381"/>
    <mergeCell ref="I380:I381"/>
    <mergeCell ref="T380:T381"/>
    <mergeCell ref="AE380:AE381"/>
    <mergeCell ref="AP380:AP381"/>
    <mergeCell ref="BA380:BA381"/>
    <mergeCell ref="BL384:BL385"/>
    <mergeCell ref="BN384:BN385"/>
    <mergeCell ref="BO384:BO385"/>
    <mergeCell ref="BP384:BP385"/>
    <mergeCell ref="BQ384:BQ385"/>
    <mergeCell ref="BS384:BS385"/>
    <mergeCell ref="BT384:BT385"/>
    <mergeCell ref="BU384:BU385"/>
    <mergeCell ref="BV384:BV385"/>
    <mergeCell ref="BU380:BU381"/>
    <mergeCell ref="BV380:BV381"/>
    <mergeCell ref="BW380:BW381"/>
    <mergeCell ref="BX380:BX381"/>
    <mergeCell ref="BY380:BY381"/>
    <mergeCell ref="BL380:BL381"/>
    <mergeCell ref="BN380:BN381"/>
    <mergeCell ref="BO380:BO381"/>
    <mergeCell ref="BP380:BP381"/>
    <mergeCell ref="BQ380:BQ381"/>
    <mergeCell ref="BS380:BS381"/>
    <mergeCell ref="BT380:BT381"/>
    <mergeCell ref="BW384:BW385"/>
    <mergeCell ref="BX384:BX385"/>
    <mergeCell ref="BY384:BY385"/>
    <mergeCell ref="CA384:CA385"/>
    <mergeCell ref="CB384:CB385"/>
    <mergeCell ref="B386:B387"/>
    <mergeCell ref="C386:C387"/>
    <mergeCell ref="E386:E387"/>
    <mergeCell ref="I386:I387"/>
    <mergeCell ref="T386:T387"/>
    <mergeCell ref="AE386:AE387"/>
    <mergeCell ref="AP386:AP387"/>
    <mergeCell ref="BA386:BA387"/>
    <mergeCell ref="BL386:BL387"/>
    <mergeCell ref="BN386:BN387"/>
    <mergeCell ref="BO386:BO387"/>
    <mergeCell ref="BP386:BP387"/>
    <mergeCell ref="BQ386:BQ387"/>
    <mergeCell ref="BS386:BS387"/>
    <mergeCell ref="BT386:BT387"/>
    <mergeCell ref="BU386:BU387"/>
    <mergeCell ref="BV386:BV387"/>
    <mergeCell ref="BW386:BW387"/>
    <mergeCell ref="BX386:BX387"/>
    <mergeCell ref="BY386:BY387"/>
    <mergeCell ref="CA386:CA387"/>
    <mergeCell ref="CB386:CB387"/>
    <mergeCell ref="B384:B385"/>
    <mergeCell ref="C384:C385"/>
    <mergeCell ref="E384:E385"/>
    <mergeCell ref="I384:I385"/>
    <mergeCell ref="T384:T385"/>
    <mergeCell ref="AE384:AE385"/>
    <mergeCell ref="AP384:AP385"/>
    <mergeCell ref="BA384:BA385"/>
    <mergeCell ref="B388:B389"/>
    <mergeCell ref="C388:C389"/>
    <mergeCell ref="E388:E389"/>
    <mergeCell ref="I388:I389"/>
    <mergeCell ref="T388:T389"/>
    <mergeCell ref="AE388:AE389"/>
    <mergeCell ref="AP388:AP389"/>
    <mergeCell ref="BA388:BA389"/>
    <mergeCell ref="BL388:BL389"/>
    <mergeCell ref="BN388:BN389"/>
    <mergeCell ref="BO388:BO389"/>
    <mergeCell ref="BP388:BP389"/>
    <mergeCell ref="BQ388:BQ389"/>
    <mergeCell ref="BS388:BS389"/>
    <mergeCell ref="BT388:BT389"/>
    <mergeCell ref="BU388:BU389"/>
    <mergeCell ref="BV388:BV389"/>
    <mergeCell ref="CA405:CA406"/>
    <mergeCell ref="CB405:CB406"/>
    <mergeCell ref="B390:B391"/>
    <mergeCell ref="C390:C391"/>
    <mergeCell ref="E390:E391"/>
    <mergeCell ref="I390:I391"/>
    <mergeCell ref="T390:T391"/>
    <mergeCell ref="AE390:AE391"/>
    <mergeCell ref="AP390:AP391"/>
    <mergeCell ref="BA390:BA391"/>
    <mergeCell ref="BL390:BL391"/>
    <mergeCell ref="BN390:BN391"/>
    <mergeCell ref="BO390:BO391"/>
    <mergeCell ref="BP390:BP391"/>
    <mergeCell ref="BQ390:BQ391"/>
    <mergeCell ref="BS390:BS391"/>
    <mergeCell ref="BT390:BT391"/>
    <mergeCell ref="BU390:BU391"/>
    <mergeCell ref="BV390:BV391"/>
    <mergeCell ref="BS401:BS402"/>
    <mergeCell ref="BT401:BT402"/>
    <mergeCell ref="CA395:CA396"/>
    <mergeCell ref="CB395:CB396"/>
    <mergeCell ref="B397:B398"/>
    <mergeCell ref="C397:C398"/>
    <mergeCell ref="E397:E398"/>
    <mergeCell ref="I397:I398"/>
    <mergeCell ref="T397:T398"/>
    <mergeCell ref="AE397:AE398"/>
    <mergeCell ref="AP397:AP398"/>
    <mergeCell ref="BA397:BA398"/>
    <mergeCell ref="BL397:BL398"/>
    <mergeCell ref="CA388:CA389"/>
    <mergeCell ref="CB388:CB389"/>
    <mergeCell ref="BW390:BW391"/>
    <mergeCell ref="BX390:BX391"/>
    <mergeCell ref="BY390:BY391"/>
    <mergeCell ref="CA390:CA391"/>
    <mergeCell ref="CB390:CB391"/>
    <mergeCell ref="BU395:BU396"/>
    <mergeCell ref="BV395:BV396"/>
    <mergeCell ref="BW393:BW394"/>
    <mergeCell ref="BX393:BX394"/>
    <mergeCell ref="BY393:BY394"/>
    <mergeCell ref="CA393:CA394"/>
    <mergeCell ref="CB393:CB394"/>
    <mergeCell ref="BW395:BW396"/>
    <mergeCell ref="BX395:BX396"/>
    <mergeCell ref="BY395:BY396"/>
    <mergeCell ref="BU393:BU394"/>
    <mergeCell ref="BV393:BV394"/>
    <mergeCell ref="BV407:BV408"/>
    <mergeCell ref="BU405:BU406"/>
    <mergeCell ref="BV405:BV406"/>
    <mergeCell ref="BW388:BW389"/>
    <mergeCell ref="BX388:BX389"/>
    <mergeCell ref="BY388:BY389"/>
    <mergeCell ref="BW405:BW406"/>
    <mergeCell ref="BX405:BX406"/>
    <mergeCell ref="BY405:BY406"/>
    <mergeCell ref="BN397:BN398"/>
    <mergeCell ref="BO397:BO398"/>
    <mergeCell ref="BP397:BP398"/>
    <mergeCell ref="BQ397:BQ398"/>
    <mergeCell ref="BS397:BS398"/>
    <mergeCell ref="BT397:BT398"/>
    <mergeCell ref="BU397:BU398"/>
    <mergeCell ref="BV397:BV398"/>
    <mergeCell ref="BW397:BW398"/>
    <mergeCell ref="BX397:BX398"/>
    <mergeCell ref="BY397:BY398"/>
    <mergeCell ref="BW407:BW408"/>
    <mergeCell ref="BX407:BX408"/>
    <mergeCell ref="BY407:BY408"/>
    <mergeCell ref="CA407:CA408"/>
    <mergeCell ref="CB407:CB408"/>
    <mergeCell ref="B405:B406"/>
    <mergeCell ref="C405:C406"/>
    <mergeCell ref="E405:E406"/>
    <mergeCell ref="I405:I406"/>
    <mergeCell ref="T405:T406"/>
    <mergeCell ref="B409:B410"/>
    <mergeCell ref="C409:C410"/>
    <mergeCell ref="E409:E410"/>
    <mergeCell ref="I409:I410"/>
    <mergeCell ref="T409:T410"/>
    <mergeCell ref="AE409:AE410"/>
    <mergeCell ref="AP409:AP410"/>
    <mergeCell ref="BA409:BA410"/>
    <mergeCell ref="BL409:BL410"/>
    <mergeCell ref="BN409:BN410"/>
    <mergeCell ref="BO409:BO410"/>
    <mergeCell ref="BP409:BP410"/>
    <mergeCell ref="BQ409:BQ410"/>
    <mergeCell ref="BS409:BS410"/>
    <mergeCell ref="BT409:BT410"/>
    <mergeCell ref="BU409:BU410"/>
    <mergeCell ref="BV409:BV410"/>
    <mergeCell ref="B407:B408"/>
    <mergeCell ref="C407:C408"/>
    <mergeCell ref="E407:E408"/>
    <mergeCell ref="I407:I408"/>
    <mergeCell ref="T407:T408"/>
    <mergeCell ref="BW409:BW410"/>
    <mergeCell ref="BX409:BX410"/>
    <mergeCell ref="BY409:BY410"/>
    <mergeCell ref="CA409:CA410"/>
    <mergeCell ref="CB409:CB410"/>
    <mergeCell ref="B411:B412"/>
    <mergeCell ref="C411:C412"/>
    <mergeCell ref="E411:E412"/>
    <mergeCell ref="I411:I412"/>
    <mergeCell ref="T411:T412"/>
    <mergeCell ref="AE411:AE412"/>
    <mergeCell ref="AP411:AP412"/>
    <mergeCell ref="BA411:BA412"/>
    <mergeCell ref="BL411:BL412"/>
    <mergeCell ref="BN411:BN412"/>
    <mergeCell ref="BO411:BO412"/>
    <mergeCell ref="BP411:BP412"/>
    <mergeCell ref="BQ411:BQ412"/>
    <mergeCell ref="BS411:BS412"/>
    <mergeCell ref="BT411:BT412"/>
    <mergeCell ref="BU411:BU412"/>
    <mergeCell ref="BV411:BV412"/>
    <mergeCell ref="BW411:BW412"/>
    <mergeCell ref="BX411:BX412"/>
    <mergeCell ref="BY411:BY412"/>
    <mergeCell ref="CA411:CA412"/>
    <mergeCell ref="CB411:CB412"/>
    <mergeCell ref="BW413:BW414"/>
    <mergeCell ref="BX413:BX414"/>
    <mergeCell ref="BY413:BY414"/>
    <mergeCell ref="CA413:CA414"/>
    <mergeCell ref="CB413:CB414"/>
    <mergeCell ref="B415:B416"/>
    <mergeCell ref="C415:C416"/>
    <mergeCell ref="E415:E416"/>
    <mergeCell ref="I415:I416"/>
    <mergeCell ref="T415:T416"/>
    <mergeCell ref="AE415:AE416"/>
    <mergeCell ref="AP415:AP416"/>
    <mergeCell ref="BA415:BA416"/>
    <mergeCell ref="BL415:BL416"/>
    <mergeCell ref="BN415:BN416"/>
    <mergeCell ref="BO415:BO416"/>
    <mergeCell ref="BP415:BP416"/>
    <mergeCell ref="BQ415:BQ416"/>
    <mergeCell ref="BS415:BS416"/>
    <mergeCell ref="BT415:BT416"/>
    <mergeCell ref="BU415:BU416"/>
    <mergeCell ref="BV415:BV416"/>
    <mergeCell ref="BW415:BW416"/>
    <mergeCell ref="BX415:BX416"/>
    <mergeCell ref="BY415:BY416"/>
    <mergeCell ref="CA415:CA416"/>
    <mergeCell ref="B413:B414"/>
    <mergeCell ref="C413:C414"/>
    <mergeCell ref="E413:E414"/>
    <mergeCell ref="I413:I414"/>
    <mergeCell ref="T413:T414"/>
    <mergeCell ref="AE413:AE414"/>
    <mergeCell ref="BV421:BV422"/>
    <mergeCell ref="CB417:CB418"/>
    <mergeCell ref="B419:B420"/>
    <mergeCell ref="C419:C420"/>
    <mergeCell ref="E419:E420"/>
    <mergeCell ref="I419:I420"/>
    <mergeCell ref="T419:T420"/>
    <mergeCell ref="AE419:AE420"/>
    <mergeCell ref="AP419:AP420"/>
    <mergeCell ref="BA419:BA420"/>
    <mergeCell ref="BL419:BL420"/>
    <mergeCell ref="BN419:BN420"/>
    <mergeCell ref="BO419:BO420"/>
    <mergeCell ref="BP419:BP420"/>
    <mergeCell ref="BQ419:BQ420"/>
    <mergeCell ref="BS419:BS420"/>
    <mergeCell ref="BT419:BT420"/>
    <mergeCell ref="BU419:BU420"/>
    <mergeCell ref="BV419:BV420"/>
    <mergeCell ref="BW419:BW420"/>
    <mergeCell ref="BX419:BX420"/>
    <mergeCell ref="BY419:BY420"/>
    <mergeCell ref="CA419:CA420"/>
    <mergeCell ref="CB419:CB420"/>
    <mergeCell ref="I421:I422"/>
    <mergeCell ref="T421:T422"/>
    <mergeCell ref="BW421:BW422"/>
    <mergeCell ref="BX421:BX422"/>
    <mergeCell ref="BY421:BY422"/>
    <mergeCell ref="CA421:CA422"/>
    <mergeCell ref="CB421:CB422"/>
    <mergeCell ref="BQ421:BQ422"/>
    <mergeCell ref="BP440:BP441"/>
    <mergeCell ref="BQ440:BQ441"/>
    <mergeCell ref="BS440:BS441"/>
    <mergeCell ref="BT440:BT441"/>
    <mergeCell ref="BU440:BU441"/>
    <mergeCell ref="BV440:BV441"/>
    <mergeCell ref="BW440:BW441"/>
    <mergeCell ref="BX440:BX441"/>
    <mergeCell ref="BY440:BY441"/>
    <mergeCell ref="B423:B424"/>
    <mergeCell ref="C423:C424"/>
    <mergeCell ref="E423:E424"/>
    <mergeCell ref="I423:I424"/>
    <mergeCell ref="T423:T424"/>
    <mergeCell ref="AE423:AE424"/>
    <mergeCell ref="AP423:AP424"/>
    <mergeCell ref="BA423:BA424"/>
    <mergeCell ref="BL423:BL424"/>
    <mergeCell ref="BN423:BN424"/>
    <mergeCell ref="BO423:BO424"/>
    <mergeCell ref="BP423:BP424"/>
    <mergeCell ref="BQ423:BQ424"/>
    <mergeCell ref="BS423:BS424"/>
    <mergeCell ref="BT423:BT424"/>
    <mergeCell ref="BU423:BU424"/>
    <mergeCell ref="BV423:BV424"/>
    <mergeCell ref="B425:B426"/>
    <mergeCell ref="C425:C426"/>
    <mergeCell ref="E425:E426"/>
    <mergeCell ref="I425:I426"/>
    <mergeCell ref="T425:T426"/>
    <mergeCell ref="AE425:AE426"/>
    <mergeCell ref="BP444:BP445"/>
    <mergeCell ref="BQ444:BQ445"/>
    <mergeCell ref="BS444:BS445"/>
    <mergeCell ref="BT444:BT445"/>
    <mergeCell ref="BU444:BU445"/>
    <mergeCell ref="BV444:BV445"/>
    <mergeCell ref="BW444:BW445"/>
    <mergeCell ref="BX444:BX445"/>
    <mergeCell ref="BY444:BY445"/>
    <mergeCell ref="BW423:BW424"/>
    <mergeCell ref="BX423:BX424"/>
    <mergeCell ref="BY423:BY424"/>
    <mergeCell ref="CA423:CA424"/>
    <mergeCell ref="CB423:CB424"/>
    <mergeCell ref="B421:B422"/>
    <mergeCell ref="C421:C422"/>
    <mergeCell ref="E421:E422"/>
    <mergeCell ref="BT421:BT422"/>
    <mergeCell ref="BU421:BU422"/>
    <mergeCell ref="CA425:CA426"/>
    <mergeCell ref="CB425:CB426"/>
    <mergeCell ref="B440:B441"/>
    <mergeCell ref="C440:C441"/>
    <mergeCell ref="E440:E441"/>
    <mergeCell ref="I440:I441"/>
    <mergeCell ref="T440:T441"/>
    <mergeCell ref="AE440:AE441"/>
    <mergeCell ref="AP440:AP441"/>
    <mergeCell ref="BA440:BA441"/>
    <mergeCell ref="BL440:BL441"/>
    <mergeCell ref="BN440:BN441"/>
    <mergeCell ref="BO440:BO441"/>
    <mergeCell ref="BS446:BS447"/>
    <mergeCell ref="BT446:BT447"/>
    <mergeCell ref="BU446:BU447"/>
    <mergeCell ref="BV446:BV447"/>
    <mergeCell ref="BY446:BY447"/>
    <mergeCell ref="CA446:CA447"/>
    <mergeCell ref="CB446:CB447"/>
    <mergeCell ref="B448:B449"/>
    <mergeCell ref="C448:C449"/>
    <mergeCell ref="CA440:CA441"/>
    <mergeCell ref="CB440:CB441"/>
    <mergeCell ref="B432:B433"/>
    <mergeCell ref="C432:C433"/>
    <mergeCell ref="BU432:BU433"/>
    <mergeCell ref="BV432:BV433"/>
    <mergeCell ref="BW432:BW433"/>
    <mergeCell ref="BX432:BX433"/>
    <mergeCell ref="T432:T433"/>
    <mergeCell ref="AE432:AE433"/>
    <mergeCell ref="CA442:CA443"/>
    <mergeCell ref="CB442:CB443"/>
    <mergeCell ref="B444:B445"/>
    <mergeCell ref="C444:C445"/>
    <mergeCell ref="E444:E445"/>
    <mergeCell ref="I444:I445"/>
    <mergeCell ref="T444:T445"/>
    <mergeCell ref="AE444:AE445"/>
    <mergeCell ref="AP444:AP445"/>
    <mergeCell ref="BA444:BA445"/>
    <mergeCell ref="BL444:BL445"/>
    <mergeCell ref="BN444:BN445"/>
    <mergeCell ref="BO444:BO445"/>
    <mergeCell ref="BO448:BO449"/>
    <mergeCell ref="BP448:BP449"/>
    <mergeCell ref="BQ448:BQ449"/>
    <mergeCell ref="BS448:BS449"/>
    <mergeCell ref="BT448:BT449"/>
    <mergeCell ref="BU448:BU449"/>
    <mergeCell ref="BV448:BV449"/>
    <mergeCell ref="BW448:BW449"/>
    <mergeCell ref="BX448:BX449"/>
    <mergeCell ref="CA444:CA445"/>
    <mergeCell ref="CB444:CB445"/>
    <mergeCell ref="B442:B443"/>
    <mergeCell ref="C442:C443"/>
    <mergeCell ref="E442:E443"/>
    <mergeCell ref="I442:I443"/>
    <mergeCell ref="T442:T443"/>
    <mergeCell ref="AE442:AE443"/>
    <mergeCell ref="AP442:AP443"/>
    <mergeCell ref="CB448:CB449"/>
    <mergeCell ref="B446:B447"/>
    <mergeCell ref="C446:C447"/>
    <mergeCell ref="E446:E447"/>
    <mergeCell ref="I446:I447"/>
    <mergeCell ref="T446:T447"/>
    <mergeCell ref="AE446:AE447"/>
    <mergeCell ref="AP446:AP447"/>
    <mergeCell ref="BA446:BA447"/>
    <mergeCell ref="BL446:BL447"/>
    <mergeCell ref="BN446:BN447"/>
    <mergeCell ref="BO446:BO447"/>
    <mergeCell ref="BP446:BP447"/>
    <mergeCell ref="BQ446:BQ447"/>
    <mergeCell ref="BY448:BY449"/>
    <mergeCell ref="CA448:CA449"/>
    <mergeCell ref="BW452:BW453"/>
    <mergeCell ref="BX452:BX453"/>
    <mergeCell ref="BY452:BY453"/>
    <mergeCell ref="CA452:CA453"/>
    <mergeCell ref="CB452:CB453"/>
    <mergeCell ref="E450:E451"/>
    <mergeCell ref="I450:I451"/>
    <mergeCell ref="T450:T451"/>
    <mergeCell ref="AE450:AE451"/>
    <mergeCell ref="AP450:AP451"/>
    <mergeCell ref="BA450:BA451"/>
    <mergeCell ref="BL450:BL451"/>
    <mergeCell ref="BN450:BN451"/>
    <mergeCell ref="BP450:BP451"/>
    <mergeCell ref="BQ450:BQ451"/>
    <mergeCell ref="BS450:BS451"/>
    <mergeCell ref="BT450:BT451"/>
    <mergeCell ref="BU450:BU451"/>
    <mergeCell ref="BV450:BV451"/>
    <mergeCell ref="BW450:BW451"/>
    <mergeCell ref="BX450:BX451"/>
    <mergeCell ref="CA450:CA451"/>
    <mergeCell ref="E448:E449"/>
    <mergeCell ref="I448:I449"/>
    <mergeCell ref="T448:T449"/>
    <mergeCell ref="AE448:AE449"/>
    <mergeCell ref="AP448:AP449"/>
    <mergeCell ref="BA448:BA449"/>
    <mergeCell ref="BL448:BL449"/>
    <mergeCell ref="BN448:BN449"/>
    <mergeCell ref="I454:I455"/>
    <mergeCell ref="T454:T455"/>
    <mergeCell ref="AE454:AE455"/>
    <mergeCell ref="AP454:AP455"/>
    <mergeCell ref="BA454:BA455"/>
    <mergeCell ref="BL454:BL455"/>
    <mergeCell ref="BN454:BN455"/>
    <mergeCell ref="BO454:BO455"/>
    <mergeCell ref="BP454:BP455"/>
    <mergeCell ref="BQ454:BQ455"/>
    <mergeCell ref="BS454:BS455"/>
    <mergeCell ref="BT454:BT455"/>
    <mergeCell ref="BU454:BU455"/>
    <mergeCell ref="BV454:BV455"/>
    <mergeCell ref="CB450:CB451"/>
    <mergeCell ref="B452:B453"/>
    <mergeCell ref="C452:C453"/>
    <mergeCell ref="E452:E453"/>
    <mergeCell ref="I452:I453"/>
    <mergeCell ref="T452:T453"/>
    <mergeCell ref="AE452:AE453"/>
    <mergeCell ref="AP452:AP453"/>
    <mergeCell ref="BA452:BA453"/>
    <mergeCell ref="BL452:BL453"/>
    <mergeCell ref="BN452:BN453"/>
    <mergeCell ref="BO452:BO453"/>
    <mergeCell ref="BP452:BP453"/>
    <mergeCell ref="BQ452:BQ453"/>
    <mergeCell ref="BS452:BS453"/>
    <mergeCell ref="BT452:BT453"/>
    <mergeCell ref="BU452:BU453"/>
    <mergeCell ref="BV452:BV453"/>
    <mergeCell ref="CA454:CA455"/>
    <mergeCell ref="CB454:CB455"/>
    <mergeCell ref="BW456:BW457"/>
    <mergeCell ref="BX456:BX457"/>
    <mergeCell ref="BY456:BY457"/>
    <mergeCell ref="CA456:CA457"/>
    <mergeCell ref="CB456:CB457"/>
    <mergeCell ref="BW458:BW459"/>
    <mergeCell ref="BX458:BX459"/>
    <mergeCell ref="BY458:BY459"/>
    <mergeCell ref="CA458:CA459"/>
    <mergeCell ref="CB458:CB459"/>
    <mergeCell ref="B456:B457"/>
    <mergeCell ref="C456:C457"/>
    <mergeCell ref="E456:E457"/>
    <mergeCell ref="I456:I457"/>
    <mergeCell ref="T456:T457"/>
    <mergeCell ref="AE456:AE457"/>
    <mergeCell ref="AP456:AP457"/>
    <mergeCell ref="BA456:BA457"/>
    <mergeCell ref="BL456:BL457"/>
    <mergeCell ref="BN456:BN457"/>
    <mergeCell ref="BO456:BO457"/>
    <mergeCell ref="BP456:BP457"/>
    <mergeCell ref="BQ456:BQ457"/>
    <mergeCell ref="BS456:BS457"/>
    <mergeCell ref="BT456:BT457"/>
    <mergeCell ref="BU456:BU457"/>
    <mergeCell ref="BV456:BV457"/>
    <mergeCell ref="B454:B455"/>
    <mergeCell ref="C454:C455"/>
    <mergeCell ref="E454:E455"/>
    <mergeCell ref="BP460:BP461"/>
    <mergeCell ref="BQ460:BQ461"/>
    <mergeCell ref="BS460:BS461"/>
    <mergeCell ref="BT460:BT461"/>
    <mergeCell ref="BU460:BU461"/>
    <mergeCell ref="BV460:BV461"/>
    <mergeCell ref="AE458:AE459"/>
    <mergeCell ref="AP458:AP459"/>
    <mergeCell ref="BA458:BA459"/>
    <mergeCell ref="BL458:BL459"/>
    <mergeCell ref="BN458:BN459"/>
    <mergeCell ref="BO458:BO459"/>
    <mergeCell ref="BP458:BP459"/>
    <mergeCell ref="BQ458:BQ459"/>
    <mergeCell ref="BS458:BS459"/>
    <mergeCell ref="BT458:BT459"/>
    <mergeCell ref="BU458:BU459"/>
    <mergeCell ref="BV458:BV459"/>
    <mergeCell ref="BW460:BW461"/>
    <mergeCell ref="BX460:BX461"/>
    <mergeCell ref="BY460:BY461"/>
    <mergeCell ref="CA460:CA461"/>
    <mergeCell ref="CB460:CB461"/>
    <mergeCell ref="B458:B459"/>
    <mergeCell ref="C458:C459"/>
    <mergeCell ref="E458:E459"/>
    <mergeCell ref="I458:I459"/>
    <mergeCell ref="T458:T459"/>
    <mergeCell ref="BP462:BP463"/>
    <mergeCell ref="BQ462:BQ463"/>
    <mergeCell ref="BS462:BS463"/>
    <mergeCell ref="BT462:BT463"/>
    <mergeCell ref="BU462:BU463"/>
    <mergeCell ref="BV462:BV463"/>
    <mergeCell ref="BW462:BW463"/>
    <mergeCell ref="BX462:BX463"/>
    <mergeCell ref="BY462:BY463"/>
    <mergeCell ref="CA462:CA463"/>
    <mergeCell ref="CB462:CB463"/>
    <mergeCell ref="B460:B461"/>
    <mergeCell ref="C460:C461"/>
    <mergeCell ref="E460:E461"/>
    <mergeCell ref="I460:I461"/>
    <mergeCell ref="T460:T461"/>
    <mergeCell ref="AE460:AE461"/>
    <mergeCell ref="AP460:AP461"/>
    <mergeCell ref="BA460:BA461"/>
    <mergeCell ref="BL460:BL461"/>
    <mergeCell ref="BN460:BN461"/>
    <mergeCell ref="BO460:BO461"/>
    <mergeCell ref="B464:B465"/>
    <mergeCell ref="C464:C465"/>
    <mergeCell ref="E464:E465"/>
    <mergeCell ref="I464:I465"/>
    <mergeCell ref="T464:T465"/>
    <mergeCell ref="AE464:AE465"/>
    <mergeCell ref="AP464:AP465"/>
    <mergeCell ref="BA464:BA465"/>
    <mergeCell ref="BL464:BL465"/>
    <mergeCell ref="BN464:BN465"/>
    <mergeCell ref="BO464:BO465"/>
    <mergeCell ref="BP464:BP465"/>
    <mergeCell ref="BQ464:BQ465"/>
    <mergeCell ref="BS464:BS465"/>
    <mergeCell ref="BT464:BT465"/>
    <mergeCell ref="BU464:BU465"/>
    <mergeCell ref="BV464:BV465"/>
    <mergeCell ref="BW464:BW465"/>
    <mergeCell ref="BX464:BX465"/>
    <mergeCell ref="BY464:BY465"/>
    <mergeCell ref="CA464:CA465"/>
    <mergeCell ref="BV470:BV471"/>
    <mergeCell ref="CB466:CB467"/>
    <mergeCell ref="B468:B469"/>
    <mergeCell ref="C468:C469"/>
    <mergeCell ref="E468:E469"/>
    <mergeCell ref="I468:I469"/>
    <mergeCell ref="T468:T469"/>
    <mergeCell ref="AE468:AE469"/>
    <mergeCell ref="AP468:AP469"/>
    <mergeCell ref="BA468:BA469"/>
    <mergeCell ref="BL468:BL469"/>
    <mergeCell ref="BN468:BN469"/>
    <mergeCell ref="BO468:BO469"/>
    <mergeCell ref="BP468:BP469"/>
    <mergeCell ref="BQ468:BQ469"/>
    <mergeCell ref="BS468:BS469"/>
    <mergeCell ref="BT468:BT469"/>
    <mergeCell ref="BU468:BU469"/>
    <mergeCell ref="BV468:BV469"/>
    <mergeCell ref="BW468:BW469"/>
    <mergeCell ref="BX468:BX469"/>
    <mergeCell ref="BW470:BW471"/>
    <mergeCell ref="BX470:BX471"/>
    <mergeCell ref="BY470:BY471"/>
    <mergeCell ref="CA470:CA471"/>
    <mergeCell ref="CB470:CB471"/>
    <mergeCell ref="BY468:BY469"/>
    <mergeCell ref="CA468:CA469"/>
    <mergeCell ref="CB468:CB469"/>
    <mergeCell ref="BO466:BO467"/>
    <mergeCell ref="T472:T473"/>
    <mergeCell ref="AE472:AE473"/>
    <mergeCell ref="AP472:AP473"/>
    <mergeCell ref="BA472:BA473"/>
    <mergeCell ref="BL472:BL473"/>
    <mergeCell ref="BN472:BN473"/>
    <mergeCell ref="BO472:BO473"/>
    <mergeCell ref="BP472:BP473"/>
    <mergeCell ref="BQ472:BQ473"/>
    <mergeCell ref="BS472:BS473"/>
    <mergeCell ref="BT472:BT473"/>
    <mergeCell ref="BU472:BU473"/>
    <mergeCell ref="BV472:BV473"/>
    <mergeCell ref="BW472:BW473"/>
    <mergeCell ref="BX472:BX473"/>
    <mergeCell ref="BY472:BY473"/>
    <mergeCell ref="CA472:CA473"/>
    <mergeCell ref="CB472:CB473"/>
    <mergeCell ref="C470:C471"/>
    <mergeCell ref="E470:E471"/>
    <mergeCell ref="I470:I471"/>
    <mergeCell ref="T470:T471"/>
    <mergeCell ref="CA474:CA475"/>
    <mergeCell ref="CB474:CB475"/>
    <mergeCell ref="B476:B477"/>
    <mergeCell ref="C476:C477"/>
    <mergeCell ref="E476:E477"/>
    <mergeCell ref="I476:I477"/>
    <mergeCell ref="T476:T477"/>
    <mergeCell ref="AE476:AE477"/>
    <mergeCell ref="AP476:AP477"/>
    <mergeCell ref="BA476:BA477"/>
    <mergeCell ref="BL476:BL477"/>
    <mergeCell ref="BN476:BN477"/>
    <mergeCell ref="BO476:BO477"/>
    <mergeCell ref="BP476:BP477"/>
    <mergeCell ref="BQ476:BQ477"/>
    <mergeCell ref="BS476:BS477"/>
    <mergeCell ref="BT476:BT477"/>
    <mergeCell ref="BU476:BU477"/>
    <mergeCell ref="BV476:BV477"/>
    <mergeCell ref="BW476:BW477"/>
    <mergeCell ref="BX476:BX477"/>
    <mergeCell ref="BY476:BY477"/>
    <mergeCell ref="CA476:CA477"/>
    <mergeCell ref="CB476:CB477"/>
    <mergeCell ref="BV474:BV475"/>
    <mergeCell ref="BW474:BW475"/>
    <mergeCell ref="BX474:BX475"/>
    <mergeCell ref="BY474:BY475"/>
    <mergeCell ref="CA478:CA479"/>
    <mergeCell ref="CB478:CB479"/>
    <mergeCell ref="B480:B481"/>
    <mergeCell ref="C480:C481"/>
    <mergeCell ref="E480:E481"/>
    <mergeCell ref="I480:I481"/>
    <mergeCell ref="T480:T481"/>
    <mergeCell ref="AE480:AE481"/>
    <mergeCell ref="AP480:AP481"/>
    <mergeCell ref="BA480:BA481"/>
    <mergeCell ref="BL480:BL481"/>
    <mergeCell ref="BN480:BN481"/>
    <mergeCell ref="BO480:BO481"/>
    <mergeCell ref="BP480:BP481"/>
    <mergeCell ref="BQ480:BQ481"/>
    <mergeCell ref="BS480:BS481"/>
    <mergeCell ref="BT480:BT481"/>
    <mergeCell ref="BU480:BU481"/>
    <mergeCell ref="BV480:BV481"/>
    <mergeCell ref="BW480:BW481"/>
    <mergeCell ref="BX480:BX481"/>
    <mergeCell ref="BY480:BY481"/>
    <mergeCell ref="CA480:CA481"/>
    <mergeCell ref="CB480:CB481"/>
    <mergeCell ref="B478:B479"/>
    <mergeCell ref="C478:C479"/>
    <mergeCell ref="E478:E479"/>
    <mergeCell ref="I478:I479"/>
    <mergeCell ref="T478:T479"/>
    <mergeCell ref="AE478:AE479"/>
    <mergeCell ref="AP478:AP479"/>
    <mergeCell ref="BA478:BA479"/>
    <mergeCell ref="BL482:BL483"/>
    <mergeCell ref="BN482:BN483"/>
    <mergeCell ref="BO482:BO483"/>
    <mergeCell ref="BP482:BP483"/>
    <mergeCell ref="BQ482:BQ483"/>
    <mergeCell ref="BS482:BS483"/>
    <mergeCell ref="BT482:BT483"/>
    <mergeCell ref="BU482:BU483"/>
    <mergeCell ref="BV482:BV483"/>
    <mergeCell ref="BU478:BU479"/>
    <mergeCell ref="BV478:BV479"/>
    <mergeCell ref="BW478:BW479"/>
    <mergeCell ref="BX478:BX479"/>
    <mergeCell ref="BY478:BY479"/>
    <mergeCell ref="BL478:BL479"/>
    <mergeCell ref="BN478:BN479"/>
    <mergeCell ref="BO478:BO479"/>
    <mergeCell ref="BP478:BP479"/>
    <mergeCell ref="BQ478:BQ479"/>
    <mergeCell ref="BS478:BS479"/>
    <mergeCell ref="BT478:BT479"/>
    <mergeCell ref="BW482:BW483"/>
    <mergeCell ref="BX482:BX483"/>
    <mergeCell ref="BY482:BY483"/>
    <mergeCell ref="CA482:CA483"/>
    <mergeCell ref="CB482:CB483"/>
    <mergeCell ref="B484:B485"/>
    <mergeCell ref="C484:C485"/>
    <mergeCell ref="E484:E485"/>
    <mergeCell ref="I484:I485"/>
    <mergeCell ref="T484:T485"/>
    <mergeCell ref="AE484:AE485"/>
    <mergeCell ref="AP484:AP485"/>
    <mergeCell ref="BA484:BA485"/>
    <mergeCell ref="BL484:BL485"/>
    <mergeCell ref="BN484:BN485"/>
    <mergeCell ref="BO484:BO485"/>
    <mergeCell ref="BP484:BP485"/>
    <mergeCell ref="BQ484:BQ485"/>
    <mergeCell ref="BS484:BS485"/>
    <mergeCell ref="BT484:BT485"/>
    <mergeCell ref="BU484:BU485"/>
    <mergeCell ref="BV484:BV485"/>
    <mergeCell ref="BW484:BW485"/>
    <mergeCell ref="BX484:BX485"/>
    <mergeCell ref="BY484:BY485"/>
    <mergeCell ref="CA484:CA485"/>
    <mergeCell ref="CB484:CB485"/>
    <mergeCell ref="B482:B483"/>
    <mergeCell ref="C482:C483"/>
    <mergeCell ref="E482:E483"/>
    <mergeCell ref="I482:I483"/>
    <mergeCell ref="T482:T483"/>
    <mergeCell ref="AE482:AE483"/>
    <mergeCell ref="AP482:AP483"/>
    <mergeCell ref="BA482:BA483"/>
    <mergeCell ref="BW488:BW489"/>
    <mergeCell ref="BX488:BX489"/>
    <mergeCell ref="BY488:BY489"/>
    <mergeCell ref="CA488:CA489"/>
    <mergeCell ref="CB488:CB489"/>
    <mergeCell ref="B486:B487"/>
    <mergeCell ref="C486:C487"/>
    <mergeCell ref="E486:E487"/>
    <mergeCell ref="I486:I487"/>
    <mergeCell ref="T486:T487"/>
    <mergeCell ref="AE486:AE487"/>
    <mergeCell ref="AP486:AP487"/>
    <mergeCell ref="BA486:BA487"/>
    <mergeCell ref="BL486:BL487"/>
    <mergeCell ref="BN486:BN487"/>
    <mergeCell ref="BO486:BO487"/>
    <mergeCell ref="BP486:BP487"/>
    <mergeCell ref="BQ486:BQ487"/>
    <mergeCell ref="BS486:BS487"/>
    <mergeCell ref="BT486:BT487"/>
    <mergeCell ref="BU486:BU487"/>
    <mergeCell ref="BV486:BV487"/>
    <mergeCell ref="BW486:BW487"/>
    <mergeCell ref="BX486:BX487"/>
    <mergeCell ref="BY486:BY487"/>
    <mergeCell ref="CA486:CA487"/>
    <mergeCell ref="CB486:CB487"/>
    <mergeCell ref="B488:B489"/>
    <mergeCell ref="C488:C489"/>
    <mergeCell ref="E488:E489"/>
    <mergeCell ref="I488:I489"/>
    <mergeCell ref="T488:T489"/>
    <mergeCell ref="AE488:AE489"/>
    <mergeCell ref="AP488:AP489"/>
    <mergeCell ref="BA488:BA489"/>
    <mergeCell ref="BL488:BL489"/>
    <mergeCell ref="BN488:BN489"/>
    <mergeCell ref="BO488:BO489"/>
    <mergeCell ref="BP488:BP489"/>
    <mergeCell ref="BQ488:BQ489"/>
    <mergeCell ref="BS488:BS489"/>
    <mergeCell ref="BT488:BT489"/>
    <mergeCell ref="BU488:BU489"/>
    <mergeCell ref="BV488:BV489"/>
    <mergeCell ref="CA490:CA491"/>
    <mergeCell ref="CB490:CB491"/>
    <mergeCell ref="B492:B493"/>
    <mergeCell ref="C492:C493"/>
    <mergeCell ref="E492:E493"/>
    <mergeCell ref="I492:I493"/>
    <mergeCell ref="T492:T493"/>
    <mergeCell ref="AE492:AE493"/>
    <mergeCell ref="AP492:AP493"/>
    <mergeCell ref="BA492:BA493"/>
    <mergeCell ref="BL492:BL493"/>
    <mergeCell ref="BN492:BN493"/>
    <mergeCell ref="BO492:BO493"/>
    <mergeCell ref="BP492:BP493"/>
    <mergeCell ref="BQ492:BQ493"/>
    <mergeCell ref="BS492:BS493"/>
    <mergeCell ref="BT492:BT493"/>
    <mergeCell ref="BU492:BU493"/>
    <mergeCell ref="BV492:BV493"/>
    <mergeCell ref="BW492:BW493"/>
    <mergeCell ref="BY492:BY493"/>
    <mergeCell ref="CA492:CA493"/>
    <mergeCell ref="CB492:CB493"/>
    <mergeCell ref="B490:B491"/>
    <mergeCell ref="C490:C491"/>
    <mergeCell ref="E490:E491"/>
    <mergeCell ref="I490:I491"/>
    <mergeCell ref="T490:T491"/>
    <mergeCell ref="AE490:AE491"/>
    <mergeCell ref="AP490:AP491"/>
    <mergeCell ref="BW490:BW491"/>
    <mergeCell ref="CA496:CA497"/>
    <mergeCell ref="CB496:CB497"/>
    <mergeCell ref="B494:B495"/>
    <mergeCell ref="C494:C495"/>
    <mergeCell ref="E494:E495"/>
    <mergeCell ref="I494:I495"/>
    <mergeCell ref="T494:T495"/>
    <mergeCell ref="AE494:AE495"/>
    <mergeCell ref="AP494:AP495"/>
    <mergeCell ref="BA494:BA495"/>
    <mergeCell ref="BL494:BL495"/>
    <mergeCell ref="BN494:BN495"/>
    <mergeCell ref="BO494:BO495"/>
    <mergeCell ref="BP494:BP495"/>
    <mergeCell ref="BQ494:BQ495"/>
    <mergeCell ref="BS494:BS495"/>
    <mergeCell ref="BT494:BT495"/>
    <mergeCell ref="BU494:BU495"/>
    <mergeCell ref="BV494:BV495"/>
    <mergeCell ref="BX490:BX491"/>
    <mergeCell ref="BW494:BW495"/>
    <mergeCell ref="CA494:CA495"/>
    <mergeCell ref="CB494:CB495"/>
    <mergeCell ref="B496:B497"/>
    <mergeCell ref="C496:C497"/>
    <mergeCell ref="E496:E497"/>
    <mergeCell ref="I496:I497"/>
    <mergeCell ref="T496:T497"/>
    <mergeCell ref="AE496:AE497"/>
    <mergeCell ref="AP496:AP497"/>
    <mergeCell ref="BA496:BA497"/>
    <mergeCell ref="BL496:BL497"/>
    <mergeCell ref="BN496:BN497"/>
    <mergeCell ref="BO496:BO497"/>
    <mergeCell ref="BP496:BP497"/>
    <mergeCell ref="BQ496:BQ497"/>
    <mergeCell ref="BS496:BS497"/>
    <mergeCell ref="BT496:BT497"/>
    <mergeCell ref="BU496:BU497"/>
    <mergeCell ref="BV496:BV497"/>
    <mergeCell ref="BW496:BW497"/>
    <mergeCell ref="BX496:BX497"/>
    <mergeCell ref="BY496:BY497"/>
    <mergeCell ref="BX494:BX495"/>
    <mergeCell ref="BY494:BY495"/>
    <mergeCell ref="CA498:CA499"/>
    <mergeCell ref="CB498:CB499"/>
    <mergeCell ref="B500:B501"/>
    <mergeCell ref="C500:C501"/>
    <mergeCell ref="E500:E501"/>
    <mergeCell ref="I500:I501"/>
    <mergeCell ref="T500:T501"/>
    <mergeCell ref="AE500:AE501"/>
    <mergeCell ref="AP500:AP501"/>
    <mergeCell ref="BA500:BA501"/>
    <mergeCell ref="BL500:BL501"/>
    <mergeCell ref="BN500:BN501"/>
    <mergeCell ref="BO500:BO501"/>
    <mergeCell ref="BP500:BP501"/>
    <mergeCell ref="BQ500:BQ501"/>
    <mergeCell ref="BS500:BS501"/>
    <mergeCell ref="BT500:BT501"/>
    <mergeCell ref="BU500:BU501"/>
    <mergeCell ref="BV500:BV501"/>
    <mergeCell ref="BW500:BW501"/>
    <mergeCell ref="BX500:BX501"/>
    <mergeCell ref="BY500:BY501"/>
    <mergeCell ref="CA500:CA501"/>
    <mergeCell ref="CB500:CB501"/>
    <mergeCell ref="E498:E499"/>
    <mergeCell ref="I498:I499"/>
    <mergeCell ref="T498:T499"/>
    <mergeCell ref="AE498:AE499"/>
    <mergeCell ref="AP498:AP499"/>
    <mergeCell ref="BA498:BA499"/>
    <mergeCell ref="BL498:BL499"/>
    <mergeCell ref="BN498:BN499"/>
    <mergeCell ref="BP502:BP503"/>
    <mergeCell ref="BQ502:BQ503"/>
    <mergeCell ref="BS502:BS503"/>
    <mergeCell ref="BT502:BT503"/>
    <mergeCell ref="BU502:BU503"/>
    <mergeCell ref="BV502:BV503"/>
    <mergeCell ref="B504:B505"/>
    <mergeCell ref="C504:C505"/>
    <mergeCell ref="E504:E505"/>
    <mergeCell ref="I504:I505"/>
    <mergeCell ref="T504:T505"/>
    <mergeCell ref="AE504:AE505"/>
    <mergeCell ref="AP504:AP505"/>
    <mergeCell ref="BA504:BA505"/>
    <mergeCell ref="BL504:BL505"/>
    <mergeCell ref="BN504:BN505"/>
    <mergeCell ref="BO504:BO505"/>
    <mergeCell ref="BP504:BP505"/>
    <mergeCell ref="BQ504:BQ505"/>
    <mergeCell ref="BS504:BS505"/>
    <mergeCell ref="BT504:BT505"/>
    <mergeCell ref="BU504:BU505"/>
    <mergeCell ref="BV504:BV505"/>
    <mergeCell ref="E506:E507"/>
    <mergeCell ref="I506:I507"/>
    <mergeCell ref="T506:T507"/>
    <mergeCell ref="AE506:AE507"/>
    <mergeCell ref="AP506:AP507"/>
    <mergeCell ref="BA506:BA507"/>
    <mergeCell ref="BL506:BL507"/>
    <mergeCell ref="BN506:BN507"/>
    <mergeCell ref="BO506:BO507"/>
    <mergeCell ref="BP506:BP507"/>
    <mergeCell ref="BQ506:BQ507"/>
    <mergeCell ref="BS506:BS507"/>
    <mergeCell ref="BT506:BT507"/>
    <mergeCell ref="BU506:BU507"/>
    <mergeCell ref="BV506:BV507"/>
    <mergeCell ref="CA502:CA503"/>
    <mergeCell ref="CB502:CB503"/>
    <mergeCell ref="BW504:BW505"/>
    <mergeCell ref="BX504:BX505"/>
    <mergeCell ref="BY504:BY505"/>
    <mergeCell ref="CA504:CA505"/>
    <mergeCell ref="CB504:CB505"/>
    <mergeCell ref="BW506:BW507"/>
    <mergeCell ref="BX506:BX507"/>
    <mergeCell ref="BY506:BY507"/>
    <mergeCell ref="CA506:CA507"/>
    <mergeCell ref="CB506:CB507"/>
    <mergeCell ref="T502:T503"/>
    <mergeCell ref="AE502:AE503"/>
    <mergeCell ref="AP502:AP503"/>
    <mergeCell ref="BA502:BA503"/>
    <mergeCell ref="BL502:BL503"/>
    <mergeCell ref="B508:B509"/>
    <mergeCell ref="C508:C509"/>
    <mergeCell ref="E508:E509"/>
    <mergeCell ref="I508:I509"/>
    <mergeCell ref="T508:T509"/>
    <mergeCell ref="AE508:AE509"/>
    <mergeCell ref="AP508:AP509"/>
    <mergeCell ref="BA508:BA509"/>
    <mergeCell ref="BL508:BL509"/>
    <mergeCell ref="BN508:BN509"/>
    <mergeCell ref="BO508:BO509"/>
    <mergeCell ref="BP508:BP509"/>
    <mergeCell ref="BQ508:BQ509"/>
    <mergeCell ref="BS508:BS509"/>
    <mergeCell ref="BT508:BT509"/>
    <mergeCell ref="BU508:BU509"/>
    <mergeCell ref="BV508:BV509"/>
    <mergeCell ref="BW508:BW509"/>
    <mergeCell ref="BX508:BX509"/>
    <mergeCell ref="BY508:BY509"/>
    <mergeCell ref="CA508:CA509"/>
    <mergeCell ref="CB508:CB509"/>
    <mergeCell ref="B506:B507"/>
    <mergeCell ref="C506:C507"/>
    <mergeCell ref="BY516:BY517"/>
    <mergeCell ref="CA516:CA517"/>
    <mergeCell ref="CB516:CB517"/>
    <mergeCell ref="BP510:BP511"/>
    <mergeCell ref="BQ510:BQ511"/>
    <mergeCell ref="BS510:BS511"/>
    <mergeCell ref="BT510:BT511"/>
    <mergeCell ref="BU510:BU511"/>
    <mergeCell ref="BV510:BV511"/>
    <mergeCell ref="BW510:BW511"/>
    <mergeCell ref="BX510:BX511"/>
    <mergeCell ref="BY510:BY511"/>
    <mergeCell ref="CA510:CA511"/>
    <mergeCell ref="CB510:CB511"/>
    <mergeCell ref="B512:B513"/>
    <mergeCell ref="C512:C513"/>
    <mergeCell ref="E512:E513"/>
    <mergeCell ref="I512:I513"/>
    <mergeCell ref="T512:T513"/>
    <mergeCell ref="AE512:AE513"/>
    <mergeCell ref="AP512:AP513"/>
    <mergeCell ref="BA512:BA513"/>
    <mergeCell ref="BL512:BL513"/>
    <mergeCell ref="BN512:BN513"/>
    <mergeCell ref="BO512:BO513"/>
    <mergeCell ref="BT518:BT519"/>
    <mergeCell ref="BU518:BU519"/>
    <mergeCell ref="BV518:BV519"/>
    <mergeCell ref="CB514:CB515"/>
    <mergeCell ref="B516:B517"/>
    <mergeCell ref="C516:C517"/>
    <mergeCell ref="E516:E517"/>
    <mergeCell ref="I516:I517"/>
    <mergeCell ref="T516:T517"/>
    <mergeCell ref="AE516:AE517"/>
    <mergeCell ref="AP516:AP517"/>
    <mergeCell ref="BA516:BA517"/>
    <mergeCell ref="BL516:BL517"/>
    <mergeCell ref="BN516:BN517"/>
    <mergeCell ref="BO516:BO517"/>
    <mergeCell ref="BP516:BP517"/>
    <mergeCell ref="BQ516:BQ517"/>
    <mergeCell ref="BS516:BS517"/>
    <mergeCell ref="BT516:BT517"/>
    <mergeCell ref="BU516:BU517"/>
    <mergeCell ref="BV516:BV517"/>
    <mergeCell ref="BW516:BW517"/>
    <mergeCell ref="BX516:BX517"/>
    <mergeCell ref="BN514:BN515"/>
    <mergeCell ref="BO514:BO515"/>
    <mergeCell ref="CB518:CB519"/>
    <mergeCell ref="BV524:BV525"/>
    <mergeCell ref="B520:B521"/>
    <mergeCell ref="C520:C521"/>
    <mergeCell ref="E520:E521"/>
    <mergeCell ref="I520:I521"/>
    <mergeCell ref="T520:T521"/>
    <mergeCell ref="AE520:AE521"/>
    <mergeCell ref="AP520:AP521"/>
    <mergeCell ref="BA520:BA521"/>
    <mergeCell ref="BL520:BL521"/>
    <mergeCell ref="BN520:BN521"/>
    <mergeCell ref="BO520:BO521"/>
    <mergeCell ref="BP520:BP521"/>
    <mergeCell ref="BQ520:BQ521"/>
    <mergeCell ref="BS520:BS521"/>
    <mergeCell ref="BT520:BT521"/>
    <mergeCell ref="BU520:BU521"/>
    <mergeCell ref="BV520:BV521"/>
    <mergeCell ref="BV528:BV529"/>
    <mergeCell ref="BW520:BW521"/>
    <mergeCell ref="BX520:BX521"/>
    <mergeCell ref="BY520:BY521"/>
    <mergeCell ref="CA520:CA521"/>
    <mergeCell ref="CB520:CB521"/>
    <mergeCell ref="B518:B519"/>
    <mergeCell ref="C518:C519"/>
    <mergeCell ref="E518:E519"/>
    <mergeCell ref="I518:I519"/>
    <mergeCell ref="T518:T519"/>
    <mergeCell ref="AE518:AE519"/>
    <mergeCell ref="AP518:AP519"/>
    <mergeCell ref="BA518:BA519"/>
    <mergeCell ref="BL518:BL519"/>
    <mergeCell ref="CB522:CB523"/>
    <mergeCell ref="B524:B525"/>
    <mergeCell ref="C524:C525"/>
    <mergeCell ref="E524:E525"/>
    <mergeCell ref="I524:I525"/>
    <mergeCell ref="T524:T525"/>
    <mergeCell ref="AE524:AE525"/>
    <mergeCell ref="AP524:AP525"/>
    <mergeCell ref="BA524:BA525"/>
    <mergeCell ref="BL524:BL525"/>
    <mergeCell ref="BN524:BN525"/>
    <mergeCell ref="BO524:BO525"/>
    <mergeCell ref="BP524:BP525"/>
    <mergeCell ref="BQ524:BQ525"/>
    <mergeCell ref="BS524:BS525"/>
    <mergeCell ref="BT524:BT525"/>
    <mergeCell ref="BU524:BU525"/>
    <mergeCell ref="BN526:BN527"/>
    <mergeCell ref="BW524:BW525"/>
    <mergeCell ref="BX524:BX525"/>
    <mergeCell ref="BY524:BY525"/>
    <mergeCell ref="CA524:CA525"/>
    <mergeCell ref="CB524:CB525"/>
    <mergeCell ref="B522:B523"/>
    <mergeCell ref="C522:C523"/>
    <mergeCell ref="E522:E523"/>
    <mergeCell ref="I522:I523"/>
    <mergeCell ref="T522:T523"/>
    <mergeCell ref="AE522:AE523"/>
    <mergeCell ref="AP522:AP523"/>
    <mergeCell ref="BA522:BA523"/>
    <mergeCell ref="CA526:CA527"/>
    <mergeCell ref="CB526:CB527"/>
    <mergeCell ref="B528:B529"/>
    <mergeCell ref="C528:C529"/>
    <mergeCell ref="E528:E529"/>
    <mergeCell ref="I528:I529"/>
    <mergeCell ref="T528:T529"/>
    <mergeCell ref="AE528:AE529"/>
    <mergeCell ref="AP528:AP529"/>
    <mergeCell ref="BA528:BA529"/>
    <mergeCell ref="BL528:BL529"/>
    <mergeCell ref="BN528:BN529"/>
    <mergeCell ref="BO528:BO529"/>
    <mergeCell ref="BP528:BP529"/>
    <mergeCell ref="BQ528:BQ529"/>
    <mergeCell ref="BS528:BS529"/>
    <mergeCell ref="BT528:BT529"/>
    <mergeCell ref="BU528:BU529"/>
    <mergeCell ref="E530:E531"/>
    <mergeCell ref="BW528:BW529"/>
    <mergeCell ref="BX528:BX529"/>
    <mergeCell ref="BY528:BY529"/>
    <mergeCell ref="CA528:CA529"/>
    <mergeCell ref="CB528:CB529"/>
    <mergeCell ref="B526:B527"/>
    <mergeCell ref="C526:C527"/>
    <mergeCell ref="E526:E527"/>
    <mergeCell ref="I526:I527"/>
    <mergeCell ref="T526:T527"/>
    <mergeCell ref="AE526:AE527"/>
    <mergeCell ref="AP526:AP527"/>
    <mergeCell ref="BA526:BA527"/>
    <mergeCell ref="BL530:BL531"/>
    <mergeCell ref="BN530:BN531"/>
    <mergeCell ref="BO530:BO531"/>
    <mergeCell ref="BP530:BP531"/>
    <mergeCell ref="BQ530:BQ531"/>
    <mergeCell ref="BS530:BS531"/>
    <mergeCell ref="BT530:BT531"/>
    <mergeCell ref="BU530:BU531"/>
    <mergeCell ref="BV530:BV531"/>
    <mergeCell ref="BU526:BU527"/>
    <mergeCell ref="BV526:BV527"/>
    <mergeCell ref="BW526:BW527"/>
    <mergeCell ref="BX526:BX527"/>
    <mergeCell ref="BY526:BY527"/>
    <mergeCell ref="BW530:BW531"/>
    <mergeCell ref="BX530:BX531"/>
    <mergeCell ref="BY530:BY531"/>
    <mergeCell ref="BL526:BL527"/>
    <mergeCell ref="CB534:CB535"/>
    <mergeCell ref="BO526:BO527"/>
    <mergeCell ref="BP526:BP527"/>
    <mergeCell ref="BQ526:BQ527"/>
    <mergeCell ref="BS526:BS527"/>
    <mergeCell ref="BT526:BT527"/>
    <mergeCell ref="CA530:CA531"/>
    <mergeCell ref="CB530:CB531"/>
    <mergeCell ref="B532:B533"/>
    <mergeCell ref="C532:C533"/>
    <mergeCell ref="E532:E533"/>
    <mergeCell ref="I532:I533"/>
    <mergeCell ref="T532:T533"/>
    <mergeCell ref="AE532:AE533"/>
    <mergeCell ref="AP532:AP533"/>
    <mergeCell ref="BA532:BA533"/>
    <mergeCell ref="BL532:BL533"/>
    <mergeCell ref="BN532:BN533"/>
    <mergeCell ref="BO532:BO533"/>
    <mergeCell ref="BP532:BP533"/>
    <mergeCell ref="BQ532:BQ533"/>
    <mergeCell ref="BS532:BS533"/>
    <mergeCell ref="BT532:BT533"/>
    <mergeCell ref="BU532:BU533"/>
    <mergeCell ref="BV532:BV533"/>
    <mergeCell ref="BW532:BW533"/>
    <mergeCell ref="BX532:BX533"/>
    <mergeCell ref="BY532:BY533"/>
    <mergeCell ref="CA532:CA533"/>
    <mergeCell ref="CB532:CB533"/>
    <mergeCell ref="B530:B531"/>
    <mergeCell ref="C530:C531"/>
    <mergeCell ref="BX538:BX539"/>
    <mergeCell ref="I530:I531"/>
    <mergeCell ref="T530:T531"/>
    <mergeCell ref="AE530:AE531"/>
    <mergeCell ref="AP530:AP531"/>
    <mergeCell ref="BA530:BA531"/>
    <mergeCell ref="BW536:BW537"/>
    <mergeCell ref="BX536:BX537"/>
    <mergeCell ref="BY536:BY537"/>
    <mergeCell ref="CA536:CA537"/>
    <mergeCell ref="CB536:CB537"/>
    <mergeCell ref="B534:B535"/>
    <mergeCell ref="C534:C535"/>
    <mergeCell ref="E534:E535"/>
    <mergeCell ref="I534:I535"/>
    <mergeCell ref="T534:T535"/>
    <mergeCell ref="AE534:AE535"/>
    <mergeCell ref="AP534:AP535"/>
    <mergeCell ref="BA534:BA535"/>
    <mergeCell ref="BL534:BL535"/>
    <mergeCell ref="BN534:BN535"/>
    <mergeCell ref="BO534:BO535"/>
    <mergeCell ref="BP534:BP535"/>
    <mergeCell ref="BQ534:BQ535"/>
    <mergeCell ref="BS534:BS535"/>
    <mergeCell ref="BT534:BT535"/>
    <mergeCell ref="BU534:BU535"/>
    <mergeCell ref="BV534:BV535"/>
    <mergeCell ref="BW534:BW535"/>
    <mergeCell ref="BX534:BX535"/>
    <mergeCell ref="BY534:BY535"/>
    <mergeCell ref="CA534:CA535"/>
    <mergeCell ref="C538:C539"/>
    <mergeCell ref="E538:E539"/>
    <mergeCell ref="I538:I539"/>
    <mergeCell ref="T538:T539"/>
    <mergeCell ref="AE538:AE539"/>
    <mergeCell ref="AP538:AP539"/>
    <mergeCell ref="BW538:BW539"/>
    <mergeCell ref="B536:B537"/>
    <mergeCell ref="C536:C537"/>
    <mergeCell ref="E536:E537"/>
    <mergeCell ref="I536:I537"/>
    <mergeCell ref="T536:T537"/>
    <mergeCell ref="AE536:AE537"/>
    <mergeCell ref="AP536:AP537"/>
    <mergeCell ref="BA536:BA537"/>
    <mergeCell ref="BL536:BL537"/>
    <mergeCell ref="BN536:BN537"/>
    <mergeCell ref="BO536:BO537"/>
    <mergeCell ref="BP536:BP537"/>
    <mergeCell ref="BQ536:BQ537"/>
    <mergeCell ref="BS536:BS537"/>
    <mergeCell ref="BT536:BT537"/>
    <mergeCell ref="BU536:BU537"/>
    <mergeCell ref="BV536:BV537"/>
    <mergeCell ref="BA538:BA539"/>
    <mergeCell ref="BL538:BL539"/>
    <mergeCell ref="AP542:AP543"/>
    <mergeCell ref="BA542:BA543"/>
    <mergeCell ref="BL542:BL543"/>
    <mergeCell ref="BN542:BN543"/>
    <mergeCell ref="BO542:BO543"/>
    <mergeCell ref="BP542:BP543"/>
    <mergeCell ref="BQ542:BQ543"/>
    <mergeCell ref="BS542:BS543"/>
    <mergeCell ref="BT542:BT543"/>
    <mergeCell ref="BU542:BU543"/>
    <mergeCell ref="BV542:BV543"/>
    <mergeCell ref="BY538:BY539"/>
    <mergeCell ref="CA538:CA539"/>
    <mergeCell ref="CB538:CB539"/>
    <mergeCell ref="B540:B541"/>
    <mergeCell ref="C540:C541"/>
    <mergeCell ref="E540:E541"/>
    <mergeCell ref="I540:I541"/>
    <mergeCell ref="T540:T541"/>
    <mergeCell ref="AE540:AE541"/>
    <mergeCell ref="AP540:AP541"/>
    <mergeCell ref="BA540:BA541"/>
    <mergeCell ref="BL540:BL541"/>
    <mergeCell ref="BN540:BN541"/>
    <mergeCell ref="BO540:BO541"/>
    <mergeCell ref="BP540:BP541"/>
    <mergeCell ref="BQ540:BQ541"/>
    <mergeCell ref="BS540:BS541"/>
    <mergeCell ref="BT540:BT541"/>
    <mergeCell ref="BU540:BU541"/>
    <mergeCell ref="CB540:CB541"/>
    <mergeCell ref="B538:B539"/>
    <mergeCell ref="CB542:CB543"/>
    <mergeCell ref="B544:B545"/>
    <mergeCell ref="C544:C545"/>
    <mergeCell ref="E544:E545"/>
    <mergeCell ref="I544:I545"/>
    <mergeCell ref="T544:T545"/>
    <mergeCell ref="AE544:AE545"/>
    <mergeCell ref="AP544:AP545"/>
    <mergeCell ref="BA544:BA545"/>
    <mergeCell ref="BL544:BL545"/>
    <mergeCell ref="BN544:BN545"/>
    <mergeCell ref="BO544:BO545"/>
    <mergeCell ref="BP544:BP545"/>
    <mergeCell ref="BQ544:BQ545"/>
    <mergeCell ref="BS544:BS545"/>
    <mergeCell ref="BT544:BT545"/>
    <mergeCell ref="BU544:BU545"/>
    <mergeCell ref="BV544:BV545"/>
    <mergeCell ref="BW544:BW545"/>
    <mergeCell ref="BX544:BX545"/>
    <mergeCell ref="BY544:BY545"/>
    <mergeCell ref="BW542:BW543"/>
    <mergeCell ref="BX542:BX543"/>
    <mergeCell ref="BY542:BY543"/>
    <mergeCell ref="CA544:CA545"/>
    <mergeCell ref="CB544:CB545"/>
    <mergeCell ref="B542:B543"/>
    <mergeCell ref="C542:C543"/>
    <mergeCell ref="E542:E543"/>
    <mergeCell ref="I542:I543"/>
    <mergeCell ref="T542:T543"/>
    <mergeCell ref="AE542:AE543"/>
    <mergeCell ref="CB546:CB547"/>
    <mergeCell ref="B548:B549"/>
    <mergeCell ref="C548:C549"/>
    <mergeCell ref="E548:E549"/>
    <mergeCell ref="I548:I549"/>
    <mergeCell ref="T548:T549"/>
    <mergeCell ref="AE548:AE549"/>
    <mergeCell ref="AP548:AP549"/>
    <mergeCell ref="BA548:BA549"/>
    <mergeCell ref="BL548:BL549"/>
    <mergeCell ref="BN548:BN549"/>
    <mergeCell ref="BO548:BO549"/>
    <mergeCell ref="BP548:BP549"/>
    <mergeCell ref="BQ548:BQ549"/>
    <mergeCell ref="BS548:BS549"/>
    <mergeCell ref="BT548:BT549"/>
    <mergeCell ref="BU548:BU549"/>
    <mergeCell ref="BV548:BV549"/>
    <mergeCell ref="BW548:BW549"/>
    <mergeCell ref="BX548:BX549"/>
    <mergeCell ref="BY548:BY549"/>
    <mergeCell ref="CA548:CA549"/>
    <mergeCell ref="CB548:CB549"/>
    <mergeCell ref="E546:E547"/>
    <mergeCell ref="I546:I547"/>
    <mergeCell ref="T546:T547"/>
    <mergeCell ref="AE546:AE547"/>
    <mergeCell ref="AP546:AP547"/>
    <mergeCell ref="BA546:BA547"/>
    <mergeCell ref="BL546:BL547"/>
    <mergeCell ref="BN546:BN547"/>
    <mergeCell ref="B546:B547"/>
    <mergeCell ref="BU550:BU551"/>
    <mergeCell ref="BV550:BV551"/>
    <mergeCell ref="B552:B553"/>
    <mergeCell ref="C552:C553"/>
    <mergeCell ref="E552:E553"/>
    <mergeCell ref="I552:I553"/>
    <mergeCell ref="T552:T553"/>
    <mergeCell ref="AE552:AE553"/>
    <mergeCell ref="AP552:AP553"/>
    <mergeCell ref="BA552:BA553"/>
    <mergeCell ref="BL552:BL553"/>
    <mergeCell ref="BN552:BN553"/>
    <mergeCell ref="BO552:BO553"/>
    <mergeCell ref="BP552:BP553"/>
    <mergeCell ref="BQ552:BQ553"/>
    <mergeCell ref="BS552:BS553"/>
    <mergeCell ref="BT552:BT553"/>
    <mergeCell ref="BU552:BU553"/>
    <mergeCell ref="BV552:BV553"/>
    <mergeCell ref="E554:E555"/>
    <mergeCell ref="I554:I555"/>
    <mergeCell ref="T554:T555"/>
    <mergeCell ref="AE554:AE555"/>
    <mergeCell ref="AP554:AP555"/>
    <mergeCell ref="BA554:BA555"/>
    <mergeCell ref="BL554:BL555"/>
    <mergeCell ref="BN554:BN555"/>
    <mergeCell ref="BO554:BO555"/>
    <mergeCell ref="BP554:BP555"/>
    <mergeCell ref="BQ554:BQ555"/>
    <mergeCell ref="BS554:BS555"/>
    <mergeCell ref="BT554:BT555"/>
    <mergeCell ref="BU554:BU555"/>
    <mergeCell ref="BV554:BV555"/>
    <mergeCell ref="CA550:CA551"/>
    <mergeCell ref="CB550:CB551"/>
    <mergeCell ref="BW552:BW553"/>
    <mergeCell ref="BX552:BX553"/>
    <mergeCell ref="BY552:BY553"/>
    <mergeCell ref="CA552:CA553"/>
    <mergeCell ref="CB552:CB553"/>
    <mergeCell ref="BW554:BW555"/>
    <mergeCell ref="BX554:BX555"/>
    <mergeCell ref="BY554:BY555"/>
    <mergeCell ref="CA554:CA555"/>
    <mergeCell ref="CB554:CB555"/>
    <mergeCell ref="I550:I551"/>
    <mergeCell ref="T550:T551"/>
    <mergeCell ref="AE550:AE551"/>
    <mergeCell ref="AP550:AP551"/>
    <mergeCell ref="BA550:BA551"/>
    <mergeCell ref="B556:B557"/>
    <mergeCell ref="C556:C557"/>
    <mergeCell ref="E556:E557"/>
    <mergeCell ref="I556:I557"/>
    <mergeCell ref="T556:T557"/>
    <mergeCell ref="AE556:AE557"/>
    <mergeCell ref="AP556:AP557"/>
    <mergeCell ref="BA556:BA557"/>
    <mergeCell ref="BL556:BL557"/>
    <mergeCell ref="BN556:BN557"/>
    <mergeCell ref="BO556:BO557"/>
    <mergeCell ref="BP556:BP557"/>
    <mergeCell ref="BQ556:BQ557"/>
    <mergeCell ref="BS556:BS557"/>
    <mergeCell ref="BT556:BT557"/>
    <mergeCell ref="BU556:BU557"/>
    <mergeCell ref="BV556:BV557"/>
    <mergeCell ref="BW556:BW557"/>
    <mergeCell ref="BX556:BX557"/>
    <mergeCell ref="BY556:BY557"/>
    <mergeCell ref="CA556:CA557"/>
    <mergeCell ref="CB556:CB557"/>
    <mergeCell ref="B554:B555"/>
    <mergeCell ref="C554:C555"/>
    <mergeCell ref="BY564:BY565"/>
    <mergeCell ref="CA564:CA565"/>
    <mergeCell ref="CB564:CB565"/>
    <mergeCell ref="BP558:BP559"/>
    <mergeCell ref="BQ558:BQ559"/>
    <mergeCell ref="BS558:BS559"/>
    <mergeCell ref="BT558:BT559"/>
    <mergeCell ref="BU558:BU559"/>
    <mergeCell ref="BV558:BV559"/>
    <mergeCell ref="BW558:BW559"/>
    <mergeCell ref="BX558:BX559"/>
    <mergeCell ref="BY558:BY559"/>
    <mergeCell ref="CA558:CA559"/>
    <mergeCell ref="CB558:CB559"/>
    <mergeCell ref="B560:B561"/>
    <mergeCell ref="C560:C561"/>
    <mergeCell ref="E560:E561"/>
    <mergeCell ref="I560:I561"/>
    <mergeCell ref="T560:T561"/>
    <mergeCell ref="AE560:AE561"/>
    <mergeCell ref="AP560:AP561"/>
    <mergeCell ref="BA560:BA561"/>
    <mergeCell ref="BL560:BL561"/>
    <mergeCell ref="BN560:BN561"/>
    <mergeCell ref="BO560:BO561"/>
    <mergeCell ref="BT566:BT567"/>
    <mergeCell ref="BU566:BU567"/>
    <mergeCell ref="BV566:BV567"/>
    <mergeCell ref="CB562:CB563"/>
    <mergeCell ref="B564:B565"/>
    <mergeCell ref="C564:C565"/>
    <mergeCell ref="E564:E565"/>
    <mergeCell ref="I564:I565"/>
    <mergeCell ref="T564:T565"/>
    <mergeCell ref="AE564:AE565"/>
    <mergeCell ref="AP564:AP565"/>
    <mergeCell ref="BA564:BA565"/>
    <mergeCell ref="BL564:BL565"/>
    <mergeCell ref="BN564:BN565"/>
    <mergeCell ref="BO564:BO565"/>
    <mergeCell ref="BP564:BP565"/>
    <mergeCell ref="BQ564:BQ565"/>
    <mergeCell ref="BS564:BS565"/>
    <mergeCell ref="BT564:BT565"/>
    <mergeCell ref="BU564:BU565"/>
    <mergeCell ref="BV564:BV565"/>
    <mergeCell ref="BW564:BW565"/>
    <mergeCell ref="BX564:BX565"/>
    <mergeCell ref="BO562:BO563"/>
    <mergeCell ref="CB566:CB567"/>
    <mergeCell ref="B562:B563"/>
    <mergeCell ref="C562:C563"/>
    <mergeCell ref="B568:B569"/>
    <mergeCell ref="C568:C569"/>
    <mergeCell ref="E568:E569"/>
    <mergeCell ref="I568:I569"/>
    <mergeCell ref="T568:T569"/>
    <mergeCell ref="AE568:AE569"/>
    <mergeCell ref="AP568:AP569"/>
    <mergeCell ref="BA568:BA569"/>
    <mergeCell ref="BL568:BL569"/>
    <mergeCell ref="BN568:BN569"/>
    <mergeCell ref="BO568:BO569"/>
    <mergeCell ref="BP568:BP569"/>
    <mergeCell ref="BQ568:BQ569"/>
    <mergeCell ref="BS568:BS569"/>
    <mergeCell ref="BT568:BT569"/>
    <mergeCell ref="BU568:BU569"/>
    <mergeCell ref="BV568:BV569"/>
    <mergeCell ref="BW568:BW569"/>
    <mergeCell ref="BX568:BX569"/>
    <mergeCell ref="BY568:BY569"/>
    <mergeCell ref="CA568:CA569"/>
    <mergeCell ref="CB568:CB569"/>
    <mergeCell ref="B566:B567"/>
    <mergeCell ref="C566:C567"/>
    <mergeCell ref="E566:E567"/>
    <mergeCell ref="I566:I567"/>
    <mergeCell ref="T566:T567"/>
    <mergeCell ref="AE566:AE567"/>
    <mergeCell ref="AP566:AP567"/>
    <mergeCell ref="BA566:BA567"/>
    <mergeCell ref="BL566:BL567"/>
    <mergeCell ref="CB570:CB571"/>
    <mergeCell ref="B572:B573"/>
    <mergeCell ref="C572:C573"/>
    <mergeCell ref="E572:E573"/>
    <mergeCell ref="I572:I573"/>
    <mergeCell ref="T572:T573"/>
    <mergeCell ref="AE572:AE573"/>
    <mergeCell ref="AP572:AP573"/>
    <mergeCell ref="BA572:BA573"/>
    <mergeCell ref="BL572:BL573"/>
    <mergeCell ref="BN572:BN573"/>
    <mergeCell ref="BO572:BO573"/>
    <mergeCell ref="BP572:BP573"/>
    <mergeCell ref="BQ572:BQ573"/>
    <mergeCell ref="BS572:BS573"/>
    <mergeCell ref="BT572:BT573"/>
    <mergeCell ref="BU572:BU573"/>
    <mergeCell ref="BV572:BV573"/>
    <mergeCell ref="BW572:BW573"/>
    <mergeCell ref="BX572:BX573"/>
    <mergeCell ref="BY572:BY573"/>
    <mergeCell ref="CA572:CA573"/>
    <mergeCell ref="CB572:CB573"/>
    <mergeCell ref="B570:B571"/>
    <mergeCell ref="C570:C571"/>
    <mergeCell ref="E570:E571"/>
    <mergeCell ref="I570:I571"/>
    <mergeCell ref="T570:T571"/>
    <mergeCell ref="AE570:AE571"/>
    <mergeCell ref="AP570:AP571"/>
    <mergeCell ref="BA570:BA571"/>
    <mergeCell ref="CA574:CA575"/>
    <mergeCell ref="CB574:CB575"/>
    <mergeCell ref="B576:B577"/>
    <mergeCell ref="C576:C577"/>
    <mergeCell ref="E576:E577"/>
    <mergeCell ref="I576:I577"/>
    <mergeCell ref="T576:T577"/>
    <mergeCell ref="AE576:AE577"/>
    <mergeCell ref="AP576:AP577"/>
    <mergeCell ref="BA576:BA577"/>
    <mergeCell ref="BL576:BL577"/>
    <mergeCell ref="BN576:BN577"/>
    <mergeCell ref="BO576:BO577"/>
    <mergeCell ref="BP576:BP577"/>
    <mergeCell ref="BQ576:BQ577"/>
    <mergeCell ref="BS576:BS577"/>
    <mergeCell ref="BT576:BT577"/>
    <mergeCell ref="BU576:BU577"/>
    <mergeCell ref="BV576:BV577"/>
    <mergeCell ref="BW576:BW577"/>
    <mergeCell ref="BX576:BX577"/>
    <mergeCell ref="BY576:BY577"/>
    <mergeCell ref="CA576:CA577"/>
    <mergeCell ref="CB576:CB577"/>
    <mergeCell ref="B574:B575"/>
    <mergeCell ref="C574:C575"/>
    <mergeCell ref="E574:E575"/>
    <mergeCell ref="I574:I575"/>
    <mergeCell ref="T574:T575"/>
    <mergeCell ref="AE574:AE575"/>
    <mergeCell ref="AP574:AP575"/>
    <mergeCell ref="BA574:BA575"/>
    <mergeCell ref="BL578:BL579"/>
    <mergeCell ref="BN578:BN579"/>
    <mergeCell ref="BO578:BO579"/>
    <mergeCell ref="BP578:BP579"/>
    <mergeCell ref="BQ578:BQ579"/>
    <mergeCell ref="BS578:BS579"/>
    <mergeCell ref="BT578:BT579"/>
    <mergeCell ref="BU578:BU579"/>
    <mergeCell ref="BV578:BV579"/>
    <mergeCell ref="BU574:BU575"/>
    <mergeCell ref="BV574:BV575"/>
    <mergeCell ref="BW574:BW575"/>
    <mergeCell ref="BX574:BX575"/>
    <mergeCell ref="BY574:BY575"/>
    <mergeCell ref="BW578:BW579"/>
    <mergeCell ref="BX578:BX579"/>
    <mergeCell ref="BY578:BY579"/>
    <mergeCell ref="BL574:BL575"/>
    <mergeCell ref="BN574:BN575"/>
    <mergeCell ref="BO574:BO575"/>
    <mergeCell ref="BP574:BP575"/>
    <mergeCell ref="BQ574:BQ575"/>
    <mergeCell ref="BS574:BS575"/>
    <mergeCell ref="BT574:BT575"/>
    <mergeCell ref="CA578:CA579"/>
    <mergeCell ref="CB578:CB579"/>
    <mergeCell ref="B593:B594"/>
    <mergeCell ref="C593:C594"/>
    <mergeCell ref="E593:E594"/>
    <mergeCell ref="I593:I594"/>
    <mergeCell ref="T593:T594"/>
    <mergeCell ref="AE593:AE594"/>
    <mergeCell ref="AP593:AP594"/>
    <mergeCell ref="BA593:BA594"/>
    <mergeCell ref="BL593:BL594"/>
    <mergeCell ref="BN593:BN594"/>
    <mergeCell ref="BO593:BO594"/>
    <mergeCell ref="BP593:BP594"/>
    <mergeCell ref="BQ593:BQ594"/>
    <mergeCell ref="BS593:BS594"/>
    <mergeCell ref="BT593:BT594"/>
    <mergeCell ref="BU593:BU594"/>
    <mergeCell ref="BV593:BV594"/>
    <mergeCell ref="BW593:BW594"/>
    <mergeCell ref="BX593:BX594"/>
    <mergeCell ref="BY593:BY594"/>
    <mergeCell ref="CA593:CA594"/>
    <mergeCell ref="CB593:CB594"/>
    <mergeCell ref="B578:B579"/>
    <mergeCell ref="C578:C579"/>
    <mergeCell ref="E578:E579"/>
    <mergeCell ref="I578:I579"/>
    <mergeCell ref="T578:T579"/>
    <mergeCell ref="AE578:AE579"/>
    <mergeCell ref="AP578:AP579"/>
    <mergeCell ref="BA578:BA579"/>
    <mergeCell ref="B597:B598"/>
    <mergeCell ref="C597:C598"/>
    <mergeCell ref="E597:E598"/>
    <mergeCell ref="I597:I598"/>
    <mergeCell ref="T597:T598"/>
    <mergeCell ref="AE597:AE598"/>
    <mergeCell ref="AP597:AP598"/>
    <mergeCell ref="BA597:BA598"/>
    <mergeCell ref="BL597:BL598"/>
    <mergeCell ref="BN597:BN598"/>
    <mergeCell ref="BO597:BO598"/>
    <mergeCell ref="BP597:BP598"/>
    <mergeCell ref="B580:B581"/>
    <mergeCell ref="C580:C581"/>
    <mergeCell ref="E580:E581"/>
    <mergeCell ref="I580:I581"/>
    <mergeCell ref="T580:T581"/>
    <mergeCell ref="AE580:AE581"/>
    <mergeCell ref="AP580:AP581"/>
    <mergeCell ref="BA580:BA581"/>
    <mergeCell ref="BL580:BL581"/>
    <mergeCell ref="BN580:BN581"/>
    <mergeCell ref="BO580:BO581"/>
    <mergeCell ref="BP580:BP581"/>
    <mergeCell ref="B582:B583"/>
    <mergeCell ref="C582:C583"/>
    <mergeCell ref="E582:E583"/>
    <mergeCell ref="BQ597:BQ598"/>
    <mergeCell ref="BS597:BS598"/>
    <mergeCell ref="BT597:BT598"/>
    <mergeCell ref="BU597:BU598"/>
    <mergeCell ref="BV597:BV598"/>
    <mergeCell ref="BW597:BW598"/>
    <mergeCell ref="BX597:BX598"/>
    <mergeCell ref="BY597:BY598"/>
    <mergeCell ref="CA597:CA598"/>
    <mergeCell ref="CB597:CB598"/>
    <mergeCell ref="B595:B596"/>
    <mergeCell ref="C595:C596"/>
    <mergeCell ref="E595:E596"/>
    <mergeCell ref="BU599:BU600"/>
    <mergeCell ref="BV599:BV600"/>
    <mergeCell ref="BW599:BW600"/>
    <mergeCell ref="BX599:BX600"/>
    <mergeCell ref="BY599:BY600"/>
    <mergeCell ref="CA599:CA600"/>
    <mergeCell ref="CB599:CB600"/>
    <mergeCell ref="B599:B600"/>
    <mergeCell ref="C599:C600"/>
    <mergeCell ref="E599:E600"/>
    <mergeCell ref="I595:I596"/>
    <mergeCell ref="T595:T596"/>
    <mergeCell ref="AE595:AE596"/>
    <mergeCell ref="AP595:AP596"/>
    <mergeCell ref="BA595:BA596"/>
    <mergeCell ref="BL595:BL596"/>
    <mergeCell ref="BN595:BN596"/>
    <mergeCell ref="BO595:BO596"/>
    <mergeCell ref="BP595:BP596"/>
    <mergeCell ref="AE601:AE602"/>
    <mergeCell ref="AP601:AP602"/>
    <mergeCell ref="BA601:BA602"/>
    <mergeCell ref="BL601:BL602"/>
    <mergeCell ref="BN601:BN602"/>
    <mergeCell ref="BO601:BO602"/>
    <mergeCell ref="BP601:BP602"/>
    <mergeCell ref="BQ601:BQ602"/>
    <mergeCell ref="BS601:BS602"/>
    <mergeCell ref="BT601:BT602"/>
    <mergeCell ref="BU601:BU602"/>
    <mergeCell ref="BV601:BV602"/>
    <mergeCell ref="BW601:BW602"/>
    <mergeCell ref="BX601:BX602"/>
    <mergeCell ref="BY601:BY602"/>
    <mergeCell ref="CA601:CA602"/>
    <mergeCell ref="CB601:CB602"/>
    <mergeCell ref="BU603:BU604"/>
    <mergeCell ref="BV603:BV604"/>
    <mergeCell ref="BW603:BW604"/>
    <mergeCell ref="BX603:BX604"/>
    <mergeCell ref="BY603:BY604"/>
    <mergeCell ref="CA603:CA604"/>
    <mergeCell ref="CB603:CB604"/>
    <mergeCell ref="B605:B606"/>
    <mergeCell ref="C605:C606"/>
    <mergeCell ref="E605:E606"/>
    <mergeCell ref="I605:I606"/>
    <mergeCell ref="T605:T606"/>
    <mergeCell ref="AE605:AE606"/>
    <mergeCell ref="AP605:AP606"/>
    <mergeCell ref="BA605:BA606"/>
    <mergeCell ref="BL605:BL606"/>
    <mergeCell ref="BN605:BN606"/>
    <mergeCell ref="BO605:BO606"/>
    <mergeCell ref="BP605:BP606"/>
    <mergeCell ref="BQ605:BQ606"/>
    <mergeCell ref="BS605:BS606"/>
    <mergeCell ref="BT605:BT606"/>
    <mergeCell ref="BU605:BU606"/>
    <mergeCell ref="BV605:BV606"/>
    <mergeCell ref="BW605:BW606"/>
    <mergeCell ref="BX605:BX606"/>
    <mergeCell ref="BY605:BY606"/>
    <mergeCell ref="CA605:CA606"/>
    <mergeCell ref="CB605:CB606"/>
    <mergeCell ref="B607:B608"/>
    <mergeCell ref="C607:C608"/>
    <mergeCell ref="E607:E608"/>
    <mergeCell ref="I607:I608"/>
    <mergeCell ref="T607:T608"/>
    <mergeCell ref="AE607:AE608"/>
    <mergeCell ref="AP607:AP608"/>
    <mergeCell ref="BA607:BA608"/>
    <mergeCell ref="BL607:BL608"/>
    <mergeCell ref="BN607:BN608"/>
    <mergeCell ref="BO607:BO608"/>
    <mergeCell ref="BP607:BP608"/>
    <mergeCell ref="BQ607:BQ608"/>
    <mergeCell ref="BS607:BS608"/>
    <mergeCell ref="BT607:BT608"/>
    <mergeCell ref="BU607:BU608"/>
    <mergeCell ref="BV607:BV608"/>
    <mergeCell ref="BY607:BY608"/>
    <mergeCell ref="CA607:CA608"/>
    <mergeCell ref="CB607:CB608"/>
    <mergeCell ref="BW607:BW608"/>
    <mergeCell ref="BX607:BX608"/>
    <mergeCell ref="AE611:AE612"/>
    <mergeCell ref="AP611:AP612"/>
    <mergeCell ref="BA611:BA612"/>
    <mergeCell ref="BL611:BL612"/>
    <mergeCell ref="BN611:BN612"/>
    <mergeCell ref="BO611:BO612"/>
    <mergeCell ref="BP611:BP612"/>
    <mergeCell ref="BQ611:BQ612"/>
    <mergeCell ref="BS611:BS612"/>
    <mergeCell ref="BT611:BT612"/>
    <mergeCell ref="BU611:BU612"/>
    <mergeCell ref="BV611:BV612"/>
    <mergeCell ref="BU609:BU610"/>
    <mergeCell ref="BV609:BV610"/>
    <mergeCell ref="BW609:BW610"/>
    <mergeCell ref="BX609:BX610"/>
    <mergeCell ref="BY609:BY610"/>
    <mergeCell ref="CA609:CA610"/>
    <mergeCell ref="CB609:CB610"/>
    <mergeCell ref="BW611:BW612"/>
    <mergeCell ref="BX611:BX612"/>
    <mergeCell ref="BY611:BY612"/>
    <mergeCell ref="B584:B585"/>
    <mergeCell ref="C584:C585"/>
    <mergeCell ref="E584:E585"/>
    <mergeCell ref="I584:I585"/>
    <mergeCell ref="T584:T585"/>
    <mergeCell ref="AE584:AE585"/>
    <mergeCell ref="AP584:AP585"/>
    <mergeCell ref="BA584:BA585"/>
    <mergeCell ref="BL584:BL585"/>
    <mergeCell ref="BN584:BN585"/>
    <mergeCell ref="BO584:BO585"/>
    <mergeCell ref="BP584:BP585"/>
    <mergeCell ref="BQ584:BQ585"/>
    <mergeCell ref="BS584:BS585"/>
    <mergeCell ref="BT584:BT585"/>
    <mergeCell ref="BU584:BU585"/>
    <mergeCell ref="BV584:BV585"/>
    <mergeCell ref="BV586:BV587"/>
    <mergeCell ref="BW586:BW587"/>
    <mergeCell ref="BX586:BX587"/>
    <mergeCell ref="BY586:BY587"/>
    <mergeCell ref="CA586:CA587"/>
    <mergeCell ref="CB586:CB587"/>
    <mergeCell ref="BL582:BL583"/>
    <mergeCell ref="BN582:BN583"/>
    <mergeCell ref="BO582:BO583"/>
    <mergeCell ref="BP582:BP583"/>
    <mergeCell ref="BQ582:BQ583"/>
    <mergeCell ref="BS582:BS583"/>
    <mergeCell ref="BT582:BT583"/>
    <mergeCell ref="BU582:BU583"/>
    <mergeCell ref="BV582:BV583"/>
    <mergeCell ref="BW582:BW583"/>
    <mergeCell ref="BX582:BX583"/>
    <mergeCell ref="BY582:BY583"/>
    <mergeCell ref="CA582:CA583"/>
    <mergeCell ref="CB582:CB583"/>
    <mergeCell ref="BW584:BW585"/>
    <mergeCell ref="AE613:AE614"/>
    <mergeCell ref="AP613:AP614"/>
    <mergeCell ref="BA613:BA614"/>
    <mergeCell ref="BL613:BL614"/>
    <mergeCell ref="BN613:BN614"/>
    <mergeCell ref="BO613:BO614"/>
    <mergeCell ref="BP613:BP614"/>
    <mergeCell ref="BQ613:BQ614"/>
    <mergeCell ref="BS613:BS614"/>
    <mergeCell ref="BT613:BT614"/>
    <mergeCell ref="BU613:BU614"/>
    <mergeCell ref="BV613:BV614"/>
    <mergeCell ref="BX584:BX585"/>
    <mergeCell ref="BY584:BY585"/>
    <mergeCell ref="CA584:CA585"/>
    <mergeCell ref="CB584:CB585"/>
    <mergeCell ref="B586:B587"/>
    <mergeCell ref="C586:C587"/>
    <mergeCell ref="E586:E587"/>
    <mergeCell ref="I586:I587"/>
    <mergeCell ref="T586:T587"/>
    <mergeCell ref="AE586:AE587"/>
    <mergeCell ref="AP586:AP587"/>
    <mergeCell ref="BA586:BA587"/>
    <mergeCell ref="BL586:BL587"/>
    <mergeCell ref="BN586:BN587"/>
    <mergeCell ref="BO586:BO587"/>
    <mergeCell ref="BP586:BP587"/>
    <mergeCell ref="BQ586:BQ587"/>
    <mergeCell ref="BS586:BS587"/>
    <mergeCell ref="BT586:BT587"/>
    <mergeCell ref="BU586:BU587"/>
    <mergeCell ref="BW613:BW614"/>
    <mergeCell ref="BX613:BX614"/>
    <mergeCell ref="BY613:BY614"/>
    <mergeCell ref="CA613:CA614"/>
    <mergeCell ref="CB613:CB614"/>
    <mergeCell ref="B615:B616"/>
    <mergeCell ref="C615:C616"/>
    <mergeCell ref="E615:E616"/>
    <mergeCell ref="I615:I616"/>
    <mergeCell ref="T615:T616"/>
    <mergeCell ref="AE615:AE616"/>
    <mergeCell ref="AP615:AP616"/>
    <mergeCell ref="BA615:BA616"/>
    <mergeCell ref="BL615:BL616"/>
    <mergeCell ref="BN615:BN616"/>
    <mergeCell ref="BO615:BO616"/>
    <mergeCell ref="BP615:BP616"/>
    <mergeCell ref="BQ615:BQ616"/>
    <mergeCell ref="BS615:BS616"/>
    <mergeCell ref="BT615:BT616"/>
    <mergeCell ref="BU615:BU616"/>
    <mergeCell ref="BV615:BV616"/>
    <mergeCell ref="BW615:BW616"/>
    <mergeCell ref="BX615:BX616"/>
    <mergeCell ref="BY615:BY616"/>
    <mergeCell ref="CA615:CA616"/>
    <mergeCell ref="CB615:CB616"/>
    <mergeCell ref="B613:B614"/>
    <mergeCell ref="C613:C614"/>
    <mergeCell ref="E613:E614"/>
    <mergeCell ref="I613:I614"/>
    <mergeCell ref="T613:T614"/>
    <mergeCell ref="B617:B618"/>
    <mergeCell ref="C617:C618"/>
    <mergeCell ref="E617:E618"/>
    <mergeCell ref="I617:I618"/>
    <mergeCell ref="T617:T618"/>
    <mergeCell ref="AE617:AE618"/>
    <mergeCell ref="AP617:AP618"/>
    <mergeCell ref="BA617:BA618"/>
    <mergeCell ref="BL617:BL618"/>
    <mergeCell ref="BN617:BN618"/>
    <mergeCell ref="BO617:BO618"/>
    <mergeCell ref="BP617:BP618"/>
    <mergeCell ref="BQ617:BQ618"/>
    <mergeCell ref="BS617:BS618"/>
    <mergeCell ref="BT617:BT618"/>
    <mergeCell ref="BU617:BU618"/>
    <mergeCell ref="BV617:BV618"/>
    <mergeCell ref="B619:B620"/>
    <mergeCell ref="C619:C620"/>
    <mergeCell ref="E619:E620"/>
    <mergeCell ref="I619:I620"/>
    <mergeCell ref="T619:T620"/>
    <mergeCell ref="AE619:AE620"/>
    <mergeCell ref="AP619:AP620"/>
    <mergeCell ref="BA619:BA620"/>
    <mergeCell ref="BL619:BL620"/>
    <mergeCell ref="BN619:BN620"/>
    <mergeCell ref="BO619:BO620"/>
    <mergeCell ref="BP619:BP620"/>
    <mergeCell ref="BQ619:BQ620"/>
    <mergeCell ref="BS619:BS620"/>
    <mergeCell ref="BT619:BT620"/>
    <mergeCell ref="BU619:BU620"/>
    <mergeCell ref="BV619:BV620"/>
    <mergeCell ref="BO621:BO622"/>
    <mergeCell ref="BP621:BP622"/>
    <mergeCell ref="BQ621:BQ622"/>
    <mergeCell ref="BS621:BS622"/>
    <mergeCell ref="BT621:BT622"/>
    <mergeCell ref="BU621:BU622"/>
    <mergeCell ref="BV621:BV622"/>
    <mergeCell ref="BW617:BW618"/>
    <mergeCell ref="BX617:BX618"/>
    <mergeCell ref="BY617:BY618"/>
    <mergeCell ref="CA617:CA618"/>
    <mergeCell ref="CB617:CB618"/>
    <mergeCell ref="BW619:BW620"/>
    <mergeCell ref="BX619:BX620"/>
    <mergeCell ref="BY619:BY620"/>
    <mergeCell ref="CA619:CA620"/>
    <mergeCell ref="CB619:CB620"/>
    <mergeCell ref="BW621:BW622"/>
    <mergeCell ref="BX621:BX622"/>
    <mergeCell ref="BY621:BY622"/>
    <mergeCell ref="CA621:CA622"/>
    <mergeCell ref="CB621:CB622"/>
    <mergeCell ref="BW623:BW624"/>
    <mergeCell ref="BX623:BX624"/>
    <mergeCell ref="BY623:BY624"/>
    <mergeCell ref="CA623:CA624"/>
    <mergeCell ref="CB623:CB624"/>
    <mergeCell ref="B621:B622"/>
    <mergeCell ref="C621:C622"/>
    <mergeCell ref="E621:E622"/>
    <mergeCell ref="I621:I622"/>
    <mergeCell ref="T621:T622"/>
    <mergeCell ref="B623:B624"/>
    <mergeCell ref="C623:C624"/>
    <mergeCell ref="E623:E624"/>
    <mergeCell ref="I623:I624"/>
    <mergeCell ref="T623:T624"/>
    <mergeCell ref="AE623:AE624"/>
    <mergeCell ref="AP623:AP624"/>
    <mergeCell ref="BA623:BA624"/>
    <mergeCell ref="BL623:BL624"/>
    <mergeCell ref="BN623:BN624"/>
    <mergeCell ref="BO623:BO624"/>
    <mergeCell ref="BP623:BP624"/>
    <mergeCell ref="BQ623:BQ624"/>
    <mergeCell ref="BS623:BS624"/>
    <mergeCell ref="BT623:BT624"/>
    <mergeCell ref="BU623:BU624"/>
    <mergeCell ref="BV623:BV624"/>
    <mergeCell ref="AE621:AE622"/>
    <mergeCell ref="AP621:AP622"/>
    <mergeCell ref="BA621:BA622"/>
    <mergeCell ref="BL621:BL622"/>
    <mergeCell ref="BN621:BN622"/>
  </mergeCells>
  <conditionalFormatting sqref="CD9:CD10">
    <cfRule type="cellIs" dxfId="833" priority="43402" operator="equal">
      <formula>0</formula>
    </cfRule>
  </conditionalFormatting>
  <conditionalFormatting sqref="CD13:CD14">
    <cfRule type="cellIs" dxfId="832" priority="41624" operator="equal">
      <formula>0</formula>
    </cfRule>
  </conditionalFormatting>
  <conditionalFormatting sqref="CD15:CD32">
    <cfRule type="cellIs" dxfId="831" priority="44829" operator="equal">
      <formula>0</formula>
    </cfRule>
  </conditionalFormatting>
  <conditionalFormatting sqref="CD35:CD36">
    <cfRule type="cellIs" dxfId="830" priority="41586" operator="equal">
      <formula>0</formula>
    </cfRule>
  </conditionalFormatting>
  <conditionalFormatting sqref="CD37:CD44">
    <cfRule type="cellIs" dxfId="829" priority="41587" operator="equal">
      <formula>0</formula>
    </cfRule>
  </conditionalFormatting>
  <conditionalFormatting sqref="CD47:CD48">
    <cfRule type="cellIs" dxfId="828" priority="41584" operator="equal">
      <formula>0</formula>
    </cfRule>
  </conditionalFormatting>
  <conditionalFormatting sqref="CD49:CD70">
    <cfRule type="cellIs" dxfId="827" priority="41585" operator="equal">
      <formula>0</formula>
    </cfRule>
  </conditionalFormatting>
  <conditionalFormatting sqref="CD73:CD74">
    <cfRule type="cellIs" dxfId="826" priority="41583" operator="equal">
      <formula>0</formula>
    </cfRule>
  </conditionalFormatting>
  <conditionalFormatting sqref="CD77:CD78">
    <cfRule type="cellIs" dxfId="825" priority="41581" operator="equal">
      <formula>0</formula>
    </cfRule>
  </conditionalFormatting>
  <conditionalFormatting sqref="CD79:CD90">
    <cfRule type="cellIs" dxfId="824" priority="41582" operator="equal">
      <formula>0</formula>
    </cfRule>
  </conditionalFormatting>
  <conditionalFormatting sqref="CD93:CD94">
    <cfRule type="cellIs" dxfId="823" priority="41579" operator="equal">
      <formula>0</formula>
    </cfRule>
  </conditionalFormatting>
  <conditionalFormatting sqref="CD95:CD110">
    <cfRule type="cellIs" dxfId="822" priority="41580" operator="equal">
      <formula>0</formula>
    </cfRule>
  </conditionalFormatting>
  <conditionalFormatting sqref="CD113:CD114">
    <cfRule type="cellIs" dxfId="821" priority="41577" operator="equal">
      <formula>0</formula>
    </cfRule>
  </conditionalFormatting>
  <conditionalFormatting sqref="CD115:CD116">
    <cfRule type="cellIs" dxfId="820" priority="41578" operator="equal">
      <formula>0</formula>
    </cfRule>
  </conditionalFormatting>
  <conditionalFormatting sqref="CD119:CD120">
    <cfRule type="cellIs" dxfId="819" priority="41575" operator="equal">
      <formula>0</formula>
    </cfRule>
  </conditionalFormatting>
  <conditionalFormatting sqref="CD121:CD132">
    <cfRule type="cellIs" dxfId="818" priority="41576" operator="equal">
      <formula>0</formula>
    </cfRule>
  </conditionalFormatting>
  <conditionalFormatting sqref="CD134:CD135">
    <cfRule type="cellIs" dxfId="817" priority="41574" operator="equal">
      <formula>0</formula>
    </cfRule>
  </conditionalFormatting>
  <conditionalFormatting sqref="CD137:CD138">
    <cfRule type="cellIs" dxfId="816" priority="41573" operator="equal">
      <formula>0</formula>
    </cfRule>
  </conditionalFormatting>
  <conditionalFormatting sqref="CD140:CD143">
    <cfRule type="cellIs" dxfId="815" priority="41572" operator="equal">
      <formula>0</formula>
    </cfRule>
  </conditionalFormatting>
  <conditionalFormatting sqref="CD144:CD149">
    <cfRule type="cellIs" dxfId="814" priority="41568" operator="equal">
      <formula>0</formula>
    </cfRule>
  </conditionalFormatting>
  <conditionalFormatting sqref="CD150:CD151">
    <cfRule type="cellIs" dxfId="813" priority="41571" operator="equal">
      <formula>0</formula>
    </cfRule>
  </conditionalFormatting>
  <conditionalFormatting sqref="CD152:CD157">
    <cfRule type="cellIs" dxfId="812" priority="41567" operator="equal">
      <formula>0</formula>
    </cfRule>
  </conditionalFormatting>
  <conditionalFormatting sqref="CD158:CD159">
    <cfRule type="cellIs" dxfId="811" priority="41570" operator="equal">
      <formula>0</formula>
    </cfRule>
  </conditionalFormatting>
  <conditionalFormatting sqref="CD160:CD167">
    <cfRule type="cellIs" dxfId="810" priority="41566" operator="equal">
      <formula>0</formula>
    </cfRule>
  </conditionalFormatting>
  <conditionalFormatting sqref="CD168:CD169">
    <cfRule type="cellIs" dxfId="809" priority="41569" operator="equal">
      <formula>0</formula>
    </cfRule>
  </conditionalFormatting>
  <conditionalFormatting sqref="CD170:CD177">
    <cfRule type="cellIs" dxfId="808" priority="41565" operator="equal">
      <formula>0</formula>
    </cfRule>
  </conditionalFormatting>
  <conditionalFormatting sqref="CD180:CD183">
    <cfRule type="cellIs" dxfId="807" priority="41623" operator="equal">
      <formula>0</formula>
    </cfRule>
  </conditionalFormatting>
  <conditionalFormatting sqref="CD184:CD191">
    <cfRule type="cellIs" dxfId="806" priority="41619" operator="equal">
      <formula>0</formula>
    </cfRule>
  </conditionalFormatting>
  <conditionalFormatting sqref="CD192:CD193">
    <cfRule type="cellIs" dxfId="805" priority="41622" operator="equal">
      <formula>0</formula>
    </cfRule>
  </conditionalFormatting>
  <conditionalFormatting sqref="CD194:CD199">
    <cfRule type="cellIs" dxfId="804" priority="41618" operator="equal">
      <formula>0</formula>
    </cfRule>
  </conditionalFormatting>
  <conditionalFormatting sqref="CD200:CD201">
    <cfRule type="cellIs" dxfId="803" priority="41621" operator="equal">
      <formula>0</formula>
    </cfRule>
  </conditionalFormatting>
  <conditionalFormatting sqref="CD202:CD209">
    <cfRule type="cellIs" dxfId="802" priority="41617" operator="equal">
      <formula>0</formula>
    </cfRule>
  </conditionalFormatting>
  <conditionalFormatting sqref="CD210:CD211">
    <cfRule type="cellIs" dxfId="801" priority="41620" operator="equal">
      <formula>0</formula>
    </cfRule>
  </conditionalFormatting>
  <conditionalFormatting sqref="CD212:CD223">
    <cfRule type="cellIs" dxfId="800" priority="41616" operator="equal">
      <formula>0</formula>
    </cfRule>
  </conditionalFormatting>
  <conditionalFormatting sqref="CD226:CD227">
    <cfRule type="cellIs" dxfId="799" priority="41564" operator="equal">
      <formula>0</formula>
    </cfRule>
  </conditionalFormatting>
  <conditionalFormatting sqref="CD229:CD230">
    <cfRule type="cellIs" dxfId="798" priority="41563" operator="equal">
      <formula>0</formula>
    </cfRule>
  </conditionalFormatting>
  <conditionalFormatting sqref="CD233:CD234">
    <cfRule type="cellIs" dxfId="797" priority="41561" operator="equal">
      <formula>0</formula>
    </cfRule>
  </conditionalFormatting>
  <conditionalFormatting sqref="CD235:CD276">
    <cfRule type="cellIs" dxfId="796" priority="41562" operator="equal">
      <formula>0</formula>
    </cfRule>
  </conditionalFormatting>
  <conditionalFormatting sqref="CD278:CD279">
    <cfRule type="cellIs" dxfId="795" priority="41559" operator="equal">
      <formula>0</formula>
    </cfRule>
  </conditionalFormatting>
  <conditionalFormatting sqref="CD280:CD297">
    <cfRule type="cellIs" dxfId="794" priority="41560" operator="equal">
      <formula>0</formula>
    </cfRule>
  </conditionalFormatting>
  <conditionalFormatting sqref="CD299:CD300">
    <cfRule type="cellIs" dxfId="793" priority="41558" operator="equal">
      <formula>0</formula>
    </cfRule>
  </conditionalFormatting>
  <conditionalFormatting sqref="CD304:CD305">
    <cfRule type="cellIs" dxfId="792" priority="44495" operator="equal">
      <formula>0</formula>
    </cfRule>
  </conditionalFormatting>
  <conditionalFormatting sqref="CD308:CD309">
    <cfRule type="cellIs" dxfId="791" priority="45824" operator="equal">
      <formula>0</formula>
    </cfRule>
  </conditionalFormatting>
  <conditionalFormatting sqref="CD310:CD315">
    <cfRule type="cellIs" dxfId="790" priority="45823" operator="equal">
      <formula>0</formula>
    </cfRule>
  </conditionalFormatting>
  <conditionalFormatting sqref="CD320:CD321">
    <cfRule type="cellIs" dxfId="789" priority="41557" operator="equal">
      <formula>0</formula>
    </cfRule>
  </conditionalFormatting>
  <conditionalFormatting sqref="CD323:CD324">
    <cfRule type="cellIs" dxfId="788" priority="41556" operator="equal">
      <formula>0</formula>
    </cfRule>
  </conditionalFormatting>
  <conditionalFormatting sqref="CD327:CD328">
    <cfRule type="cellIs" dxfId="787" priority="41555" operator="equal">
      <formula>0</formula>
    </cfRule>
  </conditionalFormatting>
  <conditionalFormatting sqref="CD336:CD337">
    <cfRule type="cellIs" dxfId="786" priority="41553" operator="equal">
      <formula>0</formula>
    </cfRule>
  </conditionalFormatting>
  <conditionalFormatting sqref="CD364:CD387">
    <cfRule type="cellIs" dxfId="785" priority="41548" operator="equal">
      <formula>0</formula>
    </cfRule>
  </conditionalFormatting>
  <conditionalFormatting sqref="CD388:CD389">
    <cfRule type="cellIs" dxfId="784" priority="41615" operator="equal">
      <formula>0</formula>
    </cfRule>
  </conditionalFormatting>
  <conditionalFormatting sqref="CD390:CD391">
    <cfRule type="cellIs" dxfId="783" priority="41614" operator="equal">
      <formula>0</formula>
    </cfRule>
  </conditionalFormatting>
  <conditionalFormatting sqref="CD392:CD393">
    <cfRule type="cellIs" dxfId="782" priority="41613" operator="equal">
      <formula>0</formula>
    </cfRule>
  </conditionalFormatting>
  <conditionalFormatting sqref="CD400:CD401">
    <cfRule type="cellIs" dxfId="781" priority="41547" operator="equal">
      <formula>0</formula>
    </cfRule>
  </conditionalFormatting>
  <conditionalFormatting sqref="CD402:CD405">
    <cfRule type="cellIs" dxfId="780" priority="41546" operator="equal">
      <formula>0</formula>
    </cfRule>
  </conditionalFormatting>
  <conditionalFormatting sqref="CD407:CD410">
    <cfRule type="cellIs" dxfId="779" priority="41545" operator="equal">
      <formula>0</formula>
    </cfRule>
  </conditionalFormatting>
  <conditionalFormatting sqref="CD411:CD418">
    <cfRule type="cellIs" dxfId="778" priority="41541" operator="equal">
      <formula>0</formula>
    </cfRule>
  </conditionalFormatting>
  <conditionalFormatting sqref="CD419:CD420">
    <cfRule type="cellIs" dxfId="777" priority="41544" operator="equal">
      <formula>0</formula>
    </cfRule>
  </conditionalFormatting>
  <conditionalFormatting sqref="CD421:CD424">
    <cfRule type="cellIs" dxfId="776" priority="41540" operator="equal">
      <formula>0</formula>
    </cfRule>
  </conditionalFormatting>
  <conditionalFormatting sqref="CD425:CD426">
    <cfRule type="cellIs" dxfId="775" priority="41543" operator="equal">
      <formula>0</formula>
    </cfRule>
  </conditionalFormatting>
  <conditionalFormatting sqref="CD427:CD430">
    <cfRule type="cellIs" dxfId="774" priority="41539" operator="equal">
      <formula>0</formula>
    </cfRule>
  </conditionalFormatting>
  <conditionalFormatting sqref="CD431:CD432">
    <cfRule type="cellIs" dxfId="773" priority="41542" operator="equal">
      <formula>0</formula>
    </cfRule>
  </conditionalFormatting>
  <conditionalFormatting sqref="CD433:CD438">
    <cfRule type="cellIs" dxfId="772" priority="41538" operator="equal">
      <formula>0</formula>
    </cfRule>
  </conditionalFormatting>
  <conditionalFormatting sqref="CD440:CD445">
    <cfRule type="cellIs" dxfId="771" priority="41537" operator="equal">
      <formula>0</formula>
    </cfRule>
  </conditionalFormatting>
  <conditionalFormatting sqref="CD446:CD471">
    <cfRule type="cellIs" dxfId="770" priority="41533" operator="equal">
      <formula>0</formula>
    </cfRule>
  </conditionalFormatting>
  <conditionalFormatting sqref="CD472:CD473">
    <cfRule type="cellIs" dxfId="769" priority="41536" operator="equal">
      <formula>0</formula>
    </cfRule>
  </conditionalFormatting>
  <conditionalFormatting sqref="CD474:CD499">
    <cfRule type="cellIs" dxfId="768" priority="41532" operator="equal">
      <formula>0</formula>
    </cfRule>
  </conditionalFormatting>
  <conditionalFormatting sqref="CD500:CD501">
    <cfRule type="cellIs" dxfId="767" priority="41531" operator="equal">
      <formula>0</formula>
    </cfRule>
  </conditionalFormatting>
  <conditionalFormatting sqref="CD502:CD513">
    <cfRule type="cellIs" dxfId="766" priority="41530" operator="equal">
      <formula>0</formula>
    </cfRule>
  </conditionalFormatting>
  <conditionalFormatting sqref="CD514:CD515">
    <cfRule type="cellIs" dxfId="765" priority="41529" operator="equal">
      <formula>0</formula>
    </cfRule>
  </conditionalFormatting>
  <conditionalFormatting sqref="CD516:CD537">
    <cfRule type="cellIs" dxfId="764" priority="41528" operator="equal">
      <formula>0</formula>
    </cfRule>
  </conditionalFormatting>
  <conditionalFormatting sqref="CD538:CD539">
    <cfRule type="cellIs" dxfId="763" priority="41527" operator="equal">
      <formula>0</formula>
    </cfRule>
  </conditionalFormatting>
  <conditionalFormatting sqref="CD540:CD587">
    <cfRule type="cellIs" dxfId="762" priority="41526" operator="equal">
      <formula>0</formula>
    </cfRule>
  </conditionalFormatting>
  <conditionalFormatting sqref="CD588:CD589">
    <cfRule type="cellIs" dxfId="761" priority="41535" operator="equal">
      <formula>0</formula>
    </cfRule>
  </conditionalFormatting>
  <conditionalFormatting sqref="CD591:CD596">
    <cfRule type="cellIs" dxfId="760" priority="41534" operator="equal">
      <formula>0</formula>
    </cfRule>
  </conditionalFormatting>
  <conditionalFormatting sqref="CD597:CD616">
    <cfRule type="cellIs" dxfId="759" priority="41525" operator="equal">
      <formula>0</formula>
    </cfRule>
  </conditionalFormatting>
  <conditionalFormatting sqref="CD617:CD618">
    <cfRule type="cellIs" dxfId="758" priority="41783" operator="equal">
      <formula>0</formula>
    </cfRule>
  </conditionalFormatting>
  <conditionalFormatting sqref="CD619:CD620">
    <cfRule type="cellIs" dxfId="757" priority="41524" operator="equal">
      <formula>0</formula>
    </cfRule>
  </conditionalFormatting>
  <conditionalFormatting sqref="CD338:CD345">
    <cfRule type="cellIs" dxfId="756" priority="31179" operator="equal">
      <formula>0</formula>
    </cfRule>
  </conditionalFormatting>
  <conditionalFormatting sqref="CD348:CD353">
    <cfRule type="cellIs" dxfId="755" priority="31152" operator="equal">
      <formula>0</formula>
    </cfRule>
  </conditionalFormatting>
  <conditionalFormatting sqref="CD329:CD334">
    <cfRule type="cellIs" dxfId="754" priority="31125" operator="equal">
      <formula>0</formula>
    </cfRule>
  </conditionalFormatting>
  <conditionalFormatting sqref="CD346:CD347">
    <cfRule type="cellIs" dxfId="753" priority="31053" operator="equal">
      <formula>0</formula>
    </cfRule>
  </conditionalFormatting>
  <conditionalFormatting sqref="CD354:CD355">
    <cfRule type="cellIs" dxfId="752" priority="31026" operator="equal">
      <formula>0</formula>
    </cfRule>
  </conditionalFormatting>
  <conditionalFormatting sqref="CD356:CD363">
    <cfRule type="cellIs" dxfId="751" priority="30999" operator="equal">
      <formula>0</formula>
    </cfRule>
  </conditionalFormatting>
  <conditionalFormatting sqref="CD394:CD399">
    <cfRule type="cellIs" dxfId="750" priority="30940" operator="equal">
      <formula>0</formula>
    </cfRule>
  </conditionalFormatting>
  <conditionalFormatting sqref="A1:A140 A142:A1048576">
    <cfRule type="duplicateValues" dxfId="749" priority="4840"/>
  </conditionalFormatting>
  <conditionalFormatting sqref="I9">
    <cfRule type="iconSet" priority="5064">
      <iconSet iconSet="3Arrows">
        <cfvo type="percent" val="0"/>
        <cfvo type="num" val="0.7"/>
        <cfvo type="num" val="1"/>
      </iconSet>
    </cfRule>
    <cfRule type="dataBar" priority="5065">
      <dataBar>
        <cfvo type="num" val="0"/>
        <cfvo type="num" val="1"/>
        <color theme="4" tint="0.79998168889431442"/>
      </dataBar>
      <extLst>
        <ext xmlns:x14="http://schemas.microsoft.com/office/spreadsheetml/2009/9/main" uri="{B025F937-C7B1-47D3-B67F-A62EFF666E3E}">
          <x14:id>{28A02732-0E8A-42AD-8C5B-0CE4280BF4F4}</x14:id>
        </ext>
      </extLst>
    </cfRule>
  </conditionalFormatting>
  <conditionalFormatting sqref="I13">
    <cfRule type="iconSet" priority="5066">
      <iconSet iconSet="3Arrows">
        <cfvo type="percent" val="0"/>
        <cfvo type="num" val="0.7"/>
        <cfvo type="num" val="1"/>
      </iconSet>
    </cfRule>
    <cfRule type="dataBar" priority="5067">
      <dataBar>
        <cfvo type="num" val="0"/>
        <cfvo type="num" val="1"/>
        <color theme="4" tint="0.79998168889431442"/>
      </dataBar>
      <extLst>
        <ext xmlns:x14="http://schemas.microsoft.com/office/spreadsheetml/2009/9/main" uri="{B025F937-C7B1-47D3-B67F-A62EFF666E3E}">
          <x14:id>{AE552977-D083-43C6-8203-753013B15329}</x14:id>
        </ext>
      </extLst>
    </cfRule>
  </conditionalFormatting>
  <conditionalFormatting sqref="I15">
    <cfRule type="iconSet" priority="3613">
      <iconSet iconSet="3Arrows">
        <cfvo type="percent" val="0"/>
        <cfvo type="num" val="0.7"/>
        <cfvo type="num" val="1"/>
      </iconSet>
    </cfRule>
    <cfRule type="dataBar" priority="3614">
      <dataBar>
        <cfvo type="num" val="0"/>
        <cfvo type="num" val="1"/>
        <color theme="4" tint="0.79998168889431442"/>
      </dataBar>
      <extLst>
        <ext xmlns:x14="http://schemas.microsoft.com/office/spreadsheetml/2009/9/main" uri="{B025F937-C7B1-47D3-B67F-A62EFF666E3E}">
          <x14:id>{22AD1FCA-FBB1-4986-8438-FF7CD858D3B1}</x14:id>
        </ext>
      </extLst>
    </cfRule>
  </conditionalFormatting>
  <conditionalFormatting sqref="I17">
    <cfRule type="iconSet" priority="3599">
      <iconSet iconSet="3Arrows">
        <cfvo type="percent" val="0"/>
        <cfvo type="num" val="0.7"/>
        <cfvo type="num" val="1"/>
      </iconSet>
    </cfRule>
    <cfRule type="dataBar" priority="3600">
      <dataBar>
        <cfvo type="num" val="0"/>
        <cfvo type="num" val="1"/>
        <color theme="4" tint="0.79998168889431442"/>
      </dataBar>
      <extLst>
        <ext xmlns:x14="http://schemas.microsoft.com/office/spreadsheetml/2009/9/main" uri="{B025F937-C7B1-47D3-B67F-A62EFF666E3E}">
          <x14:id>{DD25EB1B-2CC9-4B15-BBA3-273293AF39A5}</x14:id>
        </ext>
      </extLst>
    </cfRule>
  </conditionalFormatting>
  <conditionalFormatting sqref="I19">
    <cfRule type="iconSet" priority="3585">
      <iconSet iconSet="3Arrows">
        <cfvo type="percent" val="0"/>
        <cfvo type="num" val="0.7"/>
        <cfvo type="num" val="1"/>
      </iconSet>
    </cfRule>
    <cfRule type="dataBar" priority="3586">
      <dataBar>
        <cfvo type="num" val="0"/>
        <cfvo type="num" val="1"/>
        <color theme="4" tint="0.79998168889431442"/>
      </dataBar>
      <extLst>
        <ext xmlns:x14="http://schemas.microsoft.com/office/spreadsheetml/2009/9/main" uri="{B025F937-C7B1-47D3-B67F-A62EFF666E3E}">
          <x14:id>{90720EEB-617F-47AE-9B36-DF3DD55B1B06}</x14:id>
        </ext>
      </extLst>
    </cfRule>
  </conditionalFormatting>
  <conditionalFormatting sqref="I21">
    <cfRule type="iconSet" priority="3571">
      <iconSet iconSet="3Arrows">
        <cfvo type="percent" val="0"/>
        <cfvo type="num" val="0.7"/>
        <cfvo type="num" val="1"/>
      </iconSet>
    </cfRule>
    <cfRule type="dataBar" priority="3572">
      <dataBar>
        <cfvo type="num" val="0"/>
        <cfvo type="num" val="1"/>
        <color theme="4" tint="0.79998168889431442"/>
      </dataBar>
      <extLst>
        <ext xmlns:x14="http://schemas.microsoft.com/office/spreadsheetml/2009/9/main" uri="{B025F937-C7B1-47D3-B67F-A62EFF666E3E}">
          <x14:id>{AC6EDD94-1D6E-433D-9912-E2D96CAD4050}</x14:id>
        </ext>
      </extLst>
    </cfRule>
  </conditionalFormatting>
  <conditionalFormatting sqref="I23 I31">
    <cfRule type="iconSet" priority="5062">
      <iconSet iconSet="3Arrows">
        <cfvo type="percent" val="0"/>
        <cfvo type="num" val="0.7"/>
        <cfvo type="num" val="1"/>
      </iconSet>
    </cfRule>
    <cfRule type="dataBar" priority="5063">
      <dataBar>
        <cfvo type="num" val="0"/>
        <cfvo type="num" val="1"/>
        <color theme="4" tint="0.79998168889431442"/>
      </dataBar>
      <extLst>
        <ext xmlns:x14="http://schemas.microsoft.com/office/spreadsheetml/2009/9/main" uri="{B025F937-C7B1-47D3-B67F-A62EFF666E3E}">
          <x14:id>{CC57FE9B-CFD0-44FF-8BBE-1450F128FA0B}</x14:id>
        </ext>
      </extLst>
    </cfRule>
  </conditionalFormatting>
  <conditionalFormatting sqref="I25">
    <cfRule type="iconSet" priority="4979">
      <iconSet iconSet="3Arrows">
        <cfvo type="percent" val="0"/>
        <cfvo type="num" val="0.7"/>
        <cfvo type="num" val="1"/>
      </iconSet>
    </cfRule>
    <cfRule type="dataBar" priority="4980">
      <dataBar>
        <cfvo type="num" val="0"/>
        <cfvo type="num" val="1"/>
        <color theme="4" tint="0.79998168889431442"/>
      </dataBar>
      <extLst>
        <ext xmlns:x14="http://schemas.microsoft.com/office/spreadsheetml/2009/9/main" uri="{B025F937-C7B1-47D3-B67F-A62EFF666E3E}">
          <x14:id>{06202AD3-C006-4B4A-A4C8-0B0C64E87C39}</x14:id>
        </ext>
      </extLst>
    </cfRule>
  </conditionalFormatting>
  <conditionalFormatting sqref="I27">
    <cfRule type="iconSet" priority="2941">
      <iconSet iconSet="3Arrows">
        <cfvo type="percent" val="0"/>
        <cfvo type="num" val="0.7"/>
        <cfvo type="num" val="1"/>
      </iconSet>
    </cfRule>
    <cfRule type="dataBar" priority="2942">
      <dataBar>
        <cfvo type="num" val="0"/>
        <cfvo type="num" val="1"/>
        <color theme="4" tint="0.79998168889431442"/>
      </dataBar>
      <extLst>
        <ext xmlns:x14="http://schemas.microsoft.com/office/spreadsheetml/2009/9/main" uri="{B025F937-C7B1-47D3-B67F-A62EFF666E3E}">
          <x14:id>{96CEFC30-EFB7-4C1D-8DAA-DDAE219C59D7}</x14:id>
        </ext>
      </extLst>
    </cfRule>
  </conditionalFormatting>
  <conditionalFormatting sqref="I29">
    <cfRule type="iconSet" priority="2927">
      <iconSet iconSet="3Arrows">
        <cfvo type="percent" val="0"/>
        <cfvo type="num" val="0.7"/>
        <cfvo type="num" val="1"/>
      </iconSet>
    </cfRule>
    <cfRule type="dataBar" priority="2928">
      <dataBar>
        <cfvo type="num" val="0"/>
        <cfvo type="num" val="1"/>
        <color theme="4" tint="0.79998168889431442"/>
      </dataBar>
      <extLst>
        <ext xmlns:x14="http://schemas.microsoft.com/office/spreadsheetml/2009/9/main" uri="{B025F937-C7B1-47D3-B67F-A62EFF666E3E}">
          <x14:id>{2A96D183-A252-49E1-98A0-D2FAD22D5884}</x14:id>
        </ext>
      </extLst>
    </cfRule>
  </conditionalFormatting>
  <conditionalFormatting sqref="I35">
    <cfRule type="iconSet" priority="4806">
      <iconSet iconSet="3Arrows">
        <cfvo type="percent" val="0"/>
        <cfvo type="num" val="0.7"/>
        <cfvo type="num" val="1"/>
      </iconSet>
    </cfRule>
    <cfRule type="dataBar" priority="4807">
      <dataBar>
        <cfvo type="num" val="0"/>
        <cfvo type="num" val="1"/>
        <color theme="4" tint="0.79998168889431442"/>
      </dataBar>
      <extLst>
        <ext xmlns:x14="http://schemas.microsoft.com/office/spreadsheetml/2009/9/main" uri="{B025F937-C7B1-47D3-B67F-A62EFF666E3E}">
          <x14:id>{B73E7B18-6852-4FD8-ADDF-B8D20899BA4F}</x14:id>
        </ext>
      </extLst>
    </cfRule>
  </conditionalFormatting>
  <conditionalFormatting sqref="I37">
    <cfRule type="iconSet" priority="3512">
      <iconSet iconSet="3Arrows">
        <cfvo type="percent" val="0"/>
        <cfvo type="num" val="0.7"/>
        <cfvo type="num" val="1"/>
      </iconSet>
    </cfRule>
    <cfRule type="dataBar" priority="3513">
      <dataBar>
        <cfvo type="num" val="0"/>
        <cfvo type="num" val="1"/>
        <color theme="4" tint="0.79998168889431442"/>
      </dataBar>
      <extLst>
        <ext xmlns:x14="http://schemas.microsoft.com/office/spreadsheetml/2009/9/main" uri="{B025F937-C7B1-47D3-B67F-A62EFF666E3E}">
          <x14:id>{CE658283-8712-421C-8267-070116D521A8}</x14:id>
        </ext>
      </extLst>
    </cfRule>
  </conditionalFormatting>
  <conditionalFormatting sqref="I39">
    <cfRule type="iconSet" priority="3526">
      <iconSet iconSet="3Arrows">
        <cfvo type="percent" val="0"/>
        <cfvo type="num" val="0.7"/>
        <cfvo type="num" val="1"/>
      </iconSet>
    </cfRule>
    <cfRule type="dataBar" priority="3527">
      <dataBar>
        <cfvo type="num" val="0"/>
        <cfvo type="num" val="1"/>
        <color theme="4" tint="0.79998168889431442"/>
      </dataBar>
      <extLst>
        <ext xmlns:x14="http://schemas.microsoft.com/office/spreadsheetml/2009/9/main" uri="{B025F937-C7B1-47D3-B67F-A62EFF666E3E}">
          <x14:id>{BA6D94A9-7321-4E96-AFB7-7149696AB1F6}</x14:id>
        </ext>
      </extLst>
    </cfRule>
  </conditionalFormatting>
  <conditionalFormatting sqref="I41">
    <cfRule type="iconSet" priority="3540">
      <iconSet iconSet="3Arrows">
        <cfvo type="percent" val="0"/>
        <cfvo type="num" val="0.7"/>
        <cfvo type="num" val="1"/>
      </iconSet>
    </cfRule>
    <cfRule type="dataBar" priority="3541">
      <dataBar>
        <cfvo type="num" val="0"/>
        <cfvo type="num" val="1"/>
        <color theme="4" tint="0.79998168889431442"/>
      </dataBar>
      <extLst>
        <ext xmlns:x14="http://schemas.microsoft.com/office/spreadsheetml/2009/9/main" uri="{B025F937-C7B1-47D3-B67F-A62EFF666E3E}">
          <x14:id>{F4983EDD-06DC-4BAE-A75E-E40349AE623C}</x14:id>
        </ext>
      </extLst>
    </cfRule>
  </conditionalFormatting>
  <conditionalFormatting sqref="I43">
    <cfRule type="iconSet" priority="4804">
      <iconSet iconSet="3Arrows">
        <cfvo type="percent" val="0"/>
        <cfvo type="num" val="0.7"/>
        <cfvo type="num" val="1"/>
      </iconSet>
    </cfRule>
    <cfRule type="dataBar" priority="4805">
      <dataBar>
        <cfvo type="num" val="0"/>
        <cfvo type="num" val="1"/>
        <color theme="4" tint="0.79998168889431442"/>
      </dataBar>
      <extLst>
        <ext xmlns:x14="http://schemas.microsoft.com/office/spreadsheetml/2009/9/main" uri="{B025F937-C7B1-47D3-B67F-A62EFF666E3E}">
          <x14:id>{0D87F490-4C29-4B05-A7F4-D84C40736287}</x14:id>
        </ext>
      </extLst>
    </cfRule>
  </conditionalFormatting>
  <conditionalFormatting sqref="I47">
    <cfRule type="iconSet" priority="5050">
      <iconSet iconSet="3Arrows">
        <cfvo type="percent" val="0"/>
        <cfvo type="num" val="0.7"/>
        <cfvo type="num" val="1"/>
      </iconSet>
    </cfRule>
    <cfRule type="dataBar" priority="5051">
      <dataBar>
        <cfvo type="num" val="0"/>
        <cfvo type="num" val="1"/>
        <color theme="4" tint="0.79998168889431442"/>
      </dataBar>
      <extLst>
        <ext xmlns:x14="http://schemas.microsoft.com/office/spreadsheetml/2009/9/main" uri="{B025F937-C7B1-47D3-B67F-A62EFF666E3E}">
          <x14:id>{E3F4808A-9871-4F21-9A76-5E805266BB88}</x14:id>
        </ext>
      </extLst>
    </cfRule>
  </conditionalFormatting>
  <conditionalFormatting sqref="I49">
    <cfRule type="iconSet" priority="4800">
      <iconSet iconSet="3Arrows">
        <cfvo type="percent" val="0"/>
        <cfvo type="num" val="0.7"/>
        <cfvo type="num" val="1"/>
      </iconSet>
    </cfRule>
    <cfRule type="dataBar" priority="4801">
      <dataBar>
        <cfvo type="num" val="0"/>
        <cfvo type="num" val="1"/>
        <color theme="4" tint="0.79998168889431442"/>
      </dataBar>
      <extLst>
        <ext xmlns:x14="http://schemas.microsoft.com/office/spreadsheetml/2009/9/main" uri="{B025F937-C7B1-47D3-B67F-A62EFF666E3E}">
          <x14:id>{BCA8EFFA-7F59-4904-AC20-82993953BB94}</x14:id>
        </ext>
      </extLst>
    </cfRule>
  </conditionalFormatting>
  <conditionalFormatting sqref="I51">
    <cfRule type="iconSet" priority="2911">
      <iconSet iconSet="3Arrows">
        <cfvo type="percent" val="0"/>
        <cfvo type="num" val="0.7"/>
        <cfvo type="num" val="1"/>
      </iconSet>
    </cfRule>
    <cfRule type="dataBar" priority="2912">
      <dataBar>
        <cfvo type="num" val="0"/>
        <cfvo type="num" val="1"/>
        <color theme="4" tint="0.79998168889431442"/>
      </dataBar>
      <extLst>
        <ext xmlns:x14="http://schemas.microsoft.com/office/spreadsheetml/2009/9/main" uri="{B025F937-C7B1-47D3-B67F-A62EFF666E3E}">
          <x14:id>{C735B348-1E9E-4F9E-9756-63D639CCEFC1}</x14:id>
        </ext>
      </extLst>
    </cfRule>
  </conditionalFormatting>
  <conditionalFormatting sqref="I53">
    <cfRule type="iconSet" priority="4502">
      <iconSet iconSet="3Arrows">
        <cfvo type="percent" val="0"/>
        <cfvo type="num" val="0.7"/>
        <cfvo type="num" val="1"/>
      </iconSet>
    </cfRule>
    <cfRule type="dataBar" priority="4503">
      <dataBar>
        <cfvo type="num" val="0"/>
        <cfvo type="num" val="1"/>
        <color theme="4" tint="0.79998168889431442"/>
      </dataBar>
      <extLst>
        <ext xmlns:x14="http://schemas.microsoft.com/office/spreadsheetml/2009/9/main" uri="{B025F937-C7B1-47D3-B67F-A62EFF666E3E}">
          <x14:id>{95B67A51-03C8-49A0-AA5A-84AB881EE3D4}</x14:id>
        </ext>
      </extLst>
    </cfRule>
  </conditionalFormatting>
  <conditionalFormatting sqref="I55">
    <cfRule type="iconSet" priority="3498">
      <iconSet iconSet="3Arrows">
        <cfvo type="percent" val="0"/>
        <cfvo type="num" val="0.7"/>
        <cfvo type="num" val="1"/>
      </iconSet>
    </cfRule>
    <cfRule type="dataBar" priority="3499">
      <dataBar>
        <cfvo type="num" val="0"/>
        <cfvo type="num" val="1"/>
        <color theme="4" tint="0.79998168889431442"/>
      </dataBar>
      <extLst>
        <ext xmlns:x14="http://schemas.microsoft.com/office/spreadsheetml/2009/9/main" uri="{B025F937-C7B1-47D3-B67F-A62EFF666E3E}">
          <x14:id>{F381FB38-E2F4-4B9A-A143-3886ACE39D45}</x14:id>
        </ext>
      </extLst>
    </cfRule>
  </conditionalFormatting>
  <conditionalFormatting sqref="I57">
    <cfRule type="iconSet" priority="2897">
      <iconSet iconSet="3Arrows">
        <cfvo type="percent" val="0"/>
        <cfvo type="num" val="0.7"/>
        <cfvo type="num" val="1"/>
      </iconSet>
    </cfRule>
    <cfRule type="dataBar" priority="2898">
      <dataBar>
        <cfvo type="num" val="0"/>
        <cfvo type="num" val="1"/>
        <color theme="4" tint="0.79998168889431442"/>
      </dataBar>
      <extLst>
        <ext xmlns:x14="http://schemas.microsoft.com/office/spreadsheetml/2009/9/main" uri="{B025F937-C7B1-47D3-B67F-A62EFF666E3E}">
          <x14:id>{078FF548-339E-4E37-BA1D-7A9AFC92AC49}</x14:id>
        </ext>
      </extLst>
    </cfRule>
  </conditionalFormatting>
  <conditionalFormatting sqref="I59">
    <cfRule type="iconSet" priority="2883">
      <iconSet iconSet="3Arrows">
        <cfvo type="percent" val="0"/>
        <cfvo type="num" val="0.7"/>
        <cfvo type="num" val="1"/>
      </iconSet>
    </cfRule>
    <cfRule type="dataBar" priority="2884">
      <dataBar>
        <cfvo type="num" val="0"/>
        <cfvo type="num" val="1"/>
        <color theme="4" tint="0.79998168889431442"/>
      </dataBar>
      <extLst>
        <ext xmlns:x14="http://schemas.microsoft.com/office/spreadsheetml/2009/9/main" uri="{B025F937-C7B1-47D3-B67F-A62EFF666E3E}">
          <x14:id>{A5A49F6E-5918-453C-8D32-982839C96B47}</x14:id>
        </ext>
      </extLst>
    </cfRule>
  </conditionalFormatting>
  <conditionalFormatting sqref="I61">
    <cfRule type="iconSet" priority="1477">
      <iconSet iconSet="3Arrows">
        <cfvo type="percent" val="0"/>
        <cfvo type="num" val="0.7"/>
        <cfvo type="num" val="1"/>
      </iconSet>
    </cfRule>
    <cfRule type="dataBar" priority="1478">
      <dataBar>
        <cfvo type="num" val="0"/>
        <cfvo type="num" val="1"/>
        <color theme="4" tint="0.79998168889431442"/>
      </dataBar>
      <extLst>
        <ext xmlns:x14="http://schemas.microsoft.com/office/spreadsheetml/2009/9/main" uri="{B025F937-C7B1-47D3-B67F-A62EFF666E3E}">
          <x14:id>{0A4D44D6-AD5B-4C4D-B1D1-E3F591042EBC}</x14:id>
        </ext>
      </extLst>
    </cfRule>
  </conditionalFormatting>
  <conditionalFormatting sqref="I63">
    <cfRule type="iconSet" priority="2463">
      <iconSet iconSet="3Arrows">
        <cfvo type="percent" val="0"/>
        <cfvo type="num" val="0.7"/>
        <cfvo type="num" val="1"/>
      </iconSet>
    </cfRule>
    <cfRule type="dataBar" priority="2464">
      <dataBar>
        <cfvo type="num" val="0"/>
        <cfvo type="num" val="1"/>
        <color theme="4" tint="0.79998168889431442"/>
      </dataBar>
      <extLst>
        <ext xmlns:x14="http://schemas.microsoft.com/office/spreadsheetml/2009/9/main" uri="{B025F937-C7B1-47D3-B67F-A62EFF666E3E}">
          <x14:id>{A522C214-4349-46A0-96F7-79336AFED45D}</x14:id>
        </ext>
      </extLst>
    </cfRule>
  </conditionalFormatting>
  <conditionalFormatting sqref="I65">
    <cfRule type="iconSet" priority="2869">
      <iconSet iconSet="3Arrows">
        <cfvo type="percent" val="0"/>
        <cfvo type="num" val="0.7"/>
        <cfvo type="num" val="1"/>
      </iconSet>
    </cfRule>
    <cfRule type="dataBar" priority="2870">
      <dataBar>
        <cfvo type="num" val="0"/>
        <cfvo type="num" val="1"/>
        <color theme="4" tint="0.79998168889431442"/>
      </dataBar>
      <extLst>
        <ext xmlns:x14="http://schemas.microsoft.com/office/spreadsheetml/2009/9/main" uri="{B025F937-C7B1-47D3-B67F-A62EFF666E3E}">
          <x14:id>{0915EE78-A56F-4CB3-B035-F22818FC5574}</x14:id>
        </ext>
      </extLst>
    </cfRule>
  </conditionalFormatting>
  <conditionalFormatting sqref="I67">
    <cfRule type="iconSet" priority="3416">
      <iconSet iconSet="3Arrows">
        <cfvo type="percent" val="0"/>
        <cfvo type="num" val="0.7"/>
        <cfvo type="num" val="1"/>
      </iconSet>
    </cfRule>
    <cfRule type="dataBar" priority="3417">
      <dataBar>
        <cfvo type="num" val="0"/>
        <cfvo type="num" val="1"/>
        <color theme="4" tint="0.79998168889431442"/>
      </dataBar>
      <extLst>
        <ext xmlns:x14="http://schemas.microsoft.com/office/spreadsheetml/2009/9/main" uri="{B025F937-C7B1-47D3-B67F-A62EFF666E3E}">
          <x14:id>{C85D24A4-394E-46A2-A284-E183CFBF0993}</x14:id>
        </ext>
      </extLst>
    </cfRule>
  </conditionalFormatting>
  <conditionalFormatting sqref="I69">
    <cfRule type="iconSet" priority="5013">
      <iconSet iconSet="3Arrows">
        <cfvo type="percent" val="0"/>
        <cfvo type="num" val="0.7"/>
        <cfvo type="num" val="1"/>
      </iconSet>
    </cfRule>
    <cfRule type="dataBar" priority="5014">
      <dataBar>
        <cfvo type="num" val="0"/>
        <cfvo type="num" val="1"/>
        <color theme="4" tint="0.79998168889431442"/>
      </dataBar>
      <extLst>
        <ext xmlns:x14="http://schemas.microsoft.com/office/spreadsheetml/2009/9/main" uri="{B025F937-C7B1-47D3-B67F-A62EFF666E3E}">
          <x14:id>{3ECADE69-B93A-4D8B-A450-F4DCBB9B6871}</x14:id>
        </ext>
      </extLst>
    </cfRule>
  </conditionalFormatting>
  <conditionalFormatting sqref="I73">
    <cfRule type="iconSet" priority="4841">
      <iconSet iconSet="3Arrows">
        <cfvo type="percent" val="0"/>
        <cfvo type="num" val="0.7"/>
        <cfvo type="num" val="1"/>
      </iconSet>
    </cfRule>
    <cfRule type="dataBar" priority="4842">
      <dataBar>
        <cfvo type="num" val="0"/>
        <cfvo type="num" val="1"/>
        <color theme="4" tint="0.79998168889431442"/>
      </dataBar>
      <extLst>
        <ext xmlns:x14="http://schemas.microsoft.com/office/spreadsheetml/2009/9/main" uri="{B025F937-C7B1-47D3-B67F-A62EFF666E3E}">
          <x14:id>{4788C376-1DAC-4ECB-BAD2-001C81F4E53C}</x14:id>
        </ext>
      </extLst>
    </cfRule>
  </conditionalFormatting>
  <conditionalFormatting sqref="I77">
    <cfRule type="iconSet" priority="5060">
      <iconSet iconSet="3Arrows">
        <cfvo type="percent" val="0"/>
        <cfvo type="num" val="0.7"/>
        <cfvo type="num" val="1"/>
      </iconSet>
    </cfRule>
    <cfRule type="dataBar" priority="5061">
      <dataBar>
        <cfvo type="num" val="0"/>
        <cfvo type="num" val="1"/>
        <color theme="4" tint="0.79998168889431442"/>
      </dataBar>
      <extLst>
        <ext xmlns:x14="http://schemas.microsoft.com/office/spreadsheetml/2009/9/main" uri="{B025F937-C7B1-47D3-B67F-A62EFF666E3E}">
          <x14:id>{7785ADB0-32AD-47FE-8EE4-A837B201119B}</x14:id>
        </ext>
      </extLst>
    </cfRule>
  </conditionalFormatting>
  <conditionalFormatting sqref="I81">
    <cfRule type="iconSet" priority="4857">
      <iconSet iconSet="3Arrows">
        <cfvo type="percent" val="0"/>
        <cfvo type="num" val="0.7"/>
        <cfvo type="num" val="1"/>
      </iconSet>
    </cfRule>
    <cfRule type="dataBar" priority="4858">
      <dataBar>
        <cfvo type="num" val="0"/>
        <cfvo type="num" val="1"/>
        <color theme="4" tint="0.79998168889431442"/>
      </dataBar>
      <extLst>
        <ext xmlns:x14="http://schemas.microsoft.com/office/spreadsheetml/2009/9/main" uri="{B025F937-C7B1-47D3-B67F-A62EFF666E3E}">
          <x14:id>{272B1DF5-F7F0-4E55-811E-CDAF41E6E166}</x14:id>
        </ext>
      </extLst>
    </cfRule>
  </conditionalFormatting>
  <conditionalFormatting sqref="I83">
    <cfRule type="iconSet" priority="4838">
      <iconSet iconSet="3Arrows">
        <cfvo type="percent" val="0"/>
        <cfvo type="num" val="0.7"/>
        <cfvo type="num" val="1"/>
      </iconSet>
    </cfRule>
    <cfRule type="dataBar" priority="4839">
      <dataBar>
        <cfvo type="num" val="0"/>
        <cfvo type="num" val="1"/>
        <color theme="4" tint="0.79998168889431442"/>
      </dataBar>
      <extLst>
        <ext xmlns:x14="http://schemas.microsoft.com/office/spreadsheetml/2009/9/main" uri="{B025F937-C7B1-47D3-B67F-A62EFF666E3E}">
          <x14:id>{AE51ACEA-1E63-4CE1-B691-B35181A09AD7}</x14:id>
        </ext>
      </extLst>
    </cfRule>
  </conditionalFormatting>
  <conditionalFormatting sqref="I85">
    <cfRule type="iconSet" priority="4830">
      <iconSet iconSet="3Arrows">
        <cfvo type="percent" val="0"/>
        <cfvo type="num" val="0.7"/>
        <cfvo type="num" val="1"/>
      </iconSet>
    </cfRule>
    <cfRule type="dataBar" priority="4831">
      <dataBar>
        <cfvo type="num" val="0"/>
        <cfvo type="num" val="1"/>
        <color theme="4" tint="0.79998168889431442"/>
      </dataBar>
      <extLst>
        <ext xmlns:x14="http://schemas.microsoft.com/office/spreadsheetml/2009/9/main" uri="{B025F937-C7B1-47D3-B67F-A62EFF666E3E}">
          <x14:id>{9CEB5D6C-05E8-4377-956D-75A9EBCFCB22}</x14:id>
        </ext>
      </extLst>
    </cfRule>
  </conditionalFormatting>
  <conditionalFormatting sqref="I87">
    <cfRule type="iconSet" priority="4822">
      <iconSet iconSet="3Arrows">
        <cfvo type="percent" val="0"/>
        <cfvo type="num" val="0.7"/>
        <cfvo type="num" val="1"/>
      </iconSet>
    </cfRule>
    <cfRule type="dataBar" priority="4823">
      <dataBar>
        <cfvo type="num" val="0"/>
        <cfvo type="num" val="1"/>
        <color theme="4" tint="0.79998168889431442"/>
      </dataBar>
      <extLst>
        <ext xmlns:x14="http://schemas.microsoft.com/office/spreadsheetml/2009/9/main" uri="{B025F937-C7B1-47D3-B67F-A62EFF666E3E}">
          <x14:id>{37EE81A3-C620-4B0D-A255-931C3A62D74F}</x14:id>
        </ext>
      </extLst>
    </cfRule>
  </conditionalFormatting>
  <conditionalFormatting sqref="I89 I79">
    <cfRule type="iconSet" priority="5181">
      <iconSet iconSet="3Arrows">
        <cfvo type="percent" val="0"/>
        <cfvo type="num" val="0.7"/>
        <cfvo type="num" val="1"/>
      </iconSet>
    </cfRule>
    <cfRule type="dataBar" priority="5182">
      <dataBar>
        <cfvo type="num" val="0"/>
        <cfvo type="num" val="1"/>
        <color theme="4" tint="0.79998168889431442"/>
      </dataBar>
      <extLst>
        <ext xmlns:x14="http://schemas.microsoft.com/office/spreadsheetml/2009/9/main" uri="{B025F937-C7B1-47D3-B67F-A62EFF666E3E}">
          <x14:id>{73131A9C-3183-4423-82F6-4FDB54228432}</x14:id>
        </ext>
      </extLst>
    </cfRule>
  </conditionalFormatting>
  <conditionalFormatting sqref="I93">
    <cfRule type="iconSet" priority="4780">
      <iconSet iconSet="3Arrows">
        <cfvo type="percent" val="0"/>
        <cfvo type="num" val="0.7"/>
        <cfvo type="num" val="1"/>
      </iconSet>
    </cfRule>
    <cfRule type="dataBar" priority="4781">
      <dataBar>
        <cfvo type="num" val="0"/>
        <cfvo type="num" val="1"/>
        <color theme="4" tint="0.79998168889431442"/>
      </dataBar>
      <extLst>
        <ext xmlns:x14="http://schemas.microsoft.com/office/spreadsheetml/2009/9/main" uri="{B025F937-C7B1-47D3-B67F-A62EFF666E3E}">
          <x14:id>{F1A924F7-DFB1-4567-829B-6CA99F2025D5}</x14:id>
        </ext>
      </extLst>
    </cfRule>
  </conditionalFormatting>
  <conditionalFormatting sqref="I95">
    <cfRule type="iconSet" priority="4741">
      <iconSet iconSet="3Arrows">
        <cfvo type="percent" val="0"/>
        <cfvo type="num" val="0.7"/>
        <cfvo type="num" val="1"/>
      </iconSet>
    </cfRule>
    <cfRule type="dataBar" priority="4742">
      <dataBar>
        <cfvo type="num" val="0"/>
        <cfvo type="num" val="1"/>
        <color theme="4" tint="0.79998168889431442"/>
      </dataBar>
      <extLst>
        <ext xmlns:x14="http://schemas.microsoft.com/office/spreadsheetml/2009/9/main" uri="{B025F937-C7B1-47D3-B67F-A62EFF666E3E}">
          <x14:id>{CE5B9A31-C98A-43BB-B205-73F9B91DC6CC}</x14:id>
        </ext>
      </extLst>
    </cfRule>
  </conditionalFormatting>
  <conditionalFormatting sqref="I97">
    <cfRule type="iconSet" priority="1957">
      <iconSet iconSet="3Arrows">
        <cfvo type="percent" val="0"/>
        <cfvo type="num" val="0.7"/>
        <cfvo type="num" val="1"/>
      </iconSet>
    </cfRule>
    <cfRule type="dataBar" priority="1958">
      <dataBar>
        <cfvo type="num" val="0"/>
        <cfvo type="num" val="1"/>
        <color theme="4" tint="0.79998168889431442"/>
      </dataBar>
      <extLst>
        <ext xmlns:x14="http://schemas.microsoft.com/office/spreadsheetml/2009/9/main" uri="{B025F937-C7B1-47D3-B67F-A62EFF666E3E}">
          <x14:id>{BEF4AE9E-687C-4E80-A5AF-330EDCD4D91D}</x14:id>
        </ext>
      </extLst>
    </cfRule>
  </conditionalFormatting>
  <conditionalFormatting sqref="I99">
    <cfRule type="iconSet" priority="1994">
      <iconSet iconSet="3Arrows">
        <cfvo type="percent" val="0"/>
        <cfvo type="num" val="0.7"/>
        <cfvo type="num" val="1"/>
      </iconSet>
    </cfRule>
    <cfRule type="dataBar" priority="1995">
      <dataBar>
        <cfvo type="num" val="0"/>
        <cfvo type="num" val="1"/>
        <color theme="4" tint="0.79998168889431442"/>
      </dataBar>
      <extLst>
        <ext xmlns:x14="http://schemas.microsoft.com/office/spreadsheetml/2009/9/main" uri="{B025F937-C7B1-47D3-B67F-A62EFF666E3E}">
          <x14:id>{4987A7CE-2AE5-4950-9E43-DA12E8B29C4A}</x14:id>
        </ext>
      </extLst>
    </cfRule>
  </conditionalFormatting>
  <conditionalFormatting sqref="I101">
    <cfRule type="iconSet" priority="1931">
      <iconSet iconSet="3Arrows">
        <cfvo type="percent" val="0"/>
        <cfvo type="num" val="0.7"/>
        <cfvo type="num" val="1"/>
      </iconSet>
    </cfRule>
    <cfRule type="dataBar" priority="1932">
      <dataBar>
        <cfvo type="num" val="0"/>
        <cfvo type="num" val="1"/>
        <color theme="4" tint="0.79998168889431442"/>
      </dataBar>
      <extLst>
        <ext xmlns:x14="http://schemas.microsoft.com/office/spreadsheetml/2009/9/main" uri="{B025F937-C7B1-47D3-B67F-A62EFF666E3E}">
          <x14:id>{A54C48C4-D23B-4464-93EE-1319F7EC81C8}</x14:id>
        </ext>
      </extLst>
    </cfRule>
  </conditionalFormatting>
  <conditionalFormatting sqref="I103">
    <cfRule type="iconSet" priority="4788">
      <iconSet iconSet="3Arrows">
        <cfvo type="percent" val="0"/>
        <cfvo type="num" val="0.7"/>
        <cfvo type="num" val="1"/>
      </iconSet>
    </cfRule>
    <cfRule type="dataBar" priority="4789">
      <dataBar>
        <cfvo type="num" val="0"/>
        <cfvo type="num" val="1"/>
        <color theme="4" tint="0.79998168889431442"/>
      </dataBar>
      <extLst>
        <ext xmlns:x14="http://schemas.microsoft.com/office/spreadsheetml/2009/9/main" uri="{B025F937-C7B1-47D3-B67F-A62EFF666E3E}">
          <x14:id>{8BA7FDC7-F895-493B-BAB2-9EF1B3FC9C99}</x14:id>
        </ext>
      </extLst>
    </cfRule>
  </conditionalFormatting>
  <conditionalFormatting sqref="I105">
    <cfRule type="iconSet" priority="4757">
      <iconSet iconSet="3Arrows">
        <cfvo type="percent" val="0"/>
        <cfvo type="num" val="0.7"/>
        <cfvo type="num" val="1"/>
      </iconSet>
    </cfRule>
    <cfRule type="dataBar" priority="4758">
      <dataBar>
        <cfvo type="num" val="0"/>
        <cfvo type="num" val="1"/>
        <color theme="4" tint="0.79998168889431442"/>
      </dataBar>
      <extLst>
        <ext xmlns:x14="http://schemas.microsoft.com/office/spreadsheetml/2009/9/main" uri="{B025F937-C7B1-47D3-B67F-A62EFF666E3E}">
          <x14:id>{B8921C01-9BFA-46BB-A3CA-BF3B5D987C94}</x14:id>
        </ext>
      </extLst>
    </cfRule>
  </conditionalFormatting>
  <conditionalFormatting sqref="I107">
    <cfRule type="iconSet" priority="4749">
      <iconSet iconSet="3Arrows">
        <cfvo type="percent" val="0"/>
        <cfvo type="num" val="0.7"/>
        <cfvo type="num" val="1"/>
      </iconSet>
    </cfRule>
    <cfRule type="dataBar" priority="4750">
      <dataBar>
        <cfvo type="num" val="0"/>
        <cfvo type="num" val="1"/>
        <color theme="4" tint="0.79998168889431442"/>
      </dataBar>
      <extLst>
        <ext xmlns:x14="http://schemas.microsoft.com/office/spreadsheetml/2009/9/main" uri="{B025F937-C7B1-47D3-B67F-A62EFF666E3E}">
          <x14:id>{1448DF0C-54AA-4293-8077-932B3C7A0122}</x14:id>
        </ext>
      </extLst>
    </cfRule>
  </conditionalFormatting>
  <conditionalFormatting sqref="I109">
    <cfRule type="iconSet" priority="2851">
      <iconSet iconSet="3Arrows">
        <cfvo type="percent" val="0"/>
        <cfvo type="num" val="0.7"/>
        <cfvo type="num" val="1"/>
      </iconSet>
    </cfRule>
    <cfRule type="dataBar" priority="2852">
      <dataBar>
        <cfvo type="num" val="0"/>
        <cfvo type="num" val="1"/>
        <color theme="4" tint="0.79998168889431442"/>
      </dataBar>
      <extLst>
        <ext xmlns:x14="http://schemas.microsoft.com/office/spreadsheetml/2009/9/main" uri="{B025F937-C7B1-47D3-B67F-A62EFF666E3E}">
          <x14:id>{7E1AFBF2-BA59-402E-9839-9C868B953F10}</x14:id>
        </ext>
      </extLst>
    </cfRule>
  </conditionalFormatting>
  <conditionalFormatting sqref="I113">
    <cfRule type="iconSet" priority="4771">
      <iconSet iconSet="3Arrows">
        <cfvo type="percent" val="0"/>
        <cfvo type="num" val="0.7"/>
        <cfvo type="num" val="1"/>
      </iconSet>
    </cfRule>
    <cfRule type="dataBar" priority="4772">
      <dataBar>
        <cfvo type="num" val="0"/>
        <cfvo type="num" val="1"/>
        <color theme="4" tint="0.79998168889431442"/>
      </dataBar>
      <extLst>
        <ext xmlns:x14="http://schemas.microsoft.com/office/spreadsheetml/2009/9/main" uri="{B025F937-C7B1-47D3-B67F-A62EFF666E3E}">
          <x14:id>{26F8DA92-1A19-48EA-9A20-660F275ABB97}</x14:id>
        </ext>
      </extLst>
    </cfRule>
  </conditionalFormatting>
  <conditionalFormatting sqref="I115">
    <cfRule type="iconSet" priority="4765">
      <iconSet iconSet="3Arrows">
        <cfvo type="percent" val="0"/>
        <cfvo type="num" val="0.7"/>
        <cfvo type="num" val="1"/>
      </iconSet>
    </cfRule>
    <cfRule type="dataBar" priority="4766">
      <dataBar>
        <cfvo type="num" val="0"/>
        <cfvo type="num" val="1"/>
        <color theme="4" tint="0.79998168889431442"/>
      </dataBar>
      <extLst>
        <ext xmlns:x14="http://schemas.microsoft.com/office/spreadsheetml/2009/9/main" uri="{B025F937-C7B1-47D3-B67F-A62EFF666E3E}">
          <x14:id>{38D079F9-4D64-4D3C-927B-1BF5D1FE0EAD}</x14:id>
        </ext>
      </extLst>
    </cfRule>
  </conditionalFormatting>
  <conditionalFormatting sqref="I119">
    <cfRule type="iconSet" priority="5058">
      <iconSet iconSet="3Arrows">
        <cfvo type="percent" val="0"/>
        <cfvo type="num" val="0.7"/>
        <cfvo type="num" val="1"/>
      </iconSet>
    </cfRule>
    <cfRule type="dataBar" priority="5059">
      <dataBar>
        <cfvo type="num" val="0"/>
        <cfvo type="num" val="1"/>
        <color theme="4" tint="0.79998168889431442"/>
      </dataBar>
      <extLst>
        <ext xmlns:x14="http://schemas.microsoft.com/office/spreadsheetml/2009/9/main" uri="{B025F937-C7B1-47D3-B67F-A62EFF666E3E}">
          <x14:id>{809259C4-98E7-4D22-88D3-C376B6F9F22B}</x14:id>
        </ext>
      </extLst>
    </cfRule>
  </conditionalFormatting>
  <conditionalFormatting sqref="I121">
    <cfRule type="iconSet" priority="5187">
      <iconSet iconSet="3Arrows">
        <cfvo type="percent" val="0"/>
        <cfvo type="num" val="0.7"/>
        <cfvo type="num" val="1"/>
      </iconSet>
    </cfRule>
    <cfRule type="dataBar" priority="5188">
      <dataBar>
        <cfvo type="num" val="0"/>
        <cfvo type="num" val="1"/>
        <color theme="4" tint="0.79998168889431442"/>
      </dataBar>
      <extLst>
        <ext xmlns:x14="http://schemas.microsoft.com/office/spreadsheetml/2009/9/main" uri="{B025F937-C7B1-47D3-B67F-A62EFF666E3E}">
          <x14:id>{A5D7103A-B245-4FFA-9552-C33231379F18}</x14:id>
        </ext>
      </extLst>
    </cfRule>
  </conditionalFormatting>
  <conditionalFormatting sqref="I123">
    <cfRule type="iconSet" priority="4999">
      <iconSet iconSet="3Arrows">
        <cfvo type="percent" val="0"/>
        <cfvo type="num" val="0.7"/>
        <cfvo type="num" val="1"/>
      </iconSet>
    </cfRule>
    <cfRule type="dataBar" priority="5000">
      <dataBar>
        <cfvo type="num" val="0"/>
        <cfvo type="num" val="1"/>
        <color theme="4" tint="0.79998168889431442"/>
      </dataBar>
      <extLst>
        <ext xmlns:x14="http://schemas.microsoft.com/office/spreadsheetml/2009/9/main" uri="{B025F937-C7B1-47D3-B67F-A62EFF666E3E}">
          <x14:id>{C024CAE7-5060-4C6B-AEE9-6118CE638E64}</x14:id>
        </ext>
      </extLst>
    </cfRule>
  </conditionalFormatting>
  <conditionalFormatting sqref="I125">
    <cfRule type="iconSet" priority="3482">
      <iconSet iconSet="3Arrows">
        <cfvo type="percent" val="0"/>
        <cfvo type="num" val="0.7"/>
        <cfvo type="num" val="1"/>
      </iconSet>
    </cfRule>
    <cfRule type="dataBar" priority="3483">
      <dataBar>
        <cfvo type="num" val="0"/>
        <cfvo type="num" val="1"/>
        <color theme="4" tint="0.79998168889431442"/>
      </dataBar>
      <extLst>
        <ext xmlns:x14="http://schemas.microsoft.com/office/spreadsheetml/2009/9/main" uri="{B025F937-C7B1-47D3-B67F-A62EFF666E3E}">
          <x14:id>{EC91E5BF-6642-406B-BBB1-7E7E7F908090}</x14:id>
        </ext>
      </extLst>
    </cfRule>
  </conditionalFormatting>
  <conditionalFormatting sqref="I127">
    <cfRule type="iconSet" priority="3241">
      <iconSet iconSet="3Arrows">
        <cfvo type="percent" val="0"/>
        <cfvo type="num" val="0.7"/>
        <cfvo type="num" val="1"/>
      </iconSet>
    </cfRule>
    <cfRule type="dataBar" priority="3242">
      <dataBar>
        <cfvo type="num" val="0"/>
        <cfvo type="num" val="1"/>
        <color theme="4" tint="0.79998168889431442"/>
      </dataBar>
      <extLst>
        <ext xmlns:x14="http://schemas.microsoft.com/office/spreadsheetml/2009/9/main" uri="{B025F937-C7B1-47D3-B67F-A62EFF666E3E}">
          <x14:id>{2ACF591C-D3D2-4C36-B3ED-39DE084EB00C}</x14:id>
        </ext>
      </extLst>
    </cfRule>
  </conditionalFormatting>
  <conditionalFormatting sqref="I129">
    <cfRule type="iconSet" priority="4993">
      <iconSet iconSet="3Arrows">
        <cfvo type="percent" val="0"/>
        <cfvo type="num" val="0.7"/>
        <cfvo type="num" val="1"/>
      </iconSet>
    </cfRule>
    <cfRule type="dataBar" priority="4994">
      <dataBar>
        <cfvo type="num" val="0"/>
        <cfvo type="num" val="1"/>
        <color theme="4" tint="0.79998168889431442"/>
      </dataBar>
      <extLst>
        <ext xmlns:x14="http://schemas.microsoft.com/office/spreadsheetml/2009/9/main" uri="{B025F937-C7B1-47D3-B67F-A62EFF666E3E}">
          <x14:id>{5FD39C93-0A02-47B5-A191-59DC6830439D}</x14:id>
        </ext>
      </extLst>
    </cfRule>
  </conditionalFormatting>
  <conditionalFormatting sqref="I131">
    <cfRule type="iconSet" priority="2952">
      <iconSet iconSet="3Arrows">
        <cfvo type="percent" val="0"/>
        <cfvo type="num" val="0.7"/>
        <cfvo type="num" val="1"/>
      </iconSet>
    </cfRule>
    <cfRule type="dataBar" priority="2953">
      <dataBar>
        <cfvo type="num" val="0"/>
        <cfvo type="num" val="1"/>
        <color theme="4" tint="0.79998168889431442"/>
      </dataBar>
      <extLst>
        <ext xmlns:x14="http://schemas.microsoft.com/office/spreadsheetml/2009/9/main" uri="{B025F937-C7B1-47D3-B67F-A62EFF666E3E}">
          <x14:id>{2DC9E001-526C-426F-A516-EA26A2B0874A}</x14:id>
        </ext>
      </extLst>
    </cfRule>
  </conditionalFormatting>
  <conditionalFormatting sqref="I134">
    <cfRule type="iconSet" priority="1496">
      <iconSet iconSet="3Arrows">
        <cfvo type="percent" val="0"/>
        <cfvo type="num" val="0.7"/>
        <cfvo type="num" val="1"/>
      </iconSet>
    </cfRule>
    <cfRule type="dataBar" priority="1497">
      <dataBar>
        <cfvo type="num" val="0"/>
        <cfvo type="num" val="1"/>
        <color theme="4" tint="0.79998168889431442"/>
      </dataBar>
      <extLst>
        <ext xmlns:x14="http://schemas.microsoft.com/office/spreadsheetml/2009/9/main" uri="{B025F937-C7B1-47D3-B67F-A62EFF666E3E}">
          <x14:id>{699CE0CF-2E58-4F41-85D5-33DD4312DE74}</x14:id>
        </ext>
      </extLst>
    </cfRule>
  </conditionalFormatting>
  <conditionalFormatting sqref="I137">
    <cfRule type="iconSet" priority="4845">
      <iconSet iconSet="3Arrows">
        <cfvo type="percent" val="0"/>
        <cfvo type="num" val="0.7"/>
        <cfvo type="num" val="1"/>
      </iconSet>
    </cfRule>
    <cfRule type="dataBar" priority="4846">
      <dataBar>
        <cfvo type="num" val="0"/>
        <cfvo type="num" val="1"/>
        <color theme="4" tint="0.79998168889431442"/>
      </dataBar>
      <extLst>
        <ext xmlns:x14="http://schemas.microsoft.com/office/spreadsheetml/2009/9/main" uri="{B025F937-C7B1-47D3-B67F-A62EFF666E3E}">
          <x14:id>{8B95F60A-F4CD-44AA-A300-4228CB1F392C}</x14:id>
        </ext>
      </extLst>
    </cfRule>
  </conditionalFormatting>
  <conditionalFormatting sqref="I140">
    <cfRule type="iconSet" priority="4710">
      <iconSet iconSet="3Arrows">
        <cfvo type="percent" val="0"/>
        <cfvo type="num" val="0.7"/>
        <cfvo type="num" val="1"/>
      </iconSet>
    </cfRule>
    <cfRule type="dataBar" priority="4711">
      <dataBar>
        <cfvo type="num" val="0"/>
        <cfvo type="num" val="1"/>
        <color theme="4" tint="0.79998168889431442"/>
      </dataBar>
      <extLst>
        <ext xmlns:x14="http://schemas.microsoft.com/office/spreadsheetml/2009/9/main" uri="{B025F937-C7B1-47D3-B67F-A62EFF666E3E}">
          <x14:id>{E81B68F2-1591-4146-B4B5-099460FA2B78}</x14:id>
        </ext>
      </extLst>
    </cfRule>
  </conditionalFormatting>
  <conditionalFormatting sqref="I142">
    <cfRule type="iconSet" priority="4436">
      <iconSet iconSet="3Arrows">
        <cfvo type="percent" val="0"/>
        <cfvo type="num" val="0.7"/>
        <cfvo type="num" val="1"/>
      </iconSet>
    </cfRule>
    <cfRule type="dataBar" priority="4437">
      <dataBar>
        <cfvo type="num" val="0"/>
        <cfvo type="num" val="1"/>
        <color theme="4" tint="0.79998168889431442"/>
      </dataBar>
      <extLst>
        <ext xmlns:x14="http://schemas.microsoft.com/office/spreadsheetml/2009/9/main" uri="{B025F937-C7B1-47D3-B67F-A62EFF666E3E}">
          <x14:id>{22CAF7BF-90A8-4B8D-8F2F-8DA5F95F948B}</x14:id>
        </ext>
      </extLst>
    </cfRule>
  </conditionalFormatting>
  <conditionalFormatting sqref="I144">
    <cfRule type="iconSet" priority="4418">
      <iconSet iconSet="3Arrows">
        <cfvo type="percent" val="0"/>
        <cfvo type="num" val="0.7"/>
        <cfvo type="num" val="1"/>
      </iconSet>
    </cfRule>
    <cfRule type="dataBar" priority="4419">
      <dataBar>
        <cfvo type="num" val="0"/>
        <cfvo type="num" val="1"/>
        <color theme="4" tint="0.79998168889431442"/>
      </dataBar>
      <extLst>
        <ext xmlns:x14="http://schemas.microsoft.com/office/spreadsheetml/2009/9/main" uri="{B025F937-C7B1-47D3-B67F-A62EFF666E3E}">
          <x14:id>{C3656BC9-7505-4C47-94ED-0AB41C5DA559}</x14:id>
        </ext>
      </extLst>
    </cfRule>
  </conditionalFormatting>
  <conditionalFormatting sqref="I146">
    <cfRule type="iconSet" priority="1385">
      <iconSet iconSet="3Arrows">
        <cfvo type="percent" val="0"/>
        <cfvo type="num" val="0.7"/>
        <cfvo type="num" val="1"/>
      </iconSet>
    </cfRule>
    <cfRule type="dataBar" priority="1386">
      <dataBar>
        <cfvo type="num" val="0"/>
        <cfvo type="num" val="1"/>
        <color theme="4" tint="0.79998168889431442"/>
      </dataBar>
      <extLst>
        <ext xmlns:x14="http://schemas.microsoft.com/office/spreadsheetml/2009/9/main" uri="{B025F937-C7B1-47D3-B67F-A62EFF666E3E}">
          <x14:id>{BE5C955E-52C4-4E4E-A2D1-3BFB70729311}</x14:id>
        </ext>
      </extLst>
    </cfRule>
  </conditionalFormatting>
  <conditionalFormatting sqref="I150">
    <cfRule type="iconSet" priority="4599">
      <iconSet iconSet="3Arrows">
        <cfvo type="percent" val="0"/>
        <cfvo type="num" val="0.7"/>
        <cfvo type="num" val="1"/>
      </iconSet>
    </cfRule>
    <cfRule type="dataBar" priority="4600">
      <dataBar>
        <cfvo type="num" val="0"/>
        <cfvo type="num" val="1"/>
        <color theme="4" tint="0.79998168889431442"/>
      </dataBar>
      <extLst>
        <ext xmlns:x14="http://schemas.microsoft.com/office/spreadsheetml/2009/9/main" uri="{B025F937-C7B1-47D3-B67F-A62EFF666E3E}">
          <x14:id>{F4753AF7-BF6D-48D6-9A4A-95C68C7DF360}</x14:id>
        </ext>
      </extLst>
    </cfRule>
  </conditionalFormatting>
  <conditionalFormatting sqref="I152">
    <cfRule type="iconSet" priority="4448">
      <iconSet iconSet="3Arrows">
        <cfvo type="percent" val="0"/>
        <cfvo type="num" val="0.7"/>
        <cfvo type="num" val="1"/>
      </iconSet>
    </cfRule>
    <cfRule type="dataBar" priority="4449">
      <dataBar>
        <cfvo type="num" val="0"/>
        <cfvo type="num" val="1"/>
        <color theme="4" tint="0.79998168889431442"/>
      </dataBar>
      <extLst>
        <ext xmlns:x14="http://schemas.microsoft.com/office/spreadsheetml/2009/9/main" uri="{B025F937-C7B1-47D3-B67F-A62EFF666E3E}">
          <x14:id>{2836A849-2481-4575-BF82-75849028E5FB}</x14:id>
        </ext>
      </extLst>
    </cfRule>
  </conditionalFormatting>
  <conditionalFormatting sqref="I154">
    <cfRule type="iconSet" priority="3350">
      <iconSet iconSet="3Arrows">
        <cfvo type="percent" val="0"/>
        <cfvo type="num" val="0.7"/>
        <cfvo type="num" val="1"/>
      </iconSet>
    </cfRule>
    <cfRule type="dataBar" priority="3351">
      <dataBar>
        <cfvo type="num" val="0"/>
        <cfvo type="num" val="1"/>
        <color theme="4" tint="0.79998168889431442"/>
      </dataBar>
      <extLst>
        <ext xmlns:x14="http://schemas.microsoft.com/office/spreadsheetml/2009/9/main" uri="{B025F937-C7B1-47D3-B67F-A62EFF666E3E}">
          <x14:id>{125E38AE-686D-4955-9D5F-85A72CFC4345}</x14:id>
        </ext>
      </extLst>
    </cfRule>
  </conditionalFormatting>
  <conditionalFormatting sqref="I156">
    <cfRule type="iconSet" priority="5197">
      <iconSet iconSet="3Arrows">
        <cfvo type="percent" val="0"/>
        <cfvo type="num" val="0.7"/>
        <cfvo type="num" val="1"/>
      </iconSet>
    </cfRule>
    <cfRule type="dataBar" priority="5198">
      <dataBar>
        <cfvo type="num" val="0"/>
        <cfvo type="num" val="1"/>
        <color theme="4" tint="0.79998168889431442"/>
      </dataBar>
      <extLst>
        <ext xmlns:x14="http://schemas.microsoft.com/office/spreadsheetml/2009/9/main" uri="{B025F937-C7B1-47D3-B67F-A62EFF666E3E}">
          <x14:id>{E4C7C407-E007-454C-9053-9B18329ADA10}</x14:id>
        </ext>
      </extLst>
    </cfRule>
  </conditionalFormatting>
  <conditionalFormatting sqref="I158">
    <cfRule type="iconSet" priority="4581">
      <iconSet iconSet="3Arrows">
        <cfvo type="percent" val="0"/>
        <cfvo type="num" val="0.7"/>
        <cfvo type="num" val="1"/>
      </iconSet>
    </cfRule>
    <cfRule type="dataBar" priority="4582">
      <dataBar>
        <cfvo type="num" val="0"/>
        <cfvo type="num" val="1"/>
        <color theme="4" tint="0.79998168889431442"/>
      </dataBar>
      <extLst>
        <ext xmlns:x14="http://schemas.microsoft.com/office/spreadsheetml/2009/9/main" uri="{B025F937-C7B1-47D3-B67F-A62EFF666E3E}">
          <x14:id>{25B07F2F-B0F1-4DC5-B18F-C8EB43633AEF}</x14:id>
        </ext>
      </extLst>
    </cfRule>
  </conditionalFormatting>
  <conditionalFormatting sqref="I160">
    <cfRule type="iconSet" priority="4589">
      <iconSet iconSet="3Arrows">
        <cfvo type="percent" val="0"/>
        <cfvo type="num" val="0.7"/>
        <cfvo type="num" val="1"/>
      </iconSet>
    </cfRule>
    <cfRule type="dataBar" priority="4590">
      <dataBar>
        <cfvo type="num" val="0"/>
        <cfvo type="num" val="1"/>
        <color theme="4" tint="0.79998168889431442"/>
      </dataBar>
      <extLst>
        <ext xmlns:x14="http://schemas.microsoft.com/office/spreadsheetml/2009/9/main" uri="{B025F937-C7B1-47D3-B67F-A62EFF666E3E}">
          <x14:id>{DB0A0CD6-233E-427C-8293-4DBA125AB96E}</x14:id>
        </ext>
      </extLst>
    </cfRule>
  </conditionalFormatting>
  <conditionalFormatting sqref="I162">
    <cfRule type="iconSet" priority="4427">
      <iconSet iconSet="3Arrows">
        <cfvo type="percent" val="0"/>
        <cfvo type="num" val="0.7"/>
        <cfvo type="num" val="1"/>
      </iconSet>
    </cfRule>
    <cfRule type="dataBar" priority="4428">
      <dataBar>
        <cfvo type="num" val="0"/>
        <cfvo type="num" val="1"/>
        <color theme="4" tint="0.79998168889431442"/>
      </dataBar>
      <extLst>
        <ext xmlns:x14="http://schemas.microsoft.com/office/spreadsheetml/2009/9/main" uri="{B025F937-C7B1-47D3-B67F-A62EFF666E3E}">
          <x14:id>{88341876-DE54-411F-AD2C-83E5A318961F}</x14:id>
        </ext>
      </extLst>
    </cfRule>
  </conditionalFormatting>
  <conditionalFormatting sqref="I164">
    <cfRule type="iconSet" priority="2155">
      <iconSet iconSet="3Arrows">
        <cfvo type="percent" val="0"/>
        <cfvo type="num" val="0.7"/>
        <cfvo type="num" val="1"/>
      </iconSet>
    </cfRule>
    <cfRule type="dataBar" priority="2156">
      <dataBar>
        <cfvo type="num" val="0"/>
        <cfvo type="num" val="1"/>
        <color theme="4" tint="0.79998168889431442"/>
      </dataBar>
      <extLst>
        <ext xmlns:x14="http://schemas.microsoft.com/office/spreadsheetml/2009/9/main" uri="{B025F937-C7B1-47D3-B67F-A62EFF666E3E}">
          <x14:id>{CCA3EEBD-1356-4CA9-B274-45D1635535AA}</x14:id>
        </ext>
      </extLst>
    </cfRule>
  </conditionalFormatting>
  <conditionalFormatting sqref="I166">
    <cfRule type="iconSet" priority="4493">
      <iconSet iconSet="3Arrows">
        <cfvo type="percent" val="0"/>
        <cfvo type="num" val="0.7"/>
        <cfvo type="num" val="1"/>
      </iconSet>
    </cfRule>
    <cfRule type="dataBar" priority="4494">
      <dataBar>
        <cfvo type="num" val="0"/>
        <cfvo type="num" val="1"/>
        <color theme="4" tint="0.79998168889431442"/>
      </dataBar>
      <extLst>
        <ext xmlns:x14="http://schemas.microsoft.com/office/spreadsheetml/2009/9/main" uri="{B025F937-C7B1-47D3-B67F-A62EFF666E3E}">
          <x14:id>{0C1DB12A-B859-4CFB-939A-2260F9AF0AC4}</x14:id>
        </ext>
      </extLst>
    </cfRule>
  </conditionalFormatting>
  <conditionalFormatting sqref="I168">
    <cfRule type="iconSet" priority="4573">
      <iconSet iconSet="3Arrows">
        <cfvo type="percent" val="0"/>
        <cfvo type="num" val="0.7"/>
        <cfvo type="num" val="1"/>
      </iconSet>
    </cfRule>
    <cfRule type="dataBar" priority="4574">
      <dataBar>
        <cfvo type="num" val="0"/>
        <cfvo type="num" val="1"/>
        <color theme="4" tint="0.79998168889431442"/>
      </dataBar>
      <extLst>
        <ext xmlns:x14="http://schemas.microsoft.com/office/spreadsheetml/2009/9/main" uri="{B025F937-C7B1-47D3-B67F-A62EFF666E3E}">
          <x14:id>{DDB8B397-06D8-4409-9410-E170B1F8A813}</x14:id>
        </ext>
      </extLst>
    </cfRule>
  </conditionalFormatting>
  <conditionalFormatting sqref="I170 I148 I174">
    <cfRule type="iconSet" priority="4712">
      <iconSet iconSet="3Arrows">
        <cfvo type="percent" val="0"/>
        <cfvo type="num" val="0.7"/>
        <cfvo type="num" val="1"/>
      </iconSet>
    </cfRule>
    <cfRule type="dataBar" priority="4713">
      <dataBar>
        <cfvo type="num" val="0"/>
        <cfvo type="num" val="1"/>
        <color theme="4" tint="0.79998168889431442"/>
      </dataBar>
      <extLst>
        <ext xmlns:x14="http://schemas.microsoft.com/office/spreadsheetml/2009/9/main" uri="{B025F937-C7B1-47D3-B67F-A62EFF666E3E}">
          <x14:id>{537F0E91-E182-4500-B19B-0967B40C3432}</x14:id>
        </ext>
      </extLst>
    </cfRule>
  </conditionalFormatting>
  <conditionalFormatting sqref="I172">
    <cfRule type="iconSet" priority="4485">
      <iconSet iconSet="3Arrows">
        <cfvo type="percent" val="0"/>
        <cfvo type="num" val="0.7"/>
        <cfvo type="num" val="1"/>
      </iconSet>
    </cfRule>
    <cfRule type="dataBar" priority="4486">
      <dataBar>
        <cfvo type="num" val="0"/>
        <cfvo type="num" val="1"/>
        <color theme="4" tint="0.79998168889431442"/>
      </dataBar>
      <extLst>
        <ext xmlns:x14="http://schemas.microsoft.com/office/spreadsheetml/2009/9/main" uri="{B025F937-C7B1-47D3-B67F-A62EFF666E3E}">
          <x14:id>{7CE45398-11C7-48A2-B44B-D1B991570161}</x14:id>
        </ext>
      </extLst>
    </cfRule>
  </conditionalFormatting>
  <conditionalFormatting sqref="I176">
    <cfRule type="iconSet" priority="3163">
      <iconSet iconSet="3Arrows">
        <cfvo type="percent" val="0"/>
        <cfvo type="num" val="0.7"/>
        <cfvo type="num" val="1"/>
      </iconSet>
    </cfRule>
    <cfRule type="dataBar" priority="3164">
      <dataBar>
        <cfvo type="num" val="0"/>
        <cfvo type="num" val="1"/>
        <color theme="4" tint="0.79998168889431442"/>
      </dataBar>
      <extLst>
        <ext xmlns:x14="http://schemas.microsoft.com/office/spreadsheetml/2009/9/main" uri="{B025F937-C7B1-47D3-B67F-A62EFF666E3E}">
          <x14:id>{C79E67A5-30E3-46E4-869B-AD29059630B7}</x14:id>
        </ext>
      </extLst>
    </cfRule>
  </conditionalFormatting>
  <conditionalFormatting sqref="I180">
    <cfRule type="iconSet" priority="4843">
      <iconSet iconSet="3Arrows">
        <cfvo type="percent" val="0"/>
        <cfvo type="num" val="0.7"/>
        <cfvo type="num" val="1"/>
      </iconSet>
    </cfRule>
    <cfRule type="dataBar" priority="4844">
      <dataBar>
        <cfvo type="num" val="0"/>
        <cfvo type="num" val="1"/>
        <color theme="4" tint="0.79998168889431442"/>
      </dataBar>
      <extLst>
        <ext xmlns:x14="http://schemas.microsoft.com/office/spreadsheetml/2009/9/main" uri="{B025F937-C7B1-47D3-B67F-A62EFF666E3E}">
          <x14:id>{23A3C207-236F-4917-B464-43296ED27741}</x14:id>
        </ext>
      </extLst>
    </cfRule>
  </conditionalFormatting>
  <conditionalFormatting sqref="I182">
    <cfRule type="iconSet" priority="4556">
      <iconSet iconSet="3Arrows">
        <cfvo type="percent" val="0"/>
        <cfvo type="num" val="0.7"/>
        <cfvo type="num" val="1"/>
      </iconSet>
    </cfRule>
    <cfRule type="dataBar" priority="4557">
      <dataBar>
        <cfvo type="num" val="0"/>
        <cfvo type="num" val="1"/>
        <color theme="4" tint="0.79998168889431442"/>
      </dataBar>
      <extLst>
        <ext xmlns:x14="http://schemas.microsoft.com/office/spreadsheetml/2009/9/main" uri="{B025F937-C7B1-47D3-B67F-A62EFF666E3E}">
          <x14:id>{98D2283A-8C44-40EA-AF01-B7051DFF1D7C}</x14:id>
        </ext>
      </extLst>
    </cfRule>
  </conditionalFormatting>
  <conditionalFormatting sqref="I184">
    <cfRule type="iconSet" priority="4565">
      <iconSet iconSet="3Arrows">
        <cfvo type="percent" val="0"/>
        <cfvo type="num" val="0.7"/>
        <cfvo type="num" val="1"/>
      </iconSet>
    </cfRule>
    <cfRule type="dataBar" priority="4566">
      <dataBar>
        <cfvo type="num" val="0"/>
        <cfvo type="num" val="1"/>
        <color theme="4" tint="0.79998168889431442"/>
      </dataBar>
      <extLst>
        <ext xmlns:x14="http://schemas.microsoft.com/office/spreadsheetml/2009/9/main" uri="{B025F937-C7B1-47D3-B67F-A62EFF666E3E}">
          <x14:id>{A0C43858-7731-4E4F-B753-1F14041D0090}</x14:id>
        </ext>
      </extLst>
    </cfRule>
  </conditionalFormatting>
  <conditionalFormatting sqref="I186">
    <cfRule type="iconSet" priority="3223">
      <iconSet iconSet="3Arrows">
        <cfvo type="percent" val="0"/>
        <cfvo type="num" val="0.7"/>
        <cfvo type="num" val="1"/>
      </iconSet>
    </cfRule>
    <cfRule type="dataBar" priority="3224">
      <dataBar>
        <cfvo type="num" val="0"/>
        <cfvo type="num" val="1"/>
        <color theme="4" tint="0.79998168889431442"/>
      </dataBar>
      <extLst>
        <ext xmlns:x14="http://schemas.microsoft.com/office/spreadsheetml/2009/9/main" uri="{B025F937-C7B1-47D3-B67F-A62EFF666E3E}">
          <x14:id>{1B74174E-E374-4AED-BDDB-10AD1A0C01B0}</x14:id>
        </ext>
      </extLst>
    </cfRule>
  </conditionalFormatting>
  <conditionalFormatting sqref="I188">
    <cfRule type="iconSet" priority="2969">
      <iconSet iconSet="3Arrows">
        <cfvo type="percent" val="0"/>
        <cfvo type="num" val="0.7"/>
        <cfvo type="num" val="1"/>
      </iconSet>
    </cfRule>
    <cfRule type="dataBar" priority="2970">
      <dataBar>
        <cfvo type="num" val="0"/>
        <cfvo type="num" val="1"/>
        <color theme="4" tint="0.79998168889431442"/>
      </dataBar>
      <extLst>
        <ext xmlns:x14="http://schemas.microsoft.com/office/spreadsheetml/2009/9/main" uri="{B025F937-C7B1-47D3-B67F-A62EFF666E3E}">
          <x14:id>{2146CE09-069E-4971-A8D9-8CA0E5995CA0}</x14:id>
        </ext>
      </extLst>
    </cfRule>
  </conditionalFormatting>
  <conditionalFormatting sqref="I190">
    <cfRule type="iconSet" priority="3209">
      <iconSet iconSet="3Arrows">
        <cfvo type="percent" val="0"/>
        <cfvo type="num" val="0.7"/>
        <cfvo type="num" val="1"/>
      </iconSet>
    </cfRule>
    <cfRule type="dataBar" priority="3210">
      <dataBar>
        <cfvo type="num" val="0"/>
        <cfvo type="num" val="1"/>
        <color theme="4" tint="0.79998168889431442"/>
      </dataBar>
      <extLst>
        <ext xmlns:x14="http://schemas.microsoft.com/office/spreadsheetml/2009/9/main" uri="{B025F937-C7B1-47D3-B67F-A62EFF666E3E}">
          <x14:id>{72713821-2028-40BF-BF67-4D582ED8FDE5}</x14:id>
        </ext>
      </extLst>
    </cfRule>
  </conditionalFormatting>
  <conditionalFormatting sqref="I192">
    <cfRule type="iconSet" priority="4462">
      <iconSet iconSet="3Arrows">
        <cfvo type="percent" val="0"/>
        <cfvo type="num" val="0.7"/>
        <cfvo type="num" val="1"/>
      </iconSet>
    </cfRule>
    <cfRule type="dataBar" priority="4463">
      <dataBar>
        <cfvo type="num" val="0"/>
        <cfvo type="num" val="1"/>
        <color theme="4" tint="0.79998168889431442"/>
      </dataBar>
      <extLst>
        <ext xmlns:x14="http://schemas.microsoft.com/office/spreadsheetml/2009/9/main" uri="{B025F937-C7B1-47D3-B67F-A62EFF666E3E}">
          <x14:id>{6FDC1890-7F03-40FB-875C-A8500BC7B85D}</x14:id>
        </ext>
      </extLst>
    </cfRule>
  </conditionalFormatting>
  <conditionalFormatting sqref="I194">
    <cfRule type="iconSet" priority="4477">
      <iconSet iconSet="3Arrows">
        <cfvo type="percent" val="0"/>
        <cfvo type="num" val="0.7"/>
        <cfvo type="num" val="1"/>
      </iconSet>
    </cfRule>
    <cfRule type="dataBar" priority="4478">
      <dataBar>
        <cfvo type="num" val="0"/>
        <cfvo type="num" val="1"/>
        <color theme="4" tint="0.79998168889431442"/>
      </dataBar>
      <extLst>
        <ext xmlns:x14="http://schemas.microsoft.com/office/spreadsheetml/2009/9/main" uri="{B025F937-C7B1-47D3-B67F-A62EFF666E3E}">
          <x14:id>{17CBAB3A-18AF-4EA3-8F28-FA5569EB94C0}</x14:id>
        </ext>
      </extLst>
    </cfRule>
  </conditionalFormatting>
  <conditionalFormatting sqref="I196">
    <cfRule type="iconSet" priority="2447">
      <iconSet iconSet="3Arrows">
        <cfvo type="percent" val="0"/>
        <cfvo type="num" val="0.7"/>
        <cfvo type="num" val="1"/>
      </iconSet>
    </cfRule>
    <cfRule type="dataBar" priority="2448">
      <dataBar>
        <cfvo type="num" val="0"/>
        <cfvo type="num" val="1"/>
        <color theme="4" tint="0.79998168889431442"/>
      </dataBar>
      <extLst>
        <ext xmlns:x14="http://schemas.microsoft.com/office/spreadsheetml/2009/9/main" uri="{B025F937-C7B1-47D3-B67F-A62EFF666E3E}">
          <x14:id>{CD4FB16C-A4C4-4F89-AF7D-F80C264FFEB3}</x14:id>
        </ext>
      </extLst>
    </cfRule>
  </conditionalFormatting>
  <conditionalFormatting sqref="I198">
    <cfRule type="iconSet" priority="3149">
      <iconSet iconSet="3Arrows">
        <cfvo type="percent" val="0"/>
        <cfvo type="num" val="0.7"/>
        <cfvo type="num" val="1"/>
      </iconSet>
    </cfRule>
    <cfRule type="dataBar" priority="3150">
      <dataBar>
        <cfvo type="num" val="0"/>
        <cfvo type="num" val="1"/>
        <color theme="4" tint="0.79998168889431442"/>
      </dataBar>
      <extLst>
        <ext xmlns:x14="http://schemas.microsoft.com/office/spreadsheetml/2009/9/main" uri="{B025F937-C7B1-47D3-B67F-A62EFF666E3E}">
          <x14:id>{53A17056-5C89-4D1C-BD5E-3108D14C2167}</x14:id>
        </ext>
      </extLst>
    </cfRule>
  </conditionalFormatting>
  <conditionalFormatting sqref="I200">
    <cfRule type="iconSet" priority="4453">
      <iconSet iconSet="3Arrows">
        <cfvo type="percent" val="0"/>
        <cfvo type="num" val="0.7"/>
        <cfvo type="num" val="1"/>
      </iconSet>
    </cfRule>
    <cfRule type="dataBar" priority="4454">
      <dataBar>
        <cfvo type="num" val="0"/>
        <cfvo type="num" val="1"/>
        <color theme="4" tint="0.79998168889431442"/>
      </dataBar>
      <extLst>
        <ext xmlns:x14="http://schemas.microsoft.com/office/spreadsheetml/2009/9/main" uri="{B025F937-C7B1-47D3-B67F-A62EFF666E3E}">
          <x14:id>{F3F6001C-56C5-4854-968B-A6905AAF9884}</x14:id>
        </ext>
      </extLst>
    </cfRule>
  </conditionalFormatting>
  <conditionalFormatting sqref="I202">
    <cfRule type="iconSet" priority="4470">
      <iconSet iconSet="3Arrows">
        <cfvo type="percent" val="0"/>
        <cfvo type="num" val="0.7"/>
        <cfvo type="num" val="1"/>
      </iconSet>
    </cfRule>
    <cfRule type="dataBar" priority="4471">
      <dataBar>
        <cfvo type="num" val="0"/>
        <cfvo type="num" val="1"/>
        <color theme="4" tint="0.79998168889431442"/>
      </dataBar>
      <extLst>
        <ext xmlns:x14="http://schemas.microsoft.com/office/spreadsheetml/2009/9/main" uri="{B025F937-C7B1-47D3-B67F-A62EFF666E3E}">
          <x14:id>{9DD7DA1C-84E5-4268-BB87-A9F6D3AE550A}</x14:id>
        </ext>
      </extLst>
    </cfRule>
  </conditionalFormatting>
  <conditionalFormatting sqref="I204">
    <cfRule type="iconSet" priority="3136">
      <iconSet iconSet="3Arrows">
        <cfvo type="percent" val="0"/>
        <cfvo type="num" val="0.7"/>
        <cfvo type="num" val="1"/>
      </iconSet>
    </cfRule>
    <cfRule type="dataBar" priority="3137">
      <dataBar>
        <cfvo type="num" val="0"/>
        <cfvo type="num" val="1"/>
        <color theme="4" tint="0.79998168889431442"/>
      </dataBar>
      <extLst>
        <ext xmlns:x14="http://schemas.microsoft.com/office/spreadsheetml/2009/9/main" uri="{B025F937-C7B1-47D3-B67F-A62EFF666E3E}">
          <x14:id>{61958443-1DEB-4730-9ACA-1016C7AB2E59}</x14:id>
        </ext>
      </extLst>
    </cfRule>
  </conditionalFormatting>
  <conditionalFormatting sqref="I206">
    <cfRule type="iconSet" priority="2169">
      <iconSet iconSet="3Arrows">
        <cfvo type="percent" val="0"/>
        <cfvo type="num" val="0.7"/>
        <cfvo type="num" val="1"/>
      </iconSet>
    </cfRule>
    <cfRule type="dataBar" priority="2170">
      <dataBar>
        <cfvo type="num" val="0"/>
        <cfvo type="num" val="1"/>
        <color theme="4" tint="0.79998168889431442"/>
      </dataBar>
      <extLst>
        <ext xmlns:x14="http://schemas.microsoft.com/office/spreadsheetml/2009/9/main" uri="{B025F937-C7B1-47D3-B67F-A62EFF666E3E}">
          <x14:id>{E68C86A5-C4EB-4D34-A551-B2577AEDD9FA}</x14:id>
        </ext>
      </extLst>
    </cfRule>
  </conditionalFormatting>
  <conditionalFormatting sqref="I208">
    <cfRule type="iconSet" priority="2434">
      <iconSet iconSet="3Arrows">
        <cfvo type="percent" val="0"/>
        <cfvo type="num" val="0.7"/>
        <cfvo type="num" val="1"/>
      </iconSet>
    </cfRule>
    <cfRule type="dataBar" priority="2435">
      <dataBar>
        <cfvo type="num" val="0"/>
        <cfvo type="num" val="1"/>
        <color theme="4" tint="0.79998168889431442"/>
      </dataBar>
      <extLst>
        <ext xmlns:x14="http://schemas.microsoft.com/office/spreadsheetml/2009/9/main" uri="{B025F937-C7B1-47D3-B67F-A62EFF666E3E}">
          <x14:id>{81513CFF-C8AC-4563-BD3A-BD1D16B33E5C}</x14:id>
        </ext>
      </extLst>
    </cfRule>
  </conditionalFormatting>
  <conditionalFormatting sqref="I210">
    <cfRule type="iconSet" priority="4548">
      <iconSet iconSet="3Arrows">
        <cfvo type="percent" val="0"/>
        <cfvo type="num" val="0.7"/>
        <cfvo type="num" val="1"/>
      </iconSet>
    </cfRule>
    <cfRule type="dataBar" priority="4549">
      <dataBar>
        <cfvo type="num" val="0"/>
        <cfvo type="num" val="1"/>
        <color theme="4" tint="0.79998168889431442"/>
      </dataBar>
      <extLst>
        <ext xmlns:x14="http://schemas.microsoft.com/office/spreadsheetml/2009/9/main" uri="{B025F937-C7B1-47D3-B67F-A62EFF666E3E}">
          <x14:id>{94497FCA-AE5B-4C41-975B-882780BB1C61}</x14:id>
        </ext>
      </extLst>
    </cfRule>
  </conditionalFormatting>
  <conditionalFormatting sqref="I212 I220">
    <cfRule type="iconSet" priority="4847">
      <iconSet iconSet="3Arrows">
        <cfvo type="percent" val="0"/>
        <cfvo type="num" val="0.7"/>
        <cfvo type="num" val="1"/>
      </iconSet>
    </cfRule>
    <cfRule type="dataBar" priority="4848">
      <dataBar>
        <cfvo type="num" val="0"/>
        <cfvo type="num" val="1"/>
        <color theme="4" tint="0.79998168889431442"/>
      </dataBar>
      <extLst>
        <ext xmlns:x14="http://schemas.microsoft.com/office/spreadsheetml/2009/9/main" uri="{B025F937-C7B1-47D3-B67F-A62EFF666E3E}">
          <x14:id>{29A682DC-21C8-4DCC-B0C9-56F6F27A5053}</x14:id>
        </ext>
      </extLst>
    </cfRule>
  </conditionalFormatting>
  <conditionalFormatting sqref="I214">
    <cfRule type="iconSet" priority="3360">
      <iconSet iconSet="3Arrows">
        <cfvo type="percent" val="0"/>
        <cfvo type="num" val="0.7"/>
        <cfvo type="num" val="1"/>
      </iconSet>
    </cfRule>
    <cfRule type="dataBar" priority="3361">
      <dataBar>
        <cfvo type="num" val="0"/>
        <cfvo type="num" val="1"/>
        <color theme="4" tint="0.79998168889431442"/>
      </dataBar>
      <extLst>
        <ext xmlns:x14="http://schemas.microsoft.com/office/spreadsheetml/2009/9/main" uri="{B025F937-C7B1-47D3-B67F-A62EFF666E3E}">
          <x14:id>{DB315B20-A24F-41D2-A91E-C18E23487293}</x14:id>
        </ext>
      </extLst>
    </cfRule>
  </conditionalFormatting>
  <conditionalFormatting sqref="I216">
    <cfRule type="iconSet" priority="3260">
      <iconSet iconSet="3Arrows">
        <cfvo type="percent" val="0"/>
        <cfvo type="num" val="0.7"/>
        <cfvo type="num" val="1"/>
      </iconSet>
    </cfRule>
    <cfRule type="dataBar" priority="3261">
      <dataBar>
        <cfvo type="num" val="0"/>
        <cfvo type="num" val="1"/>
        <color theme="4" tint="0.79998168889431442"/>
      </dataBar>
      <extLst>
        <ext xmlns:x14="http://schemas.microsoft.com/office/spreadsheetml/2009/9/main" uri="{B025F937-C7B1-47D3-B67F-A62EFF666E3E}">
          <x14:id>{DCD516A2-CED7-429D-A280-8DA611C47E76}</x14:id>
        </ext>
      </extLst>
    </cfRule>
  </conditionalFormatting>
  <conditionalFormatting sqref="I218">
    <cfRule type="iconSet" priority="2333">
      <iconSet iconSet="3Arrows">
        <cfvo type="percent" val="0"/>
        <cfvo type="num" val="0.7"/>
        <cfvo type="num" val="1"/>
      </iconSet>
    </cfRule>
    <cfRule type="dataBar" priority="2334">
      <dataBar>
        <cfvo type="num" val="0"/>
        <cfvo type="num" val="1"/>
        <color theme="4" tint="0.79998168889431442"/>
      </dataBar>
      <extLst>
        <ext xmlns:x14="http://schemas.microsoft.com/office/spreadsheetml/2009/9/main" uri="{B025F937-C7B1-47D3-B67F-A62EFF666E3E}">
          <x14:id>{E679D276-71A6-407C-B503-CFC2C9D693FB}</x14:id>
        </ext>
      </extLst>
    </cfRule>
  </conditionalFormatting>
  <conditionalFormatting sqref="I222">
    <cfRule type="iconSet" priority="2319">
      <iconSet iconSet="3Arrows">
        <cfvo type="percent" val="0"/>
        <cfvo type="num" val="0.7"/>
        <cfvo type="num" val="1"/>
      </iconSet>
    </cfRule>
    <cfRule type="dataBar" priority="2320">
      <dataBar>
        <cfvo type="num" val="0"/>
        <cfvo type="num" val="1"/>
        <color theme="4" tint="0.79998168889431442"/>
      </dataBar>
      <extLst>
        <ext xmlns:x14="http://schemas.microsoft.com/office/spreadsheetml/2009/9/main" uri="{B025F937-C7B1-47D3-B67F-A62EFF666E3E}">
          <x14:id>{47EC854D-FA94-44BF-805A-240B848C1AC0}</x14:id>
        </ext>
      </extLst>
    </cfRule>
  </conditionalFormatting>
  <conditionalFormatting sqref="I226">
    <cfRule type="iconSet" priority="2028">
      <iconSet iconSet="3Arrows">
        <cfvo type="percent" val="0"/>
        <cfvo type="num" val="0.7"/>
        <cfvo type="num" val="1"/>
      </iconSet>
    </cfRule>
    <cfRule type="dataBar" priority="2029">
      <dataBar>
        <cfvo type="num" val="0"/>
        <cfvo type="num" val="1"/>
        <color theme="4" tint="0.79998168889431442"/>
      </dataBar>
      <extLst>
        <ext xmlns:x14="http://schemas.microsoft.com/office/spreadsheetml/2009/9/main" uri="{B025F937-C7B1-47D3-B67F-A62EFF666E3E}">
          <x14:id>{B0C3404F-FE99-4275-B352-0D339056742F}</x14:id>
        </ext>
      </extLst>
    </cfRule>
  </conditionalFormatting>
  <conditionalFormatting sqref="I229">
    <cfRule type="iconSet" priority="4849">
      <iconSet iconSet="3Arrows">
        <cfvo type="percent" val="0"/>
        <cfvo type="num" val="0.7"/>
        <cfvo type="num" val="1"/>
      </iconSet>
    </cfRule>
    <cfRule type="dataBar" priority="4850">
      <dataBar>
        <cfvo type="num" val="0"/>
        <cfvo type="num" val="1"/>
        <color theme="4" tint="0.79998168889431442"/>
      </dataBar>
      <extLst>
        <ext xmlns:x14="http://schemas.microsoft.com/office/spreadsheetml/2009/9/main" uri="{B025F937-C7B1-47D3-B67F-A62EFF666E3E}">
          <x14:id>{8064533B-68B1-4B05-8D27-F84916B5D564}</x14:id>
        </ext>
      </extLst>
    </cfRule>
  </conditionalFormatting>
  <conditionalFormatting sqref="I233">
    <cfRule type="iconSet" priority="5056">
      <iconSet iconSet="3Arrows">
        <cfvo type="percent" val="0"/>
        <cfvo type="num" val="0.7"/>
        <cfvo type="num" val="1"/>
      </iconSet>
    </cfRule>
    <cfRule type="dataBar" priority="5057">
      <dataBar>
        <cfvo type="num" val="0"/>
        <cfvo type="num" val="1"/>
        <color theme="4" tint="0.79998168889431442"/>
      </dataBar>
      <extLst>
        <ext xmlns:x14="http://schemas.microsoft.com/office/spreadsheetml/2009/9/main" uri="{B025F937-C7B1-47D3-B67F-A62EFF666E3E}">
          <x14:id>{9BC33704-505B-48FA-A899-65C979FB1EC2}</x14:id>
        </ext>
      </extLst>
    </cfRule>
  </conditionalFormatting>
  <conditionalFormatting sqref="I235">
    <cfRule type="iconSet" priority="5048">
      <iconSet iconSet="3Arrows">
        <cfvo type="percent" val="0"/>
        <cfvo type="num" val="0.7"/>
        <cfvo type="num" val="1"/>
      </iconSet>
    </cfRule>
    <cfRule type="dataBar" priority="5049">
      <dataBar>
        <cfvo type="num" val="0"/>
        <cfvo type="num" val="1"/>
        <color theme="4" tint="0.79998168889431442"/>
      </dataBar>
      <extLst>
        <ext xmlns:x14="http://schemas.microsoft.com/office/spreadsheetml/2009/9/main" uri="{B025F937-C7B1-47D3-B67F-A62EFF666E3E}">
          <x14:id>{4FC131D5-F097-449F-997F-401568857F3F}</x14:id>
        </ext>
      </extLst>
    </cfRule>
  </conditionalFormatting>
  <conditionalFormatting sqref="I237">
    <cfRule type="iconSet" priority="4516">
      <iconSet iconSet="3Arrows">
        <cfvo type="percent" val="0"/>
        <cfvo type="num" val="0.7"/>
        <cfvo type="num" val="1"/>
      </iconSet>
    </cfRule>
    <cfRule type="dataBar" priority="4517">
      <dataBar>
        <cfvo type="num" val="0"/>
        <cfvo type="num" val="1"/>
        <color theme="4" tint="0.79998168889431442"/>
      </dataBar>
      <extLst>
        <ext xmlns:x14="http://schemas.microsoft.com/office/spreadsheetml/2009/9/main" uri="{B025F937-C7B1-47D3-B67F-A62EFF666E3E}">
          <x14:id>{35564ED2-0A36-40C7-BD14-88DE675B73A6}</x14:id>
        </ext>
      </extLst>
    </cfRule>
  </conditionalFormatting>
  <conditionalFormatting sqref="I239">
    <cfRule type="iconSet" priority="4412">
      <iconSet iconSet="3Arrows">
        <cfvo type="percent" val="0"/>
        <cfvo type="num" val="0.7"/>
        <cfvo type="num" val="1"/>
      </iconSet>
    </cfRule>
    <cfRule type="dataBar" priority="4413">
      <dataBar>
        <cfvo type="num" val="0"/>
        <cfvo type="num" val="1"/>
        <color theme="4" tint="0.79998168889431442"/>
      </dataBar>
      <extLst>
        <ext xmlns:x14="http://schemas.microsoft.com/office/spreadsheetml/2009/9/main" uri="{B025F937-C7B1-47D3-B67F-A62EFF666E3E}">
          <x14:id>{BC8E8DF1-3218-4E0D-9FBB-030896541621}</x14:id>
        </ext>
      </extLst>
    </cfRule>
  </conditionalFormatting>
  <conditionalFormatting sqref="I241">
    <cfRule type="iconSet" priority="4404">
      <iconSet iconSet="3Arrows">
        <cfvo type="percent" val="0"/>
        <cfvo type="num" val="0.7"/>
        <cfvo type="num" val="1"/>
      </iconSet>
    </cfRule>
    <cfRule type="dataBar" priority="4405">
      <dataBar>
        <cfvo type="num" val="0"/>
        <cfvo type="num" val="1"/>
        <color theme="4" tint="0.79998168889431442"/>
      </dataBar>
      <extLst>
        <ext xmlns:x14="http://schemas.microsoft.com/office/spreadsheetml/2009/9/main" uri="{B025F937-C7B1-47D3-B67F-A62EFF666E3E}">
          <x14:id>{10E57065-3613-47AD-AB05-7F1A7A4365F2}</x14:id>
        </ext>
      </extLst>
    </cfRule>
  </conditionalFormatting>
  <conditionalFormatting sqref="I243">
    <cfRule type="iconSet" priority="4396">
      <iconSet iconSet="3Arrows">
        <cfvo type="percent" val="0"/>
        <cfvo type="num" val="0.7"/>
        <cfvo type="num" val="1"/>
      </iconSet>
    </cfRule>
    <cfRule type="dataBar" priority="4397">
      <dataBar>
        <cfvo type="num" val="0"/>
        <cfvo type="num" val="1"/>
        <color theme="4" tint="0.79998168889431442"/>
      </dataBar>
      <extLst>
        <ext xmlns:x14="http://schemas.microsoft.com/office/spreadsheetml/2009/9/main" uri="{B025F937-C7B1-47D3-B67F-A62EFF666E3E}">
          <x14:id>{7A3D1FB8-3479-4AAF-AC08-8E3E1CB1ED9C}</x14:id>
        </ext>
      </extLst>
    </cfRule>
  </conditionalFormatting>
  <conditionalFormatting sqref="I245">
    <cfRule type="iconSet" priority="3472">
      <iconSet iconSet="3Arrows">
        <cfvo type="percent" val="0"/>
        <cfvo type="num" val="0.7"/>
        <cfvo type="num" val="1"/>
      </iconSet>
    </cfRule>
    <cfRule type="dataBar" priority="3473">
      <dataBar>
        <cfvo type="num" val="0"/>
        <cfvo type="num" val="1"/>
        <color theme="4" tint="0.79998168889431442"/>
      </dataBar>
      <extLst>
        <ext xmlns:x14="http://schemas.microsoft.com/office/spreadsheetml/2009/9/main" uri="{B025F937-C7B1-47D3-B67F-A62EFF666E3E}">
          <x14:id>{BA0377A8-44FC-488E-AD13-A7487707BFDE}</x14:id>
        </ext>
      </extLst>
    </cfRule>
  </conditionalFormatting>
  <conditionalFormatting sqref="I247">
    <cfRule type="iconSet" priority="2013">
      <iconSet iconSet="3Arrows">
        <cfvo type="percent" val="0"/>
        <cfvo type="num" val="0.7"/>
        <cfvo type="num" val="1"/>
      </iconSet>
    </cfRule>
    <cfRule type="dataBar" priority="2014">
      <dataBar>
        <cfvo type="num" val="0"/>
        <cfvo type="num" val="1"/>
        <color theme="4" tint="0.79998168889431442"/>
      </dataBar>
      <extLst>
        <ext xmlns:x14="http://schemas.microsoft.com/office/spreadsheetml/2009/9/main" uri="{B025F937-C7B1-47D3-B67F-A62EFF666E3E}">
          <x14:id>{4894B456-31B2-4993-966B-BAD9B0D374EF}</x14:id>
        </ext>
      </extLst>
    </cfRule>
  </conditionalFormatting>
  <conditionalFormatting sqref="I249">
    <cfRule type="iconSet" priority="3446">
      <iconSet iconSet="3Arrows">
        <cfvo type="percent" val="0"/>
        <cfvo type="num" val="0.7"/>
        <cfvo type="num" val="1"/>
      </iconSet>
    </cfRule>
    <cfRule type="dataBar" priority="3447">
      <dataBar>
        <cfvo type="num" val="0"/>
        <cfvo type="num" val="1"/>
        <color theme="4" tint="0.79998168889431442"/>
      </dataBar>
      <extLst>
        <ext xmlns:x14="http://schemas.microsoft.com/office/spreadsheetml/2009/9/main" uri="{B025F937-C7B1-47D3-B67F-A62EFF666E3E}">
          <x14:id>{57CFE94F-8951-4DBF-B40A-B852C749F75E}</x14:id>
        </ext>
      </extLst>
    </cfRule>
  </conditionalFormatting>
  <conditionalFormatting sqref="I251">
    <cfRule type="iconSet" priority="2368">
      <iconSet iconSet="3Arrows">
        <cfvo type="percent" val="0"/>
        <cfvo type="num" val="0.7"/>
        <cfvo type="num" val="1"/>
      </iconSet>
    </cfRule>
    <cfRule type="dataBar" priority="2369">
      <dataBar>
        <cfvo type="num" val="0"/>
        <cfvo type="num" val="1"/>
        <color theme="4" tint="0.79998168889431442"/>
      </dataBar>
      <extLst>
        <ext xmlns:x14="http://schemas.microsoft.com/office/spreadsheetml/2009/9/main" uri="{B025F937-C7B1-47D3-B67F-A62EFF666E3E}">
          <x14:id>{8464EA33-4C79-4923-80DC-B720798C984D}</x14:id>
        </ext>
      </extLst>
    </cfRule>
  </conditionalFormatting>
  <conditionalFormatting sqref="I253">
    <cfRule type="iconSet" priority="1975">
      <iconSet iconSet="3Arrows">
        <cfvo type="percent" val="0"/>
        <cfvo type="num" val="0.7"/>
        <cfvo type="num" val="1"/>
      </iconSet>
    </cfRule>
    <cfRule type="dataBar" priority="1976">
      <dataBar>
        <cfvo type="num" val="0"/>
        <cfvo type="num" val="1"/>
        <color theme="4" tint="0.79998168889431442"/>
      </dataBar>
      <extLst>
        <ext xmlns:x14="http://schemas.microsoft.com/office/spreadsheetml/2009/9/main" uri="{B025F937-C7B1-47D3-B67F-A62EFF666E3E}">
          <x14:id>{4FD45DB9-5CA5-4C51-A772-106DA8F6ADA2}</x14:id>
        </ext>
      </extLst>
    </cfRule>
  </conditionalFormatting>
  <conditionalFormatting sqref="I255">
    <cfRule type="iconSet" priority="5021">
      <iconSet iconSet="3Arrows">
        <cfvo type="percent" val="0"/>
        <cfvo type="num" val="0.7"/>
        <cfvo type="num" val="1"/>
      </iconSet>
    </cfRule>
    <cfRule type="dataBar" priority="5022">
      <dataBar>
        <cfvo type="num" val="0"/>
        <cfvo type="num" val="1"/>
        <color theme="4" tint="0.79998168889431442"/>
      </dataBar>
      <extLst>
        <ext xmlns:x14="http://schemas.microsoft.com/office/spreadsheetml/2009/9/main" uri="{B025F937-C7B1-47D3-B67F-A62EFF666E3E}">
          <x14:id>{FBA9B1FF-F8CC-4B1A-B953-E92834B97A8D}</x14:id>
        </ext>
      </extLst>
    </cfRule>
  </conditionalFormatting>
  <conditionalFormatting sqref="I257">
    <cfRule type="iconSet" priority="1873">
      <iconSet iconSet="3Arrows">
        <cfvo type="percent" val="0"/>
        <cfvo type="num" val="0.7"/>
        <cfvo type="num" val="1"/>
      </iconSet>
    </cfRule>
    <cfRule type="dataBar" priority="1874">
      <dataBar>
        <cfvo type="num" val="0"/>
        <cfvo type="num" val="1"/>
        <color theme="4" tint="0.79998168889431442"/>
      </dataBar>
      <extLst>
        <ext xmlns:x14="http://schemas.microsoft.com/office/spreadsheetml/2009/9/main" uri="{B025F937-C7B1-47D3-B67F-A62EFF666E3E}">
          <x14:id>{DA32E9B1-C719-477A-981E-01A195AA5EAF}</x14:id>
        </ext>
      </extLst>
    </cfRule>
  </conditionalFormatting>
  <conditionalFormatting sqref="I259">
    <cfRule type="iconSet" priority="1857">
      <iconSet iconSet="3Arrows">
        <cfvo type="percent" val="0"/>
        <cfvo type="num" val="0.7"/>
        <cfvo type="num" val="1"/>
      </iconSet>
    </cfRule>
    <cfRule type="dataBar" priority="1858">
      <dataBar>
        <cfvo type="num" val="0"/>
        <cfvo type="num" val="1"/>
        <color theme="4" tint="0.79998168889431442"/>
      </dataBar>
      <extLst>
        <ext xmlns:x14="http://schemas.microsoft.com/office/spreadsheetml/2009/9/main" uri="{B025F937-C7B1-47D3-B67F-A62EFF666E3E}">
          <x14:id>{75B9B7B3-1C7B-4DB5-A188-877396BCE9C7}</x14:id>
        </ext>
      </extLst>
    </cfRule>
  </conditionalFormatting>
  <conditionalFormatting sqref="I261">
    <cfRule type="iconSet" priority="1447">
      <iconSet iconSet="3Arrows">
        <cfvo type="percent" val="0"/>
        <cfvo type="num" val="0.7"/>
        <cfvo type="num" val="1"/>
      </iconSet>
    </cfRule>
    <cfRule type="dataBar" priority="1448">
      <dataBar>
        <cfvo type="num" val="0"/>
        <cfvo type="num" val="1"/>
        <color theme="4" tint="0.79998168889431442"/>
      </dataBar>
      <extLst>
        <ext xmlns:x14="http://schemas.microsoft.com/office/spreadsheetml/2009/9/main" uri="{B025F937-C7B1-47D3-B67F-A62EFF666E3E}">
          <x14:id>{882DECC0-7E00-4D3C-A9ED-B133BD39253A}</x14:id>
        </ext>
      </extLst>
    </cfRule>
  </conditionalFormatting>
  <conditionalFormatting sqref="I263">
    <cfRule type="iconSet" priority="446">
      <iconSet iconSet="3Arrows">
        <cfvo type="percent" val="0"/>
        <cfvo type="num" val="0.7"/>
        <cfvo type="num" val="1"/>
      </iconSet>
    </cfRule>
    <cfRule type="dataBar" priority="447">
      <dataBar>
        <cfvo type="num" val="0"/>
        <cfvo type="num" val="1"/>
        <color theme="4" tint="0.79998168889431442"/>
      </dataBar>
      <extLst>
        <ext xmlns:x14="http://schemas.microsoft.com/office/spreadsheetml/2009/9/main" uri="{B025F937-C7B1-47D3-B67F-A62EFF666E3E}">
          <x14:id>{BD244584-981E-4625-8B68-EA51F5B1A5D4}</x14:id>
        </ext>
      </extLst>
    </cfRule>
  </conditionalFormatting>
  <conditionalFormatting sqref="I265">
    <cfRule type="iconSet" priority="349">
      <iconSet iconSet="3Arrows">
        <cfvo type="percent" val="0"/>
        <cfvo type="num" val="0.7"/>
        <cfvo type="num" val="1"/>
      </iconSet>
    </cfRule>
    <cfRule type="dataBar" priority="350">
      <dataBar>
        <cfvo type="num" val="0"/>
        <cfvo type="num" val="1"/>
        <color theme="4" tint="0.79998168889431442"/>
      </dataBar>
      <extLst>
        <ext xmlns:x14="http://schemas.microsoft.com/office/spreadsheetml/2009/9/main" uri="{B025F937-C7B1-47D3-B67F-A62EFF666E3E}">
          <x14:id>{F3949099-CD6B-49B7-B0DC-EF7FC9A7C0C8}</x14:id>
        </ext>
      </extLst>
    </cfRule>
  </conditionalFormatting>
  <conditionalFormatting sqref="I267">
    <cfRule type="iconSet" priority="333">
      <iconSet iconSet="3Arrows">
        <cfvo type="percent" val="0"/>
        <cfvo type="num" val="0.7"/>
        <cfvo type="num" val="1"/>
      </iconSet>
    </cfRule>
    <cfRule type="dataBar" priority="334">
      <dataBar>
        <cfvo type="num" val="0"/>
        <cfvo type="num" val="1"/>
        <color theme="4" tint="0.79998168889431442"/>
      </dataBar>
      <extLst>
        <ext xmlns:x14="http://schemas.microsoft.com/office/spreadsheetml/2009/9/main" uri="{B025F937-C7B1-47D3-B67F-A62EFF666E3E}">
          <x14:id>{F1A0D353-263F-4960-A6F5-DF37F2E6C132}</x14:id>
        </ext>
      </extLst>
    </cfRule>
  </conditionalFormatting>
  <conditionalFormatting sqref="I269">
    <cfRule type="iconSet" priority="1461">
      <iconSet iconSet="3Arrows">
        <cfvo type="percent" val="0"/>
        <cfvo type="num" val="0.7"/>
        <cfvo type="num" val="1"/>
      </iconSet>
    </cfRule>
    <cfRule type="dataBar" priority="1462">
      <dataBar>
        <cfvo type="num" val="0"/>
        <cfvo type="num" val="1"/>
        <color theme="4" tint="0.79998168889431442"/>
      </dataBar>
      <extLst>
        <ext xmlns:x14="http://schemas.microsoft.com/office/spreadsheetml/2009/9/main" uri="{B025F937-C7B1-47D3-B67F-A62EFF666E3E}">
          <x14:id>{5149D784-AA6A-4A0B-9A00-6D41C880409C}</x14:id>
        </ext>
      </extLst>
    </cfRule>
  </conditionalFormatting>
  <conditionalFormatting sqref="I271">
    <cfRule type="iconSet" priority="317">
      <iconSet iconSet="3Arrows">
        <cfvo type="percent" val="0"/>
        <cfvo type="num" val="0.7"/>
        <cfvo type="num" val="1"/>
      </iconSet>
    </cfRule>
    <cfRule type="dataBar" priority="318">
      <dataBar>
        <cfvo type="num" val="0"/>
        <cfvo type="num" val="1"/>
        <color theme="4" tint="0.79998168889431442"/>
      </dataBar>
      <extLst>
        <ext xmlns:x14="http://schemas.microsoft.com/office/spreadsheetml/2009/9/main" uri="{B025F937-C7B1-47D3-B67F-A62EFF666E3E}">
          <x14:id>{163E54A0-56C7-4484-B4D1-8EB9C24CC2A2}</x14:id>
        </ext>
      </extLst>
    </cfRule>
  </conditionalFormatting>
  <conditionalFormatting sqref="I273">
    <cfRule type="iconSet" priority="462">
      <iconSet iconSet="3Arrows">
        <cfvo type="percent" val="0"/>
        <cfvo type="num" val="0.7"/>
        <cfvo type="num" val="1"/>
      </iconSet>
    </cfRule>
    <cfRule type="dataBar" priority="463">
      <dataBar>
        <cfvo type="num" val="0"/>
        <cfvo type="num" val="1"/>
        <color theme="4" tint="0.79998168889431442"/>
      </dataBar>
      <extLst>
        <ext xmlns:x14="http://schemas.microsoft.com/office/spreadsheetml/2009/9/main" uri="{B025F937-C7B1-47D3-B67F-A62EFF666E3E}">
          <x14:id>{06EC370D-FD30-4DE7-8529-A39DB33D2C96}</x14:id>
        </ext>
      </extLst>
    </cfRule>
  </conditionalFormatting>
  <conditionalFormatting sqref="I275">
    <cfRule type="iconSet" priority="1891">
      <iconSet iconSet="3Arrows">
        <cfvo type="percent" val="0"/>
        <cfvo type="num" val="0.7"/>
        <cfvo type="num" val="1"/>
      </iconSet>
    </cfRule>
    <cfRule type="dataBar" priority="1892">
      <dataBar>
        <cfvo type="num" val="0"/>
        <cfvo type="num" val="1"/>
        <color theme="4" tint="0.79998168889431442"/>
      </dataBar>
      <extLst>
        <ext xmlns:x14="http://schemas.microsoft.com/office/spreadsheetml/2009/9/main" uri="{B025F937-C7B1-47D3-B67F-A62EFF666E3E}">
          <x14:id>{B2D07085-73FC-46EF-86F6-EDA7C5DB3C1F}</x14:id>
        </ext>
      </extLst>
    </cfRule>
  </conditionalFormatting>
  <conditionalFormatting sqref="I278">
    <cfRule type="iconSet" priority="5054">
      <iconSet iconSet="3Arrows">
        <cfvo type="percent" val="0"/>
        <cfvo type="num" val="0.7"/>
        <cfvo type="num" val="1"/>
      </iconSet>
    </cfRule>
    <cfRule type="dataBar" priority="5055">
      <dataBar>
        <cfvo type="num" val="0"/>
        <cfvo type="num" val="1"/>
        <color theme="4" tint="0.79998168889431442"/>
      </dataBar>
      <extLst>
        <ext xmlns:x14="http://schemas.microsoft.com/office/spreadsheetml/2009/9/main" uri="{B025F937-C7B1-47D3-B67F-A62EFF666E3E}">
          <x14:id>{B11C3AEE-28EB-464B-83BE-8372F97702F6}</x14:id>
        </ext>
      </extLst>
    </cfRule>
  </conditionalFormatting>
  <conditionalFormatting sqref="I280 I296">
    <cfRule type="iconSet" priority="5183">
      <iconSet iconSet="3Arrows">
        <cfvo type="percent" val="0"/>
        <cfvo type="num" val="0.7"/>
        <cfvo type="num" val="1"/>
      </iconSet>
    </cfRule>
    <cfRule type="dataBar" priority="5184">
      <dataBar>
        <cfvo type="num" val="0"/>
        <cfvo type="num" val="1"/>
        <color theme="4" tint="0.79998168889431442"/>
      </dataBar>
      <extLst>
        <ext xmlns:x14="http://schemas.microsoft.com/office/spreadsheetml/2009/9/main" uri="{B025F937-C7B1-47D3-B67F-A62EFF666E3E}">
          <x14:id>{3CBD22BD-DAEB-4458-A2B4-94DE581C1952}</x14:id>
        </ext>
      </extLst>
    </cfRule>
  </conditionalFormatting>
  <conditionalFormatting sqref="I282">
    <cfRule type="iconSet" priority="1829">
      <iconSet iconSet="3Arrows">
        <cfvo type="percent" val="0"/>
        <cfvo type="num" val="0.7"/>
        <cfvo type="num" val="1"/>
      </iconSet>
    </cfRule>
    <cfRule type="dataBar" priority="1830">
      <dataBar>
        <cfvo type="num" val="0"/>
        <cfvo type="num" val="1"/>
        <color theme="4" tint="0.79998168889431442"/>
      </dataBar>
      <extLst>
        <ext xmlns:x14="http://schemas.microsoft.com/office/spreadsheetml/2009/9/main" uri="{B025F937-C7B1-47D3-B67F-A62EFF666E3E}">
          <x14:id>{F57AD954-1D37-47E5-A173-3DB959031DD5}</x14:id>
        </ext>
      </extLst>
    </cfRule>
  </conditionalFormatting>
  <conditionalFormatting sqref="I284">
    <cfRule type="iconSet" priority="1843">
      <iconSet iconSet="3Arrows">
        <cfvo type="percent" val="0"/>
        <cfvo type="num" val="0.7"/>
        <cfvo type="num" val="1"/>
      </iconSet>
    </cfRule>
    <cfRule type="dataBar" priority="1844">
      <dataBar>
        <cfvo type="num" val="0"/>
        <cfvo type="num" val="1"/>
        <color theme="4" tint="0.79998168889431442"/>
      </dataBar>
      <extLst>
        <ext xmlns:x14="http://schemas.microsoft.com/office/spreadsheetml/2009/9/main" uri="{B025F937-C7B1-47D3-B67F-A62EFF666E3E}">
          <x14:id>{9C5B6D13-D102-4A3E-A984-5C9C5D67D75F}</x14:id>
        </ext>
      </extLst>
    </cfRule>
  </conditionalFormatting>
  <conditionalFormatting sqref="I286">
    <cfRule type="iconSet" priority="1418">
      <iconSet iconSet="3Arrows">
        <cfvo type="percent" val="0"/>
        <cfvo type="num" val="0.7"/>
        <cfvo type="num" val="1"/>
      </iconSet>
    </cfRule>
    <cfRule type="dataBar" priority="1419">
      <dataBar>
        <cfvo type="num" val="0"/>
        <cfvo type="num" val="1"/>
        <color theme="4" tint="0.79998168889431442"/>
      </dataBar>
      <extLst>
        <ext xmlns:x14="http://schemas.microsoft.com/office/spreadsheetml/2009/9/main" uri="{B025F937-C7B1-47D3-B67F-A62EFF666E3E}">
          <x14:id>{1BC0D2B4-C3A6-4A7B-BF4E-CD4189458F97}</x14:id>
        </ext>
      </extLst>
    </cfRule>
  </conditionalFormatting>
  <conditionalFormatting sqref="I288">
    <cfRule type="iconSet" priority="1404">
      <iconSet iconSet="3Arrows">
        <cfvo type="percent" val="0"/>
        <cfvo type="num" val="0.7"/>
        <cfvo type="num" val="1"/>
      </iconSet>
    </cfRule>
    <cfRule type="dataBar" priority="1405">
      <dataBar>
        <cfvo type="num" val="0"/>
        <cfvo type="num" val="1"/>
        <color theme="4" tint="0.79998168889431442"/>
      </dataBar>
      <extLst>
        <ext xmlns:x14="http://schemas.microsoft.com/office/spreadsheetml/2009/9/main" uri="{B025F937-C7B1-47D3-B67F-A62EFF666E3E}">
          <x14:id>{C4405D35-C55A-4D2F-953D-433E26AFA55A}</x14:id>
        </ext>
      </extLst>
    </cfRule>
  </conditionalFormatting>
  <conditionalFormatting sqref="I290">
    <cfRule type="iconSet" priority="1432">
      <iconSet iconSet="3Arrows">
        <cfvo type="percent" val="0"/>
        <cfvo type="num" val="0.7"/>
        <cfvo type="num" val="1"/>
      </iconSet>
    </cfRule>
    <cfRule type="dataBar" priority="1433">
      <dataBar>
        <cfvo type="num" val="0"/>
        <cfvo type="num" val="1"/>
        <color theme="4" tint="0.79998168889431442"/>
      </dataBar>
      <extLst>
        <ext xmlns:x14="http://schemas.microsoft.com/office/spreadsheetml/2009/9/main" uri="{B025F937-C7B1-47D3-B67F-A62EFF666E3E}">
          <x14:id>{242AC7BF-264B-4303-AAE4-E89D0B2FFB31}</x14:id>
        </ext>
      </extLst>
    </cfRule>
  </conditionalFormatting>
  <conditionalFormatting sqref="I292">
    <cfRule type="iconSet" priority="365">
      <iconSet iconSet="3Arrows">
        <cfvo type="percent" val="0"/>
        <cfvo type="num" val="0.7"/>
        <cfvo type="num" val="1"/>
      </iconSet>
    </cfRule>
    <cfRule type="dataBar" priority="366">
      <dataBar>
        <cfvo type="num" val="0"/>
        <cfvo type="num" val="1"/>
        <color theme="4" tint="0.79998168889431442"/>
      </dataBar>
      <extLst>
        <ext xmlns:x14="http://schemas.microsoft.com/office/spreadsheetml/2009/9/main" uri="{B025F937-C7B1-47D3-B67F-A62EFF666E3E}">
          <x14:id>{78CEF681-5667-43D4-BC34-7AFFBE73BA15}</x14:id>
        </ext>
      </extLst>
    </cfRule>
  </conditionalFormatting>
  <conditionalFormatting sqref="I294">
    <cfRule type="iconSet" priority="3432">
      <iconSet iconSet="3Arrows">
        <cfvo type="percent" val="0"/>
        <cfvo type="num" val="0.7"/>
        <cfvo type="num" val="1"/>
      </iconSet>
    </cfRule>
    <cfRule type="dataBar" priority="3433">
      <dataBar>
        <cfvo type="num" val="0"/>
        <cfvo type="num" val="1"/>
        <color theme="4" tint="0.79998168889431442"/>
      </dataBar>
      <extLst>
        <ext xmlns:x14="http://schemas.microsoft.com/office/spreadsheetml/2009/9/main" uri="{B025F937-C7B1-47D3-B67F-A62EFF666E3E}">
          <x14:id>{E9BA866B-68E2-4C58-83B6-5A1A8CC7887A}</x14:id>
        </ext>
      </extLst>
    </cfRule>
  </conditionalFormatting>
  <conditionalFormatting sqref="I299">
    <cfRule type="iconSet" priority="3400">
      <iconSet iconSet="3Arrows">
        <cfvo type="percent" val="0"/>
        <cfvo type="num" val="0.7"/>
        <cfvo type="num" val="1"/>
      </iconSet>
    </cfRule>
    <cfRule type="dataBar" priority="3401">
      <dataBar>
        <cfvo type="num" val="0"/>
        <cfvo type="num" val="1"/>
        <color theme="4" tint="0.79998168889431442"/>
      </dataBar>
      <extLst>
        <ext xmlns:x14="http://schemas.microsoft.com/office/spreadsheetml/2009/9/main" uri="{B025F937-C7B1-47D3-B67F-A62EFF666E3E}">
          <x14:id>{4C659273-19E9-4799-8BF6-8C5F0D2BEB97}</x14:id>
        </ext>
      </extLst>
    </cfRule>
  </conditionalFormatting>
  <conditionalFormatting sqref="I304">
    <cfRule type="iconSet" priority="3382">
      <iconSet iconSet="3Arrows">
        <cfvo type="percent" val="0"/>
        <cfvo type="num" val="0.7"/>
        <cfvo type="num" val="1"/>
      </iconSet>
    </cfRule>
    <cfRule type="dataBar" priority="3383">
      <dataBar>
        <cfvo type="num" val="0"/>
        <cfvo type="num" val="1"/>
        <color theme="4" tint="0.79998168889431442"/>
      </dataBar>
      <extLst>
        <ext xmlns:x14="http://schemas.microsoft.com/office/spreadsheetml/2009/9/main" uri="{B025F937-C7B1-47D3-B67F-A62EFF666E3E}">
          <x14:id>{9202994E-B5BF-4FBC-9BE0-7FA44BA42255}</x14:id>
        </ext>
      </extLst>
    </cfRule>
  </conditionalFormatting>
  <conditionalFormatting sqref="I307">
    <cfRule type="iconSet" priority="5046">
      <iconSet iconSet="3Arrows">
        <cfvo type="percent" val="0"/>
        <cfvo type="num" val="0.7"/>
        <cfvo type="num" val="1"/>
      </iconSet>
    </cfRule>
    <cfRule type="dataBar" priority="5047">
      <dataBar>
        <cfvo type="num" val="0"/>
        <cfvo type="num" val="1"/>
        <color theme="4" tint="0.79998168889431442"/>
      </dataBar>
      <extLst>
        <ext xmlns:x14="http://schemas.microsoft.com/office/spreadsheetml/2009/9/main" uri="{B025F937-C7B1-47D3-B67F-A62EFF666E3E}">
          <x14:id>{8BC9554E-EAED-4876-99B0-06679C3B6CFB}</x14:id>
        </ext>
      </extLst>
    </cfRule>
  </conditionalFormatting>
  <conditionalFormatting sqref="I310">
    <cfRule type="iconSet" priority="5029">
      <iconSet iconSet="3Arrows">
        <cfvo type="percent" val="0"/>
        <cfvo type="num" val="0.7"/>
        <cfvo type="num" val="1"/>
      </iconSet>
    </cfRule>
    <cfRule type="dataBar" priority="5030">
      <dataBar>
        <cfvo type="num" val="0"/>
        <cfvo type="num" val="1"/>
        <color theme="4" tint="0.79998168889431442"/>
      </dataBar>
      <extLst>
        <ext xmlns:x14="http://schemas.microsoft.com/office/spreadsheetml/2009/9/main" uri="{B025F937-C7B1-47D3-B67F-A62EFF666E3E}">
          <x14:id>{DA59A0D8-ED84-4CD3-A740-F8221C283ACB}</x14:id>
        </ext>
      </extLst>
    </cfRule>
  </conditionalFormatting>
  <conditionalFormatting sqref="I314">
    <cfRule type="iconSet" priority="5052">
      <iconSet iconSet="3Arrows">
        <cfvo type="percent" val="0"/>
        <cfvo type="num" val="0.7"/>
        <cfvo type="num" val="1"/>
      </iconSet>
    </cfRule>
    <cfRule type="dataBar" priority="5053">
      <dataBar>
        <cfvo type="num" val="0"/>
        <cfvo type="num" val="1"/>
        <color theme="4" tint="0.79998168889431442"/>
      </dataBar>
      <extLst>
        <ext xmlns:x14="http://schemas.microsoft.com/office/spreadsheetml/2009/9/main" uri="{B025F937-C7B1-47D3-B67F-A62EFF666E3E}">
          <x14:id>{EDE563C0-B9D5-4DB8-A012-134ACC8150F2}</x14:id>
        </ext>
      </extLst>
    </cfRule>
  </conditionalFormatting>
  <conditionalFormatting sqref="I316">
    <cfRule type="iconSet" priority="2517">
      <iconSet iconSet="3Arrows">
        <cfvo type="percent" val="0"/>
        <cfvo type="num" val="0.7"/>
        <cfvo type="num" val="1"/>
      </iconSet>
    </cfRule>
    <cfRule type="dataBar" priority="2518">
      <dataBar>
        <cfvo type="num" val="0"/>
        <cfvo type="num" val="1"/>
        <color theme="4" tint="0.79998168889431442"/>
      </dataBar>
      <extLst>
        <ext xmlns:x14="http://schemas.microsoft.com/office/spreadsheetml/2009/9/main" uri="{B025F937-C7B1-47D3-B67F-A62EFF666E3E}">
          <x14:id>{53C64609-44B2-4F9A-AB69-D27770E6BDC9}</x14:id>
        </ext>
      </extLst>
    </cfRule>
  </conditionalFormatting>
  <conditionalFormatting sqref="I352 I318 I354 I356 I360 I368">
    <cfRule type="iconSet" priority="5044">
      <iconSet iconSet="3Arrows">
        <cfvo type="percent" val="0"/>
        <cfvo type="num" val="0.7"/>
        <cfvo type="num" val="1"/>
      </iconSet>
    </cfRule>
    <cfRule type="dataBar" priority="5045">
      <dataBar>
        <cfvo type="num" val="0"/>
        <cfvo type="num" val="1"/>
        <color theme="4" tint="0.79998168889431442"/>
      </dataBar>
      <extLst>
        <ext xmlns:x14="http://schemas.microsoft.com/office/spreadsheetml/2009/9/main" uri="{B025F937-C7B1-47D3-B67F-A62EFF666E3E}">
          <x14:id>{C77CA983-C2F2-444A-B2F7-5C20FA48DEB4}</x14:id>
        </ext>
      </extLst>
    </cfRule>
  </conditionalFormatting>
  <conditionalFormatting sqref="I320">
    <cfRule type="iconSet" priority="4386">
      <iconSet iconSet="3Arrows">
        <cfvo type="percent" val="0"/>
        <cfvo type="num" val="0.7"/>
        <cfvo type="num" val="1"/>
      </iconSet>
    </cfRule>
    <cfRule type="dataBar" priority="4387">
      <dataBar>
        <cfvo type="num" val="0"/>
        <cfvo type="num" val="1"/>
        <color theme="4" tint="0.79998168889431442"/>
      </dataBar>
      <extLst>
        <ext xmlns:x14="http://schemas.microsoft.com/office/spreadsheetml/2009/9/main" uri="{B025F937-C7B1-47D3-B67F-A62EFF666E3E}">
          <x14:id>{2CBBB128-402A-472F-9A87-E1CCF7FA6502}</x14:id>
        </ext>
      </extLst>
    </cfRule>
  </conditionalFormatting>
  <conditionalFormatting sqref="I322">
    <cfRule type="iconSet" priority="2822">
      <iconSet iconSet="3Arrows">
        <cfvo type="percent" val="0"/>
        <cfvo type="num" val="0.7"/>
        <cfvo type="num" val="1"/>
      </iconSet>
    </cfRule>
    <cfRule type="dataBar" priority="2823">
      <dataBar>
        <cfvo type="num" val="0"/>
        <cfvo type="num" val="1"/>
        <color theme="4" tint="0.79998168889431442"/>
      </dataBar>
      <extLst>
        <ext xmlns:x14="http://schemas.microsoft.com/office/spreadsheetml/2009/9/main" uri="{B025F937-C7B1-47D3-B67F-A62EFF666E3E}">
          <x14:id>{5416CD33-7266-4F9D-B397-A14F8383C5B8}</x14:id>
        </ext>
      </extLst>
    </cfRule>
  </conditionalFormatting>
  <conditionalFormatting sqref="I324">
    <cfRule type="iconSet" priority="2807">
      <iconSet iconSet="3Arrows">
        <cfvo type="percent" val="0"/>
        <cfvo type="num" val="0.7"/>
        <cfvo type="num" val="1"/>
      </iconSet>
    </cfRule>
    <cfRule type="dataBar" priority="2808">
      <dataBar>
        <cfvo type="num" val="0"/>
        <cfvo type="num" val="1"/>
        <color theme="4" tint="0.79998168889431442"/>
      </dataBar>
      <extLst>
        <ext xmlns:x14="http://schemas.microsoft.com/office/spreadsheetml/2009/9/main" uri="{B025F937-C7B1-47D3-B67F-A62EFF666E3E}">
          <x14:id>{8E8F65FF-A9F3-404D-889D-A488E9EAB7A8}</x14:id>
        </ext>
      </extLst>
    </cfRule>
  </conditionalFormatting>
  <conditionalFormatting sqref="I326">
    <cfRule type="iconSet" priority="2793">
      <iconSet iconSet="3Arrows">
        <cfvo type="percent" val="0"/>
        <cfvo type="num" val="0.7"/>
        <cfvo type="num" val="1"/>
      </iconSet>
    </cfRule>
    <cfRule type="dataBar" priority="2794">
      <dataBar>
        <cfvo type="num" val="0"/>
        <cfvo type="num" val="1"/>
        <color theme="4" tint="0.79998168889431442"/>
      </dataBar>
      <extLst>
        <ext xmlns:x14="http://schemas.microsoft.com/office/spreadsheetml/2009/9/main" uri="{B025F937-C7B1-47D3-B67F-A62EFF666E3E}">
          <x14:id>{E4EFAD95-82B4-461B-84D3-B563E8D59778}</x14:id>
        </ext>
      </extLst>
    </cfRule>
  </conditionalFormatting>
  <conditionalFormatting sqref="I328">
    <cfRule type="iconSet" priority="2689">
      <iconSet iconSet="3Arrows">
        <cfvo type="percent" val="0"/>
        <cfvo type="num" val="0.7"/>
        <cfvo type="num" val="1"/>
      </iconSet>
    </cfRule>
    <cfRule type="dataBar" priority="2690">
      <dataBar>
        <cfvo type="num" val="0"/>
        <cfvo type="num" val="1"/>
        <color theme="4" tint="0.79998168889431442"/>
      </dataBar>
      <extLst>
        <ext xmlns:x14="http://schemas.microsoft.com/office/spreadsheetml/2009/9/main" uri="{B025F937-C7B1-47D3-B67F-A62EFF666E3E}">
          <x14:id>{F816DEE3-4291-4A7A-8BF0-F12548CC0F19}</x14:id>
        </ext>
      </extLst>
    </cfRule>
  </conditionalFormatting>
  <conditionalFormatting sqref="I330">
    <cfRule type="iconSet" priority="2675">
      <iconSet iconSet="3Arrows">
        <cfvo type="percent" val="0"/>
        <cfvo type="num" val="0.7"/>
        <cfvo type="num" val="1"/>
      </iconSet>
    </cfRule>
    <cfRule type="dataBar" priority="2676">
      <dataBar>
        <cfvo type="num" val="0"/>
        <cfvo type="num" val="1"/>
        <color theme="4" tint="0.79998168889431442"/>
      </dataBar>
      <extLst>
        <ext xmlns:x14="http://schemas.microsoft.com/office/spreadsheetml/2009/9/main" uri="{B025F937-C7B1-47D3-B67F-A62EFF666E3E}">
          <x14:id>{A0B4CC9C-14CA-4567-A0A2-20809B434F19}</x14:id>
        </ext>
      </extLst>
    </cfRule>
  </conditionalFormatting>
  <conditionalFormatting sqref="I332">
    <cfRule type="iconSet" priority="2751">
      <iconSet iconSet="3Arrows">
        <cfvo type="percent" val="0"/>
        <cfvo type="num" val="0.7"/>
        <cfvo type="num" val="1"/>
      </iconSet>
    </cfRule>
    <cfRule type="dataBar" priority="2752">
      <dataBar>
        <cfvo type="num" val="0"/>
        <cfvo type="num" val="1"/>
        <color theme="4" tint="0.79998168889431442"/>
      </dataBar>
      <extLst>
        <ext xmlns:x14="http://schemas.microsoft.com/office/spreadsheetml/2009/9/main" uri="{B025F937-C7B1-47D3-B67F-A62EFF666E3E}">
          <x14:id>{C8D2DEEC-9030-4A4A-913D-E1B23E300F76}</x14:id>
        </ext>
      </extLst>
    </cfRule>
  </conditionalFormatting>
  <conditionalFormatting sqref="I334">
    <cfRule type="iconSet" priority="2779">
      <iconSet iconSet="3Arrows">
        <cfvo type="percent" val="0"/>
        <cfvo type="num" val="0.7"/>
        <cfvo type="num" val="1"/>
      </iconSet>
    </cfRule>
    <cfRule type="dataBar" priority="2780">
      <dataBar>
        <cfvo type="num" val="0"/>
        <cfvo type="num" val="1"/>
        <color theme="4" tint="0.79998168889431442"/>
      </dataBar>
      <extLst>
        <ext xmlns:x14="http://schemas.microsoft.com/office/spreadsheetml/2009/9/main" uri="{B025F937-C7B1-47D3-B67F-A62EFF666E3E}">
          <x14:id>{5541B255-1201-41FB-8DC3-041425D6A740}</x14:id>
        </ext>
      </extLst>
    </cfRule>
  </conditionalFormatting>
  <conditionalFormatting sqref="I336">
    <cfRule type="iconSet" priority="2303">
      <iconSet iconSet="3Arrows">
        <cfvo type="percent" val="0"/>
        <cfvo type="num" val="0.7"/>
        <cfvo type="num" val="1"/>
      </iconSet>
    </cfRule>
    <cfRule type="dataBar" priority="2304">
      <dataBar>
        <cfvo type="num" val="0"/>
        <cfvo type="num" val="1"/>
        <color theme="4" tint="0.79998168889431442"/>
      </dataBar>
      <extLst>
        <ext xmlns:x14="http://schemas.microsoft.com/office/spreadsheetml/2009/9/main" uri="{B025F937-C7B1-47D3-B67F-A62EFF666E3E}">
          <x14:id>{2AECD3A9-0A75-4798-A7FE-8EF369303F0F}</x14:id>
        </ext>
      </extLst>
    </cfRule>
  </conditionalFormatting>
  <conditionalFormatting sqref="I338">
    <cfRule type="iconSet" priority="2765">
      <iconSet iconSet="3Arrows">
        <cfvo type="percent" val="0"/>
        <cfvo type="num" val="0.7"/>
        <cfvo type="num" val="1"/>
      </iconSet>
    </cfRule>
    <cfRule type="dataBar" priority="2766">
      <dataBar>
        <cfvo type="num" val="0"/>
        <cfvo type="num" val="1"/>
        <color theme="4" tint="0.79998168889431442"/>
      </dataBar>
      <extLst>
        <ext xmlns:x14="http://schemas.microsoft.com/office/spreadsheetml/2009/9/main" uri="{B025F937-C7B1-47D3-B67F-A62EFF666E3E}">
          <x14:id>{027B0B70-C5F0-4B57-8271-F55BB7238A3D}</x14:id>
        </ext>
      </extLst>
    </cfRule>
  </conditionalFormatting>
  <conditionalFormatting sqref="I340">
    <cfRule type="iconSet" priority="2705">
      <iconSet iconSet="3Arrows">
        <cfvo type="percent" val="0"/>
        <cfvo type="num" val="0.7"/>
        <cfvo type="num" val="1"/>
      </iconSet>
    </cfRule>
    <cfRule type="dataBar" priority="2706">
      <dataBar>
        <cfvo type="num" val="0"/>
        <cfvo type="num" val="1"/>
        <color theme="4" tint="0.79998168889431442"/>
      </dataBar>
      <extLst>
        <ext xmlns:x14="http://schemas.microsoft.com/office/spreadsheetml/2009/9/main" uri="{B025F937-C7B1-47D3-B67F-A62EFF666E3E}">
          <x14:id>{F679C1D1-DF41-430F-ABB5-7C49EE667ACA}</x14:id>
        </ext>
      </extLst>
    </cfRule>
  </conditionalFormatting>
  <conditionalFormatting sqref="I342">
    <cfRule type="iconSet" priority="2735">
      <iconSet iconSet="3Arrows">
        <cfvo type="percent" val="0"/>
        <cfvo type="num" val="0.7"/>
        <cfvo type="num" val="1"/>
      </iconSet>
    </cfRule>
    <cfRule type="dataBar" priority="2736">
      <dataBar>
        <cfvo type="num" val="0"/>
        <cfvo type="num" val="1"/>
        <color theme="4" tint="0.79998168889431442"/>
      </dataBar>
      <extLst>
        <ext xmlns:x14="http://schemas.microsoft.com/office/spreadsheetml/2009/9/main" uri="{B025F937-C7B1-47D3-B67F-A62EFF666E3E}">
          <x14:id>{F4662949-8997-4597-9463-734C3B67F9C0}</x14:id>
        </ext>
      </extLst>
    </cfRule>
  </conditionalFormatting>
  <conditionalFormatting sqref="I344">
    <cfRule type="iconSet" priority="2404">
      <iconSet iconSet="3Arrows">
        <cfvo type="percent" val="0"/>
        <cfvo type="num" val="0.7"/>
        <cfvo type="num" val="1"/>
      </iconSet>
    </cfRule>
    <cfRule type="dataBar" priority="2405">
      <dataBar>
        <cfvo type="num" val="0"/>
        <cfvo type="num" val="1"/>
        <color theme="4" tint="0.79998168889431442"/>
      </dataBar>
      <extLst>
        <ext xmlns:x14="http://schemas.microsoft.com/office/spreadsheetml/2009/9/main" uri="{B025F937-C7B1-47D3-B67F-A62EFF666E3E}">
          <x14:id>{97C94B7E-E3FE-4FDA-BB26-A9291823FE02}</x14:id>
        </ext>
      </extLst>
    </cfRule>
  </conditionalFormatting>
  <conditionalFormatting sqref="I346">
    <cfRule type="iconSet" priority="2721">
      <iconSet iconSet="3Arrows">
        <cfvo type="percent" val="0"/>
        <cfvo type="num" val="0.7"/>
        <cfvo type="num" val="1"/>
      </iconSet>
    </cfRule>
    <cfRule type="dataBar" priority="2722">
      <dataBar>
        <cfvo type="num" val="0"/>
        <cfvo type="num" val="1"/>
        <color theme="4" tint="0.79998168889431442"/>
      </dataBar>
      <extLst>
        <ext xmlns:x14="http://schemas.microsoft.com/office/spreadsheetml/2009/9/main" uri="{B025F937-C7B1-47D3-B67F-A62EFF666E3E}">
          <x14:id>{BB0D50E9-1B69-4F2E-ACF3-DF1D570E53E2}</x14:id>
        </ext>
      </extLst>
    </cfRule>
  </conditionalFormatting>
  <conditionalFormatting sqref="I348">
    <cfRule type="iconSet" priority="2289">
      <iconSet iconSet="3Arrows">
        <cfvo type="percent" val="0"/>
        <cfvo type="num" val="0.7"/>
        <cfvo type="num" val="1"/>
      </iconSet>
    </cfRule>
    <cfRule type="dataBar" priority="2290">
      <dataBar>
        <cfvo type="num" val="0"/>
        <cfvo type="num" val="1"/>
        <color theme="4" tint="0.79998168889431442"/>
      </dataBar>
      <extLst>
        <ext xmlns:x14="http://schemas.microsoft.com/office/spreadsheetml/2009/9/main" uri="{B025F937-C7B1-47D3-B67F-A62EFF666E3E}">
          <x14:id>{AF43D6AB-837A-4B06-AA99-73E70499DE91}</x14:id>
        </ext>
      </extLst>
    </cfRule>
  </conditionalFormatting>
  <conditionalFormatting sqref="I350">
    <cfRule type="iconSet" priority="2496">
      <iconSet iconSet="3Arrows">
        <cfvo type="percent" val="0"/>
        <cfvo type="num" val="0.7"/>
        <cfvo type="num" val="1"/>
      </iconSet>
    </cfRule>
    <cfRule type="dataBar" priority="2497">
      <dataBar>
        <cfvo type="num" val="0"/>
        <cfvo type="num" val="1"/>
        <color theme="4" tint="0.79998168889431442"/>
      </dataBar>
      <extLst>
        <ext xmlns:x14="http://schemas.microsoft.com/office/spreadsheetml/2009/9/main" uri="{B025F937-C7B1-47D3-B67F-A62EFF666E3E}">
          <x14:id>{8CD9DA28-7D8B-445F-A124-81866530D337}</x14:id>
        </ext>
      </extLst>
    </cfRule>
  </conditionalFormatting>
  <conditionalFormatting sqref="I358">
    <cfRule type="iconSet" priority="2249">
      <iconSet iconSet="3Arrows">
        <cfvo type="percent" val="0"/>
        <cfvo type="num" val="0.7"/>
        <cfvo type="num" val="1"/>
      </iconSet>
    </cfRule>
    <cfRule type="dataBar" priority="2250">
      <dataBar>
        <cfvo type="num" val="0"/>
        <cfvo type="num" val="1"/>
        <color theme="4" tint="0.79998168889431442"/>
      </dataBar>
      <extLst>
        <ext xmlns:x14="http://schemas.microsoft.com/office/spreadsheetml/2009/9/main" uri="{B025F937-C7B1-47D3-B67F-A62EFF666E3E}">
          <x14:id>{B9235604-3BDA-405D-8C10-F0367A4CD66D}</x14:id>
        </ext>
      </extLst>
    </cfRule>
  </conditionalFormatting>
  <conditionalFormatting sqref="I362">
    <cfRule type="iconSet" priority="1376">
      <iconSet iconSet="3Arrows">
        <cfvo type="percent" val="0"/>
        <cfvo type="num" val="0.7"/>
        <cfvo type="num" val="1"/>
      </iconSet>
    </cfRule>
    <cfRule type="dataBar" priority="1377">
      <dataBar>
        <cfvo type="num" val="0"/>
        <cfvo type="num" val="1"/>
        <color theme="4" tint="0.79998168889431442"/>
      </dataBar>
      <extLst>
        <ext xmlns:x14="http://schemas.microsoft.com/office/spreadsheetml/2009/9/main" uri="{B025F937-C7B1-47D3-B67F-A62EFF666E3E}">
          <x14:id>{BCDE4D26-0BF8-480C-9E00-4BBB814EEFC5}</x14:id>
        </ext>
      </extLst>
    </cfRule>
  </conditionalFormatting>
  <conditionalFormatting sqref="I364">
    <cfRule type="iconSet" priority="1817">
      <iconSet iconSet="3Arrows">
        <cfvo type="percent" val="0"/>
        <cfvo type="num" val="0.7"/>
        <cfvo type="num" val="1"/>
      </iconSet>
    </cfRule>
    <cfRule type="dataBar" priority="1818">
      <dataBar>
        <cfvo type="num" val="0"/>
        <cfvo type="num" val="1"/>
        <color theme="4" tint="0.79998168889431442"/>
      </dataBar>
      <extLst>
        <ext xmlns:x14="http://schemas.microsoft.com/office/spreadsheetml/2009/9/main" uri="{B025F937-C7B1-47D3-B67F-A62EFF666E3E}">
          <x14:id>{D24E7457-2617-40A1-B185-44B3615ECF8E}</x14:id>
        </ext>
      </extLst>
    </cfRule>
  </conditionalFormatting>
  <conditionalFormatting sqref="I366">
    <cfRule type="iconSet" priority="1362">
      <iconSet iconSet="3Arrows">
        <cfvo type="percent" val="0"/>
        <cfvo type="num" val="0.7"/>
        <cfvo type="num" val="1"/>
      </iconSet>
    </cfRule>
    <cfRule type="dataBar" priority="1363">
      <dataBar>
        <cfvo type="num" val="0"/>
        <cfvo type="num" val="1"/>
        <color theme="4" tint="0.79998168889431442"/>
      </dataBar>
      <extLst>
        <ext xmlns:x14="http://schemas.microsoft.com/office/spreadsheetml/2009/9/main" uri="{B025F937-C7B1-47D3-B67F-A62EFF666E3E}">
          <x14:id>{2462EB57-5911-4A90-8896-FC8223FFC4C9}</x14:id>
        </ext>
      </extLst>
    </cfRule>
  </conditionalFormatting>
  <conditionalFormatting sqref="I370">
    <cfRule type="iconSet" priority="1803">
      <iconSet iconSet="3Arrows">
        <cfvo type="percent" val="0"/>
        <cfvo type="num" val="0.7"/>
        <cfvo type="num" val="1"/>
      </iconSet>
    </cfRule>
    <cfRule type="dataBar" priority="1804">
      <dataBar>
        <cfvo type="num" val="0"/>
        <cfvo type="num" val="1"/>
        <color theme="4" tint="0.79998168889431442"/>
      </dataBar>
      <extLst>
        <ext xmlns:x14="http://schemas.microsoft.com/office/spreadsheetml/2009/9/main" uri="{B025F937-C7B1-47D3-B67F-A62EFF666E3E}">
          <x14:id>{447CBCCA-668F-4372-B35A-BD64305892F3}</x14:id>
        </ext>
      </extLst>
    </cfRule>
  </conditionalFormatting>
  <conditionalFormatting sqref="I372">
    <cfRule type="iconSet" priority="2482">
      <iconSet iconSet="3Arrows">
        <cfvo type="percent" val="0"/>
        <cfvo type="num" val="0.7"/>
        <cfvo type="num" val="1"/>
      </iconSet>
    </cfRule>
    <cfRule type="dataBar" priority="2483">
      <dataBar>
        <cfvo type="num" val="0"/>
        <cfvo type="num" val="1"/>
        <color theme="4" tint="0.79998168889431442"/>
      </dataBar>
      <extLst>
        <ext xmlns:x14="http://schemas.microsoft.com/office/spreadsheetml/2009/9/main" uri="{B025F937-C7B1-47D3-B67F-A62EFF666E3E}">
          <x14:id>{EC3BBB5B-A806-4A46-9588-1669CD35908E}</x14:id>
        </ext>
      </extLst>
    </cfRule>
  </conditionalFormatting>
  <conditionalFormatting sqref="I374">
    <cfRule type="iconSet" priority="2614">
      <iconSet iconSet="3Arrows">
        <cfvo type="percent" val="0"/>
        <cfvo type="num" val="0.7"/>
        <cfvo type="num" val="1"/>
      </iconSet>
    </cfRule>
    <cfRule type="dataBar" priority="2615">
      <dataBar>
        <cfvo type="num" val="0"/>
        <cfvo type="num" val="1"/>
        <color theme="4" tint="0.79998168889431442"/>
      </dataBar>
      <extLst>
        <ext xmlns:x14="http://schemas.microsoft.com/office/spreadsheetml/2009/9/main" uri="{B025F937-C7B1-47D3-B67F-A62EFF666E3E}">
          <x14:id>{77F2DDF2-1CD6-4153-85E4-4C2E3FF4D9EA}</x14:id>
        </ext>
      </extLst>
    </cfRule>
  </conditionalFormatting>
  <conditionalFormatting sqref="I376">
    <cfRule type="iconSet" priority="2659">
      <iconSet iconSet="3Arrows">
        <cfvo type="percent" val="0"/>
        <cfvo type="num" val="0.7"/>
        <cfvo type="num" val="1"/>
      </iconSet>
    </cfRule>
    <cfRule type="dataBar" priority="2660">
      <dataBar>
        <cfvo type="num" val="0"/>
        <cfvo type="num" val="1"/>
        <color theme="4" tint="0.79998168889431442"/>
      </dataBar>
      <extLst>
        <ext xmlns:x14="http://schemas.microsoft.com/office/spreadsheetml/2009/9/main" uri="{B025F937-C7B1-47D3-B67F-A62EFF666E3E}">
          <x14:id>{41DFA915-E921-40A3-9462-076AE54874C3}</x14:id>
        </ext>
      </extLst>
    </cfRule>
  </conditionalFormatting>
  <conditionalFormatting sqref="I378">
    <cfRule type="iconSet" priority="2594">
      <iconSet iconSet="3Arrows">
        <cfvo type="percent" val="0"/>
        <cfvo type="num" val="0.7"/>
        <cfvo type="num" val="1"/>
      </iconSet>
    </cfRule>
    <cfRule type="dataBar" priority="2595">
      <dataBar>
        <cfvo type="num" val="0"/>
        <cfvo type="num" val="1"/>
        <color theme="4" tint="0.79998168889431442"/>
      </dataBar>
      <extLst>
        <ext xmlns:x14="http://schemas.microsoft.com/office/spreadsheetml/2009/9/main" uri="{B025F937-C7B1-47D3-B67F-A62EFF666E3E}">
          <x14:id>{31E5C3CC-F8DC-49B9-A930-C136468C3258}</x14:id>
        </ext>
      </extLst>
    </cfRule>
  </conditionalFormatting>
  <conditionalFormatting sqref="I380">
    <cfRule type="iconSet" priority="2644">
      <iconSet iconSet="3Arrows">
        <cfvo type="percent" val="0"/>
        <cfvo type="num" val="0.7"/>
        <cfvo type="num" val="1"/>
      </iconSet>
    </cfRule>
    <cfRule type="dataBar" priority="2645">
      <dataBar>
        <cfvo type="num" val="0"/>
        <cfvo type="num" val="1"/>
        <color theme="4" tint="0.79998168889431442"/>
      </dataBar>
      <extLst>
        <ext xmlns:x14="http://schemas.microsoft.com/office/spreadsheetml/2009/9/main" uri="{B025F937-C7B1-47D3-B67F-A62EFF666E3E}">
          <x14:id>{D157995F-D626-411C-AABA-0F1263C0E1E7}</x14:id>
        </ext>
      </extLst>
    </cfRule>
  </conditionalFormatting>
  <conditionalFormatting sqref="I382">
    <cfRule type="iconSet" priority="2574">
      <iconSet iconSet="3Arrows">
        <cfvo type="percent" val="0"/>
        <cfvo type="num" val="0.7"/>
        <cfvo type="num" val="1"/>
      </iconSet>
    </cfRule>
    <cfRule type="dataBar" priority="2575">
      <dataBar>
        <cfvo type="num" val="0"/>
        <cfvo type="num" val="1"/>
        <color theme="4" tint="0.79998168889431442"/>
      </dataBar>
      <extLst>
        <ext xmlns:x14="http://schemas.microsoft.com/office/spreadsheetml/2009/9/main" uri="{B025F937-C7B1-47D3-B67F-A62EFF666E3E}">
          <x14:id>{96E80A81-0D74-4115-A594-DD2467729E92}</x14:id>
        </ext>
      </extLst>
    </cfRule>
  </conditionalFormatting>
  <conditionalFormatting sqref="I384">
    <cfRule type="iconSet" priority="2629">
      <iconSet iconSet="3Arrows">
        <cfvo type="percent" val="0"/>
        <cfvo type="num" val="0.7"/>
        <cfvo type="num" val="1"/>
      </iconSet>
    </cfRule>
    <cfRule type="dataBar" priority="2630">
      <dataBar>
        <cfvo type="num" val="0"/>
        <cfvo type="num" val="1"/>
        <color theme="4" tint="0.79998168889431442"/>
      </dataBar>
      <extLst>
        <ext xmlns:x14="http://schemas.microsoft.com/office/spreadsheetml/2009/9/main" uri="{B025F937-C7B1-47D3-B67F-A62EFF666E3E}">
          <x14:id>{F6E753D4-C47C-4483-B64C-73FB2177EB14}</x14:id>
        </ext>
      </extLst>
    </cfRule>
  </conditionalFormatting>
  <conditionalFormatting sqref="I386">
    <cfRule type="iconSet" priority="1329">
      <iconSet iconSet="3Arrows">
        <cfvo type="percent" val="0"/>
        <cfvo type="num" val="0.7"/>
        <cfvo type="num" val="1"/>
      </iconSet>
    </cfRule>
    <cfRule type="dataBar" priority="1330">
      <dataBar>
        <cfvo type="num" val="0"/>
        <cfvo type="num" val="1"/>
        <color theme="4" tint="0.79998168889431442"/>
      </dataBar>
      <extLst>
        <ext xmlns:x14="http://schemas.microsoft.com/office/spreadsheetml/2009/9/main" uri="{B025F937-C7B1-47D3-B67F-A62EFF666E3E}">
          <x14:id>{80D0DE2D-0FE4-4BA0-88EA-D01C04AAA36D}</x14:id>
        </ext>
      </extLst>
    </cfRule>
  </conditionalFormatting>
  <conditionalFormatting sqref="I388">
    <cfRule type="iconSet" priority="1313">
      <iconSet iconSet="3Arrows">
        <cfvo type="percent" val="0"/>
        <cfvo type="num" val="0.7"/>
        <cfvo type="num" val="1"/>
      </iconSet>
    </cfRule>
    <cfRule type="dataBar" priority="1314">
      <dataBar>
        <cfvo type="num" val="0"/>
        <cfvo type="num" val="1"/>
        <color theme="4" tint="0.79998168889431442"/>
      </dataBar>
      <extLst>
        <ext xmlns:x14="http://schemas.microsoft.com/office/spreadsheetml/2009/9/main" uri="{B025F937-C7B1-47D3-B67F-A62EFF666E3E}">
          <x14:id>{D8FE4C10-F4DB-43AE-ABCE-491B2C2B9442}</x14:id>
        </ext>
      </extLst>
    </cfRule>
  </conditionalFormatting>
  <conditionalFormatting sqref="I390">
    <cfRule type="iconSet" priority="1321">
      <iconSet iconSet="3Arrows">
        <cfvo type="percent" val="0"/>
        <cfvo type="num" val="0.7"/>
        <cfvo type="num" val="1"/>
      </iconSet>
    </cfRule>
    <cfRule type="dataBar" priority="1322">
      <dataBar>
        <cfvo type="num" val="0"/>
        <cfvo type="num" val="1"/>
        <color theme="4" tint="0.79998168889431442"/>
      </dataBar>
      <extLst>
        <ext xmlns:x14="http://schemas.microsoft.com/office/spreadsheetml/2009/9/main" uri="{B025F937-C7B1-47D3-B67F-A62EFF666E3E}">
          <x14:id>{1B2FADE3-0BD6-4948-97E9-2DEB27C3B6F6}</x14:id>
        </ext>
      </extLst>
    </cfRule>
  </conditionalFormatting>
  <conditionalFormatting sqref="I393">
    <cfRule type="iconSet" priority="5035">
      <iconSet iconSet="3Arrows">
        <cfvo type="percent" val="0"/>
        <cfvo type="num" val="0.7"/>
        <cfvo type="num" val="1"/>
      </iconSet>
    </cfRule>
    <cfRule type="dataBar" priority="5036">
      <dataBar>
        <cfvo type="num" val="0"/>
        <cfvo type="num" val="1"/>
        <color theme="4" tint="0.79998168889431442"/>
      </dataBar>
      <extLst>
        <ext xmlns:x14="http://schemas.microsoft.com/office/spreadsheetml/2009/9/main" uri="{B025F937-C7B1-47D3-B67F-A62EFF666E3E}">
          <x14:id>{3850D0E4-1A0C-4E34-9D5D-588D5F35BB6D}</x14:id>
        </ext>
      </extLst>
    </cfRule>
  </conditionalFormatting>
  <conditionalFormatting sqref="I395">
    <cfRule type="iconSet" priority="5006">
      <iconSet iconSet="3Arrows">
        <cfvo type="percent" val="0"/>
        <cfvo type="num" val="0.7"/>
        <cfvo type="num" val="1"/>
      </iconSet>
    </cfRule>
    <cfRule type="dataBar" priority="5007">
      <dataBar>
        <cfvo type="num" val="0"/>
        <cfvo type="num" val="1"/>
        <color theme="4" tint="0.79998168889431442"/>
      </dataBar>
      <extLst>
        <ext xmlns:x14="http://schemas.microsoft.com/office/spreadsheetml/2009/9/main" uri="{B025F937-C7B1-47D3-B67F-A62EFF666E3E}">
          <x14:id>{475A3BD5-8EEA-46A2-B4AD-4A327F866183}</x14:id>
        </ext>
      </extLst>
    </cfRule>
  </conditionalFormatting>
  <conditionalFormatting sqref="I397">
    <cfRule type="iconSet" priority="4702">
      <iconSet iconSet="3Arrows">
        <cfvo type="percent" val="0"/>
        <cfvo type="num" val="0.7"/>
        <cfvo type="num" val="1"/>
      </iconSet>
    </cfRule>
    <cfRule type="dataBar" priority="4703">
      <dataBar>
        <cfvo type="num" val="0"/>
        <cfvo type="num" val="1"/>
        <color theme="4" tint="0.79998168889431442"/>
      </dataBar>
      <extLst>
        <ext xmlns:x14="http://schemas.microsoft.com/office/spreadsheetml/2009/9/main" uri="{B025F937-C7B1-47D3-B67F-A62EFF666E3E}">
          <x14:id>{272D90CD-3506-480C-993C-42E22302820F}</x14:id>
        </ext>
      </extLst>
    </cfRule>
  </conditionalFormatting>
  <conditionalFormatting sqref="I399">
    <cfRule type="iconSet" priority="4961">
      <iconSet iconSet="3Arrows">
        <cfvo type="percent" val="0"/>
        <cfvo type="num" val="0.7"/>
        <cfvo type="num" val="1"/>
      </iconSet>
    </cfRule>
    <cfRule type="dataBar" priority="4962">
      <dataBar>
        <cfvo type="num" val="0"/>
        <cfvo type="num" val="1"/>
        <color theme="4" tint="0.79998168889431442"/>
      </dataBar>
      <extLst>
        <ext xmlns:x14="http://schemas.microsoft.com/office/spreadsheetml/2009/9/main" uri="{B025F937-C7B1-47D3-B67F-A62EFF666E3E}">
          <x14:id>{2CE22BE3-D5DD-4AD1-AD95-E556943EB5EB}</x14:id>
        </ext>
      </extLst>
    </cfRule>
  </conditionalFormatting>
  <conditionalFormatting sqref="I401">
    <cfRule type="iconSet" priority="2235">
      <iconSet iconSet="3Arrows">
        <cfvo type="percent" val="0"/>
        <cfvo type="num" val="0.7"/>
        <cfvo type="num" val="1"/>
      </iconSet>
    </cfRule>
    <cfRule type="dataBar" priority="2236">
      <dataBar>
        <cfvo type="num" val="0"/>
        <cfvo type="num" val="1"/>
        <color theme="4" tint="0.79998168889431442"/>
      </dataBar>
      <extLst>
        <ext xmlns:x14="http://schemas.microsoft.com/office/spreadsheetml/2009/9/main" uri="{B025F937-C7B1-47D3-B67F-A62EFF666E3E}">
          <x14:id>{8703E3FA-4F59-4F4A-8839-632C52322173}</x14:id>
        </ext>
      </extLst>
    </cfRule>
  </conditionalFormatting>
  <conditionalFormatting sqref="I403">
    <cfRule type="iconSet" priority="2221">
      <iconSet iconSet="3Arrows">
        <cfvo type="percent" val="0"/>
        <cfvo type="num" val="0.7"/>
        <cfvo type="num" val="1"/>
      </iconSet>
    </cfRule>
    <cfRule type="dataBar" priority="2222">
      <dataBar>
        <cfvo type="num" val="0"/>
        <cfvo type="num" val="1"/>
        <color theme="4" tint="0.79998168889431442"/>
      </dataBar>
      <extLst>
        <ext xmlns:x14="http://schemas.microsoft.com/office/spreadsheetml/2009/9/main" uri="{B025F937-C7B1-47D3-B67F-A62EFF666E3E}">
          <x14:id>{4006A880-872C-446A-90C5-297AADFA8C42}</x14:id>
        </ext>
      </extLst>
    </cfRule>
  </conditionalFormatting>
  <conditionalFormatting sqref="I405">
    <cfRule type="iconSet" priority="1779">
      <iconSet iconSet="3Arrows">
        <cfvo type="percent" val="0"/>
        <cfvo type="num" val="0.7"/>
        <cfvo type="num" val="1"/>
      </iconSet>
    </cfRule>
    <cfRule type="dataBar" priority="1780">
      <dataBar>
        <cfvo type="num" val="0"/>
        <cfvo type="num" val="1"/>
        <color theme="4" tint="0.79998168889431442"/>
      </dataBar>
      <extLst>
        <ext xmlns:x14="http://schemas.microsoft.com/office/spreadsheetml/2009/9/main" uri="{B025F937-C7B1-47D3-B67F-A62EFF666E3E}">
          <x14:id>{44B3CFEF-45D0-475E-8B06-D9A5F35D79D7}</x14:id>
        </ext>
      </extLst>
    </cfRule>
  </conditionalFormatting>
  <conditionalFormatting sqref="I407">
    <cfRule type="iconSet" priority="1763">
      <iconSet iconSet="3Arrows">
        <cfvo type="percent" val="0"/>
        <cfvo type="num" val="0.7"/>
        <cfvo type="num" val="1"/>
      </iconSet>
    </cfRule>
    <cfRule type="dataBar" priority="1764">
      <dataBar>
        <cfvo type="num" val="0"/>
        <cfvo type="num" val="1"/>
        <color theme="4" tint="0.79998168889431442"/>
      </dataBar>
      <extLst>
        <ext xmlns:x14="http://schemas.microsoft.com/office/spreadsheetml/2009/9/main" uri="{B025F937-C7B1-47D3-B67F-A62EFF666E3E}">
          <x14:id>{CAB74D75-DF51-403C-9EF4-4DEB77E577F2}</x14:id>
        </ext>
      </extLst>
    </cfRule>
  </conditionalFormatting>
  <conditionalFormatting sqref="I409">
    <cfRule type="iconSet" priority="1771">
      <iconSet iconSet="3Arrows">
        <cfvo type="percent" val="0"/>
        <cfvo type="num" val="0.7"/>
        <cfvo type="num" val="1"/>
      </iconSet>
    </cfRule>
    <cfRule type="dataBar" priority="1772">
      <dataBar>
        <cfvo type="num" val="0"/>
        <cfvo type="num" val="1"/>
        <color theme="4" tint="0.79998168889431442"/>
      </dataBar>
      <extLst>
        <ext xmlns:x14="http://schemas.microsoft.com/office/spreadsheetml/2009/9/main" uri="{B025F937-C7B1-47D3-B67F-A62EFF666E3E}">
          <x14:id>{FAA9E8C7-D9D6-4894-9F1B-FD3FBDDB73FA}</x14:id>
        </ext>
      </extLst>
    </cfRule>
  </conditionalFormatting>
  <conditionalFormatting sqref="I411">
    <cfRule type="iconSet" priority="1280">
      <iconSet iconSet="3Arrows">
        <cfvo type="percent" val="0"/>
        <cfvo type="num" val="0.7"/>
        <cfvo type="num" val="1"/>
      </iconSet>
    </cfRule>
    <cfRule type="dataBar" priority="1281">
      <dataBar>
        <cfvo type="num" val="0"/>
        <cfvo type="num" val="1"/>
        <color theme="4" tint="0.79998168889431442"/>
      </dataBar>
      <extLst>
        <ext xmlns:x14="http://schemas.microsoft.com/office/spreadsheetml/2009/9/main" uri="{B025F937-C7B1-47D3-B67F-A62EFF666E3E}">
          <x14:id>{7D9171D9-9DE5-4790-AF34-AD6D3F9597AC}</x14:id>
        </ext>
      </extLst>
    </cfRule>
  </conditionalFormatting>
  <conditionalFormatting sqref="I413">
    <cfRule type="iconSet" priority="1264">
      <iconSet iconSet="3Arrows">
        <cfvo type="percent" val="0"/>
        <cfvo type="num" val="0.7"/>
        <cfvo type="num" val="1"/>
      </iconSet>
    </cfRule>
    <cfRule type="dataBar" priority="1265">
      <dataBar>
        <cfvo type="num" val="0"/>
        <cfvo type="num" val="1"/>
        <color theme="4" tint="0.79998168889431442"/>
      </dataBar>
      <extLst>
        <ext xmlns:x14="http://schemas.microsoft.com/office/spreadsheetml/2009/9/main" uri="{B025F937-C7B1-47D3-B67F-A62EFF666E3E}">
          <x14:id>{6A492A1E-150D-4B86-8AEA-238873D73B3D}</x14:id>
        </ext>
      </extLst>
    </cfRule>
  </conditionalFormatting>
  <conditionalFormatting sqref="I415">
    <cfRule type="iconSet" priority="1272">
      <iconSet iconSet="3Arrows">
        <cfvo type="percent" val="0"/>
        <cfvo type="num" val="0.7"/>
        <cfvo type="num" val="1"/>
      </iconSet>
    </cfRule>
    <cfRule type="dataBar" priority="1273">
      <dataBar>
        <cfvo type="num" val="0"/>
        <cfvo type="num" val="1"/>
        <color theme="4" tint="0.79998168889431442"/>
      </dataBar>
      <extLst>
        <ext xmlns:x14="http://schemas.microsoft.com/office/spreadsheetml/2009/9/main" uri="{B025F937-C7B1-47D3-B67F-A62EFF666E3E}">
          <x14:id>{D1124FD0-3989-4186-8F96-5377DE59A94E}</x14:id>
        </ext>
      </extLst>
    </cfRule>
  </conditionalFormatting>
  <conditionalFormatting sqref="I417">
    <cfRule type="iconSet" priority="3120">
      <iconSet iconSet="3Arrows">
        <cfvo type="percent" val="0"/>
        <cfvo type="num" val="0.7"/>
        <cfvo type="num" val="1"/>
      </iconSet>
    </cfRule>
    <cfRule type="dataBar" priority="3121">
      <dataBar>
        <cfvo type="num" val="0"/>
        <cfvo type="num" val="1"/>
        <color theme="4" tint="0.79998168889431442"/>
      </dataBar>
      <extLst>
        <ext xmlns:x14="http://schemas.microsoft.com/office/spreadsheetml/2009/9/main" uri="{B025F937-C7B1-47D3-B67F-A62EFF666E3E}">
          <x14:id>{F7F3518C-7DD8-49B8-9B63-6DEF5E52048C}</x14:id>
        </ext>
      </extLst>
    </cfRule>
  </conditionalFormatting>
  <conditionalFormatting sqref="I419">
    <cfRule type="iconSet" priority="3096">
      <iconSet iconSet="3Arrows">
        <cfvo type="percent" val="0"/>
        <cfvo type="num" val="0.7"/>
        <cfvo type="num" val="1"/>
      </iconSet>
    </cfRule>
    <cfRule type="dataBar" priority="3097">
      <dataBar>
        <cfvo type="num" val="0"/>
        <cfvo type="num" val="1"/>
        <color theme="4" tint="0.79998168889431442"/>
      </dataBar>
      <extLst>
        <ext xmlns:x14="http://schemas.microsoft.com/office/spreadsheetml/2009/9/main" uri="{B025F937-C7B1-47D3-B67F-A62EFF666E3E}">
          <x14:id>{CF3458E4-47AD-44EC-A3BF-552942FF2BC7}</x14:id>
        </ext>
      </extLst>
    </cfRule>
  </conditionalFormatting>
  <conditionalFormatting sqref="I421">
    <cfRule type="iconSet" priority="3112">
      <iconSet iconSet="3Arrows">
        <cfvo type="percent" val="0"/>
        <cfvo type="num" val="0.7"/>
        <cfvo type="num" val="1"/>
      </iconSet>
    </cfRule>
    <cfRule type="dataBar" priority="3113">
      <dataBar>
        <cfvo type="num" val="0"/>
        <cfvo type="num" val="1"/>
        <color theme="4" tint="0.79998168889431442"/>
      </dataBar>
      <extLst>
        <ext xmlns:x14="http://schemas.microsoft.com/office/spreadsheetml/2009/9/main" uri="{B025F937-C7B1-47D3-B67F-A62EFF666E3E}">
          <x14:id>{C82ACA0C-B6AE-4F9E-9317-D5108922FF79}</x14:id>
        </ext>
      </extLst>
    </cfRule>
  </conditionalFormatting>
  <conditionalFormatting sqref="I423">
    <cfRule type="iconSet" priority="3104">
      <iconSet iconSet="3Arrows">
        <cfvo type="percent" val="0"/>
        <cfvo type="num" val="0.7"/>
        <cfvo type="num" val="1"/>
      </iconSet>
    </cfRule>
    <cfRule type="dataBar" priority="3105">
      <dataBar>
        <cfvo type="num" val="0"/>
        <cfvo type="num" val="1"/>
        <color theme="4" tint="0.79998168889431442"/>
      </dataBar>
      <extLst>
        <ext xmlns:x14="http://schemas.microsoft.com/office/spreadsheetml/2009/9/main" uri="{B025F937-C7B1-47D3-B67F-A62EFF666E3E}">
          <x14:id>{2BAB2650-F8F0-4A33-B943-E2751C7A60EE}</x14:id>
        </ext>
      </extLst>
    </cfRule>
  </conditionalFormatting>
  <conditionalFormatting sqref="I425">
    <cfRule type="iconSet" priority="192">
      <iconSet iconSet="3Arrows">
        <cfvo type="percent" val="0"/>
        <cfvo type="num" val="0.7"/>
        <cfvo type="num" val="1"/>
      </iconSet>
    </cfRule>
    <cfRule type="dataBar" priority="193">
      <dataBar>
        <cfvo type="num" val="0"/>
        <cfvo type="num" val="1"/>
        <color theme="4" tint="0.79998168889431442"/>
      </dataBar>
      <extLst>
        <ext xmlns:x14="http://schemas.microsoft.com/office/spreadsheetml/2009/9/main" uri="{B025F937-C7B1-47D3-B67F-A62EFF666E3E}">
          <x14:id>{34AAAB87-124B-4CCC-9C76-EE8466C43570}</x14:id>
        </ext>
      </extLst>
    </cfRule>
  </conditionalFormatting>
  <conditionalFormatting sqref="I428">
    <cfRule type="iconSet" priority="4917">
      <iconSet iconSet="3Arrows">
        <cfvo type="percent" val="0"/>
        <cfvo type="num" val="0.7"/>
        <cfvo type="num" val="1"/>
      </iconSet>
    </cfRule>
    <cfRule type="dataBar" priority="4918">
      <dataBar>
        <cfvo type="num" val="0"/>
        <cfvo type="num" val="1"/>
        <color theme="4" tint="0.79998168889431442"/>
      </dataBar>
      <extLst>
        <ext xmlns:x14="http://schemas.microsoft.com/office/spreadsheetml/2009/9/main" uri="{B025F937-C7B1-47D3-B67F-A62EFF666E3E}">
          <x14:id>{F515DDBB-CE4D-42A8-A9B1-198F0F7083CD}</x14:id>
        </ext>
      </extLst>
    </cfRule>
  </conditionalFormatting>
  <conditionalFormatting sqref="I430">
    <cfRule type="iconSet" priority="4694">
      <iconSet iconSet="3Arrows">
        <cfvo type="percent" val="0"/>
        <cfvo type="num" val="0.7"/>
        <cfvo type="num" val="1"/>
      </iconSet>
    </cfRule>
    <cfRule type="dataBar" priority="4695">
      <dataBar>
        <cfvo type="num" val="0"/>
        <cfvo type="num" val="1"/>
        <color theme="4" tint="0.79998168889431442"/>
      </dataBar>
      <extLst>
        <ext xmlns:x14="http://schemas.microsoft.com/office/spreadsheetml/2009/9/main" uri="{B025F937-C7B1-47D3-B67F-A62EFF666E3E}">
          <x14:id>{27B38B09-0BEB-495C-8ED7-F2E4836F74F1}</x14:id>
        </ext>
      </extLst>
    </cfRule>
  </conditionalFormatting>
  <conditionalFormatting sqref="I432">
    <cfRule type="iconSet" priority="2556">
      <iconSet iconSet="3Arrows">
        <cfvo type="percent" val="0"/>
        <cfvo type="num" val="0.7"/>
        <cfvo type="num" val="1"/>
      </iconSet>
    </cfRule>
    <cfRule type="dataBar" priority="2557">
      <dataBar>
        <cfvo type="num" val="0"/>
        <cfvo type="num" val="1"/>
        <color theme="4" tint="0.79998168889431442"/>
      </dataBar>
      <extLst>
        <ext xmlns:x14="http://schemas.microsoft.com/office/spreadsheetml/2009/9/main" uri="{B025F937-C7B1-47D3-B67F-A62EFF666E3E}">
          <x14:id>{458A5276-8979-4F9C-BDB8-F8CB3285957F}</x14:id>
        </ext>
      </extLst>
    </cfRule>
  </conditionalFormatting>
  <conditionalFormatting sqref="I434 I436 I438 I440">
    <cfRule type="iconSet" priority="3029">
      <iconSet iconSet="3Arrows">
        <cfvo type="percent" val="0"/>
        <cfvo type="num" val="0.7"/>
        <cfvo type="num" val="1"/>
      </iconSet>
    </cfRule>
    <cfRule type="dataBar" priority="3030">
      <dataBar>
        <cfvo type="num" val="0"/>
        <cfvo type="num" val="1"/>
        <color theme="4" tint="0.79998168889431442"/>
      </dataBar>
      <extLst>
        <ext xmlns:x14="http://schemas.microsoft.com/office/spreadsheetml/2009/9/main" uri="{B025F937-C7B1-47D3-B67F-A62EFF666E3E}">
          <x14:id>{69DFFE96-4D64-4EAA-B90F-C3A474815ABC}</x14:id>
        </ext>
      </extLst>
    </cfRule>
  </conditionalFormatting>
  <conditionalFormatting sqref="I442">
    <cfRule type="iconSet" priority="1232">
      <iconSet iconSet="3Arrows">
        <cfvo type="percent" val="0"/>
        <cfvo type="num" val="0.7"/>
        <cfvo type="num" val="1"/>
      </iconSet>
    </cfRule>
    <cfRule type="dataBar" priority="1233">
      <dataBar>
        <cfvo type="num" val="0"/>
        <cfvo type="num" val="1"/>
        <color theme="4" tint="0.79998168889431442"/>
      </dataBar>
      <extLst>
        <ext xmlns:x14="http://schemas.microsoft.com/office/spreadsheetml/2009/9/main" uri="{B025F937-C7B1-47D3-B67F-A62EFF666E3E}">
          <x14:id>{B203CA5E-480C-4325-9C9D-0E18D731E5C6}</x14:id>
        </ext>
      </extLst>
    </cfRule>
  </conditionalFormatting>
  <conditionalFormatting sqref="I444 I448 I450 I452 I454 I456">
    <cfRule type="iconSet" priority="4915">
      <iconSet iconSet="3Arrows">
        <cfvo type="percent" val="0"/>
        <cfvo type="num" val="0.7"/>
        <cfvo type="num" val="1"/>
      </iconSet>
    </cfRule>
    <cfRule type="dataBar" priority="4916">
      <dataBar>
        <cfvo type="num" val="0"/>
        <cfvo type="num" val="1"/>
        <color theme="4" tint="0.79998168889431442"/>
      </dataBar>
      <extLst>
        <ext xmlns:x14="http://schemas.microsoft.com/office/spreadsheetml/2009/9/main" uri="{B025F937-C7B1-47D3-B67F-A62EFF666E3E}">
          <x14:id>{FA1EEC95-88EC-4B5F-9751-0E65FF15BF72}</x14:id>
        </ext>
      </extLst>
    </cfRule>
  </conditionalFormatting>
  <conditionalFormatting sqref="I446">
    <cfRule type="iconSet" priority="1218">
      <iconSet iconSet="3Arrows">
        <cfvo type="percent" val="0"/>
        <cfvo type="num" val="0.7"/>
        <cfvo type="num" val="1"/>
      </iconSet>
    </cfRule>
    <cfRule type="dataBar" priority="1219">
      <dataBar>
        <cfvo type="num" val="0"/>
        <cfvo type="num" val="1"/>
        <color theme="4" tint="0.79998168889431442"/>
      </dataBar>
      <extLst>
        <ext xmlns:x14="http://schemas.microsoft.com/office/spreadsheetml/2009/9/main" uri="{B025F937-C7B1-47D3-B67F-A62EFF666E3E}">
          <x14:id>{E630A848-2CEF-48DD-B9BD-50546CB6CA79}</x14:id>
        </ext>
      </extLst>
    </cfRule>
  </conditionalFormatting>
  <conditionalFormatting sqref="I458">
    <cfRule type="iconSet" priority="4907">
      <iconSet iconSet="3Arrows">
        <cfvo type="percent" val="0"/>
        <cfvo type="num" val="0.7"/>
        <cfvo type="num" val="1"/>
      </iconSet>
    </cfRule>
    <cfRule type="dataBar" priority="4908">
      <dataBar>
        <cfvo type="num" val="0"/>
        <cfvo type="num" val="1"/>
        <color theme="4" tint="0.79998168889431442"/>
      </dataBar>
      <extLst>
        <ext xmlns:x14="http://schemas.microsoft.com/office/spreadsheetml/2009/9/main" uri="{B025F937-C7B1-47D3-B67F-A62EFF666E3E}">
          <x14:id>{0F180875-3F90-4D65-A091-C900944CCDA2}</x14:id>
        </ext>
      </extLst>
    </cfRule>
  </conditionalFormatting>
  <conditionalFormatting sqref="I460">
    <cfRule type="iconSet" priority="2540">
      <iconSet iconSet="3Arrows">
        <cfvo type="percent" val="0"/>
        <cfvo type="num" val="0.7"/>
        <cfvo type="num" val="1"/>
      </iconSet>
    </cfRule>
    <cfRule type="dataBar" priority="2541">
      <dataBar>
        <cfvo type="num" val="0"/>
        <cfvo type="num" val="1"/>
        <color theme="4" tint="0.79998168889431442"/>
      </dataBar>
      <extLst>
        <ext xmlns:x14="http://schemas.microsoft.com/office/spreadsheetml/2009/9/main" uri="{B025F937-C7B1-47D3-B67F-A62EFF666E3E}">
          <x14:id>{1C63A732-942D-472D-A036-553AECB6D5D3}</x14:id>
        </ext>
      </extLst>
    </cfRule>
  </conditionalFormatting>
  <conditionalFormatting sqref="I462">
    <cfRule type="iconSet" priority="4899">
      <iconSet iconSet="3Arrows">
        <cfvo type="percent" val="0"/>
        <cfvo type="num" val="0.7"/>
        <cfvo type="num" val="1"/>
      </iconSet>
    </cfRule>
    <cfRule type="dataBar" priority="4900">
      <dataBar>
        <cfvo type="num" val="0"/>
        <cfvo type="num" val="1"/>
        <color theme="4" tint="0.79998168889431442"/>
      </dataBar>
      <extLst>
        <ext xmlns:x14="http://schemas.microsoft.com/office/spreadsheetml/2009/9/main" uri="{B025F937-C7B1-47D3-B67F-A62EFF666E3E}">
          <x14:id>{2C5BF03E-5B09-4FC5-8056-713477D896B1}</x14:id>
        </ext>
      </extLst>
    </cfRule>
  </conditionalFormatting>
  <conditionalFormatting sqref="I464">
    <cfRule type="iconSet" priority="4883">
      <iconSet iconSet="3Arrows">
        <cfvo type="percent" val="0"/>
        <cfvo type="num" val="0.7"/>
        <cfvo type="num" val="1"/>
      </iconSet>
    </cfRule>
    <cfRule type="dataBar" priority="4884">
      <dataBar>
        <cfvo type="num" val="0"/>
        <cfvo type="num" val="1"/>
        <color theme="4" tint="0.79998168889431442"/>
      </dataBar>
      <extLst>
        <ext xmlns:x14="http://schemas.microsoft.com/office/spreadsheetml/2009/9/main" uri="{B025F937-C7B1-47D3-B67F-A62EFF666E3E}">
          <x14:id>{B05554D0-4AB7-4889-8125-4E29A4660622}</x14:id>
        </ext>
      </extLst>
    </cfRule>
  </conditionalFormatting>
  <conditionalFormatting sqref="I466">
    <cfRule type="iconSet" priority="3291">
      <iconSet iconSet="3Arrows">
        <cfvo type="percent" val="0"/>
        <cfvo type="num" val="0.7"/>
        <cfvo type="num" val="1"/>
      </iconSet>
    </cfRule>
    <cfRule type="dataBar" priority="3292">
      <dataBar>
        <cfvo type="num" val="0"/>
        <cfvo type="num" val="1"/>
        <color theme="4" tint="0.79998168889431442"/>
      </dataBar>
      <extLst>
        <ext xmlns:x14="http://schemas.microsoft.com/office/spreadsheetml/2009/9/main" uri="{B025F937-C7B1-47D3-B67F-A62EFF666E3E}">
          <x14:id>{BABA8EE2-84B9-447A-99D5-DCACCCEDB0E2}</x14:id>
        </ext>
      </extLst>
    </cfRule>
  </conditionalFormatting>
  <conditionalFormatting sqref="I468">
    <cfRule type="iconSet" priority="3277">
      <iconSet iconSet="3Arrows">
        <cfvo type="percent" val="0"/>
        <cfvo type="num" val="0.7"/>
        <cfvo type="num" val="1"/>
      </iconSet>
    </cfRule>
    <cfRule type="dataBar" priority="3278">
      <dataBar>
        <cfvo type="num" val="0"/>
        <cfvo type="num" val="1"/>
        <color theme="4" tint="0.79998168889431442"/>
      </dataBar>
      <extLst>
        <ext xmlns:x14="http://schemas.microsoft.com/office/spreadsheetml/2009/9/main" uri="{B025F937-C7B1-47D3-B67F-A62EFF666E3E}">
          <x14:id>{C1E86DEC-B55A-41DB-AB6D-06DED9D5032F}</x14:id>
        </ext>
      </extLst>
    </cfRule>
  </conditionalFormatting>
  <conditionalFormatting sqref="I470">
    <cfRule type="iconSet" priority="4891">
      <iconSet iconSet="3Arrows">
        <cfvo type="percent" val="0"/>
        <cfvo type="num" val="0.7"/>
        <cfvo type="num" val="1"/>
      </iconSet>
    </cfRule>
    <cfRule type="dataBar" priority="4892">
      <dataBar>
        <cfvo type="num" val="0"/>
        <cfvo type="num" val="1"/>
        <color theme="4" tint="0.79998168889431442"/>
      </dataBar>
      <extLst>
        <ext xmlns:x14="http://schemas.microsoft.com/office/spreadsheetml/2009/9/main" uri="{B025F937-C7B1-47D3-B67F-A62EFF666E3E}">
          <x14:id>{D6FEBF3A-8452-4B11-A8CB-C5671BBB2133}</x14:id>
        </ext>
      </extLst>
    </cfRule>
  </conditionalFormatting>
  <conditionalFormatting sqref="I472">
    <cfRule type="iconSet" priority="4875">
      <iconSet iconSet="3Arrows">
        <cfvo type="percent" val="0"/>
        <cfvo type="num" val="0.7"/>
        <cfvo type="num" val="1"/>
      </iconSet>
    </cfRule>
    <cfRule type="dataBar" priority="4876">
      <dataBar>
        <cfvo type="num" val="0"/>
        <cfvo type="num" val="1"/>
        <color theme="4" tint="0.79998168889431442"/>
      </dataBar>
      <extLst>
        <ext xmlns:x14="http://schemas.microsoft.com/office/spreadsheetml/2009/9/main" uri="{B025F937-C7B1-47D3-B67F-A62EFF666E3E}">
          <x14:id>{1D253056-43FB-4E5F-8383-ACD909CC9D3E}</x14:id>
        </ext>
      </extLst>
    </cfRule>
  </conditionalFormatting>
  <conditionalFormatting sqref="I474">
    <cfRule type="iconSet" priority="4867">
      <iconSet iconSet="3Arrows">
        <cfvo type="percent" val="0"/>
        <cfvo type="num" val="0.7"/>
        <cfvo type="num" val="1"/>
      </iconSet>
    </cfRule>
    <cfRule type="dataBar" priority="4868">
      <dataBar>
        <cfvo type="num" val="0"/>
        <cfvo type="num" val="1"/>
        <color theme="4" tint="0.79998168889431442"/>
      </dataBar>
      <extLst>
        <ext xmlns:x14="http://schemas.microsoft.com/office/spreadsheetml/2009/9/main" uri="{B025F937-C7B1-47D3-B67F-A62EFF666E3E}">
          <x14:id>{7558D747-D7AA-4A5D-9B6F-5B14D81A3207}</x14:id>
        </ext>
      </extLst>
    </cfRule>
  </conditionalFormatting>
  <conditionalFormatting sqref="I476">
    <cfRule type="iconSet" priority="4520">
      <iconSet iconSet="3Arrows">
        <cfvo type="percent" val="0"/>
        <cfvo type="num" val="0.7"/>
        <cfvo type="num" val="1"/>
      </iconSet>
    </cfRule>
    <cfRule type="dataBar" priority="4521">
      <dataBar>
        <cfvo type="num" val="0"/>
        <cfvo type="num" val="1"/>
        <color theme="4" tint="0.79998168889431442"/>
      </dataBar>
      <extLst>
        <ext xmlns:x14="http://schemas.microsoft.com/office/spreadsheetml/2009/9/main" uri="{B025F937-C7B1-47D3-B67F-A62EFF666E3E}">
          <x14:id>{CD1F879B-9BC2-4DA6-9A4C-4C5673B42471}</x14:id>
        </ext>
      </extLst>
    </cfRule>
  </conditionalFormatting>
  <conditionalFormatting sqref="I478">
    <cfRule type="iconSet" priority="3456">
      <iconSet iconSet="3Arrows">
        <cfvo type="percent" val="0"/>
        <cfvo type="num" val="0.7"/>
        <cfvo type="num" val="1"/>
      </iconSet>
    </cfRule>
    <cfRule type="dataBar" priority="3457">
      <dataBar>
        <cfvo type="num" val="0"/>
        <cfvo type="num" val="1"/>
        <color theme="4" tint="0.79998168889431442"/>
      </dataBar>
      <extLst>
        <ext xmlns:x14="http://schemas.microsoft.com/office/spreadsheetml/2009/9/main" uri="{B025F937-C7B1-47D3-B67F-A62EFF666E3E}">
          <x14:id>{A0C6148F-E255-4DDE-B87F-A36FAFDC0AD1}</x14:id>
        </ext>
      </extLst>
    </cfRule>
  </conditionalFormatting>
  <conditionalFormatting sqref="I480">
    <cfRule type="iconSet" priority="2997">
      <iconSet iconSet="3Arrows">
        <cfvo type="percent" val="0"/>
        <cfvo type="num" val="0.7"/>
        <cfvo type="num" val="1"/>
      </iconSet>
    </cfRule>
    <cfRule type="dataBar" priority="2998">
      <dataBar>
        <cfvo type="num" val="0"/>
        <cfvo type="num" val="1"/>
        <color theme="4" tint="0.79998168889431442"/>
      </dataBar>
      <extLst>
        <ext xmlns:x14="http://schemas.microsoft.com/office/spreadsheetml/2009/9/main" uri="{B025F937-C7B1-47D3-B67F-A62EFF666E3E}">
          <x14:id>{BE8B2C96-4F54-4523-878D-F26A42041663}</x14:id>
        </ext>
      </extLst>
    </cfRule>
  </conditionalFormatting>
  <conditionalFormatting sqref="I482">
    <cfRule type="iconSet" priority="2983">
      <iconSet iconSet="3Arrows">
        <cfvo type="percent" val="0"/>
        <cfvo type="num" val="0.7"/>
        <cfvo type="num" val="1"/>
      </iconSet>
    </cfRule>
    <cfRule type="dataBar" priority="2984">
      <dataBar>
        <cfvo type="num" val="0"/>
        <cfvo type="num" val="1"/>
        <color theme="4" tint="0.79998168889431442"/>
      </dataBar>
      <extLst>
        <ext xmlns:x14="http://schemas.microsoft.com/office/spreadsheetml/2009/9/main" uri="{B025F937-C7B1-47D3-B67F-A62EFF666E3E}">
          <x14:id>{499DC622-92EA-4B5C-AB18-AC0FD514E287}</x14:id>
        </ext>
      </extLst>
    </cfRule>
  </conditionalFormatting>
  <conditionalFormatting sqref="I484">
    <cfRule type="iconSet" priority="2206">
      <iconSet iconSet="3Arrows">
        <cfvo type="percent" val="0"/>
        <cfvo type="num" val="0.7"/>
        <cfvo type="num" val="1"/>
      </iconSet>
    </cfRule>
    <cfRule type="dataBar" priority="2207">
      <dataBar>
        <cfvo type="num" val="0"/>
        <cfvo type="num" val="1"/>
        <color theme="4" tint="0.79998168889431442"/>
      </dataBar>
      <extLst>
        <ext xmlns:x14="http://schemas.microsoft.com/office/spreadsheetml/2009/9/main" uri="{B025F937-C7B1-47D3-B67F-A62EFF666E3E}">
          <x14:id>{51415396-B3EB-4A24-A6E7-DA67EC319CC6}</x14:id>
        </ext>
      </extLst>
    </cfRule>
  </conditionalFormatting>
  <conditionalFormatting sqref="I486">
    <cfRule type="iconSet" priority="4859">
      <iconSet iconSet="3Arrows">
        <cfvo type="percent" val="0"/>
        <cfvo type="num" val="0.7"/>
        <cfvo type="num" val="1"/>
      </iconSet>
    </cfRule>
    <cfRule type="dataBar" priority="4860">
      <dataBar>
        <cfvo type="num" val="0"/>
        <cfvo type="num" val="1"/>
        <color theme="4" tint="0.79998168889431442"/>
      </dataBar>
      <extLst>
        <ext xmlns:x14="http://schemas.microsoft.com/office/spreadsheetml/2009/9/main" uri="{B025F937-C7B1-47D3-B67F-A62EFF666E3E}">
          <x14:id>{B516E99E-B284-4F0D-83B0-E010B9C5E5DA}</x14:id>
        </ext>
      </extLst>
    </cfRule>
  </conditionalFormatting>
  <conditionalFormatting sqref="I488">
    <cfRule type="iconSet" priority="2094">
      <iconSet iconSet="3Arrows">
        <cfvo type="percent" val="0"/>
        <cfvo type="num" val="0.7"/>
        <cfvo type="num" val="1"/>
      </iconSet>
    </cfRule>
    <cfRule type="dataBar" priority="2095">
      <dataBar>
        <cfvo type="num" val="0"/>
        <cfvo type="num" val="1"/>
        <color theme="4" tint="0.79998168889431442"/>
      </dataBar>
      <extLst>
        <ext xmlns:x14="http://schemas.microsoft.com/office/spreadsheetml/2009/9/main" uri="{B025F937-C7B1-47D3-B67F-A62EFF666E3E}">
          <x14:id>{2C15D2B3-DC4E-470E-AFFC-CFC76ED71D3C}</x14:id>
        </ext>
      </extLst>
    </cfRule>
  </conditionalFormatting>
  <conditionalFormatting sqref="I490 I492 I494 I496 I498 I500">
    <cfRule type="iconSet" priority="2103">
      <iconSet iconSet="3Arrows">
        <cfvo type="percent" val="0"/>
        <cfvo type="num" val="0.7"/>
        <cfvo type="num" val="1"/>
      </iconSet>
    </cfRule>
    <cfRule type="dataBar" priority="2104">
      <dataBar>
        <cfvo type="num" val="0"/>
        <cfvo type="num" val="1"/>
        <color theme="4" tint="0.79998168889431442"/>
      </dataBar>
      <extLst>
        <ext xmlns:x14="http://schemas.microsoft.com/office/spreadsheetml/2009/9/main" uri="{B025F937-C7B1-47D3-B67F-A62EFF666E3E}">
          <x14:id>{29D3CAD8-8E58-4B27-BB6A-ADDA3DEC862C}</x14:id>
        </ext>
      </extLst>
    </cfRule>
  </conditionalFormatting>
  <conditionalFormatting sqref="I502">
    <cfRule type="iconSet" priority="1602">
      <iconSet iconSet="3Arrows">
        <cfvo type="percent" val="0"/>
        <cfvo type="num" val="0.7"/>
        <cfvo type="num" val="1"/>
      </iconSet>
    </cfRule>
    <cfRule type="dataBar" priority="1603">
      <dataBar>
        <cfvo type="num" val="0"/>
        <cfvo type="num" val="1"/>
        <color theme="4" tint="0.79998168889431442"/>
      </dataBar>
      <extLst>
        <ext xmlns:x14="http://schemas.microsoft.com/office/spreadsheetml/2009/9/main" uri="{B025F937-C7B1-47D3-B67F-A62EFF666E3E}">
          <x14:id>{FE8F5C7C-89DC-4159-968C-D1DB80C2B8FE}</x14:id>
        </ext>
      </extLst>
    </cfRule>
  </conditionalFormatting>
  <conditionalFormatting sqref="I504 I506 I508 I512 I520 I528">
    <cfRule type="iconSet" priority="1610">
      <iconSet iconSet="3Arrows">
        <cfvo type="percent" val="0"/>
        <cfvo type="num" val="0.7"/>
        <cfvo type="num" val="1"/>
      </iconSet>
    </cfRule>
    <cfRule type="dataBar" priority="1611">
      <dataBar>
        <cfvo type="num" val="0"/>
        <cfvo type="num" val="1"/>
        <color theme="4" tint="0.79998168889431442"/>
      </dataBar>
      <extLst>
        <ext xmlns:x14="http://schemas.microsoft.com/office/spreadsheetml/2009/9/main" uri="{B025F937-C7B1-47D3-B67F-A62EFF666E3E}">
          <x14:id>{B98A79A2-4704-4818-9B88-590FF4BD1B2B}</x14:id>
        </ext>
      </extLst>
    </cfRule>
  </conditionalFormatting>
  <conditionalFormatting sqref="I510">
    <cfRule type="iconSet" priority="101">
      <iconSet iconSet="3Arrows">
        <cfvo type="percent" val="0"/>
        <cfvo type="num" val="0.7"/>
        <cfvo type="num" val="1"/>
      </iconSet>
    </cfRule>
    <cfRule type="dataBar" priority="102">
      <dataBar>
        <cfvo type="num" val="0"/>
        <cfvo type="num" val="1"/>
        <color theme="4" tint="0.79998168889431442"/>
      </dataBar>
      <extLst>
        <ext xmlns:x14="http://schemas.microsoft.com/office/spreadsheetml/2009/9/main" uri="{B025F937-C7B1-47D3-B67F-A62EFF666E3E}">
          <x14:id>{579239FF-920F-4F0F-AA56-B2D9625D22D1}</x14:id>
        </ext>
      </extLst>
    </cfRule>
  </conditionalFormatting>
  <conditionalFormatting sqref="I514">
    <cfRule type="iconSet" priority="85">
      <iconSet iconSet="3Arrows">
        <cfvo type="percent" val="0"/>
        <cfvo type="num" val="0.7"/>
        <cfvo type="num" val="1"/>
      </iconSet>
    </cfRule>
    <cfRule type="dataBar" priority="86">
      <dataBar>
        <cfvo type="num" val="0"/>
        <cfvo type="num" val="1"/>
        <color theme="4" tint="0.79998168889431442"/>
      </dataBar>
      <extLst>
        <ext xmlns:x14="http://schemas.microsoft.com/office/spreadsheetml/2009/9/main" uri="{B025F937-C7B1-47D3-B67F-A62EFF666E3E}">
          <x14:id>{3A2AA774-2B7E-4F2F-9D39-1B0D40016AEB}</x14:id>
        </ext>
      </extLst>
    </cfRule>
  </conditionalFormatting>
  <conditionalFormatting sqref="I516">
    <cfRule type="iconSet" priority="281">
      <iconSet iconSet="3Arrows">
        <cfvo type="percent" val="0"/>
        <cfvo type="num" val="0.7"/>
        <cfvo type="num" val="1"/>
      </iconSet>
    </cfRule>
    <cfRule type="dataBar" priority="282">
      <dataBar>
        <cfvo type="num" val="0"/>
        <cfvo type="num" val="1"/>
        <color theme="4" tint="0.79998168889431442"/>
      </dataBar>
      <extLst>
        <ext xmlns:x14="http://schemas.microsoft.com/office/spreadsheetml/2009/9/main" uri="{B025F937-C7B1-47D3-B67F-A62EFF666E3E}">
          <x14:id>{563959E4-1460-4AAA-B87F-8DDBAEFED584}</x14:id>
        </ext>
      </extLst>
    </cfRule>
  </conditionalFormatting>
  <conditionalFormatting sqref="I518">
    <cfRule type="iconSet" priority="265">
      <iconSet iconSet="3Arrows">
        <cfvo type="percent" val="0"/>
        <cfvo type="num" val="0.7"/>
        <cfvo type="num" val="1"/>
      </iconSet>
    </cfRule>
    <cfRule type="dataBar" priority="266">
      <dataBar>
        <cfvo type="num" val="0"/>
        <cfvo type="num" val="1"/>
        <color theme="4" tint="0.79998168889431442"/>
      </dataBar>
      <extLst>
        <ext xmlns:x14="http://schemas.microsoft.com/office/spreadsheetml/2009/9/main" uri="{B025F937-C7B1-47D3-B67F-A62EFF666E3E}">
          <x14:id>{0C13B72C-5449-4E21-9C1E-E42483F2BC58}</x14:id>
        </ext>
      </extLst>
    </cfRule>
  </conditionalFormatting>
  <conditionalFormatting sqref="I522">
    <cfRule type="iconSet" priority="522">
      <iconSet iconSet="3Arrows">
        <cfvo type="percent" val="0"/>
        <cfvo type="num" val="0.7"/>
        <cfvo type="num" val="1"/>
      </iconSet>
    </cfRule>
    <cfRule type="dataBar" priority="523">
      <dataBar>
        <cfvo type="num" val="0"/>
        <cfvo type="num" val="1"/>
        <color theme="4" tint="0.79998168889431442"/>
      </dataBar>
      <extLst>
        <ext xmlns:x14="http://schemas.microsoft.com/office/spreadsheetml/2009/9/main" uri="{B025F937-C7B1-47D3-B67F-A62EFF666E3E}">
          <x14:id>{47A40D61-C28C-46B8-AFEC-A217083A5B4C}</x14:id>
        </ext>
      </extLst>
    </cfRule>
  </conditionalFormatting>
  <conditionalFormatting sqref="I524">
    <cfRule type="iconSet" priority="506">
      <iconSet iconSet="3Arrows">
        <cfvo type="percent" val="0"/>
        <cfvo type="num" val="0.7"/>
        <cfvo type="num" val="1"/>
      </iconSet>
    </cfRule>
    <cfRule type="dataBar" priority="507">
      <dataBar>
        <cfvo type="num" val="0"/>
        <cfvo type="num" val="1"/>
        <color theme="4" tint="0.79998168889431442"/>
      </dataBar>
      <extLst>
        <ext xmlns:x14="http://schemas.microsoft.com/office/spreadsheetml/2009/9/main" uri="{B025F937-C7B1-47D3-B67F-A62EFF666E3E}">
          <x14:id>{3BBB1416-218E-4E14-932E-9279FF41E955}</x14:id>
        </ext>
      </extLst>
    </cfRule>
  </conditionalFormatting>
  <conditionalFormatting sqref="I526">
    <cfRule type="iconSet" priority="297">
      <iconSet iconSet="3Arrows">
        <cfvo type="percent" val="0"/>
        <cfvo type="num" val="0.7"/>
        <cfvo type="num" val="1"/>
      </iconSet>
    </cfRule>
    <cfRule type="dataBar" priority="298">
      <dataBar>
        <cfvo type="num" val="0"/>
        <cfvo type="num" val="1"/>
        <color theme="4" tint="0.79998168889431442"/>
      </dataBar>
      <extLst>
        <ext xmlns:x14="http://schemas.microsoft.com/office/spreadsheetml/2009/9/main" uri="{B025F937-C7B1-47D3-B67F-A62EFF666E3E}">
          <x14:id>{6343D1AF-3237-4090-9B14-0348DD1F83DD}</x14:id>
        </ext>
      </extLst>
    </cfRule>
  </conditionalFormatting>
  <conditionalFormatting sqref="I530">
    <cfRule type="iconSet" priority="1693">
      <iconSet iconSet="3Arrows">
        <cfvo type="percent" val="0"/>
        <cfvo type="num" val="0.7"/>
        <cfvo type="num" val="1"/>
      </iconSet>
    </cfRule>
    <cfRule type="dataBar" priority="1694">
      <dataBar>
        <cfvo type="num" val="0"/>
        <cfvo type="num" val="1"/>
        <color theme="4" tint="0.79998168889431442"/>
      </dataBar>
      <extLst>
        <ext xmlns:x14="http://schemas.microsoft.com/office/spreadsheetml/2009/9/main" uri="{B025F937-C7B1-47D3-B67F-A62EFF666E3E}">
          <x14:id>{0B4B1656-25BF-401E-87C7-867BDA58AA02}</x14:id>
        </ext>
      </extLst>
    </cfRule>
  </conditionalFormatting>
  <conditionalFormatting sqref="I532 I536 I538 I544 I556 I562">
    <cfRule type="iconSet" priority="1701">
      <iconSet iconSet="3Arrows">
        <cfvo type="percent" val="0"/>
        <cfvo type="num" val="0.7"/>
        <cfvo type="num" val="1"/>
      </iconSet>
    </cfRule>
    <cfRule type="dataBar" priority="1702">
      <dataBar>
        <cfvo type="num" val="0"/>
        <cfvo type="num" val="1"/>
        <color theme="4" tint="0.79998168889431442"/>
      </dataBar>
      <extLst>
        <ext xmlns:x14="http://schemas.microsoft.com/office/spreadsheetml/2009/9/main" uri="{B025F937-C7B1-47D3-B67F-A62EFF666E3E}">
          <x14:id>{D3FB8C9C-CBF3-4999-BD97-35AE021C973A}</x14:id>
        </ext>
      </extLst>
    </cfRule>
  </conditionalFormatting>
  <conditionalFormatting sqref="I534">
    <cfRule type="iconSet" priority="248">
      <iconSet iconSet="3Arrows">
        <cfvo type="percent" val="0"/>
        <cfvo type="num" val="0.7"/>
        <cfvo type="num" val="1"/>
      </iconSet>
    </cfRule>
    <cfRule type="dataBar" priority="249">
      <dataBar>
        <cfvo type="num" val="0"/>
        <cfvo type="num" val="1"/>
        <color theme="4" tint="0.79998168889431442"/>
      </dataBar>
      <extLst>
        <ext xmlns:x14="http://schemas.microsoft.com/office/spreadsheetml/2009/9/main" uri="{B025F937-C7B1-47D3-B67F-A62EFF666E3E}">
          <x14:id>{B62DE9FC-0B7E-4151-990B-6EB610AE8BD5}</x14:id>
        </ext>
      </extLst>
    </cfRule>
  </conditionalFormatting>
  <conditionalFormatting sqref="I540">
    <cfRule type="iconSet" priority="490">
      <iconSet iconSet="3Arrows">
        <cfvo type="percent" val="0"/>
        <cfvo type="num" val="0.7"/>
        <cfvo type="num" val="1"/>
      </iconSet>
    </cfRule>
    <cfRule type="dataBar" priority="491">
      <dataBar>
        <cfvo type="num" val="0"/>
        <cfvo type="num" val="1"/>
        <color theme="4" tint="0.79998168889431442"/>
      </dataBar>
      <extLst>
        <ext xmlns:x14="http://schemas.microsoft.com/office/spreadsheetml/2009/9/main" uri="{B025F937-C7B1-47D3-B67F-A62EFF666E3E}">
          <x14:id>{BC3FCD53-5529-479C-A11F-F1D7D31E36BC}</x14:id>
        </ext>
      </extLst>
    </cfRule>
  </conditionalFormatting>
  <conditionalFormatting sqref="I542">
    <cfRule type="iconSet" priority="69">
      <iconSet iconSet="3Arrows">
        <cfvo type="percent" val="0"/>
        <cfvo type="num" val="0.7"/>
        <cfvo type="num" val="1"/>
      </iconSet>
    </cfRule>
    <cfRule type="dataBar" priority="70">
      <dataBar>
        <cfvo type="num" val="0"/>
        <cfvo type="num" val="1"/>
        <color theme="4" tint="0.79998168889431442"/>
      </dataBar>
      <extLst>
        <ext xmlns:x14="http://schemas.microsoft.com/office/spreadsheetml/2009/9/main" uri="{B025F937-C7B1-47D3-B67F-A62EFF666E3E}">
          <x14:id>{3A930A38-E5D0-4B0A-BB53-B969A8D5EE80}</x14:id>
        </ext>
      </extLst>
    </cfRule>
  </conditionalFormatting>
  <conditionalFormatting sqref="I546">
    <cfRule type="iconSet" priority="214">
      <iconSet iconSet="3Arrows">
        <cfvo type="percent" val="0"/>
        <cfvo type="num" val="0.7"/>
        <cfvo type="num" val="1"/>
      </iconSet>
    </cfRule>
    <cfRule type="dataBar" priority="215">
      <dataBar>
        <cfvo type="num" val="0"/>
        <cfvo type="num" val="1"/>
        <color theme="4" tint="0.79998168889431442"/>
      </dataBar>
      <extLst>
        <ext xmlns:x14="http://schemas.microsoft.com/office/spreadsheetml/2009/9/main" uri="{B025F937-C7B1-47D3-B67F-A62EFF666E3E}">
          <x14:id>{D1E69AD9-99C3-41DF-AC4F-D4B1DFD21059}</x14:id>
        </ext>
      </extLst>
    </cfRule>
  </conditionalFormatting>
  <conditionalFormatting sqref="I548">
    <cfRule type="iconSet" priority="9">
      <iconSet iconSet="3Arrows">
        <cfvo type="percent" val="0"/>
        <cfvo type="num" val="0.7"/>
        <cfvo type="num" val="1"/>
      </iconSet>
    </cfRule>
    <cfRule type="dataBar" priority="10">
      <dataBar>
        <cfvo type="num" val="0"/>
        <cfvo type="num" val="1"/>
        <color theme="4" tint="0.79998168889431442"/>
      </dataBar>
      <extLst>
        <ext xmlns:x14="http://schemas.microsoft.com/office/spreadsheetml/2009/9/main" uri="{B025F937-C7B1-47D3-B67F-A62EFF666E3E}">
          <x14:id>{00536A01-4BD6-4038-9A6B-68846302F9E8}</x14:id>
        </ext>
      </extLst>
    </cfRule>
  </conditionalFormatting>
  <conditionalFormatting sqref="I550">
    <cfRule type="iconSet" priority="170">
      <iconSet iconSet="3Arrows">
        <cfvo type="percent" val="0"/>
        <cfvo type="num" val="0.7"/>
        <cfvo type="num" val="1"/>
      </iconSet>
    </cfRule>
    <cfRule type="dataBar" priority="171">
      <dataBar>
        <cfvo type="num" val="0"/>
        <cfvo type="num" val="1"/>
        <color theme="4" tint="0.79998168889431442"/>
      </dataBar>
      <extLst>
        <ext xmlns:x14="http://schemas.microsoft.com/office/spreadsheetml/2009/9/main" uri="{B025F937-C7B1-47D3-B67F-A62EFF666E3E}">
          <x14:id>{80244BAD-FA32-44F4-9392-FC26EA09CA78}</x14:id>
        </ext>
      </extLst>
    </cfRule>
  </conditionalFormatting>
  <conditionalFormatting sqref="I552">
    <cfRule type="iconSet" priority="379">
      <iconSet iconSet="3Arrows">
        <cfvo type="percent" val="0"/>
        <cfvo type="num" val="0.7"/>
        <cfvo type="num" val="1"/>
      </iconSet>
    </cfRule>
    <cfRule type="dataBar" priority="380">
      <dataBar>
        <cfvo type="num" val="0"/>
        <cfvo type="num" val="1"/>
        <color theme="4" tint="0.79998168889431442"/>
      </dataBar>
      <extLst>
        <ext xmlns:x14="http://schemas.microsoft.com/office/spreadsheetml/2009/9/main" uri="{B025F937-C7B1-47D3-B67F-A62EFF666E3E}">
          <x14:id>{763541BB-D316-4477-899F-CC5BE9813494}</x14:id>
        </ext>
      </extLst>
    </cfRule>
  </conditionalFormatting>
  <conditionalFormatting sqref="I554">
    <cfRule type="iconSet" priority="232">
      <iconSet iconSet="3Arrows">
        <cfvo type="percent" val="0"/>
        <cfvo type="num" val="0.7"/>
        <cfvo type="num" val="1"/>
      </iconSet>
    </cfRule>
    <cfRule type="dataBar" priority="233">
      <dataBar>
        <cfvo type="num" val="0"/>
        <cfvo type="num" val="1"/>
        <color theme="4" tint="0.79998168889431442"/>
      </dataBar>
      <extLst>
        <ext xmlns:x14="http://schemas.microsoft.com/office/spreadsheetml/2009/9/main" uri="{B025F937-C7B1-47D3-B67F-A62EFF666E3E}">
          <x14:id>{56B4E740-EC3A-4DF7-B5BD-BF7BA369D885}</x14:id>
        </ext>
      </extLst>
    </cfRule>
  </conditionalFormatting>
  <conditionalFormatting sqref="I558">
    <cfRule type="iconSet" priority="474">
      <iconSet iconSet="3Arrows">
        <cfvo type="percent" val="0"/>
        <cfvo type="num" val="0.7"/>
        <cfvo type="num" val="1"/>
      </iconSet>
    </cfRule>
    <cfRule type="dataBar" priority="475">
      <dataBar>
        <cfvo type="num" val="0"/>
        <cfvo type="num" val="1"/>
        <color theme="4" tint="0.79998168889431442"/>
      </dataBar>
      <extLst>
        <ext xmlns:x14="http://schemas.microsoft.com/office/spreadsheetml/2009/9/main" uri="{B025F937-C7B1-47D3-B67F-A62EFF666E3E}">
          <x14:id>{93F93A14-6240-4124-BADE-F8F58E2E7C61}</x14:id>
        </ext>
      </extLst>
    </cfRule>
  </conditionalFormatting>
  <conditionalFormatting sqref="I560">
    <cfRule type="iconSet" priority="53">
      <iconSet iconSet="3Arrows">
        <cfvo type="percent" val="0"/>
        <cfvo type="num" val="0.7"/>
        <cfvo type="num" val="1"/>
      </iconSet>
    </cfRule>
    <cfRule type="dataBar" priority="54">
      <dataBar>
        <cfvo type="num" val="0"/>
        <cfvo type="num" val="1"/>
        <color theme="4" tint="0.79998168889431442"/>
      </dataBar>
      <extLst>
        <ext xmlns:x14="http://schemas.microsoft.com/office/spreadsheetml/2009/9/main" uri="{B025F937-C7B1-47D3-B67F-A62EFF666E3E}">
          <x14:id>{692E4A76-8007-4765-B205-7C5CDFDAC75F}</x14:id>
        </ext>
      </extLst>
    </cfRule>
  </conditionalFormatting>
  <conditionalFormatting sqref="I566 I564 I568 I570 I572 I574">
    <cfRule type="iconSet" priority="4656">
      <iconSet iconSet="3Arrows">
        <cfvo type="percent" val="0"/>
        <cfvo type="num" val="0.7"/>
        <cfvo type="num" val="1"/>
      </iconSet>
    </cfRule>
    <cfRule type="dataBar" priority="4657">
      <dataBar>
        <cfvo type="num" val="0"/>
        <cfvo type="num" val="1"/>
        <color theme="4" tint="0.79998168889431442"/>
      </dataBar>
      <extLst>
        <ext xmlns:x14="http://schemas.microsoft.com/office/spreadsheetml/2009/9/main" uri="{B025F937-C7B1-47D3-B67F-A62EFF666E3E}">
          <x14:id>{BAD5C8C6-5079-47A0-A019-8B2744460D49}</x14:id>
        </ext>
      </extLst>
    </cfRule>
  </conditionalFormatting>
  <conditionalFormatting sqref="I576">
    <cfRule type="iconSet" priority="4648">
      <iconSet iconSet="3Arrows">
        <cfvo type="percent" val="0"/>
        <cfvo type="num" val="0.7"/>
        <cfvo type="num" val="1"/>
      </iconSet>
    </cfRule>
    <cfRule type="dataBar" priority="4649">
      <dataBar>
        <cfvo type="num" val="0"/>
        <cfvo type="num" val="1"/>
        <color theme="4" tint="0.79998168889431442"/>
      </dataBar>
      <extLst>
        <ext xmlns:x14="http://schemas.microsoft.com/office/spreadsheetml/2009/9/main" uri="{B025F937-C7B1-47D3-B67F-A62EFF666E3E}">
          <x14:id>{35766CDD-7100-4E03-BD96-A25D7AAD3018}</x14:id>
        </ext>
      </extLst>
    </cfRule>
  </conditionalFormatting>
  <conditionalFormatting sqref="I578">
    <cfRule type="iconSet" priority="4624">
      <iconSet iconSet="3Arrows">
        <cfvo type="percent" val="0"/>
        <cfvo type="num" val="0.7"/>
        <cfvo type="num" val="1"/>
      </iconSet>
    </cfRule>
    <cfRule type="dataBar" priority="4625">
      <dataBar>
        <cfvo type="num" val="0"/>
        <cfvo type="num" val="1"/>
        <color theme="4" tint="0.79998168889431442"/>
      </dataBar>
      <extLst>
        <ext xmlns:x14="http://schemas.microsoft.com/office/spreadsheetml/2009/9/main" uri="{B025F937-C7B1-47D3-B67F-A62EFF666E3E}">
          <x14:id>{3B654AED-B031-4F8E-9AAD-2CB31DBC6F88}</x14:id>
        </ext>
      </extLst>
    </cfRule>
  </conditionalFormatting>
  <conditionalFormatting sqref="I580">
    <cfRule type="iconSet" priority="4640">
      <iconSet iconSet="3Arrows">
        <cfvo type="percent" val="0"/>
        <cfvo type="num" val="0.7"/>
        <cfvo type="num" val="1"/>
      </iconSet>
    </cfRule>
    <cfRule type="dataBar" priority="4641">
      <dataBar>
        <cfvo type="num" val="0"/>
        <cfvo type="num" val="1"/>
        <color theme="4" tint="0.79998168889431442"/>
      </dataBar>
      <extLst>
        <ext xmlns:x14="http://schemas.microsoft.com/office/spreadsheetml/2009/9/main" uri="{B025F937-C7B1-47D3-B67F-A62EFF666E3E}">
          <x14:id>{FE30D67A-0080-485D-A5EE-16B48278F988}</x14:id>
        </ext>
      </extLst>
    </cfRule>
  </conditionalFormatting>
  <conditionalFormatting sqref="I582">
    <cfRule type="iconSet" priority="4616">
      <iconSet iconSet="3Arrows">
        <cfvo type="percent" val="0"/>
        <cfvo type="num" val="0.7"/>
        <cfvo type="num" val="1"/>
      </iconSet>
    </cfRule>
    <cfRule type="dataBar" priority="4617">
      <dataBar>
        <cfvo type="num" val="0"/>
        <cfvo type="num" val="1"/>
        <color theme="4" tint="0.79998168889431442"/>
      </dataBar>
      <extLst>
        <ext xmlns:x14="http://schemas.microsoft.com/office/spreadsheetml/2009/9/main" uri="{B025F937-C7B1-47D3-B67F-A62EFF666E3E}">
          <x14:id>{334B73B0-C1FF-4D69-9EB1-82D5B233E507}</x14:id>
        </ext>
      </extLst>
    </cfRule>
  </conditionalFormatting>
  <conditionalFormatting sqref="I584">
    <cfRule type="iconSet" priority="4632">
      <iconSet iconSet="3Arrows">
        <cfvo type="percent" val="0"/>
        <cfvo type="num" val="0.7"/>
        <cfvo type="num" val="1"/>
      </iconSet>
    </cfRule>
    <cfRule type="dataBar" priority="4633">
      <dataBar>
        <cfvo type="num" val="0"/>
        <cfvo type="num" val="1"/>
        <color theme="4" tint="0.79998168889431442"/>
      </dataBar>
      <extLst>
        <ext xmlns:x14="http://schemas.microsoft.com/office/spreadsheetml/2009/9/main" uri="{B025F937-C7B1-47D3-B67F-A62EFF666E3E}">
          <x14:id>{E24309C1-749F-473B-AD43-BA32709CDF30}</x14:id>
        </ext>
      </extLst>
    </cfRule>
  </conditionalFormatting>
  <conditionalFormatting sqref="I586">
    <cfRule type="iconSet" priority="4608">
      <iconSet iconSet="3Arrows">
        <cfvo type="percent" val="0"/>
        <cfvo type="num" val="0.7"/>
        <cfvo type="num" val="1"/>
      </iconSet>
    </cfRule>
    <cfRule type="dataBar" priority="4609">
      <dataBar>
        <cfvo type="num" val="0"/>
        <cfvo type="num" val="1"/>
        <color theme="4" tint="0.79998168889431442"/>
      </dataBar>
      <extLst>
        <ext xmlns:x14="http://schemas.microsoft.com/office/spreadsheetml/2009/9/main" uri="{B025F937-C7B1-47D3-B67F-A62EFF666E3E}">
          <x14:id>{6DB5D141-5E21-408A-858D-474ACC850CFE}</x14:id>
        </ext>
      </extLst>
    </cfRule>
  </conditionalFormatting>
  <conditionalFormatting sqref="I588">
    <cfRule type="iconSet" priority="2189">
      <iconSet iconSet="3Arrows">
        <cfvo type="percent" val="0"/>
        <cfvo type="num" val="0.7"/>
        <cfvo type="num" val="1"/>
      </iconSet>
    </cfRule>
    <cfRule type="dataBar" priority="2190">
      <dataBar>
        <cfvo type="num" val="0"/>
        <cfvo type="num" val="1"/>
        <color theme="4" tint="0.79998168889431442"/>
      </dataBar>
      <extLst>
        <ext xmlns:x14="http://schemas.microsoft.com/office/spreadsheetml/2009/9/main" uri="{B025F937-C7B1-47D3-B67F-A62EFF666E3E}">
          <x14:id>{3F7DA1EC-8AC5-4E6E-928D-9D364BD3D457}</x14:id>
        </ext>
      </extLst>
    </cfRule>
  </conditionalFormatting>
  <conditionalFormatting sqref="I591">
    <cfRule type="iconSet" priority="4352">
      <iconSet iconSet="3Arrows">
        <cfvo type="percent" val="0"/>
        <cfvo type="num" val="0.7"/>
        <cfvo type="num" val="1"/>
      </iconSet>
    </cfRule>
    <cfRule type="dataBar" priority="4353">
      <dataBar>
        <cfvo type="num" val="0"/>
        <cfvo type="num" val="1"/>
        <color theme="4" tint="0.79998168889431442"/>
      </dataBar>
      <extLst>
        <ext xmlns:x14="http://schemas.microsoft.com/office/spreadsheetml/2009/9/main" uri="{B025F937-C7B1-47D3-B67F-A62EFF666E3E}">
          <x14:id>{57DAD4E0-D750-4F60-AAE8-36A1BB95C90A}</x14:id>
        </ext>
      </extLst>
    </cfRule>
  </conditionalFormatting>
  <conditionalFormatting sqref="I593">
    <cfRule type="iconSet" priority="2420">
      <iconSet iconSet="3Arrows">
        <cfvo type="percent" val="0"/>
        <cfvo type="num" val="0.7"/>
        <cfvo type="num" val="1"/>
      </iconSet>
    </cfRule>
    <cfRule type="dataBar" priority="2421">
      <dataBar>
        <cfvo type="num" val="0"/>
        <cfvo type="num" val="1"/>
        <color theme="4" tint="0.79998168889431442"/>
      </dataBar>
      <extLst>
        <ext xmlns:x14="http://schemas.microsoft.com/office/spreadsheetml/2009/9/main" uri="{B025F937-C7B1-47D3-B67F-A62EFF666E3E}">
          <x14:id>{C41B2A47-B9D1-4C78-AF45-99DF48AA8DCD}</x14:id>
        </ext>
      </extLst>
    </cfRule>
  </conditionalFormatting>
  <conditionalFormatting sqref="I595">
    <cfRule type="iconSet" priority="2837">
      <iconSet iconSet="3Arrows">
        <cfvo type="percent" val="0"/>
        <cfvo type="num" val="0.7"/>
        <cfvo type="num" val="1"/>
      </iconSet>
    </cfRule>
    <cfRule type="dataBar" priority="2838">
      <dataBar>
        <cfvo type="num" val="0"/>
        <cfvo type="num" val="1"/>
        <color theme="4" tint="0.79998168889431442"/>
      </dataBar>
      <extLst>
        <ext xmlns:x14="http://schemas.microsoft.com/office/spreadsheetml/2009/9/main" uri="{B025F937-C7B1-47D3-B67F-A62EFF666E3E}">
          <x14:id>{C4DD5100-5F89-4875-AEB4-25C9E2352141}</x14:id>
        </ext>
      </extLst>
    </cfRule>
  </conditionalFormatting>
  <conditionalFormatting sqref="I597 I601 I603 I613">
    <cfRule type="iconSet" priority="4350">
      <iconSet iconSet="3Arrows">
        <cfvo type="percent" val="0"/>
        <cfvo type="num" val="0.7"/>
        <cfvo type="num" val="1"/>
      </iconSet>
    </cfRule>
    <cfRule type="dataBar" priority="4351">
      <dataBar>
        <cfvo type="num" val="0"/>
        <cfvo type="num" val="1"/>
        <color theme="4" tint="0.79998168889431442"/>
      </dataBar>
      <extLst>
        <ext xmlns:x14="http://schemas.microsoft.com/office/spreadsheetml/2009/9/main" uri="{B025F937-C7B1-47D3-B67F-A62EFF666E3E}">
          <x14:id>{050A8F65-5FB8-4DF1-BF96-922CD8B12E23}</x14:id>
        </ext>
      </extLst>
    </cfRule>
  </conditionalFormatting>
  <conditionalFormatting sqref="I599">
    <cfRule type="iconSet" priority="3061">
      <iconSet iconSet="3Arrows">
        <cfvo type="percent" val="0"/>
        <cfvo type="num" val="0.7"/>
        <cfvo type="num" val="1"/>
      </iconSet>
    </cfRule>
    <cfRule type="dataBar" priority="3062">
      <dataBar>
        <cfvo type="num" val="0"/>
        <cfvo type="num" val="1"/>
        <color theme="4" tint="0.79998168889431442"/>
      </dataBar>
      <extLst>
        <ext xmlns:x14="http://schemas.microsoft.com/office/spreadsheetml/2009/9/main" uri="{B025F937-C7B1-47D3-B67F-A62EFF666E3E}">
          <x14:id>{E368C5E1-B97F-4AB8-B690-39FE94177C18}</x14:id>
        </ext>
      </extLst>
    </cfRule>
  </conditionalFormatting>
  <conditionalFormatting sqref="I605">
    <cfRule type="iconSet" priority="3333">
      <iconSet iconSet="3Arrows">
        <cfvo type="percent" val="0"/>
        <cfvo type="num" val="0.7"/>
        <cfvo type="num" val="1"/>
      </iconSet>
    </cfRule>
    <cfRule type="dataBar" priority="3334">
      <dataBar>
        <cfvo type="num" val="0"/>
        <cfvo type="num" val="1"/>
        <color theme="4" tint="0.79998168889431442"/>
      </dataBar>
      <extLst>
        <ext xmlns:x14="http://schemas.microsoft.com/office/spreadsheetml/2009/9/main" uri="{B025F937-C7B1-47D3-B67F-A62EFF666E3E}">
          <x14:id>{799373BD-CB91-4BF4-B5B9-E4FFF55467D8}</x14:id>
        </ext>
      </extLst>
    </cfRule>
  </conditionalFormatting>
  <conditionalFormatting sqref="I607">
    <cfRule type="iconSet" priority="3319">
      <iconSet iconSet="3Arrows">
        <cfvo type="percent" val="0"/>
        <cfvo type="num" val="0.7"/>
        <cfvo type="num" val="1"/>
      </iconSet>
    </cfRule>
    <cfRule type="dataBar" priority="3320">
      <dataBar>
        <cfvo type="num" val="0"/>
        <cfvo type="num" val="1"/>
        <color theme="4" tint="0.79998168889431442"/>
      </dataBar>
      <extLst>
        <ext xmlns:x14="http://schemas.microsoft.com/office/spreadsheetml/2009/9/main" uri="{B025F937-C7B1-47D3-B67F-A62EFF666E3E}">
          <x14:id>{FE713A01-E6DE-493B-BC0A-7FF7FCCAE415}</x14:id>
        </ext>
      </extLst>
    </cfRule>
  </conditionalFormatting>
  <conditionalFormatting sqref="I609">
    <cfRule type="iconSet" priority="3305">
      <iconSet iconSet="3Arrows">
        <cfvo type="percent" val="0"/>
        <cfvo type="num" val="0.7"/>
        <cfvo type="num" val="1"/>
      </iconSet>
    </cfRule>
    <cfRule type="dataBar" priority="3306">
      <dataBar>
        <cfvo type="num" val="0"/>
        <cfvo type="num" val="1"/>
        <color theme="4" tint="0.79998168889431442"/>
      </dataBar>
      <extLst>
        <ext xmlns:x14="http://schemas.microsoft.com/office/spreadsheetml/2009/9/main" uri="{B025F937-C7B1-47D3-B67F-A62EFF666E3E}">
          <x14:id>{A46BA358-E05A-4316-856D-1D05AE60B760}</x14:id>
        </ext>
      </extLst>
    </cfRule>
  </conditionalFormatting>
  <conditionalFormatting sqref="I611">
    <cfRule type="iconSet" priority="4341">
      <iconSet iconSet="3Arrows">
        <cfvo type="percent" val="0"/>
        <cfvo type="num" val="0.7"/>
        <cfvo type="num" val="1"/>
      </iconSet>
    </cfRule>
    <cfRule type="dataBar" priority="4342">
      <dataBar>
        <cfvo type="num" val="0"/>
        <cfvo type="num" val="1"/>
        <color theme="4" tint="0.79998168889431442"/>
      </dataBar>
      <extLst>
        <ext xmlns:x14="http://schemas.microsoft.com/office/spreadsheetml/2009/9/main" uri="{B025F937-C7B1-47D3-B67F-A62EFF666E3E}">
          <x14:id>{6ED0794F-8DCA-406C-8C88-DF49DDEC1BF4}</x14:id>
        </ext>
      </extLst>
    </cfRule>
  </conditionalFormatting>
  <conditionalFormatting sqref="I615">
    <cfRule type="iconSet" priority="1513">
      <iconSet iconSet="3Arrows">
        <cfvo type="percent" val="0"/>
        <cfvo type="num" val="0.7"/>
        <cfvo type="num" val="1"/>
      </iconSet>
    </cfRule>
    <cfRule type="dataBar" priority="1514">
      <dataBar>
        <cfvo type="num" val="0"/>
        <cfvo type="num" val="1"/>
        <color theme="4" tint="0.79998168889431442"/>
      </dataBar>
      <extLst>
        <ext xmlns:x14="http://schemas.microsoft.com/office/spreadsheetml/2009/9/main" uri="{B025F937-C7B1-47D3-B67F-A62EFF666E3E}">
          <x14:id>{22807F29-054E-4ECD-9C9C-A73F06D69CF3}</x14:id>
        </ext>
      </extLst>
    </cfRule>
  </conditionalFormatting>
  <conditionalFormatting sqref="I617">
    <cfRule type="iconSet" priority="133">
      <iconSet iconSet="3Arrows">
        <cfvo type="percent" val="0"/>
        <cfvo type="num" val="0.7"/>
        <cfvo type="num" val="1"/>
      </iconSet>
    </cfRule>
    <cfRule type="dataBar" priority="134">
      <dataBar>
        <cfvo type="num" val="0"/>
        <cfvo type="num" val="1"/>
        <color theme="4" tint="0.79998168889431442"/>
      </dataBar>
      <extLst>
        <ext xmlns:x14="http://schemas.microsoft.com/office/spreadsheetml/2009/9/main" uri="{B025F937-C7B1-47D3-B67F-A62EFF666E3E}">
          <x14:id>{9B01F662-3FCC-4E86-9995-0B69659E3697}</x14:id>
        </ext>
      </extLst>
    </cfRule>
  </conditionalFormatting>
  <conditionalFormatting sqref="I619">
    <cfRule type="iconSet" priority="148">
      <iconSet iconSet="3Arrows">
        <cfvo type="percent" val="0"/>
        <cfvo type="num" val="0.7"/>
        <cfvo type="num" val="1"/>
      </iconSet>
    </cfRule>
    <cfRule type="dataBar" priority="149">
      <dataBar>
        <cfvo type="num" val="0"/>
        <cfvo type="num" val="1"/>
        <color theme="4" tint="0.79998168889431442"/>
      </dataBar>
      <extLst>
        <ext xmlns:x14="http://schemas.microsoft.com/office/spreadsheetml/2009/9/main" uri="{B025F937-C7B1-47D3-B67F-A62EFF666E3E}">
          <x14:id>{2D24D962-45BC-43C4-8C37-90DC5117E1A6}</x14:id>
        </ext>
      </extLst>
    </cfRule>
  </conditionalFormatting>
  <conditionalFormatting sqref="I621">
    <cfRule type="iconSet" priority="1535">
      <iconSet iconSet="3Arrows">
        <cfvo type="percent" val="0"/>
        <cfvo type="num" val="0.7"/>
        <cfvo type="num" val="1"/>
      </iconSet>
    </cfRule>
    <cfRule type="dataBar" priority="1536">
      <dataBar>
        <cfvo type="num" val="0"/>
        <cfvo type="num" val="1"/>
        <color theme="4" tint="0.79998168889431442"/>
      </dataBar>
      <extLst>
        <ext xmlns:x14="http://schemas.microsoft.com/office/spreadsheetml/2009/9/main" uri="{B025F937-C7B1-47D3-B67F-A62EFF666E3E}">
          <x14:id>{D2D64A53-5112-473B-94C0-6FFDF92A10C0}</x14:id>
        </ext>
      </extLst>
    </cfRule>
  </conditionalFormatting>
  <conditionalFormatting sqref="I623">
    <cfRule type="iconSet" priority="1549">
      <iconSet iconSet="3Arrows">
        <cfvo type="percent" val="0"/>
        <cfvo type="num" val="0.7"/>
        <cfvo type="num" val="1"/>
      </iconSet>
    </cfRule>
    <cfRule type="dataBar" priority="1550">
      <dataBar>
        <cfvo type="num" val="0"/>
        <cfvo type="num" val="1"/>
        <color theme="4" tint="0.79998168889431442"/>
      </dataBar>
      <extLst>
        <ext xmlns:x14="http://schemas.microsoft.com/office/spreadsheetml/2009/9/main" uri="{B025F937-C7B1-47D3-B67F-A62EFF666E3E}">
          <x14:id>{DCC76DA6-844B-4877-9263-34A4A6EB6D45}</x14:id>
        </ext>
      </extLst>
    </cfRule>
  </conditionalFormatting>
  <conditionalFormatting sqref="I625">
    <cfRule type="iconSet" priority="35">
      <iconSet iconSet="3Arrows">
        <cfvo type="percent" val="0"/>
        <cfvo type="num" val="0.7"/>
        <cfvo type="num" val="1"/>
      </iconSet>
    </cfRule>
    <cfRule type="dataBar" priority="36">
      <dataBar>
        <cfvo type="num" val="0"/>
        <cfvo type="num" val="1"/>
        <color theme="4" tint="0.79998168889431442"/>
      </dataBar>
      <extLst>
        <ext xmlns:x14="http://schemas.microsoft.com/office/spreadsheetml/2009/9/main" uri="{B025F937-C7B1-47D3-B67F-A62EFF666E3E}">
          <x14:id>{FAE8370B-1D94-4839-BA60-CC48F68438D5}</x14:id>
        </ext>
      </extLst>
    </cfRule>
  </conditionalFormatting>
  <conditionalFormatting sqref="K97 BC280:BI280 BD281:BI281 BC282:BI298 K306:Q313 S306:S313 V306:AB313 AD306:AD313 AG306:AM313 AO306:AO313 AR306:AX313 AZ306:AZ313 BC306:BI313 BK306:BK313 K392:Q392 V395:AB404 AG395:AM426 AR395:AX426 V406:AB410 V412:AB416 V418:AB424 V426:AB426 AR439:AX444 AR445:AV445 AX445 AR446:AX459">
    <cfRule type="cellIs" dxfId="748" priority="1954" operator="equal">
      <formula>0</formula>
    </cfRule>
  </conditionalFormatting>
  <conditionalFormatting sqref="K99">
    <cfRule type="cellIs" dxfId="747" priority="1991" operator="equal">
      <formula>0</formula>
    </cfRule>
  </conditionalFormatting>
  <conditionalFormatting sqref="K101">
    <cfRule type="cellIs" dxfId="746" priority="1928" operator="equal">
      <formula>0</formula>
    </cfRule>
  </conditionalFormatting>
  <conditionalFormatting sqref="K391:P391">
    <cfRule type="cellIs" dxfId="745" priority="1293" operator="equal">
      <formula>0</formula>
    </cfRule>
  </conditionalFormatting>
  <conditionalFormatting sqref="K410:P410 K416:P416">
    <cfRule type="cellIs" dxfId="744" priority="1743" operator="equal">
      <formula>0</formula>
    </cfRule>
  </conditionalFormatting>
  <conditionalFormatting sqref="K422:P422">
    <cfRule type="cellIs" dxfId="743" priority="3070" operator="equal">
      <formula>0</formula>
    </cfRule>
  </conditionalFormatting>
  <conditionalFormatting sqref="K9:Q12 K79:Q92 P95:Q95 K96:Q96 P97:Q97 P99:Q99 P103:Q103 K115:Q118 S115:S118 K127:O127 V160:AB163 V164:X164 Z164:AB164 V165:AB165 V166:X166 Z166:AB166 V167:AB167 K184:Q191 S184:S191 K194:Q199 S194:S199 K202:Q209 S202:S209">
    <cfRule type="cellIs" dxfId="742" priority="5169" operator="equal">
      <formula>0</formula>
    </cfRule>
  </conditionalFormatting>
  <conditionalFormatting sqref="K13:Q14">
    <cfRule type="cellIs" dxfId="741" priority="3553" operator="equal">
      <formula>0</formula>
    </cfRule>
  </conditionalFormatting>
  <conditionalFormatting sqref="K15:Q34">
    <cfRule type="cellIs" dxfId="740" priority="3570" operator="equal">
      <formula>0</formula>
    </cfRule>
  </conditionalFormatting>
  <conditionalFormatting sqref="K35:Q36">
    <cfRule type="cellIs" dxfId="739" priority="3550" operator="equal">
      <formula>0</formula>
    </cfRule>
  </conditionalFormatting>
  <conditionalFormatting sqref="K37:Q46 S37:S46 AG37:AM46 AR37:AX46 K103 K160:Q167 K170:Q179 K301:Q303 S301:S303 V301:AB303 AD301:AD303 AG301:AM303 AO301:AO303 AR301:AX303 AZ301:AZ303 Q422 AR434:AX437 K434:Q459 S434:S459 V434:AB459 AG434:AM459 AR438:AS438 AV438:AX438 K462:Q487 S462:S487 V462:AB487 AG462:AM487 AR462:AX487">
    <cfRule type="cellIs" dxfId="738" priority="4736" operator="equal">
      <formula>0</formula>
    </cfRule>
  </conditionalFormatting>
  <conditionalFormatting sqref="K47:Q48">
    <cfRule type="cellIs" dxfId="737" priority="3548" operator="equal">
      <formula>0</formula>
    </cfRule>
  </conditionalFormatting>
  <conditionalFormatting sqref="K49:Q76 S49:S76 V49:AB76 AG49:AM76 AO49:AO76 AR49:AX76 AZ49:AZ76 K95 S397:S404 AD397:AD404 AO397:AO404 AZ397:AZ404">
    <cfRule type="cellIs" dxfId="736" priority="2145" operator="equal">
      <formula>0</formula>
    </cfRule>
  </conditionalFormatting>
  <conditionalFormatting sqref="K77:Q78">
    <cfRule type="cellIs" dxfId="735" priority="1915" operator="equal">
      <formula>0</formula>
    </cfRule>
  </conditionalFormatting>
  <conditionalFormatting sqref="K93:Q94">
    <cfRule type="cellIs" dxfId="734" priority="1914" operator="equal">
      <formula>0</formula>
    </cfRule>
  </conditionalFormatting>
  <conditionalFormatting sqref="K113:Q114">
    <cfRule type="cellIs" dxfId="733" priority="4775" operator="equal">
      <formula>0</formula>
    </cfRule>
  </conditionalFormatting>
  <conditionalFormatting sqref="K119:Q120">
    <cfRule type="cellIs" dxfId="732" priority="5146" operator="equal">
      <formula>0</formula>
    </cfRule>
  </conditionalFormatting>
  <conditionalFormatting sqref="K121:Q139">
    <cfRule type="cellIs" dxfId="731" priority="425" operator="equal">
      <formula>0</formula>
    </cfRule>
  </conditionalFormatting>
  <conditionalFormatting sqref="K140:Q143">
    <cfRule type="cellIs" dxfId="730" priority="4339" operator="equal">
      <formula>0</formula>
    </cfRule>
  </conditionalFormatting>
  <conditionalFormatting sqref="K144:Q149">
    <cfRule type="cellIs" dxfId="729" priority="4426" operator="equal">
      <formula>0</formula>
    </cfRule>
  </conditionalFormatting>
  <conditionalFormatting sqref="K150:Q151">
    <cfRule type="cellIs" dxfId="728" priority="4340" operator="equal">
      <formula>0</formula>
    </cfRule>
  </conditionalFormatting>
  <conditionalFormatting sqref="K152:Q157">
    <cfRule type="cellIs" dxfId="727" priority="4447" operator="equal">
      <formula>0</formula>
    </cfRule>
  </conditionalFormatting>
  <conditionalFormatting sqref="K158:Q159">
    <cfRule type="cellIs" dxfId="726" priority="4417" operator="equal">
      <formula>0</formula>
    </cfRule>
  </conditionalFormatting>
  <conditionalFormatting sqref="K168:Q169">
    <cfRule type="cellIs" dxfId="725" priority="3371" operator="equal">
      <formula>0</formula>
    </cfRule>
  </conditionalFormatting>
  <conditionalFormatting sqref="K180:Q183">
    <cfRule type="cellIs" dxfId="724" priority="4558" operator="equal">
      <formula>0</formula>
    </cfRule>
  </conditionalFormatting>
  <conditionalFormatting sqref="K192:Q193">
    <cfRule type="cellIs" dxfId="723" priority="3370" operator="equal">
      <formula>0</formula>
    </cfRule>
  </conditionalFormatting>
  <conditionalFormatting sqref="K200:Q201">
    <cfRule type="cellIs" dxfId="722" priority="4416" operator="equal">
      <formula>0</formula>
    </cfRule>
  </conditionalFormatting>
  <conditionalFormatting sqref="K210:Q211">
    <cfRule type="cellIs" dxfId="721" priority="3369" operator="equal">
      <formula>0</formula>
    </cfRule>
  </conditionalFormatting>
  <conditionalFormatting sqref="K212:Q232 S212:S232 AO212:AO232 AZ212:AZ232">
    <cfRule type="cellIs" dxfId="720" priority="2017" operator="equal">
      <formula>0</formula>
    </cfRule>
  </conditionalFormatting>
  <conditionalFormatting sqref="K233:Q234">
    <cfRule type="cellIs" dxfId="719" priority="394" operator="equal">
      <formula>0</formula>
    </cfRule>
  </conditionalFormatting>
  <conditionalFormatting sqref="K235:Q277 S235:S277 V235:AB277 AG235:AM277 AO235:AO277 AR235:AX277">
    <cfRule type="cellIs" dxfId="718" priority="3269" operator="equal">
      <formula>0</formula>
    </cfRule>
  </conditionalFormatting>
  <conditionalFormatting sqref="K278:Q279">
    <cfRule type="cellIs" dxfId="717" priority="395" operator="equal">
      <formula>0</formula>
    </cfRule>
  </conditionalFormatting>
  <conditionalFormatting sqref="K280:Q298 S280:S298 AG280:AM298 AO280:AO298 AR280:AX298">
    <cfRule type="cellIs" dxfId="716" priority="2505" operator="equal">
      <formula>0</formula>
    </cfRule>
  </conditionalFormatting>
  <conditionalFormatting sqref="K299:Q300">
    <cfRule type="cellIs" dxfId="715" priority="3399" operator="equal">
      <formula>0</formula>
    </cfRule>
  </conditionalFormatting>
  <conditionalFormatting sqref="K304:Q305">
    <cfRule type="cellIs" dxfId="714" priority="3381" operator="equal">
      <formula>0</formula>
    </cfRule>
  </conditionalFormatting>
  <conditionalFormatting sqref="K314:Q315">
    <cfRule type="cellIs" dxfId="713" priority="3368" operator="equal">
      <formula>0</formula>
    </cfRule>
  </conditionalFormatting>
  <conditionalFormatting sqref="K316:Q321">
    <cfRule type="cellIs" dxfId="712" priority="2515" operator="equal">
      <formula>0</formula>
    </cfRule>
  </conditionalFormatting>
  <conditionalFormatting sqref="K322:Q323">
    <cfRule type="cellIs" dxfId="711" priority="2814" operator="equal">
      <formula>0</formula>
    </cfRule>
  </conditionalFormatting>
  <conditionalFormatting sqref="K324:Q331 S324:S331 V324:AB331 AG324:AM331 AO324:AO331 AR324:AX331 K334:Q339 S334:S339 V334:AB339 AD334:AD339 AG334:AM339 AO334:AO339 AR334:AX339 K395:Q409 K417:Q421">
    <cfRule type="cellIs" dxfId="710" priority="3270" operator="equal">
      <formula>0</formula>
    </cfRule>
  </conditionalFormatting>
  <conditionalFormatting sqref="K332:Q333">
    <cfRule type="cellIs" dxfId="709" priority="2743" operator="equal">
      <formula>0</formula>
    </cfRule>
  </conditionalFormatting>
  <conditionalFormatting sqref="K340:Q341">
    <cfRule type="cellIs" dxfId="708" priority="2697" operator="equal">
      <formula>0</formula>
    </cfRule>
  </conditionalFormatting>
  <conditionalFormatting sqref="K342:Q373">
    <cfRule type="cellIs" dxfId="707" priority="2480" operator="equal">
      <formula>0</formula>
    </cfRule>
  </conditionalFormatting>
  <conditionalFormatting sqref="K374:Q375">
    <cfRule type="cellIs" dxfId="706" priority="2605" operator="equal">
      <formula>0</formula>
    </cfRule>
  </conditionalFormatting>
  <conditionalFormatting sqref="K376:Q377 K380:Q381">
    <cfRule type="cellIs" dxfId="705" priority="4349" operator="equal">
      <formula>0</formula>
    </cfRule>
  </conditionalFormatting>
  <conditionalFormatting sqref="K378:Q379">
    <cfRule type="cellIs" dxfId="704" priority="2585" operator="equal">
      <formula>0</formula>
    </cfRule>
  </conditionalFormatting>
  <conditionalFormatting sqref="K382:Q383">
    <cfRule type="cellIs" dxfId="703" priority="2565" operator="equal">
      <formula>0</formula>
    </cfRule>
  </conditionalFormatting>
  <conditionalFormatting sqref="K384:Q390">
    <cfRule type="cellIs" dxfId="702" priority="1342" operator="equal">
      <formula>0</formula>
    </cfRule>
  </conditionalFormatting>
  <conditionalFormatting sqref="K393:Q394">
    <cfRule type="cellIs" dxfId="701" priority="4607" operator="equal">
      <formula>0</formula>
    </cfRule>
  </conditionalFormatting>
  <conditionalFormatting sqref="K411:Q415">
    <cfRule type="cellIs" dxfId="700" priority="1288" operator="equal">
      <formula>0</formula>
    </cfRule>
  </conditionalFormatting>
  <conditionalFormatting sqref="K423:Q426">
    <cfRule type="cellIs" dxfId="699" priority="200" operator="equal">
      <formula>0</formula>
    </cfRule>
  </conditionalFormatting>
  <conditionalFormatting sqref="K428:Q433">
    <cfRule type="cellIs" dxfId="698" priority="393" operator="equal">
      <formula>0</formula>
    </cfRule>
  </conditionalFormatting>
  <conditionalFormatting sqref="K460:Q461">
    <cfRule type="cellIs" dxfId="697" priority="2549" operator="equal">
      <formula>0</formula>
    </cfRule>
  </conditionalFormatting>
  <conditionalFormatting sqref="K488:Q489">
    <cfRule type="cellIs" dxfId="696" priority="2040" operator="equal">
      <formula>0</formula>
    </cfRule>
  </conditionalFormatting>
  <conditionalFormatting sqref="K490:Q501 K504:Q529 K532:Q587">
    <cfRule type="cellIs" dxfId="695" priority="2102" operator="equal">
      <formula>0</formula>
    </cfRule>
  </conditionalFormatting>
  <conditionalFormatting sqref="K502:Q503">
    <cfRule type="cellIs" dxfId="694" priority="370" operator="equal">
      <formula>0</formula>
    </cfRule>
  </conditionalFormatting>
  <conditionalFormatting sqref="K530:Q531">
    <cfRule type="cellIs" dxfId="693" priority="369" operator="equal">
      <formula>0</formula>
    </cfRule>
  </conditionalFormatting>
  <conditionalFormatting sqref="K588:Q589">
    <cfRule type="cellIs" dxfId="692" priority="2188" operator="equal">
      <formula>0</formula>
    </cfRule>
  </conditionalFormatting>
  <conditionalFormatting sqref="K591:Q596">
    <cfRule type="cellIs" dxfId="691" priority="2830" operator="equal">
      <formula>0</formula>
    </cfRule>
  </conditionalFormatting>
  <conditionalFormatting sqref="K597:Q616">
    <cfRule type="cellIs" dxfId="690" priority="1505" operator="equal">
      <formula>0</formula>
    </cfRule>
  </conditionalFormatting>
  <conditionalFormatting sqref="K617:Q618">
    <cfRule type="cellIs" dxfId="689" priority="126" operator="equal">
      <formula>0</formula>
    </cfRule>
  </conditionalFormatting>
  <conditionalFormatting sqref="K619:Q620 S619:S620 V619:AB620 AD619:AD620 AG619:AM620 AO619:AO620 AR619:AX620">
    <cfRule type="cellIs" dxfId="688" priority="141" operator="equal">
      <formula>0</formula>
    </cfRule>
  </conditionalFormatting>
  <conditionalFormatting sqref="K621:Q622">
    <cfRule type="cellIs" dxfId="687" priority="1528" operator="equal">
      <formula>0</formula>
    </cfRule>
  </conditionalFormatting>
  <conditionalFormatting sqref="K623:Q626">
    <cfRule type="cellIs" dxfId="686" priority="27" operator="equal">
      <formula>0</formula>
    </cfRule>
  </conditionalFormatting>
  <conditionalFormatting sqref="L95:O95">
    <cfRule type="expression" dxfId="685" priority="2146">
      <formula>AND($M95="R",L95&gt;0)</formula>
    </cfRule>
    <cfRule type="expression" dxfId="684" priority="2147">
      <formula>AND($M95="P",L95&gt;0)</formula>
    </cfRule>
  </conditionalFormatting>
  <conditionalFormatting sqref="L97:O97">
    <cfRule type="expression" dxfId="683" priority="1955">
      <formula>AND($M97="R",L97&gt;0)</formula>
    </cfRule>
    <cfRule type="expression" dxfId="682" priority="1956">
      <formula>AND($M97="P",L97&gt;0)</formula>
    </cfRule>
  </conditionalFormatting>
  <conditionalFormatting sqref="L99:O99">
    <cfRule type="expression" dxfId="681" priority="1992">
      <formula>AND($M99="R",L99&gt;0)</formula>
    </cfRule>
    <cfRule type="expression" dxfId="680" priority="1993">
      <formula>AND($M99="P",L99&gt;0)</formula>
    </cfRule>
  </conditionalFormatting>
  <conditionalFormatting sqref="L101:O101">
    <cfRule type="expression" dxfId="679" priority="1929">
      <formula>AND($M101="R",L101&gt;0)</formula>
    </cfRule>
    <cfRule type="expression" dxfId="678" priority="1930">
      <formula>AND($M101="P",L101&gt;0)</formula>
    </cfRule>
  </conditionalFormatting>
  <conditionalFormatting sqref="L103:O103">
    <cfRule type="expression" dxfId="677" priority="4737">
      <formula>AND($M103="R",L103&gt;0)</formula>
    </cfRule>
    <cfRule type="expression" dxfId="676" priority="4738">
      <formula>AND($M103="P",L103&gt;0)</formula>
    </cfRule>
  </conditionalFormatting>
  <conditionalFormatting sqref="P101:Q101">
    <cfRule type="cellIs" dxfId="675" priority="1941" operator="equal">
      <formula>0</formula>
    </cfRule>
  </conditionalFormatting>
  <conditionalFormatting sqref="Q391">
    <cfRule type="cellIs" dxfId="674" priority="1340" operator="equal">
      <formula>0</formula>
    </cfRule>
  </conditionalFormatting>
  <conditionalFormatting sqref="Q410 Q416">
    <cfRule type="cellIs" dxfId="673" priority="1790" operator="equal">
      <formula>0</formula>
    </cfRule>
  </conditionalFormatting>
  <conditionalFormatting sqref="S9:S12">
    <cfRule type="cellIs" dxfId="672" priority="5174" operator="equal">
      <formula>0</formula>
    </cfRule>
  </conditionalFormatting>
  <conditionalFormatting sqref="S13:S14">
    <cfRule type="cellIs" dxfId="671" priority="4547" operator="equal">
      <formula>0</formula>
    </cfRule>
  </conditionalFormatting>
  <conditionalFormatting sqref="S15:S34">
    <cfRule type="cellIs" dxfId="670" priority="3565" operator="equal">
      <formula>0</formula>
    </cfRule>
  </conditionalFormatting>
  <conditionalFormatting sqref="S35:S36">
    <cfRule type="cellIs" dxfId="669" priority="4546" operator="equal">
      <formula>0</formula>
    </cfRule>
  </conditionalFormatting>
  <conditionalFormatting sqref="S47:S48">
    <cfRule type="cellIs" dxfId="668" priority="4545" operator="equal">
      <formula>0</formula>
    </cfRule>
  </conditionalFormatting>
  <conditionalFormatting sqref="S77:S78">
    <cfRule type="cellIs" dxfId="667" priority="4544" operator="equal">
      <formula>0</formula>
    </cfRule>
  </conditionalFormatting>
  <conditionalFormatting sqref="S79:S92">
    <cfRule type="cellIs" dxfId="666" priority="2002" operator="equal">
      <formula>0</formula>
    </cfRule>
  </conditionalFormatting>
  <conditionalFormatting sqref="S93:S94">
    <cfRule type="cellIs" dxfId="665" priority="4543" operator="equal">
      <formula>0</formula>
    </cfRule>
  </conditionalFormatting>
  <conditionalFormatting sqref="S95:S112 V95:AB112 AD95:AD112 K98:Q98 AG98:AM98 AR98:AX98 K100:Q100 AG100:AM100 AR100:AX100 K102:Q102 AG102:AM102 AR102:AX102 K104:Q112 AG104:AM112 AR104:AX112">
    <cfRule type="cellIs" dxfId="664" priority="2860" operator="equal">
      <formula>0</formula>
    </cfRule>
  </conditionalFormatting>
  <conditionalFormatting sqref="S113:S114">
    <cfRule type="cellIs" dxfId="663" priority="4542" operator="equal">
      <formula>0</formula>
    </cfRule>
  </conditionalFormatting>
  <conditionalFormatting sqref="S119:S120">
    <cfRule type="cellIs" dxfId="662" priority="4541" operator="equal">
      <formula>0</formula>
    </cfRule>
  </conditionalFormatting>
  <conditionalFormatting sqref="S121:S139 AO121:AO139 AZ121:AZ139">
    <cfRule type="cellIs" dxfId="661" priority="1485" operator="equal">
      <formula>0</formula>
    </cfRule>
  </conditionalFormatting>
  <conditionalFormatting sqref="S140:S143">
    <cfRule type="cellIs" dxfId="660" priority="4435" operator="equal">
      <formula>0</formula>
    </cfRule>
  </conditionalFormatting>
  <conditionalFormatting sqref="S144:S149">
    <cfRule type="cellIs" dxfId="659" priority="4434" operator="equal">
      <formula>0</formula>
    </cfRule>
  </conditionalFormatting>
  <conditionalFormatting sqref="S150:S151">
    <cfRule type="cellIs" dxfId="658" priority="4540" operator="equal">
      <formula>0</formula>
    </cfRule>
  </conditionalFormatting>
  <conditionalFormatting sqref="S152:S157">
    <cfRule type="cellIs" dxfId="657" priority="4531" operator="equal">
      <formula>0</formula>
    </cfRule>
  </conditionalFormatting>
  <conditionalFormatting sqref="S158:S159">
    <cfRule type="cellIs" dxfId="656" priority="4539" operator="equal">
      <formula>0</formula>
    </cfRule>
  </conditionalFormatting>
  <conditionalFormatting sqref="S160:S167">
    <cfRule type="cellIs" dxfId="655" priority="4530" operator="equal">
      <formula>0</formula>
    </cfRule>
  </conditionalFormatting>
  <conditionalFormatting sqref="S168:S169">
    <cfRule type="cellIs" dxfId="654" priority="4538" operator="equal">
      <formula>0</formula>
    </cfRule>
  </conditionalFormatting>
  <conditionalFormatting sqref="S170:S179">
    <cfRule type="cellIs" dxfId="653" priority="4529" operator="equal">
      <formula>0</formula>
    </cfRule>
  </conditionalFormatting>
  <conditionalFormatting sqref="S180:S183">
    <cfRule type="cellIs" dxfId="652" priority="4537" operator="equal">
      <formula>0</formula>
    </cfRule>
  </conditionalFormatting>
  <conditionalFormatting sqref="S192:S193">
    <cfRule type="cellIs" dxfId="651" priority="4461" operator="equal">
      <formula>0</formula>
    </cfRule>
  </conditionalFormatting>
  <conditionalFormatting sqref="S200:S201">
    <cfRule type="cellIs" dxfId="650" priority="4452" operator="equal">
      <formula>0</formula>
    </cfRule>
  </conditionalFormatting>
  <conditionalFormatting sqref="S210:S211">
    <cfRule type="cellIs" dxfId="649" priority="4536" operator="equal">
      <formula>0</formula>
    </cfRule>
  </conditionalFormatting>
  <conditionalFormatting sqref="S233:S234">
    <cfRule type="cellIs" dxfId="648" priority="4535" operator="equal">
      <formula>0</formula>
    </cfRule>
  </conditionalFormatting>
  <conditionalFormatting sqref="S278:S279">
    <cfRule type="cellIs" dxfId="647" priority="5005" operator="equal">
      <formula>0</formula>
    </cfRule>
  </conditionalFormatting>
  <conditionalFormatting sqref="S299:S300">
    <cfRule type="cellIs" dxfId="646" priority="3398" operator="equal">
      <formula>0</formula>
    </cfRule>
  </conditionalFormatting>
  <conditionalFormatting sqref="S304:S305">
    <cfRule type="cellIs" dxfId="645" priority="161" operator="equal">
      <formula>0</formula>
    </cfRule>
  </conditionalFormatting>
  <conditionalFormatting sqref="S314:S315">
    <cfRule type="cellIs" dxfId="644" priority="4534" operator="equal">
      <formula>0</formula>
    </cfRule>
  </conditionalFormatting>
  <conditionalFormatting sqref="S316:S321">
    <cfRule type="cellIs" dxfId="643" priority="2516" operator="equal">
      <formula>0</formula>
    </cfRule>
  </conditionalFormatting>
  <conditionalFormatting sqref="S322:S323">
    <cfRule type="cellIs" dxfId="642" priority="2821" operator="equal">
      <formula>0</formula>
    </cfRule>
  </conditionalFormatting>
  <conditionalFormatting sqref="S332:S333">
    <cfRule type="cellIs" dxfId="641" priority="2750" operator="equal">
      <formula>0</formula>
    </cfRule>
  </conditionalFormatting>
  <conditionalFormatting sqref="S340:S341">
    <cfRule type="cellIs" dxfId="640" priority="2704" operator="equal">
      <formula>0</formula>
    </cfRule>
  </conditionalFormatting>
  <conditionalFormatting sqref="S342:S373">
    <cfRule type="cellIs" dxfId="639" priority="2481" operator="equal">
      <formula>0</formula>
    </cfRule>
  </conditionalFormatting>
  <conditionalFormatting sqref="S374:S375">
    <cfRule type="cellIs" dxfId="638" priority="3232" operator="equal">
      <formula>0</formula>
    </cfRule>
  </conditionalFormatting>
  <conditionalFormatting sqref="S376:S377 S380:S381 S384:S385">
    <cfRule type="cellIs" dxfId="637" priority="5037" operator="equal">
      <formula>0</formula>
    </cfRule>
  </conditionalFormatting>
  <conditionalFormatting sqref="S378:S379">
    <cfRule type="cellIs" dxfId="636" priority="2603" operator="equal">
      <formula>0</formula>
    </cfRule>
  </conditionalFormatting>
  <conditionalFormatting sqref="S382:S383">
    <cfRule type="cellIs" dxfId="635" priority="2583" operator="equal">
      <formula>0</formula>
    </cfRule>
  </conditionalFormatting>
  <conditionalFormatting sqref="S386:S387">
    <cfRule type="cellIs" dxfId="634" priority="1312" operator="equal">
      <formula>0</formula>
    </cfRule>
  </conditionalFormatting>
  <conditionalFormatting sqref="S388:S391">
    <cfRule type="cellIs" dxfId="633" priority="1339" operator="equal">
      <formula>0</formula>
    </cfRule>
  </conditionalFormatting>
  <conditionalFormatting sqref="S393:S396">
    <cfRule type="cellIs" dxfId="632" priority="4533" operator="equal">
      <formula>0</formula>
    </cfRule>
  </conditionalFormatting>
  <conditionalFormatting sqref="S405:S406">
    <cfRule type="cellIs" dxfId="631" priority="1762" operator="equal">
      <formula>0</formula>
    </cfRule>
  </conditionalFormatting>
  <conditionalFormatting sqref="S407:S410 S413:S416">
    <cfRule type="cellIs" dxfId="630" priority="1789" operator="equal">
      <formula>0</formula>
    </cfRule>
  </conditionalFormatting>
  <conditionalFormatting sqref="S411:S412">
    <cfRule type="cellIs" dxfId="629" priority="1263" operator="equal">
      <formula>0</formula>
    </cfRule>
  </conditionalFormatting>
  <conditionalFormatting sqref="S417:S418">
    <cfRule type="cellIs" dxfId="628" priority="3095" operator="equal">
      <formula>0</formula>
    </cfRule>
  </conditionalFormatting>
  <conditionalFormatting sqref="S419:S424">
    <cfRule type="cellIs" dxfId="627" priority="4528" operator="equal">
      <formula>0</formula>
    </cfRule>
  </conditionalFormatting>
  <conditionalFormatting sqref="S425:S426">
    <cfRule type="cellIs" dxfId="626" priority="191" operator="equal">
      <formula>0</formula>
    </cfRule>
  </conditionalFormatting>
  <conditionalFormatting sqref="S428:S433">
    <cfRule type="cellIs" dxfId="625" priority="4532" operator="equal">
      <formula>0</formula>
    </cfRule>
  </conditionalFormatting>
  <conditionalFormatting sqref="S460:S461">
    <cfRule type="cellIs" dxfId="624" priority="2548" operator="equal">
      <formula>0</formula>
    </cfRule>
  </conditionalFormatting>
  <conditionalFormatting sqref="S488:S489">
    <cfRule type="cellIs" dxfId="623" priority="2093" operator="equal">
      <formula>0</formula>
    </cfRule>
  </conditionalFormatting>
  <conditionalFormatting sqref="S490:S501 S504:S529 S532:S587">
    <cfRule type="cellIs" dxfId="622" priority="2141" operator="equal">
      <formula>0</formula>
    </cfRule>
  </conditionalFormatting>
  <conditionalFormatting sqref="S502:S503">
    <cfRule type="cellIs" dxfId="621" priority="1601" operator="equal">
      <formula>0</formula>
    </cfRule>
  </conditionalFormatting>
  <conditionalFormatting sqref="S530:S531">
    <cfRule type="cellIs" dxfId="620" priority="1692" operator="equal">
      <formula>0</formula>
    </cfRule>
  </conditionalFormatting>
  <conditionalFormatting sqref="S588:S589">
    <cfRule type="cellIs" dxfId="619" priority="2187" operator="equal">
      <formula>0</formula>
    </cfRule>
  </conditionalFormatting>
  <conditionalFormatting sqref="S591:S596">
    <cfRule type="cellIs" dxfId="618" priority="2411" operator="equal">
      <formula>0</formula>
    </cfRule>
  </conditionalFormatting>
  <conditionalFormatting sqref="S597:S616">
    <cfRule type="cellIs" dxfId="617" priority="1506" operator="equal">
      <formula>0</formula>
    </cfRule>
  </conditionalFormatting>
  <conditionalFormatting sqref="S617:S618">
    <cfRule type="cellIs" dxfId="616" priority="123" operator="equal">
      <formula>0</formula>
    </cfRule>
  </conditionalFormatting>
  <conditionalFormatting sqref="S621:S622">
    <cfRule type="cellIs" dxfId="615" priority="1525" operator="equal">
      <formula>0</formula>
    </cfRule>
  </conditionalFormatting>
  <conditionalFormatting sqref="S623:S626">
    <cfRule type="cellIs" dxfId="614" priority="28" operator="equal">
      <formula>0</formula>
    </cfRule>
  </conditionalFormatting>
  <conditionalFormatting sqref="T9">
    <cfRule type="iconSet" priority="5165">
      <iconSet iconSet="3Arrows">
        <cfvo type="percent" val="0"/>
        <cfvo type="num" val="0.7"/>
        <cfvo type="num" val="1"/>
      </iconSet>
    </cfRule>
    <cfRule type="dataBar" priority="5166">
      <dataBar>
        <cfvo type="num" val="0"/>
        <cfvo type="num" val="1"/>
        <color theme="4" tint="0.79998168889431442"/>
      </dataBar>
      <extLst>
        <ext xmlns:x14="http://schemas.microsoft.com/office/spreadsheetml/2009/9/main" uri="{B025F937-C7B1-47D3-B67F-A62EFF666E3E}">
          <x14:id>{985BD33B-E0E9-4510-BED4-120B4D2300F8}</x14:id>
        </ext>
      </extLst>
    </cfRule>
  </conditionalFormatting>
  <conditionalFormatting sqref="T13">
    <cfRule type="iconSet" priority="5167">
      <iconSet iconSet="3Arrows">
        <cfvo type="percent" val="0"/>
        <cfvo type="num" val="0.7"/>
        <cfvo type="num" val="1"/>
      </iconSet>
    </cfRule>
    <cfRule type="dataBar" priority="5168">
      <dataBar>
        <cfvo type="num" val="0"/>
        <cfvo type="num" val="1"/>
        <color theme="4" tint="0.79998168889431442"/>
      </dataBar>
      <extLst>
        <ext xmlns:x14="http://schemas.microsoft.com/office/spreadsheetml/2009/9/main" uri="{B025F937-C7B1-47D3-B67F-A62EFF666E3E}">
          <x14:id>{D92095B4-3373-483D-82D7-9D029870ADCA}</x14:id>
        </ext>
      </extLst>
    </cfRule>
  </conditionalFormatting>
  <conditionalFormatting sqref="T15">
    <cfRule type="iconSet" priority="3609">
      <iconSet iconSet="3Arrows">
        <cfvo type="percent" val="0"/>
        <cfvo type="num" val="0.7"/>
        <cfvo type="num" val="1"/>
      </iconSet>
    </cfRule>
    <cfRule type="dataBar" priority="3610">
      <dataBar>
        <cfvo type="num" val="0"/>
        <cfvo type="num" val="1"/>
        <color theme="4" tint="0.79998168889431442"/>
      </dataBar>
      <extLst>
        <ext xmlns:x14="http://schemas.microsoft.com/office/spreadsheetml/2009/9/main" uri="{B025F937-C7B1-47D3-B67F-A62EFF666E3E}">
          <x14:id>{23C1FB97-3C6F-4638-9342-31C2985360E6}</x14:id>
        </ext>
      </extLst>
    </cfRule>
  </conditionalFormatting>
  <conditionalFormatting sqref="T17">
    <cfRule type="iconSet" priority="3595">
      <iconSet iconSet="3Arrows">
        <cfvo type="percent" val="0"/>
        <cfvo type="num" val="0.7"/>
        <cfvo type="num" val="1"/>
      </iconSet>
    </cfRule>
    <cfRule type="dataBar" priority="3596">
      <dataBar>
        <cfvo type="num" val="0"/>
        <cfvo type="num" val="1"/>
        <color theme="4" tint="0.79998168889431442"/>
      </dataBar>
      <extLst>
        <ext xmlns:x14="http://schemas.microsoft.com/office/spreadsheetml/2009/9/main" uri="{B025F937-C7B1-47D3-B67F-A62EFF666E3E}">
          <x14:id>{7969261A-E12A-4D43-BD4E-B575C50B1249}</x14:id>
        </ext>
      </extLst>
    </cfRule>
  </conditionalFormatting>
  <conditionalFormatting sqref="T19">
    <cfRule type="iconSet" priority="3581">
      <iconSet iconSet="3Arrows">
        <cfvo type="percent" val="0"/>
        <cfvo type="num" val="0.7"/>
        <cfvo type="num" val="1"/>
      </iconSet>
    </cfRule>
    <cfRule type="dataBar" priority="3582">
      <dataBar>
        <cfvo type="num" val="0"/>
        <cfvo type="num" val="1"/>
        <color theme="4" tint="0.79998168889431442"/>
      </dataBar>
      <extLst>
        <ext xmlns:x14="http://schemas.microsoft.com/office/spreadsheetml/2009/9/main" uri="{B025F937-C7B1-47D3-B67F-A62EFF666E3E}">
          <x14:id>{F7ADFEE0-8173-444D-BC4D-005CCD877421}</x14:id>
        </ext>
      </extLst>
    </cfRule>
  </conditionalFormatting>
  <conditionalFormatting sqref="T21">
    <cfRule type="iconSet" priority="3566">
      <iconSet iconSet="3Arrows">
        <cfvo type="percent" val="0"/>
        <cfvo type="num" val="0.7"/>
        <cfvo type="num" val="1"/>
      </iconSet>
    </cfRule>
    <cfRule type="dataBar" priority="3567">
      <dataBar>
        <cfvo type="num" val="0"/>
        <cfvo type="num" val="1"/>
        <color theme="4" tint="0.79998168889431442"/>
      </dataBar>
      <extLst>
        <ext xmlns:x14="http://schemas.microsoft.com/office/spreadsheetml/2009/9/main" uri="{B025F937-C7B1-47D3-B67F-A62EFF666E3E}">
          <x14:id>{38133CDF-D368-4C35-B27F-46AA2AE63190}</x14:id>
        </ext>
      </extLst>
    </cfRule>
  </conditionalFormatting>
  <conditionalFormatting sqref="T23">
    <cfRule type="iconSet" priority="5161">
      <iconSet iconSet="3Arrows">
        <cfvo type="percent" val="0"/>
        <cfvo type="num" val="0.7"/>
        <cfvo type="num" val="1"/>
      </iconSet>
    </cfRule>
    <cfRule type="dataBar" priority="5162">
      <dataBar>
        <cfvo type="num" val="0"/>
        <cfvo type="num" val="1"/>
        <color theme="4" tint="0.79998168889431442"/>
      </dataBar>
      <extLst>
        <ext xmlns:x14="http://schemas.microsoft.com/office/spreadsheetml/2009/9/main" uri="{B025F937-C7B1-47D3-B67F-A62EFF666E3E}">
          <x14:id>{2320E062-FA2D-42F8-B2FA-F9F260A6922D}</x14:id>
        </ext>
      </extLst>
    </cfRule>
  </conditionalFormatting>
  <conditionalFormatting sqref="T25">
    <cfRule type="iconSet" priority="4975">
      <iconSet iconSet="3Arrows">
        <cfvo type="percent" val="0"/>
        <cfvo type="num" val="0.7"/>
        <cfvo type="num" val="1"/>
      </iconSet>
    </cfRule>
    <cfRule type="dataBar" priority="4976">
      <dataBar>
        <cfvo type="num" val="0"/>
        <cfvo type="num" val="1"/>
        <color theme="4" tint="0.79998168889431442"/>
      </dataBar>
      <extLst>
        <ext xmlns:x14="http://schemas.microsoft.com/office/spreadsheetml/2009/9/main" uri="{B025F937-C7B1-47D3-B67F-A62EFF666E3E}">
          <x14:id>{C3D46F14-6BDF-44F8-866E-BE108F11ECCD}</x14:id>
        </ext>
      </extLst>
    </cfRule>
  </conditionalFormatting>
  <conditionalFormatting sqref="T27">
    <cfRule type="iconSet" priority="2937">
      <iconSet iconSet="3Arrows">
        <cfvo type="percent" val="0"/>
        <cfvo type="num" val="0.7"/>
        <cfvo type="num" val="1"/>
      </iconSet>
    </cfRule>
    <cfRule type="dataBar" priority="2938">
      <dataBar>
        <cfvo type="num" val="0"/>
        <cfvo type="num" val="1"/>
        <color theme="4" tint="0.79998168889431442"/>
      </dataBar>
      <extLst>
        <ext xmlns:x14="http://schemas.microsoft.com/office/spreadsheetml/2009/9/main" uri="{B025F937-C7B1-47D3-B67F-A62EFF666E3E}">
          <x14:id>{3D79B7A7-0E14-4358-95B6-3F219BFEF92F}</x14:id>
        </ext>
      </extLst>
    </cfRule>
  </conditionalFormatting>
  <conditionalFormatting sqref="T29">
    <cfRule type="iconSet" priority="2923">
      <iconSet iconSet="3Arrows">
        <cfvo type="percent" val="0"/>
        <cfvo type="num" val="0.7"/>
        <cfvo type="num" val="1"/>
      </iconSet>
    </cfRule>
    <cfRule type="dataBar" priority="2924">
      <dataBar>
        <cfvo type="num" val="0"/>
        <cfvo type="num" val="1"/>
        <color theme="4" tint="0.79998168889431442"/>
      </dataBar>
      <extLst>
        <ext xmlns:x14="http://schemas.microsoft.com/office/spreadsheetml/2009/9/main" uri="{B025F937-C7B1-47D3-B67F-A62EFF666E3E}">
          <x14:id>{3598A6C7-0D27-4459-9070-C0BB608EE09D}</x14:id>
        </ext>
      </extLst>
    </cfRule>
  </conditionalFormatting>
  <conditionalFormatting sqref="T31">
    <cfRule type="iconSet" priority="5025">
      <iconSet iconSet="3Arrows">
        <cfvo type="percent" val="0"/>
        <cfvo type="num" val="0.7"/>
        <cfvo type="num" val="1"/>
      </iconSet>
    </cfRule>
    <cfRule type="dataBar" priority="5026">
      <dataBar>
        <cfvo type="num" val="0"/>
        <cfvo type="num" val="1"/>
        <color theme="4" tint="0.79998168889431442"/>
      </dataBar>
      <extLst>
        <ext xmlns:x14="http://schemas.microsoft.com/office/spreadsheetml/2009/9/main" uri="{B025F937-C7B1-47D3-B67F-A62EFF666E3E}">
          <x14:id>{6022E224-4164-4A8F-8F3C-CC9CA50A137A}</x14:id>
        </ext>
      </extLst>
    </cfRule>
  </conditionalFormatting>
  <conditionalFormatting sqref="T35">
    <cfRule type="iconSet" priority="4808">
      <iconSet iconSet="3Arrows">
        <cfvo type="percent" val="0"/>
        <cfvo type="num" val="0.7"/>
        <cfvo type="num" val="1"/>
      </iconSet>
    </cfRule>
    <cfRule type="dataBar" priority="4809">
      <dataBar>
        <cfvo type="num" val="0"/>
        <cfvo type="num" val="1"/>
        <color theme="4" tint="0.79998168889431442"/>
      </dataBar>
      <extLst>
        <ext xmlns:x14="http://schemas.microsoft.com/office/spreadsheetml/2009/9/main" uri="{B025F937-C7B1-47D3-B67F-A62EFF666E3E}">
          <x14:id>{1751B99C-18C6-43EF-91F9-B0C0B2DC466F}</x14:id>
        </ext>
      </extLst>
    </cfRule>
  </conditionalFormatting>
  <conditionalFormatting sqref="T37">
    <cfRule type="iconSet" priority="3516">
      <iconSet iconSet="3Arrows">
        <cfvo type="percent" val="0"/>
        <cfvo type="num" val="0.7"/>
        <cfvo type="num" val="1"/>
      </iconSet>
    </cfRule>
    <cfRule type="dataBar" priority="3517">
      <dataBar>
        <cfvo type="num" val="0"/>
        <cfvo type="num" val="1"/>
        <color theme="4" tint="0.79998168889431442"/>
      </dataBar>
      <extLst>
        <ext xmlns:x14="http://schemas.microsoft.com/office/spreadsheetml/2009/9/main" uri="{B025F937-C7B1-47D3-B67F-A62EFF666E3E}">
          <x14:id>{7482A804-6B9D-4E24-AFAD-7096DFFDC880}</x14:id>
        </ext>
      </extLst>
    </cfRule>
  </conditionalFormatting>
  <conditionalFormatting sqref="T39">
    <cfRule type="iconSet" priority="3530">
      <iconSet iconSet="3Arrows">
        <cfvo type="percent" val="0"/>
        <cfvo type="num" val="0.7"/>
        <cfvo type="num" val="1"/>
      </iconSet>
    </cfRule>
    <cfRule type="dataBar" priority="3531">
      <dataBar>
        <cfvo type="num" val="0"/>
        <cfvo type="num" val="1"/>
        <color theme="4" tint="0.79998168889431442"/>
      </dataBar>
      <extLst>
        <ext xmlns:x14="http://schemas.microsoft.com/office/spreadsheetml/2009/9/main" uri="{B025F937-C7B1-47D3-B67F-A62EFF666E3E}">
          <x14:id>{A18E684E-B675-4B44-8EEA-5678709EA2A3}</x14:id>
        </ext>
      </extLst>
    </cfRule>
  </conditionalFormatting>
  <conditionalFormatting sqref="T41">
    <cfRule type="iconSet" priority="3544">
      <iconSet iconSet="3Arrows">
        <cfvo type="percent" val="0"/>
        <cfvo type="num" val="0.7"/>
        <cfvo type="num" val="1"/>
      </iconSet>
    </cfRule>
    <cfRule type="dataBar" priority="3545">
      <dataBar>
        <cfvo type="num" val="0"/>
        <cfvo type="num" val="1"/>
        <color theme="4" tint="0.79998168889431442"/>
      </dataBar>
      <extLst>
        <ext xmlns:x14="http://schemas.microsoft.com/office/spreadsheetml/2009/9/main" uri="{B025F937-C7B1-47D3-B67F-A62EFF666E3E}">
          <x14:id>{D339AE64-EC99-4B4C-99F7-A649DB2A7E60}</x14:id>
        </ext>
      </extLst>
    </cfRule>
  </conditionalFormatting>
  <conditionalFormatting sqref="T43">
    <cfRule type="iconSet" priority="4814">
      <iconSet iconSet="3Arrows">
        <cfvo type="percent" val="0"/>
        <cfvo type="num" val="0.7"/>
        <cfvo type="num" val="1"/>
      </iconSet>
    </cfRule>
    <cfRule type="dataBar" priority="4815">
      <dataBar>
        <cfvo type="num" val="0"/>
        <cfvo type="num" val="1"/>
        <color theme="4" tint="0.79998168889431442"/>
      </dataBar>
      <extLst>
        <ext xmlns:x14="http://schemas.microsoft.com/office/spreadsheetml/2009/9/main" uri="{B025F937-C7B1-47D3-B67F-A62EFF666E3E}">
          <x14:id>{A6B043DB-BDF7-4C0D-AE9A-5DD5604A6E87}</x14:id>
        </ext>
      </extLst>
    </cfRule>
  </conditionalFormatting>
  <conditionalFormatting sqref="T47">
    <cfRule type="iconSet" priority="5159">
      <iconSet iconSet="3Arrows">
        <cfvo type="percent" val="0"/>
        <cfvo type="num" val="0.7"/>
        <cfvo type="num" val="1"/>
      </iconSet>
    </cfRule>
    <cfRule type="dataBar" priority="5160">
      <dataBar>
        <cfvo type="num" val="0"/>
        <cfvo type="num" val="1"/>
        <color theme="4" tint="0.79998168889431442"/>
      </dataBar>
      <extLst>
        <ext xmlns:x14="http://schemas.microsoft.com/office/spreadsheetml/2009/9/main" uri="{B025F937-C7B1-47D3-B67F-A62EFF666E3E}">
          <x14:id>{A7BD6179-D28F-4E42-B215-F8FA4D776F4C}</x14:id>
        </ext>
      </extLst>
    </cfRule>
  </conditionalFormatting>
  <conditionalFormatting sqref="T49">
    <cfRule type="iconSet" priority="4796">
      <iconSet iconSet="3Arrows">
        <cfvo type="percent" val="0"/>
        <cfvo type="num" val="0.7"/>
        <cfvo type="num" val="1"/>
      </iconSet>
    </cfRule>
    <cfRule type="dataBar" priority="4797">
      <dataBar>
        <cfvo type="num" val="0"/>
        <cfvo type="num" val="1"/>
        <color theme="4" tint="0.79998168889431442"/>
      </dataBar>
      <extLst>
        <ext xmlns:x14="http://schemas.microsoft.com/office/spreadsheetml/2009/9/main" uri="{B025F937-C7B1-47D3-B67F-A62EFF666E3E}">
          <x14:id>{7B190899-D773-48ED-9D78-DC950C125F8D}</x14:id>
        </ext>
      </extLst>
    </cfRule>
  </conditionalFormatting>
  <conditionalFormatting sqref="T51">
    <cfRule type="iconSet" priority="2915">
      <iconSet iconSet="3Arrows">
        <cfvo type="percent" val="0"/>
        <cfvo type="num" val="0.7"/>
        <cfvo type="num" val="1"/>
      </iconSet>
    </cfRule>
    <cfRule type="dataBar" priority="2916">
      <dataBar>
        <cfvo type="num" val="0"/>
        <cfvo type="num" val="1"/>
        <color theme="4" tint="0.79998168889431442"/>
      </dataBar>
      <extLst>
        <ext xmlns:x14="http://schemas.microsoft.com/office/spreadsheetml/2009/9/main" uri="{B025F937-C7B1-47D3-B67F-A62EFF666E3E}">
          <x14:id>{C366C36C-E4B3-49EE-9008-74A7F9513DE4}</x14:id>
        </ext>
      </extLst>
    </cfRule>
  </conditionalFormatting>
  <conditionalFormatting sqref="T53">
    <cfRule type="iconSet" priority="4506">
      <iconSet iconSet="3Arrows">
        <cfvo type="percent" val="0"/>
        <cfvo type="num" val="0.7"/>
        <cfvo type="num" val="1"/>
      </iconSet>
    </cfRule>
    <cfRule type="dataBar" priority="4507">
      <dataBar>
        <cfvo type="num" val="0"/>
        <cfvo type="num" val="1"/>
        <color theme="4" tint="0.79998168889431442"/>
      </dataBar>
      <extLst>
        <ext xmlns:x14="http://schemas.microsoft.com/office/spreadsheetml/2009/9/main" uri="{B025F937-C7B1-47D3-B67F-A62EFF666E3E}">
          <x14:id>{659319CF-6AD3-4681-8190-8FAFD1DBEB68}</x14:id>
        </ext>
      </extLst>
    </cfRule>
  </conditionalFormatting>
  <conditionalFormatting sqref="T55">
    <cfRule type="iconSet" priority="3502">
      <iconSet iconSet="3Arrows">
        <cfvo type="percent" val="0"/>
        <cfvo type="num" val="0.7"/>
        <cfvo type="num" val="1"/>
      </iconSet>
    </cfRule>
    <cfRule type="dataBar" priority="3503">
      <dataBar>
        <cfvo type="num" val="0"/>
        <cfvo type="num" val="1"/>
        <color theme="4" tint="0.79998168889431442"/>
      </dataBar>
      <extLst>
        <ext xmlns:x14="http://schemas.microsoft.com/office/spreadsheetml/2009/9/main" uri="{B025F937-C7B1-47D3-B67F-A62EFF666E3E}">
          <x14:id>{2B3D628B-A47D-45F4-B527-0B71ACB0DA35}</x14:id>
        </ext>
      </extLst>
    </cfRule>
  </conditionalFormatting>
  <conditionalFormatting sqref="T57">
    <cfRule type="iconSet" priority="2901">
      <iconSet iconSet="3Arrows">
        <cfvo type="percent" val="0"/>
        <cfvo type="num" val="0.7"/>
        <cfvo type="num" val="1"/>
      </iconSet>
    </cfRule>
    <cfRule type="dataBar" priority="2902">
      <dataBar>
        <cfvo type="num" val="0"/>
        <cfvo type="num" val="1"/>
        <color theme="4" tint="0.79998168889431442"/>
      </dataBar>
      <extLst>
        <ext xmlns:x14="http://schemas.microsoft.com/office/spreadsheetml/2009/9/main" uri="{B025F937-C7B1-47D3-B67F-A62EFF666E3E}">
          <x14:id>{E6689D9A-A016-4443-85A7-5CD87792D8A7}</x14:id>
        </ext>
      </extLst>
    </cfRule>
  </conditionalFormatting>
  <conditionalFormatting sqref="T59">
    <cfRule type="iconSet" priority="2887">
      <iconSet iconSet="3Arrows">
        <cfvo type="percent" val="0"/>
        <cfvo type="num" val="0.7"/>
        <cfvo type="num" val="1"/>
      </iconSet>
    </cfRule>
    <cfRule type="dataBar" priority="2888">
      <dataBar>
        <cfvo type="num" val="0"/>
        <cfvo type="num" val="1"/>
        <color theme="4" tint="0.79998168889431442"/>
      </dataBar>
      <extLst>
        <ext xmlns:x14="http://schemas.microsoft.com/office/spreadsheetml/2009/9/main" uri="{B025F937-C7B1-47D3-B67F-A62EFF666E3E}">
          <x14:id>{111D7448-96E6-4FB5-9E09-C2571D12308C}</x14:id>
        </ext>
      </extLst>
    </cfRule>
  </conditionalFormatting>
  <conditionalFormatting sqref="T61">
    <cfRule type="iconSet" priority="1481">
      <iconSet iconSet="3Arrows">
        <cfvo type="percent" val="0"/>
        <cfvo type="num" val="0.7"/>
        <cfvo type="num" val="1"/>
      </iconSet>
    </cfRule>
    <cfRule type="dataBar" priority="1482">
      <dataBar>
        <cfvo type="num" val="0"/>
        <cfvo type="num" val="1"/>
        <color theme="4" tint="0.79998168889431442"/>
      </dataBar>
      <extLst>
        <ext xmlns:x14="http://schemas.microsoft.com/office/spreadsheetml/2009/9/main" uri="{B025F937-C7B1-47D3-B67F-A62EFF666E3E}">
          <x14:id>{7051DAB7-5C00-45F7-972B-7FC7467B2C01}</x14:id>
        </ext>
      </extLst>
    </cfRule>
  </conditionalFormatting>
  <conditionalFormatting sqref="T63">
    <cfRule type="iconSet" priority="2467">
      <iconSet iconSet="3Arrows">
        <cfvo type="percent" val="0"/>
        <cfvo type="num" val="0.7"/>
        <cfvo type="num" val="1"/>
      </iconSet>
    </cfRule>
    <cfRule type="dataBar" priority="2468">
      <dataBar>
        <cfvo type="num" val="0"/>
        <cfvo type="num" val="1"/>
        <color theme="4" tint="0.79998168889431442"/>
      </dataBar>
      <extLst>
        <ext xmlns:x14="http://schemas.microsoft.com/office/spreadsheetml/2009/9/main" uri="{B025F937-C7B1-47D3-B67F-A62EFF666E3E}">
          <x14:id>{8B8DA3FC-054A-4976-A5AE-325D4F51D916}</x14:id>
        </ext>
      </extLst>
    </cfRule>
  </conditionalFormatting>
  <conditionalFormatting sqref="T65">
    <cfRule type="iconSet" priority="2873">
      <iconSet iconSet="3Arrows">
        <cfvo type="percent" val="0"/>
        <cfvo type="num" val="0.7"/>
        <cfvo type="num" val="1"/>
      </iconSet>
    </cfRule>
    <cfRule type="dataBar" priority="2874">
      <dataBar>
        <cfvo type="num" val="0"/>
        <cfvo type="num" val="1"/>
        <color theme="4" tint="0.79998168889431442"/>
      </dataBar>
      <extLst>
        <ext xmlns:x14="http://schemas.microsoft.com/office/spreadsheetml/2009/9/main" uri="{B025F937-C7B1-47D3-B67F-A62EFF666E3E}">
          <x14:id>{997A6943-40EF-4BF8-A5DD-4F14C79E6228}</x14:id>
        </ext>
      </extLst>
    </cfRule>
  </conditionalFormatting>
  <conditionalFormatting sqref="T67">
    <cfRule type="iconSet" priority="3420">
      <iconSet iconSet="3Arrows">
        <cfvo type="percent" val="0"/>
        <cfvo type="num" val="0.7"/>
        <cfvo type="num" val="1"/>
      </iconSet>
    </cfRule>
    <cfRule type="dataBar" priority="3421">
      <dataBar>
        <cfvo type="num" val="0"/>
        <cfvo type="num" val="1"/>
        <color theme="4" tint="0.79998168889431442"/>
      </dataBar>
      <extLst>
        <ext xmlns:x14="http://schemas.microsoft.com/office/spreadsheetml/2009/9/main" uri="{B025F937-C7B1-47D3-B67F-A62EFF666E3E}">
          <x14:id>{28C46AD4-CD3F-40C8-BBE6-10A1B9D65E65}</x14:id>
        </ext>
      </extLst>
    </cfRule>
  </conditionalFormatting>
  <conditionalFormatting sqref="T69">
    <cfRule type="iconSet" priority="5017">
      <iconSet iconSet="3Arrows">
        <cfvo type="percent" val="0"/>
        <cfvo type="num" val="0.7"/>
        <cfvo type="num" val="1"/>
      </iconSet>
    </cfRule>
    <cfRule type="dataBar" priority="5018">
      <dataBar>
        <cfvo type="num" val="0"/>
        <cfvo type="num" val="1"/>
        <color theme="4" tint="0.79998168889431442"/>
      </dataBar>
      <extLst>
        <ext xmlns:x14="http://schemas.microsoft.com/office/spreadsheetml/2009/9/main" uri="{B025F937-C7B1-47D3-B67F-A62EFF666E3E}">
          <x14:id>{0A29739D-F8D5-418B-B437-93E2FE3984D2}</x14:id>
        </ext>
      </extLst>
    </cfRule>
  </conditionalFormatting>
  <conditionalFormatting sqref="T73">
    <cfRule type="iconSet" priority="5136">
      <iconSet iconSet="3Arrows">
        <cfvo type="percent" val="0"/>
        <cfvo type="num" val="0.7"/>
        <cfvo type="num" val="1"/>
      </iconSet>
    </cfRule>
    <cfRule type="dataBar" priority="5137">
      <dataBar>
        <cfvo type="num" val="0"/>
        <cfvo type="num" val="1"/>
        <color theme="4" tint="0.79998168889431442"/>
      </dataBar>
      <extLst>
        <ext xmlns:x14="http://schemas.microsoft.com/office/spreadsheetml/2009/9/main" uri="{B025F937-C7B1-47D3-B67F-A62EFF666E3E}">
          <x14:id>{5F8EB105-FF33-4985-B59E-08884D330303}</x14:id>
        </ext>
      </extLst>
    </cfRule>
  </conditionalFormatting>
  <conditionalFormatting sqref="T77">
    <cfRule type="iconSet" priority="5151">
      <iconSet iconSet="3Arrows">
        <cfvo type="percent" val="0"/>
        <cfvo type="num" val="0.7"/>
        <cfvo type="num" val="1"/>
      </iconSet>
    </cfRule>
    <cfRule type="dataBar" priority="5152">
      <dataBar>
        <cfvo type="num" val="0"/>
        <cfvo type="num" val="1"/>
        <color theme="4" tint="0.79998168889431442"/>
      </dataBar>
      <extLst>
        <ext xmlns:x14="http://schemas.microsoft.com/office/spreadsheetml/2009/9/main" uri="{B025F937-C7B1-47D3-B67F-A62EFF666E3E}">
          <x14:id>{1F4EB7A7-B9E6-4580-9EBF-964ACC0410DB}</x14:id>
        </ext>
      </extLst>
    </cfRule>
  </conditionalFormatting>
  <conditionalFormatting sqref="T79">
    <cfRule type="iconSet" priority="5142">
      <iconSet iconSet="3Arrows">
        <cfvo type="percent" val="0"/>
        <cfvo type="num" val="0.7"/>
        <cfvo type="num" val="1"/>
      </iconSet>
    </cfRule>
    <cfRule type="dataBar" priority="5143">
      <dataBar>
        <cfvo type="num" val="0"/>
        <cfvo type="num" val="1"/>
        <color theme="4" tint="0.79998168889431442"/>
      </dataBar>
      <extLst>
        <ext xmlns:x14="http://schemas.microsoft.com/office/spreadsheetml/2009/9/main" uri="{B025F937-C7B1-47D3-B67F-A62EFF666E3E}">
          <x14:id>{06CD5D98-2C19-4DDB-92C1-4ECE8A2C4870}</x14:id>
        </ext>
      </extLst>
    </cfRule>
  </conditionalFormatting>
  <conditionalFormatting sqref="T81">
    <cfRule type="iconSet" priority="4853">
      <iconSet iconSet="3Arrows">
        <cfvo type="percent" val="0"/>
        <cfvo type="num" val="0.7"/>
        <cfvo type="num" val="1"/>
      </iconSet>
    </cfRule>
    <cfRule type="dataBar" priority="4854">
      <dataBar>
        <cfvo type="num" val="0"/>
        <cfvo type="num" val="1"/>
        <color theme="4" tint="0.79998168889431442"/>
      </dataBar>
      <extLst>
        <ext xmlns:x14="http://schemas.microsoft.com/office/spreadsheetml/2009/9/main" uri="{B025F937-C7B1-47D3-B67F-A62EFF666E3E}">
          <x14:id>{1447656D-E840-4F8B-9DD6-A8AE8C05ACE3}</x14:id>
        </ext>
      </extLst>
    </cfRule>
  </conditionalFormatting>
  <conditionalFormatting sqref="T83">
    <cfRule type="iconSet" priority="4834">
      <iconSet iconSet="3Arrows">
        <cfvo type="percent" val="0"/>
        <cfvo type="num" val="0.7"/>
        <cfvo type="num" val="1"/>
      </iconSet>
    </cfRule>
    <cfRule type="dataBar" priority="4835">
      <dataBar>
        <cfvo type="num" val="0"/>
        <cfvo type="num" val="1"/>
        <color theme="4" tint="0.79998168889431442"/>
      </dataBar>
      <extLst>
        <ext xmlns:x14="http://schemas.microsoft.com/office/spreadsheetml/2009/9/main" uri="{B025F937-C7B1-47D3-B67F-A62EFF666E3E}">
          <x14:id>{FF8C984F-29DB-452A-92EE-9DF62703607E}</x14:id>
        </ext>
      </extLst>
    </cfRule>
  </conditionalFormatting>
  <conditionalFormatting sqref="T85">
    <cfRule type="iconSet" priority="4826">
      <iconSet iconSet="3Arrows">
        <cfvo type="percent" val="0"/>
        <cfvo type="num" val="0.7"/>
        <cfvo type="num" val="1"/>
      </iconSet>
    </cfRule>
    <cfRule type="dataBar" priority="4827">
      <dataBar>
        <cfvo type="num" val="0"/>
        <cfvo type="num" val="1"/>
        <color theme="4" tint="0.79998168889431442"/>
      </dataBar>
      <extLst>
        <ext xmlns:x14="http://schemas.microsoft.com/office/spreadsheetml/2009/9/main" uri="{B025F937-C7B1-47D3-B67F-A62EFF666E3E}">
          <x14:id>{C1E8CC34-BDD4-4167-8C44-F7DC2F010955}</x14:id>
        </ext>
      </extLst>
    </cfRule>
  </conditionalFormatting>
  <conditionalFormatting sqref="T87">
    <cfRule type="iconSet" priority="4818">
      <iconSet iconSet="3Arrows">
        <cfvo type="percent" val="0"/>
        <cfvo type="num" val="0.7"/>
        <cfvo type="num" val="1"/>
      </iconSet>
    </cfRule>
    <cfRule type="dataBar" priority="4819">
      <dataBar>
        <cfvo type="num" val="0"/>
        <cfvo type="num" val="1"/>
        <color theme="4" tint="0.79998168889431442"/>
      </dataBar>
      <extLst>
        <ext xmlns:x14="http://schemas.microsoft.com/office/spreadsheetml/2009/9/main" uri="{B025F937-C7B1-47D3-B67F-A62EFF666E3E}">
          <x14:id>{600822EE-D40C-407E-A404-4BB16FA6587D}</x14:id>
        </ext>
      </extLst>
    </cfRule>
  </conditionalFormatting>
  <conditionalFormatting sqref="T89">
    <cfRule type="iconSet" priority="5144">
      <iconSet iconSet="3Arrows">
        <cfvo type="percent" val="0"/>
        <cfvo type="num" val="0.7"/>
        <cfvo type="num" val="1"/>
      </iconSet>
    </cfRule>
    <cfRule type="dataBar" priority="5145">
      <dataBar>
        <cfvo type="num" val="0"/>
        <cfvo type="num" val="1"/>
        <color theme="4" tint="0.79998168889431442"/>
      </dataBar>
      <extLst>
        <ext xmlns:x14="http://schemas.microsoft.com/office/spreadsheetml/2009/9/main" uri="{B025F937-C7B1-47D3-B67F-A62EFF666E3E}">
          <x14:id>{C6F60608-8F8D-4D3E-B2C2-1E9C22BD3472}</x14:id>
        </ext>
      </extLst>
    </cfRule>
  </conditionalFormatting>
  <conditionalFormatting sqref="T93">
    <cfRule type="iconSet" priority="4782">
      <iconSet iconSet="3Arrows">
        <cfvo type="percent" val="0"/>
        <cfvo type="num" val="0.7"/>
        <cfvo type="num" val="1"/>
      </iconSet>
    </cfRule>
    <cfRule type="dataBar" priority="4783">
      <dataBar>
        <cfvo type="num" val="0"/>
        <cfvo type="num" val="1"/>
        <color theme="4" tint="0.79998168889431442"/>
      </dataBar>
      <extLst>
        <ext xmlns:x14="http://schemas.microsoft.com/office/spreadsheetml/2009/9/main" uri="{B025F937-C7B1-47D3-B67F-A62EFF666E3E}">
          <x14:id>{004C8B4D-7476-4A54-A48A-6C6766AEC249}</x14:id>
        </ext>
      </extLst>
    </cfRule>
  </conditionalFormatting>
  <conditionalFormatting sqref="T95">
    <cfRule type="iconSet" priority="4743">
      <iconSet iconSet="3Arrows">
        <cfvo type="percent" val="0"/>
        <cfvo type="num" val="0.7"/>
        <cfvo type="num" val="1"/>
      </iconSet>
    </cfRule>
    <cfRule type="dataBar" priority="4744">
      <dataBar>
        <cfvo type="num" val="0"/>
        <cfvo type="num" val="1"/>
        <color theme="4" tint="0.79998168889431442"/>
      </dataBar>
      <extLst>
        <ext xmlns:x14="http://schemas.microsoft.com/office/spreadsheetml/2009/9/main" uri="{B025F937-C7B1-47D3-B67F-A62EFF666E3E}">
          <x14:id>{062A1464-1D61-4C6F-9098-E9290057C585}</x14:id>
        </ext>
      </extLst>
    </cfRule>
  </conditionalFormatting>
  <conditionalFormatting sqref="T97">
    <cfRule type="iconSet" priority="1959">
      <iconSet iconSet="3Arrows">
        <cfvo type="percent" val="0"/>
        <cfvo type="num" val="0.7"/>
        <cfvo type="num" val="1"/>
      </iconSet>
    </cfRule>
    <cfRule type="dataBar" priority="1960">
      <dataBar>
        <cfvo type="num" val="0"/>
        <cfvo type="num" val="1"/>
        <color theme="4" tint="0.79998168889431442"/>
      </dataBar>
      <extLst>
        <ext xmlns:x14="http://schemas.microsoft.com/office/spreadsheetml/2009/9/main" uri="{B025F937-C7B1-47D3-B67F-A62EFF666E3E}">
          <x14:id>{6E2B76BB-94C8-4F2B-804C-C474EC5C76B2}</x14:id>
        </ext>
      </extLst>
    </cfRule>
  </conditionalFormatting>
  <conditionalFormatting sqref="T99">
    <cfRule type="iconSet" priority="1996">
      <iconSet iconSet="3Arrows">
        <cfvo type="percent" val="0"/>
        <cfvo type="num" val="0.7"/>
        <cfvo type="num" val="1"/>
      </iconSet>
    </cfRule>
    <cfRule type="dataBar" priority="1997">
      <dataBar>
        <cfvo type="num" val="0"/>
        <cfvo type="num" val="1"/>
        <color theme="4" tint="0.79998168889431442"/>
      </dataBar>
      <extLst>
        <ext xmlns:x14="http://schemas.microsoft.com/office/spreadsheetml/2009/9/main" uri="{B025F937-C7B1-47D3-B67F-A62EFF666E3E}">
          <x14:id>{598DFDEC-38E7-47FC-9AAC-C66586E61EBB}</x14:id>
        </ext>
      </extLst>
    </cfRule>
  </conditionalFormatting>
  <conditionalFormatting sqref="T101">
    <cfRule type="iconSet" priority="1933">
      <iconSet iconSet="3Arrows">
        <cfvo type="percent" val="0"/>
        <cfvo type="num" val="0.7"/>
        <cfvo type="num" val="1"/>
      </iconSet>
    </cfRule>
    <cfRule type="dataBar" priority="1934">
      <dataBar>
        <cfvo type="num" val="0"/>
        <cfvo type="num" val="1"/>
        <color theme="4" tint="0.79998168889431442"/>
      </dataBar>
      <extLst>
        <ext xmlns:x14="http://schemas.microsoft.com/office/spreadsheetml/2009/9/main" uri="{B025F937-C7B1-47D3-B67F-A62EFF666E3E}">
          <x14:id>{E9BA6431-3F3B-45DA-9918-816BC8979B4D}</x14:id>
        </ext>
      </extLst>
    </cfRule>
  </conditionalFormatting>
  <conditionalFormatting sqref="T103">
    <cfRule type="iconSet" priority="4790">
      <iconSet iconSet="3Arrows">
        <cfvo type="percent" val="0"/>
        <cfvo type="num" val="0.7"/>
        <cfvo type="num" val="1"/>
      </iconSet>
    </cfRule>
    <cfRule type="dataBar" priority="4791">
      <dataBar>
        <cfvo type="num" val="0"/>
        <cfvo type="num" val="1"/>
        <color theme="4" tint="0.79998168889431442"/>
      </dataBar>
      <extLst>
        <ext xmlns:x14="http://schemas.microsoft.com/office/spreadsheetml/2009/9/main" uri="{B025F937-C7B1-47D3-B67F-A62EFF666E3E}">
          <x14:id>{07EF5F2F-E80E-48B4-84CB-E76579F4EBCD}</x14:id>
        </ext>
      </extLst>
    </cfRule>
  </conditionalFormatting>
  <conditionalFormatting sqref="T105">
    <cfRule type="iconSet" priority="4759">
      <iconSet iconSet="3Arrows">
        <cfvo type="percent" val="0"/>
        <cfvo type="num" val="0.7"/>
        <cfvo type="num" val="1"/>
      </iconSet>
    </cfRule>
    <cfRule type="dataBar" priority="4760">
      <dataBar>
        <cfvo type="num" val="0"/>
        <cfvo type="num" val="1"/>
        <color theme="4" tint="0.79998168889431442"/>
      </dataBar>
      <extLst>
        <ext xmlns:x14="http://schemas.microsoft.com/office/spreadsheetml/2009/9/main" uri="{B025F937-C7B1-47D3-B67F-A62EFF666E3E}">
          <x14:id>{3600B21F-C3AF-4D61-975B-26D0BE173680}</x14:id>
        </ext>
      </extLst>
    </cfRule>
  </conditionalFormatting>
  <conditionalFormatting sqref="T107">
    <cfRule type="iconSet" priority="4751">
      <iconSet iconSet="3Arrows">
        <cfvo type="percent" val="0"/>
        <cfvo type="num" val="0.7"/>
        <cfvo type="num" val="1"/>
      </iconSet>
    </cfRule>
    <cfRule type="dataBar" priority="4752">
      <dataBar>
        <cfvo type="num" val="0"/>
        <cfvo type="num" val="1"/>
        <color theme="4" tint="0.79998168889431442"/>
      </dataBar>
      <extLst>
        <ext xmlns:x14="http://schemas.microsoft.com/office/spreadsheetml/2009/9/main" uri="{B025F937-C7B1-47D3-B67F-A62EFF666E3E}">
          <x14:id>{F8CBC097-63D3-4850-BCFB-DCD1B362BFAE}</x14:id>
        </ext>
      </extLst>
    </cfRule>
  </conditionalFormatting>
  <conditionalFormatting sqref="T109">
    <cfRule type="iconSet" priority="2853">
      <iconSet iconSet="3Arrows">
        <cfvo type="percent" val="0"/>
        <cfvo type="num" val="0.7"/>
        <cfvo type="num" val="1"/>
      </iconSet>
    </cfRule>
    <cfRule type="dataBar" priority="2854">
      <dataBar>
        <cfvo type="num" val="0"/>
        <cfvo type="num" val="1"/>
        <color theme="4" tint="0.79998168889431442"/>
      </dataBar>
      <extLst>
        <ext xmlns:x14="http://schemas.microsoft.com/office/spreadsheetml/2009/9/main" uri="{B025F937-C7B1-47D3-B67F-A62EFF666E3E}">
          <x14:id>{FCEBE00F-87F5-4704-85A4-9E773B09F4C3}</x14:id>
        </ext>
      </extLst>
    </cfRule>
  </conditionalFormatting>
  <conditionalFormatting sqref="T113">
    <cfRule type="iconSet" priority="4773">
      <iconSet iconSet="3Arrows">
        <cfvo type="percent" val="0"/>
        <cfvo type="num" val="0.7"/>
        <cfvo type="num" val="1"/>
      </iconSet>
    </cfRule>
    <cfRule type="dataBar" priority="4774">
      <dataBar>
        <cfvo type="num" val="0"/>
        <cfvo type="num" val="1"/>
        <color theme="4" tint="0.79998168889431442"/>
      </dataBar>
      <extLst>
        <ext xmlns:x14="http://schemas.microsoft.com/office/spreadsheetml/2009/9/main" uri="{B025F937-C7B1-47D3-B67F-A62EFF666E3E}">
          <x14:id>{B4F2F542-B62A-4D8D-8D59-C3B03D014597}</x14:id>
        </ext>
      </extLst>
    </cfRule>
  </conditionalFormatting>
  <conditionalFormatting sqref="T115">
    <cfRule type="iconSet" priority="4767">
      <iconSet iconSet="3Arrows">
        <cfvo type="percent" val="0"/>
        <cfvo type="num" val="0.7"/>
        <cfvo type="num" val="1"/>
      </iconSet>
    </cfRule>
    <cfRule type="dataBar" priority="4768">
      <dataBar>
        <cfvo type="num" val="0"/>
        <cfvo type="num" val="1"/>
        <color theme="4" tint="0.79998168889431442"/>
      </dataBar>
      <extLst>
        <ext xmlns:x14="http://schemas.microsoft.com/office/spreadsheetml/2009/9/main" uri="{B025F937-C7B1-47D3-B67F-A62EFF666E3E}">
          <x14:id>{646F8A91-C9F1-4809-8E9F-3FA059C303A1}</x14:id>
        </ext>
      </extLst>
    </cfRule>
  </conditionalFormatting>
  <conditionalFormatting sqref="T119">
    <cfRule type="iconSet" priority="5140">
      <iconSet iconSet="3Arrows">
        <cfvo type="percent" val="0"/>
        <cfvo type="num" val="0.7"/>
        <cfvo type="num" val="1"/>
      </iconSet>
    </cfRule>
    <cfRule type="dataBar" priority="5141">
      <dataBar>
        <cfvo type="num" val="0"/>
        <cfvo type="num" val="1"/>
        <color theme="4" tint="0.79998168889431442"/>
      </dataBar>
      <extLst>
        <ext xmlns:x14="http://schemas.microsoft.com/office/spreadsheetml/2009/9/main" uri="{B025F937-C7B1-47D3-B67F-A62EFF666E3E}">
          <x14:id>{C6536F16-F4F3-4E33-83C0-0E446A4E9E97}</x14:id>
        </ext>
      </extLst>
    </cfRule>
  </conditionalFormatting>
  <conditionalFormatting sqref="T121">
    <cfRule type="iconSet" priority="5189">
      <iconSet iconSet="3Arrows">
        <cfvo type="percent" val="0"/>
        <cfvo type="num" val="0.7"/>
        <cfvo type="num" val="1"/>
      </iconSet>
    </cfRule>
    <cfRule type="dataBar" priority="5190">
      <dataBar>
        <cfvo type="num" val="0"/>
        <cfvo type="num" val="1"/>
        <color theme="4" tint="0.79998168889431442"/>
      </dataBar>
      <extLst>
        <ext xmlns:x14="http://schemas.microsoft.com/office/spreadsheetml/2009/9/main" uri="{B025F937-C7B1-47D3-B67F-A62EFF666E3E}">
          <x14:id>{B351A648-67C9-4DA9-AA53-375C6BD78041}</x14:id>
        </ext>
      </extLst>
    </cfRule>
  </conditionalFormatting>
  <conditionalFormatting sqref="T123">
    <cfRule type="iconSet" priority="5001">
      <iconSet iconSet="3Arrows">
        <cfvo type="percent" val="0"/>
        <cfvo type="num" val="0.7"/>
        <cfvo type="num" val="1"/>
      </iconSet>
    </cfRule>
    <cfRule type="dataBar" priority="5002">
      <dataBar>
        <cfvo type="num" val="0"/>
        <cfvo type="num" val="1"/>
        <color theme="4" tint="0.79998168889431442"/>
      </dataBar>
      <extLst>
        <ext xmlns:x14="http://schemas.microsoft.com/office/spreadsheetml/2009/9/main" uri="{B025F937-C7B1-47D3-B67F-A62EFF666E3E}">
          <x14:id>{18DE41C1-EE2C-44AC-B23A-03851EF86CD8}</x14:id>
        </ext>
      </extLst>
    </cfRule>
  </conditionalFormatting>
  <conditionalFormatting sqref="T125">
    <cfRule type="iconSet" priority="3484">
      <iconSet iconSet="3Arrows">
        <cfvo type="percent" val="0"/>
        <cfvo type="num" val="0.7"/>
        <cfvo type="num" val="1"/>
      </iconSet>
    </cfRule>
    <cfRule type="dataBar" priority="3485">
      <dataBar>
        <cfvo type="num" val="0"/>
        <cfvo type="num" val="1"/>
        <color theme="4" tint="0.79998168889431442"/>
      </dataBar>
      <extLst>
        <ext xmlns:x14="http://schemas.microsoft.com/office/spreadsheetml/2009/9/main" uri="{B025F937-C7B1-47D3-B67F-A62EFF666E3E}">
          <x14:id>{B7A557DC-0F3A-4AD5-A30A-09FA51A98B10}</x14:id>
        </ext>
      </extLst>
    </cfRule>
  </conditionalFormatting>
  <conditionalFormatting sqref="T127">
    <cfRule type="iconSet" priority="3243">
      <iconSet iconSet="3Arrows">
        <cfvo type="percent" val="0"/>
        <cfvo type="num" val="0.7"/>
        <cfvo type="num" val="1"/>
      </iconSet>
    </cfRule>
    <cfRule type="dataBar" priority="3244">
      <dataBar>
        <cfvo type="num" val="0"/>
        <cfvo type="num" val="1"/>
        <color theme="4" tint="0.79998168889431442"/>
      </dataBar>
      <extLst>
        <ext xmlns:x14="http://schemas.microsoft.com/office/spreadsheetml/2009/9/main" uri="{B025F937-C7B1-47D3-B67F-A62EFF666E3E}">
          <x14:id>{C1593EBC-34B5-4866-A579-305C08239FD2}</x14:id>
        </ext>
      </extLst>
    </cfRule>
  </conditionalFormatting>
  <conditionalFormatting sqref="T129">
    <cfRule type="iconSet" priority="4995">
      <iconSet iconSet="3Arrows">
        <cfvo type="percent" val="0"/>
        <cfvo type="num" val="0.7"/>
        <cfvo type="num" val="1"/>
      </iconSet>
    </cfRule>
    <cfRule type="dataBar" priority="4996">
      <dataBar>
        <cfvo type="num" val="0"/>
        <cfvo type="num" val="1"/>
        <color theme="4" tint="0.79998168889431442"/>
      </dataBar>
      <extLst>
        <ext xmlns:x14="http://schemas.microsoft.com/office/spreadsheetml/2009/9/main" uri="{B025F937-C7B1-47D3-B67F-A62EFF666E3E}">
          <x14:id>{584F7B4D-BC14-4A56-AD0E-6AE1BC4CAE9C}</x14:id>
        </ext>
      </extLst>
    </cfRule>
  </conditionalFormatting>
  <conditionalFormatting sqref="T131">
    <cfRule type="iconSet" priority="2954">
      <iconSet iconSet="3Arrows">
        <cfvo type="percent" val="0"/>
        <cfvo type="num" val="0.7"/>
        <cfvo type="num" val="1"/>
      </iconSet>
    </cfRule>
    <cfRule type="dataBar" priority="2955">
      <dataBar>
        <cfvo type="num" val="0"/>
        <cfvo type="num" val="1"/>
        <color theme="4" tint="0.79998168889431442"/>
      </dataBar>
      <extLst>
        <ext xmlns:x14="http://schemas.microsoft.com/office/spreadsheetml/2009/9/main" uri="{B025F937-C7B1-47D3-B67F-A62EFF666E3E}">
          <x14:id>{1514AB3C-51EC-4217-A2D9-ECCBA148668C}</x14:id>
        </ext>
      </extLst>
    </cfRule>
  </conditionalFormatting>
  <conditionalFormatting sqref="T134">
    <cfRule type="iconSet" priority="1488">
      <iconSet iconSet="3Arrows">
        <cfvo type="percent" val="0"/>
        <cfvo type="num" val="0.7"/>
        <cfvo type="num" val="1"/>
      </iconSet>
    </cfRule>
    <cfRule type="dataBar" priority="1489">
      <dataBar>
        <cfvo type="num" val="0"/>
        <cfvo type="num" val="1"/>
        <color theme="4" tint="0.79998168889431442"/>
      </dataBar>
      <extLst>
        <ext xmlns:x14="http://schemas.microsoft.com/office/spreadsheetml/2009/9/main" uri="{B025F937-C7B1-47D3-B67F-A62EFF666E3E}">
          <x14:id>{313D6D5D-AFA5-4BCA-865C-599D2B694D7E}</x14:id>
        </ext>
      </extLst>
    </cfRule>
  </conditionalFormatting>
  <conditionalFormatting sqref="T137">
    <cfRule type="iconSet" priority="2038">
      <iconSet iconSet="3Arrows">
        <cfvo type="percent" val="0"/>
        <cfvo type="num" val="0.7"/>
        <cfvo type="num" val="1"/>
      </iconSet>
    </cfRule>
    <cfRule type="dataBar" priority="2039">
      <dataBar>
        <cfvo type="num" val="0"/>
        <cfvo type="num" val="1"/>
        <color theme="4" tint="0.79998168889431442"/>
      </dataBar>
      <extLst>
        <ext xmlns:x14="http://schemas.microsoft.com/office/spreadsheetml/2009/9/main" uri="{B025F937-C7B1-47D3-B67F-A62EFF666E3E}">
          <x14:id>{AF7127A8-093F-4B22-B70A-EC4831CB5580}</x14:id>
        </ext>
      </extLst>
    </cfRule>
  </conditionalFormatting>
  <conditionalFormatting sqref="T140">
    <cfRule type="iconSet" priority="4728">
      <iconSet iconSet="3Arrows">
        <cfvo type="percent" val="0"/>
        <cfvo type="num" val="0.7"/>
        <cfvo type="num" val="1"/>
      </iconSet>
    </cfRule>
    <cfRule type="dataBar" priority="4729">
      <dataBar>
        <cfvo type="num" val="0"/>
        <cfvo type="num" val="1"/>
        <color theme="4" tint="0.79998168889431442"/>
      </dataBar>
      <extLst>
        <ext xmlns:x14="http://schemas.microsoft.com/office/spreadsheetml/2009/9/main" uri="{B025F937-C7B1-47D3-B67F-A62EFF666E3E}">
          <x14:id>{885F4172-980C-4FC9-A00F-3516CBDA5166}</x14:id>
        </ext>
      </extLst>
    </cfRule>
  </conditionalFormatting>
  <conditionalFormatting sqref="T142">
    <cfRule type="iconSet" priority="4438">
      <iconSet iconSet="3Arrows">
        <cfvo type="percent" val="0"/>
        <cfvo type="num" val="0.7"/>
        <cfvo type="num" val="1"/>
      </iconSet>
    </cfRule>
    <cfRule type="dataBar" priority="4439">
      <dataBar>
        <cfvo type="num" val="0"/>
        <cfvo type="num" val="1"/>
        <color theme="4" tint="0.79998168889431442"/>
      </dataBar>
      <extLst>
        <ext xmlns:x14="http://schemas.microsoft.com/office/spreadsheetml/2009/9/main" uri="{B025F937-C7B1-47D3-B67F-A62EFF666E3E}">
          <x14:id>{A3DAD162-A516-410D-8879-EE2E68D1DD2D}</x14:id>
        </ext>
      </extLst>
    </cfRule>
  </conditionalFormatting>
  <conditionalFormatting sqref="T144">
    <cfRule type="iconSet" priority="4422">
      <iconSet iconSet="3Arrows">
        <cfvo type="percent" val="0"/>
        <cfvo type="num" val="0.7"/>
        <cfvo type="num" val="1"/>
      </iconSet>
    </cfRule>
    <cfRule type="dataBar" priority="4423">
      <dataBar>
        <cfvo type="num" val="0"/>
        <cfvo type="num" val="1"/>
        <color theme="4" tint="0.79998168889431442"/>
      </dataBar>
      <extLst>
        <ext xmlns:x14="http://schemas.microsoft.com/office/spreadsheetml/2009/9/main" uri="{B025F937-C7B1-47D3-B67F-A62EFF666E3E}">
          <x14:id>{967146D2-F93A-486E-9603-4F3BDE3684DC}</x14:id>
        </ext>
      </extLst>
    </cfRule>
  </conditionalFormatting>
  <conditionalFormatting sqref="T146">
    <cfRule type="iconSet" priority="1389">
      <iconSet iconSet="3Arrows">
        <cfvo type="percent" val="0"/>
        <cfvo type="num" val="0.7"/>
        <cfvo type="num" val="1"/>
      </iconSet>
    </cfRule>
    <cfRule type="dataBar" priority="1390">
      <dataBar>
        <cfvo type="num" val="0"/>
        <cfvo type="num" val="1"/>
        <color theme="4" tint="0.79998168889431442"/>
      </dataBar>
      <extLst>
        <ext xmlns:x14="http://schemas.microsoft.com/office/spreadsheetml/2009/9/main" uri="{B025F937-C7B1-47D3-B67F-A62EFF666E3E}">
          <x14:id>{DB9585A1-F9D6-4931-A14A-66509B83E58D}</x14:id>
        </ext>
      </extLst>
    </cfRule>
  </conditionalFormatting>
  <conditionalFormatting sqref="T148">
    <cfRule type="iconSet" priority="4726">
      <iconSet iconSet="3Arrows">
        <cfvo type="percent" val="0"/>
        <cfvo type="num" val="0.7"/>
        <cfvo type="num" val="1"/>
      </iconSet>
    </cfRule>
    <cfRule type="dataBar" priority="4727">
      <dataBar>
        <cfvo type="num" val="0"/>
        <cfvo type="num" val="1"/>
        <color theme="4" tint="0.79998168889431442"/>
      </dataBar>
      <extLst>
        <ext xmlns:x14="http://schemas.microsoft.com/office/spreadsheetml/2009/9/main" uri="{B025F937-C7B1-47D3-B67F-A62EFF666E3E}">
          <x14:id>{26613E6B-7E83-4F64-92EF-FAA93FC63C07}</x14:id>
        </ext>
      </extLst>
    </cfRule>
  </conditionalFormatting>
  <conditionalFormatting sqref="T150">
    <cfRule type="iconSet" priority="4601">
      <iconSet iconSet="3Arrows">
        <cfvo type="percent" val="0"/>
        <cfvo type="num" val="0.7"/>
        <cfvo type="num" val="1"/>
      </iconSet>
    </cfRule>
    <cfRule type="dataBar" priority="4602">
      <dataBar>
        <cfvo type="num" val="0"/>
        <cfvo type="num" val="1"/>
        <color theme="4" tint="0.79998168889431442"/>
      </dataBar>
      <extLst>
        <ext xmlns:x14="http://schemas.microsoft.com/office/spreadsheetml/2009/9/main" uri="{B025F937-C7B1-47D3-B67F-A62EFF666E3E}">
          <x14:id>{5D18FC3C-6D5C-432F-A39F-E2D4F55B1E58}</x14:id>
        </ext>
      </extLst>
    </cfRule>
  </conditionalFormatting>
  <conditionalFormatting sqref="T152">
    <cfRule type="iconSet" priority="4450">
      <iconSet iconSet="3Arrows">
        <cfvo type="percent" val="0"/>
        <cfvo type="num" val="0.7"/>
        <cfvo type="num" val="1"/>
      </iconSet>
    </cfRule>
    <cfRule type="dataBar" priority="4451">
      <dataBar>
        <cfvo type="num" val="0"/>
        <cfvo type="num" val="1"/>
        <color theme="4" tint="0.79998168889431442"/>
      </dataBar>
      <extLst>
        <ext xmlns:x14="http://schemas.microsoft.com/office/spreadsheetml/2009/9/main" uri="{B025F937-C7B1-47D3-B67F-A62EFF666E3E}">
          <x14:id>{A498E52B-AF80-4074-A0B1-4277E54594D3}</x14:id>
        </ext>
      </extLst>
    </cfRule>
  </conditionalFormatting>
  <conditionalFormatting sqref="T154">
    <cfRule type="iconSet" priority="3352">
      <iconSet iconSet="3Arrows">
        <cfvo type="percent" val="0"/>
        <cfvo type="num" val="0.7"/>
        <cfvo type="num" val="1"/>
      </iconSet>
    </cfRule>
    <cfRule type="dataBar" priority="3353">
      <dataBar>
        <cfvo type="num" val="0"/>
        <cfvo type="num" val="1"/>
        <color theme="4" tint="0.79998168889431442"/>
      </dataBar>
      <extLst>
        <ext xmlns:x14="http://schemas.microsoft.com/office/spreadsheetml/2009/9/main" uri="{B025F937-C7B1-47D3-B67F-A62EFF666E3E}">
          <x14:id>{609D976D-D933-4BF6-8A75-933D121BF0D1}</x14:id>
        </ext>
      </extLst>
    </cfRule>
  </conditionalFormatting>
  <conditionalFormatting sqref="T156">
    <cfRule type="iconSet" priority="5199">
      <iconSet iconSet="3Arrows">
        <cfvo type="percent" val="0"/>
        <cfvo type="num" val="0.7"/>
        <cfvo type="num" val="1"/>
      </iconSet>
    </cfRule>
    <cfRule type="dataBar" priority="5200">
      <dataBar>
        <cfvo type="num" val="0"/>
        <cfvo type="num" val="1"/>
        <color theme="4" tint="0.79998168889431442"/>
      </dataBar>
      <extLst>
        <ext xmlns:x14="http://schemas.microsoft.com/office/spreadsheetml/2009/9/main" uri="{B025F937-C7B1-47D3-B67F-A62EFF666E3E}">
          <x14:id>{C13863A2-4919-4370-A10D-8945EC28A046}</x14:id>
        </ext>
      </extLst>
    </cfRule>
  </conditionalFormatting>
  <conditionalFormatting sqref="T158">
    <cfRule type="iconSet" priority="4583">
      <iconSet iconSet="3Arrows">
        <cfvo type="percent" val="0"/>
        <cfvo type="num" val="0.7"/>
        <cfvo type="num" val="1"/>
      </iconSet>
    </cfRule>
    <cfRule type="dataBar" priority="4584">
      <dataBar>
        <cfvo type="num" val="0"/>
        <cfvo type="num" val="1"/>
        <color theme="4" tint="0.79998168889431442"/>
      </dataBar>
      <extLst>
        <ext xmlns:x14="http://schemas.microsoft.com/office/spreadsheetml/2009/9/main" uri="{B025F937-C7B1-47D3-B67F-A62EFF666E3E}">
          <x14:id>{42AA2F33-29A2-49C2-830F-31B6C8B4BE33}</x14:id>
        </ext>
      </extLst>
    </cfRule>
  </conditionalFormatting>
  <conditionalFormatting sqref="T160">
    <cfRule type="iconSet" priority="4593">
      <iconSet iconSet="3Arrows">
        <cfvo type="percent" val="0"/>
        <cfvo type="num" val="0.7"/>
        <cfvo type="num" val="1"/>
      </iconSet>
    </cfRule>
    <cfRule type="dataBar" priority="4594">
      <dataBar>
        <cfvo type="num" val="0"/>
        <cfvo type="num" val="1"/>
        <color theme="4" tint="0.79998168889431442"/>
      </dataBar>
      <extLst>
        <ext xmlns:x14="http://schemas.microsoft.com/office/spreadsheetml/2009/9/main" uri="{B025F937-C7B1-47D3-B67F-A62EFF666E3E}">
          <x14:id>{E51B3FC8-EF05-4009-B307-C0511DDF3C6C}</x14:id>
        </ext>
      </extLst>
    </cfRule>
  </conditionalFormatting>
  <conditionalFormatting sqref="T162">
    <cfRule type="iconSet" priority="4431">
      <iconSet iconSet="3Arrows">
        <cfvo type="percent" val="0"/>
        <cfvo type="num" val="0.7"/>
        <cfvo type="num" val="1"/>
      </iconSet>
    </cfRule>
    <cfRule type="dataBar" priority="4432">
      <dataBar>
        <cfvo type="num" val="0"/>
        <cfvo type="num" val="1"/>
        <color theme="4" tint="0.79998168889431442"/>
      </dataBar>
      <extLst>
        <ext xmlns:x14="http://schemas.microsoft.com/office/spreadsheetml/2009/9/main" uri="{B025F937-C7B1-47D3-B67F-A62EFF666E3E}">
          <x14:id>{139C7262-7809-4885-B07E-F72E4681F791}</x14:id>
        </ext>
      </extLst>
    </cfRule>
  </conditionalFormatting>
  <conditionalFormatting sqref="T164">
    <cfRule type="iconSet" priority="2159">
      <iconSet iconSet="3Arrows">
        <cfvo type="percent" val="0"/>
        <cfvo type="num" val="0.7"/>
        <cfvo type="num" val="1"/>
      </iconSet>
    </cfRule>
    <cfRule type="dataBar" priority="2160">
      <dataBar>
        <cfvo type="num" val="0"/>
        <cfvo type="num" val="1"/>
        <color theme="4" tint="0.79998168889431442"/>
      </dataBar>
      <extLst>
        <ext xmlns:x14="http://schemas.microsoft.com/office/spreadsheetml/2009/9/main" uri="{B025F937-C7B1-47D3-B67F-A62EFF666E3E}">
          <x14:id>{0307849E-BB22-4F9C-A7E1-530669D8B607}</x14:id>
        </ext>
      </extLst>
    </cfRule>
  </conditionalFormatting>
  <conditionalFormatting sqref="T166">
    <cfRule type="iconSet" priority="4497">
      <iconSet iconSet="3Arrows">
        <cfvo type="percent" val="0"/>
        <cfvo type="num" val="0.7"/>
        <cfvo type="num" val="1"/>
      </iconSet>
    </cfRule>
    <cfRule type="dataBar" priority="4498">
      <dataBar>
        <cfvo type="num" val="0"/>
        <cfvo type="num" val="1"/>
        <color theme="4" tint="0.79998168889431442"/>
      </dataBar>
      <extLst>
        <ext xmlns:x14="http://schemas.microsoft.com/office/spreadsheetml/2009/9/main" uri="{B025F937-C7B1-47D3-B67F-A62EFF666E3E}">
          <x14:id>{95C96FCC-41F4-402B-BD57-1A56FFFAE6F4}</x14:id>
        </ext>
      </extLst>
    </cfRule>
  </conditionalFormatting>
  <conditionalFormatting sqref="T168">
    <cfRule type="iconSet" priority="4575">
      <iconSet iconSet="3Arrows">
        <cfvo type="percent" val="0"/>
        <cfvo type="num" val="0.7"/>
        <cfvo type="num" val="1"/>
      </iconSet>
    </cfRule>
    <cfRule type="dataBar" priority="4576">
      <dataBar>
        <cfvo type="num" val="0"/>
        <cfvo type="num" val="1"/>
        <color theme="4" tint="0.79998168889431442"/>
      </dataBar>
      <extLst>
        <ext xmlns:x14="http://schemas.microsoft.com/office/spreadsheetml/2009/9/main" uri="{B025F937-C7B1-47D3-B67F-A62EFF666E3E}">
          <x14:id>{B275785A-3E2F-4A92-AEA6-CF635106BC03}</x14:id>
        </ext>
      </extLst>
    </cfRule>
  </conditionalFormatting>
  <conditionalFormatting sqref="T170">
    <cfRule type="iconSet" priority="4716">
      <iconSet iconSet="3Arrows">
        <cfvo type="percent" val="0"/>
        <cfvo type="num" val="0.7"/>
        <cfvo type="num" val="1"/>
      </iconSet>
    </cfRule>
    <cfRule type="dataBar" priority="4717">
      <dataBar>
        <cfvo type="num" val="0"/>
        <cfvo type="num" val="1"/>
        <color theme="4" tint="0.79998168889431442"/>
      </dataBar>
      <extLst>
        <ext xmlns:x14="http://schemas.microsoft.com/office/spreadsheetml/2009/9/main" uri="{B025F937-C7B1-47D3-B67F-A62EFF666E3E}">
          <x14:id>{116C5944-2DD5-479C-958D-99F2DF1AE308}</x14:id>
        </ext>
      </extLst>
    </cfRule>
  </conditionalFormatting>
  <conditionalFormatting sqref="T172">
    <cfRule type="iconSet" priority="4489">
      <iconSet iconSet="3Arrows">
        <cfvo type="percent" val="0"/>
        <cfvo type="num" val="0.7"/>
        <cfvo type="num" val="1"/>
      </iconSet>
    </cfRule>
    <cfRule type="dataBar" priority="4490">
      <dataBar>
        <cfvo type="num" val="0"/>
        <cfvo type="num" val="1"/>
        <color theme="4" tint="0.79998168889431442"/>
      </dataBar>
      <extLst>
        <ext xmlns:x14="http://schemas.microsoft.com/office/spreadsheetml/2009/9/main" uri="{B025F937-C7B1-47D3-B67F-A62EFF666E3E}">
          <x14:id>{4BCDDD90-8EC5-4E5E-9C68-7AAC88E82D52}</x14:id>
        </ext>
      </extLst>
    </cfRule>
  </conditionalFormatting>
  <conditionalFormatting sqref="T174">
    <cfRule type="iconSet" priority="4722">
      <iconSet iconSet="3Arrows">
        <cfvo type="percent" val="0"/>
        <cfvo type="num" val="0.7"/>
        <cfvo type="num" val="1"/>
      </iconSet>
    </cfRule>
    <cfRule type="dataBar" priority="4723">
      <dataBar>
        <cfvo type="num" val="0"/>
        <cfvo type="num" val="1"/>
        <color theme="4" tint="0.79998168889431442"/>
      </dataBar>
      <extLst>
        <ext xmlns:x14="http://schemas.microsoft.com/office/spreadsheetml/2009/9/main" uri="{B025F937-C7B1-47D3-B67F-A62EFF666E3E}">
          <x14:id>{82AAB844-93E1-4800-86B1-25C6659082EB}</x14:id>
        </ext>
      </extLst>
    </cfRule>
  </conditionalFormatting>
  <conditionalFormatting sqref="T176">
    <cfRule type="iconSet" priority="3167">
      <iconSet iconSet="3Arrows">
        <cfvo type="percent" val="0"/>
        <cfvo type="num" val="0.7"/>
        <cfvo type="num" val="1"/>
      </iconSet>
    </cfRule>
    <cfRule type="dataBar" priority="3168">
      <dataBar>
        <cfvo type="num" val="0"/>
        <cfvo type="num" val="1"/>
        <color theme="4" tint="0.79998168889431442"/>
      </dataBar>
      <extLst>
        <ext xmlns:x14="http://schemas.microsoft.com/office/spreadsheetml/2009/9/main" uri="{B025F937-C7B1-47D3-B67F-A62EFF666E3E}">
          <x14:id>{168E452C-B6ED-4D0C-A490-1BC863D48F2E}</x14:id>
        </ext>
      </extLst>
    </cfRule>
  </conditionalFormatting>
  <conditionalFormatting sqref="T180">
    <cfRule type="iconSet" priority="5088">
      <iconSet iconSet="3Arrows">
        <cfvo type="percent" val="0"/>
        <cfvo type="num" val="0.7"/>
        <cfvo type="num" val="1"/>
      </iconSet>
    </cfRule>
    <cfRule type="dataBar" priority="5089">
      <dataBar>
        <cfvo type="num" val="0"/>
        <cfvo type="num" val="1"/>
        <color theme="4" tint="0.79998168889431442"/>
      </dataBar>
      <extLst>
        <ext xmlns:x14="http://schemas.microsoft.com/office/spreadsheetml/2009/9/main" uri="{B025F937-C7B1-47D3-B67F-A62EFF666E3E}">
          <x14:id>{866CE37C-1968-4EB2-BFF6-9BD168333516}</x14:id>
        </ext>
      </extLst>
    </cfRule>
  </conditionalFormatting>
  <conditionalFormatting sqref="T182">
    <cfRule type="iconSet" priority="4559">
      <iconSet iconSet="3Arrows">
        <cfvo type="percent" val="0"/>
        <cfvo type="num" val="0.7"/>
        <cfvo type="num" val="1"/>
      </iconSet>
    </cfRule>
    <cfRule type="dataBar" priority="4560">
      <dataBar>
        <cfvo type="num" val="0"/>
        <cfvo type="num" val="1"/>
        <color theme="4" tint="0.79998168889431442"/>
      </dataBar>
      <extLst>
        <ext xmlns:x14="http://schemas.microsoft.com/office/spreadsheetml/2009/9/main" uri="{B025F937-C7B1-47D3-B67F-A62EFF666E3E}">
          <x14:id>{9F2F5BE5-42F1-418E-AFCB-84A9F00412D8}</x14:id>
        </ext>
      </extLst>
    </cfRule>
  </conditionalFormatting>
  <conditionalFormatting sqref="T184">
    <cfRule type="iconSet" priority="4569">
      <iconSet iconSet="3Arrows">
        <cfvo type="percent" val="0"/>
        <cfvo type="num" val="0.7"/>
        <cfvo type="num" val="1"/>
      </iconSet>
    </cfRule>
    <cfRule type="dataBar" priority="4570">
      <dataBar>
        <cfvo type="num" val="0"/>
        <cfvo type="num" val="1"/>
        <color theme="4" tint="0.79998168889431442"/>
      </dataBar>
      <extLst>
        <ext xmlns:x14="http://schemas.microsoft.com/office/spreadsheetml/2009/9/main" uri="{B025F937-C7B1-47D3-B67F-A62EFF666E3E}">
          <x14:id>{CE4E7D04-3F69-4DF1-84E3-3053F3AFC73D}</x14:id>
        </ext>
      </extLst>
    </cfRule>
  </conditionalFormatting>
  <conditionalFormatting sqref="T186">
    <cfRule type="iconSet" priority="3227">
      <iconSet iconSet="3Arrows">
        <cfvo type="percent" val="0"/>
        <cfvo type="num" val="0.7"/>
        <cfvo type="num" val="1"/>
      </iconSet>
    </cfRule>
    <cfRule type="dataBar" priority="3228">
      <dataBar>
        <cfvo type="num" val="0"/>
        <cfvo type="num" val="1"/>
        <color theme="4" tint="0.79998168889431442"/>
      </dataBar>
      <extLst>
        <ext xmlns:x14="http://schemas.microsoft.com/office/spreadsheetml/2009/9/main" uri="{B025F937-C7B1-47D3-B67F-A62EFF666E3E}">
          <x14:id>{AC347DD9-E40E-49F7-A095-F64D44E4B6DA}</x14:id>
        </ext>
      </extLst>
    </cfRule>
  </conditionalFormatting>
  <conditionalFormatting sqref="T188">
    <cfRule type="iconSet" priority="2973">
      <iconSet iconSet="3Arrows">
        <cfvo type="percent" val="0"/>
        <cfvo type="num" val="0.7"/>
        <cfvo type="num" val="1"/>
      </iconSet>
    </cfRule>
    <cfRule type="dataBar" priority="2974">
      <dataBar>
        <cfvo type="num" val="0"/>
        <cfvo type="num" val="1"/>
        <color theme="4" tint="0.79998168889431442"/>
      </dataBar>
      <extLst>
        <ext xmlns:x14="http://schemas.microsoft.com/office/spreadsheetml/2009/9/main" uri="{B025F937-C7B1-47D3-B67F-A62EFF666E3E}">
          <x14:id>{9C0981F6-BC33-4C31-BE36-F446A4132493}</x14:id>
        </ext>
      </extLst>
    </cfRule>
  </conditionalFormatting>
  <conditionalFormatting sqref="T190">
    <cfRule type="iconSet" priority="3213">
      <iconSet iconSet="3Arrows">
        <cfvo type="percent" val="0"/>
        <cfvo type="num" val="0.7"/>
        <cfvo type="num" val="1"/>
      </iconSet>
    </cfRule>
    <cfRule type="dataBar" priority="3214">
      <dataBar>
        <cfvo type="num" val="0"/>
        <cfvo type="num" val="1"/>
        <color theme="4" tint="0.79998168889431442"/>
      </dataBar>
      <extLst>
        <ext xmlns:x14="http://schemas.microsoft.com/office/spreadsheetml/2009/9/main" uri="{B025F937-C7B1-47D3-B67F-A62EFF666E3E}">
          <x14:id>{9B74C511-9432-4ED4-A645-151F2865CAC4}</x14:id>
        </ext>
      </extLst>
    </cfRule>
  </conditionalFormatting>
  <conditionalFormatting sqref="T192">
    <cfRule type="iconSet" priority="4464">
      <iconSet iconSet="3Arrows">
        <cfvo type="percent" val="0"/>
        <cfvo type="num" val="0.7"/>
        <cfvo type="num" val="1"/>
      </iconSet>
    </cfRule>
    <cfRule type="dataBar" priority="4465">
      <dataBar>
        <cfvo type="num" val="0"/>
        <cfvo type="num" val="1"/>
        <color theme="4" tint="0.79998168889431442"/>
      </dataBar>
      <extLst>
        <ext xmlns:x14="http://schemas.microsoft.com/office/spreadsheetml/2009/9/main" uri="{B025F937-C7B1-47D3-B67F-A62EFF666E3E}">
          <x14:id>{E25A9BD3-57C8-416D-A454-E739D7127C9B}</x14:id>
        </ext>
      </extLst>
    </cfRule>
  </conditionalFormatting>
  <conditionalFormatting sqref="T194">
    <cfRule type="iconSet" priority="4481">
      <iconSet iconSet="3Arrows">
        <cfvo type="percent" val="0"/>
        <cfvo type="num" val="0.7"/>
        <cfvo type="num" val="1"/>
      </iconSet>
    </cfRule>
    <cfRule type="dataBar" priority="4482">
      <dataBar>
        <cfvo type="num" val="0"/>
        <cfvo type="num" val="1"/>
        <color theme="4" tint="0.79998168889431442"/>
      </dataBar>
      <extLst>
        <ext xmlns:x14="http://schemas.microsoft.com/office/spreadsheetml/2009/9/main" uri="{B025F937-C7B1-47D3-B67F-A62EFF666E3E}">
          <x14:id>{8B70D831-1FAF-406F-92A6-E2D342094449}</x14:id>
        </ext>
      </extLst>
    </cfRule>
  </conditionalFormatting>
  <conditionalFormatting sqref="T196">
    <cfRule type="iconSet" priority="2451">
      <iconSet iconSet="3Arrows">
        <cfvo type="percent" val="0"/>
        <cfvo type="num" val="0.7"/>
        <cfvo type="num" val="1"/>
      </iconSet>
    </cfRule>
    <cfRule type="dataBar" priority="2452">
      <dataBar>
        <cfvo type="num" val="0"/>
        <cfvo type="num" val="1"/>
        <color theme="4" tint="0.79998168889431442"/>
      </dataBar>
      <extLst>
        <ext xmlns:x14="http://schemas.microsoft.com/office/spreadsheetml/2009/9/main" uri="{B025F937-C7B1-47D3-B67F-A62EFF666E3E}">
          <x14:id>{3241C1FC-BFEB-4EFA-8721-5D8905B6866C}</x14:id>
        </ext>
      </extLst>
    </cfRule>
  </conditionalFormatting>
  <conditionalFormatting sqref="T198">
    <cfRule type="iconSet" priority="3153">
      <iconSet iconSet="3Arrows">
        <cfvo type="percent" val="0"/>
        <cfvo type="num" val="0.7"/>
        <cfvo type="num" val="1"/>
      </iconSet>
    </cfRule>
    <cfRule type="dataBar" priority="3154">
      <dataBar>
        <cfvo type="num" val="0"/>
        <cfvo type="num" val="1"/>
        <color theme="4" tint="0.79998168889431442"/>
      </dataBar>
      <extLst>
        <ext xmlns:x14="http://schemas.microsoft.com/office/spreadsheetml/2009/9/main" uri="{B025F937-C7B1-47D3-B67F-A62EFF666E3E}">
          <x14:id>{F1504311-779D-4D14-8C7A-53F2D31C8ADD}</x14:id>
        </ext>
      </extLst>
    </cfRule>
  </conditionalFormatting>
  <conditionalFormatting sqref="T200">
    <cfRule type="iconSet" priority="4455">
      <iconSet iconSet="3Arrows">
        <cfvo type="percent" val="0"/>
        <cfvo type="num" val="0.7"/>
        <cfvo type="num" val="1"/>
      </iconSet>
    </cfRule>
    <cfRule type="dataBar" priority="4456">
      <dataBar>
        <cfvo type="num" val="0"/>
        <cfvo type="num" val="1"/>
        <color theme="4" tint="0.79998168889431442"/>
      </dataBar>
      <extLst>
        <ext xmlns:x14="http://schemas.microsoft.com/office/spreadsheetml/2009/9/main" uri="{B025F937-C7B1-47D3-B67F-A62EFF666E3E}">
          <x14:id>{377938B1-B2CD-4258-B704-08E37713A6A6}</x14:id>
        </ext>
      </extLst>
    </cfRule>
  </conditionalFormatting>
  <conditionalFormatting sqref="T202">
    <cfRule type="iconSet" priority="4474">
      <iconSet iconSet="3Arrows">
        <cfvo type="percent" val="0"/>
        <cfvo type="num" val="0.7"/>
        <cfvo type="num" val="1"/>
      </iconSet>
    </cfRule>
    <cfRule type="dataBar" priority="4475">
      <dataBar>
        <cfvo type="num" val="0"/>
        <cfvo type="num" val="1"/>
        <color theme="4" tint="0.79998168889431442"/>
      </dataBar>
      <extLst>
        <ext xmlns:x14="http://schemas.microsoft.com/office/spreadsheetml/2009/9/main" uri="{B025F937-C7B1-47D3-B67F-A62EFF666E3E}">
          <x14:id>{E62CBE9E-99DF-4F6E-B2C0-FF1E80A58503}</x14:id>
        </ext>
      </extLst>
    </cfRule>
  </conditionalFormatting>
  <conditionalFormatting sqref="T204">
    <cfRule type="iconSet" priority="3140">
      <iconSet iconSet="3Arrows">
        <cfvo type="percent" val="0"/>
        <cfvo type="num" val="0.7"/>
        <cfvo type="num" val="1"/>
      </iconSet>
    </cfRule>
    <cfRule type="dataBar" priority="3141">
      <dataBar>
        <cfvo type="num" val="0"/>
        <cfvo type="num" val="1"/>
        <color theme="4" tint="0.79998168889431442"/>
      </dataBar>
      <extLst>
        <ext xmlns:x14="http://schemas.microsoft.com/office/spreadsheetml/2009/9/main" uri="{B025F937-C7B1-47D3-B67F-A62EFF666E3E}">
          <x14:id>{6BF0A1BD-BA5F-4349-B34C-7DBC9A5BC0E7}</x14:id>
        </ext>
      </extLst>
    </cfRule>
  </conditionalFormatting>
  <conditionalFormatting sqref="T206">
    <cfRule type="iconSet" priority="2173">
      <iconSet iconSet="3Arrows">
        <cfvo type="percent" val="0"/>
        <cfvo type="num" val="0.7"/>
        <cfvo type="num" val="1"/>
      </iconSet>
    </cfRule>
    <cfRule type="dataBar" priority="2174">
      <dataBar>
        <cfvo type="num" val="0"/>
        <cfvo type="num" val="1"/>
        <color theme="4" tint="0.79998168889431442"/>
      </dataBar>
      <extLst>
        <ext xmlns:x14="http://schemas.microsoft.com/office/spreadsheetml/2009/9/main" uri="{B025F937-C7B1-47D3-B67F-A62EFF666E3E}">
          <x14:id>{233B8885-7E47-4D85-9ACD-5B4C425A75B9}</x14:id>
        </ext>
      </extLst>
    </cfRule>
  </conditionalFormatting>
  <conditionalFormatting sqref="T208">
    <cfRule type="iconSet" priority="2438">
      <iconSet iconSet="3Arrows">
        <cfvo type="percent" val="0"/>
        <cfvo type="num" val="0.7"/>
        <cfvo type="num" val="1"/>
      </iconSet>
    </cfRule>
    <cfRule type="dataBar" priority="2439">
      <dataBar>
        <cfvo type="num" val="0"/>
        <cfvo type="num" val="1"/>
        <color theme="4" tint="0.79998168889431442"/>
      </dataBar>
      <extLst>
        <ext xmlns:x14="http://schemas.microsoft.com/office/spreadsheetml/2009/9/main" uri="{B025F937-C7B1-47D3-B67F-A62EFF666E3E}">
          <x14:id>{729E3EC4-5BEF-40E6-9B5B-C6F0ECD3D95D}</x14:id>
        </ext>
      </extLst>
    </cfRule>
  </conditionalFormatting>
  <conditionalFormatting sqref="T210">
    <cfRule type="iconSet" priority="4550">
      <iconSet iconSet="3Arrows">
        <cfvo type="percent" val="0"/>
        <cfvo type="num" val="0.7"/>
        <cfvo type="num" val="1"/>
      </iconSet>
    </cfRule>
    <cfRule type="dataBar" priority="4551">
      <dataBar>
        <cfvo type="num" val="0"/>
        <cfvo type="num" val="1"/>
        <color theme="4" tint="0.79998168889431442"/>
      </dataBar>
      <extLst>
        <ext xmlns:x14="http://schemas.microsoft.com/office/spreadsheetml/2009/9/main" uri="{B025F937-C7B1-47D3-B67F-A62EFF666E3E}">
          <x14:id>{10070863-68F9-48FD-8992-95D730E57A2C}</x14:id>
        </ext>
      </extLst>
    </cfRule>
  </conditionalFormatting>
  <conditionalFormatting sqref="T212">
    <cfRule type="iconSet" priority="4971">
      <iconSet iconSet="3Arrows">
        <cfvo type="percent" val="0"/>
        <cfvo type="num" val="0.7"/>
        <cfvo type="num" val="1"/>
      </iconSet>
    </cfRule>
    <cfRule type="dataBar" priority="4972">
      <dataBar>
        <cfvo type="num" val="0"/>
        <cfvo type="num" val="1"/>
        <color theme="4" tint="0.79998168889431442"/>
      </dataBar>
      <extLst>
        <ext xmlns:x14="http://schemas.microsoft.com/office/spreadsheetml/2009/9/main" uri="{B025F937-C7B1-47D3-B67F-A62EFF666E3E}">
          <x14:id>{4B6137E2-73B2-4CC6-A49A-C5F34C913F76}</x14:id>
        </ext>
      </extLst>
    </cfRule>
  </conditionalFormatting>
  <conditionalFormatting sqref="T214">
    <cfRule type="iconSet" priority="3364">
      <iconSet iconSet="3Arrows">
        <cfvo type="percent" val="0"/>
        <cfvo type="num" val="0.7"/>
        <cfvo type="num" val="1"/>
      </iconSet>
    </cfRule>
    <cfRule type="dataBar" priority="3365">
      <dataBar>
        <cfvo type="num" val="0"/>
        <cfvo type="num" val="1"/>
        <color theme="4" tint="0.79998168889431442"/>
      </dataBar>
      <extLst>
        <ext xmlns:x14="http://schemas.microsoft.com/office/spreadsheetml/2009/9/main" uri="{B025F937-C7B1-47D3-B67F-A62EFF666E3E}">
          <x14:id>{C4B3F95F-E441-43E0-85B3-AC461FA18A20}</x14:id>
        </ext>
      </extLst>
    </cfRule>
  </conditionalFormatting>
  <conditionalFormatting sqref="T216">
    <cfRule type="iconSet" priority="3264">
      <iconSet iconSet="3Arrows">
        <cfvo type="percent" val="0"/>
        <cfvo type="num" val="0.7"/>
        <cfvo type="num" val="1"/>
      </iconSet>
    </cfRule>
    <cfRule type="dataBar" priority="3265">
      <dataBar>
        <cfvo type="num" val="0"/>
        <cfvo type="num" val="1"/>
        <color theme="4" tint="0.79998168889431442"/>
      </dataBar>
      <extLst>
        <ext xmlns:x14="http://schemas.microsoft.com/office/spreadsheetml/2009/9/main" uri="{B025F937-C7B1-47D3-B67F-A62EFF666E3E}">
          <x14:id>{2074DE67-C1B4-4775-8253-BFE30CCC65A1}</x14:id>
        </ext>
      </extLst>
    </cfRule>
  </conditionalFormatting>
  <conditionalFormatting sqref="T218">
    <cfRule type="iconSet" priority="2337">
      <iconSet iconSet="3Arrows">
        <cfvo type="percent" val="0"/>
        <cfvo type="num" val="0.7"/>
        <cfvo type="num" val="1"/>
      </iconSet>
    </cfRule>
    <cfRule type="dataBar" priority="2338">
      <dataBar>
        <cfvo type="num" val="0"/>
        <cfvo type="num" val="1"/>
        <color theme="4" tint="0.79998168889431442"/>
      </dataBar>
      <extLst>
        <ext xmlns:x14="http://schemas.microsoft.com/office/spreadsheetml/2009/9/main" uri="{B025F937-C7B1-47D3-B67F-A62EFF666E3E}">
          <x14:id>{BB276145-46E9-4435-9D97-5614745B1083}</x14:id>
        </ext>
      </extLst>
    </cfRule>
  </conditionalFormatting>
  <conditionalFormatting sqref="T220">
    <cfRule type="iconSet" priority="5031">
      <iconSet iconSet="3Arrows">
        <cfvo type="percent" val="0"/>
        <cfvo type="num" val="0.7"/>
        <cfvo type="num" val="1"/>
      </iconSet>
    </cfRule>
    <cfRule type="dataBar" priority="5032">
      <dataBar>
        <cfvo type="num" val="0"/>
        <cfvo type="num" val="1"/>
        <color theme="4" tint="0.79998168889431442"/>
      </dataBar>
      <extLst>
        <ext xmlns:x14="http://schemas.microsoft.com/office/spreadsheetml/2009/9/main" uri="{B025F937-C7B1-47D3-B67F-A62EFF666E3E}">
          <x14:id>{FFE9D05C-3CBC-479E-8907-2077CA4CA2A4}</x14:id>
        </ext>
      </extLst>
    </cfRule>
  </conditionalFormatting>
  <conditionalFormatting sqref="T222">
    <cfRule type="iconSet" priority="2323">
      <iconSet iconSet="3Arrows">
        <cfvo type="percent" val="0"/>
        <cfvo type="num" val="0.7"/>
        <cfvo type="num" val="1"/>
      </iconSet>
    </cfRule>
    <cfRule type="dataBar" priority="2324">
      <dataBar>
        <cfvo type="num" val="0"/>
        <cfvo type="num" val="1"/>
        <color theme="4" tint="0.79998168889431442"/>
      </dataBar>
      <extLst>
        <ext xmlns:x14="http://schemas.microsoft.com/office/spreadsheetml/2009/9/main" uri="{B025F937-C7B1-47D3-B67F-A62EFF666E3E}">
          <x14:id>{B391A28C-9E5C-4AEB-937A-5C079DE18F97}</x14:id>
        </ext>
      </extLst>
    </cfRule>
  </conditionalFormatting>
  <conditionalFormatting sqref="T226">
    <cfRule type="iconSet" priority="2020">
      <iconSet iconSet="3Arrows">
        <cfvo type="percent" val="0"/>
        <cfvo type="num" val="0.7"/>
        <cfvo type="num" val="1"/>
      </iconSet>
    </cfRule>
    <cfRule type="dataBar" priority="2021">
      <dataBar>
        <cfvo type="num" val="0"/>
        <cfvo type="num" val="1"/>
        <color theme="4" tint="0.79998168889431442"/>
      </dataBar>
      <extLst>
        <ext xmlns:x14="http://schemas.microsoft.com/office/spreadsheetml/2009/9/main" uri="{B025F937-C7B1-47D3-B67F-A62EFF666E3E}">
          <x14:id>{965A5B05-F9A2-45DF-945B-3F63DA9BDC24}</x14:id>
        </ext>
      </extLst>
    </cfRule>
  </conditionalFormatting>
  <conditionalFormatting sqref="T229">
    <cfRule type="iconSet" priority="387">
      <iconSet iconSet="3Arrows">
        <cfvo type="percent" val="0"/>
        <cfvo type="num" val="0.7"/>
        <cfvo type="num" val="1"/>
      </iconSet>
    </cfRule>
    <cfRule type="dataBar" priority="388">
      <dataBar>
        <cfvo type="num" val="0"/>
        <cfvo type="num" val="1"/>
        <color theme="4" tint="0.79998168889431442"/>
      </dataBar>
      <extLst>
        <ext xmlns:x14="http://schemas.microsoft.com/office/spreadsheetml/2009/9/main" uri="{B025F937-C7B1-47D3-B67F-A62EFF666E3E}">
          <x14:id>{5DA82F22-731C-4011-99FE-06F3260D5AF7}</x14:id>
        </ext>
      </extLst>
    </cfRule>
  </conditionalFormatting>
  <conditionalFormatting sqref="T233">
    <cfRule type="iconSet" priority="5130">
      <iconSet iconSet="3Arrows">
        <cfvo type="percent" val="0"/>
        <cfvo type="num" val="0.7"/>
        <cfvo type="num" val="1"/>
      </iconSet>
    </cfRule>
    <cfRule type="dataBar" priority="5131">
      <dataBar>
        <cfvo type="num" val="0"/>
        <cfvo type="num" val="1"/>
        <color theme="4" tint="0.79998168889431442"/>
      </dataBar>
      <extLst>
        <ext xmlns:x14="http://schemas.microsoft.com/office/spreadsheetml/2009/9/main" uri="{B025F937-C7B1-47D3-B67F-A62EFF666E3E}">
          <x14:id>{8E70B4F4-2472-470D-A7BE-72B47609F9CE}</x14:id>
        </ext>
      </extLst>
    </cfRule>
  </conditionalFormatting>
  <conditionalFormatting sqref="T235">
    <cfRule type="iconSet" priority="5116">
      <iconSet iconSet="3Arrows">
        <cfvo type="percent" val="0"/>
        <cfvo type="num" val="0.7"/>
        <cfvo type="num" val="1"/>
      </iconSet>
    </cfRule>
    <cfRule type="dataBar" priority="5117">
      <dataBar>
        <cfvo type="num" val="0"/>
        <cfvo type="num" val="1"/>
        <color theme="4" tint="0.79998168889431442"/>
      </dataBar>
      <extLst>
        <ext xmlns:x14="http://schemas.microsoft.com/office/spreadsheetml/2009/9/main" uri="{B025F937-C7B1-47D3-B67F-A62EFF666E3E}">
          <x14:id>{BF1346BC-ECC2-472B-845A-B0464BC2C85E}</x14:id>
        </ext>
      </extLst>
    </cfRule>
  </conditionalFormatting>
  <conditionalFormatting sqref="T237">
    <cfRule type="iconSet" priority="4518">
      <iconSet iconSet="3Arrows">
        <cfvo type="percent" val="0"/>
        <cfvo type="num" val="0.7"/>
        <cfvo type="num" val="1"/>
      </iconSet>
    </cfRule>
    <cfRule type="dataBar" priority="4519">
      <dataBar>
        <cfvo type="num" val="0"/>
        <cfvo type="num" val="1"/>
        <color theme="4" tint="0.79998168889431442"/>
      </dataBar>
      <extLst>
        <ext xmlns:x14="http://schemas.microsoft.com/office/spreadsheetml/2009/9/main" uri="{B025F937-C7B1-47D3-B67F-A62EFF666E3E}">
          <x14:id>{0F004F63-8B26-433B-911D-8E9063E808AE}</x14:id>
        </ext>
      </extLst>
    </cfRule>
  </conditionalFormatting>
  <conditionalFormatting sqref="T239">
    <cfRule type="iconSet" priority="4414">
      <iconSet iconSet="3Arrows">
        <cfvo type="percent" val="0"/>
        <cfvo type="num" val="0.7"/>
        <cfvo type="num" val="1"/>
      </iconSet>
    </cfRule>
    <cfRule type="dataBar" priority="4415">
      <dataBar>
        <cfvo type="num" val="0"/>
        <cfvo type="num" val="1"/>
        <color theme="4" tint="0.79998168889431442"/>
      </dataBar>
      <extLst>
        <ext xmlns:x14="http://schemas.microsoft.com/office/spreadsheetml/2009/9/main" uri="{B025F937-C7B1-47D3-B67F-A62EFF666E3E}">
          <x14:id>{3772B47B-D47F-43B8-9DDC-A0ABC889707E}</x14:id>
        </ext>
      </extLst>
    </cfRule>
  </conditionalFormatting>
  <conditionalFormatting sqref="T241">
    <cfRule type="iconSet" priority="4406">
      <iconSet iconSet="3Arrows">
        <cfvo type="percent" val="0"/>
        <cfvo type="num" val="0.7"/>
        <cfvo type="num" val="1"/>
      </iconSet>
    </cfRule>
    <cfRule type="dataBar" priority="4407">
      <dataBar>
        <cfvo type="num" val="0"/>
        <cfvo type="num" val="1"/>
        <color theme="4" tint="0.79998168889431442"/>
      </dataBar>
      <extLst>
        <ext xmlns:x14="http://schemas.microsoft.com/office/spreadsheetml/2009/9/main" uri="{B025F937-C7B1-47D3-B67F-A62EFF666E3E}">
          <x14:id>{1C2EE2B8-B12D-49E7-A365-173C2A258878}</x14:id>
        </ext>
      </extLst>
    </cfRule>
  </conditionalFormatting>
  <conditionalFormatting sqref="T243">
    <cfRule type="iconSet" priority="4398">
      <iconSet iconSet="3Arrows">
        <cfvo type="percent" val="0"/>
        <cfvo type="num" val="0.7"/>
        <cfvo type="num" val="1"/>
      </iconSet>
    </cfRule>
    <cfRule type="dataBar" priority="4399">
      <dataBar>
        <cfvo type="num" val="0"/>
        <cfvo type="num" val="1"/>
        <color theme="4" tint="0.79998168889431442"/>
      </dataBar>
      <extLst>
        <ext xmlns:x14="http://schemas.microsoft.com/office/spreadsheetml/2009/9/main" uri="{B025F937-C7B1-47D3-B67F-A62EFF666E3E}">
          <x14:id>{FA6090A6-5F7F-48DD-9A29-16A1560ED332}</x14:id>
        </ext>
      </extLst>
    </cfRule>
  </conditionalFormatting>
  <conditionalFormatting sqref="T245">
    <cfRule type="iconSet" priority="3474">
      <iconSet iconSet="3Arrows">
        <cfvo type="percent" val="0"/>
        <cfvo type="num" val="0.7"/>
        <cfvo type="num" val="1"/>
      </iconSet>
    </cfRule>
    <cfRule type="dataBar" priority="3475">
      <dataBar>
        <cfvo type="num" val="0"/>
        <cfvo type="num" val="1"/>
        <color theme="4" tint="0.79998168889431442"/>
      </dataBar>
      <extLst>
        <ext xmlns:x14="http://schemas.microsoft.com/office/spreadsheetml/2009/9/main" uri="{B025F937-C7B1-47D3-B67F-A62EFF666E3E}">
          <x14:id>{42B08EB3-87CF-49B3-AA19-96F796A8C372}</x14:id>
        </ext>
      </extLst>
    </cfRule>
  </conditionalFormatting>
  <conditionalFormatting sqref="T247">
    <cfRule type="iconSet" priority="2015">
      <iconSet iconSet="3Arrows">
        <cfvo type="percent" val="0"/>
        <cfvo type="num" val="0.7"/>
        <cfvo type="num" val="1"/>
      </iconSet>
    </cfRule>
    <cfRule type="dataBar" priority="2016">
      <dataBar>
        <cfvo type="num" val="0"/>
        <cfvo type="num" val="1"/>
        <color theme="4" tint="0.79998168889431442"/>
      </dataBar>
      <extLst>
        <ext xmlns:x14="http://schemas.microsoft.com/office/spreadsheetml/2009/9/main" uri="{B025F937-C7B1-47D3-B67F-A62EFF666E3E}">
          <x14:id>{BB80D7C5-C408-432B-86DC-6A61CBCAFA5F}</x14:id>
        </ext>
      </extLst>
    </cfRule>
  </conditionalFormatting>
  <conditionalFormatting sqref="T249">
    <cfRule type="iconSet" priority="3448">
      <iconSet iconSet="3Arrows">
        <cfvo type="percent" val="0"/>
        <cfvo type="num" val="0.7"/>
        <cfvo type="num" val="1"/>
      </iconSet>
    </cfRule>
    <cfRule type="dataBar" priority="3449">
      <dataBar>
        <cfvo type="num" val="0"/>
        <cfvo type="num" val="1"/>
        <color theme="4" tint="0.79998168889431442"/>
      </dataBar>
      <extLst>
        <ext xmlns:x14="http://schemas.microsoft.com/office/spreadsheetml/2009/9/main" uri="{B025F937-C7B1-47D3-B67F-A62EFF666E3E}">
          <x14:id>{C2B7BAA2-2028-4B0F-BF33-BB07E4850C38}</x14:id>
        </ext>
      </extLst>
    </cfRule>
  </conditionalFormatting>
  <conditionalFormatting sqref="T251">
    <cfRule type="iconSet" priority="2370">
      <iconSet iconSet="3Arrows">
        <cfvo type="percent" val="0"/>
        <cfvo type="num" val="0.7"/>
        <cfvo type="num" val="1"/>
      </iconSet>
    </cfRule>
    <cfRule type="dataBar" priority="2371">
      <dataBar>
        <cfvo type="num" val="0"/>
        <cfvo type="num" val="1"/>
        <color theme="4" tint="0.79998168889431442"/>
      </dataBar>
      <extLst>
        <ext xmlns:x14="http://schemas.microsoft.com/office/spreadsheetml/2009/9/main" uri="{B025F937-C7B1-47D3-B67F-A62EFF666E3E}">
          <x14:id>{1D6E2B86-58AE-4676-9739-3D600C10E9E3}</x14:id>
        </ext>
      </extLst>
    </cfRule>
  </conditionalFormatting>
  <conditionalFormatting sqref="T253">
    <cfRule type="iconSet" priority="1977">
      <iconSet iconSet="3Arrows">
        <cfvo type="percent" val="0"/>
        <cfvo type="num" val="0.7"/>
        <cfvo type="num" val="1"/>
      </iconSet>
    </cfRule>
    <cfRule type="dataBar" priority="1978">
      <dataBar>
        <cfvo type="num" val="0"/>
        <cfvo type="num" val="1"/>
        <color theme="4" tint="0.79998168889431442"/>
      </dataBar>
      <extLst>
        <ext xmlns:x14="http://schemas.microsoft.com/office/spreadsheetml/2009/9/main" uri="{B025F937-C7B1-47D3-B67F-A62EFF666E3E}">
          <x14:id>{17750FCC-95E7-426C-8808-4474752012AD}</x14:id>
        </ext>
      </extLst>
    </cfRule>
  </conditionalFormatting>
  <conditionalFormatting sqref="T255">
    <cfRule type="iconSet" priority="5023">
      <iconSet iconSet="3Arrows">
        <cfvo type="percent" val="0"/>
        <cfvo type="num" val="0.7"/>
        <cfvo type="num" val="1"/>
      </iconSet>
    </cfRule>
    <cfRule type="dataBar" priority="5024">
      <dataBar>
        <cfvo type="num" val="0"/>
        <cfvo type="num" val="1"/>
        <color theme="4" tint="0.79998168889431442"/>
      </dataBar>
      <extLst>
        <ext xmlns:x14="http://schemas.microsoft.com/office/spreadsheetml/2009/9/main" uri="{B025F937-C7B1-47D3-B67F-A62EFF666E3E}">
          <x14:id>{0BEFD6C8-649D-46BD-B38E-AD2058142087}</x14:id>
        </ext>
      </extLst>
    </cfRule>
  </conditionalFormatting>
  <conditionalFormatting sqref="T257">
    <cfRule type="iconSet" priority="1875">
      <iconSet iconSet="3Arrows">
        <cfvo type="percent" val="0"/>
        <cfvo type="num" val="0.7"/>
        <cfvo type="num" val="1"/>
      </iconSet>
    </cfRule>
    <cfRule type="dataBar" priority="1876">
      <dataBar>
        <cfvo type="num" val="0"/>
        <cfvo type="num" val="1"/>
        <color theme="4" tint="0.79998168889431442"/>
      </dataBar>
      <extLst>
        <ext xmlns:x14="http://schemas.microsoft.com/office/spreadsheetml/2009/9/main" uri="{B025F937-C7B1-47D3-B67F-A62EFF666E3E}">
          <x14:id>{CF3CA095-A361-4D19-A60B-FB042DE4AF14}</x14:id>
        </ext>
      </extLst>
    </cfRule>
  </conditionalFormatting>
  <conditionalFormatting sqref="T259">
    <cfRule type="iconSet" priority="1859">
      <iconSet iconSet="3Arrows">
        <cfvo type="percent" val="0"/>
        <cfvo type="num" val="0.7"/>
        <cfvo type="num" val="1"/>
      </iconSet>
    </cfRule>
    <cfRule type="dataBar" priority="1860">
      <dataBar>
        <cfvo type="num" val="0"/>
        <cfvo type="num" val="1"/>
        <color theme="4" tint="0.79998168889431442"/>
      </dataBar>
      <extLst>
        <ext xmlns:x14="http://schemas.microsoft.com/office/spreadsheetml/2009/9/main" uri="{B025F937-C7B1-47D3-B67F-A62EFF666E3E}">
          <x14:id>{DD810F3C-968A-446C-8B1E-D1566934923D}</x14:id>
        </ext>
      </extLst>
    </cfRule>
  </conditionalFormatting>
  <conditionalFormatting sqref="T261">
    <cfRule type="iconSet" priority="1449">
      <iconSet iconSet="3Arrows">
        <cfvo type="percent" val="0"/>
        <cfvo type="num" val="0.7"/>
        <cfvo type="num" val="1"/>
      </iconSet>
    </cfRule>
    <cfRule type="dataBar" priority="1450">
      <dataBar>
        <cfvo type="num" val="0"/>
        <cfvo type="num" val="1"/>
        <color theme="4" tint="0.79998168889431442"/>
      </dataBar>
      <extLst>
        <ext xmlns:x14="http://schemas.microsoft.com/office/spreadsheetml/2009/9/main" uri="{B025F937-C7B1-47D3-B67F-A62EFF666E3E}">
          <x14:id>{A074FA4B-6993-4A68-83E5-768C24071F68}</x14:id>
        </ext>
      </extLst>
    </cfRule>
  </conditionalFormatting>
  <conditionalFormatting sqref="T263">
    <cfRule type="iconSet" priority="448">
      <iconSet iconSet="3Arrows">
        <cfvo type="percent" val="0"/>
        <cfvo type="num" val="0.7"/>
        <cfvo type="num" val="1"/>
      </iconSet>
    </cfRule>
    <cfRule type="dataBar" priority="449">
      <dataBar>
        <cfvo type="num" val="0"/>
        <cfvo type="num" val="1"/>
        <color theme="4" tint="0.79998168889431442"/>
      </dataBar>
      <extLst>
        <ext xmlns:x14="http://schemas.microsoft.com/office/spreadsheetml/2009/9/main" uri="{B025F937-C7B1-47D3-B67F-A62EFF666E3E}">
          <x14:id>{155239FA-27B3-46EB-8261-68FC71CCE2C1}</x14:id>
        </ext>
      </extLst>
    </cfRule>
  </conditionalFormatting>
  <conditionalFormatting sqref="T265">
    <cfRule type="iconSet" priority="351">
      <iconSet iconSet="3Arrows">
        <cfvo type="percent" val="0"/>
        <cfvo type="num" val="0.7"/>
        <cfvo type="num" val="1"/>
      </iconSet>
    </cfRule>
    <cfRule type="dataBar" priority="352">
      <dataBar>
        <cfvo type="num" val="0"/>
        <cfvo type="num" val="1"/>
        <color theme="4" tint="0.79998168889431442"/>
      </dataBar>
      <extLst>
        <ext xmlns:x14="http://schemas.microsoft.com/office/spreadsheetml/2009/9/main" uri="{B025F937-C7B1-47D3-B67F-A62EFF666E3E}">
          <x14:id>{79A239A2-9BC5-451A-BB8F-8F29A07A07D3}</x14:id>
        </ext>
      </extLst>
    </cfRule>
  </conditionalFormatting>
  <conditionalFormatting sqref="T267">
    <cfRule type="iconSet" priority="335">
      <iconSet iconSet="3Arrows">
        <cfvo type="percent" val="0"/>
        <cfvo type="num" val="0.7"/>
        <cfvo type="num" val="1"/>
      </iconSet>
    </cfRule>
    <cfRule type="dataBar" priority="336">
      <dataBar>
        <cfvo type="num" val="0"/>
        <cfvo type="num" val="1"/>
        <color theme="4" tint="0.79998168889431442"/>
      </dataBar>
      <extLst>
        <ext xmlns:x14="http://schemas.microsoft.com/office/spreadsheetml/2009/9/main" uri="{B025F937-C7B1-47D3-B67F-A62EFF666E3E}">
          <x14:id>{FA6DEB8D-55DD-4602-B8B5-5F9A1C666818}</x14:id>
        </ext>
      </extLst>
    </cfRule>
  </conditionalFormatting>
  <conditionalFormatting sqref="T269">
    <cfRule type="iconSet" priority="1463">
      <iconSet iconSet="3Arrows">
        <cfvo type="percent" val="0"/>
        <cfvo type="num" val="0.7"/>
        <cfvo type="num" val="1"/>
      </iconSet>
    </cfRule>
    <cfRule type="dataBar" priority="1464">
      <dataBar>
        <cfvo type="num" val="0"/>
        <cfvo type="num" val="1"/>
        <color theme="4" tint="0.79998168889431442"/>
      </dataBar>
      <extLst>
        <ext xmlns:x14="http://schemas.microsoft.com/office/spreadsheetml/2009/9/main" uri="{B025F937-C7B1-47D3-B67F-A62EFF666E3E}">
          <x14:id>{5D7AEC86-BFB7-49EF-9269-B1A9603AB9B1}</x14:id>
        </ext>
      </extLst>
    </cfRule>
  </conditionalFormatting>
  <conditionalFormatting sqref="T271">
    <cfRule type="iconSet" priority="319">
      <iconSet iconSet="3Arrows">
        <cfvo type="percent" val="0"/>
        <cfvo type="num" val="0.7"/>
        <cfvo type="num" val="1"/>
      </iconSet>
    </cfRule>
    <cfRule type="dataBar" priority="320">
      <dataBar>
        <cfvo type="num" val="0"/>
        <cfvo type="num" val="1"/>
        <color theme="4" tint="0.79998168889431442"/>
      </dataBar>
      <extLst>
        <ext xmlns:x14="http://schemas.microsoft.com/office/spreadsheetml/2009/9/main" uri="{B025F937-C7B1-47D3-B67F-A62EFF666E3E}">
          <x14:id>{5072F268-6FBA-496E-979B-E556FFAC3A2F}</x14:id>
        </ext>
      </extLst>
    </cfRule>
  </conditionalFormatting>
  <conditionalFormatting sqref="T273">
    <cfRule type="iconSet" priority="464">
      <iconSet iconSet="3Arrows">
        <cfvo type="percent" val="0"/>
        <cfvo type="num" val="0.7"/>
        <cfvo type="num" val="1"/>
      </iconSet>
    </cfRule>
    <cfRule type="dataBar" priority="465">
      <dataBar>
        <cfvo type="num" val="0"/>
        <cfvo type="num" val="1"/>
        <color theme="4" tint="0.79998168889431442"/>
      </dataBar>
      <extLst>
        <ext xmlns:x14="http://schemas.microsoft.com/office/spreadsheetml/2009/9/main" uri="{B025F937-C7B1-47D3-B67F-A62EFF666E3E}">
          <x14:id>{21D837A1-1D2A-42EC-B0E2-7BC39037B830}</x14:id>
        </ext>
      </extLst>
    </cfRule>
  </conditionalFormatting>
  <conditionalFormatting sqref="T275">
    <cfRule type="iconSet" priority="1893">
      <iconSet iconSet="3Arrows">
        <cfvo type="percent" val="0"/>
        <cfvo type="num" val="0.7"/>
        <cfvo type="num" val="1"/>
      </iconSet>
    </cfRule>
    <cfRule type="dataBar" priority="1894">
      <dataBar>
        <cfvo type="num" val="0"/>
        <cfvo type="num" val="1"/>
        <color theme="4" tint="0.79998168889431442"/>
      </dataBar>
      <extLst>
        <ext xmlns:x14="http://schemas.microsoft.com/office/spreadsheetml/2009/9/main" uri="{B025F937-C7B1-47D3-B67F-A62EFF666E3E}">
          <x14:id>{54BDC715-A6BB-4459-9895-F826E68BB0EE}</x14:id>
        </ext>
      </extLst>
    </cfRule>
  </conditionalFormatting>
  <conditionalFormatting sqref="T278">
    <cfRule type="iconSet" priority="5114">
      <iconSet iconSet="3Arrows">
        <cfvo type="percent" val="0"/>
        <cfvo type="num" val="0.7"/>
        <cfvo type="num" val="1"/>
      </iconSet>
    </cfRule>
    <cfRule type="dataBar" priority="5115">
      <dataBar>
        <cfvo type="num" val="0"/>
        <cfvo type="num" val="1"/>
        <color theme="4" tint="0.79998168889431442"/>
      </dataBar>
      <extLst>
        <ext xmlns:x14="http://schemas.microsoft.com/office/spreadsheetml/2009/9/main" uri="{B025F937-C7B1-47D3-B67F-A62EFF666E3E}">
          <x14:id>{479B6F52-5466-401A-A7A4-DD41B4D20CC5}</x14:id>
        </ext>
      </extLst>
    </cfRule>
  </conditionalFormatting>
  <conditionalFormatting sqref="T280 T296">
    <cfRule type="iconSet" priority="5185">
      <iconSet iconSet="3Arrows">
        <cfvo type="percent" val="0"/>
        <cfvo type="num" val="0.7"/>
        <cfvo type="num" val="1"/>
      </iconSet>
    </cfRule>
    <cfRule type="dataBar" priority="5186">
      <dataBar>
        <cfvo type="num" val="0"/>
        <cfvo type="num" val="1"/>
        <color theme="4" tint="0.79998168889431442"/>
      </dataBar>
      <extLst>
        <ext xmlns:x14="http://schemas.microsoft.com/office/spreadsheetml/2009/9/main" uri="{B025F937-C7B1-47D3-B67F-A62EFF666E3E}">
          <x14:id>{FB21201C-1C0B-4063-8AAB-3DA11A3AC42B}</x14:id>
        </ext>
      </extLst>
    </cfRule>
  </conditionalFormatting>
  <conditionalFormatting sqref="T282">
    <cfRule type="iconSet" priority="1831">
      <iconSet iconSet="3Arrows">
        <cfvo type="percent" val="0"/>
        <cfvo type="num" val="0.7"/>
        <cfvo type="num" val="1"/>
      </iconSet>
    </cfRule>
    <cfRule type="dataBar" priority="1832">
      <dataBar>
        <cfvo type="num" val="0"/>
        <cfvo type="num" val="1"/>
        <color theme="4" tint="0.79998168889431442"/>
      </dataBar>
      <extLst>
        <ext xmlns:x14="http://schemas.microsoft.com/office/spreadsheetml/2009/9/main" uri="{B025F937-C7B1-47D3-B67F-A62EFF666E3E}">
          <x14:id>{E3459D14-B05E-4401-A82E-4E91A5B8B1B5}</x14:id>
        </ext>
      </extLst>
    </cfRule>
  </conditionalFormatting>
  <conditionalFormatting sqref="T284">
    <cfRule type="iconSet" priority="1845">
      <iconSet iconSet="3Arrows">
        <cfvo type="percent" val="0"/>
        <cfvo type="num" val="0.7"/>
        <cfvo type="num" val="1"/>
      </iconSet>
    </cfRule>
    <cfRule type="dataBar" priority="1846">
      <dataBar>
        <cfvo type="num" val="0"/>
        <cfvo type="num" val="1"/>
        <color theme="4" tint="0.79998168889431442"/>
      </dataBar>
      <extLst>
        <ext xmlns:x14="http://schemas.microsoft.com/office/spreadsheetml/2009/9/main" uri="{B025F937-C7B1-47D3-B67F-A62EFF666E3E}">
          <x14:id>{8CBDD263-072D-4158-95D6-EAF5100D714E}</x14:id>
        </ext>
      </extLst>
    </cfRule>
  </conditionalFormatting>
  <conditionalFormatting sqref="T286">
    <cfRule type="iconSet" priority="1420">
      <iconSet iconSet="3Arrows">
        <cfvo type="percent" val="0"/>
        <cfvo type="num" val="0.7"/>
        <cfvo type="num" val="1"/>
      </iconSet>
    </cfRule>
    <cfRule type="dataBar" priority="1421">
      <dataBar>
        <cfvo type="num" val="0"/>
        <cfvo type="num" val="1"/>
        <color theme="4" tint="0.79998168889431442"/>
      </dataBar>
      <extLst>
        <ext xmlns:x14="http://schemas.microsoft.com/office/spreadsheetml/2009/9/main" uri="{B025F937-C7B1-47D3-B67F-A62EFF666E3E}">
          <x14:id>{A9723BC0-AD6A-4475-AD0A-067592A78842}</x14:id>
        </ext>
      </extLst>
    </cfRule>
  </conditionalFormatting>
  <conditionalFormatting sqref="T288">
    <cfRule type="iconSet" priority="1406">
      <iconSet iconSet="3Arrows">
        <cfvo type="percent" val="0"/>
        <cfvo type="num" val="0.7"/>
        <cfvo type="num" val="1"/>
      </iconSet>
    </cfRule>
    <cfRule type="dataBar" priority="1407">
      <dataBar>
        <cfvo type="num" val="0"/>
        <cfvo type="num" val="1"/>
        <color theme="4" tint="0.79998168889431442"/>
      </dataBar>
      <extLst>
        <ext xmlns:x14="http://schemas.microsoft.com/office/spreadsheetml/2009/9/main" uri="{B025F937-C7B1-47D3-B67F-A62EFF666E3E}">
          <x14:id>{B9ECE53A-4645-40D8-8548-8D41F31A48AD}</x14:id>
        </ext>
      </extLst>
    </cfRule>
  </conditionalFormatting>
  <conditionalFormatting sqref="T290">
    <cfRule type="iconSet" priority="1434">
      <iconSet iconSet="3Arrows">
        <cfvo type="percent" val="0"/>
        <cfvo type="num" val="0.7"/>
        <cfvo type="num" val="1"/>
      </iconSet>
    </cfRule>
    <cfRule type="dataBar" priority="1435">
      <dataBar>
        <cfvo type="num" val="0"/>
        <cfvo type="num" val="1"/>
        <color theme="4" tint="0.79998168889431442"/>
      </dataBar>
      <extLst>
        <ext xmlns:x14="http://schemas.microsoft.com/office/spreadsheetml/2009/9/main" uri="{B025F937-C7B1-47D3-B67F-A62EFF666E3E}">
          <x14:id>{6B54ADF8-243F-4E8D-94E2-1F90CD3218AA}</x14:id>
        </ext>
      </extLst>
    </cfRule>
  </conditionalFormatting>
  <conditionalFormatting sqref="T292">
    <cfRule type="iconSet" priority="367">
      <iconSet iconSet="3Arrows">
        <cfvo type="percent" val="0"/>
        <cfvo type="num" val="0.7"/>
        <cfvo type="num" val="1"/>
      </iconSet>
    </cfRule>
    <cfRule type="dataBar" priority="368">
      <dataBar>
        <cfvo type="num" val="0"/>
        <cfvo type="num" val="1"/>
        <color theme="4" tint="0.79998168889431442"/>
      </dataBar>
      <extLst>
        <ext xmlns:x14="http://schemas.microsoft.com/office/spreadsheetml/2009/9/main" uri="{B025F937-C7B1-47D3-B67F-A62EFF666E3E}">
          <x14:id>{5D7C5B54-21ED-43BA-A9A4-210E39B2AB7D}</x14:id>
        </ext>
      </extLst>
    </cfRule>
  </conditionalFormatting>
  <conditionalFormatting sqref="T294">
    <cfRule type="iconSet" priority="3434">
      <iconSet iconSet="3Arrows">
        <cfvo type="percent" val="0"/>
        <cfvo type="num" val="0.7"/>
        <cfvo type="num" val="1"/>
      </iconSet>
    </cfRule>
    <cfRule type="dataBar" priority="3435">
      <dataBar>
        <cfvo type="num" val="0"/>
        <cfvo type="num" val="1"/>
        <color theme="4" tint="0.79998168889431442"/>
      </dataBar>
      <extLst>
        <ext xmlns:x14="http://schemas.microsoft.com/office/spreadsheetml/2009/9/main" uri="{B025F937-C7B1-47D3-B67F-A62EFF666E3E}">
          <x14:id>{2C48C0B5-B96A-4598-9EEA-3C98DD4C0ACE}</x14:id>
        </ext>
      </extLst>
    </cfRule>
  </conditionalFormatting>
  <conditionalFormatting sqref="T299">
    <cfRule type="iconSet" priority="3402">
      <iconSet iconSet="3Arrows">
        <cfvo type="percent" val="0"/>
        <cfvo type="num" val="0.7"/>
        <cfvo type="num" val="1"/>
      </iconSet>
    </cfRule>
    <cfRule type="dataBar" priority="3403">
      <dataBar>
        <cfvo type="num" val="0"/>
        <cfvo type="num" val="1"/>
        <color theme="4" tint="0.79998168889431442"/>
      </dataBar>
      <extLst>
        <ext xmlns:x14="http://schemas.microsoft.com/office/spreadsheetml/2009/9/main" uri="{B025F937-C7B1-47D3-B67F-A62EFF666E3E}">
          <x14:id>{E4F28184-CC0F-484B-AC10-150605F5C586}</x14:id>
        </ext>
      </extLst>
    </cfRule>
  </conditionalFormatting>
  <conditionalFormatting sqref="T304">
    <cfRule type="iconSet" priority="3384">
      <iconSet iconSet="3Arrows">
        <cfvo type="percent" val="0"/>
        <cfvo type="num" val="0.7"/>
        <cfvo type="num" val="1"/>
      </iconSet>
    </cfRule>
    <cfRule type="dataBar" priority="3385">
      <dataBar>
        <cfvo type="num" val="0"/>
        <cfvo type="num" val="1"/>
        <color theme="4" tint="0.79998168889431442"/>
      </dataBar>
      <extLst>
        <ext xmlns:x14="http://schemas.microsoft.com/office/spreadsheetml/2009/9/main" uri="{B025F937-C7B1-47D3-B67F-A62EFF666E3E}">
          <x14:id>{97235708-2BD3-4C7F-849D-8ADBC37DE325}</x14:id>
        </ext>
      </extLst>
    </cfRule>
  </conditionalFormatting>
  <conditionalFormatting sqref="T307">
    <cfRule type="iconSet" priority="389">
      <iconSet iconSet="3Arrows">
        <cfvo type="percent" val="0"/>
        <cfvo type="num" val="0.7"/>
        <cfvo type="num" val="1"/>
      </iconSet>
    </cfRule>
    <cfRule type="dataBar" priority="390">
      <dataBar>
        <cfvo type="num" val="0"/>
        <cfvo type="num" val="1"/>
        <color theme="4" tint="0.79998168889431442"/>
      </dataBar>
      <extLst>
        <ext xmlns:x14="http://schemas.microsoft.com/office/spreadsheetml/2009/9/main" uri="{B025F937-C7B1-47D3-B67F-A62EFF666E3E}">
          <x14:id>{4C4811AC-670E-4D43-95C5-9D63EBA3968B}</x14:id>
        </ext>
      </extLst>
    </cfRule>
  </conditionalFormatting>
  <conditionalFormatting sqref="T310">
    <cfRule type="iconSet" priority="5092">
      <iconSet iconSet="3Arrows">
        <cfvo type="percent" val="0"/>
        <cfvo type="num" val="0.7"/>
        <cfvo type="num" val="1"/>
      </iconSet>
    </cfRule>
    <cfRule type="dataBar" priority="5093">
      <dataBar>
        <cfvo type="num" val="0"/>
        <cfvo type="num" val="1"/>
        <color theme="4" tint="0.79998168889431442"/>
      </dataBar>
      <extLst>
        <ext xmlns:x14="http://schemas.microsoft.com/office/spreadsheetml/2009/9/main" uri="{B025F937-C7B1-47D3-B67F-A62EFF666E3E}">
          <x14:id>{D128A1E5-3B07-46BF-B5DA-8E2DEADC8078}</x14:id>
        </ext>
      </extLst>
    </cfRule>
  </conditionalFormatting>
  <conditionalFormatting sqref="T314">
    <cfRule type="iconSet" priority="5100">
      <iconSet iconSet="3Arrows">
        <cfvo type="percent" val="0"/>
        <cfvo type="num" val="0.7"/>
        <cfvo type="num" val="1"/>
      </iconSet>
    </cfRule>
    <cfRule type="dataBar" priority="5101">
      <dataBar>
        <cfvo type="num" val="0"/>
        <cfvo type="num" val="1"/>
        <color theme="4" tint="0.79998168889431442"/>
      </dataBar>
      <extLst>
        <ext xmlns:x14="http://schemas.microsoft.com/office/spreadsheetml/2009/9/main" uri="{B025F937-C7B1-47D3-B67F-A62EFF666E3E}">
          <x14:id>{B65B9CA3-C9FC-4BE1-A16C-1A90833EE6A4}</x14:id>
        </ext>
      </extLst>
    </cfRule>
  </conditionalFormatting>
  <conditionalFormatting sqref="T316">
    <cfRule type="iconSet" priority="2519">
      <iconSet iconSet="3Arrows">
        <cfvo type="percent" val="0"/>
        <cfvo type="num" val="0.7"/>
        <cfvo type="num" val="1"/>
      </iconSet>
    </cfRule>
    <cfRule type="dataBar" priority="2520">
      <dataBar>
        <cfvo type="num" val="0"/>
        <cfvo type="num" val="1"/>
        <color theme="4" tint="0.79998168889431442"/>
      </dataBar>
      <extLst>
        <ext xmlns:x14="http://schemas.microsoft.com/office/spreadsheetml/2009/9/main" uri="{B025F937-C7B1-47D3-B67F-A62EFF666E3E}">
          <x14:id>{20C95FEF-63BC-4365-ACBB-15B035927AAD}</x14:id>
        </ext>
      </extLst>
    </cfRule>
  </conditionalFormatting>
  <conditionalFormatting sqref="T318">
    <cfRule type="iconSet" priority="5098">
      <iconSet iconSet="3Arrows">
        <cfvo type="percent" val="0"/>
        <cfvo type="num" val="0.7"/>
        <cfvo type="num" val="1"/>
      </iconSet>
    </cfRule>
    <cfRule type="dataBar" priority="5099">
      <dataBar>
        <cfvo type="num" val="0"/>
        <cfvo type="num" val="1"/>
        <color theme="4" tint="0.79998168889431442"/>
      </dataBar>
      <extLst>
        <ext xmlns:x14="http://schemas.microsoft.com/office/spreadsheetml/2009/9/main" uri="{B025F937-C7B1-47D3-B67F-A62EFF666E3E}">
          <x14:id>{29842305-549D-425B-88DE-E1E4B27A88BD}</x14:id>
        </ext>
      </extLst>
    </cfRule>
  </conditionalFormatting>
  <conditionalFormatting sqref="T320">
    <cfRule type="iconSet" priority="4384">
      <iconSet iconSet="3Arrows">
        <cfvo type="percent" val="0"/>
        <cfvo type="num" val="0.7"/>
        <cfvo type="num" val="1"/>
      </iconSet>
    </cfRule>
    <cfRule type="dataBar" priority="4385">
      <dataBar>
        <cfvo type="num" val="0"/>
        <cfvo type="num" val="1"/>
        <color theme="4" tint="0.79998168889431442"/>
      </dataBar>
      <extLst>
        <ext xmlns:x14="http://schemas.microsoft.com/office/spreadsheetml/2009/9/main" uri="{B025F937-C7B1-47D3-B67F-A62EFF666E3E}">
          <x14:id>{D22EEB9D-E10C-4057-941B-1D4E9CFC54F6}</x14:id>
        </ext>
      </extLst>
    </cfRule>
  </conditionalFormatting>
  <conditionalFormatting sqref="T322">
    <cfRule type="iconSet" priority="2824">
      <iconSet iconSet="3Arrows">
        <cfvo type="percent" val="0"/>
        <cfvo type="num" val="0.7"/>
        <cfvo type="num" val="1"/>
      </iconSet>
    </cfRule>
    <cfRule type="dataBar" priority="2825">
      <dataBar>
        <cfvo type="num" val="0"/>
        <cfvo type="num" val="1"/>
        <color theme="4" tint="0.79998168889431442"/>
      </dataBar>
      <extLst>
        <ext xmlns:x14="http://schemas.microsoft.com/office/spreadsheetml/2009/9/main" uri="{B025F937-C7B1-47D3-B67F-A62EFF666E3E}">
          <x14:id>{EA5C9491-7A65-45D1-A0C1-BD9F5C67EE42}</x14:id>
        </ext>
      </extLst>
    </cfRule>
  </conditionalFormatting>
  <conditionalFormatting sqref="T324">
    <cfRule type="iconSet" priority="2805">
      <iconSet iconSet="3Arrows">
        <cfvo type="percent" val="0"/>
        <cfvo type="num" val="0.7"/>
        <cfvo type="num" val="1"/>
      </iconSet>
    </cfRule>
    <cfRule type="dataBar" priority="2806">
      <dataBar>
        <cfvo type="num" val="0"/>
        <cfvo type="num" val="1"/>
        <color theme="4" tint="0.79998168889431442"/>
      </dataBar>
      <extLst>
        <ext xmlns:x14="http://schemas.microsoft.com/office/spreadsheetml/2009/9/main" uri="{B025F937-C7B1-47D3-B67F-A62EFF666E3E}">
          <x14:id>{1ABD4005-B29B-4B5D-A79A-E5002F7DD23A}</x14:id>
        </ext>
      </extLst>
    </cfRule>
  </conditionalFormatting>
  <conditionalFormatting sqref="T326">
    <cfRule type="iconSet" priority="2791">
      <iconSet iconSet="3Arrows">
        <cfvo type="percent" val="0"/>
        <cfvo type="num" val="0.7"/>
        <cfvo type="num" val="1"/>
      </iconSet>
    </cfRule>
    <cfRule type="dataBar" priority="2792">
      <dataBar>
        <cfvo type="num" val="0"/>
        <cfvo type="num" val="1"/>
        <color theme="4" tint="0.79998168889431442"/>
      </dataBar>
      <extLst>
        <ext xmlns:x14="http://schemas.microsoft.com/office/spreadsheetml/2009/9/main" uri="{B025F937-C7B1-47D3-B67F-A62EFF666E3E}">
          <x14:id>{0F9A3696-F8A5-448D-AF17-1F253BE66D29}</x14:id>
        </ext>
      </extLst>
    </cfRule>
  </conditionalFormatting>
  <conditionalFormatting sqref="T328">
    <cfRule type="iconSet" priority="2687">
      <iconSet iconSet="3Arrows">
        <cfvo type="percent" val="0"/>
        <cfvo type="num" val="0.7"/>
        <cfvo type="num" val="1"/>
      </iconSet>
    </cfRule>
    <cfRule type="dataBar" priority="2688">
      <dataBar>
        <cfvo type="num" val="0"/>
        <cfvo type="num" val="1"/>
        <color theme="4" tint="0.79998168889431442"/>
      </dataBar>
      <extLst>
        <ext xmlns:x14="http://schemas.microsoft.com/office/spreadsheetml/2009/9/main" uri="{B025F937-C7B1-47D3-B67F-A62EFF666E3E}">
          <x14:id>{50C14333-2DEC-472A-9FB0-9EB436F92D77}</x14:id>
        </ext>
      </extLst>
    </cfRule>
  </conditionalFormatting>
  <conditionalFormatting sqref="T330">
    <cfRule type="iconSet" priority="2673">
      <iconSet iconSet="3Arrows">
        <cfvo type="percent" val="0"/>
        <cfvo type="num" val="0.7"/>
        <cfvo type="num" val="1"/>
      </iconSet>
    </cfRule>
    <cfRule type="dataBar" priority="2674">
      <dataBar>
        <cfvo type="num" val="0"/>
        <cfvo type="num" val="1"/>
        <color theme="4" tint="0.79998168889431442"/>
      </dataBar>
      <extLst>
        <ext xmlns:x14="http://schemas.microsoft.com/office/spreadsheetml/2009/9/main" uri="{B025F937-C7B1-47D3-B67F-A62EFF666E3E}">
          <x14:id>{25F605DC-3996-4E6D-AEF1-13CB3B72C405}</x14:id>
        </ext>
      </extLst>
    </cfRule>
  </conditionalFormatting>
  <conditionalFormatting sqref="T332">
    <cfRule type="iconSet" priority="2753">
      <iconSet iconSet="3Arrows">
        <cfvo type="percent" val="0"/>
        <cfvo type="num" val="0.7"/>
        <cfvo type="num" val="1"/>
      </iconSet>
    </cfRule>
    <cfRule type="dataBar" priority="2754">
      <dataBar>
        <cfvo type="num" val="0"/>
        <cfvo type="num" val="1"/>
        <color theme="4" tint="0.79998168889431442"/>
      </dataBar>
      <extLst>
        <ext xmlns:x14="http://schemas.microsoft.com/office/spreadsheetml/2009/9/main" uri="{B025F937-C7B1-47D3-B67F-A62EFF666E3E}">
          <x14:id>{47AB41B5-2441-43B4-8347-EFC5256B5B6D}</x14:id>
        </ext>
      </extLst>
    </cfRule>
  </conditionalFormatting>
  <conditionalFormatting sqref="T334">
    <cfRule type="iconSet" priority="2777">
      <iconSet iconSet="3Arrows">
        <cfvo type="percent" val="0"/>
        <cfvo type="num" val="0.7"/>
        <cfvo type="num" val="1"/>
      </iconSet>
    </cfRule>
    <cfRule type="dataBar" priority="2778">
      <dataBar>
        <cfvo type="num" val="0"/>
        <cfvo type="num" val="1"/>
        <color theme="4" tint="0.79998168889431442"/>
      </dataBar>
      <extLst>
        <ext xmlns:x14="http://schemas.microsoft.com/office/spreadsheetml/2009/9/main" uri="{B025F937-C7B1-47D3-B67F-A62EFF666E3E}">
          <x14:id>{925C7037-CB67-4CFD-A6BB-BFAC48266B82}</x14:id>
        </ext>
      </extLst>
    </cfRule>
  </conditionalFormatting>
  <conditionalFormatting sqref="T336">
    <cfRule type="iconSet" priority="2301">
      <iconSet iconSet="3Arrows">
        <cfvo type="percent" val="0"/>
        <cfvo type="num" val="0.7"/>
        <cfvo type="num" val="1"/>
      </iconSet>
    </cfRule>
    <cfRule type="dataBar" priority="2302">
      <dataBar>
        <cfvo type="num" val="0"/>
        <cfvo type="num" val="1"/>
        <color theme="4" tint="0.79998168889431442"/>
      </dataBar>
      <extLst>
        <ext xmlns:x14="http://schemas.microsoft.com/office/spreadsheetml/2009/9/main" uri="{B025F937-C7B1-47D3-B67F-A62EFF666E3E}">
          <x14:id>{F40A814D-4B3C-4EF6-9C5B-DB39EDE2E797}</x14:id>
        </ext>
      </extLst>
    </cfRule>
  </conditionalFormatting>
  <conditionalFormatting sqref="T338">
    <cfRule type="iconSet" priority="2763">
      <iconSet iconSet="3Arrows">
        <cfvo type="percent" val="0"/>
        <cfvo type="num" val="0.7"/>
        <cfvo type="num" val="1"/>
      </iconSet>
    </cfRule>
    <cfRule type="dataBar" priority="2764">
      <dataBar>
        <cfvo type="num" val="0"/>
        <cfvo type="num" val="1"/>
        <color theme="4" tint="0.79998168889431442"/>
      </dataBar>
      <extLst>
        <ext xmlns:x14="http://schemas.microsoft.com/office/spreadsheetml/2009/9/main" uri="{B025F937-C7B1-47D3-B67F-A62EFF666E3E}">
          <x14:id>{2FB3B6D0-B33E-4B58-9F71-3AE90B711392}</x14:id>
        </ext>
      </extLst>
    </cfRule>
  </conditionalFormatting>
  <conditionalFormatting sqref="T340">
    <cfRule type="iconSet" priority="2707">
      <iconSet iconSet="3Arrows">
        <cfvo type="percent" val="0"/>
        <cfvo type="num" val="0.7"/>
        <cfvo type="num" val="1"/>
      </iconSet>
    </cfRule>
    <cfRule type="dataBar" priority="2708">
      <dataBar>
        <cfvo type="num" val="0"/>
        <cfvo type="num" val="1"/>
        <color theme="4" tint="0.79998168889431442"/>
      </dataBar>
      <extLst>
        <ext xmlns:x14="http://schemas.microsoft.com/office/spreadsheetml/2009/9/main" uri="{B025F937-C7B1-47D3-B67F-A62EFF666E3E}">
          <x14:id>{9B9B542E-A679-4725-83D6-2A93E4915BA6}</x14:id>
        </ext>
      </extLst>
    </cfRule>
  </conditionalFormatting>
  <conditionalFormatting sqref="T342">
    <cfRule type="iconSet" priority="2733">
      <iconSet iconSet="3Arrows">
        <cfvo type="percent" val="0"/>
        <cfvo type="num" val="0.7"/>
        <cfvo type="num" val="1"/>
      </iconSet>
    </cfRule>
    <cfRule type="dataBar" priority="2734">
      <dataBar>
        <cfvo type="num" val="0"/>
        <cfvo type="num" val="1"/>
        <color theme="4" tint="0.79998168889431442"/>
      </dataBar>
      <extLst>
        <ext xmlns:x14="http://schemas.microsoft.com/office/spreadsheetml/2009/9/main" uri="{B025F937-C7B1-47D3-B67F-A62EFF666E3E}">
          <x14:id>{3FC33D7B-807E-4294-A0BD-98ADB5756E6B}</x14:id>
        </ext>
      </extLst>
    </cfRule>
  </conditionalFormatting>
  <conditionalFormatting sqref="T344">
    <cfRule type="iconSet" priority="2402">
      <iconSet iconSet="3Arrows">
        <cfvo type="percent" val="0"/>
        <cfvo type="num" val="0.7"/>
        <cfvo type="num" val="1"/>
      </iconSet>
    </cfRule>
    <cfRule type="dataBar" priority="2403">
      <dataBar>
        <cfvo type="num" val="0"/>
        <cfvo type="num" val="1"/>
        <color theme="4" tint="0.79998168889431442"/>
      </dataBar>
      <extLst>
        <ext xmlns:x14="http://schemas.microsoft.com/office/spreadsheetml/2009/9/main" uri="{B025F937-C7B1-47D3-B67F-A62EFF666E3E}">
          <x14:id>{AABB2E31-05EE-4E40-87CB-AE39B9BBE431}</x14:id>
        </ext>
      </extLst>
    </cfRule>
  </conditionalFormatting>
  <conditionalFormatting sqref="T346">
    <cfRule type="iconSet" priority="2719">
      <iconSet iconSet="3Arrows">
        <cfvo type="percent" val="0"/>
        <cfvo type="num" val="0.7"/>
        <cfvo type="num" val="1"/>
      </iconSet>
    </cfRule>
    <cfRule type="dataBar" priority="2720">
      <dataBar>
        <cfvo type="num" val="0"/>
        <cfvo type="num" val="1"/>
        <color theme="4" tint="0.79998168889431442"/>
      </dataBar>
      <extLst>
        <ext xmlns:x14="http://schemas.microsoft.com/office/spreadsheetml/2009/9/main" uri="{B025F937-C7B1-47D3-B67F-A62EFF666E3E}">
          <x14:id>{B987D88D-755C-40C3-B454-04920709A4A0}</x14:id>
        </ext>
      </extLst>
    </cfRule>
  </conditionalFormatting>
  <conditionalFormatting sqref="T348">
    <cfRule type="iconSet" priority="2287">
      <iconSet iconSet="3Arrows">
        <cfvo type="percent" val="0"/>
        <cfvo type="num" val="0.7"/>
        <cfvo type="num" val="1"/>
      </iconSet>
    </cfRule>
    <cfRule type="dataBar" priority="2288">
      <dataBar>
        <cfvo type="num" val="0"/>
        <cfvo type="num" val="1"/>
        <color theme="4" tint="0.79998168889431442"/>
      </dataBar>
      <extLst>
        <ext xmlns:x14="http://schemas.microsoft.com/office/spreadsheetml/2009/9/main" uri="{B025F937-C7B1-47D3-B67F-A62EFF666E3E}">
          <x14:id>{0668F881-D865-48FF-A3FC-6E1B207606C5}</x14:id>
        </ext>
      </extLst>
    </cfRule>
  </conditionalFormatting>
  <conditionalFormatting sqref="T350">
    <cfRule type="iconSet" priority="2498">
      <iconSet iconSet="3Arrows">
        <cfvo type="percent" val="0"/>
        <cfvo type="num" val="0.7"/>
        <cfvo type="num" val="1"/>
      </iconSet>
    </cfRule>
    <cfRule type="dataBar" priority="2499">
      <dataBar>
        <cfvo type="num" val="0"/>
        <cfvo type="num" val="1"/>
        <color theme="4" tint="0.79998168889431442"/>
      </dataBar>
      <extLst>
        <ext xmlns:x14="http://schemas.microsoft.com/office/spreadsheetml/2009/9/main" uri="{B025F937-C7B1-47D3-B67F-A62EFF666E3E}">
          <x14:id>{0B80ED3F-5246-45E5-9D2B-C3FFFAB7B54A}</x14:id>
        </ext>
      </extLst>
    </cfRule>
  </conditionalFormatting>
  <conditionalFormatting sqref="T352">
    <cfRule type="iconSet" priority="5080">
      <iconSet iconSet="3Arrows">
        <cfvo type="percent" val="0"/>
        <cfvo type="num" val="0.7"/>
        <cfvo type="num" val="1"/>
      </iconSet>
    </cfRule>
    <cfRule type="dataBar" priority="5081">
      <dataBar>
        <cfvo type="num" val="0"/>
        <cfvo type="num" val="1"/>
        <color theme="4" tint="0.79998168889431442"/>
      </dataBar>
      <extLst>
        <ext xmlns:x14="http://schemas.microsoft.com/office/spreadsheetml/2009/9/main" uri="{B025F937-C7B1-47D3-B67F-A62EFF666E3E}">
          <x14:id>{1A38AD7D-4BDA-4C30-B538-70D895FACFC3}</x14:id>
        </ext>
      </extLst>
    </cfRule>
  </conditionalFormatting>
  <conditionalFormatting sqref="T354">
    <cfRule type="iconSet" priority="5074">
      <iconSet iconSet="3Arrows">
        <cfvo type="percent" val="0"/>
        <cfvo type="num" val="0.7"/>
        <cfvo type="num" val="1"/>
      </iconSet>
    </cfRule>
    <cfRule type="dataBar" priority="5075">
      <dataBar>
        <cfvo type="num" val="0"/>
        <cfvo type="num" val="1"/>
        <color theme="4" tint="0.79998168889431442"/>
      </dataBar>
      <extLst>
        <ext xmlns:x14="http://schemas.microsoft.com/office/spreadsheetml/2009/9/main" uri="{B025F937-C7B1-47D3-B67F-A62EFF666E3E}">
          <x14:id>{197FCA92-8B0D-4D56-9958-9AFDA9941CBD}</x14:id>
        </ext>
      </extLst>
    </cfRule>
  </conditionalFormatting>
  <conditionalFormatting sqref="T356">
    <cfRule type="iconSet" priority="5068">
      <iconSet iconSet="3Arrows">
        <cfvo type="percent" val="0"/>
        <cfvo type="num" val="0.7"/>
        <cfvo type="num" val="1"/>
      </iconSet>
    </cfRule>
    <cfRule type="dataBar" priority="5069">
      <dataBar>
        <cfvo type="num" val="0"/>
        <cfvo type="num" val="1"/>
        <color theme="4" tint="0.79998168889431442"/>
      </dataBar>
      <extLst>
        <ext xmlns:x14="http://schemas.microsoft.com/office/spreadsheetml/2009/9/main" uri="{B025F937-C7B1-47D3-B67F-A62EFF666E3E}">
          <x14:id>{47F538CF-A3AD-495C-B40E-0BD66B3E2608}</x14:id>
        </ext>
      </extLst>
    </cfRule>
  </conditionalFormatting>
  <conditionalFormatting sqref="T358">
    <cfRule type="iconSet" priority="2251">
      <iconSet iconSet="3Arrows">
        <cfvo type="percent" val="0"/>
        <cfvo type="num" val="0.7"/>
        <cfvo type="num" val="1"/>
      </iconSet>
    </cfRule>
    <cfRule type="dataBar" priority="2252">
      <dataBar>
        <cfvo type="num" val="0"/>
        <cfvo type="num" val="1"/>
        <color theme="4" tint="0.79998168889431442"/>
      </dataBar>
      <extLst>
        <ext xmlns:x14="http://schemas.microsoft.com/office/spreadsheetml/2009/9/main" uri="{B025F937-C7B1-47D3-B67F-A62EFF666E3E}">
          <x14:id>{78717ABC-F179-49B7-9F40-7A481BBED9AE}</x14:id>
        </ext>
      </extLst>
    </cfRule>
  </conditionalFormatting>
  <conditionalFormatting sqref="T360">
    <cfRule type="iconSet" priority="2275">
      <iconSet iconSet="3Arrows">
        <cfvo type="percent" val="0"/>
        <cfvo type="num" val="0.7"/>
        <cfvo type="num" val="1"/>
      </iconSet>
    </cfRule>
    <cfRule type="dataBar" priority="2276">
      <dataBar>
        <cfvo type="num" val="0"/>
        <cfvo type="num" val="1"/>
        <color theme="4" tint="0.79998168889431442"/>
      </dataBar>
      <extLst>
        <ext xmlns:x14="http://schemas.microsoft.com/office/spreadsheetml/2009/9/main" uri="{B025F937-C7B1-47D3-B67F-A62EFF666E3E}">
          <x14:id>{051D922D-FD3C-4002-A6D1-5B070580706C}</x14:id>
        </ext>
      </extLst>
    </cfRule>
  </conditionalFormatting>
  <conditionalFormatting sqref="T362">
    <cfRule type="iconSet" priority="1370">
      <iconSet iconSet="3Arrows">
        <cfvo type="percent" val="0"/>
        <cfvo type="num" val="0.7"/>
        <cfvo type="num" val="1"/>
      </iconSet>
    </cfRule>
    <cfRule type="dataBar" priority="1371">
      <dataBar>
        <cfvo type="num" val="0"/>
        <cfvo type="num" val="1"/>
        <color theme="4" tint="0.79998168889431442"/>
      </dataBar>
      <extLst>
        <ext xmlns:x14="http://schemas.microsoft.com/office/spreadsheetml/2009/9/main" uri="{B025F937-C7B1-47D3-B67F-A62EFF666E3E}">
          <x14:id>{2CE96C23-359A-4A7F-9B65-F922E4633939}</x14:id>
        </ext>
      </extLst>
    </cfRule>
  </conditionalFormatting>
  <conditionalFormatting sqref="T364">
    <cfRule type="iconSet" priority="1811">
      <iconSet iconSet="3Arrows">
        <cfvo type="percent" val="0"/>
        <cfvo type="num" val="0.7"/>
        <cfvo type="num" val="1"/>
      </iconSet>
    </cfRule>
    <cfRule type="dataBar" priority="1812">
      <dataBar>
        <cfvo type="num" val="0"/>
        <cfvo type="num" val="1"/>
        <color theme="4" tint="0.79998168889431442"/>
      </dataBar>
      <extLst>
        <ext xmlns:x14="http://schemas.microsoft.com/office/spreadsheetml/2009/9/main" uri="{B025F937-C7B1-47D3-B67F-A62EFF666E3E}">
          <x14:id>{0B32EC56-77F5-4277-88F0-11FAB500D278}</x14:id>
        </ext>
      </extLst>
    </cfRule>
  </conditionalFormatting>
  <conditionalFormatting sqref="T366">
    <cfRule type="iconSet" priority="1356">
      <iconSet iconSet="3Arrows">
        <cfvo type="percent" val="0"/>
        <cfvo type="num" val="0.7"/>
        <cfvo type="num" val="1"/>
      </iconSet>
    </cfRule>
    <cfRule type="dataBar" priority="1357">
      <dataBar>
        <cfvo type="num" val="0"/>
        <cfvo type="num" val="1"/>
        <color theme="4" tint="0.79998168889431442"/>
      </dataBar>
      <extLst>
        <ext xmlns:x14="http://schemas.microsoft.com/office/spreadsheetml/2009/9/main" uri="{B025F937-C7B1-47D3-B67F-A62EFF666E3E}">
          <x14:id>{6B3207F1-11C4-48E4-8BE1-035C4ABA6D1D}</x14:id>
        </ext>
      </extLst>
    </cfRule>
  </conditionalFormatting>
  <conditionalFormatting sqref="T368">
    <cfRule type="iconSet" priority="2269">
      <iconSet iconSet="3Arrows">
        <cfvo type="percent" val="0"/>
        <cfvo type="num" val="0.7"/>
        <cfvo type="num" val="1"/>
      </iconSet>
    </cfRule>
    <cfRule type="dataBar" priority="2270">
      <dataBar>
        <cfvo type="num" val="0"/>
        <cfvo type="num" val="1"/>
        <color theme="4" tint="0.79998168889431442"/>
      </dataBar>
      <extLst>
        <ext xmlns:x14="http://schemas.microsoft.com/office/spreadsheetml/2009/9/main" uri="{B025F937-C7B1-47D3-B67F-A62EFF666E3E}">
          <x14:id>{0CE8A8CD-B5A3-4BC4-AA47-545B0DAE11D0}</x14:id>
        </ext>
      </extLst>
    </cfRule>
  </conditionalFormatting>
  <conditionalFormatting sqref="T370">
    <cfRule type="iconSet" priority="1797">
      <iconSet iconSet="3Arrows">
        <cfvo type="percent" val="0"/>
        <cfvo type="num" val="0.7"/>
        <cfvo type="num" val="1"/>
      </iconSet>
    </cfRule>
    <cfRule type="dataBar" priority="1798">
      <dataBar>
        <cfvo type="num" val="0"/>
        <cfvo type="num" val="1"/>
        <color theme="4" tint="0.79998168889431442"/>
      </dataBar>
      <extLst>
        <ext xmlns:x14="http://schemas.microsoft.com/office/spreadsheetml/2009/9/main" uri="{B025F937-C7B1-47D3-B67F-A62EFF666E3E}">
          <x14:id>{AB65C8DA-44AE-4BA2-B51D-6B20DF936471}</x14:id>
        </ext>
      </extLst>
    </cfRule>
  </conditionalFormatting>
  <conditionalFormatting sqref="T372">
    <cfRule type="iconSet" priority="2484">
      <iconSet iconSet="3Arrows">
        <cfvo type="percent" val="0"/>
        <cfvo type="num" val="0.7"/>
        <cfvo type="num" val="1"/>
      </iconSet>
    </cfRule>
    <cfRule type="dataBar" priority="2485">
      <dataBar>
        <cfvo type="num" val="0"/>
        <cfvo type="num" val="1"/>
        <color theme="4" tint="0.79998168889431442"/>
      </dataBar>
      <extLst>
        <ext xmlns:x14="http://schemas.microsoft.com/office/spreadsheetml/2009/9/main" uri="{B025F937-C7B1-47D3-B67F-A62EFF666E3E}">
          <x14:id>{51BCEEF9-EB08-4080-AF44-8A0D5A5AA59B}</x14:id>
        </ext>
      </extLst>
    </cfRule>
  </conditionalFormatting>
  <conditionalFormatting sqref="T374">
    <cfRule type="iconSet" priority="2616">
      <iconSet iconSet="3Arrows">
        <cfvo type="percent" val="0"/>
        <cfvo type="num" val="0.7"/>
        <cfvo type="num" val="1"/>
      </iconSet>
    </cfRule>
    <cfRule type="dataBar" priority="2617">
      <dataBar>
        <cfvo type="num" val="0"/>
        <cfvo type="num" val="1"/>
        <color theme="4" tint="0.79998168889431442"/>
      </dataBar>
      <extLst>
        <ext xmlns:x14="http://schemas.microsoft.com/office/spreadsheetml/2009/9/main" uri="{B025F937-C7B1-47D3-B67F-A62EFF666E3E}">
          <x14:id>{10FE1978-782D-47A3-996D-490057F29DD7}</x14:id>
        </ext>
      </extLst>
    </cfRule>
  </conditionalFormatting>
  <conditionalFormatting sqref="T376">
    <cfRule type="iconSet" priority="2661">
      <iconSet iconSet="3Arrows">
        <cfvo type="percent" val="0"/>
        <cfvo type="num" val="0.7"/>
        <cfvo type="num" val="1"/>
      </iconSet>
    </cfRule>
    <cfRule type="dataBar" priority="2662">
      <dataBar>
        <cfvo type="num" val="0"/>
        <cfvo type="num" val="1"/>
        <color theme="4" tint="0.79998168889431442"/>
      </dataBar>
      <extLst>
        <ext xmlns:x14="http://schemas.microsoft.com/office/spreadsheetml/2009/9/main" uri="{B025F937-C7B1-47D3-B67F-A62EFF666E3E}">
          <x14:id>{387B4062-0660-4465-8163-957F0B9240C5}</x14:id>
        </ext>
      </extLst>
    </cfRule>
  </conditionalFormatting>
  <conditionalFormatting sqref="T378">
    <cfRule type="iconSet" priority="2596">
      <iconSet iconSet="3Arrows">
        <cfvo type="percent" val="0"/>
        <cfvo type="num" val="0.7"/>
        <cfvo type="num" val="1"/>
      </iconSet>
    </cfRule>
    <cfRule type="dataBar" priority="2597">
      <dataBar>
        <cfvo type="num" val="0"/>
        <cfvo type="num" val="1"/>
        <color theme="4" tint="0.79998168889431442"/>
      </dataBar>
      <extLst>
        <ext xmlns:x14="http://schemas.microsoft.com/office/spreadsheetml/2009/9/main" uri="{B025F937-C7B1-47D3-B67F-A62EFF666E3E}">
          <x14:id>{B7834EF4-BE6C-447F-9F91-509944010ED9}</x14:id>
        </ext>
      </extLst>
    </cfRule>
  </conditionalFormatting>
  <conditionalFormatting sqref="T380">
    <cfRule type="iconSet" priority="2646">
      <iconSet iconSet="3Arrows">
        <cfvo type="percent" val="0"/>
        <cfvo type="num" val="0.7"/>
        <cfvo type="num" val="1"/>
      </iconSet>
    </cfRule>
    <cfRule type="dataBar" priority="2647">
      <dataBar>
        <cfvo type="num" val="0"/>
        <cfvo type="num" val="1"/>
        <color theme="4" tint="0.79998168889431442"/>
      </dataBar>
      <extLst>
        <ext xmlns:x14="http://schemas.microsoft.com/office/spreadsheetml/2009/9/main" uri="{B025F937-C7B1-47D3-B67F-A62EFF666E3E}">
          <x14:id>{25DE9237-86CB-47B1-BCE9-658D6C64CB0F}</x14:id>
        </ext>
      </extLst>
    </cfRule>
  </conditionalFormatting>
  <conditionalFormatting sqref="T382">
    <cfRule type="iconSet" priority="2576">
      <iconSet iconSet="3Arrows">
        <cfvo type="percent" val="0"/>
        <cfvo type="num" val="0.7"/>
        <cfvo type="num" val="1"/>
      </iconSet>
    </cfRule>
    <cfRule type="dataBar" priority="2577">
      <dataBar>
        <cfvo type="num" val="0"/>
        <cfvo type="num" val="1"/>
        <color theme="4" tint="0.79998168889431442"/>
      </dataBar>
      <extLst>
        <ext xmlns:x14="http://schemas.microsoft.com/office/spreadsheetml/2009/9/main" uri="{B025F937-C7B1-47D3-B67F-A62EFF666E3E}">
          <x14:id>{F0148031-288B-41EA-B1CC-E9468FD56910}</x14:id>
        </ext>
      </extLst>
    </cfRule>
  </conditionalFormatting>
  <conditionalFormatting sqref="T384">
    <cfRule type="iconSet" priority="2631">
      <iconSet iconSet="3Arrows">
        <cfvo type="percent" val="0"/>
        <cfvo type="num" val="0.7"/>
        <cfvo type="num" val="1"/>
      </iconSet>
    </cfRule>
    <cfRule type="dataBar" priority="2632">
      <dataBar>
        <cfvo type="num" val="0"/>
        <cfvo type="num" val="1"/>
        <color theme="4" tint="0.79998168889431442"/>
      </dataBar>
      <extLst>
        <ext xmlns:x14="http://schemas.microsoft.com/office/spreadsheetml/2009/9/main" uri="{B025F937-C7B1-47D3-B67F-A62EFF666E3E}">
          <x14:id>{37AFB5DF-00EF-41BB-998C-75806A6961B9}</x14:id>
        </ext>
      </extLst>
    </cfRule>
  </conditionalFormatting>
  <conditionalFormatting sqref="T386">
    <cfRule type="iconSet" priority="1331">
      <iconSet iconSet="3Arrows">
        <cfvo type="percent" val="0"/>
        <cfvo type="num" val="0.7"/>
        <cfvo type="num" val="1"/>
      </iconSet>
    </cfRule>
    <cfRule type="dataBar" priority="1332">
      <dataBar>
        <cfvo type="num" val="0"/>
        <cfvo type="num" val="1"/>
        <color theme="4" tint="0.79998168889431442"/>
      </dataBar>
      <extLst>
        <ext xmlns:x14="http://schemas.microsoft.com/office/spreadsheetml/2009/9/main" uri="{B025F937-C7B1-47D3-B67F-A62EFF666E3E}">
          <x14:id>{DB667C56-E635-42B5-917A-528D6AF3596F}</x14:id>
        </ext>
      </extLst>
    </cfRule>
  </conditionalFormatting>
  <conditionalFormatting sqref="T388">
    <cfRule type="iconSet" priority="1315">
      <iconSet iconSet="3Arrows">
        <cfvo type="percent" val="0"/>
        <cfvo type="num" val="0.7"/>
        <cfvo type="num" val="1"/>
      </iconSet>
    </cfRule>
    <cfRule type="dataBar" priority="1316">
      <dataBar>
        <cfvo type="num" val="0"/>
        <cfvo type="num" val="1"/>
        <color theme="4" tint="0.79998168889431442"/>
      </dataBar>
      <extLst>
        <ext xmlns:x14="http://schemas.microsoft.com/office/spreadsheetml/2009/9/main" uri="{B025F937-C7B1-47D3-B67F-A62EFF666E3E}">
          <x14:id>{09DBBEEC-26B7-4562-8C48-A83D18300554}</x14:id>
        </ext>
      </extLst>
    </cfRule>
  </conditionalFormatting>
  <conditionalFormatting sqref="T390">
    <cfRule type="iconSet" priority="1323">
      <iconSet iconSet="3Arrows">
        <cfvo type="percent" val="0"/>
        <cfvo type="num" val="0.7"/>
        <cfvo type="num" val="1"/>
      </iconSet>
    </cfRule>
    <cfRule type="dataBar" priority="1324">
      <dataBar>
        <cfvo type="num" val="0"/>
        <cfvo type="num" val="1"/>
        <color theme="4" tint="0.79998168889431442"/>
      </dataBar>
      <extLst>
        <ext xmlns:x14="http://schemas.microsoft.com/office/spreadsheetml/2009/9/main" uri="{B025F937-C7B1-47D3-B67F-A62EFF666E3E}">
          <x14:id>{9EA40F84-F0F4-4556-9378-7134DC8E1423}</x14:id>
        </ext>
      </extLst>
    </cfRule>
  </conditionalFormatting>
  <conditionalFormatting sqref="T393">
    <cfRule type="iconSet" priority="5038">
      <iconSet iconSet="3Arrows">
        <cfvo type="percent" val="0"/>
        <cfvo type="num" val="0.7"/>
        <cfvo type="num" val="1"/>
      </iconSet>
    </cfRule>
    <cfRule type="dataBar" priority="5039">
      <dataBar>
        <cfvo type="num" val="0"/>
        <cfvo type="num" val="1"/>
        <color theme="4" tint="0.79998168889431442"/>
      </dataBar>
      <extLst>
        <ext xmlns:x14="http://schemas.microsoft.com/office/spreadsheetml/2009/9/main" uri="{B025F937-C7B1-47D3-B67F-A62EFF666E3E}">
          <x14:id>{686D4E84-E0C2-421C-808C-E2CAD74C3B75}</x14:id>
        </ext>
      </extLst>
    </cfRule>
  </conditionalFormatting>
  <conditionalFormatting sqref="T395">
    <cfRule type="iconSet" priority="5008">
      <iconSet iconSet="3Arrows">
        <cfvo type="percent" val="0"/>
        <cfvo type="num" val="0.7"/>
        <cfvo type="num" val="1"/>
      </iconSet>
    </cfRule>
    <cfRule type="dataBar" priority="5009">
      <dataBar>
        <cfvo type="num" val="0"/>
        <cfvo type="num" val="1"/>
        <color theme="4" tint="0.79998168889431442"/>
      </dataBar>
      <extLst>
        <ext xmlns:x14="http://schemas.microsoft.com/office/spreadsheetml/2009/9/main" uri="{B025F937-C7B1-47D3-B67F-A62EFF666E3E}">
          <x14:id>{1D6D8B3F-D9D7-4FB6-97A4-CDE5D6E8E517}</x14:id>
        </ext>
      </extLst>
    </cfRule>
  </conditionalFormatting>
  <conditionalFormatting sqref="T397">
    <cfRule type="iconSet" priority="4704">
      <iconSet iconSet="3Arrows">
        <cfvo type="percent" val="0"/>
        <cfvo type="num" val="0.7"/>
        <cfvo type="num" val="1"/>
      </iconSet>
    </cfRule>
    <cfRule type="dataBar" priority="4705">
      <dataBar>
        <cfvo type="num" val="0"/>
        <cfvo type="num" val="1"/>
        <color theme="4" tint="0.79998168889431442"/>
      </dataBar>
      <extLst>
        <ext xmlns:x14="http://schemas.microsoft.com/office/spreadsheetml/2009/9/main" uri="{B025F937-C7B1-47D3-B67F-A62EFF666E3E}">
          <x14:id>{1CBBBCB9-3301-4199-85A7-522EB7F2EB31}</x14:id>
        </ext>
      </extLst>
    </cfRule>
  </conditionalFormatting>
  <conditionalFormatting sqref="T399">
    <cfRule type="iconSet" priority="4963">
      <iconSet iconSet="3Arrows">
        <cfvo type="percent" val="0"/>
        <cfvo type="num" val="0.7"/>
        <cfvo type="num" val="1"/>
      </iconSet>
    </cfRule>
    <cfRule type="dataBar" priority="4964">
      <dataBar>
        <cfvo type="num" val="0"/>
        <cfvo type="num" val="1"/>
        <color theme="4" tint="0.79998168889431442"/>
      </dataBar>
      <extLst>
        <ext xmlns:x14="http://schemas.microsoft.com/office/spreadsheetml/2009/9/main" uri="{B025F937-C7B1-47D3-B67F-A62EFF666E3E}">
          <x14:id>{027F82BF-973B-4356-AF72-D180D9ECDD12}</x14:id>
        </ext>
      </extLst>
    </cfRule>
  </conditionalFormatting>
  <conditionalFormatting sqref="T401">
    <cfRule type="iconSet" priority="2237">
      <iconSet iconSet="3Arrows">
        <cfvo type="percent" val="0"/>
        <cfvo type="num" val="0.7"/>
        <cfvo type="num" val="1"/>
      </iconSet>
    </cfRule>
    <cfRule type="dataBar" priority="2238">
      <dataBar>
        <cfvo type="num" val="0"/>
        <cfvo type="num" val="1"/>
        <color theme="4" tint="0.79998168889431442"/>
      </dataBar>
      <extLst>
        <ext xmlns:x14="http://schemas.microsoft.com/office/spreadsheetml/2009/9/main" uri="{B025F937-C7B1-47D3-B67F-A62EFF666E3E}">
          <x14:id>{89249A04-94D4-49A6-9976-5F9E9D6FF867}</x14:id>
        </ext>
      </extLst>
    </cfRule>
  </conditionalFormatting>
  <conditionalFormatting sqref="T403">
    <cfRule type="iconSet" priority="2223">
      <iconSet iconSet="3Arrows">
        <cfvo type="percent" val="0"/>
        <cfvo type="num" val="0.7"/>
        <cfvo type="num" val="1"/>
      </iconSet>
    </cfRule>
    <cfRule type="dataBar" priority="2224">
      <dataBar>
        <cfvo type="num" val="0"/>
        <cfvo type="num" val="1"/>
        <color theme="4" tint="0.79998168889431442"/>
      </dataBar>
      <extLst>
        <ext xmlns:x14="http://schemas.microsoft.com/office/spreadsheetml/2009/9/main" uri="{B025F937-C7B1-47D3-B67F-A62EFF666E3E}">
          <x14:id>{9A9A3BDC-A7A8-40B2-98B6-49466F14A660}</x14:id>
        </ext>
      </extLst>
    </cfRule>
  </conditionalFormatting>
  <conditionalFormatting sqref="T405">
    <cfRule type="iconSet" priority="1781">
      <iconSet iconSet="3Arrows">
        <cfvo type="percent" val="0"/>
        <cfvo type="num" val="0.7"/>
        <cfvo type="num" val="1"/>
      </iconSet>
    </cfRule>
    <cfRule type="dataBar" priority="1782">
      <dataBar>
        <cfvo type="num" val="0"/>
        <cfvo type="num" val="1"/>
        <color theme="4" tint="0.79998168889431442"/>
      </dataBar>
      <extLst>
        <ext xmlns:x14="http://schemas.microsoft.com/office/spreadsheetml/2009/9/main" uri="{B025F937-C7B1-47D3-B67F-A62EFF666E3E}">
          <x14:id>{939A4B2A-72CA-4245-9C43-EB44A966B0F2}</x14:id>
        </ext>
      </extLst>
    </cfRule>
  </conditionalFormatting>
  <conditionalFormatting sqref="T407">
    <cfRule type="iconSet" priority="1765">
      <iconSet iconSet="3Arrows">
        <cfvo type="percent" val="0"/>
        <cfvo type="num" val="0.7"/>
        <cfvo type="num" val="1"/>
      </iconSet>
    </cfRule>
    <cfRule type="dataBar" priority="1766">
      <dataBar>
        <cfvo type="num" val="0"/>
        <cfvo type="num" val="1"/>
        <color theme="4" tint="0.79998168889431442"/>
      </dataBar>
      <extLst>
        <ext xmlns:x14="http://schemas.microsoft.com/office/spreadsheetml/2009/9/main" uri="{B025F937-C7B1-47D3-B67F-A62EFF666E3E}">
          <x14:id>{0D7CD13B-1D5F-44F6-8EAC-D00D93EDEEF6}</x14:id>
        </ext>
      </extLst>
    </cfRule>
  </conditionalFormatting>
  <conditionalFormatting sqref="T409">
    <cfRule type="iconSet" priority="1773">
      <iconSet iconSet="3Arrows">
        <cfvo type="percent" val="0"/>
        <cfvo type="num" val="0.7"/>
        <cfvo type="num" val="1"/>
      </iconSet>
    </cfRule>
    <cfRule type="dataBar" priority="1774">
      <dataBar>
        <cfvo type="num" val="0"/>
        <cfvo type="num" val="1"/>
        <color theme="4" tint="0.79998168889431442"/>
      </dataBar>
      <extLst>
        <ext xmlns:x14="http://schemas.microsoft.com/office/spreadsheetml/2009/9/main" uri="{B025F937-C7B1-47D3-B67F-A62EFF666E3E}">
          <x14:id>{B3F507E1-DB70-49FA-9A93-95E8B897EFC1}</x14:id>
        </ext>
      </extLst>
    </cfRule>
  </conditionalFormatting>
  <conditionalFormatting sqref="T411">
    <cfRule type="iconSet" priority="1282">
      <iconSet iconSet="3Arrows">
        <cfvo type="percent" val="0"/>
        <cfvo type="num" val="0.7"/>
        <cfvo type="num" val="1"/>
      </iconSet>
    </cfRule>
    <cfRule type="dataBar" priority="1283">
      <dataBar>
        <cfvo type="num" val="0"/>
        <cfvo type="num" val="1"/>
        <color theme="4" tint="0.79998168889431442"/>
      </dataBar>
      <extLst>
        <ext xmlns:x14="http://schemas.microsoft.com/office/spreadsheetml/2009/9/main" uri="{B025F937-C7B1-47D3-B67F-A62EFF666E3E}">
          <x14:id>{F9649A62-C563-4903-8A46-5276A84663C9}</x14:id>
        </ext>
      </extLst>
    </cfRule>
  </conditionalFormatting>
  <conditionalFormatting sqref="T413">
    <cfRule type="iconSet" priority="1266">
      <iconSet iconSet="3Arrows">
        <cfvo type="percent" val="0"/>
        <cfvo type="num" val="0.7"/>
        <cfvo type="num" val="1"/>
      </iconSet>
    </cfRule>
    <cfRule type="dataBar" priority="1267">
      <dataBar>
        <cfvo type="num" val="0"/>
        <cfvo type="num" val="1"/>
        <color theme="4" tint="0.79998168889431442"/>
      </dataBar>
      <extLst>
        <ext xmlns:x14="http://schemas.microsoft.com/office/spreadsheetml/2009/9/main" uri="{B025F937-C7B1-47D3-B67F-A62EFF666E3E}">
          <x14:id>{A6AC3091-A42E-4337-8D12-D1002C012557}</x14:id>
        </ext>
      </extLst>
    </cfRule>
  </conditionalFormatting>
  <conditionalFormatting sqref="T415">
    <cfRule type="iconSet" priority="1274">
      <iconSet iconSet="3Arrows">
        <cfvo type="percent" val="0"/>
        <cfvo type="num" val="0.7"/>
        <cfvo type="num" val="1"/>
      </iconSet>
    </cfRule>
    <cfRule type="dataBar" priority="1275">
      <dataBar>
        <cfvo type="num" val="0"/>
        <cfvo type="num" val="1"/>
        <color theme="4" tint="0.79998168889431442"/>
      </dataBar>
      <extLst>
        <ext xmlns:x14="http://schemas.microsoft.com/office/spreadsheetml/2009/9/main" uri="{B025F937-C7B1-47D3-B67F-A62EFF666E3E}">
          <x14:id>{E0A9F3DD-4F15-4716-AAB7-6CA0D296B8E8}</x14:id>
        </ext>
      </extLst>
    </cfRule>
  </conditionalFormatting>
  <conditionalFormatting sqref="T417">
    <cfRule type="iconSet" priority="3122">
      <iconSet iconSet="3Arrows">
        <cfvo type="percent" val="0"/>
        <cfvo type="num" val="0.7"/>
        <cfvo type="num" val="1"/>
      </iconSet>
    </cfRule>
    <cfRule type="dataBar" priority="3123">
      <dataBar>
        <cfvo type="num" val="0"/>
        <cfvo type="num" val="1"/>
        <color theme="4" tint="0.79998168889431442"/>
      </dataBar>
      <extLst>
        <ext xmlns:x14="http://schemas.microsoft.com/office/spreadsheetml/2009/9/main" uri="{B025F937-C7B1-47D3-B67F-A62EFF666E3E}">
          <x14:id>{501FF8C6-024A-418A-B1B2-61DBD5BA8FAB}</x14:id>
        </ext>
      </extLst>
    </cfRule>
  </conditionalFormatting>
  <conditionalFormatting sqref="T419">
    <cfRule type="iconSet" priority="3098">
      <iconSet iconSet="3Arrows">
        <cfvo type="percent" val="0"/>
        <cfvo type="num" val="0.7"/>
        <cfvo type="num" val="1"/>
      </iconSet>
    </cfRule>
    <cfRule type="dataBar" priority="3099">
      <dataBar>
        <cfvo type="num" val="0"/>
        <cfvo type="num" val="1"/>
        <color theme="4" tint="0.79998168889431442"/>
      </dataBar>
      <extLst>
        <ext xmlns:x14="http://schemas.microsoft.com/office/spreadsheetml/2009/9/main" uri="{B025F937-C7B1-47D3-B67F-A62EFF666E3E}">
          <x14:id>{C8E9C527-9737-4794-8084-60CE85DBE254}</x14:id>
        </ext>
      </extLst>
    </cfRule>
  </conditionalFormatting>
  <conditionalFormatting sqref="T421">
    <cfRule type="iconSet" priority="3114">
      <iconSet iconSet="3Arrows">
        <cfvo type="percent" val="0"/>
        <cfvo type="num" val="0.7"/>
        <cfvo type="num" val="1"/>
      </iconSet>
    </cfRule>
    <cfRule type="dataBar" priority="3115">
      <dataBar>
        <cfvo type="num" val="0"/>
        <cfvo type="num" val="1"/>
        <color theme="4" tint="0.79998168889431442"/>
      </dataBar>
      <extLst>
        <ext xmlns:x14="http://schemas.microsoft.com/office/spreadsheetml/2009/9/main" uri="{B025F937-C7B1-47D3-B67F-A62EFF666E3E}">
          <x14:id>{B248F2A3-1E9F-491D-93A7-87F434CAFB89}</x14:id>
        </ext>
      </extLst>
    </cfRule>
  </conditionalFormatting>
  <conditionalFormatting sqref="T423">
    <cfRule type="iconSet" priority="3106">
      <iconSet iconSet="3Arrows">
        <cfvo type="percent" val="0"/>
        <cfvo type="num" val="0.7"/>
        <cfvo type="num" val="1"/>
      </iconSet>
    </cfRule>
    <cfRule type="dataBar" priority="3107">
      <dataBar>
        <cfvo type="num" val="0"/>
        <cfvo type="num" val="1"/>
        <color theme="4" tint="0.79998168889431442"/>
      </dataBar>
      <extLst>
        <ext xmlns:x14="http://schemas.microsoft.com/office/spreadsheetml/2009/9/main" uri="{B025F937-C7B1-47D3-B67F-A62EFF666E3E}">
          <x14:id>{94131DA1-1B30-429C-88AB-7AE5300D5B37}</x14:id>
        </ext>
      </extLst>
    </cfRule>
  </conditionalFormatting>
  <conditionalFormatting sqref="T425">
    <cfRule type="iconSet" priority="194">
      <iconSet iconSet="3Arrows">
        <cfvo type="percent" val="0"/>
        <cfvo type="num" val="0.7"/>
        <cfvo type="num" val="1"/>
      </iconSet>
    </cfRule>
    <cfRule type="dataBar" priority="195">
      <dataBar>
        <cfvo type="num" val="0"/>
        <cfvo type="num" val="1"/>
        <color theme="4" tint="0.79998168889431442"/>
      </dataBar>
      <extLst>
        <ext xmlns:x14="http://schemas.microsoft.com/office/spreadsheetml/2009/9/main" uri="{B025F937-C7B1-47D3-B67F-A62EFF666E3E}">
          <x14:id>{76616280-575C-4F46-BE85-7E5385C2E4BB}</x14:id>
        </ext>
      </extLst>
    </cfRule>
  </conditionalFormatting>
  <conditionalFormatting sqref="T428">
    <cfRule type="iconSet" priority="4951">
      <iconSet iconSet="3Arrows">
        <cfvo type="percent" val="0"/>
        <cfvo type="num" val="0.7"/>
        <cfvo type="num" val="1"/>
      </iconSet>
    </cfRule>
    <cfRule type="dataBar" priority="4952">
      <dataBar>
        <cfvo type="num" val="0"/>
        <cfvo type="num" val="1"/>
        <color theme="4" tint="0.79998168889431442"/>
      </dataBar>
      <extLst>
        <ext xmlns:x14="http://schemas.microsoft.com/office/spreadsheetml/2009/9/main" uri="{B025F937-C7B1-47D3-B67F-A62EFF666E3E}">
          <x14:id>{61F715C8-EDD0-4CE0-B9E5-60BAE808B455}</x14:id>
        </ext>
      </extLst>
    </cfRule>
  </conditionalFormatting>
  <conditionalFormatting sqref="T430">
    <cfRule type="iconSet" priority="4696">
      <iconSet iconSet="3Arrows">
        <cfvo type="percent" val="0"/>
        <cfvo type="num" val="0.7"/>
        <cfvo type="num" val="1"/>
      </iconSet>
    </cfRule>
    <cfRule type="dataBar" priority="4697">
      <dataBar>
        <cfvo type="num" val="0"/>
        <cfvo type="num" val="1"/>
        <color theme="4" tint="0.79998168889431442"/>
      </dataBar>
      <extLst>
        <ext xmlns:x14="http://schemas.microsoft.com/office/spreadsheetml/2009/9/main" uri="{B025F937-C7B1-47D3-B67F-A62EFF666E3E}">
          <x14:id>{B0379722-C44D-4A08-B560-0CF40312B93A}</x14:id>
        </ext>
      </extLst>
    </cfRule>
  </conditionalFormatting>
  <conditionalFormatting sqref="T432">
    <cfRule type="iconSet" priority="2558">
      <iconSet iconSet="3Arrows">
        <cfvo type="percent" val="0"/>
        <cfvo type="num" val="0.7"/>
        <cfvo type="num" val="1"/>
      </iconSet>
    </cfRule>
    <cfRule type="dataBar" priority="2559">
      <dataBar>
        <cfvo type="num" val="0"/>
        <cfvo type="num" val="1"/>
        <color theme="4" tint="0.79998168889431442"/>
      </dataBar>
      <extLst>
        <ext xmlns:x14="http://schemas.microsoft.com/office/spreadsheetml/2009/9/main" uri="{B025F937-C7B1-47D3-B67F-A62EFF666E3E}">
          <x14:id>{70474AF0-DA04-4F20-9238-D5237B8F129D}</x14:id>
        </ext>
      </extLst>
    </cfRule>
  </conditionalFormatting>
  <conditionalFormatting sqref="T434">
    <cfRule type="iconSet" priority="3045">
      <iconSet iconSet="3Arrows">
        <cfvo type="percent" val="0"/>
        <cfvo type="num" val="0.7"/>
        <cfvo type="num" val="1"/>
      </iconSet>
    </cfRule>
    <cfRule type="dataBar" priority="3046">
      <dataBar>
        <cfvo type="num" val="0"/>
        <cfvo type="num" val="1"/>
        <color theme="4" tint="0.79998168889431442"/>
      </dataBar>
      <extLst>
        <ext xmlns:x14="http://schemas.microsoft.com/office/spreadsheetml/2009/9/main" uri="{B025F937-C7B1-47D3-B67F-A62EFF666E3E}">
          <x14:id>{8EA2AF3B-163C-4B9D-9D35-195439668E2A}</x14:id>
        </ext>
      </extLst>
    </cfRule>
  </conditionalFormatting>
  <conditionalFormatting sqref="T436">
    <cfRule type="iconSet" priority="3043">
      <iconSet iconSet="3Arrows">
        <cfvo type="percent" val="0"/>
        <cfvo type="num" val="0.7"/>
        <cfvo type="num" val="1"/>
      </iconSet>
    </cfRule>
    <cfRule type="dataBar" priority="3044">
      <dataBar>
        <cfvo type="num" val="0"/>
        <cfvo type="num" val="1"/>
        <color theme="4" tint="0.79998168889431442"/>
      </dataBar>
      <extLst>
        <ext xmlns:x14="http://schemas.microsoft.com/office/spreadsheetml/2009/9/main" uri="{B025F937-C7B1-47D3-B67F-A62EFF666E3E}">
          <x14:id>{3FF12E01-9BD6-40EF-879F-559F7CF1AF29}</x14:id>
        </ext>
      </extLst>
    </cfRule>
  </conditionalFormatting>
  <conditionalFormatting sqref="T438">
    <cfRule type="iconSet" priority="3037">
      <iconSet iconSet="3Arrows">
        <cfvo type="percent" val="0"/>
        <cfvo type="num" val="0.7"/>
        <cfvo type="num" val="1"/>
      </iconSet>
    </cfRule>
    <cfRule type="dataBar" priority="3038">
      <dataBar>
        <cfvo type="num" val="0"/>
        <cfvo type="num" val="1"/>
        <color theme="4" tint="0.79998168889431442"/>
      </dataBar>
      <extLst>
        <ext xmlns:x14="http://schemas.microsoft.com/office/spreadsheetml/2009/9/main" uri="{B025F937-C7B1-47D3-B67F-A62EFF666E3E}">
          <x14:id>{FE8376B9-BCD3-497A-AD75-8F36D2FA5A2C}</x14:id>
        </ext>
      </extLst>
    </cfRule>
  </conditionalFormatting>
  <conditionalFormatting sqref="T440">
    <cfRule type="iconSet" priority="3031">
      <iconSet iconSet="3Arrows">
        <cfvo type="percent" val="0"/>
        <cfvo type="num" val="0.7"/>
        <cfvo type="num" val="1"/>
      </iconSet>
    </cfRule>
    <cfRule type="dataBar" priority="3032">
      <dataBar>
        <cfvo type="num" val="0"/>
        <cfvo type="num" val="1"/>
        <color theme="4" tint="0.79998168889431442"/>
      </dataBar>
      <extLst>
        <ext xmlns:x14="http://schemas.microsoft.com/office/spreadsheetml/2009/9/main" uri="{B025F937-C7B1-47D3-B67F-A62EFF666E3E}">
          <x14:id>{CD49F49C-A30E-4F86-A3C1-B3028AE78065}</x14:id>
        </ext>
      </extLst>
    </cfRule>
  </conditionalFormatting>
  <conditionalFormatting sqref="T442">
    <cfRule type="iconSet" priority="1234">
      <iconSet iconSet="3Arrows">
        <cfvo type="percent" val="0"/>
        <cfvo type="num" val="0.7"/>
        <cfvo type="num" val="1"/>
      </iconSet>
    </cfRule>
    <cfRule type="dataBar" priority="1235">
      <dataBar>
        <cfvo type="num" val="0"/>
        <cfvo type="num" val="1"/>
        <color theme="4" tint="0.79998168889431442"/>
      </dataBar>
      <extLst>
        <ext xmlns:x14="http://schemas.microsoft.com/office/spreadsheetml/2009/9/main" uri="{B025F937-C7B1-47D3-B67F-A62EFF666E3E}">
          <x14:id>{94E3207A-6BCA-4F88-A11B-4DEAD502E555}</x14:id>
        </ext>
      </extLst>
    </cfRule>
  </conditionalFormatting>
  <conditionalFormatting sqref="T444">
    <cfRule type="iconSet" priority="4945">
      <iconSet iconSet="3Arrows">
        <cfvo type="percent" val="0"/>
        <cfvo type="num" val="0.7"/>
        <cfvo type="num" val="1"/>
      </iconSet>
    </cfRule>
    <cfRule type="dataBar" priority="4946">
      <dataBar>
        <cfvo type="num" val="0"/>
        <cfvo type="num" val="1"/>
        <color theme="4" tint="0.79998168889431442"/>
      </dataBar>
      <extLst>
        <ext xmlns:x14="http://schemas.microsoft.com/office/spreadsheetml/2009/9/main" uri="{B025F937-C7B1-47D3-B67F-A62EFF666E3E}">
          <x14:id>{F9E43BA7-250F-4590-8D2F-7E56814B80A3}</x14:id>
        </ext>
      </extLst>
    </cfRule>
  </conditionalFormatting>
  <conditionalFormatting sqref="T446">
    <cfRule type="iconSet" priority="1220">
      <iconSet iconSet="3Arrows">
        <cfvo type="percent" val="0"/>
        <cfvo type="num" val="0.7"/>
        <cfvo type="num" val="1"/>
      </iconSet>
    </cfRule>
    <cfRule type="dataBar" priority="1221">
      <dataBar>
        <cfvo type="num" val="0"/>
        <cfvo type="num" val="1"/>
        <color theme="4" tint="0.79998168889431442"/>
      </dataBar>
      <extLst>
        <ext xmlns:x14="http://schemas.microsoft.com/office/spreadsheetml/2009/9/main" uri="{B025F937-C7B1-47D3-B67F-A62EFF666E3E}">
          <x14:id>{3E162EA6-E107-4EE1-8C6A-A13E752357BC}</x14:id>
        </ext>
      </extLst>
    </cfRule>
  </conditionalFormatting>
  <conditionalFormatting sqref="T448">
    <cfRule type="iconSet" priority="4943">
      <iconSet iconSet="3Arrows">
        <cfvo type="percent" val="0"/>
        <cfvo type="num" val="0.7"/>
        <cfvo type="num" val="1"/>
      </iconSet>
    </cfRule>
    <cfRule type="dataBar" priority="4944">
      <dataBar>
        <cfvo type="num" val="0"/>
        <cfvo type="num" val="1"/>
        <color theme="4" tint="0.79998168889431442"/>
      </dataBar>
      <extLst>
        <ext xmlns:x14="http://schemas.microsoft.com/office/spreadsheetml/2009/9/main" uri="{B025F937-C7B1-47D3-B67F-A62EFF666E3E}">
          <x14:id>{581D4397-A577-4085-AC04-018E8FD9B3E3}</x14:id>
        </ext>
      </extLst>
    </cfRule>
  </conditionalFormatting>
  <conditionalFormatting sqref="T450">
    <cfRule type="iconSet" priority="4937">
      <iconSet iconSet="3Arrows">
        <cfvo type="percent" val="0"/>
        <cfvo type="num" val="0.7"/>
        <cfvo type="num" val="1"/>
      </iconSet>
    </cfRule>
    <cfRule type="dataBar" priority="4938">
      <dataBar>
        <cfvo type="num" val="0"/>
        <cfvo type="num" val="1"/>
        <color theme="4" tint="0.79998168889431442"/>
      </dataBar>
      <extLst>
        <ext xmlns:x14="http://schemas.microsoft.com/office/spreadsheetml/2009/9/main" uri="{B025F937-C7B1-47D3-B67F-A62EFF666E3E}">
          <x14:id>{725220DD-8DEC-427D-81D6-5F5E5E3560CD}</x14:id>
        </ext>
      </extLst>
    </cfRule>
  </conditionalFormatting>
  <conditionalFormatting sqref="T452">
    <cfRule type="iconSet" priority="4931">
      <iconSet iconSet="3Arrows">
        <cfvo type="percent" val="0"/>
        <cfvo type="num" val="0.7"/>
        <cfvo type="num" val="1"/>
      </iconSet>
    </cfRule>
    <cfRule type="dataBar" priority="4932">
      <dataBar>
        <cfvo type="num" val="0"/>
        <cfvo type="num" val="1"/>
        <color theme="4" tint="0.79998168889431442"/>
      </dataBar>
      <extLst>
        <ext xmlns:x14="http://schemas.microsoft.com/office/spreadsheetml/2009/9/main" uri="{B025F937-C7B1-47D3-B67F-A62EFF666E3E}">
          <x14:id>{09FB0718-54DD-4D7C-8EEE-E4C311E02C18}</x14:id>
        </ext>
      </extLst>
    </cfRule>
  </conditionalFormatting>
  <conditionalFormatting sqref="T454">
    <cfRule type="iconSet" priority="4925">
      <iconSet iconSet="3Arrows">
        <cfvo type="percent" val="0"/>
        <cfvo type="num" val="0.7"/>
        <cfvo type="num" val="1"/>
      </iconSet>
    </cfRule>
    <cfRule type="dataBar" priority="4926">
      <dataBar>
        <cfvo type="num" val="0"/>
        <cfvo type="num" val="1"/>
        <color theme="4" tint="0.79998168889431442"/>
      </dataBar>
      <extLst>
        <ext xmlns:x14="http://schemas.microsoft.com/office/spreadsheetml/2009/9/main" uri="{B025F937-C7B1-47D3-B67F-A62EFF666E3E}">
          <x14:id>{F29D9332-38C8-4458-8CDB-82CBFDAF7D4F}</x14:id>
        </ext>
      </extLst>
    </cfRule>
  </conditionalFormatting>
  <conditionalFormatting sqref="T456">
    <cfRule type="iconSet" priority="4919">
      <iconSet iconSet="3Arrows">
        <cfvo type="percent" val="0"/>
        <cfvo type="num" val="0.7"/>
        <cfvo type="num" val="1"/>
      </iconSet>
    </cfRule>
    <cfRule type="dataBar" priority="4920">
      <dataBar>
        <cfvo type="num" val="0"/>
        <cfvo type="num" val="1"/>
        <color theme="4" tint="0.79998168889431442"/>
      </dataBar>
      <extLst>
        <ext xmlns:x14="http://schemas.microsoft.com/office/spreadsheetml/2009/9/main" uri="{B025F937-C7B1-47D3-B67F-A62EFF666E3E}">
          <x14:id>{BCEC0D89-4679-4767-97F6-3C37E72A9C81}</x14:id>
        </ext>
      </extLst>
    </cfRule>
  </conditionalFormatting>
  <conditionalFormatting sqref="T458">
    <cfRule type="iconSet" priority="4909">
      <iconSet iconSet="3Arrows">
        <cfvo type="percent" val="0"/>
        <cfvo type="num" val="0.7"/>
        <cfvo type="num" val="1"/>
      </iconSet>
    </cfRule>
    <cfRule type="dataBar" priority="4910">
      <dataBar>
        <cfvo type="num" val="0"/>
        <cfvo type="num" val="1"/>
        <color theme="4" tint="0.79998168889431442"/>
      </dataBar>
      <extLst>
        <ext xmlns:x14="http://schemas.microsoft.com/office/spreadsheetml/2009/9/main" uri="{B025F937-C7B1-47D3-B67F-A62EFF666E3E}">
          <x14:id>{176725D7-11F5-45D3-8471-DCEA46B770CA}</x14:id>
        </ext>
      </extLst>
    </cfRule>
  </conditionalFormatting>
  <conditionalFormatting sqref="T460">
    <cfRule type="iconSet" priority="2542">
      <iconSet iconSet="3Arrows">
        <cfvo type="percent" val="0"/>
        <cfvo type="num" val="0.7"/>
        <cfvo type="num" val="1"/>
      </iconSet>
    </cfRule>
    <cfRule type="dataBar" priority="2543">
      <dataBar>
        <cfvo type="num" val="0"/>
        <cfvo type="num" val="1"/>
        <color theme="4" tint="0.79998168889431442"/>
      </dataBar>
      <extLst>
        <ext xmlns:x14="http://schemas.microsoft.com/office/spreadsheetml/2009/9/main" uri="{B025F937-C7B1-47D3-B67F-A62EFF666E3E}">
          <x14:id>{021E7D60-DCEE-4EDE-B3D7-E859975E3E8A}</x14:id>
        </ext>
      </extLst>
    </cfRule>
  </conditionalFormatting>
  <conditionalFormatting sqref="T462">
    <cfRule type="iconSet" priority="4901">
      <iconSet iconSet="3Arrows">
        <cfvo type="percent" val="0"/>
        <cfvo type="num" val="0.7"/>
        <cfvo type="num" val="1"/>
      </iconSet>
    </cfRule>
    <cfRule type="dataBar" priority="4902">
      <dataBar>
        <cfvo type="num" val="0"/>
        <cfvo type="num" val="1"/>
        <color theme="4" tint="0.79998168889431442"/>
      </dataBar>
      <extLst>
        <ext xmlns:x14="http://schemas.microsoft.com/office/spreadsheetml/2009/9/main" uri="{B025F937-C7B1-47D3-B67F-A62EFF666E3E}">
          <x14:id>{79450D7E-0208-468F-B977-8C03BD64FBEF}</x14:id>
        </ext>
      </extLst>
    </cfRule>
  </conditionalFormatting>
  <conditionalFormatting sqref="T464">
    <cfRule type="iconSet" priority="4885">
      <iconSet iconSet="3Arrows">
        <cfvo type="percent" val="0"/>
        <cfvo type="num" val="0.7"/>
        <cfvo type="num" val="1"/>
      </iconSet>
    </cfRule>
    <cfRule type="dataBar" priority="4886">
      <dataBar>
        <cfvo type="num" val="0"/>
        <cfvo type="num" val="1"/>
        <color theme="4" tint="0.79998168889431442"/>
      </dataBar>
      <extLst>
        <ext xmlns:x14="http://schemas.microsoft.com/office/spreadsheetml/2009/9/main" uri="{B025F937-C7B1-47D3-B67F-A62EFF666E3E}">
          <x14:id>{AAB111C3-EAFA-430C-85D6-C0DB10ACBA4B}</x14:id>
        </ext>
      </extLst>
    </cfRule>
  </conditionalFormatting>
  <conditionalFormatting sqref="T466">
    <cfRule type="iconSet" priority="3293">
      <iconSet iconSet="3Arrows">
        <cfvo type="percent" val="0"/>
        <cfvo type="num" val="0.7"/>
        <cfvo type="num" val="1"/>
      </iconSet>
    </cfRule>
    <cfRule type="dataBar" priority="3294">
      <dataBar>
        <cfvo type="num" val="0"/>
        <cfvo type="num" val="1"/>
        <color theme="4" tint="0.79998168889431442"/>
      </dataBar>
      <extLst>
        <ext xmlns:x14="http://schemas.microsoft.com/office/spreadsheetml/2009/9/main" uri="{B025F937-C7B1-47D3-B67F-A62EFF666E3E}">
          <x14:id>{80FFB952-9A90-4F2B-A075-D6B0C4FDD0EF}</x14:id>
        </ext>
      </extLst>
    </cfRule>
  </conditionalFormatting>
  <conditionalFormatting sqref="T468">
    <cfRule type="iconSet" priority="3279">
      <iconSet iconSet="3Arrows">
        <cfvo type="percent" val="0"/>
        <cfvo type="num" val="0.7"/>
        <cfvo type="num" val="1"/>
      </iconSet>
    </cfRule>
    <cfRule type="dataBar" priority="3280">
      <dataBar>
        <cfvo type="num" val="0"/>
        <cfvo type="num" val="1"/>
        <color theme="4" tint="0.79998168889431442"/>
      </dataBar>
      <extLst>
        <ext xmlns:x14="http://schemas.microsoft.com/office/spreadsheetml/2009/9/main" uri="{B025F937-C7B1-47D3-B67F-A62EFF666E3E}">
          <x14:id>{37011C5E-03E5-46DB-ADEC-A618F628BCC4}</x14:id>
        </ext>
      </extLst>
    </cfRule>
  </conditionalFormatting>
  <conditionalFormatting sqref="T470">
    <cfRule type="iconSet" priority="4893">
      <iconSet iconSet="3Arrows">
        <cfvo type="percent" val="0"/>
        <cfvo type="num" val="0.7"/>
        <cfvo type="num" val="1"/>
      </iconSet>
    </cfRule>
    <cfRule type="dataBar" priority="4894">
      <dataBar>
        <cfvo type="num" val="0"/>
        <cfvo type="num" val="1"/>
        <color theme="4" tint="0.79998168889431442"/>
      </dataBar>
      <extLst>
        <ext xmlns:x14="http://schemas.microsoft.com/office/spreadsheetml/2009/9/main" uri="{B025F937-C7B1-47D3-B67F-A62EFF666E3E}">
          <x14:id>{A57CCC4D-D957-49F1-9BE1-71E4D7128FDE}</x14:id>
        </ext>
      </extLst>
    </cfRule>
  </conditionalFormatting>
  <conditionalFormatting sqref="T472">
    <cfRule type="iconSet" priority="4877">
      <iconSet iconSet="3Arrows">
        <cfvo type="percent" val="0"/>
        <cfvo type="num" val="0.7"/>
        <cfvo type="num" val="1"/>
      </iconSet>
    </cfRule>
    <cfRule type="dataBar" priority="4878">
      <dataBar>
        <cfvo type="num" val="0"/>
        <cfvo type="num" val="1"/>
        <color theme="4" tint="0.79998168889431442"/>
      </dataBar>
      <extLst>
        <ext xmlns:x14="http://schemas.microsoft.com/office/spreadsheetml/2009/9/main" uri="{B025F937-C7B1-47D3-B67F-A62EFF666E3E}">
          <x14:id>{45320306-2F0A-4F4D-AD3A-0AE254197A89}</x14:id>
        </ext>
      </extLst>
    </cfRule>
  </conditionalFormatting>
  <conditionalFormatting sqref="T474">
    <cfRule type="iconSet" priority="4869">
      <iconSet iconSet="3Arrows">
        <cfvo type="percent" val="0"/>
        <cfvo type="num" val="0.7"/>
        <cfvo type="num" val="1"/>
      </iconSet>
    </cfRule>
    <cfRule type="dataBar" priority="4870">
      <dataBar>
        <cfvo type="num" val="0"/>
        <cfvo type="num" val="1"/>
        <color theme="4" tint="0.79998168889431442"/>
      </dataBar>
      <extLst>
        <ext xmlns:x14="http://schemas.microsoft.com/office/spreadsheetml/2009/9/main" uri="{B025F937-C7B1-47D3-B67F-A62EFF666E3E}">
          <x14:id>{F568C9EF-ADF6-451B-8EAA-DE70E7844FB1}</x14:id>
        </ext>
      </extLst>
    </cfRule>
  </conditionalFormatting>
  <conditionalFormatting sqref="T476">
    <cfRule type="iconSet" priority="4522">
      <iconSet iconSet="3Arrows">
        <cfvo type="percent" val="0"/>
        <cfvo type="num" val="0.7"/>
        <cfvo type="num" val="1"/>
      </iconSet>
    </cfRule>
    <cfRule type="dataBar" priority="4523">
      <dataBar>
        <cfvo type="num" val="0"/>
        <cfvo type="num" val="1"/>
        <color theme="4" tint="0.79998168889431442"/>
      </dataBar>
      <extLst>
        <ext xmlns:x14="http://schemas.microsoft.com/office/spreadsheetml/2009/9/main" uri="{B025F937-C7B1-47D3-B67F-A62EFF666E3E}">
          <x14:id>{CCB0DB9F-B1B5-4557-BBC5-11ED727E7DE7}</x14:id>
        </ext>
      </extLst>
    </cfRule>
  </conditionalFormatting>
  <conditionalFormatting sqref="T478">
    <cfRule type="iconSet" priority="3458">
      <iconSet iconSet="3Arrows">
        <cfvo type="percent" val="0"/>
        <cfvo type="num" val="0.7"/>
        <cfvo type="num" val="1"/>
      </iconSet>
    </cfRule>
    <cfRule type="dataBar" priority="3459">
      <dataBar>
        <cfvo type="num" val="0"/>
        <cfvo type="num" val="1"/>
        <color theme="4" tint="0.79998168889431442"/>
      </dataBar>
      <extLst>
        <ext xmlns:x14="http://schemas.microsoft.com/office/spreadsheetml/2009/9/main" uri="{B025F937-C7B1-47D3-B67F-A62EFF666E3E}">
          <x14:id>{06E0E99D-A8AD-4C89-8EDE-38F26C093263}</x14:id>
        </ext>
      </extLst>
    </cfRule>
  </conditionalFormatting>
  <conditionalFormatting sqref="T480">
    <cfRule type="iconSet" priority="2999">
      <iconSet iconSet="3Arrows">
        <cfvo type="percent" val="0"/>
        <cfvo type="num" val="0.7"/>
        <cfvo type="num" val="1"/>
      </iconSet>
    </cfRule>
    <cfRule type="dataBar" priority="3000">
      <dataBar>
        <cfvo type="num" val="0"/>
        <cfvo type="num" val="1"/>
        <color theme="4" tint="0.79998168889431442"/>
      </dataBar>
      <extLst>
        <ext xmlns:x14="http://schemas.microsoft.com/office/spreadsheetml/2009/9/main" uri="{B025F937-C7B1-47D3-B67F-A62EFF666E3E}">
          <x14:id>{E3D4F586-0650-4DA7-AFC1-8D2935FEB3C5}</x14:id>
        </ext>
      </extLst>
    </cfRule>
  </conditionalFormatting>
  <conditionalFormatting sqref="T482">
    <cfRule type="iconSet" priority="2985">
      <iconSet iconSet="3Arrows">
        <cfvo type="percent" val="0"/>
        <cfvo type="num" val="0.7"/>
        <cfvo type="num" val="1"/>
      </iconSet>
    </cfRule>
    <cfRule type="dataBar" priority="2986">
      <dataBar>
        <cfvo type="num" val="0"/>
        <cfvo type="num" val="1"/>
        <color theme="4" tint="0.79998168889431442"/>
      </dataBar>
      <extLst>
        <ext xmlns:x14="http://schemas.microsoft.com/office/spreadsheetml/2009/9/main" uri="{B025F937-C7B1-47D3-B67F-A62EFF666E3E}">
          <x14:id>{F0D409EC-9D9F-4A1F-9701-4FFA3F026595}</x14:id>
        </ext>
      </extLst>
    </cfRule>
  </conditionalFormatting>
  <conditionalFormatting sqref="T484">
    <cfRule type="iconSet" priority="2208">
      <iconSet iconSet="3Arrows">
        <cfvo type="percent" val="0"/>
        <cfvo type="num" val="0.7"/>
        <cfvo type="num" val="1"/>
      </iconSet>
    </cfRule>
    <cfRule type="dataBar" priority="2209">
      <dataBar>
        <cfvo type="num" val="0"/>
        <cfvo type="num" val="1"/>
        <color theme="4" tint="0.79998168889431442"/>
      </dataBar>
      <extLst>
        <ext xmlns:x14="http://schemas.microsoft.com/office/spreadsheetml/2009/9/main" uri="{B025F937-C7B1-47D3-B67F-A62EFF666E3E}">
          <x14:id>{1F8026FA-F76B-4C20-9CDF-7C78D601EBE5}</x14:id>
        </ext>
      </extLst>
    </cfRule>
  </conditionalFormatting>
  <conditionalFormatting sqref="T486">
    <cfRule type="iconSet" priority="4861">
      <iconSet iconSet="3Arrows">
        <cfvo type="percent" val="0"/>
        <cfvo type="num" val="0.7"/>
        <cfvo type="num" val="1"/>
      </iconSet>
    </cfRule>
    <cfRule type="dataBar" priority="4862">
      <dataBar>
        <cfvo type="num" val="0"/>
        <cfvo type="num" val="1"/>
        <color theme="4" tint="0.79998168889431442"/>
      </dataBar>
      <extLst>
        <ext xmlns:x14="http://schemas.microsoft.com/office/spreadsheetml/2009/9/main" uri="{B025F937-C7B1-47D3-B67F-A62EFF666E3E}">
          <x14:id>{F7E9766D-8AE3-4CB1-97B7-69A8125E5DD6}</x14:id>
        </ext>
      </extLst>
    </cfRule>
  </conditionalFormatting>
  <conditionalFormatting sqref="T488">
    <cfRule type="iconSet" priority="2096">
      <iconSet iconSet="3Arrows">
        <cfvo type="percent" val="0"/>
        <cfvo type="num" val="0.7"/>
        <cfvo type="num" val="1"/>
      </iconSet>
    </cfRule>
    <cfRule type="dataBar" priority="2097">
      <dataBar>
        <cfvo type="num" val="0"/>
        <cfvo type="num" val="1"/>
        <color theme="4" tint="0.79998168889431442"/>
      </dataBar>
      <extLst>
        <ext xmlns:x14="http://schemas.microsoft.com/office/spreadsheetml/2009/9/main" uri="{B025F937-C7B1-47D3-B67F-A62EFF666E3E}">
          <x14:id>{1456B893-DAE5-429D-BE67-26CD2B42EDE7}</x14:id>
        </ext>
      </extLst>
    </cfRule>
  </conditionalFormatting>
  <conditionalFormatting sqref="T490">
    <cfRule type="iconSet" priority="2131">
      <iconSet iconSet="3Arrows">
        <cfvo type="percent" val="0"/>
        <cfvo type="num" val="0.7"/>
        <cfvo type="num" val="1"/>
      </iconSet>
    </cfRule>
    <cfRule type="dataBar" priority="2132">
      <dataBar>
        <cfvo type="num" val="0"/>
        <cfvo type="num" val="1"/>
        <color theme="4" tint="0.79998168889431442"/>
      </dataBar>
      <extLst>
        <ext xmlns:x14="http://schemas.microsoft.com/office/spreadsheetml/2009/9/main" uri="{B025F937-C7B1-47D3-B67F-A62EFF666E3E}">
          <x14:id>{718706D9-CF28-44C9-BB7B-CF11DFFEBC34}</x14:id>
        </ext>
      </extLst>
    </cfRule>
  </conditionalFormatting>
  <conditionalFormatting sqref="T492">
    <cfRule type="iconSet" priority="2129">
      <iconSet iconSet="3Arrows">
        <cfvo type="percent" val="0"/>
        <cfvo type="num" val="0.7"/>
        <cfvo type="num" val="1"/>
      </iconSet>
    </cfRule>
    <cfRule type="dataBar" priority="2130">
      <dataBar>
        <cfvo type="num" val="0"/>
        <cfvo type="num" val="1"/>
        <color theme="4" tint="0.79998168889431442"/>
      </dataBar>
      <extLst>
        <ext xmlns:x14="http://schemas.microsoft.com/office/spreadsheetml/2009/9/main" uri="{B025F937-C7B1-47D3-B67F-A62EFF666E3E}">
          <x14:id>{A4E4C821-FE3F-446E-9ACE-80230F226B5D}</x14:id>
        </ext>
      </extLst>
    </cfRule>
  </conditionalFormatting>
  <conditionalFormatting sqref="T494">
    <cfRule type="iconSet" priority="2123">
      <iconSet iconSet="3Arrows">
        <cfvo type="percent" val="0"/>
        <cfvo type="num" val="0.7"/>
        <cfvo type="num" val="1"/>
      </iconSet>
    </cfRule>
    <cfRule type="dataBar" priority="2124">
      <dataBar>
        <cfvo type="num" val="0"/>
        <cfvo type="num" val="1"/>
        <color theme="4" tint="0.79998168889431442"/>
      </dataBar>
      <extLst>
        <ext xmlns:x14="http://schemas.microsoft.com/office/spreadsheetml/2009/9/main" uri="{B025F937-C7B1-47D3-B67F-A62EFF666E3E}">
          <x14:id>{F94833AC-2DCE-4D2A-BCA5-0124664986F8}</x14:id>
        </ext>
      </extLst>
    </cfRule>
  </conditionalFormatting>
  <conditionalFormatting sqref="T496">
    <cfRule type="iconSet" priority="2117">
      <iconSet iconSet="3Arrows">
        <cfvo type="percent" val="0"/>
        <cfvo type="num" val="0.7"/>
        <cfvo type="num" val="1"/>
      </iconSet>
    </cfRule>
    <cfRule type="dataBar" priority="2118">
      <dataBar>
        <cfvo type="num" val="0"/>
        <cfvo type="num" val="1"/>
        <color theme="4" tint="0.79998168889431442"/>
      </dataBar>
      <extLst>
        <ext xmlns:x14="http://schemas.microsoft.com/office/spreadsheetml/2009/9/main" uri="{B025F937-C7B1-47D3-B67F-A62EFF666E3E}">
          <x14:id>{E20EEE55-6B7D-44CC-9C35-D4172F70AA6E}</x14:id>
        </ext>
      </extLst>
    </cfRule>
  </conditionalFormatting>
  <conditionalFormatting sqref="T498">
    <cfRule type="iconSet" priority="2111">
      <iconSet iconSet="3Arrows">
        <cfvo type="percent" val="0"/>
        <cfvo type="num" val="0.7"/>
        <cfvo type="num" val="1"/>
      </iconSet>
    </cfRule>
    <cfRule type="dataBar" priority="2112">
      <dataBar>
        <cfvo type="num" val="0"/>
        <cfvo type="num" val="1"/>
        <color theme="4" tint="0.79998168889431442"/>
      </dataBar>
      <extLst>
        <ext xmlns:x14="http://schemas.microsoft.com/office/spreadsheetml/2009/9/main" uri="{B025F937-C7B1-47D3-B67F-A62EFF666E3E}">
          <x14:id>{CA6494CA-F204-4AB9-B94D-FE392AC8550B}</x14:id>
        </ext>
      </extLst>
    </cfRule>
  </conditionalFormatting>
  <conditionalFormatting sqref="T500">
    <cfRule type="iconSet" priority="2105">
      <iconSet iconSet="3Arrows">
        <cfvo type="percent" val="0"/>
        <cfvo type="num" val="0.7"/>
        <cfvo type="num" val="1"/>
      </iconSet>
    </cfRule>
    <cfRule type="dataBar" priority="2106">
      <dataBar>
        <cfvo type="num" val="0"/>
        <cfvo type="num" val="1"/>
        <color theme="4" tint="0.79998168889431442"/>
      </dataBar>
      <extLst>
        <ext xmlns:x14="http://schemas.microsoft.com/office/spreadsheetml/2009/9/main" uri="{B025F937-C7B1-47D3-B67F-A62EFF666E3E}">
          <x14:id>{EE17C718-C586-4448-BE6E-DC32FFA85FA1}</x14:id>
        </ext>
      </extLst>
    </cfRule>
  </conditionalFormatting>
  <conditionalFormatting sqref="T502">
    <cfRule type="iconSet" priority="1604">
      <iconSet iconSet="3Arrows">
        <cfvo type="percent" val="0"/>
        <cfvo type="num" val="0.7"/>
        <cfvo type="num" val="1"/>
      </iconSet>
    </cfRule>
    <cfRule type="dataBar" priority="1605">
      <dataBar>
        <cfvo type="num" val="0"/>
        <cfvo type="num" val="1"/>
        <color theme="4" tint="0.79998168889431442"/>
      </dataBar>
      <extLst>
        <ext xmlns:x14="http://schemas.microsoft.com/office/spreadsheetml/2009/9/main" uri="{B025F937-C7B1-47D3-B67F-A62EFF666E3E}">
          <x14:id>{C621557D-C824-4033-BDD9-496E86817FB6}</x14:id>
        </ext>
      </extLst>
    </cfRule>
  </conditionalFormatting>
  <conditionalFormatting sqref="T504">
    <cfRule type="iconSet" priority="1638">
      <iconSet iconSet="3Arrows">
        <cfvo type="percent" val="0"/>
        <cfvo type="num" val="0.7"/>
        <cfvo type="num" val="1"/>
      </iconSet>
    </cfRule>
    <cfRule type="dataBar" priority="1639">
      <dataBar>
        <cfvo type="num" val="0"/>
        <cfvo type="num" val="1"/>
        <color theme="4" tint="0.79998168889431442"/>
      </dataBar>
      <extLst>
        <ext xmlns:x14="http://schemas.microsoft.com/office/spreadsheetml/2009/9/main" uri="{B025F937-C7B1-47D3-B67F-A62EFF666E3E}">
          <x14:id>{6609D663-2CDB-4690-9B77-1AC8BBF10B08}</x14:id>
        </ext>
      </extLst>
    </cfRule>
  </conditionalFormatting>
  <conditionalFormatting sqref="T506">
    <cfRule type="iconSet" priority="1636">
      <iconSet iconSet="3Arrows">
        <cfvo type="percent" val="0"/>
        <cfvo type="num" val="0.7"/>
        <cfvo type="num" val="1"/>
      </iconSet>
    </cfRule>
    <cfRule type="dataBar" priority="1637">
      <dataBar>
        <cfvo type="num" val="0"/>
        <cfvo type="num" val="1"/>
        <color theme="4" tint="0.79998168889431442"/>
      </dataBar>
      <extLst>
        <ext xmlns:x14="http://schemas.microsoft.com/office/spreadsheetml/2009/9/main" uri="{B025F937-C7B1-47D3-B67F-A62EFF666E3E}">
          <x14:id>{1CE8F4C4-FBD3-4336-8DC4-32BCFE49537E}</x14:id>
        </ext>
      </extLst>
    </cfRule>
  </conditionalFormatting>
  <conditionalFormatting sqref="T508">
    <cfRule type="iconSet" priority="1630">
      <iconSet iconSet="3Arrows">
        <cfvo type="percent" val="0"/>
        <cfvo type="num" val="0.7"/>
        <cfvo type="num" val="1"/>
      </iconSet>
    </cfRule>
    <cfRule type="dataBar" priority="1631">
      <dataBar>
        <cfvo type="num" val="0"/>
        <cfvo type="num" val="1"/>
        <color theme="4" tint="0.79998168889431442"/>
      </dataBar>
      <extLst>
        <ext xmlns:x14="http://schemas.microsoft.com/office/spreadsheetml/2009/9/main" uri="{B025F937-C7B1-47D3-B67F-A62EFF666E3E}">
          <x14:id>{79BC60F5-F246-41BF-B4B8-B053F325622A}</x14:id>
        </ext>
      </extLst>
    </cfRule>
  </conditionalFormatting>
  <conditionalFormatting sqref="T510">
    <cfRule type="iconSet" priority="103">
      <iconSet iconSet="3Arrows">
        <cfvo type="percent" val="0"/>
        <cfvo type="num" val="0.7"/>
        <cfvo type="num" val="1"/>
      </iconSet>
    </cfRule>
    <cfRule type="dataBar" priority="104">
      <dataBar>
        <cfvo type="num" val="0"/>
        <cfvo type="num" val="1"/>
        <color theme="4" tint="0.79998168889431442"/>
      </dataBar>
      <extLst>
        <ext xmlns:x14="http://schemas.microsoft.com/office/spreadsheetml/2009/9/main" uri="{B025F937-C7B1-47D3-B67F-A62EFF666E3E}">
          <x14:id>{6D4BF923-C8D2-4A7E-A871-A561D2E37207}</x14:id>
        </ext>
      </extLst>
    </cfRule>
  </conditionalFormatting>
  <conditionalFormatting sqref="T512">
    <cfRule type="iconSet" priority="1624">
      <iconSet iconSet="3Arrows">
        <cfvo type="percent" val="0"/>
        <cfvo type="num" val="0.7"/>
        <cfvo type="num" val="1"/>
      </iconSet>
    </cfRule>
    <cfRule type="dataBar" priority="1625">
      <dataBar>
        <cfvo type="num" val="0"/>
        <cfvo type="num" val="1"/>
        <color theme="4" tint="0.79998168889431442"/>
      </dataBar>
      <extLst>
        <ext xmlns:x14="http://schemas.microsoft.com/office/spreadsheetml/2009/9/main" uri="{B025F937-C7B1-47D3-B67F-A62EFF666E3E}">
          <x14:id>{E5A0104E-913E-4C06-ADED-992EBBC25327}</x14:id>
        </ext>
      </extLst>
    </cfRule>
  </conditionalFormatting>
  <conditionalFormatting sqref="T514">
    <cfRule type="iconSet" priority="87">
      <iconSet iconSet="3Arrows">
        <cfvo type="percent" val="0"/>
        <cfvo type="num" val="0.7"/>
        <cfvo type="num" val="1"/>
      </iconSet>
    </cfRule>
    <cfRule type="dataBar" priority="88">
      <dataBar>
        <cfvo type="num" val="0"/>
        <cfvo type="num" val="1"/>
        <color theme="4" tint="0.79998168889431442"/>
      </dataBar>
      <extLst>
        <ext xmlns:x14="http://schemas.microsoft.com/office/spreadsheetml/2009/9/main" uri="{B025F937-C7B1-47D3-B67F-A62EFF666E3E}">
          <x14:id>{EC86E835-4200-4645-B072-4385054EC9F2}</x14:id>
        </ext>
      </extLst>
    </cfRule>
  </conditionalFormatting>
  <conditionalFormatting sqref="T516">
    <cfRule type="iconSet" priority="283">
      <iconSet iconSet="3Arrows">
        <cfvo type="percent" val="0"/>
        <cfvo type="num" val="0.7"/>
        <cfvo type="num" val="1"/>
      </iconSet>
    </cfRule>
    <cfRule type="dataBar" priority="284">
      <dataBar>
        <cfvo type="num" val="0"/>
        <cfvo type="num" val="1"/>
        <color theme="4" tint="0.79998168889431442"/>
      </dataBar>
      <extLst>
        <ext xmlns:x14="http://schemas.microsoft.com/office/spreadsheetml/2009/9/main" uri="{B025F937-C7B1-47D3-B67F-A62EFF666E3E}">
          <x14:id>{ED3B565F-8C3B-4EFE-91B7-849A735457FE}</x14:id>
        </ext>
      </extLst>
    </cfRule>
  </conditionalFormatting>
  <conditionalFormatting sqref="T518">
    <cfRule type="iconSet" priority="267">
      <iconSet iconSet="3Arrows">
        <cfvo type="percent" val="0"/>
        <cfvo type="num" val="0.7"/>
        <cfvo type="num" val="1"/>
      </iconSet>
    </cfRule>
    <cfRule type="dataBar" priority="268">
      <dataBar>
        <cfvo type="num" val="0"/>
        <cfvo type="num" val="1"/>
        <color theme="4" tint="0.79998168889431442"/>
      </dataBar>
      <extLst>
        <ext xmlns:x14="http://schemas.microsoft.com/office/spreadsheetml/2009/9/main" uri="{B025F937-C7B1-47D3-B67F-A62EFF666E3E}">
          <x14:id>{0563B962-1436-464A-9EA4-C879339F994B}</x14:id>
        </ext>
      </extLst>
    </cfRule>
  </conditionalFormatting>
  <conditionalFormatting sqref="T520">
    <cfRule type="iconSet" priority="1618">
      <iconSet iconSet="3Arrows">
        <cfvo type="percent" val="0"/>
        <cfvo type="num" val="0.7"/>
        <cfvo type="num" val="1"/>
      </iconSet>
    </cfRule>
    <cfRule type="dataBar" priority="1619">
      <dataBar>
        <cfvo type="num" val="0"/>
        <cfvo type="num" val="1"/>
        <color theme="4" tint="0.79998168889431442"/>
      </dataBar>
      <extLst>
        <ext xmlns:x14="http://schemas.microsoft.com/office/spreadsheetml/2009/9/main" uri="{B025F937-C7B1-47D3-B67F-A62EFF666E3E}">
          <x14:id>{2F65275D-106B-43DE-BD31-12F36CC051EF}</x14:id>
        </ext>
      </extLst>
    </cfRule>
  </conditionalFormatting>
  <conditionalFormatting sqref="T522">
    <cfRule type="iconSet" priority="524">
      <iconSet iconSet="3Arrows">
        <cfvo type="percent" val="0"/>
        <cfvo type="num" val="0.7"/>
        <cfvo type="num" val="1"/>
      </iconSet>
    </cfRule>
    <cfRule type="dataBar" priority="525">
      <dataBar>
        <cfvo type="num" val="0"/>
        <cfvo type="num" val="1"/>
        <color theme="4" tint="0.79998168889431442"/>
      </dataBar>
      <extLst>
        <ext xmlns:x14="http://schemas.microsoft.com/office/spreadsheetml/2009/9/main" uri="{B025F937-C7B1-47D3-B67F-A62EFF666E3E}">
          <x14:id>{95D7DCB6-9655-4738-A211-5A41EEA5F851}</x14:id>
        </ext>
      </extLst>
    </cfRule>
  </conditionalFormatting>
  <conditionalFormatting sqref="T524">
    <cfRule type="iconSet" priority="508">
      <iconSet iconSet="3Arrows">
        <cfvo type="percent" val="0"/>
        <cfvo type="num" val="0.7"/>
        <cfvo type="num" val="1"/>
      </iconSet>
    </cfRule>
    <cfRule type="dataBar" priority="509">
      <dataBar>
        <cfvo type="num" val="0"/>
        <cfvo type="num" val="1"/>
        <color theme="4" tint="0.79998168889431442"/>
      </dataBar>
      <extLst>
        <ext xmlns:x14="http://schemas.microsoft.com/office/spreadsheetml/2009/9/main" uri="{B025F937-C7B1-47D3-B67F-A62EFF666E3E}">
          <x14:id>{68FF2B7F-DB01-49A0-B272-F58B69F0FF88}</x14:id>
        </ext>
      </extLst>
    </cfRule>
  </conditionalFormatting>
  <conditionalFormatting sqref="T526">
    <cfRule type="iconSet" priority="299">
      <iconSet iconSet="3Arrows">
        <cfvo type="percent" val="0"/>
        <cfvo type="num" val="0.7"/>
        <cfvo type="num" val="1"/>
      </iconSet>
    </cfRule>
    <cfRule type="dataBar" priority="300">
      <dataBar>
        <cfvo type="num" val="0"/>
        <cfvo type="num" val="1"/>
        <color theme="4" tint="0.79998168889431442"/>
      </dataBar>
      <extLst>
        <ext xmlns:x14="http://schemas.microsoft.com/office/spreadsheetml/2009/9/main" uri="{B025F937-C7B1-47D3-B67F-A62EFF666E3E}">
          <x14:id>{C934FDA3-ECA1-4A49-ADBF-F94FD7C4EE62}</x14:id>
        </ext>
      </extLst>
    </cfRule>
  </conditionalFormatting>
  <conditionalFormatting sqref="T528">
    <cfRule type="iconSet" priority="1612">
      <iconSet iconSet="3Arrows">
        <cfvo type="percent" val="0"/>
        <cfvo type="num" val="0.7"/>
        <cfvo type="num" val="1"/>
      </iconSet>
    </cfRule>
    <cfRule type="dataBar" priority="1613">
      <dataBar>
        <cfvo type="num" val="0"/>
        <cfvo type="num" val="1"/>
        <color theme="4" tint="0.79998168889431442"/>
      </dataBar>
      <extLst>
        <ext xmlns:x14="http://schemas.microsoft.com/office/spreadsheetml/2009/9/main" uri="{B025F937-C7B1-47D3-B67F-A62EFF666E3E}">
          <x14:id>{F4B0A4DE-A8A3-4FB6-BD2B-3EA3EA45127C}</x14:id>
        </ext>
      </extLst>
    </cfRule>
  </conditionalFormatting>
  <conditionalFormatting sqref="T530">
    <cfRule type="iconSet" priority="1695">
      <iconSet iconSet="3Arrows">
        <cfvo type="percent" val="0"/>
        <cfvo type="num" val="0.7"/>
        <cfvo type="num" val="1"/>
      </iconSet>
    </cfRule>
    <cfRule type="dataBar" priority="1696">
      <dataBar>
        <cfvo type="num" val="0"/>
        <cfvo type="num" val="1"/>
        <color theme="4" tint="0.79998168889431442"/>
      </dataBar>
      <extLst>
        <ext xmlns:x14="http://schemas.microsoft.com/office/spreadsheetml/2009/9/main" uri="{B025F937-C7B1-47D3-B67F-A62EFF666E3E}">
          <x14:id>{BFCA4BDC-1616-4B77-8F4A-A120EBC74275}</x14:id>
        </ext>
      </extLst>
    </cfRule>
  </conditionalFormatting>
  <conditionalFormatting sqref="T532">
    <cfRule type="iconSet" priority="1729">
      <iconSet iconSet="3Arrows">
        <cfvo type="percent" val="0"/>
        <cfvo type="num" val="0.7"/>
        <cfvo type="num" val="1"/>
      </iconSet>
    </cfRule>
    <cfRule type="dataBar" priority="1730">
      <dataBar>
        <cfvo type="num" val="0"/>
        <cfvo type="num" val="1"/>
        <color theme="4" tint="0.79998168889431442"/>
      </dataBar>
      <extLst>
        <ext xmlns:x14="http://schemas.microsoft.com/office/spreadsheetml/2009/9/main" uri="{B025F937-C7B1-47D3-B67F-A62EFF666E3E}">
          <x14:id>{1ADBC586-E780-4C64-BA97-7F21844E72E2}</x14:id>
        </ext>
      </extLst>
    </cfRule>
  </conditionalFormatting>
  <conditionalFormatting sqref="T534">
    <cfRule type="iconSet" priority="250">
      <iconSet iconSet="3Arrows">
        <cfvo type="percent" val="0"/>
        <cfvo type="num" val="0.7"/>
        <cfvo type="num" val="1"/>
      </iconSet>
    </cfRule>
    <cfRule type="dataBar" priority="251">
      <dataBar>
        <cfvo type="num" val="0"/>
        <cfvo type="num" val="1"/>
        <color theme="4" tint="0.79998168889431442"/>
      </dataBar>
      <extLst>
        <ext xmlns:x14="http://schemas.microsoft.com/office/spreadsheetml/2009/9/main" uri="{B025F937-C7B1-47D3-B67F-A62EFF666E3E}">
          <x14:id>{C2FB1F58-2CD1-4137-8D8D-9353EC53033D}</x14:id>
        </ext>
      </extLst>
    </cfRule>
  </conditionalFormatting>
  <conditionalFormatting sqref="T536">
    <cfRule type="iconSet" priority="1727">
      <iconSet iconSet="3Arrows">
        <cfvo type="percent" val="0"/>
        <cfvo type="num" val="0.7"/>
        <cfvo type="num" val="1"/>
      </iconSet>
    </cfRule>
    <cfRule type="dataBar" priority="1728">
      <dataBar>
        <cfvo type="num" val="0"/>
        <cfvo type="num" val="1"/>
        <color theme="4" tint="0.79998168889431442"/>
      </dataBar>
      <extLst>
        <ext xmlns:x14="http://schemas.microsoft.com/office/spreadsheetml/2009/9/main" uri="{B025F937-C7B1-47D3-B67F-A62EFF666E3E}">
          <x14:id>{4BD75F2D-452C-4A63-84C1-371091816ECA}</x14:id>
        </ext>
      </extLst>
    </cfRule>
  </conditionalFormatting>
  <conditionalFormatting sqref="T538">
    <cfRule type="iconSet" priority="1721">
      <iconSet iconSet="3Arrows">
        <cfvo type="percent" val="0"/>
        <cfvo type="num" val="0.7"/>
        <cfvo type="num" val="1"/>
      </iconSet>
    </cfRule>
    <cfRule type="dataBar" priority="1722">
      <dataBar>
        <cfvo type="num" val="0"/>
        <cfvo type="num" val="1"/>
        <color theme="4" tint="0.79998168889431442"/>
      </dataBar>
      <extLst>
        <ext xmlns:x14="http://schemas.microsoft.com/office/spreadsheetml/2009/9/main" uri="{B025F937-C7B1-47D3-B67F-A62EFF666E3E}">
          <x14:id>{9C5843A3-FEF6-4349-9DAB-A989A093AC0E}</x14:id>
        </ext>
      </extLst>
    </cfRule>
  </conditionalFormatting>
  <conditionalFormatting sqref="T540">
    <cfRule type="iconSet" priority="492">
      <iconSet iconSet="3Arrows">
        <cfvo type="percent" val="0"/>
        <cfvo type="num" val="0.7"/>
        <cfvo type="num" val="1"/>
      </iconSet>
    </cfRule>
    <cfRule type="dataBar" priority="493">
      <dataBar>
        <cfvo type="num" val="0"/>
        <cfvo type="num" val="1"/>
        <color theme="4" tint="0.79998168889431442"/>
      </dataBar>
      <extLst>
        <ext xmlns:x14="http://schemas.microsoft.com/office/spreadsheetml/2009/9/main" uri="{B025F937-C7B1-47D3-B67F-A62EFF666E3E}">
          <x14:id>{0E27269C-B489-4A41-BE05-FF99359DEA81}</x14:id>
        </ext>
      </extLst>
    </cfRule>
  </conditionalFormatting>
  <conditionalFormatting sqref="T542">
    <cfRule type="iconSet" priority="71">
      <iconSet iconSet="3Arrows">
        <cfvo type="percent" val="0"/>
        <cfvo type="num" val="0.7"/>
        <cfvo type="num" val="1"/>
      </iconSet>
    </cfRule>
    <cfRule type="dataBar" priority="72">
      <dataBar>
        <cfvo type="num" val="0"/>
        <cfvo type="num" val="1"/>
        <color theme="4" tint="0.79998168889431442"/>
      </dataBar>
      <extLst>
        <ext xmlns:x14="http://schemas.microsoft.com/office/spreadsheetml/2009/9/main" uri="{B025F937-C7B1-47D3-B67F-A62EFF666E3E}">
          <x14:id>{11866A9E-4866-4DAC-9316-6C5433DF8131}</x14:id>
        </ext>
      </extLst>
    </cfRule>
  </conditionalFormatting>
  <conditionalFormatting sqref="T544">
    <cfRule type="iconSet" priority="1715">
      <iconSet iconSet="3Arrows">
        <cfvo type="percent" val="0"/>
        <cfvo type="num" val="0.7"/>
        <cfvo type="num" val="1"/>
      </iconSet>
    </cfRule>
    <cfRule type="dataBar" priority="1716">
      <dataBar>
        <cfvo type="num" val="0"/>
        <cfvo type="num" val="1"/>
        <color theme="4" tint="0.79998168889431442"/>
      </dataBar>
      <extLst>
        <ext xmlns:x14="http://schemas.microsoft.com/office/spreadsheetml/2009/9/main" uri="{B025F937-C7B1-47D3-B67F-A62EFF666E3E}">
          <x14:id>{B69A5B0F-AAC9-4A08-9BD9-CC6CD085C50C}</x14:id>
        </ext>
      </extLst>
    </cfRule>
  </conditionalFormatting>
  <conditionalFormatting sqref="T546">
    <cfRule type="iconSet" priority="216">
      <iconSet iconSet="3Arrows">
        <cfvo type="percent" val="0"/>
        <cfvo type="num" val="0.7"/>
        <cfvo type="num" val="1"/>
      </iconSet>
    </cfRule>
    <cfRule type="dataBar" priority="217">
      <dataBar>
        <cfvo type="num" val="0"/>
        <cfvo type="num" val="1"/>
        <color theme="4" tint="0.79998168889431442"/>
      </dataBar>
      <extLst>
        <ext xmlns:x14="http://schemas.microsoft.com/office/spreadsheetml/2009/9/main" uri="{B025F937-C7B1-47D3-B67F-A62EFF666E3E}">
          <x14:id>{C019E598-E447-4891-A830-72D739BFC25A}</x14:id>
        </ext>
      </extLst>
    </cfRule>
  </conditionalFormatting>
  <conditionalFormatting sqref="T548">
    <cfRule type="iconSet" priority="11">
      <iconSet iconSet="3Arrows">
        <cfvo type="percent" val="0"/>
        <cfvo type="num" val="0.7"/>
        <cfvo type="num" val="1"/>
      </iconSet>
    </cfRule>
    <cfRule type="dataBar" priority="12">
      <dataBar>
        <cfvo type="num" val="0"/>
        <cfvo type="num" val="1"/>
        <color theme="4" tint="0.79998168889431442"/>
      </dataBar>
      <extLst>
        <ext xmlns:x14="http://schemas.microsoft.com/office/spreadsheetml/2009/9/main" uri="{B025F937-C7B1-47D3-B67F-A62EFF666E3E}">
          <x14:id>{F16E182B-1647-48EA-B438-EE0FF12389DD}</x14:id>
        </ext>
      </extLst>
    </cfRule>
  </conditionalFormatting>
  <conditionalFormatting sqref="T550">
    <cfRule type="iconSet" priority="172">
      <iconSet iconSet="3Arrows">
        <cfvo type="percent" val="0"/>
        <cfvo type="num" val="0.7"/>
        <cfvo type="num" val="1"/>
      </iconSet>
    </cfRule>
    <cfRule type="dataBar" priority="173">
      <dataBar>
        <cfvo type="num" val="0"/>
        <cfvo type="num" val="1"/>
        <color theme="4" tint="0.79998168889431442"/>
      </dataBar>
      <extLst>
        <ext xmlns:x14="http://schemas.microsoft.com/office/spreadsheetml/2009/9/main" uri="{B025F937-C7B1-47D3-B67F-A62EFF666E3E}">
          <x14:id>{2F1443AB-89F3-469A-96F2-6023524A7210}</x14:id>
        </ext>
      </extLst>
    </cfRule>
  </conditionalFormatting>
  <conditionalFormatting sqref="T552">
    <cfRule type="iconSet" priority="381">
      <iconSet iconSet="3Arrows">
        <cfvo type="percent" val="0"/>
        <cfvo type="num" val="0.7"/>
        <cfvo type="num" val="1"/>
      </iconSet>
    </cfRule>
    <cfRule type="dataBar" priority="382">
      <dataBar>
        <cfvo type="num" val="0"/>
        <cfvo type="num" val="1"/>
        <color theme="4" tint="0.79998168889431442"/>
      </dataBar>
      <extLst>
        <ext xmlns:x14="http://schemas.microsoft.com/office/spreadsheetml/2009/9/main" uri="{B025F937-C7B1-47D3-B67F-A62EFF666E3E}">
          <x14:id>{0A09AE22-AB20-4BAB-9A23-25FC037F301A}</x14:id>
        </ext>
      </extLst>
    </cfRule>
  </conditionalFormatting>
  <conditionalFormatting sqref="T554">
    <cfRule type="iconSet" priority="234">
      <iconSet iconSet="3Arrows">
        <cfvo type="percent" val="0"/>
        <cfvo type="num" val="0.7"/>
        <cfvo type="num" val="1"/>
      </iconSet>
    </cfRule>
    <cfRule type="dataBar" priority="235">
      <dataBar>
        <cfvo type="num" val="0"/>
        <cfvo type="num" val="1"/>
        <color theme="4" tint="0.79998168889431442"/>
      </dataBar>
      <extLst>
        <ext xmlns:x14="http://schemas.microsoft.com/office/spreadsheetml/2009/9/main" uri="{B025F937-C7B1-47D3-B67F-A62EFF666E3E}">
          <x14:id>{9D68CAEC-8A22-4B5E-9A0D-A4278211BDD0}</x14:id>
        </ext>
      </extLst>
    </cfRule>
  </conditionalFormatting>
  <conditionalFormatting sqref="T556">
    <cfRule type="iconSet" priority="1709">
      <iconSet iconSet="3Arrows">
        <cfvo type="percent" val="0"/>
        <cfvo type="num" val="0.7"/>
        <cfvo type="num" val="1"/>
      </iconSet>
    </cfRule>
    <cfRule type="dataBar" priority="1710">
      <dataBar>
        <cfvo type="num" val="0"/>
        <cfvo type="num" val="1"/>
        <color theme="4" tint="0.79998168889431442"/>
      </dataBar>
      <extLst>
        <ext xmlns:x14="http://schemas.microsoft.com/office/spreadsheetml/2009/9/main" uri="{B025F937-C7B1-47D3-B67F-A62EFF666E3E}">
          <x14:id>{83996A95-A7C5-42FB-B2FA-27BE22D753BB}</x14:id>
        </ext>
      </extLst>
    </cfRule>
  </conditionalFormatting>
  <conditionalFormatting sqref="T558">
    <cfRule type="iconSet" priority="476">
      <iconSet iconSet="3Arrows">
        <cfvo type="percent" val="0"/>
        <cfvo type="num" val="0.7"/>
        <cfvo type="num" val="1"/>
      </iconSet>
    </cfRule>
    <cfRule type="dataBar" priority="477">
      <dataBar>
        <cfvo type="num" val="0"/>
        <cfvo type="num" val="1"/>
        <color theme="4" tint="0.79998168889431442"/>
      </dataBar>
      <extLst>
        <ext xmlns:x14="http://schemas.microsoft.com/office/spreadsheetml/2009/9/main" uri="{B025F937-C7B1-47D3-B67F-A62EFF666E3E}">
          <x14:id>{72082ED5-38C5-4112-831D-3CF2CE07550B}</x14:id>
        </ext>
      </extLst>
    </cfRule>
  </conditionalFormatting>
  <conditionalFormatting sqref="T560">
    <cfRule type="iconSet" priority="55">
      <iconSet iconSet="3Arrows">
        <cfvo type="percent" val="0"/>
        <cfvo type="num" val="0.7"/>
        <cfvo type="num" val="1"/>
      </iconSet>
    </cfRule>
    <cfRule type="dataBar" priority="56">
      <dataBar>
        <cfvo type="num" val="0"/>
        <cfvo type="num" val="1"/>
        <color theme="4" tint="0.79998168889431442"/>
      </dataBar>
      <extLst>
        <ext xmlns:x14="http://schemas.microsoft.com/office/spreadsheetml/2009/9/main" uri="{B025F937-C7B1-47D3-B67F-A62EFF666E3E}">
          <x14:id>{5D0BF99C-ACBA-4643-9625-FDA1A336DDDA}</x14:id>
        </ext>
      </extLst>
    </cfRule>
  </conditionalFormatting>
  <conditionalFormatting sqref="T562">
    <cfRule type="iconSet" priority="1703">
      <iconSet iconSet="3Arrows">
        <cfvo type="percent" val="0"/>
        <cfvo type="num" val="0.7"/>
        <cfvo type="num" val="1"/>
      </iconSet>
    </cfRule>
    <cfRule type="dataBar" priority="1704">
      <dataBar>
        <cfvo type="num" val="0"/>
        <cfvo type="num" val="1"/>
        <color theme="4" tint="0.79998168889431442"/>
      </dataBar>
      <extLst>
        <ext xmlns:x14="http://schemas.microsoft.com/office/spreadsheetml/2009/9/main" uri="{B025F937-C7B1-47D3-B67F-A62EFF666E3E}">
          <x14:id>{E386D81B-268D-4F0A-A98F-4246DB03443C}</x14:id>
        </ext>
      </extLst>
    </cfRule>
  </conditionalFormatting>
  <conditionalFormatting sqref="T564">
    <cfRule type="iconSet" priority="4684">
      <iconSet iconSet="3Arrows">
        <cfvo type="percent" val="0"/>
        <cfvo type="num" val="0.7"/>
        <cfvo type="num" val="1"/>
      </iconSet>
    </cfRule>
    <cfRule type="dataBar" priority="4685">
      <dataBar>
        <cfvo type="num" val="0"/>
        <cfvo type="num" val="1"/>
        <color theme="4" tint="0.79998168889431442"/>
      </dataBar>
      <extLst>
        <ext xmlns:x14="http://schemas.microsoft.com/office/spreadsheetml/2009/9/main" uri="{B025F937-C7B1-47D3-B67F-A62EFF666E3E}">
          <x14:id>{06761A8B-109F-43FC-90D1-9EADEFFCA9D4}</x14:id>
        </ext>
      </extLst>
    </cfRule>
  </conditionalFormatting>
  <conditionalFormatting sqref="T566">
    <cfRule type="iconSet" priority="4682">
      <iconSet iconSet="3Arrows">
        <cfvo type="percent" val="0"/>
        <cfvo type="num" val="0.7"/>
        <cfvo type="num" val="1"/>
      </iconSet>
    </cfRule>
    <cfRule type="dataBar" priority="4683">
      <dataBar>
        <cfvo type="num" val="0"/>
        <cfvo type="num" val="1"/>
        <color theme="4" tint="0.79998168889431442"/>
      </dataBar>
      <extLst>
        <ext xmlns:x14="http://schemas.microsoft.com/office/spreadsheetml/2009/9/main" uri="{B025F937-C7B1-47D3-B67F-A62EFF666E3E}">
          <x14:id>{10CEAF53-A17F-4986-BC97-C5FEC19654A3}</x14:id>
        </ext>
      </extLst>
    </cfRule>
  </conditionalFormatting>
  <conditionalFormatting sqref="T568">
    <cfRule type="iconSet" priority="4676">
      <iconSet iconSet="3Arrows">
        <cfvo type="percent" val="0"/>
        <cfvo type="num" val="0.7"/>
        <cfvo type="num" val="1"/>
      </iconSet>
    </cfRule>
    <cfRule type="dataBar" priority="4677">
      <dataBar>
        <cfvo type="num" val="0"/>
        <cfvo type="num" val="1"/>
        <color theme="4" tint="0.79998168889431442"/>
      </dataBar>
      <extLst>
        <ext xmlns:x14="http://schemas.microsoft.com/office/spreadsheetml/2009/9/main" uri="{B025F937-C7B1-47D3-B67F-A62EFF666E3E}">
          <x14:id>{BB49959E-3218-46E4-B096-FA2165DCCC53}</x14:id>
        </ext>
      </extLst>
    </cfRule>
  </conditionalFormatting>
  <conditionalFormatting sqref="T570">
    <cfRule type="iconSet" priority="4670">
      <iconSet iconSet="3Arrows">
        <cfvo type="percent" val="0"/>
        <cfvo type="num" val="0.7"/>
        <cfvo type="num" val="1"/>
      </iconSet>
    </cfRule>
    <cfRule type="dataBar" priority="4671">
      <dataBar>
        <cfvo type="num" val="0"/>
        <cfvo type="num" val="1"/>
        <color theme="4" tint="0.79998168889431442"/>
      </dataBar>
      <extLst>
        <ext xmlns:x14="http://schemas.microsoft.com/office/spreadsheetml/2009/9/main" uri="{B025F937-C7B1-47D3-B67F-A62EFF666E3E}">
          <x14:id>{6A5EAAD9-065A-4765-BB42-F0F7B76EAB0A}</x14:id>
        </ext>
      </extLst>
    </cfRule>
  </conditionalFormatting>
  <conditionalFormatting sqref="T572">
    <cfRule type="iconSet" priority="4664">
      <iconSet iconSet="3Arrows">
        <cfvo type="percent" val="0"/>
        <cfvo type="num" val="0.7"/>
        <cfvo type="num" val="1"/>
      </iconSet>
    </cfRule>
    <cfRule type="dataBar" priority="4665">
      <dataBar>
        <cfvo type="num" val="0"/>
        <cfvo type="num" val="1"/>
        <color theme="4" tint="0.79998168889431442"/>
      </dataBar>
      <extLst>
        <ext xmlns:x14="http://schemas.microsoft.com/office/spreadsheetml/2009/9/main" uri="{B025F937-C7B1-47D3-B67F-A62EFF666E3E}">
          <x14:id>{51AFCD9A-4E64-41E4-90C1-0592F88A3316}</x14:id>
        </ext>
      </extLst>
    </cfRule>
  </conditionalFormatting>
  <conditionalFormatting sqref="T574">
    <cfRule type="iconSet" priority="4658">
      <iconSet iconSet="3Arrows">
        <cfvo type="percent" val="0"/>
        <cfvo type="num" val="0.7"/>
        <cfvo type="num" val="1"/>
      </iconSet>
    </cfRule>
    <cfRule type="dataBar" priority="4659">
      <dataBar>
        <cfvo type="num" val="0"/>
        <cfvo type="num" val="1"/>
        <color theme="4" tint="0.79998168889431442"/>
      </dataBar>
      <extLst>
        <ext xmlns:x14="http://schemas.microsoft.com/office/spreadsheetml/2009/9/main" uri="{B025F937-C7B1-47D3-B67F-A62EFF666E3E}">
          <x14:id>{B9CE95D9-E75D-459B-80FA-88F09219A076}</x14:id>
        </ext>
      </extLst>
    </cfRule>
  </conditionalFormatting>
  <conditionalFormatting sqref="T576">
    <cfRule type="iconSet" priority="4650">
      <iconSet iconSet="3Arrows">
        <cfvo type="percent" val="0"/>
        <cfvo type="num" val="0.7"/>
        <cfvo type="num" val="1"/>
      </iconSet>
    </cfRule>
    <cfRule type="dataBar" priority="4651">
      <dataBar>
        <cfvo type="num" val="0"/>
        <cfvo type="num" val="1"/>
        <color theme="4" tint="0.79998168889431442"/>
      </dataBar>
      <extLst>
        <ext xmlns:x14="http://schemas.microsoft.com/office/spreadsheetml/2009/9/main" uri="{B025F937-C7B1-47D3-B67F-A62EFF666E3E}">
          <x14:id>{8EBE0EDF-F215-45E0-89A1-A67BB60E711D}</x14:id>
        </ext>
      </extLst>
    </cfRule>
  </conditionalFormatting>
  <conditionalFormatting sqref="T578">
    <cfRule type="iconSet" priority="4626">
      <iconSet iconSet="3Arrows">
        <cfvo type="percent" val="0"/>
        <cfvo type="num" val="0.7"/>
        <cfvo type="num" val="1"/>
      </iconSet>
    </cfRule>
    <cfRule type="dataBar" priority="4627">
      <dataBar>
        <cfvo type="num" val="0"/>
        <cfvo type="num" val="1"/>
        <color theme="4" tint="0.79998168889431442"/>
      </dataBar>
      <extLst>
        <ext xmlns:x14="http://schemas.microsoft.com/office/spreadsheetml/2009/9/main" uri="{B025F937-C7B1-47D3-B67F-A62EFF666E3E}">
          <x14:id>{A97C7A66-0BA5-451A-B50B-6A0D82EED4E6}</x14:id>
        </ext>
      </extLst>
    </cfRule>
  </conditionalFormatting>
  <conditionalFormatting sqref="T580">
    <cfRule type="iconSet" priority="4642">
      <iconSet iconSet="3Arrows">
        <cfvo type="percent" val="0"/>
        <cfvo type="num" val="0.7"/>
        <cfvo type="num" val="1"/>
      </iconSet>
    </cfRule>
    <cfRule type="dataBar" priority="4643">
      <dataBar>
        <cfvo type="num" val="0"/>
        <cfvo type="num" val="1"/>
        <color theme="4" tint="0.79998168889431442"/>
      </dataBar>
      <extLst>
        <ext xmlns:x14="http://schemas.microsoft.com/office/spreadsheetml/2009/9/main" uri="{B025F937-C7B1-47D3-B67F-A62EFF666E3E}">
          <x14:id>{A43875E9-25EB-462A-B084-834548852A0C}</x14:id>
        </ext>
      </extLst>
    </cfRule>
  </conditionalFormatting>
  <conditionalFormatting sqref="T582">
    <cfRule type="iconSet" priority="4618">
      <iconSet iconSet="3Arrows">
        <cfvo type="percent" val="0"/>
        <cfvo type="num" val="0.7"/>
        <cfvo type="num" val="1"/>
      </iconSet>
    </cfRule>
    <cfRule type="dataBar" priority="4619">
      <dataBar>
        <cfvo type="num" val="0"/>
        <cfvo type="num" val="1"/>
        <color theme="4" tint="0.79998168889431442"/>
      </dataBar>
      <extLst>
        <ext xmlns:x14="http://schemas.microsoft.com/office/spreadsheetml/2009/9/main" uri="{B025F937-C7B1-47D3-B67F-A62EFF666E3E}">
          <x14:id>{6B6679A0-89AC-4B6F-A6D3-6B75F98E28C9}</x14:id>
        </ext>
      </extLst>
    </cfRule>
  </conditionalFormatting>
  <conditionalFormatting sqref="T584">
    <cfRule type="iconSet" priority="4634">
      <iconSet iconSet="3Arrows">
        <cfvo type="percent" val="0"/>
        <cfvo type="num" val="0.7"/>
        <cfvo type="num" val="1"/>
      </iconSet>
    </cfRule>
    <cfRule type="dataBar" priority="4635">
      <dataBar>
        <cfvo type="num" val="0"/>
        <cfvo type="num" val="1"/>
        <color theme="4" tint="0.79998168889431442"/>
      </dataBar>
      <extLst>
        <ext xmlns:x14="http://schemas.microsoft.com/office/spreadsheetml/2009/9/main" uri="{B025F937-C7B1-47D3-B67F-A62EFF666E3E}">
          <x14:id>{B8488102-5B10-4F88-90BE-04F6B0F92531}</x14:id>
        </ext>
      </extLst>
    </cfRule>
  </conditionalFormatting>
  <conditionalFormatting sqref="T586">
    <cfRule type="iconSet" priority="4610">
      <iconSet iconSet="3Arrows">
        <cfvo type="percent" val="0"/>
        <cfvo type="num" val="0.7"/>
        <cfvo type="num" val="1"/>
      </iconSet>
    </cfRule>
    <cfRule type="dataBar" priority="4611">
      <dataBar>
        <cfvo type="num" val="0"/>
        <cfvo type="num" val="1"/>
        <color theme="4" tint="0.79998168889431442"/>
      </dataBar>
      <extLst>
        <ext xmlns:x14="http://schemas.microsoft.com/office/spreadsheetml/2009/9/main" uri="{B025F937-C7B1-47D3-B67F-A62EFF666E3E}">
          <x14:id>{1D781620-3190-496C-B7D3-A272501A0703}</x14:id>
        </ext>
      </extLst>
    </cfRule>
  </conditionalFormatting>
  <conditionalFormatting sqref="T588">
    <cfRule type="iconSet" priority="2191">
      <iconSet iconSet="3Arrows">
        <cfvo type="percent" val="0"/>
        <cfvo type="num" val="0.7"/>
        <cfvo type="num" val="1"/>
      </iconSet>
    </cfRule>
    <cfRule type="dataBar" priority="2192">
      <dataBar>
        <cfvo type="num" val="0"/>
        <cfvo type="num" val="1"/>
        <color theme="4" tint="0.79998168889431442"/>
      </dataBar>
      <extLst>
        <ext xmlns:x14="http://schemas.microsoft.com/office/spreadsheetml/2009/9/main" uri="{B025F937-C7B1-47D3-B67F-A62EFF666E3E}">
          <x14:id>{C35EB6D9-3F6C-4828-B162-7B669D2B0723}</x14:id>
        </ext>
      </extLst>
    </cfRule>
  </conditionalFormatting>
  <conditionalFormatting sqref="T591">
    <cfRule type="iconSet" priority="4378">
      <iconSet iconSet="3Arrows">
        <cfvo type="percent" val="0"/>
        <cfvo type="num" val="0.7"/>
        <cfvo type="num" val="1"/>
      </iconSet>
    </cfRule>
    <cfRule type="dataBar" priority="4379">
      <dataBar>
        <cfvo type="num" val="0"/>
        <cfvo type="num" val="1"/>
        <color theme="4" tint="0.79998168889431442"/>
      </dataBar>
      <extLst>
        <ext xmlns:x14="http://schemas.microsoft.com/office/spreadsheetml/2009/9/main" uri="{B025F937-C7B1-47D3-B67F-A62EFF666E3E}">
          <x14:id>{7FB246DF-4961-432F-B367-C7C2455B2A59}</x14:id>
        </ext>
      </extLst>
    </cfRule>
  </conditionalFormatting>
  <conditionalFormatting sqref="T593">
    <cfRule type="iconSet" priority="2422">
      <iconSet iconSet="3Arrows">
        <cfvo type="percent" val="0"/>
        <cfvo type="num" val="0.7"/>
        <cfvo type="num" val="1"/>
      </iconSet>
    </cfRule>
    <cfRule type="dataBar" priority="2423">
      <dataBar>
        <cfvo type="num" val="0"/>
        <cfvo type="num" val="1"/>
        <color theme="4" tint="0.79998168889431442"/>
      </dataBar>
      <extLst>
        <ext xmlns:x14="http://schemas.microsoft.com/office/spreadsheetml/2009/9/main" uri="{B025F937-C7B1-47D3-B67F-A62EFF666E3E}">
          <x14:id>{36DC718E-EC77-43A1-B871-729149343BAD}</x14:id>
        </ext>
      </extLst>
    </cfRule>
  </conditionalFormatting>
  <conditionalFormatting sqref="T595">
    <cfRule type="iconSet" priority="2839">
      <iconSet iconSet="3Arrows">
        <cfvo type="percent" val="0"/>
        <cfvo type="num" val="0.7"/>
        <cfvo type="num" val="1"/>
      </iconSet>
    </cfRule>
    <cfRule type="dataBar" priority="2840">
      <dataBar>
        <cfvo type="num" val="0"/>
        <cfvo type="num" val="1"/>
        <color theme="4" tint="0.79998168889431442"/>
      </dataBar>
      <extLst>
        <ext xmlns:x14="http://schemas.microsoft.com/office/spreadsheetml/2009/9/main" uri="{B025F937-C7B1-47D3-B67F-A62EFF666E3E}">
          <x14:id>{F15F6F13-460F-4FF4-B762-DF822EC1D956}</x14:id>
        </ext>
      </extLst>
    </cfRule>
  </conditionalFormatting>
  <conditionalFormatting sqref="T597">
    <cfRule type="iconSet" priority="4372">
      <iconSet iconSet="3Arrows">
        <cfvo type="percent" val="0"/>
        <cfvo type="num" val="0.7"/>
        <cfvo type="num" val="1"/>
      </iconSet>
    </cfRule>
    <cfRule type="dataBar" priority="4373">
      <dataBar>
        <cfvo type="num" val="0"/>
        <cfvo type="num" val="1"/>
        <color theme="4" tint="0.79998168889431442"/>
      </dataBar>
      <extLst>
        <ext xmlns:x14="http://schemas.microsoft.com/office/spreadsheetml/2009/9/main" uri="{B025F937-C7B1-47D3-B67F-A62EFF666E3E}">
          <x14:id>{D04248A4-92C6-4A15-8371-288D11D2E13B}</x14:id>
        </ext>
      </extLst>
    </cfRule>
  </conditionalFormatting>
  <conditionalFormatting sqref="T599">
    <cfRule type="iconSet" priority="3063">
      <iconSet iconSet="3Arrows">
        <cfvo type="percent" val="0"/>
        <cfvo type="num" val="0.7"/>
        <cfvo type="num" val="1"/>
      </iconSet>
    </cfRule>
    <cfRule type="dataBar" priority="3064">
      <dataBar>
        <cfvo type="num" val="0"/>
        <cfvo type="num" val="1"/>
        <color theme="4" tint="0.79998168889431442"/>
      </dataBar>
      <extLst>
        <ext xmlns:x14="http://schemas.microsoft.com/office/spreadsheetml/2009/9/main" uri="{B025F937-C7B1-47D3-B67F-A62EFF666E3E}">
          <x14:id>{0780A214-3603-455B-8011-A3875FA6C743}</x14:id>
        </ext>
      </extLst>
    </cfRule>
  </conditionalFormatting>
  <conditionalFormatting sqref="T601">
    <cfRule type="iconSet" priority="4366">
      <iconSet iconSet="3Arrows">
        <cfvo type="percent" val="0"/>
        <cfvo type="num" val="0.7"/>
        <cfvo type="num" val="1"/>
      </iconSet>
    </cfRule>
    <cfRule type="dataBar" priority="4367">
      <dataBar>
        <cfvo type="num" val="0"/>
        <cfvo type="num" val="1"/>
        <color theme="4" tint="0.79998168889431442"/>
      </dataBar>
      <extLst>
        <ext xmlns:x14="http://schemas.microsoft.com/office/spreadsheetml/2009/9/main" uri="{B025F937-C7B1-47D3-B67F-A62EFF666E3E}">
          <x14:id>{0AA5F188-B8AF-4038-BAF5-DFEC659DDA6B}</x14:id>
        </ext>
      </extLst>
    </cfRule>
  </conditionalFormatting>
  <conditionalFormatting sqref="T603">
    <cfRule type="iconSet" priority="4360">
      <iconSet iconSet="3Arrows">
        <cfvo type="percent" val="0"/>
        <cfvo type="num" val="0.7"/>
        <cfvo type="num" val="1"/>
      </iconSet>
    </cfRule>
    <cfRule type="dataBar" priority="4361">
      <dataBar>
        <cfvo type="num" val="0"/>
        <cfvo type="num" val="1"/>
        <color theme="4" tint="0.79998168889431442"/>
      </dataBar>
      <extLst>
        <ext xmlns:x14="http://schemas.microsoft.com/office/spreadsheetml/2009/9/main" uri="{B025F937-C7B1-47D3-B67F-A62EFF666E3E}">
          <x14:id>{E467E3A9-774A-4F08-92CD-5ACA3BFDA28C}</x14:id>
        </ext>
      </extLst>
    </cfRule>
  </conditionalFormatting>
  <conditionalFormatting sqref="T605">
    <cfRule type="iconSet" priority="3335">
      <iconSet iconSet="3Arrows">
        <cfvo type="percent" val="0"/>
        <cfvo type="num" val="0.7"/>
        <cfvo type="num" val="1"/>
      </iconSet>
    </cfRule>
    <cfRule type="dataBar" priority="3336">
      <dataBar>
        <cfvo type="num" val="0"/>
        <cfvo type="num" val="1"/>
        <color theme="4" tint="0.79998168889431442"/>
      </dataBar>
      <extLst>
        <ext xmlns:x14="http://schemas.microsoft.com/office/spreadsheetml/2009/9/main" uri="{B025F937-C7B1-47D3-B67F-A62EFF666E3E}">
          <x14:id>{923A3CA8-7368-4243-89E1-7E70635A7BE7}</x14:id>
        </ext>
      </extLst>
    </cfRule>
  </conditionalFormatting>
  <conditionalFormatting sqref="T607">
    <cfRule type="iconSet" priority="3321">
      <iconSet iconSet="3Arrows">
        <cfvo type="percent" val="0"/>
        <cfvo type="num" val="0.7"/>
        <cfvo type="num" val="1"/>
      </iconSet>
    </cfRule>
    <cfRule type="dataBar" priority="3322">
      <dataBar>
        <cfvo type="num" val="0"/>
        <cfvo type="num" val="1"/>
        <color theme="4" tint="0.79998168889431442"/>
      </dataBar>
      <extLst>
        <ext xmlns:x14="http://schemas.microsoft.com/office/spreadsheetml/2009/9/main" uri="{B025F937-C7B1-47D3-B67F-A62EFF666E3E}">
          <x14:id>{D2598A80-4C24-4926-AF65-72ABB1F8300E}</x14:id>
        </ext>
      </extLst>
    </cfRule>
  </conditionalFormatting>
  <conditionalFormatting sqref="T609">
    <cfRule type="iconSet" priority="3307">
      <iconSet iconSet="3Arrows">
        <cfvo type="percent" val="0"/>
        <cfvo type="num" val="0.7"/>
        <cfvo type="num" val="1"/>
      </iconSet>
    </cfRule>
    <cfRule type="dataBar" priority="3308">
      <dataBar>
        <cfvo type="num" val="0"/>
        <cfvo type="num" val="1"/>
        <color theme="4" tint="0.79998168889431442"/>
      </dataBar>
      <extLst>
        <ext xmlns:x14="http://schemas.microsoft.com/office/spreadsheetml/2009/9/main" uri="{B025F937-C7B1-47D3-B67F-A62EFF666E3E}">
          <x14:id>{93E78CF8-DF2C-4830-BCB8-F60DFBFCB1B2}</x14:id>
        </ext>
      </extLst>
    </cfRule>
  </conditionalFormatting>
  <conditionalFormatting sqref="T611">
    <cfRule type="iconSet" priority="4343">
      <iconSet iconSet="3Arrows">
        <cfvo type="percent" val="0"/>
        <cfvo type="num" val="0.7"/>
        <cfvo type="num" val="1"/>
      </iconSet>
    </cfRule>
    <cfRule type="dataBar" priority="4344">
      <dataBar>
        <cfvo type="num" val="0"/>
        <cfvo type="num" val="1"/>
        <color theme="4" tint="0.79998168889431442"/>
      </dataBar>
      <extLst>
        <ext xmlns:x14="http://schemas.microsoft.com/office/spreadsheetml/2009/9/main" uri="{B025F937-C7B1-47D3-B67F-A62EFF666E3E}">
          <x14:id>{27726355-37F5-4CD7-923F-6DB72534C3E5}</x14:id>
        </ext>
      </extLst>
    </cfRule>
  </conditionalFormatting>
  <conditionalFormatting sqref="T613">
    <cfRule type="iconSet" priority="4354">
      <iconSet iconSet="3Arrows">
        <cfvo type="percent" val="0"/>
        <cfvo type="num" val="0.7"/>
        <cfvo type="num" val="1"/>
      </iconSet>
    </cfRule>
    <cfRule type="dataBar" priority="4355">
      <dataBar>
        <cfvo type="num" val="0"/>
        <cfvo type="num" val="1"/>
        <color theme="4" tint="0.79998168889431442"/>
      </dataBar>
      <extLst>
        <ext xmlns:x14="http://schemas.microsoft.com/office/spreadsheetml/2009/9/main" uri="{B025F937-C7B1-47D3-B67F-A62EFF666E3E}">
          <x14:id>{BE239776-1B74-43D5-A8D0-5E49542CBEDC}</x14:id>
        </ext>
      </extLst>
    </cfRule>
  </conditionalFormatting>
  <conditionalFormatting sqref="T615">
    <cfRule type="iconSet" priority="1515">
      <iconSet iconSet="3Arrows">
        <cfvo type="percent" val="0"/>
        <cfvo type="num" val="0.7"/>
        <cfvo type="num" val="1"/>
      </iconSet>
    </cfRule>
    <cfRule type="dataBar" priority="1516">
      <dataBar>
        <cfvo type="num" val="0"/>
        <cfvo type="num" val="1"/>
        <color theme="4" tint="0.79998168889431442"/>
      </dataBar>
      <extLst>
        <ext xmlns:x14="http://schemas.microsoft.com/office/spreadsheetml/2009/9/main" uri="{B025F937-C7B1-47D3-B67F-A62EFF666E3E}">
          <x14:id>{F3DC8AE9-042A-45EC-BFF1-BA5DE95593B4}</x14:id>
        </ext>
      </extLst>
    </cfRule>
  </conditionalFormatting>
  <conditionalFormatting sqref="T617">
    <cfRule type="iconSet" priority="135">
      <iconSet iconSet="3Arrows">
        <cfvo type="percent" val="0"/>
        <cfvo type="num" val="0.7"/>
        <cfvo type="num" val="1"/>
      </iconSet>
    </cfRule>
    <cfRule type="dataBar" priority="136">
      <dataBar>
        <cfvo type="num" val="0"/>
        <cfvo type="num" val="1"/>
        <color theme="4" tint="0.79998168889431442"/>
      </dataBar>
      <extLst>
        <ext xmlns:x14="http://schemas.microsoft.com/office/spreadsheetml/2009/9/main" uri="{B025F937-C7B1-47D3-B67F-A62EFF666E3E}">
          <x14:id>{642ABD25-4ECC-426D-85F5-19FAFB4C3E13}</x14:id>
        </ext>
      </extLst>
    </cfRule>
  </conditionalFormatting>
  <conditionalFormatting sqref="T619">
    <cfRule type="iconSet" priority="150">
      <iconSet iconSet="3Arrows">
        <cfvo type="percent" val="0"/>
        <cfvo type="num" val="0.7"/>
        <cfvo type="num" val="1"/>
      </iconSet>
    </cfRule>
    <cfRule type="dataBar" priority="151">
      <dataBar>
        <cfvo type="num" val="0"/>
        <cfvo type="num" val="1"/>
        <color theme="4" tint="0.79998168889431442"/>
      </dataBar>
      <extLst>
        <ext xmlns:x14="http://schemas.microsoft.com/office/spreadsheetml/2009/9/main" uri="{B025F937-C7B1-47D3-B67F-A62EFF666E3E}">
          <x14:id>{6DCF9207-F1D2-4F16-82BF-02E22E9D6489}</x14:id>
        </ext>
      </extLst>
    </cfRule>
  </conditionalFormatting>
  <conditionalFormatting sqref="T621">
    <cfRule type="iconSet" priority="1537">
      <iconSet iconSet="3Arrows">
        <cfvo type="percent" val="0"/>
        <cfvo type="num" val="0.7"/>
        <cfvo type="num" val="1"/>
      </iconSet>
    </cfRule>
    <cfRule type="dataBar" priority="1538">
      <dataBar>
        <cfvo type="num" val="0"/>
        <cfvo type="num" val="1"/>
        <color theme="4" tint="0.79998168889431442"/>
      </dataBar>
      <extLst>
        <ext xmlns:x14="http://schemas.microsoft.com/office/spreadsheetml/2009/9/main" uri="{B025F937-C7B1-47D3-B67F-A62EFF666E3E}">
          <x14:id>{5D71AA78-14D8-41EC-859B-AE1EDE021A61}</x14:id>
        </ext>
      </extLst>
    </cfRule>
  </conditionalFormatting>
  <conditionalFormatting sqref="T623">
    <cfRule type="iconSet" priority="1551">
      <iconSet iconSet="3Arrows">
        <cfvo type="percent" val="0"/>
        <cfvo type="num" val="0.7"/>
        <cfvo type="num" val="1"/>
      </iconSet>
    </cfRule>
    <cfRule type="dataBar" priority="1552">
      <dataBar>
        <cfvo type="num" val="0"/>
        <cfvo type="num" val="1"/>
        <color theme="4" tint="0.79998168889431442"/>
      </dataBar>
      <extLst>
        <ext xmlns:x14="http://schemas.microsoft.com/office/spreadsheetml/2009/9/main" uri="{B025F937-C7B1-47D3-B67F-A62EFF666E3E}">
          <x14:id>{8696E858-6084-4B30-9689-A38512FB0BE5}</x14:id>
        </ext>
      </extLst>
    </cfRule>
  </conditionalFormatting>
  <conditionalFormatting sqref="T625">
    <cfRule type="iconSet" priority="37">
      <iconSet iconSet="3Arrows">
        <cfvo type="percent" val="0"/>
        <cfvo type="num" val="0.7"/>
        <cfvo type="num" val="1"/>
      </iconSet>
    </cfRule>
    <cfRule type="dataBar" priority="38">
      <dataBar>
        <cfvo type="num" val="0"/>
        <cfvo type="num" val="1"/>
        <color theme="4" tint="0.79998168889431442"/>
      </dataBar>
      <extLst>
        <ext xmlns:x14="http://schemas.microsoft.com/office/spreadsheetml/2009/9/main" uri="{B025F937-C7B1-47D3-B67F-A62EFF666E3E}">
          <x14:id>{68B337A6-8F9D-4003-AB99-E266F88EDCB2}</x14:id>
        </ext>
      </extLst>
    </cfRule>
  </conditionalFormatting>
  <conditionalFormatting sqref="V9:AB12 V79:AB92 V115:AB118 V184:AB191 V194:AB199 V202:AB209">
    <cfRule type="cellIs" dxfId="613" priority="4331" operator="equal">
      <formula>0</formula>
    </cfRule>
  </conditionalFormatting>
  <conditionalFormatting sqref="V13:AB14">
    <cfRule type="cellIs" dxfId="612" priority="3552" operator="equal">
      <formula>0</formula>
    </cfRule>
  </conditionalFormatting>
  <conditionalFormatting sqref="V15:AB34">
    <cfRule type="cellIs" dxfId="611" priority="3562" operator="equal">
      <formula>0</formula>
    </cfRule>
  </conditionalFormatting>
  <conditionalFormatting sqref="V35:AB36">
    <cfRule type="cellIs" dxfId="610" priority="3549" operator="equal">
      <formula>0</formula>
    </cfRule>
  </conditionalFormatting>
  <conditionalFormatting sqref="V37:AB46">
    <cfRule type="cellIs" dxfId="609" priority="3268" operator="equal">
      <formula>0</formula>
    </cfRule>
  </conditionalFormatting>
  <conditionalFormatting sqref="V47:AB48">
    <cfRule type="cellIs" dxfId="608" priority="3547" operator="equal">
      <formula>0</formula>
    </cfRule>
  </conditionalFormatting>
  <conditionalFormatting sqref="V77:AB78">
    <cfRule type="cellIs" dxfId="607" priority="1908" operator="equal">
      <formula>0</formula>
    </cfRule>
  </conditionalFormatting>
  <conditionalFormatting sqref="V93:AB94">
    <cfRule type="cellIs" dxfId="606" priority="1909" operator="equal">
      <formula>0</formula>
    </cfRule>
  </conditionalFormatting>
  <conditionalFormatting sqref="V113:AB114">
    <cfRule type="cellIs" dxfId="605" priority="4218" operator="equal">
      <formula>0</formula>
    </cfRule>
  </conditionalFormatting>
  <conditionalFormatting sqref="V119:AB120">
    <cfRule type="cellIs" dxfId="604" priority="222" operator="equal">
      <formula>0</formula>
    </cfRule>
  </conditionalFormatting>
  <conditionalFormatting sqref="V121:AB139">
    <cfRule type="cellIs" dxfId="603" priority="1483" operator="equal">
      <formula>0</formula>
    </cfRule>
  </conditionalFormatting>
  <conditionalFormatting sqref="V140:AB143">
    <cfRule type="cellIs" dxfId="602" priority="4099" operator="equal">
      <formula>0</formula>
    </cfRule>
  </conditionalFormatting>
  <conditionalFormatting sqref="V144:AB149">
    <cfRule type="cellIs" dxfId="601" priority="4126" operator="equal">
      <formula>0</formula>
    </cfRule>
  </conditionalFormatting>
  <conditionalFormatting sqref="V150:AB151">
    <cfRule type="cellIs" dxfId="600" priority="4100" operator="equal">
      <formula>0</formula>
    </cfRule>
  </conditionalFormatting>
  <conditionalFormatting sqref="V152:AB157">
    <cfRule type="cellIs" dxfId="599" priority="4131" operator="equal">
      <formula>0</formula>
    </cfRule>
  </conditionalFormatting>
  <conditionalFormatting sqref="V158:AB159">
    <cfRule type="cellIs" dxfId="598" priority="3233" operator="equal">
      <formula>0</formula>
    </cfRule>
  </conditionalFormatting>
  <conditionalFormatting sqref="V168:AB169">
    <cfRule type="cellIs" dxfId="597" priority="3231" operator="equal">
      <formula>0</formula>
    </cfRule>
  </conditionalFormatting>
  <conditionalFormatting sqref="V170:AB179">
    <cfRule type="cellIs" dxfId="596" priority="4207" operator="equal">
      <formula>0</formula>
    </cfRule>
  </conditionalFormatting>
  <conditionalFormatting sqref="V180:AB183">
    <cfRule type="cellIs" dxfId="595" priority="4157" operator="equal">
      <formula>0</formula>
    </cfRule>
  </conditionalFormatting>
  <conditionalFormatting sqref="V192:AB193">
    <cfRule type="cellIs" dxfId="594" priority="4136" operator="equal">
      <formula>0</formula>
    </cfRule>
  </conditionalFormatting>
  <conditionalFormatting sqref="V200:AB201">
    <cfRule type="cellIs" dxfId="593" priority="4123" operator="equal">
      <formula>0</formula>
    </cfRule>
  </conditionalFormatting>
  <conditionalFormatting sqref="V210:AB211">
    <cfRule type="cellIs" dxfId="592" priority="4151" operator="equal">
      <formula>0</formula>
    </cfRule>
  </conditionalFormatting>
  <conditionalFormatting sqref="V212:AB232">
    <cfRule type="cellIs" dxfId="591" priority="1878" operator="equal">
      <formula>0</formula>
    </cfRule>
  </conditionalFormatting>
  <conditionalFormatting sqref="V233:AB234">
    <cfRule type="cellIs" dxfId="590" priority="4104" operator="equal">
      <formula>0</formula>
    </cfRule>
  </conditionalFormatting>
  <conditionalFormatting sqref="V278:AB279">
    <cfRule type="cellIs" dxfId="589" priority="205" operator="equal">
      <formula>0</formula>
    </cfRule>
  </conditionalFormatting>
  <conditionalFormatting sqref="V280:AB298">
    <cfRule type="cellIs" dxfId="588" priority="203" operator="equal">
      <formula>0</formula>
    </cfRule>
  </conditionalFormatting>
  <conditionalFormatting sqref="V299:AB300">
    <cfRule type="cellIs" dxfId="587" priority="3395" operator="equal">
      <formula>0</formula>
    </cfRule>
  </conditionalFormatting>
  <conditionalFormatting sqref="V304:AB305">
    <cfRule type="cellIs" dxfId="586" priority="3378" operator="equal">
      <formula>0</formula>
    </cfRule>
  </conditionalFormatting>
  <conditionalFormatting sqref="V314:AB315">
    <cfRule type="cellIs" dxfId="585" priority="3234" operator="equal">
      <formula>0</formula>
    </cfRule>
  </conditionalFormatting>
  <conditionalFormatting sqref="V316:AB321">
    <cfRule type="cellIs" dxfId="584" priority="2512" operator="equal">
      <formula>0</formula>
    </cfRule>
  </conditionalFormatting>
  <conditionalFormatting sqref="V322:AB323">
    <cfRule type="cellIs" dxfId="583" priority="2142" operator="equal">
      <formula>0</formula>
    </cfRule>
  </conditionalFormatting>
  <conditionalFormatting sqref="V332:AB333">
    <cfRule type="cellIs" dxfId="582" priority="2143" operator="equal">
      <formula>0</formula>
    </cfRule>
  </conditionalFormatting>
  <conditionalFormatting sqref="V340:AB341">
    <cfRule type="cellIs" dxfId="581" priority="2144" operator="equal">
      <formula>0</formula>
    </cfRule>
  </conditionalFormatting>
  <conditionalFormatting sqref="V342:AB373">
    <cfRule type="cellIs" dxfId="580" priority="2477" operator="equal">
      <formula>0</formula>
    </cfRule>
  </conditionalFormatting>
  <conditionalFormatting sqref="V374:AB375">
    <cfRule type="cellIs" dxfId="579" priority="2604" operator="equal">
      <formula>0</formula>
    </cfRule>
  </conditionalFormatting>
  <conditionalFormatting sqref="V376:AB377 V380:AB381 V384:AB385">
    <cfRule type="cellIs" dxfId="578" priority="4103" operator="equal">
      <formula>0</formula>
    </cfRule>
  </conditionalFormatting>
  <conditionalFormatting sqref="V378:AB379">
    <cfRule type="cellIs" dxfId="577" priority="2584" operator="equal">
      <formula>0</formula>
    </cfRule>
  </conditionalFormatting>
  <conditionalFormatting sqref="V382:AB383">
    <cfRule type="cellIs" dxfId="576" priority="2564" operator="equal">
      <formula>0</formula>
    </cfRule>
  </conditionalFormatting>
  <conditionalFormatting sqref="V386:AB386">
    <cfRule type="cellIs" dxfId="575" priority="1289" operator="equal">
      <formula>0</formula>
    </cfRule>
  </conditionalFormatting>
  <conditionalFormatting sqref="V393:AB394">
    <cfRule type="cellIs" dxfId="574" priority="4170" operator="equal">
      <formula>0</formula>
    </cfRule>
  </conditionalFormatting>
  <conditionalFormatting sqref="V405:AB405">
    <cfRule type="cellIs" dxfId="573" priority="1739" operator="equal">
      <formula>0</formula>
    </cfRule>
  </conditionalFormatting>
  <conditionalFormatting sqref="V411:AB411">
    <cfRule type="cellIs" dxfId="572" priority="1242" operator="equal">
      <formula>0</formula>
    </cfRule>
  </conditionalFormatting>
  <conditionalFormatting sqref="V417:AB417">
    <cfRule type="cellIs" dxfId="571" priority="1877" operator="equal">
      <formula>0</formula>
    </cfRule>
  </conditionalFormatting>
  <conditionalFormatting sqref="V425:AB425">
    <cfRule type="cellIs" dxfId="570" priority="182" operator="equal">
      <formula>0</formula>
    </cfRule>
  </conditionalFormatting>
  <conditionalFormatting sqref="V428:AB433">
    <cfRule type="cellIs" dxfId="569" priority="223" operator="equal">
      <formula>0</formula>
    </cfRule>
  </conditionalFormatting>
  <conditionalFormatting sqref="V460:AB461">
    <cfRule type="cellIs" dxfId="568" priority="2533" operator="equal">
      <formula>0</formula>
    </cfRule>
  </conditionalFormatting>
  <conditionalFormatting sqref="V488:AB489">
    <cfRule type="cellIs" dxfId="567" priority="256" operator="equal">
      <formula>0</formula>
    </cfRule>
  </conditionalFormatting>
  <conditionalFormatting sqref="V490:AB501 V504:AB529 V532:AB587">
    <cfRule type="cellIs" dxfId="566" priority="2080" operator="equal">
      <formula>0</formula>
    </cfRule>
  </conditionalFormatting>
  <conditionalFormatting sqref="V502:AB503">
    <cfRule type="cellIs" dxfId="565" priority="204" operator="equal">
      <formula>0</formula>
    </cfRule>
  </conditionalFormatting>
  <conditionalFormatting sqref="V530:AB531">
    <cfRule type="cellIs" dxfId="564" priority="201" operator="equal">
      <formula>0</formula>
    </cfRule>
  </conditionalFormatting>
  <conditionalFormatting sqref="V588:AB589">
    <cfRule type="cellIs" dxfId="563" priority="2184" operator="equal">
      <formula>0</formula>
    </cfRule>
  </conditionalFormatting>
  <conditionalFormatting sqref="V591:AB596">
    <cfRule type="cellIs" dxfId="562" priority="2413" operator="equal">
      <formula>0</formula>
    </cfRule>
  </conditionalFormatting>
  <conditionalFormatting sqref="V597:AB616">
    <cfRule type="cellIs" dxfId="561" priority="1504" operator="equal">
      <formula>0</formula>
    </cfRule>
  </conditionalFormatting>
  <conditionalFormatting sqref="V617:AB618">
    <cfRule type="cellIs" dxfId="560" priority="125" operator="equal">
      <formula>0</formula>
    </cfRule>
  </conditionalFormatting>
  <conditionalFormatting sqref="V621:AB622">
    <cfRule type="cellIs" dxfId="559" priority="1527" operator="equal">
      <formula>0</formula>
    </cfRule>
  </conditionalFormatting>
  <conditionalFormatting sqref="V623:AB626">
    <cfRule type="cellIs" dxfId="558" priority="26" operator="equal">
      <formula>0</formula>
    </cfRule>
  </conditionalFormatting>
  <conditionalFormatting sqref="AD9:AD12">
    <cfRule type="cellIs" dxfId="557" priority="4332" operator="equal">
      <formula>0</formula>
    </cfRule>
  </conditionalFormatting>
  <conditionalFormatting sqref="AD13:AD14">
    <cfRule type="cellIs" dxfId="556" priority="4154" operator="equal">
      <formula>0</formula>
    </cfRule>
  </conditionalFormatting>
  <conditionalFormatting sqref="AD15:AD34">
    <cfRule type="cellIs" dxfId="555" priority="1913" operator="equal">
      <formula>0</formula>
    </cfRule>
  </conditionalFormatting>
  <conditionalFormatting sqref="AD35:AD36">
    <cfRule type="cellIs" dxfId="554" priority="1911" operator="equal">
      <formula>0</formula>
    </cfRule>
  </conditionalFormatting>
  <conditionalFormatting sqref="AD37:AD46">
    <cfRule type="cellIs" dxfId="553" priority="1912" operator="equal">
      <formula>0</formula>
    </cfRule>
  </conditionalFormatting>
  <conditionalFormatting sqref="AD47:AD48">
    <cfRule type="cellIs" dxfId="552" priority="1910" operator="equal">
      <formula>0</formula>
    </cfRule>
  </conditionalFormatting>
  <conditionalFormatting sqref="AD49:AD76">
    <cfRule type="cellIs" dxfId="551" priority="1862" operator="equal">
      <formula>0</formula>
    </cfRule>
  </conditionalFormatting>
  <conditionalFormatting sqref="AD77:AD78">
    <cfRule type="cellIs" dxfId="550" priority="429" operator="equal">
      <formula>0</formula>
    </cfRule>
  </conditionalFormatting>
  <conditionalFormatting sqref="AD79:AD92">
    <cfRule type="cellIs" dxfId="549" priority="3253" operator="equal">
      <formula>0</formula>
    </cfRule>
  </conditionalFormatting>
  <conditionalFormatting sqref="AD93:AD94">
    <cfRule type="cellIs" dxfId="548" priority="428" operator="equal">
      <formula>0</formula>
    </cfRule>
  </conditionalFormatting>
  <conditionalFormatting sqref="AD113:AD114">
    <cfRule type="cellIs" dxfId="547" priority="427" operator="equal">
      <formula>0</formula>
    </cfRule>
  </conditionalFormatting>
  <conditionalFormatting sqref="AD115:AD118">
    <cfRule type="cellIs" dxfId="546" priority="3252" operator="equal">
      <formula>0</formula>
    </cfRule>
  </conditionalFormatting>
  <conditionalFormatting sqref="AD119:AD120">
    <cfRule type="cellIs" dxfId="545" priority="426" operator="equal">
      <formula>0</formula>
    </cfRule>
  </conditionalFormatting>
  <conditionalFormatting sqref="AD121:AD139">
    <cfRule type="cellIs" dxfId="544" priority="1484" operator="equal">
      <formula>0</formula>
    </cfRule>
  </conditionalFormatting>
  <conditionalFormatting sqref="AD140:AD143">
    <cfRule type="cellIs" dxfId="543" priority="424" operator="equal">
      <formula>0</formula>
    </cfRule>
  </conditionalFormatting>
  <conditionalFormatting sqref="AD144:AD149">
    <cfRule type="cellIs" dxfId="542" priority="1907" operator="equal">
      <formula>0</formula>
    </cfRule>
  </conditionalFormatting>
  <conditionalFormatting sqref="AD150:AD151">
    <cfRule type="cellIs" dxfId="541" priority="423" operator="equal">
      <formula>0</formula>
    </cfRule>
  </conditionalFormatting>
  <conditionalFormatting sqref="AD152:AD157">
    <cfRule type="cellIs" dxfId="540" priority="1906" operator="equal">
      <formula>0</formula>
    </cfRule>
  </conditionalFormatting>
  <conditionalFormatting sqref="AD158:AD159">
    <cfRule type="cellIs" dxfId="539" priority="422" operator="equal">
      <formula>0</formula>
    </cfRule>
  </conditionalFormatting>
  <conditionalFormatting sqref="AD160:AD167">
    <cfRule type="cellIs" dxfId="538" priority="1905" operator="equal">
      <formula>0</formula>
    </cfRule>
  </conditionalFormatting>
  <conditionalFormatting sqref="AD168:AD169">
    <cfRule type="cellIs" dxfId="537" priority="421" operator="equal">
      <formula>0</formula>
    </cfRule>
  </conditionalFormatting>
  <conditionalFormatting sqref="AD170:AD179">
    <cfRule type="cellIs" dxfId="536" priority="1904" operator="equal">
      <formula>0</formula>
    </cfRule>
  </conditionalFormatting>
  <conditionalFormatting sqref="AD180:AD183">
    <cfRule type="cellIs" dxfId="535" priority="420" operator="equal">
      <formula>0</formula>
    </cfRule>
  </conditionalFormatting>
  <conditionalFormatting sqref="AD184:AD191">
    <cfRule type="cellIs" dxfId="534" priority="1903" operator="equal">
      <formula>0</formula>
    </cfRule>
  </conditionalFormatting>
  <conditionalFormatting sqref="AD192:AD193">
    <cfRule type="cellIs" dxfId="533" priority="1899" operator="equal">
      <formula>0</formula>
    </cfRule>
  </conditionalFormatting>
  <conditionalFormatting sqref="AD194:AD199">
    <cfRule type="cellIs" dxfId="532" priority="1902" operator="equal">
      <formula>0</formula>
    </cfRule>
  </conditionalFormatting>
  <conditionalFormatting sqref="AD200:AD201">
    <cfRule type="cellIs" dxfId="531" priority="1898" operator="equal">
      <formula>0</formula>
    </cfRule>
  </conditionalFormatting>
  <conditionalFormatting sqref="AD202:AD209">
    <cfRule type="cellIs" dxfId="530" priority="1901" operator="equal">
      <formula>0</formula>
    </cfRule>
  </conditionalFormatting>
  <conditionalFormatting sqref="AD210:AD211">
    <cfRule type="cellIs" dxfId="529" priority="1897" operator="equal">
      <formula>0</formula>
    </cfRule>
  </conditionalFormatting>
  <conditionalFormatting sqref="AD212:AD232">
    <cfRule type="cellIs" dxfId="528" priority="1900" operator="equal">
      <formula>0</formula>
    </cfRule>
  </conditionalFormatting>
  <conditionalFormatting sqref="AD233:AD234">
    <cfRule type="cellIs" dxfId="527" priority="419" operator="equal">
      <formula>0</formula>
    </cfRule>
  </conditionalFormatting>
  <conditionalFormatting sqref="AD235:AD277">
    <cfRule type="cellIs" dxfId="526" priority="1896" operator="equal">
      <formula>0</formula>
    </cfRule>
  </conditionalFormatting>
  <conditionalFormatting sqref="AD278:AD279">
    <cfRule type="cellIs" dxfId="525" priority="418" operator="equal">
      <formula>0</formula>
    </cfRule>
  </conditionalFormatting>
  <conditionalFormatting sqref="AD280:AD298">
    <cfRule type="cellIs" dxfId="524" priority="1895" operator="equal">
      <formula>0</formula>
    </cfRule>
  </conditionalFormatting>
  <conditionalFormatting sqref="AD299:AD300">
    <cfRule type="cellIs" dxfId="523" priority="202" operator="equal">
      <formula>0</formula>
    </cfRule>
  </conditionalFormatting>
  <conditionalFormatting sqref="AD304:AD305">
    <cfRule type="cellIs" dxfId="522" priority="160" operator="equal">
      <formula>0</formula>
    </cfRule>
  </conditionalFormatting>
  <conditionalFormatting sqref="AD314:AD315">
    <cfRule type="cellIs" dxfId="521" priority="417" operator="equal">
      <formula>0</formula>
    </cfRule>
  </conditionalFormatting>
  <conditionalFormatting sqref="AD316:AD321">
    <cfRule type="cellIs" dxfId="520" priority="1880" operator="equal">
      <formula>0</formula>
    </cfRule>
  </conditionalFormatting>
  <conditionalFormatting sqref="AD322:AD323">
    <cfRule type="cellIs" dxfId="519" priority="416" operator="equal">
      <formula>0</formula>
    </cfRule>
  </conditionalFormatting>
  <conditionalFormatting sqref="AD324:AD331">
    <cfRule type="cellIs" dxfId="518" priority="1879" operator="equal">
      <formula>0</formula>
    </cfRule>
  </conditionalFormatting>
  <conditionalFormatting sqref="AD332:AD333">
    <cfRule type="cellIs" dxfId="517" priority="415" operator="equal">
      <formula>0</formula>
    </cfRule>
  </conditionalFormatting>
  <conditionalFormatting sqref="AD340:AD341">
    <cfRule type="cellIs" dxfId="516" priority="414" operator="equal">
      <formula>0</formula>
    </cfRule>
  </conditionalFormatting>
  <conditionalFormatting sqref="AD342:AD373">
    <cfRule type="cellIs" dxfId="515" priority="2470" operator="equal">
      <formula>0</formula>
    </cfRule>
  </conditionalFormatting>
  <conditionalFormatting sqref="AD374:AD375">
    <cfRule type="cellIs" dxfId="514" priority="413" operator="equal">
      <formula>0</formula>
    </cfRule>
  </conditionalFormatting>
  <conditionalFormatting sqref="AD376:AD377 AD380:AD381 AD384:AD385">
    <cfRule type="cellIs" dxfId="513" priority="3251" operator="equal">
      <formula>0</formula>
    </cfRule>
  </conditionalFormatting>
  <conditionalFormatting sqref="AD378:AD379">
    <cfRule type="cellIs" dxfId="512" priority="412" operator="equal">
      <formula>0</formula>
    </cfRule>
  </conditionalFormatting>
  <conditionalFormatting sqref="AD382:AD383">
    <cfRule type="cellIs" dxfId="511" priority="411" operator="equal">
      <formula>0</formula>
    </cfRule>
  </conditionalFormatting>
  <conditionalFormatting sqref="AD386:AD387">
    <cfRule type="cellIs" dxfId="510" priority="410" operator="equal">
      <formula>0</formula>
    </cfRule>
  </conditionalFormatting>
  <conditionalFormatting sqref="AD388:AD391">
    <cfRule type="cellIs" dxfId="509" priority="1338" operator="equal">
      <formula>0</formula>
    </cfRule>
  </conditionalFormatting>
  <conditionalFormatting sqref="AD393:AD396">
    <cfRule type="cellIs" dxfId="508" priority="409" operator="equal">
      <formula>0</formula>
    </cfRule>
  </conditionalFormatting>
  <conditionalFormatting sqref="AD405:AD406">
    <cfRule type="cellIs" dxfId="507" priority="408" operator="equal">
      <formula>0</formula>
    </cfRule>
  </conditionalFormatting>
  <conditionalFormatting sqref="AD407:AD410 AD413:AD416">
    <cfRule type="cellIs" dxfId="506" priority="1788" operator="equal">
      <formula>0</formula>
    </cfRule>
  </conditionalFormatting>
  <conditionalFormatting sqref="AD411:AD412">
    <cfRule type="cellIs" dxfId="505" priority="407" operator="equal">
      <formula>0</formula>
    </cfRule>
  </conditionalFormatting>
  <conditionalFormatting sqref="AD417:AD418">
    <cfRule type="cellIs" dxfId="504" priority="406" operator="equal">
      <formula>0</formula>
    </cfRule>
  </conditionalFormatting>
  <conditionalFormatting sqref="AD419:AD424">
    <cfRule type="cellIs" dxfId="503" priority="3250" operator="equal">
      <formula>0</formula>
    </cfRule>
  </conditionalFormatting>
  <conditionalFormatting sqref="AD425:AD426">
    <cfRule type="cellIs" dxfId="502" priority="178" operator="equal">
      <formula>0</formula>
    </cfRule>
  </conditionalFormatting>
  <conditionalFormatting sqref="AD428:AD433">
    <cfRule type="cellIs" dxfId="501" priority="405" operator="equal">
      <formula>0</formula>
    </cfRule>
  </conditionalFormatting>
  <conditionalFormatting sqref="AD434:AD459 AD462:AD487">
    <cfRule type="cellIs" dxfId="500" priority="3249" operator="equal">
      <formula>0</formula>
    </cfRule>
  </conditionalFormatting>
  <conditionalFormatting sqref="AD460:AD461">
    <cfRule type="cellIs" dxfId="499" priority="404" operator="equal">
      <formula>0</formula>
    </cfRule>
  </conditionalFormatting>
  <conditionalFormatting sqref="AD488:AD489">
    <cfRule type="cellIs" dxfId="498" priority="403" operator="equal">
      <formula>0</formula>
    </cfRule>
  </conditionalFormatting>
  <conditionalFormatting sqref="AD490:AD501 AD504:AD529 AD532:AD587">
    <cfRule type="cellIs" dxfId="497" priority="2044" operator="equal">
      <formula>0</formula>
    </cfRule>
  </conditionalFormatting>
  <conditionalFormatting sqref="AD502:AD503">
    <cfRule type="cellIs" dxfId="496" priority="402" operator="equal">
      <formula>0</formula>
    </cfRule>
  </conditionalFormatting>
  <conditionalFormatting sqref="AD530:AD531">
    <cfRule type="cellIs" dxfId="495" priority="401" operator="equal">
      <formula>0</formula>
    </cfRule>
  </conditionalFormatting>
  <conditionalFormatting sqref="AD588:AD589">
    <cfRule type="cellIs" dxfId="494" priority="400" operator="equal">
      <formula>0</formula>
    </cfRule>
  </conditionalFormatting>
  <conditionalFormatting sqref="AD591:AD596">
    <cfRule type="cellIs" dxfId="493" priority="399" operator="equal">
      <formula>0</formula>
    </cfRule>
  </conditionalFormatting>
  <conditionalFormatting sqref="AD597:AD616">
    <cfRule type="cellIs" dxfId="492" priority="1502" operator="equal">
      <formula>0</formula>
    </cfRule>
  </conditionalFormatting>
  <conditionalFormatting sqref="AD617:AD618">
    <cfRule type="cellIs" dxfId="491" priority="122" operator="equal">
      <formula>0</formula>
    </cfRule>
  </conditionalFormatting>
  <conditionalFormatting sqref="AD621:AD622">
    <cfRule type="cellIs" dxfId="490" priority="1524" operator="equal">
      <formula>0</formula>
    </cfRule>
  </conditionalFormatting>
  <conditionalFormatting sqref="AD623:AD626">
    <cfRule type="cellIs" dxfId="489" priority="24" operator="equal">
      <formula>0</formula>
    </cfRule>
  </conditionalFormatting>
  <conditionalFormatting sqref="AE9">
    <cfRule type="iconSet" priority="4327">
      <iconSet iconSet="3Arrows">
        <cfvo type="percent" val="0"/>
        <cfvo type="num" val="0.7"/>
        <cfvo type="num" val="1"/>
      </iconSet>
    </cfRule>
    <cfRule type="dataBar" priority="4328">
      <dataBar>
        <cfvo type="num" val="0"/>
        <cfvo type="num" val="1"/>
        <color theme="4" tint="0.79998168889431442"/>
      </dataBar>
      <extLst>
        <ext xmlns:x14="http://schemas.microsoft.com/office/spreadsheetml/2009/9/main" uri="{B025F937-C7B1-47D3-B67F-A62EFF666E3E}">
          <x14:id>{D517C26D-FA49-4F10-88A4-1955AE9DB2C9}</x14:id>
        </ext>
      </extLst>
    </cfRule>
  </conditionalFormatting>
  <conditionalFormatting sqref="AE13">
    <cfRule type="iconSet" priority="4329">
      <iconSet iconSet="3Arrows">
        <cfvo type="percent" val="0"/>
        <cfvo type="num" val="0.7"/>
        <cfvo type="num" val="1"/>
      </iconSet>
    </cfRule>
    <cfRule type="dataBar" priority="4330">
      <dataBar>
        <cfvo type="num" val="0"/>
        <cfvo type="num" val="1"/>
        <color theme="4" tint="0.79998168889431442"/>
      </dataBar>
      <extLst>
        <ext xmlns:x14="http://schemas.microsoft.com/office/spreadsheetml/2009/9/main" uri="{B025F937-C7B1-47D3-B67F-A62EFF666E3E}">
          <x14:id>{130E0FEE-AECA-4C30-A70A-52CDC5C880E6}</x14:id>
        </ext>
      </extLst>
    </cfRule>
  </conditionalFormatting>
  <conditionalFormatting sqref="AE15">
    <cfRule type="iconSet" priority="3605">
      <iconSet iconSet="3Arrows">
        <cfvo type="percent" val="0"/>
        <cfvo type="num" val="0.7"/>
        <cfvo type="num" val="1"/>
      </iconSet>
    </cfRule>
    <cfRule type="dataBar" priority="3606">
      <dataBar>
        <cfvo type="num" val="0"/>
        <cfvo type="num" val="1"/>
        <color theme="4" tint="0.79998168889431442"/>
      </dataBar>
      <extLst>
        <ext xmlns:x14="http://schemas.microsoft.com/office/spreadsheetml/2009/9/main" uri="{B025F937-C7B1-47D3-B67F-A62EFF666E3E}">
          <x14:id>{FF9A5BAF-42CF-4CD9-A3F2-4FF8F56905A9}</x14:id>
        </ext>
      </extLst>
    </cfRule>
  </conditionalFormatting>
  <conditionalFormatting sqref="AE17">
    <cfRule type="iconSet" priority="3591">
      <iconSet iconSet="3Arrows">
        <cfvo type="percent" val="0"/>
        <cfvo type="num" val="0.7"/>
        <cfvo type="num" val="1"/>
      </iconSet>
    </cfRule>
    <cfRule type="dataBar" priority="3592">
      <dataBar>
        <cfvo type="num" val="0"/>
        <cfvo type="num" val="1"/>
        <color theme="4" tint="0.79998168889431442"/>
      </dataBar>
      <extLst>
        <ext xmlns:x14="http://schemas.microsoft.com/office/spreadsheetml/2009/9/main" uri="{B025F937-C7B1-47D3-B67F-A62EFF666E3E}">
          <x14:id>{647A5761-A778-432A-A0FB-5DDC7E3E485E}</x14:id>
        </ext>
      </extLst>
    </cfRule>
  </conditionalFormatting>
  <conditionalFormatting sqref="AE19">
    <cfRule type="iconSet" priority="3577">
      <iconSet iconSet="3Arrows">
        <cfvo type="percent" val="0"/>
        <cfvo type="num" val="0.7"/>
        <cfvo type="num" val="1"/>
      </iconSet>
    </cfRule>
    <cfRule type="dataBar" priority="3578">
      <dataBar>
        <cfvo type="num" val="0"/>
        <cfvo type="num" val="1"/>
        <color theme="4" tint="0.79998168889431442"/>
      </dataBar>
      <extLst>
        <ext xmlns:x14="http://schemas.microsoft.com/office/spreadsheetml/2009/9/main" uri="{B025F937-C7B1-47D3-B67F-A62EFF666E3E}">
          <x14:id>{EA6B5F18-5129-478A-9B6E-E2F43676FA2C}</x14:id>
        </ext>
      </extLst>
    </cfRule>
  </conditionalFormatting>
  <conditionalFormatting sqref="AE21">
    <cfRule type="iconSet" priority="3560">
      <iconSet iconSet="3Arrows">
        <cfvo type="percent" val="0"/>
        <cfvo type="num" val="0.7"/>
        <cfvo type="num" val="1"/>
      </iconSet>
    </cfRule>
    <cfRule type="dataBar" priority="3561">
      <dataBar>
        <cfvo type="num" val="0"/>
        <cfvo type="num" val="1"/>
        <color theme="4" tint="0.79998168889431442"/>
      </dataBar>
      <extLst>
        <ext xmlns:x14="http://schemas.microsoft.com/office/spreadsheetml/2009/9/main" uri="{B025F937-C7B1-47D3-B67F-A62EFF666E3E}">
          <x14:id>{1FC684E7-7F91-4546-AECA-01F7DCC0BB8A}</x14:id>
        </ext>
      </extLst>
    </cfRule>
  </conditionalFormatting>
  <conditionalFormatting sqref="AE23">
    <cfRule type="iconSet" priority="4325">
      <iconSet iconSet="3Arrows">
        <cfvo type="percent" val="0"/>
        <cfvo type="num" val="0.7"/>
        <cfvo type="num" val="1"/>
      </iconSet>
    </cfRule>
    <cfRule type="dataBar" priority="4326">
      <dataBar>
        <cfvo type="num" val="0"/>
        <cfvo type="num" val="1"/>
        <color theme="4" tint="0.79998168889431442"/>
      </dataBar>
      <extLst>
        <ext xmlns:x14="http://schemas.microsoft.com/office/spreadsheetml/2009/9/main" uri="{B025F937-C7B1-47D3-B67F-A62EFF666E3E}">
          <x14:id>{2ADCB0D7-0C30-491B-A7E8-21FF7761667D}</x14:id>
        </ext>
      </extLst>
    </cfRule>
  </conditionalFormatting>
  <conditionalFormatting sqref="AE25">
    <cfRule type="iconSet" priority="4269">
      <iconSet iconSet="3Arrows">
        <cfvo type="percent" val="0"/>
        <cfvo type="num" val="0.7"/>
        <cfvo type="num" val="1"/>
      </iconSet>
    </cfRule>
    <cfRule type="dataBar" priority="4270">
      <dataBar>
        <cfvo type="num" val="0"/>
        <cfvo type="num" val="1"/>
        <color theme="4" tint="0.79998168889431442"/>
      </dataBar>
      <extLst>
        <ext xmlns:x14="http://schemas.microsoft.com/office/spreadsheetml/2009/9/main" uri="{B025F937-C7B1-47D3-B67F-A62EFF666E3E}">
          <x14:id>{57D528C4-F2D6-4B5B-AE83-6990873BE1D7}</x14:id>
        </ext>
      </extLst>
    </cfRule>
  </conditionalFormatting>
  <conditionalFormatting sqref="AE27">
    <cfRule type="iconSet" priority="2935">
      <iconSet iconSet="3Arrows">
        <cfvo type="percent" val="0"/>
        <cfvo type="num" val="0.7"/>
        <cfvo type="num" val="1"/>
      </iconSet>
    </cfRule>
    <cfRule type="dataBar" priority="2936">
      <dataBar>
        <cfvo type="num" val="0"/>
        <cfvo type="num" val="1"/>
        <color theme="4" tint="0.79998168889431442"/>
      </dataBar>
      <extLst>
        <ext xmlns:x14="http://schemas.microsoft.com/office/spreadsheetml/2009/9/main" uri="{B025F937-C7B1-47D3-B67F-A62EFF666E3E}">
          <x14:id>{83C8144C-1279-4A33-AF86-98DAFE98000C}</x14:id>
        </ext>
      </extLst>
    </cfRule>
  </conditionalFormatting>
  <conditionalFormatting sqref="AE29">
    <cfRule type="iconSet" priority="2921">
      <iconSet iconSet="3Arrows">
        <cfvo type="percent" val="0"/>
        <cfvo type="num" val="0.7"/>
        <cfvo type="num" val="1"/>
      </iconSet>
    </cfRule>
    <cfRule type="dataBar" priority="2922">
      <dataBar>
        <cfvo type="num" val="0"/>
        <cfvo type="num" val="1"/>
        <color theme="4" tint="0.79998168889431442"/>
      </dataBar>
      <extLst>
        <ext xmlns:x14="http://schemas.microsoft.com/office/spreadsheetml/2009/9/main" uri="{B025F937-C7B1-47D3-B67F-A62EFF666E3E}">
          <x14:id>{2923278F-3F61-43E9-9C18-1D25F40854DA}</x14:id>
        </ext>
      </extLst>
    </cfRule>
  </conditionalFormatting>
  <conditionalFormatting sqref="AE31">
    <cfRule type="iconSet" priority="4281">
      <iconSet iconSet="3Arrows">
        <cfvo type="percent" val="0"/>
        <cfvo type="num" val="0.7"/>
        <cfvo type="num" val="1"/>
      </iconSet>
    </cfRule>
    <cfRule type="dataBar" priority="4282">
      <dataBar>
        <cfvo type="num" val="0"/>
        <cfvo type="num" val="1"/>
        <color theme="4" tint="0.79998168889431442"/>
      </dataBar>
      <extLst>
        <ext xmlns:x14="http://schemas.microsoft.com/office/spreadsheetml/2009/9/main" uri="{B025F937-C7B1-47D3-B67F-A62EFF666E3E}">
          <x14:id>{0B8827B8-1497-4ADB-958C-0A17994677F4}</x14:id>
        </ext>
      </extLst>
    </cfRule>
  </conditionalFormatting>
  <conditionalFormatting sqref="AE35">
    <cfRule type="iconSet" priority="4225">
      <iconSet iconSet="3Arrows">
        <cfvo type="percent" val="0"/>
        <cfvo type="num" val="0.7"/>
        <cfvo type="num" val="1"/>
      </iconSet>
    </cfRule>
    <cfRule type="dataBar" priority="4226">
      <dataBar>
        <cfvo type="num" val="0"/>
        <cfvo type="num" val="1"/>
        <color theme="4" tint="0.79998168889431442"/>
      </dataBar>
      <extLst>
        <ext xmlns:x14="http://schemas.microsoft.com/office/spreadsheetml/2009/9/main" uri="{B025F937-C7B1-47D3-B67F-A62EFF666E3E}">
          <x14:id>{B41606F4-272A-4B24-9D4A-C3BBBA26E21E}</x14:id>
        </ext>
      </extLst>
    </cfRule>
  </conditionalFormatting>
  <conditionalFormatting sqref="AE37">
    <cfRule type="iconSet" priority="3508">
      <iconSet iconSet="3Arrows">
        <cfvo type="percent" val="0"/>
        <cfvo type="num" val="0.7"/>
        <cfvo type="num" val="1"/>
      </iconSet>
    </cfRule>
    <cfRule type="dataBar" priority="3509">
      <dataBar>
        <cfvo type="num" val="0"/>
        <cfvo type="num" val="1"/>
        <color theme="4" tint="0.79998168889431442"/>
      </dataBar>
      <extLst>
        <ext xmlns:x14="http://schemas.microsoft.com/office/spreadsheetml/2009/9/main" uri="{B025F937-C7B1-47D3-B67F-A62EFF666E3E}">
          <x14:id>{DA8F35D6-AD4F-45F5-883C-03C2361E7CE1}</x14:id>
        </ext>
      </extLst>
    </cfRule>
  </conditionalFormatting>
  <conditionalFormatting sqref="AE39">
    <cfRule type="iconSet" priority="3522">
      <iconSet iconSet="3Arrows">
        <cfvo type="percent" val="0"/>
        <cfvo type="num" val="0.7"/>
        <cfvo type="num" val="1"/>
      </iconSet>
    </cfRule>
    <cfRule type="dataBar" priority="3523">
      <dataBar>
        <cfvo type="num" val="0"/>
        <cfvo type="num" val="1"/>
        <color theme="4" tint="0.79998168889431442"/>
      </dataBar>
      <extLst>
        <ext xmlns:x14="http://schemas.microsoft.com/office/spreadsheetml/2009/9/main" uri="{B025F937-C7B1-47D3-B67F-A62EFF666E3E}">
          <x14:id>{C0C4729E-1A6E-4BAD-8AE8-C102F8D4886C}</x14:id>
        </ext>
      </extLst>
    </cfRule>
  </conditionalFormatting>
  <conditionalFormatting sqref="AE41">
    <cfRule type="iconSet" priority="3536">
      <iconSet iconSet="3Arrows">
        <cfvo type="percent" val="0"/>
        <cfvo type="num" val="0.7"/>
        <cfvo type="num" val="1"/>
      </iconSet>
    </cfRule>
    <cfRule type="dataBar" priority="3537">
      <dataBar>
        <cfvo type="num" val="0"/>
        <cfvo type="num" val="1"/>
        <color theme="4" tint="0.79998168889431442"/>
      </dataBar>
      <extLst>
        <ext xmlns:x14="http://schemas.microsoft.com/office/spreadsheetml/2009/9/main" uri="{B025F937-C7B1-47D3-B67F-A62EFF666E3E}">
          <x14:id>{CF32A2EA-BB0F-439C-B59F-3B16CDA6A1C2}</x14:id>
        </ext>
      </extLst>
    </cfRule>
  </conditionalFormatting>
  <conditionalFormatting sqref="AE43">
    <cfRule type="iconSet" priority="4227">
      <iconSet iconSet="3Arrows">
        <cfvo type="percent" val="0"/>
        <cfvo type="num" val="0.7"/>
        <cfvo type="num" val="1"/>
      </iconSet>
    </cfRule>
    <cfRule type="dataBar" priority="4228">
      <dataBar>
        <cfvo type="num" val="0"/>
        <cfvo type="num" val="1"/>
        <color theme="4" tint="0.79998168889431442"/>
      </dataBar>
      <extLst>
        <ext xmlns:x14="http://schemas.microsoft.com/office/spreadsheetml/2009/9/main" uri="{B025F937-C7B1-47D3-B67F-A62EFF666E3E}">
          <x14:id>{E0BBCFB7-ACC3-4F04-A1D9-8A950D252843}</x14:id>
        </ext>
      </extLst>
    </cfRule>
  </conditionalFormatting>
  <conditionalFormatting sqref="AE47">
    <cfRule type="iconSet" priority="4323">
      <iconSet iconSet="3Arrows">
        <cfvo type="percent" val="0"/>
        <cfvo type="num" val="0.7"/>
        <cfvo type="num" val="1"/>
      </iconSet>
    </cfRule>
    <cfRule type="dataBar" priority="4324">
      <dataBar>
        <cfvo type="num" val="0"/>
        <cfvo type="num" val="1"/>
        <color theme="4" tint="0.79998168889431442"/>
      </dataBar>
      <extLst>
        <ext xmlns:x14="http://schemas.microsoft.com/office/spreadsheetml/2009/9/main" uri="{B025F937-C7B1-47D3-B67F-A62EFF666E3E}">
          <x14:id>{13F0A8E0-14CF-4ED6-ACCB-647B921E08C2}</x14:id>
        </ext>
      </extLst>
    </cfRule>
  </conditionalFormatting>
  <conditionalFormatting sqref="AE49">
    <cfRule type="iconSet" priority="4223">
      <iconSet iconSet="3Arrows">
        <cfvo type="percent" val="0"/>
        <cfvo type="num" val="0.7"/>
        <cfvo type="num" val="1"/>
      </iconSet>
    </cfRule>
    <cfRule type="dataBar" priority="4224">
      <dataBar>
        <cfvo type="num" val="0"/>
        <cfvo type="num" val="1"/>
        <color theme="4" tint="0.79998168889431442"/>
      </dataBar>
      <extLst>
        <ext xmlns:x14="http://schemas.microsoft.com/office/spreadsheetml/2009/9/main" uri="{B025F937-C7B1-47D3-B67F-A62EFF666E3E}">
          <x14:id>{9B34E805-1A4C-4E07-A26F-B7623EB98AB8}</x14:id>
        </ext>
      </extLst>
    </cfRule>
  </conditionalFormatting>
  <conditionalFormatting sqref="AE51">
    <cfRule type="iconSet" priority="2907">
      <iconSet iconSet="3Arrows">
        <cfvo type="percent" val="0"/>
        <cfvo type="num" val="0.7"/>
        <cfvo type="num" val="1"/>
      </iconSet>
    </cfRule>
    <cfRule type="dataBar" priority="2908">
      <dataBar>
        <cfvo type="num" val="0"/>
        <cfvo type="num" val="1"/>
        <color theme="4" tint="0.79998168889431442"/>
      </dataBar>
      <extLst>
        <ext xmlns:x14="http://schemas.microsoft.com/office/spreadsheetml/2009/9/main" uri="{B025F937-C7B1-47D3-B67F-A62EFF666E3E}">
          <x14:id>{80753BE6-160D-4709-A5D3-88370217E5F8}</x14:id>
        </ext>
      </extLst>
    </cfRule>
  </conditionalFormatting>
  <conditionalFormatting sqref="AE53">
    <cfRule type="iconSet" priority="4147">
      <iconSet iconSet="3Arrows">
        <cfvo type="percent" val="0"/>
        <cfvo type="num" val="0.7"/>
        <cfvo type="num" val="1"/>
      </iconSet>
    </cfRule>
    <cfRule type="dataBar" priority="4148">
      <dataBar>
        <cfvo type="num" val="0"/>
        <cfvo type="num" val="1"/>
        <color theme="4" tint="0.79998168889431442"/>
      </dataBar>
      <extLst>
        <ext xmlns:x14="http://schemas.microsoft.com/office/spreadsheetml/2009/9/main" uri="{B025F937-C7B1-47D3-B67F-A62EFF666E3E}">
          <x14:id>{20474A2F-91FC-4454-AC14-69E02977D0A0}</x14:id>
        </ext>
      </extLst>
    </cfRule>
  </conditionalFormatting>
  <conditionalFormatting sqref="AE55">
    <cfRule type="iconSet" priority="3494">
      <iconSet iconSet="3Arrows">
        <cfvo type="percent" val="0"/>
        <cfvo type="num" val="0.7"/>
        <cfvo type="num" val="1"/>
      </iconSet>
    </cfRule>
    <cfRule type="dataBar" priority="3495">
      <dataBar>
        <cfvo type="num" val="0"/>
        <cfvo type="num" val="1"/>
        <color theme="4" tint="0.79998168889431442"/>
      </dataBar>
      <extLst>
        <ext xmlns:x14="http://schemas.microsoft.com/office/spreadsheetml/2009/9/main" uri="{B025F937-C7B1-47D3-B67F-A62EFF666E3E}">
          <x14:id>{D9E6F193-1E95-47C7-A4FC-465DB83365FA}</x14:id>
        </ext>
      </extLst>
    </cfRule>
  </conditionalFormatting>
  <conditionalFormatting sqref="AE57">
    <cfRule type="iconSet" priority="2893">
      <iconSet iconSet="3Arrows">
        <cfvo type="percent" val="0"/>
        <cfvo type="num" val="0.7"/>
        <cfvo type="num" val="1"/>
      </iconSet>
    </cfRule>
    <cfRule type="dataBar" priority="2894">
      <dataBar>
        <cfvo type="num" val="0"/>
        <cfvo type="num" val="1"/>
        <color theme="4" tint="0.79998168889431442"/>
      </dataBar>
      <extLst>
        <ext xmlns:x14="http://schemas.microsoft.com/office/spreadsheetml/2009/9/main" uri="{B025F937-C7B1-47D3-B67F-A62EFF666E3E}">
          <x14:id>{ADDAAC24-BC87-4291-9EA5-1423AFBB1BB4}</x14:id>
        </ext>
      </extLst>
    </cfRule>
  </conditionalFormatting>
  <conditionalFormatting sqref="AE59">
    <cfRule type="iconSet" priority="2879">
      <iconSet iconSet="3Arrows">
        <cfvo type="percent" val="0"/>
        <cfvo type="num" val="0.7"/>
        <cfvo type="num" val="1"/>
      </iconSet>
    </cfRule>
    <cfRule type="dataBar" priority="2880">
      <dataBar>
        <cfvo type="num" val="0"/>
        <cfvo type="num" val="1"/>
        <color theme="4" tint="0.79998168889431442"/>
      </dataBar>
      <extLst>
        <ext xmlns:x14="http://schemas.microsoft.com/office/spreadsheetml/2009/9/main" uri="{B025F937-C7B1-47D3-B67F-A62EFF666E3E}">
          <x14:id>{151BF101-06BE-4740-B0A8-7FAB09AAA3D9}</x14:id>
        </ext>
      </extLst>
    </cfRule>
  </conditionalFormatting>
  <conditionalFormatting sqref="AE61">
    <cfRule type="iconSet" priority="1473">
      <iconSet iconSet="3Arrows">
        <cfvo type="percent" val="0"/>
        <cfvo type="num" val="0.7"/>
        <cfvo type="num" val="1"/>
      </iconSet>
    </cfRule>
    <cfRule type="dataBar" priority="1474">
      <dataBar>
        <cfvo type="num" val="0"/>
        <cfvo type="num" val="1"/>
        <color theme="4" tint="0.79998168889431442"/>
      </dataBar>
      <extLst>
        <ext xmlns:x14="http://schemas.microsoft.com/office/spreadsheetml/2009/9/main" uri="{B025F937-C7B1-47D3-B67F-A62EFF666E3E}">
          <x14:id>{559072F9-77EF-4010-A36A-91ACD8398A2A}</x14:id>
        </ext>
      </extLst>
    </cfRule>
  </conditionalFormatting>
  <conditionalFormatting sqref="AE63">
    <cfRule type="iconSet" priority="2459">
      <iconSet iconSet="3Arrows">
        <cfvo type="percent" val="0"/>
        <cfvo type="num" val="0.7"/>
        <cfvo type="num" val="1"/>
      </iconSet>
    </cfRule>
    <cfRule type="dataBar" priority="2460">
      <dataBar>
        <cfvo type="num" val="0"/>
        <cfvo type="num" val="1"/>
        <color theme="4" tint="0.79998168889431442"/>
      </dataBar>
      <extLst>
        <ext xmlns:x14="http://schemas.microsoft.com/office/spreadsheetml/2009/9/main" uri="{B025F937-C7B1-47D3-B67F-A62EFF666E3E}">
          <x14:id>{9FC02FCC-6371-411B-8C79-A3881F6CE920}</x14:id>
        </ext>
      </extLst>
    </cfRule>
  </conditionalFormatting>
  <conditionalFormatting sqref="AE65">
    <cfRule type="iconSet" priority="2865">
      <iconSet iconSet="3Arrows">
        <cfvo type="percent" val="0"/>
        <cfvo type="num" val="0.7"/>
        <cfvo type="num" val="1"/>
      </iconSet>
    </cfRule>
    <cfRule type="dataBar" priority="2866">
      <dataBar>
        <cfvo type="num" val="0"/>
        <cfvo type="num" val="1"/>
        <color theme="4" tint="0.79998168889431442"/>
      </dataBar>
      <extLst>
        <ext xmlns:x14="http://schemas.microsoft.com/office/spreadsheetml/2009/9/main" uri="{B025F937-C7B1-47D3-B67F-A62EFF666E3E}">
          <x14:id>{6F97AFDA-4DB2-4EA8-B31F-2C009E60B449}</x14:id>
        </ext>
      </extLst>
    </cfRule>
  </conditionalFormatting>
  <conditionalFormatting sqref="AE67">
    <cfRule type="iconSet" priority="3412">
      <iconSet iconSet="3Arrows">
        <cfvo type="percent" val="0"/>
        <cfvo type="num" val="0.7"/>
        <cfvo type="num" val="1"/>
      </iconSet>
    </cfRule>
    <cfRule type="dataBar" priority="3413">
      <dataBar>
        <cfvo type="num" val="0"/>
        <cfvo type="num" val="1"/>
        <color theme="4" tint="0.79998168889431442"/>
      </dataBar>
      <extLst>
        <ext xmlns:x14="http://schemas.microsoft.com/office/spreadsheetml/2009/9/main" uri="{B025F937-C7B1-47D3-B67F-A62EFF666E3E}">
          <x14:id>{006200C9-3E57-4F49-A7C3-FD4B93C3FB5F}</x14:id>
        </ext>
      </extLst>
    </cfRule>
  </conditionalFormatting>
  <conditionalFormatting sqref="AE69">
    <cfRule type="iconSet" priority="4277">
      <iconSet iconSet="3Arrows">
        <cfvo type="percent" val="0"/>
        <cfvo type="num" val="0.7"/>
        <cfvo type="num" val="1"/>
      </iconSet>
    </cfRule>
    <cfRule type="dataBar" priority="4278">
      <dataBar>
        <cfvo type="num" val="0"/>
        <cfvo type="num" val="1"/>
        <color theme="4" tint="0.79998168889431442"/>
      </dataBar>
      <extLst>
        <ext xmlns:x14="http://schemas.microsoft.com/office/spreadsheetml/2009/9/main" uri="{B025F937-C7B1-47D3-B67F-A62EFF666E3E}">
          <x14:id>{88F68EB8-2BBF-428C-BF84-C1F4BEF27C8A}</x14:id>
        </ext>
      </extLst>
    </cfRule>
  </conditionalFormatting>
  <conditionalFormatting sqref="AE73">
    <cfRule type="iconSet" priority="4313">
      <iconSet iconSet="3Arrows">
        <cfvo type="percent" val="0"/>
        <cfvo type="num" val="0.7"/>
        <cfvo type="num" val="1"/>
      </iconSet>
    </cfRule>
    <cfRule type="dataBar" priority="4314">
      <dataBar>
        <cfvo type="num" val="0"/>
        <cfvo type="num" val="1"/>
        <color theme="4" tint="0.79998168889431442"/>
      </dataBar>
      <extLst>
        <ext xmlns:x14="http://schemas.microsoft.com/office/spreadsheetml/2009/9/main" uri="{B025F937-C7B1-47D3-B67F-A62EFF666E3E}">
          <x14:id>{60571F79-7CD5-4486-BC22-C62B8A35C69E}</x14:id>
        </ext>
      </extLst>
    </cfRule>
  </conditionalFormatting>
  <conditionalFormatting sqref="AE77">
    <cfRule type="iconSet" priority="4321">
      <iconSet iconSet="3Arrows">
        <cfvo type="percent" val="0"/>
        <cfvo type="num" val="0.7"/>
        <cfvo type="num" val="1"/>
      </iconSet>
    </cfRule>
    <cfRule type="dataBar" priority="4322">
      <dataBar>
        <cfvo type="num" val="0"/>
        <cfvo type="num" val="1"/>
        <color theme="4" tint="0.79998168889431442"/>
      </dataBar>
      <extLst>
        <ext xmlns:x14="http://schemas.microsoft.com/office/spreadsheetml/2009/9/main" uri="{B025F937-C7B1-47D3-B67F-A62EFF666E3E}">
          <x14:id>{218FBD17-5830-4660-909D-06499EF2290F}</x14:id>
        </ext>
      </extLst>
    </cfRule>
  </conditionalFormatting>
  <conditionalFormatting sqref="AE79">
    <cfRule type="iconSet" priority="4317">
      <iconSet iconSet="3Arrows">
        <cfvo type="percent" val="0"/>
        <cfvo type="num" val="0.7"/>
        <cfvo type="num" val="1"/>
      </iconSet>
    </cfRule>
    <cfRule type="dataBar" priority="4318">
      <dataBar>
        <cfvo type="num" val="0"/>
        <cfvo type="num" val="1"/>
        <color theme="4" tint="0.79998168889431442"/>
      </dataBar>
      <extLst>
        <ext xmlns:x14="http://schemas.microsoft.com/office/spreadsheetml/2009/9/main" uri="{B025F937-C7B1-47D3-B67F-A62EFF666E3E}">
          <x14:id>{EB4CBF8A-8B97-4D11-9988-CC02B7FE0793}</x14:id>
        </ext>
      </extLst>
    </cfRule>
  </conditionalFormatting>
  <conditionalFormatting sqref="AE81">
    <cfRule type="iconSet" priority="4235">
      <iconSet iconSet="3Arrows">
        <cfvo type="percent" val="0"/>
        <cfvo type="num" val="0.7"/>
        <cfvo type="num" val="1"/>
      </iconSet>
    </cfRule>
    <cfRule type="dataBar" priority="4236">
      <dataBar>
        <cfvo type="num" val="0"/>
        <cfvo type="num" val="1"/>
        <color theme="4" tint="0.79998168889431442"/>
      </dataBar>
      <extLst>
        <ext xmlns:x14="http://schemas.microsoft.com/office/spreadsheetml/2009/9/main" uri="{B025F937-C7B1-47D3-B67F-A62EFF666E3E}">
          <x14:id>{E8992FE8-AA9E-409D-8E66-3163AF8840DD}</x14:id>
        </ext>
      </extLst>
    </cfRule>
  </conditionalFormatting>
  <conditionalFormatting sqref="AE83">
    <cfRule type="iconSet" priority="4233">
      <iconSet iconSet="3Arrows">
        <cfvo type="percent" val="0"/>
        <cfvo type="num" val="0.7"/>
        <cfvo type="num" val="1"/>
      </iconSet>
    </cfRule>
    <cfRule type="dataBar" priority="4234">
      <dataBar>
        <cfvo type="num" val="0"/>
        <cfvo type="num" val="1"/>
        <color theme="4" tint="0.79998168889431442"/>
      </dataBar>
      <extLst>
        <ext xmlns:x14="http://schemas.microsoft.com/office/spreadsheetml/2009/9/main" uri="{B025F937-C7B1-47D3-B67F-A62EFF666E3E}">
          <x14:id>{56533F91-663F-48B0-AC79-2FB4A0E81C4A}</x14:id>
        </ext>
      </extLst>
    </cfRule>
  </conditionalFormatting>
  <conditionalFormatting sqref="AE85">
    <cfRule type="iconSet" priority="4231">
      <iconSet iconSet="3Arrows">
        <cfvo type="percent" val="0"/>
        <cfvo type="num" val="0.7"/>
        <cfvo type="num" val="1"/>
      </iconSet>
    </cfRule>
    <cfRule type="dataBar" priority="4232">
      <dataBar>
        <cfvo type="num" val="0"/>
        <cfvo type="num" val="1"/>
        <color theme="4" tint="0.79998168889431442"/>
      </dataBar>
      <extLst>
        <ext xmlns:x14="http://schemas.microsoft.com/office/spreadsheetml/2009/9/main" uri="{B025F937-C7B1-47D3-B67F-A62EFF666E3E}">
          <x14:id>{260EEB4C-C3F2-4B8C-A0AA-B9C4E0791C53}</x14:id>
        </ext>
      </extLst>
    </cfRule>
  </conditionalFormatting>
  <conditionalFormatting sqref="AE87">
    <cfRule type="iconSet" priority="4229">
      <iconSet iconSet="3Arrows">
        <cfvo type="percent" val="0"/>
        <cfvo type="num" val="0.7"/>
        <cfvo type="num" val="1"/>
      </iconSet>
    </cfRule>
    <cfRule type="dataBar" priority="4230">
      <dataBar>
        <cfvo type="num" val="0"/>
        <cfvo type="num" val="1"/>
        <color theme="4" tint="0.79998168889431442"/>
      </dataBar>
      <extLst>
        <ext xmlns:x14="http://schemas.microsoft.com/office/spreadsheetml/2009/9/main" uri="{B025F937-C7B1-47D3-B67F-A62EFF666E3E}">
          <x14:id>{AF3F8B17-9F4F-434E-8F21-B8662770E592}</x14:id>
        </ext>
      </extLst>
    </cfRule>
  </conditionalFormatting>
  <conditionalFormatting sqref="AE89">
    <cfRule type="iconSet" priority="4319">
      <iconSet iconSet="3Arrows">
        <cfvo type="percent" val="0"/>
        <cfvo type="num" val="0.7"/>
        <cfvo type="num" val="1"/>
      </iconSet>
    </cfRule>
    <cfRule type="dataBar" priority="4320">
      <dataBar>
        <cfvo type="num" val="0"/>
        <cfvo type="num" val="1"/>
        <color theme="4" tint="0.79998168889431442"/>
      </dataBar>
      <extLst>
        <ext xmlns:x14="http://schemas.microsoft.com/office/spreadsheetml/2009/9/main" uri="{B025F937-C7B1-47D3-B67F-A62EFF666E3E}">
          <x14:id>{D8B8CADD-48AC-487E-B543-CC0A3E95858C}</x14:id>
        </ext>
      </extLst>
    </cfRule>
  </conditionalFormatting>
  <conditionalFormatting sqref="AE93">
    <cfRule type="iconSet" priority="4219">
      <iconSet iconSet="3Arrows">
        <cfvo type="percent" val="0"/>
        <cfvo type="num" val="0.7"/>
        <cfvo type="num" val="1"/>
      </iconSet>
    </cfRule>
    <cfRule type="dataBar" priority="4220">
      <dataBar>
        <cfvo type="num" val="0"/>
        <cfvo type="num" val="1"/>
        <color theme="4" tint="0.79998168889431442"/>
      </dataBar>
      <extLst>
        <ext xmlns:x14="http://schemas.microsoft.com/office/spreadsheetml/2009/9/main" uri="{B025F937-C7B1-47D3-B67F-A62EFF666E3E}">
          <x14:id>{E9C9CBDE-DD91-499D-A718-76B786F448D2}</x14:id>
        </ext>
      </extLst>
    </cfRule>
  </conditionalFormatting>
  <conditionalFormatting sqref="AE95">
    <cfRule type="iconSet" priority="4208">
      <iconSet iconSet="3Arrows">
        <cfvo type="percent" val="0"/>
        <cfvo type="num" val="0.7"/>
        <cfvo type="num" val="1"/>
      </iconSet>
    </cfRule>
    <cfRule type="dataBar" priority="4209">
      <dataBar>
        <cfvo type="num" val="0"/>
        <cfvo type="num" val="1"/>
        <color theme="4" tint="0.79998168889431442"/>
      </dataBar>
      <extLst>
        <ext xmlns:x14="http://schemas.microsoft.com/office/spreadsheetml/2009/9/main" uri="{B025F937-C7B1-47D3-B67F-A62EFF666E3E}">
          <x14:id>{B3B04137-7908-43BE-8D04-415072474341}</x14:id>
        </ext>
      </extLst>
    </cfRule>
  </conditionalFormatting>
  <conditionalFormatting sqref="AE97">
    <cfRule type="iconSet" priority="1952">
      <iconSet iconSet="3Arrows">
        <cfvo type="percent" val="0"/>
        <cfvo type="num" val="0.7"/>
        <cfvo type="num" val="1"/>
      </iconSet>
    </cfRule>
    <cfRule type="dataBar" priority="1953">
      <dataBar>
        <cfvo type="num" val="0"/>
        <cfvo type="num" val="1"/>
        <color theme="4" tint="0.79998168889431442"/>
      </dataBar>
      <extLst>
        <ext xmlns:x14="http://schemas.microsoft.com/office/spreadsheetml/2009/9/main" uri="{B025F937-C7B1-47D3-B67F-A62EFF666E3E}">
          <x14:id>{D37DA36B-FC6B-48AB-8784-9D5640EE588E}</x14:id>
        </ext>
      </extLst>
    </cfRule>
  </conditionalFormatting>
  <conditionalFormatting sqref="AE99">
    <cfRule type="iconSet" priority="1989">
      <iconSet iconSet="3Arrows">
        <cfvo type="percent" val="0"/>
        <cfvo type="num" val="0.7"/>
        <cfvo type="num" val="1"/>
      </iconSet>
    </cfRule>
    <cfRule type="dataBar" priority="1990">
      <dataBar>
        <cfvo type="num" val="0"/>
        <cfvo type="num" val="1"/>
        <color theme="4" tint="0.79998168889431442"/>
      </dataBar>
      <extLst>
        <ext xmlns:x14="http://schemas.microsoft.com/office/spreadsheetml/2009/9/main" uri="{B025F937-C7B1-47D3-B67F-A62EFF666E3E}">
          <x14:id>{672B9BA7-20F2-4E89-BC92-6137385A17CC}</x14:id>
        </ext>
      </extLst>
    </cfRule>
  </conditionalFormatting>
  <conditionalFormatting sqref="AE101">
    <cfRule type="iconSet" priority="1926">
      <iconSet iconSet="3Arrows">
        <cfvo type="percent" val="0"/>
        <cfvo type="num" val="0.7"/>
        <cfvo type="num" val="1"/>
      </iconSet>
    </cfRule>
    <cfRule type="dataBar" priority="1927">
      <dataBar>
        <cfvo type="num" val="0"/>
        <cfvo type="num" val="1"/>
        <color theme="4" tint="0.79998168889431442"/>
      </dataBar>
      <extLst>
        <ext xmlns:x14="http://schemas.microsoft.com/office/spreadsheetml/2009/9/main" uri="{B025F937-C7B1-47D3-B67F-A62EFF666E3E}">
          <x14:id>{76B31BB1-7232-4C77-9F9B-975AA73395E7}</x14:id>
        </ext>
      </extLst>
    </cfRule>
  </conditionalFormatting>
  <conditionalFormatting sqref="AE103">
    <cfRule type="iconSet" priority="4221">
      <iconSet iconSet="3Arrows">
        <cfvo type="percent" val="0"/>
        <cfvo type="num" val="0.7"/>
        <cfvo type="num" val="1"/>
      </iconSet>
    </cfRule>
    <cfRule type="dataBar" priority="4222">
      <dataBar>
        <cfvo type="num" val="0"/>
        <cfvo type="num" val="1"/>
        <color theme="4" tint="0.79998168889431442"/>
      </dataBar>
      <extLst>
        <ext xmlns:x14="http://schemas.microsoft.com/office/spreadsheetml/2009/9/main" uri="{B025F937-C7B1-47D3-B67F-A62EFF666E3E}">
          <x14:id>{5EC036D7-ACB3-49FF-A27E-26B1EA550427}</x14:id>
        </ext>
      </extLst>
    </cfRule>
  </conditionalFormatting>
  <conditionalFormatting sqref="AE105">
    <cfRule type="iconSet" priority="4212">
      <iconSet iconSet="3Arrows">
        <cfvo type="percent" val="0"/>
        <cfvo type="num" val="0.7"/>
        <cfvo type="num" val="1"/>
      </iconSet>
    </cfRule>
    <cfRule type="dataBar" priority="4213">
      <dataBar>
        <cfvo type="num" val="0"/>
        <cfvo type="num" val="1"/>
        <color theme="4" tint="0.79998168889431442"/>
      </dataBar>
      <extLst>
        <ext xmlns:x14="http://schemas.microsoft.com/office/spreadsheetml/2009/9/main" uri="{B025F937-C7B1-47D3-B67F-A62EFF666E3E}">
          <x14:id>{E62C7518-3C13-44AB-97F6-D610DD824466}</x14:id>
        </ext>
      </extLst>
    </cfRule>
  </conditionalFormatting>
  <conditionalFormatting sqref="AE107">
    <cfRule type="iconSet" priority="4210">
      <iconSet iconSet="3Arrows">
        <cfvo type="percent" val="0"/>
        <cfvo type="num" val="0.7"/>
        <cfvo type="num" val="1"/>
      </iconSet>
    </cfRule>
    <cfRule type="dataBar" priority="4211">
      <dataBar>
        <cfvo type="num" val="0"/>
        <cfvo type="num" val="1"/>
        <color theme="4" tint="0.79998168889431442"/>
      </dataBar>
      <extLst>
        <ext xmlns:x14="http://schemas.microsoft.com/office/spreadsheetml/2009/9/main" uri="{B025F937-C7B1-47D3-B67F-A62EFF666E3E}">
          <x14:id>{11939A13-C541-431F-AA36-B9C8E4E9E86B}</x14:id>
        </ext>
      </extLst>
    </cfRule>
  </conditionalFormatting>
  <conditionalFormatting sqref="AE109">
    <cfRule type="iconSet" priority="2849">
      <iconSet iconSet="3Arrows">
        <cfvo type="percent" val="0"/>
        <cfvo type="num" val="0.7"/>
        <cfvo type="num" val="1"/>
      </iconSet>
    </cfRule>
    <cfRule type="dataBar" priority="2850">
      <dataBar>
        <cfvo type="num" val="0"/>
        <cfvo type="num" val="1"/>
        <color theme="4" tint="0.79998168889431442"/>
      </dataBar>
      <extLst>
        <ext xmlns:x14="http://schemas.microsoft.com/office/spreadsheetml/2009/9/main" uri="{B025F937-C7B1-47D3-B67F-A62EFF666E3E}">
          <x14:id>{499DD128-97E7-4A37-8C11-2D48FB2892C3}</x14:id>
        </ext>
      </extLst>
    </cfRule>
  </conditionalFormatting>
  <conditionalFormatting sqref="AE113">
    <cfRule type="iconSet" priority="4216">
      <iconSet iconSet="3Arrows">
        <cfvo type="percent" val="0"/>
        <cfvo type="num" val="0.7"/>
        <cfvo type="num" val="1"/>
      </iconSet>
    </cfRule>
    <cfRule type="dataBar" priority="4217">
      <dataBar>
        <cfvo type="num" val="0"/>
        <cfvo type="num" val="1"/>
        <color theme="4" tint="0.79998168889431442"/>
      </dataBar>
      <extLst>
        <ext xmlns:x14="http://schemas.microsoft.com/office/spreadsheetml/2009/9/main" uri="{B025F937-C7B1-47D3-B67F-A62EFF666E3E}">
          <x14:id>{1C87F7CC-1C73-4032-97A5-6800F70A83C8}</x14:id>
        </ext>
      </extLst>
    </cfRule>
  </conditionalFormatting>
  <conditionalFormatting sqref="AE115">
    <cfRule type="iconSet" priority="4214">
      <iconSet iconSet="3Arrows">
        <cfvo type="percent" val="0"/>
        <cfvo type="num" val="0.7"/>
        <cfvo type="num" val="1"/>
      </iconSet>
    </cfRule>
    <cfRule type="dataBar" priority="4215">
      <dataBar>
        <cfvo type="num" val="0"/>
        <cfvo type="num" val="1"/>
        <color theme="4" tint="0.79998168889431442"/>
      </dataBar>
      <extLst>
        <ext xmlns:x14="http://schemas.microsoft.com/office/spreadsheetml/2009/9/main" uri="{B025F937-C7B1-47D3-B67F-A62EFF666E3E}">
          <x14:id>{A39B7E91-278C-4671-809E-565C8A787CCB}</x14:id>
        </ext>
      </extLst>
    </cfRule>
  </conditionalFormatting>
  <conditionalFormatting sqref="AE119">
    <cfRule type="iconSet" priority="4315">
      <iconSet iconSet="3Arrows">
        <cfvo type="percent" val="0"/>
        <cfvo type="num" val="0.7"/>
        <cfvo type="num" val="1"/>
      </iconSet>
    </cfRule>
    <cfRule type="dataBar" priority="4316">
      <dataBar>
        <cfvo type="num" val="0"/>
        <cfvo type="num" val="1"/>
        <color theme="4" tint="0.79998168889431442"/>
      </dataBar>
      <extLst>
        <ext xmlns:x14="http://schemas.microsoft.com/office/spreadsheetml/2009/9/main" uri="{B025F937-C7B1-47D3-B67F-A62EFF666E3E}">
          <x14:id>{12BA542C-4F71-44F8-8957-0445CAEB6F0B}</x14:id>
        </ext>
      </extLst>
    </cfRule>
  </conditionalFormatting>
  <conditionalFormatting sqref="AE121">
    <cfRule type="iconSet" priority="4335">
      <iconSet iconSet="3Arrows">
        <cfvo type="percent" val="0"/>
        <cfvo type="num" val="0.7"/>
        <cfvo type="num" val="1"/>
      </iconSet>
    </cfRule>
    <cfRule type="dataBar" priority="4336">
      <dataBar>
        <cfvo type="num" val="0"/>
        <cfvo type="num" val="1"/>
        <color theme="4" tint="0.79998168889431442"/>
      </dataBar>
      <extLst>
        <ext xmlns:x14="http://schemas.microsoft.com/office/spreadsheetml/2009/9/main" uri="{B025F937-C7B1-47D3-B67F-A62EFF666E3E}">
          <x14:id>{3DF8A808-DDA2-4952-A0A6-1F35FDF455AF}</x14:id>
        </ext>
      </extLst>
    </cfRule>
  </conditionalFormatting>
  <conditionalFormatting sqref="AE123">
    <cfRule type="iconSet" priority="4273">
      <iconSet iconSet="3Arrows">
        <cfvo type="percent" val="0"/>
        <cfvo type="num" val="0.7"/>
        <cfvo type="num" val="1"/>
      </iconSet>
    </cfRule>
    <cfRule type="dataBar" priority="4274">
      <dataBar>
        <cfvo type="num" val="0"/>
        <cfvo type="num" val="1"/>
        <color theme="4" tint="0.79998168889431442"/>
      </dataBar>
      <extLst>
        <ext xmlns:x14="http://schemas.microsoft.com/office/spreadsheetml/2009/9/main" uri="{B025F937-C7B1-47D3-B67F-A62EFF666E3E}">
          <x14:id>{795CF784-B7D2-4ECE-B7EE-AD0D352C801A}</x14:id>
        </ext>
      </extLst>
    </cfRule>
  </conditionalFormatting>
  <conditionalFormatting sqref="AE125">
    <cfRule type="iconSet" priority="3480">
      <iconSet iconSet="3Arrows">
        <cfvo type="percent" val="0"/>
        <cfvo type="num" val="0.7"/>
        <cfvo type="num" val="1"/>
      </iconSet>
    </cfRule>
    <cfRule type="dataBar" priority="3481">
      <dataBar>
        <cfvo type="num" val="0"/>
        <cfvo type="num" val="1"/>
        <color theme="4" tint="0.79998168889431442"/>
      </dataBar>
      <extLst>
        <ext xmlns:x14="http://schemas.microsoft.com/office/spreadsheetml/2009/9/main" uri="{B025F937-C7B1-47D3-B67F-A62EFF666E3E}">
          <x14:id>{725E5928-9604-4912-B537-37BC4A3A95E0}</x14:id>
        </ext>
      </extLst>
    </cfRule>
  </conditionalFormatting>
  <conditionalFormatting sqref="AE127">
    <cfRule type="iconSet" priority="3239">
      <iconSet iconSet="3Arrows">
        <cfvo type="percent" val="0"/>
        <cfvo type="num" val="0.7"/>
        <cfvo type="num" val="1"/>
      </iconSet>
    </cfRule>
    <cfRule type="dataBar" priority="3240">
      <dataBar>
        <cfvo type="num" val="0"/>
        <cfvo type="num" val="1"/>
        <color theme="4" tint="0.79998168889431442"/>
      </dataBar>
      <extLst>
        <ext xmlns:x14="http://schemas.microsoft.com/office/spreadsheetml/2009/9/main" uri="{B025F937-C7B1-47D3-B67F-A62EFF666E3E}">
          <x14:id>{BCE5554B-5C93-4768-9F76-CE7F5DD7A2C2}</x14:id>
        </ext>
      </extLst>
    </cfRule>
  </conditionalFormatting>
  <conditionalFormatting sqref="AE129">
    <cfRule type="iconSet" priority="4271">
      <iconSet iconSet="3Arrows">
        <cfvo type="percent" val="0"/>
        <cfvo type="num" val="0.7"/>
        <cfvo type="num" val="1"/>
      </iconSet>
    </cfRule>
    <cfRule type="dataBar" priority="4272">
      <dataBar>
        <cfvo type="num" val="0"/>
        <cfvo type="num" val="1"/>
        <color theme="4" tint="0.79998168889431442"/>
      </dataBar>
      <extLst>
        <ext xmlns:x14="http://schemas.microsoft.com/office/spreadsheetml/2009/9/main" uri="{B025F937-C7B1-47D3-B67F-A62EFF666E3E}">
          <x14:id>{D0EE6649-56AD-4C59-9803-ADE1D33A394B}</x14:id>
        </ext>
      </extLst>
    </cfRule>
  </conditionalFormatting>
  <conditionalFormatting sqref="AE131">
    <cfRule type="iconSet" priority="2950">
      <iconSet iconSet="3Arrows">
        <cfvo type="percent" val="0"/>
        <cfvo type="num" val="0.7"/>
        <cfvo type="num" val="1"/>
      </iconSet>
    </cfRule>
    <cfRule type="dataBar" priority="2951">
      <dataBar>
        <cfvo type="num" val="0"/>
        <cfvo type="num" val="1"/>
        <color theme="4" tint="0.79998168889431442"/>
      </dataBar>
      <extLst>
        <ext xmlns:x14="http://schemas.microsoft.com/office/spreadsheetml/2009/9/main" uri="{B025F937-C7B1-47D3-B67F-A62EFF666E3E}">
          <x14:id>{35982E16-4A1A-48E5-AB52-F52765BC5E4F}</x14:id>
        </ext>
      </extLst>
    </cfRule>
  </conditionalFormatting>
  <conditionalFormatting sqref="AE134">
    <cfRule type="iconSet" priority="1494">
      <iconSet iconSet="3Arrows">
        <cfvo type="percent" val="0"/>
        <cfvo type="num" val="0.7"/>
        <cfvo type="num" val="1"/>
      </iconSet>
    </cfRule>
    <cfRule type="dataBar" priority="1495">
      <dataBar>
        <cfvo type="num" val="0"/>
        <cfvo type="num" val="1"/>
        <color theme="4" tint="0.79998168889431442"/>
      </dataBar>
      <extLst>
        <ext xmlns:x14="http://schemas.microsoft.com/office/spreadsheetml/2009/9/main" uri="{B025F937-C7B1-47D3-B67F-A62EFF666E3E}">
          <x14:id>{7BDB81F1-2FC1-419E-9C00-825C32DDC916}</x14:id>
        </ext>
      </extLst>
    </cfRule>
  </conditionalFormatting>
  <conditionalFormatting sqref="AE137">
    <cfRule type="iconSet" priority="4293">
      <iconSet iconSet="3Arrows">
        <cfvo type="percent" val="0"/>
        <cfvo type="num" val="0.7"/>
        <cfvo type="num" val="1"/>
      </iconSet>
    </cfRule>
    <cfRule type="dataBar" priority="4294">
      <dataBar>
        <cfvo type="num" val="0"/>
        <cfvo type="num" val="1"/>
        <color theme="4" tint="0.79998168889431442"/>
      </dataBar>
      <extLst>
        <ext xmlns:x14="http://schemas.microsoft.com/office/spreadsheetml/2009/9/main" uri="{B025F937-C7B1-47D3-B67F-A62EFF666E3E}">
          <x14:id>{558FEE3F-AD1B-4EAF-BC1A-8C70EF5B9EBA}</x14:id>
        </ext>
      </extLst>
    </cfRule>
  </conditionalFormatting>
  <conditionalFormatting sqref="AE140">
    <cfRule type="iconSet" priority="4205">
      <iconSet iconSet="3Arrows">
        <cfvo type="percent" val="0"/>
        <cfvo type="num" val="0.7"/>
        <cfvo type="num" val="1"/>
      </iconSet>
    </cfRule>
    <cfRule type="dataBar" priority="4206">
      <dataBar>
        <cfvo type="num" val="0"/>
        <cfvo type="num" val="1"/>
        <color theme="4" tint="0.79998168889431442"/>
      </dataBar>
      <extLst>
        <ext xmlns:x14="http://schemas.microsoft.com/office/spreadsheetml/2009/9/main" uri="{B025F937-C7B1-47D3-B67F-A62EFF666E3E}">
          <x14:id>{16AE4A52-97A7-4366-9E64-D0826BBC1F88}</x14:id>
        </ext>
      </extLst>
    </cfRule>
  </conditionalFormatting>
  <conditionalFormatting sqref="AE142">
    <cfRule type="iconSet" priority="4129">
      <iconSet iconSet="3Arrows">
        <cfvo type="percent" val="0"/>
        <cfvo type="num" val="0.7"/>
        <cfvo type="num" val="1"/>
      </iconSet>
    </cfRule>
    <cfRule type="dataBar" priority="4130">
      <dataBar>
        <cfvo type="num" val="0"/>
        <cfvo type="num" val="1"/>
        <color theme="4" tint="0.79998168889431442"/>
      </dataBar>
      <extLst>
        <ext xmlns:x14="http://schemas.microsoft.com/office/spreadsheetml/2009/9/main" uri="{B025F937-C7B1-47D3-B67F-A62EFF666E3E}">
          <x14:id>{E4CB31C4-A47A-408E-A3A0-042D5DE96492}</x14:id>
        </ext>
      </extLst>
    </cfRule>
  </conditionalFormatting>
  <conditionalFormatting sqref="AE144">
    <cfRule type="iconSet" priority="4124">
      <iconSet iconSet="3Arrows">
        <cfvo type="percent" val="0"/>
        <cfvo type="num" val="0.7"/>
        <cfvo type="num" val="1"/>
      </iconSet>
    </cfRule>
    <cfRule type="dataBar" priority="4125">
      <dataBar>
        <cfvo type="num" val="0"/>
        <cfvo type="num" val="1"/>
        <color theme="4" tint="0.79998168889431442"/>
      </dataBar>
      <extLst>
        <ext xmlns:x14="http://schemas.microsoft.com/office/spreadsheetml/2009/9/main" uri="{B025F937-C7B1-47D3-B67F-A62EFF666E3E}">
          <x14:id>{ECBB8745-B94D-498D-AC71-2E0771A5FAD7}</x14:id>
        </ext>
      </extLst>
    </cfRule>
  </conditionalFormatting>
  <conditionalFormatting sqref="AE146">
    <cfRule type="iconSet" priority="1383">
      <iconSet iconSet="3Arrows">
        <cfvo type="percent" val="0"/>
        <cfvo type="num" val="0.7"/>
        <cfvo type="num" val="1"/>
      </iconSet>
    </cfRule>
    <cfRule type="dataBar" priority="1384">
      <dataBar>
        <cfvo type="num" val="0"/>
        <cfvo type="num" val="1"/>
        <color theme="4" tint="0.79998168889431442"/>
      </dataBar>
      <extLst>
        <ext xmlns:x14="http://schemas.microsoft.com/office/spreadsheetml/2009/9/main" uri="{B025F937-C7B1-47D3-B67F-A62EFF666E3E}">
          <x14:id>{41748BA5-7C70-4E3B-A354-1F4890FB0386}</x14:id>
        </ext>
      </extLst>
    </cfRule>
  </conditionalFormatting>
  <conditionalFormatting sqref="AE148">
    <cfRule type="iconSet" priority="4203">
      <iconSet iconSet="3Arrows">
        <cfvo type="percent" val="0"/>
        <cfvo type="num" val="0.7"/>
        <cfvo type="num" val="1"/>
      </iconSet>
    </cfRule>
    <cfRule type="dataBar" priority="4204">
      <dataBar>
        <cfvo type="num" val="0"/>
        <cfvo type="num" val="1"/>
        <color theme="4" tint="0.79998168889431442"/>
      </dataBar>
      <extLst>
        <ext xmlns:x14="http://schemas.microsoft.com/office/spreadsheetml/2009/9/main" uri="{B025F937-C7B1-47D3-B67F-A62EFF666E3E}">
          <x14:id>{A55EE1D8-7414-4A57-9126-680EC0AE3825}</x14:id>
        </ext>
      </extLst>
    </cfRule>
  </conditionalFormatting>
  <conditionalFormatting sqref="AE150">
    <cfRule type="iconSet" priority="4168">
      <iconSet iconSet="3Arrows">
        <cfvo type="percent" val="0"/>
        <cfvo type="num" val="0.7"/>
        <cfvo type="num" val="1"/>
      </iconSet>
    </cfRule>
    <cfRule type="dataBar" priority="4169">
      <dataBar>
        <cfvo type="num" val="0"/>
        <cfvo type="num" val="1"/>
        <color theme="4" tint="0.79998168889431442"/>
      </dataBar>
      <extLst>
        <ext xmlns:x14="http://schemas.microsoft.com/office/spreadsheetml/2009/9/main" uri="{B025F937-C7B1-47D3-B67F-A62EFF666E3E}">
          <x14:id>{8EDE9D21-29D1-43C7-9C25-A6C6CA2F5AEE}</x14:id>
        </ext>
      </extLst>
    </cfRule>
  </conditionalFormatting>
  <conditionalFormatting sqref="AE152">
    <cfRule type="iconSet" priority="4132">
      <iconSet iconSet="3Arrows">
        <cfvo type="percent" val="0"/>
        <cfvo type="num" val="0.7"/>
        <cfvo type="num" val="1"/>
      </iconSet>
    </cfRule>
    <cfRule type="dataBar" priority="4133">
      <dataBar>
        <cfvo type="num" val="0"/>
        <cfvo type="num" val="1"/>
        <color theme="4" tint="0.79998168889431442"/>
      </dataBar>
      <extLst>
        <ext xmlns:x14="http://schemas.microsoft.com/office/spreadsheetml/2009/9/main" uri="{B025F937-C7B1-47D3-B67F-A62EFF666E3E}">
          <x14:id>{EA99D567-279F-47B1-96F0-66A17E96E370}</x14:id>
        </ext>
      </extLst>
    </cfRule>
  </conditionalFormatting>
  <conditionalFormatting sqref="AE154">
    <cfRule type="iconSet" priority="3345">
      <iconSet iconSet="3Arrows">
        <cfvo type="percent" val="0"/>
        <cfvo type="num" val="0.7"/>
        <cfvo type="num" val="1"/>
      </iconSet>
    </cfRule>
    <cfRule type="dataBar" priority="3346">
      <dataBar>
        <cfvo type="num" val="0"/>
        <cfvo type="num" val="1"/>
        <color theme="4" tint="0.79998168889431442"/>
      </dataBar>
      <extLst>
        <ext xmlns:x14="http://schemas.microsoft.com/office/spreadsheetml/2009/9/main" uri="{B025F937-C7B1-47D3-B67F-A62EFF666E3E}">
          <x14:id>{9E58CECB-DE4B-4D5C-A6CC-58B4ECFF401E}</x14:id>
        </ext>
      </extLst>
    </cfRule>
  </conditionalFormatting>
  <conditionalFormatting sqref="AE156">
    <cfRule type="iconSet" priority="4337">
      <iconSet iconSet="3Arrows">
        <cfvo type="percent" val="0"/>
        <cfvo type="num" val="0.7"/>
        <cfvo type="num" val="1"/>
      </iconSet>
    </cfRule>
    <cfRule type="dataBar" priority="4338">
      <dataBar>
        <cfvo type="num" val="0"/>
        <cfvo type="num" val="1"/>
        <color theme="4" tint="0.79998168889431442"/>
      </dataBar>
      <extLst>
        <ext xmlns:x14="http://schemas.microsoft.com/office/spreadsheetml/2009/9/main" uri="{B025F937-C7B1-47D3-B67F-A62EFF666E3E}">
          <x14:id>{27437B0C-B927-4D8A-84C1-1082CB3BB75A}</x14:id>
        </ext>
      </extLst>
    </cfRule>
  </conditionalFormatting>
  <conditionalFormatting sqref="AE158">
    <cfRule type="iconSet" priority="4164">
      <iconSet iconSet="3Arrows">
        <cfvo type="percent" val="0"/>
        <cfvo type="num" val="0.7"/>
        <cfvo type="num" val="1"/>
      </iconSet>
    </cfRule>
    <cfRule type="dataBar" priority="4165">
      <dataBar>
        <cfvo type="num" val="0"/>
        <cfvo type="num" val="1"/>
        <color theme="4" tint="0.79998168889431442"/>
      </dataBar>
      <extLst>
        <ext xmlns:x14="http://schemas.microsoft.com/office/spreadsheetml/2009/9/main" uri="{B025F937-C7B1-47D3-B67F-A62EFF666E3E}">
          <x14:id>{81A69368-1AC5-4208-9D92-7E043302355A}</x14:id>
        </ext>
      </extLst>
    </cfRule>
  </conditionalFormatting>
  <conditionalFormatting sqref="AE160">
    <cfRule type="iconSet" priority="4166">
      <iconSet iconSet="3Arrows">
        <cfvo type="percent" val="0"/>
        <cfvo type="num" val="0.7"/>
        <cfvo type="num" val="1"/>
      </iconSet>
    </cfRule>
    <cfRule type="dataBar" priority="4167">
      <dataBar>
        <cfvo type="num" val="0"/>
        <cfvo type="num" val="1"/>
        <color theme="4" tint="0.79998168889431442"/>
      </dataBar>
      <extLst>
        <ext xmlns:x14="http://schemas.microsoft.com/office/spreadsheetml/2009/9/main" uri="{B025F937-C7B1-47D3-B67F-A62EFF666E3E}">
          <x14:id>{22703684-134C-47AA-8663-32629696D8B5}</x14:id>
        </ext>
      </extLst>
    </cfRule>
  </conditionalFormatting>
  <conditionalFormatting sqref="AE162">
    <cfRule type="iconSet" priority="4127">
      <iconSet iconSet="3Arrows">
        <cfvo type="percent" val="0"/>
        <cfvo type="num" val="0.7"/>
        <cfvo type="num" val="1"/>
      </iconSet>
    </cfRule>
    <cfRule type="dataBar" priority="4128">
      <dataBar>
        <cfvo type="num" val="0"/>
        <cfvo type="num" val="1"/>
        <color theme="4" tint="0.79998168889431442"/>
      </dataBar>
      <extLst>
        <ext xmlns:x14="http://schemas.microsoft.com/office/spreadsheetml/2009/9/main" uri="{B025F937-C7B1-47D3-B67F-A62EFF666E3E}">
          <x14:id>{FB709FBC-00A3-4055-A03F-E9D11DB101DF}</x14:id>
        </ext>
      </extLst>
    </cfRule>
  </conditionalFormatting>
  <conditionalFormatting sqref="AE164">
    <cfRule type="iconSet" priority="2153">
      <iconSet iconSet="3Arrows">
        <cfvo type="percent" val="0"/>
        <cfvo type="num" val="0.7"/>
        <cfvo type="num" val="1"/>
      </iconSet>
    </cfRule>
    <cfRule type="dataBar" priority="2154">
      <dataBar>
        <cfvo type="num" val="0"/>
        <cfvo type="num" val="1"/>
        <color theme="4" tint="0.79998168889431442"/>
      </dataBar>
      <extLst>
        <ext xmlns:x14="http://schemas.microsoft.com/office/spreadsheetml/2009/9/main" uri="{B025F937-C7B1-47D3-B67F-A62EFF666E3E}">
          <x14:id>{7B7976C3-0D5C-4377-8A10-BA063F9753A4}</x14:id>
        </ext>
      </extLst>
    </cfRule>
  </conditionalFormatting>
  <conditionalFormatting sqref="AE166">
    <cfRule type="iconSet" priority="4145">
      <iconSet iconSet="3Arrows">
        <cfvo type="percent" val="0"/>
        <cfvo type="num" val="0.7"/>
        <cfvo type="num" val="1"/>
      </iconSet>
    </cfRule>
    <cfRule type="dataBar" priority="4146">
      <dataBar>
        <cfvo type="num" val="0"/>
        <cfvo type="num" val="1"/>
        <color theme="4" tint="0.79998168889431442"/>
      </dataBar>
      <extLst>
        <ext xmlns:x14="http://schemas.microsoft.com/office/spreadsheetml/2009/9/main" uri="{B025F937-C7B1-47D3-B67F-A62EFF666E3E}">
          <x14:id>{61CBFAB3-3E11-43DA-B044-D81E627B1665}</x14:id>
        </ext>
      </extLst>
    </cfRule>
  </conditionalFormatting>
  <conditionalFormatting sqref="AE168">
    <cfRule type="iconSet" priority="4162">
      <iconSet iconSet="3Arrows">
        <cfvo type="percent" val="0"/>
        <cfvo type="num" val="0.7"/>
        <cfvo type="num" val="1"/>
      </iconSet>
    </cfRule>
    <cfRule type="dataBar" priority="4163">
      <dataBar>
        <cfvo type="num" val="0"/>
        <cfvo type="num" val="1"/>
        <color theme="4" tint="0.79998168889431442"/>
      </dataBar>
      <extLst>
        <ext xmlns:x14="http://schemas.microsoft.com/office/spreadsheetml/2009/9/main" uri="{B025F937-C7B1-47D3-B67F-A62EFF666E3E}">
          <x14:id>{72710DFB-CF9D-478E-8F3E-399913C558E2}</x14:id>
        </ext>
      </extLst>
    </cfRule>
  </conditionalFormatting>
  <conditionalFormatting sqref="AE170">
    <cfRule type="iconSet" priority="4199">
      <iconSet iconSet="3Arrows">
        <cfvo type="percent" val="0"/>
        <cfvo type="num" val="0.7"/>
        <cfvo type="num" val="1"/>
      </iconSet>
    </cfRule>
    <cfRule type="dataBar" priority="4200">
      <dataBar>
        <cfvo type="num" val="0"/>
        <cfvo type="num" val="1"/>
        <color theme="4" tint="0.79998168889431442"/>
      </dataBar>
      <extLst>
        <ext xmlns:x14="http://schemas.microsoft.com/office/spreadsheetml/2009/9/main" uri="{B025F937-C7B1-47D3-B67F-A62EFF666E3E}">
          <x14:id>{12A208EE-3995-458C-911E-EAF099E105CA}</x14:id>
        </ext>
      </extLst>
    </cfRule>
  </conditionalFormatting>
  <conditionalFormatting sqref="AE172">
    <cfRule type="iconSet" priority="4143">
      <iconSet iconSet="3Arrows">
        <cfvo type="percent" val="0"/>
        <cfvo type="num" val="0.7"/>
        <cfvo type="num" val="1"/>
      </iconSet>
    </cfRule>
    <cfRule type="dataBar" priority="4144">
      <dataBar>
        <cfvo type="num" val="0"/>
        <cfvo type="num" val="1"/>
        <color theme="4" tint="0.79998168889431442"/>
      </dataBar>
      <extLst>
        <ext xmlns:x14="http://schemas.microsoft.com/office/spreadsheetml/2009/9/main" uri="{B025F937-C7B1-47D3-B67F-A62EFF666E3E}">
          <x14:id>{D071B0E2-248B-4A2B-B112-B200B86CDD8C}</x14:id>
        </ext>
      </extLst>
    </cfRule>
  </conditionalFormatting>
  <conditionalFormatting sqref="AE174">
    <cfRule type="iconSet" priority="4201">
      <iconSet iconSet="3Arrows">
        <cfvo type="percent" val="0"/>
        <cfvo type="num" val="0.7"/>
        <cfvo type="num" val="1"/>
      </iconSet>
    </cfRule>
    <cfRule type="dataBar" priority="4202">
      <dataBar>
        <cfvo type="num" val="0"/>
        <cfvo type="num" val="1"/>
        <color theme="4" tint="0.79998168889431442"/>
      </dataBar>
      <extLst>
        <ext xmlns:x14="http://schemas.microsoft.com/office/spreadsheetml/2009/9/main" uri="{B025F937-C7B1-47D3-B67F-A62EFF666E3E}">
          <x14:id>{095E2414-32BE-476C-B685-0B4FAF80B9EB}</x14:id>
        </ext>
      </extLst>
    </cfRule>
  </conditionalFormatting>
  <conditionalFormatting sqref="AE176">
    <cfRule type="iconSet" priority="3161">
      <iconSet iconSet="3Arrows">
        <cfvo type="percent" val="0"/>
        <cfvo type="num" val="0.7"/>
        <cfvo type="num" val="1"/>
      </iconSet>
    </cfRule>
    <cfRule type="dataBar" priority="3162">
      <dataBar>
        <cfvo type="num" val="0"/>
        <cfvo type="num" val="1"/>
        <color theme="4" tint="0.79998168889431442"/>
      </dataBar>
      <extLst>
        <ext xmlns:x14="http://schemas.microsoft.com/office/spreadsheetml/2009/9/main" uri="{B025F937-C7B1-47D3-B67F-A62EFF666E3E}">
          <x14:id>{BC125AC8-388E-4355-BCDA-A31EB6EC92D0}</x14:id>
        </ext>
      </extLst>
    </cfRule>
  </conditionalFormatting>
  <conditionalFormatting sqref="AE180">
    <cfRule type="iconSet" priority="4295">
      <iconSet iconSet="3Arrows">
        <cfvo type="percent" val="0"/>
        <cfvo type="num" val="0.7"/>
        <cfvo type="num" val="1"/>
      </iconSet>
    </cfRule>
    <cfRule type="dataBar" priority="4296">
      <dataBar>
        <cfvo type="num" val="0"/>
        <cfvo type="num" val="1"/>
        <color theme="4" tint="0.79998168889431442"/>
      </dataBar>
      <extLst>
        <ext xmlns:x14="http://schemas.microsoft.com/office/spreadsheetml/2009/9/main" uri="{B025F937-C7B1-47D3-B67F-A62EFF666E3E}">
          <x14:id>{B3EF49E8-7687-47A0-92F0-44678341957F}</x14:id>
        </ext>
      </extLst>
    </cfRule>
  </conditionalFormatting>
  <conditionalFormatting sqref="AE182">
    <cfRule type="iconSet" priority="4158">
      <iconSet iconSet="3Arrows">
        <cfvo type="percent" val="0"/>
        <cfvo type="num" val="0.7"/>
        <cfvo type="num" val="1"/>
      </iconSet>
    </cfRule>
    <cfRule type="dataBar" priority="4159">
      <dataBar>
        <cfvo type="num" val="0"/>
        <cfvo type="num" val="1"/>
        <color theme="4" tint="0.79998168889431442"/>
      </dataBar>
      <extLst>
        <ext xmlns:x14="http://schemas.microsoft.com/office/spreadsheetml/2009/9/main" uri="{B025F937-C7B1-47D3-B67F-A62EFF666E3E}">
          <x14:id>{C3308D82-6A45-4722-828F-95DDDF4EB458}</x14:id>
        </ext>
      </extLst>
    </cfRule>
  </conditionalFormatting>
  <conditionalFormatting sqref="AE184">
    <cfRule type="iconSet" priority="4160">
      <iconSet iconSet="3Arrows">
        <cfvo type="percent" val="0"/>
        <cfvo type="num" val="0.7"/>
        <cfvo type="num" val="1"/>
      </iconSet>
    </cfRule>
    <cfRule type="dataBar" priority="4161">
      <dataBar>
        <cfvo type="num" val="0"/>
        <cfvo type="num" val="1"/>
        <color theme="4" tint="0.79998168889431442"/>
      </dataBar>
      <extLst>
        <ext xmlns:x14="http://schemas.microsoft.com/office/spreadsheetml/2009/9/main" uri="{B025F937-C7B1-47D3-B67F-A62EFF666E3E}">
          <x14:id>{824B7667-3234-491F-9D81-9434FCA04ADE}</x14:id>
        </ext>
      </extLst>
    </cfRule>
  </conditionalFormatting>
  <conditionalFormatting sqref="AE186">
    <cfRule type="iconSet" priority="3221">
      <iconSet iconSet="3Arrows">
        <cfvo type="percent" val="0"/>
        <cfvo type="num" val="0.7"/>
        <cfvo type="num" val="1"/>
      </iconSet>
    </cfRule>
    <cfRule type="dataBar" priority="3222">
      <dataBar>
        <cfvo type="num" val="0"/>
        <cfvo type="num" val="1"/>
        <color theme="4" tint="0.79998168889431442"/>
      </dataBar>
      <extLst>
        <ext xmlns:x14="http://schemas.microsoft.com/office/spreadsheetml/2009/9/main" uri="{B025F937-C7B1-47D3-B67F-A62EFF666E3E}">
          <x14:id>{8DE279C5-D457-4FE9-8E4F-0D87E1D31CB0}</x14:id>
        </ext>
      </extLst>
    </cfRule>
  </conditionalFormatting>
  <conditionalFormatting sqref="AE188">
    <cfRule type="iconSet" priority="2967">
      <iconSet iconSet="3Arrows">
        <cfvo type="percent" val="0"/>
        <cfvo type="num" val="0.7"/>
        <cfvo type="num" val="1"/>
      </iconSet>
    </cfRule>
    <cfRule type="dataBar" priority="2968">
      <dataBar>
        <cfvo type="num" val="0"/>
        <cfvo type="num" val="1"/>
        <color theme="4" tint="0.79998168889431442"/>
      </dataBar>
      <extLst>
        <ext xmlns:x14="http://schemas.microsoft.com/office/spreadsheetml/2009/9/main" uri="{B025F937-C7B1-47D3-B67F-A62EFF666E3E}">
          <x14:id>{6AB393FC-9458-4E4F-9230-868FFD71A15E}</x14:id>
        </ext>
      </extLst>
    </cfRule>
  </conditionalFormatting>
  <conditionalFormatting sqref="AE190">
    <cfRule type="iconSet" priority="3207">
      <iconSet iconSet="3Arrows">
        <cfvo type="percent" val="0"/>
        <cfvo type="num" val="0.7"/>
        <cfvo type="num" val="1"/>
      </iconSet>
    </cfRule>
    <cfRule type="dataBar" priority="3208">
      <dataBar>
        <cfvo type="num" val="0"/>
        <cfvo type="num" val="1"/>
        <color theme="4" tint="0.79998168889431442"/>
      </dataBar>
      <extLst>
        <ext xmlns:x14="http://schemas.microsoft.com/office/spreadsheetml/2009/9/main" uri="{B025F937-C7B1-47D3-B67F-A62EFF666E3E}">
          <x14:id>{7B66CC84-66FA-4673-A3DE-93FD8487DE4D}</x14:id>
        </ext>
      </extLst>
    </cfRule>
  </conditionalFormatting>
  <conditionalFormatting sqref="AE192">
    <cfRule type="iconSet" priority="4137">
      <iconSet iconSet="3Arrows">
        <cfvo type="percent" val="0"/>
        <cfvo type="num" val="0.7"/>
        <cfvo type="num" val="1"/>
      </iconSet>
    </cfRule>
    <cfRule type="dataBar" priority="4138">
      <dataBar>
        <cfvo type="num" val="0"/>
        <cfvo type="num" val="1"/>
        <color theme="4" tint="0.79998168889431442"/>
      </dataBar>
      <extLst>
        <ext xmlns:x14="http://schemas.microsoft.com/office/spreadsheetml/2009/9/main" uri="{B025F937-C7B1-47D3-B67F-A62EFF666E3E}">
          <x14:id>{4C9B42C8-A7A5-4DF9-9084-E044F2AEEB81}</x14:id>
        </ext>
      </extLst>
    </cfRule>
  </conditionalFormatting>
  <conditionalFormatting sqref="AE194">
    <cfRule type="iconSet" priority="4141">
      <iconSet iconSet="3Arrows">
        <cfvo type="percent" val="0"/>
        <cfvo type="num" val="0.7"/>
        <cfvo type="num" val="1"/>
      </iconSet>
    </cfRule>
    <cfRule type="dataBar" priority="4142">
      <dataBar>
        <cfvo type="num" val="0"/>
        <cfvo type="num" val="1"/>
        <color theme="4" tint="0.79998168889431442"/>
      </dataBar>
      <extLst>
        <ext xmlns:x14="http://schemas.microsoft.com/office/spreadsheetml/2009/9/main" uri="{B025F937-C7B1-47D3-B67F-A62EFF666E3E}">
          <x14:id>{32B51B18-577C-44C9-8ED5-C3612285012D}</x14:id>
        </ext>
      </extLst>
    </cfRule>
  </conditionalFormatting>
  <conditionalFormatting sqref="AE196">
    <cfRule type="iconSet" priority="2445">
      <iconSet iconSet="3Arrows">
        <cfvo type="percent" val="0"/>
        <cfvo type="num" val="0.7"/>
        <cfvo type="num" val="1"/>
      </iconSet>
    </cfRule>
    <cfRule type="dataBar" priority="2446">
      <dataBar>
        <cfvo type="num" val="0"/>
        <cfvo type="num" val="1"/>
        <color theme="4" tint="0.79998168889431442"/>
      </dataBar>
      <extLst>
        <ext xmlns:x14="http://schemas.microsoft.com/office/spreadsheetml/2009/9/main" uri="{B025F937-C7B1-47D3-B67F-A62EFF666E3E}">
          <x14:id>{6C97DA30-C9F2-421B-A661-9112C140F977}</x14:id>
        </ext>
      </extLst>
    </cfRule>
  </conditionalFormatting>
  <conditionalFormatting sqref="AE198">
    <cfRule type="iconSet" priority="3147">
      <iconSet iconSet="3Arrows">
        <cfvo type="percent" val="0"/>
        <cfvo type="num" val="0.7"/>
        <cfvo type="num" val="1"/>
      </iconSet>
    </cfRule>
    <cfRule type="dataBar" priority="3148">
      <dataBar>
        <cfvo type="num" val="0"/>
        <cfvo type="num" val="1"/>
        <color theme="4" tint="0.79998168889431442"/>
      </dataBar>
      <extLst>
        <ext xmlns:x14="http://schemas.microsoft.com/office/spreadsheetml/2009/9/main" uri="{B025F937-C7B1-47D3-B67F-A62EFF666E3E}">
          <x14:id>{7DDC83A4-F566-4F4C-B424-1A5B71222EAA}</x14:id>
        </ext>
      </extLst>
    </cfRule>
  </conditionalFormatting>
  <conditionalFormatting sqref="AE200">
    <cfRule type="iconSet" priority="4134">
      <iconSet iconSet="3Arrows">
        <cfvo type="percent" val="0"/>
        <cfvo type="num" val="0.7"/>
        <cfvo type="num" val="1"/>
      </iconSet>
    </cfRule>
    <cfRule type="dataBar" priority="4135">
      <dataBar>
        <cfvo type="num" val="0"/>
        <cfvo type="num" val="1"/>
        <color theme="4" tint="0.79998168889431442"/>
      </dataBar>
      <extLst>
        <ext xmlns:x14="http://schemas.microsoft.com/office/spreadsheetml/2009/9/main" uri="{B025F937-C7B1-47D3-B67F-A62EFF666E3E}">
          <x14:id>{4A605462-4737-40BE-8480-393A41B44DAC}</x14:id>
        </ext>
      </extLst>
    </cfRule>
  </conditionalFormatting>
  <conditionalFormatting sqref="AE202">
    <cfRule type="iconSet" priority="4139">
      <iconSet iconSet="3Arrows">
        <cfvo type="percent" val="0"/>
        <cfvo type="num" val="0.7"/>
        <cfvo type="num" val="1"/>
      </iconSet>
    </cfRule>
    <cfRule type="dataBar" priority="4140">
      <dataBar>
        <cfvo type="num" val="0"/>
        <cfvo type="num" val="1"/>
        <color theme="4" tint="0.79998168889431442"/>
      </dataBar>
      <extLst>
        <ext xmlns:x14="http://schemas.microsoft.com/office/spreadsheetml/2009/9/main" uri="{B025F937-C7B1-47D3-B67F-A62EFF666E3E}">
          <x14:id>{7504EAB8-23C3-4087-AAD1-C071C2F4DF37}</x14:id>
        </ext>
      </extLst>
    </cfRule>
  </conditionalFormatting>
  <conditionalFormatting sqref="AE204">
    <cfRule type="iconSet" priority="3134">
      <iconSet iconSet="3Arrows">
        <cfvo type="percent" val="0"/>
        <cfvo type="num" val="0.7"/>
        <cfvo type="num" val="1"/>
      </iconSet>
    </cfRule>
    <cfRule type="dataBar" priority="3135">
      <dataBar>
        <cfvo type="num" val="0"/>
        <cfvo type="num" val="1"/>
        <color theme="4" tint="0.79998168889431442"/>
      </dataBar>
      <extLst>
        <ext xmlns:x14="http://schemas.microsoft.com/office/spreadsheetml/2009/9/main" uri="{B025F937-C7B1-47D3-B67F-A62EFF666E3E}">
          <x14:id>{E5166068-B079-4B6B-9B59-2CA197589DBF}</x14:id>
        </ext>
      </extLst>
    </cfRule>
  </conditionalFormatting>
  <conditionalFormatting sqref="AE206">
    <cfRule type="iconSet" priority="2167">
      <iconSet iconSet="3Arrows">
        <cfvo type="percent" val="0"/>
        <cfvo type="num" val="0.7"/>
        <cfvo type="num" val="1"/>
      </iconSet>
    </cfRule>
    <cfRule type="dataBar" priority="2168">
      <dataBar>
        <cfvo type="num" val="0"/>
        <cfvo type="num" val="1"/>
        <color theme="4" tint="0.79998168889431442"/>
      </dataBar>
      <extLst>
        <ext xmlns:x14="http://schemas.microsoft.com/office/spreadsheetml/2009/9/main" uri="{B025F937-C7B1-47D3-B67F-A62EFF666E3E}">
          <x14:id>{E844661A-EC80-42CE-B6AE-E153A81866A4}</x14:id>
        </ext>
      </extLst>
    </cfRule>
  </conditionalFormatting>
  <conditionalFormatting sqref="AE208">
    <cfRule type="iconSet" priority="2432">
      <iconSet iconSet="3Arrows">
        <cfvo type="percent" val="0"/>
        <cfvo type="num" val="0.7"/>
        <cfvo type="num" val="1"/>
      </iconSet>
    </cfRule>
    <cfRule type="dataBar" priority="2433">
      <dataBar>
        <cfvo type="num" val="0"/>
        <cfvo type="num" val="1"/>
        <color theme="4" tint="0.79998168889431442"/>
      </dataBar>
      <extLst>
        <ext xmlns:x14="http://schemas.microsoft.com/office/spreadsheetml/2009/9/main" uri="{B025F937-C7B1-47D3-B67F-A62EFF666E3E}">
          <x14:id>{64A8C83F-CF6C-480C-B232-9FC96CF45D50}</x14:id>
        </ext>
      </extLst>
    </cfRule>
  </conditionalFormatting>
  <conditionalFormatting sqref="AE210">
    <cfRule type="iconSet" priority="4155">
      <iconSet iconSet="3Arrows">
        <cfvo type="percent" val="0"/>
        <cfvo type="num" val="0.7"/>
        <cfvo type="num" val="1"/>
      </iconSet>
    </cfRule>
    <cfRule type="dataBar" priority="4156">
      <dataBar>
        <cfvo type="num" val="0"/>
        <cfvo type="num" val="1"/>
        <color theme="4" tint="0.79998168889431442"/>
      </dataBar>
      <extLst>
        <ext xmlns:x14="http://schemas.microsoft.com/office/spreadsheetml/2009/9/main" uri="{B025F937-C7B1-47D3-B67F-A62EFF666E3E}">
          <x14:id>{6C7AFABC-B3E4-4559-81F4-6F6021F469C0}</x14:id>
        </ext>
      </extLst>
    </cfRule>
  </conditionalFormatting>
  <conditionalFormatting sqref="AE212">
    <cfRule type="iconSet" priority="4267">
      <iconSet iconSet="3Arrows">
        <cfvo type="percent" val="0"/>
        <cfvo type="num" val="0.7"/>
        <cfvo type="num" val="1"/>
      </iconSet>
    </cfRule>
    <cfRule type="dataBar" priority="4268">
      <dataBar>
        <cfvo type="num" val="0"/>
        <cfvo type="num" val="1"/>
        <color theme="4" tint="0.79998168889431442"/>
      </dataBar>
      <extLst>
        <ext xmlns:x14="http://schemas.microsoft.com/office/spreadsheetml/2009/9/main" uri="{B025F937-C7B1-47D3-B67F-A62EFF666E3E}">
          <x14:id>{21DD5145-898F-4186-A6B7-8BC915E7B869}</x14:id>
        </ext>
      </extLst>
    </cfRule>
  </conditionalFormatting>
  <conditionalFormatting sqref="AE214">
    <cfRule type="iconSet" priority="3358">
      <iconSet iconSet="3Arrows">
        <cfvo type="percent" val="0"/>
        <cfvo type="num" val="0.7"/>
        <cfvo type="num" val="1"/>
      </iconSet>
    </cfRule>
    <cfRule type="dataBar" priority="3359">
      <dataBar>
        <cfvo type="num" val="0"/>
        <cfvo type="num" val="1"/>
        <color theme="4" tint="0.79998168889431442"/>
      </dataBar>
      <extLst>
        <ext xmlns:x14="http://schemas.microsoft.com/office/spreadsheetml/2009/9/main" uri="{B025F937-C7B1-47D3-B67F-A62EFF666E3E}">
          <x14:id>{7C8B1550-EB6A-4A47-A574-60029E4183E2}</x14:id>
        </ext>
      </extLst>
    </cfRule>
  </conditionalFormatting>
  <conditionalFormatting sqref="AE216">
    <cfRule type="iconSet" priority="3258">
      <iconSet iconSet="3Arrows">
        <cfvo type="percent" val="0"/>
        <cfvo type="num" val="0.7"/>
        <cfvo type="num" val="1"/>
      </iconSet>
    </cfRule>
    <cfRule type="dataBar" priority="3259">
      <dataBar>
        <cfvo type="num" val="0"/>
        <cfvo type="num" val="1"/>
        <color theme="4" tint="0.79998168889431442"/>
      </dataBar>
      <extLst>
        <ext xmlns:x14="http://schemas.microsoft.com/office/spreadsheetml/2009/9/main" uri="{B025F937-C7B1-47D3-B67F-A62EFF666E3E}">
          <x14:id>{3D52FFEF-924D-44CE-92EB-2993509C1F4B}</x14:id>
        </ext>
      </extLst>
    </cfRule>
  </conditionalFormatting>
  <conditionalFormatting sqref="AE218">
    <cfRule type="iconSet" priority="2331">
      <iconSet iconSet="3Arrows">
        <cfvo type="percent" val="0"/>
        <cfvo type="num" val="0.7"/>
        <cfvo type="num" val="1"/>
      </iconSet>
    </cfRule>
    <cfRule type="dataBar" priority="2332">
      <dataBar>
        <cfvo type="num" val="0"/>
        <cfvo type="num" val="1"/>
        <color theme="4" tint="0.79998168889431442"/>
      </dataBar>
      <extLst>
        <ext xmlns:x14="http://schemas.microsoft.com/office/spreadsheetml/2009/9/main" uri="{B025F937-C7B1-47D3-B67F-A62EFF666E3E}">
          <x14:id>{B6F7B7DF-3302-4A85-AD6A-429A3CA83C6E}</x14:id>
        </ext>
      </extLst>
    </cfRule>
  </conditionalFormatting>
  <conditionalFormatting sqref="AE220">
    <cfRule type="iconSet" priority="4283">
      <iconSet iconSet="3Arrows">
        <cfvo type="percent" val="0"/>
        <cfvo type="num" val="0.7"/>
        <cfvo type="num" val="1"/>
      </iconSet>
    </cfRule>
    <cfRule type="dataBar" priority="4284">
      <dataBar>
        <cfvo type="num" val="0"/>
        <cfvo type="num" val="1"/>
        <color theme="4" tint="0.79998168889431442"/>
      </dataBar>
      <extLst>
        <ext xmlns:x14="http://schemas.microsoft.com/office/spreadsheetml/2009/9/main" uri="{B025F937-C7B1-47D3-B67F-A62EFF666E3E}">
          <x14:id>{A577CF71-F3F8-484A-B49F-E4BCD53F1CD8}</x14:id>
        </ext>
      </extLst>
    </cfRule>
  </conditionalFormatting>
  <conditionalFormatting sqref="AE222">
    <cfRule type="iconSet" priority="2317">
      <iconSet iconSet="3Arrows">
        <cfvo type="percent" val="0"/>
        <cfvo type="num" val="0.7"/>
        <cfvo type="num" val="1"/>
      </iconSet>
    </cfRule>
    <cfRule type="dataBar" priority="2318">
      <dataBar>
        <cfvo type="num" val="0"/>
        <cfvo type="num" val="1"/>
        <color theme="4" tint="0.79998168889431442"/>
      </dataBar>
      <extLst>
        <ext xmlns:x14="http://schemas.microsoft.com/office/spreadsheetml/2009/9/main" uri="{B025F937-C7B1-47D3-B67F-A62EFF666E3E}">
          <x14:id>{FC7DBC64-0832-4E8A-9405-A076AC477CA4}</x14:id>
        </ext>
      </extLst>
    </cfRule>
  </conditionalFormatting>
  <conditionalFormatting sqref="AE226">
    <cfRule type="iconSet" priority="2026">
      <iconSet iconSet="3Arrows">
        <cfvo type="percent" val="0"/>
        <cfvo type="num" val="0.7"/>
        <cfvo type="num" val="1"/>
      </iconSet>
    </cfRule>
    <cfRule type="dataBar" priority="2027">
      <dataBar>
        <cfvo type="num" val="0"/>
        <cfvo type="num" val="1"/>
        <color theme="4" tint="0.79998168889431442"/>
      </dataBar>
      <extLst>
        <ext xmlns:x14="http://schemas.microsoft.com/office/spreadsheetml/2009/9/main" uri="{B025F937-C7B1-47D3-B67F-A62EFF666E3E}">
          <x14:id>{714E17B8-E9C0-4BF1-B942-2D17A2ECCE6E}</x14:id>
        </ext>
      </extLst>
    </cfRule>
  </conditionalFormatting>
  <conditionalFormatting sqref="AE229">
    <cfRule type="iconSet" priority="4305">
      <iconSet iconSet="3Arrows">
        <cfvo type="percent" val="0"/>
        <cfvo type="num" val="0.7"/>
        <cfvo type="num" val="1"/>
      </iconSet>
    </cfRule>
    <cfRule type="dataBar" priority="4306">
      <dataBar>
        <cfvo type="num" val="0"/>
        <cfvo type="num" val="1"/>
        <color theme="4" tint="0.79998168889431442"/>
      </dataBar>
      <extLst>
        <ext xmlns:x14="http://schemas.microsoft.com/office/spreadsheetml/2009/9/main" uri="{B025F937-C7B1-47D3-B67F-A62EFF666E3E}">
          <x14:id>{24C7730A-65BF-4021-9388-9EC99E5701A4}</x14:id>
        </ext>
      </extLst>
    </cfRule>
  </conditionalFormatting>
  <conditionalFormatting sqref="AE233">
    <cfRule type="iconSet" priority="4311">
      <iconSet iconSet="3Arrows">
        <cfvo type="percent" val="0"/>
        <cfvo type="num" val="0.7"/>
        <cfvo type="num" val="1"/>
      </iconSet>
    </cfRule>
    <cfRule type="dataBar" priority="4312">
      <dataBar>
        <cfvo type="num" val="0"/>
        <cfvo type="num" val="1"/>
        <color theme="4" tint="0.79998168889431442"/>
      </dataBar>
      <extLst>
        <ext xmlns:x14="http://schemas.microsoft.com/office/spreadsheetml/2009/9/main" uri="{B025F937-C7B1-47D3-B67F-A62EFF666E3E}">
          <x14:id>{7777248C-903B-42B0-8448-83986FAFB88F}</x14:id>
        </ext>
      </extLst>
    </cfRule>
  </conditionalFormatting>
  <conditionalFormatting sqref="AE235">
    <cfRule type="iconSet" priority="4309">
      <iconSet iconSet="3Arrows">
        <cfvo type="percent" val="0"/>
        <cfvo type="num" val="0.7"/>
        <cfvo type="num" val="1"/>
      </iconSet>
    </cfRule>
    <cfRule type="dataBar" priority="4310">
      <dataBar>
        <cfvo type="num" val="0"/>
        <cfvo type="num" val="1"/>
        <color theme="4" tint="0.79998168889431442"/>
      </dataBar>
      <extLst>
        <ext xmlns:x14="http://schemas.microsoft.com/office/spreadsheetml/2009/9/main" uri="{B025F937-C7B1-47D3-B67F-A62EFF666E3E}">
          <x14:id>{D578328F-F8FD-4608-ACCA-0F58BC2159D2}</x14:id>
        </ext>
      </extLst>
    </cfRule>
  </conditionalFormatting>
  <conditionalFormatting sqref="AE237">
    <cfRule type="iconSet" priority="4149">
      <iconSet iconSet="3Arrows">
        <cfvo type="percent" val="0"/>
        <cfvo type="num" val="0.7"/>
        <cfvo type="num" val="1"/>
      </iconSet>
    </cfRule>
    <cfRule type="dataBar" priority="4150">
      <dataBar>
        <cfvo type="num" val="0"/>
        <cfvo type="num" val="1"/>
        <color theme="4" tint="0.79998168889431442"/>
      </dataBar>
      <extLst>
        <ext xmlns:x14="http://schemas.microsoft.com/office/spreadsheetml/2009/9/main" uri="{B025F937-C7B1-47D3-B67F-A62EFF666E3E}">
          <x14:id>{F874672E-0E99-4FA9-985E-1D6802D294A4}</x14:id>
        </ext>
      </extLst>
    </cfRule>
  </conditionalFormatting>
  <conditionalFormatting sqref="AE239">
    <cfRule type="iconSet" priority="4121">
      <iconSet iconSet="3Arrows">
        <cfvo type="percent" val="0"/>
        <cfvo type="num" val="0.7"/>
        <cfvo type="num" val="1"/>
      </iconSet>
    </cfRule>
    <cfRule type="dataBar" priority="4122">
      <dataBar>
        <cfvo type="num" val="0"/>
        <cfvo type="num" val="1"/>
        <color theme="4" tint="0.79998168889431442"/>
      </dataBar>
      <extLst>
        <ext xmlns:x14="http://schemas.microsoft.com/office/spreadsheetml/2009/9/main" uri="{B025F937-C7B1-47D3-B67F-A62EFF666E3E}">
          <x14:id>{6F4DA6D6-0439-4B5D-9B21-624F7DF0003B}</x14:id>
        </ext>
      </extLst>
    </cfRule>
  </conditionalFormatting>
  <conditionalFormatting sqref="AE241">
    <cfRule type="iconSet" priority="4119">
      <iconSet iconSet="3Arrows">
        <cfvo type="percent" val="0"/>
        <cfvo type="num" val="0.7"/>
        <cfvo type="num" val="1"/>
      </iconSet>
    </cfRule>
    <cfRule type="dataBar" priority="4120">
      <dataBar>
        <cfvo type="num" val="0"/>
        <cfvo type="num" val="1"/>
        <color theme="4" tint="0.79998168889431442"/>
      </dataBar>
      <extLst>
        <ext xmlns:x14="http://schemas.microsoft.com/office/spreadsheetml/2009/9/main" uri="{B025F937-C7B1-47D3-B67F-A62EFF666E3E}">
          <x14:id>{E1273198-40AF-4B7B-B80D-BF8E5DD21E65}</x14:id>
        </ext>
      </extLst>
    </cfRule>
  </conditionalFormatting>
  <conditionalFormatting sqref="AE243">
    <cfRule type="iconSet" priority="4117">
      <iconSet iconSet="3Arrows">
        <cfvo type="percent" val="0"/>
        <cfvo type="num" val="0.7"/>
        <cfvo type="num" val="1"/>
      </iconSet>
    </cfRule>
    <cfRule type="dataBar" priority="4118">
      <dataBar>
        <cfvo type="num" val="0"/>
        <cfvo type="num" val="1"/>
        <color theme="4" tint="0.79998168889431442"/>
      </dataBar>
      <extLst>
        <ext xmlns:x14="http://schemas.microsoft.com/office/spreadsheetml/2009/9/main" uri="{B025F937-C7B1-47D3-B67F-A62EFF666E3E}">
          <x14:id>{C9CCD02D-F943-42A4-B178-D1D955CDFCC3}</x14:id>
        </ext>
      </extLst>
    </cfRule>
  </conditionalFormatting>
  <conditionalFormatting sqref="AE245">
    <cfRule type="iconSet" priority="3468">
      <iconSet iconSet="3Arrows">
        <cfvo type="percent" val="0"/>
        <cfvo type="num" val="0.7"/>
        <cfvo type="num" val="1"/>
      </iconSet>
    </cfRule>
    <cfRule type="dataBar" priority="3469">
      <dataBar>
        <cfvo type="num" val="0"/>
        <cfvo type="num" val="1"/>
        <color theme="4" tint="0.79998168889431442"/>
      </dataBar>
      <extLst>
        <ext xmlns:x14="http://schemas.microsoft.com/office/spreadsheetml/2009/9/main" uri="{B025F937-C7B1-47D3-B67F-A62EFF666E3E}">
          <x14:id>{E3843719-720E-4785-B066-EDDFA6C5EB1A}</x14:id>
        </ext>
      </extLst>
    </cfRule>
  </conditionalFormatting>
  <conditionalFormatting sqref="AE247">
    <cfRule type="iconSet" priority="2007">
      <iconSet iconSet="3Arrows">
        <cfvo type="percent" val="0"/>
        <cfvo type="num" val="0.7"/>
        <cfvo type="num" val="1"/>
      </iconSet>
    </cfRule>
    <cfRule type="dataBar" priority="2008">
      <dataBar>
        <cfvo type="num" val="0"/>
        <cfvo type="num" val="1"/>
        <color theme="4" tint="0.79998168889431442"/>
      </dataBar>
      <extLst>
        <ext xmlns:x14="http://schemas.microsoft.com/office/spreadsheetml/2009/9/main" uri="{B025F937-C7B1-47D3-B67F-A62EFF666E3E}">
          <x14:id>{4A757F0C-5D38-4003-94C9-01098142B317}</x14:id>
        </ext>
      </extLst>
    </cfRule>
  </conditionalFormatting>
  <conditionalFormatting sqref="AE249">
    <cfRule type="iconSet" priority="3440">
      <iconSet iconSet="3Arrows">
        <cfvo type="percent" val="0"/>
        <cfvo type="num" val="0.7"/>
        <cfvo type="num" val="1"/>
      </iconSet>
    </cfRule>
    <cfRule type="dataBar" priority="3441">
      <dataBar>
        <cfvo type="num" val="0"/>
        <cfvo type="num" val="1"/>
        <color theme="4" tint="0.79998168889431442"/>
      </dataBar>
      <extLst>
        <ext xmlns:x14="http://schemas.microsoft.com/office/spreadsheetml/2009/9/main" uri="{B025F937-C7B1-47D3-B67F-A62EFF666E3E}">
          <x14:id>{4BB28962-AD66-4199-A377-D2FAF284211C}</x14:id>
        </ext>
      </extLst>
    </cfRule>
  </conditionalFormatting>
  <conditionalFormatting sqref="AE251">
    <cfRule type="iconSet" priority="2362">
      <iconSet iconSet="3Arrows">
        <cfvo type="percent" val="0"/>
        <cfvo type="num" val="0.7"/>
        <cfvo type="num" val="1"/>
      </iconSet>
    </cfRule>
    <cfRule type="dataBar" priority="2363">
      <dataBar>
        <cfvo type="num" val="0"/>
        <cfvo type="num" val="1"/>
        <color theme="4" tint="0.79998168889431442"/>
      </dataBar>
      <extLst>
        <ext xmlns:x14="http://schemas.microsoft.com/office/spreadsheetml/2009/9/main" uri="{B025F937-C7B1-47D3-B67F-A62EFF666E3E}">
          <x14:id>{B3523A15-4592-4A4C-9E68-E2EF4E82F61B}</x14:id>
        </ext>
      </extLst>
    </cfRule>
  </conditionalFormatting>
  <conditionalFormatting sqref="AE253">
    <cfRule type="iconSet" priority="1969">
      <iconSet iconSet="3Arrows">
        <cfvo type="percent" val="0"/>
        <cfvo type="num" val="0.7"/>
        <cfvo type="num" val="1"/>
      </iconSet>
    </cfRule>
    <cfRule type="dataBar" priority="1970">
      <dataBar>
        <cfvo type="num" val="0"/>
        <cfvo type="num" val="1"/>
        <color theme="4" tint="0.79998168889431442"/>
      </dataBar>
      <extLst>
        <ext xmlns:x14="http://schemas.microsoft.com/office/spreadsheetml/2009/9/main" uri="{B025F937-C7B1-47D3-B67F-A62EFF666E3E}">
          <x14:id>{BB1E6F7C-2B9F-45A1-9039-8B0F85DEB2F6}</x14:id>
        </ext>
      </extLst>
    </cfRule>
  </conditionalFormatting>
  <conditionalFormatting sqref="AE255">
    <cfRule type="iconSet" priority="4279">
      <iconSet iconSet="3Arrows">
        <cfvo type="percent" val="0"/>
        <cfvo type="num" val="0.7"/>
        <cfvo type="num" val="1"/>
      </iconSet>
    </cfRule>
    <cfRule type="dataBar" priority="4280">
      <dataBar>
        <cfvo type="num" val="0"/>
        <cfvo type="num" val="1"/>
        <color theme="4" tint="0.79998168889431442"/>
      </dataBar>
      <extLst>
        <ext xmlns:x14="http://schemas.microsoft.com/office/spreadsheetml/2009/9/main" uri="{B025F937-C7B1-47D3-B67F-A62EFF666E3E}">
          <x14:id>{3784D011-E8F7-4282-9B69-51F9CD651D13}</x14:id>
        </ext>
      </extLst>
    </cfRule>
  </conditionalFormatting>
  <conditionalFormatting sqref="AE257">
    <cfRule type="iconSet" priority="1867">
      <iconSet iconSet="3Arrows">
        <cfvo type="percent" val="0"/>
        <cfvo type="num" val="0.7"/>
        <cfvo type="num" val="1"/>
      </iconSet>
    </cfRule>
    <cfRule type="dataBar" priority="1868">
      <dataBar>
        <cfvo type="num" val="0"/>
        <cfvo type="num" val="1"/>
        <color theme="4" tint="0.79998168889431442"/>
      </dataBar>
      <extLst>
        <ext xmlns:x14="http://schemas.microsoft.com/office/spreadsheetml/2009/9/main" uri="{B025F937-C7B1-47D3-B67F-A62EFF666E3E}">
          <x14:id>{63E3822F-2E72-40F5-912E-8FC0918B6622}</x14:id>
        </ext>
      </extLst>
    </cfRule>
  </conditionalFormatting>
  <conditionalFormatting sqref="AE259">
    <cfRule type="iconSet" priority="1851">
      <iconSet iconSet="3Arrows">
        <cfvo type="percent" val="0"/>
        <cfvo type="num" val="0.7"/>
        <cfvo type="num" val="1"/>
      </iconSet>
    </cfRule>
    <cfRule type="dataBar" priority="1852">
      <dataBar>
        <cfvo type="num" val="0"/>
        <cfvo type="num" val="1"/>
        <color theme="4" tint="0.79998168889431442"/>
      </dataBar>
      <extLst>
        <ext xmlns:x14="http://schemas.microsoft.com/office/spreadsheetml/2009/9/main" uri="{B025F937-C7B1-47D3-B67F-A62EFF666E3E}">
          <x14:id>{4B9F60A3-D16D-4391-ABB7-71B90BD448C3}</x14:id>
        </ext>
      </extLst>
    </cfRule>
  </conditionalFormatting>
  <conditionalFormatting sqref="AE261">
    <cfRule type="iconSet" priority="1441">
      <iconSet iconSet="3Arrows">
        <cfvo type="percent" val="0"/>
        <cfvo type="num" val="0.7"/>
        <cfvo type="num" val="1"/>
      </iconSet>
    </cfRule>
    <cfRule type="dataBar" priority="1442">
      <dataBar>
        <cfvo type="num" val="0"/>
        <cfvo type="num" val="1"/>
        <color theme="4" tint="0.79998168889431442"/>
      </dataBar>
      <extLst>
        <ext xmlns:x14="http://schemas.microsoft.com/office/spreadsheetml/2009/9/main" uri="{B025F937-C7B1-47D3-B67F-A62EFF666E3E}">
          <x14:id>{311A7DCB-5182-444D-BD55-1B06B930D004}</x14:id>
        </ext>
      </extLst>
    </cfRule>
  </conditionalFormatting>
  <conditionalFormatting sqref="AE263">
    <cfRule type="iconSet" priority="440">
      <iconSet iconSet="3Arrows">
        <cfvo type="percent" val="0"/>
        <cfvo type="num" val="0.7"/>
        <cfvo type="num" val="1"/>
      </iconSet>
    </cfRule>
    <cfRule type="dataBar" priority="441">
      <dataBar>
        <cfvo type="num" val="0"/>
        <cfvo type="num" val="1"/>
        <color theme="4" tint="0.79998168889431442"/>
      </dataBar>
      <extLst>
        <ext xmlns:x14="http://schemas.microsoft.com/office/spreadsheetml/2009/9/main" uri="{B025F937-C7B1-47D3-B67F-A62EFF666E3E}">
          <x14:id>{7FB6A9F4-21B6-4730-ADA3-E7D6C3077C04}</x14:id>
        </ext>
      </extLst>
    </cfRule>
  </conditionalFormatting>
  <conditionalFormatting sqref="AE265">
    <cfRule type="iconSet" priority="343">
      <iconSet iconSet="3Arrows">
        <cfvo type="percent" val="0"/>
        <cfvo type="num" val="0.7"/>
        <cfvo type="num" val="1"/>
      </iconSet>
    </cfRule>
    <cfRule type="dataBar" priority="344">
      <dataBar>
        <cfvo type="num" val="0"/>
        <cfvo type="num" val="1"/>
        <color theme="4" tint="0.79998168889431442"/>
      </dataBar>
      <extLst>
        <ext xmlns:x14="http://schemas.microsoft.com/office/spreadsheetml/2009/9/main" uri="{B025F937-C7B1-47D3-B67F-A62EFF666E3E}">
          <x14:id>{054E7228-2004-4393-BC74-813380BD5533}</x14:id>
        </ext>
      </extLst>
    </cfRule>
  </conditionalFormatting>
  <conditionalFormatting sqref="AE267">
    <cfRule type="iconSet" priority="327">
      <iconSet iconSet="3Arrows">
        <cfvo type="percent" val="0"/>
        <cfvo type="num" val="0.7"/>
        <cfvo type="num" val="1"/>
      </iconSet>
    </cfRule>
    <cfRule type="dataBar" priority="328">
      <dataBar>
        <cfvo type="num" val="0"/>
        <cfvo type="num" val="1"/>
        <color theme="4" tint="0.79998168889431442"/>
      </dataBar>
      <extLst>
        <ext xmlns:x14="http://schemas.microsoft.com/office/spreadsheetml/2009/9/main" uri="{B025F937-C7B1-47D3-B67F-A62EFF666E3E}">
          <x14:id>{AD1CF8FD-C2FE-484E-9A49-1991D4AD0D6D}</x14:id>
        </ext>
      </extLst>
    </cfRule>
  </conditionalFormatting>
  <conditionalFormatting sqref="AE269">
    <cfRule type="iconSet" priority="1455">
      <iconSet iconSet="3Arrows">
        <cfvo type="percent" val="0"/>
        <cfvo type="num" val="0.7"/>
        <cfvo type="num" val="1"/>
      </iconSet>
    </cfRule>
    <cfRule type="dataBar" priority="1456">
      <dataBar>
        <cfvo type="num" val="0"/>
        <cfvo type="num" val="1"/>
        <color theme="4" tint="0.79998168889431442"/>
      </dataBar>
      <extLst>
        <ext xmlns:x14="http://schemas.microsoft.com/office/spreadsheetml/2009/9/main" uri="{B025F937-C7B1-47D3-B67F-A62EFF666E3E}">
          <x14:id>{B67431A8-B37F-4666-95B1-DC66A0F43832}</x14:id>
        </ext>
      </extLst>
    </cfRule>
  </conditionalFormatting>
  <conditionalFormatting sqref="AE271">
    <cfRule type="iconSet" priority="311">
      <iconSet iconSet="3Arrows">
        <cfvo type="percent" val="0"/>
        <cfvo type="num" val="0.7"/>
        <cfvo type="num" val="1"/>
      </iconSet>
    </cfRule>
    <cfRule type="dataBar" priority="312">
      <dataBar>
        <cfvo type="num" val="0"/>
        <cfvo type="num" val="1"/>
        <color theme="4" tint="0.79998168889431442"/>
      </dataBar>
      <extLst>
        <ext xmlns:x14="http://schemas.microsoft.com/office/spreadsheetml/2009/9/main" uri="{B025F937-C7B1-47D3-B67F-A62EFF666E3E}">
          <x14:id>{62E2E090-78D7-48EB-A8DF-7BA1401D7862}</x14:id>
        </ext>
      </extLst>
    </cfRule>
  </conditionalFormatting>
  <conditionalFormatting sqref="AE273">
    <cfRule type="iconSet" priority="456">
      <iconSet iconSet="3Arrows">
        <cfvo type="percent" val="0"/>
        <cfvo type="num" val="0.7"/>
        <cfvo type="num" val="1"/>
      </iconSet>
    </cfRule>
    <cfRule type="dataBar" priority="457">
      <dataBar>
        <cfvo type="num" val="0"/>
        <cfvo type="num" val="1"/>
        <color theme="4" tint="0.79998168889431442"/>
      </dataBar>
      <extLst>
        <ext xmlns:x14="http://schemas.microsoft.com/office/spreadsheetml/2009/9/main" uri="{B025F937-C7B1-47D3-B67F-A62EFF666E3E}">
          <x14:id>{B94F0020-F331-4E3F-89EC-461EA6D445A1}</x14:id>
        </ext>
      </extLst>
    </cfRule>
  </conditionalFormatting>
  <conditionalFormatting sqref="AE275">
    <cfRule type="iconSet" priority="1885">
      <iconSet iconSet="3Arrows">
        <cfvo type="percent" val="0"/>
        <cfvo type="num" val="0.7"/>
        <cfvo type="num" val="1"/>
      </iconSet>
    </cfRule>
    <cfRule type="dataBar" priority="1886">
      <dataBar>
        <cfvo type="num" val="0"/>
        <cfvo type="num" val="1"/>
        <color theme="4" tint="0.79998168889431442"/>
      </dataBar>
      <extLst>
        <ext xmlns:x14="http://schemas.microsoft.com/office/spreadsheetml/2009/9/main" uri="{B025F937-C7B1-47D3-B67F-A62EFF666E3E}">
          <x14:id>{F7BA59C3-B7F1-4D12-A363-075A8A999472}</x14:id>
        </ext>
      </extLst>
    </cfRule>
  </conditionalFormatting>
  <conditionalFormatting sqref="AE278">
    <cfRule type="iconSet" priority="4307">
      <iconSet iconSet="3Arrows">
        <cfvo type="percent" val="0"/>
        <cfvo type="num" val="0.7"/>
        <cfvo type="num" val="1"/>
      </iconSet>
    </cfRule>
    <cfRule type="dataBar" priority="4308">
      <dataBar>
        <cfvo type="num" val="0"/>
        <cfvo type="num" val="1"/>
        <color theme="4" tint="0.79998168889431442"/>
      </dataBar>
      <extLst>
        <ext xmlns:x14="http://schemas.microsoft.com/office/spreadsheetml/2009/9/main" uri="{B025F937-C7B1-47D3-B67F-A62EFF666E3E}">
          <x14:id>{A748F86E-E19E-486C-9048-BBA5B370A549}</x14:id>
        </ext>
      </extLst>
    </cfRule>
  </conditionalFormatting>
  <conditionalFormatting sqref="AE282">
    <cfRule type="iconSet" priority="1823">
      <iconSet iconSet="3Arrows">
        <cfvo type="percent" val="0"/>
        <cfvo type="num" val="0.7"/>
        <cfvo type="num" val="1"/>
      </iconSet>
    </cfRule>
    <cfRule type="dataBar" priority="1824">
      <dataBar>
        <cfvo type="num" val="0"/>
        <cfvo type="num" val="1"/>
        <color theme="4" tint="0.79998168889431442"/>
      </dataBar>
      <extLst>
        <ext xmlns:x14="http://schemas.microsoft.com/office/spreadsheetml/2009/9/main" uri="{B025F937-C7B1-47D3-B67F-A62EFF666E3E}">
          <x14:id>{1278E668-C250-4E90-A454-0015AD3A9ED9}</x14:id>
        </ext>
      </extLst>
    </cfRule>
  </conditionalFormatting>
  <conditionalFormatting sqref="AE284">
    <cfRule type="iconSet" priority="1837">
      <iconSet iconSet="3Arrows">
        <cfvo type="percent" val="0"/>
        <cfvo type="num" val="0.7"/>
        <cfvo type="num" val="1"/>
      </iconSet>
    </cfRule>
    <cfRule type="dataBar" priority="1838">
      <dataBar>
        <cfvo type="num" val="0"/>
        <cfvo type="num" val="1"/>
        <color theme="4" tint="0.79998168889431442"/>
      </dataBar>
      <extLst>
        <ext xmlns:x14="http://schemas.microsoft.com/office/spreadsheetml/2009/9/main" uri="{B025F937-C7B1-47D3-B67F-A62EFF666E3E}">
          <x14:id>{717B75BA-9C13-471A-9CBA-5D517BC1AC39}</x14:id>
        </ext>
      </extLst>
    </cfRule>
  </conditionalFormatting>
  <conditionalFormatting sqref="AE286">
    <cfRule type="iconSet" priority="1412">
      <iconSet iconSet="3Arrows">
        <cfvo type="percent" val="0"/>
        <cfvo type="num" val="0.7"/>
        <cfvo type="num" val="1"/>
      </iconSet>
    </cfRule>
    <cfRule type="dataBar" priority="1413">
      <dataBar>
        <cfvo type="num" val="0"/>
        <cfvo type="num" val="1"/>
        <color theme="4" tint="0.79998168889431442"/>
      </dataBar>
      <extLst>
        <ext xmlns:x14="http://schemas.microsoft.com/office/spreadsheetml/2009/9/main" uri="{B025F937-C7B1-47D3-B67F-A62EFF666E3E}">
          <x14:id>{277F156F-82DE-418F-A11A-1951BC2AF3BA}</x14:id>
        </ext>
      </extLst>
    </cfRule>
  </conditionalFormatting>
  <conditionalFormatting sqref="AE288">
    <cfRule type="iconSet" priority="1398">
      <iconSet iconSet="3Arrows">
        <cfvo type="percent" val="0"/>
        <cfvo type="num" val="0.7"/>
        <cfvo type="num" val="1"/>
      </iconSet>
    </cfRule>
    <cfRule type="dataBar" priority="1399">
      <dataBar>
        <cfvo type="num" val="0"/>
        <cfvo type="num" val="1"/>
        <color theme="4" tint="0.79998168889431442"/>
      </dataBar>
      <extLst>
        <ext xmlns:x14="http://schemas.microsoft.com/office/spreadsheetml/2009/9/main" uri="{B025F937-C7B1-47D3-B67F-A62EFF666E3E}">
          <x14:id>{5E3C6C74-BAE5-4018-93F2-B7DACFF3486B}</x14:id>
        </ext>
      </extLst>
    </cfRule>
  </conditionalFormatting>
  <conditionalFormatting sqref="AE290">
    <cfRule type="iconSet" priority="1426">
      <iconSet iconSet="3Arrows">
        <cfvo type="percent" val="0"/>
        <cfvo type="num" val="0.7"/>
        <cfvo type="num" val="1"/>
      </iconSet>
    </cfRule>
    <cfRule type="dataBar" priority="1427">
      <dataBar>
        <cfvo type="num" val="0"/>
        <cfvo type="num" val="1"/>
        <color theme="4" tint="0.79998168889431442"/>
      </dataBar>
      <extLst>
        <ext xmlns:x14="http://schemas.microsoft.com/office/spreadsheetml/2009/9/main" uri="{B025F937-C7B1-47D3-B67F-A62EFF666E3E}">
          <x14:id>{FB9671A9-E31C-47CE-8A91-F2661C6C6860}</x14:id>
        </ext>
      </extLst>
    </cfRule>
  </conditionalFormatting>
  <conditionalFormatting sqref="AE292">
    <cfRule type="iconSet" priority="359">
      <iconSet iconSet="3Arrows">
        <cfvo type="percent" val="0"/>
        <cfvo type="num" val="0.7"/>
        <cfvo type="num" val="1"/>
      </iconSet>
    </cfRule>
    <cfRule type="dataBar" priority="360">
      <dataBar>
        <cfvo type="num" val="0"/>
        <cfvo type="num" val="1"/>
        <color theme="4" tint="0.79998168889431442"/>
      </dataBar>
      <extLst>
        <ext xmlns:x14="http://schemas.microsoft.com/office/spreadsheetml/2009/9/main" uri="{B025F937-C7B1-47D3-B67F-A62EFF666E3E}">
          <x14:id>{ED5D798A-6CF7-41C7-9A0C-F8201C206AB8}</x14:id>
        </ext>
      </extLst>
    </cfRule>
  </conditionalFormatting>
  <conditionalFormatting sqref="AE294">
    <cfRule type="iconSet" priority="3426">
      <iconSet iconSet="3Arrows">
        <cfvo type="percent" val="0"/>
        <cfvo type="num" val="0.7"/>
        <cfvo type="num" val="1"/>
      </iconSet>
    </cfRule>
    <cfRule type="dataBar" priority="3427">
      <dataBar>
        <cfvo type="num" val="0"/>
        <cfvo type="num" val="1"/>
        <color theme="4" tint="0.79998168889431442"/>
      </dataBar>
      <extLst>
        <ext xmlns:x14="http://schemas.microsoft.com/office/spreadsheetml/2009/9/main" uri="{B025F937-C7B1-47D3-B67F-A62EFF666E3E}">
          <x14:id>{D855B314-7274-4198-9724-C334BDFB1EB9}</x14:id>
        </ext>
      </extLst>
    </cfRule>
  </conditionalFormatting>
  <conditionalFormatting sqref="AE296 AE280">
    <cfRule type="iconSet" priority="4333">
      <iconSet iconSet="3Arrows">
        <cfvo type="percent" val="0"/>
        <cfvo type="num" val="0.7"/>
        <cfvo type="num" val="1"/>
      </iconSet>
    </cfRule>
    <cfRule type="dataBar" priority="4334">
      <dataBar>
        <cfvo type="num" val="0"/>
        <cfvo type="num" val="1"/>
        <color theme="4" tint="0.79998168889431442"/>
      </dataBar>
      <extLst>
        <ext xmlns:x14="http://schemas.microsoft.com/office/spreadsheetml/2009/9/main" uri="{B025F937-C7B1-47D3-B67F-A62EFF666E3E}">
          <x14:id>{5EBD6F61-5F0A-4FA0-8067-CB05D4C2F3A8}</x14:id>
        </ext>
      </extLst>
    </cfRule>
  </conditionalFormatting>
  <conditionalFormatting sqref="AE299">
    <cfRule type="iconSet" priority="3396">
      <iconSet iconSet="3Arrows">
        <cfvo type="percent" val="0"/>
        <cfvo type="num" val="0.7"/>
        <cfvo type="num" val="1"/>
      </iconSet>
    </cfRule>
    <cfRule type="dataBar" priority="3397">
      <dataBar>
        <cfvo type="num" val="0"/>
        <cfvo type="num" val="1"/>
        <color theme="4" tint="0.79998168889431442"/>
      </dataBar>
      <extLst>
        <ext xmlns:x14="http://schemas.microsoft.com/office/spreadsheetml/2009/9/main" uri="{B025F937-C7B1-47D3-B67F-A62EFF666E3E}">
          <x14:id>{F51ECB65-F927-4549-9E6F-3BBD17B39CAE}</x14:id>
        </ext>
      </extLst>
    </cfRule>
  </conditionalFormatting>
  <conditionalFormatting sqref="AE304">
    <cfRule type="iconSet" priority="3379">
      <iconSet iconSet="3Arrows">
        <cfvo type="percent" val="0"/>
        <cfvo type="num" val="0.7"/>
        <cfvo type="num" val="1"/>
      </iconSet>
    </cfRule>
    <cfRule type="dataBar" priority="3380">
      <dataBar>
        <cfvo type="num" val="0"/>
        <cfvo type="num" val="1"/>
        <color theme="4" tint="0.79998168889431442"/>
      </dataBar>
      <extLst>
        <ext xmlns:x14="http://schemas.microsoft.com/office/spreadsheetml/2009/9/main" uri="{B025F937-C7B1-47D3-B67F-A62EFF666E3E}">
          <x14:id>{47B71617-0553-45E7-8EAF-095F0831F107}</x14:id>
        </ext>
      </extLst>
    </cfRule>
  </conditionalFormatting>
  <conditionalFormatting sqref="AE307">
    <cfRule type="iconSet" priority="4303">
      <iconSet iconSet="3Arrows">
        <cfvo type="percent" val="0"/>
        <cfvo type="num" val="0.7"/>
        <cfvo type="num" val="1"/>
      </iconSet>
    </cfRule>
    <cfRule type="dataBar" priority="4304">
      <dataBar>
        <cfvo type="num" val="0"/>
        <cfvo type="num" val="1"/>
        <color theme="4" tint="0.79998168889431442"/>
      </dataBar>
      <extLst>
        <ext xmlns:x14="http://schemas.microsoft.com/office/spreadsheetml/2009/9/main" uri="{B025F937-C7B1-47D3-B67F-A62EFF666E3E}">
          <x14:id>{B4CF8607-6B10-4EE0-AE4D-D816185BB785}</x14:id>
        </ext>
      </extLst>
    </cfRule>
  </conditionalFormatting>
  <conditionalFormatting sqref="AE310">
    <cfRule type="iconSet" priority="4297">
      <iconSet iconSet="3Arrows">
        <cfvo type="percent" val="0"/>
        <cfvo type="num" val="0.7"/>
        <cfvo type="num" val="1"/>
      </iconSet>
    </cfRule>
    <cfRule type="dataBar" priority="4298">
      <dataBar>
        <cfvo type="num" val="0"/>
        <cfvo type="num" val="1"/>
        <color theme="4" tint="0.79998168889431442"/>
      </dataBar>
      <extLst>
        <ext xmlns:x14="http://schemas.microsoft.com/office/spreadsheetml/2009/9/main" uri="{B025F937-C7B1-47D3-B67F-A62EFF666E3E}">
          <x14:id>{C8FAD12B-89A3-4FBE-8480-6B86D98B688A}</x14:id>
        </ext>
      </extLst>
    </cfRule>
  </conditionalFormatting>
  <conditionalFormatting sqref="AE314">
    <cfRule type="iconSet" priority="4301">
      <iconSet iconSet="3Arrows">
        <cfvo type="percent" val="0"/>
        <cfvo type="num" val="0.7"/>
        <cfvo type="num" val="1"/>
      </iconSet>
    </cfRule>
    <cfRule type="dataBar" priority="4302">
      <dataBar>
        <cfvo type="num" val="0"/>
        <cfvo type="num" val="1"/>
        <color theme="4" tint="0.79998168889431442"/>
      </dataBar>
      <extLst>
        <ext xmlns:x14="http://schemas.microsoft.com/office/spreadsheetml/2009/9/main" uri="{B025F937-C7B1-47D3-B67F-A62EFF666E3E}">
          <x14:id>{A846B798-35CB-43B9-9CDA-7BE41467BFE0}</x14:id>
        </ext>
      </extLst>
    </cfRule>
  </conditionalFormatting>
  <conditionalFormatting sqref="AE316">
    <cfRule type="iconSet" priority="2513">
      <iconSet iconSet="3Arrows">
        <cfvo type="percent" val="0"/>
        <cfvo type="num" val="0.7"/>
        <cfvo type="num" val="1"/>
      </iconSet>
    </cfRule>
    <cfRule type="dataBar" priority="2514">
      <dataBar>
        <cfvo type="num" val="0"/>
        <cfvo type="num" val="1"/>
        <color theme="4" tint="0.79998168889431442"/>
      </dataBar>
      <extLst>
        <ext xmlns:x14="http://schemas.microsoft.com/office/spreadsheetml/2009/9/main" uri="{B025F937-C7B1-47D3-B67F-A62EFF666E3E}">
          <x14:id>{0CC0DEAB-9A1F-4FE5-9123-6293E3325949}</x14:id>
        </ext>
      </extLst>
    </cfRule>
  </conditionalFormatting>
  <conditionalFormatting sqref="AE318">
    <cfRule type="iconSet" priority="4299">
      <iconSet iconSet="3Arrows">
        <cfvo type="percent" val="0"/>
        <cfvo type="num" val="0.7"/>
        <cfvo type="num" val="1"/>
      </iconSet>
    </cfRule>
    <cfRule type="dataBar" priority="4300">
      <dataBar>
        <cfvo type="num" val="0"/>
        <cfvo type="num" val="1"/>
        <color theme="4" tint="0.79998168889431442"/>
      </dataBar>
      <extLst>
        <ext xmlns:x14="http://schemas.microsoft.com/office/spreadsheetml/2009/9/main" uri="{B025F937-C7B1-47D3-B67F-A62EFF666E3E}">
          <x14:id>{3AA657EC-E36C-4263-969A-2317E335F71C}</x14:id>
        </ext>
      </extLst>
    </cfRule>
  </conditionalFormatting>
  <conditionalFormatting sqref="AE320">
    <cfRule type="iconSet" priority="4115">
      <iconSet iconSet="3Arrows">
        <cfvo type="percent" val="0"/>
        <cfvo type="num" val="0.7"/>
        <cfvo type="num" val="1"/>
      </iconSet>
    </cfRule>
    <cfRule type="dataBar" priority="4116">
      <dataBar>
        <cfvo type="num" val="0"/>
        <cfvo type="num" val="1"/>
        <color theme="4" tint="0.79998168889431442"/>
      </dataBar>
      <extLst>
        <ext xmlns:x14="http://schemas.microsoft.com/office/spreadsheetml/2009/9/main" uri="{B025F937-C7B1-47D3-B67F-A62EFF666E3E}">
          <x14:id>{4431BE96-A07B-445A-A9C7-C5519699AAEC}</x14:id>
        </ext>
      </extLst>
    </cfRule>
  </conditionalFormatting>
  <conditionalFormatting sqref="AE322">
    <cfRule type="iconSet" priority="2819">
      <iconSet iconSet="3Arrows">
        <cfvo type="percent" val="0"/>
        <cfvo type="num" val="0.7"/>
        <cfvo type="num" val="1"/>
      </iconSet>
    </cfRule>
    <cfRule type="dataBar" priority="2820">
      <dataBar>
        <cfvo type="num" val="0"/>
        <cfvo type="num" val="1"/>
        <color theme="4" tint="0.79998168889431442"/>
      </dataBar>
      <extLst>
        <ext xmlns:x14="http://schemas.microsoft.com/office/spreadsheetml/2009/9/main" uri="{B025F937-C7B1-47D3-B67F-A62EFF666E3E}">
          <x14:id>{B96CDDDC-A95B-487B-ABDE-C944BEA9D946}</x14:id>
        </ext>
      </extLst>
    </cfRule>
  </conditionalFormatting>
  <conditionalFormatting sqref="AE324">
    <cfRule type="iconSet" priority="2803">
      <iconSet iconSet="3Arrows">
        <cfvo type="percent" val="0"/>
        <cfvo type="num" val="0.7"/>
        <cfvo type="num" val="1"/>
      </iconSet>
    </cfRule>
    <cfRule type="dataBar" priority="2804">
      <dataBar>
        <cfvo type="num" val="0"/>
        <cfvo type="num" val="1"/>
        <color theme="4" tint="0.79998168889431442"/>
      </dataBar>
      <extLst>
        <ext xmlns:x14="http://schemas.microsoft.com/office/spreadsheetml/2009/9/main" uri="{B025F937-C7B1-47D3-B67F-A62EFF666E3E}">
          <x14:id>{45F591AF-8D09-4433-B471-B1485E3D66E8}</x14:id>
        </ext>
      </extLst>
    </cfRule>
  </conditionalFormatting>
  <conditionalFormatting sqref="AE326">
    <cfRule type="iconSet" priority="2789">
      <iconSet iconSet="3Arrows">
        <cfvo type="percent" val="0"/>
        <cfvo type="num" val="0.7"/>
        <cfvo type="num" val="1"/>
      </iconSet>
    </cfRule>
    <cfRule type="dataBar" priority="2790">
      <dataBar>
        <cfvo type="num" val="0"/>
        <cfvo type="num" val="1"/>
        <color theme="4" tint="0.79998168889431442"/>
      </dataBar>
      <extLst>
        <ext xmlns:x14="http://schemas.microsoft.com/office/spreadsheetml/2009/9/main" uri="{B025F937-C7B1-47D3-B67F-A62EFF666E3E}">
          <x14:id>{691903B1-5E7E-4D57-86B1-DDBCA17FAF14}</x14:id>
        </ext>
      </extLst>
    </cfRule>
  </conditionalFormatting>
  <conditionalFormatting sqref="AE328">
    <cfRule type="iconSet" priority="2685">
      <iconSet iconSet="3Arrows">
        <cfvo type="percent" val="0"/>
        <cfvo type="num" val="0.7"/>
        <cfvo type="num" val="1"/>
      </iconSet>
    </cfRule>
    <cfRule type="dataBar" priority="2686">
      <dataBar>
        <cfvo type="num" val="0"/>
        <cfvo type="num" val="1"/>
        <color theme="4" tint="0.79998168889431442"/>
      </dataBar>
      <extLst>
        <ext xmlns:x14="http://schemas.microsoft.com/office/spreadsheetml/2009/9/main" uri="{B025F937-C7B1-47D3-B67F-A62EFF666E3E}">
          <x14:id>{D4472EE1-5380-4D0A-9CEE-5DE2D3F3CE05}</x14:id>
        </ext>
      </extLst>
    </cfRule>
  </conditionalFormatting>
  <conditionalFormatting sqref="AE330">
    <cfRule type="iconSet" priority="2671">
      <iconSet iconSet="3Arrows">
        <cfvo type="percent" val="0"/>
        <cfvo type="num" val="0.7"/>
        <cfvo type="num" val="1"/>
      </iconSet>
    </cfRule>
    <cfRule type="dataBar" priority="2672">
      <dataBar>
        <cfvo type="num" val="0"/>
        <cfvo type="num" val="1"/>
        <color theme="4" tint="0.79998168889431442"/>
      </dataBar>
      <extLst>
        <ext xmlns:x14="http://schemas.microsoft.com/office/spreadsheetml/2009/9/main" uri="{B025F937-C7B1-47D3-B67F-A62EFF666E3E}">
          <x14:id>{6A5960B3-0CBB-4689-AA05-8267DF29E68E}</x14:id>
        </ext>
      </extLst>
    </cfRule>
  </conditionalFormatting>
  <conditionalFormatting sqref="AE332">
    <cfRule type="iconSet" priority="2748">
      <iconSet iconSet="3Arrows">
        <cfvo type="percent" val="0"/>
        <cfvo type="num" val="0.7"/>
        <cfvo type="num" val="1"/>
      </iconSet>
    </cfRule>
    <cfRule type="dataBar" priority="2749">
      <dataBar>
        <cfvo type="num" val="0"/>
        <cfvo type="num" val="1"/>
        <color theme="4" tint="0.79998168889431442"/>
      </dataBar>
      <extLst>
        <ext xmlns:x14="http://schemas.microsoft.com/office/spreadsheetml/2009/9/main" uri="{B025F937-C7B1-47D3-B67F-A62EFF666E3E}">
          <x14:id>{0763B2DB-C3CB-4607-91AC-4DC8AB18FE88}</x14:id>
        </ext>
      </extLst>
    </cfRule>
  </conditionalFormatting>
  <conditionalFormatting sqref="AE334">
    <cfRule type="iconSet" priority="2775">
      <iconSet iconSet="3Arrows">
        <cfvo type="percent" val="0"/>
        <cfvo type="num" val="0.7"/>
        <cfvo type="num" val="1"/>
      </iconSet>
    </cfRule>
    <cfRule type="dataBar" priority="2776">
      <dataBar>
        <cfvo type="num" val="0"/>
        <cfvo type="num" val="1"/>
        <color theme="4" tint="0.79998168889431442"/>
      </dataBar>
      <extLst>
        <ext xmlns:x14="http://schemas.microsoft.com/office/spreadsheetml/2009/9/main" uri="{B025F937-C7B1-47D3-B67F-A62EFF666E3E}">
          <x14:id>{AC20B619-77F6-48DF-A939-34FF28B5BE7C}</x14:id>
        </ext>
      </extLst>
    </cfRule>
  </conditionalFormatting>
  <conditionalFormatting sqref="AE336">
    <cfRule type="iconSet" priority="2299">
      <iconSet iconSet="3Arrows">
        <cfvo type="percent" val="0"/>
        <cfvo type="num" val="0.7"/>
        <cfvo type="num" val="1"/>
      </iconSet>
    </cfRule>
    <cfRule type="dataBar" priority="2300">
      <dataBar>
        <cfvo type="num" val="0"/>
        <cfvo type="num" val="1"/>
        <color theme="4" tint="0.79998168889431442"/>
      </dataBar>
      <extLst>
        <ext xmlns:x14="http://schemas.microsoft.com/office/spreadsheetml/2009/9/main" uri="{B025F937-C7B1-47D3-B67F-A62EFF666E3E}">
          <x14:id>{BB2ACE6E-D0E1-4B94-90CC-2839C6175A35}</x14:id>
        </ext>
      </extLst>
    </cfRule>
  </conditionalFormatting>
  <conditionalFormatting sqref="AE338">
    <cfRule type="iconSet" priority="2761">
      <iconSet iconSet="3Arrows">
        <cfvo type="percent" val="0"/>
        <cfvo type="num" val="0.7"/>
        <cfvo type="num" val="1"/>
      </iconSet>
    </cfRule>
    <cfRule type="dataBar" priority="2762">
      <dataBar>
        <cfvo type="num" val="0"/>
        <cfvo type="num" val="1"/>
        <color theme="4" tint="0.79998168889431442"/>
      </dataBar>
      <extLst>
        <ext xmlns:x14="http://schemas.microsoft.com/office/spreadsheetml/2009/9/main" uri="{B025F937-C7B1-47D3-B67F-A62EFF666E3E}">
          <x14:id>{21DFC902-8763-431A-9354-C422C1F0B937}</x14:id>
        </ext>
      </extLst>
    </cfRule>
  </conditionalFormatting>
  <conditionalFormatting sqref="AE340">
    <cfRule type="iconSet" priority="2702">
      <iconSet iconSet="3Arrows">
        <cfvo type="percent" val="0"/>
        <cfvo type="num" val="0.7"/>
        <cfvo type="num" val="1"/>
      </iconSet>
    </cfRule>
    <cfRule type="dataBar" priority="2703">
      <dataBar>
        <cfvo type="num" val="0"/>
        <cfvo type="num" val="1"/>
        <color theme="4" tint="0.79998168889431442"/>
      </dataBar>
      <extLst>
        <ext xmlns:x14="http://schemas.microsoft.com/office/spreadsheetml/2009/9/main" uri="{B025F937-C7B1-47D3-B67F-A62EFF666E3E}">
          <x14:id>{E12A80F1-493F-4021-A628-F80190FBFF49}</x14:id>
        </ext>
      </extLst>
    </cfRule>
  </conditionalFormatting>
  <conditionalFormatting sqref="AE342">
    <cfRule type="iconSet" priority="2731">
      <iconSet iconSet="3Arrows">
        <cfvo type="percent" val="0"/>
        <cfvo type="num" val="0.7"/>
        <cfvo type="num" val="1"/>
      </iconSet>
    </cfRule>
    <cfRule type="dataBar" priority="2732">
      <dataBar>
        <cfvo type="num" val="0"/>
        <cfvo type="num" val="1"/>
        <color theme="4" tint="0.79998168889431442"/>
      </dataBar>
      <extLst>
        <ext xmlns:x14="http://schemas.microsoft.com/office/spreadsheetml/2009/9/main" uri="{B025F937-C7B1-47D3-B67F-A62EFF666E3E}">
          <x14:id>{DEC6A4BC-BCED-4754-BAB1-E92C71146E57}</x14:id>
        </ext>
      </extLst>
    </cfRule>
  </conditionalFormatting>
  <conditionalFormatting sqref="AE344">
    <cfRule type="iconSet" priority="2400">
      <iconSet iconSet="3Arrows">
        <cfvo type="percent" val="0"/>
        <cfvo type="num" val="0.7"/>
        <cfvo type="num" val="1"/>
      </iconSet>
    </cfRule>
    <cfRule type="dataBar" priority="2401">
      <dataBar>
        <cfvo type="num" val="0"/>
        <cfvo type="num" val="1"/>
        <color theme="4" tint="0.79998168889431442"/>
      </dataBar>
      <extLst>
        <ext xmlns:x14="http://schemas.microsoft.com/office/spreadsheetml/2009/9/main" uri="{B025F937-C7B1-47D3-B67F-A62EFF666E3E}">
          <x14:id>{1BE3539C-60B9-4374-9A36-87765B676D19}</x14:id>
        </ext>
      </extLst>
    </cfRule>
  </conditionalFormatting>
  <conditionalFormatting sqref="AE346">
    <cfRule type="iconSet" priority="2717">
      <iconSet iconSet="3Arrows">
        <cfvo type="percent" val="0"/>
        <cfvo type="num" val="0.7"/>
        <cfvo type="num" val="1"/>
      </iconSet>
    </cfRule>
    <cfRule type="dataBar" priority="2718">
      <dataBar>
        <cfvo type="num" val="0"/>
        <cfvo type="num" val="1"/>
        <color theme="4" tint="0.79998168889431442"/>
      </dataBar>
      <extLst>
        <ext xmlns:x14="http://schemas.microsoft.com/office/spreadsheetml/2009/9/main" uri="{B025F937-C7B1-47D3-B67F-A62EFF666E3E}">
          <x14:id>{0C9FD6B8-0DCE-4A52-BFCE-C15153DDAB6D}</x14:id>
        </ext>
      </extLst>
    </cfRule>
  </conditionalFormatting>
  <conditionalFormatting sqref="AE348">
    <cfRule type="iconSet" priority="2285">
      <iconSet iconSet="3Arrows">
        <cfvo type="percent" val="0"/>
        <cfvo type="num" val="0.7"/>
        <cfvo type="num" val="1"/>
      </iconSet>
    </cfRule>
    <cfRule type="dataBar" priority="2286">
      <dataBar>
        <cfvo type="num" val="0"/>
        <cfvo type="num" val="1"/>
        <color theme="4" tint="0.79998168889431442"/>
      </dataBar>
      <extLst>
        <ext xmlns:x14="http://schemas.microsoft.com/office/spreadsheetml/2009/9/main" uri="{B025F937-C7B1-47D3-B67F-A62EFF666E3E}">
          <x14:id>{940CEC84-265B-4084-B0FB-A4BF408BEC63}</x14:id>
        </ext>
      </extLst>
    </cfRule>
  </conditionalFormatting>
  <conditionalFormatting sqref="AE350">
    <cfRule type="iconSet" priority="2494">
      <iconSet iconSet="3Arrows">
        <cfvo type="percent" val="0"/>
        <cfvo type="num" val="0.7"/>
        <cfvo type="num" val="1"/>
      </iconSet>
    </cfRule>
    <cfRule type="dataBar" priority="2495">
      <dataBar>
        <cfvo type="num" val="0"/>
        <cfvo type="num" val="1"/>
        <color theme="4" tint="0.79998168889431442"/>
      </dataBar>
      <extLst>
        <ext xmlns:x14="http://schemas.microsoft.com/office/spreadsheetml/2009/9/main" uri="{B025F937-C7B1-47D3-B67F-A62EFF666E3E}">
          <x14:id>{8E06D3C1-97FE-44A8-983C-29915E380753}</x14:id>
        </ext>
      </extLst>
    </cfRule>
  </conditionalFormatting>
  <conditionalFormatting sqref="AE352">
    <cfRule type="iconSet" priority="4291">
      <iconSet iconSet="3Arrows">
        <cfvo type="percent" val="0"/>
        <cfvo type="num" val="0.7"/>
        <cfvo type="num" val="1"/>
      </iconSet>
    </cfRule>
    <cfRule type="dataBar" priority="4292">
      <dataBar>
        <cfvo type="num" val="0"/>
        <cfvo type="num" val="1"/>
        <color theme="4" tint="0.79998168889431442"/>
      </dataBar>
      <extLst>
        <ext xmlns:x14="http://schemas.microsoft.com/office/spreadsheetml/2009/9/main" uri="{B025F937-C7B1-47D3-B67F-A62EFF666E3E}">
          <x14:id>{A26A5F02-8F6F-434B-88E2-DC33F8C1105D}</x14:id>
        </ext>
      </extLst>
    </cfRule>
  </conditionalFormatting>
  <conditionalFormatting sqref="AE354">
    <cfRule type="iconSet" priority="4289">
      <iconSet iconSet="3Arrows">
        <cfvo type="percent" val="0"/>
        <cfvo type="num" val="0.7"/>
        <cfvo type="num" val="1"/>
      </iconSet>
    </cfRule>
    <cfRule type="dataBar" priority="4290">
      <dataBar>
        <cfvo type="num" val="0"/>
        <cfvo type="num" val="1"/>
        <color theme="4" tint="0.79998168889431442"/>
      </dataBar>
      <extLst>
        <ext xmlns:x14="http://schemas.microsoft.com/office/spreadsheetml/2009/9/main" uri="{B025F937-C7B1-47D3-B67F-A62EFF666E3E}">
          <x14:id>{E41831CA-4427-4C9D-A2B0-B966EDA0CA69}</x14:id>
        </ext>
      </extLst>
    </cfRule>
  </conditionalFormatting>
  <conditionalFormatting sqref="AE356">
    <cfRule type="iconSet" priority="4287">
      <iconSet iconSet="3Arrows">
        <cfvo type="percent" val="0"/>
        <cfvo type="num" val="0.7"/>
        <cfvo type="num" val="1"/>
      </iconSet>
    </cfRule>
    <cfRule type="dataBar" priority="4288">
      <dataBar>
        <cfvo type="num" val="0"/>
        <cfvo type="num" val="1"/>
        <color theme="4" tint="0.79998168889431442"/>
      </dataBar>
      <extLst>
        <ext xmlns:x14="http://schemas.microsoft.com/office/spreadsheetml/2009/9/main" uri="{B025F937-C7B1-47D3-B67F-A62EFF666E3E}">
          <x14:id>{ED8057F5-F4F0-4D18-A648-94DA27CFFE6A}</x14:id>
        </ext>
      </extLst>
    </cfRule>
  </conditionalFormatting>
  <conditionalFormatting sqref="AE358">
    <cfRule type="iconSet" priority="2247">
      <iconSet iconSet="3Arrows">
        <cfvo type="percent" val="0"/>
        <cfvo type="num" val="0.7"/>
        <cfvo type="num" val="1"/>
      </iconSet>
    </cfRule>
    <cfRule type="dataBar" priority="2248">
      <dataBar>
        <cfvo type="num" val="0"/>
        <cfvo type="num" val="1"/>
        <color theme="4" tint="0.79998168889431442"/>
      </dataBar>
      <extLst>
        <ext xmlns:x14="http://schemas.microsoft.com/office/spreadsheetml/2009/9/main" uri="{B025F937-C7B1-47D3-B67F-A62EFF666E3E}">
          <x14:id>{FDACE741-E67F-4167-BFF7-20F7F62D2B8C}</x14:id>
        </ext>
      </extLst>
    </cfRule>
  </conditionalFormatting>
  <conditionalFormatting sqref="AE360">
    <cfRule type="iconSet" priority="2267">
      <iconSet iconSet="3Arrows">
        <cfvo type="percent" val="0"/>
        <cfvo type="num" val="0.7"/>
        <cfvo type="num" val="1"/>
      </iconSet>
    </cfRule>
    <cfRule type="dataBar" priority="2268">
      <dataBar>
        <cfvo type="num" val="0"/>
        <cfvo type="num" val="1"/>
        <color theme="4" tint="0.79998168889431442"/>
      </dataBar>
      <extLst>
        <ext xmlns:x14="http://schemas.microsoft.com/office/spreadsheetml/2009/9/main" uri="{B025F937-C7B1-47D3-B67F-A62EFF666E3E}">
          <x14:id>{E6665791-087C-4214-9AD1-018BBDD86578}</x14:id>
        </ext>
      </extLst>
    </cfRule>
  </conditionalFormatting>
  <conditionalFormatting sqref="AE362">
    <cfRule type="iconSet" priority="1368">
      <iconSet iconSet="3Arrows">
        <cfvo type="percent" val="0"/>
        <cfvo type="num" val="0.7"/>
        <cfvo type="num" val="1"/>
      </iconSet>
    </cfRule>
    <cfRule type="dataBar" priority="1369">
      <dataBar>
        <cfvo type="num" val="0"/>
        <cfvo type="num" val="1"/>
        <color theme="4" tint="0.79998168889431442"/>
      </dataBar>
      <extLst>
        <ext xmlns:x14="http://schemas.microsoft.com/office/spreadsheetml/2009/9/main" uri="{B025F937-C7B1-47D3-B67F-A62EFF666E3E}">
          <x14:id>{471517AE-EB6F-4754-A3AA-B9A246C4B075}</x14:id>
        </ext>
      </extLst>
    </cfRule>
  </conditionalFormatting>
  <conditionalFormatting sqref="AE364">
    <cfRule type="iconSet" priority="1809">
      <iconSet iconSet="3Arrows">
        <cfvo type="percent" val="0"/>
        <cfvo type="num" val="0.7"/>
        <cfvo type="num" val="1"/>
      </iconSet>
    </cfRule>
    <cfRule type="dataBar" priority="1810">
      <dataBar>
        <cfvo type="num" val="0"/>
        <cfvo type="num" val="1"/>
        <color theme="4" tint="0.79998168889431442"/>
      </dataBar>
      <extLst>
        <ext xmlns:x14="http://schemas.microsoft.com/office/spreadsheetml/2009/9/main" uri="{B025F937-C7B1-47D3-B67F-A62EFF666E3E}">
          <x14:id>{2A47EAEA-D2D7-4D9E-BB5A-691CC54C73F7}</x14:id>
        </ext>
      </extLst>
    </cfRule>
  </conditionalFormatting>
  <conditionalFormatting sqref="AE366">
    <cfRule type="iconSet" priority="1354">
      <iconSet iconSet="3Arrows">
        <cfvo type="percent" val="0"/>
        <cfvo type="num" val="0.7"/>
        <cfvo type="num" val="1"/>
      </iconSet>
    </cfRule>
    <cfRule type="dataBar" priority="1355">
      <dataBar>
        <cfvo type="num" val="0"/>
        <cfvo type="num" val="1"/>
        <color theme="4" tint="0.79998168889431442"/>
      </dataBar>
      <extLst>
        <ext xmlns:x14="http://schemas.microsoft.com/office/spreadsheetml/2009/9/main" uri="{B025F937-C7B1-47D3-B67F-A62EFF666E3E}">
          <x14:id>{6947E581-CB89-42EB-880A-04EDEF97A958}</x14:id>
        </ext>
      </extLst>
    </cfRule>
  </conditionalFormatting>
  <conditionalFormatting sqref="AE368">
    <cfRule type="iconSet" priority="2265">
      <iconSet iconSet="3Arrows">
        <cfvo type="percent" val="0"/>
        <cfvo type="num" val="0.7"/>
        <cfvo type="num" val="1"/>
      </iconSet>
    </cfRule>
    <cfRule type="dataBar" priority="2266">
      <dataBar>
        <cfvo type="num" val="0"/>
        <cfvo type="num" val="1"/>
        <color theme="4" tint="0.79998168889431442"/>
      </dataBar>
      <extLst>
        <ext xmlns:x14="http://schemas.microsoft.com/office/spreadsheetml/2009/9/main" uri="{B025F937-C7B1-47D3-B67F-A62EFF666E3E}">
          <x14:id>{C0105AC4-08C7-4C19-A0BE-AAE29E4DFBDC}</x14:id>
        </ext>
      </extLst>
    </cfRule>
  </conditionalFormatting>
  <conditionalFormatting sqref="AE370">
    <cfRule type="iconSet" priority="1795">
      <iconSet iconSet="3Arrows">
        <cfvo type="percent" val="0"/>
        <cfvo type="num" val="0.7"/>
        <cfvo type="num" val="1"/>
      </iconSet>
    </cfRule>
    <cfRule type="dataBar" priority="1796">
      <dataBar>
        <cfvo type="num" val="0"/>
        <cfvo type="num" val="1"/>
        <color theme="4" tint="0.79998168889431442"/>
      </dataBar>
      <extLst>
        <ext xmlns:x14="http://schemas.microsoft.com/office/spreadsheetml/2009/9/main" uri="{B025F937-C7B1-47D3-B67F-A62EFF666E3E}">
          <x14:id>{BED63BA3-C23C-4AE5-B1D1-D91946E91570}</x14:id>
        </ext>
      </extLst>
    </cfRule>
  </conditionalFormatting>
  <conditionalFormatting sqref="AE372">
    <cfRule type="iconSet" priority="2478">
      <iconSet iconSet="3Arrows">
        <cfvo type="percent" val="0"/>
        <cfvo type="num" val="0.7"/>
        <cfvo type="num" val="1"/>
      </iconSet>
    </cfRule>
    <cfRule type="dataBar" priority="2479">
      <dataBar>
        <cfvo type="num" val="0"/>
        <cfvo type="num" val="1"/>
        <color theme="4" tint="0.79998168889431442"/>
      </dataBar>
      <extLst>
        <ext xmlns:x14="http://schemas.microsoft.com/office/spreadsheetml/2009/9/main" uri="{B025F937-C7B1-47D3-B67F-A62EFF666E3E}">
          <x14:id>{4F99A156-AC92-4AEE-ABD8-E1FEE9B76B34}</x14:id>
        </ext>
      </extLst>
    </cfRule>
  </conditionalFormatting>
  <conditionalFormatting sqref="AE374">
    <cfRule type="iconSet" priority="2612">
      <iconSet iconSet="3Arrows">
        <cfvo type="percent" val="0"/>
        <cfvo type="num" val="0.7"/>
        <cfvo type="num" val="1"/>
      </iconSet>
    </cfRule>
    <cfRule type="dataBar" priority="2613">
      <dataBar>
        <cfvo type="num" val="0"/>
        <cfvo type="num" val="1"/>
        <color theme="4" tint="0.79998168889431442"/>
      </dataBar>
      <extLst>
        <ext xmlns:x14="http://schemas.microsoft.com/office/spreadsheetml/2009/9/main" uri="{B025F937-C7B1-47D3-B67F-A62EFF666E3E}">
          <x14:id>{08DD6024-B460-4980-BC0F-BC9C94CEFBC1}</x14:id>
        </ext>
      </extLst>
    </cfRule>
  </conditionalFormatting>
  <conditionalFormatting sqref="AE376">
    <cfRule type="iconSet" priority="2657">
      <iconSet iconSet="3Arrows">
        <cfvo type="percent" val="0"/>
        <cfvo type="num" val="0.7"/>
        <cfvo type="num" val="1"/>
      </iconSet>
    </cfRule>
    <cfRule type="dataBar" priority="2658">
      <dataBar>
        <cfvo type="num" val="0"/>
        <cfvo type="num" val="1"/>
        <color theme="4" tint="0.79998168889431442"/>
      </dataBar>
      <extLst>
        <ext xmlns:x14="http://schemas.microsoft.com/office/spreadsheetml/2009/9/main" uri="{B025F937-C7B1-47D3-B67F-A62EFF666E3E}">
          <x14:id>{F9D60F4C-EDFF-41FD-91D4-9963AC06EEEC}</x14:id>
        </ext>
      </extLst>
    </cfRule>
  </conditionalFormatting>
  <conditionalFormatting sqref="AE378">
    <cfRule type="iconSet" priority="2592">
      <iconSet iconSet="3Arrows">
        <cfvo type="percent" val="0"/>
        <cfvo type="num" val="0.7"/>
        <cfvo type="num" val="1"/>
      </iconSet>
    </cfRule>
    <cfRule type="dataBar" priority="2593">
      <dataBar>
        <cfvo type="num" val="0"/>
        <cfvo type="num" val="1"/>
        <color theme="4" tint="0.79998168889431442"/>
      </dataBar>
      <extLst>
        <ext xmlns:x14="http://schemas.microsoft.com/office/spreadsheetml/2009/9/main" uri="{B025F937-C7B1-47D3-B67F-A62EFF666E3E}">
          <x14:id>{4F4F943A-AA63-4E7B-8A95-4188B5A64B4B}</x14:id>
        </ext>
      </extLst>
    </cfRule>
  </conditionalFormatting>
  <conditionalFormatting sqref="AE380">
    <cfRule type="iconSet" priority="2642">
      <iconSet iconSet="3Arrows">
        <cfvo type="percent" val="0"/>
        <cfvo type="num" val="0.7"/>
        <cfvo type="num" val="1"/>
      </iconSet>
    </cfRule>
    <cfRule type="dataBar" priority="2643">
      <dataBar>
        <cfvo type="num" val="0"/>
        <cfvo type="num" val="1"/>
        <color theme="4" tint="0.79998168889431442"/>
      </dataBar>
      <extLst>
        <ext xmlns:x14="http://schemas.microsoft.com/office/spreadsheetml/2009/9/main" uri="{B025F937-C7B1-47D3-B67F-A62EFF666E3E}">
          <x14:id>{E8EB4B8D-C086-4861-BC12-4121DAB76F6F}</x14:id>
        </ext>
      </extLst>
    </cfRule>
  </conditionalFormatting>
  <conditionalFormatting sqref="AE382">
    <cfRule type="iconSet" priority="2572">
      <iconSet iconSet="3Arrows">
        <cfvo type="percent" val="0"/>
        <cfvo type="num" val="0.7"/>
        <cfvo type="num" val="1"/>
      </iconSet>
    </cfRule>
    <cfRule type="dataBar" priority="2573">
      <dataBar>
        <cfvo type="num" val="0"/>
        <cfvo type="num" val="1"/>
        <color theme="4" tint="0.79998168889431442"/>
      </dataBar>
      <extLst>
        <ext xmlns:x14="http://schemas.microsoft.com/office/spreadsheetml/2009/9/main" uri="{B025F937-C7B1-47D3-B67F-A62EFF666E3E}">
          <x14:id>{6C4AD4A0-3028-40FB-A3A0-07962E308553}</x14:id>
        </ext>
      </extLst>
    </cfRule>
  </conditionalFormatting>
  <conditionalFormatting sqref="AE384">
    <cfRule type="iconSet" priority="2627">
      <iconSet iconSet="3Arrows">
        <cfvo type="percent" val="0"/>
        <cfvo type="num" val="0.7"/>
        <cfvo type="num" val="1"/>
      </iconSet>
    </cfRule>
    <cfRule type="dataBar" priority="2628">
      <dataBar>
        <cfvo type="num" val="0"/>
        <cfvo type="num" val="1"/>
        <color theme="4" tint="0.79998168889431442"/>
      </dataBar>
      <extLst>
        <ext xmlns:x14="http://schemas.microsoft.com/office/spreadsheetml/2009/9/main" uri="{B025F937-C7B1-47D3-B67F-A62EFF666E3E}">
          <x14:id>{27F433B2-FCBE-45D7-8B46-D46806F0C774}</x14:id>
        </ext>
      </extLst>
    </cfRule>
  </conditionalFormatting>
  <conditionalFormatting sqref="AE386">
    <cfRule type="iconSet" priority="1310">
      <iconSet iconSet="3Arrows">
        <cfvo type="percent" val="0"/>
        <cfvo type="num" val="0.7"/>
        <cfvo type="num" val="1"/>
      </iconSet>
    </cfRule>
    <cfRule type="dataBar" priority="1311">
      <dataBar>
        <cfvo type="num" val="0"/>
        <cfvo type="num" val="1"/>
        <color theme="4" tint="0.79998168889431442"/>
      </dataBar>
      <extLst>
        <ext xmlns:x14="http://schemas.microsoft.com/office/spreadsheetml/2009/9/main" uri="{B025F937-C7B1-47D3-B67F-A62EFF666E3E}">
          <x14:id>{11943FF8-3B8A-42AB-9E36-20014F9328A0}</x14:id>
        </ext>
      </extLst>
    </cfRule>
  </conditionalFormatting>
  <conditionalFormatting sqref="AE388">
    <cfRule type="iconSet" priority="1306">
      <iconSet iconSet="3Arrows">
        <cfvo type="percent" val="0"/>
        <cfvo type="num" val="0.7"/>
        <cfvo type="num" val="1"/>
      </iconSet>
    </cfRule>
    <cfRule type="dataBar" priority="1307">
      <dataBar>
        <cfvo type="num" val="0"/>
        <cfvo type="num" val="1"/>
        <color theme="4" tint="0.79998168889431442"/>
      </dataBar>
      <extLst>
        <ext xmlns:x14="http://schemas.microsoft.com/office/spreadsheetml/2009/9/main" uri="{B025F937-C7B1-47D3-B67F-A62EFF666E3E}">
          <x14:id>{E5C478D5-8285-4196-952C-6DF6C89D7E18}</x14:id>
        </ext>
      </extLst>
    </cfRule>
  </conditionalFormatting>
  <conditionalFormatting sqref="AE390">
    <cfRule type="iconSet" priority="1308">
      <iconSet iconSet="3Arrows">
        <cfvo type="percent" val="0"/>
        <cfvo type="num" val="0.7"/>
        <cfvo type="num" val="1"/>
      </iconSet>
    </cfRule>
    <cfRule type="dataBar" priority="1309">
      <dataBar>
        <cfvo type="num" val="0"/>
        <cfvo type="num" val="1"/>
        <color theme="4" tint="0.79998168889431442"/>
      </dataBar>
      <extLst>
        <ext xmlns:x14="http://schemas.microsoft.com/office/spreadsheetml/2009/9/main" uri="{B025F937-C7B1-47D3-B67F-A62EFF666E3E}">
          <x14:id>{544DB6B4-E5F3-410E-8B97-4292B831C602}</x14:id>
        </ext>
      </extLst>
    </cfRule>
  </conditionalFormatting>
  <conditionalFormatting sqref="AE393">
    <cfRule type="iconSet" priority="4285">
      <iconSet iconSet="3Arrows">
        <cfvo type="percent" val="0"/>
        <cfvo type="num" val="0.7"/>
        <cfvo type="num" val="1"/>
      </iconSet>
    </cfRule>
    <cfRule type="dataBar" priority="4286">
      <dataBar>
        <cfvo type="num" val="0"/>
        <cfvo type="num" val="1"/>
        <color theme="4" tint="0.79998168889431442"/>
      </dataBar>
      <extLst>
        <ext xmlns:x14="http://schemas.microsoft.com/office/spreadsheetml/2009/9/main" uri="{B025F937-C7B1-47D3-B67F-A62EFF666E3E}">
          <x14:id>{59A424FA-51FB-45B8-94AD-0D967518DDA5}</x14:id>
        </ext>
      </extLst>
    </cfRule>
  </conditionalFormatting>
  <conditionalFormatting sqref="AE395">
    <cfRule type="iconSet" priority="4275">
      <iconSet iconSet="3Arrows">
        <cfvo type="percent" val="0"/>
        <cfvo type="num" val="0.7"/>
        <cfvo type="num" val="1"/>
      </iconSet>
    </cfRule>
    <cfRule type="dataBar" priority="4276">
      <dataBar>
        <cfvo type="num" val="0"/>
        <cfvo type="num" val="1"/>
        <color theme="4" tint="0.79998168889431442"/>
      </dataBar>
      <extLst>
        <ext xmlns:x14="http://schemas.microsoft.com/office/spreadsheetml/2009/9/main" uri="{B025F937-C7B1-47D3-B67F-A62EFF666E3E}">
          <x14:id>{23285140-1528-4812-BBE6-D1458FDA7C26}</x14:id>
        </ext>
      </extLst>
    </cfRule>
  </conditionalFormatting>
  <conditionalFormatting sqref="AE397">
    <cfRule type="iconSet" priority="4197">
      <iconSet iconSet="3Arrows">
        <cfvo type="percent" val="0"/>
        <cfvo type="num" val="0.7"/>
        <cfvo type="num" val="1"/>
      </iconSet>
    </cfRule>
    <cfRule type="dataBar" priority="4198">
      <dataBar>
        <cfvo type="num" val="0"/>
        <cfvo type="num" val="1"/>
        <color theme="4" tint="0.79998168889431442"/>
      </dataBar>
      <extLst>
        <ext xmlns:x14="http://schemas.microsoft.com/office/spreadsheetml/2009/9/main" uri="{B025F937-C7B1-47D3-B67F-A62EFF666E3E}">
          <x14:id>{DE3B4582-E151-4BF1-9B60-278860D8040D}</x14:id>
        </ext>
      </extLst>
    </cfRule>
  </conditionalFormatting>
  <conditionalFormatting sqref="AE399">
    <cfRule type="iconSet" priority="4265">
      <iconSet iconSet="3Arrows">
        <cfvo type="percent" val="0"/>
        <cfvo type="num" val="0.7"/>
        <cfvo type="num" val="1"/>
      </iconSet>
    </cfRule>
    <cfRule type="dataBar" priority="4266">
      <dataBar>
        <cfvo type="num" val="0"/>
        <cfvo type="num" val="1"/>
        <color theme="4" tint="0.79998168889431442"/>
      </dataBar>
      <extLst>
        <ext xmlns:x14="http://schemas.microsoft.com/office/spreadsheetml/2009/9/main" uri="{B025F937-C7B1-47D3-B67F-A62EFF666E3E}">
          <x14:id>{3C7F9B6B-35C9-4613-8CC2-9571F3E355FF}</x14:id>
        </ext>
      </extLst>
    </cfRule>
  </conditionalFormatting>
  <conditionalFormatting sqref="AE401">
    <cfRule type="iconSet" priority="2233">
      <iconSet iconSet="3Arrows">
        <cfvo type="percent" val="0"/>
        <cfvo type="num" val="0.7"/>
        <cfvo type="num" val="1"/>
      </iconSet>
    </cfRule>
    <cfRule type="dataBar" priority="2234">
      <dataBar>
        <cfvo type="num" val="0"/>
        <cfvo type="num" val="1"/>
        <color theme="4" tint="0.79998168889431442"/>
      </dataBar>
      <extLst>
        <ext xmlns:x14="http://schemas.microsoft.com/office/spreadsheetml/2009/9/main" uri="{B025F937-C7B1-47D3-B67F-A62EFF666E3E}">
          <x14:id>{8A0F2AD9-B8CD-4244-9619-015C79A0CFB2}</x14:id>
        </ext>
      </extLst>
    </cfRule>
  </conditionalFormatting>
  <conditionalFormatting sqref="AE403">
    <cfRule type="iconSet" priority="2219">
      <iconSet iconSet="3Arrows">
        <cfvo type="percent" val="0"/>
        <cfvo type="num" val="0.7"/>
        <cfvo type="num" val="1"/>
      </iconSet>
    </cfRule>
    <cfRule type="dataBar" priority="2220">
      <dataBar>
        <cfvo type="num" val="0"/>
        <cfvo type="num" val="1"/>
        <color theme="4" tint="0.79998168889431442"/>
      </dataBar>
      <extLst>
        <ext xmlns:x14="http://schemas.microsoft.com/office/spreadsheetml/2009/9/main" uri="{B025F937-C7B1-47D3-B67F-A62EFF666E3E}">
          <x14:id>{A3C8D191-E645-4D91-ADF5-11943026DDC1}</x14:id>
        </ext>
      </extLst>
    </cfRule>
  </conditionalFormatting>
  <conditionalFormatting sqref="AE405">
    <cfRule type="iconSet" priority="1760">
      <iconSet iconSet="3Arrows">
        <cfvo type="percent" val="0"/>
        <cfvo type="num" val="0.7"/>
        <cfvo type="num" val="1"/>
      </iconSet>
    </cfRule>
    <cfRule type="dataBar" priority="1761">
      <dataBar>
        <cfvo type="num" val="0"/>
        <cfvo type="num" val="1"/>
        <color theme="4" tint="0.79998168889431442"/>
      </dataBar>
      <extLst>
        <ext xmlns:x14="http://schemas.microsoft.com/office/spreadsheetml/2009/9/main" uri="{B025F937-C7B1-47D3-B67F-A62EFF666E3E}">
          <x14:id>{F119A4B3-E050-4C28-B405-4AEC19BA90E3}</x14:id>
        </ext>
      </extLst>
    </cfRule>
  </conditionalFormatting>
  <conditionalFormatting sqref="AE407">
    <cfRule type="iconSet" priority="1756">
      <iconSet iconSet="3Arrows">
        <cfvo type="percent" val="0"/>
        <cfvo type="num" val="0.7"/>
        <cfvo type="num" val="1"/>
      </iconSet>
    </cfRule>
    <cfRule type="dataBar" priority="1757">
      <dataBar>
        <cfvo type="num" val="0"/>
        <cfvo type="num" val="1"/>
        <color theme="4" tint="0.79998168889431442"/>
      </dataBar>
      <extLst>
        <ext xmlns:x14="http://schemas.microsoft.com/office/spreadsheetml/2009/9/main" uri="{B025F937-C7B1-47D3-B67F-A62EFF666E3E}">
          <x14:id>{B70CE54A-4C3E-46BF-B027-80F9AEB258AF}</x14:id>
        </ext>
      </extLst>
    </cfRule>
  </conditionalFormatting>
  <conditionalFormatting sqref="AE409">
    <cfRule type="iconSet" priority="1758">
      <iconSet iconSet="3Arrows">
        <cfvo type="percent" val="0"/>
        <cfvo type="num" val="0.7"/>
        <cfvo type="num" val="1"/>
      </iconSet>
    </cfRule>
    <cfRule type="dataBar" priority="1759">
      <dataBar>
        <cfvo type="num" val="0"/>
        <cfvo type="num" val="1"/>
        <color theme="4" tint="0.79998168889431442"/>
      </dataBar>
      <extLst>
        <ext xmlns:x14="http://schemas.microsoft.com/office/spreadsheetml/2009/9/main" uri="{B025F937-C7B1-47D3-B67F-A62EFF666E3E}">
          <x14:id>{A6298839-4C04-4263-80E8-CEB6A4050FD8}</x14:id>
        </ext>
      </extLst>
    </cfRule>
  </conditionalFormatting>
  <conditionalFormatting sqref="AE411">
    <cfRule type="iconSet" priority="1261">
      <iconSet iconSet="3Arrows">
        <cfvo type="percent" val="0"/>
        <cfvo type="num" val="0.7"/>
        <cfvo type="num" val="1"/>
      </iconSet>
    </cfRule>
    <cfRule type="dataBar" priority="1262">
      <dataBar>
        <cfvo type="num" val="0"/>
        <cfvo type="num" val="1"/>
        <color theme="4" tint="0.79998168889431442"/>
      </dataBar>
      <extLst>
        <ext xmlns:x14="http://schemas.microsoft.com/office/spreadsheetml/2009/9/main" uri="{B025F937-C7B1-47D3-B67F-A62EFF666E3E}">
          <x14:id>{9F539CA5-FBE7-41D5-831C-5C61AE0E0BB5}</x14:id>
        </ext>
      </extLst>
    </cfRule>
  </conditionalFormatting>
  <conditionalFormatting sqref="AE413">
    <cfRule type="iconSet" priority="1257">
      <iconSet iconSet="3Arrows">
        <cfvo type="percent" val="0"/>
        <cfvo type="num" val="0.7"/>
        <cfvo type="num" val="1"/>
      </iconSet>
    </cfRule>
    <cfRule type="dataBar" priority="1258">
      <dataBar>
        <cfvo type="num" val="0"/>
        <cfvo type="num" val="1"/>
        <color theme="4" tint="0.79998168889431442"/>
      </dataBar>
      <extLst>
        <ext xmlns:x14="http://schemas.microsoft.com/office/spreadsheetml/2009/9/main" uri="{B025F937-C7B1-47D3-B67F-A62EFF666E3E}">
          <x14:id>{734321BB-3593-41F2-8D3C-BF82DE3B6546}</x14:id>
        </ext>
      </extLst>
    </cfRule>
  </conditionalFormatting>
  <conditionalFormatting sqref="AE415">
    <cfRule type="iconSet" priority="1259">
      <iconSet iconSet="3Arrows">
        <cfvo type="percent" val="0"/>
        <cfvo type="num" val="0.7"/>
        <cfvo type="num" val="1"/>
      </iconSet>
    </cfRule>
    <cfRule type="dataBar" priority="1260">
      <dataBar>
        <cfvo type="num" val="0"/>
        <cfvo type="num" val="1"/>
        <color theme="4" tint="0.79998168889431442"/>
      </dataBar>
      <extLst>
        <ext xmlns:x14="http://schemas.microsoft.com/office/spreadsheetml/2009/9/main" uri="{B025F937-C7B1-47D3-B67F-A62EFF666E3E}">
          <x14:id>{70E36D52-6842-49D2-931F-8807A5C1B9F6}</x14:id>
        </ext>
      </extLst>
    </cfRule>
  </conditionalFormatting>
  <conditionalFormatting sqref="AE417">
    <cfRule type="iconSet" priority="3093">
      <iconSet iconSet="3Arrows">
        <cfvo type="percent" val="0"/>
        <cfvo type="num" val="0.7"/>
        <cfvo type="num" val="1"/>
      </iconSet>
    </cfRule>
    <cfRule type="dataBar" priority="3094">
      <dataBar>
        <cfvo type="num" val="0"/>
        <cfvo type="num" val="1"/>
        <color theme="4" tint="0.79998168889431442"/>
      </dataBar>
      <extLst>
        <ext xmlns:x14="http://schemas.microsoft.com/office/spreadsheetml/2009/9/main" uri="{B025F937-C7B1-47D3-B67F-A62EFF666E3E}">
          <x14:id>{32839F47-1176-441E-A69B-A6384D489EB9}</x14:id>
        </ext>
      </extLst>
    </cfRule>
  </conditionalFormatting>
  <conditionalFormatting sqref="AE419">
    <cfRule type="iconSet" priority="3087">
      <iconSet iconSet="3Arrows">
        <cfvo type="percent" val="0"/>
        <cfvo type="num" val="0.7"/>
        <cfvo type="num" val="1"/>
      </iconSet>
    </cfRule>
    <cfRule type="dataBar" priority="3088">
      <dataBar>
        <cfvo type="num" val="0"/>
        <cfvo type="num" val="1"/>
        <color theme="4" tint="0.79998168889431442"/>
      </dataBar>
      <extLst>
        <ext xmlns:x14="http://schemas.microsoft.com/office/spreadsheetml/2009/9/main" uri="{B025F937-C7B1-47D3-B67F-A62EFF666E3E}">
          <x14:id>{7FA089B5-DC1B-4056-BB31-BDBF6D408212}</x14:id>
        </ext>
      </extLst>
    </cfRule>
  </conditionalFormatting>
  <conditionalFormatting sqref="AE421">
    <cfRule type="iconSet" priority="3091">
      <iconSet iconSet="3Arrows">
        <cfvo type="percent" val="0"/>
        <cfvo type="num" val="0.7"/>
        <cfvo type="num" val="1"/>
      </iconSet>
    </cfRule>
    <cfRule type="dataBar" priority="3092">
      <dataBar>
        <cfvo type="num" val="0"/>
        <cfvo type="num" val="1"/>
        <color theme="4" tint="0.79998168889431442"/>
      </dataBar>
      <extLst>
        <ext xmlns:x14="http://schemas.microsoft.com/office/spreadsheetml/2009/9/main" uri="{B025F937-C7B1-47D3-B67F-A62EFF666E3E}">
          <x14:id>{65512D09-AD21-4343-92DE-EB6526F64840}</x14:id>
        </ext>
      </extLst>
    </cfRule>
  </conditionalFormatting>
  <conditionalFormatting sqref="AE423">
    <cfRule type="iconSet" priority="3089">
      <iconSet iconSet="3Arrows">
        <cfvo type="percent" val="0"/>
        <cfvo type="num" val="0.7"/>
        <cfvo type="num" val="1"/>
      </iconSet>
    </cfRule>
    <cfRule type="dataBar" priority="3090">
      <dataBar>
        <cfvo type="num" val="0"/>
        <cfvo type="num" val="1"/>
        <color theme="4" tint="0.79998168889431442"/>
      </dataBar>
      <extLst>
        <ext xmlns:x14="http://schemas.microsoft.com/office/spreadsheetml/2009/9/main" uri="{B025F937-C7B1-47D3-B67F-A62EFF666E3E}">
          <x14:id>{E124598D-C7DC-45F8-AEC9-790EC1EF0C77}</x14:id>
        </ext>
      </extLst>
    </cfRule>
  </conditionalFormatting>
  <conditionalFormatting sqref="AE425">
    <cfRule type="iconSet" priority="189">
      <iconSet iconSet="3Arrows">
        <cfvo type="percent" val="0"/>
        <cfvo type="num" val="0.7"/>
        <cfvo type="num" val="1"/>
      </iconSet>
    </cfRule>
    <cfRule type="dataBar" priority="190">
      <dataBar>
        <cfvo type="num" val="0"/>
        <cfvo type="num" val="1"/>
        <color theme="4" tint="0.79998168889431442"/>
      </dataBar>
      <extLst>
        <ext xmlns:x14="http://schemas.microsoft.com/office/spreadsheetml/2009/9/main" uri="{B025F937-C7B1-47D3-B67F-A62EFF666E3E}">
          <x14:id>{91E1F5F8-DE4E-4B53-89E4-4AB09A0A614F}</x14:id>
        </ext>
      </extLst>
    </cfRule>
  </conditionalFormatting>
  <conditionalFormatting sqref="AE428">
    <cfRule type="iconSet" priority="4263">
      <iconSet iconSet="3Arrows">
        <cfvo type="percent" val="0"/>
        <cfvo type="num" val="0.7"/>
        <cfvo type="num" val="1"/>
      </iconSet>
    </cfRule>
    <cfRule type="dataBar" priority="4264">
      <dataBar>
        <cfvo type="num" val="0"/>
        <cfvo type="num" val="1"/>
        <color theme="4" tint="0.79998168889431442"/>
      </dataBar>
      <extLst>
        <ext xmlns:x14="http://schemas.microsoft.com/office/spreadsheetml/2009/9/main" uri="{B025F937-C7B1-47D3-B67F-A62EFF666E3E}">
          <x14:id>{812A004F-B132-4FFE-9CE5-9A29FF1B849D}</x14:id>
        </ext>
      </extLst>
    </cfRule>
  </conditionalFormatting>
  <conditionalFormatting sqref="AE430">
    <cfRule type="iconSet" priority="4195">
      <iconSet iconSet="3Arrows">
        <cfvo type="percent" val="0"/>
        <cfvo type="num" val="0.7"/>
        <cfvo type="num" val="1"/>
      </iconSet>
    </cfRule>
    <cfRule type="dataBar" priority="4196">
      <dataBar>
        <cfvo type="num" val="0"/>
        <cfvo type="num" val="1"/>
        <color theme="4" tint="0.79998168889431442"/>
      </dataBar>
      <extLst>
        <ext xmlns:x14="http://schemas.microsoft.com/office/spreadsheetml/2009/9/main" uri="{B025F937-C7B1-47D3-B67F-A62EFF666E3E}">
          <x14:id>{57A03206-087A-442C-B804-9FC10605A02B}</x14:id>
        </ext>
      </extLst>
    </cfRule>
  </conditionalFormatting>
  <conditionalFormatting sqref="AE432">
    <cfRule type="iconSet" priority="2554">
      <iconSet iconSet="3Arrows">
        <cfvo type="percent" val="0"/>
        <cfvo type="num" val="0.7"/>
        <cfvo type="num" val="1"/>
      </iconSet>
    </cfRule>
    <cfRule type="dataBar" priority="2555">
      <dataBar>
        <cfvo type="num" val="0"/>
        <cfvo type="num" val="1"/>
        <color theme="4" tint="0.79998168889431442"/>
      </dataBar>
      <extLst>
        <ext xmlns:x14="http://schemas.microsoft.com/office/spreadsheetml/2009/9/main" uri="{B025F937-C7B1-47D3-B67F-A62EFF666E3E}">
          <x14:id>{B12D8574-9858-4737-A6CC-97296BEC99FE}</x14:id>
        </ext>
      </extLst>
    </cfRule>
  </conditionalFormatting>
  <conditionalFormatting sqref="AE434">
    <cfRule type="iconSet" priority="3027">
      <iconSet iconSet="3Arrows">
        <cfvo type="percent" val="0"/>
        <cfvo type="num" val="0.7"/>
        <cfvo type="num" val="1"/>
      </iconSet>
    </cfRule>
    <cfRule type="dataBar" priority="3028">
      <dataBar>
        <cfvo type="num" val="0"/>
        <cfvo type="num" val="1"/>
        <color theme="4" tint="0.79998168889431442"/>
      </dataBar>
      <extLst>
        <ext xmlns:x14="http://schemas.microsoft.com/office/spreadsheetml/2009/9/main" uri="{B025F937-C7B1-47D3-B67F-A62EFF666E3E}">
          <x14:id>{2502D321-6AF7-433C-9629-5891E9A6C3AA}</x14:id>
        </ext>
      </extLst>
    </cfRule>
  </conditionalFormatting>
  <conditionalFormatting sqref="AE436">
    <cfRule type="iconSet" priority="3025">
      <iconSet iconSet="3Arrows">
        <cfvo type="percent" val="0"/>
        <cfvo type="num" val="0.7"/>
        <cfvo type="num" val="1"/>
      </iconSet>
    </cfRule>
    <cfRule type="dataBar" priority="3026">
      <dataBar>
        <cfvo type="num" val="0"/>
        <cfvo type="num" val="1"/>
        <color theme="4" tint="0.79998168889431442"/>
      </dataBar>
      <extLst>
        <ext xmlns:x14="http://schemas.microsoft.com/office/spreadsheetml/2009/9/main" uri="{B025F937-C7B1-47D3-B67F-A62EFF666E3E}">
          <x14:id>{B5CE9E9B-5C3F-4A81-9009-BCA4CE27D724}</x14:id>
        </ext>
      </extLst>
    </cfRule>
  </conditionalFormatting>
  <conditionalFormatting sqref="AE438">
    <cfRule type="iconSet" priority="3023">
      <iconSet iconSet="3Arrows">
        <cfvo type="percent" val="0"/>
        <cfvo type="num" val="0.7"/>
        <cfvo type="num" val="1"/>
      </iconSet>
    </cfRule>
    <cfRule type="dataBar" priority="3024">
      <dataBar>
        <cfvo type="num" val="0"/>
        <cfvo type="num" val="1"/>
        <color theme="4" tint="0.79998168889431442"/>
      </dataBar>
      <extLst>
        <ext xmlns:x14="http://schemas.microsoft.com/office/spreadsheetml/2009/9/main" uri="{B025F937-C7B1-47D3-B67F-A62EFF666E3E}">
          <x14:id>{92B81547-19B6-483D-A606-74D3266C9137}</x14:id>
        </ext>
      </extLst>
    </cfRule>
  </conditionalFormatting>
  <conditionalFormatting sqref="AE440">
    <cfRule type="iconSet" priority="3021">
      <iconSet iconSet="3Arrows">
        <cfvo type="percent" val="0"/>
        <cfvo type="num" val="0.7"/>
        <cfvo type="num" val="1"/>
      </iconSet>
    </cfRule>
    <cfRule type="dataBar" priority="3022">
      <dataBar>
        <cfvo type="num" val="0"/>
        <cfvo type="num" val="1"/>
        <color theme="4" tint="0.79998168889431442"/>
      </dataBar>
      <extLst>
        <ext xmlns:x14="http://schemas.microsoft.com/office/spreadsheetml/2009/9/main" uri="{B025F937-C7B1-47D3-B67F-A62EFF666E3E}">
          <x14:id>{04D63D41-1049-4528-AAF4-B40487E2011C}</x14:id>
        </ext>
      </extLst>
    </cfRule>
  </conditionalFormatting>
  <conditionalFormatting sqref="AE442">
    <cfRule type="iconSet" priority="1230">
      <iconSet iconSet="3Arrows">
        <cfvo type="percent" val="0"/>
        <cfvo type="num" val="0.7"/>
        <cfvo type="num" val="1"/>
      </iconSet>
    </cfRule>
    <cfRule type="dataBar" priority="1231">
      <dataBar>
        <cfvo type="num" val="0"/>
        <cfvo type="num" val="1"/>
        <color theme="4" tint="0.79998168889431442"/>
      </dataBar>
      <extLst>
        <ext xmlns:x14="http://schemas.microsoft.com/office/spreadsheetml/2009/9/main" uri="{B025F937-C7B1-47D3-B67F-A62EFF666E3E}">
          <x14:id>{34949D6B-AA19-4DE7-89AE-8A7497DCCAD7}</x14:id>
        </ext>
      </extLst>
    </cfRule>
  </conditionalFormatting>
  <conditionalFormatting sqref="AE444">
    <cfRule type="iconSet" priority="4261">
      <iconSet iconSet="3Arrows">
        <cfvo type="percent" val="0"/>
        <cfvo type="num" val="0.7"/>
        <cfvo type="num" val="1"/>
      </iconSet>
    </cfRule>
    <cfRule type="dataBar" priority="4262">
      <dataBar>
        <cfvo type="num" val="0"/>
        <cfvo type="num" val="1"/>
        <color theme="4" tint="0.79998168889431442"/>
      </dataBar>
      <extLst>
        <ext xmlns:x14="http://schemas.microsoft.com/office/spreadsheetml/2009/9/main" uri="{B025F937-C7B1-47D3-B67F-A62EFF666E3E}">
          <x14:id>{8CF877C4-2142-4413-8430-EC99B242C7F7}</x14:id>
        </ext>
      </extLst>
    </cfRule>
  </conditionalFormatting>
  <conditionalFormatting sqref="AE446">
    <cfRule type="iconSet" priority="1216">
      <iconSet iconSet="3Arrows">
        <cfvo type="percent" val="0"/>
        <cfvo type="num" val="0.7"/>
        <cfvo type="num" val="1"/>
      </iconSet>
    </cfRule>
    <cfRule type="dataBar" priority="1217">
      <dataBar>
        <cfvo type="num" val="0"/>
        <cfvo type="num" val="1"/>
        <color theme="4" tint="0.79998168889431442"/>
      </dataBar>
      <extLst>
        <ext xmlns:x14="http://schemas.microsoft.com/office/spreadsheetml/2009/9/main" uri="{B025F937-C7B1-47D3-B67F-A62EFF666E3E}">
          <x14:id>{D4CA60F0-E41C-4A27-AD16-CD3F0367F55C}</x14:id>
        </ext>
      </extLst>
    </cfRule>
  </conditionalFormatting>
  <conditionalFormatting sqref="AE448">
    <cfRule type="iconSet" priority="4259">
      <iconSet iconSet="3Arrows">
        <cfvo type="percent" val="0"/>
        <cfvo type="num" val="0.7"/>
        <cfvo type="num" val="1"/>
      </iconSet>
    </cfRule>
    <cfRule type="dataBar" priority="4260">
      <dataBar>
        <cfvo type="num" val="0"/>
        <cfvo type="num" val="1"/>
        <color theme="4" tint="0.79998168889431442"/>
      </dataBar>
      <extLst>
        <ext xmlns:x14="http://schemas.microsoft.com/office/spreadsheetml/2009/9/main" uri="{B025F937-C7B1-47D3-B67F-A62EFF666E3E}">
          <x14:id>{7B802179-CE75-418B-91D2-30ADD32F8AAB}</x14:id>
        </ext>
      </extLst>
    </cfRule>
  </conditionalFormatting>
  <conditionalFormatting sqref="AE450">
    <cfRule type="iconSet" priority="4257">
      <iconSet iconSet="3Arrows">
        <cfvo type="percent" val="0"/>
        <cfvo type="num" val="0.7"/>
        <cfvo type="num" val="1"/>
      </iconSet>
    </cfRule>
    <cfRule type="dataBar" priority="4258">
      <dataBar>
        <cfvo type="num" val="0"/>
        <cfvo type="num" val="1"/>
        <color theme="4" tint="0.79998168889431442"/>
      </dataBar>
      <extLst>
        <ext xmlns:x14="http://schemas.microsoft.com/office/spreadsheetml/2009/9/main" uri="{B025F937-C7B1-47D3-B67F-A62EFF666E3E}">
          <x14:id>{6F36C0AD-54FD-4CC0-AEC2-7703487FCC67}</x14:id>
        </ext>
      </extLst>
    </cfRule>
  </conditionalFormatting>
  <conditionalFormatting sqref="AE452">
    <cfRule type="iconSet" priority="4255">
      <iconSet iconSet="3Arrows">
        <cfvo type="percent" val="0"/>
        <cfvo type="num" val="0.7"/>
        <cfvo type="num" val="1"/>
      </iconSet>
    </cfRule>
    <cfRule type="dataBar" priority="4256">
      <dataBar>
        <cfvo type="num" val="0"/>
        <cfvo type="num" val="1"/>
        <color theme="4" tint="0.79998168889431442"/>
      </dataBar>
      <extLst>
        <ext xmlns:x14="http://schemas.microsoft.com/office/spreadsheetml/2009/9/main" uri="{B025F937-C7B1-47D3-B67F-A62EFF666E3E}">
          <x14:id>{EE832414-A6BB-42E9-A2FC-327EA16FEC81}</x14:id>
        </ext>
      </extLst>
    </cfRule>
  </conditionalFormatting>
  <conditionalFormatting sqref="AE454">
    <cfRule type="iconSet" priority="4253">
      <iconSet iconSet="3Arrows">
        <cfvo type="percent" val="0"/>
        <cfvo type="num" val="0.7"/>
        <cfvo type="num" val="1"/>
      </iconSet>
    </cfRule>
    <cfRule type="dataBar" priority="4254">
      <dataBar>
        <cfvo type="num" val="0"/>
        <cfvo type="num" val="1"/>
        <color theme="4" tint="0.79998168889431442"/>
      </dataBar>
      <extLst>
        <ext xmlns:x14="http://schemas.microsoft.com/office/spreadsheetml/2009/9/main" uri="{B025F937-C7B1-47D3-B67F-A62EFF666E3E}">
          <x14:id>{4D97E99B-1628-47AF-8ACF-653AE0B07DFA}</x14:id>
        </ext>
      </extLst>
    </cfRule>
  </conditionalFormatting>
  <conditionalFormatting sqref="AE456">
    <cfRule type="iconSet" priority="4251">
      <iconSet iconSet="3Arrows">
        <cfvo type="percent" val="0"/>
        <cfvo type="num" val="0.7"/>
        <cfvo type="num" val="1"/>
      </iconSet>
    </cfRule>
    <cfRule type="dataBar" priority="4252">
      <dataBar>
        <cfvo type="num" val="0"/>
        <cfvo type="num" val="1"/>
        <color theme="4" tint="0.79998168889431442"/>
      </dataBar>
      <extLst>
        <ext xmlns:x14="http://schemas.microsoft.com/office/spreadsheetml/2009/9/main" uri="{B025F937-C7B1-47D3-B67F-A62EFF666E3E}">
          <x14:id>{3F948650-39B3-4C98-983D-0F0E326C8E95}</x14:id>
        </ext>
      </extLst>
    </cfRule>
  </conditionalFormatting>
  <conditionalFormatting sqref="AE458">
    <cfRule type="iconSet" priority="4249">
      <iconSet iconSet="3Arrows">
        <cfvo type="percent" val="0"/>
        <cfvo type="num" val="0.7"/>
        <cfvo type="num" val="1"/>
      </iconSet>
    </cfRule>
    <cfRule type="dataBar" priority="4250">
      <dataBar>
        <cfvo type="num" val="0"/>
        <cfvo type="num" val="1"/>
        <color theme="4" tint="0.79998168889431442"/>
      </dataBar>
      <extLst>
        <ext xmlns:x14="http://schemas.microsoft.com/office/spreadsheetml/2009/9/main" uri="{B025F937-C7B1-47D3-B67F-A62EFF666E3E}">
          <x14:id>{81C6A9D2-7068-482C-9B06-12497827292B}</x14:id>
        </ext>
      </extLst>
    </cfRule>
  </conditionalFormatting>
  <conditionalFormatting sqref="AE460">
    <cfRule type="iconSet" priority="2538">
      <iconSet iconSet="3Arrows">
        <cfvo type="percent" val="0"/>
        <cfvo type="num" val="0.7"/>
        <cfvo type="num" val="1"/>
      </iconSet>
    </cfRule>
    <cfRule type="dataBar" priority="2539">
      <dataBar>
        <cfvo type="num" val="0"/>
        <cfvo type="num" val="1"/>
        <color theme="4" tint="0.79998168889431442"/>
      </dataBar>
      <extLst>
        <ext xmlns:x14="http://schemas.microsoft.com/office/spreadsheetml/2009/9/main" uri="{B025F937-C7B1-47D3-B67F-A62EFF666E3E}">
          <x14:id>{A60144B0-5EA1-49C6-B2B8-845F6FCE8390}</x14:id>
        </ext>
      </extLst>
    </cfRule>
  </conditionalFormatting>
  <conditionalFormatting sqref="AE462">
    <cfRule type="iconSet" priority="4247">
      <iconSet iconSet="3Arrows">
        <cfvo type="percent" val="0"/>
        <cfvo type="num" val="0.7"/>
        <cfvo type="num" val="1"/>
      </iconSet>
    </cfRule>
    <cfRule type="dataBar" priority="4248">
      <dataBar>
        <cfvo type="num" val="0"/>
        <cfvo type="num" val="1"/>
        <color theme="4" tint="0.79998168889431442"/>
      </dataBar>
      <extLst>
        <ext xmlns:x14="http://schemas.microsoft.com/office/spreadsheetml/2009/9/main" uri="{B025F937-C7B1-47D3-B67F-A62EFF666E3E}">
          <x14:id>{DB338703-4611-4A17-8CBB-4BE041CD83A5}</x14:id>
        </ext>
      </extLst>
    </cfRule>
  </conditionalFormatting>
  <conditionalFormatting sqref="AE464">
    <cfRule type="iconSet" priority="4243">
      <iconSet iconSet="3Arrows">
        <cfvo type="percent" val="0"/>
        <cfvo type="num" val="0.7"/>
        <cfvo type="num" val="1"/>
      </iconSet>
    </cfRule>
    <cfRule type="dataBar" priority="4244">
      <dataBar>
        <cfvo type="num" val="0"/>
        <cfvo type="num" val="1"/>
        <color theme="4" tint="0.79998168889431442"/>
      </dataBar>
      <extLst>
        <ext xmlns:x14="http://schemas.microsoft.com/office/spreadsheetml/2009/9/main" uri="{B025F937-C7B1-47D3-B67F-A62EFF666E3E}">
          <x14:id>{D99D776A-5ECF-4D44-A254-9BFEB0BC0311}</x14:id>
        </ext>
      </extLst>
    </cfRule>
  </conditionalFormatting>
  <conditionalFormatting sqref="AE466">
    <cfRule type="iconSet" priority="3289">
      <iconSet iconSet="3Arrows">
        <cfvo type="percent" val="0"/>
        <cfvo type="num" val="0.7"/>
        <cfvo type="num" val="1"/>
      </iconSet>
    </cfRule>
    <cfRule type="dataBar" priority="3290">
      <dataBar>
        <cfvo type="num" val="0"/>
        <cfvo type="num" val="1"/>
        <color theme="4" tint="0.79998168889431442"/>
      </dataBar>
      <extLst>
        <ext xmlns:x14="http://schemas.microsoft.com/office/spreadsheetml/2009/9/main" uri="{B025F937-C7B1-47D3-B67F-A62EFF666E3E}">
          <x14:id>{167544FE-5743-4630-8361-BD7442DB8A29}</x14:id>
        </ext>
      </extLst>
    </cfRule>
  </conditionalFormatting>
  <conditionalFormatting sqref="AE468">
    <cfRule type="iconSet" priority="3275">
      <iconSet iconSet="3Arrows">
        <cfvo type="percent" val="0"/>
        <cfvo type="num" val="0.7"/>
        <cfvo type="num" val="1"/>
      </iconSet>
    </cfRule>
    <cfRule type="dataBar" priority="3276">
      <dataBar>
        <cfvo type="num" val="0"/>
        <cfvo type="num" val="1"/>
        <color theme="4" tint="0.79998168889431442"/>
      </dataBar>
      <extLst>
        <ext xmlns:x14="http://schemas.microsoft.com/office/spreadsheetml/2009/9/main" uri="{B025F937-C7B1-47D3-B67F-A62EFF666E3E}">
          <x14:id>{3DE4269F-2BA2-4D3D-B49D-5F28241B312E}</x14:id>
        </ext>
      </extLst>
    </cfRule>
  </conditionalFormatting>
  <conditionalFormatting sqref="AE470">
    <cfRule type="iconSet" priority="4245">
      <iconSet iconSet="3Arrows">
        <cfvo type="percent" val="0"/>
        <cfvo type="num" val="0.7"/>
        <cfvo type="num" val="1"/>
      </iconSet>
    </cfRule>
    <cfRule type="dataBar" priority="4246">
      <dataBar>
        <cfvo type="num" val="0"/>
        <cfvo type="num" val="1"/>
        <color theme="4" tint="0.79998168889431442"/>
      </dataBar>
      <extLst>
        <ext xmlns:x14="http://schemas.microsoft.com/office/spreadsheetml/2009/9/main" uri="{B025F937-C7B1-47D3-B67F-A62EFF666E3E}">
          <x14:id>{FCE92817-A7CC-4BC4-84BE-EB775A0EB3A1}</x14:id>
        </ext>
      </extLst>
    </cfRule>
  </conditionalFormatting>
  <conditionalFormatting sqref="AE472">
    <cfRule type="iconSet" priority="4241">
      <iconSet iconSet="3Arrows">
        <cfvo type="percent" val="0"/>
        <cfvo type="num" val="0.7"/>
        <cfvo type="num" val="1"/>
      </iconSet>
    </cfRule>
    <cfRule type="dataBar" priority="4242">
      <dataBar>
        <cfvo type="num" val="0"/>
        <cfvo type="num" val="1"/>
        <color theme="4" tint="0.79998168889431442"/>
      </dataBar>
      <extLst>
        <ext xmlns:x14="http://schemas.microsoft.com/office/spreadsheetml/2009/9/main" uri="{B025F937-C7B1-47D3-B67F-A62EFF666E3E}">
          <x14:id>{55D66304-A1C1-4D03-89CB-AF11E0267DFE}</x14:id>
        </ext>
      </extLst>
    </cfRule>
  </conditionalFormatting>
  <conditionalFormatting sqref="AE474">
    <cfRule type="iconSet" priority="4239">
      <iconSet iconSet="3Arrows">
        <cfvo type="percent" val="0"/>
        <cfvo type="num" val="0.7"/>
        <cfvo type="num" val="1"/>
      </iconSet>
    </cfRule>
    <cfRule type="dataBar" priority="4240">
      <dataBar>
        <cfvo type="num" val="0"/>
        <cfvo type="num" val="1"/>
        <color theme="4" tint="0.79998168889431442"/>
      </dataBar>
      <extLst>
        <ext xmlns:x14="http://schemas.microsoft.com/office/spreadsheetml/2009/9/main" uri="{B025F937-C7B1-47D3-B67F-A62EFF666E3E}">
          <x14:id>{8B6F3E92-3FAE-49F6-8284-05006A409ADA}</x14:id>
        </ext>
      </extLst>
    </cfRule>
  </conditionalFormatting>
  <conditionalFormatting sqref="AE476">
    <cfRule type="iconSet" priority="4152">
      <iconSet iconSet="3Arrows">
        <cfvo type="percent" val="0"/>
        <cfvo type="num" val="0.7"/>
        <cfvo type="num" val="1"/>
      </iconSet>
    </cfRule>
    <cfRule type="dataBar" priority="4153">
      <dataBar>
        <cfvo type="num" val="0"/>
        <cfvo type="num" val="1"/>
        <color theme="4" tint="0.79998168889431442"/>
      </dataBar>
      <extLst>
        <ext xmlns:x14="http://schemas.microsoft.com/office/spreadsheetml/2009/9/main" uri="{B025F937-C7B1-47D3-B67F-A62EFF666E3E}">
          <x14:id>{5DFB8CF9-B98B-47D2-98C4-26D5F5679188}</x14:id>
        </ext>
      </extLst>
    </cfRule>
  </conditionalFormatting>
  <conditionalFormatting sqref="AE478">
    <cfRule type="iconSet" priority="3454">
      <iconSet iconSet="3Arrows">
        <cfvo type="percent" val="0"/>
        <cfvo type="num" val="0.7"/>
        <cfvo type="num" val="1"/>
      </iconSet>
    </cfRule>
    <cfRule type="dataBar" priority="3455">
      <dataBar>
        <cfvo type="num" val="0"/>
        <cfvo type="num" val="1"/>
        <color theme="4" tint="0.79998168889431442"/>
      </dataBar>
      <extLst>
        <ext xmlns:x14="http://schemas.microsoft.com/office/spreadsheetml/2009/9/main" uri="{B025F937-C7B1-47D3-B67F-A62EFF666E3E}">
          <x14:id>{8655F8E2-A87B-4876-B8E9-BB6BA9F70AD4}</x14:id>
        </ext>
      </extLst>
    </cfRule>
  </conditionalFormatting>
  <conditionalFormatting sqref="AE480">
    <cfRule type="iconSet" priority="2995">
      <iconSet iconSet="3Arrows">
        <cfvo type="percent" val="0"/>
        <cfvo type="num" val="0.7"/>
        <cfvo type="num" val="1"/>
      </iconSet>
    </cfRule>
    <cfRule type="dataBar" priority="2996">
      <dataBar>
        <cfvo type="num" val="0"/>
        <cfvo type="num" val="1"/>
        <color theme="4" tint="0.79998168889431442"/>
      </dataBar>
      <extLst>
        <ext xmlns:x14="http://schemas.microsoft.com/office/spreadsheetml/2009/9/main" uri="{B025F937-C7B1-47D3-B67F-A62EFF666E3E}">
          <x14:id>{BCF8DA57-AB53-4282-9BB0-D96FBCE30326}</x14:id>
        </ext>
      </extLst>
    </cfRule>
  </conditionalFormatting>
  <conditionalFormatting sqref="AE482">
    <cfRule type="iconSet" priority="2981">
      <iconSet iconSet="3Arrows">
        <cfvo type="percent" val="0"/>
        <cfvo type="num" val="0.7"/>
        <cfvo type="num" val="1"/>
      </iconSet>
    </cfRule>
    <cfRule type="dataBar" priority="2982">
      <dataBar>
        <cfvo type="num" val="0"/>
        <cfvo type="num" val="1"/>
        <color theme="4" tint="0.79998168889431442"/>
      </dataBar>
      <extLst>
        <ext xmlns:x14="http://schemas.microsoft.com/office/spreadsheetml/2009/9/main" uri="{B025F937-C7B1-47D3-B67F-A62EFF666E3E}">
          <x14:id>{D8466C44-1838-439F-A638-5D4DF2B9D0EF}</x14:id>
        </ext>
      </extLst>
    </cfRule>
  </conditionalFormatting>
  <conditionalFormatting sqref="AE484">
    <cfRule type="iconSet" priority="2204">
      <iconSet iconSet="3Arrows">
        <cfvo type="percent" val="0"/>
        <cfvo type="num" val="0.7"/>
        <cfvo type="num" val="1"/>
      </iconSet>
    </cfRule>
    <cfRule type="dataBar" priority="2205">
      <dataBar>
        <cfvo type="num" val="0"/>
        <cfvo type="num" val="1"/>
        <color theme="4" tint="0.79998168889431442"/>
      </dataBar>
      <extLst>
        <ext xmlns:x14="http://schemas.microsoft.com/office/spreadsheetml/2009/9/main" uri="{B025F937-C7B1-47D3-B67F-A62EFF666E3E}">
          <x14:id>{1C207683-8F06-4885-9953-AF353FFF3146}</x14:id>
        </ext>
      </extLst>
    </cfRule>
  </conditionalFormatting>
  <conditionalFormatting sqref="AE486">
    <cfRule type="iconSet" priority="4237">
      <iconSet iconSet="3Arrows">
        <cfvo type="percent" val="0"/>
        <cfvo type="num" val="0.7"/>
        <cfvo type="num" val="1"/>
      </iconSet>
    </cfRule>
    <cfRule type="dataBar" priority="4238">
      <dataBar>
        <cfvo type="num" val="0"/>
        <cfvo type="num" val="1"/>
        <color theme="4" tint="0.79998168889431442"/>
      </dataBar>
      <extLst>
        <ext xmlns:x14="http://schemas.microsoft.com/office/spreadsheetml/2009/9/main" uri="{B025F937-C7B1-47D3-B67F-A62EFF666E3E}">
          <x14:id>{B885512E-0D50-48E8-AC43-6E488E99AE78}</x14:id>
        </ext>
      </extLst>
    </cfRule>
  </conditionalFormatting>
  <conditionalFormatting sqref="AE488">
    <cfRule type="iconSet" priority="2078">
      <iconSet iconSet="3Arrows">
        <cfvo type="percent" val="0"/>
        <cfvo type="num" val="0.7"/>
        <cfvo type="num" val="1"/>
      </iconSet>
    </cfRule>
    <cfRule type="dataBar" priority="2079">
      <dataBar>
        <cfvo type="num" val="0"/>
        <cfvo type="num" val="1"/>
        <color theme="4" tint="0.79998168889431442"/>
      </dataBar>
      <extLst>
        <ext xmlns:x14="http://schemas.microsoft.com/office/spreadsheetml/2009/9/main" uri="{B025F937-C7B1-47D3-B67F-A62EFF666E3E}">
          <x14:id>{61178C20-419D-4D90-80B7-B169D04852E6}</x14:id>
        </ext>
      </extLst>
    </cfRule>
  </conditionalFormatting>
  <conditionalFormatting sqref="AE490">
    <cfRule type="iconSet" priority="2091">
      <iconSet iconSet="3Arrows">
        <cfvo type="percent" val="0"/>
        <cfvo type="num" val="0.7"/>
        <cfvo type="num" val="1"/>
      </iconSet>
    </cfRule>
    <cfRule type="dataBar" priority="2092">
      <dataBar>
        <cfvo type="num" val="0"/>
        <cfvo type="num" val="1"/>
        <color theme="4" tint="0.79998168889431442"/>
      </dataBar>
      <extLst>
        <ext xmlns:x14="http://schemas.microsoft.com/office/spreadsheetml/2009/9/main" uri="{B025F937-C7B1-47D3-B67F-A62EFF666E3E}">
          <x14:id>{1A6E2699-6B1E-4BC5-BFCB-A168F2F6D6D5}</x14:id>
        </ext>
      </extLst>
    </cfRule>
  </conditionalFormatting>
  <conditionalFormatting sqref="AE492">
    <cfRule type="iconSet" priority="2089">
      <iconSet iconSet="3Arrows">
        <cfvo type="percent" val="0"/>
        <cfvo type="num" val="0.7"/>
        <cfvo type="num" val="1"/>
      </iconSet>
    </cfRule>
    <cfRule type="dataBar" priority="2090">
      <dataBar>
        <cfvo type="num" val="0"/>
        <cfvo type="num" val="1"/>
        <color theme="4" tint="0.79998168889431442"/>
      </dataBar>
      <extLst>
        <ext xmlns:x14="http://schemas.microsoft.com/office/spreadsheetml/2009/9/main" uri="{B025F937-C7B1-47D3-B67F-A62EFF666E3E}">
          <x14:id>{F48CAC3C-5FD2-4C78-BC04-99240A209189}</x14:id>
        </ext>
      </extLst>
    </cfRule>
  </conditionalFormatting>
  <conditionalFormatting sqref="AE494">
    <cfRule type="iconSet" priority="2087">
      <iconSet iconSet="3Arrows">
        <cfvo type="percent" val="0"/>
        <cfvo type="num" val="0.7"/>
        <cfvo type="num" val="1"/>
      </iconSet>
    </cfRule>
    <cfRule type="dataBar" priority="2088">
      <dataBar>
        <cfvo type="num" val="0"/>
        <cfvo type="num" val="1"/>
        <color theme="4" tint="0.79998168889431442"/>
      </dataBar>
      <extLst>
        <ext xmlns:x14="http://schemas.microsoft.com/office/spreadsheetml/2009/9/main" uri="{B025F937-C7B1-47D3-B67F-A62EFF666E3E}">
          <x14:id>{A655A5FA-8A4A-4043-9C83-ADBDBF6B59BD}</x14:id>
        </ext>
      </extLst>
    </cfRule>
  </conditionalFormatting>
  <conditionalFormatting sqref="AE496">
    <cfRule type="iconSet" priority="2085">
      <iconSet iconSet="3Arrows">
        <cfvo type="percent" val="0"/>
        <cfvo type="num" val="0.7"/>
        <cfvo type="num" val="1"/>
      </iconSet>
    </cfRule>
    <cfRule type="dataBar" priority="2086">
      <dataBar>
        <cfvo type="num" val="0"/>
        <cfvo type="num" val="1"/>
        <color theme="4" tint="0.79998168889431442"/>
      </dataBar>
      <extLst>
        <ext xmlns:x14="http://schemas.microsoft.com/office/spreadsheetml/2009/9/main" uri="{B025F937-C7B1-47D3-B67F-A62EFF666E3E}">
          <x14:id>{625BD5D6-CB8F-4033-A2EE-B55D88F0D1BB}</x14:id>
        </ext>
      </extLst>
    </cfRule>
  </conditionalFormatting>
  <conditionalFormatting sqref="AE498">
    <cfRule type="iconSet" priority="2083">
      <iconSet iconSet="3Arrows">
        <cfvo type="percent" val="0"/>
        <cfvo type="num" val="0.7"/>
        <cfvo type="num" val="1"/>
      </iconSet>
    </cfRule>
    <cfRule type="dataBar" priority="2084">
      <dataBar>
        <cfvo type="num" val="0"/>
        <cfvo type="num" val="1"/>
        <color theme="4" tint="0.79998168889431442"/>
      </dataBar>
      <extLst>
        <ext xmlns:x14="http://schemas.microsoft.com/office/spreadsheetml/2009/9/main" uri="{B025F937-C7B1-47D3-B67F-A62EFF666E3E}">
          <x14:id>{20D64870-38CC-4875-A3D7-FB6600C1751C}</x14:id>
        </ext>
      </extLst>
    </cfRule>
  </conditionalFormatting>
  <conditionalFormatting sqref="AE500">
    <cfRule type="iconSet" priority="2081">
      <iconSet iconSet="3Arrows">
        <cfvo type="percent" val="0"/>
        <cfvo type="num" val="0.7"/>
        <cfvo type="num" val="1"/>
      </iconSet>
    </cfRule>
    <cfRule type="dataBar" priority="2082">
      <dataBar>
        <cfvo type="num" val="0"/>
        <cfvo type="num" val="1"/>
        <color theme="4" tint="0.79998168889431442"/>
      </dataBar>
      <extLst>
        <ext xmlns:x14="http://schemas.microsoft.com/office/spreadsheetml/2009/9/main" uri="{B025F937-C7B1-47D3-B67F-A62EFF666E3E}">
          <x14:id>{BE2F74F1-22AF-4941-A85C-20EB53731A7F}</x14:id>
        </ext>
      </extLst>
    </cfRule>
  </conditionalFormatting>
  <conditionalFormatting sqref="AE502">
    <cfRule type="iconSet" priority="1587">
      <iconSet iconSet="3Arrows">
        <cfvo type="percent" val="0"/>
        <cfvo type="num" val="0.7"/>
        <cfvo type="num" val="1"/>
      </iconSet>
    </cfRule>
    <cfRule type="dataBar" priority="1588">
      <dataBar>
        <cfvo type="num" val="0"/>
        <cfvo type="num" val="1"/>
        <color theme="4" tint="0.79998168889431442"/>
      </dataBar>
      <extLst>
        <ext xmlns:x14="http://schemas.microsoft.com/office/spreadsheetml/2009/9/main" uri="{B025F937-C7B1-47D3-B67F-A62EFF666E3E}">
          <x14:id>{9D7B563A-9C59-44F4-AE86-330BCA20D008}</x14:id>
        </ext>
      </extLst>
    </cfRule>
  </conditionalFormatting>
  <conditionalFormatting sqref="AE504">
    <cfRule type="iconSet" priority="1599">
      <iconSet iconSet="3Arrows">
        <cfvo type="percent" val="0"/>
        <cfvo type="num" val="0.7"/>
        <cfvo type="num" val="1"/>
      </iconSet>
    </cfRule>
    <cfRule type="dataBar" priority="1600">
      <dataBar>
        <cfvo type="num" val="0"/>
        <cfvo type="num" val="1"/>
        <color theme="4" tint="0.79998168889431442"/>
      </dataBar>
      <extLst>
        <ext xmlns:x14="http://schemas.microsoft.com/office/spreadsheetml/2009/9/main" uri="{B025F937-C7B1-47D3-B67F-A62EFF666E3E}">
          <x14:id>{4FB67B06-E9F4-423B-AEE7-8D9D633505F4}</x14:id>
        </ext>
      </extLst>
    </cfRule>
  </conditionalFormatting>
  <conditionalFormatting sqref="AE506">
    <cfRule type="iconSet" priority="1597">
      <iconSet iconSet="3Arrows">
        <cfvo type="percent" val="0"/>
        <cfvo type="num" val="0.7"/>
        <cfvo type="num" val="1"/>
      </iconSet>
    </cfRule>
    <cfRule type="dataBar" priority="1598">
      <dataBar>
        <cfvo type="num" val="0"/>
        <cfvo type="num" val="1"/>
        <color theme="4" tint="0.79998168889431442"/>
      </dataBar>
      <extLst>
        <ext xmlns:x14="http://schemas.microsoft.com/office/spreadsheetml/2009/9/main" uri="{B025F937-C7B1-47D3-B67F-A62EFF666E3E}">
          <x14:id>{B19FBC49-A523-4164-B476-2C5AAE9CCE34}</x14:id>
        </ext>
      </extLst>
    </cfRule>
  </conditionalFormatting>
  <conditionalFormatting sqref="AE508">
    <cfRule type="iconSet" priority="1595">
      <iconSet iconSet="3Arrows">
        <cfvo type="percent" val="0"/>
        <cfvo type="num" val="0.7"/>
        <cfvo type="num" val="1"/>
      </iconSet>
    </cfRule>
    <cfRule type="dataBar" priority="1596">
      <dataBar>
        <cfvo type="num" val="0"/>
        <cfvo type="num" val="1"/>
        <color theme="4" tint="0.79998168889431442"/>
      </dataBar>
      <extLst>
        <ext xmlns:x14="http://schemas.microsoft.com/office/spreadsheetml/2009/9/main" uri="{B025F937-C7B1-47D3-B67F-A62EFF666E3E}">
          <x14:id>{3C8A88FD-01A7-4F7C-9EB4-D2C72843A164}</x14:id>
        </ext>
      </extLst>
    </cfRule>
  </conditionalFormatting>
  <conditionalFormatting sqref="AE510">
    <cfRule type="iconSet" priority="99">
      <iconSet iconSet="3Arrows">
        <cfvo type="percent" val="0"/>
        <cfvo type="num" val="0.7"/>
        <cfvo type="num" val="1"/>
      </iconSet>
    </cfRule>
    <cfRule type="dataBar" priority="100">
      <dataBar>
        <cfvo type="num" val="0"/>
        <cfvo type="num" val="1"/>
        <color theme="4" tint="0.79998168889431442"/>
      </dataBar>
      <extLst>
        <ext xmlns:x14="http://schemas.microsoft.com/office/spreadsheetml/2009/9/main" uri="{B025F937-C7B1-47D3-B67F-A62EFF666E3E}">
          <x14:id>{3176FCC2-A8DB-42C7-AD97-CD1E3AD406D9}</x14:id>
        </ext>
      </extLst>
    </cfRule>
  </conditionalFormatting>
  <conditionalFormatting sqref="AE512">
    <cfRule type="iconSet" priority="1593">
      <iconSet iconSet="3Arrows">
        <cfvo type="percent" val="0"/>
        <cfvo type="num" val="0.7"/>
        <cfvo type="num" val="1"/>
      </iconSet>
    </cfRule>
    <cfRule type="dataBar" priority="1594">
      <dataBar>
        <cfvo type="num" val="0"/>
        <cfvo type="num" val="1"/>
        <color theme="4" tint="0.79998168889431442"/>
      </dataBar>
      <extLst>
        <ext xmlns:x14="http://schemas.microsoft.com/office/spreadsheetml/2009/9/main" uri="{B025F937-C7B1-47D3-B67F-A62EFF666E3E}">
          <x14:id>{B030DB55-D67A-4FD0-9AE4-5A83B51CF75B}</x14:id>
        </ext>
      </extLst>
    </cfRule>
  </conditionalFormatting>
  <conditionalFormatting sqref="AE514">
    <cfRule type="iconSet" priority="83">
      <iconSet iconSet="3Arrows">
        <cfvo type="percent" val="0"/>
        <cfvo type="num" val="0.7"/>
        <cfvo type="num" val="1"/>
      </iconSet>
    </cfRule>
    <cfRule type="dataBar" priority="84">
      <dataBar>
        <cfvo type="num" val="0"/>
        <cfvo type="num" val="1"/>
        <color theme="4" tint="0.79998168889431442"/>
      </dataBar>
      <extLst>
        <ext xmlns:x14="http://schemas.microsoft.com/office/spreadsheetml/2009/9/main" uri="{B025F937-C7B1-47D3-B67F-A62EFF666E3E}">
          <x14:id>{02642E96-0261-4F19-9A92-1561E2DE3986}</x14:id>
        </ext>
      </extLst>
    </cfRule>
  </conditionalFormatting>
  <conditionalFormatting sqref="AE516">
    <cfRule type="iconSet" priority="279">
      <iconSet iconSet="3Arrows">
        <cfvo type="percent" val="0"/>
        <cfvo type="num" val="0.7"/>
        <cfvo type="num" val="1"/>
      </iconSet>
    </cfRule>
    <cfRule type="dataBar" priority="280">
      <dataBar>
        <cfvo type="num" val="0"/>
        <cfvo type="num" val="1"/>
        <color theme="4" tint="0.79998168889431442"/>
      </dataBar>
      <extLst>
        <ext xmlns:x14="http://schemas.microsoft.com/office/spreadsheetml/2009/9/main" uri="{B025F937-C7B1-47D3-B67F-A62EFF666E3E}">
          <x14:id>{5F20C780-6559-4DDF-9CCE-56016605EF52}</x14:id>
        </ext>
      </extLst>
    </cfRule>
  </conditionalFormatting>
  <conditionalFormatting sqref="AE518">
    <cfRule type="iconSet" priority="263">
      <iconSet iconSet="3Arrows">
        <cfvo type="percent" val="0"/>
        <cfvo type="num" val="0.7"/>
        <cfvo type="num" val="1"/>
      </iconSet>
    </cfRule>
    <cfRule type="dataBar" priority="264">
      <dataBar>
        <cfvo type="num" val="0"/>
        <cfvo type="num" val="1"/>
        <color theme="4" tint="0.79998168889431442"/>
      </dataBar>
      <extLst>
        <ext xmlns:x14="http://schemas.microsoft.com/office/spreadsheetml/2009/9/main" uri="{B025F937-C7B1-47D3-B67F-A62EFF666E3E}">
          <x14:id>{92158C21-694C-4404-AC76-69252F824AC8}</x14:id>
        </ext>
      </extLst>
    </cfRule>
  </conditionalFormatting>
  <conditionalFormatting sqref="AE520">
    <cfRule type="iconSet" priority="1591">
      <iconSet iconSet="3Arrows">
        <cfvo type="percent" val="0"/>
        <cfvo type="num" val="0.7"/>
        <cfvo type="num" val="1"/>
      </iconSet>
    </cfRule>
    <cfRule type="dataBar" priority="1592">
      <dataBar>
        <cfvo type="num" val="0"/>
        <cfvo type="num" val="1"/>
        <color theme="4" tint="0.79998168889431442"/>
      </dataBar>
      <extLst>
        <ext xmlns:x14="http://schemas.microsoft.com/office/spreadsheetml/2009/9/main" uri="{B025F937-C7B1-47D3-B67F-A62EFF666E3E}">
          <x14:id>{711AC146-985B-4E88-A257-9C8A6DAE3E8D}</x14:id>
        </ext>
      </extLst>
    </cfRule>
  </conditionalFormatting>
  <conditionalFormatting sqref="AE522">
    <cfRule type="iconSet" priority="520">
      <iconSet iconSet="3Arrows">
        <cfvo type="percent" val="0"/>
        <cfvo type="num" val="0.7"/>
        <cfvo type="num" val="1"/>
      </iconSet>
    </cfRule>
    <cfRule type="dataBar" priority="521">
      <dataBar>
        <cfvo type="num" val="0"/>
        <cfvo type="num" val="1"/>
        <color theme="4" tint="0.79998168889431442"/>
      </dataBar>
      <extLst>
        <ext xmlns:x14="http://schemas.microsoft.com/office/spreadsheetml/2009/9/main" uri="{B025F937-C7B1-47D3-B67F-A62EFF666E3E}">
          <x14:id>{68DC36CC-A83D-4584-898F-BFDAE1E85DFA}</x14:id>
        </ext>
      </extLst>
    </cfRule>
  </conditionalFormatting>
  <conditionalFormatting sqref="AE524">
    <cfRule type="iconSet" priority="504">
      <iconSet iconSet="3Arrows">
        <cfvo type="percent" val="0"/>
        <cfvo type="num" val="0.7"/>
        <cfvo type="num" val="1"/>
      </iconSet>
    </cfRule>
    <cfRule type="dataBar" priority="505">
      <dataBar>
        <cfvo type="num" val="0"/>
        <cfvo type="num" val="1"/>
        <color theme="4" tint="0.79998168889431442"/>
      </dataBar>
      <extLst>
        <ext xmlns:x14="http://schemas.microsoft.com/office/spreadsheetml/2009/9/main" uri="{B025F937-C7B1-47D3-B67F-A62EFF666E3E}">
          <x14:id>{02574A93-34BC-42B0-8031-EAF7545EBECD}</x14:id>
        </ext>
      </extLst>
    </cfRule>
  </conditionalFormatting>
  <conditionalFormatting sqref="AE526">
    <cfRule type="iconSet" priority="295">
      <iconSet iconSet="3Arrows">
        <cfvo type="percent" val="0"/>
        <cfvo type="num" val="0.7"/>
        <cfvo type="num" val="1"/>
      </iconSet>
    </cfRule>
    <cfRule type="dataBar" priority="296">
      <dataBar>
        <cfvo type="num" val="0"/>
        <cfvo type="num" val="1"/>
        <color theme="4" tint="0.79998168889431442"/>
      </dataBar>
      <extLst>
        <ext xmlns:x14="http://schemas.microsoft.com/office/spreadsheetml/2009/9/main" uri="{B025F937-C7B1-47D3-B67F-A62EFF666E3E}">
          <x14:id>{5D94CA4C-D15C-4ED6-88DE-DC8B48609FAC}</x14:id>
        </ext>
      </extLst>
    </cfRule>
  </conditionalFormatting>
  <conditionalFormatting sqref="AE528">
    <cfRule type="iconSet" priority="1589">
      <iconSet iconSet="3Arrows">
        <cfvo type="percent" val="0"/>
        <cfvo type="num" val="0.7"/>
        <cfvo type="num" val="1"/>
      </iconSet>
    </cfRule>
    <cfRule type="dataBar" priority="1590">
      <dataBar>
        <cfvo type="num" val="0"/>
        <cfvo type="num" val="1"/>
        <color theme="4" tint="0.79998168889431442"/>
      </dataBar>
      <extLst>
        <ext xmlns:x14="http://schemas.microsoft.com/office/spreadsheetml/2009/9/main" uri="{B025F937-C7B1-47D3-B67F-A62EFF666E3E}">
          <x14:id>{64271B98-7B34-43E8-8692-D3EEE4F43695}</x14:id>
        </ext>
      </extLst>
    </cfRule>
  </conditionalFormatting>
  <conditionalFormatting sqref="AE530">
    <cfRule type="iconSet" priority="1678">
      <iconSet iconSet="3Arrows">
        <cfvo type="percent" val="0"/>
        <cfvo type="num" val="0.7"/>
        <cfvo type="num" val="1"/>
      </iconSet>
    </cfRule>
    <cfRule type="dataBar" priority="1679">
      <dataBar>
        <cfvo type="num" val="0"/>
        <cfvo type="num" val="1"/>
        <color theme="4" tint="0.79998168889431442"/>
      </dataBar>
      <extLst>
        <ext xmlns:x14="http://schemas.microsoft.com/office/spreadsheetml/2009/9/main" uri="{B025F937-C7B1-47D3-B67F-A62EFF666E3E}">
          <x14:id>{E79E0DC0-22B3-4D7E-ACBA-39B3FA5B1B5C}</x14:id>
        </ext>
      </extLst>
    </cfRule>
  </conditionalFormatting>
  <conditionalFormatting sqref="AE532">
    <cfRule type="iconSet" priority="1690">
      <iconSet iconSet="3Arrows">
        <cfvo type="percent" val="0"/>
        <cfvo type="num" val="0.7"/>
        <cfvo type="num" val="1"/>
      </iconSet>
    </cfRule>
    <cfRule type="dataBar" priority="1691">
      <dataBar>
        <cfvo type="num" val="0"/>
        <cfvo type="num" val="1"/>
        <color theme="4" tint="0.79998168889431442"/>
      </dataBar>
      <extLst>
        <ext xmlns:x14="http://schemas.microsoft.com/office/spreadsheetml/2009/9/main" uri="{B025F937-C7B1-47D3-B67F-A62EFF666E3E}">
          <x14:id>{8D2FC5F9-74C1-466C-872E-04F4F7FFA6E8}</x14:id>
        </ext>
      </extLst>
    </cfRule>
  </conditionalFormatting>
  <conditionalFormatting sqref="AE534">
    <cfRule type="iconSet" priority="246">
      <iconSet iconSet="3Arrows">
        <cfvo type="percent" val="0"/>
        <cfvo type="num" val="0.7"/>
        <cfvo type="num" val="1"/>
      </iconSet>
    </cfRule>
    <cfRule type="dataBar" priority="247">
      <dataBar>
        <cfvo type="num" val="0"/>
        <cfvo type="num" val="1"/>
        <color theme="4" tint="0.79998168889431442"/>
      </dataBar>
      <extLst>
        <ext xmlns:x14="http://schemas.microsoft.com/office/spreadsheetml/2009/9/main" uri="{B025F937-C7B1-47D3-B67F-A62EFF666E3E}">
          <x14:id>{A78E2D53-5881-4E6A-BB72-AE1E8C4408A3}</x14:id>
        </ext>
      </extLst>
    </cfRule>
  </conditionalFormatting>
  <conditionalFormatting sqref="AE536">
    <cfRule type="iconSet" priority="1688">
      <iconSet iconSet="3Arrows">
        <cfvo type="percent" val="0"/>
        <cfvo type="num" val="0.7"/>
        <cfvo type="num" val="1"/>
      </iconSet>
    </cfRule>
    <cfRule type="dataBar" priority="1689">
      <dataBar>
        <cfvo type="num" val="0"/>
        <cfvo type="num" val="1"/>
        <color theme="4" tint="0.79998168889431442"/>
      </dataBar>
      <extLst>
        <ext xmlns:x14="http://schemas.microsoft.com/office/spreadsheetml/2009/9/main" uri="{B025F937-C7B1-47D3-B67F-A62EFF666E3E}">
          <x14:id>{A76361C9-FC31-4C03-8E84-99B28276814D}</x14:id>
        </ext>
      </extLst>
    </cfRule>
  </conditionalFormatting>
  <conditionalFormatting sqref="AE538">
    <cfRule type="iconSet" priority="1686">
      <iconSet iconSet="3Arrows">
        <cfvo type="percent" val="0"/>
        <cfvo type="num" val="0.7"/>
        <cfvo type="num" val="1"/>
      </iconSet>
    </cfRule>
    <cfRule type="dataBar" priority="1687">
      <dataBar>
        <cfvo type="num" val="0"/>
        <cfvo type="num" val="1"/>
        <color theme="4" tint="0.79998168889431442"/>
      </dataBar>
      <extLst>
        <ext xmlns:x14="http://schemas.microsoft.com/office/spreadsheetml/2009/9/main" uri="{B025F937-C7B1-47D3-B67F-A62EFF666E3E}">
          <x14:id>{EADD5B14-93C3-4DF7-87A9-B989AC4FFF84}</x14:id>
        </ext>
      </extLst>
    </cfRule>
  </conditionalFormatting>
  <conditionalFormatting sqref="AE540">
    <cfRule type="iconSet" priority="488">
      <iconSet iconSet="3Arrows">
        <cfvo type="percent" val="0"/>
        <cfvo type="num" val="0.7"/>
        <cfvo type="num" val="1"/>
      </iconSet>
    </cfRule>
    <cfRule type="dataBar" priority="489">
      <dataBar>
        <cfvo type="num" val="0"/>
        <cfvo type="num" val="1"/>
        <color theme="4" tint="0.79998168889431442"/>
      </dataBar>
      <extLst>
        <ext xmlns:x14="http://schemas.microsoft.com/office/spreadsheetml/2009/9/main" uri="{B025F937-C7B1-47D3-B67F-A62EFF666E3E}">
          <x14:id>{230EA0F7-5974-4F0F-ABAA-D5CC34C1FB5B}</x14:id>
        </ext>
      </extLst>
    </cfRule>
  </conditionalFormatting>
  <conditionalFormatting sqref="AE542">
    <cfRule type="iconSet" priority="67">
      <iconSet iconSet="3Arrows">
        <cfvo type="percent" val="0"/>
        <cfvo type="num" val="0.7"/>
        <cfvo type="num" val="1"/>
      </iconSet>
    </cfRule>
    <cfRule type="dataBar" priority="68">
      <dataBar>
        <cfvo type="num" val="0"/>
        <cfvo type="num" val="1"/>
        <color theme="4" tint="0.79998168889431442"/>
      </dataBar>
      <extLst>
        <ext xmlns:x14="http://schemas.microsoft.com/office/spreadsheetml/2009/9/main" uri="{B025F937-C7B1-47D3-B67F-A62EFF666E3E}">
          <x14:id>{4B7A0645-BB31-4713-8B95-06A8B8947C38}</x14:id>
        </ext>
      </extLst>
    </cfRule>
  </conditionalFormatting>
  <conditionalFormatting sqref="AE544">
    <cfRule type="iconSet" priority="1684">
      <iconSet iconSet="3Arrows">
        <cfvo type="percent" val="0"/>
        <cfvo type="num" val="0.7"/>
        <cfvo type="num" val="1"/>
      </iconSet>
    </cfRule>
    <cfRule type="dataBar" priority="1685">
      <dataBar>
        <cfvo type="num" val="0"/>
        <cfvo type="num" val="1"/>
        <color theme="4" tint="0.79998168889431442"/>
      </dataBar>
      <extLst>
        <ext xmlns:x14="http://schemas.microsoft.com/office/spreadsheetml/2009/9/main" uri="{B025F937-C7B1-47D3-B67F-A62EFF666E3E}">
          <x14:id>{3E2AAE09-4433-4283-A855-8059A53F802E}</x14:id>
        </ext>
      </extLst>
    </cfRule>
  </conditionalFormatting>
  <conditionalFormatting sqref="AE546">
    <cfRule type="iconSet" priority="212">
      <iconSet iconSet="3Arrows">
        <cfvo type="percent" val="0"/>
        <cfvo type="num" val="0.7"/>
        <cfvo type="num" val="1"/>
      </iconSet>
    </cfRule>
    <cfRule type="dataBar" priority="213">
      <dataBar>
        <cfvo type="num" val="0"/>
        <cfvo type="num" val="1"/>
        <color theme="4" tint="0.79998168889431442"/>
      </dataBar>
      <extLst>
        <ext xmlns:x14="http://schemas.microsoft.com/office/spreadsheetml/2009/9/main" uri="{B025F937-C7B1-47D3-B67F-A62EFF666E3E}">
          <x14:id>{8D0E77F4-82F4-4F26-98A4-2A8B7F5F2992}</x14:id>
        </ext>
      </extLst>
    </cfRule>
  </conditionalFormatting>
  <conditionalFormatting sqref="AE548">
    <cfRule type="iconSet" priority="7">
      <iconSet iconSet="3Arrows">
        <cfvo type="percent" val="0"/>
        <cfvo type="num" val="0.7"/>
        <cfvo type="num" val="1"/>
      </iconSet>
    </cfRule>
    <cfRule type="dataBar" priority="8">
      <dataBar>
        <cfvo type="num" val="0"/>
        <cfvo type="num" val="1"/>
        <color theme="4" tint="0.79998168889431442"/>
      </dataBar>
      <extLst>
        <ext xmlns:x14="http://schemas.microsoft.com/office/spreadsheetml/2009/9/main" uri="{B025F937-C7B1-47D3-B67F-A62EFF666E3E}">
          <x14:id>{2C3376E2-15F0-4646-9C0C-841D72E203DC}</x14:id>
        </ext>
      </extLst>
    </cfRule>
  </conditionalFormatting>
  <conditionalFormatting sqref="AE550">
    <cfRule type="iconSet" priority="168">
      <iconSet iconSet="3Arrows">
        <cfvo type="percent" val="0"/>
        <cfvo type="num" val="0.7"/>
        <cfvo type="num" val="1"/>
      </iconSet>
    </cfRule>
    <cfRule type="dataBar" priority="169">
      <dataBar>
        <cfvo type="num" val="0"/>
        <cfvo type="num" val="1"/>
        <color theme="4" tint="0.79998168889431442"/>
      </dataBar>
      <extLst>
        <ext xmlns:x14="http://schemas.microsoft.com/office/spreadsheetml/2009/9/main" uri="{B025F937-C7B1-47D3-B67F-A62EFF666E3E}">
          <x14:id>{FD913F7B-B78D-4290-B421-3ECD891657B1}</x14:id>
        </ext>
      </extLst>
    </cfRule>
  </conditionalFormatting>
  <conditionalFormatting sqref="AE552">
    <cfRule type="iconSet" priority="377">
      <iconSet iconSet="3Arrows">
        <cfvo type="percent" val="0"/>
        <cfvo type="num" val="0.7"/>
        <cfvo type="num" val="1"/>
      </iconSet>
    </cfRule>
    <cfRule type="dataBar" priority="378">
      <dataBar>
        <cfvo type="num" val="0"/>
        <cfvo type="num" val="1"/>
        <color theme="4" tint="0.79998168889431442"/>
      </dataBar>
      <extLst>
        <ext xmlns:x14="http://schemas.microsoft.com/office/spreadsheetml/2009/9/main" uri="{B025F937-C7B1-47D3-B67F-A62EFF666E3E}">
          <x14:id>{5C9A4916-4C56-48F7-9721-8F5C921D9083}</x14:id>
        </ext>
      </extLst>
    </cfRule>
  </conditionalFormatting>
  <conditionalFormatting sqref="AE554">
    <cfRule type="iconSet" priority="230">
      <iconSet iconSet="3Arrows">
        <cfvo type="percent" val="0"/>
        <cfvo type="num" val="0.7"/>
        <cfvo type="num" val="1"/>
      </iconSet>
    </cfRule>
    <cfRule type="dataBar" priority="231">
      <dataBar>
        <cfvo type="num" val="0"/>
        <cfvo type="num" val="1"/>
        <color theme="4" tint="0.79998168889431442"/>
      </dataBar>
      <extLst>
        <ext xmlns:x14="http://schemas.microsoft.com/office/spreadsheetml/2009/9/main" uri="{B025F937-C7B1-47D3-B67F-A62EFF666E3E}">
          <x14:id>{A868EB87-14D4-4D79-83ED-8DC005F75C12}</x14:id>
        </ext>
      </extLst>
    </cfRule>
  </conditionalFormatting>
  <conditionalFormatting sqref="AE556">
    <cfRule type="iconSet" priority="1682">
      <iconSet iconSet="3Arrows">
        <cfvo type="percent" val="0"/>
        <cfvo type="num" val="0.7"/>
        <cfvo type="num" val="1"/>
      </iconSet>
    </cfRule>
    <cfRule type="dataBar" priority="1683">
      <dataBar>
        <cfvo type="num" val="0"/>
        <cfvo type="num" val="1"/>
        <color theme="4" tint="0.79998168889431442"/>
      </dataBar>
      <extLst>
        <ext xmlns:x14="http://schemas.microsoft.com/office/spreadsheetml/2009/9/main" uri="{B025F937-C7B1-47D3-B67F-A62EFF666E3E}">
          <x14:id>{134393F3-DE01-4F6F-B2F1-FE0F0A3E0B1A}</x14:id>
        </ext>
      </extLst>
    </cfRule>
  </conditionalFormatting>
  <conditionalFormatting sqref="AE558">
    <cfRule type="iconSet" priority="472">
      <iconSet iconSet="3Arrows">
        <cfvo type="percent" val="0"/>
        <cfvo type="num" val="0.7"/>
        <cfvo type="num" val="1"/>
      </iconSet>
    </cfRule>
    <cfRule type="dataBar" priority="473">
      <dataBar>
        <cfvo type="num" val="0"/>
        <cfvo type="num" val="1"/>
        <color theme="4" tint="0.79998168889431442"/>
      </dataBar>
      <extLst>
        <ext xmlns:x14="http://schemas.microsoft.com/office/spreadsheetml/2009/9/main" uri="{B025F937-C7B1-47D3-B67F-A62EFF666E3E}">
          <x14:id>{AD912A07-68D1-4E87-9A13-2A1C70D76C85}</x14:id>
        </ext>
      </extLst>
    </cfRule>
  </conditionalFormatting>
  <conditionalFormatting sqref="AE560">
    <cfRule type="iconSet" priority="51">
      <iconSet iconSet="3Arrows">
        <cfvo type="percent" val="0"/>
        <cfvo type="num" val="0.7"/>
        <cfvo type="num" val="1"/>
      </iconSet>
    </cfRule>
    <cfRule type="dataBar" priority="52">
      <dataBar>
        <cfvo type="num" val="0"/>
        <cfvo type="num" val="1"/>
        <color theme="4" tint="0.79998168889431442"/>
      </dataBar>
      <extLst>
        <ext xmlns:x14="http://schemas.microsoft.com/office/spreadsheetml/2009/9/main" uri="{B025F937-C7B1-47D3-B67F-A62EFF666E3E}">
          <x14:id>{6FCFDF18-F00D-4F22-9391-4E7E5AFEC3CE}</x14:id>
        </ext>
      </extLst>
    </cfRule>
  </conditionalFormatting>
  <conditionalFormatting sqref="AE562">
    <cfRule type="iconSet" priority="1680">
      <iconSet iconSet="3Arrows">
        <cfvo type="percent" val="0"/>
        <cfvo type="num" val="0.7"/>
        <cfvo type="num" val="1"/>
      </iconSet>
    </cfRule>
    <cfRule type="dataBar" priority="1681">
      <dataBar>
        <cfvo type="num" val="0"/>
        <cfvo type="num" val="1"/>
        <color theme="4" tint="0.79998168889431442"/>
      </dataBar>
      <extLst>
        <ext xmlns:x14="http://schemas.microsoft.com/office/spreadsheetml/2009/9/main" uri="{B025F937-C7B1-47D3-B67F-A62EFF666E3E}">
          <x14:id>{923A674A-1476-4337-88FA-A06C6291E4B5}</x14:id>
        </ext>
      </extLst>
    </cfRule>
  </conditionalFormatting>
  <conditionalFormatting sqref="AE564">
    <cfRule type="iconSet" priority="4193">
      <iconSet iconSet="3Arrows">
        <cfvo type="percent" val="0"/>
        <cfvo type="num" val="0.7"/>
        <cfvo type="num" val="1"/>
      </iconSet>
    </cfRule>
    <cfRule type="dataBar" priority="4194">
      <dataBar>
        <cfvo type="num" val="0"/>
        <cfvo type="num" val="1"/>
        <color theme="4" tint="0.79998168889431442"/>
      </dataBar>
      <extLst>
        <ext xmlns:x14="http://schemas.microsoft.com/office/spreadsheetml/2009/9/main" uri="{B025F937-C7B1-47D3-B67F-A62EFF666E3E}">
          <x14:id>{7A9D412F-E8E5-460B-A320-826E5470F7CF}</x14:id>
        </ext>
      </extLst>
    </cfRule>
  </conditionalFormatting>
  <conditionalFormatting sqref="AE566">
    <cfRule type="iconSet" priority="4191">
      <iconSet iconSet="3Arrows">
        <cfvo type="percent" val="0"/>
        <cfvo type="num" val="0.7"/>
        <cfvo type="num" val="1"/>
      </iconSet>
    </cfRule>
    <cfRule type="dataBar" priority="4192">
      <dataBar>
        <cfvo type="num" val="0"/>
        <cfvo type="num" val="1"/>
        <color theme="4" tint="0.79998168889431442"/>
      </dataBar>
      <extLst>
        <ext xmlns:x14="http://schemas.microsoft.com/office/spreadsheetml/2009/9/main" uri="{B025F937-C7B1-47D3-B67F-A62EFF666E3E}">
          <x14:id>{BDE52948-B933-4F8E-A76A-20596BC96275}</x14:id>
        </ext>
      </extLst>
    </cfRule>
  </conditionalFormatting>
  <conditionalFormatting sqref="AE568">
    <cfRule type="iconSet" priority="4189">
      <iconSet iconSet="3Arrows">
        <cfvo type="percent" val="0"/>
        <cfvo type="num" val="0.7"/>
        <cfvo type="num" val="1"/>
      </iconSet>
    </cfRule>
    <cfRule type="dataBar" priority="4190">
      <dataBar>
        <cfvo type="num" val="0"/>
        <cfvo type="num" val="1"/>
        <color theme="4" tint="0.79998168889431442"/>
      </dataBar>
      <extLst>
        <ext xmlns:x14="http://schemas.microsoft.com/office/spreadsheetml/2009/9/main" uri="{B025F937-C7B1-47D3-B67F-A62EFF666E3E}">
          <x14:id>{FBA1854C-D114-4951-A0D5-54712BB66376}</x14:id>
        </ext>
      </extLst>
    </cfRule>
  </conditionalFormatting>
  <conditionalFormatting sqref="AE570">
    <cfRule type="iconSet" priority="4187">
      <iconSet iconSet="3Arrows">
        <cfvo type="percent" val="0"/>
        <cfvo type="num" val="0.7"/>
        <cfvo type="num" val="1"/>
      </iconSet>
    </cfRule>
    <cfRule type="dataBar" priority="4188">
      <dataBar>
        <cfvo type="num" val="0"/>
        <cfvo type="num" val="1"/>
        <color theme="4" tint="0.79998168889431442"/>
      </dataBar>
      <extLst>
        <ext xmlns:x14="http://schemas.microsoft.com/office/spreadsheetml/2009/9/main" uri="{B025F937-C7B1-47D3-B67F-A62EFF666E3E}">
          <x14:id>{479FB027-8C88-4ECF-BBC7-84F8894C582A}</x14:id>
        </ext>
      </extLst>
    </cfRule>
  </conditionalFormatting>
  <conditionalFormatting sqref="AE572">
    <cfRule type="iconSet" priority="4185">
      <iconSet iconSet="3Arrows">
        <cfvo type="percent" val="0"/>
        <cfvo type="num" val="0.7"/>
        <cfvo type="num" val="1"/>
      </iconSet>
    </cfRule>
    <cfRule type="dataBar" priority="4186">
      <dataBar>
        <cfvo type="num" val="0"/>
        <cfvo type="num" val="1"/>
        <color theme="4" tint="0.79998168889431442"/>
      </dataBar>
      <extLst>
        <ext xmlns:x14="http://schemas.microsoft.com/office/spreadsheetml/2009/9/main" uri="{B025F937-C7B1-47D3-B67F-A62EFF666E3E}">
          <x14:id>{BE3A0535-DC7F-4585-8197-78A4F2B27BBF}</x14:id>
        </ext>
      </extLst>
    </cfRule>
  </conditionalFormatting>
  <conditionalFormatting sqref="AE574">
    <cfRule type="iconSet" priority="4183">
      <iconSet iconSet="3Arrows">
        <cfvo type="percent" val="0"/>
        <cfvo type="num" val="0.7"/>
        <cfvo type="num" val="1"/>
      </iconSet>
    </cfRule>
    <cfRule type="dataBar" priority="4184">
      <dataBar>
        <cfvo type="num" val="0"/>
        <cfvo type="num" val="1"/>
        <color theme="4" tint="0.79998168889431442"/>
      </dataBar>
      <extLst>
        <ext xmlns:x14="http://schemas.microsoft.com/office/spreadsheetml/2009/9/main" uri="{B025F937-C7B1-47D3-B67F-A62EFF666E3E}">
          <x14:id>{61943383-3F12-4BAF-8F44-8ED8F2DCAB5D}</x14:id>
        </ext>
      </extLst>
    </cfRule>
  </conditionalFormatting>
  <conditionalFormatting sqref="AE576">
    <cfRule type="iconSet" priority="4181">
      <iconSet iconSet="3Arrows">
        <cfvo type="percent" val="0"/>
        <cfvo type="num" val="0.7"/>
        <cfvo type="num" val="1"/>
      </iconSet>
    </cfRule>
    <cfRule type="dataBar" priority="4182">
      <dataBar>
        <cfvo type="num" val="0"/>
        <cfvo type="num" val="1"/>
        <color theme="4" tint="0.79998168889431442"/>
      </dataBar>
      <extLst>
        <ext xmlns:x14="http://schemas.microsoft.com/office/spreadsheetml/2009/9/main" uri="{B025F937-C7B1-47D3-B67F-A62EFF666E3E}">
          <x14:id>{561EFEBD-4C34-4C83-AD22-12162A1A7F9F}</x14:id>
        </ext>
      </extLst>
    </cfRule>
  </conditionalFormatting>
  <conditionalFormatting sqref="AE578">
    <cfRule type="iconSet" priority="4175">
      <iconSet iconSet="3Arrows">
        <cfvo type="percent" val="0"/>
        <cfvo type="num" val="0.7"/>
        <cfvo type="num" val="1"/>
      </iconSet>
    </cfRule>
    <cfRule type="dataBar" priority="4176">
      <dataBar>
        <cfvo type="num" val="0"/>
        <cfvo type="num" val="1"/>
        <color theme="4" tint="0.79998168889431442"/>
      </dataBar>
      <extLst>
        <ext xmlns:x14="http://schemas.microsoft.com/office/spreadsheetml/2009/9/main" uri="{B025F937-C7B1-47D3-B67F-A62EFF666E3E}">
          <x14:id>{D21361F1-1E82-45B0-80F2-4D743E57EA05}</x14:id>
        </ext>
      </extLst>
    </cfRule>
  </conditionalFormatting>
  <conditionalFormatting sqref="AE580">
    <cfRule type="iconSet" priority="4179">
      <iconSet iconSet="3Arrows">
        <cfvo type="percent" val="0"/>
        <cfvo type="num" val="0.7"/>
        <cfvo type="num" val="1"/>
      </iconSet>
    </cfRule>
    <cfRule type="dataBar" priority="4180">
      <dataBar>
        <cfvo type="num" val="0"/>
        <cfvo type="num" val="1"/>
        <color theme="4" tint="0.79998168889431442"/>
      </dataBar>
      <extLst>
        <ext xmlns:x14="http://schemas.microsoft.com/office/spreadsheetml/2009/9/main" uri="{B025F937-C7B1-47D3-B67F-A62EFF666E3E}">
          <x14:id>{6C543BC9-1009-4FD9-81A6-DA4EE918E4CB}</x14:id>
        </ext>
      </extLst>
    </cfRule>
  </conditionalFormatting>
  <conditionalFormatting sqref="AE582">
    <cfRule type="iconSet" priority="4173">
      <iconSet iconSet="3Arrows">
        <cfvo type="percent" val="0"/>
        <cfvo type="num" val="0.7"/>
        <cfvo type="num" val="1"/>
      </iconSet>
    </cfRule>
    <cfRule type="dataBar" priority="4174">
      <dataBar>
        <cfvo type="num" val="0"/>
        <cfvo type="num" val="1"/>
        <color theme="4" tint="0.79998168889431442"/>
      </dataBar>
      <extLst>
        <ext xmlns:x14="http://schemas.microsoft.com/office/spreadsheetml/2009/9/main" uri="{B025F937-C7B1-47D3-B67F-A62EFF666E3E}">
          <x14:id>{9EB92DEC-C0C7-4171-8D0E-F74D20CCB580}</x14:id>
        </ext>
      </extLst>
    </cfRule>
  </conditionalFormatting>
  <conditionalFormatting sqref="AE584">
    <cfRule type="iconSet" priority="4177">
      <iconSet iconSet="3Arrows">
        <cfvo type="percent" val="0"/>
        <cfvo type="num" val="0.7"/>
        <cfvo type="num" val="1"/>
      </iconSet>
    </cfRule>
    <cfRule type="dataBar" priority="4178">
      <dataBar>
        <cfvo type="num" val="0"/>
        <cfvo type="num" val="1"/>
        <color theme="4" tint="0.79998168889431442"/>
      </dataBar>
      <extLst>
        <ext xmlns:x14="http://schemas.microsoft.com/office/spreadsheetml/2009/9/main" uri="{B025F937-C7B1-47D3-B67F-A62EFF666E3E}">
          <x14:id>{7F8D043B-A345-4F34-B63F-F282C13A9A41}</x14:id>
        </ext>
      </extLst>
    </cfRule>
  </conditionalFormatting>
  <conditionalFormatting sqref="AE586">
    <cfRule type="iconSet" priority="4171">
      <iconSet iconSet="3Arrows">
        <cfvo type="percent" val="0"/>
        <cfvo type="num" val="0.7"/>
        <cfvo type="num" val="1"/>
      </iconSet>
    </cfRule>
    <cfRule type="dataBar" priority="4172">
      <dataBar>
        <cfvo type="num" val="0"/>
        <cfvo type="num" val="1"/>
        <color theme="4" tint="0.79998168889431442"/>
      </dataBar>
      <extLst>
        <ext xmlns:x14="http://schemas.microsoft.com/office/spreadsheetml/2009/9/main" uri="{B025F937-C7B1-47D3-B67F-A62EFF666E3E}">
          <x14:id>{26BEB018-5DE9-4767-BEE2-8C81F61E0AD7}</x14:id>
        </ext>
      </extLst>
    </cfRule>
  </conditionalFormatting>
  <conditionalFormatting sqref="AE588">
    <cfRule type="iconSet" priority="2185">
      <iconSet iconSet="3Arrows">
        <cfvo type="percent" val="0"/>
        <cfvo type="num" val="0.7"/>
        <cfvo type="num" val="1"/>
      </iconSet>
    </cfRule>
    <cfRule type="dataBar" priority="2186">
      <dataBar>
        <cfvo type="num" val="0"/>
        <cfvo type="num" val="1"/>
        <color theme="4" tint="0.79998168889431442"/>
      </dataBar>
      <extLst>
        <ext xmlns:x14="http://schemas.microsoft.com/office/spreadsheetml/2009/9/main" uri="{B025F937-C7B1-47D3-B67F-A62EFF666E3E}">
          <x14:id>{3878D148-3FBD-4510-8AEB-DBEEBB9457CB}</x14:id>
        </ext>
      </extLst>
    </cfRule>
  </conditionalFormatting>
  <conditionalFormatting sqref="AE591">
    <cfRule type="iconSet" priority="4113">
      <iconSet iconSet="3Arrows">
        <cfvo type="percent" val="0"/>
        <cfvo type="num" val="0.7"/>
        <cfvo type="num" val="1"/>
      </iconSet>
    </cfRule>
    <cfRule type="dataBar" priority="4114">
      <dataBar>
        <cfvo type="num" val="0"/>
        <cfvo type="num" val="1"/>
        <color theme="4" tint="0.79998168889431442"/>
      </dataBar>
      <extLst>
        <ext xmlns:x14="http://schemas.microsoft.com/office/spreadsheetml/2009/9/main" uri="{B025F937-C7B1-47D3-B67F-A62EFF666E3E}">
          <x14:id>{580387A9-CAEA-4F40-8BBC-959E31D0E049}</x14:id>
        </ext>
      </extLst>
    </cfRule>
  </conditionalFormatting>
  <conditionalFormatting sqref="AE593">
    <cfRule type="iconSet" priority="2418">
      <iconSet iconSet="3Arrows">
        <cfvo type="percent" val="0"/>
        <cfvo type="num" val="0.7"/>
        <cfvo type="num" val="1"/>
      </iconSet>
    </cfRule>
    <cfRule type="dataBar" priority="2419">
      <dataBar>
        <cfvo type="num" val="0"/>
        <cfvo type="num" val="1"/>
        <color theme="4" tint="0.79998168889431442"/>
      </dataBar>
      <extLst>
        <ext xmlns:x14="http://schemas.microsoft.com/office/spreadsheetml/2009/9/main" uri="{B025F937-C7B1-47D3-B67F-A62EFF666E3E}">
          <x14:id>{44646C0D-923F-4E79-9E57-439116EDF3D8}</x14:id>
        </ext>
      </extLst>
    </cfRule>
  </conditionalFormatting>
  <conditionalFormatting sqref="AE595">
    <cfRule type="iconSet" priority="2835">
      <iconSet iconSet="3Arrows">
        <cfvo type="percent" val="0"/>
        <cfvo type="num" val="0.7"/>
        <cfvo type="num" val="1"/>
      </iconSet>
    </cfRule>
    <cfRule type="dataBar" priority="2836">
      <dataBar>
        <cfvo type="num" val="0"/>
        <cfvo type="num" val="1"/>
        <color theme="4" tint="0.79998168889431442"/>
      </dataBar>
      <extLst>
        <ext xmlns:x14="http://schemas.microsoft.com/office/spreadsheetml/2009/9/main" uri="{B025F937-C7B1-47D3-B67F-A62EFF666E3E}">
          <x14:id>{410547E3-BA04-4145-A32A-A913119F0389}</x14:id>
        </ext>
      </extLst>
    </cfRule>
  </conditionalFormatting>
  <conditionalFormatting sqref="AE597">
    <cfRule type="iconSet" priority="4111">
      <iconSet iconSet="3Arrows">
        <cfvo type="percent" val="0"/>
        <cfvo type="num" val="0.7"/>
        <cfvo type="num" val="1"/>
      </iconSet>
    </cfRule>
    <cfRule type="dataBar" priority="4112">
      <dataBar>
        <cfvo type="num" val="0"/>
        <cfvo type="num" val="1"/>
        <color theme="4" tint="0.79998168889431442"/>
      </dataBar>
      <extLst>
        <ext xmlns:x14="http://schemas.microsoft.com/office/spreadsheetml/2009/9/main" uri="{B025F937-C7B1-47D3-B67F-A62EFF666E3E}">
          <x14:id>{0E2B0866-45F6-4064-8D3D-3451E821C93F}</x14:id>
        </ext>
      </extLst>
    </cfRule>
  </conditionalFormatting>
  <conditionalFormatting sqref="AE599">
    <cfRule type="iconSet" priority="3059">
      <iconSet iconSet="3Arrows">
        <cfvo type="percent" val="0"/>
        <cfvo type="num" val="0.7"/>
        <cfvo type="num" val="1"/>
      </iconSet>
    </cfRule>
    <cfRule type="dataBar" priority="3060">
      <dataBar>
        <cfvo type="num" val="0"/>
        <cfvo type="num" val="1"/>
        <color theme="4" tint="0.79998168889431442"/>
      </dataBar>
      <extLst>
        <ext xmlns:x14="http://schemas.microsoft.com/office/spreadsheetml/2009/9/main" uri="{B025F937-C7B1-47D3-B67F-A62EFF666E3E}">
          <x14:id>{9A51C9C4-35FD-49B8-96B0-51DC64E29DEB}</x14:id>
        </ext>
      </extLst>
    </cfRule>
  </conditionalFormatting>
  <conditionalFormatting sqref="AE601">
    <cfRule type="iconSet" priority="4109">
      <iconSet iconSet="3Arrows">
        <cfvo type="percent" val="0"/>
        <cfvo type="num" val="0.7"/>
        <cfvo type="num" val="1"/>
      </iconSet>
    </cfRule>
    <cfRule type="dataBar" priority="4110">
      <dataBar>
        <cfvo type="num" val="0"/>
        <cfvo type="num" val="1"/>
        <color theme="4" tint="0.79998168889431442"/>
      </dataBar>
      <extLst>
        <ext xmlns:x14="http://schemas.microsoft.com/office/spreadsheetml/2009/9/main" uri="{B025F937-C7B1-47D3-B67F-A62EFF666E3E}">
          <x14:id>{A4A296A0-BFB9-41DF-A0AE-98CFA2EA8DD1}</x14:id>
        </ext>
      </extLst>
    </cfRule>
  </conditionalFormatting>
  <conditionalFormatting sqref="AE603">
    <cfRule type="iconSet" priority="4107">
      <iconSet iconSet="3Arrows">
        <cfvo type="percent" val="0"/>
        <cfvo type="num" val="0.7"/>
        <cfvo type="num" val="1"/>
      </iconSet>
    </cfRule>
    <cfRule type="dataBar" priority="4108">
      <dataBar>
        <cfvo type="num" val="0"/>
        <cfvo type="num" val="1"/>
        <color theme="4" tint="0.79998168889431442"/>
      </dataBar>
      <extLst>
        <ext xmlns:x14="http://schemas.microsoft.com/office/spreadsheetml/2009/9/main" uri="{B025F937-C7B1-47D3-B67F-A62EFF666E3E}">
          <x14:id>{17642412-E81F-4E33-A4D2-D512FAB8CFE9}</x14:id>
        </ext>
      </extLst>
    </cfRule>
  </conditionalFormatting>
  <conditionalFormatting sqref="AE605">
    <cfRule type="iconSet" priority="3331">
      <iconSet iconSet="3Arrows">
        <cfvo type="percent" val="0"/>
        <cfvo type="num" val="0.7"/>
        <cfvo type="num" val="1"/>
      </iconSet>
    </cfRule>
    <cfRule type="dataBar" priority="3332">
      <dataBar>
        <cfvo type="num" val="0"/>
        <cfvo type="num" val="1"/>
        <color theme="4" tint="0.79998168889431442"/>
      </dataBar>
      <extLst>
        <ext xmlns:x14="http://schemas.microsoft.com/office/spreadsheetml/2009/9/main" uri="{B025F937-C7B1-47D3-B67F-A62EFF666E3E}">
          <x14:id>{0F7F18DC-45B4-4443-962D-1BEF9C527A7C}</x14:id>
        </ext>
      </extLst>
    </cfRule>
  </conditionalFormatting>
  <conditionalFormatting sqref="AE607">
    <cfRule type="iconSet" priority="3317">
      <iconSet iconSet="3Arrows">
        <cfvo type="percent" val="0"/>
        <cfvo type="num" val="0.7"/>
        <cfvo type="num" val="1"/>
      </iconSet>
    </cfRule>
    <cfRule type="dataBar" priority="3318">
      <dataBar>
        <cfvo type="num" val="0"/>
        <cfvo type="num" val="1"/>
        <color theme="4" tint="0.79998168889431442"/>
      </dataBar>
      <extLst>
        <ext xmlns:x14="http://schemas.microsoft.com/office/spreadsheetml/2009/9/main" uri="{B025F937-C7B1-47D3-B67F-A62EFF666E3E}">
          <x14:id>{EF684AC3-4829-4C9F-988C-91479C5157E0}</x14:id>
        </ext>
      </extLst>
    </cfRule>
  </conditionalFormatting>
  <conditionalFormatting sqref="AE609">
    <cfRule type="iconSet" priority="3303">
      <iconSet iconSet="3Arrows">
        <cfvo type="percent" val="0"/>
        <cfvo type="num" val="0.7"/>
        <cfvo type="num" val="1"/>
      </iconSet>
    </cfRule>
    <cfRule type="dataBar" priority="3304">
      <dataBar>
        <cfvo type="num" val="0"/>
        <cfvo type="num" val="1"/>
        <color theme="4" tint="0.79998168889431442"/>
      </dataBar>
      <extLst>
        <ext xmlns:x14="http://schemas.microsoft.com/office/spreadsheetml/2009/9/main" uri="{B025F937-C7B1-47D3-B67F-A62EFF666E3E}">
          <x14:id>{F7C250FF-F996-4818-ABEE-DAF9B438A87C}</x14:id>
        </ext>
      </extLst>
    </cfRule>
  </conditionalFormatting>
  <conditionalFormatting sqref="AE611">
    <cfRule type="iconSet" priority="4101">
      <iconSet iconSet="3Arrows">
        <cfvo type="percent" val="0"/>
        <cfvo type="num" val="0.7"/>
        <cfvo type="num" val="1"/>
      </iconSet>
    </cfRule>
    <cfRule type="dataBar" priority="4102">
      <dataBar>
        <cfvo type="num" val="0"/>
        <cfvo type="num" val="1"/>
        <color theme="4" tint="0.79998168889431442"/>
      </dataBar>
      <extLst>
        <ext xmlns:x14="http://schemas.microsoft.com/office/spreadsheetml/2009/9/main" uri="{B025F937-C7B1-47D3-B67F-A62EFF666E3E}">
          <x14:id>{04177305-EB42-489E-90DA-15AF0192A2A8}</x14:id>
        </ext>
      </extLst>
    </cfRule>
  </conditionalFormatting>
  <conditionalFormatting sqref="AE613">
    <cfRule type="iconSet" priority="4105">
      <iconSet iconSet="3Arrows">
        <cfvo type="percent" val="0"/>
        <cfvo type="num" val="0.7"/>
        <cfvo type="num" val="1"/>
      </iconSet>
    </cfRule>
    <cfRule type="dataBar" priority="4106">
      <dataBar>
        <cfvo type="num" val="0"/>
        <cfvo type="num" val="1"/>
        <color theme="4" tint="0.79998168889431442"/>
      </dataBar>
      <extLst>
        <ext xmlns:x14="http://schemas.microsoft.com/office/spreadsheetml/2009/9/main" uri="{B025F937-C7B1-47D3-B67F-A62EFF666E3E}">
          <x14:id>{9D2231F5-11E5-46B7-BA4D-64489EED3733}</x14:id>
        </ext>
      </extLst>
    </cfRule>
  </conditionalFormatting>
  <conditionalFormatting sqref="AE615">
    <cfRule type="iconSet" priority="1511">
      <iconSet iconSet="3Arrows">
        <cfvo type="percent" val="0"/>
        <cfvo type="num" val="0.7"/>
        <cfvo type="num" val="1"/>
      </iconSet>
    </cfRule>
    <cfRule type="dataBar" priority="1512">
      <dataBar>
        <cfvo type="num" val="0"/>
        <cfvo type="num" val="1"/>
        <color theme="4" tint="0.79998168889431442"/>
      </dataBar>
      <extLst>
        <ext xmlns:x14="http://schemas.microsoft.com/office/spreadsheetml/2009/9/main" uri="{B025F937-C7B1-47D3-B67F-A62EFF666E3E}">
          <x14:id>{030D753A-75C6-40DD-AD93-D87B8B8D3551}</x14:id>
        </ext>
      </extLst>
    </cfRule>
  </conditionalFormatting>
  <conditionalFormatting sqref="AE617">
    <cfRule type="iconSet" priority="131">
      <iconSet iconSet="3Arrows">
        <cfvo type="percent" val="0"/>
        <cfvo type="num" val="0.7"/>
        <cfvo type="num" val="1"/>
      </iconSet>
    </cfRule>
    <cfRule type="dataBar" priority="132">
      <dataBar>
        <cfvo type="num" val="0"/>
        <cfvo type="num" val="1"/>
        <color theme="4" tint="0.79998168889431442"/>
      </dataBar>
      <extLst>
        <ext xmlns:x14="http://schemas.microsoft.com/office/spreadsheetml/2009/9/main" uri="{B025F937-C7B1-47D3-B67F-A62EFF666E3E}">
          <x14:id>{E724E34F-DCB2-4A88-BECE-75F9851B4455}</x14:id>
        </ext>
      </extLst>
    </cfRule>
  </conditionalFormatting>
  <conditionalFormatting sqref="AE619">
    <cfRule type="iconSet" priority="146">
      <iconSet iconSet="3Arrows">
        <cfvo type="percent" val="0"/>
        <cfvo type="num" val="0.7"/>
        <cfvo type="num" val="1"/>
      </iconSet>
    </cfRule>
    <cfRule type="dataBar" priority="147">
      <dataBar>
        <cfvo type="num" val="0"/>
        <cfvo type="num" val="1"/>
        <color theme="4" tint="0.79998168889431442"/>
      </dataBar>
      <extLst>
        <ext xmlns:x14="http://schemas.microsoft.com/office/spreadsheetml/2009/9/main" uri="{B025F937-C7B1-47D3-B67F-A62EFF666E3E}">
          <x14:id>{3E1A75E5-9BAA-452C-8D22-985DB241CD8A}</x14:id>
        </ext>
      </extLst>
    </cfRule>
  </conditionalFormatting>
  <conditionalFormatting sqref="AE621">
    <cfRule type="iconSet" priority="1533">
      <iconSet iconSet="3Arrows">
        <cfvo type="percent" val="0"/>
        <cfvo type="num" val="0.7"/>
        <cfvo type="num" val="1"/>
      </iconSet>
    </cfRule>
    <cfRule type="dataBar" priority="1534">
      <dataBar>
        <cfvo type="num" val="0"/>
        <cfvo type="num" val="1"/>
        <color theme="4" tint="0.79998168889431442"/>
      </dataBar>
      <extLst>
        <ext xmlns:x14="http://schemas.microsoft.com/office/spreadsheetml/2009/9/main" uri="{B025F937-C7B1-47D3-B67F-A62EFF666E3E}">
          <x14:id>{BE07E180-A45A-4E22-BE3D-34B421D26036}</x14:id>
        </ext>
      </extLst>
    </cfRule>
  </conditionalFormatting>
  <conditionalFormatting sqref="AE623">
    <cfRule type="iconSet" priority="1547">
      <iconSet iconSet="3Arrows">
        <cfvo type="percent" val="0"/>
        <cfvo type="num" val="0.7"/>
        <cfvo type="num" val="1"/>
      </iconSet>
    </cfRule>
    <cfRule type="dataBar" priority="1548">
      <dataBar>
        <cfvo type="num" val="0"/>
        <cfvo type="num" val="1"/>
        <color theme="4" tint="0.79998168889431442"/>
      </dataBar>
      <extLst>
        <ext xmlns:x14="http://schemas.microsoft.com/office/spreadsheetml/2009/9/main" uri="{B025F937-C7B1-47D3-B67F-A62EFF666E3E}">
          <x14:id>{B2DF7714-4614-4925-821E-D8D960286486}</x14:id>
        </ext>
      </extLst>
    </cfRule>
  </conditionalFormatting>
  <conditionalFormatting sqref="AE625">
    <cfRule type="iconSet" priority="33">
      <iconSet iconSet="3Arrows">
        <cfvo type="percent" val="0"/>
        <cfvo type="num" val="0.7"/>
        <cfvo type="num" val="1"/>
      </iconSet>
    </cfRule>
    <cfRule type="dataBar" priority="34">
      <dataBar>
        <cfvo type="num" val="0"/>
        <cfvo type="num" val="1"/>
        <color theme="4" tint="0.79998168889431442"/>
      </dataBar>
      <extLst>
        <ext xmlns:x14="http://schemas.microsoft.com/office/spreadsheetml/2009/9/main" uri="{B025F937-C7B1-47D3-B67F-A62EFF666E3E}">
          <x14:id>{5F8E1C18-51C0-4F9C-BB77-D26603833F01}</x14:id>
        </ext>
      </extLst>
    </cfRule>
  </conditionalFormatting>
  <conditionalFormatting sqref="AG97">
    <cfRule type="cellIs" dxfId="488" priority="1947" operator="equal">
      <formula>0</formula>
    </cfRule>
  </conditionalFormatting>
  <conditionalFormatting sqref="AG99">
    <cfRule type="cellIs" dxfId="487" priority="1984" operator="equal">
      <formula>0</formula>
    </cfRule>
  </conditionalFormatting>
  <conditionalFormatting sqref="AG101">
    <cfRule type="cellIs" dxfId="486" priority="1921" operator="equal">
      <formula>0</formula>
    </cfRule>
  </conditionalFormatting>
  <conditionalFormatting sqref="AG103 AG160:AM167 AG170:AM179">
    <cfRule type="cellIs" dxfId="485" priority="3964" operator="equal">
      <formula>0</formula>
    </cfRule>
  </conditionalFormatting>
  <conditionalFormatting sqref="AG9:AM12 AG79:AM92 AG95:AM96 AL97:AM97 AL99:AM99 AL103:AM103 AG115:AM118 AG184:AM191 AG194:AM199 AG202:AM209 AO202:AO209">
    <cfRule type="cellIs" dxfId="484" priority="4091" operator="equal">
      <formula>0</formula>
    </cfRule>
  </conditionalFormatting>
  <conditionalFormatting sqref="AG13:AM14">
    <cfRule type="cellIs" dxfId="483" priority="2961" operator="equal">
      <formula>0</formula>
    </cfRule>
  </conditionalFormatting>
  <conditionalFormatting sqref="AG15:AM34">
    <cfRule type="cellIs" dxfId="482" priority="3559" operator="equal">
      <formula>0</formula>
    </cfRule>
  </conditionalFormatting>
  <conditionalFormatting sqref="AG35:AM36">
    <cfRule type="cellIs" dxfId="481" priority="2530" operator="equal">
      <formula>0</formula>
    </cfRule>
  </conditionalFormatting>
  <conditionalFormatting sqref="AG47:AM48">
    <cfRule type="cellIs" dxfId="480" priority="2960" operator="equal">
      <formula>0</formula>
    </cfRule>
  </conditionalFormatting>
  <conditionalFormatting sqref="AG77:AM78">
    <cfRule type="cellIs" dxfId="479" priority="4080" operator="equal">
      <formula>0</formula>
    </cfRule>
  </conditionalFormatting>
  <conditionalFormatting sqref="AG93:AM94">
    <cfRule type="cellIs" dxfId="478" priority="2529" operator="equal">
      <formula>0</formula>
    </cfRule>
  </conditionalFormatting>
  <conditionalFormatting sqref="AG113:AM114">
    <cfRule type="cellIs" dxfId="477" priority="2528" operator="equal">
      <formula>0</formula>
    </cfRule>
  </conditionalFormatting>
  <conditionalFormatting sqref="AG119:AM120">
    <cfRule type="cellIs" dxfId="476" priority="2945" operator="equal">
      <formula>0</formula>
    </cfRule>
  </conditionalFormatting>
  <conditionalFormatting sqref="AG121:AM139">
    <cfRule type="cellIs" dxfId="475" priority="588" operator="equal">
      <formula>0</formula>
    </cfRule>
  </conditionalFormatting>
  <conditionalFormatting sqref="AG140:AM143">
    <cfRule type="cellIs" dxfId="474" priority="3172" operator="equal">
      <formula>0</formula>
    </cfRule>
  </conditionalFormatting>
  <conditionalFormatting sqref="AG144:AM149">
    <cfRule type="cellIs" dxfId="473" priority="3885" operator="equal">
      <formula>0</formula>
    </cfRule>
  </conditionalFormatting>
  <conditionalFormatting sqref="AG150:AM151">
    <cfRule type="cellIs" dxfId="472" priority="3860" operator="equal">
      <formula>0</formula>
    </cfRule>
  </conditionalFormatting>
  <conditionalFormatting sqref="AG152:AM157">
    <cfRule type="cellIs" dxfId="471" priority="3890" operator="equal">
      <formula>0</formula>
    </cfRule>
  </conditionalFormatting>
  <conditionalFormatting sqref="AG158:AM159">
    <cfRule type="cellIs" dxfId="470" priority="3882" operator="equal">
      <formula>0</formula>
    </cfRule>
  </conditionalFormatting>
  <conditionalFormatting sqref="AG168:AM169">
    <cfRule type="cellIs" dxfId="469" priority="2526" operator="equal">
      <formula>0</formula>
    </cfRule>
  </conditionalFormatting>
  <conditionalFormatting sqref="AG180:AM183">
    <cfRule type="cellIs" dxfId="468" priority="3171" operator="equal">
      <formula>0</formula>
    </cfRule>
  </conditionalFormatting>
  <conditionalFormatting sqref="AG192:AM193">
    <cfRule type="cellIs" dxfId="467" priority="2527" operator="equal">
      <formula>0</formula>
    </cfRule>
  </conditionalFormatting>
  <conditionalFormatting sqref="AG200:AM201">
    <cfRule type="cellIs" dxfId="466" priority="156" operator="equal">
      <formula>0</formula>
    </cfRule>
  </conditionalFormatting>
  <conditionalFormatting sqref="AG210:AM211">
    <cfRule type="cellIs" dxfId="465" priority="2962" operator="equal">
      <formula>0</formula>
    </cfRule>
  </conditionalFormatting>
  <conditionalFormatting sqref="AG212:AM232">
    <cfRule type="cellIs" dxfId="464" priority="1861" operator="equal">
      <formula>0</formula>
    </cfRule>
  </conditionalFormatting>
  <conditionalFormatting sqref="AG233:AM234">
    <cfRule type="cellIs" dxfId="463" priority="1500" operator="equal">
      <formula>0</formula>
    </cfRule>
  </conditionalFormatting>
  <conditionalFormatting sqref="AG278:AM279">
    <cfRule type="cellIs" dxfId="462" priority="1393" operator="equal">
      <formula>0</formula>
    </cfRule>
  </conditionalFormatting>
  <conditionalFormatting sqref="AG299:AM300">
    <cfRule type="cellIs" dxfId="461" priority="3129" operator="equal">
      <formula>0</formula>
    </cfRule>
  </conditionalFormatting>
  <conditionalFormatting sqref="AG304:AM305">
    <cfRule type="cellIs" dxfId="460" priority="3375" operator="equal">
      <formula>0</formula>
    </cfRule>
  </conditionalFormatting>
  <conditionalFormatting sqref="AG314:AM315">
    <cfRule type="cellIs" dxfId="459" priority="4037" operator="equal">
      <formula>0</formula>
    </cfRule>
  </conditionalFormatting>
  <conditionalFormatting sqref="AG316:AM321">
    <cfRule type="cellIs" dxfId="458" priority="2509" operator="equal">
      <formula>0</formula>
    </cfRule>
  </conditionalFormatting>
  <conditionalFormatting sqref="AG322:AM323">
    <cfRule type="cellIs" dxfId="457" priority="2525" operator="equal">
      <formula>0</formula>
    </cfRule>
  </conditionalFormatting>
  <conditionalFormatting sqref="AG332:AM333">
    <cfRule type="cellIs" dxfId="456" priority="2741" operator="equal">
      <formula>0</formula>
    </cfRule>
  </conditionalFormatting>
  <conditionalFormatting sqref="AG340:AM341">
    <cfRule type="cellIs" dxfId="455" priority="2695" operator="equal">
      <formula>0</formula>
    </cfRule>
  </conditionalFormatting>
  <conditionalFormatting sqref="AG342:AM373">
    <cfRule type="cellIs" dxfId="454" priority="2474" operator="equal">
      <formula>0</formula>
    </cfRule>
  </conditionalFormatting>
  <conditionalFormatting sqref="AG374:AM375">
    <cfRule type="cellIs" dxfId="453" priority="2609" operator="equal">
      <formula>0</formula>
    </cfRule>
  </conditionalFormatting>
  <conditionalFormatting sqref="AG376:AM377 AG380:AM381">
    <cfRule type="cellIs" dxfId="452" priority="3863" operator="equal">
      <formula>0</formula>
    </cfRule>
  </conditionalFormatting>
  <conditionalFormatting sqref="AG378:AM379">
    <cfRule type="cellIs" dxfId="451" priority="2589" operator="equal">
      <formula>0</formula>
    </cfRule>
  </conditionalFormatting>
  <conditionalFormatting sqref="AG382:AM383">
    <cfRule type="cellIs" dxfId="450" priority="2569" operator="equal">
      <formula>0</formula>
    </cfRule>
  </conditionalFormatting>
  <conditionalFormatting sqref="AG384:AM392 AR384:AX392 V387:AB392">
    <cfRule type="cellIs" dxfId="449" priority="1341" operator="equal">
      <formula>0</formula>
    </cfRule>
  </conditionalFormatting>
  <conditionalFormatting sqref="AG393:AM394">
    <cfRule type="cellIs" dxfId="448" priority="3927" operator="equal">
      <formula>0</formula>
    </cfRule>
  </conditionalFormatting>
  <conditionalFormatting sqref="AG428:AM433">
    <cfRule type="cellIs" dxfId="447" priority="2531" operator="equal">
      <formula>0</formula>
    </cfRule>
  </conditionalFormatting>
  <conditionalFormatting sqref="AG460:AM461">
    <cfRule type="cellIs" dxfId="446" priority="2532" operator="equal">
      <formula>0</formula>
    </cfRule>
  </conditionalFormatting>
  <conditionalFormatting sqref="AG488:AM489">
    <cfRule type="cellIs" dxfId="445" priority="2062" operator="equal">
      <formula>0</formula>
    </cfRule>
  </conditionalFormatting>
  <conditionalFormatting sqref="AG490:AM501 AG504:AM529 AG532:AM587">
    <cfRule type="cellIs" dxfId="444" priority="2065" operator="equal">
      <formula>0</formula>
    </cfRule>
  </conditionalFormatting>
  <conditionalFormatting sqref="AG502:AM503">
    <cfRule type="cellIs" dxfId="443" priority="43" operator="equal">
      <formula>0</formula>
    </cfRule>
  </conditionalFormatting>
  <conditionalFormatting sqref="AG530:AM531">
    <cfRule type="cellIs" dxfId="442" priority="44" operator="equal">
      <formula>0</formula>
    </cfRule>
  </conditionalFormatting>
  <conditionalFormatting sqref="AG588:AM589">
    <cfRule type="cellIs" dxfId="441" priority="2181" operator="equal">
      <formula>0</formula>
    </cfRule>
  </conditionalFormatting>
  <conditionalFormatting sqref="AG591:AM596">
    <cfRule type="cellIs" dxfId="440" priority="2412" operator="equal">
      <formula>0</formula>
    </cfRule>
  </conditionalFormatting>
  <conditionalFormatting sqref="AG597:AM616">
    <cfRule type="cellIs" dxfId="439" priority="109" operator="equal">
      <formula>0</formula>
    </cfRule>
  </conditionalFormatting>
  <conditionalFormatting sqref="AG617:AM618">
    <cfRule type="cellIs" dxfId="438" priority="124" operator="equal">
      <formula>0</formula>
    </cfRule>
  </conditionalFormatting>
  <conditionalFormatting sqref="AG621:AM622">
    <cfRule type="cellIs" dxfId="437" priority="1526" operator="equal">
      <formula>0</formula>
    </cfRule>
  </conditionalFormatting>
  <conditionalFormatting sqref="AG623:AM626">
    <cfRule type="cellIs" dxfId="436" priority="17" operator="equal">
      <formula>0</formula>
    </cfRule>
  </conditionalFormatting>
  <conditionalFormatting sqref="AH97:AK97">
    <cfRule type="expression" dxfId="435" priority="1948">
      <formula>AND($M97="R",AH97&gt;0)</formula>
    </cfRule>
    <cfRule type="expression" dxfId="434" priority="1949">
      <formula>AND($M97="P",AH97&gt;0)</formula>
    </cfRule>
  </conditionalFormatting>
  <conditionalFormatting sqref="AH99:AK99">
    <cfRule type="expression" dxfId="433" priority="1985">
      <formula>AND($M99="R",AH99&gt;0)</formula>
    </cfRule>
    <cfRule type="expression" dxfId="432" priority="1986">
      <formula>AND($M99="P",AH99&gt;0)</formula>
    </cfRule>
  </conditionalFormatting>
  <conditionalFormatting sqref="AH101:AK101">
    <cfRule type="expression" dxfId="431" priority="1922">
      <formula>AND($M101="R",AH101&gt;0)</formula>
    </cfRule>
    <cfRule type="expression" dxfId="430" priority="1923">
      <formula>AND($M101="P",AH101&gt;0)</formula>
    </cfRule>
  </conditionalFormatting>
  <conditionalFormatting sqref="AH103:AK103">
    <cfRule type="expression" dxfId="429" priority="3965">
      <formula>AND($M103="R",AH103&gt;0)</formula>
    </cfRule>
    <cfRule type="expression" dxfId="428" priority="3966">
      <formula>AND($M103="P",AH103&gt;0)</formula>
    </cfRule>
  </conditionalFormatting>
  <conditionalFormatting sqref="AL101:AM101">
    <cfRule type="cellIs" dxfId="427" priority="1940" operator="equal">
      <formula>0</formula>
    </cfRule>
  </conditionalFormatting>
  <conditionalFormatting sqref="AO9:AO12">
    <cfRule type="cellIs" dxfId="426" priority="4092" operator="equal">
      <formula>0</formula>
    </cfRule>
  </conditionalFormatting>
  <conditionalFormatting sqref="AO13:AO14">
    <cfRule type="cellIs" dxfId="425" priority="397" operator="equal">
      <formula>0</formula>
    </cfRule>
  </conditionalFormatting>
  <conditionalFormatting sqref="AO15:AO34">
    <cfRule type="cellIs" dxfId="424" priority="3184" operator="equal">
      <formula>0</formula>
    </cfRule>
  </conditionalFormatting>
  <conditionalFormatting sqref="AO35:AO36">
    <cfRule type="cellIs" dxfId="423" priority="3912" operator="equal">
      <formula>0</formula>
    </cfRule>
  </conditionalFormatting>
  <conditionalFormatting sqref="AO37:AO46">
    <cfRule type="cellIs" dxfId="422" priority="3183" operator="equal">
      <formula>0</formula>
    </cfRule>
  </conditionalFormatting>
  <conditionalFormatting sqref="AO47:AO48">
    <cfRule type="cellIs" dxfId="421" priority="3911" operator="equal">
      <formula>0</formula>
    </cfRule>
  </conditionalFormatting>
  <conditionalFormatting sqref="AO77:AO78">
    <cfRule type="cellIs" dxfId="420" priority="3202" operator="equal">
      <formula>0</formula>
    </cfRule>
  </conditionalFormatting>
  <conditionalFormatting sqref="AO79:AO92">
    <cfRule type="cellIs" dxfId="419" priority="3182" operator="equal">
      <formula>0</formula>
    </cfRule>
  </conditionalFormatting>
  <conditionalFormatting sqref="AO93:AO94">
    <cfRule type="cellIs" dxfId="418" priority="3201" operator="equal">
      <formula>0</formula>
    </cfRule>
  </conditionalFormatting>
  <conditionalFormatting sqref="AO95:AO112">
    <cfRule type="cellIs" dxfId="417" priority="2859" operator="equal">
      <formula>0</formula>
    </cfRule>
  </conditionalFormatting>
  <conditionalFormatting sqref="AO113:AO114">
    <cfRule type="cellIs" dxfId="416" priority="3200" operator="equal">
      <formula>0</formula>
    </cfRule>
  </conditionalFormatting>
  <conditionalFormatting sqref="AO115:AO118">
    <cfRule type="cellIs" dxfId="415" priority="3181" operator="equal">
      <formula>0</formula>
    </cfRule>
  </conditionalFormatting>
  <conditionalFormatting sqref="AO119:AO120">
    <cfRule type="cellIs" dxfId="414" priority="3199" operator="equal">
      <formula>0</formula>
    </cfRule>
  </conditionalFormatting>
  <conditionalFormatting sqref="AO140:AO143">
    <cfRule type="cellIs" dxfId="413" priority="3198" operator="equal">
      <formula>0</formula>
    </cfRule>
  </conditionalFormatting>
  <conditionalFormatting sqref="AO144:AO149">
    <cfRule type="cellIs" dxfId="412" priority="3180" operator="equal">
      <formula>0</formula>
    </cfRule>
  </conditionalFormatting>
  <conditionalFormatting sqref="AO150:AO151">
    <cfRule type="cellIs" dxfId="411" priority="3197" operator="equal">
      <formula>0</formula>
    </cfRule>
  </conditionalFormatting>
  <conditionalFormatting sqref="AO152:AO157">
    <cfRule type="cellIs" dxfId="410" priority="3179" operator="equal">
      <formula>0</formula>
    </cfRule>
  </conditionalFormatting>
  <conditionalFormatting sqref="AO158:AO159">
    <cfRule type="cellIs" dxfId="409" priority="3196" operator="equal">
      <formula>0</formula>
    </cfRule>
  </conditionalFormatting>
  <conditionalFormatting sqref="AO160:AO167">
    <cfRule type="cellIs" dxfId="408" priority="3178" operator="equal">
      <formula>0</formula>
    </cfRule>
  </conditionalFormatting>
  <conditionalFormatting sqref="AO168:AO169">
    <cfRule type="cellIs" dxfId="407" priority="3195" operator="equal">
      <formula>0</formula>
    </cfRule>
  </conditionalFormatting>
  <conditionalFormatting sqref="AO170:AO179">
    <cfRule type="cellIs" dxfId="406" priority="3177" operator="equal">
      <formula>0</formula>
    </cfRule>
  </conditionalFormatting>
  <conditionalFormatting sqref="AO180:AO183">
    <cfRule type="cellIs" dxfId="405" priority="3194" operator="equal">
      <formula>0</formula>
    </cfRule>
  </conditionalFormatting>
  <conditionalFormatting sqref="AO184:AO191">
    <cfRule type="cellIs" dxfId="404" priority="3176" operator="equal">
      <formula>0</formula>
    </cfRule>
  </conditionalFormatting>
  <conditionalFormatting sqref="AO192:AO193">
    <cfRule type="cellIs" dxfId="403" priority="3193" operator="equal">
      <formula>0</formula>
    </cfRule>
  </conditionalFormatting>
  <conditionalFormatting sqref="AO194:AO199">
    <cfRule type="cellIs" dxfId="402" priority="3175" operator="equal">
      <formula>0</formula>
    </cfRule>
  </conditionalFormatting>
  <conditionalFormatting sqref="AO200:AO201">
    <cfRule type="cellIs" dxfId="401" priority="3192" operator="equal">
      <formula>0</formula>
    </cfRule>
  </conditionalFormatting>
  <conditionalFormatting sqref="AO210:AO211">
    <cfRule type="cellIs" dxfId="400" priority="3191" operator="equal">
      <formula>0</formula>
    </cfRule>
  </conditionalFormatting>
  <conditionalFormatting sqref="AO233:AO234">
    <cfRule type="cellIs" dxfId="399" priority="3190" operator="equal">
      <formula>0</formula>
    </cfRule>
  </conditionalFormatting>
  <conditionalFormatting sqref="AO278:AO279">
    <cfRule type="cellIs" dxfId="398" priority="3189" operator="equal">
      <formula>0</formula>
    </cfRule>
  </conditionalFormatting>
  <conditionalFormatting sqref="AO299:AO300">
    <cfRule type="cellIs" dxfId="397" priority="3128" operator="equal">
      <formula>0</formula>
    </cfRule>
  </conditionalFormatting>
  <conditionalFormatting sqref="AO304:AO305">
    <cfRule type="cellIs" dxfId="396" priority="159" operator="equal">
      <formula>0</formula>
    </cfRule>
  </conditionalFormatting>
  <conditionalFormatting sqref="AO314:AO315">
    <cfRule type="cellIs" dxfId="395" priority="3188" operator="equal">
      <formula>0</formula>
    </cfRule>
  </conditionalFormatting>
  <conditionalFormatting sqref="AO316:AO321">
    <cfRule type="cellIs" dxfId="394" priority="2504" operator="equal">
      <formula>0</formula>
    </cfRule>
  </conditionalFormatting>
  <conditionalFormatting sqref="AO322:AO323">
    <cfRule type="cellIs" dxfId="393" priority="2813" operator="equal">
      <formula>0</formula>
    </cfRule>
  </conditionalFormatting>
  <conditionalFormatting sqref="AO332:AO333">
    <cfRule type="cellIs" dxfId="392" priority="2742" operator="equal">
      <formula>0</formula>
    </cfRule>
  </conditionalFormatting>
  <conditionalFormatting sqref="AO340:AO341">
    <cfRule type="cellIs" dxfId="391" priority="2696" operator="equal">
      <formula>0</formula>
    </cfRule>
  </conditionalFormatting>
  <conditionalFormatting sqref="AO342:AO373">
    <cfRule type="cellIs" dxfId="390" priority="2469" operator="equal">
      <formula>0</formula>
    </cfRule>
  </conditionalFormatting>
  <conditionalFormatting sqref="AO374:AO375">
    <cfRule type="cellIs" dxfId="389" priority="3187" operator="equal">
      <formula>0</formula>
    </cfRule>
  </conditionalFormatting>
  <conditionalFormatting sqref="AO376:AO377">
    <cfRule type="cellIs" dxfId="388" priority="2652" operator="equal">
      <formula>0</formula>
    </cfRule>
  </conditionalFormatting>
  <conditionalFormatting sqref="AO378:AO379">
    <cfRule type="cellIs" dxfId="387" priority="2602" operator="equal">
      <formula>0</formula>
    </cfRule>
  </conditionalFormatting>
  <conditionalFormatting sqref="AO380:AO381">
    <cfRule type="cellIs" dxfId="386" priority="2637" operator="equal">
      <formula>0</formula>
    </cfRule>
  </conditionalFormatting>
  <conditionalFormatting sqref="AO382:AO383">
    <cfRule type="cellIs" dxfId="385" priority="2582" operator="equal">
      <formula>0</formula>
    </cfRule>
  </conditionalFormatting>
  <conditionalFormatting sqref="AO384:AO385">
    <cfRule type="cellIs" dxfId="384" priority="2622" operator="equal">
      <formula>0</formula>
    </cfRule>
  </conditionalFormatting>
  <conditionalFormatting sqref="AO386:AO387">
    <cfRule type="cellIs" dxfId="383" priority="1292" operator="equal">
      <formula>0</formula>
    </cfRule>
  </conditionalFormatting>
  <conditionalFormatting sqref="AO388:AO391">
    <cfRule type="cellIs" dxfId="382" priority="1337" operator="equal">
      <formula>0</formula>
    </cfRule>
  </conditionalFormatting>
  <conditionalFormatting sqref="AO393:AO396">
    <cfRule type="cellIs" dxfId="381" priority="3186" operator="equal">
      <formula>0</formula>
    </cfRule>
  </conditionalFormatting>
  <conditionalFormatting sqref="AO405:AO406">
    <cfRule type="cellIs" dxfId="380" priority="1742" operator="equal">
      <formula>0</formula>
    </cfRule>
  </conditionalFormatting>
  <conditionalFormatting sqref="AO407:AO410 AO413:AO416">
    <cfRule type="cellIs" dxfId="379" priority="1787" operator="equal">
      <formula>0</formula>
    </cfRule>
  </conditionalFormatting>
  <conditionalFormatting sqref="AO411:AO412">
    <cfRule type="cellIs" dxfId="378" priority="1244" operator="equal">
      <formula>0</formula>
    </cfRule>
  </conditionalFormatting>
  <conditionalFormatting sqref="AO417:AO418">
    <cfRule type="cellIs" dxfId="377" priority="3069" operator="equal">
      <formula>0</formula>
    </cfRule>
  </conditionalFormatting>
  <conditionalFormatting sqref="AO419:AO424">
    <cfRule type="cellIs" dxfId="376" priority="3174" operator="equal">
      <formula>0</formula>
    </cfRule>
  </conditionalFormatting>
  <conditionalFormatting sqref="AO425:AO426">
    <cfRule type="cellIs" dxfId="375" priority="184" operator="equal">
      <formula>0</formula>
    </cfRule>
  </conditionalFormatting>
  <conditionalFormatting sqref="AO428:AO433">
    <cfRule type="cellIs" dxfId="374" priority="3185" operator="equal">
      <formula>0</formula>
    </cfRule>
  </conditionalFormatting>
  <conditionalFormatting sqref="AO434:AO459 AO462:AO487">
    <cfRule type="cellIs" dxfId="373" priority="3173" operator="equal">
      <formula>0</formula>
    </cfRule>
  </conditionalFormatting>
  <conditionalFormatting sqref="AO460:AO461">
    <cfRule type="cellIs" dxfId="372" priority="2546" operator="equal">
      <formula>0</formula>
    </cfRule>
  </conditionalFormatting>
  <conditionalFormatting sqref="AO488:AO489">
    <cfRule type="cellIs" dxfId="371" priority="2043" operator="equal">
      <formula>0</formula>
    </cfRule>
  </conditionalFormatting>
  <conditionalFormatting sqref="AO490:AO501 AO504:AO529 AO532:AO587">
    <cfRule type="cellIs" dxfId="370" priority="2042" operator="equal">
      <formula>0</formula>
    </cfRule>
  </conditionalFormatting>
  <conditionalFormatting sqref="AO502:AO503">
    <cfRule type="cellIs" dxfId="369" priority="1558" operator="equal">
      <formula>0</formula>
    </cfRule>
  </conditionalFormatting>
  <conditionalFormatting sqref="AO530:AO531">
    <cfRule type="cellIs" dxfId="368" priority="1649" operator="equal">
      <formula>0</formula>
    </cfRule>
  </conditionalFormatting>
  <conditionalFormatting sqref="AO588:AO589">
    <cfRule type="cellIs" dxfId="367" priority="2177" operator="equal">
      <formula>0</formula>
    </cfRule>
  </conditionalFormatting>
  <conditionalFormatting sqref="AO591:AO596">
    <cfRule type="cellIs" dxfId="366" priority="2410" operator="equal">
      <formula>0</formula>
    </cfRule>
  </conditionalFormatting>
  <conditionalFormatting sqref="AO597:AO616">
    <cfRule type="cellIs" dxfId="365" priority="1501" operator="equal">
      <formula>0</formula>
    </cfRule>
  </conditionalFormatting>
  <conditionalFormatting sqref="AO617:AO618">
    <cfRule type="cellIs" dxfId="364" priority="121" operator="equal">
      <formula>0</formula>
    </cfRule>
  </conditionalFormatting>
  <conditionalFormatting sqref="AO621:AO622">
    <cfRule type="cellIs" dxfId="363" priority="1523" operator="equal">
      <formula>0</formula>
    </cfRule>
  </conditionalFormatting>
  <conditionalFormatting sqref="AO623:AO626">
    <cfRule type="cellIs" dxfId="362" priority="23" operator="equal">
      <formula>0</formula>
    </cfRule>
  </conditionalFormatting>
  <conditionalFormatting sqref="AP9">
    <cfRule type="iconSet" priority="4087">
      <iconSet iconSet="3Arrows">
        <cfvo type="percent" val="0"/>
        <cfvo type="num" val="0.7"/>
        <cfvo type="num" val="1"/>
      </iconSet>
    </cfRule>
    <cfRule type="dataBar" priority="4088">
      <dataBar>
        <cfvo type="num" val="0"/>
        <cfvo type="num" val="1"/>
        <color theme="4" tint="0.79998168889431442"/>
      </dataBar>
      <extLst>
        <ext xmlns:x14="http://schemas.microsoft.com/office/spreadsheetml/2009/9/main" uri="{B025F937-C7B1-47D3-B67F-A62EFF666E3E}">
          <x14:id>{331ACBD8-5357-402B-A451-9F390B519626}</x14:id>
        </ext>
      </extLst>
    </cfRule>
  </conditionalFormatting>
  <conditionalFormatting sqref="AP13">
    <cfRule type="iconSet" priority="4089">
      <iconSet iconSet="3Arrows">
        <cfvo type="percent" val="0"/>
        <cfvo type="num" val="0.7"/>
        <cfvo type="num" val="1"/>
      </iconSet>
    </cfRule>
    <cfRule type="dataBar" priority="4090">
      <dataBar>
        <cfvo type="num" val="0"/>
        <cfvo type="num" val="1"/>
        <color theme="4" tint="0.79998168889431442"/>
      </dataBar>
      <extLst>
        <ext xmlns:x14="http://schemas.microsoft.com/office/spreadsheetml/2009/9/main" uri="{B025F937-C7B1-47D3-B67F-A62EFF666E3E}">
          <x14:id>{9EF7B983-26D1-4E37-8C1A-A821D3BE6C78}</x14:id>
        </ext>
      </extLst>
    </cfRule>
  </conditionalFormatting>
  <conditionalFormatting sqref="AP15">
    <cfRule type="iconSet" priority="3603">
      <iconSet iconSet="3Arrows">
        <cfvo type="percent" val="0"/>
        <cfvo type="num" val="0.7"/>
        <cfvo type="num" val="1"/>
      </iconSet>
    </cfRule>
    <cfRule type="dataBar" priority="3604">
      <dataBar>
        <cfvo type="num" val="0"/>
        <cfvo type="num" val="1"/>
        <color theme="4" tint="0.79998168889431442"/>
      </dataBar>
      <extLst>
        <ext xmlns:x14="http://schemas.microsoft.com/office/spreadsheetml/2009/9/main" uri="{B025F937-C7B1-47D3-B67F-A62EFF666E3E}">
          <x14:id>{08057A9B-6CD0-4A92-9814-D35C6C158FF7}</x14:id>
        </ext>
      </extLst>
    </cfRule>
  </conditionalFormatting>
  <conditionalFormatting sqref="AP17">
    <cfRule type="iconSet" priority="3589">
      <iconSet iconSet="3Arrows">
        <cfvo type="percent" val="0"/>
        <cfvo type="num" val="0.7"/>
        <cfvo type="num" val="1"/>
      </iconSet>
    </cfRule>
    <cfRule type="dataBar" priority="3590">
      <dataBar>
        <cfvo type="num" val="0"/>
        <cfvo type="num" val="1"/>
        <color theme="4" tint="0.79998168889431442"/>
      </dataBar>
      <extLst>
        <ext xmlns:x14="http://schemas.microsoft.com/office/spreadsheetml/2009/9/main" uri="{B025F937-C7B1-47D3-B67F-A62EFF666E3E}">
          <x14:id>{FDC297F0-85E0-49CA-9082-54FE3D16525B}</x14:id>
        </ext>
      </extLst>
    </cfRule>
  </conditionalFormatting>
  <conditionalFormatting sqref="AP19">
    <cfRule type="iconSet" priority="3575">
      <iconSet iconSet="3Arrows">
        <cfvo type="percent" val="0"/>
        <cfvo type="num" val="0.7"/>
        <cfvo type="num" val="1"/>
      </iconSet>
    </cfRule>
    <cfRule type="dataBar" priority="3576">
      <dataBar>
        <cfvo type="num" val="0"/>
        <cfvo type="num" val="1"/>
        <color theme="4" tint="0.79998168889431442"/>
      </dataBar>
      <extLst>
        <ext xmlns:x14="http://schemas.microsoft.com/office/spreadsheetml/2009/9/main" uri="{B025F937-C7B1-47D3-B67F-A62EFF666E3E}">
          <x14:id>{A23B5A37-45AC-4C47-9555-D94D645566F4}</x14:id>
        </ext>
      </extLst>
    </cfRule>
  </conditionalFormatting>
  <conditionalFormatting sqref="AP21">
    <cfRule type="iconSet" priority="3557">
      <iconSet iconSet="3Arrows">
        <cfvo type="percent" val="0"/>
        <cfvo type="num" val="0.7"/>
        <cfvo type="num" val="1"/>
      </iconSet>
    </cfRule>
    <cfRule type="dataBar" priority="3558">
      <dataBar>
        <cfvo type="num" val="0"/>
        <cfvo type="num" val="1"/>
        <color theme="4" tint="0.79998168889431442"/>
      </dataBar>
      <extLst>
        <ext xmlns:x14="http://schemas.microsoft.com/office/spreadsheetml/2009/9/main" uri="{B025F937-C7B1-47D3-B67F-A62EFF666E3E}">
          <x14:id>{A0BA8C75-26A5-4A87-AA56-AECCBD42245B}</x14:id>
        </ext>
      </extLst>
    </cfRule>
  </conditionalFormatting>
  <conditionalFormatting sqref="AP23">
    <cfRule type="iconSet" priority="4085">
      <iconSet iconSet="3Arrows">
        <cfvo type="percent" val="0"/>
        <cfvo type="num" val="0.7"/>
        <cfvo type="num" val="1"/>
      </iconSet>
    </cfRule>
    <cfRule type="dataBar" priority="4086">
      <dataBar>
        <cfvo type="num" val="0"/>
        <cfvo type="num" val="1"/>
        <color theme="4" tint="0.79998168889431442"/>
      </dataBar>
      <extLst>
        <ext xmlns:x14="http://schemas.microsoft.com/office/spreadsheetml/2009/9/main" uri="{B025F937-C7B1-47D3-B67F-A62EFF666E3E}">
          <x14:id>{34B9AE1B-99D7-449C-AE70-2AA12A82F56C}</x14:id>
        </ext>
      </extLst>
    </cfRule>
  </conditionalFormatting>
  <conditionalFormatting sqref="AP25">
    <cfRule type="iconSet" priority="4027">
      <iconSet iconSet="3Arrows">
        <cfvo type="percent" val="0"/>
        <cfvo type="num" val="0.7"/>
        <cfvo type="num" val="1"/>
      </iconSet>
    </cfRule>
    <cfRule type="dataBar" priority="4028">
      <dataBar>
        <cfvo type="num" val="0"/>
        <cfvo type="num" val="1"/>
        <color theme="4" tint="0.79998168889431442"/>
      </dataBar>
      <extLst>
        <ext xmlns:x14="http://schemas.microsoft.com/office/spreadsheetml/2009/9/main" uri="{B025F937-C7B1-47D3-B67F-A62EFF666E3E}">
          <x14:id>{BA4B0405-C33A-4F6C-A4D0-2FF097FAB323}</x14:id>
        </ext>
      </extLst>
    </cfRule>
  </conditionalFormatting>
  <conditionalFormatting sqref="AP27">
    <cfRule type="iconSet" priority="2933">
      <iconSet iconSet="3Arrows">
        <cfvo type="percent" val="0"/>
        <cfvo type="num" val="0.7"/>
        <cfvo type="num" val="1"/>
      </iconSet>
    </cfRule>
    <cfRule type="dataBar" priority="2934">
      <dataBar>
        <cfvo type="num" val="0"/>
        <cfvo type="num" val="1"/>
        <color theme="4" tint="0.79998168889431442"/>
      </dataBar>
      <extLst>
        <ext xmlns:x14="http://schemas.microsoft.com/office/spreadsheetml/2009/9/main" uri="{B025F937-C7B1-47D3-B67F-A62EFF666E3E}">
          <x14:id>{61FF95B9-2005-4BE7-A6F6-7061A8EFCD95}</x14:id>
        </ext>
      </extLst>
    </cfRule>
  </conditionalFormatting>
  <conditionalFormatting sqref="AP29">
    <cfRule type="iconSet" priority="2919">
      <iconSet iconSet="3Arrows">
        <cfvo type="percent" val="0"/>
        <cfvo type="num" val="0.7"/>
        <cfvo type="num" val="1"/>
      </iconSet>
    </cfRule>
    <cfRule type="dataBar" priority="2920">
      <dataBar>
        <cfvo type="num" val="0"/>
        <cfvo type="num" val="1"/>
        <color theme="4" tint="0.79998168889431442"/>
      </dataBar>
      <extLst>
        <ext xmlns:x14="http://schemas.microsoft.com/office/spreadsheetml/2009/9/main" uri="{B025F937-C7B1-47D3-B67F-A62EFF666E3E}">
          <x14:id>{B48C5EA5-D606-479E-9B7B-252D9CD27A89}</x14:id>
        </ext>
      </extLst>
    </cfRule>
  </conditionalFormatting>
  <conditionalFormatting sqref="AP31">
    <cfRule type="iconSet" priority="4040">
      <iconSet iconSet="3Arrows">
        <cfvo type="percent" val="0"/>
        <cfvo type="num" val="0.7"/>
        <cfvo type="num" val="1"/>
      </iconSet>
    </cfRule>
    <cfRule type="dataBar" priority="4041">
      <dataBar>
        <cfvo type="num" val="0"/>
        <cfvo type="num" val="1"/>
        <color theme="4" tint="0.79998168889431442"/>
      </dataBar>
      <extLst>
        <ext xmlns:x14="http://schemas.microsoft.com/office/spreadsheetml/2009/9/main" uri="{B025F937-C7B1-47D3-B67F-A62EFF666E3E}">
          <x14:id>{B70A80EC-C933-4682-B141-6AB622DA8BBA}</x14:id>
        </ext>
      </extLst>
    </cfRule>
  </conditionalFormatting>
  <conditionalFormatting sqref="AP35">
    <cfRule type="iconSet" priority="3983">
      <iconSet iconSet="3Arrows">
        <cfvo type="percent" val="0"/>
        <cfvo type="num" val="0.7"/>
        <cfvo type="num" val="1"/>
      </iconSet>
    </cfRule>
    <cfRule type="dataBar" priority="3984">
      <dataBar>
        <cfvo type="num" val="0"/>
        <cfvo type="num" val="1"/>
        <color theme="4" tint="0.79998168889431442"/>
      </dataBar>
      <extLst>
        <ext xmlns:x14="http://schemas.microsoft.com/office/spreadsheetml/2009/9/main" uri="{B025F937-C7B1-47D3-B67F-A62EFF666E3E}">
          <x14:id>{C9B87CA1-1C30-49FC-990B-573EF0FD5C05}</x14:id>
        </ext>
      </extLst>
    </cfRule>
  </conditionalFormatting>
  <conditionalFormatting sqref="AP37">
    <cfRule type="iconSet" priority="3506">
      <iconSet iconSet="3Arrows">
        <cfvo type="percent" val="0"/>
        <cfvo type="num" val="0.7"/>
        <cfvo type="num" val="1"/>
      </iconSet>
    </cfRule>
    <cfRule type="dataBar" priority="3507">
      <dataBar>
        <cfvo type="num" val="0"/>
        <cfvo type="num" val="1"/>
        <color theme="4" tint="0.79998168889431442"/>
      </dataBar>
      <extLst>
        <ext xmlns:x14="http://schemas.microsoft.com/office/spreadsheetml/2009/9/main" uri="{B025F937-C7B1-47D3-B67F-A62EFF666E3E}">
          <x14:id>{15D64F68-28A8-4E2C-9CEF-0D38938D3491}</x14:id>
        </ext>
      </extLst>
    </cfRule>
  </conditionalFormatting>
  <conditionalFormatting sqref="AP39">
    <cfRule type="iconSet" priority="3520">
      <iconSet iconSet="3Arrows">
        <cfvo type="percent" val="0"/>
        <cfvo type="num" val="0.7"/>
        <cfvo type="num" val="1"/>
      </iconSet>
    </cfRule>
    <cfRule type="dataBar" priority="3521">
      <dataBar>
        <cfvo type="num" val="0"/>
        <cfvo type="num" val="1"/>
        <color theme="4" tint="0.79998168889431442"/>
      </dataBar>
      <extLst>
        <ext xmlns:x14="http://schemas.microsoft.com/office/spreadsheetml/2009/9/main" uri="{B025F937-C7B1-47D3-B67F-A62EFF666E3E}">
          <x14:id>{A6F3B6A4-B31B-4D69-93DC-1A3EFD832087}</x14:id>
        </ext>
      </extLst>
    </cfRule>
  </conditionalFormatting>
  <conditionalFormatting sqref="AP41">
    <cfRule type="iconSet" priority="3534">
      <iconSet iconSet="3Arrows">
        <cfvo type="percent" val="0"/>
        <cfvo type="num" val="0.7"/>
        <cfvo type="num" val="1"/>
      </iconSet>
    </cfRule>
    <cfRule type="dataBar" priority="3535">
      <dataBar>
        <cfvo type="num" val="0"/>
        <cfvo type="num" val="1"/>
        <color theme="4" tint="0.79998168889431442"/>
      </dataBar>
      <extLst>
        <ext xmlns:x14="http://schemas.microsoft.com/office/spreadsheetml/2009/9/main" uri="{B025F937-C7B1-47D3-B67F-A62EFF666E3E}">
          <x14:id>{F441D2C3-17B0-42FB-913D-703752251860}</x14:id>
        </ext>
      </extLst>
    </cfRule>
  </conditionalFormatting>
  <conditionalFormatting sqref="AP43">
    <cfRule type="iconSet" priority="3985">
      <iconSet iconSet="3Arrows">
        <cfvo type="percent" val="0"/>
        <cfvo type="num" val="0.7"/>
        <cfvo type="num" val="1"/>
      </iconSet>
    </cfRule>
    <cfRule type="dataBar" priority="3986">
      <dataBar>
        <cfvo type="num" val="0"/>
        <cfvo type="num" val="1"/>
        <color theme="4" tint="0.79998168889431442"/>
      </dataBar>
      <extLst>
        <ext xmlns:x14="http://schemas.microsoft.com/office/spreadsheetml/2009/9/main" uri="{B025F937-C7B1-47D3-B67F-A62EFF666E3E}">
          <x14:id>{ED6B1BAA-E7BF-40E5-9213-DB150C4ACB49}</x14:id>
        </ext>
      </extLst>
    </cfRule>
  </conditionalFormatting>
  <conditionalFormatting sqref="AP47">
    <cfRule type="iconSet" priority="4083">
      <iconSet iconSet="3Arrows">
        <cfvo type="percent" val="0"/>
        <cfvo type="num" val="0.7"/>
        <cfvo type="num" val="1"/>
      </iconSet>
    </cfRule>
    <cfRule type="dataBar" priority="4084">
      <dataBar>
        <cfvo type="num" val="0"/>
        <cfvo type="num" val="1"/>
        <color theme="4" tint="0.79998168889431442"/>
      </dataBar>
      <extLst>
        <ext xmlns:x14="http://schemas.microsoft.com/office/spreadsheetml/2009/9/main" uri="{B025F937-C7B1-47D3-B67F-A62EFF666E3E}">
          <x14:id>{D53DA308-758F-43F6-8400-A0FDCD033DED}</x14:id>
        </ext>
      </extLst>
    </cfRule>
  </conditionalFormatting>
  <conditionalFormatting sqref="AP49">
    <cfRule type="iconSet" priority="3981">
      <iconSet iconSet="3Arrows">
        <cfvo type="percent" val="0"/>
        <cfvo type="num" val="0.7"/>
        <cfvo type="num" val="1"/>
      </iconSet>
    </cfRule>
    <cfRule type="dataBar" priority="3982">
      <dataBar>
        <cfvo type="num" val="0"/>
        <cfvo type="num" val="1"/>
        <color theme="4" tint="0.79998168889431442"/>
      </dataBar>
      <extLst>
        <ext xmlns:x14="http://schemas.microsoft.com/office/spreadsheetml/2009/9/main" uri="{B025F937-C7B1-47D3-B67F-A62EFF666E3E}">
          <x14:id>{37BFAC3C-1718-43F4-B4B9-FD9A243C796E}</x14:id>
        </ext>
      </extLst>
    </cfRule>
  </conditionalFormatting>
  <conditionalFormatting sqref="AP51">
    <cfRule type="iconSet" priority="2905">
      <iconSet iconSet="3Arrows">
        <cfvo type="percent" val="0"/>
        <cfvo type="num" val="0.7"/>
        <cfvo type="num" val="1"/>
      </iconSet>
    </cfRule>
    <cfRule type="dataBar" priority="2906">
      <dataBar>
        <cfvo type="num" val="0"/>
        <cfvo type="num" val="1"/>
        <color theme="4" tint="0.79998168889431442"/>
      </dataBar>
      <extLst>
        <ext xmlns:x14="http://schemas.microsoft.com/office/spreadsheetml/2009/9/main" uri="{B025F937-C7B1-47D3-B67F-A62EFF666E3E}">
          <x14:id>{BE1784A6-8333-4AE1-A4EB-F00FA9CD41B6}</x14:id>
        </ext>
      </extLst>
    </cfRule>
  </conditionalFormatting>
  <conditionalFormatting sqref="AP53">
    <cfRule type="iconSet" priority="3905">
      <iconSet iconSet="3Arrows">
        <cfvo type="percent" val="0"/>
        <cfvo type="num" val="0.7"/>
        <cfvo type="num" val="1"/>
      </iconSet>
    </cfRule>
    <cfRule type="dataBar" priority="3906">
      <dataBar>
        <cfvo type="num" val="0"/>
        <cfvo type="num" val="1"/>
        <color theme="4" tint="0.79998168889431442"/>
      </dataBar>
      <extLst>
        <ext xmlns:x14="http://schemas.microsoft.com/office/spreadsheetml/2009/9/main" uri="{B025F937-C7B1-47D3-B67F-A62EFF666E3E}">
          <x14:id>{AAF751B1-C740-4272-89F4-AB13404C2972}</x14:id>
        </ext>
      </extLst>
    </cfRule>
  </conditionalFormatting>
  <conditionalFormatting sqref="AP55">
    <cfRule type="iconSet" priority="3492">
      <iconSet iconSet="3Arrows">
        <cfvo type="percent" val="0"/>
        <cfvo type="num" val="0.7"/>
        <cfvo type="num" val="1"/>
      </iconSet>
    </cfRule>
    <cfRule type="dataBar" priority="3493">
      <dataBar>
        <cfvo type="num" val="0"/>
        <cfvo type="num" val="1"/>
        <color theme="4" tint="0.79998168889431442"/>
      </dataBar>
      <extLst>
        <ext xmlns:x14="http://schemas.microsoft.com/office/spreadsheetml/2009/9/main" uri="{B025F937-C7B1-47D3-B67F-A62EFF666E3E}">
          <x14:id>{8B4C254D-7D81-4649-B3CE-6FD1A84FF865}</x14:id>
        </ext>
      </extLst>
    </cfRule>
  </conditionalFormatting>
  <conditionalFormatting sqref="AP57">
    <cfRule type="iconSet" priority="2891">
      <iconSet iconSet="3Arrows">
        <cfvo type="percent" val="0"/>
        <cfvo type="num" val="0.7"/>
        <cfvo type="num" val="1"/>
      </iconSet>
    </cfRule>
    <cfRule type="dataBar" priority="2892">
      <dataBar>
        <cfvo type="num" val="0"/>
        <cfvo type="num" val="1"/>
        <color theme="4" tint="0.79998168889431442"/>
      </dataBar>
      <extLst>
        <ext xmlns:x14="http://schemas.microsoft.com/office/spreadsheetml/2009/9/main" uri="{B025F937-C7B1-47D3-B67F-A62EFF666E3E}">
          <x14:id>{FCFF3671-C0DA-432B-B38A-3FB15DB5228F}</x14:id>
        </ext>
      </extLst>
    </cfRule>
  </conditionalFormatting>
  <conditionalFormatting sqref="AP59">
    <cfRule type="iconSet" priority="2877">
      <iconSet iconSet="3Arrows">
        <cfvo type="percent" val="0"/>
        <cfvo type="num" val="0.7"/>
        <cfvo type="num" val="1"/>
      </iconSet>
    </cfRule>
    <cfRule type="dataBar" priority="2878">
      <dataBar>
        <cfvo type="num" val="0"/>
        <cfvo type="num" val="1"/>
        <color theme="4" tint="0.79998168889431442"/>
      </dataBar>
      <extLst>
        <ext xmlns:x14="http://schemas.microsoft.com/office/spreadsheetml/2009/9/main" uri="{B025F937-C7B1-47D3-B67F-A62EFF666E3E}">
          <x14:id>{C4A05B1E-38C1-463F-B4CC-1F319794A0AF}</x14:id>
        </ext>
      </extLst>
    </cfRule>
  </conditionalFormatting>
  <conditionalFormatting sqref="AP61">
    <cfRule type="iconSet" priority="1471">
      <iconSet iconSet="3Arrows">
        <cfvo type="percent" val="0"/>
        <cfvo type="num" val="0.7"/>
        <cfvo type="num" val="1"/>
      </iconSet>
    </cfRule>
    <cfRule type="dataBar" priority="1472">
      <dataBar>
        <cfvo type="num" val="0"/>
        <cfvo type="num" val="1"/>
        <color theme="4" tint="0.79998168889431442"/>
      </dataBar>
      <extLst>
        <ext xmlns:x14="http://schemas.microsoft.com/office/spreadsheetml/2009/9/main" uri="{B025F937-C7B1-47D3-B67F-A62EFF666E3E}">
          <x14:id>{C38D75BD-F0C6-4726-BC12-B1FE4FC505A0}</x14:id>
        </ext>
      </extLst>
    </cfRule>
  </conditionalFormatting>
  <conditionalFormatting sqref="AP63">
    <cfRule type="iconSet" priority="2457">
      <iconSet iconSet="3Arrows">
        <cfvo type="percent" val="0"/>
        <cfvo type="num" val="0.7"/>
        <cfvo type="num" val="1"/>
      </iconSet>
    </cfRule>
    <cfRule type="dataBar" priority="2458">
      <dataBar>
        <cfvo type="num" val="0"/>
        <cfvo type="num" val="1"/>
        <color theme="4" tint="0.79998168889431442"/>
      </dataBar>
      <extLst>
        <ext xmlns:x14="http://schemas.microsoft.com/office/spreadsheetml/2009/9/main" uri="{B025F937-C7B1-47D3-B67F-A62EFF666E3E}">
          <x14:id>{26E83645-11B5-4DCA-8281-D1BC2F94AF1B}</x14:id>
        </ext>
      </extLst>
    </cfRule>
  </conditionalFormatting>
  <conditionalFormatting sqref="AP65">
    <cfRule type="iconSet" priority="2863">
      <iconSet iconSet="3Arrows">
        <cfvo type="percent" val="0"/>
        <cfvo type="num" val="0.7"/>
        <cfvo type="num" val="1"/>
      </iconSet>
    </cfRule>
    <cfRule type="dataBar" priority="2864">
      <dataBar>
        <cfvo type="num" val="0"/>
        <cfvo type="num" val="1"/>
        <color theme="4" tint="0.79998168889431442"/>
      </dataBar>
      <extLst>
        <ext xmlns:x14="http://schemas.microsoft.com/office/spreadsheetml/2009/9/main" uri="{B025F937-C7B1-47D3-B67F-A62EFF666E3E}">
          <x14:id>{DCA0F0C1-D46F-4A76-A18E-B8C957D6F666}</x14:id>
        </ext>
      </extLst>
    </cfRule>
  </conditionalFormatting>
  <conditionalFormatting sqref="AP67">
    <cfRule type="iconSet" priority="3410">
      <iconSet iconSet="3Arrows">
        <cfvo type="percent" val="0"/>
        <cfvo type="num" val="0.7"/>
        <cfvo type="num" val="1"/>
      </iconSet>
    </cfRule>
    <cfRule type="dataBar" priority="3411">
      <dataBar>
        <cfvo type="num" val="0"/>
        <cfvo type="num" val="1"/>
        <color theme="4" tint="0.79998168889431442"/>
      </dataBar>
      <extLst>
        <ext xmlns:x14="http://schemas.microsoft.com/office/spreadsheetml/2009/9/main" uri="{B025F937-C7B1-47D3-B67F-A62EFF666E3E}">
          <x14:id>{A8620591-8A41-4CD2-8564-6543F883A39C}</x14:id>
        </ext>
      </extLst>
    </cfRule>
  </conditionalFormatting>
  <conditionalFormatting sqref="AP69">
    <cfRule type="iconSet" priority="4035">
      <iconSet iconSet="3Arrows">
        <cfvo type="percent" val="0"/>
        <cfvo type="num" val="0.7"/>
        <cfvo type="num" val="1"/>
      </iconSet>
    </cfRule>
    <cfRule type="dataBar" priority="4036">
      <dataBar>
        <cfvo type="num" val="0"/>
        <cfvo type="num" val="1"/>
        <color theme="4" tint="0.79998168889431442"/>
      </dataBar>
      <extLst>
        <ext xmlns:x14="http://schemas.microsoft.com/office/spreadsheetml/2009/9/main" uri="{B025F937-C7B1-47D3-B67F-A62EFF666E3E}">
          <x14:id>{F2C71D4D-89B7-4AAB-875F-C4939473C99E}</x14:id>
        </ext>
      </extLst>
    </cfRule>
  </conditionalFormatting>
  <conditionalFormatting sqref="AP73">
    <cfRule type="iconSet" priority="4072">
      <iconSet iconSet="3Arrows">
        <cfvo type="percent" val="0"/>
        <cfvo type="num" val="0.7"/>
        <cfvo type="num" val="1"/>
      </iconSet>
    </cfRule>
    <cfRule type="dataBar" priority="4073">
      <dataBar>
        <cfvo type="num" val="0"/>
        <cfvo type="num" val="1"/>
        <color theme="4" tint="0.79998168889431442"/>
      </dataBar>
      <extLst>
        <ext xmlns:x14="http://schemas.microsoft.com/office/spreadsheetml/2009/9/main" uri="{B025F937-C7B1-47D3-B67F-A62EFF666E3E}">
          <x14:id>{49ACD0AB-0169-4A34-898D-1F06E18A5AAC}</x14:id>
        </ext>
      </extLst>
    </cfRule>
  </conditionalFormatting>
  <conditionalFormatting sqref="AP77">
    <cfRule type="iconSet" priority="4081">
      <iconSet iconSet="3Arrows">
        <cfvo type="percent" val="0"/>
        <cfvo type="num" val="0.7"/>
        <cfvo type="num" val="1"/>
      </iconSet>
    </cfRule>
    <cfRule type="dataBar" priority="4082">
      <dataBar>
        <cfvo type="num" val="0"/>
        <cfvo type="num" val="1"/>
        <color theme="4" tint="0.79998168889431442"/>
      </dataBar>
      <extLst>
        <ext xmlns:x14="http://schemas.microsoft.com/office/spreadsheetml/2009/9/main" uri="{B025F937-C7B1-47D3-B67F-A62EFF666E3E}">
          <x14:id>{9961CECA-9D60-4A36-9721-82BF2557C8A5}</x14:id>
        </ext>
      </extLst>
    </cfRule>
  </conditionalFormatting>
  <conditionalFormatting sqref="AP79">
    <cfRule type="iconSet" priority="4076">
      <iconSet iconSet="3Arrows">
        <cfvo type="percent" val="0"/>
        <cfvo type="num" val="0.7"/>
        <cfvo type="num" val="1"/>
      </iconSet>
    </cfRule>
    <cfRule type="dataBar" priority="4077">
      <dataBar>
        <cfvo type="num" val="0"/>
        <cfvo type="num" val="1"/>
        <color theme="4" tint="0.79998168889431442"/>
      </dataBar>
      <extLst>
        <ext xmlns:x14="http://schemas.microsoft.com/office/spreadsheetml/2009/9/main" uri="{B025F937-C7B1-47D3-B67F-A62EFF666E3E}">
          <x14:id>{C053A461-49E2-4861-AA55-E7F5B66F2B62}</x14:id>
        </ext>
      </extLst>
    </cfRule>
  </conditionalFormatting>
  <conditionalFormatting sqref="AP81">
    <cfRule type="iconSet" priority="3993">
      <iconSet iconSet="3Arrows">
        <cfvo type="percent" val="0"/>
        <cfvo type="num" val="0.7"/>
        <cfvo type="num" val="1"/>
      </iconSet>
    </cfRule>
    <cfRule type="dataBar" priority="3994">
      <dataBar>
        <cfvo type="num" val="0"/>
        <cfvo type="num" val="1"/>
        <color theme="4" tint="0.79998168889431442"/>
      </dataBar>
      <extLst>
        <ext xmlns:x14="http://schemas.microsoft.com/office/spreadsheetml/2009/9/main" uri="{B025F937-C7B1-47D3-B67F-A62EFF666E3E}">
          <x14:id>{8E039D5E-C3AD-49AC-9140-5EAF13C23DDF}</x14:id>
        </ext>
      </extLst>
    </cfRule>
  </conditionalFormatting>
  <conditionalFormatting sqref="AP83">
    <cfRule type="iconSet" priority="3991">
      <iconSet iconSet="3Arrows">
        <cfvo type="percent" val="0"/>
        <cfvo type="num" val="0.7"/>
        <cfvo type="num" val="1"/>
      </iconSet>
    </cfRule>
    <cfRule type="dataBar" priority="3992">
      <dataBar>
        <cfvo type="num" val="0"/>
        <cfvo type="num" val="1"/>
        <color theme="4" tint="0.79998168889431442"/>
      </dataBar>
      <extLst>
        <ext xmlns:x14="http://schemas.microsoft.com/office/spreadsheetml/2009/9/main" uri="{B025F937-C7B1-47D3-B67F-A62EFF666E3E}">
          <x14:id>{ACAAE577-06F1-40E8-9E4D-7E58CAFCA3D6}</x14:id>
        </ext>
      </extLst>
    </cfRule>
  </conditionalFormatting>
  <conditionalFormatting sqref="AP85">
    <cfRule type="iconSet" priority="3989">
      <iconSet iconSet="3Arrows">
        <cfvo type="percent" val="0"/>
        <cfvo type="num" val="0.7"/>
        <cfvo type="num" val="1"/>
      </iconSet>
    </cfRule>
    <cfRule type="dataBar" priority="3990">
      <dataBar>
        <cfvo type="num" val="0"/>
        <cfvo type="num" val="1"/>
        <color theme="4" tint="0.79998168889431442"/>
      </dataBar>
      <extLst>
        <ext xmlns:x14="http://schemas.microsoft.com/office/spreadsheetml/2009/9/main" uri="{B025F937-C7B1-47D3-B67F-A62EFF666E3E}">
          <x14:id>{9558AE8F-A147-4C53-B4C3-FB6A67B76F01}</x14:id>
        </ext>
      </extLst>
    </cfRule>
  </conditionalFormatting>
  <conditionalFormatting sqref="AP87">
    <cfRule type="iconSet" priority="3987">
      <iconSet iconSet="3Arrows">
        <cfvo type="percent" val="0"/>
        <cfvo type="num" val="0.7"/>
        <cfvo type="num" val="1"/>
      </iconSet>
    </cfRule>
    <cfRule type="dataBar" priority="3988">
      <dataBar>
        <cfvo type="num" val="0"/>
        <cfvo type="num" val="1"/>
        <color theme="4" tint="0.79998168889431442"/>
      </dataBar>
      <extLst>
        <ext xmlns:x14="http://schemas.microsoft.com/office/spreadsheetml/2009/9/main" uri="{B025F937-C7B1-47D3-B67F-A62EFF666E3E}">
          <x14:id>{86B58DDA-950C-4D4F-9CC9-1C995276378E}</x14:id>
        </ext>
      </extLst>
    </cfRule>
  </conditionalFormatting>
  <conditionalFormatting sqref="AP89">
    <cfRule type="iconSet" priority="4078">
      <iconSet iconSet="3Arrows">
        <cfvo type="percent" val="0"/>
        <cfvo type="num" val="0.7"/>
        <cfvo type="num" val="1"/>
      </iconSet>
    </cfRule>
    <cfRule type="dataBar" priority="4079">
      <dataBar>
        <cfvo type="num" val="0"/>
        <cfvo type="num" val="1"/>
        <color theme="4" tint="0.79998168889431442"/>
      </dataBar>
      <extLst>
        <ext xmlns:x14="http://schemas.microsoft.com/office/spreadsheetml/2009/9/main" uri="{B025F937-C7B1-47D3-B67F-A62EFF666E3E}">
          <x14:id>{43F106EB-9B03-40EF-B965-3C185969BDD4}</x14:id>
        </ext>
      </extLst>
    </cfRule>
  </conditionalFormatting>
  <conditionalFormatting sqref="AP93">
    <cfRule type="iconSet" priority="3977">
      <iconSet iconSet="3Arrows">
        <cfvo type="percent" val="0"/>
        <cfvo type="num" val="0.7"/>
        <cfvo type="num" val="1"/>
      </iconSet>
    </cfRule>
    <cfRule type="dataBar" priority="3978">
      <dataBar>
        <cfvo type="num" val="0"/>
        <cfvo type="num" val="1"/>
        <color theme="4" tint="0.79998168889431442"/>
      </dataBar>
      <extLst>
        <ext xmlns:x14="http://schemas.microsoft.com/office/spreadsheetml/2009/9/main" uri="{B025F937-C7B1-47D3-B67F-A62EFF666E3E}">
          <x14:id>{0240093F-8699-4A0C-809F-2808A3BB22C9}</x14:id>
        </ext>
      </extLst>
    </cfRule>
  </conditionalFormatting>
  <conditionalFormatting sqref="AP95">
    <cfRule type="iconSet" priority="3967">
      <iconSet iconSet="3Arrows">
        <cfvo type="percent" val="0"/>
        <cfvo type="num" val="0.7"/>
        <cfvo type="num" val="1"/>
      </iconSet>
    </cfRule>
    <cfRule type="dataBar" priority="3968">
      <dataBar>
        <cfvo type="num" val="0"/>
        <cfvo type="num" val="1"/>
        <color theme="4" tint="0.79998168889431442"/>
      </dataBar>
      <extLst>
        <ext xmlns:x14="http://schemas.microsoft.com/office/spreadsheetml/2009/9/main" uri="{B025F937-C7B1-47D3-B67F-A62EFF666E3E}">
          <x14:id>{BC24A171-5856-4448-A2EC-AE805A1F7353}</x14:id>
        </ext>
      </extLst>
    </cfRule>
  </conditionalFormatting>
  <conditionalFormatting sqref="AP97">
    <cfRule type="iconSet" priority="1950">
      <iconSet iconSet="3Arrows">
        <cfvo type="percent" val="0"/>
        <cfvo type="num" val="0.7"/>
        <cfvo type="num" val="1"/>
      </iconSet>
    </cfRule>
    <cfRule type="dataBar" priority="1951">
      <dataBar>
        <cfvo type="num" val="0"/>
        <cfvo type="num" val="1"/>
        <color theme="4" tint="0.79998168889431442"/>
      </dataBar>
      <extLst>
        <ext xmlns:x14="http://schemas.microsoft.com/office/spreadsheetml/2009/9/main" uri="{B025F937-C7B1-47D3-B67F-A62EFF666E3E}">
          <x14:id>{B730A623-0CEB-4151-99D3-F03E586CC09F}</x14:id>
        </ext>
      </extLst>
    </cfRule>
  </conditionalFormatting>
  <conditionalFormatting sqref="AP99">
    <cfRule type="iconSet" priority="1987">
      <iconSet iconSet="3Arrows">
        <cfvo type="percent" val="0"/>
        <cfvo type="num" val="0.7"/>
        <cfvo type="num" val="1"/>
      </iconSet>
    </cfRule>
    <cfRule type="dataBar" priority="1988">
      <dataBar>
        <cfvo type="num" val="0"/>
        <cfvo type="num" val="1"/>
        <color theme="4" tint="0.79998168889431442"/>
      </dataBar>
      <extLst>
        <ext xmlns:x14="http://schemas.microsoft.com/office/spreadsheetml/2009/9/main" uri="{B025F937-C7B1-47D3-B67F-A62EFF666E3E}">
          <x14:id>{DFF6059C-1247-45C6-ACD3-2BA8AC8556B6}</x14:id>
        </ext>
      </extLst>
    </cfRule>
  </conditionalFormatting>
  <conditionalFormatting sqref="AP101">
    <cfRule type="iconSet" priority="1924">
      <iconSet iconSet="3Arrows">
        <cfvo type="percent" val="0"/>
        <cfvo type="num" val="0.7"/>
        <cfvo type="num" val="1"/>
      </iconSet>
    </cfRule>
    <cfRule type="dataBar" priority="1925">
      <dataBar>
        <cfvo type="num" val="0"/>
        <cfvo type="num" val="1"/>
        <color theme="4" tint="0.79998168889431442"/>
      </dataBar>
      <extLst>
        <ext xmlns:x14="http://schemas.microsoft.com/office/spreadsheetml/2009/9/main" uri="{B025F937-C7B1-47D3-B67F-A62EFF666E3E}">
          <x14:id>{E204FB60-2318-4395-9818-8AFFBB164C05}</x14:id>
        </ext>
      </extLst>
    </cfRule>
  </conditionalFormatting>
  <conditionalFormatting sqref="AP103">
    <cfRule type="iconSet" priority="3979">
      <iconSet iconSet="3Arrows">
        <cfvo type="percent" val="0"/>
        <cfvo type="num" val="0.7"/>
        <cfvo type="num" val="1"/>
      </iconSet>
    </cfRule>
    <cfRule type="dataBar" priority="3980">
      <dataBar>
        <cfvo type="num" val="0"/>
        <cfvo type="num" val="1"/>
        <color theme="4" tint="0.79998168889431442"/>
      </dataBar>
      <extLst>
        <ext xmlns:x14="http://schemas.microsoft.com/office/spreadsheetml/2009/9/main" uri="{B025F937-C7B1-47D3-B67F-A62EFF666E3E}">
          <x14:id>{27A85BE0-4381-40F5-897A-9255A09E3489}</x14:id>
        </ext>
      </extLst>
    </cfRule>
  </conditionalFormatting>
  <conditionalFormatting sqref="AP105">
    <cfRule type="iconSet" priority="3971">
      <iconSet iconSet="3Arrows">
        <cfvo type="percent" val="0"/>
        <cfvo type="num" val="0.7"/>
        <cfvo type="num" val="1"/>
      </iconSet>
    </cfRule>
    <cfRule type="dataBar" priority="3972">
      <dataBar>
        <cfvo type="num" val="0"/>
        <cfvo type="num" val="1"/>
        <color theme="4" tint="0.79998168889431442"/>
      </dataBar>
      <extLst>
        <ext xmlns:x14="http://schemas.microsoft.com/office/spreadsheetml/2009/9/main" uri="{B025F937-C7B1-47D3-B67F-A62EFF666E3E}">
          <x14:id>{EA05B1A8-5DA9-40E7-B4BC-10AC83C8E0F0}</x14:id>
        </ext>
      </extLst>
    </cfRule>
  </conditionalFormatting>
  <conditionalFormatting sqref="AP107">
    <cfRule type="iconSet" priority="3969">
      <iconSet iconSet="3Arrows">
        <cfvo type="percent" val="0"/>
        <cfvo type="num" val="0.7"/>
        <cfvo type="num" val="1"/>
      </iconSet>
    </cfRule>
    <cfRule type="dataBar" priority="3970">
      <dataBar>
        <cfvo type="num" val="0"/>
        <cfvo type="num" val="1"/>
        <color theme="4" tint="0.79998168889431442"/>
      </dataBar>
      <extLst>
        <ext xmlns:x14="http://schemas.microsoft.com/office/spreadsheetml/2009/9/main" uri="{B025F937-C7B1-47D3-B67F-A62EFF666E3E}">
          <x14:id>{81CA34F3-7D96-42A5-996C-325D936E555B}</x14:id>
        </ext>
      </extLst>
    </cfRule>
  </conditionalFormatting>
  <conditionalFormatting sqref="AP109">
    <cfRule type="iconSet" priority="2847">
      <iconSet iconSet="3Arrows">
        <cfvo type="percent" val="0"/>
        <cfvo type="num" val="0.7"/>
        <cfvo type="num" val="1"/>
      </iconSet>
    </cfRule>
    <cfRule type="dataBar" priority="2848">
      <dataBar>
        <cfvo type="num" val="0"/>
        <cfvo type="num" val="1"/>
        <color theme="4" tint="0.79998168889431442"/>
      </dataBar>
      <extLst>
        <ext xmlns:x14="http://schemas.microsoft.com/office/spreadsheetml/2009/9/main" uri="{B025F937-C7B1-47D3-B67F-A62EFF666E3E}">
          <x14:id>{4A89A1A0-911C-42F4-8D15-C92780F9AA0E}</x14:id>
        </ext>
      </extLst>
    </cfRule>
  </conditionalFormatting>
  <conditionalFormatting sqref="AP113">
    <cfRule type="iconSet" priority="3975">
      <iconSet iconSet="3Arrows">
        <cfvo type="percent" val="0"/>
        <cfvo type="num" val="0.7"/>
        <cfvo type="num" val="1"/>
      </iconSet>
    </cfRule>
    <cfRule type="dataBar" priority="3976">
      <dataBar>
        <cfvo type="num" val="0"/>
        <cfvo type="num" val="1"/>
        <color theme="4" tint="0.79998168889431442"/>
      </dataBar>
      <extLst>
        <ext xmlns:x14="http://schemas.microsoft.com/office/spreadsheetml/2009/9/main" uri="{B025F937-C7B1-47D3-B67F-A62EFF666E3E}">
          <x14:id>{1A1E978A-190C-41CF-933E-BF2E432C3E4A}</x14:id>
        </ext>
      </extLst>
    </cfRule>
  </conditionalFormatting>
  <conditionalFormatting sqref="AP115">
    <cfRule type="iconSet" priority="3973">
      <iconSet iconSet="3Arrows">
        <cfvo type="percent" val="0"/>
        <cfvo type="num" val="0.7"/>
        <cfvo type="num" val="1"/>
      </iconSet>
    </cfRule>
    <cfRule type="dataBar" priority="3974">
      <dataBar>
        <cfvo type="num" val="0"/>
        <cfvo type="num" val="1"/>
        <color theme="4" tint="0.79998168889431442"/>
      </dataBar>
      <extLst>
        <ext xmlns:x14="http://schemas.microsoft.com/office/spreadsheetml/2009/9/main" uri="{B025F937-C7B1-47D3-B67F-A62EFF666E3E}">
          <x14:id>{53DC4AFE-C3C9-4A7C-B9C7-5F585BE65D4E}</x14:id>
        </ext>
      </extLst>
    </cfRule>
  </conditionalFormatting>
  <conditionalFormatting sqref="AP119">
    <cfRule type="iconSet" priority="4074">
      <iconSet iconSet="3Arrows">
        <cfvo type="percent" val="0"/>
        <cfvo type="num" val="0.7"/>
        <cfvo type="num" val="1"/>
      </iconSet>
    </cfRule>
    <cfRule type="dataBar" priority="4075">
      <dataBar>
        <cfvo type="num" val="0"/>
        <cfvo type="num" val="1"/>
        <color theme="4" tint="0.79998168889431442"/>
      </dataBar>
      <extLst>
        <ext xmlns:x14="http://schemas.microsoft.com/office/spreadsheetml/2009/9/main" uri="{B025F937-C7B1-47D3-B67F-A62EFF666E3E}">
          <x14:id>{0D5D7A9E-42F0-411D-8EA9-E61B6FA126FE}</x14:id>
        </ext>
      </extLst>
    </cfRule>
  </conditionalFormatting>
  <conditionalFormatting sqref="AP121">
    <cfRule type="iconSet" priority="4095">
      <iconSet iconSet="3Arrows">
        <cfvo type="percent" val="0"/>
        <cfvo type="num" val="0.7"/>
        <cfvo type="num" val="1"/>
      </iconSet>
    </cfRule>
    <cfRule type="dataBar" priority="4096">
      <dataBar>
        <cfvo type="num" val="0"/>
        <cfvo type="num" val="1"/>
        <color theme="4" tint="0.79998168889431442"/>
      </dataBar>
      <extLst>
        <ext xmlns:x14="http://schemas.microsoft.com/office/spreadsheetml/2009/9/main" uri="{B025F937-C7B1-47D3-B67F-A62EFF666E3E}">
          <x14:id>{9E6F4526-B0D9-42BE-9320-7C3BC62E97D5}</x14:id>
        </ext>
      </extLst>
    </cfRule>
  </conditionalFormatting>
  <conditionalFormatting sqref="AP123">
    <cfRule type="iconSet" priority="4031">
      <iconSet iconSet="3Arrows">
        <cfvo type="percent" val="0"/>
        <cfvo type="num" val="0.7"/>
        <cfvo type="num" val="1"/>
      </iconSet>
    </cfRule>
    <cfRule type="dataBar" priority="4032">
      <dataBar>
        <cfvo type="num" val="0"/>
        <cfvo type="num" val="1"/>
        <color theme="4" tint="0.79998168889431442"/>
      </dataBar>
      <extLst>
        <ext xmlns:x14="http://schemas.microsoft.com/office/spreadsheetml/2009/9/main" uri="{B025F937-C7B1-47D3-B67F-A62EFF666E3E}">
          <x14:id>{9ABEEDED-0EFA-41B5-AB71-BA7C593FF67E}</x14:id>
        </ext>
      </extLst>
    </cfRule>
  </conditionalFormatting>
  <conditionalFormatting sqref="AP125">
    <cfRule type="iconSet" priority="3478">
      <iconSet iconSet="3Arrows">
        <cfvo type="percent" val="0"/>
        <cfvo type="num" val="0.7"/>
        <cfvo type="num" val="1"/>
      </iconSet>
    </cfRule>
    <cfRule type="dataBar" priority="3479">
      <dataBar>
        <cfvo type="num" val="0"/>
        <cfvo type="num" val="1"/>
        <color theme="4" tint="0.79998168889431442"/>
      </dataBar>
      <extLst>
        <ext xmlns:x14="http://schemas.microsoft.com/office/spreadsheetml/2009/9/main" uri="{B025F937-C7B1-47D3-B67F-A62EFF666E3E}">
          <x14:id>{8FEC8876-D047-47BB-8A84-C505FCE4406E}</x14:id>
        </ext>
      </extLst>
    </cfRule>
  </conditionalFormatting>
  <conditionalFormatting sqref="AP127">
    <cfRule type="iconSet" priority="3237">
      <iconSet iconSet="3Arrows">
        <cfvo type="percent" val="0"/>
        <cfvo type="num" val="0.7"/>
        <cfvo type="num" val="1"/>
      </iconSet>
    </cfRule>
    <cfRule type="dataBar" priority="3238">
      <dataBar>
        <cfvo type="num" val="0"/>
        <cfvo type="num" val="1"/>
        <color theme="4" tint="0.79998168889431442"/>
      </dataBar>
      <extLst>
        <ext xmlns:x14="http://schemas.microsoft.com/office/spreadsheetml/2009/9/main" uri="{B025F937-C7B1-47D3-B67F-A62EFF666E3E}">
          <x14:id>{8DFCA0C2-5F98-4F7E-A52F-7A578F09A27D}</x14:id>
        </ext>
      </extLst>
    </cfRule>
  </conditionalFormatting>
  <conditionalFormatting sqref="AP129">
    <cfRule type="iconSet" priority="4029">
      <iconSet iconSet="3Arrows">
        <cfvo type="percent" val="0"/>
        <cfvo type="num" val="0.7"/>
        <cfvo type="num" val="1"/>
      </iconSet>
    </cfRule>
    <cfRule type="dataBar" priority="4030">
      <dataBar>
        <cfvo type="num" val="0"/>
        <cfvo type="num" val="1"/>
        <color theme="4" tint="0.79998168889431442"/>
      </dataBar>
      <extLst>
        <ext xmlns:x14="http://schemas.microsoft.com/office/spreadsheetml/2009/9/main" uri="{B025F937-C7B1-47D3-B67F-A62EFF666E3E}">
          <x14:id>{B8D3CF18-9DCA-4202-B636-7974A4FA5E08}</x14:id>
        </ext>
      </extLst>
    </cfRule>
  </conditionalFormatting>
  <conditionalFormatting sqref="AP131">
    <cfRule type="iconSet" priority="2948">
      <iconSet iconSet="3Arrows">
        <cfvo type="percent" val="0"/>
        <cfvo type="num" val="0.7"/>
        <cfvo type="num" val="1"/>
      </iconSet>
    </cfRule>
    <cfRule type="dataBar" priority="2949">
      <dataBar>
        <cfvo type="num" val="0"/>
        <cfvo type="num" val="1"/>
        <color theme="4" tint="0.79998168889431442"/>
      </dataBar>
      <extLst>
        <ext xmlns:x14="http://schemas.microsoft.com/office/spreadsheetml/2009/9/main" uri="{B025F937-C7B1-47D3-B67F-A62EFF666E3E}">
          <x14:id>{89482C03-751F-4909-B157-AF22B0519538}</x14:id>
        </ext>
      </extLst>
    </cfRule>
  </conditionalFormatting>
  <conditionalFormatting sqref="AP134">
    <cfRule type="iconSet" priority="1492">
      <iconSet iconSet="3Arrows">
        <cfvo type="percent" val="0"/>
        <cfvo type="num" val="0.7"/>
        <cfvo type="num" val="1"/>
      </iconSet>
    </cfRule>
    <cfRule type="dataBar" priority="1493">
      <dataBar>
        <cfvo type="num" val="0"/>
        <cfvo type="num" val="1"/>
        <color theme="4" tint="0.79998168889431442"/>
      </dataBar>
      <extLst>
        <ext xmlns:x14="http://schemas.microsoft.com/office/spreadsheetml/2009/9/main" uri="{B025F937-C7B1-47D3-B67F-A62EFF666E3E}">
          <x14:id>{486B39C9-82DE-4130-887C-DCA6AD9D10F3}</x14:id>
        </ext>
      </extLst>
    </cfRule>
  </conditionalFormatting>
  <conditionalFormatting sqref="AP137">
    <cfRule type="iconSet" priority="4052">
      <iconSet iconSet="3Arrows">
        <cfvo type="percent" val="0"/>
        <cfvo type="num" val="0.7"/>
        <cfvo type="num" val="1"/>
      </iconSet>
    </cfRule>
    <cfRule type="dataBar" priority="4053">
      <dataBar>
        <cfvo type="num" val="0"/>
        <cfvo type="num" val="1"/>
        <color theme="4" tint="0.79998168889431442"/>
      </dataBar>
      <extLst>
        <ext xmlns:x14="http://schemas.microsoft.com/office/spreadsheetml/2009/9/main" uri="{B025F937-C7B1-47D3-B67F-A62EFF666E3E}">
          <x14:id>{7BAE9A6C-8670-478A-AB43-3B74983604F6}</x14:id>
        </ext>
      </extLst>
    </cfRule>
  </conditionalFormatting>
  <conditionalFormatting sqref="AP140">
    <cfRule type="iconSet" priority="3962">
      <iconSet iconSet="3Arrows">
        <cfvo type="percent" val="0"/>
        <cfvo type="num" val="0.7"/>
        <cfvo type="num" val="1"/>
      </iconSet>
    </cfRule>
    <cfRule type="dataBar" priority="3963">
      <dataBar>
        <cfvo type="num" val="0"/>
        <cfvo type="num" val="1"/>
        <color theme="4" tint="0.79998168889431442"/>
      </dataBar>
      <extLst>
        <ext xmlns:x14="http://schemas.microsoft.com/office/spreadsheetml/2009/9/main" uri="{B025F937-C7B1-47D3-B67F-A62EFF666E3E}">
          <x14:id>{96D8147A-2D8D-4813-A0F4-872E63AC6AFD}</x14:id>
        </ext>
      </extLst>
    </cfRule>
  </conditionalFormatting>
  <conditionalFormatting sqref="AP142">
    <cfRule type="iconSet" priority="3888">
      <iconSet iconSet="3Arrows">
        <cfvo type="percent" val="0"/>
        <cfvo type="num" val="0.7"/>
        <cfvo type="num" val="1"/>
      </iconSet>
    </cfRule>
    <cfRule type="dataBar" priority="3889">
      <dataBar>
        <cfvo type="num" val="0"/>
        <cfvo type="num" val="1"/>
        <color theme="4" tint="0.79998168889431442"/>
      </dataBar>
      <extLst>
        <ext xmlns:x14="http://schemas.microsoft.com/office/spreadsheetml/2009/9/main" uri="{B025F937-C7B1-47D3-B67F-A62EFF666E3E}">
          <x14:id>{C0304262-7A2B-4E7E-8506-8D10455135D5}</x14:id>
        </ext>
      </extLst>
    </cfRule>
  </conditionalFormatting>
  <conditionalFormatting sqref="AP144">
    <cfRule type="iconSet" priority="3883">
      <iconSet iconSet="3Arrows">
        <cfvo type="percent" val="0"/>
        <cfvo type="num" val="0.7"/>
        <cfvo type="num" val="1"/>
      </iconSet>
    </cfRule>
    <cfRule type="dataBar" priority="3884">
      <dataBar>
        <cfvo type="num" val="0"/>
        <cfvo type="num" val="1"/>
        <color theme="4" tint="0.79998168889431442"/>
      </dataBar>
      <extLst>
        <ext xmlns:x14="http://schemas.microsoft.com/office/spreadsheetml/2009/9/main" uri="{B025F937-C7B1-47D3-B67F-A62EFF666E3E}">
          <x14:id>{7A5A4561-796B-4B1E-96AD-9A2BCBC57D4D}</x14:id>
        </ext>
      </extLst>
    </cfRule>
  </conditionalFormatting>
  <conditionalFormatting sqref="AP146">
    <cfRule type="iconSet" priority="1381">
      <iconSet iconSet="3Arrows">
        <cfvo type="percent" val="0"/>
        <cfvo type="num" val="0.7"/>
        <cfvo type="num" val="1"/>
      </iconSet>
    </cfRule>
    <cfRule type="dataBar" priority="1382">
      <dataBar>
        <cfvo type="num" val="0"/>
        <cfvo type="num" val="1"/>
        <color theme="4" tint="0.79998168889431442"/>
      </dataBar>
      <extLst>
        <ext xmlns:x14="http://schemas.microsoft.com/office/spreadsheetml/2009/9/main" uri="{B025F937-C7B1-47D3-B67F-A62EFF666E3E}">
          <x14:id>{37CE0CB5-AF48-4AEE-B85C-5FBA5F35AD44}</x14:id>
        </ext>
      </extLst>
    </cfRule>
  </conditionalFormatting>
  <conditionalFormatting sqref="AP148">
    <cfRule type="iconSet" priority="3960">
      <iconSet iconSet="3Arrows">
        <cfvo type="percent" val="0"/>
        <cfvo type="num" val="0.7"/>
        <cfvo type="num" val="1"/>
      </iconSet>
    </cfRule>
    <cfRule type="dataBar" priority="3961">
      <dataBar>
        <cfvo type="num" val="0"/>
        <cfvo type="num" val="1"/>
        <color theme="4" tint="0.79998168889431442"/>
      </dataBar>
      <extLst>
        <ext xmlns:x14="http://schemas.microsoft.com/office/spreadsheetml/2009/9/main" uri="{B025F937-C7B1-47D3-B67F-A62EFF666E3E}">
          <x14:id>{81F80592-5D3E-4540-84C3-1C6E97739281}</x14:id>
        </ext>
      </extLst>
    </cfRule>
  </conditionalFormatting>
  <conditionalFormatting sqref="AP150">
    <cfRule type="iconSet" priority="3925">
      <iconSet iconSet="3Arrows">
        <cfvo type="percent" val="0"/>
        <cfvo type="num" val="0.7"/>
        <cfvo type="num" val="1"/>
      </iconSet>
    </cfRule>
    <cfRule type="dataBar" priority="3926">
      <dataBar>
        <cfvo type="num" val="0"/>
        <cfvo type="num" val="1"/>
        <color theme="4" tint="0.79998168889431442"/>
      </dataBar>
      <extLst>
        <ext xmlns:x14="http://schemas.microsoft.com/office/spreadsheetml/2009/9/main" uri="{B025F937-C7B1-47D3-B67F-A62EFF666E3E}">
          <x14:id>{2BF60127-E49D-4535-868B-AC9294B606A5}</x14:id>
        </ext>
      </extLst>
    </cfRule>
  </conditionalFormatting>
  <conditionalFormatting sqref="AP152">
    <cfRule type="iconSet" priority="3891">
      <iconSet iconSet="3Arrows">
        <cfvo type="percent" val="0"/>
        <cfvo type="num" val="0.7"/>
        <cfvo type="num" val="1"/>
      </iconSet>
    </cfRule>
    <cfRule type="dataBar" priority="3892">
      <dataBar>
        <cfvo type="num" val="0"/>
        <cfvo type="num" val="1"/>
        <color theme="4" tint="0.79998168889431442"/>
      </dataBar>
      <extLst>
        <ext xmlns:x14="http://schemas.microsoft.com/office/spreadsheetml/2009/9/main" uri="{B025F937-C7B1-47D3-B67F-A62EFF666E3E}">
          <x14:id>{41DEAF96-55D8-4E24-8D2C-C207E539F3C1}</x14:id>
        </ext>
      </extLst>
    </cfRule>
  </conditionalFormatting>
  <conditionalFormatting sqref="AP154">
    <cfRule type="iconSet" priority="3343">
      <iconSet iconSet="3Arrows">
        <cfvo type="percent" val="0"/>
        <cfvo type="num" val="0.7"/>
        <cfvo type="num" val="1"/>
      </iconSet>
    </cfRule>
    <cfRule type="dataBar" priority="3344">
      <dataBar>
        <cfvo type="num" val="0"/>
        <cfvo type="num" val="1"/>
        <color theme="4" tint="0.79998168889431442"/>
      </dataBar>
      <extLst>
        <ext xmlns:x14="http://schemas.microsoft.com/office/spreadsheetml/2009/9/main" uri="{B025F937-C7B1-47D3-B67F-A62EFF666E3E}">
          <x14:id>{2B14C710-E692-4771-8148-C62FF7C444C9}</x14:id>
        </ext>
      </extLst>
    </cfRule>
  </conditionalFormatting>
  <conditionalFormatting sqref="AP156">
    <cfRule type="iconSet" priority="4097">
      <iconSet iconSet="3Arrows">
        <cfvo type="percent" val="0"/>
        <cfvo type="num" val="0.7"/>
        <cfvo type="num" val="1"/>
      </iconSet>
    </cfRule>
    <cfRule type="dataBar" priority="4098">
      <dataBar>
        <cfvo type="num" val="0"/>
        <cfvo type="num" val="1"/>
        <color theme="4" tint="0.79998168889431442"/>
      </dataBar>
      <extLst>
        <ext xmlns:x14="http://schemas.microsoft.com/office/spreadsheetml/2009/9/main" uri="{B025F937-C7B1-47D3-B67F-A62EFF666E3E}">
          <x14:id>{55D6BB11-1CE6-4DA9-8310-9D588C37EE40}</x14:id>
        </ext>
      </extLst>
    </cfRule>
  </conditionalFormatting>
  <conditionalFormatting sqref="AP158">
    <cfRule type="iconSet" priority="3921">
      <iconSet iconSet="3Arrows">
        <cfvo type="percent" val="0"/>
        <cfvo type="num" val="0.7"/>
        <cfvo type="num" val="1"/>
      </iconSet>
    </cfRule>
    <cfRule type="dataBar" priority="3922">
      <dataBar>
        <cfvo type="num" val="0"/>
        <cfvo type="num" val="1"/>
        <color theme="4" tint="0.79998168889431442"/>
      </dataBar>
      <extLst>
        <ext xmlns:x14="http://schemas.microsoft.com/office/spreadsheetml/2009/9/main" uri="{B025F937-C7B1-47D3-B67F-A62EFF666E3E}">
          <x14:id>{5F660B55-15AF-4C58-A731-E9B39C30A99F}</x14:id>
        </ext>
      </extLst>
    </cfRule>
  </conditionalFormatting>
  <conditionalFormatting sqref="AP160">
    <cfRule type="iconSet" priority="3923">
      <iconSet iconSet="3Arrows">
        <cfvo type="percent" val="0"/>
        <cfvo type="num" val="0.7"/>
        <cfvo type="num" val="1"/>
      </iconSet>
    </cfRule>
    <cfRule type="dataBar" priority="3924">
      <dataBar>
        <cfvo type="num" val="0"/>
        <cfvo type="num" val="1"/>
        <color theme="4" tint="0.79998168889431442"/>
      </dataBar>
      <extLst>
        <ext xmlns:x14="http://schemas.microsoft.com/office/spreadsheetml/2009/9/main" uri="{B025F937-C7B1-47D3-B67F-A62EFF666E3E}">
          <x14:id>{F9B0AEC3-E598-4089-A608-6F9995526611}</x14:id>
        </ext>
      </extLst>
    </cfRule>
  </conditionalFormatting>
  <conditionalFormatting sqref="AP162">
    <cfRule type="iconSet" priority="3886">
      <iconSet iconSet="3Arrows">
        <cfvo type="percent" val="0"/>
        <cfvo type="num" val="0.7"/>
        <cfvo type="num" val="1"/>
      </iconSet>
    </cfRule>
    <cfRule type="dataBar" priority="3887">
      <dataBar>
        <cfvo type="num" val="0"/>
        <cfvo type="num" val="1"/>
        <color theme="4" tint="0.79998168889431442"/>
      </dataBar>
      <extLst>
        <ext xmlns:x14="http://schemas.microsoft.com/office/spreadsheetml/2009/9/main" uri="{B025F937-C7B1-47D3-B67F-A62EFF666E3E}">
          <x14:id>{124B3858-A91F-4A12-98C9-2DB4D78F4593}</x14:id>
        </ext>
      </extLst>
    </cfRule>
  </conditionalFormatting>
  <conditionalFormatting sqref="AP164">
    <cfRule type="iconSet" priority="2151">
      <iconSet iconSet="3Arrows">
        <cfvo type="percent" val="0"/>
        <cfvo type="num" val="0.7"/>
        <cfvo type="num" val="1"/>
      </iconSet>
    </cfRule>
    <cfRule type="dataBar" priority="2152">
      <dataBar>
        <cfvo type="num" val="0"/>
        <cfvo type="num" val="1"/>
        <color theme="4" tint="0.79998168889431442"/>
      </dataBar>
      <extLst>
        <ext xmlns:x14="http://schemas.microsoft.com/office/spreadsheetml/2009/9/main" uri="{B025F937-C7B1-47D3-B67F-A62EFF666E3E}">
          <x14:id>{89881AFA-4719-409C-9367-9D3D3C060559}</x14:id>
        </ext>
      </extLst>
    </cfRule>
  </conditionalFormatting>
  <conditionalFormatting sqref="AP166">
    <cfRule type="iconSet" priority="3903">
      <iconSet iconSet="3Arrows">
        <cfvo type="percent" val="0"/>
        <cfvo type="num" val="0.7"/>
        <cfvo type="num" val="1"/>
      </iconSet>
    </cfRule>
    <cfRule type="dataBar" priority="3904">
      <dataBar>
        <cfvo type="num" val="0"/>
        <cfvo type="num" val="1"/>
        <color theme="4" tint="0.79998168889431442"/>
      </dataBar>
      <extLst>
        <ext xmlns:x14="http://schemas.microsoft.com/office/spreadsheetml/2009/9/main" uri="{B025F937-C7B1-47D3-B67F-A62EFF666E3E}">
          <x14:id>{9980F87B-E70D-4B09-8E59-E457FA1EBC69}</x14:id>
        </ext>
      </extLst>
    </cfRule>
  </conditionalFormatting>
  <conditionalFormatting sqref="AP168">
    <cfRule type="iconSet" priority="3919">
      <iconSet iconSet="3Arrows">
        <cfvo type="percent" val="0"/>
        <cfvo type="num" val="0.7"/>
        <cfvo type="num" val="1"/>
      </iconSet>
    </cfRule>
    <cfRule type="dataBar" priority="3920">
      <dataBar>
        <cfvo type="num" val="0"/>
        <cfvo type="num" val="1"/>
        <color theme="4" tint="0.79998168889431442"/>
      </dataBar>
      <extLst>
        <ext xmlns:x14="http://schemas.microsoft.com/office/spreadsheetml/2009/9/main" uri="{B025F937-C7B1-47D3-B67F-A62EFF666E3E}">
          <x14:id>{250DEE08-A98F-429D-ACB2-B96E3E346721}</x14:id>
        </ext>
      </extLst>
    </cfRule>
  </conditionalFormatting>
  <conditionalFormatting sqref="AP170">
    <cfRule type="iconSet" priority="3956">
      <iconSet iconSet="3Arrows">
        <cfvo type="percent" val="0"/>
        <cfvo type="num" val="0.7"/>
        <cfvo type="num" val="1"/>
      </iconSet>
    </cfRule>
    <cfRule type="dataBar" priority="3957">
      <dataBar>
        <cfvo type="num" val="0"/>
        <cfvo type="num" val="1"/>
        <color theme="4" tint="0.79998168889431442"/>
      </dataBar>
      <extLst>
        <ext xmlns:x14="http://schemas.microsoft.com/office/spreadsheetml/2009/9/main" uri="{B025F937-C7B1-47D3-B67F-A62EFF666E3E}">
          <x14:id>{597266BB-EFFB-4D5B-B68E-55443417EC92}</x14:id>
        </ext>
      </extLst>
    </cfRule>
  </conditionalFormatting>
  <conditionalFormatting sqref="AP172">
    <cfRule type="iconSet" priority="3901">
      <iconSet iconSet="3Arrows">
        <cfvo type="percent" val="0"/>
        <cfvo type="num" val="0.7"/>
        <cfvo type="num" val="1"/>
      </iconSet>
    </cfRule>
    <cfRule type="dataBar" priority="3902">
      <dataBar>
        <cfvo type="num" val="0"/>
        <cfvo type="num" val="1"/>
        <color theme="4" tint="0.79998168889431442"/>
      </dataBar>
      <extLst>
        <ext xmlns:x14="http://schemas.microsoft.com/office/spreadsheetml/2009/9/main" uri="{B025F937-C7B1-47D3-B67F-A62EFF666E3E}">
          <x14:id>{3AF3267A-9D0F-4FF9-8C34-A6910B27B57E}</x14:id>
        </ext>
      </extLst>
    </cfRule>
  </conditionalFormatting>
  <conditionalFormatting sqref="AP174">
    <cfRule type="iconSet" priority="3958">
      <iconSet iconSet="3Arrows">
        <cfvo type="percent" val="0"/>
        <cfvo type="num" val="0.7"/>
        <cfvo type="num" val="1"/>
      </iconSet>
    </cfRule>
    <cfRule type="dataBar" priority="3959">
      <dataBar>
        <cfvo type="num" val="0"/>
        <cfvo type="num" val="1"/>
        <color theme="4" tint="0.79998168889431442"/>
      </dataBar>
      <extLst>
        <ext xmlns:x14="http://schemas.microsoft.com/office/spreadsheetml/2009/9/main" uri="{B025F937-C7B1-47D3-B67F-A62EFF666E3E}">
          <x14:id>{89A10523-5255-4289-A6D7-B6BDE5B83381}</x14:id>
        </ext>
      </extLst>
    </cfRule>
  </conditionalFormatting>
  <conditionalFormatting sqref="AP176">
    <cfRule type="iconSet" priority="3159">
      <iconSet iconSet="3Arrows">
        <cfvo type="percent" val="0"/>
        <cfvo type="num" val="0.7"/>
        <cfvo type="num" val="1"/>
      </iconSet>
    </cfRule>
    <cfRule type="dataBar" priority="3160">
      <dataBar>
        <cfvo type="num" val="0"/>
        <cfvo type="num" val="1"/>
        <color theme="4" tint="0.79998168889431442"/>
      </dataBar>
      <extLst>
        <ext xmlns:x14="http://schemas.microsoft.com/office/spreadsheetml/2009/9/main" uri="{B025F937-C7B1-47D3-B67F-A62EFF666E3E}">
          <x14:id>{C7235718-5E02-420A-8B71-6A163D7AD1D9}</x14:id>
        </ext>
      </extLst>
    </cfRule>
  </conditionalFormatting>
  <conditionalFormatting sqref="AP180">
    <cfRule type="iconSet" priority="4054">
      <iconSet iconSet="3Arrows">
        <cfvo type="percent" val="0"/>
        <cfvo type="num" val="0.7"/>
        <cfvo type="num" val="1"/>
      </iconSet>
    </cfRule>
    <cfRule type="dataBar" priority="4055">
      <dataBar>
        <cfvo type="num" val="0"/>
        <cfvo type="num" val="1"/>
        <color theme="4" tint="0.79998168889431442"/>
      </dataBar>
      <extLst>
        <ext xmlns:x14="http://schemas.microsoft.com/office/spreadsheetml/2009/9/main" uri="{B025F937-C7B1-47D3-B67F-A62EFF666E3E}">
          <x14:id>{B53525E0-9275-4899-97A4-8F5C5151749B}</x14:id>
        </ext>
      </extLst>
    </cfRule>
  </conditionalFormatting>
  <conditionalFormatting sqref="AP182">
    <cfRule type="iconSet" priority="3915">
      <iconSet iconSet="3Arrows">
        <cfvo type="percent" val="0"/>
        <cfvo type="num" val="0.7"/>
        <cfvo type="num" val="1"/>
      </iconSet>
    </cfRule>
    <cfRule type="dataBar" priority="3916">
      <dataBar>
        <cfvo type="num" val="0"/>
        <cfvo type="num" val="1"/>
        <color theme="4" tint="0.79998168889431442"/>
      </dataBar>
      <extLst>
        <ext xmlns:x14="http://schemas.microsoft.com/office/spreadsheetml/2009/9/main" uri="{B025F937-C7B1-47D3-B67F-A62EFF666E3E}">
          <x14:id>{F5DBAB0B-6A12-46FD-905B-259D0779E5FC}</x14:id>
        </ext>
      </extLst>
    </cfRule>
  </conditionalFormatting>
  <conditionalFormatting sqref="AP184">
    <cfRule type="iconSet" priority="3917">
      <iconSet iconSet="3Arrows">
        <cfvo type="percent" val="0"/>
        <cfvo type="num" val="0.7"/>
        <cfvo type="num" val="1"/>
      </iconSet>
    </cfRule>
    <cfRule type="dataBar" priority="3918">
      <dataBar>
        <cfvo type="num" val="0"/>
        <cfvo type="num" val="1"/>
        <color theme="4" tint="0.79998168889431442"/>
      </dataBar>
      <extLst>
        <ext xmlns:x14="http://schemas.microsoft.com/office/spreadsheetml/2009/9/main" uri="{B025F937-C7B1-47D3-B67F-A62EFF666E3E}">
          <x14:id>{245AB351-6CC7-4BA0-8EA2-ECDFFF2423B8}</x14:id>
        </ext>
      </extLst>
    </cfRule>
  </conditionalFormatting>
  <conditionalFormatting sqref="AP186">
    <cfRule type="iconSet" priority="3219">
      <iconSet iconSet="3Arrows">
        <cfvo type="percent" val="0"/>
        <cfvo type="num" val="0.7"/>
        <cfvo type="num" val="1"/>
      </iconSet>
    </cfRule>
    <cfRule type="dataBar" priority="3220">
      <dataBar>
        <cfvo type="num" val="0"/>
        <cfvo type="num" val="1"/>
        <color theme="4" tint="0.79998168889431442"/>
      </dataBar>
      <extLst>
        <ext xmlns:x14="http://schemas.microsoft.com/office/spreadsheetml/2009/9/main" uri="{B025F937-C7B1-47D3-B67F-A62EFF666E3E}">
          <x14:id>{25A388D2-EAD9-4143-9081-83C3FF383A3C}</x14:id>
        </ext>
      </extLst>
    </cfRule>
  </conditionalFormatting>
  <conditionalFormatting sqref="AP188">
    <cfRule type="iconSet" priority="2965">
      <iconSet iconSet="3Arrows">
        <cfvo type="percent" val="0"/>
        <cfvo type="num" val="0.7"/>
        <cfvo type="num" val="1"/>
      </iconSet>
    </cfRule>
    <cfRule type="dataBar" priority="2966">
      <dataBar>
        <cfvo type="num" val="0"/>
        <cfvo type="num" val="1"/>
        <color theme="4" tint="0.79998168889431442"/>
      </dataBar>
      <extLst>
        <ext xmlns:x14="http://schemas.microsoft.com/office/spreadsheetml/2009/9/main" uri="{B025F937-C7B1-47D3-B67F-A62EFF666E3E}">
          <x14:id>{91821DFF-DDA3-42CD-9C0C-49125EC9E83D}</x14:id>
        </ext>
      </extLst>
    </cfRule>
  </conditionalFormatting>
  <conditionalFormatting sqref="AP190">
    <cfRule type="iconSet" priority="3205">
      <iconSet iconSet="3Arrows">
        <cfvo type="percent" val="0"/>
        <cfvo type="num" val="0.7"/>
        <cfvo type="num" val="1"/>
      </iconSet>
    </cfRule>
    <cfRule type="dataBar" priority="3206">
      <dataBar>
        <cfvo type="num" val="0"/>
        <cfvo type="num" val="1"/>
        <color theme="4" tint="0.79998168889431442"/>
      </dataBar>
      <extLst>
        <ext xmlns:x14="http://schemas.microsoft.com/office/spreadsheetml/2009/9/main" uri="{B025F937-C7B1-47D3-B67F-A62EFF666E3E}">
          <x14:id>{FDBDEE11-7798-4992-B68E-56EB6AEDB1E8}</x14:id>
        </ext>
      </extLst>
    </cfRule>
  </conditionalFormatting>
  <conditionalFormatting sqref="AP192">
    <cfRule type="iconSet" priority="3895">
      <iconSet iconSet="3Arrows">
        <cfvo type="percent" val="0"/>
        <cfvo type="num" val="0.7"/>
        <cfvo type="num" val="1"/>
      </iconSet>
    </cfRule>
    <cfRule type="dataBar" priority="3896">
      <dataBar>
        <cfvo type="num" val="0"/>
        <cfvo type="num" val="1"/>
        <color theme="4" tint="0.79998168889431442"/>
      </dataBar>
      <extLst>
        <ext xmlns:x14="http://schemas.microsoft.com/office/spreadsheetml/2009/9/main" uri="{B025F937-C7B1-47D3-B67F-A62EFF666E3E}">
          <x14:id>{8C94EF17-C095-4581-BA56-E1F7C577FCE4}</x14:id>
        </ext>
      </extLst>
    </cfRule>
  </conditionalFormatting>
  <conditionalFormatting sqref="AP194">
    <cfRule type="iconSet" priority="3899">
      <iconSet iconSet="3Arrows">
        <cfvo type="percent" val="0"/>
        <cfvo type="num" val="0.7"/>
        <cfvo type="num" val="1"/>
      </iconSet>
    </cfRule>
    <cfRule type="dataBar" priority="3900">
      <dataBar>
        <cfvo type="num" val="0"/>
        <cfvo type="num" val="1"/>
        <color theme="4" tint="0.79998168889431442"/>
      </dataBar>
      <extLst>
        <ext xmlns:x14="http://schemas.microsoft.com/office/spreadsheetml/2009/9/main" uri="{B025F937-C7B1-47D3-B67F-A62EFF666E3E}">
          <x14:id>{7AE9E3EA-F667-4608-8C2F-4ACA10EC0305}</x14:id>
        </ext>
      </extLst>
    </cfRule>
  </conditionalFormatting>
  <conditionalFormatting sqref="AP196">
    <cfRule type="iconSet" priority="2443">
      <iconSet iconSet="3Arrows">
        <cfvo type="percent" val="0"/>
        <cfvo type="num" val="0.7"/>
        <cfvo type="num" val="1"/>
      </iconSet>
    </cfRule>
    <cfRule type="dataBar" priority="2444">
      <dataBar>
        <cfvo type="num" val="0"/>
        <cfvo type="num" val="1"/>
        <color theme="4" tint="0.79998168889431442"/>
      </dataBar>
      <extLst>
        <ext xmlns:x14="http://schemas.microsoft.com/office/spreadsheetml/2009/9/main" uri="{B025F937-C7B1-47D3-B67F-A62EFF666E3E}">
          <x14:id>{304CD054-8581-4B87-861B-F68AA120F3A6}</x14:id>
        </ext>
      </extLst>
    </cfRule>
  </conditionalFormatting>
  <conditionalFormatting sqref="AP198">
    <cfRule type="iconSet" priority="3145">
      <iconSet iconSet="3Arrows">
        <cfvo type="percent" val="0"/>
        <cfvo type="num" val="0.7"/>
        <cfvo type="num" val="1"/>
      </iconSet>
    </cfRule>
    <cfRule type="dataBar" priority="3146">
      <dataBar>
        <cfvo type="num" val="0"/>
        <cfvo type="num" val="1"/>
        <color theme="4" tint="0.79998168889431442"/>
      </dataBar>
      <extLst>
        <ext xmlns:x14="http://schemas.microsoft.com/office/spreadsheetml/2009/9/main" uri="{B025F937-C7B1-47D3-B67F-A62EFF666E3E}">
          <x14:id>{60FEB104-C060-4D6B-890D-828EFA61C4FA}</x14:id>
        </ext>
      </extLst>
    </cfRule>
  </conditionalFormatting>
  <conditionalFormatting sqref="AP200">
    <cfRule type="iconSet" priority="3893">
      <iconSet iconSet="3Arrows">
        <cfvo type="percent" val="0"/>
        <cfvo type="num" val="0.7"/>
        <cfvo type="num" val="1"/>
      </iconSet>
    </cfRule>
    <cfRule type="dataBar" priority="3894">
      <dataBar>
        <cfvo type="num" val="0"/>
        <cfvo type="num" val="1"/>
        <color theme="4" tint="0.79998168889431442"/>
      </dataBar>
      <extLst>
        <ext xmlns:x14="http://schemas.microsoft.com/office/spreadsheetml/2009/9/main" uri="{B025F937-C7B1-47D3-B67F-A62EFF666E3E}">
          <x14:id>{E5422952-095B-4D6F-8B1D-22509C3AA7AA}</x14:id>
        </ext>
      </extLst>
    </cfRule>
  </conditionalFormatting>
  <conditionalFormatting sqref="AP202">
    <cfRule type="iconSet" priority="3897">
      <iconSet iconSet="3Arrows">
        <cfvo type="percent" val="0"/>
        <cfvo type="num" val="0.7"/>
        <cfvo type="num" val="1"/>
      </iconSet>
    </cfRule>
    <cfRule type="dataBar" priority="3898">
      <dataBar>
        <cfvo type="num" val="0"/>
        <cfvo type="num" val="1"/>
        <color theme="4" tint="0.79998168889431442"/>
      </dataBar>
      <extLst>
        <ext xmlns:x14="http://schemas.microsoft.com/office/spreadsheetml/2009/9/main" uri="{B025F937-C7B1-47D3-B67F-A62EFF666E3E}">
          <x14:id>{23ABD769-220E-4E58-961B-2141DF18A6BC}</x14:id>
        </ext>
      </extLst>
    </cfRule>
  </conditionalFormatting>
  <conditionalFormatting sqref="AP204">
    <cfRule type="iconSet" priority="3132">
      <iconSet iconSet="3Arrows">
        <cfvo type="percent" val="0"/>
        <cfvo type="num" val="0.7"/>
        <cfvo type="num" val="1"/>
      </iconSet>
    </cfRule>
    <cfRule type="dataBar" priority="3133">
      <dataBar>
        <cfvo type="num" val="0"/>
        <cfvo type="num" val="1"/>
        <color theme="4" tint="0.79998168889431442"/>
      </dataBar>
      <extLst>
        <ext xmlns:x14="http://schemas.microsoft.com/office/spreadsheetml/2009/9/main" uri="{B025F937-C7B1-47D3-B67F-A62EFF666E3E}">
          <x14:id>{07D2A754-C04D-4575-95BB-97F49FB19E1E}</x14:id>
        </ext>
      </extLst>
    </cfRule>
  </conditionalFormatting>
  <conditionalFormatting sqref="AP206">
    <cfRule type="iconSet" priority="2165">
      <iconSet iconSet="3Arrows">
        <cfvo type="percent" val="0"/>
        <cfvo type="num" val="0.7"/>
        <cfvo type="num" val="1"/>
      </iconSet>
    </cfRule>
    <cfRule type="dataBar" priority="2166">
      <dataBar>
        <cfvo type="num" val="0"/>
        <cfvo type="num" val="1"/>
        <color theme="4" tint="0.79998168889431442"/>
      </dataBar>
      <extLst>
        <ext xmlns:x14="http://schemas.microsoft.com/office/spreadsheetml/2009/9/main" uri="{B025F937-C7B1-47D3-B67F-A62EFF666E3E}">
          <x14:id>{CC94D811-8DE1-46A2-B630-DF3D70CF0618}</x14:id>
        </ext>
      </extLst>
    </cfRule>
  </conditionalFormatting>
  <conditionalFormatting sqref="AP208">
    <cfRule type="iconSet" priority="2430">
      <iconSet iconSet="3Arrows">
        <cfvo type="percent" val="0"/>
        <cfvo type="num" val="0.7"/>
        <cfvo type="num" val="1"/>
      </iconSet>
    </cfRule>
    <cfRule type="dataBar" priority="2431">
      <dataBar>
        <cfvo type="num" val="0"/>
        <cfvo type="num" val="1"/>
        <color theme="4" tint="0.79998168889431442"/>
      </dataBar>
      <extLst>
        <ext xmlns:x14="http://schemas.microsoft.com/office/spreadsheetml/2009/9/main" uri="{B025F937-C7B1-47D3-B67F-A62EFF666E3E}">
          <x14:id>{8BE9E459-4D3E-4942-8BBC-25CE6298026E}</x14:id>
        </ext>
      </extLst>
    </cfRule>
  </conditionalFormatting>
  <conditionalFormatting sqref="AP210">
    <cfRule type="iconSet" priority="3913">
      <iconSet iconSet="3Arrows">
        <cfvo type="percent" val="0"/>
        <cfvo type="num" val="0.7"/>
        <cfvo type="num" val="1"/>
      </iconSet>
    </cfRule>
    <cfRule type="dataBar" priority="3914">
      <dataBar>
        <cfvo type="num" val="0"/>
        <cfvo type="num" val="1"/>
        <color theme="4" tint="0.79998168889431442"/>
      </dataBar>
      <extLst>
        <ext xmlns:x14="http://schemas.microsoft.com/office/spreadsheetml/2009/9/main" uri="{B025F937-C7B1-47D3-B67F-A62EFF666E3E}">
          <x14:id>{0D04F8B4-5EB2-4F1D-8A6B-A48316637F12}</x14:id>
        </ext>
      </extLst>
    </cfRule>
  </conditionalFormatting>
  <conditionalFormatting sqref="AP212">
    <cfRule type="iconSet" priority="4025">
      <iconSet iconSet="3Arrows">
        <cfvo type="percent" val="0"/>
        <cfvo type="num" val="0.7"/>
        <cfvo type="num" val="1"/>
      </iconSet>
    </cfRule>
    <cfRule type="dataBar" priority="4026">
      <dataBar>
        <cfvo type="num" val="0"/>
        <cfvo type="num" val="1"/>
        <color theme="4" tint="0.79998168889431442"/>
      </dataBar>
      <extLst>
        <ext xmlns:x14="http://schemas.microsoft.com/office/spreadsheetml/2009/9/main" uri="{B025F937-C7B1-47D3-B67F-A62EFF666E3E}">
          <x14:id>{0EC96E34-49A4-44E8-9D7F-2302F2A62890}</x14:id>
        </ext>
      </extLst>
    </cfRule>
  </conditionalFormatting>
  <conditionalFormatting sqref="AP214">
    <cfRule type="iconSet" priority="3356">
      <iconSet iconSet="3Arrows">
        <cfvo type="percent" val="0"/>
        <cfvo type="num" val="0.7"/>
        <cfvo type="num" val="1"/>
      </iconSet>
    </cfRule>
    <cfRule type="dataBar" priority="3357">
      <dataBar>
        <cfvo type="num" val="0"/>
        <cfvo type="num" val="1"/>
        <color theme="4" tint="0.79998168889431442"/>
      </dataBar>
      <extLst>
        <ext xmlns:x14="http://schemas.microsoft.com/office/spreadsheetml/2009/9/main" uri="{B025F937-C7B1-47D3-B67F-A62EFF666E3E}">
          <x14:id>{E983DB06-D42D-4272-8D62-3E7ACFF210CE}</x14:id>
        </ext>
      </extLst>
    </cfRule>
  </conditionalFormatting>
  <conditionalFormatting sqref="AP216">
    <cfRule type="iconSet" priority="3256">
      <iconSet iconSet="3Arrows">
        <cfvo type="percent" val="0"/>
        <cfvo type="num" val="0.7"/>
        <cfvo type="num" val="1"/>
      </iconSet>
    </cfRule>
    <cfRule type="dataBar" priority="3257">
      <dataBar>
        <cfvo type="num" val="0"/>
        <cfvo type="num" val="1"/>
        <color theme="4" tint="0.79998168889431442"/>
      </dataBar>
      <extLst>
        <ext xmlns:x14="http://schemas.microsoft.com/office/spreadsheetml/2009/9/main" uri="{B025F937-C7B1-47D3-B67F-A62EFF666E3E}">
          <x14:id>{7B7F79AB-D61B-44D8-AD5C-A50D93AEC438}</x14:id>
        </ext>
      </extLst>
    </cfRule>
  </conditionalFormatting>
  <conditionalFormatting sqref="AP218">
    <cfRule type="iconSet" priority="2329">
      <iconSet iconSet="3Arrows">
        <cfvo type="percent" val="0"/>
        <cfvo type="num" val="0.7"/>
        <cfvo type="num" val="1"/>
      </iconSet>
    </cfRule>
    <cfRule type="dataBar" priority="2330">
      <dataBar>
        <cfvo type="num" val="0"/>
        <cfvo type="num" val="1"/>
        <color theme="4" tint="0.79998168889431442"/>
      </dataBar>
      <extLst>
        <ext xmlns:x14="http://schemas.microsoft.com/office/spreadsheetml/2009/9/main" uri="{B025F937-C7B1-47D3-B67F-A62EFF666E3E}">
          <x14:id>{AA0288EE-480E-41C3-A1D9-F1868C6F2AA9}</x14:id>
        </ext>
      </extLst>
    </cfRule>
  </conditionalFormatting>
  <conditionalFormatting sqref="AP220">
    <cfRule type="iconSet" priority="4042">
      <iconSet iconSet="3Arrows">
        <cfvo type="percent" val="0"/>
        <cfvo type="num" val="0.7"/>
        <cfvo type="num" val="1"/>
      </iconSet>
    </cfRule>
    <cfRule type="dataBar" priority="4043">
      <dataBar>
        <cfvo type="num" val="0"/>
        <cfvo type="num" val="1"/>
        <color theme="4" tint="0.79998168889431442"/>
      </dataBar>
      <extLst>
        <ext xmlns:x14="http://schemas.microsoft.com/office/spreadsheetml/2009/9/main" uri="{B025F937-C7B1-47D3-B67F-A62EFF666E3E}">
          <x14:id>{F83F3DD9-BAC7-41B5-B449-ED9DF7900E98}</x14:id>
        </ext>
      </extLst>
    </cfRule>
  </conditionalFormatting>
  <conditionalFormatting sqref="AP222">
    <cfRule type="iconSet" priority="2315">
      <iconSet iconSet="3Arrows">
        <cfvo type="percent" val="0"/>
        <cfvo type="num" val="0.7"/>
        <cfvo type="num" val="1"/>
      </iconSet>
    </cfRule>
    <cfRule type="dataBar" priority="2316">
      <dataBar>
        <cfvo type="num" val="0"/>
        <cfvo type="num" val="1"/>
        <color theme="4" tint="0.79998168889431442"/>
      </dataBar>
      <extLst>
        <ext xmlns:x14="http://schemas.microsoft.com/office/spreadsheetml/2009/9/main" uri="{B025F937-C7B1-47D3-B67F-A62EFF666E3E}">
          <x14:id>{44911B88-DB52-48B5-8AE1-955BBFCAE497}</x14:id>
        </ext>
      </extLst>
    </cfRule>
  </conditionalFormatting>
  <conditionalFormatting sqref="AP226">
    <cfRule type="iconSet" priority="2024">
      <iconSet iconSet="3Arrows">
        <cfvo type="percent" val="0"/>
        <cfvo type="num" val="0.7"/>
        <cfvo type="num" val="1"/>
      </iconSet>
    </cfRule>
    <cfRule type="dataBar" priority="2025">
      <dataBar>
        <cfvo type="num" val="0"/>
        <cfvo type="num" val="1"/>
        <color theme="4" tint="0.79998168889431442"/>
      </dataBar>
      <extLst>
        <ext xmlns:x14="http://schemas.microsoft.com/office/spreadsheetml/2009/9/main" uri="{B025F937-C7B1-47D3-B67F-A62EFF666E3E}">
          <x14:id>{047FC804-020F-4D13-84B2-56564258BC85}</x14:id>
        </ext>
      </extLst>
    </cfRule>
  </conditionalFormatting>
  <conditionalFormatting sqref="AP229">
    <cfRule type="iconSet" priority="4064">
      <iconSet iconSet="3Arrows">
        <cfvo type="percent" val="0"/>
        <cfvo type="num" val="0.7"/>
        <cfvo type="num" val="1"/>
      </iconSet>
    </cfRule>
    <cfRule type="dataBar" priority="4065">
      <dataBar>
        <cfvo type="num" val="0"/>
        <cfvo type="num" val="1"/>
        <color theme="4" tint="0.79998168889431442"/>
      </dataBar>
      <extLst>
        <ext xmlns:x14="http://schemas.microsoft.com/office/spreadsheetml/2009/9/main" uri="{B025F937-C7B1-47D3-B67F-A62EFF666E3E}">
          <x14:id>{2ECC47F9-17BF-4A77-BECC-97CC4349C3CB}</x14:id>
        </ext>
      </extLst>
    </cfRule>
  </conditionalFormatting>
  <conditionalFormatting sqref="AP233">
    <cfRule type="iconSet" priority="4070">
      <iconSet iconSet="3Arrows">
        <cfvo type="percent" val="0"/>
        <cfvo type="num" val="0.7"/>
        <cfvo type="num" val="1"/>
      </iconSet>
    </cfRule>
    <cfRule type="dataBar" priority="4071">
      <dataBar>
        <cfvo type="num" val="0"/>
        <cfvo type="num" val="1"/>
        <color theme="4" tint="0.79998168889431442"/>
      </dataBar>
      <extLst>
        <ext xmlns:x14="http://schemas.microsoft.com/office/spreadsheetml/2009/9/main" uri="{B025F937-C7B1-47D3-B67F-A62EFF666E3E}">
          <x14:id>{C3E3B1FC-BB27-4E71-AE69-CC26DBBA8617}</x14:id>
        </ext>
      </extLst>
    </cfRule>
  </conditionalFormatting>
  <conditionalFormatting sqref="AP235">
    <cfRule type="iconSet" priority="4068">
      <iconSet iconSet="3Arrows">
        <cfvo type="percent" val="0"/>
        <cfvo type="num" val="0.7"/>
        <cfvo type="num" val="1"/>
      </iconSet>
    </cfRule>
    <cfRule type="dataBar" priority="4069">
      <dataBar>
        <cfvo type="num" val="0"/>
        <cfvo type="num" val="1"/>
        <color theme="4" tint="0.79998168889431442"/>
      </dataBar>
      <extLst>
        <ext xmlns:x14="http://schemas.microsoft.com/office/spreadsheetml/2009/9/main" uri="{B025F937-C7B1-47D3-B67F-A62EFF666E3E}">
          <x14:id>{DE77F6A8-800F-4DD5-83A1-FF5EBD96A951}</x14:id>
        </ext>
      </extLst>
    </cfRule>
  </conditionalFormatting>
  <conditionalFormatting sqref="AP237">
    <cfRule type="iconSet" priority="3907">
      <iconSet iconSet="3Arrows">
        <cfvo type="percent" val="0"/>
        <cfvo type="num" val="0.7"/>
        <cfvo type="num" val="1"/>
      </iconSet>
    </cfRule>
    <cfRule type="dataBar" priority="3908">
      <dataBar>
        <cfvo type="num" val="0"/>
        <cfvo type="num" val="1"/>
        <color theme="4" tint="0.79998168889431442"/>
      </dataBar>
      <extLst>
        <ext xmlns:x14="http://schemas.microsoft.com/office/spreadsheetml/2009/9/main" uri="{B025F937-C7B1-47D3-B67F-A62EFF666E3E}">
          <x14:id>{A15FFC1E-151D-4877-8FE9-CEF96187D045}</x14:id>
        </ext>
      </extLst>
    </cfRule>
  </conditionalFormatting>
  <conditionalFormatting sqref="AP239">
    <cfRule type="iconSet" priority="3880">
      <iconSet iconSet="3Arrows">
        <cfvo type="percent" val="0"/>
        <cfvo type="num" val="0.7"/>
        <cfvo type="num" val="1"/>
      </iconSet>
    </cfRule>
    <cfRule type="dataBar" priority="3881">
      <dataBar>
        <cfvo type="num" val="0"/>
        <cfvo type="num" val="1"/>
        <color theme="4" tint="0.79998168889431442"/>
      </dataBar>
      <extLst>
        <ext xmlns:x14="http://schemas.microsoft.com/office/spreadsheetml/2009/9/main" uri="{B025F937-C7B1-47D3-B67F-A62EFF666E3E}">
          <x14:id>{322B77BD-E9D2-4356-95CB-E31A829A8728}</x14:id>
        </ext>
      </extLst>
    </cfRule>
  </conditionalFormatting>
  <conditionalFormatting sqref="AP241">
    <cfRule type="iconSet" priority="3878">
      <iconSet iconSet="3Arrows">
        <cfvo type="percent" val="0"/>
        <cfvo type="num" val="0.7"/>
        <cfvo type="num" val="1"/>
      </iconSet>
    </cfRule>
    <cfRule type="dataBar" priority="3879">
      <dataBar>
        <cfvo type="num" val="0"/>
        <cfvo type="num" val="1"/>
        <color theme="4" tint="0.79998168889431442"/>
      </dataBar>
      <extLst>
        <ext xmlns:x14="http://schemas.microsoft.com/office/spreadsheetml/2009/9/main" uri="{B025F937-C7B1-47D3-B67F-A62EFF666E3E}">
          <x14:id>{66BD76AE-FFBA-46B5-984B-57B622D41D4B}</x14:id>
        </ext>
      </extLst>
    </cfRule>
  </conditionalFormatting>
  <conditionalFormatting sqref="AP243">
    <cfRule type="iconSet" priority="3876">
      <iconSet iconSet="3Arrows">
        <cfvo type="percent" val="0"/>
        <cfvo type="num" val="0.7"/>
        <cfvo type="num" val="1"/>
      </iconSet>
    </cfRule>
    <cfRule type="dataBar" priority="3877">
      <dataBar>
        <cfvo type="num" val="0"/>
        <cfvo type="num" val="1"/>
        <color theme="4" tint="0.79998168889431442"/>
      </dataBar>
      <extLst>
        <ext xmlns:x14="http://schemas.microsoft.com/office/spreadsheetml/2009/9/main" uri="{B025F937-C7B1-47D3-B67F-A62EFF666E3E}">
          <x14:id>{3872BD4A-4144-43F0-A84B-FDABC2F917B8}</x14:id>
        </ext>
      </extLst>
    </cfRule>
  </conditionalFormatting>
  <conditionalFormatting sqref="AP245">
    <cfRule type="iconSet" priority="3466">
      <iconSet iconSet="3Arrows">
        <cfvo type="percent" val="0"/>
        <cfvo type="num" val="0.7"/>
        <cfvo type="num" val="1"/>
      </iconSet>
    </cfRule>
    <cfRule type="dataBar" priority="3467">
      <dataBar>
        <cfvo type="num" val="0"/>
        <cfvo type="num" val="1"/>
        <color theme="4" tint="0.79998168889431442"/>
      </dataBar>
      <extLst>
        <ext xmlns:x14="http://schemas.microsoft.com/office/spreadsheetml/2009/9/main" uri="{B025F937-C7B1-47D3-B67F-A62EFF666E3E}">
          <x14:id>{5A74A42E-74FB-4E58-8F08-C9602EC4C026}</x14:id>
        </ext>
      </extLst>
    </cfRule>
  </conditionalFormatting>
  <conditionalFormatting sqref="AP247">
    <cfRule type="iconSet" priority="2005">
      <iconSet iconSet="3Arrows">
        <cfvo type="percent" val="0"/>
        <cfvo type="num" val="0.7"/>
        <cfvo type="num" val="1"/>
      </iconSet>
    </cfRule>
    <cfRule type="dataBar" priority="2006">
      <dataBar>
        <cfvo type="num" val="0"/>
        <cfvo type="num" val="1"/>
        <color theme="4" tint="0.79998168889431442"/>
      </dataBar>
      <extLst>
        <ext xmlns:x14="http://schemas.microsoft.com/office/spreadsheetml/2009/9/main" uri="{B025F937-C7B1-47D3-B67F-A62EFF666E3E}">
          <x14:id>{A065BC75-13BB-4387-B6D1-14690F8287EF}</x14:id>
        </ext>
      </extLst>
    </cfRule>
  </conditionalFormatting>
  <conditionalFormatting sqref="AP249">
    <cfRule type="iconSet" priority="3438">
      <iconSet iconSet="3Arrows">
        <cfvo type="percent" val="0"/>
        <cfvo type="num" val="0.7"/>
        <cfvo type="num" val="1"/>
      </iconSet>
    </cfRule>
    <cfRule type="dataBar" priority="3439">
      <dataBar>
        <cfvo type="num" val="0"/>
        <cfvo type="num" val="1"/>
        <color theme="4" tint="0.79998168889431442"/>
      </dataBar>
      <extLst>
        <ext xmlns:x14="http://schemas.microsoft.com/office/spreadsheetml/2009/9/main" uri="{B025F937-C7B1-47D3-B67F-A62EFF666E3E}">
          <x14:id>{7EA18CD2-88D6-4BDB-A817-1E78F6447010}</x14:id>
        </ext>
      </extLst>
    </cfRule>
  </conditionalFormatting>
  <conditionalFormatting sqref="AP251">
    <cfRule type="iconSet" priority="2360">
      <iconSet iconSet="3Arrows">
        <cfvo type="percent" val="0"/>
        <cfvo type="num" val="0.7"/>
        <cfvo type="num" val="1"/>
      </iconSet>
    </cfRule>
    <cfRule type="dataBar" priority="2361">
      <dataBar>
        <cfvo type="num" val="0"/>
        <cfvo type="num" val="1"/>
        <color theme="4" tint="0.79998168889431442"/>
      </dataBar>
      <extLst>
        <ext xmlns:x14="http://schemas.microsoft.com/office/spreadsheetml/2009/9/main" uri="{B025F937-C7B1-47D3-B67F-A62EFF666E3E}">
          <x14:id>{42EAEF43-80E2-46E6-9946-AE22ED6FFA8B}</x14:id>
        </ext>
      </extLst>
    </cfRule>
  </conditionalFormatting>
  <conditionalFormatting sqref="AP253">
    <cfRule type="iconSet" priority="1967">
      <iconSet iconSet="3Arrows">
        <cfvo type="percent" val="0"/>
        <cfvo type="num" val="0.7"/>
        <cfvo type="num" val="1"/>
      </iconSet>
    </cfRule>
    <cfRule type="dataBar" priority="1968">
      <dataBar>
        <cfvo type="num" val="0"/>
        <cfvo type="num" val="1"/>
        <color theme="4" tint="0.79998168889431442"/>
      </dataBar>
      <extLst>
        <ext xmlns:x14="http://schemas.microsoft.com/office/spreadsheetml/2009/9/main" uri="{B025F937-C7B1-47D3-B67F-A62EFF666E3E}">
          <x14:id>{580EEA26-D6D5-47CA-B292-3DE18A78BBF5}</x14:id>
        </ext>
      </extLst>
    </cfRule>
  </conditionalFormatting>
  <conditionalFormatting sqref="AP255">
    <cfRule type="iconSet" priority="4038">
      <iconSet iconSet="3Arrows">
        <cfvo type="percent" val="0"/>
        <cfvo type="num" val="0.7"/>
        <cfvo type="num" val="1"/>
      </iconSet>
    </cfRule>
    <cfRule type="dataBar" priority="4039">
      <dataBar>
        <cfvo type="num" val="0"/>
        <cfvo type="num" val="1"/>
        <color theme="4" tint="0.79998168889431442"/>
      </dataBar>
      <extLst>
        <ext xmlns:x14="http://schemas.microsoft.com/office/spreadsheetml/2009/9/main" uri="{B025F937-C7B1-47D3-B67F-A62EFF666E3E}">
          <x14:id>{835985E5-FAAA-47D8-B371-21D22D9FAA4A}</x14:id>
        </ext>
      </extLst>
    </cfRule>
  </conditionalFormatting>
  <conditionalFormatting sqref="AP257">
    <cfRule type="iconSet" priority="1865">
      <iconSet iconSet="3Arrows">
        <cfvo type="percent" val="0"/>
        <cfvo type="num" val="0.7"/>
        <cfvo type="num" val="1"/>
      </iconSet>
    </cfRule>
    <cfRule type="dataBar" priority="1866">
      <dataBar>
        <cfvo type="num" val="0"/>
        <cfvo type="num" val="1"/>
        <color theme="4" tint="0.79998168889431442"/>
      </dataBar>
      <extLst>
        <ext xmlns:x14="http://schemas.microsoft.com/office/spreadsheetml/2009/9/main" uri="{B025F937-C7B1-47D3-B67F-A62EFF666E3E}">
          <x14:id>{3884D6BE-026F-41F8-9987-0E13D957B02E}</x14:id>
        </ext>
      </extLst>
    </cfRule>
  </conditionalFormatting>
  <conditionalFormatting sqref="AP259">
    <cfRule type="iconSet" priority="1849">
      <iconSet iconSet="3Arrows">
        <cfvo type="percent" val="0"/>
        <cfvo type="num" val="0.7"/>
        <cfvo type="num" val="1"/>
      </iconSet>
    </cfRule>
    <cfRule type="dataBar" priority="1850">
      <dataBar>
        <cfvo type="num" val="0"/>
        <cfvo type="num" val="1"/>
        <color theme="4" tint="0.79998168889431442"/>
      </dataBar>
      <extLst>
        <ext xmlns:x14="http://schemas.microsoft.com/office/spreadsheetml/2009/9/main" uri="{B025F937-C7B1-47D3-B67F-A62EFF666E3E}">
          <x14:id>{A9D4BCC2-3DE7-4DD1-9BC3-B80A467E2CA6}</x14:id>
        </ext>
      </extLst>
    </cfRule>
  </conditionalFormatting>
  <conditionalFormatting sqref="AP261">
    <cfRule type="iconSet" priority="1439">
      <iconSet iconSet="3Arrows">
        <cfvo type="percent" val="0"/>
        <cfvo type="num" val="0.7"/>
        <cfvo type="num" val="1"/>
      </iconSet>
    </cfRule>
    <cfRule type="dataBar" priority="1440">
      <dataBar>
        <cfvo type="num" val="0"/>
        <cfvo type="num" val="1"/>
        <color theme="4" tint="0.79998168889431442"/>
      </dataBar>
      <extLst>
        <ext xmlns:x14="http://schemas.microsoft.com/office/spreadsheetml/2009/9/main" uri="{B025F937-C7B1-47D3-B67F-A62EFF666E3E}">
          <x14:id>{D6DC49ED-F0DC-431D-BAF6-6905E9D597AF}</x14:id>
        </ext>
      </extLst>
    </cfRule>
  </conditionalFormatting>
  <conditionalFormatting sqref="AP263">
    <cfRule type="iconSet" priority="438">
      <iconSet iconSet="3Arrows">
        <cfvo type="percent" val="0"/>
        <cfvo type="num" val="0.7"/>
        <cfvo type="num" val="1"/>
      </iconSet>
    </cfRule>
    <cfRule type="dataBar" priority="439">
      <dataBar>
        <cfvo type="num" val="0"/>
        <cfvo type="num" val="1"/>
        <color theme="4" tint="0.79998168889431442"/>
      </dataBar>
      <extLst>
        <ext xmlns:x14="http://schemas.microsoft.com/office/spreadsheetml/2009/9/main" uri="{B025F937-C7B1-47D3-B67F-A62EFF666E3E}">
          <x14:id>{498EFF43-D37C-481D-9CFB-342CC7BC2CAD}</x14:id>
        </ext>
      </extLst>
    </cfRule>
  </conditionalFormatting>
  <conditionalFormatting sqref="AP265">
    <cfRule type="iconSet" priority="341">
      <iconSet iconSet="3Arrows">
        <cfvo type="percent" val="0"/>
        <cfvo type="num" val="0.7"/>
        <cfvo type="num" val="1"/>
      </iconSet>
    </cfRule>
    <cfRule type="dataBar" priority="342">
      <dataBar>
        <cfvo type="num" val="0"/>
        <cfvo type="num" val="1"/>
        <color theme="4" tint="0.79998168889431442"/>
      </dataBar>
      <extLst>
        <ext xmlns:x14="http://schemas.microsoft.com/office/spreadsheetml/2009/9/main" uri="{B025F937-C7B1-47D3-B67F-A62EFF666E3E}">
          <x14:id>{832F187C-BC50-4B33-A1F7-3321751B8F65}</x14:id>
        </ext>
      </extLst>
    </cfRule>
  </conditionalFormatting>
  <conditionalFormatting sqref="AP267">
    <cfRule type="iconSet" priority="325">
      <iconSet iconSet="3Arrows">
        <cfvo type="percent" val="0"/>
        <cfvo type="num" val="0.7"/>
        <cfvo type="num" val="1"/>
      </iconSet>
    </cfRule>
    <cfRule type="dataBar" priority="326">
      <dataBar>
        <cfvo type="num" val="0"/>
        <cfvo type="num" val="1"/>
        <color theme="4" tint="0.79998168889431442"/>
      </dataBar>
      <extLst>
        <ext xmlns:x14="http://schemas.microsoft.com/office/spreadsheetml/2009/9/main" uri="{B025F937-C7B1-47D3-B67F-A62EFF666E3E}">
          <x14:id>{8A0BF425-C24F-4DE5-83EB-656A28DA903D}</x14:id>
        </ext>
      </extLst>
    </cfRule>
  </conditionalFormatting>
  <conditionalFormatting sqref="AP269">
    <cfRule type="iconSet" priority="1453">
      <iconSet iconSet="3Arrows">
        <cfvo type="percent" val="0"/>
        <cfvo type="num" val="0.7"/>
        <cfvo type="num" val="1"/>
      </iconSet>
    </cfRule>
    <cfRule type="dataBar" priority="1454">
      <dataBar>
        <cfvo type="num" val="0"/>
        <cfvo type="num" val="1"/>
        <color theme="4" tint="0.79998168889431442"/>
      </dataBar>
      <extLst>
        <ext xmlns:x14="http://schemas.microsoft.com/office/spreadsheetml/2009/9/main" uri="{B025F937-C7B1-47D3-B67F-A62EFF666E3E}">
          <x14:id>{50E33AFD-8470-4B52-B7C1-980AC9CEFE60}</x14:id>
        </ext>
      </extLst>
    </cfRule>
  </conditionalFormatting>
  <conditionalFormatting sqref="AP271">
    <cfRule type="iconSet" priority="309">
      <iconSet iconSet="3Arrows">
        <cfvo type="percent" val="0"/>
        <cfvo type="num" val="0.7"/>
        <cfvo type="num" val="1"/>
      </iconSet>
    </cfRule>
    <cfRule type="dataBar" priority="310">
      <dataBar>
        <cfvo type="num" val="0"/>
        <cfvo type="num" val="1"/>
        <color theme="4" tint="0.79998168889431442"/>
      </dataBar>
      <extLst>
        <ext xmlns:x14="http://schemas.microsoft.com/office/spreadsheetml/2009/9/main" uri="{B025F937-C7B1-47D3-B67F-A62EFF666E3E}">
          <x14:id>{5B5C25F8-7155-418E-9A09-F991BDE07F60}</x14:id>
        </ext>
      </extLst>
    </cfRule>
  </conditionalFormatting>
  <conditionalFormatting sqref="AP273">
    <cfRule type="iconSet" priority="454">
      <iconSet iconSet="3Arrows">
        <cfvo type="percent" val="0"/>
        <cfvo type="num" val="0.7"/>
        <cfvo type="num" val="1"/>
      </iconSet>
    </cfRule>
    <cfRule type="dataBar" priority="455">
      <dataBar>
        <cfvo type="num" val="0"/>
        <cfvo type="num" val="1"/>
        <color theme="4" tint="0.79998168889431442"/>
      </dataBar>
      <extLst>
        <ext xmlns:x14="http://schemas.microsoft.com/office/spreadsheetml/2009/9/main" uri="{B025F937-C7B1-47D3-B67F-A62EFF666E3E}">
          <x14:id>{BF9B8DA6-B80E-4428-BAAE-AA459A9B16B4}</x14:id>
        </ext>
      </extLst>
    </cfRule>
  </conditionalFormatting>
  <conditionalFormatting sqref="AP275">
    <cfRule type="iconSet" priority="1883">
      <iconSet iconSet="3Arrows">
        <cfvo type="percent" val="0"/>
        <cfvo type="num" val="0.7"/>
        <cfvo type="num" val="1"/>
      </iconSet>
    </cfRule>
    <cfRule type="dataBar" priority="1884">
      <dataBar>
        <cfvo type="num" val="0"/>
        <cfvo type="num" val="1"/>
        <color theme="4" tint="0.79998168889431442"/>
      </dataBar>
      <extLst>
        <ext xmlns:x14="http://schemas.microsoft.com/office/spreadsheetml/2009/9/main" uri="{B025F937-C7B1-47D3-B67F-A62EFF666E3E}">
          <x14:id>{AEA0CAB5-7E57-483E-BCF7-FE53316B6C3D}</x14:id>
        </ext>
      </extLst>
    </cfRule>
  </conditionalFormatting>
  <conditionalFormatting sqref="AP278">
    <cfRule type="iconSet" priority="4066">
      <iconSet iconSet="3Arrows">
        <cfvo type="percent" val="0"/>
        <cfvo type="num" val="0.7"/>
        <cfvo type="num" val="1"/>
      </iconSet>
    </cfRule>
    <cfRule type="dataBar" priority="4067">
      <dataBar>
        <cfvo type="num" val="0"/>
        <cfvo type="num" val="1"/>
        <color theme="4" tint="0.79998168889431442"/>
      </dataBar>
      <extLst>
        <ext xmlns:x14="http://schemas.microsoft.com/office/spreadsheetml/2009/9/main" uri="{B025F937-C7B1-47D3-B67F-A62EFF666E3E}">
          <x14:id>{F8228C5A-3D51-47F0-8E34-414F067C1398}</x14:id>
        </ext>
      </extLst>
    </cfRule>
  </conditionalFormatting>
  <conditionalFormatting sqref="AP280 AP296">
    <cfRule type="iconSet" priority="4093">
      <iconSet iconSet="3Arrows">
        <cfvo type="percent" val="0"/>
        <cfvo type="num" val="0.7"/>
        <cfvo type="num" val="1"/>
      </iconSet>
    </cfRule>
    <cfRule type="dataBar" priority="4094">
      <dataBar>
        <cfvo type="num" val="0"/>
        <cfvo type="num" val="1"/>
        <color theme="4" tint="0.79998168889431442"/>
      </dataBar>
      <extLst>
        <ext xmlns:x14="http://schemas.microsoft.com/office/spreadsheetml/2009/9/main" uri="{B025F937-C7B1-47D3-B67F-A62EFF666E3E}">
          <x14:id>{4F1E21E4-2B70-4C72-812A-3F629F378E5A}</x14:id>
        </ext>
      </extLst>
    </cfRule>
  </conditionalFormatting>
  <conditionalFormatting sqref="AP282">
    <cfRule type="iconSet" priority="1821">
      <iconSet iconSet="3Arrows">
        <cfvo type="percent" val="0"/>
        <cfvo type="num" val="0.7"/>
        <cfvo type="num" val="1"/>
      </iconSet>
    </cfRule>
    <cfRule type="dataBar" priority="1822">
      <dataBar>
        <cfvo type="num" val="0"/>
        <cfvo type="num" val="1"/>
        <color theme="4" tint="0.79998168889431442"/>
      </dataBar>
      <extLst>
        <ext xmlns:x14="http://schemas.microsoft.com/office/spreadsheetml/2009/9/main" uri="{B025F937-C7B1-47D3-B67F-A62EFF666E3E}">
          <x14:id>{A06DEB8B-FF1F-4980-BAC8-0E97D92B3A92}</x14:id>
        </ext>
      </extLst>
    </cfRule>
  </conditionalFormatting>
  <conditionalFormatting sqref="AP284">
    <cfRule type="iconSet" priority="1835">
      <iconSet iconSet="3Arrows">
        <cfvo type="percent" val="0"/>
        <cfvo type="num" val="0.7"/>
        <cfvo type="num" val="1"/>
      </iconSet>
    </cfRule>
    <cfRule type="dataBar" priority="1836">
      <dataBar>
        <cfvo type="num" val="0"/>
        <cfvo type="num" val="1"/>
        <color theme="4" tint="0.79998168889431442"/>
      </dataBar>
      <extLst>
        <ext xmlns:x14="http://schemas.microsoft.com/office/spreadsheetml/2009/9/main" uri="{B025F937-C7B1-47D3-B67F-A62EFF666E3E}">
          <x14:id>{0590AA35-5EC9-4004-9ED8-6326C6CEF212}</x14:id>
        </ext>
      </extLst>
    </cfRule>
  </conditionalFormatting>
  <conditionalFormatting sqref="AP286">
    <cfRule type="iconSet" priority="1410">
      <iconSet iconSet="3Arrows">
        <cfvo type="percent" val="0"/>
        <cfvo type="num" val="0.7"/>
        <cfvo type="num" val="1"/>
      </iconSet>
    </cfRule>
    <cfRule type="dataBar" priority="1411">
      <dataBar>
        <cfvo type="num" val="0"/>
        <cfvo type="num" val="1"/>
        <color theme="4" tint="0.79998168889431442"/>
      </dataBar>
      <extLst>
        <ext xmlns:x14="http://schemas.microsoft.com/office/spreadsheetml/2009/9/main" uri="{B025F937-C7B1-47D3-B67F-A62EFF666E3E}">
          <x14:id>{8BC7BA17-F6A0-4ACB-B3AD-25DD4C13DE8C}</x14:id>
        </ext>
      </extLst>
    </cfRule>
  </conditionalFormatting>
  <conditionalFormatting sqref="AP288">
    <cfRule type="iconSet" priority="1396">
      <iconSet iconSet="3Arrows">
        <cfvo type="percent" val="0"/>
        <cfvo type="num" val="0.7"/>
        <cfvo type="num" val="1"/>
      </iconSet>
    </cfRule>
    <cfRule type="dataBar" priority="1397">
      <dataBar>
        <cfvo type="num" val="0"/>
        <cfvo type="num" val="1"/>
        <color theme="4" tint="0.79998168889431442"/>
      </dataBar>
      <extLst>
        <ext xmlns:x14="http://schemas.microsoft.com/office/spreadsheetml/2009/9/main" uri="{B025F937-C7B1-47D3-B67F-A62EFF666E3E}">
          <x14:id>{95BE4D90-CA1D-4244-BE53-2CD300AAF5B4}</x14:id>
        </ext>
      </extLst>
    </cfRule>
  </conditionalFormatting>
  <conditionalFormatting sqref="AP290">
    <cfRule type="iconSet" priority="1424">
      <iconSet iconSet="3Arrows">
        <cfvo type="percent" val="0"/>
        <cfvo type="num" val="0.7"/>
        <cfvo type="num" val="1"/>
      </iconSet>
    </cfRule>
    <cfRule type="dataBar" priority="1425">
      <dataBar>
        <cfvo type="num" val="0"/>
        <cfvo type="num" val="1"/>
        <color theme="4" tint="0.79998168889431442"/>
      </dataBar>
      <extLst>
        <ext xmlns:x14="http://schemas.microsoft.com/office/spreadsheetml/2009/9/main" uri="{B025F937-C7B1-47D3-B67F-A62EFF666E3E}">
          <x14:id>{1C521897-10E5-40DF-8E29-B5C26D1A8DDF}</x14:id>
        </ext>
      </extLst>
    </cfRule>
  </conditionalFormatting>
  <conditionalFormatting sqref="AP292">
    <cfRule type="iconSet" priority="357">
      <iconSet iconSet="3Arrows">
        <cfvo type="percent" val="0"/>
        <cfvo type="num" val="0.7"/>
        <cfvo type="num" val="1"/>
      </iconSet>
    </cfRule>
    <cfRule type="dataBar" priority="358">
      <dataBar>
        <cfvo type="num" val="0"/>
        <cfvo type="num" val="1"/>
        <color theme="4" tint="0.79998168889431442"/>
      </dataBar>
      <extLst>
        <ext xmlns:x14="http://schemas.microsoft.com/office/spreadsheetml/2009/9/main" uri="{B025F937-C7B1-47D3-B67F-A62EFF666E3E}">
          <x14:id>{3127D4F6-5A48-4F87-BF63-E4E605AA7663}</x14:id>
        </ext>
      </extLst>
    </cfRule>
  </conditionalFormatting>
  <conditionalFormatting sqref="AP294">
    <cfRule type="iconSet" priority="3424">
      <iconSet iconSet="3Arrows">
        <cfvo type="percent" val="0"/>
        <cfvo type="num" val="0.7"/>
        <cfvo type="num" val="1"/>
      </iconSet>
    </cfRule>
    <cfRule type="dataBar" priority="3425">
      <dataBar>
        <cfvo type="num" val="0"/>
        <cfvo type="num" val="1"/>
        <color theme="4" tint="0.79998168889431442"/>
      </dataBar>
      <extLst>
        <ext xmlns:x14="http://schemas.microsoft.com/office/spreadsheetml/2009/9/main" uri="{B025F937-C7B1-47D3-B67F-A62EFF666E3E}">
          <x14:id>{105A005A-0E27-4E81-8BCB-05315A6D93A1}</x14:id>
        </ext>
      </extLst>
    </cfRule>
  </conditionalFormatting>
  <conditionalFormatting sqref="AP299">
    <cfRule type="iconSet" priority="3393">
      <iconSet iconSet="3Arrows">
        <cfvo type="percent" val="0"/>
        <cfvo type="num" val="0.7"/>
        <cfvo type="num" val="1"/>
      </iconSet>
    </cfRule>
    <cfRule type="dataBar" priority="3394">
      <dataBar>
        <cfvo type="num" val="0"/>
        <cfvo type="num" val="1"/>
        <color theme="4" tint="0.79998168889431442"/>
      </dataBar>
      <extLst>
        <ext xmlns:x14="http://schemas.microsoft.com/office/spreadsheetml/2009/9/main" uri="{B025F937-C7B1-47D3-B67F-A62EFF666E3E}">
          <x14:id>{889645A7-36BD-4888-8E03-922C17687549}</x14:id>
        </ext>
      </extLst>
    </cfRule>
  </conditionalFormatting>
  <conditionalFormatting sqref="AP304">
    <cfRule type="iconSet" priority="3376">
      <iconSet iconSet="3Arrows">
        <cfvo type="percent" val="0"/>
        <cfvo type="num" val="0.7"/>
        <cfvo type="num" val="1"/>
      </iconSet>
    </cfRule>
    <cfRule type="dataBar" priority="3377">
      <dataBar>
        <cfvo type="num" val="0"/>
        <cfvo type="num" val="1"/>
        <color theme="4" tint="0.79998168889431442"/>
      </dataBar>
      <extLst>
        <ext xmlns:x14="http://schemas.microsoft.com/office/spreadsheetml/2009/9/main" uri="{B025F937-C7B1-47D3-B67F-A62EFF666E3E}">
          <x14:id>{3C9ACD1A-08F9-4B4F-AF38-7E0CFE8CDC7C}</x14:id>
        </ext>
      </extLst>
    </cfRule>
  </conditionalFormatting>
  <conditionalFormatting sqref="AP307">
    <cfRule type="iconSet" priority="4062">
      <iconSet iconSet="3Arrows">
        <cfvo type="percent" val="0"/>
        <cfvo type="num" val="0.7"/>
        <cfvo type="num" val="1"/>
      </iconSet>
    </cfRule>
    <cfRule type="dataBar" priority="4063">
      <dataBar>
        <cfvo type="num" val="0"/>
        <cfvo type="num" val="1"/>
        <color theme="4" tint="0.79998168889431442"/>
      </dataBar>
      <extLst>
        <ext xmlns:x14="http://schemas.microsoft.com/office/spreadsheetml/2009/9/main" uri="{B025F937-C7B1-47D3-B67F-A62EFF666E3E}">
          <x14:id>{CF5CD884-1E05-48CF-8DF6-1D00DBC401CB}</x14:id>
        </ext>
      </extLst>
    </cfRule>
  </conditionalFormatting>
  <conditionalFormatting sqref="AP310">
    <cfRule type="iconSet" priority="4056">
      <iconSet iconSet="3Arrows">
        <cfvo type="percent" val="0"/>
        <cfvo type="num" val="0.7"/>
        <cfvo type="num" val="1"/>
      </iconSet>
    </cfRule>
    <cfRule type="dataBar" priority="4057">
      <dataBar>
        <cfvo type="num" val="0"/>
        <cfvo type="num" val="1"/>
        <color theme="4" tint="0.79998168889431442"/>
      </dataBar>
      <extLst>
        <ext xmlns:x14="http://schemas.microsoft.com/office/spreadsheetml/2009/9/main" uri="{B025F937-C7B1-47D3-B67F-A62EFF666E3E}">
          <x14:id>{56EC60F1-E2A5-4EB9-AA60-2FB11DF7132C}</x14:id>
        </ext>
      </extLst>
    </cfRule>
  </conditionalFormatting>
  <conditionalFormatting sqref="AP314">
    <cfRule type="iconSet" priority="4060">
      <iconSet iconSet="3Arrows">
        <cfvo type="percent" val="0"/>
        <cfvo type="num" val="0.7"/>
        <cfvo type="num" val="1"/>
      </iconSet>
    </cfRule>
    <cfRule type="dataBar" priority="4061">
      <dataBar>
        <cfvo type="num" val="0"/>
        <cfvo type="num" val="1"/>
        <color theme="4" tint="0.79998168889431442"/>
      </dataBar>
      <extLst>
        <ext xmlns:x14="http://schemas.microsoft.com/office/spreadsheetml/2009/9/main" uri="{B025F937-C7B1-47D3-B67F-A62EFF666E3E}">
          <x14:id>{CBCEC011-BD44-4702-A9F8-3CA333E988E1}</x14:id>
        </ext>
      </extLst>
    </cfRule>
  </conditionalFormatting>
  <conditionalFormatting sqref="AP316">
    <cfRule type="iconSet" priority="2510">
      <iconSet iconSet="3Arrows">
        <cfvo type="percent" val="0"/>
        <cfvo type="num" val="0.7"/>
        <cfvo type="num" val="1"/>
      </iconSet>
    </cfRule>
    <cfRule type="dataBar" priority="2511">
      <dataBar>
        <cfvo type="num" val="0"/>
        <cfvo type="num" val="1"/>
        <color theme="4" tint="0.79998168889431442"/>
      </dataBar>
      <extLst>
        <ext xmlns:x14="http://schemas.microsoft.com/office/spreadsheetml/2009/9/main" uri="{B025F937-C7B1-47D3-B67F-A62EFF666E3E}">
          <x14:id>{98FFD469-1C8D-4154-83A6-DA415699C521}</x14:id>
        </ext>
      </extLst>
    </cfRule>
  </conditionalFormatting>
  <conditionalFormatting sqref="AP318">
    <cfRule type="iconSet" priority="4058">
      <iconSet iconSet="3Arrows">
        <cfvo type="percent" val="0"/>
        <cfvo type="num" val="0.7"/>
        <cfvo type="num" val="1"/>
      </iconSet>
    </cfRule>
    <cfRule type="dataBar" priority="4059">
      <dataBar>
        <cfvo type="num" val="0"/>
        <cfvo type="num" val="1"/>
        <color theme="4" tint="0.79998168889431442"/>
      </dataBar>
      <extLst>
        <ext xmlns:x14="http://schemas.microsoft.com/office/spreadsheetml/2009/9/main" uri="{B025F937-C7B1-47D3-B67F-A62EFF666E3E}">
          <x14:id>{9F8D2A46-B074-40FD-A897-D0AAC54F84E1}</x14:id>
        </ext>
      </extLst>
    </cfRule>
  </conditionalFormatting>
  <conditionalFormatting sqref="AP320">
    <cfRule type="iconSet" priority="3874">
      <iconSet iconSet="3Arrows">
        <cfvo type="percent" val="0"/>
        <cfvo type="num" val="0.7"/>
        <cfvo type="num" val="1"/>
      </iconSet>
    </cfRule>
    <cfRule type="dataBar" priority="3875">
      <dataBar>
        <cfvo type="num" val="0"/>
        <cfvo type="num" val="1"/>
        <color theme="4" tint="0.79998168889431442"/>
      </dataBar>
      <extLst>
        <ext xmlns:x14="http://schemas.microsoft.com/office/spreadsheetml/2009/9/main" uri="{B025F937-C7B1-47D3-B67F-A62EFF666E3E}">
          <x14:id>{D69A1502-191E-42F4-BF8D-1838C4DE461B}</x14:id>
        </ext>
      </extLst>
    </cfRule>
  </conditionalFormatting>
  <conditionalFormatting sqref="AP322">
    <cfRule type="iconSet" priority="2817">
      <iconSet iconSet="3Arrows">
        <cfvo type="percent" val="0"/>
        <cfvo type="num" val="0.7"/>
        <cfvo type="num" val="1"/>
      </iconSet>
    </cfRule>
    <cfRule type="dataBar" priority="2818">
      <dataBar>
        <cfvo type="num" val="0"/>
        <cfvo type="num" val="1"/>
        <color theme="4" tint="0.79998168889431442"/>
      </dataBar>
      <extLst>
        <ext xmlns:x14="http://schemas.microsoft.com/office/spreadsheetml/2009/9/main" uri="{B025F937-C7B1-47D3-B67F-A62EFF666E3E}">
          <x14:id>{C70F9594-58B2-4259-9B1C-4C4908BD5790}</x14:id>
        </ext>
      </extLst>
    </cfRule>
  </conditionalFormatting>
  <conditionalFormatting sqref="AP324">
    <cfRule type="iconSet" priority="2801">
      <iconSet iconSet="3Arrows">
        <cfvo type="percent" val="0"/>
        <cfvo type="num" val="0.7"/>
        <cfvo type="num" val="1"/>
      </iconSet>
    </cfRule>
    <cfRule type="dataBar" priority="2802">
      <dataBar>
        <cfvo type="num" val="0"/>
        <cfvo type="num" val="1"/>
        <color theme="4" tint="0.79998168889431442"/>
      </dataBar>
      <extLst>
        <ext xmlns:x14="http://schemas.microsoft.com/office/spreadsheetml/2009/9/main" uri="{B025F937-C7B1-47D3-B67F-A62EFF666E3E}">
          <x14:id>{6003A36C-E971-4A80-8599-3323D24ADEAC}</x14:id>
        </ext>
      </extLst>
    </cfRule>
  </conditionalFormatting>
  <conditionalFormatting sqref="AP326">
    <cfRule type="iconSet" priority="2787">
      <iconSet iconSet="3Arrows">
        <cfvo type="percent" val="0"/>
        <cfvo type="num" val="0.7"/>
        <cfvo type="num" val="1"/>
      </iconSet>
    </cfRule>
    <cfRule type="dataBar" priority="2788">
      <dataBar>
        <cfvo type="num" val="0"/>
        <cfvo type="num" val="1"/>
        <color theme="4" tint="0.79998168889431442"/>
      </dataBar>
      <extLst>
        <ext xmlns:x14="http://schemas.microsoft.com/office/spreadsheetml/2009/9/main" uri="{B025F937-C7B1-47D3-B67F-A62EFF666E3E}">
          <x14:id>{475DC612-6699-4226-B1B3-097DE797C236}</x14:id>
        </ext>
      </extLst>
    </cfRule>
  </conditionalFormatting>
  <conditionalFormatting sqref="AP328">
    <cfRule type="iconSet" priority="2683">
      <iconSet iconSet="3Arrows">
        <cfvo type="percent" val="0"/>
        <cfvo type="num" val="0.7"/>
        <cfvo type="num" val="1"/>
      </iconSet>
    </cfRule>
    <cfRule type="dataBar" priority="2684">
      <dataBar>
        <cfvo type="num" val="0"/>
        <cfvo type="num" val="1"/>
        <color theme="4" tint="0.79998168889431442"/>
      </dataBar>
      <extLst>
        <ext xmlns:x14="http://schemas.microsoft.com/office/spreadsheetml/2009/9/main" uri="{B025F937-C7B1-47D3-B67F-A62EFF666E3E}">
          <x14:id>{7C40AA3B-8846-40C2-8EF7-DF7C91480DC8}</x14:id>
        </ext>
      </extLst>
    </cfRule>
  </conditionalFormatting>
  <conditionalFormatting sqref="AP330">
    <cfRule type="iconSet" priority="2669">
      <iconSet iconSet="3Arrows">
        <cfvo type="percent" val="0"/>
        <cfvo type="num" val="0.7"/>
        <cfvo type="num" val="1"/>
      </iconSet>
    </cfRule>
    <cfRule type="dataBar" priority="2670">
      <dataBar>
        <cfvo type="num" val="0"/>
        <cfvo type="num" val="1"/>
        <color theme="4" tint="0.79998168889431442"/>
      </dataBar>
      <extLst>
        <ext xmlns:x14="http://schemas.microsoft.com/office/spreadsheetml/2009/9/main" uri="{B025F937-C7B1-47D3-B67F-A62EFF666E3E}">
          <x14:id>{1002E695-275C-47C5-B019-E7784371B8FF}</x14:id>
        </ext>
      </extLst>
    </cfRule>
  </conditionalFormatting>
  <conditionalFormatting sqref="AP332">
    <cfRule type="iconSet" priority="2746">
      <iconSet iconSet="3Arrows">
        <cfvo type="percent" val="0"/>
        <cfvo type="num" val="0.7"/>
        <cfvo type="num" val="1"/>
      </iconSet>
    </cfRule>
    <cfRule type="dataBar" priority="2747">
      <dataBar>
        <cfvo type="num" val="0"/>
        <cfvo type="num" val="1"/>
        <color theme="4" tint="0.79998168889431442"/>
      </dataBar>
      <extLst>
        <ext xmlns:x14="http://schemas.microsoft.com/office/spreadsheetml/2009/9/main" uri="{B025F937-C7B1-47D3-B67F-A62EFF666E3E}">
          <x14:id>{C34CF2B7-ED59-4E22-909D-12A284AF7DC1}</x14:id>
        </ext>
      </extLst>
    </cfRule>
  </conditionalFormatting>
  <conditionalFormatting sqref="AP334">
    <cfRule type="iconSet" priority="2773">
      <iconSet iconSet="3Arrows">
        <cfvo type="percent" val="0"/>
        <cfvo type="num" val="0.7"/>
        <cfvo type="num" val="1"/>
      </iconSet>
    </cfRule>
    <cfRule type="dataBar" priority="2774">
      <dataBar>
        <cfvo type="num" val="0"/>
        <cfvo type="num" val="1"/>
        <color theme="4" tint="0.79998168889431442"/>
      </dataBar>
      <extLst>
        <ext xmlns:x14="http://schemas.microsoft.com/office/spreadsheetml/2009/9/main" uri="{B025F937-C7B1-47D3-B67F-A62EFF666E3E}">
          <x14:id>{4555A562-AC2C-408E-8942-0D7B94E871AD}</x14:id>
        </ext>
      </extLst>
    </cfRule>
  </conditionalFormatting>
  <conditionalFormatting sqref="AP336">
    <cfRule type="iconSet" priority="2297">
      <iconSet iconSet="3Arrows">
        <cfvo type="percent" val="0"/>
        <cfvo type="num" val="0.7"/>
        <cfvo type="num" val="1"/>
      </iconSet>
    </cfRule>
    <cfRule type="dataBar" priority="2298">
      <dataBar>
        <cfvo type="num" val="0"/>
        <cfvo type="num" val="1"/>
        <color theme="4" tint="0.79998168889431442"/>
      </dataBar>
      <extLst>
        <ext xmlns:x14="http://schemas.microsoft.com/office/spreadsheetml/2009/9/main" uri="{B025F937-C7B1-47D3-B67F-A62EFF666E3E}">
          <x14:id>{87F6EBE0-DF6C-45AC-9D98-88B356FDF949}</x14:id>
        </ext>
      </extLst>
    </cfRule>
  </conditionalFormatting>
  <conditionalFormatting sqref="AP338">
    <cfRule type="iconSet" priority="2759">
      <iconSet iconSet="3Arrows">
        <cfvo type="percent" val="0"/>
        <cfvo type="num" val="0.7"/>
        <cfvo type="num" val="1"/>
      </iconSet>
    </cfRule>
    <cfRule type="dataBar" priority="2760">
      <dataBar>
        <cfvo type="num" val="0"/>
        <cfvo type="num" val="1"/>
        <color theme="4" tint="0.79998168889431442"/>
      </dataBar>
      <extLst>
        <ext xmlns:x14="http://schemas.microsoft.com/office/spreadsheetml/2009/9/main" uri="{B025F937-C7B1-47D3-B67F-A62EFF666E3E}">
          <x14:id>{8FFD5B8D-D78B-4B7C-96CD-1A0647703C7B}</x14:id>
        </ext>
      </extLst>
    </cfRule>
  </conditionalFormatting>
  <conditionalFormatting sqref="AP340">
    <cfRule type="iconSet" priority="2700">
      <iconSet iconSet="3Arrows">
        <cfvo type="percent" val="0"/>
        <cfvo type="num" val="0.7"/>
        <cfvo type="num" val="1"/>
      </iconSet>
    </cfRule>
    <cfRule type="dataBar" priority="2701">
      <dataBar>
        <cfvo type="num" val="0"/>
        <cfvo type="num" val="1"/>
        <color theme="4" tint="0.79998168889431442"/>
      </dataBar>
      <extLst>
        <ext xmlns:x14="http://schemas.microsoft.com/office/spreadsheetml/2009/9/main" uri="{B025F937-C7B1-47D3-B67F-A62EFF666E3E}">
          <x14:id>{5B5A662A-B8B9-49D8-81B5-03B2AD22EC97}</x14:id>
        </ext>
      </extLst>
    </cfRule>
  </conditionalFormatting>
  <conditionalFormatting sqref="AP342">
    <cfRule type="iconSet" priority="2729">
      <iconSet iconSet="3Arrows">
        <cfvo type="percent" val="0"/>
        <cfvo type="num" val="0.7"/>
        <cfvo type="num" val="1"/>
      </iconSet>
    </cfRule>
    <cfRule type="dataBar" priority="2730">
      <dataBar>
        <cfvo type="num" val="0"/>
        <cfvo type="num" val="1"/>
        <color theme="4" tint="0.79998168889431442"/>
      </dataBar>
      <extLst>
        <ext xmlns:x14="http://schemas.microsoft.com/office/spreadsheetml/2009/9/main" uri="{B025F937-C7B1-47D3-B67F-A62EFF666E3E}">
          <x14:id>{43EC26D8-27D2-409C-9B45-18FB9CDDF3FD}</x14:id>
        </ext>
      </extLst>
    </cfRule>
  </conditionalFormatting>
  <conditionalFormatting sqref="AP344">
    <cfRule type="iconSet" priority="2398">
      <iconSet iconSet="3Arrows">
        <cfvo type="percent" val="0"/>
        <cfvo type="num" val="0.7"/>
        <cfvo type="num" val="1"/>
      </iconSet>
    </cfRule>
    <cfRule type="dataBar" priority="2399">
      <dataBar>
        <cfvo type="num" val="0"/>
        <cfvo type="num" val="1"/>
        <color theme="4" tint="0.79998168889431442"/>
      </dataBar>
      <extLst>
        <ext xmlns:x14="http://schemas.microsoft.com/office/spreadsheetml/2009/9/main" uri="{B025F937-C7B1-47D3-B67F-A62EFF666E3E}">
          <x14:id>{101F3AEE-23CE-4D2D-A314-1A6C3804A136}</x14:id>
        </ext>
      </extLst>
    </cfRule>
  </conditionalFormatting>
  <conditionalFormatting sqref="AP346">
    <cfRule type="iconSet" priority="2715">
      <iconSet iconSet="3Arrows">
        <cfvo type="percent" val="0"/>
        <cfvo type="num" val="0.7"/>
        <cfvo type="num" val="1"/>
      </iconSet>
    </cfRule>
    <cfRule type="dataBar" priority="2716">
      <dataBar>
        <cfvo type="num" val="0"/>
        <cfvo type="num" val="1"/>
        <color theme="4" tint="0.79998168889431442"/>
      </dataBar>
      <extLst>
        <ext xmlns:x14="http://schemas.microsoft.com/office/spreadsheetml/2009/9/main" uri="{B025F937-C7B1-47D3-B67F-A62EFF666E3E}">
          <x14:id>{AC65AA51-7024-4716-BADC-A13C75B78B2F}</x14:id>
        </ext>
      </extLst>
    </cfRule>
  </conditionalFormatting>
  <conditionalFormatting sqref="AP348">
    <cfRule type="iconSet" priority="2283">
      <iconSet iconSet="3Arrows">
        <cfvo type="percent" val="0"/>
        <cfvo type="num" val="0.7"/>
        <cfvo type="num" val="1"/>
      </iconSet>
    </cfRule>
    <cfRule type="dataBar" priority="2284">
      <dataBar>
        <cfvo type="num" val="0"/>
        <cfvo type="num" val="1"/>
        <color theme="4" tint="0.79998168889431442"/>
      </dataBar>
      <extLst>
        <ext xmlns:x14="http://schemas.microsoft.com/office/spreadsheetml/2009/9/main" uri="{B025F937-C7B1-47D3-B67F-A62EFF666E3E}">
          <x14:id>{8A8FEE47-2522-4D79-89EA-C3AE0C04BF03}</x14:id>
        </ext>
      </extLst>
    </cfRule>
  </conditionalFormatting>
  <conditionalFormatting sqref="AP350">
    <cfRule type="iconSet" priority="2492">
      <iconSet iconSet="3Arrows">
        <cfvo type="percent" val="0"/>
        <cfvo type="num" val="0.7"/>
        <cfvo type="num" val="1"/>
      </iconSet>
    </cfRule>
    <cfRule type="dataBar" priority="2493">
      <dataBar>
        <cfvo type="num" val="0"/>
        <cfvo type="num" val="1"/>
        <color theme="4" tint="0.79998168889431442"/>
      </dataBar>
      <extLst>
        <ext xmlns:x14="http://schemas.microsoft.com/office/spreadsheetml/2009/9/main" uri="{B025F937-C7B1-47D3-B67F-A62EFF666E3E}">
          <x14:id>{8F8A61DF-3F67-474B-BF1E-7613F548748D}</x14:id>
        </ext>
      </extLst>
    </cfRule>
  </conditionalFormatting>
  <conditionalFormatting sqref="AP352">
    <cfRule type="iconSet" priority="4050">
      <iconSet iconSet="3Arrows">
        <cfvo type="percent" val="0"/>
        <cfvo type="num" val="0.7"/>
        <cfvo type="num" val="1"/>
      </iconSet>
    </cfRule>
    <cfRule type="dataBar" priority="4051">
      <dataBar>
        <cfvo type="num" val="0"/>
        <cfvo type="num" val="1"/>
        <color theme="4" tint="0.79998168889431442"/>
      </dataBar>
      <extLst>
        <ext xmlns:x14="http://schemas.microsoft.com/office/spreadsheetml/2009/9/main" uri="{B025F937-C7B1-47D3-B67F-A62EFF666E3E}">
          <x14:id>{18234517-5434-4346-90D2-CF27C26ABDF5}</x14:id>
        </ext>
      </extLst>
    </cfRule>
  </conditionalFormatting>
  <conditionalFormatting sqref="AP354">
    <cfRule type="iconSet" priority="4048">
      <iconSet iconSet="3Arrows">
        <cfvo type="percent" val="0"/>
        <cfvo type="num" val="0.7"/>
        <cfvo type="num" val="1"/>
      </iconSet>
    </cfRule>
    <cfRule type="dataBar" priority="4049">
      <dataBar>
        <cfvo type="num" val="0"/>
        <cfvo type="num" val="1"/>
        <color theme="4" tint="0.79998168889431442"/>
      </dataBar>
      <extLst>
        <ext xmlns:x14="http://schemas.microsoft.com/office/spreadsheetml/2009/9/main" uri="{B025F937-C7B1-47D3-B67F-A62EFF666E3E}">
          <x14:id>{C6C697AC-BEE6-4126-BFD4-A679BD9A9CAF}</x14:id>
        </ext>
      </extLst>
    </cfRule>
  </conditionalFormatting>
  <conditionalFormatting sqref="AP356">
    <cfRule type="iconSet" priority="4046">
      <iconSet iconSet="3Arrows">
        <cfvo type="percent" val="0"/>
        <cfvo type="num" val="0.7"/>
        <cfvo type="num" val="1"/>
      </iconSet>
    </cfRule>
    <cfRule type="dataBar" priority="4047">
      <dataBar>
        <cfvo type="num" val="0"/>
        <cfvo type="num" val="1"/>
        <color theme="4" tint="0.79998168889431442"/>
      </dataBar>
      <extLst>
        <ext xmlns:x14="http://schemas.microsoft.com/office/spreadsheetml/2009/9/main" uri="{B025F937-C7B1-47D3-B67F-A62EFF666E3E}">
          <x14:id>{1EA00C12-0B51-4BAA-B36B-0E6D517CA40B}</x14:id>
        </ext>
      </extLst>
    </cfRule>
  </conditionalFormatting>
  <conditionalFormatting sqref="AP358">
    <cfRule type="iconSet" priority="2245">
      <iconSet iconSet="3Arrows">
        <cfvo type="percent" val="0"/>
        <cfvo type="num" val="0.7"/>
        <cfvo type="num" val="1"/>
      </iconSet>
    </cfRule>
    <cfRule type="dataBar" priority="2246">
      <dataBar>
        <cfvo type="num" val="0"/>
        <cfvo type="num" val="1"/>
        <color theme="4" tint="0.79998168889431442"/>
      </dataBar>
      <extLst>
        <ext xmlns:x14="http://schemas.microsoft.com/office/spreadsheetml/2009/9/main" uri="{B025F937-C7B1-47D3-B67F-A62EFF666E3E}">
          <x14:id>{04ACA202-37CD-4E99-9A67-0CD32CEEDABE}</x14:id>
        </ext>
      </extLst>
    </cfRule>
  </conditionalFormatting>
  <conditionalFormatting sqref="AP360">
    <cfRule type="iconSet" priority="2263">
      <iconSet iconSet="3Arrows">
        <cfvo type="percent" val="0"/>
        <cfvo type="num" val="0.7"/>
        <cfvo type="num" val="1"/>
      </iconSet>
    </cfRule>
    <cfRule type="dataBar" priority="2264">
      <dataBar>
        <cfvo type="num" val="0"/>
        <cfvo type="num" val="1"/>
        <color theme="4" tint="0.79998168889431442"/>
      </dataBar>
      <extLst>
        <ext xmlns:x14="http://schemas.microsoft.com/office/spreadsheetml/2009/9/main" uri="{B025F937-C7B1-47D3-B67F-A62EFF666E3E}">
          <x14:id>{AE28A57F-94CA-4DB4-82BC-C71A668363B0}</x14:id>
        </ext>
      </extLst>
    </cfRule>
  </conditionalFormatting>
  <conditionalFormatting sqref="AP362">
    <cfRule type="iconSet" priority="1366">
      <iconSet iconSet="3Arrows">
        <cfvo type="percent" val="0"/>
        <cfvo type="num" val="0.7"/>
        <cfvo type="num" val="1"/>
      </iconSet>
    </cfRule>
    <cfRule type="dataBar" priority="1367">
      <dataBar>
        <cfvo type="num" val="0"/>
        <cfvo type="num" val="1"/>
        <color theme="4" tint="0.79998168889431442"/>
      </dataBar>
      <extLst>
        <ext xmlns:x14="http://schemas.microsoft.com/office/spreadsheetml/2009/9/main" uri="{B025F937-C7B1-47D3-B67F-A62EFF666E3E}">
          <x14:id>{D59B1F0D-9DE9-4153-A93C-4F47174D2D43}</x14:id>
        </ext>
      </extLst>
    </cfRule>
  </conditionalFormatting>
  <conditionalFormatting sqref="AP364">
    <cfRule type="iconSet" priority="1807">
      <iconSet iconSet="3Arrows">
        <cfvo type="percent" val="0"/>
        <cfvo type="num" val="0.7"/>
        <cfvo type="num" val="1"/>
      </iconSet>
    </cfRule>
    <cfRule type="dataBar" priority="1808">
      <dataBar>
        <cfvo type="num" val="0"/>
        <cfvo type="num" val="1"/>
        <color theme="4" tint="0.79998168889431442"/>
      </dataBar>
      <extLst>
        <ext xmlns:x14="http://schemas.microsoft.com/office/spreadsheetml/2009/9/main" uri="{B025F937-C7B1-47D3-B67F-A62EFF666E3E}">
          <x14:id>{58A978ED-0376-4864-950A-16FEB92E6D92}</x14:id>
        </ext>
      </extLst>
    </cfRule>
  </conditionalFormatting>
  <conditionalFormatting sqref="AP366">
    <cfRule type="iconSet" priority="1352">
      <iconSet iconSet="3Arrows">
        <cfvo type="percent" val="0"/>
        <cfvo type="num" val="0.7"/>
        <cfvo type="num" val="1"/>
      </iconSet>
    </cfRule>
    <cfRule type="dataBar" priority="1353">
      <dataBar>
        <cfvo type="num" val="0"/>
        <cfvo type="num" val="1"/>
        <color theme="4" tint="0.79998168889431442"/>
      </dataBar>
      <extLst>
        <ext xmlns:x14="http://schemas.microsoft.com/office/spreadsheetml/2009/9/main" uri="{B025F937-C7B1-47D3-B67F-A62EFF666E3E}">
          <x14:id>{5A2B73EF-1438-4DC6-9D7C-FA256E1862DF}</x14:id>
        </ext>
      </extLst>
    </cfRule>
  </conditionalFormatting>
  <conditionalFormatting sqref="AP368">
    <cfRule type="iconSet" priority="2261">
      <iconSet iconSet="3Arrows">
        <cfvo type="percent" val="0"/>
        <cfvo type="num" val="0.7"/>
        <cfvo type="num" val="1"/>
      </iconSet>
    </cfRule>
    <cfRule type="dataBar" priority="2262">
      <dataBar>
        <cfvo type="num" val="0"/>
        <cfvo type="num" val="1"/>
        <color theme="4" tint="0.79998168889431442"/>
      </dataBar>
      <extLst>
        <ext xmlns:x14="http://schemas.microsoft.com/office/spreadsheetml/2009/9/main" uri="{B025F937-C7B1-47D3-B67F-A62EFF666E3E}">
          <x14:id>{CF12D746-A9FD-4E41-BFF1-054726E64313}</x14:id>
        </ext>
      </extLst>
    </cfRule>
  </conditionalFormatting>
  <conditionalFormatting sqref="AP370">
    <cfRule type="iconSet" priority="1793">
      <iconSet iconSet="3Arrows">
        <cfvo type="percent" val="0"/>
        <cfvo type="num" val="0.7"/>
        <cfvo type="num" val="1"/>
      </iconSet>
    </cfRule>
    <cfRule type="dataBar" priority="1794">
      <dataBar>
        <cfvo type="num" val="0"/>
        <cfvo type="num" val="1"/>
        <color theme="4" tint="0.79998168889431442"/>
      </dataBar>
      <extLst>
        <ext xmlns:x14="http://schemas.microsoft.com/office/spreadsheetml/2009/9/main" uri="{B025F937-C7B1-47D3-B67F-A62EFF666E3E}">
          <x14:id>{DD60A899-1B92-4874-8204-7D1CFF93A156}</x14:id>
        </ext>
      </extLst>
    </cfRule>
  </conditionalFormatting>
  <conditionalFormatting sqref="AP372">
    <cfRule type="iconSet" priority="2475">
      <iconSet iconSet="3Arrows">
        <cfvo type="percent" val="0"/>
        <cfvo type="num" val="0.7"/>
        <cfvo type="num" val="1"/>
      </iconSet>
    </cfRule>
    <cfRule type="dataBar" priority="2476">
      <dataBar>
        <cfvo type="num" val="0"/>
        <cfvo type="num" val="1"/>
        <color theme="4" tint="0.79998168889431442"/>
      </dataBar>
      <extLst>
        <ext xmlns:x14="http://schemas.microsoft.com/office/spreadsheetml/2009/9/main" uri="{B025F937-C7B1-47D3-B67F-A62EFF666E3E}">
          <x14:id>{C20A98E0-9EA2-4009-8396-916DF5B9AF89}</x14:id>
        </ext>
      </extLst>
    </cfRule>
  </conditionalFormatting>
  <conditionalFormatting sqref="AP374">
    <cfRule type="iconSet" priority="2610">
      <iconSet iconSet="3Arrows">
        <cfvo type="percent" val="0"/>
        <cfvo type="num" val="0.7"/>
        <cfvo type="num" val="1"/>
      </iconSet>
    </cfRule>
    <cfRule type="dataBar" priority="2611">
      <dataBar>
        <cfvo type="num" val="0"/>
        <cfvo type="num" val="1"/>
        <color theme="4" tint="0.79998168889431442"/>
      </dataBar>
      <extLst>
        <ext xmlns:x14="http://schemas.microsoft.com/office/spreadsheetml/2009/9/main" uri="{B025F937-C7B1-47D3-B67F-A62EFF666E3E}">
          <x14:id>{C1B9CEC1-84C4-4185-915C-56AF5C594FFB}</x14:id>
        </ext>
      </extLst>
    </cfRule>
  </conditionalFormatting>
  <conditionalFormatting sqref="AP376">
    <cfRule type="iconSet" priority="2655">
      <iconSet iconSet="3Arrows">
        <cfvo type="percent" val="0"/>
        <cfvo type="num" val="0.7"/>
        <cfvo type="num" val="1"/>
      </iconSet>
    </cfRule>
    <cfRule type="dataBar" priority="2656">
      <dataBar>
        <cfvo type="num" val="0"/>
        <cfvo type="num" val="1"/>
        <color theme="4" tint="0.79998168889431442"/>
      </dataBar>
      <extLst>
        <ext xmlns:x14="http://schemas.microsoft.com/office/spreadsheetml/2009/9/main" uri="{B025F937-C7B1-47D3-B67F-A62EFF666E3E}">
          <x14:id>{3F253486-1BB3-4AAA-AE56-8AD7164C2025}</x14:id>
        </ext>
      </extLst>
    </cfRule>
  </conditionalFormatting>
  <conditionalFormatting sqref="AP378">
    <cfRule type="iconSet" priority="2590">
      <iconSet iconSet="3Arrows">
        <cfvo type="percent" val="0"/>
        <cfvo type="num" val="0.7"/>
        <cfvo type="num" val="1"/>
      </iconSet>
    </cfRule>
    <cfRule type="dataBar" priority="2591">
      <dataBar>
        <cfvo type="num" val="0"/>
        <cfvo type="num" val="1"/>
        <color theme="4" tint="0.79998168889431442"/>
      </dataBar>
      <extLst>
        <ext xmlns:x14="http://schemas.microsoft.com/office/spreadsheetml/2009/9/main" uri="{B025F937-C7B1-47D3-B67F-A62EFF666E3E}">
          <x14:id>{E6B603F1-4768-41A5-8FB3-A756A8620528}</x14:id>
        </ext>
      </extLst>
    </cfRule>
  </conditionalFormatting>
  <conditionalFormatting sqref="AP380">
    <cfRule type="iconSet" priority="2640">
      <iconSet iconSet="3Arrows">
        <cfvo type="percent" val="0"/>
        <cfvo type="num" val="0.7"/>
        <cfvo type="num" val="1"/>
      </iconSet>
    </cfRule>
    <cfRule type="dataBar" priority="2641">
      <dataBar>
        <cfvo type="num" val="0"/>
        <cfvo type="num" val="1"/>
        <color theme="4" tint="0.79998168889431442"/>
      </dataBar>
      <extLst>
        <ext xmlns:x14="http://schemas.microsoft.com/office/spreadsheetml/2009/9/main" uri="{B025F937-C7B1-47D3-B67F-A62EFF666E3E}">
          <x14:id>{BEE47D09-1D24-41CE-AB3C-4276FE26F1C2}</x14:id>
        </ext>
      </extLst>
    </cfRule>
  </conditionalFormatting>
  <conditionalFormatting sqref="AP382">
    <cfRule type="iconSet" priority="2570">
      <iconSet iconSet="3Arrows">
        <cfvo type="percent" val="0"/>
        <cfvo type="num" val="0.7"/>
        <cfvo type="num" val="1"/>
      </iconSet>
    </cfRule>
    <cfRule type="dataBar" priority="2571">
      <dataBar>
        <cfvo type="num" val="0"/>
        <cfvo type="num" val="1"/>
        <color theme="4" tint="0.79998168889431442"/>
      </dataBar>
      <extLst>
        <ext xmlns:x14="http://schemas.microsoft.com/office/spreadsheetml/2009/9/main" uri="{B025F937-C7B1-47D3-B67F-A62EFF666E3E}">
          <x14:id>{DC873060-619E-437B-B17D-4854B735814B}</x14:id>
        </ext>
      </extLst>
    </cfRule>
  </conditionalFormatting>
  <conditionalFormatting sqref="AP384">
    <cfRule type="iconSet" priority="2625">
      <iconSet iconSet="3Arrows">
        <cfvo type="percent" val="0"/>
        <cfvo type="num" val="0.7"/>
        <cfvo type="num" val="1"/>
      </iconSet>
    </cfRule>
    <cfRule type="dataBar" priority="2626">
      <dataBar>
        <cfvo type="num" val="0"/>
        <cfvo type="num" val="1"/>
        <color theme="4" tint="0.79998168889431442"/>
      </dataBar>
      <extLst>
        <ext xmlns:x14="http://schemas.microsoft.com/office/spreadsheetml/2009/9/main" uri="{B025F937-C7B1-47D3-B67F-A62EFF666E3E}">
          <x14:id>{BFF1157C-6F58-41D0-96EF-7FE5167F7B5E}</x14:id>
        </ext>
      </extLst>
    </cfRule>
  </conditionalFormatting>
  <conditionalFormatting sqref="AP386">
    <cfRule type="iconSet" priority="1304">
      <iconSet iconSet="3Arrows">
        <cfvo type="percent" val="0"/>
        <cfvo type="num" val="0.7"/>
        <cfvo type="num" val="1"/>
      </iconSet>
    </cfRule>
    <cfRule type="dataBar" priority="1305">
      <dataBar>
        <cfvo type="num" val="0"/>
        <cfvo type="num" val="1"/>
        <color theme="4" tint="0.79998168889431442"/>
      </dataBar>
      <extLst>
        <ext xmlns:x14="http://schemas.microsoft.com/office/spreadsheetml/2009/9/main" uri="{B025F937-C7B1-47D3-B67F-A62EFF666E3E}">
          <x14:id>{CD33F35C-87EB-49BC-9761-A61CF79F9887}</x14:id>
        </ext>
      </extLst>
    </cfRule>
  </conditionalFormatting>
  <conditionalFormatting sqref="AP388">
    <cfRule type="iconSet" priority="1300">
      <iconSet iconSet="3Arrows">
        <cfvo type="percent" val="0"/>
        <cfvo type="num" val="0.7"/>
        <cfvo type="num" val="1"/>
      </iconSet>
    </cfRule>
    <cfRule type="dataBar" priority="1301">
      <dataBar>
        <cfvo type="num" val="0"/>
        <cfvo type="num" val="1"/>
        <color theme="4" tint="0.79998168889431442"/>
      </dataBar>
      <extLst>
        <ext xmlns:x14="http://schemas.microsoft.com/office/spreadsheetml/2009/9/main" uri="{B025F937-C7B1-47D3-B67F-A62EFF666E3E}">
          <x14:id>{2051BE27-E0B9-4F11-8EDE-537230F5AC1C}</x14:id>
        </ext>
      </extLst>
    </cfRule>
  </conditionalFormatting>
  <conditionalFormatting sqref="AP390">
    <cfRule type="iconSet" priority="1302">
      <iconSet iconSet="3Arrows">
        <cfvo type="percent" val="0"/>
        <cfvo type="num" val="0.7"/>
        <cfvo type="num" val="1"/>
      </iconSet>
    </cfRule>
    <cfRule type="dataBar" priority="1303">
      <dataBar>
        <cfvo type="num" val="0"/>
        <cfvo type="num" val="1"/>
        <color theme="4" tint="0.79998168889431442"/>
      </dataBar>
      <extLst>
        <ext xmlns:x14="http://schemas.microsoft.com/office/spreadsheetml/2009/9/main" uri="{B025F937-C7B1-47D3-B67F-A62EFF666E3E}">
          <x14:id>{28F95417-B7FE-4CA7-B8B7-57F7DCD82085}</x14:id>
        </ext>
      </extLst>
    </cfRule>
  </conditionalFormatting>
  <conditionalFormatting sqref="AP393">
    <cfRule type="iconSet" priority="4044">
      <iconSet iconSet="3Arrows">
        <cfvo type="percent" val="0"/>
        <cfvo type="num" val="0.7"/>
        <cfvo type="num" val="1"/>
      </iconSet>
    </cfRule>
    <cfRule type="dataBar" priority="4045">
      <dataBar>
        <cfvo type="num" val="0"/>
        <cfvo type="num" val="1"/>
        <color theme="4" tint="0.79998168889431442"/>
      </dataBar>
      <extLst>
        <ext xmlns:x14="http://schemas.microsoft.com/office/spreadsheetml/2009/9/main" uri="{B025F937-C7B1-47D3-B67F-A62EFF666E3E}">
          <x14:id>{50B36709-C2EC-41EA-8280-5E0561F9374E}</x14:id>
        </ext>
      </extLst>
    </cfRule>
  </conditionalFormatting>
  <conditionalFormatting sqref="AP395">
    <cfRule type="iconSet" priority="4033">
      <iconSet iconSet="3Arrows">
        <cfvo type="percent" val="0"/>
        <cfvo type="num" val="0.7"/>
        <cfvo type="num" val="1"/>
      </iconSet>
    </cfRule>
    <cfRule type="dataBar" priority="4034">
      <dataBar>
        <cfvo type="num" val="0"/>
        <cfvo type="num" val="1"/>
        <color theme="4" tint="0.79998168889431442"/>
      </dataBar>
      <extLst>
        <ext xmlns:x14="http://schemas.microsoft.com/office/spreadsheetml/2009/9/main" uri="{B025F937-C7B1-47D3-B67F-A62EFF666E3E}">
          <x14:id>{B1EDC3FA-3FAA-4D8A-A2E7-DE58D693D6B6}</x14:id>
        </ext>
      </extLst>
    </cfRule>
  </conditionalFormatting>
  <conditionalFormatting sqref="AP397">
    <cfRule type="iconSet" priority="3954">
      <iconSet iconSet="3Arrows">
        <cfvo type="percent" val="0"/>
        <cfvo type="num" val="0.7"/>
        <cfvo type="num" val="1"/>
      </iconSet>
    </cfRule>
    <cfRule type="dataBar" priority="3955">
      <dataBar>
        <cfvo type="num" val="0"/>
        <cfvo type="num" val="1"/>
        <color theme="4" tint="0.79998168889431442"/>
      </dataBar>
      <extLst>
        <ext xmlns:x14="http://schemas.microsoft.com/office/spreadsheetml/2009/9/main" uri="{B025F937-C7B1-47D3-B67F-A62EFF666E3E}">
          <x14:id>{8A6C49C4-CA40-48B7-AF6A-DDC2C44C4A2C}</x14:id>
        </ext>
      </extLst>
    </cfRule>
  </conditionalFormatting>
  <conditionalFormatting sqref="AP399">
    <cfRule type="iconSet" priority="4023">
      <iconSet iconSet="3Arrows">
        <cfvo type="percent" val="0"/>
        <cfvo type="num" val="0.7"/>
        <cfvo type="num" val="1"/>
      </iconSet>
    </cfRule>
    <cfRule type="dataBar" priority="4024">
      <dataBar>
        <cfvo type="num" val="0"/>
        <cfvo type="num" val="1"/>
        <color theme="4" tint="0.79998168889431442"/>
      </dataBar>
      <extLst>
        <ext xmlns:x14="http://schemas.microsoft.com/office/spreadsheetml/2009/9/main" uri="{B025F937-C7B1-47D3-B67F-A62EFF666E3E}">
          <x14:id>{59B96D3D-E3DD-49AF-96FA-E0366E540E24}</x14:id>
        </ext>
      </extLst>
    </cfRule>
  </conditionalFormatting>
  <conditionalFormatting sqref="AP401">
    <cfRule type="iconSet" priority="2231">
      <iconSet iconSet="3Arrows">
        <cfvo type="percent" val="0"/>
        <cfvo type="num" val="0.7"/>
        <cfvo type="num" val="1"/>
      </iconSet>
    </cfRule>
    <cfRule type="dataBar" priority="2232">
      <dataBar>
        <cfvo type="num" val="0"/>
        <cfvo type="num" val="1"/>
        <color theme="4" tint="0.79998168889431442"/>
      </dataBar>
      <extLst>
        <ext xmlns:x14="http://schemas.microsoft.com/office/spreadsheetml/2009/9/main" uri="{B025F937-C7B1-47D3-B67F-A62EFF666E3E}">
          <x14:id>{16C6BFC6-6452-44D9-8A30-838FFEF9D2CD}</x14:id>
        </ext>
      </extLst>
    </cfRule>
  </conditionalFormatting>
  <conditionalFormatting sqref="AP403">
    <cfRule type="iconSet" priority="2217">
      <iconSet iconSet="3Arrows">
        <cfvo type="percent" val="0"/>
        <cfvo type="num" val="0.7"/>
        <cfvo type="num" val="1"/>
      </iconSet>
    </cfRule>
    <cfRule type="dataBar" priority="2218">
      <dataBar>
        <cfvo type="num" val="0"/>
        <cfvo type="num" val="1"/>
        <color theme="4" tint="0.79998168889431442"/>
      </dataBar>
      <extLst>
        <ext xmlns:x14="http://schemas.microsoft.com/office/spreadsheetml/2009/9/main" uri="{B025F937-C7B1-47D3-B67F-A62EFF666E3E}">
          <x14:id>{DA6A0A68-45A5-47BF-AB03-54112AA524EF}</x14:id>
        </ext>
      </extLst>
    </cfRule>
  </conditionalFormatting>
  <conditionalFormatting sqref="AP405">
    <cfRule type="iconSet" priority="1754">
      <iconSet iconSet="3Arrows">
        <cfvo type="percent" val="0"/>
        <cfvo type="num" val="0.7"/>
        <cfvo type="num" val="1"/>
      </iconSet>
    </cfRule>
    <cfRule type="dataBar" priority="1755">
      <dataBar>
        <cfvo type="num" val="0"/>
        <cfvo type="num" val="1"/>
        <color theme="4" tint="0.79998168889431442"/>
      </dataBar>
      <extLst>
        <ext xmlns:x14="http://schemas.microsoft.com/office/spreadsheetml/2009/9/main" uri="{B025F937-C7B1-47D3-B67F-A62EFF666E3E}">
          <x14:id>{8B6D1B8D-31C6-4CF5-9E8A-5F8D7FE41416}</x14:id>
        </ext>
      </extLst>
    </cfRule>
  </conditionalFormatting>
  <conditionalFormatting sqref="AP407">
    <cfRule type="iconSet" priority="1750">
      <iconSet iconSet="3Arrows">
        <cfvo type="percent" val="0"/>
        <cfvo type="num" val="0.7"/>
        <cfvo type="num" val="1"/>
      </iconSet>
    </cfRule>
    <cfRule type="dataBar" priority="1751">
      <dataBar>
        <cfvo type="num" val="0"/>
        <cfvo type="num" val="1"/>
        <color theme="4" tint="0.79998168889431442"/>
      </dataBar>
      <extLst>
        <ext xmlns:x14="http://schemas.microsoft.com/office/spreadsheetml/2009/9/main" uri="{B025F937-C7B1-47D3-B67F-A62EFF666E3E}">
          <x14:id>{939E5824-F23A-46AF-BD09-8C902C764140}</x14:id>
        </ext>
      </extLst>
    </cfRule>
  </conditionalFormatting>
  <conditionalFormatting sqref="AP409">
    <cfRule type="iconSet" priority="1752">
      <iconSet iconSet="3Arrows">
        <cfvo type="percent" val="0"/>
        <cfvo type="num" val="0.7"/>
        <cfvo type="num" val="1"/>
      </iconSet>
    </cfRule>
    <cfRule type="dataBar" priority="1753">
      <dataBar>
        <cfvo type="num" val="0"/>
        <cfvo type="num" val="1"/>
        <color theme="4" tint="0.79998168889431442"/>
      </dataBar>
      <extLst>
        <ext xmlns:x14="http://schemas.microsoft.com/office/spreadsheetml/2009/9/main" uri="{B025F937-C7B1-47D3-B67F-A62EFF666E3E}">
          <x14:id>{35334D0B-38BD-4455-B99C-EAA6095D2506}</x14:id>
        </ext>
      </extLst>
    </cfRule>
  </conditionalFormatting>
  <conditionalFormatting sqref="AP411">
    <cfRule type="iconSet" priority="1255">
      <iconSet iconSet="3Arrows">
        <cfvo type="percent" val="0"/>
        <cfvo type="num" val="0.7"/>
        <cfvo type="num" val="1"/>
      </iconSet>
    </cfRule>
    <cfRule type="dataBar" priority="1256">
      <dataBar>
        <cfvo type="num" val="0"/>
        <cfvo type="num" val="1"/>
        <color theme="4" tint="0.79998168889431442"/>
      </dataBar>
      <extLst>
        <ext xmlns:x14="http://schemas.microsoft.com/office/spreadsheetml/2009/9/main" uri="{B025F937-C7B1-47D3-B67F-A62EFF666E3E}">
          <x14:id>{783841CB-1336-41CB-A00F-5FB0A0606E97}</x14:id>
        </ext>
      </extLst>
    </cfRule>
  </conditionalFormatting>
  <conditionalFormatting sqref="AP413">
    <cfRule type="iconSet" priority="1251">
      <iconSet iconSet="3Arrows">
        <cfvo type="percent" val="0"/>
        <cfvo type="num" val="0.7"/>
        <cfvo type="num" val="1"/>
      </iconSet>
    </cfRule>
    <cfRule type="dataBar" priority="1252">
      <dataBar>
        <cfvo type="num" val="0"/>
        <cfvo type="num" val="1"/>
        <color theme="4" tint="0.79998168889431442"/>
      </dataBar>
      <extLst>
        <ext xmlns:x14="http://schemas.microsoft.com/office/spreadsheetml/2009/9/main" uri="{B025F937-C7B1-47D3-B67F-A62EFF666E3E}">
          <x14:id>{37E275FA-ED60-4C35-ABA6-4BA343C36648}</x14:id>
        </ext>
      </extLst>
    </cfRule>
  </conditionalFormatting>
  <conditionalFormatting sqref="AP415">
    <cfRule type="iconSet" priority="1253">
      <iconSet iconSet="3Arrows">
        <cfvo type="percent" val="0"/>
        <cfvo type="num" val="0.7"/>
        <cfvo type="num" val="1"/>
      </iconSet>
    </cfRule>
    <cfRule type="dataBar" priority="1254">
      <dataBar>
        <cfvo type="num" val="0"/>
        <cfvo type="num" val="1"/>
        <color theme="4" tint="0.79998168889431442"/>
      </dataBar>
      <extLst>
        <ext xmlns:x14="http://schemas.microsoft.com/office/spreadsheetml/2009/9/main" uri="{B025F937-C7B1-47D3-B67F-A62EFF666E3E}">
          <x14:id>{1E250BDA-0155-4F39-8D9B-4602E67099AF}</x14:id>
        </ext>
      </extLst>
    </cfRule>
  </conditionalFormatting>
  <conditionalFormatting sqref="AP417">
    <cfRule type="iconSet" priority="3085">
      <iconSet iconSet="3Arrows">
        <cfvo type="percent" val="0"/>
        <cfvo type="num" val="0.7"/>
        <cfvo type="num" val="1"/>
      </iconSet>
    </cfRule>
    <cfRule type="dataBar" priority="3086">
      <dataBar>
        <cfvo type="num" val="0"/>
        <cfvo type="num" val="1"/>
        <color theme="4" tint="0.79998168889431442"/>
      </dataBar>
      <extLst>
        <ext xmlns:x14="http://schemas.microsoft.com/office/spreadsheetml/2009/9/main" uri="{B025F937-C7B1-47D3-B67F-A62EFF666E3E}">
          <x14:id>{620EDC50-BC84-4DBC-9E79-55C824FD5A13}</x14:id>
        </ext>
      </extLst>
    </cfRule>
  </conditionalFormatting>
  <conditionalFormatting sqref="AP419">
    <cfRule type="iconSet" priority="3079">
      <iconSet iconSet="3Arrows">
        <cfvo type="percent" val="0"/>
        <cfvo type="num" val="0.7"/>
        <cfvo type="num" val="1"/>
      </iconSet>
    </cfRule>
    <cfRule type="dataBar" priority="3080">
      <dataBar>
        <cfvo type="num" val="0"/>
        <cfvo type="num" val="1"/>
        <color theme="4" tint="0.79998168889431442"/>
      </dataBar>
      <extLst>
        <ext xmlns:x14="http://schemas.microsoft.com/office/spreadsheetml/2009/9/main" uri="{B025F937-C7B1-47D3-B67F-A62EFF666E3E}">
          <x14:id>{7B6E7C84-2450-4368-AC5A-A42F62A57491}</x14:id>
        </ext>
      </extLst>
    </cfRule>
  </conditionalFormatting>
  <conditionalFormatting sqref="AP421">
    <cfRule type="iconSet" priority="3083">
      <iconSet iconSet="3Arrows">
        <cfvo type="percent" val="0"/>
        <cfvo type="num" val="0.7"/>
        <cfvo type="num" val="1"/>
      </iconSet>
    </cfRule>
    <cfRule type="dataBar" priority="3084">
      <dataBar>
        <cfvo type="num" val="0"/>
        <cfvo type="num" val="1"/>
        <color theme="4" tint="0.79998168889431442"/>
      </dataBar>
      <extLst>
        <ext xmlns:x14="http://schemas.microsoft.com/office/spreadsheetml/2009/9/main" uri="{B025F937-C7B1-47D3-B67F-A62EFF666E3E}">
          <x14:id>{ABC1902E-998F-4D0C-9934-F879976BF18B}</x14:id>
        </ext>
      </extLst>
    </cfRule>
  </conditionalFormatting>
  <conditionalFormatting sqref="AP423">
    <cfRule type="iconSet" priority="3081">
      <iconSet iconSet="3Arrows">
        <cfvo type="percent" val="0"/>
        <cfvo type="num" val="0.7"/>
        <cfvo type="num" val="1"/>
      </iconSet>
    </cfRule>
    <cfRule type="dataBar" priority="3082">
      <dataBar>
        <cfvo type="num" val="0"/>
        <cfvo type="num" val="1"/>
        <color theme="4" tint="0.79998168889431442"/>
      </dataBar>
      <extLst>
        <ext xmlns:x14="http://schemas.microsoft.com/office/spreadsheetml/2009/9/main" uri="{B025F937-C7B1-47D3-B67F-A62EFF666E3E}">
          <x14:id>{ABB10108-EF85-4711-A46F-226E3FFA3D0F}</x14:id>
        </ext>
      </extLst>
    </cfRule>
  </conditionalFormatting>
  <conditionalFormatting sqref="AP425">
    <cfRule type="iconSet" priority="187">
      <iconSet iconSet="3Arrows">
        <cfvo type="percent" val="0"/>
        <cfvo type="num" val="0.7"/>
        <cfvo type="num" val="1"/>
      </iconSet>
    </cfRule>
    <cfRule type="dataBar" priority="188">
      <dataBar>
        <cfvo type="num" val="0"/>
        <cfvo type="num" val="1"/>
        <color theme="4" tint="0.79998168889431442"/>
      </dataBar>
      <extLst>
        <ext xmlns:x14="http://schemas.microsoft.com/office/spreadsheetml/2009/9/main" uri="{B025F937-C7B1-47D3-B67F-A62EFF666E3E}">
          <x14:id>{64FB95F0-7E5C-44A1-A95D-69DE92127B15}</x14:id>
        </ext>
      </extLst>
    </cfRule>
  </conditionalFormatting>
  <conditionalFormatting sqref="AP428">
    <cfRule type="iconSet" priority="4021">
      <iconSet iconSet="3Arrows">
        <cfvo type="percent" val="0"/>
        <cfvo type="num" val="0.7"/>
        <cfvo type="num" val="1"/>
      </iconSet>
    </cfRule>
    <cfRule type="dataBar" priority="4022">
      <dataBar>
        <cfvo type="num" val="0"/>
        <cfvo type="num" val="1"/>
        <color theme="4" tint="0.79998168889431442"/>
      </dataBar>
      <extLst>
        <ext xmlns:x14="http://schemas.microsoft.com/office/spreadsheetml/2009/9/main" uri="{B025F937-C7B1-47D3-B67F-A62EFF666E3E}">
          <x14:id>{39DC3097-9A3D-4561-8855-A8BB51BD65C6}</x14:id>
        </ext>
      </extLst>
    </cfRule>
  </conditionalFormatting>
  <conditionalFormatting sqref="AP430">
    <cfRule type="iconSet" priority="3952">
      <iconSet iconSet="3Arrows">
        <cfvo type="percent" val="0"/>
        <cfvo type="num" val="0.7"/>
        <cfvo type="num" val="1"/>
      </iconSet>
    </cfRule>
    <cfRule type="dataBar" priority="3953">
      <dataBar>
        <cfvo type="num" val="0"/>
        <cfvo type="num" val="1"/>
        <color theme="4" tint="0.79998168889431442"/>
      </dataBar>
      <extLst>
        <ext xmlns:x14="http://schemas.microsoft.com/office/spreadsheetml/2009/9/main" uri="{B025F937-C7B1-47D3-B67F-A62EFF666E3E}">
          <x14:id>{BEF974C2-AC7A-4A7A-84A7-3A90AE90E986}</x14:id>
        </ext>
      </extLst>
    </cfRule>
  </conditionalFormatting>
  <conditionalFormatting sqref="AP432">
    <cfRule type="iconSet" priority="2552">
      <iconSet iconSet="3Arrows">
        <cfvo type="percent" val="0"/>
        <cfvo type="num" val="0.7"/>
        <cfvo type="num" val="1"/>
      </iconSet>
    </cfRule>
    <cfRule type="dataBar" priority="2553">
      <dataBar>
        <cfvo type="num" val="0"/>
        <cfvo type="num" val="1"/>
        <color theme="4" tint="0.79998168889431442"/>
      </dataBar>
      <extLst>
        <ext xmlns:x14="http://schemas.microsoft.com/office/spreadsheetml/2009/9/main" uri="{B025F937-C7B1-47D3-B67F-A62EFF666E3E}">
          <x14:id>{3A18CFBF-AE85-4B8C-B3CE-5B0087E31465}</x14:id>
        </ext>
      </extLst>
    </cfRule>
  </conditionalFormatting>
  <conditionalFormatting sqref="AP434">
    <cfRule type="iconSet" priority="3019">
      <iconSet iconSet="3Arrows">
        <cfvo type="percent" val="0"/>
        <cfvo type="num" val="0.7"/>
        <cfvo type="num" val="1"/>
      </iconSet>
    </cfRule>
    <cfRule type="dataBar" priority="3020">
      <dataBar>
        <cfvo type="num" val="0"/>
        <cfvo type="num" val="1"/>
        <color theme="4" tint="0.79998168889431442"/>
      </dataBar>
      <extLst>
        <ext xmlns:x14="http://schemas.microsoft.com/office/spreadsheetml/2009/9/main" uri="{B025F937-C7B1-47D3-B67F-A62EFF666E3E}">
          <x14:id>{E5829324-3B55-4510-B919-9F24151DEB11}</x14:id>
        </ext>
      </extLst>
    </cfRule>
  </conditionalFormatting>
  <conditionalFormatting sqref="AP436">
    <cfRule type="iconSet" priority="3017">
      <iconSet iconSet="3Arrows">
        <cfvo type="percent" val="0"/>
        <cfvo type="num" val="0.7"/>
        <cfvo type="num" val="1"/>
      </iconSet>
    </cfRule>
    <cfRule type="dataBar" priority="3018">
      <dataBar>
        <cfvo type="num" val="0"/>
        <cfvo type="num" val="1"/>
        <color theme="4" tint="0.79998168889431442"/>
      </dataBar>
      <extLst>
        <ext xmlns:x14="http://schemas.microsoft.com/office/spreadsheetml/2009/9/main" uri="{B025F937-C7B1-47D3-B67F-A62EFF666E3E}">
          <x14:id>{91B451E6-E774-4BC1-BE8B-3A0769F6072C}</x14:id>
        </ext>
      </extLst>
    </cfRule>
  </conditionalFormatting>
  <conditionalFormatting sqref="AP438">
    <cfRule type="iconSet" priority="3015">
      <iconSet iconSet="3Arrows">
        <cfvo type="percent" val="0"/>
        <cfvo type="num" val="0.7"/>
        <cfvo type="num" val="1"/>
      </iconSet>
    </cfRule>
    <cfRule type="dataBar" priority="3016">
      <dataBar>
        <cfvo type="num" val="0"/>
        <cfvo type="num" val="1"/>
        <color theme="4" tint="0.79998168889431442"/>
      </dataBar>
      <extLst>
        <ext xmlns:x14="http://schemas.microsoft.com/office/spreadsheetml/2009/9/main" uri="{B025F937-C7B1-47D3-B67F-A62EFF666E3E}">
          <x14:id>{A6B67D41-B9DF-462F-9706-4FA196D3E101}</x14:id>
        </ext>
      </extLst>
    </cfRule>
  </conditionalFormatting>
  <conditionalFormatting sqref="AP440">
    <cfRule type="iconSet" priority="3013">
      <iconSet iconSet="3Arrows">
        <cfvo type="percent" val="0"/>
        <cfvo type="num" val="0.7"/>
        <cfvo type="num" val="1"/>
      </iconSet>
    </cfRule>
    <cfRule type="dataBar" priority="3014">
      <dataBar>
        <cfvo type="num" val="0"/>
        <cfvo type="num" val="1"/>
        <color theme="4" tint="0.79998168889431442"/>
      </dataBar>
      <extLst>
        <ext xmlns:x14="http://schemas.microsoft.com/office/spreadsheetml/2009/9/main" uri="{B025F937-C7B1-47D3-B67F-A62EFF666E3E}">
          <x14:id>{A28E9C33-6C65-4E47-BB5F-2E5FD8B663B7}</x14:id>
        </ext>
      </extLst>
    </cfRule>
  </conditionalFormatting>
  <conditionalFormatting sqref="AP442">
    <cfRule type="iconSet" priority="1228">
      <iconSet iconSet="3Arrows">
        <cfvo type="percent" val="0"/>
        <cfvo type="num" val="0.7"/>
        <cfvo type="num" val="1"/>
      </iconSet>
    </cfRule>
    <cfRule type="dataBar" priority="1229">
      <dataBar>
        <cfvo type="num" val="0"/>
        <cfvo type="num" val="1"/>
        <color theme="4" tint="0.79998168889431442"/>
      </dataBar>
      <extLst>
        <ext xmlns:x14="http://schemas.microsoft.com/office/spreadsheetml/2009/9/main" uri="{B025F937-C7B1-47D3-B67F-A62EFF666E3E}">
          <x14:id>{14331BDA-1F91-4502-B984-68BB7C148D7B}</x14:id>
        </ext>
      </extLst>
    </cfRule>
  </conditionalFormatting>
  <conditionalFormatting sqref="AP444">
    <cfRule type="iconSet" priority="4019">
      <iconSet iconSet="3Arrows">
        <cfvo type="percent" val="0"/>
        <cfvo type="num" val="0.7"/>
        <cfvo type="num" val="1"/>
      </iconSet>
    </cfRule>
    <cfRule type="dataBar" priority="4020">
      <dataBar>
        <cfvo type="num" val="0"/>
        <cfvo type="num" val="1"/>
        <color theme="4" tint="0.79998168889431442"/>
      </dataBar>
      <extLst>
        <ext xmlns:x14="http://schemas.microsoft.com/office/spreadsheetml/2009/9/main" uri="{B025F937-C7B1-47D3-B67F-A62EFF666E3E}">
          <x14:id>{E76FF80B-566E-4F09-B84A-EF2097042F8A}</x14:id>
        </ext>
      </extLst>
    </cfRule>
  </conditionalFormatting>
  <conditionalFormatting sqref="AP446">
    <cfRule type="iconSet" priority="1214">
      <iconSet iconSet="3Arrows">
        <cfvo type="percent" val="0"/>
        <cfvo type="num" val="0.7"/>
        <cfvo type="num" val="1"/>
      </iconSet>
    </cfRule>
    <cfRule type="dataBar" priority="1215">
      <dataBar>
        <cfvo type="num" val="0"/>
        <cfvo type="num" val="1"/>
        <color theme="4" tint="0.79998168889431442"/>
      </dataBar>
      <extLst>
        <ext xmlns:x14="http://schemas.microsoft.com/office/spreadsheetml/2009/9/main" uri="{B025F937-C7B1-47D3-B67F-A62EFF666E3E}">
          <x14:id>{7894D0B0-4AD9-4A76-9FDD-0DBC193C44EE}</x14:id>
        </ext>
      </extLst>
    </cfRule>
  </conditionalFormatting>
  <conditionalFormatting sqref="AP448">
    <cfRule type="iconSet" priority="4017">
      <iconSet iconSet="3Arrows">
        <cfvo type="percent" val="0"/>
        <cfvo type="num" val="0.7"/>
        <cfvo type="num" val="1"/>
      </iconSet>
    </cfRule>
    <cfRule type="dataBar" priority="4018">
      <dataBar>
        <cfvo type="num" val="0"/>
        <cfvo type="num" val="1"/>
        <color theme="4" tint="0.79998168889431442"/>
      </dataBar>
      <extLst>
        <ext xmlns:x14="http://schemas.microsoft.com/office/spreadsheetml/2009/9/main" uri="{B025F937-C7B1-47D3-B67F-A62EFF666E3E}">
          <x14:id>{500A0E50-E380-43F7-A429-91314B30052E}</x14:id>
        </ext>
      </extLst>
    </cfRule>
  </conditionalFormatting>
  <conditionalFormatting sqref="AP450">
    <cfRule type="iconSet" priority="4015">
      <iconSet iconSet="3Arrows">
        <cfvo type="percent" val="0"/>
        <cfvo type="num" val="0.7"/>
        <cfvo type="num" val="1"/>
      </iconSet>
    </cfRule>
    <cfRule type="dataBar" priority="4016">
      <dataBar>
        <cfvo type="num" val="0"/>
        <cfvo type="num" val="1"/>
        <color theme="4" tint="0.79998168889431442"/>
      </dataBar>
      <extLst>
        <ext xmlns:x14="http://schemas.microsoft.com/office/spreadsheetml/2009/9/main" uri="{B025F937-C7B1-47D3-B67F-A62EFF666E3E}">
          <x14:id>{9D24C998-F531-4DEB-8A1F-C7C6139D5AEF}</x14:id>
        </ext>
      </extLst>
    </cfRule>
  </conditionalFormatting>
  <conditionalFormatting sqref="AP452">
    <cfRule type="iconSet" priority="4013">
      <iconSet iconSet="3Arrows">
        <cfvo type="percent" val="0"/>
        <cfvo type="num" val="0.7"/>
        <cfvo type="num" val="1"/>
      </iconSet>
    </cfRule>
    <cfRule type="dataBar" priority="4014">
      <dataBar>
        <cfvo type="num" val="0"/>
        <cfvo type="num" val="1"/>
        <color theme="4" tint="0.79998168889431442"/>
      </dataBar>
      <extLst>
        <ext xmlns:x14="http://schemas.microsoft.com/office/spreadsheetml/2009/9/main" uri="{B025F937-C7B1-47D3-B67F-A62EFF666E3E}">
          <x14:id>{3138FC62-74B9-47D4-A9BE-53F432D06953}</x14:id>
        </ext>
      </extLst>
    </cfRule>
  </conditionalFormatting>
  <conditionalFormatting sqref="AP454">
    <cfRule type="iconSet" priority="4011">
      <iconSet iconSet="3Arrows">
        <cfvo type="percent" val="0"/>
        <cfvo type="num" val="0.7"/>
        <cfvo type="num" val="1"/>
      </iconSet>
    </cfRule>
    <cfRule type="dataBar" priority="4012">
      <dataBar>
        <cfvo type="num" val="0"/>
        <cfvo type="num" val="1"/>
        <color theme="4" tint="0.79998168889431442"/>
      </dataBar>
      <extLst>
        <ext xmlns:x14="http://schemas.microsoft.com/office/spreadsheetml/2009/9/main" uri="{B025F937-C7B1-47D3-B67F-A62EFF666E3E}">
          <x14:id>{A303C0CE-37E5-436F-8614-633E050D2818}</x14:id>
        </ext>
      </extLst>
    </cfRule>
  </conditionalFormatting>
  <conditionalFormatting sqref="AP456">
    <cfRule type="iconSet" priority="4009">
      <iconSet iconSet="3Arrows">
        <cfvo type="percent" val="0"/>
        <cfvo type="num" val="0.7"/>
        <cfvo type="num" val="1"/>
      </iconSet>
    </cfRule>
    <cfRule type="dataBar" priority="4010">
      <dataBar>
        <cfvo type="num" val="0"/>
        <cfvo type="num" val="1"/>
        <color theme="4" tint="0.79998168889431442"/>
      </dataBar>
      <extLst>
        <ext xmlns:x14="http://schemas.microsoft.com/office/spreadsheetml/2009/9/main" uri="{B025F937-C7B1-47D3-B67F-A62EFF666E3E}">
          <x14:id>{9886B54E-47D6-43F8-A771-1C7955BA2FA3}</x14:id>
        </ext>
      </extLst>
    </cfRule>
  </conditionalFormatting>
  <conditionalFormatting sqref="AP458">
    <cfRule type="iconSet" priority="4007">
      <iconSet iconSet="3Arrows">
        <cfvo type="percent" val="0"/>
        <cfvo type="num" val="0.7"/>
        <cfvo type="num" val="1"/>
      </iconSet>
    </cfRule>
    <cfRule type="dataBar" priority="4008">
      <dataBar>
        <cfvo type="num" val="0"/>
        <cfvo type="num" val="1"/>
        <color theme="4" tint="0.79998168889431442"/>
      </dataBar>
      <extLst>
        <ext xmlns:x14="http://schemas.microsoft.com/office/spreadsheetml/2009/9/main" uri="{B025F937-C7B1-47D3-B67F-A62EFF666E3E}">
          <x14:id>{B072BC80-00E2-489E-9ED8-3569BE2A5868}</x14:id>
        </ext>
      </extLst>
    </cfRule>
  </conditionalFormatting>
  <conditionalFormatting sqref="AP460">
    <cfRule type="iconSet" priority="2536">
      <iconSet iconSet="3Arrows">
        <cfvo type="percent" val="0"/>
        <cfvo type="num" val="0.7"/>
        <cfvo type="num" val="1"/>
      </iconSet>
    </cfRule>
    <cfRule type="dataBar" priority="2537">
      <dataBar>
        <cfvo type="num" val="0"/>
        <cfvo type="num" val="1"/>
        <color theme="4" tint="0.79998168889431442"/>
      </dataBar>
      <extLst>
        <ext xmlns:x14="http://schemas.microsoft.com/office/spreadsheetml/2009/9/main" uri="{B025F937-C7B1-47D3-B67F-A62EFF666E3E}">
          <x14:id>{FF06BF64-015C-437E-9E1E-9557B97B0733}</x14:id>
        </ext>
      </extLst>
    </cfRule>
  </conditionalFormatting>
  <conditionalFormatting sqref="AP462">
    <cfRule type="iconSet" priority="4005">
      <iconSet iconSet="3Arrows">
        <cfvo type="percent" val="0"/>
        <cfvo type="num" val="0.7"/>
        <cfvo type="num" val="1"/>
      </iconSet>
    </cfRule>
    <cfRule type="dataBar" priority="4006">
      <dataBar>
        <cfvo type="num" val="0"/>
        <cfvo type="num" val="1"/>
        <color theme="4" tint="0.79998168889431442"/>
      </dataBar>
      <extLst>
        <ext xmlns:x14="http://schemas.microsoft.com/office/spreadsheetml/2009/9/main" uri="{B025F937-C7B1-47D3-B67F-A62EFF666E3E}">
          <x14:id>{2069D543-ABF2-4642-A1BD-C547A0CC78B0}</x14:id>
        </ext>
      </extLst>
    </cfRule>
  </conditionalFormatting>
  <conditionalFormatting sqref="AP464">
    <cfRule type="iconSet" priority="4001">
      <iconSet iconSet="3Arrows">
        <cfvo type="percent" val="0"/>
        <cfvo type="num" val="0.7"/>
        <cfvo type="num" val="1"/>
      </iconSet>
    </cfRule>
    <cfRule type="dataBar" priority="4002">
      <dataBar>
        <cfvo type="num" val="0"/>
        <cfvo type="num" val="1"/>
        <color theme="4" tint="0.79998168889431442"/>
      </dataBar>
      <extLst>
        <ext xmlns:x14="http://schemas.microsoft.com/office/spreadsheetml/2009/9/main" uri="{B025F937-C7B1-47D3-B67F-A62EFF666E3E}">
          <x14:id>{F53AE6D5-7B72-46EC-8CBC-19EF8B52F65D}</x14:id>
        </ext>
      </extLst>
    </cfRule>
  </conditionalFormatting>
  <conditionalFormatting sqref="AP466">
    <cfRule type="iconSet" priority="3287">
      <iconSet iconSet="3Arrows">
        <cfvo type="percent" val="0"/>
        <cfvo type="num" val="0.7"/>
        <cfvo type="num" val="1"/>
      </iconSet>
    </cfRule>
    <cfRule type="dataBar" priority="3288">
      <dataBar>
        <cfvo type="num" val="0"/>
        <cfvo type="num" val="1"/>
        <color theme="4" tint="0.79998168889431442"/>
      </dataBar>
      <extLst>
        <ext xmlns:x14="http://schemas.microsoft.com/office/spreadsheetml/2009/9/main" uri="{B025F937-C7B1-47D3-B67F-A62EFF666E3E}">
          <x14:id>{DBD860D4-0C5F-4728-88D5-D3AB613219A2}</x14:id>
        </ext>
      </extLst>
    </cfRule>
  </conditionalFormatting>
  <conditionalFormatting sqref="AP468">
    <cfRule type="iconSet" priority="3273">
      <iconSet iconSet="3Arrows">
        <cfvo type="percent" val="0"/>
        <cfvo type="num" val="0.7"/>
        <cfvo type="num" val="1"/>
      </iconSet>
    </cfRule>
    <cfRule type="dataBar" priority="3274">
      <dataBar>
        <cfvo type="num" val="0"/>
        <cfvo type="num" val="1"/>
        <color theme="4" tint="0.79998168889431442"/>
      </dataBar>
      <extLst>
        <ext xmlns:x14="http://schemas.microsoft.com/office/spreadsheetml/2009/9/main" uri="{B025F937-C7B1-47D3-B67F-A62EFF666E3E}">
          <x14:id>{07A3B913-ADC0-4B78-B415-DEC11564E85F}</x14:id>
        </ext>
      </extLst>
    </cfRule>
  </conditionalFormatting>
  <conditionalFormatting sqref="AP470">
    <cfRule type="iconSet" priority="4003">
      <iconSet iconSet="3Arrows">
        <cfvo type="percent" val="0"/>
        <cfvo type="num" val="0.7"/>
        <cfvo type="num" val="1"/>
      </iconSet>
    </cfRule>
    <cfRule type="dataBar" priority="4004">
      <dataBar>
        <cfvo type="num" val="0"/>
        <cfvo type="num" val="1"/>
        <color theme="4" tint="0.79998168889431442"/>
      </dataBar>
      <extLst>
        <ext xmlns:x14="http://schemas.microsoft.com/office/spreadsheetml/2009/9/main" uri="{B025F937-C7B1-47D3-B67F-A62EFF666E3E}">
          <x14:id>{C5B702BB-4E26-4CFB-83B5-AB31E5A73B21}</x14:id>
        </ext>
      </extLst>
    </cfRule>
  </conditionalFormatting>
  <conditionalFormatting sqref="AP472">
    <cfRule type="iconSet" priority="3999">
      <iconSet iconSet="3Arrows">
        <cfvo type="percent" val="0"/>
        <cfvo type="num" val="0.7"/>
        <cfvo type="num" val="1"/>
      </iconSet>
    </cfRule>
    <cfRule type="dataBar" priority="4000">
      <dataBar>
        <cfvo type="num" val="0"/>
        <cfvo type="num" val="1"/>
        <color theme="4" tint="0.79998168889431442"/>
      </dataBar>
      <extLst>
        <ext xmlns:x14="http://schemas.microsoft.com/office/spreadsheetml/2009/9/main" uri="{B025F937-C7B1-47D3-B67F-A62EFF666E3E}">
          <x14:id>{534F362D-5D25-44A8-A197-215C430623D3}</x14:id>
        </ext>
      </extLst>
    </cfRule>
  </conditionalFormatting>
  <conditionalFormatting sqref="AP474">
    <cfRule type="iconSet" priority="3997">
      <iconSet iconSet="3Arrows">
        <cfvo type="percent" val="0"/>
        <cfvo type="num" val="0.7"/>
        <cfvo type="num" val="1"/>
      </iconSet>
    </cfRule>
    <cfRule type="dataBar" priority="3998">
      <dataBar>
        <cfvo type="num" val="0"/>
        <cfvo type="num" val="1"/>
        <color theme="4" tint="0.79998168889431442"/>
      </dataBar>
      <extLst>
        <ext xmlns:x14="http://schemas.microsoft.com/office/spreadsheetml/2009/9/main" uri="{B025F937-C7B1-47D3-B67F-A62EFF666E3E}">
          <x14:id>{95780C10-7890-4A23-B604-6348AEBEE01D}</x14:id>
        </ext>
      </extLst>
    </cfRule>
  </conditionalFormatting>
  <conditionalFormatting sqref="AP476">
    <cfRule type="iconSet" priority="3909">
      <iconSet iconSet="3Arrows">
        <cfvo type="percent" val="0"/>
        <cfvo type="num" val="0.7"/>
        <cfvo type="num" val="1"/>
      </iconSet>
    </cfRule>
    <cfRule type="dataBar" priority="3910">
      <dataBar>
        <cfvo type="num" val="0"/>
        <cfvo type="num" val="1"/>
        <color theme="4" tint="0.79998168889431442"/>
      </dataBar>
      <extLst>
        <ext xmlns:x14="http://schemas.microsoft.com/office/spreadsheetml/2009/9/main" uri="{B025F937-C7B1-47D3-B67F-A62EFF666E3E}">
          <x14:id>{2B39A436-3A0E-4E7F-9E90-676978599F3A}</x14:id>
        </ext>
      </extLst>
    </cfRule>
  </conditionalFormatting>
  <conditionalFormatting sqref="AP478">
    <cfRule type="iconSet" priority="3452">
      <iconSet iconSet="3Arrows">
        <cfvo type="percent" val="0"/>
        <cfvo type="num" val="0.7"/>
        <cfvo type="num" val="1"/>
      </iconSet>
    </cfRule>
    <cfRule type="dataBar" priority="3453">
      <dataBar>
        <cfvo type="num" val="0"/>
        <cfvo type="num" val="1"/>
        <color theme="4" tint="0.79998168889431442"/>
      </dataBar>
      <extLst>
        <ext xmlns:x14="http://schemas.microsoft.com/office/spreadsheetml/2009/9/main" uri="{B025F937-C7B1-47D3-B67F-A62EFF666E3E}">
          <x14:id>{100CF11E-D777-44B8-A1B9-9BB20AE4316B}</x14:id>
        </ext>
      </extLst>
    </cfRule>
  </conditionalFormatting>
  <conditionalFormatting sqref="AP480">
    <cfRule type="iconSet" priority="2993">
      <iconSet iconSet="3Arrows">
        <cfvo type="percent" val="0"/>
        <cfvo type="num" val="0.7"/>
        <cfvo type="num" val="1"/>
      </iconSet>
    </cfRule>
    <cfRule type="dataBar" priority="2994">
      <dataBar>
        <cfvo type="num" val="0"/>
        <cfvo type="num" val="1"/>
        <color theme="4" tint="0.79998168889431442"/>
      </dataBar>
      <extLst>
        <ext xmlns:x14="http://schemas.microsoft.com/office/spreadsheetml/2009/9/main" uri="{B025F937-C7B1-47D3-B67F-A62EFF666E3E}">
          <x14:id>{D814F97A-0BBE-462A-9459-B7CD27F828B7}</x14:id>
        </ext>
      </extLst>
    </cfRule>
  </conditionalFormatting>
  <conditionalFormatting sqref="AP482">
    <cfRule type="iconSet" priority="2979">
      <iconSet iconSet="3Arrows">
        <cfvo type="percent" val="0"/>
        <cfvo type="num" val="0.7"/>
        <cfvo type="num" val="1"/>
      </iconSet>
    </cfRule>
    <cfRule type="dataBar" priority="2980">
      <dataBar>
        <cfvo type="num" val="0"/>
        <cfvo type="num" val="1"/>
        <color theme="4" tint="0.79998168889431442"/>
      </dataBar>
      <extLst>
        <ext xmlns:x14="http://schemas.microsoft.com/office/spreadsheetml/2009/9/main" uri="{B025F937-C7B1-47D3-B67F-A62EFF666E3E}">
          <x14:id>{C7A854A5-C66C-4402-8259-D3F21BAB9463}</x14:id>
        </ext>
      </extLst>
    </cfRule>
  </conditionalFormatting>
  <conditionalFormatting sqref="AP484">
    <cfRule type="iconSet" priority="2202">
      <iconSet iconSet="3Arrows">
        <cfvo type="percent" val="0"/>
        <cfvo type="num" val="0.7"/>
        <cfvo type="num" val="1"/>
      </iconSet>
    </cfRule>
    <cfRule type="dataBar" priority="2203">
      <dataBar>
        <cfvo type="num" val="0"/>
        <cfvo type="num" val="1"/>
        <color theme="4" tint="0.79998168889431442"/>
      </dataBar>
      <extLst>
        <ext xmlns:x14="http://schemas.microsoft.com/office/spreadsheetml/2009/9/main" uri="{B025F937-C7B1-47D3-B67F-A62EFF666E3E}">
          <x14:id>{8710523B-40EC-4532-915D-E0B0CB8B2025}</x14:id>
        </ext>
      </extLst>
    </cfRule>
  </conditionalFormatting>
  <conditionalFormatting sqref="AP486">
    <cfRule type="iconSet" priority="3995">
      <iconSet iconSet="3Arrows">
        <cfvo type="percent" val="0"/>
        <cfvo type="num" val="0.7"/>
        <cfvo type="num" val="1"/>
      </iconSet>
    </cfRule>
    <cfRule type="dataBar" priority="3996">
      <dataBar>
        <cfvo type="num" val="0"/>
        <cfvo type="num" val="1"/>
        <color theme="4" tint="0.79998168889431442"/>
      </dataBar>
      <extLst>
        <ext xmlns:x14="http://schemas.microsoft.com/office/spreadsheetml/2009/9/main" uri="{B025F937-C7B1-47D3-B67F-A62EFF666E3E}">
          <x14:id>{E5BB909F-B63E-4306-BE7C-453B07339579}</x14:id>
        </ext>
      </extLst>
    </cfRule>
  </conditionalFormatting>
  <conditionalFormatting sqref="AP488">
    <cfRule type="iconSet" priority="2063">
      <iconSet iconSet="3Arrows">
        <cfvo type="percent" val="0"/>
        <cfvo type="num" val="0.7"/>
        <cfvo type="num" val="1"/>
      </iconSet>
    </cfRule>
    <cfRule type="dataBar" priority="2064">
      <dataBar>
        <cfvo type="num" val="0"/>
        <cfvo type="num" val="1"/>
        <color theme="4" tint="0.79998168889431442"/>
      </dataBar>
      <extLst>
        <ext xmlns:x14="http://schemas.microsoft.com/office/spreadsheetml/2009/9/main" uri="{B025F937-C7B1-47D3-B67F-A62EFF666E3E}">
          <x14:id>{A8CCFD64-2F29-4ED6-BCA5-1EA4E0E00EC1}</x14:id>
        </ext>
      </extLst>
    </cfRule>
  </conditionalFormatting>
  <conditionalFormatting sqref="AP490">
    <cfRule type="iconSet" priority="2076">
      <iconSet iconSet="3Arrows">
        <cfvo type="percent" val="0"/>
        <cfvo type="num" val="0.7"/>
        <cfvo type="num" val="1"/>
      </iconSet>
    </cfRule>
    <cfRule type="dataBar" priority="2077">
      <dataBar>
        <cfvo type="num" val="0"/>
        <cfvo type="num" val="1"/>
        <color theme="4" tint="0.79998168889431442"/>
      </dataBar>
      <extLst>
        <ext xmlns:x14="http://schemas.microsoft.com/office/spreadsheetml/2009/9/main" uri="{B025F937-C7B1-47D3-B67F-A62EFF666E3E}">
          <x14:id>{BC25EB53-72F5-4539-9610-DB6CB0C5162F}</x14:id>
        </ext>
      </extLst>
    </cfRule>
  </conditionalFormatting>
  <conditionalFormatting sqref="AP492">
    <cfRule type="iconSet" priority="2074">
      <iconSet iconSet="3Arrows">
        <cfvo type="percent" val="0"/>
        <cfvo type="num" val="0.7"/>
        <cfvo type="num" val="1"/>
      </iconSet>
    </cfRule>
    <cfRule type="dataBar" priority="2075">
      <dataBar>
        <cfvo type="num" val="0"/>
        <cfvo type="num" val="1"/>
        <color theme="4" tint="0.79998168889431442"/>
      </dataBar>
      <extLst>
        <ext xmlns:x14="http://schemas.microsoft.com/office/spreadsheetml/2009/9/main" uri="{B025F937-C7B1-47D3-B67F-A62EFF666E3E}">
          <x14:id>{59213241-6965-4BE8-8636-3487A202E8D0}</x14:id>
        </ext>
      </extLst>
    </cfRule>
  </conditionalFormatting>
  <conditionalFormatting sqref="AP494">
    <cfRule type="iconSet" priority="2072">
      <iconSet iconSet="3Arrows">
        <cfvo type="percent" val="0"/>
        <cfvo type="num" val="0.7"/>
        <cfvo type="num" val="1"/>
      </iconSet>
    </cfRule>
    <cfRule type="dataBar" priority="2073">
      <dataBar>
        <cfvo type="num" val="0"/>
        <cfvo type="num" val="1"/>
        <color theme="4" tint="0.79998168889431442"/>
      </dataBar>
      <extLst>
        <ext xmlns:x14="http://schemas.microsoft.com/office/spreadsheetml/2009/9/main" uri="{B025F937-C7B1-47D3-B67F-A62EFF666E3E}">
          <x14:id>{879F9BD2-5F35-4905-9927-7429A9C5E6B0}</x14:id>
        </ext>
      </extLst>
    </cfRule>
  </conditionalFormatting>
  <conditionalFormatting sqref="AP496">
    <cfRule type="iconSet" priority="2070">
      <iconSet iconSet="3Arrows">
        <cfvo type="percent" val="0"/>
        <cfvo type="num" val="0.7"/>
        <cfvo type="num" val="1"/>
      </iconSet>
    </cfRule>
    <cfRule type="dataBar" priority="2071">
      <dataBar>
        <cfvo type="num" val="0"/>
        <cfvo type="num" val="1"/>
        <color theme="4" tint="0.79998168889431442"/>
      </dataBar>
      <extLst>
        <ext xmlns:x14="http://schemas.microsoft.com/office/spreadsheetml/2009/9/main" uri="{B025F937-C7B1-47D3-B67F-A62EFF666E3E}">
          <x14:id>{DFD21D9D-F6D5-4975-8D6E-A1E20EB78405}</x14:id>
        </ext>
      </extLst>
    </cfRule>
  </conditionalFormatting>
  <conditionalFormatting sqref="AP498">
    <cfRule type="iconSet" priority="2068">
      <iconSet iconSet="3Arrows">
        <cfvo type="percent" val="0"/>
        <cfvo type="num" val="0.7"/>
        <cfvo type="num" val="1"/>
      </iconSet>
    </cfRule>
    <cfRule type="dataBar" priority="2069">
      <dataBar>
        <cfvo type="num" val="0"/>
        <cfvo type="num" val="1"/>
        <color theme="4" tint="0.79998168889431442"/>
      </dataBar>
      <extLst>
        <ext xmlns:x14="http://schemas.microsoft.com/office/spreadsheetml/2009/9/main" uri="{B025F937-C7B1-47D3-B67F-A62EFF666E3E}">
          <x14:id>{CDD9BCFC-C74B-4C88-92F4-956330BFFC3B}</x14:id>
        </ext>
      </extLst>
    </cfRule>
  </conditionalFormatting>
  <conditionalFormatting sqref="AP500">
    <cfRule type="iconSet" priority="2066">
      <iconSet iconSet="3Arrows">
        <cfvo type="percent" val="0"/>
        <cfvo type="num" val="0.7"/>
        <cfvo type="num" val="1"/>
      </iconSet>
    </cfRule>
    <cfRule type="dataBar" priority="2067">
      <dataBar>
        <cfvo type="num" val="0"/>
        <cfvo type="num" val="1"/>
        <color theme="4" tint="0.79998168889431442"/>
      </dataBar>
      <extLst>
        <ext xmlns:x14="http://schemas.microsoft.com/office/spreadsheetml/2009/9/main" uri="{B025F937-C7B1-47D3-B67F-A62EFF666E3E}">
          <x14:id>{14C6A53B-2C24-42F4-987E-CBEEE4DE2970}</x14:id>
        </ext>
      </extLst>
    </cfRule>
  </conditionalFormatting>
  <conditionalFormatting sqref="AP502">
    <cfRule type="iconSet" priority="1573">
      <iconSet iconSet="3Arrows">
        <cfvo type="percent" val="0"/>
        <cfvo type="num" val="0.7"/>
        <cfvo type="num" val="1"/>
      </iconSet>
    </cfRule>
    <cfRule type="dataBar" priority="1574">
      <dataBar>
        <cfvo type="num" val="0"/>
        <cfvo type="num" val="1"/>
        <color theme="4" tint="0.79998168889431442"/>
      </dataBar>
      <extLst>
        <ext xmlns:x14="http://schemas.microsoft.com/office/spreadsheetml/2009/9/main" uri="{B025F937-C7B1-47D3-B67F-A62EFF666E3E}">
          <x14:id>{32AC05CF-A07E-4347-84CA-358DEF07D192}</x14:id>
        </ext>
      </extLst>
    </cfRule>
  </conditionalFormatting>
  <conditionalFormatting sqref="AP504">
    <cfRule type="iconSet" priority="1585">
      <iconSet iconSet="3Arrows">
        <cfvo type="percent" val="0"/>
        <cfvo type="num" val="0.7"/>
        <cfvo type="num" val="1"/>
      </iconSet>
    </cfRule>
    <cfRule type="dataBar" priority="1586">
      <dataBar>
        <cfvo type="num" val="0"/>
        <cfvo type="num" val="1"/>
        <color theme="4" tint="0.79998168889431442"/>
      </dataBar>
      <extLst>
        <ext xmlns:x14="http://schemas.microsoft.com/office/spreadsheetml/2009/9/main" uri="{B025F937-C7B1-47D3-B67F-A62EFF666E3E}">
          <x14:id>{C0787117-14AC-4294-B61B-60E03B075613}</x14:id>
        </ext>
      </extLst>
    </cfRule>
  </conditionalFormatting>
  <conditionalFormatting sqref="AP506">
    <cfRule type="iconSet" priority="1583">
      <iconSet iconSet="3Arrows">
        <cfvo type="percent" val="0"/>
        <cfvo type="num" val="0.7"/>
        <cfvo type="num" val="1"/>
      </iconSet>
    </cfRule>
    <cfRule type="dataBar" priority="1584">
      <dataBar>
        <cfvo type="num" val="0"/>
        <cfvo type="num" val="1"/>
        <color theme="4" tint="0.79998168889431442"/>
      </dataBar>
      <extLst>
        <ext xmlns:x14="http://schemas.microsoft.com/office/spreadsheetml/2009/9/main" uri="{B025F937-C7B1-47D3-B67F-A62EFF666E3E}">
          <x14:id>{D71214E8-0F41-4708-B73A-2DADCE35040B}</x14:id>
        </ext>
      </extLst>
    </cfRule>
  </conditionalFormatting>
  <conditionalFormatting sqref="AP508">
    <cfRule type="iconSet" priority="1581">
      <iconSet iconSet="3Arrows">
        <cfvo type="percent" val="0"/>
        <cfvo type="num" val="0.7"/>
        <cfvo type="num" val="1"/>
      </iconSet>
    </cfRule>
    <cfRule type="dataBar" priority="1582">
      <dataBar>
        <cfvo type="num" val="0"/>
        <cfvo type="num" val="1"/>
        <color theme="4" tint="0.79998168889431442"/>
      </dataBar>
      <extLst>
        <ext xmlns:x14="http://schemas.microsoft.com/office/spreadsheetml/2009/9/main" uri="{B025F937-C7B1-47D3-B67F-A62EFF666E3E}">
          <x14:id>{E34CABAB-0FA0-4F93-985E-B5D08023381F}</x14:id>
        </ext>
      </extLst>
    </cfRule>
  </conditionalFormatting>
  <conditionalFormatting sqref="AP510">
    <cfRule type="iconSet" priority="97">
      <iconSet iconSet="3Arrows">
        <cfvo type="percent" val="0"/>
        <cfvo type="num" val="0.7"/>
        <cfvo type="num" val="1"/>
      </iconSet>
    </cfRule>
    <cfRule type="dataBar" priority="98">
      <dataBar>
        <cfvo type="num" val="0"/>
        <cfvo type="num" val="1"/>
        <color theme="4" tint="0.79998168889431442"/>
      </dataBar>
      <extLst>
        <ext xmlns:x14="http://schemas.microsoft.com/office/spreadsheetml/2009/9/main" uri="{B025F937-C7B1-47D3-B67F-A62EFF666E3E}">
          <x14:id>{C56AA1D8-990F-4E8A-9F2E-07513CDA8ECB}</x14:id>
        </ext>
      </extLst>
    </cfRule>
  </conditionalFormatting>
  <conditionalFormatting sqref="AP512">
    <cfRule type="iconSet" priority="1579">
      <iconSet iconSet="3Arrows">
        <cfvo type="percent" val="0"/>
        <cfvo type="num" val="0.7"/>
        <cfvo type="num" val="1"/>
      </iconSet>
    </cfRule>
    <cfRule type="dataBar" priority="1580">
      <dataBar>
        <cfvo type="num" val="0"/>
        <cfvo type="num" val="1"/>
        <color theme="4" tint="0.79998168889431442"/>
      </dataBar>
      <extLst>
        <ext xmlns:x14="http://schemas.microsoft.com/office/spreadsheetml/2009/9/main" uri="{B025F937-C7B1-47D3-B67F-A62EFF666E3E}">
          <x14:id>{78BAA1DD-053C-4509-95C9-893DB7433CFC}</x14:id>
        </ext>
      </extLst>
    </cfRule>
  </conditionalFormatting>
  <conditionalFormatting sqref="AP514">
    <cfRule type="iconSet" priority="81">
      <iconSet iconSet="3Arrows">
        <cfvo type="percent" val="0"/>
        <cfvo type="num" val="0.7"/>
        <cfvo type="num" val="1"/>
      </iconSet>
    </cfRule>
    <cfRule type="dataBar" priority="82">
      <dataBar>
        <cfvo type="num" val="0"/>
        <cfvo type="num" val="1"/>
        <color theme="4" tint="0.79998168889431442"/>
      </dataBar>
      <extLst>
        <ext xmlns:x14="http://schemas.microsoft.com/office/spreadsheetml/2009/9/main" uri="{B025F937-C7B1-47D3-B67F-A62EFF666E3E}">
          <x14:id>{83384CA8-B35C-4DFA-B07A-972D9D948166}</x14:id>
        </ext>
      </extLst>
    </cfRule>
  </conditionalFormatting>
  <conditionalFormatting sqref="AP516">
    <cfRule type="iconSet" priority="277">
      <iconSet iconSet="3Arrows">
        <cfvo type="percent" val="0"/>
        <cfvo type="num" val="0.7"/>
        <cfvo type="num" val="1"/>
      </iconSet>
    </cfRule>
    <cfRule type="dataBar" priority="278">
      <dataBar>
        <cfvo type="num" val="0"/>
        <cfvo type="num" val="1"/>
        <color theme="4" tint="0.79998168889431442"/>
      </dataBar>
      <extLst>
        <ext xmlns:x14="http://schemas.microsoft.com/office/spreadsheetml/2009/9/main" uri="{B025F937-C7B1-47D3-B67F-A62EFF666E3E}">
          <x14:id>{8F4AB84D-8DB2-49BA-9F16-6AB0AFD06BEE}</x14:id>
        </ext>
      </extLst>
    </cfRule>
  </conditionalFormatting>
  <conditionalFormatting sqref="AP518">
    <cfRule type="iconSet" priority="261">
      <iconSet iconSet="3Arrows">
        <cfvo type="percent" val="0"/>
        <cfvo type="num" val="0.7"/>
        <cfvo type="num" val="1"/>
      </iconSet>
    </cfRule>
    <cfRule type="dataBar" priority="262">
      <dataBar>
        <cfvo type="num" val="0"/>
        <cfvo type="num" val="1"/>
        <color theme="4" tint="0.79998168889431442"/>
      </dataBar>
      <extLst>
        <ext xmlns:x14="http://schemas.microsoft.com/office/spreadsheetml/2009/9/main" uri="{B025F937-C7B1-47D3-B67F-A62EFF666E3E}">
          <x14:id>{7B4FFE98-7778-42FD-9602-B9F91345E927}</x14:id>
        </ext>
      </extLst>
    </cfRule>
  </conditionalFormatting>
  <conditionalFormatting sqref="AP520">
    <cfRule type="iconSet" priority="1577">
      <iconSet iconSet="3Arrows">
        <cfvo type="percent" val="0"/>
        <cfvo type="num" val="0.7"/>
        <cfvo type="num" val="1"/>
      </iconSet>
    </cfRule>
    <cfRule type="dataBar" priority="1578">
      <dataBar>
        <cfvo type="num" val="0"/>
        <cfvo type="num" val="1"/>
        <color theme="4" tint="0.79998168889431442"/>
      </dataBar>
      <extLst>
        <ext xmlns:x14="http://schemas.microsoft.com/office/spreadsheetml/2009/9/main" uri="{B025F937-C7B1-47D3-B67F-A62EFF666E3E}">
          <x14:id>{CAF72584-88D2-4613-9B56-25C5264A3676}</x14:id>
        </ext>
      </extLst>
    </cfRule>
  </conditionalFormatting>
  <conditionalFormatting sqref="AP522">
    <cfRule type="iconSet" priority="518">
      <iconSet iconSet="3Arrows">
        <cfvo type="percent" val="0"/>
        <cfvo type="num" val="0.7"/>
        <cfvo type="num" val="1"/>
      </iconSet>
    </cfRule>
    <cfRule type="dataBar" priority="519">
      <dataBar>
        <cfvo type="num" val="0"/>
        <cfvo type="num" val="1"/>
        <color theme="4" tint="0.79998168889431442"/>
      </dataBar>
      <extLst>
        <ext xmlns:x14="http://schemas.microsoft.com/office/spreadsheetml/2009/9/main" uri="{B025F937-C7B1-47D3-B67F-A62EFF666E3E}">
          <x14:id>{5A581681-E09D-4721-B439-6B8A5D4A468D}</x14:id>
        </ext>
      </extLst>
    </cfRule>
  </conditionalFormatting>
  <conditionalFormatting sqref="AP524">
    <cfRule type="iconSet" priority="502">
      <iconSet iconSet="3Arrows">
        <cfvo type="percent" val="0"/>
        <cfvo type="num" val="0.7"/>
        <cfvo type="num" val="1"/>
      </iconSet>
    </cfRule>
    <cfRule type="dataBar" priority="503">
      <dataBar>
        <cfvo type="num" val="0"/>
        <cfvo type="num" val="1"/>
        <color theme="4" tint="0.79998168889431442"/>
      </dataBar>
      <extLst>
        <ext xmlns:x14="http://schemas.microsoft.com/office/spreadsheetml/2009/9/main" uri="{B025F937-C7B1-47D3-B67F-A62EFF666E3E}">
          <x14:id>{E9CF6F82-759E-4E85-BD7C-EC920A9C0E6C}</x14:id>
        </ext>
      </extLst>
    </cfRule>
  </conditionalFormatting>
  <conditionalFormatting sqref="AP526">
    <cfRule type="iconSet" priority="293">
      <iconSet iconSet="3Arrows">
        <cfvo type="percent" val="0"/>
        <cfvo type="num" val="0.7"/>
        <cfvo type="num" val="1"/>
      </iconSet>
    </cfRule>
    <cfRule type="dataBar" priority="294">
      <dataBar>
        <cfvo type="num" val="0"/>
        <cfvo type="num" val="1"/>
        <color theme="4" tint="0.79998168889431442"/>
      </dataBar>
      <extLst>
        <ext xmlns:x14="http://schemas.microsoft.com/office/spreadsheetml/2009/9/main" uri="{B025F937-C7B1-47D3-B67F-A62EFF666E3E}">
          <x14:id>{A2A823A9-59A5-43BD-87B1-30641E86280C}</x14:id>
        </ext>
      </extLst>
    </cfRule>
  </conditionalFormatting>
  <conditionalFormatting sqref="AP528">
    <cfRule type="iconSet" priority="1575">
      <iconSet iconSet="3Arrows">
        <cfvo type="percent" val="0"/>
        <cfvo type="num" val="0.7"/>
        <cfvo type="num" val="1"/>
      </iconSet>
    </cfRule>
    <cfRule type="dataBar" priority="1576">
      <dataBar>
        <cfvo type="num" val="0"/>
        <cfvo type="num" val="1"/>
        <color theme="4" tint="0.79998168889431442"/>
      </dataBar>
      <extLst>
        <ext xmlns:x14="http://schemas.microsoft.com/office/spreadsheetml/2009/9/main" uri="{B025F937-C7B1-47D3-B67F-A62EFF666E3E}">
          <x14:id>{552BB7D8-8FD5-4E77-89F8-D60847FF06B3}</x14:id>
        </ext>
      </extLst>
    </cfRule>
  </conditionalFormatting>
  <conditionalFormatting sqref="AP530">
    <cfRule type="iconSet" priority="1664">
      <iconSet iconSet="3Arrows">
        <cfvo type="percent" val="0"/>
        <cfvo type="num" val="0.7"/>
        <cfvo type="num" val="1"/>
      </iconSet>
    </cfRule>
    <cfRule type="dataBar" priority="1665">
      <dataBar>
        <cfvo type="num" val="0"/>
        <cfvo type="num" val="1"/>
        <color theme="4" tint="0.79998168889431442"/>
      </dataBar>
      <extLst>
        <ext xmlns:x14="http://schemas.microsoft.com/office/spreadsheetml/2009/9/main" uri="{B025F937-C7B1-47D3-B67F-A62EFF666E3E}">
          <x14:id>{0EF7ECB3-9871-431D-A9A5-52F944A3AC16}</x14:id>
        </ext>
      </extLst>
    </cfRule>
  </conditionalFormatting>
  <conditionalFormatting sqref="AP532">
    <cfRule type="iconSet" priority="1676">
      <iconSet iconSet="3Arrows">
        <cfvo type="percent" val="0"/>
        <cfvo type="num" val="0.7"/>
        <cfvo type="num" val="1"/>
      </iconSet>
    </cfRule>
    <cfRule type="dataBar" priority="1677">
      <dataBar>
        <cfvo type="num" val="0"/>
        <cfvo type="num" val="1"/>
        <color theme="4" tint="0.79998168889431442"/>
      </dataBar>
      <extLst>
        <ext xmlns:x14="http://schemas.microsoft.com/office/spreadsheetml/2009/9/main" uri="{B025F937-C7B1-47D3-B67F-A62EFF666E3E}">
          <x14:id>{D40C085A-4E08-40F3-85CD-E6CF5595EFDA}</x14:id>
        </ext>
      </extLst>
    </cfRule>
  </conditionalFormatting>
  <conditionalFormatting sqref="AP534">
    <cfRule type="iconSet" priority="244">
      <iconSet iconSet="3Arrows">
        <cfvo type="percent" val="0"/>
        <cfvo type="num" val="0.7"/>
        <cfvo type="num" val="1"/>
      </iconSet>
    </cfRule>
    <cfRule type="dataBar" priority="245">
      <dataBar>
        <cfvo type="num" val="0"/>
        <cfvo type="num" val="1"/>
        <color theme="4" tint="0.79998168889431442"/>
      </dataBar>
      <extLst>
        <ext xmlns:x14="http://schemas.microsoft.com/office/spreadsheetml/2009/9/main" uri="{B025F937-C7B1-47D3-B67F-A62EFF666E3E}">
          <x14:id>{0E631B63-ECAE-4D9E-81D0-1B40C12A62F0}</x14:id>
        </ext>
      </extLst>
    </cfRule>
  </conditionalFormatting>
  <conditionalFormatting sqref="AP536">
    <cfRule type="iconSet" priority="1674">
      <iconSet iconSet="3Arrows">
        <cfvo type="percent" val="0"/>
        <cfvo type="num" val="0.7"/>
        <cfvo type="num" val="1"/>
      </iconSet>
    </cfRule>
    <cfRule type="dataBar" priority="1675">
      <dataBar>
        <cfvo type="num" val="0"/>
        <cfvo type="num" val="1"/>
        <color theme="4" tint="0.79998168889431442"/>
      </dataBar>
      <extLst>
        <ext xmlns:x14="http://schemas.microsoft.com/office/spreadsheetml/2009/9/main" uri="{B025F937-C7B1-47D3-B67F-A62EFF666E3E}">
          <x14:id>{ED6D708D-6EAD-4DF6-8E7A-C5A513029B28}</x14:id>
        </ext>
      </extLst>
    </cfRule>
  </conditionalFormatting>
  <conditionalFormatting sqref="AP538">
    <cfRule type="iconSet" priority="1672">
      <iconSet iconSet="3Arrows">
        <cfvo type="percent" val="0"/>
        <cfvo type="num" val="0.7"/>
        <cfvo type="num" val="1"/>
      </iconSet>
    </cfRule>
    <cfRule type="dataBar" priority="1673">
      <dataBar>
        <cfvo type="num" val="0"/>
        <cfvo type="num" val="1"/>
        <color theme="4" tint="0.79998168889431442"/>
      </dataBar>
      <extLst>
        <ext xmlns:x14="http://schemas.microsoft.com/office/spreadsheetml/2009/9/main" uri="{B025F937-C7B1-47D3-B67F-A62EFF666E3E}">
          <x14:id>{9EA8AF18-0D06-42E9-80C3-11F8FDD4E8B5}</x14:id>
        </ext>
      </extLst>
    </cfRule>
  </conditionalFormatting>
  <conditionalFormatting sqref="AP540">
    <cfRule type="iconSet" priority="486">
      <iconSet iconSet="3Arrows">
        <cfvo type="percent" val="0"/>
        <cfvo type="num" val="0.7"/>
        <cfvo type="num" val="1"/>
      </iconSet>
    </cfRule>
    <cfRule type="dataBar" priority="487">
      <dataBar>
        <cfvo type="num" val="0"/>
        <cfvo type="num" val="1"/>
        <color theme="4" tint="0.79998168889431442"/>
      </dataBar>
      <extLst>
        <ext xmlns:x14="http://schemas.microsoft.com/office/spreadsheetml/2009/9/main" uri="{B025F937-C7B1-47D3-B67F-A62EFF666E3E}">
          <x14:id>{A789F7EE-1061-432D-B469-306607EF03EB}</x14:id>
        </ext>
      </extLst>
    </cfRule>
  </conditionalFormatting>
  <conditionalFormatting sqref="AP542">
    <cfRule type="iconSet" priority="65">
      <iconSet iconSet="3Arrows">
        <cfvo type="percent" val="0"/>
        <cfvo type="num" val="0.7"/>
        <cfvo type="num" val="1"/>
      </iconSet>
    </cfRule>
    <cfRule type="dataBar" priority="66">
      <dataBar>
        <cfvo type="num" val="0"/>
        <cfvo type="num" val="1"/>
        <color theme="4" tint="0.79998168889431442"/>
      </dataBar>
      <extLst>
        <ext xmlns:x14="http://schemas.microsoft.com/office/spreadsheetml/2009/9/main" uri="{B025F937-C7B1-47D3-B67F-A62EFF666E3E}">
          <x14:id>{F3853E52-63B0-4064-96E7-55530FF58D37}</x14:id>
        </ext>
      </extLst>
    </cfRule>
  </conditionalFormatting>
  <conditionalFormatting sqref="AP544">
    <cfRule type="iconSet" priority="1670">
      <iconSet iconSet="3Arrows">
        <cfvo type="percent" val="0"/>
        <cfvo type="num" val="0.7"/>
        <cfvo type="num" val="1"/>
      </iconSet>
    </cfRule>
    <cfRule type="dataBar" priority="1671">
      <dataBar>
        <cfvo type="num" val="0"/>
        <cfvo type="num" val="1"/>
        <color theme="4" tint="0.79998168889431442"/>
      </dataBar>
      <extLst>
        <ext xmlns:x14="http://schemas.microsoft.com/office/spreadsheetml/2009/9/main" uri="{B025F937-C7B1-47D3-B67F-A62EFF666E3E}">
          <x14:id>{5B78FC86-10BC-4E79-BD8C-A518AA65CD10}</x14:id>
        </ext>
      </extLst>
    </cfRule>
  </conditionalFormatting>
  <conditionalFormatting sqref="AP546">
    <cfRule type="iconSet" priority="210">
      <iconSet iconSet="3Arrows">
        <cfvo type="percent" val="0"/>
        <cfvo type="num" val="0.7"/>
        <cfvo type="num" val="1"/>
      </iconSet>
    </cfRule>
    <cfRule type="dataBar" priority="211">
      <dataBar>
        <cfvo type="num" val="0"/>
        <cfvo type="num" val="1"/>
        <color theme="4" tint="0.79998168889431442"/>
      </dataBar>
      <extLst>
        <ext xmlns:x14="http://schemas.microsoft.com/office/spreadsheetml/2009/9/main" uri="{B025F937-C7B1-47D3-B67F-A62EFF666E3E}">
          <x14:id>{BE4525B6-30FA-48AA-86F4-AB90CE1E1364}</x14:id>
        </ext>
      </extLst>
    </cfRule>
  </conditionalFormatting>
  <conditionalFormatting sqref="AP548">
    <cfRule type="iconSet" priority="5">
      <iconSet iconSet="3Arrows">
        <cfvo type="percent" val="0"/>
        <cfvo type="num" val="0.7"/>
        <cfvo type="num" val="1"/>
      </iconSet>
    </cfRule>
    <cfRule type="dataBar" priority="6">
      <dataBar>
        <cfvo type="num" val="0"/>
        <cfvo type="num" val="1"/>
        <color theme="4" tint="0.79998168889431442"/>
      </dataBar>
      <extLst>
        <ext xmlns:x14="http://schemas.microsoft.com/office/spreadsheetml/2009/9/main" uri="{B025F937-C7B1-47D3-B67F-A62EFF666E3E}">
          <x14:id>{0D138B03-2360-4D39-9B1D-4518454DB8BD}</x14:id>
        </ext>
      </extLst>
    </cfRule>
  </conditionalFormatting>
  <conditionalFormatting sqref="AP550">
    <cfRule type="iconSet" priority="166">
      <iconSet iconSet="3Arrows">
        <cfvo type="percent" val="0"/>
        <cfvo type="num" val="0.7"/>
        <cfvo type="num" val="1"/>
      </iconSet>
    </cfRule>
    <cfRule type="dataBar" priority="167">
      <dataBar>
        <cfvo type="num" val="0"/>
        <cfvo type="num" val="1"/>
        <color theme="4" tint="0.79998168889431442"/>
      </dataBar>
      <extLst>
        <ext xmlns:x14="http://schemas.microsoft.com/office/spreadsheetml/2009/9/main" uri="{B025F937-C7B1-47D3-B67F-A62EFF666E3E}">
          <x14:id>{1C508E6E-7BB8-423B-B0A2-3834F94B63A3}</x14:id>
        </ext>
      </extLst>
    </cfRule>
  </conditionalFormatting>
  <conditionalFormatting sqref="AP552">
    <cfRule type="iconSet" priority="375">
      <iconSet iconSet="3Arrows">
        <cfvo type="percent" val="0"/>
        <cfvo type="num" val="0.7"/>
        <cfvo type="num" val="1"/>
      </iconSet>
    </cfRule>
    <cfRule type="dataBar" priority="376">
      <dataBar>
        <cfvo type="num" val="0"/>
        <cfvo type="num" val="1"/>
        <color theme="4" tint="0.79998168889431442"/>
      </dataBar>
      <extLst>
        <ext xmlns:x14="http://schemas.microsoft.com/office/spreadsheetml/2009/9/main" uri="{B025F937-C7B1-47D3-B67F-A62EFF666E3E}">
          <x14:id>{531587B6-06F7-4A31-8C26-46699966CEC3}</x14:id>
        </ext>
      </extLst>
    </cfRule>
  </conditionalFormatting>
  <conditionalFormatting sqref="AP554">
    <cfRule type="iconSet" priority="228">
      <iconSet iconSet="3Arrows">
        <cfvo type="percent" val="0"/>
        <cfvo type="num" val="0.7"/>
        <cfvo type="num" val="1"/>
      </iconSet>
    </cfRule>
    <cfRule type="dataBar" priority="229">
      <dataBar>
        <cfvo type="num" val="0"/>
        <cfvo type="num" val="1"/>
        <color theme="4" tint="0.79998168889431442"/>
      </dataBar>
      <extLst>
        <ext xmlns:x14="http://schemas.microsoft.com/office/spreadsheetml/2009/9/main" uri="{B025F937-C7B1-47D3-B67F-A62EFF666E3E}">
          <x14:id>{D0753216-C349-4A63-A0ED-24E3D73935A5}</x14:id>
        </ext>
      </extLst>
    </cfRule>
  </conditionalFormatting>
  <conditionalFormatting sqref="AP556">
    <cfRule type="iconSet" priority="1668">
      <iconSet iconSet="3Arrows">
        <cfvo type="percent" val="0"/>
        <cfvo type="num" val="0.7"/>
        <cfvo type="num" val="1"/>
      </iconSet>
    </cfRule>
    <cfRule type="dataBar" priority="1669">
      <dataBar>
        <cfvo type="num" val="0"/>
        <cfvo type="num" val="1"/>
        <color theme="4" tint="0.79998168889431442"/>
      </dataBar>
      <extLst>
        <ext xmlns:x14="http://schemas.microsoft.com/office/spreadsheetml/2009/9/main" uri="{B025F937-C7B1-47D3-B67F-A62EFF666E3E}">
          <x14:id>{A42B8691-0D0F-42FD-8454-AEA0DEAC39DA}</x14:id>
        </ext>
      </extLst>
    </cfRule>
  </conditionalFormatting>
  <conditionalFormatting sqref="AP558">
    <cfRule type="iconSet" priority="470">
      <iconSet iconSet="3Arrows">
        <cfvo type="percent" val="0"/>
        <cfvo type="num" val="0.7"/>
        <cfvo type="num" val="1"/>
      </iconSet>
    </cfRule>
    <cfRule type="dataBar" priority="471">
      <dataBar>
        <cfvo type="num" val="0"/>
        <cfvo type="num" val="1"/>
        <color theme="4" tint="0.79998168889431442"/>
      </dataBar>
      <extLst>
        <ext xmlns:x14="http://schemas.microsoft.com/office/spreadsheetml/2009/9/main" uri="{B025F937-C7B1-47D3-B67F-A62EFF666E3E}">
          <x14:id>{B816B6A7-9625-4866-83E9-4A7697F57B05}</x14:id>
        </ext>
      </extLst>
    </cfRule>
  </conditionalFormatting>
  <conditionalFormatting sqref="AP560">
    <cfRule type="iconSet" priority="49">
      <iconSet iconSet="3Arrows">
        <cfvo type="percent" val="0"/>
        <cfvo type="num" val="0.7"/>
        <cfvo type="num" val="1"/>
      </iconSet>
    </cfRule>
    <cfRule type="dataBar" priority="50">
      <dataBar>
        <cfvo type="num" val="0"/>
        <cfvo type="num" val="1"/>
        <color theme="4" tint="0.79998168889431442"/>
      </dataBar>
      <extLst>
        <ext xmlns:x14="http://schemas.microsoft.com/office/spreadsheetml/2009/9/main" uri="{B025F937-C7B1-47D3-B67F-A62EFF666E3E}">
          <x14:id>{8C9FDBB0-5E1C-4AE0-BB68-AE31E9DBB995}</x14:id>
        </ext>
      </extLst>
    </cfRule>
  </conditionalFormatting>
  <conditionalFormatting sqref="AP562">
    <cfRule type="iconSet" priority="1666">
      <iconSet iconSet="3Arrows">
        <cfvo type="percent" val="0"/>
        <cfvo type="num" val="0.7"/>
        <cfvo type="num" val="1"/>
      </iconSet>
    </cfRule>
    <cfRule type="dataBar" priority="1667">
      <dataBar>
        <cfvo type="num" val="0"/>
        <cfvo type="num" val="1"/>
        <color theme="4" tint="0.79998168889431442"/>
      </dataBar>
      <extLst>
        <ext xmlns:x14="http://schemas.microsoft.com/office/spreadsheetml/2009/9/main" uri="{B025F937-C7B1-47D3-B67F-A62EFF666E3E}">
          <x14:id>{9424E0F0-B7DA-408B-A63D-835F2583E131}</x14:id>
        </ext>
      </extLst>
    </cfRule>
  </conditionalFormatting>
  <conditionalFormatting sqref="AP564">
    <cfRule type="iconSet" priority="3950">
      <iconSet iconSet="3Arrows">
        <cfvo type="percent" val="0"/>
        <cfvo type="num" val="0.7"/>
        <cfvo type="num" val="1"/>
      </iconSet>
    </cfRule>
    <cfRule type="dataBar" priority="3951">
      <dataBar>
        <cfvo type="num" val="0"/>
        <cfvo type="num" val="1"/>
        <color theme="4" tint="0.79998168889431442"/>
      </dataBar>
      <extLst>
        <ext xmlns:x14="http://schemas.microsoft.com/office/spreadsheetml/2009/9/main" uri="{B025F937-C7B1-47D3-B67F-A62EFF666E3E}">
          <x14:id>{7E1C5834-33F6-43CB-966B-14D9AAB8917E}</x14:id>
        </ext>
      </extLst>
    </cfRule>
  </conditionalFormatting>
  <conditionalFormatting sqref="AP566">
    <cfRule type="iconSet" priority="3948">
      <iconSet iconSet="3Arrows">
        <cfvo type="percent" val="0"/>
        <cfvo type="num" val="0.7"/>
        <cfvo type="num" val="1"/>
      </iconSet>
    </cfRule>
    <cfRule type="dataBar" priority="3949">
      <dataBar>
        <cfvo type="num" val="0"/>
        <cfvo type="num" val="1"/>
        <color theme="4" tint="0.79998168889431442"/>
      </dataBar>
      <extLst>
        <ext xmlns:x14="http://schemas.microsoft.com/office/spreadsheetml/2009/9/main" uri="{B025F937-C7B1-47D3-B67F-A62EFF666E3E}">
          <x14:id>{C82DFDFA-B1F4-47CB-A221-0B4FBFEFDD14}</x14:id>
        </ext>
      </extLst>
    </cfRule>
  </conditionalFormatting>
  <conditionalFormatting sqref="AP568">
    <cfRule type="iconSet" priority="3946">
      <iconSet iconSet="3Arrows">
        <cfvo type="percent" val="0"/>
        <cfvo type="num" val="0.7"/>
        <cfvo type="num" val="1"/>
      </iconSet>
    </cfRule>
    <cfRule type="dataBar" priority="3947">
      <dataBar>
        <cfvo type="num" val="0"/>
        <cfvo type="num" val="1"/>
        <color theme="4" tint="0.79998168889431442"/>
      </dataBar>
      <extLst>
        <ext xmlns:x14="http://schemas.microsoft.com/office/spreadsheetml/2009/9/main" uri="{B025F937-C7B1-47D3-B67F-A62EFF666E3E}">
          <x14:id>{D4CE28EE-FD81-4FE7-A9A6-FC34857957EC}</x14:id>
        </ext>
      </extLst>
    </cfRule>
  </conditionalFormatting>
  <conditionalFormatting sqref="AP570">
    <cfRule type="iconSet" priority="3944">
      <iconSet iconSet="3Arrows">
        <cfvo type="percent" val="0"/>
        <cfvo type="num" val="0.7"/>
        <cfvo type="num" val="1"/>
      </iconSet>
    </cfRule>
    <cfRule type="dataBar" priority="3945">
      <dataBar>
        <cfvo type="num" val="0"/>
        <cfvo type="num" val="1"/>
        <color theme="4" tint="0.79998168889431442"/>
      </dataBar>
      <extLst>
        <ext xmlns:x14="http://schemas.microsoft.com/office/spreadsheetml/2009/9/main" uri="{B025F937-C7B1-47D3-B67F-A62EFF666E3E}">
          <x14:id>{B0431406-49C0-49C5-86FF-C466F4974C6A}</x14:id>
        </ext>
      </extLst>
    </cfRule>
  </conditionalFormatting>
  <conditionalFormatting sqref="AP572">
    <cfRule type="iconSet" priority="3942">
      <iconSet iconSet="3Arrows">
        <cfvo type="percent" val="0"/>
        <cfvo type="num" val="0.7"/>
        <cfvo type="num" val="1"/>
      </iconSet>
    </cfRule>
    <cfRule type="dataBar" priority="3943">
      <dataBar>
        <cfvo type="num" val="0"/>
        <cfvo type="num" val="1"/>
        <color theme="4" tint="0.79998168889431442"/>
      </dataBar>
      <extLst>
        <ext xmlns:x14="http://schemas.microsoft.com/office/spreadsheetml/2009/9/main" uri="{B025F937-C7B1-47D3-B67F-A62EFF666E3E}">
          <x14:id>{B861380F-7DB9-40B9-BAC1-913DD2389885}</x14:id>
        </ext>
      </extLst>
    </cfRule>
  </conditionalFormatting>
  <conditionalFormatting sqref="AP574">
    <cfRule type="iconSet" priority="3940">
      <iconSet iconSet="3Arrows">
        <cfvo type="percent" val="0"/>
        <cfvo type="num" val="0.7"/>
        <cfvo type="num" val="1"/>
      </iconSet>
    </cfRule>
    <cfRule type="dataBar" priority="3941">
      <dataBar>
        <cfvo type="num" val="0"/>
        <cfvo type="num" val="1"/>
        <color theme="4" tint="0.79998168889431442"/>
      </dataBar>
      <extLst>
        <ext xmlns:x14="http://schemas.microsoft.com/office/spreadsheetml/2009/9/main" uri="{B025F937-C7B1-47D3-B67F-A62EFF666E3E}">
          <x14:id>{EE19D23E-C10D-4576-BDA2-7BF0F5791D98}</x14:id>
        </ext>
      </extLst>
    </cfRule>
  </conditionalFormatting>
  <conditionalFormatting sqref="AP576">
    <cfRule type="iconSet" priority="3938">
      <iconSet iconSet="3Arrows">
        <cfvo type="percent" val="0"/>
        <cfvo type="num" val="0.7"/>
        <cfvo type="num" val="1"/>
      </iconSet>
    </cfRule>
    <cfRule type="dataBar" priority="3939">
      <dataBar>
        <cfvo type="num" val="0"/>
        <cfvo type="num" val="1"/>
        <color theme="4" tint="0.79998168889431442"/>
      </dataBar>
      <extLst>
        <ext xmlns:x14="http://schemas.microsoft.com/office/spreadsheetml/2009/9/main" uri="{B025F937-C7B1-47D3-B67F-A62EFF666E3E}">
          <x14:id>{E57C764C-4158-48CF-848A-1AC9D4B2598A}</x14:id>
        </ext>
      </extLst>
    </cfRule>
  </conditionalFormatting>
  <conditionalFormatting sqref="AP578">
    <cfRule type="iconSet" priority="3932">
      <iconSet iconSet="3Arrows">
        <cfvo type="percent" val="0"/>
        <cfvo type="num" val="0.7"/>
        <cfvo type="num" val="1"/>
      </iconSet>
    </cfRule>
    <cfRule type="dataBar" priority="3933">
      <dataBar>
        <cfvo type="num" val="0"/>
        <cfvo type="num" val="1"/>
        <color theme="4" tint="0.79998168889431442"/>
      </dataBar>
      <extLst>
        <ext xmlns:x14="http://schemas.microsoft.com/office/spreadsheetml/2009/9/main" uri="{B025F937-C7B1-47D3-B67F-A62EFF666E3E}">
          <x14:id>{435F4F9D-FD98-442B-BA4A-392677A24FF5}</x14:id>
        </ext>
      </extLst>
    </cfRule>
  </conditionalFormatting>
  <conditionalFormatting sqref="AP580">
    <cfRule type="iconSet" priority="3936">
      <iconSet iconSet="3Arrows">
        <cfvo type="percent" val="0"/>
        <cfvo type="num" val="0.7"/>
        <cfvo type="num" val="1"/>
      </iconSet>
    </cfRule>
    <cfRule type="dataBar" priority="3937">
      <dataBar>
        <cfvo type="num" val="0"/>
        <cfvo type="num" val="1"/>
        <color theme="4" tint="0.79998168889431442"/>
      </dataBar>
      <extLst>
        <ext xmlns:x14="http://schemas.microsoft.com/office/spreadsheetml/2009/9/main" uri="{B025F937-C7B1-47D3-B67F-A62EFF666E3E}">
          <x14:id>{FDDA28D6-4F0F-45CB-9BE2-76EDA6CFD6BE}</x14:id>
        </ext>
      </extLst>
    </cfRule>
  </conditionalFormatting>
  <conditionalFormatting sqref="AP582">
    <cfRule type="iconSet" priority="3930">
      <iconSet iconSet="3Arrows">
        <cfvo type="percent" val="0"/>
        <cfvo type="num" val="0.7"/>
        <cfvo type="num" val="1"/>
      </iconSet>
    </cfRule>
    <cfRule type="dataBar" priority="3931">
      <dataBar>
        <cfvo type="num" val="0"/>
        <cfvo type="num" val="1"/>
        <color theme="4" tint="0.79998168889431442"/>
      </dataBar>
      <extLst>
        <ext xmlns:x14="http://schemas.microsoft.com/office/spreadsheetml/2009/9/main" uri="{B025F937-C7B1-47D3-B67F-A62EFF666E3E}">
          <x14:id>{AB479CB4-2143-4A87-B589-FEC045545171}</x14:id>
        </ext>
      </extLst>
    </cfRule>
  </conditionalFormatting>
  <conditionalFormatting sqref="AP584">
    <cfRule type="iconSet" priority="3934">
      <iconSet iconSet="3Arrows">
        <cfvo type="percent" val="0"/>
        <cfvo type="num" val="0.7"/>
        <cfvo type="num" val="1"/>
      </iconSet>
    </cfRule>
    <cfRule type="dataBar" priority="3935">
      <dataBar>
        <cfvo type="num" val="0"/>
        <cfvo type="num" val="1"/>
        <color theme="4" tint="0.79998168889431442"/>
      </dataBar>
      <extLst>
        <ext xmlns:x14="http://schemas.microsoft.com/office/spreadsheetml/2009/9/main" uri="{B025F937-C7B1-47D3-B67F-A62EFF666E3E}">
          <x14:id>{E58E95A3-42D2-4BB6-AF99-9F7F3FF2E077}</x14:id>
        </ext>
      </extLst>
    </cfRule>
  </conditionalFormatting>
  <conditionalFormatting sqref="AP586">
    <cfRule type="iconSet" priority="3928">
      <iconSet iconSet="3Arrows">
        <cfvo type="percent" val="0"/>
        <cfvo type="num" val="0.7"/>
        <cfvo type="num" val="1"/>
      </iconSet>
    </cfRule>
    <cfRule type="dataBar" priority="3929">
      <dataBar>
        <cfvo type="num" val="0"/>
        <cfvo type="num" val="1"/>
        <color theme="4" tint="0.79998168889431442"/>
      </dataBar>
      <extLst>
        <ext xmlns:x14="http://schemas.microsoft.com/office/spreadsheetml/2009/9/main" uri="{B025F937-C7B1-47D3-B67F-A62EFF666E3E}">
          <x14:id>{6E787FC1-B4EA-46D9-880A-803206968E53}</x14:id>
        </ext>
      </extLst>
    </cfRule>
  </conditionalFormatting>
  <conditionalFormatting sqref="AP588">
    <cfRule type="iconSet" priority="2182">
      <iconSet iconSet="3Arrows">
        <cfvo type="percent" val="0"/>
        <cfvo type="num" val="0.7"/>
        <cfvo type="num" val="1"/>
      </iconSet>
    </cfRule>
    <cfRule type="dataBar" priority="2183">
      <dataBar>
        <cfvo type="num" val="0"/>
        <cfvo type="num" val="1"/>
        <color theme="4" tint="0.79998168889431442"/>
      </dataBar>
      <extLst>
        <ext xmlns:x14="http://schemas.microsoft.com/office/spreadsheetml/2009/9/main" uri="{B025F937-C7B1-47D3-B67F-A62EFF666E3E}">
          <x14:id>{A866D9BE-E2F7-473E-A2EA-B710DF6E612B}</x14:id>
        </ext>
      </extLst>
    </cfRule>
  </conditionalFormatting>
  <conditionalFormatting sqref="AP591">
    <cfRule type="iconSet" priority="3872">
      <iconSet iconSet="3Arrows">
        <cfvo type="percent" val="0"/>
        <cfvo type="num" val="0.7"/>
        <cfvo type="num" val="1"/>
      </iconSet>
    </cfRule>
    <cfRule type="dataBar" priority="3873">
      <dataBar>
        <cfvo type="num" val="0"/>
        <cfvo type="num" val="1"/>
        <color theme="4" tint="0.79998168889431442"/>
      </dataBar>
      <extLst>
        <ext xmlns:x14="http://schemas.microsoft.com/office/spreadsheetml/2009/9/main" uri="{B025F937-C7B1-47D3-B67F-A62EFF666E3E}">
          <x14:id>{E160EE9B-7291-4730-8E41-FFC95019470D}</x14:id>
        </ext>
      </extLst>
    </cfRule>
  </conditionalFormatting>
  <conditionalFormatting sqref="AP593">
    <cfRule type="iconSet" priority="2416">
      <iconSet iconSet="3Arrows">
        <cfvo type="percent" val="0"/>
        <cfvo type="num" val="0.7"/>
        <cfvo type="num" val="1"/>
      </iconSet>
    </cfRule>
    <cfRule type="dataBar" priority="2417">
      <dataBar>
        <cfvo type="num" val="0"/>
        <cfvo type="num" val="1"/>
        <color theme="4" tint="0.79998168889431442"/>
      </dataBar>
      <extLst>
        <ext xmlns:x14="http://schemas.microsoft.com/office/spreadsheetml/2009/9/main" uri="{B025F937-C7B1-47D3-B67F-A62EFF666E3E}">
          <x14:id>{EDB8CDD6-2747-493B-8A2A-9F99AA0A916E}</x14:id>
        </ext>
      </extLst>
    </cfRule>
  </conditionalFormatting>
  <conditionalFormatting sqref="AP595">
    <cfRule type="iconSet" priority="2833">
      <iconSet iconSet="3Arrows">
        <cfvo type="percent" val="0"/>
        <cfvo type="num" val="0.7"/>
        <cfvo type="num" val="1"/>
      </iconSet>
    </cfRule>
    <cfRule type="dataBar" priority="2834">
      <dataBar>
        <cfvo type="num" val="0"/>
        <cfvo type="num" val="1"/>
        <color theme="4" tint="0.79998168889431442"/>
      </dataBar>
      <extLst>
        <ext xmlns:x14="http://schemas.microsoft.com/office/spreadsheetml/2009/9/main" uri="{B025F937-C7B1-47D3-B67F-A62EFF666E3E}">
          <x14:id>{A673AED3-0DC9-4DCB-B832-AB5F59BD31DF}</x14:id>
        </ext>
      </extLst>
    </cfRule>
  </conditionalFormatting>
  <conditionalFormatting sqref="AP597">
    <cfRule type="iconSet" priority="3870">
      <iconSet iconSet="3Arrows">
        <cfvo type="percent" val="0"/>
        <cfvo type="num" val="0.7"/>
        <cfvo type="num" val="1"/>
      </iconSet>
    </cfRule>
    <cfRule type="dataBar" priority="3871">
      <dataBar>
        <cfvo type="num" val="0"/>
        <cfvo type="num" val="1"/>
        <color theme="4" tint="0.79998168889431442"/>
      </dataBar>
      <extLst>
        <ext xmlns:x14="http://schemas.microsoft.com/office/spreadsheetml/2009/9/main" uri="{B025F937-C7B1-47D3-B67F-A62EFF666E3E}">
          <x14:id>{D3E1C020-9B7D-4769-83C7-5EAFEE0AD272}</x14:id>
        </ext>
      </extLst>
    </cfRule>
  </conditionalFormatting>
  <conditionalFormatting sqref="AP599">
    <cfRule type="iconSet" priority="3057">
      <iconSet iconSet="3Arrows">
        <cfvo type="percent" val="0"/>
        <cfvo type="num" val="0.7"/>
        <cfvo type="num" val="1"/>
      </iconSet>
    </cfRule>
    <cfRule type="dataBar" priority="3058">
      <dataBar>
        <cfvo type="num" val="0"/>
        <cfvo type="num" val="1"/>
        <color theme="4" tint="0.79998168889431442"/>
      </dataBar>
      <extLst>
        <ext xmlns:x14="http://schemas.microsoft.com/office/spreadsheetml/2009/9/main" uri="{B025F937-C7B1-47D3-B67F-A62EFF666E3E}">
          <x14:id>{A6DEAF88-6C8E-493C-8965-0711D1A20B4F}</x14:id>
        </ext>
      </extLst>
    </cfRule>
  </conditionalFormatting>
  <conditionalFormatting sqref="AP601">
    <cfRule type="iconSet" priority="3868">
      <iconSet iconSet="3Arrows">
        <cfvo type="percent" val="0"/>
        <cfvo type="num" val="0.7"/>
        <cfvo type="num" val="1"/>
      </iconSet>
    </cfRule>
    <cfRule type="dataBar" priority="3869">
      <dataBar>
        <cfvo type="num" val="0"/>
        <cfvo type="num" val="1"/>
        <color theme="4" tint="0.79998168889431442"/>
      </dataBar>
      <extLst>
        <ext xmlns:x14="http://schemas.microsoft.com/office/spreadsheetml/2009/9/main" uri="{B025F937-C7B1-47D3-B67F-A62EFF666E3E}">
          <x14:id>{0A6F97F8-9712-403D-8D18-6E9CD9D5A994}</x14:id>
        </ext>
      </extLst>
    </cfRule>
  </conditionalFormatting>
  <conditionalFormatting sqref="AP603">
    <cfRule type="iconSet" priority="3866">
      <iconSet iconSet="3Arrows">
        <cfvo type="percent" val="0"/>
        <cfvo type="num" val="0.7"/>
        <cfvo type="num" val="1"/>
      </iconSet>
    </cfRule>
    <cfRule type="dataBar" priority="3867">
      <dataBar>
        <cfvo type="num" val="0"/>
        <cfvo type="num" val="1"/>
        <color theme="4" tint="0.79998168889431442"/>
      </dataBar>
      <extLst>
        <ext xmlns:x14="http://schemas.microsoft.com/office/spreadsheetml/2009/9/main" uri="{B025F937-C7B1-47D3-B67F-A62EFF666E3E}">
          <x14:id>{DAD6DFAA-43EC-4D93-AC4E-8E749D9F32AB}</x14:id>
        </ext>
      </extLst>
    </cfRule>
  </conditionalFormatting>
  <conditionalFormatting sqref="AP605">
    <cfRule type="iconSet" priority="3329">
      <iconSet iconSet="3Arrows">
        <cfvo type="percent" val="0"/>
        <cfvo type="num" val="0.7"/>
        <cfvo type="num" val="1"/>
      </iconSet>
    </cfRule>
    <cfRule type="dataBar" priority="3330">
      <dataBar>
        <cfvo type="num" val="0"/>
        <cfvo type="num" val="1"/>
        <color theme="4" tint="0.79998168889431442"/>
      </dataBar>
      <extLst>
        <ext xmlns:x14="http://schemas.microsoft.com/office/spreadsheetml/2009/9/main" uri="{B025F937-C7B1-47D3-B67F-A62EFF666E3E}">
          <x14:id>{1122F98F-A03E-4863-BFF9-3842C12A4171}</x14:id>
        </ext>
      </extLst>
    </cfRule>
  </conditionalFormatting>
  <conditionalFormatting sqref="AP607">
    <cfRule type="iconSet" priority="3315">
      <iconSet iconSet="3Arrows">
        <cfvo type="percent" val="0"/>
        <cfvo type="num" val="0.7"/>
        <cfvo type="num" val="1"/>
      </iconSet>
    </cfRule>
    <cfRule type="dataBar" priority="3316">
      <dataBar>
        <cfvo type="num" val="0"/>
        <cfvo type="num" val="1"/>
        <color theme="4" tint="0.79998168889431442"/>
      </dataBar>
      <extLst>
        <ext xmlns:x14="http://schemas.microsoft.com/office/spreadsheetml/2009/9/main" uri="{B025F937-C7B1-47D3-B67F-A62EFF666E3E}">
          <x14:id>{B837FB0F-216A-4008-A1AB-CDEAC3AAF870}</x14:id>
        </ext>
      </extLst>
    </cfRule>
  </conditionalFormatting>
  <conditionalFormatting sqref="AP609">
    <cfRule type="iconSet" priority="3301">
      <iconSet iconSet="3Arrows">
        <cfvo type="percent" val="0"/>
        <cfvo type="num" val="0.7"/>
        <cfvo type="num" val="1"/>
      </iconSet>
    </cfRule>
    <cfRule type="dataBar" priority="3302">
      <dataBar>
        <cfvo type="num" val="0"/>
        <cfvo type="num" val="1"/>
        <color theme="4" tint="0.79998168889431442"/>
      </dataBar>
      <extLst>
        <ext xmlns:x14="http://schemas.microsoft.com/office/spreadsheetml/2009/9/main" uri="{B025F937-C7B1-47D3-B67F-A62EFF666E3E}">
          <x14:id>{6B92C85D-A998-45A6-80C2-47E6FF11DD46}</x14:id>
        </ext>
      </extLst>
    </cfRule>
  </conditionalFormatting>
  <conditionalFormatting sqref="AP611">
    <cfRule type="iconSet" priority="3861">
      <iconSet iconSet="3Arrows">
        <cfvo type="percent" val="0"/>
        <cfvo type="num" val="0.7"/>
        <cfvo type="num" val="1"/>
      </iconSet>
    </cfRule>
    <cfRule type="dataBar" priority="3862">
      <dataBar>
        <cfvo type="num" val="0"/>
        <cfvo type="num" val="1"/>
        <color theme="4" tint="0.79998168889431442"/>
      </dataBar>
      <extLst>
        <ext xmlns:x14="http://schemas.microsoft.com/office/spreadsheetml/2009/9/main" uri="{B025F937-C7B1-47D3-B67F-A62EFF666E3E}">
          <x14:id>{67CE196D-3E97-456B-BBC1-099032881259}</x14:id>
        </ext>
      </extLst>
    </cfRule>
  </conditionalFormatting>
  <conditionalFormatting sqref="AP613">
    <cfRule type="iconSet" priority="3864">
      <iconSet iconSet="3Arrows">
        <cfvo type="percent" val="0"/>
        <cfvo type="num" val="0.7"/>
        <cfvo type="num" val="1"/>
      </iconSet>
    </cfRule>
    <cfRule type="dataBar" priority="3865">
      <dataBar>
        <cfvo type="num" val="0"/>
        <cfvo type="num" val="1"/>
        <color theme="4" tint="0.79998168889431442"/>
      </dataBar>
      <extLst>
        <ext xmlns:x14="http://schemas.microsoft.com/office/spreadsheetml/2009/9/main" uri="{B025F937-C7B1-47D3-B67F-A62EFF666E3E}">
          <x14:id>{CE918DE3-A7F0-4F75-8FDC-E47AEBF3DCBA}</x14:id>
        </ext>
      </extLst>
    </cfRule>
  </conditionalFormatting>
  <conditionalFormatting sqref="AP615">
    <cfRule type="iconSet" priority="1509">
      <iconSet iconSet="3Arrows">
        <cfvo type="percent" val="0"/>
        <cfvo type="num" val="0.7"/>
        <cfvo type="num" val="1"/>
      </iconSet>
    </cfRule>
    <cfRule type="dataBar" priority="1510">
      <dataBar>
        <cfvo type="num" val="0"/>
        <cfvo type="num" val="1"/>
        <color theme="4" tint="0.79998168889431442"/>
      </dataBar>
      <extLst>
        <ext xmlns:x14="http://schemas.microsoft.com/office/spreadsheetml/2009/9/main" uri="{B025F937-C7B1-47D3-B67F-A62EFF666E3E}">
          <x14:id>{0D5CBF29-351E-4979-933D-64D7BD4BD92E}</x14:id>
        </ext>
      </extLst>
    </cfRule>
  </conditionalFormatting>
  <conditionalFormatting sqref="AP617">
    <cfRule type="iconSet" priority="129">
      <iconSet iconSet="3Arrows">
        <cfvo type="percent" val="0"/>
        <cfvo type="num" val="0.7"/>
        <cfvo type="num" val="1"/>
      </iconSet>
    </cfRule>
    <cfRule type="dataBar" priority="130">
      <dataBar>
        <cfvo type="num" val="0"/>
        <cfvo type="num" val="1"/>
        <color theme="4" tint="0.79998168889431442"/>
      </dataBar>
      <extLst>
        <ext xmlns:x14="http://schemas.microsoft.com/office/spreadsheetml/2009/9/main" uri="{B025F937-C7B1-47D3-B67F-A62EFF666E3E}">
          <x14:id>{E8F1E804-B68F-4F48-8F1D-F5C286F00CDD}</x14:id>
        </ext>
      </extLst>
    </cfRule>
  </conditionalFormatting>
  <conditionalFormatting sqref="AP619">
    <cfRule type="iconSet" priority="144">
      <iconSet iconSet="3Arrows">
        <cfvo type="percent" val="0"/>
        <cfvo type="num" val="0.7"/>
        <cfvo type="num" val="1"/>
      </iconSet>
    </cfRule>
    <cfRule type="dataBar" priority="145">
      <dataBar>
        <cfvo type="num" val="0"/>
        <cfvo type="num" val="1"/>
        <color theme="4" tint="0.79998168889431442"/>
      </dataBar>
      <extLst>
        <ext xmlns:x14="http://schemas.microsoft.com/office/spreadsheetml/2009/9/main" uri="{B025F937-C7B1-47D3-B67F-A62EFF666E3E}">
          <x14:id>{C48C9E69-4DAE-4C3F-B34C-E51692D20F3C}</x14:id>
        </ext>
      </extLst>
    </cfRule>
  </conditionalFormatting>
  <conditionalFormatting sqref="AP621">
    <cfRule type="iconSet" priority="1531">
      <iconSet iconSet="3Arrows">
        <cfvo type="percent" val="0"/>
        <cfvo type="num" val="0.7"/>
        <cfvo type="num" val="1"/>
      </iconSet>
    </cfRule>
    <cfRule type="dataBar" priority="1532">
      <dataBar>
        <cfvo type="num" val="0"/>
        <cfvo type="num" val="1"/>
        <color theme="4" tint="0.79998168889431442"/>
      </dataBar>
      <extLst>
        <ext xmlns:x14="http://schemas.microsoft.com/office/spreadsheetml/2009/9/main" uri="{B025F937-C7B1-47D3-B67F-A62EFF666E3E}">
          <x14:id>{A0A6E897-6990-4741-8386-990B2A858F00}</x14:id>
        </ext>
      </extLst>
    </cfRule>
  </conditionalFormatting>
  <conditionalFormatting sqref="AP623">
    <cfRule type="iconSet" priority="1545">
      <iconSet iconSet="3Arrows">
        <cfvo type="percent" val="0"/>
        <cfvo type="num" val="0.7"/>
        <cfvo type="num" val="1"/>
      </iconSet>
    </cfRule>
    <cfRule type="dataBar" priority="1546">
      <dataBar>
        <cfvo type="num" val="0"/>
        <cfvo type="num" val="1"/>
        <color theme="4" tint="0.79998168889431442"/>
      </dataBar>
      <extLst>
        <ext xmlns:x14="http://schemas.microsoft.com/office/spreadsheetml/2009/9/main" uri="{B025F937-C7B1-47D3-B67F-A62EFF666E3E}">
          <x14:id>{9A236DB3-0C2B-4A1B-B787-77E17B08C26C}</x14:id>
        </ext>
      </extLst>
    </cfRule>
  </conditionalFormatting>
  <conditionalFormatting sqref="AP625">
    <cfRule type="iconSet" priority="31">
      <iconSet iconSet="3Arrows">
        <cfvo type="percent" val="0"/>
        <cfvo type="num" val="0.7"/>
        <cfvo type="num" val="1"/>
      </iconSet>
    </cfRule>
    <cfRule type="dataBar" priority="32">
      <dataBar>
        <cfvo type="num" val="0"/>
        <cfvo type="num" val="1"/>
        <color theme="4" tint="0.79998168889431442"/>
      </dataBar>
      <extLst>
        <ext xmlns:x14="http://schemas.microsoft.com/office/spreadsheetml/2009/9/main" uri="{B025F937-C7B1-47D3-B67F-A62EFF666E3E}">
          <x14:id>{DDD813DF-FA09-4E99-B098-C3EC17B13BF5}</x14:id>
        </ext>
      </extLst>
    </cfRule>
  </conditionalFormatting>
  <conditionalFormatting sqref="AR97">
    <cfRule type="cellIs" dxfId="361" priority="1942" operator="equal">
      <formula>0</formula>
    </cfRule>
  </conditionalFormatting>
  <conditionalFormatting sqref="AR99">
    <cfRule type="cellIs" dxfId="360" priority="1979" operator="equal">
      <formula>0</formula>
    </cfRule>
  </conditionalFormatting>
  <conditionalFormatting sqref="AR101">
    <cfRule type="cellIs" dxfId="359" priority="1916" operator="equal">
      <formula>0</formula>
    </cfRule>
  </conditionalFormatting>
  <conditionalFormatting sqref="AR103 AR160:AX167 AR170:AX179">
    <cfRule type="cellIs" dxfId="358" priority="3722" operator="equal">
      <formula>0</formula>
    </cfRule>
  </conditionalFormatting>
  <conditionalFormatting sqref="AR9:AX12 AR79:AX92 AR95:AX96 AW97:AX97 AW99:AX99 AW103:AX103 AR115:AX118 AR184:AX191 AR194:AX199 AR202:AX209">
    <cfRule type="cellIs" dxfId="357" priority="3852" operator="equal">
      <formula>0</formula>
    </cfRule>
  </conditionalFormatting>
  <conditionalFormatting sqref="AR13:AX14">
    <cfRule type="cellIs" dxfId="356" priority="3551" operator="equal">
      <formula>0</formula>
    </cfRule>
  </conditionalFormatting>
  <conditionalFormatting sqref="AR15:AX34">
    <cfRule type="cellIs" dxfId="355" priority="3556" operator="equal">
      <formula>0</formula>
    </cfRule>
  </conditionalFormatting>
  <conditionalFormatting sqref="AR35:AX36">
    <cfRule type="cellIs" dxfId="354" priority="2392" operator="equal">
      <formula>0</formula>
    </cfRule>
  </conditionalFormatting>
  <conditionalFormatting sqref="AR47:AX48">
    <cfRule type="cellIs" dxfId="353" priority="3546" operator="equal">
      <formula>0</formula>
    </cfRule>
  </conditionalFormatting>
  <conditionalFormatting sqref="AR77:AX78">
    <cfRule type="cellIs" dxfId="352" priority="3841" operator="equal">
      <formula>0</formula>
    </cfRule>
  </conditionalFormatting>
  <conditionalFormatting sqref="AR93:AX94">
    <cfRule type="cellIs" dxfId="351" priority="3725" operator="equal">
      <formula>0</formula>
    </cfRule>
  </conditionalFormatting>
  <conditionalFormatting sqref="AR113:AX114">
    <cfRule type="cellIs" dxfId="350" priority="3736" operator="equal">
      <formula>0</formula>
    </cfRule>
  </conditionalFormatting>
  <conditionalFormatting sqref="AR119:AX120">
    <cfRule type="cellIs" dxfId="349" priority="3840" operator="equal">
      <formula>0</formula>
    </cfRule>
  </conditionalFormatting>
  <conditionalFormatting sqref="AR121:AX139">
    <cfRule type="cellIs" dxfId="348" priority="587" operator="equal">
      <formula>0</formula>
    </cfRule>
  </conditionalFormatting>
  <conditionalFormatting sqref="AR140:AX143">
    <cfRule type="cellIs" dxfId="347" priority="2357" operator="equal">
      <formula>0</formula>
    </cfRule>
  </conditionalFormatting>
  <conditionalFormatting sqref="AR144:AX149">
    <cfRule type="cellIs" dxfId="346" priority="3642" operator="equal">
      <formula>0</formula>
    </cfRule>
  </conditionalFormatting>
  <conditionalFormatting sqref="AR150:AX151">
    <cfRule type="cellIs" dxfId="345" priority="3615" operator="equal">
      <formula>0</formula>
    </cfRule>
  </conditionalFormatting>
  <conditionalFormatting sqref="AR152:AX157">
    <cfRule type="cellIs" dxfId="344" priority="3647" operator="equal">
      <formula>0</formula>
    </cfRule>
  </conditionalFormatting>
  <conditionalFormatting sqref="AR158:AX159">
    <cfRule type="cellIs" dxfId="343" priority="3639" operator="equal">
      <formula>0</formula>
    </cfRule>
  </conditionalFormatting>
  <conditionalFormatting sqref="AR168:AX169">
    <cfRule type="cellIs" dxfId="342" priority="2199" operator="equal">
      <formula>0</formula>
    </cfRule>
  </conditionalFormatting>
  <conditionalFormatting sqref="AR180:AX183">
    <cfRule type="cellIs" dxfId="341" priority="3672" operator="equal">
      <formula>0</formula>
    </cfRule>
  </conditionalFormatting>
  <conditionalFormatting sqref="AR192:AX193">
    <cfRule type="cellIs" dxfId="340" priority="3652" operator="equal">
      <formula>0</formula>
    </cfRule>
  </conditionalFormatting>
  <conditionalFormatting sqref="AR200:AX201">
    <cfRule type="cellIs" dxfId="339" priority="3638" operator="equal">
      <formula>0</formula>
    </cfRule>
  </conditionalFormatting>
  <conditionalFormatting sqref="AR210:AX211">
    <cfRule type="cellIs" dxfId="338" priority="2198" operator="equal">
      <formula>0</formula>
    </cfRule>
  </conditionalFormatting>
  <conditionalFormatting sqref="AR212:AX232">
    <cfRule type="cellIs" dxfId="337" priority="1378" operator="equal">
      <formula>0</formula>
    </cfRule>
  </conditionalFormatting>
  <conditionalFormatting sqref="AR233:AX234">
    <cfRule type="cellIs" dxfId="336" priority="3619" operator="equal">
      <formula>0</formula>
    </cfRule>
  </conditionalFormatting>
  <conditionalFormatting sqref="AR278:AX279">
    <cfRule type="cellIs" dxfId="335" priority="1436" operator="equal">
      <formula>0</formula>
    </cfRule>
  </conditionalFormatting>
  <conditionalFormatting sqref="AR299:AX300">
    <cfRule type="cellIs" dxfId="334" priority="3390" operator="equal">
      <formula>0</formula>
    </cfRule>
  </conditionalFormatting>
  <conditionalFormatting sqref="AR304:AX305">
    <cfRule type="cellIs" dxfId="333" priority="3372" operator="equal">
      <formula>0</formula>
    </cfRule>
  </conditionalFormatting>
  <conditionalFormatting sqref="AR314:AX315">
    <cfRule type="cellIs" dxfId="332" priority="3797" operator="equal">
      <formula>0</formula>
    </cfRule>
  </conditionalFormatting>
  <conditionalFormatting sqref="AR316:AX321">
    <cfRule type="cellIs" dxfId="331" priority="2506" operator="equal">
      <formula>0</formula>
    </cfRule>
  </conditionalFormatting>
  <conditionalFormatting sqref="AR322:AX323">
    <cfRule type="cellIs" dxfId="330" priority="2312" operator="equal">
      <formula>0</formula>
    </cfRule>
  </conditionalFormatting>
  <conditionalFormatting sqref="AR332:AX333">
    <cfRule type="cellIs" dxfId="329" priority="2162" operator="equal">
      <formula>0</formula>
    </cfRule>
  </conditionalFormatting>
  <conditionalFormatting sqref="AR340:AX341">
    <cfRule type="cellIs" dxfId="328" priority="2148" operator="equal">
      <formula>0</formula>
    </cfRule>
  </conditionalFormatting>
  <conditionalFormatting sqref="AR342:AX373">
    <cfRule type="cellIs" dxfId="327" priority="2471" operator="equal">
      <formula>0</formula>
    </cfRule>
  </conditionalFormatting>
  <conditionalFormatting sqref="AR374:AX375">
    <cfRule type="cellIs" dxfId="326" priority="2606" operator="equal">
      <formula>0</formula>
    </cfRule>
  </conditionalFormatting>
  <conditionalFormatting sqref="AR376:AX377 AR380:AX381">
    <cfRule type="cellIs" dxfId="325" priority="3618" operator="equal">
      <formula>0</formula>
    </cfRule>
  </conditionalFormatting>
  <conditionalFormatting sqref="AR378:AX379">
    <cfRule type="cellIs" dxfId="324" priority="2586" operator="equal">
      <formula>0</formula>
    </cfRule>
  </conditionalFormatting>
  <conditionalFormatting sqref="AR382:AX383">
    <cfRule type="cellIs" dxfId="323" priority="2566" operator="equal">
      <formula>0</formula>
    </cfRule>
  </conditionalFormatting>
  <conditionalFormatting sqref="AR393:AX394">
    <cfRule type="cellIs" dxfId="322" priority="3685" operator="equal">
      <formula>0</formula>
    </cfRule>
  </conditionalFormatting>
  <conditionalFormatting sqref="AR428:AX433">
    <cfRule type="cellIs" dxfId="321" priority="1207" operator="equal">
      <formula>0</formula>
    </cfRule>
  </conditionalFormatting>
  <conditionalFormatting sqref="AR460:AX461">
    <cfRule type="cellIs" dxfId="320" priority="2547" operator="equal">
      <formula>0</formula>
    </cfRule>
  </conditionalFormatting>
  <conditionalFormatting sqref="AR488:AX489">
    <cfRule type="cellIs" dxfId="319" priority="2045" operator="equal">
      <formula>0</formula>
    </cfRule>
  </conditionalFormatting>
  <conditionalFormatting sqref="AR490:AX501 AR504:AX529 AR532:AX587">
    <cfRule type="cellIs" dxfId="318" priority="2048" operator="equal">
      <formula>0</formula>
    </cfRule>
  </conditionalFormatting>
  <conditionalFormatting sqref="AR502:AX503">
    <cfRule type="cellIs" dxfId="317" priority="1206" operator="equal">
      <formula>0</formula>
    </cfRule>
  </conditionalFormatting>
  <conditionalFormatting sqref="AR530:AX531">
    <cfRule type="cellIs" dxfId="316" priority="1205" operator="equal">
      <formula>0</formula>
    </cfRule>
  </conditionalFormatting>
  <conditionalFormatting sqref="AR588:AX589">
    <cfRule type="cellIs" dxfId="315" priority="2178" operator="equal">
      <formula>0</formula>
    </cfRule>
  </conditionalFormatting>
  <conditionalFormatting sqref="AR591:AX596">
    <cfRule type="cellIs" dxfId="314" priority="2197" operator="equal">
      <formula>0</formula>
    </cfRule>
  </conditionalFormatting>
  <conditionalFormatting sqref="AR597:AX616">
    <cfRule type="cellIs" dxfId="313" priority="1503" operator="equal">
      <formula>0</formula>
    </cfRule>
  </conditionalFormatting>
  <conditionalFormatting sqref="AR617:AX618">
    <cfRule type="cellIs" dxfId="312" priority="119" operator="equal">
      <formula>0</formula>
    </cfRule>
  </conditionalFormatting>
  <conditionalFormatting sqref="AR621:AX622">
    <cfRule type="cellIs" dxfId="311" priority="1521" operator="equal">
      <formula>0</formula>
    </cfRule>
  </conditionalFormatting>
  <conditionalFormatting sqref="AR623:AX626">
    <cfRule type="cellIs" dxfId="310" priority="25" operator="equal">
      <formula>0</formula>
    </cfRule>
  </conditionalFormatting>
  <conditionalFormatting sqref="AS97:AV97">
    <cfRule type="expression" dxfId="309" priority="1943">
      <formula>AND($M97="R",AS97&gt;0)</formula>
    </cfRule>
    <cfRule type="expression" dxfId="308" priority="1944">
      <formula>AND($M97="P",AS97&gt;0)</formula>
    </cfRule>
  </conditionalFormatting>
  <conditionalFormatting sqref="AS99:AV99">
    <cfRule type="expression" dxfId="307" priority="1980">
      <formula>AND($M99="R",AS99&gt;0)</formula>
    </cfRule>
    <cfRule type="expression" dxfId="306" priority="1981">
      <formula>AND($M99="P",AS99&gt;0)</formula>
    </cfRule>
  </conditionalFormatting>
  <conditionalFormatting sqref="AS101:AV101">
    <cfRule type="expression" dxfId="305" priority="1917">
      <formula>AND($M101="R",AS101&gt;0)</formula>
    </cfRule>
    <cfRule type="expression" dxfId="304" priority="1918">
      <formula>AND($M101="P",AS101&gt;0)</formula>
    </cfRule>
  </conditionalFormatting>
  <conditionalFormatting sqref="AS103:AV103">
    <cfRule type="expression" dxfId="303" priority="3723">
      <formula>AND($M103="R",AS103&gt;0)</formula>
    </cfRule>
    <cfRule type="expression" dxfId="302" priority="3724">
      <formula>AND($M103="P",AS103&gt;0)</formula>
    </cfRule>
  </conditionalFormatting>
  <conditionalFormatting sqref="AT438:AU438">
    <cfRule type="expression" dxfId="301" priority="1240">
      <formula>AND($O438="R",AT438&gt;0)</formula>
    </cfRule>
    <cfRule type="expression" dxfId="300" priority="1241">
      <formula>AND($O438="P",AT438&gt;0)</formula>
    </cfRule>
  </conditionalFormatting>
  <conditionalFormatting sqref="AW101:AX101">
    <cfRule type="cellIs" dxfId="299" priority="1939" operator="equal">
      <formula>0</formula>
    </cfRule>
  </conditionalFormatting>
  <conditionalFormatting sqref="AZ9:AZ12">
    <cfRule type="cellIs" dxfId="298" priority="3853" operator="equal">
      <formula>0</formula>
    </cfRule>
  </conditionalFormatting>
  <conditionalFormatting sqref="AZ13:AZ14">
    <cfRule type="cellIs" dxfId="297" priority="3669" operator="equal">
      <formula>0</formula>
    </cfRule>
  </conditionalFormatting>
  <conditionalFormatting sqref="AZ15:AZ34">
    <cfRule type="cellIs" dxfId="296" priority="2395" operator="equal">
      <formula>0</formula>
    </cfRule>
  </conditionalFormatting>
  <conditionalFormatting sqref="AZ35:AZ36">
    <cfRule type="cellIs" dxfId="295" priority="2394" operator="equal">
      <formula>0</formula>
    </cfRule>
  </conditionalFormatting>
  <conditionalFormatting sqref="AZ37:AZ46">
    <cfRule type="cellIs" dxfId="294" priority="2393" operator="equal">
      <formula>0</formula>
    </cfRule>
  </conditionalFormatting>
  <conditionalFormatting sqref="AZ47:AZ48">
    <cfRule type="cellIs" dxfId="293" priority="2391" operator="equal">
      <formula>0</formula>
    </cfRule>
  </conditionalFormatting>
  <conditionalFormatting sqref="AZ77:AZ78">
    <cfRule type="cellIs" dxfId="292" priority="2387" operator="equal">
      <formula>0</formula>
    </cfRule>
  </conditionalFormatting>
  <conditionalFormatting sqref="AZ79:AZ92">
    <cfRule type="cellIs" dxfId="291" priority="2390" operator="equal">
      <formula>0</formula>
    </cfRule>
  </conditionalFormatting>
  <conditionalFormatting sqref="AZ93:AZ94">
    <cfRule type="cellIs" dxfId="290" priority="2386" operator="equal">
      <formula>0</formula>
    </cfRule>
  </conditionalFormatting>
  <conditionalFormatting sqref="AZ95:AZ112">
    <cfRule type="cellIs" dxfId="289" priority="2389" operator="equal">
      <formula>0</formula>
    </cfRule>
  </conditionalFormatting>
  <conditionalFormatting sqref="AZ113:AZ114">
    <cfRule type="cellIs" dxfId="288" priority="2385" operator="equal">
      <formula>0</formula>
    </cfRule>
  </conditionalFormatting>
  <conditionalFormatting sqref="AZ115:AZ118">
    <cfRule type="cellIs" dxfId="287" priority="2388" operator="equal">
      <formula>0</formula>
    </cfRule>
  </conditionalFormatting>
  <conditionalFormatting sqref="AZ119:AZ120">
    <cfRule type="cellIs" dxfId="286" priority="2384" operator="equal">
      <formula>0</formula>
    </cfRule>
  </conditionalFormatting>
  <conditionalFormatting sqref="AZ140:AZ143">
    <cfRule type="cellIs" dxfId="285" priority="2356" operator="equal">
      <formula>0</formula>
    </cfRule>
  </conditionalFormatting>
  <conditionalFormatting sqref="AZ144:AZ149">
    <cfRule type="cellIs" dxfId="284" priority="2348" operator="equal">
      <formula>0</formula>
    </cfRule>
  </conditionalFormatting>
  <conditionalFormatting sqref="AZ150:AZ151">
    <cfRule type="cellIs" dxfId="283" priority="2355" operator="equal">
      <formula>0</formula>
    </cfRule>
  </conditionalFormatting>
  <conditionalFormatting sqref="AZ152:AZ157">
    <cfRule type="cellIs" dxfId="282" priority="2347" operator="equal">
      <formula>0</formula>
    </cfRule>
  </conditionalFormatting>
  <conditionalFormatting sqref="AZ158:AZ159">
    <cfRule type="cellIs" dxfId="281" priority="2354" operator="equal">
      <formula>0</formula>
    </cfRule>
  </conditionalFormatting>
  <conditionalFormatting sqref="AZ160:AZ167">
    <cfRule type="cellIs" dxfId="280" priority="2346" operator="equal">
      <formula>0</formula>
    </cfRule>
  </conditionalFormatting>
  <conditionalFormatting sqref="AZ168:AZ169">
    <cfRule type="cellIs" dxfId="279" priority="2353" operator="equal">
      <formula>0</formula>
    </cfRule>
  </conditionalFormatting>
  <conditionalFormatting sqref="AZ170:AZ179">
    <cfRule type="cellIs" dxfId="278" priority="2345" operator="equal">
      <formula>0</formula>
    </cfRule>
  </conditionalFormatting>
  <conditionalFormatting sqref="AZ180:AZ183">
    <cfRule type="cellIs" dxfId="277" priority="2352" operator="equal">
      <formula>0</formula>
    </cfRule>
  </conditionalFormatting>
  <conditionalFormatting sqref="AZ184:AZ191">
    <cfRule type="cellIs" dxfId="276" priority="2344" operator="equal">
      <formula>0</formula>
    </cfRule>
  </conditionalFormatting>
  <conditionalFormatting sqref="AZ192:AZ193">
    <cfRule type="cellIs" dxfId="275" priority="2351" operator="equal">
      <formula>0</formula>
    </cfRule>
  </conditionalFormatting>
  <conditionalFormatting sqref="AZ194:AZ199">
    <cfRule type="cellIs" dxfId="274" priority="2343" operator="equal">
      <formula>0</formula>
    </cfRule>
  </conditionalFormatting>
  <conditionalFormatting sqref="AZ200:AZ201">
    <cfRule type="cellIs" dxfId="273" priority="2350" operator="equal">
      <formula>0</formula>
    </cfRule>
  </conditionalFormatting>
  <conditionalFormatting sqref="AZ202:AZ209">
    <cfRule type="cellIs" dxfId="272" priority="2342" operator="equal">
      <formula>0</formula>
    </cfRule>
  </conditionalFormatting>
  <conditionalFormatting sqref="AZ210:AZ211">
    <cfRule type="cellIs" dxfId="271" priority="2349" operator="equal">
      <formula>0</formula>
    </cfRule>
  </conditionalFormatting>
  <conditionalFormatting sqref="AZ233:AZ234">
    <cfRule type="cellIs" dxfId="270" priority="2383" operator="equal">
      <formula>0</formula>
    </cfRule>
  </conditionalFormatting>
  <conditionalFormatting sqref="AZ235:AZ277">
    <cfRule type="cellIs" dxfId="269" priority="2341" operator="equal">
      <formula>0</formula>
    </cfRule>
  </conditionalFormatting>
  <conditionalFormatting sqref="AZ278:AZ279">
    <cfRule type="cellIs" dxfId="268" priority="2382" operator="equal">
      <formula>0</formula>
    </cfRule>
  </conditionalFormatting>
  <conditionalFormatting sqref="AZ280:AZ298">
    <cfRule type="cellIs" dxfId="267" priority="1211" operator="equal">
      <formula>0</formula>
    </cfRule>
  </conditionalFormatting>
  <conditionalFormatting sqref="AZ299:AZ300">
    <cfRule type="cellIs" dxfId="266" priority="2381" operator="equal">
      <formula>0</formula>
    </cfRule>
  </conditionalFormatting>
  <conditionalFormatting sqref="AZ304:AZ305">
    <cfRule type="cellIs" dxfId="265" priority="158" operator="equal">
      <formula>0</formula>
    </cfRule>
  </conditionalFormatting>
  <conditionalFormatting sqref="AZ314:AZ315">
    <cfRule type="cellIs" dxfId="264" priority="2380" operator="equal">
      <formula>0</formula>
    </cfRule>
  </conditionalFormatting>
  <conditionalFormatting sqref="AZ316:AZ321">
    <cfRule type="cellIs" dxfId="263" priority="2311" operator="equal">
      <formula>0</formula>
    </cfRule>
  </conditionalFormatting>
  <conditionalFormatting sqref="AZ322:AZ323">
    <cfRule type="cellIs" dxfId="262" priority="2379" operator="equal">
      <formula>0</formula>
    </cfRule>
  </conditionalFormatting>
  <conditionalFormatting sqref="AZ324:AZ331">
    <cfRule type="cellIs" dxfId="261" priority="2310" operator="equal">
      <formula>0</formula>
    </cfRule>
  </conditionalFormatting>
  <conditionalFormatting sqref="AZ332:AZ333">
    <cfRule type="cellIs" dxfId="260" priority="2378" operator="equal">
      <formula>0</formula>
    </cfRule>
  </conditionalFormatting>
  <conditionalFormatting sqref="AZ334:AZ339">
    <cfRule type="cellIs" dxfId="259" priority="2309" operator="equal">
      <formula>0</formula>
    </cfRule>
  </conditionalFormatting>
  <conditionalFormatting sqref="AZ340:AZ341">
    <cfRule type="cellIs" dxfId="258" priority="2377" operator="equal">
      <formula>0</formula>
    </cfRule>
  </conditionalFormatting>
  <conditionalFormatting sqref="AZ342:AZ373">
    <cfRule type="cellIs" dxfId="257" priority="1349" operator="equal">
      <formula>0</formula>
    </cfRule>
  </conditionalFormatting>
  <conditionalFormatting sqref="AZ374:AZ375">
    <cfRule type="cellIs" dxfId="256" priority="1345" operator="equal">
      <formula>0</formula>
    </cfRule>
  </conditionalFormatting>
  <conditionalFormatting sqref="AZ376:AZ377">
    <cfRule type="cellIs" dxfId="255" priority="1348" operator="equal">
      <formula>0</formula>
    </cfRule>
  </conditionalFormatting>
  <conditionalFormatting sqref="AZ378:AZ379">
    <cfRule type="cellIs" dxfId="254" priority="1344" operator="equal">
      <formula>0</formula>
    </cfRule>
  </conditionalFormatting>
  <conditionalFormatting sqref="AZ380:AZ381">
    <cfRule type="cellIs" dxfId="253" priority="1347" operator="equal">
      <formula>0</formula>
    </cfRule>
  </conditionalFormatting>
  <conditionalFormatting sqref="AZ382:AZ383">
    <cfRule type="cellIs" dxfId="252" priority="1343" operator="equal">
      <formula>0</formula>
    </cfRule>
  </conditionalFormatting>
  <conditionalFormatting sqref="AZ384:AZ385">
    <cfRule type="cellIs" dxfId="251" priority="1346" operator="equal">
      <formula>0</formula>
    </cfRule>
  </conditionalFormatting>
  <conditionalFormatting sqref="AZ386:AZ387">
    <cfRule type="cellIs" dxfId="250" priority="1291" operator="equal">
      <formula>0</formula>
    </cfRule>
  </conditionalFormatting>
  <conditionalFormatting sqref="AZ388:AZ391">
    <cfRule type="cellIs" dxfId="249" priority="1290" operator="equal">
      <formula>0</formula>
    </cfRule>
  </conditionalFormatting>
  <conditionalFormatting sqref="AZ393:AZ396">
    <cfRule type="cellIs" dxfId="248" priority="2376" operator="equal">
      <formula>0</formula>
    </cfRule>
  </conditionalFormatting>
  <conditionalFormatting sqref="AZ405:AZ406">
    <cfRule type="cellIs" dxfId="247" priority="1741" operator="equal">
      <formula>0</formula>
    </cfRule>
  </conditionalFormatting>
  <conditionalFormatting sqref="AZ407:AZ410 AZ413:AZ416">
    <cfRule type="cellIs" dxfId="246" priority="1740" operator="equal">
      <formula>0</formula>
    </cfRule>
  </conditionalFormatting>
  <conditionalFormatting sqref="AZ411:AZ412">
    <cfRule type="cellIs" dxfId="245" priority="1243" operator="equal">
      <formula>0</formula>
    </cfRule>
  </conditionalFormatting>
  <conditionalFormatting sqref="AZ417:AZ418">
    <cfRule type="cellIs" dxfId="244" priority="2375" operator="equal">
      <formula>0</formula>
    </cfRule>
  </conditionalFormatting>
  <conditionalFormatting sqref="AZ419:AZ424">
    <cfRule type="cellIs" dxfId="243" priority="2214" operator="equal">
      <formula>0</formula>
    </cfRule>
  </conditionalFormatting>
  <conditionalFormatting sqref="AZ425:AZ426">
    <cfRule type="cellIs" dxfId="242" priority="183" operator="equal">
      <formula>0</formula>
    </cfRule>
  </conditionalFormatting>
  <conditionalFormatting sqref="AZ428:AZ433">
    <cfRule type="cellIs" dxfId="241" priority="2374" operator="equal">
      <formula>0</formula>
    </cfRule>
  </conditionalFormatting>
  <conditionalFormatting sqref="AZ434:AZ459">
    <cfRule type="cellIs" dxfId="240" priority="1210" operator="equal">
      <formula>0</formula>
    </cfRule>
  </conditionalFormatting>
  <conditionalFormatting sqref="AZ460:AZ461">
    <cfRule type="cellIs" dxfId="239" priority="2373" operator="equal">
      <formula>0</formula>
    </cfRule>
  </conditionalFormatting>
  <conditionalFormatting sqref="AZ462:AZ487">
    <cfRule type="cellIs" dxfId="238" priority="396" operator="equal">
      <formula>0</formula>
    </cfRule>
  </conditionalFormatting>
  <conditionalFormatting sqref="AZ488:AZ489">
    <cfRule type="cellIs" dxfId="237" priority="2041" operator="equal">
      <formula>0</formula>
    </cfRule>
  </conditionalFormatting>
  <conditionalFormatting sqref="AZ490:AZ501">
    <cfRule type="cellIs" dxfId="236" priority="2061" operator="equal">
      <formula>0</formula>
    </cfRule>
  </conditionalFormatting>
  <conditionalFormatting sqref="AZ502:AZ503">
    <cfRule type="cellIs" dxfId="235" priority="1557" operator="equal">
      <formula>0</formula>
    </cfRule>
  </conditionalFormatting>
  <conditionalFormatting sqref="AZ504:AZ529">
    <cfRule type="cellIs" dxfId="234" priority="1209" operator="equal">
      <formula>0</formula>
    </cfRule>
  </conditionalFormatting>
  <conditionalFormatting sqref="AZ530:AZ531">
    <cfRule type="cellIs" dxfId="233" priority="1648" operator="equal">
      <formula>0</formula>
    </cfRule>
  </conditionalFormatting>
  <conditionalFormatting sqref="AZ532:AZ587">
    <cfRule type="cellIs" dxfId="232" priority="1208" operator="equal">
      <formula>0</formula>
    </cfRule>
  </conditionalFormatting>
  <conditionalFormatting sqref="AZ588:AZ589">
    <cfRule type="cellIs" dxfId="231" priority="2176" operator="equal">
      <formula>0</formula>
    </cfRule>
  </conditionalFormatting>
  <conditionalFormatting sqref="AZ591:AZ596">
    <cfRule type="cellIs" dxfId="230" priority="2372" operator="equal">
      <formula>0</formula>
    </cfRule>
  </conditionalFormatting>
  <conditionalFormatting sqref="AZ597:AZ616">
    <cfRule type="cellIs" dxfId="229" priority="398" operator="equal">
      <formula>0</formula>
    </cfRule>
  </conditionalFormatting>
  <conditionalFormatting sqref="AZ617:AZ618">
    <cfRule type="cellIs" dxfId="228" priority="120" operator="equal">
      <formula>0</formula>
    </cfRule>
  </conditionalFormatting>
  <conditionalFormatting sqref="AZ619:AZ620">
    <cfRule type="cellIs" dxfId="227" priority="110" operator="equal">
      <formula>0</formula>
    </cfRule>
  </conditionalFormatting>
  <conditionalFormatting sqref="AZ621:AZ622">
    <cfRule type="cellIs" dxfId="226" priority="1522" operator="equal">
      <formula>0</formula>
    </cfRule>
  </conditionalFormatting>
  <conditionalFormatting sqref="AZ623:AZ626">
    <cfRule type="cellIs" dxfId="225" priority="18" operator="equal">
      <formula>0</formula>
    </cfRule>
  </conditionalFormatting>
  <conditionalFormatting sqref="BA9">
    <cfRule type="iconSet" priority="3848">
      <iconSet iconSet="3Arrows">
        <cfvo type="percent" val="0"/>
        <cfvo type="num" val="0.7"/>
        <cfvo type="num" val="1"/>
      </iconSet>
    </cfRule>
    <cfRule type="dataBar" priority="3849">
      <dataBar>
        <cfvo type="num" val="0"/>
        <cfvo type="num" val="1"/>
        <color theme="4" tint="0.79998168889431442"/>
      </dataBar>
      <extLst>
        <ext xmlns:x14="http://schemas.microsoft.com/office/spreadsheetml/2009/9/main" uri="{B025F937-C7B1-47D3-B67F-A62EFF666E3E}">
          <x14:id>{6057EAF0-A16C-4702-8CDF-6D56F9DFB53B}</x14:id>
        </ext>
      </extLst>
    </cfRule>
  </conditionalFormatting>
  <conditionalFormatting sqref="BA13">
    <cfRule type="iconSet" priority="3850">
      <iconSet iconSet="3Arrows">
        <cfvo type="percent" val="0"/>
        <cfvo type="num" val="0.7"/>
        <cfvo type="num" val="1"/>
      </iconSet>
    </cfRule>
    <cfRule type="dataBar" priority="3851">
      <dataBar>
        <cfvo type="num" val="0"/>
        <cfvo type="num" val="1"/>
        <color theme="4" tint="0.79998168889431442"/>
      </dataBar>
      <extLst>
        <ext xmlns:x14="http://schemas.microsoft.com/office/spreadsheetml/2009/9/main" uri="{B025F937-C7B1-47D3-B67F-A62EFF666E3E}">
          <x14:id>{F2EFDD44-CE0A-43C4-9764-CAAEB5397877}</x14:id>
        </ext>
      </extLst>
    </cfRule>
  </conditionalFormatting>
  <conditionalFormatting sqref="BA15">
    <cfRule type="iconSet" priority="3601">
      <iconSet iconSet="3Arrows">
        <cfvo type="percent" val="0"/>
        <cfvo type="num" val="0.7"/>
        <cfvo type="num" val="1"/>
      </iconSet>
    </cfRule>
    <cfRule type="dataBar" priority="3602">
      <dataBar>
        <cfvo type="num" val="0"/>
        <cfvo type="num" val="1"/>
        <color theme="4" tint="0.79998168889431442"/>
      </dataBar>
      <extLst>
        <ext xmlns:x14="http://schemas.microsoft.com/office/spreadsheetml/2009/9/main" uri="{B025F937-C7B1-47D3-B67F-A62EFF666E3E}">
          <x14:id>{5A451159-FBDD-44EA-961E-899414C9E271}</x14:id>
        </ext>
      </extLst>
    </cfRule>
  </conditionalFormatting>
  <conditionalFormatting sqref="BA17">
    <cfRule type="iconSet" priority="3587">
      <iconSet iconSet="3Arrows">
        <cfvo type="percent" val="0"/>
        <cfvo type="num" val="0.7"/>
        <cfvo type="num" val="1"/>
      </iconSet>
    </cfRule>
    <cfRule type="dataBar" priority="3588">
      <dataBar>
        <cfvo type="num" val="0"/>
        <cfvo type="num" val="1"/>
        <color theme="4" tint="0.79998168889431442"/>
      </dataBar>
      <extLst>
        <ext xmlns:x14="http://schemas.microsoft.com/office/spreadsheetml/2009/9/main" uri="{B025F937-C7B1-47D3-B67F-A62EFF666E3E}">
          <x14:id>{4C2FD900-2E0E-41B5-BCBA-C3A1EAEF5DCC}</x14:id>
        </ext>
      </extLst>
    </cfRule>
  </conditionalFormatting>
  <conditionalFormatting sqref="BA19">
    <cfRule type="iconSet" priority="3573">
      <iconSet iconSet="3Arrows">
        <cfvo type="percent" val="0"/>
        <cfvo type="num" val="0.7"/>
        <cfvo type="num" val="1"/>
      </iconSet>
    </cfRule>
    <cfRule type="dataBar" priority="3574">
      <dataBar>
        <cfvo type="num" val="0"/>
        <cfvo type="num" val="1"/>
        <color theme="4" tint="0.79998168889431442"/>
      </dataBar>
      <extLst>
        <ext xmlns:x14="http://schemas.microsoft.com/office/spreadsheetml/2009/9/main" uri="{B025F937-C7B1-47D3-B67F-A62EFF666E3E}">
          <x14:id>{08EE0ABC-F507-4C5A-ABAA-4A97EFBD4F65}</x14:id>
        </ext>
      </extLst>
    </cfRule>
  </conditionalFormatting>
  <conditionalFormatting sqref="BA21">
    <cfRule type="iconSet" priority="3554">
      <iconSet iconSet="3Arrows">
        <cfvo type="percent" val="0"/>
        <cfvo type="num" val="0.7"/>
        <cfvo type="num" val="1"/>
      </iconSet>
    </cfRule>
    <cfRule type="dataBar" priority="3555">
      <dataBar>
        <cfvo type="num" val="0"/>
        <cfvo type="num" val="1"/>
        <color theme="4" tint="0.79998168889431442"/>
      </dataBar>
      <extLst>
        <ext xmlns:x14="http://schemas.microsoft.com/office/spreadsheetml/2009/9/main" uri="{B025F937-C7B1-47D3-B67F-A62EFF666E3E}">
          <x14:id>{08E7D887-9D5D-48B4-839C-E3FBCA840BA1}</x14:id>
        </ext>
      </extLst>
    </cfRule>
  </conditionalFormatting>
  <conditionalFormatting sqref="BA23">
    <cfRule type="iconSet" priority="3846">
      <iconSet iconSet="3Arrows">
        <cfvo type="percent" val="0"/>
        <cfvo type="num" val="0.7"/>
        <cfvo type="num" val="1"/>
      </iconSet>
    </cfRule>
    <cfRule type="dataBar" priority="3847">
      <dataBar>
        <cfvo type="num" val="0"/>
        <cfvo type="num" val="1"/>
        <color theme="4" tint="0.79998168889431442"/>
      </dataBar>
      <extLst>
        <ext xmlns:x14="http://schemas.microsoft.com/office/spreadsheetml/2009/9/main" uri="{B025F937-C7B1-47D3-B67F-A62EFF666E3E}">
          <x14:id>{36ABCAA7-BD10-4A89-9CB8-CAE5D37B12F0}</x14:id>
        </ext>
      </extLst>
    </cfRule>
  </conditionalFormatting>
  <conditionalFormatting sqref="BA25">
    <cfRule type="iconSet" priority="3787">
      <iconSet iconSet="3Arrows">
        <cfvo type="percent" val="0"/>
        <cfvo type="num" val="0.7"/>
        <cfvo type="num" val="1"/>
      </iconSet>
    </cfRule>
    <cfRule type="dataBar" priority="3788">
      <dataBar>
        <cfvo type="num" val="0"/>
        <cfvo type="num" val="1"/>
        <color theme="4" tint="0.79998168889431442"/>
      </dataBar>
      <extLst>
        <ext xmlns:x14="http://schemas.microsoft.com/office/spreadsheetml/2009/9/main" uri="{B025F937-C7B1-47D3-B67F-A62EFF666E3E}">
          <x14:id>{3B1D871C-9499-4BDD-A587-DF24447FA213}</x14:id>
        </ext>
      </extLst>
    </cfRule>
  </conditionalFormatting>
  <conditionalFormatting sqref="BA27">
    <cfRule type="iconSet" priority="2931">
      <iconSet iconSet="3Arrows">
        <cfvo type="percent" val="0"/>
        <cfvo type="num" val="0.7"/>
        <cfvo type="num" val="1"/>
      </iconSet>
    </cfRule>
    <cfRule type="dataBar" priority="2932">
      <dataBar>
        <cfvo type="num" val="0"/>
        <cfvo type="num" val="1"/>
        <color theme="4" tint="0.79998168889431442"/>
      </dataBar>
      <extLst>
        <ext xmlns:x14="http://schemas.microsoft.com/office/spreadsheetml/2009/9/main" uri="{B025F937-C7B1-47D3-B67F-A62EFF666E3E}">
          <x14:id>{2D8B19C0-B811-4B80-9D79-636386C74A08}</x14:id>
        </ext>
      </extLst>
    </cfRule>
  </conditionalFormatting>
  <conditionalFormatting sqref="BA29">
    <cfRule type="iconSet" priority="2917">
      <iconSet iconSet="3Arrows">
        <cfvo type="percent" val="0"/>
        <cfvo type="num" val="0.7"/>
        <cfvo type="num" val="1"/>
      </iconSet>
    </cfRule>
    <cfRule type="dataBar" priority="2918">
      <dataBar>
        <cfvo type="num" val="0"/>
        <cfvo type="num" val="1"/>
        <color theme="4" tint="0.79998168889431442"/>
      </dataBar>
      <extLst>
        <ext xmlns:x14="http://schemas.microsoft.com/office/spreadsheetml/2009/9/main" uri="{B025F937-C7B1-47D3-B67F-A62EFF666E3E}">
          <x14:id>{93B2CFE8-0820-4077-B60D-60B38FCE17E4}</x14:id>
        </ext>
      </extLst>
    </cfRule>
  </conditionalFormatting>
  <conditionalFormatting sqref="BA31">
    <cfRule type="iconSet" priority="3800">
      <iconSet iconSet="3Arrows">
        <cfvo type="percent" val="0"/>
        <cfvo type="num" val="0.7"/>
        <cfvo type="num" val="1"/>
      </iconSet>
    </cfRule>
    <cfRule type="dataBar" priority="3801">
      <dataBar>
        <cfvo type="num" val="0"/>
        <cfvo type="num" val="1"/>
        <color theme="4" tint="0.79998168889431442"/>
      </dataBar>
      <extLst>
        <ext xmlns:x14="http://schemas.microsoft.com/office/spreadsheetml/2009/9/main" uri="{B025F937-C7B1-47D3-B67F-A62EFF666E3E}">
          <x14:id>{C379D453-D367-4CF8-85F6-931A91C30BFF}</x14:id>
        </ext>
      </extLst>
    </cfRule>
  </conditionalFormatting>
  <conditionalFormatting sqref="BA35">
    <cfRule type="iconSet" priority="3743">
      <iconSet iconSet="3Arrows">
        <cfvo type="percent" val="0"/>
        <cfvo type="num" val="0.7"/>
        <cfvo type="num" val="1"/>
      </iconSet>
    </cfRule>
    <cfRule type="dataBar" priority="3744">
      <dataBar>
        <cfvo type="num" val="0"/>
        <cfvo type="num" val="1"/>
        <color theme="4" tint="0.79998168889431442"/>
      </dataBar>
      <extLst>
        <ext xmlns:x14="http://schemas.microsoft.com/office/spreadsheetml/2009/9/main" uri="{B025F937-C7B1-47D3-B67F-A62EFF666E3E}">
          <x14:id>{65BD5546-661B-487C-A0FD-41785198746B}</x14:id>
        </ext>
      </extLst>
    </cfRule>
  </conditionalFormatting>
  <conditionalFormatting sqref="BA37">
    <cfRule type="iconSet" priority="3504">
      <iconSet iconSet="3Arrows">
        <cfvo type="percent" val="0"/>
        <cfvo type="num" val="0.7"/>
        <cfvo type="num" val="1"/>
      </iconSet>
    </cfRule>
    <cfRule type="dataBar" priority="3505">
      <dataBar>
        <cfvo type="num" val="0"/>
        <cfvo type="num" val="1"/>
        <color theme="4" tint="0.79998168889431442"/>
      </dataBar>
      <extLst>
        <ext xmlns:x14="http://schemas.microsoft.com/office/spreadsheetml/2009/9/main" uri="{B025F937-C7B1-47D3-B67F-A62EFF666E3E}">
          <x14:id>{7AEF19E9-AF09-4254-A484-2019763502E4}</x14:id>
        </ext>
      </extLst>
    </cfRule>
  </conditionalFormatting>
  <conditionalFormatting sqref="BA39">
    <cfRule type="iconSet" priority="3518">
      <iconSet iconSet="3Arrows">
        <cfvo type="percent" val="0"/>
        <cfvo type="num" val="0.7"/>
        <cfvo type="num" val="1"/>
      </iconSet>
    </cfRule>
    <cfRule type="dataBar" priority="3519">
      <dataBar>
        <cfvo type="num" val="0"/>
        <cfvo type="num" val="1"/>
        <color theme="4" tint="0.79998168889431442"/>
      </dataBar>
      <extLst>
        <ext xmlns:x14="http://schemas.microsoft.com/office/spreadsheetml/2009/9/main" uri="{B025F937-C7B1-47D3-B67F-A62EFF666E3E}">
          <x14:id>{D14541E7-49A0-4735-8F10-9BF4AF730E64}</x14:id>
        </ext>
      </extLst>
    </cfRule>
  </conditionalFormatting>
  <conditionalFormatting sqref="BA41">
    <cfRule type="iconSet" priority="3532">
      <iconSet iconSet="3Arrows">
        <cfvo type="percent" val="0"/>
        <cfvo type="num" val="0.7"/>
        <cfvo type="num" val="1"/>
      </iconSet>
    </cfRule>
    <cfRule type="dataBar" priority="3533">
      <dataBar>
        <cfvo type="num" val="0"/>
        <cfvo type="num" val="1"/>
        <color theme="4" tint="0.79998168889431442"/>
      </dataBar>
      <extLst>
        <ext xmlns:x14="http://schemas.microsoft.com/office/spreadsheetml/2009/9/main" uri="{B025F937-C7B1-47D3-B67F-A62EFF666E3E}">
          <x14:id>{F2FBBFEA-C5F3-4E09-82B4-2070E5BEEC0B}</x14:id>
        </ext>
      </extLst>
    </cfRule>
  </conditionalFormatting>
  <conditionalFormatting sqref="BA43">
    <cfRule type="iconSet" priority="3745">
      <iconSet iconSet="3Arrows">
        <cfvo type="percent" val="0"/>
        <cfvo type="num" val="0.7"/>
        <cfvo type="num" val="1"/>
      </iconSet>
    </cfRule>
    <cfRule type="dataBar" priority="3746">
      <dataBar>
        <cfvo type="num" val="0"/>
        <cfvo type="num" val="1"/>
        <color theme="4" tint="0.79998168889431442"/>
      </dataBar>
      <extLst>
        <ext xmlns:x14="http://schemas.microsoft.com/office/spreadsheetml/2009/9/main" uri="{B025F937-C7B1-47D3-B67F-A62EFF666E3E}">
          <x14:id>{C77D70B1-9369-4B93-A6EC-2215DCAFF599}</x14:id>
        </ext>
      </extLst>
    </cfRule>
  </conditionalFormatting>
  <conditionalFormatting sqref="BA47">
    <cfRule type="iconSet" priority="3844">
      <iconSet iconSet="3Arrows">
        <cfvo type="percent" val="0"/>
        <cfvo type="num" val="0.7"/>
        <cfvo type="num" val="1"/>
      </iconSet>
    </cfRule>
    <cfRule type="dataBar" priority="3845">
      <dataBar>
        <cfvo type="num" val="0"/>
        <cfvo type="num" val="1"/>
        <color theme="4" tint="0.79998168889431442"/>
      </dataBar>
      <extLst>
        <ext xmlns:x14="http://schemas.microsoft.com/office/spreadsheetml/2009/9/main" uri="{B025F937-C7B1-47D3-B67F-A62EFF666E3E}">
          <x14:id>{122E5BC2-6902-4C8D-B527-A4DAB793F812}</x14:id>
        </ext>
      </extLst>
    </cfRule>
  </conditionalFormatting>
  <conditionalFormatting sqref="BA49">
    <cfRule type="iconSet" priority="3741">
      <iconSet iconSet="3Arrows">
        <cfvo type="percent" val="0"/>
        <cfvo type="num" val="0.7"/>
        <cfvo type="num" val="1"/>
      </iconSet>
    </cfRule>
    <cfRule type="dataBar" priority="3742">
      <dataBar>
        <cfvo type="num" val="0"/>
        <cfvo type="num" val="1"/>
        <color theme="4" tint="0.79998168889431442"/>
      </dataBar>
      <extLst>
        <ext xmlns:x14="http://schemas.microsoft.com/office/spreadsheetml/2009/9/main" uri="{B025F937-C7B1-47D3-B67F-A62EFF666E3E}">
          <x14:id>{4BD22A99-FE24-4249-B5EF-82A2FAF7FEFB}</x14:id>
        </ext>
      </extLst>
    </cfRule>
  </conditionalFormatting>
  <conditionalFormatting sqref="BA51">
    <cfRule type="iconSet" priority="2903">
      <iconSet iconSet="3Arrows">
        <cfvo type="percent" val="0"/>
        <cfvo type="num" val="0.7"/>
        <cfvo type="num" val="1"/>
      </iconSet>
    </cfRule>
    <cfRule type="dataBar" priority="2904">
      <dataBar>
        <cfvo type="num" val="0"/>
        <cfvo type="num" val="1"/>
        <color theme="4" tint="0.79998168889431442"/>
      </dataBar>
      <extLst>
        <ext xmlns:x14="http://schemas.microsoft.com/office/spreadsheetml/2009/9/main" uri="{B025F937-C7B1-47D3-B67F-A62EFF666E3E}">
          <x14:id>{372997F4-112B-4AE1-BA75-55F0CFA6E08C}</x14:id>
        </ext>
      </extLst>
    </cfRule>
  </conditionalFormatting>
  <conditionalFormatting sqref="BA53">
    <cfRule type="iconSet" priority="3663">
      <iconSet iconSet="3Arrows">
        <cfvo type="percent" val="0"/>
        <cfvo type="num" val="0.7"/>
        <cfvo type="num" val="1"/>
      </iconSet>
    </cfRule>
    <cfRule type="dataBar" priority="3664">
      <dataBar>
        <cfvo type="num" val="0"/>
        <cfvo type="num" val="1"/>
        <color theme="4" tint="0.79998168889431442"/>
      </dataBar>
      <extLst>
        <ext xmlns:x14="http://schemas.microsoft.com/office/spreadsheetml/2009/9/main" uri="{B025F937-C7B1-47D3-B67F-A62EFF666E3E}">
          <x14:id>{EC747471-7DC3-42BD-88E3-063B3BB6E0BB}</x14:id>
        </ext>
      </extLst>
    </cfRule>
  </conditionalFormatting>
  <conditionalFormatting sqref="BA55">
    <cfRule type="iconSet" priority="3490">
      <iconSet iconSet="3Arrows">
        <cfvo type="percent" val="0"/>
        <cfvo type="num" val="0.7"/>
        <cfvo type="num" val="1"/>
      </iconSet>
    </cfRule>
    <cfRule type="dataBar" priority="3491">
      <dataBar>
        <cfvo type="num" val="0"/>
        <cfvo type="num" val="1"/>
        <color theme="4" tint="0.79998168889431442"/>
      </dataBar>
      <extLst>
        <ext xmlns:x14="http://schemas.microsoft.com/office/spreadsheetml/2009/9/main" uri="{B025F937-C7B1-47D3-B67F-A62EFF666E3E}">
          <x14:id>{99BB46B3-4992-4321-9635-376585A4821C}</x14:id>
        </ext>
      </extLst>
    </cfRule>
  </conditionalFormatting>
  <conditionalFormatting sqref="BA57">
    <cfRule type="iconSet" priority="2889">
      <iconSet iconSet="3Arrows">
        <cfvo type="percent" val="0"/>
        <cfvo type="num" val="0.7"/>
        <cfvo type="num" val="1"/>
      </iconSet>
    </cfRule>
    <cfRule type="dataBar" priority="2890">
      <dataBar>
        <cfvo type="num" val="0"/>
        <cfvo type="num" val="1"/>
        <color theme="4" tint="0.79998168889431442"/>
      </dataBar>
      <extLst>
        <ext xmlns:x14="http://schemas.microsoft.com/office/spreadsheetml/2009/9/main" uri="{B025F937-C7B1-47D3-B67F-A62EFF666E3E}">
          <x14:id>{FBA957CB-613E-4032-8471-1E52F8205A20}</x14:id>
        </ext>
      </extLst>
    </cfRule>
  </conditionalFormatting>
  <conditionalFormatting sqref="BA59">
    <cfRule type="iconSet" priority="2875">
      <iconSet iconSet="3Arrows">
        <cfvo type="percent" val="0"/>
        <cfvo type="num" val="0.7"/>
        <cfvo type="num" val="1"/>
      </iconSet>
    </cfRule>
    <cfRule type="dataBar" priority="2876">
      <dataBar>
        <cfvo type="num" val="0"/>
        <cfvo type="num" val="1"/>
        <color theme="4" tint="0.79998168889431442"/>
      </dataBar>
      <extLst>
        <ext xmlns:x14="http://schemas.microsoft.com/office/spreadsheetml/2009/9/main" uri="{B025F937-C7B1-47D3-B67F-A62EFF666E3E}">
          <x14:id>{3548C78B-A694-44F6-82CC-D7115F494BFB}</x14:id>
        </ext>
      </extLst>
    </cfRule>
  </conditionalFormatting>
  <conditionalFormatting sqref="BA61">
    <cfRule type="iconSet" priority="1469">
      <iconSet iconSet="3Arrows">
        <cfvo type="percent" val="0"/>
        <cfvo type="num" val="0.7"/>
        <cfvo type="num" val="1"/>
      </iconSet>
    </cfRule>
    <cfRule type="dataBar" priority="1470">
      <dataBar>
        <cfvo type="num" val="0"/>
        <cfvo type="num" val="1"/>
        <color theme="4" tint="0.79998168889431442"/>
      </dataBar>
      <extLst>
        <ext xmlns:x14="http://schemas.microsoft.com/office/spreadsheetml/2009/9/main" uri="{B025F937-C7B1-47D3-B67F-A62EFF666E3E}">
          <x14:id>{49094E03-B942-479C-A64D-0DB002867EAF}</x14:id>
        </ext>
      </extLst>
    </cfRule>
  </conditionalFormatting>
  <conditionalFormatting sqref="BA63">
    <cfRule type="iconSet" priority="2455">
      <iconSet iconSet="3Arrows">
        <cfvo type="percent" val="0"/>
        <cfvo type="num" val="0.7"/>
        <cfvo type="num" val="1"/>
      </iconSet>
    </cfRule>
    <cfRule type="dataBar" priority="2456">
      <dataBar>
        <cfvo type="num" val="0"/>
        <cfvo type="num" val="1"/>
        <color theme="4" tint="0.79998168889431442"/>
      </dataBar>
      <extLst>
        <ext xmlns:x14="http://schemas.microsoft.com/office/spreadsheetml/2009/9/main" uri="{B025F937-C7B1-47D3-B67F-A62EFF666E3E}">
          <x14:id>{CD71D673-EEED-4E38-8D90-0BC8E53E1A34}</x14:id>
        </ext>
      </extLst>
    </cfRule>
  </conditionalFormatting>
  <conditionalFormatting sqref="BA65">
    <cfRule type="iconSet" priority="2861">
      <iconSet iconSet="3Arrows">
        <cfvo type="percent" val="0"/>
        <cfvo type="num" val="0.7"/>
        <cfvo type="num" val="1"/>
      </iconSet>
    </cfRule>
    <cfRule type="dataBar" priority="2862">
      <dataBar>
        <cfvo type="num" val="0"/>
        <cfvo type="num" val="1"/>
        <color theme="4" tint="0.79998168889431442"/>
      </dataBar>
      <extLst>
        <ext xmlns:x14="http://schemas.microsoft.com/office/spreadsheetml/2009/9/main" uri="{B025F937-C7B1-47D3-B67F-A62EFF666E3E}">
          <x14:id>{51D8964A-F781-4961-B33B-FF61896A8171}</x14:id>
        </ext>
      </extLst>
    </cfRule>
  </conditionalFormatting>
  <conditionalFormatting sqref="BA67">
    <cfRule type="iconSet" priority="3408">
      <iconSet iconSet="3Arrows">
        <cfvo type="percent" val="0"/>
        <cfvo type="num" val="0.7"/>
        <cfvo type="num" val="1"/>
      </iconSet>
    </cfRule>
    <cfRule type="dataBar" priority="3409">
      <dataBar>
        <cfvo type="num" val="0"/>
        <cfvo type="num" val="1"/>
        <color theme="4" tint="0.79998168889431442"/>
      </dataBar>
      <extLst>
        <ext xmlns:x14="http://schemas.microsoft.com/office/spreadsheetml/2009/9/main" uri="{B025F937-C7B1-47D3-B67F-A62EFF666E3E}">
          <x14:id>{EC72DE4E-4EA1-4528-8223-81CA0A9954ED}</x14:id>
        </ext>
      </extLst>
    </cfRule>
  </conditionalFormatting>
  <conditionalFormatting sqref="BA69">
    <cfRule type="iconSet" priority="3795">
      <iconSet iconSet="3Arrows">
        <cfvo type="percent" val="0"/>
        <cfvo type="num" val="0.7"/>
        <cfvo type="num" val="1"/>
      </iconSet>
    </cfRule>
    <cfRule type="dataBar" priority="3796">
      <dataBar>
        <cfvo type="num" val="0"/>
        <cfvo type="num" val="1"/>
        <color theme="4" tint="0.79998168889431442"/>
      </dataBar>
      <extLst>
        <ext xmlns:x14="http://schemas.microsoft.com/office/spreadsheetml/2009/9/main" uri="{B025F937-C7B1-47D3-B67F-A62EFF666E3E}">
          <x14:id>{C72E2C71-AC16-4282-9E6A-90258AB1D155}</x14:id>
        </ext>
      </extLst>
    </cfRule>
  </conditionalFormatting>
  <conditionalFormatting sqref="BA73">
    <cfRule type="iconSet" priority="3832">
      <iconSet iconSet="3Arrows">
        <cfvo type="percent" val="0"/>
        <cfvo type="num" val="0.7"/>
        <cfvo type="num" val="1"/>
      </iconSet>
    </cfRule>
    <cfRule type="dataBar" priority="3833">
      <dataBar>
        <cfvo type="num" val="0"/>
        <cfvo type="num" val="1"/>
        <color theme="4" tint="0.79998168889431442"/>
      </dataBar>
      <extLst>
        <ext xmlns:x14="http://schemas.microsoft.com/office/spreadsheetml/2009/9/main" uri="{B025F937-C7B1-47D3-B67F-A62EFF666E3E}">
          <x14:id>{F4411FBC-56E4-42FE-ADB9-BE0660DF7E35}</x14:id>
        </ext>
      </extLst>
    </cfRule>
  </conditionalFormatting>
  <conditionalFormatting sqref="BA77">
    <cfRule type="iconSet" priority="3842">
      <iconSet iconSet="3Arrows">
        <cfvo type="percent" val="0"/>
        <cfvo type="num" val="0.7"/>
        <cfvo type="num" val="1"/>
      </iconSet>
    </cfRule>
    <cfRule type="dataBar" priority="3843">
      <dataBar>
        <cfvo type="num" val="0"/>
        <cfvo type="num" val="1"/>
        <color theme="4" tint="0.79998168889431442"/>
      </dataBar>
      <extLst>
        <ext xmlns:x14="http://schemas.microsoft.com/office/spreadsheetml/2009/9/main" uri="{B025F937-C7B1-47D3-B67F-A62EFF666E3E}">
          <x14:id>{1CB922F4-7F97-4760-A985-14364750D42D}</x14:id>
        </ext>
      </extLst>
    </cfRule>
  </conditionalFormatting>
  <conditionalFormatting sqref="BA79">
    <cfRule type="iconSet" priority="3836">
      <iconSet iconSet="3Arrows">
        <cfvo type="percent" val="0"/>
        <cfvo type="num" val="0.7"/>
        <cfvo type="num" val="1"/>
      </iconSet>
    </cfRule>
    <cfRule type="dataBar" priority="3837">
      <dataBar>
        <cfvo type="num" val="0"/>
        <cfvo type="num" val="1"/>
        <color theme="4" tint="0.79998168889431442"/>
      </dataBar>
      <extLst>
        <ext xmlns:x14="http://schemas.microsoft.com/office/spreadsheetml/2009/9/main" uri="{B025F937-C7B1-47D3-B67F-A62EFF666E3E}">
          <x14:id>{A209E336-04D6-448B-A13C-333FD06EF8F3}</x14:id>
        </ext>
      </extLst>
    </cfRule>
  </conditionalFormatting>
  <conditionalFormatting sqref="BA81">
    <cfRule type="iconSet" priority="3753">
      <iconSet iconSet="3Arrows">
        <cfvo type="percent" val="0"/>
        <cfvo type="num" val="0.7"/>
        <cfvo type="num" val="1"/>
      </iconSet>
    </cfRule>
    <cfRule type="dataBar" priority="3754">
      <dataBar>
        <cfvo type="num" val="0"/>
        <cfvo type="num" val="1"/>
        <color theme="4" tint="0.79998168889431442"/>
      </dataBar>
      <extLst>
        <ext xmlns:x14="http://schemas.microsoft.com/office/spreadsheetml/2009/9/main" uri="{B025F937-C7B1-47D3-B67F-A62EFF666E3E}">
          <x14:id>{2AF96FE7-0D3F-42EA-95FD-DDF3138E9EC4}</x14:id>
        </ext>
      </extLst>
    </cfRule>
  </conditionalFormatting>
  <conditionalFormatting sqref="BA83">
    <cfRule type="iconSet" priority="3751">
      <iconSet iconSet="3Arrows">
        <cfvo type="percent" val="0"/>
        <cfvo type="num" val="0.7"/>
        <cfvo type="num" val="1"/>
      </iconSet>
    </cfRule>
    <cfRule type="dataBar" priority="3752">
      <dataBar>
        <cfvo type="num" val="0"/>
        <cfvo type="num" val="1"/>
        <color theme="4" tint="0.79998168889431442"/>
      </dataBar>
      <extLst>
        <ext xmlns:x14="http://schemas.microsoft.com/office/spreadsheetml/2009/9/main" uri="{B025F937-C7B1-47D3-B67F-A62EFF666E3E}">
          <x14:id>{C28E072B-365F-49F6-B97D-88A8AA461874}</x14:id>
        </ext>
      </extLst>
    </cfRule>
  </conditionalFormatting>
  <conditionalFormatting sqref="BA85">
    <cfRule type="iconSet" priority="3749">
      <iconSet iconSet="3Arrows">
        <cfvo type="percent" val="0"/>
        <cfvo type="num" val="0.7"/>
        <cfvo type="num" val="1"/>
      </iconSet>
    </cfRule>
    <cfRule type="dataBar" priority="3750">
      <dataBar>
        <cfvo type="num" val="0"/>
        <cfvo type="num" val="1"/>
        <color theme="4" tint="0.79998168889431442"/>
      </dataBar>
      <extLst>
        <ext xmlns:x14="http://schemas.microsoft.com/office/spreadsheetml/2009/9/main" uri="{B025F937-C7B1-47D3-B67F-A62EFF666E3E}">
          <x14:id>{FBDFF949-9990-4B87-9F1F-BE891EBF845B}</x14:id>
        </ext>
      </extLst>
    </cfRule>
  </conditionalFormatting>
  <conditionalFormatting sqref="BA87">
    <cfRule type="iconSet" priority="3747">
      <iconSet iconSet="3Arrows">
        <cfvo type="percent" val="0"/>
        <cfvo type="num" val="0.7"/>
        <cfvo type="num" val="1"/>
      </iconSet>
    </cfRule>
    <cfRule type="dataBar" priority="3748">
      <dataBar>
        <cfvo type="num" val="0"/>
        <cfvo type="num" val="1"/>
        <color theme="4" tint="0.79998168889431442"/>
      </dataBar>
      <extLst>
        <ext xmlns:x14="http://schemas.microsoft.com/office/spreadsheetml/2009/9/main" uri="{B025F937-C7B1-47D3-B67F-A62EFF666E3E}">
          <x14:id>{8BB2B0A9-41C2-46E1-9379-526447AE4B11}</x14:id>
        </ext>
      </extLst>
    </cfRule>
  </conditionalFormatting>
  <conditionalFormatting sqref="BA89">
    <cfRule type="iconSet" priority="3838">
      <iconSet iconSet="3Arrows">
        <cfvo type="percent" val="0"/>
        <cfvo type="num" val="0.7"/>
        <cfvo type="num" val="1"/>
      </iconSet>
    </cfRule>
    <cfRule type="dataBar" priority="3839">
      <dataBar>
        <cfvo type="num" val="0"/>
        <cfvo type="num" val="1"/>
        <color theme="4" tint="0.79998168889431442"/>
      </dataBar>
      <extLst>
        <ext xmlns:x14="http://schemas.microsoft.com/office/spreadsheetml/2009/9/main" uri="{B025F937-C7B1-47D3-B67F-A62EFF666E3E}">
          <x14:id>{9C40984D-F46D-49E2-8C9F-B66839D1FA25}</x14:id>
        </ext>
      </extLst>
    </cfRule>
  </conditionalFormatting>
  <conditionalFormatting sqref="BA93">
    <cfRule type="iconSet" priority="3737">
      <iconSet iconSet="3Arrows">
        <cfvo type="percent" val="0"/>
        <cfvo type="num" val="0.7"/>
        <cfvo type="num" val="1"/>
      </iconSet>
    </cfRule>
    <cfRule type="dataBar" priority="3738">
      <dataBar>
        <cfvo type="num" val="0"/>
        <cfvo type="num" val="1"/>
        <color theme="4" tint="0.79998168889431442"/>
      </dataBar>
      <extLst>
        <ext xmlns:x14="http://schemas.microsoft.com/office/spreadsheetml/2009/9/main" uri="{B025F937-C7B1-47D3-B67F-A62EFF666E3E}">
          <x14:id>{4BD114A2-F17B-4FCA-9D85-FBA80107986F}</x14:id>
        </ext>
      </extLst>
    </cfRule>
  </conditionalFormatting>
  <conditionalFormatting sqref="BA95">
    <cfRule type="iconSet" priority="3726">
      <iconSet iconSet="3Arrows">
        <cfvo type="percent" val="0"/>
        <cfvo type="num" val="0.7"/>
        <cfvo type="num" val="1"/>
      </iconSet>
    </cfRule>
    <cfRule type="dataBar" priority="3727">
      <dataBar>
        <cfvo type="num" val="0"/>
        <cfvo type="num" val="1"/>
        <color theme="4" tint="0.79998168889431442"/>
      </dataBar>
      <extLst>
        <ext xmlns:x14="http://schemas.microsoft.com/office/spreadsheetml/2009/9/main" uri="{B025F937-C7B1-47D3-B67F-A62EFF666E3E}">
          <x14:id>{6B1CCD5C-FE84-4164-8A70-E45A6DDFD1D9}</x14:id>
        </ext>
      </extLst>
    </cfRule>
  </conditionalFormatting>
  <conditionalFormatting sqref="BA97">
    <cfRule type="iconSet" priority="1945">
      <iconSet iconSet="3Arrows">
        <cfvo type="percent" val="0"/>
        <cfvo type="num" val="0.7"/>
        <cfvo type="num" val="1"/>
      </iconSet>
    </cfRule>
    <cfRule type="dataBar" priority="1946">
      <dataBar>
        <cfvo type="num" val="0"/>
        <cfvo type="num" val="1"/>
        <color theme="4" tint="0.79998168889431442"/>
      </dataBar>
      <extLst>
        <ext xmlns:x14="http://schemas.microsoft.com/office/spreadsheetml/2009/9/main" uri="{B025F937-C7B1-47D3-B67F-A62EFF666E3E}">
          <x14:id>{1F2A8222-7E8D-4075-95B6-983D657424CE}</x14:id>
        </ext>
      </extLst>
    </cfRule>
  </conditionalFormatting>
  <conditionalFormatting sqref="BA99">
    <cfRule type="iconSet" priority="1982">
      <iconSet iconSet="3Arrows">
        <cfvo type="percent" val="0"/>
        <cfvo type="num" val="0.7"/>
        <cfvo type="num" val="1"/>
      </iconSet>
    </cfRule>
    <cfRule type="dataBar" priority="1983">
      <dataBar>
        <cfvo type="num" val="0"/>
        <cfvo type="num" val="1"/>
        <color theme="4" tint="0.79998168889431442"/>
      </dataBar>
      <extLst>
        <ext xmlns:x14="http://schemas.microsoft.com/office/spreadsheetml/2009/9/main" uri="{B025F937-C7B1-47D3-B67F-A62EFF666E3E}">
          <x14:id>{49CB6F91-A8F4-4C55-8AF7-584E69349CC0}</x14:id>
        </ext>
      </extLst>
    </cfRule>
  </conditionalFormatting>
  <conditionalFormatting sqref="BA101">
    <cfRule type="iconSet" priority="1919">
      <iconSet iconSet="3Arrows">
        <cfvo type="percent" val="0"/>
        <cfvo type="num" val="0.7"/>
        <cfvo type="num" val="1"/>
      </iconSet>
    </cfRule>
    <cfRule type="dataBar" priority="1920">
      <dataBar>
        <cfvo type="num" val="0"/>
        <cfvo type="num" val="1"/>
        <color theme="4" tint="0.79998168889431442"/>
      </dataBar>
      <extLst>
        <ext xmlns:x14="http://schemas.microsoft.com/office/spreadsheetml/2009/9/main" uri="{B025F937-C7B1-47D3-B67F-A62EFF666E3E}">
          <x14:id>{E17C8275-AF0F-443B-BC36-0C09085CF55D}</x14:id>
        </ext>
      </extLst>
    </cfRule>
  </conditionalFormatting>
  <conditionalFormatting sqref="BA103">
    <cfRule type="iconSet" priority="3739">
      <iconSet iconSet="3Arrows">
        <cfvo type="percent" val="0"/>
        <cfvo type="num" val="0.7"/>
        <cfvo type="num" val="1"/>
      </iconSet>
    </cfRule>
    <cfRule type="dataBar" priority="3740">
      <dataBar>
        <cfvo type="num" val="0"/>
        <cfvo type="num" val="1"/>
        <color theme="4" tint="0.79998168889431442"/>
      </dataBar>
      <extLst>
        <ext xmlns:x14="http://schemas.microsoft.com/office/spreadsheetml/2009/9/main" uri="{B025F937-C7B1-47D3-B67F-A62EFF666E3E}">
          <x14:id>{32B9B48E-9655-49B8-ABF8-9BD5C1958EAC}</x14:id>
        </ext>
      </extLst>
    </cfRule>
  </conditionalFormatting>
  <conditionalFormatting sqref="BA105">
    <cfRule type="iconSet" priority="3730">
      <iconSet iconSet="3Arrows">
        <cfvo type="percent" val="0"/>
        <cfvo type="num" val="0.7"/>
        <cfvo type="num" val="1"/>
      </iconSet>
    </cfRule>
    <cfRule type="dataBar" priority="3731">
      <dataBar>
        <cfvo type="num" val="0"/>
        <cfvo type="num" val="1"/>
        <color theme="4" tint="0.79998168889431442"/>
      </dataBar>
      <extLst>
        <ext xmlns:x14="http://schemas.microsoft.com/office/spreadsheetml/2009/9/main" uri="{B025F937-C7B1-47D3-B67F-A62EFF666E3E}">
          <x14:id>{526A281D-B096-4800-B80D-AE30C4DCD55D}</x14:id>
        </ext>
      </extLst>
    </cfRule>
  </conditionalFormatting>
  <conditionalFormatting sqref="BA107">
    <cfRule type="iconSet" priority="3728">
      <iconSet iconSet="3Arrows">
        <cfvo type="percent" val="0"/>
        <cfvo type="num" val="0.7"/>
        <cfvo type="num" val="1"/>
      </iconSet>
    </cfRule>
    <cfRule type="dataBar" priority="3729">
      <dataBar>
        <cfvo type="num" val="0"/>
        <cfvo type="num" val="1"/>
        <color theme="4" tint="0.79998168889431442"/>
      </dataBar>
      <extLst>
        <ext xmlns:x14="http://schemas.microsoft.com/office/spreadsheetml/2009/9/main" uri="{B025F937-C7B1-47D3-B67F-A62EFF666E3E}">
          <x14:id>{FFE18037-F6CF-483E-944E-6DB45232CF25}</x14:id>
        </ext>
      </extLst>
    </cfRule>
  </conditionalFormatting>
  <conditionalFormatting sqref="BA109">
    <cfRule type="iconSet" priority="2845">
      <iconSet iconSet="3Arrows">
        <cfvo type="percent" val="0"/>
        <cfvo type="num" val="0.7"/>
        <cfvo type="num" val="1"/>
      </iconSet>
    </cfRule>
    <cfRule type="dataBar" priority="2846">
      <dataBar>
        <cfvo type="num" val="0"/>
        <cfvo type="num" val="1"/>
        <color theme="4" tint="0.79998168889431442"/>
      </dataBar>
      <extLst>
        <ext xmlns:x14="http://schemas.microsoft.com/office/spreadsheetml/2009/9/main" uri="{B025F937-C7B1-47D3-B67F-A62EFF666E3E}">
          <x14:id>{95F5A7C4-1772-432A-9F83-2C96613760F4}</x14:id>
        </ext>
      </extLst>
    </cfRule>
  </conditionalFormatting>
  <conditionalFormatting sqref="BA113">
    <cfRule type="iconSet" priority="3734">
      <iconSet iconSet="3Arrows">
        <cfvo type="percent" val="0"/>
        <cfvo type="num" val="0.7"/>
        <cfvo type="num" val="1"/>
      </iconSet>
    </cfRule>
    <cfRule type="dataBar" priority="3735">
      <dataBar>
        <cfvo type="num" val="0"/>
        <cfvo type="num" val="1"/>
        <color theme="4" tint="0.79998168889431442"/>
      </dataBar>
      <extLst>
        <ext xmlns:x14="http://schemas.microsoft.com/office/spreadsheetml/2009/9/main" uri="{B025F937-C7B1-47D3-B67F-A62EFF666E3E}">
          <x14:id>{A9EAD47C-FC5C-446C-97AC-99EAF6E1A6B9}</x14:id>
        </ext>
      </extLst>
    </cfRule>
  </conditionalFormatting>
  <conditionalFormatting sqref="BA115">
    <cfRule type="iconSet" priority="3732">
      <iconSet iconSet="3Arrows">
        <cfvo type="percent" val="0"/>
        <cfvo type="num" val="0.7"/>
        <cfvo type="num" val="1"/>
      </iconSet>
    </cfRule>
    <cfRule type="dataBar" priority="3733">
      <dataBar>
        <cfvo type="num" val="0"/>
        <cfvo type="num" val="1"/>
        <color theme="4" tint="0.79998168889431442"/>
      </dataBar>
      <extLst>
        <ext xmlns:x14="http://schemas.microsoft.com/office/spreadsheetml/2009/9/main" uri="{B025F937-C7B1-47D3-B67F-A62EFF666E3E}">
          <x14:id>{E37A65DC-8E21-4B32-B213-D36967C5A5F6}</x14:id>
        </ext>
      </extLst>
    </cfRule>
  </conditionalFormatting>
  <conditionalFormatting sqref="BA119">
    <cfRule type="iconSet" priority="3834">
      <iconSet iconSet="3Arrows">
        <cfvo type="percent" val="0"/>
        <cfvo type="num" val="0.7"/>
        <cfvo type="num" val="1"/>
      </iconSet>
    </cfRule>
    <cfRule type="dataBar" priority="3835">
      <dataBar>
        <cfvo type="num" val="0"/>
        <cfvo type="num" val="1"/>
        <color theme="4" tint="0.79998168889431442"/>
      </dataBar>
      <extLst>
        <ext xmlns:x14="http://schemas.microsoft.com/office/spreadsheetml/2009/9/main" uri="{B025F937-C7B1-47D3-B67F-A62EFF666E3E}">
          <x14:id>{35EA0E2E-2A8D-4DD8-84DA-63B0A3B4ACEC}</x14:id>
        </ext>
      </extLst>
    </cfRule>
  </conditionalFormatting>
  <conditionalFormatting sqref="BA121">
    <cfRule type="iconSet" priority="3856">
      <iconSet iconSet="3Arrows">
        <cfvo type="percent" val="0"/>
        <cfvo type="num" val="0.7"/>
        <cfvo type="num" val="1"/>
      </iconSet>
    </cfRule>
    <cfRule type="dataBar" priority="3857">
      <dataBar>
        <cfvo type="num" val="0"/>
        <cfvo type="num" val="1"/>
        <color theme="4" tint="0.79998168889431442"/>
      </dataBar>
      <extLst>
        <ext xmlns:x14="http://schemas.microsoft.com/office/spreadsheetml/2009/9/main" uri="{B025F937-C7B1-47D3-B67F-A62EFF666E3E}">
          <x14:id>{D2EE95A0-6B9C-4FD9-86AC-3AF0E5E14E9A}</x14:id>
        </ext>
      </extLst>
    </cfRule>
  </conditionalFormatting>
  <conditionalFormatting sqref="BA123">
    <cfRule type="iconSet" priority="3791">
      <iconSet iconSet="3Arrows">
        <cfvo type="percent" val="0"/>
        <cfvo type="num" val="0.7"/>
        <cfvo type="num" val="1"/>
      </iconSet>
    </cfRule>
    <cfRule type="dataBar" priority="3792">
      <dataBar>
        <cfvo type="num" val="0"/>
        <cfvo type="num" val="1"/>
        <color theme="4" tint="0.79998168889431442"/>
      </dataBar>
      <extLst>
        <ext xmlns:x14="http://schemas.microsoft.com/office/spreadsheetml/2009/9/main" uri="{B025F937-C7B1-47D3-B67F-A62EFF666E3E}">
          <x14:id>{338DCDE8-904C-47EE-ADAB-F274E0BED6BA}</x14:id>
        </ext>
      </extLst>
    </cfRule>
  </conditionalFormatting>
  <conditionalFormatting sqref="BA125">
    <cfRule type="iconSet" priority="3476">
      <iconSet iconSet="3Arrows">
        <cfvo type="percent" val="0"/>
        <cfvo type="num" val="0.7"/>
        <cfvo type="num" val="1"/>
      </iconSet>
    </cfRule>
    <cfRule type="dataBar" priority="3477">
      <dataBar>
        <cfvo type="num" val="0"/>
        <cfvo type="num" val="1"/>
        <color theme="4" tint="0.79998168889431442"/>
      </dataBar>
      <extLst>
        <ext xmlns:x14="http://schemas.microsoft.com/office/spreadsheetml/2009/9/main" uri="{B025F937-C7B1-47D3-B67F-A62EFF666E3E}">
          <x14:id>{63E91A36-E48A-422B-B82D-F934A8811B05}</x14:id>
        </ext>
      </extLst>
    </cfRule>
  </conditionalFormatting>
  <conditionalFormatting sqref="BA127">
    <cfRule type="iconSet" priority="3235">
      <iconSet iconSet="3Arrows">
        <cfvo type="percent" val="0"/>
        <cfvo type="num" val="0.7"/>
        <cfvo type="num" val="1"/>
      </iconSet>
    </cfRule>
    <cfRule type="dataBar" priority="3236">
      <dataBar>
        <cfvo type="num" val="0"/>
        <cfvo type="num" val="1"/>
        <color theme="4" tint="0.79998168889431442"/>
      </dataBar>
      <extLst>
        <ext xmlns:x14="http://schemas.microsoft.com/office/spreadsheetml/2009/9/main" uri="{B025F937-C7B1-47D3-B67F-A62EFF666E3E}">
          <x14:id>{FB26264C-0372-47CE-BC24-9BD669C6C631}</x14:id>
        </ext>
      </extLst>
    </cfRule>
  </conditionalFormatting>
  <conditionalFormatting sqref="BA129">
    <cfRule type="iconSet" priority="3789">
      <iconSet iconSet="3Arrows">
        <cfvo type="percent" val="0"/>
        <cfvo type="num" val="0.7"/>
        <cfvo type="num" val="1"/>
      </iconSet>
    </cfRule>
    <cfRule type="dataBar" priority="3790">
      <dataBar>
        <cfvo type="num" val="0"/>
        <cfvo type="num" val="1"/>
        <color theme="4" tint="0.79998168889431442"/>
      </dataBar>
      <extLst>
        <ext xmlns:x14="http://schemas.microsoft.com/office/spreadsheetml/2009/9/main" uri="{B025F937-C7B1-47D3-B67F-A62EFF666E3E}">
          <x14:id>{63F88286-EF55-4336-B175-DCE15D247F34}</x14:id>
        </ext>
      </extLst>
    </cfRule>
  </conditionalFormatting>
  <conditionalFormatting sqref="BA131">
    <cfRule type="iconSet" priority="2946">
      <iconSet iconSet="3Arrows">
        <cfvo type="percent" val="0"/>
        <cfvo type="num" val="0.7"/>
        <cfvo type="num" val="1"/>
      </iconSet>
    </cfRule>
    <cfRule type="dataBar" priority="2947">
      <dataBar>
        <cfvo type="num" val="0"/>
        <cfvo type="num" val="1"/>
        <color theme="4" tint="0.79998168889431442"/>
      </dataBar>
      <extLst>
        <ext xmlns:x14="http://schemas.microsoft.com/office/spreadsheetml/2009/9/main" uri="{B025F937-C7B1-47D3-B67F-A62EFF666E3E}">
          <x14:id>{4FFEBEB1-2A5F-4009-950A-33AF1F43EB68}</x14:id>
        </ext>
      </extLst>
    </cfRule>
  </conditionalFormatting>
  <conditionalFormatting sqref="BA134">
    <cfRule type="iconSet" priority="1490">
      <iconSet iconSet="3Arrows">
        <cfvo type="percent" val="0"/>
        <cfvo type="num" val="0.7"/>
        <cfvo type="num" val="1"/>
      </iconSet>
    </cfRule>
    <cfRule type="dataBar" priority="1491">
      <dataBar>
        <cfvo type="num" val="0"/>
        <cfvo type="num" val="1"/>
        <color theme="4" tint="0.79998168889431442"/>
      </dataBar>
      <extLst>
        <ext xmlns:x14="http://schemas.microsoft.com/office/spreadsheetml/2009/9/main" uri="{B025F937-C7B1-47D3-B67F-A62EFF666E3E}">
          <x14:id>{FDBCE026-783D-4B6B-A956-23F9A63527D6}</x14:id>
        </ext>
      </extLst>
    </cfRule>
  </conditionalFormatting>
  <conditionalFormatting sqref="BA137">
    <cfRule type="iconSet" priority="3812">
      <iconSet iconSet="3Arrows">
        <cfvo type="percent" val="0"/>
        <cfvo type="num" val="0.7"/>
        <cfvo type="num" val="1"/>
      </iconSet>
    </cfRule>
    <cfRule type="dataBar" priority="3813">
      <dataBar>
        <cfvo type="num" val="0"/>
        <cfvo type="num" val="1"/>
        <color theme="4" tint="0.79998168889431442"/>
      </dataBar>
      <extLst>
        <ext xmlns:x14="http://schemas.microsoft.com/office/spreadsheetml/2009/9/main" uri="{B025F937-C7B1-47D3-B67F-A62EFF666E3E}">
          <x14:id>{E2BCA8BC-1AB9-439B-8ED7-397544012A03}</x14:id>
        </ext>
      </extLst>
    </cfRule>
  </conditionalFormatting>
  <conditionalFormatting sqref="BA140">
    <cfRule type="iconSet" priority="3720">
      <iconSet iconSet="3Arrows">
        <cfvo type="percent" val="0"/>
        <cfvo type="num" val="0.7"/>
        <cfvo type="num" val="1"/>
      </iconSet>
    </cfRule>
    <cfRule type="dataBar" priority="3721">
      <dataBar>
        <cfvo type="num" val="0"/>
        <cfvo type="num" val="1"/>
        <color theme="4" tint="0.79998168889431442"/>
      </dataBar>
      <extLst>
        <ext xmlns:x14="http://schemas.microsoft.com/office/spreadsheetml/2009/9/main" uri="{B025F937-C7B1-47D3-B67F-A62EFF666E3E}">
          <x14:id>{73A06DA5-ABEB-4A9F-AE9D-09F94E7C8ED3}</x14:id>
        </ext>
      </extLst>
    </cfRule>
  </conditionalFormatting>
  <conditionalFormatting sqref="BA142">
    <cfRule type="iconSet" priority="3645">
      <iconSet iconSet="3Arrows">
        <cfvo type="percent" val="0"/>
        <cfvo type="num" val="0.7"/>
        <cfvo type="num" val="1"/>
      </iconSet>
    </cfRule>
    <cfRule type="dataBar" priority="3646">
      <dataBar>
        <cfvo type="num" val="0"/>
        <cfvo type="num" val="1"/>
        <color theme="4" tint="0.79998168889431442"/>
      </dataBar>
      <extLst>
        <ext xmlns:x14="http://schemas.microsoft.com/office/spreadsheetml/2009/9/main" uri="{B025F937-C7B1-47D3-B67F-A62EFF666E3E}">
          <x14:id>{93FEB960-EBE9-4B40-88C6-73E1A1ED6B2A}</x14:id>
        </ext>
      </extLst>
    </cfRule>
  </conditionalFormatting>
  <conditionalFormatting sqref="BA144">
    <cfRule type="iconSet" priority="3640">
      <iconSet iconSet="3Arrows">
        <cfvo type="percent" val="0"/>
        <cfvo type="num" val="0.7"/>
        <cfvo type="num" val="1"/>
      </iconSet>
    </cfRule>
    <cfRule type="dataBar" priority="3641">
      <dataBar>
        <cfvo type="num" val="0"/>
        <cfvo type="num" val="1"/>
        <color theme="4" tint="0.79998168889431442"/>
      </dataBar>
      <extLst>
        <ext xmlns:x14="http://schemas.microsoft.com/office/spreadsheetml/2009/9/main" uri="{B025F937-C7B1-47D3-B67F-A62EFF666E3E}">
          <x14:id>{A84C6FAC-45EF-452A-B4D0-7D9D2AA61243}</x14:id>
        </ext>
      </extLst>
    </cfRule>
  </conditionalFormatting>
  <conditionalFormatting sqref="BA146">
    <cfRule type="iconSet" priority="1379">
      <iconSet iconSet="3Arrows">
        <cfvo type="percent" val="0"/>
        <cfvo type="num" val="0.7"/>
        <cfvo type="num" val="1"/>
      </iconSet>
    </cfRule>
    <cfRule type="dataBar" priority="1380">
      <dataBar>
        <cfvo type="num" val="0"/>
        <cfvo type="num" val="1"/>
        <color theme="4" tint="0.79998168889431442"/>
      </dataBar>
      <extLst>
        <ext xmlns:x14="http://schemas.microsoft.com/office/spreadsheetml/2009/9/main" uri="{B025F937-C7B1-47D3-B67F-A62EFF666E3E}">
          <x14:id>{EF424269-8A98-4561-BE4C-21CBE7A71695}</x14:id>
        </ext>
      </extLst>
    </cfRule>
  </conditionalFormatting>
  <conditionalFormatting sqref="BA148">
    <cfRule type="iconSet" priority="3718">
      <iconSet iconSet="3Arrows">
        <cfvo type="percent" val="0"/>
        <cfvo type="num" val="0.7"/>
        <cfvo type="num" val="1"/>
      </iconSet>
    </cfRule>
    <cfRule type="dataBar" priority="3719">
      <dataBar>
        <cfvo type="num" val="0"/>
        <cfvo type="num" val="1"/>
        <color theme="4" tint="0.79998168889431442"/>
      </dataBar>
      <extLst>
        <ext xmlns:x14="http://schemas.microsoft.com/office/spreadsheetml/2009/9/main" uri="{B025F937-C7B1-47D3-B67F-A62EFF666E3E}">
          <x14:id>{417CF5F9-6A17-4CF6-9718-93C3B8127637}</x14:id>
        </ext>
      </extLst>
    </cfRule>
  </conditionalFormatting>
  <conditionalFormatting sqref="BA150">
    <cfRule type="iconSet" priority="3683">
      <iconSet iconSet="3Arrows">
        <cfvo type="percent" val="0"/>
        <cfvo type="num" val="0.7"/>
        <cfvo type="num" val="1"/>
      </iconSet>
    </cfRule>
    <cfRule type="dataBar" priority="3684">
      <dataBar>
        <cfvo type="num" val="0"/>
        <cfvo type="num" val="1"/>
        <color theme="4" tint="0.79998168889431442"/>
      </dataBar>
      <extLst>
        <ext xmlns:x14="http://schemas.microsoft.com/office/spreadsheetml/2009/9/main" uri="{B025F937-C7B1-47D3-B67F-A62EFF666E3E}">
          <x14:id>{08D405EB-3F45-43E5-B496-F17A44043B83}</x14:id>
        </ext>
      </extLst>
    </cfRule>
  </conditionalFormatting>
  <conditionalFormatting sqref="BA152">
    <cfRule type="iconSet" priority="3648">
      <iconSet iconSet="3Arrows">
        <cfvo type="percent" val="0"/>
        <cfvo type="num" val="0.7"/>
        <cfvo type="num" val="1"/>
      </iconSet>
    </cfRule>
    <cfRule type="dataBar" priority="3649">
      <dataBar>
        <cfvo type="num" val="0"/>
        <cfvo type="num" val="1"/>
        <color theme="4" tint="0.79998168889431442"/>
      </dataBar>
      <extLst>
        <ext xmlns:x14="http://schemas.microsoft.com/office/spreadsheetml/2009/9/main" uri="{B025F937-C7B1-47D3-B67F-A62EFF666E3E}">
          <x14:id>{7F45F1CB-8356-439E-8CCC-AE4684094CC4}</x14:id>
        </ext>
      </extLst>
    </cfRule>
  </conditionalFormatting>
  <conditionalFormatting sqref="BA154">
    <cfRule type="iconSet" priority="3341">
      <iconSet iconSet="3Arrows">
        <cfvo type="percent" val="0"/>
        <cfvo type="num" val="0.7"/>
        <cfvo type="num" val="1"/>
      </iconSet>
    </cfRule>
    <cfRule type="dataBar" priority="3342">
      <dataBar>
        <cfvo type="num" val="0"/>
        <cfvo type="num" val="1"/>
        <color theme="4" tint="0.79998168889431442"/>
      </dataBar>
      <extLst>
        <ext xmlns:x14="http://schemas.microsoft.com/office/spreadsheetml/2009/9/main" uri="{B025F937-C7B1-47D3-B67F-A62EFF666E3E}">
          <x14:id>{B2D63E23-5F98-4A7B-BE3C-CCD360190C77}</x14:id>
        </ext>
      </extLst>
    </cfRule>
  </conditionalFormatting>
  <conditionalFormatting sqref="BA156">
    <cfRule type="iconSet" priority="3858">
      <iconSet iconSet="3Arrows">
        <cfvo type="percent" val="0"/>
        <cfvo type="num" val="0.7"/>
        <cfvo type="num" val="1"/>
      </iconSet>
    </cfRule>
    <cfRule type="dataBar" priority="3859">
      <dataBar>
        <cfvo type="num" val="0"/>
        <cfvo type="num" val="1"/>
        <color theme="4" tint="0.79998168889431442"/>
      </dataBar>
      <extLst>
        <ext xmlns:x14="http://schemas.microsoft.com/office/spreadsheetml/2009/9/main" uri="{B025F937-C7B1-47D3-B67F-A62EFF666E3E}">
          <x14:id>{380DBAB7-E43F-48E0-924E-65D50F0D7ECF}</x14:id>
        </ext>
      </extLst>
    </cfRule>
  </conditionalFormatting>
  <conditionalFormatting sqref="BA158">
    <cfRule type="iconSet" priority="3679">
      <iconSet iconSet="3Arrows">
        <cfvo type="percent" val="0"/>
        <cfvo type="num" val="0.7"/>
        <cfvo type="num" val="1"/>
      </iconSet>
    </cfRule>
    <cfRule type="dataBar" priority="3680">
      <dataBar>
        <cfvo type="num" val="0"/>
        <cfvo type="num" val="1"/>
        <color theme="4" tint="0.79998168889431442"/>
      </dataBar>
      <extLst>
        <ext xmlns:x14="http://schemas.microsoft.com/office/spreadsheetml/2009/9/main" uri="{B025F937-C7B1-47D3-B67F-A62EFF666E3E}">
          <x14:id>{67825AF6-9539-4765-A5A4-0C73E7F26D23}</x14:id>
        </ext>
      </extLst>
    </cfRule>
  </conditionalFormatting>
  <conditionalFormatting sqref="BA160">
    <cfRule type="iconSet" priority="3681">
      <iconSet iconSet="3Arrows">
        <cfvo type="percent" val="0"/>
        <cfvo type="num" val="0.7"/>
        <cfvo type="num" val="1"/>
      </iconSet>
    </cfRule>
    <cfRule type="dataBar" priority="3682">
      <dataBar>
        <cfvo type="num" val="0"/>
        <cfvo type="num" val="1"/>
        <color theme="4" tint="0.79998168889431442"/>
      </dataBar>
      <extLst>
        <ext xmlns:x14="http://schemas.microsoft.com/office/spreadsheetml/2009/9/main" uri="{B025F937-C7B1-47D3-B67F-A62EFF666E3E}">
          <x14:id>{A77A9745-833C-434C-A32F-27FCD61DC837}</x14:id>
        </ext>
      </extLst>
    </cfRule>
  </conditionalFormatting>
  <conditionalFormatting sqref="BA162">
    <cfRule type="iconSet" priority="3643">
      <iconSet iconSet="3Arrows">
        <cfvo type="percent" val="0"/>
        <cfvo type="num" val="0.7"/>
        <cfvo type="num" val="1"/>
      </iconSet>
    </cfRule>
    <cfRule type="dataBar" priority="3644">
      <dataBar>
        <cfvo type="num" val="0"/>
        <cfvo type="num" val="1"/>
        <color theme="4" tint="0.79998168889431442"/>
      </dataBar>
      <extLst>
        <ext xmlns:x14="http://schemas.microsoft.com/office/spreadsheetml/2009/9/main" uri="{B025F937-C7B1-47D3-B67F-A62EFF666E3E}">
          <x14:id>{647184A0-EE4B-4724-987A-0A0AE2498936}</x14:id>
        </ext>
      </extLst>
    </cfRule>
  </conditionalFormatting>
  <conditionalFormatting sqref="BA164">
    <cfRule type="iconSet" priority="2149">
      <iconSet iconSet="3Arrows">
        <cfvo type="percent" val="0"/>
        <cfvo type="num" val="0.7"/>
        <cfvo type="num" val="1"/>
      </iconSet>
    </cfRule>
    <cfRule type="dataBar" priority="2150">
      <dataBar>
        <cfvo type="num" val="0"/>
        <cfvo type="num" val="1"/>
        <color theme="4" tint="0.79998168889431442"/>
      </dataBar>
      <extLst>
        <ext xmlns:x14="http://schemas.microsoft.com/office/spreadsheetml/2009/9/main" uri="{B025F937-C7B1-47D3-B67F-A62EFF666E3E}">
          <x14:id>{97E1DEA7-7CED-42A0-952C-9EADB8219FD2}</x14:id>
        </ext>
      </extLst>
    </cfRule>
  </conditionalFormatting>
  <conditionalFormatting sqref="BA166">
    <cfRule type="iconSet" priority="3661">
      <iconSet iconSet="3Arrows">
        <cfvo type="percent" val="0"/>
        <cfvo type="num" val="0.7"/>
        <cfvo type="num" val="1"/>
      </iconSet>
    </cfRule>
    <cfRule type="dataBar" priority="3662">
      <dataBar>
        <cfvo type="num" val="0"/>
        <cfvo type="num" val="1"/>
        <color theme="4" tint="0.79998168889431442"/>
      </dataBar>
      <extLst>
        <ext xmlns:x14="http://schemas.microsoft.com/office/spreadsheetml/2009/9/main" uri="{B025F937-C7B1-47D3-B67F-A62EFF666E3E}">
          <x14:id>{90A8C78A-4819-4A6B-A0A9-1CB77BD4CB42}</x14:id>
        </ext>
      </extLst>
    </cfRule>
  </conditionalFormatting>
  <conditionalFormatting sqref="BA168">
    <cfRule type="iconSet" priority="3677">
      <iconSet iconSet="3Arrows">
        <cfvo type="percent" val="0"/>
        <cfvo type="num" val="0.7"/>
        <cfvo type="num" val="1"/>
      </iconSet>
    </cfRule>
    <cfRule type="dataBar" priority="3678">
      <dataBar>
        <cfvo type="num" val="0"/>
        <cfvo type="num" val="1"/>
        <color theme="4" tint="0.79998168889431442"/>
      </dataBar>
      <extLst>
        <ext xmlns:x14="http://schemas.microsoft.com/office/spreadsheetml/2009/9/main" uri="{B025F937-C7B1-47D3-B67F-A62EFF666E3E}">
          <x14:id>{58F8070A-B8A9-4604-B9CC-33AF82DDC49D}</x14:id>
        </ext>
      </extLst>
    </cfRule>
  </conditionalFormatting>
  <conditionalFormatting sqref="BA170">
    <cfRule type="iconSet" priority="3714">
      <iconSet iconSet="3Arrows">
        <cfvo type="percent" val="0"/>
        <cfvo type="num" val="0.7"/>
        <cfvo type="num" val="1"/>
      </iconSet>
    </cfRule>
    <cfRule type="dataBar" priority="3715">
      <dataBar>
        <cfvo type="num" val="0"/>
        <cfvo type="num" val="1"/>
        <color theme="4" tint="0.79998168889431442"/>
      </dataBar>
      <extLst>
        <ext xmlns:x14="http://schemas.microsoft.com/office/spreadsheetml/2009/9/main" uri="{B025F937-C7B1-47D3-B67F-A62EFF666E3E}">
          <x14:id>{D33C3511-1025-4A6D-887B-D76367186476}</x14:id>
        </ext>
      </extLst>
    </cfRule>
  </conditionalFormatting>
  <conditionalFormatting sqref="BA172">
    <cfRule type="iconSet" priority="3659">
      <iconSet iconSet="3Arrows">
        <cfvo type="percent" val="0"/>
        <cfvo type="num" val="0.7"/>
        <cfvo type="num" val="1"/>
      </iconSet>
    </cfRule>
    <cfRule type="dataBar" priority="3660">
      <dataBar>
        <cfvo type="num" val="0"/>
        <cfvo type="num" val="1"/>
        <color theme="4" tint="0.79998168889431442"/>
      </dataBar>
      <extLst>
        <ext xmlns:x14="http://schemas.microsoft.com/office/spreadsheetml/2009/9/main" uri="{B025F937-C7B1-47D3-B67F-A62EFF666E3E}">
          <x14:id>{686F549D-06EC-4550-BF6D-5889E80B8116}</x14:id>
        </ext>
      </extLst>
    </cfRule>
  </conditionalFormatting>
  <conditionalFormatting sqref="BA174">
    <cfRule type="iconSet" priority="3716">
      <iconSet iconSet="3Arrows">
        <cfvo type="percent" val="0"/>
        <cfvo type="num" val="0.7"/>
        <cfvo type="num" val="1"/>
      </iconSet>
    </cfRule>
    <cfRule type="dataBar" priority="3717">
      <dataBar>
        <cfvo type="num" val="0"/>
        <cfvo type="num" val="1"/>
        <color theme="4" tint="0.79998168889431442"/>
      </dataBar>
      <extLst>
        <ext xmlns:x14="http://schemas.microsoft.com/office/spreadsheetml/2009/9/main" uri="{B025F937-C7B1-47D3-B67F-A62EFF666E3E}">
          <x14:id>{D75E21FD-2179-479F-BEB6-A6E3D9C308AE}</x14:id>
        </ext>
      </extLst>
    </cfRule>
  </conditionalFormatting>
  <conditionalFormatting sqref="BA176">
    <cfRule type="iconSet" priority="3157">
      <iconSet iconSet="3Arrows">
        <cfvo type="percent" val="0"/>
        <cfvo type="num" val="0.7"/>
        <cfvo type="num" val="1"/>
      </iconSet>
    </cfRule>
    <cfRule type="dataBar" priority="3158">
      <dataBar>
        <cfvo type="num" val="0"/>
        <cfvo type="num" val="1"/>
        <color theme="4" tint="0.79998168889431442"/>
      </dataBar>
      <extLst>
        <ext xmlns:x14="http://schemas.microsoft.com/office/spreadsheetml/2009/9/main" uri="{B025F937-C7B1-47D3-B67F-A62EFF666E3E}">
          <x14:id>{76CF94D7-D23B-421D-9372-2397C989F389}</x14:id>
        </ext>
      </extLst>
    </cfRule>
  </conditionalFormatting>
  <conditionalFormatting sqref="BA180">
    <cfRule type="iconSet" priority="3814">
      <iconSet iconSet="3Arrows">
        <cfvo type="percent" val="0"/>
        <cfvo type="num" val="0.7"/>
        <cfvo type="num" val="1"/>
      </iconSet>
    </cfRule>
    <cfRule type="dataBar" priority="3815">
      <dataBar>
        <cfvo type="num" val="0"/>
        <cfvo type="num" val="1"/>
        <color theme="4" tint="0.79998168889431442"/>
      </dataBar>
      <extLst>
        <ext xmlns:x14="http://schemas.microsoft.com/office/spreadsheetml/2009/9/main" uri="{B025F937-C7B1-47D3-B67F-A62EFF666E3E}">
          <x14:id>{9DCFD0FD-630D-4946-93A6-A02AB68E971D}</x14:id>
        </ext>
      </extLst>
    </cfRule>
  </conditionalFormatting>
  <conditionalFormatting sqref="BA182">
    <cfRule type="iconSet" priority="3673">
      <iconSet iconSet="3Arrows">
        <cfvo type="percent" val="0"/>
        <cfvo type="num" val="0.7"/>
        <cfvo type="num" val="1"/>
      </iconSet>
    </cfRule>
    <cfRule type="dataBar" priority="3674">
      <dataBar>
        <cfvo type="num" val="0"/>
        <cfvo type="num" val="1"/>
        <color theme="4" tint="0.79998168889431442"/>
      </dataBar>
      <extLst>
        <ext xmlns:x14="http://schemas.microsoft.com/office/spreadsheetml/2009/9/main" uri="{B025F937-C7B1-47D3-B67F-A62EFF666E3E}">
          <x14:id>{9525210E-D9EF-4549-B8DF-573A5B18DB15}</x14:id>
        </ext>
      </extLst>
    </cfRule>
  </conditionalFormatting>
  <conditionalFormatting sqref="BA184">
    <cfRule type="iconSet" priority="3675">
      <iconSet iconSet="3Arrows">
        <cfvo type="percent" val="0"/>
        <cfvo type="num" val="0.7"/>
        <cfvo type="num" val="1"/>
      </iconSet>
    </cfRule>
    <cfRule type="dataBar" priority="3676">
      <dataBar>
        <cfvo type="num" val="0"/>
        <cfvo type="num" val="1"/>
        <color theme="4" tint="0.79998168889431442"/>
      </dataBar>
      <extLst>
        <ext xmlns:x14="http://schemas.microsoft.com/office/spreadsheetml/2009/9/main" uri="{B025F937-C7B1-47D3-B67F-A62EFF666E3E}">
          <x14:id>{E9FC526D-900F-47C1-B038-D071B52F1343}</x14:id>
        </ext>
      </extLst>
    </cfRule>
  </conditionalFormatting>
  <conditionalFormatting sqref="BA186">
    <cfRule type="iconSet" priority="3217">
      <iconSet iconSet="3Arrows">
        <cfvo type="percent" val="0"/>
        <cfvo type="num" val="0.7"/>
        <cfvo type="num" val="1"/>
      </iconSet>
    </cfRule>
    <cfRule type="dataBar" priority="3218">
      <dataBar>
        <cfvo type="num" val="0"/>
        <cfvo type="num" val="1"/>
        <color theme="4" tint="0.79998168889431442"/>
      </dataBar>
      <extLst>
        <ext xmlns:x14="http://schemas.microsoft.com/office/spreadsheetml/2009/9/main" uri="{B025F937-C7B1-47D3-B67F-A62EFF666E3E}">
          <x14:id>{4D26AE49-77E6-4910-A6EB-45124D0D14D6}</x14:id>
        </ext>
      </extLst>
    </cfRule>
  </conditionalFormatting>
  <conditionalFormatting sqref="BA188">
    <cfRule type="iconSet" priority="2963">
      <iconSet iconSet="3Arrows">
        <cfvo type="percent" val="0"/>
        <cfvo type="num" val="0.7"/>
        <cfvo type="num" val="1"/>
      </iconSet>
    </cfRule>
    <cfRule type="dataBar" priority="2964">
      <dataBar>
        <cfvo type="num" val="0"/>
        <cfvo type="num" val="1"/>
        <color theme="4" tint="0.79998168889431442"/>
      </dataBar>
      <extLst>
        <ext xmlns:x14="http://schemas.microsoft.com/office/spreadsheetml/2009/9/main" uri="{B025F937-C7B1-47D3-B67F-A62EFF666E3E}">
          <x14:id>{E8F2B5E9-4183-40D0-9ADF-86FEDED14AE2}</x14:id>
        </ext>
      </extLst>
    </cfRule>
  </conditionalFormatting>
  <conditionalFormatting sqref="BA190">
    <cfRule type="iconSet" priority="3203">
      <iconSet iconSet="3Arrows">
        <cfvo type="percent" val="0"/>
        <cfvo type="num" val="0.7"/>
        <cfvo type="num" val="1"/>
      </iconSet>
    </cfRule>
    <cfRule type="dataBar" priority="3204">
      <dataBar>
        <cfvo type="num" val="0"/>
        <cfvo type="num" val="1"/>
        <color theme="4" tint="0.79998168889431442"/>
      </dataBar>
      <extLst>
        <ext xmlns:x14="http://schemas.microsoft.com/office/spreadsheetml/2009/9/main" uri="{B025F937-C7B1-47D3-B67F-A62EFF666E3E}">
          <x14:id>{741E9B4A-EB82-4CF0-9764-ADA11F491D35}</x14:id>
        </ext>
      </extLst>
    </cfRule>
  </conditionalFormatting>
  <conditionalFormatting sqref="BA192">
    <cfRule type="iconSet" priority="3653">
      <iconSet iconSet="3Arrows">
        <cfvo type="percent" val="0"/>
        <cfvo type="num" val="0.7"/>
        <cfvo type="num" val="1"/>
      </iconSet>
    </cfRule>
    <cfRule type="dataBar" priority="3654">
      <dataBar>
        <cfvo type="num" val="0"/>
        <cfvo type="num" val="1"/>
        <color theme="4" tint="0.79998168889431442"/>
      </dataBar>
      <extLst>
        <ext xmlns:x14="http://schemas.microsoft.com/office/spreadsheetml/2009/9/main" uri="{B025F937-C7B1-47D3-B67F-A62EFF666E3E}">
          <x14:id>{AC9479D5-956F-4B16-A1B4-31F02EC545A0}</x14:id>
        </ext>
      </extLst>
    </cfRule>
  </conditionalFormatting>
  <conditionalFormatting sqref="BA194">
    <cfRule type="iconSet" priority="3657">
      <iconSet iconSet="3Arrows">
        <cfvo type="percent" val="0"/>
        <cfvo type="num" val="0.7"/>
        <cfvo type="num" val="1"/>
      </iconSet>
    </cfRule>
    <cfRule type="dataBar" priority="3658">
      <dataBar>
        <cfvo type="num" val="0"/>
        <cfvo type="num" val="1"/>
        <color theme="4" tint="0.79998168889431442"/>
      </dataBar>
      <extLst>
        <ext xmlns:x14="http://schemas.microsoft.com/office/spreadsheetml/2009/9/main" uri="{B025F937-C7B1-47D3-B67F-A62EFF666E3E}">
          <x14:id>{555678E0-98B8-4776-9B97-C0233A4C27E3}</x14:id>
        </ext>
      </extLst>
    </cfRule>
  </conditionalFormatting>
  <conditionalFormatting sqref="BA196">
    <cfRule type="iconSet" priority="2441">
      <iconSet iconSet="3Arrows">
        <cfvo type="percent" val="0"/>
        <cfvo type="num" val="0.7"/>
        <cfvo type="num" val="1"/>
      </iconSet>
    </cfRule>
    <cfRule type="dataBar" priority="2442">
      <dataBar>
        <cfvo type="num" val="0"/>
        <cfvo type="num" val="1"/>
        <color theme="4" tint="0.79998168889431442"/>
      </dataBar>
      <extLst>
        <ext xmlns:x14="http://schemas.microsoft.com/office/spreadsheetml/2009/9/main" uri="{B025F937-C7B1-47D3-B67F-A62EFF666E3E}">
          <x14:id>{F2C980E8-0C2B-4AAE-AE1E-A258DF49EEB1}</x14:id>
        </ext>
      </extLst>
    </cfRule>
  </conditionalFormatting>
  <conditionalFormatting sqref="BA198">
    <cfRule type="iconSet" priority="3143">
      <iconSet iconSet="3Arrows">
        <cfvo type="percent" val="0"/>
        <cfvo type="num" val="0.7"/>
        <cfvo type="num" val="1"/>
      </iconSet>
    </cfRule>
    <cfRule type="dataBar" priority="3144">
      <dataBar>
        <cfvo type="num" val="0"/>
        <cfvo type="num" val="1"/>
        <color theme="4" tint="0.79998168889431442"/>
      </dataBar>
      <extLst>
        <ext xmlns:x14="http://schemas.microsoft.com/office/spreadsheetml/2009/9/main" uri="{B025F937-C7B1-47D3-B67F-A62EFF666E3E}">
          <x14:id>{8666C396-4440-43FE-80A4-91484D356877}</x14:id>
        </ext>
      </extLst>
    </cfRule>
  </conditionalFormatting>
  <conditionalFormatting sqref="BA200">
    <cfRule type="iconSet" priority="3650">
      <iconSet iconSet="3Arrows">
        <cfvo type="percent" val="0"/>
        <cfvo type="num" val="0.7"/>
        <cfvo type="num" val="1"/>
      </iconSet>
    </cfRule>
    <cfRule type="dataBar" priority="3651">
      <dataBar>
        <cfvo type="num" val="0"/>
        <cfvo type="num" val="1"/>
        <color theme="4" tint="0.79998168889431442"/>
      </dataBar>
      <extLst>
        <ext xmlns:x14="http://schemas.microsoft.com/office/spreadsheetml/2009/9/main" uri="{B025F937-C7B1-47D3-B67F-A62EFF666E3E}">
          <x14:id>{F6B33B3C-024B-4872-B9C9-FA3E713A1158}</x14:id>
        </ext>
      </extLst>
    </cfRule>
  </conditionalFormatting>
  <conditionalFormatting sqref="BA202">
    <cfRule type="iconSet" priority="3655">
      <iconSet iconSet="3Arrows">
        <cfvo type="percent" val="0"/>
        <cfvo type="num" val="0.7"/>
        <cfvo type="num" val="1"/>
      </iconSet>
    </cfRule>
    <cfRule type="dataBar" priority="3656">
      <dataBar>
        <cfvo type="num" val="0"/>
        <cfvo type="num" val="1"/>
        <color theme="4" tint="0.79998168889431442"/>
      </dataBar>
      <extLst>
        <ext xmlns:x14="http://schemas.microsoft.com/office/spreadsheetml/2009/9/main" uri="{B025F937-C7B1-47D3-B67F-A62EFF666E3E}">
          <x14:id>{CFA7DD8A-84F2-432A-BDA7-2EA741BA54FC}</x14:id>
        </ext>
      </extLst>
    </cfRule>
  </conditionalFormatting>
  <conditionalFormatting sqref="BA204">
    <cfRule type="iconSet" priority="3130">
      <iconSet iconSet="3Arrows">
        <cfvo type="percent" val="0"/>
        <cfvo type="num" val="0.7"/>
        <cfvo type="num" val="1"/>
      </iconSet>
    </cfRule>
    <cfRule type="dataBar" priority="3131">
      <dataBar>
        <cfvo type="num" val="0"/>
        <cfvo type="num" val="1"/>
        <color theme="4" tint="0.79998168889431442"/>
      </dataBar>
      <extLst>
        <ext xmlns:x14="http://schemas.microsoft.com/office/spreadsheetml/2009/9/main" uri="{B025F937-C7B1-47D3-B67F-A62EFF666E3E}">
          <x14:id>{E9B275F6-E072-4E34-AA90-D3D3050AF319}</x14:id>
        </ext>
      </extLst>
    </cfRule>
  </conditionalFormatting>
  <conditionalFormatting sqref="BA206">
    <cfRule type="iconSet" priority="2163">
      <iconSet iconSet="3Arrows">
        <cfvo type="percent" val="0"/>
        <cfvo type="num" val="0.7"/>
        <cfvo type="num" val="1"/>
      </iconSet>
    </cfRule>
    <cfRule type="dataBar" priority="2164">
      <dataBar>
        <cfvo type="num" val="0"/>
        <cfvo type="num" val="1"/>
        <color theme="4" tint="0.79998168889431442"/>
      </dataBar>
      <extLst>
        <ext xmlns:x14="http://schemas.microsoft.com/office/spreadsheetml/2009/9/main" uri="{B025F937-C7B1-47D3-B67F-A62EFF666E3E}">
          <x14:id>{2E7B10E7-7347-4185-B54B-BE9CE625DA32}</x14:id>
        </ext>
      </extLst>
    </cfRule>
  </conditionalFormatting>
  <conditionalFormatting sqref="BA208">
    <cfRule type="iconSet" priority="2428">
      <iconSet iconSet="3Arrows">
        <cfvo type="percent" val="0"/>
        <cfvo type="num" val="0.7"/>
        <cfvo type="num" val="1"/>
      </iconSet>
    </cfRule>
    <cfRule type="dataBar" priority="2429">
      <dataBar>
        <cfvo type="num" val="0"/>
        <cfvo type="num" val="1"/>
        <color theme="4" tint="0.79998168889431442"/>
      </dataBar>
      <extLst>
        <ext xmlns:x14="http://schemas.microsoft.com/office/spreadsheetml/2009/9/main" uri="{B025F937-C7B1-47D3-B67F-A62EFF666E3E}">
          <x14:id>{F4CDDD65-E21C-4A64-96DC-9F99EFF01FA9}</x14:id>
        </ext>
      </extLst>
    </cfRule>
  </conditionalFormatting>
  <conditionalFormatting sqref="BA210">
    <cfRule type="iconSet" priority="3670">
      <iconSet iconSet="3Arrows">
        <cfvo type="percent" val="0"/>
        <cfvo type="num" val="0.7"/>
        <cfvo type="num" val="1"/>
      </iconSet>
    </cfRule>
    <cfRule type="dataBar" priority="3671">
      <dataBar>
        <cfvo type="num" val="0"/>
        <cfvo type="num" val="1"/>
        <color theme="4" tint="0.79998168889431442"/>
      </dataBar>
      <extLst>
        <ext xmlns:x14="http://schemas.microsoft.com/office/spreadsheetml/2009/9/main" uri="{B025F937-C7B1-47D3-B67F-A62EFF666E3E}">
          <x14:id>{99E0F32F-9902-4876-BA9D-9AF1C2D2C0CB}</x14:id>
        </ext>
      </extLst>
    </cfRule>
  </conditionalFormatting>
  <conditionalFormatting sqref="BA212">
    <cfRule type="iconSet" priority="3785">
      <iconSet iconSet="3Arrows">
        <cfvo type="percent" val="0"/>
        <cfvo type="num" val="0.7"/>
        <cfvo type="num" val="1"/>
      </iconSet>
    </cfRule>
    <cfRule type="dataBar" priority="3786">
      <dataBar>
        <cfvo type="num" val="0"/>
        <cfvo type="num" val="1"/>
        <color theme="4" tint="0.79998168889431442"/>
      </dataBar>
      <extLst>
        <ext xmlns:x14="http://schemas.microsoft.com/office/spreadsheetml/2009/9/main" uri="{B025F937-C7B1-47D3-B67F-A62EFF666E3E}">
          <x14:id>{38027B19-C62F-41C1-98B7-D32A7D3D7D88}</x14:id>
        </ext>
      </extLst>
    </cfRule>
  </conditionalFormatting>
  <conditionalFormatting sqref="BA214">
    <cfRule type="iconSet" priority="3354">
      <iconSet iconSet="3Arrows">
        <cfvo type="percent" val="0"/>
        <cfvo type="num" val="0.7"/>
        <cfvo type="num" val="1"/>
      </iconSet>
    </cfRule>
    <cfRule type="dataBar" priority="3355">
      <dataBar>
        <cfvo type="num" val="0"/>
        <cfvo type="num" val="1"/>
        <color theme="4" tint="0.79998168889431442"/>
      </dataBar>
      <extLst>
        <ext xmlns:x14="http://schemas.microsoft.com/office/spreadsheetml/2009/9/main" uri="{B025F937-C7B1-47D3-B67F-A62EFF666E3E}">
          <x14:id>{10C44A90-998B-4800-99E9-F08AAFC170D9}</x14:id>
        </ext>
      </extLst>
    </cfRule>
  </conditionalFormatting>
  <conditionalFormatting sqref="BA216">
    <cfRule type="iconSet" priority="3254">
      <iconSet iconSet="3Arrows">
        <cfvo type="percent" val="0"/>
        <cfvo type="num" val="0.7"/>
        <cfvo type="num" val="1"/>
      </iconSet>
    </cfRule>
    <cfRule type="dataBar" priority="3255">
      <dataBar>
        <cfvo type="num" val="0"/>
        <cfvo type="num" val="1"/>
        <color theme="4" tint="0.79998168889431442"/>
      </dataBar>
      <extLst>
        <ext xmlns:x14="http://schemas.microsoft.com/office/spreadsheetml/2009/9/main" uri="{B025F937-C7B1-47D3-B67F-A62EFF666E3E}">
          <x14:id>{33961AB7-C472-442E-AD8F-306FB1C6723A}</x14:id>
        </ext>
      </extLst>
    </cfRule>
  </conditionalFormatting>
  <conditionalFormatting sqref="BA218">
    <cfRule type="iconSet" priority="2327">
      <iconSet iconSet="3Arrows">
        <cfvo type="percent" val="0"/>
        <cfvo type="num" val="0.7"/>
        <cfvo type="num" val="1"/>
      </iconSet>
    </cfRule>
    <cfRule type="dataBar" priority="2328">
      <dataBar>
        <cfvo type="num" val="0"/>
        <cfvo type="num" val="1"/>
        <color theme="4" tint="0.79998168889431442"/>
      </dataBar>
      <extLst>
        <ext xmlns:x14="http://schemas.microsoft.com/office/spreadsheetml/2009/9/main" uri="{B025F937-C7B1-47D3-B67F-A62EFF666E3E}">
          <x14:id>{F8976C30-F21B-4AD9-B697-110B87848465}</x14:id>
        </ext>
      </extLst>
    </cfRule>
  </conditionalFormatting>
  <conditionalFormatting sqref="BA220">
    <cfRule type="iconSet" priority="3802">
      <iconSet iconSet="3Arrows">
        <cfvo type="percent" val="0"/>
        <cfvo type="num" val="0.7"/>
        <cfvo type="num" val="1"/>
      </iconSet>
    </cfRule>
    <cfRule type="dataBar" priority="3803">
      <dataBar>
        <cfvo type="num" val="0"/>
        <cfvo type="num" val="1"/>
        <color theme="4" tint="0.79998168889431442"/>
      </dataBar>
      <extLst>
        <ext xmlns:x14="http://schemas.microsoft.com/office/spreadsheetml/2009/9/main" uri="{B025F937-C7B1-47D3-B67F-A62EFF666E3E}">
          <x14:id>{5A8CCDB4-06F8-40C5-9CBF-E5DAEA3D4C08}</x14:id>
        </ext>
      </extLst>
    </cfRule>
  </conditionalFormatting>
  <conditionalFormatting sqref="BA222">
    <cfRule type="iconSet" priority="2313">
      <iconSet iconSet="3Arrows">
        <cfvo type="percent" val="0"/>
        <cfvo type="num" val="0.7"/>
        <cfvo type="num" val="1"/>
      </iconSet>
    </cfRule>
    <cfRule type="dataBar" priority="2314">
      <dataBar>
        <cfvo type="num" val="0"/>
        <cfvo type="num" val="1"/>
        <color theme="4" tint="0.79998168889431442"/>
      </dataBar>
      <extLst>
        <ext xmlns:x14="http://schemas.microsoft.com/office/spreadsheetml/2009/9/main" uri="{B025F937-C7B1-47D3-B67F-A62EFF666E3E}">
          <x14:id>{52DC7E5F-B3D6-4E68-AF2D-734D4A373795}</x14:id>
        </ext>
      </extLst>
    </cfRule>
  </conditionalFormatting>
  <conditionalFormatting sqref="BA226">
    <cfRule type="iconSet" priority="2022">
      <iconSet iconSet="3Arrows">
        <cfvo type="percent" val="0"/>
        <cfvo type="num" val="0.7"/>
        <cfvo type="num" val="1"/>
      </iconSet>
    </cfRule>
    <cfRule type="dataBar" priority="2023">
      <dataBar>
        <cfvo type="num" val="0"/>
        <cfvo type="num" val="1"/>
        <color theme="4" tint="0.79998168889431442"/>
      </dataBar>
      <extLst>
        <ext xmlns:x14="http://schemas.microsoft.com/office/spreadsheetml/2009/9/main" uri="{B025F937-C7B1-47D3-B67F-A62EFF666E3E}">
          <x14:id>{3312CF8A-F1D8-4694-933C-5E1A044676AD}</x14:id>
        </ext>
      </extLst>
    </cfRule>
  </conditionalFormatting>
  <conditionalFormatting sqref="BA229">
    <cfRule type="iconSet" priority="3824">
      <iconSet iconSet="3Arrows">
        <cfvo type="percent" val="0"/>
        <cfvo type="num" val="0.7"/>
        <cfvo type="num" val="1"/>
      </iconSet>
    </cfRule>
    <cfRule type="dataBar" priority="3825">
      <dataBar>
        <cfvo type="num" val="0"/>
        <cfvo type="num" val="1"/>
        <color theme="4" tint="0.79998168889431442"/>
      </dataBar>
      <extLst>
        <ext xmlns:x14="http://schemas.microsoft.com/office/spreadsheetml/2009/9/main" uri="{B025F937-C7B1-47D3-B67F-A62EFF666E3E}">
          <x14:id>{678E07A5-3BC4-4911-A33D-25F0E5811CA1}</x14:id>
        </ext>
      </extLst>
    </cfRule>
  </conditionalFormatting>
  <conditionalFormatting sqref="BA233">
    <cfRule type="iconSet" priority="3830">
      <iconSet iconSet="3Arrows">
        <cfvo type="percent" val="0"/>
        <cfvo type="num" val="0.7"/>
        <cfvo type="num" val="1"/>
      </iconSet>
    </cfRule>
    <cfRule type="dataBar" priority="3831">
      <dataBar>
        <cfvo type="num" val="0"/>
        <cfvo type="num" val="1"/>
        <color theme="4" tint="0.79998168889431442"/>
      </dataBar>
      <extLst>
        <ext xmlns:x14="http://schemas.microsoft.com/office/spreadsheetml/2009/9/main" uri="{B025F937-C7B1-47D3-B67F-A62EFF666E3E}">
          <x14:id>{B572B2F1-F775-4A31-BF03-9330C95F373D}</x14:id>
        </ext>
      </extLst>
    </cfRule>
  </conditionalFormatting>
  <conditionalFormatting sqref="BA235">
    <cfRule type="iconSet" priority="3828">
      <iconSet iconSet="3Arrows">
        <cfvo type="percent" val="0"/>
        <cfvo type="num" val="0.7"/>
        <cfvo type="num" val="1"/>
      </iconSet>
    </cfRule>
    <cfRule type="dataBar" priority="3829">
      <dataBar>
        <cfvo type="num" val="0"/>
        <cfvo type="num" val="1"/>
        <color theme="4" tint="0.79998168889431442"/>
      </dataBar>
      <extLst>
        <ext xmlns:x14="http://schemas.microsoft.com/office/spreadsheetml/2009/9/main" uri="{B025F937-C7B1-47D3-B67F-A62EFF666E3E}">
          <x14:id>{357133F2-12E6-49D9-A22D-CC26C4E49CF0}</x14:id>
        </ext>
      </extLst>
    </cfRule>
  </conditionalFormatting>
  <conditionalFormatting sqref="BA237">
    <cfRule type="iconSet" priority="3665">
      <iconSet iconSet="3Arrows">
        <cfvo type="percent" val="0"/>
        <cfvo type="num" val="0.7"/>
        <cfvo type="num" val="1"/>
      </iconSet>
    </cfRule>
    <cfRule type="dataBar" priority="3666">
      <dataBar>
        <cfvo type="num" val="0"/>
        <cfvo type="num" val="1"/>
        <color theme="4" tint="0.79998168889431442"/>
      </dataBar>
      <extLst>
        <ext xmlns:x14="http://schemas.microsoft.com/office/spreadsheetml/2009/9/main" uri="{B025F937-C7B1-47D3-B67F-A62EFF666E3E}">
          <x14:id>{E21200EF-3879-4FF1-96CE-EBD7CA398A0E}</x14:id>
        </ext>
      </extLst>
    </cfRule>
  </conditionalFormatting>
  <conditionalFormatting sqref="BA239">
    <cfRule type="iconSet" priority="3636">
      <iconSet iconSet="3Arrows">
        <cfvo type="percent" val="0"/>
        <cfvo type="num" val="0.7"/>
        <cfvo type="num" val="1"/>
      </iconSet>
    </cfRule>
    <cfRule type="dataBar" priority="3637">
      <dataBar>
        <cfvo type="num" val="0"/>
        <cfvo type="num" val="1"/>
        <color theme="4" tint="0.79998168889431442"/>
      </dataBar>
      <extLst>
        <ext xmlns:x14="http://schemas.microsoft.com/office/spreadsheetml/2009/9/main" uri="{B025F937-C7B1-47D3-B67F-A62EFF666E3E}">
          <x14:id>{9956A387-13BB-4842-AA4B-1AC0B89DFEB8}</x14:id>
        </ext>
      </extLst>
    </cfRule>
  </conditionalFormatting>
  <conditionalFormatting sqref="BA241">
    <cfRule type="iconSet" priority="3634">
      <iconSet iconSet="3Arrows">
        <cfvo type="percent" val="0"/>
        <cfvo type="num" val="0.7"/>
        <cfvo type="num" val="1"/>
      </iconSet>
    </cfRule>
    <cfRule type="dataBar" priority="3635">
      <dataBar>
        <cfvo type="num" val="0"/>
        <cfvo type="num" val="1"/>
        <color theme="4" tint="0.79998168889431442"/>
      </dataBar>
      <extLst>
        <ext xmlns:x14="http://schemas.microsoft.com/office/spreadsheetml/2009/9/main" uri="{B025F937-C7B1-47D3-B67F-A62EFF666E3E}">
          <x14:id>{8FF4D8EC-9A19-4BA8-A17E-6F785A6D3963}</x14:id>
        </ext>
      </extLst>
    </cfRule>
  </conditionalFormatting>
  <conditionalFormatting sqref="BA243">
    <cfRule type="iconSet" priority="3632">
      <iconSet iconSet="3Arrows">
        <cfvo type="percent" val="0"/>
        <cfvo type="num" val="0.7"/>
        <cfvo type="num" val="1"/>
      </iconSet>
    </cfRule>
    <cfRule type="dataBar" priority="3633">
      <dataBar>
        <cfvo type="num" val="0"/>
        <cfvo type="num" val="1"/>
        <color theme="4" tint="0.79998168889431442"/>
      </dataBar>
      <extLst>
        <ext xmlns:x14="http://schemas.microsoft.com/office/spreadsheetml/2009/9/main" uri="{B025F937-C7B1-47D3-B67F-A62EFF666E3E}">
          <x14:id>{678111DC-1C31-4A30-8984-FE655BA07DCD}</x14:id>
        </ext>
      </extLst>
    </cfRule>
  </conditionalFormatting>
  <conditionalFormatting sqref="BA245">
    <cfRule type="iconSet" priority="3464">
      <iconSet iconSet="3Arrows">
        <cfvo type="percent" val="0"/>
        <cfvo type="num" val="0.7"/>
        <cfvo type="num" val="1"/>
      </iconSet>
    </cfRule>
    <cfRule type="dataBar" priority="3465">
      <dataBar>
        <cfvo type="num" val="0"/>
        <cfvo type="num" val="1"/>
        <color theme="4" tint="0.79998168889431442"/>
      </dataBar>
      <extLst>
        <ext xmlns:x14="http://schemas.microsoft.com/office/spreadsheetml/2009/9/main" uri="{B025F937-C7B1-47D3-B67F-A62EFF666E3E}">
          <x14:id>{797783F2-8C2C-4723-9117-00AB257A1B87}</x14:id>
        </ext>
      </extLst>
    </cfRule>
  </conditionalFormatting>
  <conditionalFormatting sqref="BA247">
    <cfRule type="iconSet" priority="2003">
      <iconSet iconSet="3Arrows">
        <cfvo type="percent" val="0"/>
        <cfvo type="num" val="0.7"/>
        <cfvo type="num" val="1"/>
      </iconSet>
    </cfRule>
    <cfRule type="dataBar" priority="2004">
      <dataBar>
        <cfvo type="num" val="0"/>
        <cfvo type="num" val="1"/>
        <color theme="4" tint="0.79998168889431442"/>
      </dataBar>
      <extLst>
        <ext xmlns:x14="http://schemas.microsoft.com/office/spreadsheetml/2009/9/main" uri="{B025F937-C7B1-47D3-B67F-A62EFF666E3E}">
          <x14:id>{3AC226F3-E406-4B54-B014-A524DB4BA5CC}</x14:id>
        </ext>
      </extLst>
    </cfRule>
  </conditionalFormatting>
  <conditionalFormatting sqref="BA249">
    <cfRule type="iconSet" priority="3436">
      <iconSet iconSet="3Arrows">
        <cfvo type="percent" val="0"/>
        <cfvo type="num" val="0.7"/>
        <cfvo type="num" val="1"/>
      </iconSet>
    </cfRule>
    <cfRule type="dataBar" priority="3437">
      <dataBar>
        <cfvo type="num" val="0"/>
        <cfvo type="num" val="1"/>
        <color theme="4" tint="0.79998168889431442"/>
      </dataBar>
      <extLst>
        <ext xmlns:x14="http://schemas.microsoft.com/office/spreadsheetml/2009/9/main" uri="{B025F937-C7B1-47D3-B67F-A62EFF666E3E}">
          <x14:id>{5581A0BD-4058-42E6-98CC-862F8FABE7AE}</x14:id>
        </ext>
      </extLst>
    </cfRule>
  </conditionalFormatting>
  <conditionalFormatting sqref="BA251">
    <cfRule type="iconSet" priority="2358">
      <iconSet iconSet="3Arrows">
        <cfvo type="percent" val="0"/>
        <cfvo type="num" val="0.7"/>
        <cfvo type="num" val="1"/>
      </iconSet>
    </cfRule>
    <cfRule type="dataBar" priority="2359">
      <dataBar>
        <cfvo type="num" val="0"/>
        <cfvo type="num" val="1"/>
        <color theme="4" tint="0.79998168889431442"/>
      </dataBar>
      <extLst>
        <ext xmlns:x14="http://schemas.microsoft.com/office/spreadsheetml/2009/9/main" uri="{B025F937-C7B1-47D3-B67F-A62EFF666E3E}">
          <x14:id>{1B5CDE94-6139-4DAD-A1A2-FF826D0ED545}</x14:id>
        </ext>
      </extLst>
    </cfRule>
  </conditionalFormatting>
  <conditionalFormatting sqref="BA253">
    <cfRule type="iconSet" priority="1965">
      <iconSet iconSet="3Arrows">
        <cfvo type="percent" val="0"/>
        <cfvo type="num" val="0.7"/>
        <cfvo type="num" val="1"/>
      </iconSet>
    </cfRule>
    <cfRule type="dataBar" priority="1966">
      <dataBar>
        <cfvo type="num" val="0"/>
        <cfvo type="num" val="1"/>
        <color theme="4" tint="0.79998168889431442"/>
      </dataBar>
      <extLst>
        <ext xmlns:x14="http://schemas.microsoft.com/office/spreadsheetml/2009/9/main" uri="{B025F937-C7B1-47D3-B67F-A62EFF666E3E}">
          <x14:id>{E55BABFE-C63B-45A9-828C-93524A82A438}</x14:id>
        </ext>
      </extLst>
    </cfRule>
  </conditionalFormatting>
  <conditionalFormatting sqref="BA255">
    <cfRule type="iconSet" priority="3798">
      <iconSet iconSet="3Arrows">
        <cfvo type="percent" val="0"/>
        <cfvo type="num" val="0.7"/>
        <cfvo type="num" val="1"/>
      </iconSet>
    </cfRule>
    <cfRule type="dataBar" priority="3799">
      <dataBar>
        <cfvo type="num" val="0"/>
        <cfvo type="num" val="1"/>
        <color theme="4" tint="0.79998168889431442"/>
      </dataBar>
      <extLst>
        <ext xmlns:x14="http://schemas.microsoft.com/office/spreadsheetml/2009/9/main" uri="{B025F937-C7B1-47D3-B67F-A62EFF666E3E}">
          <x14:id>{E8F3C887-02E1-4006-A5DC-081C8669730A}</x14:id>
        </ext>
      </extLst>
    </cfRule>
  </conditionalFormatting>
  <conditionalFormatting sqref="BA257">
    <cfRule type="iconSet" priority="1863">
      <iconSet iconSet="3Arrows">
        <cfvo type="percent" val="0"/>
        <cfvo type="num" val="0.7"/>
        <cfvo type="num" val="1"/>
      </iconSet>
    </cfRule>
    <cfRule type="dataBar" priority="1864">
      <dataBar>
        <cfvo type="num" val="0"/>
        <cfvo type="num" val="1"/>
        <color theme="4" tint="0.79998168889431442"/>
      </dataBar>
      <extLst>
        <ext xmlns:x14="http://schemas.microsoft.com/office/spreadsheetml/2009/9/main" uri="{B025F937-C7B1-47D3-B67F-A62EFF666E3E}">
          <x14:id>{8FE3CB16-C78E-4369-8EFC-4ED30BCE19C3}</x14:id>
        </ext>
      </extLst>
    </cfRule>
  </conditionalFormatting>
  <conditionalFormatting sqref="BA259">
    <cfRule type="iconSet" priority="1847">
      <iconSet iconSet="3Arrows">
        <cfvo type="percent" val="0"/>
        <cfvo type="num" val="0.7"/>
        <cfvo type="num" val="1"/>
      </iconSet>
    </cfRule>
    <cfRule type="dataBar" priority="1848">
      <dataBar>
        <cfvo type="num" val="0"/>
        <cfvo type="num" val="1"/>
        <color theme="4" tint="0.79998168889431442"/>
      </dataBar>
      <extLst>
        <ext xmlns:x14="http://schemas.microsoft.com/office/spreadsheetml/2009/9/main" uri="{B025F937-C7B1-47D3-B67F-A62EFF666E3E}">
          <x14:id>{A93BC383-4873-4B6C-8C41-CD544E550483}</x14:id>
        </ext>
      </extLst>
    </cfRule>
  </conditionalFormatting>
  <conditionalFormatting sqref="BA261">
    <cfRule type="iconSet" priority="1437">
      <iconSet iconSet="3Arrows">
        <cfvo type="percent" val="0"/>
        <cfvo type="num" val="0.7"/>
        <cfvo type="num" val="1"/>
      </iconSet>
    </cfRule>
    <cfRule type="dataBar" priority="1438">
      <dataBar>
        <cfvo type="num" val="0"/>
        <cfvo type="num" val="1"/>
        <color theme="4" tint="0.79998168889431442"/>
      </dataBar>
      <extLst>
        <ext xmlns:x14="http://schemas.microsoft.com/office/spreadsheetml/2009/9/main" uri="{B025F937-C7B1-47D3-B67F-A62EFF666E3E}">
          <x14:id>{2BF7EBA1-8B1B-40B0-BA5A-E9822A44CA36}</x14:id>
        </ext>
      </extLst>
    </cfRule>
  </conditionalFormatting>
  <conditionalFormatting sqref="BA263">
    <cfRule type="iconSet" priority="436">
      <iconSet iconSet="3Arrows">
        <cfvo type="percent" val="0"/>
        <cfvo type="num" val="0.7"/>
        <cfvo type="num" val="1"/>
      </iconSet>
    </cfRule>
    <cfRule type="dataBar" priority="437">
      <dataBar>
        <cfvo type="num" val="0"/>
        <cfvo type="num" val="1"/>
        <color theme="4" tint="0.79998168889431442"/>
      </dataBar>
      <extLst>
        <ext xmlns:x14="http://schemas.microsoft.com/office/spreadsheetml/2009/9/main" uri="{B025F937-C7B1-47D3-B67F-A62EFF666E3E}">
          <x14:id>{6838D78F-AE5D-4831-88A4-07AE8478D27A}</x14:id>
        </ext>
      </extLst>
    </cfRule>
  </conditionalFormatting>
  <conditionalFormatting sqref="BA265">
    <cfRule type="iconSet" priority="339">
      <iconSet iconSet="3Arrows">
        <cfvo type="percent" val="0"/>
        <cfvo type="num" val="0.7"/>
        <cfvo type="num" val="1"/>
      </iconSet>
    </cfRule>
    <cfRule type="dataBar" priority="340">
      <dataBar>
        <cfvo type="num" val="0"/>
        <cfvo type="num" val="1"/>
        <color theme="4" tint="0.79998168889431442"/>
      </dataBar>
      <extLst>
        <ext xmlns:x14="http://schemas.microsoft.com/office/spreadsheetml/2009/9/main" uri="{B025F937-C7B1-47D3-B67F-A62EFF666E3E}">
          <x14:id>{8C7A93A2-9CD1-449D-88DF-2A8588D86725}</x14:id>
        </ext>
      </extLst>
    </cfRule>
  </conditionalFormatting>
  <conditionalFormatting sqref="BA267">
    <cfRule type="iconSet" priority="323">
      <iconSet iconSet="3Arrows">
        <cfvo type="percent" val="0"/>
        <cfvo type="num" val="0.7"/>
        <cfvo type="num" val="1"/>
      </iconSet>
    </cfRule>
    <cfRule type="dataBar" priority="324">
      <dataBar>
        <cfvo type="num" val="0"/>
        <cfvo type="num" val="1"/>
        <color theme="4" tint="0.79998168889431442"/>
      </dataBar>
      <extLst>
        <ext xmlns:x14="http://schemas.microsoft.com/office/spreadsheetml/2009/9/main" uri="{B025F937-C7B1-47D3-B67F-A62EFF666E3E}">
          <x14:id>{D8E79501-0554-43B8-A56E-F1F98BD5DA4D}</x14:id>
        </ext>
      </extLst>
    </cfRule>
  </conditionalFormatting>
  <conditionalFormatting sqref="BA269">
    <cfRule type="iconSet" priority="1451">
      <iconSet iconSet="3Arrows">
        <cfvo type="percent" val="0"/>
        <cfvo type="num" val="0.7"/>
        <cfvo type="num" val="1"/>
      </iconSet>
    </cfRule>
    <cfRule type="dataBar" priority="1452">
      <dataBar>
        <cfvo type="num" val="0"/>
        <cfvo type="num" val="1"/>
        <color theme="4" tint="0.79998168889431442"/>
      </dataBar>
      <extLst>
        <ext xmlns:x14="http://schemas.microsoft.com/office/spreadsheetml/2009/9/main" uri="{B025F937-C7B1-47D3-B67F-A62EFF666E3E}">
          <x14:id>{B4E56D5B-7C28-4442-AEEA-02BE79524A19}</x14:id>
        </ext>
      </extLst>
    </cfRule>
  </conditionalFormatting>
  <conditionalFormatting sqref="BA271">
    <cfRule type="iconSet" priority="307">
      <iconSet iconSet="3Arrows">
        <cfvo type="percent" val="0"/>
        <cfvo type="num" val="0.7"/>
        <cfvo type="num" val="1"/>
      </iconSet>
    </cfRule>
    <cfRule type="dataBar" priority="308">
      <dataBar>
        <cfvo type="num" val="0"/>
        <cfvo type="num" val="1"/>
        <color theme="4" tint="0.79998168889431442"/>
      </dataBar>
      <extLst>
        <ext xmlns:x14="http://schemas.microsoft.com/office/spreadsheetml/2009/9/main" uri="{B025F937-C7B1-47D3-B67F-A62EFF666E3E}">
          <x14:id>{444A3576-6FF2-401C-84E8-63A60A93FAA8}</x14:id>
        </ext>
      </extLst>
    </cfRule>
  </conditionalFormatting>
  <conditionalFormatting sqref="BA273">
    <cfRule type="iconSet" priority="452">
      <iconSet iconSet="3Arrows">
        <cfvo type="percent" val="0"/>
        <cfvo type="num" val="0.7"/>
        <cfvo type="num" val="1"/>
      </iconSet>
    </cfRule>
    <cfRule type="dataBar" priority="453">
      <dataBar>
        <cfvo type="num" val="0"/>
        <cfvo type="num" val="1"/>
        <color theme="4" tint="0.79998168889431442"/>
      </dataBar>
      <extLst>
        <ext xmlns:x14="http://schemas.microsoft.com/office/spreadsheetml/2009/9/main" uri="{B025F937-C7B1-47D3-B67F-A62EFF666E3E}">
          <x14:id>{57F5BB9A-3F7C-42AB-81C1-F5F10E4F81FE}</x14:id>
        </ext>
      </extLst>
    </cfRule>
  </conditionalFormatting>
  <conditionalFormatting sqref="BA275">
    <cfRule type="iconSet" priority="1881">
      <iconSet iconSet="3Arrows">
        <cfvo type="percent" val="0"/>
        <cfvo type="num" val="0.7"/>
        <cfvo type="num" val="1"/>
      </iconSet>
    </cfRule>
    <cfRule type="dataBar" priority="1882">
      <dataBar>
        <cfvo type="num" val="0"/>
        <cfvo type="num" val="1"/>
        <color theme="4" tint="0.79998168889431442"/>
      </dataBar>
      <extLst>
        <ext xmlns:x14="http://schemas.microsoft.com/office/spreadsheetml/2009/9/main" uri="{B025F937-C7B1-47D3-B67F-A62EFF666E3E}">
          <x14:id>{499E1835-3FE5-4547-9FD8-3CEBE6B86643}</x14:id>
        </ext>
      </extLst>
    </cfRule>
  </conditionalFormatting>
  <conditionalFormatting sqref="BA278">
    <cfRule type="iconSet" priority="3826">
      <iconSet iconSet="3Arrows">
        <cfvo type="percent" val="0"/>
        <cfvo type="num" val="0.7"/>
        <cfvo type="num" val="1"/>
      </iconSet>
    </cfRule>
    <cfRule type="dataBar" priority="3827">
      <dataBar>
        <cfvo type="num" val="0"/>
        <cfvo type="num" val="1"/>
        <color theme="4" tint="0.79998168889431442"/>
      </dataBar>
      <extLst>
        <ext xmlns:x14="http://schemas.microsoft.com/office/spreadsheetml/2009/9/main" uri="{B025F937-C7B1-47D3-B67F-A62EFF666E3E}">
          <x14:id>{58297AA7-8B54-4ACD-960F-6A6DF0B3D2B6}</x14:id>
        </ext>
      </extLst>
    </cfRule>
  </conditionalFormatting>
  <conditionalFormatting sqref="BA280 BA296">
    <cfRule type="iconSet" priority="3854">
      <iconSet iconSet="3Arrows">
        <cfvo type="percent" val="0"/>
        <cfvo type="num" val="0.7"/>
        <cfvo type="num" val="1"/>
      </iconSet>
    </cfRule>
    <cfRule type="dataBar" priority="3855">
      <dataBar>
        <cfvo type="num" val="0"/>
        <cfvo type="num" val="1"/>
        <color theme="4" tint="0.79998168889431442"/>
      </dataBar>
      <extLst>
        <ext xmlns:x14="http://schemas.microsoft.com/office/spreadsheetml/2009/9/main" uri="{B025F937-C7B1-47D3-B67F-A62EFF666E3E}">
          <x14:id>{E69FAB41-F93C-4073-ABE3-A11E895FE26F}</x14:id>
        </ext>
      </extLst>
    </cfRule>
  </conditionalFormatting>
  <conditionalFormatting sqref="BA282">
    <cfRule type="iconSet" priority="1819">
      <iconSet iconSet="3Arrows">
        <cfvo type="percent" val="0"/>
        <cfvo type="num" val="0.7"/>
        <cfvo type="num" val="1"/>
      </iconSet>
    </cfRule>
    <cfRule type="dataBar" priority="1820">
      <dataBar>
        <cfvo type="num" val="0"/>
        <cfvo type="num" val="1"/>
        <color theme="4" tint="0.79998168889431442"/>
      </dataBar>
      <extLst>
        <ext xmlns:x14="http://schemas.microsoft.com/office/spreadsheetml/2009/9/main" uri="{B025F937-C7B1-47D3-B67F-A62EFF666E3E}">
          <x14:id>{D5C27CD6-E339-43C1-8669-338ECAD6DC78}</x14:id>
        </ext>
      </extLst>
    </cfRule>
  </conditionalFormatting>
  <conditionalFormatting sqref="BA284">
    <cfRule type="iconSet" priority="1833">
      <iconSet iconSet="3Arrows">
        <cfvo type="percent" val="0"/>
        <cfvo type="num" val="0.7"/>
        <cfvo type="num" val="1"/>
      </iconSet>
    </cfRule>
    <cfRule type="dataBar" priority="1834">
      <dataBar>
        <cfvo type="num" val="0"/>
        <cfvo type="num" val="1"/>
        <color theme="4" tint="0.79998168889431442"/>
      </dataBar>
      <extLst>
        <ext xmlns:x14="http://schemas.microsoft.com/office/spreadsheetml/2009/9/main" uri="{B025F937-C7B1-47D3-B67F-A62EFF666E3E}">
          <x14:id>{C608B3F2-B817-475E-969F-12BF4E42912B}</x14:id>
        </ext>
      </extLst>
    </cfRule>
  </conditionalFormatting>
  <conditionalFormatting sqref="BA286">
    <cfRule type="iconSet" priority="1408">
      <iconSet iconSet="3Arrows">
        <cfvo type="percent" val="0"/>
        <cfvo type="num" val="0.7"/>
        <cfvo type="num" val="1"/>
      </iconSet>
    </cfRule>
    <cfRule type="dataBar" priority="1409">
      <dataBar>
        <cfvo type="num" val="0"/>
        <cfvo type="num" val="1"/>
        <color theme="4" tint="0.79998168889431442"/>
      </dataBar>
      <extLst>
        <ext xmlns:x14="http://schemas.microsoft.com/office/spreadsheetml/2009/9/main" uri="{B025F937-C7B1-47D3-B67F-A62EFF666E3E}">
          <x14:id>{3ECAFE39-2FCD-40E7-8BB7-7377AC0FCA5D}</x14:id>
        </ext>
      </extLst>
    </cfRule>
  </conditionalFormatting>
  <conditionalFormatting sqref="BA288">
    <cfRule type="iconSet" priority="1394">
      <iconSet iconSet="3Arrows">
        <cfvo type="percent" val="0"/>
        <cfvo type="num" val="0.7"/>
        <cfvo type="num" val="1"/>
      </iconSet>
    </cfRule>
    <cfRule type="dataBar" priority="1395">
      <dataBar>
        <cfvo type="num" val="0"/>
        <cfvo type="num" val="1"/>
        <color theme="4" tint="0.79998168889431442"/>
      </dataBar>
      <extLst>
        <ext xmlns:x14="http://schemas.microsoft.com/office/spreadsheetml/2009/9/main" uri="{B025F937-C7B1-47D3-B67F-A62EFF666E3E}">
          <x14:id>{D5DD818F-0E70-4302-822F-F45930E7252E}</x14:id>
        </ext>
      </extLst>
    </cfRule>
  </conditionalFormatting>
  <conditionalFormatting sqref="BA290">
    <cfRule type="iconSet" priority="1422">
      <iconSet iconSet="3Arrows">
        <cfvo type="percent" val="0"/>
        <cfvo type="num" val="0.7"/>
        <cfvo type="num" val="1"/>
      </iconSet>
    </cfRule>
    <cfRule type="dataBar" priority="1423">
      <dataBar>
        <cfvo type="num" val="0"/>
        <cfvo type="num" val="1"/>
        <color theme="4" tint="0.79998168889431442"/>
      </dataBar>
      <extLst>
        <ext xmlns:x14="http://schemas.microsoft.com/office/spreadsheetml/2009/9/main" uri="{B025F937-C7B1-47D3-B67F-A62EFF666E3E}">
          <x14:id>{681F0B7A-53CE-4222-B189-5B2A7B10AECA}</x14:id>
        </ext>
      </extLst>
    </cfRule>
  </conditionalFormatting>
  <conditionalFormatting sqref="BA292">
    <cfRule type="iconSet" priority="355">
      <iconSet iconSet="3Arrows">
        <cfvo type="percent" val="0"/>
        <cfvo type="num" val="0.7"/>
        <cfvo type="num" val="1"/>
      </iconSet>
    </cfRule>
    <cfRule type="dataBar" priority="356">
      <dataBar>
        <cfvo type="num" val="0"/>
        <cfvo type="num" val="1"/>
        <color theme="4" tint="0.79998168889431442"/>
      </dataBar>
      <extLst>
        <ext xmlns:x14="http://schemas.microsoft.com/office/spreadsheetml/2009/9/main" uri="{B025F937-C7B1-47D3-B67F-A62EFF666E3E}">
          <x14:id>{987C08E5-B62A-4EF1-AFBD-5A1BEA577314}</x14:id>
        </ext>
      </extLst>
    </cfRule>
  </conditionalFormatting>
  <conditionalFormatting sqref="BA294">
    <cfRule type="iconSet" priority="3422">
      <iconSet iconSet="3Arrows">
        <cfvo type="percent" val="0"/>
        <cfvo type="num" val="0.7"/>
        <cfvo type="num" val="1"/>
      </iconSet>
    </cfRule>
    <cfRule type="dataBar" priority="3423">
      <dataBar>
        <cfvo type="num" val="0"/>
        <cfvo type="num" val="1"/>
        <color theme="4" tint="0.79998168889431442"/>
      </dataBar>
      <extLst>
        <ext xmlns:x14="http://schemas.microsoft.com/office/spreadsheetml/2009/9/main" uri="{B025F937-C7B1-47D3-B67F-A62EFF666E3E}">
          <x14:id>{78207F65-58FC-4E09-BDBA-5FF03CB921EA}</x14:id>
        </ext>
      </extLst>
    </cfRule>
  </conditionalFormatting>
  <conditionalFormatting sqref="BA299">
    <cfRule type="iconSet" priority="3391">
      <iconSet iconSet="3Arrows">
        <cfvo type="percent" val="0"/>
        <cfvo type="num" val="0.7"/>
        <cfvo type="num" val="1"/>
      </iconSet>
    </cfRule>
    <cfRule type="dataBar" priority="3392">
      <dataBar>
        <cfvo type="num" val="0"/>
        <cfvo type="num" val="1"/>
        <color theme="4" tint="0.79998168889431442"/>
      </dataBar>
      <extLst>
        <ext xmlns:x14="http://schemas.microsoft.com/office/spreadsheetml/2009/9/main" uri="{B025F937-C7B1-47D3-B67F-A62EFF666E3E}">
          <x14:id>{85398FA7-27D5-47BD-A3A0-8F5C57F19784}</x14:id>
        </ext>
      </extLst>
    </cfRule>
  </conditionalFormatting>
  <conditionalFormatting sqref="BA304">
    <cfRule type="iconSet" priority="3373">
      <iconSet iconSet="3Arrows">
        <cfvo type="percent" val="0"/>
        <cfvo type="num" val="0.7"/>
        <cfvo type="num" val="1"/>
      </iconSet>
    </cfRule>
    <cfRule type="dataBar" priority="3374">
      <dataBar>
        <cfvo type="num" val="0"/>
        <cfvo type="num" val="1"/>
        <color theme="4" tint="0.79998168889431442"/>
      </dataBar>
      <extLst>
        <ext xmlns:x14="http://schemas.microsoft.com/office/spreadsheetml/2009/9/main" uri="{B025F937-C7B1-47D3-B67F-A62EFF666E3E}">
          <x14:id>{B852E2AE-2C09-47E5-AC61-C09E2CD3E54F}</x14:id>
        </ext>
      </extLst>
    </cfRule>
  </conditionalFormatting>
  <conditionalFormatting sqref="BA307">
    <cfRule type="iconSet" priority="3822">
      <iconSet iconSet="3Arrows">
        <cfvo type="percent" val="0"/>
        <cfvo type="num" val="0.7"/>
        <cfvo type="num" val="1"/>
      </iconSet>
    </cfRule>
    <cfRule type="dataBar" priority="3823">
      <dataBar>
        <cfvo type="num" val="0"/>
        <cfvo type="num" val="1"/>
        <color theme="4" tint="0.79998168889431442"/>
      </dataBar>
      <extLst>
        <ext xmlns:x14="http://schemas.microsoft.com/office/spreadsheetml/2009/9/main" uri="{B025F937-C7B1-47D3-B67F-A62EFF666E3E}">
          <x14:id>{575FDBF6-43EA-46F1-8B6E-90868341764B}</x14:id>
        </ext>
      </extLst>
    </cfRule>
  </conditionalFormatting>
  <conditionalFormatting sqref="BA310">
    <cfRule type="iconSet" priority="3816">
      <iconSet iconSet="3Arrows">
        <cfvo type="percent" val="0"/>
        <cfvo type="num" val="0.7"/>
        <cfvo type="num" val="1"/>
      </iconSet>
    </cfRule>
    <cfRule type="dataBar" priority="3817">
      <dataBar>
        <cfvo type="num" val="0"/>
        <cfvo type="num" val="1"/>
        <color theme="4" tint="0.79998168889431442"/>
      </dataBar>
      <extLst>
        <ext xmlns:x14="http://schemas.microsoft.com/office/spreadsheetml/2009/9/main" uri="{B025F937-C7B1-47D3-B67F-A62EFF666E3E}">
          <x14:id>{2D345EF1-CB97-459F-A945-D6DB38CE2442}</x14:id>
        </ext>
      </extLst>
    </cfRule>
  </conditionalFormatting>
  <conditionalFormatting sqref="BA314">
    <cfRule type="iconSet" priority="3820">
      <iconSet iconSet="3Arrows">
        <cfvo type="percent" val="0"/>
        <cfvo type="num" val="0.7"/>
        <cfvo type="num" val="1"/>
      </iconSet>
    </cfRule>
    <cfRule type="dataBar" priority="3821">
      <dataBar>
        <cfvo type="num" val="0"/>
        <cfvo type="num" val="1"/>
        <color theme="4" tint="0.79998168889431442"/>
      </dataBar>
      <extLst>
        <ext xmlns:x14="http://schemas.microsoft.com/office/spreadsheetml/2009/9/main" uri="{B025F937-C7B1-47D3-B67F-A62EFF666E3E}">
          <x14:id>{E5674558-AF70-4B22-BD90-81C1FC76890C}</x14:id>
        </ext>
      </extLst>
    </cfRule>
  </conditionalFormatting>
  <conditionalFormatting sqref="BA316">
    <cfRule type="iconSet" priority="2507">
      <iconSet iconSet="3Arrows">
        <cfvo type="percent" val="0"/>
        <cfvo type="num" val="0.7"/>
        <cfvo type="num" val="1"/>
      </iconSet>
    </cfRule>
    <cfRule type="dataBar" priority="2508">
      <dataBar>
        <cfvo type="num" val="0"/>
        <cfvo type="num" val="1"/>
        <color theme="4" tint="0.79998168889431442"/>
      </dataBar>
      <extLst>
        <ext xmlns:x14="http://schemas.microsoft.com/office/spreadsheetml/2009/9/main" uri="{B025F937-C7B1-47D3-B67F-A62EFF666E3E}">
          <x14:id>{24D2C9DA-20FE-40EB-B981-F4CD0319637C}</x14:id>
        </ext>
      </extLst>
    </cfRule>
  </conditionalFormatting>
  <conditionalFormatting sqref="BA318">
    <cfRule type="iconSet" priority="3818">
      <iconSet iconSet="3Arrows">
        <cfvo type="percent" val="0"/>
        <cfvo type="num" val="0.7"/>
        <cfvo type="num" val="1"/>
      </iconSet>
    </cfRule>
    <cfRule type="dataBar" priority="3819">
      <dataBar>
        <cfvo type="num" val="0"/>
        <cfvo type="num" val="1"/>
        <color theme="4" tint="0.79998168889431442"/>
      </dataBar>
      <extLst>
        <ext xmlns:x14="http://schemas.microsoft.com/office/spreadsheetml/2009/9/main" uri="{B025F937-C7B1-47D3-B67F-A62EFF666E3E}">
          <x14:id>{66E4AB2D-3C29-4F40-9DB3-CCED5E3DF0F2}</x14:id>
        </ext>
      </extLst>
    </cfRule>
  </conditionalFormatting>
  <conditionalFormatting sqref="BA320">
    <cfRule type="iconSet" priority="3630">
      <iconSet iconSet="3Arrows">
        <cfvo type="percent" val="0"/>
        <cfvo type="num" val="0.7"/>
        <cfvo type="num" val="1"/>
      </iconSet>
    </cfRule>
    <cfRule type="dataBar" priority="3631">
      <dataBar>
        <cfvo type="num" val="0"/>
        <cfvo type="num" val="1"/>
        <color theme="4" tint="0.79998168889431442"/>
      </dataBar>
      <extLst>
        <ext xmlns:x14="http://schemas.microsoft.com/office/spreadsheetml/2009/9/main" uri="{B025F937-C7B1-47D3-B67F-A62EFF666E3E}">
          <x14:id>{A71C3167-5CAB-465D-9DD6-8026B978BFAC}</x14:id>
        </ext>
      </extLst>
    </cfRule>
  </conditionalFormatting>
  <conditionalFormatting sqref="BA322">
    <cfRule type="iconSet" priority="2815">
      <iconSet iconSet="3Arrows">
        <cfvo type="percent" val="0"/>
        <cfvo type="num" val="0.7"/>
        <cfvo type="num" val="1"/>
      </iconSet>
    </cfRule>
    <cfRule type="dataBar" priority="2816">
      <dataBar>
        <cfvo type="num" val="0"/>
        <cfvo type="num" val="1"/>
        <color theme="4" tint="0.79998168889431442"/>
      </dataBar>
      <extLst>
        <ext xmlns:x14="http://schemas.microsoft.com/office/spreadsheetml/2009/9/main" uri="{B025F937-C7B1-47D3-B67F-A62EFF666E3E}">
          <x14:id>{8087874D-E88D-40C3-8416-9F159A22B656}</x14:id>
        </ext>
      </extLst>
    </cfRule>
  </conditionalFormatting>
  <conditionalFormatting sqref="BA324">
    <cfRule type="iconSet" priority="2799">
      <iconSet iconSet="3Arrows">
        <cfvo type="percent" val="0"/>
        <cfvo type="num" val="0.7"/>
        <cfvo type="num" val="1"/>
      </iconSet>
    </cfRule>
    <cfRule type="dataBar" priority="2800">
      <dataBar>
        <cfvo type="num" val="0"/>
        <cfvo type="num" val="1"/>
        <color theme="4" tint="0.79998168889431442"/>
      </dataBar>
      <extLst>
        <ext xmlns:x14="http://schemas.microsoft.com/office/spreadsheetml/2009/9/main" uri="{B025F937-C7B1-47D3-B67F-A62EFF666E3E}">
          <x14:id>{FD2F5C23-0AE6-4795-891E-8B3BF5CBDEE9}</x14:id>
        </ext>
      </extLst>
    </cfRule>
  </conditionalFormatting>
  <conditionalFormatting sqref="BA326">
    <cfRule type="iconSet" priority="2785">
      <iconSet iconSet="3Arrows">
        <cfvo type="percent" val="0"/>
        <cfvo type="num" val="0.7"/>
        <cfvo type="num" val="1"/>
      </iconSet>
    </cfRule>
    <cfRule type="dataBar" priority="2786">
      <dataBar>
        <cfvo type="num" val="0"/>
        <cfvo type="num" val="1"/>
        <color theme="4" tint="0.79998168889431442"/>
      </dataBar>
      <extLst>
        <ext xmlns:x14="http://schemas.microsoft.com/office/spreadsheetml/2009/9/main" uri="{B025F937-C7B1-47D3-B67F-A62EFF666E3E}">
          <x14:id>{E2829E46-62A2-496F-BFAD-01CF97C05469}</x14:id>
        </ext>
      </extLst>
    </cfRule>
  </conditionalFormatting>
  <conditionalFormatting sqref="BA328">
    <cfRule type="iconSet" priority="2681">
      <iconSet iconSet="3Arrows">
        <cfvo type="percent" val="0"/>
        <cfvo type="num" val="0.7"/>
        <cfvo type="num" val="1"/>
      </iconSet>
    </cfRule>
    <cfRule type="dataBar" priority="2682">
      <dataBar>
        <cfvo type="num" val="0"/>
        <cfvo type="num" val="1"/>
        <color theme="4" tint="0.79998168889431442"/>
      </dataBar>
      <extLst>
        <ext xmlns:x14="http://schemas.microsoft.com/office/spreadsheetml/2009/9/main" uri="{B025F937-C7B1-47D3-B67F-A62EFF666E3E}">
          <x14:id>{47E06270-9D09-41E4-A0C1-D85DC9FD49E5}</x14:id>
        </ext>
      </extLst>
    </cfRule>
  </conditionalFormatting>
  <conditionalFormatting sqref="BA330">
    <cfRule type="iconSet" priority="2667">
      <iconSet iconSet="3Arrows">
        <cfvo type="percent" val="0"/>
        <cfvo type="num" val="0.7"/>
        <cfvo type="num" val="1"/>
      </iconSet>
    </cfRule>
    <cfRule type="dataBar" priority="2668">
      <dataBar>
        <cfvo type="num" val="0"/>
        <cfvo type="num" val="1"/>
        <color theme="4" tint="0.79998168889431442"/>
      </dataBar>
      <extLst>
        <ext xmlns:x14="http://schemas.microsoft.com/office/spreadsheetml/2009/9/main" uri="{B025F937-C7B1-47D3-B67F-A62EFF666E3E}">
          <x14:id>{4A6EE002-6B61-49C1-886C-A83967992C27}</x14:id>
        </ext>
      </extLst>
    </cfRule>
  </conditionalFormatting>
  <conditionalFormatting sqref="BA332">
    <cfRule type="iconSet" priority="2744">
      <iconSet iconSet="3Arrows">
        <cfvo type="percent" val="0"/>
        <cfvo type="num" val="0.7"/>
        <cfvo type="num" val="1"/>
      </iconSet>
    </cfRule>
    <cfRule type="dataBar" priority="2745">
      <dataBar>
        <cfvo type="num" val="0"/>
        <cfvo type="num" val="1"/>
        <color theme="4" tint="0.79998168889431442"/>
      </dataBar>
      <extLst>
        <ext xmlns:x14="http://schemas.microsoft.com/office/spreadsheetml/2009/9/main" uri="{B025F937-C7B1-47D3-B67F-A62EFF666E3E}">
          <x14:id>{55016902-68CF-49C0-8666-4C52BA4CE250}</x14:id>
        </ext>
      </extLst>
    </cfRule>
  </conditionalFormatting>
  <conditionalFormatting sqref="BA334">
    <cfRule type="iconSet" priority="2771">
      <iconSet iconSet="3Arrows">
        <cfvo type="percent" val="0"/>
        <cfvo type="num" val="0.7"/>
        <cfvo type="num" val="1"/>
      </iconSet>
    </cfRule>
    <cfRule type="dataBar" priority="2772">
      <dataBar>
        <cfvo type="num" val="0"/>
        <cfvo type="num" val="1"/>
        <color theme="4" tint="0.79998168889431442"/>
      </dataBar>
      <extLst>
        <ext xmlns:x14="http://schemas.microsoft.com/office/spreadsheetml/2009/9/main" uri="{B025F937-C7B1-47D3-B67F-A62EFF666E3E}">
          <x14:id>{757293FB-73A8-4710-8EA4-90200B11AF3C}</x14:id>
        </ext>
      </extLst>
    </cfRule>
  </conditionalFormatting>
  <conditionalFormatting sqref="BA336">
    <cfRule type="iconSet" priority="2295">
      <iconSet iconSet="3Arrows">
        <cfvo type="percent" val="0"/>
        <cfvo type="num" val="0.7"/>
        <cfvo type="num" val="1"/>
      </iconSet>
    </cfRule>
    <cfRule type="dataBar" priority="2296">
      <dataBar>
        <cfvo type="num" val="0"/>
        <cfvo type="num" val="1"/>
        <color theme="4" tint="0.79998168889431442"/>
      </dataBar>
      <extLst>
        <ext xmlns:x14="http://schemas.microsoft.com/office/spreadsheetml/2009/9/main" uri="{B025F937-C7B1-47D3-B67F-A62EFF666E3E}">
          <x14:id>{4D2EF73D-C72A-4577-9AE6-9F920925A9D9}</x14:id>
        </ext>
      </extLst>
    </cfRule>
  </conditionalFormatting>
  <conditionalFormatting sqref="BA338">
    <cfRule type="iconSet" priority="2757">
      <iconSet iconSet="3Arrows">
        <cfvo type="percent" val="0"/>
        <cfvo type="num" val="0.7"/>
        <cfvo type="num" val="1"/>
      </iconSet>
    </cfRule>
    <cfRule type="dataBar" priority="2758">
      <dataBar>
        <cfvo type="num" val="0"/>
        <cfvo type="num" val="1"/>
        <color theme="4" tint="0.79998168889431442"/>
      </dataBar>
      <extLst>
        <ext xmlns:x14="http://schemas.microsoft.com/office/spreadsheetml/2009/9/main" uri="{B025F937-C7B1-47D3-B67F-A62EFF666E3E}">
          <x14:id>{1EBFBE84-A609-4686-860C-76497B088954}</x14:id>
        </ext>
      </extLst>
    </cfRule>
  </conditionalFormatting>
  <conditionalFormatting sqref="BA340">
    <cfRule type="iconSet" priority="2698">
      <iconSet iconSet="3Arrows">
        <cfvo type="percent" val="0"/>
        <cfvo type="num" val="0.7"/>
        <cfvo type="num" val="1"/>
      </iconSet>
    </cfRule>
    <cfRule type="dataBar" priority="2699">
      <dataBar>
        <cfvo type="num" val="0"/>
        <cfvo type="num" val="1"/>
        <color theme="4" tint="0.79998168889431442"/>
      </dataBar>
      <extLst>
        <ext xmlns:x14="http://schemas.microsoft.com/office/spreadsheetml/2009/9/main" uri="{B025F937-C7B1-47D3-B67F-A62EFF666E3E}">
          <x14:id>{42E69B6E-B5E1-43C4-AD71-200D72EBE34A}</x14:id>
        </ext>
      </extLst>
    </cfRule>
  </conditionalFormatting>
  <conditionalFormatting sqref="BA342">
    <cfRule type="iconSet" priority="2727">
      <iconSet iconSet="3Arrows">
        <cfvo type="percent" val="0"/>
        <cfvo type="num" val="0.7"/>
        <cfvo type="num" val="1"/>
      </iconSet>
    </cfRule>
    <cfRule type="dataBar" priority="2728">
      <dataBar>
        <cfvo type="num" val="0"/>
        <cfvo type="num" val="1"/>
        <color theme="4" tint="0.79998168889431442"/>
      </dataBar>
      <extLst>
        <ext xmlns:x14="http://schemas.microsoft.com/office/spreadsheetml/2009/9/main" uri="{B025F937-C7B1-47D3-B67F-A62EFF666E3E}">
          <x14:id>{51F6C2CB-7F4B-4A3A-9F7F-1B12E403BF7D}</x14:id>
        </ext>
      </extLst>
    </cfRule>
  </conditionalFormatting>
  <conditionalFormatting sqref="BA344">
    <cfRule type="iconSet" priority="2396">
      <iconSet iconSet="3Arrows">
        <cfvo type="percent" val="0"/>
        <cfvo type="num" val="0.7"/>
        <cfvo type="num" val="1"/>
      </iconSet>
    </cfRule>
    <cfRule type="dataBar" priority="2397">
      <dataBar>
        <cfvo type="num" val="0"/>
        <cfvo type="num" val="1"/>
        <color theme="4" tint="0.79998168889431442"/>
      </dataBar>
      <extLst>
        <ext xmlns:x14="http://schemas.microsoft.com/office/spreadsheetml/2009/9/main" uri="{B025F937-C7B1-47D3-B67F-A62EFF666E3E}">
          <x14:id>{D49F9F30-D1B2-449F-B501-A2B13C0D8991}</x14:id>
        </ext>
      </extLst>
    </cfRule>
  </conditionalFormatting>
  <conditionalFormatting sqref="BA346">
    <cfRule type="iconSet" priority="2713">
      <iconSet iconSet="3Arrows">
        <cfvo type="percent" val="0"/>
        <cfvo type="num" val="0.7"/>
        <cfvo type="num" val="1"/>
      </iconSet>
    </cfRule>
    <cfRule type="dataBar" priority="2714">
      <dataBar>
        <cfvo type="num" val="0"/>
        <cfvo type="num" val="1"/>
        <color theme="4" tint="0.79998168889431442"/>
      </dataBar>
      <extLst>
        <ext xmlns:x14="http://schemas.microsoft.com/office/spreadsheetml/2009/9/main" uri="{B025F937-C7B1-47D3-B67F-A62EFF666E3E}">
          <x14:id>{42C34CE6-477A-4FDF-9BDB-EF02F6B44C10}</x14:id>
        </ext>
      </extLst>
    </cfRule>
  </conditionalFormatting>
  <conditionalFormatting sqref="BA348">
    <cfRule type="iconSet" priority="2281">
      <iconSet iconSet="3Arrows">
        <cfvo type="percent" val="0"/>
        <cfvo type="num" val="0.7"/>
        <cfvo type="num" val="1"/>
      </iconSet>
    </cfRule>
    <cfRule type="dataBar" priority="2282">
      <dataBar>
        <cfvo type="num" val="0"/>
        <cfvo type="num" val="1"/>
        <color theme="4" tint="0.79998168889431442"/>
      </dataBar>
      <extLst>
        <ext xmlns:x14="http://schemas.microsoft.com/office/spreadsheetml/2009/9/main" uri="{B025F937-C7B1-47D3-B67F-A62EFF666E3E}">
          <x14:id>{B1112238-7C4F-427C-9A2B-348BC992D6CD}</x14:id>
        </ext>
      </extLst>
    </cfRule>
  </conditionalFormatting>
  <conditionalFormatting sqref="BA350">
    <cfRule type="iconSet" priority="2490">
      <iconSet iconSet="3Arrows">
        <cfvo type="percent" val="0"/>
        <cfvo type="num" val="0.7"/>
        <cfvo type="num" val="1"/>
      </iconSet>
    </cfRule>
    <cfRule type="dataBar" priority="2491">
      <dataBar>
        <cfvo type="num" val="0"/>
        <cfvo type="num" val="1"/>
        <color theme="4" tint="0.79998168889431442"/>
      </dataBar>
      <extLst>
        <ext xmlns:x14="http://schemas.microsoft.com/office/spreadsheetml/2009/9/main" uri="{B025F937-C7B1-47D3-B67F-A62EFF666E3E}">
          <x14:id>{274D2B96-5F6F-4F7D-9BA8-0864DC092204}</x14:id>
        </ext>
      </extLst>
    </cfRule>
  </conditionalFormatting>
  <conditionalFormatting sqref="BA352">
    <cfRule type="iconSet" priority="3810">
      <iconSet iconSet="3Arrows">
        <cfvo type="percent" val="0"/>
        <cfvo type="num" val="0.7"/>
        <cfvo type="num" val="1"/>
      </iconSet>
    </cfRule>
    <cfRule type="dataBar" priority="3811">
      <dataBar>
        <cfvo type="num" val="0"/>
        <cfvo type="num" val="1"/>
        <color theme="4" tint="0.79998168889431442"/>
      </dataBar>
      <extLst>
        <ext xmlns:x14="http://schemas.microsoft.com/office/spreadsheetml/2009/9/main" uri="{B025F937-C7B1-47D3-B67F-A62EFF666E3E}">
          <x14:id>{D4B01D6A-7F7C-4A63-8E5E-BE2E80331DA4}</x14:id>
        </ext>
      </extLst>
    </cfRule>
  </conditionalFormatting>
  <conditionalFormatting sqref="BA354">
    <cfRule type="iconSet" priority="3808">
      <iconSet iconSet="3Arrows">
        <cfvo type="percent" val="0"/>
        <cfvo type="num" val="0.7"/>
        <cfvo type="num" val="1"/>
      </iconSet>
    </cfRule>
    <cfRule type="dataBar" priority="3809">
      <dataBar>
        <cfvo type="num" val="0"/>
        <cfvo type="num" val="1"/>
        <color theme="4" tint="0.79998168889431442"/>
      </dataBar>
      <extLst>
        <ext xmlns:x14="http://schemas.microsoft.com/office/spreadsheetml/2009/9/main" uri="{B025F937-C7B1-47D3-B67F-A62EFF666E3E}">
          <x14:id>{97C937F1-E179-45D0-8928-3CAE69ED2268}</x14:id>
        </ext>
      </extLst>
    </cfRule>
  </conditionalFormatting>
  <conditionalFormatting sqref="BA356">
    <cfRule type="iconSet" priority="3806">
      <iconSet iconSet="3Arrows">
        <cfvo type="percent" val="0"/>
        <cfvo type="num" val="0.7"/>
        <cfvo type="num" val="1"/>
      </iconSet>
    </cfRule>
    <cfRule type="dataBar" priority="3807">
      <dataBar>
        <cfvo type="num" val="0"/>
        <cfvo type="num" val="1"/>
        <color theme="4" tint="0.79998168889431442"/>
      </dataBar>
      <extLst>
        <ext xmlns:x14="http://schemas.microsoft.com/office/spreadsheetml/2009/9/main" uri="{B025F937-C7B1-47D3-B67F-A62EFF666E3E}">
          <x14:id>{D88D1102-E3A5-4A77-BC05-862B555FE088}</x14:id>
        </ext>
      </extLst>
    </cfRule>
  </conditionalFormatting>
  <conditionalFormatting sqref="BA358">
    <cfRule type="iconSet" priority="2243">
      <iconSet iconSet="3Arrows">
        <cfvo type="percent" val="0"/>
        <cfvo type="num" val="0.7"/>
        <cfvo type="num" val="1"/>
      </iconSet>
    </cfRule>
    <cfRule type="dataBar" priority="2244">
      <dataBar>
        <cfvo type="num" val="0"/>
        <cfvo type="num" val="1"/>
        <color theme="4" tint="0.79998168889431442"/>
      </dataBar>
      <extLst>
        <ext xmlns:x14="http://schemas.microsoft.com/office/spreadsheetml/2009/9/main" uri="{B025F937-C7B1-47D3-B67F-A62EFF666E3E}">
          <x14:id>{2A7D5A14-8B2A-48F0-8EC6-848E3C5F98DC}</x14:id>
        </ext>
      </extLst>
    </cfRule>
  </conditionalFormatting>
  <conditionalFormatting sqref="BA360">
    <cfRule type="iconSet" priority="2259">
      <iconSet iconSet="3Arrows">
        <cfvo type="percent" val="0"/>
        <cfvo type="num" val="0.7"/>
        <cfvo type="num" val="1"/>
      </iconSet>
    </cfRule>
    <cfRule type="dataBar" priority="2260">
      <dataBar>
        <cfvo type="num" val="0"/>
        <cfvo type="num" val="1"/>
        <color theme="4" tint="0.79998168889431442"/>
      </dataBar>
      <extLst>
        <ext xmlns:x14="http://schemas.microsoft.com/office/spreadsheetml/2009/9/main" uri="{B025F937-C7B1-47D3-B67F-A62EFF666E3E}">
          <x14:id>{692E4F35-27A1-4A2B-A23F-5D3CA0F97EE7}</x14:id>
        </ext>
      </extLst>
    </cfRule>
  </conditionalFormatting>
  <conditionalFormatting sqref="BA362">
    <cfRule type="iconSet" priority="1364">
      <iconSet iconSet="3Arrows">
        <cfvo type="percent" val="0"/>
        <cfvo type="num" val="0.7"/>
        <cfvo type="num" val="1"/>
      </iconSet>
    </cfRule>
    <cfRule type="dataBar" priority="1365">
      <dataBar>
        <cfvo type="num" val="0"/>
        <cfvo type="num" val="1"/>
        <color theme="4" tint="0.79998168889431442"/>
      </dataBar>
      <extLst>
        <ext xmlns:x14="http://schemas.microsoft.com/office/spreadsheetml/2009/9/main" uri="{B025F937-C7B1-47D3-B67F-A62EFF666E3E}">
          <x14:id>{5C2E1E22-7DE3-4FDE-AE9E-B1CF28F175D1}</x14:id>
        </ext>
      </extLst>
    </cfRule>
  </conditionalFormatting>
  <conditionalFormatting sqref="BA364">
    <cfRule type="iconSet" priority="1805">
      <iconSet iconSet="3Arrows">
        <cfvo type="percent" val="0"/>
        <cfvo type="num" val="0.7"/>
        <cfvo type="num" val="1"/>
      </iconSet>
    </cfRule>
    <cfRule type="dataBar" priority="1806">
      <dataBar>
        <cfvo type="num" val="0"/>
        <cfvo type="num" val="1"/>
        <color theme="4" tint="0.79998168889431442"/>
      </dataBar>
      <extLst>
        <ext xmlns:x14="http://schemas.microsoft.com/office/spreadsheetml/2009/9/main" uri="{B025F937-C7B1-47D3-B67F-A62EFF666E3E}">
          <x14:id>{45425796-1C6C-47FE-AB2D-6561F147AA87}</x14:id>
        </ext>
      </extLst>
    </cfRule>
  </conditionalFormatting>
  <conditionalFormatting sqref="BA366">
    <cfRule type="iconSet" priority="1350">
      <iconSet iconSet="3Arrows">
        <cfvo type="percent" val="0"/>
        <cfvo type="num" val="0.7"/>
        <cfvo type="num" val="1"/>
      </iconSet>
    </cfRule>
    <cfRule type="dataBar" priority="1351">
      <dataBar>
        <cfvo type="num" val="0"/>
        <cfvo type="num" val="1"/>
        <color theme="4" tint="0.79998168889431442"/>
      </dataBar>
      <extLst>
        <ext xmlns:x14="http://schemas.microsoft.com/office/spreadsheetml/2009/9/main" uri="{B025F937-C7B1-47D3-B67F-A62EFF666E3E}">
          <x14:id>{065FCF9A-2865-4334-B213-A25709DC56CD}</x14:id>
        </ext>
      </extLst>
    </cfRule>
  </conditionalFormatting>
  <conditionalFormatting sqref="BA368">
    <cfRule type="iconSet" priority="2257">
      <iconSet iconSet="3Arrows">
        <cfvo type="percent" val="0"/>
        <cfvo type="num" val="0.7"/>
        <cfvo type="num" val="1"/>
      </iconSet>
    </cfRule>
    <cfRule type="dataBar" priority="2258">
      <dataBar>
        <cfvo type="num" val="0"/>
        <cfvo type="num" val="1"/>
        <color theme="4" tint="0.79998168889431442"/>
      </dataBar>
      <extLst>
        <ext xmlns:x14="http://schemas.microsoft.com/office/spreadsheetml/2009/9/main" uri="{B025F937-C7B1-47D3-B67F-A62EFF666E3E}">
          <x14:id>{7A3A2963-0BAA-4B7C-8939-59E040F821A7}</x14:id>
        </ext>
      </extLst>
    </cfRule>
  </conditionalFormatting>
  <conditionalFormatting sqref="BA370">
    <cfRule type="iconSet" priority="1791">
      <iconSet iconSet="3Arrows">
        <cfvo type="percent" val="0"/>
        <cfvo type="num" val="0.7"/>
        <cfvo type="num" val="1"/>
      </iconSet>
    </cfRule>
    <cfRule type="dataBar" priority="1792">
      <dataBar>
        <cfvo type="num" val="0"/>
        <cfvo type="num" val="1"/>
        <color theme="4" tint="0.79998168889431442"/>
      </dataBar>
      <extLst>
        <ext xmlns:x14="http://schemas.microsoft.com/office/spreadsheetml/2009/9/main" uri="{B025F937-C7B1-47D3-B67F-A62EFF666E3E}">
          <x14:id>{16E3E44A-4EAB-4A34-AB6F-5A02DD311C3F}</x14:id>
        </ext>
      </extLst>
    </cfRule>
  </conditionalFormatting>
  <conditionalFormatting sqref="BA372">
    <cfRule type="iconSet" priority="2472">
      <iconSet iconSet="3Arrows">
        <cfvo type="percent" val="0"/>
        <cfvo type="num" val="0.7"/>
        <cfvo type="num" val="1"/>
      </iconSet>
    </cfRule>
    <cfRule type="dataBar" priority="2473">
      <dataBar>
        <cfvo type="num" val="0"/>
        <cfvo type="num" val="1"/>
        <color theme="4" tint="0.79998168889431442"/>
      </dataBar>
      <extLst>
        <ext xmlns:x14="http://schemas.microsoft.com/office/spreadsheetml/2009/9/main" uri="{B025F937-C7B1-47D3-B67F-A62EFF666E3E}">
          <x14:id>{7DF7A1B6-47AA-4262-947C-A9624DC4732B}</x14:id>
        </ext>
      </extLst>
    </cfRule>
  </conditionalFormatting>
  <conditionalFormatting sqref="BA374">
    <cfRule type="iconSet" priority="2607">
      <iconSet iconSet="3Arrows">
        <cfvo type="percent" val="0"/>
        <cfvo type="num" val="0.7"/>
        <cfvo type="num" val="1"/>
      </iconSet>
    </cfRule>
    <cfRule type="dataBar" priority="2608">
      <dataBar>
        <cfvo type="num" val="0"/>
        <cfvo type="num" val="1"/>
        <color theme="4" tint="0.79998168889431442"/>
      </dataBar>
      <extLst>
        <ext xmlns:x14="http://schemas.microsoft.com/office/spreadsheetml/2009/9/main" uri="{B025F937-C7B1-47D3-B67F-A62EFF666E3E}">
          <x14:id>{DDEFC295-8E33-4DC2-BC8D-C9C3CA1DCCED}</x14:id>
        </ext>
      </extLst>
    </cfRule>
  </conditionalFormatting>
  <conditionalFormatting sqref="BA376">
    <cfRule type="iconSet" priority="2653">
      <iconSet iconSet="3Arrows">
        <cfvo type="percent" val="0"/>
        <cfvo type="num" val="0.7"/>
        <cfvo type="num" val="1"/>
      </iconSet>
    </cfRule>
    <cfRule type="dataBar" priority="2654">
      <dataBar>
        <cfvo type="num" val="0"/>
        <cfvo type="num" val="1"/>
        <color theme="4" tint="0.79998168889431442"/>
      </dataBar>
      <extLst>
        <ext xmlns:x14="http://schemas.microsoft.com/office/spreadsheetml/2009/9/main" uri="{B025F937-C7B1-47D3-B67F-A62EFF666E3E}">
          <x14:id>{5F5E3E8F-DDF0-4250-B42A-C080C6E5D87B}</x14:id>
        </ext>
      </extLst>
    </cfRule>
  </conditionalFormatting>
  <conditionalFormatting sqref="BA378">
    <cfRule type="iconSet" priority="2587">
      <iconSet iconSet="3Arrows">
        <cfvo type="percent" val="0"/>
        <cfvo type="num" val="0.7"/>
        <cfvo type="num" val="1"/>
      </iconSet>
    </cfRule>
    <cfRule type="dataBar" priority="2588">
      <dataBar>
        <cfvo type="num" val="0"/>
        <cfvo type="num" val="1"/>
        <color theme="4" tint="0.79998168889431442"/>
      </dataBar>
      <extLst>
        <ext xmlns:x14="http://schemas.microsoft.com/office/spreadsheetml/2009/9/main" uri="{B025F937-C7B1-47D3-B67F-A62EFF666E3E}">
          <x14:id>{55A04EA4-5D8C-4DD6-BC6C-71205B6E84F5}</x14:id>
        </ext>
      </extLst>
    </cfRule>
  </conditionalFormatting>
  <conditionalFormatting sqref="BA380">
    <cfRule type="iconSet" priority="2638">
      <iconSet iconSet="3Arrows">
        <cfvo type="percent" val="0"/>
        <cfvo type="num" val="0.7"/>
        <cfvo type="num" val="1"/>
      </iconSet>
    </cfRule>
    <cfRule type="dataBar" priority="2639">
      <dataBar>
        <cfvo type="num" val="0"/>
        <cfvo type="num" val="1"/>
        <color theme="4" tint="0.79998168889431442"/>
      </dataBar>
      <extLst>
        <ext xmlns:x14="http://schemas.microsoft.com/office/spreadsheetml/2009/9/main" uri="{B025F937-C7B1-47D3-B67F-A62EFF666E3E}">
          <x14:id>{FD4C4715-A218-487A-8C4F-151720D43737}</x14:id>
        </ext>
      </extLst>
    </cfRule>
  </conditionalFormatting>
  <conditionalFormatting sqref="BA382">
    <cfRule type="iconSet" priority="2567">
      <iconSet iconSet="3Arrows">
        <cfvo type="percent" val="0"/>
        <cfvo type="num" val="0.7"/>
        <cfvo type="num" val="1"/>
      </iconSet>
    </cfRule>
    <cfRule type="dataBar" priority="2568">
      <dataBar>
        <cfvo type="num" val="0"/>
        <cfvo type="num" val="1"/>
        <color theme="4" tint="0.79998168889431442"/>
      </dataBar>
      <extLst>
        <ext xmlns:x14="http://schemas.microsoft.com/office/spreadsheetml/2009/9/main" uri="{B025F937-C7B1-47D3-B67F-A62EFF666E3E}">
          <x14:id>{36C5E1C7-0E65-4D3D-B491-E8F672E1B518}</x14:id>
        </ext>
      </extLst>
    </cfRule>
  </conditionalFormatting>
  <conditionalFormatting sqref="BA384">
    <cfRule type="iconSet" priority="2623">
      <iconSet iconSet="3Arrows">
        <cfvo type="percent" val="0"/>
        <cfvo type="num" val="0.7"/>
        <cfvo type="num" val="1"/>
      </iconSet>
    </cfRule>
    <cfRule type="dataBar" priority="2624">
      <dataBar>
        <cfvo type="num" val="0"/>
        <cfvo type="num" val="1"/>
        <color theme="4" tint="0.79998168889431442"/>
      </dataBar>
      <extLst>
        <ext xmlns:x14="http://schemas.microsoft.com/office/spreadsheetml/2009/9/main" uri="{B025F937-C7B1-47D3-B67F-A62EFF666E3E}">
          <x14:id>{4671E9EB-6948-41DE-809F-A88C41223C68}</x14:id>
        </ext>
      </extLst>
    </cfRule>
  </conditionalFormatting>
  <conditionalFormatting sqref="BA386">
    <cfRule type="iconSet" priority="1298">
      <iconSet iconSet="3Arrows">
        <cfvo type="percent" val="0"/>
        <cfvo type="num" val="0.7"/>
        <cfvo type="num" val="1"/>
      </iconSet>
    </cfRule>
    <cfRule type="dataBar" priority="1299">
      <dataBar>
        <cfvo type="num" val="0"/>
        <cfvo type="num" val="1"/>
        <color theme="4" tint="0.79998168889431442"/>
      </dataBar>
      <extLst>
        <ext xmlns:x14="http://schemas.microsoft.com/office/spreadsheetml/2009/9/main" uri="{B025F937-C7B1-47D3-B67F-A62EFF666E3E}">
          <x14:id>{E40EB1D5-02E8-40D9-8DD7-A31649F419B7}</x14:id>
        </ext>
      </extLst>
    </cfRule>
  </conditionalFormatting>
  <conditionalFormatting sqref="BA388">
    <cfRule type="iconSet" priority="1294">
      <iconSet iconSet="3Arrows">
        <cfvo type="percent" val="0"/>
        <cfvo type="num" val="0.7"/>
        <cfvo type="num" val="1"/>
      </iconSet>
    </cfRule>
    <cfRule type="dataBar" priority="1295">
      <dataBar>
        <cfvo type="num" val="0"/>
        <cfvo type="num" val="1"/>
        <color theme="4" tint="0.79998168889431442"/>
      </dataBar>
      <extLst>
        <ext xmlns:x14="http://schemas.microsoft.com/office/spreadsheetml/2009/9/main" uri="{B025F937-C7B1-47D3-B67F-A62EFF666E3E}">
          <x14:id>{DFB6810C-A7FF-45C7-B387-8CD4DB7B2998}</x14:id>
        </ext>
      </extLst>
    </cfRule>
  </conditionalFormatting>
  <conditionalFormatting sqref="BA390">
    <cfRule type="iconSet" priority="1296">
      <iconSet iconSet="3Arrows">
        <cfvo type="percent" val="0"/>
        <cfvo type="num" val="0.7"/>
        <cfvo type="num" val="1"/>
      </iconSet>
    </cfRule>
    <cfRule type="dataBar" priority="1297">
      <dataBar>
        <cfvo type="num" val="0"/>
        <cfvo type="num" val="1"/>
        <color theme="4" tint="0.79998168889431442"/>
      </dataBar>
      <extLst>
        <ext xmlns:x14="http://schemas.microsoft.com/office/spreadsheetml/2009/9/main" uri="{B025F937-C7B1-47D3-B67F-A62EFF666E3E}">
          <x14:id>{79F8CF50-DD1E-4DC5-A95A-D6FFF9E2E220}</x14:id>
        </ext>
      </extLst>
    </cfRule>
  </conditionalFormatting>
  <conditionalFormatting sqref="BA393">
    <cfRule type="iconSet" priority="3804">
      <iconSet iconSet="3Arrows">
        <cfvo type="percent" val="0"/>
        <cfvo type="num" val="0.7"/>
        <cfvo type="num" val="1"/>
      </iconSet>
    </cfRule>
    <cfRule type="dataBar" priority="3805">
      <dataBar>
        <cfvo type="num" val="0"/>
        <cfvo type="num" val="1"/>
        <color theme="4" tint="0.79998168889431442"/>
      </dataBar>
      <extLst>
        <ext xmlns:x14="http://schemas.microsoft.com/office/spreadsheetml/2009/9/main" uri="{B025F937-C7B1-47D3-B67F-A62EFF666E3E}">
          <x14:id>{2C98CBB9-0293-493A-AD04-87D0E5619ED4}</x14:id>
        </ext>
      </extLst>
    </cfRule>
  </conditionalFormatting>
  <conditionalFormatting sqref="BA395">
    <cfRule type="iconSet" priority="3793">
      <iconSet iconSet="3Arrows">
        <cfvo type="percent" val="0"/>
        <cfvo type="num" val="0.7"/>
        <cfvo type="num" val="1"/>
      </iconSet>
    </cfRule>
    <cfRule type="dataBar" priority="3794">
      <dataBar>
        <cfvo type="num" val="0"/>
        <cfvo type="num" val="1"/>
        <color theme="4" tint="0.79998168889431442"/>
      </dataBar>
      <extLst>
        <ext xmlns:x14="http://schemas.microsoft.com/office/spreadsheetml/2009/9/main" uri="{B025F937-C7B1-47D3-B67F-A62EFF666E3E}">
          <x14:id>{EF35EA4B-91FD-42BB-B3A5-E7DDDEE92697}</x14:id>
        </ext>
      </extLst>
    </cfRule>
  </conditionalFormatting>
  <conditionalFormatting sqref="BA397">
    <cfRule type="iconSet" priority="3712">
      <iconSet iconSet="3Arrows">
        <cfvo type="percent" val="0"/>
        <cfvo type="num" val="0.7"/>
        <cfvo type="num" val="1"/>
      </iconSet>
    </cfRule>
    <cfRule type="dataBar" priority="3713">
      <dataBar>
        <cfvo type="num" val="0"/>
        <cfvo type="num" val="1"/>
        <color theme="4" tint="0.79998168889431442"/>
      </dataBar>
      <extLst>
        <ext xmlns:x14="http://schemas.microsoft.com/office/spreadsheetml/2009/9/main" uri="{B025F937-C7B1-47D3-B67F-A62EFF666E3E}">
          <x14:id>{5D60477C-1DA9-462F-82E6-EB8F0E8DAF7A}</x14:id>
        </ext>
      </extLst>
    </cfRule>
  </conditionalFormatting>
  <conditionalFormatting sqref="BA399">
    <cfRule type="iconSet" priority="3783">
      <iconSet iconSet="3Arrows">
        <cfvo type="percent" val="0"/>
        <cfvo type="num" val="0.7"/>
        <cfvo type="num" val="1"/>
      </iconSet>
    </cfRule>
    <cfRule type="dataBar" priority="3784">
      <dataBar>
        <cfvo type="num" val="0"/>
        <cfvo type="num" val="1"/>
        <color theme="4" tint="0.79998168889431442"/>
      </dataBar>
      <extLst>
        <ext xmlns:x14="http://schemas.microsoft.com/office/spreadsheetml/2009/9/main" uri="{B025F937-C7B1-47D3-B67F-A62EFF666E3E}">
          <x14:id>{07F2CEAE-D8D9-40CB-80AF-5AB2BA7381D5}</x14:id>
        </ext>
      </extLst>
    </cfRule>
  </conditionalFormatting>
  <conditionalFormatting sqref="BA401">
    <cfRule type="iconSet" priority="2229">
      <iconSet iconSet="3Arrows">
        <cfvo type="percent" val="0"/>
        <cfvo type="num" val="0.7"/>
        <cfvo type="num" val="1"/>
      </iconSet>
    </cfRule>
    <cfRule type="dataBar" priority="2230">
      <dataBar>
        <cfvo type="num" val="0"/>
        <cfvo type="num" val="1"/>
        <color theme="4" tint="0.79998168889431442"/>
      </dataBar>
      <extLst>
        <ext xmlns:x14="http://schemas.microsoft.com/office/spreadsheetml/2009/9/main" uri="{B025F937-C7B1-47D3-B67F-A62EFF666E3E}">
          <x14:id>{09C30960-1E70-49E4-9EFF-60CA8A768A4A}</x14:id>
        </ext>
      </extLst>
    </cfRule>
  </conditionalFormatting>
  <conditionalFormatting sqref="BA403">
    <cfRule type="iconSet" priority="2215">
      <iconSet iconSet="3Arrows">
        <cfvo type="percent" val="0"/>
        <cfvo type="num" val="0.7"/>
        <cfvo type="num" val="1"/>
      </iconSet>
    </cfRule>
    <cfRule type="dataBar" priority="2216">
      <dataBar>
        <cfvo type="num" val="0"/>
        <cfvo type="num" val="1"/>
        <color theme="4" tint="0.79998168889431442"/>
      </dataBar>
      <extLst>
        <ext xmlns:x14="http://schemas.microsoft.com/office/spreadsheetml/2009/9/main" uri="{B025F937-C7B1-47D3-B67F-A62EFF666E3E}">
          <x14:id>{5ED936CA-94FA-45D9-9CEC-AFE6EBAFD9A4}</x14:id>
        </ext>
      </extLst>
    </cfRule>
  </conditionalFormatting>
  <conditionalFormatting sqref="BA405">
    <cfRule type="iconSet" priority="1748">
      <iconSet iconSet="3Arrows">
        <cfvo type="percent" val="0"/>
        <cfvo type="num" val="0.7"/>
        <cfvo type="num" val="1"/>
      </iconSet>
    </cfRule>
    <cfRule type="dataBar" priority="1749">
      <dataBar>
        <cfvo type="num" val="0"/>
        <cfvo type="num" val="1"/>
        <color theme="4" tint="0.79998168889431442"/>
      </dataBar>
      <extLst>
        <ext xmlns:x14="http://schemas.microsoft.com/office/spreadsheetml/2009/9/main" uri="{B025F937-C7B1-47D3-B67F-A62EFF666E3E}">
          <x14:id>{76CD46CF-1F19-4F77-8B4D-8AE3D000F084}</x14:id>
        </ext>
      </extLst>
    </cfRule>
  </conditionalFormatting>
  <conditionalFormatting sqref="BA407">
    <cfRule type="iconSet" priority="1744">
      <iconSet iconSet="3Arrows">
        <cfvo type="percent" val="0"/>
        <cfvo type="num" val="0.7"/>
        <cfvo type="num" val="1"/>
      </iconSet>
    </cfRule>
    <cfRule type="dataBar" priority="1745">
      <dataBar>
        <cfvo type="num" val="0"/>
        <cfvo type="num" val="1"/>
        <color theme="4" tint="0.79998168889431442"/>
      </dataBar>
      <extLst>
        <ext xmlns:x14="http://schemas.microsoft.com/office/spreadsheetml/2009/9/main" uri="{B025F937-C7B1-47D3-B67F-A62EFF666E3E}">
          <x14:id>{C0F17FD1-0870-4454-BAA2-B7E0F8EC0E8A}</x14:id>
        </ext>
      </extLst>
    </cfRule>
  </conditionalFormatting>
  <conditionalFormatting sqref="BA409">
    <cfRule type="iconSet" priority="1746">
      <iconSet iconSet="3Arrows">
        <cfvo type="percent" val="0"/>
        <cfvo type="num" val="0.7"/>
        <cfvo type="num" val="1"/>
      </iconSet>
    </cfRule>
    <cfRule type="dataBar" priority="1747">
      <dataBar>
        <cfvo type="num" val="0"/>
        <cfvo type="num" val="1"/>
        <color theme="4" tint="0.79998168889431442"/>
      </dataBar>
      <extLst>
        <ext xmlns:x14="http://schemas.microsoft.com/office/spreadsheetml/2009/9/main" uri="{B025F937-C7B1-47D3-B67F-A62EFF666E3E}">
          <x14:id>{C9FA2919-D346-412A-88A0-7FF74DB2D74D}</x14:id>
        </ext>
      </extLst>
    </cfRule>
  </conditionalFormatting>
  <conditionalFormatting sqref="BA411">
    <cfRule type="iconSet" priority="1249">
      <iconSet iconSet="3Arrows">
        <cfvo type="percent" val="0"/>
        <cfvo type="num" val="0.7"/>
        <cfvo type="num" val="1"/>
      </iconSet>
    </cfRule>
    <cfRule type="dataBar" priority="1250">
      <dataBar>
        <cfvo type="num" val="0"/>
        <cfvo type="num" val="1"/>
        <color theme="4" tint="0.79998168889431442"/>
      </dataBar>
      <extLst>
        <ext xmlns:x14="http://schemas.microsoft.com/office/spreadsheetml/2009/9/main" uri="{B025F937-C7B1-47D3-B67F-A62EFF666E3E}">
          <x14:id>{3FE2AAD8-FB89-4EDC-9B7E-135421F37CFB}</x14:id>
        </ext>
      </extLst>
    </cfRule>
  </conditionalFormatting>
  <conditionalFormatting sqref="BA413">
    <cfRule type="iconSet" priority="1245">
      <iconSet iconSet="3Arrows">
        <cfvo type="percent" val="0"/>
        <cfvo type="num" val="0.7"/>
        <cfvo type="num" val="1"/>
      </iconSet>
    </cfRule>
    <cfRule type="dataBar" priority="1246">
      <dataBar>
        <cfvo type="num" val="0"/>
        <cfvo type="num" val="1"/>
        <color theme="4" tint="0.79998168889431442"/>
      </dataBar>
      <extLst>
        <ext xmlns:x14="http://schemas.microsoft.com/office/spreadsheetml/2009/9/main" uri="{B025F937-C7B1-47D3-B67F-A62EFF666E3E}">
          <x14:id>{5518387A-43DC-42B9-B9A6-F86A35E3CB24}</x14:id>
        </ext>
      </extLst>
    </cfRule>
  </conditionalFormatting>
  <conditionalFormatting sqref="BA415">
    <cfRule type="iconSet" priority="1247">
      <iconSet iconSet="3Arrows">
        <cfvo type="percent" val="0"/>
        <cfvo type="num" val="0.7"/>
        <cfvo type="num" val="1"/>
      </iconSet>
    </cfRule>
    <cfRule type="dataBar" priority="1248">
      <dataBar>
        <cfvo type="num" val="0"/>
        <cfvo type="num" val="1"/>
        <color theme="4" tint="0.79998168889431442"/>
      </dataBar>
      <extLst>
        <ext xmlns:x14="http://schemas.microsoft.com/office/spreadsheetml/2009/9/main" uri="{B025F937-C7B1-47D3-B67F-A62EFF666E3E}">
          <x14:id>{B3162320-B49D-4A6E-A394-545C02898A47}</x14:id>
        </ext>
      </extLst>
    </cfRule>
  </conditionalFormatting>
  <conditionalFormatting sqref="BA417">
    <cfRule type="iconSet" priority="3077">
      <iconSet iconSet="3Arrows">
        <cfvo type="percent" val="0"/>
        <cfvo type="num" val="0.7"/>
        <cfvo type="num" val="1"/>
      </iconSet>
    </cfRule>
    <cfRule type="dataBar" priority="3078">
      <dataBar>
        <cfvo type="num" val="0"/>
        <cfvo type="num" val="1"/>
        <color theme="4" tint="0.79998168889431442"/>
      </dataBar>
      <extLst>
        <ext xmlns:x14="http://schemas.microsoft.com/office/spreadsheetml/2009/9/main" uri="{B025F937-C7B1-47D3-B67F-A62EFF666E3E}">
          <x14:id>{FD0ED1AB-F3D9-4239-9196-BAD88598C0F4}</x14:id>
        </ext>
      </extLst>
    </cfRule>
  </conditionalFormatting>
  <conditionalFormatting sqref="BA419">
    <cfRule type="iconSet" priority="3071">
      <iconSet iconSet="3Arrows">
        <cfvo type="percent" val="0"/>
        <cfvo type="num" val="0.7"/>
        <cfvo type="num" val="1"/>
      </iconSet>
    </cfRule>
    <cfRule type="dataBar" priority="3072">
      <dataBar>
        <cfvo type="num" val="0"/>
        <cfvo type="num" val="1"/>
        <color theme="4" tint="0.79998168889431442"/>
      </dataBar>
      <extLst>
        <ext xmlns:x14="http://schemas.microsoft.com/office/spreadsheetml/2009/9/main" uri="{B025F937-C7B1-47D3-B67F-A62EFF666E3E}">
          <x14:id>{F069C65F-07DD-42DA-88DC-DD355290A5A8}</x14:id>
        </ext>
      </extLst>
    </cfRule>
  </conditionalFormatting>
  <conditionalFormatting sqref="BA421">
    <cfRule type="iconSet" priority="3075">
      <iconSet iconSet="3Arrows">
        <cfvo type="percent" val="0"/>
        <cfvo type="num" val="0.7"/>
        <cfvo type="num" val="1"/>
      </iconSet>
    </cfRule>
    <cfRule type="dataBar" priority="3076">
      <dataBar>
        <cfvo type="num" val="0"/>
        <cfvo type="num" val="1"/>
        <color theme="4" tint="0.79998168889431442"/>
      </dataBar>
      <extLst>
        <ext xmlns:x14="http://schemas.microsoft.com/office/spreadsheetml/2009/9/main" uri="{B025F937-C7B1-47D3-B67F-A62EFF666E3E}">
          <x14:id>{99F51470-C0A0-471B-BF55-5D2420B5100D}</x14:id>
        </ext>
      </extLst>
    </cfRule>
  </conditionalFormatting>
  <conditionalFormatting sqref="BA423">
    <cfRule type="iconSet" priority="3073">
      <iconSet iconSet="3Arrows">
        <cfvo type="percent" val="0"/>
        <cfvo type="num" val="0.7"/>
        <cfvo type="num" val="1"/>
      </iconSet>
    </cfRule>
    <cfRule type="dataBar" priority="3074">
      <dataBar>
        <cfvo type="num" val="0"/>
        <cfvo type="num" val="1"/>
        <color theme="4" tint="0.79998168889431442"/>
      </dataBar>
      <extLst>
        <ext xmlns:x14="http://schemas.microsoft.com/office/spreadsheetml/2009/9/main" uri="{B025F937-C7B1-47D3-B67F-A62EFF666E3E}">
          <x14:id>{B808005F-F486-419C-AC82-6EC20F6580C0}</x14:id>
        </ext>
      </extLst>
    </cfRule>
  </conditionalFormatting>
  <conditionalFormatting sqref="BA425">
    <cfRule type="iconSet" priority="185">
      <iconSet iconSet="3Arrows">
        <cfvo type="percent" val="0"/>
        <cfvo type="num" val="0.7"/>
        <cfvo type="num" val="1"/>
      </iconSet>
    </cfRule>
    <cfRule type="dataBar" priority="186">
      <dataBar>
        <cfvo type="num" val="0"/>
        <cfvo type="num" val="1"/>
        <color theme="4" tint="0.79998168889431442"/>
      </dataBar>
      <extLst>
        <ext xmlns:x14="http://schemas.microsoft.com/office/spreadsheetml/2009/9/main" uri="{B025F937-C7B1-47D3-B67F-A62EFF666E3E}">
          <x14:id>{388E7563-B054-4960-AF8F-11DE9E320C13}</x14:id>
        </ext>
      </extLst>
    </cfRule>
  </conditionalFormatting>
  <conditionalFormatting sqref="BA428">
    <cfRule type="iconSet" priority="3781">
      <iconSet iconSet="3Arrows">
        <cfvo type="percent" val="0"/>
        <cfvo type="num" val="0.7"/>
        <cfvo type="num" val="1"/>
      </iconSet>
    </cfRule>
    <cfRule type="dataBar" priority="3782">
      <dataBar>
        <cfvo type="num" val="0"/>
        <cfvo type="num" val="1"/>
        <color theme="4" tint="0.79998168889431442"/>
      </dataBar>
      <extLst>
        <ext xmlns:x14="http://schemas.microsoft.com/office/spreadsheetml/2009/9/main" uri="{B025F937-C7B1-47D3-B67F-A62EFF666E3E}">
          <x14:id>{8070AA02-3559-40AF-B633-FB7B79995C9C}</x14:id>
        </ext>
      </extLst>
    </cfRule>
  </conditionalFormatting>
  <conditionalFormatting sqref="BA430">
    <cfRule type="iconSet" priority="3710">
      <iconSet iconSet="3Arrows">
        <cfvo type="percent" val="0"/>
        <cfvo type="num" val="0.7"/>
        <cfvo type="num" val="1"/>
      </iconSet>
    </cfRule>
    <cfRule type="dataBar" priority="3711">
      <dataBar>
        <cfvo type="num" val="0"/>
        <cfvo type="num" val="1"/>
        <color theme="4" tint="0.79998168889431442"/>
      </dataBar>
      <extLst>
        <ext xmlns:x14="http://schemas.microsoft.com/office/spreadsheetml/2009/9/main" uri="{B025F937-C7B1-47D3-B67F-A62EFF666E3E}">
          <x14:id>{85855DBD-526D-4722-83B4-967AE79D9818}</x14:id>
        </ext>
      </extLst>
    </cfRule>
  </conditionalFormatting>
  <conditionalFormatting sqref="BA432">
    <cfRule type="iconSet" priority="2550">
      <iconSet iconSet="3Arrows">
        <cfvo type="percent" val="0"/>
        <cfvo type="num" val="0.7"/>
        <cfvo type="num" val="1"/>
      </iconSet>
    </cfRule>
    <cfRule type="dataBar" priority="2551">
      <dataBar>
        <cfvo type="num" val="0"/>
        <cfvo type="num" val="1"/>
        <color theme="4" tint="0.79998168889431442"/>
      </dataBar>
      <extLst>
        <ext xmlns:x14="http://schemas.microsoft.com/office/spreadsheetml/2009/9/main" uri="{B025F937-C7B1-47D3-B67F-A62EFF666E3E}">
          <x14:id>{0A7CEBB5-3D22-401A-B806-1EFDED704247}</x14:id>
        </ext>
      </extLst>
    </cfRule>
  </conditionalFormatting>
  <conditionalFormatting sqref="BA434">
    <cfRule type="iconSet" priority="3011">
      <iconSet iconSet="3Arrows">
        <cfvo type="percent" val="0"/>
        <cfvo type="num" val="0.7"/>
        <cfvo type="num" val="1"/>
      </iconSet>
    </cfRule>
    <cfRule type="dataBar" priority="3012">
      <dataBar>
        <cfvo type="num" val="0"/>
        <cfvo type="num" val="1"/>
        <color theme="4" tint="0.79998168889431442"/>
      </dataBar>
      <extLst>
        <ext xmlns:x14="http://schemas.microsoft.com/office/spreadsheetml/2009/9/main" uri="{B025F937-C7B1-47D3-B67F-A62EFF666E3E}">
          <x14:id>{50204CF5-AE94-4BA6-95B0-139DE9D822D7}</x14:id>
        </ext>
      </extLst>
    </cfRule>
  </conditionalFormatting>
  <conditionalFormatting sqref="BA436">
    <cfRule type="iconSet" priority="3009">
      <iconSet iconSet="3Arrows">
        <cfvo type="percent" val="0"/>
        <cfvo type="num" val="0.7"/>
        <cfvo type="num" val="1"/>
      </iconSet>
    </cfRule>
    <cfRule type="dataBar" priority="3010">
      <dataBar>
        <cfvo type="num" val="0"/>
        <cfvo type="num" val="1"/>
        <color theme="4" tint="0.79998168889431442"/>
      </dataBar>
      <extLst>
        <ext xmlns:x14="http://schemas.microsoft.com/office/spreadsheetml/2009/9/main" uri="{B025F937-C7B1-47D3-B67F-A62EFF666E3E}">
          <x14:id>{A82F46C2-7D4A-46CB-88E6-89420FE3D7B2}</x14:id>
        </ext>
      </extLst>
    </cfRule>
  </conditionalFormatting>
  <conditionalFormatting sqref="BA438">
    <cfRule type="iconSet" priority="3007">
      <iconSet iconSet="3Arrows">
        <cfvo type="percent" val="0"/>
        <cfvo type="num" val="0.7"/>
        <cfvo type="num" val="1"/>
      </iconSet>
    </cfRule>
    <cfRule type="dataBar" priority="3008">
      <dataBar>
        <cfvo type="num" val="0"/>
        <cfvo type="num" val="1"/>
        <color theme="4" tint="0.79998168889431442"/>
      </dataBar>
      <extLst>
        <ext xmlns:x14="http://schemas.microsoft.com/office/spreadsheetml/2009/9/main" uri="{B025F937-C7B1-47D3-B67F-A62EFF666E3E}">
          <x14:id>{60980A14-EC3F-4452-9DFC-0C491C8638BA}</x14:id>
        </ext>
      </extLst>
    </cfRule>
  </conditionalFormatting>
  <conditionalFormatting sqref="BA440">
    <cfRule type="iconSet" priority="3005">
      <iconSet iconSet="3Arrows">
        <cfvo type="percent" val="0"/>
        <cfvo type="num" val="0.7"/>
        <cfvo type="num" val="1"/>
      </iconSet>
    </cfRule>
    <cfRule type="dataBar" priority="3006">
      <dataBar>
        <cfvo type="num" val="0"/>
        <cfvo type="num" val="1"/>
        <color theme="4" tint="0.79998168889431442"/>
      </dataBar>
      <extLst>
        <ext xmlns:x14="http://schemas.microsoft.com/office/spreadsheetml/2009/9/main" uri="{B025F937-C7B1-47D3-B67F-A62EFF666E3E}">
          <x14:id>{BEA075D8-8430-411E-820E-65DAD98E9A79}</x14:id>
        </ext>
      </extLst>
    </cfRule>
  </conditionalFormatting>
  <conditionalFormatting sqref="BA442">
    <cfRule type="iconSet" priority="1226">
      <iconSet iconSet="3Arrows">
        <cfvo type="percent" val="0"/>
        <cfvo type="num" val="0.7"/>
        <cfvo type="num" val="1"/>
      </iconSet>
    </cfRule>
    <cfRule type="dataBar" priority="1227">
      <dataBar>
        <cfvo type="num" val="0"/>
        <cfvo type="num" val="1"/>
        <color theme="4" tint="0.79998168889431442"/>
      </dataBar>
      <extLst>
        <ext xmlns:x14="http://schemas.microsoft.com/office/spreadsheetml/2009/9/main" uri="{B025F937-C7B1-47D3-B67F-A62EFF666E3E}">
          <x14:id>{592619F1-32CB-4731-86FB-EABFA0534110}</x14:id>
        </ext>
      </extLst>
    </cfRule>
  </conditionalFormatting>
  <conditionalFormatting sqref="BA444">
    <cfRule type="iconSet" priority="3779">
      <iconSet iconSet="3Arrows">
        <cfvo type="percent" val="0"/>
        <cfvo type="num" val="0.7"/>
        <cfvo type="num" val="1"/>
      </iconSet>
    </cfRule>
    <cfRule type="dataBar" priority="3780">
      <dataBar>
        <cfvo type="num" val="0"/>
        <cfvo type="num" val="1"/>
        <color theme="4" tint="0.79998168889431442"/>
      </dataBar>
      <extLst>
        <ext xmlns:x14="http://schemas.microsoft.com/office/spreadsheetml/2009/9/main" uri="{B025F937-C7B1-47D3-B67F-A62EFF666E3E}">
          <x14:id>{1628C229-3991-41EA-8631-78650AFB7939}</x14:id>
        </ext>
      </extLst>
    </cfRule>
  </conditionalFormatting>
  <conditionalFormatting sqref="BA446">
    <cfRule type="iconSet" priority="1212">
      <iconSet iconSet="3Arrows">
        <cfvo type="percent" val="0"/>
        <cfvo type="num" val="0.7"/>
        <cfvo type="num" val="1"/>
      </iconSet>
    </cfRule>
    <cfRule type="dataBar" priority="1213">
      <dataBar>
        <cfvo type="num" val="0"/>
        <cfvo type="num" val="1"/>
        <color theme="4" tint="0.79998168889431442"/>
      </dataBar>
      <extLst>
        <ext xmlns:x14="http://schemas.microsoft.com/office/spreadsheetml/2009/9/main" uri="{B025F937-C7B1-47D3-B67F-A62EFF666E3E}">
          <x14:id>{96115358-48CB-46BC-913B-8444C9496BB6}</x14:id>
        </ext>
      </extLst>
    </cfRule>
  </conditionalFormatting>
  <conditionalFormatting sqref="BA448">
    <cfRule type="iconSet" priority="3777">
      <iconSet iconSet="3Arrows">
        <cfvo type="percent" val="0"/>
        <cfvo type="num" val="0.7"/>
        <cfvo type="num" val="1"/>
      </iconSet>
    </cfRule>
    <cfRule type="dataBar" priority="3778">
      <dataBar>
        <cfvo type="num" val="0"/>
        <cfvo type="num" val="1"/>
        <color theme="4" tint="0.79998168889431442"/>
      </dataBar>
      <extLst>
        <ext xmlns:x14="http://schemas.microsoft.com/office/spreadsheetml/2009/9/main" uri="{B025F937-C7B1-47D3-B67F-A62EFF666E3E}">
          <x14:id>{FE0CA5E6-3394-4920-B200-67D533D7D69C}</x14:id>
        </ext>
      </extLst>
    </cfRule>
  </conditionalFormatting>
  <conditionalFormatting sqref="BA450">
    <cfRule type="iconSet" priority="3775">
      <iconSet iconSet="3Arrows">
        <cfvo type="percent" val="0"/>
        <cfvo type="num" val="0.7"/>
        <cfvo type="num" val="1"/>
      </iconSet>
    </cfRule>
    <cfRule type="dataBar" priority="3776">
      <dataBar>
        <cfvo type="num" val="0"/>
        <cfvo type="num" val="1"/>
        <color theme="4" tint="0.79998168889431442"/>
      </dataBar>
      <extLst>
        <ext xmlns:x14="http://schemas.microsoft.com/office/spreadsheetml/2009/9/main" uri="{B025F937-C7B1-47D3-B67F-A62EFF666E3E}">
          <x14:id>{031A2C0D-34A9-4552-9EC8-C90E13B97B38}</x14:id>
        </ext>
      </extLst>
    </cfRule>
  </conditionalFormatting>
  <conditionalFormatting sqref="BA452">
    <cfRule type="iconSet" priority="3773">
      <iconSet iconSet="3Arrows">
        <cfvo type="percent" val="0"/>
        <cfvo type="num" val="0.7"/>
        <cfvo type="num" val="1"/>
      </iconSet>
    </cfRule>
    <cfRule type="dataBar" priority="3774">
      <dataBar>
        <cfvo type="num" val="0"/>
        <cfvo type="num" val="1"/>
        <color theme="4" tint="0.79998168889431442"/>
      </dataBar>
      <extLst>
        <ext xmlns:x14="http://schemas.microsoft.com/office/spreadsheetml/2009/9/main" uri="{B025F937-C7B1-47D3-B67F-A62EFF666E3E}">
          <x14:id>{5B36EF5F-587D-4827-A61E-4AA72838A1FE}</x14:id>
        </ext>
      </extLst>
    </cfRule>
  </conditionalFormatting>
  <conditionalFormatting sqref="BA454">
    <cfRule type="iconSet" priority="3771">
      <iconSet iconSet="3Arrows">
        <cfvo type="percent" val="0"/>
        <cfvo type="num" val="0.7"/>
        <cfvo type="num" val="1"/>
      </iconSet>
    </cfRule>
    <cfRule type="dataBar" priority="3772">
      <dataBar>
        <cfvo type="num" val="0"/>
        <cfvo type="num" val="1"/>
        <color theme="4" tint="0.79998168889431442"/>
      </dataBar>
      <extLst>
        <ext xmlns:x14="http://schemas.microsoft.com/office/spreadsheetml/2009/9/main" uri="{B025F937-C7B1-47D3-B67F-A62EFF666E3E}">
          <x14:id>{DD333C2A-5655-4B55-80B3-0CABDD7FF4B2}</x14:id>
        </ext>
      </extLst>
    </cfRule>
  </conditionalFormatting>
  <conditionalFormatting sqref="BA456">
    <cfRule type="iconSet" priority="3769">
      <iconSet iconSet="3Arrows">
        <cfvo type="percent" val="0"/>
        <cfvo type="num" val="0.7"/>
        <cfvo type="num" val="1"/>
      </iconSet>
    </cfRule>
    <cfRule type="dataBar" priority="3770">
      <dataBar>
        <cfvo type="num" val="0"/>
        <cfvo type="num" val="1"/>
        <color theme="4" tint="0.79998168889431442"/>
      </dataBar>
      <extLst>
        <ext xmlns:x14="http://schemas.microsoft.com/office/spreadsheetml/2009/9/main" uri="{B025F937-C7B1-47D3-B67F-A62EFF666E3E}">
          <x14:id>{B0D7D7E9-7A03-43D4-A431-8AA2E4C25D7C}</x14:id>
        </ext>
      </extLst>
    </cfRule>
  </conditionalFormatting>
  <conditionalFormatting sqref="BA458">
    <cfRule type="iconSet" priority="3767">
      <iconSet iconSet="3Arrows">
        <cfvo type="percent" val="0"/>
        <cfvo type="num" val="0.7"/>
        <cfvo type="num" val="1"/>
      </iconSet>
    </cfRule>
    <cfRule type="dataBar" priority="3768">
      <dataBar>
        <cfvo type="num" val="0"/>
        <cfvo type="num" val="1"/>
        <color theme="4" tint="0.79998168889431442"/>
      </dataBar>
      <extLst>
        <ext xmlns:x14="http://schemas.microsoft.com/office/spreadsheetml/2009/9/main" uri="{B025F937-C7B1-47D3-B67F-A62EFF666E3E}">
          <x14:id>{F98A27F4-402A-4BA5-B404-DE12934D325B}</x14:id>
        </ext>
      </extLst>
    </cfRule>
  </conditionalFormatting>
  <conditionalFormatting sqref="BA460">
    <cfRule type="iconSet" priority="2534">
      <iconSet iconSet="3Arrows">
        <cfvo type="percent" val="0"/>
        <cfvo type="num" val="0.7"/>
        <cfvo type="num" val="1"/>
      </iconSet>
    </cfRule>
    <cfRule type="dataBar" priority="2535">
      <dataBar>
        <cfvo type="num" val="0"/>
        <cfvo type="num" val="1"/>
        <color theme="4" tint="0.79998168889431442"/>
      </dataBar>
      <extLst>
        <ext xmlns:x14="http://schemas.microsoft.com/office/spreadsheetml/2009/9/main" uri="{B025F937-C7B1-47D3-B67F-A62EFF666E3E}">
          <x14:id>{A0F2067B-56C6-441C-9602-340FD782A6B7}</x14:id>
        </ext>
      </extLst>
    </cfRule>
  </conditionalFormatting>
  <conditionalFormatting sqref="BA462">
    <cfRule type="iconSet" priority="3765">
      <iconSet iconSet="3Arrows">
        <cfvo type="percent" val="0"/>
        <cfvo type="num" val="0.7"/>
        <cfvo type="num" val="1"/>
      </iconSet>
    </cfRule>
    <cfRule type="dataBar" priority="3766">
      <dataBar>
        <cfvo type="num" val="0"/>
        <cfvo type="num" val="1"/>
        <color theme="4" tint="0.79998168889431442"/>
      </dataBar>
      <extLst>
        <ext xmlns:x14="http://schemas.microsoft.com/office/spreadsheetml/2009/9/main" uri="{B025F937-C7B1-47D3-B67F-A62EFF666E3E}">
          <x14:id>{B459A9AC-0A94-43C0-A61D-8C727236FFA5}</x14:id>
        </ext>
      </extLst>
    </cfRule>
  </conditionalFormatting>
  <conditionalFormatting sqref="BA464">
    <cfRule type="iconSet" priority="3761">
      <iconSet iconSet="3Arrows">
        <cfvo type="percent" val="0"/>
        <cfvo type="num" val="0.7"/>
        <cfvo type="num" val="1"/>
      </iconSet>
    </cfRule>
    <cfRule type="dataBar" priority="3762">
      <dataBar>
        <cfvo type="num" val="0"/>
        <cfvo type="num" val="1"/>
        <color theme="4" tint="0.79998168889431442"/>
      </dataBar>
      <extLst>
        <ext xmlns:x14="http://schemas.microsoft.com/office/spreadsheetml/2009/9/main" uri="{B025F937-C7B1-47D3-B67F-A62EFF666E3E}">
          <x14:id>{AA030445-60E1-446E-89D9-7D66EC6DAE09}</x14:id>
        </ext>
      </extLst>
    </cfRule>
  </conditionalFormatting>
  <conditionalFormatting sqref="BA466">
    <cfRule type="iconSet" priority="3285">
      <iconSet iconSet="3Arrows">
        <cfvo type="percent" val="0"/>
        <cfvo type="num" val="0.7"/>
        <cfvo type="num" val="1"/>
      </iconSet>
    </cfRule>
    <cfRule type="dataBar" priority="3286">
      <dataBar>
        <cfvo type="num" val="0"/>
        <cfvo type="num" val="1"/>
        <color theme="4" tint="0.79998168889431442"/>
      </dataBar>
      <extLst>
        <ext xmlns:x14="http://schemas.microsoft.com/office/spreadsheetml/2009/9/main" uri="{B025F937-C7B1-47D3-B67F-A62EFF666E3E}">
          <x14:id>{E9050BC9-8D17-436C-ACA5-6CD59C7BA7D9}</x14:id>
        </ext>
      </extLst>
    </cfRule>
  </conditionalFormatting>
  <conditionalFormatting sqref="BA468">
    <cfRule type="iconSet" priority="3271">
      <iconSet iconSet="3Arrows">
        <cfvo type="percent" val="0"/>
        <cfvo type="num" val="0.7"/>
        <cfvo type="num" val="1"/>
      </iconSet>
    </cfRule>
    <cfRule type="dataBar" priority="3272">
      <dataBar>
        <cfvo type="num" val="0"/>
        <cfvo type="num" val="1"/>
        <color theme="4" tint="0.79998168889431442"/>
      </dataBar>
      <extLst>
        <ext xmlns:x14="http://schemas.microsoft.com/office/spreadsheetml/2009/9/main" uri="{B025F937-C7B1-47D3-B67F-A62EFF666E3E}">
          <x14:id>{453602E5-CE1B-4251-8990-B0AB68E208FC}</x14:id>
        </ext>
      </extLst>
    </cfRule>
  </conditionalFormatting>
  <conditionalFormatting sqref="BA470">
    <cfRule type="iconSet" priority="3763">
      <iconSet iconSet="3Arrows">
        <cfvo type="percent" val="0"/>
        <cfvo type="num" val="0.7"/>
        <cfvo type="num" val="1"/>
      </iconSet>
    </cfRule>
    <cfRule type="dataBar" priority="3764">
      <dataBar>
        <cfvo type="num" val="0"/>
        <cfvo type="num" val="1"/>
        <color theme="4" tint="0.79998168889431442"/>
      </dataBar>
      <extLst>
        <ext xmlns:x14="http://schemas.microsoft.com/office/spreadsheetml/2009/9/main" uri="{B025F937-C7B1-47D3-B67F-A62EFF666E3E}">
          <x14:id>{2EA4FC29-FFAA-47E4-A1F1-36DAFDCEDF57}</x14:id>
        </ext>
      </extLst>
    </cfRule>
  </conditionalFormatting>
  <conditionalFormatting sqref="BA472">
    <cfRule type="iconSet" priority="3759">
      <iconSet iconSet="3Arrows">
        <cfvo type="percent" val="0"/>
        <cfvo type="num" val="0.7"/>
        <cfvo type="num" val="1"/>
      </iconSet>
    </cfRule>
    <cfRule type="dataBar" priority="3760">
      <dataBar>
        <cfvo type="num" val="0"/>
        <cfvo type="num" val="1"/>
        <color theme="4" tint="0.79998168889431442"/>
      </dataBar>
      <extLst>
        <ext xmlns:x14="http://schemas.microsoft.com/office/spreadsheetml/2009/9/main" uri="{B025F937-C7B1-47D3-B67F-A62EFF666E3E}">
          <x14:id>{AABCD498-D9EB-4926-97D4-E4E47ABAEF7A}</x14:id>
        </ext>
      </extLst>
    </cfRule>
  </conditionalFormatting>
  <conditionalFormatting sqref="BA474">
    <cfRule type="iconSet" priority="3757">
      <iconSet iconSet="3Arrows">
        <cfvo type="percent" val="0"/>
        <cfvo type="num" val="0.7"/>
        <cfvo type="num" val="1"/>
      </iconSet>
    </cfRule>
    <cfRule type="dataBar" priority="3758">
      <dataBar>
        <cfvo type="num" val="0"/>
        <cfvo type="num" val="1"/>
        <color theme="4" tint="0.79998168889431442"/>
      </dataBar>
      <extLst>
        <ext xmlns:x14="http://schemas.microsoft.com/office/spreadsheetml/2009/9/main" uri="{B025F937-C7B1-47D3-B67F-A62EFF666E3E}">
          <x14:id>{340AE7DB-8A9C-4295-9379-CC9116AE8C24}</x14:id>
        </ext>
      </extLst>
    </cfRule>
  </conditionalFormatting>
  <conditionalFormatting sqref="BA476">
    <cfRule type="iconSet" priority="3667">
      <iconSet iconSet="3Arrows">
        <cfvo type="percent" val="0"/>
        <cfvo type="num" val="0.7"/>
        <cfvo type="num" val="1"/>
      </iconSet>
    </cfRule>
    <cfRule type="dataBar" priority="3668">
      <dataBar>
        <cfvo type="num" val="0"/>
        <cfvo type="num" val="1"/>
        <color theme="4" tint="0.79998168889431442"/>
      </dataBar>
      <extLst>
        <ext xmlns:x14="http://schemas.microsoft.com/office/spreadsheetml/2009/9/main" uri="{B025F937-C7B1-47D3-B67F-A62EFF666E3E}">
          <x14:id>{A1D58131-1654-4C15-B219-304AF1875DD8}</x14:id>
        </ext>
      </extLst>
    </cfRule>
  </conditionalFormatting>
  <conditionalFormatting sqref="BA478">
    <cfRule type="iconSet" priority="3450">
      <iconSet iconSet="3Arrows">
        <cfvo type="percent" val="0"/>
        <cfvo type="num" val="0.7"/>
        <cfvo type="num" val="1"/>
      </iconSet>
    </cfRule>
    <cfRule type="dataBar" priority="3451">
      <dataBar>
        <cfvo type="num" val="0"/>
        <cfvo type="num" val="1"/>
        <color theme="4" tint="0.79998168889431442"/>
      </dataBar>
      <extLst>
        <ext xmlns:x14="http://schemas.microsoft.com/office/spreadsheetml/2009/9/main" uri="{B025F937-C7B1-47D3-B67F-A62EFF666E3E}">
          <x14:id>{A6D02944-5DD5-4EED-9BF7-DEB9855F4178}</x14:id>
        </ext>
      </extLst>
    </cfRule>
  </conditionalFormatting>
  <conditionalFormatting sqref="BA480">
    <cfRule type="iconSet" priority="2991">
      <iconSet iconSet="3Arrows">
        <cfvo type="percent" val="0"/>
        <cfvo type="num" val="0.7"/>
        <cfvo type="num" val="1"/>
      </iconSet>
    </cfRule>
    <cfRule type="dataBar" priority="2992">
      <dataBar>
        <cfvo type="num" val="0"/>
        <cfvo type="num" val="1"/>
        <color theme="4" tint="0.79998168889431442"/>
      </dataBar>
      <extLst>
        <ext xmlns:x14="http://schemas.microsoft.com/office/spreadsheetml/2009/9/main" uri="{B025F937-C7B1-47D3-B67F-A62EFF666E3E}">
          <x14:id>{D3C19C3B-8660-407A-95CB-33F0C23C926D}</x14:id>
        </ext>
      </extLst>
    </cfRule>
  </conditionalFormatting>
  <conditionalFormatting sqref="BA482">
    <cfRule type="iconSet" priority="2977">
      <iconSet iconSet="3Arrows">
        <cfvo type="percent" val="0"/>
        <cfvo type="num" val="0.7"/>
        <cfvo type="num" val="1"/>
      </iconSet>
    </cfRule>
    <cfRule type="dataBar" priority="2978">
      <dataBar>
        <cfvo type="num" val="0"/>
        <cfvo type="num" val="1"/>
        <color theme="4" tint="0.79998168889431442"/>
      </dataBar>
      <extLst>
        <ext xmlns:x14="http://schemas.microsoft.com/office/spreadsheetml/2009/9/main" uri="{B025F937-C7B1-47D3-B67F-A62EFF666E3E}">
          <x14:id>{00B8CCD9-925B-4180-98A0-9F5345B69EDB}</x14:id>
        </ext>
      </extLst>
    </cfRule>
  </conditionalFormatting>
  <conditionalFormatting sqref="BA484">
    <cfRule type="iconSet" priority="2200">
      <iconSet iconSet="3Arrows">
        <cfvo type="percent" val="0"/>
        <cfvo type="num" val="0.7"/>
        <cfvo type="num" val="1"/>
      </iconSet>
    </cfRule>
    <cfRule type="dataBar" priority="2201">
      <dataBar>
        <cfvo type="num" val="0"/>
        <cfvo type="num" val="1"/>
        <color theme="4" tint="0.79998168889431442"/>
      </dataBar>
      <extLst>
        <ext xmlns:x14="http://schemas.microsoft.com/office/spreadsheetml/2009/9/main" uri="{B025F937-C7B1-47D3-B67F-A62EFF666E3E}">
          <x14:id>{2C5D9C87-68F3-4CEC-884B-188B27BE857A}</x14:id>
        </ext>
      </extLst>
    </cfRule>
  </conditionalFormatting>
  <conditionalFormatting sqref="BA486">
    <cfRule type="iconSet" priority="3755">
      <iconSet iconSet="3Arrows">
        <cfvo type="percent" val="0"/>
        <cfvo type="num" val="0.7"/>
        <cfvo type="num" val="1"/>
      </iconSet>
    </cfRule>
    <cfRule type="dataBar" priority="3756">
      <dataBar>
        <cfvo type="num" val="0"/>
        <cfvo type="num" val="1"/>
        <color theme="4" tint="0.79998168889431442"/>
      </dataBar>
      <extLst>
        <ext xmlns:x14="http://schemas.microsoft.com/office/spreadsheetml/2009/9/main" uri="{B025F937-C7B1-47D3-B67F-A62EFF666E3E}">
          <x14:id>{0636C396-6830-4543-B66C-68A713A61F18}</x14:id>
        </ext>
      </extLst>
    </cfRule>
  </conditionalFormatting>
  <conditionalFormatting sqref="BA488">
    <cfRule type="iconSet" priority="2046">
      <iconSet iconSet="3Arrows">
        <cfvo type="percent" val="0"/>
        <cfvo type="num" val="0.7"/>
        <cfvo type="num" val="1"/>
      </iconSet>
    </cfRule>
    <cfRule type="dataBar" priority="2047">
      <dataBar>
        <cfvo type="num" val="0"/>
        <cfvo type="num" val="1"/>
        <color theme="4" tint="0.79998168889431442"/>
      </dataBar>
      <extLst>
        <ext xmlns:x14="http://schemas.microsoft.com/office/spreadsheetml/2009/9/main" uri="{B025F937-C7B1-47D3-B67F-A62EFF666E3E}">
          <x14:id>{7AB5F21D-FAE4-4FC2-AEF9-C638B441A5DC}</x14:id>
        </ext>
      </extLst>
    </cfRule>
  </conditionalFormatting>
  <conditionalFormatting sqref="BA490">
    <cfRule type="iconSet" priority="2059">
      <iconSet iconSet="3Arrows">
        <cfvo type="percent" val="0"/>
        <cfvo type="num" val="0.7"/>
        <cfvo type="num" val="1"/>
      </iconSet>
    </cfRule>
    <cfRule type="dataBar" priority="2060">
      <dataBar>
        <cfvo type="num" val="0"/>
        <cfvo type="num" val="1"/>
        <color theme="4" tint="0.79998168889431442"/>
      </dataBar>
      <extLst>
        <ext xmlns:x14="http://schemas.microsoft.com/office/spreadsheetml/2009/9/main" uri="{B025F937-C7B1-47D3-B67F-A62EFF666E3E}">
          <x14:id>{52B82EFB-3AF8-4C86-BEA0-7C3A575B8F16}</x14:id>
        </ext>
      </extLst>
    </cfRule>
  </conditionalFormatting>
  <conditionalFormatting sqref="BA492">
    <cfRule type="iconSet" priority="2057">
      <iconSet iconSet="3Arrows">
        <cfvo type="percent" val="0"/>
        <cfvo type="num" val="0.7"/>
        <cfvo type="num" val="1"/>
      </iconSet>
    </cfRule>
    <cfRule type="dataBar" priority="2058">
      <dataBar>
        <cfvo type="num" val="0"/>
        <cfvo type="num" val="1"/>
        <color theme="4" tint="0.79998168889431442"/>
      </dataBar>
      <extLst>
        <ext xmlns:x14="http://schemas.microsoft.com/office/spreadsheetml/2009/9/main" uri="{B025F937-C7B1-47D3-B67F-A62EFF666E3E}">
          <x14:id>{1F20F9AB-E416-404C-A774-9956EE8F77B4}</x14:id>
        </ext>
      </extLst>
    </cfRule>
  </conditionalFormatting>
  <conditionalFormatting sqref="BA494">
    <cfRule type="iconSet" priority="2055">
      <iconSet iconSet="3Arrows">
        <cfvo type="percent" val="0"/>
        <cfvo type="num" val="0.7"/>
        <cfvo type="num" val="1"/>
      </iconSet>
    </cfRule>
    <cfRule type="dataBar" priority="2056">
      <dataBar>
        <cfvo type="num" val="0"/>
        <cfvo type="num" val="1"/>
        <color theme="4" tint="0.79998168889431442"/>
      </dataBar>
      <extLst>
        <ext xmlns:x14="http://schemas.microsoft.com/office/spreadsheetml/2009/9/main" uri="{B025F937-C7B1-47D3-B67F-A62EFF666E3E}">
          <x14:id>{C92B7800-AA03-4C68-A135-17CC64CBDC06}</x14:id>
        </ext>
      </extLst>
    </cfRule>
  </conditionalFormatting>
  <conditionalFormatting sqref="BA496">
    <cfRule type="iconSet" priority="2053">
      <iconSet iconSet="3Arrows">
        <cfvo type="percent" val="0"/>
        <cfvo type="num" val="0.7"/>
        <cfvo type="num" val="1"/>
      </iconSet>
    </cfRule>
    <cfRule type="dataBar" priority="2054">
      <dataBar>
        <cfvo type="num" val="0"/>
        <cfvo type="num" val="1"/>
        <color theme="4" tint="0.79998168889431442"/>
      </dataBar>
      <extLst>
        <ext xmlns:x14="http://schemas.microsoft.com/office/spreadsheetml/2009/9/main" uri="{B025F937-C7B1-47D3-B67F-A62EFF666E3E}">
          <x14:id>{F7FA26BE-CD05-458B-9CFF-81A4D0EF06F5}</x14:id>
        </ext>
      </extLst>
    </cfRule>
  </conditionalFormatting>
  <conditionalFormatting sqref="BA498">
    <cfRule type="iconSet" priority="2051">
      <iconSet iconSet="3Arrows">
        <cfvo type="percent" val="0"/>
        <cfvo type="num" val="0.7"/>
        <cfvo type="num" val="1"/>
      </iconSet>
    </cfRule>
    <cfRule type="dataBar" priority="2052">
      <dataBar>
        <cfvo type="num" val="0"/>
        <cfvo type="num" val="1"/>
        <color theme="4" tint="0.79998168889431442"/>
      </dataBar>
      <extLst>
        <ext xmlns:x14="http://schemas.microsoft.com/office/spreadsheetml/2009/9/main" uri="{B025F937-C7B1-47D3-B67F-A62EFF666E3E}">
          <x14:id>{5D75B412-1C93-4924-A38F-4AD10F29C776}</x14:id>
        </ext>
      </extLst>
    </cfRule>
  </conditionalFormatting>
  <conditionalFormatting sqref="BA500">
    <cfRule type="iconSet" priority="2049">
      <iconSet iconSet="3Arrows">
        <cfvo type="percent" val="0"/>
        <cfvo type="num" val="0.7"/>
        <cfvo type="num" val="1"/>
      </iconSet>
    </cfRule>
    <cfRule type="dataBar" priority="2050">
      <dataBar>
        <cfvo type="num" val="0"/>
        <cfvo type="num" val="1"/>
        <color theme="4" tint="0.79998168889431442"/>
      </dataBar>
      <extLst>
        <ext xmlns:x14="http://schemas.microsoft.com/office/spreadsheetml/2009/9/main" uri="{B025F937-C7B1-47D3-B67F-A62EFF666E3E}">
          <x14:id>{EF95BD91-2889-47F7-9C5D-236692D3C907}</x14:id>
        </ext>
      </extLst>
    </cfRule>
  </conditionalFormatting>
  <conditionalFormatting sqref="BA502">
    <cfRule type="iconSet" priority="1559">
      <iconSet iconSet="3Arrows">
        <cfvo type="percent" val="0"/>
        <cfvo type="num" val="0.7"/>
        <cfvo type="num" val="1"/>
      </iconSet>
    </cfRule>
    <cfRule type="dataBar" priority="1560">
      <dataBar>
        <cfvo type="num" val="0"/>
        <cfvo type="num" val="1"/>
        <color theme="4" tint="0.79998168889431442"/>
      </dataBar>
      <extLst>
        <ext xmlns:x14="http://schemas.microsoft.com/office/spreadsheetml/2009/9/main" uri="{B025F937-C7B1-47D3-B67F-A62EFF666E3E}">
          <x14:id>{72786E9F-1E3D-4B37-A83C-B4FEA8762453}</x14:id>
        </ext>
      </extLst>
    </cfRule>
  </conditionalFormatting>
  <conditionalFormatting sqref="BA504">
    <cfRule type="iconSet" priority="1571">
      <iconSet iconSet="3Arrows">
        <cfvo type="percent" val="0"/>
        <cfvo type="num" val="0.7"/>
        <cfvo type="num" val="1"/>
      </iconSet>
    </cfRule>
    <cfRule type="dataBar" priority="1572">
      <dataBar>
        <cfvo type="num" val="0"/>
        <cfvo type="num" val="1"/>
        <color theme="4" tint="0.79998168889431442"/>
      </dataBar>
      <extLst>
        <ext xmlns:x14="http://schemas.microsoft.com/office/spreadsheetml/2009/9/main" uri="{B025F937-C7B1-47D3-B67F-A62EFF666E3E}">
          <x14:id>{9F645758-B7B4-43CB-A79A-2F04C4C9D5C8}</x14:id>
        </ext>
      </extLst>
    </cfRule>
  </conditionalFormatting>
  <conditionalFormatting sqref="BA506">
    <cfRule type="iconSet" priority="1569">
      <iconSet iconSet="3Arrows">
        <cfvo type="percent" val="0"/>
        <cfvo type="num" val="0.7"/>
        <cfvo type="num" val="1"/>
      </iconSet>
    </cfRule>
    <cfRule type="dataBar" priority="1570">
      <dataBar>
        <cfvo type="num" val="0"/>
        <cfvo type="num" val="1"/>
        <color theme="4" tint="0.79998168889431442"/>
      </dataBar>
      <extLst>
        <ext xmlns:x14="http://schemas.microsoft.com/office/spreadsheetml/2009/9/main" uri="{B025F937-C7B1-47D3-B67F-A62EFF666E3E}">
          <x14:id>{EF564EB3-E9DB-4DC3-B7F0-A2613C05D195}</x14:id>
        </ext>
      </extLst>
    </cfRule>
  </conditionalFormatting>
  <conditionalFormatting sqref="BA508">
    <cfRule type="iconSet" priority="1567">
      <iconSet iconSet="3Arrows">
        <cfvo type="percent" val="0"/>
        <cfvo type="num" val="0.7"/>
        <cfvo type="num" val="1"/>
      </iconSet>
    </cfRule>
    <cfRule type="dataBar" priority="1568">
      <dataBar>
        <cfvo type="num" val="0"/>
        <cfvo type="num" val="1"/>
        <color theme="4" tint="0.79998168889431442"/>
      </dataBar>
      <extLst>
        <ext xmlns:x14="http://schemas.microsoft.com/office/spreadsheetml/2009/9/main" uri="{B025F937-C7B1-47D3-B67F-A62EFF666E3E}">
          <x14:id>{088F771F-EDD8-486F-9116-864FEC5DA6A4}</x14:id>
        </ext>
      </extLst>
    </cfRule>
  </conditionalFormatting>
  <conditionalFormatting sqref="BA510">
    <cfRule type="iconSet" priority="95">
      <iconSet iconSet="3Arrows">
        <cfvo type="percent" val="0"/>
        <cfvo type="num" val="0.7"/>
        <cfvo type="num" val="1"/>
      </iconSet>
    </cfRule>
    <cfRule type="dataBar" priority="96">
      <dataBar>
        <cfvo type="num" val="0"/>
        <cfvo type="num" val="1"/>
        <color theme="4" tint="0.79998168889431442"/>
      </dataBar>
      <extLst>
        <ext xmlns:x14="http://schemas.microsoft.com/office/spreadsheetml/2009/9/main" uri="{B025F937-C7B1-47D3-B67F-A62EFF666E3E}">
          <x14:id>{4F9C4FC4-EFB1-4769-A664-CA64DFC2B88D}</x14:id>
        </ext>
      </extLst>
    </cfRule>
  </conditionalFormatting>
  <conditionalFormatting sqref="BA512">
    <cfRule type="iconSet" priority="1565">
      <iconSet iconSet="3Arrows">
        <cfvo type="percent" val="0"/>
        <cfvo type="num" val="0.7"/>
        <cfvo type="num" val="1"/>
      </iconSet>
    </cfRule>
    <cfRule type="dataBar" priority="1566">
      <dataBar>
        <cfvo type="num" val="0"/>
        <cfvo type="num" val="1"/>
        <color theme="4" tint="0.79998168889431442"/>
      </dataBar>
      <extLst>
        <ext xmlns:x14="http://schemas.microsoft.com/office/spreadsheetml/2009/9/main" uri="{B025F937-C7B1-47D3-B67F-A62EFF666E3E}">
          <x14:id>{5B8D7E22-262D-44D6-BD73-0E3779302929}</x14:id>
        </ext>
      </extLst>
    </cfRule>
  </conditionalFormatting>
  <conditionalFormatting sqref="BA514">
    <cfRule type="iconSet" priority="79">
      <iconSet iconSet="3Arrows">
        <cfvo type="percent" val="0"/>
        <cfvo type="num" val="0.7"/>
        <cfvo type="num" val="1"/>
      </iconSet>
    </cfRule>
    <cfRule type="dataBar" priority="80">
      <dataBar>
        <cfvo type="num" val="0"/>
        <cfvo type="num" val="1"/>
        <color theme="4" tint="0.79998168889431442"/>
      </dataBar>
      <extLst>
        <ext xmlns:x14="http://schemas.microsoft.com/office/spreadsheetml/2009/9/main" uri="{B025F937-C7B1-47D3-B67F-A62EFF666E3E}">
          <x14:id>{C35A841B-FFFC-4E06-B71A-F8F03FE829F2}</x14:id>
        </ext>
      </extLst>
    </cfRule>
  </conditionalFormatting>
  <conditionalFormatting sqref="BA516">
    <cfRule type="iconSet" priority="275">
      <iconSet iconSet="3Arrows">
        <cfvo type="percent" val="0"/>
        <cfvo type="num" val="0.7"/>
        <cfvo type="num" val="1"/>
      </iconSet>
    </cfRule>
    <cfRule type="dataBar" priority="276">
      <dataBar>
        <cfvo type="num" val="0"/>
        <cfvo type="num" val="1"/>
        <color theme="4" tint="0.79998168889431442"/>
      </dataBar>
      <extLst>
        <ext xmlns:x14="http://schemas.microsoft.com/office/spreadsheetml/2009/9/main" uri="{B025F937-C7B1-47D3-B67F-A62EFF666E3E}">
          <x14:id>{AE90DF1C-97E2-4EDF-A80B-3BBBE09DF0DC}</x14:id>
        </ext>
      </extLst>
    </cfRule>
  </conditionalFormatting>
  <conditionalFormatting sqref="BA518">
    <cfRule type="iconSet" priority="259">
      <iconSet iconSet="3Arrows">
        <cfvo type="percent" val="0"/>
        <cfvo type="num" val="0.7"/>
        <cfvo type="num" val="1"/>
      </iconSet>
    </cfRule>
    <cfRule type="dataBar" priority="260">
      <dataBar>
        <cfvo type="num" val="0"/>
        <cfvo type="num" val="1"/>
        <color theme="4" tint="0.79998168889431442"/>
      </dataBar>
      <extLst>
        <ext xmlns:x14="http://schemas.microsoft.com/office/spreadsheetml/2009/9/main" uri="{B025F937-C7B1-47D3-B67F-A62EFF666E3E}">
          <x14:id>{912242C8-A9F2-479C-B550-D412A1933B54}</x14:id>
        </ext>
      </extLst>
    </cfRule>
  </conditionalFormatting>
  <conditionalFormatting sqref="BA520">
    <cfRule type="iconSet" priority="1563">
      <iconSet iconSet="3Arrows">
        <cfvo type="percent" val="0"/>
        <cfvo type="num" val="0.7"/>
        <cfvo type="num" val="1"/>
      </iconSet>
    </cfRule>
    <cfRule type="dataBar" priority="1564">
      <dataBar>
        <cfvo type="num" val="0"/>
        <cfvo type="num" val="1"/>
        <color theme="4" tint="0.79998168889431442"/>
      </dataBar>
      <extLst>
        <ext xmlns:x14="http://schemas.microsoft.com/office/spreadsheetml/2009/9/main" uri="{B025F937-C7B1-47D3-B67F-A62EFF666E3E}">
          <x14:id>{8ED5A48A-B036-4998-AFA6-8503A9F9B2BC}</x14:id>
        </ext>
      </extLst>
    </cfRule>
  </conditionalFormatting>
  <conditionalFormatting sqref="BA522">
    <cfRule type="iconSet" priority="516">
      <iconSet iconSet="3Arrows">
        <cfvo type="percent" val="0"/>
        <cfvo type="num" val="0.7"/>
        <cfvo type="num" val="1"/>
      </iconSet>
    </cfRule>
    <cfRule type="dataBar" priority="517">
      <dataBar>
        <cfvo type="num" val="0"/>
        <cfvo type="num" val="1"/>
        <color theme="4" tint="0.79998168889431442"/>
      </dataBar>
      <extLst>
        <ext xmlns:x14="http://schemas.microsoft.com/office/spreadsheetml/2009/9/main" uri="{B025F937-C7B1-47D3-B67F-A62EFF666E3E}">
          <x14:id>{1FE2B87F-AB72-4E86-9941-988413FAE001}</x14:id>
        </ext>
      </extLst>
    </cfRule>
  </conditionalFormatting>
  <conditionalFormatting sqref="BA524">
    <cfRule type="iconSet" priority="500">
      <iconSet iconSet="3Arrows">
        <cfvo type="percent" val="0"/>
        <cfvo type="num" val="0.7"/>
        <cfvo type="num" val="1"/>
      </iconSet>
    </cfRule>
    <cfRule type="dataBar" priority="501">
      <dataBar>
        <cfvo type="num" val="0"/>
        <cfvo type="num" val="1"/>
        <color theme="4" tint="0.79998168889431442"/>
      </dataBar>
      <extLst>
        <ext xmlns:x14="http://schemas.microsoft.com/office/spreadsheetml/2009/9/main" uri="{B025F937-C7B1-47D3-B67F-A62EFF666E3E}">
          <x14:id>{4E4DEB31-F6A3-4648-84FA-4646951D68A6}</x14:id>
        </ext>
      </extLst>
    </cfRule>
  </conditionalFormatting>
  <conditionalFormatting sqref="BA526">
    <cfRule type="iconSet" priority="291">
      <iconSet iconSet="3Arrows">
        <cfvo type="percent" val="0"/>
        <cfvo type="num" val="0.7"/>
        <cfvo type="num" val="1"/>
      </iconSet>
    </cfRule>
    <cfRule type="dataBar" priority="292">
      <dataBar>
        <cfvo type="num" val="0"/>
        <cfvo type="num" val="1"/>
        <color theme="4" tint="0.79998168889431442"/>
      </dataBar>
      <extLst>
        <ext xmlns:x14="http://schemas.microsoft.com/office/spreadsheetml/2009/9/main" uri="{B025F937-C7B1-47D3-B67F-A62EFF666E3E}">
          <x14:id>{A4C1E5FB-8AD8-4B49-9A8E-F0481E35FBE3}</x14:id>
        </ext>
      </extLst>
    </cfRule>
  </conditionalFormatting>
  <conditionalFormatting sqref="BA528">
    <cfRule type="iconSet" priority="1561">
      <iconSet iconSet="3Arrows">
        <cfvo type="percent" val="0"/>
        <cfvo type="num" val="0.7"/>
        <cfvo type="num" val="1"/>
      </iconSet>
    </cfRule>
    <cfRule type="dataBar" priority="1562">
      <dataBar>
        <cfvo type="num" val="0"/>
        <cfvo type="num" val="1"/>
        <color theme="4" tint="0.79998168889431442"/>
      </dataBar>
      <extLst>
        <ext xmlns:x14="http://schemas.microsoft.com/office/spreadsheetml/2009/9/main" uri="{B025F937-C7B1-47D3-B67F-A62EFF666E3E}">
          <x14:id>{C0107D5E-AB51-428A-A7BD-44A7A7CD1CC5}</x14:id>
        </ext>
      </extLst>
    </cfRule>
  </conditionalFormatting>
  <conditionalFormatting sqref="BA530">
    <cfRule type="iconSet" priority="1650">
      <iconSet iconSet="3Arrows">
        <cfvo type="percent" val="0"/>
        <cfvo type="num" val="0.7"/>
        <cfvo type="num" val="1"/>
      </iconSet>
    </cfRule>
    <cfRule type="dataBar" priority="1651">
      <dataBar>
        <cfvo type="num" val="0"/>
        <cfvo type="num" val="1"/>
        <color theme="4" tint="0.79998168889431442"/>
      </dataBar>
      <extLst>
        <ext xmlns:x14="http://schemas.microsoft.com/office/spreadsheetml/2009/9/main" uri="{B025F937-C7B1-47D3-B67F-A62EFF666E3E}">
          <x14:id>{2C51F07B-43B4-4A28-A441-6225124C8B59}</x14:id>
        </ext>
      </extLst>
    </cfRule>
  </conditionalFormatting>
  <conditionalFormatting sqref="BA532">
    <cfRule type="iconSet" priority="1662">
      <iconSet iconSet="3Arrows">
        <cfvo type="percent" val="0"/>
        <cfvo type="num" val="0.7"/>
        <cfvo type="num" val="1"/>
      </iconSet>
    </cfRule>
    <cfRule type="dataBar" priority="1663">
      <dataBar>
        <cfvo type="num" val="0"/>
        <cfvo type="num" val="1"/>
        <color theme="4" tint="0.79998168889431442"/>
      </dataBar>
      <extLst>
        <ext xmlns:x14="http://schemas.microsoft.com/office/spreadsheetml/2009/9/main" uri="{B025F937-C7B1-47D3-B67F-A62EFF666E3E}">
          <x14:id>{D4450602-74D9-4B82-9045-3EAD0A92F292}</x14:id>
        </ext>
      </extLst>
    </cfRule>
  </conditionalFormatting>
  <conditionalFormatting sqref="BA534">
    <cfRule type="iconSet" priority="242">
      <iconSet iconSet="3Arrows">
        <cfvo type="percent" val="0"/>
        <cfvo type="num" val="0.7"/>
        <cfvo type="num" val="1"/>
      </iconSet>
    </cfRule>
    <cfRule type="dataBar" priority="243">
      <dataBar>
        <cfvo type="num" val="0"/>
        <cfvo type="num" val="1"/>
        <color theme="4" tint="0.79998168889431442"/>
      </dataBar>
      <extLst>
        <ext xmlns:x14="http://schemas.microsoft.com/office/spreadsheetml/2009/9/main" uri="{B025F937-C7B1-47D3-B67F-A62EFF666E3E}">
          <x14:id>{8AD5E3CA-B96F-4DF5-8FEB-6E6F60AB2B03}</x14:id>
        </ext>
      </extLst>
    </cfRule>
  </conditionalFormatting>
  <conditionalFormatting sqref="BA536">
    <cfRule type="iconSet" priority="1660">
      <iconSet iconSet="3Arrows">
        <cfvo type="percent" val="0"/>
        <cfvo type="num" val="0.7"/>
        <cfvo type="num" val="1"/>
      </iconSet>
    </cfRule>
    <cfRule type="dataBar" priority="1661">
      <dataBar>
        <cfvo type="num" val="0"/>
        <cfvo type="num" val="1"/>
        <color theme="4" tint="0.79998168889431442"/>
      </dataBar>
      <extLst>
        <ext xmlns:x14="http://schemas.microsoft.com/office/spreadsheetml/2009/9/main" uri="{B025F937-C7B1-47D3-B67F-A62EFF666E3E}">
          <x14:id>{8420B34D-9A81-4EA4-A6F3-0DF6E87AA2B1}</x14:id>
        </ext>
      </extLst>
    </cfRule>
  </conditionalFormatting>
  <conditionalFormatting sqref="BA538">
    <cfRule type="iconSet" priority="1658">
      <iconSet iconSet="3Arrows">
        <cfvo type="percent" val="0"/>
        <cfvo type="num" val="0.7"/>
        <cfvo type="num" val="1"/>
      </iconSet>
    </cfRule>
    <cfRule type="dataBar" priority="1659">
      <dataBar>
        <cfvo type="num" val="0"/>
        <cfvo type="num" val="1"/>
        <color theme="4" tint="0.79998168889431442"/>
      </dataBar>
      <extLst>
        <ext xmlns:x14="http://schemas.microsoft.com/office/spreadsheetml/2009/9/main" uri="{B025F937-C7B1-47D3-B67F-A62EFF666E3E}">
          <x14:id>{ED9B9BD0-5331-4548-93B8-BC67A5DBDAC4}</x14:id>
        </ext>
      </extLst>
    </cfRule>
  </conditionalFormatting>
  <conditionalFormatting sqref="BA540">
    <cfRule type="iconSet" priority="484">
      <iconSet iconSet="3Arrows">
        <cfvo type="percent" val="0"/>
        <cfvo type="num" val="0.7"/>
        <cfvo type="num" val="1"/>
      </iconSet>
    </cfRule>
    <cfRule type="dataBar" priority="485">
      <dataBar>
        <cfvo type="num" val="0"/>
        <cfvo type="num" val="1"/>
        <color theme="4" tint="0.79998168889431442"/>
      </dataBar>
      <extLst>
        <ext xmlns:x14="http://schemas.microsoft.com/office/spreadsheetml/2009/9/main" uri="{B025F937-C7B1-47D3-B67F-A62EFF666E3E}">
          <x14:id>{E907DE5E-3B62-4EF7-8478-F0189D246A85}</x14:id>
        </ext>
      </extLst>
    </cfRule>
  </conditionalFormatting>
  <conditionalFormatting sqref="BA542">
    <cfRule type="iconSet" priority="63">
      <iconSet iconSet="3Arrows">
        <cfvo type="percent" val="0"/>
        <cfvo type="num" val="0.7"/>
        <cfvo type="num" val="1"/>
      </iconSet>
    </cfRule>
    <cfRule type="dataBar" priority="64">
      <dataBar>
        <cfvo type="num" val="0"/>
        <cfvo type="num" val="1"/>
        <color theme="4" tint="0.79998168889431442"/>
      </dataBar>
      <extLst>
        <ext xmlns:x14="http://schemas.microsoft.com/office/spreadsheetml/2009/9/main" uri="{B025F937-C7B1-47D3-B67F-A62EFF666E3E}">
          <x14:id>{ECE5172A-B345-4B10-A0C8-A80236659921}</x14:id>
        </ext>
      </extLst>
    </cfRule>
  </conditionalFormatting>
  <conditionalFormatting sqref="BA544">
    <cfRule type="iconSet" priority="1656">
      <iconSet iconSet="3Arrows">
        <cfvo type="percent" val="0"/>
        <cfvo type="num" val="0.7"/>
        <cfvo type="num" val="1"/>
      </iconSet>
    </cfRule>
    <cfRule type="dataBar" priority="1657">
      <dataBar>
        <cfvo type="num" val="0"/>
        <cfvo type="num" val="1"/>
        <color theme="4" tint="0.79998168889431442"/>
      </dataBar>
      <extLst>
        <ext xmlns:x14="http://schemas.microsoft.com/office/spreadsheetml/2009/9/main" uri="{B025F937-C7B1-47D3-B67F-A62EFF666E3E}">
          <x14:id>{D35E3434-D646-4301-8831-EDA33DC5C2A9}</x14:id>
        </ext>
      </extLst>
    </cfRule>
  </conditionalFormatting>
  <conditionalFormatting sqref="BA546">
    <cfRule type="iconSet" priority="208">
      <iconSet iconSet="3Arrows">
        <cfvo type="percent" val="0"/>
        <cfvo type="num" val="0.7"/>
        <cfvo type="num" val="1"/>
      </iconSet>
    </cfRule>
    <cfRule type="dataBar" priority="209">
      <dataBar>
        <cfvo type="num" val="0"/>
        <cfvo type="num" val="1"/>
        <color theme="4" tint="0.79998168889431442"/>
      </dataBar>
      <extLst>
        <ext xmlns:x14="http://schemas.microsoft.com/office/spreadsheetml/2009/9/main" uri="{B025F937-C7B1-47D3-B67F-A62EFF666E3E}">
          <x14:id>{6EBC7765-2051-49E3-8F5E-4D6971B6C230}</x14:id>
        </ext>
      </extLst>
    </cfRule>
  </conditionalFormatting>
  <conditionalFormatting sqref="BA548">
    <cfRule type="iconSet" priority="3">
      <iconSet iconSet="3Arrows">
        <cfvo type="percent" val="0"/>
        <cfvo type="num" val="0.7"/>
        <cfvo type="num" val="1"/>
      </iconSet>
    </cfRule>
    <cfRule type="dataBar" priority="4">
      <dataBar>
        <cfvo type="num" val="0"/>
        <cfvo type="num" val="1"/>
        <color theme="4" tint="0.79998168889431442"/>
      </dataBar>
      <extLst>
        <ext xmlns:x14="http://schemas.microsoft.com/office/spreadsheetml/2009/9/main" uri="{B025F937-C7B1-47D3-B67F-A62EFF666E3E}">
          <x14:id>{F90EFE2C-985C-400E-98C8-77287345E89B}</x14:id>
        </ext>
      </extLst>
    </cfRule>
  </conditionalFormatting>
  <conditionalFormatting sqref="BA550">
    <cfRule type="iconSet" priority="164">
      <iconSet iconSet="3Arrows">
        <cfvo type="percent" val="0"/>
        <cfvo type="num" val="0.7"/>
        <cfvo type="num" val="1"/>
      </iconSet>
    </cfRule>
    <cfRule type="dataBar" priority="165">
      <dataBar>
        <cfvo type="num" val="0"/>
        <cfvo type="num" val="1"/>
        <color theme="4" tint="0.79998168889431442"/>
      </dataBar>
      <extLst>
        <ext xmlns:x14="http://schemas.microsoft.com/office/spreadsheetml/2009/9/main" uri="{B025F937-C7B1-47D3-B67F-A62EFF666E3E}">
          <x14:id>{9237564D-4D32-433E-8D0D-F58899FEFE88}</x14:id>
        </ext>
      </extLst>
    </cfRule>
  </conditionalFormatting>
  <conditionalFormatting sqref="BA552">
    <cfRule type="iconSet" priority="373">
      <iconSet iconSet="3Arrows">
        <cfvo type="percent" val="0"/>
        <cfvo type="num" val="0.7"/>
        <cfvo type="num" val="1"/>
      </iconSet>
    </cfRule>
    <cfRule type="dataBar" priority="374">
      <dataBar>
        <cfvo type="num" val="0"/>
        <cfvo type="num" val="1"/>
        <color theme="4" tint="0.79998168889431442"/>
      </dataBar>
      <extLst>
        <ext xmlns:x14="http://schemas.microsoft.com/office/spreadsheetml/2009/9/main" uri="{B025F937-C7B1-47D3-B67F-A62EFF666E3E}">
          <x14:id>{BE241F40-5B83-4734-8B52-C3A1048986A1}</x14:id>
        </ext>
      </extLst>
    </cfRule>
  </conditionalFormatting>
  <conditionalFormatting sqref="BA554">
    <cfRule type="iconSet" priority="226">
      <iconSet iconSet="3Arrows">
        <cfvo type="percent" val="0"/>
        <cfvo type="num" val="0.7"/>
        <cfvo type="num" val="1"/>
      </iconSet>
    </cfRule>
    <cfRule type="dataBar" priority="227">
      <dataBar>
        <cfvo type="num" val="0"/>
        <cfvo type="num" val="1"/>
        <color theme="4" tint="0.79998168889431442"/>
      </dataBar>
      <extLst>
        <ext xmlns:x14="http://schemas.microsoft.com/office/spreadsheetml/2009/9/main" uri="{B025F937-C7B1-47D3-B67F-A62EFF666E3E}">
          <x14:id>{B5696AE0-1648-453D-AB68-3D2C03DFC95B}</x14:id>
        </ext>
      </extLst>
    </cfRule>
  </conditionalFormatting>
  <conditionalFormatting sqref="BA556">
    <cfRule type="iconSet" priority="1654">
      <iconSet iconSet="3Arrows">
        <cfvo type="percent" val="0"/>
        <cfvo type="num" val="0.7"/>
        <cfvo type="num" val="1"/>
      </iconSet>
    </cfRule>
    <cfRule type="dataBar" priority="1655">
      <dataBar>
        <cfvo type="num" val="0"/>
        <cfvo type="num" val="1"/>
        <color theme="4" tint="0.79998168889431442"/>
      </dataBar>
      <extLst>
        <ext xmlns:x14="http://schemas.microsoft.com/office/spreadsheetml/2009/9/main" uri="{B025F937-C7B1-47D3-B67F-A62EFF666E3E}">
          <x14:id>{FEEA2A91-3A03-4BBA-8C48-1D31568E6C17}</x14:id>
        </ext>
      </extLst>
    </cfRule>
  </conditionalFormatting>
  <conditionalFormatting sqref="BA558">
    <cfRule type="iconSet" priority="468">
      <iconSet iconSet="3Arrows">
        <cfvo type="percent" val="0"/>
        <cfvo type="num" val="0.7"/>
        <cfvo type="num" val="1"/>
      </iconSet>
    </cfRule>
    <cfRule type="dataBar" priority="469">
      <dataBar>
        <cfvo type="num" val="0"/>
        <cfvo type="num" val="1"/>
        <color theme="4" tint="0.79998168889431442"/>
      </dataBar>
      <extLst>
        <ext xmlns:x14="http://schemas.microsoft.com/office/spreadsheetml/2009/9/main" uri="{B025F937-C7B1-47D3-B67F-A62EFF666E3E}">
          <x14:id>{332A5A53-2FFE-4210-9C20-4D47432EF14B}</x14:id>
        </ext>
      </extLst>
    </cfRule>
  </conditionalFormatting>
  <conditionalFormatting sqref="BA560">
    <cfRule type="iconSet" priority="47">
      <iconSet iconSet="3Arrows">
        <cfvo type="percent" val="0"/>
        <cfvo type="num" val="0.7"/>
        <cfvo type="num" val="1"/>
      </iconSet>
    </cfRule>
    <cfRule type="dataBar" priority="48">
      <dataBar>
        <cfvo type="num" val="0"/>
        <cfvo type="num" val="1"/>
        <color theme="4" tint="0.79998168889431442"/>
      </dataBar>
      <extLst>
        <ext xmlns:x14="http://schemas.microsoft.com/office/spreadsheetml/2009/9/main" uri="{B025F937-C7B1-47D3-B67F-A62EFF666E3E}">
          <x14:id>{F90B30AE-621A-4397-9DB5-5F82064D54AD}</x14:id>
        </ext>
      </extLst>
    </cfRule>
  </conditionalFormatting>
  <conditionalFormatting sqref="BA562">
    <cfRule type="iconSet" priority="1652">
      <iconSet iconSet="3Arrows">
        <cfvo type="percent" val="0"/>
        <cfvo type="num" val="0.7"/>
        <cfvo type="num" val="1"/>
      </iconSet>
    </cfRule>
    <cfRule type="dataBar" priority="1653">
      <dataBar>
        <cfvo type="num" val="0"/>
        <cfvo type="num" val="1"/>
        <color theme="4" tint="0.79998168889431442"/>
      </dataBar>
      <extLst>
        <ext xmlns:x14="http://schemas.microsoft.com/office/spreadsheetml/2009/9/main" uri="{B025F937-C7B1-47D3-B67F-A62EFF666E3E}">
          <x14:id>{424ED11B-03A1-40E6-9FF0-A4B6C6A2579A}</x14:id>
        </ext>
      </extLst>
    </cfRule>
  </conditionalFormatting>
  <conditionalFormatting sqref="BA564">
    <cfRule type="iconSet" priority="3708">
      <iconSet iconSet="3Arrows">
        <cfvo type="percent" val="0"/>
        <cfvo type="num" val="0.7"/>
        <cfvo type="num" val="1"/>
      </iconSet>
    </cfRule>
    <cfRule type="dataBar" priority="3709">
      <dataBar>
        <cfvo type="num" val="0"/>
        <cfvo type="num" val="1"/>
        <color theme="4" tint="0.79998168889431442"/>
      </dataBar>
      <extLst>
        <ext xmlns:x14="http://schemas.microsoft.com/office/spreadsheetml/2009/9/main" uri="{B025F937-C7B1-47D3-B67F-A62EFF666E3E}">
          <x14:id>{69E89820-6779-4325-808B-E60EB3AEF1CF}</x14:id>
        </ext>
      </extLst>
    </cfRule>
  </conditionalFormatting>
  <conditionalFormatting sqref="BA566">
    <cfRule type="iconSet" priority="3706">
      <iconSet iconSet="3Arrows">
        <cfvo type="percent" val="0"/>
        <cfvo type="num" val="0.7"/>
        <cfvo type="num" val="1"/>
      </iconSet>
    </cfRule>
    <cfRule type="dataBar" priority="3707">
      <dataBar>
        <cfvo type="num" val="0"/>
        <cfvo type="num" val="1"/>
        <color theme="4" tint="0.79998168889431442"/>
      </dataBar>
      <extLst>
        <ext xmlns:x14="http://schemas.microsoft.com/office/spreadsheetml/2009/9/main" uri="{B025F937-C7B1-47D3-B67F-A62EFF666E3E}">
          <x14:id>{435B8C47-96B0-414A-87CF-8B24D4D17CBD}</x14:id>
        </ext>
      </extLst>
    </cfRule>
  </conditionalFormatting>
  <conditionalFormatting sqref="BA568">
    <cfRule type="iconSet" priority="3704">
      <iconSet iconSet="3Arrows">
        <cfvo type="percent" val="0"/>
        <cfvo type="num" val="0.7"/>
        <cfvo type="num" val="1"/>
      </iconSet>
    </cfRule>
    <cfRule type="dataBar" priority="3705">
      <dataBar>
        <cfvo type="num" val="0"/>
        <cfvo type="num" val="1"/>
        <color theme="4" tint="0.79998168889431442"/>
      </dataBar>
      <extLst>
        <ext xmlns:x14="http://schemas.microsoft.com/office/spreadsheetml/2009/9/main" uri="{B025F937-C7B1-47D3-B67F-A62EFF666E3E}">
          <x14:id>{E0FE1AB3-4C90-4D76-B180-0398E0866C42}</x14:id>
        </ext>
      </extLst>
    </cfRule>
  </conditionalFormatting>
  <conditionalFormatting sqref="BA570">
    <cfRule type="iconSet" priority="3702">
      <iconSet iconSet="3Arrows">
        <cfvo type="percent" val="0"/>
        <cfvo type="num" val="0.7"/>
        <cfvo type="num" val="1"/>
      </iconSet>
    </cfRule>
    <cfRule type="dataBar" priority="3703">
      <dataBar>
        <cfvo type="num" val="0"/>
        <cfvo type="num" val="1"/>
        <color theme="4" tint="0.79998168889431442"/>
      </dataBar>
      <extLst>
        <ext xmlns:x14="http://schemas.microsoft.com/office/spreadsheetml/2009/9/main" uri="{B025F937-C7B1-47D3-B67F-A62EFF666E3E}">
          <x14:id>{5664719B-F562-4966-A6A5-96747629DA15}</x14:id>
        </ext>
      </extLst>
    </cfRule>
  </conditionalFormatting>
  <conditionalFormatting sqref="BA572">
    <cfRule type="iconSet" priority="3700">
      <iconSet iconSet="3Arrows">
        <cfvo type="percent" val="0"/>
        <cfvo type="num" val="0.7"/>
        <cfvo type="num" val="1"/>
      </iconSet>
    </cfRule>
    <cfRule type="dataBar" priority="3701">
      <dataBar>
        <cfvo type="num" val="0"/>
        <cfvo type="num" val="1"/>
        <color theme="4" tint="0.79998168889431442"/>
      </dataBar>
      <extLst>
        <ext xmlns:x14="http://schemas.microsoft.com/office/spreadsheetml/2009/9/main" uri="{B025F937-C7B1-47D3-B67F-A62EFF666E3E}">
          <x14:id>{A80D6196-A516-4D21-AEAC-B747819DD64D}</x14:id>
        </ext>
      </extLst>
    </cfRule>
  </conditionalFormatting>
  <conditionalFormatting sqref="BA574">
    <cfRule type="iconSet" priority="3698">
      <iconSet iconSet="3Arrows">
        <cfvo type="percent" val="0"/>
        <cfvo type="num" val="0.7"/>
        <cfvo type="num" val="1"/>
      </iconSet>
    </cfRule>
    <cfRule type="dataBar" priority="3699">
      <dataBar>
        <cfvo type="num" val="0"/>
        <cfvo type="num" val="1"/>
        <color theme="4" tint="0.79998168889431442"/>
      </dataBar>
      <extLst>
        <ext xmlns:x14="http://schemas.microsoft.com/office/spreadsheetml/2009/9/main" uri="{B025F937-C7B1-47D3-B67F-A62EFF666E3E}">
          <x14:id>{1DA812E8-4AD7-4F38-BBC1-5CB1675EC93F}</x14:id>
        </ext>
      </extLst>
    </cfRule>
  </conditionalFormatting>
  <conditionalFormatting sqref="BA576">
    <cfRule type="iconSet" priority="3696">
      <iconSet iconSet="3Arrows">
        <cfvo type="percent" val="0"/>
        <cfvo type="num" val="0.7"/>
        <cfvo type="num" val="1"/>
      </iconSet>
    </cfRule>
    <cfRule type="dataBar" priority="3697">
      <dataBar>
        <cfvo type="num" val="0"/>
        <cfvo type="num" val="1"/>
        <color theme="4" tint="0.79998168889431442"/>
      </dataBar>
      <extLst>
        <ext xmlns:x14="http://schemas.microsoft.com/office/spreadsheetml/2009/9/main" uri="{B025F937-C7B1-47D3-B67F-A62EFF666E3E}">
          <x14:id>{1EAD4ADF-8B32-41F4-AAEB-2CCD4E23D3E5}</x14:id>
        </ext>
      </extLst>
    </cfRule>
  </conditionalFormatting>
  <conditionalFormatting sqref="BA578">
    <cfRule type="iconSet" priority="3690">
      <iconSet iconSet="3Arrows">
        <cfvo type="percent" val="0"/>
        <cfvo type="num" val="0.7"/>
        <cfvo type="num" val="1"/>
      </iconSet>
    </cfRule>
    <cfRule type="dataBar" priority="3691">
      <dataBar>
        <cfvo type="num" val="0"/>
        <cfvo type="num" val="1"/>
        <color theme="4" tint="0.79998168889431442"/>
      </dataBar>
      <extLst>
        <ext xmlns:x14="http://schemas.microsoft.com/office/spreadsheetml/2009/9/main" uri="{B025F937-C7B1-47D3-B67F-A62EFF666E3E}">
          <x14:id>{F73332A4-0E5C-43B9-A734-DD837B5459EF}</x14:id>
        </ext>
      </extLst>
    </cfRule>
  </conditionalFormatting>
  <conditionalFormatting sqref="BA580">
    <cfRule type="iconSet" priority="3694">
      <iconSet iconSet="3Arrows">
        <cfvo type="percent" val="0"/>
        <cfvo type="num" val="0.7"/>
        <cfvo type="num" val="1"/>
      </iconSet>
    </cfRule>
    <cfRule type="dataBar" priority="3695">
      <dataBar>
        <cfvo type="num" val="0"/>
        <cfvo type="num" val="1"/>
        <color theme="4" tint="0.79998168889431442"/>
      </dataBar>
      <extLst>
        <ext xmlns:x14="http://schemas.microsoft.com/office/spreadsheetml/2009/9/main" uri="{B025F937-C7B1-47D3-B67F-A62EFF666E3E}">
          <x14:id>{5103A53C-D03B-4C26-BA76-D5AB991877D9}</x14:id>
        </ext>
      </extLst>
    </cfRule>
  </conditionalFormatting>
  <conditionalFormatting sqref="BA582">
    <cfRule type="iconSet" priority="3688">
      <iconSet iconSet="3Arrows">
        <cfvo type="percent" val="0"/>
        <cfvo type="num" val="0.7"/>
        <cfvo type="num" val="1"/>
      </iconSet>
    </cfRule>
    <cfRule type="dataBar" priority="3689">
      <dataBar>
        <cfvo type="num" val="0"/>
        <cfvo type="num" val="1"/>
        <color theme="4" tint="0.79998168889431442"/>
      </dataBar>
      <extLst>
        <ext xmlns:x14="http://schemas.microsoft.com/office/spreadsheetml/2009/9/main" uri="{B025F937-C7B1-47D3-B67F-A62EFF666E3E}">
          <x14:id>{CF5F827A-D4B6-45A9-9913-8F3BB525687C}</x14:id>
        </ext>
      </extLst>
    </cfRule>
  </conditionalFormatting>
  <conditionalFormatting sqref="BA584">
    <cfRule type="iconSet" priority="3692">
      <iconSet iconSet="3Arrows">
        <cfvo type="percent" val="0"/>
        <cfvo type="num" val="0.7"/>
        <cfvo type="num" val="1"/>
      </iconSet>
    </cfRule>
    <cfRule type="dataBar" priority="3693">
      <dataBar>
        <cfvo type="num" val="0"/>
        <cfvo type="num" val="1"/>
        <color theme="4" tint="0.79998168889431442"/>
      </dataBar>
      <extLst>
        <ext xmlns:x14="http://schemas.microsoft.com/office/spreadsheetml/2009/9/main" uri="{B025F937-C7B1-47D3-B67F-A62EFF666E3E}">
          <x14:id>{3178BD4A-B81B-4CAF-9A8C-65FE244168FD}</x14:id>
        </ext>
      </extLst>
    </cfRule>
  </conditionalFormatting>
  <conditionalFormatting sqref="BA586">
    <cfRule type="iconSet" priority="3686">
      <iconSet iconSet="3Arrows">
        <cfvo type="percent" val="0"/>
        <cfvo type="num" val="0.7"/>
        <cfvo type="num" val="1"/>
      </iconSet>
    </cfRule>
    <cfRule type="dataBar" priority="3687">
      <dataBar>
        <cfvo type="num" val="0"/>
        <cfvo type="num" val="1"/>
        <color theme="4" tint="0.79998168889431442"/>
      </dataBar>
      <extLst>
        <ext xmlns:x14="http://schemas.microsoft.com/office/spreadsheetml/2009/9/main" uri="{B025F937-C7B1-47D3-B67F-A62EFF666E3E}">
          <x14:id>{0AC61B75-D712-4810-A8D1-457428A5B031}</x14:id>
        </ext>
      </extLst>
    </cfRule>
  </conditionalFormatting>
  <conditionalFormatting sqref="BA588">
    <cfRule type="iconSet" priority="2179">
      <iconSet iconSet="3Arrows">
        <cfvo type="percent" val="0"/>
        <cfvo type="num" val="0.7"/>
        <cfvo type="num" val="1"/>
      </iconSet>
    </cfRule>
    <cfRule type="dataBar" priority="2180">
      <dataBar>
        <cfvo type="num" val="0"/>
        <cfvo type="num" val="1"/>
        <color theme="4" tint="0.79998168889431442"/>
      </dataBar>
      <extLst>
        <ext xmlns:x14="http://schemas.microsoft.com/office/spreadsheetml/2009/9/main" uri="{B025F937-C7B1-47D3-B67F-A62EFF666E3E}">
          <x14:id>{A9C975E5-BEEC-4074-B6C8-324422B4FFB6}</x14:id>
        </ext>
      </extLst>
    </cfRule>
  </conditionalFormatting>
  <conditionalFormatting sqref="BA591">
    <cfRule type="iconSet" priority="3628">
      <iconSet iconSet="3Arrows">
        <cfvo type="percent" val="0"/>
        <cfvo type="num" val="0.7"/>
        <cfvo type="num" val="1"/>
      </iconSet>
    </cfRule>
    <cfRule type="dataBar" priority="3629">
      <dataBar>
        <cfvo type="num" val="0"/>
        <cfvo type="num" val="1"/>
        <color theme="4" tint="0.79998168889431442"/>
      </dataBar>
      <extLst>
        <ext xmlns:x14="http://schemas.microsoft.com/office/spreadsheetml/2009/9/main" uri="{B025F937-C7B1-47D3-B67F-A62EFF666E3E}">
          <x14:id>{93B5BFC0-4060-4BDF-8D12-A56FACF6BEDB}</x14:id>
        </ext>
      </extLst>
    </cfRule>
  </conditionalFormatting>
  <conditionalFormatting sqref="BA593">
    <cfRule type="iconSet" priority="2414">
      <iconSet iconSet="3Arrows">
        <cfvo type="percent" val="0"/>
        <cfvo type="num" val="0.7"/>
        <cfvo type="num" val="1"/>
      </iconSet>
    </cfRule>
    <cfRule type="dataBar" priority="2415">
      <dataBar>
        <cfvo type="num" val="0"/>
        <cfvo type="num" val="1"/>
        <color theme="4" tint="0.79998168889431442"/>
      </dataBar>
      <extLst>
        <ext xmlns:x14="http://schemas.microsoft.com/office/spreadsheetml/2009/9/main" uri="{B025F937-C7B1-47D3-B67F-A62EFF666E3E}">
          <x14:id>{96DA0B75-832A-4937-893B-D6C0447C9493}</x14:id>
        </ext>
      </extLst>
    </cfRule>
  </conditionalFormatting>
  <conditionalFormatting sqref="BA595">
    <cfRule type="iconSet" priority="2831">
      <iconSet iconSet="3Arrows">
        <cfvo type="percent" val="0"/>
        <cfvo type="num" val="0.7"/>
        <cfvo type="num" val="1"/>
      </iconSet>
    </cfRule>
    <cfRule type="dataBar" priority="2832">
      <dataBar>
        <cfvo type="num" val="0"/>
        <cfvo type="num" val="1"/>
        <color theme="4" tint="0.79998168889431442"/>
      </dataBar>
      <extLst>
        <ext xmlns:x14="http://schemas.microsoft.com/office/spreadsheetml/2009/9/main" uri="{B025F937-C7B1-47D3-B67F-A62EFF666E3E}">
          <x14:id>{D0878925-D445-4979-A10D-8645256920A8}</x14:id>
        </ext>
      </extLst>
    </cfRule>
  </conditionalFormatting>
  <conditionalFormatting sqref="BA597">
    <cfRule type="iconSet" priority="3626">
      <iconSet iconSet="3Arrows">
        <cfvo type="percent" val="0"/>
        <cfvo type="num" val="0.7"/>
        <cfvo type="num" val="1"/>
      </iconSet>
    </cfRule>
    <cfRule type="dataBar" priority="3627">
      <dataBar>
        <cfvo type="num" val="0"/>
        <cfvo type="num" val="1"/>
        <color theme="4" tint="0.79998168889431442"/>
      </dataBar>
      <extLst>
        <ext xmlns:x14="http://schemas.microsoft.com/office/spreadsheetml/2009/9/main" uri="{B025F937-C7B1-47D3-B67F-A62EFF666E3E}">
          <x14:id>{E48C8139-6F8A-47B2-B49A-1A3B4F3B2383}</x14:id>
        </ext>
      </extLst>
    </cfRule>
  </conditionalFormatting>
  <conditionalFormatting sqref="BA599">
    <cfRule type="iconSet" priority="3055">
      <iconSet iconSet="3Arrows">
        <cfvo type="percent" val="0"/>
        <cfvo type="num" val="0.7"/>
        <cfvo type="num" val="1"/>
      </iconSet>
    </cfRule>
    <cfRule type="dataBar" priority="3056">
      <dataBar>
        <cfvo type="num" val="0"/>
        <cfvo type="num" val="1"/>
        <color theme="4" tint="0.79998168889431442"/>
      </dataBar>
      <extLst>
        <ext xmlns:x14="http://schemas.microsoft.com/office/spreadsheetml/2009/9/main" uri="{B025F937-C7B1-47D3-B67F-A62EFF666E3E}">
          <x14:id>{46123D93-5358-498A-95D9-2AE9EC969AF1}</x14:id>
        </ext>
      </extLst>
    </cfRule>
  </conditionalFormatting>
  <conditionalFormatting sqref="BA601">
    <cfRule type="iconSet" priority="3624">
      <iconSet iconSet="3Arrows">
        <cfvo type="percent" val="0"/>
        <cfvo type="num" val="0.7"/>
        <cfvo type="num" val="1"/>
      </iconSet>
    </cfRule>
    <cfRule type="dataBar" priority="3625">
      <dataBar>
        <cfvo type="num" val="0"/>
        <cfvo type="num" val="1"/>
        <color theme="4" tint="0.79998168889431442"/>
      </dataBar>
      <extLst>
        <ext xmlns:x14="http://schemas.microsoft.com/office/spreadsheetml/2009/9/main" uri="{B025F937-C7B1-47D3-B67F-A62EFF666E3E}">
          <x14:id>{F072C3F1-A1B2-4BB3-8E1F-D08D8DA8A2CF}</x14:id>
        </ext>
      </extLst>
    </cfRule>
  </conditionalFormatting>
  <conditionalFormatting sqref="BA603">
    <cfRule type="iconSet" priority="3622">
      <iconSet iconSet="3Arrows">
        <cfvo type="percent" val="0"/>
        <cfvo type="num" val="0.7"/>
        <cfvo type="num" val="1"/>
      </iconSet>
    </cfRule>
    <cfRule type="dataBar" priority="3623">
      <dataBar>
        <cfvo type="num" val="0"/>
        <cfvo type="num" val="1"/>
        <color theme="4" tint="0.79998168889431442"/>
      </dataBar>
      <extLst>
        <ext xmlns:x14="http://schemas.microsoft.com/office/spreadsheetml/2009/9/main" uri="{B025F937-C7B1-47D3-B67F-A62EFF666E3E}">
          <x14:id>{1FAA7B1E-EEAA-4982-A8A1-1E4F06A29129}</x14:id>
        </ext>
      </extLst>
    </cfRule>
  </conditionalFormatting>
  <conditionalFormatting sqref="BA605">
    <cfRule type="iconSet" priority="3327">
      <iconSet iconSet="3Arrows">
        <cfvo type="percent" val="0"/>
        <cfvo type="num" val="0.7"/>
        <cfvo type="num" val="1"/>
      </iconSet>
    </cfRule>
    <cfRule type="dataBar" priority="3328">
      <dataBar>
        <cfvo type="num" val="0"/>
        <cfvo type="num" val="1"/>
        <color theme="4" tint="0.79998168889431442"/>
      </dataBar>
      <extLst>
        <ext xmlns:x14="http://schemas.microsoft.com/office/spreadsheetml/2009/9/main" uri="{B025F937-C7B1-47D3-B67F-A62EFF666E3E}">
          <x14:id>{9F4371C4-14CE-4874-A4DF-FDD457436407}</x14:id>
        </ext>
      </extLst>
    </cfRule>
  </conditionalFormatting>
  <conditionalFormatting sqref="BA607">
    <cfRule type="iconSet" priority="3313">
      <iconSet iconSet="3Arrows">
        <cfvo type="percent" val="0"/>
        <cfvo type="num" val="0.7"/>
        <cfvo type="num" val="1"/>
      </iconSet>
    </cfRule>
    <cfRule type="dataBar" priority="3314">
      <dataBar>
        <cfvo type="num" val="0"/>
        <cfvo type="num" val="1"/>
        <color theme="4" tint="0.79998168889431442"/>
      </dataBar>
      <extLst>
        <ext xmlns:x14="http://schemas.microsoft.com/office/spreadsheetml/2009/9/main" uri="{B025F937-C7B1-47D3-B67F-A62EFF666E3E}">
          <x14:id>{8C6322CB-480A-4F29-9419-0ECA27B4D1D7}</x14:id>
        </ext>
      </extLst>
    </cfRule>
  </conditionalFormatting>
  <conditionalFormatting sqref="BA609">
    <cfRule type="iconSet" priority="3299">
      <iconSet iconSet="3Arrows">
        <cfvo type="percent" val="0"/>
        <cfvo type="num" val="0.7"/>
        <cfvo type="num" val="1"/>
      </iconSet>
    </cfRule>
    <cfRule type="dataBar" priority="3300">
      <dataBar>
        <cfvo type="num" val="0"/>
        <cfvo type="num" val="1"/>
        <color theme="4" tint="0.79998168889431442"/>
      </dataBar>
      <extLst>
        <ext xmlns:x14="http://schemas.microsoft.com/office/spreadsheetml/2009/9/main" uri="{B025F937-C7B1-47D3-B67F-A62EFF666E3E}">
          <x14:id>{7FD4F84D-F6B9-4B8A-BB96-8C82A03B68B7}</x14:id>
        </ext>
      </extLst>
    </cfRule>
  </conditionalFormatting>
  <conditionalFormatting sqref="BA611">
    <cfRule type="iconSet" priority="3616">
      <iconSet iconSet="3Arrows">
        <cfvo type="percent" val="0"/>
        <cfvo type="num" val="0.7"/>
        <cfvo type="num" val="1"/>
      </iconSet>
    </cfRule>
    <cfRule type="dataBar" priority="3617">
      <dataBar>
        <cfvo type="num" val="0"/>
        <cfvo type="num" val="1"/>
        <color theme="4" tint="0.79998168889431442"/>
      </dataBar>
      <extLst>
        <ext xmlns:x14="http://schemas.microsoft.com/office/spreadsheetml/2009/9/main" uri="{B025F937-C7B1-47D3-B67F-A62EFF666E3E}">
          <x14:id>{66F76C90-704C-46A9-90A0-D53CCC377303}</x14:id>
        </ext>
      </extLst>
    </cfRule>
  </conditionalFormatting>
  <conditionalFormatting sqref="BA613">
    <cfRule type="iconSet" priority="3620">
      <iconSet iconSet="3Arrows">
        <cfvo type="percent" val="0"/>
        <cfvo type="num" val="0.7"/>
        <cfvo type="num" val="1"/>
      </iconSet>
    </cfRule>
    <cfRule type="dataBar" priority="3621">
      <dataBar>
        <cfvo type="num" val="0"/>
        <cfvo type="num" val="1"/>
        <color theme="4" tint="0.79998168889431442"/>
      </dataBar>
      <extLst>
        <ext xmlns:x14="http://schemas.microsoft.com/office/spreadsheetml/2009/9/main" uri="{B025F937-C7B1-47D3-B67F-A62EFF666E3E}">
          <x14:id>{62836ECE-E5F7-4C44-8199-64D334358022}</x14:id>
        </ext>
      </extLst>
    </cfRule>
  </conditionalFormatting>
  <conditionalFormatting sqref="BA615">
    <cfRule type="iconSet" priority="1507">
      <iconSet iconSet="3Arrows">
        <cfvo type="percent" val="0"/>
        <cfvo type="num" val="0.7"/>
        <cfvo type="num" val="1"/>
      </iconSet>
    </cfRule>
    <cfRule type="dataBar" priority="1508">
      <dataBar>
        <cfvo type="num" val="0"/>
        <cfvo type="num" val="1"/>
        <color theme="4" tint="0.79998168889431442"/>
      </dataBar>
      <extLst>
        <ext xmlns:x14="http://schemas.microsoft.com/office/spreadsheetml/2009/9/main" uri="{B025F937-C7B1-47D3-B67F-A62EFF666E3E}">
          <x14:id>{0DAB6EE1-4BEB-4797-B9DB-BF21A73A97D4}</x14:id>
        </ext>
      </extLst>
    </cfRule>
  </conditionalFormatting>
  <conditionalFormatting sqref="BA617">
    <cfRule type="iconSet" priority="127">
      <iconSet iconSet="3Arrows">
        <cfvo type="percent" val="0"/>
        <cfvo type="num" val="0.7"/>
        <cfvo type="num" val="1"/>
      </iconSet>
    </cfRule>
    <cfRule type="dataBar" priority="128">
      <dataBar>
        <cfvo type="num" val="0"/>
        <cfvo type="num" val="1"/>
        <color theme="4" tint="0.79998168889431442"/>
      </dataBar>
      <extLst>
        <ext xmlns:x14="http://schemas.microsoft.com/office/spreadsheetml/2009/9/main" uri="{B025F937-C7B1-47D3-B67F-A62EFF666E3E}">
          <x14:id>{410AE398-1A67-4D8F-A29F-A16F5B7F064E}</x14:id>
        </ext>
      </extLst>
    </cfRule>
  </conditionalFormatting>
  <conditionalFormatting sqref="BA619">
    <cfRule type="iconSet" priority="142">
      <iconSet iconSet="3Arrows">
        <cfvo type="percent" val="0"/>
        <cfvo type="num" val="0.7"/>
        <cfvo type="num" val="1"/>
      </iconSet>
    </cfRule>
    <cfRule type="dataBar" priority="143">
      <dataBar>
        <cfvo type="num" val="0"/>
        <cfvo type="num" val="1"/>
        <color theme="4" tint="0.79998168889431442"/>
      </dataBar>
      <extLst>
        <ext xmlns:x14="http://schemas.microsoft.com/office/spreadsheetml/2009/9/main" uri="{B025F937-C7B1-47D3-B67F-A62EFF666E3E}">
          <x14:id>{19916A01-5626-4F0C-B03E-2557A0300548}</x14:id>
        </ext>
      </extLst>
    </cfRule>
  </conditionalFormatting>
  <conditionalFormatting sqref="BA621">
    <cfRule type="iconSet" priority="1529">
      <iconSet iconSet="3Arrows">
        <cfvo type="percent" val="0"/>
        <cfvo type="num" val="0.7"/>
        <cfvo type="num" val="1"/>
      </iconSet>
    </cfRule>
    <cfRule type="dataBar" priority="1530">
      <dataBar>
        <cfvo type="num" val="0"/>
        <cfvo type="num" val="1"/>
        <color theme="4" tint="0.79998168889431442"/>
      </dataBar>
      <extLst>
        <ext xmlns:x14="http://schemas.microsoft.com/office/spreadsheetml/2009/9/main" uri="{B025F937-C7B1-47D3-B67F-A62EFF666E3E}">
          <x14:id>{038975FB-5882-40E8-878A-0EDA63EBFD86}</x14:id>
        </ext>
      </extLst>
    </cfRule>
  </conditionalFormatting>
  <conditionalFormatting sqref="BA623">
    <cfRule type="iconSet" priority="1543">
      <iconSet iconSet="3Arrows">
        <cfvo type="percent" val="0"/>
        <cfvo type="num" val="0.7"/>
        <cfvo type="num" val="1"/>
      </iconSet>
    </cfRule>
    <cfRule type="dataBar" priority="1544">
      <dataBar>
        <cfvo type="num" val="0"/>
        <cfvo type="num" val="1"/>
        <color theme="4" tint="0.79998168889431442"/>
      </dataBar>
      <extLst>
        <ext xmlns:x14="http://schemas.microsoft.com/office/spreadsheetml/2009/9/main" uri="{B025F937-C7B1-47D3-B67F-A62EFF666E3E}">
          <x14:id>{31C5BE06-F788-4E9B-83F1-A36485F1CEC0}</x14:id>
        </ext>
      </extLst>
    </cfRule>
  </conditionalFormatting>
  <conditionalFormatting sqref="BA625">
    <cfRule type="iconSet" priority="29">
      <iconSet iconSet="3Arrows">
        <cfvo type="percent" val="0"/>
        <cfvo type="num" val="0.7"/>
        <cfvo type="num" val="1"/>
      </iconSet>
    </cfRule>
    <cfRule type="dataBar" priority="30">
      <dataBar>
        <cfvo type="num" val="0"/>
        <cfvo type="num" val="1"/>
        <color theme="4" tint="0.79998168889431442"/>
      </dataBar>
      <extLst>
        <ext xmlns:x14="http://schemas.microsoft.com/office/spreadsheetml/2009/9/main" uri="{B025F937-C7B1-47D3-B67F-A62EFF666E3E}">
          <x14:id>{9154A443-AF8C-41F1-9B5F-41C76E33C206}</x14:id>
        </ext>
      </extLst>
    </cfRule>
  </conditionalFormatting>
  <conditionalFormatting sqref="BC97">
    <cfRule type="cellIs" dxfId="224" priority="713" operator="equal">
      <formula>0</formula>
    </cfRule>
  </conditionalFormatting>
  <conditionalFormatting sqref="BC99">
    <cfRule type="cellIs" dxfId="223" priority="721" operator="equal">
      <formula>0</formula>
    </cfRule>
  </conditionalFormatting>
  <conditionalFormatting sqref="BC101">
    <cfRule type="cellIs" dxfId="222" priority="707" operator="equal">
      <formula>0</formula>
    </cfRule>
  </conditionalFormatting>
  <conditionalFormatting sqref="BC103 BC160:BI167 BC170:BI179">
    <cfRule type="cellIs" dxfId="221" priority="1064" operator="equal">
      <formula>0</formula>
    </cfRule>
  </conditionalFormatting>
  <conditionalFormatting sqref="BC428:BH433">
    <cfRule type="cellIs" dxfId="220" priority="602" operator="equal">
      <formula>0</formula>
    </cfRule>
  </conditionalFormatting>
  <conditionalFormatting sqref="BC460:BH461">
    <cfRule type="cellIs" dxfId="219" priority="807" operator="equal">
      <formula>0</formula>
    </cfRule>
  </conditionalFormatting>
  <conditionalFormatting sqref="BC488:BH489">
    <cfRule type="cellIs" dxfId="218" priority="730" operator="equal">
      <formula>0</formula>
    </cfRule>
  </conditionalFormatting>
  <conditionalFormatting sqref="BC530:BH531">
    <cfRule type="cellIs" dxfId="217" priority="601" operator="equal">
      <formula>0</formula>
    </cfRule>
  </conditionalFormatting>
  <conditionalFormatting sqref="BC588:BH589">
    <cfRule type="cellIs" dxfId="216" priority="753" operator="equal">
      <formula>0</formula>
    </cfRule>
  </conditionalFormatting>
  <conditionalFormatting sqref="BC9:BI12 BC79:BI92 BC95:BI96 BH97:BI97 BH99:BI99 BH103:BI103 BC115:BI118 BC184:BI191 BC194:BI199 BC202:BI209">
    <cfRule type="cellIs" dxfId="215" priority="1194" operator="equal">
      <formula>0</formula>
    </cfRule>
  </conditionalFormatting>
  <conditionalFormatting sqref="BC13:BI14">
    <cfRule type="cellIs" dxfId="214" priority="947" operator="equal">
      <formula>0</formula>
    </cfRule>
  </conditionalFormatting>
  <conditionalFormatting sqref="BC15:BI34">
    <cfRule type="cellIs" dxfId="213" priority="950" operator="equal">
      <formula>0</formula>
    </cfRule>
  </conditionalFormatting>
  <conditionalFormatting sqref="BC35:BI36">
    <cfRule type="cellIs" dxfId="212" priority="785" operator="equal">
      <formula>0</formula>
    </cfRule>
  </conditionalFormatting>
  <conditionalFormatting sqref="BC37:BI46 BC301:BI303 BK301:BK303 BC434:BI437 BC438:BD438 BG438:BI438 BC462:BI487">
    <cfRule type="cellIs" dxfId="211" priority="1202" operator="equal">
      <formula>0</formula>
    </cfRule>
  </conditionalFormatting>
  <conditionalFormatting sqref="BC47:BI48">
    <cfRule type="cellIs" dxfId="210" priority="946" operator="equal">
      <formula>0</formula>
    </cfRule>
  </conditionalFormatting>
  <conditionalFormatting sqref="BC49:BI76">
    <cfRule type="cellIs" dxfId="209" priority="746" operator="equal">
      <formula>0</formula>
    </cfRule>
  </conditionalFormatting>
  <conditionalFormatting sqref="BC77:BI78">
    <cfRule type="cellIs" dxfId="208" priority="1183" operator="equal">
      <formula>0</formula>
    </cfRule>
  </conditionalFormatting>
  <conditionalFormatting sqref="BC93:BI94">
    <cfRule type="cellIs" dxfId="207" priority="1067" operator="equal">
      <formula>0</formula>
    </cfRule>
  </conditionalFormatting>
  <conditionalFormatting sqref="BC98:BI98 BC100:BI100 BC102:BI102 BC104:BI112">
    <cfRule type="cellIs" dxfId="206" priority="851" operator="equal">
      <formula>0</formula>
    </cfRule>
  </conditionalFormatting>
  <conditionalFormatting sqref="BC113:BI114">
    <cfRule type="cellIs" dxfId="205" priority="1078" operator="equal">
      <formula>0</formula>
    </cfRule>
  </conditionalFormatting>
  <conditionalFormatting sqref="BC119:BI120">
    <cfRule type="cellIs" dxfId="204" priority="1182" operator="equal">
      <formula>0</formula>
    </cfRule>
  </conditionalFormatting>
  <conditionalFormatting sqref="BC121:BI139">
    <cfRule type="cellIs" dxfId="203" priority="586" operator="equal">
      <formula>0</formula>
    </cfRule>
  </conditionalFormatting>
  <conditionalFormatting sqref="BC140:BI143">
    <cfRule type="cellIs" dxfId="202" priority="782" operator="equal">
      <formula>0</formula>
    </cfRule>
  </conditionalFormatting>
  <conditionalFormatting sqref="BC144:BI149">
    <cfRule type="cellIs" dxfId="201" priority="984" operator="equal">
      <formula>0</formula>
    </cfRule>
  </conditionalFormatting>
  <conditionalFormatting sqref="BC150:BI151">
    <cfRule type="cellIs" dxfId="200" priority="957" operator="equal">
      <formula>0</formula>
    </cfRule>
  </conditionalFormatting>
  <conditionalFormatting sqref="BC152:BI157">
    <cfRule type="cellIs" dxfId="199" priority="989" operator="equal">
      <formula>0</formula>
    </cfRule>
  </conditionalFormatting>
  <conditionalFormatting sqref="BC158:BI159">
    <cfRule type="cellIs" dxfId="198" priority="981" operator="equal">
      <formula>0</formula>
    </cfRule>
  </conditionalFormatting>
  <conditionalFormatting sqref="BC168:BI169">
    <cfRule type="cellIs" dxfId="197" priority="758" operator="equal">
      <formula>0</formula>
    </cfRule>
  </conditionalFormatting>
  <conditionalFormatting sqref="BC180:BI183">
    <cfRule type="cellIs" dxfId="196" priority="1014" operator="equal">
      <formula>0</formula>
    </cfRule>
  </conditionalFormatting>
  <conditionalFormatting sqref="BC192:BI193">
    <cfRule type="cellIs" dxfId="195" priority="994" operator="equal">
      <formula>0</formula>
    </cfRule>
  </conditionalFormatting>
  <conditionalFormatting sqref="BC200:BI201">
    <cfRule type="cellIs" dxfId="194" priority="980" operator="equal">
      <formula>0</formula>
    </cfRule>
  </conditionalFormatting>
  <conditionalFormatting sqref="BC210:BI211">
    <cfRule type="cellIs" dxfId="193" priority="757" operator="equal">
      <formula>0</formula>
    </cfRule>
  </conditionalFormatting>
  <conditionalFormatting sqref="BC212:BI232">
    <cfRule type="cellIs" dxfId="192" priority="633" operator="equal">
      <formula>0</formula>
    </cfRule>
  </conditionalFormatting>
  <conditionalFormatting sqref="BC233:BI234">
    <cfRule type="cellIs" dxfId="191" priority="961" operator="equal">
      <formula>0</formula>
    </cfRule>
  </conditionalFormatting>
  <conditionalFormatting sqref="BC235:BI277">
    <cfRule type="cellIs" dxfId="190" priority="904" operator="equal">
      <formula>0</formula>
    </cfRule>
  </conditionalFormatting>
  <conditionalFormatting sqref="BC278:BI279">
    <cfRule type="cellIs" dxfId="189" priority="642" operator="equal">
      <formula>0</formula>
    </cfRule>
  </conditionalFormatting>
  <conditionalFormatting sqref="BC299:BI300">
    <cfRule type="cellIs" dxfId="188" priority="923" operator="equal">
      <formula>0</formula>
    </cfRule>
  </conditionalFormatting>
  <conditionalFormatting sqref="BC304:BI305">
    <cfRule type="cellIs" dxfId="187" priority="920" operator="equal">
      <formula>0</formula>
    </cfRule>
  </conditionalFormatting>
  <conditionalFormatting sqref="BC314:BI315">
    <cfRule type="cellIs" dxfId="186" priority="1139" operator="equal">
      <formula>0</formula>
    </cfRule>
  </conditionalFormatting>
  <conditionalFormatting sqref="BC316:BI321">
    <cfRule type="cellIs" dxfId="185" priority="802" operator="equal">
      <formula>0</formula>
    </cfRule>
  </conditionalFormatting>
  <conditionalFormatting sqref="BC322:BI323">
    <cfRule type="cellIs" dxfId="184" priority="777" operator="equal">
      <formula>0</formula>
    </cfRule>
  </conditionalFormatting>
  <conditionalFormatting sqref="BC324:BI331 BC334:BI339">
    <cfRule type="cellIs" dxfId="183" priority="905" operator="equal">
      <formula>0</formula>
    </cfRule>
  </conditionalFormatting>
  <conditionalFormatting sqref="BC332:BI333">
    <cfRule type="cellIs" dxfId="182" priority="750" operator="equal">
      <formula>0</formula>
    </cfRule>
  </conditionalFormatting>
  <conditionalFormatting sqref="BC340:BI341">
    <cfRule type="cellIs" dxfId="181" priority="747" operator="equal">
      <formula>0</formula>
    </cfRule>
  </conditionalFormatting>
  <conditionalFormatting sqref="BC342:BI373">
    <cfRule type="cellIs" dxfId="180" priority="797" operator="equal">
      <formula>0</formula>
    </cfRule>
  </conditionalFormatting>
  <conditionalFormatting sqref="BC374:BI375">
    <cfRule type="cellIs" dxfId="179" priority="816" operator="equal">
      <formula>0</formula>
    </cfRule>
  </conditionalFormatting>
  <conditionalFormatting sqref="BC376:BI377 BC380:BI381">
    <cfRule type="cellIs" dxfId="178" priority="960" operator="equal">
      <formula>0</formula>
    </cfRule>
  </conditionalFormatting>
  <conditionalFormatting sqref="BC378:BI379">
    <cfRule type="cellIs" dxfId="177" priority="813" operator="equal">
      <formula>0</formula>
    </cfRule>
  </conditionalFormatting>
  <conditionalFormatting sqref="BC382:BI383">
    <cfRule type="cellIs" dxfId="176" priority="810" operator="equal">
      <formula>0</formula>
    </cfRule>
  </conditionalFormatting>
  <conditionalFormatting sqref="BC384:BI392">
    <cfRule type="cellIs" dxfId="175" priority="622" operator="equal">
      <formula>0</formula>
    </cfRule>
  </conditionalFormatting>
  <conditionalFormatting sqref="BC393:BI394">
    <cfRule type="cellIs" dxfId="174" priority="1027" operator="equal">
      <formula>0</formula>
    </cfRule>
  </conditionalFormatting>
  <conditionalFormatting sqref="BC395:BI426 BC439:BI444 BC445:BG445 BI445 BC446:BI459">
    <cfRule type="cellIs" dxfId="173" priority="718" operator="equal">
      <formula>0</formula>
    </cfRule>
  </conditionalFormatting>
  <conditionalFormatting sqref="BC490:BI501 BC504:BI529 BC532:BI587">
    <cfRule type="cellIs" dxfId="172" priority="733" operator="equal">
      <formula>0</formula>
    </cfRule>
  </conditionalFormatting>
  <conditionalFormatting sqref="BC502:BI503">
    <cfRule type="cellIs" dxfId="171" priority="530" operator="equal">
      <formula>0</formula>
    </cfRule>
  </conditionalFormatting>
  <conditionalFormatting sqref="BC591:BI596">
    <cfRule type="cellIs" dxfId="170" priority="756" operator="equal">
      <formula>0</formula>
    </cfRule>
  </conditionalFormatting>
  <conditionalFormatting sqref="BC597:BI616">
    <cfRule type="cellIs" dxfId="169" priority="651" operator="equal">
      <formula>0</formula>
    </cfRule>
  </conditionalFormatting>
  <conditionalFormatting sqref="BC617:BI618">
    <cfRule type="cellIs" dxfId="168" priority="113" operator="equal">
      <formula>0</formula>
    </cfRule>
  </conditionalFormatting>
  <conditionalFormatting sqref="BC619:BI620">
    <cfRule type="cellIs" dxfId="167" priority="116" operator="equal">
      <formula>0</formula>
    </cfRule>
  </conditionalFormatting>
  <conditionalFormatting sqref="BC621:BI622">
    <cfRule type="cellIs" dxfId="166" priority="654" operator="equal">
      <formula>0</formula>
    </cfRule>
  </conditionalFormatting>
  <conditionalFormatting sqref="BC623:BI626">
    <cfRule type="cellIs" dxfId="165" priority="20" operator="equal">
      <formula>0</formula>
    </cfRule>
  </conditionalFormatting>
  <conditionalFormatting sqref="BD97:BG97">
    <cfRule type="expression" dxfId="164" priority="714">
      <formula>AND($M97="R",BD97&gt;0)</formula>
    </cfRule>
    <cfRule type="expression" dxfId="163" priority="715">
      <formula>AND($M97="P",BD97&gt;0)</formula>
    </cfRule>
  </conditionalFormatting>
  <conditionalFormatting sqref="BD99:BG99">
    <cfRule type="expression" dxfId="162" priority="722">
      <formula>AND($M99="R",BD99&gt;0)</formula>
    </cfRule>
    <cfRule type="expression" dxfId="161" priority="723">
      <formula>AND($M99="P",BD99&gt;0)</formula>
    </cfRule>
  </conditionalFormatting>
  <conditionalFormatting sqref="BD101:BG101">
    <cfRule type="expression" dxfId="160" priority="708">
      <formula>AND($M101="R",BD101&gt;0)</formula>
    </cfRule>
    <cfRule type="expression" dxfId="159" priority="709">
      <formula>AND($M101="P",BD101&gt;0)</formula>
    </cfRule>
  </conditionalFormatting>
  <conditionalFormatting sqref="BD103:BG103">
    <cfRule type="expression" dxfId="158" priority="1065">
      <formula>AND($M103="R",BD103&gt;0)</formula>
    </cfRule>
    <cfRule type="expression" dxfId="157" priority="1066">
      <formula>AND($M103="P",BD103&gt;0)</formula>
    </cfRule>
  </conditionalFormatting>
  <conditionalFormatting sqref="BE438:BF438">
    <cfRule type="expression" dxfId="156" priority="607">
      <formula>AND($O438="R",BE438&gt;0)</formula>
    </cfRule>
    <cfRule type="expression" dxfId="155" priority="608">
      <formula>AND($O438="P",BE438&gt;0)</formula>
    </cfRule>
  </conditionalFormatting>
  <conditionalFormatting sqref="BH101:BI101">
    <cfRule type="cellIs" dxfId="154" priority="712" operator="equal">
      <formula>0</formula>
    </cfRule>
  </conditionalFormatting>
  <conditionalFormatting sqref="BI428:BI433">
    <cfRule type="cellIs" dxfId="153" priority="546" operator="equal">
      <formula>0</formula>
    </cfRule>
  </conditionalFormatting>
  <conditionalFormatting sqref="BI460:BI461">
    <cfRule type="cellIs" dxfId="152" priority="545" operator="equal">
      <formula>0</formula>
    </cfRule>
  </conditionalFormatting>
  <conditionalFormatting sqref="BI488:BI489">
    <cfRule type="cellIs" dxfId="151" priority="544" operator="equal">
      <formula>0</formula>
    </cfRule>
  </conditionalFormatting>
  <conditionalFormatting sqref="BI530:BI531">
    <cfRule type="cellIs" dxfId="150" priority="543" operator="equal">
      <formula>0</formula>
    </cfRule>
  </conditionalFormatting>
  <conditionalFormatting sqref="BI588:BI589">
    <cfRule type="cellIs" dxfId="149" priority="542" operator="equal">
      <formula>0</formula>
    </cfRule>
  </conditionalFormatting>
  <conditionalFormatting sqref="BK9:BK12">
    <cfRule type="cellIs" dxfId="148" priority="1195" operator="equal">
      <formula>0</formula>
    </cfRule>
  </conditionalFormatting>
  <conditionalFormatting sqref="BK13:BK14">
    <cfRule type="cellIs" dxfId="147" priority="1011" operator="equal">
      <formula>0</formula>
    </cfRule>
  </conditionalFormatting>
  <conditionalFormatting sqref="BK15:BK34">
    <cfRule type="cellIs" dxfId="146" priority="786" operator="equal">
      <formula>0</formula>
    </cfRule>
  </conditionalFormatting>
  <conditionalFormatting sqref="BK35:BK36">
    <cfRule type="cellIs" dxfId="145" priority="600" operator="equal">
      <formula>0</formula>
    </cfRule>
  </conditionalFormatting>
  <conditionalFormatting sqref="BK37:BK46">
    <cfRule type="cellIs" dxfId="144" priority="599" operator="equal">
      <formula>0</formula>
    </cfRule>
  </conditionalFormatting>
  <conditionalFormatting sqref="BK47:BK48">
    <cfRule type="cellIs" dxfId="143" priority="598" operator="equal">
      <formula>0</formula>
    </cfRule>
  </conditionalFormatting>
  <conditionalFormatting sqref="BK49:BK76">
    <cfRule type="cellIs" dxfId="142" priority="597" operator="equal">
      <formula>0</formula>
    </cfRule>
  </conditionalFormatting>
  <conditionalFormatting sqref="BK77:BK78">
    <cfRule type="cellIs" dxfId="141" priority="596" operator="equal">
      <formula>0</formula>
    </cfRule>
  </conditionalFormatting>
  <conditionalFormatting sqref="BK79:BK92">
    <cfRule type="cellIs" dxfId="140" priority="595" operator="equal">
      <formula>0</formula>
    </cfRule>
  </conditionalFormatting>
  <conditionalFormatting sqref="BK93:BK94">
    <cfRule type="cellIs" dxfId="139" priority="594" operator="equal">
      <formula>0</formula>
    </cfRule>
  </conditionalFormatting>
  <conditionalFormatting sqref="BK95:BK112">
    <cfRule type="cellIs" dxfId="138" priority="593" operator="equal">
      <formula>0</formula>
    </cfRule>
  </conditionalFormatting>
  <conditionalFormatting sqref="BK113:BK114">
    <cfRule type="cellIs" dxfId="137" priority="592" operator="equal">
      <formula>0</formula>
    </cfRule>
  </conditionalFormatting>
  <conditionalFormatting sqref="BK115:BK118">
    <cfRule type="cellIs" dxfId="136" priority="591" operator="equal">
      <formula>0</formula>
    </cfRule>
  </conditionalFormatting>
  <conditionalFormatting sqref="BK119:BK120">
    <cfRule type="cellIs" dxfId="135" priority="590" operator="equal">
      <formula>0</formula>
    </cfRule>
  </conditionalFormatting>
  <conditionalFormatting sqref="BK121:BK139">
    <cfRule type="cellIs" dxfId="134" priority="589" operator="equal">
      <formula>0</formula>
    </cfRule>
  </conditionalFormatting>
  <conditionalFormatting sqref="BK140:BK143">
    <cfRule type="cellIs" dxfId="133" priority="585" operator="equal">
      <formula>0</formula>
    </cfRule>
  </conditionalFormatting>
  <conditionalFormatting sqref="BK144:BK149">
    <cfRule type="cellIs" dxfId="132" priority="577" operator="equal">
      <formula>0</formula>
    </cfRule>
  </conditionalFormatting>
  <conditionalFormatting sqref="BK150:BK151">
    <cfRule type="cellIs" dxfId="131" priority="584" operator="equal">
      <formula>0</formula>
    </cfRule>
  </conditionalFormatting>
  <conditionalFormatting sqref="BK152:BK157">
    <cfRule type="cellIs" dxfId="130" priority="576" operator="equal">
      <formula>0</formula>
    </cfRule>
  </conditionalFormatting>
  <conditionalFormatting sqref="BK158:BK159">
    <cfRule type="cellIs" dxfId="129" priority="583" operator="equal">
      <formula>0</formula>
    </cfRule>
  </conditionalFormatting>
  <conditionalFormatting sqref="BK160:BK167">
    <cfRule type="cellIs" dxfId="128" priority="575" operator="equal">
      <formula>0</formula>
    </cfRule>
  </conditionalFormatting>
  <conditionalFormatting sqref="BK168:BK169">
    <cfRule type="cellIs" dxfId="127" priority="582" operator="equal">
      <formula>0</formula>
    </cfRule>
  </conditionalFormatting>
  <conditionalFormatting sqref="BK170:BK179">
    <cfRule type="cellIs" dxfId="126" priority="574" operator="equal">
      <formula>0</formula>
    </cfRule>
  </conditionalFormatting>
  <conditionalFormatting sqref="BK180:BK183">
    <cfRule type="cellIs" dxfId="125" priority="581" operator="equal">
      <formula>0</formula>
    </cfRule>
  </conditionalFormatting>
  <conditionalFormatting sqref="BK184:BK191">
    <cfRule type="cellIs" dxfId="124" priority="573" operator="equal">
      <formula>0</formula>
    </cfRule>
  </conditionalFormatting>
  <conditionalFormatting sqref="BK192:BK193">
    <cfRule type="cellIs" dxfId="123" priority="580" operator="equal">
      <formula>0</formula>
    </cfRule>
  </conditionalFormatting>
  <conditionalFormatting sqref="BK194:BK199">
    <cfRule type="cellIs" dxfId="122" priority="572" operator="equal">
      <formula>0</formula>
    </cfRule>
  </conditionalFormatting>
  <conditionalFormatting sqref="BK200:BK201">
    <cfRule type="cellIs" dxfId="121" priority="579" operator="equal">
      <formula>0</formula>
    </cfRule>
  </conditionalFormatting>
  <conditionalFormatting sqref="BK202:BK209">
    <cfRule type="cellIs" dxfId="120" priority="571" operator="equal">
      <formula>0</formula>
    </cfRule>
  </conditionalFormatting>
  <conditionalFormatting sqref="BK210:BK211">
    <cfRule type="cellIs" dxfId="119" priority="578" operator="equal">
      <formula>0</formula>
    </cfRule>
  </conditionalFormatting>
  <conditionalFormatting sqref="BK212:BK232">
    <cfRule type="cellIs" dxfId="118" priority="570" operator="equal">
      <formula>0</formula>
    </cfRule>
  </conditionalFormatting>
  <conditionalFormatting sqref="BK233:BK234">
    <cfRule type="cellIs" dxfId="117" priority="569" operator="equal">
      <formula>0</formula>
    </cfRule>
  </conditionalFormatting>
  <conditionalFormatting sqref="BK235:BK277">
    <cfRule type="cellIs" dxfId="116" priority="568" operator="equal">
      <formula>0</formula>
    </cfRule>
  </conditionalFormatting>
  <conditionalFormatting sqref="BK278:BK279">
    <cfRule type="cellIs" dxfId="115" priority="567" operator="equal">
      <formula>0</formula>
    </cfRule>
  </conditionalFormatting>
  <conditionalFormatting sqref="BK280:BK298">
    <cfRule type="cellIs" dxfId="114" priority="566" operator="equal">
      <formula>0</formula>
    </cfRule>
  </conditionalFormatting>
  <conditionalFormatting sqref="BK299:BK300">
    <cfRule type="cellIs" dxfId="113" priority="565" operator="equal">
      <formula>0</formula>
    </cfRule>
  </conditionalFormatting>
  <conditionalFormatting sqref="BK304:BK305">
    <cfRule type="cellIs" dxfId="112" priority="157" operator="equal">
      <formula>0</formula>
    </cfRule>
  </conditionalFormatting>
  <conditionalFormatting sqref="BK314:BK315">
    <cfRule type="cellIs" dxfId="111" priority="564" operator="equal">
      <formula>0</formula>
    </cfRule>
  </conditionalFormatting>
  <conditionalFormatting sqref="BK316:BK321">
    <cfRule type="cellIs" dxfId="110" priority="560" operator="equal">
      <formula>0</formula>
    </cfRule>
  </conditionalFormatting>
  <conditionalFormatting sqref="BK322:BK323">
    <cfRule type="cellIs" dxfId="109" priority="563" operator="equal">
      <formula>0</formula>
    </cfRule>
  </conditionalFormatting>
  <conditionalFormatting sqref="BK324:BK331">
    <cfRule type="cellIs" dxfId="108" priority="776" operator="equal">
      <formula>0</formula>
    </cfRule>
  </conditionalFormatting>
  <conditionalFormatting sqref="BK332:BK333">
    <cfRule type="cellIs" dxfId="107" priority="562" operator="equal">
      <formula>0</formula>
    </cfRule>
  </conditionalFormatting>
  <conditionalFormatting sqref="BK334:BK339">
    <cfRule type="cellIs" dxfId="106" priority="775" operator="equal">
      <formula>0</formula>
    </cfRule>
  </conditionalFormatting>
  <conditionalFormatting sqref="BK340:BK341">
    <cfRule type="cellIs" dxfId="105" priority="561" operator="equal">
      <formula>0</formula>
    </cfRule>
  </conditionalFormatting>
  <conditionalFormatting sqref="BK342:BK373">
    <cfRule type="cellIs" dxfId="104" priority="559" operator="equal">
      <formula>0</formula>
    </cfRule>
  </conditionalFormatting>
  <conditionalFormatting sqref="BK374:BK375">
    <cfRule type="cellIs" dxfId="103" priority="625" operator="equal">
      <formula>0</formula>
    </cfRule>
  </conditionalFormatting>
  <conditionalFormatting sqref="BK376:BK377">
    <cfRule type="cellIs" dxfId="102" priority="628" operator="equal">
      <formula>0</formula>
    </cfRule>
  </conditionalFormatting>
  <conditionalFormatting sqref="BK378:BK379">
    <cfRule type="cellIs" dxfId="101" priority="624" operator="equal">
      <formula>0</formula>
    </cfRule>
  </conditionalFormatting>
  <conditionalFormatting sqref="BK380:BK381">
    <cfRule type="cellIs" dxfId="100" priority="627" operator="equal">
      <formula>0</formula>
    </cfRule>
  </conditionalFormatting>
  <conditionalFormatting sqref="BK382:BK383">
    <cfRule type="cellIs" dxfId="99" priority="623" operator="equal">
      <formula>0</formula>
    </cfRule>
  </conditionalFormatting>
  <conditionalFormatting sqref="BK384:BK385">
    <cfRule type="cellIs" dxfId="98" priority="626" operator="equal">
      <formula>0</formula>
    </cfRule>
  </conditionalFormatting>
  <conditionalFormatting sqref="BK386:BK387">
    <cfRule type="cellIs" dxfId="97" priority="558" operator="equal">
      <formula>0</formula>
    </cfRule>
  </conditionalFormatting>
  <conditionalFormatting sqref="BK388:BK391">
    <cfRule type="cellIs" dxfId="96" priority="615" operator="equal">
      <formula>0</formula>
    </cfRule>
  </conditionalFormatting>
  <conditionalFormatting sqref="BK393:BK396">
    <cfRule type="cellIs" dxfId="95" priority="557" operator="equal">
      <formula>0</formula>
    </cfRule>
  </conditionalFormatting>
  <conditionalFormatting sqref="BK397:BK404">
    <cfRule type="cellIs" dxfId="94" priority="556" operator="equal">
      <formula>0</formula>
    </cfRule>
  </conditionalFormatting>
  <conditionalFormatting sqref="BK405:BK406">
    <cfRule type="cellIs" dxfId="93" priority="555" operator="equal">
      <formula>0</formula>
    </cfRule>
  </conditionalFormatting>
  <conditionalFormatting sqref="BK407:BK410">
    <cfRule type="cellIs" dxfId="92" priority="554" operator="equal">
      <formula>0</formula>
    </cfRule>
  </conditionalFormatting>
  <conditionalFormatting sqref="BK411:BK412">
    <cfRule type="cellIs" dxfId="91" priority="553" operator="equal">
      <formula>0</formula>
    </cfRule>
  </conditionalFormatting>
  <conditionalFormatting sqref="BK413:BK416">
    <cfRule type="cellIs" dxfId="90" priority="552" operator="equal">
      <formula>0</formula>
    </cfRule>
  </conditionalFormatting>
  <conditionalFormatting sqref="BK417:BK418">
    <cfRule type="cellIs" dxfId="89" priority="551" operator="equal">
      <formula>0</formula>
    </cfRule>
  </conditionalFormatting>
  <conditionalFormatting sqref="BK419:BK424">
    <cfRule type="cellIs" dxfId="88" priority="550" operator="equal">
      <formula>0</formula>
    </cfRule>
  </conditionalFormatting>
  <conditionalFormatting sqref="BK425:BK426">
    <cfRule type="cellIs" dxfId="87" priority="179" operator="equal">
      <formula>0</formula>
    </cfRule>
  </conditionalFormatting>
  <conditionalFormatting sqref="BK428:BK433">
    <cfRule type="cellIs" dxfId="86" priority="541" operator="equal">
      <formula>0</formula>
    </cfRule>
  </conditionalFormatting>
  <conditionalFormatting sqref="BK434:BK459">
    <cfRule type="cellIs" dxfId="85" priority="535" operator="equal">
      <formula>0</formula>
    </cfRule>
  </conditionalFormatting>
  <conditionalFormatting sqref="BK460:BK461">
    <cfRule type="cellIs" dxfId="84" priority="540" operator="equal">
      <formula>0</formula>
    </cfRule>
  </conditionalFormatting>
  <conditionalFormatting sqref="BK462:BK487">
    <cfRule type="cellIs" dxfId="83" priority="534" operator="equal">
      <formula>0</formula>
    </cfRule>
  </conditionalFormatting>
  <conditionalFormatting sqref="BK488:BK489">
    <cfRule type="cellIs" dxfId="82" priority="539" operator="equal">
      <formula>0</formula>
    </cfRule>
  </conditionalFormatting>
  <conditionalFormatting sqref="BK490:BK501">
    <cfRule type="cellIs" dxfId="81" priority="533" operator="equal">
      <formula>0</formula>
    </cfRule>
  </conditionalFormatting>
  <conditionalFormatting sqref="BK502:BK503">
    <cfRule type="cellIs" dxfId="80" priority="538" operator="equal">
      <formula>0</formula>
    </cfRule>
  </conditionalFormatting>
  <conditionalFormatting sqref="BK504:BK529">
    <cfRule type="cellIs" dxfId="79" priority="532" operator="equal">
      <formula>0</formula>
    </cfRule>
  </conditionalFormatting>
  <conditionalFormatting sqref="BK530:BK531">
    <cfRule type="cellIs" dxfId="78" priority="537" operator="equal">
      <formula>0</formula>
    </cfRule>
  </conditionalFormatting>
  <conditionalFormatting sqref="BK532:BK587">
    <cfRule type="cellIs" dxfId="77" priority="531" operator="equal">
      <formula>0</formula>
    </cfRule>
  </conditionalFormatting>
  <conditionalFormatting sqref="BK588:BK589">
    <cfRule type="cellIs" dxfId="76" priority="536" operator="equal">
      <formula>0</formula>
    </cfRule>
  </conditionalFormatting>
  <conditionalFormatting sqref="BK591:BK596">
    <cfRule type="cellIs" dxfId="75" priority="549" operator="equal">
      <formula>0</formula>
    </cfRule>
  </conditionalFormatting>
  <conditionalFormatting sqref="BK597:BK616">
    <cfRule type="cellIs" dxfId="74" priority="547" operator="equal">
      <formula>0</formula>
    </cfRule>
  </conditionalFormatting>
  <conditionalFormatting sqref="BK617:BK618">
    <cfRule type="cellIs" dxfId="73" priority="112" operator="equal">
      <formula>0</formula>
    </cfRule>
  </conditionalFormatting>
  <conditionalFormatting sqref="BK619:BK620">
    <cfRule type="cellIs" dxfId="72" priority="111" operator="equal">
      <formula>0</formula>
    </cfRule>
  </conditionalFormatting>
  <conditionalFormatting sqref="BK621:BK622">
    <cfRule type="cellIs" dxfId="71" priority="548" operator="equal">
      <formula>0</formula>
    </cfRule>
  </conditionalFormatting>
  <conditionalFormatting sqref="BK623:BK626">
    <cfRule type="cellIs" dxfId="70" priority="19" operator="equal">
      <formula>0</formula>
    </cfRule>
  </conditionalFormatting>
  <conditionalFormatting sqref="BL9">
    <cfRule type="iconSet" priority="1190">
      <iconSet iconSet="3Arrows">
        <cfvo type="percent" val="0"/>
        <cfvo type="num" val="0.7"/>
        <cfvo type="num" val="1"/>
      </iconSet>
    </cfRule>
    <cfRule type="dataBar" priority="1191">
      <dataBar>
        <cfvo type="num" val="0"/>
        <cfvo type="num" val="1"/>
        <color theme="4" tint="0.79998168889431442"/>
      </dataBar>
      <extLst>
        <ext xmlns:x14="http://schemas.microsoft.com/office/spreadsheetml/2009/9/main" uri="{B025F937-C7B1-47D3-B67F-A62EFF666E3E}">
          <x14:id>{62FACDA0-DBB5-4080-86CC-639C4CCC4BEA}</x14:id>
        </ext>
      </extLst>
    </cfRule>
  </conditionalFormatting>
  <conditionalFormatting sqref="BL13">
    <cfRule type="iconSet" priority="1192">
      <iconSet iconSet="3Arrows">
        <cfvo type="percent" val="0"/>
        <cfvo type="num" val="0.7"/>
        <cfvo type="num" val="1"/>
      </iconSet>
    </cfRule>
    <cfRule type="dataBar" priority="1193">
      <dataBar>
        <cfvo type="num" val="0"/>
        <cfvo type="num" val="1"/>
        <color theme="4" tint="0.79998168889431442"/>
      </dataBar>
      <extLst>
        <ext xmlns:x14="http://schemas.microsoft.com/office/spreadsheetml/2009/9/main" uri="{B025F937-C7B1-47D3-B67F-A62EFF666E3E}">
          <x14:id>{3BDE937F-7186-482B-8D1A-D625D97D932F}</x14:id>
        </ext>
      </extLst>
    </cfRule>
  </conditionalFormatting>
  <conditionalFormatting sqref="BL15">
    <cfRule type="iconSet" priority="955">
      <iconSet iconSet="3Arrows">
        <cfvo type="percent" val="0"/>
        <cfvo type="num" val="0.7"/>
        <cfvo type="num" val="1"/>
      </iconSet>
    </cfRule>
    <cfRule type="dataBar" priority="956">
      <dataBar>
        <cfvo type="num" val="0"/>
        <cfvo type="num" val="1"/>
        <color theme="4" tint="0.79998168889431442"/>
      </dataBar>
      <extLst>
        <ext xmlns:x14="http://schemas.microsoft.com/office/spreadsheetml/2009/9/main" uri="{B025F937-C7B1-47D3-B67F-A62EFF666E3E}">
          <x14:id>{3FF72383-4BC4-448B-BAA9-8C077DB3D3C8}</x14:id>
        </ext>
      </extLst>
    </cfRule>
  </conditionalFormatting>
  <conditionalFormatting sqref="BL17">
    <cfRule type="iconSet" priority="953">
      <iconSet iconSet="3Arrows">
        <cfvo type="percent" val="0"/>
        <cfvo type="num" val="0.7"/>
        <cfvo type="num" val="1"/>
      </iconSet>
    </cfRule>
    <cfRule type="dataBar" priority="954">
      <dataBar>
        <cfvo type="num" val="0"/>
        <cfvo type="num" val="1"/>
        <color theme="4" tint="0.79998168889431442"/>
      </dataBar>
      <extLst>
        <ext xmlns:x14="http://schemas.microsoft.com/office/spreadsheetml/2009/9/main" uri="{B025F937-C7B1-47D3-B67F-A62EFF666E3E}">
          <x14:id>{5315882C-FD4B-44ED-9169-29E8B1E55050}</x14:id>
        </ext>
      </extLst>
    </cfRule>
  </conditionalFormatting>
  <conditionalFormatting sqref="BL19">
    <cfRule type="iconSet" priority="951">
      <iconSet iconSet="3Arrows">
        <cfvo type="percent" val="0"/>
        <cfvo type="num" val="0.7"/>
        <cfvo type="num" val="1"/>
      </iconSet>
    </cfRule>
    <cfRule type="dataBar" priority="952">
      <dataBar>
        <cfvo type="num" val="0"/>
        <cfvo type="num" val="1"/>
        <color theme="4" tint="0.79998168889431442"/>
      </dataBar>
      <extLst>
        <ext xmlns:x14="http://schemas.microsoft.com/office/spreadsheetml/2009/9/main" uri="{B025F937-C7B1-47D3-B67F-A62EFF666E3E}">
          <x14:id>{711327E7-A001-47F9-BA58-2DB32FDAA559}</x14:id>
        </ext>
      </extLst>
    </cfRule>
  </conditionalFormatting>
  <conditionalFormatting sqref="BL21">
    <cfRule type="iconSet" priority="948">
      <iconSet iconSet="3Arrows">
        <cfvo type="percent" val="0"/>
        <cfvo type="num" val="0.7"/>
        <cfvo type="num" val="1"/>
      </iconSet>
    </cfRule>
    <cfRule type="dataBar" priority="949">
      <dataBar>
        <cfvo type="num" val="0"/>
        <cfvo type="num" val="1"/>
        <color theme="4" tint="0.79998168889431442"/>
      </dataBar>
      <extLst>
        <ext xmlns:x14="http://schemas.microsoft.com/office/spreadsheetml/2009/9/main" uri="{B025F937-C7B1-47D3-B67F-A62EFF666E3E}">
          <x14:id>{8BA46333-C440-47AC-BF0E-A4466FF6EA2A}</x14:id>
        </ext>
      </extLst>
    </cfRule>
  </conditionalFormatting>
  <conditionalFormatting sqref="BL23">
    <cfRule type="iconSet" priority="1188">
      <iconSet iconSet="3Arrows">
        <cfvo type="percent" val="0"/>
        <cfvo type="num" val="0.7"/>
        <cfvo type="num" val="1"/>
      </iconSet>
    </cfRule>
    <cfRule type="dataBar" priority="1189">
      <dataBar>
        <cfvo type="num" val="0"/>
        <cfvo type="num" val="1"/>
        <color theme="4" tint="0.79998168889431442"/>
      </dataBar>
      <extLst>
        <ext xmlns:x14="http://schemas.microsoft.com/office/spreadsheetml/2009/9/main" uri="{B025F937-C7B1-47D3-B67F-A62EFF666E3E}">
          <x14:id>{2840A557-3C2F-484B-80A0-95CAA50F9C9F}</x14:id>
        </ext>
      </extLst>
    </cfRule>
  </conditionalFormatting>
  <conditionalFormatting sqref="BL25">
    <cfRule type="iconSet" priority="1129">
      <iconSet iconSet="3Arrows">
        <cfvo type="percent" val="0"/>
        <cfvo type="num" val="0.7"/>
        <cfvo type="num" val="1"/>
      </iconSet>
    </cfRule>
    <cfRule type="dataBar" priority="1130">
      <dataBar>
        <cfvo type="num" val="0"/>
        <cfvo type="num" val="1"/>
        <color theme="4" tint="0.79998168889431442"/>
      </dataBar>
      <extLst>
        <ext xmlns:x14="http://schemas.microsoft.com/office/spreadsheetml/2009/9/main" uri="{B025F937-C7B1-47D3-B67F-A62EFF666E3E}">
          <x14:id>{38E1BA36-54E1-43FE-BABB-E59E60328ACB}</x14:id>
        </ext>
      </extLst>
    </cfRule>
  </conditionalFormatting>
  <conditionalFormatting sqref="BL27">
    <cfRule type="iconSet" priority="862">
      <iconSet iconSet="3Arrows">
        <cfvo type="percent" val="0"/>
        <cfvo type="num" val="0.7"/>
        <cfvo type="num" val="1"/>
      </iconSet>
    </cfRule>
    <cfRule type="dataBar" priority="863">
      <dataBar>
        <cfvo type="num" val="0"/>
        <cfvo type="num" val="1"/>
        <color theme="4" tint="0.79998168889431442"/>
      </dataBar>
      <extLst>
        <ext xmlns:x14="http://schemas.microsoft.com/office/spreadsheetml/2009/9/main" uri="{B025F937-C7B1-47D3-B67F-A62EFF666E3E}">
          <x14:id>{16E8E622-46F8-4357-B788-6D4EF782462D}</x14:id>
        </ext>
      </extLst>
    </cfRule>
  </conditionalFormatting>
  <conditionalFormatting sqref="BL29">
    <cfRule type="iconSet" priority="860">
      <iconSet iconSet="3Arrows">
        <cfvo type="percent" val="0"/>
        <cfvo type="num" val="0.7"/>
        <cfvo type="num" val="1"/>
      </iconSet>
    </cfRule>
    <cfRule type="dataBar" priority="861">
      <dataBar>
        <cfvo type="num" val="0"/>
        <cfvo type="num" val="1"/>
        <color theme="4" tint="0.79998168889431442"/>
      </dataBar>
      <extLst>
        <ext xmlns:x14="http://schemas.microsoft.com/office/spreadsheetml/2009/9/main" uri="{B025F937-C7B1-47D3-B67F-A62EFF666E3E}">
          <x14:id>{1D67DC2F-0A24-400C-8500-9D560DB0D742}</x14:id>
        </ext>
      </extLst>
    </cfRule>
  </conditionalFormatting>
  <conditionalFormatting sqref="BL31">
    <cfRule type="iconSet" priority="1142">
      <iconSet iconSet="3Arrows">
        <cfvo type="percent" val="0"/>
        <cfvo type="num" val="0.7"/>
        <cfvo type="num" val="1"/>
      </iconSet>
    </cfRule>
    <cfRule type="dataBar" priority="1143">
      <dataBar>
        <cfvo type="num" val="0"/>
        <cfvo type="num" val="1"/>
        <color theme="4" tint="0.79998168889431442"/>
      </dataBar>
      <extLst>
        <ext xmlns:x14="http://schemas.microsoft.com/office/spreadsheetml/2009/9/main" uri="{B025F937-C7B1-47D3-B67F-A62EFF666E3E}">
          <x14:id>{66FD0BCA-823B-420A-9D79-B3E8D23E6949}</x14:id>
        </ext>
      </extLst>
    </cfRule>
  </conditionalFormatting>
  <conditionalFormatting sqref="BL35">
    <cfRule type="iconSet" priority="1085">
      <iconSet iconSet="3Arrows">
        <cfvo type="percent" val="0"/>
        <cfvo type="num" val="0.7"/>
        <cfvo type="num" val="1"/>
      </iconSet>
    </cfRule>
    <cfRule type="dataBar" priority="1086">
      <dataBar>
        <cfvo type="num" val="0"/>
        <cfvo type="num" val="1"/>
        <color theme="4" tint="0.79998168889431442"/>
      </dataBar>
      <extLst>
        <ext xmlns:x14="http://schemas.microsoft.com/office/spreadsheetml/2009/9/main" uri="{B025F937-C7B1-47D3-B67F-A62EFF666E3E}">
          <x14:id>{90B60418-FBED-4432-AB88-304E1561CB73}</x14:id>
        </ext>
      </extLst>
    </cfRule>
  </conditionalFormatting>
  <conditionalFormatting sqref="BL37">
    <cfRule type="iconSet" priority="940">
      <iconSet iconSet="3Arrows">
        <cfvo type="percent" val="0"/>
        <cfvo type="num" val="0.7"/>
        <cfvo type="num" val="1"/>
      </iconSet>
    </cfRule>
    <cfRule type="dataBar" priority="941">
      <dataBar>
        <cfvo type="num" val="0"/>
        <cfvo type="num" val="1"/>
        <color theme="4" tint="0.79998168889431442"/>
      </dataBar>
      <extLst>
        <ext xmlns:x14="http://schemas.microsoft.com/office/spreadsheetml/2009/9/main" uri="{B025F937-C7B1-47D3-B67F-A62EFF666E3E}">
          <x14:id>{EB54CA6D-BB9F-45F2-B8D0-D4E48F5C1E4E}</x14:id>
        </ext>
      </extLst>
    </cfRule>
  </conditionalFormatting>
  <conditionalFormatting sqref="BL39">
    <cfRule type="iconSet" priority="942">
      <iconSet iconSet="3Arrows">
        <cfvo type="percent" val="0"/>
        <cfvo type="num" val="0.7"/>
        <cfvo type="num" val="1"/>
      </iconSet>
    </cfRule>
    <cfRule type="dataBar" priority="943">
      <dataBar>
        <cfvo type="num" val="0"/>
        <cfvo type="num" val="1"/>
        <color theme="4" tint="0.79998168889431442"/>
      </dataBar>
      <extLst>
        <ext xmlns:x14="http://schemas.microsoft.com/office/spreadsheetml/2009/9/main" uri="{B025F937-C7B1-47D3-B67F-A62EFF666E3E}">
          <x14:id>{DE95B718-8572-41A5-BAF9-3870D9BB4C15}</x14:id>
        </ext>
      </extLst>
    </cfRule>
  </conditionalFormatting>
  <conditionalFormatting sqref="BL41">
    <cfRule type="iconSet" priority="944">
      <iconSet iconSet="3Arrows">
        <cfvo type="percent" val="0"/>
        <cfvo type="num" val="0.7"/>
        <cfvo type="num" val="1"/>
      </iconSet>
    </cfRule>
    <cfRule type="dataBar" priority="945">
      <dataBar>
        <cfvo type="num" val="0"/>
        <cfvo type="num" val="1"/>
        <color theme="4" tint="0.79998168889431442"/>
      </dataBar>
      <extLst>
        <ext xmlns:x14="http://schemas.microsoft.com/office/spreadsheetml/2009/9/main" uri="{B025F937-C7B1-47D3-B67F-A62EFF666E3E}">
          <x14:id>{BFC4C2E6-4FC5-436F-8980-E0674C37386C}</x14:id>
        </ext>
      </extLst>
    </cfRule>
  </conditionalFormatting>
  <conditionalFormatting sqref="BL43">
    <cfRule type="iconSet" priority="1087">
      <iconSet iconSet="3Arrows">
        <cfvo type="percent" val="0"/>
        <cfvo type="num" val="0.7"/>
        <cfvo type="num" val="1"/>
      </iconSet>
    </cfRule>
    <cfRule type="dataBar" priority="1088">
      <dataBar>
        <cfvo type="num" val="0"/>
        <cfvo type="num" val="1"/>
        <color theme="4" tint="0.79998168889431442"/>
      </dataBar>
      <extLst>
        <ext xmlns:x14="http://schemas.microsoft.com/office/spreadsheetml/2009/9/main" uri="{B025F937-C7B1-47D3-B67F-A62EFF666E3E}">
          <x14:id>{23559C78-89DA-4EAA-B6B6-55B3D886BB90}</x14:id>
        </ext>
      </extLst>
    </cfRule>
  </conditionalFormatting>
  <conditionalFormatting sqref="BL47">
    <cfRule type="iconSet" priority="1186">
      <iconSet iconSet="3Arrows">
        <cfvo type="percent" val="0"/>
        <cfvo type="num" val="0.7"/>
        <cfvo type="num" val="1"/>
      </iconSet>
    </cfRule>
    <cfRule type="dataBar" priority="1187">
      <dataBar>
        <cfvo type="num" val="0"/>
        <cfvo type="num" val="1"/>
        <color theme="4" tint="0.79998168889431442"/>
      </dataBar>
      <extLst>
        <ext xmlns:x14="http://schemas.microsoft.com/office/spreadsheetml/2009/9/main" uri="{B025F937-C7B1-47D3-B67F-A62EFF666E3E}">
          <x14:id>{78320D4E-80C9-420E-8EB2-D3F702ADBC06}</x14:id>
        </ext>
      </extLst>
    </cfRule>
  </conditionalFormatting>
  <conditionalFormatting sqref="BL49">
    <cfRule type="iconSet" priority="1083">
      <iconSet iconSet="3Arrows">
        <cfvo type="percent" val="0"/>
        <cfvo type="num" val="0.7"/>
        <cfvo type="num" val="1"/>
      </iconSet>
    </cfRule>
    <cfRule type="dataBar" priority="1084">
      <dataBar>
        <cfvo type="num" val="0"/>
        <cfvo type="num" val="1"/>
        <color theme="4" tint="0.79998168889431442"/>
      </dataBar>
      <extLst>
        <ext xmlns:x14="http://schemas.microsoft.com/office/spreadsheetml/2009/9/main" uri="{B025F937-C7B1-47D3-B67F-A62EFF666E3E}">
          <x14:id>{31871051-E8C0-4589-A2EB-0C4D5647CAAC}</x14:id>
        </ext>
      </extLst>
    </cfRule>
  </conditionalFormatting>
  <conditionalFormatting sqref="BL51">
    <cfRule type="iconSet" priority="858">
      <iconSet iconSet="3Arrows">
        <cfvo type="percent" val="0"/>
        <cfvo type="num" val="0.7"/>
        <cfvo type="num" val="1"/>
      </iconSet>
    </cfRule>
    <cfRule type="dataBar" priority="859">
      <dataBar>
        <cfvo type="num" val="0"/>
        <cfvo type="num" val="1"/>
        <color theme="4" tint="0.79998168889431442"/>
      </dataBar>
      <extLst>
        <ext xmlns:x14="http://schemas.microsoft.com/office/spreadsheetml/2009/9/main" uri="{B025F937-C7B1-47D3-B67F-A62EFF666E3E}">
          <x14:id>{0C0871EA-6F8E-45E2-9739-37751CA79941}</x14:id>
        </ext>
      </extLst>
    </cfRule>
  </conditionalFormatting>
  <conditionalFormatting sqref="BL53">
    <cfRule type="iconSet" priority="1005">
      <iconSet iconSet="3Arrows">
        <cfvo type="percent" val="0"/>
        <cfvo type="num" val="0.7"/>
        <cfvo type="num" val="1"/>
      </iconSet>
    </cfRule>
    <cfRule type="dataBar" priority="1006">
      <dataBar>
        <cfvo type="num" val="0"/>
        <cfvo type="num" val="1"/>
        <color theme="4" tint="0.79998168889431442"/>
      </dataBar>
      <extLst>
        <ext xmlns:x14="http://schemas.microsoft.com/office/spreadsheetml/2009/9/main" uri="{B025F937-C7B1-47D3-B67F-A62EFF666E3E}">
          <x14:id>{7C97D52F-B7A2-4671-B7AB-8091C45E184F}</x14:id>
        </ext>
      </extLst>
    </cfRule>
  </conditionalFormatting>
  <conditionalFormatting sqref="BL55">
    <cfRule type="iconSet" priority="938">
      <iconSet iconSet="3Arrows">
        <cfvo type="percent" val="0"/>
        <cfvo type="num" val="0.7"/>
        <cfvo type="num" val="1"/>
      </iconSet>
    </cfRule>
    <cfRule type="dataBar" priority="939">
      <dataBar>
        <cfvo type="num" val="0"/>
        <cfvo type="num" val="1"/>
        <color theme="4" tint="0.79998168889431442"/>
      </dataBar>
      <extLst>
        <ext xmlns:x14="http://schemas.microsoft.com/office/spreadsheetml/2009/9/main" uri="{B025F937-C7B1-47D3-B67F-A62EFF666E3E}">
          <x14:id>{F171A57C-9A3F-42A8-A51F-9586EECA8B47}</x14:id>
        </ext>
      </extLst>
    </cfRule>
  </conditionalFormatting>
  <conditionalFormatting sqref="BL57">
    <cfRule type="iconSet" priority="856">
      <iconSet iconSet="3Arrows">
        <cfvo type="percent" val="0"/>
        <cfvo type="num" val="0.7"/>
        <cfvo type="num" val="1"/>
      </iconSet>
    </cfRule>
    <cfRule type="dataBar" priority="857">
      <dataBar>
        <cfvo type="num" val="0"/>
        <cfvo type="num" val="1"/>
        <color theme="4" tint="0.79998168889431442"/>
      </dataBar>
      <extLst>
        <ext xmlns:x14="http://schemas.microsoft.com/office/spreadsheetml/2009/9/main" uri="{B025F937-C7B1-47D3-B67F-A62EFF666E3E}">
          <x14:id>{DFF4D18A-19B5-40CA-82E6-6DDE9E61B822}</x14:id>
        </ext>
      </extLst>
    </cfRule>
  </conditionalFormatting>
  <conditionalFormatting sqref="BL59">
    <cfRule type="iconSet" priority="854">
      <iconSet iconSet="3Arrows">
        <cfvo type="percent" val="0"/>
        <cfvo type="num" val="0.7"/>
        <cfvo type="num" val="1"/>
      </iconSet>
    </cfRule>
    <cfRule type="dataBar" priority="855">
      <dataBar>
        <cfvo type="num" val="0"/>
        <cfvo type="num" val="1"/>
        <color theme="4" tint="0.79998168889431442"/>
      </dataBar>
      <extLst>
        <ext xmlns:x14="http://schemas.microsoft.com/office/spreadsheetml/2009/9/main" uri="{B025F937-C7B1-47D3-B67F-A62EFF666E3E}">
          <x14:id>{6941ADD7-EF00-41F2-AAAB-3BBB8B1BA6DA}</x14:id>
        </ext>
      </extLst>
    </cfRule>
  </conditionalFormatting>
  <conditionalFormatting sqref="BL61">
    <cfRule type="iconSet" priority="647">
      <iconSet iconSet="3Arrows">
        <cfvo type="percent" val="0"/>
        <cfvo type="num" val="0.7"/>
        <cfvo type="num" val="1"/>
      </iconSet>
    </cfRule>
    <cfRule type="dataBar" priority="648">
      <dataBar>
        <cfvo type="num" val="0"/>
        <cfvo type="num" val="1"/>
        <color theme="4" tint="0.79998168889431442"/>
      </dataBar>
      <extLst>
        <ext xmlns:x14="http://schemas.microsoft.com/office/spreadsheetml/2009/9/main" uri="{B025F937-C7B1-47D3-B67F-A62EFF666E3E}">
          <x14:id>{298796E0-1866-405F-97AC-BB4B9AE2EF6D}</x14:id>
        </ext>
      </extLst>
    </cfRule>
  </conditionalFormatting>
  <conditionalFormatting sqref="BL63">
    <cfRule type="iconSet" priority="795">
      <iconSet iconSet="3Arrows">
        <cfvo type="percent" val="0"/>
        <cfvo type="num" val="0.7"/>
        <cfvo type="num" val="1"/>
      </iconSet>
    </cfRule>
    <cfRule type="dataBar" priority="796">
      <dataBar>
        <cfvo type="num" val="0"/>
        <cfvo type="num" val="1"/>
        <color theme="4" tint="0.79998168889431442"/>
      </dataBar>
      <extLst>
        <ext xmlns:x14="http://schemas.microsoft.com/office/spreadsheetml/2009/9/main" uri="{B025F937-C7B1-47D3-B67F-A62EFF666E3E}">
          <x14:id>{89AD43F5-E39A-4B1F-A08D-2F7A7F0360B5}</x14:id>
        </ext>
      </extLst>
    </cfRule>
  </conditionalFormatting>
  <conditionalFormatting sqref="BL65">
    <cfRule type="iconSet" priority="852">
      <iconSet iconSet="3Arrows">
        <cfvo type="percent" val="0"/>
        <cfvo type="num" val="0.7"/>
        <cfvo type="num" val="1"/>
      </iconSet>
    </cfRule>
    <cfRule type="dataBar" priority="853">
      <dataBar>
        <cfvo type="num" val="0"/>
        <cfvo type="num" val="1"/>
        <color theme="4" tint="0.79998168889431442"/>
      </dataBar>
      <extLst>
        <ext xmlns:x14="http://schemas.microsoft.com/office/spreadsheetml/2009/9/main" uri="{B025F937-C7B1-47D3-B67F-A62EFF666E3E}">
          <x14:id>{88E1689B-D683-4925-A953-7EB3BEE0BCFD}</x14:id>
        </ext>
      </extLst>
    </cfRule>
  </conditionalFormatting>
  <conditionalFormatting sqref="BL67">
    <cfRule type="iconSet" priority="926">
      <iconSet iconSet="3Arrows">
        <cfvo type="percent" val="0"/>
        <cfvo type="num" val="0.7"/>
        <cfvo type="num" val="1"/>
      </iconSet>
    </cfRule>
    <cfRule type="dataBar" priority="927">
      <dataBar>
        <cfvo type="num" val="0"/>
        <cfvo type="num" val="1"/>
        <color theme="4" tint="0.79998168889431442"/>
      </dataBar>
      <extLst>
        <ext xmlns:x14="http://schemas.microsoft.com/office/spreadsheetml/2009/9/main" uri="{B025F937-C7B1-47D3-B67F-A62EFF666E3E}">
          <x14:id>{89528309-9941-49B4-830F-71AD0C8996D2}</x14:id>
        </ext>
      </extLst>
    </cfRule>
  </conditionalFormatting>
  <conditionalFormatting sqref="BL69">
    <cfRule type="iconSet" priority="1137">
      <iconSet iconSet="3Arrows">
        <cfvo type="percent" val="0"/>
        <cfvo type="num" val="0.7"/>
        <cfvo type="num" val="1"/>
      </iconSet>
    </cfRule>
    <cfRule type="dataBar" priority="1138">
      <dataBar>
        <cfvo type="num" val="0"/>
        <cfvo type="num" val="1"/>
        <color theme="4" tint="0.79998168889431442"/>
      </dataBar>
      <extLst>
        <ext xmlns:x14="http://schemas.microsoft.com/office/spreadsheetml/2009/9/main" uri="{B025F937-C7B1-47D3-B67F-A62EFF666E3E}">
          <x14:id>{662EC653-0666-44C3-854E-0CAAD0DAD487}</x14:id>
        </ext>
      </extLst>
    </cfRule>
  </conditionalFormatting>
  <conditionalFormatting sqref="BL73">
    <cfRule type="iconSet" priority="1174">
      <iconSet iconSet="3Arrows">
        <cfvo type="percent" val="0"/>
        <cfvo type="num" val="0.7"/>
        <cfvo type="num" val="1"/>
      </iconSet>
    </cfRule>
    <cfRule type="dataBar" priority="1175">
      <dataBar>
        <cfvo type="num" val="0"/>
        <cfvo type="num" val="1"/>
        <color theme="4" tint="0.79998168889431442"/>
      </dataBar>
      <extLst>
        <ext xmlns:x14="http://schemas.microsoft.com/office/spreadsheetml/2009/9/main" uri="{B025F937-C7B1-47D3-B67F-A62EFF666E3E}">
          <x14:id>{AA75899B-EEAA-4139-BDD1-C2815B75F895}</x14:id>
        </ext>
      </extLst>
    </cfRule>
  </conditionalFormatting>
  <conditionalFormatting sqref="BL77">
    <cfRule type="iconSet" priority="1184">
      <iconSet iconSet="3Arrows">
        <cfvo type="percent" val="0"/>
        <cfvo type="num" val="0.7"/>
        <cfvo type="num" val="1"/>
      </iconSet>
    </cfRule>
    <cfRule type="dataBar" priority="1185">
      <dataBar>
        <cfvo type="num" val="0"/>
        <cfvo type="num" val="1"/>
        <color theme="4" tint="0.79998168889431442"/>
      </dataBar>
      <extLst>
        <ext xmlns:x14="http://schemas.microsoft.com/office/spreadsheetml/2009/9/main" uri="{B025F937-C7B1-47D3-B67F-A62EFF666E3E}">
          <x14:id>{A601D384-1163-41B9-9FB7-F4CFA67D1034}</x14:id>
        </ext>
      </extLst>
    </cfRule>
  </conditionalFormatting>
  <conditionalFormatting sqref="BL79">
    <cfRule type="iconSet" priority="1178">
      <iconSet iconSet="3Arrows">
        <cfvo type="percent" val="0"/>
        <cfvo type="num" val="0.7"/>
        <cfvo type="num" val="1"/>
      </iconSet>
    </cfRule>
    <cfRule type="dataBar" priority="1179">
      <dataBar>
        <cfvo type="num" val="0"/>
        <cfvo type="num" val="1"/>
        <color theme="4" tint="0.79998168889431442"/>
      </dataBar>
      <extLst>
        <ext xmlns:x14="http://schemas.microsoft.com/office/spreadsheetml/2009/9/main" uri="{B025F937-C7B1-47D3-B67F-A62EFF666E3E}">
          <x14:id>{39ED9933-BB77-4D26-84CB-37BF82664F94}</x14:id>
        </ext>
      </extLst>
    </cfRule>
  </conditionalFormatting>
  <conditionalFormatting sqref="BL81">
    <cfRule type="iconSet" priority="1095">
      <iconSet iconSet="3Arrows">
        <cfvo type="percent" val="0"/>
        <cfvo type="num" val="0.7"/>
        <cfvo type="num" val="1"/>
      </iconSet>
    </cfRule>
    <cfRule type="dataBar" priority="1096">
      <dataBar>
        <cfvo type="num" val="0"/>
        <cfvo type="num" val="1"/>
        <color theme="4" tint="0.79998168889431442"/>
      </dataBar>
      <extLst>
        <ext xmlns:x14="http://schemas.microsoft.com/office/spreadsheetml/2009/9/main" uri="{B025F937-C7B1-47D3-B67F-A62EFF666E3E}">
          <x14:id>{9479CCDC-1F10-42E3-8F47-0854C5723E22}</x14:id>
        </ext>
      </extLst>
    </cfRule>
  </conditionalFormatting>
  <conditionalFormatting sqref="BL83">
    <cfRule type="iconSet" priority="1093">
      <iconSet iconSet="3Arrows">
        <cfvo type="percent" val="0"/>
        <cfvo type="num" val="0.7"/>
        <cfvo type="num" val="1"/>
      </iconSet>
    </cfRule>
    <cfRule type="dataBar" priority="1094">
      <dataBar>
        <cfvo type="num" val="0"/>
        <cfvo type="num" val="1"/>
        <color theme="4" tint="0.79998168889431442"/>
      </dataBar>
      <extLst>
        <ext xmlns:x14="http://schemas.microsoft.com/office/spreadsheetml/2009/9/main" uri="{B025F937-C7B1-47D3-B67F-A62EFF666E3E}">
          <x14:id>{ACBCABC1-6C81-463E-93FC-CB27725E03C5}</x14:id>
        </ext>
      </extLst>
    </cfRule>
  </conditionalFormatting>
  <conditionalFormatting sqref="BL85">
    <cfRule type="iconSet" priority="1091">
      <iconSet iconSet="3Arrows">
        <cfvo type="percent" val="0"/>
        <cfvo type="num" val="0.7"/>
        <cfvo type="num" val="1"/>
      </iconSet>
    </cfRule>
    <cfRule type="dataBar" priority="1092">
      <dataBar>
        <cfvo type="num" val="0"/>
        <cfvo type="num" val="1"/>
        <color theme="4" tint="0.79998168889431442"/>
      </dataBar>
      <extLst>
        <ext xmlns:x14="http://schemas.microsoft.com/office/spreadsheetml/2009/9/main" uri="{B025F937-C7B1-47D3-B67F-A62EFF666E3E}">
          <x14:id>{B92F93E3-28D5-4E57-AF6A-ADDE1EA0B5A4}</x14:id>
        </ext>
      </extLst>
    </cfRule>
  </conditionalFormatting>
  <conditionalFormatting sqref="BL87">
    <cfRule type="iconSet" priority="1089">
      <iconSet iconSet="3Arrows">
        <cfvo type="percent" val="0"/>
        <cfvo type="num" val="0.7"/>
        <cfvo type="num" val="1"/>
      </iconSet>
    </cfRule>
    <cfRule type="dataBar" priority="1090">
      <dataBar>
        <cfvo type="num" val="0"/>
        <cfvo type="num" val="1"/>
        <color theme="4" tint="0.79998168889431442"/>
      </dataBar>
      <extLst>
        <ext xmlns:x14="http://schemas.microsoft.com/office/spreadsheetml/2009/9/main" uri="{B025F937-C7B1-47D3-B67F-A62EFF666E3E}">
          <x14:id>{83FE8B9D-44C9-4CE1-89E9-9FFBD2261328}</x14:id>
        </ext>
      </extLst>
    </cfRule>
  </conditionalFormatting>
  <conditionalFormatting sqref="BL89">
    <cfRule type="iconSet" priority="1180">
      <iconSet iconSet="3Arrows">
        <cfvo type="percent" val="0"/>
        <cfvo type="num" val="0.7"/>
        <cfvo type="num" val="1"/>
      </iconSet>
    </cfRule>
    <cfRule type="dataBar" priority="1181">
      <dataBar>
        <cfvo type="num" val="0"/>
        <cfvo type="num" val="1"/>
        <color theme="4" tint="0.79998168889431442"/>
      </dataBar>
      <extLst>
        <ext xmlns:x14="http://schemas.microsoft.com/office/spreadsheetml/2009/9/main" uri="{B025F937-C7B1-47D3-B67F-A62EFF666E3E}">
          <x14:id>{5C3B8650-FE43-4741-A5BC-C32128907B3A}</x14:id>
        </ext>
      </extLst>
    </cfRule>
  </conditionalFormatting>
  <conditionalFormatting sqref="BL93">
    <cfRule type="iconSet" priority="1079">
      <iconSet iconSet="3Arrows">
        <cfvo type="percent" val="0"/>
        <cfvo type="num" val="0.7"/>
        <cfvo type="num" val="1"/>
      </iconSet>
    </cfRule>
    <cfRule type="dataBar" priority="1080">
      <dataBar>
        <cfvo type="num" val="0"/>
        <cfvo type="num" val="1"/>
        <color theme="4" tint="0.79998168889431442"/>
      </dataBar>
      <extLst>
        <ext xmlns:x14="http://schemas.microsoft.com/office/spreadsheetml/2009/9/main" uri="{B025F937-C7B1-47D3-B67F-A62EFF666E3E}">
          <x14:id>{EDC5B375-C4C9-4DB2-B336-95597DC45C27}</x14:id>
        </ext>
      </extLst>
    </cfRule>
  </conditionalFormatting>
  <conditionalFormatting sqref="BL95">
    <cfRule type="iconSet" priority="1068">
      <iconSet iconSet="3Arrows">
        <cfvo type="percent" val="0"/>
        <cfvo type="num" val="0.7"/>
        <cfvo type="num" val="1"/>
      </iconSet>
    </cfRule>
    <cfRule type="dataBar" priority="1069">
      <dataBar>
        <cfvo type="num" val="0"/>
        <cfvo type="num" val="1"/>
        <color theme="4" tint="0.79998168889431442"/>
      </dataBar>
      <extLst>
        <ext xmlns:x14="http://schemas.microsoft.com/office/spreadsheetml/2009/9/main" uri="{B025F937-C7B1-47D3-B67F-A62EFF666E3E}">
          <x14:id>{A67DD2BC-F3D4-40C4-B23F-58992D92D3AB}</x14:id>
        </ext>
      </extLst>
    </cfRule>
  </conditionalFormatting>
  <conditionalFormatting sqref="BL97">
    <cfRule type="iconSet" priority="716">
      <iconSet iconSet="3Arrows">
        <cfvo type="percent" val="0"/>
        <cfvo type="num" val="0.7"/>
        <cfvo type="num" val="1"/>
      </iconSet>
    </cfRule>
    <cfRule type="dataBar" priority="717">
      <dataBar>
        <cfvo type="num" val="0"/>
        <cfvo type="num" val="1"/>
        <color theme="4" tint="0.79998168889431442"/>
      </dataBar>
      <extLst>
        <ext xmlns:x14="http://schemas.microsoft.com/office/spreadsheetml/2009/9/main" uri="{B025F937-C7B1-47D3-B67F-A62EFF666E3E}">
          <x14:id>{1C70C081-98F7-4359-A3F4-701C5B718D47}</x14:id>
        </ext>
      </extLst>
    </cfRule>
  </conditionalFormatting>
  <conditionalFormatting sqref="BL99">
    <cfRule type="iconSet" priority="724">
      <iconSet iconSet="3Arrows">
        <cfvo type="percent" val="0"/>
        <cfvo type="num" val="0.7"/>
        <cfvo type="num" val="1"/>
      </iconSet>
    </cfRule>
    <cfRule type="dataBar" priority="725">
      <dataBar>
        <cfvo type="num" val="0"/>
        <cfvo type="num" val="1"/>
        <color theme="4" tint="0.79998168889431442"/>
      </dataBar>
      <extLst>
        <ext xmlns:x14="http://schemas.microsoft.com/office/spreadsheetml/2009/9/main" uri="{B025F937-C7B1-47D3-B67F-A62EFF666E3E}">
          <x14:id>{E320A613-FD54-4C5A-A0C8-D2E5D98412EE}</x14:id>
        </ext>
      </extLst>
    </cfRule>
  </conditionalFormatting>
  <conditionalFormatting sqref="BL101">
    <cfRule type="iconSet" priority="710">
      <iconSet iconSet="3Arrows">
        <cfvo type="percent" val="0"/>
        <cfvo type="num" val="0.7"/>
        <cfvo type="num" val="1"/>
      </iconSet>
    </cfRule>
    <cfRule type="dataBar" priority="711">
      <dataBar>
        <cfvo type="num" val="0"/>
        <cfvo type="num" val="1"/>
        <color theme="4" tint="0.79998168889431442"/>
      </dataBar>
      <extLst>
        <ext xmlns:x14="http://schemas.microsoft.com/office/spreadsheetml/2009/9/main" uri="{B025F937-C7B1-47D3-B67F-A62EFF666E3E}">
          <x14:id>{E03668AA-6A18-45B5-8ECF-FC7D4E511929}</x14:id>
        </ext>
      </extLst>
    </cfRule>
  </conditionalFormatting>
  <conditionalFormatting sqref="BL103">
    <cfRule type="iconSet" priority="1081">
      <iconSet iconSet="3Arrows">
        <cfvo type="percent" val="0"/>
        <cfvo type="num" val="0.7"/>
        <cfvo type="num" val="1"/>
      </iconSet>
    </cfRule>
    <cfRule type="dataBar" priority="1082">
      <dataBar>
        <cfvo type="num" val="0"/>
        <cfvo type="num" val="1"/>
        <color theme="4" tint="0.79998168889431442"/>
      </dataBar>
      <extLst>
        <ext xmlns:x14="http://schemas.microsoft.com/office/spreadsheetml/2009/9/main" uri="{B025F937-C7B1-47D3-B67F-A62EFF666E3E}">
          <x14:id>{125AB684-C76B-4266-AC63-172C50BD0483}</x14:id>
        </ext>
      </extLst>
    </cfRule>
  </conditionalFormatting>
  <conditionalFormatting sqref="BL105">
    <cfRule type="iconSet" priority="1072">
      <iconSet iconSet="3Arrows">
        <cfvo type="percent" val="0"/>
        <cfvo type="num" val="0.7"/>
        <cfvo type="num" val="1"/>
      </iconSet>
    </cfRule>
    <cfRule type="dataBar" priority="1073">
      <dataBar>
        <cfvo type="num" val="0"/>
        <cfvo type="num" val="1"/>
        <color theme="4" tint="0.79998168889431442"/>
      </dataBar>
      <extLst>
        <ext xmlns:x14="http://schemas.microsoft.com/office/spreadsheetml/2009/9/main" uri="{B025F937-C7B1-47D3-B67F-A62EFF666E3E}">
          <x14:id>{6757E5EC-F178-4E8C-843F-4ED1D8A7C05D}</x14:id>
        </ext>
      </extLst>
    </cfRule>
  </conditionalFormatting>
  <conditionalFormatting sqref="BL107">
    <cfRule type="iconSet" priority="1070">
      <iconSet iconSet="3Arrows">
        <cfvo type="percent" val="0"/>
        <cfvo type="num" val="0.7"/>
        <cfvo type="num" val="1"/>
      </iconSet>
    </cfRule>
    <cfRule type="dataBar" priority="1071">
      <dataBar>
        <cfvo type="num" val="0"/>
        <cfvo type="num" val="1"/>
        <color theme="4" tint="0.79998168889431442"/>
      </dataBar>
      <extLst>
        <ext xmlns:x14="http://schemas.microsoft.com/office/spreadsheetml/2009/9/main" uri="{B025F937-C7B1-47D3-B67F-A62EFF666E3E}">
          <x14:id>{D6439E93-6A3F-4B23-9472-919DB9E84BFB}</x14:id>
        </ext>
      </extLst>
    </cfRule>
  </conditionalFormatting>
  <conditionalFormatting sqref="BL109">
    <cfRule type="iconSet" priority="849">
      <iconSet iconSet="3Arrows">
        <cfvo type="percent" val="0"/>
        <cfvo type="num" val="0.7"/>
        <cfvo type="num" val="1"/>
      </iconSet>
    </cfRule>
    <cfRule type="dataBar" priority="850">
      <dataBar>
        <cfvo type="num" val="0"/>
        <cfvo type="num" val="1"/>
        <color theme="4" tint="0.79998168889431442"/>
      </dataBar>
      <extLst>
        <ext xmlns:x14="http://schemas.microsoft.com/office/spreadsheetml/2009/9/main" uri="{B025F937-C7B1-47D3-B67F-A62EFF666E3E}">
          <x14:id>{F40E6FF8-8829-44A9-B1DC-9E745CD22F43}</x14:id>
        </ext>
      </extLst>
    </cfRule>
  </conditionalFormatting>
  <conditionalFormatting sqref="BL113">
    <cfRule type="iconSet" priority="1076">
      <iconSet iconSet="3Arrows">
        <cfvo type="percent" val="0"/>
        <cfvo type="num" val="0.7"/>
        <cfvo type="num" val="1"/>
      </iconSet>
    </cfRule>
    <cfRule type="dataBar" priority="1077">
      <dataBar>
        <cfvo type="num" val="0"/>
        <cfvo type="num" val="1"/>
        <color theme="4" tint="0.79998168889431442"/>
      </dataBar>
      <extLst>
        <ext xmlns:x14="http://schemas.microsoft.com/office/spreadsheetml/2009/9/main" uri="{B025F937-C7B1-47D3-B67F-A62EFF666E3E}">
          <x14:id>{A3B3C6E3-48FC-4701-89D5-04CD393E31F7}</x14:id>
        </ext>
      </extLst>
    </cfRule>
  </conditionalFormatting>
  <conditionalFormatting sqref="BL115">
    <cfRule type="iconSet" priority="1074">
      <iconSet iconSet="3Arrows">
        <cfvo type="percent" val="0"/>
        <cfvo type="num" val="0.7"/>
        <cfvo type="num" val="1"/>
      </iconSet>
    </cfRule>
    <cfRule type="dataBar" priority="1075">
      <dataBar>
        <cfvo type="num" val="0"/>
        <cfvo type="num" val="1"/>
        <color theme="4" tint="0.79998168889431442"/>
      </dataBar>
      <extLst>
        <ext xmlns:x14="http://schemas.microsoft.com/office/spreadsheetml/2009/9/main" uri="{B025F937-C7B1-47D3-B67F-A62EFF666E3E}">
          <x14:id>{A3CBEAEE-9003-47F5-96A4-D80A3335992B}</x14:id>
        </ext>
      </extLst>
    </cfRule>
  </conditionalFormatting>
  <conditionalFormatting sqref="BL119">
    <cfRule type="iconSet" priority="1176">
      <iconSet iconSet="3Arrows">
        <cfvo type="percent" val="0"/>
        <cfvo type="num" val="0.7"/>
        <cfvo type="num" val="1"/>
      </iconSet>
    </cfRule>
    <cfRule type="dataBar" priority="1177">
      <dataBar>
        <cfvo type="num" val="0"/>
        <cfvo type="num" val="1"/>
        <color theme="4" tint="0.79998168889431442"/>
      </dataBar>
      <extLst>
        <ext xmlns:x14="http://schemas.microsoft.com/office/spreadsheetml/2009/9/main" uri="{B025F937-C7B1-47D3-B67F-A62EFF666E3E}">
          <x14:id>{1AFB2378-8331-4AD2-B817-CFF9D48D47E6}</x14:id>
        </ext>
      </extLst>
    </cfRule>
  </conditionalFormatting>
  <conditionalFormatting sqref="BL121">
    <cfRule type="iconSet" priority="1198">
      <iconSet iconSet="3Arrows">
        <cfvo type="percent" val="0"/>
        <cfvo type="num" val="0.7"/>
        <cfvo type="num" val="1"/>
      </iconSet>
    </cfRule>
    <cfRule type="dataBar" priority="1199">
      <dataBar>
        <cfvo type="num" val="0"/>
        <cfvo type="num" val="1"/>
        <color theme="4" tint="0.79998168889431442"/>
      </dataBar>
      <extLst>
        <ext xmlns:x14="http://schemas.microsoft.com/office/spreadsheetml/2009/9/main" uri="{B025F937-C7B1-47D3-B67F-A62EFF666E3E}">
          <x14:id>{C7021FAE-FF9F-4238-8571-C4676E6295BD}</x14:id>
        </ext>
      </extLst>
    </cfRule>
  </conditionalFormatting>
  <conditionalFormatting sqref="BL123">
    <cfRule type="iconSet" priority="1133">
      <iconSet iconSet="3Arrows">
        <cfvo type="percent" val="0"/>
        <cfvo type="num" val="0.7"/>
        <cfvo type="num" val="1"/>
      </iconSet>
    </cfRule>
    <cfRule type="dataBar" priority="1134">
      <dataBar>
        <cfvo type="num" val="0"/>
        <cfvo type="num" val="1"/>
        <color theme="4" tint="0.79998168889431442"/>
      </dataBar>
      <extLst>
        <ext xmlns:x14="http://schemas.microsoft.com/office/spreadsheetml/2009/9/main" uri="{B025F937-C7B1-47D3-B67F-A62EFF666E3E}">
          <x14:id>{54EF4957-2602-4F82-AE20-1CEE18157CD5}</x14:id>
        </ext>
      </extLst>
    </cfRule>
  </conditionalFormatting>
  <conditionalFormatting sqref="BL125">
    <cfRule type="iconSet" priority="936">
      <iconSet iconSet="3Arrows">
        <cfvo type="percent" val="0"/>
        <cfvo type="num" val="0.7"/>
        <cfvo type="num" val="1"/>
      </iconSet>
    </cfRule>
    <cfRule type="dataBar" priority="937">
      <dataBar>
        <cfvo type="num" val="0"/>
        <cfvo type="num" val="1"/>
        <color theme="4" tint="0.79998168889431442"/>
      </dataBar>
      <extLst>
        <ext xmlns:x14="http://schemas.microsoft.com/office/spreadsheetml/2009/9/main" uri="{B025F937-C7B1-47D3-B67F-A62EFF666E3E}">
          <x14:id>{8D26250B-5A14-4D33-8F4D-BE8919CCEC9D}</x14:id>
        </ext>
      </extLst>
    </cfRule>
  </conditionalFormatting>
  <conditionalFormatting sqref="BL127">
    <cfRule type="iconSet" priority="900">
      <iconSet iconSet="3Arrows">
        <cfvo type="percent" val="0"/>
        <cfvo type="num" val="0.7"/>
        <cfvo type="num" val="1"/>
      </iconSet>
    </cfRule>
    <cfRule type="dataBar" priority="901">
      <dataBar>
        <cfvo type="num" val="0"/>
        <cfvo type="num" val="1"/>
        <color theme="4" tint="0.79998168889431442"/>
      </dataBar>
      <extLst>
        <ext xmlns:x14="http://schemas.microsoft.com/office/spreadsheetml/2009/9/main" uri="{B025F937-C7B1-47D3-B67F-A62EFF666E3E}">
          <x14:id>{7E5B2D52-8ACF-4530-8405-8F224A943DC6}</x14:id>
        </ext>
      </extLst>
    </cfRule>
  </conditionalFormatting>
  <conditionalFormatting sqref="BL129">
    <cfRule type="iconSet" priority="1131">
      <iconSet iconSet="3Arrows">
        <cfvo type="percent" val="0"/>
        <cfvo type="num" val="0.7"/>
        <cfvo type="num" val="1"/>
      </iconSet>
    </cfRule>
    <cfRule type="dataBar" priority="1132">
      <dataBar>
        <cfvo type="num" val="0"/>
        <cfvo type="num" val="1"/>
        <color theme="4" tint="0.79998168889431442"/>
      </dataBar>
      <extLst>
        <ext xmlns:x14="http://schemas.microsoft.com/office/spreadsheetml/2009/9/main" uri="{B025F937-C7B1-47D3-B67F-A62EFF666E3E}">
          <x14:id>{E20A7753-E4CF-46B5-BE7B-BE47F5DFCD75}</x14:id>
        </ext>
      </extLst>
    </cfRule>
  </conditionalFormatting>
  <conditionalFormatting sqref="BL131">
    <cfRule type="iconSet" priority="864">
      <iconSet iconSet="3Arrows">
        <cfvo type="percent" val="0"/>
        <cfvo type="num" val="0.7"/>
        <cfvo type="num" val="1"/>
      </iconSet>
    </cfRule>
    <cfRule type="dataBar" priority="865">
      <dataBar>
        <cfvo type="num" val="0"/>
        <cfvo type="num" val="1"/>
        <color theme="4" tint="0.79998168889431442"/>
      </dataBar>
      <extLst>
        <ext xmlns:x14="http://schemas.microsoft.com/office/spreadsheetml/2009/9/main" uri="{B025F937-C7B1-47D3-B67F-A62EFF666E3E}">
          <x14:id>{B3B4DC2F-7CE1-4CD2-A5CB-7CCD327E7DB4}</x14:id>
        </ext>
      </extLst>
    </cfRule>
  </conditionalFormatting>
  <conditionalFormatting sqref="BL134">
    <cfRule type="iconSet" priority="649">
      <iconSet iconSet="3Arrows">
        <cfvo type="percent" val="0"/>
        <cfvo type="num" val="0.7"/>
        <cfvo type="num" val="1"/>
      </iconSet>
    </cfRule>
    <cfRule type="dataBar" priority="650">
      <dataBar>
        <cfvo type="num" val="0"/>
        <cfvo type="num" val="1"/>
        <color theme="4" tint="0.79998168889431442"/>
      </dataBar>
      <extLst>
        <ext xmlns:x14="http://schemas.microsoft.com/office/spreadsheetml/2009/9/main" uri="{B025F937-C7B1-47D3-B67F-A62EFF666E3E}">
          <x14:id>{D0A83A98-61B3-49CF-8A4D-F784E844F8B3}</x14:id>
        </ext>
      </extLst>
    </cfRule>
  </conditionalFormatting>
  <conditionalFormatting sqref="BL137">
    <cfRule type="iconSet" priority="1154">
      <iconSet iconSet="3Arrows">
        <cfvo type="percent" val="0"/>
        <cfvo type="num" val="0.7"/>
        <cfvo type="num" val="1"/>
      </iconSet>
    </cfRule>
    <cfRule type="dataBar" priority="1155">
      <dataBar>
        <cfvo type="num" val="0"/>
        <cfvo type="num" val="1"/>
        <color theme="4" tint="0.79998168889431442"/>
      </dataBar>
      <extLst>
        <ext xmlns:x14="http://schemas.microsoft.com/office/spreadsheetml/2009/9/main" uri="{B025F937-C7B1-47D3-B67F-A62EFF666E3E}">
          <x14:id>{6E037563-03F4-400F-8649-ADDFFB8959F8}</x14:id>
        </ext>
      </extLst>
    </cfRule>
  </conditionalFormatting>
  <conditionalFormatting sqref="BL140">
    <cfRule type="iconSet" priority="1062">
      <iconSet iconSet="3Arrows">
        <cfvo type="percent" val="0"/>
        <cfvo type="num" val="0.7"/>
        <cfvo type="num" val="1"/>
      </iconSet>
    </cfRule>
    <cfRule type="dataBar" priority="1063">
      <dataBar>
        <cfvo type="num" val="0"/>
        <cfvo type="num" val="1"/>
        <color theme="4" tint="0.79998168889431442"/>
      </dataBar>
      <extLst>
        <ext xmlns:x14="http://schemas.microsoft.com/office/spreadsheetml/2009/9/main" uri="{B025F937-C7B1-47D3-B67F-A62EFF666E3E}">
          <x14:id>{B5C8C80E-EE4B-49D5-9C62-B250BA9E8B0A}</x14:id>
        </ext>
      </extLst>
    </cfRule>
  </conditionalFormatting>
  <conditionalFormatting sqref="BL142">
    <cfRule type="iconSet" priority="987">
      <iconSet iconSet="3Arrows">
        <cfvo type="percent" val="0"/>
        <cfvo type="num" val="0.7"/>
        <cfvo type="num" val="1"/>
      </iconSet>
    </cfRule>
    <cfRule type="dataBar" priority="988">
      <dataBar>
        <cfvo type="num" val="0"/>
        <cfvo type="num" val="1"/>
        <color theme="4" tint="0.79998168889431442"/>
      </dataBar>
      <extLst>
        <ext xmlns:x14="http://schemas.microsoft.com/office/spreadsheetml/2009/9/main" uri="{B025F937-C7B1-47D3-B67F-A62EFF666E3E}">
          <x14:id>{E7C95CE9-73FC-4836-83F0-B7CCDDDF2D1D}</x14:id>
        </ext>
      </extLst>
    </cfRule>
  </conditionalFormatting>
  <conditionalFormatting sqref="BL144">
    <cfRule type="iconSet" priority="982">
      <iconSet iconSet="3Arrows">
        <cfvo type="percent" val="0"/>
        <cfvo type="num" val="0.7"/>
        <cfvo type="num" val="1"/>
      </iconSet>
    </cfRule>
    <cfRule type="dataBar" priority="983">
      <dataBar>
        <cfvo type="num" val="0"/>
        <cfvo type="num" val="1"/>
        <color theme="4" tint="0.79998168889431442"/>
      </dataBar>
      <extLst>
        <ext xmlns:x14="http://schemas.microsoft.com/office/spreadsheetml/2009/9/main" uri="{B025F937-C7B1-47D3-B67F-A62EFF666E3E}">
          <x14:id>{ED5C802E-3D62-4823-AF10-526C976913D2}</x14:id>
        </ext>
      </extLst>
    </cfRule>
  </conditionalFormatting>
  <conditionalFormatting sqref="BL146">
    <cfRule type="iconSet" priority="634">
      <iconSet iconSet="3Arrows">
        <cfvo type="percent" val="0"/>
        <cfvo type="num" val="0.7"/>
        <cfvo type="num" val="1"/>
      </iconSet>
    </cfRule>
    <cfRule type="dataBar" priority="635">
      <dataBar>
        <cfvo type="num" val="0"/>
        <cfvo type="num" val="1"/>
        <color theme="4" tint="0.79998168889431442"/>
      </dataBar>
      <extLst>
        <ext xmlns:x14="http://schemas.microsoft.com/office/spreadsheetml/2009/9/main" uri="{B025F937-C7B1-47D3-B67F-A62EFF666E3E}">
          <x14:id>{E06ED34A-CEDF-43E9-B001-43DD505800BE}</x14:id>
        </ext>
      </extLst>
    </cfRule>
  </conditionalFormatting>
  <conditionalFormatting sqref="BL148">
    <cfRule type="iconSet" priority="1060">
      <iconSet iconSet="3Arrows">
        <cfvo type="percent" val="0"/>
        <cfvo type="num" val="0.7"/>
        <cfvo type="num" val="1"/>
      </iconSet>
    </cfRule>
    <cfRule type="dataBar" priority="1061">
      <dataBar>
        <cfvo type="num" val="0"/>
        <cfvo type="num" val="1"/>
        <color theme="4" tint="0.79998168889431442"/>
      </dataBar>
      <extLst>
        <ext xmlns:x14="http://schemas.microsoft.com/office/spreadsheetml/2009/9/main" uri="{B025F937-C7B1-47D3-B67F-A62EFF666E3E}">
          <x14:id>{07E4411F-9ED9-4183-9102-0FF33BAD2781}</x14:id>
        </ext>
      </extLst>
    </cfRule>
  </conditionalFormatting>
  <conditionalFormatting sqref="BL150">
    <cfRule type="iconSet" priority="1025">
      <iconSet iconSet="3Arrows">
        <cfvo type="percent" val="0"/>
        <cfvo type="num" val="0.7"/>
        <cfvo type="num" val="1"/>
      </iconSet>
    </cfRule>
    <cfRule type="dataBar" priority="1026">
      <dataBar>
        <cfvo type="num" val="0"/>
        <cfvo type="num" val="1"/>
        <color theme="4" tint="0.79998168889431442"/>
      </dataBar>
      <extLst>
        <ext xmlns:x14="http://schemas.microsoft.com/office/spreadsheetml/2009/9/main" uri="{B025F937-C7B1-47D3-B67F-A62EFF666E3E}">
          <x14:id>{3AEB7FFE-E4AF-4E5C-856A-FA9AE18B4F4B}</x14:id>
        </ext>
      </extLst>
    </cfRule>
  </conditionalFormatting>
  <conditionalFormatting sqref="BL152">
    <cfRule type="iconSet" priority="990">
      <iconSet iconSet="3Arrows">
        <cfvo type="percent" val="0"/>
        <cfvo type="num" val="0.7"/>
        <cfvo type="num" val="1"/>
      </iconSet>
    </cfRule>
    <cfRule type="dataBar" priority="991">
      <dataBar>
        <cfvo type="num" val="0"/>
        <cfvo type="num" val="1"/>
        <color theme="4" tint="0.79998168889431442"/>
      </dataBar>
      <extLst>
        <ext xmlns:x14="http://schemas.microsoft.com/office/spreadsheetml/2009/9/main" uri="{B025F937-C7B1-47D3-B67F-A62EFF666E3E}">
          <x14:id>{03CA89E8-EACB-4828-A50E-9D68A2347A23}</x14:id>
        </ext>
      </extLst>
    </cfRule>
  </conditionalFormatting>
  <conditionalFormatting sqref="BL154">
    <cfRule type="iconSet" priority="916">
      <iconSet iconSet="3Arrows">
        <cfvo type="percent" val="0"/>
        <cfvo type="num" val="0.7"/>
        <cfvo type="num" val="1"/>
      </iconSet>
    </cfRule>
    <cfRule type="dataBar" priority="917">
      <dataBar>
        <cfvo type="num" val="0"/>
        <cfvo type="num" val="1"/>
        <color theme="4" tint="0.79998168889431442"/>
      </dataBar>
      <extLst>
        <ext xmlns:x14="http://schemas.microsoft.com/office/spreadsheetml/2009/9/main" uri="{B025F937-C7B1-47D3-B67F-A62EFF666E3E}">
          <x14:id>{4E63579D-9B08-49E2-BD15-5DF56B37A12B}</x14:id>
        </ext>
      </extLst>
    </cfRule>
  </conditionalFormatting>
  <conditionalFormatting sqref="BL156">
    <cfRule type="iconSet" priority="1200">
      <iconSet iconSet="3Arrows">
        <cfvo type="percent" val="0"/>
        <cfvo type="num" val="0.7"/>
        <cfvo type="num" val="1"/>
      </iconSet>
    </cfRule>
    <cfRule type="dataBar" priority="1201">
      <dataBar>
        <cfvo type="num" val="0"/>
        <cfvo type="num" val="1"/>
        <color theme="4" tint="0.79998168889431442"/>
      </dataBar>
      <extLst>
        <ext xmlns:x14="http://schemas.microsoft.com/office/spreadsheetml/2009/9/main" uri="{B025F937-C7B1-47D3-B67F-A62EFF666E3E}">
          <x14:id>{83AE56DB-D166-40CD-A22B-67E49A03DD31}</x14:id>
        </ext>
      </extLst>
    </cfRule>
  </conditionalFormatting>
  <conditionalFormatting sqref="BL158">
    <cfRule type="iconSet" priority="1021">
      <iconSet iconSet="3Arrows">
        <cfvo type="percent" val="0"/>
        <cfvo type="num" val="0.7"/>
        <cfvo type="num" val="1"/>
      </iconSet>
    </cfRule>
    <cfRule type="dataBar" priority="1022">
      <dataBar>
        <cfvo type="num" val="0"/>
        <cfvo type="num" val="1"/>
        <color theme="4" tint="0.79998168889431442"/>
      </dataBar>
      <extLst>
        <ext xmlns:x14="http://schemas.microsoft.com/office/spreadsheetml/2009/9/main" uri="{B025F937-C7B1-47D3-B67F-A62EFF666E3E}">
          <x14:id>{59380D25-D52C-4B39-B801-7FFF555B8CA6}</x14:id>
        </ext>
      </extLst>
    </cfRule>
  </conditionalFormatting>
  <conditionalFormatting sqref="BL160">
    <cfRule type="iconSet" priority="1023">
      <iconSet iconSet="3Arrows">
        <cfvo type="percent" val="0"/>
        <cfvo type="num" val="0.7"/>
        <cfvo type="num" val="1"/>
      </iconSet>
    </cfRule>
    <cfRule type="dataBar" priority="1024">
      <dataBar>
        <cfvo type="num" val="0"/>
        <cfvo type="num" val="1"/>
        <color theme="4" tint="0.79998168889431442"/>
      </dataBar>
      <extLst>
        <ext xmlns:x14="http://schemas.microsoft.com/office/spreadsheetml/2009/9/main" uri="{B025F937-C7B1-47D3-B67F-A62EFF666E3E}">
          <x14:id>{0910F35B-D550-407E-AB64-19D7EFF6E62F}</x14:id>
        </ext>
      </extLst>
    </cfRule>
  </conditionalFormatting>
  <conditionalFormatting sqref="BL162">
    <cfRule type="iconSet" priority="985">
      <iconSet iconSet="3Arrows">
        <cfvo type="percent" val="0"/>
        <cfvo type="num" val="0.7"/>
        <cfvo type="num" val="1"/>
      </iconSet>
    </cfRule>
    <cfRule type="dataBar" priority="986">
      <dataBar>
        <cfvo type="num" val="0"/>
        <cfvo type="num" val="1"/>
        <color theme="4" tint="0.79998168889431442"/>
      </dataBar>
      <extLst>
        <ext xmlns:x14="http://schemas.microsoft.com/office/spreadsheetml/2009/9/main" uri="{B025F937-C7B1-47D3-B67F-A62EFF666E3E}">
          <x14:id>{BF346901-B05C-4DF4-951C-2731382D5DB4}</x14:id>
        </ext>
      </extLst>
    </cfRule>
  </conditionalFormatting>
  <conditionalFormatting sqref="BL164">
    <cfRule type="iconSet" priority="748">
      <iconSet iconSet="3Arrows">
        <cfvo type="percent" val="0"/>
        <cfvo type="num" val="0.7"/>
        <cfvo type="num" val="1"/>
      </iconSet>
    </cfRule>
    <cfRule type="dataBar" priority="749">
      <dataBar>
        <cfvo type="num" val="0"/>
        <cfvo type="num" val="1"/>
        <color theme="4" tint="0.79998168889431442"/>
      </dataBar>
      <extLst>
        <ext xmlns:x14="http://schemas.microsoft.com/office/spreadsheetml/2009/9/main" uri="{B025F937-C7B1-47D3-B67F-A62EFF666E3E}">
          <x14:id>{155B276E-CC9A-4F50-868E-3B1147173952}</x14:id>
        </ext>
      </extLst>
    </cfRule>
  </conditionalFormatting>
  <conditionalFormatting sqref="BL166">
    <cfRule type="iconSet" priority="1003">
      <iconSet iconSet="3Arrows">
        <cfvo type="percent" val="0"/>
        <cfvo type="num" val="0.7"/>
        <cfvo type="num" val="1"/>
      </iconSet>
    </cfRule>
    <cfRule type="dataBar" priority="1004">
      <dataBar>
        <cfvo type="num" val="0"/>
        <cfvo type="num" val="1"/>
        <color theme="4" tint="0.79998168889431442"/>
      </dataBar>
      <extLst>
        <ext xmlns:x14="http://schemas.microsoft.com/office/spreadsheetml/2009/9/main" uri="{B025F937-C7B1-47D3-B67F-A62EFF666E3E}">
          <x14:id>{40D343C9-D57E-43E4-8428-33A23C4A9EFB}</x14:id>
        </ext>
      </extLst>
    </cfRule>
  </conditionalFormatting>
  <conditionalFormatting sqref="BL168">
    <cfRule type="iconSet" priority="1019">
      <iconSet iconSet="3Arrows">
        <cfvo type="percent" val="0"/>
        <cfvo type="num" val="0.7"/>
        <cfvo type="num" val="1"/>
      </iconSet>
    </cfRule>
    <cfRule type="dataBar" priority="1020">
      <dataBar>
        <cfvo type="num" val="0"/>
        <cfvo type="num" val="1"/>
        <color theme="4" tint="0.79998168889431442"/>
      </dataBar>
      <extLst>
        <ext xmlns:x14="http://schemas.microsoft.com/office/spreadsheetml/2009/9/main" uri="{B025F937-C7B1-47D3-B67F-A62EFF666E3E}">
          <x14:id>{BB743B7F-0BB6-4C0B-81C3-3440CC978B6A}</x14:id>
        </ext>
      </extLst>
    </cfRule>
  </conditionalFormatting>
  <conditionalFormatting sqref="BL170">
    <cfRule type="iconSet" priority="1056">
      <iconSet iconSet="3Arrows">
        <cfvo type="percent" val="0"/>
        <cfvo type="num" val="0.7"/>
        <cfvo type="num" val="1"/>
      </iconSet>
    </cfRule>
    <cfRule type="dataBar" priority="1057">
      <dataBar>
        <cfvo type="num" val="0"/>
        <cfvo type="num" val="1"/>
        <color theme="4" tint="0.79998168889431442"/>
      </dataBar>
      <extLst>
        <ext xmlns:x14="http://schemas.microsoft.com/office/spreadsheetml/2009/9/main" uri="{B025F937-C7B1-47D3-B67F-A62EFF666E3E}">
          <x14:id>{E264B6CC-A6D3-43FA-AE9F-B43D768CE037}</x14:id>
        </ext>
      </extLst>
    </cfRule>
  </conditionalFormatting>
  <conditionalFormatting sqref="BL172">
    <cfRule type="iconSet" priority="1001">
      <iconSet iconSet="3Arrows">
        <cfvo type="percent" val="0"/>
        <cfvo type="num" val="0.7"/>
        <cfvo type="num" val="1"/>
      </iconSet>
    </cfRule>
    <cfRule type="dataBar" priority="1002">
      <dataBar>
        <cfvo type="num" val="0"/>
        <cfvo type="num" val="1"/>
        <color theme="4" tint="0.79998168889431442"/>
      </dataBar>
      <extLst>
        <ext xmlns:x14="http://schemas.microsoft.com/office/spreadsheetml/2009/9/main" uri="{B025F937-C7B1-47D3-B67F-A62EFF666E3E}">
          <x14:id>{C0FEA638-316B-4DEE-8051-41AC22097C3D}</x14:id>
        </ext>
      </extLst>
    </cfRule>
  </conditionalFormatting>
  <conditionalFormatting sqref="BL174">
    <cfRule type="iconSet" priority="1058">
      <iconSet iconSet="3Arrows">
        <cfvo type="percent" val="0"/>
        <cfvo type="num" val="0.7"/>
        <cfvo type="num" val="1"/>
      </iconSet>
    </cfRule>
    <cfRule type="dataBar" priority="1059">
      <dataBar>
        <cfvo type="num" val="0"/>
        <cfvo type="num" val="1"/>
        <color theme="4" tint="0.79998168889431442"/>
      </dataBar>
      <extLst>
        <ext xmlns:x14="http://schemas.microsoft.com/office/spreadsheetml/2009/9/main" uri="{B025F937-C7B1-47D3-B67F-A62EFF666E3E}">
          <x14:id>{739BCC22-498C-42B6-A84E-07375DAE1DFF}</x14:id>
        </ext>
      </extLst>
    </cfRule>
  </conditionalFormatting>
  <conditionalFormatting sqref="BL176">
    <cfRule type="iconSet" priority="894">
      <iconSet iconSet="3Arrows">
        <cfvo type="percent" val="0"/>
        <cfvo type="num" val="0.7"/>
        <cfvo type="num" val="1"/>
      </iconSet>
    </cfRule>
    <cfRule type="dataBar" priority="895">
      <dataBar>
        <cfvo type="num" val="0"/>
        <cfvo type="num" val="1"/>
        <color theme="4" tint="0.79998168889431442"/>
      </dataBar>
      <extLst>
        <ext xmlns:x14="http://schemas.microsoft.com/office/spreadsheetml/2009/9/main" uri="{B025F937-C7B1-47D3-B67F-A62EFF666E3E}">
          <x14:id>{C4E71017-FE30-4C98-982D-0E52E14EC33D}</x14:id>
        </ext>
      </extLst>
    </cfRule>
  </conditionalFormatting>
  <conditionalFormatting sqref="BL180">
    <cfRule type="iconSet" priority="1156">
      <iconSet iconSet="3Arrows">
        <cfvo type="percent" val="0"/>
        <cfvo type="num" val="0.7"/>
        <cfvo type="num" val="1"/>
      </iconSet>
    </cfRule>
    <cfRule type="dataBar" priority="1157">
      <dataBar>
        <cfvo type="num" val="0"/>
        <cfvo type="num" val="1"/>
        <color theme="4" tint="0.79998168889431442"/>
      </dataBar>
      <extLst>
        <ext xmlns:x14="http://schemas.microsoft.com/office/spreadsheetml/2009/9/main" uri="{B025F937-C7B1-47D3-B67F-A62EFF666E3E}">
          <x14:id>{973DB380-35F8-4A9A-BA43-70F5FE8336D1}</x14:id>
        </ext>
      </extLst>
    </cfRule>
  </conditionalFormatting>
  <conditionalFormatting sqref="BL182">
    <cfRule type="iconSet" priority="1015">
      <iconSet iconSet="3Arrows">
        <cfvo type="percent" val="0"/>
        <cfvo type="num" val="0.7"/>
        <cfvo type="num" val="1"/>
      </iconSet>
    </cfRule>
    <cfRule type="dataBar" priority="1016">
      <dataBar>
        <cfvo type="num" val="0"/>
        <cfvo type="num" val="1"/>
        <color theme="4" tint="0.79998168889431442"/>
      </dataBar>
      <extLst>
        <ext xmlns:x14="http://schemas.microsoft.com/office/spreadsheetml/2009/9/main" uri="{B025F937-C7B1-47D3-B67F-A62EFF666E3E}">
          <x14:id>{52F4883C-CBF5-484E-A4CA-B882918D100C}</x14:id>
        </ext>
      </extLst>
    </cfRule>
  </conditionalFormatting>
  <conditionalFormatting sqref="BL184">
    <cfRule type="iconSet" priority="1017">
      <iconSet iconSet="3Arrows">
        <cfvo type="percent" val="0"/>
        <cfvo type="num" val="0.7"/>
        <cfvo type="num" val="1"/>
      </iconSet>
    </cfRule>
    <cfRule type="dataBar" priority="1018">
      <dataBar>
        <cfvo type="num" val="0"/>
        <cfvo type="num" val="1"/>
        <color theme="4" tint="0.79998168889431442"/>
      </dataBar>
      <extLst>
        <ext xmlns:x14="http://schemas.microsoft.com/office/spreadsheetml/2009/9/main" uri="{B025F937-C7B1-47D3-B67F-A62EFF666E3E}">
          <x14:id>{5ADF05D5-59BE-4D36-9FEF-C540B72CA59B}</x14:id>
        </ext>
      </extLst>
    </cfRule>
  </conditionalFormatting>
  <conditionalFormatting sqref="BL186">
    <cfRule type="iconSet" priority="898">
      <iconSet iconSet="3Arrows">
        <cfvo type="percent" val="0"/>
        <cfvo type="num" val="0.7"/>
        <cfvo type="num" val="1"/>
      </iconSet>
    </cfRule>
    <cfRule type="dataBar" priority="899">
      <dataBar>
        <cfvo type="num" val="0"/>
        <cfvo type="num" val="1"/>
        <color theme="4" tint="0.79998168889431442"/>
      </dataBar>
      <extLst>
        <ext xmlns:x14="http://schemas.microsoft.com/office/spreadsheetml/2009/9/main" uri="{B025F937-C7B1-47D3-B67F-A62EFF666E3E}">
          <x14:id>{7E67149B-904E-4865-8C1A-E5048B217FFC}</x14:id>
        </ext>
      </extLst>
    </cfRule>
  </conditionalFormatting>
  <conditionalFormatting sqref="BL188">
    <cfRule type="iconSet" priority="866">
      <iconSet iconSet="3Arrows">
        <cfvo type="percent" val="0"/>
        <cfvo type="num" val="0.7"/>
        <cfvo type="num" val="1"/>
      </iconSet>
    </cfRule>
    <cfRule type="dataBar" priority="867">
      <dataBar>
        <cfvo type="num" val="0"/>
        <cfvo type="num" val="1"/>
        <color theme="4" tint="0.79998168889431442"/>
      </dataBar>
      <extLst>
        <ext xmlns:x14="http://schemas.microsoft.com/office/spreadsheetml/2009/9/main" uri="{B025F937-C7B1-47D3-B67F-A62EFF666E3E}">
          <x14:id>{0BD7B763-B46E-45FF-AC75-74F4C0B40D67}</x14:id>
        </ext>
      </extLst>
    </cfRule>
  </conditionalFormatting>
  <conditionalFormatting sqref="BL190">
    <cfRule type="iconSet" priority="896">
      <iconSet iconSet="3Arrows">
        <cfvo type="percent" val="0"/>
        <cfvo type="num" val="0.7"/>
        <cfvo type="num" val="1"/>
      </iconSet>
    </cfRule>
    <cfRule type="dataBar" priority="897">
      <dataBar>
        <cfvo type="num" val="0"/>
        <cfvo type="num" val="1"/>
        <color theme="4" tint="0.79998168889431442"/>
      </dataBar>
      <extLst>
        <ext xmlns:x14="http://schemas.microsoft.com/office/spreadsheetml/2009/9/main" uri="{B025F937-C7B1-47D3-B67F-A62EFF666E3E}">
          <x14:id>{735501BD-6B4C-473D-9D8E-90EAEC4D71C6}</x14:id>
        </ext>
      </extLst>
    </cfRule>
  </conditionalFormatting>
  <conditionalFormatting sqref="BL192">
    <cfRule type="iconSet" priority="995">
      <iconSet iconSet="3Arrows">
        <cfvo type="percent" val="0"/>
        <cfvo type="num" val="0.7"/>
        <cfvo type="num" val="1"/>
      </iconSet>
    </cfRule>
    <cfRule type="dataBar" priority="996">
      <dataBar>
        <cfvo type="num" val="0"/>
        <cfvo type="num" val="1"/>
        <color theme="4" tint="0.79998168889431442"/>
      </dataBar>
      <extLst>
        <ext xmlns:x14="http://schemas.microsoft.com/office/spreadsheetml/2009/9/main" uri="{B025F937-C7B1-47D3-B67F-A62EFF666E3E}">
          <x14:id>{6DA40A0F-AE4B-4A96-97B0-7EB14EB7C0BC}</x14:id>
        </ext>
      </extLst>
    </cfRule>
  </conditionalFormatting>
  <conditionalFormatting sqref="BL194">
    <cfRule type="iconSet" priority="999">
      <iconSet iconSet="3Arrows">
        <cfvo type="percent" val="0"/>
        <cfvo type="num" val="0.7"/>
        <cfvo type="num" val="1"/>
      </iconSet>
    </cfRule>
    <cfRule type="dataBar" priority="1000">
      <dataBar>
        <cfvo type="num" val="0"/>
        <cfvo type="num" val="1"/>
        <color theme="4" tint="0.79998168889431442"/>
      </dataBar>
      <extLst>
        <ext xmlns:x14="http://schemas.microsoft.com/office/spreadsheetml/2009/9/main" uri="{B025F937-C7B1-47D3-B67F-A62EFF666E3E}">
          <x14:id>{86257CED-033F-4F3A-8B4A-6268A4A7FF7A}</x14:id>
        </ext>
      </extLst>
    </cfRule>
  </conditionalFormatting>
  <conditionalFormatting sqref="BL196">
    <cfRule type="iconSet" priority="793">
      <iconSet iconSet="3Arrows">
        <cfvo type="percent" val="0"/>
        <cfvo type="num" val="0.7"/>
        <cfvo type="num" val="1"/>
      </iconSet>
    </cfRule>
    <cfRule type="dataBar" priority="794">
      <dataBar>
        <cfvo type="num" val="0"/>
        <cfvo type="num" val="1"/>
        <color theme="4" tint="0.79998168889431442"/>
      </dataBar>
      <extLst>
        <ext xmlns:x14="http://schemas.microsoft.com/office/spreadsheetml/2009/9/main" uri="{B025F937-C7B1-47D3-B67F-A62EFF666E3E}">
          <x14:id>{1688EC03-66FF-4574-9AB6-6A38F09B4F55}</x14:id>
        </ext>
      </extLst>
    </cfRule>
  </conditionalFormatting>
  <conditionalFormatting sqref="BL198">
    <cfRule type="iconSet" priority="892">
      <iconSet iconSet="3Arrows">
        <cfvo type="percent" val="0"/>
        <cfvo type="num" val="0.7"/>
        <cfvo type="num" val="1"/>
      </iconSet>
    </cfRule>
    <cfRule type="dataBar" priority="893">
      <dataBar>
        <cfvo type="num" val="0"/>
        <cfvo type="num" val="1"/>
        <color theme="4" tint="0.79998168889431442"/>
      </dataBar>
      <extLst>
        <ext xmlns:x14="http://schemas.microsoft.com/office/spreadsheetml/2009/9/main" uri="{B025F937-C7B1-47D3-B67F-A62EFF666E3E}">
          <x14:id>{19481B16-046E-47E9-A413-7AADDED583EC}</x14:id>
        </ext>
      </extLst>
    </cfRule>
  </conditionalFormatting>
  <conditionalFormatting sqref="BL200">
    <cfRule type="iconSet" priority="992">
      <iconSet iconSet="3Arrows">
        <cfvo type="percent" val="0"/>
        <cfvo type="num" val="0.7"/>
        <cfvo type="num" val="1"/>
      </iconSet>
    </cfRule>
    <cfRule type="dataBar" priority="993">
      <dataBar>
        <cfvo type="num" val="0"/>
        <cfvo type="num" val="1"/>
        <color theme="4" tint="0.79998168889431442"/>
      </dataBar>
      <extLst>
        <ext xmlns:x14="http://schemas.microsoft.com/office/spreadsheetml/2009/9/main" uri="{B025F937-C7B1-47D3-B67F-A62EFF666E3E}">
          <x14:id>{ED267BC0-588C-4C43-9DED-75F7DF5EE8AE}</x14:id>
        </ext>
      </extLst>
    </cfRule>
  </conditionalFormatting>
  <conditionalFormatting sqref="BL202">
    <cfRule type="iconSet" priority="997">
      <iconSet iconSet="3Arrows">
        <cfvo type="percent" val="0"/>
        <cfvo type="num" val="0.7"/>
        <cfvo type="num" val="1"/>
      </iconSet>
    </cfRule>
    <cfRule type="dataBar" priority="998">
      <dataBar>
        <cfvo type="num" val="0"/>
        <cfvo type="num" val="1"/>
        <color theme="4" tint="0.79998168889431442"/>
      </dataBar>
      <extLst>
        <ext xmlns:x14="http://schemas.microsoft.com/office/spreadsheetml/2009/9/main" uri="{B025F937-C7B1-47D3-B67F-A62EFF666E3E}">
          <x14:id>{0B6490D0-3F8F-4616-8093-40770133483B}</x14:id>
        </ext>
      </extLst>
    </cfRule>
  </conditionalFormatting>
  <conditionalFormatting sqref="BL204">
    <cfRule type="iconSet" priority="890">
      <iconSet iconSet="3Arrows">
        <cfvo type="percent" val="0"/>
        <cfvo type="num" val="0.7"/>
        <cfvo type="num" val="1"/>
      </iconSet>
    </cfRule>
    <cfRule type="dataBar" priority="891">
      <dataBar>
        <cfvo type="num" val="0"/>
        <cfvo type="num" val="1"/>
        <color theme="4" tint="0.79998168889431442"/>
      </dataBar>
      <extLst>
        <ext xmlns:x14="http://schemas.microsoft.com/office/spreadsheetml/2009/9/main" uri="{B025F937-C7B1-47D3-B67F-A62EFF666E3E}">
          <x14:id>{DF01C9A0-7599-430F-B6B5-B2C01A3887EF}</x14:id>
        </ext>
      </extLst>
    </cfRule>
  </conditionalFormatting>
  <conditionalFormatting sqref="BL206">
    <cfRule type="iconSet" priority="751">
      <iconSet iconSet="3Arrows">
        <cfvo type="percent" val="0"/>
        <cfvo type="num" val="0.7"/>
        <cfvo type="num" val="1"/>
      </iconSet>
    </cfRule>
    <cfRule type="dataBar" priority="752">
      <dataBar>
        <cfvo type="num" val="0"/>
        <cfvo type="num" val="1"/>
        <color theme="4" tint="0.79998168889431442"/>
      </dataBar>
      <extLst>
        <ext xmlns:x14="http://schemas.microsoft.com/office/spreadsheetml/2009/9/main" uri="{B025F937-C7B1-47D3-B67F-A62EFF666E3E}">
          <x14:id>{50D53B3F-C4B3-448F-A3E6-E99ADBEF55B5}</x14:id>
        </ext>
      </extLst>
    </cfRule>
  </conditionalFormatting>
  <conditionalFormatting sqref="BL208">
    <cfRule type="iconSet" priority="791">
      <iconSet iconSet="3Arrows">
        <cfvo type="percent" val="0"/>
        <cfvo type="num" val="0.7"/>
        <cfvo type="num" val="1"/>
      </iconSet>
    </cfRule>
    <cfRule type="dataBar" priority="792">
      <dataBar>
        <cfvo type="num" val="0"/>
        <cfvo type="num" val="1"/>
        <color theme="4" tint="0.79998168889431442"/>
      </dataBar>
      <extLst>
        <ext xmlns:x14="http://schemas.microsoft.com/office/spreadsheetml/2009/9/main" uri="{B025F937-C7B1-47D3-B67F-A62EFF666E3E}">
          <x14:id>{98E84E5B-B2ED-4C0B-A0F9-6C6EBF1B2BA1}</x14:id>
        </ext>
      </extLst>
    </cfRule>
  </conditionalFormatting>
  <conditionalFormatting sqref="BL210">
    <cfRule type="iconSet" priority="1012">
      <iconSet iconSet="3Arrows">
        <cfvo type="percent" val="0"/>
        <cfvo type="num" val="0.7"/>
        <cfvo type="num" val="1"/>
      </iconSet>
    </cfRule>
    <cfRule type="dataBar" priority="1013">
      <dataBar>
        <cfvo type="num" val="0"/>
        <cfvo type="num" val="1"/>
        <color theme="4" tint="0.79998168889431442"/>
      </dataBar>
      <extLst>
        <ext xmlns:x14="http://schemas.microsoft.com/office/spreadsheetml/2009/9/main" uri="{B025F937-C7B1-47D3-B67F-A62EFF666E3E}">
          <x14:id>{8A67B146-F10D-498F-9363-05AFFE320BD8}</x14:id>
        </ext>
      </extLst>
    </cfRule>
  </conditionalFormatting>
  <conditionalFormatting sqref="BL212">
    <cfRule type="iconSet" priority="1127">
      <iconSet iconSet="3Arrows">
        <cfvo type="percent" val="0"/>
        <cfvo type="num" val="0.7"/>
        <cfvo type="num" val="1"/>
      </iconSet>
    </cfRule>
    <cfRule type="dataBar" priority="1128">
      <dataBar>
        <cfvo type="num" val="0"/>
        <cfvo type="num" val="1"/>
        <color theme="4" tint="0.79998168889431442"/>
      </dataBar>
      <extLst>
        <ext xmlns:x14="http://schemas.microsoft.com/office/spreadsheetml/2009/9/main" uri="{B025F937-C7B1-47D3-B67F-A62EFF666E3E}">
          <x14:id>{D5D8B2F8-1DB4-432D-B38C-8C5A001BC476}</x14:id>
        </ext>
      </extLst>
    </cfRule>
  </conditionalFormatting>
  <conditionalFormatting sqref="BL214">
    <cfRule type="iconSet" priority="918">
      <iconSet iconSet="3Arrows">
        <cfvo type="percent" val="0"/>
        <cfvo type="num" val="0.7"/>
        <cfvo type="num" val="1"/>
      </iconSet>
    </cfRule>
    <cfRule type="dataBar" priority="919">
      <dataBar>
        <cfvo type="num" val="0"/>
        <cfvo type="num" val="1"/>
        <color theme="4" tint="0.79998168889431442"/>
      </dataBar>
      <extLst>
        <ext xmlns:x14="http://schemas.microsoft.com/office/spreadsheetml/2009/9/main" uri="{B025F937-C7B1-47D3-B67F-A62EFF666E3E}">
          <x14:id>{D19FB9A5-41FD-4CB4-9A86-801891AC1089}</x14:id>
        </ext>
      </extLst>
    </cfRule>
  </conditionalFormatting>
  <conditionalFormatting sqref="BL216">
    <cfRule type="iconSet" priority="902">
      <iconSet iconSet="3Arrows">
        <cfvo type="percent" val="0"/>
        <cfvo type="num" val="0.7"/>
        <cfvo type="num" val="1"/>
      </iconSet>
    </cfRule>
    <cfRule type="dataBar" priority="903">
      <dataBar>
        <cfvo type="num" val="0"/>
        <cfvo type="num" val="1"/>
        <color theme="4" tint="0.79998168889431442"/>
      </dataBar>
      <extLst>
        <ext xmlns:x14="http://schemas.microsoft.com/office/spreadsheetml/2009/9/main" uri="{B025F937-C7B1-47D3-B67F-A62EFF666E3E}">
          <x14:id>{C816002E-DD9E-4BCC-9F18-FAC2C985B5A9}</x14:id>
        </ext>
      </extLst>
    </cfRule>
  </conditionalFormatting>
  <conditionalFormatting sqref="BL218">
    <cfRule type="iconSet" priority="780">
      <iconSet iconSet="3Arrows">
        <cfvo type="percent" val="0"/>
        <cfvo type="num" val="0.7"/>
        <cfvo type="num" val="1"/>
      </iconSet>
    </cfRule>
    <cfRule type="dataBar" priority="781">
      <dataBar>
        <cfvo type="num" val="0"/>
        <cfvo type="num" val="1"/>
        <color theme="4" tint="0.79998168889431442"/>
      </dataBar>
      <extLst>
        <ext xmlns:x14="http://schemas.microsoft.com/office/spreadsheetml/2009/9/main" uri="{B025F937-C7B1-47D3-B67F-A62EFF666E3E}">
          <x14:id>{6EB1EA77-2B54-4A34-8C4C-75F002918749}</x14:id>
        </ext>
      </extLst>
    </cfRule>
  </conditionalFormatting>
  <conditionalFormatting sqref="BL220">
    <cfRule type="iconSet" priority="1144">
      <iconSet iconSet="3Arrows">
        <cfvo type="percent" val="0"/>
        <cfvo type="num" val="0.7"/>
        <cfvo type="num" val="1"/>
      </iconSet>
    </cfRule>
    <cfRule type="dataBar" priority="1145">
      <dataBar>
        <cfvo type="num" val="0"/>
        <cfvo type="num" val="1"/>
        <color theme="4" tint="0.79998168889431442"/>
      </dataBar>
      <extLst>
        <ext xmlns:x14="http://schemas.microsoft.com/office/spreadsheetml/2009/9/main" uri="{B025F937-C7B1-47D3-B67F-A62EFF666E3E}">
          <x14:id>{F00A4A4C-1462-4503-919E-83242910C7DF}</x14:id>
        </ext>
      </extLst>
    </cfRule>
  </conditionalFormatting>
  <conditionalFormatting sqref="BL222">
    <cfRule type="iconSet" priority="778">
      <iconSet iconSet="3Arrows">
        <cfvo type="percent" val="0"/>
        <cfvo type="num" val="0.7"/>
        <cfvo type="num" val="1"/>
      </iconSet>
    </cfRule>
    <cfRule type="dataBar" priority="779">
      <dataBar>
        <cfvo type="num" val="0"/>
        <cfvo type="num" val="1"/>
        <color theme="4" tint="0.79998168889431442"/>
      </dataBar>
      <extLst>
        <ext xmlns:x14="http://schemas.microsoft.com/office/spreadsheetml/2009/9/main" uri="{B025F937-C7B1-47D3-B67F-A62EFF666E3E}">
          <x14:id>{172A0C9C-0BB1-4A0C-969E-7872D97E8CF4}</x14:id>
        </ext>
      </extLst>
    </cfRule>
  </conditionalFormatting>
  <conditionalFormatting sqref="BL226">
    <cfRule type="iconSet" priority="728">
      <iconSet iconSet="3Arrows">
        <cfvo type="percent" val="0"/>
        <cfvo type="num" val="0.7"/>
        <cfvo type="num" val="1"/>
      </iconSet>
    </cfRule>
    <cfRule type="dataBar" priority="729">
      <dataBar>
        <cfvo type="num" val="0"/>
        <cfvo type="num" val="1"/>
        <color theme="4" tint="0.79998168889431442"/>
      </dataBar>
      <extLst>
        <ext xmlns:x14="http://schemas.microsoft.com/office/spreadsheetml/2009/9/main" uri="{B025F937-C7B1-47D3-B67F-A62EFF666E3E}">
          <x14:id>{FFC76008-803F-48AE-8DB4-912D0BA1A289}</x14:id>
        </ext>
      </extLst>
    </cfRule>
  </conditionalFormatting>
  <conditionalFormatting sqref="BL229">
    <cfRule type="iconSet" priority="1166">
      <iconSet iconSet="3Arrows">
        <cfvo type="percent" val="0"/>
        <cfvo type="num" val="0.7"/>
        <cfvo type="num" val="1"/>
      </iconSet>
    </cfRule>
    <cfRule type="dataBar" priority="1167">
      <dataBar>
        <cfvo type="num" val="0"/>
        <cfvo type="num" val="1"/>
        <color theme="4" tint="0.79998168889431442"/>
      </dataBar>
      <extLst>
        <ext xmlns:x14="http://schemas.microsoft.com/office/spreadsheetml/2009/9/main" uri="{B025F937-C7B1-47D3-B67F-A62EFF666E3E}">
          <x14:id>{E8075714-0FBA-4967-A802-988E2757A423}</x14:id>
        </ext>
      </extLst>
    </cfRule>
  </conditionalFormatting>
  <conditionalFormatting sqref="BL233">
    <cfRule type="iconSet" priority="1172">
      <iconSet iconSet="3Arrows">
        <cfvo type="percent" val="0"/>
        <cfvo type="num" val="0.7"/>
        <cfvo type="num" val="1"/>
      </iconSet>
    </cfRule>
    <cfRule type="dataBar" priority="1173">
      <dataBar>
        <cfvo type="num" val="0"/>
        <cfvo type="num" val="1"/>
        <color theme="4" tint="0.79998168889431442"/>
      </dataBar>
      <extLst>
        <ext xmlns:x14="http://schemas.microsoft.com/office/spreadsheetml/2009/9/main" uri="{B025F937-C7B1-47D3-B67F-A62EFF666E3E}">
          <x14:id>{6C7E992A-61A3-4F74-A459-401B9254D290}</x14:id>
        </ext>
      </extLst>
    </cfRule>
  </conditionalFormatting>
  <conditionalFormatting sqref="BL235">
    <cfRule type="iconSet" priority="1170">
      <iconSet iconSet="3Arrows">
        <cfvo type="percent" val="0"/>
        <cfvo type="num" val="0.7"/>
        <cfvo type="num" val="1"/>
      </iconSet>
    </cfRule>
    <cfRule type="dataBar" priority="1171">
      <dataBar>
        <cfvo type="num" val="0"/>
        <cfvo type="num" val="1"/>
        <color theme="4" tint="0.79998168889431442"/>
      </dataBar>
      <extLst>
        <ext xmlns:x14="http://schemas.microsoft.com/office/spreadsheetml/2009/9/main" uri="{B025F937-C7B1-47D3-B67F-A62EFF666E3E}">
          <x14:id>{AC4D1518-CA66-44AF-AA3C-05350EC929B6}</x14:id>
        </ext>
      </extLst>
    </cfRule>
  </conditionalFormatting>
  <conditionalFormatting sqref="BL237">
    <cfRule type="iconSet" priority="1007">
      <iconSet iconSet="3Arrows">
        <cfvo type="percent" val="0"/>
        <cfvo type="num" val="0.7"/>
        <cfvo type="num" val="1"/>
      </iconSet>
    </cfRule>
    <cfRule type="dataBar" priority="1008">
      <dataBar>
        <cfvo type="num" val="0"/>
        <cfvo type="num" val="1"/>
        <color theme="4" tint="0.79998168889431442"/>
      </dataBar>
      <extLst>
        <ext xmlns:x14="http://schemas.microsoft.com/office/spreadsheetml/2009/9/main" uri="{B025F937-C7B1-47D3-B67F-A62EFF666E3E}">
          <x14:id>{1D5D75EB-2C21-4A84-B502-C85AD2462B0D}</x14:id>
        </ext>
      </extLst>
    </cfRule>
  </conditionalFormatting>
  <conditionalFormatting sqref="BL239">
    <cfRule type="iconSet" priority="978">
      <iconSet iconSet="3Arrows">
        <cfvo type="percent" val="0"/>
        <cfvo type="num" val="0.7"/>
        <cfvo type="num" val="1"/>
      </iconSet>
    </cfRule>
    <cfRule type="dataBar" priority="979">
      <dataBar>
        <cfvo type="num" val="0"/>
        <cfvo type="num" val="1"/>
        <color theme="4" tint="0.79998168889431442"/>
      </dataBar>
      <extLst>
        <ext xmlns:x14="http://schemas.microsoft.com/office/spreadsheetml/2009/9/main" uri="{B025F937-C7B1-47D3-B67F-A62EFF666E3E}">
          <x14:id>{AF0F7097-EC08-472E-9931-BEDCA3AF7BCF}</x14:id>
        </ext>
      </extLst>
    </cfRule>
  </conditionalFormatting>
  <conditionalFormatting sqref="BL241">
    <cfRule type="iconSet" priority="976">
      <iconSet iconSet="3Arrows">
        <cfvo type="percent" val="0"/>
        <cfvo type="num" val="0.7"/>
        <cfvo type="num" val="1"/>
      </iconSet>
    </cfRule>
    <cfRule type="dataBar" priority="977">
      <dataBar>
        <cfvo type="num" val="0"/>
        <cfvo type="num" val="1"/>
        <color theme="4" tint="0.79998168889431442"/>
      </dataBar>
      <extLst>
        <ext xmlns:x14="http://schemas.microsoft.com/office/spreadsheetml/2009/9/main" uri="{B025F937-C7B1-47D3-B67F-A62EFF666E3E}">
          <x14:id>{6E092C3E-786E-427A-975E-5ABA57C3969F}</x14:id>
        </ext>
      </extLst>
    </cfRule>
  </conditionalFormatting>
  <conditionalFormatting sqref="BL243">
    <cfRule type="iconSet" priority="974">
      <iconSet iconSet="3Arrows">
        <cfvo type="percent" val="0"/>
        <cfvo type="num" val="0.7"/>
        <cfvo type="num" val="1"/>
      </iconSet>
    </cfRule>
    <cfRule type="dataBar" priority="975">
      <dataBar>
        <cfvo type="num" val="0"/>
        <cfvo type="num" val="1"/>
        <color theme="4" tint="0.79998168889431442"/>
      </dataBar>
      <extLst>
        <ext xmlns:x14="http://schemas.microsoft.com/office/spreadsheetml/2009/9/main" uri="{B025F937-C7B1-47D3-B67F-A62EFF666E3E}">
          <x14:id>{B35700BB-1FBE-4618-B7CF-E91BD58470C4}</x14:id>
        </ext>
      </extLst>
    </cfRule>
  </conditionalFormatting>
  <conditionalFormatting sqref="BL245">
    <cfRule type="iconSet" priority="934">
      <iconSet iconSet="3Arrows">
        <cfvo type="percent" val="0"/>
        <cfvo type="num" val="0.7"/>
        <cfvo type="num" val="1"/>
      </iconSet>
    </cfRule>
    <cfRule type="dataBar" priority="935">
      <dataBar>
        <cfvo type="num" val="0"/>
        <cfvo type="num" val="1"/>
        <color theme="4" tint="0.79998168889431442"/>
      </dataBar>
      <extLst>
        <ext xmlns:x14="http://schemas.microsoft.com/office/spreadsheetml/2009/9/main" uri="{B025F937-C7B1-47D3-B67F-A62EFF666E3E}">
          <x14:id>{11F34E33-743B-4E94-9335-C728B6C36675}</x14:id>
        </ext>
      </extLst>
    </cfRule>
  </conditionalFormatting>
  <conditionalFormatting sqref="BL247">
    <cfRule type="iconSet" priority="726">
      <iconSet iconSet="3Arrows">
        <cfvo type="percent" val="0"/>
        <cfvo type="num" val="0.7"/>
        <cfvo type="num" val="1"/>
      </iconSet>
    </cfRule>
    <cfRule type="dataBar" priority="727">
      <dataBar>
        <cfvo type="num" val="0"/>
        <cfvo type="num" val="1"/>
        <color theme="4" tint="0.79998168889431442"/>
      </dataBar>
      <extLst>
        <ext xmlns:x14="http://schemas.microsoft.com/office/spreadsheetml/2009/9/main" uri="{B025F937-C7B1-47D3-B67F-A62EFF666E3E}">
          <x14:id>{A7FB3818-C9B5-4B90-A854-EC09CF600D59}</x14:id>
        </ext>
      </extLst>
    </cfRule>
  </conditionalFormatting>
  <conditionalFormatting sqref="BL249">
    <cfRule type="iconSet" priority="930">
      <iconSet iconSet="3Arrows">
        <cfvo type="percent" val="0"/>
        <cfvo type="num" val="0.7"/>
        <cfvo type="num" val="1"/>
      </iconSet>
    </cfRule>
    <cfRule type="dataBar" priority="931">
      <dataBar>
        <cfvo type="num" val="0"/>
        <cfvo type="num" val="1"/>
        <color theme="4" tint="0.79998168889431442"/>
      </dataBar>
      <extLst>
        <ext xmlns:x14="http://schemas.microsoft.com/office/spreadsheetml/2009/9/main" uri="{B025F937-C7B1-47D3-B67F-A62EFF666E3E}">
          <x14:id>{EE772BEA-379C-4759-BBA1-5C8EADCAFDF3}</x14:id>
        </ext>
      </extLst>
    </cfRule>
  </conditionalFormatting>
  <conditionalFormatting sqref="BL251">
    <cfRule type="iconSet" priority="783">
      <iconSet iconSet="3Arrows">
        <cfvo type="percent" val="0"/>
        <cfvo type="num" val="0.7"/>
        <cfvo type="num" val="1"/>
      </iconSet>
    </cfRule>
    <cfRule type="dataBar" priority="784">
      <dataBar>
        <cfvo type="num" val="0"/>
        <cfvo type="num" val="1"/>
        <color theme="4" tint="0.79998168889431442"/>
      </dataBar>
      <extLst>
        <ext xmlns:x14="http://schemas.microsoft.com/office/spreadsheetml/2009/9/main" uri="{B025F937-C7B1-47D3-B67F-A62EFF666E3E}">
          <x14:id>{7E1C8171-1BC0-4467-9171-7061A6C26BFE}</x14:id>
        </ext>
      </extLst>
    </cfRule>
  </conditionalFormatting>
  <conditionalFormatting sqref="BL253">
    <cfRule type="iconSet" priority="719">
      <iconSet iconSet="3Arrows">
        <cfvo type="percent" val="0"/>
        <cfvo type="num" val="0.7"/>
        <cfvo type="num" val="1"/>
      </iconSet>
    </cfRule>
    <cfRule type="dataBar" priority="720">
      <dataBar>
        <cfvo type="num" val="0"/>
        <cfvo type="num" val="1"/>
        <color theme="4" tint="0.79998168889431442"/>
      </dataBar>
      <extLst>
        <ext xmlns:x14="http://schemas.microsoft.com/office/spreadsheetml/2009/9/main" uri="{B025F937-C7B1-47D3-B67F-A62EFF666E3E}">
          <x14:id>{5ECD37A0-B79C-41BA-BECE-3F74E2D063C9}</x14:id>
        </ext>
      </extLst>
    </cfRule>
  </conditionalFormatting>
  <conditionalFormatting sqref="BL255">
    <cfRule type="iconSet" priority="1140">
      <iconSet iconSet="3Arrows">
        <cfvo type="percent" val="0"/>
        <cfvo type="num" val="0.7"/>
        <cfvo type="num" val="1"/>
      </iconSet>
    </cfRule>
    <cfRule type="dataBar" priority="1141">
      <dataBar>
        <cfvo type="num" val="0"/>
        <cfvo type="num" val="1"/>
        <color theme="4" tint="0.79998168889431442"/>
      </dataBar>
      <extLst>
        <ext xmlns:x14="http://schemas.microsoft.com/office/spreadsheetml/2009/9/main" uri="{B025F937-C7B1-47D3-B67F-A62EFF666E3E}">
          <x14:id>{045D769E-C60B-4083-9CD9-B4778AE69345}</x14:id>
        </ext>
      </extLst>
    </cfRule>
  </conditionalFormatting>
  <conditionalFormatting sqref="BL257">
    <cfRule type="iconSet" priority="703">
      <iconSet iconSet="3Arrows">
        <cfvo type="percent" val="0"/>
        <cfvo type="num" val="0.7"/>
        <cfvo type="num" val="1"/>
      </iconSet>
    </cfRule>
    <cfRule type="dataBar" priority="704">
      <dataBar>
        <cfvo type="num" val="0"/>
        <cfvo type="num" val="1"/>
        <color theme="4" tint="0.79998168889431442"/>
      </dataBar>
      <extLst>
        <ext xmlns:x14="http://schemas.microsoft.com/office/spreadsheetml/2009/9/main" uri="{B025F937-C7B1-47D3-B67F-A62EFF666E3E}">
          <x14:id>{5E5E77C3-03E4-4F4A-A63A-0F8F69569CF9}</x14:id>
        </ext>
      </extLst>
    </cfRule>
  </conditionalFormatting>
  <conditionalFormatting sqref="BL259">
    <cfRule type="iconSet" priority="701">
      <iconSet iconSet="3Arrows">
        <cfvo type="percent" val="0"/>
        <cfvo type="num" val="0.7"/>
        <cfvo type="num" val="1"/>
      </iconSet>
    </cfRule>
    <cfRule type="dataBar" priority="702">
      <dataBar>
        <cfvo type="num" val="0"/>
        <cfvo type="num" val="1"/>
        <color theme="4" tint="0.79998168889431442"/>
      </dataBar>
      <extLst>
        <ext xmlns:x14="http://schemas.microsoft.com/office/spreadsheetml/2009/9/main" uri="{B025F937-C7B1-47D3-B67F-A62EFF666E3E}">
          <x14:id>{C0C28CCD-49E3-4D8A-8464-DD1D8ADD1C46}</x14:id>
        </ext>
      </extLst>
    </cfRule>
  </conditionalFormatting>
  <conditionalFormatting sqref="BL261">
    <cfRule type="iconSet" priority="643">
      <iconSet iconSet="3Arrows">
        <cfvo type="percent" val="0"/>
        <cfvo type="num" val="0.7"/>
        <cfvo type="num" val="1"/>
      </iconSet>
    </cfRule>
    <cfRule type="dataBar" priority="644">
      <dataBar>
        <cfvo type="num" val="0"/>
        <cfvo type="num" val="1"/>
        <color theme="4" tint="0.79998168889431442"/>
      </dataBar>
      <extLst>
        <ext xmlns:x14="http://schemas.microsoft.com/office/spreadsheetml/2009/9/main" uri="{B025F937-C7B1-47D3-B67F-A62EFF666E3E}">
          <x14:id>{8970959B-2B09-4D26-9D56-4C450A6C4BC2}</x14:id>
        </ext>
      </extLst>
    </cfRule>
  </conditionalFormatting>
  <conditionalFormatting sqref="BL263">
    <cfRule type="iconSet" priority="434">
      <iconSet iconSet="3Arrows">
        <cfvo type="percent" val="0"/>
        <cfvo type="num" val="0.7"/>
        <cfvo type="num" val="1"/>
      </iconSet>
    </cfRule>
    <cfRule type="dataBar" priority="435">
      <dataBar>
        <cfvo type="num" val="0"/>
        <cfvo type="num" val="1"/>
        <color theme="4" tint="0.79998168889431442"/>
      </dataBar>
      <extLst>
        <ext xmlns:x14="http://schemas.microsoft.com/office/spreadsheetml/2009/9/main" uri="{B025F937-C7B1-47D3-B67F-A62EFF666E3E}">
          <x14:id>{DE33FD28-5213-4EEB-B4BA-286223C4E68A}</x14:id>
        </ext>
      </extLst>
    </cfRule>
  </conditionalFormatting>
  <conditionalFormatting sqref="BL265">
    <cfRule type="iconSet" priority="337">
      <iconSet iconSet="3Arrows">
        <cfvo type="percent" val="0"/>
        <cfvo type="num" val="0.7"/>
        <cfvo type="num" val="1"/>
      </iconSet>
    </cfRule>
    <cfRule type="dataBar" priority="338">
      <dataBar>
        <cfvo type="num" val="0"/>
        <cfvo type="num" val="1"/>
        <color theme="4" tint="0.79998168889431442"/>
      </dataBar>
      <extLst>
        <ext xmlns:x14="http://schemas.microsoft.com/office/spreadsheetml/2009/9/main" uri="{B025F937-C7B1-47D3-B67F-A62EFF666E3E}">
          <x14:id>{4FCCB9ED-F958-4041-B877-50593E60967B}</x14:id>
        </ext>
      </extLst>
    </cfRule>
  </conditionalFormatting>
  <conditionalFormatting sqref="BL267">
    <cfRule type="iconSet" priority="321">
      <iconSet iconSet="3Arrows">
        <cfvo type="percent" val="0"/>
        <cfvo type="num" val="0.7"/>
        <cfvo type="num" val="1"/>
      </iconSet>
    </cfRule>
    <cfRule type="dataBar" priority="322">
      <dataBar>
        <cfvo type="num" val="0"/>
        <cfvo type="num" val="1"/>
        <color theme="4" tint="0.79998168889431442"/>
      </dataBar>
      <extLst>
        <ext xmlns:x14="http://schemas.microsoft.com/office/spreadsheetml/2009/9/main" uri="{B025F937-C7B1-47D3-B67F-A62EFF666E3E}">
          <x14:id>{15B87DCC-2437-406D-B463-E5681BC560AB}</x14:id>
        </ext>
      </extLst>
    </cfRule>
  </conditionalFormatting>
  <conditionalFormatting sqref="BL269">
    <cfRule type="iconSet" priority="645">
      <iconSet iconSet="3Arrows">
        <cfvo type="percent" val="0"/>
        <cfvo type="num" val="0.7"/>
        <cfvo type="num" val="1"/>
      </iconSet>
    </cfRule>
    <cfRule type="dataBar" priority="646">
      <dataBar>
        <cfvo type="num" val="0"/>
        <cfvo type="num" val="1"/>
        <color theme="4" tint="0.79998168889431442"/>
      </dataBar>
      <extLst>
        <ext xmlns:x14="http://schemas.microsoft.com/office/spreadsheetml/2009/9/main" uri="{B025F937-C7B1-47D3-B67F-A62EFF666E3E}">
          <x14:id>{BFCF89D3-D229-4AF3-B054-5BE89DF44936}</x14:id>
        </ext>
      </extLst>
    </cfRule>
  </conditionalFormatting>
  <conditionalFormatting sqref="BL271">
    <cfRule type="iconSet" priority="305">
      <iconSet iconSet="3Arrows">
        <cfvo type="percent" val="0"/>
        <cfvo type="num" val="0.7"/>
        <cfvo type="num" val="1"/>
      </iconSet>
    </cfRule>
    <cfRule type="dataBar" priority="306">
      <dataBar>
        <cfvo type="num" val="0"/>
        <cfvo type="num" val="1"/>
        <color theme="4" tint="0.79998168889431442"/>
      </dataBar>
      <extLst>
        <ext xmlns:x14="http://schemas.microsoft.com/office/spreadsheetml/2009/9/main" uri="{B025F937-C7B1-47D3-B67F-A62EFF666E3E}">
          <x14:id>{035AB785-E114-46B9-A1E6-BC9AE7E6F128}</x14:id>
        </ext>
      </extLst>
    </cfRule>
  </conditionalFormatting>
  <conditionalFormatting sqref="BL273">
    <cfRule type="iconSet" priority="450">
      <iconSet iconSet="3Arrows">
        <cfvo type="percent" val="0"/>
        <cfvo type="num" val="0.7"/>
        <cfvo type="num" val="1"/>
      </iconSet>
    </cfRule>
    <cfRule type="dataBar" priority="451">
      <dataBar>
        <cfvo type="num" val="0"/>
        <cfvo type="num" val="1"/>
        <color theme="4" tint="0.79998168889431442"/>
      </dataBar>
      <extLst>
        <ext xmlns:x14="http://schemas.microsoft.com/office/spreadsheetml/2009/9/main" uri="{B025F937-C7B1-47D3-B67F-A62EFF666E3E}">
          <x14:id>{ED0A3F8C-F019-4BEC-A7DC-F09B6FB80C1A}</x14:id>
        </ext>
      </extLst>
    </cfRule>
  </conditionalFormatting>
  <conditionalFormatting sqref="BL275">
    <cfRule type="iconSet" priority="705">
      <iconSet iconSet="3Arrows">
        <cfvo type="percent" val="0"/>
        <cfvo type="num" val="0.7"/>
        <cfvo type="num" val="1"/>
      </iconSet>
    </cfRule>
    <cfRule type="dataBar" priority="706">
      <dataBar>
        <cfvo type="num" val="0"/>
        <cfvo type="num" val="1"/>
        <color theme="4" tint="0.79998168889431442"/>
      </dataBar>
      <extLst>
        <ext xmlns:x14="http://schemas.microsoft.com/office/spreadsheetml/2009/9/main" uri="{B025F937-C7B1-47D3-B67F-A62EFF666E3E}">
          <x14:id>{EC9C1F49-B307-4FD6-9015-28E0952CB1D8}</x14:id>
        </ext>
      </extLst>
    </cfRule>
  </conditionalFormatting>
  <conditionalFormatting sqref="BL278">
    <cfRule type="iconSet" priority="1168">
      <iconSet iconSet="3Arrows">
        <cfvo type="percent" val="0"/>
        <cfvo type="num" val="0.7"/>
        <cfvo type="num" val="1"/>
      </iconSet>
    </cfRule>
    <cfRule type="dataBar" priority="1169">
      <dataBar>
        <cfvo type="num" val="0"/>
        <cfvo type="num" val="1"/>
        <color theme="4" tint="0.79998168889431442"/>
      </dataBar>
      <extLst>
        <ext xmlns:x14="http://schemas.microsoft.com/office/spreadsheetml/2009/9/main" uri="{B025F937-C7B1-47D3-B67F-A62EFF666E3E}">
          <x14:id>{FEC988E1-AE26-4E33-8A5F-A978DB1CCC00}</x14:id>
        </ext>
      </extLst>
    </cfRule>
  </conditionalFormatting>
  <conditionalFormatting sqref="BL282">
    <cfRule type="iconSet" priority="697">
      <iconSet iconSet="3Arrows">
        <cfvo type="percent" val="0"/>
        <cfvo type="num" val="0.7"/>
        <cfvo type="num" val="1"/>
      </iconSet>
    </cfRule>
    <cfRule type="dataBar" priority="698">
      <dataBar>
        <cfvo type="num" val="0"/>
        <cfvo type="num" val="1"/>
        <color theme="4" tint="0.79998168889431442"/>
      </dataBar>
      <extLst>
        <ext xmlns:x14="http://schemas.microsoft.com/office/spreadsheetml/2009/9/main" uri="{B025F937-C7B1-47D3-B67F-A62EFF666E3E}">
          <x14:id>{C6279300-96E8-4A11-8916-DDA137982401}</x14:id>
        </ext>
      </extLst>
    </cfRule>
  </conditionalFormatting>
  <conditionalFormatting sqref="BL284">
    <cfRule type="iconSet" priority="699">
      <iconSet iconSet="3Arrows">
        <cfvo type="percent" val="0"/>
        <cfvo type="num" val="0.7"/>
        <cfvo type="num" val="1"/>
      </iconSet>
    </cfRule>
    <cfRule type="dataBar" priority="700">
      <dataBar>
        <cfvo type="num" val="0"/>
        <cfvo type="num" val="1"/>
        <color theme="4" tint="0.79998168889431442"/>
      </dataBar>
      <extLst>
        <ext xmlns:x14="http://schemas.microsoft.com/office/spreadsheetml/2009/9/main" uri="{B025F937-C7B1-47D3-B67F-A62EFF666E3E}">
          <x14:id>{861F85C2-2359-44EB-9FDC-257BB3580FE4}</x14:id>
        </ext>
      </extLst>
    </cfRule>
  </conditionalFormatting>
  <conditionalFormatting sqref="BL286">
    <cfRule type="iconSet" priority="638">
      <iconSet iconSet="3Arrows">
        <cfvo type="percent" val="0"/>
        <cfvo type="num" val="0.7"/>
        <cfvo type="num" val="1"/>
      </iconSet>
    </cfRule>
    <cfRule type="dataBar" priority="639">
      <dataBar>
        <cfvo type="num" val="0"/>
        <cfvo type="num" val="1"/>
        <color theme="4" tint="0.79998168889431442"/>
      </dataBar>
      <extLst>
        <ext xmlns:x14="http://schemas.microsoft.com/office/spreadsheetml/2009/9/main" uri="{B025F937-C7B1-47D3-B67F-A62EFF666E3E}">
          <x14:id>{311B19F3-9D1B-498A-A1B2-27780AC0944A}</x14:id>
        </ext>
      </extLst>
    </cfRule>
  </conditionalFormatting>
  <conditionalFormatting sqref="BL288">
    <cfRule type="iconSet" priority="636">
      <iconSet iconSet="3Arrows">
        <cfvo type="percent" val="0"/>
        <cfvo type="num" val="0.7"/>
        <cfvo type="num" val="1"/>
      </iconSet>
    </cfRule>
    <cfRule type="dataBar" priority="637">
      <dataBar>
        <cfvo type="num" val="0"/>
        <cfvo type="num" val="1"/>
        <color theme="4" tint="0.79998168889431442"/>
      </dataBar>
      <extLst>
        <ext xmlns:x14="http://schemas.microsoft.com/office/spreadsheetml/2009/9/main" uri="{B025F937-C7B1-47D3-B67F-A62EFF666E3E}">
          <x14:id>{D2A2C37D-A8F2-45B6-A4ED-35B2700C8330}</x14:id>
        </ext>
      </extLst>
    </cfRule>
  </conditionalFormatting>
  <conditionalFormatting sqref="BL290">
    <cfRule type="iconSet" priority="640">
      <iconSet iconSet="3Arrows">
        <cfvo type="percent" val="0"/>
        <cfvo type="num" val="0.7"/>
        <cfvo type="num" val="1"/>
      </iconSet>
    </cfRule>
    <cfRule type="dataBar" priority="641">
      <dataBar>
        <cfvo type="num" val="0"/>
        <cfvo type="num" val="1"/>
        <color theme="4" tint="0.79998168889431442"/>
      </dataBar>
      <extLst>
        <ext xmlns:x14="http://schemas.microsoft.com/office/spreadsheetml/2009/9/main" uri="{B025F937-C7B1-47D3-B67F-A62EFF666E3E}">
          <x14:id>{1C241C8C-5970-429B-9FFE-E241EDFB5972}</x14:id>
        </ext>
      </extLst>
    </cfRule>
  </conditionalFormatting>
  <conditionalFormatting sqref="BL292">
    <cfRule type="iconSet" priority="353">
      <iconSet iconSet="3Arrows">
        <cfvo type="percent" val="0"/>
        <cfvo type="num" val="0.7"/>
        <cfvo type="num" val="1"/>
      </iconSet>
    </cfRule>
    <cfRule type="dataBar" priority="354">
      <dataBar>
        <cfvo type="num" val="0"/>
        <cfvo type="num" val="1"/>
        <color theme="4" tint="0.79998168889431442"/>
      </dataBar>
      <extLst>
        <ext xmlns:x14="http://schemas.microsoft.com/office/spreadsheetml/2009/9/main" uri="{B025F937-C7B1-47D3-B67F-A62EFF666E3E}">
          <x14:id>{C3FC9760-8300-4755-9DFC-811738B3EB2D}</x14:id>
        </ext>
      </extLst>
    </cfRule>
  </conditionalFormatting>
  <conditionalFormatting sqref="BL294">
    <cfRule type="iconSet" priority="928">
      <iconSet iconSet="3Arrows">
        <cfvo type="percent" val="0"/>
        <cfvo type="num" val="0.7"/>
        <cfvo type="num" val="1"/>
      </iconSet>
    </cfRule>
    <cfRule type="dataBar" priority="929">
      <dataBar>
        <cfvo type="num" val="0"/>
        <cfvo type="num" val="1"/>
        <color theme="4" tint="0.79998168889431442"/>
      </dataBar>
      <extLst>
        <ext xmlns:x14="http://schemas.microsoft.com/office/spreadsheetml/2009/9/main" uri="{B025F937-C7B1-47D3-B67F-A62EFF666E3E}">
          <x14:id>{3228FDEE-3339-4612-9E07-BEC925375F15}</x14:id>
        </ext>
      </extLst>
    </cfRule>
  </conditionalFormatting>
  <conditionalFormatting sqref="BL280 BL296">
    <cfRule type="iconSet" priority="1196">
      <iconSet iconSet="3Arrows">
        <cfvo type="percent" val="0"/>
        <cfvo type="num" val="0.7"/>
        <cfvo type="num" val="1"/>
      </iconSet>
    </cfRule>
    <cfRule type="dataBar" priority="1197">
      <dataBar>
        <cfvo type="num" val="0"/>
        <cfvo type="num" val="1"/>
        <color theme="4" tint="0.79998168889431442"/>
      </dataBar>
      <extLst>
        <ext xmlns:x14="http://schemas.microsoft.com/office/spreadsheetml/2009/9/main" uri="{B025F937-C7B1-47D3-B67F-A62EFF666E3E}">
          <x14:id>{F3BC5201-ECA9-4305-A6BB-4FC5DAD75C05}</x14:id>
        </ext>
      </extLst>
    </cfRule>
  </conditionalFormatting>
  <conditionalFormatting sqref="BL299">
    <cfRule type="iconSet" priority="924">
      <iconSet iconSet="3Arrows">
        <cfvo type="percent" val="0"/>
        <cfvo type="num" val="0.7"/>
        <cfvo type="num" val="1"/>
      </iconSet>
    </cfRule>
    <cfRule type="dataBar" priority="925">
      <dataBar>
        <cfvo type="num" val="0"/>
        <cfvo type="num" val="1"/>
        <color theme="4" tint="0.79998168889431442"/>
      </dataBar>
      <extLst>
        <ext xmlns:x14="http://schemas.microsoft.com/office/spreadsheetml/2009/9/main" uri="{B025F937-C7B1-47D3-B67F-A62EFF666E3E}">
          <x14:id>{8042431E-5CCA-431F-B390-FC069E1F144E}</x14:id>
        </ext>
      </extLst>
    </cfRule>
  </conditionalFormatting>
  <conditionalFormatting sqref="BL304">
    <cfRule type="iconSet" priority="921">
      <iconSet iconSet="3Arrows">
        <cfvo type="percent" val="0"/>
        <cfvo type="num" val="0.7"/>
        <cfvo type="num" val="1"/>
      </iconSet>
    </cfRule>
    <cfRule type="dataBar" priority="922">
      <dataBar>
        <cfvo type="num" val="0"/>
        <cfvo type="num" val="1"/>
        <color theme="4" tint="0.79998168889431442"/>
      </dataBar>
      <extLst>
        <ext xmlns:x14="http://schemas.microsoft.com/office/spreadsheetml/2009/9/main" uri="{B025F937-C7B1-47D3-B67F-A62EFF666E3E}">
          <x14:id>{5BB5DFB8-E207-4E4E-9B4F-D8D42FB56426}</x14:id>
        </ext>
      </extLst>
    </cfRule>
  </conditionalFormatting>
  <conditionalFormatting sqref="BL307">
    <cfRule type="iconSet" priority="1164">
      <iconSet iconSet="3Arrows">
        <cfvo type="percent" val="0"/>
        <cfvo type="num" val="0.7"/>
        <cfvo type="num" val="1"/>
      </iconSet>
    </cfRule>
    <cfRule type="dataBar" priority="1165">
      <dataBar>
        <cfvo type="num" val="0"/>
        <cfvo type="num" val="1"/>
        <color theme="4" tint="0.79998168889431442"/>
      </dataBar>
      <extLst>
        <ext xmlns:x14="http://schemas.microsoft.com/office/spreadsheetml/2009/9/main" uri="{B025F937-C7B1-47D3-B67F-A62EFF666E3E}">
          <x14:id>{B302EE0C-15CD-4AE6-B2BF-D90EE29F89F1}</x14:id>
        </ext>
      </extLst>
    </cfRule>
  </conditionalFormatting>
  <conditionalFormatting sqref="BL310">
    <cfRule type="iconSet" priority="1158">
      <iconSet iconSet="3Arrows">
        <cfvo type="percent" val="0"/>
        <cfvo type="num" val="0.7"/>
        <cfvo type="num" val="1"/>
      </iconSet>
    </cfRule>
    <cfRule type="dataBar" priority="1159">
      <dataBar>
        <cfvo type="num" val="0"/>
        <cfvo type="num" val="1"/>
        <color theme="4" tint="0.79998168889431442"/>
      </dataBar>
      <extLst>
        <ext xmlns:x14="http://schemas.microsoft.com/office/spreadsheetml/2009/9/main" uri="{B025F937-C7B1-47D3-B67F-A62EFF666E3E}">
          <x14:id>{C93E4989-5531-4103-8FEC-AFE2CD5DD892}</x14:id>
        </ext>
      </extLst>
    </cfRule>
  </conditionalFormatting>
  <conditionalFormatting sqref="BL314">
    <cfRule type="iconSet" priority="1162">
      <iconSet iconSet="3Arrows">
        <cfvo type="percent" val="0"/>
        <cfvo type="num" val="0.7"/>
        <cfvo type="num" val="1"/>
      </iconSet>
    </cfRule>
    <cfRule type="dataBar" priority="1163">
      <dataBar>
        <cfvo type="num" val="0"/>
        <cfvo type="num" val="1"/>
        <color theme="4" tint="0.79998168889431442"/>
      </dataBar>
      <extLst>
        <ext xmlns:x14="http://schemas.microsoft.com/office/spreadsheetml/2009/9/main" uri="{B025F937-C7B1-47D3-B67F-A62EFF666E3E}">
          <x14:id>{31A08123-C7B1-46F2-A3CF-973A6190D15D}</x14:id>
        </ext>
      </extLst>
    </cfRule>
  </conditionalFormatting>
  <conditionalFormatting sqref="BL316">
    <cfRule type="iconSet" priority="803">
      <iconSet iconSet="3Arrows">
        <cfvo type="percent" val="0"/>
        <cfvo type="num" val="0.7"/>
        <cfvo type="num" val="1"/>
      </iconSet>
    </cfRule>
    <cfRule type="dataBar" priority="804">
      <dataBar>
        <cfvo type="num" val="0"/>
        <cfvo type="num" val="1"/>
        <color theme="4" tint="0.79998168889431442"/>
      </dataBar>
      <extLst>
        <ext xmlns:x14="http://schemas.microsoft.com/office/spreadsheetml/2009/9/main" uri="{B025F937-C7B1-47D3-B67F-A62EFF666E3E}">
          <x14:id>{1F8F3C47-1C95-48CC-B642-6681229B1B56}</x14:id>
        </ext>
      </extLst>
    </cfRule>
  </conditionalFormatting>
  <conditionalFormatting sqref="BL318">
    <cfRule type="iconSet" priority="1160">
      <iconSet iconSet="3Arrows">
        <cfvo type="percent" val="0"/>
        <cfvo type="num" val="0.7"/>
        <cfvo type="num" val="1"/>
      </iconSet>
    </cfRule>
    <cfRule type="dataBar" priority="1161">
      <dataBar>
        <cfvo type="num" val="0"/>
        <cfvo type="num" val="1"/>
        <color theme="4" tint="0.79998168889431442"/>
      </dataBar>
      <extLst>
        <ext xmlns:x14="http://schemas.microsoft.com/office/spreadsheetml/2009/9/main" uri="{B025F937-C7B1-47D3-B67F-A62EFF666E3E}">
          <x14:id>{6254BD62-D210-4CB3-AC7A-83698547C9D0}</x14:id>
        </ext>
      </extLst>
    </cfRule>
  </conditionalFormatting>
  <conditionalFormatting sqref="BL320">
    <cfRule type="iconSet" priority="972">
      <iconSet iconSet="3Arrows">
        <cfvo type="percent" val="0"/>
        <cfvo type="num" val="0.7"/>
        <cfvo type="num" val="1"/>
      </iconSet>
    </cfRule>
    <cfRule type="dataBar" priority="973">
      <dataBar>
        <cfvo type="num" val="0"/>
        <cfvo type="num" val="1"/>
        <color theme="4" tint="0.79998168889431442"/>
      </dataBar>
      <extLst>
        <ext xmlns:x14="http://schemas.microsoft.com/office/spreadsheetml/2009/9/main" uri="{B025F937-C7B1-47D3-B67F-A62EFF666E3E}">
          <x14:id>{EBA1700D-4B36-464A-AC32-5DCAB7FA3C73}</x14:id>
        </ext>
      </extLst>
    </cfRule>
  </conditionalFormatting>
  <conditionalFormatting sqref="BL322">
    <cfRule type="iconSet" priority="845">
      <iconSet iconSet="3Arrows">
        <cfvo type="percent" val="0"/>
        <cfvo type="num" val="0.7"/>
        <cfvo type="num" val="1"/>
      </iconSet>
    </cfRule>
    <cfRule type="dataBar" priority="846">
      <dataBar>
        <cfvo type="num" val="0"/>
        <cfvo type="num" val="1"/>
        <color theme="4" tint="0.79998168889431442"/>
      </dataBar>
      <extLst>
        <ext xmlns:x14="http://schemas.microsoft.com/office/spreadsheetml/2009/9/main" uri="{B025F937-C7B1-47D3-B67F-A62EFF666E3E}">
          <x14:id>{5972AA4C-B8FB-4973-8BB8-B76FACE96C77}</x14:id>
        </ext>
      </extLst>
    </cfRule>
  </conditionalFormatting>
  <conditionalFormatting sqref="BL324">
    <cfRule type="iconSet" priority="843">
      <iconSet iconSet="3Arrows">
        <cfvo type="percent" val="0"/>
        <cfvo type="num" val="0.7"/>
        <cfvo type="num" val="1"/>
      </iconSet>
    </cfRule>
    <cfRule type="dataBar" priority="844">
      <dataBar>
        <cfvo type="num" val="0"/>
        <cfvo type="num" val="1"/>
        <color theme="4" tint="0.79998168889431442"/>
      </dataBar>
      <extLst>
        <ext xmlns:x14="http://schemas.microsoft.com/office/spreadsheetml/2009/9/main" uri="{B025F937-C7B1-47D3-B67F-A62EFF666E3E}">
          <x14:id>{E36BF1BF-D7F9-4F07-BE55-78985A217107}</x14:id>
        </ext>
      </extLst>
    </cfRule>
  </conditionalFormatting>
  <conditionalFormatting sqref="BL326">
    <cfRule type="iconSet" priority="841">
      <iconSet iconSet="3Arrows">
        <cfvo type="percent" val="0"/>
        <cfvo type="num" val="0.7"/>
        <cfvo type="num" val="1"/>
      </iconSet>
    </cfRule>
    <cfRule type="dataBar" priority="842">
      <dataBar>
        <cfvo type="num" val="0"/>
        <cfvo type="num" val="1"/>
        <color theme="4" tint="0.79998168889431442"/>
      </dataBar>
      <extLst>
        <ext xmlns:x14="http://schemas.microsoft.com/office/spreadsheetml/2009/9/main" uri="{B025F937-C7B1-47D3-B67F-A62EFF666E3E}">
          <x14:id>{A463119A-2CA7-4CA7-A6F7-69DB5CA057AE}</x14:id>
        </ext>
      </extLst>
    </cfRule>
  </conditionalFormatting>
  <conditionalFormatting sqref="BL328">
    <cfRule type="iconSet" priority="827">
      <iconSet iconSet="3Arrows">
        <cfvo type="percent" val="0"/>
        <cfvo type="num" val="0.7"/>
        <cfvo type="num" val="1"/>
      </iconSet>
    </cfRule>
    <cfRule type="dataBar" priority="828">
      <dataBar>
        <cfvo type="num" val="0"/>
        <cfvo type="num" val="1"/>
        <color theme="4" tint="0.79998168889431442"/>
      </dataBar>
      <extLst>
        <ext xmlns:x14="http://schemas.microsoft.com/office/spreadsheetml/2009/9/main" uri="{B025F937-C7B1-47D3-B67F-A62EFF666E3E}">
          <x14:id>{97432AD8-D07D-4EEB-9C0C-BC7E4E3393CE}</x14:id>
        </ext>
      </extLst>
    </cfRule>
  </conditionalFormatting>
  <conditionalFormatting sqref="BL330">
    <cfRule type="iconSet" priority="825">
      <iconSet iconSet="3Arrows">
        <cfvo type="percent" val="0"/>
        <cfvo type="num" val="0.7"/>
        <cfvo type="num" val="1"/>
      </iconSet>
    </cfRule>
    <cfRule type="dataBar" priority="826">
      <dataBar>
        <cfvo type="num" val="0"/>
        <cfvo type="num" val="1"/>
        <color theme="4" tint="0.79998168889431442"/>
      </dataBar>
      <extLst>
        <ext xmlns:x14="http://schemas.microsoft.com/office/spreadsheetml/2009/9/main" uri="{B025F937-C7B1-47D3-B67F-A62EFF666E3E}">
          <x14:id>{2A24C23C-30B3-471E-9BB6-E13FFF2A7FE6}</x14:id>
        </ext>
      </extLst>
    </cfRule>
  </conditionalFormatting>
  <conditionalFormatting sqref="BL332">
    <cfRule type="iconSet" priority="835">
      <iconSet iconSet="3Arrows">
        <cfvo type="percent" val="0"/>
        <cfvo type="num" val="0.7"/>
        <cfvo type="num" val="1"/>
      </iconSet>
    </cfRule>
    <cfRule type="dataBar" priority="836">
      <dataBar>
        <cfvo type="num" val="0"/>
        <cfvo type="num" val="1"/>
        <color theme="4" tint="0.79998168889431442"/>
      </dataBar>
      <extLst>
        <ext xmlns:x14="http://schemas.microsoft.com/office/spreadsheetml/2009/9/main" uri="{B025F937-C7B1-47D3-B67F-A62EFF666E3E}">
          <x14:id>{00481676-0A22-4F3B-9DF5-3A3DDD3AB11C}</x14:id>
        </ext>
      </extLst>
    </cfRule>
  </conditionalFormatting>
  <conditionalFormatting sqref="BL334">
    <cfRule type="iconSet" priority="839">
      <iconSet iconSet="3Arrows">
        <cfvo type="percent" val="0"/>
        <cfvo type="num" val="0.7"/>
        <cfvo type="num" val="1"/>
      </iconSet>
    </cfRule>
    <cfRule type="dataBar" priority="840">
      <dataBar>
        <cfvo type="num" val="0"/>
        <cfvo type="num" val="1"/>
        <color theme="4" tint="0.79998168889431442"/>
      </dataBar>
      <extLst>
        <ext xmlns:x14="http://schemas.microsoft.com/office/spreadsheetml/2009/9/main" uri="{B025F937-C7B1-47D3-B67F-A62EFF666E3E}">
          <x14:id>{0498BDC7-CADE-48C6-8F21-322930A14181}</x14:id>
        </ext>
      </extLst>
    </cfRule>
  </conditionalFormatting>
  <conditionalFormatting sqref="BL336">
    <cfRule type="iconSet" priority="773">
      <iconSet iconSet="3Arrows">
        <cfvo type="percent" val="0"/>
        <cfvo type="num" val="0.7"/>
        <cfvo type="num" val="1"/>
      </iconSet>
    </cfRule>
    <cfRule type="dataBar" priority="774">
      <dataBar>
        <cfvo type="num" val="0"/>
        <cfvo type="num" val="1"/>
        <color theme="4" tint="0.79998168889431442"/>
      </dataBar>
      <extLst>
        <ext xmlns:x14="http://schemas.microsoft.com/office/spreadsheetml/2009/9/main" uri="{B025F937-C7B1-47D3-B67F-A62EFF666E3E}">
          <x14:id>{80EA106F-F925-43CE-9B96-1C41AB7E78DC}</x14:id>
        </ext>
      </extLst>
    </cfRule>
  </conditionalFormatting>
  <conditionalFormatting sqref="BL338">
    <cfRule type="iconSet" priority="837">
      <iconSet iconSet="3Arrows">
        <cfvo type="percent" val="0"/>
        <cfvo type="num" val="0.7"/>
        <cfvo type="num" val="1"/>
      </iconSet>
    </cfRule>
    <cfRule type="dataBar" priority="838">
      <dataBar>
        <cfvo type="num" val="0"/>
        <cfvo type="num" val="1"/>
        <color theme="4" tint="0.79998168889431442"/>
      </dataBar>
      <extLst>
        <ext xmlns:x14="http://schemas.microsoft.com/office/spreadsheetml/2009/9/main" uri="{B025F937-C7B1-47D3-B67F-A62EFF666E3E}">
          <x14:id>{BC304080-DF28-472E-AFF8-2F64148BAF0D}</x14:id>
        </ext>
      </extLst>
    </cfRule>
  </conditionalFormatting>
  <conditionalFormatting sqref="BL340">
    <cfRule type="iconSet" priority="829">
      <iconSet iconSet="3Arrows">
        <cfvo type="percent" val="0"/>
        <cfvo type="num" val="0.7"/>
        <cfvo type="num" val="1"/>
      </iconSet>
    </cfRule>
    <cfRule type="dataBar" priority="830">
      <dataBar>
        <cfvo type="num" val="0"/>
        <cfvo type="num" val="1"/>
        <color theme="4" tint="0.79998168889431442"/>
      </dataBar>
      <extLst>
        <ext xmlns:x14="http://schemas.microsoft.com/office/spreadsheetml/2009/9/main" uri="{B025F937-C7B1-47D3-B67F-A62EFF666E3E}">
          <x14:id>{5E5F00C3-8D84-46F2-8391-78F354623760}</x14:id>
        </ext>
      </extLst>
    </cfRule>
  </conditionalFormatting>
  <conditionalFormatting sqref="BL342">
    <cfRule type="iconSet" priority="833">
      <iconSet iconSet="3Arrows">
        <cfvo type="percent" val="0"/>
        <cfvo type="num" val="0.7"/>
        <cfvo type="num" val="1"/>
      </iconSet>
    </cfRule>
    <cfRule type="dataBar" priority="834">
      <dataBar>
        <cfvo type="num" val="0"/>
        <cfvo type="num" val="1"/>
        <color theme="4" tint="0.79998168889431442"/>
      </dataBar>
      <extLst>
        <ext xmlns:x14="http://schemas.microsoft.com/office/spreadsheetml/2009/9/main" uri="{B025F937-C7B1-47D3-B67F-A62EFF666E3E}">
          <x14:id>{E74AE1B1-6C71-4A97-A45E-271239C74D58}</x14:id>
        </ext>
      </extLst>
    </cfRule>
  </conditionalFormatting>
  <conditionalFormatting sqref="BL344">
    <cfRule type="iconSet" priority="787">
      <iconSet iconSet="3Arrows">
        <cfvo type="percent" val="0"/>
        <cfvo type="num" val="0.7"/>
        <cfvo type="num" val="1"/>
      </iconSet>
    </cfRule>
    <cfRule type="dataBar" priority="788">
      <dataBar>
        <cfvo type="num" val="0"/>
        <cfvo type="num" val="1"/>
        <color theme="4" tint="0.79998168889431442"/>
      </dataBar>
      <extLst>
        <ext xmlns:x14="http://schemas.microsoft.com/office/spreadsheetml/2009/9/main" uri="{B025F937-C7B1-47D3-B67F-A62EFF666E3E}">
          <x14:id>{AFD9BC75-86F9-4FC0-B2CB-03BC725BC635}</x14:id>
        </ext>
      </extLst>
    </cfRule>
  </conditionalFormatting>
  <conditionalFormatting sqref="BL346">
    <cfRule type="iconSet" priority="831">
      <iconSet iconSet="3Arrows">
        <cfvo type="percent" val="0"/>
        <cfvo type="num" val="0.7"/>
        <cfvo type="num" val="1"/>
      </iconSet>
    </cfRule>
    <cfRule type="dataBar" priority="832">
      <dataBar>
        <cfvo type="num" val="0"/>
        <cfvo type="num" val="1"/>
        <color theme="4" tint="0.79998168889431442"/>
      </dataBar>
      <extLst>
        <ext xmlns:x14="http://schemas.microsoft.com/office/spreadsheetml/2009/9/main" uri="{B025F937-C7B1-47D3-B67F-A62EFF666E3E}">
          <x14:id>{55FBD050-3700-4815-9A7C-A417E2E8646D}</x14:id>
        </ext>
      </extLst>
    </cfRule>
  </conditionalFormatting>
  <conditionalFormatting sqref="BL348">
    <cfRule type="iconSet" priority="771">
      <iconSet iconSet="3Arrows">
        <cfvo type="percent" val="0"/>
        <cfvo type="num" val="0.7"/>
        <cfvo type="num" val="1"/>
      </iconSet>
    </cfRule>
    <cfRule type="dataBar" priority="772">
      <dataBar>
        <cfvo type="num" val="0"/>
        <cfvo type="num" val="1"/>
        <color theme="4" tint="0.79998168889431442"/>
      </dataBar>
      <extLst>
        <ext xmlns:x14="http://schemas.microsoft.com/office/spreadsheetml/2009/9/main" uri="{B025F937-C7B1-47D3-B67F-A62EFF666E3E}">
          <x14:id>{9F22E8EC-D576-4F55-AB66-C11389EDFDAF}</x14:id>
        </ext>
      </extLst>
    </cfRule>
  </conditionalFormatting>
  <conditionalFormatting sqref="BL350">
    <cfRule type="iconSet" priority="800">
      <iconSet iconSet="3Arrows">
        <cfvo type="percent" val="0"/>
        <cfvo type="num" val="0.7"/>
        <cfvo type="num" val="1"/>
      </iconSet>
    </cfRule>
    <cfRule type="dataBar" priority="801">
      <dataBar>
        <cfvo type="num" val="0"/>
        <cfvo type="num" val="1"/>
        <color theme="4" tint="0.79998168889431442"/>
      </dataBar>
      <extLst>
        <ext xmlns:x14="http://schemas.microsoft.com/office/spreadsheetml/2009/9/main" uri="{B025F937-C7B1-47D3-B67F-A62EFF666E3E}">
          <x14:id>{74971564-1179-4920-A62F-FC7E89FE57FB}</x14:id>
        </ext>
      </extLst>
    </cfRule>
  </conditionalFormatting>
  <conditionalFormatting sqref="BL352">
    <cfRule type="iconSet" priority="1152">
      <iconSet iconSet="3Arrows">
        <cfvo type="percent" val="0"/>
        <cfvo type="num" val="0.7"/>
        <cfvo type="num" val="1"/>
      </iconSet>
    </cfRule>
    <cfRule type="dataBar" priority="1153">
      <dataBar>
        <cfvo type="num" val="0"/>
        <cfvo type="num" val="1"/>
        <color theme="4" tint="0.79998168889431442"/>
      </dataBar>
      <extLst>
        <ext xmlns:x14="http://schemas.microsoft.com/office/spreadsheetml/2009/9/main" uri="{B025F937-C7B1-47D3-B67F-A62EFF666E3E}">
          <x14:id>{763D5ACA-EF9F-4D3F-840D-9D387E2379E2}</x14:id>
        </ext>
      </extLst>
    </cfRule>
  </conditionalFormatting>
  <conditionalFormatting sqref="BL354">
    <cfRule type="iconSet" priority="1150">
      <iconSet iconSet="3Arrows">
        <cfvo type="percent" val="0"/>
        <cfvo type="num" val="0.7"/>
        <cfvo type="num" val="1"/>
      </iconSet>
    </cfRule>
    <cfRule type="dataBar" priority="1151">
      <dataBar>
        <cfvo type="num" val="0"/>
        <cfvo type="num" val="1"/>
        <color theme="4" tint="0.79998168889431442"/>
      </dataBar>
      <extLst>
        <ext xmlns:x14="http://schemas.microsoft.com/office/spreadsheetml/2009/9/main" uri="{B025F937-C7B1-47D3-B67F-A62EFF666E3E}">
          <x14:id>{4CC527DF-BBA1-461A-8AD8-42EEF073B952}</x14:id>
        </ext>
      </extLst>
    </cfRule>
  </conditionalFormatting>
  <conditionalFormatting sqref="BL356">
    <cfRule type="iconSet" priority="1148">
      <iconSet iconSet="3Arrows">
        <cfvo type="percent" val="0"/>
        <cfvo type="num" val="0.7"/>
        <cfvo type="num" val="1"/>
      </iconSet>
    </cfRule>
    <cfRule type="dataBar" priority="1149">
      <dataBar>
        <cfvo type="num" val="0"/>
        <cfvo type="num" val="1"/>
        <color theme="4" tint="0.79998168889431442"/>
      </dataBar>
      <extLst>
        <ext xmlns:x14="http://schemas.microsoft.com/office/spreadsheetml/2009/9/main" uri="{B025F937-C7B1-47D3-B67F-A62EFF666E3E}">
          <x14:id>{3C895C0B-3A36-4F45-A49F-5D61B6176A85}</x14:id>
        </ext>
      </extLst>
    </cfRule>
  </conditionalFormatting>
  <conditionalFormatting sqref="BL358">
    <cfRule type="iconSet" priority="765">
      <iconSet iconSet="3Arrows">
        <cfvo type="percent" val="0"/>
        <cfvo type="num" val="0.7"/>
        <cfvo type="num" val="1"/>
      </iconSet>
    </cfRule>
    <cfRule type="dataBar" priority="766">
      <dataBar>
        <cfvo type="num" val="0"/>
        <cfvo type="num" val="1"/>
        <color theme="4" tint="0.79998168889431442"/>
      </dataBar>
      <extLst>
        <ext xmlns:x14="http://schemas.microsoft.com/office/spreadsheetml/2009/9/main" uri="{B025F937-C7B1-47D3-B67F-A62EFF666E3E}">
          <x14:id>{31214424-901C-4013-A02F-CB3B6243DCE7}</x14:id>
        </ext>
      </extLst>
    </cfRule>
  </conditionalFormatting>
  <conditionalFormatting sqref="BL360">
    <cfRule type="iconSet" priority="769">
      <iconSet iconSet="3Arrows">
        <cfvo type="percent" val="0"/>
        <cfvo type="num" val="0.7"/>
        <cfvo type="num" val="1"/>
      </iconSet>
    </cfRule>
    <cfRule type="dataBar" priority="770">
      <dataBar>
        <cfvo type="num" val="0"/>
        <cfvo type="num" val="1"/>
        <color theme="4" tint="0.79998168889431442"/>
      </dataBar>
      <extLst>
        <ext xmlns:x14="http://schemas.microsoft.com/office/spreadsheetml/2009/9/main" uri="{B025F937-C7B1-47D3-B67F-A62EFF666E3E}">
          <x14:id>{4C4420BE-BA07-4AAE-8692-0F7EF649CDCD}</x14:id>
        </ext>
      </extLst>
    </cfRule>
  </conditionalFormatting>
  <conditionalFormatting sqref="BL362">
    <cfRule type="iconSet" priority="631">
      <iconSet iconSet="3Arrows">
        <cfvo type="percent" val="0"/>
        <cfvo type="num" val="0.7"/>
        <cfvo type="num" val="1"/>
      </iconSet>
    </cfRule>
    <cfRule type="dataBar" priority="632">
      <dataBar>
        <cfvo type="num" val="0"/>
        <cfvo type="num" val="1"/>
        <color theme="4" tint="0.79998168889431442"/>
      </dataBar>
      <extLst>
        <ext xmlns:x14="http://schemas.microsoft.com/office/spreadsheetml/2009/9/main" uri="{B025F937-C7B1-47D3-B67F-A62EFF666E3E}">
          <x14:id>{B5CEF9F4-691C-493D-B157-B871DC5FA365}</x14:id>
        </ext>
      </extLst>
    </cfRule>
  </conditionalFormatting>
  <conditionalFormatting sqref="BL364">
    <cfRule type="iconSet" priority="695">
      <iconSet iconSet="3Arrows">
        <cfvo type="percent" val="0"/>
        <cfvo type="num" val="0.7"/>
        <cfvo type="num" val="1"/>
      </iconSet>
    </cfRule>
    <cfRule type="dataBar" priority="696">
      <dataBar>
        <cfvo type="num" val="0"/>
        <cfvo type="num" val="1"/>
        <color theme="4" tint="0.79998168889431442"/>
      </dataBar>
      <extLst>
        <ext xmlns:x14="http://schemas.microsoft.com/office/spreadsheetml/2009/9/main" uri="{B025F937-C7B1-47D3-B67F-A62EFF666E3E}">
          <x14:id>{584D87FA-F19B-4DEB-B4E8-DBDAE9106F76}</x14:id>
        </ext>
      </extLst>
    </cfRule>
  </conditionalFormatting>
  <conditionalFormatting sqref="BL366">
    <cfRule type="iconSet" priority="629">
      <iconSet iconSet="3Arrows">
        <cfvo type="percent" val="0"/>
        <cfvo type="num" val="0.7"/>
        <cfvo type="num" val="1"/>
      </iconSet>
    </cfRule>
    <cfRule type="dataBar" priority="630">
      <dataBar>
        <cfvo type="num" val="0"/>
        <cfvo type="num" val="1"/>
        <color theme="4" tint="0.79998168889431442"/>
      </dataBar>
      <extLst>
        <ext xmlns:x14="http://schemas.microsoft.com/office/spreadsheetml/2009/9/main" uri="{B025F937-C7B1-47D3-B67F-A62EFF666E3E}">
          <x14:id>{84EC326B-41F0-4EC0-9534-2AB29144F47C}</x14:id>
        </ext>
      </extLst>
    </cfRule>
  </conditionalFormatting>
  <conditionalFormatting sqref="BL368">
    <cfRule type="iconSet" priority="767">
      <iconSet iconSet="3Arrows">
        <cfvo type="percent" val="0"/>
        <cfvo type="num" val="0.7"/>
        <cfvo type="num" val="1"/>
      </iconSet>
    </cfRule>
    <cfRule type="dataBar" priority="768">
      <dataBar>
        <cfvo type="num" val="0"/>
        <cfvo type="num" val="1"/>
        <color theme="4" tint="0.79998168889431442"/>
      </dataBar>
      <extLst>
        <ext xmlns:x14="http://schemas.microsoft.com/office/spreadsheetml/2009/9/main" uri="{B025F937-C7B1-47D3-B67F-A62EFF666E3E}">
          <x14:id>{45032977-4631-49AB-A90E-B2E555D6E3BA}</x14:id>
        </ext>
      </extLst>
    </cfRule>
  </conditionalFormatting>
  <conditionalFormatting sqref="BL370">
    <cfRule type="iconSet" priority="693">
      <iconSet iconSet="3Arrows">
        <cfvo type="percent" val="0"/>
        <cfvo type="num" val="0.7"/>
        <cfvo type="num" val="1"/>
      </iconSet>
    </cfRule>
    <cfRule type="dataBar" priority="694">
      <dataBar>
        <cfvo type="num" val="0"/>
        <cfvo type="num" val="1"/>
        <color theme="4" tint="0.79998168889431442"/>
      </dataBar>
      <extLst>
        <ext xmlns:x14="http://schemas.microsoft.com/office/spreadsheetml/2009/9/main" uri="{B025F937-C7B1-47D3-B67F-A62EFF666E3E}">
          <x14:id>{15D0A590-28F6-446E-902D-00A157196253}</x14:id>
        </ext>
      </extLst>
    </cfRule>
  </conditionalFormatting>
  <conditionalFormatting sqref="BL372">
    <cfRule type="iconSet" priority="798">
      <iconSet iconSet="3Arrows">
        <cfvo type="percent" val="0"/>
        <cfvo type="num" val="0.7"/>
        <cfvo type="num" val="1"/>
      </iconSet>
    </cfRule>
    <cfRule type="dataBar" priority="799">
      <dataBar>
        <cfvo type="num" val="0"/>
        <cfvo type="num" val="1"/>
        <color theme="4" tint="0.79998168889431442"/>
      </dataBar>
      <extLst>
        <ext xmlns:x14="http://schemas.microsoft.com/office/spreadsheetml/2009/9/main" uri="{B025F937-C7B1-47D3-B67F-A62EFF666E3E}">
          <x14:id>{DE464F2C-D62F-4E02-A747-A1DEA5C07BFA}</x14:id>
        </ext>
      </extLst>
    </cfRule>
  </conditionalFormatting>
  <conditionalFormatting sqref="BL374">
    <cfRule type="iconSet" priority="817">
      <iconSet iconSet="3Arrows">
        <cfvo type="percent" val="0"/>
        <cfvo type="num" val="0.7"/>
        <cfvo type="num" val="1"/>
      </iconSet>
    </cfRule>
    <cfRule type="dataBar" priority="818">
      <dataBar>
        <cfvo type="num" val="0"/>
        <cfvo type="num" val="1"/>
        <color theme="4" tint="0.79998168889431442"/>
      </dataBar>
      <extLst>
        <ext xmlns:x14="http://schemas.microsoft.com/office/spreadsheetml/2009/9/main" uri="{B025F937-C7B1-47D3-B67F-A62EFF666E3E}">
          <x14:id>{8C0E1058-9F64-4AE8-82B3-6ECEA43DB686}</x14:id>
        </ext>
      </extLst>
    </cfRule>
  </conditionalFormatting>
  <conditionalFormatting sqref="BL376">
    <cfRule type="iconSet" priority="823">
      <iconSet iconSet="3Arrows">
        <cfvo type="percent" val="0"/>
        <cfvo type="num" val="0.7"/>
        <cfvo type="num" val="1"/>
      </iconSet>
    </cfRule>
    <cfRule type="dataBar" priority="824">
      <dataBar>
        <cfvo type="num" val="0"/>
        <cfvo type="num" val="1"/>
        <color theme="4" tint="0.79998168889431442"/>
      </dataBar>
      <extLst>
        <ext xmlns:x14="http://schemas.microsoft.com/office/spreadsheetml/2009/9/main" uri="{B025F937-C7B1-47D3-B67F-A62EFF666E3E}">
          <x14:id>{2DA15D27-AB43-4E66-A07A-DF11C258478C}</x14:id>
        </ext>
      </extLst>
    </cfRule>
  </conditionalFormatting>
  <conditionalFormatting sqref="BL378">
    <cfRule type="iconSet" priority="814">
      <iconSet iconSet="3Arrows">
        <cfvo type="percent" val="0"/>
        <cfvo type="num" val="0.7"/>
        <cfvo type="num" val="1"/>
      </iconSet>
    </cfRule>
    <cfRule type="dataBar" priority="815">
      <dataBar>
        <cfvo type="num" val="0"/>
        <cfvo type="num" val="1"/>
        <color theme="4" tint="0.79998168889431442"/>
      </dataBar>
      <extLst>
        <ext xmlns:x14="http://schemas.microsoft.com/office/spreadsheetml/2009/9/main" uri="{B025F937-C7B1-47D3-B67F-A62EFF666E3E}">
          <x14:id>{90E39257-B7E4-4E9E-B078-289887E030AD}</x14:id>
        </ext>
      </extLst>
    </cfRule>
  </conditionalFormatting>
  <conditionalFormatting sqref="BL380">
    <cfRule type="iconSet" priority="821">
      <iconSet iconSet="3Arrows">
        <cfvo type="percent" val="0"/>
        <cfvo type="num" val="0.7"/>
        <cfvo type="num" val="1"/>
      </iconSet>
    </cfRule>
    <cfRule type="dataBar" priority="822">
      <dataBar>
        <cfvo type="num" val="0"/>
        <cfvo type="num" val="1"/>
        <color theme="4" tint="0.79998168889431442"/>
      </dataBar>
      <extLst>
        <ext xmlns:x14="http://schemas.microsoft.com/office/spreadsheetml/2009/9/main" uri="{B025F937-C7B1-47D3-B67F-A62EFF666E3E}">
          <x14:id>{3EFA630C-5394-4219-9C91-B0406B4A1A27}</x14:id>
        </ext>
      </extLst>
    </cfRule>
  </conditionalFormatting>
  <conditionalFormatting sqref="BL382">
    <cfRule type="iconSet" priority="811">
      <iconSet iconSet="3Arrows">
        <cfvo type="percent" val="0"/>
        <cfvo type="num" val="0.7"/>
        <cfvo type="num" val="1"/>
      </iconSet>
    </cfRule>
    <cfRule type="dataBar" priority="812">
      <dataBar>
        <cfvo type="num" val="0"/>
        <cfvo type="num" val="1"/>
        <color theme="4" tint="0.79998168889431442"/>
      </dataBar>
      <extLst>
        <ext xmlns:x14="http://schemas.microsoft.com/office/spreadsheetml/2009/9/main" uri="{B025F937-C7B1-47D3-B67F-A62EFF666E3E}">
          <x14:id>{5A2DC666-7F2C-4135-A692-16654F1AF5F3}</x14:id>
        </ext>
      </extLst>
    </cfRule>
  </conditionalFormatting>
  <conditionalFormatting sqref="BL384">
    <cfRule type="iconSet" priority="819">
      <iconSet iconSet="3Arrows">
        <cfvo type="percent" val="0"/>
        <cfvo type="num" val="0.7"/>
        <cfvo type="num" val="1"/>
      </iconSet>
    </cfRule>
    <cfRule type="dataBar" priority="820">
      <dataBar>
        <cfvo type="num" val="0"/>
        <cfvo type="num" val="1"/>
        <color theme="4" tint="0.79998168889431442"/>
      </dataBar>
      <extLst>
        <ext xmlns:x14="http://schemas.microsoft.com/office/spreadsheetml/2009/9/main" uri="{B025F937-C7B1-47D3-B67F-A62EFF666E3E}">
          <x14:id>{6FA1B9B6-739F-43FB-BB5F-B901D86BBF02}</x14:id>
        </ext>
      </extLst>
    </cfRule>
  </conditionalFormatting>
  <conditionalFormatting sqref="BL386">
    <cfRule type="iconSet" priority="620">
      <iconSet iconSet="3Arrows">
        <cfvo type="percent" val="0"/>
        <cfvo type="num" val="0.7"/>
        <cfvo type="num" val="1"/>
      </iconSet>
    </cfRule>
    <cfRule type="dataBar" priority="621">
      <dataBar>
        <cfvo type="num" val="0"/>
        <cfvo type="num" val="1"/>
        <color theme="4" tint="0.79998168889431442"/>
      </dataBar>
      <extLst>
        <ext xmlns:x14="http://schemas.microsoft.com/office/spreadsheetml/2009/9/main" uri="{B025F937-C7B1-47D3-B67F-A62EFF666E3E}">
          <x14:id>{D2733407-A48E-4428-8F2A-60EA7CEAB82B}</x14:id>
        </ext>
      </extLst>
    </cfRule>
  </conditionalFormatting>
  <conditionalFormatting sqref="BL388">
    <cfRule type="iconSet" priority="616">
      <iconSet iconSet="3Arrows">
        <cfvo type="percent" val="0"/>
        <cfvo type="num" val="0.7"/>
        <cfvo type="num" val="1"/>
      </iconSet>
    </cfRule>
    <cfRule type="dataBar" priority="617">
      <dataBar>
        <cfvo type="num" val="0"/>
        <cfvo type="num" val="1"/>
        <color theme="4" tint="0.79998168889431442"/>
      </dataBar>
      <extLst>
        <ext xmlns:x14="http://schemas.microsoft.com/office/spreadsheetml/2009/9/main" uri="{B025F937-C7B1-47D3-B67F-A62EFF666E3E}">
          <x14:id>{CC52C59D-D398-4DB1-8EB9-24DC54F64E9B}</x14:id>
        </ext>
      </extLst>
    </cfRule>
  </conditionalFormatting>
  <conditionalFormatting sqref="BL390">
    <cfRule type="iconSet" priority="618">
      <iconSet iconSet="3Arrows">
        <cfvo type="percent" val="0"/>
        <cfvo type="num" val="0.7"/>
        <cfvo type="num" val="1"/>
      </iconSet>
    </cfRule>
    <cfRule type="dataBar" priority="619">
      <dataBar>
        <cfvo type="num" val="0"/>
        <cfvo type="num" val="1"/>
        <color theme="4" tint="0.79998168889431442"/>
      </dataBar>
      <extLst>
        <ext xmlns:x14="http://schemas.microsoft.com/office/spreadsheetml/2009/9/main" uri="{B025F937-C7B1-47D3-B67F-A62EFF666E3E}">
          <x14:id>{6CCD94DA-4DA3-499E-8F92-F9C5EE7DAADC}</x14:id>
        </ext>
      </extLst>
    </cfRule>
  </conditionalFormatting>
  <conditionalFormatting sqref="BL393">
    <cfRule type="iconSet" priority="1146">
      <iconSet iconSet="3Arrows">
        <cfvo type="percent" val="0"/>
        <cfvo type="num" val="0.7"/>
        <cfvo type="num" val="1"/>
      </iconSet>
    </cfRule>
    <cfRule type="dataBar" priority="1147">
      <dataBar>
        <cfvo type="num" val="0"/>
        <cfvo type="num" val="1"/>
        <color theme="4" tint="0.79998168889431442"/>
      </dataBar>
      <extLst>
        <ext xmlns:x14="http://schemas.microsoft.com/office/spreadsheetml/2009/9/main" uri="{B025F937-C7B1-47D3-B67F-A62EFF666E3E}">
          <x14:id>{3A01C2AC-1DD0-4647-9AE7-AE8F3576D0AF}</x14:id>
        </ext>
      </extLst>
    </cfRule>
  </conditionalFormatting>
  <conditionalFormatting sqref="BL395">
    <cfRule type="iconSet" priority="1135">
      <iconSet iconSet="3Arrows">
        <cfvo type="percent" val="0"/>
        <cfvo type="num" val="0.7"/>
        <cfvo type="num" val="1"/>
      </iconSet>
    </cfRule>
    <cfRule type="dataBar" priority="1136">
      <dataBar>
        <cfvo type="num" val="0"/>
        <cfvo type="num" val="1"/>
        <color theme="4" tint="0.79998168889431442"/>
      </dataBar>
      <extLst>
        <ext xmlns:x14="http://schemas.microsoft.com/office/spreadsheetml/2009/9/main" uri="{B025F937-C7B1-47D3-B67F-A62EFF666E3E}">
          <x14:id>{4FA534EB-8BE7-4228-9C04-FE15642C267C}</x14:id>
        </ext>
      </extLst>
    </cfRule>
  </conditionalFormatting>
  <conditionalFormatting sqref="BL397">
    <cfRule type="iconSet" priority="1054">
      <iconSet iconSet="3Arrows">
        <cfvo type="percent" val="0"/>
        <cfvo type="num" val="0.7"/>
        <cfvo type="num" val="1"/>
      </iconSet>
    </cfRule>
    <cfRule type="dataBar" priority="1055">
      <dataBar>
        <cfvo type="num" val="0"/>
        <cfvo type="num" val="1"/>
        <color theme="4" tint="0.79998168889431442"/>
      </dataBar>
      <extLst>
        <ext xmlns:x14="http://schemas.microsoft.com/office/spreadsheetml/2009/9/main" uri="{B025F937-C7B1-47D3-B67F-A62EFF666E3E}">
          <x14:id>{B45737D7-C8F7-42BB-B1D2-EBA7856EEFE7}</x14:id>
        </ext>
      </extLst>
    </cfRule>
  </conditionalFormatting>
  <conditionalFormatting sqref="BL399">
    <cfRule type="iconSet" priority="1125">
      <iconSet iconSet="3Arrows">
        <cfvo type="percent" val="0"/>
        <cfvo type="num" val="0.7"/>
        <cfvo type="num" val="1"/>
      </iconSet>
    </cfRule>
    <cfRule type="dataBar" priority="1126">
      <dataBar>
        <cfvo type="num" val="0"/>
        <cfvo type="num" val="1"/>
        <color theme="4" tint="0.79998168889431442"/>
      </dataBar>
      <extLst>
        <ext xmlns:x14="http://schemas.microsoft.com/office/spreadsheetml/2009/9/main" uri="{B025F937-C7B1-47D3-B67F-A62EFF666E3E}">
          <x14:id>{A31A0448-6FB5-4B74-B9F5-4611BD5EBBA0}</x14:id>
        </ext>
      </extLst>
    </cfRule>
  </conditionalFormatting>
  <conditionalFormatting sqref="BL401">
    <cfRule type="iconSet" priority="763">
      <iconSet iconSet="3Arrows">
        <cfvo type="percent" val="0"/>
        <cfvo type="num" val="0.7"/>
        <cfvo type="num" val="1"/>
      </iconSet>
    </cfRule>
    <cfRule type="dataBar" priority="764">
      <dataBar>
        <cfvo type="num" val="0"/>
        <cfvo type="num" val="1"/>
        <color theme="4" tint="0.79998168889431442"/>
      </dataBar>
      <extLst>
        <ext xmlns:x14="http://schemas.microsoft.com/office/spreadsheetml/2009/9/main" uri="{B025F937-C7B1-47D3-B67F-A62EFF666E3E}">
          <x14:id>{C0AC79ED-FEF3-45B6-B670-845D9A459B4D}</x14:id>
        </ext>
      </extLst>
    </cfRule>
  </conditionalFormatting>
  <conditionalFormatting sqref="BL403">
    <cfRule type="iconSet" priority="761">
      <iconSet iconSet="3Arrows">
        <cfvo type="percent" val="0"/>
        <cfvo type="num" val="0.7"/>
        <cfvo type="num" val="1"/>
      </iconSet>
    </cfRule>
    <cfRule type="dataBar" priority="762">
      <dataBar>
        <cfvo type="num" val="0"/>
        <cfvo type="num" val="1"/>
        <color theme="4" tint="0.79998168889431442"/>
      </dataBar>
      <extLst>
        <ext xmlns:x14="http://schemas.microsoft.com/office/spreadsheetml/2009/9/main" uri="{B025F937-C7B1-47D3-B67F-A62EFF666E3E}">
          <x14:id>{1C7EC8B3-47EB-42A4-B0AC-E0A3453EA3AB}</x14:id>
        </ext>
      </extLst>
    </cfRule>
  </conditionalFormatting>
  <conditionalFormatting sqref="BL405">
    <cfRule type="iconSet" priority="691">
      <iconSet iconSet="3Arrows">
        <cfvo type="percent" val="0"/>
        <cfvo type="num" val="0.7"/>
        <cfvo type="num" val="1"/>
      </iconSet>
    </cfRule>
    <cfRule type="dataBar" priority="692">
      <dataBar>
        <cfvo type="num" val="0"/>
        <cfvo type="num" val="1"/>
        <color theme="4" tint="0.79998168889431442"/>
      </dataBar>
      <extLst>
        <ext xmlns:x14="http://schemas.microsoft.com/office/spreadsheetml/2009/9/main" uri="{B025F937-C7B1-47D3-B67F-A62EFF666E3E}">
          <x14:id>{0A04CD72-66F7-468F-A274-1433E9FA1920}</x14:id>
        </ext>
      </extLst>
    </cfRule>
  </conditionalFormatting>
  <conditionalFormatting sqref="BL407">
    <cfRule type="iconSet" priority="687">
      <iconSet iconSet="3Arrows">
        <cfvo type="percent" val="0"/>
        <cfvo type="num" val="0.7"/>
        <cfvo type="num" val="1"/>
      </iconSet>
    </cfRule>
    <cfRule type="dataBar" priority="688">
      <dataBar>
        <cfvo type="num" val="0"/>
        <cfvo type="num" val="1"/>
        <color theme="4" tint="0.79998168889431442"/>
      </dataBar>
      <extLst>
        <ext xmlns:x14="http://schemas.microsoft.com/office/spreadsheetml/2009/9/main" uri="{B025F937-C7B1-47D3-B67F-A62EFF666E3E}">
          <x14:id>{DF963299-74ED-4F0F-AB15-511495879A1E}</x14:id>
        </ext>
      </extLst>
    </cfRule>
  </conditionalFormatting>
  <conditionalFormatting sqref="BL409">
    <cfRule type="iconSet" priority="689">
      <iconSet iconSet="3Arrows">
        <cfvo type="percent" val="0"/>
        <cfvo type="num" val="0.7"/>
        <cfvo type="num" val="1"/>
      </iconSet>
    </cfRule>
    <cfRule type="dataBar" priority="690">
      <dataBar>
        <cfvo type="num" val="0"/>
        <cfvo type="num" val="1"/>
        <color theme="4" tint="0.79998168889431442"/>
      </dataBar>
      <extLst>
        <ext xmlns:x14="http://schemas.microsoft.com/office/spreadsheetml/2009/9/main" uri="{B025F937-C7B1-47D3-B67F-A62EFF666E3E}">
          <x14:id>{494CFD40-D1BA-452A-9EA1-82380A7C06B0}</x14:id>
        </ext>
      </extLst>
    </cfRule>
  </conditionalFormatting>
  <conditionalFormatting sqref="BL411">
    <cfRule type="iconSet" priority="613">
      <iconSet iconSet="3Arrows">
        <cfvo type="percent" val="0"/>
        <cfvo type="num" val="0.7"/>
        <cfvo type="num" val="1"/>
      </iconSet>
    </cfRule>
    <cfRule type="dataBar" priority="614">
      <dataBar>
        <cfvo type="num" val="0"/>
        <cfvo type="num" val="1"/>
        <color theme="4" tint="0.79998168889431442"/>
      </dataBar>
      <extLst>
        <ext xmlns:x14="http://schemas.microsoft.com/office/spreadsheetml/2009/9/main" uri="{B025F937-C7B1-47D3-B67F-A62EFF666E3E}">
          <x14:id>{5B1283A7-4090-41BD-8D2A-F164DF660375}</x14:id>
        </ext>
      </extLst>
    </cfRule>
  </conditionalFormatting>
  <conditionalFormatting sqref="BL413">
    <cfRule type="iconSet" priority="609">
      <iconSet iconSet="3Arrows">
        <cfvo type="percent" val="0"/>
        <cfvo type="num" val="0.7"/>
        <cfvo type="num" val="1"/>
      </iconSet>
    </cfRule>
    <cfRule type="dataBar" priority="610">
      <dataBar>
        <cfvo type="num" val="0"/>
        <cfvo type="num" val="1"/>
        <color theme="4" tint="0.79998168889431442"/>
      </dataBar>
      <extLst>
        <ext xmlns:x14="http://schemas.microsoft.com/office/spreadsheetml/2009/9/main" uri="{B025F937-C7B1-47D3-B67F-A62EFF666E3E}">
          <x14:id>{B7531AC4-715E-46FE-9090-3242AB6602A9}</x14:id>
        </ext>
      </extLst>
    </cfRule>
  </conditionalFormatting>
  <conditionalFormatting sqref="BL415">
    <cfRule type="iconSet" priority="611">
      <iconSet iconSet="3Arrows">
        <cfvo type="percent" val="0"/>
        <cfvo type="num" val="0.7"/>
        <cfvo type="num" val="1"/>
      </iconSet>
    </cfRule>
    <cfRule type="dataBar" priority="612">
      <dataBar>
        <cfvo type="num" val="0"/>
        <cfvo type="num" val="1"/>
        <color theme="4" tint="0.79998168889431442"/>
      </dataBar>
      <extLst>
        <ext xmlns:x14="http://schemas.microsoft.com/office/spreadsheetml/2009/9/main" uri="{B025F937-C7B1-47D3-B67F-A62EFF666E3E}">
          <x14:id>{2B5475ED-E4BD-4DEA-AFCD-413D5D255A95}</x14:id>
        </ext>
      </extLst>
    </cfRule>
  </conditionalFormatting>
  <conditionalFormatting sqref="BL417">
    <cfRule type="iconSet" priority="888">
      <iconSet iconSet="3Arrows">
        <cfvo type="percent" val="0"/>
        <cfvo type="num" val="0.7"/>
        <cfvo type="num" val="1"/>
      </iconSet>
    </cfRule>
    <cfRule type="dataBar" priority="889">
      <dataBar>
        <cfvo type="num" val="0"/>
        <cfvo type="num" val="1"/>
        <color theme="4" tint="0.79998168889431442"/>
      </dataBar>
      <extLst>
        <ext xmlns:x14="http://schemas.microsoft.com/office/spreadsheetml/2009/9/main" uri="{B025F937-C7B1-47D3-B67F-A62EFF666E3E}">
          <x14:id>{D4F1BAFB-B165-47D4-83D1-7C729436809A}</x14:id>
        </ext>
      </extLst>
    </cfRule>
  </conditionalFormatting>
  <conditionalFormatting sqref="BL419">
    <cfRule type="iconSet" priority="882">
      <iconSet iconSet="3Arrows">
        <cfvo type="percent" val="0"/>
        <cfvo type="num" val="0.7"/>
        <cfvo type="num" val="1"/>
      </iconSet>
    </cfRule>
    <cfRule type="dataBar" priority="883">
      <dataBar>
        <cfvo type="num" val="0"/>
        <cfvo type="num" val="1"/>
        <color theme="4" tint="0.79998168889431442"/>
      </dataBar>
      <extLst>
        <ext xmlns:x14="http://schemas.microsoft.com/office/spreadsheetml/2009/9/main" uri="{B025F937-C7B1-47D3-B67F-A62EFF666E3E}">
          <x14:id>{36258C11-4765-4D7C-ABA7-3C413C15EE17}</x14:id>
        </ext>
      </extLst>
    </cfRule>
  </conditionalFormatting>
  <conditionalFormatting sqref="BL421">
    <cfRule type="iconSet" priority="886">
      <iconSet iconSet="3Arrows">
        <cfvo type="percent" val="0"/>
        <cfvo type="num" val="0.7"/>
        <cfvo type="num" val="1"/>
      </iconSet>
    </cfRule>
    <cfRule type="dataBar" priority="887">
      <dataBar>
        <cfvo type="num" val="0"/>
        <cfvo type="num" val="1"/>
        <color theme="4" tint="0.79998168889431442"/>
      </dataBar>
      <extLst>
        <ext xmlns:x14="http://schemas.microsoft.com/office/spreadsheetml/2009/9/main" uri="{B025F937-C7B1-47D3-B67F-A62EFF666E3E}">
          <x14:id>{6F53778F-F13E-4786-86B5-3A2B34861E10}</x14:id>
        </ext>
      </extLst>
    </cfRule>
  </conditionalFormatting>
  <conditionalFormatting sqref="BL423">
    <cfRule type="iconSet" priority="884">
      <iconSet iconSet="3Arrows">
        <cfvo type="percent" val="0"/>
        <cfvo type="num" val="0.7"/>
        <cfvo type="num" val="1"/>
      </iconSet>
    </cfRule>
    <cfRule type="dataBar" priority="885">
      <dataBar>
        <cfvo type="num" val="0"/>
        <cfvo type="num" val="1"/>
        <color theme="4" tint="0.79998168889431442"/>
      </dataBar>
      <extLst>
        <ext xmlns:x14="http://schemas.microsoft.com/office/spreadsheetml/2009/9/main" uri="{B025F937-C7B1-47D3-B67F-A62EFF666E3E}">
          <x14:id>{116D7073-0165-465E-A2A8-0F6BF3E7BB8F}</x14:id>
        </ext>
      </extLst>
    </cfRule>
  </conditionalFormatting>
  <conditionalFormatting sqref="BL425">
    <cfRule type="iconSet" priority="180">
      <iconSet iconSet="3Arrows">
        <cfvo type="percent" val="0"/>
        <cfvo type="num" val="0.7"/>
        <cfvo type="num" val="1"/>
      </iconSet>
    </cfRule>
    <cfRule type="dataBar" priority="181">
      <dataBar>
        <cfvo type="num" val="0"/>
        <cfvo type="num" val="1"/>
        <color theme="4" tint="0.79998168889431442"/>
      </dataBar>
      <extLst>
        <ext xmlns:x14="http://schemas.microsoft.com/office/spreadsheetml/2009/9/main" uri="{B025F937-C7B1-47D3-B67F-A62EFF666E3E}">
          <x14:id>{025468E7-7F05-46DC-9850-87B93F2D856B}</x14:id>
        </ext>
      </extLst>
    </cfRule>
  </conditionalFormatting>
  <conditionalFormatting sqref="BL428">
    <cfRule type="iconSet" priority="1123">
      <iconSet iconSet="3Arrows">
        <cfvo type="percent" val="0"/>
        <cfvo type="num" val="0.7"/>
        <cfvo type="num" val="1"/>
      </iconSet>
    </cfRule>
    <cfRule type="dataBar" priority="1124">
      <dataBar>
        <cfvo type="num" val="0"/>
        <cfvo type="num" val="1"/>
        <color theme="4" tint="0.79998168889431442"/>
      </dataBar>
      <extLst>
        <ext xmlns:x14="http://schemas.microsoft.com/office/spreadsheetml/2009/9/main" uri="{B025F937-C7B1-47D3-B67F-A62EFF666E3E}">
          <x14:id>{4179959F-DBB6-40D4-B2DA-A70DF3F0D0E1}</x14:id>
        </ext>
      </extLst>
    </cfRule>
  </conditionalFormatting>
  <conditionalFormatting sqref="BL430">
    <cfRule type="iconSet" priority="1052">
      <iconSet iconSet="3Arrows">
        <cfvo type="percent" val="0"/>
        <cfvo type="num" val="0.7"/>
        <cfvo type="num" val="1"/>
      </iconSet>
    </cfRule>
    <cfRule type="dataBar" priority="1053">
      <dataBar>
        <cfvo type="num" val="0"/>
        <cfvo type="num" val="1"/>
        <color theme="4" tint="0.79998168889431442"/>
      </dataBar>
      <extLst>
        <ext xmlns:x14="http://schemas.microsoft.com/office/spreadsheetml/2009/9/main" uri="{B025F937-C7B1-47D3-B67F-A62EFF666E3E}">
          <x14:id>{21FDAF70-518C-42DC-BCBB-EE891E8079C5}</x14:id>
        </ext>
      </extLst>
    </cfRule>
  </conditionalFormatting>
  <conditionalFormatting sqref="BL432">
    <cfRule type="iconSet" priority="808">
      <iconSet iconSet="3Arrows">
        <cfvo type="percent" val="0"/>
        <cfvo type="num" val="0.7"/>
        <cfvo type="num" val="1"/>
      </iconSet>
    </cfRule>
    <cfRule type="dataBar" priority="809">
      <dataBar>
        <cfvo type="num" val="0"/>
        <cfvo type="num" val="1"/>
        <color theme="4" tint="0.79998168889431442"/>
      </dataBar>
      <extLst>
        <ext xmlns:x14="http://schemas.microsoft.com/office/spreadsheetml/2009/9/main" uri="{B025F937-C7B1-47D3-B67F-A62EFF666E3E}">
          <x14:id>{D44C305E-8751-4FFE-8D24-673C63A07398}</x14:id>
        </ext>
      </extLst>
    </cfRule>
  </conditionalFormatting>
  <conditionalFormatting sqref="BL434">
    <cfRule type="iconSet" priority="878">
      <iconSet iconSet="3Arrows">
        <cfvo type="percent" val="0"/>
        <cfvo type="num" val="0.7"/>
        <cfvo type="num" val="1"/>
      </iconSet>
    </cfRule>
    <cfRule type="dataBar" priority="879">
      <dataBar>
        <cfvo type="num" val="0"/>
        <cfvo type="num" val="1"/>
        <color theme="4" tint="0.79998168889431442"/>
      </dataBar>
      <extLst>
        <ext xmlns:x14="http://schemas.microsoft.com/office/spreadsheetml/2009/9/main" uri="{B025F937-C7B1-47D3-B67F-A62EFF666E3E}">
          <x14:id>{5303D339-253F-4D22-A9EE-498807468321}</x14:id>
        </ext>
      </extLst>
    </cfRule>
  </conditionalFormatting>
  <conditionalFormatting sqref="BL436">
    <cfRule type="iconSet" priority="876">
      <iconSet iconSet="3Arrows">
        <cfvo type="percent" val="0"/>
        <cfvo type="num" val="0.7"/>
        <cfvo type="num" val="1"/>
      </iconSet>
    </cfRule>
    <cfRule type="dataBar" priority="877">
      <dataBar>
        <cfvo type="num" val="0"/>
        <cfvo type="num" val="1"/>
        <color theme="4" tint="0.79998168889431442"/>
      </dataBar>
      <extLst>
        <ext xmlns:x14="http://schemas.microsoft.com/office/spreadsheetml/2009/9/main" uri="{B025F937-C7B1-47D3-B67F-A62EFF666E3E}">
          <x14:id>{32FC3FFF-4F91-495A-ABB9-5B28BB90DED3}</x14:id>
        </ext>
      </extLst>
    </cfRule>
  </conditionalFormatting>
  <conditionalFormatting sqref="BL438">
    <cfRule type="iconSet" priority="874">
      <iconSet iconSet="3Arrows">
        <cfvo type="percent" val="0"/>
        <cfvo type="num" val="0.7"/>
        <cfvo type="num" val="1"/>
      </iconSet>
    </cfRule>
    <cfRule type="dataBar" priority="875">
      <dataBar>
        <cfvo type="num" val="0"/>
        <cfvo type="num" val="1"/>
        <color theme="4" tint="0.79998168889431442"/>
      </dataBar>
      <extLst>
        <ext xmlns:x14="http://schemas.microsoft.com/office/spreadsheetml/2009/9/main" uri="{B025F937-C7B1-47D3-B67F-A62EFF666E3E}">
          <x14:id>{D8801ADA-9C27-41B8-92E9-18701392B074}</x14:id>
        </ext>
      </extLst>
    </cfRule>
  </conditionalFormatting>
  <conditionalFormatting sqref="BL440">
    <cfRule type="iconSet" priority="872">
      <iconSet iconSet="3Arrows">
        <cfvo type="percent" val="0"/>
        <cfvo type="num" val="0.7"/>
        <cfvo type="num" val="1"/>
      </iconSet>
    </cfRule>
    <cfRule type="dataBar" priority="873">
      <dataBar>
        <cfvo type="num" val="0"/>
        <cfvo type="num" val="1"/>
        <color theme="4" tint="0.79998168889431442"/>
      </dataBar>
      <extLst>
        <ext xmlns:x14="http://schemas.microsoft.com/office/spreadsheetml/2009/9/main" uri="{B025F937-C7B1-47D3-B67F-A62EFF666E3E}">
          <x14:id>{5BEC3671-CC3E-4983-80F0-FFC4215B7DF1}</x14:id>
        </ext>
      </extLst>
    </cfRule>
  </conditionalFormatting>
  <conditionalFormatting sqref="BL442">
    <cfRule type="iconSet" priority="605">
      <iconSet iconSet="3Arrows">
        <cfvo type="percent" val="0"/>
        <cfvo type="num" val="0.7"/>
        <cfvo type="num" val="1"/>
      </iconSet>
    </cfRule>
    <cfRule type="dataBar" priority="606">
      <dataBar>
        <cfvo type="num" val="0"/>
        <cfvo type="num" val="1"/>
        <color theme="4" tint="0.79998168889431442"/>
      </dataBar>
      <extLst>
        <ext xmlns:x14="http://schemas.microsoft.com/office/spreadsheetml/2009/9/main" uri="{B025F937-C7B1-47D3-B67F-A62EFF666E3E}">
          <x14:id>{70B2B1D6-9D80-42A4-BD03-106C76FB23E0}</x14:id>
        </ext>
      </extLst>
    </cfRule>
  </conditionalFormatting>
  <conditionalFormatting sqref="BL444">
    <cfRule type="iconSet" priority="1121">
      <iconSet iconSet="3Arrows">
        <cfvo type="percent" val="0"/>
        <cfvo type="num" val="0.7"/>
        <cfvo type="num" val="1"/>
      </iconSet>
    </cfRule>
    <cfRule type="dataBar" priority="1122">
      <dataBar>
        <cfvo type="num" val="0"/>
        <cfvo type="num" val="1"/>
        <color theme="4" tint="0.79998168889431442"/>
      </dataBar>
      <extLst>
        <ext xmlns:x14="http://schemas.microsoft.com/office/spreadsheetml/2009/9/main" uri="{B025F937-C7B1-47D3-B67F-A62EFF666E3E}">
          <x14:id>{C7505E94-21EC-437B-9B5E-1FD09A72500F}</x14:id>
        </ext>
      </extLst>
    </cfRule>
  </conditionalFormatting>
  <conditionalFormatting sqref="BL446">
    <cfRule type="iconSet" priority="603">
      <iconSet iconSet="3Arrows">
        <cfvo type="percent" val="0"/>
        <cfvo type="num" val="0.7"/>
        <cfvo type="num" val="1"/>
      </iconSet>
    </cfRule>
    <cfRule type="dataBar" priority="604">
      <dataBar>
        <cfvo type="num" val="0"/>
        <cfvo type="num" val="1"/>
        <color theme="4" tint="0.79998168889431442"/>
      </dataBar>
      <extLst>
        <ext xmlns:x14="http://schemas.microsoft.com/office/spreadsheetml/2009/9/main" uri="{B025F937-C7B1-47D3-B67F-A62EFF666E3E}">
          <x14:id>{1B26B04D-597F-4060-B4AF-B6471E88233D}</x14:id>
        </ext>
      </extLst>
    </cfRule>
  </conditionalFormatting>
  <conditionalFormatting sqref="BL448">
    <cfRule type="iconSet" priority="1119">
      <iconSet iconSet="3Arrows">
        <cfvo type="percent" val="0"/>
        <cfvo type="num" val="0.7"/>
        <cfvo type="num" val="1"/>
      </iconSet>
    </cfRule>
    <cfRule type="dataBar" priority="1120">
      <dataBar>
        <cfvo type="num" val="0"/>
        <cfvo type="num" val="1"/>
        <color theme="4" tint="0.79998168889431442"/>
      </dataBar>
      <extLst>
        <ext xmlns:x14="http://schemas.microsoft.com/office/spreadsheetml/2009/9/main" uri="{B025F937-C7B1-47D3-B67F-A62EFF666E3E}">
          <x14:id>{890FFB38-49E1-409D-89A4-D7E333A06434}</x14:id>
        </ext>
      </extLst>
    </cfRule>
  </conditionalFormatting>
  <conditionalFormatting sqref="BL450">
    <cfRule type="iconSet" priority="1117">
      <iconSet iconSet="3Arrows">
        <cfvo type="percent" val="0"/>
        <cfvo type="num" val="0.7"/>
        <cfvo type="num" val="1"/>
      </iconSet>
    </cfRule>
    <cfRule type="dataBar" priority="1118">
      <dataBar>
        <cfvo type="num" val="0"/>
        <cfvo type="num" val="1"/>
        <color theme="4" tint="0.79998168889431442"/>
      </dataBar>
      <extLst>
        <ext xmlns:x14="http://schemas.microsoft.com/office/spreadsheetml/2009/9/main" uri="{B025F937-C7B1-47D3-B67F-A62EFF666E3E}">
          <x14:id>{FBF1CBA9-70CF-40F7-AC06-89A05A497ECE}</x14:id>
        </ext>
      </extLst>
    </cfRule>
  </conditionalFormatting>
  <conditionalFormatting sqref="BL452">
    <cfRule type="iconSet" priority="1115">
      <iconSet iconSet="3Arrows">
        <cfvo type="percent" val="0"/>
        <cfvo type="num" val="0.7"/>
        <cfvo type="num" val="1"/>
      </iconSet>
    </cfRule>
    <cfRule type="dataBar" priority="1116">
      <dataBar>
        <cfvo type="num" val="0"/>
        <cfvo type="num" val="1"/>
        <color theme="4" tint="0.79998168889431442"/>
      </dataBar>
      <extLst>
        <ext xmlns:x14="http://schemas.microsoft.com/office/spreadsheetml/2009/9/main" uri="{B025F937-C7B1-47D3-B67F-A62EFF666E3E}">
          <x14:id>{B97313C7-FE1D-4E90-9298-9ECE55C7EBBD}</x14:id>
        </ext>
      </extLst>
    </cfRule>
  </conditionalFormatting>
  <conditionalFormatting sqref="BL454">
    <cfRule type="iconSet" priority="1113">
      <iconSet iconSet="3Arrows">
        <cfvo type="percent" val="0"/>
        <cfvo type="num" val="0.7"/>
        <cfvo type="num" val="1"/>
      </iconSet>
    </cfRule>
    <cfRule type="dataBar" priority="1114">
      <dataBar>
        <cfvo type="num" val="0"/>
        <cfvo type="num" val="1"/>
        <color theme="4" tint="0.79998168889431442"/>
      </dataBar>
      <extLst>
        <ext xmlns:x14="http://schemas.microsoft.com/office/spreadsheetml/2009/9/main" uri="{B025F937-C7B1-47D3-B67F-A62EFF666E3E}">
          <x14:id>{B832A44C-5772-4C52-A7FB-C3F69CAC02E3}</x14:id>
        </ext>
      </extLst>
    </cfRule>
  </conditionalFormatting>
  <conditionalFormatting sqref="BL456">
    <cfRule type="iconSet" priority="1111">
      <iconSet iconSet="3Arrows">
        <cfvo type="percent" val="0"/>
        <cfvo type="num" val="0.7"/>
        <cfvo type="num" val="1"/>
      </iconSet>
    </cfRule>
    <cfRule type="dataBar" priority="1112">
      <dataBar>
        <cfvo type="num" val="0"/>
        <cfvo type="num" val="1"/>
        <color theme="4" tint="0.79998168889431442"/>
      </dataBar>
      <extLst>
        <ext xmlns:x14="http://schemas.microsoft.com/office/spreadsheetml/2009/9/main" uri="{B025F937-C7B1-47D3-B67F-A62EFF666E3E}">
          <x14:id>{C230CDFB-8161-4FAC-842B-93E9BBD90591}</x14:id>
        </ext>
      </extLst>
    </cfRule>
  </conditionalFormatting>
  <conditionalFormatting sqref="BL458">
    <cfRule type="iconSet" priority="1109">
      <iconSet iconSet="3Arrows">
        <cfvo type="percent" val="0"/>
        <cfvo type="num" val="0.7"/>
        <cfvo type="num" val="1"/>
      </iconSet>
    </cfRule>
    <cfRule type="dataBar" priority="1110">
      <dataBar>
        <cfvo type="num" val="0"/>
        <cfvo type="num" val="1"/>
        <color theme="4" tint="0.79998168889431442"/>
      </dataBar>
      <extLst>
        <ext xmlns:x14="http://schemas.microsoft.com/office/spreadsheetml/2009/9/main" uri="{B025F937-C7B1-47D3-B67F-A62EFF666E3E}">
          <x14:id>{AD634330-DB38-411C-BB21-215C4AD1491F}</x14:id>
        </ext>
      </extLst>
    </cfRule>
  </conditionalFormatting>
  <conditionalFormatting sqref="BL460">
    <cfRule type="iconSet" priority="805">
      <iconSet iconSet="3Arrows">
        <cfvo type="percent" val="0"/>
        <cfvo type="num" val="0.7"/>
        <cfvo type="num" val="1"/>
      </iconSet>
    </cfRule>
    <cfRule type="dataBar" priority="806">
      <dataBar>
        <cfvo type="num" val="0"/>
        <cfvo type="num" val="1"/>
        <color theme="4" tint="0.79998168889431442"/>
      </dataBar>
      <extLst>
        <ext xmlns:x14="http://schemas.microsoft.com/office/spreadsheetml/2009/9/main" uri="{B025F937-C7B1-47D3-B67F-A62EFF666E3E}">
          <x14:id>{0A4D3240-B153-48D8-8506-CE4EEFE43EE1}</x14:id>
        </ext>
      </extLst>
    </cfRule>
  </conditionalFormatting>
  <conditionalFormatting sqref="BL462">
    <cfRule type="iconSet" priority="1107">
      <iconSet iconSet="3Arrows">
        <cfvo type="percent" val="0"/>
        <cfvo type="num" val="0.7"/>
        <cfvo type="num" val="1"/>
      </iconSet>
    </cfRule>
    <cfRule type="dataBar" priority="1108">
      <dataBar>
        <cfvo type="num" val="0"/>
        <cfvo type="num" val="1"/>
        <color theme="4" tint="0.79998168889431442"/>
      </dataBar>
      <extLst>
        <ext xmlns:x14="http://schemas.microsoft.com/office/spreadsheetml/2009/9/main" uri="{B025F937-C7B1-47D3-B67F-A62EFF666E3E}">
          <x14:id>{57B158E2-6111-470F-8770-4FF1923CC782}</x14:id>
        </ext>
      </extLst>
    </cfRule>
  </conditionalFormatting>
  <conditionalFormatting sqref="BL464">
    <cfRule type="iconSet" priority="1103">
      <iconSet iconSet="3Arrows">
        <cfvo type="percent" val="0"/>
        <cfvo type="num" val="0.7"/>
        <cfvo type="num" val="1"/>
      </iconSet>
    </cfRule>
    <cfRule type="dataBar" priority="1104">
      <dataBar>
        <cfvo type="num" val="0"/>
        <cfvo type="num" val="1"/>
        <color theme="4" tint="0.79998168889431442"/>
      </dataBar>
      <extLst>
        <ext xmlns:x14="http://schemas.microsoft.com/office/spreadsheetml/2009/9/main" uri="{B025F937-C7B1-47D3-B67F-A62EFF666E3E}">
          <x14:id>{65F59EEE-E6D2-40AE-B4DD-6AC80AFE4F7C}</x14:id>
        </ext>
      </extLst>
    </cfRule>
  </conditionalFormatting>
  <conditionalFormatting sqref="BL466">
    <cfRule type="iconSet" priority="908">
      <iconSet iconSet="3Arrows">
        <cfvo type="percent" val="0"/>
        <cfvo type="num" val="0.7"/>
        <cfvo type="num" val="1"/>
      </iconSet>
    </cfRule>
    <cfRule type="dataBar" priority="909">
      <dataBar>
        <cfvo type="num" val="0"/>
        <cfvo type="num" val="1"/>
        <color theme="4" tint="0.79998168889431442"/>
      </dataBar>
      <extLst>
        <ext xmlns:x14="http://schemas.microsoft.com/office/spreadsheetml/2009/9/main" uri="{B025F937-C7B1-47D3-B67F-A62EFF666E3E}">
          <x14:id>{BEC8B694-71BB-41C2-8050-00DDD7EF34AF}</x14:id>
        </ext>
      </extLst>
    </cfRule>
  </conditionalFormatting>
  <conditionalFormatting sqref="BL468">
    <cfRule type="iconSet" priority="906">
      <iconSet iconSet="3Arrows">
        <cfvo type="percent" val="0"/>
        <cfvo type="num" val="0.7"/>
        <cfvo type="num" val="1"/>
      </iconSet>
    </cfRule>
    <cfRule type="dataBar" priority="907">
      <dataBar>
        <cfvo type="num" val="0"/>
        <cfvo type="num" val="1"/>
        <color theme="4" tint="0.79998168889431442"/>
      </dataBar>
      <extLst>
        <ext xmlns:x14="http://schemas.microsoft.com/office/spreadsheetml/2009/9/main" uri="{B025F937-C7B1-47D3-B67F-A62EFF666E3E}">
          <x14:id>{41D44E63-472C-4ACA-B743-EE56FDABD4D1}</x14:id>
        </ext>
      </extLst>
    </cfRule>
  </conditionalFormatting>
  <conditionalFormatting sqref="BL470">
    <cfRule type="iconSet" priority="1105">
      <iconSet iconSet="3Arrows">
        <cfvo type="percent" val="0"/>
        <cfvo type="num" val="0.7"/>
        <cfvo type="num" val="1"/>
      </iconSet>
    </cfRule>
    <cfRule type="dataBar" priority="1106">
      <dataBar>
        <cfvo type="num" val="0"/>
        <cfvo type="num" val="1"/>
        <color theme="4" tint="0.79998168889431442"/>
      </dataBar>
      <extLst>
        <ext xmlns:x14="http://schemas.microsoft.com/office/spreadsheetml/2009/9/main" uri="{B025F937-C7B1-47D3-B67F-A62EFF666E3E}">
          <x14:id>{8293972B-5FC3-4258-91D7-F84B857ACBEB}</x14:id>
        </ext>
      </extLst>
    </cfRule>
  </conditionalFormatting>
  <conditionalFormatting sqref="BL472">
    <cfRule type="iconSet" priority="1101">
      <iconSet iconSet="3Arrows">
        <cfvo type="percent" val="0"/>
        <cfvo type="num" val="0.7"/>
        <cfvo type="num" val="1"/>
      </iconSet>
    </cfRule>
    <cfRule type="dataBar" priority="1102">
      <dataBar>
        <cfvo type="num" val="0"/>
        <cfvo type="num" val="1"/>
        <color theme="4" tint="0.79998168889431442"/>
      </dataBar>
      <extLst>
        <ext xmlns:x14="http://schemas.microsoft.com/office/spreadsheetml/2009/9/main" uri="{B025F937-C7B1-47D3-B67F-A62EFF666E3E}">
          <x14:id>{9FB499D0-0D5A-4B24-92BB-DA1841401819}</x14:id>
        </ext>
      </extLst>
    </cfRule>
  </conditionalFormatting>
  <conditionalFormatting sqref="BL474">
    <cfRule type="iconSet" priority="1099">
      <iconSet iconSet="3Arrows">
        <cfvo type="percent" val="0"/>
        <cfvo type="num" val="0.7"/>
        <cfvo type="num" val="1"/>
      </iconSet>
    </cfRule>
    <cfRule type="dataBar" priority="1100">
      <dataBar>
        <cfvo type="num" val="0"/>
        <cfvo type="num" val="1"/>
        <color theme="4" tint="0.79998168889431442"/>
      </dataBar>
      <extLst>
        <ext xmlns:x14="http://schemas.microsoft.com/office/spreadsheetml/2009/9/main" uri="{B025F937-C7B1-47D3-B67F-A62EFF666E3E}">
          <x14:id>{2AB42795-552E-422B-ACF5-28AB2A6F9A1E}</x14:id>
        </ext>
      </extLst>
    </cfRule>
  </conditionalFormatting>
  <conditionalFormatting sqref="BL476">
    <cfRule type="iconSet" priority="1009">
      <iconSet iconSet="3Arrows">
        <cfvo type="percent" val="0"/>
        <cfvo type="num" val="0.7"/>
        <cfvo type="num" val="1"/>
      </iconSet>
    </cfRule>
    <cfRule type="dataBar" priority="1010">
      <dataBar>
        <cfvo type="num" val="0"/>
        <cfvo type="num" val="1"/>
        <color theme="4" tint="0.79998168889431442"/>
      </dataBar>
      <extLst>
        <ext xmlns:x14="http://schemas.microsoft.com/office/spreadsheetml/2009/9/main" uri="{B025F937-C7B1-47D3-B67F-A62EFF666E3E}">
          <x14:id>{931C75C7-DF89-4BC4-9ABE-6D1E54CB1638}</x14:id>
        </ext>
      </extLst>
    </cfRule>
  </conditionalFormatting>
  <conditionalFormatting sqref="BL478">
    <cfRule type="iconSet" priority="932">
      <iconSet iconSet="3Arrows">
        <cfvo type="percent" val="0"/>
        <cfvo type="num" val="0.7"/>
        <cfvo type="num" val="1"/>
      </iconSet>
    </cfRule>
    <cfRule type="dataBar" priority="933">
      <dataBar>
        <cfvo type="num" val="0"/>
        <cfvo type="num" val="1"/>
        <color theme="4" tint="0.79998168889431442"/>
      </dataBar>
      <extLst>
        <ext xmlns:x14="http://schemas.microsoft.com/office/spreadsheetml/2009/9/main" uri="{B025F937-C7B1-47D3-B67F-A62EFF666E3E}">
          <x14:id>{5A4E279E-AEC9-471E-B368-00DC546647E8}</x14:id>
        </ext>
      </extLst>
    </cfRule>
  </conditionalFormatting>
  <conditionalFormatting sqref="BL480">
    <cfRule type="iconSet" priority="870">
      <iconSet iconSet="3Arrows">
        <cfvo type="percent" val="0"/>
        <cfvo type="num" val="0.7"/>
        <cfvo type="num" val="1"/>
      </iconSet>
    </cfRule>
    <cfRule type="dataBar" priority="871">
      <dataBar>
        <cfvo type="num" val="0"/>
        <cfvo type="num" val="1"/>
        <color theme="4" tint="0.79998168889431442"/>
      </dataBar>
      <extLst>
        <ext xmlns:x14="http://schemas.microsoft.com/office/spreadsheetml/2009/9/main" uri="{B025F937-C7B1-47D3-B67F-A62EFF666E3E}">
          <x14:id>{9FCB2B97-53DE-469B-8AE0-CE6A1E9E0A04}</x14:id>
        </ext>
      </extLst>
    </cfRule>
  </conditionalFormatting>
  <conditionalFormatting sqref="BL482">
    <cfRule type="iconSet" priority="868">
      <iconSet iconSet="3Arrows">
        <cfvo type="percent" val="0"/>
        <cfvo type="num" val="0.7"/>
        <cfvo type="num" val="1"/>
      </iconSet>
    </cfRule>
    <cfRule type="dataBar" priority="869">
      <dataBar>
        <cfvo type="num" val="0"/>
        <cfvo type="num" val="1"/>
        <color theme="4" tint="0.79998168889431442"/>
      </dataBar>
      <extLst>
        <ext xmlns:x14="http://schemas.microsoft.com/office/spreadsheetml/2009/9/main" uri="{B025F937-C7B1-47D3-B67F-A62EFF666E3E}">
          <x14:id>{E7C68CF1-B6D1-47FF-B9F0-0A18EB2147B4}</x14:id>
        </ext>
      </extLst>
    </cfRule>
  </conditionalFormatting>
  <conditionalFormatting sqref="BL484">
    <cfRule type="iconSet" priority="759">
      <iconSet iconSet="3Arrows">
        <cfvo type="percent" val="0"/>
        <cfvo type="num" val="0.7"/>
        <cfvo type="num" val="1"/>
      </iconSet>
    </cfRule>
    <cfRule type="dataBar" priority="760">
      <dataBar>
        <cfvo type="num" val="0"/>
        <cfvo type="num" val="1"/>
        <color theme="4" tint="0.79998168889431442"/>
      </dataBar>
      <extLst>
        <ext xmlns:x14="http://schemas.microsoft.com/office/spreadsheetml/2009/9/main" uri="{B025F937-C7B1-47D3-B67F-A62EFF666E3E}">
          <x14:id>{E84A874F-AAA3-453F-86A6-31385C7BAB31}</x14:id>
        </ext>
      </extLst>
    </cfRule>
  </conditionalFormatting>
  <conditionalFormatting sqref="BL486">
    <cfRule type="iconSet" priority="1097">
      <iconSet iconSet="3Arrows">
        <cfvo type="percent" val="0"/>
        <cfvo type="num" val="0.7"/>
        <cfvo type="num" val="1"/>
      </iconSet>
    </cfRule>
    <cfRule type="dataBar" priority="1098">
      <dataBar>
        <cfvo type="num" val="0"/>
        <cfvo type="num" val="1"/>
        <color theme="4" tint="0.79998168889431442"/>
      </dataBar>
      <extLst>
        <ext xmlns:x14="http://schemas.microsoft.com/office/spreadsheetml/2009/9/main" uri="{B025F937-C7B1-47D3-B67F-A62EFF666E3E}">
          <x14:id>{296E1AFF-DD0A-478B-991A-06E18704D8DA}</x14:id>
        </ext>
      </extLst>
    </cfRule>
  </conditionalFormatting>
  <conditionalFormatting sqref="BL488">
    <cfRule type="iconSet" priority="731">
      <iconSet iconSet="3Arrows">
        <cfvo type="percent" val="0"/>
        <cfvo type="num" val="0.7"/>
        <cfvo type="num" val="1"/>
      </iconSet>
    </cfRule>
    <cfRule type="dataBar" priority="732">
      <dataBar>
        <cfvo type="num" val="0"/>
        <cfvo type="num" val="1"/>
        <color theme="4" tint="0.79998168889431442"/>
      </dataBar>
      <extLst>
        <ext xmlns:x14="http://schemas.microsoft.com/office/spreadsheetml/2009/9/main" uri="{B025F937-C7B1-47D3-B67F-A62EFF666E3E}">
          <x14:id>{E4B92B8A-DC53-4092-964F-B5FA2F16C482}</x14:id>
        </ext>
      </extLst>
    </cfRule>
  </conditionalFormatting>
  <conditionalFormatting sqref="BL490">
    <cfRule type="iconSet" priority="744">
      <iconSet iconSet="3Arrows">
        <cfvo type="percent" val="0"/>
        <cfvo type="num" val="0.7"/>
        <cfvo type="num" val="1"/>
      </iconSet>
    </cfRule>
    <cfRule type="dataBar" priority="745">
      <dataBar>
        <cfvo type="num" val="0"/>
        <cfvo type="num" val="1"/>
        <color theme="4" tint="0.79998168889431442"/>
      </dataBar>
      <extLst>
        <ext xmlns:x14="http://schemas.microsoft.com/office/spreadsheetml/2009/9/main" uri="{B025F937-C7B1-47D3-B67F-A62EFF666E3E}">
          <x14:id>{F09CC887-A15F-40BD-B133-5D31C7592A85}</x14:id>
        </ext>
      </extLst>
    </cfRule>
  </conditionalFormatting>
  <conditionalFormatting sqref="BL492">
    <cfRule type="iconSet" priority="742">
      <iconSet iconSet="3Arrows">
        <cfvo type="percent" val="0"/>
        <cfvo type="num" val="0.7"/>
        <cfvo type="num" val="1"/>
      </iconSet>
    </cfRule>
    <cfRule type="dataBar" priority="743">
      <dataBar>
        <cfvo type="num" val="0"/>
        <cfvo type="num" val="1"/>
        <color theme="4" tint="0.79998168889431442"/>
      </dataBar>
      <extLst>
        <ext xmlns:x14="http://schemas.microsoft.com/office/spreadsheetml/2009/9/main" uri="{B025F937-C7B1-47D3-B67F-A62EFF666E3E}">
          <x14:id>{3BA32880-F9A7-4851-A46C-B859FDAC77B9}</x14:id>
        </ext>
      </extLst>
    </cfRule>
  </conditionalFormatting>
  <conditionalFormatting sqref="BL494">
    <cfRule type="iconSet" priority="740">
      <iconSet iconSet="3Arrows">
        <cfvo type="percent" val="0"/>
        <cfvo type="num" val="0.7"/>
        <cfvo type="num" val="1"/>
      </iconSet>
    </cfRule>
    <cfRule type="dataBar" priority="741">
      <dataBar>
        <cfvo type="num" val="0"/>
        <cfvo type="num" val="1"/>
        <color theme="4" tint="0.79998168889431442"/>
      </dataBar>
      <extLst>
        <ext xmlns:x14="http://schemas.microsoft.com/office/spreadsheetml/2009/9/main" uri="{B025F937-C7B1-47D3-B67F-A62EFF666E3E}">
          <x14:id>{35C7501B-1C59-4A1F-84EF-F31F2446C8E6}</x14:id>
        </ext>
      </extLst>
    </cfRule>
  </conditionalFormatting>
  <conditionalFormatting sqref="BL496">
    <cfRule type="iconSet" priority="738">
      <iconSet iconSet="3Arrows">
        <cfvo type="percent" val="0"/>
        <cfvo type="num" val="0.7"/>
        <cfvo type="num" val="1"/>
      </iconSet>
    </cfRule>
    <cfRule type="dataBar" priority="739">
      <dataBar>
        <cfvo type="num" val="0"/>
        <cfvo type="num" val="1"/>
        <color theme="4" tint="0.79998168889431442"/>
      </dataBar>
      <extLst>
        <ext xmlns:x14="http://schemas.microsoft.com/office/spreadsheetml/2009/9/main" uri="{B025F937-C7B1-47D3-B67F-A62EFF666E3E}">
          <x14:id>{9E0C0DFC-5776-46E5-AB95-89D40156A9F2}</x14:id>
        </ext>
      </extLst>
    </cfRule>
  </conditionalFormatting>
  <conditionalFormatting sqref="BL498">
    <cfRule type="iconSet" priority="736">
      <iconSet iconSet="3Arrows">
        <cfvo type="percent" val="0"/>
        <cfvo type="num" val="0.7"/>
        <cfvo type="num" val="1"/>
      </iconSet>
    </cfRule>
    <cfRule type="dataBar" priority="737">
      <dataBar>
        <cfvo type="num" val="0"/>
        <cfvo type="num" val="1"/>
        <color theme="4" tint="0.79998168889431442"/>
      </dataBar>
      <extLst>
        <ext xmlns:x14="http://schemas.microsoft.com/office/spreadsheetml/2009/9/main" uri="{B025F937-C7B1-47D3-B67F-A62EFF666E3E}">
          <x14:id>{CE7B3FDE-2455-4C45-BFD1-B31237A6D547}</x14:id>
        </ext>
      </extLst>
    </cfRule>
  </conditionalFormatting>
  <conditionalFormatting sqref="BL500">
    <cfRule type="iconSet" priority="734">
      <iconSet iconSet="3Arrows">
        <cfvo type="percent" val="0"/>
        <cfvo type="num" val="0.7"/>
        <cfvo type="num" val="1"/>
      </iconSet>
    </cfRule>
    <cfRule type="dataBar" priority="735">
      <dataBar>
        <cfvo type="num" val="0"/>
        <cfvo type="num" val="1"/>
        <color theme="4" tint="0.79998168889431442"/>
      </dataBar>
      <extLst>
        <ext xmlns:x14="http://schemas.microsoft.com/office/spreadsheetml/2009/9/main" uri="{B025F937-C7B1-47D3-B67F-A62EFF666E3E}">
          <x14:id>{5AFF4030-C232-4E51-8A7E-4D55E1F714FA}</x14:id>
        </ext>
      </extLst>
    </cfRule>
  </conditionalFormatting>
  <conditionalFormatting sqref="BL502">
    <cfRule type="iconSet" priority="659">
      <iconSet iconSet="3Arrows">
        <cfvo type="percent" val="0"/>
        <cfvo type="num" val="0.7"/>
        <cfvo type="num" val="1"/>
      </iconSet>
    </cfRule>
    <cfRule type="dataBar" priority="660">
      <dataBar>
        <cfvo type="num" val="0"/>
        <cfvo type="num" val="1"/>
        <color theme="4" tint="0.79998168889431442"/>
      </dataBar>
      <extLst>
        <ext xmlns:x14="http://schemas.microsoft.com/office/spreadsheetml/2009/9/main" uri="{B025F937-C7B1-47D3-B67F-A62EFF666E3E}">
          <x14:id>{49C1F557-B247-4C49-80E8-0DB60C73C4BE}</x14:id>
        </ext>
      </extLst>
    </cfRule>
  </conditionalFormatting>
  <conditionalFormatting sqref="BL504">
    <cfRule type="iconSet" priority="671">
      <iconSet iconSet="3Arrows">
        <cfvo type="percent" val="0"/>
        <cfvo type="num" val="0.7"/>
        <cfvo type="num" val="1"/>
      </iconSet>
    </cfRule>
    <cfRule type="dataBar" priority="672">
      <dataBar>
        <cfvo type="num" val="0"/>
        <cfvo type="num" val="1"/>
        <color theme="4" tint="0.79998168889431442"/>
      </dataBar>
      <extLst>
        <ext xmlns:x14="http://schemas.microsoft.com/office/spreadsheetml/2009/9/main" uri="{B025F937-C7B1-47D3-B67F-A62EFF666E3E}">
          <x14:id>{01449E64-79F3-4205-8EC7-515BF1EBD44C}</x14:id>
        </ext>
      </extLst>
    </cfRule>
  </conditionalFormatting>
  <conditionalFormatting sqref="BL506">
    <cfRule type="iconSet" priority="669">
      <iconSet iconSet="3Arrows">
        <cfvo type="percent" val="0"/>
        <cfvo type="num" val="0.7"/>
        <cfvo type="num" val="1"/>
      </iconSet>
    </cfRule>
    <cfRule type="dataBar" priority="670">
      <dataBar>
        <cfvo type="num" val="0"/>
        <cfvo type="num" val="1"/>
        <color theme="4" tint="0.79998168889431442"/>
      </dataBar>
      <extLst>
        <ext xmlns:x14="http://schemas.microsoft.com/office/spreadsheetml/2009/9/main" uri="{B025F937-C7B1-47D3-B67F-A62EFF666E3E}">
          <x14:id>{30CF6002-1DDE-4ECB-865C-ABCF74DAC009}</x14:id>
        </ext>
      </extLst>
    </cfRule>
  </conditionalFormatting>
  <conditionalFormatting sqref="BL508">
    <cfRule type="iconSet" priority="667">
      <iconSet iconSet="3Arrows">
        <cfvo type="percent" val="0"/>
        <cfvo type="num" val="0.7"/>
        <cfvo type="num" val="1"/>
      </iconSet>
    </cfRule>
    <cfRule type="dataBar" priority="668">
      <dataBar>
        <cfvo type="num" val="0"/>
        <cfvo type="num" val="1"/>
        <color theme="4" tint="0.79998168889431442"/>
      </dataBar>
      <extLst>
        <ext xmlns:x14="http://schemas.microsoft.com/office/spreadsheetml/2009/9/main" uri="{B025F937-C7B1-47D3-B67F-A62EFF666E3E}">
          <x14:id>{791B0ADF-8DCD-462B-AE45-A5B3F233F725}</x14:id>
        </ext>
      </extLst>
    </cfRule>
  </conditionalFormatting>
  <conditionalFormatting sqref="BL510">
    <cfRule type="iconSet" priority="93">
      <iconSet iconSet="3Arrows">
        <cfvo type="percent" val="0"/>
        <cfvo type="num" val="0.7"/>
        <cfvo type="num" val="1"/>
      </iconSet>
    </cfRule>
    <cfRule type="dataBar" priority="94">
      <dataBar>
        <cfvo type="num" val="0"/>
        <cfvo type="num" val="1"/>
        <color theme="4" tint="0.79998168889431442"/>
      </dataBar>
      <extLst>
        <ext xmlns:x14="http://schemas.microsoft.com/office/spreadsheetml/2009/9/main" uri="{B025F937-C7B1-47D3-B67F-A62EFF666E3E}">
          <x14:id>{049CBB52-64E1-4A5A-878B-BDE3CF064836}</x14:id>
        </ext>
      </extLst>
    </cfRule>
  </conditionalFormatting>
  <conditionalFormatting sqref="BL512">
    <cfRule type="iconSet" priority="665">
      <iconSet iconSet="3Arrows">
        <cfvo type="percent" val="0"/>
        <cfvo type="num" val="0.7"/>
        <cfvo type="num" val="1"/>
      </iconSet>
    </cfRule>
    <cfRule type="dataBar" priority="666">
      <dataBar>
        <cfvo type="num" val="0"/>
        <cfvo type="num" val="1"/>
        <color theme="4" tint="0.79998168889431442"/>
      </dataBar>
      <extLst>
        <ext xmlns:x14="http://schemas.microsoft.com/office/spreadsheetml/2009/9/main" uri="{B025F937-C7B1-47D3-B67F-A62EFF666E3E}">
          <x14:id>{24ABE255-F25C-4959-81DA-5F6260F819BA}</x14:id>
        </ext>
      </extLst>
    </cfRule>
  </conditionalFormatting>
  <conditionalFormatting sqref="BL514">
    <cfRule type="iconSet" priority="77">
      <iconSet iconSet="3Arrows">
        <cfvo type="percent" val="0"/>
        <cfvo type="num" val="0.7"/>
        <cfvo type="num" val="1"/>
      </iconSet>
    </cfRule>
    <cfRule type="dataBar" priority="78">
      <dataBar>
        <cfvo type="num" val="0"/>
        <cfvo type="num" val="1"/>
        <color theme="4" tint="0.79998168889431442"/>
      </dataBar>
      <extLst>
        <ext xmlns:x14="http://schemas.microsoft.com/office/spreadsheetml/2009/9/main" uri="{B025F937-C7B1-47D3-B67F-A62EFF666E3E}">
          <x14:id>{F8CB01A5-2D8F-4C95-9CA6-D6EEE4C8C871}</x14:id>
        </ext>
      </extLst>
    </cfRule>
  </conditionalFormatting>
  <conditionalFormatting sqref="BL516">
    <cfRule type="iconSet" priority="273">
      <iconSet iconSet="3Arrows">
        <cfvo type="percent" val="0"/>
        <cfvo type="num" val="0.7"/>
        <cfvo type="num" val="1"/>
      </iconSet>
    </cfRule>
    <cfRule type="dataBar" priority="274">
      <dataBar>
        <cfvo type="num" val="0"/>
        <cfvo type="num" val="1"/>
        <color theme="4" tint="0.79998168889431442"/>
      </dataBar>
      <extLst>
        <ext xmlns:x14="http://schemas.microsoft.com/office/spreadsheetml/2009/9/main" uri="{B025F937-C7B1-47D3-B67F-A62EFF666E3E}">
          <x14:id>{D76974F8-5059-4417-86BA-395BC7CCEE6A}</x14:id>
        </ext>
      </extLst>
    </cfRule>
  </conditionalFormatting>
  <conditionalFormatting sqref="BL518">
    <cfRule type="iconSet" priority="257">
      <iconSet iconSet="3Arrows">
        <cfvo type="percent" val="0"/>
        <cfvo type="num" val="0.7"/>
        <cfvo type="num" val="1"/>
      </iconSet>
    </cfRule>
    <cfRule type="dataBar" priority="258">
      <dataBar>
        <cfvo type="num" val="0"/>
        <cfvo type="num" val="1"/>
        <color theme="4" tint="0.79998168889431442"/>
      </dataBar>
      <extLst>
        <ext xmlns:x14="http://schemas.microsoft.com/office/spreadsheetml/2009/9/main" uri="{B025F937-C7B1-47D3-B67F-A62EFF666E3E}">
          <x14:id>{AC561BD2-4DA7-4EC7-BFD9-96C9A55A85D1}</x14:id>
        </ext>
      </extLst>
    </cfRule>
  </conditionalFormatting>
  <conditionalFormatting sqref="BL520">
    <cfRule type="iconSet" priority="663">
      <iconSet iconSet="3Arrows">
        <cfvo type="percent" val="0"/>
        <cfvo type="num" val="0.7"/>
        <cfvo type="num" val="1"/>
      </iconSet>
    </cfRule>
    <cfRule type="dataBar" priority="664">
      <dataBar>
        <cfvo type="num" val="0"/>
        <cfvo type="num" val="1"/>
        <color theme="4" tint="0.79998168889431442"/>
      </dataBar>
      <extLst>
        <ext xmlns:x14="http://schemas.microsoft.com/office/spreadsheetml/2009/9/main" uri="{B025F937-C7B1-47D3-B67F-A62EFF666E3E}">
          <x14:id>{92D0C060-E5FE-4162-8A7E-9146CC0CDB37}</x14:id>
        </ext>
      </extLst>
    </cfRule>
  </conditionalFormatting>
  <conditionalFormatting sqref="BL522">
    <cfRule type="iconSet" priority="514">
      <iconSet iconSet="3Arrows">
        <cfvo type="percent" val="0"/>
        <cfvo type="num" val="0.7"/>
        <cfvo type="num" val="1"/>
      </iconSet>
    </cfRule>
    <cfRule type="dataBar" priority="515">
      <dataBar>
        <cfvo type="num" val="0"/>
        <cfvo type="num" val="1"/>
        <color theme="4" tint="0.79998168889431442"/>
      </dataBar>
      <extLst>
        <ext xmlns:x14="http://schemas.microsoft.com/office/spreadsheetml/2009/9/main" uri="{B025F937-C7B1-47D3-B67F-A62EFF666E3E}">
          <x14:id>{7A1EF9C5-726C-4504-B76A-144A90FC1C34}</x14:id>
        </ext>
      </extLst>
    </cfRule>
  </conditionalFormatting>
  <conditionalFormatting sqref="BL524">
    <cfRule type="iconSet" priority="498">
      <iconSet iconSet="3Arrows">
        <cfvo type="percent" val="0"/>
        <cfvo type="num" val="0.7"/>
        <cfvo type="num" val="1"/>
      </iconSet>
    </cfRule>
    <cfRule type="dataBar" priority="499">
      <dataBar>
        <cfvo type="num" val="0"/>
        <cfvo type="num" val="1"/>
        <color theme="4" tint="0.79998168889431442"/>
      </dataBar>
      <extLst>
        <ext xmlns:x14="http://schemas.microsoft.com/office/spreadsheetml/2009/9/main" uri="{B025F937-C7B1-47D3-B67F-A62EFF666E3E}">
          <x14:id>{1CF2AEC9-B1AA-4D63-B707-37AFE6285AF6}</x14:id>
        </ext>
      </extLst>
    </cfRule>
  </conditionalFormatting>
  <conditionalFormatting sqref="BL526">
    <cfRule type="iconSet" priority="289">
      <iconSet iconSet="3Arrows">
        <cfvo type="percent" val="0"/>
        <cfvo type="num" val="0.7"/>
        <cfvo type="num" val="1"/>
      </iconSet>
    </cfRule>
    <cfRule type="dataBar" priority="290">
      <dataBar>
        <cfvo type="num" val="0"/>
        <cfvo type="num" val="1"/>
        <color theme="4" tint="0.79998168889431442"/>
      </dataBar>
      <extLst>
        <ext xmlns:x14="http://schemas.microsoft.com/office/spreadsheetml/2009/9/main" uri="{B025F937-C7B1-47D3-B67F-A62EFF666E3E}">
          <x14:id>{2E72A6C5-F31D-4311-AE4E-00595618856D}</x14:id>
        </ext>
      </extLst>
    </cfRule>
  </conditionalFormatting>
  <conditionalFormatting sqref="BL528">
    <cfRule type="iconSet" priority="661">
      <iconSet iconSet="3Arrows">
        <cfvo type="percent" val="0"/>
        <cfvo type="num" val="0.7"/>
        <cfvo type="num" val="1"/>
      </iconSet>
    </cfRule>
    <cfRule type="dataBar" priority="662">
      <dataBar>
        <cfvo type="num" val="0"/>
        <cfvo type="num" val="1"/>
        <color theme="4" tint="0.79998168889431442"/>
      </dataBar>
      <extLst>
        <ext xmlns:x14="http://schemas.microsoft.com/office/spreadsheetml/2009/9/main" uri="{B025F937-C7B1-47D3-B67F-A62EFF666E3E}">
          <x14:id>{73CB5B8D-FD41-4614-A460-DA9966A92F64}</x14:id>
        </ext>
      </extLst>
    </cfRule>
  </conditionalFormatting>
  <conditionalFormatting sqref="BL530">
    <cfRule type="iconSet" priority="673">
      <iconSet iconSet="3Arrows">
        <cfvo type="percent" val="0"/>
        <cfvo type="num" val="0.7"/>
        <cfvo type="num" val="1"/>
      </iconSet>
    </cfRule>
    <cfRule type="dataBar" priority="674">
      <dataBar>
        <cfvo type="num" val="0"/>
        <cfvo type="num" val="1"/>
        <color theme="4" tint="0.79998168889431442"/>
      </dataBar>
      <extLst>
        <ext xmlns:x14="http://schemas.microsoft.com/office/spreadsheetml/2009/9/main" uri="{B025F937-C7B1-47D3-B67F-A62EFF666E3E}">
          <x14:id>{4494FAD8-858D-460D-9F85-8D6003703988}</x14:id>
        </ext>
      </extLst>
    </cfRule>
  </conditionalFormatting>
  <conditionalFormatting sqref="BL532">
    <cfRule type="iconSet" priority="685">
      <iconSet iconSet="3Arrows">
        <cfvo type="percent" val="0"/>
        <cfvo type="num" val="0.7"/>
        <cfvo type="num" val="1"/>
      </iconSet>
    </cfRule>
    <cfRule type="dataBar" priority="686">
      <dataBar>
        <cfvo type="num" val="0"/>
        <cfvo type="num" val="1"/>
        <color theme="4" tint="0.79998168889431442"/>
      </dataBar>
      <extLst>
        <ext xmlns:x14="http://schemas.microsoft.com/office/spreadsheetml/2009/9/main" uri="{B025F937-C7B1-47D3-B67F-A62EFF666E3E}">
          <x14:id>{93463FF6-0939-4248-B0B6-C64EF0DB68D8}</x14:id>
        </ext>
      </extLst>
    </cfRule>
  </conditionalFormatting>
  <conditionalFormatting sqref="BL534">
    <cfRule type="iconSet" priority="240">
      <iconSet iconSet="3Arrows">
        <cfvo type="percent" val="0"/>
        <cfvo type="num" val="0.7"/>
        <cfvo type="num" val="1"/>
      </iconSet>
    </cfRule>
    <cfRule type="dataBar" priority="241">
      <dataBar>
        <cfvo type="num" val="0"/>
        <cfvo type="num" val="1"/>
        <color theme="4" tint="0.79998168889431442"/>
      </dataBar>
      <extLst>
        <ext xmlns:x14="http://schemas.microsoft.com/office/spreadsheetml/2009/9/main" uri="{B025F937-C7B1-47D3-B67F-A62EFF666E3E}">
          <x14:id>{0210CF59-0A0F-49FD-81AC-C975B9DC26C4}</x14:id>
        </ext>
      </extLst>
    </cfRule>
  </conditionalFormatting>
  <conditionalFormatting sqref="BL536">
    <cfRule type="iconSet" priority="683">
      <iconSet iconSet="3Arrows">
        <cfvo type="percent" val="0"/>
        <cfvo type="num" val="0.7"/>
        <cfvo type="num" val="1"/>
      </iconSet>
    </cfRule>
    <cfRule type="dataBar" priority="684">
      <dataBar>
        <cfvo type="num" val="0"/>
        <cfvo type="num" val="1"/>
        <color theme="4" tint="0.79998168889431442"/>
      </dataBar>
      <extLst>
        <ext xmlns:x14="http://schemas.microsoft.com/office/spreadsheetml/2009/9/main" uri="{B025F937-C7B1-47D3-B67F-A62EFF666E3E}">
          <x14:id>{5A91C31F-A7A6-4A9F-997C-5AD38B60BE47}</x14:id>
        </ext>
      </extLst>
    </cfRule>
  </conditionalFormatting>
  <conditionalFormatting sqref="BL538">
    <cfRule type="iconSet" priority="681">
      <iconSet iconSet="3Arrows">
        <cfvo type="percent" val="0"/>
        <cfvo type="num" val="0.7"/>
        <cfvo type="num" val="1"/>
      </iconSet>
    </cfRule>
    <cfRule type="dataBar" priority="682">
      <dataBar>
        <cfvo type="num" val="0"/>
        <cfvo type="num" val="1"/>
        <color theme="4" tint="0.79998168889431442"/>
      </dataBar>
      <extLst>
        <ext xmlns:x14="http://schemas.microsoft.com/office/spreadsheetml/2009/9/main" uri="{B025F937-C7B1-47D3-B67F-A62EFF666E3E}">
          <x14:id>{F07F6B9F-5D51-40CC-8169-6B41D007C173}</x14:id>
        </ext>
      </extLst>
    </cfRule>
  </conditionalFormatting>
  <conditionalFormatting sqref="BL540">
    <cfRule type="iconSet" priority="482">
      <iconSet iconSet="3Arrows">
        <cfvo type="percent" val="0"/>
        <cfvo type="num" val="0.7"/>
        <cfvo type="num" val="1"/>
      </iconSet>
    </cfRule>
    <cfRule type="dataBar" priority="483">
      <dataBar>
        <cfvo type="num" val="0"/>
        <cfvo type="num" val="1"/>
        <color theme="4" tint="0.79998168889431442"/>
      </dataBar>
      <extLst>
        <ext xmlns:x14="http://schemas.microsoft.com/office/spreadsheetml/2009/9/main" uri="{B025F937-C7B1-47D3-B67F-A62EFF666E3E}">
          <x14:id>{4736665D-75FA-4B09-8B55-6D717DAB60A9}</x14:id>
        </ext>
      </extLst>
    </cfRule>
  </conditionalFormatting>
  <conditionalFormatting sqref="BL542">
    <cfRule type="iconSet" priority="61">
      <iconSet iconSet="3Arrows">
        <cfvo type="percent" val="0"/>
        <cfvo type="num" val="0.7"/>
        <cfvo type="num" val="1"/>
      </iconSet>
    </cfRule>
    <cfRule type="dataBar" priority="62">
      <dataBar>
        <cfvo type="num" val="0"/>
        <cfvo type="num" val="1"/>
        <color theme="4" tint="0.79998168889431442"/>
      </dataBar>
      <extLst>
        <ext xmlns:x14="http://schemas.microsoft.com/office/spreadsheetml/2009/9/main" uri="{B025F937-C7B1-47D3-B67F-A62EFF666E3E}">
          <x14:id>{57130597-103A-45C5-A632-9F3B304C7047}</x14:id>
        </ext>
      </extLst>
    </cfRule>
  </conditionalFormatting>
  <conditionalFormatting sqref="BL544">
    <cfRule type="iconSet" priority="679">
      <iconSet iconSet="3Arrows">
        <cfvo type="percent" val="0"/>
        <cfvo type="num" val="0.7"/>
        <cfvo type="num" val="1"/>
      </iconSet>
    </cfRule>
    <cfRule type="dataBar" priority="680">
      <dataBar>
        <cfvo type="num" val="0"/>
        <cfvo type="num" val="1"/>
        <color theme="4" tint="0.79998168889431442"/>
      </dataBar>
      <extLst>
        <ext xmlns:x14="http://schemas.microsoft.com/office/spreadsheetml/2009/9/main" uri="{B025F937-C7B1-47D3-B67F-A62EFF666E3E}">
          <x14:id>{DDCD23C1-13A9-4EA4-9F6E-72365946499A}</x14:id>
        </ext>
      </extLst>
    </cfRule>
  </conditionalFormatting>
  <conditionalFormatting sqref="BL546">
    <cfRule type="iconSet" priority="206">
      <iconSet iconSet="3Arrows">
        <cfvo type="percent" val="0"/>
        <cfvo type="num" val="0.7"/>
        <cfvo type="num" val="1"/>
      </iconSet>
    </cfRule>
    <cfRule type="dataBar" priority="207">
      <dataBar>
        <cfvo type="num" val="0"/>
        <cfvo type="num" val="1"/>
        <color theme="4" tint="0.79998168889431442"/>
      </dataBar>
      <extLst>
        <ext xmlns:x14="http://schemas.microsoft.com/office/spreadsheetml/2009/9/main" uri="{B025F937-C7B1-47D3-B67F-A62EFF666E3E}">
          <x14:id>{0DE0741B-9FF3-4C3B-9F77-AF3E2D06A737}</x14:id>
        </ext>
      </extLst>
    </cfRule>
  </conditionalFormatting>
  <conditionalFormatting sqref="BL548">
    <cfRule type="iconSet" priority="1">
      <iconSet iconSet="3Arrows">
        <cfvo type="percent" val="0"/>
        <cfvo type="num" val="0.7"/>
        <cfvo type="num" val="1"/>
      </iconSet>
    </cfRule>
    <cfRule type="dataBar" priority="2">
      <dataBar>
        <cfvo type="num" val="0"/>
        <cfvo type="num" val="1"/>
        <color theme="4" tint="0.79998168889431442"/>
      </dataBar>
      <extLst>
        <ext xmlns:x14="http://schemas.microsoft.com/office/spreadsheetml/2009/9/main" uri="{B025F937-C7B1-47D3-B67F-A62EFF666E3E}">
          <x14:id>{E6289ACB-EF18-4105-99ED-CA09EED7BB91}</x14:id>
        </ext>
      </extLst>
    </cfRule>
  </conditionalFormatting>
  <conditionalFormatting sqref="BL550">
    <cfRule type="iconSet" priority="162">
      <iconSet iconSet="3Arrows">
        <cfvo type="percent" val="0"/>
        <cfvo type="num" val="0.7"/>
        <cfvo type="num" val="1"/>
      </iconSet>
    </cfRule>
    <cfRule type="dataBar" priority="163">
      <dataBar>
        <cfvo type="num" val="0"/>
        <cfvo type="num" val="1"/>
        <color theme="4" tint="0.79998168889431442"/>
      </dataBar>
      <extLst>
        <ext xmlns:x14="http://schemas.microsoft.com/office/spreadsheetml/2009/9/main" uri="{B025F937-C7B1-47D3-B67F-A62EFF666E3E}">
          <x14:id>{9BB566C1-6A05-4600-B0B0-D7E77394C7A0}</x14:id>
        </ext>
      </extLst>
    </cfRule>
  </conditionalFormatting>
  <conditionalFormatting sqref="BL552">
    <cfRule type="iconSet" priority="371">
      <iconSet iconSet="3Arrows">
        <cfvo type="percent" val="0"/>
        <cfvo type="num" val="0.7"/>
        <cfvo type="num" val="1"/>
      </iconSet>
    </cfRule>
    <cfRule type="dataBar" priority="372">
      <dataBar>
        <cfvo type="num" val="0"/>
        <cfvo type="num" val="1"/>
        <color theme="4" tint="0.79998168889431442"/>
      </dataBar>
      <extLst>
        <ext xmlns:x14="http://schemas.microsoft.com/office/spreadsheetml/2009/9/main" uri="{B025F937-C7B1-47D3-B67F-A62EFF666E3E}">
          <x14:id>{0070549A-55F9-404D-821B-51FB28558737}</x14:id>
        </ext>
      </extLst>
    </cfRule>
  </conditionalFormatting>
  <conditionalFormatting sqref="BL554">
    <cfRule type="iconSet" priority="224">
      <iconSet iconSet="3Arrows">
        <cfvo type="percent" val="0"/>
        <cfvo type="num" val="0.7"/>
        <cfvo type="num" val="1"/>
      </iconSet>
    </cfRule>
    <cfRule type="dataBar" priority="225">
      <dataBar>
        <cfvo type="num" val="0"/>
        <cfvo type="num" val="1"/>
        <color theme="4" tint="0.79998168889431442"/>
      </dataBar>
      <extLst>
        <ext xmlns:x14="http://schemas.microsoft.com/office/spreadsheetml/2009/9/main" uri="{B025F937-C7B1-47D3-B67F-A62EFF666E3E}">
          <x14:id>{4912D5D7-AED8-4DB2-9D6B-78F080D9F9A9}</x14:id>
        </ext>
      </extLst>
    </cfRule>
  </conditionalFormatting>
  <conditionalFormatting sqref="BL556">
    <cfRule type="iconSet" priority="677">
      <iconSet iconSet="3Arrows">
        <cfvo type="percent" val="0"/>
        <cfvo type="num" val="0.7"/>
        <cfvo type="num" val="1"/>
      </iconSet>
    </cfRule>
    <cfRule type="dataBar" priority="678">
      <dataBar>
        <cfvo type="num" val="0"/>
        <cfvo type="num" val="1"/>
        <color theme="4" tint="0.79998168889431442"/>
      </dataBar>
      <extLst>
        <ext xmlns:x14="http://schemas.microsoft.com/office/spreadsheetml/2009/9/main" uri="{B025F937-C7B1-47D3-B67F-A62EFF666E3E}">
          <x14:id>{334F0DBA-1E3A-4B21-AC59-E649131D7CC0}</x14:id>
        </ext>
      </extLst>
    </cfRule>
  </conditionalFormatting>
  <conditionalFormatting sqref="BL558">
    <cfRule type="iconSet" priority="466">
      <iconSet iconSet="3Arrows">
        <cfvo type="percent" val="0"/>
        <cfvo type="num" val="0.7"/>
        <cfvo type="num" val="1"/>
      </iconSet>
    </cfRule>
    <cfRule type="dataBar" priority="467">
      <dataBar>
        <cfvo type="num" val="0"/>
        <cfvo type="num" val="1"/>
        <color theme="4" tint="0.79998168889431442"/>
      </dataBar>
      <extLst>
        <ext xmlns:x14="http://schemas.microsoft.com/office/spreadsheetml/2009/9/main" uri="{B025F937-C7B1-47D3-B67F-A62EFF666E3E}">
          <x14:id>{1B4EC13F-C78B-44D9-BF62-BE4FBD86AFCE}</x14:id>
        </ext>
      </extLst>
    </cfRule>
  </conditionalFormatting>
  <conditionalFormatting sqref="BL560">
    <cfRule type="iconSet" priority="45">
      <iconSet iconSet="3Arrows">
        <cfvo type="percent" val="0"/>
        <cfvo type="num" val="0.7"/>
        <cfvo type="num" val="1"/>
      </iconSet>
    </cfRule>
    <cfRule type="dataBar" priority="46">
      <dataBar>
        <cfvo type="num" val="0"/>
        <cfvo type="num" val="1"/>
        <color theme="4" tint="0.79998168889431442"/>
      </dataBar>
      <extLst>
        <ext xmlns:x14="http://schemas.microsoft.com/office/spreadsheetml/2009/9/main" uri="{B025F937-C7B1-47D3-B67F-A62EFF666E3E}">
          <x14:id>{7E02B01C-0301-4EB5-8ECB-2C33A14A6613}</x14:id>
        </ext>
      </extLst>
    </cfRule>
  </conditionalFormatting>
  <conditionalFormatting sqref="BL562">
    <cfRule type="iconSet" priority="675">
      <iconSet iconSet="3Arrows">
        <cfvo type="percent" val="0"/>
        <cfvo type="num" val="0.7"/>
        <cfvo type="num" val="1"/>
      </iconSet>
    </cfRule>
    <cfRule type="dataBar" priority="676">
      <dataBar>
        <cfvo type="num" val="0"/>
        <cfvo type="num" val="1"/>
        <color theme="4" tint="0.79998168889431442"/>
      </dataBar>
      <extLst>
        <ext xmlns:x14="http://schemas.microsoft.com/office/spreadsheetml/2009/9/main" uri="{B025F937-C7B1-47D3-B67F-A62EFF666E3E}">
          <x14:id>{003AFC61-14B7-4898-817B-EFD21D1F1F15}</x14:id>
        </ext>
      </extLst>
    </cfRule>
  </conditionalFormatting>
  <conditionalFormatting sqref="BL564">
    <cfRule type="iconSet" priority="1050">
      <iconSet iconSet="3Arrows">
        <cfvo type="percent" val="0"/>
        <cfvo type="num" val="0.7"/>
        <cfvo type="num" val="1"/>
      </iconSet>
    </cfRule>
    <cfRule type="dataBar" priority="1051">
      <dataBar>
        <cfvo type="num" val="0"/>
        <cfvo type="num" val="1"/>
        <color theme="4" tint="0.79998168889431442"/>
      </dataBar>
      <extLst>
        <ext xmlns:x14="http://schemas.microsoft.com/office/spreadsheetml/2009/9/main" uri="{B025F937-C7B1-47D3-B67F-A62EFF666E3E}">
          <x14:id>{8645363B-75BE-4C1F-88A3-BCBF00C99468}</x14:id>
        </ext>
      </extLst>
    </cfRule>
  </conditionalFormatting>
  <conditionalFormatting sqref="BL566">
    <cfRule type="iconSet" priority="1048">
      <iconSet iconSet="3Arrows">
        <cfvo type="percent" val="0"/>
        <cfvo type="num" val="0.7"/>
        <cfvo type="num" val="1"/>
      </iconSet>
    </cfRule>
    <cfRule type="dataBar" priority="1049">
      <dataBar>
        <cfvo type="num" val="0"/>
        <cfvo type="num" val="1"/>
        <color theme="4" tint="0.79998168889431442"/>
      </dataBar>
      <extLst>
        <ext xmlns:x14="http://schemas.microsoft.com/office/spreadsheetml/2009/9/main" uri="{B025F937-C7B1-47D3-B67F-A62EFF666E3E}">
          <x14:id>{B43254B4-631C-4544-886C-FD40A4C7D4B4}</x14:id>
        </ext>
      </extLst>
    </cfRule>
  </conditionalFormatting>
  <conditionalFormatting sqref="BL568">
    <cfRule type="iconSet" priority="1046">
      <iconSet iconSet="3Arrows">
        <cfvo type="percent" val="0"/>
        <cfvo type="num" val="0.7"/>
        <cfvo type="num" val="1"/>
      </iconSet>
    </cfRule>
    <cfRule type="dataBar" priority="1047">
      <dataBar>
        <cfvo type="num" val="0"/>
        <cfvo type="num" val="1"/>
        <color theme="4" tint="0.79998168889431442"/>
      </dataBar>
      <extLst>
        <ext xmlns:x14="http://schemas.microsoft.com/office/spreadsheetml/2009/9/main" uri="{B025F937-C7B1-47D3-B67F-A62EFF666E3E}">
          <x14:id>{170D2379-E6CF-4D12-8E62-DCCC7ABA9329}</x14:id>
        </ext>
      </extLst>
    </cfRule>
  </conditionalFormatting>
  <conditionalFormatting sqref="BL570">
    <cfRule type="iconSet" priority="1044">
      <iconSet iconSet="3Arrows">
        <cfvo type="percent" val="0"/>
        <cfvo type="num" val="0.7"/>
        <cfvo type="num" val="1"/>
      </iconSet>
    </cfRule>
    <cfRule type="dataBar" priority="1045">
      <dataBar>
        <cfvo type="num" val="0"/>
        <cfvo type="num" val="1"/>
        <color theme="4" tint="0.79998168889431442"/>
      </dataBar>
      <extLst>
        <ext xmlns:x14="http://schemas.microsoft.com/office/spreadsheetml/2009/9/main" uri="{B025F937-C7B1-47D3-B67F-A62EFF666E3E}">
          <x14:id>{C31F5227-2644-4692-B256-BB3FE2114C3E}</x14:id>
        </ext>
      </extLst>
    </cfRule>
  </conditionalFormatting>
  <conditionalFormatting sqref="BL572">
    <cfRule type="iconSet" priority="1042">
      <iconSet iconSet="3Arrows">
        <cfvo type="percent" val="0"/>
        <cfvo type="num" val="0.7"/>
        <cfvo type="num" val="1"/>
      </iconSet>
    </cfRule>
    <cfRule type="dataBar" priority="1043">
      <dataBar>
        <cfvo type="num" val="0"/>
        <cfvo type="num" val="1"/>
        <color theme="4" tint="0.79998168889431442"/>
      </dataBar>
      <extLst>
        <ext xmlns:x14="http://schemas.microsoft.com/office/spreadsheetml/2009/9/main" uri="{B025F937-C7B1-47D3-B67F-A62EFF666E3E}">
          <x14:id>{2C692766-42F8-4934-AD3E-8B4FAD4E8F9C}</x14:id>
        </ext>
      </extLst>
    </cfRule>
  </conditionalFormatting>
  <conditionalFormatting sqref="BL574">
    <cfRule type="iconSet" priority="1040">
      <iconSet iconSet="3Arrows">
        <cfvo type="percent" val="0"/>
        <cfvo type="num" val="0.7"/>
        <cfvo type="num" val="1"/>
      </iconSet>
    </cfRule>
    <cfRule type="dataBar" priority="1041">
      <dataBar>
        <cfvo type="num" val="0"/>
        <cfvo type="num" val="1"/>
        <color theme="4" tint="0.79998168889431442"/>
      </dataBar>
      <extLst>
        <ext xmlns:x14="http://schemas.microsoft.com/office/spreadsheetml/2009/9/main" uri="{B025F937-C7B1-47D3-B67F-A62EFF666E3E}">
          <x14:id>{789C45B2-D5E1-421C-AD74-16E4887FF297}</x14:id>
        </ext>
      </extLst>
    </cfRule>
  </conditionalFormatting>
  <conditionalFormatting sqref="BL576">
    <cfRule type="iconSet" priority="1038">
      <iconSet iconSet="3Arrows">
        <cfvo type="percent" val="0"/>
        <cfvo type="num" val="0.7"/>
        <cfvo type="num" val="1"/>
      </iconSet>
    </cfRule>
    <cfRule type="dataBar" priority="1039">
      <dataBar>
        <cfvo type="num" val="0"/>
        <cfvo type="num" val="1"/>
        <color theme="4" tint="0.79998168889431442"/>
      </dataBar>
      <extLst>
        <ext xmlns:x14="http://schemas.microsoft.com/office/spreadsheetml/2009/9/main" uri="{B025F937-C7B1-47D3-B67F-A62EFF666E3E}">
          <x14:id>{443C1893-B5C6-44A7-AD30-A682E0EE0164}</x14:id>
        </ext>
      </extLst>
    </cfRule>
  </conditionalFormatting>
  <conditionalFormatting sqref="BL578">
    <cfRule type="iconSet" priority="1032">
      <iconSet iconSet="3Arrows">
        <cfvo type="percent" val="0"/>
        <cfvo type="num" val="0.7"/>
        <cfvo type="num" val="1"/>
      </iconSet>
    </cfRule>
    <cfRule type="dataBar" priority="1033">
      <dataBar>
        <cfvo type="num" val="0"/>
        <cfvo type="num" val="1"/>
        <color theme="4" tint="0.79998168889431442"/>
      </dataBar>
      <extLst>
        <ext xmlns:x14="http://schemas.microsoft.com/office/spreadsheetml/2009/9/main" uri="{B025F937-C7B1-47D3-B67F-A62EFF666E3E}">
          <x14:id>{1E40322E-E012-46CB-8F3F-9D11B617A0CF}</x14:id>
        </ext>
      </extLst>
    </cfRule>
  </conditionalFormatting>
  <conditionalFormatting sqref="BL580">
    <cfRule type="iconSet" priority="1036">
      <iconSet iconSet="3Arrows">
        <cfvo type="percent" val="0"/>
        <cfvo type="num" val="0.7"/>
        <cfvo type="num" val="1"/>
      </iconSet>
    </cfRule>
    <cfRule type="dataBar" priority="1037">
      <dataBar>
        <cfvo type="num" val="0"/>
        <cfvo type="num" val="1"/>
        <color theme="4" tint="0.79998168889431442"/>
      </dataBar>
      <extLst>
        <ext xmlns:x14="http://schemas.microsoft.com/office/spreadsheetml/2009/9/main" uri="{B025F937-C7B1-47D3-B67F-A62EFF666E3E}">
          <x14:id>{6951E68B-0BAB-4FE7-81B5-16C4F6863D34}</x14:id>
        </ext>
      </extLst>
    </cfRule>
  </conditionalFormatting>
  <conditionalFormatting sqref="BL582">
    <cfRule type="iconSet" priority="1030">
      <iconSet iconSet="3Arrows">
        <cfvo type="percent" val="0"/>
        <cfvo type="num" val="0.7"/>
        <cfvo type="num" val="1"/>
      </iconSet>
    </cfRule>
    <cfRule type="dataBar" priority="1031">
      <dataBar>
        <cfvo type="num" val="0"/>
        <cfvo type="num" val="1"/>
        <color theme="4" tint="0.79998168889431442"/>
      </dataBar>
      <extLst>
        <ext xmlns:x14="http://schemas.microsoft.com/office/spreadsheetml/2009/9/main" uri="{B025F937-C7B1-47D3-B67F-A62EFF666E3E}">
          <x14:id>{FEE43F1F-EF3A-4150-A1F8-A6A35220FEF6}</x14:id>
        </ext>
      </extLst>
    </cfRule>
  </conditionalFormatting>
  <conditionalFormatting sqref="BL584">
    <cfRule type="iconSet" priority="1034">
      <iconSet iconSet="3Arrows">
        <cfvo type="percent" val="0"/>
        <cfvo type="num" val="0.7"/>
        <cfvo type="num" val="1"/>
      </iconSet>
    </cfRule>
    <cfRule type="dataBar" priority="1035">
      <dataBar>
        <cfvo type="num" val="0"/>
        <cfvo type="num" val="1"/>
        <color theme="4" tint="0.79998168889431442"/>
      </dataBar>
      <extLst>
        <ext xmlns:x14="http://schemas.microsoft.com/office/spreadsheetml/2009/9/main" uri="{B025F937-C7B1-47D3-B67F-A62EFF666E3E}">
          <x14:id>{A45BDF61-4A9E-48A7-BFC7-932201863470}</x14:id>
        </ext>
      </extLst>
    </cfRule>
  </conditionalFormatting>
  <conditionalFormatting sqref="BL586">
    <cfRule type="iconSet" priority="1028">
      <iconSet iconSet="3Arrows">
        <cfvo type="percent" val="0"/>
        <cfvo type="num" val="0.7"/>
        <cfvo type="num" val="1"/>
      </iconSet>
    </cfRule>
    <cfRule type="dataBar" priority="1029">
      <dataBar>
        <cfvo type="num" val="0"/>
        <cfvo type="num" val="1"/>
        <color theme="4" tint="0.79998168889431442"/>
      </dataBar>
      <extLst>
        <ext xmlns:x14="http://schemas.microsoft.com/office/spreadsheetml/2009/9/main" uri="{B025F937-C7B1-47D3-B67F-A62EFF666E3E}">
          <x14:id>{A80F2073-4A57-4C4B-85E8-E1ABDC1E4716}</x14:id>
        </ext>
      </extLst>
    </cfRule>
  </conditionalFormatting>
  <conditionalFormatting sqref="BL588">
    <cfRule type="iconSet" priority="754">
      <iconSet iconSet="3Arrows">
        <cfvo type="percent" val="0"/>
        <cfvo type="num" val="0.7"/>
        <cfvo type="num" val="1"/>
      </iconSet>
    </cfRule>
    <cfRule type="dataBar" priority="755">
      <dataBar>
        <cfvo type="num" val="0"/>
        <cfvo type="num" val="1"/>
        <color theme="4" tint="0.79998168889431442"/>
      </dataBar>
      <extLst>
        <ext xmlns:x14="http://schemas.microsoft.com/office/spreadsheetml/2009/9/main" uri="{B025F937-C7B1-47D3-B67F-A62EFF666E3E}">
          <x14:id>{4C6B2DA8-65A6-4F1C-907C-A99CA8827424}</x14:id>
        </ext>
      </extLst>
    </cfRule>
  </conditionalFormatting>
  <conditionalFormatting sqref="BL591">
    <cfRule type="iconSet" priority="970">
      <iconSet iconSet="3Arrows">
        <cfvo type="percent" val="0"/>
        <cfvo type="num" val="0.7"/>
        <cfvo type="num" val="1"/>
      </iconSet>
    </cfRule>
    <cfRule type="dataBar" priority="971">
      <dataBar>
        <cfvo type="num" val="0"/>
        <cfvo type="num" val="1"/>
        <color theme="4" tint="0.79998168889431442"/>
      </dataBar>
      <extLst>
        <ext xmlns:x14="http://schemas.microsoft.com/office/spreadsheetml/2009/9/main" uri="{B025F937-C7B1-47D3-B67F-A62EFF666E3E}">
          <x14:id>{DE8F979A-7525-44AB-A54D-5968D26128B3}</x14:id>
        </ext>
      </extLst>
    </cfRule>
  </conditionalFormatting>
  <conditionalFormatting sqref="BL593">
    <cfRule type="iconSet" priority="789">
      <iconSet iconSet="3Arrows">
        <cfvo type="percent" val="0"/>
        <cfvo type="num" val="0.7"/>
        <cfvo type="num" val="1"/>
      </iconSet>
    </cfRule>
    <cfRule type="dataBar" priority="790">
      <dataBar>
        <cfvo type="num" val="0"/>
        <cfvo type="num" val="1"/>
        <color theme="4" tint="0.79998168889431442"/>
      </dataBar>
      <extLst>
        <ext xmlns:x14="http://schemas.microsoft.com/office/spreadsheetml/2009/9/main" uri="{B025F937-C7B1-47D3-B67F-A62EFF666E3E}">
          <x14:id>{6D2FDAFA-C1C1-4CA5-8838-E70EC7BE5CFB}</x14:id>
        </ext>
      </extLst>
    </cfRule>
  </conditionalFormatting>
  <conditionalFormatting sqref="BL595">
    <cfRule type="iconSet" priority="847">
      <iconSet iconSet="3Arrows">
        <cfvo type="percent" val="0"/>
        <cfvo type="num" val="0.7"/>
        <cfvo type="num" val="1"/>
      </iconSet>
    </cfRule>
    <cfRule type="dataBar" priority="848">
      <dataBar>
        <cfvo type="num" val="0"/>
        <cfvo type="num" val="1"/>
        <color theme="4" tint="0.79998168889431442"/>
      </dataBar>
      <extLst>
        <ext xmlns:x14="http://schemas.microsoft.com/office/spreadsheetml/2009/9/main" uri="{B025F937-C7B1-47D3-B67F-A62EFF666E3E}">
          <x14:id>{2E3D0178-3AD9-49D8-87D2-3CD2710747CC}</x14:id>
        </ext>
      </extLst>
    </cfRule>
  </conditionalFormatting>
  <conditionalFormatting sqref="BL597">
    <cfRule type="iconSet" priority="968">
      <iconSet iconSet="3Arrows">
        <cfvo type="percent" val="0"/>
        <cfvo type="num" val="0.7"/>
        <cfvo type="num" val="1"/>
      </iconSet>
    </cfRule>
    <cfRule type="dataBar" priority="969">
      <dataBar>
        <cfvo type="num" val="0"/>
        <cfvo type="num" val="1"/>
        <color theme="4" tint="0.79998168889431442"/>
      </dataBar>
      <extLst>
        <ext xmlns:x14="http://schemas.microsoft.com/office/spreadsheetml/2009/9/main" uri="{B025F937-C7B1-47D3-B67F-A62EFF666E3E}">
          <x14:id>{A31A26F3-39C7-446B-8390-3B48A61FA85F}</x14:id>
        </ext>
      </extLst>
    </cfRule>
  </conditionalFormatting>
  <conditionalFormatting sqref="BL599">
    <cfRule type="iconSet" priority="880">
      <iconSet iconSet="3Arrows">
        <cfvo type="percent" val="0"/>
        <cfvo type="num" val="0.7"/>
        <cfvo type="num" val="1"/>
      </iconSet>
    </cfRule>
    <cfRule type="dataBar" priority="881">
      <dataBar>
        <cfvo type="num" val="0"/>
        <cfvo type="num" val="1"/>
        <color theme="4" tint="0.79998168889431442"/>
      </dataBar>
      <extLst>
        <ext xmlns:x14="http://schemas.microsoft.com/office/spreadsheetml/2009/9/main" uri="{B025F937-C7B1-47D3-B67F-A62EFF666E3E}">
          <x14:id>{B5232D56-1EAC-4CBC-8542-D8E3E5CCA4A7}</x14:id>
        </ext>
      </extLst>
    </cfRule>
  </conditionalFormatting>
  <conditionalFormatting sqref="BL601">
    <cfRule type="iconSet" priority="966">
      <iconSet iconSet="3Arrows">
        <cfvo type="percent" val="0"/>
        <cfvo type="num" val="0.7"/>
        <cfvo type="num" val="1"/>
      </iconSet>
    </cfRule>
    <cfRule type="dataBar" priority="967">
      <dataBar>
        <cfvo type="num" val="0"/>
        <cfvo type="num" val="1"/>
        <color theme="4" tint="0.79998168889431442"/>
      </dataBar>
      <extLst>
        <ext xmlns:x14="http://schemas.microsoft.com/office/spreadsheetml/2009/9/main" uri="{B025F937-C7B1-47D3-B67F-A62EFF666E3E}">
          <x14:id>{9A1EA9D8-DC91-4906-9ADB-33893065F5E7}</x14:id>
        </ext>
      </extLst>
    </cfRule>
  </conditionalFormatting>
  <conditionalFormatting sqref="BL603">
    <cfRule type="iconSet" priority="964">
      <iconSet iconSet="3Arrows">
        <cfvo type="percent" val="0"/>
        <cfvo type="num" val="0.7"/>
        <cfvo type="num" val="1"/>
      </iconSet>
    </cfRule>
    <cfRule type="dataBar" priority="965">
      <dataBar>
        <cfvo type="num" val="0"/>
        <cfvo type="num" val="1"/>
        <color theme="4" tint="0.79998168889431442"/>
      </dataBar>
      <extLst>
        <ext xmlns:x14="http://schemas.microsoft.com/office/spreadsheetml/2009/9/main" uri="{B025F937-C7B1-47D3-B67F-A62EFF666E3E}">
          <x14:id>{9003E35F-F839-48B7-9C59-F5472A065E6A}</x14:id>
        </ext>
      </extLst>
    </cfRule>
  </conditionalFormatting>
  <conditionalFormatting sqref="BL605">
    <cfRule type="iconSet" priority="914">
      <iconSet iconSet="3Arrows">
        <cfvo type="percent" val="0"/>
        <cfvo type="num" val="0.7"/>
        <cfvo type="num" val="1"/>
      </iconSet>
    </cfRule>
    <cfRule type="dataBar" priority="915">
      <dataBar>
        <cfvo type="num" val="0"/>
        <cfvo type="num" val="1"/>
        <color theme="4" tint="0.79998168889431442"/>
      </dataBar>
      <extLst>
        <ext xmlns:x14="http://schemas.microsoft.com/office/spreadsheetml/2009/9/main" uri="{B025F937-C7B1-47D3-B67F-A62EFF666E3E}">
          <x14:id>{2809881F-E2B9-4094-A5EF-B4308A4D8F5E}</x14:id>
        </ext>
      </extLst>
    </cfRule>
  </conditionalFormatting>
  <conditionalFormatting sqref="BL607">
    <cfRule type="iconSet" priority="912">
      <iconSet iconSet="3Arrows">
        <cfvo type="percent" val="0"/>
        <cfvo type="num" val="0.7"/>
        <cfvo type="num" val="1"/>
      </iconSet>
    </cfRule>
    <cfRule type="dataBar" priority="913">
      <dataBar>
        <cfvo type="num" val="0"/>
        <cfvo type="num" val="1"/>
        <color theme="4" tint="0.79998168889431442"/>
      </dataBar>
      <extLst>
        <ext xmlns:x14="http://schemas.microsoft.com/office/spreadsheetml/2009/9/main" uri="{B025F937-C7B1-47D3-B67F-A62EFF666E3E}">
          <x14:id>{E946B370-A9CC-440A-88A0-F9046D5A8DFC}</x14:id>
        </ext>
      </extLst>
    </cfRule>
  </conditionalFormatting>
  <conditionalFormatting sqref="BL609">
    <cfRule type="iconSet" priority="910">
      <iconSet iconSet="3Arrows">
        <cfvo type="percent" val="0"/>
        <cfvo type="num" val="0.7"/>
        <cfvo type="num" val="1"/>
      </iconSet>
    </cfRule>
    <cfRule type="dataBar" priority="911">
      <dataBar>
        <cfvo type="num" val="0"/>
        <cfvo type="num" val="1"/>
        <color theme="4" tint="0.79998168889431442"/>
      </dataBar>
      <extLst>
        <ext xmlns:x14="http://schemas.microsoft.com/office/spreadsheetml/2009/9/main" uri="{B025F937-C7B1-47D3-B67F-A62EFF666E3E}">
          <x14:id>{33E8F528-E2DB-4FA0-990F-95D1F0B77F21}</x14:id>
        </ext>
      </extLst>
    </cfRule>
  </conditionalFormatting>
  <conditionalFormatting sqref="BL611">
    <cfRule type="iconSet" priority="958">
      <iconSet iconSet="3Arrows">
        <cfvo type="percent" val="0"/>
        <cfvo type="num" val="0.7"/>
        <cfvo type="num" val="1"/>
      </iconSet>
    </cfRule>
    <cfRule type="dataBar" priority="959">
      <dataBar>
        <cfvo type="num" val="0"/>
        <cfvo type="num" val="1"/>
        <color theme="4" tint="0.79998168889431442"/>
      </dataBar>
      <extLst>
        <ext xmlns:x14="http://schemas.microsoft.com/office/spreadsheetml/2009/9/main" uri="{B025F937-C7B1-47D3-B67F-A62EFF666E3E}">
          <x14:id>{20DB4DF7-901C-493E-9707-2676B4B81B47}</x14:id>
        </ext>
      </extLst>
    </cfRule>
  </conditionalFormatting>
  <conditionalFormatting sqref="BL613">
    <cfRule type="iconSet" priority="962">
      <iconSet iconSet="3Arrows">
        <cfvo type="percent" val="0"/>
        <cfvo type="num" val="0.7"/>
        <cfvo type="num" val="1"/>
      </iconSet>
    </cfRule>
    <cfRule type="dataBar" priority="963">
      <dataBar>
        <cfvo type="num" val="0"/>
        <cfvo type="num" val="1"/>
        <color theme="4" tint="0.79998168889431442"/>
      </dataBar>
      <extLst>
        <ext xmlns:x14="http://schemas.microsoft.com/office/spreadsheetml/2009/9/main" uri="{B025F937-C7B1-47D3-B67F-A62EFF666E3E}">
          <x14:id>{79A658BA-5115-4F35-957F-3ACB41DECB15}</x14:id>
        </ext>
      </extLst>
    </cfRule>
  </conditionalFormatting>
  <conditionalFormatting sqref="BL615">
    <cfRule type="iconSet" priority="652">
      <iconSet iconSet="3Arrows">
        <cfvo type="percent" val="0"/>
        <cfvo type="num" val="0.7"/>
        <cfvo type="num" val="1"/>
      </iconSet>
    </cfRule>
    <cfRule type="dataBar" priority="653">
      <dataBar>
        <cfvo type="num" val="0"/>
        <cfvo type="num" val="1"/>
        <color theme="4" tint="0.79998168889431442"/>
      </dataBar>
      <extLst>
        <ext xmlns:x14="http://schemas.microsoft.com/office/spreadsheetml/2009/9/main" uri="{B025F937-C7B1-47D3-B67F-A62EFF666E3E}">
          <x14:id>{AE3D02BD-B46C-4F4B-A9B1-FBA8AAA1C904}</x14:id>
        </ext>
      </extLst>
    </cfRule>
  </conditionalFormatting>
  <conditionalFormatting sqref="BL617">
    <cfRule type="iconSet" priority="114">
      <iconSet iconSet="3Arrows">
        <cfvo type="percent" val="0"/>
        <cfvo type="num" val="0.7"/>
        <cfvo type="num" val="1"/>
      </iconSet>
    </cfRule>
    <cfRule type="dataBar" priority="115">
      <dataBar>
        <cfvo type="num" val="0"/>
        <cfvo type="num" val="1"/>
        <color theme="4" tint="0.79998168889431442"/>
      </dataBar>
      <extLst>
        <ext xmlns:x14="http://schemas.microsoft.com/office/spreadsheetml/2009/9/main" uri="{B025F937-C7B1-47D3-B67F-A62EFF666E3E}">
          <x14:id>{1D6A1B27-E493-47F2-94A4-83C5028F9079}</x14:id>
        </ext>
      </extLst>
    </cfRule>
  </conditionalFormatting>
  <conditionalFormatting sqref="BL619">
    <cfRule type="iconSet" priority="117">
      <iconSet iconSet="3Arrows">
        <cfvo type="percent" val="0"/>
        <cfvo type="num" val="0.7"/>
        <cfvo type="num" val="1"/>
      </iconSet>
    </cfRule>
    <cfRule type="dataBar" priority="118">
      <dataBar>
        <cfvo type="num" val="0"/>
        <cfvo type="num" val="1"/>
        <color theme="4" tint="0.79998168889431442"/>
      </dataBar>
      <extLst>
        <ext xmlns:x14="http://schemas.microsoft.com/office/spreadsheetml/2009/9/main" uri="{B025F937-C7B1-47D3-B67F-A62EFF666E3E}">
          <x14:id>{57D3757D-BC0A-4833-9505-FBA94B7AB0D7}</x14:id>
        </ext>
      </extLst>
    </cfRule>
  </conditionalFormatting>
  <conditionalFormatting sqref="BL621">
    <cfRule type="iconSet" priority="655">
      <iconSet iconSet="3Arrows">
        <cfvo type="percent" val="0"/>
        <cfvo type="num" val="0.7"/>
        <cfvo type="num" val="1"/>
      </iconSet>
    </cfRule>
    <cfRule type="dataBar" priority="656">
      <dataBar>
        <cfvo type="num" val="0"/>
        <cfvo type="num" val="1"/>
        <color theme="4" tint="0.79998168889431442"/>
      </dataBar>
      <extLst>
        <ext xmlns:x14="http://schemas.microsoft.com/office/spreadsheetml/2009/9/main" uri="{B025F937-C7B1-47D3-B67F-A62EFF666E3E}">
          <x14:id>{B435415E-4A19-42FA-BE61-1079625E0C74}</x14:id>
        </ext>
      </extLst>
    </cfRule>
  </conditionalFormatting>
  <conditionalFormatting sqref="BL623">
    <cfRule type="iconSet" priority="657">
      <iconSet iconSet="3Arrows">
        <cfvo type="percent" val="0"/>
        <cfvo type="num" val="0.7"/>
        <cfvo type="num" val="1"/>
      </iconSet>
    </cfRule>
    <cfRule type="dataBar" priority="658">
      <dataBar>
        <cfvo type="num" val="0"/>
        <cfvo type="num" val="1"/>
        <color theme="4" tint="0.79998168889431442"/>
      </dataBar>
      <extLst>
        <ext xmlns:x14="http://schemas.microsoft.com/office/spreadsheetml/2009/9/main" uri="{B025F937-C7B1-47D3-B67F-A62EFF666E3E}">
          <x14:id>{267DA055-9AC6-46FE-ACCD-596E3C7172C4}</x14:id>
        </ext>
      </extLst>
    </cfRule>
  </conditionalFormatting>
  <conditionalFormatting sqref="BL625">
    <cfRule type="iconSet" priority="21">
      <iconSet iconSet="3Arrows">
        <cfvo type="percent" val="0"/>
        <cfvo type="num" val="0.7"/>
        <cfvo type="num" val="1"/>
      </iconSet>
    </cfRule>
    <cfRule type="dataBar" priority="22">
      <dataBar>
        <cfvo type="num" val="0"/>
        <cfvo type="num" val="1"/>
        <color theme="4" tint="0.79998168889431442"/>
      </dataBar>
      <extLst>
        <ext xmlns:x14="http://schemas.microsoft.com/office/spreadsheetml/2009/9/main" uri="{B025F937-C7B1-47D3-B67F-A62EFF666E3E}">
          <x14:id>{9B265EA0-5B4D-4441-95AD-EDD25CF5E027}</x14:id>
        </ext>
      </extLst>
    </cfRule>
  </conditionalFormatting>
  <conditionalFormatting sqref="BQ9">
    <cfRule type="iconSet" priority="432">
      <iconSet iconSet="3Arrows">
        <cfvo type="percent" val="0"/>
        <cfvo type="num" val="0.7"/>
        <cfvo type="num" val="1"/>
      </iconSet>
    </cfRule>
    <cfRule type="dataBar" priority="433">
      <dataBar>
        <cfvo type="num" val="0"/>
        <cfvo type="num" val="1"/>
        <color theme="4" tint="0.79998168889431442"/>
      </dataBar>
      <extLst>
        <ext xmlns:x14="http://schemas.microsoft.com/office/spreadsheetml/2009/9/main" uri="{B025F937-C7B1-47D3-B67F-A62EFF666E3E}">
          <x14:id>{2EDCC083-B49C-433A-8DE8-BF13CB0AB883}</x14:id>
        </ext>
      </extLst>
    </cfRule>
  </conditionalFormatting>
  <conditionalFormatting sqref="BQ13">
    <cfRule type="iconSet" priority="5170">
      <iconSet iconSet="3Arrows">
        <cfvo type="percent" val="0"/>
        <cfvo type="num" val="0.7"/>
        <cfvo type="num" val="1"/>
      </iconSet>
    </cfRule>
    <cfRule type="dataBar" priority="5171">
      <dataBar>
        <cfvo type="num" val="0"/>
        <cfvo type="num" val="1"/>
        <color theme="4" tint="0.79998168889431442"/>
      </dataBar>
      <extLst>
        <ext xmlns:x14="http://schemas.microsoft.com/office/spreadsheetml/2009/9/main" uri="{B025F937-C7B1-47D3-B67F-A62EFF666E3E}">
          <x14:id>{0F1A7DB9-D3CB-489A-B3E8-1D3929999D95}</x14:id>
        </ext>
      </extLst>
    </cfRule>
  </conditionalFormatting>
  <conditionalFormatting sqref="BQ15">
    <cfRule type="iconSet" priority="3607">
      <iconSet iconSet="3Arrows">
        <cfvo type="percent" val="0"/>
        <cfvo type="num" val="0.7"/>
        <cfvo type="num" val="1"/>
      </iconSet>
    </cfRule>
    <cfRule type="dataBar" priority="3608">
      <dataBar>
        <cfvo type="num" val="0"/>
        <cfvo type="num" val="1"/>
        <color theme="4" tint="0.79998168889431442"/>
      </dataBar>
      <extLst>
        <ext xmlns:x14="http://schemas.microsoft.com/office/spreadsheetml/2009/9/main" uri="{B025F937-C7B1-47D3-B67F-A62EFF666E3E}">
          <x14:id>{86351385-B4CC-4FF1-807D-EF778D9A61F7}</x14:id>
        </ext>
      </extLst>
    </cfRule>
  </conditionalFormatting>
  <conditionalFormatting sqref="BQ17">
    <cfRule type="iconSet" priority="3593">
      <iconSet iconSet="3Arrows">
        <cfvo type="percent" val="0"/>
        <cfvo type="num" val="0.7"/>
        <cfvo type="num" val="1"/>
      </iconSet>
    </cfRule>
    <cfRule type="dataBar" priority="3594">
      <dataBar>
        <cfvo type="num" val="0"/>
        <cfvo type="num" val="1"/>
        <color theme="4" tint="0.79998168889431442"/>
      </dataBar>
      <extLst>
        <ext xmlns:x14="http://schemas.microsoft.com/office/spreadsheetml/2009/9/main" uri="{B025F937-C7B1-47D3-B67F-A62EFF666E3E}">
          <x14:id>{ADD53038-C92A-4125-AF48-29DEEDCCBB66}</x14:id>
        </ext>
      </extLst>
    </cfRule>
  </conditionalFormatting>
  <conditionalFormatting sqref="BQ19">
    <cfRule type="iconSet" priority="3579">
      <iconSet iconSet="3Arrows">
        <cfvo type="percent" val="0"/>
        <cfvo type="num" val="0.7"/>
        <cfvo type="num" val="1"/>
      </iconSet>
    </cfRule>
    <cfRule type="dataBar" priority="3580">
      <dataBar>
        <cfvo type="num" val="0"/>
        <cfvo type="num" val="1"/>
        <color theme="4" tint="0.79998168889431442"/>
      </dataBar>
      <extLst>
        <ext xmlns:x14="http://schemas.microsoft.com/office/spreadsheetml/2009/9/main" uri="{B025F937-C7B1-47D3-B67F-A62EFF666E3E}">
          <x14:id>{A3875372-ABDA-407B-9B15-F9708C6D354F}</x14:id>
        </ext>
      </extLst>
    </cfRule>
  </conditionalFormatting>
  <conditionalFormatting sqref="BQ21">
    <cfRule type="iconSet" priority="3563">
      <iconSet iconSet="3Arrows">
        <cfvo type="percent" val="0"/>
        <cfvo type="num" val="0.7"/>
        <cfvo type="num" val="1"/>
      </iconSet>
    </cfRule>
    <cfRule type="dataBar" priority="3564">
      <dataBar>
        <cfvo type="num" val="0"/>
        <cfvo type="num" val="1"/>
        <color theme="4" tint="0.79998168889431442"/>
      </dataBar>
      <extLst>
        <ext xmlns:x14="http://schemas.microsoft.com/office/spreadsheetml/2009/9/main" uri="{B025F937-C7B1-47D3-B67F-A62EFF666E3E}">
          <x14:id>{9C86DD1B-8453-4AC9-9040-F2232730C06B}</x14:id>
        </ext>
      </extLst>
    </cfRule>
  </conditionalFormatting>
  <conditionalFormatting sqref="BQ31 BQ23">
    <cfRule type="iconSet" priority="5177">
      <iconSet iconSet="3Arrows">
        <cfvo type="percent" val="0"/>
        <cfvo type="num" val="0.7"/>
        <cfvo type="num" val="1"/>
      </iconSet>
    </cfRule>
    <cfRule type="dataBar" priority="5178">
      <dataBar>
        <cfvo type="num" val="0"/>
        <cfvo type="num" val="1"/>
        <color theme="4" tint="0.79998168889431442"/>
      </dataBar>
      <extLst>
        <ext xmlns:x14="http://schemas.microsoft.com/office/spreadsheetml/2009/9/main" uri="{B025F937-C7B1-47D3-B67F-A62EFF666E3E}">
          <x14:id>{C97B380F-4A80-4F07-BC16-B1DDD1893555}</x14:id>
        </ext>
      </extLst>
    </cfRule>
  </conditionalFormatting>
  <conditionalFormatting sqref="BQ25">
    <cfRule type="iconSet" priority="4981">
      <iconSet iconSet="3Arrows">
        <cfvo type="percent" val="0"/>
        <cfvo type="num" val="0.7"/>
        <cfvo type="num" val="1"/>
      </iconSet>
    </cfRule>
    <cfRule type="dataBar" priority="4982">
      <dataBar>
        <cfvo type="num" val="0"/>
        <cfvo type="num" val="1"/>
        <color theme="4" tint="0.79998168889431442"/>
      </dataBar>
      <extLst>
        <ext xmlns:x14="http://schemas.microsoft.com/office/spreadsheetml/2009/9/main" uri="{B025F937-C7B1-47D3-B67F-A62EFF666E3E}">
          <x14:id>{B884F6FA-AE60-454F-AEFC-1DF72ECD7C44}</x14:id>
        </ext>
      </extLst>
    </cfRule>
  </conditionalFormatting>
  <conditionalFormatting sqref="BQ27">
    <cfRule type="iconSet" priority="2943">
      <iconSet iconSet="3Arrows">
        <cfvo type="percent" val="0"/>
        <cfvo type="num" val="0.7"/>
        <cfvo type="num" val="1"/>
      </iconSet>
    </cfRule>
    <cfRule type="dataBar" priority="2944">
      <dataBar>
        <cfvo type="num" val="0"/>
        <cfvo type="num" val="1"/>
        <color theme="4" tint="0.79998168889431442"/>
      </dataBar>
      <extLst>
        <ext xmlns:x14="http://schemas.microsoft.com/office/spreadsheetml/2009/9/main" uri="{B025F937-C7B1-47D3-B67F-A62EFF666E3E}">
          <x14:id>{2389A485-D565-4737-B93A-D49941671BEB}</x14:id>
        </ext>
      </extLst>
    </cfRule>
  </conditionalFormatting>
  <conditionalFormatting sqref="BQ29">
    <cfRule type="iconSet" priority="2929">
      <iconSet iconSet="3Arrows">
        <cfvo type="percent" val="0"/>
        <cfvo type="num" val="0.7"/>
        <cfvo type="num" val="1"/>
      </iconSet>
    </cfRule>
    <cfRule type="dataBar" priority="2930">
      <dataBar>
        <cfvo type="num" val="0"/>
        <cfvo type="num" val="1"/>
        <color theme="4" tint="0.79998168889431442"/>
      </dataBar>
      <extLst>
        <ext xmlns:x14="http://schemas.microsoft.com/office/spreadsheetml/2009/9/main" uri="{B025F937-C7B1-47D3-B67F-A62EFF666E3E}">
          <x14:id>{AC411119-EF3C-4649-9D56-D023E5CD320F}</x14:id>
        </ext>
      </extLst>
    </cfRule>
  </conditionalFormatting>
  <conditionalFormatting sqref="BQ35">
    <cfRule type="iconSet" priority="4510">
      <iconSet iconSet="3Arrows">
        <cfvo type="percent" val="0"/>
        <cfvo type="num" val="0.7"/>
        <cfvo type="num" val="1"/>
      </iconSet>
    </cfRule>
    <cfRule type="dataBar" priority="4511">
      <dataBar>
        <cfvo type="num" val="0"/>
        <cfvo type="num" val="1"/>
        <color theme="4" tint="0.79998168889431442"/>
      </dataBar>
      <extLst>
        <ext xmlns:x14="http://schemas.microsoft.com/office/spreadsheetml/2009/9/main" uri="{B025F937-C7B1-47D3-B67F-A62EFF666E3E}">
          <x14:id>{D46D39C3-BBAF-428A-AE21-CFE36704A96A}</x14:id>
        </ext>
      </extLst>
    </cfRule>
  </conditionalFormatting>
  <conditionalFormatting sqref="BQ37">
    <cfRule type="iconSet" priority="3510">
      <iconSet iconSet="3Arrows">
        <cfvo type="percent" val="0"/>
        <cfvo type="num" val="0.7"/>
        <cfvo type="num" val="1"/>
      </iconSet>
    </cfRule>
    <cfRule type="dataBar" priority="3511">
      <dataBar>
        <cfvo type="num" val="0"/>
        <cfvo type="num" val="1"/>
        <color theme="4" tint="0.79998168889431442"/>
      </dataBar>
      <extLst>
        <ext xmlns:x14="http://schemas.microsoft.com/office/spreadsheetml/2009/9/main" uri="{B025F937-C7B1-47D3-B67F-A62EFF666E3E}">
          <x14:id>{4E6AB214-2AD2-429E-AD9D-225C48D5EB6B}</x14:id>
        </ext>
      </extLst>
    </cfRule>
  </conditionalFormatting>
  <conditionalFormatting sqref="BQ39">
    <cfRule type="iconSet" priority="3524">
      <iconSet iconSet="3Arrows">
        <cfvo type="percent" val="0"/>
        <cfvo type="num" val="0.7"/>
        <cfvo type="num" val="1"/>
      </iconSet>
    </cfRule>
    <cfRule type="dataBar" priority="3525">
      <dataBar>
        <cfvo type="num" val="0"/>
        <cfvo type="num" val="1"/>
        <color theme="4" tint="0.79998168889431442"/>
      </dataBar>
      <extLst>
        <ext xmlns:x14="http://schemas.microsoft.com/office/spreadsheetml/2009/9/main" uri="{B025F937-C7B1-47D3-B67F-A62EFF666E3E}">
          <x14:id>{8D2A489F-EB0D-45DD-AA83-9C5E09150BEA}</x14:id>
        </ext>
      </extLst>
    </cfRule>
  </conditionalFormatting>
  <conditionalFormatting sqref="BQ41">
    <cfRule type="iconSet" priority="3538">
      <iconSet iconSet="3Arrows">
        <cfvo type="percent" val="0"/>
        <cfvo type="num" val="0.7"/>
        <cfvo type="num" val="1"/>
      </iconSet>
    </cfRule>
    <cfRule type="dataBar" priority="3539">
      <dataBar>
        <cfvo type="num" val="0"/>
        <cfvo type="num" val="1"/>
        <color theme="4" tint="0.79998168889431442"/>
      </dataBar>
      <extLst>
        <ext xmlns:x14="http://schemas.microsoft.com/office/spreadsheetml/2009/9/main" uri="{B025F937-C7B1-47D3-B67F-A62EFF666E3E}">
          <x14:id>{77B0499B-6A6D-4A4C-8672-D9A569F43CA2}</x14:id>
        </ext>
      </extLst>
    </cfRule>
  </conditionalFormatting>
  <conditionalFormatting sqref="BQ43">
    <cfRule type="iconSet" priority="4802">
      <iconSet iconSet="3Arrows">
        <cfvo type="percent" val="0"/>
        <cfvo type="num" val="0.7"/>
        <cfvo type="num" val="1"/>
      </iconSet>
    </cfRule>
    <cfRule type="dataBar" priority="4803">
      <dataBar>
        <cfvo type="num" val="0"/>
        <cfvo type="num" val="1"/>
        <color theme="4" tint="0.79998168889431442"/>
      </dataBar>
      <extLst>
        <ext xmlns:x14="http://schemas.microsoft.com/office/spreadsheetml/2009/9/main" uri="{B025F937-C7B1-47D3-B67F-A62EFF666E3E}">
          <x14:id>{3D7CB3B6-00A4-4013-979C-C575A26EE3DF}</x14:id>
        </ext>
      </extLst>
    </cfRule>
  </conditionalFormatting>
  <conditionalFormatting sqref="BQ47">
    <cfRule type="iconSet" priority="4508">
      <iconSet iconSet="3Arrows">
        <cfvo type="percent" val="0"/>
        <cfvo type="num" val="0.7"/>
        <cfvo type="num" val="1"/>
      </iconSet>
    </cfRule>
    <cfRule type="dataBar" priority="4509">
      <dataBar>
        <cfvo type="num" val="0"/>
        <cfvo type="num" val="1"/>
        <color theme="4" tint="0.79998168889431442"/>
      </dataBar>
      <extLst>
        <ext xmlns:x14="http://schemas.microsoft.com/office/spreadsheetml/2009/9/main" uri="{B025F937-C7B1-47D3-B67F-A62EFF666E3E}">
          <x14:id>{6D06864A-8B56-4CF2-8476-738C9B6ADA1F}</x14:id>
        </ext>
      </extLst>
    </cfRule>
  </conditionalFormatting>
  <conditionalFormatting sqref="BQ49">
    <cfRule type="iconSet" priority="4794">
      <iconSet iconSet="3Arrows">
        <cfvo type="percent" val="0"/>
        <cfvo type="num" val="0.7"/>
        <cfvo type="num" val="1"/>
      </iconSet>
    </cfRule>
    <cfRule type="dataBar" priority="4795">
      <dataBar>
        <cfvo type="num" val="0"/>
        <cfvo type="num" val="1"/>
        <color theme="4" tint="0.79998168889431442"/>
      </dataBar>
      <extLst>
        <ext xmlns:x14="http://schemas.microsoft.com/office/spreadsheetml/2009/9/main" uri="{B025F937-C7B1-47D3-B67F-A62EFF666E3E}">
          <x14:id>{1D0C73B1-DF66-455C-A85B-B26C0F18C7EE}</x14:id>
        </ext>
      </extLst>
    </cfRule>
  </conditionalFormatting>
  <conditionalFormatting sqref="BQ51">
    <cfRule type="iconSet" priority="2909">
      <iconSet iconSet="3Arrows">
        <cfvo type="percent" val="0"/>
        <cfvo type="num" val="0.7"/>
        <cfvo type="num" val="1"/>
      </iconSet>
    </cfRule>
    <cfRule type="dataBar" priority="2910">
      <dataBar>
        <cfvo type="num" val="0"/>
        <cfvo type="num" val="1"/>
        <color theme="4" tint="0.79998168889431442"/>
      </dataBar>
      <extLst>
        <ext xmlns:x14="http://schemas.microsoft.com/office/spreadsheetml/2009/9/main" uri="{B025F937-C7B1-47D3-B67F-A62EFF666E3E}">
          <x14:id>{1ED18D17-DDC3-4BC4-8B42-3DBEC4FBF134}</x14:id>
        </ext>
      </extLst>
    </cfRule>
  </conditionalFormatting>
  <conditionalFormatting sqref="BQ53">
    <cfRule type="iconSet" priority="4500">
      <iconSet iconSet="3Arrows">
        <cfvo type="percent" val="0"/>
        <cfvo type="num" val="0.7"/>
        <cfvo type="num" val="1"/>
      </iconSet>
    </cfRule>
    <cfRule type="dataBar" priority="4501">
      <dataBar>
        <cfvo type="num" val="0"/>
        <cfvo type="num" val="1"/>
        <color theme="4" tint="0.79998168889431442"/>
      </dataBar>
      <extLst>
        <ext xmlns:x14="http://schemas.microsoft.com/office/spreadsheetml/2009/9/main" uri="{B025F937-C7B1-47D3-B67F-A62EFF666E3E}">
          <x14:id>{5936DF44-CB67-4F3F-A64E-80D3F025AB99}</x14:id>
        </ext>
      </extLst>
    </cfRule>
  </conditionalFormatting>
  <conditionalFormatting sqref="BQ55">
    <cfRule type="iconSet" priority="3496">
      <iconSet iconSet="3Arrows">
        <cfvo type="percent" val="0"/>
        <cfvo type="num" val="0.7"/>
        <cfvo type="num" val="1"/>
      </iconSet>
    </cfRule>
    <cfRule type="dataBar" priority="3497">
      <dataBar>
        <cfvo type="num" val="0"/>
        <cfvo type="num" val="1"/>
        <color theme="4" tint="0.79998168889431442"/>
      </dataBar>
      <extLst>
        <ext xmlns:x14="http://schemas.microsoft.com/office/spreadsheetml/2009/9/main" uri="{B025F937-C7B1-47D3-B67F-A62EFF666E3E}">
          <x14:id>{E4E8DF4C-740C-4B9A-A494-8F01D5C4CC65}</x14:id>
        </ext>
      </extLst>
    </cfRule>
  </conditionalFormatting>
  <conditionalFormatting sqref="BQ57">
    <cfRule type="iconSet" priority="2895">
      <iconSet iconSet="3Arrows">
        <cfvo type="percent" val="0"/>
        <cfvo type="num" val="0.7"/>
        <cfvo type="num" val="1"/>
      </iconSet>
    </cfRule>
    <cfRule type="dataBar" priority="2896">
      <dataBar>
        <cfvo type="num" val="0"/>
        <cfvo type="num" val="1"/>
        <color theme="4" tint="0.79998168889431442"/>
      </dataBar>
      <extLst>
        <ext xmlns:x14="http://schemas.microsoft.com/office/spreadsheetml/2009/9/main" uri="{B025F937-C7B1-47D3-B67F-A62EFF666E3E}">
          <x14:id>{73B383D8-3576-42EF-864A-620675E4905A}</x14:id>
        </ext>
      </extLst>
    </cfRule>
  </conditionalFormatting>
  <conditionalFormatting sqref="BQ59">
    <cfRule type="iconSet" priority="2881">
      <iconSet iconSet="3Arrows">
        <cfvo type="percent" val="0"/>
        <cfvo type="num" val="0.7"/>
        <cfvo type="num" val="1"/>
      </iconSet>
    </cfRule>
    <cfRule type="dataBar" priority="2882">
      <dataBar>
        <cfvo type="num" val="0"/>
        <cfvo type="num" val="1"/>
        <color theme="4" tint="0.79998168889431442"/>
      </dataBar>
      <extLst>
        <ext xmlns:x14="http://schemas.microsoft.com/office/spreadsheetml/2009/9/main" uri="{B025F937-C7B1-47D3-B67F-A62EFF666E3E}">
          <x14:id>{5F3295FA-FC55-4AF2-BE77-18469AFD953A}</x14:id>
        </ext>
      </extLst>
    </cfRule>
  </conditionalFormatting>
  <conditionalFormatting sqref="BQ61">
    <cfRule type="iconSet" priority="1475">
      <iconSet iconSet="3Arrows">
        <cfvo type="percent" val="0"/>
        <cfvo type="num" val="0.7"/>
        <cfvo type="num" val="1"/>
      </iconSet>
    </cfRule>
    <cfRule type="dataBar" priority="1476">
      <dataBar>
        <cfvo type="num" val="0"/>
        <cfvo type="num" val="1"/>
        <color theme="4" tint="0.79998168889431442"/>
      </dataBar>
      <extLst>
        <ext xmlns:x14="http://schemas.microsoft.com/office/spreadsheetml/2009/9/main" uri="{B025F937-C7B1-47D3-B67F-A62EFF666E3E}">
          <x14:id>{A1EFD880-33CE-4454-8C9B-0D649835B403}</x14:id>
        </ext>
      </extLst>
    </cfRule>
  </conditionalFormatting>
  <conditionalFormatting sqref="BQ63">
    <cfRule type="iconSet" priority="2461">
      <iconSet iconSet="3Arrows">
        <cfvo type="percent" val="0"/>
        <cfvo type="num" val="0.7"/>
        <cfvo type="num" val="1"/>
      </iconSet>
    </cfRule>
    <cfRule type="dataBar" priority="2462">
      <dataBar>
        <cfvo type="num" val="0"/>
        <cfvo type="num" val="1"/>
        <color theme="4" tint="0.79998168889431442"/>
      </dataBar>
      <extLst>
        <ext xmlns:x14="http://schemas.microsoft.com/office/spreadsheetml/2009/9/main" uri="{B025F937-C7B1-47D3-B67F-A62EFF666E3E}">
          <x14:id>{5508688F-AD14-4E44-8161-19F90AB600D9}</x14:id>
        </ext>
      </extLst>
    </cfRule>
  </conditionalFormatting>
  <conditionalFormatting sqref="BQ65">
    <cfRule type="iconSet" priority="2867">
      <iconSet iconSet="3Arrows">
        <cfvo type="percent" val="0"/>
        <cfvo type="num" val="0.7"/>
        <cfvo type="num" val="1"/>
      </iconSet>
    </cfRule>
    <cfRule type="dataBar" priority="2868">
      <dataBar>
        <cfvo type="num" val="0"/>
        <cfvo type="num" val="1"/>
        <color theme="4" tint="0.79998168889431442"/>
      </dataBar>
      <extLst>
        <ext xmlns:x14="http://schemas.microsoft.com/office/spreadsheetml/2009/9/main" uri="{B025F937-C7B1-47D3-B67F-A62EFF666E3E}">
          <x14:id>{40D8AAD0-701F-4C56-A52C-2F5BCB91FE5A}</x14:id>
        </ext>
      </extLst>
    </cfRule>
  </conditionalFormatting>
  <conditionalFormatting sqref="BQ67">
    <cfRule type="iconSet" priority="3414">
      <iconSet iconSet="3Arrows">
        <cfvo type="percent" val="0"/>
        <cfvo type="num" val="0.7"/>
        <cfvo type="num" val="1"/>
      </iconSet>
    </cfRule>
    <cfRule type="dataBar" priority="3415">
      <dataBar>
        <cfvo type="num" val="0"/>
        <cfvo type="num" val="1"/>
        <color theme="4" tint="0.79998168889431442"/>
      </dataBar>
      <extLst>
        <ext xmlns:x14="http://schemas.microsoft.com/office/spreadsheetml/2009/9/main" uri="{B025F937-C7B1-47D3-B67F-A62EFF666E3E}">
          <x14:id>{E9268295-DF07-4412-A6B5-6DD2452003AB}</x14:id>
        </ext>
      </extLst>
    </cfRule>
  </conditionalFormatting>
  <conditionalFormatting sqref="BQ69">
    <cfRule type="iconSet" priority="4991">
      <iconSet iconSet="3Arrows">
        <cfvo type="percent" val="0"/>
        <cfvo type="num" val="0.7"/>
        <cfvo type="num" val="1"/>
      </iconSet>
    </cfRule>
    <cfRule type="dataBar" priority="4992">
      <dataBar>
        <cfvo type="num" val="0"/>
        <cfvo type="num" val="1"/>
        <color theme="4" tint="0.79998168889431442"/>
      </dataBar>
      <extLst>
        <ext xmlns:x14="http://schemas.microsoft.com/office/spreadsheetml/2009/9/main" uri="{B025F937-C7B1-47D3-B67F-A62EFF666E3E}">
          <x14:id>{4202D007-29D6-4285-BFC9-F5B5A7824AC9}</x14:id>
        </ext>
      </extLst>
    </cfRule>
  </conditionalFormatting>
  <conditionalFormatting sqref="BQ73">
    <cfRule type="iconSet" priority="430">
      <iconSet iconSet="3Arrows">
        <cfvo type="percent" val="0"/>
        <cfvo type="num" val="0.7"/>
        <cfvo type="num" val="1"/>
      </iconSet>
    </cfRule>
    <cfRule type="dataBar" priority="431">
      <dataBar>
        <cfvo type="num" val="0"/>
        <cfvo type="num" val="1"/>
        <color theme="4" tint="0.79998168889431442"/>
      </dataBar>
      <extLst>
        <ext xmlns:x14="http://schemas.microsoft.com/office/spreadsheetml/2009/9/main" uri="{B025F937-C7B1-47D3-B67F-A62EFF666E3E}">
          <x14:id>{5BB334C5-DD52-4775-B238-C8C19D528550}</x14:id>
        </ext>
      </extLst>
    </cfRule>
  </conditionalFormatting>
  <conditionalFormatting sqref="BQ77">
    <cfRule type="iconSet" priority="5153">
      <iconSet iconSet="3Arrows">
        <cfvo type="percent" val="0"/>
        <cfvo type="num" val="0.7"/>
        <cfvo type="num" val="1"/>
      </iconSet>
    </cfRule>
    <cfRule type="dataBar" priority="5154">
      <dataBar>
        <cfvo type="num" val="0"/>
        <cfvo type="num" val="1"/>
        <color theme="4" tint="0.79998168889431442"/>
      </dataBar>
      <extLst>
        <ext xmlns:x14="http://schemas.microsoft.com/office/spreadsheetml/2009/9/main" uri="{B025F937-C7B1-47D3-B67F-A62EFF666E3E}">
          <x14:id>{AB528B5F-C46F-4F7F-9228-F609A84F97E3}</x14:id>
        </ext>
      </extLst>
    </cfRule>
  </conditionalFormatting>
  <conditionalFormatting sqref="BQ79 BQ89">
    <cfRule type="iconSet" priority="4989">
      <iconSet iconSet="3Arrows">
        <cfvo type="percent" val="0"/>
        <cfvo type="num" val="0.7"/>
        <cfvo type="num" val="1"/>
      </iconSet>
    </cfRule>
    <cfRule type="dataBar" priority="4990">
      <dataBar>
        <cfvo type="num" val="0"/>
        <cfvo type="num" val="1"/>
        <color theme="4" tint="0.79998168889431442"/>
      </dataBar>
      <extLst>
        <ext xmlns:x14="http://schemas.microsoft.com/office/spreadsheetml/2009/9/main" uri="{B025F937-C7B1-47D3-B67F-A62EFF666E3E}">
          <x14:id>{0D6F4FE9-98CD-4D07-8F26-93896670E5E5}</x14:id>
        </ext>
      </extLst>
    </cfRule>
  </conditionalFormatting>
  <conditionalFormatting sqref="BQ81">
    <cfRule type="iconSet" priority="4851">
      <iconSet iconSet="3Arrows">
        <cfvo type="percent" val="0"/>
        <cfvo type="num" val="0.7"/>
        <cfvo type="num" val="1"/>
      </iconSet>
    </cfRule>
    <cfRule type="dataBar" priority="4852">
      <dataBar>
        <cfvo type="num" val="0"/>
        <cfvo type="num" val="1"/>
        <color theme="4" tint="0.79998168889431442"/>
      </dataBar>
      <extLst>
        <ext xmlns:x14="http://schemas.microsoft.com/office/spreadsheetml/2009/9/main" uri="{B025F937-C7B1-47D3-B67F-A62EFF666E3E}">
          <x14:id>{4F5BAB08-C24C-41C8-AB39-1044A3AF8759}</x14:id>
        </ext>
      </extLst>
    </cfRule>
  </conditionalFormatting>
  <conditionalFormatting sqref="BQ83">
    <cfRule type="iconSet" priority="4832">
      <iconSet iconSet="3Arrows">
        <cfvo type="percent" val="0"/>
        <cfvo type="num" val="0.7"/>
        <cfvo type="num" val="1"/>
      </iconSet>
    </cfRule>
    <cfRule type="dataBar" priority="4833">
      <dataBar>
        <cfvo type="num" val="0"/>
        <cfvo type="num" val="1"/>
        <color theme="4" tint="0.79998168889431442"/>
      </dataBar>
      <extLst>
        <ext xmlns:x14="http://schemas.microsoft.com/office/spreadsheetml/2009/9/main" uri="{B025F937-C7B1-47D3-B67F-A62EFF666E3E}">
          <x14:id>{30F99A91-6BAF-4CF3-9F64-2377C7654817}</x14:id>
        </ext>
      </extLst>
    </cfRule>
  </conditionalFormatting>
  <conditionalFormatting sqref="BQ85">
    <cfRule type="iconSet" priority="4824">
      <iconSet iconSet="3Arrows">
        <cfvo type="percent" val="0"/>
        <cfvo type="num" val="0.7"/>
        <cfvo type="num" val="1"/>
      </iconSet>
    </cfRule>
    <cfRule type="dataBar" priority="4825">
      <dataBar>
        <cfvo type="num" val="0"/>
        <cfvo type="num" val="1"/>
        <color theme="4" tint="0.79998168889431442"/>
      </dataBar>
      <extLst>
        <ext xmlns:x14="http://schemas.microsoft.com/office/spreadsheetml/2009/9/main" uri="{B025F937-C7B1-47D3-B67F-A62EFF666E3E}">
          <x14:id>{1F46F06D-41FB-40D6-A5B2-896209114707}</x14:id>
        </ext>
      </extLst>
    </cfRule>
  </conditionalFormatting>
  <conditionalFormatting sqref="BQ87">
    <cfRule type="iconSet" priority="4816">
      <iconSet iconSet="3Arrows">
        <cfvo type="percent" val="0"/>
        <cfvo type="num" val="0.7"/>
        <cfvo type="num" val="1"/>
      </iconSet>
    </cfRule>
    <cfRule type="dataBar" priority="4817">
      <dataBar>
        <cfvo type="num" val="0"/>
        <cfvo type="num" val="1"/>
        <color theme="4" tint="0.79998168889431442"/>
      </dataBar>
      <extLst>
        <ext xmlns:x14="http://schemas.microsoft.com/office/spreadsheetml/2009/9/main" uri="{B025F937-C7B1-47D3-B67F-A62EFF666E3E}">
          <x14:id>{E410C9A2-3365-4EB4-B65F-591BEF416EBA}</x14:id>
        </ext>
      </extLst>
    </cfRule>
  </conditionalFormatting>
  <conditionalFormatting sqref="BQ93">
    <cfRule type="iconSet" priority="4784">
      <iconSet iconSet="3Arrows">
        <cfvo type="percent" val="0"/>
        <cfvo type="num" val="0.7"/>
        <cfvo type="num" val="1"/>
      </iconSet>
    </cfRule>
    <cfRule type="dataBar" priority="4785">
      <dataBar>
        <cfvo type="num" val="0"/>
        <cfvo type="num" val="1"/>
        <color theme="4" tint="0.79998168889431442"/>
      </dataBar>
      <extLst>
        <ext xmlns:x14="http://schemas.microsoft.com/office/spreadsheetml/2009/9/main" uri="{B025F937-C7B1-47D3-B67F-A62EFF666E3E}">
          <x14:id>{04A4BDC6-6490-42FD-8994-166456F8D6AB}</x14:id>
        </ext>
      </extLst>
    </cfRule>
  </conditionalFormatting>
  <conditionalFormatting sqref="BQ95">
    <cfRule type="iconSet" priority="4739">
      <iconSet iconSet="3Arrows">
        <cfvo type="percent" val="0"/>
        <cfvo type="num" val="0.7"/>
        <cfvo type="num" val="1"/>
      </iconSet>
    </cfRule>
    <cfRule type="dataBar" priority="4740">
      <dataBar>
        <cfvo type="num" val="0"/>
        <cfvo type="num" val="1"/>
        <color theme="4" tint="0.79998168889431442"/>
      </dataBar>
      <extLst>
        <ext xmlns:x14="http://schemas.microsoft.com/office/spreadsheetml/2009/9/main" uri="{B025F937-C7B1-47D3-B67F-A62EFF666E3E}">
          <x14:id>{EE624CD1-4D07-4310-96AF-D3152D38DC7E}</x14:id>
        </ext>
      </extLst>
    </cfRule>
  </conditionalFormatting>
  <conditionalFormatting sqref="BQ97">
    <cfRule type="iconSet" priority="1963">
      <iconSet iconSet="3Arrows">
        <cfvo type="percent" val="0"/>
        <cfvo type="num" val="0.7"/>
        <cfvo type="num" val="1"/>
      </iconSet>
    </cfRule>
    <cfRule type="dataBar" priority="1964">
      <dataBar>
        <cfvo type="num" val="0"/>
        <cfvo type="num" val="1"/>
        <color theme="4" tint="0.79998168889431442"/>
      </dataBar>
      <extLst>
        <ext xmlns:x14="http://schemas.microsoft.com/office/spreadsheetml/2009/9/main" uri="{B025F937-C7B1-47D3-B67F-A62EFF666E3E}">
          <x14:id>{FA0C1D04-F363-4AEE-B03B-3B73B3DE3841}</x14:id>
        </ext>
      </extLst>
    </cfRule>
  </conditionalFormatting>
  <conditionalFormatting sqref="BQ99">
    <cfRule type="iconSet" priority="2000">
      <iconSet iconSet="3Arrows">
        <cfvo type="percent" val="0"/>
        <cfvo type="num" val="0.7"/>
        <cfvo type="num" val="1"/>
      </iconSet>
    </cfRule>
    <cfRule type="dataBar" priority="2001">
      <dataBar>
        <cfvo type="num" val="0"/>
        <cfvo type="num" val="1"/>
        <color theme="4" tint="0.79998168889431442"/>
      </dataBar>
      <extLst>
        <ext xmlns:x14="http://schemas.microsoft.com/office/spreadsheetml/2009/9/main" uri="{B025F937-C7B1-47D3-B67F-A62EFF666E3E}">
          <x14:id>{1B204483-0251-4D23-BD4B-63356ADE61AE}</x14:id>
        </ext>
      </extLst>
    </cfRule>
  </conditionalFormatting>
  <conditionalFormatting sqref="BQ101">
    <cfRule type="iconSet" priority="1937">
      <iconSet iconSet="3Arrows">
        <cfvo type="percent" val="0"/>
        <cfvo type="num" val="0.7"/>
        <cfvo type="num" val="1"/>
      </iconSet>
    </cfRule>
    <cfRule type="dataBar" priority="1938">
      <dataBar>
        <cfvo type="num" val="0"/>
        <cfvo type="num" val="1"/>
        <color theme="4" tint="0.79998168889431442"/>
      </dataBar>
      <extLst>
        <ext xmlns:x14="http://schemas.microsoft.com/office/spreadsheetml/2009/9/main" uri="{B025F937-C7B1-47D3-B67F-A62EFF666E3E}">
          <x14:id>{E27BDD94-626A-45FF-B139-FC5C799E5CF9}</x14:id>
        </ext>
      </extLst>
    </cfRule>
  </conditionalFormatting>
  <conditionalFormatting sqref="BQ103">
    <cfRule type="iconSet" priority="5193">
      <iconSet iconSet="3Arrows">
        <cfvo type="percent" val="0"/>
        <cfvo type="num" val="0.7"/>
        <cfvo type="num" val="1"/>
      </iconSet>
    </cfRule>
    <cfRule type="dataBar" priority="5194">
      <dataBar>
        <cfvo type="num" val="0"/>
        <cfvo type="num" val="1"/>
        <color theme="4" tint="0.79998168889431442"/>
      </dataBar>
      <extLst>
        <ext xmlns:x14="http://schemas.microsoft.com/office/spreadsheetml/2009/9/main" uri="{B025F937-C7B1-47D3-B67F-A62EFF666E3E}">
          <x14:id>{1FB3E872-2570-4394-B2D6-D50D2CAA54AA}</x14:id>
        </ext>
      </extLst>
    </cfRule>
  </conditionalFormatting>
  <conditionalFormatting sqref="BQ105">
    <cfRule type="iconSet" priority="4755">
      <iconSet iconSet="3Arrows">
        <cfvo type="percent" val="0"/>
        <cfvo type="num" val="0.7"/>
        <cfvo type="num" val="1"/>
      </iconSet>
    </cfRule>
    <cfRule type="dataBar" priority="4756">
      <dataBar>
        <cfvo type="num" val="0"/>
        <cfvo type="num" val="1"/>
        <color theme="4" tint="0.79998168889431442"/>
      </dataBar>
      <extLst>
        <ext xmlns:x14="http://schemas.microsoft.com/office/spreadsheetml/2009/9/main" uri="{B025F937-C7B1-47D3-B67F-A62EFF666E3E}">
          <x14:id>{E8BDE553-6722-4531-8606-0489A66D6598}</x14:id>
        </ext>
      </extLst>
    </cfRule>
  </conditionalFormatting>
  <conditionalFormatting sqref="BQ107">
    <cfRule type="iconSet" priority="4747">
      <iconSet iconSet="3Arrows">
        <cfvo type="percent" val="0"/>
        <cfvo type="num" val="0.7"/>
        <cfvo type="num" val="1"/>
      </iconSet>
    </cfRule>
    <cfRule type="dataBar" priority="4748">
      <dataBar>
        <cfvo type="num" val="0"/>
        <cfvo type="num" val="1"/>
        <color theme="4" tint="0.79998168889431442"/>
      </dataBar>
      <extLst>
        <ext xmlns:x14="http://schemas.microsoft.com/office/spreadsheetml/2009/9/main" uri="{B025F937-C7B1-47D3-B67F-A62EFF666E3E}">
          <x14:id>{1C362D47-BF17-4F51-AA09-D0D16F2C7B84}</x14:id>
        </ext>
      </extLst>
    </cfRule>
  </conditionalFormatting>
  <conditionalFormatting sqref="BQ109">
    <cfRule type="iconSet" priority="2857">
      <iconSet iconSet="3Arrows">
        <cfvo type="percent" val="0"/>
        <cfvo type="num" val="0.7"/>
        <cfvo type="num" val="1"/>
      </iconSet>
    </cfRule>
    <cfRule type="dataBar" priority="2858">
      <dataBar>
        <cfvo type="num" val="0"/>
        <cfvo type="num" val="1"/>
        <color theme="4" tint="0.79998168889431442"/>
      </dataBar>
      <extLst>
        <ext xmlns:x14="http://schemas.microsoft.com/office/spreadsheetml/2009/9/main" uri="{B025F937-C7B1-47D3-B67F-A62EFF666E3E}">
          <x14:id>{91E4DF39-FEF3-4B5C-8D59-F2EDB7B80405}</x14:id>
        </ext>
      </extLst>
    </cfRule>
  </conditionalFormatting>
  <conditionalFormatting sqref="BQ113">
    <cfRule type="iconSet" priority="4776">
      <iconSet iconSet="3Arrows">
        <cfvo type="percent" val="0"/>
        <cfvo type="num" val="0.7"/>
        <cfvo type="num" val="1"/>
      </iconSet>
    </cfRule>
    <cfRule type="dataBar" priority="4777">
      <dataBar>
        <cfvo type="num" val="0"/>
        <cfvo type="num" val="1"/>
        <color theme="4" tint="0.79998168889431442"/>
      </dataBar>
      <extLst>
        <ext xmlns:x14="http://schemas.microsoft.com/office/spreadsheetml/2009/9/main" uri="{B025F937-C7B1-47D3-B67F-A62EFF666E3E}">
          <x14:id>{60D0D0DD-EF3D-47B9-A3A9-EAC479FBD1E8}</x14:id>
        </ext>
      </extLst>
    </cfRule>
  </conditionalFormatting>
  <conditionalFormatting sqref="BQ115">
    <cfRule type="iconSet" priority="4763">
      <iconSet iconSet="3Arrows">
        <cfvo type="percent" val="0"/>
        <cfvo type="num" val="0.7"/>
        <cfvo type="num" val="1"/>
      </iconSet>
    </cfRule>
    <cfRule type="dataBar" priority="4764">
      <dataBar>
        <cfvo type="num" val="0"/>
        <cfvo type="num" val="1"/>
        <color theme="4" tint="0.79998168889431442"/>
      </dataBar>
      <extLst>
        <ext xmlns:x14="http://schemas.microsoft.com/office/spreadsheetml/2009/9/main" uri="{B025F937-C7B1-47D3-B67F-A62EFF666E3E}">
          <x14:id>{4AA6A8A4-83A2-4FA2-B82A-5CB051BBCFE0}</x14:id>
        </ext>
      </extLst>
    </cfRule>
  </conditionalFormatting>
  <conditionalFormatting sqref="BQ119">
    <cfRule type="iconSet" priority="5147">
      <iconSet iconSet="3Arrows">
        <cfvo type="percent" val="0"/>
        <cfvo type="num" val="0.7"/>
        <cfvo type="num" val="1"/>
      </iconSet>
    </cfRule>
    <cfRule type="dataBar" priority="5148">
      <dataBar>
        <cfvo type="num" val="0"/>
        <cfvo type="num" val="1"/>
        <color theme="4" tint="0.79998168889431442"/>
      </dataBar>
      <extLst>
        <ext xmlns:x14="http://schemas.microsoft.com/office/spreadsheetml/2009/9/main" uri="{B025F937-C7B1-47D3-B67F-A62EFF666E3E}">
          <x14:id>{364B432D-A6CD-4794-BF24-79DFB49DC3F9}</x14:id>
        </ext>
      </extLst>
    </cfRule>
  </conditionalFormatting>
  <conditionalFormatting sqref="BQ121 BQ129 BQ123">
    <cfRule type="iconSet" priority="5195">
      <iconSet iconSet="3Arrows">
        <cfvo type="percent" val="0"/>
        <cfvo type="num" val="0.7"/>
        <cfvo type="num" val="1"/>
      </iconSet>
    </cfRule>
    <cfRule type="dataBar" priority="5196">
      <dataBar>
        <cfvo type="num" val="0"/>
        <cfvo type="num" val="1"/>
        <color theme="4" tint="0.79998168889431442"/>
      </dataBar>
      <extLst>
        <ext xmlns:x14="http://schemas.microsoft.com/office/spreadsheetml/2009/9/main" uri="{B025F937-C7B1-47D3-B67F-A62EFF666E3E}">
          <x14:id>{08739BF1-F2B9-4D69-94ED-15AC1F30B083}</x14:id>
        </ext>
      </extLst>
    </cfRule>
  </conditionalFormatting>
  <conditionalFormatting sqref="BQ125">
    <cfRule type="iconSet" priority="3488">
      <iconSet iconSet="3Arrows">
        <cfvo type="percent" val="0"/>
        <cfvo type="num" val="0.7"/>
        <cfvo type="num" val="1"/>
      </iconSet>
    </cfRule>
    <cfRule type="dataBar" priority="3489">
      <dataBar>
        <cfvo type="num" val="0"/>
        <cfvo type="num" val="1"/>
        <color theme="4" tint="0.79998168889431442"/>
      </dataBar>
      <extLst>
        <ext xmlns:x14="http://schemas.microsoft.com/office/spreadsheetml/2009/9/main" uri="{B025F937-C7B1-47D3-B67F-A62EFF666E3E}">
          <x14:id>{4DBCB3D4-D4DA-435D-B67A-2985E5967AC2}</x14:id>
        </ext>
      </extLst>
    </cfRule>
  </conditionalFormatting>
  <conditionalFormatting sqref="BQ127">
    <cfRule type="iconSet" priority="3247">
      <iconSet iconSet="3Arrows">
        <cfvo type="percent" val="0"/>
        <cfvo type="num" val="0.7"/>
        <cfvo type="num" val="1"/>
      </iconSet>
    </cfRule>
    <cfRule type="dataBar" priority="3248">
      <dataBar>
        <cfvo type="num" val="0"/>
        <cfvo type="num" val="1"/>
        <color theme="4" tint="0.79998168889431442"/>
      </dataBar>
      <extLst>
        <ext xmlns:x14="http://schemas.microsoft.com/office/spreadsheetml/2009/9/main" uri="{B025F937-C7B1-47D3-B67F-A62EFF666E3E}">
          <x14:id>{899AEBFC-5E3B-44DA-B8F5-5D5897BA7D30}</x14:id>
        </ext>
      </extLst>
    </cfRule>
  </conditionalFormatting>
  <conditionalFormatting sqref="BQ131">
    <cfRule type="iconSet" priority="2958">
      <iconSet iconSet="3Arrows">
        <cfvo type="percent" val="0"/>
        <cfvo type="num" val="0.7"/>
        <cfvo type="num" val="1"/>
      </iconSet>
    </cfRule>
    <cfRule type="dataBar" priority="2959">
      <dataBar>
        <cfvo type="num" val="0"/>
        <cfvo type="num" val="1"/>
        <color theme="4" tint="0.79998168889431442"/>
      </dataBar>
      <extLst>
        <ext xmlns:x14="http://schemas.microsoft.com/office/spreadsheetml/2009/9/main" uri="{B025F937-C7B1-47D3-B67F-A62EFF666E3E}">
          <x14:id>{1886C625-97E1-4B13-9527-23EEA836ED57}</x14:id>
        </ext>
      </extLst>
    </cfRule>
  </conditionalFormatting>
  <conditionalFormatting sqref="BQ134">
    <cfRule type="iconSet" priority="1486">
      <iconSet iconSet="3Arrows">
        <cfvo type="percent" val="0"/>
        <cfvo type="num" val="0.7"/>
        <cfvo type="num" val="1"/>
      </iconSet>
    </cfRule>
    <cfRule type="dataBar" priority="1487">
      <dataBar>
        <cfvo type="num" val="0"/>
        <cfvo type="num" val="1"/>
        <color theme="4" tint="0.79998168889431442"/>
      </dataBar>
      <extLst>
        <ext xmlns:x14="http://schemas.microsoft.com/office/spreadsheetml/2009/9/main" uri="{B025F937-C7B1-47D3-B67F-A62EFF666E3E}">
          <x14:id>{3FD5909B-5295-4A36-9E53-7DC6DEEA0937}</x14:id>
        </ext>
      </extLst>
    </cfRule>
  </conditionalFormatting>
  <conditionalFormatting sqref="BQ137">
    <cfRule type="iconSet" priority="2036">
      <iconSet iconSet="3Arrows">
        <cfvo type="percent" val="0"/>
        <cfvo type="num" val="0.7"/>
        <cfvo type="num" val="1"/>
      </iconSet>
    </cfRule>
    <cfRule type="dataBar" priority="2037">
      <dataBar>
        <cfvo type="num" val="0"/>
        <cfvo type="num" val="1"/>
        <color theme="4" tint="0.79998168889431442"/>
      </dataBar>
      <extLst>
        <ext xmlns:x14="http://schemas.microsoft.com/office/spreadsheetml/2009/9/main" uri="{B025F937-C7B1-47D3-B67F-A62EFF666E3E}">
          <x14:id>{DBC65DEF-A4F8-4632-A911-F380EF648192}</x14:id>
        </ext>
      </extLst>
    </cfRule>
  </conditionalFormatting>
  <conditionalFormatting sqref="BQ140">
    <cfRule type="iconSet" priority="4730">
      <iconSet iconSet="3Arrows">
        <cfvo type="percent" val="0"/>
        <cfvo type="num" val="0.7"/>
        <cfvo type="num" val="1"/>
      </iconSet>
    </cfRule>
    <cfRule type="dataBar" priority="4731">
      <dataBar>
        <cfvo type="num" val="0"/>
        <cfvo type="num" val="1"/>
        <color theme="4" tint="0.79998168889431442"/>
      </dataBar>
      <extLst>
        <ext xmlns:x14="http://schemas.microsoft.com/office/spreadsheetml/2009/9/main" uri="{B025F937-C7B1-47D3-B67F-A62EFF666E3E}">
          <x14:id>{16CFE06F-D46A-4A85-82E4-2743C3280BDE}</x14:id>
        </ext>
      </extLst>
    </cfRule>
  </conditionalFormatting>
  <conditionalFormatting sqref="BQ142">
    <cfRule type="iconSet" priority="4440">
      <iconSet iconSet="3Arrows">
        <cfvo type="percent" val="0"/>
        <cfvo type="num" val="0.7"/>
        <cfvo type="num" val="1"/>
      </iconSet>
    </cfRule>
    <cfRule type="dataBar" priority="4441">
      <dataBar>
        <cfvo type="num" val="0"/>
        <cfvo type="num" val="1"/>
        <color theme="4" tint="0.79998168889431442"/>
      </dataBar>
      <extLst>
        <ext xmlns:x14="http://schemas.microsoft.com/office/spreadsheetml/2009/9/main" uri="{B025F937-C7B1-47D3-B67F-A62EFF666E3E}">
          <x14:id>{17AD541B-B308-4585-9C71-D4DA2EA60B10}</x14:id>
        </ext>
      </extLst>
    </cfRule>
  </conditionalFormatting>
  <conditionalFormatting sqref="BQ144">
    <cfRule type="iconSet" priority="4420">
      <iconSet iconSet="3Arrows">
        <cfvo type="percent" val="0"/>
        <cfvo type="num" val="0.7"/>
        <cfvo type="num" val="1"/>
      </iconSet>
    </cfRule>
    <cfRule type="dataBar" priority="4421">
      <dataBar>
        <cfvo type="num" val="0"/>
        <cfvo type="num" val="1"/>
        <color theme="4" tint="0.79998168889431442"/>
      </dataBar>
      <extLst>
        <ext xmlns:x14="http://schemas.microsoft.com/office/spreadsheetml/2009/9/main" uri="{B025F937-C7B1-47D3-B67F-A62EFF666E3E}">
          <x14:id>{ADF074F1-A3AA-4DA5-9308-0A56905B4090}</x14:id>
        </ext>
      </extLst>
    </cfRule>
  </conditionalFormatting>
  <conditionalFormatting sqref="BQ146">
    <cfRule type="iconSet" priority="1387">
      <iconSet iconSet="3Arrows">
        <cfvo type="percent" val="0"/>
        <cfvo type="num" val="0.7"/>
        <cfvo type="num" val="1"/>
      </iconSet>
    </cfRule>
    <cfRule type="dataBar" priority="1388">
      <dataBar>
        <cfvo type="num" val="0"/>
        <cfvo type="num" val="1"/>
        <color theme="4" tint="0.79998168889431442"/>
      </dataBar>
      <extLst>
        <ext xmlns:x14="http://schemas.microsoft.com/office/spreadsheetml/2009/9/main" uri="{B025F937-C7B1-47D3-B67F-A62EFF666E3E}">
          <x14:id>{489B1594-735F-497F-9067-68AE23208A1E}</x14:id>
        </ext>
      </extLst>
    </cfRule>
  </conditionalFormatting>
  <conditionalFormatting sqref="BQ150">
    <cfRule type="iconSet" priority="4603">
      <iconSet iconSet="3Arrows">
        <cfvo type="percent" val="0"/>
        <cfvo type="num" val="0.7"/>
        <cfvo type="num" val="1"/>
      </iconSet>
    </cfRule>
    <cfRule type="dataBar" priority="4604">
      <dataBar>
        <cfvo type="num" val="0"/>
        <cfvo type="num" val="1"/>
        <color theme="4" tint="0.79998168889431442"/>
      </dataBar>
      <extLst>
        <ext xmlns:x14="http://schemas.microsoft.com/office/spreadsheetml/2009/9/main" uri="{B025F937-C7B1-47D3-B67F-A62EFF666E3E}">
          <x14:id>{BF532B47-FDF0-478C-B8C0-A14D1379F9E9}</x14:id>
        </ext>
      </extLst>
    </cfRule>
  </conditionalFormatting>
  <conditionalFormatting sqref="BQ152">
    <cfRule type="iconSet" priority="4444">
      <iconSet iconSet="3Arrows">
        <cfvo type="percent" val="0"/>
        <cfvo type="num" val="0.7"/>
        <cfvo type="num" val="1"/>
      </iconSet>
    </cfRule>
    <cfRule type="dataBar" priority="4445">
      <dataBar>
        <cfvo type="num" val="0"/>
        <cfvo type="num" val="1"/>
        <color theme="4" tint="0.79998168889431442"/>
      </dataBar>
      <extLst>
        <ext xmlns:x14="http://schemas.microsoft.com/office/spreadsheetml/2009/9/main" uri="{B025F937-C7B1-47D3-B67F-A62EFF666E3E}">
          <x14:id>{C493D3A3-7851-4AD2-B903-FDD0FFFDA14B}</x14:id>
        </ext>
      </extLst>
    </cfRule>
  </conditionalFormatting>
  <conditionalFormatting sqref="BQ154">
    <cfRule type="iconSet" priority="3347">
      <iconSet iconSet="3Arrows">
        <cfvo type="percent" val="0"/>
        <cfvo type="num" val="0.7"/>
        <cfvo type="num" val="1"/>
      </iconSet>
    </cfRule>
    <cfRule type="dataBar" priority="3348">
      <dataBar>
        <cfvo type="num" val="0"/>
        <cfvo type="num" val="1"/>
        <color theme="4" tint="0.79998168889431442"/>
      </dataBar>
      <extLst>
        <ext xmlns:x14="http://schemas.microsoft.com/office/spreadsheetml/2009/9/main" uri="{B025F937-C7B1-47D3-B67F-A62EFF666E3E}">
          <x14:id>{DCC01019-C6DE-4EBE-A5BE-F909C9C4FC64}</x14:id>
        </ext>
      </extLst>
    </cfRule>
  </conditionalFormatting>
  <conditionalFormatting sqref="BQ156">
    <cfRule type="iconSet" priority="4596">
      <iconSet iconSet="3Arrows">
        <cfvo type="percent" val="0"/>
        <cfvo type="num" val="0.7"/>
        <cfvo type="num" val="1"/>
      </iconSet>
    </cfRule>
    <cfRule type="dataBar" priority="4597">
      <dataBar>
        <cfvo type="num" val="0"/>
        <cfvo type="num" val="1"/>
        <color theme="4" tint="0.79998168889431442"/>
      </dataBar>
      <extLst>
        <ext xmlns:x14="http://schemas.microsoft.com/office/spreadsheetml/2009/9/main" uri="{B025F937-C7B1-47D3-B67F-A62EFF666E3E}">
          <x14:id>{67BD035F-7BC3-4EB3-B725-85521E3B20E4}</x14:id>
        </ext>
      </extLst>
    </cfRule>
  </conditionalFormatting>
  <conditionalFormatting sqref="BQ158">
    <cfRule type="iconSet" priority="4585">
      <iconSet iconSet="3Arrows">
        <cfvo type="percent" val="0"/>
        <cfvo type="num" val="0.7"/>
        <cfvo type="num" val="1"/>
      </iconSet>
    </cfRule>
    <cfRule type="dataBar" priority="4586">
      <dataBar>
        <cfvo type="num" val="0"/>
        <cfvo type="num" val="1"/>
        <color theme="4" tint="0.79998168889431442"/>
      </dataBar>
      <extLst>
        <ext xmlns:x14="http://schemas.microsoft.com/office/spreadsheetml/2009/9/main" uri="{B025F937-C7B1-47D3-B67F-A62EFF666E3E}">
          <x14:id>{8DF2E789-A602-42D2-B4CE-20CBD80CE0AC}</x14:id>
        </ext>
      </extLst>
    </cfRule>
  </conditionalFormatting>
  <conditionalFormatting sqref="BQ160">
    <cfRule type="iconSet" priority="4591">
      <iconSet iconSet="3Arrows">
        <cfvo type="percent" val="0"/>
        <cfvo type="num" val="0.7"/>
        <cfvo type="num" val="1"/>
      </iconSet>
    </cfRule>
    <cfRule type="dataBar" priority="4592">
      <dataBar>
        <cfvo type="num" val="0"/>
        <cfvo type="num" val="1"/>
        <color theme="4" tint="0.79998168889431442"/>
      </dataBar>
      <extLst>
        <ext xmlns:x14="http://schemas.microsoft.com/office/spreadsheetml/2009/9/main" uri="{B025F937-C7B1-47D3-B67F-A62EFF666E3E}">
          <x14:id>{0250B5D6-1DCA-43CA-A688-0FF83AC1E7D5}</x14:id>
        </ext>
      </extLst>
    </cfRule>
  </conditionalFormatting>
  <conditionalFormatting sqref="BQ162">
    <cfRule type="iconSet" priority="4429">
      <iconSet iconSet="3Arrows">
        <cfvo type="percent" val="0"/>
        <cfvo type="num" val="0.7"/>
        <cfvo type="num" val="1"/>
      </iconSet>
    </cfRule>
    <cfRule type="dataBar" priority="4430">
      <dataBar>
        <cfvo type="num" val="0"/>
        <cfvo type="num" val="1"/>
        <color theme="4" tint="0.79998168889431442"/>
      </dataBar>
      <extLst>
        <ext xmlns:x14="http://schemas.microsoft.com/office/spreadsheetml/2009/9/main" uri="{B025F937-C7B1-47D3-B67F-A62EFF666E3E}">
          <x14:id>{AA104D26-AD7D-41C7-A361-3936B2543A90}</x14:id>
        </ext>
      </extLst>
    </cfRule>
  </conditionalFormatting>
  <conditionalFormatting sqref="BQ164">
    <cfRule type="iconSet" priority="2157">
      <iconSet iconSet="3Arrows">
        <cfvo type="percent" val="0"/>
        <cfvo type="num" val="0.7"/>
        <cfvo type="num" val="1"/>
      </iconSet>
    </cfRule>
    <cfRule type="dataBar" priority="2158">
      <dataBar>
        <cfvo type="num" val="0"/>
        <cfvo type="num" val="1"/>
        <color theme="4" tint="0.79998168889431442"/>
      </dataBar>
      <extLst>
        <ext xmlns:x14="http://schemas.microsoft.com/office/spreadsheetml/2009/9/main" uri="{B025F937-C7B1-47D3-B67F-A62EFF666E3E}">
          <x14:id>{DD46D313-21F9-4DE5-9196-8EEC0D1DDD29}</x14:id>
        </ext>
      </extLst>
    </cfRule>
  </conditionalFormatting>
  <conditionalFormatting sqref="BQ166">
    <cfRule type="iconSet" priority="4495">
      <iconSet iconSet="3Arrows">
        <cfvo type="percent" val="0"/>
        <cfvo type="num" val="0.7"/>
        <cfvo type="num" val="1"/>
      </iconSet>
    </cfRule>
    <cfRule type="dataBar" priority="4496">
      <dataBar>
        <cfvo type="num" val="0"/>
        <cfvo type="num" val="1"/>
        <color theme="4" tint="0.79998168889431442"/>
      </dataBar>
      <extLst>
        <ext xmlns:x14="http://schemas.microsoft.com/office/spreadsheetml/2009/9/main" uri="{B025F937-C7B1-47D3-B67F-A62EFF666E3E}">
          <x14:id>{5329A4FD-0F2A-4359-B4D2-04F041E78540}</x14:id>
        </ext>
      </extLst>
    </cfRule>
  </conditionalFormatting>
  <conditionalFormatting sqref="BQ168">
    <cfRule type="iconSet" priority="4577">
      <iconSet iconSet="3Arrows">
        <cfvo type="percent" val="0"/>
        <cfvo type="num" val="0.7"/>
        <cfvo type="num" val="1"/>
      </iconSet>
    </cfRule>
    <cfRule type="dataBar" priority="4578">
      <dataBar>
        <cfvo type="num" val="0"/>
        <cfvo type="num" val="1"/>
        <color theme="4" tint="0.79998168889431442"/>
      </dataBar>
      <extLst>
        <ext xmlns:x14="http://schemas.microsoft.com/office/spreadsheetml/2009/9/main" uri="{B025F937-C7B1-47D3-B67F-A62EFF666E3E}">
          <x14:id>{3F1CBA17-BC0D-4717-95B2-C3F0DC066CC6}</x14:id>
        </ext>
      </extLst>
    </cfRule>
  </conditionalFormatting>
  <conditionalFormatting sqref="BQ170">
    <cfRule type="iconSet" priority="4714">
      <iconSet iconSet="3Arrows">
        <cfvo type="percent" val="0"/>
        <cfvo type="num" val="0.7"/>
        <cfvo type="num" val="1"/>
      </iconSet>
    </cfRule>
    <cfRule type="dataBar" priority="4715">
      <dataBar>
        <cfvo type="num" val="0"/>
        <cfvo type="num" val="1"/>
        <color theme="4" tint="0.79998168889431442"/>
      </dataBar>
      <extLst>
        <ext xmlns:x14="http://schemas.microsoft.com/office/spreadsheetml/2009/9/main" uri="{B025F937-C7B1-47D3-B67F-A62EFF666E3E}">
          <x14:id>{356899CA-1839-481F-A989-E035D9AC777D}</x14:id>
        </ext>
      </extLst>
    </cfRule>
  </conditionalFormatting>
  <conditionalFormatting sqref="BQ172">
    <cfRule type="iconSet" priority="4487">
      <iconSet iconSet="3Arrows">
        <cfvo type="percent" val="0"/>
        <cfvo type="num" val="0.7"/>
        <cfvo type="num" val="1"/>
      </iconSet>
    </cfRule>
    <cfRule type="dataBar" priority="4488">
      <dataBar>
        <cfvo type="num" val="0"/>
        <cfvo type="num" val="1"/>
        <color theme="4" tint="0.79998168889431442"/>
      </dataBar>
      <extLst>
        <ext xmlns:x14="http://schemas.microsoft.com/office/spreadsheetml/2009/9/main" uri="{B025F937-C7B1-47D3-B67F-A62EFF666E3E}">
          <x14:id>{1229617D-2C0D-4A45-871B-47CEA43C51CB}</x14:id>
        </ext>
      </extLst>
    </cfRule>
  </conditionalFormatting>
  <conditionalFormatting sqref="BQ148 BQ174">
    <cfRule type="iconSet" priority="4720">
      <iconSet iconSet="3Arrows">
        <cfvo type="percent" val="0"/>
        <cfvo type="num" val="0.7"/>
        <cfvo type="num" val="1"/>
      </iconSet>
    </cfRule>
    <cfRule type="dataBar" priority="4721">
      <dataBar>
        <cfvo type="num" val="0"/>
        <cfvo type="num" val="1"/>
        <color theme="4" tint="0.79998168889431442"/>
      </dataBar>
      <extLst>
        <ext xmlns:x14="http://schemas.microsoft.com/office/spreadsheetml/2009/9/main" uri="{B025F937-C7B1-47D3-B67F-A62EFF666E3E}">
          <x14:id>{B2A671DC-077B-4708-849E-2342759323FB}</x14:id>
        </ext>
      </extLst>
    </cfRule>
  </conditionalFormatting>
  <conditionalFormatting sqref="BQ176">
    <cfRule type="iconSet" priority="3165">
      <iconSet iconSet="3Arrows">
        <cfvo type="percent" val="0"/>
        <cfvo type="num" val="0.7"/>
        <cfvo type="num" val="1"/>
      </iconSet>
    </cfRule>
    <cfRule type="dataBar" priority="3166">
      <dataBar>
        <cfvo type="num" val="0"/>
        <cfvo type="num" val="1"/>
        <color theme="4" tint="0.79998168889431442"/>
      </dataBar>
      <extLst>
        <ext xmlns:x14="http://schemas.microsoft.com/office/spreadsheetml/2009/9/main" uri="{B025F937-C7B1-47D3-B67F-A62EFF666E3E}">
          <x14:id>{2C18F4C8-201E-4BB1-96D7-D222ACF72C93}</x14:id>
        </ext>
      </extLst>
    </cfRule>
  </conditionalFormatting>
  <conditionalFormatting sqref="BQ180">
    <cfRule type="iconSet" priority="2034">
      <iconSet iconSet="3Arrows">
        <cfvo type="percent" val="0"/>
        <cfvo type="num" val="0.7"/>
        <cfvo type="num" val="1"/>
      </iconSet>
    </cfRule>
    <cfRule type="dataBar" priority="2035">
      <dataBar>
        <cfvo type="num" val="0"/>
        <cfvo type="num" val="1"/>
        <color theme="4" tint="0.79998168889431442"/>
      </dataBar>
      <extLst>
        <ext xmlns:x14="http://schemas.microsoft.com/office/spreadsheetml/2009/9/main" uri="{B025F937-C7B1-47D3-B67F-A62EFF666E3E}">
          <x14:id>{7D84E3F8-0746-4C9D-B542-78050788346C}</x14:id>
        </ext>
      </extLst>
    </cfRule>
  </conditionalFormatting>
  <conditionalFormatting sqref="BQ182">
    <cfRule type="iconSet" priority="4561">
      <iconSet iconSet="3Arrows">
        <cfvo type="percent" val="0"/>
        <cfvo type="num" val="0.7"/>
        <cfvo type="num" val="1"/>
      </iconSet>
    </cfRule>
    <cfRule type="dataBar" priority="4562">
      <dataBar>
        <cfvo type="num" val="0"/>
        <cfvo type="num" val="1"/>
        <color theme="4" tint="0.79998168889431442"/>
      </dataBar>
      <extLst>
        <ext xmlns:x14="http://schemas.microsoft.com/office/spreadsheetml/2009/9/main" uri="{B025F937-C7B1-47D3-B67F-A62EFF666E3E}">
          <x14:id>{04053C6B-0C1E-43DB-A26E-7E3B5024235C}</x14:id>
        </ext>
      </extLst>
    </cfRule>
  </conditionalFormatting>
  <conditionalFormatting sqref="BQ184">
    <cfRule type="iconSet" priority="4567">
      <iconSet iconSet="3Arrows">
        <cfvo type="percent" val="0"/>
        <cfvo type="num" val="0.7"/>
        <cfvo type="num" val="1"/>
      </iconSet>
    </cfRule>
    <cfRule type="dataBar" priority="4568">
      <dataBar>
        <cfvo type="num" val="0"/>
        <cfvo type="num" val="1"/>
        <color theme="4" tint="0.79998168889431442"/>
      </dataBar>
      <extLst>
        <ext xmlns:x14="http://schemas.microsoft.com/office/spreadsheetml/2009/9/main" uri="{B025F937-C7B1-47D3-B67F-A62EFF666E3E}">
          <x14:id>{5E646FB0-B238-4229-B761-01242A034A97}</x14:id>
        </ext>
      </extLst>
    </cfRule>
  </conditionalFormatting>
  <conditionalFormatting sqref="BQ186">
    <cfRule type="iconSet" priority="3225">
      <iconSet iconSet="3Arrows">
        <cfvo type="percent" val="0"/>
        <cfvo type="num" val="0.7"/>
        <cfvo type="num" val="1"/>
      </iconSet>
    </cfRule>
    <cfRule type="dataBar" priority="3226">
      <dataBar>
        <cfvo type="num" val="0"/>
        <cfvo type="num" val="1"/>
        <color theme="4" tint="0.79998168889431442"/>
      </dataBar>
      <extLst>
        <ext xmlns:x14="http://schemas.microsoft.com/office/spreadsheetml/2009/9/main" uri="{B025F937-C7B1-47D3-B67F-A62EFF666E3E}">
          <x14:id>{26305519-F181-4314-B3AB-91BB61D1A53C}</x14:id>
        </ext>
      </extLst>
    </cfRule>
  </conditionalFormatting>
  <conditionalFormatting sqref="BQ188">
    <cfRule type="iconSet" priority="2971">
      <iconSet iconSet="3Arrows">
        <cfvo type="percent" val="0"/>
        <cfvo type="num" val="0.7"/>
        <cfvo type="num" val="1"/>
      </iconSet>
    </cfRule>
    <cfRule type="dataBar" priority="2972">
      <dataBar>
        <cfvo type="num" val="0"/>
        <cfvo type="num" val="1"/>
        <color theme="4" tint="0.79998168889431442"/>
      </dataBar>
      <extLst>
        <ext xmlns:x14="http://schemas.microsoft.com/office/spreadsheetml/2009/9/main" uri="{B025F937-C7B1-47D3-B67F-A62EFF666E3E}">
          <x14:id>{0B157D13-09C4-4C20-8006-7987FC841859}</x14:id>
        </ext>
      </extLst>
    </cfRule>
  </conditionalFormatting>
  <conditionalFormatting sqref="BQ190">
    <cfRule type="iconSet" priority="3211">
      <iconSet iconSet="3Arrows">
        <cfvo type="percent" val="0"/>
        <cfvo type="num" val="0.7"/>
        <cfvo type="num" val="1"/>
      </iconSet>
    </cfRule>
    <cfRule type="dataBar" priority="3212">
      <dataBar>
        <cfvo type="num" val="0"/>
        <cfvo type="num" val="1"/>
        <color theme="4" tint="0.79998168889431442"/>
      </dataBar>
      <extLst>
        <ext xmlns:x14="http://schemas.microsoft.com/office/spreadsheetml/2009/9/main" uri="{B025F937-C7B1-47D3-B67F-A62EFF666E3E}">
          <x14:id>{F6027EF3-395F-48D2-81FB-AEB65CE28529}</x14:id>
        </ext>
      </extLst>
    </cfRule>
  </conditionalFormatting>
  <conditionalFormatting sqref="BQ192">
    <cfRule type="iconSet" priority="4466">
      <iconSet iconSet="3Arrows">
        <cfvo type="percent" val="0"/>
        <cfvo type="num" val="0.7"/>
        <cfvo type="num" val="1"/>
      </iconSet>
    </cfRule>
    <cfRule type="dataBar" priority="4467">
      <dataBar>
        <cfvo type="num" val="0"/>
        <cfvo type="num" val="1"/>
        <color theme="4" tint="0.79998168889431442"/>
      </dataBar>
      <extLst>
        <ext xmlns:x14="http://schemas.microsoft.com/office/spreadsheetml/2009/9/main" uri="{B025F937-C7B1-47D3-B67F-A62EFF666E3E}">
          <x14:id>{65E2896F-805A-4C5B-840B-1F011CC05BA6}</x14:id>
        </ext>
      </extLst>
    </cfRule>
  </conditionalFormatting>
  <conditionalFormatting sqref="BQ194">
    <cfRule type="iconSet" priority="4479">
      <iconSet iconSet="3Arrows">
        <cfvo type="percent" val="0"/>
        <cfvo type="num" val="0.7"/>
        <cfvo type="num" val="1"/>
      </iconSet>
    </cfRule>
    <cfRule type="dataBar" priority="4480">
      <dataBar>
        <cfvo type="num" val="0"/>
        <cfvo type="num" val="1"/>
        <color theme="4" tint="0.79998168889431442"/>
      </dataBar>
      <extLst>
        <ext xmlns:x14="http://schemas.microsoft.com/office/spreadsheetml/2009/9/main" uri="{B025F937-C7B1-47D3-B67F-A62EFF666E3E}">
          <x14:id>{7F1DCB29-B260-46DA-87B7-745851BDBF9C}</x14:id>
        </ext>
      </extLst>
    </cfRule>
  </conditionalFormatting>
  <conditionalFormatting sqref="BQ196">
    <cfRule type="iconSet" priority="2449">
      <iconSet iconSet="3Arrows">
        <cfvo type="percent" val="0"/>
        <cfvo type="num" val="0.7"/>
        <cfvo type="num" val="1"/>
      </iconSet>
    </cfRule>
    <cfRule type="dataBar" priority="2450">
      <dataBar>
        <cfvo type="num" val="0"/>
        <cfvo type="num" val="1"/>
        <color theme="4" tint="0.79998168889431442"/>
      </dataBar>
      <extLst>
        <ext xmlns:x14="http://schemas.microsoft.com/office/spreadsheetml/2009/9/main" uri="{B025F937-C7B1-47D3-B67F-A62EFF666E3E}">
          <x14:id>{028BE829-0FAD-4DCB-BB24-15850361C720}</x14:id>
        </ext>
      </extLst>
    </cfRule>
  </conditionalFormatting>
  <conditionalFormatting sqref="BQ198">
    <cfRule type="iconSet" priority="3151">
      <iconSet iconSet="3Arrows">
        <cfvo type="percent" val="0"/>
        <cfvo type="num" val="0.7"/>
        <cfvo type="num" val="1"/>
      </iconSet>
    </cfRule>
    <cfRule type="dataBar" priority="3152">
      <dataBar>
        <cfvo type="num" val="0"/>
        <cfvo type="num" val="1"/>
        <color theme="4" tint="0.79998168889431442"/>
      </dataBar>
      <extLst>
        <ext xmlns:x14="http://schemas.microsoft.com/office/spreadsheetml/2009/9/main" uri="{B025F937-C7B1-47D3-B67F-A62EFF666E3E}">
          <x14:id>{5B0FB03A-666D-4C55-8581-9839984E0081}</x14:id>
        </ext>
      </extLst>
    </cfRule>
  </conditionalFormatting>
  <conditionalFormatting sqref="BQ200">
    <cfRule type="iconSet" priority="4457">
      <iconSet iconSet="3Arrows">
        <cfvo type="percent" val="0"/>
        <cfvo type="num" val="0.7"/>
        <cfvo type="num" val="1"/>
      </iconSet>
    </cfRule>
    <cfRule type="dataBar" priority="4458">
      <dataBar>
        <cfvo type="num" val="0"/>
        <cfvo type="num" val="1"/>
        <color theme="4" tint="0.79998168889431442"/>
      </dataBar>
      <extLst>
        <ext xmlns:x14="http://schemas.microsoft.com/office/spreadsheetml/2009/9/main" uri="{B025F937-C7B1-47D3-B67F-A62EFF666E3E}">
          <x14:id>{54E97C37-E022-4102-8DA3-1649E389B35D}</x14:id>
        </ext>
      </extLst>
    </cfRule>
  </conditionalFormatting>
  <conditionalFormatting sqref="BQ202">
    <cfRule type="iconSet" priority="4472">
      <iconSet iconSet="3Arrows">
        <cfvo type="percent" val="0"/>
        <cfvo type="num" val="0.7"/>
        <cfvo type="num" val="1"/>
      </iconSet>
    </cfRule>
    <cfRule type="dataBar" priority="4473">
      <dataBar>
        <cfvo type="num" val="0"/>
        <cfvo type="num" val="1"/>
        <color theme="4" tint="0.79998168889431442"/>
      </dataBar>
      <extLst>
        <ext xmlns:x14="http://schemas.microsoft.com/office/spreadsheetml/2009/9/main" uri="{B025F937-C7B1-47D3-B67F-A62EFF666E3E}">
          <x14:id>{D1971EB3-ECE8-472B-85F5-336D60560CC1}</x14:id>
        </ext>
      </extLst>
    </cfRule>
  </conditionalFormatting>
  <conditionalFormatting sqref="BQ204">
    <cfRule type="iconSet" priority="3138">
      <iconSet iconSet="3Arrows">
        <cfvo type="percent" val="0"/>
        <cfvo type="num" val="0.7"/>
        <cfvo type="num" val="1"/>
      </iconSet>
    </cfRule>
    <cfRule type="dataBar" priority="3139">
      <dataBar>
        <cfvo type="num" val="0"/>
        <cfvo type="num" val="1"/>
        <color theme="4" tint="0.79998168889431442"/>
      </dataBar>
      <extLst>
        <ext xmlns:x14="http://schemas.microsoft.com/office/spreadsheetml/2009/9/main" uri="{B025F937-C7B1-47D3-B67F-A62EFF666E3E}">
          <x14:id>{36338146-0BED-42E6-B703-44C78F4312DA}</x14:id>
        </ext>
      </extLst>
    </cfRule>
  </conditionalFormatting>
  <conditionalFormatting sqref="BQ206">
    <cfRule type="iconSet" priority="2171">
      <iconSet iconSet="3Arrows">
        <cfvo type="percent" val="0"/>
        <cfvo type="num" val="0.7"/>
        <cfvo type="num" val="1"/>
      </iconSet>
    </cfRule>
    <cfRule type="dataBar" priority="2172">
      <dataBar>
        <cfvo type="num" val="0"/>
        <cfvo type="num" val="1"/>
        <color theme="4" tint="0.79998168889431442"/>
      </dataBar>
      <extLst>
        <ext xmlns:x14="http://schemas.microsoft.com/office/spreadsheetml/2009/9/main" uri="{B025F937-C7B1-47D3-B67F-A62EFF666E3E}">
          <x14:id>{AFF9A7DE-50A2-4563-8A7B-B6BF9E2BE19D}</x14:id>
        </ext>
      </extLst>
    </cfRule>
  </conditionalFormatting>
  <conditionalFormatting sqref="BQ208">
    <cfRule type="iconSet" priority="2436">
      <iconSet iconSet="3Arrows">
        <cfvo type="percent" val="0"/>
        <cfvo type="num" val="0.7"/>
        <cfvo type="num" val="1"/>
      </iconSet>
    </cfRule>
    <cfRule type="dataBar" priority="2437">
      <dataBar>
        <cfvo type="num" val="0"/>
        <cfvo type="num" val="1"/>
        <color theme="4" tint="0.79998168889431442"/>
      </dataBar>
      <extLst>
        <ext xmlns:x14="http://schemas.microsoft.com/office/spreadsheetml/2009/9/main" uri="{B025F937-C7B1-47D3-B67F-A62EFF666E3E}">
          <x14:id>{AE84B3E1-5FD7-418A-93C6-598DACC6CE92}</x14:id>
        </ext>
      </extLst>
    </cfRule>
  </conditionalFormatting>
  <conditionalFormatting sqref="BQ210">
    <cfRule type="iconSet" priority="4552">
      <iconSet iconSet="3Arrows">
        <cfvo type="percent" val="0"/>
        <cfvo type="num" val="0.7"/>
        <cfvo type="num" val="1"/>
      </iconSet>
    </cfRule>
    <cfRule type="dataBar" priority="4553">
      <dataBar>
        <cfvo type="num" val="0"/>
        <cfvo type="num" val="1"/>
        <color theme="4" tint="0.79998168889431442"/>
      </dataBar>
      <extLst>
        <ext xmlns:x14="http://schemas.microsoft.com/office/spreadsheetml/2009/9/main" uri="{B025F937-C7B1-47D3-B67F-A62EFF666E3E}">
          <x14:id>{1535A7AA-778D-4695-B4D4-2E83B24A2A6B}</x14:id>
        </ext>
      </extLst>
    </cfRule>
  </conditionalFormatting>
  <conditionalFormatting sqref="BQ212">
    <cfRule type="iconSet" priority="4969">
      <iconSet iconSet="3Arrows">
        <cfvo type="percent" val="0"/>
        <cfvo type="num" val="0.7"/>
        <cfvo type="num" val="1"/>
      </iconSet>
    </cfRule>
    <cfRule type="dataBar" priority="4970">
      <dataBar>
        <cfvo type="num" val="0"/>
        <cfvo type="num" val="1"/>
        <color theme="4" tint="0.79998168889431442"/>
      </dataBar>
      <extLst>
        <ext xmlns:x14="http://schemas.microsoft.com/office/spreadsheetml/2009/9/main" uri="{B025F937-C7B1-47D3-B67F-A62EFF666E3E}">
          <x14:id>{ED22A06D-9941-4DEB-8240-6CBD2782A5CE}</x14:id>
        </ext>
      </extLst>
    </cfRule>
  </conditionalFormatting>
  <conditionalFormatting sqref="BQ214">
    <cfRule type="iconSet" priority="3362">
      <iconSet iconSet="3Arrows">
        <cfvo type="percent" val="0"/>
        <cfvo type="num" val="0.7"/>
        <cfvo type="num" val="1"/>
      </iconSet>
    </cfRule>
    <cfRule type="dataBar" priority="3363">
      <dataBar>
        <cfvo type="num" val="0"/>
        <cfvo type="num" val="1"/>
        <color theme="4" tint="0.79998168889431442"/>
      </dataBar>
      <extLst>
        <ext xmlns:x14="http://schemas.microsoft.com/office/spreadsheetml/2009/9/main" uri="{B025F937-C7B1-47D3-B67F-A62EFF666E3E}">
          <x14:id>{C8D94C10-E5A8-42AC-971E-608886568CB4}</x14:id>
        </ext>
      </extLst>
    </cfRule>
  </conditionalFormatting>
  <conditionalFormatting sqref="BQ216">
    <cfRule type="iconSet" priority="3262">
      <iconSet iconSet="3Arrows">
        <cfvo type="percent" val="0"/>
        <cfvo type="num" val="0.7"/>
        <cfvo type="num" val="1"/>
      </iconSet>
    </cfRule>
    <cfRule type="dataBar" priority="3263">
      <dataBar>
        <cfvo type="num" val="0"/>
        <cfvo type="num" val="1"/>
        <color theme="4" tint="0.79998168889431442"/>
      </dataBar>
      <extLst>
        <ext xmlns:x14="http://schemas.microsoft.com/office/spreadsheetml/2009/9/main" uri="{B025F937-C7B1-47D3-B67F-A62EFF666E3E}">
          <x14:id>{8A4730F6-7F4F-424A-A982-B8CAD5928E7D}</x14:id>
        </ext>
      </extLst>
    </cfRule>
  </conditionalFormatting>
  <conditionalFormatting sqref="BQ218">
    <cfRule type="iconSet" priority="2335">
      <iconSet iconSet="3Arrows">
        <cfvo type="percent" val="0"/>
        <cfvo type="num" val="0.7"/>
        <cfvo type="num" val="1"/>
      </iconSet>
    </cfRule>
    <cfRule type="dataBar" priority="2336">
      <dataBar>
        <cfvo type="num" val="0"/>
        <cfvo type="num" val="1"/>
        <color theme="4" tint="0.79998168889431442"/>
      </dataBar>
      <extLst>
        <ext xmlns:x14="http://schemas.microsoft.com/office/spreadsheetml/2009/9/main" uri="{B025F937-C7B1-47D3-B67F-A62EFF666E3E}">
          <x14:id>{C1BE714B-2CD4-4AC0-8047-1D1D14815360}</x14:id>
        </ext>
      </extLst>
    </cfRule>
  </conditionalFormatting>
  <conditionalFormatting sqref="BQ220">
    <cfRule type="iconSet" priority="4987">
      <iconSet iconSet="3Arrows">
        <cfvo type="percent" val="0"/>
        <cfvo type="num" val="0.7"/>
        <cfvo type="num" val="1"/>
      </iconSet>
    </cfRule>
    <cfRule type="dataBar" priority="4988">
      <dataBar>
        <cfvo type="num" val="0"/>
        <cfvo type="num" val="1"/>
        <color theme="4" tint="0.79998168889431442"/>
      </dataBar>
      <extLst>
        <ext xmlns:x14="http://schemas.microsoft.com/office/spreadsheetml/2009/9/main" uri="{B025F937-C7B1-47D3-B67F-A62EFF666E3E}">
          <x14:id>{F373F9FC-22BC-47B9-88B5-26A7A963431A}</x14:id>
        </ext>
      </extLst>
    </cfRule>
  </conditionalFormatting>
  <conditionalFormatting sqref="BQ222">
    <cfRule type="iconSet" priority="2321">
      <iconSet iconSet="3Arrows">
        <cfvo type="percent" val="0"/>
        <cfvo type="num" val="0.7"/>
        <cfvo type="num" val="1"/>
      </iconSet>
    </cfRule>
    <cfRule type="dataBar" priority="2322">
      <dataBar>
        <cfvo type="num" val="0"/>
        <cfvo type="num" val="1"/>
        <color theme="4" tint="0.79998168889431442"/>
      </dataBar>
      <extLst>
        <ext xmlns:x14="http://schemas.microsoft.com/office/spreadsheetml/2009/9/main" uri="{B025F937-C7B1-47D3-B67F-A62EFF666E3E}">
          <x14:id>{7FCA53BD-D29F-4479-9A12-E474A24F27FD}</x14:id>
        </ext>
      </extLst>
    </cfRule>
  </conditionalFormatting>
  <conditionalFormatting sqref="BQ226">
    <cfRule type="iconSet" priority="2018">
      <iconSet iconSet="3Arrows">
        <cfvo type="percent" val="0"/>
        <cfvo type="num" val="0.7"/>
        <cfvo type="num" val="1"/>
      </iconSet>
    </cfRule>
    <cfRule type="dataBar" priority="2019">
      <dataBar>
        <cfvo type="num" val="0"/>
        <cfvo type="num" val="1"/>
        <color theme="4" tint="0.79998168889431442"/>
      </dataBar>
      <extLst>
        <ext xmlns:x14="http://schemas.microsoft.com/office/spreadsheetml/2009/9/main" uri="{B025F937-C7B1-47D3-B67F-A62EFF666E3E}">
          <x14:id>{F991A6A0-F2AB-412B-87D8-0858A9D1A57A}</x14:id>
        </ext>
      </extLst>
    </cfRule>
  </conditionalFormatting>
  <conditionalFormatting sqref="BQ229">
    <cfRule type="iconSet" priority="1467">
      <iconSet iconSet="3Arrows">
        <cfvo type="percent" val="0"/>
        <cfvo type="num" val="0.7"/>
        <cfvo type="num" val="1"/>
      </iconSet>
    </cfRule>
    <cfRule type="dataBar" priority="1468">
      <dataBar>
        <cfvo type="num" val="0"/>
        <cfvo type="num" val="1"/>
        <color theme="4" tint="0.79998168889431442"/>
      </dataBar>
      <extLst>
        <ext xmlns:x14="http://schemas.microsoft.com/office/spreadsheetml/2009/9/main" uri="{B025F937-C7B1-47D3-B67F-A62EFF666E3E}">
          <x14:id>{C30A1301-0A6C-48E6-A952-4EDE11532D20}</x14:id>
        </ext>
      </extLst>
    </cfRule>
  </conditionalFormatting>
  <conditionalFormatting sqref="BQ233">
    <cfRule type="iconSet" priority="5132">
      <iconSet iconSet="3Arrows">
        <cfvo type="percent" val="0"/>
        <cfvo type="num" val="0.7"/>
        <cfvo type="num" val="1"/>
      </iconSet>
    </cfRule>
    <cfRule type="dataBar" priority="5133">
      <dataBar>
        <cfvo type="num" val="0"/>
        <cfvo type="num" val="1"/>
        <color theme="4" tint="0.79998168889431442"/>
      </dataBar>
      <extLst>
        <ext xmlns:x14="http://schemas.microsoft.com/office/spreadsheetml/2009/9/main" uri="{B025F937-C7B1-47D3-B67F-A62EFF666E3E}">
          <x14:id>{8095B95C-7CBF-4597-AF18-205B04ED7A80}</x14:id>
        </ext>
      </extLst>
    </cfRule>
  </conditionalFormatting>
  <conditionalFormatting sqref="BQ235">
    <cfRule type="iconSet" priority="5126">
      <iconSet iconSet="3Arrows">
        <cfvo type="percent" val="0"/>
        <cfvo type="num" val="0.7"/>
        <cfvo type="num" val="1"/>
      </iconSet>
    </cfRule>
    <cfRule type="dataBar" priority="5127">
      <dataBar>
        <cfvo type="num" val="0"/>
        <cfvo type="num" val="1"/>
        <color theme="4" tint="0.79998168889431442"/>
      </dataBar>
      <extLst>
        <ext xmlns:x14="http://schemas.microsoft.com/office/spreadsheetml/2009/9/main" uri="{B025F937-C7B1-47D3-B67F-A62EFF666E3E}">
          <x14:id>{8E68E1D4-CBD7-491F-8F3B-60C257310FA8}</x14:id>
        </ext>
      </extLst>
    </cfRule>
  </conditionalFormatting>
  <conditionalFormatting sqref="BQ237">
    <cfRule type="iconSet" priority="4512">
      <iconSet iconSet="3Arrows">
        <cfvo type="percent" val="0"/>
        <cfvo type="num" val="0.7"/>
        <cfvo type="num" val="1"/>
      </iconSet>
    </cfRule>
    <cfRule type="dataBar" priority="4513">
      <dataBar>
        <cfvo type="num" val="0"/>
        <cfvo type="num" val="1"/>
        <color theme="4" tint="0.79998168889431442"/>
      </dataBar>
      <extLst>
        <ext xmlns:x14="http://schemas.microsoft.com/office/spreadsheetml/2009/9/main" uri="{B025F937-C7B1-47D3-B67F-A62EFF666E3E}">
          <x14:id>{7EA38E8D-80CE-430E-B60B-5EAE292AEF8E}</x14:id>
        </ext>
      </extLst>
    </cfRule>
  </conditionalFormatting>
  <conditionalFormatting sqref="BQ239">
    <cfRule type="iconSet" priority="4408">
      <iconSet iconSet="3Arrows">
        <cfvo type="percent" val="0"/>
        <cfvo type="num" val="0.7"/>
        <cfvo type="num" val="1"/>
      </iconSet>
    </cfRule>
    <cfRule type="dataBar" priority="4409">
      <dataBar>
        <cfvo type="num" val="0"/>
        <cfvo type="num" val="1"/>
        <color theme="4" tint="0.79998168889431442"/>
      </dataBar>
      <extLst>
        <ext xmlns:x14="http://schemas.microsoft.com/office/spreadsheetml/2009/9/main" uri="{B025F937-C7B1-47D3-B67F-A62EFF666E3E}">
          <x14:id>{A99198A0-609B-40C3-BC6C-31E67264062B}</x14:id>
        </ext>
      </extLst>
    </cfRule>
  </conditionalFormatting>
  <conditionalFormatting sqref="BQ241">
    <cfRule type="iconSet" priority="4400">
      <iconSet iconSet="3Arrows">
        <cfvo type="percent" val="0"/>
        <cfvo type="num" val="0.7"/>
        <cfvo type="num" val="1"/>
      </iconSet>
    </cfRule>
    <cfRule type="dataBar" priority="4401">
      <dataBar>
        <cfvo type="num" val="0"/>
        <cfvo type="num" val="1"/>
        <color theme="4" tint="0.79998168889431442"/>
      </dataBar>
      <extLst>
        <ext xmlns:x14="http://schemas.microsoft.com/office/spreadsheetml/2009/9/main" uri="{B025F937-C7B1-47D3-B67F-A62EFF666E3E}">
          <x14:id>{FB9803D8-F016-4196-98E6-00BB06445F19}</x14:id>
        </ext>
      </extLst>
    </cfRule>
  </conditionalFormatting>
  <conditionalFormatting sqref="BQ245 BQ243">
    <cfRule type="iconSet" priority="4392">
      <iconSet iconSet="3Arrows">
        <cfvo type="percent" val="0"/>
        <cfvo type="num" val="0.7"/>
        <cfvo type="num" val="1"/>
      </iconSet>
    </cfRule>
    <cfRule type="dataBar" priority="4393">
      <dataBar>
        <cfvo type="num" val="0"/>
        <cfvo type="num" val="1"/>
        <color theme="4" tint="0.79998168889431442"/>
      </dataBar>
      <extLst>
        <ext xmlns:x14="http://schemas.microsoft.com/office/spreadsheetml/2009/9/main" uri="{B025F937-C7B1-47D3-B67F-A62EFF666E3E}">
          <x14:id>{7CBF695E-4021-4D6F-8092-16F768924D55}</x14:id>
        </ext>
      </extLst>
    </cfRule>
  </conditionalFormatting>
  <conditionalFormatting sqref="BQ247">
    <cfRule type="iconSet" priority="2009">
      <iconSet iconSet="3Arrows">
        <cfvo type="percent" val="0"/>
        <cfvo type="num" val="0.7"/>
        <cfvo type="num" val="1"/>
      </iconSet>
    </cfRule>
    <cfRule type="dataBar" priority="2010">
      <dataBar>
        <cfvo type="num" val="0"/>
        <cfvo type="num" val="1"/>
        <color theme="4" tint="0.79998168889431442"/>
      </dataBar>
      <extLst>
        <ext xmlns:x14="http://schemas.microsoft.com/office/spreadsheetml/2009/9/main" uri="{B025F937-C7B1-47D3-B67F-A62EFF666E3E}">
          <x14:id>{289C6BBE-31D4-4054-A649-FA79D8BCDB18}</x14:id>
        </ext>
      </extLst>
    </cfRule>
  </conditionalFormatting>
  <conditionalFormatting sqref="BQ249">
    <cfRule type="iconSet" priority="3442">
      <iconSet iconSet="3Arrows">
        <cfvo type="percent" val="0"/>
        <cfvo type="num" val="0.7"/>
        <cfvo type="num" val="1"/>
      </iconSet>
    </cfRule>
    <cfRule type="dataBar" priority="3443">
      <dataBar>
        <cfvo type="num" val="0"/>
        <cfvo type="num" val="1"/>
        <color theme="4" tint="0.79998168889431442"/>
      </dataBar>
      <extLst>
        <ext xmlns:x14="http://schemas.microsoft.com/office/spreadsheetml/2009/9/main" uri="{B025F937-C7B1-47D3-B67F-A62EFF666E3E}">
          <x14:id>{54FC50D7-6D0E-49DC-8204-1B3604A97974}</x14:id>
        </ext>
      </extLst>
    </cfRule>
  </conditionalFormatting>
  <conditionalFormatting sqref="BQ251">
    <cfRule type="iconSet" priority="2364">
      <iconSet iconSet="3Arrows">
        <cfvo type="percent" val="0"/>
        <cfvo type="num" val="0.7"/>
        <cfvo type="num" val="1"/>
      </iconSet>
    </cfRule>
    <cfRule type="dataBar" priority="2365">
      <dataBar>
        <cfvo type="num" val="0"/>
        <cfvo type="num" val="1"/>
        <color theme="4" tint="0.79998168889431442"/>
      </dataBar>
      <extLst>
        <ext xmlns:x14="http://schemas.microsoft.com/office/spreadsheetml/2009/9/main" uri="{B025F937-C7B1-47D3-B67F-A62EFF666E3E}">
          <x14:id>{2E8DBF6A-8359-40C2-A292-F754CB0EEAB5}</x14:id>
        </ext>
      </extLst>
    </cfRule>
  </conditionalFormatting>
  <conditionalFormatting sqref="BQ253">
    <cfRule type="iconSet" priority="1971">
      <iconSet iconSet="3Arrows">
        <cfvo type="percent" val="0"/>
        <cfvo type="num" val="0.7"/>
        <cfvo type="num" val="1"/>
      </iconSet>
    </cfRule>
    <cfRule type="dataBar" priority="1972">
      <dataBar>
        <cfvo type="num" val="0"/>
        <cfvo type="num" val="1"/>
        <color theme="4" tint="0.79998168889431442"/>
      </dataBar>
      <extLst>
        <ext xmlns:x14="http://schemas.microsoft.com/office/spreadsheetml/2009/9/main" uri="{B025F937-C7B1-47D3-B67F-A62EFF666E3E}">
          <x14:id>{9580E19F-A33C-4DD9-90BA-36246938C152}</x14:id>
        </ext>
      </extLst>
    </cfRule>
  </conditionalFormatting>
  <conditionalFormatting sqref="BQ255">
    <cfRule type="iconSet" priority="4985">
      <iconSet iconSet="3Arrows">
        <cfvo type="percent" val="0"/>
        <cfvo type="num" val="0.7"/>
        <cfvo type="num" val="1"/>
      </iconSet>
    </cfRule>
    <cfRule type="dataBar" priority="4986">
      <dataBar>
        <cfvo type="num" val="0"/>
        <cfvo type="num" val="1"/>
        <color theme="4" tint="0.79998168889431442"/>
      </dataBar>
      <extLst>
        <ext xmlns:x14="http://schemas.microsoft.com/office/spreadsheetml/2009/9/main" uri="{B025F937-C7B1-47D3-B67F-A62EFF666E3E}">
          <x14:id>{95A577D2-789B-458B-9D28-621F6A337828}</x14:id>
        </ext>
      </extLst>
    </cfRule>
  </conditionalFormatting>
  <conditionalFormatting sqref="BQ257">
    <cfRule type="iconSet" priority="1869">
      <iconSet iconSet="3Arrows">
        <cfvo type="percent" val="0"/>
        <cfvo type="num" val="0.7"/>
        <cfvo type="num" val="1"/>
      </iconSet>
    </cfRule>
    <cfRule type="dataBar" priority="1870">
      <dataBar>
        <cfvo type="num" val="0"/>
        <cfvo type="num" val="1"/>
        <color theme="4" tint="0.79998168889431442"/>
      </dataBar>
      <extLst>
        <ext xmlns:x14="http://schemas.microsoft.com/office/spreadsheetml/2009/9/main" uri="{B025F937-C7B1-47D3-B67F-A62EFF666E3E}">
          <x14:id>{C7B8F0ED-1233-4E17-A0FF-7CA8CEDD16AC}</x14:id>
        </ext>
      </extLst>
    </cfRule>
  </conditionalFormatting>
  <conditionalFormatting sqref="BQ259">
    <cfRule type="iconSet" priority="1853">
      <iconSet iconSet="3Arrows">
        <cfvo type="percent" val="0"/>
        <cfvo type="num" val="0.7"/>
        <cfvo type="num" val="1"/>
      </iconSet>
    </cfRule>
    <cfRule type="dataBar" priority="1854">
      <dataBar>
        <cfvo type="num" val="0"/>
        <cfvo type="num" val="1"/>
        <color theme="4" tint="0.79998168889431442"/>
      </dataBar>
      <extLst>
        <ext xmlns:x14="http://schemas.microsoft.com/office/spreadsheetml/2009/9/main" uri="{B025F937-C7B1-47D3-B67F-A62EFF666E3E}">
          <x14:id>{84B472AA-48F2-4B0E-9411-A826B9DBC421}</x14:id>
        </ext>
      </extLst>
    </cfRule>
  </conditionalFormatting>
  <conditionalFormatting sqref="BQ261">
    <cfRule type="iconSet" priority="1443">
      <iconSet iconSet="3Arrows">
        <cfvo type="percent" val="0"/>
        <cfvo type="num" val="0.7"/>
        <cfvo type="num" val="1"/>
      </iconSet>
    </cfRule>
    <cfRule type="dataBar" priority="1444">
      <dataBar>
        <cfvo type="num" val="0"/>
        <cfvo type="num" val="1"/>
        <color theme="4" tint="0.79998168889431442"/>
      </dataBar>
      <extLst>
        <ext xmlns:x14="http://schemas.microsoft.com/office/spreadsheetml/2009/9/main" uri="{B025F937-C7B1-47D3-B67F-A62EFF666E3E}">
          <x14:id>{3DA442B8-084C-4D70-8876-0334D14347B6}</x14:id>
        </ext>
      </extLst>
    </cfRule>
  </conditionalFormatting>
  <conditionalFormatting sqref="BQ263">
    <cfRule type="iconSet" priority="442">
      <iconSet iconSet="3Arrows">
        <cfvo type="percent" val="0"/>
        <cfvo type="num" val="0.7"/>
        <cfvo type="num" val="1"/>
      </iconSet>
    </cfRule>
    <cfRule type="dataBar" priority="443">
      <dataBar>
        <cfvo type="num" val="0"/>
        <cfvo type="num" val="1"/>
        <color theme="4" tint="0.79998168889431442"/>
      </dataBar>
      <extLst>
        <ext xmlns:x14="http://schemas.microsoft.com/office/spreadsheetml/2009/9/main" uri="{B025F937-C7B1-47D3-B67F-A62EFF666E3E}">
          <x14:id>{2C7DC8A3-73A0-4357-BDD8-DE264FA28AE3}</x14:id>
        </ext>
      </extLst>
    </cfRule>
  </conditionalFormatting>
  <conditionalFormatting sqref="BQ265">
    <cfRule type="iconSet" priority="345">
      <iconSet iconSet="3Arrows">
        <cfvo type="percent" val="0"/>
        <cfvo type="num" val="0.7"/>
        <cfvo type="num" val="1"/>
      </iconSet>
    </cfRule>
    <cfRule type="dataBar" priority="346">
      <dataBar>
        <cfvo type="num" val="0"/>
        <cfvo type="num" val="1"/>
        <color theme="4" tint="0.79998168889431442"/>
      </dataBar>
      <extLst>
        <ext xmlns:x14="http://schemas.microsoft.com/office/spreadsheetml/2009/9/main" uri="{B025F937-C7B1-47D3-B67F-A62EFF666E3E}">
          <x14:id>{9CAB6244-8C60-4A2D-AA94-B07B6DCA6940}</x14:id>
        </ext>
      </extLst>
    </cfRule>
  </conditionalFormatting>
  <conditionalFormatting sqref="BQ267">
    <cfRule type="iconSet" priority="329">
      <iconSet iconSet="3Arrows">
        <cfvo type="percent" val="0"/>
        <cfvo type="num" val="0.7"/>
        <cfvo type="num" val="1"/>
      </iconSet>
    </cfRule>
    <cfRule type="dataBar" priority="330">
      <dataBar>
        <cfvo type="num" val="0"/>
        <cfvo type="num" val="1"/>
        <color theme="4" tint="0.79998168889431442"/>
      </dataBar>
      <extLst>
        <ext xmlns:x14="http://schemas.microsoft.com/office/spreadsheetml/2009/9/main" uri="{B025F937-C7B1-47D3-B67F-A62EFF666E3E}">
          <x14:id>{6ED3DF6E-26A6-41A3-A391-7814B0C2BA4E}</x14:id>
        </ext>
      </extLst>
    </cfRule>
  </conditionalFormatting>
  <conditionalFormatting sqref="BQ269">
    <cfRule type="iconSet" priority="1457">
      <iconSet iconSet="3Arrows">
        <cfvo type="percent" val="0"/>
        <cfvo type="num" val="0.7"/>
        <cfvo type="num" val="1"/>
      </iconSet>
    </cfRule>
    <cfRule type="dataBar" priority="1458">
      <dataBar>
        <cfvo type="num" val="0"/>
        <cfvo type="num" val="1"/>
        <color theme="4" tint="0.79998168889431442"/>
      </dataBar>
      <extLst>
        <ext xmlns:x14="http://schemas.microsoft.com/office/spreadsheetml/2009/9/main" uri="{B025F937-C7B1-47D3-B67F-A62EFF666E3E}">
          <x14:id>{29F0D146-D35B-41D5-B997-3D4BEF953016}</x14:id>
        </ext>
      </extLst>
    </cfRule>
  </conditionalFormatting>
  <conditionalFormatting sqref="BQ271">
    <cfRule type="iconSet" priority="313">
      <iconSet iconSet="3Arrows">
        <cfvo type="percent" val="0"/>
        <cfvo type="num" val="0.7"/>
        <cfvo type="num" val="1"/>
      </iconSet>
    </cfRule>
    <cfRule type="dataBar" priority="314">
      <dataBar>
        <cfvo type="num" val="0"/>
        <cfvo type="num" val="1"/>
        <color theme="4" tint="0.79998168889431442"/>
      </dataBar>
      <extLst>
        <ext xmlns:x14="http://schemas.microsoft.com/office/spreadsheetml/2009/9/main" uri="{B025F937-C7B1-47D3-B67F-A62EFF666E3E}">
          <x14:id>{81104773-E058-46AC-9B71-C176B7D4D88E}</x14:id>
        </ext>
      </extLst>
    </cfRule>
  </conditionalFormatting>
  <conditionalFormatting sqref="BQ273">
    <cfRule type="iconSet" priority="458">
      <iconSet iconSet="3Arrows">
        <cfvo type="percent" val="0"/>
        <cfvo type="num" val="0.7"/>
        <cfvo type="num" val="1"/>
      </iconSet>
    </cfRule>
    <cfRule type="dataBar" priority="459">
      <dataBar>
        <cfvo type="num" val="0"/>
        <cfvo type="num" val="1"/>
        <color theme="4" tint="0.79998168889431442"/>
      </dataBar>
      <extLst>
        <ext xmlns:x14="http://schemas.microsoft.com/office/spreadsheetml/2009/9/main" uri="{B025F937-C7B1-47D3-B67F-A62EFF666E3E}">
          <x14:id>{1108593E-EFF6-4270-B15A-699105B9FB59}</x14:id>
        </ext>
      </extLst>
    </cfRule>
  </conditionalFormatting>
  <conditionalFormatting sqref="BQ275">
    <cfRule type="iconSet" priority="1887">
      <iconSet iconSet="3Arrows">
        <cfvo type="percent" val="0"/>
        <cfvo type="num" val="0.7"/>
        <cfvo type="num" val="1"/>
      </iconSet>
    </cfRule>
    <cfRule type="dataBar" priority="1888">
      <dataBar>
        <cfvo type="num" val="0"/>
        <cfvo type="num" val="1"/>
        <color theme="4" tint="0.79998168889431442"/>
      </dataBar>
      <extLst>
        <ext xmlns:x14="http://schemas.microsoft.com/office/spreadsheetml/2009/9/main" uri="{B025F937-C7B1-47D3-B67F-A62EFF666E3E}">
          <x14:id>{9273573A-AD88-4DE8-9C1B-EB5FFDAD4BC7}</x14:id>
        </ext>
      </extLst>
    </cfRule>
  </conditionalFormatting>
  <conditionalFormatting sqref="BQ278">
    <cfRule type="iconSet" priority="5118">
      <iconSet iconSet="3Arrows">
        <cfvo type="percent" val="0"/>
        <cfvo type="num" val="0.7"/>
        <cfvo type="num" val="1"/>
      </iconSet>
    </cfRule>
    <cfRule type="dataBar" priority="5119">
      <dataBar>
        <cfvo type="num" val="0"/>
        <cfvo type="num" val="1"/>
        <color theme="4" tint="0.79998168889431442"/>
      </dataBar>
      <extLst>
        <ext xmlns:x14="http://schemas.microsoft.com/office/spreadsheetml/2009/9/main" uri="{B025F937-C7B1-47D3-B67F-A62EFF666E3E}">
          <x14:id>{A4D791A8-CA91-40D8-A04E-B66B81708E90}</x14:id>
        </ext>
      </extLst>
    </cfRule>
  </conditionalFormatting>
  <conditionalFormatting sqref="BQ280">
    <cfRule type="iconSet" priority="4983">
      <iconSet iconSet="3Arrows">
        <cfvo type="percent" val="0"/>
        <cfvo type="num" val="0.7"/>
        <cfvo type="num" val="1"/>
      </iconSet>
    </cfRule>
    <cfRule type="dataBar" priority="4984">
      <dataBar>
        <cfvo type="num" val="0"/>
        <cfvo type="num" val="1"/>
        <color theme="4" tint="0.79998168889431442"/>
      </dataBar>
      <extLst>
        <ext xmlns:x14="http://schemas.microsoft.com/office/spreadsheetml/2009/9/main" uri="{B025F937-C7B1-47D3-B67F-A62EFF666E3E}">
          <x14:id>{CE57AFD8-849E-4D34-9676-FBA7FCE63928}</x14:id>
        </ext>
      </extLst>
    </cfRule>
  </conditionalFormatting>
  <conditionalFormatting sqref="BQ282">
    <cfRule type="iconSet" priority="1825">
      <iconSet iconSet="3Arrows">
        <cfvo type="percent" val="0"/>
        <cfvo type="num" val="0.7"/>
        <cfvo type="num" val="1"/>
      </iconSet>
    </cfRule>
    <cfRule type="dataBar" priority="1826">
      <dataBar>
        <cfvo type="num" val="0"/>
        <cfvo type="num" val="1"/>
        <color theme="4" tint="0.79998168889431442"/>
      </dataBar>
      <extLst>
        <ext xmlns:x14="http://schemas.microsoft.com/office/spreadsheetml/2009/9/main" uri="{B025F937-C7B1-47D3-B67F-A62EFF666E3E}">
          <x14:id>{12D11D15-567F-480D-999B-20A42CC4DB1A}</x14:id>
        </ext>
      </extLst>
    </cfRule>
  </conditionalFormatting>
  <conditionalFormatting sqref="BQ284">
    <cfRule type="iconSet" priority="1839">
      <iconSet iconSet="3Arrows">
        <cfvo type="percent" val="0"/>
        <cfvo type="num" val="0.7"/>
        <cfvo type="num" val="1"/>
      </iconSet>
    </cfRule>
    <cfRule type="dataBar" priority="1840">
      <dataBar>
        <cfvo type="num" val="0"/>
        <cfvo type="num" val="1"/>
        <color theme="4" tint="0.79998168889431442"/>
      </dataBar>
      <extLst>
        <ext xmlns:x14="http://schemas.microsoft.com/office/spreadsheetml/2009/9/main" uri="{B025F937-C7B1-47D3-B67F-A62EFF666E3E}">
          <x14:id>{DF53A0F1-A5D3-4AF9-9F73-D5E7C4E8466F}</x14:id>
        </ext>
      </extLst>
    </cfRule>
  </conditionalFormatting>
  <conditionalFormatting sqref="BQ286">
    <cfRule type="iconSet" priority="1414">
      <iconSet iconSet="3Arrows">
        <cfvo type="percent" val="0"/>
        <cfvo type="num" val="0.7"/>
        <cfvo type="num" val="1"/>
      </iconSet>
    </cfRule>
    <cfRule type="dataBar" priority="1415">
      <dataBar>
        <cfvo type="num" val="0"/>
        <cfvo type="num" val="1"/>
        <color theme="4" tint="0.79998168889431442"/>
      </dataBar>
      <extLst>
        <ext xmlns:x14="http://schemas.microsoft.com/office/spreadsheetml/2009/9/main" uri="{B025F937-C7B1-47D3-B67F-A62EFF666E3E}">
          <x14:id>{6ED362E2-A573-40A9-9F7F-CC13A8DF505A}</x14:id>
        </ext>
      </extLst>
    </cfRule>
  </conditionalFormatting>
  <conditionalFormatting sqref="BQ288">
    <cfRule type="iconSet" priority="1400">
      <iconSet iconSet="3Arrows">
        <cfvo type="percent" val="0"/>
        <cfvo type="num" val="0.7"/>
        <cfvo type="num" val="1"/>
      </iconSet>
    </cfRule>
    <cfRule type="dataBar" priority="1401">
      <dataBar>
        <cfvo type="num" val="0"/>
        <cfvo type="num" val="1"/>
        <color theme="4" tint="0.79998168889431442"/>
      </dataBar>
      <extLst>
        <ext xmlns:x14="http://schemas.microsoft.com/office/spreadsheetml/2009/9/main" uri="{B025F937-C7B1-47D3-B67F-A62EFF666E3E}">
          <x14:id>{CF714FF8-8C38-4C58-8326-822E76E584AC}</x14:id>
        </ext>
      </extLst>
    </cfRule>
  </conditionalFormatting>
  <conditionalFormatting sqref="BQ290">
    <cfRule type="iconSet" priority="1428">
      <iconSet iconSet="3Arrows">
        <cfvo type="percent" val="0"/>
        <cfvo type="num" val="0.7"/>
        <cfvo type="num" val="1"/>
      </iconSet>
    </cfRule>
    <cfRule type="dataBar" priority="1429">
      <dataBar>
        <cfvo type="num" val="0"/>
        <cfvo type="num" val="1"/>
        <color theme="4" tint="0.79998168889431442"/>
      </dataBar>
      <extLst>
        <ext xmlns:x14="http://schemas.microsoft.com/office/spreadsheetml/2009/9/main" uri="{B025F937-C7B1-47D3-B67F-A62EFF666E3E}">
          <x14:id>{540F4F3A-70E0-448E-A2EE-F1D3B8FE83E9}</x14:id>
        </ext>
      </extLst>
    </cfRule>
  </conditionalFormatting>
  <conditionalFormatting sqref="BQ292">
    <cfRule type="iconSet" priority="361">
      <iconSet iconSet="3Arrows">
        <cfvo type="percent" val="0"/>
        <cfvo type="num" val="0.7"/>
        <cfvo type="num" val="1"/>
      </iconSet>
    </cfRule>
    <cfRule type="dataBar" priority="362">
      <dataBar>
        <cfvo type="num" val="0"/>
        <cfvo type="num" val="1"/>
        <color theme="4" tint="0.79998168889431442"/>
      </dataBar>
      <extLst>
        <ext xmlns:x14="http://schemas.microsoft.com/office/spreadsheetml/2009/9/main" uri="{B025F937-C7B1-47D3-B67F-A62EFF666E3E}">
          <x14:id>{AA031F78-C0F4-4D74-ACC1-B60CAA68A177}</x14:id>
        </ext>
      </extLst>
    </cfRule>
  </conditionalFormatting>
  <conditionalFormatting sqref="BQ294">
    <cfRule type="iconSet" priority="3428">
      <iconSet iconSet="3Arrows">
        <cfvo type="percent" val="0"/>
        <cfvo type="num" val="0.7"/>
        <cfvo type="num" val="1"/>
      </iconSet>
    </cfRule>
    <cfRule type="dataBar" priority="3429">
      <dataBar>
        <cfvo type="num" val="0"/>
        <cfvo type="num" val="1"/>
        <color theme="4" tint="0.79998168889431442"/>
      </dataBar>
      <extLst>
        <ext xmlns:x14="http://schemas.microsoft.com/office/spreadsheetml/2009/9/main" uri="{B025F937-C7B1-47D3-B67F-A62EFF666E3E}">
          <x14:id>{E22BDF4C-C8DF-498D-971F-BE891B39B75B}</x14:id>
        </ext>
      </extLst>
    </cfRule>
  </conditionalFormatting>
  <conditionalFormatting sqref="BQ296">
    <cfRule type="iconSet" priority="5122">
      <iconSet iconSet="3Arrows">
        <cfvo type="percent" val="0"/>
        <cfvo type="num" val="0.7"/>
        <cfvo type="num" val="1"/>
      </iconSet>
    </cfRule>
    <cfRule type="dataBar" priority="5123">
      <dataBar>
        <cfvo type="num" val="0"/>
        <cfvo type="num" val="1"/>
        <color theme="4" tint="0.79998168889431442"/>
      </dataBar>
      <extLst>
        <ext xmlns:x14="http://schemas.microsoft.com/office/spreadsheetml/2009/9/main" uri="{B025F937-C7B1-47D3-B67F-A62EFF666E3E}">
          <x14:id>{88CCDDAF-F153-4898-B093-3B4F23A4E537}</x14:id>
        </ext>
      </extLst>
    </cfRule>
  </conditionalFormatting>
  <conditionalFormatting sqref="BQ299">
    <cfRule type="iconSet" priority="3404">
      <iconSet iconSet="3Arrows">
        <cfvo type="percent" val="0"/>
        <cfvo type="num" val="0.7"/>
        <cfvo type="num" val="1"/>
      </iconSet>
    </cfRule>
    <cfRule type="dataBar" priority="3405">
      <dataBar>
        <cfvo type="num" val="0"/>
        <cfvo type="num" val="1"/>
        <color theme="4" tint="0.79998168889431442"/>
      </dataBar>
      <extLst>
        <ext xmlns:x14="http://schemas.microsoft.com/office/spreadsheetml/2009/9/main" uri="{B025F937-C7B1-47D3-B67F-A62EFF666E3E}">
          <x14:id>{265FE95E-56C3-4B4F-B179-26BB83388705}</x14:id>
        </ext>
      </extLst>
    </cfRule>
  </conditionalFormatting>
  <conditionalFormatting sqref="BQ304">
    <cfRule type="iconSet" priority="3386">
      <iconSet iconSet="3Arrows">
        <cfvo type="percent" val="0"/>
        <cfvo type="num" val="0.7"/>
        <cfvo type="num" val="1"/>
      </iconSet>
    </cfRule>
    <cfRule type="dataBar" priority="3387">
      <dataBar>
        <cfvo type="num" val="0"/>
        <cfvo type="num" val="1"/>
        <color theme="4" tint="0.79998168889431442"/>
      </dataBar>
      <extLst>
        <ext xmlns:x14="http://schemas.microsoft.com/office/spreadsheetml/2009/9/main" uri="{B025F937-C7B1-47D3-B67F-A62EFF666E3E}">
          <x14:id>{4A40FB0B-4E81-42FB-8B2A-F301FFD2D25B}</x14:id>
        </ext>
      </extLst>
    </cfRule>
  </conditionalFormatting>
  <conditionalFormatting sqref="BQ307">
    <cfRule type="iconSet" priority="1465">
      <iconSet iconSet="3Arrows">
        <cfvo type="percent" val="0"/>
        <cfvo type="num" val="0.7"/>
        <cfvo type="num" val="1"/>
      </iconSet>
    </cfRule>
    <cfRule type="dataBar" priority="1466">
      <dataBar>
        <cfvo type="num" val="0"/>
        <cfvo type="num" val="1"/>
        <color theme="4" tint="0.79998168889431442"/>
      </dataBar>
      <extLst>
        <ext xmlns:x14="http://schemas.microsoft.com/office/spreadsheetml/2009/9/main" uri="{B025F937-C7B1-47D3-B67F-A62EFF666E3E}">
          <x14:id>{1F4ED3DE-3607-4698-8DB5-671002B9FBF9}</x14:id>
        </ext>
      </extLst>
    </cfRule>
  </conditionalFormatting>
  <conditionalFormatting sqref="BQ310">
    <cfRule type="iconSet" priority="5094">
      <iconSet iconSet="3Arrows">
        <cfvo type="percent" val="0"/>
        <cfvo type="num" val="0.7"/>
        <cfvo type="num" val="1"/>
      </iconSet>
    </cfRule>
    <cfRule type="dataBar" priority="5095">
      <dataBar>
        <cfvo type="num" val="0"/>
        <cfvo type="num" val="1"/>
        <color theme="4" tint="0.79998168889431442"/>
      </dataBar>
      <extLst>
        <ext xmlns:x14="http://schemas.microsoft.com/office/spreadsheetml/2009/9/main" uri="{B025F937-C7B1-47D3-B67F-A62EFF666E3E}">
          <x14:id>{3B1AF6E2-B328-4F1D-98DC-88349F936A9D}</x14:id>
        </ext>
      </extLst>
    </cfRule>
  </conditionalFormatting>
  <conditionalFormatting sqref="BQ314">
    <cfRule type="iconSet" priority="5102">
      <iconSet iconSet="3Arrows">
        <cfvo type="percent" val="0"/>
        <cfvo type="num" val="0.7"/>
        <cfvo type="num" val="1"/>
      </iconSet>
    </cfRule>
    <cfRule type="dataBar" priority="5103">
      <dataBar>
        <cfvo type="num" val="0"/>
        <cfvo type="num" val="1"/>
        <color theme="4" tint="0.79998168889431442"/>
      </dataBar>
      <extLst>
        <ext xmlns:x14="http://schemas.microsoft.com/office/spreadsheetml/2009/9/main" uri="{B025F937-C7B1-47D3-B67F-A62EFF666E3E}">
          <x14:id>{AD51FD57-35B6-43B2-A09B-C167A606D7EE}</x14:id>
        </ext>
      </extLst>
    </cfRule>
  </conditionalFormatting>
  <conditionalFormatting sqref="BQ316">
    <cfRule type="iconSet" priority="2521">
      <iconSet iconSet="3Arrows">
        <cfvo type="percent" val="0"/>
        <cfvo type="num" val="0.7"/>
        <cfvo type="num" val="1"/>
      </iconSet>
    </cfRule>
    <cfRule type="dataBar" priority="2522">
      <dataBar>
        <cfvo type="num" val="0"/>
        <cfvo type="num" val="1"/>
        <color theme="4" tint="0.79998168889431442"/>
      </dataBar>
      <extLst>
        <ext xmlns:x14="http://schemas.microsoft.com/office/spreadsheetml/2009/9/main" uri="{B025F937-C7B1-47D3-B67F-A62EFF666E3E}">
          <x14:id>{03D9AAD0-5A9A-41E7-886A-88805EFB7D2E}</x14:id>
        </ext>
      </extLst>
    </cfRule>
  </conditionalFormatting>
  <conditionalFormatting sqref="BQ318">
    <cfRule type="iconSet" priority="5106">
      <iconSet iconSet="3Arrows">
        <cfvo type="percent" val="0"/>
        <cfvo type="num" val="0.7"/>
        <cfvo type="num" val="1"/>
      </iconSet>
    </cfRule>
    <cfRule type="dataBar" priority="5107">
      <dataBar>
        <cfvo type="num" val="0"/>
        <cfvo type="num" val="1"/>
        <color theme="4" tint="0.79998168889431442"/>
      </dataBar>
      <extLst>
        <ext xmlns:x14="http://schemas.microsoft.com/office/spreadsheetml/2009/9/main" uri="{B025F937-C7B1-47D3-B67F-A62EFF666E3E}">
          <x14:id>{0B640312-8680-47BE-BEF5-3EC26929C1B0}</x14:id>
        </ext>
      </extLst>
    </cfRule>
  </conditionalFormatting>
  <conditionalFormatting sqref="BQ320">
    <cfRule type="iconSet" priority="4388">
      <iconSet iconSet="3Arrows">
        <cfvo type="percent" val="0"/>
        <cfvo type="num" val="0.7"/>
        <cfvo type="num" val="1"/>
      </iconSet>
    </cfRule>
    <cfRule type="dataBar" priority="4389">
      <dataBar>
        <cfvo type="num" val="0"/>
        <cfvo type="num" val="1"/>
        <color theme="4" tint="0.79998168889431442"/>
      </dataBar>
      <extLst>
        <ext xmlns:x14="http://schemas.microsoft.com/office/spreadsheetml/2009/9/main" uri="{B025F937-C7B1-47D3-B67F-A62EFF666E3E}">
          <x14:id>{E261011D-344B-4F4B-87DF-BCE0E83E2BB5}</x14:id>
        </ext>
      </extLst>
    </cfRule>
  </conditionalFormatting>
  <conditionalFormatting sqref="BQ322">
    <cfRule type="iconSet" priority="2826">
      <iconSet iconSet="3Arrows">
        <cfvo type="percent" val="0"/>
        <cfvo type="num" val="0.7"/>
        <cfvo type="num" val="1"/>
      </iconSet>
    </cfRule>
    <cfRule type="dataBar" priority="2827">
      <dataBar>
        <cfvo type="num" val="0"/>
        <cfvo type="num" val="1"/>
        <color theme="4" tint="0.79998168889431442"/>
      </dataBar>
      <extLst>
        <ext xmlns:x14="http://schemas.microsoft.com/office/spreadsheetml/2009/9/main" uri="{B025F937-C7B1-47D3-B67F-A62EFF666E3E}">
          <x14:id>{53101FC1-69C1-4103-8929-57D81B687AAA}</x14:id>
        </ext>
      </extLst>
    </cfRule>
  </conditionalFormatting>
  <conditionalFormatting sqref="BQ324">
    <cfRule type="iconSet" priority="2809">
      <iconSet iconSet="3Arrows">
        <cfvo type="percent" val="0"/>
        <cfvo type="num" val="0.7"/>
        <cfvo type="num" val="1"/>
      </iconSet>
    </cfRule>
    <cfRule type="dataBar" priority="2810">
      <dataBar>
        <cfvo type="num" val="0"/>
        <cfvo type="num" val="1"/>
        <color theme="4" tint="0.79998168889431442"/>
      </dataBar>
      <extLst>
        <ext xmlns:x14="http://schemas.microsoft.com/office/spreadsheetml/2009/9/main" uri="{B025F937-C7B1-47D3-B67F-A62EFF666E3E}">
          <x14:id>{D3204033-6507-468F-AFFD-D01BAC6A6257}</x14:id>
        </ext>
      </extLst>
    </cfRule>
  </conditionalFormatting>
  <conditionalFormatting sqref="BQ326">
    <cfRule type="iconSet" priority="2795">
      <iconSet iconSet="3Arrows">
        <cfvo type="percent" val="0"/>
        <cfvo type="num" val="0.7"/>
        <cfvo type="num" val="1"/>
      </iconSet>
    </cfRule>
    <cfRule type="dataBar" priority="2796">
      <dataBar>
        <cfvo type="num" val="0"/>
        <cfvo type="num" val="1"/>
        <color theme="4" tint="0.79998168889431442"/>
      </dataBar>
      <extLst>
        <ext xmlns:x14="http://schemas.microsoft.com/office/spreadsheetml/2009/9/main" uri="{B025F937-C7B1-47D3-B67F-A62EFF666E3E}">
          <x14:id>{EE8D0550-9FC4-4B62-B895-31051064B7CC}</x14:id>
        </ext>
      </extLst>
    </cfRule>
  </conditionalFormatting>
  <conditionalFormatting sqref="BQ328">
    <cfRule type="iconSet" priority="2691">
      <iconSet iconSet="3Arrows">
        <cfvo type="percent" val="0"/>
        <cfvo type="num" val="0.7"/>
        <cfvo type="num" val="1"/>
      </iconSet>
    </cfRule>
    <cfRule type="dataBar" priority="2692">
      <dataBar>
        <cfvo type="num" val="0"/>
        <cfvo type="num" val="1"/>
        <color theme="4" tint="0.79998168889431442"/>
      </dataBar>
      <extLst>
        <ext xmlns:x14="http://schemas.microsoft.com/office/spreadsheetml/2009/9/main" uri="{B025F937-C7B1-47D3-B67F-A62EFF666E3E}">
          <x14:id>{F387691C-AD8F-49BC-8D30-91EE6306CF86}</x14:id>
        </ext>
      </extLst>
    </cfRule>
  </conditionalFormatting>
  <conditionalFormatting sqref="BQ330">
    <cfRule type="iconSet" priority="2677">
      <iconSet iconSet="3Arrows">
        <cfvo type="percent" val="0"/>
        <cfvo type="num" val="0.7"/>
        <cfvo type="num" val="1"/>
      </iconSet>
    </cfRule>
    <cfRule type="dataBar" priority="2678">
      <dataBar>
        <cfvo type="num" val="0"/>
        <cfvo type="num" val="1"/>
        <color theme="4" tint="0.79998168889431442"/>
      </dataBar>
      <extLst>
        <ext xmlns:x14="http://schemas.microsoft.com/office/spreadsheetml/2009/9/main" uri="{B025F937-C7B1-47D3-B67F-A62EFF666E3E}">
          <x14:id>{07BE0F3C-4ADE-4DD5-841E-4CBAEDB66FB3}</x14:id>
        </ext>
      </extLst>
    </cfRule>
  </conditionalFormatting>
  <conditionalFormatting sqref="BQ332">
    <cfRule type="iconSet" priority="2032">
      <iconSet iconSet="3Arrows">
        <cfvo type="percent" val="0"/>
        <cfvo type="num" val="0.7"/>
        <cfvo type="num" val="1"/>
      </iconSet>
    </cfRule>
    <cfRule type="dataBar" priority="2033">
      <dataBar>
        <cfvo type="num" val="0"/>
        <cfvo type="num" val="1"/>
        <color theme="4" tint="0.79998168889431442"/>
      </dataBar>
      <extLst>
        <ext xmlns:x14="http://schemas.microsoft.com/office/spreadsheetml/2009/9/main" uri="{B025F937-C7B1-47D3-B67F-A62EFF666E3E}">
          <x14:id>{644502B0-EE30-4C11-9344-1F518598CEDD}</x14:id>
        </ext>
      </extLst>
    </cfRule>
  </conditionalFormatting>
  <conditionalFormatting sqref="BQ334">
    <cfRule type="iconSet" priority="2781">
      <iconSet iconSet="3Arrows">
        <cfvo type="percent" val="0"/>
        <cfvo type="num" val="0.7"/>
        <cfvo type="num" val="1"/>
      </iconSet>
    </cfRule>
    <cfRule type="dataBar" priority="2782">
      <dataBar>
        <cfvo type="num" val="0"/>
        <cfvo type="num" val="1"/>
        <color theme="4" tint="0.79998168889431442"/>
      </dataBar>
      <extLst>
        <ext xmlns:x14="http://schemas.microsoft.com/office/spreadsheetml/2009/9/main" uri="{B025F937-C7B1-47D3-B67F-A62EFF666E3E}">
          <x14:id>{A5FA641D-E7DC-4E66-B0F4-84736D192070}</x14:id>
        </ext>
      </extLst>
    </cfRule>
  </conditionalFormatting>
  <conditionalFormatting sqref="BQ336">
    <cfRule type="iconSet" priority="2305">
      <iconSet iconSet="3Arrows">
        <cfvo type="percent" val="0"/>
        <cfvo type="num" val="0.7"/>
        <cfvo type="num" val="1"/>
      </iconSet>
    </cfRule>
    <cfRule type="dataBar" priority="2306">
      <dataBar>
        <cfvo type="num" val="0"/>
        <cfvo type="num" val="1"/>
        <color theme="4" tint="0.79998168889431442"/>
      </dataBar>
      <extLst>
        <ext xmlns:x14="http://schemas.microsoft.com/office/spreadsheetml/2009/9/main" uri="{B025F937-C7B1-47D3-B67F-A62EFF666E3E}">
          <x14:id>{7C1C22F4-AE93-412D-852E-2A49725E65AC}</x14:id>
        </ext>
      </extLst>
    </cfRule>
  </conditionalFormatting>
  <conditionalFormatting sqref="BQ338">
    <cfRule type="iconSet" priority="2767">
      <iconSet iconSet="3Arrows">
        <cfvo type="percent" val="0"/>
        <cfvo type="num" val="0.7"/>
        <cfvo type="num" val="1"/>
      </iconSet>
    </cfRule>
    <cfRule type="dataBar" priority="2768">
      <dataBar>
        <cfvo type="num" val="0"/>
        <cfvo type="num" val="1"/>
        <color theme="4" tint="0.79998168889431442"/>
      </dataBar>
      <extLst>
        <ext xmlns:x14="http://schemas.microsoft.com/office/spreadsheetml/2009/9/main" uri="{B025F937-C7B1-47D3-B67F-A62EFF666E3E}">
          <x14:id>{DCC08581-3903-42B3-9B64-893211FDFA5B}</x14:id>
        </ext>
      </extLst>
    </cfRule>
  </conditionalFormatting>
  <conditionalFormatting sqref="BQ340">
    <cfRule type="iconSet" priority="2709">
      <iconSet iconSet="3Arrows">
        <cfvo type="percent" val="0"/>
        <cfvo type="num" val="0.7"/>
        <cfvo type="num" val="1"/>
      </iconSet>
    </cfRule>
    <cfRule type="dataBar" priority="2710">
      <dataBar>
        <cfvo type="num" val="0"/>
        <cfvo type="num" val="1"/>
        <color theme="4" tint="0.79998168889431442"/>
      </dataBar>
      <extLst>
        <ext xmlns:x14="http://schemas.microsoft.com/office/spreadsheetml/2009/9/main" uri="{B025F937-C7B1-47D3-B67F-A62EFF666E3E}">
          <x14:id>{03A03885-C0CF-4E0C-BC93-A632ECC44061}</x14:id>
        </ext>
      </extLst>
    </cfRule>
  </conditionalFormatting>
  <conditionalFormatting sqref="BQ342">
    <cfRule type="iconSet" priority="2737">
      <iconSet iconSet="3Arrows">
        <cfvo type="percent" val="0"/>
        <cfvo type="num" val="0.7"/>
        <cfvo type="num" val="1"/>
      </iconSet>
    </cfRule>
    <cfRule type="dataBar" priority="2738">
      <dataBar>
        <cfvo type="num" val="0"/>
        <cfvo type="num" val="1"/>
        <color theme="4" tint="0.79998168889431442"/>
      </dataBar>
      <extLst>
        <ext xmlns:x14="http://schemas.microsoft.com/office/spreadsheetml/2009/9/main" uri="{B025F937-C7B1-47D3-B67F-A62EFF666E3E}">
          <x14:id>{99E47FED-444D-4891-A3B3-8836AB1751BA}</x14:id>
        </ext>
      </extLst>
    </cfRule>
  </conditionalFormatting>
  <conditionalFormatting sqref="BQ344">
    <cfRule type="iconSet" priority="2406">
      <iconSet iconSet="3Arrows">
        <cfvo type="percent" val="0"/>
        <cfvo type="num" val="0.7"/>
        <cfvo type="num" val="1"/>
      </iconSet>
    </cfRule>
    <cfRule type="dataBar" priority="2407">
      <dataBar>
        <cfvo type="num" val="0"/>
        <cfvo type="num" val="1"/>
        <color theme="4" tint="0.79998168889431442"/>
      </dataBar>
      <extLst>
        <ext xmlns:x14="http://schemas.microsoft.com/office/spreadsheetml/2009/9/main" uri="{B025F937-C7B1-47D3-B67F-A62EFF666E3E}">
          <x14:id>{CEE279F5-0653-4C15-AC56-545B1AAD0F27}</x14:id>
        </ext>
      </extLst>
    </cfRule>
  </conditionalFormatting>
  <conditionalFormatting sqref="BQ346">
    <cfRule type="iconSet" priority="2723">
      <iconSet iconSet="3Arrows">
        <cfvo type="percent" val="0"/>
        <cfvo type="num" val="0.7"/>
        <cfvo type="num" val="1"/>
      </iconSet>
    </cfRule>
    <cfRule type="dataBar" priority="2724">
      <dataBar>
        <cfvo type="num" val="0"/>
        <cfvo type="num" val="1"/>
        <color theme="4" tint="0.79998168889431442"/>
      </dataBar>
      <extLst>
        <ext xmlns:x14="http://schemas.microsoft.com/office/spreadsheetml/2009/9/main" uri="{B025F937-C7B1-47D3-B67F-A62EFF666E3E}">
          <x14:id>{D7D21922-DCB5-4E15-999E-3FB3A6DCC85B}</x14:id>
        </ext>
      </extLst>
    </cfRule>
  </conditionalFormatting>
  <conditionalFormatting sqref="BQ348">
    <cfRule type="iconSet" priority="2291">
      <iconSet iconSet="3Arrows">
        <cfvo type="percent" val="0"/>
        <cfvo type="num" val="0.7"/>
        <cfvo type="num" val="1"/>
      </iconSet>
    </cfRule>
    <cfRule type="dataBar" priority="2292">
      <dataBar>
        <cfvo type="num" val="0"/>
        <cfvo type="num" val="1"/>
        <color theme="4" tint="0.79998168889431442"/>
      </dataBar>
      <extLst>
        <ext xmlns:x14="http://schemas.microsoft.com/office/spreadsheetml/2009/9/main" uri="{B025F937-C7B1-47D3-B67F-A62EFF666E3E}">
          <x14:id>{A47BF131-78D4-4B02-81EE-D2731E2B66C3}</x14:id>
        </ext>
      </extLst>
    </cfRule>
  </conditionalFormatting>
  <conditionalFormatting sqref="BQ350">
    <cfRule type="iconSet" priority="2500">
      <iconSet iconSet="3Arrows">
        <cfvo type="percent" val="0"/>
        <cfvo type="num" val="0.7"/>
        <cfvo type="num" val="1"/>
      </iconSet>
    </cfRule>
    <cfRule type="dataBar" priority="2501">
      <dataBar>
        <cfvo type="num" val="0"/>
        <cfvo type="num" val="1"/>
        <color theme="4" tint="0.79998168889431442"/>
      </dataBar>
      <extLst>
        <ext xmlns:x14="http://schemas.microsoft.com/office/spreadsheetml/2009/9/main" uri="{B025F937-C7B1-47D3-B67F-A62EFF666E3E}">
          <x14:id>{60070F10-F81C-4D01-9C5D-C027F0354856}</x14:id>
        </ext>
      </extLst>
    </cfRule>
  </conditionalFormatting>
  <conditionalFormatting sqref="BQ352">
    <cfRule type="iconSet" priority="5082">
      <iconSet iconSet="3Arrows">
        <cfvo type="percent" val="0"/>
        <cfvo type="num" val="0.7"/>
        <cfvo type="num" val="1"/>
      </iconSet>
    </cfRule>
    <cfRule type="dataBar" priority="5083">
      <dataBar>
        <cfvo type="num" val="0"/>
        <cfvo type="num" val="1"/>
        <color theme="4" tint="0.79998168889431442"/>
      </dataBar>
      <extLst>
        <ext xmlns:x14="http://schemas.microsoft.com/office/spreadsheetml/2009/9/main" uri="{B025F937-C7B1-47D3-B67F-A62EFF666E3E}">
          <x14:id>{B6217313-398F-49D8-82C5-EBF0A455B14D}</x14:id>
        </ext>
      </extLst>
    </cfRule>
  </conditionalFormatting>
  <conditionalFormatting sqref="BQ354">
    <cfRule type="iconSet" priority="5076">
      <iconSet iconSet="3Arrows">
        <cfvo type="percent" val="0"/>
        <cfvo type="num" val="0.7"/>
        <cfvo type="num" val="1"/>
      </iconSet>
    </cfRule>
    <cfRule type="dataBar" priority="5077">
      <dataBar>
        <cfvo type="num" val="0"/>
        <cfvo type="num" val="1"/>
        <color theme="4" tint="0.79998168889431442"/>
      </dataBar>
      <extLst>
        <ext xmlns:x14="http://schemas.microsoft.com/office/spreadsheetml/2009/9/main" uri="{B025F937-C7B1-47D3-B67F-A62EFF666E3E}">
          <x14:id>{87FB8736-6836-48E8-A5AE-C55ED5BF4D46}</x14:id>
        </ext>
      </extLst>
    </cfRule>
  </conditionalFormatting>
  <conditionalFormatting sqref="BQ356">
    <cfRule type="iconSet" priority="5070">
      <iconSet iconSet="3Arrows">
        <cfvo type="percent" val="0"/>
        <cfvo type="num" val="0.7"/>
        <cfvo type="num" val="1"/>
      </iconSet>
    </cfRule>
    <cfRule type="dataBar" priority="5071">
      <dataBar>
        <cfvo type="num" val="0"/>
        <cfvo type="num" val="1"/>
        <color theme="4" tint="0.79998168889431442"/>
      </dataBar>
      <extLst>
        <ext xmlns:x14="http://schemas.microsoft.com/office/spreadsheetml/2009/9/main" uri="{B025F937-C7B1-47D3-B67F-A62EFF666E3E}">
          <x14:id>{F526F6E0-DE40-4DAF-B29E-B14461B81670}</x14:id>
        </ext>
      </extLst>
    </cfRule>
  </conditionalFormatting>
  <conditionalFormatting sqref="BQ358">
    <cfRule type="iconSet" priority="2253">
      <iconSet iconSet="3Arrows">
        <cfvo type="percent" val="0"/>
        <cfvo type="num" val="0.7"/>
        <cfvo type="num" val="1"/>
      </iconSet>
    </cfRule>
    <cfRule type="dataBar" priority="2254">
      <dataBar>
        <cfvo type="num" val="0"/>
        <cfvo type="num" val="1"/>
        <color theme="4" tint="0.79998168889431442"/>
      </dataBar>
      <extLst>
        <ext xmlns:x14="http://schemas.microsoft.com/office/spreadsheetml/2009/9/main" uri="{B025F937-C7B1-47D3-B67F-A62EFF666E3E}">
          <x14:id>{4BCD8E8D-FD34-417A-92EF-2C733026B2DB}</x14:id>
        </ext>
      </extLst>
    </cfRule>
  </conditionalFormatting>
  <conditionalFormatting sqref="BQ360">
    <cfRule type="iconSet" priority="2277">
      <iconSet iconSet="3Arrows">
        <cfvo type="percent" val="0"/>
        <cfvo type="num" val="0.7"/>
        <cfvo type="num" val="1"/>
      </iconSet>
    </cfRule>
    <cfRule type="dataBar" priority="2278">
      <dataBar>
        <cfvo type="num" val="0"/>
        <cfvo type="num" val="1"/>
        <color theme="4" tint="0.79998168889431442"/>
      </dataBar>
      <extLst>
        <ext xmlns:x14="http://schemas.microsoft.com/office/spreadsheetml/2009/9/main" uri="{B025F937-C7B1-47D3-B67F-A62EFF666E3E}">
          <x14:id>{55911767-59B4-4847-A2A3-CAB5800462FE}</x14:id>
        </ext>
      </extLst>
    </cfRule>
  </conditionalFormatting>
  <conditionalFormatting sqref="BQ362">
    <cfRule type="iconSet" priority="1372">
      <iconSet iconSet="3Arrows">
        <cfvo type="percent" val="0"/>
        <cfvo type="num" val="0.7"/>
        <cfvo type="num" val="1"/>
      </iconSet>
    </cfRule>
    <cfRule type="dataBar" priority="1373">
      <dataBar>
        <cfvo type="num" val="0"/>
        <cfvo type="num" val="1"/>
        <color theme="4" tint="0.79998168889431442"/>
      </dataBar>
      <extLst>
        <ext xmlns:x14="http://schemas.microsoft.com/office/spreadsheetml/2009/9/main" uri="{B025F937-C7B1-47D3-B67F-A62EFF666E3E}">
          <x14:id>{D6190C55-D5AC-42BF-A248-AEDDDB62F4C9}</x14:id>
        </ext>
      </extLst>
    </cfRule>
  </conditionalFormatting>
  <conditionalFormatting sqref="BQ364">
    <cfRule type="iconSet" priority="1813">
      <iconSet iconSet="3Arrows">
        <cfvo type="percent" val="0"/>
        <cfvo type="num" val="0.7"/>
        <cfvo type="num" val="1"/>
      </iconSet>
    </cfRule>
    <cfRule type="dataBar" priority="1814">
      <dataBar>
        <cfvo type="num" val="0"/>
        <cfvo type="num" val="1"/>
        <color theme="4" tint="0.79998168889431442"/>
      </dataBar>
      <extLst>
        <ext xmlns:x14="http://schemas.microsoft.com/office/spreadsheetml/2009/9/main" uri="{B025F937-C7B1-47D3-B67F-A62EFF666E3E}">
          <x14:id>{786BAC98-873E-497A-83AB-E4BA3A975B70}</x14:id>
        </ext>
      </extLst>
    </cfRule>
  </conditionalFormatting>
  <conditionalFormatting sqref="BQ366">
    <cfRule type="iconSet" priority="1358">
      <iconSet iconSet="3Arrows">
        <cfvo type="percent" val="0"/>
        <cfvo type="num" val="0.7"/>
        <cfvo type="num" val="1"/>
      </iconSet>
    </cfRule>
    <cfRule type="dataBar" priority="1359">
      <dataBar>
        <cfvo type="num" val="0"/>
        <cfvo type="num" val="1"/>
        <color theme="4" tint="0.79998168889431442"/>
      </dataBar>
      <extLst>
        <ext xmlns:x14="http://schemas.microsoft.com/office/spreadsheetml/2009/9/main" uri="{B025F937-C7B1-47D3-B67F-A62EFF666E3E}">
          <x14:id>{44436172-B4FD-43C1-BABE-3E8C3221BC3A}</x14:id>
        </ext>
      </extLst>
    </cfRule>
  </conditionalFormatting>
  <conditionalFormatting sqref="BQ368">
    <cfRule type="iconSet" priority="2271">
      <iconSet iconSet="3Arrows">
        <cfvo type="percent" val="0"/>
        <cfvo type="num" val="0.7"/>
        <cfvo type="num" val="1"/>
      </iconSet>
    </cfRule>
    <cfRule type="dataBar" priority="2272">
      <dataBar>
        <cfvo type="num" val="0"/>
        <cfvo type="num" val="1"/>
        <color theme="4" tint="0.79998168889431442"/>
      </dataBar>
      <extLst>
        <ext xmlns:x14="http://schemas.microsoft.com/office/spreadsheetml/2009/9/main" uri="{B025F937-C7B1-47D3-B67F-A62EFF666E3E}">
          <x14:id>{2A559D10-1218-46D6-8F22-1D7D80A26E55}</x14:id>
        </ext>
      </extLst>
    </cfRule>
  </conditionalFormatting>
  <conditionalFormatting sqref="BQ370">
    <cfRule type="iconSet" priority="1799">
      <iconSet iconSet="3Arrows">
        <cfvo type="percent" val="0"/>
        <cfvo type="num" val="0.7"/>
        <cfvo type="num" val="1"/>
      </iconSet>
    </cfRule>
    <cfRule type="dataBar" priority="1800">
      <dataBar>
        <cfvo type="num" val="0"/>
        <cfvo type="num" val="1"/>
        <color theme="4" tint="0.79998168889431442"/>
      </dataBar>
      <extLst>
        <ext xmlns:x14="http://schemas.microsoft.com/office/spreadsheetml/2009/9/main" uri="{B025F937-C7B1-47D3-B67F-A62EFF666E3E}">
          <x14:id>{CC9E9357-1A20-4A8D-8DE3-C58AFC6FDB20}</x14:id>
        </ext>
      </extLst>
    </cfRule>
  </conditionalFormatting>
  <conditionalFormatting sqref="BQ372">
    <cfRule type="iconSet" priority="2486">
      <iconSet iconSet="3Arrows">
        <cfvo type="percent" val="0"/>
        <cfvo type="num" val="0.7"/>
        <cfvo type="num" val="1"/>
      </iconSet>
    </cfRule>
    <cfRule type="dataBar" priority="2487">
      <dataBar>
        <cfvo type="num" val="0"/>
        <cfvo type="num" val="1"/>
        <color theme="4" tint="0.79998168889431442"/>
      </dataBar>
      <extLst>
        <ext xmlns:x14="http://schemas.microsoft.com/office/spreadsheetml/2009/9/main" uri="{B025F937-C7B1-47D3-B67F-A62EFF666E3E}">
          <x14:id>{61A967B8-5F50-4912-86B0-9B51DAFF3091}</x14:id>
        </ext>
      </extLst>
    </cfRule>
  </conditionalFormatting>
  <conditionalFormatting sqref="BQ374">
    <cfRule type="iconSet" priority="2618">
      <iconSet iconSet="3Arrows">
        <cfvo type="percent" val="0"/>
        <cfvo type="num" val="0.7"/>
        <cfvo type="num" val="1"/>
      </iconSet>
    </cfRule>
    <cfRule type="dataBar" priority="2619">
      <dataBar>
        <cfvo type="num" val="0"/>
        <cfvo type="num" val="1"/>
        <color theme="4" tint="0.79998168889431442"/>
      </dataBar>
      <extLst>
        <ext xmlns:x14="http://schemas.microsoft.com/office/spreadsheetml/2009/9/main" uri="{B025F937-C7B1-47D3-B67F-A62EFF666E3E}">
          <x14:id>{067BA56B-4E61-4C43-AD2C-D521F8E83EE0}</x14:id>
        </ext>
      </extLst>
    </cfRule>
  </conditionalFormatting>
  <conditionalFormatting sqref="BQ376">
    <cfRule type="iconSet" priority="2663">
      <iconSet iconSet="3Arrows">
        <cfvo type="percent" val="0"/>
        <cfvo type="num" val="0.7"/>
        <cfvo type="num" val="1"/>
      </iconSet>
    </cfRule>
    <cfRule type="dataBar" priority="2664">
      <dataBar>
        <cfvo type="num" val="0"/>
        <cfvo type="num" val="1"/>
        <color theme="4" tint="0.79998168889431442"/>
      </dataBar>
      <extLst>
        <ext xmlns:x14="http://schemas.microsoft.com/office/spreadsheetml/2009/9/main" uri="{B025F937-C7B1-47D3-B67F-A62EFF666E3E}">
          <x14:id>{4259EA86-ED36-4C2E-91EF-2C89906E0CD9}</x14:id>
        </ext>
      </extLst>
    </cfRule>
  </conditionalFormatting>
  <conditionalFormatting sqref="BQ378">
    <cfRule type="iconSet" priority="2598">
      <iconSet iconSet="3Arrows">
        <cfvo type="percent" val="0"/>
        <cfvo type="num" val="0.7"/>
        <cfvo type="num" val="1"/>
      </iconSet>
    </cfRule>
    <cfRule type="dataBar" priority="2599">
      <dataBar>
        <cfvo type="num" val="0"/>
        <cfvo type="num" val="1"/>
        <color theme="4" tint="0.79998168889431442"/>
      </dataBar>
      <extLst>
        <ext xmlns:x14="http://schemas.microsoft.com/office/spreadsheetml/2009/9/main" uri="{B025F937-C7B1-47D3-B67F-A62EFF666E3E}">
          <x14:id>{FD996B21-30E3-4985-9442-141BE3FCE4A6}</x14:id>
        </ext>
      </extLst>
    </cfRule>
  </conditionalFormatting>
  <conditionalFormatting sqref="BQ380">
    <cfRule type="iconSet" priority="2648">
      <iconSet iconSet="3Arrows">
        <cfvo type="percent" val="0"/>
        <cfvo type="num" val="0.7"/>
        <cfvo type="num" val="1"/>
      </iconSet>
    </cfRule>
    <cfRule type="dataBar" priority="2649">
      <dataBar>
        <cfvo type="num" val="0"/>
        <cfvo type="num" val="1"/>
        <color theme="4" tint="0.79998168889431442"/>
      </dataBar>
      <extLst>
        <ext xmlns:x14="http://schemas.microsoft.com/office/spreadsheetml/2009/9/main" uri="{B025F937-C7B1-47D3-B67F-A62EFF666E3E}">
          <x14:id>{35A8B184-923A-47CE-9E82-A7A8AB5F1A7D}</x14:id>
        </ext>
      </extLst>
    </cfRule>
  </conditionalFormatting>
  <conditionalFormatting sqref="BQ382">
    <cfRule type="iconSet" priority="2578">
      <iconSet iconSet="3Arrows">
        <cfvo type="percent" val="0"/>
        <cfvo type="num" val="0.7"/>
        <cfvo type="num" val="1"/>
      </iconSet>
    </cfRule>
    <cfRule type="dataBar" priority="2579">
      <dataBar>
        <cfvo type="num" val="0"/>
        <cfvo type="num" val="1"/>
        <color theme="4" tint="0.79998168889431442"/>
      </dataBar>
      <extLst>
        <ext xmlns:x14="http://schemas.microsoft.com/office/spreadsheetml/2009/9/main" uri="{B025F937-C7B1-47D3-B67F-A62EFF666E3E}">
          <x14:id>{A13B9D92-6461-474A-ACCB-CE343CA7170E}</x14:id>
        </ext>
      </extLst>
    </cfRule>
  </conditionalFormatting>
  <conditionalFormatting sqref="BQ384">
    <cfRule type="iconSet" priority="2633">
      <iconSet iconSet="3Arrows">
        <cfvo type="percent" val="0"/>
        <cfvo type="num" val="0.7"/>
        <cfvo type="num" val="1"/>
      </iconSet>
    </cfRule>
    <cfRule type="dataBar" priority="2634">
      <dataBar>
        <cfvo type="num" val="0"/>
        <cfvo type="num" val="1"/>
        <color theme="4" tint="0.79998168889431442"/>
      </dataBar>
      <extLst>
        <ext xmlns:x14="http://schemas.microsoft.com/office/spreadsheetml/2009/9/main" uri="{B025F937-C7B1-47D3-B67F-A62EFF666E3E}">
          <x14:id>{79CBD54F-2E3C-4EBB-A620-6A6F40A8508C}</x14:id>
        </ext>
      </extLst>
    </cfRule>
  </conditionalFormatting>
  <conditionalFormatting sqref="BQ386">
    <cfRule type="iconSet" priority="1333">
      <iconSet iconSet="3Arrows">
        <cfvo type="percent" val="0"/>
        <cfvo type="num" val="0.7"/>
        <cfvo type="num" val="1"/>
      </iconSet>
    </cfRule>
    <cfRule type="dataBar" priority="1334">
      <dataBar>
        <cfvo type="num" val="0"/>
        <cfvo type="num" val="1"/>
        <color theme="4" tint="0.79998168889431442"/>
      </dataBar>
      <extLst>
        <ext xmlns:x14="http://schemas.microsoft.com/office/spreadsheetml/2009/9/main" uri="{B025F937-C7B1-47D3-B67F-A62EFF666E3E}">
          <x14:id>{2EDB75C6-E4F1-47B1-8AE4-5C734AA5FB93}</x14:id>
        </ext>
      </extLst>
    </cfRule>
  </conditionalFormatting>
  <conditionalFormatting sqref="BQ388">
    <cfRule type="iconSet" priority="1317">
      <iconSet iconSet="3Arrows">
        <cfvo type="percent" val="0"/>
        <cfvo type="num" val="0.7"/>
        <cfvo type="num" val="1"/>
      </iconSet>
    </cfRule>
    <cfRule type="dataBar" priority="1318">
      <dataBar>
        <cfvo type="num" val="0"/>
        <cfvo type="num" val="1"/>
        <color theme="4" tint="0.79998168889431442"/>
      </dataBar>
      <extLst>
        <ext xmlns:x14="http://schemas.microsoft.com/office/spreadsheetml/2009/9/main" uri="{B025F937-C7B1-47D3-B67F-A62EFF666E3E}">
          <x14:id>{C296530F-DC9F-4E4B-840A-3A3A7D830143}</x14:id>
        </ext>
      </extLst>
    </cfRule>
  </conditionalFormatting>
  <conditionalFormatting sqref="BQ390">
    <cfRule type="iconSet" priority="1325">
      <iconSet iconSet="3Arrows">
        <cfvo type="percent" val="0"/>
        <cfvo type="num" val="0.7"/>
        <cfvo type="num" val="1"/>
      </iconSet>
    </cfRule>
    <cfRule type="dataBar" priority="1326">
      <dataBar>
        <cfvo type="num" val="0"/>
        <cfvo type="num" val="1"/>
        <color theme="4" tint="0.79998168889431442"/>
      </dataBar>
      <extLst>
        <ext xmlns:x14="http://schemas.microsoft.com/office/spreadsheetml/2009/9/main" uri="{B025F937-C7B1-47D3-B67F-A62EFF666E3E}">
          <x14:id>{E4644879-6E02-41F5-AE9C-A4286164AAF0}</x14:id>
        </ext>
      </extLst>
    </cfRule>
  </conditionalFormatting>
  <conditionalFormatting sqref="BQ393">
    <cfRule type="iconSet" priority="5040">
      <iconSet iconSet="3Arrows">
        <cfvo type="percent" val="0"/>
        <cfvo type="num" val="0.7"/>
        <cfvo type="num" val="1"/>
      </iconSet>
    </cfRule>
    <cfRule type="dataBar" priority="5041">
      <dataBar>
        <cfvo type="num" val="0"/>
        <cfvo type="num" val="1"/>
        <color theme="4" tint="0.79998168889431442"/>
      </dataBar>
      <extLst>
        <ext xmlns:x14="http://schemas.microsoft.com/office/spreadsheetml/2009/9/main" uri="{B025F937-C7B1-47D3-B67F-A62EFF666E3E}">
          <x14:id>{B7D49CCA-04D7-48A4-8831-3833AA951C81}</x14:id>
        </ext>
      </extLst>
    </cfRule>
  </conditionalFormatting>
  <conditionalFormatting sqref="BQ395">
    <cfRule type="iconSet" priority="1203">
      <iconSet iconSet="3Arrows">
        <cfvo type="percent" val="0"/>
        <cfvo type="num" val="0.7"/>
        <cfvo type="num" val="1"/>
      </iconSet>
    </cfRule>
    <cfRule type="dataBar" priority="1204">
      <dataBar>
        <cfvo type="num" val="0"/>
        <cfvo type="num" val="1"/>
        <color theme="4" tint="0.79998168889431442"/>
      </dataBar>
      <extLst>
        <ext xmlns:x14="http://schemas.microsoft.com/office/spreadsheetml/2009/9/main" uri="{B025F937-C7B1-47D3-B67F-A62EFF666E3E}">
          <x14:id>{8D9A7F62-AC6A-443A-B26C-A45FC594D689}</x14:id>
        </ext>
      </extLst>
    </cfRule>
  </conditionalFormatting>
  <conditionalFormatting sqref="BQ397">
    <cfRule type="iconSet" priority="4706">
      <iconSet iconSet="3Arrows">
        <cfvo type="percent" val="0"/>
        <cfvo type="num" val="0.7"/>
        <cfvo type="num" val="1"/>
      </iconSet>
    </cfRule>
    <cfRule type="dataBar" priority="4707">
      <dataBar>
        <cfvo type="num" val="0"/>
        <cfvo type="num" val="1"/>
        <color theme="4" tint="0.79998168889431442"/>
      </dataBar>
      <extLst>
        <ext xmlns:x14="http://schemas.microsoft.com/office/spreadsheetml/2009/9/main" uri="{B025F937-C7B1-47D3-B67F-A62EFF666E3E}">
          <x14:id>{27BB3A3D-82E8-41C2-BCD6-717912233012}</x14:id>
        </ext>
      </extLst>
    </cfRule>
  </conditionalFormatting>
  <conditionalFormatting sqref="BQ399">
    <cfRule type="iconSet" priority="4965">
      <iconSet iconSet="3Arrows">
        <cfvo type="percent" val="0"/>
        <cfvo type="num" val="0.7"/>
        <cfvo type="num" val="1"/>
      </iconSet>
    </cfRule>
    <cfRule type="dataBar" priority="4966">
      <dataBar>
        <cfvo type="num" val="0"/>
        <cfvo type="num" val="1"/>
        <color theme="4" tint="0.79998168889431442"/>
      </dataBar>
      <extLst>
        <ext xmlns:x14="http://schemas.microsoft.com/office/spreadsheetml/2009/9/main" uri="{B025F937-C7B1-47D3-B67F-A62EFF666E3E}">
          <x14:id>{648A8D09-3F60-4F36-BCE3-4CEBCC0DF270}</x14:id>
        </ext>
      </extLst>
    </cfRule>
  </conditionalFormatting>
  <conditionalFormatting sqref="BQ401">
    <cfRule type="iconSet" priority="2239">
      <iconSet iconSet="3Arrows">
        <cfvo type="percent" val="0"/>
        <cfvo type="num" val="0.7"/>
        <cfvo type="num" val="1"/>
      </iconSet>
    </cfRule>
    <cfRule type="dataBar" priority="2240">
      <dataBar>
        <cfvo type="num" val="0"/>
        <cfvo type="num" val="1"/>
        <color theme="4" tint="0.79998168889431442"/>
      </dataBar>
      <extLst>
        <ext xmlns:x14="http://schemas.microsoft.com/office/spreadsheetml/2009/9/main" uri="{B025F937-C7B1-47D3-B67F-A62EFF666E3E}">
          <x14:id>{5994A7ED-D886-4C12-8446-A664BD3C5DCF}</x14:id>
        </ext>
      </extLst>
    </cfRule>
  </conditionalFormatting>
  <conditionalFormatting sqref="BQ403">
    <cfRule type="iconSet" priority="2225">
      <iconSet iconSet="3Arrows">
        <cfvo type="percent" val="0"/>
        <cfvo type="num" val="0.7"/>
        <cfvo type="num" val="1"/>
      </iconSet>
    </cfRule>
    <cfRule type="dataBar" priority="2226">
      <dataBar>
        <cfvo type="num" val="0"/>
        <cfvo type="num" val="1"/>
        <color theme="4" tint="0.79998168889431442"/>
      </dataBar>
      <extLst>
        <ext xmlns:x14="http://schemas.microsoft.com/office/spreadsheetml/2009/9/main" uri="{B025F937-C7B1-47D3-B67F-A62EFF666E3E}">
          <x14:id>{985346AC-563C-448C-BBE4-DD3D592229BC}</x14:id>
        </ext>
      </extLst>
    </cfRule>
  </conditionalFormatting>
  <conditionalFormatting sqref="BQ405">
    <cfRule type="iconSet" priority="1783">
      <iconSet iconSet="3Arrows">
        <cfvo type="percent" val="0"/>
        <cfvo type="num" val="0.7"/>
        <cfvo type="num" val="1"/>
      </iconSet>
    </cfRule>
    <cfRule type="dataBar" priority="1784">
      <dataBar>
        <cfvo type="num" val="0"/>
        <cfvo type="num" val="1"/>
        <color theme="4" tint="0.79998168889431442"/>
      </dataBar>
      <extLst>
        <ext xmlns:x14="http://schemas.microsoft.com/office/spreadsheetml/2009/9/main" uri="{B025F937-C7B1-47D3-B67F-A62EFF666E3E}">
          <x14:id>{FCBE4B5E-7448-42BD-90D8-E968B33502FE}</x14:id>
        </ext>
      </extLst>
    </cfRule>
  </conditionalFormatting>
  <conditionalFormatting sqref="BQ407">
    <cfRule type="iconSet" priority="1767">
      <iconSet iconSet="3Arrows">
        <cfvo type="percent" val="0"/>
        <cfvo type="num" val="0.7"/>
        <cfvo type="num" val="1"/>
      </iconSet>
    </cfRule>
    <cfRule type="dataBar" priority="1768">
      <dataBar>
        <cfvo type="num" val="0"/>
        <cfvo type="num" val="1"/>
        <color theme="4" tint="0.79998168889431442"/>
      </dataBar>
      <extLst>
        <ext xmlns:x14="http://schemas.microsoft.com/office/spreadsheetml/2009/9/main" uri="{B025F937-C7B1-47D3-B67F-A62EFF666E3E}">
          <x14:id>{E7A12D91-AAB7-4D34-87CE-06B6168E5263}</x14:id>
        </ext>
      </extLst>
    </cfRule>
  </conditionalFormatting>
  <conditionalFormatting sqref="BQ409">
    <cfRule type="iconSet" priority="1775">
      <iconSet iconSet="3Arrows">
        <cfvo type="percent" val="0"/>
        <cfvo type="num" val="0.7"/>
        <cfvo type="num" val="1"/>
      </iconSet>
    </cfRule>
    <cfRule type="dataBar" priority="1776">
      <dataBar>
        <cfvo type="num" val="0"/>
        <cfvo type="num" val="1"/>
        <color theme="4" tint="0.79998168889431442"/>
      </dataBar>
      <extLst>
        <ext xmlns:x14="http://schemas.microsoft.com/office/spreadsheetml/2009/9/main" uri="{B025F937-C7B1-47D3-B67F-A62EFF666E3E}">
          <x14:id>{D42A2A3A-58B4-4087-B48E-B0E8E1D78E98}</x14:id>
        </ext>
      </extLst>
    </cfRule>
  </conditionalFormatting>
  <conditionalFormatting sqref="BQ411">
    <cfRule type="iconSet" priority="1284">
      <iconSet iconSet="3Arrows">
        <cfvo type="percent" val="0"/>
        <cfvo type="num" val="0.7"/>
        <cfvo type="num" val="1"/>
      </iconSet>
    </cfRule>
    <cfRule type="dataBar" priority="1285">
      <dataBar>
        <cfvo type="num" val="0"/>
        <cfvo type="num" val="1"/>
        <color theme="4" tint="0.79998168889431442"/>
      </dataBar>
      <extLst>
        <ext xmlns:x14="http://schemas.microsoft.com/office/spreadsheetml/2009/9/main" uri="{B025F937-C7B1-47D3-B67F-A62EFF666E3E}">
          <x14:id>{1CBDD50C-C6E4-41CC-B151-C1BF645E272A}</x14:id>
        </ext>
      </extLst>
    </cfRule>
  </conditionalFormatting>
  <conditionalFormatting sqref="BQ413">
    <cfRule type="iconSet" priority="1268">
      <iconSet iconSet="3Arrows">
        <cfvo type="percent" val="0"/>
        <cfvo type="num" val="0.7"/>
        <cfvo type="num" val="1"/>
      </iconSet>
    </cfRule>
    <cfRule type="dataBar" priority="1269">
      <dataBar>
        <cfvo type="num" val="0"/>
        <cfvo type="num" val="1"/>
        <color theme="4" tint="0.79998168889431442"/>
      </dataBar>
      <extLst>
        <ext xmlns:x14="http://schemas.microsoft.com/office/spreadsheetml/2009/9/main" uri="{B025F937-C7B1-47D3-B67F-A62EFF666E3E}">
          <x14:id>{61129B6B-2C9A-4722-82FE-148143FA91B4}</x14:id>
        </ext>
      </extLst>
    </cfRule>
  </conditionalFormatting>
  <conditionalFormatting sqref="BQ415">
    <cfRule type="iconSet" priority="1276">
      <iconSet iconSet="3Arrows">
        <cfvo type="percent" val="0"/>
        <cfvo type="num" val="0.7"/>
        <cfvo type="num" val="1"/>
      </iconSet>
    </cfRule>
    <cfRule type="dataBar" priority="1277">
      <dataBar>
        <cfvo type="num" val="0"/>
        <cfvo type="num" val="1"/>
        <color theme="4" tint="0.79998168889431442"/>
      </dataBar>
      <extLst>
        <ext xmlns:x14="http://schemas.microsoft.com/office/spreadsheetml/2009/9/main" uri="{B025F937-C7B1-47D3-B67F-A62EFF666E3E}">
          <x14:id>{FAEEE11D-E226-4139-AE1D-3C266A95CCAE}</x14:id>
        </ext>
      </extLst>
    </cfRule>
  </conditionalFormatting>
  <conditionalFormatting sqref="BQ417">
    <cfRule type="iconSet" priority="3124">
      <iconSet iconSet="3Arrows">
        <cfvo type="percent" val="0"/>
        <cfvo type="num" val="0.7"/>
        <cfvo type="num" val="1"/>
      </iconSet>
    </cfRule>
    <cfRule type="dataBar" priority="3125">
      <dataBar>
        <cfvo type="num" val="0"/>
        <cfvo type="num" val="1"/>
        <color theme="4" tint="0.79998168889431442"/>
      </dataBar>
      <extLst>
        <ext xmlns:x14="http://schemas.microsoft.com/office/spreadsheetml/2009/9/main" uri="{B025F937-C7B1-47D3-B67F-A62EFF666E3E}">
          <x14:id>{F7C89272-F7E5-406F-9A8E-7A992F9C1A75}</x14:id>
        </ext>
      </extLst>
    </cfRule>
  </conditionalFormatting>
  <conditionalFormatting sqref="BQ419">
    <cfRule type="iconSet" priority="3100">
      <iconSet iconSet="3Arrows">
        <cfvo type="percent" val="0"/>
        <cfvo type="num" val="0.7"/>
        <cfvo type="num" val="1"/>
      </iconSet>
    </cfRule>
    <cfRule type="dataBar" priority="3101">
      <dataBar>
        <cfvo type="num" val="0"/>
        <cfvo type="num" val="1"/>
        <color theme="4" tint="0.79998168889431442"/>
      </dataBar>
      <extLst>
        <ext xmlns:x14="http://schemas.microsoft.com/office/spreadsheetml/2009/9/main" uri="{B025F937-C7B1-47D3-B67F-A62EFF666E3E}">
          <x14:id>{556E7CD3-8467-4381-9F8D-C41145C7AB6A}</x14:id>
        </ext>
      </extLst>
    </cfRule>
  </conditionalFormatting>
  <conditionalFormatting sqref="BQ421">
    <cfRule type="iconSet" priority="3116">
      <iconSet iconSet="3Arrows">
        <cfvo type="percent" val="0"/>
        <cfvo type="num" val="0.7"/>
        <cfvo type="num" val="1"/>
      </iconSet>
    </cfRule>
    <cfRule type="dataBar" priority="3117">
      <dataBar>
        <cfvo type="num" val="0"/>
        <cfvo type="num" val="1"/>
        <color theme="4" tint="0.79998168889431442"/>
      </dataBar>
      <extLst>
        <ext xmlns:x14="http://schemas.microsoft.com/office/spreadsheetml/2009/9/main" uri="{B025F937-C7B1-47D3-B67F-A62EFF666E3E}">
          <x14:id>{FCA2CA8B-D8FC-4C91-85E3-2360C508ED3D}</x14:id>
        </ext>
      </extLst>
    </cfRule>
  </conditionalFormatting>
  <conditionalFormatting sqref="BQ423">
    <cfRule type="iconSet" priority="3108">
      <iconSet iconSet="3Arrows">
        <cfvo type="percent" val="0"/>
        <cfvo type="num" val="0.7"/>
        <cfvo type="num" val="1"/>
      </iconSet>
    </cfRule>
    <cfRule type="dataBar" priority="3109">
      <dataBar>
        <cfvo type="num" val="0"/>
        <cfvo type="num" val="1"/>
        <color theme="4" tint="0.79998168889431442"/>
      </dataBar>
      <extLst>
        <ext xmlns:x14="http://schemas.microsoft.com/office/spreadsheetml/2009/9/main" uri="{B025F937-C7B1-47D3-B67F-A62EFF666E3E}">
          <x14:id>{D30D8913-4A64-4CDC-8964-C822F65E2261}</x14:id>
        </ext>
      </extLst>
    </cfRule>
  </conditionalFormatting>
  <conditionalFormatting sqref="BQ425">
    <cfRule type="iconSet" priority="196">
      <iconSet iconSet="3Arrows">
        <cfvo type="percent" val="0"/>
        <cfvo type="num" val="0.7"/>
        <cfvo type="num" val="1"/>
      </iconSet>
    </cfRule>
    <cfRule type="dataBar" priority="197">
      <dataBar>
        <cfvo type="num" val="0"/>
        <cfvo type="num" val="1"/>
        <color theme="4" tint="0.79998168889431442"/>
      </dataBar>
      <extLst>
        <ext xmlns:x14="http://schemas.microsoft.com/office/spreadsheetml/2009/9/main" uri="{B025F937-C7B1-47D3-B67F-A62EFF666E3E}">
          <x14:id>{859029C0-C50C-43C2-A2C9-4C815320E5A6}</x14:id>
        </ext>
      </extLst>
    </cfRule>
  </conditionalFormatting>
  <conditionalFormatting sqref="BQ428">
    <cfRule type="iconSet" priority="4953">
      <iconSet iconSet="3Arrows">
        <cfvo type="percent" val="0"/>
        <cfvo type="num" val="0.7"/>
        <cfvo type="num" val="1"/>
      </iconSet>
    </cfRule>
    <cfRule type="dataBar" priority="4954">
      <dataBar>
        <cfvo type="num" val="0"/>
        <cfvo type="num" val="1"/>
        <color theme="4" tint="0.79998168889431442"/>
      </dataBar>
      <extLst>
        <ext xmlns:x14="http://schemas.microsoft.com/office/spreadsheetml/2009/9/main" uri="{B025F937-C7B1-47D3-B67F-A62EFF666E3E}">
          <x14:id>{927510CF-9440-4783-A784-F225488465D1}</x14:id>
        </ext>
      </extLst>
    </cfRule>
  </conditionalFormatting>
  <conditionalFormatting sqref="BQ430">
    <cfRule type="iconSet" priority="4698">
      <iconSet iconSet="3Arrows">
        <cfvo type="percent" val="0"/>
        <cfvo type="num" val="0.7"/>
        <cfvo type="num" val="1"/>
      </iconSet>
    </cfRule>
    <cfRule type="dataBar" priority="4699">
      <dataBar>
        <cfvo type="num" val="0"/>
        <cfvo type="num" val="1"/>
        <color theme="4" tint="0.79998168889431442"/>
      </dataBar>
      <extLst>
        <ext xmlns:x14="http://schemas.microsoft.com/office/spreadsheetml/2009/9/main" uri="{B025F937-C7B1-47D3-B67F-A62EFF666E3E}">
          <x14:id>{751AA30A-1056-452D-A07B-4AC403AB7D4D}</x14:id>
        </ext>
      </extLst>
    </cfRule>
  </conditionalFormatting>
  <conditionalFormatting sqref="BQ432">
    <cfRule type="iconSet" priority="2560">
      <iconSet iconSet="3Arrows">
        <cfvo type="percent" val="0"/>
        <cfvo type="num" val="0.7"/>
        <cfvo type="num" val="1"/>
      </iconSet>
    </cfRule>
    <cfRule type="dataBar" priority="2561">
      <dataBar>
        <cfvo type="num" val="0"/>
        <cfvo type="num" val="1"/>
        <color theme="4" tint="0.79998168889431442"/>
      </dataBar>
      <extLst>
        <ext xmlns:x14="http://schemas.microsoft.com/office/spreadsheetml/2009/9/main" uri="{B025F937-C7B1-47D3-B67F-A62EFF666E3E}">
          <x14:id>{6A7179D1-5CEE-4B55-93C3-D600470F5791}</x14:id>
        </ext>
      </extLst>
    </cfRule>
  </conditionalFormatting>
  <conditionalFormatting sqref="BQ434">
    <cfRule type="iconSet" priority="3051">
      <iconSet iconSet="3Arrows">
        <cfvo type="percent" val="0"/>
        <cfvo type="num" val="0.7"/>
        <cfvo type="num" val="1"/>
      </iconSet>
    </cfRule>
    <cfRule type="dataBar" priority="3052">
      <dataBar>
        <cfvo type="num" val="0"/>
        <cfvo type="num" val="1"/>
        <color theme="4" tint="0.79998168889431442"/>
      </dataBar>
      <extLst>
        <ext xmlns:x14="http://schemas.microsoft.com/office/spreadsheetml/2009/9/main" uri="{B025F937-C7B1-47D3-B67F-A62EFF666E3E}">
          <x14:id>{D8071E7C-3040-4AF7-92AE-045AC95414C0}</x14:id>
        </ext>
      </extLst>
    </cfRule>
  </conditionalFormatting>
  <conditionalFormatting sqref="BQ436">
    <cfRule type="iconSet" priority="3047">
      <iconSet iconSet="3Arrows">
        <cfvo type="percent" val="0"/>
        <cfvo type="num" val="0.7"/>
        <cfvo type="num" val="1"/>
      </iconSet>
    </cfRule>
    <cfRule type="dataBar" priority="3048">
      <dataBar>
        <cfvo type="num" val="0"/>
        <cfvo type="num" val="1"/>
        <color theme="4" tint="0.79998168889431442"/>
      </dataBar>
      <extLst>
        <ext xmlns:x14="http://schemas.microsoft.com/office/spreadsheetml/2009/9/main" uri="{B025F937-C7B1-47D3-B67F-A62EFF666E3E}">
          <x14:id>{3A3BE270-8C2D-4181-B647-B126E1C8FB59}</x14:id>
        </ext>
      </extLst>
    </cfRule>
  </conditionalFormatting>
  <conditionalFormatting sqref="BQ438">
    <cfRule type="iconSet" priority="3039">
      <iconSet iconSet="3Arrows">
        <cfvo type="percent" val="0"/>
        <cfvo type="num" val="0.7"/>
        <cfvo type="num" val="1"/>
      </iconSet>
    </cfRule>
    <cfRule type="dataBar" priority="3040">
      <dataBar>
        <cfvo type="num" val="0"/>
        <cfvo type="num" val="1"/>
        <color theme="4" tint="0.79998168889431442"/>
      </dataBar>
      <extLst>
        <ext xmlns:x14="http://schemas.microsoft.com/office/spreadsheetml/2009/9/main" uri="{B025F937-C7B1-47D3-B67F-A62EFF666E3E}">
          <x14:id>{B6E18F57-9D1A-4B6A-9D90-1E3D17D4B73D}</x14:id>
        </ext>
      </extLst>
    </cfRule>
  </conditionalFormatting>
  <conditionalFormatting sqref="BQ440">
    <cfRule type="iconSet" priority="3033">
      <iconSet iconSet="3Arrows">
        <cfvo type="percent" val="0"/>
        <cfvo type="num" val="0.7"/>
        <cfvo type="num" val="1"/>
      </iconSet>
    </cfRule>
    <cfRule type="dataBar" priority="3034">
      <dataBar>
        <cfvo type="num" val="0"/>
        <cfvo type="num" val="1"/>
        <color theme="4" tint="0.79998168889431442"/>
      </dataBar>
      <extLst>
        <ext xmlns:x14="http://schemas.microsoft.com/office/spreadsheetml/2009/9/main" uri="{B025F937-C7B1-47D3-B67F-A62EFF666E3E}">
          <x14:id>{5C6AEFC6-3B6D-4D4C-8841-076D397A8B47}</x14:id>
        </ext>
      </extLst>
    </cfRule>
  </conditionalFormatting>
  <conditionalFormatting sqref="BQ442">
    <cfRule type="iconSet" priority="1236">
      <iconSet iconSet="3Arrows">
        <cfvo type="percent" val="0"/>
        <cfvo type="num" val="0.7"/>
        <cfvo type="num" val="1"/>
      </iconSet>
    </cfRule>
    <cfRule type="dataBar" priority="1237">
      <dataBar>
        <cfvo type="num" val="0"/>
        <cfvo type="num" val="1"/>
        <color theme="4" tint="0.79998168889431442"/>
      </dataBar>
      <extLst>
        <ext xmlns:x14="http://schemas.microsoft.com/office/spreadsheetml/2009/9/main" uri="{B025F937-C7B1-47D3-B67F-A62EFF666E3E}">
          <x14:id>{4EF4249B-0F5B-4692-8B57-10AF82EA5C22}</x14:id>
        </ext>
      </extLst>
    </cfRule>
  </conditionalFormatting>
  <conditionalFormatting sqref="BQ444">
    <cfRule type="iconSet" priority="4957">
      <iconSet iconSet="3Arrows">
        <cfvo type="percent" val="0"/>
        <cfvo type="num" val="0.7"/>
        <cfvo type="num" val="1"/>
      </iconSet>
    </cfRule>
    <cfRule type="dataBar" priority="4958">
      <dataBar>
        <cfvo type="num" val="0"/>
        <cfvo type="num" val="1"/>
        <color theme="4" tint="0.79998168889431442"/>
      </dataBar>
      <extLst>
        <ext xmlns:x14="http://schemas.microsoft.com/office/spreadsheetml/2009/9/main" uri="{B025F937-C7B1-47D3-B67F-A62EFF666E3E}">
          <x14:id>{B77608EC-5C65-4760-91FF-4C970BED8D1B}</x14:id>
        </ext>
      </extLst>
    </cfRule>
  </conditionalFormatting>
  <conditionalFormatting sqref="BQ446">
    <cfRule type="iconSet" priority="1222">
      <iconSet iconSet="3Arrows">
        <cfvo type="percent" val="0"/>
        <cfvo type="num" val="0.7"/>
        <cfvo type="num" val="1"/>
      </iconSet>
    </cfRule>
    <cfRule type="dataBar" priority="1223">
      <dataBar>
        <cfvo type="num" val="0"/>
        <cfvo type="num" val="1"/>
        <color theme="4" tint="0.79998168889431442"/>
      </dataBar>
      <extLst>
        <ext xmlns:x14="http://schemas.microsoft.com/office/spreadsheetml/2009/9/main" uri="{B025F937-C7B1-47D3-B67F-A62EFF666E3E}">
          <x14:id>{113F4F87-BEF7-4FC6-B637-E23DD806FAEE}</x14:id>
        </ext>
      </extLst>
    </cfRule>
  </conditionalFormatting>
  <conditionalFormatting sqref="BQ448">
    <cfRule type="iconSet" priority="4947">
      <iconSet iconSet="3Arrows">
        <cfvo type="percent" val="0"/>
        <cfvo type="num" val="0.7"/>
        <cfvo type="num" val="1"/>
      </iconSet>
    </cfRule>
    <cfRule type="dataBar" priority="4948">
      <dataBar>
        <cfvo type="num" val="0"/>
        <cfvo type="num" val="1"/>
        <color theme="4" tint="0.79998168889431442"/>
      </dataBar>
      <extLst>
        <ext xmlns:x14="http://schemas.microsoft.com/office/spreadsheetml/2009/9/main" uri="{B025F937-C7B1-47D3-B67F-A62EFF666E3E}">
          <x14:id>{EB217AFE-8FE0-4B6D-9C94-308223B78E65}</x14:id>
        </ext>
      </extLst>
    </cfRule>
  </conditionalFormatting>
  <conditionalFormatting sqref="BQ450">
    <cfRule type="iconSet" priority="4939">
      <iconSet iconSet="3Arrows">
        <cfvo type="percent" val="0"/>
        <cfvo type="num" val="0.7"/>
        <cfvo type="num" val="1"/>
      </iconSet>
    </cfRule>
    <cfRule type="dataBar" priority="4940">
      <dataBar>
        <cfvo type="num" val="0"/>
        <cfvo type="num" val="1"/>
        <color theme="4" tint="0.79998168889431442"/>
      </dataBar>
      <extLst>
        <ext xmlns:x14="http://schemas.microsoft.com/office/spreadsheetml/2009/9/main" uri="{B025F937-C7B1-47D3-B67F-A62EFF666E3E}">
          <x14:id>{1A6670D1-12A6-4E09-9799-7FA6F74AE90D}</x14:id>
        </ext>
      </extLst>
    </cfRule>
  </conditionalFormatting>
  <conditionalFormatting sqref="BQ452">
    <cfRule type="iconSet" priority="4933">
      <iconSet iconSet="3Arrows">
        <cfvo type="percent" val="0"/>
        <cfvo type="num" val="0.7"/>
        <cfvo type="num" val="1"/>
      </iconSet>
    </cfRule>
    <cfRule type="dataBar" priority="4934">
      <dataBar>
        <cfvo type="num" val="0"/>
        <cfvo type="num" val="1"/>
        <color theme="4" tint="0.79998168889431442"/>
      </dataBar>
      <extLst>
        <ext xmlns:x14="http://schemas.microsoft.com/office/spreadsheetml/2009/9/main" uri="{B025F937-C7B1-47D3-B67F-A62EFF666E3E}">
          <x14:id>{C9F1367B-F3F3-4FE4-B213-717BC7E8AA56}</x14:id>
        </ext>
      </extLst>
    </cfRule>
  </conditionalFormatting>
  <conditionalFormatting sqref="BQ454">
    <cfRule type="iconSet" priority="4927">
      <iconSet iconSet="3Arrows">
        <cfvo type="percent" val="0"/>
        <cfvo type="num" val="0.7"/>
        <cfvo type="num" val="1"/>
      </iconSet>
    </cfRule>
    <cfRule type="dataBar" priority="4928">
      <dataBar>
        <cfvo type="num" val="0"/>
        <cfvo type="num" val="1"/>
        <color theme="4" tint="0.79998168889431442"/>
      </dataBar>
      <extLst>
        <ext xmlns:x14="http://schemas.microsoft.com/office/spreadsheetml/2009/9/main" uri="{B025F937-C7B1-47D3-B67F-A62EFF666E3E}">
          <x14:id>{A7D2B014-162C-4DA5-8726-258C83ACC83D}</x14:id>
        </ext>
      </extLst>
    </cfRule>
  </conditionalFormatting>
  <conditionalFormatting sqref="BQ456">
    <cfRule type="iconSet" priority="4921">
      <iconSet iconSet="3Arrows">
        <cfvo type="percent" val="0"/>
        <cfvo type="num" val="0.7"/>
        <cfvo type="num" val="1"/>
      </iconSet>
    </cfRule>
    <cfRule type="dataBar" priority="4922">
      <dataBar>
        <cfvo type="num" val="0"/>
        <cfvo type="num" val="1"/>
        <color theme="4" tint="0.79998168889431442"/>
      </dataBar>
      <extLst>
        <ext xmlns:x14="http://schemas.microsoft.com/office/spreadsheetml/2009/9/main" uri="{B025F937-C7B1-47D3-B67F-A62EFF666E3E}">
          <x14:id>{0B7B706D-86AA-4712-B8F3-7A912470F117}</x14:id>
        </ext>
      </extLst>
    </cfRule>
  </conditionalFormatting>
  <conditionalFormatting sqref="BQ458">
    <cfRule type="iconSet" priority="4911">
      <iconSet iconSet="3Arrows">
        <cfvo type="percent" val="0"/>
        <cfvo type="num" val="0.7"/>
        <cfvo type="num" val="1"/>
      </iconSet>
    </cfRule>
    <cfRule type="dataBar" priority="4912">
      <dataBar>
        <cfvo type="num" val="0"/>
        <cfvo type="num" val="1"/>
        <color theme="4" tint="0.79998168889431442"/>
      </dataBar>
      <extLst>
        <ext xmlns:x14="http://schemas.microsoft.com/office/spreadsheetml/2009/9/main" uri="{B025F937-C7B1-47D3-B67F-A62EFF666E3E}">
          <x14:id>{B1FACE51-72F8-41D1-A8AE-DF8BB8233CA9}</x14:id>
        </ext>
      </extLst>
    </cfRule>
  </conditionalFormatting>
  <conditionalFormatting sqref="BQ460">
    <cfRule type="iconSet" priority="391">
      <iconSet iconSet="3Arrows">
        <cfvo type="percent" val="0"/>
        <cfvo type="num" val="0.7"/>
        <cfvo type="num" val="1"/>
      </iconSet>
    </cfRule>
    <cfRule type="dataBar" priority="392">
      <dataBar>
        <cfvo type="num" val="0"/>
        <cfvo type="num" val="1"/>
        <color theme="4" tint="0.79998168889431442"/>
      </dataBar>
      <extLst>
        <ext xmlns:x14="http://schemas.microsoft.com/office/spreadsheetml/2009/9/main" uri="{B025F937-C7B1-47D3-B67F-A62EFF666E3E}">
          <x14:id>{3DA9343F-465A-43A2-A169-59AC4612611A}</x14:id>
        </ext>
      </extLst>
    </cfRule>
  </conditionalFormatting>
  <conditionalFormatting sqref="BQ462">
    <cfRule type="iconSet" priority="4903">
      <iconSet iconSet="3Arrows">
        <cfvo type="percent" val="0"/>
        <cfvo type="num" val="0.7"/>
        <cfvo type="num" val="1"/>
      </iconSet>
    </cfRule>
    <cfRule type="dataBar" priority="4904">
      <dataBar>
        <cfvo type="num" val="0"/>
        <cfvo type="num" val="1"/>
        <color theme="4" tint="0.79998168889431442"/>
      </dataBar>
      <extLst>
        <ext xmlns:x14="http://schemas.microsoft.com/office/spreadsheetml/2009/9/main" uri="{B025F937-C7B1-47D3-B67F-A62EFF666E3E}">
          <x14:id>{21B4AC38-3CFE-42CC-9BB3-68F270A6471B}</x14:id>
        </ext>
      </extLst>
    </cfRule>
  </conditionalFormatting>
  <conditionalFormatting sqref="BQ464">
    <cfRule type="iconSet" priority="4887">
      <iconSet iconSet="3Arrows">
        <cfvo type="percent" val="0"/>
        <cfvo type="num" val="0.7"/>
        <cfvo type="num" val="1"/>
      </iconSet>
    </cfRule>
    <cfRule type="dataBar" priority="4888">
      <dataBar>
        <cfvo type="num" val="0"/>
        <cfvo type="num" val="1"/>
        <color theme="4" tint="0.79998168889431442"/>
      </dataBar>
      <extLst>
        <ext xmlns:x14="http://schemas.microsoft.com/office/spreadsheetml/2009/9/main" uri="{B025F937-C7B1-47D3-B67F-A62EFF666E3E}">
          <x14:id>{90724829-42EB-46F1-A72F-FB024C8824FE}</x14:id>
        </ext>
      </extLst>
    </cfRule>
  </conditionalFormatting>
  <conditionalFormatting sqref="BQ466">
    <cfRule type="iconSet" priority="3295">
      <iconSet iconSet="3Arrows">
        <cfvo type="percent" val="0"/>
        <cfvo type="num" val="0.7"/>
        <cfvo type="num" val="1"/>
      </iconSet>
    </cfRule>
    <cfRule type="dataBar" priority="3296">
      <dataBar>
        <cfvo type="num" val="0"/>
        <cfvo type="num" val="1"/>
        <color theme="4" tint="0.79998168889431442"/>
      </dataBar>
      <extLst>
        <ext xmlns:x14="http://schemas.microsoft.com/office/spreadsheetml/2009/9/main" uri="{B025F937-C7B1-47D3-B67F-A62EFF666E3E}">
          <x14:id>{9F001593-6740-4F96-8B4C-F60B55E97B04}</x14:id>
        </ext>
      </extLst>
    </cfRule>
  </conditionalFormatting>
  <conditionalFormatting sqref="BQ468">
    <cfRule type="iconSet" priority="3281">
      <iconSet iconSet="3Arrows">
        <cfvo type="percent" val="0"/>
        <cfvo type="num" val="0.7"/>
        <cfvo type="num" val="1"/>
      </iconSet>
    </cfRule>
    <cfRule type="dataBar" priority="3282">
      <dataBar>
        <cfvo type="num" val="0"/>
        <cfvo type="num" val="1"/>
        <color theme="4" tint="0.79998168889431442"/>
      </dataBar>
      <extLst>
        <ext xmlns:x14="http://schemas.microsoft.com/office/spreadsheetml/2009/9/main" uri="{B025F937-C7B1-47D3-B67F-A62EFF666E3E}">
          <x14:id>{70264929-D62F-4FD3-9DF9-82FA5DDACAA8}</x14:id>
        </ext>
      </extLst>
    </cfRule>
  </conditionalFormatting>
  <conditionalFormatting sqref="BQ470">
    <cfRule type="iconSet" priority="4895">
      <iconSet iconSet="3Arrows">
        <cfvo type="percent" val="0"/>
        <cfvo type="num" val="0.7"/>
        <cfvo type="num" val="1"/>
      </iconSet>
    </cfRule>
    <cfRule type="dataBar" priority="4896">
      <dataBar>
        <cfvo type="num" val="0"/>
        <cfvo type="num" val="1"/>
        <color theme="4" tint="0.79998168889431442"/>
      </dataBar>
      <extLst>
        <ext xmlns:x14="http://schemas.microsoft.com/office/spreadsheetml/2009/9/main" uri="{B025F937-C7B1-47D3-B67F-A62EFF666E3E}">
          <x14:id>{BA6CAAD9-FEFD-410D-8FD1-F607C08F2169}</x14:id>
        </ext>
      </extLst>
    </cfRule>
  </conditionalFormatting>
  <conditionalFormatting sqref="BQ472">
    <cfRule type="iconSet" priority="4879">
      <iconSet iconSet="3Arrows">
        <cfvo type="percent" val="0"/>
        <cfvo type="num" val="0.7"/>
        <cfvo type="num" val="1"/>
      </iconSet>
    </cfRule>
    <cfRule type="dataBar" priority="4880">
      <dataBar>
        <cfvo type="num" val="0"/>
        <cfvo type="num" val="1"/>
        <color theme="4" tint="0.79998168889431442"/>
      </dataBar>
      <extLst>
        <ext xmlns:x14="http://schemas.microsoft.com/office/spreadsheetml/2009/9/main" uri="{B025F937-C7B1-47D3-B67F-A62EFF666E3E}">
          <x14:id>{81CB2ACE-D510-4815-B6A8-C5751DFC1E4F}</x14:id>
        </ext>
      </extLst>
    </cfRule>
  </conditionalFormatting>
  <conditionalFormatting sqref="BQ474">
    <cfRule type="iconSet" priority="4871">
      <iconSet iconSet="3Arrows">
        <cfvo type="percent" val="0"/>
        <cfvo type="num" val="0.7"/>
        <cfvo type="num" val="1"/>
      </iconSet>
    </cfRule>
    <cfRule type="dataBar" priority="4872">
      <dataBar>
        <cfvo type="num" val="0"/>
        <cfvo type="num" val="1"/>
        <color theme="4" tint="0.79998168889431442"/>
      </dataBar>
      <extLst>
        <ext xmlns:x14="http://schemas.microsoft.com/office/spreadsheetml/2009/9/main" uri="{B025F937-C7B1-47D3-B67F-A62EFF666E3E}">
          <x14:id>{3E79D08E-0B79-41CD-9A6F-7536FA63EAC1}</x14:id>
        </ext>
      </extLst>
    </cfRule>
  </conditionalFormatting>
  <conditionalFormatting sqref="BQ476">
    <cfRule type="iconSet" priority="4524">
      <iconSet iconSet="3Arrows">
        <cfvo type="percent" val="0"/>
        <cfvo type="num" val="0.7"/>
        <cfvo type="num" val="1"/>
      </iconSet>
    </cfRule>
    <cfRule type="dataBar" priority="4525">
      <dataBar>
        <cfvo type="num" val="0"/>
        <cfvo type="num" val="1"/>
        <color theme="4" tint="0.79998168889431442"/>
      </dataBar>
      <extLst>
        <ext xmlns:x14="http://schemas.microsoft.com/office/spreadsheetml/2009/9/main" uri="{B025F937-C7B1-47D3-B67F-A62EFF666E3E}">
          <x14:id>{C191A324-1592-4B22-9EE6-1D8F5B398F2C}</x14:id>
        </ext>
      </extLst>
    </cfRule>
  </conditionalFormatting>
  <conditionalFormatting sqref="BQ478">
    <cfRule type="iconSet" priority="3460">
      <iconSet iconSet="3Arrows">
        <cfvo type="percent" val="0"/>
        <cfvo type="num" val="0.7"/>
        <cfvo type="num" val="1"/>
      </iconSet>
    </cfRule>
    <cfRule type="dataBar" priority="3461">
      <dataBar>
        <cfvo type="num" val="0"/>
        <cfvo type="num" val="1"/>
        <color theme="4" tint="0.79998168889431442"/>
      </dataBar>
      <extLst>
        <ext xmlns:x14="http://schemas.microsoft.com/office/spreadsheetml/2009/9/main" uri="{B025F937-C7B1-47D3-B67F-A62EFF666E3E}">
          <x14:id>{AEB9B741-3D17-42F2-A21A-5E581561A181}</x14:id>
        </ext>
      </extLst>
    </cfRule>
  </conditionalFormatting>
  <conditionalFormatting sqref="BQ480">
    <cfRule type="iconSet" priority="3001">
      <iconSet iconSet="3Arrows">
        <cfvo type="percent" val="0"/>
        <cfvo type="num" val="0.7"/>
        <cfvo type="num" val="1"/>
      </iconSet>
    </cfRule>
    <cfRule type="dataBar" priority="3002">
      <dataBar>
        <cfvo type="num" val="0"/>
        <cfvo type="num" val="1"/>
        <color theme="4" tint="0.79998168889431442"/>
      </dataBar>
      <extLst>
        <ext xmlns:x14="http://schemas.microsoft.com/office/spreadsheetml/2009/9/main" uri="{B025F937-C7B1-47D3-B67F-A62EFF666E3E}">
          <x14:id>{7AC25953-510C-4A63-8961-3CB86C30EC7F}</x14:id>
        </ext>
      </extLst>
    </cfRule>
  </conditionalFormatting>
  <conditionalFormatting sqref="BQ482">
    <cfRule type="iconSet" priority="2987">
      <iconSet iconSet="3Arrows">
        <cfvo type="percent" val="0"/>
        <cfvo type="num" val="0.7"/>
        <cfvo type="num" val="1"/>
      </iconSet>
    </cfRule>
    <cfRule type="dataBar" priority="2988">
      <dataBar>
        <cfvo type="num" val="0"/>
        <cfvo type="num" val="1"/>
        <color theme="4" tint="0.79998168889431442"/>
      </dataBar>
      <extLst>
        <ext xmlns:x14="http://schemas.microsoft.com/office/spreadsheetml/2009/9/main" uri="{B025F937-C7B1-47D3-B67F-A62EFF666E3E}">
          <x14:id>{3936EB13-C583-45B0-A8ED-0B982C9DF894}</x14:id>
        </ext>
      </extLst>
    </cfRule>
  </conditionalFormatting>
  <conditionalFormatting sqref="BQ484">
    <cfRule type="iconSet" priority="2210">
      <iconSet iconSet="3Arrows">
        <cfvo type="percent" val="0"/>
        <cfvo type="num" val="0.7"/>
        <cfvo type="num" val="1"/>
      </iconSet>
    </cfRule>
    <cfRule type="dataBar" priority="2211">
      <dataBar>
        <cfvo type="num" val="0"/>
        <cfvo type="num" val="1"/>
        <color theme="4" tint="0.79998168889431442"/>
      </dataBar>
      <extLst>
        <ext xmlns:x14="http://schemas.microsoft.com/office/spreadsheetml/2009/9/main" uri="{B025F937-C7B1-47D3-B67F-A62EFF666E3E}">
          <x14:id>{25AB1AD1-A5A3-4340-851B-18A918EDBBC9}</x14:id>
        </ext>
      </extLst>
    </cfRule>
  </conditionalFormatting>
  <conditionalFormatting sqref="BQ486">
    <cfRule type="iconSet" priority="4863">
      <iconSet iconSet="3Arrows">
        <cfvo type="percent" val="0"/>
        <cfvo type="num" val="0.7"/>
        <cfvo type="num" val="1"/>
      </iconSet>
    </cfRule>
    <cfRule type="dataBar" priority="4864">
      <dataBar>
        <cfvo type="num" val="0"/>
        <cfvo type="num" val="1"/>
        <color theme="4" tint="0.79998168889431442"/>
      </dataBar>
      <extLst>
        <ext xmlns:x14="http://schemas.microsoft.com/office/spreadsheetml/2009/9/main" uri="{B025F937-C7B1-47D3-B67F-A62EFF666E3E}">
          <x14:id>{89609C43-BCD9-4F14-9D06-B1D3B7BF2068}</x14:id>
        </ext>
      </extLst>
    </cfRule>
  </conditionalFormatting>
  <conditionalFormatting sqref="BQ488">
    <cfRule type="iconSet" priority="2098">
      <iconSet iconSet="3Arrows">
        <cfvo type="percent" val="0"/>
        <cfvo type="num" val="0.7"/>
        <cfvo type="num" val="1"/>
      </iconSet>
    </cfRule>
    <cfRule type="dataBar" priority="2099">
      <dataBar>
        <cfvo type="num" val="0"/>
        <cfvo type="num" val="1"/>
        <color theme="4" tint="0.79998168889431442"/>
      </dataBar>
      <extLst>
        <ext xmlns:x14="http://schemas.microsoft.com/office/spreadsheetml/2009/9/main" uri="{B025F937-C7B1-47D3-B67F-A62EFF666E3E}">
          <x14:id>{879DA3C5-36C2-4D3C-B55A-2C726078D24A}</x14:id>
        </ext>
      </extLst>
    </cfRule>
  </conditionalFormatting>
  <conditionalFormatting sqref="BQ490">
    <cfRule type="iconSet" priority="2137">
      <iconSet iconSet="3Arrows">
        <cfvo type="percent" val="0"/>
        <cfvo type="num" val="0.7"/>
        <cfvo type="num" val="1"/>
      </iconSet>
    </cfRule>
    <cfRule type="dataBar" priority="2138">
      <dataBar>
        <cfvo type="num" val="0"/>
        <cfvo type="num" val="1"/>
        <color theme="4" tint="0.79998168889431442"/>
      </dataBar>
      <extLst>
        <ext xmlns:x14="http://schemas.microsoft.com/office/spreadsheetml/2009/9/main" uri="{B025F937-C7B1-47D3-B67F-A62EFF666E3E}">
          <x14:id>{E430B36D-06D8-4A9F-B4D7-9692C71CF8AB}</x14:id>
        </ext>
      </extLst>
    </cfRule>
  </conditionalFormatting>
  <conditionalFormatting sqref="BQ492">
    <cfRule type="iconSet" priority="2133">
      <iconSet iconSet="3Arrows">
        <cfvo type="percent" val="0"/>
        <cfvo type="num" val="0.7"/>
        <cfvo type="num" val="1"/>
      </iconSet>
    </cfRule>
    <cfRule type="dataBar" priority="2134">
      <dataBar>
        <cfvo type="num" val="0"/>
        <cfvo type="num" val="1"/>
        <color theme="4" tint="0.79998168889431442"/>
      </dataBar>
      <extLst>
        <ext xmlns:x14="http://schemas.microsoft.com/office/spreadsheetml/2009/9/main" uri="{B025F937-C7B1-47D3-B67F-A62EFF666E3E}">
          <x14:id>{A98FC425-E1A1-4A6C-BA9E-8BCE8DAFBEFB}</x14:id>
        </ext>
      </extLst>
    </cfRule>
  </conditionalFormatting>
  <conditionalFormatting sqref="BQ494">
    <cfRule type="iconSet" priority="2125">
      <iconSet iconSet="3Arrows">
        <cfvo type="percent" val="0"/>
        <cfvo type="num" val="0.7"/>
        <cfvo type="num" val="1"/>
      </iconSet>
    </cfRule>
    <cfRule type="dataBar" priority="2126">
      <dataBar>
        <cfvo type="num" val="0"/>
        <cfvo type="num" val="1"/>
        <color theme="4" tint="0.79998168889431442"/>
      </dataBar>
      <extLst>
        <ext xmlns:x14="http://schemas.microsoft.com/office/spreadsheetml/2009/9/main" uri="{B025F937-C7B1-47D3-B67F-A62EFF666E3E}">
          <x14:id>{4A5D9DD6-9EAE-4F71-AB06-4247E6DFD872}</x14:id>
        </ext>
      </extLst>
    </cfRule>
  </conditionalFormatting>
  <conditionalFormatting sqref="BQ496">
    <cfRule type="iconSet" priority="2119">
      <iconSet iconSet="3Arrows">
        <cfvo type="percent" val="0"/>
        <cfvo type="num" val="0.7"/>
        <cfvo type="num" val="1"/>
      </iconSet>
    </cfRule>
    <cfRule type="dataBar" priority="2120">
      <dataBar>
        <cfvo type="num" val="0"/>
        <cfvo type="num" val="1"/>
        <color theme="4" tint="0.79998168889431442"/>
      </dataBar>
      <extLst>
        <ext xmlns:x14="http://schemas.microsoft.com/office/spreadsheetml/2009/9/main" uri="{B025F937-C7B1-47D3-B67F-A62EFF666E3E}">
          <x14:id>{94C2685D-0A74-4396-A034-5E655F1650B6}</x14:id>
        </ext>
      </extLst>
    </cfRule>
  </conditionalFormatting>
  <conditionalFormatting sqref="BQ498">
    <cfRule type="iconSet" priority="2113">
      <iconSet iconSet="3Arrows">
        <cfvo type="percent" val="0"/>
        <cfvo type="num" val="0.7"/>
        <cfvo type="num" val="1"/>
      </iconSet>
    </cfRule>
    <cfRule type="dataBar" priority="2114">
      <dataBar>
        <cfvo type="num" val="0"/>
        <cfvo type="num" val="1"/>
        <color theme="4" tint="0.79998168889431442"/>
      </dataBar>
      <extLst>
        <ext xmlns:x14="http://schemas.microsoft.com/office/spreadsheetml/2009/9/main" uri="{B025F937-C7B1-47D3-B67F-A62EFF666E3E}">
          <x14:id>{42F71C0D-9DB1-4B14-A954-12816D57DA27}</x14:id>
        </ext>
      </extLst>
    </cfRule>
  </conditionalFormatting>
  <conditionalFormatting sqref="BQ500">
    <cfRule type="iconSet" priority="2107">
      <iconSet iconSet="3Arrows">
        <cfvo type="percent" val="0"/>
        <cfvo type="num" val="0.7"/>
        <cfvo type="num" val="1"/>
      </iconSet>
    </cfRule>
    <cfRule type="dataBar" priority="2108">
      <dataBar>
        <cfvo type="num" val="0"/>
        <cfvo type="num" val="1"/>
        <color theme="4" tint="0.79998168889431442"/>
      </dataBar>
      <extLst>
        <ext xmlns:x14="http://schemas.microsoft.com/office/spreadsheetml/2009/9/main" uri="{B025F937-C7B1-47D3-B67F-A62EFF666E3E}">
          <x14:id>{E128C145-E65B-4767-AF32-B9E5C3B410E0}</x14:id>
        </ext>
      </extLst>
    </cfRule>
  </conditionalFormatting>
  <conditionalFormatting sqref="BQ502">
    <cfRule type="iconSet" priority="1606">
      <iconSet iconSet="3Arrows">
        <cfvo type="percent" val="0"/>
        <cfvo type="num" val="0.7"/>
        <cfvo type="num" val="1"/>
      </iconSet>
    </cfRule>
    <cfRule type="dataBar" priority="1607">
      <dataBar>
        <cfvo type="num" val="0"/>
        <cfvo type="num" val="1"/>
        <color theme="4" tint="0.79998168889431442"/>
      </dataBar>
      <extLst>
        <ext xmlns:x14="http://schemas.microsoft.com/office/spreadsheetml/2009/9/main" uri="{B025F937-C7B1-47D3-B67F-A62EFF666E3E}">
          <x14:id>{65EF7C4D-1B87-4662-B681-8704B7AB098D}</x14:id>
        </ext>
      </extLst>
    </cfRule>
  </conditionalFormatting>
  <conditionalFormatting sqref="BQ504">
    <cfRule type="iconSet" priority="1644">
      <iconSet iconSet="3Arrows">
        <cfvo type="percent" val="0"/>
        <cfvo type="num" val="0.7"/>
        <cfvo type="num" val="1"/>
      </iconSet>
    </cfRule>
    <cfRule type="dataBar" priority="1645">
      <dataBar>
        <cfvo type="num" val="0"/>
        <cfvo type="num" val="1"/>
        <color theme="4" tint="0.79998168889431442"/>
      </dataBar>
      <extLst>
        <ext xmlns:x14="http://schemas.microsoft.com/office/spreadsheetml/2009/9/main" uri="{B025F937-C7B1-47D3-B67F-A62EFF666E3E}">
          <x14:id>{90841D62-A4B9-45A0-8587-1CE304D5381F}</x14:id>
        </ext>
      </extLst>
    </cfRule>
  </conditionalFormatting>
  <conditionalFormatting sqref="BQ506">
    <cfRule type="iconSet" priority="1640">
      <iconSet iconSet="3Arrows">
        <cfvo type="percent" val="0"/>
        <cfvo type="num" val="0.7"/>
        <cfvo type="num" val="1"/>
      </iconSet>
    </cfRule>
    <cfRule type="dataBar" priority="1641">
      <dataBar>
        <cfvo type="num" val="0"/>
        <cfvo type="num" val="1"/>
        <color theme="4" tint="0.79998168889431442"/>
      </dataBar>
      <extLst>
        <ext xmlns:x14="http://schemas.microsoft.com/office/spreadsheetml/2009/9/main" uri="{B025F937-C7B1-47D3-B67F-A62EFF666E3E}">
          <x14:id>{1FBDECE0-90FC-4015-BABA-7B4D41275FA2}</x14:id>
        </ext>
      </extLst>
    </cfRule>
  </conditionalFormatting>
  <conditionalFormatting sqref="BQ508">
    <cfRule type="iconSet" priority="1632">
      <iconSet iconSet="3Arrows">
        <cfvo type="percent" val="0"/>
        <cfvo type="num" val="0.7"/>
        <cfvo type="num" val="1"/>
      </iconSet>
    </cfRule>
    <cfRule type="dataBar" priority="1633">
      <dataBar>
        <cfvo type="num" val="0"/>
        <cfvo type="num" val="1"/>
        <color theme="4" tint="0.79998168889431442"/>
      </dataBar>
      <extLst>
        <ext xmlns:x14="http://schemas.microsoft.com/office/spreadsheetml/2009/9/main" uri="{B025F937-C7B1-47D3-B67F-A62EFF666E3E}">
          <x14:id>{4817975C-6F9C-4862-A546-A06BE4CA6793}</x14:id>
        </ext>
      </extLst>
    </cfRule>
  </conditionalFormatting>
  <conditionalFormatting sqref="BQ510">
    <cfRule type="iconSet" priority="105">
      <iconSet iconSet="3Arrows">
        <cfvo type="percent" val="0"/>
        <cfvo type="num" val="0.7"/>
        <cfvo type="num" val="1"/>
      </iconSet>
    </cfRule>
    <cfRule type="dataBar" priority="106">
      <dataBar>
        <cfvo type="num" val="0"/>
        <cfvo type="num" val="1"/>
        <color theme="4" tint="0.79998168889431442"/>
      </dataBar>
      <extLst>
        <ext xmlns:x14="http://schemas.microsoft.com/office/spreadsheetml/2009/9/main" uri="{B025F937-C7B1-47D3-B67F-A62EFF666E3E}">
          <x14:id>{61AB6B71-3217-4E54-AD98-5F69D2653BDC}</x14:id>
        </ext>
      </extLst>
    </cfRule>
  </conditionalFormatting>
  <conditionalFormatting sqref="BQ512">
    <cfRule type="iconSet" priority="1626">
      <iconSet iconSet="3Arrows">
        <cfvo type="percent" val="0"/>
        <cfvo type="num" val="0.7"/>
        <cfvo type="num" val="1"/>
      </iconSet>
    </cfRule>
    <cfRule type="dataBar" priority="1627">
      <dataBar>
        <cfvo type="num" val="0"/>
        <cfvo type="num" val="1"/>
        <color theme="4" tint="0.79998168889431442"/>
      </dataBar>
      <extLst>
        <ext xmlns:x14="http://schemas.microsoft.com/office/spreadsheetml/2009/9/main" uri="{B025F937-C7B1-47D3-B67F-A62EFF666E3E}">
          <x14:id>{939FE6AE-F2A6-43B2-B081-08E0E1784CFC}</x14:id>
        </ext>
      </extLst>
    </cfRule>
  </conditionalFormatting>
  <conditionalFormatting sqref="BQ514">
    <cfRule type="iconSet" priority="89">
      <iconSet iconSet="3Arrows">
        <cfvo type="percent" val="0"/>
        <cfvo type="num" val="0.7"/>
        <cfvo type="num" val="1"/>
      </iconSet>
    </cfRule>
    <cfRule type="dataBar" priority="90">
      <dataBar>
        <cfvo type="num" val="0"/>
        <cfvo type="num" val="1"/>
        <color theme="4" tint="0.79998168889431442"/>
      </dataBar>
      <extLst>
        <ext xmlns:x14="http://schemas.microsoft.com/office/spreadsheetml/2009/9/main" uri="{B025F937-C7B1-47D3-B67F-A62EFF666E3E}">
          <x14:id>{09FE3A33-E9C8-4EBE-8FD3-284AF9ABB225}</x14:id>
        </ext>
      </extLst>
    </cfRule>
  </conditionalFormatting>
  <conditionalFormatting sqref="BQ516">
    <cfRule type="iconSet" priority="285">
      <iconSet iconSet="3Arrows">
        <cfvo type="percent" val="0"/>
        <cfvo type="num" val="0.7"/>
        <cfvo type="num" val="1"/>
      </iconSet>
    </cfRule>
    <cfRule type="dataBar" priority="286">
      <dataBar>
        <cfvo type="num" val="0"/>
        <cfvo type="num" val="1"/>
        <color theme="4" tint="0.79998168889431442"/>
      </dataBar>
      <extLst>
        <ext xmlns:x14="http://schemas.microsoft.com/office/spreadsheetml/2009/9/main" uri="{B025F937-C7B1-47D3-B67F-A62EFF666E3E}">
          <x14:id>{847ACA73-4F5B-428D-AD3E-C3C323BBD999}</x14:id>
        </ext>
      </extLst>
    </cfRule>
  </conditionalFormatting>
  <conditionalFormatting sqref="BQ518">
    <cfRule type="iconSet" priority="269">
      <iconSet iconSet="3Arrows">
        <cfvo type="percent" val="0"/>
        <cfvo type="num" val="0.7"/>
        <cfvo type="num" val="1"/>
      </iconSet>
    </cfRule>
    <cfRule type="dataBar" priority="270">
      <dataBar>
        <cfvo type="num" val="0"/>
        <cfvo type="num" val="1"/>
        <color theme="4" tint="0.79998168889431442"/>
      </dataBar>
      <extLst>
        <ext xmlns:x14="http://schemas.microsoft.com/office/spreadsheetml/2009/9/main" uri="{B025F937-C7B1-47D3-B67F-A62EFF666E3E}">
          <x14:id>{E7C98F3B-E866-4DFD-891C-E590DEA06D35}</x14:id>
        </ext>
      </extLst>
    </cfRule>
  </conditionalFormatting>
  <conditionalFormatting sqref="BQ520">
    <cfRule type="iconSet" priority="1620">
      <iconSet iconSet="3Arrows">
        <cfvo type="percent" val="0"/>
        <cfvo type="num" val="0.7"/>
        <cfvo type="num" val="1"/>
      </iconSet>
    </cfRule>
    <cfRule type="dataBar" priority="1621">
      <dataBar>
        <cfvo type="num" val="0"/>
        <cfvo type="num" val="1"/>
        <color theme="4" tint="0.79998168889431442"/>
      </dataBar>
      <extLst>
        <ext xmlns:x14="http://schemas.microsoft.com/office/spreadsheetml/2009/9/main" uri="{B025F937-C7B1-47D3-B67F-A62EFF666E3E}">
          <x14:id>{FD07C29A-97F1-4025-A052-2E5CCE093021}</x14:id>
        </ext>
      </extLst>
    </cfRule>
  </conditionalFormatting>
  <conditionalFormatting sqref="BQ522">
    <cfRule type="iconSet" priority="526">
      <iconSet iconSet="3Arrows">
        <cfvo type="percent" val="0"/>
        <cfvo type="num" val="0.7"/>
        <cfvo type="num" val="1"/>
      </iconSet>
    </cfRule>
    <cfRule type="dataBar" priority="527">
      <dataBar>
        <cfvo type="num" val="0"/>
        <cfvo type="num" val="1"/>
        <color theme="4" tint="0.79998168889431442"/>
      </dataBar>
      <extLst>
        <ext xmlns:x14="http://schemas.microsoft.com/office/spreadsheetml/2009/9/main" uri="{B025F937-C7B1-47D3-B67F-A62EFF666E3E}">
          <x14:id>{C8F4D28C-3A98-49F1-BA09-403E6A9DB2C7}</x14:id>
        </ext>
      </extLst>
    </cfRule>
  </conditionalFormatting>
  <conditionalFormatting sqref="BQ524">
    <cfRule type="iconSet" priority="510">
      <iconSet iconSet="3Arrows">
        <cfvo type="percent" val="0"/>
        <cfvo type="num" val="0.7"/>
        <cfvo type="num" val="1"/>
      </iconSet>
    </cfRule>
    <cfRule type="dataBar" priority="511">
      <dataBar>
        <cfvo type="num" val="0"/>
        <cfvo type="num" val="1"/>
        <color theme="4" tint="0.79998168889431442"/>
      </dataBar>
      <extLst>
        <ext xmlns:x14="http://schemas.microsoft.com/office/spreadsheetml/2009/9/main" uri="{B025F937-C7B1-47D3-B67F-A62EFF666E3E}">
          <x14:id>{273E2A6C-72AF-43F4-9EB3-D79DC3FA2EA0}</x14:id>
        </ext>
      </extLst>
    </cfRule>
  </conditionalFormatting>
  <conditionalFormatting sqref="BQ526">
    <cfRule type="iconSet" priority="301">
      <iconSet iconSet="3Arrows">
        <cfvo type="percent" val="0"/>
        <cfvo type="num" val="0.7"/>
        <cfvo type="num" val="1"/>
      </iconSet>
    </cfRule>
    <cfRule type="dataBar" priority="302">
      <dataBar>
        <cfvo type="num" val="0"/>
        <cfvo type="num" val="1"/>
        <color theme="4" tint="0.79998168889431442"/>
      </dataBar>
      <extLst>
        <ext xmlns:x14="http://schemas.microsoft.com/office/spreadsheetml/2009/9/main" uri="{B025F937-C7B1-47D3-B67F-A62EFF666E3E}">
          <x14:id>{09FE8112-8B9F-48F1-AEC8-A800FA84A69B}</x14:id>
        </ext>
      </extLst>
    </cfRule>
  </conditionalFormatting>
  <conditionalFormatting sqref="BQ528">
    <cfRule type="iconSet" priority="1614">
      <iconSet iconSet="3Arrows">
        <cfvo type="percent" val="0"/>
        <cfvo type="num" val="0.7"/>
        <cfvo type="num" val="1"/>
      </iconSet>
    </cfRule>
    <cfRule type="dataBar" priority="1615">
      <dataBar>
        <cfvo type="num" val="0"/>
        <cfvo type="num" val="1"/>
        <color theme="4" tint="0.79998168889431442"/>
      </dataBar>
      <extLst>
        <ext xmlns:x14="http://schemas.microsoft.com/office/spreadsheetml/2009/9/main" uri="{B025F937-C7B1-47D3-B67F-A62EFF666E3E}">
          <x14:id>{0B51F914-C206-425E-856F-E62230082A23}</x14:id>
        </ext>
      </extLst>
    </cfRule>
  </conditionalFormatting>
  <conditionalFormatting sqref="BQ530">
    <cfRule type="iconSet" priority="1697">
      <iconSet iconSet="3Arrows">
        <cfvo type="percent" val="0"/>
        <cfvo type="num" val="0.7"/>
        <cfvo type="num" val="1"/>
      </iconSet>
    </cfRule>
    <cfRule type="dataBar" priority="1698">
      <dataBar>
        <cfvo type="num" val="0"/>
        <cfvo type="num" val="1"/>
        <color theme="4" tint="0.79998168889431442"/>
      </dataBar>
      <extLst>
        <ext xmlns:x14="http://schemas.microsoft.com/office/spreadsheetml/2009/9/main" uri="{B025F937-C7B1-47D3-B67F-A62EFF666E3E}">
          <x14:id>{FE2BDD07-38E9-46B6-9BC9-C46DA2BC88C0}</x14:id>
        </ext>
      </extLst>
    </cfRule>
  </conditionalFormatting>
  <conditionalFormatting sqref="BQ532">
    <cfRule type="iconSet" priority="1735">
      <iconSet iconSet="3Arrows">
        <cfvo type="percent" val="0"/>
        <cfvo type="num" val="0.7"/>
        <cfvo type="num" val="1"/>
      </iconSet>
    </cfRule>
    <cfRule type="dataBar" priority="1736">
      <dataBar>
        <cfvo type="num" val="0"/>
        <cfvo type="num" val="1"/>
        <color theme="4" tint="0.79998168889431442"/>
      </dataBar>
      <extLst>
        <ext xmlns:x14="http://schemas.microsoft.com/office/spreadsheetml/2009/9/main" uri="{B025F937-C7B1-47D3-B67F-A62EFF666E3E}">
          <x14:id>{472E64C3-389C-4EBB-ADAD-F90549D724B3}</x14:id>
        </ext>
      </extLst>
    </cfRule>
  </conditionalFormatting>
  <conditionalFormatting sqref="BQ534">
    <cfRule type="iconSet" priority="252">
      <iconSet iconSet="3Arrows">
        <cfvo type="percent" val="0"/>
        <cfvo type="num" val="0.7"/>
        <cfvo type="num" val="1"/>
      </iconSet>
    </cfRule>
    <cfRule type="dataBar" priority="253">
      <dataBar>
        <cfvo type="num" val="0"/>
        <cfvo type="num" val="1"/>
        <color theme="4" tint="0.79998168889431442"/>
      </dataBar>
      <extLst>
        <ext xmlns:x14="http://schemas.microsoft.com/office/spreadsheetml/2009/9/main" uri="{B025F937-C7B1-47D3-B67F-A62EFF666E3E}">
          <x14:id>{1AAE61FD-37BC-46F1-8779-ABD9E50E7C40}</x14:id>
        </ext>
      </extLst>
    </cfRule>
  </conditionalFormatting>
  <conditionalFormatting sqref="BQ536">
    <cfRule type="iconSet" priority="1731">
      <iconSet iconSet="3Arrows">
        <cfvo type="percent" val="0"/>
        <cfvo type="num" val="0.7"/>
        <cfvo type="num" val="1"/>
      </iconSet>
    </cfRule>
    <cfRule type="dataBar" priority="1732">
      <dataBar>
        <cfvo type="num" val="0"/>
        <cfvo type="num" val="1"/>
        <color theme="4" tint="0.79998168889431442"/>
      </dataBar>
      <extLst>
        <ext xmlns:x14="http://schemas.microsoft.com/office/spreadsheetml/2009/9/main" uri="{B025F937-C7B1-47D3-B67F-A62EFF666E3E}">
          <x14:id>{9BE6666E-C8F9-4EA7-BEFB-3D7317396F30}</x14:id>
        </ext>
      </extLst>
    </cfRule>
  </conditionalFormatting>
  <conditionalFormatting sqref="BQ538">
    <cfRule type="iconSet" priority="1723">
      <iconSet iconSet="3Arrows">
        <cfvo type="percent" val="0"/>
        <cfvo type="num" val="0.7"/>
        <cfvo type="num" val="1"/>
      </iconSet>
    </cfRule>
    <cfRule type="dataBar" priority="1724">
      <dataBar>
        <cfvo type="num" val="0"/>
        <cfvo type="num" val="1"/>
        <color theme="4" tint="0.79998168889431442"/>
      </dataBar>
      <extLst>
        <ext xmlns:x14="http://schemas.microsoft.com/office/spreadsheetml/2009/9/main" uri="{B025F937-C7B1-47D3-B67F-A62EFF666E3E}">
          <x14:id>{EAA507EC-D98D-43DA-8AD9-BB9CB3A9C105}</x14:id>
        </ext>
      </extLst>
    </cfRule>
  </conditionalFormatting>
  <conditionalFormatting sqref="BQ540">
    <cfRule type="iconSet" priority="494">
      <iconSet iconSet="3Arrows">
        <cfvo type="percent" val="0"/>
        <cfvo type="num" val="0.7"/>
        <cfvo type="num" val="1"/>
      </iconSet>
    </cfRule>
    <cfRule type="dataBar" priority="495">
      <dataBar>
        <cfvo type="num" val="0"/>
        <cfvo type="num" val="1"/>
        <color theme="4" tint="0.79998168889431442"/>
      </dataBar>
      <extLst>
        <ext xmlns:x14="http://schemas.microsoft.com/office/spreadsheetml/2009/9/main" uri="{B025F937-C7B1-47D3-B67F-A62EFF666E3E}">
          <x14:id>{BEEFAA5F-F096-493D-AA99-F44225454B5C}</x14:id>
        </ext>
      </extLst>
    </cfRule>
  </conditionalFormatting>
  <conditionalFormatting sqref="BQ542">
    <cfRule type="iconSet" priority="73">
      <iconSet iconSet="3Arrows">
        <cfvo type="percent" val="0"/>
        <cfvo type="num" val="0.7"/>
        <cfvo type="num" val="1"/>
      </iconSet>
    </cfRule>
    <cfRule type="dataBar" priority="74">
      <dataBar>
        <cfvo type="num" val="0"/>
        <cfvo type="num" val="1"/>
        <color theme="4" tint="0.79998168889431442"/>
      </dataBar>
      <extLst>
        <ext xmlns:x14="http://schemas.microsoft.com/office/spreadsheetml/2009/9/main" uri="{B025F937-C7B1-47D3-B67F-A62EFF666E3E}">
          <x14:id>{AC17064F-5497-4382-B640-87A1999FA1AD}</x14:id>
        </ext>
      </extLst>
    </cfRule>
  </conditionalFormatting>
  <conditionalFormatting sqref="BQ544">
    <cfRule type="iconSet" priority="1717">
      <iconSet iconSet="3Arrows">
        <cfvo type="percent" val="0"/>
        <cfvo type="num" val="0.7"/>
        <cfvo type="num" val="1"/>
      </iconSet>
    </cfRule>
    <cfRule type="dataBar" priority="1718">
      <dataBar>
        <cfvo type="num" val="0"/>
        <cfvo type="num" val="1"/>
        <color theme="4" tint="0.79998168889431442"/>
      </dataBar>
      <extLst>
        <ext xmlns:x14="http://schemas.microsoft.com/office/spreadsheetml/2009/9/main" uri="{B025F937-C7B1-47D3-B67F-A62EFF666E3E}">
          <x14:id>{5C27AE68-9AF4-47C0-AFEC-ABE783055614}</x14:id>
        </ext>
      </extLst>
    </cfRule>
  </conditionalFormatting>
  <conditionalFormatting sqref="BQ546">
    <cfRule type="iconSet" priority="218">
      <iconSet iconSet="3Arrows">
        <cfvo type="percent" val="0"/>
        <cfvo type="num" val="0.7"/>
        <cfvo type="num" val="1"/>
      </iconSet>
    </cfRule>
    <cfRule type="dataBar" priority="219">
      <dataBar>
        <cfvo type="num" val="0"/>
        <cfvo type="num" val="1"/>
        <color theme="4" tint="0.79998168889431442"/>
      </dataBar>
      <extLst>
        <ext xmlns:x14="http://schemas.microsoft.com/office/spreadsheetml/2009/9/main" uri="{B025F937-C7B1-47D3-B67F-A62EFF666E3E}">
          <x14:id>{86DF9F97-3583-49FD-AD83-274BFCD53609}</x14:id>
        </ext>
      </extLst>
    </cfRule>
  </conditionalFormatting>
  <conditionalFormatting sqref="BQ548">
    <cfRule type="iconSet" priority="13">
      <iconSet iconSet="3Arrows">
        <cfvo type="percent" val="0"/>
        <cfvo type="num" val="0.7"/>
        <cfvo type="num" val="1"/>
      </iconSet>
    </cfRule>
    <cfRule type="dataBar" priority="14">
      <dataBar>
        <cfvo type="num" val="0"/>
        <cfvo type="num" val="1"/>
        <color theme="4" tint="0.79998168889431442"/>
      </dataBar>
      <extLst>
        <ext xmlns:x14="http://schemas.microsoft.com/office/spreadsheetml/2009/9/main" uri="{B025F937-C7B1-47D3-B67F-A62EFF666E3E}">
          <x14:id>{E8C4079D-659C-429D-A0B8-17F4A7AC5991}</x14:id>
        </ext>
      </extLst>
    </cfRule>
  </conditionalFormatting>
  <conditionalFormatting sqref="BQ550">
    <cfRule type="iconSet" priority="174">
      <iconSet iconSet="3Arrows">
        <cfvo type="percent" val="0"/>
        <cfvo type="num" val="0.7"/>
        <cfvo type="num" val="1"/>
      </iconSet>
    </cfRule>
    <cfRule type="dataBar" priority="175">
      <dataBar>
        <cfvo type="num" val="0"/>
        <cfvo type="num" val="1"/>
        <color theme="4" tint="0.79998168889431442"/>
      </dataBar>
      <extLst>
        <ext xmlns:x14="http://schemas.microsoft.com/office/spreadsheetml/2009/9/main" uri="{B025F937-C7B1-47D3-B67F-A62EFF666E3E}">
          <x14:id>{2E66872A-7DD9-4688-A83A-00D1CEF3BE11}</x14:id>
        </ext>
      </extLst>
    </cfRule>
  </conditionalFormatting>
  <conditionalFormatting sqref="BQ552">
    <cfRule type="iconSet" priority="383">
      <iconSet iconSet="3Arrows">
        <cfvo type="percent" val="0"/>
        <cfvo type="num" val="0.7"/>
        <cfvo type="num" val="1"/>
      </iconSet>
    </cfRule>
    <cfRule type="dataBar" priority="384">
      <dataBar>
        <cfvo type="num" val="0"/>
        <cfvo type="num" val="1"/>
        <color theme="4" tint="0.79998168889431442"/>
      </dataBar>
      <extLst>
        <ext xmlns:x14="http://schemas.microsoft.com/office/spreadsheetml/2009/9/main" uri="{B025F937-C7B1-47D3-B67F-A62EFF666E3E}">
          <x14:id>{CB85ACC1-F1E3-4DE3-9EDE-AFE8BF16AA66}</x14:id>
        </ext>
      </extLst>
    </cfRule>
  </conditionalFormatting>
  <conditionalFormatting sqref="BQ554">
    <cfRule type="iconSet" priority="236">
      <iconSet iconSet="3Arrows">
        <cfvo type="percent" val="0"/>
        <cfvo type="num" val="0.7"/>
        <cfvo type="num" val="1"/>
      </iconSet>
    </cfRule>
    <cfRule type="dataBar" priority="237">
      <dataBar>
        <cfvo type="num" val="0"/>
        <cfvo type="num" val="1"/>
        <color theme="4" tint="0.79998168889431442"/>
      </dataBar>
      <extLst>
        <ext xmlns:x14="http://schemas.microsoft.com/office/spreadsheetml/2009/9/main" uri="{B025F937-C7B1-47D3-B67F-A62EFF666E3E}">
          <x14:id>{3E35B86F-D627-4A80-AFFD-9AE331DCEC54}</x14:id>
        </ext>
      </extLst>
    </cfRule>
  </conditionalFormatting>
  <conditionalFormatting sqref="BQ556">
    <cfRule type="iconSet" priority="1711">
      <iconSet iconSet="3Arrows">
        <cfvo type="percent" val="0"/>
        <cfvo type="num" val="0.7"/>
        <cfvo type="num" val="1"/>
      </iconSet>
    </cfRule>
    <cfRule type="dataBar" priority="1712">
      <dataBar>
        <cfvo type="num" val="0"/>
        <cfvo type="num" val="1"/>
        <color theme="4" tint="0.79998168889431442"/>
      </dataBar>
      <extLst>
        <ext xmlns:x14="http://schemas.microsoft.com/office/spreadsheetml/2009/9/main" uri="{B025F937-C7B1-47D3-B67F-A62EFF666E3E}">
          <x14:id>{BCD5FEC0-2F9E-4741-8B03-AD3E23D81E68}</x14:id>
        </ext>
      </extLst>
    </cfRule>
  </conditionalFormatting>
  <conditionalFormatting sqref="BQ558">
    <cfRule type="iconSet" priority="478">
      <iconSet iconSet="3Arrows">
        <cfvo type="percent" val="0"/>
        <cfvo type="num" val="0.7"/>
        <cfvo type="num" val="1"/>
      </iconSet>
    </cfRule>
    <cfRule type="dataBar" priority="479">
      <dataBar>
        <cfvo type="num" val="0"/>
        <cfvo type="num" val="1"/>
        <color theme="4" tint="0.79998168889431442"/>
      </dataBar>
      <extLst>
        <ext xmlns:x14="http://schemas.microsoft.com/office/spreadsheetml/2009/9/main" uri="{B025F937-C7B1-47D3-B67F-A62EFF666E3E}">
          <x14:id>{696952AF-390E-4980-A496-D450A7651969}</x14:id>
        </ext>
      </extLst>
    </cfRule>
  </conditionalFormatting>
  <conditionalFormatting sqref="BQ560">
    <cfRule type="iconSet" priority="57">
      <iconSet iconSet="3Arrows">
        <cfvo type="percent" val="0"/>
        <cfvo type="num" val="0.7"/>
        <cfvo type="num" val="1"/>
      </iconSet>
    </cfRule>
    <cfRule type="dataBar" priority="58">
      <dataBar>
        <cfvo type="num" val="0"/>
        <cfvo type="num" val="1"/>
        <color theme="4" tint="0.79998168889431442"/>
      </dataBar>
      <extLst>
        <ext xmlns:x14="http://schemas.microsoft.com/office/spreadsheetml/2009/9/main" uri="{B025F937-C7B1-47D3-B67F-A62EFF666E3E}">
          <x14:id>{232AB820-4C88-4733-93B9-568B79B2B408}</x14:id>
        </ext>
      </extLst>
    </cfRule>
  </conditionalFormatting>
  <conditionalFormatting sqref="BQ562">
    <cfRule type="iconSet" priority="1705">
      <iconSet iconSet="3Arrows">
        <cfvo type="percent" val="0"/>
        <cfvo type="num" val="0.7"/>
        <cfvo type="num" val="1"/>
      </iconSet>
    </cfRule>
    <cfRule type="dataBar" priority="1706">
      <dataBar>
        <cfvo type="num" val="0"/>
        <cfvo type="num" val="1"/>
        <color theme="4" tint="0.79998168889431442"/>
      </dataBar>
      <extLst>
        <ext xmlns:x14="http://schemas.microsoft.com/office/spreadsheetml/2009/9/main" uri="{B025F937-C7B1-47D3-B67F-A62EFF666E3E}">
          <x14:id>{0F749283-3DFE-4F08-A6F8-059B92EBB965}</x14:id>
        </ext>
      </extLst>
    </cfRule>
  </conditionalFormatting>
  <conditionalFormatting sqref="BQ564">
    <cfRule type="iconSet" priority="4690">
      <iconSet iconSet="3Arrows">
        <cfvo type="percent" val="0"/>
        <cfvo type="num" val="0.7"/>
        <cfvo type="num" val="1"/>
      </iconSet>
    </cfRule>
    <cfRule type="dataBar" priority="4691">
      <dataBar>
        <cfvo type="num" val="0"/>
        <cfvo type="num" val="1"/>
        <color theme="4" tint="0.79998168889431442"/>
      </dataBar>
      <extLst>
        <ext xmlns:x14="http://schemas.microsoft.com/office/spreadsheetml/2009/9/main" uri="{B025F937-C7B1-47D3-B67F-A62EFF666E3E}">
          <x14:id>{73EA617E-30AE-4928-98B8-CD533018CE0D}</x14:id>
        </ext>
      </extLst>
    </cfRule>
  </conditionalFormatting>
  <conditionalFormatting sqref="BQ566">
    <cfRule type="iconSet" priority="4686">
      <iconSet iconSet="3Arrows">
        <cfvo type="percent" val="0"/>
        <cfvo type="num" val="0.7"/>
        <cfvo type="num" val="1"/>
      </iconSet>
    </cfRule>
    <cfRule type="dataBar" priority="4687">
      <dataBar>
        <cfvo type="num" val="0"/>
        <cfvo type="num" val="1"/>
        <color theme="4" tint="0.79998168889431442"/>
      </dataBar>
      <extLst>
        <ext xmlns:x14="http://schemas.microsoft.com/office/spreadsheetml/2009/9/main" uri="{B025F937-C7B1-47D3-B67F-A62EFF666E3E}">
          <x14:id>{DF8DB504-E7D1-4932-8CBB-315CD37A4981}</x14:id>
        </ext>
      </extLst>
    </cfRule>
  </conditionalFormatting>
  <conditionalFormatting sqref="BQ568">
    <cfRule type="iconSet" priority="4678">
      <iconSet iconSet="3Arrows">
        <cfvo type="percent" val="0"/>
        <cfvo type="num" val="0.7"/>
        <cfvo type="num" val="1"/>
      </iconSet>
    </cfRule>
    <cfRule type="dataBar" priority="4679">
      <dataBar>
        <cfvo type="num" val="0"/>
        <cfvo type="num" val="1"/>
        <color theme="4" tint="0.79998168889431442"/>
      </dataBar>
      <extLst>
        <ext xmlns:x14="http://schemas.microsoft.com/office/spreadsheetml/2009/9/main" uri="{B025F937-C7B1-47D3-B67F-A62EFF666E3E}">
          <x14:id>{9FBE5A48-58BF-488E-B95E-42A2D53A9C3D}</x14:id>
        </ext>
      </extLst>
    </cfRule>
  </conditionalFormatting>
  <conditionalFormatting sqref="BQ570">
    <cfRule type="iconSet" priority="4672">
      <iconSet iconSet="3Arrows">
        <cfvo type="percent" val="0"/>
        <cfvo type="num" val="0.7"/>
        <cfvo type="num" val="1"/>
      </iconSet>
    </cfRule>
    <cfRule type="dataBar" priority="4673">
      <dataBar>
        <cfvo type="num" val="0"/>
        <cfvo type="num" val="1"/>
        <color theme="4" tint="0.79998168889431442"/>
      </dataBar>
      <extLst>
        <ext xmlns:x14="http://schemas.microsoft.com/office/spreadsheetml/2009/9/main" uri="{B025F937-C7B1-47D3-B67F-A62EFF666E3E}">
          <x14:id>{A076E1E7-2991-4B95-9A7D-41586CD43DF8}</x14:id>
        </ext>
      </extLst>
    </cfRule>
  </conditionalFormatting>
  <conditionalFormatting sqref="BQ572">
    <cfRule type="iconSet" priority="4666">
      <iconSet iconSet="3Arrows">
        <cfvo type="percent" val="0"/>
        <cfvo type="num" val="0.7"/>
        <cfvo type="num" val="1"/>
      </iconSet>
    </cfRule>
    <cfRule type="dataBar" priority="4667">
      <dataBar>
        <cfvo type="num" val="0"/>
        <cfvo type="num" val="1"/>
        <color theme="4" tint="0.79998168889431442"/>
      </dataBar>
      <extLst>
        <ext xmlns:x14="http://schemas.microsoft.com/office/spreadsheetml/2009/9/main" uri="{B025F937-C7B1-47D3-B67F-A62EFF666E3E}">
          <x14:id>{37B791CF-C7D9-489A-AC88-1089AC3E5014}</x14:id>
        </ext>
      </extLst>
    </cfRule>
  </conditionalFormatting>
  <conditionalFormatting sqref="BQ574">
    <cfRule type="iconSet" priority="4660">
      <iconSet iconSet="3Arrows">
        <cfvo type="percent" val="0"/>
        <cfvo type="num" val="0.7"/>
        <cfvo type="num" val="1"/>
      </iconSet>
    </cfRule>
    <cfRule type="dataBar" priority="4661">
      <dataBar>
        <cfvo type="num" val="0"/>
        <cfvo type="num" val="1"/>
        <color theme="4" tint="0.79998168889431442"/>
      </dataBar>
      <extLst>
        <ext xmlns:x14="http://schemas.microsoft.com/office/spreadsheetml/2009/9/main" uri="{B025F937-C7B1-47D3-B67F-A62EFF666E3E}">
          <x14:id>{CF129AF9-1F89-41D4-A673-65A741F2A129}</x14:id>
        </ext>
      </extLst>
    </cfRule>
  </conditionalFormatting>
  <conditionalFormatting sqref="BQ576">
    <cfRule type="iconSet" priority="4652">
      <iconSet iconSet="3Arrows">
        <cfvo type="percent" val="0"/>
        <cfvo type="num" val="0.7"/>
        <cfvo type="num" val="1"/>
      </iconSet>
    </cfRule>
    <cfRule type="dataBar" priority="4653">
      <dataBar>
        <cfvo type="num" val="0"/>
        <cfvo type="num" val="1"/>
        <color theme="4" tint="0.79998168889431442"/>
      </dataBar>
      <extLst>
        <ext xmlns:x14="http://schemas.microsoft.com/office/spreadsheetml/2009/9/main" uri="{B025F937-C7B1-47D3-B67F-A62EFF666E3E}">
          <x14:id>{F7AB0D3E-7D4D-4C13-A701-B934B435725E}</x14:id>
        </ext>
      </extLst>
    </cfRule>
  </conditionalFormatting>
  <conditionalFormatting sqref="BQ578">
    <cfRule type="iconSet" priority="4628">
      <iconSet iconSet="3Arrows">
        <cfvo type="percent" val="0"/>
        <cfvo type="num" val="0.7"/>
        <cfvo type="num" val="1"/>
      </iconSet>
    </cfRule>
    <cfRule type="dataBar" priority="4629">
      <dataBar>
        <cfvo type="num" val="0"/>
        <cfvo type="num" val="1"/>
        <color theme="4" tint="0.79998168889431442"/>
      </dataBar>
      <extLst>
        <ext xmlns:x14="http://schemas.microsoft.com/office/spreadsheetml/2009/9/main" uri="{B025F937-C7B1-47D3-B67F-A62EFF666E3E}">
          <x14:id>{7050C858-07D2-4FDE-A262-3E29E946FDEE}</x14:id>
        </ext>
      </extLst>
    </cfRule>
  </conditionalFormatting>
  <conditionalFormatting sqref="BQ580">
    <cfRule type="iconSet" priority="4644">
      <iconSet iconSet="3Arrows">
        <cfvo type="percent" val="0"/>
        <cfvo type="num" val="0.7"/>
        <cfvo type="num" val="1"/>
      </iconSet>
    </cfRule>
    <cfRule type="dataBar" priority="4645">
      <dataBar>
        <cfvo type="num" val="0"/>
        <cfvo type="num" val="1"/>
        <color theme="4" tint="0.79998168889431442"/>
      </dataBar>
      <extLst>
        <ext xmlns:x14="http://schemas.microsoft.com/office/spreadsheetml/2009/9/main" uri="{B025F937-C7B1-47D3-B67F-A62EFF666E3E}">
          <x14:id>{ADC444D2-5862-43F1-97BD-DD7420409C9E}</x14:id>
        </ext>
      </extLst>
    </cfRule>
  </conditionalFormatting>
  <conditionalFormatting sqref="BQ582">
    <cfRule type="iconSet" priority="4620">
      <iconSet iconSet="3Arrows">
        <cfvo type="percent" val="0"/>
        <cfvo type="num" val="0.7"/>
        <cfvo type="num" val="1"/>
      </iconSet>
    </cfRule>
    <cfRule type="dataBar" priority="4621">
      <dataBar>
        <cfvo type="num" val="0"/>
        <cfvo type="num" val="1"/>
        <color theme="4" tint="0.79998168889431442"/>
      </dataBar>
      <extLst>
        <ext xmlns:x14="http://schemas.microsoft.com/office/spreadsheetml/2009/9/main" uri="{B025F937-C7B1-47D3-B67F-A62EFF666E3E}">
          <x14:id>{609068BF-8D77-43F1-9267-59514F18F502}</x14:id>
        </ext>
      </extLst>
    </cfRule>
  </conditionalFormatting>
  <conditionalFormatting sqref="BQ584">
    <cfRule type="iconSet" priority="4636">
      <iconSet iconSet="3Arrows">
        <cfvo type="percent" val="0"/>
        <cfvo type="num" val="0.7"/>
        <cfvo type="num" val="1"/>
      </iconSet>
    </cfRule>
    <cfRule type="dataBar" priority="4637">
      <dataBar>
        <cfvo type="num" val="0"/>
        <cfvo type="num" val="1"/>
        <color theme="4" tint="0.79998168889431442"/>
      </dataBar>
      <extLst>
        <ext xmlns:x14="http://schemas.microsoft.com/office/spreadsheetml/2009/9/main" uri="{B025F937-C7B1-47D3-B67F-A62EFF666E3E}">
          <x14:id>{0A9FB788-2CE9-4CAB-8CFE-C44EC0A82F09}</x14:id>
        </ext>
      </extLst>
    </cfRule>
  </conditionalFormatting>
  <conditionalFormatting sqref="BQ586">
    <cfRule type="iconSet" priority="4612">
      <iconSet iconSet="3Arrows">
        <cfvo type="percent" val="0"/>
        <cfvo type="num" val="0.7"/>
        <cfvo type="num" val="1"/>
      </iconSet>
    </cfRule>
    <cfRule type="dataBar" priority="4613">
      <dataBar>
        <cfvo type="num" val="0"/>
        <cfvo type="num" val="1"/>
        <color theme="4" tint="0.79998168889431442"/>
      </dataBar>
      <extLst>
        <ext xmlns:x14="http://schemas.microsoft.com/office/spreadsheetml/2009/9/main" uri="{B025F937-C7B1-47D3-B67F-A62EFF666E3E}">
          <x14:id>{16176067-8E4C-4AFC-B714-FD2EE3B01CD2}</x14:id>
        </ext>
      </extLst>
    </cfRule>
  </conditionalFormatting>
  <conditionalFormatting sqref="BQ588">
    <cfRule type="iconSet" priority="2193">
      <iconSet iconSet="3Arrows">
        <cfvo type="percent" val="0"/>
        <cfvo type="num" val="0.7"/>
        <cfvo type="num" val="1"/>
      </iconSet>
    </cfRule>
    <cfRule type="dataBar" priority="2194">
      <dataBar>
        <cfvo type="num" val="0"/>
        <cfvo type="num" val="1"/>
        <color theme="4" tint="0.79998168889431442"/>
      </dataBar>
      <extLst>
        <ext xmlns:x14="http://schemas.microsoft.com/office/spreadsheetml/2009/9/main" uri="{B025F937-C7B1-47D3-B67F-A62EFF666E3E}">
          <x14:id>{6178053D-2574-4BBD-AC79-B19542C44254}</x14:id>
        </ext>
      </extLst>
    </cfRule>
  </conditionalFormatting>
  <conditionalFormatting sqref="BQ591">
    <cfRule type="iconSet" priority="4380">
      <iconSet iconSet="3Arrows">
        <cfvo type="percent" val="0"/>
        <cfvo type="num" val="0.7"/>
        <cfvo type="num" val="1"/>
      </iconSet>
    </cfRule>
    <cfRule type="dataBar" priority="4381">
      <dataBar>
        <cfvo type="num" val="0"/>
        <cfvo type="num" val="1"/>
        <color theme="4" tint="0.79998168889431442"/>
      </dataBar>
      <extLst>
        <ext xmlns:x14="http://schemas.microsoft.com/office/spreadsheetml/2009/9/main" uri="{B025F937-C7B1-47D3-B67F-A62EFF666E3E}">
          <x14:id>{ECCDCD90-CAA9-48A1-B8DF-8E8B664F6E68}</x14:id>
        </ext>
      </extLst>
    </cfRule>
  </conditionalFormatting>
  <conditionalFormatting sqref="BQ593">
    <cfRule type="iconSet" priority="2424">
      <iconSet iconSet="3Arrows">
        <cfvo type="percent" val="0"/>
        <cfvo type="num" val="0.7"/>
        <cfvo type="num" val="1"/>
      </iconSet>
    </cfRule>
    <cfRule type="dataBar" priority="2425">
      <dataBar>
        <cfvo type="num" val="0"/>
        <cfvo type="num" val="1"/>
        <color theme="4" tint="0.79998168889431442"/>
      </dataBar>
      <extLst>
        <ext xmlns:x14="http://schemas.microsoft.com/office/spreadsheetml/2009/9/main" uri="{B025F937-C7B1-47D3-B67F-A62EFF666E3E}">
          <x14:id>{EA4AADE3-6E1E-4692-8E8B-BA60A0743610}</x14:id>
        </ext>
      </extLst>
    </cfRule>
  </conditionalFormatting>
  <conditionalFormatting sqref="BQ595">
    <cfRule type="iconSet" priority="2841">
      <iconSet iconSet="3Arrows">
        <cfvo type="percent" val="0"/>
        <cfvo type="num" val="0.7"/>
        <cfvo type="num" val="1"/>
      </iconSet>
    </cfRule>
    <cfRule type="dataBar" priority="2842">
      <dataBar>
        <cfvo type="num" val="0"/>
        <cfvo type="num" val="1"/>
        <color theme="4" tint="0.79998168889431442"/>
      </dataBar>
      <extLst>
        <ext xmlns:x14="http://schemas.microsoft.com/office/spreadsheetml/2009/9/main" uri="{B025F937-C7B1-47D3-B67F-A62EFF666E3E}">
          <x14:id>{918DCD8D-6697-4F87-B8DE-EAB1E999D899}</x14:id>
        </ext>
      </extLst>
    </cfRule>
  </conditionalFormatting>
  <conditionalFormatting sqref="BQ597">
    <cfRule type="iconSet" priority="4374">
      <iconSet iconSet="3Arrows">
        <cfvo type="percent" val="0"/>
        <cfvo type="num" val="0.7"/>
        <cfvo type="num" val="1"/>
      </iconSet>
    </cfRule>
    <cfRule type="dataBar" priority="4375">
      <dataBar>
        <cfvo type="num" val="0"/>
        <cfvo type="num" val="1"/>
        <color theme="4" tint="0.79998168889431442"/>
      </dataBar>
      <extLst>
        <ext xmlns:x14="http://schemas.microsoft.com/office/spreadsheetml/2009/9/main" uri="{B025F937-C7B1-47D3-B67F-A62EFF666E3E}">
          <x14:id>{352CAFF5-6B92-4F98-A42F-CB06FC6A70BC}</x14:id>
        </ext>
      </extLst>
    </cfRule>
  </conditionalFormatting>
  <conditionalFormatting sqref="BQ599">
    <cfRule type="iconSet" priority="3065">
      <iconSet iconSet="3Arrows">
        <cfvo type="percent" val="0"/>
        <cfvo type="num" val="0.7"/>
        <cfvo type="num" val="1"/>
      </iconSet>
    </cfRule>
    <cfRule type="dataBar" priority="3066">
      <dataBar>
        <cfvo type="num" val="0"/>
        <cfvo type="num" val="1"/>
        <color theme="4" tint="0.79998168889431442"/>
      </dataBar>
      <extLst>
        <ext xmlns:x14="http://schemas.microsoft.com/office/spreadsheetml/2009/9/main" uri="{B025F937-C7B1-47D3-B67F-A62EFF666E3E}">
          <x14:id>{D07F3032-0180-4D52-BD3E-656BEB006A19}</x14:id>
        </ext>
      </extLst>
    </cfRule>
  </conditionalFormatting>
  <conditionalFormatting sqref="BQ601">
    <cfRule type="iconSet" priority="4368">
      <iconSet iconSet="3Arrows">
        <cfvo type="percent" val="0"/>
        <cfvo type="num" val="0.7"/>
        <cfvo type="num" val="1"/>
      </iconSet>
    </cfRule>
    <cfRule type="dataBar" priority="4369">
      <dataBar>
        <cfvo type="num" val="0"/>
        <cfvo type="num" val="1"/>
        <color theme="4" tint="0.79998168889431442"/>
      </dataBar>
      <extLst>
        <ext xmlns:x14="http://schemas.microsoft.com/office/spreadsheetml/2009/9/main" uri="{B025F937-C7B1-47D3-B67F-A62EFF666E3E}">
          <x14:id>{886A5E85-7FDC-4AAD-BAE2-DD8779D44B3D}</x14:id>
        </ext>
      </extLst>
    </cfRule>
  </conditionalFormatting>
  <conditionalFormatting sqref="BQ603">
    <cfRule type="iconSet" priority="4362">
      <iconSet iconSet="3Arrows">
        <cfvo type="percent" val="0"/>
        <cfvo type="num" val="0.7"/>
        <cfvo type="num" val="1"/>
      </iconSet>
    </cfRule>
    <cfRule type="dataBar" priority="4363">
      <dataBar>
        <cfvo type="num" val="0"/>
        <cfvo type="num" val="1"/>
        <color theme="4" tint="0.79998168889431442"/>
      </dataBar>
      <extLst>
        <ext xmlns:x14="http://schemas.microsoft.com/office/spreadsheetml/2009/9/main" uri="{B025F937-C7B1-47D3-B67F-A62EFF666E3E}">
          <x14:id>{8329CB49-2F57-4BCC-A403-684E2234BA9A}</x14:id>
        </ext>
      </extLst>
    </cfRule>
  </conditionalFormatting>
  <conditionalFormatting sqref="BQ605">
    <cfRule type="iconSet" priority="3337">
      <iconSet iconSet="3Arrows">
        <cfvo type="percent" val="0"/>
        <cfvo type="num" val="0.7"/>
        <cfvo type="num" val="1"/>
      </iconSet>
    </cfRule>
    <cfRule type="dataBar" priority="3338">
      <dataBar>
        <cfvo type="num" val="0"/>
        <cfvo type="num" val="1"/>
        <color theme="4" tint="0.79998168889431442"/>
      </dataBar>
      <extLst>
        <ext xmlns:x14="http://schemas.microsoft.com/office/spreadsheetml/2009/9/main" uri="{B025F937-C7B1-47D3-B67F-A62EFF666E3E}">
          <x14:id>{FC1F00E9-380E-4A13-9772-A00A9640BC58}</x14:id>
        </ext>
      </extLst>
    </cfRule>
  </conditionalFormatting>
  <conditionalFormatting sqref="BQ607">
    <cfRule type="iconSet" priority="3323">
      <iconSet iconSet="3Arrows">
        <cfvo type="percent" val="0"/>
        <cfvo type="num" val="0.7"/>
        <cfvo type="num" val="1"/>
      </iconSet>
    </cfRule>
    <cfRule type="dataBar" priority="3324">
      <dataBar>
        <cfvo type="num" val="0"/>
        <cfvo type="num" val="1"/>
        <color theme="4" tint="0.79998168889431442"/>
      </dataBar>
      <extLst>
        <ext xmlns:x14="http://schemas.microsoft.com/office/spreadsheetml/2009/9/main" uri="{B025F937-C7B1-47D3-B67F-A62EFF666E3E}">
          <x14:id>{0346CFE2-64F0-4C46-B417-3FE48AB2E0C4}</x14:id>
        </ext>
      </extLst>
    </cfRule>
  </conditionalFormatting>
  <conditionalFormatting sqref="BQ609">
    <cfRule type="iconSet" priority="3309">
      <iconSet iconSet="3Arrows">
        <cfvo type="percent" val="0"/>
        <cfvo type="num" val="0.7"/>
        <cfvo type="num" val="1"/>
      </iconSet>
    </cfRule>
    <cfRule type="dataBar" priority="3310">
      <dataBar>
        <cfvo type="num" val="0"/>
        <cfvo type="num" val="1"/>
        <color theme="4" tint="0.79998168889431442"/>
      </dataBar>
      <extLst>
        <ext xmlns:x14="http://schemas.microsoft.com/office/spreadsheetml/2009/9/main" uri="{B025F937-C7B1-47D3-B67F-A62EFF666E3E}">
          <x14:id>{0C437918-DFB2-4560-8D57-34B871E8A9F7}</x14:id>
        </ext>
      </extLst>
    </cfRule>
  </conditionalFormatting>
  <conditionalFormatting sqref="BQ611">
    <cfRule type="iconSet" priority="4345">
      <iconSet iconSet="3Arrows">
        <cfvo type="percent" val="0"/>
        <cfvo type="num" val="0.7"/>
        <cfvo type="num" val="1"/>
      </iconSet>
    </cfRule>
    <cfRule type="dataBar" priority="4346">
      <dataBar>
        <cfvo type="num" val="0"/>
        <cfvo type="num" val="1"/>
        <color theme="4" tint="0.79998168889431442"/>
      </dataBar>
      <extLst>
        <ext xmlns:x14="http://schemas.microsoft.com/office/spreadsheetml/2009/9/main" uri="{B025F937-C7B1-47D3-B67F-A62EFF666E3E}">
          <x14:id>{4E7E4C9A-621C-4B1D-B958-9C22E8F7C365}</x14:id>
        </ext>
      </extLst>
    </cfRule>
  </conditionalFormatting>
  <conditionalFormatting sqref="BQ613">
    <cfRule type="iconSet" priority="4356">
      <iconSet iconSet="3Arrows">
        <cfvo type="percent" val="0"/>
        <cfvo type="num" val="0.7"/>
        <cfvo type="num" val="1"/>
      </iconSet>
    </cfRule>
    <cfRule type="dataBar" priority="4357">
      <dataBar>
        <cfvo type="num" val="0"/>
        <cfvo type="num" val="1"/>
        <color theme="4" tint="0.79998168889431442"/>
      </dataBar>
      <extLst>
        <ext xmlns:x14="http://schemas.microsoft.com/office/spreadsheetml/2009/9/main" uri="{B025F937-C7B1-47D3-B67F-A62EFF666E3E}">
          <x14:id>{FEEE2D7F-75E8-4918-A478-28C84647BE50}</x14:id>
        </ext>
      </extLst>
    </cfRule>
  </conditionalFormatting>
  <conditionalFormatting sqref="BQ615">
    <cfRule type="iconSet" priority="1517">
      <iconSet iconSet="3Arrows">
        <cfvo type="percent" val="0"/>
        <cfvo type="num" val="0.7"/>
        <cfvo type="num" val="1"/>
      </iconSet>
    </cfRule>
    <cfRule type="dataBar" priority="1518">
      <dataBar>
        <cfvo type="num" val="0"/>
        <cfvo type="num" val="1"/>
        <color theme="4" tint="0.79998168889431442"/>
      </dataBar>
      <extLst>
        <ext xmlns:x14="http://schemas.microsoft.com/office/spreadsheetml/2009/9/main" uri="{B025F937-C7B1-47D3-B67F-A62EFF666E3E}">
          <x14:id>{7EB9BB08-32D3-4F12-8B6E-A06201F66891}</x14:id>
        </ext>
      </extLst>
    </cfRule>
  </conditionalFormatting>
  <conditionalFormatting sqref="BQ617">
    <cfRule type="iconSet" priority="137">
      <iconSet iconSet="3Arrows">
        <cfvo type="percent" val="0"/>
        <cfvo type="num" val="0.7"/>
        <cfvo type="num" val="1"/>
      </iconSet>
    </cfRule>
    <cfRule type="dataBar" priority="138">
      <dataBar>
        <cfvo type="num" val="0"/>
        <cfvo type="num" val="1"/>
        <color theme="4" tint="0.79998168889431442"/>
      </dataBar>
      <extLst>
        <ext xmlns:x14="http://schemas.microsoft.com/office/spreadsheetml/2009/9/main" uri="{B025F937-C7B1-47D3-B67F-A62EFF666E3E}">
          <x14:id>{3431F829-614E-4C42-94FF-EA28FF25EA62}</x14:id>
        </ext>
      </extLst>
    </cfRule>
  </conditionalFormatting>
  <conditionalFormatting sqref="BQ619">
    <cfRule type="iconSet" priority="152">
      <iconSet iconSet="3Arrows">
        <cfvo type="percent" val="0"/>
        <cfvo type="num" val="0.7"/>
        <cfvo type="num" val="1"/>
      </iconSet>
    </cfRule>
    <cfRule type="dataBar" priority="153">
      <dataBar>
        <cfvo type="num" val="0"/>
        <cfvo type="num" val="1"/>
        <color theme="4" tint="0.79998168889431442"/>
      </dataBar>
      <extLst>
        <ext xmlns:x14="http://schemas.microsoft.com/office/spreadsheetml/2009/9/main" uri="{B025F937-C7B1-47D3-B67F-A62EFF666E3E}">
          <x14:id>{BE1CA0BC-E763-4350-913A-C7E8C7068D79}</x14:id>
        </ext>
      </extLst>
    </cfRule>
  </conditionalFormatting>
  <conditionalFormatting sqref="BQ621">
    <cfRule type="iconSet" priority="1539">
      <iconSet iconSet="3Arrows">
        <cfvo type="percent" val="0"/>
        <cfvo type="num" val="0.7"/>
        <cfvo type="num" val="1"/>
      </iconSet>
    </cfRule>
    <cfRule type="dataBar" priority="1540">
      <dataBar>
        <cfvo type="num" val="0"/>
        <cfvo type="num" val="1"/>
        <color theme="4" tint="0.79998168889431442"/>
      </dataBar>
      <extLst>
        <ext xmlns:x14="http://schemas.microsoft.com/office/spreadsheetml/2009/9/main" uri="{B025F937-C7B1-47D3-B67F-A62EFF666E3E}">
          <x14:id>{BEC5CE57-3EC8-48B2-8809-7DE0E1904B47}</x14:id>
        </ext>
      </extLst>
    </cfRule>
  </conditionalFormatting>
  <conditionalFormatting sqref="BQ623">
    <cfRule type="iconSet" priority="1553">
      <iconSet iconSet="3Arrows">
        <cfvo type="percent" val="0"/>
        <cfvo type="num" val="0.7"/>
        <cfvo type="num" val="1"/>
      </iconSet>
    </cfRule>
    <cfRule type="dataBar" priority="1554">
      <dataBar>
        <cfvo type="num" val="0"/>
        <cfvo type="num" val="1"/>
        <color theme="4" tint="0.79998168889431442"/>
      </dataBar>
      <extLst>
        <ext xmlns:x14="http://schemas.microsoft.com/office/spreadsheetml/2009/9/main" uri="{B025F937-C7B1-47D3-B67F-A62EFF666E3E}">
          <x14:id>{C70F1680-105E-4920-BB57-AD51D33C0B6F}</x14:id>
        </ext>
      </extLst>
    </cfRule>
  </conditionalFormatting>
  <conditionalFormatting sqref="BQ625">
    <cfRule type="iconSet" priority="39">
      <iconSet iconSet="3Arrows">
        <cfvo type="percent" val="0"/>
        <cfvo type="num" val="0.7"/>
        <cfvo type="num" val="1"/>
      </iconSet>
    </cfRule>
    <cfRule type="dataBar" priority="40">
      <dataBar>
        <cfvo type="num" val="0"/>
        <cfvo type="num" val="1"/>
        <color theme="4" tint="0.79998168889431442"/>
      </dataBar>
      <extLst>
        <ext xmlns:x14="http://schemas.microsoft.com/office/spreadsheetml/2009/9/main" uri="{B025F937-C7B1-47D3-B67F-A62EFF666E3E}">
          <x14:id>{C71CC61D-34F6-494A-88B5-8B873DF4E2F9}</x14:id>
        </ext>
      </extLst>
    </cfRule>
  </conditionalFormatting>
  <conditionalFormatting sqref="BW9">
    <cfRule type="iconSet" priority="5176">
      <iconSet iconSet="3Signs">
        <cfvo type="percent" val="0"/>
        <cfvo type="num" val="0.75"/>
        <cfvo type="num" val="1"/>
      </iconSet>
    </cfRule>
  </conditionalFormatting>
  <conditionalFormatting sqref="BW13">
    <cfRule type="iconSet" priority="5173">
      <iconSet iconSet="3Signs">
        <cfvo type="percent" val="0"/>
        <cfvo type="num" val="0.75"/>
        <cfvo type="num" val="1"/>
      </iconSet>
    </cfRule>
  </conditionalFormatting>
  <conditionalFormatting sqref="BW15">
    <cfRule type="iconSet" priority="3612">
      <iconSet iconSet="3Signs">
        <cfvo type="percent" val="0"/>
        <cfvo type="num" val="0.75"/>
        <cfvo type="num" val="1"/>
      </iconSet>
    </cfRule>
  </conditionalFormatting>
  <conditionalFormatting sqref="BW17">
    <cfRule type="iconSet" priority="3598">
      <iconSet iconSet="3Signs">
        <cfvo type="percent" val="0"/>
        <cfvo type="num" val="0.75"/>
        <cfvo type="num" val="1"/>
      </iconSet>
    </cfRule>
  </conditionalFormatting>
  <conditionalFormatting sqref="BW19">
    <cfRule type="iconSet" priority="3584">
      <iconSet iconSet="3Signs">
        <cfvo type="percent" val="0"/>
        <cfvo type="num" val="0.75"/>
        <cfvo type="num" val="1"/>
      </iconSet>
    </cfRule>
  </conditionalFormatting>
  <conditionalFormatting sqref="BW21">
    <cfRule type="iconSet" priority="3569">
      <iconSet iconSet="3Signs">
        <cfvo type="percent" val="0"/>
        <cfvo type="num" val="0.75"/>
        <cfvo type="num" val="1"/>
      </iconSet>
    </cfRule>
  </conditionalFormatting>
  <conditionalFormatting sqref="BW23">
    <cfRule type="iconSet" priority="5179">
      <iconSet iconSet="3Signs">
        <cfvo type="percent" val="0"/>
        <cfvo type="num" val="0.75"/>
        <cfvo type="num" val="1"/>
      </iconSet>
    </cfRule>
  </conditionalFormatting>
  <conditionalFormatting sqref="BW25">
    <cfRule type="iconSet" priority="4977">
      <iconSet iconSet="3Signs">
        <cfvo type="percent" val="0"/>
        <cfvo type="num" val="0.75"/>
        <cfvo type="num" val="1"/>
      </iconSet>
    </cfRule>
  </conditionalFormatting>
  <conditionalFormatting sqref="BW27">
    <cfRule type="iconSet" priority="2939">
      <iconSet iconSet="3Signs">
        <cfvo type="percent" val="0"/>
        <cfvo type="num" val="0.75"/>
        <cfvo type="num" val="1"/>
      </iconSet>
    </cfRule>
  </conditionalFormatting>
  <conditionalFormatting sqref="BW29">
    <cfRule type="iconSet" priority="2925">
      <iconSet iconSet="3Signs">
        <cfvo type="percent" val="0"/>
        <cfvo type="num" val="0.75"/>
        <cfvo type="num" val="1"/>
      </iconSet>
    </cfRule>
  </conditionalFormatting>
  <conditionalFormatting sqref="BW31">
    <cfRule type="iconSet" priority="5027">
      <iconSet iconSet="3Signs">
        <cfvo type="percent" val="0"/>
        <cfvo type="num" val="0.75"/>
        <cfvo type="num" val="1"/>
      </iconSet>
    </cfRule>
  </conditionalFormatting>
  <conditionalFormatting sqref="BW35">
    <cfRule type="iconSet" priority="4811">
      <iconSet iconSet="3Signs">
        <cfvo type="percent" val="0"/>
        <cfvo type="num" val="0.75"/>
        <cfvo type="num" val="1"/>
      </iconSet>
    </cfRule>
  </conditionalFormatting>
  <conditionalFormatting sqref="BW37">
    <cfRule type="iconSet" priority="3515">
      <iconSet iconSet="3Signs">
        <cfvo type="percent" val="0"/>
        <cfvo type="num" val="0.75"/>
        <cfvo type="num" val="1"/>
      </iconSet>
    </cfRule>
  </conditionalFormatting>
  <conditionalFormatting sqref="BW39">
    <cfRule type="iconSet" priority="3529">
      <iconSet iconSet="3Signs">
        <cfvo type="percent" val="0"/>
        <cfvo type="num" val="0.75"/>
        <cfvo type="num" val="1"/>
      </iconSet>
    </cfRule>
  </conditionalFormatting>
  <conditionalFormatting sqref="BW41">
    <cfRule type="iconSet" priority="3543">
      <iconSet iconSet="3Signs">
        <cfvo type="percent" val="0"/>
        <cfvo type="num" val="0.75"/>
        <cfvo type="num" val="1"/>
      </iconSet>
    </cfRule>
  </conditionalFormatting>
  <conditionalFormatting sqref="BW43">
    <cfRule type="iconSet" priority="4813">
      <iconSet iconSet="3Signs">
        <cfvo type="percent" val="0"/>
        <cfvo type="num" val="0.75"/>
        <cfvo type="num" val="1"/>
      </iconSet>
    </cfRule>
  </conditionalFormatting>
  <conditionalFormatting sqref="BW47">
    <cfRule type="iconSet" priority="5164">
      <iconSet iconSet="3Signs">
        <cfvo type="percent" val="0"/>
        <cfvo type="num" val="0.75"/>
        <cfvo type="num" val="1"/>
      </iconSet>
    </cfRule>
  </conditionalFormatting>
  <conditionalFormatting sqref="BW49">
    <cfRule type="iconSet" priority="4799">
      <iconSet iconSet="3Signs">
        <cfvo type="percent" val="0"/>
        <cfvo type="num" val="0.75"/>
        <cfvo type="num" val="1"/>
      </iconSet>
    </cfRule>
  </conditionalFormatting>
  <conditionalFormatting sqref="BW51">
    <cfRule type="iconSet" priority="2914">
      <iconSet iconSet="3Signs">
        <cfvo type="percent" val="0"/>
        <cfvo type="num" val="0.75"/>
        <cfvo type="num" val="1"/>
      </iconSet>
    </cfRule>
  </conditionalFormatting>
  <conditionalFormatting sqref="BW53">
    <cfRule type="iconSet" priority="4505">
      <iconSet iconSet="3Signs">
        <cfvo type="percent" val="0"/>
        <cfvo type="num" val="0.75"/>
        <cfvo type="num" val="1"/>
      </iconSet>
    </cfRule>
  </conditionalFormatting>
  <conditionalFormatting sqref="BW55">
    <cfRule type="iconSet" priority="3501">
      <iconSet iconSet="3Signs">
        <cfvo type="percent" val="0"/>
        <cfvo type="num" val="0.75"/>
        <cfvo type="num" val="1"/>
      </iconSet>
    </cfRule>
  </conditionalFormatting>
  <conditionalFormatting sqref="BW57">
    <cfRule type="iconSet" priority="2900">
      <iconSet iconSet="3Signs">
        <cfvo type="percent" val="0"/>
        <cfvo type="num" val="0.75"/>
        <cfvo type="num" val="1"/>
      </iconSet>
    </cfRule>
  </conditionalFormatting>
  <conditionalFormatting sqref="BW59">
    <cfRule type="iconSet" priority="2886">
      <iconSet iconSet="3Signs">
        <cfvo type="percent" val="0"/>
        <cfvo type="num" val="0.75"/>
        <cfvo type="num" val="1"/>
      </iconSet>
    </cfRule>
  </conditionalFormatting>
  <conditionalFormatting sqref="BW61">
    <cfRule type="iconSet" priority="1480">
      <iconSet iconSet="3Signs">
        <cfvo type="percent" val="0"/>
        <cfvo type="num" val="0.75"/>
        <cfvo type="num" val="1"/>
      </iconSet>
    </cfRule>
  </conditionalFormatting>
  <conditionalFormatting sqref="BW63">
    <cfRule type="iconSet" priority="2466">
      <iconSet iconSet="3Signs">
        <cfvo type="percent" val="0"/>
        <cfvo type="num" val="0.75"/>
        <cfvo type="num" val="1"/>
      </iconSet>
    </cfRule>
  </conditionalFormatting>
  <conditionalFormatting sqref="BW65">
    <cfRule type="iconSet" priority="2872">
      <iconSet iconSet="3Signs">
        <cfvo type="percent" val="0"/>
        <cfvo type="num" val="0.75"/>
        <cfvo type="num" val="1"/>
      </iconSet>
    </cfRule>
  </conditionalFormatting>
  <conditionalFormatting sqref="BW67">
    <cfRule type="iconSet" priority="3419">
      <iconSet iconSet="3Signs">
        <cfvo type="percent" val="0"/>
        <cfvo type="num" val="0.75"/>
        <cfvo type="num" val="1"/>
      </iconSet>
    </cfRule>
  </conditionalFormatting>
  <conditionalFormatting sqref="BW69">
    <cfRule type="iconSet" priority="5016">
      <iconSet iconSet="3Signs">
        <cfvo type="percent" val="0"/>
        <cfvo type="num" val="0.75"/>
        <cfvo type="num" val="1"/>
      </iconSet>
    </cfRule>
  </conditionalFormatting>
  <conditionalFormatting sqref="BW73">
    <cfRule type="iconSet" priority="5139">
      <iconSet iconSet="3Signs">
        <cfvo type="percent" val="0"/>
        <cfvo type="num" val="0.75"/>
        <cfvo type="num" val="1"/>
      </iconSet>
    </cfRule>
  </conditionalFormatting>
  <conditionalFormatting sqref="BW77">
    <cfRule type="iconSet" priority="5156">
      <iconSet iconSet="3Signs">
        <cfvo type="percent" val="0"/>
        <cfvo type="num" val="0.75"/>
        <cfvo type="num" val="1"/>
      </iconSet>
    </cfRule>
  </conditionalFormatting>
  <conditionalFormatting sqref="BW79 BW89">
    <cfRule type="iconSet" priority="5158">
      <iconSet iconSet="3Signs">
        <cfvo type="percent" val="0"/>
        <cfvo type="num" val="0.75"/>
        <cfvo type="num" val="1"/>
      </iconSet>
    </cfRule>
  </conditionalFormatting>
  <conditionalFormatting sqref="BW81">
    <cfRule type="iconSet" priority="4856">
      <iconSet iconSet="3Signs">
        <cfvo type="percent" val="0"/>
        <cfvo type="num" val="0.75"/>
        <cfvo type="num" val="1"/>
      </iconSet>
    </cfRule>
  </conditionalFormatting>
  <conditionalFormatting sqref="BW83">
    <cfRule type="iconSet" priority="4837">
      <iconSet iconSet="3Signs">
        <cfvo type="percent" val="0"/>
        <cfvo type="num" val="0.75"/>
        <cfvo type="num" val="1"/>
      </iconSet>
    </cfRule>
  </conditionalFormatting>
  <conditionalFormatting sqref="BW85">
    <cfRule type="iconSet" priority="4829">
      <iconSet iconSet="3Signs">
        <cfvo type="percent" val="0"/>
        <cfvo type="num" val="0.75"/>
        <cfvo type="num" val="1"/>
      </iconSet>
    </cfRule>
  </conditionalFormatting>
  <conditionalFormatting sqref="BW87">
    <cfRule type="iconSet" priority="4821">
      <iconSet iconSet="3Signs">
        <cfvo type="percent" val="0"/>
        <cfvo type="num" val="0.75"/>
        <cfvo type="num" val="1"/>
      </iconSet>
    </cfRule>
  </conditionalFormatting>
  <conditionalFormatting sqref="BW93">
    <cfRule type="iconSet" priority="4787">
      <iconSet iconSet="3Signs">
        <cfvo type="percent" val="0"/>
        <cfvo type="num" val="0.75"/>
        <cfvo type="num" val="1"/>
      </iconSet>
    </cfRule>
  </conditionalFormatting>
  <conditionalFormatting sqref="BW95">
    <cfRule type="iconSet" priority="4745">
      <iconSet iconSet="3Signs">
        <cfvo type="percent" val="0"/>
        <cfvo type="num" val="0.75"/>
        <cfvo type="num" val="1"/>
      </iconSet>
    </cfRule>
  </conditionalFormatting>
  <conditionalFormatting sqref="BW97">
    <cfRule type="iconSet" priority="1961">
      <iconSet iconSet="3Signs">
        <cfvo type="percent" val="0"/>
        <cfvo type="num" val="0.75"/>
        <cfvo type="num" val="1"/>
      </iconSet>
    </cfRule>
  </conditionalFormatting>
  <conditionalFormatting sqref="BW99">
    <cfRule type="iconSet" priority="1998">
      <iconSet iconSet="3Signs">
        <cfvo type="percent" val="0"/>
        <cfvo type="num" val="0.75"/>
        <cfvo type="num" val="1"/>
      </iconSet>
    </cfRule>
  </conditionalFormatting>
  <conditionalFormatting sqref="BW101">
    <cfRule type="iconSet" priority="1935">
      <iconSet iconSet="3Signs">
        <cfvo type="percent" val="0"/>
        <cfvo type="num" val="0.75"/>
        <cfvo type="num" val="1"/>
      </iconSet>
    </cfRule>
  </conditionalFormatting>
  <conditionalFormatting sqref="BW103">
    <cfRule type="iconSet" priority="4792">
      <iconSet iconSet="3Signs">
        <cfvo type="percent" val="0"/>
        <cfvo type="num" val="0.75"/>
        <cfvo type="num" val="1"/>
      </iconSet>
    </cfRule>
  </conditionalFormatting>
  <conditionalFormatting sqref="BW105">
    <cfRule type="iconSet" priority="4761">
      <iconSet iconSet="3Signs">
        <cfvo type="percent" val="0"/>
        <cfvo type="num" val="0.75"/>
        <cfvo type="num" val="1"/>
      </iconSet>
    </cfRule>
  </conditionalFormatting>
  <conditionalFormatting sqref="BW107">
    <cfRule type="iconSet" priority="4753">
      <iconSet iconSet="3Signs">
        <cfvo type="percent" val="0"/>
        <cfvo type="num" val="0.75"/>
        <cfvo type="num" val="1"/>
      </iconSet>
    </cfRule>
  </conditionalFormatting>
  <conditionalFormatting sqref="BW109">
    <cfRule type="iconSet" priority="2855">
      <iconSet iconSet="3Signs">
        <cfvo type="percent" val="0"/>
        <cfvo type="num" val="0.75"/>
        <cfvo type="num" val="1"/>
      </iconSet>
    </cfRule>
  </conditionalFormatting>
  <conditionalFormatting sqref="BW113">
    <cfRule type="iconSet" priority="4779">
      <iconSet iconSet="3Signs">
        <cfvo type="percent" val="0"/>
        <cfvo type="num" val="0.75"/>
        <cfvo type="num" val="1"/>
      </iconSet>
    </cfRule>
  </conditionalFormatting>
  <conditionalFormatting sqref="BW115">
    <cfRule type="iconSet" priority="4769">
      <iconSet iconSet="3Signs">
        <cfvo type="percent" val="0"/>
        <cfvo type="num" val="0.75"/>
        <cfvo type="num" val="1"/>
      </iconSet>
    </cfRule>
  </conditionalFormatting>
  <conditionalFormatting sqref="BW119">
    <cfRule type="iconSet" priority="5150">
      <iconSet iconSet="3Signs">
        <cfvo type="percent" val="0"/>
        <cfvo type="num" val="0.75"/>
        <cfvo type="num" val="1"/>
      </iconSet>
    </cfRule>
  </conditionalFormatting>
  <conditionalFormatting sqref="BW121">
    <cfRule type="iconSet" priority="5191">
      <iconSet iconSet="3Signs">
        <cfvo type="percent" val="0"/>
        <cfvo type="num" val="0.75"/>
        <cfvo type="num" val="1"/>
      </iconSet>
    </cfRule>
  </conditionalFormatting>
  <conditionalFormatting sqref="BW123">
    <cfRule type="iconSet" priority="5003">
      <iconSet iconSet="3Signs">
        <cfvo type="percent" val="0"/>
        <cfvo type="num" val="0.75"/>
        <cfvo type="num" val="1"/>
      </iconSet>
    </cfRule>
  </conditionalFormatting>
  <conditionalFormatting sqref="BW125">
    <cfRule type="iconSet" priority="3486">
      <iconSet iconSet="3Signs">
        <cfvo type="percent" val="0"/>
        <cfvo type="num" val="0.75"/>
        <cfvo type="num" val="1"/>
      </iconSet>
    </cfRule>
  </conditionalFormatting>
  <conditionalFormatting sqref="BW127">
    <cfRule type="iconSet" priority="3245">
      <iconSet iconSet="3Signs">
        <cfvo type="percent" val="0"/>
        <cfvo type="num" val="0.75"/>
        <cfvo type="num" val="1"/>
      </iconSet>
    </cfRule>
  </conditionalFormatting>
  <conditionalFormatting sqref="BW129">
    <cfRule type="iconSet" priority="4997">
      <iconSet iconSet="3Signs">
        <cfvo type="percent" val="0"/>
        <cfvo type="num" val="0.75"/>
        <cfvo type="num" val="1"/>
      </iconSet>
    </cfRule>
  </conditionalFormatting>
  <conditionalFormatting sqref="BW131">
    <cfRule type="iconSet" priority="2956">
      <iconSet iconSet="3Signs">
        <cfvo type="percent" val="0"/>
        <cfvo type="num" val="0.75"/>
        <cfvo type="num" val="1"/>
      </iconSet>
    </cfRule>
  </conditionalFormatting>
  <conditionalFormatting sqref="BW134">
    <cfRule type="iconSet" priority="1499">
      <iconSet iconSet="3Signs">
        <cfvo type="percent" val="0"/>
        <cfvo type="num" val="0.75"/>
        <cfvo type="num" val="1"/>
      </iconSet>
    </cfRule>
  </conditionalFormatting>
  <conditionalFormatting sqref="BW137">
    <cfRule type="iconSet" priority="5087">
      <iconSet iconSet="3Signs">
        <cfvo type="percent" val="0"/>
        <cfvo type="num" val="0.75"/>
        <cfvo type="num" val="1"/>
      </iconSet>
    </cfRule>
  </conditionalFormatting>
  <conditionalFormatting sqref="BW140">
    <cfRule type="iconSet" priority="4733">
      <iconSet iconSet="3Signs">
        <cfvo type="percent" val="0"/>
        <cfvo type="num" val="0.75"/>
        <cfvo type="num" val="1"/>
      </iconSet>
    </cfRule>
  </conditionalFormatting>
  <conditionalFormatting sqref="BW142">
    <cfRule type="iconSet" priority="4443">
      <iconSet iconSet="3Signs">
        <cfvo type="percent" val="0"/>
        <cfvo type="num" val="0.75"/>
        <cfvo type="num" val="1"/>
      </iconSet>
    </cfRule>
  </conditionalFormatting>
  <conditionalFormatting sqref="BW144">
    <cfRule type="iconSet" priority="4425">
      <iconSet iconSet="3Signs">
        <cfvo type="percent" val="0"/>
        <cfvo type="num" val="0.75"/>
        <cfvo type="num" val="1"/>
      </iconSet>
    </cfRule>
  </conditionalFormatting>
  <conditionalFormatting sqref="BW146">
    <cfRule type="iconSet" priority="1392">
      <iconSet iconSet="3Signs">
        <cfvo type="percent" val="0"/>
        <cfvo type="num" val="0.75"/>
        <cfvo type="num" val="1"/>
      </iconSet>
    </cfRule>
  </conditionalFormatting>
  <conditionalFormatting sqref="BW148">
    <cfRule type="iconSet" priority="4735">
      <iconSet iconSet="3Signs">
        <cfvo type="percent" val="0"/>
        <cfvo type="num" val="0.75"/>
        <cfvo type="num" val="1"/>
      </iconSet>
    </cfRule>
  </conditionalFormatting>
  <conditionalFormatting sqref="BW150">
    <cfRule type="iconSet" priority="4606">
      <iconSet iconSet="3Signs">
        <cfvo type="percent" val="0"/>
        <cfvo type="num" val="0.75"/>
        <cfvo type="num" val="1"/>
      </iconSet>
    </cfRule>
  </conditionalFormatting>
  <conditionalFormatting sqref="BW152:BW157 BW160:BW167">
    <cfRule type="iconSet" priority="5201">
      <iconSet iconSet="3Signs">
        <cfvo type="percent" val="0"/>
        <cfvo type="num" val="0.75"/>
        <cfvo type="num" val="1"/>
      </iconSet>
    </cfRule>
  </conditionalFormatting>
  <conditionalFormatting sqref="BW158">
    <cfRule type="iconSet" priority="4588">
      <iconSet iconSet="3Signs">
        <cfvo type="percent" val="0"/>
        <cfvo type="num" val="0.75"/>
        <cfvo type="num" val="1"/>
      </iconSet>
    </cfRule>
  </conditionalFormatting>
  <conditionalFormatting sqref="BW168">
    <cfRule type="iconSet" priority="4580">
      <iconSet iconSet="3Signs">
        <cfvo type="percent" val="0"/>
        <cfvo type="num" val="0.75"/>
        <cfvo type="num" val="1"/>
      </iconSet>
    </cfRule>
  </conditionalFormatting>
  <conditionalFormatting sqref="BW170">
    <cfRule type="iconSet" priority="4719">
      <iconSet iconSet="3Signs">
        <cfvo type="percent" val="0"/>
        <cfvo type="num" val="0.75"/>
        <cfvo type="num" val="1"/>
      </iconSet>
    </cfRule>
  </conditionalFormatting>
  <conditionalFormatting sqref="BW172">
    <cfRule type="iconSet" priority="4492">
      <iconSet iconSet="3Signs">
        <cfvo type="percent" val="0"/>
        <cfvo type="num" val="0.75"/>
        <cfvo type="num" val="1"/>
      </iconSet>
    </cfRule>
  </conditionalFormatting>
  <conditionalFormatting sqref="BW174">
    <cfRule type="iconSet" priority="4725">
      <iconSet iconSet="3Signs">
        <cfvo type="percent" val="0"/>
        <cfvo type="num" val="0.75"/>
        <cfvo type="num" val="1"/>
      </iconSet>
    </cfRule>
  </conditionalFormatting>
  <conditionalFormatting sqref="BW176">
    <cfRule type="iconSet" priority="3170">
      <iconSet iconSet="3Signs">
        <cfvo type="percent" val="0"/>
        <cfvo type="num" val="0.75"/>
        <cfvo type="num" val="1"/>
      </iconSet>
    </cfRule>
  </conditionalFormatting>
  <conditionalFormatting sqref="BW180">
    <cfRule type="iconSet" priority="5091">
      <iconSet iconSet="3Signs">
        <cfvo type="percent" val="0"/>
        <cfvo type="num" val="0.75"/>
        <cfvo type="num" val="1"/>
      </iconSet>
    </cfRule>
  </conditionalFormatting>
  <conditionalFormatting sqref="BW182">
    <cfRule type="iconSet" priority="4564">
      <iconSet iconSet="3Signs">
        <cfvo type="percent" val="0"/>
        <cfvo type="num" val="0.75"/>
        <cfvo type="num" val="1"/>
      </iconSet>
    </cfRule>
  </conditionalFormatting>
  <conditionalFormatting sqref="BW184">
    <cfRule type="iconSet" priority="4572">
      <iconSet iconSet="3Signs">
        <cfvo type="percent" val="0"/>
        <cfvo type="num" val="0.75"/>
        <cfvo type="num" val="1"/>
      </iconSet>
    </cfRule>
  </conditionalFormatting>
  <conditionalFormatting sqref="BW186">
    <cfRule type="iconSet" priority="3230">
      <iconSet iconSet="3Signs">
        <cfvo type="percent" val="0"/>
        <cfvo type="num" val="0.75"/>
        <cfvo type="num" val="1"/>
      </iconSet>
    </cfRule>
  </conditionalFormatting>
  <conditionalFormatting sqref="BW188">
    <cfRule type="iconSet" priority="2976">
      <iconSet iconSet="3Signs">
        <cfvo type="percent" val="0"/>
        <cfvo type="num" val="0.75"/>
        <cfvo type="num" val="1"/>
      </iconSet>
    </cfRule>
  </conditionalFormatting>
  <conditionalFormatting sqref="BW190">
    <cfRule type="iconSet" priority="3216">
      <iconSet iconSet="3Signs">
        <cfvo type="percent" val="0"/>
        <cfvo type="num" val="0.75"/>
        <cfvo type="num" val="1"/>
      </iconSet>
    </cfRule>
  </conditionalFormatting>
  <conditionalFormatting sqref="BW192">
    <cfRule type="iconSet" priority="4469">
      <iconSet iconSet="3Signs">
        <cfvo type="percent" val="0"/>
        <cfvo type="num" val="0.75"/>
        <cfvo type="num" val="1"/>
      </iconSet>
    </cfRule>
  </conditionalFormatting>
  <conditionalFormatting sqref="BW194">
    <cfRule type="iconSet" priority="4484">
      <iconSet iconSet="3Signs">
        <cfvo type="percent" val="0"/>
        <cfvo type="num" val="0.75"/>
        <cfvo type="num" val="1"/>
      </iconSet>
    </cfRule>
  </conditionalFormatting>
  <conditionalFormatting sqref="BW196">
    <cfRule type="iconSet" priority="2454">
      <iconSet iconSet="3Signs">
        <cfvo type="percent" val="0"/>
        <cfvo type="num" val="0.75"/>
        <cfvo type="num" val="1"/>
      </iconSet>
    </cfRule>
  </conditionalFormatting>
  <conditionalFormatting sqref="BW198">
    <cfRule type="iconSet" priority="3156">
      <iconSet iconSet="3Signs">
        <cfvo type="percent" val="0"/>
        <cfvo type="num" val="0.75"/>
        <cfvo type="num" val="1"/>
      </iconSet>
    </cfRule>
  </conditionalFormatting>
  <conditionalFormatting sqref="BW200">
    <cfRule type="iconSet" priority="4460">
      <iconSet iconSet="3Signs">
        <cfvo type="percent" val="0"/>
        <cfvo type="num" val="0.75"/>
        <cfvo type="num" val="1"/>
      </iconSet>
    </cfRule>
  </conditionalFormatting>
  <conditionalFormatting sqref="BW202:BW209">
    <cfRule type="iconSet" priority="5012">
      <iconSet iconSet="3Signs">
        <cfvo type="percent" val="0"/>
        <cfvo type="num" val="0.75"/>
        <cfvo type="num" val="1"/>
      </iconSet>
    </cfRule>
  </conditionalFormatting>
  <conditionalFormatting sqref="BW210">
    <cfRule type="iconSet" priority="4555">
      <iconSet iconSet="3Signs">
        <cfvo type="percent" val="0"/>
        <cfvo type="num" val="0.75"/>
        <cfvo type="num" val="1"/>
      </iconSet>
    </cfRule>
  </conditionalFormatting>
  <conditionalFormatting sqref="BW212">
    <cfRule type="iconSet" priority="4974">
      <iconSet iconSet="3Signs">
        <cfvo type="percent" val="0"/>
        <cfvo type="num" val="0.75"/>
        <cfvo type="num" val="1"/>
      </iconSet>
    </cfRule>
  </conditionalFormatting>
  <conditionalFormatting sqref="BW214">
    <cfRule type="iconSet" priority="3367">
      <iconSet iconSet="3Signs">
        <cfvo type="percent" val="0"/>
        <cfvo type="num" val="0.75"/>
        <cfvo type="num" val="1"/>
      </iconSet>
    </cfRule>
  </conditionalFormatting>
  <conditionalFormatting sqref="BW216">
    <cfRule type="iconSet" priority="3267">
      <iconSet iconSet="3Signs">
        <cfvo type="percent" val="0"/>
        <cfvo type="num" val="0.75"/>
        <cfvo type="num" val="1"/>
      </iconSet>
    </cfRule>
  </conditionalFormatting>
  <conditionalFormatting sqref="BW218">
    <cfRule type="iconSet" priority="2340">
      <iconSet iconSet="3Signs">
        <cfvo type="percent" val="0"/>
        <cfvo type="num" val="0.75"/>
        <cfvo type="num" val="1"/>
      </iconSet>
    </cfRule>
  </conditionalFormatting>
  <conditionalFormatting sqref="BW220">
    <cfRule type="iconSet" priority="5034">
      <iconSet iconSet="3Signs">
        <cfvo type="percent" val="0"/>
        <cfvo type="num" val="0.75"/>
        <cfvo type="num" val="1"/>
      </iconSet>
    </cfRule>
  </conditionalFormatting>
  <conditionalFormatting sqref="BW222">
    <cfRule type="iconSet" priority="2326">
      <iconSet iconSet="3Signs">
        <cfvo type="percent" val="0"/>
        <cfvo type="num" val="0.75"/>
        <cfvo type="num" val="1"/>
      </iconSet>
    </cfRule>
  </conditionalFormatting>
  <conditionalFormatting sqref="BW226">
    <cfRule type="iconSet" priority="2031">
      <iconSet iconSet="3Signs">
        <cfvo type="percent" val="0"/>
        <cfvo type="num" val="0.75"/>
        <cfvo type="num" val="1"/>
      </iconSet>
    </cfRule>
  </conditionalFormatting>
  <conditionalFormatting sqref="BW229">
    <cfRule type="iconSet" priority="5113">
      <iconSet iconSet="3Signs">
        <cfvo type="percent" val="0"/>
        <cfvo type="num" val="0.75"/>
        <cfvo type="num" val="1"/>
      </iconSet>
    </cfRule>
  </conditionalFormatting>
  <conditionalFormatting sqref="BW233">
    <cfRule type="iconSet" priority="5135">
      <iconSet iconSet="3Signs">
        <cfvo type="percent" val="0"/>
        <cfvo type="num" val="0.75"/>
        <cfvo type="num" val="1"/>
      </iconSet>
    </cfRule>
  </conditionalFormatting>
  <conditionalFormatting sqref="BW235">
    <cfRule type="iconSet" priority="5129">
      <iconSet iconSet="3Signs">
        <cfvo type="percent" val="0"/>
        <cfvo type="num" val="0.75"/>
        <cfvo type="num" val="1"/>
      </iconSet>
    </cfRule>
  </conditionalFormatting>
  <conditionalFormatting sqref="BW237">
    <cfRule type="iconSet" priority="4515">
      <iconSet iconSet="3Signs">
        <cfvo type="percent" val="0"/>
        <cfvo type="num" val="0.75"/>
        <cfvo type="num" val="1"/>
      </iconSet>
    </cfRule>
  </conditionalFormatting>
  <conditionalFormatting sqref="BW239">
    <cfRule type="iconSet" priority="4411">
      <iconSet iconSet="3Signs">
        <cfvo type="percent" val="0"/>
        <cfvo type="num" val="0.75"/>
        <cfvo type="num" val="1"/>
      </iconSet>
    </cfRule>
  </conditionalFormatting>
  <conditionalFormatting sqref="BW241">
    <cfRule type="iconSet" priority="4403">
      <iconSet iconSet="3Signs">
        <cfvo type="percent" val="0"/>
        <cfvo type="num" val="0.75"/>
        <cfvo type="num" val="1"/>
      </iconSet>
    </cfRule>
  </conditionalFormatting>
  <conditionalFormatting sqref="BW243">
    <cfRule type="iconSet" priority="4395">
      <iconSet iconSet="3Signs">
        <cfvo type="percent" val="0"/>
        <cfvo type="num" val="0.75"/>
        <cfvo type="num" val="1"/>
      </iconSet>
    </cfRule>
  </conditionalFormatting>
  <conditionalFormatting sqref="BW245">
    <cfRule type="iconSet" priority="3471">
      <iconSet iconSet="3Signs">
        <cfvo type="percent" val="0"/>
        <cfvo type="num" val="0.75"/>
        <cfvo type="num" val="1"/>
      </iconSet>
    </cfRule>
  </conditionalFormatting>
  <conditionalFormatting sqref="BW247">
    <cfRule type="iconSet" priority="2012">
      <iconSet iconSet="3Signs">
        <cfvo type="percent" val="0"/>
        <cfvo type="num" val="0.75"/>
        <cfvo type="num" val="1"/>
      </iconSet>
    </cfRule>
  </conditionalFormatting>
  <conditionalFormatting sqref="BW249">
    <cfRule type="iconSet" priority="3445">
      <iconSet iconSet="3Signs">
        <cfvo type="percent" val="0"/>
        <cfvo type="num" val="0.75"/>
        <cfvo type="num" val="1"/>
      </iconSet>
    </cfRule>
  </conditionalFormatting>
  <conditionalFormatting sqref="BW251">
    <cfRule type="iconSet" priority="2367">
      <iconSet iconSet="3Signs">
        <cfvo type="percent" val="0"/>
        <cfvo type="num" val="0.75"/>
        <cfvo type="num" val="1"/>
      </iconSet>
    </cfRule>
  </conditionalFormatting>
  <conditionalFormatting sqref="BW253">
    <cfRule type="iconSet" priority="1974">
      <iconSet iconSet="3Signs">
        <cfvo type="percent" val="0"/>
        <cfvo type="num" val="0.75"/>
        <cfvo type="num" val="1"/>
      </iconSet>
    </cfRule>
  </conditionalFormatting>
  <conditionalFormatting sqref="BW255">
    <cfRule type="iconSet" priority="5020">
      <iconSet iconSet="3Signs">
        <cfvo type="percent" val="0"/>
        <cfvo type="num" val="0.75"/>
        <cfvo type="num" val="1"/>
      </iconSet>
    </cfRule>
  </conditionalFormatting>
  <conditionalFormatting sqref="BW257">
    <cfRule type="iconSet" priority="1872">
      <iconSet iconSet="3Signs">
        <cfvo type="percent" val="0"/>
        <cfvo type="num" val="0.75"/>
        <cfvo type="num" val="1"/>
      </iconSet>
    </cfRule>
  </conditionalFormatting>
  <conditionalFormatting sqref="BW259">
    <cfRule type="iconSet" priority="1856">
      <iconSet iconSet="3Signs">
        <cfvo type="percent" val="0"/>
        <cfvo type="num" val="0.75"/>
        <cfvo type="num" val="1"/>
      </iconSet>
    </cfRule>
  </conditionalFormatting>
  <conditionalFormatting sqref="BW261">
    <cfRule type="iconSet" priority="1446">
      <iconSet iconSet="3Signs">
        <cfvo type="percent" val="0"/>
        <cfvo type="num" val="0.75"/>
        <cfvo type="num" val="1"/>
      </iconSet>
    </cfRule>
  </conditionalFormatting>
  <conditionalFormatting sqref="BW263">
    <cfRule type="iconSet" priority="445">
      <iconSet iconSet="3Signs">
        <cfvo type="percent" val="0"/>
        <cfvo type="num" val="0.75"/>
        <cfvo type="num" val="1"/>
      </iconSet>
    </cfRule>
  </conditionalFormatting>
  <conditionalFormatting sqref="BW265">
    <cfRule type="iconSet" priority="348">
      <iconSet iconSet="3Signs">
        <cfvo type="percent" val="0"/>
        <cfvo type="num" val="0.75"/>
        <cfvo type="num" val="1"/>
      </iconSet>
    </cfRule>
  </conditionalFormatting>
  <conditionalFormatting sqref="BW267">
    <cfRule type="iconSet" priority="332">
      <iconSet iconSet="3Signs">
        <cfvo type="percent" val="0"/>
        <cfvo type="num" val="0.75"/>
        <cfvo type="num" val="1"/>
      </iconSet>
    </cfRule>
  </conditionalFormatting>
  <conditionalFormatting sqref="BW269">
    <cfRule type="iconSet" priority="1460">
      <iconSet iconSet="3Signs">
        <cfvo type="percent" val="0"/>
        <cfvo type="num" val="0.75"/>
        <cfvo type="num" val="1"/>
      </iconSet>
    </cfRule>
  </conditionalFormatting>
  <conditionalFormatting sqref="BW271">
    <cfRule type="iconSet" priority="316">
      <iconSet iconSet="3Signs">
        <cfvo type="percent" val="0"/>
        <cfvo type="num" val="0.75"/>
        <cfvo type="num" val="1"/>
      </iconSet>
    </cfRule>
  </conditionalFormatting>
  <conditionalFormatting sqref="BW273">
    <cfRule type="iconSet" priority="461">
      <iconSet iconSet="3Signs">
        <cfvo type="percent" val="0"/>
        <cfvo type="num" val="0.75"/>
        <cfvo type="num" val="1"/>
      </iconSet>
    </cfRule>
  </conditionalFormatting>
  <conditionalFormatting sqref="BW275">
    <cfRule type="iconSet" priority="1890">
      <iconSet iconSet="3Signs">
        <cfvo type="percent" val="0"/>
        <cfvo type="num" val="0.75"/>
        <cfvo type="num" val="1"/>
      </iconSet>
    </cfRule>
  </conditionalFormatting>
  <conditionalFormatting sqref="BW278">
    <cfRule type="iconSet" priority="5121">
      <iconSet iconSet="3Signs">
        <cfvo type="percent" val="0"/>
        <cfvo type="num" val="0.75"/>
        <cfvo type="num" val="1"/>
      </iconSet>
    </cfRule>
  </conditionalFormatting>
  <conditionalFormatting sqref="BW280 BW296">
    <cfRule type="iconSet" priority="5125">
      <iconSet iconSet="3Signs">
        <cfvo type="percent" val="0"/>
        <cfvo type="num" val="0.75"/>
        <cfvo type="num" val="1"/>
      </iconSet>
    </cfRule>
  </conditionalFormatting>
  <conditionalFormatting sqref="BW282">
    <cfRule type="iconSet" priority="1828">
      <iconSet iconSet="3Signs">
        <cfvo type="percent" val="0"/>
        <cfvo type="num" val="0.75"/>
        <cfvo type="num" val="1"/>
      </iconSet>
    </cfRule>
  </conditionalFormatting>
  <conditionalFormatting sqref="BW284">
    <cfRule type="iconSet" priority="1842">
      <iconSet iconSet="3Signs">
        <cfvo type="percent" val="0"/>
        <cfvo type="num" val="0.75"/>
        <cfvo type="num" val="1"/>
      </iconSet>
    </cfRule>
  </conditionalFormatting>
  <conditionalFormatting sqref="BW286">
    <cfRule type="iconSet" priority="1417">
      <iconSet iconSet="3Signs">
        <cfvo type="percent" val="0"/>
        <cfvo type="num" val="0.75"/>
        <cfvo type="num" val="1"/>
      </iconSet>
    </cfRule>
  </conditionalFormatting>
  <conditionalFormatting sqref="BW288">
    <cfRule type="iconSet" priority="1403">
      <iconSet iconSet="3Signs">
        <cfvo type="percent" val="0"/>
        <cfvo type="num" val="0.75"/>
        <cfvo type="num" val="1"/>
      </iconSet>
    </cfRule>
  </conditionalFormatting>
  <conditionalFormatting sqref="BW290">
    <cfRule type="iconSet" priority="1431">
      <iconSet iconSet="3Signs">
        <cfvo type="percent" val="0"/>
        <cfvo type="num" val="0.75"/>
        <cfvo type="num" val="1"/>
      </iconSet>
    </cfRule>
  </conditionalFormatting>
  <conditionalFormatting sqref="BW292">
    <cfRule type="iconSet" priority="364">
      <iconSet iconSet="3Signs">
        <cfvo type="percent" val="0"/>
        <cfvo type="num" val="0.75"/>
        <cfvo type="num" val="1"/>
      </iconSet>
    </cfRule>
  </conditionalFormatting>
  <conditionalFormatting sqref="BW294">
    <cfRule type="iconSet" priority="3431">
      <iconSet iconSet="3Signs">
        <cfvo type="percent" val="0"/>
        <cfvo type="num" val="0.75"/>
        <cfvo type="num" val="1"/>
      </iconSet>
    </cfRule>
  </conditionalFormatting>
  <conditionalFormatting sqref="BW299">
    <cfRule type="iconSet" priority="3407">
      <iconSet iconSet="3Signs">
        <cfvo type="percent" val="0"/>
        <cfvo type="num" val="0.75"/>
        <cfvo type="num" val="1"/>
      </iconSet>
    </cfRule>
  </conditionalFormatting>
  <conditionalFormatting sqref="BW304">
    <cfRule type="iconSet" priority="3389">
      <iconSet iconSet="3Signs">
        <cfvo type="percent" val="0"/>
        <cfvo type="num" val="0.75"/>
        <cfvo type="num" val="1"/>
      </iconSet>
    </cfRule>
  </conditionalFormatting>
  <conditionalFormatting sqref="BW307">
    <cfRule type="iconSet" priority="5111">
      <iconSet iconSet="3Signs">
        <cfvo type="percent" val="0"/>
        <cfvo type="num" val="0.75"/>
        <cfvo type="num" val="1"/>
      </iconSet>
    </cfRule>
  </conditionalFormatting>
  <conditionalFormatting sqref="BW310">
    <cfRule type="iconSet" priority="5097">
      <iconSet iconSet="3Signs">
        <cfvo type="percent" val="0"/>
        <cfvo type="num" val="0.75"/>
        <cfvo type="num" val="1"/>
      </iconSet>
    </cfRule>
  </conditionalFormatting>
  <conditionalFormatting sqref="BW314">
    <cfRule type="iconSet" priority="5105">
      <iconSet iconSet="3Signs">
        <cfvo type="percent" val="0"/>
        <cfvo type="num" val="0.75"/>
        <cfvo type="num" val="1"/>
      </iconSet>
    </cfRule>
  </conditionalFormatting>
  <conditionalFormatting sqref="BW316">
    <cfRule type="iconSet" priority="2524">
      <iconSet iconSet="3Signs">
        <cfvo type="percent" val="0"/>
        <cfvo type="num" val="0.75"/>
        <cfvo type="num" val="1"/>
      </iconSet>
    </cfRule>
  </conditionalFormatting>
  <conditionalFormatting sqref="BW318">
    <cfRule type="iconSet" priority="5109">
      <iconSet iconSet="3Signs">
        <cfvo type="percent" val="0"/>
        <cfvo type="num" val="0.75"/>
        <cfvo type="num" val="1"/>
      </iconSet>
    </cfRule>
  </conditionalFormatting>
  <conditionalFormatting sqref="BW320">
    <cfRule type="iconSet" priority="4391">
      <iconSet iconSet="3Signs">
        <cfvo type="percent" val="0"/>
        <cfvo type="num" val="0.75"/>
        <cfvo type="num" val="1"/>
      </iconSet>
    </cfRule>
  </conditionalFormatting>
  <conditionalFormatting sqref="BW322">
    <cfRule type="iconSet" priority="2829">
      <iconSet iconSet="3Signs">
        <cfvo type="percent" val="0"/>
        <cfvo type="num" val="0.75"/>
        <cfvo type="num" val="1"/>
      </iconSet>
    </cfRule>
  </conditionalFormatting>
  <conditionalFormatting sqref="BW324">
    <cfRule type="iconSet" priority="2812">
      <iconSet iconSet="3Signs">
        <cfvo type="percent" val="0"/>
        <cfvo type="num" val="0.75"/>
        <cfvo type="num" val="1"/>
      </iconSet>
    </cfRule>
  </conditionalFormatting>
  <conditionalFormatting sqref="BW326">
    <cfRule type="iconSet" priority="2798">
      <iconSet iconSet="3Signs">
        <cfvo type="percent" val="0"/>
        <cfvo type="num" val="0.75"/>
        <cfvo type="num" val="1"/>
      </iconSet>
    </cfRule>
  </conditionalFormatting>
  <conditionalFormatting sqref="BW328">
    <cfRule type="iconSet" priority="2694">
      <iconSet iconSet="3Signs">
        <cfvo type="percent" val="0"/>
        <cfvo type="num" val="0.75"/>
        <cfvo type="num" val="1"/>
      </iconSet>
    </cfRule>
  </conditionalFormatting>
  <conditionalFormatting sqref="BW330">
    <cfRule type="iconSet" priority="2680">
      <iconSet iconSet="3Signs">
        <cfvo type="percent" val="0"/>
        <cfvo type="num" val="0.75"/>
        <cfvo type="num" val="1"/>
      </iconSet>
    </cfRule>
  </conditionalFormatting>
  <conditionalFormatting sqref="BW332">
    <cfRule type="iconSet" priority="2756">
      <iconSet iconSet="3Signs">
        <cfvo type="percent" val="0"/>
        <cfvo type="num" val="0.75"/>
        <cfvo type="num" val="1"/>
      </iconSet>
    </cfRule>
  </conditionalFormatting>
  <conditionalFormatting sqref="BW334">
    <cfRule type="iconSet" priority="2784">
      <iconSet iconSet="3Signs">
        <cfvo type="percent" val="0"/>
        <cfvo type="num" val="0.75"/>
        <cfvo type="num" val="1"/>
      </iconSet>
    </cfRule>
  </conditionalFormatting>
  <conditionalFormatting sqref="BW336">
    <cfRule type="iconSet" priority="2308">
      <iconSet iconSet="3Signs">
        <cfvo type="percent" val="0"/>
        <cfvo type="num" val="0.75"/>
        <cfvo type="num" val="1"/>
      </iconSet>
    </cfRule>
  </conditionalFormatting>
  <conditionalFormatting sqref="BW338">
    <cfRule type="iconSet" priority="2770">
      <iconSet iconSet="3Signs">
        <cfvo type="percent" val="0"/>
        <cfvo type="num" val="0.75"/>
        <cfvo type="num" val="1"/>
      </iconSet>
    </cfRule>
  </conditionalFormatting>
  <conditionalFormatting sqref="BW340">
    <cfRule type="iconSet" priority="2712">
      <iconSet iconSet="3Signs">
        <cfvo type="percent" val="0"/>
        <cfvo type="num" val="0.75"/>
        <cfvo type="num" val="1"/>
      </iconSet>
    </cfRule>
  </conditionalFormatting>
  <conditionalFormatting sqref="BW342">
    <cfRule type="iconSet" priority="2740">
      <iconSet iconSet="3Signs">
        <cfvo type="percent" val="0"/>
        <cfvo type="num" val="0.75"/>
        <cfvo type="num" val="1"/>
      </iconSet>
    </cfRule>
  </conditionalFormatting>
  <conditionalFormatting sqref="BW344">
    <cfRule type="iconSet" priority="2409">
      <iconSet iconSet="3Signs">
        <cfvo type="percent" val="0"/>
        <cfvo type="num" val="0.75"/>
        <cfvo type="num" val="1"/>
      </iconSet>
    </cfRule>
  </conditionalFormatting>
  <conditionalFormatting sqref="BW346">
    <cfRule type="iconSet" priority="2726">
      <iconSet iconSet="3Signs">
        <cfvo type="percent" val="0"/>
        <cfvo type="num" val="0.75"/>
        <cfvo type="num" val="1"/>
      </iconSet>
    </cfRule>
  </conditionalFormatting>
  <conditionalFormatting sqref="BW348">
    <cfRule type="iconSet" priority="2294">
      <iconSet iconSet="3Signs">
        <cfvo type="percent" val="0"/>
        <cfvo type="num" val="0.75"/>
        <cfvo type="num" val="1"/>
      </iconSet>
    </cfRule>
  </conditionalFormatting>
  <conditionalFormatting sqref="BW350">
    <cfRule type="iconSet" priority="2503">
      <iconSet iconSet="3Signs">
        <cfvo type="percent" val="0"/>
        <cfvo type="num" val="0.75"/>
        <cfvo type="num" val="1"/>
      </iconSet>
    </cfRule>
  </conditionalFormatting>
  <conditionalFormatting sqref="BW352">
    <cfRule type="iconSet" priority="5085">
      <iconSet iconSet="3Signs">
        <cfvo type="percent" val="0"/>
        <cfvo type="num" val="0.75"/>
        <cfvo type="num" val="1"/>
      </iconSet>
    </cfRule>
  </conditionalFormatting>
  <conditionalFormatting sqref="BW354">
    <cfRule type="iconSet" priority="5079">
      <iconSet iconSet="3Signs">
        <cfvo type="percent" val="0"/>
        <cfvo type="num" val="0.75"/>
        <cfvo type="num" val="1"/>
      </iconSet>
    </cfRule>
  </conditionalFormatting>
  <conditionalFormatting sqref="BW356">
    <cfRule type="iconSet" priority="5073">
      <iconSet iconSet="3Signs">
        <cfvo type="percent" val="0"/>
        <cfvo type="num" val="0.75"/>
        <cfvo type="num" val="1"/>
      </iconSet>
    </cfRule>
  </conditionalFormatting>
  <conditionalFormatting sqref="BW358">
    <cfRule type="iconSet" priority="2256">
      <iconSet iconSet="3Signs">
        <cfvo type="percent" val="0"/>
        <cfvo type="num" val="0.75"/>
        <cfvo type="num" val="1"/>
      </iconSet>
    </cfRule>
  </conditionalFormatting>
  <conditionalFormatting sqref="BW360">
    <cfRule type="iconSet" priority="2280">
      <iconSet iconSet="3Signs">
        <cfvo type="percent" val="0"/>
        <cfvo type="num" val="0.75"/>
        <cfvo type="num" val="1"/>
      </iconSet>
    </cfRule>
  </conditionalFormatting>
  <conditionalFormatting sqref="BW362">
    <cfRule type="iconSet" priority="1375">
      <iconSet iconSet="3Signs">
        <cfvo type="percent" val="0"/>
        <cfvo type="num" val="0.75"/>
        <cfvo type="num" val="1"/>
      </iconSet>
    </cfRule>
  </conditionalFormatting>
  <conditionalFormatting sqref="BW364">
    <cfRule type="iconSet" priority="1816">
      <iconSet iconSet="3Signs">
        <cfvo type="percent" val="0"/>
        <cfvo type="num" val="0.75"/>
        <cfvo type="num" val="1"/>
      </iconSet>
    </cfRule>
  </conditionalFormatting>
  <conditionalFormatting sqref="BW366">
    <cfRule type="iconSet" priority="1361">
      <iconSet iconSet="3Signs">
        <cfvo type="percent" val="0"/>
        <cfvo type="num" val="0.75"/>
        <cfvo type="num" val="1"/>
      </iconSet>
    </cfRule>
  </conditionalFormatting>
  <conditionalFormatting sqref="BW368">
    <cfRule type="iconSet" priority="2274">
      <iconSet iconSet="3Signs">
        <cfvo type="percent" val="0"/>
        <cfvo type="num" val="0.75"/>
        <cfvo type="num" val="1"/>
      </iconSet>
    </cfRule>
  </conditionalFormatting>
  <conditionalFormatting sqref="BW370">
    <cfRule type="iconSet" priority="1802">
      <iconSet iconSet="3Signs">
        <cfvo type="percent" val="0"/>
        <cfvo type="num" val="0.75"/>
        <cfvo type="num" val="1"/>
      </iconSet>
    </cfRule>
  </conditionalFormatting>
  <conditionalFormatting sqref="BW372">
    <cfRule type="iconSet" priority="2489">
      <iconSet iconSet="3Signs">
        <cfvo type="percent" val="0"/>
        <cfvo type="num" val="0.75"/>
        <cfvo type="num" val="1"/>
      </iconSet>
    </cfRule>
  </conditionalFormatting>
  <conditionalFormatting sqref="BW374">
    <cfRule type="iconSet" priority="2621">
      <iconSet iconSet="3Signs">
        <cfvo type="percent" val="0"/>
        <cfvo type="num" val="0.75"/>
        <cfvo type="num" val="1"/>
      </iconSet>
    </cfRule>
  </conditionalFormatting>
  <conditionalFormatting sqref="BW376">
    <cfRule type="iconSet" priority="2666">
      <iconSet iconSet="3Signs">
        <cfvo type="percent" val="0"/>
        <cfvo type="num" val="0.75"/>
        <cfvo type="num" val="1"/>
      </iconSet>
    </cfRule>
  </conditionalFormatting>
  <conditionalFormatting sqref="BW378">
    <cfRule type="iconSet" priority="2601">
      <iconSet iconSet="3Signs">
        <cfvo type="percent" val="0"/>
        <cfvo type="num" val="0.75"/>
        <cfvo type="num" val="1"/>
      </iconSet>
    </cfRule>
  </conditionalFormatting>
  <conditionalFormatting sqref="BW380">
    <cfRule type="iconSet" priority="2651">
      <iconSet iconSet="3Signs">
        <cfvo type="percent" val="0"/>
        <cfvo type="num" val="0.75"/>
        <cfvo type="num" val="1"/>
      </iconSet>
    </cfRule>
  </conditionalFormatting>
  <conditionalFormatting sqref="BW382">
    <cfRule type="iconSet" priority="2581">
      <iconSet iconSet="3Signs">
        <cfvo type="percent" val="0"/>
        <cfvo type="num" val="0.75"/>
        <cfvo type="num" val="1"/>
      </iconSet>
    </cfRule>
  </conditionalFormatting>
  <conditionalFormatting sqref="BW384">
    <cfRule type="iconSet" priority="2636">
      <iconSet iconSet="3Signs">
        <cfvo type="percent" val="0"/>
        <cfvo type="num" val="0.75"/>
        <cfvo type="num" val="1"/>
      </iconSet>
    </cfRule>
  </conditionalFormatting>
  <conditionalFormatting sqref="BW386">
    <cfRule type="iconSet" priority="1336">
      <iconSet iconSet="3Signs">
        <cfvo type="percent" val="0"/>
        <cfvo type="num" val="0.75"/>
        <cfvo type="num" val="1"/>
      </iconSet>
    </cfRule>
  </conditionalFormatting>
  <conditionalFormatting sqref="BW388">
    <cfRule type="iconSet" priority="1320">
      <iconSet iconSet="3Signs">
        <cfvo type="percent" val="0"/>
        <cfvo type="num" val="0.75"/>
        <cfvo type="num" val="1"/>
      </iconSet>
    </cfRule>
  </conditionalFormatting>
  <conditionalFormatting sqref="BW390">
    <cfRule type="iconSet" priority="1328">
      <iconSet iconSet="3Signs">
        <cfvo type="percent" val="0"/>
        <cfvo type="num" val="0.75"/>
        <cfvo type="num" val="1"/>
      </iconSet>
    </cfRule>
  </conditionalFormatting>
  <conditionalFormatting sqref="BW393">
    <cfRule type="iconSet" priority="5043">
      <iconSet iconSet="3Signs">
        <cfvo type="percent" val="0"/>
        <cfvo type="num" val="0.75"/>
        <cfvo type="num" val="1"/>
      </iconSet>
    </cfRule>
  </conditionalFormatting>
  <conditionalFormatting sqref="BW395">
    <cfRule type="iconSet" priority="5011">
      <iconSet iconSet="3Signs">
        <cfvo type="percent" val="0"/>
        <cfvo type="num" val="0.75"/>
        <cfvo type="num" val="1"/>
      </iconSet>
    </cfRule>
  </conditionalFormatting>
  <conditionalFormatting sqref="BW397">
    <cfRule type="iconSet" priority="4709">
      <iconSet iconSet="3Signs">
        <cfvo type="percent" val="0"/>
        <cfvo type="num" val="0.75"/>
        <cfvo type="num" val="1"/>
      </iconSet>
    </cfRule>
  </conditionalFormatting>
  <conditionalFormatting sqref="BW399">
    <cfRule type="iconSet" priority="4968">
      <iconSet iconSet="3Signs">
        <cfvo type="percent" val="0"/>
        <cfvo type="num" val="0.75"/>
        <cfvo type="num" val="1"/>
      </iconSet>
    </cfRule>
  </conditionalFormatting>
  <conditionalFormatting sqref="BW401">
    <cfRule type="iconSet" priority="2242">
      <iconSet iconSet="3Signs">
        <cfvo type="percent" val="0"/>
        <cfvo type="num" val="0.75"/>
        <cfvo type="num" val="1"/>
      </iconSet>
    </cfRule>
  </conditionalFormatting>
  <conditionalFormatting sqref="BW403">
    <cfRule type="iconSet" priority="2228">
      <iconSet iconSet="3Signs">
        <cfvo type="percent" val="0"/>
        <cfvo type="num" val="0.75"/>
        <cfvo type="num" val="1"/>
      </iconSet>
    </cfRule>
  </conditionalFormatting>
  <conditionalFormatting sqref="BW405">
    <cfRule type="iconSet" priority="1786">
      <iconSet iconSet="3Signs">
        <cfvo type="percent" val="0"/>
        <cfvo type="num" val="0.75"/>
        <cfvo type="num" val="1"/>
      </iconSet>
    </cfRule>
  </conditionalFormatting>
  <conditionalFormatting sqref="BW407">
    <cfRule type="iconSet" priority="1770">
      <iconSet iconSet="3Signs">
        <cfvo type="percent" val="0"/>
        <cfvo type="num" val="0.75"/>
        <cfvo type="num" val="1"/>
      </iconSet>
    </cfRule>
  </conditionalFormatting>
  <conditionalFormatting sqref="BW409">
    <cfRule type="iconSet" priority="1778">
      <iconSet iconSet="3Signs">
        <cfvo type="percent" val="0"/>
        <cfvo type="num" val="0.75"/>
        <cfvo type="num" val="1"/>
      </iconSet>
    </cfRule>
  </conditionalFormatting>
  <conditionalFormatting sqref="BW411">
    <cfRule type="iconSet" priority="1287">
      <iconSet iconSet="3Signs">
        <cfvo type="percent" val="0"/>
        <cfvo type="num" val="0.75"/>
        <cfvo type="num" val="1"/>
      </iconSet>
    </cfRule>
  </conditionalFormatting>
  <conditionalFormatting sqref="BW413">
    <cfRule type="iconSet" priority="1271">
      <iconSet iconSet="3Signs">
        <cfvo type="percent" val="0"/>
        <cfvo type="num" val="0.75"/>
        <cfvo type="num" val="1"/>
      </iconSet>
    </cfRule>
  </conditionalFormatting>
  <conditionalFormatting sqref="BW415">
    <cfRule type="iconSet" priority="1279">
      <iconSet iconSet="3Signs">
        <cfvo type="percent" val="0"/>
        <cfvo type="num" val="0.75"/>
        <cfvo type="num" val="1"/>
      </iconSet>
    </cfRule>
  </conditionalFormatting>
  <conditionalFormatting sqref="BW417">
    <cfRule type="iconSet" priority="3127">
      <iconSet iconSet="3Signs">
        <cfvo type="percent" val="0"/>
        <cfvo type="num" val="0.75"/>
        <cfvo type="num" val="1"/>
      </iconSet>
    </cfRule>
  </conditionalFormatting>
  <conditionalFormatting sqref="BW419">
    <cfRule type="iconSet" priority="3103">
      <iconSet iconSet="3Signs">
        <cfvo type="percent" val="0"/>
        <cfvo type="num" val="0.75"/>
        <cfvo type="num" val="1"/>
      </iconSet>
    </cfRule>
  </conditionalFormatting>
  <conditionalFormatting sqref="BW421">
    <cfRule type="iconSet" priority="3119">
      <iconSet iconSet="3Signs">
        <cfvo type="percent" val="0"/>
        <cfvo type="num" val="0.75"/>
        <cfvo type="num" val="1"/>
      </iconSet>
    </cfRule>
  </conditionalFormatting>
  <conditionalFormatting sqref="BW423">
    <cfRule type="iconSet" priority="3111">
      <iconSet iconSet="3Signs">
        <cfvo type="percent" val="0"/>
        <cfvo type="num" val="0.75"/>
        <cfvo type="num" val="1"/>
      </iconSet>
    </cfRule>
  </conditionalFormatting>
  <conditionalFormatting sqref="BW425">
    <cfRule type="iconSet" priority="199">
      <iconSet iconSet="3Signs">
        <cfvo type="percent" val="0"/>
        <cfvo type="num" val="0.75"/>
        <cfvo type="num" val="1"/>
      </iconSet>
    </cfRule>
  </conditionalFormatting>
  <conditionalFormatting sqref="BW428">
    <cfRule type="iconSet" priority="4956">
      <iconSet iconSet="3Signs">
        <cfvo type="percent" val="0"/>
        <cfvo type="num" val="0.75"/>
        <cfvo type="num" val="1"/>
      </iconSet>
    </cfRule>
  </conditionalFormatting>
  <conditionalFormatting sqref="BW430">
    <cfRule type="iconSet" priority="4701">
      <iconSet iconSet="3Signs">
        <cfvo type="percent" val="0"/>
        <cfvo type="num" val="0.75"/>
        <cfvo type="num" val="1"/>
      </iconSet>
    </cfRule>
  </conditionalFormatting>
  <conditionalFormatting sqref="BW432">
    <cfRule type="iconSet" priority="2563">
      <iconSet iconSet="3Signs">
        <cfvo type="percent" val="0"/>
        <cfvo type="num" val="0.75"/>
        <cfvo type="num" val="1"/>
      </iconSet>
    </cfRule>
  </conditionalFormatting>
  <conditionalFormatting sqref="BW434">
    <cfRule type="iconSet" priority="3054">
      <iconSet iconSet="3Signs">
        <cfvo type="percent" val="0"/>
        <cfvo type="num" val="0.75"/>
        <cfvo type="num" val="1"/>
      </iconSet>
    </cfRule>
  </conditionalFormatting>
  <conditionalFormatting sqref="BW436">
    <cfRule type="iconSet" priority="3050">
      <iconSet iconSet="3Signs">
        <cfvo type="percent" val="0"/>
        <cfvo type="num" val="0.75"/>
        <cfvo type="num" val="1"/>
      </iconSet>
    </cfRule>
  </conditionalFormatting>
  <conditionalFormatting sqref="BW438">
    <cfRule type="iconSet" priority="3042">
      <iconSet iconSet="3Signs">
        <cfvo type="percent" val="0"/>
        <cfvo type="num" val="0.75"/>
        <cfvo type="num" val="1"/>
      </iconSet>
    </cfRule>
  </conditionalFormatting>
  <conditionalFormatting sqref="BW440">
    <cfRule type="iconSet" priority="3036">
      <iconSet iconSet="3Signs">
        <cfvo type="percent" val="0"/>
        <cfvo type="num" val="0.75"/>
        <cfvo type="num" val="1"/>
      </iconSet>
    </cfRule>
  </conditionalFormatting>
  <conditionalFormatting sqref="BW442">
    <cfRule type="iconSet" priority="1239">
      <iconSet iconSet="3Signs">
        <cfvo type="percent" val="0"/>
        <cfvo type="num" val="0.75"/>
        <cfvo type="num" val="1"/>
      </iconSet>
    </cfRule>
  </conditionalFormatting>
  <conditionalFormatting sqref="BW444">
    <cfRule type="iconSet" priority="4960">
      <iconSet iconSet="3Signs">
        <cfvo type="percent" val="0"/>
        <cfvo type="num" val="0.75"/>
        <cfvo type="num" val="1"/>
      </iconSet>
    </cfRule>
  </conditionalFormatting>
  <conditionalFormatting sqref="BW446">
    <cfRule type="iconSet" priority="1225">
      <iconSet iconSet="3Signs">
        <cfvo type="percent" val="0"/>
        <cfvo type="num" val="0.75"/>
        <cfvo type="num" val="1"/>
      </iconSet>
    </cfRule>
  </conditionalFormatting>
  <conditionalFormatting sqref="BW448">
    <cfRule type="iconSet" priority="4950">
      <iconSet iconSet="3Signs">
        <cfvo type="percent" val="0"/>
        <cfvo type="num" val="0.75"/>
        <cfvo type="num" val="1"/>
      </iconSet>
    </cfRule>
  </conditionalFormatting>
  <conditionalFormatting sqref="BW450">
    <cfRule type="iconSet" priority="4942">
      <iconSet iconSet="3Signs">
        <cfvo type="percent" val="0"/>
        <cfvo type="num" val="0.75"/>
        <cfvo type="num" val="1"/>
      </iconSet>
    </cfRule>
  </conditionalFormatting>
  <conditionalFormatting sqref="BW452">
    <cfRule type="iconSet" priority="4936">
      <iconSet iconSet="3Signs">
        <cfvo type="percent" val="0"/>
        <cfvo type="num" val="0.75"/>
        <cfvo type="num" val="1"/>
      </iconSet>
    </cfRule>
  </conditionalFormatting>
  <conditionalFormatting sqref="BW454">
    <cfRule type="iconSet" priority="4930">
      <iconSet iconSet="3Signs">
        <cfvo type="percent" val="0"/>
        <cfvo type="num" val="0.75"/>
        <cfvo type="num" val="1"/>
      </iconSet>
    </cfRule>
  </conditionalFormatting>
  <conditionalFormatting sqref="BW456">
    <cfRule type="iconSet" priority="4924">
      <iconSet iconSet="3Signs">
        <cfvo type="percent" val="0"/>
        <cfvo type="num" val="0.75"/>
        <cfvo type="num" val="1"/>
      </iconSet>
    </cfRule>
  </conditionalFormatting>
  <conditionalFormatting sqref="BW458">
    <cfRule type="iconSet" priority="4914">
      <iconSet iconSet="3Signs">
        <cfvo type="percent" val="0"/>
        <cfvo type="num" val="0.75"/>
        <cfvo type="num" val="1"/>
      </iconSet>
    </cfRule>
  </conditionalFormatting>
  <conditionalFormatting sqref="BW460">
    <cfRule type="iconSet" priority="2545">
      <iconSet iconSet="3Signs">
        <cfvo type="percent" val="0"/>
        <cfvo type="num" val="0.75"/>
        <cfvo type="num" val="1"/>
      </iconSet>
    </cfRule>
  </conditionalFormatting>
  <conditionalFormatting sqref="BW462">
    <cfRule type="iconSet" priority="4906">
      <iconSet iconSet="3Signs">
        <cfvo type="percent" val="0"/>
        <cfvo type="num" val="0.75"/>
        <cfvo type="num" val="1"/>
      </iconSet>
    </cfRule>
  </conditionalFormatting>
  <conditionalFormatting sqref="BW464">
    <cfRule type="iconSet" priority="4890">
      <iconSet iconSet="3Signs">
        <cfvo type="percent" val="0"/>
        <cfvo type="num" val="0.75"/>
        <cfvo type="num" val="1"/>
      </iconSet>
    </cfRule>
  </conditionalFormatting>
  <conditionalFormatting sqref="BW466">
    <cfRule type="iconSet" priority="3298">
      <iconSet iconSet="3Signs">
        <cfvo type="percent" val="0"/>
        <cfvo type="num" val="0.75"/>
        <cfvo type="num" val="1"/>
      </iconSet>
    </cfRule>
  </conditionalFormatting>
  <conditionalFormatting sqref="BW468">
    <cfRule type="iconSet" priority="3284">
      <iconSet iconSet="3Signs">
        <cfvo type="percent" val="0"/>
        <cfvo type="num" val="0.75"/>
        <cfvo type="num" val="1"/>
      </iconSet>
    </cfRule>
  </conditionalFormatting>
  <conditionalFormatting sqref="BW470">
    <cfRule type="iconSet" priority="4898">
      <iconSet iconSet="3Signs">
        <cfvo type="percent" val="0"/>
        <cfvo type="num" val="0.75"/>
        <cfvo type="num" val="1"/>
      </iconSet>
    </cfRule>
  </conditionalFormatting>
  <conditionalFormatting sqref="BW472">
    <cfRule type="iconSet" priority="4882">
      <iconSet iconSet="3Signs">
        <cfvo type="percent" val="0"/>
        <cfvo type="num" val="0.75"/>
        <cfvo type="num" val="1"/>
      </iconSet>
    </cfRule>
  </conditionalFormatting>
  <conditionalFormatting sqref="BW474">
    <cfRule type="iconSet" priority="4874">
      <iconSet iconSet="3Signs">
        <cfvo type="percent" val="0"/>
        <cfvo type="num" val="0.75"/>
        <cfvo type="num" val="1"/>
      </iconSet>
    </cfRule>
  </conditionalFormatting>
  <conditionalFormatting sqref="BW476">
    <cfRule type="iconSet" priority="4527">
      <iconSet iconSet="3Signs">
        <cfvo type="percent" val="0"/>
        <cfvo type="num" val="0.75"/>
        <cfvo type="num" val="1"/>
      </iconSet>
    </cfRule>
  </conditionalFormatting>
  <conditionalFormatting sqref="BW478">
    <cfRule type="iconSet" priority="3463">
      <iconSet iconSet="3Signs">
        <cfvo type="percent" val="0"/>
        <cfvo type="num" val="0.75"/>
        <cfvo type="num" val="1"/>
      </iconSet>
    </cfRule>
  </conditionalFormatting>
  <conditionalFormatting sqref="BW480">
    <cfRule type="iconSet" priority="3004">
      <iconSet iconSet="3Signs">
        <cfvo type="percent" val="0"/>
        <cfvo type="num" val="0.75"/>
        <cfvo type="num" val="1"/>
      </iconSet>
    </cfRule>
  </conditionalFormatting>
  <conditionalFormatting sqref="BW482">
    <cfRule type="iconSet" priority="2990">
      <iconSet iconSet="3Signs">
        <cfvo type="percent" val="0"/>
        <cfvo type="num" val="0.75"/>
        <cfvo type="num" val="1"/>
      </iconSet>
    </cfRule>
  </conditionalFormatting>
  <conditionalFormatting sqref="BW484">
    <cfRule type="iconSet" priority="2213">
      <iconSet iconSet="3Signs">
        <cfvo type="percent" val="0"/>
        <cfvo type="num" val="0.75"/>
        <cfvo type="num" val="1"/>
      </iconSet>
    </cfRule>
  </conditionalFormatting>
  <conditionalFormatting sqref="BW486">
    <cfRule type="iconSet" priority="4866">
      <iconSet iconSet="3Signs">
        <cfvo type="percent" val="0"/>
        <cfvo type="num" val="0.75"/>
        <cfvo type="num" val="1"/>
      </iconSet>
    </cfRule>
  </conditionalFormatting>
  <conditionalFormatting sqref="BW488">
    <cfRule type="iconSet" priority="2101">
      <iconSet iconSet="3Signs">
        <cfvo type="percent" val="0"/>
        <cfvo type="num" val="0.75"/>
        <cfvo type="num" val="1"/>
      </iconSet>
    </cfRule>
  </conditionalFormatting>
  <conditionalFormatting sqref="BW490">
    <cfRule type="iconSet" priority="2140">
      <iconSet iconSet="3Signs">
        <cfvo type="percent" val="0"/>
        <cfvo type="num" val="0.75"/>
        <cfvo type="num" val="1"/>
      </iconSet>
    </cfRule>
  </conditionalFormatting>
  <conditionalFormatting sqref="BW492">
    <cfRule type="iconSet" priority="2136">
      <iconSet iconSet="3Signs">
        <cfvo type="percent" val="0"/>
        <cfvo type="num" val="0.75"/>
        <cfvo type="num" val="1"/>
      </iconSet>
    </cfRule>
  </conditionalFormatting>
  <conditionalFormatting sqref="BW494">
    <cfRule type="iconSet" priority="2128">
      <iconSet iconSet="3Signs">
        <cfvo type="percent" val="0"/>
        <cfvo type="num" val="0.75"/>
        <cfvo type="num" val="1"/>
      </iconSet>
    </cfRule>
  </conditionalFormatting>
  <conditionalFormatting sqref="BW496">
    <cfRule type="iconSet" priority="2122">
      <iconSet iconSet="3Signs">
        <cfvo type="percent" val="0"/>
        <cfvo type="num" val="0.75"/>
        <cfvo type="num" val="1"/>
      </iconSet>
    </cfRule>
  </conditionalFormatting>
  <conditionalFormatting sqref="BW498">
    <cfRule type="iconSet" priority="2116">
      <iconSet iconSet="3Signs">
        <cfvo type="percent" val="0"/>
        <cfvo type="num" val="0.75"/>
        <cfvo type="num" val="1"/>
      </iconSet>
    </cfRule>
  </conditionalFormatting>
  <conditionalFormatting sqref="BW500">
    <cfRule type="iconSet" priority="2110">
      <iconSet iconSet="3Signs">
        <cfvo type="percent" val="0"/>
        <cfvo type="num" val="0.75"/>
        <cfvo type="num" val="1"/>
      </iconSet>
    </cfRule>
  </conditionalFormatting>
  <conditionalFormatting sqref="BW502">
    <cfRule type="iconSet" priority="1609">
      <iconSet iconSet="3Signs">
        <cfvo type="percent" val="0"/>
        <cfvo type="num" val="0.75"/>
        <cfvo type="num" val="1"/>
      </iconSet>
    </cfRule>
  </conditionalFormatting>
  <conditionalFormatting sqref="BW504">
    <cfRule type="iconSet" priority="1647">
      <iconSet iconSet="3Signs">
        <cfvo type="percent" val="0"/>
        <cfvo type="num" val="0.75"/>
        <cfvo type="num" val="1"/>
      </iconSet>
    </cfRule>
  </conditionalFormatting>
  <conditionalFormatting sqref="BW506">
    <cfRule type="iconSet" priority="1643">
      <iconSet iconSet="3Signs">
        <cfvo type="percent" val="0"/>
        <cfvo type="num" val="0.75"/>
        <cfvo type="num" val="1"/>
      </iconSet>
    </cfRule>
  </conditionalFormatting>
  <conditionalFormatting sqref="BW508">
    <cfRule type="iconSet" priority="1635">
      <iconSet iconSet="3Signs">
        <cfvo type="percent" val="0"/>
        <cfvo type="num" val="0.75"/>
        <cfvo type="num" val="1"/>
      </iconSet>
    </cfRule>
  </conditionalFormatting>
  <conditionalFormatting sqref="BW510">
    <cfRule type="iconSet" priority="108">
      <iconSet iconSet="3Signs">
        <cfvo type="percent" val="0"/>
        <cfvo type="num" val="0.75"/>
        <cfvo type="num" val="1"/>
      </iconSet>
    </cfRule>
  </conditionalFormatting>
  <conditionalFormatting sqref="BW512">
    <cfRule type="iconSet" priority="1629">
      <iconSet iconSet="3Signs">
        <cfvo type="percent" val="0"/>
        <cfvo type="num" val="0.75"/>
        <cfvo type="num" val="1"/>
      </iconSet>
    </cfRule>
  </conditionalFormatting>
  <conditionalFormatting sqref="BW514">
    <cfRule type="iconSet" priority="92">
      <iconSet iconSet="3Signs">
        <cfvo type="percent" val="0"/>
        <cfvo type="num" val="0.75"/>
        <cfvo type="num" val="1"/>
      </iconSet>
    </cfRule>
  </conditionalFormatting>
  <conditionalFormatting sqref="BW516">
    <cfRule type="iconSet" priority="288">
      <iconSet iconSet="3Signs">
        <cfvo type="percent" val="0"/>
        <cfvo type="num" val="0.75"/>
        <cfvo type="num" val="1"/>
      </iconSet>
    </cfRule>
  </conditionalFormatting>
  <conditionalFormatting sqref="BW518">
    <cfRule type="iconSet" priority="272">
      <iconSet iconSet="3Signs">
        <cfvo type="percent" val="0"/>
        <cfvo type="num" val="0.75"/>
        <cfvo type="num" val="1"/>
      </iconSet>
    </cfRule>
  </conditionalFormatting>
  <conditionalFormatting sqref="BW520">
    <cfRule type="iconSet" priority="1623">
      <iconSet iconSet="3Signs">
        <cfvo type="percent" val="0"/>
        <cfvo type="num" val="0.75"/>
        <cfvo type="num" val="1"/>
      </iconSet>
    </cfRule>
  </conditionalFormatting>
  <conditionalFormatting sqref="BW522">
    <cfRule type="iconSet" priority="529">
      <iconSet iconSet="3Signs">
        <cfvo type="percent" val="0"/>
        <cfvo type="num" val="0.75"/>
        <cfvo type="num" val="1"/>
      </iconSet>
    </cfRule>
  </conditionalFormatting>
  <conditionalFormatting sqref="BW524">
    <cfRule type="iconSet" priority="513">
      <iconSet iconSet="3Signs">
        <cfvo type="percent" val="0"/>
        <cfvo type="num" val="0.75"/>
        <cfvo type="num" val="1"/>
      </iconSet>
    </cfRule>
  </conditionalFormatting>
  <conditionalFormatting sqref="BW526">
    <cfRule type="iconSet" priority="304">
      <iconSet iconSet="3Signs">
        <cfvo type="percent" val="0"/>
        <cfvo type="num" val="0.75"/>
        <cfvo type="num" val="1"/>
      </iconSet>
    </cfRule>
  </conditionalFormatting>
  <conditionalFormatting sqref="BW528">
    <cfRule type="iconSet" priority="1617">
      <iconSet iconSet="3Signs">
        <cfvo type="percent" val="0"/>
        <cfvo type="num" val="0.75"/>
        <cfvo type="num" val="1"/>
      </iconSet>
    </cfRule>
  </conditionalFormatting>
  <conditionalFormatting sqref="BW530">
    <cfRule type="iconSet" priority="1700">
      <iconSet iconSet="3Signs">
        <cfvo type="percent" val="0"/>
        <cfvo type="num" val="0.75"/>
        <cfvo type="num" val="1"/>
      </iconSet>
    </cfRule>
  </conditionalFormatting>
  <conditionalFormatting sqref="BW532">
    <cfRule type="iconSet" priority="1738">
      <iconSet iconSet="3Signs">
        <cfvo type="percent" val="0"/>
        <cfvo type="num" val="0.75"/>
        <cfvo type="num" val="1"/>
      </iconSet>
    </cfRule>
  </conditionalFormatting>
  <conditionalFormatting sqref="BW534">
    <cfRule type="iconSet" priority="255">
      <iconSet iconSet="3Signs">
        <cfvo type="percent" val="0"/>
        <cfvo type="num" val="0.75"/>
        <cfvo type="num" val="1"/>
      </iconSet>
    </cfRule>
  </conditionalFormatting>
  <conditionalFormatting sqref="BW536">
    <cfRule type="iconSet" priority="1734">
      <iconSet iconSet="3Signs">
        <cfvo type="percent" val="0"/>
        <cfvo type="num" val="0.75"/>
        <cfvo type="num" val="1"/>
      </iconSet>
    </cfRule>
  </conditionalFormatting>
  <conditionalFormatting sqref="BW538">
    <cfRule type="iconSet" priority="1726">
      <iconSet iconSet="3Signs">
        <cfvo type="percent" val="0"/>
        <cfvo type="num" val="0.75"/>
        <cfvo type="num" val="1"/>
      </iconSet>
    </cfRule>
  </conditionalFormatting>
  <conditionalFormatting sqref="BW540">
    <cfRule type="iconSet" priority="497">
      <iconSet iconSet="3Signs">
        <cfvo type="percent" val="0"/>
        <cfvo type="num" val="0.75"/>
        <cfvo type="num" val="1"/>
      </iconSet>
    </cfRule>
  </conditionalFormatting>
  <conditionalFormatting sqref="BW542">
    <cfRule type="iconSet" priority="76">
      <iconSet iconSet="3Signs">
        <cfvo type="percent" val="0"/>
        <cfvo type="num" val="0.75"/>
        <cfvo type="num" val="1"/>
      </iconSet>
    </cfRule>
  </conditionalFormatting>
  <conditionalFormatting sqref="BW544">
    <cfRule type="iconSet" priority="1720">
      <iconSet iconSet="3Signs">
        <cfvo type="percent" val="0"/>
        <cfvo type="num" val="0.75"/>
        <cfvo type="num" val="1"/>
      </iconSet>
    </cfRule>
  </conditionalFormatting>
  <conditionalFormatting sqref="BW546">
    <cfRule type="iconSet" priority="221">
      <iconSet iconSet="3Signs">
        <cfvo type="percent" val="0"/>
        <cfvo type="num" val="0.75"/>
        <cfvo type="num" val="1"/>
      </iconSet>
    </cfRule>
  </conditionalFormatting>
  <conditionalFormatting sqref="BW548">
    <cfRule type="iconSet" priority="16">
      <iconSet iconSet="3Signs">
        <cfvo type="percent" val="0"/>
        <cfvo type="num" val="0.75"/>
        <cfvo type="num" val="1"/>
      </iconSet>
    </cfRule>
  </conditionalFormatting>
  <conditionalFormatting sqref="BW550">
    <cfRule type="iconSet" priority="177">
      <iconSet iconSet="3Signs">
        <cfvo type="percent" val="0"/>
        <cfvo type="num" val="0.75"/>
        <cfvo type="num" val="1"/>
      </iconSet>
    </cfRule>
  </conditionalFormatting>
  <conditionalFormatting sqref="BW552">
    <cfRule type="iconSet" priority="386">
      <iconSet iconSet="3Signs">
        <cfvo type="percent" val="0"/>
        <cfvo type="num" val="0.75"/>
        <cfvo type="num" val="1"/>
      </iconSet>
    </cfRule>
  </conditionalFormatting>
  <conditionalFormatting sqref="BW554">
    <cfRule type="iconSet" priority="239">
      <iconSet iconSet="3Signs">
        <cfvo type="percent" val="0"/>
        <cfvo type="num" val="0.75"/>
        <cfvo type="num" val="1"/>
      </iconSet>
    </cfRule>
  </conditionalFormatting>
  <conditionalFormatting sqref="BW556">
    <cfRule type="iconSet" priority="1714">
      <iconSet iconSet="3Signs">
        <cfvo type="percent" val="0"/>
        <cfvo type="num" val="0.75"/>
        <cfvo type="num" val="1"/>
      </iconSet>
    </cfRule>
  </conditionalFormatting>
  <conditionalFormatting sqref="BW558">
    <cfRule type="iconSet" priority="481">
      <iconSet iconSet="3Signs">
        <cfvo type="percent" val="0"/>
        <cfvo type="num" val="0.75"/>
        <cfvo type="num" val="1"/>
      </iconSet>
    </cfRule>
  </conditionalFormatting>
  <conditionalFormatting sqref="BW560">
    <cfRule type="iconSet" priority="60">
      <iconSet iconSet="3Signs">
        <cfvo type="percent" val="0"/>
        <cfvo type="num" val="0.75"/>
        <cfvo type="num" val="1"/>
      </iconSet>
    </cfRule>
  </conditionalFormatting>
  <conditionalFormatting sqref="BW562">
    <cfRule type="iconSet" priority="1708">
      <iconSet iconSet="3Signs">
        <cfvo type="percent" val="0"/>
        <cfvo type="num" val="0.75"/>
        <cfvo type="num" val="1"/>
      </iconSet>
    </cfRule>
  </conditionalFormatting>
  <conditionalFormatting sqref="BW564">
    <cfRule type="iconSet" priority="4693">
      <iconSet iconSet="3Signs">
        <cfvo type="percent" val="0"/>
        <cfvo type="num" val="0.75"/>
        <cfvo type="num" val="1"/>
      </iconSet>
    </cfRule>
  </conditionalFormatting>
  <conditionalFormatting sqref="BW566">
    <cfRule type="iconSet" priority="4689">
      <iconSet iconSet="3Signs">
        <cfvo type="percent" val="0"/>
        <cfvo type="num" val="0.75"/>
        <cfvo type="num" val="1"/>
      </iconSet>
    </cfRule>
  </conditionalFormatting>
  <conditionalFormatting sqref="BW568">
    <cfRule type="iconSet" priority="4681">
      <iconSet iconSet="3Signs">
        <cfvo type="percent" val="0"/>
        <cfvo type="num" val="0.75"/>
        <cfvo type="num" val="1"/>
      </iconSet>
    </cfRule>
  </conditionalFormatting>
  <conditionalFormatting sqref="BW570">
    <cfRule type="iconSet" priority="4675">
      <iconSet iconSet="3Signs">
        <cfvo type="percent" val="0"/>
        <cfvo type="num" val="0.75"/>
        <cfvo type="num" val="1"/>
      </iconSet>
    </cfRule>
  </conditionalFormatting>
  <conditionalFormatting sqref="BW572">
    <cfRule type="iconSet" priority="4669">
      <iconSet iconSet="3Signs">
        <cfvo type="percent" val="0"/>
        <cfvo type="num" val="0.75"/>
        <cfvo type="num" val="1"/>
      </iconSet>
    </cfRule>
  </conditionalFormatting>
  <conditionalFormatting sqref="BW574">
    <cfRule type="iconSet" priority="4663">
      <iconSet iconSet="3Signs">
        <cfvo type="percent" val="0"/>
        <cfvo type="num" val="0.75"/>
        <cfvo type="num" val="1"/>
      </iconSet>
    </cfRule>
  </conditionalFormatting>
  <conditionalFormatting sqref="BW576">
    <cfRule type="iconSet" priority="4655">
      <iconSet iconSet="3Signs">
        <cfvo type="percent" val="0"/>
        <cfvo type="num" val="0.75"/>
        <cfvo type="num" val="1"/>
      </iconSet>
    </cfRule>
  </conditionalFormatting>
  <conditionalFormatting sqref="BW578">
    <cfRule type="iconSet" priority="4631">
      <iconSet iconSet="3Signs">
        <cfvo type="percent" val="0"/>
        <cfvo type="num" val="0.75"/>
        <cfvo type="num" val="1"/>
      </iconSet>
    </cfRule>
  </conditionalFormatting>
  <conditionalFormatting sqref="BW580">
    <cfRule type="iconSet" priority="4647">
      <iconSet iconSet="3Signs">
        <cfvo type="percent" val="0"/>
        <cfvo type="num" val="0.75"/>
        <cfvo type="num" val="1"/>
      </iconSet>
    </cfRule>
  </conditionalFormatting>
  <conditionalFormatting sqref="BW582">
    <cfRule type="iconSet" priority="4623">
      <iconSet iconSet="3Signs">
        <cfvo type="percent" val="0"/>
        <cfvo type="num" val="0.75"/>
        <cfvo type="num" val="1"/>
      </iconSet>
    </cfRule>
  </conditionalFormatting>
  <conditionalFormatting sqref="BW584">
    <cfRule type="iconSet" priority="4639">
      <iconSet iconSet="3Signs">
        <cfvo type="percent" val="0"/>
        <cfvo type="num" val="0.75"/>
        <cfvo type="num" val="1"/>
      </iconSet>
    </cfRule>
  </conditionalFormatting>
  <conditionalFormatting sqref="BW586">
    <cfRule type="iconSet" priority="4615">
      <iconSet iconSet="3Signs">
        <cfvo type="percent" val="0"/>
        <cfvo type="num" val="0.75"/>
        <cfvo type="num" val="1"/>
      </iconSet>
    </cfRule>
  </conditionalFormatting>
  <conditionalFormatting sqref="BW588">
    <cfRule type="iconSet" priority="2196">
      <iconSet iconSet="3Signs">
        <cfvo type="percent" val="0"/>
        <cfvo type="num" val="0.75"/>
        <cfvo type="num" val="1"/>
      </iconSet>
    </cfRule>
  </conditionalFormatting>
  <conditionalFormatting sqref="BW591">
    <cfRule type="iconSet" priority="4383">
      <iconSet iconSet="3Signs">
        <cfvo type="percent" val="0"/>
        <cfvo type="num" val="0.75"/>
        <cfvo type="num" val="1"/>
      </iconSet>
    </cfRule>
  </conditionalFormatting>
  <conditionalFormatting sqref="BW593">
    <cfRule type="iconSet" priority="2427">
      <iconSet iconSet="3Signs">
        <cfvo type="percent" val="0"/>
        <cfvo type="num" val="0.75"/>
        <cfvo type="num" val="1"/>
      </iconSet>
    </cfRule>
  </conditionalFormatting>
  <conditionalFormatting sqref="BW595">
    <cfRule type="iconSet" priority="2844">
      <iconSet iconSet="3Signs">
        <cfvo type="percent" val="0"/>
        <cfvo type="num" val="0.75"/>
        <cfvo type="num" val="1"/>
      </iconSet>
    </cfRule>
  </conditionalFormatting>
  <conditionalFormatting sqref="BW597">
    <cfRule type="iconSet" priority="4377">
      <iconSet iconSet="3Signs">
        <cfvo type="percent" val="0"/>
        <cfvo type="num" val="0.75"/>
        <cfvo type="num" val="1"/>
      </iconSet>
    </cfRule>
  </conditionalFormatting>
  <conditionalFormatting sqref="BW599">
    <cfRule type="iconSet" priority="3068">
      <iconSet iconSet="3Signs">
        <cfvo type="percent" val="0"/>
        <cfvo type="num" val="0.75"/>
        <cfvo type="num" val="1"/>
      </iconSet>
    </cfRule>
  </conditionalFormatting>
  <conditionalFormatting sqref="BW601">
    <cfRule type="iconSet" priority="4371">
      <iconSet iconSet="3Signs">
        <cfvo type="percent" val="0"/>
        <cfvo type="num" val="0.75"/>
        <cfvo type="num" val="1"/>
      </iconSet>
    </cfRule>
  </conditionalFormatting>
  <conditionalFormatting sqref="BW603">
    <cfRule type="iconSet" priority="4365">
      <iconSet iconSet="3Signs">
        <cfvo type="percent" val="0"/>
        <cfvo type="num" val="0.75"/>
        <cfvo type="num" val="1"/>
      </iconSet>
    </cfRule>
  </conditionalFormatting>
  <conditionalFormatting sqref="BW605">
    <cfRule type="iconSet" priority="3340">
      <iconSet iconSet="3Signs">
        <cfvo type="percent" val="0"/>
        <cfvo type="num" val="0.75"/>
        <cfvo type="num" val="1"/>
      </iconSet>
    </cfRule>
  </conditionalFormatting>
  <conditionalFormatting sqref="BW607">
    <cfRule type="iconSet" priority="3326">
      <iconSet iconSet="3Signs">
        <cfvo type="percent" val="0"/>
        <cfvo type="num" val="0.75"/>
        <cfvo type="num" val="1"/>
      </iconSet>
    </cfRule>
  </conditionalFormatting>
  <conditionalFormatting sqref="BW609">
    <cfRule type="iconSet" priority="3312">
      <iconSet iconSet="3Signs">
        <cfvo type="percent" val="0"/>
        <cfvo type="num" val="0.75"/>
        <cfvo type="num" val="1"/>
      </iconSet>
    </cfRule>
  </conditionalFormatting>
  <conditionalFormatting sqref="BW611">
    <cfRule type="iconSet" priority="4348">
      <iconSet iconSet="3Signs">
        <cfvo type="percent" val="0"/>
        <cfvo type="num" val="0.75"/>
        <cfvo type="num" val="1"/>
      </iconSet>
    </cfRule>
  </conditionalFormatting>
  <conditionalFormatting sqref="BW613">
    <cfRule type="iconSet" priority="4359">
      <iconSet iconSet="3Signs">
        <cfvo type="percent" val="0"/>
        <cfvo type="num" val="0.75"/>
        <cfvo type="num" val="1"/>
      </iconSet>
    </cfRule>
  </conditionalFormatting>
  <conditionalFormatting sqref="BW615">
    <cfRule type="iconSet" priority="1520">
      <iconSet iconSet="3Signs">
        <cfvo type="percent" val="0"/>
        <cfvo type="num" val="0.75"/>
        <cfvo type="num" val="1"/>
      </iconSet>
    </cfRule>
  </conditionalFormatting>
  <conditionalFormatting sqref="BW617">
    <cfRule type="iconSet" priority="140">
      <iconSet iconSet="3Signs">
        <cfvo type="percent" val="0"/>
        <cfvo type="num" val="0.75"/>
        <cfvo type="num" val="1"/>
      </iconSet>
    </cfRule>
  </conditionalFormatting>
  <conditionalFormatting sqref="BW619">
    <cfRule type="iconSet" priority="155">
      <iconSet iconSet="3Signs">
        <cfvo type="percent" val="0"/>
        <cfvo type="num" val="0.75"/>
        <cfvo type="num" val="1"/>
      </iconSet>
    </cfRule>
  </conditionalFormatting>
  <conditionalFormatting sqref="BW621">
    <cfRule type="iconSet" priority="1542">
      <iconSet iconSet="3Signs">
        <cfvo type="percent" val="0"/>
        <cfvo type="num" val="0.75"/>
        <cfvo type="num" val="1"/>
      </iconSet>
    </cfRule>
  </conditionalFormatting>
  <conditionalFormatting sqref="BW623">
    <cfRule type="iconSet" priority="1556">
      <iconSet iconSet="3Signs">
        <cfvo type="percent" val="0"/>
        <cfvo type="num" val="0.75"/>
        <cfvo type="num" val="1"/>
      </iconSet>
    </cfRule>
  </conditionalFormatting>
  <conditionalFormatting sqref="BW625">
    <cfRule type="iconSet" priority="42">
      <iconSet iconSet="3Signs">
        <cfvo type="percent" val="0"/>
        <cfvo type="num" val="0.75"/>
        <cfvo type="num" val="1"/>
      </iconSet>
    </cfRule>
  </conditionalFormatting>
  <conditionalFormatting sqref="BY9">
    <cfRule type="iconSet" priority="5175">
      <iconSet iconSet="3Signs">
        <cfvo type="percent" val="0"/>
        <cfvo type="num" val="0.75"/>
        <cfvo type="num" val="1"/>
      </iconSet>
    </cfRule>
  </conditionalFormatting>
  <conditionalFormatting sqref="BY13">
    <cfRule type="iconSet" priority="5172">
      <iconSet iconSet="3Signs">
        <cfvo type="percent" val="0"/>
        <cfvo type="num" val="0.75"/>
        <cfvo type="num" val="1"/>
      </iconSet>
    </cfRule>
  </conditionalFormatting>
  <conditionalFormatting sqref="BY15">
    <cfRule type="iconSet" priority="3611">
      <iconSet iconSet="3Signs">
        <cfvo type="percent" val="0"/>
        <cfvo type="num" val="0.75"/>
        <cfvo type="num" val="1"/>
      </iconSet>
    </cfRule>
  </conditionalFormatting>
  <conditionalFormatting sqref="BY17">
    <cfRule type="iconSet" priority="3597">
      <iconSet iconSet="3Signs">
        <cfvo type="percent" val="0"/>
        <cfvo type="num" val="0.75"/>
        <cfvo type="num" val="1"/>
      </iconSet>
    </cfRule>
  </conditionalFormatting>
  <conditionalFormatting sqref="BY19">
    <cfRule type="iconSet" priority="3583">
      <iconSet iconSet="3Signs">
        <cfvo type="percent" val="0"/>
        <cfvo type="num" val="0.75"/>
        <cfvo type="num" val="1"/>
      </iconSet>
    </cfRule>
  </conditionalFormatting>
  <conditionalFormatting sqref="BY21">
    <cfRule type="iconSet" priority="3568">
      <iconSet iconSet="3Signs">
        <cfvo type="percent" val="0"/>
        <cfvo type="num" val="0.75"/>
        <cfvo type="num" val="1"/>
      </iconSet>
    </cfRule>
  </conditionalFormatting>
  <conditionalFormatting sqref="BY23">
    <cfRule type="iconSet" priority="5180">
      <iconSet iconSet="3Signs">
        <cfvo type="percent" val="0"/>
        <cfvo type="num" val="0.75"/>
        <cfvo type="num" val="1"/>
      </iconSet>
    </cfRule>
  </conditionalFormatting>
  <conditionalFormatting sqref="BY25">
    <cfRule type="iconSet" priority="4978">
      <iconSet iconSet="3Signs">
        <cfvo type="percent" val="0"/>
        <cfvo type="num" val="0.75"/>
        <cfvo type="num" val="1"/>
      </iconSet>
    </cfRule>
  </conditionalFormatting>
  <conditionalFormatting sqref="BY27">
    <cfRule type="iconSet" priority="2940">
      <iconSet iconSet="3Signs">
        <cfvo type="percent" val="0"/>
        <cfvo type="num" val="0.75"/>
        <cfvo type="num" val="1"/>
      </iconSet>
    </cfRule>
  </conditionalFormatting>
  <conditionalFormatting sqref="BY29">
    <cfRule type="iconSet" priority="2926">
      <iconSet iconSet="3Signs">
        <cfvo type="percent" val="0"/>
        <cfvo type="num" val="0.75"/>
        <cfvo type="num" val="1"/>
      </iconSet>
    </cfRule>
  </conditionalFormatting>
  <conditionalFormatting sqref="BY31">
    <cfRule type="iconSet" priority="5028">
      <iconSet iconSet="3Signs">
        <cfvo type="percent" val="0"/>
        <cfvo type="num" val="0.75"/>
        <cfvo type="num" val="1"/>
      </iconSet>
    </cfRule>
  </conditionalFormatting>
  <conditionalFormatting sqref="BY35">
    <cfRule type="iconSet" priority="4810">
      <iconSet iconSet="3Signs">
        <cfvo type="percent" val="0"/>
        <cfvo type="num" val="0.75"/>
        <cfvo type="num" val="1"/>
      </iconSet>
    </cfRule>
  </conditionalFormatting>
  <conditionalFormatting sqref="BY37">
    <cfRule type="iconSet" priority="3514">
      <iconSet iconSet="3Signs">
        <cfvo type="percent" val="0"/>
        <cfvo type="num" val="0.75"/>
        <cfvo type="num" val="1"/>
      </iconSet>
    </cfRule>
  </conditionalFormatting>
  <conditionalFormatting sqref="BY39">
    <cfRule type="iconSet" priority="3528">
      <iconSet iconSet="3Signs">
        <cfvo type="percent" val="0"/>
        <cfvo type="num" val="0.75"/>
        <cfvo type="num" val="1"/>
      </iconSet>
    </cfRule>
  </conditionalFormatting>
  <conditionalFormatting sqref="BY41">
    <cfRule type="iconSet" priority="3542">
      <iconSet iconSet="3Signs">
        <cfvo type="percent" val="0"/>
        <cfvo type="num" val="0.75"/>
        <cfvo type="num" val="1"/>
      </iconSet>
    </cfRule>
  </conditionalFormatting>
  <conditionalFormatting sqref="BY43">
    <cfRule type="iconSet" priority="4812">
      <iconSet iconSet="3Signs">
        <cfvo type="percent" val="0"/>
        <cfvo type="num" val="0.75"/>
        <cfvo type="num" val="1"/>
      </iconSet>
    </cfRule>
  </conditionalFormatting>
  <conditionalFormatting sqref="BY47">
    <cfRule type="iconSet" priority="5163">
      <iconSet iconSet="3Signs">
        <cfvo type="percent" val="0"/>
        <cfvo type="num" val="0.75"/>
        <cfvo type="num" val="1"/>
      </iconSet>
    </cfRule>
  </conditionalFormatting>
  <conditionalFormatting sqref="BY49">
    <cfRule type="iconSet" priority="4798">
      <iconSet iconSet="3Signs">
        <cfvo type="percent" val="0"/>
        <cfvo type="num" val="0.75"/>
        <cfvo type="num" val="1"/>
      </iconSet>
    </cfRule>
  </conditionalFormatting>
  <conditionalFormatting sqref="BY51">
    <cfRule type="iconSet" priority="2913">
      <iconSet iconSet="3Signs">
        <cfvo type="percent" val="0"/>
        <cfvo type="num" val="0.75"/>
        <cfvo type="num" val="1"/>
      </iconSet>
    </cfRule>
  </conditionalFormatting>
  <conditionalFormatting sqref="BY53">
    <cfRule type="iconSet" priority="4504">
      <iconSet iconSet="3Signs">
        <cfvo type="percent" val="0"/>
        <cfvo type="num" val="0.75"/>
        <cfvo type="num" val="1"/>
      </iconSet>
    </cfRule>
  </conditionalFormatting>
  <conditionalFormatting sqref="BY55">
    <cfRule type="iconSet" priority="3500">
      <iconSet iconSet="3Signs">
        <cfvo type="percent" val="0"/>
        <cfvo type="num" val="0.75"/>
        <cfvo type="num" val="1"/>
      </iconSet>
    </cfRule>
  </conditionalFormatting>
  <conditionalFormatting sqref="BY57">
    <cfRule type="iconSet" priority="2899">
      <iconSet iconSet="3Signs">
        <cfvo type="percent" val="0"/>
        <cfvo type="num" val="0.75"/>
        <cfvo type="num" val="1"/>
      </iconSet>
    </cfRule>
  </conditionalFormatting>
  <conditionalFormatting sqref="BY59">
    <cfRule type="iconSet" priority="2885">
      <iconSet iconSet="3Signs">
        <cfvo type="percent" val="0"/>
        <cfvo type="num" val="0.75"/>
        <cfvo type="num" val="1"/>
      </iconSet>
    </cfRule>
  </conditionalFormatting>
  <conditionalFormatting sqref="BY61">
    <cfRule type="iconSet" priority="1479">
      <iconSet iconSet="3Signs">
        <cfvo type="percent" val="0"/>
        <cfvo type="num" val="0.75"/>
        <cfvo type="num" val="1"/>
      </iconSet>
    </cfRule>
  </conditionalFormatting>
  <conditionalFormatting sqref="BY63">
    <cfRule type="iconSet" priority="2465">
      <iconSet iconSet="3Signs">
        <cfvo type="percent" val="0"/>
        <cfvo type="num" val="0.75"/>
        <cfvo type="num" val="1"/>
      </iconSet>
    </cfRule>
  </conditionalFormatting>
  <conditionalFormatting sqref="BY65">
    <cfRule type="iconSet" priority="2871">
      <iconSet iconSet="3Signs">
        <cfvo type="percent" val="0"/>
        <cfvo type="num" val="0.75"/>
        <cfvo type="num" val="1"/>
      </iconSet>
    </cfRule>
  </conditionalFormatting>
  <conditionalFormatting sqref="BY67">
    <cfRule type="iconSet" priority="3418">
      <iconSet iconSet="3Signs">
        <cfvo type="percent" val="0"/>
        <cfvo type="num" val="0.75"/>
        <cfvo type="num" val="1"/>
      </iconSet>
    </cfRule>
  </conditionalFormatting>
  <conditionalFormatting sqref="BY69">
    <cfRule type="iconSet" priority="5015">
      <iconSet iconSet="3Signs">
        <cfvo type="percent" val="0"/>
        <cfvo type="num" val="0.75"/>
        <cfvo type="num" val="1"/>
      </iconSet>
    </cfRule>
  </conditionalFormatting>
  <conditionalFormatting sqref="BY73">
    <cfRule type="iconSet" priority="5138">
      <iconSet iconSet="3Signs">
        <cfvo type="percent" val="0"/>
        <cfvo type="num" val="0.75"/>
        <cfvo type="num" val="1"/>
      </iconSet>
    </cfRule>
  </conditionalFormatting>
  <conditionalFormatting sqref="BY77">
    <cfRule type="iconSet" priority="5155">
      <iconSet iconSet="3Signs">
        <cfvo type="percent" val="0"/>
        <cfvo type="num" val="0.75"/>
        <cfvo type="num" val="1"/>
      </iconSet>
    </cfRule>
  </conditionalFormatting>
  <conditionalFormatting sqref="BY79 BY89">
    <cfRule type="iconSet" priority="5157">
      <iconSet iconSet="3Signs">
        <cfvo type="percent" val="0"/>
        <cfvo type="num" val="0.75"/>
        <cfvo type="num" val="1"/>
      </iconSet>
    </cfRule>
  </conditionalFormatting>
  <conditionalFormatting sqref="BY81">
    <cfRule type="iconSet" priority="4855">
      <iconSet iconSet="3Signs">
        <cfvo type="percent" val="0"/>
        <cfvo type="num" val="0.75"/>
        <cfvo type="num" val="1"/>
      </iconSet>
    </cfRule>
  </conditionalFormatting>
  <conditionalFormatting sqref="BY83">
    <cfRule type="iconSet" priority="4836">
      <iconSet iconSet="3Signs">
        <cfvo type="percent" val="0"/>
        <cfvo type="num" val="0.75"/>
        <cfvo type="num" val="1"/>
      </iconSet>
    </cfRule>
  </conditionalFormatting>
  <conditionalFormatting sqref="BY85">
    <cfRule type="iconSet" priority="4828">
      <iconSet iconSet="3Signs">
        <cfvo type="percent" val="0"/>
        <cfvo type="num" val="0.75"/>
        <cfvo type="num" val="1"/>
      </iconSet>
    </cfRule>
  </conditionalFormatting>
  <conditionalFormatting sqref="BY87">
    <cfRule type="iconSet" priority="4820">
      <iconSet iconSet="3Signs">
        <cfvo type="percent" val="0"/>
        <cfvo type="num" val="0.75"/>
        <cfvo type="num" val="1"/>
      </iconSet>
    </cfRule>
  </conditionalFormatting>
  <conditionalFormatting sqref="BY93">
    <cfRule type="iconSet" priority="4786">
      <iconSet iconSet="3Signs">
        <cfvo type="percent" val="0"/>
        <cfvo type="num" val="0.75"/>
        <cfvo type="num" val="1"/>
      </iconSet>
    </cfRule>
  </conditionalFormatting>
  <conditionalFormatting sqref="BY95">
    <cfRule type="iconSet" priority="4746">
      <iconSet iconSet="3Signs">
        <cfvo type="percent" val="0"/>
        <cfvo type="num" val="0.75"/>
        <cfvo type="num" val="1"/>
      </iconSet>
    </cfRule>
  </conditionalFormatting>
  <conditionalFormatting sqref="BY97">
    <cfRule type="iconSet" priority="1962">
      <iconSet iconSet="3Signs">
        <cfvo type="percent" val="0"/>
        <cfvo type="num" val="0.75"/>
        <cfvo type="num" val="1"/>
      </iconSet>
    </cfRule>
  </conditionalFormatting>
  <conditionalFormatting sqref="BY99">
    <cfRule type="iconSet" priority="1999">
      <iconSet iconSet="3Signs">
        <cfvo type="percent" val="0"/>
        <cfvo type="num" val="0.75"/>
        <cfvo type="num" val="1"/>
      </iconSet>
    </cfRule>
  </conditionalFormatting>
  <conditionalFormatting sqref="BY101">
    <cfRule type="iconSet" priority="1936">
      <iconSet iconSet="3Signs">
        <cfvo type="percent" val="0"/>
        <cfvo type="num" val="0.75"/>
        <cfvo type="num" val="1"/>
      </iconSet>
    </cfRule>
  </conditionalFormatting>
  <conditionalFormatting sqref="BY103">
    <cfRule type="iconSet" priority="4793">
      <iconSet iconSet="3Signs">
        <cfvo type="percent" val="0"/>
        <cfvo type="num" val="0.75"/>
        <cfvo type="num" val="1"/>
      </iconSet>
    </cfRule>
  </conditionalFormatting>
  <conditionalFormatting sqref="BY105">
    <cfRule type="iconSet" priority="4762">
      <iconSet iconSet="3Signs">
        <cfvo type="percent" val="0"/>
        <cfvo type="num" val="0.75"/>
        <cfvo type="num" val="1"/>
      </iconSet>
    </cfRule>
  </conditionalFormatting>
  <conditionalFormatting sqref="BY107">
    <cfRule type="iconSet" priority="4754">
      <iconSet iconSet="3Signs">
        <cfvo type="percent" val="0"/>
        <cfvo type="num" val="0.75"/>
        <cfvo type="num" val="1"/>
      </iconSet>
    </cfRule>
  </conditionalFormatting>
  <conditionalFormatting sqref="BY109">
    <cfRule type="iconSet" priority="2856">
      <iconSet iconSet="3Signs">
        <cfvo type="percent" val="0"/>
        <cfvo type="num" val="0.75"/>
        <cfvo type="num" val="1"/>
      </iconSet>
    </cfRule>
  </conditionalFormatting>
  <conditionalFormatting sqref="BY113">
    <cfRule type="iconSet" priority="4778">
      <iconSet iconSet="3Signs">
        <cfvo type="percent" val="0"/>
        <cfvo type="num" val="0.75"/>
        <cfvo type="num" val="1"/>
      </iconSet>
    </cfRule>
  </conditionalFormatting>
  <conditionalFormatting sqref="BY115">
    <cfRule type="iconSet" priority="4770">
      <iconSet iconSet="3Signs">
        <cfvo type="percent" val="0"/>
        <cfvo type="num" val="0.75"/>
        <cfvo type="num" val="1"/>
      </iconSet>
    </cfRule>
  </conditionalFormatting>
  <conditionalFormatting sqref="BY119">
    <cfRule type="iconSet" priority="5149">
      <iconSet iconSet="3Signs">
        <cfvo type="percent" val="0"/>
        <cfvo type="num" val="0.75"/>
        <cfvo type="num" val="1"/>
      </iconSet>
    </cfRule>
  </conditionalFormatting>
  <conditionalFormatting sqref="BY121">
    <cfRule type="iconSet" priority="5192">
      <iconSet iconSet="3Signs">
        <cfvo type="percent" val="0"/>
        <cfvo type="num" val="0.75"/>
        <cfvo type="num" val="1"/>
      </iconSet>
    </cfRule>
  </conditionalFormatting>
  <conditionalFormatting sqref="BY123">
    <cfRule type="iconSet" priority="5004">
      <iconSet iconSet="3Signs">
        <cfvo type="percent" val="0"/>
        <cfvo type="num" val="0.75"/>
        <cfvo type="num" val="1"/>
      </iconSet>
    </cfRule>
  </conditionalFormatting>
  <conditionalFormatting sqref="BY125">
    <cfRule type="iconSet" priority="3487">
      <iconSet iconSet="3Signs">
        <cfvo type="percent" val="0"/>
        <cfvo type="num" val="0.75"/>
        <cfvo type="num" val="1"/>
      </iconSet>
    </cfRule>
  </conditionalFormatting>
  <conditionalFormatting sqref="BY127">
    <cfRule type="iconSet" priority="3246">
      <iconSet iconSet="3Signs">
        <cfvo type="percent" val="0"/>
        <cfvo type="num" val="0.75"/>
        <cfvo type="num" val="1"/>
      </iconSet>
    </cfRule>
  </conditionalFormatting>
  <conditionalFormatting sqref="BY129">
    <cfRule type="iconSet" priority="4998">
      <iconSet iconSet="3Signs">
        <cfvo type="percent" val="0"/>
        <cfvo type="num" val="0.75"/>
        <cfvo type="num" val="1"/>
      </iconSet>
    </cfRule>
  </conditionalFormatting>
  <conditionalFormatting sqref="BY131">
    <cfRule type="iconSet" priority="2957">
      <iconSet iconSet="3Signs">
        <cfvo type="percent" val="0"/>
        <cfvo type="num" val="0.75"/>
        <cfvo type="num" val="1"/>
      </iconSet>
    </cfRule>
  </conditionalFormatting>
  <conditionalFormatting sqref="BY134">
    <cfRule type="iconSet" priority="1498">
      <iconSet iconSet="3Signs">
        <cfvo type="percent" val="0"/>
        <cfvo type="num" val="0.75"/>
        <cfvo type="num" val="1"/>
      </iconSet>
    </cfRule>
  </conditionalFormatting>
  <conditionalFormatting sqref="BY137">
    <cfRule type="iconSet" priority="5086">
      <iconSet iconSet="3Signs">
        <cfvo type="percent" val="0"/>
        <cfvo type="num" val="0.75"/>
        <cfvo type="num" val="1"/>
      </iconSet>
    </cfRule>
  </conditionalFormatting>
  <conditionalFormatting sqref="BY140">
    <cfRule type="iconSet" priority="4732">
      <iconSet iconSet="3Signs">
        <cfvo type="percent" val="0"/>
        <cfvo type="num" val="0.75"/>
        <cfvo type="num" val="1"/>
      </iconSet>
    </cfRule>
  </conditionalFormatting>
  <conditionalFormatting sqref="BY142">
    <cfRule type="iconSet" priority="4442">
      <iconSet iconSet="3Signs">
        <cfvo type="percent" val="0"/>
        <cfvo type="num" val="0.75"/>
        <cfvo type="num" val="1"/>
      </iconSet>
    </cfRule>
  </conditionalFormatting>
  <conditionalFormatting sqref="BY144">
    <cfRule type="iconSet" priority="4424">
      <iconSet iconSet="3Signs">
        <cfvo type="percent" val="0"/>
        <cfvo type="num" val="0.75"/>
        <cfvo type="num" val="1"/>
      </iconSet>
    </cfRule>
  </conditionalFormatting>
  <conditionalFormatting sqref="BY146">
    <cfRule type="iconSet" priority="1391">
      <iconSet iconSet="3Signs">
        <cfvo type="percent" val="0"/>
        <cfvo type="num" val="0.75"/>
        <cfvo type="num" val="1"/>
      </iconSet>
    </cfRule>
  </conditionalFormatting>
  <conditionalFormatting sqref="BY148">
    <cfRule type="iconSet" priority="4734">
      <iconSet iconSet="3Signs">
        <cfvo type="percent" val="0"/>
        <cfvo type="num" val="0.75"/>
        <cfvo type="num" val="1"/>
      </iconSet>
    </cfRule>
  </conditionalFormatting>
  <conditionalFormatting sqref="BY150">
    <cfRule type="iconSet" priority="4605">
      <iconSet iconSet="3Signs">
        <cfvo type="percent" val="0"/>
        <cfvo type="num" val="0.75"/>
        <cfvo type="num" val="1"/>
      </iconSet>
    </cfRule>
  </conditionalFormatting>
  <conditionalFormatting sqref="BY152">
    <cfRule type="iconSet" priority="4446">
      <iconSet iconSet="3Signs">
        <cfvo type="percent" val="0"/>
        <cfvo type="num" val="0.75"/>
        <cfvo type="num" val="1"/>
      </iconSet>
    </cfRule>
  </conditionalFormatting>
  <conditionalFormatting sqref="BY154">
    <cfRule type="iconSet" priority="3349">
      <iconSet iconSet="3Signs">
        <cfvo type="percent" val="0"/>
        <cfvo type="num" val="0.75"/>
        <cfvo type="num" val="1"/>
      </iconSet>
    </cfRule>
  </conditionalFormatting>
  <conditionalFormatting sqref="BY156">
    <cfRule type="iconSet" priority="4598">
      <iconSet iconSet="3Signs">
        <cfvo type="percent" val="0"/>
        <cfvo type="num" val="0.75"/>
        <cfvo type="num" val="1"/>
      </iconSet>
    </cfRule>
  </conditionalFormatting>
  <conditionalFormatting sqref="BY158">
    <cfRule type="iconSet" priority="4587">
      <iconSet iconSet="3Signs">
        <cfvo type="percent" val="0"/>
        <cfvo type="num" val="0.75"/>
        <cfvo type="num" val="1"/>
      </iconSet>
    </cfRule>
  </conditionalFormatting>
  <conditionalFormatting sqref="BY160">
    <cfRule type="iconSet" priority="4595">
      <iconSet iconSet="3Signs">
        <cfvo type="percent" val="0"/>
        <cfvo type="num" val="0.75"/>
        <cfvo type="num" val="1"/>
      </iconSet>
    </cfRule>
  </conditionalFormatting>
  <conditionalFormatting sqref="BY162">
    <cfRule type="iconSet" priority="4433">
      <iconSet iconSet="3Signs">
        <cfvo type="percent" val="0"/>
        <cfvo type="num" val="0.75"/>
        <cfvo type="num" val="1"/>
      </iconSet>
    </cfRule>
  </conditionalFormatting>
  <conditionalFormatting sqref="BY164">
    <cfRule type="iconSet" priority="2161">
      <iconSet iconSet="3Signs">
        <cfvo type="percent" val="0"/>
        <cfvo type="num" val="0.75"/>
        <cfvo type="num" val="1"/>
      </iconSet>
    </cfRule>
  </conditionalFormatting>
  <conditionalFormatting sqref="BY166">
    <cfRule type="iconSet" priority="4499">
      <iconSet iconSet="3Signs">
        <cfvo type="percent" val="0"/>
        <cfvo type="num" val="0.75"/>
        <cfvo type="num" val="1"/>
      </iconSet>
    </cfRule>
  </conditionalFormatting>
  <conditionalFormatting sqref="BY168">
    <cfRule type="iconSet" priority="4579">
      <iconSet iconSet="3Signs">
        <cfvo type="percent" val="0"/>
        <cfvo type="num" val="0.75"/>
        <cfvo type="num" val="1"/>
      </iconSet>
    </cfRule>
  </conditionalFormatting>
  <conditionalFormatting sqref="BY170">
    <cfRule type="iconSet" priority="4718">
      <iconSet iconSet="3Signs">
        <cfvo type="percent" val="0"/>
        <cfvo type="num" val="0.75"/>
        <cfvo type="num" val="1"/>
      </iconSet>
    </cfRule>
  </conditionalFormatting>
  <conditionalFormatting sqref="BY172">
    <cfRule type="iconSet" priority="4491">
      <iconSet iconSet="3Signs">
        <cfvo type="percent" val="0"/>
        <cfvo type="num" val="0.75"/>
        <cfvo type="num" val="1"/>
      </iconSet>
    </cfRule>
  </conditionalFormatting>
  <conditionalFormatting sqref="BY174">
    <cfRule type="iconSet" priority="4724">
      <iconSet iconSet="3Signs">
        <cfvo type="percent" val="0"/>
        <cfvo type="num" val="0.75"/>
        <cfvo type="num" val="1"/>
      </iconSet>
    </cfRule>
  </conditionalFormatting>
  <conditionalFormatting sqref="BY176">
    <cfRule type="iconSet" priority="3169">
      <iconSet iconSet="3Signs">
        <cfvo type="percent" val="0"/>
        <cfvo type="num" val="0.75"/>
        <cfvo type="num" val="1"/>
      </iconSet>
    </cfRule>
  </conditionalFormatting>
  <conditionalFormatting sqref="BY180">
    <cfRule type="iconSet" priority="5090">
      <iconSet iconSet="3Signs">
        <cfvo type="percent" val="0"/>
        <cfvo type="num" val="0.75"/>
        <cfvo type="num" val="1"/>
      </iconSet>
    </cfRule>
  </conditionalFormatting>
  <conditionalFormatting sqref="BY182">
    <cfRule type="iconSet" priority="4563">
      <iconSet iconSet="3Signs">
        <cfvo type="percent" val="0"/>
        <cfvo type="num" val="0.75"/>
        <cfvo type="num" val="1"/>
      </iconSet>
    </cfRule>
  </conditionalFormatting>
  <conditionalFormatting sqref="BY184">
    <cfRule type="iconSet" priority="4571">
      <iconSet iconSet="3Signs">
        <cfvo type="percent" val="0"/>
        <cfvo type="num" val="0.75"/>
        <cfvo type="num" val="1"/>
      </iconSet>
    </cfRule>
  </conditionalFormatting>
  <conditionalFormatting sqref="BY186">
    <cfRule type="iconSet" priority="3229">
      <iconSet iconSet="3Signs">
        <cfvo type="percent" val="0"/>
        <cfvo type="num" val="0.75"/>
        <cfvo type="num" val="1"/>
      </iconSet>
    </cfRule>
  </conditionalFormatting>
  <conditionalFormatting sqref="BY188">
    <cfRule type="iconSet" priority="2975">
      <iconSet iconSet="3Signs">
        <cfvo type="percent" val="0"/>
        <cfvo type="num" val="0.75"/>
        <cfvo type="num" val="1"/>
      </iconSet>
    </cfRule>
  </conditionalFormatting>
  <conditionalFormatting sqref="BY190">
    <cfRule type="iconSet" priority="3215">
      <iconSet iconSet="3Signs">
        <cfvo type="percent" val="0"/>
        <cfvo type="num" val="0.75"/>
        <cfvo type="num" val="1"/>
      </iconSet>
    </cfRule>
  </conditionalFormatting>
  <conditionalFormatting sqref="BY192">
    <cfRule type="iconSet" priority="4468">
      <iconSet iconSet="3Signs">
        <cfvo type="percent" val="0"/>
        <cfvo type="num" val="0.75"/>
        <cfvo type="num" val="1"/>
      </iconSet>
    </cfRule>
  </conditionalFormatting>
  <conditionalFormatting sqref="BY194">
    <cfRule type="iconSet" priority="4483">
      <iconSet iconSet="3Signs">
        <cfvo type="percent" val="0"/>
        <cfvo type="num" val="0.75"/>
        <cfvo type="num" val="1"/>
      </iconSet>
    </cfRule>
  </conditionalFormatting>
  <conditionalFormatting sqref="BY196">
    <cfRule type="iconSet" priority="2453">
      <iconSet iconSet="3Signs">
        <cfvo type="percent" val="0"/>
        <cfvo type="num" val="0.75"/>
        <cfvo type="num" val="1"/>
      </iconSet>
    </cfRule>
  </conditionalFormatting>
  <conditionalFormatting sqref="BY198">
    <cfRule type="iconSet" priority="3155">
      <iconSet iconSet="3Signs">
        <cfvo type="percent" val="0"/>
        <cfvo type="num" val="0.75"/>
        <cfvo type="num" val="1"/>
      </iconSet>
    </cfRule>
  </conditionalFormatting>
  <conditionalFormatting sqref="BY200">
    <cfRule type="iconSet" priority="4459">
      <iconSet iconSet="3Signs">
        <cfvo type="percent" val="0"/>
        <cfvo type="num" val="0.75"/>
        <cfvo type="num" val="1"/>
      </iconSet>
    </cfRule>
  </conditionalFormatting>
  <conditionalFormatting sqref="BY202">
    <cfRule type="iconSet" priority="4476">
      <iconSet iconSet="3Signs">
        <cfvo type="percent" val="0"/>
        <cfvo type="num" val="0.75"/>
        <cfvo type="num" val="1"/>
      </iconSet>
    </cfRule>
  </conditionalFormatting>
  <conditionalFormatting sqref="BY204">
    <cfRule type="iconSet" priority="3142">
      <iconSet iconSet="3Signs">
        <cfvo type="percent" val="0"/>
        <cfvo type="num" val="0.75"/>
        <cfvo type="num" val="1"/>
      </iconSet>
    </cfRule>
  </conditionalFormatting>
  <conditionalFormatting sqref="BY206">
    <cfRule type="iconSet" priority="2175">
      <iconSet iconSet="3Signs">
        <cfvo type="percent" val="0"/>
        <cfvo type="num" val="0.75"/>
        <cfvo type="num" val="1"/>
      </iconSet>
    </cfRule>
  </conditionalFormatting>
  <conditionalFormatting sqref="BY208">
    <cfRule type="iconSet" priority="2440">
      <iconSet iconSet="3Signs">
        <cfvo type="percent" val="0"/>
        <cfvo type="num" val="0.75"/>
        <cfvo type="num" val="1"/>
      </iconSet>
    </cfRule>
  </conditionalFormatting>
  <conditionalFormatting sqref="BY210">
    <cfRule type="iconSet" priority="4554">
      <iconSet iconSet="3Signs">
        <cfvo type="percent" val="0"/>
        <cfvo type="num" val="0.75"/>
        <cfvo type="num" val="1"/>
      </iconSet>
    </cfRule>
  </conditionalFormatting>
  <conditionalFormatting sqref="BY212">
    <cfRule type="iconSet" priority="4973">
      <iconSet iconSet="3Signs">
        <cfvo type="percent" val="0"/>
        <cfvo type="num" val="0.75"/>
        <cfvo type="num" val="1"/>
      </iconSet>
    </cfRule>
  </conditionalFormatting>
  <conditionalFormatting sqref="BY214">
    <cfRule type="iconSet" priority="3366">
      <iconSet iconSet="3Signs">
        <cfvo type="percent" val="0"/>
        <cfvo type="num" val="0.75"/>
        <cfvo type="num" val="1"/>
      </iconSet>
    </cfRule>
  </conditionalFormatting>
  <conditionalFormatting sqref="BY216">
    <cfRule type="iconSet" priority="3266">
      <iconSet iconSet="3Signs">
        <cfvo type="percent" val="0"/>
        <cfvo type="num" val="0.75"/>
        <cfvo type="num" val="1"/>
      </iconSet>
    </cfRule>
  </conditionalFormatting>
  <conditionalFormatting sqref="BY218">
    <cfRule type="iconSet" priority="2339">
      <iconSet iconSet="3Signs">
        <cfvo type="percent" val="0"/>
        <cfvo type="num" val="0.75"/>
        <cfvo type="num" val="1"/>
      </iconSet>
    </cfRule>
  </conditionalFormatting>
  <conditionalFormatting sqref="BY220">
    <cfRule type="iconSet" priority="5033">
      <iconSet iconSet="3Signs">
        <cfvo type="percent" val="0"/>
        <cfvo type="num" val="0.75"/>
        <cfvo type="num" val="1"/>
      </iconSet>
    </cfRule>
  </conditionalFormatting>
  <conditionalFormatting sqref="BY222">
    <cfRule type="iconSet" priority="2325">
      <iconSet iconSet="3Signs">
        <cfvo type="percent" val="0"/>
        <cfvo type="num" val="0.75"/>
        <cfvo type="num" val="1"/>
      </iconSet>
    </cfRule>
  </conditionalFormatting>
  <conditionalFormatting sqref="BY226">
    <cfRule type="iconSet" priority="2030">
      <iconSet iconSet="3Signs">
        <cfvo type="percent" val="0"/>
        <cfvo type="num" val="0.75"/>
        <cfvo type="num" val="1"/>
      </iconSet>
    </cfRule>
  </conditionalFormatting>
  <conditionalFormatting sqref="BY229">
    <cfRule type="iconSet" priority="5112">
      <iconSet iconSet="3Signs">
        <cfvo type="percent" val="0"/>
        <cfvo type="num" val="0.75"/>
        <cfvo type="num" val="1"/>
      </iconSet>
    </cfRule>
  </conditionalFormatting>
  <conditionalFormatting sqref="BY233">
    <cfRule type="iconSet" priority="5134">
      <iconSet iconSet="3Signs">
        <cfvo type="percent" val="0"/>
        <cfvo type="num" val="0.75"/>
        <cfvo type="num" val="1"/>
      </iconSet>
    </cfRule>
  </conditionalFormatting>
  <conditionalFormatting sqref="BY235">
    <cfRule type="iconSet" priority="5128">
      <iconSet iconSet="3Signs">
        <cfvo type="percent" val="0"/>
        <cfvo type="num" val="0.75"/>
        <cfvo type="num" val="1"/>
      </iconSet>
    </cfRule>
  </conditionalFormatting>
  <conditionalFormatting sqref="BY237">
    <cfRule type="iconSet" priority="4514">
      <iconSet iconSet="3Signs">
        <cfvo type="percent" val="0"/>
        <cfvo type="num" val="0.75"/>
        <cfvo type="num" val="1"/>
      </iconSet>
    </cfRule>
  </conditionalFormatting>
  <conditionalFormatting sqref="BY239">
    <cfRule type="iconSet" priority="4410">
      <iconSet iconSet="3Signs">
        <cfvo type="percent" val="0"/>
        <cfvo type="num" val="0.75"/>
        <cfvo type="num" val="1"/>
      </iconSet>
    </cfRule>
  </conditionalFormatting>
  <conditionalFormatting sqref="BY241">
    <cfRule type="iconSet" priority="4402">
      <iconSet iconSet="3Signs">
        <cfvo type="percent" val="0"/>
        <cfvo type="num" val="0.75"/>
        <cfvo type="num" val="1"/>
      </iconSet>
    </cfRule>
  </conditionalFormatting>
  <conditionalFormatting sqref="BY243">
    <cfRule type="iconSet" priority="4394">
      <iconSet iconSet="3Signs">
        <cfvo type="percent" val="0"/>
        <cfvo type="num" val="0.75"/>
        <cfvo type="num" val="1"/>
      </iconSet>
    </cfRule>
  </conditionalFormatting>
  <conditionalFormatting sqref="BY245">
    <cfRule type="iconSet" priority="3470">
      <iconSet iconSet="3Signs">
        <cfvo type="percent" val="0"/>
        <cfvo type="num" val="0.75"/>
        <cfvo type="num" val="1"/>
      </iconSet>
    </cfRule>
  </conditionalFormatting>
  <conditionalFormatting sqref="BY247">
    <cfRule type="iconSet" priority="2011">
      <iconSet iconSet="3Signs">
        <cfvo type="percent" val="0"/>
        <cfvo type="num" val="0.75"/>
        <cfvo type="num" val="1"/>
      </iconSet>
    </cfRule>
  </conditionalFormatting>
  <conditionalFormatting sqref="BY249">
    <cfRule type="iconSet" priority="3444">
      <iconSet iconSet="3Signs">
        <cfvo type="percent" val="0"/>
        <cfvo type="num" val="0.75"/>
        <cfvo type="num" val="1"/>
      </iconSet>
    </cfRule>
  </conditionalFormatting>
  <conditionalFormatting sqref="BY251">
    <cfRule type="iconSet" priority="2366">
      <iconSet iconSet="3Signs">
        <cfvo type="percent" val="0"/>
        <cfvo type="num" val="0.75"/>
        <cfvo type="num" val="1"/>
      </iconSet>
    </cfRule>
  </conditionalFormatting>
  <conditionalFormatting sqref="BY253">
    <cfRule type="iconSet" priority="1973">
      <iconSet iconSet="3Signs">
        <cfvo type="percent" val="0"/>
        <cfvo type="num" val="0.75"/>
        <cfvo type="num" val="1"/>
      </iconSet>
    </cfRule>
  </conditionalFormatting>
  <conditionalFormatting sqref="BY255">
    <cfRule type="iconSet" priority="5019">
      <iconSet iconSet="3Signs">
        <cfvo type="percent" val="0"/>
        <cfvo type="num" val="0.75"/>
        <cfvo type="num" val="1"/>
      </iconSet>
    </cfRule>
  </conditionalFormatting>
  <conditionalFormatting sqref="BY257">
    <cfRule type="iconSet" priority="1871">
      <iconSet iconSet="3Signs">
        <cfvo type="percent" val="0"/>
        <cfvo type="num" val="0.75"/>
        <cfvo type="num" val="1"/>
      </iconSet>
    </cfRule>
  </conditionalFormatting>
  <conditionalFormatting sqref="BY259">
    <cfRule type="iconSet" priority="1855">
      <iconSet iconSet="3Signs">
        <cfvo type="percent" val="0"/>
        <cfvo type="num" val="0.75"/>
        <cfvo type="num" val="1"/>
      </iconSet>
    </cfRule>
  </conditionalFormatting>
  <conditionalFormatting sqref="BY261">
    <cfRule type="iconSet" priority="1445">
      <iconSet iconSet="3Signs">
        <cfvo type="percent" val="0"/>
        <cfvo type="num" val="0.75"/>
        <cfvo type="num" val="1"/>
      </iconSet>
    </cfRule>
  </conditionalFormatting>
  <conditionalFormatting sqref="BY263">
    <cfRule type="iconSet" priority="444">
      <iconSet iconSet="3Signs">
        <cfvo type="percent" val="0"/>
        <cfvo type="num" val="0.75"/>
        <cfvo type="num" val="1"/>
      </iconSet>
    </cfRule>
  </conditionalFormatting>
  <conditionalFormatting sqref="BY265">
    <cfRule type="iconSet" priority="347">
      <iconSet iconSet="3Signs">
        <cfvo type="percent" val="0"/>
        <cfvo type="num" val="0.75"/>
        <cfvo type="num" val="1"/>
      </iconSet>
    </cfRule>
  </conditionalFormatting>
  <conditionalFormatting sqref="BY267">
    <cfRule type="iconSet" priority="331">
      <iconSet iconSet="3Signs">
        <cfvo type="percent" val="0"/>
        <cfvo type="num" val="0.75"/>
        <cfvo type="num" val="1"/>
      </iconSet>
    </cfRule>
  </conditionalFormatting>
  <conditionalFormatting sqref="BY269">
    <cfRule type="iconSet" priority="1459">
      <iconSet iconSet="3Signs">
        <cfvo type="percent" val="0"/>
        <cfvo type="num" val="0.75"/>
        <cfvo type="num" val="1"/>
      </iconSet>
    </cfRule>
  </conditionalFormatting>
  <conditionalFormatting sqref="BY271">
    <cfRule type="iconSet" priority="315">
      <iconSet iconSet="3Signs">
        <cfvo type="percent" val="0"/>
        <cfvo type="num" val="0.75"/>
        <cfvo type="num" val="1"/>
      </iconSet>
    </cfRule>
  </conditionalFormatting>
  <conditionalFormatting sqref="BY273">
    <cfRule type="iconSet" priority="460">
      <iconSet iconSet="3Signs">
        <cfvo type="percent" val="0"/>
        <cfvo type="num" val="0.75"/>
        <cfvo type="num" val="1"/>
      </iconSet>
    </cfRule>
  </conditionalFormatting>
  <conditionalFormatting sqref="BY275">
    <cfRule type="iconSet" priority="1889">
      <iconSet iconSet="3Signs">
        <cfvo type="percent" val="0"/>
        <cfvo type="num" val="0.75"/>
        <cfvo type="num" val="1"/>
      </iconSet>
    </cfRule>
  </conditionalFormatting>
  <conditionalFormatting sqref="BY278">
    <cfRule type="iconSet" priority="5120">
      <iconSet iconSet="3Signs">
        <cfvo type="percent" val="0"/>
        <cfvo type="num" val="0.75"/>
        <cfvo type="num" val="1"/>
      </iconSet>
    </cfRule>
  </conditionalFormatting>
  <conditionalFormatting sqref="BY280 BY296">
    <cfRule type="iconSet" priority="5124">
      <iconSet iconSet="3Signs">
        <cfvo type="percent" val="0"/>
        <cfvo type="num" val="0.75"/>
        <cfvo type="num" val="1"/>
      </iconSet>
    </cfRule>
  </conditionalFormatting>
  <conditionalFormatting sqref="BY282">
    <cfRule type="iconSet" priority="1827">
      <iconSet iconSet="3Signs">
        <cfvo type="percent" val="0"/>
        <cfvo type="num" val="0.75"/>
        <cfvo type="num" val="1"/>
      </iconSet>
    </cfRule>
  </conditionalFormatting>
  <conditionalFormatting sqref="BY284">
    <cfRule type="iconSet" priority="1841">
      <iconSet iconSet="3Signs">
        <cfvo type="percent" val="0"/>
        <cfvo type="num" val="0.75"/>
        <cfvo type="num" val="1"/>
      </iconSet>
    </cfRule>
  </conditionalFormatting>
  <conditionalFormatting sqref="BY286">
    <cfRule type="iconSet" priority="1416">
      <iconSet iconSet="3Signs">
        <cfvo type="percent" val="0"/>
        <cfvo type="num" val="0.75"/>
        <cfvo type="num" val="1"/>
      </iconSet>
    </cfRule>
  </conditionalFormatting>
  <conditionalFormatting sqref="BY288">
    <cfRule type="iconSet" priority="1402">
      <iconSet iconSet="3Signs">
        <cfvo type="percent" val="0"/>
        <cfvo type="num" val="0.75"/>
        <cfvo type="num" val="1"/>
      </iconSet>
    </cfRule>
  </conditionalFormatting>
  <conditionalFormatting sqref="BY290">
    <cfRule type="iconSet" priority="1430">
      <iconSet iconSet="3Signs">
        <cfvo type="percent" val="0"/>
        <cfvo type="num" val="0.75"/>
        <cfvo type="num" val="1"/>
      </iconSet>
    </cfRule>
  </conditionalFormatting>
  <conditionalFormatting sqref="BY292">
    <cfRule type="iconSet" priority="363">
      <iconSet iconSet="3Signs">
        <cfvo type="percent" val="0"/>
        <cfvo type="num" val="0.75"/>
        <cfvo type="num" val="1"/>
      </iconSet>
    </cfRule>
  </conditionalFormatting>
  <conditionalFormatting sqref="BY294">
    <cfRule type="iconSet" priority="3430">
      <iconSet iconSet="3Signs">
        <cfvo type="percent" val="0"/>
        <cfvo type="num" val="0.75"/>
        <cfvo type="num" val="1"/>
      </iconSet>
    </cfRule>
  </conditionalFormatting>
  <conditionalFormatting sqref="BY299">
    <cfRule type="iconSet" priority="3406">
      <iconSet iconSet="3Signs">
        <cfvo type="percent" val="0"/>
        <cfvo type="num" val="0.75"/>
        <cfvo type="num" val="1"/>
      </iconSet>
    </cfRule>
  </conditionalFormatting>
  <conditionalFormatting sqref="BY304">
    <cfRule type="iconSet" priority="3388">
      <iconSet iconSet="3Signs">
        <cfvo type="percent" val="0"/>
        <cfvo type="num" val="0.75"/>
        <cfvo type="num" val="1"/>
      </iconSet>
    </cfRule>
  </conditionalFormatting>
  <conditionalFormatting sqref="BY307">
    <cfRule type="iconSet" priority="5110">
      <iconSet iconSet="3Signs">
        <cfvo type="percent" val="0"/>
        <cfvo type="num" val="0.75"/>
        <cfvo type="num" val="1"/>
      </iconSet>
    </cfRule>
  </conditionalFormatting>
  <conditionalFormatting sqref="BY310">
    <cfRule type="iconSet" priority="5096">
      <iconSet iconSet="3Signs">
        <cfvo type="percent" val="0"/>
        <cfvo type="num" val="0.75"/>
        <cfvo type="num" val="1"/>
      </iconSet>
    </cfRule>
  </conditionalFormatting>
  <conditionalFormatting sqref="BY314">
    <cfRule type="iconSet" priority="5104">
      <iconSet iconSet="3Signs">
        <cfvo type="percent" val="0"/>
        <cfvo type="num" val="0.75"/>
        <cfvo type="num" val="1"/>
      </iconSet>
    </cfRule>
  </conditionalFormatting>
  <conditionalFormatting sqref="BY316">
    <cfRule type="iconSet" priority="2523">
      <iconSet iconSet="3Signs">
        <cfvo type="percent" val="0"/>
        <cfvo type="num" val="0.75"/>
        <cfvo type="num" val="1"/>
      </iconSet>
    </cfRule>
  </conditionalFormatting>
  <conditionalFormatting sqref="BY318">
    <cfRule type="iconSet" priority="5108">
      <iconSet iconSet="3Signs">
        <cfvo type="percent" val="0"/>
        <cfvo type="num" val="0.75"/>
        <cfvo type="num" val="1"/>
      </iconSet>
    </cfRule>
  </conditionalFormatting>
  <conditionalFormatting sqref="BY320">
    <cfRule type="iconSet" priority="4390">
      <iconSet iconSet="3Signs">
        <cfvo type="percent" val="0"/>
        <cfvo type="num" val="0.75"/>
        <cfvo type="num" val="1"/>
      </iconSet>
    </cfRule>
  </conditionalFormatting>
  <conditionalFormatting sqref="BY322">
    <cfRule type="iconSet" priority="2828">
      <iconSet iconSet="3Signs">
        <cfvo type="percent" val="0"/>
        <cfvo type="num" val="0.75"/>
        <cfvo type="num" val="1"/>
      </iconSet>
    </cfRule>
  </conditionalFormatting>
  <conditionalFormatting sqref="BY324">
    <cfRule type="iconSet" priority="2811">
      <iconSet iconSet="3Signs">
        <cfvo type="percent" val="0"/>
        <cfvo type="num" val="0.75"/>
        <cfvo type="num" val="1"/>
      </iconSet>
    </cfRule>
  </conditionalFormatting>
  <conditionalFormatting sqref="BY326">
    <cfRule type="iconSet" priority="2797">
      <iconSet iconSet="3Signs">
        <cfvo type="percent" val="0"/>
        <cfvo type="num" val="0.75"/>
        <cfvo type="num" val="1"/>
      </iconSet>
    </cfRule>
  </conditionalFormatting>
  <conditionalFormatting sqref="BY328">
    <cfRule type="iconSet" priority="2693">
      <iconSet iconSet="3Signs">
        <cfvo type="percent" val="0"/>
        <cfvo type="num" val="0.75"/>
        <cfvo type="num" val="1"/>
      </iconSet>
    </cfRule>
  </conditionalFormatting>
  <conditionalFormatting sqref="BY330">
    <cfRule type="iconSet" priority="2679">
      <iconSet iconSet="3Signs">
        <cfvo type="percent" val="0"/>
        <cfvo type="num" val="0.75"/>
        <cfvo type="num" val="1"/>
      </iconSet>
    </cfRule>
  </conditionalFormatting>
  <conditionalFormatting sqref="BY332">
    <cfRule type="iconSet" priority="2755">
      <iconSet iconSet="3Signs">
        <cfvo type="percent" val="0"/>
        <cfvo type="num" val="0.75"/>
        <cfvo type="num" val="1"/>
      </iconSet>
    </cfRule>
  </conditionalFormatting>
  <conditionalFormatting sqref="BY334">
    <cfRule type="iconSet" priority="2783">
      <iconSet iconSet="3Signs">
        <cfvo type="percent" val="0"/>
        <cfvo type="num" val="0.75"/>
        <cfvo type="num" val="1"/>
      </iconSet>
    </cfRule>
  </conditionalFormatting>
  <conditionalFormatting sqref="BY336">
    <cfRule type="iconSet" priority="2307">
      <iconSet iconSet="3Signs">
        <cfvo type="percent" val="0"/>
        <cfvo type="num" val="0.75"/>
        <cfvo type="num" val="1"/>
      </iconSet>
    </cfRule>
  </conditionalFormatting>
  <conditionalFormatting sqref="BY338">
    <cfRule type="iconSet" priority="2769">
      <iconSet iconSet="3Signs">
        <cfvo type="percent" val="0"/>
        <cfvo type="num" val="0.75"/>
        <cfvo type="num" val="1"/>
      </iconSet>
    </cfRule>
  </conditionalFormatting>
  <conditionalFormatting sqref="BY340">
    <cfRule type="iconSet" priority="2711">
      <iconSet iconSet="3Signs">
        <cfvo type="percent" val="0"/>
        <cfvo type="num" val="0.75"/>
        <cfvo type="num" val="1"/>
      </iconSet>
    </cfRule>
  </conditionalFormatting>
  <conditionalFormatting sqref="BY342">
    <cfRule type="iconSet" priority="2739">
      <iconSet iconSet="3Signs">
        <cfvo type="percent" val="0"/>
        <cfvo type="num" val="0.75"/>
        <cfvo type="num" val="1"/>
      </iconSet>
    </cfRule>
  </conditionalFormatting>
  <conditionalFormatting sqref="BY344">
    <cfRule type="iconSet" priority="2408">
      <iconSet iconSet="3Signs">
        <cfvo type="percent" val="0"/>
        <cfvo type="num" val="0.75"/>
        <cfvo type="num" val="1"/>
      </iconSet>
    </cfRule>
  </conditionalFormatting>
  <conditionalFormatting sqref="BY346">
    <cfRule type="iconSet" priority="2725">
      <iconSet iconSet="3Signs">
        <cfvo type="percent" val="0"/>
        <cfvo type="num" val="0.75"/>
        <cfvo type="num" val="1"/>
      </iconSet>
    </cfRule>
  </conditionalFormatting>
  <conditionalFormatting sqref="BY348">
    <cfRule type="iconSet" priority="2293">
      <iconSet iconSet="3Signs">
        <cfvo type="percent" val="0"/>
        <cfvo type="num" val="0.75"/>
        <cfvo type="num" val="1"/>
      </iconSet>
    </cfRule>
  </conditionalFormatting>
  <conditionalFormatting sqref="BY350">
    <cfRule type="iconSet" priority="2502">
      <iconSet iconSet="3Signs">
        <cfvo type="percent" val="0"/>
        <cfvo type="num" val="0.75"/>
        <cfvo type="num" val="1"/>
      </iconSet>
    </cfRule>
  </conditionalFormatting>
  <conditionalFormatting sqref="BY352">
    <cfRule type="iconSet" priority="5084">
      <iconSet iconSet="3Signs">
        <cfvo type="percent" val="0"/>
        <cfvo type="num" val="0.75"/>
        <cfvo type="num" val="1"/>
      </iconSet>
    </cfRule>
  </conditionalFormatting>
  <conditionalFormatting sqref="BY354">
    <cfRule type="iconSet" priority="5078">
      <iconSet iconSet="3Signs">
        <cfvo type="percent" val="0"/>
        <cfvo type="num" val="0.75"/>
        <cfvo type="num" val="1"/>
      </iconSet>
    </cfRule>
  </conditionalFormatting>
  <conditionalFormatting sqref="BY356">
    <cfRule type="iconSet" priority="5072">
      <iconSet iconSet="3Signs">
        <cfvo type="percent" val="0"/>
        <cfvo type="num" val="0.75"/>
        <cfvo type="num" val="1"/>
      </iconSet>
    </cfRule>
  </conditionalFormatting>
  <conditionalFormatting sqref="BY358">
    <cfRule type="iconSet" priority="2255">
      <iconSet iconSet="3Signs">
        <cfvo type="percent" val="0"/>
        <cfvo type="num" val="0.75"/>
        <cfvo type="num" val="1"/>
      </iconSet>
    </cfRule>
  </conditionalFormatting>
  <conditionalFormatting sqref="BY360">
    <cfRule type="iconSet" priority="2279">
      <iconSet iconSet="3Signs">
        <cfvo type="percent" val="0"/>
        <cfvo type="num" val="0.75"/>
        <cfvo type="num" val="1"/>
      </iconSet>
    </cfRule>
  </conditionalFormatting>
  <conditionalFormatting sqref="BY362">
    <cfRule type="iconSet" priority="1374">
      <iconSet iconSet="3Signs">
        <cfvo type="percent" val="0"/>
        <cfvo type="num" val="0.75"/>
        <cfvo type="num" val="1"/>
      </iconSet>
    </cfRule>
  </conditionalFormatting>
  <conditionalFormatting sqref="BY364">
    <cfRule type="iconSet" priority="1815">
      <iconSet iconSet="3Signs">
        <cfvo type="percent" val="0"/>
        <cfvo type="num" val="0.75"/>
        <cfvo type="num" val="1"/>
      </iconSet>
    </cfRule>
  </conditionalFormatting>
  <conditionalFormatting sqref="BY366">
    <cfRule type="iconSet" priority="1360">
      <iconSet iconSet="3Signs">
        <cfvo type="percent" val="0"/>
        <cfvo type="num" val="0.75"/>
        <cfvo type="num" val="1"/>
      </iconSet>
    </cfRule>
  </conditionalFormatting>
  <conditionalFormatting sqref="BY368">
    <cfRule type="iconSet" priority="2273">
      <iconSet iconSet="3Signs">
        <cfvo type="percent" val="0"/>
        <cfvo type="num" val="0.75"/>
        <cfvo type="num" val="1"/>
      </iconSet>
    </cfRule>
  </conditionalFormatting>
  <conditionalFormatting sqref="BY370">
    <cfRule type="iconSet" priority="1801">
      <iconSet iconSet="3Signs">
        <cfvo type="percent" val="0"/>
        <cfvo type="num" val="0.75"/>
        <cfvo type="num" val="1"/>
      </iconSet>
    </cfRule>
  </conditionalFormatting>
  <conditionalFormatting sqref="BY372">
    <cfRule type="iconSet" priority="2488">
      <iconSet iconSet="3Signs">
        <cfvo type="percent" val="0"/>
        <cfvo type="num" val="0.75"/>
        <cfvo type="num" val="1"/>
      </iconSet>
    </cfRule>
  </conditionalFormatting>
  <conditionalFormatting sqref="BY374">
    <cfRule type="iconSet" priority="2620">
      <iconSet iconSet="3Signs">
        <cfvo type="percent" val="0"/>
        <cfvo type="num" val="0.75"/>
        <cfvo type="num" val="1"/>
      </iconSet>
    </cfRule>
  </conditionalFormatting>
  <conditionalFormatting sqref="BY376">
    <cfRule type="iconSet" priority="2665">
      <iconSet iconSet="3Signs">
        <cfvo type="percent" val="0"/>
        <cfvo type="num" val="0.75"/>
        <cfvo type="num" val="1"/>
      </iconSet>
    </cfRule>
  </conditionalFormatting>
  <conditionalFormatting sqref="BY378">
    <cfRule type="iconSet" priority="2600">
      <iconSet iconSet="3Signs">
        <cfvo type="percent" val="0"/>
        <cfvo type="num" val="0.75"/>
        <cfvo type="num" val="1"/>
      </iconSet>
    </cfRule>
  </conditionalFormatting>
  <conditionalFormatting sqref="BY380">
    <cfRule type="iconSet" priority="2650">
      <iconSet iconSet="3Signs">
        <cfvo type="percent" val="0"/>
        <cfvo type="num" val="0.75"/>
        <cfvo type="num" val="1"/>
      </iconSet>
    </cfRule>
  </conditionalFormatting>
  <conditionalFormatting sqref="BY382">
    <cfRule type="iconSet" priority="2580">
      <iconSet iconSet="3Signs">
        <cfvo type="percent" val="0"/>
        <cfvo type="num" val="0.75"/>
        <cfvo type="num" val="1"/>
      </iconSet>
    </cfRule>
  </conditionalFormatting>
  <conditionalFormatting sqref="BY384">
    <cfRule type="iconSet" priority="2635">
      <iconSet iconSet="3Signs">
        <cfvo type="percent" val="0"/>
        <cfvo type="num" val="0.75"/>
        <cfvo type="num" val="1"/>
      </iconSet>
    </cfRule>
  </conditionalFormatting>
  <conditionalFormatting sqref="BY386">
    <cfRule type="iconSet" priority="1335">
      <iconSet iconSet="3Signs">
        <cfvo type="percent" val="0"/>
        <cfvo type="num" val="0.75"/>
        <cfvo type="num" val="1"/>
      </iconSet>
    </cfRule>
  </conditionalFormatting>
  <conditionalFormatting sqref="BY388">
    <cfRule type="iconSet" priority="1319">
      <iconSet iconSet="3Signs">
        <cfvo type="percent" val="0"/>
        <cfvo type="num" val="0.75"/>
        <cfvo type="num" val="1"/>
      </iconSet>
    </cfRule>
  </conditionalFormatting>
  <conditionalFormatting sqref="BY390">
    <cfRule type="iconSet" priority="1327">
      <iconSet iconSet="3Signs">
        <cfvo type="percent" val="0"/>
        <cfvo type="num" val="0.75"/>
        <cfvo type="num" val="1"/>
      </iconSet>
    </cfRule>
  </conditionalFormatting>
  <conditionalFormatting sqref="BY393">
    <cfRule type="iconSet" priority="5042">
      <iconSet iconSet="3Signs">
        <cfvo type="percent" val="0"/>
        <cfvo type="num" val="0.75"/>
        <cfvo type="num" val="1"/>
      </iconSet>
    </cfRule>
  </conditionalFormatting>
  <conditionalFormatting sqref="BY395">
    <cfRule type="iconSet" priority="5010">
      <iconSet iconSet="3Signs">
        <cfvo type="percent" val="0"/>
        <cfvo type="num" val="0.75"/>
        <cfvo type="num" val="1"/>
      </iconSet>
    </cfRule>
  </conditionalFormatting>
  <conditionalFormatting sqref="BY397">
    <cfRule type="iconSet" priority="4708">
      <iconSet iconSet="3Signs">
        <cfvo type="percent" val="0"/>
        <cfvo type="num" val="0.75"/>
        <cfvo type="num" val="1"/>
      </iconSet>
    </cfRule>
  </conditionalFormatting>
  <conditionalFormatting sqref="BY399">
    <cfRule type="iconSet" priority="4967">
      <iconSet iconSet="3Signs">
        <cfvo type="percent" val="0"/>
        <cfvo type="num" val="0.75"/>
        <cfvo type="num" val="1"/>
      </iconSet>
    </cfRule>
  </conditionalFormatting>
  <conditionalFormatting sqref="BY401">
    <cfRule type="iconSet" priority="2241">
      <iconSet iconSet="3Signs">
        <cfvo type="percent" val="0"/>
        <cfvo type="num" val="0.75"/>
        <cfvo type="num" val="1"/>
      </iconSet>
    </cfRule>
  </conditionalFormatting>
  <conditionalFormatting sqref="BY403">
    <cfRule type="iconSet" priority="2227">
      <iconSet iconSet="3Signs">
        <cfvo type="percent" val="0"/>
        <cfvo type="num" val="0.75"/>
        <cfvo type="num" val="1"/>
      </iconSet>
    </cfRule>
  </conditionalFormatting>
  <conditionalFormatting sqref="BY405">
    <cfRule type="iconSet" priority="1785">
      <iconSet iconSet="3Signs">
        <cfvo type="percent" val="0"/>
        <cfvo type="num" val="0.75"/>
        <cfvo type="num" val="1"/>
      </iconSet>
    </cfRule>
  </conditionalFormatting>
  <conditionalFormatting sqref="BY407">
    <cfRule type="iconSet" priority="1769">
      <iconSet iconSet="3Signs">
        <cfvo type="percent" val="0"/>
        <cfvo type="num" val="0.75"/>
        <cfvo type="num" val="1"/>
      </iconSet>
    </cfRule>
  </conditionalFormatting>
  <conditionalFormatting sqref="BY409">
    <cfRule type="iconSet" priority="1777">
      <iconSet iconSet="3Signs">
        <cfvo type="percent" val="0"/>
        <cfvo type="num" val="0.75"/>
        <cfvo type="num" val="1"/>
      </iconSet>
    </cfRule>
  </conditionalFormatting>
  <conditionalFormatting sqref="BY411">
    <cfRule type="iconSet" priority="1286">
      <iconSet iconSet="3Signs">
        <cfvo type="percent" val="0"/>
        <cfvo type="num" val="0.75"/>
        <cfvo type="num" val="1"/>
      </iconSet>
    </cfRule>
  </conditionalFormatting>
  <conditionalFormatting sqref="BY413">
    <cfRule type="iconSet" priority="1270">
      <iconSet iconSet="3Signs">
        <cfvo type="percent" val="0"/>
        <cfvo type="num" val="0.75"/>
        <cfvo type="num" val="1"/>
      </iconSet>
    </cfRule>
  </conditionalFormatting>
  <conditionalFormatting sqref="BY415">
    <cfRule type="iconSet" priority="1278">
      <iconSet iconSet="3Signs">
        <cfvo type="percent" val="0"/>
        <cfvo type="num" val="0.75"/>
        <cfvo type="num" val="1"/>
      </iconSet>
    </cfRule>
  </conditionalFormatting>
  <conditionalFormatting sqref="BY417">
    <cfRule type="iconSet" priority="3126">
      <iconSet iconSet="3Signs">
        <cfvo type="percent" val="0"/>
        <cfvo type="num" val="0.75"/>
        <cfvo type="num" val="1"/>
      </iconSet>
    </cfRule>
  </conditionalFormatting>
  <conditionalFormatting sqref="BY419">
    <cfRule type="iconSet" priority="3102">
      <iconSet iconSet="3Signs">
        <cfvo type="percent" val="0"/>
        <cfvo type="num" val="0.75"/>
        <cfvo type="num" val="1"/>
      </iconSet>
    </cfRule>
  </conditionalFormatting>
  <conditionalFormatting sqref="BY421">
    <cfRule type="iconSet" priority="3118">
      <iconSet iconSet="3Signs">
        <cfvo type="percent" val="0"/>
        <cfvo type="num" val="0.75"/>
        <cfvo type="num" val="1"/>
      </iconSet>
    </cfRule>
  </conditionalFormatting>
  <conditionalFormatting sqref="BY423">
    <cfRule type="iconSet" priority="3110">
      <iconSet iconSet="3Signs">
        <cfvo type="percent" val="0"/>
        <cfvo type="num" val="0.75"/>
        <cfvo type="num" val="1"/>
      </iconSet>
    </cfRule>
  </conditionalFormatting>
  <conditionalFormatting sqref="BY425">
    <cfRule type="iconSet" priority="198">
      <iconSet iconSet="3Signs">
        <cfvo type="percent" val="0"/>
        <cfvo type="num" val="0.75"/>
        <cfvo type="num" val="1"/>
      </iconSet>
    </cfRule>
  </conditionalFormatting>
  <conditionalFormatting sqref="BY428">
    <cfRule type="iconSet" priority="4955">
      <iconSet iconSet="3Signs">
        <cfvo type="percent" val="0"/>
        <cfvo type="num" val="0.75"/>
        <cfvo type="num" val="1"/>
      </iconSet>
    </cfRule>
  </conditionalFormatting>
  <conditionalFormatting sqref="BY430">
    <cfRule type="iconSet" priority="4700">
      <iconSet iconSet="3Signs">
        <cfvo type="percent" val="0"/>
        <cfvo type="num" val="0.75"/>
        <cfvo type="num" val="1"/>
      </iconSet>
    </cfRule>
  </conditionalFormatting>
  <conditionalFormatting sqref="BY432">
    <cfRule type="iconSet" priority="2562">
      <iconSet iconSet="3Signs">
        <cfvo type="percent" val="0"/>
        <cfvo type="num" val="0.75"/>
        <cfvo type="num" val="1"/>
      </iconSet>
    </cfRule>
  </conditionalFormatting>
  <conditionalFormatting sqref="BY434">
    <cfRule type="iconSet" priority="3053">
      <iconSet iconSet="3Signs">
        <cfvo type="percent" val="0"/>
        <cfvo type="num" val="0.75"/>
        <cfvo type="num" val="1"/>
      </iconSet>
    </cfRule>
  </conditionalFormatting>
  <conditionalFormatting sqref="BY436">
    <cfRule type="iconSet" priority="3049">
      <iconSet iconSet="3Signs">
        <cfvo type="percent" val="0"/>
        <cfvo type="num" val="0.75"/>
        <cfvo type="num" val="1"/>
      </iconSet>
    </cfRule>
  </conditionalFormatting>
  <conditionalFormatting sqref="BY438">
    <cfRule type="iconSet" priority="3041">
      <iconSet iconSet="3Signs">
        <cfvo type="percent" val="0"/>
        <cfvo type="num" val="0.75"/>
        <cfvo type="num" val="1"/>
      </iconSet>
    </cfRule>
  </conditionalFormatting>
  <conditionalFormatting sqref="BY440">
    <cfRule type="iconSet" priority="3035">
      <iconSet iconSet="3Signs">
        <cfvo type="percent" val="0"/>
        <cfvo type="num" val="0.75"/>
        <cfvo type="num" val="1"/>
      </iconSet>
    </cfRule>
  </conditionalFormatting>
  <conditionalFormatting sqref="BY442">
    <cfRule type="iconSet" priority="1238">
      <iconSet iconSet="3Signs">
        <cfvo type="percent" val="0"/>
        <cfvo type="num" val="0.75"/>
        <cfvo type="num" val="1"/>
      </iconSet>
    </cfRule>
  </conditionalFormatting>
  <conditionalFormatting sqref="BY444">
    <cfRule type="iconSet" priority="4959">
      <iconSet iconSet="3Signs">
        <cfvo type="percent" val="0"/>
        <cfvo type="num" val="0.75"/>
        <cfvo type="num" val="1"/>
      </iconSet>
    </cfRule>
  </conditionalFormatting>
  <conditionalFormatting sqref="BY446">
    <cfRule type="iconSet" priority="1224">
      <iconSet iconSet="3Signs">
        <cfvo type="percent" val="0"/>
        <cfvo type="num" val="0.75"/>
        <cfvo type="num" val="1"/>
      </iconSet>
    </cfRule>
  </conditionalFormatting>
  <conditionalFormatting sqref="BY448">
    <cfRule type="iconSet" priority="4949">
      <iconSet iconSet="3Signs">
        <cfvo type="percent" val="0"/>
        <cfvo type="num" val="0.75"/>
        <cfvo type="num" val="1"/>
      </iconSet>
    </cfRule>
  </conditionalFormatting>
  <conditionalFormatting sqref="BY450">
    <cfRule type="iconSet" priority="4941">
      <iconSet iconSet="3Signs">
        <cfvo type="percent" val="0"/>
        <cfvo type="num" val="0.75"/>
        <cfvo type="num" val="1"/>
      </iconSet>
    </cfRule>
  </conditionalFormatting>
  <conditionalFormatting sqref="BY452">
    <cfRule type="iconSet" priority="4935">
      <iconSet iconSet="3Signs">
        <cfvo type="percent" val="0"/>
        <cfvo type="num" val="0.75"/>
        <cfvo type="num" val="1"/>
      </iconSet>
    </cfRule>
  </conditionalFormatting>
  <conditionalFormatting sqref="BY454">
    <cfRule type="iconSet" priority="4929">
      <iconSet iconSet="3Signs">
        <cfvo type="percent" val="0"/>
        <cfvo type="num" val="0.75"/>
        <cfvo type="num" val="1"/>
      </iconSet>
    </cfRule>
  </conditionalFormatting>
  <conditionalFormatting sqref="BY456">
    <cfRule type="iconSet" priority="4923">
      <iconSet iconSet="3Signs">
        <cfvo type="percent" val="0"/>
        <cfvo type="num" val="0.75"/>
        <cfvo type="num" val="1"/>
      </iconSet>
    </cfRule>
  </conditionalFormatting>
  <conditionalFormatting sqref="BY458">
    <cfRule type="iconSet" priority="4913">
      <iconSet iconSet="3Signs">
        <cfvo type="percent" val="0"/>
        <cfvo type="num" val="0.75"/>
        <cfvo type="num" val="1"/>
      </iconSet>
    </cfRule>
  </conditionalFormatting>
  <conditionalFormatting sqref="BY460">
    <cfRule type="iconSet" priority="2544">
      <iconSet iconSet="3Signs">
        <cfvo type="percent" val="0"/>
        <cfvo type="num" val="0.75"/>
        <cfvo type="num" val="1"/>
      </iconSet>
    </cfRule>
  </conditionalFormatting>
  <conditionalFormatting sqref="BY462">
    <cfRule type="iconSet" priority="4905">
      <iconSet iconSet="3Signs">
        <cfvo type="percent" val="0"/>
        <cfvo type="num" val="0.75"/>
        <cfvo type="num" val="1"/>
      </iconSet>
    </cfRule>
  </conditionalFormatting>
  <conditionalFormatting sqref="BY464">
    <cfRule type="iconSet" priority="4889">
      <iconSet iconSet="3Signs">
        <cfvo type="percent" val="0"/>
        <cfvo type="num" val="0.75"/>
        <cfvo type="num" val="1"/>
      </iconSet>
    </cfRule>
  </conditionalFormatting>
  <conditionalFormatting sqref="BY466">
    <cfRule type="iconSet" priority="3297">
      <iconSet iconSet="3Signs">
        <cfvo type="percent" val="0"/>
        <cfvo type="num" val="0.75"/>
        <cfvo type="num" val="1"/>
      </iconSet>
    </cfRule>
  </conditionalFormatting>
  <conditionalFormatting sqref="BY468">
    <cfRule type="iconSet" priority="3283">
      <iconSet iconSet="3Signs">
        <cfvo type="percent" val="0"/>
        <cfvo type="num" val="0.75"/>
        <cfvo type="num" val="1"/>
      </iconSet>
    </cfRule>
  </conditionalFormatting>
  <conditionalFormatting sqref="BY470">
    <cfRule type="iconSet" priority="4897">
      <iconSet iconSet="3Signs">
        <cfvo type="percent" val="0"/>
        <cfvo type="num" val="0.75"/>
        <cfvo type="num" val="1"/>
      </iconSet>
    </cfRule>
  </conditionalFormatting>
  <conditionalFormatting sqref="BY472">
    <cfRule type="iconSet" priority="4881">
      <iconSet iconSet="3Signs">
        <cfvo type="percent" val="0"/>
        <cfvo type="num" val="0.75"/>
        <cfvo type="num" val="1"/>
      </iconSet>
    </cfRule>
  </conditionalFormatting>
  <conditionalFormatting sqref="BY474">
    <cfRule type="iconSet" priority="4873">
      <iconSet iconSet="3Signs">
        <cfvo type="percent" val="0"/>
        <cfvo type="num" val="0.75"/>
        <cfvo type="num" val="1"/>
      </iconSet>
    </cfRule>
  </conditionalFormatting>
  <conditionalFormatting sqref="BY476">
    <cfRule type="iconSet" priority="4526">
      <iconSet iconSet="3Signs">
        <cfvo type="percent" val="0"/>
        <cfvo type="num" val="0.75"/>
        <cfvo type="num" val="1"/>
      </iconSet>
    </cfRule>
  </conditionalFormatting>
  <conditionalFormatting sqref="BY478">
    <cfRule type="iconSet" priority="3462">
      <iconSet iconSet="3Signs">
        <cfvo type="percent" val="0"/>
        <cfvo type="num" val="0.75"/>
        <cfvo type="num" val="1"/>
      </iconSet>
    </cfRule>
  </conditionalFormatting>
  <conditionalFormatting sqref="BY480">
    <cfRule type="iconSet" priority="3003">
      <iconSet iconSet="3Signs">
        <cfvo type="percent" val="0"/>
        <cfvo type="num" val="0.75"/>
        <cfvo type="num" val="1"/>
      </iconSet>
    </cfRule>
  </conditionalFormatting>
  <conditionalFormatting sqref="BY482">
    <cfRule type="iconSet" priority="2989">
      <iconSet iconSet="3Signs">
        <cfvo type="percent" val="0"/>
        <cfvo type="num" val="0.75"/>
        <cfvo type="num" val="1"/>
      </iconSet>
    </cfRule>
  </conditionalFormatting>
  <conditionalFormatting sqref="BY484">
    <cfRule type="iconSet" priority="2212">
      <iconSet iconSet="3Signs">
        <cfvo type="percent" val="0"/>
        <cfvo type="num" val="0.75"/>
        <cfvo type="num" val="1"/>
      </iconSet>
    </cfRule>
  </conditionalFormatting>
  <conditionalFormatting sqref="BY486">
    <cfRule type="iconSet" priority="4865">
      <iconSet iconSet="3Signs">
        <cfvo type="percent" val="0"/>
        <cfvo type="num" val="0.75"/>
        <cfvo type="num" val="1"/>
      </iconSet>
    </cfRule>
  </conditionalFormatting>
  <conditionalFormatting sqref="BY488">
    <cfRule type="iconSet" priority="2100">
      <iconSet iconSet="3Signs">
        <cfvo type="percent" val="0"/>
        <cfvo type="num" val="0.75"/>
        <cfvo type="num" val="1"/>
      </iconSet>
    </cfRule>
  </conditionalFormatting>
  <conditionalFormatting sqref="BY490">
    <cfRule type="iconSet" priority="2139">
      <iconSet iconSet="3Signs">
        <cfvo type="percent" val="0"/>
        <cfvo type="num" val="0.75"/>
        <cfvo type="num" val="1"/>
      </iconSet>
    </cfRule>
  </conditionalFormatting>
  <conditionalFormatting sqref="BY492">
    <cfRule type="iconSet" priority="2135">
      <iconSet iconSet="3Signs">
        <cfvo type="percent" val="0"/>
        <cfvo type="num" val="0.75"/>
        <cfvo type="num" val="1"/>
      </iconSet>
    </cfRule>
  </conditionalFormatting>
  <conditionalFormatting sqref="BY494">
    <cfRule type="iconSet" priority="2127">
      <iconSet iconSet="3Signs">
        <cfvo type="percent" val="0"/>
        <cfvo type="num" val="0.75"/>
        <cfvo type="num" val="1"/>
      </iconSet>
    </cfRule>
  </conditionalFormatting>
  <conditionalFormatting sqref="BY496">
    <cfRule type="iconSet" priority="2121">
      <iconSet iconSet="3Signs">
        <cfvo type="percent" val="0"/>
        <cfvo type="num" val="0.75"/>
        <cfvo type="num" val="1"/>
      </iconSet>
    </cfRule>
  </conditionalFormatting>
  <conditionalFormatting sqref="BY498">
    <cfRule type="iconSet" priority="2115">
      <iconSet iconSet="3Signs">
        <cfvo type="percent" val="0"/>
        <cfvo type="num" val="0.75"/>
        <cfvo type="num" val="1"/>
      </iconSet>
    </cfRule>
  </conditionalFormatting>
  <conditionalFormatting sqref="BY500">
    <cfRule type="iconSet" priority="2109">
      <iconSet iconSet="3Signs">
        <cfvo type="percent" val="0"/>
        <cfvo type="num" val="0.75"/>
        <cfvo type="num" val="1"/>
      </iconSet>
    </cfRule>
  </conditionalFormatting>
  <conditionalFormatting sqref="BY502">
    <cfRule type="iconSet" priority="1608">
      <iconSet iconSet="3Signs">
        <cfvo type="percent" val="0"/>
        <cfvo type="num" val="0.75"/>
        <cfvo type="num" val="1"/>
      </iconSet>
    </cfRule>
  </conditionalFormatting>
  <conditionalFormatting sqref="BY504">
    <cfRule type="iconSet" priority="1646">
      <iconSet iconSet="3Signs">
        <cfvo type="percent" val="0"/>
        <cfvo type="num" val="0.75"/>
        <cfvo type="num" val="1"/>
      </iconSet>
    </cfRule>
  </conditionalFormatting>
  <conditionalFormatting sqref="BY506">
    <cfRule type="iconSet" priority="1642">
      <iconSet iconSet="3Signs">
        <cfvo type="percent" val="0"/>
        <cfvo type="num" val="0.75"/>
        <cfvo type="num" val="1"/>
      </iconSet>
    </cfRule>
  </conditionalFormatting>
  <conditionalFormatting sqref="BY508">
    <cfRule type="iconSet" priority="1634">
      <iconSet iconSet="3Signs">
        <cfvo type="percent" val="0"/>
        <cfvo type="num" val="0.75"/>
        <cfvo type="num" val="1"/>
      </iconSet>
    </cfRule>
  </conditionalFormatting>
  <conditionalFormatting sqref="BY510">
    <cfRule type="iconSet" priority="107">
      <iconSet iconSet="3Signs">
        <cfvo type="percent" val="0"/>
        <cfvo type="num" val="0.75"/>
        <cfvo type="num" val="1"/>
      </iconSet>
    </cfRule>
  </conditionalFormatting>
  <conditionalFormatting sqref="BY512">
    <cfRule type="iconSet" priority="1628">
      <iconSet iconSet="3Signs">
        <cfvo type="percent" val="0"/>
        <cfvo type="num" val="0.75"/>
        <cfvo type="num" val="1"/>
      </iconSet>
    </cfRule>
  </conditionalFormatting>
  <conditionalFormatting sqref="BY514">
    <cfRule type="iconSet" priority="91">
      <iconSet iconSet="3Signs">
        <cfvo type="percent" val="0"/>
        <cfvo type="num" val="0.75"/>
        <cfvo type="num" val="1"/>
      </iconSet>
    </cfRule>
  </conditionalFormatting>
  <conditionalFormatting sqref="BY516">
    <cfRule type="iconSet" priority="287">
      <iconSet iconSet="3Signs">
        <cfvo type="percent" val="0"/>
        <cfvo type="num" val="0.75"/>
        <cfvo type="num" val="1"/>
      </iconSet>
    </cfRule>
  </conditionalFormatting>
  <conditionalFormatting sqref="BY518">
    <cfRule type="iconSet" priority="271">
      <iconSet iconSet="3Signs">
        <cfvo type="percent" val="0"/>
        <cfvo type="num" val="0.75"/>
        <cfvo type="num" val="1"/>
      </iconSet>
    </cfRule>
  </conditionalFormatting>
  <conditionalFormatting sqref="BY520">
    <cfRule type="iconSet" priority="1622">
      <iconSet iconSet="3Signs">
        <cfvo type="percent" val="0"/>
        <cfvo type="num" val="0.75"/>
        <cfvo type="num" val="1"/>
      </iconSet>
    </cfRule>
  </conditionalFormatting>
  <conditionalFormatting sqref="BY522">
    <cfRule type="iconSet" priority="528">
      <iconSet iconSet="3Signs">
        <cfvo type="percent" val="0"/>
        <cfvo type="num" val="0.75"/>
        <cfvo type="num" val="1"/>
      </iconSet>
    </cfRule>
  </conditionalFormatting>
  <conditionalFormatting sqref="BY524">
    <cfRule type="iconSet" priority="512">
      <iconSet iconSet="3Signs">
        <cfvo type="percent" val="0"/>
        <cfvo type="num" val="0.75"/>
        <cfvo type="num" val="1"/>
      </iconSet>
    </cfRule>
  </conditionalFormatting>
  <conditionalFormatting sqref="BY526">
    <cfRule type="iconSet" priority="303">
      <iconSet iconSet="3Signs">
        <cfvo type="percent" val="0"/>
        <cfvo type="num" val="0.75"/>
        <cfvo type="num" val="1"/>
      </iconSet>
    </cfRule>
  </conditionalFormatting>
  <conditionalFormatting sqref="BY528">
    <cfRule type="iconSet" priority="1616">
      <iconSet iconSet="3Signs">
        <cfvo type="percent" val="0"/>
        <cfvo type="num" val="0.75"/>
        <cfvo type="num" val="1"/>
      </iconSet>
    </cfRule>
  </conditionalFormatting>
  <conditionalFormatting sqref="BY530">
    <cfRule type="iconSet" priority="1699">
      <iconSet iconSet="3Signs">
        <cfvo type="percent" val="0"/>
        <cfvo type="num" val="0.75"/>
        <cfvo type="num" val="1"/>
      </iconSet>
    </cfRule>
  </conditionalFormatting>
  <conditionalFormatting sqref="BY532">
    <cfRule type="iconSet" priority="1737">
      <iconSet iconSet="3Signs">
        <cfvo type="percent" val="0"/>
        <cfvo type="num" val="0.75"/>
        <cfvo type="num" val="1"/>
      </iconSet>
    </cfRule>
  </conditionalFormatting>
  <conditionalFormatting sqref="BY534">
    <cfRule type="iconSet" priority="254">
      <iconSet iconSet="3Signs">
        <cfvo type="percent" val="0"/>
        <cfvo type="num" val="0.75"/>
        <cfvo type="num" val="1"/>
      </iconSet>
    </cfRule>
  </conditionalFormatting>
  <conditionalFormatting sqref="BY536">
    <cfRule type="iconSet" priority="1733">
      <iconSet iconSet="3Signs">
        <cfvo type="percent" val="0"/>
        <cfvo type="num" val="0.75"/>
        <cfvo type="num" val="1"/>
      </iconSet>
    </cfRule>
  </conditionalFormatting>
  <conditionalFormatting sqref="BY538">
    <cfRule type="iconSet" priority="1725">
      <iconSet iconSet="3Signs">
        <cfvo type="percent" val="0"/>
        <cfvo type="num" val="0.75"/>
        <cfvo type="num" val="1"/>
      </iconSet>
    </cfRule>
  </conditionalFormatting>
  <conditionalFormatting sqref="BY540">
    <cfRule type="iconSet" priority="496">
      <iconSet iconSet="3Signs">
        <cfvo type="percent" val="0"/>
        <cfvo type="num" val="0.75"/>
        <cfvo type="num" val="1"/>
      </iconSet>
    </cfRule>
  </conditionalFormatting>
  <conditionalFormatting sqref="BY542">
    <cfRule type="iconSet" priority="75">
      <iconSet iconSet="3Signs">
        <cfvo type="percent" val="0"/>
        <cfvo type="num" val="0.75"/>
        <cfvo type="num" val="1"/>
      </iconSet>
    </cfRule>
  </conditionalFormatting>
  <conditionalFormatting sqref="BY544">
    <cfRule type="iconSet" priority="1719">
      <iconSet iconSet="3Signs">
        <cfvo type="percent" val="0"/>
        <cfvo type="num" val="0.75"/>
        <cfvo type="num" val="1"/>
      </iconSet>
    </cfRule>
  </conditionalFormatting>
  <conditionalFormatting sqref="BY546">
    <cfRule type="iconSet" priority="220">
      <iconSet iconSet="3Signs">
        <cfvo type="percent" val="0"/>
        <cfvo type="num" val="0.75"/>
        <cfvo type="num" val="1"/>
      </iconSet>
    </cfRule>
  </conditionalFormatting>
  <conditionalFormatting sqref="BY548">
    <cfRule type="iconSet" priority="15">
      <iconSet iconSet="3Signs">
        <cfvo type="percent" val="0"/>
        <cfvo type="num" val="0.75"/>
        <cfvo type="num" val="1"/>
      </iconSet>
    </cfRule>
  </conditionalFormatting>
  <conditionalFormatting sqref="BY550">
    <cfRule type="iconSet" priority="176">
      <iconSet iconSet="3Signs">
        <cfvo type="percent" val="0"/>
        <cfvo type="num" val="0.75"/>
        <cfvo type="num" val="1"/>
      </iconSet>
    </cfRule>
  </conditionalFormatting>
  <conditionalFormatting sqref="BY552">
    <cfRule type="iconSet" priority="385">
      <iconSet iconSet="3Signs">
        <cfvo type="percent" val="0"/>
        <cfvo type="num" val="0.75"/>
        <cfvo type="num" val="1"/>
      </iconSet>
    </cfRule>
  </conditionalFormatting>
  <conditionalFormatting sqref="BY554">
    <cfRule type="iconSet" priority="238">
      <iconSet iconSet="3Signs">
        <cfvo type="percent" val="0"/>
        <cfvo type="num" val="0.75"/>
        <cfvo type="num" val="1"/>
      </iconSet>
    </cfRule>
  </conditionalFormatting>
  <conditionalFormatting sqref="BY556">
    <cfRule type="iconSet" priority="1713">
      <iconSet iconSet="3Signs">
        <cfvo type="percent" val="0"/>
        <cfvo type="num" val="0.75"/>
        <cfvo type="num" val="1"/>
      </iconSet>
    </cfRule>
  </conditionalFormatting>
  <conditionalFormatting sqref="BY558">
    <cfRule type="iconSet" priority="480">
      <iconSet iconSet="3Signs">
        <cfvo type="percent" val="0"/>
        <cfvo type="num" val="0.75"/>
        <cfvo type="num" val="1"/>
      </iconSet>
    </cfRule>
  </conditionalFormatting>
  <conditionalFormatting sqref="BY560">
    <cfRule type="iconSet" priority="59">
      <iconSet iconSet="3Signs">
        <cfvo type="percent" val="0"/>
        <cfvo type="num" val="0.75"/>
        <cfvo type="num" val="1"/>
      </iconSet>
    </cfRule>
  </conditionalFormatting>
  <conditionalFormatting sqref="BY562">
    <cfRule type="iconSet" priority="1707">
      <iconSet iconSet="3Signs">
        <cfvo type="percent" val="0"/>
        <cfvo type="num" val="0.75"/>
        <cfvo type="num" val="1"/>
      </iconSet>
    </cfRule>
  </conditionalFormatting>
  <conditionalFormatting sqref="BY564">
    <cfRule type="iconSet" priority="4692">
      <iconSet iconSet="3Signs">
        <cfvo type="percent" val="0"/>
        <cfvo type="num" val="0.75"/>
        <cfvo type="num" val="1"/>
      </iconSet>
    </cfRule>
  </conditionalFormatting>
  <conditionalFormatting sqref="BY566">
    <cfRule type="iconSet" priority="4688">
      <iconSet iconSet="3Signs">
        <cfvo type="percent" val="0"/>
        <cfvo type="num" val="0.75"/>
        <cfvo type="num" val="1"/>
      </iconSet>
    </cfRule>
  </conditionalFormatting>
  <conditionalFormatting sqref="BY568">
    <cfRule type="iconSet" priority="4680">
      <iconSet iconSet="3Signs">
        <cfvo type="percent" val="0"/>
        <cfvo type="num" val="0.75"/>
        <cfvo type="num" val="1"/>
      </iconSet>
    </cfRule>
  </conditionalFormatting>
  <conditionalFormatting sqref="BY570">
    <cfRule type="iconSet" priority="4674">
      <iconSet iconSet="3Signs">
        <cfvo type="percent" val="0"/>
        <cfvo type="num" val="0.75"/>
        <cfvo type="num" val="1"/>
      </iconSet>
    </cfRule>
  </conditionalFormatting>
  <conditionalFormatting sqref="BY572">
    <cfRule type="iconSet" priority="4668">
      <iconSet iconSet="3Signs">
        <cfvo type="percent" val="0"/>
        <cfvo type="num" val="0.75"/>
        <cfvo type="num" val="1"/>
      </iconSet>
    </cfRule>
  </conditionalFormatting>
  <conditionalFormatting sqref="BY574">
    <cfRule type="iconSet" priority="4662">
      <iconSet iconSet="3Signs">
        <cfvo type="percent" val="0"/>
        <cfvo type="num" val="0.75"/>
        <cfvo type="num" val="1"/>
      </iconSet>
    </cfRule>
  </conditionalFormatting>
  <conditionalFormatting sqref="BY576">
    <cfRule type="iconSet" priority="4654">
      <iconSet iconSet="3Signs">
        <cfvo type="percent" val="0"/>
        <cfvo type="num" val="0.75"/>
        <cfvo type="num" val="1"/>
      </iconSet>
    </cfRule>
  </conditionalFormatting>
  <conditionalFormatting sqref="BY578">
    <cfRule type="iconSet" priority="4630">
      <iconSet iconSet="3Signs">
        <cfvo type="percent" val="0"/>
        <cfvo type="num" val="0.75"/>
        <cfvo type="num" val="1"/>
      </iconSet>
    </cfRule>
  </conditionalFormatting>
  <conditionalFormatting sqref="BY580">
    <cfRule type="iconSet" priority="4646">
      <iconSet iconSet="3Signs">
        <cfvo type="percent" val="0"/>
        <cfvo type="num" val="0.75"/>
        <cfvo type="num" val="1"/>
      </iconSet>
    </cfRule>
  </conditionalFormatting>
  <conditionalFormatting sqref="BY582">
    <cfRule type="iconSet" priority="4622">
      <iconSet iconSet="3Signs">
        <cfvo type="percent" val="0"/>
        <cfvo type="num" val="0.75"/>
        <cfvo type="num" val="1"/>
      </iconSet>
    </cfRule>
  </conditionalFormatting>
  <conditionalFormatting sqref="BY584">
    <cfRule type="iconSet" priority="4638">
      <iconSet iconSet="3Signs">
        <cfvo type="percent" val="0"/>
        <cfvo type="num" val="0.75"/>
        <cfvo type="num" val="1"/>
      </iconSet>
    </cfRule>
  </conditionalFormatting>
  <conditionalFormatting sqref="BY586">
    <cfRule type="iconSet" priority="4614">
      <iconSet iconSet="3Signs">
        <cfvo type="percent" val="0"/>
        <cfvo type="num" val="0.75"/>
        <cfvo type="num" val="1"/>
      </iconSet>
    </cfRule>
  </conditionalFormatting>
  <conditionalFormatting sqref="BY588">
    <cfRule type="iconSet" priority="2195">
      <iconSet iconSet="3Signs">
        <cfvo type="percent" val="0"/>
        <cfvo type="num" val="0.75"/>
        <cfvo type="num" val="1"/>
      </iconSet>
    </cfRule>
  </conditionalFormatting>
  <conditionalFormatting sqref="BY591">
    <cfRule type="iconSet" priority="4382">
      <iconSet iconSet="3Signs">
        <cfvo type="percent" val="0"/>
        <cfvo type="num" val="0.75"/>
        <cfvo type="num" val="1"/>
      </iconSet>
    </cfRule>
  </conditionalFormatting>
  <conditionalFormatting sqref="BY593">
    <cfRule type="iconSet" priority="2426">
      <iconSet iconSet="3Signs">
        <cfvo type="percent" val="0"/>
        <cfvo type="num" val="0.75"/>
        <cfvo type="num" val="1"/>
      </iconSet>
    </cfRule>
  </conditionalFormatting>
  <conditionalFormatting sqref="BY595">
    <cfRule type="iconSet" priority="2843">
      <iconSet iconSet="3Signs">
        <cfvo type="percent" val="0"/>
        <cfvo type="num" val="0.75"/>
        <cfvo type="num" val="1"/>
      </iconSet>
    </cfRule>
  </conditionalFormatting>
  <conditionalFormatting sqref="BY597">
    <cfRule type="iconSet" priority="4376">
      <iconSet iconSet="3Signs">
        <cfvo type="percent" val="0"/>
        <cfvo type="num" val="0.75"/>
        <cfvo type="num" val="1"/>
      </iconSet>
    </cfRule>
  </conditionalFormatting>
  <conditionalFormatting sqref="BY599">
    <cfRule type="iconSet" priority="3067">
      <iconSet iconSet="3Signs">
        <cfvo type="percent" val="0"/>
        <cfvo type="num" val="0.75"/>
        <cfvo type="num" val="1"/>
      </iconSet>
    </cfRule>
  </conditionalFormatting>
  <conditionalFormatting sqref="BY601">
    <cfRule type="iconSet" priority="4370">
      <iconSet iconSet="3Signs">
        <cfvo type="percent" val="0"/>
        <cfvo type="num" val="0.75"/>
        <cfvo type="num" val="1"/>
      </iconSet>
    </cfRule>
  </conditionalFormatting>
  <conditionalFormatting sqref="BY603">
    <cfRule type="iconSet" priority="4364">
      <iconSet iconSet="3Signs">
        <cfvo type="percent" val="0"/>
        <cfvo type="num" val="0.75"/>
        <cfvo type="num" val="1"/>
      </iconSet>
    </cfRule>
  </conditionalFormatting>
  <conditionalFormatting sqref="BY605">
    <cfRule type="iconSet" priority="3339">
      <iconSet iconSet="3Signs">
        <cfvo type="percent" val="0"/>
        <cfvo type="num" val="0.75"/>
        <cfvo type="num" val="1"/>
      </iconSet>
    </cfRule>
  </conditionalFormatting>
  <conditionalFormatting sqref="BY607">
    <cfRule type="iconSet" priority="3325">
      <iconSet iconSet="3Signs">
        <cfvo type="percent" val="0"/>
        <cfvo type="num" val="0.75"/>
        <cfvo type="num" val="1"/>
      </iconSet>
    </cfRule>
  </conditionalFormatting>
  <conditionalFormatting sqref="BY609">
    <cfRule type="iconSet" priority="3311">
      <iconSet iconSet="3Signs">
        <cfvo type="percent" val="0"/>
        <cfvo type="num" val="0.75"/>
        <cfvo type="num" val="1"/>
      </iconSet>
    </cfRule>
  </conditionalFormatting>
  <conditionalFormatting sqref="BY611">
    <cfRule type="iconSet" priority="4347">
      <iconSet iconSet="3Signs">
        <cfvo type="percent" val="0"/>
        <cfvo type="num" val="0.75"/>
        <cfvo type="num" val="1"/>
      </iconSet>
    </cfRule>
  </conditionalFormatting>
  <conditionalFormatting sqref="BY613">
    <cfRule type="iconSet" priority="4358">
      <iconSet iconSet="3Signs">
        <cfvo type="percent" val="0"/>
        <cfvo type="num" val="0.75"/>
        <cfvo type="num" val="1"/>
      </iconSet>
    </cfRule>
  </conditionalFormatting>
  <conditionalFormatting sqref="BY615">
    <cfRule type="iconSet" priority="1519">
      <iconSet iconSet="3Signs">
        <cfvo type="percent" val="0"/>
        <cfvo type="num" val="0.75"/>
        <cfvo type="num" val="1"/>
      </iconSet>
    </cfRule>
  </conditionalFormatting>
  <conditionalFormatting sqref="BY617">
    <cfRule type="iconSet" priority="139">
      <iconSet iconSet="3Signs">
        <cfvo type="percent" val="0"/>
        <cfvo type="num" val="0.75"/>
        <cfvo type="num" val="1"/>
      </iconSet>
    </cfRule>
  </conditionalFormatting>
  <conditionalFormatting sqref="BY619">
    <cfRule type="iconSet" priority="154">
      <iconSet iconSet="3Signs">
        <cfvo type="percent" val="0"/>
        <cfvo type="num" val="0.75"/>
        <cfvo type="num" val="1"/>
      </iconSet>
    </cfRule>
  </conditionalFormatting>
  <conditionalFormatting sqref="BY621">
    <cfRule type="iconSet" priority="1541">
      <iconSet iconSet="3Signs">
        <cfvo type="percent" val="0"/>
        <cfvo type="num" val="0.75"/>
        <cfvo type="num" val="1"/>
      </iconSet>
    </cfRule>
  </conditionalFormatting>
  <conditionalFormatting sqref="BY623">
    <cfRule type="iconSet" priority="1555">
      <iconSet iconSet="3Signs">
        <cfvo type="percent" val="0"/>
        <cfvo type="num" val="0.75"/>
        <cfvo type="num" val="1"/>
      </iconSet>
    </cfRule>
  </conditionalFormatting>
  <conditionalFormatting sqref="BY625">
    <cfRule type="iconSet" priority="41">
      <iconSet iconSet="3Signs">
        <cfvo type="percent" val="0"/>
        <cfvo type="num" val="0.75"/>
        <cfvo type="num" val="1"/>
      </iconSet>
    </cfRule>
  </conditionalFormatting>
  <pageMargins left="0.511811024" right="0.511811024" top="0.78740157499999996" bottom="0.78740157499999996" header="0.31496062000000002" footer="0.31496062000000002"/>
  <drawing r:id="rId1"/>
  <legacyDrawing r:id="rId2"/>
  <extLst>
    <ext xmlns:x14="http://schemas.microsoft.com/office/spreadsheetml/2009/9/main" uri="{78C0D931-6437-407d-A8EE-F0AAD7539E65}">
      <x14:conditionalFormattings>
        <x14:conditionalFormatting xmlns:xm="http://schemas.microsoft.com/office/excel/2006/main">
          <x14:cfRule type="dataBar" id="{28A02732-0E8A-42AD-8C5B-0CE4280BF4F4}">
            <x14:dataBar minLength="0" maxLength="100" border="1" gradient="0">
              <x14:cfvo type="num">
                <xm:f>0</xm:f>
              </x14:cfvo>
              <x14:cfvo type="num">
                <xm:f>1</xm:f>
              </x14:cfvo>
              <x14:borderColor theme="0"/>
              <x14:negativeFillColor rgb="FFFF0000"/>
              <x14:axisColor rgb="FF000000"/>
            </x14:dataBar>
          </x14:cfRule>
          <xm:sqref>I9</xm:sqref>
        </x14:conditionalFormatting>
        <x14:conditionalFormatting xmlns:xm="http://schemas.microsoft.com/office/excel/2006/main">
          <x14:cfRule type="dataBar" id="{AE552977-D083-43C6-8203-753013B15329}">
            <x14:dataBar minLength="0" maxLength="100" border="1" gradient="0">
              <x14:cfvo type="num">
                <xm:f>0</xm:f>
              </x14:cfvo>
              <x14:cfvo type="num">
                <xm:f>1</xm:f>
              </x14:cfvo>
              <x14:borderColor theme="0"/>
              <x14:negativeFillColor rgb="FFFF0000"/>
              <x14:axisColor rgb="FF000000"/>
            </x14:dataBar>
          </x14:cfRule>
          <xm:sqref>I13</xm:sqref>
        </x14:conditionalFormatting>
        <x14:conditionalFormatting xmlns:xm="http://schemas.microsoft.com/office/excel/2006/main">
          <x14:cfRule type="dataBar" id="{22AD1FCA-FBB1-4986-8438-FF7CD858D3B1}">
            <x14:dataBar minLength="0" maxLength="100" border="1" gradient="0">
              <x14:cfvo type="num">
                <xm:f>0</xm:f>
              </x14:cfvo>
              <x14:cfvo type="num">
                <xm:f>1</xm:f>
              </x14:cfvo>
              <x14:borderColor theme="0"/>
              <x14:negativeFillColor rgb="FFFF0000"/>
              <x14:axisColor rgb="FF000000"/>
            </x14:dataBar>
          </x14:cfRule>
          <xm:sqref>I15</xm:sqref>
        </x14:conditionalFormatting>
        <x14:conditionalFormatting xmlns:xm="http://schemas.microsoft.com/office/excel/2006/main">
          <x14:cfRule type="dataBar" id="{DD25EB1B-2CC9-4B15-BBA3-273293AF39A5}">
            <x14:dataBar minLength="0" maxLength="100" border="1" gradient="0">
              <x14:cfvo type="num">
                <xm:f>0</xm:f>
              </x14:cfvo>
              <x14:cfvo type="num">
                <xm:f>1</xm:f>
              </x14:cfvo>
              <x14:borderColor theme="0"/>
              <x14:negativeFillColor rgb="FFFF0000"/>
              <x14:axisColor rgb="FF000000"/>
            </x14:dataBar>
          </x14:cfRule>
          <xm:sqref>I17</xm:sqref>
        </x14:conditionalFormatting>
        <x14:conditionalFormatting xmlns:xm="http://schemas.microsoft.com/office/excel/2006/main">
          <x14:cfRule type="dataBar" id="{90720EEB-617F-47AE-9B36-DF3DD55B1B06}">
            <x14:dataBar minLength="0" maxLength="100" border="1" gradient="0">
              <x14:cfvo type="num">
                <xm:f>0</xm:f>
              </x14:cfvo>
              <x14:cfvo type="num">
                <xm:f>1</xm:f>
              </x14:cfvo>
              <x14:borderColor theme="0"/>
              <x14:negativeFillColor rgb="FFFF0000"/>
              <x14:axisColor rgb="FF000000"/>
            </x14:dataBar>
          </x14:cfRule>
          <xm:sqref>I19</xm:sqref>
        </x14:conditionalFormatting>
        <x14:conditionalFormatting xmlns:xm="http://schemas.microsoft.com/office/excel/2006/main">
          <x14:cfRule type="dataBar" id="{AC6EDD94-1D6E-433D-9912-E2D96CAD4050}">
            <x14:dataBar minLength="0" maxLength="100" border="1" gradient="0">
              <x14:cfvo type="num">
                <xm:f>0</xm:f>
              </x14:cfvo>
              <x14:cfvo type="num">
                <xm:f>1</xm:f>
              </x14:cfvo>
              <x14:borderColor theme="0"/>
              <x14:negativeFillColor rgb="FFFF0000"/>
              <x14:axisColor rgb="FF000000"/>
            </x14:dataBar>
          </x14:cfRule>
          <xm:sqref>I21</xm:sqref>
        </x14:conditionalFormatting>
        <x14:conditionalFormatting xmlns:xm="http://schemas.microsoft.com/office/excel/2006/main">
          <x14:cfRule type="dataBar" id="{CC57FE9B-CFD0-44FF-8BBE-1450F128FA0B}">
            <x14:dataBar minLength="0" maxLength="100" border="1" gradient="0">
              <x14:cfvo type="num">
                <xm:f>0</xm:f>
              </x14:cfvo>
              <x14:cfvo type="num">
                <xm:f>1</xm:f>
              </x14:cfvo>
              <x14:borderColor theme="0"/>
              <x14:negativeFillColor rgb="FFFF0000"/>
              <x14:axisColor rgb="FF000000"/>
            </x14:dataBar>
          </x14:cfRule>
          <xm:sqref>I23 I31</xm:sqref>
        </x14:conditionalFormatting>
        <x14:conditionalFormatting xmlns:xm="http://schemas.microsoft.com/office/excel/2006/main">
          <x14:cfRule type="dataBar" id="{06202AD3-C006-4B4A-A4C8-0B0C64E87C39}">
            <x14:dataBar minLength="0" maxLength="100" border="1" gradient="0">
              <x14:cfvo type="num">
                <xm:f>0</xm:f>
              </x14:cfvo>
              <x14:cfvo type="num">
                <xm:f>1</xm:f>
              </x14:cfvo>
              <x14:borderColor theme="0"/>
              <x14:negativeFillColor rgb="FFFF0000"/>
              <x14:axisColor rgb="FF000000"/>
            </x14:dataBar>
          </x14:cfRule>
          <xm:sqref>I25</xm:sqref>
        </x14:conditionalFormatting>
        <x14:conditionalFormatting xmlns:xm="http://schemas.microsoft.com/office/excel/2006/main">
          <x14:cfRule type="dataBar" id="{96CEFC30-EFB7-4C1D-8DAA-DDAE219C59D7}">
            <x14:dataBar minLength="0" maxLength="100" border="1" gradient="0">
              <x14:cfvo type="num">
                <xm:f>0</xm:f>
              </x14:cfvo>
              <x14:cfvo type="num">
                <xm:f>1</xm:f>
              </x14:cfvo>
              <x14:borderColor theme="0"/>
              <x14:negativeFillColor rgb="FFFF0000"/>
              <x14:axisColor rgb="FF000000"/>
            </x14:dataBar>
          </x14:cfRule>
          <xm:sqref>I27</xm:sqref>
        </x14:conditionalFormatting>
        <x14:conditionalFormatting xmlns:xm="http://schemas.microsoft.com/office/excel/2006/main">
          <x14:cfRule type="dataBar" id="{2A96D183-A252-49E1-98A0-D2FAD22D5884}">
            <x14:dataBar minLength="0" maxLength="100" border="1" gradient="0">
              <x14:cfvo type="num">
                <xm:f>0</xm:f>
              </x14:cfvo>
              <x14:cfvo type="num">
                <xm:f>1</xm:f>
              </x14:cfvo>
              <x14:borderColor theme="0"/>
              <x14:negativeFillColor rgb="FFFF0000"/>
              <x14:axisColor rgb="FF000000"/>
            </x14:dataBar>
          </x14:cfRule>
          <xm:sqref>I29</xm:sqref>
        </x14:conditionalFormatting>
        <x14:conditionalFormatting xmlns:xm="http://schemas.microsoft.com/office/excel/2006/main">
          <x14:cfRule type="dataBar" id="{B73E7B18-6852-4FD8-ADDF-B8D20899BA4F}">
            <x14:dataBar minLength="0" maxLength="100" border="1" gradient="0">
              <x14:cfvo type="num">
                <xm:f>0</xm:f>
              </x14:cfvo>
              <x14:cfvo type="num">
                <xm:f>1</xm:f>
              </x14:cfvo>
              <x14:borderColor theme="0"/>
              <x14:negativeFillColor rgb="FFFF0000"/>
              <x14:axisColor rgb="FF000000"/>
            </x14:dataBar>
          </x14:cfRule>
          <xm:sqref>I35</xm:sqref>
        </x14:conditionalFormatting>
        <x14:conditionalFormatting xmlns:xm="http://schemas.microsoft.com/office/excel/2006/main">
          <x14:cfRule type="dataBar" id="{CE658283-8712-421C-8267-070116D521A8}">
            <x14:dataBar minLength="0" maxLength="100" border="1" gradient="0">
              <x14:cfvo type="num">
                <xm:f>0</xm:f>
              </x14:cfvo>
              <x14:cfvo type="num">
                <xm:f>1</xm:f>
              </x14:cfvo>
              <x14:borderColor theme="0"/>
              <x14:negativeFillColor rgb="FFFF0000"/>
              <x14:axisColor rgb="FF000000"/>
            </x14:dataBar>
          </x14:cfRule>
          <xm:sqref>I37</xm:sqref>
        </x14:conditionalFormatting>
        <x14:conditionalFormatting xmlns:xm="http://schemas.microsoft.com/office/excel/2006/main">
          <x14:cfRule type="dataBar" id="{BA6D94A9-7321-4E96-AFB7-7149696AB1F6}">
            <x14:dataBar minLength="0" maxLength="100" border="1" gradient="0">
              <x14:cfvo type="num">
                <xm:f>0</xm:f>
              </x14:cfvo>
              <x14:cfvo type="num">
                <xm:f>1</xm:f>
              </x14:cfvo>
              <x14:borderColor theme="0"/>
              <x14:negativeFillColor rgb="FFFF0000"/>
              <x14:axisColor rgb="FF000000"/>
            </x14:dataBar>
          </x14:cfRule>
          <xm:sqref>I39</xm:sqref>
        </x14:conditionalFormatting>
        <x14:conditionalFormatting xmlns:xm="http://schemas.microsoft.com/office/excel/2006/main">
          <x14:cfRule type="dataBar" id="{F4983EDD-06DC-4BAE-A75E-E40349AE623C}">
            <x14:dataBar minLength="0" maxLength="100" border="1" gradient="0">
              <x14:cfvo type="num">
                <xm:f>0</xm:f>
              </x14:cfvo>
              <x14:cfvo type="num">
                <xm:f>1</xm:f>
              </x14:cfvo>
              <x14:borderColor theme="0"/>
              <x14:negativeFillColor rgb="FFFF0000"/>
              <x14:axisColor rgb="FF000000"/>
            </x14:dataBar>
          </x14:cfRule>
          <xm:sqref>I41</xm:sqref>
        </x14:conditionalFormatting>
        <x14:conditionalFormatting xmlns:xm="http://schemas.microsoft.com/office/excel/2006/main">
          <x14:cfRule type="dataBar" id="{0D87F490-4C29-4B05-A7F4-D84C40736287}">
            <x14:dataBar minLength="0" maxLength="100" border="1" gradient="0">
              <x14:cfvo type="num">
                <xm:f>0</xm:f>
              </x14:cfvo>
              <x14:cfvo type="num">
                <xm:f>1</xm:f>
              </x14:cfvo>
              <x14:borderColor theme="0"/>
              <x14:negativeFillColor rgb="FFFF0000"/>
              <x14:axisColor rgb="FF000000"/>
            </x14:dataBar>
          </x14:cfRule>
          <xm:sqref>I43</xm:sqref>
        </x14:conditionalFormatting>
        <x14:conditionalFormatting xmlns:xm="http://schemas.microsoft.com/office/excel/2006/main">
          <x14:cfRule type="dataBar" id="{E3F4808A-9871-4F21-9A76-5E805266BB88}">
            <x14:dataBar minLength="0" maxLength="100" border="1" gradient="0">
              <x14:cfvo type="num">
                <xm:f>0</xm:f>
              </x14:cfvo>
              <x14:cfvo type="num">
                <xm:f>1</xm:f>
              </x14:cfvo>
              <x14:borderColor theme="0"/>
              <x14:negativeFillColor rgb="FFFF0000"/>
              <x14:axisColor rgb="FF000000"/>
            </x14:dataBar>
          </x14:cfRule>
          <xm:sqref>I47</xm:sqref>
        </x14:conditionalFormatting>
        <x14:conditionalFormatting xmlns:xm="http://schemas.microsoft.com/office/excel/2006/main">
          <x14:cfRule type="dataBar" id="{BCA8EFFA-7F59-4904-AC20-82993953BB94}">
            <x14:dataBar minLength="0" maxLength="100" border="1" gradient="0">
              <x14:cfvo type="num">
                <xm:f>0</xm:f>
              </x14:cfvo>
              <x14:cfvo type="num">
                <xm:f>1</xm:f>
              </x14:cfvo>
              <x14:borderColor theme="0"/>
              <x14:negativeFillColor rgb="FFFF0000"/>
              <x14:axisColor rgb="FF000000"/>
            </x14:dataBar>
          </x14:cfRule>
          <xm:sqref>I49</xm:sqref>
        </x14:conditionalFormatting>
        <x14:conditionalFormatting xmlns:xm="http://schemas.microsoft.com/office/excel/2006/main">
          <x14:cfRule type="dataBar" id="{C735B348-1E9E-4F9E-9756-63D639CCEFC1}">
            <x14:dataBar minLength="0" maxLength="100" border="1" gradient="0">
              <x14:cfvo type="num">
                <xm:f>0</xm:f>
              </x14:cfvo>
              <x14:cfvo type="num">
                <xm:f>1</xm:f>
              </x14:cfvo>
              <x14:borderColor theme="0"/>
              <x14:negativeFillColor rgb="FFFF0000"/>
              <x14:axisColor rgb="FF000000"/>
            </x14:dataBar>
          </x14:cfRule>
          <xm:sqref>I51</xm:sqref>
        </x14:conditionalFormatting>
        <x14:conditionalFormatting xmlns:xm="http://schemas.microsoft.com/office/excel/2006/main">
          <x14:cfRule type="dataBar" id="{95B67A51-03C8-49A0-AA5A-84AB881EE3D4}">
            <x14:dataBar minLength="0" maxLength="100" border="1" gradient="0">
              <x14:cfvo type="num">
                <xm:f>0</xm:f>
              </x14:cfvo>
              <x14:cfvo type="num">
                <xm:f>1</xm:f>
              </x14:cfvo>
              <x14:borderColor theme="0"/>
              <x14:negativeFillColor rgb="FFFF0000"/>
              <x14:axisColor rgb="FF000000"/>
            </x14:dataBar>
          </x14:cfRule>
          <xm:sqref>I53</xm:sqref>
        </x14:conditionalFormatting>
        <x14:conditionalFormatting xmlns:xm="http://schemas.microsoft.com/office/excel/2006/main">
          <x14:cfRule type="dataBar" id="{F381FB38-E2F4-4B9A-A143-3886ACE39D45}">
            <x14:dataBar minLength="0" maxLength="100" border="1" gradient="0">
              <x14:cfvo type="num">
                <xm:f>0</xm:f>
              </x14:cfvo>
              <x14:cfvo type="num">
                <xm:f>1</xm:f>
              </x14:cfvo>
              <x14:borderColor theme="0"/>
              <x14:negativeFillColor rgb="FFFF0000"/>
              <x14:axisColor rgb="FF000000"/>
            </x14:dataBar>
          </x14:cfRule>
          <xm:sqref>I55</xm:sqref>
        </x14:conditionalFormatting>
        <x14:conditionalFormatting xmlns:xm="http://schemas.microsoft.com/office/excel/2006/main">
          <x14:cfRule type="dataBar" id="{078FF548-339E-4E37-BA1D-7A9AFC92AC49}">
            <x14:dataBar minLength="0" maxLength="100" border="1" gradient="0">
              <x14:cfvo type="num">
                <xm:f>0</xm:f>
              </x14:cfvo>
              <x14:cfvo type="num">
                <xm:f>1</xm:f>
              </x14:cfvo>
              <x14:borderColor theme="0"/>
              <x14:negativeFillColor rgb="FFFF0000"/>
              <x14:axisColor rgb="FF000000"/>
            </x14:dataBar>
          </x14:cfRule>
          <xm:sqref>I57</xm:sqref>
        </x14:conditionalFormatting>
        <x14:conditionalFormatting xmlns:xm="http://schemas.microsoft.com/office/excel/2006/main">
          <x14:cfRule type="dataBar" id="{A5A49F6E-5918-453C-8D32-982839C96B47}">
            <x14:dataBar minLength="0" maxLength="100" border="1" gradient="0">
              <x14:cfvo type="num">
                <xm:f>0</xm:f>
              </x14:cfvo>
              <x14:cfvo type="num">
                <xm:f>1</xm:f>
              </x14:cfvo>
              <x14:borderColor theme="0"/>
              <x14:negativeFillColor rgb="FFFF0000"/>
              <x14:axisColor rgb="FF000000"/>
            </x14:dataBar>
          </x14:cfRule>
          <xm:sqref>I59</xm:sqref>
        </x14:conditionalFormatting>
        <x14:conditionalFormatting xmlns:xm="http://schemas.microsoft.com/office/excel/2006/main">
          <x14:cfRule type="dataBar" id="{0A4D44D6-AD5B-4C4D-B1D1-E3F591042EBC}">
            <x14:dataBar minLength="0" maxLength="100" border="1" gradient="0">
              <x14:cfvo type="num">
                <xm:f>0</xm:f>
              </x14:cfvo>
              <x14:cfvo type="num">
                <xm:f>1</xm:f>
              </x14:cfvo>
              <x14:borderColor theme="0"/>
              <x14:negativeFillColor rgb="FFFF0000"/>
              <x14:axisColor rgb="FF000000"/>
            </x14:dataBar>
          </x14:cfRule>
          <xm:sqref>I61</xm:sqref>
        </x14:conditionalFormatting>
        <x14:conditionalFormatting xmlns:xm="http://schemas.microsoft.com/office/excel/2006/main">
          <x14:cfRule type="dataBar" id="{A522C214-4349-46A0-96F7-79336AFED45D}">
            <x14:dataBar minLength="0" maxLength="100" border="1" gradient="0">
              <x14:cfvo type="num">
                <xm:f>0</xm:f>
              </x14:cfvo>
              <x14:cfvo type="num">
                <xm:f>1</xm:f>
              </x14:cfvo>
              <x14:borderColor theme="0"/>
              <x14:negativeFillColor rgb="FFFF0000"/>
              <x14:axisColor rgb="FF000000"/>
            </x14:dataBar>
          </x14:cfRule>
          <xm:sqref>I63</xm:sqref>
        </x14:conditionalFormatting>
        <x14:conditionalFormatting xmlns:xm="http://schemas.microsoft.com/office/excel/2006/main">
          <x14:cfRule type="dataBar" id="{0915EE78-A56F-4CB3-B035-F22818FC5574}">
            <x14:dataBar minLength="0" maxLength="100" border="1" gradient="0">
              <x14:cfvo type="num">
                <xm:f>0</xm:f>
              </x14:cfvo>
              <x14:cfvo type="num">
                <xm:f>1</xm:f>
              </x14:cfvo>
              <x14:borderColor theme="0"/>
              <x14:negativeFillColor rgb="FFFF0000"/>
              <x14:axisColor rgb="FF000000"/>
            </x14:dataBar>
          </x14:cfRule>
          <xm:sqref>I65</xm:sqref>
        </x14:conditionalFormatting>
        <x14:conditionalFormatting xmlns:xm="http://schemas.microsoft.com/office/excel/2006/main">
          <x14:cfRule type="dataBar" id="{C85D24A4-394E-46A2-A284-E183CFBF0993}">
            <x14:dataBar minLength="0" maxLength="100" border="1" gradient="0">
              <x14:cfvo type="num">
                <xm:f>0</xm:f>
              </x14:cfvo>
              <x14:cfvo type="num">
                <xm:f>1</xm:f>
              </x14:cfvo>
              <x14:borderColor theme="0"/>
              <x14:negativeFillColor rgb="FFFF0000"/>
              <x14:axisColor rgb="FF000000"/>
            </x14:dataBar>
          </x14:cfRule>
          <xm:sqref>I67</xm:sqref>
        </x14:conditionalFormatting>
        <x14:conditionalFormatting xmlns:xm="http://schemas.microsoft.com/office/excel/2006/main">
          <x14:cfRule type="dataBar" id="{3ECADE69-B93A-4D8B-A450-F4DCBB9B6871}">
            <x14:dataBar minLength="0" maxLength="100" border="1" gradient="0">
              <x14:cfvo type="num">
                <xm:f>0</xm:f>
              </x14:cfvo>
              <x14:cfvo type="num">
                <xm:f>1</xm:f>
              </x14:cfvo>
              <x14:borderColor theme="0"/>
              <x14:negativeFillColor rgb="FFFF0000"/>
              <x14:axisColor rgb="FF000000"/>
            </x14:dataBar>
          </x14:cfRule>
          <xm:sqref>I69</xm:sqref>
        </x14:conditionalFormatting>
        <x14:conditionalFormatting xmlns:xm="http://schemas.microsoft.com/office/excel/2006/main">
          <x14:cfRule type="dataBar" id="{4788C376-1DAC-4ECB-BAD2-001C81F4E53C}">
            <x14:dataBar minLength="0" maxLength="100" border="1" gradient="0">
              <x14:cfvo type="num">
                <xm:f>0</xm:f>
              </x14:cfvo>
              <x14:cfvo type="num">
                <xm:f>1</xm:f>
              </x14:cfvo>
              <x14:borderColor theme="0"/>
              <x14:negativeFillColor rgb="FFFF0000"/>
              <x14:axisColor rgb="FF000000"/>
            </x14:dataBar>
          </x14:cfRule>
          <xm:sqref>I73</xm:sqref>
        </x14:conditionalFormatting>
        <x14:conditionalFormatting xmlns:xm="http://schemas.microsoft.com/office/excel/2006/main">
          <x14:cfRule type="dataBar" id="{7785ADB0-32AD-47FE-8EE4-A837B201119B}">
            <x14:dataBar minLength="0" maxLength="100" border="1" gradient="0">
              <x14:cfvo type="num">
                <xm:f>0</xm:f>
              </x14:cfvo>
              <x14:cfvo type="num">
                <xm:f>1</xm:f>
              </x14:cfvo>
              <x14:borderColor theme="0"/>
              <x14:negativeFillColor rgb="FFFF0000"/>
              <x14:axisColor rgb="FF000000"/>
            </x14:dataBar>
          </x14:cfRule>
          <xm:sqref>I77</xm:sqref>
        </x14:conditionalFormatting>
        <x14:conditionalFormatting xmlns:xm="http://schemas.microsoft.com/office/excel/2006/main">
          <x14:cfRule type="dataBar" id="{272B1DF5-F7F0-4E55-811E-CDAF41E6E166}">
            <x14:dataBar minLength="0" maxLength="100" border="1" gradient="0">
              <x14:cfvo type="num">
                <xm:f>0</xm:f>
              </x14:cfvo>
              <x14:cfvo type="num">
                <xm:f>1</xm:f>
              </x14:cfvo>
              <x14:borderColor theme="0"/>
              <x14:negativeFillColor rgb="FFFF0000"/>
              <x14:axisColor rgb="FF000000"/>
            </x14:dataBar>
          </x14:cfRule>
          <xm:sqref>I81</xm:sqref>
        </x14:conditionalFormatting>
        <x14:conditionalFormatting xmlns:xm="http://schemas.microsoft.com/office/excel/2006/main">
          <x14:cfRule type="dataBar" id="{AE51ACEA-1E63-4CE1-B691-B35181A09AD7}">
            <x14:dataBar minLength="0" maxLength="100" border="1" gradient="0">
              <x14:cfvo type="num">
                <xm:f>0</xm:f>
              </x14:cfvo>
              <x14:cfvo type="num">
                <xm:f>1</xm:f>
              </x14:cfvo>
              <x14:borderColor theme="0"/>
              <x14:negativeFillColor rgb="FFFF0000"/>
              <x14:axisColor rgb="FF000000"/>
            </x14:dataBar>
          </x14:cfRule>
          <xm:sqref>I83</xm:sqref>
        </x14:conditionalFormatting>
        <x14:conditionalFormatting xmlns:xm="http://schemas.microsoft.com/office/excel/2006/main">
          <x14:cfRule type="dataBar" id="{9CEB5D6C-05E8-4377-956D-75A9EBCFCB22}">
            <x14:dataBar minLength="0" maxLength="100" border="1" gradient="0">
              <x14:cfvo type="num">
                <xm:f>0</xm:f>
              </x14:cfvo>
              <x14:cfvo type="num">
                <xm:f>1</xm:f>
              </x14:cfvo>
              <x14:borderColor theme="0"/>
              <x14:negativeFillColor rgb="FFFF0000"/>
              <x14:axisColor rgb="FF000000"/>
            </x14:dataBar>
          </x14:cfRule>
          <xm:sqref>I85</xm:sqref>
        </x14:conditionalFormatting>
        <x14:conditionalFormatting xmlns:xm="http://schemas.microsoft.com/office/excel/2006/main">
          <x14:cfRule type="dataBar" id="{37EE81A3-C620-4B0D-A255-931C3A62D74F}">
            <x14:dataBar minLength="0" maxLength="100" border="1" gradient="0">
              <x14:cfvo type="num">
                <xm:f>0</xm:f>
              </x14:cfvo>
              <x14:cfvo type="num">
                <xm:f>1</xm:f>
              </x14:cfvo>
              <x14:borderColor theme="0"/>
              <x14:negativeFillColor rgb="FFFF0000"/>
              <x14:axisColor rgb="FF000000"/>
            </x14:dataBar>
          </x14:cfRule>
          <xm:sqref>I87</xm:sqref>
        </x14:conditionalFormatting>
        <x14:conditionalFormatting xmlns:xm="http://schemas.microsoft.com/office/excel/2006/main">
          <x14:cfRule type="dataBar" id="{73131A9C-3183-4423-82F6-4FDB54228432}">
            <x14:dataBar minLength="0" maxLength="100" border="1" gradient="0">
              <x14:cfvo type="num">
                <xm:f>0</xm:f>
              </x14:cfvo>
              <x14:cfvo type="num">
                <xm:f>1</xm:f>
              </x14:cfvo>
              <x14:borderColor theme="0"/>
              <x14:negativeFillColor rgb="FFFF0000"/>
              <x14:axisColor rgb="FF000000"/>
            </x14:dataBar>
          </x14:cfRule>
          <xm:sqref>I89 I79</xm:sqref>
        </x14:conditionalFormatting>
        <x14:conditionalFormatting xmlns:xm="http://schemas.microsoft.com/office/excel/2006/main">
          <x14:cfRule type="dataBar" id="{F1A924F7-DFB1-4567-829B-6CA99F2025D5}">
            <x14:dataBar minLength="0" maxLength="100" border="1" gradient="0">
              <x14:cfvo type="num">
                <xm:f>0</xm:f>
              </x14:cfvo>
              <x14:cfvo type="num">
                <xm:f>1</xm:f>
              </x14:cfvo>
              <x14:borderColor theme="0"/>
              <x14:negativeFillColor rgb="FFFF0000"/>
              <x14:axisColor rgb="FF000000"/>
            </x14:dataBar>
          </x14:cfRule>
          <xm:sqref>I93</xm:sqref>
        </x14:conditionalFormatting>
        <x14:conditionalFormatting xmlns:xm="http://schemas.microsoft.com/office/excel/2006/main">
          <x14:cfRule type="dataBar" id="{CE5B9A31-C98A-43BB-B205-73F9B91DC6CC}">
            <x14:dataBar minLength="0" maxLength="100" border="1" gradient="0">
              <x14:cfvo type="num">
                <xm:f>0</xm:f>
              </x14:cfvo>
              <x14:cfvo type="num">
                <xm:f>1</xm:f>
              </x14:cfvo>
              <x14:borderColor theme="0"/>
              <x14:negativeFillColor rgb="FFFF0000"/>
              <x14:axisColor rgb="FF000000"/>
            </x14:dataBar>
          </x14:cfRule>
          <xm:sqref>I95</xm:sqref>
        </x14:conditionalFormatting>
        <x14:conditionalFormatting xmlns:xm="http://schemas.microsoft.com/office/excel/2006/main">
          <x14:cfRule type="dataBar" id="{BEF4AE9E-687C-4E80-A5AF-330EDCD4D91D}">
            <x14:dataBar minLength="0" maxLength="100" border="1" gradient="0">
              <x14:cfvo type="num">
                <xm:f>0</xm:f>
              </x14:cfvo>
              <x14:cfvo type="num">
                <xm:f>1</xm:f>
              </x14:cfvo>
              <x14:borderColor theme="0"/>
              <x14:negativeFillColor rgb="FFFF0000"/>
              <x14:axisColor rgb="FF000000"/>
            </x14:dataBar>
          </x14:cfRule>
          <xm:sqref>I97</xm:sqref>
        </x14:conditionalFormatting>
        <x14:conditionalFormatting xmlns:xm="http://schemas.microsoft.com/office/excel/2006/main">
          <x14:cfRule type="dataBar" id="{4987A7CE-2AE5-4950-9E43-DA12E8B29C4A}">
            <x14:dataBar minLength="0" maxLength="100" border="1" gradient="0">
              <x14:cfvo type="num">
                <xm:f>0</xm:f>
              </x14:cfvo>
              <x14:cfvo type="num">
                <xm:f>1</xm:f>
              </x14:cfvo>
              <x14:borderColor theme="0"/>
              <x14:negativeFillColor rgb="FFFF0000"/>
              <x14:axisColor rgb="FF000000"/>
            </x14:dataBar>
          </x14:cfRule>
          <xm:sqref>I99</xm:sqref>
        </x14:conditionalFormatting>
        <x14:conditionalFormatting xmlns:xm="http://schemas.microsoft.com/office/excel/2006/main">
          <x14:cfRule type="dataBar" id="{A54C48C4-D23B-4464-93EE-1319F7EC81C8}">
            <x14:dataBar minLength="0" maxLength="100" border="1" gradient="0">
              <x14:cfvo type="num">
                <xm:f>0</xm:f>
              </x14:cfvo>
              <x14:cfvo type="num">
                <xm:f>1</xm:f>
              </x14:cfvo>
              <x14:borderColor theme="0"/>
              <x14:negativeFillColor rgb="FFFF0000"/>
              <x14:axisColor rgb="FF000000"/>
            </x14:dataBar>
          </x14:cfRule>
          <xm:sqref>I101</xm:sqref>
        </x14:conditionalFormatting>
        <x14:conditionalFormatting xmlns:xm="http://schemas.microsoft.com/office/excel/2006/main">
          <x14:cfRule type="dataBar" id="{8BA7FDC7-F895-493B-BAB2-9EF1B3FC9C99}">
            <x14:dataBar minLength="0" maxLength="100" border="1" gradient="0">
              <x14:cfvo type="num">
                <xm:f>0</xm:f>
              </x14:cfvo>
              <x14:cfvo type="num">
                <xm:f>1</xm:f>
              </x14:cfvo>
              <x14:borderColor theme="0"/>
              <x14:negativeFillColor rgb="FFFF0000"/>
              <x14:axisColor rgb="FF000000"/>
            </x14:dataBar>
          </x14:cfRule>
          <xm:sqref>I103</xm:sqref>
        </x14:conditionalFormatting>
        <x14:conditionalFormatting xmlns:xm="http://schemas.microsoft.com/office/excel/2006/main">
          <x14:cfRule type="dataBar" id="{B8921C01-9BFA-46BB-A3CA-BF3B5D987C94}">
            <x14:dataBar minLength="0" maxLength="100" border="1" gradient="0">
              <x14:cfvo type="num">
                <xm:f>0</xm:f>
              </x14:cfvo>
              <x14:cfvo type="num">
                <xm:f>1</xm:f>
              </x14:cfvo>
              <x14:borderColor theme="0"/>
              <x14:negativeFillColor rgb="FFFF0000"/>
              <x14:axisColor rgb="FF000000"/>
            </x14:dataBar>
          </x14:cfRule>
          <xm:sqref>I105</xm:sqref>
        </x14:conditionalFormatting>
        <x14:conditionalFormatting xmlns:xm="http://schemas.microsoft.com/office/excel/2006/main">
          <x14:cfRule type="dataBar" id="{1448DF0C-54AA-4293-8077-932B3C7A0122}">
            <x14:dataBar minLength="0" maxLength="100" border="1" gradient="0">
              <x14:cfvo type="num">
                <xm:f>0</xm:f>
              </x14:cfvo>
              <x14:cfvo type="num">
                <xm:f>1</xm:f>
              </x14:cfvo>
              <x14:borderColor theme="0"/>
              <x14:negativeFillColor rgb="FFFF0000"/>
              <x14:axisColor rgb="FF000000"/>
            </x14:dataBar>
          </x14:cfRule>
          <xm:sqref>I107</xm:sqref>
        </x14:conditionalFormatting>
        <x14:conditionalFormatting xmlns:xm="http://schemas.microsoft.com/office/excel/2006/main">
          <x14:cfRule type="dataBar" id="{7E1AFBF2-BA59-402E-9839-9C868B953F10}">
            <x14:dataBar minLength="0" maxLength="100" border="1" gradient="0">
              <x14:cfvo type="num">
                <xm:f>0</xm:f>
              </x14:cfvo>
              <x14:cfvo type="num">
                <xm:f>1</xm:f>
              </x14:cfvo>
              <x14:borderColor theme="0"/>
              <x14:negativeFillColor rgb="FFFF0000"/>
              <x14:axisColor rgb="FF000000"/>
            </x14:dataBar>
          </x14:cfRule>
          <xm:sqref>I109</xm:sqref>
        </x14:conditionalFormatting>
        <x14:conditionalFormatting xmlns:xm="http://schemas.microsoft.com/office/excel/2006/main">
          <x14:cfRule type="dataBar" id="{26F8DA92-1A19-48EA-9A20-660F275ABB97}">
            <x14:dataBar minLength="0" maxLength="100" border="1" gradient="0">
              <x14:cfvo type="num">
                <xm:f>0</xm:f>
              </x14:cfvo>
              <x14:cfvo type="num">
                <xm:f>1</xm:f>
              </x14:cfvo>
              <x14:borderColor theme="0"/>
              <x14:negativeFillColor rgb="FFFF0000"/>
              <x14:axisColor rgb="FF000000"/>
            </x14:dataBar>
          </x14:cfRule>
          <xm:sqref>I113</xm:sqref>
        </x14:conditionalFormatting>
        <x14:conditionalFormatting xmlns:xm="http://schemas.microsoft.com/office/excel/2006/main">
          <x14:cfRule type="dataBar" id="{38D079F9-4D64-4D3C-927B-1BF5D1FE0EAD}">
            <x14:dataBar minLength="0" maxLength="100" border="1" gradient="0">
              <x14:cfvo type="num">
                <xm:f>0</xm:f>
              </x14:cfvo>
              <x14:cfvo type="num">
                <xm:f>1</xm:f>
              </x14:cfvo>
              <x14:borderColor theme="0"/>
              <x14:negativeFillColor rgb="FFFF0000"/>
              <x14:axisColor rgb="FF000000"/>
            </x14:dataBar>
          </x14:cfRule>
          <xm:sqref>I115</xm:sqref>
        </x14:conditionalFormatting>
        <x14:conditionalFormatting xmlns:xm="http://schemas.microsoft.com/office/excel/2006/main">
          <x14:cfRule type="dataBar" id="{809259C4-98E7-4D22-88D3-C376B6F9F22B}">
            <x14:dataBar minLength="0" maxLength="100" border="1" gradient="0">
              <x14:cfvo type="num">
                <xm:f>0</xm:f>
              </x14:cfvo>
              <x14:cfvo type="num">
                <xm:f>1</xm:f>
              </x14:cfvo>
              <x14:borderColor theme="0"/>
              <x14:negativeFillColor rgb="FFFF0000"/>
              <x14:axisColor rgb="FF000000"/>
            </x14:dataBar>
          </x14:cfRule>
          <xm:sqref>I119</xm:sqref>
        </x14:conditionalFormatting>
        <x14:conditionalFormatting xmlns:xm="http://schemas.microsoft.com/office/excel/2006/main">
          <x14:cfRule type="dataBar" id="{A5D7103A-B245-4FFA-9552-C33231379F18}">
            <x14:dataBar minLength="0" maxLength="100" border="1" gradient="0">
              <x14:cfvo type="num">
                <xm:f>0</xm:f>
              </x14:cfvo>
              <x14:cfvo type="num">
                <xm:f>1</xm:f>
              </x14:cfvo>
              <x14:borderColor theme="0"/>
              <x14:negativeFillColor rgb="FFFF0000"/>
              <x14:axisColor rgb="FF000000"/>
            </x14:dataBar>
          </x14:cfRule>
          <xm:sqref>I121</xm:sqref>
        </x14:conditionalFormatting>
        <x14:conditionalFormatting xmlns:xm="http://schemas.microsoft.com/office/excel/2006/main">
          <x14:cfRule type="dataBar" id="{C024CAE7-5060-4C6B-AEE9-6118CE638E64}">
            <x14:dataBar minLength="0" maxLength="100" border="1" gradient="0">
              <x14:cfvo type="num">
                <xm:f>0</xm:f>
              </x14:cfvo>
              <x14:cfvo type="num">
                <xm:f>1</xm:f>
              </x14:cfvo>
              <x14:borderColor theme="0"/>
              <x14:negativeFillColor rgb="FFFF0000"/>
              <x14:axisColor rgb="FF000000"/>
            </x14:dataBar>
          </x14:cfRule>
          <xm:sqref>I123</xm:sqref>
        </x14:conditionalFormatting>
        <x14:conditionalFormatting xmlns:xm="http://schemas.microsoft.com/office/excel/2006/main">
          <x14:cfRule type="dataBar" id="{EC91E5BF-6642-406B-BBB1-7E7E7F908090}">
            <x14:dataBar minLength="0" maxLength="100" border="1" gradient="0">
              <x14:cfvo type="num">
                <xm:f>0</xm:f>
              </x14:cfvo>
              <x14:cfvo type="num">
                <xm:f>1</xm:f>
              </x14:cfvo>
              <x14:borderColor theme="0"/>
              <x14:negativeFillColor rgb="FFFF0000"/>
              <x14:axisColor rgb="FF000000"/>
            </x14:dataBar>
          </x14:cfRule>
          <xm:sqref>I125</xm:sqref>
        </x14:conditionalFormatting>
        <x14:conditionalFormatting xmlns:xm="http://schemas.microsoft.com/office/excel/2006/main">
          <x14:cfRule type="dataBar" id="{2ACF591C-D3D2-4C36-B3ED-39DE084EB00C}">
            <x14:dataBar minLength="0" maxLength="100" border="1" gradient="0">
              <x14:cfvo type="num">
                <xm:f>0</xm:f>
              </x14:cfvo>
              <x14:cfvo type="num">
                <xm:f>1</xm:f>
              </x14:cfvo>
              <x14:borderColor theme="0"/>
              <x14:negativeFillColor rgb="FFFF0000"/>
              <x14:axisColor rgb="FF000000"/>
            </x14:dataBar>
          </x14:cfRule>
          <xm:sqref>I127</xm:sqref>
        </x14:conditionalFormatting>
        <x14:conditionalFormatting xmlns:xm="http://schemas.microsoft.com/office/excel/2006/main">
          <x14:cfRule type="dataBar" id="{5FD39C93-0A02-47B5-A191-59DC6830439D}">
            <x14:dataBar minLength="0" maxLength="100" border="1" gradient="0">
              <x14:cfvo type="num">
                <xm:f>0</xm:f>
              </x14:cfvo>
              <x14:cfvo type="num">
                <xm:f>1</xm:f>
              </x14:cfvo>
              <x14:borderColor theme="0"/>
              <x14:negativeFillColor rgb="FFFF0000"/>
              <x14:axisColor rgb="FF000000"/>
            </x14:dataBar>
          </x14:cfRule>
          <xm:sqref>I129</xm:sqref>
        </x14:conditionalFormatting>
        <x14:conditionalFormatting xmlns:xm="http://schemas.microsoft.com/office/excel/2006/main">
          <x14:cfRule type="dataBar" id="{2DC9E001-526C-426F-A516-EA26A2B0874A}">
            <x14:dataBar minLength="0" maxLength="100" border="1" gradient="0">
              <x14:cfvo type="num">
                <xm:f>0</xm:f>
              </x14:cfvo>
              <x14:cfvo type="num">
                <xm:f>1</xm:f>
              </x14:cfvo>
              <x14:borderColor theme="0"/>
              <x14:negativeFillColor rgb="FFFF0000"/>
              <x14:axisColor rgb="FF000000"/>
            </x14:dataBar>
          </x14:cfRule>
          <xm:sqref>I131</xm:sqref>
        </x14:conditionalFormatting>
        <x14:conditionalFormatting xmlns:xm="http://schemas.microsoft.com/office/excel/2006/main">
          <x14:cfRule type="dataBar" id="{699CE0CF-2E58-4F41-85D5-33DD4312DE74}">
            <x14:dataBar minLength="0" maxLength="100" border="1" gradient="0">
              <x14:cfvo type="num">
                <xm:f>0</xm:f>
              </x14:cfvo>
              <x14:cfvo type="num">
                <xm:f>1</xm:f>
              </x14:cfvo>
              <x14:borderColor theme="0"/>
              <x14:negativeFillColor rgb="FFFF0000"/>
              <x14:axisColor rgb="FF000000"/>
            </x14:dataBar>
          </x14:cfRule>
          <xm:sqref>I134</xm:sqref>
        </x14:conditionalFormatting>
        <x14:conditionalFormatting xmlns:xm="http://schemas.microsoft.com/office/excel/2006/main">
          <x14:cfRule type="dataBar" id="{8B95F60A-F4CD-44AA-A300-4228CB1F392C}">
            <x14:dataBar minLength="0" maxLength="100" border="1" gradient="0">
              <x14:cfvo type="num">
                <xm:f>0</xm:f>
              </x14:cfvo>
              <x14:cfvo type="num">
                <xm:f>1</xm:f>
              </x14:cfvo>
              <x14:borderColor theme="0"/>
              <x14:negativeFillColor rgb="FFFF0000"/>
              <x14:axisColor rgb="FF000000"/>
            </x14:dataBar>
          </x14:cfRule>
          <xm:sqref>I137</xm:sqref>
        </x14:conditionalFormatting>
        <x14:conditionalFormatting xmlns:xm="http://schemas.microsoft.com/office/excel/2006/main">
          <x14:cfRule type="dataBar" id="{E81B68F2-1591-4146-B4B5-099460FA2B78}">
            <x14:dataBar minLength="0" maxLength="100" border="1" gradient="0">
              <x14:cfvo type="num">
                <xm:f>0</xm:f>
              </x14:cfvo>
              <x14:cfvo type="num">
                <xm:f>1</xm:f>
              </x14:cfvo>
              <x14:borderColor theme="0"/>
              <x14:negativeFillColor rgb="FFFF0000"/>
              <x14:axisColor rgb="FF000000"/>
            </x14:dataBar>
          </x14:cfRule>
          <xm:sqref>I140</xm:sqref>
        </x14:conditionalFormatting>
        <x14:conditionalFormatting xmlns:xm="http://schemas.microsoft.com/office/excel/2006/main">
          <x14:cfRule type="dataBar" id="{22CAF7BF-90A8-4B8D-8F2F-8DA5F95F948B}">
            <x14:dataBar minLength="0" maxLength="100" border="1" gradient="0">
              <x14:cfvo type="num">
                <xm:f>0</xm:f>
              </x14:cfvo>
              <x14:cfvo type="num">
                <xm:f>1</xm:f>
              </x14:cfvo>
              <x14:borderColor theme="0"/>
              <x14:negativeFillColor rgb="FFFF0000"/>
              <x14:axisColor rgb="FF000000"/>
            </x14:dataBar>
          </x14:cfRule>
          <xm:sqref>I142</xm:sqref>
        </x14:conditionalFormatting>
        <x14:conditionalFormatting xmlns:xm="http://schemas.microsoft.com/office/excel/2006/main">
          <x14:cfRule type="dataBar" id="{C3656BC9-7505-4C47-94ED-0AB41C5DA559}">
            <x14:dataBar minLength="0" maxLength="100" border="1" gradient="0">
              <x14:cfvo type="num">
                <xm:f>0</xm:f>
              </x14:cfvo>
              <x14:cfvo type="num">
                <xm:f>1</xm:f>
              </x14:cfvo>
              <x14:borderColor theme="0"/>
              <x14:negativeFillColor rgb="FFFF0000"/>
              <x14:axisColor rgb="FF000000"/>
            </x14:dataBar>
          </x14:cfRule>
          <xm:sqref>I144</xm:sqref>
        </x14:conditionalFormatting>
        <x14:conditionalFormatting xmlns:xm="http://schemas.microsoft.com/office/excel/2006/main">
          <x14:cfRule type="dataBar" id="{BE5C955E-52C4-4E4E-A2D1-3BFB70729311}">
            <x14:dataBar minLength="0" maxLength="100" border="1" gradient="0">
              <x14:cfvo type="num">
                <xm:f>0</xm:f>
              </x14:cfvo>
              <x14:cfvo type="num">
                <xm:f>1</xm:f>
              </x14:cfvo>
              <x14:borderColor theme="0"/>
              <x14:negativeFillColor rgb="FFFF0000"/>
              <x14:axisColor rgb="FF000000"/>
            </x14:dataBar>
          </x14:cfRule>
          <xm:sqref>I146</xm:sqref>
        </x14:conditionalFormatting>
        <x14:conditionalFormatting xmlns:xm="http://schemas.microsoft.com/office/excel/2006/main">
          <x14:cfRule type="dataBar" id="{F4753AF7-BF6D-48D6-9A4A-95C68C7DF360}">
            <x14:dataBar minLength="0" maxLength="100" border="1" gradient="0">
              <x14:cfvo type="num">
                <xm:f>0</xm:f>
              </x14:cfvo>
              <x14:cfvo type="num">
                <xm:f>1</xm:f>
              </x14:cfvo>
              <x14:borderColor theme="0"/>
              <x14:negativeFillColor rgb="FFFF0000"/>
              <x14:axisColor rgb="FF000000"/>
            </x14:dataBar>
          </x14:cfRule>
          <xm:sqref>I150</xm:sqref>
        </x14:conditionalFormatting>
        <x14:conditionalFormatting xmlns:xm="http://schemas.microsoft.com/office/excel/2006/main">
          <x14:cfRule type="dataBar" id="{2836A849-2481-4575-BF82-75849028E5FB}">
            <x14:dataBar minLength="0" maxLength="100" border="1" gradient="0">
              <x14:cfvo type="num">
                <xm:f>0</xm:f>
              </x14:cfvo>
              <x14:cfvo type="num">
                <xm:f>1</xm:f>
              </x14:cfvo>
              <x14:borderColor theme="0"/>
              <x14:negativeFillColor rgb="FFFF0000"/>
              <x14:axisColor rgb="FF000000"/>
            </x14:dataBar>
          </x14:cfRule>
          <xm:sqref>I152</xm:sqref>
        </x14:conditionalFormatting>
        <x14:conditionalFormatting xmlns:xm="http://schemas.microsoft.com/office/excel/2006/main">
          <x14:cfRule type="dataBar" id="{125E38AE-686D-4955-9D5F-85A72CFC4345}">
            <x14:dataBar minLength="0" maxLength="100" border="1" gradient="0">
              <x14:cfvo type="num">
                <xm:f>0</xm:f>
              </x14:cfvo>
              <x14:cfvo type="num">
                <xm:f>1</xm:f>
              </x14:cfvo>
              <x14:borderColor theme="0"/>
              <x14:negativeFillColor rgb="FFFF0000"/>
              <x14:axisColor rgb="FF000000"/>
            </x14:dataBar>
          </x14:cfRule>
          <xm:sqref>I154</xm:sqref>
        </x14:conditionalFormatting>
        <x14:conditionalFormatting xmlns:xm="http://schemas.microsoft.com/office/excel/2006/main">
          <x14:cfRule type="dataBar" id="{E4C7C407-E007-454C-9053-9B18329ADA10}">
            <x14:dataBar minLength="0" maxLength="100" border="1" gradient="0">
              <x14:cfvo type="num">
                <xm:f>0</xm:f>
              </x14:cfvo>
              <x14:cfvo type="num">
                <xm:f>1</xm:f>
              </x14:cfvo>
              <x14:borderColor theme="0"/>
              <x14:negativeFillColor rgb="FFFF0000"/>
              <x14:axisColor rgb="FF000000"/>
            </x14:dataBar>
          </x14:cfRule>
          <xm:sqref>I156</xm:sqref>
        </x14:conditionalFormatting>
        <x14:conditionalFormatting xmlns:xm="http://schemas.microsoft.com/office/excel/2006/main">
          <x14:cfRule type="dataBar" id="{25B07F2F-B0F1-4DC5-B18F-C8EB43633AEF}">
            <x14:dataBar minLength="0" maxLength="100" border="1" gradient="0">
              <x14:cfvo type="num">
                <xm:f>0</xm:f>
              </x14:cfvo>
              <x14:cfvo type="num">
                <xm:f>1</xm:f>
              </x14:cfvo>
              <x14:borderColor theme="0"/>
              <x14:negativeFillColor rgb="FFFF0000"/>
              <x14:axisColor rgb="FF000000"/>
            </x14:dataBar>
          </x14:cfRule>
          <xm:sqref>I158</xm:sqref>
        </x14:conditionalFormatting>
        <x14:conditionalFormatting xmlns:xm="http://schemas.microsoft.com/office/excel/2006/main">
          <x14:cfRule type="dataBar" id="{DB0A0CD6-233E-427C-8293-4DBA125AB96E}">
            <x14:dataBar minLength="0" maxLength="100" border="1" gradient="0">
              <x14:cfvo type="num">
                <xm:f>0</xm:f>
              </x14:cfvo>
              <x14:cfvo type="num">
                <xm:f>1</xm:f>
              </x14:cfvo>
              <x14:borderColor theme="0"/>
              <x14:negativeFillColor rgb="FFFF0000"/>
              <x14:axisColor rgb="FF000000"/>
            </x14:dataBar>
          </x14:cfRule>
          <xm:sqref>I160</xm:sqref>
        </x14:conditionalFormatting>
        <x14:conditionalFormatting xmlns:xm="http://schemas.microsoft.com/office/excel/2006/main">
          <x14:cfRule type="dataBar" id="{88341876-DE54-411F-AD2C-83E5A318961F}">
            <x14:dataBar minLength="0" maxLength="100" border="1" gradient="0">
              <x14:cfvo type="num">
                <xm:f>0</xm:f>
              </x14:cfvo>
              <x14:cfvo type="num">
                <xm:f>1</xm:f>
              </x14:cfvo>
              <x14:borderColor theme="0"/>
              <x14:negativeFillColor rgb="FFFF0000"/>
              <x14:axisColor rgb="FF000000"/>
            </x14:dataBar>
          </x14:cfRule>
          <xm:sqref>I162</xm:sqref>
        </x14:conditionalFormatting>
        <x14:conditionalFormatting xmlns:xm="http://schemas.microsoft.com/office/excel/2006/main">
          <x14:cfRule type="dataBar" id="{CCA3EEBD-1356-4CA9-B274-45D1635535AA}">
            <x14:dataBar minLength="0" maxLength="100" border="1" gradient="0">
              <x14:cfvo type="num">
                <xm:f>0</xm:f>
              </x14:cfvo>
              <x14:cfvo type="num">
                <xm:f>1</xm:f>
              </x14:cfvo>
              <x14:borderColor theme="0"/>
              <x14:negativeFillColor rgb="FFFF0000"/>
              <x14:axisColor rgb="FF000000"/>
            </x14:dataBar>
          </x14:cfRule>
          <xm:sqref>I164</xm:sqref>
        </x14:conditionalFormatting>
        <x14:conditionalFormatting xmlns:xm="http://schemas.microsoft.com/office/excel/2006/main">
          <x14:cfRule type="dataBar" id="{0C1DB12A-B859-4CFB-939A-2260F9AF0AC4}">
            <x14:dataBar minLength="0" maxLength="100" border="1" gradient="0">
              <x14:cfvo type="num">
                <xm:f>0</xm:f>
              </x14:cfvo>
              <x14:cfvo type="num">
                <xm:f>1</xm:f>
              </x14:cfvo>
              <x14:borderColor theme="0"/>
              <x14:negativeFillColor rgb="FFFF0000"/>
              <x14:axisColor rgb="FF000000"/>
            </x14:dataBar>
          </x14:cfRule>
          <xm:sqref>I166</xm:sqref>
        </x14:conditionalFormatting>
        <x14:conditionalFormatting xmlns:xm="http://schemas.microsoft.com/office/excel/2006/main">
          <x14:cfRule type="dataBar" id="{DDB8B397-06D8-4409-9410-E170B1F8A813}">
            <x14:dataBar minLength="0" maxLength="100" border="1" gradient="0">
              <x14:cfvo type="num">
                <xm:f>0</xm:f>
              </x14:cfvo>
              <x14:cfvo type="num">
                <xm:f>1</xm:f>
              </x14:cfvo>
              <x14:borderColor theme="0"/>
              <x14:negativeFillColor rgb="FFFF0000"/>
              <x14:axisColor rgb="FF000000"/>
            </x14:dataBar>
          </x14:cfRule>
          <xm:sqref>I168</xm:sqref>
        </x14:conditionalFormatting>
        <x14:conditionalFormatting xmlns:xm="http://schemas.microsoft.com/office/excel/2006/main">
          <x14:cfRule type="dataBar" id="{537F0E91-E182-4500-B19B-0967B40C3432}">
            <x14:dataBar minLength="0" maxLength="100" border="1" gradient="0">
              <x14:cfvo type="num">
                <xm:f>0</xm:f>
              </x14:cfvo>
              <x14:cfvo type="num">
                <xm:f>1</xm:f>
              </x14:cfvo>
              <x14:borderColor theme="0"/>
              <x14:negativeFillColor rgb="FFFF0000"/>
              <x14:axisColor rgb="FF000000"/>
            </x14:dataBar>
          </x14:cfRule>
          <xm:sqref>I170 I148 I174</xm:sqref>
        </x14:conditionalFormatting>
        <x14:conditionalFormatting xmlns:xm="http://schemas.microsoft.com/office/excel/2006/main">
          <x14:cfRule type="dataBar" id="{7CE45398-11C7-48A2-B44B-D1B991570161}">
            <x14:dataBar minLength="0" maxLength="100" border="1" gradient="0">
              <x14:cfvo type="num">
                <xm:f>0</xm:f>
              </x14:cfvo>
              <x14:cfvo type="num">
                <xm:f>1</xm:f>
              </x14:cfvo>
              <x14:borderColor theme="0"/>
              <x14:negativeFillColor rgb="FFFF0000"/>
              <x14:axisColor rgb="FF000000"/>
            </x14:dataBar>
          </x14:cfRule>
          <xm:sqref>I172</xm:sqref>
        </x14:conditionalFormatting>
        <x14:conditionalFormatting xmlns:xm="http://schemas.microsoft.com/office/excel/2006/main">
          <x14:cfRule type="dataBar" id="{C79E67A5-30E3-46E4-869B-AD29059630B7}">
            <x14:dataBar minLength="0" maxLength="100" border="1" gradient="0">
              <x14:cfvo type="num">
                <xm:f>0</xm:f>
              </x14:cfvo>
              <x14:cfvo type="num">
                <xm:f>1</xm:f>
              </x14:cfvo>
              <x14:borderColor theme="0"/>
              <x14:negativeFillColor rgb="FFFF0000"/>
              <x14:axisColor rgb="FF000000"/>
            </x14:dataBar>
          </x14:cfRule>
          <xm:sqref>I176</xm:sqref>
        </x14:conditionalFormatting>
        <x14:conditionalFormatting xmlns:xm="http://schemas.microsoft.com/office/excel/2006/main">
          <x14:cfRule type="dataBar" id="{23A3C207-236F-4917-B464-43296ED27741}">
            <x14:dataBar minLength="0" maxLength="100" border="1" gradient="0">
              <x14:cfvo type="num">
                <xm:f>0</xm:f>
              </x14:cfvo>
              <x14:cfvo type="num">
                <xm:f>1</xm:f>
              </x14:cfvo>
              <x14:borderColor theme="0"/>
              <x14:negativeFillColor rgb="FFFF0000"/>
              <x14:axisColor rgb="FF000000"/>
            </x14:dataBar>
          </x14:cfRule>
          <xm:sqref>I180</xm:sqref>
        </x14:conditionalFormatting>
        <x14:conditionalFormatting xmlns:xm="http://schemas.microsoft.com/office/excel/2006/main">
          <x14:cfRule type="dataBar" id="{98D2283A-8C44-40EA-AF01-B7051DFF1D7C}">
            <x14:dataBar minLength="0" maxLength="100" border="1" gradient="0">
              <x14:cfvo type="num">
                <xm:f>0</xm:f>
              </x14:cfvo>
              <x14:cfvo type="num">
                <xm:f>1</xm:f>
              </x14:cfvo>
              <x14:borderColor theme="0"/>
              <x14:negativeFillColor rgb="FFFF0000"/>
              <x14:axisColor rgb="FF000000"/>
            </x14:dataBar>
          </x14:cfRule>
          <xm:sqref>I182</xm:sqref>
        </x14:conditionalFormatting>
        <x14:conditionalFormatting xmlns:xm="http://schemas.microsoft.com/office/excel/2006/main">
          <x14:cfRule type="dataBar" id="{A0C43858-7731-4E4F-B753-1F14041D0090}">
            <x14:dataBar minLength="0" maxLength="100" border="1" gradient="0">
              <x14:cfvo type="num">
                <xm:f>0</xm:f>
              </x14:cfvo>
              <x14:cfvo type="num">
                <xm:f>1</xm:f>
              </x14:cfvo>
              <x14:borderColor theme="0"/>
              <x14:negativeFillColor rgb="FFFF0000"/>
              <x14:axisColor rgb="FF000000"/>
            </x14:dataBar>
          </x14:cfRule>
          <xm:sqref>I184</xm:sqref>
        </x14:conditionalFormatting>
        <x14:conditionalFormatting xmlns:xm="http://schemas.microsoft.com/office/excel/2006/main">
          <x14:cfRule type="dataBar" id="{1B74174E-E374-4AED-BDDB-10AD1A0C01B0}">
            <x14:dataBar minLength="0" maxLength="100" border="1" gradient="0">
              <x14:cfvo type="num">
                <xm:f>0</xm:f>
              </x14:cfvo>
              <x14:cfvo type="num">
                <xm:f>1</xm:f>
              </x14:cfvo>
              <x14:borderColor theme="0"/>
              <x14:negativeFillColor rgb="FFFF0000"/>
              <x14:axisColor rgb="FF000000"/>
            </x14:dataBar>
          </x14:cfRule>
          <xm:sqref>I186</xm:sqref>
        </x14:conditionalFormatting>
        <x14:conditionalFormatting xmlns:xm="http://schemas.microsoft.com/office/excel/2006/main">
          <x14:cfRule type="dataBar" id="{2146CE09-069E-4971-A8D9-8CA0E5995CA0}">
            <x14:dataBar minLength="0" maxLength="100" border="1" gradient="0">
              <x14:cfvo type="num">
                <xm:f>0</xm:f>
              </x14:cfvo>
              <x14:cfvo type="num">
                <xm:f>1</xm:f>
              </x14:cfvo>
              <x14:borderColor theme="0"/>
              <x14:negativeFillColor rgb="FFFF0000"/>
              <x14:axisColor rgb="FF000000"/>
            </x14:dataBar>
          </x14:cfRule>
          <xm:sqref>I188</xm:sqref>
        </x14:conditionalFormatting>
        <x14:conditionalFormatting xmlns:xm="http://schemas.microsoft.com/office/excel/2006/main">
          <x14:cfRule type="dataBar" id="{72713821-2028-40BF-BF67-4D582ED8FDE5}">
            <x14:dataBar minLength="0" maxLength="100" border="1" gradient="0">
              <x14:cfvo type="num">
                <xm:f>0</xm:f>
              </x14:cfvo>
              <x14:cfvo type="num">
                <xm:f>1</xm:f>
              </x14:cfvo>
              <x14:borderColor theme="0"/>
              <x14:negativeFillColor rgb="FFFF0000"/>
              <x14:axisColor rgb="FF000000"/>
            </x14:dataBar>
          </x14:cfRule>
          <xm:sqref>I190</xm:sqref>
        </x14:conditionalFormatting>
        <x14:conditionalFormatting xmlns:xm="http://schemas.microsoft.com/office/excel/2006/main">
          <x14:cfRule type="dataBar" id="{6FDC1890-7F03-40FB-875C-A8500BC7B85D}">
            <x14:dataBar minLength="0" maxLength="100" border="1" gradient="0">
              <x14:cfvo type="num">
                <xm:f>0</xm:f>
              </x14:cfvo>
              <x14:cfvo type="num">
                <xm:f>1</xm:f>
              </x14:cfvo>
              <x14:borderColor theme="0"/>
              <x14:negativeFillColor rgb="FFFF0000"/>
              <x14:axisColor rgb="FF000000"/>
            </x14:dataBar>
          </x14:cfRule>
          <xm:sqref>I192</xm:sqref>
        </x14:conditionalFormatting>
        <x14:conditionalFormatting xmlns:xm="http://schemas.microsoft.com/office/excel/2006/main">
          <x14:cfRule type="dataBar" id="{17CBAB3A-18AF-4EA3-8F28-FA5569EB94C0}">
            <x14:dataBar minLength="0" maxLength="100" border="1" gradient="0">
              <x14:cfvo type="num">
                <xm:f>0</xm:f>
              </x14:cfvo>
              <x14:cfvo type="num">
                <xm:f>1</xm:f>
              </x14:cfvo>
              <x14:borderColor theme="0"/>
              <x14:negativeFillColor rgb="FFFF0000"/>
              <x14:axisColor rgb="FF000000"/>
            </x14:dataBar>
          </x14:cfRule>
          <xm:sqref>I194</xm:sqref>
        </x14:conditionalFormatting>
        <x14:conditionalFormatting xmlns:xm="http://schemas.microsoft.com/office/excel/2006/main">
          <x14:cfRule type="dataBar" id="{CD4FB16C-A4C4-4F89-AF7D-F80C264FFEB3}">
            <x14:dataBar minLength="0" maxLength="100" border="1" gradient="0">
              <x14:cfvo type="num">
                <xm:f>0</xm:f>
              </x14:cfvo>
              <x14:cfvo type="num">
                <xm:f>1</xm:f>
              </x14:cfvo>
              <x14:borderColor theme="0"/>
              <x14:negativeFillColor rgb="FFFF0000"/>
              <x14:axisColor rgb="FF000000"/>
            </x14:dataBar>
          </x14:cfRule>
          <xm:sqref>I196</xm:sqref>
        </x14:conditionalFormatting>
        <x14:conditionalFormatting xmlns:xm="http://schemas.microsoft.com/office/excel/2006/main">
          <x14:cfRule type="dataBar" id="{53A17056-5C89-4D1C-BD5E-3108D14C2167}">
            <x14:dataBar minLength="0" maxLength="100" border="1" gradient="0">
              <x14:cfvo type="num">
                <xm:f>0</xm:f>
              </x14:cfvo>
              <x14:cfvo type="num">
                <xm:f>1</xm:f>
              </x14:cfvo>
              <x14:borderColor theme="0"/>
              <x14:negativeFillColor rgb="FFFF0000"/>
              <x14:axisColor rgb="FF000000"/>
            </x14:dataBar>
          </x14:cfRule>
          <xm:sqref>I198</xm:sqref>
        </x14:conditionalFormatting>
        <x14:conditionalFormatting xmlns:xm="http://schemas.microsoft.com/office/excel/2006/main">
          <x14:cfRule type="dataBar" id="{F3F6001C-56C5-4854-968B-A6905AAF9884}">
            <x14:dataBar minLength="0" maxLength="100" border="1" gradient="0">
              <x14:cfvo type="num">
                <xm:f>0</xm:f>
              </x14:cfvo>
              <x14:cfvo type="num">
                <xm:f>1</xm:f>
              </x14:cfvo>
              <x14:borderColor theme="0"/>
              <x14:negativeFillColor rgb="FFFF0000"/>
              <x14:axisColor rgb="FF000000"/>
            </x14:dataBar>
          </x14:cfRule>
          <xm:sqref>I200</xm:sqref>
        </x14:conditionalFormatting>
        <x14:conditionalFormatting xmlns:xm="http://schemas.microsoft.com/office/excel/2006/main">
          <x14:cfRule type="dataBar" id="{9DD7DA1C-84E5-4268-BB87-A9F6D3AE550A}">
            <x14:dataBar minLength="0" maxLength="100" border="1" gradient="0">
              <x14:cfvo type="num">
                <xm:f>0</xm:f>
              </x14:cfvo>
              <x14:cfvo type="num">
                <xm:f>1</xm:f>
              </x14:cfvo>
              <x14:borderColor theme="0"/>
              <x14:negativeFillColor rgb="FFFF0000"/>
              <x14:axisColor rgb="FF000000"/>
            </x14:dataBar>
          </x14:cfRule>
          <xm:sqref>I202</xm:sqref>
        </x14:conditionalFormatting>
        <x14:conditionalFormatting xmlns:xm="http://schemas.microsoft.com/office/excel/2006/main">
          <x14:cfRule type="dataBar" id="{61958443-1DEB-4730-9ACA-1016C7AB2E59}">
            <x14:dataBar minLength="0" maxLength="100" border="1" gradient="0">
              <x14:cfvo type="num">
                <xm:f>0</xm:f>
              </x14:cfvo>
              <x14:cfvo type="num">
                <xm:f>1</xm:f>
              </x14:cfvo>
              <x14:borderColor theme="0"/>
              <x14:negativeFillColor rgb="FFFF0000"/>
              <x14:axisColor rgb="FF000000"/>
            </x14:dataBar>
          </x14:cfRule>
          <xm:sqref>I204</xm:sqref>
        </x14:conditionalFormatting>
        <x14:conditionalFormatting xmlns:xm="http://schemas.microsoft.com/office/excel/2006/main">
          <x14:cfRule type="dataBar" id="{E68C86A5-C4EB-4D34-A551-B2577AEDD9FA}">
            <x14:dataBar minLength="0" maxLength="100" border="1" gradient="0">
              <x14:cfvo type="num">
                <xm:f>0</xm:f>
              </x14:cfvo>
              <x14:cfvo type="num">
                <xm:f>1</xm:f>
              </x14:cfvo>
              <x14:borderColor theme="0"/>
              <x14:negativeFillColor rgb="FFFF0000"/>
              <x14:axisColor rgb="FF000000"/>
            </x14:dataBar>
          </x14:cfRule>
          <xm:sqref>I206</xm:sqref>
        </x14:conditionalFormatting>
        <x14:conditionalFormatting xmlns:xm="http://schemas.microsoft.com/office/excel/2006/main">
          <x14:cfRule type="dataBar" id="{81513CFF-C8AC-4563-BD3A-BD1D16B33E5C}">
            <x14:dataBar minLength="0" maxLength="100" border="1" gradient="0">
              <x14:cfvo type="num">
                <xm:f>0</xm:f>
              </x14:cfvo>
              <x14:cfvo type="num">
                <xm:f>1</xm:f>
              </x14:cfvo>
              <x14:borderColor theme="0"/>
              <x14:negativeFillColor rgb="FFFF0000"/>
              <x14:axisColor rgb="FF000000"/>
            </x14:dataBar>
          </x14:cfRule>
          <xm:sqref>I208</xm:sqref>
        </x14:conditionalFormatting>
        <x14:conditionalFormatting xmlns:xm="http://schemas.microsoft.com/office/excel/2006/main">
          <x14:cfRule type="dataBar" id="{94497FCA-AE5B-4C41-975B-882780BB1C61}">
            <x14:dataBar minLength="0" maxLength="100" border="1" gradient="0">
              <x14:cfvo type="num">
                <xm:f>0</xm:f>
              </x14:cfvo>
              <x14:cfvo type="num">
                <xm:f>1</xm:f>
              </x14:cfvo>
              <x14:borderColor theme="0"/>
              <x14:negativeFillColor rgb="FFFF0000"/>
              <x14:axisColor rgb="FF000000"/>
            </x14:dataBar>
          </x14:cfRule>
          <xm:sqref>I210</xm:sqref>
        </x14:conditionalFormatting>
        <x14:conditionalFormatting xmlns:xm="http://schemas.microsoft.com/office/excel/2006/main">
          <x14:cfRule type="dataBar" id="{29A682DC-21C8-4DCC-B0C9-56F6F27A5053}">
            <x14:dataBar minLength="0" maxLength="100" border="1" gradient="0">
              <x14:cfvo type="num">
                <xm:f>0</xm:f>
              </x14:cfvo>
              <x14:cfvo type="num">
                <xm:f>1</xm:f>
              </x14:cfvo>
              <x14:borderColor theme="0"/>
              <x14:negativeFillColor rgb="FFFF0000"/>
              <x14:axisColor rgb="FF000000"/>
            </x14:dataBar>
          </x14:cfRule>
          <xm:sqref>I212 I220</xm:sqref>
        </x14:conditionalFormatting>
        <x14:conditionalFormatting xmlns:xm="http://schemas.microsoft.com/office/excel/2006/main">
          <x14:cfRule type="dataBar" id="{DB315B20-A24F-41D2-A91E-C18E23487293}">
            <x14:dataBar minLength="0" maxLength="100" border="1" gradient="0">
              <x14:cfvo type="num">
                <xm:f>0</xm:f>
              </x14:cfvo>
              <x14:cfvo type="num">
                <xm:f>1</xm:f>
              </x14:cfvo>
              <x14:borderColor theme="0"/>
              <x14:negativeFillColor rgb="FFFF0000"/>
              <x14:axisColor rgb="FF000000"/>
            </x14:dataBar>
          </x14:cfRule>
          <xm:sqref>I214</xm:sqref>
        </x14:conditionalFormatting>
        <x14:conditionalFormatting xmlns:xm="http://schemas.microsoft.com/office/excel/2006/main">
          <x14:cfRule type="dataBar" id="{DCD516A2-CED7-429D-A280-8DA611C47E76}">
            <x14:dataBar minLength="0" maxLength="100" border="1" gradient="0">
              <x14:cfvo type="num">
                <xm:f>0</xm:f>
              </x14:cfvo>
              <x14:cfvo type="num">
                <xm:f>1</xm:f>
              </x14:cfvo>
              <x14:borderColor theme="0"/>
              <x14:negativeFillColor rgb="FFFF0000"/>
              <x14:axisColor rgb="FF000000"/>
            </x14:dataBar>
          </x14:cfRule>
          <xm:sqref>I216</xm:sqref>
        </x14:conditionalFormatting>
        <x14:conditionalFormatting xmlns:xm="http://schemas.microsoft.com/office/excel/2006/main">
          <x14:cfRule type="dataBar" id="{E679D276-71A6-407C-B503-CFC2C9D693FB}">
            <x14:dataBar minLength="0" maxLength="100" border="1" gradient="0">
              <x14:cfvo type="num">
                <xm:f>0</xm:f>
              </x14:cfvo>
              <x14:cfvo type="num">
                <xm:f>1</xm:f>
              </x14:cfvo>
              <x14:borderColor theme="0"/>
              <x14:negativeFillColor rgb="FFFF0000"/>
              <x14:axisColor rgb="FF000000"/>
            </x14:dataBar>
          </x14:cfRule>
          <xm:sqref>I218</xm:sqref>
        </x14:conditionalFormatting>
        <x14:conditionalFormatting xmlns:xm="http://schemas.microsoft.com/office/excel/2006/main">
          <x14:cfRule type="dataBar" id="{47EC854D-FA94-44BF-805A-240B848C1AC0}">
            <x14:dataBar minLength="0" maxLength="100" border="1" gradient="0">
              <x14:cfvo type="num">
                <xm:f>0</xm:f>
              </x14:cfvo>
              <x14:cfvo type="num">
                <xm:f>1</xm:f>
              </x14:cfvo>
              <x14:borderColor theme="0"/>
              <x14:negativeFillColor rgb="FFFF0000"/>
              <x14:axisColor rgb="FF000000"/>
            </x14:dataBar>
          </x14:cfRule>
          <xm:sqref>I222</xm:sqref>
        </x14:conditionalFormatting>
        <x14:conditionalFormatting xmlns:xm="http://schemas.microsoft.com/office/excel/2006/main">
          <x14:cfRule type="dataBar" id="{B0C3404F-FE99-4275-B352-0D339056742F}">
            <x14:dataBar minLength="0" maxLength="100" border="1" gradient="0">
              <x14:cfvo type="num">
                <xm:f>0</xm:f>
              </x14:cfvo>
              <x14:cfvo type="num">
                <xm:f>1</xm:f>
              </x14:cfvo>
              <x14:borderColor theme="0"/>
              <x14:negativeFillColor rgb="FFFF0000"/>
              <x14:axisColor rgb="FF000000"/>
            </x14:dataBar>
          </x14:cfRule>
          <xm:sqref>I226</xm:sqref>
        </x14:conditionalFormatting>
        <x14:conditionalFormatting xmlns:xm="http://schemas.microsoft.com/office/excel/2006/main">
          <x14:cfRule type="dataBar" id="{8064533B-68B1-4B05-8D27-F84916B5D564}">
            <x14:dataBar minLength="0" maxLength="100" border="1" gradient="0">
              <x14:cfvo type="num">
                <xm:f>0</xm:f>
              </x14:cfvo>
              <x14:cfvo type="num">
                <xm:f>1</xm:f>
              </x14:cfvo>
              <x14:borderColor theme="0"/>
              <x14:negativeFillColor rgb="FFFF0000"/>
              <x14:axisColor rgb="FF000000"/>
            </x14:dataBar>
          </x14:cfRule>
          <xm:sqref>I229</xm:sqref>
        </x14:conditionalFormatting>
        <x14:conditionalFormatting xmlns:xm="http://schemas.microsoft.com/office/excel/2006/main">
          <x14:cfRule type="dataBar" id="{9BC33704-505B-48FA-A899-65C979FB1EC2}">
            <x14:dataBar minLength="0" maxLength="100" border="1" gradient="0">
              <x14:cfvo type="num">
                <xm:f>0</xm:f>
              </x14:cfvo>
              <x14:cfvo type="num">
                <xm:f>1</xm:f>
              </x14:cfvo>
              <x14:borderColor theme="0"/>
              <x14:negativeFillColor rgb="FFFF0000"/>
              <x14:axisColor rgb="FF000000"/>
            </x14:dataBar>
          </x14:cfRule>
          <xm:sqref>I233</xm:sqref>
        </x14:conditionalFormatting>
        <x14:conditionalFormatting xmlns:xm="http://schemas.microsoft.com/office/excel/2006/main">
          <x14:cfRule type="dataBar" id="{4FC131D5-F097-449F-997F-401568857F3F}">
            <x14:dataBar minLength="0" maxLength="100" border="1" gradient="0">
              <x14:cfvo type="num">
                <xm:f>0</xm:f>
              </x14:cfvo>
              <x14:cfvo type="num">
                <xm:f>1</xm:f>
              </x14:cfvo>
              <x14:borderColor theme="0"/>
              <x14:negativeFillColor rgb="FFFF0000"/>
              <x14:axisColor rgb="FF000000"/>
            </x14:dataBar>
          </x14:cfRule>
          <xm:sqref>I235</xm:sqref>
        </x14:conditionalFormatting>
        <x14:conditionalFormatting xmlns:xm="http://schemas.microsoft.com/office/excel/2006/main">
          <x14:cfRule type="dataBar" id="{35564ED2-0A36-40C7-BD14-88DE675B73A6}">
            <x14:dataBar minLength="0" maxLength="100" border="1" gradient="0">
              <x14:cfvo type="num">
                <xm:f>0</xm:f>
              </x14:cfvo>
              <x14:cfvo type="num">
                <xm:f>1</xm:f>
              </x14:cfvo>
              <x14:borderColor theme="0"/>
              <x14:negativeFillColor rgb="FFFF0000"/>
              <x14:axisColor rgb="FF000000"/>
            </x14:dataBar>
          </x14:cfRule>
          <xm:sqref>I237</xm:sqref>
        </x14:conditionalFormatting>
        <x14:conditionalFormatting xmlns:xm="http://schemas.microsoft.com/office/excel/2006/main">
          <x14:cfRule type="dataBar" id="{BC8E8DF1-3218-4E0D-9FBB-030896541621}">
            <x14:dataBar minLength="0" maxLength="100" border="1" gradient="0">
              <x14:cfvo type="num">
                <xm:f>0</xm:f>
              </x14:cfvo>
              <x14:cfvo type="num">
                <xm:f>1</xm:f>
              </x14:cfvo>
              <x14:borderColor theme="0"/>
              <x14:negativeFillColor rgb="FFFF0000"/>
              <x14:axisColor rgb="FF000000"/>
            </x14:dataBar>
          </x14:cfRule>
          <xm:sqref>I239</xm:sqref>
        </x14:conditionalFormatting>
        <x14:conditionalFormatting xmlns:xm="http://schemas.microsoft.com/office/excel/2006/main">
          <x14:cfRule type="dataBar" id="{10E57065-3613-47AD-AB05-7F1A7A4365F2}">
            <x14:dataBar minLength="0" maxLength="100" border="1" gradient="0">
              <x14:cfvo type="num">
                <xm:f>0</xm:f>
              </x14:cfvo>
              <x14:cfvo type="num">
                <xm:f>1</xm:f>
              </x14:cfvo>
              <x14:borderColor theme="0"/>
              <x14:negativeFillColor rgb="FFFF0000"/>
              <x14:axisColor rgb="FF000000"/>
            </x14:dataBar>
          </x14:cfRule>
          <xm:sqref>I241</xm:sqref>
        </x14:conditionalFormatting>
        <x14:conditionalFormatting xmlns:xm="http://schemas.microsoft.com/office/excel/2006/main">
          <x14:cfRule type="dataBar" id="{7A3D1FB8-3479-4AAF-AC08-8E3E1CB1ED9C}">
            <x14:dataBar minLength="0" maxLength="100" border="1" gradient="0">
              <x14:cfvo type="num">
                <xm:f>0</xm:f>
              </x14:cfvo>
              <x14:cfvo type="num">
                <xm:f>1</xm:f>
              </x14:cfvo>
              <x14:borderColor theme="0"/>
              <x14:negativeFillColor rgb="FFFF0000"/>
              <x14:axisColor rgb="FF000000"/>
            </x14:dataBar>
          </x14:cfRule>
          <xm:sqref>I243</xm:sqref>
        </x14:conditionalFormatting>
        <x14:conditionalFormatting xmlns:xm="http://schemas.microsoft.com/office/excel/2006/main">
          <x14:cfRule type="dataBar" id="{BA0377A8-44FC-488E-AD13-A7487707BFDE}">
            <x14:dataBar minLength="0" maxLength="100" border="1" gradient="0">
              <x14:cfvo type="num">
                <xm:f>0</xm:f>
              </x14:cfvo>
              <x14:cfvo type="num">
                <xm:f>1</xm:f>
              </x14:cfvo>
              <x14:borderColor theme="0"/>
              <x14:negativeFillColor rgb="FFFF0000"/>
              <x14:axisColor rgb="FF000000"/>
            </x14:dataBar>
          </x14:cfRule>
          <xm:sqref>I245</xm:sqref>
        </x14:conditionalFormatting>
        <x14:conditionalFormatting xmlns:xm="http://schemas.microsoft.com/office/excel/2006/main">
          <x14:cfRule type="dataBar" id="{4894B456-31B2-4993-966B-BAD9B0D374EF}">
            <x14:dataBar minLength="0" maxLength="100" border="1" gradient="0">
              <x14:cfvo type="num">
                <xm:f>0</xm:f>
              </x14:cfvo>
              <x14:cfvo type="num">
                <xm:f>1</xm:f>
              </x14:cfvo>
              <x14:borderColor theme="0"/>
              <x14:negativeFillColor rgb="FFFF0000"/>
              <x14:axisColor rgb="FF000000"/>
            </x14:dataBar>
          </x14:cfRule>
          <xm:sqref>I247</xm:sqref>
        </x14:conditionalFormatting>
        <x14:conditionalFormatting xmlns:xm="http://schemas.microsoft.com/office/excel/2006/main">
          <x14:cfRule type="dataBar" id="{57CFE94F-8951-4DBF-B40A-B852C749F75E}">
            <x14:dataBar minLength="0" maxLength="100" border="1" gradient="0">
              <x14:cfvo type="num">
                <xm:f>0</xm:f>
              </x14:cfvo>
              <x14:cfvo type="num">
                <xm:f>1</xm:f>
              </x14:cfvo>
              <x14:borderColor theme="0"/>
              <x14:negativeFillColor rgb="FFFF0000"/>
              <x14:axisColor rgb="FF000000"/>
            </x14:dataBar>
          </x14:cfRule>
          <xm:sqref>I249</xm:sqref>
        </x14:conditionalFormatting>
        <x14:conditionalFormatting xmlns:xm="http://schemas.microsoft.com/office/excel/2006/main">
          <x14:cfRule type="dataBar" id="{8464EA33-4C79-4923-80DC-B720798C984D}">
            <x14:dataBar minLength="0" maxLength="100" border="1" gradient="0">
              <x14:cfvo type="num">
                <xm:f>0</xm:f>
              </x14:cfvo>
              <x14:cfvo type="num">
                <xm:f>1</xm:f>
              </x14:cfvo>
              <x14:borderColor theme="0"/>
              <x14:negativeFillColor rgb="FFFF0000"/>
              <x14:axisColor rgb="FF000000"/>
            </x14:dataBar>
          </x14:cfRule>
          <xm:sqref>I251</xm:sqref>
        </x14:conditionalFormatting>
        <x14:conditionalFormatting xmlns:xm="http://schemas.microsoft.com/office/excel/2006/main">
          <x14:cfRule type="dataBar" id="{4FD45DB9-5CA5-4C51-A772-106DA8F6ADA2}">
            <x14:dataBar minLength="0" maxLength="100" border="1" gradient="0">
              <x14:cfvo type="num">
                <xm:f>0</xm:f>
              </x14:cfvo>
              <x14:cfvo type="num">
                <xm:f>1</xm:f>
              </x14:cfvo>
              <x14:borderColor theme="0"/>
              <x14:negativeFillColor rgb="FFFF0000"/>
              <x14:axisColor rgb="FF000000"/>
            </x14:dataBar>
          </x14:cfRule>
          <xm:sqref>I253</xm:sqref>
        </x14:conditionalFormatting>
        <x14:conditionalFormatting xmlns:xm="http://schemas.microsoft.com/office/excel/2006/main">
          <x14:cfRule type="dataBar" id="{FBA9B1FF-F8CC-4B1A-B953-E92834B97A8D}">
            <x14:dataBar minLength="0" maxLength="100" border="1" gradient="0">
              <x14:cfvo type="num">
                <xm:f>0</xm:f>
              </x14:cfvo>
              <x14:cfvo type="num">
                <xm:f>1</xm:f>
              </x14:cfvo>
              <x14:borderColor theme="0"/>
              <x14:negativeFillColor rgb="FFFF0000"/>
              <x14:axisColor rgb="FF000000"/>
            </x14:dataBar>
          </x14:cfRule>
          <xm:sqref>I255</xm:sqref>
        </x14:conditionalFormatting>
        <x14:conditionalFormatting xmlns:xm="http://schemas.microsoft.com/office/excel/2006/main">
          <x14:cfRule type="dataBar" id="{DA32E9B1-C719-477A-981E-01A195AA5EAF}">
            <x14:dataBar minLength="0" maxLength="100" border="1" gradient="0">
              <x14:cfvo type="num">
                <xm:f>0</xm:f>
              </x14:cfvo>
              <x14:cfvo type="num">
                <xm:f>1</xm:f>
              </x14:cfvo>
              <x14:borderColor theme="0"/>
              <x14:negativeFillColor rgb="FFFF0000"/>
              <x14:axisColor rgb="FF000000"/>
            </x14:dataBar>
          </x14:cfRule>
          <xm:sqref>I257</xm:sqref>
        </x14:conditionalFormatting>
        <x14:conditionalFormatting xmlns:xm="http://schemas.microsoft.com/office/excel/2006/main">
          <x14:cfRule type="dataBar" id="{75B9B7B3-1C7B-4DB5-A188-877396BCE9C7}">
            <x14:dataBar minLength="0" maxLength="100" border="1" gradient="0">
              <x14:cfvo type="num">
                <xm:f>0</xm:f>
              </x14:cfvo>
              <x14:cfvo type="num">
                <xm:f>1</xm:f>
              </x14:cfvo>
              <x14:borderColor theme="0"/>
              <x14:negativeFillColor rgb="FFFF0000"/>
              <x14:axisColor rgb="FF000000"/>
            </x14:dataBar>
          </x14:cfRule>
          <xm:sqref>I259</xm:sqref>
        </x14:conditionalFormatting>
        <x14:conditionalFormatting xmlns:xm="http://schemas.microsoft.com/office/excel/2006/main">
          <x14:cfRule type="dataBar" id="{882DECC0-7E00-4D3C-A9ED-B133BD39253A}">
            <x14:dataBar minLength="0" maxLength="100" border="1" gradient="0">
              <x14:cfvo type="num">
                <xm:f>0</xm:f>
              </x14:cfvo>
              <x14:cfvo type="num">
                <xm:f>1</xm:f>
              </x14:cfvo>
              <x14:borderColor theme="0"/>
              <x14:negativeFillColor rgb="FFFF0000"/>
              <x14:axisColor rgb="FF000000"/>
            </x14:dataBar>
          </x14:cfRule>
          <xm:sqref>I261</xm:sqref>
        </x14:conditionalFormatting>
        <x14:conditionalFormatting xmlns:xm="http://schemas.microsoft.com/office/excel/2006/main">
          <x14:cfRule type="dataBar" id="{BD244584-981E-4625-8B68-EA51F5B1A5D4}">
            <x14:dataBar minLength="0" maxLength="100" border="1" gradient="0">
              <x14:cfvo type="num">
                <xm:f>0</xm:f>
              </x14:cfvo>
              <x14:cfvo type="num">
                <xm:f>1</xm:f>
              </x14:cfvo>
              <x14:borderColor theme="0"/>
              <x14:negativeFillColor rgb="FFFF0000"/>
              <x14:axisColor rgb="FF000000"/>
            </x14:dataBar>
          </x14:cfRule>
          <xm:sqref>I263</xm:sqref>
        </x14:conditionalFormatting>
        <x14:conditionalFormatting xmlns:xm="http://schemas.microsoft.com/office/excel/2006/main">
          <x14:cfRule type="dataBar" id="{F3949099-CD6B-49B7-B0DC-EF7FC9A7C0C8}">
            <x14:dataBar minLength="0" maxLength="100" border="1" gradient="0">
              <x14:cfvo type="num">
                <xm:f>0</xm:f>
              </x14:cfvo>
              <x14:cfvo type="num">
                <xm:f>1</xm:f>
              </x14:cfvo>
              <x14:borderColor theme="0"/>
              <x14:negativeFillColor rgb="FFFF0000"/>
              <x14:axisColor rgb="FF000000"/>
            </x14:dataBar>
          </x14:cfRule>
          <xm:sqref>I265</xm:sqref>
        </x14:conditionalFormatting>
        <x14:conditionalFormatting xmlns:xm="http://schemas.microsoft.com/office/excel/2006/main">
          <x14:cfRule type="dataBar" id="{F1A0D353-263F-4960-A6F5-DF37F2E6C132}">
            <x14:dataBar minLength="0" maxLength="100" border="1" gradient="0">
              <x14:cfvo type="num">
                <xm:f>0</xm:f>
              </x14:cfvo>
              <x14:cfvo type="num">
                <xm:f>1</xm:f>
              </x14:cfvo>
              <x14:borderColor theme="0"/>
              <x14:negativeFillColor rgb="FFFF0000"/>
              <x14:axisColor rgb="FF000000"/>
            </x14:dataBar>
          </x14:cfRule>
          <xm:sqref>I267</xm:sqref>
        </x14:conditionalFormatting>
        <x14:conditionalFormatting xmlns:xm="http://schemas.microsoft.com/office/excel/2006/main">
          <x14:cfRule type="dataBar" id="{5149D784-AA6A-4A0B-9A00-6D41C880409C}">
            <x14:dataBar minLength="0" maxLength="100" border="1" gradient="0">
              <x14:cfvo type="num">
                <xm:f>0</xm:f>
              </x14:cfvo>
              <x14:cfvo type="num">
                <xm:f>1</xm:f>
              </x14:cfvo>
              <x14:borderColor theme="0"/>
              <x14:negativeFillColor rgb="FFFF0000"/>
              <x14:axisColor rgb="FF000000"/>
            </x14:dataBar>
          </x14:cfRule>
          <xm:sqref>I269</xm:sqref>
        </x14:conditionalFormatting>
        <x14:conditionalFormatting xmlns:xm="http://schemas.microsoft.com/office/excel/2006/main">
          <x14:cfRule type="dataBar" id="{163E54A0-56C7-4484-B4D1-8EB9C24CC2A2}">
            <x14:dataBar minLength="0" maxLength="100" border="1" gradient="0">
              <x14:cfvo type="num">
                <xm:f>0</xm:f>
              </x14:cfvo>
              <x14:cfvo type="num">
                <xm:f>1</xm:f>
              </x14:cfvo>
              <x14:borderColor theme="0"/>
              <x14:negativeFillColor rgb="FFFF0000"/>
              <x14:axisColor rgb="FF000000"/>
            </x14:dataBar>
          </x14:cfRule>
          <xm:sqref>I271</xm:sqref>
        </x14:conditionalFormatting>
        <x14:conditionalFormatting xmlns:xm="http://schemas.microsoft.com/office/excel/2006/main">
          <x14:cfRule type="dataBar" id="{06EC370D-FD30-4DE7-8529-A39DB33D2C96}">
            <x14:dataBar minLength="0" maxLength="100" border="1" gradient="0">
              <x14:cfvo type="num">
                <xm:f>0</xm:f>
              </x14:cfvo>
              <x14:cfvo type="num">
                <xm:f>1</xm:f>
              </x14:cfvo>
              <x14:borderColor theme="0"/>
              <x14:negativeFillColor rgb="FFFF0000"/>
              <x14:axisColor rgb="FF000000"/>
            </x14:dataBar>
          </x14:cfRule>
          <xm:sqref>I273</xm:sqref>
        </x14:conditionalFormatting>
        <x14:conditionalFormatting xmlns:xm="http://schemas.microsoft.com/office/excel/2006/main">
          <x14:cfRule type="dataBar" id="{B2D07085-73FC-46EF-86F6-EDA7C5DB3C1F}">
            <x14:dataBar minLength="0" maxLength="100" border="1" gradient="0">
              <x14:cfvo type="num">
                <xm:f>0</xm:f>
              </x14:cfvo>
              <x14:cfvo type="num">
                <xm:f>1</xm:f>
              </x14:cfvo>
              <x14:borderColor theme="0"/>
              <x14:negativeFillColor rgb="FFFF0000"/>
              <x14:axisColor rgb="FF000000"/>
            </x14:dataBar>
          </x14:cfRule>
          <xm:sqref>I275</xm:sqref>
        </x14:conditionalFormatting>
        <x14:conditionalFormatting xmlns:xm="http://schemas.microsoft.com/office/excel/2006/main">
          <x14:cfRule type="dataBar" id="{B11C3AEE-28EB-464B-83BE-8372F97702F6}">
            <x14:dataBar minLength="0" maxLength="100" border="1" gradient="0">
              <x14:cfvo type="num">
                <xm:f>0</xm:f>
              </x14:cfvo>
              <x14:cfvo type="num">
                <xm:f>1</xm:f>
              </x14:cfvo>
              <x14:borderColor theme="0"/>
              <x14:negativeFillColor rgb="FFFF0000"/>
              <x14:axisColor rgb="FF000000"/>
            </x14:dataBar>
          </x14:cfRule>
          <xm:sqref>I278</xm:sqref>
        </x14:conditionalFormatting>
        <x14:conditionalFormatting xmlns:xm="http://schemas.microsoft.com/office/excel/2006/main">
          <x14:cfRule type="dataBar" id="{3CBD22BD-DAEB-4458-A2B4-94DE581C1952}">
            <x14:dataBar minLength="0" maxLength="100" border="1" gradient="0">
              <x14:cfvo type="num">
                <xm:f>0</xm:f>
              </x14:cfvo>
              <x14:cfvo type="num">
                <xm:f>1</xm:f>
              </x14:cfvo>
              <x14:borderColor theme="0"/>
              <x14:negativeFillColor rgb="FFFF0000"/>
              <x14:axisColor rgb="FF000000"/>
            </x14:dataBar>
          </x14:cfRule>
          <xm:sqref>I280 I296</xm:sqref>
        </x14:conditionalFormatting>
        <x14:conditionalFormatting xmlns:xm="http://schemas.microsoft.com/office/excel/2006/main">
          <x14:cfRule type="dataBar" id="{F57AD954-1D37-47E5-A173-3DB959031DD5}">
            <x14:dataBar minLength="0" maxLength="100" border="1" gradient="0">
              <x14:cfvo type="num">
                <xm:f>0</xm:f>
              </x14:cfvo>
              <x14:cfvo type="num">
                <xm:f>1</xm:f>
              </x14:cfvo>
              <x14:borderColor theme="0"/>
              <x14:negativeFillColor rgb="FFFF0000"/>
              <x14:axisColor rgb="FF000000"/>
            </x14:dataBar>
          </x14:cfRule>
          <xm:sqref>I282</xm:sqref>
        </x14:conditionalFormatting>
        <x14:conditionalFormatting xmlns:xm="http://schemas.microsoft.com/office/excel/2006/main">
          <x14:cfRule type="dataBar" id="{9C5B6D13-D102-4A3E-A984-5C9C5D67D75F}">
            <x14:dataBar minLength="0" maxLength="100" border="1" gradient="0">
              <x14:cfvo type="num">
                <xm:f>0</xm:f>
              </x14:cfvo>
              <x14:cfvo type="num">
                <xm:f>1</xm:f>
              </x14:cfvo>
              <x14:borderColor theme="0"/>
              <x14:negativeFillColor rgb="FFFF0000"/>
              <x14:axisColor rgb="FF000000"/>
            </x14:dataBar>
          </x14:cfRule>
          <xm:sqref>I284</xm:sqref>
        </x14:conditionalFormatting>
        <x14:conditionalFormatting xmlns:xm="http://schemas.microsoft.com/office/excel/2006/main">
          <x14:cfRule type="dataBar" id="{1BC0D2B4-C3A6-4A7B-BF4E-CD4189458F97}">
            <x14:dataBar minLength="0" maxLength="100" border="1" gradient="0">
              <x14:cfvo type="num">
                <xm:f>0</xm:f>
              </x14:cfvo>
              <x14:cfvo type="num">
                <xm:f>1</xm:f>
              </x14:cfvo>
              <x14:borderColor theme="0"/>
              <x14:negativeFillColor rgb="FFFF0000"/>
              <x14:axisColor rgb="FF000000"/>
            </x14:dataBar>
          </x14:cfRule>
          <xm:sqref>I286</xm:sqref>
        </x14:conditionalFormatting>
        <x14:conditionalFormatting xmlns:xm="http://schemas.microsoft.com/office/excel/2006/main">
          <x14:cfRule type="dataBar" id="{C4405D35-C55A-4D2F-953D-433E26AFA55A}">
            <x14:dataBar minLength="0" maxLength="100" border="1" gradient="0">
              <x14:cfvo type="num">
                <xm:f>0</xm:f>
              </x14:cfvo>
              <x14:cfvo type="num">
                <xm:f>1</xm:f>
              </x14:cfvo>
              <x14:borderColor theme="0"/>
              <x14:negativeFillColor rgb="FFFF0000"/>
              <x14:axisColor rgb="FF000000"/>
            </x14:dataBar>
          </x14:cfRule>
          <xm:sqref>I288</xm:sqref>
        </x14:conditionalFormatting>
        <x14:conditionalFormatting xmlns:xm="http://schemas.microsoft.com/office/excel/2006/main">
          <x14:cfRule type="dataBar" id="{242AC7BF-264B-4303-AAE4-E89D0B2FFB31}">
            <x14:dataBar minLength="0" maxLength="100" border="1" gradient="0">
              <x14:cfvo type="num">
                <xm:f>0</xm:f>
              </x14:cfvo>
              <x14:cfvo type="num">
                <xm:f>1</xm:f>
              </x14:cfvo>
              <x14:borderColor theme="0"/>
              <x14:negativeFillColor rgb="FFFF0000"/>
              <x14:axisColor rgb="FF000000"/>
            </x14:dataBar>
          </x14:cfRule>
          <xm:sqref>I290</xm:sqref>
        </x14:conditionalFormatting>
        <x14:conditionalFormatting xmlns:xm="http://schemas.microsoft.com/office/excel/2006/main">
          <x14:cfRule type="dataBar" id="{78CEF681-5667-43D4-BC34-7AFFBE73BA15}">
            <x14:dataBar minLength="0" maxLength="100" border="1" gradient="0">
              <x14:cfvo type="num">
                <xm:f>0</xm:f>
              </x14:cfvo>
              <x14:cfvo type="num">
                <xm:f>1</xm:f>
              </x14:cfvo>
              <x14:borderColor theme="0"/>
              <x14:negativeFillColor rgb="FFFF0000"/>
              <x14:axisColor rgb="FF000000"/>
            </x14:dataBar>
          </x14:cfRule>
          <xm:sqref>I292</xm:sqref>
        </x14:conditionalFormatting>
        <x14:conditionalFormatting xmlns:xm="http://schemas.microsoft.com/office/excel/2006/main">
          <x14:cfRule type="dataBar" id="{E9BA866B-68E2-4C58-83B6-5A1A8CC7887A}">
            <x14:dataBar minLength="0" maxLength="100" border="1" gradient="0">
              <x14:cfvo type="num">
                <xm:f>0</xm:f>
              </x14:cfvo>
              <x14:cfvo type="num">
                <xm:f>1</xm:f>
              </x14:cfvo>
              <x14:borderColor theme="0"/>
              <x14:negativeFillColor rgb="FFFF0000"/>
              <x14:axisColor rgb="FF000000"/>
            </x14:dataBar>
          </x14:cfRule>
          <xm:sqref>I294</xm:sqref>
        </x14:conditionalFormatting>
        <x14:conditionalFormatting xmlns:xm="http://schemas.microsoft.com/office/excel/2006/main">
          <x14:cfRule type="dataBar" id="{4C659273-19E9-4799-8BF6-8C5F0D2BEB97}">
            <x14:dataBar minLength="0" maxLength="100" border="1" gradient="0">
              <x14:cfvo type="num">
                <xm:f>0</xm:f>
              </x14:cfvo>
              <x14:cfvo type="num">
                <xm:f>1</xm:f>
              </x14:cfvo>
              <x14:borderColor theme="0"/>
              <x14:negativeFillColor rgb="FFFF0000"/>
              <x14:axisColor rgb="FF000000"/>
            </x14:dataBar>
          </x14:cfRule>
          <xm:sqref>I299</xm:sqref>
        </x14:conditionalFormatting>
        <x14:conditionalFormatting xmlns:xm="http://schemas.microsoft.com/office/excel/2006/main">
          <x14:cfRule type="dataBar" id="{9202994E-B5BF-4FBC-9BE0-7FA44BA42255}">
            <x14:dataBar minLength="0" maxLength="100" border="1" gradient="0">
              <x14:cfvo type="num">
                <xm:f>0</xm:f>
              </x14:cfvo>
              <x14:cfvo type="num">
                <xm:f>1</xm:f>
              </x14:cfvo>
              <x14:borderColor theme="0"/>
              <x14:negativeFillColor rgb="FFFF0000"/>
              <x14:axisColor rgb="FF000000"/>
            </x14:dataBar>
          </x14:cfRule>
          <xm:sqref>I304</xm:sqref>
        </x14:conditionalFormatting>
        <x14:conditionalFormatting xmlns:xm="http://schemas.microsoft.com/office/excel/2006/main">
          <x14:cfRule type="dataBar" id="{8BC9554E-EAED-4876-99B0-06679C3B6CFB}">
            <x14:dataBar minLength="0" maxLength="100" border="1" gradient="0">
              <x14:cfvo type="num">
                <xm:f>0</xm:f>
              </x14:cfvo>
              <x14:cfvo type="num">
                <xm:f>1</xm:f>
              </x14:cfvo>
              <x14:borderColor theme="0"/>
              <x14:negativeFillColor rgb="FFFF0000"/>
              <x14:axisColor rgb="FF000000"/>
            </x14:dataBar>
          </x14:cfRule>
          <xm:sqref>I307</xm:sqref>
        </x14:conditionalFormatting>
        <x14:conditionalFormatting xmlns:xm="http://schemas.microsoft.com/office/excel/2006/main">
          <x14:cfRule type="dataBar" id="{DA59A0D8-ED84-4CD3-A740-F8221C283ACB}">
            <x14:dataBar minLength="0" maxLength="100" border="1" gradient="0">
              <x14:cfvo type="num">
                <xm:f>0</xm:f>
              </x14:cfvo>
              <x14:cfvo type="num">
                <xm:f>1</xm:f>
              </x14:cfvo>
              <x14:borderColor theme="0"/>
              <x14:negativeFillColor rgb="FFFF0000"/>
              <x14:axisColor rgb="FF000000"/>
            </x14:dataBar>
          </x14:cfRule>
          <xm:sqref>I310</xm:sqref>
        </x14:conditionalFormatting>
        <x14:conditionalFormatting xmlns:xm="http://schemas.microsoft.com/office/excel/2006/main">
          <x14:cfRule type="dataBar" id="{EDE563C0-B9D5-4DB8-A012-134ACC8150F2}">
            <x14:dataBar minLength="0" maxLength="100" border="1" gradient="0">
              <x14:cfvo type="num">
                <xm:f>0</xm:f>
              </x14:cfvo>
              <x14:cfvo type="num">
                <xm:f>1</xm:f>
              </x14:cfvo>
              <x14:borderColor theme="0"/>
              <x14:negativeFillColor rgb="FFFF0000"/>
              <x14:axisColor rgb="FF000000"/>
            </x14:dataBar>
          </x14:cfRule>
          <xm:sqref>I314</xm:sqref>
        </x14:conditionalFormatting>
        <x14:conditionalFormatting xmlns:xm="http://schemas.microsoft.com/office/excel/2006/main">
          <x14:cfRule type="dataBar" id="{53C64609-44B2-4F9A-AB69-D27770E6BDC9}">
            <x14:dataBar minLength="0" maxLength="100" border="1" gradient="0">
              <x14:cfvo type="num">
                <xm:f>0</xm:f>
              </x14:cfvo>
              <x14:cfvo type="num">
                <xm:f>1</xm:f>
              </x14:cfvo>
              <x14:borderColor theme="0"/>
              <x14:negativeFillColor rgb="FFFF0000"/>
              <x14:axisColor rgb="FF000000"/>
            </x14:dataBar>
          </x14:cfRule>
          <xm:sqref>I316</xm:sqref>
        </x14:conditionalFormatting>
        <x14:conditionalFormatting xmlns:xm="http://schemas.microsoft.com/office/excel/2006/main">
          <x14:cfRule type="dataBar" id="{C77CA983-C2F2-444A-B2F7-5C20FA48DEB4}">
            <x14:dataBar minLength="0" maxLength="100" border="1" gradient="0">
              <x14:cfvo type="num">
                <xm:f>0</xm:f>
              </x14:cfvo>
              <x14:cfvo type="num">
                <xm:f>1</xm:f>
              </x14:cfvo>
              <x14:borderColor theme="0"/>
              <x14:negativeFillColor rgb="FFFF0000"/>
              <x14:axisColor rgb="FF000000"/>
            </x14:dataBar>
          </x14:cfRule>
          <xm:sqref>I352 I318 I354 I356 I360 I368</xm:sqref>
        </x14:conditionalFormatting>
        <x14:conditionalFormatting xmlns:xm="http://schemas.microsoft.com/office/excel/2006/main">
          <x14:cfRule type="dataBar" id="{2CBBB128-402A-472F-9A87-E1CCF7FA6502}">
            <x14:dataBar minLength="0" maxLength="100" border="1" gradient="0">
              <x14:cfvo type="num">
                <xm:f>0</xm:f>
              </x14:cfvo>
              <x14:cfvo type="num">
                <xm:f>1</xm:f>
              </x14:cfvo>
              <x14:borderColor theme="0"/>
              <x14:negativeFillColor rgb="FFFF0000"/>
              <x14:axisColor rgb="FF000000"/>
            </x14:dataBar>
          </x14:cfRule>
          <xm:sqref>I320</xm:sqref>
        </x14:conditionalFormatting>
        <x14:conditionalFormatting xmlns:xm="http://schemas.microsoft.com/office/excel/2006/main">
          <x14:cfRule type="dataBar" id="{5416CD33-7266-4F9D-B397-A14F8383C5B8}">
            <x14:dataBar minLength="0" maxLength="100" border="1" gradient="0">
              <x14:cfvo type="num">
                <xm:f>0</xm:f>
              </x14:cfvo>
              <x14:cfvo type="num">
                <xm:f>1</xm:f>
              </x14:cfvo>
              <x14:borderColor theme="0"/>
              <x14:negativeFillColor rgb="FFFF0000"/>
              <x14:axisColor rgb="FF000000"/>
            </x14:dataBar>
          </x14:cfRule>
          <xm:sqref>I322</xm:sqref>
        </x14:conditionalFormatting>
        <x14:conditionalFormatting xmlns:xm="http://schemas.microsoft.com/office/excel/2006/main">
          <x14:cfRule type="dataBar" id="{8E8F65FF-A9F3-404D-889D-A488E9EAB7A8}">
            <x14:dataBar minLength="0" maxLength="100" border="1" gradient="0">
              <x14:cfvo type="num">
                <xm:f>0</xm:f>
              </x14:cfvo>
              <x14:cfvo type="num">
                <xm:f>1</xm:f>
              </x14:cfvo>
              <x14:borderColor theme="0"/>
              <x14:negativeFillColor rgb="FFFF0000"/>
              <x14:axisColor rgb="FF000000"/>
            </x14:dataBar>
          </x14:cfRule>
          <xm:sqref>I324</xm:sqref>
        </x14:conditionalFormatting>
        <x14:conditionalFormatting xmlns:xm="http://schemas.microsoft.com/office/excel/2006/main">
          <x14:cfRule type="dataBar" id="{E4EFAD95-82B4-461B-84D3-B563E8D59778}">
            <x14:dataBar minLength="0" maxLength="100" border="1" gradient="0">
              <x14:cfvo type="num">
                <xm:f>0</xm:f>
              </x14:cfvo>
              <x14:cfvo type="num">
                <xm:f>1</xm:f>
              </x14:cfvo>
              <x14:borderColor theme="0"/>
              <x14:negativeFillColor rgb="FFFF0000"/>
              <x14:axisColor rgb="FF000000"/>
            </x14:dataBar>
          </x14:cfRule>
          <xm:sqref>I326</xm:sqref>
        </x14:conditionalFormatting>
        <x14:conditionalFormatting xmlns:xm="http://schemas.microsoft.com/office/excel/2006/main">
          <x14:cfRule type="dataBar" id="{F816DEE3-4291-4A7A-8BF0-F12548CC0F19}">
            <x14:dataBar minLength="0" maxLength="100" border="1" gradient="0">
              <x14:cfvo type="num">
                <xm:f>0</xm:f>
              </x14:cfvo>
              <x14:cfvo type="num">
                <xm:f>1</xm:f>
              </x14:cfvo>
              <x14:borderColor theme="0"/>
              <x14:negativeFillColor rgb="FFFF0000"/>
              <x14:axisColor rgb="FF000000"/>
            </x14:dataBar>
          </x14:cfRule>
          <xm:sqref>I328</xm:sqref>
        </x14:conditionalFormatting>
        <x14:conditionalFormatting xmlns:xm="http://schemas.microsoft.com/office/excel/2006/main">
          <x14:cfRule type="dataBar" id="{A0B4CC9C-14CA-4567-A0A2-20809B434F19}">
            <x14:dataBar minLength="0" maxLength="100" border="1" gradient="0">
              <x14:cfvo type="num">
                <xm:f>0</xm:f>
              </x14:cfvo>
              <x14:cfvo type="num">
                <xm:f>1</xm:f>
              </x14:cfvo>
              <x14:borderColor theme="0"/>
              <x14:negativeFillColor rgb="FFFF0000"/>
              <x14:axisColor rgb="FF000000"/>
            </x14:dataBar>
          </x14:cfRule>
          <xm:sqref>I330</xm:sqref>
        </x14:conditionalFormatting>
        <x14:conditionalFormatting xmlns:xm="http://schemas.microsoft.com/office/excel/2006/main">
          <x14:cfRule type="dataBar" id="{C8D2DEEC-9030-4A4A-913D-E1B23E300F76}">
            <x14:dataBar minLength="0" maxLength="100" border="1" gradient="0">
              <x14:cfvo type="num">
                <xm:f>0</xm:f>
              </x14:cfvo>
              <x14:cfvo type="num">
                <xm:f>1</xm:f>
              </x14:cfvo>
              <x14:borderColor theme="0"/>
              <x14:negativeFillColor rgb="FFFF0000"/>
              <x14:axisColor rgb="FF000000"/>
            </x14:dataBar>
          </x14:cfRule>
          <xm:sqref>I332</xm:sqref>
        </x14:conditionalFormatting>
        <x14:conditionalFormatting xmlns:xm="http://schemas.microsoft.com/office/excel/2006/main">
          <x14:cfRule type="dataBar" id="{5541B255-1201-41FB-8DC3-041425D6A740}">
            <x14:dataBar minLength="0" maxLength="100" border="1" gradient="0">
              <x14:cfvo type="num">
                <xm:f>0</xm:f>
              </x14:cfvo>
              <x14:cfvo type="num">
                <xm:f>1</xm:f>
              </x14:cfvo>
              <x14:borderColor theme="0"/>
              <x14:negativeFillColor rgb="FFFF0000"/>
              <x14:axisColor rgb="FF000000"/>
            </x14:dataBar>
          </x14:cfRule>
          <xm:sqref>I334</xm:sqref>
        </x14:conditionalFormatting>
        <x14:conditionalFormatting xmlns:xm="http://schemas.microsoft.com/office/excel/2006/main">
          <x14:cfRule type="dataBar" id="{2AECD3A9-0A75-4798-A7FE-8EF369303F0F}">
            <x14:dataBar minLength="0" maxLength="100" border="1" gradient="0">
              <x14:cfvo type="num">
                <xm:f>0</xm:f>
              </x14:cfvo>
              <x14:cfvo type="num">
                <xm:f>1</xm:f>
              </x14:cfvo>
              <x14:borderColor theme="0"/>
              <x14:negativeFillColor rgb="FFFF0000"/>
              <x14:axisColor rgb="FF000000"/>
            </x14:dataBar>
          </x14:cfRule>
          <xm:sqref>I336</xm:sqref>
        </x14:conditionalFormatting>
        <x14:conditionalFormatting xmlns:xm="http://schemas.microsoft.com/office/excel/2006/main">
          <x14:cfRule type="dataBar" id="{027B0B70-C5F0-4B57-8271-F55BB7238A3D}">
            <x14:dataBar minLength="0" maxLength="100" border="1" gradient="0">
              <x14:cfvo type="num">
                <xm:f>0</xm:f>
              </x14:cfvo>
              <x14:cfvo type="num">
                <xm:f>1</xm:f>
              </x14:cfvo>
              <x14:borderColor theme="0"/>
              <x14:negativeFillColor rgb="FFFF0000"/>
              <x14:axisColor rgb="FF000000"/>
            </x14:dataBar>
          </x14:cfRule>
          <xm:sqref>I338</xm:sqref>
        </x14:conditionalFormatting>
        <x14:conditionalFormatting xmlns:xm="http://schemas.microsoft.com/office/excel/2006/main">
          <x14:cfRule type="dataBar" id="{F679C1D1-DF41-430F-ABB5-7C49EE667ACA}">
            <x14:dataBar minLength="0" maxLength="100" border="1" gradient="0">
              <x14:cfvo type="num">
                <xm:f>0</xm:f>
              </x14:cfvo>
              <x14:cfvo type="num">
                <xm:f>1</xm:f>
              </x14:cfvo>
              <x14:borderColor theme="0"/>
              <x14:negativeFillColor rgb="FFFF0000"/>
              <x14:axisColor rgb="FF000000"/>
            </x14:dataBar>
          </x14:cfRule>
          <xm:sqref>I340</xm:sqref>
        </x14:conditionalFormatting>
        <x14:conditionalFormatting xmlns:xm="http://schemas.microsoft.com/office/excel/2006/main">
          <x14:cfRule type="dataBar" id="{F4662949-8997-4597-9463-734C3B67F9C0}">
            <x14:dataBar minLength="0" maxLength="100" border="1" gradient="0">
              <x14:cfvo type="num">
                <xm:f>0</xm:f>
              </x14:cfvo>
              <x14:cfvo type="num">
                <xm:f>1</xm:f>
              </x14:cfvo>
              <x14:borderColor theme="0"/>
              <x14:negativeFillColor rgb="FFFF0000"/>
              <x14:axisColor rgb="FF000000"/>
            </x14:dataBar>
          </x14:cfRule>
          <xm:sqref>I342</xm:sqref>
        </x14:conditionalFormatting>
        <x14:conditionalFormatting xmlns:xm="http://schemas.microsoft.com/office/excel/2006/main">
          <x14:cfRule type="dataBar" id="{97C94B7E-E3FE-4FDA-BB26-A9291823FE02}">
            <x14:dataBar minLength="0" maxLength="100" border="1" gradient="0">
              <x14:cfvo type="num">
                <xm:f>0</xm:f>
              </x14:cfvo>
              <x14:cfvo type="num">
                <xm:f>1</xm:f>
              </x14:cfvo>
              <x14:borderColor theme="0"/>
              <x14:negativeFillColor rgb="FFFF0000"/>
              <x14:axisColor rgb="FF000000"/>
            </x14:dataBar>
          </x14:cfRule>
          <xm:sqref>I344</xm:sqref>
        </x14:conditionalFormatting>
        <x14:conditionalFormatting xmlns:xm="http://schemas.microsoft.com/office/excel/2006/main">
          <x14:cfRule type="dataBar" id="{BB0D50E9-1B69-4F2E-ACF3-DF1D570E53E2}">
            <x14:dataBar minLength="0" maxLength="100" border="1" gradient="0">
              <x14:cfvo type="num">
                <xm:f>0</xm:f>
              </x14:cfvo>
              <x14:cfvo type="num">
                <xm:f>1</xm:f>
              </x14:cfvo>
              <x14:borderColor theme="0"/>
              <x14:negativeFillColor rgb="FFFF0000"/>
              <x14:axisColor rgb="FF000000"/>
            </x14:dataBar>
          </x14:cfRule>
          <xm:sqref>I346</xm:sqref>
        </x14:conditionalFormatting>
        <x14:conditionalFormatting xmlns:xm="http://schemas.microsoft.com/office/excel/2006/main">
          <x14:cfRule type="dataBar" id="{AF43D6AB-837A-4B06-AA99-73E70499DE91}">
            <x14:dataBar minLength="0" maxLength="100" border="1" gradient="0">
              <x14:cfvo type="num">
                <xm:f>0</xm:f>
              </x14:cfvo>
              <x14:cfvo type="num">
                <xm:f>1</xm:f>
              </x14:cfvo>
              <x14:borderColor theme="0"/>
              <x14:negativeFillColor rgb="FFFF0000"/>
              <x14:axisColor rgb="FF000000"/>
            </x14:dataBar>
          </x14:cfRule>
          <xm:sqref>I348</xm:sqref>
        </x14:conditionalFormatting>
        <x14:conditionalFormatting xmlns:xm="http://schemas.microsoft.com/office/excel/2006/main">
          <x14:cfRule type="dataBar" id="{8CD9DA28-7D8B-445F-A124-81866530D337}">
            <x14:dataBar minLength="0" maxLength="100" border="1" gradient="0">
              <x14:cfvo type="num">
                <xm:f>0</xm:f>
              </x14:cfvo>
              <x14:cfvo type="num">
                <xm:f>1</xm:f>
              </x14:cfvo>
              <x14:borderColor theme="0"/>
              <x14:negativeFillColor rgb="FFFF0000"/>
              <x14:axisColor rgb="FF000000"/>
            </x14:dataBar>
          </x14:cfRule>
          <xm:sqref>I350</xm:sqref>
        </x14:conditionalFormatting>
        <x14:conditionalFormatting xmlns:xm="http://schemas.microsoft.com/office/excel/2006/main">
          <x14:cfRule type="dataBar" id="{B9235604-3BDA-405D-8C10-F0367A4CD66D}">
            <x14:dataBar minLength="0" maxLength="100" border="1" gradient="0">
              <x14:cfvo type="num">
                <xm:f>0</xm:f>
              </x14:cfvo>
              <x14:cfvo type="num">
                <xm:f>1</xm:f>
              </x14:cfvo>
              <x14:borderColor theme="0"/>
              <x14:negativeFillColor rgb="FFFF0000"/>
              <x14:axisColor rgb="FF000000"/>
            </x14:dataBar>
          </x14:cfRule>
          <xm:sqref>I358</xm:sqref>
        </x14:conditionalFormatting>
        <x14:conditionalFormatting xmlns:xm="http://schemas.microsoft.com/office/excel/2006/main">
          <x14:cfRule type="dataBar" id="{BCDE4D26-0BF8-480C-9E00-4BBB814EEFC5}">
            <x14:dataBar minLength="0" maxLength="100" border="1" gradient="0">
              <x14:cfvo type="num">
                <xm:f>0</xm:f>
              </x14:cfvo>
              <x14:cfvo type="num">
                <xm:f>1</xm:f>
              </x14:cfvo>
              <x14:borderColor theme="0"/>
              <x14:negativeFillColor rgb="FFFF0000"/>
              <x14:axisColor rgb="FF000000"/>
            </x14:dataBar>
          </x14:cfRule>
          <xm:sqref>I362</xm:sqref>
        </x14:conditionalFormatting>
        <x14:conditionalFormatting xmlns:xm="http://schemas.microsoft.com/office/excel/2006/main">
          <x14:cfRule type="dataBar" id="{D24E7457-2617-40A1-B185-44B3615ECF8E}">
            <x14:dataBar minLength="0" maxLength="100" border="1" gradient="0">
              <x14:cfvo type="num">
                <xm:f>0</xm:f>
              </x14:cfvo>
              <x14:cfvo type="num">
                <xm:f>1</xm:f>
              </x14:cfvo>
              <x14:borderColor theme="0"/>
              <x14:negativeFillColor rgb="FFFF0000"/>
              <x14:axisColor rgb="FF000000"/>
            </x14:dataBar>
          </x14:cfRule>
          <xm:sqref>I364</xm:sqref>
        </x14:conditionalFormatting>
        <x14:conditionalFormatting xmlns:xm="http://schemas.microsoft.com/office/excel/2006/main">
          <x14:cfRule type="dataBar" id="{2462EB57-5911-4A90-8896-FC8223FFC4C9}">
            <x14:dataBar minLength="0" maxLength="100" border="1" gradient="0">
              <x14:cfvo type="num">
                <xm:f>0</xm:f>
              </x14:cfvo>
              <x14:cfvo type="num">
                <xm:f>1</xm:f>
              </x14:cfvo>
              <x14:borderColor theme="0"/>
              <x14:negativeFillColor rgb="FFFF0000"/>
              <x14:axisColor rgb="FF000000"/>
            </x14:dataBar>
          </x14:cfRule>
          <xm:sqref>I366</xm:sqref>
        </x14:conditionalFormatting>
        <x14:conditionalFormatting xmlns:xm="http://schemas.microsoft.com/office/excel/2006/main">
          <x14:cfRule type="dataBar" id="{447CBCCA-668F-4372-B35A-BD64305892F3}">
            <x14:dataBar minLength="0" maxLength="100" border="1" gradient="0">
              <x14:cfvo type="num">
                <xm:f>0</xm:f>
              </x14:cfvo>
              <x14:cfvo type="num">
                <xm:f>1</xm:f>
              </x14:cfvo>
              <x14:borderColor theme="0"/>
              <x14:negativeFillColor rgb="FFFF0000"/>
              <x14:axisColor rgb="FF000000"/>
            </x14:dataBar>
          </x14:cfRule>
          <xm:sqref>I370</xm:sqref>
        </x14:conditionalFormatting>
        <x14:conditionalFormatting xmlns:xm="http://schemas.microsoft.com/office/excel/2006/main">
          <x14:cfRule type="dataBar" id="{EC3BBB5B-A806-4A46-9588-1669CD35908E}">
            <x14:dataBar minLength="0" maxLength="100" border="1" gradient="0">
              <x14:cfvo type="num">
                <xm:f>0</xm:f>
              </x14:cfvo>
              <x14:cfvo type="num">
                <xm:f>1</xm:f>
              </x14:cfvo>
              <x14:borderColor theme="0"/>
              <x14:negativeFillColor rgb="FFFF0000"/>
              <x14:axisColor rgb="FF000000"/>
            </x14:dataBar>
          </x14:cfRule>
          <xm:sqref>I372</xm:sqref>
        </x14:conditionalFormatting>
        <x14:conditionalFormatting xmlns:xm="http://schemas.microsoft.com/office/excel/2006/main">
          <x14:cfRule type="dataBar" id="{77F2DDF2-1CD6-4153-85E4-4C2E3FF4D9EA}">
            <x14:dataBar minLength="0" maxLength="100" border="1" gradient="0">
              <x14:cfvo type="num">
                <xm:f>0</xm:f>
              </x14:cfvo>
              <x14:cfvo type="num">
                <xm:f>1</xm:f>
              </x14:cfvo>
              <x14:borderColor theme="0"/>
              <x14:negativeFillColor rgb="FFFF0000"/>
              <x14:axisColor rgb="FF000000"/>
            </x14:dataBar>
          </x14:cfRule>
          <xm:sqref>I374</xm:sqref>
        </x14:conditionalFormatting>
        <x14:conditionalFormatting xmlns:xm="http://schemas.microsoft.com/office/excel/2006/main">
          <x14:cfRule type="dataBar" id="{41DFA915-E921-40A3-9462-076AE54874C3}">
            <x14:dataBar minLength="0" maxLength="100" border="1" gradient="0">
              <x14:cfvo type="num">
                <xm:f>0</xm:f>
              </x14:cfvo>
              <x14:cfvo type="num">
                <xm:f>1</xm:f>
              </x14:cfvo>
              <x14:borderColor theme="0"/>
              <x14:negativeFillColor rgb="FFFF0000"/>
              <x14:axisColor rgb="FF000000"/>
            </x14:dataBar>
          </x14:cfRule>
          <xm:sqref>I376</xm:sqref>
        </x14:conditionalFormatting>
        <x14:conditionalFormatting xmlns:xm="http://schemas.microsoft.com/office/excel/2006/main">
          <x14:cfRule type="dataBar" id="{31E5C3CC-F8DC-49B9-A930-C136468C3258}">
            <x14:dataBar minLength="0" maxLength="100" border="1" gradient="0">
              <x14:cfvo type="num">
                <xm:f>0</xm:f>
              </x14:cfvo>
              <x14:cfvo type="num">
                <xm:f>1</xm:f>
              </x14:cfvo>
              <x14:borderColor theme="0"/>
              <x14:negativeFillColor rgb="FFFF0000"/>
              <x14:axisColor rgb="FF000000"/>
            </x14:dataBar>
          </x14:cfRule>
          <xm:sqref>I378</xm:sqref>
        </x14:conditionalFormatting>
        <x14:conditionalFormatting xmlns:xm="http://schemas.microsoft.com/office/excel/2006/main">
          <x14:cfRule type="dataBar" id="{D157995F-D626-411C-AABA-0F1263C0E1E7}">
            <x14:dataBar minLength="0" maxLength="100" border="1" gradient="0">
              <x14:cfvo type="num">
                <xm:f>0</xm:f>
              </x14:cfvo>
              <x14:cfvo type="num">
                <xm:f>1</xm:f>
              </x14:cfvo>
              <x14:borderColor theme="0"/>
              <x14:negativeFillColor rgb="FFFF0000"/>
              <x14:axisColor rgb="FF000000"/>
            </x14:dataBar>
          </x14:cfRule>
          <xm:sqref>I380</xm:sqref>
        </x14:conditionalFormatting>
        <x14:conditionalFormatting xmlns:xm="http://schemas.microsoft.com/office/excel/2006/main">
          <x14:cfRule type="dataBar" id="{96E80A81-0D74-4115-A594-DD2467729E92}">
            <x14:dataBar minLength="0" maxLength="100" border="1" gradient="0">
              <x14:cfvo type="num">
                <xm:f>0</xm:f>
              </x14:cfvo>
              <x14:cfvo type="num">
                <xm:f>1</xm:f>
              </x14:cfvo>
              <x14:borderColor theme="0"/>
              <x14:negativeFillColor rgb="FFFF0000"/>
              <x14:axisColor rgb="FF000000"/>
            </x14:dataBar>
          </x14:cfRule>
          <xm:sqref>I382</xm:sqref>
        </x14:conditionalFormatting>
        <x14:conditionalFormatting xmlns:xm="http://schemas.microsoft.com/office/excel/2006/main">
          <x14:cfRule type="dataBar" id="{F6E753D4-C47C-4483-B64C-73FB2177EB14}">
            <x14:dataBar minLength="0" maxLength="100" border="1" gradient="0">
              <x14:cfvo type="num">
                <xm:f>0</xm:f>
              </x14:cfvo>
              <x14:cfvo type="num">
                <xm:f>1</xm:f>
              </x14:cfvo>
              <x14:borderColor theme="0"/>
              <x14:negativeFillColor rgb="FFFF0000"/>
              <x14:axisColor rgb="FF000000"/>
            </x14:dataBar>
          </x14:cfRule>
          <xm:sqref>I384</xm:sqref>
        </x14:conditionalFormatting>
        <x14:conditionalFormatting xmlns:xm="http://schemas.microsoft.com/office/excel/2006/main">
          <x14:cfRule type="dataBar" id="{80D0DE2D-0FE4-4BA0-88EA-D01C04AAA36D}">
            <x14:dataBar minLength="0" maxLength="100" border="1" gradient="0">
              <x14:cfvo type="num">
                <xm:f>0</xm:f>
              </x14:cfvo>
              <x14:cfvo type="num">
                <xm:f>1</xm:f>
              </x14:cfvo>
              <x14:borderColor theme="0"/>
              <x14:negativeFillColor rgb="FFFF0000"/>
              <x14:axisColor rgb="FF000000"/>
            </x14:dataBar>
          </x14:cfRule>
          <xm:sqref>I386</xm:sqref>
        </x14:conditionalFormatting>
        <x14:conditionalFormatting xmlns:xm="http://schemas.microsoft.com/office/excel/2006/main">
          <x14:cfRule type="dataBar" id="{D8FE4C10-F4DB-43AE-ABCE-491B2C2B9442}">
            <x14:dataBar minLength="0" maxLength="100" border="1" gradient="0">
              <x14:cfvo type="num">
                <xm:f>0</xm:f>
              </x14:cfvo>
              <x14:cfvo type="num">
                <xm:f>1</xm:f>
              </x14:cfvo>
              <x14:borderColor theme="0"/>
              <x14:negativeFillColor rgb="FFFF0000"/>
              <x14:axisColor rgb="FF000000"/>
            </x14:dataBar>
          </x14:cfRule>
          <xm:sqref>I388</xm:sqref>
        </x14:conditionalFormatting>
        <x14:conditionalFormatting xmlns:xm="http://schemas.microsoft.com/office/excel/2006/main">
          <x14:cfRule type="dataBar" id="{1B2FADE3-0BD6-4948-97E9-2DEB27C3B6F6}">
            <x14:dataBar minLength="0" maxLength="100" border="1" gradient="0">
              <x14:cfvo type="num">
                <xm:f>0</xm:f>
              </x14:cfvo>
              <x14:cfvo type="num">
                <xm:f>1</xm:f>
              </x14:cfvo>
              <x14:borderColor theme="0"/>
              <x14:negativeFillColor rgb="FFFF0000"/>
              <x14:axisColor rgb="FF000000"/>
            </x14:dataBar>
          </x14:cfRule>
          <xm:sqref>I390</xm:sqref>
        </x14:conditionalFormatting>
        <x14:conditionalFormatting xmlns:xm="http://schemas.microsoft.com/office/excel/2006/main">
          <x14:cfRule type="dataBar" id="{3850D0E4-1A0C-4E34-9D5D-588D5F35BB6D}">
            <x14:dataBar minLength="0" maxLength="100" border="1" gradient="0">
              <x14:cfvo type="num">
                <xm:f>0</xm:f>
              </x14:cfvo>
              <x14:cfvo type="num">
                <xm:f>1</xm:f>
              </x14:cfvo>
              <x14:borderColor theme="0"/>
              <x14:negativeFillColor rgb="FFFF0000"/>
              <x14:axisColor rgb="FF000000"/>
            </x14:dataBar>
          </x14:cfRule>
          <xm:sqref>I393</xm:sqref>
        </x14:conditionalFormatting>
        <x14:conditionalFormatting xmlns:xm="http://schemas.microsoft.com/office/excel/2006/main">
          <x14:cfRule type="dataBar" id="{475A3BD5-8EEA-46A2-B4AD-4A327F866183}">
            <x14:dataBar minLength="0" maxLength="100" border="1" gradient="0">
              <x14:cfvo type="num">
                <xm:f>0</xm:f>
              </x14:cfvo>
              <x14:cfvo type="num">
                <xm:f>1</xm:f>
              </x14:cfvo>
              <x14:borderColor theme="0"/>
              <x14:negativeFillColor rgb="FFFF0000"/>
              <x14:axisColor rgb="FF000000"/>
            </x14:dataBar>
          </x14:cfRule>
          <xm:sqref>I395</xm:sqref>
        </x14:conditionalFormatting>
        <x14:conditionalFormatting xmlns:xm="http://schemas.microsoft.com/office/excel/2006/main">
          <x14:cfRule type="dataBar" id="{272D90CD-3506-480C-993C-42E22302820F}">
            <x14:dataBar minLength="0" maxLength="100" border="1" gradient="0">
              <x14:cfvo type="num">
                <xm:f>0</xm:f>
              </x14:cfvo>
              <x14:cfvo type="num">
                <xm:f>1</xm:f>
              </x14:cfvo>
              <x14:borderColor theme="0"/>
              <x14:negativeFillColor rgb="FFFF0000"/>
              <x14:axisColor rgb="FF000000"/>
            </x14:dataBar>
          </x14:cfRule>
          <xm:sqref>I397</xm:sqref>
        </x14:conditionalFormatting>
        <x14:conditionalFormatting xmlns:xm="http://schemas.microsoft.com/office/excel/2006/main">
          <x14:cfRule type="dataBar" id="{2CE22BE3-D5DD-4AD1-AD95-E556943EB5EB}">
            <x14:dataBar minLength="0" maxLength="100" border="1" gradient="0">
              <x14:cfvo type="num">
                <xm:f>0</xm:f>
              </x14:cfvo>
              <x14:cfvo type="num">
                <xm:f>1</xm:f>
              </x14:cfvo>
              <x14:borderColor theme="0"/>
              <x14:negativeFillColor rgb="FFFF0000"/>
              <x14:axisColor rgb="FF000000"/>
            </x14:dataBar>
          </x14:cfRule>
          <xm:sqref>I399</xm:sqref>
        </x14:conditionalFormatting>
        <x14:conditionalFormatting xmlns:xm="http://schemas.microsoft.com/office/excel/2006/main">
          <x14:cfRule type="dataBar" id="{8703E3FA-4F59-4F4A-8839-632C52322173}">
            <x14:dataBar minLength="0" maxLength="100" border="1" gradient="0">
              <x14:cfvo type="num">
                <xm:f>0</xm:f>
              </x14:cfvo>
              <x14:cfvo type="num">
                <xm:f>1</xm:f>
              </x14:cfvo>
              <x14:borderColor theme="0"/>
              <x14:negativeFillColor rgb="FFFF0000"/>
              <x14:axisColor rgb="FF000000"/>
            </x14:dataBar>
          </x14:cfRule>
          <xm:sqref>I401</xm:sqref>
        </x14:conditionalFormatting>
        <x14:conditionalFormatting xmlns:xm="http://schemas.microsoft.com/office/excel/2006/main">
          <x14:cfRule type="dataBar" id="{4006A880-872C-446A-90C5-297AADFA8C42}">
            <x14:dataBar minLength="0" maxLength="100" border="1" gradient="0">
              <x14:cfvo type="num">
                <xm:f>0</xm:f>
              </x14:cfvo>
              <x14:cfvo type="num">
                <xm:f>1</xm:f>
              </x14:cfvo>
              <x14:borderColor theme="0"/>
              <x14:negativeFillColor rgb="FFFF0000"/>
              <x14:axisColor rgb="FF000000"/>
            </x14:dataBar>
          </x14:cfRule>
          <xm:sqref>I403</xm:sqref>
        </x14:conditionalFormatting>
        <x14:conditionalFormatting xmlns:xm="http://schemas.microsoft.com/office/excel/2006/main">
          <x14:cfRule type="dataBar" id="{44B3CFEF-45D0-475E-8B06-D9A5F35D79D7}">
            <x14:dataBar minLength="0" maxLength="100" border="1" gradient="0">
              <x14:cfvo type="num">
                <xm:f>0</xm:f>
              </x14:cfvo>
              <x14:cfvo type="num">
                <xm:f>1</xm:f>
              </x14:cfvo>
              <x14:borderColor theme="0"/>
              <x14:negativeFillColor rgb="FFFF0000"/>
              <x14:axisColor rgb="FF000000"/>
            </x14:dataBar>
          </x14:cfRule>
          <xm:sqref>I405</xm:sqref>
        </x14:conditionalFormatting>
        <x14:conditionalFormatting xmlns:xm="http://schemas.microsoft.com/office/excel/2006/main">
          <x14:cfRule type="dataBar" id="{CAB74D75-DF51-403C-9EF4-4DEB77E577F2}">
            <x14:dataBar minLength="0" maxLength="100" border="1" gradient="0">
              <x14:cfvo type="num">
                <xm:f>0</xm:f>
              </x14:cfvo>
              <x14:cfvo type="num">
                <xm:f>1</xm:f>
              </x14:cfvo>
              <x14:borderColor theme="0"/>
              <x14:negativeFillColor rgb="FFFF0000"/>
              <x14:axisColor rgb="FF000000"/>
            </x14:dataBar>
          </x14:cfRule>
          <xm:sqref>I407</xm:sqref>
        </x14:conditionalFormatting>
        <x14:conditionalFormatting xmlns:xm="http://schemas.microsoft.com/office/excel/2006/main">
          <x14:cfRule type="dataBar" id="{FAA9E8C7-D9D6-4894-9F1B-FD3FBDDB73FA}">
            <x14:dataBar minLength="0" maxLength="100" border="1" gradient="0">
              <x14:cfvo type="num">
                <xm:f>0</xm:f>
              </x14:cfvo>
              <x14:cfvo type="num">
                <xm:f>1</xm:f>
              </x14:cfvo>
              <x14:borderColor theme="0"/>
              <x14:negativeFillColor rgb="FFFF0000"/>
              <x14:axisColor rgb="FF000000"/>
            </x14:dataBar>
          </x14:cfRule>
          <xm:sqref>I409</xm:sqref>
        </x14:conditionalFormatting>
        <x14:conditionalFormatting xmlns:xm="http://schemas.microsoft.com/office/excel/2006/main">
          <x14:cfRule type="dataBar" id="{7D9171D9-9DE5-4790-AF34-AD6D3F9597AC}">
            <x14:dataBar minLength="0" maxLength="100" border="1" gradient="0">
              <x14:cfvo type="num">
                <xm:f>0</xm:f>
              </x14:cfvo>
              <x14:cfvo type="num">
                <xm:f>1</xm:f>
              </x14:cfvo>
              <x14:borderColor theme="0"/>
              <x14:negativeFillColor rgb="FFFF0000"/>
              <x14:axisColor rgb="FF000000"/>
            </x14:dataBar>
          </x14:cfRule>
          <xm:sqref>I411</xm:sqref>
        </x14:conditionalFormatting>
        <x14:conditionalFormatting xmlns:xm="http://schemas.microsoft.com/office/excel/2006/main">
          <x14:cfRule type="dataBar" id="{6A492A1E-150D-4B86-8AEA-238873D73B3D}">
            <x14:dataBar minLength="0" maxLength="100" border="1" gradient="0">
              <x14:cfvo type="num">
                <xm:f>0</xm:f>
              </x14:cfvo>
              <x14:cfvo type="num">
                <xm:f>1</xm:f>
              </x14:cfvo>
              <x14:borderColor theme="0"/>
              <x14:negativeFillColor rgb="FFFF0000"/>
              <x14:axisColor rgb="FF000000"/>
            </x14:dataBar>
          </x14:cfRule>
          <xm:sqref>I413</xm:sqref>
        </x14:conditionalFormatting>
        <x14:conditionalFormatting xmlns:xm="http://schemas.microsoft.com/office/excel/2006/main">
          <x14:cfRule type="dataBar" id="{D1124FD0-3989-4186-8F96-5377DE59A94E}">
            <x14:dataBar minLength="0" maxLength="100" border="1" gradient="0">
              <x14:cfvo type="num">
                <xm:f>0</xm:f>
              </x14:cfvo>
              <x14:cfvo type="num">
                <xm:f>1</xm:f>
              </x14:cfvo>
              <x14:borderColor theme="0"/>
              <x14:negativeFillColor rgb="FFFF0000"/>
              <x14:axisColor rgb="FF000000"/>
            </x14:dataBar>
          </x14:cfRule>
          <xm:sqref>I415</xm:sqref>
        </x14:conditionalFormatting>
        <x14:conditionalFormatting xmlns:xm="http://schemas.microsoft.com/office/excel/2006/main">
          <x14:cfRule type="dataBar" id="{F7F3518C-7DD8-49B8-9B63-6DEF5E52048C}">
            <x14:dataBar minLength="0" maxLength="100" border="1" gradient="0">
              <x14:cfvo type="num">
                <xm:f>0</xm:f>
              </x14:cfvo>
              <x14:cfvo type="num">
                <xm:f>1</xm:f>
              </x14:cfvo>
              <x14:borderColor theme="0"/>
              <x14:negativeFillColor rgb="FFFF0000"/>
              <x14:axisColor rgb="FF000000"/>
            </x14:dataBar>
          </x14:cfRule>
          <xm:sqref>I417</xm:sqref>
        </x14:conditionalFormatting>
        <x14:conditionalFormatting xmlns:xm="http://schemas.microsoft.com/office/excel/2006/main">
          <x14:cfRule type="dataBar" id="{CF3458E4-47AD-44EC-A3BF-552942FF2BC7}">
            <x14:dataBar minLength="0" maxLength="100" border="1" gradient="0">
              <x14:cfvo type="num">
                <xm:f>0</xm:f>
              </x14:cfvo>
              <x14:cfvo type="num">
                <xm:f>1</xm:f>
              </x14:cfvo>
              <x14:borderColor theme="0"/>
              <x14:negativeFillColor rgb="FFFF0000"/>
              <x14:axisColor rgb="FF000000"/>
            </x14:dataBar>
          </x14:cfRule>
          <xm:sqref>I419</xm:sqref>
        </x14:conditionalFormatting>
        <x14:conditionalFormatting xmlns:xm="http://schemas.microsoft.com/office/excel/2006/main">
          <x14:cfRule type="dataBar" id="{C82ACA0C-B6AE-4F9E-9317-D5108922FF79}">
            <x14:dataBar minLength="0" maxLength="100" border="1" gradient="0">
              <x14:cfvo type="num">
                <xm:f>0</xm:f>
              </x14:cfvo>
              <x14:cfvo type="num">
                <xm:f>1</xm:f>
              </x14:cfvo>
              <x14:borderColor theme="0"/>
              <x14:negativeFillColor rgb="FFFF0000"/>
              <x14:axisColor rgb="FF000000"/>
            </x14:dataBar>
          </x14:cfRule>
          <xm:sqref>I421</xm:sqref>
        </x14:conditionalFormatting>
        <x14:conditionalFormatting xmlns:xm="http://schemas.microsoft.com/office/excel/2006/main">
          <x14:cfRule type="dataBar" id="{2BAB2650-F8F0-4A33-B943-E2751C7A60EE}">
            <x14:dataBar minLength="0" maxLength="100" border="1" gradient="0">
              <x14:cfvo type="num">
                <xm:f>0</xm:f>
              </x14:cfvo>
              <x14:cfvo type="num">
                <xm:f>1</xm:f>
              </x14:cfvo>
              <x14:borderColor theme="0"/>
              <x14:negativeFillColor rgb="FFFF0000"/>
              <x14:axisColor rgb="FF000000"/>
            </x14:dataBar>
          </x14:cfRule>
          <xm:sqref>I423</xm:sqref>
        </x14:conditionalFormatting>
        <x14:conditionalFormatting xmlns:xm="http://schemas.microsoft.com/office/excel/2006/main">
          <x14:cfRule type="dataBar" id="{34AAAB87-124B-4CCC-9C76-EE8466C43570}">
            <x14:dataBar minLength="0" maxLength="100" border="1" gradient="0">
              <x14:cfvo type="num">
                <xm:f>0</xm:f>
              </x14:cfvo>
              <x14:cfvo type="num">
                <xm:f>1</xm:f>
              </x14:cfvo>
              <x14:borderColor theme="0"/>
              <x14:negativeFillColor rgb="FFFF0000"/>
              <x14:axisColor rgb="FF000000"/>
            </x14:dataBar>
          </x14:cfRule>
          <xm:sqref>I425</xm:sqref>
        </x14:conditionalFormatting>
        <x14:conditionalFormatting xmlns:xm="http://schemas.microsoft.com/office/excel/2006/main">
          <x14:cfRule type="dataBar" id="{F515DDBB-CE4D-42A8-A9B1-198F0F7083CD}">
            <x14:dataBar minLength="0" maxLength="100" border="1" gradient="0">
              <x14:cfvo type="num">
                <xm:f>0</xm:f>
              </x14:cfvo>
              <x14:cfvo type="num">
                <xm:f>1</xm:f>
              </x14:cfvo>
              <x14:borderColor theme="0"/>
              <x14:negativeFillColor rgb="FFFF0000"/>
              <x14:axisColor rgb="FF000000"/>
            </x14:dataBar>
          </x14:cfRule>
          <xm:sqref>I428</xm:sqref>
        </x14:conditionalFormatting>
        <x14:conditionalFormatting xmlns:xm="http://schemas.microsoft.com/office/excel/2006/main">
          <x14:cfRule type="dataBar" id="{27B38B09-0BEB-495C-8ED7-F2E4836F74F1}">
            <x14:dataBar minLength="0" maxLength="100" border="1" gradient="0">
              <x14:cfvo type="num">
                <xm:f>0</xm:f>
              </x14:cfvo>
              <x14:cfvo type="num">
                <xm:f>1</xm:f>
              </x14:cfvo>
              <x14:borderColor theme="0"/>
              <x14:negativeFillColor rgb="FFFF0000"/>
              <x14:axisColor rgb="FF000000"/>
            </x14:dataBar>
          </x14:cfRule>
          <xm:sqref>I430</xm:sqref>
        </x14:conditionalFormatting>
        <x14:conditionalFormatting xmlns:xm="http://schemas.microsoft.com/office/excel/2006/main">
          <x14:cfRule type="dataBar" id="{458A5276-8979-4F9C-BDB8-F8CB3285957F}">
            <x14:dataBar minLength="0" maxLength="100" border="1" gradient="0">
              <x14:cfvo type="num">
                <xm:f>0</xm:f>
              </x14:cfvo>
              <x14:cfvo type="num">
                <xm:f>1</xm:f>
              </x14:cfvo>
              <x14:borderColor theme="0"/>
              <x14:negativeFillColor rgb="FFFF0000"/>
              <x14:axisColor rgb="FF000000"/>
            </x14:dataBar>
          </x14:cfRule>
          <xm:sqref>I432</xm:sqref>
        </x14:conditionalFormatting>
        <x14:conditionalFormatting xmlns:xm="http://schemas.microsoft.com/office/excel/2006/main">
          <x14:cfRule type="dataBar" id="{69DFFE96-4D64-4EAA-B90F-C3A474815ABC}">
            <x14:dataBar minLength="0" maxLength="100" border="1" gradient="0">
              <x14:cfvo type="num">
                <xm:f>0</xm:f>
              </x14:cfvo>
              <x14:cfvo type="num">
                <xm:f>1</xm:f>
              </x14:cfvo>
              <x14:borderColor theme="0"/>
              <x14:negativeFillColor rgb="FFFF0000"/>
              <x14:axisColor rgb="FF000000"/>
            </x14:dataBar>
          </x14:cfRule>
          <xm:sqref>I434 I436 I438 I440</xm:sqref>
        </x14:conditionalFormatting>
        <x14:conditionalFormatting xmlns:xm="http://schemas.microsoft.com/office/excel/2006/main">
          <x14:cfRule type="dataBar" id="{B203CA5E-480C-4325-9C9D-0E18D731E5C6}">
            <x14:dataBar minLength="0" maxLength="100" border="1" gradient="0">
              <x14:cfvo type="num">
                <xm:f>0</xm:f>
              </x14:cfvo>
              <x14:cfvo type="num">
                <xm:f>1</xm:f>
              </x14:cfvo>
              <x14:borderColor theme="0"/>
              <x14:negativeFillColor rgb="FFFF0000"/>
              <x14:axisColor rgb="FF000000"/>
            </x14:dataBar>
          </x14:cfRule>
          <xm:sqref>I442</xm:sqref>
        </x14:conditionalFormatting>
        <x14:conditionalFormatting xmlns:xm="http://schemas.microsoft.com/office/excel/2006/main">
          <x14:cfRule type="dataBar" id="{FA1EEC95-88EC-4B5F-9751-0E65FF15BF72}">
            <x14:dataBar minLength="0" maxLength="100" border="1" gradient="0">
              <x14:cfvo type="num">
                <xm:f>0</xm:f>
              </x14:cfvo>
              <x14:cfvo type="num">
                <xm:f>1</xm:f>
              </x14:cfvo>
              <x14:borderColor theme="0"/>
              <x14:negativeFillColor rgb="FFFF0000"/>
              <x14:axisColor rgb="FF000000"/>
            </x14:dataBar>
          </x14:cfRule>
          <xm:sqref>I444 I448 I450 I452 I454 I456</xm:sqref>
        </x14:conditionalFormatting>
        <x14:conditionalFormatting xmlns:xm="http://schemas.microsoft.com/office/excel/2006/main">
          <x14:cfRule type="dataBar" id="{E630A848-2CEF-48DD-B9BD-50546CB6CA79}">
            <x14:dataBar minLength="0" maxLength="100" border="1" gradient="0">
              <x14:cfvo type="num">
                <xm:f>0</xm:f>
              </x14:cfvo>
              <x14:cfvo type="num">
                <xm:f>1</xm:f>
              </x14:cfvo>
              <x14:borderColor theme="0"/>
              <x14:negativeFillColor rgb="FFFF0000"/>
              <x14:axisColor rgb="FF000000"/>
            </x14:dataBar>
          </x14:cfRule>
          <xm:sqref>I446</xm:sqref>
        </x14:conditionalFormatting>
        <x14:conditionalFormatting xmlns:xm="http://schemas.microsoft.com/office/excel/2006/main">
          <x14:cfRule type="dataBar" id="{0F180875-3F90-4D65-A091-C900944CCDA2}">
            <x14:dataBar minLength="0" maxLength="100" border="1" gradient="0">
              <x14:cfvo type="num">
                <xm:f>0</xm:f>
              </x14:cfvo>
              <x14:cfvo type="num">
                <xm:f>1</xm:f>
              </x14:cfvo>
              <x14:borderColor theme="0"/>
              <x14:negativeFillColor rgb="FFFF0000"/>
              <x14:axisColor rgb="FF000000"/>
            </x14:dataBar>
          </x14:cfRule>
          <xm:sqref>I458</xm:sqref>
        </x14:conditionalFormatting>
        <x14:conditionalFormatting xmlns:xm="http://schemas.microsoft.com/office/excel/2006/main">
          <x14:cfRule type="dataBar" id="{1C63A732-942D-472D-A036-553AECB6D5D3}">
            <x14:dataBar minLength="0" maxLength="100" border="1" gradient="0">
              <x14:cfvo type="num">
                <xm:f>0</xm:f>
              </x14:cfvo>
              <x14:cfvo type="num">
                <xm:f>1</xm:f>
              </x14:cfvo>
              <x14:borderColor theme="0"/>
              <x14:negativeFillColor rgb="FFFF0000"/>
              <x14:axisColor rgb="FF000000"/>
            </x14:dataBar>
          </x14:cfRule>
          <xm:sqref>I460</xm:sqref>
        </x14:conditionalFormatting>
        <x14:conditionalFormatting xmlns:xm="http://schemas.microsoft.com/office/excel/2006/main">
          <x14:cfRule type="dataBar" id="{2C5BF03E-5B09-4FC5-8056-713477D896B1}">
            <x14:dataBar minLength="0" maxLength="100" border="1" gradient="0">
              <x14:cfvo type="num">
                <xm:f>0</xm:f>
              </x14:cfvo>
              <x14:cfvo type="num">
                <xm:f>1</xm:f>
              </x14:cfvo>
              <x14:borderColor theme="0"/>
              <x14:negativeFillColor rgb="FFFF0000"/>
              <x14:axisColor rgb="FF000000"/>
            </x14:dataBar>
          </x14:cfRule>
          <xm:sqref>I462</xm:sqref>
        </x14:conditionalFormatting>
        <x14:conditionalFormatting xmlns:xm="http://schemas.microsoft.com/office/excel/2006/main">
          <x14:cfRule type="dataBar" id="{B05554D0-4AB7-4889-8125-4E29A4660622}">
            <x14:dataBar minLength="0" maxLength="100" border="1" gradient="0">
              <x14:cfvo type="num">
                <xm:f>0</xm:f>
              </x14:cfvo>
              <x14:cfvo type="num">
                <xm:f>1</xm:f>
              </x14:cfvo>
              <x14:borderColor theme="0"/>
              <x14:negativeFillColor rgb="FFFF0000"/>
              <x14:axisColor rgb="FF000000"/>
            </x14:dataBar>
          </x14:cfRule>
          <xm:sqref>I464</xm:sqref>
        </x14:conditionalFormatting>
        <x14:conditionalFormatting xmlns:xm="http://schemas.microsoft.com/office/excel/2006/main">
          <x14:cfRule type="dataBar" id="{BABA8EE2-84B9-447A-99D5-DCACCCEDB0E2}">
            <x14:dataBar minLength="0" maxLength="100" border="1" gradient="0">
              <x14:cfvo type="num">
                <xm:f>0</xm:f>
              </x14:cfvo>
              <x14:cfvo type="num">
                <xm:f>1</xm:f>
              </x14:cfvo>
              <x14:borderColor theme="0"/>
              <x14:negativeFillColor rgb="FFFF0000"/>
              <x14:axisColor rgb="FF000000"/>
            </x14:dataBar>
          </x14:cfRule>
          <xm:sqref>I466</xm:sqref>
        </x14:conditionalFormatting>
        <x14:conditionalFormatting xmlns:xm="http://schemas.microsoft.com/office/excel/2006/main">
          <x14:cfRule type="dataBar" id="{C1E86DEC-B55A-41DB-AB6D-06DED9D5032F}">
            <x14:dataBar minLength="0" maxLength="100" border="1" gradient="0">
              <x14:cfvo type="num">
                <xm:f>0</xm:f>
              </x14:cfvo>
              <x14:cfvo type="num">
                <xm:f>1</xm:f>
              </x14:cfvo>
              <x14:borderColor theme="0"/>
              <x14:negativeFillColor rgb="FFFF0000"/>
              <x14:axisColor rgb="FF000000"/>
            </x14:dataBar>
          </x14:cfRule>
          <xm:sqref>I468</xm:sqref>
        </x14:conditionalFormatting>
        <x14:conditionalFormatting xmlns:xm="http://schemas.microsoft.com/office/excel/2006/main">
          <x14:cfRule type="dataBar" id="{D6FEBF3A-8452-4B11-A8CB-C5671BBB2133}">
            <x14:dataBar minLength="0" maxLength="100" border="1" gradient="0">
              <x14:cfvo type="num">
                <xm:f>0</xm:f>
              </x14:cfvo>
              <x14:cfvo type="num">
                <xm:f>1</xm:f>
              </x14:cfvo>
              <x14:borderColor theme="0"/>
              <x14:negativeFillColor rgb="FFFF0000"/>
              <x14:axisColor rgb="FF000000"/>
            </x14:dataBar>
          </x14:cfRule>
          <xm:sqref>I470</xm:sqref>
        </x14:conditionalFormatting>
        <x14:conditionalFormatting xmlns:xm="http://schemas.microsoft.com/office/excel/2006/main">
          <x14:cfRule type="dataBar" id="{1D253056-43FB-4E5F-8383-ACD909CC9D3E}">
            <x14:dataBar minLength="0" maxLength="100" border="1" gradient="0">
              <x14:cfvo type="num">
                <xm:f>0</xm:f>
              </x14:cfvo>
              <x14:cfvo type="num">
                <xm:f>1</xm:f>
              </x14:cfvo>
              <x14:borderColor theme="0"/>
              <x14:negativeFillColor rgb="FFFF0000"/>
              <x14:axisColor rgb="FF000000"/>
            </x14:dataBar>
          </x14:cfRule>
          <xm:sqref>I472</xm:sqref>
        </x14:conditionalFormatting>
        <x14:conditionalFormatting xmlns:xm="http://schemas.microsoft.com/office/excel/2006/main">
          <x14:cfRule type="dataBar" id="{7558D747-D7AA-4A5D-9B6F-5B14D81A3207}">
            <x14:dataBar minLength="0" maxLength="100" border="1" gradient="0">
              <x14:cfvo type="num">
                <xm:f>0</xm:f>
              </x14:cfvo>
              <x14:cfvo type="num">
                <xm:f>1</xm:f>
              </x14:cfvo>
              <x14:borderColor theme="0"/>
              <x14:negativeFillColor rgb="FFFF0000"/>
              <x14:axisColor rgb="FF000000"/>
            </x14:dataBar>
          </x14:cfRule>
          <xm:sqref>I474</xm:sqref>
        </x14:conditionalFormatting>
        <x14:conditionalFormatting xmlns:xm="http://schemas.microsoft.com/office/excel/2006/main">
          <x14:cfRule type="dataBar" id="{CD1F879B-9BC2-4DA6-9A4C-4C5673B42471}">
            <x14:dataBar minLength="0" maxLength="100" border="1" gradient="0">
              <x14:cfvo type="num">
                <xm:f>0</xm:f>
              </x14:cfvo>
              <x14:cfvo type="num">
                <xm:f>1</xm:f>
              </x14:cfvo>
              <x14:borderColor theme="0"/>
              <x14:negativeFillColor rgb="FFFF0000"/>
              <x14:axisColor rgb="FF000000"/>
            </x14:dataBar>
          </x14:cfRule>
          <xm:sqref>I476</xm:sqref>
        </x14:conditionalFormatting>
        <x14:conditionalFormatting xmlns:xm="http://schemas.microsoft.com/office/excel/2006/main">
          <x14:cfRule type="dataBar" id="{A0C6148F-E255-4DDE-B87F-A36FAFDC0AD1}">
            <x14:dataBar minLength="0" maxLength="100" border="1" gradient="0">
              <x14:cfvo type="num">
                <xm:f>0</xm:f>
              </x14:cfvo>
              <x14:cfvo type="num">
                <xm:f>1</xm:f>
              </x14:cfvo>
              <x14:borderColor theme="0"/>
              <x14:negativeFillColor rgb="FFFF0000"/>
              <x14:axisColor rgb="FF000000"/>
            </x14:dataBar>
          </x14:cfRule>
          <xm:sqref>I478</xm:sqref>
        </x14:conditionalFormatting>
        <x14:conditionalFormatting xmlns:xm="http://schemas.microsoft.com/office/excel/2006/main">
          <x14:cfRule type="dataBar" id="{BE8B2C96-4F54-4523-878D-F26A42041663}">
            <x14:dataBar minLength="0" maxLength="100" border="1" gradient="0">
              <x14:cfvo type="num">
                <xm:f>0</xm:f>
              </x14:cfvo>
              <x14:cfvo type="num">
                <xm:f>1</xm:f>
              </x14:cfvo>
              <x14:borderColor theme="0"/>
              <x14:negativeFillColor rgb="FFFF0000"/>
              <x14:axisColor rgb="FF000000"/>
            </x14:dataBar>
          </x14:cfRule>
          <xm:sqref>I480</xm:sqref>
        </x14:conditionalFormatting>
        <x14:conditionalFormatting xmlns:xm="http://schemas.microsoft.com/office/excel/2006/main">
          <x14:cfRule type="dataBar" id="{499DC622-92EA-4B5C-AB18-AC0FD514E287}">
            <x14:dataBar minLength="0" maxLength="100" border="1" gradient="0">
              <x14:cfvo type="num">
                <xm:f>0</xm:f>
              </x14:cfvo>
              <x14:cfvo type="num">
                <xm:f>1</xm:f>
              </x14:cfvo>
              <x14:borderColor theme="0"/>
              <x14:negativeFillColor rgb="FFFF0000"/>
              <x14:axisColor rgb="FF000000"/>
            </x14:dataBar>
          </x14:cfRule>
          <xm:sqref>I482</xm:sqref>
        </x14:conditionalFormatting>
        <x14:conditionalFormatting xmlns:xm="http://schemas.microsoft.com/office/excel/2006/main">
          <x14:cfRule type="dataBar" id="{51415396-B3EB-4A24-A6E7-DA67EC319CC6}">
            <x14:dataBar minLength="0" maxLength="100" border="1" gradient="0">
              <x14:cfvo type="num">
                <xm:f>0</xm:f>
              </x14:cfvo>
              <x14:cfvo type="num">
                <xm:f>1</xm:f>
              </x14:cfvo>
              <x14:borderColor theme="0"/>
              <x14:negativeFillColor rgb="FFFF0000"/>
              <x14:axisColor rgb="FF000000"/>
            </x14:dataBar>
          </x14:cfRule>
          <xm:sqref>I484</xm:sqref>
        </x14:conditionalFormatting>
        <x14:conditionalFormatting xmlns:xm="http://schemas.microsoft.com/office/excel/2006/main">
          <x14:cfRule type="dataBar" id="{B516E99E-B284-4F0D-83B0-E010B9C5E5DA}">
            <x14:dataBar minLength="0" maxLength="100" border="1" gradient="0">
              <x14:cfvo type="num">
                <xm:f>0</xm:f>
              </x14:cfvo>
              <x14:cfvo type="num">
                <xm:f>1</xm:f>
              </x14:cfvo>
              <x14:borderColor theme="0"/>
              <x14:negativeFillColor rgb="FFFF0000"/>
              <x14:axisColor rgb="FF000000"/>
            </x14:dataBar>
          </x14:cfRule>
          <xm:sqref>I486</xm:sqref>
        </x14:conditionalFormatting>
        <x14:conditionalFormatting xmlns:xm="http://schemas.microsoft.com/office/excel/2006/main">
          <x14:cfRule type="dataBar" id="{2C15D2B3-DC4E-470E-AFFC-CFC76ED71D3C}">
            <x14:dataBar minLength="0" maxLength="100" border="1" gradient="0">
              <x14:cfvo type="num">
                <xm:f>0</xm:f>
              </x14:cfvo>
              <x14:cfvo type="num">
                <xm:f>1</xm:f>
              </x14:cfvo>
              <x14:borderColor theme="0"/>
              <x14:negativeFillColor rgb="FFFF0000"/>
              <x14:axisColor rgb="FF000000"/>
            </x14:dataBar>
          </x14:cfRule>
          <xm:sqref>I488</xm:sqref>
        </x14:conditionalFormatting>
        <x14:conditionalFormatting xmlns:xm="http://schemas.microsoft.com/office/excel/2006/main">
          <x14:cfRule type="dataBar" id="{29D3CAD8-8E58-4B27-BB6A-ADDA3DEC862C}">
            <x14:dataBar minLength="0" maxLength="100" border="1" gradient="0">
              <x14:cfvo type="num">
                <xm:f>0</xm:f>
              </x14:cfvo>
              <x14:cfvo type="num">
                <xm:f>1</xm:f>
              </x14:cfvo>
              <x14:borderColor theme="0"/>
              <x14:negativeFillColor rgb="FFFF0000"/>
              <x14:axisColor rgb="FF000000"/>
            </x14:dataBar>
          </x14:cfRule>
          <xm:sqref>I490 I492 I494 I496 I498 I500</xm:sqref>
        </x14:conditionalFormatting>
        <x14:conditionalFormatting xmlns:xm="http://schemas.microsoft.com/office/excel/2006/main">
          <x14:cfRule type="dataBar" id="{FE8F5C7C-89DC-4159-968C-D1DB80C2B8FE}">
            <x14:dataBar minLength="0" maxLength="100" border="1" gradient="0">
              <x14:cfvo type="num">
                <xm:f>0</xm:f>
              </x14:cfvo>
              <x14:cfvo type="num">
                <xm:f>1</xm:f>
              </x14:cfvo>
              <x14:borderColor theme="0"/>
              <x14:negativeFillColor rgb="FFFF0000"/>
              <x14:axisColor rgb="FF000000"/>
            </x14:dataBar>
          </x14:cfRule>
          <xm:sqref>I502</xm:sqref>
        </x14:conditionalFormatting>
        <x14:conditionalFormatting xmlns:xm="http://schemas.microsoft.com/office/excel/2006/main">
          <x14:cfRule type="dataBar" id="{B98A79A2-4704-4818-9B88-590FF4BD1B2B}">
            <x14:dataBar minLength="0" maxLength="100" border="1" gradient="0">
              <x14:cfvo type="num">
                <xm:f>0</xm:f>
              </x14:cfvo>
              <x14:cfvo type="num">
                <xm:f>1</xm:f>
              </x14:cfvo>
              <x14:borderColor theme="0"/>
              <x14:negativeFillColor rgb="FFFF0000"/>
              <x14:axisColor rgb="FF000000"/>
            </x14:dataBar>
          </x14:cfRule>
          <xm:sqref>I504 I506 I508 I512 I520 I528</xm:sqref>
        </x14:conditionalFormatting>
        <x14:conditionalFormatting xmlns:xm="http://schemas.microsoft.com/office/excel/2006/main">
          <x14:cfRule type="dataBar" id="{579239FF-920F-4F0F-AA56-B2D9625D22D1}">
            <x14:dataBar minLength="0" maxLength="100" border="1" gradient="0">
              <x14:cfvo type="num">
                <xm:f>0</xm:f>
              </x14:cfvo>
              <x14:cfvo type="num">
                <xm:f>1</xm:f>
              </x14:cfvo>
              <x14:borderColor theme="0"/>
              <x14:negativeFillColor rgb="FFFF0000"/>
              <x14:axisColor rgb="FF000000"/>
            </x14:dataBar>
          </x14:cfRule>
          <xm:sqref>I510</xm:sqref>
        </x14:conditionalFormatting>
        <x14:conditionalFormatting xmlns:xm="http://schemas.microsoft.com/office/excel/2006/main">
          <x14:cfRule type="dataBar" id="{3A2AA774-2B7E-4F2F-9D39-1B0D40016AEB}">
            <x14:dataBar minLength="0" maxLength="100" border="1" gradient="0">
              <x14:cfvo type="num">
                <xm:f>0</xm:f>
              </x14:cfvo>
              <x14:cfvo type="num">
                <xm:f>1</xm:f>
              </x14:cfvo>
              <x14:borderColor theme="0"/>
              <x14:negativeFillColor rgb="FFFF0000"/>
              <x14:axisColor rgb="FF000000"/>
            </x14:dataBar>
          </x14:cfRule>
          <xm:sqref>I514</xm:sqref>
        </x14:conditionalFormatting>
        <x14:conditionalFormatting xmlns:xm="http://schemas.microsoft.com/office/excel/2006/main">
          <x14:cfRule type="dataBar" id="{563959E4-1460-4AAA-B87F-8DDBAEFED584}">
            <x14:dataBar minLength="0" maxLength="100" border="1" gradient="0">
              <x14:cfvo type="num">
                <xm:f>0</xm:f>
              </x14:cfvo>
              <x14:cfvo type="num">
                <xm:f>1</xm:f>
              </x14:cfvo>
              <x14:borderColor theme="0"/>
              <x14:negativeFillColor rgb="FFFF0000"/>
              <x14:axisColor rgb="FF000000"/>
            </x14:dataBar>
          </x14:cfRule>
          <xm:sqref>I516</xm:sqref>
        </x14:conditionalFormatting>
        <x14:conditionalFormatting xmlns:xm="http://schemas.microsoft.com/office/excel/2006/main">
          <x14:cfRule type="dataBar" id="{0C13B72C-5449-4E21-9C1E-E42483F2BC58}">
            <x14:dataBar minLength="0" maxLength="100" border="1" gradient="0">
              <x14:cfvo type="num">
                <xm:f>0</xm:f>
              </x14:cfvo>
              <x14:cfvo type="num">
                <xm:f>1</xm:f>
              </x14:cfvo>
              <x14:borderColor theme="0"/>
              <x14:negativeFillColor rgb="FFFF0000"/>
              <x14:axisColor rgb="FF000000"/>
            </x14:dataBar>
          </x14:cfRule>
          <xm:sqref>I518</xm:sqref>
        </x14:conditionalFormatting>
        <x14:conditionalFormatting xmlns:xm="http://schemas.microsoft.com/office/excel/2006/main">
          <x14:cfRule type="dataBar" id="{47A40D61-C28C-46B8-AFEC-A217083A5B4C}">
            <x14:dataBar minLength="0" maxLength="100" border="1" gradient="0">
              <x14:cfvo type="num">
                <xm:f>0</xm:f>
              </x14:cfvo>
              <x14:cfvo type="num">
                <xm:f>1</xm:f>
              </x14:cfvo>
              <x14:borderColor theme="0"/>
              <x14:negativeFillColor rgb="FFFF0000"/>
              <x14:axisColor rgb="FF000000"/>
            </x14:dataBar>
          </x14:cfRule>
          <xm:sqref>I522</xm:sqref>
        </x14:conditionalFormatting>
        <x14:conditionalFormatting xmlns:xm="http://schemas.microsoft.com/office/excel/2006/main">
          <x14:cfRule type="dataBar" id="{3BBB1416-218E-4E14-932E-9279FF41E955}">
            <x14:dataBar minLength="0" maxLength="100" border="1" gradient="0">
              <x14:cfvo type="num">
                <xm:f>0</xm:f>
              </x14:cfvo>
              <x14:cfvo type="num">
                <xm:f>1</xm:f>
              </x14:cfvo>
              <x14:borderColor theme="0"/>
              <x14:negativeFillColor rgb="FFFF0000"/>
              <x14:axisColor rgb="FF000000"/>
            </x14:dataBar>
          </x14:cfRule>
          <xm:sqref>I524</xm:sqref>
        </x14:conditionalFormatting>
        <x14:conditionalFormatting xmlns:xm="http://schemas.microsoft.com/office/excel/2006/main">
          <x14:cfRule type="dataBar" id="{6343D1AF-3237-4090-9B14-0348DD1F83DD}">
            <x14:dataBar minLength="0" maxLength="100" border="1" gradient="0">
              <x14:cfvo type="num">
                <xm:f>0</xm:f>
              </x14:cfvo>
              <x14:cfvo type="num">
                <xm:f>1</xm:f>
              </x14:cfvo>
              <x14:borderColor theme="0"/>
              <x14:negativeFillColor rgb="FFFF0000"/>
              <x14:axisColor rgb="FF000000"/>
            </x14:dataBar>
          </x14:cfRule>
          <xm:sqref>I526</xm:sqref>
        </x14:conditionalFormatting>
        <x14:conditionalFormatting xmlns:xm="http://schemas.microsoft.com/office/excel/2006/main">
          <x14:cfRule type="dataBar" id="{0B4B1656-25BF-401E-87C7-867BDA58AA02}">
            <x14:dataBar minLength="0" maxLength="100" border="1" gradient="0">
              <x14:cfvo type="num">
                <xm:f>0</xm:f>
              </x14:cfvo>
              <x14:cfvo type="num">
                <xm:f>1</xm:f>
              </x14:cfvo>
              <x14:borderColor theme="0"/>
              <x14:negativeFillColor rgb="FFFF0000"/>
              <x14:axisColor rgb="FF000000"/>
            </x14:dataBar>
          </x14:cfRule>
          <xm:sqref>I530</xm:sqref>
        </x14:conditionalFormatting>
        <x14:conditionalFormatting xmlns:xm="http://schemas.microsoft.com/office/excel/2006/main">
          <x14:cfRule type="dataBar" id="{D3FB8C9C-CBF3-4999-BD97-35AE021C973A}">
            <x14:dataBar minLength="0" maxLength="100" border="1" gradient="0">
              <x14:cfvo type="num">
                <xm:f>0</xm:f>
              </x14:cfvo>
              <x14:cfvo type="num">
                <xm:f>1</xm:f>
              </x14:cfvo>
              <x14:borderColor theme="0"/>
              <x14:negativeFillColor rgb="FFFF0000"/>
              <x14:axisColor rgb="FF000000"/>
            </x14:dataBar>
          </x14:cfRule>
          <xm:sqref>I532 I536 I538 I544 I556 I562</xm:sqref>
        </x14:conditionalFormatting>
        <x14:conditionalFormatting xmlns:xm="http://schemas.microsoft.com/office/excel/2006/main">
          <x14:cfRule type="dataBar" id="{B62DE9FC-0B7E-4151-990B-6EB610AE8BD5}">
            <x14:dataBar minLength="0" maxLength="100" border="1" gradient="0">
              <x14:cfvo type="num">
                <xm:f>0</xm:f>
              </x14:cfvo>
              <x14:cfvo type="num">
                <xm:f>1</xm:f>
              </x14:cfvo>
              <x14:borderColor theme="0"/>
              <x14:negativeFillColor rgb="FFFF0000"/>
              <x14:axisColor rgb="FF000000"/>
            </x14:dataBar>
          </x14:cfRule>
          <xm:sqref>I534</xm:sqref>
        </x14:conditionalFormatting>
        <x14:conditionalFormatting xmlns:xm="http://schemas.microsoft.com/office/excel/2006/main">
          <x14:cfRule type="dataBar" id="{BC3FCD53-5529-479C-A11F-F1D7D31E36BC}">
            <x14:dataBar minLength="0" maxLength="100" border="1" gradient="0">
              <x14:cfvo type="num">
                <xm:f>0</xm:f>
              </x14:cfvo>
              <x14:cfvo type="num">
                <xm:f>1</xm:f>
              </x14:cfvo>
              <x14:borderColor theme="0"/>
              <x14:negativeFillColor rgb="FFFF0000"/>
              <x14:axisColor rgb="FF000000"/>
            </x14:dataBar>
          </x14:cfRule>
          <xm:sqref>I540</xm:sqref>
        </x14:conditionalFormatting>
        <x14:conditionalFormatting xmlns:xm="http://schemas.microsoft.com/office/excel/2006/main">
          <x14:cfRule type="dataBar" id="{3A930A38-E5D0-4B0A-BB53-B969A8D5EE80}">
            <x14:dataBar minLength="0" maxLength="100" border="1" gradient="0">
              <x14:cfvo type="num">
                <xm:f>0</xm:f>
              </x14:cfvo>
              <x14:cfvo type="num">
                <xm:f>1</xm:f>
              </x14:cfvo>
              <x14:borderColor theme="0"/>
              <x14:negativeFillColor rgb="FFFF0000"/>
              <x14:axisColor rgb="FF000000"/>
            </x14:dataBar>
          </x14:cfRule>
          <xm:sqref>I542</xm:sqref>
        </x14:conditionalFormatting>
        <x14:conditionalFormatting xmlns:xm="http://schemas.microsoft.com/office/excel/2006/main">
          <x14:cfRule type="dataBar" id="{D1E69AD9-99C3-41DF-AC4F-D4B1DFD21059}">
            <x14:dataBar minLength="0" maxLength="100" border="1" gradient="0">
              <x14:cfvo type="num">
                <xm:f>0</xm:f>
              </x14:cfvo>
              <x14:cfvo type="num">
                <xm:f>1</xm:f>
              </x14:cfvo>
              <x14:borderColor theme="0"/>
              <x14:negativeFillColor rgb="FFFF0000"/>
              <x14:axisColor rgb="FF000000"/>
            </x14:dataBar>
          </x14:cfRule>
          <xm:sqref>I546</xm:sqref>
        </x14:conditionalFormatting>
        <x14:conditionalFormatting xmlns:xm="http://schemas.microsoft.com/office/excel/2006/main">
          <x14:cfRule type="dataBar" id="{00536A01-4BD6-4038-9A6B-68846302F9E8}">
            <x14:dataBar minLength="0" maxLength="100" border="1" gradient="0">
              <x14:cfvo type="num">
                <xm:f>0</xm:f>
              </x14:cfvo>
              <x14:cfvo type="num">
                <xm:f>1</xm:f>
              </x14:cfvo>
              <x14:borderColor theme="0"/>
              <x14:negativeFillColor rgb="FFFF0000"/>
              <x14:axisColor rgb="FF000000"/>
            </x14:dataBar>
          </x14:cfRule>
          <xm:sqref>I548</xm:sqref>
        </x14:conditionalFormatting>
        <x14:conditionalFormatting xmlns:xm="http://schemas.microsoft.com/office/excel/2006/main">
          <x14:cfRule type="dataBar" id="{80244BAD-FA32-44F4-9392-FC26EA09CA78}">
            <x14:dataBar minLength="0" maxLength="100" border="1" gradient="0">
              <x14:cfvo type="num">
                <xm:f>0</xm:f>
              </x14:cfvo>
              <x14:cfvo type="num">
                <xm:f>1</xm:f>
              </x14:cfvo>
              <x14:borderColor theme="0"/>
              <x14:negativeFillColor rgb="FFFF0000"/>
              <x14:axisColor rgb="FF000000"/>
            </x14:dataBar>
          </x14:cfRule>
          <xm:sqref>I550</xm:sqref>
        </x14:conditionalFormatting>
        <x14:conditionalFormatting xmlns:xm="http://schemas.microsoft.com/office/excel/2006/main">
          <x14:cfRule type="dataBar" id="{763541BB-D316-4477-899F-CC5BE9813494}">
            <x14:dataBar minLength="0" maxLength="100" border="1" gradient="0">
              <x14:cfvo type="num">
                <xm:f>0</xm:f>
              </x14:cfvo>
              <x14:cfvo type="num">
                <xm:f>1</xm:f>
              </x14:cfvo>
              <x14:borderColor theme="0"/>
              <x14:negativeFillColor rgb="FFFF0000"/>
              <x14:axisColor rgb="FF000000"/>
            </x14:dataBar>
          </x14:cfRule>
          <xm:sqref>I552</xm:sqref>
        </x14:conditionalFormatting>
        <x14:conditionalFormatting xmlns:xm="http://schemas.microsoft.com/office/excel/2006/main">
          <x14:cfRule type="dataBar" id="{56B4E740-EC3A-4DF7-B5BD-BF7BA369D885}">
            <x14:dataBar minLength="0" maxLength="100" border="1" gradient="0">
              <x14:cfvo type="num">
                <xm:f>0</xm:f>
              </x14:cfvo>
              <x14:cfvo type="num">
                <xm:f>1</xm:f>
              </x14:cfvo>
              <x14:borderColor theme="0"/>
              <x14:negativeFillColor rgb="FFFF0000"/>
              <x14:axisColor rgb="FF000000"/>
            </x14:dataBar>
          </x14:cfRule>
          <xm:sqref>I554</xm:sqref>
        </x14:conditionalFormatting>
        <x14:conditionalFormatting xmlns:xm="http://schemas.microsoft.com/office/excel/2006/main">
          <x14:cfRule type="dataBar" id="{93F93A14-6240-4124-BADE-F8F58E2E7C61}">
            <x14:dataBar minLength="0" maxLength="100" border="1" gradient="0">
              <x14:cfvo type="num">
                <xm:f>0</xm:f>
              </x14:cfvo>
              <x14:cfvo type="num">
                <xm:f>1</xm:f>
              </x14:cfvo>
              <x14:borderColor theme="0"/>
              <x14:negativeFillColor rgb="FFFF0000"/>
              <x14:axisColor rgb="FF000000"/>
            </x14:dataBar>
          </x14:cfRule>
          <xm:sqref>I558</xm:sqref>
        </x14:conditionalFormatting>
        <x14:conditionalFormatting xmlns:xm="http://schemas.microsoft.com/office/excel/2006/main">
          <x14:cfRule type="dataBar" id="{692E4A76-8007-4765-B205-7C5CDFDAC75F}">
            <x14:dataBar minLength="0" maxLength="100" border="1" gradient="0">
              <x14:cfvo type="num">
                <xm:f>0</xm:f>
              </x14:cfvo>
              <x14:cfvo type="num">
                <xm:f>1</xm:f>
              </x14:cfvo>
              <x14:borderColor theme="0"/>
              <x14:negativeFillColor rgb="FFFF0000"/>
              <x14:axisColor rgb="FF000000"/>
            </x14:dataBar>
          </x14:cfRule>
          <xm:sqref>I560</xm:sqref>
        </x14:conditionalFormatting>
        <x14:conditionalFormatting xmlns:xm="http://schemas.microsoft.com/office/excel/2006/main">
          <x14:cfRule type="dataBar" id="{BAD5C8C6-5079-47A0-A019-8B2744460D49}">
            <x14:dataBar minLength="0" maxLength="100" border="1" gradient="0">
              <x14:cfvo type="num">
                <xm:f>0</xm:f>
              </x14:cfvo>
              <x14:cfvo type="num">
                <xm:f>1</xm:f>
              </x14:cfvo>
              <x14:borderColor theme="0"/>
              <x14:negativeFillColor rgb="FFFF0000"/>
              <x14:axisColor rgb="FF000000"/>
            </x14:dataBar>
          </x14:cfRule>
          <xm:sqref>I566 I564 I568 I570 I572 I574</xm:sqref>
        </x14:conditionalFormatting>
        <x14:conditionalFormatting xmlns:xm="http://schemas.microsoft.com/office/excel/2006/main">
          <x14:cfRule type="dataBar" id="{35766CDD-7100-4E03-BD96-A25D7AAD3018}">
            <x14:dataBar minLength="0" maxLength="100" border="1" gradient="0">
              <x14:cfvo type="num">
                <xm:f>0</xm:f>
              </x14:cfvo>
              <x14:cfvo type="num">
                <xm:f>1</xm:f>
              </x14:cfvo>
              <x14:borderColor theme="0"/>
              <x14:negativeFillColor rgb="FFFF0000"/>
              <x14:axisColor rgb="FF000000"/>
            </x14:dataBar>
          </x14:cfRule>
          <xm:sqref>I576</xm:sqref>
        </x14:conditionalFormatting>
        <x14:conditionalFormatting xmlns:xm="http://schemas.microsoft.com/office/excel/2006/main">
          <x14:cfRule type="dataBar" id="{3B654AED-B031-4F8E-9AAD-2CB31DBC6F88}">
            <x14:dataBar minLength="0" maxLength="100" border="1" gradient="0">
              <x14:cfvo type="num">
                <xm:f>0</xm:f>
              </x14:cfvo>
              <x14:cfvo type="num">
                <xm:f>1</xm:f>
              </x14:cfvo>
              <x14:borderColor theme="0"/>
              <x14:negativeFillColor rgb="FFFF0000"/>
              <x14:axisColor rgb="FF000000"/>
            </x14:dataBar>
          </x14:cfRule>
          <xm:sqref>I578</xm:sqref>
        </x14:conditionalFormatting>
        <x14:conditionalFormatting xmlns:xm="http://schemas.microsoft.com/office/excel/2006/main">
          <x14:cfRule type="dataBar" id="{FE30D67A-0080-485D-A5EE-16B48278F988}">
            <x14:dataBar minLength="0" maxLength="100" border="1" gradient="0">
              <x14:cfvo type="num">
                <xm:f>0</xm:f>
              </x14:cfvo>
              <x14:cfvo type="num">
                <xm:f>1</xm:f>
              </x14:cfvo>
              <x14:borderColor theme="0"/>
              <x14:negativeFillColor rgb="FFFF0000"/>
              <x14:axisColor rgb="FF000000"/>
            </x14:dataBar>
          </x14:cfRule>
          <xm:sqref>I580</xm:sqref>
        </x14:conditionalFormatting>
        <x14:conditionalFormatting xmlns:xm="http://schemas.microsoft.com/office/excel/2006/main">
          <x14:cfRule type="dataBar" id="{334B73B0-C1FF-4D69-9EB1-82D5B233E507}">
            <x14:dataBar minLength="0" maxLength="100" border="1" gradient="0">
              <x14:cfvo type="num">
                <xm:f>0</xm:f>
              </x14:cfvo>
              <x14:cfvo type="num">
                <xm:f>1</xm:f>
              </x14:cfvo>
              <x14:borderColor theme="0"/>
              <x14:negativeFillColor rgb="FFFF0000"/>
              <x14:axisColor rgb="FF000000"/>
            </x14:dataBar>
          </x14:cfRule>
          <xm:sqref>I582</xm:sqref>
        </x14:conditionalFormatting>
        <x14:conditionalFormatting xmlns:xm="http://schemas.microsoft.com/office/excel/2006/main">
          <x14:cfRule type="dataBar" id="{E24309C1-749F-473B-AD43-BA32709CDF30}">
            <x14:dataBar minLength="0" maxLength="100" border="1" gradient="0">
              <x14:cfvo type="num">
                <xm:f>0</xm:f>
              </x14:cfvo>
              <x14:cfvo type="num">
                <xm:f>1</xm:f>
              </x14:cfvo>
              <x14:borderColor theme="0"/>
              <x14:negativeFillColor rgb="FFFF0000"/>
              <x14:axisColor rgb="FF000000"/>
            </x14:dataBar>
          </x14:cfRule>
          <xm:sqref>I584</xm:sqref>
        </x14:conditionalFormatting>
        <x14:conditionalFormatting xmlns:xm="http://schemas.microsoft.com/office/excel/2006/main">
          <x14:cfRule type="dataBar" id="{6DB5D141-5E21-408A-858D-474ACC850CFE}">
            <x14:dataBar minLength="0" maxLength="100" border="1" gradient="0">
              <x14:cfvo type="num">
                <xm:f>0</xm:f>
              </x14:cfvo>
              <x14:cfvo type="num">
                <xm:f>1</xm:f>
              </x14:cfvo>
              <x14:borderColor theme="0"/>
              <x14:negativeFillColor rgb="FFFF0000"/>
              <x14:axisColor rgb="FF000000"/>
            </x14:dataBar>
          </x14:cfRule>
          <xm:sqref>I586</xm:sqref>
        </x14:conditionalFormatting>
        <x14:conditionalFormatting xmlns:xm="http://schemas.microsoft.com/office/excel/2006/main">
          <x14:cfRule type="dataBar" id="{3F7DA1EC-8AC5-4E6E-928D-9D364BD3D457}">
            <x14:dataBar minLength="0" maxLength="100" border="1" gradient="0">
              <x14:cfvo type="num">
                <xm:f>0</xm:f>
              </x14:cfvo>
              <x14:cfvo type="num">
                <xm:f>1</xm:f>
              </x14:cfvo>
              <x14:borderColor theme="0"/>
              <x14:negativeFillColor rgb="FFFF0000"/>
              <x14:axisColor rgb="FF000000"/>
            </x14:dataBar>
          </x14:cfRule>
          <xm:sqref>I588</xm:sqref>
        </x14:conditionalFormatting>
        <x14:conditionalFormatting xmlns:xm="http://schemas.microsoft.com/office/excel/2006/main">
          <x14:cfRule type="dataBar" id="{57DAD4E0-D750-4F60-AAE8-36A1BB95C90A}">
            <x14:dataBar minLength="0" maxLength="100" border="1" gradient="0">
              <x14:cfvo type="num">
                <xm:f>0</xm:f>
              </x14:cfvo>
              <x14:cfvo type="num">
                <xm:f>1</xm:f>
              </x14:cfvo>
              <x14:borderColor theme="0"/>
              <x14:negativeFillColor rgb="FFFF0000"/>
              <x14:axisColor rgb="FF000000"/>
            </x14:dataBar>
          </x14:cfRule>
          <xm:sqref>I591</xm:sqref>
        </x14:conditionalFormatting>
        <x14:conditionalFormatting xmlns:xm="http://schemas.microsoft.com/office/excel/2006/main">
          <x14:cfRule type="dataBar" id="{C41B2A47-B9D1-4C78-AF45-99DF48AA8DCD}">
            <x14:dataBar minLength="0" maxLength="100" border="1" gradient="0">
              <x14:cfvo type="num">
                <xm:f>0</xm:f>
              </x14:cfvo>
              <x14:cfvo type="num">
                <xm:f>1</xm:f>
              </x14:cfvo>
              <x14:borderColor theme="0"/>
              <x14:negativeFillColor rgb="FFFF0000"/>
              <x14:axisColor rgb="FF000000"/>
            </x14:dataBar>
          </x14:cfRule>
          <xm:sqref>I593</xm:sqref>
        </x14:conditionalFormatting>
        <x14:conditionalFormatting xmlns:xm="http://schemas.microsoft.com/office/excel/2006/main">
          <x14:cfRule type="dataBar" id="{C4DD5100-5F89-4875-AEB4-25C9E2352141}">
            <x14:dataBar minLength="0" maxLength="100" border="1" gradient="0">
              <x14:cfvo type="num">
                <xm:f>0</xm:f>
              </x14:cfvo>
              <x14:cfvo type="num">
                <xm:f>1</xm:f>
              </x14:cfvo>
              <x14:borderColor theme="0"/>
              <x14:negativeFillColor rgb="FFFF0000"/>
              <x14:axisColor rgb="FF000000"/>
            </x14:dataBar>
          </x14:cfRule>
          <xm:sqref>I595</xm:sqref>
        </x14:conditionalFormatting>
        <x14:conditionalFormatting xmlns:xm="http://schemas.microsoft.com/office/excel/2006/main">
          <x14:cfRule type="dataBar" id="{050A8F65-5FB8-4DF1-BF96-922CD8B12E23}">
            <x14:dataBar minLength="0" maxLength="100" border="1" gradient="0">
              <x14:cfvo type="num">
                <xm:f>0</xm:f>
              </x14:cfvo>
              <x14:cfvo type="num">
                <xm:f>1</xm:f>
              </x14:cfvo>
              <x14:borderColor theme="0"/>
              <x14:negativeFillColor rgb="FFFF0000"/>
              <x14:axisColor rgb="FF000000"/>
            </x14:dataBar>
          </x14:cfRule>
          <xm:sqref>I597 I601 I603 I613</xm:sqref>
        </x14:conditionalFormatting>
        <x14:conditionalFormatting xmlns:xm="http://schemas.microsoft.com/office/excel/2006/main">
          <x14:cfRule type="dataBar" id="{E368C5E1-B97F-4AB8-B690-39FE94177C18}">
            <x14:dataBar minLength="0" maxLength="100" border="1" gradient="0">
              <x14:cfvo type="num">
                <xm:f>0</xm:f>
              </x14:cfvo>
              <x14:cfvo type="num">
                <xm:f>1</xm:f>
              </x14:cfvo>
              <x14:borderColor theme="0"/>
              <x14:negativeFillColor rgb="FFFF0000"/>
              <x14:axisColor rgb="FF000000"/>
            </x14:dataBar>
          </x14:cfRule>
          <xm:sqref>I599</xm:sqref>
        </x14:conditionalFormatting>
        <x14:conditionalFormatting xmlns:xm="http://schemas.microsoft.com/office/excel/2006/main">
          <x14:cfRule type="dataBar" id="{799373BD-CB91-4BF4-B5B9-E4FFF55467D8}">
            <x14:dataBar minLength="0" maxLength="100" border="1" gradient="0">
              <x14:cfvo type="num">
                <xm:f>0</xm:f>
              </x14:cfvo>
              <x14:cfvo type="num">
                <xm:f>1</xm:f>
              </x14:cfvo>
              <x14:borderColor theme="0"/>
              <x14:negativeFillColor rgb="FFFF0000"/>
              <x14:axisColor rgb="FF000000"/>
            </x14:dataBar>
          </x14:cfRule>
          <xm:sqref>I605</xm:sqref>
        </x14:conditionalFormatting>
        <x14:conditionalFormatting xmlns:xm="http://schemas.microsoft.com/office/excel/2006/main">
          <x14:cfRule type="dataBar" id="{FE713A01-E6DE-493B-BC0A-7FF7FCCAE415}">
            <x14:dataBar minLength="0" maxLength="100" border="1" gradient="0">
              <x14:cfvo type="num">
                <xm:f>0</xm:f>
              </x14:cfvo>
              <x14:cfvo type="num">
                <xm:f>1</xm:f>
              </x14:cfvo>
              <x14:borderColor theme="0"/>
              <x14:negativeFillColor rgb="FFFF0000"/>
              <x14:axisColor rgb="FF000000"/>
            </x14:dataBar>
          </x14:cfRule>
          <xm:sqref>I607</xm:sqref>
        </x14:conditionalFormatting>
        <x14:conditionalFormatting xmlns:xm="http://schemas.microsoft.com/office/excel/2006/main">
          <x14:cfRule type="dataBar" id="{A46BA358-E05A-4316-856D-1D05AE60B760}">
            <x14:dataBar minLength="0" maxLength="100" border="1" gradient="0">
              <x14:cfvo type="num">
                <xm:f>0</xm:f>
              </x14:cfvo>
              <x14:cfvo type="num">
                <xm:f>1</xm:f>
              </x14:cfvo>
              <x14:borderColor theme="0"/>
              <x14:negativeFillColor rgb="FFFF0000"/>
              <x14:axisColor rgb="FF000000"/>
            </x14:dataBar>
          </x14:cfRule>
          <xm:sqref>I609</xm:sqref>
        </x14:conditionalFormatting>
        <x14:conditionalFormatting xmlns:xm="http://schemas.microsoft.com/office/excel/2006/main">
          <x14:cfRule type="dataBar" id="{6ED0794F-8DCA-406C-8C88-DF49DDEC1BF4}">
            <x14:dataBar minLength="0" maxLength="100" border="1" gradient="0">
              <x14:cfvo type="num">
                <xm:f>0</xm:f>
              </x14:cfvo>
              <x14:cfvo type="num">
                <xm:f>1</xm:f>
              </x14:cfvo>
              <x14:borderColor theme="0"/>
              <x14:negativeFillColor rgb="FFFF0000"/>
              <x14:axisColor rgb="FF000000"/>
            </x14:dataBar>
          </x14:cfRule>
          <xm:sqref>I611</xm:sqref>
        </x14:conditionalFormatting>
        <x14:conditionalFormatting xmlns:xm="http://schemas.microsoft.com/office/excel/2006/main">
          <x14:cfRule type="dataBar" id="{22807F29-054E-4ECD-9C9C-A73F06D69CF3}">
            <x14:dataBar minLength="0" maxLength="100" border="1" gradient="0">
              <x14:cfvo type="num">
                <xm:f>0</xm:f>
              </x14:cfvo>
              <x14:cfvo type="num">
                <xm:f>1</xm:f>
              </x14:cfvo>
              <x14:borderColor theme="0"/>
              <x14:negativeFillColor rgb="FFFF0000"/>
              <x14:axisColor rgb="FF000000"/>
            </x14:dataBar>
          </x14:cfRule>
          <xm:sqref>I615</xm:sqref>
        </x14:conditionalFormatting>
        <x14:conditionalFormatting xmlns:xm="http://schemas.microsoft.com/office/excel/2006/main">
          <x14:cfRule type="dataBar" id="{9B01F662-3FCC-4E86-9995-0B69659E3697}">
            <x14:dataBar minLength="0" maxLength="100" border="1" gradient="0">
              <x14:cfvo type="num">
                <xm:f>0</xm:f>
              </x14:cfvo>
              <x14:cfvo type="num">
                <xm:f>1</xm:f>
              </x14:cfvo>
              <x14:borderColor theme="0"/>
              <x14:negativeFillColor rgb="FFFF0000"/>
              <x14:axisColor rgb="FF000000"/>
            </x14:dataBar>
          </x14:cfRule>
          <xm:sqref>I617</xm:sqref>
        </x14:conditionalFormatting>
        <x14:conditionalFormatting xmlns:xm="http://schemas.microsoft.com/office/excel/2006/main">
          <x14:cfRule type="dataBar" id="{2D24D962-45BC-43C4-8C37-90DC5117E1A6}">
            <x14:dataBar minLength="0" maxLength="100" border="1" gradient="0">
              <x14:cfvo type="num">
                <xm:f>0</xm:f>
              </x14:cfvo>
              <x14:cfvo type="num">
                <xm:f>1</xm:f>
              </x14:cfvo>
              <x14:borderColor theme="0"/>
              <x14:negativeFillColor rgb="FFFF0000"/>
              <x14:axisColor rgb="FF000000"/>
            </x14:dataBar>
          </x14:cfRule>
          <xm:sqref>I619</xm:sqref>
        </x14:conditionalFormatting>
        <x14:conditionalFormatting xmlns:xm="http://schemas.microsoft.com/office/excel/2006/main">
          <x14:cfRule type="dataBar" id="{D2D64A53-5112-473B-94C0-6FFDF92A10C0}">
            <x14:dataBar minLength="0" maxLength="100" border="1" gradient="0">
              <x14:cfvo type="num">
                <xm:f>0</xm:f>
              </x14:cfvo>
              <x14:cfvo type="num">
                <xm:f>1</xm:f>
              </x14:cfvo>
              <x14:borderColor theme="0"/>
              <x14:negativeFillColor rgb="FFFF0000"/>
              <x14:axisColor rgb="FF000000"/>
            </x14:dataBar>
          </x14:cfRule>
          <xm:sqref>I621</xm:sqref>
        </x14:conditionalFormatting>
        <x14:conditionalFormatting xmlns:xm="http://schemas.microsoft.com/office/excel/2006/main">
          <x14:cfRule type="dataBar" id="{DCC76DA6-844B-4877-9263-34A4A6EB6D45}">
            <x14:dataBar minLength="0" maxLength="100" border="1" gradient="0">
              <x14:cfvo type="num">
                <xm:f>0</xm:f>
              </x14:cfvo>
              <x14:cfvo type="num">
                <xm:f>1</xm:f>
              </x14:cfvo>
              <x14:borderColor theme="0"/>
              <x14:negativeFillColor rgb="FFFF0000"/>
              <x14:axisColor rgb="FF000000"/>
            </x14:dataBar>
          </x14:cfRule>
          <xm:sqref>I623</xm:sqref>
        </x14:conditionalFormatting>
        <x14:conditionalFormatting xmlns:xm="http://schemas.microsoft.com/office/excel/2006/main">
          <x14:cfRule type="dataBar" id="{FAE8370B-1D94-4839-BA60-CC48F68438D5}">
            <x14:dataBar minLength="0" maxLength="100" border="1" gradient="0">
              <x14:cfvo type="num">
                <xm:f>0</xm:f>
              </x14:cfvo>
              <x14:cfvo type="num">
                <xm:f>1</xm:f>
              </x14:cfvo>
              <x14:borderColor theme="0"/>
              <x14:negativeFillColor rgb="FFFF0000"/>
              <x14:axisColor rgb="FF000000"/>
            </x14:dataBar>
          </x14:cfRule>
          <xm:sqref>I625</xm:sqref>
        </x14:conditionalFormatting>
        <x14:conditionalFormatting xmlns:xm="http://schemas.microsoft.com/office/excel/2006/main">
          <x14:cfRule type="dataBar" id="{985BD33B-E0E9-4510-BED4-120B4D2300F8}">
            <x14:dataBar minLength="0" maxLength="100" border="1" gradient="0">
              <x14:cfvo type="num">
                <xm:f>0</xm:f>
              </x14:cfvo>
              <x14:cfvo type="num">
                <xm:f>1</xm:f>
              </x14:cfvo>
              <x14:borderColor theme="0"/>
              <x14:negativeFillColor rgb="FFFF0000"/>
              <x14:axisColor rgb="FF000000"/>
            </x14:dataBar>
          </x14:cfRule>
          <xm:sqref>T9</xm:sqref>
        </x14:conditionalFormatting>
        <x14:conditionalFormatting xmlns:xm="http://schemas.microsoft.com/office/excel/2006/main">
          <x14:cfRule type="dataBar" id="{D92095B4-3373-483D-82D7-9D029870ADCA}">
            <x14:dataBar minLength="0" maxLength="100" border="1" gradient="0">
              <x14:cfvo type="num">
                <xm:f>0</xm:f>
              </x14:cfvo>
              <x14:cfvo type="num">
                <xm:f>1</xm:f>
              </x14:cfvo>
              <x14:borderColor theme="0"/>
              <x14:negativeFillColor rgb="FFFF0000"/>
              <x14:axisColor rgb="FF000000"/>
            </x14:dataBar>
          </x14:cfRule>
          <xm:sqref>T13</xm:sqref>
        </x14:conditionalFormatting>
        <x14:conditionalFormatting xmlns:xm="http://schemas.microsoft.com/office/excel/2006/main">
          <x14:cfRule type="dataBar" id="{23C1FB97-3C6F-4638-9342-31C2985360E6}">
            <x14:dataBar minLength="0" maxLength="100" border="1" gradient="0">
              <x14:cfvo type="num">
                <xm:f>0</xm:f>
              </x14:cfvo>
              <x14:cfvo type="num">
                <xm:f>1</xm:f>
              </x14:cfvo>
              <x14:borderColor theme="0"/>
              <x14:negativeFillColor rgb="FFFF0000"/>
              <x14:axisColor rgb="FF000000"/>
            </x14:dataBar>
          </x14:cfRule>
          <xm:sqref>T15</xm:sqref>
        </x14:conditionalFormatting>
        <x14:conditionalFormatting xmlns:xm="http://schemas.microsoft.com/office/excel/2006/main">
          <x14:cfRule type="dataBar" id="{7969261A-E12A-4D43-BD4E-B575C50B1249}">
            <x14:dataBar minLength="0" maxLength="100" border="1" gradient="0">
              <x14:cfvo type="num">
                <xm:f>0</xm:f>
              </x14:cfvo>
              <x14:cfvo type="num">
                <xm:f>1</xm:f>
              </x14:cfvo>
              <x14:borderColor theme="0"/>
              <x14:negativeFillColor rgb="FFFF0000"/>
              <x14:axisColor rgb="FF000000"/>
            </x14:dataBar>
          </x14:cfRule>
          <xm:sqref>T17</xm:sqref>
        </x14:conditionalFormatting>
        <x14:conditionalFormatting xmlns:xm="http://schemas.microsoft.com/office/excel/2006/main">
          <x14:cfRule type="dataBar" id="{F7ADFEE0-8173-444D-BC4D-005CCD877421}">
            <x14:dataBar minLength="0" maxLength="100" border="1" gradient="0">
              <x14:cfvo type="num">
                <xm:f>0</xm:f>
              </x14:cfvo>
              <x14:cfvo type="num">
                <xm:f>1</xm:f>
              </x14:cfvo>
              <x14:borderColor theme="0"/>
              <x14:negativeFillColor rgb="FFFF0000"/>
              <x14:axisColor rgb="FF000000"/>
            </x14:dataBar>
          </x14:cfRule>
          <xm:sqref>T19</xm:sqref>
        </x14:conditionalFormatting>
        <x14:conditionalFormatting xmlns:xm="http://schemas.microsoft.com/office/excel/2006/main">
          <x14:cfRule type="dataBar" id="{38133CDF-D368-4C35-B27F-46AA2AE63190}">
            <x14:dataBar minLength="0" maxLength="100" border="1" gradient="0">
              <x14:cfvo type="num">
                <xm:f>0</xm:f>
              </x14:cfvo>
              <x14:cfvo type="num">
                <xm:f>1</xm:f>
              </x14:cfvo>
              <x14:borderColor theme="0"/>
              <x14:negativeFillColor rgb="FFFF0000"/>
              <x14:axisColor rgb="FF000000"/>
            </x14:dataBar>
          </x14:cfRule>
          <xm:sqref>T21</xm:sqref>
        </x14:conditionalFormatting>
        <x14:conditionalFormatting xmlns:xm="http://schemas.microsoft.com/office/excel/2006/main">
          <x14:cfRule type="dataBar" id="{2320E062-FA2D-42F8-B2FA-F9F260A6922D}">
            <x14:dataBar minLength="0" maxLength="100" border="1" gradient="0">
              <x14:cfvo type="num">
                <xm:f>0</xm:f>
              </x14:cfvo>
              <x14:cfvo type="num">
                <xm:f>1</xm:f>
              </x14:cfvo>
              <x14:borderColor theme="0"/>
              <x14:negativeFillColor rgb="FFFF0000"/>
              <x14:axisColor rgb="FF000000"/>
            </x14:dataBar>
          </x14:cfRule>
          <xm:sqref>T23</xm:sqref>
        </x14:conditionalFormatting>
        <x14:conditionalFormatting xmlns:xm="http://schemas.microsoft.com/office/excel/2006/main">
          <x14:cfRule type="dataBar" id="{C3D46F14-6BDF-44F8-866E-BE108F11ECCD}">
            <x14:dataBar minLength="0" maxLength="100" border="1" gradient="0">
              <x14:cfvo type="num">
                <xm:f>0</xm:f>
              </x14:cfvo>
              <x14:cfvo type="num">
                <xm:f>1</xm:f>
              </x14:cfvo>
              <x14:borderColor theme="0"/>
              <x14:negativeFillColor rgb="FFFF0000"/>
              <x14:axisColor rgb="FF000000"/>
            </x14:dataBar>
          </x14:cfRule>
          <xm:sqref>T25</xm:sqref>
        </x14:conditionalFormatting>
        <x14:conditionalFormatting xmlns:xm="http://schemas.microsoft.com/office/excel/2006/main">
          <x14:cfRule type="dataBar" id="{3D79B7A7-0E14-4358-95B6-3F219BFEF92F}">
            <x14:dataBar minLength="0" maxLength="100" border="1" gradient="0">
              <x14:cfvo type="num">
                <xm:f>0</xm:f>
              </x14:cfvo>
              <x14:cfvo type="num">
                <xm:f>1</xm:f>
              </x14:cfvo>
              <x14:borderColor theme="0"/>
              <x14:negativeFillColor rgb="FFFF0000"/>
              <x14:axisColor rgb="FF000000"/>
            </x14:dataBar>
          </x14:cfRule>
          <xm:sqref>T27</xm:sqref>
        </x14:conditionalFormatting>
        <x14:conditionalFormatting xmlns:xm="http://schemas.microsoft.com/office/excel/2006/main">
          <x14:cfRule type="dataBar" id="{3598A6C7-0D27-4459-9070-C0BB608EE09D}">
            <x14:dataBar minLength="0" maxLength="100" border="1" gradient="0">
              <x14:cfvo type="num">
                <xm:f>0</xm:f>
              </x14:cfvo>
              <x14:cfvo type="num">
                <xm:f>1</xm:f>
              </x14:cfvo>
              <x14:borderColor theme="0"/>
              <x14:negativeFillColor rgb="FFFF0000"/>
              <x14:axisColor rgb="FF000000"/>
            </x14:dataBar>
          </x14:cfRule>
          <xm:sqref>T29</xm:sqref>
        </x14:conditionalFormatting>
        <x14:conditionalFormatting xmlns:xm="http://schemas.microsoft.com/office/excel/2006/main">
          <x14:cfRule type="dataBar" id="{6022E224-4164-4A8F-8F3C-CC9CA50A137A}">
            <x14:dataBar minLength="0" maxLength="100" border="1" gradient="0">
              <x14:cfvo type="num">
                <xm:f>0</xm:f>
              </x14:cfvo>
              <x14:cfvo type="num">
                <xm:f>1</xm:f>
              </x14:cfvo>
              <x14:borderColor theme="0"/>
              <x14:negativeFillColor rgb="FFFF0000"/>
              <x14:axisColor rgb="FF000000"/>
            </x14:dataBar>
          </x14:cfRule>
          <xm:sqref>T31</xm:sqref>
        </x14:conditionalFormatting>
        <x14:conditionalFormatting xmlns:xm="http://schemas.microsoft.com/office/excel/2006/main">
          <x14:cfRule type="dataBar" id="{1751B99C-18C6-43EF-91F9-B0C0B2DC466F}">
            <x14:dataBar minLength="0" maxLength="100" border="1" gradient="0">
              <x14:cfvo type="num">
                <xm:f>0</xm:f>
              </x14:cfvo>
              <x14:cfvo type="num">
                <xm:f>1</xm:f>
              </x14:cfvo>
              <x14:borderColor theme="0"/>
              <x14:negativeFillColor rgb="FFFF0000"/>
              <x14:axisColor rgb="FF000000"/>
            </x14:dataBar>
          </x14:cfRule>
          <xm:sqref>T35</xm:sqref>
        </x14:conditionalFormatting>
        <x14:conditionalFormatting xmlns:xm="http://schemas.microsoft.com/office/excel/2006/main">
          <x14:cfRule type="dataBar" id="{7482A804-6B9D-4E24-AFAD-7096DFFDC880}">
            <x14:dataBar minLength="0" maxLength="100" border="1" gradient="0">
              <x14:cfvo type="num">
                <xm:f>0</xm:f>
              </x14:cfvo>
              <x14:cfvo type="num">
                <xm:f>1</xm:f>
              </x14:cfvo>
              <x14:borderColor theme="0"/>
              <x14:negativeFillColor rgb="FFFF0000"/>
              <x14:axisColor rgb="FF000000"/>
            </x14:dataBar>
          </x14:cfRule>
          <xm:sqref>T37</xm:sqref>
        </x14:conditionalFormatting>
        <x14:conditionalFormatting xmlns:xm="http://schemas.microsoft.com/office/excel/2006/main">
          <x14:cfRule type="dataBar" id="{A18E684E-B675-4B44-8EEA-5678709EA2A3}">
            <x14:dataBar minLength="0" maxLength="100" border="1" gradient="0">
              <x14:cfvo type="num">
                <xm:f>0</xm:f>
              </x14:cfvo>
              <x14:cfvo type="num">
                <xm:f>1</xm:f>
              </x14:cfvo>
              <x14:borderColor theme="0"/>
              <x14:negativeFillColor rgb="FFFF0000"/>
              <x14:axisColor rgb="FF000000"/>
            </x14:dataBar>
          </x14:cfRule>
          <xm:sqref>T39</xm:sqref>
        </x14:conditionalFormatting>
        <x14:conditionalFormatting xmlns:xm="http://schemas.microsoft.com/office/excel/2006/main">
          <x14:cfRule type="dataBar" id="{D339AE64-EC99-4B4C-99F7-A649DB2A7E60}">
            <x14:dataBar minLength="0" maxLength="100" border="1" gradient="0">
              <x14:cfvo type="num">
                <xm:f>0</xm:f>
              </x14:cfvo>
              <x14:cfvo type="num">
                <xm:f>1</xm:f>
              </x14:cfvo>
              <x14:borderColor theme="0"/>
              <x14:negativeFillColor rgb="FFFF0000"/>
              <x14:axisColor rgb="FF000000"/>
            </x14:dataBar>
          </x14:cfRule>
          <xm:sqref>T41</xm:sqref>
        </x14:conditionalFormatting>
        <x14:conditionalFormatting xmlns:xm="http://schemas.microsoft.com/office/excel/2006/main">
          <x14:cfRule type="dataBar" id="{A6B043DB-BDF7-4C0D-AE9A-5DD5604A6E87}">
            <x14:dataBar minLength="0" maxLength="100" border="1" gradient="0">
              <x14:cfvo type="num">
                <xm:f>0</xm:f>
              </x14:cfvo>
              <x14:cfvo type="num">
                <xm:f>1</xm:f>
              </x14:cfvo>
              <x14:borderColor theme="0"/>
              <x14:negativeFillColor rgb="FFFF0000"/>
              <x14:axisColor rgb="FF000000"/>
            </x14:dataBar>
          </x14:cfRule>
          <xm:sqref>T43</xm:sqref>
        </x14:conditionalFormatting>
        <x14:conditionalFormatting xmlns:xm="http://schemas.microsoft.com/office/excel/2006/main">
          <x14:cfRule type="dataBar" id="{A7BD6179-D28F-4E42-B215-F8FA4D776F4C}">
            <x14:dataBar minLength="0" maxLength="100" border="1" gradient="0">
              <x14:cfvo type="num">
                <xm:f>0</xm:f>
              </x14:cfvo>
              <x14:cfvo type="num">
                <xm:f>1</xm:f>
              </x14:cfvo>
              <x14:borderColor theme="0"/>
              <x14:negativeFillColor rgb="FFFF0000"/>
              <x14:axisColor rgb="FF000000"/>
            </x14:dataBar>
          </x14:cfRule>
          <xm:sqref>T47</xm:sqref>
        </x14:conditionalFormatting>
        <x14:conditionalFormatting xmlns:xm="http://schemas.microsoft.com/office/excel/2006/main">
          <x14:cfRule type="dataBar" id="{7B190899-D773-48ED-9D78-DC950C125F8D}">
            <x14:dataBar minLength="0" maxLength="100" border="1" gradient="0">
              <x14:cfvo type="num">
                <xm:f>0</xm:f>
              </x14:cfvo>
              <x14:cfvo type="num">
                <xm:f>1</xm:f>
              </x14:cfvo>
              <x14:borderColor theme="0"/>
              <x14:negativeFillColor rgb="FFFF0000"/>
              <x14:axisColor rgb="FF000000"/>
            </x14:dataBar>
          </x14:cfRule>
          <xm:sqref>T49</xm:sqref>
        </x14:conditionalFormatting>
        <x14:conditionalFormatting xmlns:xm="http://schemas.microsoft.com/office/excel/2006/main">
          <x14:cfRule type="dataBar" id="{C366C36C-E4B3-49EE-9008-74A7F9513DE4}">
            <x14:dataBar minLength="0" maxLength="100" border="1" gradient="0">
              <x14:cfvo type="num">
                <xm:f>0</xm:f>
              </x14:cfvo>
              <x14:cfvo type="num">
                <xm:f>1</xm:f>
              </x14:cfvo>
              <x14:borderColor theme="0"/>
              <x14:negativeFillColor rgb="FFFF0000"/>
              <x14:axisColor rgb="FF000000"/>
            </x14:dataBar>
          </x14:cfRule>
          <xm:sqref>T51</xm:sqref>
        </x14:conditionalFormatting>
        <x14:conditionalFormatting xmlns:xm="http://schemas.microsoft.com/office/excel/2006/main">
          <x14:cfRule type="dataBar" id="{659319CF-6AD3-4681-8190-8FAFD1DBEB68}">
            <x14:dataBar minLength="0" maxLength="100" border="1" gradient="0">
              <x14:cfvo type="num">
                <xm:f>0</xm:f>
              </x14:cfvo>
              <x14:cfvo type="num">
                <xm:f>1</xm:f>
              </x14:cfvo>
              <x14:borderColor theme="0"/>
              <x14:negativeFillColor rgb="FFFF0000"/>
              <x14:axisColor rgb="FF000000"/>
            </x14:dataBar>
          </x14:cfRule>
          <xm:sqref>T53</xm:sqref>
        </x14:conditionalFormatting>
        <x14:conditionalFormatting xmlns:xm="http://schemas.microsoft.com/office/excel/2006/main">
          <x14:cfRule type="dataBar" id="{2B3D628B-A47D-45F4-B527-0B71ACB0DA35}">
            <x14:dataBar minLength="0" maxLength="100" border="1" gradient="0">
              <x14:cfvo type="num">
                <xm:f>0</xm:f>
              </x14:cfvo>
              <x14:cfvo type="num">
                <xm:f>1</xm:f>
              </x14:cfvo>
              <x14:borderColor theme="0"/>
              <x14:negativeFillColor rgb="FFFF0000"/>
              <x14:axisColor rgb="FF000000"/>
            </x14:dataBar>
          </x14:cfRule>
          <xm:sqref>T55</xm:sqref>
        </x14:conditionalFormatting>
        <x14:conditionalFormatting xmlns:xm="http://schemas.microsoft.com/office/excel/2006/main">
          <x14:cfRule type="dataBar" id="{E6689D9A-A016-4443-85A7-5CD87792D8A7}">
            <x14:dataBar minLength="0" maxLength="100" border="1" gradient="0">
              <x14:cfvo type="num">
                <xm:f>0</xm:f>
              </x14:cfvo>
              <x14:cfvo type="num">
                <xm:f>1</xm:f>
              </x14:cfvo>
              <x14:borderColor theme="0"/>
              <x14:negativeFillColor rgb="FFFF0000"/>
              <x14:axisColor rgb="FF000000"/>
            </x14:dataBar>
          </x14:cfRule>
          <xm:sqref>T57</xm:sqref>
        </x14:conditionalFormatting>
        <x14:conditionalFormatting xmlns:xm="http://schemas.microsoft.com/office/excel/2006/main">
          <x14:cfRule type="dataBar" id="{111D7448-96E6-4FB5-9E09-C2571D12308C}">
            <x14:dataBar minLength="0" maxLength="100" border="1" gradient="0">
              <x14:cfvo type="num">
                <xm:f>0</xm:f>
              </x14:cfvo>
              <x14:cfvo type="num">
                <xm:f>1</xm:f>
              </x14:cfvo>
              <x14:borderColor theme="0"/>
              <x14:negativeFillColor rgb="FFFF0000"/>
              <x14:axisColor rgb="FF000000"/>
            </x14:dataBar>
          </x14:cfRule>
          <xm:sqref>T59</xm:sqref>
        </x14:conditionalFormatting>
        <x14:conditionalFormatting xmlns:xm="http://schemas.microsoft.com/office/excel/2006/main">
          <x14:cfRule type="dataBar" id="{7051DAB7-5C00-45F7-972B-7FC7467B2C01}">
            <x14:dataBar minLength="0" maxLength="100" border="1" gradient="0">
              <x14:cfvo type="num">
                <xm:f>0</xm:f>
              </x14:cfvo>
              <x14:cfvo type="num">
                <xm:f>1</xm:f>
              </x14:cfvo>
              <x14:borderColor theme="0"/>
              <x14:negativeFillColor rgb="FFFF0000"/>
              <x14:axisColor rgb="FF000000"/>
            </x14:dataBar>
          </x14:cfRule>
          <xm:sqref>T61</xm:sqref>
        </x14:conditionalFormatting>
        <x14:conditionalFormatting xmlns:xm="http://schemas.microsoft.com/office/excel/2006/main">
          <x14:cfRule type="dataBar" id="{8B8DA3FC-054A-4976-A5AE-325D4F51D916}">
            <x14:dataBar minLength="0" maxLength="100" border="1" gradient="0">
              <x14:cfvo type="num">
                <xm:f>0</xm:f>
              </x14:cfvo>
              <x14:cfvo type="num">
                <xm:f>1</xm:f>
              </x14:cfvo>
              <x14:borderColor theme="0"/>
              <x14:negativeFillColor rgb="FFFF0000"/>
              <x14:axisColor rgb="FF000000"/>
            </x14:dataBar>
          </x14:cfRule>
          <xm:sqref>T63</xm:sqref>
        </x14:conditionalFormatting>
        <x14:conditionalFormatting xmlns:xm="http://schemas.microsoft.com/office/excel/2006/main">
          <x14:cfRule type="dataBar" id="{997A6943-40EF-4BF8-A5DD-4F14C79E6228}">
            <x14:dataBar minLength="0" maxLength="100" border="1" gradient="0">
              <x14:cfvo type="num">
                <xm:f>0</xm:f>
              </x14:cfvo>
              <x14:cfvo type="num">
                <xm:f>1</xm:f>
              </x14:cfvo>
              <x14:borderColor theme="0"/>
              <x14:negativeFillColor rgb="FFFF0000"/>
              <x14:axisColor rgb="FF000000"/>
            </x14:dataBar>
          </x14:cfRule>
          <xm:sqref>T65</xm:sqref>
        </x14:conditionalFormatting>
        <x14:conditionalFormatting xmlns:xm="http://schemas.microsoft.com/office/excel/2006/main">
          <x14:cfRule type="dataBar" id="{28C46AD4-CD3F-40C8-BBE6-10A1B9D65E65}">
            <x14:dataBar minLength="0" maxLength="100" border="1" gradient="0">
              <x14:cfvo type="num">
                <xm:f>0</xm:f>
              </x14:cfvo>
              <x14:cfvo type="num">
                <xm:f>1</xm:f>
              </x14:cfvo>
              <x14:borderColor theme="0"/>
              <x14:negativeFillColor rgb="FFFF0000"/>
              <x14:axisColor rgb="FF000000"/>
            </x14:dataBar>
          </x14:cfRule>
          <xm:sqref>T67</xm:sqref>
        </x14:conditionalFormatting>
        <x14:conditionalFormatting xmlns:xm="http://schemas.microsoft.com/office/excel/2006/main">
          <x14:cfRule type="dataBar" id="{0A29739D-F8D5-418B-B437-93E2FE3984D2}">
            <x14:dataBar minLength="0" maxLength="100" border="1" gradient="0">
              <x14:cfvo type="num">
                <xm:f>0</xm:f>
              </x14:cfvo>
              <x14:cfvo type="num">
                <xm:f>1</xm:f>
              </x14:cfvo>
              <x14:borderColor theme="0"/>
              <x14:negativeFillColor rgb="FFFF0000"/>
              <x14:axisColor rgb="FF000000"/>
            </x14:dataBar>
          </x14:cfRule>
          <xm:sqref>T69</xm:sqref>
        </x14:conditionalFormatting>
        <x14:conditionalFormatting xmlns:xm="http://schemas.microsoft.com/office/excel/2006/main">
          <x14:cfRule type="dataBar" id="{5F8EB105-FF33-4985-B59E-08884D330303}">
            <x14:dataBar minLength="0" maxLength="100" border="1" gradient="0">
              <x14:cfvo type="num">
                <xm:f>0</xm:f>
              </x14:cfvo>
              <x14:cfvo type="num">
                <xm:f>1</xm:f>
              </x14:cfvo>
              <x14:borderColor theme="0"/>
              <x14:negativeFillColor rgb="FFFF0000"/>
              <x14:axisColor rgb="FF000000"/>
            </x14:dataBar>
          </x14:cfRule>
          <xm:sqref>T73</xm:sqref>
        </x14:conditionalFormatting>
        <x14:conditionalFormatting xmlns:xm="http://schemas.microsoft.com/office/excel/2006/main">
          <x14:cfRule type="dataBar" id="{1F4EB7A7-B9E6-4580-9EBF-964ACC0410DB}">
            <x14:dataBar minLength="0" maxLength="100" border="1" gradient="0">
              <x14:cfvo type="num">
                <xm:f>0</xm:f>
              </x14:cfvo>
              <x14:cfvo type="num">
                <xm:f>1</xm:f>
              </x14:cfvo>
              <x14:borderColor theme="0"/>
              <x14:negativeFillColor rgb="FFFF0000"/>
              <x14:axisColor rgb="FF000000"/>
            </x14:dataBar>
          </x14:cfRule>
          <xm:sqref>T77</xm:sqref>
        </x14:conditionalFormatting>
        <x14:conditionalFormatting xmlns:xm="http://schemas.microsoft.com/office/excel/2006/main">
          <x14:cfRule type="dataBar" id="{06CD5D98-2C19-4DDB-92C1-4ECE8A2C4870}">
            <x14:dataBar minLength="0" maxLength="100" border="1" gradient="0">
              <x14:cfvo type="num">
                <xm:f>0</xm:f>
              </x14:cfvo>
              <x14:cfvo type="num">
                <xm:f>1</xm:f>
              </x14:cfvo>
              <x14:borderColor theme="0"/>
              <x14:negativeFillColor rgb="FFFF0000"/>
              <x14:axisColor rgb="FF000000"/>
            </x14:dataBar>
          </x14:cfRule>
          <xm:sqref>T79</xm:sqref>
        </x14:conditionalFormatting>
        <x14:conditionalFormatting xmlns:xm="http://schemas.microsoft.com/office/excel/2006/main">
          <x14:cfRule type="dataBar" id="{1447656D-E840-4F8B-9DD6-A8AE8C05ACE3}">
            <x14:dataBar minLength="0" maxLength="100" border="1" gradient="0">
              <x14:cfvo type="num">
                <xm:f>0</xm:f>
              </x14:cfvo>
              <x14:cfvo type="num">
                <xm:f>1</xm:f>
              </x14:cfvo>
              <x14:borderColor theme="0"/>
              <x14:negativeFillColor rgb="FFFF0000"/>
              <x14:axisColor rgb="FF000000"/>
            </x14:dataBar>
          </x14:cfRule>
          <xm:sqref>T81</xm:sqref>
        </x14:conditionalFormatting>
        <x14:conditionalFormatting xmlns:xm="http://schemas.microsoft.com/office/excel/2006/main">
          <x14:cfRule type="dataBar" id="{FF8C984F-29DB-452A-92EE-9DF62703607E}">
            <x14:dataBar minLength="0" maxLength="100" border="1" gradient="0">
              <x14:cfvo type="num">
                <xm:f>0</xm:f>
              </x14:cfvo>
              <x14:cfvo type="num">
                <xm:f>1</xm:f>
              </x14:cfvo>
              <x14:borderColor theme="0"/>
              <x14:negativeFillColor rgb="FFFF0000"/>
              <x14:axisColor rgb="FF000000"/>
            </x14:dataBar>
          </x14:cfRule>
          <xm:sqref>T83</xm:sqref>
        </x14:conditionalFormatting>
        <x14:conditionalFormatting xmlns:xm="http://schemas.microsoft.com/office/excel/2006/main">
          <x14:cfRule type="dataBar" id="{C1E8CC34-BDD4-4167-8C44-F7DC2F010955}">
            <x14:dataBar minLength="0" maxLength="100" border="1" gradient="0">
              <x14:cfvo type="num">
                <xm:f>0</xm:f>
              </x14:cfvo>
              <x14:cfvo type="num">
                <xm:f>1</xm:f>
              </x14:cfvo>
              <x14:borderColor theme="0"/>
              <x14:negativeFillColor rgb="FFFF0000"/>
              <x14:axisColor rgb="FF000000"/>
            </x14:dataBar>
          </x14:cfRule>
          <xm:sqref>T85</xm:sqref>
        </x14:conditionalFormatting>
        <x14:conditionalFormatting xmlns:xm="http://schemas.microsoft.com/office/excel/2006/main">
          <x14:cfRule type="dataBar" id="{600822EE-D40C-407E-A404-4BB16FA6587D}">
            <x14:dataBar minLength="0" maxLength="100" border="1" gradient="0">
              <x14:cfvo type="num">
                <xm:f>0</xm:f>
              </x14:cfvo>
              <x14:cfvo type="num">
                <xm:f>1</xm:f>
              </x14:cfvo>
              <x14:borderColor theme="0"/>
              <x14:negativeFillColor rgb="FFFF0000"/>
              <x14:axisColor rgb="FF000000"/>
            </x14:dataBar>
          </x14:cfRule>
          <xm:sqref>T87</xm:sqref>
        </x14:conditionalFormatting>
        <x14:conditionalFormatting xmlns:xm="http://schemas.microsoft.com/office/excel/2006/main">
          <x14:cfRule type="dataBar" id="{C6F60608-8F8D-4D3E-B2C2-1E9C22BD3472}">
            <x14:dataBar minLength="0" maxLength="100" border="1" gradient="0">
              <x14:cfvo type="num">
                <xm:f>0</xm:f>
              </x14:cfvo>
              <x14:cfvo type="num">
                <xm:f>1</xm:f>
              </x14:cfvo>
              <x14:borderColor theme="0"/>
              <x14:negativeFillColor rgb="FFFF0000"/>
              <x14:axisColor rgb="FF000000"/>
            </x14:dataBar>
          </x14:cfRule>
          <xm:sqref>T89</xm:sqref>
        </x14:conditionalFormatting>
        <x14:conditionalFormatting xmlns:xm="http://schemas.microsoft.com/office/excel/2006/main">
          <x14:cfRule type="dataBar" id="{004C8B4D-7476-4A54-A48A-6C6766AEC249}">
            <x14:dataBar minLength="0" maxLength="100" border="1" gradient="0">
              <x14:cfvo type="num">
                <xm:f>0</xm:f>
              </x14:cfvo>
              <x14:cfvo type="num">
                <xm:f>1</xm:f>
              </x14:cfvo>
              <x14:borderColor theme="0"/>
              <x14:negativeFillColor rgb="FFFF0000"/>
              <x14:axisColor rgb="FF000000"/>
            </x14:dataBar>
          </x14:cfRule>
          <xm:sqref>T93</xm:sqref>
        </x14:conditionalFormatting>
        <x14:conditionalFormatting xmlns:xm="http://schemas.microsoft.com/office/excel/2006/main">
          <x14:cfRule type="dataBar" id="{062A1464-1D61-4C6F-9098-E9290057C585}">
            <x14:dataBar minLength="0" maxLength="100" border="1" gradient="0">
              <x14:cfvo type="num">
                <xm:f>0</xm:f>
              </x14:cfvo>
              <x14:cfvo type="num">
                <xm:f>1</xm:f>
              </x14:cfvo>
              <x14:borderColor theme="0"/>
              <x14:negativeFillColor rgb="FFFF0000"/>
              <x14:axisColor rgb="FF000000"/>
            </x14:dataBar>
          </x14:cfRule>
          <xm:sqref>T95</xm:sqref>
        </x14:conditionalFormatting>
        <x14:conditionalFormatting xmlns:xm="http://schemas.microsoft.com/office/excel/2006/main">
          <x14:cfRule type="dataBar" id="{6E2B76BB-94C8-4F2B-804C-C474EC5C76B2}">
            <x14:dataBar minLength="0" maxLength="100" border="1" gradient="0">
              <x14:cfvo type="num">
                <xm:f>0</xm:f>
              </x14:cfvo>
              <x14:cfvo type="num">
                <xm:f>1</xm:f>
              </x14:cfvo>
              <x14:borderColor theme="0"/>
              <x14:negativeFillColor rgb="FFFF0000"/>
              <x14:axisColor rgb="FF000000"/>
            </x14:dataBar>
          </x14:cfRule>
          <xm:sqref>T97</xm:sqref>
        </x14:conditionalFormatting>
        <x14:conditionalFormatting xmlns:xm="http://schemas.microsoft.com/office/excel/2006/main">
          <x14:cfRule type="dataBar" id="{598DFDEC-38E7-47FC-9AAC-C66586E61EBB}">
            <x14:dataBar minLength="0" maxLength="100" border="1" gradient="0">
              <x14:cfvo type="num">
                <xm:f>0</xm:f>
              </x14:cfvo>
              <x14:cfvo type="num">
                <xm:f>1</xm:f>
              </x14:cfvo>
              <x14:borderColor theme="0"/>
              <x14:negativeFillColor rgb="FFFF0000"/>
              <x14:axisColor rgb="FF000000"/>
            </x14:dataBar>
          </x14:cfRule>
          <xm:sqref>T99</xm:sqref>
        </x14:conditionalFormatting>
        <x14:conditionalFormatting xmlns:xm="http://schemas.microsoft.com/office/excel/2006/main">
          <x14:cfRule type="dataBar" id="{E9BA6431-3F3B-45DA-9918-816BC8979B4D}">
            <x14:dataBar minLength="0" maxLength="100" border="1" gradient="0">
              <x14:cfvo type="num">
                <xm:f>0</xm:f>
              </x14:cfvo>
              <x14:cfvo type="num">
                <xm:f>1</xm:f>
              </x14:cfvo>
              <x14:borderColor theme="0"/>
              <x14:negativeFillColor rgb="FFFF0000"/>
              <x14:axisColor rgb="FF000000"/>
            </x14:dataBar>
          </x14:cfRule>
          <xm:sqref>T101</xm:sqref>
        </x14:conditionalFormatting>
        <x14:conditionalFormatting xmlns:xm="http://schemas.microsoft.com/office/excel/2006/main">
          <x14:cfRule type="dataBar" id="{07EF5F2F-E80E-48B4-84CB-E76579F4EBCD}">
            <x14:dataBar minLength="0" maxLength="100" border="1" gradient="0">
              <x14:cfvo type="num">
                <xm:f>0</xm:f>
              </x14:cfvo>
              <x14:cfvo type="num">
                <xm:f>1</xm:f>
              </x14:cfvo>
              <x14:borderColor theme="0"/>
              <x14:negativeFillColor rgb="FFFF0000"/>
              <x14:axisColor rgb="FF000000"/>
            </x14:dataBar>
          </x14:cfRule>
          <xm:sqref>T103</xm:sqref>
        </x14:conditionalFormatting>
        <x14:conditionalFormatting xmlns:xm="http://schemas.microsoft.com/office/excel/2006/main">
          <x14:cfRule type="dataBar" id="{3600B21F-C3AF-4D61-975B-26D0BE173680}">
            <x14:dataBar minLength="0" maxLength="100" border="1" gradient="0">
              <x14:cfvo type="num">
                <xm:f>0</xm:f>
              </x14:cfvo>
              <x14:cfvo type="num">
                <xm:f>1</xm:f>
              </x14:cfvo>
              <x14:borderColor theme="0"/>
              <x14:negativeFillColor rgb="FFFF0000"/>
              <x14:axisColor rgb="FF000000"/>
            </x14:dataBar>
          </x14:cfRule>
          <xm:sqref>T105</xm:sqref>
        </x14:conditionalFormatting>
        <x14:conditionalFormatting xmlns:xm="http://schemas.microsoft.com/office/excel/2006/main">
          <x14:cfRule type="dataBar" id="{F8CBC097-63D3-4850-BCFB-DCD1B362BFAE}">
            <x14:dataBar minLength="0" maxLength="100" border="1" gradient="0">
              <x14:cfvo type="num">
                <xm:f>0</xm:f>
              </x14:cfvo>
              <x14:cfvo type="num">
                <xm:f>1</xm:f>
              </x14:cfvo>
              <x14:borderColor theme="0"/>
              <x14:negativeFillColor rgb="FFFF0000"/>
              <x14:axisColor rgb="FF000000"/>
            </x14:dataBar>
          </x14:cfRule>
          <xm:sqref>T107</xm:sqref>
        </x14:conditionalFormatting>
        <x14:conditionalFormatting xmlns:xm="http://schemas.microsoft.com/office/excel/2006/main">
          <x14:cfRule type="dataBar" id="{FCEBE00F-87F5-4704-85A4-9E773B09F4C3}">
            <x14:dataBar minLength="0" maxLength="100" border="1" gradient="0">
              <x14:cfvo type="num">
                <xm:f>0</xm:f>
              </x14:cfvo>
              <x14:cfvo type="num">
                <xm:f>1</xm:f>
              </x14:cfvo>
              <x14:borderColor theme="0"/>
              <x14:negativeFillColor rgb="FFFF0000"/>
              <x14:axisColor rgb="FF000000"/>
            </x14:dataBar>
          </x14:cfRule>
          <xm:sqref>T109</xm:sqref>
        </x14:conditionalFormatting>
        <x14:conditionalFormatting xmlns:xm="http://schemas.microsoft.com/office/excel/2006/main">
          <x14:cfRule type="dataBar" id="{B4F2F542-B62A-4D8D-8D59-C3B03D014597}">
            <x14:dataBar minLength="0" maxLength="100" border="1" gradient="0">
              <x14:cfvo type="num">
                <xm:f>0</xm:f>
              </x14:cfvo>
              <x14:cfvo type="num">
                <xm:f>1</xm:f>
              </x14:cfvo>
              <x14:borderColor theme="0"/>
              <x14:negativeFillColor rgb="FFFF0000"/>
              <x14:axisColor rgb="FF000000"/>
            </x14:dataBar>
          </x14:cfRule>
          <xm:sqref>T113</xm:sqref>
        </x14:conditionalFormatting>
        <x14:conditionalFormatting xmlns:xm="http://schemas.microsoft.com/office/excel/2006/main">
          <x14:cfRule type="dataBar" id="{646F8A91-C9F1-4809-8E9F-3FA059C303A1}">
            <x14:dataBar minLength="0" maxLength="100" border="1" gradient="0">
              <x14:cfvo type="num">
                <xm:f>0</xm:f>
              </x14:cfvo>
              <x14:cfvo type="num">
                <xm:f>1</xm:f>
              </x14:cfvo>
              <x14:borderColor theme="0"/>
              <x14:negativeFillColor rgb="FFFF0000"/>
              <x14:axisColor rgb="FF000000"/>
            </x14:dataBar>
          </x14:cfRule>
          <xm:sqref>T115</xm:sqref>
        </x14:conditionalFormatting>
        <x14:conditionalFormatting xmlns:xm="http://schemas.microsoft.com/office/excel/2006/main">
          <x14:cfRule type="dataBar" id="{C6536F16-F4F3-4E33-83C0-0E446A4E9E97}">
            <x14:dataBar minLength="0" maxLength="100" border="1" gradient="0">
              <x14:cfvo type="num">
                <xm:f>0</xm:f>
              </x14:cfvo>
              <x14:cfvo type="num">
                <xm:f>1</xm:f>
              </x14:cfvo>
              <x14:borderColor theme="0"/>
              <x14:negativeFillColor rgb="FFFF0000"/>
              <x14:axisColor rgb="FF000000"/>
            </x14:dataBar>
          </x14:cfRule>
          <xm:sqref>T119</xm:sqref>
        </x14:conditionalFormatting>
        <x14:conditionalFormatting xmlns:xm="http://schemas.microsoft.com/office/excel/2006/main">
          <x14:cfRule type="dataBar" id="{B351A648-67C9-4DA9-AA53-375C6BD78041}">
            <x14:dataBar minLength="0" maxLength="100" border="1" gradient="0">
              <x14:cfvo type="num">
                <xm:f>0</xm:f>
              </x14:cfvo>
              <x14:cfvo type="num">
                <xm:f>1</xm:f>
              </x14:cfvo>
              <x14:borderColor theme="0"/>
              <x14:negativeFillColor rgb="FFFF0000"/>
              <x14:axisColor rgb="FF000000"/>
            </x14:dataBar>
          </x14:cfRule>
          <xm:sqref>T121</xm:sqref>
        </x14:conditionalFormatting>
        <x14:conditionalFormatting xmlns:xm="http://schemas.microsoft.com/office/excel/2006/main">
          <x14:cfRule type="dataBar" id="{18DE41C1-EE2C-44AC-B23A-03851EF86CD8}">
            <x14:dataBar minLength="0" maxLength="100" border="1" gradient="0">
              <x14:cfvo type="num">
                <xm:f>0</xm:f>
              </x14:cfvo>
              <x14:cfvo type="num">
                <xm:f>1</xm:f>
              </x14:cfvo>
              <x14:borderColor theme="0"/>
              <x14:negativeFillColor rgb="FFFF0000"/>
              <x14:axisColor rgb="FF000000"/>
            </x14:dataBar>
          </x14:cfRule>
          <xm:sqref>T123</xm:sqref>
        </x14:conditionalFormatting>
        <x14:conditionalFormatting xmlns:xm="http://schemas.microsoft.com/office/excel/2006/main">
          <x14:cfRule type="dataBar" id="{B7A557DC-0F3A-4AD5-A30A-09FA51A98B10}">
            <x14:dataBar minLength="0" maxLength="100" border="1" gradient="0">
              <x14:cfvo type="num">
                <xm:f>0</xm:f>
              </x14:cfvo>
              <x14:cfvo type="num">
                <xm:f>1</xm:f>
              </x14:cfvo>
              <x14:borderColor theme="0"/>
              <x14:negativeFillColor rgb="FFFF0000"/>
              <x14:axisColor rgb="FF000000"/>
            </x14:dataBar>
          </x14:cfRule>
          <xm:sqref>T125</xm:sqref>
        </x14:conditionalFormatting>
        <x14:conditionalFormatting xmlns:xm="http://schemas.microsoft.com/office/excel/2006/main">
          <x14:cfRule type="dataBar" id="{C1593EBC-34B5-4866-A579-305C08239FD2}">
            <x14:dataBar minLength="0" maxLength="100" border="1" gradient="0">
              <x14:cfvo type="num">
                <xm:f>0</xm:f>
              </x14:cfvo>
              <x14:cfvo type="num">
                <xm:f>1</xm:f>
              </x14:cfvo>
              <x14:borderColor theme="0"/>
              <x14:negativeFillColor rgb="FFFF0000"/>
              <x14:axisColor rgb="FF000000"/>
            </x14:dataBar>
          </x14:cfRule>
          <xm:sqref>T127</xm:sqref>
        </x14:conditionalFormatting>
        <x14:conditionalFormatting xmlns:xm="http://schemas.microsoft.com/office/excel/2006/main">
          <x14:cfRule type="dataBar" id="{584F7B4D-BC14-4A56-AD0E-6AE1BC4CAE9C}">
            <x14:dataBar minLength="0" maxLength="100" border="1" gradient="0">
              <x14:cfvo type="num">
                <xm:f>0</xm:f>
              </x14:cfvo>
              <x14:cfvo type="num">
                <xm:f>1</xm:f>
              </x14:cfvo>
              <x14:borderColor theme="0"/>
              <x14:negativeFillColor rgb="FFFF0000"/>
              <x14:axisColor rgb="FF000000"/>
            </x14:dataBar>
          </x14:cfRule>
          <xm:sqref>T129</xm:sqref>
        </x14:conditionalFormatting>
        <x14:conditionalFormatting xmlns:xm="http://schemas.microsoft.com/office/excel/2006/main">
          <x14:cfRule type="dataBar" id="{1514AB3C-51EC-4217-A2D9-ECCBA148668C}">
            <x14:dataBar minLength="0" maxLength="100" border="1" gradient="0">
              <x14:cfvo type="num">
                <xm:f>0</xm:f>
              </x14:cfvo>
              <x14:cfvo type="num">
                <xm:f>1</xm:f>
              </x14:cfvo>
              <x14:borderColor theme="0"/>
              <x14:negativeFillColor rgb="FFFF0000"/>
              <x14:axisColor rgb="FF000000"/>
            </x14:dataBar>
          </x14:cfRule>
          <xm:sqref>T131</xm:sqref>
        </x14:conditionalFormatting>
        <x14:conditionalFormatting xmlns:xm="http://schemas.microsoft.com/office/excel/2006/main">
          <x14:cfRule type="dataBar" id="{313D6D5D-AFA5-4BCA-865C-599D2B694D7E}">
            <x14:dataBar minLength="0" maxLength="100" border="1" gradient="0">
              <x14:cfvo type="num">
                <xm:f>0</xm:f>
              </x14:cfvo>
              <x14:cfvo type="num">
                <xm:f>1</xm:f>
              </x14:cfvo>
              <x14:borderColor theme="0"/>
              <x14:negativeFillColor rgb="FFFF0000"/>
              <x14:axisColor rgb="FF000000"/>
            </x14:dataBar>
          </x14:cfRule>
          <xm:sqref>T134</xm:sqref>
        </x14:conditionalFormatting>
        <x14:conditionalFormatting xmlns:xm="http://schemas.microsoft.com/office/excel/2006/main">
          <x14:cfRule type="dataBar" id="{AF7127A8-093F-4B22-B70A-EC4831CB5580}">
            <x14:dataBar minLength="0" maxLength="100" border="1" gradient="0">
              <x14:cfvo type="num">
                <xm:f>0</xm:f>
              </x14:cfvo>
              <x14:cfvo type="num">
                <xm:f>1</xm:f>
              </x14:cfvo>
              <x14:borderColor theme="0"/>
              <x14:negativeFillColor rgb="FFFF0000"/>
              <x14:axisColor rgb="FF000000"/>
            </x14:dataBar>
          </x14:cfRule>
          <xm:sqref>T137</xm:sqref>
        </x14:conditionalFormatting>
        <x14:conditionalFormatting xmlns:xm="http://schemas.microsoft.com/office/excel/2006/main">
          <x14:cfRule type="dataBar" id="{885F4172-980C-4FC9-A00F-3516CBDA5166}">
            <x14:dataBar minLength="0" maxLength="100" border="1" gradient="0">
              <x14:cfvo type="num">
                <xm:f>0</xm:f>
              </x14:cfvo>
              <x14:cfvo type="num">
                <xm:f>1</xm:f>
              </x14:cfvo>
              <x14:borderColor theme="0"/>
              <x14:negativeFillColor rgb="FFFF0000"/>
              <x14:axisColor rgb="FF000000"/>
            </x14:dataBar>
          </x14:cfRule>
          <xm:sqref>T140</xm:sqref>
        </x14:conditionalFormatting>
        <x14:conditionalFormatting xmlns:xm="http://schemas.microsoft.com/office/excel/2006/main">
          <x14:cfRule type="dataBar" id="{A3DAD162-A516-410D-8879-EE2E68D1DD2D}">
            <x14:dataBar minLength="0" maxLength="100" border="1" gradient="0">
              <x14:cfvo type="num">
                <xm:f>0</xm:f>
              </x14:cfvo>
              <x14:cfvo type="num">
                <xm:f>1</xm:f>
              </x14:cfvo>
              <x14:borderColor theme="0"/>
              <x14:negativeFillColor rgb="FFFF0000"/>
              <x14:axisColor rgb="FF000000"/>
            </x14:dataBar>
          </x14:cfRule>
          <xm:sqref>T142</xm:sqref>
        </x14:conditionalFormatting>
        <x14:conditionalFormatting xmlns:xm="http://schemas.microsoft.com/office/excel/2006/main">
          <x14:cfRule type="dataBar" id="{967146D2-F93A-486E-9603-4F3BDE3684DC}">
            <x14:dataBar minLength="0" maxLength="100" border="1" gradient="0">
              <x14:cfvo type="num">
                <xm:f>0</xm:f>
              </x14:cfvo>
              <x14:cfvo type="num">
                <xm:f>1</xm:f>
              </x14:cfvo>
              <x14:borderColor theme="0"/>
              <x14:negativeFillColor rgb="FFFF0000"/>
              <x14:axisColor rgb="FF000000"/>
            </x14:dataBar>
          </x14:cfRule>
          <xm:sqref>T144</xm:sqref>
        </x14:conditionalFormatting>
        <x14:conditionalFormatting xmlns:xm="http://schemas.microsoft.com/office/excel/2006/main">
          <x14:cfRule type="dataBar" id="{DB9585A1-F9D6-4931-A14A-66509B83E58D}">
            <x14:dataBar minLength="0" maxLength="100" border="1" gradient="0">
              <x14:cfvo type="num">
                <xm:f>0</xm:f>
              </x14:cfvo>
              <x14:cfvo type="num">
                <xm:f>1</xm:f>
              </x14:cfvo>
              <x14:borderColor theme="0"/>
              <x14:negativeFillColor rgb="FFFF0000"/>
              <x14:axisColor rgb="FF000000"/>
            </x14:dataBar>
          </x14:cfRule>
          <xm:sqref>T146</xm:sqref>
        </x14:conditionalFormatting>
        <x14:conditionalFormatting xmlns:xm="http://schemas.microsoft.com/office/excel/2006/main">
          <x14:cfRule type="dataBar" id="{26613E6B-7E83-4F64-92EF-FAA93FC63C07}">
            <x14:dataBar minLength="0" maxLength="100" border="1" gradient="0">
              <x14:cfvo type="num">
                <xm:f>0</xm:f>
              </x14:cfvo>
              <x14:cfvo type="num">
                <xm:f>1</xm:f>
              </x14:cfvo>
              <x14:borderColor theme="0"/>
              <x14:negativeFillColor rgb="FFFF0000"/>
              <x14:axisColor rgb="FF000000"/>
            </x14:dataBar>
          </x14:cfRule>
          <xm:sqref>T148</xm:sqref>
        </x14:conditionalFormatting>
        <x14:conditionalFormatting xmlns:xm="http://schemas.microsoft.com/office/excel/2006/main">
          <x14:cfRule type="dataBar" id="{5D18FC3C-6D5C-432F-A39F-E2D4F55B1E58}">
            <x14:dataBar minLength="0" maxLength="100" border="1" gradient="0">
              <x14:cfvo type="num">
                <xm:f>0</xm:f>
              </x14:cfvo>
              <x14:cfvo type="num">
                <xm:f>1</xm:f>
              </x14:cfvo>
              <x14:borderColor theme="0"/>
              <x14:negativeFillColor rgb="FFFF0000"/>
              <x14:axisColor rgb="FF000000"/>
            </x14:dataBar>
          </x14:cfRule>
          <xm:sqref>T150</xm:sqref>
        </x14:conditionalFormatting>
        <x14:conditionalFormatting xmlns:xm="http://schemas.microsoft.com/office/excel/2006/main">
          <x14:cfRule type="dataBar" id="{A498E52B-AF80-4074-A0B1-4277E54594D3}">
            <x14:dataBar minLength="0" maxLength="100" border="1" gradient="0">
              <x14:cfvo type="num">
                <xm:f>0</xm:f>
              </x14:cfvo>
              <x14:cfvo type="num">
                <xm:f>1</xm:f>
              </x14:cfvo>
              <x14:borderColor theme="0"/>
              <x14:negativeFillColor rgb="FFFF0000"/>
              <x14:axisColor rgb="FF000000"/>
            </x14:dataBar>
          </x14:cfRule>
          <xm:sqref>T152</xm:sqref>
        </x14:conditionalFormatting>
        <x14:conditionalFormatting xmlns:xm="http://schemas.microsoft.com/office/excel/2006/main">
          <x14:cfRule type="dataBar" id="{609D976D-D933-4BF6-8A75-933D121BF0D1}">
            <x14:dataBar minLength="0" maxLength="100" border="1" gradient="0">
              <x14:cfvo type="num">
                <xm:f>0</xm:f>
              </x14:cfvo>
              <x14:cfvo type="num">
                <xm:f>1</xm:f>
              </x14:cfvo>
              <x14:borderColor theme="0"/>
              <x14:negativeFillColor rgb="FFFF0000"/>
              <x14:axisColor rgb="FF000000"/>
            </x14:dataBar>
          </x14:cfRule>
          <xm:sqref>T154</xm:sqref>
        </x14:conditionalFormatting>
        <x14:conditionalFormatting xmlns:xm="http://schemas.microsoft.com/office/excel/2006/main">
          <x14:cfRule type="dataBar" id="{C13863A2-4919-4370-A10D-8945EC28A046}">
            <x14:dataBar minLength="0" maxLength="100" border="1" gradient="0">
              <x14:cfvo type="num">
                <xm:f>0</xm:f>
              </x14:cfvo>
              <x14:cfvo type="num">
                <xm:f>1</xm:f>
              </x14:cfvo>
              <x14:borderColor theme="0"/>
              <x14:negativeFillColor rgb="FFFF0000"/>
              <x14:axisColor rgb="FF000000"/>
            </x14:dataBar>
          </x14:cfRule>
          <xm:sqref>T156</xm:sqref>
        </x14:conditionalFormatting>
        <x14:conditionalFormatting xmlns:xm="http://schemas.microsoft.com/office/excel/2006/main">
          <x14:cfRule type="dataBar" id="{42AA2F33-29A2-49C2-830F-31B6C8B4BE33}">
            <x14:dataBar minLength="0" maxLength="100" border="1" gradient="0">
              <x14:cfvo type="num">
                <xm:f>0</xm:f>
              </x14:cfvo>
              <x14:cfvo type="num">
                <xm:f>1</xm:f>
              </x14:cfvo>
              <x14:borderColor theme="0"/>
              <x14:negativeFillColor rgb="FFFF0000"/>
              <x14:axisColor rgb="FF000000"/>
            </x14:dataBar>
          </x14:cfRule>
          <xm:sqref>T158</xm:sqref>
        </x14:conditionalFormatting>
        <x14:conditionalFormatting xmlns:xm="http://schemas.microsoft.com/office/excel/2006/main">
          <x14:cfRule type="dataBar" id="{E51B3FC8-EF05-4009-B307-C0511DDF3C6C}">
            <x14:dataBar minLength="0" maxLength="100" border="1" gradient="0">
              <x14:cfvo type="num">
                <xm:f>0</xm:f>
              </x14:cfvo>
              <x14:cfvo type="num">
                <xm:f>1</xm:f>
              </x14:cfvo>
              <x14:borderColor theme="0"/>
              <x14:negativeFillColor rgb="FFFF0000"/>
              <x14:axisColor rgb="FF000000"/>
            </x14:dataBar>
          </x14:cfRule>
          <xm:sqref>T160</xm:sqref>
        </x14:conditionalFormatting>
        <x14:conditionalFormatting xmlns:xm="http://schemas.microsoft.com/office/excel/2006/main">
          <x14:cfRule type="dataBar" id="{139C7262-7809-4885-B07E-F72E4681F791}">
            <x14:dataBar minLength="0" maxLength="100" border="1" gradient="0">
              <x14:cfvo type="num">
                <xm:f>0</xm:f>
              </x14:cfvo>
              <x14:cfvo type="num">
                <xm:f>1</xm:f>
              </x14:cfvo>
              <x14:borderColor theme="0"/>
              <x14:negativeFillColor rgb="FFFF0000"/>
              <x14:axisColor rgb="FF000000"/>
            </x14:dataBar>
          </x14:cfRule>
          <xm:sqref>T162</xm:sqref>
        </x14:conditionalFormatting>
        <x14:conditionalFormatting xmlns:xm="http://schemas.microsoft.com/office/excel/2006/main">
          <x14:cfRule type="dataBar" id="{0307849E-BB22-4F9C-A7E1-530669D8B607}">
            <x14:dataBar minLength="0" maxLength="100" border="1" gradient="0">
              <x14:cfvo type="num">
                <xm:f>0</xm:f>
              </x14:cfvo>
              <x14:cfvo type="num">
                <xm:f>1</xm:f>
              </x14:cfvo>
              <x14:borderColor theme="0"/>
              <x14:negativeFillColor rgb="FFFF0000"/>
              <x14:axisColor rgb="FF000000"/>
            </x14:dataBar>
          </x14:cfRule>
          <xm:sqref>T164</xm:sqref>
        </x14:conditionalFormatting>
        <x14:conditionalFormatting xmlns:xm="http://schemas.microsoft.com/office/excel/2006/main">
          <x14:cfRule type="dataBar" id="{95C96FCC-41F4-402B-BD57-1A56FFFAE6F4}">
            <x14:dataBar minLength="0" maxLength="100" border="1" gradient="0">
              <x14:cfvo type="num">
                <xm:f>0</xm:f>
              </x14:cfvo>
              <x14:cfvo type="num">
                <xm:f>1</xm:f>
              </x14:cfvo>
              <x14:borderColor theme="0"/>
              <x14:negativeFillColor rgb="FFFF0000"/>
              <x14:axisColor rgb="FF000000"/>
            </x14:dataBar>
          </x14:cfRule>
          <xm:sqref>T166</xm:sqref>
        </x14:conditionalFormatting>
        <x14:conditionalFormatting xmlns:xm="http://schemas.microsoft.com/office/excel/2006/main">
          <x14:cfRule type="dataBar" id="{B275785A-3E2F-4A92-AEA6-CF635106BC03}">
            <x14:dataBar minLength="0" maxLength="100" border="1" gradient="0">
              <x14:cfvo type="num">
                <xm:f>0</xm:f>
              </x14:cfvo>
              <x14:cfvo type="num">
                <xm:f>1</xm:f>
              </x14:cfvo>
              <x14:borderColor theme="0"/>
              <x14:negativeFillColor rgb="FFFF0000"/>
              <x14:axisColor rgb="FF000000"/>
            </x14:dataBar>
          </x14:cfRule>
          <xm:sqref>T168</xm:sqref>
        </x14:conditionalFormatting>
        <x14:conditionalFormatting xmlns:xm="http://schemas.microsoft.com/office/excel/2006/main">
          <x14:cfRule type="dataBar" id="{116C5944-2DD5-479C-958D-99F2DF1AE308}">
            <x14:dataBar minLength="0" maxLength="100" border="1" gradient="0">
              <x14:cfvo type="num">
                <xm:f>0</xm:f>
              </x14:cfvo>
              <x14:cfvo type="num">
                <xm:f>1</xm:f>
              </x14:cfvo>
              <x14:borderColor theme="0"/>
              <x14:negativeFillColor rgb="FFFF0000"/>
              <x14:axisColor rgb="FF000000"/>
            </x14:dataBar>
          </x14:cfRule>
          <xm:sqref>T170</xm:sqref>
        </x14:conditionalFormatting>
        <x14:conditionalFormatting xmlns:xm="http://schemas.microsoft.com/office/excel/2006/main">
          <x14:cfRule type="dataBar" id="{4BCDDD90-8EC5-4E5E-9C68-7AAC88E82D52}">
            <x14:dataBar minLength="0" maxLength="100" border="1" gradient="0">
              <x14:cfvo type="num">
                <xm:f>0</xm:f>
              </x14:cfvo>
              <x14:cfvo type="num">
                <xm:f>1</xm:f>
              </x14:cfvo>
              <x14:borderColor theme="0"/>
              <x14:negativeFillColor rgb="FFFF0000"/>
              <x14:axisColor rgb="FF000000"/>
            </x14:dataBar>
          </x14:cfRule>
          <xm:sqref>T172</xm:sqref>
        </x14:conditionalFormatting>
        <x14:conditionalFormatting xmlns:xm="http://schemas.microsoft.com/office/excel/2006/main">
          <x14:cfRule type="dataBar" id="{82AAB844-93E1-4800-86B1-25C6659082EB}">
            <x14:dataBar minLength="0" maxLength="100" border="1" gradient="0">
              <x14:cfvo type="num">
                <xm:f>0</xm:f>
              </x14:cfvo>
              <x14:cfvo type="num">
                <xm:f>1</xm:f>
              </x14:cfvo>
              <x14:borderColor theme="0"/>
              <x14:negativeFillColor rgb="FFFF0000"/>
              <x14:axisColor rgb="FF000000"/>
            </x14:dataBar>
          </x14:cfRule>
          <xm:sqref>T174</xm:sqref>
        </x14:conditionalFormatting>
        <x14:conditionalFormatting xmlns:xm="http://schemas.microsoft.com/office/excel/2006/main">
          <x14:cfRule type="dataBar" id="{168E452C-B6ED-4D0C-A490-1BC863D48F2E}">
            <x14:dataBar minLength="0" maxLength="100" border="1" gradient="0">
              <x14:cfvo type="num">
                <xm:f>0</xm:f>
              </x14:cfvo>
              <x14:cfvo type="num">
                <xm:f>1</xm:f>
              </x14:cfvo>
              <x14:borderColor theme="0"/>
              <x14:negativeFillColor rgb="FFFF0000"/>
              <x14:axisColor rgb="FF000000"/>
            </x14:dataBar>
          </x14:cfRule>
          <xm:sqref>T176</xm:sqref>
        </x14:conditionalFormatting>
        <x14:conditionalFormatting xmlns:xm="http://schemas.microsoft.com/office/excel/2006/main">
          <x14:cfRule type="dataBar" id="{866CE37C-1968-4EB2-BFF6-9BD168333516}">
            <x14:dataBar minLength="0" maxLength="100" border="1" gradient="0">
              <x14:cfvo type="num">
                <xm:f>0</xm:f>
              </x14:cfvo>
              <x14:cfvo type="num">
                <xm:f>1</xm:f>
              </x14:cfvo>
              <x14:borderColor theme="0"/>
              <x14:negativeFillColor rgb="FFFF0000"/>
              <x14:axisColor rgb="FF000000"/>
            </x14:dataBar>
          </x14:cfRule>
          <xm:sqref>T180</xm:sqref>
        </x14:conditionalFormatting>
        <x14:conditionalFormatting xmlns:xm="http://schemas.microsoft.com/office/excel/2006/main">
          <x14:cfRule type="dataBar" id="{9F2F5BE5-42F1-418E-AFCB-84A9F00412D8}">
            <x14:dataBar minLength="0" maxLength="100" border="1" gradient="0">
              <x14:cfvo type="num">
                <xm:f>0</xm:f>
              </x14:cfvo>
              <x14:cfvo type="num">
                <xm:f>1</xm:f>
              </x14:cfvo>
              <x14:borderColor theme="0"/>
              <x14:negativeFillColor rgb="FFFF0000"/>
              <x14:axisColor rgb="FF000000"/>
            </x14:dataBar>
          </x14:cfRule>
          <xm:sqref>T182</xm:sqref>
        </x14:conditionalFormatting>
        <x14:conditionalFormatting xmlns:xm="http://schemas.microsoft.com/office/excel/2006/main">
          <x14:cfRule type="dataBar" id="{CE4E7D04-3F69-4DF1-84E3-3053F3AFC73D}">
            <x14:dataBar minLength="0" maxLength="100" border="1" gradient="0">
              <x14:cfvo type="num">
                <xm:f>0</xm:f>
              </x14:cfvo>
              <x14:cfvo type="num">
                <xm:f>1</xm:f>
              </x14:cfvo>
              <x14:borderColor theme="0"/>
              <x14:negativeFillColor rgb="FFFF0000"/>
              <x14:axisColor rgb="FF000000"/>
            </x14:dataBar>
          </x14:cfRule>
          <xm:sqref>T184</xm:sqref>
        </x14:conditionalFormatting>
        <x14:conditionalFormatting xmlns:xm="http://schemas.microsoft.com/office/excel/2006/main">
          <x14:cfRule type="dataBar" id="{AC347DD9-E40E-49F7-A095-F64D44E4B6DA}">
            <x14:dataBar minLength="0" maxLength="100" border="1" gradient="0">
              <x14:cfvo type="num">
                <xm:f>0</xm:f>
              </x14:cfvo>
              <x14:cfvo type="num">
                <xm:f>1</xm:f>
              </x14:cfvo>
              <x14:borderColor theme="0"/>
              <x14:negativeFillColor rgb="FFFF0000"/>
              <x14:axisColor rgb="FF000000"/>
            </x14:dataBar>
          </x14:cfRule>
          <xm:sqref>T186</xm:sqref>
        </x14:conditionalFormatting>
        <x14:conditionalFormatting xmlns:xm="http://schemas.microsoft.com/office/excel/2006/main">
          <x14:cfRule type="dataBar" id="{9C0981F6-BC33-4C31-BE36-F446A4132493}">
            <x14:dataBar minLength="0" maxLength="100" border="1" gradient="0">
              <x14:cfvo type="num">
                <xm:f>0</xm:f>
              </x14:cfvo>
              <x14:cfvo type="num">
                <xm:f>1</xm:f>
              </x14:cfvo>
              <x14:borderColor theme="0"/>
              <x14:negativeFillColor rgb="FFFF0000"/>
              <x14:axisColor rgb="FF000000"/>
            </x14:dataBar>
          </x14:cfRule>
          <xm:sqref>T188</xm:sqref>
        </x14:conditionalFormatting>
        <x14:conditionalFormatting xmlns:xm="http://schemas.microsoft.com/office/excel/2006/main">
          <x14:cfRule type="dataBar" id="{9B74C511-9432-4ED4-A645-151F2865CAC4}">
            <x14:dataBar minLength="0" maxLength="100" border="1" gradient="0">
              <x14:cfvo type="num">
                <xm:f>0</xm:f>
              </x14:cfvo>
              <x14:cfvo type="num">
                <xm:f>1</xm:f>
              </x14:cfvo>
              <x14:borderColor theme="0"/>
              <x14:negativeFillColor rgb="FFFF0000"/>
              <x14:axisColor rgb="FF000000"/>
            </x14:dataBar>
          </x14:cfRule>
          <xm:sqref>T190</xm:sqref>
        </x14:conditionalFormatting>
        <x14:conditionalFormatting xmlns:xm="http://schemas.microsoft.com/office/excel/2006/main">
          <x14:cfRule type="dataBar" id="{E25A9BD3-57C8-416D-A454-E739D7127C9B}">
            <x14:dataBar minLength="0" maxLength="100" border="1" gradient="0">
              <x14:cfvo type="num">
                <xm:f>0</xm:f>
              </x14:cfvo>
              <x14:cfvo type="num">
                <xm:f>1</xm:f>
              </x14:cfvo>
              <x14:borderColor theme="0"/>
              <x14:negativeFillColor rgb="FFFF0000"/>
              <x14:axisColor rgb="FF000000"/>
            </x14:dataBar>
          </x14:cfRule>
          <xm:sqref>T192</xm:sqref>
        </x14:conditionalFormatting>
        <x14:conditionalFormatting xmlns:xm="http://schemas.microsoft.com/office/excel/2006/main">
          <x14:cfRule type="dataBar" id="{8B70D831-1FAF-406F-92A6-E2D342094449}">
            <x14:dataBar minLength="0" maxLength="100" border="1" gradient="0">
              <x14:cfvo type="num">
                <xm:f>0</xm:f>
              </x14:cfvo>
              <x14:cfvo type="num">
                <xm:f>1</xm:f>
              </x14:cfvo>
              <x14:borderColor theme="0"/>
              <x14:negativeFillColor rgb="FFFF0000"/>
              <x14:axisColor rgb="FF000000"/>
            </x14:dataBar>
          </x14:cfRule>
          <xm:sqref>T194</xm:sqref>
        </x14:conditionalFormatting>
        <x14:conditionalFormatting xmlns:xm="http://schemas.microsoft.com/office/excel/2006/main">
          <x14:cfRule type="dataBar" id="{3241C1FC-BFEB-4EFA-8721-5D8905B6866C}">
            <x14:dataBar minLength="0" maxLength="100" border="1" gradient="0">
              <x14:cfvo type="num">
                <xm:f>0</xm:f>
              </x14:cfvo>
              <x14:cfvo type="num">
                <xm:f>1</xm:f>
              </x14:cfvo>
              <x14:borderColor theme="0"/>
              <x14:negativeFillColor rgb="FFFF0000"/>
              <x14:axisColor rgb="FF000000"/>
            </x14:dataBar>
          </x14:cfRule>
          <xm:sqref>T196</xm:sqref>
        </x14:conditionalFormatting>
        <x14:conditionalFormatting xmlns:xm="http://schemas.microsoft.com/office/excel/2006/main">
          <x14:cfRule type="dataBar" id="{F1504311-779D-4D14-8C7A-53F2D31C8ADD}">
            <x14:dataBar minLength="0" maxLength="100" border="1" gradient="0">
              <x14:cfvo type="num">
                <xm:f>0</xm:f>
              </x14:cfvo>
              <x14:cfvo type="num">
                <xm:f>1</xm:f>
              </x14:cfvo>
              <x14:borderColor theme="0"/>
              <x14:negativeFillColor rgb="FFFF0000"/>
              <x14:axisColor rgb="FF000000"/>
            </x14:dataBar>
          </x14:cfRule>
          <xm:sqref>T198</xm:sqref>
        </x14:conditionalFormatting>
        <x14:conditionalFormatting xmlns:xm="http://schemas.microsoft.com/office/excel/2006/main">
          <x14:cfRule type="dataBar" id="{377938B1-B2CD-4258-B704-08E37713A6A6}">
            <x14:dataBar minLength="0" maxLength="100" border="1" gradient="0">
              <x14:cfvo type="num">
                <xm:f>0</xm:f>
              </x14:cfvo>
              <x14:cfvo type="num">
                <xm:f>1</xm:f>
              </x14:cfvo>
              <x14:borderColor theme="0"/>
              <x14:negativeFillColor rgb="FFFF0000"/>
              <x14:axisColor rgb="FF000000"/>
            </x14:dataBar>
          </x14:cfRule>
          <xm:sqref>T200</xm:sqref>
        </x14:conditionalFormatting>
        <x14:conditionalFormatting xmlns:xm="http://schemas.microsoft.com/office/excel/2006/main">
          <x14:cfRule type="dataBar" id="{E62CBE9E-99DF-4F6E-B2C0-FF1E80A58503}">
            <x14:dataBar minLength="0" maxLength="100" border="1" gradient="0">
              <x14:cfvo type="num">
                <xm:f>0</xm:f>
              </x14:cfvo>
              <x14:cfvo type="num">
                <xm:f>1</xm:f>
              </x14:cfvo>
              <x14:borderColor theme="0"/>
              <x14:negativeFillColor rgb="FFFF0000"/>
              <x14:axisColor rgb="FF000000"/>
            </x14:dataBar>
          </x14:cfRule>
          <xm:sqref>T202</xm:sqref>
        </x14:conditionalFormatting>
        <x14:conditionalFormatting xmlns:xm="http://schemas.microsoft.com/office/excel/2006/main">
          <x14:cfRule type="dataBar" id="{6BF0A1BD-BA5F-4349-B34C-7DBC9A5BC0E7}">
            <x14:dataBar minLength="0" maxLength="100" border="1" gradient="0">
              <x14:cfvo type="num">
                <xm:f>0</xm:f>
              </x14:cfvo>
              <x14:cfvo type="num">
                <xm:f>1</xm:f>
              </x14:cfvo>
              <x14:borderColor theme="0"/>
              <x14:negativeFillColor rgb="FFFF0000"/>
              <x14:axisColor rgb="FF000000"/>
            </x14:dataBar>
          </x14:cfRule>
          <xm:sqref>T204</xm:sqref>
        </x14:conditionalFormatting>
        <x14:conditionalFormatting xmlns:xm="http://schemas.microsoft.com/office/excel/2006/main">
          <x14:cfRule type="dataBar" id="{233B8885-7E47-4D85-9ACD-5B4C425A75B9}">
            <x14:dataBar minLength="0" maxLength="100" border="1" gradient="0">
              <x14:cfvo type="num">
                <xm:f>0</xm:f>
              </x14:cfvo>
              <x14:cfvo type="num">
                <xm:f>1</xm:f>
              </x14:cfvo>
              <x14:borderColor theme="0"/>
              <x14:negativeFillColor rgb="FFFF0000"/>
              <x14:axisColor rgb="FF000000"/>
            </x14:dataBar>
          </x14:cfRule>
          <xm:sqref>T206</xm:sqref>
        </x14:conditionalFormatting>
        <x14:conditionalFormatting xmlns:xm="http://schemas.microsoft.com/office/excel/2006/main">
          <x14:cfRule type="dataBar" id="{729E3EC4-5BEF-40E6-9B5B-C6F0ECD3D95D}">
            <x14:dataBar minLength="0" maxLength="100" border="1" gradient="0">
              <x14:cfvo type="num">
                <xm:f>0</xm:f>
              </x14:cfvo>
              <x14:cfvo type="num">
                <xm:f>1</xm:f>
              </x14:cfvo>
              <x14:borderColor theme="0"/>
              <x14:negativeFillColor rgb="FFFF0000"/>
              <x14:axisColor rgb="FF000000"/>
            </x14:dataBar>
          </x14:cfRule>
          <xm:sqref>T208</xm:sqref>
        </x14:conditionalFormatting>
        <x14:conditionalFormatting xmlns:xm="http://schemas.microsoft.com/office/excel/2006/main">
          <x14:cfRule type="dataBar" id="{10070863-68F9-48FD-8992-95D730E57A2C}">
            <x14:dataBar minLength="0" maxLength="100" border="1" gradient="0">
              <x14:cfvo type="num">
                <xm:f>0</xm:f>
              </x14:cfvo>
              <x14:cfvo type="num">
                <xm:f>1</xm:f>
              </x14:cfvo>
              <x14:borderColor theme="0"/>
              <x14:negativeFillColor rgb="FFFF0000"/>
              <x14:axisColor rgb="FF000000"/>
            </x14:dataBar>
          </x14:cfRule>
          <xm:sqref>T210</xm:sqref>
        </x14:conditionalFormatting>
        <x14:conditionalFormatting xmlns:xm="http://schemas.microsoft.com/office/excel/2006/main">
          <x14:cfRule type="dataBar" id="{4B6137E2-73B2-4CC6-A49A-C5F34C913F76}">
            <x14:dataBar minLength="0" maxLength="100" border="1" gradient="0">
              <x14:cfvo type="num">
                <xm:f>0</xm:f>
              </x14:cfvo>
              <x14:cfvo type="num">
                <xm:f>1</xm:f>
              </x14:cfvo>
              <x14:borderColor theme="0"/>
              <x14:negativeFillColor rgb="FFFF0000"/>
              <x14:axisColor rgb="FF000000"/>
            </x14:dataBar>
          </x14:cfRule>
          <xm:sqref>T212</xm:sqref>
        </x14:conditionalFormatting>
        <x14:conditionalFormatting xmlns:xm="http://schemas.microsoft.com/office/excel/2006/main">
          <x14:cfRule type="dataBar" id="{C4B3F95F-E441-43E0-85B3-AC461FA18A20}">
            <x14:dataBar minLength="0" maxLength="100" border="1" gradient="0">
              <x14:cfvo type="num">
                <xm:f>0</xm:f>
              </x14:cfvo>
              <x14:cfvo type="num">
                <xm:f>1</xm:f>
              </x14:cfvo>
              <x14:borderColor theme="0"/>
              <x14:negativeFillColor rgb="FFFF0000"/>
              <x14:axisColor rgb="FF000000"/>
            </x14:dataBar>
          </x14:cfRule>
          <xm:sqref>T214</xm:sqref>
        </x14:conditionalFormatting>
        <x14:conditionalFormatting xmlns:xm="http://schemas.microsoft.com/office/excel/2006/main">
          <x14:cfRule type="dataBar" id="{2074DE67-C1B4-4775-8253-BFE30CCC65A1}">
            <x14:dataBar minLength="0" maxLength="100" border="1" gradient="0">
              <x14:cfvo type="num">
                <xm:f>0</xm:f>
              </x14:cfvo>
              <x14:cfvo type="num">
                <xm:f>1</xm:f>
              </x14:cfvo>
              <x14:borderColor theme="0"/>
              <x14:negativeFillColor rgb="FFFF0000"/>
              <x14:axisColor rgb="FF000000"/>
            </x14:dataBar>
          </x14:cfRule>
          <xm:sqref>T216</xm:sqref>
        </x14:conditionalFormatting>
        <x14:conditionalFormatting xmlns:xm="http://schemas.microsoft.com/office/excel/2006/main">
          <x14:cfRule type="dataBar" id="{BB276145-46E9-4435-9D97-5614745B1083}">
            <x14:dataBar minLength="0" maxLength="100" border="1" gradient="0">
              <x14:cfvo type="num">
                <xm:f>0</xm:f>
              </x14:cfvo>
              <x14:cfvo type="num">
                <xm:f>1</xm:f>
              </x14:cfvo>
              <x14:borderColor theme="0"/>
              <x14:negativeFillColor rgb="FFFF0000"/>
              <x14:axisColor rgb="FF000000"/>
            </x14:dataBar>
          </x14:cfRule>
          <xm:sqref>T218</xm:sqref>
        </x14:conditionalFormatting>
        <x14:conditionalFormatting xmlns:xm="http://schemas.microsoft.com/office/excel/2006/main">
          <x14:cfRule type="dataBar" id="{FFE9D05C-3CBC-479E-8907-2077CA4CA2A4}">
            <x14:dataBar minLength="0" maxLength="100" border="1" gradient="0">
              <x14:cfvo type="num">
                <xm:f>0</xm:f>
              </x14:cfvo>
              <x14:cfvo type="num">
                <xm:f>1</xm:f>
              </x14:cfvo>
              <x14:borderColor theme="0"/>
              <x14:negativeFillColor rgb="FFFF0000"/>
              <x14:axisColor rgb="FF000000"/>
            </x14:dataBar>
          </x14:cfRule>
          <xm:sqref>T220</xm:sqref>
        </x14:conditionalFormatting>
        <x14:conditionalFormatting xmlns:xm="http://schemas.microsoft.com/office/excel/2006/main">
          <x14:cfRule type="dataBar" id="{B391A28C-9E5C-4AEB-937A-5C079DE18F97}">
            <x14:dataBar minLength="0" maxLength="100" border="1" gradient="0">
              <x14:cfvo type="num">
                <xm:f>0</xm:f>
              </x14:cfvo>
              <x14:cfvo type="num">
                <xm:f>1</xm:f>
              </x14:cfvo>
              <x14:borderColor theme="0"/>
              <x14:negativeFillColor rgb="FFFF0000"/>
              <x14:axisColor rgb="FF000000"/>
            </x14:dataBar>
          </x14:cfRule>
          <xm:sqref>T222</xm:sqref>
        </x14:conditionalFormatting>
        <x14:conditionalFormatting xmlns:xm="http://schemas.microsoft.com/office/excel/2006/main">
          <x14:cfRule type="dataBar" id="{965A5B05-F9A2-45DF-945B-3F63DA9BDC24}">
            <x14:dataBar minLength="0" maxLength="100" border="1" gradient="0">
              <x14:cfvo type="num">
                <xm:f>0</xm:f>
              </x14:cfvo>
              <x14:cfvo type="num">
                <xm:f>1</xm:f>
              </x14:cfvo>
              <x14:borderColor theme="0"/>
              <x14:negativeFillColor rgb="FFFF0000"/>
              <x14:axisColor rgb="FF000000"/>
            </x14:dataBar>
          </x14:cfRule>
          <xm:sqref>T226</xm:sqref>
        </x14:conditionalFormatting>
        <x14:conditionalFormatting xmlns:xm="http://schemas.microsoft.com/office/excel/2006/main">
          <x14:cfRule type="dataBar" id="{5DA82F22-731C-4011-99FE-06F3260D5AF7}">
            <x14:dataBar minLength="0" maxLength="100" border="1" gradient="0">
              <x14:cfvo type="num">
                <xm:f>0</xm:f>
              </x14:cfvo>
              <x14:cfvo type="num">
                <xm:f>1</xm:f>
              </x14:cfvo>
              <x14:borderColor theme="0"/>
              <x14:negativeFillColor rgb="FFFF0000"/>
              <x14:axisColor rgb="FF000000"/>
            </x14:dataBar>
          </x14:cfRule>
          <xm:sqref>T229</xm:sqref>
        </x14:conditionalFormatting>
        <x14:conditionalFormatting xmlns:xm="http://schemas.microsoft.com/office/excel/2006/main">
          <x14:cfRule type="dataBar" id="{8E70B4F4-2472-470D-A7BE-72B47609F9CE}">
            <x14:dataBar minLength="0" maxLength="100" border="1" gradient="0">
              <x14:cfvo type="num">
                <xm:f>0</xm:f>
              </x14:cfvo>
              <x14:cfvo type="num">
                <xm:f>1</xm:f>
              </x14:cfvo>
              <x14:borderColor theme="0"/>
              <x14:negativeFillColor rgb="FFFF0000"/>
              <x14:axisColor rgb="FF000000"/>
            </x14:dataBar>
          </x14:cfRule>
          <xm:sqref>T233</xm:sqref>
        </x14:conditionalFormatting>
        <x14:conditionalFormatting xmlns:xm="http://schemas.microsoft.com/office/excel/2006/main">
          <x14:cfRule type="dataBar" id="{BF1346BC-ECC2-472B-845A-B0464BC2C85E}">
            <x14:dataBar minLength="0" maxLength="100" border="1" gradient="0">
              <x14:cfvo type="num">
                <xm:f>0</xm:f>
              </x14:cfvo>
              <x14:cfvo type="num">
                <xm:f>1</xm:f>
              </x14:cfvo>
              <x14:borderColor theme="0"/>
              <x14:negativeFillColor rgb="FFFF0000"/>
              <x14:axisColor rgb="FF000000"/>
            </x14:dataBar>
          </x14:cfRule>
          <xm:sqref>T235</xm:sqref>
        </x14:conditionalFormatting>
        <x14:conditionalFormatting xmlns:xm="http://schemas.microsoft.com/office/excel/2006/main">
          <x14:cfRule type="dataBar" id="{0F004F63-8B26-433B-911D-8E9063E808AE}">
            <x14:dataBar minLength="0" maxLength="100" border="1" gradient="0">
              <x14:cfvo type="num">
                <xm:f>0</xm:f>
              </x14:cfvo>
              <x14:cfvo type="num">
                <xm:f>1</xm:f>
              </x14:cfvo>
              <x14:borderColor theme="0"/>
              <x14:negativeFillColor rgb="FFFF0000"/>
              <x14:axisColor rgb="FF000000"/>
            </x14:dataBar>
          </x14:cfRule>
          <xm:sqref>T237</xm:sqref>
        </x14:conditionalFormatting>
        <x14:conditionalFormatting xmlns:xm="http://schemas.microsoft.com/office/excel/2006/main">
          <x14:cfRule type="dataBar" id="{3772B47B-D47F-43B8-9DDC-A0ABC889707E}">
            <x14:dataBar minLength="0" maxLength="100" border="1" gradient="0">
              <x14:cfvo type="num">
                <xm:f>0</xm:f>
              </x14:cfvo>
              <x14:cfvo type="num">
                <xm:f>1</xm:f>
              </x14:cfvo>
              <x14:borderColor theme="0"/>
              <x14:negativeFillColor rgb="FFFF0000"/>
              <x14:axisColor rgb="FF000000"/>
            </x14:dataBar>
          </x14:cfRule>
          <xm:sqref>T239</xm:sqref>
        </x14:conditionalFormatting>
        <x14:conditionalFormatting xmlns:xm="http://schemas.microsoft.com/office/excel/2006/main">
          <x14:cfRule type="dataBar" id="{1C2EE2B8-B12D-49E7-A365-173C2A258878}">
            <x14:dataBar minLength="0" maxLength="100" border="1" gradient="0">
              <x14:cfvo type="num">
                <xm:f>0</xm:f>
              </x14:cfvo>
              <x14:cfvo type="num">
                <xm:f>1</xm:f>
              </x14:cfvo>
              <x14:borderColor theme="0"/>
              <x14:negativeFillColor rgb="FFFF0000"/>
              <x14:axisColor rgb="FF000000"/>
            </x14:dataBar>
          </x14:cfRule>
          <xm:sqref>T241</xm:sqref>
        </x14:conditionalFormatting>
        <x14:conditionalFormatting xmlns:xm="http://schemas.microsoft.com/office/excel/2006/main">
          <x14:cfRule type="dataBar" id="{FA6090A6-5F7F-48DD-9A29-16A1560ED332}">
            <x14:dataBar minLength="0" maxLength="100" border="1" gradient="0">
              <x14:cfvo type="num">
                <xm:f>0</xm:f>
              </x14:cfvo>
              <x14:cfvo type="num">
                <xm:f>1</xm:f>
              </x14:cfvo>
              <x14:borderColor theme="0"/>
              <x14:negativeFillColor rgb="FFFF0000"/>
              <x14:axisColor rgb="FF000000"/>
            </x14:dataBar>
          </x14:cfRule>
          <xm:sqref>T243</xm:sqref>
        </x14:conditionalFormatting>
        <x14:conditionalFormatting xmlns:xm="http://schemas.microsoft.com/office/excel/2006/main">
          <x14:cfRule type="dataBar" id="{42B08EB3-87CF-49B3-AA19-96F796A8C372}">
            <x14:dataBar minLength="0" maxLength="100" border="1" gradient="0">
              <x14:cfvo type="num">
                <xm:f>0</xm:f>
              </x14:cfvo>
              <x14:cfvo type="num">
                <xm:f>1</xm:f>
              </x14:cfvo>
              <x14:borderColor theme="0"/>
              <x14:negativeFillColor rgb="FFFF0000"/>
              <x14:axisColor rgb="FF000000"/>
            </x14:dataBar>
          </x14:cfRule>
          <xm:sqref>T245</xm:sqref>
        </x14:conditionalFormatting>
        <x14:conditionalFormatting xmlns:xm="http://schemas.microsoft.com/office/excel/2006/main">
          <x14:cfRule type="dataBar" id="{BB80D7C5-C408-432B-86DC-6A61CBCAFA5F}">
            <x14:dataBar minLength="0" maxLength="100" border="1" gradient="0">
              <x14:cfvo type="num">
                <xm:f>0</xm:f>
              </x14:cfvo>
              <x14:cfvo type="num">
                <xm:f>1</xm:f>
              </x14:cfvo>
              <x14:borderColor theme="0"/>
              <x14:negativeFillColor rgb="FFFF0000"/>
              <x14:axisColor rgb="FF000000"/>
            </x14:dataBar>
          </x14:cfRule>
          <xm:sqref>T247</xm:sqref>
        </x14:conditionalFormatting>
        <x14:conditionalFormatting xmlns:xm="http://schemas.microsoft.com/office/excel/2006/main">
          <x14:cfRule type="dataBar" id="{C2B7BAA2-2028-4B0F-BF33-BB07E4850C38}">
            <x14:dataBar minLength="0" maxLength="100" border="1" gradient="0">
              <x14:cfvo type="num">
                <xm:f>0</xm:f>
              </x14:cfvo>
              <x14:cfvo type="num">
                <xm:f>1</xm:f>
              </x14:cfvo>
              <x14:borderColor theme="0"/>
              <x14:negativeFillColor rgb="FFFF0000"/>
              <x14:axisColor rgb="FF000000"/>
            </x14:dataBar>
          </x14:cfRule>
          <xm:sqref>T249</xm:sqref>
        </x14:conditionalFormatting>
        <x14:conditionalFormatting xmlns:xm="http://schemas.microsoft.com/office/excel/2006/main">
          <x14:cfRule type="dataBar" id="{1D6E2B86-58AE-4676-9739-3D600C10E9E3}">
            <x14:dataBar minLength="0" maxLength="100" border="1" gradient="0">
              <x14:cfvo type="num">
                <xm:f>0</xm:f>
              </x14:cfvo>
              <x14:cfvo type="num">
                <xm:f>1</xm:f>
              </x14:cfvo>
              <x14:borderColor theme="0"/>
              <x14:negativeFillColor rgb="FFFF0000"/>
              <x14:axisColor rgb="FF000000"/>
            </x14:dataBar>
          </x14:cfRule>
          <xm:sqref>T251</xm:sqref>
        </x14:conditionalFormatting>
        <x14:conditionalFormatting xmlns:xm="http://schemas.microsoft.com/office/excel/2006/main">
          <x14:cfRule type="dataBar" id="{17750FCC-95E7-426C-8808-4474752012AD}">
            <x14:dataBar minLength="0" maxLength="100" border="1" gradient="0">
              <x14:cfvo type="num">
                <xm:f>0</xm:f>
              </x14:cfvo>
              <x14:cfvo type="num">
                <xm:f>1</xm:f>
              </x14:cfvo>
              <x14:borderColor theme="0"/>
              <x14:negativeFillColor rgb="FFFF0000"/>
              <x14:axisColor rgb="FF000000"/>
            </x14:dataBar>
          </x14:cfRule>
          <xm:sqref>T253</xm:sqref>
        </x14:conditionalFormatting>
        <x14:conditionalFormatting xmlns:xm="http://schemas.microsoft.com/office/excel/2006/main">
          <x14:cfRule type="dataBar" id="{0BEFD6C8-649D-46BD-B38E-AD2058142087}">
            <x14:dataBar minLength="0" maxLength="100" border="1" gradient="0">
              <x14:cfvo type="num">
                <xm:f>0</xm:f>
              </x14:cfvo>
              <x14:cfvo type="num">
                <xm:f>1</xm:f>
              </x14:cfvo>
              <x14:borderColor theme="0"/>
              <x14:negativeFillColor rgb="FFFF0000"/>
              <x14:axisColor rgb="FF000000"/>
            </x14:dataBar>
          </x14:cfRule>
          <xm:sqref>T255</xm:sqref>
        </x14:conditionalFormatting>
        <x14:conditionalFormatting xmlns:xm="http://schemas.microsoft.com/office/excel/2006/main">
          <x14:cfRule type="dataBar" id="{CF3CA095-A361-4D19-A60B-FB042DE4AF14}">
            <x14:dataBar minLength="0" maxLength="100" border="1" gradient="0">
              <x14:cfvo type="num">
                <xm:f>0</xm:f>
              </x14:cfvo>
              <x14:cfvo type="num">
                <xm:f>1</xm:f>
              </x14:cfvo>
              <x14:borderColor theme="0"/>
              <x14:negativeFillColor rgb="FFFF0000"/>
              <x14:axisColor rgb="FF000000"/>
            </x14:dataBar>
          </x14:cfRule>
          <xm:sqref>T257</xm:sqref>
        </x14:conditionalFormatting>
        <x14:conditionalFormatting xmlns:xm="http://schemas.microsoft.com/office/excel/2006/main">
          <x14:cfRule type="dataBar" id="{DD810F3C-968A-446C-8B1E-D1566934923D}">
            <x14:dataBar minLength="0" maxLength="100" border="1" gradient="0">
              <x14:cfvo type="num">
                <xm:f>0</xm:f>
              </x14:cfvo>
              <x14:cfvo type="num">
                <xm:f>1</xm:f>
              </x14:cfvo>
              <x14:borderColor theme="0"/>
              <x14:negativeFillColor rgb="FFFF0000"/>
              <x14:axisColor rgb="FF000000"/>
            </x14:dataBar>
          </x14:cfRule>
          <xm:sqref>T259</xm:sqref>
        </x14:conditionalFormatting>
        <x14:conditionalFormatting xmlns:xm="http://schemas.microsoft.com/office/excel/2006/main">
          <x14:cfRule type="dataBar" id="{A074FA4B-6993-4A68-83E5-768C24071F68}">
            <x14:dataBar minLength="0" maxLength="100" border="1" gradient="0">
              <x14:cfvo type="num">
                <xm:f>0</xm:f>
              </x14:cfvo>
              <x14:cfvo type="num">
                <xm:f>1</xm:f>
              </x14:cfvo>
              <x14:borderColor theme="0"/>
              <x14:negativeFillColor rgb="FFFF0000"/>
              <x14:axisColor rgb="FF000000"/>
            </x14:dataBar>
          </x14:cfRule>
          <xm:sqref>T261</xm:sqref>
        </x14:conditionalFormatting>
        <x14:conditionalFormatting xmlns:xm="http://schemas.microsoft.com/office/excel/2006/main">
          <x14:cfRule type="dataBar" id="{155239FA-27B3-46EB-8261-68FC71CCE2C1}">
            <x14:dataBar minLength="0" maxLength="100" border="1" gradient="0">
              <x14:cfvo type="num">
                <xm:f>0</xm:f>
              </x14:cfvo>
              <x14:cfvo type="num">
                <xm:f>1</xm:f>
              </x14:cfvo>
              <x14:borderColor theme="0"/>
              <x14:negativeFillColor rgb="FFFF0000"/>
              <x14:axisColor rgb="FF000000"/>
            </x14:dataBar>
          </x14:cfRule>
          <xm:sqref>T263</xm:sqref>
        </x14:conditionalFormatting>
        <x14:conditionalFormatting xmlns:xm="http://schemas.microsoft.com/office/excel/2006/main">
          <x14:cfRule type="dataBar" id="{79A239A2-9BC5-451A-BB8F-8F29A07A07D3}">
            <x14:dataBar minLength="0" maxLength="100" border="1" gradient="0">
              <x14:cfvo type="num">
                <xm:f>0</xm:f>
              </x14:cfvo>
              <x14:cfvo type="num">
                <xm:f>1</xm:f>
              </x14:cfvo>
              <x14:borderColor theme="0"/>
              <x14:negativeFillColor rgb="FFFF0000"/>
              <x14:axisColor rgb="FF000000"/>
            </x14:dataBar>
          </x14:cfRule>
          <xm:sqref>T265</xm:sqref>
        </x14:conditionalFormatting>
        <x14:conditionalFormatting xmlns:xm="http://schemas.microsoft.com/office/excel/2006/main">
          <x14:cfRule type="dataBar" id="{FA6DEB8D-55DD-4602-B8B5-5F9A1C666818}">
            <x14:dataBar minLength="0" maxLength="100" border="1" gradient="0">
              <x14:cfvo type="num">
                <xm:f>0</xm:f>
              </x14:cfvo>
              <x14:cfvo type="num">
                <xm:f>1</xm:f>
              </x14:cfvo>
              <x14:borderColor theme="0"/>
              <x14:negativeFillColor rgb="FFFF0000"/>
              <x14:axisColor rgb="FF000000"/>
            </x14:dataBar>
          </x14:cfRule>
          <xm:sqref>T267</xm:sqref>
        </x14:conditionalFormatting>
        <x14:conditionalFormatting xmlns:xm="http://schemas.microsoft.com/office/excel/2006/main">
          <x14:cfRule type="dataBar" id="{5D7AEC86-BFB7-49EF-9269-B1A9603AB9B1}">
            <x14:dataBar minLength="0" maxLength="100" border="1" gradient="0">
              <x14:cfvo type="num">
                <xm:f>0</xm:f>
              </x14:cfvo>
              <x14:cfvo type="num">
                <xm:f>1</xm:f>
              </x14:cfvo>
              <x14:borderColor theme="0"/>
              <x14:negativeFillColor rgb="FFFF0000"/>
              <x14:axisColor rgb="FF000000"/>
            </x14:dataBar>
          </x14:cfRule>
          <xm:sqref>T269</xm:sqref>
        </x14:conditionalFormatting>
        <x14:conditionalFormatting xmlns:xm="http://schemas.microsoft.com/office/excel/2006/main">
          <x14:cfRule type="dataBar" id="{5072F268-6FBA-496E-979B-E556FFAC3A2F}">
            <x14:dataBar minLength="0" maxLength="100" border="1" gradient="0">
              <x14:cfvo type="num">
                <xm:f>0</xm:f>
              </x14:cfvo>
              <x14:cfvo type="num">
                <xm:f>1</xm:f>
              </x14:cfvo>
              <x14:borderColor theme="0"/>
              <x14:negativeFillColor rgb="FFFF0000"/>
              <x14:axisColor rgb="FF000000"/>
            </x14:dataBar>
          </x14:cfRule>
          <xm:sqref>T271</xm:sqref>
        </x14:conditionalFormatting>
        <x14:conditionalFormatting xmlns:xm="http://schemas.microsoft.com/office/excel/2006/main">
          <x14:cfRule type="dataBar" id="{21D837A1-1D2A-42EC-B0E2-7BC39037B830}">
            <x14:dataBar minLength="0" maxLength="100" border="1" gradient="0">
              <x14:cfvo type="num">
                <xm:f>0</xm:f>
              </x14:cfvo>
              <x14:cfvo type="num">
                <xm:f>1</xm:f>
              </x14:cfvo>
              <x14:borderColor theme="0"/>
              <x14:negativeFillColor rgb="FFFF0000"/>
              <x14:axisColor rgb="FF000000"/>
            </x14:dataBar>
          </x14:cfRule>
          <xm:sqref>T273</xm:sqref>
        </x14:conditionalFormatting>
        <x14:conditionalFormatting xmlns:xm="http://schemas.microsoft.com/office/excel/2006/main">
          <x14:cfRule type="dataBar" id="{54BDC715-A6BB-4459-9895-F826E68BB0EE}">
            <x14:dataBar minLength="0" maxLength="100" border="1" gradient="0">
              <x14:cfvo type="num">
                <xm:f>0</xm:f>
              </x14:cfvo>
              <x14:cfvo type="num">
                <xm:f>1</xm:f>
              </x14:cfvo>
              <x14:borderColor theme="0"/>
              <x14:negativeFillColor rgb="FFFF0000"/>
              <x14:axisColor rgb="FF000000"/>
            </x14:dataBar>
          </x14:cfRule>
          <xm:sqref>T275</xm:sqref>
        </x14:conditionalFormatting>
        <x14:conditionalFormatting xmlns:xm="http://schemas.microsoft.com/office/excel/2006/main">
          <x14:cfRule type="dataBar" id="{479B6F52-5466-401A-A7A4-DD41B4D20CC5}">
            <x14:dataBar minLength="0" maxLength="100" border="1" gradient="0">
              <x14:cfvo type="num">
                <xm:f>0</xm:f>
              </x14:cfvo>
              <x14:cfvo type="num">
                <xm:f>1</xm:f>
              </x14:cfvo>
              <x14:borderColor theme="0"/>
              <x14:negativeFillColor rgb="FFFF0000"/>
              <x14:axisColor rgb="FF000000"/>
            </x14:dataBar>
          </x14:cfRule>
          <xm:sqref>T278</xm:sqref>
        </x14:conditionalFormatting>
        <x14:conditionalFormatting xmlns:xm="http://schemas.microsoft.com/office/excel/2006/main">
          <x14:cfRule type="dataBar" id="{FB21201C-1C0B-4063-8AAB-3DA11A3AC42B}">
            <x14:dataBar minLength="0" maxLength="100" border="1" gradient="0">
              <x14:cfvo type="num">
                <xm:f>0</xm:f>
              </x14:cfvo>
              <x14:cfvo type="num">
                <xm:f>1</xm:f>
              </x14:cfvo>
              <x14:borderColor theme="0"/>
              <x14:negativeFillColor rgb="FFFF0000"/>
              <x14:axisColor rgb="FF000000"/>
            </x14:dataBar>
          </x14:cfRule>
          <xm:sqref>T280 T296</xm:sqref>
        </x14:conditionalFormatting>
        <x14:conditionalFormatting xmlns:xm="http://schemas.microsoft.com/office/excel/2006/main">
          <x14:cfRule type="dataBar" id="{E3459D14-B05E-4401-A82E-4E91A5B8B1B5}">
            <x14:dataBar minLength="0" maxLength="100" border="1" gradient="0">
              <x14:cfvo type="num">
                <xm:f>0</xm:f>
              </x14:cfvo>
              <x14:cfvo type="num">
                <xm:f>1</xm:f>
              </x14:cfvo>
              <x14:borderColor theme="0"/>
              <x14:negativeFillColor rgb="FFFF0000"/>
              <x14:axisColor rgb="FF000000"/>
            </x14:dataBar>
          </x14:cfRule>
          <xm:sqref>T282</xm:sqref>
        </x14:conditionalFormatting>
        <x14:conditionalFormatting xmlns:xm="http://schemas.microsoft.com/office/excel/2006/main">
          <x14:cfRule type="dataBar" id="{8CBDD263-072D-4158-95D6-EAF5100D714E}">
            <x14:dataBar minLength="0" maxLength="100" border="1" gradient="0">
              <x14:cfvo type="num">
                <xm:f>0</xm:f>
              </x14:cfvo>
              <x14:cfvo type="num">
                <xm:f>1</xm:f>
              </x14:cfvo>
              <x14:borderColor theme="0"/>
              <x14:negativeFillColor rgb="FFFF0000"/>
              <x14:axisColor rgb="FF000000"/>
            </x14:dataBar>
          </x14:cfRule>
          <xm:sqref>T284</xm:sqref>
        </x14:conditionalFormatting>
        <x14:conditionalFormatting xmlns:xm="http://schemas.microsoft.com/office/excel/2006/main">
          <x14:cfRule type="dataBar" id="{A9723BC0-AD6A-4475-AD0A-067592A78842}">
            <x14:dataBar minLength="0" maxLength="100" border="1" gradient="0">
              <x14:cfvo type="num">
                <xm:f>0</xm:f>
              </x14:cfvo>
              <x14:cfvo type="num">
                <xm:f>1</xm:f>
              </x14:cfvo>
              <x14:borderColor theme="0"/>
              <x14:negativeFillColor rgb="FFFF0000"/>
              <x14:axisColor rgb="FF000000"/>
            </x14:dataBar>
          </x14:cfRule>
          <xm:sqref>T286</xm:sqref>
        </x14:conditionalFormatting>
        <x14:conditionalFormatting xmlns:xm="http://schemas.microsoft.com/office/excel/2006/main">
          <x14:cfRule type="dataBar" id="{B9ECE53A-4645-40D8-8548-8D41F31A48AD}">
            <x14:dataBar minLength="0" maxLength="100" border="1" gradient="0">
              <x14:cfvo type="num">
                <xm:f>0</xm:f>
              </x14:cfvo>
              <x14:cfvo type="num">
                <xm:f>1</xm:f>
              </x14:cfvo>
              <x14:borderColor theme="0"/>
              <x14:negativeFillColor rgb="FFFF0000"/>
              <x14:axisColor rgb="FF000000"/>
            </x14:dataBar>
          </x14:cfRule>
          <xm:sqref>T288</xm:sqref>
        </x14:conditionalFormatting>
        <x14:conditionalFormatting xmlns:xm="http://schemas.microsoft.com/office/excel/2006/main">
          <x14:cfRule type="dataBar" id="{6B54ADF8-243F-4E8D-94E2-1F90CD3218AA}">
            <x14:dataBar minLength="0" maxLength="100" border="1" gradient="0">
              <x14:cfvo type="num">
                <xm:f>0</xm:f>
              </x14:cfvo>
              <x14:cfvo type="num">
                <xm:f>1</xm:f>
              </x14:cfvo>
              <x14:borderColor theme="0"/>
              <x14:negativeFillColor rgb="FFFF0000"/>
              <x14:axisColor rgb="FF000000"/>
            </x14:dataBar>
          </x14:cfRule>
          <xm:sqref>T290</xm:sqref>
        </x14:conditionalFormatting>
        <x14:conditionalFormatting xmlns:xm="http://schemas.microsoft.com/office/excel/2006/main">
          <x14:cfRule type="dataBar" id="{5D7C5B54-21ED-43BA-A9A4-210E39B2AB7D}">
            <x14:dataBar minLength="0" maxLength="100" border="1" gradient="0">
              <x14:cfvo type="num">
                <xm:f>0</xm:f>
              </x14:cfvo>
              <x14:cfvo type="num">
                <xm:f>1</xm:f>
              </x14:cfvo>
              <x14:borderColor theme="0"/>
              <x14:negativeFillColor rgb="FFFF0000"/>
              <x14:axisColor rgb="FF000000"/>
            </x14:dataBar>
          </x14:cfRule>
          <xm:sqref>T292</xm:sqref>
        </x14:conditionalFormatting>
        <x14:conditionalFormatting xmlns:xm="http://schemas.microsoft.com/office/excel/2006/main">
          <x14:cfRule type="dataBar" id="{2C48C0B5-B96A-4598-9EEA-3C98DD4C0ACE}">
            <x14:dataBar minLength="0" maxLength="100" border="1" gradient="0">
              <x14:cfvo type="num">
                <xm:f>0</xm:f>
              </x14:cfvo>
              <x14:cfvo type="num">
                <xm:f>1</xm:f>
              </x14:cfvo>
              <x14:borderColor theme="0"/>
              <x14:negativeFillColor rgb="FFFF0000"/>
              <x14:axisColor rgb="FF000000"/>
            </x14:dataBar>
          </x14:cfRule>
          <xm:sqref>T294</xm:sqref>
        </x14:conditionalFormatting>
        <x14:conditionalFormatting xmlns:xm="http://schemas.microsoft.com/office/excel/2006/main">
          <x14:cfRule type="dataBar" id="{E4F28184-CC0F-484B-AC10-150605F5C586}">
            <x14:dataBar minLength="0" maxLength="100" border="1" gradient="0">
              <x14:cfvo type="num">
                <xm:f>0</xm:f>
              </x14:cfvo>
              <x14:cfvo type="num">
                <xm:f>1</xm:f>
              </x14:cfvo>
              <x14:borderColor theme="0"/>
              <x14:negativeFillColor rgb="FFFF0000"/>
              <x14:axisColor rgb="FF000000"/>
            </x14:dataBar>
          </x14:cfRule>
          <xm:sqref>T299</xm:sqref>
        </x14:conditionalFormatting>
        <x14:conditionalFormatting xmlns:xm="http://schemas.microsoft.com/office/excel/2006/main">
          <x14:cfRule type="dataBar" id="{97235708-2BD3-4C7F-849D-8ADBC37DE325}">
            <x14:dataBar minLength="0" maxLength="100" border="1" gradient="0">
              <x14:cfvo type="num">
                <xm:f>0</xm:f>
              </x14:cfvo>
              <x14:cfvo type="num">
                <xm:f>1</xm:f>
              </x14:cfvo>
              <x14:borderColor theme="0"/>
              <x14:negativeFillColor rgb="FFFF0000"/>
              <x14:axisColor rgb="FF000000"/>
            </x14:dataBar>
          </x14:cfRule>
          <xm:sqref>T304</xm:sqref>
        </x14:conditionalFormatting>
        <x14:conditionalFormatting xmlns:xm="http://schemas.microsoft.com/office/excel/2006/main">
          <x14:cfRule type="dataBar" id="{4C4811AC-670E-4D43-95C5-9D63EBA3968B}">
            <x14:dataBar minLength="0" maxLength="100" border="1" gradient="0">
              <x14:cfvo type="num">
                <xm:f>0</xm:f>
              </x14:cfvo>
              <x14:cfvo type="num">
                <xm:f>1</xm:f>
              </x14:cfvo>
              <x14:borderColor theme="0"/>
              <x14:negativeFillColor rgb="FFFF0000"/>
              <x14:axisColor rgb="FF000000"/>
            </x14:dataBar>
          </x14:cfRule>
          <xm:sqref>T307</xm:sqref>
        </x14:conditionalFormatting>
        <x14:conditionalFormatting xmlns:xm="http://schemas.microsoft.com/office/excel/2006/main">
          <x14:cfRule type="dataBar" id="{D128A1E5-3B07-46BF-B5DA-8E2DEADC8078}">
            <x14:dataBar minLength="0" maxLength="100" border="1" gradient="0">
              <x14:cfvo type="num">
                <xm:f>0</xm:f>
              </x14:cfvo>
              <x14:cfvo type="num">
                <xm:f>1</xm:f>
              </x14:cfvo>
              <x14:borderColor theme="0"/>
              <x14:negativeFillColor rgb="FFFF0000"/>
              <x14:axisColor rgb="FF000000"/>
            </x14:dataBar>
          </x14:cfRule>
          <xm:sqref>T310</xm:sqref>
        </x14:conditionalFormatting>
        <x14:conditionalFormatting xmlns:xm="http://schemas.microsoft.com/office/excel/2006/main">
          <x14:cfRule type="dataBar" id="{B65B9CA3-C9FC-4BE1-A16C-1A90833EE6A4}">
            <x14:dataBar minLength="0" maxLength="100" border="1" gradient="0">
              <x14:cfvo type="num">
                <xm:f>0</xm:f>
              </x14:cfvo>
              <x14:cfvo type="num">
                <xm:f>1</xm:f>
              </x14:cfvo>
              <x14:borderColor theme="0"/>
              <x14:negativeFillColor rgb="FFFF0000"/>
              <x14:axisColor rgb="FF000000"/>
            </x14:dataBar>
          </x14:cfRule>
          <xm:sqref>T314</xm:sqref>
        </x14:conditionalFormatting>
        <x14:conditionalFormatting xmlns:xm="http://schemas.microsoft.com/office/excel/2006/main">
          <x14:cfRule type="dataBar" id="{20C95FEF-63BC-4365-ACBB-15B035927AAD}">
            <x14:dataBar minLength="0" maxLength="100" border="1" gradient="0">
              <x14:cfvo type="num">
                <xm:f>0</xm:f>
              </x14:cfvo>
              <x14:cfvo type="num">
                <xm:f>1</xm:f>
              </x14:cfvo>
              <x14:borderColor theme="0"/>
              <x14:negativeFillColor rgb="FFFF0000"/>
              <x14:axisColor rgb="FF000000"/>
            </x14:dataBar>
          </x14:cfRule>
          <xm:sqref>T316</xm:sqref>
        </x14:conditionalFormatting>
        <x14:conditionalFormatting xmlns:xm="http://schemas.microsoft.com/office/excel/2006/main">
          <x14:cfRule type="dataBar" id="{29842305-549D-425B-88DE-E1E4B27A88BD}">
            <x14:dataBar minLength="0" maxLength="100" border="1" gradient="0">
              <x14:cfvo type="num">
                <xm:f>0</xm:f>
              </x14:cfvo>
              <x14:cfvo type="num">
                <xm:f>1</xm:f>
              </x14:cfvo>
              <x14:borderColor theme="0"/>
              <x14:negativeFillColor rgb="FFFF0000"/>
              <x14:axisColor rgb="FF000000"/>
            </x14:dataBar>
          </x14:cfRule>
          <xm:sqref>T318</xm:sqref>
        </x14:conditionalFormatting>
        <x14:conditionalFormatting xmlns:xm="http://schemas.microsoft.com/office/excel/2006/main">
          <x14:cfRule type="dataBar" id="{D22EEB9D-E10C-4057-941B-1D4E9CFC54F6}">
            <x14:dataBar minLength="0" maxLength="100" border="1" gradient="0">
              <x14:cfvo type="num">
                <xm:f>0</xm:f>
              </x14:cfvo>
              <x14:cfvo type="num">
                <xm:f>1</xm:f>
              </x14:cfvo>
              <x14:borderColor theme="0"/>
              <x14:negativeFillColor rgb="FFFF0000"/>
              <x14:axisColor rgb="FF000000"/>
            </x14:dataBar>
          </x14:cfRule>
          <xm:sqref>T320</xm:sqref>
        </x14:conditionalFormatting>
        <x14:conditionalFormatting xmlns:xm="http://schemas.microsoft.com/office/excel/2006/main">
          <x14:cfRule type="dataBar" id="{EA5C9491-7A65-45D1-A0C1-BD9F5C67EE42}">
            <x14:dataBar minLength="0" maxLength="100" border="1" gradient="0">
              <x14:cfvo type="num">
                <xm:f>0</xm:f>
              </x14:cfvo>
              <x14:cfvo type="num">
                <xm:f>1</xm:f>
              </x14:cfvo>
              <x14:borderColor theme="0"/>
              <x14:negativeFillColor rgb="FFFF0000"/>
              <x14:axisColor rgb="FF000000"/>
            </x14:dataBar>
          </x14:cfRule>
          <xm:sqref>T322</xm:sqref>
        </x14:conditionalFormatting>
        <x14:conditionalFormatting xmlns:xm="http://schemas.microsoft.com/office/excel/2006/main">
          <x14:cfRule type="dataBar" id="{1ABD4005-B29B-4B5D-A79A-E5002F7DD23A}">
            <x14:dataBar minLength="0" maxLength="100" border="1" gradient="0">
              <x14:cfvo type="num">
                <xm:f>0</xm:f>
              </x14:cfvo>
              <x14:cfvo type="num">
                <xm:f>1</xm:f>
              </x14:cfvo>
              <x14:borderColor theme="0"/>
              <x14:negativeFillColor rgb="FFFF0000"/>
              <x14:axisColor rgb="FF000000"/>
            </x14:dataBar>
          </x14:cfRule>
          <xm:sqref>T324</xm:sqref>
        </x14:conditionalFormatting>
        <x14:conditionalFormatting xmlns:xm="http://schemas.microsoft.com/office/excel/2006/main">
          <x14:cfRule type="dataBar" id="{0F9A3696-F8A5-448D-AF17-1F253BE66D29}">
            <x14:dataBar minLength="0" maxLength="100" border="1" gradient="0">
              <x14:cfvo type="num">
                <xm:f>0</xm:f>
              </x14:cfvo>
              <x14:cfvo type="num">
                <xm:f>1</xm:f>
              </x14:cfvo>
              <x14:borderColor theme="0"/>
              <x14:negativeFillColor rgb="FFFF0000"/>
              <x14:axisColor rgb="FF000000"/>
            </x14:dataBar>
          </x14:cfRule>
          <xm:sqref>T326</xm:sqref>
        </x14:conditionalFormatting>
        <x14:conditionalFormatting xmlns:xm="http://schemas.microsoft.com/office/excel/2006/main">
          <x14:cfRule type="dataBar" id="{50C14333-2DEC-472A-9FB0-9EB436F92D77}">
            <x14:dataBar minLength="0" maxLength="100" border="1" gradient="0">
              <x14:cfvo type="num">
                <xm:f>0</xm:f>
              </x14:cfvo>
              <x14:cfvo type="num">
                <xm:f>1</xm:f>
              </x14:cfvo>
              <x14:borderColor theme="0"/>
              <x14:negativeFillColor rgb="FFFF0000"/>
              <x14:axisColor rgb="FF000000"/>
            </x14:dataBar>
          </x14:cfRule>
          <xm:sqref>T328</xm:sqref>
        </x14:conditionalFormatting>
        <x14:conditionalFormatting xmlns:xm="http://schemas.microsoft.com/office/excel/2006/main">
          <x14:cfRule type="dataBar" id="{25F605DC-3996-4E6D-AEF1-13CB3B72C405}">
            <x14:dataBar minLength="0" maxLength="100" border="1" gradient="0">
              <x14:cfvo type="num">
                <xm:f>0</xm:f>
              </x14:cfvo>
              <x14:cfvo type="num">
                <xm:f>1</xm:f>
              </x14:cfvo>
              <x14:borderColor theme="0"/>
              <x14:negativeFillColor rgb="FFFF0000"/>
              <x14:axisColor rgb="FF000000"/>
            </x14:dataBar>
          </x14:cfRule>
          <xm:sqref>T330</xm:sqref>
        </x14:conditionalFormatting>
        <x14:conditionalFormatting xmlns:xm="http://schemas.microsoft.com/office/excel/2006/main">
          <x14:cfRule type="dataBar" id="{47AB41B5-2441-43B4-8347-EFC5256B5B6D}">
            <x14:dataBar minLength="0" maxLength="100" border="1" gradient="0">
              <x14:cfvo type="num">
                <xm:f>0</xm:f>
              </x14:cfvo>
              <x14:cfvo type="num">
                <xm:f>1</xm:f>
              </x14:cfvo>
              <x14:borderColor theme="0"/>
              <x14:negativeFillColor rgb="FFFF0000"/>
              <x14:axisColor rgb="FF000000"/>
            </x14:dataBar>
          </x14:cfRule>
          <xm:sqref>T332</xm:sqref>
        </x14:conditionalFormatting>
        <x14:conditionalFormatting xmlns:xm="http://schemas.microsoft.com/office/excel/2006/main">
          <x14:cfRule type="dataBar" id="{925C7037-CB67-4CFD-A6BB-BFAC48266B82}">
            <x14:dataBar minLength="0" maxLength="100" border="1" gradient="0">
              <x14:cfvo type="num">
                <xm:f>0</xm:f>
              </x14:cfvo>
              <x14:cfvo type="num">
                <xm:f>1</xm:f>
              </x14:cfvo>
              <x14:borderColor theme="0"/>
              <x14:negativeFillColor rgb="FFFF0000"/>
              <x14:axisColor rgb="FF000000"/>
            </x14:dataBar>
          </x14:cfRule>
          <xm:sqref>T334</xm:sqref>
        </x14:conditionalFormatting>
        <x14:conditionalFormatting xmlns:xm="http://schemas.microsoft.com/office/excel/2006/main">
          <x14:cfRule type="dataBar" id="{F40A814D-4B3C-4EF6-9C5B-DB39EDE2E797}">
            <x14:dataBar minLength="0" maxLength="100" border="1" gradient="0">
              <x14:cfvo type="num">
                <xm:f>0</xm:f>
              </x14:cfvo>
              <x14:cfvo type="num">
                <xm:f>1</xm:f>
              </x14:cfvo>
              <x14:borderColor theme="0"/>
              <x14:negativeFillColor rgb="FFFF0000"/>
              <x14:axisColor rgb="FF000000"/>
            </x14:dataBar>
          </x14:cfRule>
          <xm:sqref>T336</xm:sqref>
        </x14:conditionalFormatting>
        <x14:conditionalFormatting xmlns:xm="http://schemas.microsoft.com/office/excel/2006/main">
          <x14:cfRule type="dataBar" id="{2FB3B6D0-B33E-4B58-9F71-3AE90B711392}">
            <x14:dataBar minLength="0" maxLength="100" border="1" gradient="0">
              <x14:cfvo type="num">
                <xm:f>0</xm:f>
              </x14:cfvo>
              <x14:cfvo type="num">
                <xm:f>1</xm:f>
              </x14:cfvo>
              <x14:borderColor theme="0"/>
              <x14:negativeFillColor rgb="FFFF0000"/>
              <x14:axisColor rgb="FF000000"/>
            </x14:dataBar>
          </x14:cfRule>
          <xm:sqref>T338</xm:sqref>
        </x14:conditionalFormatting>
        <x14:conditionalFormatting xmlns:xm="http://schemas.microsoft.com/office/excel/2006/main">
          <x14:cfRule type="dataBar" id="{9B9B542E-A679-4725-83D6-2A93E4915BA6}">
            <x14:dataBar minLength="0" maxLength="100" border="1" gradient="0">
              <x14:cfvo type="num">
                <xm:f>0</xm:f>
              </x14:cfvo>
              <x14:cfvo type="num">
                <xm:f>1</xm:f>
              </x14:cfvo>
              <x14:borderColor theme="0"/>
              <x14:negativeFillColor rgb="FFFF0000"/>
              <x14:axisColor rgb="FF000000"/>
            </x14:dataBar>
          </x14:cfRule>
          <xm:sqref>T340</xm:sqref>
        </x14:conditionalFormatting>
        <x14:conditionalFormatting xmlns:xm="http://schemas.microsoft.com/office/excel/2006/main">
          <x14:cfRule type="dataBar" id="{3FC33D7B-807E-4294-A0BD-98ADB5756E6B}">
            <x14:dataBar minLength="0" maxLength="100" border="1" gradient="0">
              <x14:cfvo type="num">
                <xm:f>0</xm:f>
              </x14:cfvo>
              <x14:cfvo type="num">
                <xm:f>1</xm:f>
              </x14:cfvo>
              <x14:borderColor theme="0"/>
              <x14:negativeFillColor rgb="FFFF0000"/>
              <x14:axisColor rgb="FF000000"/>
            </x14:dataBar>
          </x14:cfRule>
          <xm:sqref>T342</xm:sqref>
        </x14:conditionalFormatting>
        <x14:conditionalFormatting xmlns:xm="http://schemas.microsoft.com/office/excel/2006/main">
          <x14:cfRule type="dataBar" id="{AABB2E31-05EE-4E40-87CB-AE39B9BBE431}">
            <x14:dataBar minLength="0" maxLength="100" border="1" gradient="0">
              <x14:cfvo type="num">
                <xm:f>0</xm:f>
              </x14:cfvo>
              <x14:cfvo type="num">
                <xm:f>1</xm:f>
              </x14:cfvo>
              <x14:borderColor theme="0"/>
              <x14:negativeFillColor rgb="FFFF0000"/>
              <x14:axisColor rgb="FF000000"/>
            </x14:dataBar>
          </x14:cfRule>
          <xm:sqref>T344</xm:sqref>
        </x14:conditionalFormatting>
        <x14:conditionalFormatting xmlns:xm="http://schemas.microsoft.com/office/excel/2006/main">
          <x14:cfRule type="dataBar" id="{B987D88D-755C-40C3-B454-04920709A4A0}">
            <x14:dataBar minLength="0" maxLength="100" border="1" gradient="0">
              <x14:cfvo type="num">
                <xm:f>0</xm:f>
              </x14:cfvo>
              <x14:cfvo type="num">
                <xm:f>1</xm:f>
              </x14:cfvo>
              <x14:borderColor theme="0"/>
              <x14:negativeFillColor rgb="FFFF0000"/>
              <x14:axisColor rgb="FF000000"/>
            </x14:dataBar>
          </x14:cfRule>
          <xm:sqref>T346</xm:sqref>
        </x14:conditionalFormatting>
        <x14:conditionalFormatting xmlns:xm="http://schemas.microsoft.com/office/excel/2006/main">
          <x14:cfRule type="dataBar" id="{0668F881-D865-48FF-A3FC-6E1B207606C5}">
            <x14:dataBar minLength="0" maxLength="100" border="1" gradient="0">
              <x14:cfvo type="num">
                <xm:f>0</xm:f>
              </x14:cfvo>
              <x14:cfvo type="num">
                <xm:f>1</xm:f>
              </x14:cfvo>
              <x14:borderColor theme="0"/>
              <x14:negativeFillColor rgb="FFFF0000"/>
              <x14:axisColor rgb="FF000000"/>
            </x14:dataBar>
          </x14:cfRule>
          <xm:sqref>T348</xm:sqref>
        </x14:conditionalFormatting>
        <x14:conditionalFormatting xmlns:xm="http://schemas.microsoft.com/office/excel/2006/main">
          <x14:cfRule type="dataBar" id="{0B80ED3F-5246-45E5-9D2B-C3FFFAB7B54A}">
            <x14:dataBar minLength="0" maxLength="100" border="1" gradient="0">
              <x14:cfvo type="num">
                <xm:f>0</xm:f>
              </x14:cfvo>
              <x14:cfvo type="num">
                <xm:f>1</xm:f>
              </x14:cfvo>
              <x14:borderColor theme="0"/>
              <x14:negativeFillColor rgb="FFFF0000"/>
              <x14:axisColor rgb="FF000000"/>
            </x14:dataBar>
          </x14:cfRule>
          <xm:sqref>T350</xm:sqref>
        </x14:conditionalFormatting>
        <x14:conditionalFormatting xmlns:xm="http://schemas.microsoft.com/office/excel/2006/main">
          <x14:cfRule type="dataBar" id="{1A38AD7D-4BDA-4C30-B538-70D895FACFC3}">
            <x14:dataBar minLength="0" maxLength="100" border="1" gradient="0">
              <x14:cfvo type="num">
                <xm:f>0</xm:f>
              </x14:cfvo>
              <x14:cfvo type="num">
                <xm:f>1</xm:f>
              </x14:cfvo>
              <x14:borderColor theme="0"/>
              <x14:negativeFillColor rgb="FFFF0000"/>
              <x14:axisColor rgb="FF000000"/>
            </x14:dataBar>
          </x14:cfRule>
          <xm:sqref>T352</xm:sqref>
        </x14:conditionalFormatting>
        <x14:conditionalFormatting xmlns:xm="http://schemas.microsoft.com/office/excel/2006/main">
          <x14:cfRule type="dataBar" id="{197FCA92-8B0D-4D56-9958-9AFDA9941CBD}">
            <x14:dataBar minLength="0" maxLength="100" border="1" gradient="0">
              <x14:cfvo type="num">
                <xm:f>0</xm:f>
              </x14:cfvo>
              <x14:cfvo type="num">
                <xm:f>1</xm:f>
              </x14:cfvo>
              <x14:borderColor theme="0"/>
              <x14:negativeFillColor rgb="FFFF0000"/>
              <x14:axisColor rgb="FF000000"/>
            </x14:dataBar>
          </x14:cfRule>
          <xm:sqref>T354</xm:sqref>
        </x14:conditionalFormatting>
        <x14:conditionalFormatting xmlns:xm="http://schemas.microsoft.com/office/excel/2006/main">
          <x14:cfRule type="dataBar" id="{47F538CF-A3AD-495C-B40E-0BD66B3E2608}">
            <x14:dataBar minLength="0" maxLength="100" border="1" gradient="0">
              <x14:cfvo type="num">
                <xm:f>0</xm:f>
              </x14:cfvo>
              <x14:cfvo type="num">
                <xm:f>1</xm:f>
              </x14:cfvo>
              <x14:borderColor theme="0"/>
              <x14:negativeFillColor rgb="FFFF0000"/>
              <x14:axisColor rgb="FF000000"/>
            </x14:dataBar>
          </x14:cfRule>
          <xm:sqref>T356</xm:sqref>
        </x14:conditionalFormatting>
        <x14:conditionalFormatting xmlns:xm="http://schemas.microsoft.com/office/excel/2006/main">
          <x14:cfRule type="dataBar" id="{78717ABC-F179-49B7-9F40-7A481BBED9AE}">
            <x14:dataBar minLength="0" maxLength="100" border="1" gradient="0">
              <x14:cfvo type="num">
                <xm:f>0</xm:f>
              </x14:cfvo>
              <x14:cfvo type="num">
                <xm:f>1</xm:f>
              </x14:cfvo>
              <x14:borderColor theme="0"/>
              <x14:negativeFillColor rgb="FFFF0000"/>
              <x14:axisColor rgb="FF000000"/>
            </x14:dataBar>
          </x14:cfRule>
          <xm:sqref>T358</xm:sqref>
        </x14:conditionalFormatting>
        <x14:conditionalFormatting xmlns:xm="http://schemas.microsoft.com/office/excel/2006/main">
          <x14:cfRule type="dataBar" id="{051D922D-FD3C-4002-A6D1-5B070580706C}">
            <x14:dataBar minLength="0" maxLength="100" border="1" gradient="0">
              <x14:cfvo type="num">
                <xm:f>0</xm:f>
              </x14:cfvo>
              <x14:cfvo type="num">
                <xm:f>1</xm:f>
              </x14:cfvo>
              <x14:borderColor theme="0"/>
              <x14:negativeFillColor rgb="FFFF0000"/>
              <x14:axisColor rgb="FF000000"/>
            </x14:dataBar>
          </x14:cfRule>
          <xm:sqref>T360</xm:sqref>
        </x14:conditionalFormatting>
        <x14:conditionalFormatting xmlns:xm="http://schemas.microsoft.com/office/excel/2006/main">
          <x14:cfRule type="dataBar" id="{2CE96C23-359A-4A7F-9B65-F922E4633939}">
            <x14:dataBar minLength="0" maxLength="100" border="1" gradient="0">
              <x14:cfvo type="num">
                <xm:f>0</xm:f>
              </x14:cfvo>
              <x14:cfvo type="num">
                <xm:f>1</xm:f>
              </x14:cfvo>
              <x14:borderColor theme="0"/>
              <x14:negativeFillColor rgb="FFFF0000"/>
              <x14:axisColor rgb="FF000000"/>
            </x14:dataBar>
          </x14:cfRule>
          <xm:sqref>T362</xm:sqref>
        </x14:conditionalFormatting>
        <x14:conditionalFormatting xmlns:xm="http://schemas.microsoft.com/office/excel/2006/main">
          <x14:cfRule type="dataBar" id="{0B32EC56-77F5-4277-88F0-11FAB500D278}">
            <x14:dataBar minLength="0" maxLength="100" border="1" gradient="0">
              <x14:cfvo type="num">
                <xm:f>0</xm:f>
              </x14:cfvo>
              <x14:cfvo type="num">
                <xm:f>1</xm:f>
              </x14:cfvo>
              <x14:borderColor theme="0"/>
              <x14:negativeFillColor rgb="FFFF0000"/>
              <x14:axisColor rgb="FF000000"/>
            </x14:dataBar>
          </x14:cfRule>
          <xm:sqref>T364</xm:sqref>
        </x14:conditionalFormatting>
        <x14:conditionalFormatting xmlns:xm="http://schemas.microsoft.com/office/excel/2006/main">
          <x14:cfRule type="dataBar" id="{6B3207F1-11C4-48E4-8BE1-035C4ABA6D1D}">
            <x14:dataBar minLength="0" maxLength="100" border="1" gradient="0">
              <x14:cfvo type="num">
                <xm:f>0</xm:f>
              </x14:cfvo>
              <x14:cfvo type="num">
                <xm:f>1</xm:f>
              </x14:cfvo>
              <x14:borderColor theme="0"/>
              <x14:negativeFillColor rgb="FFFF0000"/>
              <x14:axisColor rgb="FF000000"/>
            </x14:dataBar>
          </x14:cfRule>
          <xm:sqref>T366</xm:sqref>
        </x14:conditionalFormatting>
        <x14:conditionalFormatting xmlns:xm="http://schemas.microsoft.com/office/excel/2006/main">
          <x14:cfRule type="dataBar" id="{0CE8A8CD-B5A3-4BC4-AA47-545B0DAE11D0}">
            <x14:dataBar minLength="0" maxLength="100" border="1" gradient="0">
              <x14:cfvo type="num">
                <xm:f>0</xm:f>
              </x14:cfvo>
              <x14:cfvo type="num">
                <xm:f>1</xm:f>
              </x14:cfvo>
              <x14:borderColor theme="0"/>
              <x14:negativeFillColor rgb="FFFF0000"/>
              <x14:axisColor rgb="FF000000"/>
            </x14:dataBar>
          </x14:cfRule>
          <xm:sqref>T368</xm:sqref>
        </x14:conditionalFormatting>
        <x14:conditionalFormatting xmlns:xm="http://schemas.microsoft.com/office/excel/2006/main">
          <x14:cfRule type="dataBar" id="{AB65C8DA-44AE-4BA2-B51D-6B20DF936471}">
            <x14:dataBar minLength="0" maxLength="100" border="1" gradient="0">
              <x14:cfvo type="num">
                <xm:f>0</xm:f>
              </x14:cfvo>
              <x14:cfvo type="num">
                <xm:f>1</xm:f>
              </x14:cfvo>
              <x14:borderColor theme="0"/>
              <x14:negativeFillColor rgb="FFFF0000"/>
              <x14:axisColor rgb="FF000000"/>
            </x14:dataBar>
          </x14:cfRule>
          <xm:sqref>T370</xm:sqref>
        </x14:conditionalFormatting>
        <x14:conditionalFormatting xmlns:xm="http://schemas.microsoft.com/office/excel/2006/main">
          <x14:cfRule type="dataBar" id="{51BCEEF9-EB08-4080-AF44-8A0D5A5AA59B}">
            <x14:dataBar minLength="0" maxLength="100" border="1" gradient="0">
              <x14:cfvo type="num">
                <xm:f>0</xm:f>
              </x14:cfvo>
              <x14:cfvo type="num">
                <xm:f>1</xm:f>
              </x14:cfvo>
              <x14:borderColor theme="0"/>
              <x14:negativeFillColor rgb="FFFF0000"/>
              <x14:axisColor rgb="FF000000"/>
            </x14:dataBar>
          </x14:cfRule>
          <xm:sqref>T372</xm:sqref>
        </x14:conditionalFormatting>
        <x14:conditionalFormatting xmlns:xm="http://schemas.microsoft.com/office/excel/2006/main">
          <x14:cfRule type="dataBar" id="{10FE1978-782D-47A3-996D-490057F29DD7}">
            <x14:dataBar minLength="0" maxLength="100" border="1" gradient="0">
              <x14:cfvo type="num">
                <xm:f>0</xm:f>
              </x14:cfvo>
              <x14:cfvo type="num">
                <xm:f>1</xm:f>
              </x14:cfvo>
              <x14:borderColor theme="0"/>
              <x14:negativeFillColor rgb="FFFF0000"/>
              <x14:axisColor rgb="FF000000"/>
            </x14:dataBar>
          </x14:cfRule>
          <xm:sqref>T374</xm:sqref>
        </x14:conditionalFormatting>
        <x14:conditionalFormatting xmlns:xm="http://schemas.microsoft.com/office/excel/2006/main">
          <x14:cfRule type="dataBar" id="{387B4062-0660-4465-8163-957F0B9240C5}">
            <x14:dataBar minLength="0" maxLength="100" border="1" gradient="0">
              <x14:cfvo type="num">
                <xm:f>0</xm:f>
              </x14:cfvo>
              <x14:cfvo type="num">
                <xm:f>1</xm:f>
              </x14:cfvo>
              <x14:borderColor theme="0"/>
              <x14:negativeFillColor rgb="FFFF0000"/>
              <x14:axisColor rgb="FF000000"/>
            </x14:dataBar>
          </x14:cfRule>
          <xm:sqref>T376</xm:sqref>
        </x14:conditionalFormatting>
        <x14:conditionalFormatting xmlns:xm="http://schemas.microsoft.com/office/excel/2006/main">
          <x14:cfRule type="dataBar" id="{B7834EF4-BE6C-447F-9F91-509944010ED9}">
            <x14:dataBar minLength="0" maxLength="100" border="1" gradient="0">
              <x14:cfvo type="num">
                <xm:f>0</xm:f>
              </x14:cfvo>
              <x14:cfvo type="num">
                <xm:f>1</xm:f>
              </x14:cfvo>
              <x14:borderColor theme="0"/>
              <x14:negativeFillColor rgb="FFFF0000"/>
              <x14:axisColor rgb="FF000000"/>
            </x14:dataBar>
          </x14:cfRule>
          <xm:sqref>T378</xm:sqref>
        </x14:conditionalFormatting>
        <x14:conditionalFormatting xmlns:xm="http://schemas.microsoft.com/office/excel/2006/main">
          <x14:cfRule type="dataBar" id="{25DE9237-86CB-47B1-BCE9-658D6C64CB0F}">
            <x14:dataBar minLength="0" maxLength="100" border="1" gradient="0">
              <x14:cfvo type="num">
                <xm:f>0</xm:f>
              </x14:cfvo>
              <x14:cfvo type="num">
                <xm:f>1</xm:f>
              </x14:cfvo>
              <x14:borderColor theme="0"/>
              <x14:negativeFillColor rgb="FFFF0000"/>
              <x14:axisColor rgb="FF000000"/>
            </x14:dataBar>
          </x14:cfRule>
          <xm:sqref>T380</xm:sqref>
        </x14:conditionalFormatting>
        <x14:conditionalFormatting xmlns:xm="http://schemas.microsoft.com/office/excel/2006/main">
          <x14:cfRule type="dataBar" id="{F0148031-288B-41EA-B1CC-E9468FD56910}">
            <x14:dataBar minLength="0" maxLength="100" border="1" gradient="0">
              <x14:cfvo type="num">
                <xm:f>0</xm:f>
              </x14:cfvo>
              <x14:cfvo type="num">
                <xm:f>1</xm:f>
              </x14:cfvo>
              <x14:borderColor theme="0"/>
              <x14:negativeFillColor rgb="FFFF0000"/>
              <x14:axisColor rgb="FF000000"/>
            </x14:dataBar>
          </x14:cfRule>
          <xm:sqref>T382</xm:sqref>
        </x14:conditionalFormatting>
        <x14:conditionalFormatting xmlns:xm="http://schemas.microsoft.com/office/excel/2006/main">
          <x14:cfRule type="dataBar" id="{37AFB5DF-00EF-41BB-998C-75806A6961B9}">
            <x14:dataBar minLength="0" maxLength="100" border="1" gradient="0">
              <x14:cfvo type="num">
                <xm:f>0</xm:f>
              </x14:cfvo>
              <x14:cfvo type="num">
                <xm:f>1</xm:f>
              </x14:cfvo>
              <x14:borderColor theme="0"/>
              <x14:negativeFillColor rgb="FFFF0000"/>
              <x14:axisColor rgb="FF000000"/>
            </x14:dataBar>
          </x14:cfRule>
          <xm:sqref>T384</xm:sqref>
        </x14:conditionalFormatting>
        <x14:conditionalFormatting xmlns:xm="http://schemas.microsoft.com/office/excel/2006/main">
          <x14:cfRule type="dataBar" id="{DB667C56-E635-42B5-917A-528D6AF3596F}">
            <x14:dataBar minLength="0" maxLength="100" border="1" gradient="0">
              <x14:cfvo type="num">
                <xm:f>0</xm:f>
              </x14:cfvo>
              <x14:cfvo type="num">
                <xm:f>1</xm:f>
              </x14:cfvo>
              <x14:borderColor theme="0"/>
              <x14:negativeFillColor rgb="FFFF0000"/>
              <x14:axisColor rgb="FF000000"/>
            </x14:dataBar>
          </x14:cfRule>
          <xm:sqref>T386</xm:sqref>
        </x14:conditionalFormatting>
        <x14:conditionalFormatting xmlns:xm="http://schemas.microsoft.com/office/excel/2006/main">
          <x14:cfRule type="dataBar" id="{09DBBEEC-26B7-4562-8C48-A83D18300554}">
            <x14:dataBar minLength="0" maxLength="100" border="1" gradient="0">
              <x14:cfvo type="num">
                <xm:f>0</xm:f>
              </x14:cfvo>
              <x14:cfvo type="num">
                <xm:f>1</xm:f>
              </x14:cfvo>
              <x14:borderColor theme="0"/>
              <x14:negativeFillColor rgb="FFFF0000"/>
              <x14:axisColor rgb="FF000000"/>
            </x14:dataBar>
          </x14:cfRule>
          <xm:sqref>T388</xm:sqref>
        </x14:conditionalFormatting>
        <x14:conditionalFormatting xmlns:xm="http://schemas.microsoft.com/office/excel/2006/main">
          <x14:cfRule type="dataBar" id="{9EA40F84-F0F4-4556-9378-7134DC8E1423}">
            <x14:dataBar minLength="0" maxLength="100" border="1" gradient="0">
              <x14:cfvo type="num">
                <xm:f>0</xm:f>
              </x14:cfvo>
              <x14:cfvo type="num">
                <xm:f>1</xm:f>
              </x14:cfvo>
              <x14:borderColor theme="0"/>
              <x14:negativeFillColor rgb="FFFF0000"/>
              <x14:axisColor rgb="FF000000"/>
            </x14:dataBar>
          </x14:cfRule>
          <xm:sqref>T390</xm:sqref>
        </x14:conditionalFormatting>
        <x14:conditionalFormatting xmlns:xm="http://schemas.microsoft.com/office/excel/2006/main">
          <x14:cfRule type="dataBar" id="{686D4E84-E0C2-421C-808C-E2CAD74C3B75}">
            <x14:dataBar minLength="0" maxLength="100" border="1" gradient="0">
              <x14:cfvo type="num">
                <xm:f>0</xm:f>
              </x14:cfvo>
              <x14:cfvo type="num">
                <xm:f>1</xm:f>
              </x14:cfvo>
              <x14:borderColor theme="0"/>
              <x14:negativeFillColor rgb="FFFF0000"/>
              <x14:axisColor rgb="FF000000"/>
            </x14:dataBar>
          </x14:cfRule>
          <xm:sqref>T393</xm:sqref>
        </x14:conditionalFormatting>
        <x14:conditionalFormatting xmlns:xm="http://schemas.microsoft.com/office/excel/2006/main">
          <x14:cfRule type="dataBar" id="{1D6D8B3F-D9D7-4FB6-97A4-CDE5D6E8E517}">
            <x14:dataBar minLength="0" maxLength="100" border="1" gradient="0">
              <x14:cfvo type="num">
                <xm:f>0</xm:f>
              </x14:cfvo>
              <x14:cfvo type="num">
                <xm:f>1</xm:f>
              </x14:cfvo>
              <x14:borderColor theme="0"/>
              <x14:negativeFillColor rgb="FFFF0000"/>
              <x14:axisColor rgb="FF000000"/>
            </x14:dataBar>
          </x14:cfRule>
          <xm:sqref>T395</xm:sqref>
        </x14:conditionalFormatting>
        <x14:conditionalFormatting xmlns:xm="http://schemas.microsoft.com/office/excel/2006/main">
          <x14:cfRule type="dataBar" id="{1CBBBCB9-3301-4199-85A7-522EB7F2EB31}">
            <x14:dataBar minLength="0" maxLength="100" border="1" gradient="0">
              <x14:cfvo type="num">
                <xm:f>0</xm:f>
              </x14:cfvo>
              <x14:cfvo type="num">
                <xm:f>1</xm:f>
              </x14:cfvo>
              <x14:borderColor theme="0"/>
              <x14:negativeFillColor rgb="FFFF0000"/>
              <x14:axisColor rgb="FF000000"/>
            </x14:dataBar>
          </x14:cfRule>
          <xm:sqref>T397</xm:sqref>
        </x14:conditionalFormatting>
        <x14:conditionalFormatting xmlns:xm="http://schemas.microsoft.com/office/excel/2006/main">
          <x14:cfRule type="dataBar" id="{027F82BF-973B-4356-AF72-D180D9ECDD12}">
            <x14:dataBar minLength="0" maxLength="100" border="1" gradient="0">
              <x14:cfvo type="num">
                <xm:f>0</xm:f>
              </x14:cfvo>
              <x14:cfvo type="num">
                <xm:f>1</xm:f>
              </x14:cfvo>
              <x14:borderColor theme="0"/>
              <x14:negativeFillColor rgb="FFFF0000"/>
              <x14:axisColor rgb="FF000000"/>
            </x14:dataBar>
          </x14:cfRule>
          <xm:sqref>T399</xm:sqref>
        </x14:conditionalFormatting>
        <x14:conditionalFormatting xmlns:xm="http://schemas.microsoft.com/office/excel/2006/main">
          <x14:cfRule type="dataBar" id="{89249A04-94D4-49A6-9976-5F9E9D6FF867}">
            <x14:dataBar minLength="0" maxLength="100" border="1" gradient="0">
              <x14:cfvo type="num">
                <xm:f>0</xm:f>
              </x14:cfvo>
              <x14:cfvo type="num">
                <xm:f>1</xm:f>
              </x14:cfvo>
              <x14:borderColor theme="0"/>
              <x14:negativeFillColor rgb="FFFF0000"/>
              <x14:axisColor rgb="FF000000"/>
            </x14:dataBar>
          </x14:cfRule>
          <xm:sqref>T401</xm:sqref>
        </x14:conditionalFormatting>
        <x14:conditionalFormatting xmlns:xm="http://schemas.microsoft.com/office/excel/2006/main">
          <x14:cfRule type="dataBar" id="{9A9A3BDC-A7A8-40B2-98B6-49466F14A660}">
            <x14:dataBar minLength="0" maxLength="100" border="1" gradient="0">
              <x14:cfvo type="num">
                <xm:f>0</xm:f>
              </x14:cfvo>
              <x14:cfvo type="num">
                <xm:f>1</xm:f>
              </x14:cfvo>
              <x14:borderColor theme="0"/>
              <x14:negativeFillColor rgb="FFFF0000"/>
              <x14:axisColor rgb="FF000000"/>
            </x14:dataBar>
          </x14:cfRule>
          <xm:sqref>T403</xm:sqref>
        </x14:conditionalFormatting>
        <x14:conditionalFormatting xmlns:xm="http://schemas.microsoft.com/office/excel/2006/main">
          <x14:cfRule type="dataBar" id="{939A4B2A-72CA-4245-9C43-EB44A966B0F2}">
            <x14:dataBar minLength="0" maxLength="100" border="1" gradient="0">
              <x14:cfvo type="num">
                <xm:f>0</xm:f>
              </x14:cfvo>
              <x14:cfvo type="num">
                <xm:f>1</xm:f>
              </x14:cfvo>
              <x14:borderColor theme="0"/>
              <x14:negativeFillColor rgb="FFFF0000"/>
              <x14:axisColor rgb="FF000000"/>
            </x14:dataBar>
          </x14:cfRule>
          <xm:sqref>T405</xm:sqref>
        </x14:conditionalFormatting>
        <x14:conditionalFormatting xmlns:xm="http://schemas.microsoft.com/office/excel/2006/main">
          <x14:cfRule type="dataBar" id="{0D7CD13B-1D5F-44F6-8EAC-D00D93EDEEF6}">
            <x14:dataBar minLength="0" maxLength="100" border="1" gradient="0">
              <x14:cfvo type="num">
                <xm:f>0</xm:f>
              </x14:cfvo>
              <x14:cfvo type="num">
                <xm:f>1</xm:f>
              </x14:cfvo>
              <x14:borderColor theme="0"/>
              <x14:negativeFillColor rgb="FFFF0000"/>
              <x14:axisColor rgb="FF000000"/>
            </x14:dataBar>
          </x14:cfRule>
          <xm:sqref>T407</xm:sqref>
        </x14:conditionalFormatting>
        <x14:conditionalFormatting xmlns:xm="http://schemas.microsoft.com/office/excel/2006/main">
          <x14:cfRule type="dataBar" id="{B3F507E1-DB70-49FA-9A93-95E8B897EFC1}">
            <x14:dataBar minLength="0" maxLength="100" border="1" gradient="0">
              <x14:cfvo type="num">
                <xm:f>0</xm:f>
              </x14:cfvo>
              <x14:cfvo type="num">
                <xm:f>1</xm:f>
              </x14:cfvo>
              <x14:borderColor theme="0"/>
              <x14:negativeFillColor rgb="FFFF0000"/>
              <x14:axisColor rgb="FF000000"/>
            </x14:dataBar>
          </x14:cfRule>
          <xm:sqref>T409</xm:sqref>
        </x14:conditionalFormatting>
        <x14:conditionalFormatting xmlns:xm="http://schemas.microsoft.com/office/excel/2006/main">
          <x14:cfRule type="dataBar" id="{F9649A62-C563-4903-8A46-5276A84663C9}">
            <x14:dataBar minLength="0" maxLength="100" border="1" gradient="0">
              <x14:cfvo type="num">
                <xm:f>0</xm:f>
              </x14:cfvo>
              <x14:cfvo type="num">
                <xm:f>1</xm:f>
              </x14:cfvo>
              <x14:borderColor theme="0"/>
              <x14:negativeFillColor rgb="FFFF0000"/>
              <x14:axisColor rgb="FF000000"/>
            </x14:dataBar>
          </x14:cfRule>
          <xm:sqref>T411</xm:sqref>
        </x14:conditionalFormatting>
        <x14:conditionalFormatting xmlns:xm="http://schemas.microsoft.com/office/excel/2006/main">
          <x14:cfRule type="dataBar" id="{A6AC3091-A42E-4337-8D12-D1002C012557}">
            <x14:dataBar minLength="0" maxLength="100" border="1" gradient="0">
              <x14:cfvo type="num">
                <xm:f>0</xm:f>
              </x14:cfvo>
              <x14:cfvo type="num">
                <xm:f>1</xm:f>
              </x14:cfvo>
              <x14:borderColor theme="0"/>
              <x14:negativeFillColor rgb="FFFF0000"/>
              <x14:axisColor rgb="FF000000"/>
            </x14:dataBar>
          </x14:cfRule>
          <xm:sqref>T413</xm:sqref>
        </x14:conditionalFormatting>
        <x14:conditionalFormatting xmlns:xm="http://schemas.microsoft.com/office/excel/2006/main">
          <x14:cfRule type="dataBar" id="{E0A9F3DD-4F15-4716-AAB7-6CA0D296B8E8}">
            <x14:dataBar minLength="0" maxLength="100" border="1" gradient="0">
              <x14:cfvo type="num">
                <xm:f>0</xm:f>
              </x14:cfvo>
              <x14:cfvo type="num">
                <xm:f>1</xm:f>
              </x14:cfvo>
              <x14:borderColor theme="0"/>
              <x14:negativeFillColor rgb="FFFF0000"/>
              <x14:axisColor rgb="FF000000"/>
            </x14:dataBar>
          </x14:cfRule>
          <xm:sqref>T415</xm:sqref>
        </x14:conditionalFormatting>
        <x14:conditionalFormatting xmlns:xm="http://schemas.microsoft.com/office/excel/2006/main">
          <x14:cfRule type="dataBar" id="{501FF8C6-024A-418A-B1B2-61DBD5BA8FAB}">
            <x14:dataBar minLength="0" maxLength="100" border="1" gradient="0">
              <x14:cfvo type="num">
                <xm:f>0</xm:f>
              </x14:cfvo>
              <x14:cfvo type="num">
                <xm:f>1</xm:f>
              </x14:cfvo>
              <x14:borderColor theme="0"/>
              <x14:negativeFillColor rgb="FFFF0000"/>
              <x14:axisColor rgb="FF000000"/>
            </x14:dataBar>
          </x14:cfRule>
          <xm:sqref>T417</xm:sqref>
        </x14:conditionalFormatting>
        <x14:conditionalFormatting xmlns:xm="http://schemas.microsoft.com/office/excel/2006/main">
          <x14:cfRule type="dataBar" id="{C8E9C527-9737-4794-8084-60CE85DBE254}">
            <x14:dataBar minLength="0" maxLength="100" border="1" gradient="0">
              <x14:cfvo type="num">
                <xm:f>0</xm:f>
              </x14:cfvo>
              <x14:cfvo type="num">
                <xm:f>1</xm:f>
              </x14:cfvo>
              <x14:borderColor theme="0"/>
              <x14:negativeFillColor rgb="FFFF0000"/>
              <x14:axisColor rgb="FF000000"/>
            </x14:dataBar>
          </x14:cfRule>
          <xm:sqref>T419</xm:sqref>
        </x14:conditionalFormatting>
        <x14:conditionalFormatting xmlns:xm="http://schemas.microsoft.com/office/excel/2006/main">
          <x14:cfRule type="dataBar" id="{B248F2A3-1E9F-491D-93A7-87F434CAFB89}">
            <x14:dataBar minLength="0" maxLength="100" border="1" gradient="0">
              <x14:cfvo type="num">
                <xm:f>0</xm:f>
              </x14:cfvo>
              <x14:cfvo type="num">
                <xm:f>1</xm:f>
              </x14:cfvo>
              <x14:borderColor theme="0"/>
              <x14:negativeFillColor rgb="FFFF0000"/>
              <x14:axisColor rgb="FF000000"/>
            </x14:dataBar>
          </x14:cfRule>
          <xm:sqref>T421</xm:sqref>
        </x14:conditionalFormatting>
        <x14:conditionalFormatting xmlns:xm="http://schemas.microsoft.com/office/excel/2006/main">
          <x14:cfRule type="dataBar" id="{94131DA1-1B30-429C-88AB-7AE5300D5B37}">
            <x14:dataBar minLength="0" maxLength="100" border="1" gradient="0">
              <x14:cfvo type="num">
                <xm:f>0</xm:f>
              </x14:cfvo>
              <x14:cfvo type="num">
                <xm:f>1</xm:f>
              </x14:cfvo>
              <x14:borderColor theme="0"/>
              <x14:negativeFillColor rgb="FFFF0000"/>
              <x14:axisColor rgb="FF000000"/>
            </x14:dataBar>
          </x14:cfRule>
          <xm:sqref>T423</xm:sqref>
        </x14:conditionalFormatting>
        <x14:conditionalFormatting xmlns:xm="http://schemas.microsoft.com/office/excel/2006/main">
          <x14:cfRule type="dataBar" id="{76616280-575C-4F46-BE85-7E5385C2E4BB}">
            <x14:dataBar minLength="0" maxLength="100" border="1" gradient="0">
              <x14:cfvo type="num">
                <xm:f>0</xm:f>
              </x14:cfvo>
              <x14:cfvo type="num">
                <xm:f>1</xm:f>
              </x14:cfvo>
              <x14:borderColor theme="0"/>
              <x14:negativeFillColor rgb="FFFF0000"/>
              <x14:axisColor rgb="FF000000"/>
            </x14:dataBar>
          </x14:cfRule>
          <xm:sqref>T425</xm:sqref>
        </x14:conditionalFormatting>
        <x14:conditionalFormatting xmlns:xm="http://schemas.microsoft.com/office/excel/2006/main">
          <x14:cfRule type="dataBar" id="{61F715C8-EDD0-4CE0-B9E5-60BAE808B455}">
            <x14:dataBar minLength="0" maxLength="100" border="1" gradient="0">
              <x14:cfvo type="num">
                <xm:f>0</xm:f>
              </x14:cfvo>
              <x14:cfvo type="num">
                <xm:f>1</xm:f>
              </x14:cfvo>
              <x14:borderColor theme="0"/>
              <x14:negativeFillColor rgb="FFFF0000"/>
              <x14:axisColor rgb="FF000000"/>
            </x14:dataBar>
          </x14:cfRule>
          <xm:sqref>T428</xm:sqref>
        </x14:conditionalFormatting>
        <x14:conditionalFormatting xmlns:xm="http://schemas.microsoft.com/office/excel/2006/main">
          <x14:cfRule type="dataBar" id="{B0379722-C44D-4A08-B560-0CF40312B93A}">
            <x14:dataBar minLength="0" maxLength="100" border="1" gradient="0">
              <x14:cfvo type="num">
                <xm:f>0</xm:f>
              </x14:cfvo>
              <x14:cfvo type="num">
                <xm:f>1</xm:f>
              </x14:cfvo>
              <x14:borderColor theme="0"/>
              <x14:negativeFillColor rgb="FFFF0000"/>
              <x14:axisColor rgb="FF000000"/>
            </x14:dataBar>
          </x14:cfRule>
          <xm:sqref>T430</xm:sqref>
        </x14:conditionalFormatting>
        <x14:conditionalFormatting xmlns:xm="http://schemas.microsoft.com/office/excel/2006/main">
          <x14:cfRule type="dataBar" id="{70474AF0-DA04-4F20-9238-D5237B8F129D}">
            <x14:dataBar minLength="0" maxLength="100" border="1" gradient="0">
              <x14:cfvo type="num">
                <xm:f>0</xm:f>
              </x14:cfvo>
              <x14:cfvo type="num">
                <xm:f>1</xm:f>
              </x14:cfvo>
              <x14:borderColor theme="0"/>
              <x14:negativeFillColor rgb="FFFF0000"/>
              <x14:axisColor rgb="FF000000"/>
            </x14:dataBar>
          </x14:cfRule>
          <xm:sqref>T432</xm:sqref>
        </x14:conditionalFormatting>
        <x14:conditionalFormatting xmlns:xm="http://schemas.microsoft.com/office/excel/2006/main">
          <x14:cfRule type="dataBar" id="{8EA2AF3B-163C-4B9D-9D35-195439668E2A}">
            <x14:dataBar minLength="0" maxLength="100" border="1" gradient="0">
              <x14:cfvo type="num">
                <xm:f>0</xm:f>
              </x14:cfvo>
              <x14:cfvo type="num">
                <xm:f>1</xm:f>
              </x14:cfvo>
              <x14:borderColor theme="0"/>
              <x14:negativeFillColor rgb="FFFF0000"/>
              <x14:axisColor rgb="FF000000"/>
            </x14:dataBar>
          </x14:cfRule>
          <xm:sqref>T434</xm:sqref>
        </x14:conditionalFormatting>
        <x14:conditionalFormatting xmlns:xm="http://schemas.microsoft.com/office/excel/2006/main">
          <x14:cfRule type="dataBar" id="{3FF12E01-9BD6-40EF-879F-559F7CF1AF29}">
            <x14:dataBar minLength="0" maxLength="100" border="1" gradient="0">
              <x14:cfvo type="num">
                <xm:f>0</xm:f>
              </x14:cfvo>
              <x14:cfvo type="num">
                <xm:f>1</xm:f>
              </x14:cfvo>
              <x14:borderColor theme="0"/>
              <x14:negativeFillColor rgb="FFFF0000"/>
              <x14:axisColor rgb="FF000000"/>
            </x14:dataBar>
          </x14:cfRule>
          <xm:sqref>T436</xm:sqref>
        </x14:conditionalFormatting>
        <x14:conditionalFormatting xmlns:xm="http://schemas.microsoft.com/office/excel/2006/main">
          <x14:cfRule type="dataBar" id="{FE8376B9-BCD3-497A-AD75-8F36D2FA5A2C}">
            <x14:dataBar minLength="0" maxLength="100" border="1" gradient="0">
              <x14:cfvo type="num">
                <xm:f>0</xm:f>
              </x14:cfvo>
              <x14:cfvo type="num">
                <xm:f>1</xm:f>
              </x14:cfvo>
              <x14:borderColor theme="0"/>
              <x14:negativeFillColor rgb="FFFF0000"/>
              <x14:axisColor rgb="FF000000"/>
            </x14:dataBar>
          </x14:cfRule>
          <xm:sqref>T438</xm:sqref>
        </x14:conditionalFormatting>
        <x14:conditionalFormatting xmlns:xm="http://schemas.microsoft.com/office/excel/2006/main">
          <x14:cfRule type="dataBar" id="{CD49F49C-A30E-4F86-A3C1-B3028AE78065}">
            <x14:dataBar minLength="0" maxLength="100" border="1" gradient="0">
              <x14:cfvo type="num">
                <xm:f>0</xm:f>
              </x14:cfvo>
              <x14:cfvo type="num">
                <xm:f>1</xm:f>
              </x14:cfvo>
              <x14:borderColor theme="0"/>
              <x14:negativeFillColor rgb="FFFF0000"/>
              <x14:axisColor rgb="FF000000"/>
            </x14:dataBar>
          </x14:cfRule>
          <xm:sqref>T440</xm:sqref>
        </x14:conditionalFormatting>
        <x14:conditionalFormatting xmlns:xm="http://schemas.microsoft.com/office/excel/2006/main">
          <x14:cfRule type="dataBar" id="{94E3207A-6BCA-4F88-A11B-4DEAD502E555}">
            <x14:dataBar minLength="0" maxLength="100" border="1" gradient="0">
              <x14:cfvo type="num">
                <xm:f>0</xm:f>
              </x14:cfvo>
              <x14:cfvo type="num">
                <xm:f>1</xm:f>
              </x14:cfvo>
              <x14:borderColor theme="0"/>
              <x14:negativeFillColor rgb="FFFF0000"/>
              <x14:axisColor rgb="FF000000"/>
            </x14:dataBar>
          </x14:cfRule>
          <xm:sqref>T442</xm:sqref>
        </x14:conditionalFormatting>
        <x14:conditionalFormatting xmlns:xm="http://schemas.microsoft.com/office/excel/2006/main">
          <x14:cfRule type="dataBar" id="{F9E43BA7-250F-4590-8D2F-7E56814B80A3}">
            <x14:dataBar minLength="0" maxLength="100" border="1" gradient="0">
              <x14:cfvo type="num">
                <xm:f>0</xm:f>
              </x14:cfvo>
              <x14:cfvo type="num">
                <xm:f>1</xm:f>
              </x14:cfvo>
              <x14:borderColor theme="0"/>
              <x14:negativeFillColor rgb="FFFF0000"/>
              <x14:axisColor rgb="FF000000"/>
            </x14:dataBar>
          </x14:cfRule>
          <xm:sqref>T444</xm:sqref>
        </x14:conditionalFormatting>
        <x14:conditionalFormatting xmlns:xm="http://schemas.microsoft.com/office/excel/2006/main">
          <x14:cfRule type="dataBar" id="{3E162EA6-E107-4EE1-8C6A-A13E752357BC}">
            <x14:dataBar minLength="0" maxLength="100" border="1" gradient="0">
              <x14:cfvo type="num">
                <xm:f>0</xm:f>
              </x14:cfvo>
              <x14:cfvo type="num">
                <xm:f>1</xm:f>
              </x14:cfvo>
              <x14:borderColor theme="0"/>
              <x14:negativeFillColor rgb="FFFF0000"/>
              <x14:axisColor rgb="FF000000"/>
            </x14:dataBar>
          </x14:cfRule>
          <xm:sqref>T446</xm:sqref>
        </x14:conditionalFormatting>
        <x14:conditionalFormatting xmlns:xm="http://schemas.microsoft.com/office/excel/2006/main">
          <x14:cfRule type="dataBar" id="{581D4397-A577-4085-AC04-018E8FD9B3E3}">
            <x14:dataBar minLength="0" maxLength="100" border="1" gradient="0">
              <x14:cfvo type="num">
                <xm:f>0</xm:f>
              </x14:cfvo>
              <x14:cfvo type="num">
                <xm:f>1</xm:f>
              </x14:cfvo>
              <x14:borderColor theme="0"/>
              <x14:negativeFillColor rgb="FFFF0000"/>
              <x14:axisColor rgb="FF000000"/>
            </x14:dataBar>
          </x14:cfRule>
          <xm:sqref>T448</xm:sqref>
        </x14:conditionalFormatting>
        <x14:conditionalFormatting xmlns:xm="http://schemas.microsoft.com/office/excel/2006/main">
          <x14:cfRule type="dataBar" id="{725220DD-8DEC-427D-81D6-5F5E5E3560CD}">
            <x14:dataBar minLength="0" maxLength="100" border="1" gradient="0">
              <x14:cfvo type="num">
                <xm:f>0</xm:f>
              </x14:cfvo>
              <x14:cfvo type="num">
                <xm:f>1</xm:f>
              </x14:cfvo>
              <x14:borderColor theme="0"/>
              <x14:negativeFillColor rgb="FFFF0000"/>
              <x14:axisColor rgb="FF000000"/>
            </x14:dataBar>
          </x14:cfRule>
          <xm:sqref>T450</xm:sqref>
        </x14:conditionalFormatting>
        <x14:conditionalFormatting xmlns:xm="http://schemas.microsoft.com/office/excel/2006/main">
          <x14:cfRule type="dataBar" id="{09FB0718-54DD-4D7C-8EEE-E4C311E02C18}">
            <x14:dataBar minLength="0" maxLength="100" border="1" gradient="0">
              <x14:cfvo type="num">
                <xm:f>0</xm:f>
              </x14:cfvo>
              <x14:cfvo type="num">
                <xm:f>1</xm:f>
              </x14:cfvo>
              <x14:borderColor theme="0"/>
              <x14:negativeFillColor rgb="FFFF0000"/>
              <x14:axisColor rgb="FF000000"/>
            </x14:dataBar>
          </x14:cfRule>
          <xm:sqref>T452</xm:sqref>
        </x14:conditionalFormatting>
        <x14:conditionalFormatting xmlns:xm="http://schemas.microsoft.com/office/excel/2006/main">
          <x14:cfRule type="dataBar" id="{F29D9332-38C8-4458-8CDB-82CBFDAF7D4F}">
            <x14:dataBar minLength="0" maxLength="100" border="1" gradient="0">
              <x14:cfvo type="num">
                <xm:f>0</xm:f>
              </x14:cfvo>
              <x14:cfvo type="num">
                <xm:f>1</xm:f>
              </x14:cfvo>
              <x14:borderColor theme="0"/>
              <x14:negativeFillColor rgb="FFFF0000"/>
              <x14:axisColor rgb="FF000000"/>
            </x14:dataBar>
          </x14:cfRule>
          <xm:sqref>T454</xm:sqref>
        </x14:conditionalFormatting>
        <x14:conditionalFormatting xmlns:xm="http://schemas.microsoft.com/office/excel/2006/main">
          <x14:cfRule type="dataBar" id="{BCEC0D89-4679-4767-97F6-3C37E72A9C81}">
            <x14:dataBar minLength="0" maxLength="100" border="1" gradient="0">
              <x14:cfvo type="num">
                <xm:f>0</xm:f>
              </x14:cfvo>
              <x14:cfvo type="num">
                <xm:f>1</xm:f>
              </x14:cfvo>
              <x14:borderColor theme="0"/>
              <x14:negativeFillColor rgb="FFFF0000"/>
              <x14:axisColor rgb="FF000000"/>
            </x14:dataBar>
          </x14:cfRule>
          <xm:sqref>T456</xm:sqref>
        </x14:conditionalFormatting>
        <x14:conditionalFormatting xmlns:xm="http://schemas.microsoft.com/office/excel/2006/main">
          <x14:cfRule type="dataBar" id="{176725D7-11F5-45D3-8471-DCEA46B770CA}">
            <x14:dataBar minLength="0" maxLength="100" border="1" gradient="0">
              <x14:cfvo type="num">
                <xm:f>0</xm:f>
              </x14:cfvo>
              <x14:cfvo type="num">
                <xm:f>1</xm:f>
              </x14:cfvo>
              <x14:borderColor theme="0"/>
              <x14:negativeFillColor rgb="FFFF0000"/>
              <x14:axisColor rgb="FF000000"/>
            </x14:dataBar>
          </x14:cfRule>
          <xm:sqref>T458</xm:sqref>
        </x14:conditionalFormatting>
        <x14:conditionalFormatting xmlns:xm="http://schemas.microsoft.com/office/excel/2006/main">
          <x14:cfRule type="dataBar" id="{021E7D60-DCEE-4EDE-B3D7-E859975E3E8A}">
            <x14:dataBar minLength="0" maxLength="100" border="1" gradient="0">
              <x14:cfvo type="num">
                <xm:f>0</xm:f>
              </x14:cfvo>
              <x14:cfvo type="num">
                <xm:f>1</xm:f>
              </x14:cfvo>
              <x14:borderColor theme="0"/>
              <x14:negativeFillColor rgb="FFFF0000"/>
              <x14:axisColor rgb="FF000000"/>
            </x14:dataBar>
          </x14:cfRule>
          <xm:sqref>T460</xm:sqref>
        </x14:conditionalFormatting>
        <x14:conditionalFormatting xmlns:xm="http://schemas.microsoft.com/office/excel/2006/main">
          <x14:cfRule type="dataBar" id="{79450D7E-0208-468F-B977-8C03BD64FBEF}">
            <x14:dataBar minLength="0" maxLength="100" border="1" gradient="0">
              <x14:cfvo type="num">
                <xm:f>0</xm:f>
              </x14:cfvo>
              <x14:cfvo type="num">
                <xm:f>1</xm:f>
              </x14:cfvo>
              <x14:borderColor theme="0"/>
              <x14:negativeFillColor rgb="FFFF0000"/>
              <x14:axisColor rgb="FF000000"/>
            </x14:dataBar>
          </x14:cfRule>
          <xm:sqref>T462</xm:sqref>
        </x14:conditionalFormatting>
        <x14:conditionalFormatting xmlns:xm="http://schemas.microsoft.com/office/excel/2006/main">
          <x14:cfRule type="dataBar" id="{AAB111C3-EAFA-430C-85D6-C0DB10ACBA4B}">
            <x14:dataBar minLength="0" maxLength="100" border="1" gradient="0">
              <x14:cfvo type="num">
                <xm:f>0</xm:f>
              </x14:cfvo>
              <x14:cfvo type="num">
                <xm:f>1</xm:f>
              </x14:cfvo>
              <x14:borderColor theme="0"/>
              <x14:negativeFillColor rgb="FFFF0000"/>
              <x14:axisColor rgb="FF000000"/>
            </x14:dataBar>
          </x14:cfRule>
          <xm:sqref>T464</xm:sqref>
        </x14:conditionalFormatting>
        <x14:conditionalFormatting xmlns:xm="http://schemas.microsoft.com/office/excel/2006/main">
          <x14:cfRule type="dataBar" id="{80FFB952-9A90-4F2B-A075-D6B0C4FDD0EF}">
            <x14:dataBar minLength="0" maxLength="100" border="1" gradient="0">
              <x14:cfvo type="num">
                <xm:f>0</xm:f>
              </x14:cfvo>
              <x14:cfvo type="num">
                <xm:f>1</xm:f>
              </x14:cfvo>
              <x14:borderColor theme="0"/>
              <x14:negativeFillColor rgb="FFFF0000"/>
              <x14:axisColor rgb="FF000000"/>
            </x14:dataBar>
          </x14:cfRule>
          <xm:sqref>T466</xm:sqref>
        </x14:conditionalFormatting>
        <x14:conditionalFormatting xmlns:xm="http://schemas.microsoft.com/office/excel/2006/main">
          <x14:cfRule type="dataBar" id="{37011C5E-03E5-46DB-ADEC-A618F628BCC4}">
            <x14:dataBar minLength="0" maxLength="100" border="1" gradient="0">
              <x14:cfvo type="num">
                <xm:f>0</xm:f>
              </x14:cfvo>
              <x14:cfvo type="num">
                <xm:f>1</xm:f>
              </x14:cfvo>
              <x14:borderColor theme="0"/>
              <x14:negativeFillColor rgb="FFFF0000"/>
              <x14:axisColor rgb="FF000000"/>
            </x14:dataBar>
          </x14:cfRule>
          <xm:sqref>T468</xm:sqref>
        </x14:conditionalFormatting>
        <x14:conditionalFormatting xmlns:xm="http://schemas.microsoft.com/office/excel/2006/main">
          <x14:cfRule type="dataBar" id="{A57CCC4D-D957-49F1-9BE1-71E4D7128FDE}">
            <x14:dataBar minLength="0" maxLength="100" border="1" gradient="0">
              <x14:cfvo type="num">
                <xm:f>0</xm:f>
              </x14:cfvo>
              <x14:cfvo type="num">
                <xm:f>1</xm:f>
              </x14:cfvo>
              <x14:borderColor theme="0"/>
              <x14:negativeFillColor rgb="FFFF0000"/>
              <x14:axisColor rgb="FF000000"/>
            </x14:dataBar>
          </x14:cfRule>
          <xm:sqref>T470</xm:sqref>
        </x14:conditionalFormatting>
        <x14:conditionalFormatting xmlns:xm="http://schemas.microsoft.com/office/excel/2006/main">
          <x14:cfRule type="dataBar" id="{45320306-2F0A-4F4D-AD3A-0AE254197A89}">
            <x14:dataBar minLength="0" maxLength="100" border="1" gradient="0">
              <x14:cfvo type="num">
                <xm:f>0</xm:f>
              </x14:cfvo>
              <x14:cfvo type="num">
                <xm:f>1</xm:f>
              </x14:cfvo>
              <x14:borderColor theme="0"/>
              <x14:negativeFillColor rgb="FFFF0000"/>
              <x14:axisColor rgb="FF000000"/>
            </x14:dataBar>
          </x14:cfRule>
          <xm:sqref>T472</xm:sqref>
        </x14:conditionalFormatting>
        <x14:conditionalFormatting xmlns:xm="http://schemas.microsoft.com/office/excel/2006/main">
          <x14:cfRule type="dataBar" id="{F568C9EF-ADF6-451B-8EAA-DE70E7844FB1}">
            <x14:dataBar minLength="0" maxLength="100" border="1" gradient="0">
              <x14:cfvo type="num">
                <xm:f>0</xm:f>
              </x14:cfvo>
              <x14:cfvo type="num">
                <xm:f>1</xm:f>
              </x14:cfvo>
              <x14:borderColor theme="0"/>
              <x14:negativeFillColor rgb="FFFF0000"/>
              <x14:axisColor rgb="FF000000"/>
            </x14:dataBar>
          </x14:cfRule>
          <xm:sqref>T474</xm:sqref>
        </x14:conditionalFormatting>
        <x14:conditionalFormatting xmlns:xm="http://schemas.microsoft.com/office/excel/2006/main">
          <x14:cfRule type="dataBar" id="{CCB0DB9F-B1B5-4557-BBC5-11ED727E7DE7}">
            <x14:dataBar minLength="0" maxLength="100" border="1" gradient="0">
              <x14:cfvo type="num">
                <xm:f>0</xm:f>
              </x14:cfvo>
              <x14:cfvo type="num">
                <xm:f>1</xm:f>
              </x14:cfvo>
              <x14:borderColor theme="0"/>
              <x14:negativeFillColor rgb="FFFF0000"/>
              <x14:axisColor rgb="FF000000"/>
            </x14:dataBar>
          </x14:cfRule>
          <xm:sqref>T476</xm:sqref>
        </x14:conditionalFormatting>
        <x14:conditionalFormatting xmlns:xm="http://schemas.microsoft.com/office/excel/2006/main">
          <x14:cfRule type="dataBar" id="{06E0E99D-A8AD-4C89-8EDE-38F26C093263}">
            <x14:dataBar minLength="0" maxLength="100" border="1" gradient="0">
              <x14:cfvo type="num">
                <xm:f>0</xm:f>
              </x14:cfvo>
              <x14:cfvo type="num">
                <xm:f>1</xm:f>
              </x14:cfvo>
              <x14:borderColor theme="0"/>
              <x14:negativeFillColor rgb="FFFF0000"/>
              <x14:axisColor rgb="FF000000"/>
            </x14:dataBar>
          </x14:cfRule>
          <xm:sqref>T478</xm:sqref>
        </x14:conditionalFormatting>
        <x14:conditionalFormatting xmlns:xm="http://schemas.microsoft.com/office/excel/2006/main">
          <x14:cfRule type="dataBar" id="{E3D4F586-0650-4DA7-AFC1-8D2935FEB3C5}">
            <x14:dataBar minLength="0" maxLength="100" border="1" gradient="0">
              <x14:cfvo type="num">
                <xm:f>0</xm:f>
              </x14:cfvo>
              <x14:cfvo type="num">
                <xm:f>1</xm:f>
              </x14:cfvo>
              <x14:borderColor theme="0"/>
              <x14:negativeFillColor rgb="FFFF0000"/>
              <x14:axisColor rgb="FF000000"/>
            </x14:dataBar>
          </x14:cfRule>
          <xm:sqref>T480</xm:sqref>
        </x14:conditionalFormatting>
        <x14:conditionalFormatting xmlns:xm="http://schemas.microsoft.com/office/excel/2006/main">
          <x14:cfRule type="dataBar" id="{F0D409EC-9D9F-4A1F-9701-4FFA3F026595}">
            <x14:dataBar minLength="0" maxLength="100" border="1" gradient="0">
              <x14:cfvo type="num">
                <xm:f>0</xm:f>
              </x14:cfvo>
              <x14:cfvo type="num">
                <xm:f>1</xm:f>
              </x14:cfvo>
              <x14:borderColor theme="0"/>
              <x14:negativeFillColor rgb="FFFF0000"/>
              <x14:axisColor rgb="FF000000"/>
            </x14:dataBar>
          </x14:cfRule>
          <xm:sqref>T482</xm:sqref>
        </x14:conditionalFormatting>
        <x14:conditionalFormatting xmlns:xm="http://schemas.microsoft.com/office/excel/2006/main">
          <x14:cfRule type="dataBar" id="{1F8026FA-F76B-4C20-9CDF-7C78D601EBE5}">
            <x14:dataBar minLength="0" maxLength="100" border="1" gradient="0">
              <x14:cfvo type="num">
                <xm:f>0</xm:f>
              </x14:cfvo>
              <x14:cfvo type="num">
                <xm:f>1</xm:f>
              </x14:cfvo>
              <x14:borderColor theme="0"/>
              <x14:negativeFillColor rgb="FFFF0000"/>
              <x14:axisColor rgb="FF000000"/>
            </x14:dataBar>
          </x14:cfRule>
          <xm:sqref>T484</xm:sqref>
        </x14:conditionalFormatting>
        <x14:conditionalFormatting xmlns:xm="http://schemas.microsoft.com/office/excel/2006/main">
          <x14:cfRule type="dataBar" id="{F7E9766D-8AE3-4CB1-97B7-69A8125E5DD6}">
            <x14:dataBar minLength="0" maxLength="100" border="1" gradient="0">
              <x14:cfvo type="num">
                <xm:f>0</xm:f>
              </x14:cfvo>
              <x14:cfvo type="num">
                <xm:f>1</xm:f>
              </x14:cfvo>
              <x14:borderColor theme="0"/>
              <x14:negativeFillColor rgb="FFFF0000"/>
              <x14:axisColor rgb="FF000000"/>
            </x14:dataBar>
          </x14:cfRule>
          <xm:sqref>T486</xm:sqref>
        </x14:conditionalFormatting>
        <x14:conditionalFormatting xmlns:xm="http://schemas.microsoft.com/office/excel/2006/main">
          <x14:cfRule type="dataBar" id="{1456B893-DAE5-429D-BE67-26CD2B42EDE7}">
            <x14:dataBar minLength="0" maxLength="100" border="1" gradient="0">
              <x14:cfvo type="num">
                <xm:f>0</xm:f>
              </x14:cfvo>
              <x14:cfvo type="num">
                <xm:f>1</xm:f>
              </x14:cfvo>
              <x14:borderColor theme="0"/>
              <x14:negativeFillColor rgb="FFFF0000"/>
              <x14:axisColor rgb="FF000000"/>
            </x14:dataBar>
          </x14:cfRule>
          <xm:sqref>T488</xm:sqref>
        </x14:conditionalFormatting>
        <x14:conditionalFormatting xmlns:xm="http://schemas.microsoft.com/office/excel/2006/main">
          <x14:cfRule type="dataBar" id="{718706D9-CF28-44C9-BB7B-CF11DFFEBC34}">
            <x14:dataBar minLength="0" maxLength="100" border="1" gradient="0">
              <x14:cfvo type="num">
                <xm:f>0</xm:f>
              </x14:cfvo>
              <x14:cfvo type="num">
                <xm:f>1</xm:f>
              </x14:cfvo>
              <x14:borderColor theme="0"/>
              <x14:negativeFillColor rgb="FFFF0000"/>
              <x14:axisColor rgb="FF000000"/>
            </x14:dataBar>
          </x14:cfRule>
          <xm:sqref>T490</xm:sqref>
        </x14:conditionalFormatting>
        <x14:conditionalFormatting xmlns:xm="http://schemas.microsoft.com/office/excel/2006/main">
          <x14:cfRule type="dataBar" id="{A4E4C821-FE3F-446E-9ACE-80230F226B5D}">
            <x14:dataBar minLength="0" maxLength="100" border="1" gradient="0">
              <x14:cfvo type="num">
                <xm:f>0</xm:f>
              </x14:cfvo>
              <x14:cfvo type="num">
                <xm:f>1</xm:f>
              </x14:cfvo>
              <x14:borderColor theme="0"/>
              <x14:negativeFillColor rgb="FFFF0000"/>
              <x14:axisColor rgb="FF000000"/>
            </x14:dataBar>
          </x14:cfRule>
          <xm:sqref>T492</xm:sqref>
        </x14:conditionalFormatting>
        <x14:conditionalFormatting xmlns:xm="http://schemas.microsoft.com/office/excel/2006/main">
          <x14:cfRule type="dataBar" id="{F94833AC-2DCE-4D2A-BCA5-0124664986F8}">
            <x14:dataBar minLength="0" maxLength="100" border="1" gradient="0">
              <x14:cfvo type="num">
                <xm:f>0</xm:f>
              </x14:cfvo>
              <x14:cfvo type="num">
                <xm:f>1</xm:f>
              </x14:cfvo>
              <x14:borderColor theme="0"/>
              <x14:negativeFillColor rgb="FFFF0000"/>
              <x14:axisColor rgb="FF000000"/>
            </x14:dataBar>
          </x14:cfRule>
          <xm:sqref>T494</xm:sqref>
        </x14:conditionalFormatting>
        <x14:conditionalFormatting xmlns:xm="http://schemas.microsoft.com/office/excel/2006/main">
          <x14:cfRule type="dataBar" id="{E20EEE55-6B7D-44CC-9C35-D4172F70AA6E}">
            <x14:dataBar minLength="0" maxLength="100" border="1" gradient="0">
              <x14:cfvo type="num">
                <xm:f>0</xm:f>
              </x14:cfvo>
              <x14:cfvo type="num">
                <xm:f>1</xm:f>
              </x14:cfvo>
              <x14:borderColor theme="0"/>
              <x14:negativeFillColor rgb="FFFF0000"/>
              <x14:axisColor rgb="FF000000"/>
            </x14:dataBar>
          </x14:cfRule>
          <xm:sqref>T496</xm:sqref>
        </x14:conditionalFormatting>
        <x14:conditionalFormatting xmlns:xm="http://schemas.microsoft.com/office/excel/2006/main">
          <x14:cfRule type="dataBar" id="{CA6494CA-F204-4AB9-B94D-FE392AC8550B}">
            <x14:dataBar minLength="0" maxLength="100" border="1" gradient="0">
              <x14:cfvo type="num">
                <xm:f>0</xm:f>
              </x14:cfvo>
              <x14:cfvo type="num">
                <xm:f>1</xm:f>
              </x14:cfvo>
              <x14:borderColor theme="0"/>
              <x14:negativeFillColor rgb="FFFF0000"/>
              <x14:axisColor rgb="FF000000"/>
            </x14:dataBar>
          </x14:cfRule>
          <xm:sqref>T498</xm:sqref>
        </x14:conditionalFormatting>
        <x14:conditionalFormatting xmlns:xm="http://schemas.microsoft.com/office/excel/2006/main">
          <x14:cfRule type="dataBar" id="{EE17C718-C586-4448-BE6E-DC32FFA85FA1}">
            <x14:dataBar minLength="0" maxLength="100" border="1" gradient="0">
              <x14:cfvo type="num">
                <xm:f>0</xm:f>
              </x14:cfvo>
              <x14:cfvo type="num">
                <xm:f>1</xm:f>
              </x14:cfvo>
              <x14:borderColor theme="0"/>
              <x14:negativeFillColor rgb="FFFF0000"/>
              <x14:axisColor rgb="FF000000"/>
            </x14:dataBar>
          </x14:cfRule>
          <xm:sqref>T500</xm:sqref>
        </x14:conditionalFormatting>
        <x14:conditionalFormatting xmlns:xm="http://schemas.microsoft.com/office/excel/2006/main">
          <x14:cfRule type="dataBar" id="{C621557D-C824-4033-BDD9-496E86817FB6}">
            <x14:dataBar minLength="0" maxLength="100" border="1" gradient="0">
              <x14:cfvo type="num">
                <xm:f>0</xm:f>
              </x14:cfvo>
              <x14:cfvo type="num">
                <xm:f>1</xm:f>
              </x14:cfvo>
              <x14:borderColor theme="0"/>
              <x14:negativeFillColor rgb="FFFF0000"/>
              <x14:axisColor rgb="FF000000"/>
            </x14:dataBar>
          </x14:cfRule>
          <xm:sqref>T502</xm:sqref>
        </x14:conditionalFormatting>
        <x14:conditionalFormatting xmlns:xm="http://schemas.microsoft.com/office/excel/2006/main">
          <x14:cfRule type="dataBar" id="{6609D663-2CDB-4690-9B77-1AC8BBF10B08}">
            <x14:dataBar minLength="0" maxLength="100" border="1" gradient="0">
              <x14:cfvo type="num">
                <xm:f>0</xm:f>
              </x14:cfvo>
              <x14:cfvo type="num">
                <xm:f>1</xm:f>
              </x14:cfvo>
              <x14:borderColor theme="0"/>
              <x14:negativeFillColor rgb="FFFF0000"/>
              <x14:axisColor rgb="FF000000"/>
            </x14:dataBar>
          </x14:cfRule>
          <xm:sqref>T504</xm:sqref>
        </x14:conditionalFormatting>
        <x14:conditionalFormatting xmlns:xm="http://schemas.microsoft.com/office/excel/2006/main">
          <x14:cfRule type="dataBar" id="{1CE8F4C4-FBD3-4336-8DC4-32BCFE49537E}">
            <x14:dataBar minLength="0" maxLength="100" border="1" gradient="0">
              <x14:cfvo type="num">
                <xm:f>0</xm:f>
              </x14:cfvo>
              <x14:cfvo type="num">
                <xm:f>1</xm:f>
              </x14:cfvo>
              <x14:borderColor theme="0"/>
              <x14:negativeFillColor rgb="FFFF0000"/>
              <x14:axisColor rgb="FF000000"/>
            </x14:dataBar>
          </x14:cfRule>
          <xm:sqref>T506</xm:sqref>
        </x14:conditionalFormatting>
        <x14:conditionalFormatting xmlns:xm="http://schemas.microsoft.com/office/excel/2006/main">
          <x14:cfRule type="dataBar" id="{79BC60F5-F246-41BF-B4B8-B053F325622A}">
            <x14:dataBar minLength="0" maxLength="100" border="1" gradient="0">
              <x14:cfvo type="num">
                <xm:f>0</xm:f>
              </x14:cfvo>
              <x14:cfvo type="num">
                <xm:f>1</xm:f>
              </x14:cfvo>
              <x14:borderColor theme="0"/>
              <x14:negativeFillColor rgb="FFFF0000"/>
              <x14:axisColor rgb="FF000000"/>
            </x14:dataBar>
          </x14:cfRule>
          <xm:sqref>T508</xm:sqref>
        </x14:conditionalFormatting>
        <x14:conditionalFormatting xmlns:xm="http://schemas.microsoft.com/office/excel/2006/main">
          <x14:cfRule type="dataBar" id="{6D4BF923-C8D2-4A7E-A871-A561D2E37207}">
            <x14:dataBar minLength="0" maxLength="100" border="1" gradient="0">
              <x14:cfvo type="num">
                <xm:f>0</xm:f>
              </x14:cfvo>
              <x14:cfvo type="num">
                <xm:f>1</xm:f>
              </x14:cfvo>
              <x14:borderColor theme="0"/>
              <x14:negativeFillColor rgb="FFFF0000"/>
              <x14:axisColor rgb="FF000000"/>
            </x14:dataBar>
          </x14:cfRule>
          <xm:sqref>T510</xm:sqref>
        </x14:conditionalFormatting>
        <x14:conditionalFormatting xmlns:xm="http://schemas.microsoft.com/office/excel/2006/main">
          <x14:cfRule type="dataBar" id="{E5A0104E-913E-4C06-ADED-992EBBC25327}">
            <x14:dataBar minLength="0" maxLength="100" border="1" gradient="0">
              <x14:cfvo type="num">
                <xm:f>0</xm:f>
              </x14:cfvo>
              <x14:cfvo type="num">
                <xm:f>1</xm:f>
              </x14:cfvo>
              <x14:borderColor theme="0"/>
              <x14:negativeFillColor rgb="FFFF0000"/>
              <x14:axisColor rgb="FF000000"/>
            </x14:dataBar>
          </x14:cfRule>
          <xm:sqref>T512</xm:sqref>
        </x14:conditionalFormatting>
        <x14:conditionalFormatting xmlns:xm="http://schemas.microsoft.com/office/excel/2006/main">
          <x14:cfRule type="dataBar" id="{EC86E835-4200-4645-B072-4385054EC9F2}">
            <x14:dataBar minLength="0" maxLength="100" border="1" gradient="0">
              <x14:cfvo type="num">
                <xm:f>0</xm:f>
              </x14:cfvo>
              <x14:cfvo type="num">
                <xm:f>1</xm:f>
              </x14:cfvo>
              <x14:borderColor theme="0"/>
              <x14:negativeFillColor rgb="FFFF0000"/>
              <x14:axisColor rgb="FF000000"/>
            </x14:dataBar>
          </x14:cfRule>
          <xm:sqref>T514</xm:sqref>
        </x14:conditionalFormatting>
        <x14:conditionalFormatting xmlns:xm="http://schemas.microsoft.com/office/excel/2006/main">
          <x14:cfRule type="dataBar" id="{ED3B565F-8C3B-4EFE-91B7-849A735457FE}">
            <x14:dataBar minLength="0" maxLength="100" border="1" gradient="0">
              <x14:cfvo type="num">
                <xm:f>0</xm:f>
              </x14:cfvo>
              <x14:cfvo type="num">
                <xm:f>1</xm:f>
              </x14:cfvo>
              <x14:borderColor theme="0"/>
              <x14:negativeFillColor rgb="FFFF0000"/>
              <x14:axisColor rgb="FF000000"/>
            </x14:dataBar>
          </x14:cfRule>
          <xm:sqref>T516</xm:sqref>
        </x14:conditionalFormatting>
        <x14:conditionalFormatting xmlns:xm="http://schemas.microsoft.com/office/excel/2006/main">
          <x14:cfRule type="dataBar" id="{0563B962-1436-464A-9EA4-C879339F994B}">
            <x14:dataBar minLength="0" maxLength="100" border="1" gradient="0">
              <x14:cfvo type="num">
                <xm:f>0</xm:f>
              </x14:cfvo>
              <x14:cfvo type="num">
                <xm:f>1</xm:f>
              </x14:cfvo>
              <x14:borderColor theme="0"/>
              <x14:negativeFillColor rgb="FFFF0000"/>
              <x14:axisColor rgb="FF000000"/>
            </x14:dataBar>
          </x14:cfRule>
          <xm:sqref>T518</xm:sqref>
        </x14:conditionalFormatting>
        <x14:conditionalFormatting xmlns:xm="http://schemas.microsoft.com/office/excel/2006/main">
          <x14:cfRule type="dataBar" id="{2F65275D-106B-43DE-BD31-12F36CC051EF}">
            <x14:dataBar minLength="0" maxLength="100" border="1" gradient="0">
              <x14:cfvo type="num">
                <xm:f>0</xm:f>
              </x14:cfvo>
              <x14:cfvo type="num">
                <xm:f>1</xm:f>
              </x14:cfvo>
              <x14:borderColor theme="0"/>
              <x14:negativeFillColor rgb="FFFF0000"/>
              <x14:axisColor rgb="FF000000"/>
            </x14:dataBar>
          </x14:cfRule>
          <xm:sqref>T520</xm:sqref>
        </x14:conditionalFormatting>
        <x14:conditionalFormatting xmlns:xm="http://schemas.microsoft.com/office/excel/2006/main">
          <x14:cfRule type="dataBar" id="{95D7DCB6-9655-4738-A211-5A41EEA5F851}">
            <x14:dataBar minLength="0" maxLength="100" border="1" gradient="0">
              <x14:cfvo type="num">
                <xm:f>0</xm:f>
              </x14:cfvo>
              <x14:cfvo type="num">
                <xm:f>1</xm:f>
              </x14:cfvo>
              <x14:borderColor theme="0"/>
              <x14:negativeFillColor rgb="FFFF0000"/>
              <x14:axisColor rgb="FF000000"/>
            </x14:dataBar>
          </x14:cfRule>
          <xm:sqref>T522</xm:sqref>
        </x14:conditionalFormatting>
        <x14:conditionalFormatting xmlns:xm="http://schemas.microsoft.com/office/excel/2006/main">
          <x14:cfRule type="dataBar" id="{68FF2B7F-DB01-49A0-B272-F58B69F0FF88}">
            <x14:dataBar minLength="0" maxLength="100" border="1" gradient="0">
              <x14:cfvo type="num">
                <xm:f>0</xm:f>
              </x14:cfvo>
              <x14:cfvo type="num">
                <xm:f>1</xm:f>
              </x14:cfvo>
              <x14:borderColor theme="0"/>
              <x14:negativeFillColor rgb="FFFF0000"/>
              <x14:axisColor rgb="FF000000"/>
            </x14:dataBar>
          </x14:cfRule>
          <xm:sqref>T524</xm:sqref>
        </x14:conditionalFormatting>
        <x14:conditionalFormatting xmlns:xm="http://schemas.microsoft.com/office/excel/2006/main">
          <x14:cfRule type="dataBar" id="{C934FDA3-ECA1-4A49-ADBF-F94FD7C4EE62}">
            <x14:dataBar minLength="0" maxLength="100" border="1" gradient="0">
              <x14:cfvo type="num">
                <xm:f>0</xm:f>
              </x14:cfvo>
              <x14:cfvo type="num">
                <xm:f>1</xm:f>
              </x14:cfvo>
              <x14:borderColor theme="0"/>
              <x14:negativeFillColor rgb="FFFF0000"/>
              <x14:axisColor rgb="FF000000"/>
            </x14:dataBar>
          </x14:cfRule>
          <xm:sqref>T526</xm:sqref>
        </x14:conditionalFormatting>
        <x14:conditionalFormatting xmlns:xm="http://schemas.microsoft.com/office/excel/2006/main">
          <x14:cfRule type="dataBar" id="{F4B0A4DE-A8A3-4FB6-BD2B-3EA3EA45127C}">
            <x14:dataBar minLength="0" maxLength="100" border="1" gradient="0">
              <x14:cfvo type="num">
                <xm:f>0</xm:f>
              </x14:cfvo>
              <x14:cfvo type="num">
                <xm:f>1</xm:f>
              </x14:cfvo>
              <x14:borderColor theme="0"/>
              <x14:negativeFillColor rgb="FFFF0000"/>
              <x14:axisColor rgb="FF000000"/>
            </x14:dataBar>
          </x14:cfRule>
          <xm:sqref>T528</xm:sqref>
        </x14:conditionalFormatting>
        <x14:conditionalFormatting xmlns:xm="http://schemas.microsoft.com/office/excel/2006/main">
          <x14:cfRule type="dataBar" id="{BFCA4BDC-1616-4B77-8F4A-A120EBC74275}">
            <x14:dataBar minLength="0" maxLength="100" border="1" gradient="0">
              <x14:cfvo type="num">
                <xm:f>0</xm:f>
              </x14:cfvo>
              <x14:cfvo type="num">
                <xm:f>1</xm:f>
              </x14:cfvo>
              <x14:borderColor theme="0"/>
              <x14:negativeFillColor rgb="FFFF0000"/>
              <x14:axisColor rgb="FF000000"/>
            </x14:dataBar>
          </x14:cfRule>
          <xm:sqref>T530</xm:sqref>
        </x14:conditionalFormatting>
        <x14:conditionalFormatting xmlns:xm="http://schemas.microsoft.com/office/excel/2006/main">
          <x14:cfRule type="dataBar" id="{1ADBC586-E780-4C64-BA97-7F21844E72E2}">
            <x14:dataBar minLength="0" maxLength="100" border="1" gradient="0">
              <x14:cfvo type="num">
                <xm:f>0</xm:f>
              </x14:cfvo>
              <x14:cfvo type="num">
                <xm:f>1</xm:f>
              </x14:cfvo>
              <x14:borderColor theme="0"/>
              <x14:negativeFillColor rgb="FFFF0000"/>
              <x14:axisColor rgb="FF000000"/>
            </x14:dataBar>
          </x14:cfRule>
          <xm:sqref>T532</xm:sqref>
        </x14:conditionalFormatting>
        <x14:conditionalFormatting xmlns:xm="http://schemas.microsoft.com/office/excel/2006/main">
          <x14:cfRule type="dataBar" id="{C2FB1F58-2CD1-4137-8D8D-9353EC53033D}">
            <x14:dataBar minLength="0" maxLength="100" border="1" gradient="0">
              <x14:cfvo type="num">
                <xm:f>0</xm:f>
              </x14:cfvo>
              <x14:cfvo type="num">
                <xm:f>1</xm:f>
              </x14:cfvo>
              <x14:borderColor theme="0"/>
              <x14:negativeFillColor rgb="FFFF0000"/>
              <x14:axisColor rgb="FF000000"/>
            </x14:dataBar>
          </x14:cfRule>
          <xm:sqref>T534</xm:sqref>
        </x14:conditionalFormatting>
        <x14:conditionalFormatting xmlns:xm="http://schemas.microsoft.com/office/excel/2006/main">
          <x14:cfRule type="dataBar" id="{4BD75F2D-452C-4A63-84C1-371091816ECA}">
            <x14:dataBar minLength="0" maxLength="100" border="1" gradient="0">
              <x14:cfvo type="num">
                <xm:f>0</xm:f>
              </x14:cfvo>
              <x14:cfvo type="num">
                <xm:f>1</xm:f>
              </x14:cfvo>
              <x14:borderColor theme="0"/>
              <x14:negativeFillColor rgb="FFFF0000"/>
              <x14:axisColor rgb="FF000000"/>
            </x14:dataBar>
          </x14:cfRule>
          <xm:sqref>T536</xm:sqref>
        </x14:conditionalFormatting>
        <x14:conditionalFormatting xmlns:xm="http://schemas.microsoft.com/office/excel/2006/main">
          <x14:cfRule type="dataBar" id="{9C5843A3-FEF6-4349-9DAB-A989A093AC0E}">
            <x14:dataBar minLength="0" maxLength="100" border="1" gradient="0">
              <x14:cfvo type="num">
                <xm:f>0</xm:f>
              </x14:cfvo>
              <x14:cfvo type="num">
                <xm:f>1</xm:f>
              </x14:cfvo>
              <x14:borderColor theme="0"/>
              <x14:negativeFillColor rgb="FFFF0000"/>
              <x14:axisColor rgb="FF000000"/>
            </x14:dataBar>
          </x14:cfRule>
          <xm:sqref>T538</xm:sqref>
        </x14:conditionalFormatting>
        <x14:conditionalFormatting xmlns:xm="http://schemas.microsoft.com/office/excel/2006/main">
          <x14:cfRule type="dataBar" id="{0E27269C-B489-4A41-BE05-FF99359DEA81}">
            <x14:dataBar minLength="0" maxLength="100" border="1" gradient="0">
              <x14:cfvo type="num">
                <xm:f>0</xm:f>
              </x14:cfvo>
              <x14:cfvo type="num">
                <xm:f>1</xm:f>
              </x14:cfvo>
              <x14:borderColor theme="0"/>
              <x14:negativeFillColor rgb="FFFF0000"/>
              <x14:axisColor rgb="FF000000"/>
            </x14:dataBar>
          </x14:cfRule>
          <xm:sqref>T540</xm:sqref>
        </x14:conditionalFormatting>
        <x14:conditionalFormatting xmlns:xm="http://schemas.microsoft.com/office/excel/2006/main">
          <x14:cfRule type="dataBar" id="{11866A9E-4866-4DAC-9316-6C5433DF8131}">
            <x14:dataBar minLength="0" maxLength="100" border="1" gradient="0">
              <x14:cfvo type="num">
                <xm:f>0</xm:f>
              </x14:cfvo>
              <x14:cfvo type="num">
                <xm:f>1</xm:f>
              </x14:cfvo>
              <x14:borderColor theme="0"/>
              <x14:negativeFillColor rgb="FFFF0000"/>
              <x14:axisColor rgb="FF000000"/>
            </x14:dataBar>
          </x14:cfRule>
          <xm:sqref>T542</xm:sqref>
        </x14:conditionalFormatting>
        <x14:conditionalFormatting xmlns:xm="http://schemas.microsoft.com/office/excel/2006/main">
          <x14:cfRule type="dataBar" id="{B69A5B0F-AAC9-4A08-9BD9-CC6CD085C50C}">
            <x14:dataBar minLength="0" maxLength="100" border="1" gradient="0">
              <x14:cfvo type="num">
                <xm:f>0</xm:f>
              </x14:cfvo>
              <x14:cfvo type="num">
                <xm:f>1</xm:f>
              </x14:cfvo>
              <x14:borderColor theme="0"/>
              <x14:negativeFillColor rgb="FFFF0000"/>
              <x14:axisColor rgb="FF000000"/>
            </x14:dataBar>
          </x14:cfRule>
          <xm:sqref>T544</xm:sqref>
        </x14:conditionalFormatting>
        <x14:conditionalFormatting xmlns:xm="http://schemas.microsoft.com/office/excel/2006/main">
          <x14:cfRule type="dataBar" id="{C019E598-E447-4891-A830-72D739BFC25A}">
            <x14:dataBar minLength="0" maxLength="100" border="1" gradient="0">
              <x14:cfvo type="num">
                <xm:f>0</xm:f>
              </x14:cfvo>
              <x14:cfvo type="num">
                <xm:f>1</xm:f>
              </x14:cfvo>
              <x14:borderColor theme="0"/>
              <x14:negativeFillColor rgb="FFFF0000"/>
              <x14:axisColor rgb="FF000000"/>
            </x14:dataBar>
          </x14:cfRule>
          <xm:sqref>T546</xm:sqref>
        </x14:conditionalFormatting>
        <x14:conditionalFormatting xmlns:xm="http://schemas.microsoft.com/office/excel/2006/main">
          <x14:cfRule type="dataBar" id="{F16E182B-1647-48EA-B438-EE0FF12389DD}">
            <x14:dataBar minLength="0" maxLength="100" border="1" gradient="0">
              <x14:cfvo type="num">
                <xm:f>0</xm:f>
              </x14:cfvo>
              <x14:cfvo type="num">
                <xm:f>1</xm:f>
              </x14:cfvo>
              <x14:borderColor theme="0"/>
              <x14:negativeFillColor rgb="FFFF0000"/>
              <x14:axisColor rgb="FF000000"/>
            </x14:dataBar>
          </x14:cfRule>
          <xm:sqref>T548</xm:sqref>
        </x14:conditionalFormatting>
        <x14:conditionalFormatting xmlns:xm="http://schemas.microsoft.com/office/excel/2006/main">
          <x14:cfRule type="dataBar" id="{2F1443AB-89F3-469A-96F2-6023524A7210}">
            <x14:dataBar minLength="0" maxLength="100" border="1" gradient="0">
              <x14:cfvo type="num">
                <xm:f>0</xm:f>
              </x14:cfvo>
              <x14:cfvo type="num">
                <xm:f>1</xm:f>
              </x14:cfvo>
              <x14:borderColor theme="0"/>
              <x14:negativeFillColor rgb="FFFF0000"/>
              <x14:axisColor rgb="FF000000"/>
            </x14:dataBar>
          </x14:cfRule>
          <xm:sqref>T550</xm:sqref>
        </x14:conditionalFormatting>
        <x14:conditionalFormatting xmlns:xm="http://schemas.microsoft.com/office/excel/2006/main">
          <x14:cfRule type="dataBar" id="{0A09AE22-AB20-4BAB-9A23-25FC037F301A}">
            <x14:dataBar minLength="0" maxLength="100" border="1" gradient="0">
              <x14:cfvo type="num">
                <xm:f>0</xm:f>
              </x14:cfvo>
              <x14:cfvo type="num">
                <xm:f>1</xm:f>
              </x14:cfvo>
              <x14:borderColor theme="0"/>
              <x14:negativeFillColor rgb="FFFF0000"/>
              <x14:axisColor rgb="FF000000"/>
            </x14:dataBar>
          </x14:cfRule>
          <xm:sqref>T552</xm:sqref>
        </x14:conditionalFormatting>
        <x14:conditionalFormatting xmlns:xm="http://schemas.microsoft.com/office/excel/2006/main">
          <x14:cfRule type="dataBar" id="{9D68CAEC-8A22-4B5E-9A0D-A4278211BDD0}">
            <x14:dataBar minLength="0" maxLength="100" border="1" gradient="0">
              <x14:cfvo type="num">
                <xm:f>0</xm:f>
              </x14:cfvo>
              <x14:cfvo type="num">
                <xm:f>1</xm:f>
              </x14:cfvo>
              <x14:borderColor theme="0"/>
              <x14:negativeFillColor rgb="FFFF0000"/>
              <x14:axisColor rgb="FF000000"/>
            </x14:dataBar>
          </x14:cfRule>
          <xm:sqref>T554</xm:sqref>
        </x14:conditionalFormatting>
        <x14:conditionalFormatting xmlns:xm="http://schemas.microsoft.com/office/excel/2006/main">
          <x14:cfRule type="dataBar" id="{83996A95-A7C5-42FB-B2FA-27BE22D753BB}">
            <x14:dataBar minLength="0" maxLength="100" border="1" gradient="0">
              <x14:cfvo type="num">
                <xm:f>0</xm:f>
              </x14:cfvo>
              <x14:cfvo type="num">
                <xm:f>1</xm:f>
              </x14:cfvo>
              <x14:borderColor theme="0"/>
              <x14:negativeFillColor rgb="FFFF0000"/>
              <x14:axisColor rgb="FF000000"/>
            </x14:dataBar>
          </x14:cfRule>
          <xm:sqref>T556</xm:sqref>
        </x14:conditionalFormatting>
        <x14:conditionalFormatting xmlns:xm="http://schemas.microsoft.com/office/excel/2006/main">
          <x14:cfRule type="dataBar" id="{72082ED5-38C5-4112-831D-3CF2CE07550B}">
            <x14:dataBar minLength="0" maxLength="100" border="1" gradient="0">
              <x14:cfvo type="num">
                <xm:f>0</xm:f>
              </x14:cfvo>
              <x14:cfvo type="num">
                <xm:f>1</xm:f>
              </x14:cfvo>
              <x14:borderColor theme="0"/>
              <x14:negativeFillColor rgb="FFFF0000"/>
              <x14:axisColor rgb="FF000000"/>
            </x14:dataBar>
          </x14:cfRule>
          <xm:sqref>T558</xm:sqref>
        </x14:conditionalFormatting>
        <x14:conditionalFormatting xmlns:xm="http://schemas.microsoft.com/office/excel/2006/main">
          <x14:cfRule type="dataBar" id="{5D0BF99C-ACBA-4643-9625-FDA1A336DDDA}">
            <x14:dataBar minLength="0" maxLength="100" border="1" gradient="0">
              <x14:cfvo type="num">
                <xm:f>0</xm:f>
              </x14:cfvo>
              <x14:cfvo type="num">
                <xm:f>1</xm:f>
              </x14:cfvo>
              <x14:borderColor theme="0"/>
              <x14:negativeFillColor rgb="FFFF0000"/>
              <x14:axisColor rgb="FF000000"/>
            </x14:dataBar>
          </x14:cfRule>
          <xm:sqref>T560</xm:sqref>
        </x14:conditionalFormatting>
        <x14:conditionalFormatting xmlns:xm="http://schemas.microsoft.com/office/excel/2006/main">
          <x14:cfRule type="dataBar" id="{E386D81B-268D-4F0A-A98F-4246DB03443C}">
            <x14:dataBar minLength="0" maxLength="100" border="1" gradient="0">
              <x14:cfvo type="num">
                <xm:f>0</xm:f>
              </x14:cfvo>
              <x14:cfvo type="num">
                <xm:f>1</xm:f>
              </x14:cfvo>
              <x14:borderColor theme="0"/>
              <x14:negativeFillColor rgb="FFFF0000"/>
              <x14:axisColor rgb="FF000000"/>
            </x14:dataBar>
          </x14:cfRule>
          <xm:sqref>T562</xm:sqref>
        </x14:conditionalFormatting>
        <x14:conditionalFormatting xmlns:xm="http://schemas.microsoft.com/office/excel/2006/main">
          <x14:cfRule type="dataBar" id="{06761A8B-109F-43FC-90D1-9EADEFFCA9D4}">
            <x14:dataBar minLength="0" maxLength="100" border="1" gradient="0">
              <x14:cfvo type="num">
                <xm:f>0</xm:f>
              </x14:cfvo>
              <x14:cfvo type="num">
                <xm:f>1</xm:f>
              </x14:cfvo>
              <x14:borderColor theme="0"/>
              <x14:negativeFillColor rgb="FFFF0000"/>
              <x14:axisColor rgb="FF000000"/>
            </x14:dataBar>
          </x14:cfRule>
          <xm:sqref>T564</xm:sqref>
        </x14:conditionalFormatting>
        <x14:conditionalFormatting xmlns:xm="http://schemas.microsoft.com/office/excel/2006/main">
          <x14:cfRule type="dataBar" id="{10CEAF53-A17F-4986-BC97-C5FEC19654A3}">
            <x14:dataBar minLength="0" maxLength="100" border="1" gradient="0">
              <x14:cfvo type="num">
                <xm:f>0</xm:f>
              </x14:cfvo>
              <x14:cfvo type="num">
                <xm:f>1</xm:f>
              </x14:cfvo>
              <x14:borderColor theme="0"/>
              <x14:negativeFillColor rgb="FFFF0000"/>
              <x14:axisColor rgb="FF000000"/>
            </x14:dataBar>
          </x14:cfRule>
          <xm:sqref>T566</xm:sqref>
        </x14:conditionalFormatting>
        <x14:conditionalFormatting xmlns:xm="http://schemas.microsoft.com/office/excel/2006/main">
          <x14:cfRule type="dataBar" id="{BB49959E-3218-46E4-B096-FA2165DCCC53}">
            <x14:dataBar minLength="0" maxLength="100" border="1" gradient="0">
              <x14:cfvo type="num">
                <xm:f>0</xm:f>
              </x14:cfvo>
              <x14:cfvo type="num">
                <xm:f>1</xm:f>
              </x14:cfvo>
              <x14:borderColor theme="0"/>
              <x14:negativeFillColor rgb="FFFF0000"/>
              <x14:axisColor rgb="FF000000"/>
            </x14:dataBar>
          </x14:cfRule>
          <xm:sqref>T568</xm:sqref>
        </x14:conditionalFormatting>
        <x14:conditionalFormatting xmlns:xm="http://schemas.microsoft.com/office/excel/2006/main">
          <x14:cfRule type="dataBar" id="{6A5EAAD9-065A-4765-BB42-F0F7B76EAB0A}">
            <x14:dataBar minLength="0" maxLength="100" border="1" gradient="0">
              <x14:cfvo type="num">
                <xm:f>0</xm:f>
              </x14:cfvo>
              <x14:cfvo type="num">
                <xm:f>1</xm:f>
              </x14:cfvo>
              <x14:borderColor theme="0"/>
              <x14:negativeFillColor rgb="FFFF0000"/>
              <x14:axisColor rgb="FF000000"/>
            </x14:dataBar>
          </x14:cfRule>
          <xm:sqref>T570</xm:sqref>
        </x14:conditionalFormatting>
        <x14:conditionalFormatting xmlns:xm="http://schemas.microsoft.com/office/excel/2006/main">
          <x14:cfRule type="dataBar" id="{51AFCD9A-4E64-41E4-90C1-0592F88A3316}">
            <x14:dataBar minLength="0" maxLength="100" border="1" gradient="0">
              <x14:cfvo type="num">
                <xm:f>0</xm:f>
              </x14:cfvo>
              <x14:cfvo type="num">
                <xm:f>1</xm:f>
              </x14:cfvo>
              <x14:borderColor theme="0"/>
              <x14:negativeFillColor rgb="FFFF0000"/>
              <x14:axisColor rgb="FF000000"/>
            </x14:dataBar>
          </x14:cfRule>
          <xm:sqref>T572</xm:sqref>
        </x14:conditionalFormatting>
        <x14:conditionalFormatting xmlns:xm="http://schemas.microsoft.com/office/excel/2006/main">
          <x14:cfRule type="dataBar" id="{B9CE95D9-E75D-459B-80FA-88F09219A076}">
            <x14:dataBar minLength="0" maxLength="100" border="1" gradient="0">
              <x14:cfvo type="num">
                <xm:f>0</xm:f>
              </x14:cfvo>
              <x14:cfvo type="num">
                <xm:f>1</xm:f>
              </x14:cfvo>
              <x14:borderColor theme="0"/>
              <x14:negativeFillColor rgb="FFFF0000"/>
              <x14:axisColor rgb="FF000000"/>
            </x14:dataBar>
          </x14:cfRule>
          <xm:sqref>T574</xm:sqref>
        </x14:conditionalFormatting>
        <x14:conditionalFormatting xmlns:xm="http://schemas.microsoft.com/office/excel/2006/main">
          <x14:cfRule type="dataBar" id="{8EBE0EDF-F215-45E0-89A1-A67BB60E711D}">
            <x14:dataBar minLength="0" maxLength="100" border="1" gradient="0">
              <x14:cfvo type="num">
                <xm:f>0</xm:f>
              </x14:cfvo>
              <x14:cfvo type="num">
                <xm:f>1</xm:f>
              </x14:cfvo>
              <x14:borderColor theme="0"/>
              <x14:negativeFillColor rgb="FFFF0000"/>
              <x14:axisColor rgb="FF000000"/>
            </x14:dataBar>
          </x14:cfRule>
          <xm:sqref>T576</xm:sqref>
        </x14:conditionalFormatting>
        <x14:conditionalFormatting xmlns:xm="http://schemas.microsoft.com/office/excel/2006/main">
          <x14:cfRule type="dataBar" id="{A97C7A66-0BA5-451A-B50B-6A0D82EED4E6}">
            <x14:dataBar minLength="0" maxLength="100" border="1" gradient="0">
              <x14:cfvo type="num">
                <xm:f>0</xm:f>
              </x14:cfvo>
              <x14:cfvo type="num">
                <xm:f>1</xm:f>
              </x14:cfvo>
              <x14:borderColor theme="0"/>
              <x14:negativeFillColor rgb="FFFF0000"/>
              <x14:axisColor rgb="FF000000"/>
            </x14:dataBar>
          </x14:cfRule>
          <xm:sqref>T578</xm:sqref>
        </x14:conditionalFormatting>
        <x14:conditionalFormatting xmlns:xm="http://schemas.microsoft.com/office/excel/2006/main">
          <x14:cfRule type="dataBar" id="{A43875E9-25EB-462A-B084-834548852A0C}">
            <x14:dataBar minLength="0" maxLength="100" border="1" gradient="0">
              <x14:cfvo type="num">
                <xm:f>0</xm:f>
              </x14:cfvo>
              <x14:cfvo type="num">
                <xm:f>1</xm:f>
              </x14:cfvo>
              <x14:borderColor theme="0"/>
              <x14:negativeFillColor rgb="FFFF0000"/>
              <x14:axisColor rgb="FF000000"/>
            </x14:dataBar>
          </x14:cfRule>
          <xm:sqref>T580</xm:sqref>
        </x14:conditionalFormatting>
        <x14:conditionalFormatting xmlns:xm="http://schemas.microsoft.com/office/excel/2006/main">
          <x14:cfRule type="dataBar" id="{6B6679A0-89AC-4B6F-A6D3-6B75F98E28C9}">
            <x14:dataBar minLength="0" maxLength="100" border="1" gradient="0">
              <x14:cfvo type="num">
                <xm:f>0</xm:f>
              </x14:cfvo>
              <x14:cfvo type="num">
                <xm:f>1</xm:f>
              </x14:cfvo>
              <x14:borderColor theme="0"/>
              <x14:negativeFillColor rgb="FFFF0000"/>
              <x14:axisColor rgb="FF000000"/>
            </x14:dataBar>
          </x14:cfRule>
          <xm:sqref>T582</xm:sqref>
        </x14:conditionalFormatting>
        <x14:conditionalFormatting xmlns:xm="http://schemas.microsoft.com/office/excel/2006/main">
          <x14:cfRule type="dataBar" id="{B8488102-5B10-4F88-90BE-04F6B0F92531}">
            <x14:dataBar minLength="0" maxLength="100" border="1" gradient="0">
              <x14:cfvo type="num">
                <xm:f>0</xm:f>
              </x14:cfvo>
              <x14:cfvo type="num">
                <xm:f>1</xm:f>
              </x14:cfvo>
              <x14:borderColor theme="0"/>
              <x14:negativeFillColor rgb="FFFF0000"/>
              <x14:axisColor rgb="FF000000"/>
            </x14:dataBar>
          </x14:cfRule>
          <xm:sqref>T584</xm:sqref>
        </x14:conditionalFormatting>
        <x14:conditionalFormatting xmlns:xm="http://schemas.microsoft.com/office/excel/2006/main">
          <x14:cfRule type="dataBar" id="{1D781620-3190-496C-B7D3-A272501A0703}">
            <x14:dataBar minLength="0" maxLength="100" border="1" gradient="0">
              <x14:cfvo type="num">
                <xm:f>0</xm:f>
              </x14:cfvo>
              <x14:cfvo type="num">
                <xm:f>1</xm:f>
              </x14:cfvo>
              <x14:borderColor theme="0"/>
              <x14:negativeFillColor rgb="FFFF0000"/>
              <x14:axisColor rgb="FF000000"/>
            </x14:dataBar>
          </x14:cfRule>
          <xm:sqref>T586</xm:sqref>
        </x14:conditionalFormatting>
        <x14:conditionalFormatting xmlns:xm="http://schemas.microsoft.com/office/excel/2006/main">
          <x14:cfRule type="dataBar" id="{C35EB6D9-3F6C-4828-B162-7B669D2B0723}">
            <x14:dataBar minLength="0" maxLength="100" border="1" gradient="0">
              <x14:cfvo type="num">
                <xm:f>0</xm:f>
              </x14:cfvo>
              <x14:cfvo type="num">
                <xm:f>1</xm:f>
              </x14:cfvo>
              <x14:borderColor theme="0"/>
              <x14:negativeFillColor rgb="FFFF0000"/>
              <x14:axisColor rgb="FF000000"/>
            </x14:dataBar>
          </x14:cfRule>
          <xm:sqref>T588</xm:sqref>
        </x14:conditionalFormatting>
        <x14:conditionalFormatting xmlns:xm="http://schemas.microsoft.com/office/excel/2006/main">
          <x14:cfRule type="dataBar" id="{7FB246DF-4961-432F-B367-C7C2455B2A59}">
            <x14:dataBar minLength="0" maxLength="100" border="1" gradient="0">
              <x14:cfvo type="num">
                <xm:f>0</xm:f>
              </x14:cfvo>
              <x14:cfvo type="num">
                <xm:f>1</xm:f>
              </x14:cfvo>
              <x14:borderColor theme="0"/>
              <x14:negativeFillColor rgb="FFFF0000"/>
              <x14:axisColor rgb="FF000000"/>
            </x14:dataBar>
          </x14:cfRule>
          <xm:sqref>T591</xm:sqref>
        </x14:conditionalFormatting>
        <x14:conditionalFormatting xmlns:xm="http://schemas.microsoft.com/office/excel/2006/main">
          <x14:cfRule type="dataBar" id="{36DC718E-EC77-43A1-B871-729149343BAD}">
            <x14:dataBar minLength="0" maxLength="100" border="1" gradient="0">
              <x14:cfvo type="num">
                <xm:f>0</xm:f>
              </x14:cfvo>
              <x14:cfvo type="num">
                <xm:f>1</xm:f>
              </x14:cfvo>
              <x14:borderColor theme="0"/>
              <x14:negativeFillColor rgb="FFFF0000"/>
              <x14:axisColor rgb="FF000000"/>
            </x14:dataBar>
          </x14:cfRule>
          <xm:sqref>T593</xm:sqref>
        </x14:conditionalFormatting>
        <x14:conditionalFormatting xmlns:xm="http://schemas.microsoft.com/office/excel/2006/main">
          <x14:cfRule type="dataBar" id="{F15F6F13-460F-4FF4-B762-DF822EC1D956}">
            <x14:dataBar minLength="0" maxLength="100" border="1" gradient="0">
              <x14:cfvo type="num">
                <xm:f>0</xm:f>
              </x14:cfvo>
              <x14:cfvo type="num">
                <xm:f>1</xm:f>
              </x14:cfvo>
              <x14:borderColor theme="0"/>
              <x14:negativeFillColor rgb="FFFF0000"/>
              <x14:axisColor rgb="FF000000"/>
            </x14:dataBar>
          </x14:cfRule>
          <xm:sqref>T595</xm:sqref>
        </x14:conditionalFormatting>
        <x14:conditionalFormatting xmlns:xm="http://schemas.microsoft.com/office/excel/2006/main">
          <x14:cfRule type="dataBar" id="{D04248A4-92C6-4A15-8371-288D11D2E13B}">
            <x14:dataBar minLength="0" maxLength="100" border="1" gradient="0">
              <x14:cfvo type="num">
                <xm:f>0</xm:f>
              </x14:cfvo>
              <x14:cfvo type="num">
                <xm:f>1</xm:f>
              </x14:cfvo>
              <x14:borderColor theme="0"/>
              <x14:negativeFillColor rgb="FFFF0000"/>
              <x14:axisColor rgb="FF000000"/>
            </x14:dataBar>
          </x14:cfRule>
          <xm:sqref>T597</xm:sqref>
        </x14:conditionalFormatting>
        <x14:conditionalFormatting xmlns:xm="http://schemas.microsoft.com/office/excel/2006/main">
          <x14:cfRule type="dataBar" id="{0780A214-3603-455B-8011-A3875FA6C743}">
            <x14:dataBar minLength="0" maxLength="100" border="1" gradient="0">
              <x14:cfvo type="num">
                <xm:f>0</xm:f>
              </x14:cfvo>
              <x14:cfvo type="num">
                <xm:f>1</xm:f>
              </x14:cfvo>
              <x14:borderColor theme="0"/>
              <x14:negativeFillColor rgb="FFFF0000"/>
              <x14:axisColor rgb="FF000000"/>
            </x14:dataBar>
          </x14:cfRule>
          <xm:sqref>T599</xm:sqref>
        </x14:conditionalFormatting>
        <x14:conditionalFormatting xmlns:xm="http://schemas.microsoft.com/office/excel/2006/main">
          <x14:cfRule type="dataBar" id="{0AA5F188-B8AF-4038-BAF5-DFEC659DDA6B}">
            <x14:dataBar minLength="0" maxLength="100" border="1" gradient="0">
              <x14:cfvo type="num">
                <xm:f>0</xm:f>
              </x14:cfvo>
              <x14:cfvo type="num">
                <xm:f>1</xm:f>
              </x14:cfvo>
              <x14:borderColor theme="0"/>
              <x14:negativeFillColor rgb="FFFF0000"/>
              <x14:axisColor rgb="FF000000"/>
            </x14:dataBar>
          </x14:cfRule>
          <xm:sqref>T601</xm:sqref>
        </x14:conditionalFormatting>
        <x14:conditionalFormatting xmlns:xm="http://schemas.microsoft.com/office/excel/2006/main">
          <x14:cfRule type="dataBar" id="{E467E3A9-774A-4F08-92CD-5ACA3BFDA28C}">
            <x14:dataBar minLength="0" maxLength="100" border="1" gradient="0">
              <x14:cfvo type="num">
                <xm:f>0</xm:f>
              </x14:cfvo>
              <x14:cfvo type="num">
                <xm:f>1</xm:f>
              </x14:cfvo>
              <x14:borderColor theme="0"/>
              <x14:negativeFillColor rgb="FFFF0000"/>
              <x14:axisColor rgb="FF000000"/>
            </x14:dataBar>
          </x14:cfRule>
          <xm:sqref>T603</xm:sqref>
        </x14:conditionalFormatting>
        <x14:conditionalFormatting xmlns:xm="http://schemas.microsoft.com/office/excel/2006/main">
          <x14:cfRule type="dataBar" id="{923A3CA8-7368-4243-89E1-7E70635A7BE7}">
            <x14:dataBar minLength="0" maxLength="100" border="1" gradient="0">
              <x14:cfvo type="num">
                <xm:f>0</xm:f>
              </x14:cfvo>
              <x14:cfvo type="num">
                <xm:f>1</xm:f>
              </x14:cfvo>
              <x14:borderColor theme="0"/>
              <x14:negativeFillColor rgb="FFFF0000"/>
              <x14:axisColor rgb="FF000000"/>
            </x14:dataBar>
          </x14:cfRule>
          <xm:sqref>T605</xm:sqref>
        </x14:conditionalFormatting>
        <x14:conditionalFormatting xmlns:xm="http://schemas.microsoft.com/office/excel/2006/main">
          <x14:cfRule type="dataBar" id="{D2598A80-4C24-4926-AF65-72ABB1F8300E}">
            <x14:dataBar minLength="0" maxLength="100" border="1" gradient="0">
              <x14:cfvo type="num">
                <xm:f>0</xm:f>
              </x14:cfvo>
              <x14:cfvo type="num">
                <xm:f>1</xm:f>
              </x14:cfvo>
              <x14:borderColor theme="0"/>
              <x14:negativeFillColor rgb="FFFF0000"/>
              <x14:axisColor rgb="FF000000"/>
            </x14:dataBar>
          </x14:cfRule>
          <xm:sqref>T607</xm:sqref>
        </x14:conditionalFormatting>
        <x14:conditionalFormatting xmlns:xm="http://schemas.microsoft.com/office/excel/2006/main">
          <x14:cfRule type="dataBar" id="{93E78CF8-DF2C-4830-BCB8-F60DFBFCB1B2}">
            <x14:dataBar minLength="0" maxLength="100" border="1" gradient="0">
              <x14:cfvo type="num">
                <xm:f>0</xm:f>
              </x14:cfvo>
              <x14:cfvo type="num">
                <xm:f>1</xm:f>
              </x14:cfvo>
              <x14:borderColor theme="0"/>
              <x14:negativeFillColor rgb="FFFF0000"/>
              <x14:axisColor rgb="FF000000"/>
            </x14:dataBar>
          </x14:cfRule>
          <xm:sqref>T609</xm:sqref>
        </x14:conditionalFormatting>
        <x14:conditionalFormatting xmlns:xm="http://schemas.microsoft.com/office/excel/2006/main">
          <x14:cfRule type="dataBar" id="{27726355-37F5-4CD7-923F-6DB72534C3E5}">
            <x14:dataBar minLength="0" maxLength="100" border="1" gradient="0">
              <x14:cfvo type="num">
                <xm:f>0</xm:f>
              </x14:cfvo>
              <x14:cfvo type="num">
                <xm:f>1</xm:f>
              </x14:cfvo>
              <x14:borderColor theme="0"/>
              <x14:negativeFillColor rgb="FFFF0000"/>
              <x14:axisColor rgb="FF000000"/>
            </x14:dataBar>
          </x14:cfRule>
          <xm:sqref>T611</xm:sqref>
        </x14:conditionalFormatting>
        <x14:conditionalFormatting xmlns:xm="http://schemas.microsoft.com/office/excel/2006/main">
          <x14:cfRule type="dataBar" id="{BE239776-1B74-43D5-A8D0-5E49542CBEDC}">
            <x14:dataBar minLength="0" maxLength="100" border="1" gradient="0">
              <x14:cfvo type="num">
                <xm:f>0</xm:f>
              </x14:cfvo>
              <x14:cfvo type="num">
                <xm:f>1</xm:f>
              </x14:cfvo>
              <x14:borderColor theme="0"/>
              <x14:negativeFillColor rgb="FFFF0000"/>
              <x14:axisColor rgb="FF000000"/>
            </x14:dataBar>
          </x14:cfRule>
          <xm:sqref>T613</xm:sqref>
        </x14:conditionalFormatting>
        <x14:conditionalFormatting xmlns:xm="http://schemas.microsoft.com/office/excel/2006/main">
          <x14:cfRule type="dataBar" id="{F3DC8AE9-042A-45EC-BFF1-BA5DE95593B4}">
            <x14:dataBar minLength="0" maxLength="100" border="1" gradient="0">
              <x14:cfvo type="num">
                <xm:f>0</xm:f>
              </x14:cfvo>
              <x14:cfvo type="num">
                <xm:f>1</xm:f>
              </x14:cfvo>
              <x14:borderColor theme="0"/>
              <x14:negativeFillColor rgb="FFFF0000"/>
              <x14:axisColor rgb="FF000000"/>
            </x14:dataBar>
          </x14:cfRule>
          <xm:sqref>T615</xm:sqref>
        </x14:conditionalFormatting>
        <x14:conditionalFormatting xmlns:xm="http://schemas.microsoft.com/office/excel/2006/main">
          <x14:cfRule type="dataBar" id="{642ABD25-4ECC-426D-85F5-19FAFB4C3E13}">
            <x14:dataBar minLength="0" maxLength="100" border="1" gradient="0">
              <x14:cfvo type="num">
                <xm:f>0</xm:f>
              </x14:cfvo>
              <x14:cfvo type="num">
                <xm:f>1</xm:f>
              </x14:cfvo>
              <x14:borderColor theme="0"/>
              <x14:negativeFillColor rgb="FFFF0000"/>
              <x14:axisColor rgb="FF000000"/>
            </x14:dataBar>
          </x14:cfRule>
          <xm:sqref>T617</xm:sqref>
        </x14:conditionalFormatting>
        <x14:conditionalFormatting xmlns:xm="http://schemas.microsoft.com/office/excel/2006/main">
          <x14:cfRule type="dataBar" id="{6DCF9207-F1D2-4F16-82BF-02E22E9D6489}">
            <x14:dataBar minLength="0" maxLength="100" border="1" gradient="0">
              <x14:cfvo type="num">
                <xm:f>0</xm:f>
              </x14:cfvo>
              <x14:cfvo type="num">
                <xm:f>1</xm:f>
              </x14:cfvo>
              <x14:borderColor theme="0"/>
              <x14:negativeFillColor rgb="FFFF0000"/>
              <x14:axisColor rgb="FF000000"/>
            </x14:dataBar>
          </x14:cfRule>
          <xm:sqref>T619</xm:sqref>
        </x14:conditionalFormatting>
        <x14:conditionalFormatting xmlns:xm="http://schemas.microsoft.com/office/excel/2006/main">
          <x14:cfRule type="dataBar" id="{5D71AA78-14D8-41EC-859B-AE1EDE021A61}">
            <x14:dataBar minLength="0" maxLength="100" border="1" gradient="0">
              <x14:cfvo type="num">
                <xm:f>0</xm:f>
              </x14:cfvo>
              <x14:cfvo type="num">
                <xm:f>1</xm:f>
              </x14:cfvo>
              <x14:borderColor theme="0"/>
              <x14:negativeFillColor rgb="FFFF0000"/>
              <x14:axisColor rgb="FF000000"/>
            </x14:dataBar>
          </x14:cfRule>
          <xm:sqref>T621</xm:sqref>
        </x14:conditionalFormatting>
        <x14:conditionalFormatting xmlns:xm="http://schemas.microsoft.com/office/excel/2006/main">
          <x14:cfRule type="dataBar" id="{8696E858-6084-4B30-9689-A38512FB0BE5}">
            <x14:dataBar minLength="0" maxLength="100" border="1" gradient="0">
              <x14:cfvo type="num">
                <xm:f>0</xm:f>
              </x14:cfvo>
              <x14:cfvo type="num">
                <xm:f>1</xm:f>
              </x14:cfvo>
              <x14:borderColor theme="0"/>
              <x14:negativeFillColor rgb="FFFF0000"/>
              <x14:axisColor rgb="FF000000"/>
            </x14:dataBar>
          </x14:cfRule>
          <xm:sqref>T623</xm:sqref>
        </x14:conditionalFormatting>
        <x14:conditionalFormatting xmlns:xm="http://schemas.microsoft.com/office/excel/2006/main">
          <x14:cfRule type="dataBar" id="{68B337A6-8F9D-4003-AB99-E266F88EDCB2}">
            <x14:dataBar minLength="0" maxLength="100" border="1" gradient="0">
              <x14:cfvo type="num">
                <xm:f>0</xm:f>
              </x14:cfvo>
              <x14:cfvo type="num">
                <xm:f>1</xm:f>
              </x14:cfvo>
              <x14:borderColor theme="0"/>
              <x14:negativeFillColor rgb="FFFF0000"/>
              <x14:axisColor rgb="FF000000"/>
            </x14:dataBar>
          </x14:cfRule>
          <xm:sqref>T625</xm:sqref>
        </x14:conditionalFormatting>
        <x14:conditionalFormatting xmlns:xm="http://schemas.microsoft.com/office/excel/2006/main">
          <x14:cfRule type="dataBar" id="{D517C26D-FA49-4F10-88A4-1955AE9DB2C9}">
            <x14:dataBar minLength="0" maxLength="100" border="1" gradient="0">
              <x14:cfvo type="num">
                <xm:f>0</xm:f>
              </x14:cfvo>
              <x14:cfvo type="num">
                <xm:f>1</xm:f>
              </x14:cfvo>
              <x14:borderColor theme="0"/>
              <x14:negativeFillColor rgb="FFFF0000"/>
              <x14:axisColor rgb="FF000000"/>
            </x14:dataBar>
          </x14:cfRule>
          <xm:sqref>AE9</xm:sqref>
        </x14:conditionalFormatting>
        <x14:conditionalFormatting xmlns:xm="http://schemas.microsoft.com/office/excel/2006/main">
          <x14:cfRule type="dataBar" id="{130E0FEE-AECA-4C30-A70A-52CDC5C880E6}">
            <x14:dataBar minLength="0" maxLength="100" border="1" gradient="0">
              <x14:cfvo type="num">
                <xm:f>0</xm:f>
              </x14:cfvo>
              <x14:cfvo type="num">
                <xm:f>1</xm:f>
              </x14:cfvo>
              <x14:borderColor theme="0"/>
              <x14:negativeFillColor rgb="FFFF0000"/>
              <x14:axisColor rgb="FF000000"/>
            </x14:dataBar>
          </x14:cfRule>
          <xm:sqref>AE13</xm:sqref>
        </x14:conditionalFormatting>
        <x14:conditionalFormatting xmlns:xm="http://schemas.microsoft.com/office/excel/2006/main">
          <x14:cfRule type="dataBar" id="{FF9A5BAF-42CF-4CD9-A3F2-4FF8F56905A9}">
            <x14:dataBar minLength="0" maxLength="100" border="1" gradient="0">
              <x14:cfvo type="num">
                <xm:f>0</xm:f>
              </x14:cfvo>
              <x14:cfvo type="num">
                <xm:f>1</xm:f>
              </x14:cfvo>
              <x14:borderColor theme="0"/>
              <x14:negativeFillColor rgb="FFFF0000"/>
              <x14:axisColor rgb="FF000000"/>
            </x14:dataBar>
          </x14:cfRule>
          <xm:sqref>AE15</xm:sqref>
        </x14:conditionalFormatting>
        <x14:conditionalFormatting xmlns:xm="http://schemas.microsoft.com/office/excel/2006/main">
          <x14:cfRule type="dataBar" id="{647A5761-A778-432A-A0FB-5DDC7E3E485E}">
            <x14:dataBar minLength="0" maxLength="100" border="1" gradient="0">
              <x14:cfvo type="num">
                <xm:f>0</xm:f>
              </x14:cfvo>
              <x14:cfvo type="num">
                <xm:f>1</xm:f>
              </x14:cfvo>
              <x14:borderColor theme="0"/>
              <x14:negativeFillColor rgb="FFFF0000"/>
              <x14:axisColor rgb="FF000000"/>
            </x14:dataBar>
          </x14:cfRule>
          <xm:sqref>AE17</xm:sqref>
        </x14:conditionalFormatting>
        <x14:conditionalFormatting xmlns:xm="http://schemas.microsoft.com/office/excel/2006/main">
          <x14:cfRule type="dataBar" id="{EA6B5F18-5129-478A-9B6E-E2F43676FA2C}">
            <x14:dataBar minLength="0" maxLength="100" border="1" gradient="0">
              <x14:cfvo type="num">
                <xm:f>0</xm:f>
              </x14:cfvo>
              <x14:cfvo type="num">
                <xm:f>1</xm:f>
              </x14:cfvo>
              <x14:borderColor theme="0"/>
              <x14:negativeFillColor rgb="FFFF0000"/>
              <x14:axisColor rgb="FF000000"/>
            </x14:dataBar>
          </x14:cfRule>
          <xm:sqref>AE19</xm:sqref>
        </x14:conditionalFormatting>
        <x14:conditionalFormatting xmlns:xm="http://schemas.microsoft.com/office/excel/2006/main">
          <x14:cfRule type="dataBar" id="{1FC684E7-7F91-4546-AECA-01F7DCC0BB8A}">
            <x14:dataBar minLength="0" maxLength="100" border="1" gradient="0">
              <x14:cfvo type="num">
                <xm:f>0</xm:f>
              </x14:cfvo>
              <x14:cfvo type="num">
                <xm:f>1</xm:f>
              </x14:cfvo>
              <x14:borderColor theme="0"/>
              <x14:negativeFillColor rgb="FFFF0000"/>
              <x14:axisColor rgb="FF000000"/>
            </x14:dataBar>
          </x14:cfRule>
          <xm:sqref>AE21</xm:sqref>
        </x14:conditionalFormatting>
        <x14:conditionalFormatting xmlns:xm="http://schemas.microsoft.com/office/excel/2006/main">
          <x14:cfRule type="dataBar" id="{2ADCB0D7-0C30-491B-A7E8-21FF7761667D}">
            <x14:dataBar minLength="0" maxLength="100" border="1" gradient="0">
              <x14:cfvo type="num">
                <xm:f>0</xm:f>
              </x14:cfvo>
              <x14:cfvo type="num">
                <xm:f>1</xm:f>
              </x14:cfvo>
              <x14:borderColor theme="0"/>
              <x14:negativeFillColor rgb="FFFF0000"/>
              <x14:axisColor rgb="FF000000"/>
            </x14:dataBar>
          </x14:cfRule>
          <xm:sqref>AE23</xm:sqref>
        </x14:conditionalFormatting>
        <x14:conditionalFormatting xmlns:xm="http://schemas.microsoft.com/office/excel/2006/main">
          <x14:cfRule type="dataBar" id="{57D528C4-F2D6-4B5B-AE83-6990873BE1D7}">
            <x14:dataBar minLength="0" maxLength="100" border="1" gradient="0">
              <x14:cfvo type="num">
                <xm:f>0</xm:f>
              </x14:cfvo>
              <x14:cfvo type="num">
                <xm:f>1</xm:f>
              </x14:cfvo>
              <x14:borderColor theme="0"/>
              <x14:negativeFillColor rgb="FFFF0000"/>
              <x14:axisColor rgb="FF000000"/>
            </x14:dataBar>
          </x14:cfRule>
          <xm:sqref>AE25</xm:sqref>
        </x14:conditionalFormatting>
        <x14:conditionalFormatting xmlns:xm="http://schemas.microsoft.com/office/excel/2006/main">
          <x14:cfRule type="dataBar" id="{83C8144C-1279-4A33-AF86-98DAFE98000C}">
            <x14:dataBar minLength="0" maxLength="100" border="1" gradient="0">
              <x14:cfvo type="num">
                <xm:f>0</xm:f>
              </x14:cfvo>
              <x14:cfvo type="num">
                <xm:f>1</xm:f>
              </x14:cfvo>
              <x14:borderColor theme="0"/>
              <x14:negativeFillColor rgb="FFFF0000"/>
              <x14:axisColor rgb="FF000000"/>
            </x14:dataBar>
          </x14:cfRule>
          <xm:sqref>AE27</xm:sqref>
        </x14:conditionalFormatting>
        <x14:conditionalFormatting xmlns:xm="http://schemas.microsoft.com/office/excel/2006/main">
          <x14:cfRule type="dataBar" id="{2923278F-3F61-43E9-9C18-1D25F40854DA}">
            <x14:dataBar minLength="0" maxLength="100" border="1" gradient="0">
              <x14:cfvo type="num">
                <xm:f>0</xm:f>
              </x14:cfvo>
              <x14:cfvo type="num">
                <xm:f>1</xm:f>
              </x14:cfvo>
              <x14:borderColor theme="0"/>
              <x14:negativeFillColor rgb="FFFF0000"/>
              <x14:axisColor rgb="FF000000"/>
            </x14:dataBar>
          </x14:cfRule>
          <xm:sqref>AE29</xm:sqref>
        </x14:conditionalFormatting>
        <x14:conditionalFormatting xmlns:xm="http://schemas.microsoft.com/office/excel/2006/main">
          <x14:cfRule type="dataBar" id="{0B8827B8-1497-4ADB-958C-0A17994677F4}">
            <x14:dataBar minLength="0" maxLength="100" border="1" gradient="0">
              <x14:cfvo type="num">
                <xm:f>0</xm:f>
              </x14:cfvo>
              <x14:cfvo type="num">
                <xm:f>1</xm:f>
              </x14:cfvo>
              <x14:borderColor theme="0"/>
              <x14:negativeFillColor rgb="FFFF0000"/>
              <x14:axisColor rgb="FF000000"/>
            </x14:dataBar>
          </x14:cfRule>
          <xm:sqref>AE31</xm:sqref>
        </x14:conditionalFormatting>
        <x14:conditionalFormatting xmlns:xm="http://schemas.microsoft.com/office/excel/2006/main">
          <x14:cfRule type="dataBar" id="{B41606F4-272A-4B24-9D4A-C3BBBA26E21E}">
            <x14:dataBar minLength="0" maxLength="100" border="1" gradient="0">
              <x14:cfvo type="num">
                <xm:f>0</xm:f>
              </x14:cfvo>
              <x14:cfvo type="num">
                <xm:f>1</xm:f>
              </x14:cfvo>
              <x14:borderColor theme="0"/>
              <x14:negativeFillColor rgb="FFFF0000"/>
              <x14:axisColor rgb="FF000000"/>
            </x14:dataBar>
          </x14:cfRule>
          <xm:sqref>AE35</xm:sqref>
        </x14:conditionalFormatting>
        <x14:conditionalFormatting xmlns:xm="http://schemas.microsoft.com/office/excel/2006/main">
          <x14:cfRule type="dataBar" id="{DA8F35D6-AD4F-45F5-883C-03C2361E7CE1}">
            <x14:dataBar minLength="0" maxLength="100" border="1" gradient="0">
              <x14:cfvo type="num">
                <xm:f>0</xm:f>
              </x14:cfvo>
              <x14:cfvo type="num">
                <xm:f>1</xm:f>
              </x14:cfvo>
              <x14:borderColor theme="0"/>
              <x14:negativeFillColor rgb="FFFF0000"/>
              <x14:axisColor rgb="FF000000"/>
            </x14:dataBar>
          </x14:cfRule>
          <xm:sqref>AE37</xm:sqref>
        </x14:conditionalFormatting>
        <x14:conditionalFormatting xmlns:xm="http://schemas.microsoft.com/office/excel/2006/main">
          <x14:cfRule type="dataBar" id="{C0C4729E-1A6E-4BAD-8AE8-C102F8D4886C}">
            <x14:dataBar minLength="0" maxLength="100" border="1" gradient="0">
              <x14:cfvo type="num">
                <xm:f>0</xm:f>
              </x14:cfvo>
              <x14:cfvo type="num">
                <xm:f>1</xm:f>
              </x14:cfvo>
              <x14:borderColor theme="0"/>
              <x14:negativeFillColor rgb="FFFF0000"/>
              <x14:axisColor rgb="FF000000"/>
            </x14:dataBar>
          </x14:cfRule>
          <xm:sqref>AE39</xm:sqref>
        </x14:conditionalFormatting>
        <x14:conditionalFormatting xmlns:xm="http://schemas.microsoft.com/office/excel/2006/main">
          <x14:cfRule type="dataBar" id="{CF32A2EA-BB0F-439C-B59F-3B16CDA6A1C2}">
            <x14:dataBar minLength="0" maxLength="100" border="1" gradient="0">
              <x14:cfvo type="num">
                <xm:f>0</xm:f>
              </x14:cfvo>
              <x14:cfvo type="num">
                <xm:f>1</xm:f>
              </x14:cfvo>
              <x14:borderColor theme="0"/>
              <x14:negativeFillColor rgb="FFFF0000"/>
              <x14:axisColor rgb="FF000000"/>
            </x14:dataBar>
          </x14:cfRule>
          <xm:sqref>AE41</xm:sqref>
        </x14:conditionalFormatting>
        <x14:conditionalFormatting xmlns:xm="http://schemas.microsoft.com/office/excel/2006/main">
          <x14:cfRule type="dataBar" id="{E0BBCFB7-ACC3-4F04-A1D9-8A950D252843}">
            <x14:dataBar minLength="0" maxLength="100" border="1" gradient="0">
              <x14:cfvo type="num">
                <xm:f>0</xm:f>
              </x14:cfvo>
              <x14:cfvo type="num">
                <xm:f>1</xm:f>
              </x14:cfvo>
              <x14:borderColor theme="0"/>
              <x14:negativeFillColor rgb="FFFF0000"/>
              <x14:axisColor rgb="FF000000"/>
            </x14:dataBar>
          </x14:cfRule>
          <xm:sqref>AE43</xm:sqref>
        </x14:conditionalFormatting>
        <x14:conditionalFormatting xmlns:xm="http://schemas.microsoft.com/office/excel/2006/main">
          <x14:cfRule type="dataBar" id="{13F0A8E0-14CF-4ED6-ACCB-647B921E08C2}">
            <x14:dataBar minLength="0" maxLength="100" border="1" gradient="0">
              <x14:cfvo type="num">
                <xm:f>0</xm:f>
              </x14:cfvo>
              <x14:cfvo type="num">
                <xm:f>1</xm:f>
              </x14:cfvo>
              <x14:borderColor theme="0"/>
              <x14:negativeFillColor rgb="FFFF0000"/>
              <x14:axisColor rgb="FF000000"/>
            </x14:dataBar>
          </x14:cfRule>
          <xm:sqref>AE47</xm:sqref>
        </x14:conditionalFormatting>
        <x14:conditionalFormatting xmlns:xm="http://schemas.microsoft.com/office/excel/2006/main">
          <x14:cfRule type="dataBar" id="{9B34E805-1A4C-4E07-A26F-B7623EB98AB8}">
            <x14:dataBar minLength="0" maxLength="100" border="1" gradient="0">
              <x14:cfvo type="num">
                <xm:f>0</xm:f>
              </x14:cfvo>
              <x14:cfvo type="num">
                <xm:f>1</xm:f>
              </x14:cfvo>
              <x14:borderColor theme="0"/>
              <x14:negativeFillColor rgb="FFFF0000"/>
              <x14:axisColor rgb="FF000000"/>
            </x14:dataBar>
          </x14:cfRule>
          <xm:sqref>AE49</xm:sqref>
        </x14:conditionalFormatting>
        <x14:conditionalFormatting xmlns:xm="http://schemas.microsoft.com/office/excel/2006/main">
          <x14:cfRule type="dataBar" id="{80753BE6-160D-4709-A5D3-88370217E5F8}">
            <x14:dataBar minLength="0" maxLength="100" border="1" gradient="0">
              <x14:cfvo type="num">
                <xm:f>0</xm:f>
              </x14:cfvo>
              <x14:cfvo type="num">
                <xm:f>1</xm:f>
              </x14:cfvo>
              <x14:borderColor theme="0"/>
              <x14:negativeFillColor rgb="FFFF0000"/>
              <x14:axisColor rgb="FF000000"/>
            </x14:dataBar>
          </x14:cfRule>
          <xm:sqref>AE51</xm:sqref>
        </x14:conditionalFormatting>
        <x14:conditionalFormatting xmlns:xm="http://schemas.microsoft.com/office/excel/2006/main">
          <x14:cfRule type="dataBar" id="{20474A2F-91FC-4454-AC14-69E02977D0A0}">
            <x14:dataBar minLength="0" maxLength="100" border="1" gradient="0">
              <x14:cfvo type="num">
                <xm:f>0</xm:f>
              </x14:cfvo>
              <x14:cfvo type="num">
                <xm:f>1</xm:f>
              </x14:cfvo>
              <x14:borderColor theme="0"/>
              <x14:negativeFillColor rgb="FFFF0000"/>
              <x14:axisColor rgb="FF000000"/>
            </x14:dataBar>
          </x14:cfRule>
          <xm:sqref>AE53</xm:sqref>
        </x14:conditionalFormatting>
        <x14:conditionalFormatting xmlns:xm="http://schemas.microsoft.com/office/excel/2006/main">
          <x14:cfRule type="dataBar" id="{D9E6F193-1E95-47C7-A4FC-465DB83365FA}">
            <x14:dataBar minLength="0" maxLength="100" border="1" gradient="0">
              <x14:cfvo type="num">
                <xm:f>0</xm:f>
              </x14:cfvo>
              <x14:cfvo type="num">
                <xm:f>1</xm:f>
              </x14:cfvo>
              <x14:borderColor theme="0"/>
              <x14:negativeFillColor rgb="FFFF0000"/>
              <x14:axisColor rgb="FF000000"/>
            </x14:dataBar>
          </x14:cfRule>
          <xm:sqref>AE55</xm:sqref>
        </x14:conditionalFormatting>
        <x14:conditionalFormatting xmlns:xm="http://schemas.microsoft.com/office/excel/2006/main">
          <x14:cfRule type="dataBar" id="{ADDAAC24-BC87-4291-9EA5-1423AFBB1BB4}">
            <x14:dataBar minLength="0" maxLength="100" border="1" gradient="0">
              <x14:cfvo type="num">
                <xm:f>0</xm:f>
              </x14:cfvo>
              <x14:cfvo type="num">
                <xm:f>1</xm:f>
              </x14:cfvo>
              <x14:borderColor theme="0"/>
              <x14:negativeFillColor rgb="FFFF0000"/>
              <x14:axisColor rgb="FF000000"/>
            </x14:dataBar>
          </x14:cfRule>
          <xm:sqref>AE57</xm:sqref>
        </x14:conditionalFormatting>
        <x14:conditionalFormatting xmlns:xm="http://schemas.microsoft.com/office/excel/2006/main">
          <x14:cfRule type="dataBar" id="{151BF101-06BE-4740-B0A8-7FAB09AAA3D9}">
            <x14:dataBar minLength="0" maxLength="100" border="1" gradient="0">
              <x14:cfvo type="num">
                <xm:f>0</xm:f>
              </x14:cfvo>
              <x14:cfvo type="num">
                <xm:f>1</xm:f>
              </x14:cfvo>
              <x14:borderColor theme="0"/>
              <x14:negativeFillColor rgb="FFFF0000"/>
              <x14:axisColor rgb="FF000000"/>
            </x14:dataBar>
          </x14:cfRule>
          <xm:sqref>AE59</xm:sqref>
        </x14:conditionalFormatting>
        <x14:conditionalFormatting xmlns:xm="http://schemas.microsoft.com/office/excel/2006/main">
          <x14:cfRule type="dataBar" id="{559072F9-77EF-4010-A36A-91ACD8398A2A}">
            <x14:dataBar minLength="0" maxLength="100" border="1" gradient="0">
              <x14:cfvo type="num">
                <xm:f>0</xm:f>
              </x14:cfvo>
              <x14:cfvo type="num">
                <xm:f>1</xm:f>
              </x14:cfvo>
              <x14:borderColor theme="0"/>
              <x14:negativeFillColor rgb="FFFF0000"/>
              <x14:axisColor rgb="FF000000"/>
            </x14:dataBar>
          </x14:cfRule>
          <xm:sqref>AE61</xm:sqref>
        </x14:conditionalFormatting>
        <x14:conditionalFormatting xmlns:xm="http://schemas.microsoft.com/office/excel/2006/main">
          <x14:cfRule type="dataBar" id="{9FC02FCC-6371-411B-8C79-A3881F6CE920}">
            <x14:dataBar minLength="0" maxLength="100" border="1" gradient="0">
              <x14:cfvo type="num">
                <xm:f>0</xm:f>
              </x14:cfvo>
              <x14:cfvo type="num">
                <xm:f>1</xm:f>
              </x14:cfvo>
              <x14:borderColor theme="0"/>
              <x14:negativeFillColor rgb="FFFF0000"/>
              <x14:axisColor rgb="FF000000"/>
            </x14:dataBar>
          </x14:cfRule>
          <xm:sqref>AE63</xm:sqref>
        </x14:conditionalFormatting>
        <x14:conditionalFormatting xmlns:xm="http://schemas.microsoft.com/office/excel/2006/main">
          <x14:cfRule type="dataBar" id="{6F97AFDA-4DB2-4EA8-B31F-2C009E60B449}">
            <x14:dataBar minLength="0" maxLength="100" border="1" gradient="0">
              <x14:cfvo type="num">
                <xm:f>0</xm:f>
              </x14:cfvo>
              <x14:cfvo type="num">
                <xm:f>1</xm:f>
              </x14:cfvo>
              <x14:borderColor theme="0"/>
              <x14:negativeFillColor rgb="FFFF0000"/>
              <x14:axisColor rgb="FF000000"/>
            </x14:dataBar>
          </x14:cfRule>
          <xm:sqref>AE65</xm:sqref>
        </x14:conditionalFormatting>
        <x14:conditionalFormatting xmlns:xm="http://schemas.microsoft.com/office/excel/2006/main">
          <x14:cfRule type="dataBar" id="{006200C9-3E57-4F49-A7C3-FD4B93C3FB5F}">
            <x14:dataBar minLength="0" maxLength="100" border="1" gradient="0">
              <x14:cfvo type="num">
                <xm:f>0</xm:f>
              </x14:cfvo>
              <x14:cfvo type="num">
                <xm:f>1</xm:f>
              </x14:cfvo>
              <x14:borderColor theme="0"/>
              <x14:negativeFillColor rgb="FFFF0000"/>
              <x14:axisColor rgb="FF000000"/>
            </x14:dataBar>
          </x14:cfRule>
          <xm:sqref>AE67</xm:sqref>
        </x14:conditionalFormatting>
        <x14:conditionalFormatting xmlns:xm="http://schemas.microsoft.com/office/excel/2006/main">
          <x14:cfRule type="dataBar" id="{88F68EB8-2BBF-428C-BF84-C1F4BEF27C8A}">
            <x14:dataBar minLength="0" maxLength="100" border="1" gradient="0">
              <x14:cfvo type="num">
                <xm:f>0</xm:f>
              </x14:cfvo>
              <x14:cfvo type="num">
                <xm:f>1</xm:f>
              </x14:cfvo>
              <x14:borderColor theme="0"/>
              <x14:negativeFillColor rgb="FFFF0000"/>
              <x14:axisColor rgb="FF000000"/>
            </x14:dataBar>
          </x14:cfRule>
          <xm:sqref>AE69</xm:sqref>
        </x14:conditionalFormatting>
        <x14:conditionalFormatting xmlns:xm="http://schemas.microsoft.com/office/excel/2006/main">
          <x14:cfRule type="dataBar" id="{60571F79-7CD5-4486-BC22-C62B8A35C69E}">
            <x14:dataBar minLength="0" maxLength="100" border="1" gradient="0">
              <x14:cfvo type="num">
                <xm:f>0</xm:f>
              </x14:cfvo>
              <x14:cfvo type="num">
                <xm:f>1</xm:f>
              </x14:cfvo>
              <x14:borderColor theme="0"/>
              <x14:negativeFillColor rgb="FFFF0000"/>
              <x14:axisColor rgb="FF000000"/>
            </x14:dataBar>
          </x14:cfRule>
          <xm:sqref>AE73</xm:sqref>
        </x14:conditionalFormatting>
        <x14:conditionalFormatting xmlns:xm="http://schemas.microsoft.com/office/excel/2006/main">
          <x14:cfRule type="dataBar" id="{218FBD17-5830-4660-909D-06499EF2290F}">
            <x14:dataBar minLength="0" maxLength="100" border="1" gradient="0">
              <x14:cfvo type="num">
                <xm:f>0</xm:f>
              </x14:cfvo>
              <x14:cfvo type="num">
                <xm:f>1</xm:f>
              </x14:cfvo>
              <x14:borderColor theme="0"/>
              <x14:negativeFillColor rgb="FFFF0000"/>
              <x14:axisColor rgb="FF000000"/>
            </x14:dataBar>
          </x14:cfRule>
          <xm:sqref>AE77</xm:sqref>
        </x14:conditionalFormatting>
        <x14:conditionalFormatting xmlns:xm="http://schemas.microsoft.com/office/excel/2006/main">
          <x14:cfRule type="dataBar" id="{EB4CBF8A-8B97-4D11-9988-CC02B7FE0793}">
            <x14:dataBar minLength="0" maxLength="100" border="1" gradient="0">
              <x14:cfvo type="num">
                <xm:f>0</xm:f>
              </x14:cfvo>
              <x14:cfvo type="num">
                <xm:f>1</xm:f>
              </x14:cfvo>
              <x14:borderColor theme="0"/>
              <x14:negativeFillColor rgb="FFFF0000"/>
              <x14:axisColor rgb="FF000000"/>
            </x14:dataBar>
          </x14:cfRule>
          <xm:sqref>AE79</xm:sqref>
        </x14:conditionalFormatting>
        <x14:conditionalFormatting xmlns:xm="http://schemas.microsoft.com/office/excel/2006/main">
          <x14:cfRule type="dataBar" id="{E8992FE8-AA9E-409D-8E66-3163AF8840DD}">
            <x14:dataBar minLength="0" maxLength="100" border="1" gradient="0">
              <x14:cfvo type="num">
                <xm:f>0</xm:f>
              </x14:cfvo>
              <x14:cfvo type="num">
                <xm:f>1</xm:f>
              </x14:cfvo>
              <x14:borderColor theme="0"/>
              <x14:negativeFillColor rgb="FFFF0000"/>
              <x14:axisColor rgb="FF000000"/>
            </x14:dataBar>
          </x14:cfRule>
          <xm:sqref>AE81</xm:sqref>
        </x14:conditionalFormatting>
        <x14:conditionalFormatting xmlns:xm="http://schemas.microsoft.com/office/excel/2006/main">
          <x14:cfRule type="dataBar" id="{56533F91-663F-48B0-AC79-2FB4A0E81C4A}">
            <x14:dataBar minLength="0" maxLength="100" border="1" gradient="0">
              <x14:cfvo type="num">
                <xm:f>0</xm:f>
              </x14:cfvo>
              <x14:cfvo type="num">
                <xm:f>1</xm:f>
              </x14:cfvo>
              <x14:borderColor theme="0"/>
              <x14:negativeFillColor rgb="FFFF0000"/>
              <x14:axisColor rgb="FF000000"/>
            </x14:dataBar>
          </x14:cfRule>
          <xm:sqref>AE83</xm:sqref>
        </x14:conditionalFormatting>
        <x14:conditionalFormatting xmlns:xm="http://schemas.microsoft.com/office/excel/2006/main">
          <x14:cfRule type="dataBar" id="{260EEB4C-C3F2-4B8C-A0AA-B9C4E0791C53}">
            <x14:dataBar minLength="0" maxLength="100" border="1" gradient="0">
              <x14:cfvo type="num">
                <xm:f>0</xm:f>
              </x14:cfvo>
              <x14:cfvo type="num">
                <xm:f>1</xm:f>
              </x14:cfvo>
              <x14:borderColor theme="0"/>
              <x14:negativeFillColor rgb="FFFF0000"/>
              <x14:axisColor rgb="FF000000"/>
            </x14:dataBar>
          </x14:cfRule>
          <xm:sqref>AE85</xm:sqref>
        </x14:conditionalFormatting>
        <x14:conditionalFormatting xmlns:xm="http://schemas.microsoft.com/office/excel/2006/main">
          <x14:cfRule type="dataBar" id="{AF3F8B17-9F4F-434E-8F21-B8662770E592}">
            <x14:dataBar minLength="0" maxLength="100" border="1" gradient="0">
              <x14:cfvo type="num">
                <xm:f>0</xm:f>
              </x14:cfvo>
              <x14:cfvo type="num">
                <xm:f>1</xm:f>
              </x14:cfvo>
              <x14:borderColor theme="0"/>
              <x14:negativeFillColor rgb="FFFF0000"/>
              <x14:axisColor rgb="FF000000"/>
            </x14:dataBar>
          </x14:cfRule>
          <xm:sqref>AE87</xm:sqref>
        </x14:conditionalFormatting>
        <x14:conditionalFormatting xmlns:xm="http://schemas.microsoft.com/office/excel/2006/main">
          <x14:cfRule type="dataBar" id="{D8B8CADD-48AC-487E-B543-CC0A3E95858C}">
            <x14:dataBar minLength="0" maxLength="100" border="1" gradient="0">
              <x14:cfvo type="num">
                <xm:f>0</xm:f>
              </x14:cfvo>
              <x14:cfvo type="num">
                <xm:f>1</xm:f>
              </x14:cfvo>
              <x14:borderColor theme="0"/>
              <x14:negativeFillColor rgb="FFFF0000"/>
              <x14:axisColor rgb="FF000000"/>
            </x14:dataBar>
          </x14:cfRule>
          <xm:sqref>AE89</xm:sqref>
        </x14:conditionalFormatting>
        <x14:conditionalFormatting xmlns:xm="http://schemas.microsoft.com/office/excel/2006/main">
          <x14:cfRule type="dataBar" id="{E9C9CBDE-DD91-499D-A718-76B786F448D2}">
            <x14:dataBar minLength="0" maxLength="100" border="1" gradient="0">
              <x14:cfvo type="num">
                <xm:f>0</xm:f>
              </x14:cfvo>
              <x14:cfvo type="num">
                <xm:f>1</xm:f>
              </x14:cfvo>
              <x14:borderColor theme="0"/>
              <x14:negativeFillColor rgb="FFFF0000"/>
              <x14:axisColor rgb="FF000000"/>
            </x14:dataBar>
          </x14:cfRule>
          <xm:sqref>AE93</xm:sqref>
        </x14:conditionalFormatting>
        <x14:conditionalFormatting xmlns:xm="http://schemas.microsoft.com/office/excel/2006/main">
          <x14:cfRule type="dataBar" id="{B3B04137-7908-43BE-8D04-415072474341}">
            <x14:dataBar minLength="0" maxLength="100" border="1" gradient="0">
              <x14:cfvo type="num">
                <xm:f>0</xm:f>
              </x14:cfvo>
              <x14:cfvo type="num">
                <xm:f>1</xm:f>
              </x14:cfvo>
              <x14:borderColor theme="0"/>
              <x14:negativeFillColor rgb="FFFF0000"/>
              <x14:axisColor rgb="FF000000"/>
            </x14:dataBar>
          </x14:cfRule>
          <xm:sqref>AE95</xm:sqref>
        </x14:conditionalFormatting>
        <x14:conditionalFormatting xmlns:xm="http://schemas.microsoft.com/office/excel/2006/main">
          <x14:cfRule type="dataBar" id="{D37DA36B-FC6B-48AB-8784-9D5640EE588E}">
            <x14:dataBar minLength="0" maxLength="100" border="1" gradient="0">
              <x14:cfvo type="num">
                <xm:f>0</xm:f>
              </x14:cfvo>
              <x14:cfvo type="num">
                <xm:f>1</xm:f>
              </x14:cfvo>
              <x14:borderColor theme="0"/>
              <x14:negativeFillColor rgb="FFFF0000"/>
              <x14:axisColor rgb="FF000000"/>
            </x14:dataBar>
          </x14:cfRule>
          <xm:sqref>AE97</xm:sqref>
        </x14:conditionalFormatting>
        <x14:conditionalFormatting xmlns:xm="http://schemas.microsoft.com/office/excel/2006/main">
          <x14:cfRule type="dataBar" id="{672B9BA7-20F2-4E89-BC92-6137385A17CC}">
            <x14:dataBar minLength="0" maxLength="100" border="1" gradient="0">
              <x14:cfvo type="num">
                <xm:f>0</xm:f>
              </x14:cfvo>
              <x14:cfvo type="num">
                <xm:f>1</xm:f>
              </x14:cfvo>
              <x14:borderColor theme="0"/>
              <x14:negativeFillColor rgb="FFFF0000"/>
              <x14:axisColor rgb="FF000000"/>
            </x14:dataBar>
          </x14:cfRule>
          <xm:sqref>AE99</xm:sqref>
        </x14:conditionalFormatting>
        <x14:conditionalFormatting xmlns:xm="http://schemas.microsoft.com/office/excel/2006/main">
          <x14:cfRule type="dataBar" id="{76B31BB1-7232-4C77-9F9B-975AA73395E7}">
            <x14:dataBar minLength="0" maxLength="100" border="1" gradient="0">
              <x14:cfvo type="num">
                <xm:f>0</xm:f>
              </x14:cfvo>
              <x14:cfvo type="num">
                <xm:f>1</xm:f>
              </x14:cfvo>
              <x14:borderColor theme="0"/>
              <x14:negativeFillColor rgb="FFFF0000"/>
              <x14:axisColor rgb="FF000000"/>
            </x14:dataBar>
          </x14:cfRule>
          <xm:sqref>AE101</xm:sqref>
        </x14:conditionalFormatting>
        <x14:conditionalFormatting xmlns:xm="http://schemas.microsoft.com/office/excel/2006/main">
          <x14:cfRule type="dataBar" id="{5EC036D7-ACB3-49FF-A27E-26B1EA550427}">
            <x14:dataBar minLength="0" maxLength="100" border="1" gradient="0">
              <x14:cfvo type="num">
                <xm:f>0</xm:f>
              </x14:cfvo>
              <x14:cfvo type="num">
                <xm:f>1</xm:f>
              </x14:cfvo>
              <x14:borderColor theme="0"/>
              <x14:negativeFillColor rgb="FFFF0000"/>
              <x14:axisColor rgb="FF000000"/>
            </x14:dataBar>
          </x14:cfRule>
          <xm:sqref>AE103</xm:sqref>
        </x14:conditionalFormatting>
        <x14:conditionalFormatting xmlns:xm="http://schemas.microsoft.com/office/excel/2006/main">
          <x14:cfRule type="dataBar" id="{E62C7518-3C13-44AB-97F6-D610DD824466}">
            <x14:dataBar minLength="0" maxLength="100" border="1" gradient="0">
              <x14:cfvo type="num">
                <xm:f>0</xm:f>
              </x14:cfvo>
              <x14:cfvo type="num">
                <xm:f>1</xm:f>
              </x14:cfvo>
              <x14:borderColor theme="0"/>
              <x14:negativeFillColor rgb="FFFF0000"/>
              <x14:axisColor rgb="FF000000"/>
            </x14:dataBar>
          </x14:cfRule>
          <xm:sqref>AE105</xm:sqref>
        </x14:conditionalFormatting>
        <x14:conditionalFormatting xmlns:xm="http://schemas.microsoft.com/office/excel/2006/main">
          <x14:cfRule type="dataBar" id="{11939A13-C541-431F-AA36-B9C8E4E9E86B}">
            <x14:dataBar minLength="0" maxLength="100" border="1" gradient="0">
              <x14:cfvo type="num">
                <xm:f>0</xm:f>
              </x14:cfvo>
              <x14:cfvo type="num">
                <xm:f>1</xm:f>
              </x14:cfvo>
              <x14:borderColor theme="0"/>
              <x14:negativeFillColor rgb="FFFF0000"/>
              <x14:axisColor rgb="FF000000"/>
            </x14:dataBar>
          </x14:cfRule>
          <xm:sqref>AE107</xm:sqref>
        </x14:conditionalFormatting>
        <x14:conditionalFormatting xmlns:xm="http://schemas.microsoft.com/office/excel/2006/main">
          <x14:cfRule type="dataBar" id="{499DD128-97E7-4A37-8C11-2D48FB2892C3}">
            <x14:dataBar minLength="0" maxLength="100" border="1" gradient="0">
              <x14:cfvo type="num">
                <xm:f>0</xm:f>
              </x14:cfvo>
              <x14:cfvo type="num">
                <xm:f>1</xm:f>
              </x14:cfvo>
              <x14:borderColor theme="0"/>
              <x14:negativeFillColor rgb="FFFF0000"/>
              <x14:axisColor rgb="FF000000"/>
            </x14:dataBar>
          </x14:cfRule>
          <xm:sqref>AE109</xm:sqref>
        </x14:conditionalFormatting>
        <x14:conditionalFormatting xmlns:xm="http://schemas.microsoft.com/office/excel/2006/main">
          <x14:cfRule type="dataBar" id="{1C87F7CC-1C73-4032-97A5-6800F70A83C8}">
            <x14:dataBar minLength="0" maxLength="100" border="1" gradient="0">
              <x14:cfvo type="num">
                <xm:f>0</xm:f>
              </x14:cfvo>
              <x14:cfvo type="num">
                <xm:f>1</xm:f>
              </x14:cfvo>
              <x14:borderColor theme="0"/>
              <x14:negativeFillColor rgb="FFFF0000"/>
              <x14:axisColor rgb="FF000000"/>
            </x14:dataBar>
          </x14:cfRule>
          <xm:sqref>AE113</xm:sqref>
        </x14:conditionalFormatting>
        <x14:conditionalFormatting xmlns:xm="http://schemas.microsoft.com/office/excel/2006/main">
          <x14:cfRule type="dataBar" id="{A39B7E91-278C-4671-809E-565C8A787CCB}">
            <x14:dataBar minLength="0" maxLength="100" border="1" gradient="0">
              <x14:cfvo type="num">
                <xm:f>0</xm:f>
              </x14:cfvo>
              <x14:cfvo type="num">
                <xm:f>1</xm:f>
              </x14:cfvo>
              <x14:borderColor theme="0"/>
              <x14:negativeFillColor rgb="FFFF0000"/>
              <x14:axisColor rgb="FF000000"/>
            </x14:dataBar>
          </x14:cfRule>
          <xm:sqref>AE115</xm:sqref>
        </x14:conditionalFormatting>
        <x14:conditionalFormatting xmlns:xm="http://schemas.microsoft.com/office/excel/2006/main">
          <x14:cfRule type="dataBar" id="{12BA542C-4F71-44F8-8957-0445CAEB6F0B}">
            <x14:dataBar minLength="0" maxLength="100" border="1" gradient="0">
              <x14:cfvo type="num">
                <xm:f>0</xm:f>
              </x14:cfvo>
              <x14:cfvo type="num">
                <xm:f>1</xm:f>
              </x14:cfvo>
              <x14:borderColor theme="0"/>
              <x14:negativeFillColor rgb="FFFF0000"/>
              <x14:axisColor rgb="FF000000"/>
            </x14:dataBar>
          </x14:cfRule>
          <xm:sqref>AE119</xm:sqref>
        </x14:conditionalFormatting>
        <x14:conditionalFormatting xmlns:xm="http://schemas.microsoft.com/office/excel/2006/main">
          <x14:cfRule type="dataBar" id="{3DF8A808-DDA2-4952-A0A6-1F35FDF455AF}">
            <x14:dataBar minLength="0" maxLength="100" border="1" gradient="0">
              <x14:cfvo type="num">
                <xm:f>0</xm:f>
              </x14:cfvo>
              <x14:cfvo type="num">
                <xm:f>1</xm:f>
              </x14:cfvo>
              <x14:borderColor theme="0"/>
              <x14:negativeFillColor rgb="FFFF0000"/>
              <x14:axisColor rgb="FF000000"/>
            </x14:dataBar>
          </x14:cfRule>
          <xm:sqref>AE121</xm:sqref>
        </x14:conditionalFormatting>
        <x14:conditionalFormatting xmlns:xm="http://schemas.microsoft.com/office/excel/2006/main">
          <x14:cfRule type="dataBar" id="{795CF784-B7D2-4ECE-B7EE-AD0D352C801A}">
            <x14:dataBar minLength="0" maxLength="100" border="1" gradient="0">
              <x14:cfvo type="num">
                <xm:f>0</xm:f>
              </x14:cfvo>
              <x14:cfvo type="num">
                <xm:f>1</xm:f>
              </x14:cfvo>
              <x14:borderColor theme="0"/>
              <x14:negativeFillColor rgb="FFFF0000"/>
              <x14:axisColor rgb="FF000000"/>
            </x14:dataBar>
          </x14:cfRule>
          <xm:sqref>AE123</xm:sqref>
        </x14:conditionalFormatting>
        <x14:conditionalFormatting xmlns:xm="http://schemas.microsoft.com/office/excel/2006/main">
          <x14:cfRule type="dataBar" id="{725E5928-9604-4912-B537-37BC4A3A95E0}">
            <x14:dataBar minLength="0" maxLength="100" border="1" gradient="0">
              <x14:cfvo type="num">
                <xm:f>0</xm:f>
              </x14:cfvo>
              <x14:cfvo type="num">
                <xm:f>1</xm:f>
              </x14:cfvo>
              <x14:borderColor theme="0"/>
              <x14:negativeFillColor rgb="FFFF0000"/>
              <x14:axisColor rgb="FF000000"/>
            </x14:dataBar>
          </x14:cfRule>
          <xm:sqref>AE125</xm:sqref>
        </x14:conditionalFormatting>
        <x14:conditionalFormatting xmlns:xm="http://schemas.microsoft.com/office/excel/2006/main">
          <x14:cfRule type="dataBar" id="{BCE5554B-5C93-4768-9F76-CE7F5DD7A2C2}">
            <x14:dataBar minLength="0" maxLength="100" border="1" gradient="0">
              <x14:cfvo type="num">
                <xm:f>0</xm:f>
              </x14:cfvo>
              <x14:cfvo type="num">
                <xm:f>1</xm:f>
              </x14:cfvo>
              <x14:borderColor theme="0"/>
              <x14:negativeFillColor rgb="FFFF0000"/>
              <x14:axisColor rgb="FF000000"/>
            </x14:dataBar>
          </x14:cfRule>
          <xm:sqref>AE127</xm:sqref>
        </x14:conditionalFormatting>
        <x14:conditionalFormatting xmlns:xm="http://schemas.microsoft.com/office/excel/2006/main">
          <x14:cfRule type="dataBar" id="{D0EE6649-56AD-4C59-9803-ADE1D33A394B}">
            <x14:dataBar minLength="0" maxLength="100" border="1" gradient="0">
              <x14:cfvo type="num">
                <xm:f>0</xm:f>
              </x14:cfvo>
              <x14:cfvo type="num">
                <xm:f>1</xm:f>
              </x14:cfvo>
              <x14:borderColor theme="0"/>
              <x14:negativeFillColor rgb="FFFF0000"/>
              <x14:axisColor rgb="FF000000"/>
            </x14:dataBar>
          </x14:cfRule>
          <xm:sqref>AE129</xm:sqref>
        </x14:conditionalFormatting>
        <x14:conditionalFormatting xmlns:xm="http://schemas.microsoft.com/office/excel/2006/main">
          <x14:cfRule type="dataBar" id="{35982E16-4A1A-48E5-AB52-F52765BC5E4F}">
            <x14:dataBar minLength="0" maxLength="100" border="1" gradient="0">
              <x14:cfvo type="num">
                <xm:f>0</xm:f>
              </x14:cfvo>
              <x14:cfvo type="num">
                <xm:f>1</xm:f>
              </x14:cfvo>
              <x14:borderColor theme="0"/>
              <x14:negativeFillColor rgb="FFFF0000"/>
              <x14:axisColor rgb="FF000000"/>
            </x14:dataBar>
          </x14:cfRule>
          <xm:sqref>AE131</xm:sqref>
        </x14:conditionalFormatting>
        <x14:conditionalFormatting xmlns:xm="http://schemas.microsoft.com/office/excel/2006/main">
          <x14:cfRule type="dataBar" id="{7BDB81F1-2FC1-419E-9C00-825C32DDC916}">
            <x14:dataBar minLength="0" maxLength="100" border="1" gradient="0">
              <x14:cfvo type="num">
                <xm:f>0</xm:f>
              </x14:cfvo>
              <x14:cfvo type="num">
                <xm:f>1</xm:f>
              </x14:cfvo>
              <x14:borderColor theme="0"/>
              <x14:negativeFillColor rgb="FFFF0000"/>
              <x14:axisColor rgb="FF000000"/>
            </x14:dataBar>
          </x14:cfRule>
          <xm:sqref>AE134</xm:sqref>
        </x14:conditionalFormatting>
        <x14:conditionalFormatting xmlns:xm="http://schemas.microsoft.com/office/excel/2006/main">
          <x14:cfRule type="dataBar" id="{558FEE3F-AD1B-4EAF-BC1A-8C70EF5B9EBA}">
            <x14:dataBar minLength="0" maxLength="100" border="1" gradient="0">
              <x14:cfvo type="num">
                <xm:f>0</xm:f>
              </x14:cfvo>
              <x14:cfvo type="num">
                <xm:f>1</xm:f>
              </x14:cfvo>
              <x14:borderColor theme="0"/>
              <x14:negativeFillColor rgb="FFFF0000"/>
              <x14:axisColor rgb="FF000000"/>
            </x14:dataBar>
          </x14:cfRule>
          <xm:sqref>AE137</xm:sqref>
        </x14:conditionalFormatting>
        <x14:conditionalFormatting xmlns:xm="http://schemas.microsoft.com/office/excel/2006/main">
          <x14:cfRule type="dataBar" id="{16AE4A52-97A7-4366-9E64-D0826BBC1F88}">
            <x14:dataBar minLength="0" maxLength="100" border="1" gradient="0">
              <x14:cfvo type="num">
                <xm:f>0</xm:f>
              </x14:cfvo>
              <x14:cfvo type="num">
                <xm:f>1</xm:f>
              </x14:cfvo>
              <x14:borderColor theme="0"/>
              <x14:negativeFillColor rgb="FFFF0000"/>
              <x14:axisColor rgb="FF000000"/>
            </x14:dataBar>
          </x14:cfRule>
          <xm:sqref>AE140</xm:sqref>
        </x14:conditionalFormatting>
        <x14:conditionalFormatting xmlns:xm="http://schemas.microsoft.com/office/excel/2006/main">
          <x14:cfRule type="dataBar" id="{E4CB31C4-A47A-408E-A3A0-042D5DE96492}">
            <x14:dataBar minLength="0" maxLength="100" border="1" gradient="0">
              <x14:cfvo type="num">
                <xm:f>0</xm:f>
              </x14:cfvo>
              <x14:cfvo type="num">
                <xm:f>1</xm:f>
              </x14:cfvo>
              <x14:borderColor theme="0"/>
              <x14:negativeFillColor rgb="FFFF0000"/>
              <x14:axisColor rgb="FF000000"/>
            </x14:dataBar>
          </x14:cfRule>
          <xm:sqref>AE142</xm:sqref>
        </x14:conditionalFormatting>
        <x14:conditionalFormatting xmlns:xm="http://schemas.microsoft.com/office/excel/2006/main">
          <x14:cfRule type="dataBar" id="{ECBB8745-B94D-498D-AC71-2E0771A5FAD7}">
            <x14:dataBar minLength="0" maxLength="100" border="1" gradient="0">
              <x14:cfvo type="num">
                <xm:f>0</xm:f>
              </x14:cfvo>
              <x14:cfvo type="num">
                <xm:f>1</xm:f>
              </x14:cfvo>
              <x14:borderColor theme="0"/>
              <x14:negativeFillColor rgb="FFFF0000"/>
              <x14:axisColor rgb="FF000000"/>
            </x14:dataBar>
          </x14:cfRule>
          <xm:sqref>AE144</xm:sqref>
        </x14:conditionalFormatting>
        <x14:conditionalFormatting xmlns:xm="http://schemas.microsoft.com/office/excel/2006/main">
          <x14:cfRule type="dataBar" id="{41748BA5-7C70-4E3B-A354-1F4890FB0386}">
            <x14:dataBar minLength="0" maxLength="100" border="1" gradient="0">
              <x14:cfvo type="num">
                <xm:f>0</xm:f>
              </x14:cfvo>
              <x14:cfvo type="num">
                <xm:f>1</xm:f>
              </x14:cfvo>
              <x14:borderColor theme="0"/>
              <x14:negativeFillColor rgb="FFFF0000"/>
              <x14:axisColor rgb="FF000000"/>
            </x14:dataBar>
          </x14:cfRule>
          <xm:sqref>AE146</xm:sqref>
        </x14:conditionalFormatting>
        <x14:conditionalFormatting xmlns:xm="http://schemas.microsoft.com/office/excel/2006/main">
          <x14:cfRule type="dataBar" id="{A55EE1D8-7414-4A57-9126-680EC0AE3825}">
            <x14:dataBar minLength="0" maxLength="100" border="1" gradient="0">
              <x14:cfvo type="num">
                <xm:f>0</xm:f>
              </x14:cfvo>
              <x14:cfvo type="num">
                <xm:f>1</xm:f>
              </x14:cfvo>
              <x14:borderColor theme="0"/>
              <x14:negativeFillColor rgb="FFFF0000"/>
              <x14:axisColor rgb="FF000000"/>
            </x14:dataBar>
          </x14:cfRule>
          <xm:sqref>AE148</xm:sqref>
        </x14:conditionalFormatting>
        <x14:conditionalFormatting xmlns:xm="http://schemas.microsoft.com/office/excel/2006/main">
          <x14:cfRule type="dataBar" id="{8EDE9D21-29D1-43C7-9C25-A6C6CA2F5AEE}">
            <x14:dataBar minLength="0" maxLength="100" border="1" gradient="0">
              <x14:cfvo type="num">
                <xm:f>0</xm:f>
              </x14:cfvo>
              <x14:cfvo type="num">
                <xm:f>1</xm:f>
              </x14:cfvo>
              <x14:borderColor theme="0"/>
              <x14:negativeFillColor rgb="FFFF0000"/>
              <x14:axisColor rgb="FF000000"/>
            </x14:dataBar>
          </x14:cfRule>
          <xm:sqref>AE150</xm:sqref>
        </x14:conditionalFormatting>
        <x14:conditionalFormatting xmlns:xm="http://schemas.microsoft.com/office/excel/2006/main">
          <x14:cfRule type="dataBar" id="{EA99D567-279F-47B1-96F0-66A17E96E370}">
            <x14:dataBar minLength="0" maxLength="100" border="1" gradient="0">
              <x14:cfvo type="num">
                <xm:f>0</xm:f>
              </x14:cfvo>
              <x14:cfvo type="num">
                <xm:f>1</xm:f>
              </x14:cfvo>
              <x14:borderColor theme="0"/>
              <x14:negativeFillColor rgb="FFFF0000"/>
              <x14:axisColor rgb="FF000000"/>
            </x14:dataBar>
          </x14:cfRule>
          <xm:sqref>AE152</xm:sqref>
        </x14:conditionalFormatting>
        <x14:conditionalFormatting xmlns:xm="http://schemas.microsoft.com/office/excel/2006/main">
          <x14:cfRule type="dataBar" id="{9E58CECB-DE4B-4D5C-A6CC-58B4ECFF401E}">
            <x14:dataBar minLength="0" maxLength="100" border="1" gradient="0">
              <x14:cfvo type="num">
                <xm:f>0</xm:f>
              </x14:cfvo>
              <x14:cfvo type="num">
                <xm:f>1</xm:f>
              </x14:cfvo>
              <x14:borderColor theme="0"/>
              <x14:negativeFillColor rgb="FFFF0000"/>
              <x14:axisColor rgb="FF000000"/>
            </x14:dataBar>
          </x14:cfRule>
          <xm:sqref>AE154</xm:sqref>
        </x14:conditionalFormatting>
        <x14:conditionalFormatting xmlns:xm="http://schemas.microsoft.com/office/excel/2006/main">
          <x14:cfRule type="dataBar" id="{27437B0C-B927-4D8A-84C1-1082CB3BB75A}">
            <x14:dataBar minLength="0" maxLength="100" border="1" gradient="0">
              <x14:cfvo type="num">
                <xm:f>0</xm:f>
              </x14:cfvo>
              <x14:cfvo type="num">
                <xm:f>1</xm:f>
              </x14:cfvo>
              <x14:borderColor theme="0"/>
              <x14:negativeFillColor rgb="FFFF0000"/>
              <x14:axisColor rgb="FF000000"/>
            </x14:dataBar>
          </x14:cfRule>
          <xm:sqref>AE156</xm:sqref>
        </x14:conditionalFormatting>
        <x14:conditionalFormatting xmlns:xm="http://schemas.microsoft.com/office/excel/2006/main">
          <x14:cfRule type="dataBar" id="{81A69368-1AC5-4208-9D92-7E043302355A}">
            <x14:dataBar minLength="0" maxLength="100" border="1" gradient="0">
              <x14:cfvo type="num">
                <xm:f>0</xm:f>
              </x14:cfvo>
              <x14:cfvo type="num">
                <xm:f>1</xm:f>
              </x14:cfvo>
              <x14:borderColor theme="0"/>
              <x14:negativeFillColor rgb="FFFF0000"/>
              <x14:axisColor rgb="FF000000"/>
            </x14:dataBar>
          </x14:cfRule>
          <xm:sqref>AE158</xm:sqref>
        </x14:conditionalFormatting>
        <x14:conditionalFormatting xmlns:xm="http://schemas.microsoft.com/office/excel/2006/main">
          <x14:cfRule type="dataBar" id="{22703684-134C-47AA-8663-32629696D8B5}">
            <x14:dataBar minLength="0" maxLength="100" border="1" gradient="0">
              <x14:cfvo type="num">
                <xm:f>0</xm:f>
              </x14:cfvo>
              <x14:cfvo type="num">
                <xm:f>1</xm:f>
              </x14:cfvo>
              <x14:borderColor theme="0"/>
              <x14:negativeFillColor rgb="FFFF0000"/>
              <x14:axisColor rgb="FF000000"/>
            </x14:dataBar>
          </x14:cfRule>
          <xm:sqref>AE160</xm:sqref>
        </x14:conditionalFormatting>
        <x14:conditionalFormatting xmlns:xm="http://schemas.microsoft.com/office/excel/2006/main">
          <x14:cfRule type="dataBar" id="{FB709FBC-00A3-4055-A03F-E9D11DB101DF}">
            <x14:dataBar minLength="0" maxLength="100" border="1" gradient="0">
              <x14:cfvo type="num">
                <xm:f>0</xm:f>
              </x14:cfvo>
              <x14:cfvo type="num">
                <xm:f>1</xm:f>
              </x14:cfvo>
              <x14:borderColor theme="0"/>
              <x14:negativeFillColor rgb="FFFF0000"/>
              <x14:axisColor rgb="FF000000"/>
            </x14:dataBar>
          </x14:cfRule>
          <xm:sqref>AE162</xm:sqref>
        </x14:conditionalFormatting>
        <x14:conditionalFormatting xmlns:xm="http://schemas.microsoft.com/office/excel/2006/main">
          <x14:cfRule type="dataBar" id="{7B7976C3-0D5C-4377-8A10-BA063F9753A4}">
            <x14:dataBar minLength="0" maxLength="100" border="1" gradient="0">
              <x14:cfvo type="num">
                <xm:f>0</xm:f>
              </x14:cfvo>
              <x14:cfvo type="num">
                <xm:f>1</xm:f>
              </x14:cfvo>
              <x14:borderColor theme="0"/>
              <x14:negativeFillColor rgb="FFFF0000"/>
              <x14:axisColor rgb="FF000000"/>
            </x14:dataBar>
          </x14:cfRule>
          <xm:sqref>AE164</xm:sqref>
        </x14:conditionalFormatting>
        <x14:conditionalFormatting xmlns:xm="http://schemas.microsoft.com/office/excel/2006/main">
          <x14:cfRule type="dataBar" id="{61CBFAB3-3E11-43DA-B044-D81E627B1665}">
            <x14:dataBar minLength="0" maxLength="100" border="1" gradient="0">
              <x14:cfvo type="num">
                <xm:f>0</xm:f>
              </x14:cfvo>
              <x14:cfvo type="num">
                <xm:f>1</xm:f>
              </x14:cfvo>
              <x14:borderColor theme="0"/>
              <x14:negativeFillColor rgb="FFFF0000"/>
              <x14:axisColor rgb="FF000000"/>
            </x14:dataBar>
          </x14:cfRule>
          <xm:sqref>AE166</xm:sqref>
        </x14:conditionalFormatting>
        <x14:conditionalFormatting xmlns:xm="http://schemas.microsoft.com/office/excel/2006/main">
          <x14:cfRule type="dataBar" id="{72710DFB-CF9D-478E-8F3E-399913C558E2}">
            <x14:dataBar minLength="0" maxLength="100" border="1" gradient="0">
              <x14:cfvo type="num">
                <xm:f>0</xm:f>
              </x14:cfvo>
              <x14:cfvo type="num">
                <xm:f>1</xm:f>
              </x14:cfvo>
              <x14:borderColor theme="0"/>
              <x14:negativeFillColor rgb="FFFF0000"/>
              <x14:axisColor rgb="FF000000"/>
            </x14:dataBar>
          </x14:cfRule>
          <xm:sqref>AE168</xm:sqref>
        </x14:conditionalFormatting>
        <x14:conditionalFormatting xmlns:xm="http://schemas.microsoft.com/office/excel/2006/main">
          <x14:cfRule type="dataBar" id="{12A208EE-3995-458C-911E-EAF099E105CA}">
            <x14:dataBar minLength="0" maxLength="100" border="1" gradient="0">
              <x14:cfvo type="num">
                <xm:f>0</xm:f>
              </x14:cfvo>
              <x14:cfvo type="num">
                <xm:f>1</xm:f>
              </x14:cfvo>
              <x14:borderColor theme="0"/>
              <x14:negativeFillColor rgb="FFFF0000"/>
              <x14:axisColor rgb="FF000000"/>
            </x14:dataBar>
          </x14:cfRule>
          <xm:sqref>AE170</xm:sqref>
        </x14:conditionalFormatting>
        <x14:conditionalFormatting xmlns:xm="http://schemas.microsoft.com/office/excel/2006/main">
          <x14:cfRule type="dataBar" id="{D071B0E2-248B-4A2B-B112-B200B86CDD8C}">
            <x14:dataBar minLength="0" maxLength="100" border="1" gradient="0">
              <x14:cfvo type="num">
                <xm:f>0</xm:f>
              </x14:cfvo>
              <x14:cfvo type="num">
                <xm:f>1</xm:f>
              </x14:cfvo>
              <x14:borderColor theme="0"/>
              <x14:negativeFillColor rgb="FFFF0000"/>
              <x14:axisColor rgb="FF000000"/>
            </x14:dataBar>
          </x14:cfRule>
          <xm:sqref>AE172</xm:sqref>
        </x14:conditionalFormatting>
        <x14:conditionalFormatting xmlns:xm="http://schemas.microsoft.com/office/excel/2006/main">
          <x14:cfRule type="dataBar" id="{095E2414-32BE-476C-B685-0B4FAF80B9EB}">
            <x14:dataBar minLength="0" maxLength="100" border="1" gradient="0">
              <x14:cfvo type="num">
                <xm:f>0</xm:f>
              </x14:cfvo>
              <x14:cfvo type="num">
                <xm:f>1</xm:f>
              </x14:cfvo>
              <x14:borderColor theme="0"/>
              <x14:negativeFillColor rgb="FFFF0000"/>
              <x14:axisColor rgb="FF000000"/>
            </x14:dataBar>
          </x14:cfRule>
          <xm:sqref>AE174</xm:sqref>
        </x14:conditionalFormatting>
        <x14:conditionalFormatting xmlns:xm="http://schemas.microsoft.com/office/excel/2006/main">
          <x14:cfRule type="dataBar" id="{BC125AC8-388E-4355-BCDA-A31EB6EC92D0}">
            <x14:dataBar minLength="0" maxLength="100" border="1" gradient="0">
              <x14:cfvo type="num">
                <xm:f>0</xm:f>
              </x14:cfvo>
              <x14:cfvo type="num">
                <xm:f>1</xm:f>
              </x14:cfvo>
              <x14:borderColor theme="0"/>
              <x14:negativeFillColor rgb="FFFF0000"/>
              <x14:axisColor rgb="FF000000"/>
            </x14:dataBar>
          </x14:cfRule>
          <xm:sqref>AE176</xm:sqref>
        </x14:conditionalFormatting>
        <x14:conditionalFormatting xmlns:xm="http://schemas.microsoft.com/office/excel/2006/main">
          <x14:cfRule type="dataBar" id="{B3EF49E8-7687-47A0-92F0-44678341957F}">
            <x14:dataBar minLength="0" maxLength="100" border="1" gradient="0">
              <x14:cfvo type="num">
                <xm:f>0</xm:f>
              </x14:cfvo>
              <x14:cfvo type="num">
                <xm:f>1</xm:f>
              </x14:cfvo>
              <x14:borderColor theme="0"/>
              <x14:negativeFillColor rgb="FFFF0000"/>
              <x14:axisColor rgb="FF000000"/>
            </x14:dataBar>
          </x14:cfRule>
          <xm:sqref>AE180</xm:sqref>
        </x14:conditionalFormatting>
        <x14:conditionalFormatting xmlns:xm="http://schemas.microsoft.com/office/excel/2006/main">
          <x14:cfRule type="dataBar" id="{C3308D82-6A45-4722-828F-95DDDF4EB458}">
            <x14:dataBar minLength="0" maxLength="100" border="1" gradient="0">
              <x14:cfvo type="num">
                <xm:f>0</xm:f>
              </x14:cfvo>
              <x14:cfvo type="num">
                <xm:f>1</xm:f>
              </x14:cfvo>
              <x14:borderColor theme="0"/>
              <x14:negativeFillColor rgb="FFFF0000"/>
              <x14:axisColor rgb="FF000000"/>
            </x14:dataBar>
          </x14:cfRule>
          <xm:sqref>AE182</xm:sqref>
        </x14:conditionalFormatting>
        <x14:conditionalFormatting xmlns:xm="http://schemas.microsoft.com/office/excel/2006/main">
          <x14:cfRule type="dataBar" id="{824B7667-3234-491F-9D81-9434FCA04ADE}">
            <x14:dataBar minLength="0" maxLength="100" border="1" gradient="0">
              <x14:cfvo type="num">
                <xm:f>0</xm:f>
              </x14:cfvo>
              <x14:cfvo type="num">
                <xm:f>1</xm:f>
              </x14:cfvo>
              <x14:borderColor theme="0"/>
              <x14:negativeFillColor rgb="FFFF0000"/>
              <x14:axisColor rgb="FF000000"/>
            </x14:dataBar>
          </x14:cfRule>
          <xm:sqref>AE184</xm:sqref>
        </x14:conditionalFormatting>
        <x14:conditionalFormatting xmlns:xm="http://schemas.microsoft.com/office/excel/2006/main">
          <x14:cfRule type="dataBar" id="{8DE279C5-D457-4FE9-8E4F-0D87E1D31CB0}">
            <x14:dataBar minLength="0" maxLength="100" border="1" gradient="0">
              <x14:cfvo type="num">
                <xm:f>0</xm:f>
              </x14:cfvo>
              <x14:cfvo type="num">
                <xm:f>1</xm:f>
              </x14:cfvo>
              <x14:borderColor theme="0"/>
              <x14:negativeFillColor rgb="FFFF0000"/>
              <x14:axisColor rgb="FF000000"/>
            </x14:dataBar>
          </x14:cfRule>
          <xm:sqref>AE186</xm:sqref>
        </x14:conditionalFormatting>
        <x14:conditionalFormatting xmlns:xm="http://schemas.microsoft.com/office/excel/2006/main">
          <x14:cfRule type="dataBar" id="{6AB393FC-9458-4E4F-9230-868FFD71A15E}">
            <x14:dataBar minLength="0" maxLength="100" border="1" gradient="0">
              <x14:cfvo type="num">
                <xm:f>0</xm:f>
              </x14:cfvo>
              <x14:cfvo type="num">
                <xm:f>1</xm:f>
              </x14:cfvo>
              <x14:borderColor theme="0"/>
              <x14:negativeFillColor rgb="FFFF0000"/>
              <x14:axisColor rgb="FF000000"/>
            </x14:dataBar>
          </x14:cfRule>
          <xm:sqref>AE188</xm:sqref>
        </x14:conditionalFormatting>
        <x14:conditionalFormatting xmlns:xm="http://schemas.microsoft.com/office/excel/2006/main">
          <x14:cfRule type="dataBar" id="{7B66CC84-66FA-4673-A3DE-93FD8487DE4D}">
            <x14:dataBar minLength="0" maxLength="100" border="1" gradient="0">
              <x14:cfvo type="num">
                <xm:f>0</xm:f>
              </x14:cfvo>
              <x14:cfvo type="num">
                <xm:f>1</xm:f>
              </x14:cfvo>
              <x14:borderColor theme="0"/>
              <x14:negativeFillColor rgb="FFFF0000"/>
              <x14:axisColor rgb="FF000000"/>
            </x14:dataBar>
          </x14:cfRule>
          <xm:sqref>AE190</xm:sqref>
        </x14:conditionalFormatting>
        <x14:conditionalFormatting xmlns:xm="http://schemas.microsoft.com/office/excel/2006/main">
          <x14:cfRule type="dataBar" id="{4C9B42C8-A7A5-4DF9-9084-E044F2AEEB81}">
            <x14:dataBar minLength="0" maxLength="100" border="1" gradient="0">
              <x14:cfvo type="num">
                <xm:f>0</xm:f>
              </x14:cfvo>
              <x14:cfvo type="num">
                <xm:f>1</xm:f>
              </x14:cfvo>
              <x14:borderColor theme="0"/>
              <x14:negativeFillColor rgb="FFFF0000"/>
              <x14:axisColor rgb="FF000000"/>
            </x14:dataBar>
          </x14:cfRule>
          <xm:sqref>AE192</xm:sqref>
        </x14:conditionalFormatting>
        <x14:conditionalFormatting xmlns:xm="http://schemas.microsoft.com/office/excel/2006/main">
          <x14:cfRule type="dataBar" id="{32B51B18-577C-44C9-8ED5-C3612285012D}">
            <x14:dataBar minLength="0" maxLength="100" border="1" gradient="0">
              <x14:cfvo type="num">
                <xm:f>0</xm:f>
              </x14:cfvo>
              <x14:cfvo type="num">
                <xm:f>1</xm:f>
              </x14:cfvo>
              <x14:borderColor theme="0"/>
              <x14:negativeFillColor rgb="FFFF0000"/>
              <x14:axisColor rgb="FF000000"/>
            </x14:dataBar>
          </x14:cfRule>
          <xm:sqref>AE194</xm:sqref>
        </x14:conditionalFormatting>
        <x14:conditionalFormatting xmlns:xm="http://schemas.microsoft.com/office/excel/2006/main">
          <x14:cfRule type="dataBar" id="{6C97DA30-C9F2-421B-A661-9112C140F977}">
            <x14:dataBar minLength="0" maxLength="100" border="1" gradient="0">
              <x14:cfvo type="num">
                <xm:f>0</xm:f>
              </x14:cfvo>
              <x14:cfvo type="num">
                <xm:f>1</xm:f>
              </x14:cfvo>
              <x14:borderColor theme="0"/>
              <x14:negativeFillColor rgb="FFFF0000"/>
              <x14:axisColor rgb="FF000000"/>
            </x14:dataBar>
          </x14:cfRule>
          <xm:sqref>AE196</xm:sqref>
        </x14:conditionalFormatting>
        <x14:conditionalFormatting xmlns:xm="http://schemas.microsoft.com/office/excel/2006/main">
          <x14:cfRule type="dataBar" id="{7DDC83A4-F566-4F4C-B424-1A5B71222EAA}">
            <x14:dataBar minLength="0" maxLength="100" border="1" gradient="0">
              <x14:cfvo type="num">
                <xm:f>0</xm:f>
              </x14:cfvo>
              <x14:cfvo type="num">
                <xm:f>1</xm:f>
              </x14:cfvo>
              <x14:borderColor theme="0"/>
              <x14:negativeFillColor rgb="FFFF0000"/>
              <x14:axisColor rgb="FF000000"/>
            </x14:dataBar>
          </x14:cfRule>
          <xm:sqref>AE198</xm:sqref>
        </x14:conditionalFormatting>
        <x14:conditionalFormatting xmlns:xm="http://schemas.microsoft.com/office/excel/2006/main">
          <x14:cfRule type="dataBar" id="{4A605462-4737-40BE-8480-393A41B44DAC}">
            <x14:dataBar minLength="0" maxLength="100" border="1" gradient="0">
              <x14:cfvo type="num">
                <xm:f>0</xm:f>
              </x14:cfvo>
              <x14:cfvo type="num">
                <xm:f>1</xm:f>
              </x14:cfvo>
              <x14:borderColor theme="0"/>
              <x14:negativeFillColor rgb="FFFF0000"/>
              <x14:axisColor rgb="FF000000"/>
            </x14:dataBar>
          </x14:cfRule>
          <xm:sqref>AE200</xm:sqref>
        </x14:conditionalFormatting>
        <x14:conditionalFormatting xmlns:xm="http://schemas.microsoft.com/office/excel/2006/main">
          <x14:cfRule type="dataBar" id="{7504EAB8-23C3-4087-AAD1-C071C2F4DF37}">
            <x14:dataBar minLength="0" maxLength="100" border="1" gradient="0">
              <x14:cfvo type="num">
                <xm:f>0</xm:f>
              </x14:cfvo>
              <x14:cfvo type="num">
                <xm:f>1</xm:f>
              </x14:cfvo>
              <x14:borderColor theme="0"/>
              <x14:negativeFillColor rgb="FFFF0000"/>
              <x14:axisColor rgb="FF000000"/>
            </x14:dataBar>
          </x14:cfRule>
          <xm:sqref>AE202</xm:sqref>
        </x14:conditionalFormatting>
        <x14:conditionalFormatting xmlns:xm="http://schemas.microsoft.com/office/excel/2006/main">
          <x14:cfRule type="dataBar" id="{E5166068-B079-4B6B-9B59-2CA197589DBF}">
            <x14:dataBar minLength="0" maxLength="100" border="1" gradient="0">
              <x14:cfvo type="num">
                <xm:f>0</xm:f>
              </x14:cfvo>
              <x14:cfvo type="num">
                <xm:f>1</xm:f>
              </x14:cfvo>
              <x14:borderColor theme="0"/>
              <x14:negativeFillColor rgb="FFFF0000"/>
              <x14:axisColor rgb="FF000000"/>
            </x14:dataBar>
          </x14:cfRule>
          <xm:sqref>AE204</xm:sqref>
        </x14:conditionalFormatting>
        <x14:conditionalFormatting xmlns:xm="http://schemas.microsoft.com/office/excel/2006/main">
          <x14:cfRule type="dataBar" id="{E844661A-EC80-42CE-B6AE-E153A81866A4}">
            <x14:dataBar minLength="0" maxLength="100" border="1" gradient="0">
              <x14:cfvo type="num">
                <xm:f>0</xm:f>
              </x14:cfvo>
              <x14:cfvo type="num">
                <xm:f>1</xm:f>
              </x14:cfvo>
              <x14:borderColor theme="0"/>
              <x14:negativeFillColor rgb="FFFF0000"/>
              <x14:axisColor rgb="FF000000"/>
            </x14:dataBar>
          </x14:cfRule>
          <xm:sqref>AE206</xm:sqref>
        </x14:conditionalFormatting>
        <x14:conditionalFormatting xmlns:xm="http://schemas.microsoft.com/office/excel/2006/main">
          <x14:cfRule type="dataBar" id="{64A8C83F-CF6C-480C-B232-9FC96CF45D50}">
            <x14:dataBar minLength="0" maxLength="100" border="1" gradient="0">
              <x14:cfvo type="num">
                <xm:f>0</xm:f>
              </x14:cfvo>
              <x14:cfvo type="num">
                <xm:f>1</xm:f>
              </x14:cfvo>
              <x14:borderColor theme="0"/>
              <x14:negativeFillColor rgb="FFFF0000"/>
              <x14:axisColor rgb="FF000000"/>
            </x14:dataBar>
          </x14:cfRule>
          <xm:sqref>AE208</xm:sqref>
        </x14:conditionalFormatting>
        <x14:conditionalFormatting xmlns:xm="http://schemas.microsoft.com/office/excel/2006/main">
          <x14:cfRule type="dataBar" id="{6C7AFABC-B3E4-4559-81F4-6F6021F469C0}">
            <x14:dataBar minLength="0" maxLength="100" border="1" gradient="0">
              <x14:cfvo type="num">
                <xm:f>0</xm:f>
              </x14:cfvo>
              <x14:cfvo type="num">
                <xm:f>1</xm:f>
              </x14:cfvo>
              <x14:borderColor theme="0"/>
              <x14:negativeFillColor rgb="FFFF0000"/>
              <x14:axisColor rgb="FF000000"/>
            </x14:dataBar>
          </x14:cfRule>
          <xm:sqref>AE210</xm:sqref>
        </x14:conditionalFormatting>
        <x14:conditionalFormatting xmlns:xm="http://schemas.microsoft.com/office/excel/2006/main">
          <x14:cfRule type="dataBar" id="{21DD5145-898F-4186-A6B7-8BC915E7B869}">
            <x14:dataBar minLength="0" maxLength="100" border="1" gradient="0">
              <x14:cfvo type="num">
                <xm:f>0</xm:f>
              </x14:cfvo>
              <x14:cfvo type="num">
                <xm:f>1</xm:f>
              </x14:cfvo>
              <x14:borderColor theme="0"/>
              <x14:negativeFillColor rgb="FFFF0000"/>
              <x14:axisColor rgb="FF000000"/>
            </x14:dataBar>
          </x14:cfRule>
          <xm:sqref>AE212</xm:sqref>
        </x14:conditionalFormatting>
        <x14:conditionalFormatting xmlns:xm="http://schemas.microsoft.com/office/excel/2006/main">
          <x14:cfRule type="dataBar" id="{7C8B1550-EB6A-4A47-A574-60029E4183E2}">
            <x14:dataBar minLength="0" maxLength="100" border="1" gradient="0">
              <x14:cfvo type="num">
                <xm:f>0</xm:f>
              </x14:cfvo>
              <x14:cfvo type="num">
                <xm:f>1</xm:f>
              </x14:cfvo>
              <x14:borderColor theme="0"/>
              <x14:negativeFillColor rgb="FFFF0000"/>
              <x14:axisColor rgb="FF000000"/>
            </x14:dataBar>
          </x14:cfRule>
          <xm:sqref>AE214</xm:sqref>
        </x14:conditionalFormatting>
        <x14:conditionalFormatting xmlns:xm="http://schemas.microsoft.com/office/excel/2006/main">
          <x14:cfRule type="dataBar" id="{3D52FFEF-924D-44CE-92EB-2993509C1F4B}">
            <x14:dataBar minLength="0" maxLength="100" border="1" gradient="0">
              <x14:cfvo type="num">
                <xm:f>0</xm:f>
              </x14:cfvo>
              <x14:cfvo type="num">
                <xm:f>1</xm:f>
              </x14:cfvo>
              <x14:borderColor theme="0"/>
              <x14:negativeFillColor rgb="FFFF0000"/>
              <x14:axisColor rgb="FF000000"/>
            </x14:dataBar>
          </x14:cfRule>
          <xm:sqref>AE216</xm:sqref>
        </x14:conditionalFormatting>
        <x14:conditionalFormatting xmlns:xm="http://schemas.microsoft.com/office/excel/2006/main">
          <x14:cfRule type="dataBar" id="{B6F7B7DF-3302-4A85-AD6A-429A3CA83C6E}">
            <x14:dataBar minLength="0" maxLength="100" border="1" gradient="0">
              <x14:cfvo type="num">
                <xm:f>0</xm:f>
              </x14:cfvo>
              <x14:cfvo type="num">
                <xm:f>1</xm:f>
              </x14:cfvo>
              <x14:borderColor theme="0"/>
              <x14:negativeFillColor rgb="FFFF0000"/>
              <x14:axisColor rgb="FF000000"/>
            </x14:dataBar>
          </x14:cfRule>
          <xm:sqref>AE218</xm:sqref>
        </x14:conditionalFormatting>
        <x14:conditionalFormatting xmlns:xm="http://schemas.microsoft.com/office/excel/2006/main">
          <x14:cfRule type="dataBar" id="{A577CF71-F3F8-484A-B49F-E4BCD53F1CD8}">
            <x14:dataBar minLength="0" maxLength="100" border="1" gradient="0">
              <x14:cfvo type="num">
                <xm:f>0</xm:f>
              </x14:cfvo>
              <x14:cfvo type="num">
                <xm:f>1</xm:f>
              </x14:cfvo>
              <x14:borderColor theme="0"/>
              <x14:negativeFillColor rgb="FFFF0000"/>
              <x14:axisColor rgb="FF000000"/>
            </x14:dataBar>
          </x14:cfRule>
          <xm:sqref>AE220</xm:sqref>
        </x14:conditionalFormatting>
        <x14:conditionalFormatting xmlns:xm="http://schemas.microsoft.com/office/excel/2006/main">
          <x14:cfRule type="dataBar" id="{FC7DBC64-0832-4E8A-9405-A076AC477CA4}">
            <x14:dataBar minLength="0" maxLength="100" border="1" gradient="0">
              <x14:cfvo type="num">
                <xm:f>0</xm:f>
              </x14:cfvo>
              <x14:cfvo type="num">
                <xm:f>1</xm:f>
              </x14:cfvo>
              <x14:borderColor theme="0"/>
              <x14:negativeFillColor rgb="FFFF0000"/>
              <x14:axisColor rgb="FF000000"/>
            </x14:dataBar>
          </x14:cfRule>
          <xm:sqref>AE222</xm:sqref>
        </x14:conditionalFormatting>
        <x14:conditionalFormatting xmlns:xm="http://schemas.microsoft.com/office/excel/2006/main">
          <x14:cfRule type="dataBar" id="{714E17B8-E9C0-4BF1-B942-2D17A2ECCE6E}">
            <x14:dataBar minLength="0" maxLength="100" border="1" gradient="0">
              <x14:cfvo type="num">
                <xm:f>0</xm:f>
              </x14:cfvo>
              <x14:cfvo type="num">
                <xm:f>1</xm:f>
              </x14:cfvo>
              <x14:borderColor theme="0"/>
              <x14:negativeFillColor rgb="FFFF0000"/>
              <x14:axisColor rgb="FF000000"/>
            </x14:dataBar>
          </x14:cfRule>
          <xm:sqref>AE226</xm:sqref>
        </x14:conditionalFormatting>
        <x14:conditionalFormatting xmlns:xm="http://schemas.microsoft.com/office/excel/2006/main">
          <x14:cfRule type="dataBar" id="{24C7730A-65BF-4021-9388-9EC99E5701A4}">
            <x14:dataBar minLength="0" maxLength="100" border="1" gradient="0">
              <x14:cfvo type="num">
                <xm:f>0</xm:f>
              </x14:cfvo>
              <x14:cfvo type="num">
                <xm:f>1</xm:f>
              </x14:cfvo>
              <x14:borderColor theme="0"/>
              <x14:negativeFillColor rgb="FFFF0000"/>
              <x14:axisColor rgb="FF000000"/>
            </x14:dataBar>
          </x14:cfRule>
          <xm:sqref>AE229</xm:sqref>
        </x14:conditionalFormatting>
        <x14:conditionalFormatting xmlns:xm="http://schemas.microsoft.com/office/excel/2006/main">
          <x14:cfRule type="dataBar" id="{7777248C-903B-42B0-8448-83986FAFB88F}">
            <x14:dataBar minLength="0" maxLength="100" border="1" gradient="0">
              <x14:cfvo type="num">
                <xm:f>0</xm:f>
              </x14:cfvo>
              <x14:cfvo type="num">
                <xm:f>1</xm:f>
              </x14:cfvo>
              <x14:borderColor theme="0"/>
              <x14:negativeFillColor rgb="FFFF0000"/>
              <x14:axisColor rgb="FF000000"/>
            </x14:dataBar>
          </x14:cfRule>
          <xm:sqref>AE233</xm:sqref>
        </x14:conditionalFormatting>
        <x14:conditionalFormatting xmlns:xm="http://schemas.microsoft.com/office/excel/2006/main">
          <x14:cfRule type="dataBar" id="{D578328F-F8FD-4608-ACCA-0F58BC2159D2}">
            <x14:dataBar minLength="0" maxLength="100" border="1" gradient="0">
              <x14:cfvo type="num">
                <xm:f>0</xm:f>
              </x14:cfvo>
              <x14:cfvo type="num">
                <xm:f>1</xm:f>
              </x14:cfvo>
              <x14:borderColor theme="0"/>
              <x14:negativeFillColor rgb="FFFF0000"/>
              <x14:axisColor rgb="FF000000"/>
            </x14:dataBar>
          </x14:cfRule>
          <xm:sqref>AE235</xm:sqref>
        </x14:conditionalFormatting>
        <x14:conditionalFormatting xmlns:xm="http://schemas.microsoft.com/office/excel/2006/main">
          <x14:cfRule type="dataBar" id="{F874672E-0E99-4FA9-985E-1D6802D294A4}">
            <x14:dataBar minLength="0" maxLength="100" border="1" gradient="0">
              <x14:cfvo type="num">
                <xm:f>0</xm:f>
              </x14:cfvo>
              <x14:cfvo type="num">
                <xm:f>1</xm:f>
              </x14:cfvo>
              <x14:borderColor theme="0"/>
              <x14:negativeFillColor rgb="FFFF0000"/>
              <x14:axisColor rgb="FF000000"/>
            </x14:dataBar>
          </x14:cfRule>
          <xm:sqref>AE237</xm:sqref>
        </x14:conditionalFormatting>
        <x14:conditionalFormatting xmlns:xm="http://schemas.microsoft.com/office/excel/2006/main">
          <x14:cfRule type="dataBar" id="{6F4DA6D6-0439-4B5D-9B21-624F7DF0003B}">
            <x14:dataBar minLength="0" maxLength="100" border="1" gradient="0">
              <x14:cfvo type="num">
                <xm:f>0</xm:f>
              </x14:cfvo>
              <x14:cfvo type="num">
                <xm:f>1</xm:f>
              </x14:cfvo>
              <x14:borderColor theme="0"/>
              <x14:negativeFillColor rgb="FFFF0000"/>
              <x14:axisColor rgb="FF000000"/>
            </x14:dataBar>
          </x14:cfRule>
          <xm:sqref>AE239</xm:sqref>
        </x14:conditionalFormatting>
        <x14:conditionalFormatting xmlns:xm="http://schemas.microsoft.com/office/excel/2006/main">
          <x14:cfRule type="dataBar" id="{E1273198-40AF-4B7B-B80D-BF8E5DD21E65}">
            <x14:dataBar minLength="0" maxLength="100" border="1" gradient="0">
              <x14:cfvo type="num">
                <xm:f>0</xm:f>
              </x14:cfvo>
              <x14:cfvo type="num">
                <xm:f>1</xm:f>
              </x14:cfvo>
              <x14:borderColor theme="0"/>
              <x14:negativeFillColor rgb="FFFF0000"/>
              <x14:axisColor rgb="FF000000"/>
            </x14:dataBar>
          </x14:cfRule>
          <xm:sqref>AE241</xm:sqref>
        </x14:conditionalFormatting>
        <x14:conditionalFormatting xmlns:xm="http://schemas.microsoft.com/office/excel/2006/main">
          <x14:cfRule type="dataBar" id="{C9CCD02D-F943-42A4-B178-D1D955CDFCC3}">
            <x14:dataBar minLength="0" maxLength="100" border="1" gradient="0">
              <x14:cfvo type="num">
                <xm:f>0</xm:f>
              </x14:cfvo>
              <x14:cfvo type="num">
                <xm:f>1</xm:f>
              </x14:cfvo>
              <x14:borderColor theme="0"/>
              <x14:negativeFillColor rgb="FFFF0000"/>
              <x14:axisColor rgb="FF000000"/>
            </x14:dataBar>
          </x14:cfRule>
          <xm:sqref>AE243</xm:sqref>
        </x14:conditionalFormatting>
        <x14:conditionalFormatting xmlns:xm="http://schemas.microsoft.com/office/excel/2006/main">
          <x14:cfRule type="dataBar" id="{E3843719-720E-4785-B066-EDDFA6C5EB1A}">
            <x14:dataBar minLength="0" maxLength="100" border="1" gradient="0">
              <x14:cfvo type="num">
                <xm:f>0</xm:f>
              </x14:cfvo>
              <x14:cfvo type="num">
                <xm:f>1</xm:f>
              </x14:cfvo>
              <x14:borderColor theme="0"/>
              <x14:negativeFillColor rgb="FFFF0000"/>
              <x14:axisColor rgb="FF000000"/>
            </x14:dataBar>
          </x14:cfRule>
          <xm:sqref>AE245</xm:sqref>
        </x14:conditionalFormatting>
        <x14:conditionalFormatting xmlns:xm="http://schemas.microsoft.com/office/excel/2006/main">
          <x14:cfRule type="dataBar" id="{4A757F0C-5D38-4003-94C9-01098142B317}">
            <x14:dataBar minLength="0" maxLength="100" border="1" gradient="0">
              <x14:cfvo type="num">
                <xm:f>0</xm:f>
              </x14:cfvo>
              <x14:cfvo type="num">
                <xm:f>1</xm:f>
              </x14:cfvo>
              <x14:borderColor theme="0"/>
              <x14:negativeFillColor rgb="FFFF0000"/>
              <x14:axisColor rgb="FF000000"/>
            </x14:dataBar>
          </x14:cfRule>
          <xm:sqref>AE247</xm:sqref>
        </x14:conditionalFormatting>
        <x14:conditionalFormatting xmlns:xm="http://schemas.microsoft.com/office/excel/2006/main">
          <x14:cfRule type="dataBar" id="{4BB28962-AD66-4199-A377-D2FAF284211C}">
            <x14:dataBar minLength="0" maxLength="100" border="1" gradient="0">
              <x14:cfvo type="num">
                <xm:f>0</xm:f>
              </x14:cfvo>
              <x14:cfvo type="num">
                <xm:f>1</xm:f>
              </x14:cfvo>
              <x14:borderColor theme="0"/>
              <x14:negativeFillColor rgb="FFFF0000"/>
              <x14:axisColor rgb="FF000000"/>
            </x14:dataBar>
          </x14:cfRule>
          <xm:sqref>AE249</xm:sqref>
        </x14:conditionalFormatting>
        <x14:conditionalFormatting xmlns:xm="http://schemas.microsoft.com/office/excel/2006/main">
          <x14:cfRule type="dataBar" id="{B3523A15-4592-4A4C-9E68-E2EF4E82F61B}">
            <x14:dataBar minLength="0" maxLength="100" border="1" gradient="0">
              <x14:cfvo type="num">
                <xm:f>0</xm:f>
              </x14:cfvo>
              <x14:cfvo type="num">
                <xm:f>1</xm:f>
              </x14:cfvo>
              <x14:borderColor theme="0"/>
              <x14:negativeFillColor rgb="FFFF0000"/>
              <x14:axisColor rgb="FF000000"/>
            </x14:dataBar>
          </x14:cfRule>
          <xm:sqref>AE251</xm:sqref>
        </x14:conditionalFormatting>
        <x14:conditionalFormatting xmlns:xm="http://schemas.microsoft.com/office/excel/2006/main">
          <x14:cfRule type="dataBar" id="{BB1E6F7C-2B9F-45A1-9039-8B0F85DEB2F6}">
            <x14:dataBar minLength="0" maxLength="100" border="1" gradient="0">
              <x14:cfvo type="num">
                <xm:f>0</xm:f>
              </x14:cfvo>
              <x14:cfvo type="num">
                <xm:f>1</xm:f>
              </x14:cfvo>
              <x14:borderColor theme="0"/>
              <x14:negativeFillColor rgb="FFFF0000"/>
              <x14:axisColor rgb="FF000000"/>
            </x14:dataBar>
          </x14:cfRule>
          <xm:sqref>AE253</xm:sqref>
        </x14:conditionalFormatting>
        <x14:conditionalFormatting xmlns:xm="http://schemas.microsoft.com/office/excel/2006/main">
          <x14:cfRule type="dataBar" id="{3784D011-E8F7-4282-9B69-51F9CD651D13}">
            <x14:dataBar minLength="0" maxLength="100" border="1" gradient="0">
              <x14:cfvo type="num">
                <xm:f>0</xm:f>
              </x14:cfvo>
              <x14:cfvo type="num">
                <xm:f>1</xm:f>
              </x14:cfvo>
              <x14:borderColor theme="0"/>
              <x14:negativeFillColor rgb="FFFF0000"/>
              <x14:axisColor rgb="FF000000"/>
            </x14:dataBar>
          </x14:cfRule>
          <xm:sqref>AE255</xm:sqref>
        </x14:conditionalFormatting>
        <x14:conditionalFormatting xmlns:xm="http://schemas.microsoft.com/office/excel/2006/main">
          <x14:cfRule type="dataBar" id="{63E3822F-2E72-40F5-912E-8FC0918B6622}">
            <x14:dataBar minLength="0" maxLength="100" border="1" gradient="0">
              <x14:cfvo type="num">
                <xm:f>0</xm:f>
              </x14:cfvo>
              <x14:cfvo type="num">
                <xm:f>1</xm:f>
              </x14:cfvo>
              <x14:borderColor theme="0"/>
              <x14:negativeFillColor rgb="FFFF0000"/>
              <x14:axisColor rgb="FF000000"/>
            </x14:dataBar>
          </x14:cfRule>
          <xm:sqref>AE257</xm:sqref>
        </x14:conditionalFormatting>
        <x14:conditionalFormatting xmlns:xm="http://schemas.microsoft.com/office/excel/2006/main">
          <x14:cfRule type="dataBar" id="{4B9F60A3-D16D-4391-ABB7-71B90BD448C3}">
            <x14:dataBar minLength="0" maxLength="100" border="1" gradient="0">
              <x14:cfvo type="num">
                <xm:f>0</xm:f>
              </x14:cfvo>
              <x14:cfvo type="num">
                <xm:f>1</xm:f>
              </x14:cfvo>
              <x14:borderColor theme="0"/>
              <x14:negativeFillColor rgb="FFFF0000"/>
              <x14:axisColor rgb="FF000000"/>
            </x14:dataBar>
          </x14:cfRule>
          <xm:sqref>AE259</xm:sqref>
        </x14:conditionalFormatting>
        <x14:conditionalFormatting xmlns:xm="http://schemas.microsoft.com/office/excel/2006/main">
          <x14:cfRule type="dataBar" id="{311A7DCB-5182-444D-BD55-1B06B930D004}">
            <x14:dataBar minLength="0" maxLength="100" border="1" gradient="0">
              <x14:cfvo type="num">
                <xm:f>0</xm:f>
              </x14:cfvo>
              <x14:cfvo type="num">
                <xm:f>1</xm:f>
              </x14:cfvo>
              <x14:borderColor theme="0"/>
              <x14:negativeFillColor rgb="FFFF0000"/>
              <x14:axisColor rgb="FF000000"/>
            </x14:dataBar>
          </x14:cfRule>
          <xm:sqref>AE261</xm:sqref>
        </x14:conditionalFormatting>
        <x14:conditionalFormatting xmlns:xm="http://schemas.microsoft.com/office/excel/2006/main">
          <x14:cfRule type="dataBar" id="{7FB6A9F4-21B6-4730-ADA3-E7D6C3077C04}">
            <x14:dataBar minLength="0" maxLength="100" border="1" gradient="0">
              <x14:cfvo type="num">
                <xm:f>0</xm:f>
              </x14:cfvo>
              <x14:cfvo type="num">
                <xm:f>1</xm:f>
              </x14:cfvo>
              <x14:borderColor theme="0"/>
              <x14:negativeFillColor rgb="FFFF0000"/>
              <x14:axisColor rgb="FF000000"/>
            </x14:dataBar>
          </x14:cfRule>
          <xm:sqref>AE263</xm:sqref>
        </x14:conditionalFormatting>
        <x14:conditionalFormatting xmlns:xm="http://schemas.microsoft.com/office/excel/2006/main">
          <x14:cfRule type="dataBar" id="{054E7228-2004-4393-BC74-813380BD5533}">
            <x14:dataBar minLength="0" maxLength="100" border="1" gradient="0">
              <x14:cfvo type="num">
                <xm:f>0</xm:f>
              </x14:cfvo>
              <x14:cfvo type="num">
                <xm:f>1</xm:f>
              </x14:cfvo>
              <x14:borderColor theme="0"/>
              <x14:negativeFillColor rgb="FFFF0000"/>
              <x14:axisColor rgb="FF000000"/>
            </x14:dataBar>
          </x14:cfRule>
          <xm:sqref>AE265</xm:sqref>
        </x14:conditionalFormatting>
        <x14:conditionalFormatting xmlns:xm="http://schemas.microsoft.com/office/excel/2006/main">
          <x14:cfRule type="dataBar" id="{AD1CF8FD-C2FE-484E-9A49-1991D4AD0D6D}">
            <x14:dataBar minLength="0" maxLength="100" border="1" gradient="0">
              <x14:cfvo type="num">
                <xm:f>0</xm:f>
              </x14:cfvo>
              <x14:cfvo type="num">
                <xm:f>1</xm:f>
              </x14:cfvo>
              <x14:borderColor theme="0"/>
              <x14:negativeFillColor rgb="FFFF0000"/>
              <x14:axisColor rgb="FF000000"/>
            </x14:dataBar>
          </x14:cfRule>
          <xm:sqref>AE267</xm:sqref>
        </x14:conditionalFormatting>
        <x14:conditionalFormatting xmlns:xm="http://schemas.microsoft.com/office/excel/2006/main">
          <x14:cfRule type="dataBar" id="{B67431A8-B37F-4666-95B1-DC66A0F43832}">
            <x14:dataBar minLength="0" maxLength="100" border="1" gradient="0">
              <x14:cfvo type="num">
                <xm:f>0</xm:f>
              </x14:cfvo>
              <x14:cfvo type="num">
                <xm:f>1</xm:f>
              </x14:cfvo>
              <x14:borderColor theme="0"/>
              <x14:negativeFillColor rgb="FFFF0000"/>
              <x14:axisColor rgb="FF000000"/>
            </x14:dataBar>
          </x14:cfRule>
          <xm:sqref>AE269</xm:sqref>
        </x14:conditionalFormatting>
        <x14:conditionalFormatting xmlns:xm="http://schemas.microsoft.com/office/excel/2006/main">
          <x14:cfRule type="dataBar" id="{62E2E090-78D7-48EB-A8DF-7BA1401D7862}">
            <x14:dataBar minLength="0" maxLength="100" border="1" gradient="0">
              <x14:cfvo type="num">
                <xm:f>0</xm:f>
              </x14:cfvo>
              <x14:cfvo type="num">
                <xm:f>1</xm:f>
              </x14:cfvo>
              <x14:borderColor theme="0"/>
              <x14:negativeFillColor rgb="FFFF0000"/>
              <x14:axisColor rgb="FF000000"/>
            </x14:dataBar>
          </x14:cfRule>
          <xm:sqref>AE271</xm:sqref>
        </x14:conditionalFormatting>
        <x14:conditionalFormatting xmlns:xm="http://schemas.microsoft.com/office/excel/2006/main">
          <x14:cfRule type="dataBar" id="{B94F0020-F331-4E3F-89EC-461EA6D445A1}">
            <x14:dataBar minLength="0" maxLength="100" border="1" gradient="0">
              <x14:cfvo type="num">
                <xm:f>0</xm:f>
              </x14:cfvo>
              <x14:cfvo type="num">
                <xm:f>1</xm:f>
              </x14:cfvo>
              <x14:borderColor theme="0"/>
              <x14:negativeFillColor rgb="FFFF0000"/>
              <x14:axisColor rgb="FF000000"/>
            </x14:dataBar>
          </x14:cfRule>
          <xm:sqref>AE273</xm:sqref>
        </x14:conditionalFormatting>
        <x14:conditionalFormatting xmlns:xm="http://schemas.microsoft.com/office/excel/2006/main">
          <x14:cfRule type="dataBar" id="{F7BA59C3-B7F1-4D12-A363-075A8A999472}">
            <x14:dataBar minLength="0" maxLength="100" border="1" gradient="0">
              <x14:cfvo type="num">
                <xm:f>0</xm:f>
              </x14:cfvo>
              <x14:cfvo type="num">
                <xm:f>1</xm:f>
              </x14:cfvo>
              <x14:borderColor theme="0"/>
              <x14:negativeFillColor rgb="FFFF0000"/>
              <x14:axisColor rgb="FF000000"/>
            </x14:dataBar>
          </x14:cfRule>
          <xm:sqref>AE275</xm:sqref>
        </x14:conditionalFormatting>
        <x14:conditionalFormatting xmlns:xm="http://schemas.microsoft.com/office/excel/2006/main">
          <x14:cfRule type="dataBar" id="{A748F86E-E19E-486C-9048-BBA5B370A549}">
            <x14:dataBar minLength="0" maxLength="100" border="1" gradient="0">
              <x14:cfvo type="num">
                <xm:f>0</xm:f>
              </x14:cfvo>
              <x14:cfvo type="num">
                <xm:f>1</xm:f>
              </x14:cfvo>
              <x14:borderColor theme="0"/>
              <x14:negativeFillColor rgb="FFFF0000"/>
              <x14:axisColor rgb="FF000000"/>
            </x14:dataBar>
          </x14:cfRule>
          <xm:sqref>AE278</xm:sqref>
        </x14:conditionalFormatting>
        <x14:conditionalFormatting xmlns:xm="http://schemas.microsoft.com/office/excel/2006/main">
          <x14:cfRule type="dataBar" id="{1278E668-C250-4E90-A454-0015AD3A9ED9}">
            <x14:dataBar minLength="0" maxLength="100" border="1" gradient="0">
              <x14:cfvo type="num">
                <xm:f>0</xm:f>
              </x14:cfvo>
              <x14:cfvo type="num">
                <xm:f>1</xm:f>
              </x14:cfvo>
              <x14:borderColor theme="0"/>
              <x14:negativeFillColor rgb="FFFF0000"/>
              <x14:axisColor rgb="FF000000"/>
            </x14:dataBar>
          </x14:cfRule>
          <xm:sqref>AE282</xm:sqref>
        </x14:conditionalFormatting>
        <x14:conditionalFormatting xmlns:xm="http://schemas.microsoft.com/office/excel/2006/main">
          <x14:cfRule type="dataBar" id="{717B75BA-9C13-471A-9CBA-5D517BC1AC39}">
            <x14:dataBar minLength="0" maxLength="100" border="1" gradient="0">
              <x14:cfvo type="num">
                <xm:f>0</xm:f>
              </x14:cfvo>
              <x14:cfvo type="num">
                <xm:f>1</xm:f>
              </x14:cfvo>
              <x14:borderColor theme="0"/>
              <x14:negativeFillColor rgb="FFFF0000"/>
              <x14:axisColor rgb="FF000000"/>
            </x14:dataBar>
          </x14:cfRule>
          <xm:sqref>AE284</xm:sqref>
        </x14:conditionalFormatting>
        <x14:conditionalFormatting xmlns:xm="http://schemas.microsoft.com/office/excel/2006/main">
          <x14:cfRule type="dataBar" id="{277F156F-82DE-418F-A11A-1951BC2AF3BA}">
            <x14:dataBar minLength="0" maxLength="100" border="1" gradient="0">
              <x14:cfvo type="num">
                <xm:f>0</xm:f>
              </x14:cfvo>
              <x14:cfvo type="num">
                <xm:f>1</xm:f>
              </x14:cfvo>
              <x14:borderColor theme="0"/>
              <x14:negativeFillColor rgb="FFFF0000"/>
              <x14:axisColor rgb="FF000000"/>
            </x14:dataBar>
          </x14:cfRule>
          <xm:sqref>AE286</xm:sqref>
        </x14:conditionalFormatting>
        <x14:conditionalFormatting xmlns:xm="http://schemas.microsoft.com/office/excel/2006/main">
          <x14:cfRule type="dataBar" id="{5E3C6C74-BAE5-4018-93F2-B7DACFF3486B}">
            <x14:dataBar minLength="0" maxLength="100" border="1" gradient="0">
              <x14:cfvo type="num">
                <xm:f>0</xm:f>
              </x14:cfvo>
              <x14:cfvo type="num">
                <xm:f>1</xm:f>
              </x14:cfvo>
              <x14:borderColor theme="0"/>
              <x14:negativeFillColor rgb="FFFF0000"/>
              <x14:axisColor rgb="FF000000"/>
            </x14:dataBar>
          </x14:cfRule>
          <xm:sqref>AE288</xm:sqref>
        </x14:conditionalFormatting>
        <x14:conditionalFormatting xmlns:xm="http://schemas.microsoft.com/office/excel/2006/main">
          <x14:cfRule type="dataBar" id="{FB9671A9-E31C-47CE-8A91-F2661C6C6860}">
            <x14:dataBar minLength="0" maxLength="100" border="1" gradient="0">
              <x14:cfvo type="num">
                <xm:f>0</xm:f>
              </x14:cfvo>
              <x14:cfvo type="num">
                <xm:f>1</xm:f>
              </x14:cfvo>
              <x14:borderColor theme="0"/>
              <x14:negativeFillColor rgb="FFFF0000"/>
              <x14:axisColor rgb="FF000000"/>
            </x14:dataBar>
          </x14:cfRule>
          <xm:sqref>AE290</xm:sqref>
        </x14:conditionalFormatting>
        <x14:conditionalFormatting xmlns:xm="http://schemas.microsoft.com/office/excel/2006/main">
          <x14:cfRule type="dataBar" id="{ED5D798A-6CF7-41C7-9A0C-F8201C206AB8}">
            <x14:dataBar minLength="0" maxLength="100" border="1" gradient="0">
              <x14:cfvo type="num">
                <xm:f>0</xm:f>
              </x14:cfvo>
              <x14:cfvo type="num">
                <xm:f>1</xm:f>
              </x14:cfvo>
              <x14:borderColor theme="0"/>
              <x14:negativeFillColor rgb="FFFF0000"/>
              <x14:axisColor rgb="FF000000"/>
            </x14:dataBar>
          </x14:cfRule>
          <xm:sqref>AE292</xm:sqref>
        </x14:conditionalFormatting>
        <x14:conditionalFormatting xmlns:xm="http://schemas.microsoft.com/office/excel/2006/main">
          <x14:cfRule type="dataBar" id="{D855B314-7274-4198-9724-C334BDFB1EB9}">
            <x14:dataBar minLength="0" maxLength="100" border="1" gradient="0">
              <x14:cfvo type="num">
                <xm:f>0</xm:f>
              </x14:cfvo>
              <x14:cfvo type="num">
                <xm:f>1</xm:f>
              </x14:cfvo>
              <x14:borderColor theme="0"/>
              <x14:negativeFillColor rgb="FFFF0000"/>
              <x14:axisColor rgb="FF000000"/>
            </x14:dataBar>
          </x14:cfRule>
          <xm:sqref>AE294</xm:sqref>
        </x14:conditionalFormatting>
        <x14:conditionalFormatting xmlns:xm="http://schemas.microsoft.com/office/excel/2006/main">
          <x14:cfRule type="dataBar" id="{5EBD6F61-5F0A-4FA0-8067-CB05D4C2F3A8}">
            <x14:dataBar minLength="0" maxLength="100" border="1" gradient="0">
              <x14:cfvo type="num">
                <xm:f>0</xm:f>
              </x14:cfvo>
              <x14:cfvo type="num">
                <xm:f>1</xm:f>
              </x14:cfvo>
              <x14:borderColor theme="0"/>
              <x14:negativeFillColor rgb="FFFF0000"/>
              <x14:axisColor rgb="FF000000"/>
            </x14:dataBar>
          </x14:cfRule>
          <xm:sqref>AE296 AE280</xm:sqref>
        </x14:conditionalFormatting>
        <x14:conditionalFormatting xmlns:xm="http://schemas.microsoft.com/office/excel/2006/main">
          <x14:cfRule type="dataBar" id="{F51ECB65-F927-4549-9E6F-3BBD17B39CAE}">
            <x14:dataBar minLength="0" maxLength="100" border="1" gradient="0">
              <x14:cfvo type="num">
                <xm:f>0</xm:f>
              </x14:cfvo>
              <x14:cfvo type="num">
                <xm:f>1</xm:f>
              </x14:cfvo>
              <x14:borderColor theme="0"/>
              <x14:negativeFillColor rgb="FFFF0000"/>
              <x14:axisColor rgb="FF000000"/>
            </x14:dataBar>
          </x14:cfRule>
          <xm:sqref>AE299</xm:sqref>
        </x14:conditionalFormatting>
        <x14:conditionalFormatting xmlns:xm="http://schemas.microsoft.com/office/excel/2006/main">
          <x14:cfRule type="dataBar" id="{47B71617-0553-45E7-8EAF-095F0831F107}">
            <x14:dataBar minLength="0" maxLength="100" border="1" gradient="0">
              <x14:cfvo type="num">
                <xm:f>0</xm:f>
              </x14:cfvo>
              <x14:cfvo type="num">
                <xm:f>1</xm:f>
              </x14:cfvo>
              <x14:borderColor theme="0"/>
              <x14:negativeFillColor rgb="FFFF0000"/>
              <x14:axisColor rgb="FF000000"/>
            </x14:dataBar>
          </x14:cfRule>
          <xm:sqref>AE304</xm:sqref>
        </x14:conditionalFormatting>
        <x14:conditionalFormatting xmlns:xm="http://schemas.microsoft.com/office/excel/2006/main">
          <x14:cfRule type="dataBar" id="{B4CF8607-6B10-4EE0-AE4D-D816185BB785}">
            <x14:dataBar minLength="0" maxLength="100" border="1" gradient="0">
              <x14:cfvo type="num">
                <xm:f>0</xm:f>
              </x14:cfvo>
              <x14:cfvo type="num">
                <xm:f>1</xm:f>
              </x14:cfvo>
              <x14:borderColor theme="0"/>
              <x14:negativeFillColor rgb="FFFF0000"/>
              <x14:axisColor rgb="FF000000"/>
            </x14:dataBar>
          </x14:cfRule>
          <xm:sqref>AE307</xm:sqref>
        </x14:conditionalFormatting>
        <x14:conditionalFormatting xmlns:xm="http://schemas.microsoft.com/office/excel/2006/main">
          <x14:cfRule type="dataBar" id="{C8FAD12B-89A3-4FBE-8480-6B86D98B688A}">
            <x14:dataBar minLength="0" maxLength="100" border="1" gradient="0">
              <x14:cfvo type="num">
                <xm:f>0</xm:f>
              </x14:cfvo>
              <x14:cfvo type="num">
                <xm:f>1</xm:f>
              </x14:cfvo>
              <x14:borderColor theme="0"/>
              <x14:negativeFillColor rgb="FFFF0000"/>
              <x14:axisColor rgb="FF000000"/>
            </x14:dataBar>
          </x14:cfRule>
          <xm:sqref>AE310</xm:sqref>
        </x14:conditionalFormatting>
        <x14:conditionalFormatting xmlns:xm="http://schemas.microsoft.com/office/excel/2006/main">
          <x14:cfRule type="dataBar" id="{A846B798-35CB-43B9-9CDA-7BE41467BFE0}">
            <x14:dataBar minLength="0" maxLength="100" border="1" gradient="0">
              <x14:cfvo type="num">
                <xm:f>0</xm:f>
              </x14:cfvo>
              <x14:cfvo type="num">
                <xm:f>1</xm:f>
              </x14:cfvo>
              <x14:borderColor theme="0"/>
              <x14:negativeFillColor rgb="FFFF0000"/>
              <x14:axisColor rgb="FF000000"/>
            </x14:dataBar>
          </x14:cfRule>
          <xm:sqref>AE314</xm:sqref>
        </x14:conditionalFormatting>
        <x14:conditionalFormatting xmlns:xm="http://schemas.microsoft.com/office/excel/2006/main">
          <x14:cfRule type="dataBar" id="{0CC0DEAB-9A1F-4FE5-9123-6293E3325949}">
            <x14:dataBar minLength="0" maxLength="100" border="1" gradient="0">
              <x14:cfvo type="num">
                <xm:f>0</xm:f>
              </x14:cfvo>
              <x14:cfvo type="num">
                <xm:f>1</xm:f>
              </x14:cfvo>
              <x14:borderColor theme="0"/>
              <x14:negativeFillColor rgb="FFFF0000"/>
              <x14:axisColor rgb="FF000000"/>
            </x14:dataBar>
          </x14:cfRule>
          <xm:sqref>AE316</xm:sqref>
        </x14:conditionalFormatting>
        <x14:conditionalFormatting xmlns:xm="http://schemas.microsoft.com/office/excel/2006/main">
          <x14:cfRule type="dataBar" id="{3AA657EC-E36C-4263-969A-2317E335F71C}">
            <x14:dataBar minLength="0" maxLength="100" border="1" gradient="0">
              <x14:cfvo type="num">
                <xm:f>0</xm:f>
              </x14:cfvo>
              <x14:cfvo type="num">
                <xm:f>1</xm:f>
              </x14:cfvo>
              <x14:borderColor theme="0"/>
              <x14:negativeFillColor rgb="FFFF0000"/>
              <x14:axisColor rgb="FF000000"/>
            </x14:dataBar>
          </x14:cfRule>
          <xm:sqref>AE318</xm:sqref>
        </x14:conditionalFormatting>
        <x14:conditionalFormatting xmlns:xm="http://schemas.microsoft.com/office/excel/2006/main">
          <x14:cfRule type="dataBar" id="{4431BE96-A07B-445A-A9C7-C5519699AAEC}">
            <x14:dataBar minLength="0" maxLength="100" border="1" gradient="0">
              <x14:cfvo type="num">
                <xm:f>0</xm:f>
              </x14:cfvo>
              <x14:cfvo type="num">
                <xm:f>1</xm:f>
              </x14:cfvo>
              <x14:borderColor theme="0"/>
              <x14:negativeFillColor rgb="FFFF0000"/>
              <x14:axisColor rgb="FF000000"/>
            </x14:dataBar>
          </x14:cfRule>
          <xm:sqref>AE320</xm:sqref>
        </x14:conditionalFormatting>
        <x14:conditionalFormatting xmlns:xm="http://schemas.microsoft.com/office/excel/2006/main">
          <x14:cfRule type="dataBar" id="{B96CDDDC-A95B-487B-ABDE-C944BEA9D946}">
            <x14:dataBar minLength="0" maxLength="100" border="1" gradient="0">
              <x14:cfvo type="num">
                <xm:f>0</xm:f>
              </x14:cfvo>
              <x14:cfvo type="num">
                <xm:f>1</xm:f>
              </x14:cfvo>
              <x14:borderColor theme="0"/>
              <x14:negativeFillColor rgb="FFFF0000"/>
              <x14:axisColor rgb="FF000000"/>
            </x14:dataBar>
          </x14:cfRule>
          <xm:sqref>AE322</xm:sqref>
        </x14:conditionalFormatting>
        <x14:conditionalFormatting xmlns:xm="http://schemas.microsoft.com/office/excel/2006/main">
          <x14:cfRule type="dataBar" id="{45F591AF-8D09-4433-B471-B1485E3D66E8}">
            <x14:dataBar minLength="0" maxLength="100" border="1" gradient="0">
              <x14:cfvo type="num">
                <xm:f>0</xm:f>
              </x14:cfvo>
              <x14:cfvo type="num">
                <xm:f>1</xm:f>
              </x14:cfvo>
              <x14:borderColor theme="0"/>
              <x14:negativeFillColor rgb="FFFF0000"/>
              <x14:axisColor rgb="FF000000"/>
            </x14:dataBar>
          </x14:cfRule>
          <xm:sqref>AE324</xm:sqref>
        </x14:conditionalFormatting>
        <x14:conditionalFormatting xmlns:xm="http://schemas.microsoft.com/office/excel/2006/main">
          <x14:cfRule type="dataBar" id="{691903B1-5E7E-4D57-86B1-DDBCA17FAF14}">
            <x14:dataBar minLength="0" maxLength="100" border="1" gradient="0">
              <x14:cfvo type="num">
                <xm:f>0</xm:f>
              </x14:cfvo>
              <x14:cfvo type="num">
                <xm:f>1</xm:f>
              </x14:cfvo>
              <x14:borderColor theme="0"/>
              <x14:negativeFillColor rgb="FFFF0000"/>
              <x14:axisColor rgb="FF000000"/>
            </x14:dataBar>
          </x14:cfRule>
          <xm:sqref>AE326</xm:sqref>
        </x14:conditionalFormatting>
        <x14:conditionalFormatting xmlns:xm="http://schemas.microsoft.com/office/excel/2006/main">
          <x14:cfRule type="dataBar" id="{D4472EE1-5380-4D0A-9CEE-5DE2D3F3CE05}">
            <x14:dataBar minLength="0" maxLength="100" border="1" gradient="0">
              <x14:cfvo type="num">
                <xm:f>0</xm:f>
              </x14:cfvo>
              <x14:cfvo type="num">
                <xm:f>1</xm:f>
              </x14:cfvo>
              <x14:borderColor theme="0"/>
              <x14:negativeFillColor rgb="FFFF0000"/>
              <x14:axisColor rgb="FF000000"/>
            </x14:dataBar>
          </x14:cfRule>
          <xm:sqref>AE328</xm:sqref>
        </x14:conditionalFormatting>
        <x14:conditionalFormatting xmlns:xm="http://schemas.microsoft.com/office/excel/2006/main">
          <x14:cfRule type="dataBar" id="{6A5960B3-0CBB-4689-AA05-8267DF29E68E}">
            <x14:dataBar minLength="0" maxLength="100" border="1" gradient="0">
              <x14:cfvo type="num">
                <xm:f>0</xm:f>
              </x14:cfvo>
              <x14:cfvo type="num">
                <xm:f>1</xm:f>
              </x14:cfvo>
              <x14:borderColor theme="0"/>
              <x14:negativeFillColor rgb="FFFF0000"/>
              <x14:axisColor rgb="FF000000"/>
            </x14:dataBar>
          </x14:cfRule>
          <xm:sqref>AE330</xm:sqref>
        </x14:conditionalFormatting>
        <x14:conditionalFormatting xmlns:xm="http://schemas.microsoft.com/office/excel/2006/main">
          <x14:cfRule type="dataBar" id="{0763B2DB-C3CB-4607-91AC-4DC8AB18FE88}">
            <x14:dataBar minLength="0" maxLength="100" border="1" gradient="0">
              <x14:cfvo type="num">
                <xm:f>0</xm:f>
              </x14:cfvo>
              <x14:cfvo type="num">
                <xm:f>1</xm:f>
              </x14:cfvo>
              <x14:borderColor theme="0"/>
              <x14:negativeFillColor rgb="FFFF0000"/>
              <x14:axisColor rgb="FF000000"/>
            </x14:dataBar>
          </x14:cfRule>
          <xm:sqref>AE332</xm:sqref>
        </x14:conditionalFormatting>
        <x14:conditionalFormatting xmlns:xm="http://schemas.microsoft.com/office/excel/2006/main">
          <x14:cfRule type="dataBar" id="{AC20B619-77F6-48DF-A939-34FF28B5BE7C}">
            <x14:dataBar minLength="0" maxLength="100" border="1" gradient="0">
              <x14:cfvo type="num">
                <xm:f>0</xm:f>
              </x14:cfvo>
              <x14:cfvo type="num">
                <xm:f>1</xm:f>
              </x14:cfvo>
              <x14:borderColor theme="0"/>
              <x14:negativeFillColor rgb="FFFF0000"/>
              <x14:axisColor rgb="FF000000"/>
            </x14:dataBar>
          </x14:cfRule>
          <xm:sqref>AE334</xm:sqref>
        </x14:conditionalFormatting>
        <x14:conditionalFormatting xmlns:xm="http://schemas.microsoft.com/office/excel/2006/main">
          <x14:cfRule type="dataBar" id="{BB2ACE6E-D0E1-4B94-90CC-2839C6175A35}">
            <x14:dataBar minLength="0" maxLength="100" border="1" gradient="0">
              <x14:cfvo type="num">
                <xm:f>0</xm:f>
              </x14:cfvo>
              <x14:cfvo type="num">
                <xm:f>1</xm:f>
              </x14:cfvo>
              <x14:borderColor theme="0"/>
              <x14:negativeFillColor rgb="FFFF0000"/>
              <x14:axisColor rgb="FF000000"/>
            </x14:dataBar>
          </x14:cfRule>
          <xm:sqref>AE336</xm:sqref>
        </x14:conditionalFormatting>
        <x14:conditionalFormatting xmlns:xm="http://schemas.microsoft.com/office/excel/2006/main">
          <x14:cfRule type="dataBar" id="{21DFC902-8763-431A-9354-C422C1F0B937}">
            <x14:dataBar minLength="0" maxLength="100" border="1" gradient="0">
              <x14:cfvo type="num">
                <xm:f>0</xm:f>
              </x14:cfvo>
              <x14:cfvo type="num">
                <xm:f>1</xm:f>
              </x14:cfvo>
              <x14:borderColor theme="0"/>
              <x14:negativeFillColor rgb="FFFF0000"/>
              <x14:axisColor rgb="FF000000"/>
            </x14:dataBar>
          </x14:cfRule>
          <xm:sqref>AE338</xm:sqref>
        </x14:conditionalFormatting>
        <x14:conditionalFormatting xmlns:xm="http://schemas.microsoft.com/office/excel/2006/main">
          <x14:cfRule type="dataBar" id="{E12A80F1-493F-4021-A628-F80190FBFF49}">
            <x14:dataBar minLength="0" maxLength="100" border="1" gradient="0">
              <x14:cfvo type="num">
                <xm:f>0</xm:f>
              </x14:cfvo>
              <x14:cfvo type="num">
                <xm:f>1</xm:f>
              </x14:cfvo>
              <x14:borderColor theme="0"/>
              <x14:negativeFillColor rgb="FFFF0000"/>
              <x14:axisColor rgb="FF000000"/>
            </x14:dataBar>
          </x14:cfRule>
          <xm:sqref>AE340</xm:sqref>
        </x14:conditionalFormatting>
        <x14:conditionalFormatting xmlns:xm="http://schemas.microsoft.com/office/excel/2006/main">
          <x14:cfRule type="dataBar" id="{DEC6A4BC-BCED-4754-BAB1-E92C71146E57}">
            <x14:dataBar minLength="0" maxLength="100" border="1" gradient="0">
              <x14:cfvo type="num">
                <xm:f>0</xm:f>
              </x14:cfvo>
              <x14:cfvo type="num">
                <xm:f>1</xm:f>
              </x14:cfvo>
              <x14:borderColor theme="0"/>
              <x14:negativeFillColor rgb="FFFF0000"/>
              <x14:axisColor rgb="FF000000"/>
            </x14:dataBar>
          </x14:cfRule>
          <xm:sqref>AE342</xm:sqref>
        </x14:conditionalFormatting>
        <x14:conditionalFormatting xmlns:xm="http://schemas.microsoft.com/office/excel/2006/main">
          <x14:cfRule type="dataBar" id="{1BE3539C-60B9-4374-9A36-87765B676D19}">
            <x14:dataBar minLength="0" maxLength="100" border="1" gradient="0">
              <x14:cfvo type="num">
                <xm:f>0</xm:f>
              </x14:cfvo>
              <x14:cfvo type="num">
                <xm:f>1</xm:f>
              </x14:cfvo>
              <x14:borderColor theme="0"/>
              <x14:negativeFillColor rgb="FFFF0000"/>
              <x14:axisColor rgb="FF000000"/>
            </x14:dataBar>
          </x14:cfRule>
          <xm:sqref>AE344</xm:sqref>
        </x14:conditionalFormatting>
        <x14:conditionalFormatting xmlns:xm="http://schemas.microsoft.com/office/excel/2006/main">
          <x14:cfRule type="dataBar" id="{0C9FD6B8-0DCE-4A52-BFCE-C15153DDAB6D}">
            <x14:dataBar minLength="0" maxLength="100" border="1" gradient="0">
              <x14:cfvo type="num">
                <xm:f>0</xm:f>
              </x14:cfvo>
              <x14:cfvo type="num">
                <xm:f>1</xm:f>
              </x14:cfvo>
              <x14:borderColor theme="0"/>
              <x14:negativeFillColor rgb="FFFF0000"/>
              <x14:axisColor rgb="FF000000"/>
            </x14:dataBar>
          </x14:cfRule>
          <xm:sqref>AE346</xm:sqref>
        </x14:conditionalFormatting>
        <x14:conditionalFormatting xmlns:xm="http://schemas.microsoft.com/office/excel/2006/main">
          <x14:cfRule type="dataBar" id="{940CEC84-265B-4084-B0FB-A4BF408BEC63}">
            <x14:dataBar minLength="0" maxLength="100" border="1" gradient="0">
              <x14:cfvo type="num">
                <xm:f>0</xm:f>
              </x14:cfvo>
              <x14:cfvo type="num">
                <xm:f>1</xm:f>
              </x14:cfvo>
              <x14:borderColor theme="0"/>
              <x14:negativeFillColor rgb="FFFF0000"/>
              <x14:axisColor rgb="FF000000"/>
            </x14:dataBar>
          </x14:cfRule>
          <xm:sqref>AE348</xm:sqref>
        </x14:conditionalFormatting>
        <x14:conditionalFormatting xmlns:xm="http://schemas.microsoft.com/office/excel/2006/main">
          <x14:cfRule type="dataBar" id="{8E06D3C1-97FE-44A8-983C-29915E380753}">
            <x14:dataBar minLength="0" maxLength="100" border="1" gradient="0">
              <x14:cfvo type="num">
                <xm:f>0</xm:f>
              </x14:cfvo>
              <x14:cfvo type="num">
                <xm:f>1</xm:f>
              </x14:cfvo>
              <x14:borderColor theme="0"/>
              <x14:negativeFillColor rgb="FFFF0000"/>
              <x14:axisColor rgb="FF000000"/>
            </x14:dataBar>
          </x14:cfRule>
          <xm:sqref>AE350</xm:sqref>
        </x14:conditionalFormatting>
        <x14:conditionalFormatting xmlns:xm="http://schemas.microsoft.com/office/excel/2006/main">
          <x14:cfRule type="dataBar" id="{A26A5F02-8F6F-434B-88E2-DC33F8C1105D}">
            <x14:dataBar minLength="0" maxLength="100" border="1" gradient="0">
              <x14:cfvo type="num">
                <xm:f>0</xm:f>
              </x14:cfvo>
              <x14:cfvo type="num">
                <xm:f>1</xm:f>
              </x14:cfvo>
              <x14:borderColor theme="0"/>
              <x14:negativeFillColor rgb="FFFF0000"/>
              <x14:axisColor rgb="FF000000"/>
            </x14:dataBar>
          </x14:cfRule>
          <xm:sqref>AE352</xm:sqref>
        </x14:conditionalFormatting>
        <x14:conditionalFormatting xmlns:xm="http://schemas.microsoft.com/office/excel/2006/main">
          <x14:cfRule type="dataBar" id="{E41831CA-4427-4C9D-A2B0-B966EDA0CA69}">
            <x14:dataBar minLength="0" maxLength="100" border="1" gradient="0">
              <x14:cfvo type="num">
                <xm:f>0</xm:f>
              </x14:cfvo>
              <x14:cfvo type="num">
                <xm:f>1</xm:f>
              </x14:cfvo>
              <x14:borderColor theme="0"/>
              <x14:negativeFillColor rgb="FFFF0000"/>
              <x14:axisColor rgb="FF000000"/>
            </x14:dataBar>
          </x14:cfRule>
          <xm:sqref>AE354</xm:sqref>
        </x14:conditionalFormatting>
        <x14:conditionalFormatting xmlns:xm="http://schemas.microsoft.com/office/excel/2006/main">
          <x14:cfRule type="dataBar" id="{ED8057F5-F4F0-4D18-A648-94DA27CFFE6A}">
            <x14:dataBar minLength="0" maxLength="100" border="1" gradient="0">
              <x14:cfvo type="num">
                <xm:f>0</xm:f>
              </x14:cfvo>
              <x14:cfvo type="num">
                <xm:f>1</xm:f>
              </x14:cfvo>
              <x14:borderColor theme="0"/>
              <x14:negativeFillColor rgb="FFFF0000"/>
              <x14:axisColor rgb="FF000000"/>
            </x14:dataBar>
          </x14:cfRule>
          <xm:sqref>AE356</xm:sqref>
        </x14:conditionalFormatting>
        <x14:conditionalFormatting xmlns:xm="http://schemas.microsoft.com/office/excel/2006/main">
          <x14:cfRule type="dataBar" id="{FDACE741-E67F-4167-BFF7-20F7F62D2B8C}">
            <x14:dataBar minLength="0" maxLength="100" border="1" gradient="0">
              <x14:cfvo type="num">
                <xm:f>0</xm:f>
              </x14:cfvo>
              <x14:cfvo type="num">
                <xm:f>1</xm:f>
              </x14:cfvo>
              <x14:borderColor theme="0"/>
              <x14:negativeFillColor rgb="FFFF0000"/>
              <x14:axisColor rgb="FF000000"/>
            </x14:dataBar>
          </x14:cfRule>
          <xm:sqref>AE358</xm:sqref>
        </x14:conditionalFormatting>
        <x14:conditionalFormatting xmlns:xm="http://schemas.microsoft.com/office/excel/2006/main">
          <x14:cfRule type="dataBar" id="{E6665791-087C-4214-9AD1-018BBDD86578}">
            <x14:dataBar minLength="0" maxLength="100" border="1" gradient="0">
              <x14:cfvo type="num">
                <xm:f>0</xm:f>
              </x14:cfvo>
              <x14:cfvo type="num">
                <xm:f>1</xm:f>
              </x14:cfvo>
              <x14:borderColor theme="0"/>
              <x14:negativeFillColor rgb="FFFF0000"/>
              <x14:axisColor rgb="FF000000"/>
            </x14:dataBar>
          </x14:cfRule>
          <xm:sqref>AE360</xm:sqref>
        </x14:conditionalFormatting>
        <x14:conditionalFormatting xmlns:xm="http://schemas.microsoft.com/office/excel/2006/main">
          <x14:cfRule type="dataBar" id="{471517AE-EB6F-4754-A3AA-B9A246C4B075}">
            <x14:dataBar minLength="0" maxLength="100" border="1" gradient="0">
              <x14:cfvo type="num">
                <xm:f>0</xm:f>
              </x14:cfvo>
              <x14:cfvo type="num">
                <xm:f>1</xm:f>
              </x14:cfvo>
              <x14:borderColor theme="0"/>
              <x14:negativeFillColor rgb="FFFF0000"/>
              <x14:axisColor rgb="FF000000"/>
            </x14:dataBar>
          </x14:cfRule>
          <xm:sqref>AE362</xm:sqref>
        </x14:conditionalFormatting>
        <x14:conditionalFormatting xmlns:xm="http://schemas.microsoft.com/office/excel/2006/main">
          <x14:cfRule type="dataBar" id="{2A47EAEA-D2D7-4D9E-BB5A-691CC54C73F7}">
            <x14:dataBar minLength="0" maxLength="100" border="1" gradient="0">
              <x14:cfvo type="num">
                <xm:f>0</xm:f>
              </x14:cfvo>
              <x14:cfvo type="num">
                <xm:f>1</xm:f>
              </x14:cfvo>
              <x14:borderColor theme="0"/>
              <x14:negativeFillColor rgb="FFFF0000"/>
              <x14:axisColor rgb="FF000000"/>
            </x14:dataBar>
          </x14:cfRule>
          <xm:sqref>AE364</xm:sqref>
        </x14:conditionalFormatting>
        <x14:conditionalFormatting xmlns:xm="http://schemas.microsoft.com/office/excel/2006/main">
          <x14:cfRule type="dataBar" id="{6947E581-CB89-42EB-880A-04EDEF97A958}">
            <x14:dataBar minLength="0" maxLength="100" border="1" gradient="0">
              <x14:cfvo type="num">
                <xm:f>0</xm:f>
              </x14:cfvo>
              <x14:cfvo type="num">
                <xm:f>1</xm:f>
              </x14:cfvo>
              <x14:borderColor theme="0"/>
              <x14:negativeFillColor rgb="FFFF0000"/>
              <x14:axisColor rgb="FF000000"/>
            </x14:dataBar>
          </x14:cfRule>
          <xm:sqref>AE366</xm:sqref>
        </x14:conditionalFormatting>
        <x14:conditionalFormatting xmlns:xm="http://schemas.microsoft.com/office/excel/2006/main">
          <x14:cfRule type="dataBar" id="{C0105AC4-08C7-4C19-A0BE-AAE29E4DFBDC}">
            <x14:dataBar minLength="0" maxLength="100" border="1" gradient="0">
              <x14:cfvo type="num">
                <xm:f>0</xm:f>
              </x14:cfvo>
              <x14:cfvo type="num">
                <xm:f>1</xm:f>
              </x14:cfvo>
              <x14:borderColor theme="0"/>
              <x14:negativeFillColor rgb="FFFF0000"/>
              <x14:axisColor rgb="FF000000"/>
            </x14:dataBar>
          </x14:cfRule>
          <xm:sqref>AE368</xm:sqref>
        </x14:conditionalFormatting>
        <x14:conditionalFormatting xmlns:xm="http://schemas.microsoft.com/office/excel/2006/main">
          <x14:cfRule type="dataBar" id="{BED63BA3-C23C-4AE5-B1D1-D91946E91570}">
            <x14:dataBar minLength="0" maxLength="100" border="1" gradient="0">
              <x14:cfvo type="num">
                <xm:f>0</xm:f>
              </x14:cfvo>
              <x14:cfvo type="num">
                <xm:f>1</xm:f>
              </x14:cfvo>
              <x14:borderColor theme="0"/>
              <x14:negativeFillColor rgb="FFFF0000"/>
              <x14:axisColor rgb="FF000000"/>
            </x14:dataBar>
          </x14:cfRule>
          <xm:sqref>AE370</xm:sqref>
        </x14:conditionalFormatting>
        <x14:conditionalFormatting xmlns:xm="http://schemas.microsoft.com/office/excel/2006/main">
          <x14:cfRule type="dataBar" id="{4F99A156-AC92-4AEE-ABD8-E1FEE9B76B34}">
            <x14:dataBar minLength="0" maxLength="100" border="1" gradient="0">
              <x14:cfvo type="num">
                <xm:f>0</xm:f>
              </x14:cfvo>
              <x14:cfvo type="num">
                <xm:f>1</xm:f>
              </x14:cfvo>
              <x14:borderColor theme="0"/>
              <x14:negativeFillColor rgb="FFFF0000"/>
              <x14:axisColor rgb="FF000000"/>
            </x14:dataBar>
          </x14:cfRule>
          <xm:sqref>AE372</xm:sqref>
        </x14:conditionalFormatting>
        <x14:conditionalFormatting xmlns:xm="http://schemas.microsoft.com/office/excel/2006/main">
          <x14:cfRule type="dataBar" id="{08DD6024-B460-4980-BC0F-BC9C94CEFBC1}">
            <x14:dataBar minLength="0" maxLength="100" border="1" gradient="0">
              <x14:cfvo type="num">
                <xm:f>0</xm:f>
              </x14:cfvo>
              <x14:cfvo type="num">
                <xm:f>1</xm:f>
              </x14:cfvo>
              <x14:borderColor theme="0"/>
              <x14:negativeFillColor rgb="FFFF0000"/>
              <x14:axisColor rgb="FF000000"/>
            </x14:dataBar>
          </x14:cfRule>
          <xm:sqref>AE374</xm:sqref>
        </x14:conditionalFormatting>
        <x14:conditionalFormatting xmlns:xm="http://schemas.microsoft.com/office/excel/2006/main">
          <x14:cfRule type="dataBar" id="{F9D60F4C-EDFF-41FD-91D4-9963AC06EEEC}">
            <x14:dataBar minLength="0" maxLength="100" border="1" gradient="0">
              <x14:cfvo type="num">
                <xm:f>0</xm:f>
              </x14:cfvo>
              <x14:cfvo type="num">
                <xm:f>1</xm:f>
              </x14:cfvo>
              <x14:borderColor theme="0"/>
              <x14:negativeFillColor rgb="FFFF0000"/>
              <x14:axisColor rgb="FF000000"/>
            </x14:dataBar>
          </x14:cfRule>
          <xm:sqref>AE376</xm:sqref>
        </x14:conditionalFormatting>
        <x14:conditionalFormatting xmlns:xm="http://schemas.microsoft.com/office/excel/2006/main">
          <x14:cfRule type="dataBar" id="{4F4F943A-AA63-4E7B-8A95-4188B5A64B4B}">
            <x14:dataBar minLength="0" maxLength="100" border="1" gradient="0">
              <x14:cfvo type="num">
                <xm:f>0</xm:f>
              </x14:cfvo>
              <x14:cfvo type="num">
                <xm:f>1</xm:f>
              </x14:cfvo>
              <x14:borderColor theme="0"/>
              <x14:negativeFillColor rgb="FFFF0000"/>
              <x14:axisColor rgb="FF000000"/>
            </x14:dataBar>
          </x14:cfRule>
          <xm:sqref>AE378</xm:sqref>
        </x14:conditionalFormatting>
        <x14:conditionalFormatting xmlns:xm="http://schemas.microsoft.com/office/excel/2006/main">
          <x14:cfRule type="dataBar" id="{E8EB4B8D-C086-4861-BC12-4121DAB76F6F}">
            <x14:dataBar minLength="0" maxLength="100" border="1" gradient="0">
              <x14:cfvo type="num">
                <xm:f>0</xm:f>
              </x14:cfvo>
              <x14:cfvo type="num">
                <xm:f>1</xm:f>
              </x14:cfvo>
              <x14:borderColor theme="0"/>
              <x14:negativeFillColor rgb="FFFF0000"/>
              <x14:axisColor rgb="FF000000"/>
            </x14:dataBar>
          </x14:cfRule>
          <xm:sqref>AE380</xm:sqref>
        </x14:conditionalFormatting>
        <x14:conditionalFormatting xmlns:xm="http://schemas.microsoft.com/office/excel/2006/main">
          <x14:cfRule type="dataBar" id="{6C4AD4A0-3028-40FB-A3A0-07962E308553}">
            <x14:dataBar minLength="0" maxLength="100" border="1" gradient="0">
              <x14:cfvo type="num">
                <xm:f>0</xm:f>
              </x14:cfvo>
              <x14:cfvo type="num">
                <xm:f>1</xm:f>
              </x14:cfvo>
              <x14:borderColor theme="0"/>
              <x14:negativeFillColor rgb="FFFF0000"/>
              <x14:axisColor rgb="FF000000"/>
            </x14:dataBar>
          </x14:cfRule>
          <xm:sqref>AE382</xm:sqref>
        </x14:conditionalFormatting>
        <x14:conditionalFormatting xmlns:xm="http://schemas.microsoft.com/office/excel/2006/main">
          <x14:cfRule type="dataBar" id="{27F433B2-FCBE-45D7-8B46-D46806F0C774}">
            <x14:dataBar minLength="0" maxLength="100" border="1" gradient="0">
              <x14:cfvo type="num">
                <xm:f>0</xm:f>
              </x14:cfvo>
              <x14:cfvo type="num">
                <xm:f>1</xm:f>
              </x14:cfvo>
              <x14:borderColor theme="0"/>
              <x14:negativeFillColor rgb="FFFF0000"/>
              <x14:axisColor rgb="FF000000"/>
            </x14:dataBar>
          </x14:cfRule>
          <xm:sqref>AE384</xm:sqref>
        </x14:conditionalFormatting>
        <x14:conditionalFormatting xmlns:xm="http://schemas.microsoft.com/office/excel/2006/main">
          <x14:cfRule type="dataBar" id="{11943FF8-3B8A-42AB-9E36-20014F9328A0}">
            <x14:dataBar minLength="0" maxLength="100" border="1" gradient="0">
              <x14:cfvo type="num">
                <xm:f>0</xm:f>
              </x14:cfvo>
              <x14:cfvo type="num">
                <xm:f>1</xm:f>
              </x14:cfvo>
              <x14:borderColor theme="0"/>
              <x14:negativeFillColor rgb="FFFF0000"/>
              <x14:axisColor rgb="FF000000"/>
            </x14:dataBar>
          </x14:cfRule>
          <xm:sqref>AE386</xm:sqref>
        </x14:conditionalFormatting>
        <x14:conditionalFormatting xmlns:xm="http://schemas.microsoft.com/office/excel/2006/main">
          <x14:cfRule type="dataBar" id="{E5C478D5-8285-4196-952C-6DF6C89D7E18}">
            <x14:dataBar minLength="0" maxLength="100" border="1" gradient="0">
              <x14:cfvo type="num">
                <xm:f>0</xm:f>
              </x14:cfvo>
              <x14:cfvo type="num">
                <xm:f>1</xm:f>
              </x14:cfvo>
              <x14:borderColor theme="0"/>
              <x14:negativeFillColor rgb="FFFF0000"/>
              <x14:axisColor rgb="FF000000"/>
            </x14:dataBar>
          </x14:cfRule>
          <xm:sqref>AE388</xm:sqref>
        </x14:conditionalFormatting>
        <x14:conditionalFormatting xmlns:xm="http://schemas.microsoft.com/office/excel/2006/main">
          <x14:cfRule type="dataBar" id="{544DB6B4-E5F3-410E-8B97-4292B831C602}">
            <x14:dataBar minLength="0" maxLength="100" border="1" gradient="0">
              <x14:cfvo type="num">
                <xm:f>0</xm:f>
              </x14:cfvo>
              <x14:cfvo type="num">
                <xm:f>1</xm:f>
              </x14:cfvo>
              <x14:borderColor theme="0"/>
              <x14:negativeFillColor rgb="FFFF0000"/>
              <x14:axisColor rgb="FF000000"/>
            </x14:dataBar>
          </x14:cfRule>
          <xm:sqref>AE390</xm:sqref>
        </x14:conditionalFormatting>
        <x14:conditionalFormatting xmlns:xm="http://schemas.microsoft.com/office/excel/2006/main">
          <x14:cfRule type="dataBar" id="{59A424FA-51FB-45B8-94AD-0D967518DDA5}">
            <x14:dataBar minLength="0" maxLength="100" border="1" gradient="0">
              <x14:cfvo type="num">
                <xm:f>0</xm:f>
              </x14:cfvo>
              <x14:cfvo type="num">
                <xm:f>1</xm:f>
              </x14:cfvo>
              <x14:borderColor theme="0"/>
              <x14:negativeFillColor rgb="FFFF0000"/>
              <x14:axisColor rgb="FF000000"/>
            </x14:dataBar>
          </x14:cfRule>
          <xm:sqref>AE393</xm:sqref>
        </x14:conditionalFormatting>
        <x14:conditionalFormatting xmlns:xm="http://schemas.microsoft.com/office/excel/2006/main">
          <x14:cfRule type="dataBar" id="{23285140-1528-4812-BBE6-D1458FDA7C26}">
            <x14:dataBar minLength="0" maxLength="100" border="1" gradient="0">
              <x14:cfvo type="num">
                <xm:f>0</xm:f>
              </x14:cfvo>
              <x14:cfvo type="num">
                <xm:f>1</xm:f>
              </x14:cfvo>
              <x14:borderColor theme="0"/>
              <x14:negativeFillColor rgb="FFFF0000"/>
              <x14:axisColor rgb="FF000000"/>
            </x14:dataBar>
          </x14:cfRule>
          <xm:sqref>AE395</xm:sqref>
        </x14:conditionalFormatting>
        <x14:conditionalFormatting xmlns:xm="http://schemas.microsoft.com/office/excel/2006/main">
          <x14:cfRule type="dataBar" id="{DE3B4582-E151-4BF1-9B60-278860D8040D}">
            <x14:dataBar minLength="0" maxLength="100" border="1" gradient="0">
              <x14:cfvo type="num">
                <xm:f>0</xm:f>
              </x14:cfvo>
              <x14:cfvo type="num">
                <xm:f>1</xm:f>
              </x14:cfvo>
              <x14:borderColor theme="0"/>
              <x14:negativeFillColor rgb="FFFF0000"/>
              <x14:axisColor rgb="FF000000"/>
            </x14:dataBar>
          </x14:cfRule>
          <xm:sqref>AE397</xm:sqref>
        </x14:conditionalFormatting>
        <x14:conditionalFormatting xmlns:xm="http://schemas.microsoft.com/office/excel/2006/main">
          <x14:cfRule type="dataBar" id="{3C7F9B6B-35C9-4613-8CC2-9571F3E355FF}">
            <x14:dataBar minLength="0" maxLength="100" border="1" gradient="0">
              <x14:cfvo type="num">
                <xm:f>0</xm:f>
              </x14:cfvo>
              <x14:cfvo type="num">
                <xm:f>1</xm:f>
              </x14:cfvo>
              <x14:borderColor theme="0"/>
              <x14:negativeFillColor rgb="FFFF0000"/>
              <x14:axisColor rgb="FF000000"/>
            </x14:dataBar>
          </x14:cfRule>
          <xm:sqref>AE399</xm:sqref>
        </x14:conditionalFormatting>
        <x14:conditionalFormatting xmlns:xm="http://schemas.microsoft.com/office/excel/2006/main">
          <x14:cfRule type="dataBar" id="{8A0F2AD9-B8CD-4244-9619-015C79A0CFB2}">
            <x14:dataBar minLength="0" maxLength="100" border="1" gradient="0">
              <x14:cfvo type="num">
                <xm:f>0</xm:f>
              </x14:cfvo>
              <x14:cfvo type="num">
                <xm:f>1</xm:f>
              </x14:cfvo>
              <x14:borderColor theme="0"/>
              <x14:negativeFillColor rgb="FFFF0000"/>
              <x14:axisColor rgb="FF000000"/>
            </x14:dataBar>
          </x14:cfRule>
          <xm:sqref>AE401</xm:sqref>
        </x14:conditionalFormatting>
        <x14:conditionalFormatting xmlns:xm="http://schemas.microsoft.com/office/excel/2006/main">
          <x14:cfRule type="dataBar" id="{A3C8D191-E645-4D91-ADF5-11943026DDC1}">
            <x14:dataBar minLength="0" maxLength="100" border="1" gradient="0">
              <x14:cfvo type="num">
                <xm:f>0</xm:f>
              </x14:cfvo>
              <x14:cfvo type="num">
                <xm:f>1</xm:f>
              </x14:cfvo>
              <x14:borderColor theme="0"/>
              <x14:negativeFillColor rgb="FFFF0000"/>
              <x14:axisColor rgb="FF000000"/>
            </x14:dataBar>
          </x14:cfRule>
          <xm:sqref>AE403</xm:sqref>
        </x14:conditionalFormatting>
        <x14:conditionalFormatting xmlns:xm="http://schemas.microsoft.com/office/excel/2006/main">
          <x14:cfRule type="dataBar" id="{F119A4B3-E050-4C28-B405-4AEC19BA90E3}">
            <x14:dataBar minLength="0" maxLength="100" border="1" gradient="0">
              <x14:cfvo type="num">
                <xm:f>0</xm:f>
              </x14:cfvo>
              <x14:cfvo type="num">
                <xm:f>1</xm:f>
              </x14:cfvo>
              <x14:borderColor theme="0"/>
              <x14:negativeFillColor rgb="FFFF0000"/>
              <x14:axisColor rgb="FF000000"/>
            </x14:dataBar>
          </x14:cfRule>
          <xm:sqref>AE405</xm:sqref>
        </x14:conditionalFormatting>
        <x14:conditionalFormatting xmlns:xm="http://schemas.microsoft.com/office/excel/2006/main">
          <x14:cfRule type="dataBar" id="{B70CE54A-4C3E-46BF-B027-80F9AEB258AF}">
            <x14:dataBar minLength="0" maxLength="100" border="1" gradient="0">
              <x14:cfvo type="num">
                <xm:f>0</xm:f>
              </x14:cfvo>
              <x14:cfvo type="num">
                <xm:f>1</xm:f>
              </x14:cfvo>
              <x14:borderColor theme="0"/>
              <x14:negativeFillColor rgb="FFFF0000"/>
              <x14:axisColor rgb="FF000000"/>
            </x14:dataBar>
          </x14:cfRule>
          <xm:sqref>AE407</xm:sqref>
        </x14:conditionalFormatting>
        <x14:conditionalFormatting xmlns:xm="http://schemas.microsoft.com/office/excel/2006/main">
          <x14:cfRule type="dataBar" id="{A6298839-4C04-4263-80E8-CEB6A4050FD8}">
            <x14:dataBar minLength="0" maxLength="100" border="1" gradient="0">
              <x14:cfvo type="num">
                <xm:f>0</xm:f>
              </x14:cfvo>
              <x14:cfvo type="num">
                <xm:f>1</xm:f>
              </x14:cfvo>
              <x14:borderColor theme="0"/>
              <x14:negativeFillColor rgb="FFFF0000"/>
              <x14:axisColor rgb="FF000000"/>
            </x14:dataBar>
          </x14:cfRule>
          <xm:sqref>AE409</xm:sqref>
        </x14:conditionalFormatting>
        <x14:conditionalFormatting xmlns:xm="http://schemas.microsoft.com/office/excel/2006/main">
          <x14:cfRule type="dataBar" id="{9F539CA5-FBE7-41D5-831C-5C61AE0E0BB5}">
            <x14:dataBar minLength="0" maxLength="100" border="1" gradient="0">
              <x14:cfvo type="num">
                <xm:f>0</xm:f>
              </x14:cfvo>
              <x14:cfvo type="num">
                <xm:f>1</xm:f>
              </x14:cfvo>
              <x14:borderColor theme="0"/>
              <x14:negativeFillColor rgb="FFFF0000"/>
              <x14:axisColor rgb="FF000000"/>
            </x14:dataBar>
          </x14:cfRule>
          <xm:sqref>AE411</xm:sqref>
        </x14:conditionalFormatting>
        <x14:conditionalFormatting xmlns:xm="http://schemas.microsoft.com/office/excel/2006/main">
          <x14:cfRule type="dataBar" id="{734321BB-3593-41F2-8D3C-BF82DE3B6546}">
            <x14:dataBar minLength="0" maxLength="100" border="1" gradient="0">
              <x14:cfvo type="num">
                <xm:f>0</xm:f>
              </x14:cfvo>
              <x14:cfvo type="num">
                <xm:f>1</xm:f>
              </x14:cfvo>
              <x14:borderColor theme="0"/>
              <x14:negativeFillColor rgb="FFFF0000"/>
              <x14:axisColor rgb="FF000000"/>
            </x14:dataBar>
          </x14:cfRule>
          <xm:sqref>AE413</xm:sqref>
        </x14:conditionalFormatting>
        <x14:conditionalFormatting xmlns:xm="http://schemas.microsoft.com/office/excel/2006/main">
          <x14:cfRule type="dataBar" id="{70E36D52-6842-49D2-931F-8807A5C1B9F6}">
            <x14:dataBar minLength="0" maxLength="100" border="1" gradient="0">
              <x14:cfvo type="num">
                <xm:f>0</xm:f>
              </x14:cfvo>
              <x14:cfvo type="num">
                <xm:f>1</xm:f>
              </x14:cfvo>
              <x14:borderColor theme="0"/>
              <x14:negativeFillColor rgb="FFFF0000"/>
              <x14:axisColor rgb="FF000000"/>
            </x14:dataBar>
          </x14:cfRule>
          <xm:sqref>AE415</xm:sqref>
        </x14:conditionalFormatting>
        <x14:conditionalFormatting xmlns:xm="http://schemas.microsoft.com/office/excel/2006/main">
          <x14:cfRule type="dataBar" id="{32839F47-1176-441E-A69B-A6384D489EB9}">
            <x14:dataBar minLength="0" maxLength="100" border="1" gradient="0">
              <x14:cfvo type="num">
                <xm:f>0</xm:f>
              </x14:cfvo>
              <x14:cfvo type="num">
                <xm:f>1</xm:f>
              </x14:cfvo>
              <x14:borderColor theme="0"/>
              <x14:negativeFillColor rgb="FFFF0000"/>
              <x14:axisColor rgb="FF000000"/>
            </x14:dataBar>
          </x14:cfRule>
          <xm:sqref>AE417</xm:sqref>
        </x14:conditionalFormatting>
        <x14:conditionalFormatting xmlns:xm="http://schemas.microsoft.com/office/excel/2006/main">
          <x14:cfRule type="dataBar" id="{7FA089B5-DC1B-4056-BB31-BDBF6D408212}">
            <x14:dataBar minLength="0" maxLength="100" border="1" gradient="0">
              <x14:cfvo type="num">
                <xm:f>0</xm:f>
              </x14:cfvo>
              <x14:cfvo type="num">
                <xm:f>1</xm:f>
              </x14:cfvo>
              <x14:borderColor theme="0"/>
              <x14:negativeFillColor rgb="FFFF0000"/>
              <x14:axisColor rgb="FF000000"/>
            </x14:dataBar>
          </x14:cfRule>
          <xm:sqref>AE419</xm:sqref>
        </x14:conditionalFormatting>
        <x14:conditionalFormatting xmlns:xm="http://schemas.microsoft.com/office/excel/2006/main">
          <x14:cfRule type="dataBar" id="{65512D09-AD21-4343-92DE-EB6526F64840}">
            <x14:dataBar minLength="0" maxLength="100" border="1" gradient="0">
              <x14:cfvo type="num">
                <xm:f>0</xm:f>
              </x14:cfvo>
              <x14:cfvo type="num">
                <xm:f>1</xm:f>
              </x14:cfvo>
              <x14:borderColor theme="0"/>
              <x14:negativeFillColor rgb="FFFF0000"/>
              <x14:axisColor rgb="FF000000"/>
            </x14:dataBar>
          </x14:cfRule>
          <xm:sqref>AE421</xm:sqref>
        </x14:conditionalFormatting>
        <x14:conditionalFormatting xmlns:xm="http://schemas.microsoft.com/office/excel/2006/main">
          <x14:cfRule type="dataBar" id="{E124598D-C7DC-45F8-AEC9-790EC1EF0C77}">
            <x14:dataBar minLength="0" maxLength="100" border="1" gradient="0">
              <x14:cfvo type="num">
                <xm:f>0</xm:f>
              </x14:cfvo>
              <x14:cfvo type="num">
                <xm:f>1</xm:f>
              </x14:cfvo>
              <x14:borderColor theme="0"/>
              <x14:negativeFillColor rgb="FFFF0000"/>
              <x14:axisColor rgb="FF000000"/>
            </x14:dataBar>
          </x14:cfRule>
          <xm:sqref>AE423</xm:sqref>
        </x14:conditionalFormatting>
        <x14:conditionalFormatting xmlns:xm="http://schemas.microsoft.com/office/excel/2006/main">
          <x14:cfRule type="dataBar" id="{91E1F5F8-DE4E-4B53-89E4-4AB09A0A614F}">
            <x14:dataBar minLength="0" maxLength="100" border="1" gradient="0">
              <x14:cfvo type="num">
                <xm:f>0</xm:f>
              </x14:cfvo>
              <x14:cfvo type="num">
                <xm:f>1</xm:f>
              </x14:cfvo>
              <x14:borderColor theme="0"/>
              <x14:negativeFillColor rgb="FFFF0000"/>
              <x14:axisColor rgb="FF000000"/>
            </x14:dataBar>
          </x14:cfRule>
          <xm:sqref>AE425</xm:sqref>
        </x14:conditionalFormatting>
        <x14:conditionalFormatting xmlns:xm="http://schemas.microsoft.com/office/excel/2006/main">
          <x14:cfRule type="dataBar" id="{812A004F-B132-4FFE-9CE5-9A29FF1B849D}">
            <x14:dataBar minLength="0" maxLength="100" border="1" gradient="0">
              <x14:cfvo type="num">
                <xm:f>0</xm:f>
              </x14:cfvo>
              <x14:cfvo type="num">
                <xm:f>1</xm:f>
              </x14:cfvo>
              <x14:borderColor theme="0"/>
              <x14:negativeFillColor rgb="FFFF0000"/>
              <x14:axisColor rgb="FF000000"/>
            </x14:dataBar>
          </x14:cfRule>
          <xm:sqref>AE428</xm:sqref>
        </x14:conditionalFormatting>
        <x14:conditionalFormatting xmlns:xm="http://schemas.microsoft.com/office/excel/2006/main">
          <x14:cfRule type="dataBar" id="{57A03206-087A-442C-B804-9FC10605A02B}">
            <x14:dataBar minLength="0" maxLength="100" border="1" gradient="0">
              <x14:cfvo type="num">
                <xm:f>0</xm:f>
              </x14:cfvo>
              <x14:cfvo type="num">
                <xm:f>1</xm:f>
              </x14:cfvo>
              <x14:borderColor theme="0"/>
              <x14:negativeFillColor rgb="FFFF0000"/>
              <x14:axisColor rgb="FF000000"/>
            </x14:dataBar>
          </x14:cfRule>
          <xm:sqref>AE430</xm:sqref>
        </x14:conditionalFormatting>
        <x14:conditionalFormatting xmlns:xm="http://schemas.microsoft.com/office/excel/2006/main">
          <x14:cfRule type="dataBar" id="{B12D8574-9858-4737-A6CC-97296BEC99FE}">
            <x14:dataBar minLength="0" maxLength="100" border="1" gradient="0">
              <x14:cfvo type="num">
                <xm:f>0</xm:f>
              </x14:cfvo>
              <x14:cfvo type="num">
                <xm:f>1</xm:f>
              </x14:cfvo>
              <x14:borderColor theme="0"/>
              <x14:negativeFillColor rgb="FFFF0000"/>
              <x14:axisColor rgb="FF000000"/>
            </x14:dataBar>
          </x14:cfRule>
          <xm:sqref>AE432</xm:sqref>
        </x14:conditionalFormatting>
        <x14:conditionalFormatting xmlns:xm="http://schemas.microsoft.com/office/excel/2006/main">
          <x14:cfRule type="dataBar" id="{2502D321-6AF7-433C-9629-5891E9A6C3AA}">
            <x14:dataBar minLength="0" maxLength="100" border="1" gradient="0">
              <x14:cfvo type="num">
                <xm:f>0</xm:f>
              </x14:cfvo>
              <x14:cfvo type="num">
                <xm:f>1</xm:f>
              </x14:cfvo>
              <x14:borderColor theme="0"/>
              <x14:negativeFillColor rgb="FFFF0000"/>
              <x14:axisColor rgb="FF000000"/>
            </x14:dataBar>
          </x14:cfRule>
          <xm:sqref>AE434</xm:sqref>
        </x14:conditionalFormatting>
        <x14:conditionalFormatting xmlns:xm="http://schemas.microsoft.com/office/excel/2006/main">
          <x14:cfRule type="dataBar" id="{B5CE9E9B-5C3F-4A81-9009-BCA4CE27D724}">
            <x14:dataBar minLength="0" maxLength="100" border="1" gradient="0">
              <x14:cfvo type="num">
                <xm:f>0</xm:f>
              </x14:cfvo>
              <x14:cfvo type="num">
                <xm:f>1</xm:f>
              </x14:cfvo>
              <x14:borderColor theme="0"/>
              <x14:negativeFillColor rgb="FFFF0000"/>
              <x14:axisColor rgb="FF000000"/>
            </x14:dataBar>
          </x14:cfRule>
          <xm:sqref>AE436</xm:sqref>
        </x14:conditionalFormatting>
        <x14:conditionalFormatting xmlns:xm="http://schemas.microsoft.com/office/excel/2006/main">
          <x14:cfRule type="dataBar" id="{92B81547-19B6-483D-A606-74D3266C9137}">
            <x14:dataBar minLength="0" maxLength="100" border="1" gradient="0">
              <x14:cfvo type="num">
                <xm:f>0</xm:f>
              </x14:cfvo>
              <x14:cfvo type="num">
                <xm:f>1</xm:f>
              </x14:cfvo>
              <x14:borderColor theme="0"/>
              <x14:negativeFillColor rgb="FFFF0000"/>
              <x14:axisColor rgb="FF000000"/>
            </x14:dataBar>
          </x14:cfRule>
          <xm:sqref>AE438</xm:sqref>
        </x14:conditionalFormatting>
        <x14:conditionalFormatting xmlns:xm="http://schemas.microsoft.com/office/excel/2006/main">
          <x14:cfRule type="dataBar" id="{04D63D41-1049-4528-AAF4-B40487E2011C}">
            <x14:dataBar minLength="0" maxLength="100" border="1" gradient="0">
              <x14:cfvo type="num">
                <xm:f>0</xm:f>
              </x14:cfvo>
              <x14:cfvo type="num">
                <xm:f>1</xm:f>
              </x14:cfvo>
              <x14:borderColor theme="0"/>
              <x14:negativeFillColor rgb="FFFF0000"/>
              <x14:axisColor rgb="FF000000"/>
            </x14:dataBar>
          </x14:cfRule>
          <xm:sqref>AE440</xm:sqref>
        </x14:conditionalFormatting>
        <x14:conditionalFormatting xmlns:xm="http://schemas.microsoft.com/office/excel/2006/main">
          <x14:cfRule type="dataBar" id="{34949D6B-AA19-4DE7-89AE-8A7497DCCAD7}">
            <x14:dataBar minLength="0" maxLength="100" border="1" gradient="0">
              <x14:cfvo type="num">
                <xm:f>0</xm:f>
              </x14:cfvo>
              <x14:cfvo type="num">
                <xm:f>1</xm:f>
              </x14:cfvo>
              <x14:borderColor theme="0"/>
              <x14:negativeFillColor rgb="FFFF0000"/>
              <x14:axisColor rgb="FF000000"/>
            </x14:dataBar>
          </x14:cfRule>
          <xm:sqref>AE442</xm:sqref>
        </x14:conditionalFormatting>
        <x14:conditionalFormatting xmlns:xm="http://schemas.microsoft.com/office/excel/2006/main">
          <x14:cfRule type="dataBar" id="{8CF877C4-2142-4413-8430-EC99B242C7F7}">
            <x14:dataBar minLength="0" maxLength="100" border="1" gradient="0">
              <x14:cfvo type="num">
                <xm:f>0</xm:f>
              </x14:cfvo>
              <x14:cfvo type="num">
                <xm:f>1</xm:f>
              </x14:cfvo>
              <x14:borderColor theme="0"/>
              <x14:negativeFillColor rgb="FFFF0000"/>
              <x14:axisColor rgb="FF000000"/>
            </x14:dataBar>
          </x14:cfRule>
          <xm:sqref>AE444</xm:sqref>
        </x14:conditionalFormatting>
        <x14:conditionalFormatting xmlns:xm="http://schemas.microsoft.com/office/excel/2006/main">
          <x14:cfRule type="dataBar" id="{D4CA60F0-E41C-4A27-AD16-CD3F0367F55C}">
            <x14:dataBar minLength="0" maxLength="100" border="1" gradient="0">
              <x14:cfvo type="num">
                <xm:f>0</xm:f>
              </x14:cfvo>
              <x14:cfvo type="num">
                <xm:f>1</xm:f>
              </x14:cfvo>
              <x14:borderColor theme="0"/>
              <x14:negativeFillColor rgb="FFFF0000"/>
              <x14:axisColor rgb="FF000000"/>
            </x14:dataBar>
          </x14:cfRule>
          <xm:sqref>AE446</xm:sqref>
        </x14:conditionalFormatting>
        <x14:conditionalFormatting xmlns:xm="http://schemas.microsoft.com/office/excel/2006/main">
          <x14:cfRule type="dataBar" id="{7B802179-CE75-418B-91D2-30ADD32F8AAB}">
            <x14:dataBar minLength="0" maxLength="100" border="1" gradient="0">
              <x14:cfvo type="num">
                <xm:f>0</xm:f>
              </x14:cfvo>
              <x14:cfvo type="num">
                <xm:f>1</xm:f>
              </x14:cfvo>
              <x14:borderColor theme="0"/>
              <x14:negativeFillColor rgb="FFFF0000"/>
              <x14:axisColor rgb="FF000000"/>
            </x14:dataBar>
          </x14:cfRule>
          <xm:sqref>AE448</xm:sqref>
        </x14:conditionalFormatting>
        <x14:conditionalFormatting xmlns:xm="http://schemas.microsoft.com/office/excel/2006/main">
          <x14:cfRule type="dataBar" id="{6F36C0AD-54FD-4CC0-AEC2-7703487FCC67}">
            <x14:dataBar minLength="0" maxLength="100" border="1" gradient="0">
              <x14:cfvo type="num">
                <xm:f>0</xm:f>
              </x14:cfvo>
              <x14:cfvo type="num">
                <xm:f>1</xm:f>
              </x14:cfvo>
              <x14:borderColor theme="0"/>
              <x14:negativeFillColor rgb="FFFF0000"/>
              <x14:axisColor rgb="FF000000"/>
            </x14:dataBar>
          </x14:cfRule>
          <xm:sqref>AE450</xm:sqref>
        </x14:conditionalFormatting>
        <x14:conditionalFormatting xmlns:xm="http://schemas.microsoft.com/office/excel/2006/main">
          <x14:cfRule type="dataBar" id="{EE832414-A6BB-42E9-A2FC-327EA16FEC81}">
            <x14:dataBar minLength="0" maxLength="100" border="1" gradient="0">
              <x14:cfvo type="num">
                <xm:f>0</xm:f>
              </x14:cfvo>
              <x14:cfvo type="num">
                <xm:f>1</xm:f>
              </x14:cfvo>
              <x14:borderColor theme="0"/>
              <x14:negativeFillColor rgb="FFFF0000"/>
              <x14:axisColor rgb="FF000000"/>
            </x14:dataBar>
          </x14:cfRule>
          <xm:sqref>AE452</xm:sqref>
        </x14:conditionalFormatting>
        <x14:conditionalFormatting xmlns:xm="http://schemas.microsoft.com/office/excel/2006/main">
          <x14:cfRule type="dataBar" id="{4D97E99B-1628-47AF-8ACF-653AE0B07DFA}">
            <x14:dataBar minLength="0" maxLength="100" border="1" gradient="0">
              <x14:cfvo type="num">
                <xm:f>0</xm:f>
              </x14:cfvo>
              <x14:cfvo type="num">
                <xm:f>1</xm:f>
              </x14:cfvo>
              <x14:borderColor theme="0"/>
              <x14:negativeFillColor rgb="FFFF0000"/>
              <x14:axisColor rgb="FF000000"/>
            </x14:dataBar>
          </x14:cfRule>
          <xm:sqref>AE454</xm:sqref>
        </x14:conditionalFormatting>
        <x14:conditionalFormatting xmlns:xm="http://schemas.microsoft.com/office/excel/2006/main">
          <x14:cfRule type="dataBar" id="{3F948650-39B3-4C98-983D-0F0E326C8E95}">
            <x14:dataBar minLength="0" maxLength="100" border="1" gradient="0">
              <x14:cfvo type="num">
                <xm:f>0</xm:f>
              </x14:cfvo>
              <x14:cfvo type="num">
                <xm:f>1</xm:f>
              </x14:cfvo>
              <x14:borderColor theme="0"/>
              <x14:negativeFillColor rgb="FFFF0000"/>
              <x14:axisColor rgb="FF000000"/>
            </x14:dataBar>
          </x14:cfRule>
          <xm:sqref>AE456</xm:sqref>
        </x14:conditionalFormatting>
        <x14:conditionalFormatting xmlns:xm="http://schemas.microsoft.com/office/excel/2006/main">
          <x14:cfRule type="dataBar" id="{81C6A9D2-7068-482C-9B06-12497827292B}">
            <x14:dataBar minLength="0" maxLength="100" border="1" gradient="0">
              <x14:cfvo type="num">
                <xm:f>0</xm:f>
              </x14:cfvo>
              <x14:cfvo type="num">
                <xm:f>1</xm:f>
              </x14:cfvo>
              <x14:borderColor theme="0"/>
              <x14:negativeFillColor rgb="FFFF0000"/>
              <x14:axisColor rgb="FF000000"/>
            </x14:dataBar>
          </x14:cfRule>
          <xm:sqref>AE458</xm:sqref>
        </x14:conditionalFormatting>
        <x14:conditionalFormatting xmlns:xm="http://schemas.microsoft.com/office/excel/2006/main">
          <x14:cfRule type="dataBar" id="{A60144B0-5EA1-49C6-B2B8-845F6FCE8390}">
            <x14:dataBar minLength="0" maxLength="100" border="1" gradient="0">
              <x14:cfvo type="num">
                <xm:f>0</xm:f>
              </x14:cfvo>
              <x14:cfvo type="num">
                <xm:f>1</xm:f>
              </x14:cfvo>
              <x14:borderColor theme="0"/>
              <x14:negativeFillColor rgb="FFFF0000"/>
              <x14:axisColor rgb="FF000000"/>
            </x14:dataBar>
          </x14:cfRule>
          <xm:sqref>AE460</xm:sqref>
        </x14:conditionalFormatting>
        <x14:conditionalFormatting xmlns:xm="http://schemas.microsoft.com/office/excel/2006/main">
          <x14:cfRule type="dataBar" id="{DB338703-4611-4A17-8CBB-4BE041CD83A5}">
            <x14:dataBar minLength="0" maxLength="100" border="1" gradient="0">
              <x14:cfvo type="num">
                <xm:f>0</xm:f>
              </x14:cfvo>
              <x14:cfvo type="num">
                <xm:f>1</xm:f>
              </x14:cfvo>
              <x14:borderColor theme="0"/>
              <x14:negativeFillColor rgb="FFFF0000"/>
              <x14:axisColor rgb="FF000000"/>
            </x14:dataBar>
          </x14:cfRule>
          <xm:sqref>AE462</xm:sqref>
        </x14:conditionalFormatting>
        <x14:conditionalFormatting xmlns:xm="http://schemas.microsoft.com/office/excel/2006/main">
          <x14:cfRule type="dataBar" id="{D99D776A-5ECF-4D44-A254-9BFEB0BC0311}">
            <x14:dataBar minLength="0" maxLength="100" border="1" gradient="0">
              <x14:cfvo type="num">
                <xm:f>0</xm:f>
              </x14:cfvo>
              <x14:cfvo type="num">
                <xm:f>1</xm:f>
              </x14:cfvo>
              <x14:borderColor theme="0"/>
              <x14:negativeFillColor rgb="FFFF0000"/>
              <x14:axisColor rgb="FF000000"/>
            </x14:dataBar>
          </x14:cfRule>
          <xm:sqref>AE464</xm:sqref>
        </x14:conditionalFormatting>
        <x14:conditionalFormatting xmlns:xm="http://schemas.microsoft.com/office/excel/2006/main">
          <x14:cfRule type="dataBar" id="{167544FE-5743-4630-8361-BD7442DB8A29}">
            <x14:dataBar minLength="0" maxLength="100" border="1" gradient="0">
              <x14:cfvo type="num">
                <xm:f>0</xm:f>
              </x14:cfvo>
              <x14:cfvo type="num">
                <xm:f>1</xm:f>
              </x14:cfvo>
              <x14:borderColor theme="0"/>
              <x14:negativeFillColor rgb="FFFF0000"/>
              <x14:axisColor rgb="FF000000"/>
            </x14:dataBar>
          </x14:cfRule>
          <xm:sqref>AE466</xm:sqref>
        </x14:conditionalFormatting>
        <x14:conditionalFormatting xmlns:xm="http://schemas.microsoft.com/office/excel/2006/main">
          <x14:cfRule type="dataBar" id="{3DE4269F-2BA2-4D3D-B49D-5F28241B312E}">
            <x14:dataBar minLength="0" maxLength="100" border="1" gradient="0">
              <x14:cfvo type="num">
                <xm:f>0</xm:f>
              </x14:cfvo>
              <x14:cfvo type="num">
                <xm:f>1</xm:f>
              </x14:cfvo>
              <x14:borderColor theme="0"/>
              <x14:negativeFillColor rgb="FFFF0000"/>
              <x14:axisColor rgb="FF000000"/>
            </x14:dataBar>
          </x14:cfRule>
          <xm:sqref>AE468</xm:sqref>
        </x14:conditionalFormatting>
        <x14:conditionalFormatting xmlns:xm="http://schemas.microsoft.com/office/excel/2006/main">
          <x14:cfRule type="dataBar" id="{FCE92817-A7CC-4BC4-84BE-EB775A0EB3A1}">
            <x14:dataBar minLength="0" maxLength="100" border="1" gradient="0">
              <x14:cfvo type="num">
                <xm:f>0</xm:f>
              </x14:cfvo>
              <x14:cfvo type="num">
                <xm:f>1</xm:f>
              </x14:cfvo>
              <x14:borderColor theme="0"/>
              <x14:negativeFillColor rgb="FFFF0000"/>
              <x14:axisColor rgb="FF000000"/>
            </x14:dataBar>
          </x14:cfRule>
          <xm:sqref>AE470</xm:sqref>
        </x14:conditionalFormatting>
        <x14:conditionalFormatting xmlns:xm="http://schemas.microsoft.com/office/excel/2006/main">
          <x14:cfRule type="dataBar" id="{55D66304-A1C1-4D03-89CB-AF11E0267DFE}">
            <x14:dataBar minLength="0" maxLength="100" border="1" gradient="0">
              <x14:cfvo type="num">
                <xm:f>0</xm:f>
              </x14:cfvo>
              <x14:cfvo type="num">
                <xm:f>1</xm:f>
              </x14:cfvo>
              <x14:borderColor theme="0"/>
              <x14:negativeFillColor rgb="FFFF0000"/>
              <x14:axisColor rgb="FF000000"/>
            </x14:dataBar>
          </x14:cfRule>
          <xm:sqref>AE472</xm:sqref>
        </x14:conditionalFormatting>
        <x14:conditionalFormatting xmlns:xm="http://schemas.microsoft.com/office/excel/2006/main">
          <x14:cfRule type="dataBar" id="{8B6F3E92-3FAE-49F6-8284-05006A409ADA}">
            <x14:dataBar minLength="0" maxLength="100" border="1" gradient="0">
              <x14:cfvo type="num">
                <xm:f>0</xm:f>
              </x14:cfvo>
              <x14:cfvo type="num">
                <xm:f>1</xm:f>
              </x14:cfvo>
              <x14:borderColor theme="0"/>
              <x14:negativeFillColor rgb="FFFF0000"/>
              <x14:axisColor rgb="FF000000"/>
            </x14:dataBar>
          </x14:cfRule>
          <xm:sqref>AE474</xm:sqref>
        </x14:conditionalFormatting>
        <x14:conditionalFormatting xmlns:xm="http://schemas.microsoft.com/office/excel/2006/main">
          <x14:cfRule type="dataBar" id="{5DFB8CF9-B98B-47D2-98C4-26D5F5679188}">
            <x14:dataBar minLength="0" maxLength="100" border="1" gradient="0">
              <x14:cfvo type="num">
                <xm:f>0</xm:f>
              </x14:cfvo>
              <x14:cfvo type="num">
                <xm:f>1</xm:f>
              </x14:cfvo>
              <x14:borderColor theme="0"/>
              <x14:negativeFillColor rgb="FFFF0000"/>
              <x14:axisColor rgb="FF000000"/>
            </x14:dataBar>
          </x14:cfRule>
          <xm:sqref>AE476</xm:sqref>
        </x14:conditionalFormatting>
        <x14:conditionalFormatting xmlns:xm="http://schemas.microsoft.com/office/excel/2006/main">
          <x14:cfRule type="dataBar" id="{8655F8E2-A87B-4876-B8E9-BB6BA9F70AD4}">
            <x14:dataBar minLength="0" maxLength="100" border="1" gradient="0">
              <x14:cfvo type="num">
                <xm:f>0</xm:f>
              </x14:cfvo>
              <x14:cfvo type="num">
                <xm:f>1</xm:f>
              </x14:cfvo>
              <x14:borderColor theme="0"/>
              <x14:negativeFillColor rgb="FFFF0000"/>
              <x14:axisColor rgb="FF000000"/>
            </x14:dataBar>
          </x14:cfRule>
          <xm:sqref>AE478</xm:sqref>
        </x14:conditionalFormatting>
        <x14:conditionalFormatting xmlns:xm="http://schemas.microsoft.com/office/excel/2006/main">
          <x14:cfRule type="dataBar" id="{BCF8DA57-AB53-4282-9BB0-D96FBCE30326}">
            <x14:dataBar minLength="0" maxLength="100" border="1" gradient="0">
              <x14:cfvo type="num">
                <xm:f>0</xm:f>
              </x14:cfvo>
              <x14:cfvo type="num">
                <xm:f>1</xm:f>
              </x14:cfvo>
              <x14:borderColor theme="0"/>
              <x14:negativeFillColor rgb="FFFF0000"/>
              <x14:axisColor rgb="FF000000"/>
            </x14:dataBar>
          </x14:cfRule>
          <xm:sqref>AE480</xm:sqref>
        </x14:conditionalFormatting>
        <x14:conditionalFormatting xmlns:xm="http://schemas.microsoft.com/office/excel/2006/main">
          <x14:cfRule type="dataBar" id="{D8466C44-1838-439F-A638-5D4DF2B9D0EF}">
            <x14:dataBar minLength="0" maxLength="100" border="1" gradient="0">
              <x14:cfvo type="num">
                <xm:f>0</xm:f>
              </x14:cfvo>
              <x14:cfvo type="num">
                <xm:f>1</xm:f>
              </x14:cfvo>
              <x14:borderColor theme="0"/>
              <x14:negativeFillColor rgb="FFFF0000"/>
              <x14:axisColor rgb="FF000000"/>
            </x14:dataBar>
          </x14:cfRule>
          <xm:sqref>AE482</xm:sqref>
        </x14:conditionalFormatting>
        <x14:conditionalFormatting xmlns:xm="http://schemas.microsoft.com/office/excel/2006/main">
          <x14:cfRule type="dataBar" id="{1C207683-8F06-4885-9953-AF353FFF3146}">
            <x14:dataBar minLength="0" maxLength="100" border="1" gradient="0">
              <x14:cfvo type="num">
                <xm:f>0</xm:f>
              </x14:cfvo>
              <x14:cfvo type="num">
                <xm:f>1</xm:f>
              </x14:cfvo>
              <x14:borderColor theme="0"/>
              <x14:negativeFillColor rgb="FFFF0000"/>
              <x14:axisColor rgb="FF000000"/>
            </x14:dataBar>
          </x14:cfRule>
          <xm:sqref>AE484</xm:sqref>
        </x14:conditionalFormatting>
        <x14:conditionalFormatting xmlns:xm="http://schemas.microsoft.com/office/excel/2006/main">
          <x14:cfRule type="dataBar" id="{B885512E-0D50-48E8-AC43-6E488E99AE78}">
            <x14:dataBar minLength="0" maxLength="100" border="1" gradient="0">
              <x14:cfvo type="num">
                <xm:f>0</xm:f>
              </x14:cfvo>
              <x14:cfvo type="num">
                <xm:f>1</xm:f>
              </x14:cfvo>
              <x14:borderColor theme="0"/>
              <x14:negativeFillColor rgb="FFFF0000"/>
              <x14:axisColor rgb="FF000000"/>
            </x14:dataBar>
          </x14:cfRule>
          <xm:sqref>AE486</xm:sqref>
        </x14:conditionalFormatting>
        <x14:conditionalFormatting xmlns:xm="http://schemas.microsoft.com/office/excel/2006/main">
          <x14:cfRule type="dataBar" id="{61178C20-419D-4D90-80B7-B169D04852E6}">
            <x14:dataBar minLength="0" maxLength="100" border="1" gradient="0">
              <x14:cfvo type="num">
                <xm:f>0</xm:f>
              </x14:cfvo>
              <x14:cfvo type="num">
                <xm:f>1</xm:f>
              </x14:cfvo>
              <x14:borderColor theme="0"/>
              <x14:negativeFillColor rgb="FFFF0000"/>
              <x14:axisColor rgb="FF000000"/>
            </x14:dataBar>
          </x14:cfRule>
          <xm:sqref>AE488</xm:sqref>
        </x14:conditionalFormatting>
        <x14:conditionalFormatting xmlns:xm="http://schemas.microsoft.com/office/excel/2006/main">
          <x14:cfRule type="dataBar" id="{1A6E2699-6B1E-4BC5-BFCB-A168F2F6D6D5}">
            <x14:dataBar minLength="0" maxLength="100" border="1" gradient="0">
              <x14:cfvo type="num">
                <xm:f>0</xm:f>
              </x14:cfvo>
              <x14:cfvo type="num">
                <xm:f>1</xm:f>
              </x14:cfvo>
              <x14:borderColor theme="0"/>
              <x14:negativeFillColor rgb="FFFF0000"/>
              <x14:axisColor rgb="FF000000"/>
            </x14:dataBar>
          </x14:cfRule>
          <xm:sqref>AE490</xm:sqref>
        </x14:conditionalFormatting>
        <x14:conditionalFormatting xmlns:xm="http://schemas.microsoft.com/office/excel/2006/main">
          <x14:cfRule type="dataBar" id="{F48CAC3C-5FD2-4C78-BC04-99240A209189}">
            <x14:dataBar minLength="0" maxLength="100" border="1" gradient="0">
              <x14:cfvo type="num">
                <xm:f>0</xm:f>
              </x14:cfvo>
              <x14:cfvo type="num">
                <xm:f>1</xm:f>
              </x14:cfvo>
              <x14:borderColor theme="0"/>
              <x14:negativeFillColor rgb="FFFF0000"/>
              <x14:axisColor rgb="FF000000"/>
            </x14:dataBar>
          </x14:cfRule>
          <xm:sqref>AE492</xm:sqref>
        </x14:conditionalFormatting>
        <x14:conditionalFormatting xmlns:xm="http://schemas.microsoft.com/office/excel/2006/main">
          <x14:cfRule type="dataBar" id="{A655A5FA-8A4A-4043-9C83-ADBDBF6B59BD}">
            <x14:dataBar minLength="0" maxLength="100" border="1" gradient="0">
              <x14:cfvo type="num">
                <xm:f>0</xm:f>
              </x14:cfvo>
              <x14:cfvo type="num">
                <xm:f>1</xm:f>
              </x14:cfvo>
              <x14:borderColor theme="0"/>
              <x14:negativeFillColor rgb="FFFF0000"/>
              <x14:axisColor rgb="FF000000"/>
            </x14:dataBar>
          </x14:cfRule>
          <xm:sqref>AE494</xm:sqref>
        </x14:conditionalFormatting>
        <x14:conditionalFormatting xmlns:xm="http://schemas.microsoft.com/office/excel/2006/main">
          <x14:cfRule type="dataBar" id="{625BD5D6-CB8F-4033-A2EE-B55D88F0D1BB}">
            <x14:dataBar minLength="0" maxLength="100" border="1" gradient="0">
              <x14:cfvo type="num">
                <xm:f>0</xm:f>
              </x14:cfvo>
              <x14:cfvo type="num">
                <xm:f>1</xm:f>
              </x14:cfvo>
              <x14:borderColor theme="0"/>
              <x14:negativeFillColor rgb="FFFF0000"/>
              <x14:axisColor rgb="FF000000"/>
            </x14:dataBar>
          </x14:cfRule>
          <xm:sqref>AE496</xm:sqref>
        </x14:conditionalFormatting>
        <x14:conditionalFormatting xmlns:xm="http://schemas.microsoft.com/office/excel/2006/main">
          <x14:cfRule type="dataBar" id="{20D64870-38CC-4875-A3D7-FB6600C1751C}">
            <x14:dataBar minLength="0" maxLength="100" border="1" gradient="0">
              <x14:cfvo type="num">
                <xm:f>0</xm:f>
              </x14:cfvo>
              <x14:cfvo type="num">
                <xm:f>1</xm:f>
              </x14:cfvo>
              <x14:borderColor theme="0"/>
              <x14:negativeFillColor rgb="FFFF0000"/>
              <x14:axisColor rgb="FF000000"/>
            </x14:dataBar>
          </x14:cfRule>
          <xm:sqref>AE498</xm:sqref>
        </x14:conditionalFormatting>
        <x14:conditionalFormatting xmlns:xm="http://schemas.microsoft.com/office/excel/2006/main">
          <x14:cfRule type="dataBar" id="{BE2F74F1-22AF-4941-A85C-20EB53731A7F}">
            <x14:dataBar minLength="0" maxLength="100" border="1" gradient="0">
              <x14:cfvo type="num">
                <xm:f>0</xm:f>
              </x14:cfvo>
              <x14:cfvo type="num">
                <xm:f>1</xm:f>
              </x14:cfvo>
              <x14:borderColor theme="0"/>
              <x14:negativeFillColor rgb="FFFF0000"/>
              <x14:axisColor rgb="FF000000"/>
            </x14:dataBar>
          </x14:cfRule>
          <xm:sqref>AE500</xm:sqref>
        </x14:conditionalFormatting>
        <x14:conditionalFormatting xmlns:xm="http://schemas.microsoft.com/office/excel/2006/main">
          <x14:cfRule type="dataBar" id="{9D7B563A-9C59-44F4-AE86-330BCA20D008}">
            <x14:dataBar minLength="0" maxLength="100" border="1" gradient="0">
              <x14:cfvo type="num">
                <xm:f>0</xm:f>
              </x14:cfvo>
              <x14:cfvo type="num">
                <xm:f>1</xm:f>
              </x14:cfvo>
              <x14:borderColor theme="0"/>
              <x14:negativeFillColor rgb="FFFF0000"/>
              <x14:axisColor rgb="FF000000"/>
            </x14:dataBar>
          </x14:cfRule>
          <xm:sqref>AE502</xm:sqref>
        </x14:conditionalFormatting>
        <x14:conditionalFormatting xmlns:xm="http://schemas.microsoft.com/office/excel/2006/main">
          <x14:cfRule type="dataBar" id="{4FB67B06-E9F4-423B-AEE7-8D9D633505F4}">
            <x14:dataBar minLength="0" maxLength="100" border="1" gradient="0">
              <x14:cfvo type="num">
                <xm:f>0</xm:f>
              </x14:cfvo>
              <x14:cfvo type="num">
                <xm:f>1</xm:f>
              </x14:cfvo>
              <x14:borderColor theme="0"/>
              <x14:negativeFillColor rgb="FFFF0000"/>
              <x14:axisColor rgb="FF000000"/>
            </x14:dataBar>
          </x14:cfRule>
          <xm:sqref>AE504</xm:sqref>
        </x14:conditionalFormatting>
        <x14:conditionalFormatting xmlns:xm="http://schemas.microsoft.com/office/excel/2006/main">
          <x14:cfRule type="dataBar" id="{B19FBC49-A523-4164-B476-2C5AAE9CCE34}">
            <x14:dataBar minLength="0" maxLength="100" border="1" gradient="0">
              <x14:cfvo type="num">
                <xm:f>0</xm:f>
              </x14:cfvo>
              <x14:cfvo type="num">
                <xm:f>1</xm:f>
              </x14:cfvo>
              <x14:borderColor theme="0"/>
              <x14:negativeFillColor rgb="FFFF0000"/>
              <x14:axisColor rgb="FF000000"/>
            </x14:dataBar>
          </x14:cfRule>
          <xm:sqref>AE506</xm:sqref>
        </x14:conditionalFormatting>
        <x14:conditionalFormatting xmlns:xm="http://schemas.microsoft.com/office/excel/2006/main">
          <x14:cfRule type="dataBar" id="{3C8A88FD-01A7-4F7C-9EB4-D2C72843A164}">
            <x14:dataBar minLength="0" maxLength="100" border="1" gradient="0">
              <x14:cfvo type="num">
                <xm:f>0</xm:f>
              </x14:cfvo>
              <x14:cfvo type="num">
                <xm:f>1</xm:f>
              </x14:cfvo>
              <x14:borderColor theme="0"/>
              <x14:negativeFillColor rgb="FFFF0000"/>
              <x14:axisColor rgb="FF000000"/>
            </x14:dataBar>
          </x14:cfRule>
          <xm:sqref>AE508</xm:sqref>
        </x14:conditionalFormatting>
        <x14:conditionalFormatting xmlns:xm="http://schemas.microsoft.com/office/excel/2006/main">
          <x14:cfRule type="dataBar" id="{3176FCC2-A8DB-42C7-AD97-CD1E3AD406D9}">
            <x14:dataBar minLength="0" maxLength="100" border="1" gradient="0">
              <x14:cfvo type="num">
                <xm:f>0</xm:f>
              </x14:cfvo>
              <x14:cfvo type="num">
                <xm:f>1</xm:f>
              </x14:cfvo>
              <x14:borderColor theme="0"/>
              <x14:negativeFillColor rgb="FFFF0000"/>
              <x14:axisColor rgb="FF000000"/>
            </x14:dataBar>
          </x14:cfRule>
          <xm:sqref>AE510</xm:sqref>
        </x14:conditionalFormatting>
        <x14:conditionalFormatting xmlns:xm="http://schemas.microsoft.com/office/excel/2006/main">
          <x14:cfRule type="dataBar" id="{B030DB55-D67A-4FD0-9AE4-5A83B51CF75B}">
            <x14:dataBar minLength="0" maxLength="100" border="1" gradient="0">
              <x14:cfvo type="num">
                <xm:f>0</xm:f>
              </x14:cfvo>
              <x14:cfvo type="num">
                <xm:f>1</xm:f>
              </x14:cfvo>
              <x14:borderColor theme="0"/>
              <x14:negativeFillColor rgb="FFFF0000"/>
              <x14:axisColor rgb="FF000000"/>
            </x14:dataBar>
          </x14:cfRule>
          <xm:sqref>AE512</xm:sqref>
        </x14:conditionalFormatting>
        <x14:conditionalFormatting xmlns:xm="http://schemas.microsoft.com/office/excel/2006/main">
          <x14:cfRule type="dataBar" id="{02642E96-0261-4F19-9A92-1561E2DE3986}">
            <x14:dataBar minLength="0" maxLength="100" border="1" gradient="0">
              <x14:cfvo type="num">
                <xm:f>0</xm:f>
              </x14:cfvo>
              <x14:cfvo type="num">
                <xm:f>1</xm:f>
              </x14:cfvo>
              <x14:borderColor theme="0"/>
              <x14:negativeFillColor rgb="FFFF0000"/>
              <x14:axisColor rgb="FF000000"/>
            </x14:dataBar>
          </x14:cfRule>
          <xm:sqref>AE514</xm:sqref>
        </x14:conditionalFormatting>
        <x14:conditionalFormatting xmlns:xm="http://schemas.microsoft.com/office/excel/2006/main">
          <x14:cfRule type="dataBar" id="{5F20C780-6559-4DDF-9CCE-56016605EF52}">
            <x14:dataBar minLength="0" maxLength="100" border="1" gradient="0">
              <x14:cfvo type="num">
                <xm:f>0</xm:f>
              </x14:cfvo>
              <x14:cfvo type="num">
                <xm:f>1</xm:f>
              </x14:cfvo>
              <x14:borderColor theme="0"/>
              <x14:negativeFillColor rgb="FFFF0000"/>
              <x14:axisColor rgb="FF000000"/>
            </x14:dataBar>
          </x14:cfRule>
          <xm:sqref>AE516</xm:sqref>
        </x14:conditionalFormatting>
        <x14:conditionalFormatting xmlns:xm="http://schemas.microsoft.com/office/excel/2006/main">
          <x14:cfRule type="dataBar" id="{92158C21-694C-4404-AC76-69252F824AC8}">
            <x14:dataBar minLength="0" maxLength="100" border="1" gradient="0">
              <x14:cfvo type="num">
                <xm:f>0</xm:f>
              </x14:cfvo>
              <x14:cfvo type="num">
                <xm:f>1</xm:f>
              </x14:cfvo>
              <x14:borderColor theme="0"/>
              <x14:negativeFillColor rgb="FFFF0000"/>
              <x14:axisColor rgb="FF000000"/>
            </x14:dataBar>
          </x14:cfRule>
          <xm:sqref>AE518</xm:sqref>
        </x14:conditionalFormatting>
        <x14:conditionalFormatting xmlns:xm="http://schemas.microsoft.com/office/excel/2006/main">
          <x14:cfRule type="dataBar" id="{711AC146-985B-4E88-A257-9C8A6DAE3E8D}">
            <x14:dataBar minLength="0" maxLength="100" border="1" gradient="0">
              <x14:cfvo type="num">
                <xm:f>0</xm:f>
              </x14:cfvo>
              <x14:cfvo type="num">
                <xm:f>1</xm:f>
              </x14:cfvo>
              <x14:borderColor theme="0"/>
              <x14:negativeFillColor rgb="FFFF0000"/>
              <x14:axisColor rgb="FF000000"/>
            </x14:dataBar>
          </x14:cfRule>
          <xm:sqref>AE520</xm:sqref>
        </x14:conditionalFormatting>
        <x14:conditionalFormatting xmlns:xm="http://schemas.microsoft.com/office/excel/2006/main">
          <x14:cfRule type="dataBar" id="{68DC36CC-A83D-4584-898F-BFDAE1E85DFA}">
            <x14:dataBar minLength="0" maxLength="100" border="1" gradient="0">
              <x14:cfvo type="num">
                <xm:f>0</xm:f>
              </x14:cfvo>
              <x14:cfvo type="num">
                <xm:f>1</xm:f>
              </x14:cfvo>
              <x14:borderColor theme="0"/>
              <x14:negativeFillColor rgb="FFFF0000"/>
              <x14:axisColor rgb="FF000000"/>
            </x14:dataBar>
          </x14:cfRule>
          <xm:sqref>AE522</xm:sqref>
        </x14:conditionalFormatting>
        <x14:conditionalFormatting xmlns:xm="http://schemas.microsoft.com/office/excel/2006/main">
          <x14:cfRule type="dataBar" id="{02574A93-34BC-42B0-8031-EAF7545EBECD}">
            <x14:dataBar minLength="0" maxLength="100" border="1" gradient="0">
              <x14:cfvo type="num">
                <xm:f>0</xm:f>
              </x14:cfvo>
              <x14:cfvo type="num">
                <xm:f>1</xm:f>
              </x14:cfvo>
              <x14:borderColor theme="0"/>
              <x14:negativeFillColor rgb="FFFF0000"/>
              <x14:axisColor rgb="FF000000"/>
            </x14:dataBar>
          </x14:cfRule>
          <xm:sqref>AE524</xm:sqref>
        </x14:conditionalFormatting>
        <x14:conditionalFormatting xmlns:xm="http://schemas.microsoft.com/office/excel/2006/main">
          <x14:cfRule type="dataBar" id="{5D94CA4C-D15C-4ED6-88DE-DC8B48609FAC}">
            <x14:dataBar minLength="0" maxLength="100" border="1" gradient="0">
              <x14:cfvo type="num">
                <xm:f>0</xm:f>
              </x14:cfvo>
              <x14:cfvo type="num">
                <xm:f>1</xm:f>
              </x14:cfvo>
              <x14:borderColor theme="0"/>
              <x14:negativeFillColor rgb="FFFF0000"/>
              <x14:axisColor rgb="FF000000"/>
            </x14:dataBar>
          </x14:cfRule>
          <xm:sqref>AE526</xm:sqref>
        </x14:conditionalFormatting>
        <x14:conditionalFormatting xmlns:xm="http://schemas.microsoft.com/office/excel/2006/main">
          <x14:cfRule type="dataBar" id="{64271B98-7B34-43E8-8692-D3EEE4F43695}">
            <x14:dataBar minLength="0" maxLength="100" border="1" gradient="0">
              <x14:cfvo type="num">
                <xm:f>0</xm:f>
              </x14:cfvo>
              <x14:cfvo type="num">
                <xm:f>1</xm:f>
              </x14:cfvo>
              <x14:borderColor theme="0"/>
              <x14:negativeFillColor rgb="FFFF0000"/>
              <x14:axisColor rgb="FF000000"/>
            </x14:dataBar>
          </x14:cfRule>
          <xm:sqref>AE528</xm:sqref>
        </x14:conditionalFormatting>
        <x14:conditionalFormatting xmlns:xm="http://schemas.microsoft.com/office/excel/2006/main">
          <x14:cfRule type="dataBar" id="{E79E0DC0-22B3-4D7E-ACBA-39B3FA5B1B5C}">
            <x14:dataBar minLength="0" maxLength="100" border="1" gradient="0">
              <x14:cfvo type="num">
                <xm:f>0</xm:f>
              </x14:cfvo>
              <x14:cfvo type="num">
                <xm:f>1</xm:f>
              </x14:cfvo>
              <x14:borderColor theme="0"/>
              <x14:negativeFillColor rgb="FFFF0000"/>
              <x14:axisColor rgb="FF000000"/>
            </x14:dataBar>
          </x14:cfRule>
          <xm:sqref>AE530</xm:sqref>
        </x14:conditionalFormatting>
        <x14:conditionalFormatting xmlns:xm="http://schemas.microsoft.com/office/excel/2006/main">
          <x14:cfRule type="dataBar" id="{8D2FC5F9-74C1-466C-872E-04F4F7FFA6E8}">
            <x14:dataBar minLength="0" maxLength="100" border="1" gradient="0">
              <x14:cfvo type="num">
                <xm:f>0</xm:f>
              </x14:cfvo>
              <x14:cfvo type="num">
                <xm:f>1</xm:f>
              </x14:cfvo>
              <x14:borderColor theme="0"/>
              <x14:negativeFillColor rgb="FFFF0000"/>
              <x14:axisColor rgb="FF000000"/>
            </x14:dataBar>
          </x14:cfRule>
          <xm:sqref>AE532</xm:sqref>
        </x14:conditionalFormatting>
        <x14:conditionalFormatting xmlns:xm="http://schemas.microsoft.com/office/excel/2006/main">
          <x14:cfRule type="dataBar" id="{A78E2D53-5881-4E6A-BB72-AE1E8C4408A3}">
            <x14:dataBar minLength="0" maxLength="100" border="1" gradient="0">
              <x14:cfvo type="num">
                <xm:f>0</xm:f>
              </x14:cfvo>
              <x14:cfvo type="num">
                <xm:f>1</xm:f>
              </x14:cfvo>
              <x14:borderColor theme="0"/>
              <x14:negativeFillColor rgb="FFFF0000"/>
              <x14:axisColor rgb="FF000000"/>
            </x14:dataBar>
          </x14:cfRule>
          <xm:sqref>AE534</xm:sqref>
        </x14:conditionalFormatting>
        <x14:conditionalFormatting xmlns:xm="http://schemas.microsoft.com/office/excel/2006/main">
          <x14:cfRule type="dataBar" id="{A76361C9-FC31-4C03-8E84-99B28276814D}">
            <x14:dataBar minLength="0" maxLength="100" border="1" gradient="0">
              <x14:cfvo type="num">
                <xm:f>0</xm:f>
              </x14:cfvo>
              <x14:cfvo type="num">
                <xm:f>1</xm:f>
              </x14:cfvo>
              <x14:borderColor theme="0"/>
              <x14:negativeFillColor rgb="FFFF0000"/>
              <x14:axisColor rgb="FF000000"/>
            </x14:dataBar>
          </x14:cfRule>
          <xm:sqref>AE536</xm:sqref>
        </x14:conditionalFormatting>
        <x14:conditionalFormatting xmlns:xm="http://schemas.microsoft.com/office/excel/2006/main">
          <x14:cfRule type="dataBar" id="{EADD5B14-93C3-4DF7-87A9-B989AC4FFF84}">
            <x14:dataBar minLength="0" maxLength="100" border="1" gradient="0">
              <x14:cfvo type="num">
                <xm:f>0</xm:f>
              </x14:cfvo>
              <x14:cfvo type="num">
                <xm:f>1</xm:f>
              </x14:cfvo>
              <x14:borderColor theme="0"/>
              <x14:negativeFillColor rgb="FFFF0000"/>
              <x14:axisColor rgb="FF000000"/>
            </x14:dataBar>
          </x14:cfRule>
          <xm:sqref>AE538</xm:sqref>
        </x14:conditionalFormatting>
        <x14:conditionalFormatting xmlns:xm="http://schemas.microsoft.com/office/excel/2006/main">
          <x14:cfRule type="dataBar" id="{230EA0F7-5974-4F0F-ABAA-D5CC34C1FB5B}">
            <x14:dataBar minLength="0" maxLength="100" border="1" gradient="0">
              <x14:cfvo type="num">
                <xm:f>0</xm:f>
              </x14:cfvo>
              <x14:cfvo type="num">
                <xm:f>1</xm:f>
              </x14:cfvo>
              <x14:borderColor theme="0"/>
              <x14:negativeFillColor rgb="FFFF0000"/>
              <x14:axisColor rgb="FF000000"/>
            </x14:dataBar>
          </x14:cfRule>
          <xm:sqref>AE540</xm:sqref>
        </x14:conditionalFormatting>
        <x14:conditionalFormatting xmlns:xm="http://schemas.microsoft.com/office/excel/2006/main">
          <x14:cfRule type="dataBar" id="{4B7A0645-BB31-4713-8B95-06A8B8947C38}">
            <x14:dataBar minLength="0" maxLength="100" border="1" gradient="0">
              <x14:cfvo type="num">
                <xm:f>0</xm:f>
              </x14:cfvo>
              <x14:cfvo type="num">
                <xm:f>1</xm:f>
              </x14:cfvo>
              <x14:borderColor theme="0"/>
              <x14:negativeFillColor rgb="FFFF0000"/>
              <x14:axisColor rgb="FF000000"/>
            </x14:dataBar>
          </x14:cfRule>
          <xm:sqref>AE542</xm:sqref>
        </x14:conditionalFormatting>
        <x14:conditionalFormatting xmlns:xm="http://schemas.microsoft.com/office/excel/2006/main">
          <x14:cfRule type="dataBar" id="{3E2AAE09-4433-4283-A855-8059A53F802E}">
            <x14:dataBar minLength="0" maxLength="100" border="1" gradient="0">
              <x14:cfvo type="num">
                <xm:f>0</xm:f>
              </x14:cfvo>
              <x14:cfvo type="num">
                <xm:f>1</xm:f>
              </x14:cfvo>
              <x14:borderColor theme="0"/>
              <x14:negativeFillColor rgb="FFFF0000"/>
              <x14:axisColor rgb="FF000000"/>
            </x14:dataBar>
          </x14:cfRule>
          <xm:sqref>AE544</xm:sqref>
        </x14:conditionalFormatting>
        <x14:conditionalFormatting xmlns:xm="http://schemas.microsoft.com/office/excel/2006/main">
          <x14:cfRule type="dataBar" id="{8D0E77F4-82F4-4F26-98A4-2A8B7F5F2992}">
            <x14:dataBar minLength="0" maxLength="100" border="1" gradient="0">
              <x14:cfvo type="num">
                <xm:f>0</xm:f>
              </x14:cfvo>
              <x14:cfvo type="num">
                <xm:f>1</xm:f>
              </x14:cfvo>
              <x14:borderColor theme="0"/>
              <x14:negativeFillColor rgb="FFFF0000"/>
              <x14:axisColor rgb="FF000000"/>
            </x14:dataBar>
          </x14:cfRule>
          <xm:sqref>AE546</xm:sqref>
        </x14:conditionalFormatting>
        <x14:conditionalFormatting xmlns:xm="http://schemas.microsoft.com/office/excel/2006/main">
          <x14:cfRule type="dataBar" id="{2C3376E2-15F0-4646-9C0C-841D72E203DC}">
            <x14:dataBar minLength="0" maxLength="100" border="1" gradient="0">
              <x14:cfvo type="num">
                <xm:f>0</xm:f>
              </x14:cfvo>
              <x14:cfvo type="num">
                <xm:f>1</xm:f>
              </x14:cfvo>
              <x14:borderColor theme="0"/>
              <x14:negativeFillColor rgb="FFFF0000"/>
              <x14:axisColor rgb="FF000000"/>
            </x14:dataBar>
          </x14:cfRule>
          <xm:sqref>AE548</xm:sqref>
        </x14:conditionalFormatting>
        <x14:conditionalFormatting xmlns:xm="http://schemas.microsoft.com/office/excel/2006/main">
          <x14:cfRule type="dataBar" id="{FD913F7B-B78D-4290-B421-3ECD891657B1}">
            <x14:dataBar minLength="0" maxLength="100" border="1" gradient="0">
              <x14:cfvo type="num">
                <xm:f>0</xm:f>
              </x14:cfvo>
              <x14:cfvo type="num">
                <xm:f>1</xm:f>
              </x14:cfvo>
              <x14:borderColor theme="0"/>
              <x14:negativeFillColor rgb="FFFF0000"/>
              <x14:axisColor rgb="FF000000"/>
            </x14:dataBar>
          </x14:cfRule>
          <xm:sqref>AE550</xm:sqref>
        </x14:conditionalFormatting>
        <x14:conditionalFormatting xmlns:xm="http://schemas.microsoft.com/office/excel/2006/main">
          <x14:cfRule type="dataBar" id="{5C9A4916-4C56-48F7-9721-8F5C921D9083}">
            <x14:dataBar minLength="0" maxLength="100" border="1" gradient="0">
              <x14:cfvo type="num">
                <xm:f>0</xm:f>
              </x14:cfvo>
              <x14:cfvo type="num">
                <xm:f>1</xm:f>
              </x14:cfvo>
              <x14:borderColor theme="0"/>
              <x14:negativeFillColor rgb="FFFF0000"/>
              <x14:axisColor rgb="FF000000"/>
            </x14:dataBar>
          </x14:cfRule>
          <xm:sqref>AE552</xm:sqref>
        </x14:conditionalFormatting>
        <x14:conditionalFormatting xmlns:xm="http://schemas.microsoft.com/office/excel/2006/main">
          <x14:cfRule type="dataBar" id="{A868EB87-14D4-4D79-83ED-8DC005F75C12}">
            <x14:dataBar minLength="0" maxLength="100" border="1" gradient="0">
              <x14:cfvo type="num">
                <xm:f>0</xm:f>
              </x14:cfvo>
              <x14:cfvo type="num">
                <xm:f>1</xm:f>
              </x14:cfvo>
              <x14:borderColor theme="0"/>
              <x14:negativeFillColor rgb="FFFF0000"/>
              <x14:axisColor rgb="FF000000"/>
            </x14:dataBar>
          </x14:cfRule>
          <xm:sqref>AE554</xm:sqref>
        </x14:conditionalFormatting>
        <x14:conditionalFormatting xmlns:xm="http://schemas.microsoft.com/office/excel/2006/main">
          <x14:cfRule type="dataBar" id="{134393F3-DE01-4F6F-B2F1-FE0F0A3E0B1A}">
            <x14:dataBar minLength="0" maxLength="100" border="1" gradient="0">
              <x14:cfvo type="num">
                <xm:f>0</xm:f>
              </x14:cfvo>
              <x14:cfvo type="num">
                <xm:f>1</xm:f>
              </x14:cfvo>
              <x14:borderColor theme="0"/>
              <x14:negativeFillColor rgb="FFFF0000"/>
              <x14:axisColor rgb="FF000000"/>
            </x14:dataBar>
          </x14:cfRule>
          <xm:sqref>AE556</xm:sqref>
        </x14:conditionalFormatting>
        <x14:conditionalFormatting xmlns:xm="http://schemas.microsoft.com/office/excel/2006/main">
          <x14:cfRule type="dataBar" id="{AD912A07-68D1-4E87-9A13-2A1C70D76C85}">
            <x14:dataBar minLength="0" maxLength="100" border="1" gradient="0">
              <x14:cfvo type="num">
                <xm:f>0</xm:f>
              </x14:cfvo>
              <x14:cfvo type="num">
                <xm:f>1</xm:f>
              </x14:cfvo>
              <x14:borderColor theme="0"/>
              <x14:negativeFillColor rgb="FFFF0000"/>
              <x14:axisColor rgb="FF000000"/>
            </x14:dataBar>
          </x14:cfRule>
          <xm:sqref>AE558</xm:sqref>
        </x14:conditionalFormatting>
        <x14:conditionalFormatting xmlns:xm="http://schemas.microsoft.com/office/excel/2006/main">
          <x14:cfRule type="dataBar" id="{6FCFDF18-F00D-4F22-9391-4E7E5AFEC3CE}">
            <x14:dataBar minLength="0" maxLength="100" border="1" gradient="0">
              <x14:cfvo type="num">
                <xm:f>0</xm:f>
              </x14:cfvo>
              <x14:cfvo type="num">
                <xm:f>1</xm:f>
              </x14:cfvo>
              <x14:borderColor theme="0"/>
              <x14:negativeFillColor rgb="FFFF0000"/>
              <x14:axisColor rgb="FF000000"/>
            </x14:dataBar>
          </x14:cfRule>
          <xm:sqref>AE560</xm:sqref>
        </x14:conditionalFormatting>
        <x14:conditionalFormatting xmlns:xm="http://schemas.microsoft.com/office/excel/2006/main">
          <x14:cfRule type="dataBar" id="{923A674A-1476-4337-88FA-A06C6291E4B5}">
            <x14:dataBar minLength="0" maxLength="100" border="1" gradient="0">
              <x14:cfvo type="num">
                <xm:f>0</xm:f>
              </x14:cfvo>
              <x14:cfvo type="num">
                <xm:f>1</xm:f>
              </x14:cfvo>
              <x14:borderColor theme="0"/>
              <x14:negativeFillColor rgb="FFFF0000"/>
              <x14:axisColor rgb="FF000000"/>
            </x14:dataBar>
          </x14:cfRule>
          <xm:sqref>AE562</xm:sqref>
        </x14:conditionalFormatting>
        <x14:conditionalFormatting xmlns:xm="http://schemas.microsoft.com/office/excel/2006/main">
          <x14:cfRule type="dataBar" id="{7A9D412F-E8E5-460B-A320-826E5470F7CF}">
            <x14:dataBar minLength="0" maxLength="100" border="1" gradient="0">
              <x14:cfvo type="num">
                <xm:f>0</xm:f>
              </x14:cfvo>
              <x14:cfvo type="num">
                <xm:f>1</xm:f>
              </x14:cfvo>
              <x14:borderColor theme="0"/>
              <x14:negativeFillColor rgb="FFFF0000"/>
              <x14:axisColor rgb="FF000000"/>
            </x14:dataBar>
          </x14:cfRule>
          <xm:sqref>AE564</xm:sqref>
        </x14:conditionalFormatting>
        <x14:conditionalFormatting xmlns:xm="http://schemas.microsoft.com/office/excel/2006/main">
          <x14:cfRule type="dataBar" id="{BDE52948-B933-4F8E-A76A-20596BC96275}">
            <x14:dataBar minLength="0" maxLength="100" border="1" gradient="0">
              <x14:cfvo type="num">
                <xm:f>0</xm:f>
              </x14:cfvo>
              <x14:cfvo type="num">
                <xm:f>1</xm:f>
              </x14:cfvo>
              <x14:borderColor theme="0"/>
              <x14:negativeFillColor rgb="FFFF0000"/>
              <x14:axisColor rgb="FF000000"/>
            </x14:dataBar>
          </x14:cfRule>
          <xm:sqref>AE566</xm:sqref>
        </x14:conditionalFormatting>
        <x14:conditionalFormatting xmlns:xm="http://schemas.microsoft.com/office/excel/2006/main">
          <x14:cfRule type="dataBar" id="{FBA1854C-D114-4951-A0D5-54712BB66376}">
            <x14:dataBar minLength="0" maxLength="100" border="1" gradient="0">
              <x14:cfvo type="num">
                <xm:f>0</xm:f>
              </x14:cfvo>
              <x14:cfvo type="num">
                <xm:f>1</xm:f>
              </x14:cfvo>
              <x14:borderColor theme="0"/>
              <x14:negativeFillColor rgb="FFFF0000"/>
              <x14:axisColor rgb="FF000000"/>
            </x14:dataBar>
          </x14:cfRule>
          <xm:sqref>AE568</xm:sqref>
        </x14:conditionalFormatting>
        <x14:conditionalFormatting xmlns:xm="http://schemas.microsoft.com/office/excel/2006/main">
          <x14:cfRule type="dataBar" id="{479FB027-8C88-4ECF-BBC7-84F8894C582A}">
            <x14:dataBar minLength="0" maxLength="100" border="1" gradient="0">
              <x14:cfvo type="num">
                <xm:f>0</xm:f>
              </x14:cfvo>
              <x14:cfvo type="num">
                <xm:f>1</xm:f>
              </x14:cfvo>
              <x14:borderColor theme="0"/>
              <x14:negativeFillColor rgb="FFFF0000"/>
              <x14:axisColor rgb="FF000000"/>
            </x14:dataBar>
          </x14:cfRule>
          <xm:sqref>AE570</xm:sqref>
        </x14:conditionalFormatting>
        <x14:conditionalFormatting xmlns:xm="http://schemas.microsoft.com/office/excel/2006/main">
          <x14:cfRule type="dataBar" id="{BE3A0535-DC7F-4585-8197-78A4F2B27BBF}">
            <x14:dataBar minLength="0" maxLength="100" border="1" gradient="0">
              <x14:cfvo type="num">
                <xm:f>0</xm:f>
              </x14:cfvo>
              <x14:cfvo type="num">
                <xm:f>1</xm:f>
              </x14:cfvo>
              <x14:borderColor theme="0"/>
              <x14:negativeFillColor rgb="FFFF0000"/>
              <x14:axisColor rgb="FF000000"/>
            </x14:dataBar>
          </x14:cfRule>
          <xm:sqref>AE572</xm:sqref>
        </x14:conditionalFormatting>
        <x14:conditionalFormatting xmlns:xm="http://schemas.microsoft.com/office/excel/2006/main">
          <x14:cfRule type="dataBar" id="{61943383-3F12-4BAF-8F44-8ED8F2DCAB5D}">
            <x14:dataBar minLength="0" maxLength="100" border="1" gradient="0">
              <x14:cfvo type="num">
                <xm:f>0</xm:f>
              </x14:cfvo>
              <x14:cfvo type="num">
                <xm:f>1</xm:f>
              </x14:cfvo>
              <x14:borderColor theme="0"/>
              <x14:negativeFillColor rgb="FFFF0000"/>
              <x14:axisColor rgb="FF000000"/>
            </x14:dataBar>
          </x14:cfRule>
          <xm:sqref>AE574</xm:sqref>
        </x14:conditionalFormatting>
        <x14:conditionalFormatting xmlns:xm="http://schemas.microsoft.com/office/excel/2006/main">
          <x14:cfRule type="dataBar" id="{561EFEBD-4C34-4C83-AD22-12162A1A7F9F}">
            <x14:dataBar minLength="0" maxLength="100" border="1" gradient="0">
              <x14:cfvo type="num">
                <xm:f>0</xm:f>
              </x14:cfvo>
              <x14:cfvo type="num">
                <xm:f>1</xm:f>
              </x14:cfvo>
              <x14:borderColor theme="0"/>
              <x14:negativeFillColor rgb="FFFF0000"/>
              <x14:axisColor rgb="FF000000"/>
            </x14:dataBar>
          </x14:cfRule>
          <xm:sqref>AE576</xm:sqref>
        </x14:conditionalFormatting>
        <x14:conditionalFormatting xmlns:xm="http://schemas.microsoft.com/office/excel/2006/main">
          <x14:cfRule type="dataBar" id="{D21361F1-1E82-45B0-80F2-4D743E57EA05}">
            <x14:dataBar minLength="0" maxLength="100" border="1" gradient="0">
              <x14:cfvo type="num">
                <xm:f>0</xm:f>
              </x14:cfvo>
              <x14:cfvo type="num">
                <xm:f>1</xm:f>
              </x14:cfvo>
              <x14:borderColor theme="0"/>
              <x14:negativeFillColor rgb="FFFF0000"/>
              <x14:axisColor rgb="FF000000"/>
            </x14:dataBar>
          </x14:cfRule>
          <xm:sqref>AE578</xm:sqref>
        </x14:conditionalFormatting>
        <x14:conditionalFormatting xmlns:xm="http://schemas.microsoft.com/office/excel/2006/main">
          <x14:cfRule type="dataBar" id="{6C543BC9-1009-4FD9-81A6-DA4EE918E4CB}">
            <x14:dataBar minLength="0" maxLength="100" border="1" gradient="0">
              <x14:cfvo type="num">
                <xm:f>0</xm:f>
              </x14:cfvo>
              <x14:cfvo type="num">
                <xm:f>1</xm:f>
              </x14:cfvo>
              <x14:borderColor theme="0"/>
              <x14:negativeFillColor rgb="FFFF0000"/>
              <x14:axisColor rgb="FF000000"/>
            </x14:dataBar>
          </x14:cfRule>
          <xm:sqref>AE580</xm:sqref>
        </x14:conditionalFormatting>
        <x14:conditionalFormatting xmlns:xm="http://schemas.microsoft.com/office/excel/2006/main">
          <x14:cfRule type="dataBar" id="{9EB92DEC-C0C7-4171-8D0E-F74D20CCB580}">
            <x14:dataBar minLength="0" maxLength="100" border="1" gradient="0">
              <x14:cfvo type="num">
                <xm:f>0</xm:f>
              </x14:cfvo>
              <x14:cfvo type="num">
                <xm:f>1</xm:f>
              </x14:cfvo>
              <x14:borderColor theme="0"/>
              <x14:negativeFillColor rgb="FFFF0000"/>
              <x14:axisColor rgb="FF000000"/>
            </x14:dataBar>
          </x14:cfRule>
          <xm:sqref>AE582</xm:sqref>
        </x14:conditionalFormatting>
        <x14:conditionalFormatting xmlns:xm="http://schemas.microsoft.com/office/excel/2006/main">
          <x14:cfRule type="dataBar" id="{7F8D043B-A345-4F34-B63F-F282C13A9A41}">
            <x14:dataBar minLength="0" maxLength="100" border="1" gradient="0">
              <x14:cfvo type="num">
                <xm:f>0</xm:f>
              </x14:cfvo>
              <x14:cfvo type="num">
                <xm:f>1</xm:f>
              </x14:cfvo>
              <x14:borderColor theme="0"/>
              <x14:negativeFillColor rgb="FFFF0000"/>
              <x14:axisColor rgb="FF000000"/>
            </x14:dataBar>
          </x14:cfRule>
          <xm:sqref>AE584</xm:sqref>
        </x14:conditionalFormatting>
        <x14:conditionalFormatting xmlns:xm="http://schemas.microsoft.com/office/excel/2006/main">
          <x14:cfRule type="dataBar" id="{26BEB018-5DE9-4767-BEE2-8C81F61E0AD7}">
            <x14:dataBar minLength="0" maxLength="100" border="1" gradient="0">
              <x14:cfvo type="num">
                <xm:f>0</xm:f>
              </x14:cfvo>
              <x14:cfvo type="num">
                <xm:f>1</xm:f>
              </x14:cfvo>
              <x14:borderColor theme="0"/>
              <x14:negativeFillColor rgb="FFFF0000"/>
              <x14:axisColor rgb="FF000000"/>
            </x14:dataBar>
          </x14:cfRule>
          <xm:sqref>AE586</xm:sqref>
        </x14:conditionalFormatting>
        <x14:conditionalFormatting xmlns:xm="http://schemas.microsoft.com/office/excel/2006/main">
          <x14:cfRule type="dataBar" id="{3878D148-3FBD-4510-8AEB-DBEEBB9457CB}">
            <x14:dataBar minLength="0" maxLength="100" border="1" gradient="0">
              <x14:cfvo type="num">
                <xm:f>0</xm:f>
              </x14:cfvo>
              <x14:cfvo type="num">
                <xm:f>1</xm:f>
              </x14:cfvo>
              <x14:borderColor theme="0"/>
              <x14:negativeFillColor rgb="FFFF0000"/>
              <x14:axisColor rgb="FF000000"/>
            </x14:dataBar>
          </x14:cfRule>
          <xm:sqref>AE588</xm:sqref>
        </x14:conditionalFormatting>
        <x14:conditionalFormatting xmlns:xm="http://schemas.microsoft.com/office/excel/2006/main">
          <x14:cfRule type="dataBar" id="{580387A9-CAEA-4F40-8BBC-959E31D0E049}">
            <x14:dataBar minLength="0" maxLength="100" border="1" gradient="0">
              <x14:cfvo type="num">
                <xm:f>0</xm:f>
              </x14:cfvo>
              <x14:cfvo type="num">
                <xm:f>1</xm:f>
              </x14:cfvo>
              <x14:borderColor theme="0"/>
              <x14:negativeFillColor rgb="FFFF0000"/>
              <x14:axisColor rgb="FF000000"/>
            </x14:dataBar>
          </x14:cfRule>
          <xm:sqref>AE591</xm:sqref>
        </x14:conditionalFormatting>
        <x14:conditionalFormatting xmlns:xm="http://schemas.microsoft.com/office/excel/2006/main">
          <x14:cfRule type="dataBar" id="{44646C0D-923F-4E79-9E57-439116EDF3D8}">
            <x14:dataBar minLength="0" maxLength="100" border="1" gradient="0">
              <x14:cfvo type="num">
                <xm:f>0</xm:f>
              </x14:cfvo>
              <x14:cfvo type="num">
                <xm:f>1</xm:f>
              </x14:cfvo>
              <x14:borderColor theme="0"/>
              <x14:negativeFillColor rgb="FFFF0000"/>
              <x14:axisColor rgb="FF000000"/>
            </x14:dataBar>
          </x14:cfRule>
          <xm:sqref>AE593</xm:sqref>
        </x14:conditionalFormatting>
        <x14:conditionalFormatting xmlns:xm="http://schemas.microsoft.com/office/excel/2006/main">
          <x14:cfRule type="dataBar" id="{410547E3-BA04-4145-A32A-A913119F0389}">
            <x14:dataBar minLength="0" maxLength="100" border="1" gradient="0">
              <x14:cfvo type="num">
                <xm:f>0</xm:f>
              </x14:cfvo>
              <x14:cfvo type="num">
                <xm:f>1</xm:f>
              </x14:cfvo>
              <x14:borderColor theme="0"/>
              <x14:negativeFillColor rgb="FFFF0000"/>
              <x14:axisColor rgb="FF000000"/>
            </x14:dataBar>
          </x14:cfRule>
          <xm:sqref>AE595</xm:sqref>
        </x14:conditionalFormatting>
        <x14:conditionalFormatting xmlns:xm="http://schemas.microsoft.com/office/excel/2006/main">
          <x14:cfRule type="dataBar" id="{0E2B0866-45F6-4064-8D3D-3451E821C93F}">
            <x14:dataBar minLength="0" maxLength="100" border="1" gradient="0">
              <x14:cfvo type="num">
                <xm:f>0</xm:f>
              </x14:cfvo>
              <x14:cfvo type="num">
                <xm:f>1</xm:f>
              </x14:cfvo>
              <x14:borderColor theme="0"/>
              <x14:negativeFillColor rgb="FFFF0000"/>
              <x14:axisColor rgb="FF000000"/>
            </x14:dataBar>
          </x14:cfRule>
          <xm:sqref>AE597</xm:sqref>
        </x14:conditionalFormatting>
        <x14:conditionalFormatting xmlns:xm="http://schemas.microsoft.com/office/excel/2006/main">
          <x14:cfRule type="dataBar" id="{9A51C9C4-35FD-49B8-96B0-51DC64E29DEB}">
            <x14:dataBar minLength="0" maxLength="100" border="1" gradient="0">
              <x14:cfvo type="num">
                <xm:f>0</xm:f>
              </x14:cfvo>
              <x14:cfvo type="num">
                <xm:f>1</xm:f>
              </x14:cfvo>
              <x14:borderColor theme="0"/>
              <x14:negativeFillColor rgb="FFFF0000"/>
              <x14:axisColor rgb="FF000000"/>
            </x14:dataBar>
          </x14:cfRule>
          <xm:sqref>AE599</xm:sqref>
        </x14:conditionalFormatting>
        <x14:conditionalFormatting xmlns:xm="http://schemas.microsoft.com/office/excel/2006/main">
          <x14:cfRule type="dataBar" id="{A4A296A0-BFB9-41DF-A0AE-98CFA2EA8DD1}">
            <x14:dataBar minLength="0" maxLength="100" border="1" gradient="0">
              <x14:cfvo type="num">
                <xm:f>0</xm:f>
              </x14:cfvo>
              <x14:cfvo type="num">
                <xm:f>1</xm:f>
              </x14:cfvo>
              <x14:borderColor theme="0"/>
              <x14:negativeFillColor rgb="FFFF0000"/>
              <x14:axisColor rgb="FF000000"/>
            </x14:dataBar>
          </x14:cfRule>
          <xm:sqref>AE601</xm:sqref>
        </x14:conditionalFormatting>
        <x14:conditionalFormatting xmlns:xm="http://schemas.microsoft.com/office/excel/2006/main">
          <x14:cfRule type="dataBar" id="{17642412-E81F-4E33-A4D2-D512FAB8CFE9}">
            <x14:dataBar minLength="0" maxLength="100" border="1" gradient="0">
              <x14:cfvo type="num">
                <xm:f>0</xm:f>
              </x14:cfvo>
              <x14:cfvo type="num">
                <xm:f>1</xm:f>
              </x14:cfvo>
              <x14:borderColor theme="0"/>
              <x14:negativeFillColor rgb="FFFF0000"/>
              <x14:axisColor rgb="FF000000"/>
            </x14:dataBar>
          </x14:cfRule>
          <xm:sqref>AE603</xm:sqref>
        </x14:conditionalFormatting>
        <x14:conditionalFormatting xmlns:xm="http://schemas.microsoft.com/office/excel/2006/main">
          <x14:cfRule type="dataBar" id="{0F7F18DC-45B4-4443-962D-1BEF9C527A7C}">
            <x14:dataBar minLength="0" maxLength="100" border="1" gradient="0">
              <x14:cfvo type="num">
                <xm:f>0</xm:f>
              </x14:cfvo>
              <x14:cfvo type="num">
                <xm:f>1</xm:f>
              </x14:cfvo>
              <x14:borderColor theme="0"/>
              <x14:negativeFillColor rgb="FFFF0000"/>
              <x14:axisColor rgb="FF000000"/>
            </x14:dataBar>
          </x14:cfRule>
          <xm:sqref>AE605</xm:sqref>
        </x14:conditionalFormatting>
        <x14:conditionalFormatting xmlns:xm="http://schemas.microsoft.com/office/excel/2006/main">
          <x14:cfRule type="dataBar" id="{EF684AC3-4829-4C9F-988C-91479C5157E0}">
            <x14:dataBar minLength="0" maxLength="100" border="1" gradient="0">
              <x14:cfvo type="num">
                <xm:f>0</xm:f>
              </x14:cfvo>
              <x14:cfvo type="num">
                <xm:f>1</xm:f>
              </x14:cfvo>
              <x14:borderColor theme="0"/>
              <x14:negativeFillColor rgb="FFFF0000"/>
              <x14:axisColor rgb="FF000000"/>
            </x14:dataBar>
          </x14:cfRule>
          <xm:sqref>AE607</xm:sqref>
        </x14:conditionalFormatting>
        <x14:conditionalFormatting xmlns:xm="http://schemas.microsoft.com/office/excel/2006/main">
          <x14:cfRule type="dataBar" id="{F7C250FF-F996-4818-ABEE-DAF9B438A87C}">
            <x14:dataBar minLength="0" maxLength="100" border="1" gradient="0">
              <x14:cfvo type="num">
                <xm:f>0</xm:f>
              </x14:cfvo>
              <x14:cfvo type="num">
                <xm:f>1</xm:f>
              </x14:cfvo>
              <x14:borderColor theme="0"/>
              <x14:negativeFillColor rgb="FFFF0000"/>
              <x14:axisColor rgb="FF000000"/>
            </x14:dataBar>
          </x14:cfRule>
          <xm:sqref>AE609</xm:sqref>
        </x14:conditionalFormatting>
        <x14:conditionalFormatting xmlns:xm="http://schemas.microsoft.com/office/excel/2006/main">
          <x14:cfRule type="dataBar" id="{04177305-EB42-489E-90DA-15AF0192A2A8}">
            <x14:dataBar minLength="0" maxLength="100" border="1" gradient="0">
              <x14:cfvo type="num">
                <xm:f>0</xm:f>
              </x14:cfvo>
              <x14:cfvo type="num">
                <xm:f>1</xm:f>
              </x14:cfvo>
              <x14:borderColor theme="0"/>
              <x14:negativeFillColor rgb="FFFF0000"/>
              <x14:axisColor rgb="FF000000"/>
            </x14:dataBar>
          </x14:cfRule>
          <xm:sqref>AE611</xm:sqref>
        </x14:conditionalFormatting>
        <x14:conditionalFormatting xmlns:xm="http://schemas.microsoft.com/office/excel/2006/main">
          <x14:cfRule type="dataBar" id="{9D2231F5-11E5-46B7-BA4D-64489EED3733}">
            <x14:dataBar minLength="0" maxLength="100" border="1" gradient="0">
              <x14:cfvo type="num">
                <xm:f>0</xm:f>
              </x14:cfvo>
              <x14:cfvo type="num">
                <xm:f>1</xm:f>
              </x14:cfvo>
              <x14:borderColor theme="0"/>
              <x14:negativeFillColor rgb="FFFF0000"/>
              <x14:axisColor rgb="FF000000"/>
            </x14:dataBar>
          </x14:cfRule>
          <xm:sqref>AE613</xm:sqref>
        </x14:conditionalFormatting>
        <x14:conditionalFormatting xmlns:xm="http://schemas.microsoft.com/office/excel/2006/main">
          <x14:cfRule type="dataBar" id="{030D753A-75C6-40DD-AD93-D87B8B8D3551}">
            <x14:dataBar minLength="0" maxLength="100" border="1" gradient="0">
              <x14:cfvo type="num">
                <xm:f>0</xm:f>
              </x14:cfvo>
              <x14:cfvo type="num">
                <xm:f>1</xm:f>
              </x14:cfvo>
              <x14:borderColor theme="0"/>
              <x14:negativeFillColor rgb="FFFF0000"/>
              <x14:axisColor rgb="FF000000"/>
            </x14:dataBar>
          </x14:cfRule>
          <xm:sqref>AE615</xm:sqref>
        </x14:conditionalFormatting>
        <x14:conditionalFormatting xmlns:xm="http://schemas.microsoft.com/office/excel/2006/main">
          <x14:cfRule type="dataBar" id="{E724E34F-DCB2-4A88-BECE-75F9851B4455}">
            <x14:dataBar minLength="0" maxLength="100" border="1" gradient="0">
              <x14:cfvo type="num">
                <xm:f>0</xm:f>
              </x14:cfvo>
              <x14:cfvo type="num">
                <xm:f>1</xm:f>
              </x14:cfvo>
              <x14:borderColor theme="0"/>
              <x14:negativeFillColor rgb="FFFF0000"/>
              <x14:axisColor rgb="FF000000"/>
            </x14:dataBar>
          </x14:cfRule>
          <xm:sqref>AE617</xm:sqref>
        </x14:conditionalFormatting>
        <x14:conditionalFormatting xmlns:xm="http://schemas.microsoft.com/office/excel/2006/main">
          <x14:cfRule type="dataBar" id="{3E1A75E5-9BAA-452C-8D22-985DB241CD8A}">
            <x14:dataBar minLength="0" maxLength="100" border="1" gradient="0">
              <x14:cfvo type="num">
                <xm:f>0</xm:f>
              </x14:cfvo>
              <x14:cfvo type="num">
                <xm:f>1</xm:f>
              </x14:cfvo>
              <x14:borderColor theme="0"/>
              <x14:negativeFillColor rgb="FFFF0000"/>
              <x14:axisColor rgb="FF000000"/>
            </x14:dataBar>
          </x14:cfRule>
          <xm:sqref>AE619</xm:sqref>
        </x14:conditionalFormatting>
        <x14:conditionalFormatting xmlns:xm="http://schemas.microsoft.com/office/excel/2006/main">
          <x14:cfRule type="dataBar" id="{BE07E180-A45A-4E22-BE3D-34B421D26036}">
            <x14:dataBar minLength="0" maxLength="100" border="1" gradient="0">
              <x14:cfvo type="num">
                <xm:f>0</xm:f>
              </x14:cfvo>
              <x14:cfvo type="num">
                <xm:f>1</xm:f>
              </x14:cfvo>
              <x14:borderColor theme="0"/>
              <x14:negativeFillColor rgb="FFFF0000"/>
              <x14:axisColor rgb="FF000000"/>
            </x14:dataBar>
          </x14:cfRule>
          <xm:sqref>AE621</xm:sqref>
        </x14:conditionalFormatting>
        <x14:conditionalFormatting xmlns:xm="http://schemas.microsoft.com/office/excel/2006/main">
          <x14:cfRule type="dataBar" id="{B2DF7714-4614-4925-821E-D8D960286486}">
            <x14:dataBar minLength="0" maxLength="100" border="1" gradient="0">
              <x14:cfvo type="num">
                <xm:f>0</xm:f>
              </x14:cfvo>
              <x14:cfvo type="num">
                <xm:f>1</xm:f>
              </x14:cfvo>
              <x14:borderColor theme="0"/>
              <x14:negativeFillColor rgb="FFFF0000"/>
              <x14:axisColor rgb="FF000000"/>
            </x14:dataBar>
          </x14:cfRule>
          <xm:sqref>AE623</xm:sqref>
        </x14:conditionalFormatting>
        <x14:conditionalFormatting xmlns:xm="http://schemas.microsoft.com/office/excel/2006/main">
          <x14:cfRule type="dataBar" id="{5F8E1C18-51C0-4F9C-BB77-D26603833F01}">
            <x14:dataBar minLength="0" maxLength="100" border="1" gradient="0">
              <x14:cfvo type="num">
                <xm:f>0</xm:f>
              </x14:cfvo>
              <x14:cfvo type="num">
                <xm:f>1</xm:f>
              </x14:cfvo>
              <x14:borderColor theme="0"/>
              <x14:negativeFillColor rgb="FFFF0000"/>
              <x14:axisColor rgb="FF000000"/>
            </x14:dataBar>
          </x14:cfRule>
          <xm:sqref>AE625</xm:sqref>
        </x14:conditionalFormatting>
        <x14:conditionalFormatting xmlns:xm="http://schemas.microsoft.com/office/excel/2006/main">
          <x14:cfRule type="dataBar" id="{331ACBD8-5357-402B-A451-9F390B519626}">
            <x14:dataBar minLength="0" maxLength="100" border="1" gradient="0">
              <x14:cfvo type="num">
                <xm:f>0</xm:f>
              </x14:cfvo>
              <x14:cfvo type="num">
                <xm:f>1</xm:f>
              </x14:cfvo>
              <x14:borderColor theme="0"/>
              <x14:negativeFillColor rgb="FFFF0000"/>
              <x14:axisColor rgb="FF000000"/>
            </x14:dataBar>
          </x14:cfRule>
          <xm:sqref>AP9</xm:sqref>
        </x14:conditionalFormatting>
        <x14:conditionalFormatting xmlns:xm="http://schemas.microsoft.com/office/excel/2006/main">
          <x14:cfRule type="dataBar" id="{9EF7B983-26D1-4E37-8C1A-A821D3BE6C78}">
            <x14:dataBar minLength="0" maxLength="100" border="1" gradient="0">
              <x14:cfvo type="num">
                <xm:f>0</xm:f>
              </x14:cfvo>
              <x14:cfvo type="num">
                <xm:f>1</xm:f>
              </x14:cfvo>
              <x14:borderColor theme="0"/>
              <x14:negativeFillColor rgb="FFFF0000"/>
              <x14:axisColor rgb="FF000000"/>
            </x14:dataBar>
          </x14:cfRule>
          <xm:sqref>AP13</xm:sqref>
        </x14:conditionalFormatting>
        <x14:conditionalFormatting xmlns:xm="http://schemas.microsoft.com/office/excel/2006/main">
          <x14:cfRule type="dataBar" id="{08057A9B-6CD0-4A92-9814-D35C6C158FF7}">
            <x14:dataBar minLength="0" maxLength="100" border="1" gradient="0">
              <x14:cfvo type="num">
                <xm:f>0</xm:f>
              </x14:cfvo>
              <x14:cfvo type="num">
                <xm:f>1</xm:f>
              </x14:cfvo>
              <x14:borderColor theme="0"/>
              <x14:negativeFillColor rgb="FFFF0000"/>
              <x14:axisColor rgb="FF000000"/>
            </x14:dataBar>
          </x14:cfRule>
          <xm:sqref>AP15</xm:sqref>
        </x14:conditionalFormatting>
        <x14:conditionalFormatting xmlns:xm="http://schemas.microsoft.com/office/excel/2006/main">
          <x14:cfRule type="dataBar" id="{FDC297F0-85E0-49CA-9082-54FE3D16525B}">
            <x14:dataBar minLength="0" maxLength="100" border="1" gradient="0">
              <x14:cfvo type="num">
                <xm:f>0</xm:f>
              </x14:cfvo>
              <x14:cfvo type="num">
                <xm:f>1</xm:f>
              </x14:cfvo>
              <x14:borderColor theme="0"/>
              <x14:negativeFillColor rgb="FFFF0000"/>
              <x14:axisColor rgb="FF000000"/>
            </x14:dataBar>
          </x14:cfRule>
          <xm:sqref>AP17</xm:sqref>
        </x14:conditionalFormatting>
        <x14:conditionalFormatting xmlns:xm="http://schemas.microsoft.com/office/excel/2006/main">
          <x14:cfRule type="dataBar" id="{A23B5A37-45AC-4C47-9555-D94D645566F4}">
            <x14:dataBar minLength="0" maxLength="100" border="1" gradient="0">
              <x14:cfvo type="num">
                <xm:f>0</xm:f>
              </x14:cfvo>
              <x14:cfvo type="num">
                <xm:f>1</xm:f>
              </x14:cfvo>
              <x14:borderColor theme="0"/>
              <x14:negativeFillColor rgb="FFFF0000"/>
              <x14:axisColor rgb="FF000000"/>
            </x14:dataBar>
          </x14:cfRule>
          <xm:sqref>AP19</xm:sqref>
        </x14:conditionalFormatting>
        <x14:conditionalFormatting xmlns:xm="http://schemas.microsoft.com/office/excel/2006/main">
          <x14:cfRule type="dataBar" id="{A0BA8C75-26A5-4A87-AA56-AECCBD42245B}">
            <x14:dataBar minLength="0" maxLength="100" border="1" gradient="0">
              <x14:cfvo type="num">
                <xm:f>0</xm:f>
              </x14:cfvo>
              <x14:cfvo type="num">
                <xm:f>1</xm:f>
              </x14:cfvo>
              <x14:borderColor theme="0"/>
              <x14:negativeFillColor rgb="FFFF0000"/>
              <x14:axisColor rgb="FF000000"/>
            </x14:dataBar>
          </x14:cfRule>
          <xm:sqref>AP21</xm:sqref>
        </x14:conditionalFormatting>
        <x14:conditionalFormatting xmlns:xm="http://schemas.microsoft.com/office/excel/2006/main">
          <x14:cfRule type="dataBar" id="{34B9AE1B-99D7-449C-AE70-2AA12A82F56C}">
            <x14:dataBar minLength="0" maxLength="100" border="1" gradient="0">
              <x14:cfvo type="num">
                <xm:f>0</xm:f>
              </x14:cfvo>
              <x14:cfvo type="num">
                <xm:f>1</xm:f>
              </x14:cfvo>
              <x14:borderColor theme="0"/>
              <x14:negativeFillColor rgb="FFFF0000"/>
              <x14:axisColor rgb="FF000000"/>
            </x14:dataBar>
          </x14:cfRule>
          <xm:sqref>AP23</xm:sqref>
        </x14:conditionalFormatting>
        <x14:conditionalFormatting xmlns:xm="http://schemas.microsoft.com/office/excel/2006/main">
          <x14:cfRule type="dataBar" id="{BA4B0405-C33A-4F6C-A4D0-2FF097FAB323}">
            <x14:dataBar minLength="0" maxLength="100" border="1" gradient="0">
              <x14:cfvo type="num">
                <xm:f>0</xm:f>
              </x14:cfvo>
              <x14:cfvo type="num">
                <xm:f>1</xm:f>
              </x14:cfvo>
              <x14:borderColor theme="0"/>
              <x14:negativeFillColor rgb="FFFF0000"/>
              <x14:axisColor rgb="FF000000"/>
            </x14:dataBar>
          </x14:cfRule>
          <xm:sqref>AP25</xm:sqref>
        </x14:conditionalFormatting>
        <x14:conditionalFormatting xmlns:xm="http://schemas.microsoft.com/office/excel/2006/main">
          <x14:cfRule type="dataBar" id="{61FF95B9-2005-4BE7-A6F6-7061A8EFCD95}">
            <x14:dataBar minLength="0" maxLength="100" border="1" gradient="0">
              <x14:cfvo type="num">
                <xm:f>0</xm:f>
              </x14:cfvo>
              <x14:cfvo type="num">
                <xm:f>1</xm:f>
              </x14:cfvo>
              <x14:borderColor theme="0"/>
              <x14:negativeFillColor rgb="FFFF0000"/>
              <x14:axisColor rgb="FF000000"/>
            </x14:dataBar>
          </x14:cfRule>
          <xm:sqref>AP27</xm:sqref>
        </x14:conditionalFormatting>
        <x14:conditionalFormatting xmlns:xm="http://schemas.microsoft.com/office/excel/2006/main">
          <x14:cfRule type="dataBar" id="{B48C5EA5-D606-479E-9B7B-252D9CD27A89}">
            <x14:dataBar minLength="0" maxLength="100" border="1" gradient="0">
              <x14:cfvo type="num">
                <xm:f>0</xm:f>
              </x14:cfvo>
              <x14:cfvo type="num">
                <xm:f>1</xm:f>
              </x14:cfvo>
              <x14:borderColor theme="0"/>
              <x14:negativeFillColor rgb="FFFF0000"/>
              <x14:axisColor rgb="FF000000"/>
            </x14:dataBar>
          </x14:cfRule>
          <xm:sqref>AP29</xm:sqref>
        </x14:conditionalFormatting>
        <x14:conditionalFormatting xmlns:xm="http://schemas.microsoft.com/office/excel/2006/main">
          <x14:cfRule type="dataBar" id="{B70A80EC-C933-4682-B141-6AB622DA8BBA}">
            <x14:dataBar minLength="0" maxLength="100" border="1" gradient="0">
              <x14:cfvo type="num">
                <xm:f>0</xm:f>
              </x14:cfvo>
              <x14:cfvo type="num">
                <xm:f>1</xm:f>
              </x14:cfvo>
              <x14:borderColor theme="0"/>
              <x14:negativeFillColor rgb="FFFF0000"/>
              <x14:axisColor rgb="FF000000"/>
            </x14:dataBar>
          </x14:cfRule>
          <xm:sqref>AP31</xm:sqref>
        </x14:conditionalFormatting>
        <x14:conditionalFormatting xmlns:xm="http://schemas.microsoft.com/office/excel/2006/main">
          <x14:cfRule type="dataBar" id="{C9B87CA1-1C30-49FC-990B-573EF0FD5C05}">
            <x14:dataBar minLength="0" maxLength="100" border="1" gradient="0">
              <x14:cfvo type="num">
                <xm:f>0</xm:f>
              </x14:cfvo>
              <x14:cfvo type="num">
                <xm:f>1</xm:f>
              </x14:cfvo>
              <x14:borderColor theme="0"/>
              <x14:negativeFillColor rgb="FFFF0000"/>
              <x14:axisColor rgb="FF000000"/>
            </x14:dataBar>
          </x14:cfRule>
          <xm:sqref>AP35</xm:sqref>
        </x14:conditionalFormatting>
        <x14:conditionalFormatting xmlns:xm="http://schemas.microsoft.com/office/excel/2006/main">
          <x14:cfRule type="dataBar" id="{15D64F68-28A8-4E2C-9CEF-0D38938D3491}">
            <x14:dataBar minLength="0" maxLength="100" border="1" gradient="0">
              <x14:cfvo type="num">
                <xm:f>0</xm:f>
              </x14:cfvo>
              <x14:cfvo type="num">
                <xm:f>1</xm:f>
              </x14:cfvo>
              <x14:borderColor theme="0"/>
              <x14:negativeFillColor rgb="FFFF0000"/>
              <x14:axisColor rgb="FF000000"/>
            </x14:dataBar>
          </x14:cfRule>
          <xm:sqref>AP37</xm:sqref>
        </x14:conditionalFormatting>
        <x14:conditionalFormatting xmlns:xm="http://schemas.microsoft.com/office/excel/2006/main">
          <x14:cfRule type="dataBar" id="{A6F3B6A4-B31B-4D69-93DC-1A3EFD832087}">
            <x14:dataBar minLength="0" maxLength="100" border="1" gradient="0">
              <x14:cfvo type="num">
                <xm:f>0</xm:f>
              </x14:cfvo>
              <x14:cfvo type="num">
                <xm:f>1</xm:f>
              </x14:cfvo>
              <x14:borderColor theme="0"/>
              <x14:negativeFillColor rgb="FFFF0000"/>
              <x14:axisColor rgb="FF000000"/>
            </x14:dataBar>
          </x14:cfRule>
          <xm:sqref>AP39</xm:sqref>
        </x14:conditionalFormatting>
        <x14:conditionalFormatting xmlns:xm="http://schemas.microsoft.com/office/excel/2006/main">
          <x14:cfRule type="dataBar" id="{F441D2C3-17B0-42FB-913D-703752251860}">
            <x14:dataBar minLength="0" maxLength="100" border="1" gradient="0">
              <x14:cfvo type="num">
                <xm:f>0</xm:f>
              </x14:cfvo>
              <x14:cfvo type="num">
                <xm:f>1</xm:f>
              </x14:cfvo>
              <x14:borderColor theme="0"/>
              <x14:negativeFillColor rgb="FFFF0000"/>
              <x14:axisColor rgb="FF000000"/>
            </x14:dataBar>
          </x14:cfRule>
          <xm:sqref>AP41</xm:sqref>
        </x14:conditionalFormatting>
        <x14:conditionalFormatting xmlns:xm="http://schemas.microsoft.com/office/excel/2006/main">
          <x14:cfRule type="dataBar" id="{ED6B1BAA-E7BF-40E5-9213-DB150C4ACB49}">
            <x14:dataBar minLength="0" maxLength="100" border="1" gradient="0">
              <x14:cfvo type="num">
                <xm:f>0</xm:f>
              </x14:cfvo>
              <x14:cfvo type="num">
                <xm:f>1</xm:f>
              </x14:cfvo>
              <x14:borderColor theme="0"/>
              <x14:negativeFillColor rgb="FFFF0000"/>
              <x14:axisColor rgb="FF000000"/>
            </x14:dataBar>
          </x14:cfRule>
          <xm:sqref>AP43</xm:sqref>
        </x14:conditionalFormatting>
        <x14:conditionalFormatting xmlns:xm="http://schemas.microsoft.com/office/excel/2006/main">
          <x14:cfRule type="dataBar" id="{D53DA308-758F-43F6-8400-A0FDCD033DED}">
            <x14:dataBar minLength="0" maxLength="100" border="1" gradient="0">
              <x14:cfvo type="num">
                <xm:f>0</xm:f>
              </x14:cfvo>
              <x14:cfvo type="num">
                <xm:f>1</xm:f>
              </x14:cfvo>
              <x14:borderColor theme="0"/>
              <x14:negativeFillColor rgb="FFFF0000"/>
              <x14:axisColor rgb="FF000000"/>
            </x14:dataBar>
          </x14:cfRule>
          <xm:sqref>AP47</xm:sqref>
        </x14:conditionalFormatting>
        <x14:conditionalFormatting xmlns:xm="http://schemas.microsoft.com/office/excel/2006/main">
          <x14:cfRule type="dataBar" id="{37BFAC3C-1718-43F4-B4B9-FD9A243C796E}">
            <x14:dataBar minLength="0" maxLength="100" border="1" gradient="0">
              <x14:cfvo type="num">
                <xm:f>0</xm:f>
              </x14:cfvo>
              <x14:cfvo type="num">
                <xm:f>1</xm:f>
              </x14:cfvo>
              <x14:borderColor theme="0"/>
              <x14:negativeFillColor rgb="FFFF0000"/>
              <x14:axisColor rgb="FF000000"/>
            </x14:dataBar>
          </x14:cfRule>
          <xm:sqref>AP49</xm:sqref>
        </x14:conditionalFormatting>
        <x14:conditionalFormatting xmlns:xm="http://schemas.microsoft.com/office/excel/2006/main">
          <x14:cfRule type="dataBar" id="{BE1784A6-8333-4AE1-A4EB-F00FA9CD41B6}">
            <x14:dataBar minLength="0" maxLength="100" border="1" gradient="0">
              <x14:cfvo type="num">
                <xm:f>0</xm:f>
              </x14:cfvo>
              <x14:cfvo type="num">
                <xm:f>1</xm:f>
              </x14:cfvo>
              <x14:borderColor theme="0"/>
              <x14:negativeFillColor rgb="FFFF0000"/>
              <x14:axisColor rgb="FF000000"/>
            </x14:dataBar>
          </x14:cfRule>
          <xm:sqref>AP51</xm:sqref>
        </x14:conditionalFormatting>
        <x14:conditionalFormatting xmlns:xm="http://schemas.microsoft.com/office/excel/2006/main">
          <x14:cfRule type="dataBar" id="{AAF751B1-C740-4272-89F4-AB13404C2972}">
            <x14:dataBar minLength="0" maxLength="100" border="1" gradient="0">
              <x14:cfvo type="num">
                <xm:f>0</xm:f>
              </x14:cfvo>
              <x14:cfvo type="num">
                <xm:f>1</xm:f>
              </x14:cfvo>
              <x14:borderColor theme="0"/>
              <x14:negativeFillColor rgb="FFFF0000"/>
              <x14:axisColor rgb="FF000000"/>
            </x14:dataBar>
          </x14:cfRule>
          <xm:sqref>AP53</xm:sqref>
        </x14:conditionalFormatting>
        <x14:conditionalFormatting xmlns:xm="http://schemas.microsoft.com/office/excel/2006/main">
          <x14:cfRule type="dataBar" id="{8B4C254D-7D81-4649-B3CE-6FD1A84FF865}">
            <x14:dataBar minLength="0" maxLength="100" border="1" gradient="0">
              <x14:cfvo type="num">
                <xm:f>0</xm:f>
              </x14:cfvo>
              <x14:cfvo type="num">
                <xm:f>1</xm:f>
              </x14:cfvo>
              <x14:borderColor theme="0"/>
              <x14:negativeFillColor rgb="FFFF0000"/>
              <x14:axisColor rgb="FF000000"/>
            </x14:dataBar>
          </x14:cfRule>
          <xm:sqref>AP55</xm:sqref>
        </x14:conditionalFormatting>
        <x14:conditionalFormatting xmlns:xm="http://schemas.microsoft.com/office/excel/2006/main">
          <x14:cfRule type="dataBar" id="{FCFF3671-C0DA-432B-B38A-3FB15DB5228F}">
            <x14:dataBar minLength="0" maxLength="100" border="1" gradient="0">
              <x14:cfvo type="num">
                <xm:f>0</xm:f>
              </x14:cfvo>
              <x14:cfvo type="num">
                <xm:f>1</xm:f>
              </x14:cfvo>
              <x14:borderColor theme="0"/>
              <x14:negativeFillColor rgb="FFFF0000"/>
              <x14:axisColor rgb="FF000000"/>
            </x14:dataBar>
          </x14:cfRule>
          <xm:sqref>AP57</xm:sqref>
        </x14:conditionalFormatting>
        <x14:conditionalFormatting xmlns:xm="http://schemas.microsoft.com/office/excel/2006/main">
          <x14:cfRule type="dataBar" id="{C4A05B1E-38C1-463F-B4CC-1F319794A0AF}">
            <x14:dataBar minLength="0" maxLength="100" border="1" gradient="0">
              <x14:cfvo type="num">
                <xm:f>0</xm:f>
              </x14:cfvo>
              <x14:cfvo type="num">
                <xm:f>1</xm:f>
              </x14:cfvo>
              <x14:borderColor theme="0"/>
              <x14:negativeFillColor rgb="FFFF0000"/>
              <x14:axisColor rgb="FF000000"/>
            </x14:dataBar>
          </x14:cfRule>
          <xm:sqref>AP59</xm:sqref>
        </x14:conditionalFormatting>
        <x14:conditionalFormatting xmlns:xm="http://schemas.microsoft.com/office/excel/2006/main">
          <x14:cfRule type="dataBar" id="{C38D75BD-F0C6-4726-BC12-B1FE4FC505A0}">
            <x14:dataBar minLength="0" maxLength="100" border="1" gradient="0">
              <x14:cfvo type="num">
                <xm:f>0</xm:f>
              </x14:cfvo>
              <x14:cfvo type="num">
                <xm:f>1</xm:f>
              </x14:cfvo>
              <x14:borderColor theme="0"/>
              <x14:negativeFillColor rgb="FFFF0000"/>
              <x14:axisColor rgb="FF000000"/>
            </x14:dataBar>
          </x14:cfRule>
          <xm:sqref>AP61</xm:sqref>
        </x14:conditionalFormatting>
        <x14:conditionalFormatting xmlns:xm="http://schemas.microsoft.com/office/excel/2006/main">
          <x14:cfRule type="dataBar" id="{26E83645-11B5-4DCA-8281-D1BC2F94AF1B}">
            <x14:dataBar minLength="0" maxLength="100" border="1" gradient="0">
              <x14:cfvo type="num">
                <xm:f>0</xm:f>
              </x14:cfvo>
              <x14:cfvo type="num">
                <xm:f>1</xm:f>
              </x14:cfvo>
              <x14:borderColor theme="0"/>
              <x14:negativeFillColor rgb="FFFF0000"/>
              <x14:axisColor rgb="FF000000"/>
            </x14:dataBar>
          </x14:cfRule>
          <xm:sqref>AP63</xm:sqref>
        </x14:conditionalFormatting>
        <x14:conditionalFormatting xmlns:xm="http://schemas.microsoft.com/office/excel/2006/main">
          <x14:cfRule type="dataBar" id="{DCA0F0C1-D46F-4A76-A18E-B8C957D6F666}">
            <x14:dataBar minLength="0" maxLength="100" border="1" gradient="0">
              <x14:cfvo type="num">
                <xm:f>0</xm:f>
              </x14:cfvo>
              <x14:cfvo type="num">
                <xm:f>1</xm:f>
              </x14:cfvo>
              <x14:borderColor theme="0"/>
              <x14:negativeFillColor rgb="FFFF0000"/>
              <x14:axisColor rgb="FF000000"/>
            </x14:dataBar>
          </x14:cfRule>
          <xm:sqref>AP65</xm:sqref>
        </x14:conditionalFormatting>
        <x14:conditionalFormatting xmlns:xm="http://schemas.microsoft.com/office/excel/2006/main">
          <x14:cfRule type="dataBar" id="{A8620591-8A41-4CD2-8564-6543F883A39C}">
            <x14:dataBar minLength="0" maxLength="100" border="1" gradient="0">
              <x14:cfvo type="num">
                <xm:f>0</xm:f>
              </x14:cfvo>
              <x14:cfvo type="num">
                <xm:f>1</xm:f>
              </x14:cfvo>
              <x14:borderColor theme="0"/>
              <x14:negativeFillColor rgb="FFFF0000"/>
              <x14:axisColor rgb="FF000000"/>
            </x14:dataBar>
          </x14:cfRule>
          <xm:sqref>AP67</xm:sqref>
        </x14:conditionalFormatting>
        <x14:conditionalFormatting xmlns:xm="http://schemas.microsoft.com/office/excel/2006/main">
          <x14:cfRule type="dataBar" id="{F2C71D4D-89B7-4AAB-875F-C4939473C99E}">
            <x14:dataBar minLength="0" maxLength="100" border="1" gradient="0">
              <x14:cfvo type="num">
                <xm:f>0</xm:f>
              </x14:cfvo>
              <x14:cfvo type="num">
                <xm:f>1</xm:f>
              </x14:cfvo>
              <x14:borderColor theme="0"/>
              <x14:negativeFillColor rgb="FFFF0000"/>
              <x14:axisColor rgb="FF000000"/>
            </x14:dataBar>
          </x14:cfRule>
          <xm:sqref>AP69</xm:sqref>
        </x14:conditionalFormatting>
        <x14:conditionalFormatting xmlns:xm="http://schemas.microsoft.com/office/excel/2006/main">
          <x14:cfRule type="dataBar" id="{49ACD0AB-0169-4A34-898D-1F06E18A5AAC}">
            <x14:dataBar minLength="0" maxLength="100" border="1" gradient="0">
              <x14:cfvo type="num">
                <xm:f>0</xm:f>
              </x14:cfvo>
              <x14:cfvo type="num">
                <xm:f>1</xm:f>
              </x14:cfvo>
              <x14:borderColor theme="0"/>
              <x14:negativeFillColor rgb="FFFF0000"/>
              <x14:axisColor rgb="FF000000"/>
            </x14:dataBar>
          </x14:cfRule>
          <xm:sqref>AP73</xm:sqref>
        </x14:conditionalFormatting>
        <x14:conditionalFormatting xmlns:xm="http://schemas.microsoft.com/office/excel/2006/main">
          <x14:cfRule type="dataBar" id="{9961CECA-9D60-4A36-9721-82BF2557C8A5}">
            <x14:dataBar minLength="0" maxLength="100" border="1" gradient="0">
              <x14:cfvo type="num">
                <xm:f>0</xm:f>
              </x14:cfvo>
              <x14:cfvo type="num">
                <xm:f>1</xm:f>
              </x14:cfvo>
              <x14:borderColor theme="0"/>
              <x14:negativeFillColor rgb="FFFF0000"/>
              <x14:axisColor rgb="FF000000"/>
            </x14:dataBar>
          </x14:cfRule>
          <xm:sqref>AP77</xm:sqref>
        </x14:conditionalFormatting>
        <x14:conditionalFormatting xmlns:xm="http://schemas.microsoft.com/office/excel/2006/main">
          <x14:cfRule type="dataBar" id="{C053A461-49E2-4861-AA55-E7F5B66F2B62}">
            <x14:dataBar minLength="0" maxLength="100" border="1" gradient="0">
              <x14:cfvo type="num">
                <xm:f>0</xm:f>
              </x14:cfvo>
              <x14:cfvo type="num">
                <xm:f>1</xm:f>
              </x14:cfvo>
              <x14:borderColor theme="0"/>
              <x14:negativeFillColor rgb="FFFF0000"/>
              <x14:axisColor rgb="FF000000"/>
            </x14:dataBar>
          </x14:cfRule>
          <xm:sqref>AP79</xm:sqref>
        </x14:conditionalFormatting>
        <x14:conditionalFormatting xmlns:xm="http://schemas.microsoft.com/office/excel/2006/main">
          <x14:cfRule type="dataBar" id="{8E039D5E-C3AD-49AC-9140-5EAF13C23DDF}">
            <x14:dataBar minLength="0" maxLength="100" border="1" gradient="0">
              <x14:cfvo type="num">
                <xm:f>0</xm:f>
              </x14:cfvo>
              <x14:cfvo type="num">
                <xm:f>1</xm:f>
              </x14:cfvo>
              <x14:borderColor theme="0"/>
              <x14:negativeFillColor rgb="FFFF0000"/>
              <x14:axisColor rgb="FF000000"/>
            </x14:dataBar>
          </x14:cfRule>
          <xm:sqref>AP81</xm:sqref>
        </x14:conditionalFormatting>
        <x14:conditionalFormatting xmlns:xm="http://schemas.microsoft.com/office/excel/2006/main">
          <x14:cfRule type="dataBar" id="{ACAAE577-06F1-40E8-9E4D-7E58CAFCA3D6}">
            <x14:dataBar minLength="0" maxLength="100" border="1" gradient="0">
              <x14:cfvo type="num">
                <xm:f>0</xm:f>
              </x14:cfvo>
              <x14:cfvo type="num">
                <xm:f>1</xm:f>
              </x14:cfvo>
              <x14:borderColor theme="0"/>
              <x14:negativeFillColor rgb="FFFF0000"/>
              <x14:axisColor rgb="FF000000"/>
            </x14:dataBar>
          </x14:cfRule>
          <xm:sqref>AP83</xm:sqref>
        </x14:conditionalFormatting>
        <x14:conditionalFormatting xmlns:xm="http://schemas.microsoft.com/office/excel/2006/main">
          <x14:cfRule type="dataBar" id="{9558AE8F-A147-4C53-B4C3-FB6A67B76F01}">
            <x14:dataBar minLength="0" maxLength="100" border="1" gradient="0">
              <x14:cfvo type="num">
                <xm:f>0</xm:f>
              </x14:cfvo>
              <x14:cfvo type="num">
                <xm:f>1</xm:f>
              </x14:cfvo>
              <x14:borderColor theme="0"/>
              <x14:negativeFillColor rgb="FFFF0000"/>
              <x14:axisColor rgb="FF000000"/>
            </x14:dataBar>
          </x14:cfRule>
          <xm:sqref>AP85</xm:sqref>
        </x14:conditionalFormatting>
        <x14:conditionalFormatting xmlns:xm="http://schemas.microsoft.com/office/excel/2006/main">
          <x14:cfRule type="dataBar" id="{86B58DDA-950C-4D4F-9CC9-1C995276378E}">
            <x14:dataBar minLength="0" maxLength="100" border="1" gradient="0">
              <x14:cfvo type="num">
                <xm:f>0</xm:f>
              </x14:cfvo>
              <x14:cfvo type="num">
                <xm:f>1</xm:f>
              </x14:cfvo>
              <x14:borderColor theme="0"/>
              <x14:negativeFillColor rgb="FFFF0000"/>
              <x14:axisColor rgb="FF000000"/>
            </x14:dataBar>
          </x14:cfRule>
          <xm:sqref>AP87</xm:sqref>
        </x14:conditionalFormatting>
        <x14:conditionalFormatting xmlns:xm="http://schemas.microsoft.com/office/excel/2006/main">
          <x14:cfRule type="dataBar" id="{43F106EB-9B03-40EF-B965-3C185969BDD4}">
            <x14:dataBar minLength="0" maxLength="100" border="1" gradient="0">
              <x14:cfvo type="num">
                <xm:f>0</xm:f>
              </x14:cfvo>
              <x14:cfvo type="num">
                <xm:f>1</xm:f>
              </x14:cfvo>
              <x14:borderColor theme="0"/>
              <x14:negativeFillColor rgb="FFFF0000"/>
              <x14:axisColor rgb="FF000000"/>
            </x14:dataBar>
          </x14:cfRule>
          <xm:sqref>AP89</xm:sqref>
        </x14:conditionalFormatting>
        <x14:conditionalFormatting xmlns:xm="http://schemas.microsoft.com/office/excel/2006/main">
          <x14:cfRule type="dataBar" id="{0240093F-8699-4A0C-809F-2808A3BB22C9}">
            <x14:dataBar minLength="0" maxLength="100" border="1" gradient="0">
              <x14:cfvo type="num">
                <xm:f>0</xm:f>
              </x14:cfvo>
              <x14:cfvo type="num">
                <xm:f>1</xm:f>
              </x14:cfvo>
              <x14:borderColor theme="0"/>
              <x14:negativeFillColor rgb="FFFF0000"/>
              <x14:axisColor rgb="FF000000"/>
            </x14:dataBar>
          </x14:cfRule>
          <xm:sqref>AP93</xm:sqref>
        </x14:conditionalFormatting>
        <x14:conditionalFormatting xmlns:xm="http://schemas.microsoft.com/office/excel/2006/main">
          <x14:cfRule type="dataBar" id="{BC24A171-5856-4448-A2EC-AE805A1F7353}">
            <x14:dataBar minLength="0" maxLength="100" border="1" gradient="0">
              <x14:cfvo type="num">
                <xm:f>0</xm:f>
              </x14:cfvo>
              <x14:cfvo type="num">
                <xm:f>1</xm:f>
              </x14:cfvo>
              <x14:borderColor theme="0"/>
              <x14:negativeFillColor rgb="FFFF0000"/>
              <x14:axisColor rgb="FF000000"/>
            </x14:dataBar>
          </x14:cfRule>
          <xm:sqref>AP95</xm:sqref>
        </x14:conditionalFormatting>
        <x14:conditionalFormatting xmlns:xm="http://schemas.microsoft.com/office/excel/2006/main">
          <x14:cfRule type="dataBar" id="{B730A623-0CEB-4151-99D3-F03E586CC09F}">
            <x14:dataBar minLength="0" maxLength="100" border="1" gradient="0">
              <x14:cfvo type="num">
                <xm:f>0</xm:f>
              </x14:cfvo>
              <x14:cfvo type="num">
                <xm:f>1</xm:f>
              </x14:cfvo>
              <x14:borderColor theme="0"/>
              <x14:negativeFillColor rgb="FFFF0000"/>
              <x14:axisColor rgb="FF000000"/>
            </x14:dataBar>
          </x14:cfRule>
          <xm:sqref>AP97</xm:sqref>
        </x14:conditionalFormatting>
        <x14:conditionalFormatting xmlns:xm="http://schemas.microsoft.com/office/excel/2006/main">
          <x14:cfRule type="dataBar" id="{DFF6059C-1247-45C6-ACD3-2BA8AC8556B6}">
            <x14:dataBar minLength="0" maxLength="100" border="1" gradient="0">
              <x14:cfvo type="num">
                <xm:f>0</xm:f>
              </x14:cfvo>
              <x14:cfvo type="num">
                <xm:f>1</xm:f>
              </x14:cfvo>
              <x14:borderColor theme="0"/>
              <x14:negativeFillColor rgb="FFFF0000"/>
              <x14:axisColor rgb="FF000000"/>
            </x14:dataBar>
          </x14:cfRule>
          <xm:sqref>AP99</xm:sqref>
        </x14:conditionalFormatting>
        <x14:conditionalFormatting xmlns:xm="http://schemas.microsoft.com/office/excel/2006/main">
          <x14:cfRule type="dataBar" id="{E204FB60-2318-4395-9818-8AFFBB164C05}">
            <x14:dataBar minLength="0" maxLength="100" border="1" gradient="0">
              <x14:cfvo type="num">
                <xm:f>0</xm:f>
              </x14:cfvo>
              <x14:cfvo type="num">
                <xm:f>1</xm:f>
              </x14:cfvo>
              <x14:borderColor theme="0"/>
              <x14:negativeFillColor rgb="FFFF0000"/>
              <x14:axisColor rgb="FF000000"/>
            </x14:dataBar>
          </x14:cfRule>
          <xm:sqref>AP101</xm:sqref>
        </x14:conditionalFormatting>
        <x14:conditionalFormatting xmlns:xm="http://schemas.microsoft.com/office/excel/2006/main">
          <x14:cfRule type="dataBar" id="{27A85BE0-4381-40F5-897A-9255A09E3489}">
            <x14:dataBar minLength="0" maxLength="100" border="1" gradient="0">
              <x14:cfvo type="num">
                <xm:f>0</xm:f>
              </x14:cfvo>
              <x14:cfvo type="num">
                <xm:f>1</xm:f>
              </x14:cfvo>
              <x14:borderColor theme="0"/>
              <x14:negativeFillColor rgb="FFFF0000"/>
              <x14:axisColor rgb="FF000000"/>
            </x14:dataBar>
          </x14:cfRule>
          <xm:sqref>AP103</xm:sqref>
        </x14:conditionalFormatting>
        <x14:conditionalFormatting xmlns:xm="http://schemas.microsoft.com/office/excel/2006/main">
          <x14:cfRule type="dataBar" id="{EA05B1A8-5DA9-40E7-B4BC-10AC83C8E0F0}">
            <x14:dataBar minLength="0" maxLength="100" border="1" gradient="0">
              <x14:cfvo type="num">
                <xm:f>0</xm:f>
              </x14:cfvo>
              <x14:cfvo type="num">
                <xm:f>1</xm:f>
              </x14:cfvo>
              <x14:borderColor theme="0"/>
              <x14:negativeFillColor rgb="FFFF0000"/>
              <x14:axisColor rgb="FF000000"/>
            </x14:dataBar>
          </x14:cfRule>
          <xm:sqref>AP105</xm:sqref>
        </x14:conditionalFormatting>
        <x14:conditionalFormatting xmlns:xm="http://schemas.microsoft.com/office/excel/2006/main">
          <x14:cfRule type="dataBar" id="{81CA34F3-7D96-42A5-996C-325D936E555B}">
            <x14:dataBar minLength="0" maxLength="100" border="1" gradient="0">
              <x14:cfvo type="num">
                <xm:f>0</xm:f>
              </x14:cfvo>
              <x14:cfvo type="num">
                <xm:f>1</xm:f>
              </x14:cfvo>
              <x14:borderColor theme="0"/>
              <x14:negativeFillColor rgb="FFFF0000"/>
              <x14:axisColor rgb="FF000000"/>
            </x14:dataBar>
          </x14:cfRule>
          <xm:sqref>AP107</xm:sqref>
        </x14:conditionalFormatting>
        <x14:conditionalFormatting xmlns:xm="http://schemas.microsoft.com/office/excel/2006/main">
          <x14:cfRule type="dataBar" id="{4A89A1A0-911C-42F4-8D15-C92780F9AA0E}">
            <x14:dataBar minLength="0" maxLength="100" border="1" gradient="0">
              <x14:cfvo type="num">
                <xm:f>0</xm:f>
              </x14:cfvo>
              <x14:cfvo type="num">
                <xm:f>1</xm:f>
              </x14:cfvo>
              <x14:borderColor theme="0"/>
              <x14:negativeFillColor rgb="FFFF0000"/>
              <x14:axisColor rgb="FF000000"/>
            </x14:dataBar>
          </x14:cfRule>
          <xm:sqref>AP109</xm:sqref>
        </x14:conditionalFormatting>
        <x14:conditionalFormatting xmlns:xm="http://schemas.microsoft.com/office/excel/2006/main">
          <x14:cfRule type="dataBar" id="{1A1E978A-190C-41CF-933E-BF2E432C3E4A}">
            <x14:dataBar minLength="0" maxLength="100" border="1" gradient="0">
              <x14:cfvo type="num">
                <xm:f>0</xm:f>
              </x14:cfvo>
              <x14:cfvo type="num">
                <xm:f>1</xm:f>
              </x14:cfvo>
              <x14:borderColor theme="0"/>
              <x14:negativeFillColor rgb="FFFF0000"/>
              <x14:axisColor rgb="FF000000"/>
            </x14:dataBar>
          </x14:cfRule>
          <xm:sqref>AP113</xm:sqref>
        </x14:conditionalFormatting>
        <x14:conditionalFormatting xmlns:xm="http://schemas.microsoft.com/office/excel/2006/main">
          <x14:cfRule type="dataBar" id="{53DC4AFE-C3C9-4A7C-B9C7-5F585BE65D4E}">
            <x14:dataBar minLength="0" maxLength="100" border="1" gradient="0">
              <x14:cfvo type="num">
                <xm:f>0</xm:f>
              </x14:cfvo>
              <x14:cfvo type="num">
                <xm:f>1</xm:f>
              </x14:cfvo>
              <x14:borderColor theme="0"/>
              <x14:negativeFillColor rgb="FFFF0000"/>
              <x14:axisColor rgb="FF000000"/>
            </x14:dataBar>
          </x14:cfRule>
          <xm:sqref>AP115</xm:sqref>
        </x14:conditionalFormatting>
        <x14:conditionalFormatting xmlns:xm="http://schemas.microsoft.com/office/excel/2006/main">
          <x14:cfRule type="dataBar" id="{0D5D7A9E-42F0-411D-8EA9-E61B6FA126FE}">
            <x14:dataBar minLength="0" maxLength="100" border="1" gradient="0">
              <x14:cfvo type="num">
                <xm:f>0</xm:f>
              </x14:cfvo>
              <x14:cfvo type="num">
                <xm:f>1</xm:f>
              </x14:cfvo>
              <x14:borderColor theme="0"/>
              <x14:negativeFillColor rgb="FFFF0000"/>
              <x14:axisColor rgb="FF000000"/>
            </x14:dataBar>
          </x14:cfRule>
          <xm:sqref>AP119</xm:sqref>
        </x14:conditionalFormatting>
        <x14:conditionalFormatting xmlns:xm="http://schemas.microsoft.com/office/excel/2006/main">
          <x14:cfRule type="dataBar" id="{9E6F4526-B0D9-42BE-9320-7C3BC62E97D5}">
            <x14:dataBar minLength="0" maxLength="100" border="1" gradient="0">
              <x14:cfvo type="num">
                <xm:f>0</xm:f>
              </x14:cfvo>
              <x14:cfvo type="num">
                <xm:f>1</xm:f>
              </x14:cfvo>
              <x14:borderColor theme="0"/>
              <x14:negativeFillColor rgb="FFFF0000"/>
              <x14:axisColor rgb="FF000000"/>
            </x14:dataBar>
          </x14:cfRule>
          <xm:sqref>AP121</xm:sqref>
        </x14:conditionalFormatting>
        <x14:conditionalFormatting xmlns:xm="http://schemas.microsoft.com/office/excel/2006/main">
          <x14:cfRule type="dataBar" id="{9ABEEDED-0EFA-41B5-AB71-BA7C593FF67E}">
            <x14:dataBar minLength="0" maxLength="100" border="1" gradient="0">
              <x14:cfvo type="num">
                <xm:f>0</xm:f>
              </x14:cfvo>
              <x14:cfvo type="num">
                <xm:f>1</xm:f>
              </x14:cfvo>
              <x14:borderColor theme="0"/>
              <x14:negativeFillColor rgb="FFFF0000"/>
              <x14:axisColor rgb="FF000000"/>
            </x14:dataBar>
          </x14:cfRule>
          <xm:sqref>AP123</xm:sqref>
        </x14:conditionalFormatting>
        <x14:conditionalFormatting xmlns:xm="http://schemas.microsoft.com/office/excel/2006/main">
          <x14:cfRule type="dataBar" id="{8FEC8876-D047-47BB-8A84-C505FCE4406E}">
            <x14:dataBar minLength="0" maxLength="100" border="1" gradient="0">
              <x14:cfvo type="num">
                <xm:f>0</xm:f>
              </x14:cfvo>
              <x14:cfvo type="num">
                <xm:f>1</xm:f>
              </x14:cfvo>
              <x14:borderColor theme="0"/>
              <x14:negativeFillColor rgb="FFFF0000"/>
              <x14:axisColor rgb="FF000000"/>
            </x14:dataBar>
          </x14:cfRule>
          <xm:sqref>AP125</xm:sqref>
        </x14:conditionalFormatting>
        <x14:conditionalFormatting xmlns:xm="http://schemas.microsoft.com/office/excel/2006/main">
          <x14:cfRule type="dataBar" id="{8DFCA0C2-5F98-4F7E-A52F-7A578F09A27D}">
            <x14:dataBar minLength="0" maxLength="100" border="1" gradient="0">
              <x14:cfvo type="num">
                <xm:f>0</xm:f>
              </x14:cfvo>
              <x14:cfvo type="num">
                <xm:f>1</xm:f>
              </x14:cfvo>
              <x14:borderColor theme="0"/>
              <x14:negativeFillColor rgb="FFFF0000"/>
              <x14:axisColor rgb="FF000000"/>
            </x14:dataBar>
          </x14:cfRule>
          <xm:sqref>AP127</xm:sqref>
        </x14:conditionalFormatting>
        <x14:conditionalFormatting xmlns:xm="http://schemas.microsoft.com/office/excel/2006/main">
          <x14:cfRule type="dataBar" id="{B8D3CF18-9DCA-4202-B636-7974A4FA5E08}">
            <x14:dataBar minLength="0" maxLength="100" border="1" gradient="0">
              <x14:cfvo type="num">
                <xm:f>0</xm:f>
              </x14:cfvo>
              <x14:cfvo type="num">
                <xm:f>1</xm:f>
              </x14:cfvo>
              <x14:borderColor theme="0"/>
              <x14:negativeFillColor rgb="FFFF0000"/>
              <x14:axisColor rgb="FF000000"/>
            </x14:dataBar>
          </x14:cfRule>
          <xm:sqref>AP129</xm:sqref>
        </x14:conditionalFormatting>
        <x14:conditionalFormatting xmlns:xm="http://schemas.microsoft.com/office/excel/2006/main">
          <x14:cfRule type="dataBar" id="{89482C03-751F-4909-B157-AF22B0519538}">
            <x14:dataBar minLength="0" maxLength="100" border="1" gradient="0">
              <x14:cfvo type="num">
                <xm:f>0</xm:f>
              </x14:cfvo>
              <x14:cfvo type="num">
                <xm:f>1</xm:f>
              </x14:cfvo>
              <x14:borderColor theme="0"/>
              <x14:negativeFillColor rgb="FFFF0000"/>
              <x14:axisColor rgb="FF000000"/>
            </x14:dataBar>
          </x14:cfRule>
          <xm:sqref>AP131</xm:sqref>
        </x14:conditionalFormatting>
        <x14:conditionalFormatting xmlns:xm="http://schemas.microsoft.com/office/excel/2006/main">
          <x14:cfRule type="dataBar" id="{486B39C9-82DE-4130-887C-DCA6AD9D10F3}">
            <x14:dataBar minLength="0" maxLength="100" border="1" gradient="0">
              <x14:cfvo type="num">
                <xm:f>0</xm:f>
              </x14:cfvo>
              <x14:cfvo type="num">
                <xm:f>1</xm:f>
              </x14:cfvo>
              <x14:borderColor theme="0"/>
              <x14:negativeFillColor rgb="FFFF0000"/>
              <x14:axisColor rgb="FF000000"/>
            </x14:dataBar>
          </x14:cfRule>
          <xm:sqref>AP134</xm:sqref>
        </x14:conditionalFormatting>
        <x14:conditionalFormatting xmlns:xm="http://schemas.microsoft.com/office/excel/2006/main">
          <x14:cfRule type="dataBar" id="{7BAE9A6C-8670-478A-AB43-3B74983604F6}">
            <x14:dataBar minLength="0" maxLength="100" border="1" gradient="0">
              <x14:cfvo type="num">
                <xm:f>0</xm:f>
              </x14:cfvo>
              <x14:cfvo type="num">
                <xm:f>1</xm:f>
              </x14:cfvo>
              <x14:borderColor theme="0"/>
              <x14:negativeFillColor rgb="FFFF0000"/>
              <x14:axisColor rgb="FF000000"/>
            </x14:dataBar>
          </x14:cfRule>
          <xm:sqref>AP137</xm:sqref>
        </x14:conditionalFormatting>
        <x14:conditionalFormatting xmlns:xm="http://schemas.microsoft.com/office/excel/2006/main">
          <x14:cfRule type="dataBar" id="{96D8147A-2D8D-4813-A0F4-872E63AC6AFD}">
            <x14:dataBar minLength="0" maxLength="100" border="1" gradient="0">
              <x14:cfvo type="num">
                <xm:f>0</xm:f>
              </x14:cfvo>
              <x14:cfvo type="num">
                <xm:f>1</xm:f>
              </x14:cfvo>
              <x14:borderColor theme="0"/>
              <x14:negativeFillColor rgb="FFFF0000"/>
              <x14:axisColor rgb="FF000000"/>
            </x14:dataBar>
          </x14:cfRule>
          <xm:sqref>AP140</xm:sqref>
        </x14:conditionalFormatting>
        <x14:conditionalFormatting xmlns:xm="http://schemas.microsoft.com/office/excel/2006/main">
          <x14:cfRule type="dataBar" id="{C0304262-7A2B-4E7E-8506-8D10455135D5}">
            <x14:dataBar minLength="0" maxLength="100" border="1" gradient="0">
              <x14:cfvo type="num">
                <xm:f>0</xm:f>
              </x14:cfvo>
              <x14:cfvo type="num">
                <xm:f>1</xm:f>
              </x14:cfvo>
              <x14:borderColor theme="0"/>
              <x14:negativeFillColor rgb="FFFF0000"/>
              <x14:axisColor rgb="FF000000"/>
            </x14:dataBar>
          </x14:cfRule>
          <xm:sqref>AP142</xm:sqref>
        </x14:conditionalFormatting>
        <x14:conditionalFormatting xmlns:xm="http://schemas.microsoft.com/office/excel/2006/main">
          <x14:cfRule type="dataBar" id="{7A5A4561-796B-4B1E-96AD-9A2BCBC57D4D}">
            <x14:dataBar minLength="0" maxLength="100" border="1" gradient="0">
              <x14:cfvo type="num">
                <xm:f>0</xm:f>
              </x14:cfvo>
              <x14:cfvo type="num">
                <xm:f>1</xm:f>
              </x14:cfvo>
              <x14:borderColor theme="0"/>
              <x14:negativeFillColor rgb="FFFF0000"/>
              <x14:axisColor rgb="FF000000"/>
            </x14:dataBar>
          </x14:cfRule>
          <xm:sqref>AP144</xm:sqref>
        </x14:conditionalFormatting>
        <x14:conditionalFormatting xmlns:xm="http://schemas.microsoft.com/office/excel/2006/main">
          <x14:cfRule type="dataBar" id="{37CE0CB5-AF48-4AEE-B85C-5FBA5F35AD44}">
            <x14:dataBar minLength="0" maxLength="100" border="1" gradient="0">
              <x14:cfvo type="num">
                <xm:f>0</xm:f>
              </x14:cfvo>
              <x14:cfvo type="num">
                <xm:f>1</xm:f>
              </x14:cfvo>
              <x14:borderColor theme="0"/>
              <x14:negativeFillColor rgb="FFFF0000"/>
              <x14:axisColor rgb="FF000000"/>
            </x14:dataBar>
          </x14:cfRule>
          <xm:sqref>AP146</xm:sqref>
        </x14:conditionalFormatting>
        <x14:conditionalFormatting xmlns:xm="http://schemas.microsoft.com/office/excel/2006/main">
          <x14:cfRule type="dataBar" id="{81F80592-5D3E-4540-84C3-1C6E97739281}">
            <x14:dataBar minLength="0" maxLength="100" border="1" gradient="0">
              <x14:cfvo type="num">
                <xm:f>0</xm:f>
              </x14:cfvo>
              <x14:cfvo type="num">
                <xm:f>1</xm:f>
              </x14:cfvo>
              <x14:borderColor theme="0"/>
              <x14:negativeFillColor rgb="FFFF0000"/>
              <x14:axisColor rgb="FF000000"/>
            </x14:dataBar>
          </x14:cfRule>
          <xm:sqref>AP148</xm:sqref>
        </x14:conditionalFormatting>
        <x14:conditionalFormatting xmlns:xm="http://schemas.microsoft.com/office/excel/2006/main">
          <x14:cfRule type="dataBar" id="{2BF60127-E49D-4535-868B-AC9294B606A5}">
            <x14:dataBar minLength="0" maxLength="100" border="1" gradient="0">
              <x14:cfvo type="num">
                <xm:f>0</xm:f>
              </x14:cfvo>
              <x14:cfvo type="num">
                <xm:f>1</xm:f>
              </x14:cfvo>
              <x14:borderColor theme="0"/>
              <x14:negativeFillColor rgb="FFFF0000"/>
              <x14:axisColor rgb="FF000000"/>
            </x14:dataBar>
          </x14:cfRule>
          <xm:sqref>AP150</xm:sqref>
        </x14:conditionalFormatting>
        <x14:conditionalFormatting xmlns:xm="http://schemas.microsoft.com/office/excel/2006/main">
          <x14:cfRule type="dataBar" id="{41DEAF96-55D8-4E24-8D2C-C207E539F3C1}">
            <x14:dataBar minLength="0" maxLength="100" border="1" gradient="0">
              <x14:cfvo type="num">
                <xm:f>0</xm:f>
              </x14:cfvo>
              <x14:cfvo type="num">
                <xm:f>1</xm:f>
              </x14:cfvo>
              <x14:borderColor theme="0"/>
              <x14:negativeFillColor rgb="FFFF0000"/>
              <x14:axisColor rgb="FF000000"/>
            </x14:dataBar>
          </x14:cfRule>
          <xm:sqref>AP152</xm:sqref>
        </x14:conditionalFormatting>
        <x14:conditionalFormatting xmlns:xm="http://schemas.microsoft.com/office/excel/2006/main">
          <x14:cfRule type="dataBar" id="{2B14C710-E692-4771-8148-C62FF7C444C9}">
            <x14:dataBar minLength="0" maxLength="100" border="1" gradient="0">
              <x14:cfvo type="num">
                <xm:f>0</xm:f>
              </x14:cfvo>
              <x14:cfvo type="num">
                <xm:f>1</xm:f>
              </x14:cfvo>
              <x14:borderColor theme="0"/>
              <x14:negativeFillColor rgb="FFFF0000"/>
              <x14:axisColor rgb="FF000000"/>
            </x14:dataBar>
          </x14:cfRule>
          <xm:sqref>AP154</xm:sqref>
        </x14:conditionalFormatting>
        <x14:conditionalFormatting xmlns:xm="http://schemas.microsoft.com/office/excel/2006/main">
          <x14:cfRule type="dataBar" id="{55D6BB11-1CE6-4DA9-8310-9D588C37EE40}">
            <x14:dataBar minLength="0" maxLength="100" border="1" gradient="0">
              <x14:cfvo type="num">
                <xm:f>0</xm:f>
              </x14:cfvo>
              <x14:cfvo type="num">
                <xm:f>1</xm:f>
              </x14:cfvo>
              <x14:borderColor theme="0"/>
              <x14:negativeFillColor rgb="FFFF0000"/>
              <x14:axisColor rgb="FF000000"/>
            </x14:dataBar>
          </x14:cfRule>
          <xm:sqref>AP156</xm:sqref>
        </x14:conditionalFormatting>
        <x14:conditionalFormatting xmlns:xm="http://schemas.microsoft.com/office/excel/2006/main">
          <x14:cfRule type="dataBar" id="{5F660B55-15AF-4C58-A731-E9B39C30A99F}">
            <x14:dataBar minLength="0" maxLength="100" border="1" gradient="0">
              <x14:cfvo type="num">
                <xm:f>0</xm:f>
              </x14:cfvo>
              <x14:cfvo type="num">
                <xm:f>1</xm:f>
              </x14:cfvo>
              <x14:borderColor theme="0"/>
              <x14:negativeFillColor rgb="FFFF0000"/>
              <x14:axisColor rgb="FF000000"/>
            </x14:dataBar>
          </x14:cfRule>
          <xm:sqref>AP158</xm:sqref>
        </x14:conditionalFormatting>
        <x14:conditionalFormatting xmlns:xm="http://schemas.microsoft.com/office/excel/2006/main">
          <x14:cfRule type="dataBar" id="{F9B0AEC3-E598-4089-A608-6F9995526611}">
            <x14:dataBar minLength="0" maxLength="100" border="1" gradient="0">
              <x14:cfvo type="num">
                <xm:f>0</xm:f>
              </x14:cfvo>
              <x14:cfvo type="num">
                <xm:f>1</xm:f>
              </x14:cfvo>
              <x14:borderColor theme="0"/>
              <x14:negativeFillColor rgb="FFFF0000"/>
              <x14:axisColor rgb="FF000000"/>
            </x14:dataBar>
          </x14:cfRule>
          <xm:sqref>AP160</xm:sqref>
        </x14:conditionalFormatting>
        <x14:conditionalFormatting xmlns:xm="http://schemas.microsoft.com/office/excel/2006/main">
          <x14:cfRule type="dataBar" id="{124B3858-A91F-4A12-98C9-2DB4D78F4593}">
            <x14:dataBar minLength="0" maxLength="100" border="1" gradient="0">
              <x14:cfvo type="num">
                <xm:f>0</xm:f>
              </x14:cfvo>
              <x14:cfvo type="num">
                <xm:f>1</xm:f>
              </x14:cfvo>
              <x14:borderColor theme="0"/>
              <x14:negativeFillColor rgb="FFFF0000"/>
              <x14:axisColor rgb="FF000000"/>
            </x14:dataBar>
          </x14:cfRule>
          <xm:sqref>AP162</xm:sqref>
        </x14:conditionalFormatting>
        <x14:conditionalFormatting xmlns:xm="http://schemas.microsoft.com/office/excel/2006/main">
          <x14:cfRule type="dataBar" id="{89881AFA-4719-409C-9367-9D3D3C060559}">
            <x14:dataBar minLength="0" maxLength="100" border="1" gradient="0">
              <x14:cfvo type="num">
                <xm:f>0</xm:f>
              </x14:cfvo>
              <x14:cfvo type="num">
                <xm:f>1</xm:f>
              </x14:cfvo>
              <x14:borderColor theme="0"/>
              <x14:negativeFillColor rgb="FFFF0000"/>
              <x14:axisColor rgb="FF000000"/>
            </x14:dataBar>
          </x14:cfRule>
          <xm:sqref>AP164</xm:sqref>
        </x14:conditionalFormatting>
        <x14:conditionalFormatting xmlns:xm="http://schemas.microsoft.com/office/excel/2006/main">
          <x14:cfRule type="dataBar" id="{9980F87B-E70D-4B09-8E59-E457FA1EBC69}">
            <x14:dataBar minLength="0" maxLength="100" border="1" gradient="0">
              <x14:cfvo type="num">
                <xm:f>0</xm:f>
              </x14:cfvo>
              <x14:cfvo type="num">
                <xm:f>1</xm:f>
              </x14:cfvo>
              <x14:borderColor theme="0"/>
              <x14:negativeFillColor rgb="FFFF0000"/>
              <x14:axisColor rgb="FF000000"/>
            </x14:dataBar>
          </x14:cfRule>
          <xm:sqref>AP166</xm:sqref>
        </x14:conditionalFormatting>
        <x14:conditionalFormatting xmlns:xm="http://schemas.microsoft.com/office/excel/2006/main">
          <x14:cfRule type="dataBar" id="{250DEE08-A98F-429D-ACB2-B96E3E346721}">
            <x14:dataBar minLength="0" maxLength="100" border="1" gradient="0">
              <x14:cfvo type="num">
                <xm:f>0</xm:f>
              </x14:cfvo>
              <x14:cfvo type="num">
                <xm:f>1</xm:f>
              </x14:cfvo>
              <x14:borderColor theme="0"/>
              <x14:negativeFillColor rgb="FFFF0000"/>
              <x14:axisColor rgb="FF000000"/>
            </x14:dataBar>
          </x14:cfRule>
          <xm:sqref>AP168</xm:sqref>
        </x14:conditionalFormatting>
        <x14:conditionalFormatting xmlns:xm="http://schemas.microsoft.com/office/excel/2006/main">
          <x14:cfRule type="dataBar" id="{597266BB-EFFB-4D5B-B68E-55443417EC92}">
            <x14:dataBar minLength="0" maxLength="100" border="1" gradient="0">
              <x14:cfvo type="num">
                <xm:f>0</xm:f>
              </x14:cfvo>
              <x14:cfvo type="num">
                <xm:f>1</xm:f>
              </x14:cfvo>
              <x14:borderColor theme="0"/>
              <x14:negativeFillColor rgb="FFFF0000"/>
              <x14:axisColor rgb="FF000000"/>
            </x14:dataBar>
          </x14:cfRule>
          <xm:sqref>AP170</xm:sqref>
        </x14:conditionalFormatting>
        <x14:conditionalFormatting xmlns:xm="http://schemas.microsoft.com/office/excel/2006/main">
          <x14:cfRule type="dataBar" id="{3AF3267A-9D0F-4FF9-8C34-A6910B27B57E}">
            <x14:dataBar minLength="0" maxLength="100" border="1" gradient="0">
              <x14:cfvo type="num">
                <xm:f>0</xm:f>
              </x14:cfvo>
              <x14:cfvo type="num">
                <xm:f>1</xm:f>
              </x14:cfvo>
              <x14:borderColor theme="0"/>
              <x14:negativeFillColor rgb="FFFF0000"/>
              <x14:axisColor rgb="FF000000"/>
            </x14:dataBar>
          </x14:cfRule>
          <xm:sqref>AP172</xm:sqref>
        </x14:conditionalFormatting>
        <x14:conditionalFormatting xmlns:xm="http://schemas.microsoft.com/office/excel/2006/main">
          <x14:cfRule type="dataBar" id="{89A10523-5255-4289-A6D7-B6BDE5B83381}">
            <x14:dataBar minLength="0" maxLength="100" border="1" gradient="0">
              <x14:cfvo type="num">
                <xm:f>0</xm:f>
              </x14:cfvo>
              <x14:cfvo type="num">
                <xm:f>1</xm:f>
              </x14:cfvo>
              <x14:borderColor theme="0"/>
              <x14:negativeFillColor rgb="FFFF0000"/>
              <x14:axisColor rgb="FF000000"/>
            </x14:dataBar>
          </x14:cfRule>
          <xm:sqref>AP174</xm:sqref>
        </x14:conditionalFormatting>
        <x14:conditionalFormatting xmlns:xm="http://schemas.microsoft.com/office/excel/2006/main">
          <x14:cfRule type="dataBar" id="{C7235718-5E02-420A-8B71-6A163D7AD1D9}">
            <x14:dataBar minLength="0" maxLength="100" border="1" gradient="0">
              <x14:cfvo type="num">
                <xm:f>0</xm:f>
              </x14:cfvo>
              <x14:cfvo type="num">
                <xm:f>1</xm:f>
              </x14:cfvo>
              <x14:borderColor theme="0"/>
              <x14:negativeFillColor rgb="FFFF0000"/>
              <x14:axisColor rgb="FF000000"/>
            </x14:dataBar>
          </x14:cfRule>
          <xm:sqref>AP176</xm:sqref>
        </x14:conditionalFormatting>
        <x14:conditionalFormatting xmlns:xm="http://schemas.microsoft.com/office/excel/2006/main">
          <x14:cfRule type="dataBar" id="{B53525E0-9275-4899-97A4-8F5C5151749B}">
            <x14:dataBar minLength="0" maxLength="100" border="1" gradient="0">
              <x14:cfvo type="num">
                <xm:f>0</xm:f>
              </x14:cfvo>
              <x14:cfvo type="num">
                <xm:f>1</xm:f>
              </x14:cfvo>
              <x14:borderColor theme="0"/>
              <x14:negativeFillColor rgb="FFFF0000"/>
              <x14:axisColor rgb="FF000000"/>
            </x14:dataBar>
          </x14:cfRule>
          <xm:sqref>AP180</xm:sqref>
        </x14:conditionalFormatting>
        <x14:conditionalFormatting xmlns:xm="http://schemas.microsoft.com/office/excel/2006/main">
          <x14:cfRule type="dataBar" id="{F5DBAB0B-6A12-46FD-905B-259D0779E5FC}">
            <x14:dataBar minLength="0" maxLength="100" border="1" gradient="0">
              <x14:cfvo type="num">
                <xm:f>0</xm:f>
              </x14:cfvo>
              <x14:cfvo type="num">
                <xm:f>1</xm:f>
              </x14:cfvo>
              <x14:borderColor theme="0"/>
              <x14:negativeFillColor rgb="FFFF0000"/>
              <x14:axisColor rgb="FF000000"/>
            </x14:dataBar>
          </x14:cfRule>
          <xm:sqref>AP182</xm:sqref>
        </x14:conditionalFormatting>
        <x14:conditionalFormatting xmlns:xm="http://schemas.microsoft.com/office/excel/2006/main">
          <x14:cfRule type="dataBar" id="{245AB351-6CC7-4BA0-8EA2-ECDFFF2423B8}">
            <x14:dataBar minLength="0" maxLength="100" border="1" gradient="0">
              <x14:cfvo type="num">
                <xm:f>0</xm:f>
              </x14:cfvo>
              <x14:cfvo type="num">
                <xm:f>1</xm:f>
              </x14:cfvo>
              <x14:borderColor theme="0"/>
              <x14:negativeFillColor rgb="FFFF0000"/>
              <x14:axisColor rgb="FF000000"/>
            </x14:dataBar>
          </x14:cfRule>
          <xm:sqref>AP184</xm:sqref>
        </x14:conditionalFormatting>
        <x14:conditionalFormatting xmlns:xm="http://schemas.microsoft.com/office/excel/2006/main">
          <x14:cfRule type="dataBar" id="{25A388D2-EAD9-4143-9081-83C3FF383A3C}">
            <x14:dataBar minLength="0" maxLength="100" border="1" gradient="0">
              <x14:cfvo type="num">
                <xm:f>0</xm:f>
              </x14:cfvo>
              <x14:cfvo type="num">
                <xm:f>1</xm:f>
              </x14:cfvo>
              <x14:borderColor theme="0"/>
              <x14:negativeFillColor rgb="FFFF0000"/>
              <x14:axisColor rgb="FF000000"/>
            </x14:dataBar>
          </x14:cfRule>
          <xm:sqref>AP186</xm:sqref>
        </x14:conditionalFormatting>
        <x14:conditionalFormatting xmlns:xm="http://schemas.microsoft.com/office/excel/2006/main">
          <x14:cfRule type="dataBar" id="{91821DFF-DDA3-42CD-9C0C-49125EC9E83D}">
            <x14:dataBar minLength="0" maxLength="100" border="1" gradient="0">
              <x14:cfvo type="num">
                <xm:f>0</xm:f>
              </x14:cfvo>
              <x14:cfvo type="num">
                <xm:f>1</xm:f>
              </x14:cfvo>
              <x14:borderColor theme="0"/>
              <x14:negativeFillColor rgb="FFFF0000"/>
              <x14:axisColor rgb="FF000000"/>
            </x14:dataBar>
          </x14:cfRule>
          <xm:sqref>AP188</xm:sqref>
        </x14:conditionalFormatting>
        <x14:conditionalFormatting xmlns:xm="http://schemas.microsoft.com/office/excel/2006/main">
          <x14:cfRule type="dataBar" id="{FDBDEE11-7798-4992-B68E-56EB6AEDB1E8}">
            <x14:dataBar minLength="0" maxLength="100" border="1" gradient="0">
              <x14:cfvo type="num">
                <xm:f>0</xm:f>
              </x14:cfvo>
              <x14:cfvo type="num">
                <xm:f>1</xm:f>
              </x14:cfvo>
              <x14:borderColor theme="0"/>
              <x14:negativeFillColor rgb="FFFF0000"/>
              <x14:axisColor rgb="FF000000"/>
            </x14:dataBar>
          </x14:cfRule>
          <xm:sqref>AP190</xm:sqref>
        </x14:conditionalFormatting>
        <x14:conditionalFormatting xmlns:xm="http://schemas.microsoft.com/office/excel/2006/main">
          <x14:cfRule type="dataBar" id="{8C94EF17-C095-4581-BA56-E1F7C577FCE4}">
            <x14:dataBar minLength="0" maxLength="100" border="1" gradient="0">
              <x14:cfvo type="num">
                <xm:f>0</xm:f>
              </x14:cfvo>
              <x14:cfvo type="num">
                <xm:f>1</xm:f>
              </x14:cfvo>
              <x14:borderColor theme="0"/>
              <x14:negativeFillColor rgb="FFFF0000"/>
              <x14:axisColor rgb="FF000000"/>
            </x14:dataBar>
          </x14:cfRule>
          <xm:sqref>AP192</xm:sqref>
        </x14:conditionalFormatting>
        <x14:conditionalFormatting xmlns:xm="http://schemas.microsoft.com/office/excel/2006/main">
          <x14:cfRule type="dataBar" id="{7AE9E3EA-F667-4608-8C2F-4ACA10EC0305}">
            <x14:dataBar minLength="0" maxLength="100" border="1" gradient="0">
              <x14:cfvo type="num">
                <xm:f>0</xm:f>
              </x14:cfvo>
              <x14:cfvo type="num">
                <xm:f>1</xm:f>
              </x14:cfvo>
              <x14:borderColor theme="0"/>
              <x14:negativeFillColor rgb="FFFF0000"/>
              <x14:axisColor rgb="FF000000"/>
            </x14:dataBar>
          </x14:cfRule>
          <xm:sqref>AP194</xm:sqref>
        </x14:conditionalFormatting>
        <x14:conditionalFormatting xmlns:xm="http://schemas.microsoft.com/office/excel/2006/main">
          <x14:cfRule type="dataBar" id="{304CD054-8581-4B87-861B-F68AA120F3A6}">
            <x14:dataBar minLength="0" maxLength="100" border="1" gradient="0">
              <x14:cfvo type="num">
                <xm:f>0</xm:f>
              </x14:cfvo>
              <x14:cfvo type="num">
                <xm:f>1</xm:f>
              </x14:cfvo>
              <x14:borderColor theme="0"/>
              <x14:negativeFillColor rgb="FFFF0000"/>
              <x14:axisColor rgb="FF000000"/>
            </x14:dataBar>
          </x14:cfRule>
          <xm:sqref>AP196</xm:sqref>
        </x14:conditionalFormatting>
        <x14:conditionalFormatting xmlns:xm="http://schemas.microsoft.com/office/excel/2006/main">
          <x14:cfRule type="dataBar" id="{60FEB104-C060-4D6B-890D-828EFA61C4FA}">
            <x14:dataBar minLength="0" maxLength="100" border="1" gradient="0">
              <x14:cfvo type="num">
                <xm:f>0</xm:f>
              </x14:cfvo>
              <x14:cfvo type="num">
                <xm:f>1</xm:f>
              </x14:cfvo>
              <x14:borderColor theme="0"/>
              <x14:negativeFillColor rgb="FFFF0000"/>
              <x14:axisColor rgb="FF000000"/>
            </x14:dataBar>
          </x14:cfRule>
          <xm:sqref>AP198</xm:sqref>
        </x14:conditionalFormatting>
        <x14:conditionalFormatting xmlns:xm="http://schemas.microsoft.com/office/excel/2006/main">
          <x14:cfRule type="dataBar" id="{E5422952-095B-4D6F-8B1D-22509C3AA7AA}">
            <x14:dataBar minLength="0" maxLength="100" border="1" gradient="0">
              <x14:cfvo type="num">
                <xm:f>0</xm:f>
              </x14:cfvo>
              <x14:cfvo type="num">
                <xm:f>1</xm:f>
              </x14:cfvo>
              <x14:borderColor theme="0"/>
              <x14:negativeFillColor rgb="FFFF0000"/>
              <x14:axisColor rgb="FF000000"/>
            </x14:dataBar>
          </x14:cfRule>
          <xm:sqref>AP200</xm:sqref>
        </x14:conditionalFormatting>
        <x14:conditionalFormatting xmlns:xm="http://schemas.microsoft.com/office/excel/2006/main">
          <x14:cfRule type="dataBar" id="{23ABD769-220E-4E58-961B-2141DF18A6BC}">
            <x14:dataBar minLength="0" maxLength="100" border="1" gradient="0">
              <x14:cfvo type="num">
                <xm:f>0</xm:f>
              </x14:cfvo>
              <x14:cfvo type="num">
                <xm:f>1</xm:f>
              </x14:cfvo>
              <x14:borderColor theme="0"/>
              <x14:negativeFillColor rgb="FFFF0000"/>
              <x14:axisColor rgb="FF000000"/>
            </x14:dataBar>
          </x14:cfRule>
          <xm:sqref>AP202</xm:sqref>
        </x14:conditionalFormatting>
        <x14:conditionalFormatting xmlns:xm="http://schemas.microsoft.com/office/excel/2006/main">
          <x14:cfRule type="dataBar" id="{07D2A754-C04D-4575-95BB-97F49FB19E1E}">
            <x14:dataBar minLength="0" maxLength="100" border="1" gradient="0">
              <x14:cfvo type="num">
                <xm:f>0</xm:f>
              </x14:cfvo>
              <x14:cfvo type="num">
                <xm:f>1</xm:f>
              </x14:cfvo>
              <x14:borderColor theme="0"/>
              <x14:negativeFillColor rgb="FFFF0000"/>
              <x14:axisColor rgb="FF000000"/>
            </x14:dataBar>
          </x14:cfRule>
          <xm:sqref>AP204</xm:sqref>
        </x14:conditionalFormatting>
        <x14:conditionalFormatting xmlns:xm="http://schemas.microsoft.com/office/excel/2006/main">
          <x14:cfRule type="dataBar" id="{CC94D811-8DE1-46A2-B630-DF3D70CF0618}">
            <x14:dataBar minLength="0" maxLength="100" border="1" gradient="0">
              <x14:cfvo type="num">
                <xm:f>0</xm:f>
              </x14:cfvo>
              <x14:cfvo type="num">
                <xm:f>1</xm:f>
              </x14:cfvo>
              <x14:borderColor theme="0"/>
              <x14:negativeFillColor rgb="FFFF0000"/>
              <x14:axisColor rgb="FF000000"/>
            </x14:dataBar>
          </x14:cfRule>
          <xm:sqref>AP206</xm:sqref>
        </x14:conditionalFormatting>
        <x14:conditionalFormatting xmlns:xm="http://schemas.microsoft.com/office/excel/2006/main">
          <x14:cfRule type="dataBar" id="{8BE9E459-4D3E-4942-8BBC-25CE6298026E}">
            <x14:dataBar minLength="0" maxLength="100" border="1" gradient="0">
              <x14:cfvo type="num">
                <xm:f>0</xm:f>
              </x14:cfvo>
              <x14:cfvo type="num">
                <xm:f>1</xm:f>
              </x14:cfvo>
              <x14:borderColor theme="0"/>
              <x14:negativeFillColor rgb="FFFF0000"/>
              <x14:axisColor rgb="FF000000"/>
            </x14:dataBar>
          </x14:cfRule>
          <xm:sqref>AP208</xm:sqref>
        </x14:conditionalFormatting>
        <x14:conditionalFormatting xmlns:xm="http://schemas.microsoft.com/office/excel/2006/main">
          <x14:cfRule type="dataBar" id="{0D04F8B4-5EB2-4F1D-8A6B-A48316637F12}">
            <x14:dataBar minLength="0" maxLength="100" border="1" gradient="0">
              <x14:cfvo type="num">
                <xm:f>0</xm:f>
              </x14:cfvo>
              <x14:cfvo type="num">
                <xm:f>1</xm:f>
              </x14:cfvo>
              <x14:borderColor theme="0"/>
              <x14:negativeFillColor rgb="FFFF0000"/>
              <x14:axisColor rgb="FF000000"/>
            </x14:dataBar>
          </x14:cfRule>
          <xm:sqref>AP210</xm:sqref>
        </x14:conditionalFormatting>
        <x14:conditionalFormatting xmlns:xm="http://schemas.microsoft.com/office/excel/2006/main">
          <x14:cfRule type="dataBar" id="{0EC96E34-49A4-44E8-9D7F-2302F2A62890}">
            <x14:dataBar minLength="0" maxLength="100" border="1" gradient="0">
              <x14:cfvo type="num">
                <xm:f>0</xm:f>
              </x14:cfvo>
              <x14:cfvo type="num">
                <xm:f>1</xm:f>
              </x14:cfvo>
              <x14:borderColor theme="0"/>
              <x14:negativeFillColor rgb="FFFF0000"/>
              <x14:axisColor rgb="FF000000"/>
            </x14:dataBar>
          </x14:cfRule>
          <xm:sqref>AP212</xm:sqref>
        </x14:conditionalFormatting>
        <x14:conditionalFormatting xmlns:xm="http://schemas.microsoft.com/office/excel/2006/main">
          <x14:cfRule type="dataBar" id="{E983DB06-D42D-4272-8D62-3E7ACFF210CE}">
            <x14:dataBar minLength="0" maxLength="100" border="1" gradient="0">
              <x14:cfvo type="num">
                <xm:f>0</xm:f>
              </x14:cfvo>
              <x14:cfvo type="num">
                <xm:f>1</xm:f>
              </x14:cfvo>
              <x14:borderColor theme="0"/>
              <x14:negativeFillColor rgb="FFFF0000"/>
              <x14:axisColor rgb="FF000000"/>
            </x14:dataBar>
          </x14:cfRule>
          <xm:sqref>AP214</xm:sqref>
        </x14:conditionalFormatting>
        <x14:conditionalFormatting xmlns:xm="http://schemas.microsoft.com/office/excel/2006/main">
          <x14:cfRule type="dataBar" id="{7B7F79AB-D61B-44D8-AD5C-A50D93AEC438}">
            <x14:dataBar minLength="0" maxLength="100" border="1" gradient="0">
              <x14:cfvo type="num">
                <xm:f>0</xm:f>
              </x14:cfvo>
              <x14:cfvo type="num">
                <xm:f>1</xm:f>
              </x14:cfvo>
              <x14:borderColor theme="0"/>
              <x14:negativeFillColor rgb="FFFF0000"/>
              <x14:axisColor rgb="FF000000"/>
            </x14:dataBar>
          </x14:cfRule>
          <xm:sqref>AP216</xm:sqref>
        </x14:conditionalFormatting>
        <x14:conditionalFormatting xmlns:xm="http://schemas.microsoft.com/office/excel/2006/main">
          <x14:cfRule type="dataBar" id="{AA0288EE-480E-41C3-A1D9-F1868C6F2AA9}">
            <x14:dataBar minLength="0" maxLength="100" border="1" gradient="0">
              <x14:cfvo type="num">
                <xm:f>0</xm:f>
              </x14:cfvo>
              <x14:cfvo type="num">
                <xm:f>1</xm:f>
              </x14:cfvo>
              <x14:borderColor theme="0"/>
              <x14:negativeFillColor rgb="FFFF0000"/>
              <x14:axisColor rgb="FF000000"/>
            </x14:dataBar>
          </x14:cfRule>
          <xm:sqref>AP218</xm:sqref>
        </x14:conditionalFormatting>
        <x14:conditionalFormatting xmlns:xm="http://schemas.microsoft.com/office/excel/2006/main">
          <x14:cfRule type="dataBar" id="{F83F3DD9-BAC7-41B5-B449-ED9DF7900E98}">
            <x14:dataBar minLength="0" maxLength="100" border="1" gradient="0">
              <x14:cfvo type="num">
                <xm:f>0</xm:f>
              </x14:cfvo>
              <x14:cfvo type="num">
                <xm:f>1</xm:f>
              </x14:cfvo>
              <x14:borderColor theme="0"/>
              <x14:negativeFillColor rgb="FFFF0000"/>
              <x14:axisColor rgb="FF000000"/>
            </x14:dataBar>
          </x14:cfRule>
          <xm:sqref>AP220</xm:sqref>
        </x14:conditionalFormatting>
        <x14:conditionalFormatting xmlns:xm="http://schemas.microsoft.com/office/excel/2006/main">
          <x14:cfRule type="dataBar" id="{44911B88-DB52-48B5-8AE1-955BBFCAE497}">
            <x14:dataBar minLength="0" maxLength="100" border="1" gradient="0">
              <x14:cfvo type="num">
                <xm:f>0</xm:f>
              </x14:cfvo>
              <x14:cfvo type="num">
                <xm:f>1</xm:f>
              </x14:cfvo>
              <x14:borderColor theme="0"/>
              <x14:negativeFillColor rgb="FFFF0000"/>
              <x14:axisColor rgb="FF000000"/>
            </x14:dataBar>
          </x14:cfRule>
          <xm:sqref>AP222</xm:sqref>
        </x14:conditionalFormatting>
        <x14:conditionalFormatting xmlns:xm="http://schemas.microsoft.com/office/excel/2006/main">
          <x14:cfRule type="dataBar" id="{047FC804-020F-4D13-84B2-56564258BC85}">
            <x14:dataBar minLength="0" maxLength="100" border="1" gradient="0">
              <x14:cfvo type="num">
                <xm:f>0</xm:f>
              </x14:cfvo>
              <x14:cfvo type="num">
                <xm:f>1</xm:f>
              </x14:cfvo>
              <x14:borderColor theme="0"/>
              <x14:negativeFillColor rgb="FFFF0000"/>
              <x14:axisColor rgb="FF000000"/>
            </x14:dataBar>
          </x14:cfRule>
          <xm:sqref>AP226</xm:sqref>
        </x14:conditionalFormatting>
        <x14:conditionalFormatting xmlns:xm="http://schemas.microsoft.com/office/excel/2006/main">
          <x14:cfRule type="dataBar" id="{2ECC47F9-17BF-4A77-BECC-97CC4349C3CB}">
            <x14:dataBar minLength="0" maxLength="100" border="1" gradient="0">
              <x14:cfvo type="num">
                <xm:f>0</xm:f>
              </x14:cfvo>
              <x14:cfvo type="num">
                <xm:f>1</xm:f>
              </x14:cfvo>
              <x14:borderColor theme="0"/>
              <x14:negativeFillColor rgb="FFFF0000"/>
              <x14:axisColor rgb="FF000000"/>
            </x14:dataBar>
          </x14:cfRule>
          <xm:sqref>AP229</xm:sqref>
        </x14:conditionalFormatting>
        <x14:conditionalFormatting xmlns:xm="http://schemas.microsoft.com/office/excel/2006/main">
          <x14:cfRule type="dataBar" id="{C3E3B1FC-BB27-4E71-AE69-CC26DBBA8617}">
            <x14:dataBar minLength="0" maxLength="100" border="1" gradient="0">
              <x14:cfvo type="num">
                <xm:f>0</xm:f>
              </x14:cfvo>
              <x14:cfvo type="num">
                <xm:f>1</xm:f>
              </x14:cfvo>
              <x14:borderColor theme="0"/>
              <x14:negativeFillColor rgb="FFFF0000"/>
              <x14:axisColor rgb="FF000000"/>
            </x14:dataBar>
          </x14:cfRule>
          <xm:sqref>AP233</xm:sqref>
        </x14:conditionalFormatting>
        <x14:conditionalFormatting xmlns:xm="http://schemas.microsoft.com/office/excel/2006/main">
          <x14:cfRule type="dataBar" id="{DE77F6A8-800F-4DD5-83A1-FF5EBD96A951}">
            <x14:dataBar minLength="0" maxLength="100" border="1" gradient="0">
              <x14:cfvo type="num">
                <xm:f>0</xm:f>
              </x14:cfvo>
              <x14:cfvo type="num">
                <xm:f>1</xm:f>
              </x14:cfvo>
              <x14:borderColor theme="0"/>
              <x14:negativeFillColor rgb="FFFF0000"/>
              <x14:axisColor rgb="FF000000"/>
            </x14:dataBar>
          </x14:cfRule>
          <xm:sqref>AP235</xm:sqref>
        </x14:conditionalFormatting>
        <x14:conditionalFormatting xmlns:xm="http://schemas.microsoft.com/office/excel/2006/main">
          <x14:cfRule type="dataBar" id="{A15FFC1E-151D-4877-8FE9-CEF96187D045}">
            <x14:dataBar minLength="0" maxLength="100" border="1" gradient="0">
              <x14:cfvo type="num">
                <xm:f>0</xm:f>
              </x14:cfvo>
              <x14:cfvo type="num">
                <xm:f>1</xm:f>
              </x14:cfvo>
              <x14:borderColor theme="0"/>
              <x14:negativeFillColor rgb="FFFF0000"/>
              <x14:axisColor rgb="FF000000"/>
            </x14:dataBar>
          </x14:cfRule>
          <xm:sqref>AP237</xm:sqref>
        </x14:conditionalFormatting>
        <x14:conditionalFormatting xmlns:xm="http://schemas.microsoft.com/office/excel/2006/main">
          <x14:cfRule type="dataBar" id="{322B77BD-E9D2-4356-95CB-E31A829A8728}">
            <x14:dataBar minLength="0" maxLength="100" border="1" gradient="0">
              <x14:cfvo type="num">
                <xm:f>0</xm:f>
              </x14:cfvo>
              <x14:cfvo type="num">
                <xm:f>1</xm:f>
              </x14:cfvo>
              <x14:borderColor theme="0"/>
              <x14:negativeFillColor rgb="FFFF0000"/>
              <x14:axisColor rgb="FF000000"/>
            </x14:dataBar>
          </x14:cfRule>
          <xm:sqref>AP239</xm:sqref>
        </x14:conditionalFormatting>
        <x14:conditionalFormatting xmlns:xm="http://schemas.microsoft.com/office/excel/2006/main">
          <x14:cfRule type="dataBar" id="{66BD76AE-FFBA-46B5-984B-57B622D41D4B}">
            <x14:dataBar minLength="0" maxLength="100" border="1" gradient="0">
              <x14:cfvo type="num">
                <xm:f>0</xm:f>
              </x14:cfvo>
              <x14:cfvo type="num">
                <xm:f>1</xm:f>
              </x14:cfvo>
              <x14:borderColor theme="0"/>
              <x14:negativeFillColor rgb="FFFF0000"/>
              <x14:axisColor rgb="FF000000"/>
            </x14:dataBar>
          </x14:cfRule>
          <xm:sqref>AP241</xm:sqref>
        </x14:conditionalFormatting>
        <x14:conditionalFormatting xmlns:xm="http://schemas.microsoft.com/office/excel/2006/main">
          <x14:cfRule type="dataBar" id="{3872BD4A-4144-43F0-A84B-FDABC2F917B8}">
            <x14:dataBar minLength="0" maxLength="100" border="1" gradient="0">
              <x14:cfvo type="num">
                <xm:f>0</xm:f>
              </x14:cfvo>
              <x14:cfvo type="num">
                <xm:f>1</xm:f>
              </x14:cfvo>
              <x14:borderColor theme="0"/>
              <x14:negativeFillColor rgb="FFFF0000"/>
              <x14:axisColor rgb="FF000000"/>
            </x14:dataBar>
          </x14:cfRule>
          <xm:sqref>AP243</xm:sqref>
        </x14:conditionalFormatting>
        <x14:conditionalFormatting xmlns:xm="http://schemas.microsoft.com/office/excel/2006/main">
          <x14:cfRule type="dataBar" id="{5A74A42E-74FB-4E58-8F08-C9602EC4C026}">
            <x14:dataBar minLength="0" maxLength="100" border="1" gradient="0">
              <x14:cfvo type="num">
                <xm:f>0</xm:f>
              </x14:cfvo>
              <x14:cfvo type="num">
                <xm:f>1</xm:f>
              </x14:cfvo>
              <x14:borderColor theme="0"/>
              <x14:negativeFillColor rgb="FFFF0000"/>
              <x14:axisColor rgb="FF000000"/>
            </x14:dataBar>
          </x14:cfRule>
          <xm:sqref>AP245</xm:sqref>
        </x14:conditionalFormatting>
        <x14:conditionalFormatting xmlns:xm="http://schemas.microsoft.com/office/excel/2006/main">
          <x14:cfRule type="dataBar" id="{A065BC75-13BB-4387-B6D1-14690F8287EF}">
            <x14:dataBar minLength="0" maxLength="100" border="1" gradient="0">
              <x14:cfvo type="num">
                <xm:f>0</xm:f>
              </x14:cfvo>
              <x14:cfvo type="num">
                <xm:f>1</xm:f>
              </x14:cfvo>
              <x14:borderColor theme="0"/>
              <x14:negativeFillColor rgb="FFFF0000"/>
              <x14:axisColor rgb="FF000000"/>
            </x14:dataBar>
          </x14:cfRule>
          <xm:sqref>AP247</xm:sqref>
        </x14:conditionalFormatting>
        <x14:conditionalFormatting xmlns:xm="http://schemas.microsoft.com/office/excel/2006/main">
          <x14:cfRule type="dataBar" id="{7EA18CD2-88D6-4BDB-A817-1E78F6447010}">
            <x14:dataBar minLength="0" maxLength="100" border="1" gradient="0">
              <x14:cfvo type="num">
                <xm:f>0</xm:f>
              </x14:cfvo>
              <x14:cfvo type="num">
                <xm:f>1</xm:f>
              </x14:cfvo>
              <x14:borderColor theme="0"/>
              <x14:negativeFillColor rgb="FFFF0000"/>
              <x14:axisColor rgb="FF000000"/>
            </x14:dataBar>
          </x14:cfRule>
          <xm:sqref>AP249</xm:sqref>
        </x14:conditionalFormatting>
        <x14:conditionalFormatting xmlns:xm="http://schemas.microsoft.com/office/excel/2006/main">
          <x14:cfRule type="dataBar" id="{42EAEF43-80E2-46E6-9946-AE22ED6FFA8B}">
            <x14:dataBar minLength="0" maxLength="100" border="1" gradient="0">
              <x14:cfvo type="num">
                <xm:f>0</xm:f>
              </x14:cfvo>
              <x14:cfvo type="num">
                <xm:f>1</xm:f>
              </x14:cfvo>
              <x14:borderColor theme="0"/>
              <x14:negativeFillColor rgb="FFFF0000"/>
              <x14:axisColor rgb="FF000000"/>
            </x14:dataBar>
          </x14:cfRule>
          <xm:sqref>AP251</xm:sqref>
        </x14:conditionalFormatting>
        <x14:conditionalFormatting xmlns:xm="http://schemas.microsoft.com/office/excel/2006/main">
          <x14:cfRule type="dataBar" id="{580EEA26-D6D5-47CA-B292-3DE18A78BBF5}">
            <x14:dataBar minLength="0" maxLength="100" border="1" gradient="0">
              <x14:cfvo type="num">
                <xm:f>0</xm:f>
              </x14:cfvo>
              <x14:cfvo type="num">
                <xm:f>1</xm:f>
              </x14:cfvo>
              <x14:borderColor theme="0"/>
              <x14:negativeFillColor rgb="FFFF0000"/>
              <x14:axisColor rgb="FF000000"/>
            </x14:dataBar>
          </x14:cfRule>
          <xm:sqref>AP253</xm:sqref>
        </x14:conditionalFormatting>
        <x14:conditionalFormatting xmlns:xm="http://schemas.microsoft.com/office/excel/2006/main">
          <x14:cfRule type="dataBar" id="{835985E5-FAAA-47D8-B371-21D22D9FAA4A}">
            <x14:dataBar minLength="0" maxLength="100" border="1" gradient="0">
              <x14:cfvo type="num">
                <xm:f>0</xm:f>
              </x14:cfvo>
              <x14:cfvo type="num">
                <xm:f>1</xm:f>
              </x14:cfvo>
              <x14:borderColor theme="0"/>
              <x14:negativeFillColor rgb="FFFF0000"/>
              <x14:axisColor rgb="FF000000"/>
            </x14:dataBar>
          </x14:cfRule>
          <xm:sqref>AP255</xm:sqref>
        </x14:conditionalFormatting>
        <x14:conditionalFormatting xmlns:xm="http://schemas.microsoft.com/office/excel/2006/main">
          <x14:cfRule type="dataBar" id="{3884D6BE-026F-41F8-9987-0E13D957B02E}">
            <x14:dataBar minLength="0" maxLength="100" border="1" gradient="0">
              <x14:cfvo type="num">
                <xm:f>0</xm:f>
              </x14:cfvo>
              <x14:cfvo type="num">
                <xm:f>1</xm:f>
              </x14:cfvo>
              <x14:borderColor theme="0"/>
              <x14:negativeFillColor rgb="FFFF0000"/>
              <x14:axisColor rgb="FF000000"/>
            </x14:dataBar>
          </x14:cfRule>
          <xm:sqref>AP257</xm:sqref>
        </x14:conditionalFormatting>
        <x14:conditionalFormatting xmlns:xm="http://schemas.microsoft.com/office/excel/2006/main">
          <x14:cfRule type="dataBar" id="{A9D4BCC2-3DE7-4DD1-9BC3-B80A467E2CA6}">
            <x14:dataBar minLength="0" maxLength="100" border="1" gradient="0">
              <x14:cfvo type="num">
                <xm:f>0</xm:f>
              </x14:cfvo>
              <x14:cfvo type="num">
                <xm:f>1</xm:f>
              </x14:cfvo>
              <x14:borderColor theme="0"/>
              <x14:negativeFillColor rgb="FFFF0000"/>
              <x14:axisColor rgb="FF000000"/>
            </x14:dataBar>
          </x14:cfRule>
          <xm:sqref>AP259</xm:sqref>
        </x14:conditionalFormatting>
        <x14:conditionalFormatting xmlns:xm="http://schemas.microsoft.com/office/excel/2006/main">
          <x14:cfRule type="dataBar" id="{D6DC49ED-F0DC-431D-BAF6-6905E9D597AF}">
            <x14:dataBar minLength="0" maxLength="100" border="1" gradient="0">
              <x14:cfvo type="num">
                <xm:f>0</xm:f>
              </x14:cfvo>
              <x14:cfvo type="num">
                <xm:f>1</xm:f>
              </x14:cfvo>
              <x14:borderColor theme="0"/>
              <x14:negativeFillColor rgb="FFFF0000"/>
              <x14:axisColor rgb="FF000000"/>
            </x14:dataBar>
          </x14:cfRule>
          <xm:sqref>AP261</xm:sqref>
        </x14:conditionalFormatting>
        <x14:conditionalFormatting xmlns:xm="http://schemas.microsoft.com/office/excel/2006/main">
          <x14:cfRule type="dataBar" id="{498EFF43-D37C-481D-9CFB-342CC7BC2CAD}">
            <x14:dataBar minLength="0" maxLength="100" border="1" gradient="0">
              <x14:cfvo type="num">
                <xm:f>0</xm:f>
              </x14:cfvo>
              <x14:cfvo type="num">
                <xm:f>1</xm:f>
              </x14:cfvo>
              <x14:borderColor theme="0"/>
              <x14:negativeFillColor rgb="FFFF0000"/>
              <x14:axisColor rgb="FF000000"/>
            </x14:dataBar>
          </x14:cfRule>
          <xm:sqref>AP263</xm:sqref>
        </x14:conditionalFormatting>
        <x14:conditionalFormatting xmlns:xm="http://schemas.microsoft.com/office/excel/2006/main">
          <x14:cfRule type="dataBar" id="{832F187C-BC50-4B33-A1F7-3321751B8F65}">
            <x14:dataBar minLength="0" maxLength="100" border="1" gradient="0">
              <x14:cfvo type="num">
                <xm:f>0</xm:f>
              </x14:cfvo>
              <x14:cfvo type="num">
                <xm:f>1</xm:f>
              </x14:cfvo>
              <x14:borderColor theme="0"/>
              <x14:negativeFillColor rgb="FFFF0000"/>
              <x14:axisColor rgb="FF000000"/>
            </x14:dataBar>
          </x14:cfRule>
          <xm:sqref>AP265</xm:sqref>
        </x14:conditionalFormatting>
        <x14:conditionalFormatting xmlns:xm="http://schemas.microsoft.com/office/excel/2006/main">
          <x14:cfRule type="dataBar" id="{8A0BF425-C24F-4DE5-83EB-656A28DA903D}">
            <x14:dataBar minLength="0" maxLength="100" border="1" gradient="0">
              <x14:cfvo type="num">
                <xm:f>0</xm:f>
              </x14:cfvo>
              <x14:cfvo type="num">
                <xm:f>1</xm:f>
              </x14:cfvo>
              <x14:borderColor theme="0"/>
              <x14:negativeFillColor rgb="FFFF0000"/>
              <x14:axisColor rgb="FF000000"/>
            </x14:dataBar>
          </x14:cfRule>
          <xm:sqref>AP267</xm:sqref>
        </x14:conditionalFormatting>
        <x14:conditionalFormatting xmlns:xm="http://schemas.microsoft.com/office/excel/2006/main">
          <x14:cfRule type="dataBar" id="{50E33AFD-8470-4B52-B7C1-980AC9CEFE60}">
            <x14:dataBar minLength="0" maxLength="100" border="1" gradient="0">
              <x14:cfvo type="num">
                <xm:f>0</xm:f>
              </x14:cfvo>
              <x14:cfvo type="num">
                <xm:f>1</xm:f>
              </x14:cfvo>
              <x14:borderColor theme="0"/>
              <x14:negativeFillColor rgb="FFFF0000"/>
              <x14:axisColor rgb="FF000000"/>
            </x14:dataBar>
          </x14:cfRule>
          <xm:sqref>AP269</xm:sqref>
        </x14:conditionalFormatting>
        <x14:conditionalFormatting xmlns:xm="http://schemas.microsoft.com/office/excel/2006/main">
          <x14:cfRule type="dataBar" id="{5B5C25F8-7155-418E-9A09-F991BDE07F60}">
            <x14:dataBar minLength="0" maxLength="100" border="1" gradient="0">
              <x14:cfvo type="num">
                <xm:f>0</xm:f>
              </x14:cfvo>
              <x14:cfvo type="num">
                <xm:f>1</xm:f>
              </x14:cfvo>
              <x14:borderColor theme="0"/>
              <x14:negativeFillColor rgb="FFFF0000"/>
              <x14:axisColor rgb="FF000000"/>
            </x14:dataBar>
          </x14:cfRule>
          <xm:sqref>AP271</xm:sqref>
        </x14:conditionalFormatting>
        <x14:conditionalFormatting xmlns:xm="http://schemas.microsoft.com/office/excel/2006/main">
          <x14:cfRule type="dataBar" id="{BF9B8DA6-B80E-4428-BAAE-AA459A9B16B4}">
            <x14:dataBar minLength="0" maxLength="100" border="1" gradient="0">
              <x14:cfvo type="num">
                <xm:f>0</xm:f>
              </x14:cfvo>
              <x14:cfvo type="num">
                <xm:f>1</xm:f>
              </x14:cfvo>
              <x14:borderColor theme="0"/>
              <x14:negativeFillColor rgb="FFFF0000"/>
              <x14:axisColor rgb="FF000000"/>
            </x14:dataBar>
          </x14:cfRule>
          <xm:sqref>AP273</xm:sqref>
        </x14:conditionalFormatting>
        <x14:conditionalFormatting xmlns:xm="http://schemas.microsoft.com/office/excel/2006/main">
          <x14:cfRule type="dataBar" id="{AEA0CAB5-7E57-483E-BCF7-FE53316B6C3D}">
            <x14:dataBar minLength="0" maxLength="100" border="1" gradient="0">
              <x14:cfvo type="num">
                <xm:f>0</xm:f>
              </x14:cfvo>
              <x14:cfvo type="num">
                <xm:f>1</xm:f>
              </x14:cfvo>
              <x14:borderColor theme="0"/>
              <x14:negativeFillColor rgb="FFFF0000"/>
              <x14:axisColor rgb="FF000000"/>
            </x14:dataBar>
          </x14:cfRule>
          <xm:sqref>AP275</xm:sqref>
        </x14:conditionalFormatting>
        <x14:conditionalFormatting xmlns:xm="http://schemas.microsoft.com/office/excel/2006/main">
          <x14:cfRule type="dataBar" id="{F8228C5A-3D51-47F0-8E34-414F067C1398}">
            <x14:dataBar minLength="0" maxLength="100" border="1" gradient="0">
              <x14:cfvo type="num">
                <xm:f>0</xm:f>
              </x14:cfvo>
              <x14:cfvo type="num">
                <xm:f>1</xm:f>
              </x14:cfvo>
              <x14:borderColor theme="0"/>
              <x14:negativeFillColor rgb="FFFF0000"/>
              <x14:axisColor rgb="FF000000"/>
            </x14:dataBar>
          </x14:cfRule>
          <xm:sqref>AP278</xm:sqref>
        </x14:conditionalFormatting>
        <x14:conditionalFormatting xmlns:xm="http://schemas.microsoft.com/office/excel/2006/main">
          <x14:cfRule type="dataBar" id="{4F1E21E4-2B70-4C72-812A-3F629F378E5A}">
            <x14:dataBar minLength="0" maxLength="100" border="1" gradient="0">
              <x14:cfvo type="num">
                <xm:f>0</xm:f>
              </x14:cfvo>
              <x14:cfvo type="num">
                <xm:f>1</xm:f>
              </x14:cfvo>
              <x14:borderColor theme="0"/>
              <x14:negativeFillColor rgb="FFFF0000"/>
              <x14:axisColor rgb="FF000000"/>
            </x14:dataBar>
          </x14:cfRule>
          <xm:sqref>AP280 AP296</xm:sqref>
        </x14:conditionalFormatting>
        <x14:conditionalFormatting xmlns:xm="http://schemas.microsoft.com/office/excel/2006/main">
          <x14:cfRule type="dataBar" id="{A06DEB8B-FF1F-4980-BAC8-0E97D92B3A92}">
            <x14:dataBar minLength="0" maxLength="100" border="1" gradient="0">
              <x14:cfvo type="num">
                <xm:f>0</xm:f>
              </x14:cfvo>
              <x14:cfvo type="num">
                <xm:f>1</xm:f>
              </x14:cfvo>
              <x14:borderColor theme="0"/>
              <x14:negativeFillColor rgb="FFFF0000"/>
              <x14:axisColor rgb="FF000000"/>
            </x14:dataBar>
          </x14:cfRule>
          <xm:sqref>AP282</xm:sqref>
        </x14:conditionalFormatting>
        <x14:conditionalFormatting xmlns:xm="http://schemas.microsoft.com/office/excel/2006/main">
          <x14:cfRule type="dataBar" id="{0590AA35-5EC9-4004-9ED8-6326C6CEF212}">
            <x14:dataBar minLength="0" maxLength="100" border="1" gradient="0">
              <x14:cfvo type="num">
                <xm:f>0</xm:f>
              </x14:cfvo>
              <x14:cfvo type="num">
                <xm:f>1</xm:f>
              </x14:cfvo>
              <x14:borderColor theme="0"/>
              <x14:negativeFillColor rgb="FFFF0000"/>
              <x14:axisColor rgb="FF000000"/>
            </x14:dataBar>
          </x14:cfRule>
          <xm:sqref>AP284</xm:sqref>
        </x14:conditionalFormatting>
        <x14:conditionalFormatting xmlns:xm="http://schemas.microsoft.com/office/excel/2006/main">
          <x14:cfRule type="dataBar" id="{8BC7BA17-F6A0-4ACB-B3AD-25DD4C13DE8C}">
            <x14:dataBar minLength="0" maxLength="100" border="1" gradient="0">
              <x14:cfvo type="num">
                <xm:f>0</xm:f>
              </x14:cfvo>
              <x14:cfvo type="num">
                <xm:f>1</xm:f>
              </x14:cfvo>
              <x14:borderColor theme="0"/>
              <x14:negativeFillColor rgb="FFFF0000"/>
              <x14:axisColor rgb="FF000000"/>
            </x14:dataBar>
          </x14:cfRule>
          <xm:sqref>AP286</xm:sqref>
        </x14:conditionalFormatting>
        <x14:conditionalFormatting xmlns:xm="http://schemas.microsoft.com/office/excel/2006/main">
          <x14:cfRule type="dataBar" id="{95BE4D90-CA1D-4244-BE53-2CD300AAF5B4}">
            <x14:dataBar minLength="0" maxLength="100" border="1" gradient="0">
              <x14:cfvo type="num">
                <xm:f>0</xm:f>
              </x14:cfvo>
              <x14:cfvo type="num">
                <xm:f>1</xm:f>
              </x14:cfvo>
              <x14:borderColor theme="0"/>
              <x14:negativeFillColor rgb="FFFF0000"/>
              <x14:axisColor rgb="FF000000"/>
            </x14:dataBar>
          </x14:cfRule>
          <xm:sqref>AP288</xm:sqref>
        </x14:conditionalFormatting>
        <x14:conditionalFormatting xmlns:xm="http://schemas.microsoft.com/office/excel/2006/main">
          <x14:cfRule type="dataBar" id="{1C521897-10E5-40DF-8E29-B5C26D1A8DDF}">
            <x14:dataBar minLength="0" maxLength="100" border="1" gradient="0">
              <x14:cfvo type="num">
                <xm:f>0</xm:f>
              </x14:cfvo>
              <x14:cfvo type="num">
                <xm:f>1</xm:f>
              </x14:cfvo>
              <x14:borderColor theme="0"/>
              <x14:negativeFillColor rgb="FFFF0000"/>
              <x14:axisColor rgb="FF000000"/>
            </x14:dataBar>
          </x14:cfRule>
          <xm:sqref>AP290</xm:sqref>
        </x14:conditionalFormatting>
        <x14:conditionalFormatting xmlns:xm="http://schemas.microsoft.com/office/excel/2006/main">
          <x14:cfRule type="dataBar" id="{3127D4F6-5A48-4F87-BF63-E4E605AA7663}">
            <x14:dataBar minLength="0" maxLength="100" border="1" gradient="0">
              <x14:cfvo type="num">
                <xm:f>0</xm:f>
              </x14:cfvo>
              <x14:cfvo type="num">
                <xm:f>1</xm:f>
              </x14:cfvo>
              <x14:borderColor theme="0"/>
              <x14:negativeFillColor rgb="FFFF0000"/>
              <x14:axisColor rgb="FF000000"/>
            </x14:dataBar>
          </x14:cfRule>
          <xm:sqref>AP292</xm:sqref>
        </x14:conditionalFormatting>
        <x14:conditionalFormatting xmlns:xm="http://schemas.microsoft.com/office/excel/2006/main">
          <x14:cfRule type="dataBar" id="{105A005A-0E27-4E81-8BCB-05315A6D93A1}">
            <x14:dataBar minLength="0" maxLength="100" border="1" gradient="0">
              <x14:cfvo type="num">
                <xm:f>0</xm:f>
              </x14:cfvo>
              <x14:cfvo type="num">
                <xm:f>1</xm:f>
              </x14:cfvo>
              <x14:borderColor theme="0"/>
              <x14:negativeFillColor rgb="FFFF0000"/>
              <x14:axisColor rgb="FF000000"/>
            </x14:dataBar>
          </x14:cfRule>
          <xm:sqref>AP294</xm:sqref>
        </x14:conditionalFormatting>
        <x14:conditionalFormatting xmlns:xm="http://schemas.microsoft.com/office/excel/2006/main">
          <x14:cfRule type="dataBar" id="{889645A7-36BD-4888-8E03-922C17687549}">
            <x14:dataBar minLength="0" maxLength="100" border="1" gradient="0">
              <x14:cfvo type="num">
                <xm:f>0</xm:f>
              </x14:cfvo>
              <x14:cfvo type="num">
                <xm:f>1</xm:f>
              </x14:cfvo>
              <x14:borderColor theme="0"/>
              <x14:negativeFillColor rgb="FFFF0000"/>
              <x14:axisColor rgb="FF000000"/>
            </x14:dataBar>
          </x14:cfRule>
          <xm:sqref>AP299</xm:sqref>
        </x14:conditionalFormatting>
        <x14:conditionalFormatting xmlns:xm="http://schemas.microsoft.com/office/excel/2006/main">
          <x14:cfRule type="dataBar" id="{3C9ACD1A-08F9-4B4F-AF38-7E0CFE8CDC7C}">
            <x14:dataBar minLength="0" maxLength="100" border="1" gradient="0">
              <x14:cfvo type="num">
                <xm:f>0</xm:f>
              </x14:cfvo>
              <x14:cfvo type="num">
                <xm:f>1</xm:f>
              </x14:cfvo>
              <x14:borderColor theme="0"/>
              <x14:negativeFillColor rgb="FFFF0000"/>
              <x14:axisColor rgb="FF000000"/>
            </x14:dataBar>
          </x14:cfRule>
          <xm:sqref>AP304</xm:sqref>
        </x14:conditionalFormatting>
        <x14:conditionalFormatting xmlns:xm="http://schemas.microsoft.com/office/excel/2006/main">
          <x14:cfRule type="dataBar" id="{CF5CD884-1E05-48CF-8DF6-1D00DBC401CB}">
            <x14:dataBar minLength="0" maxLength="100" border="1" gradient="0">
              <x14:cfvo type="num">
                <xm:f>0</xm:f>
              </x14:cfvo>
              <x14:cfvo type="num">
                <xm:f>1</xm:f>
              </x14:cfvo>
              <x14:borderColor theme="0"/>
              <x14:negativeFillColor rgb="FFFF0000"/>
              <x14:axisColor rgb="FF000000"/>
            </x14:dataBar>
          </x14:cfRule>
          <xm:sqref>AP307</xm:sqref>
        </x14:conditionalFormatting>
        <x14:conditionalFormatting xmlns:xm="http://schemas.microsoft.com/office/excel/2006/main">
          <x14:cfRule type="dataBar" id="{56EC60F1-E2A5-4EB9-AA60-2FB11DF7132C}">
            <x14:dataBar minLength="0" maxLength="100" border="1" gradient="0">
              <x14:cfvo type="num">
                <xm:f>0</xm:f>
              </x14:cfvo>
              <x14:cfvo type="num">
                <xm:f>1</xm:f>
              </x14:cfvo>
              <x14:borderColor theme="0"/>
              <x14:negativeFillColor rgb="FFFF0000"/>
              <x14:axisColor rgb="FF000000"/>
            </x14:dataBar>
          </x14:cfRule>
          <xm:sqref>AP310</xm:sqref>
        </x14:conditionalFormatting>
        <x14:conditionalFormatting xmlns:xm="http://schemas.microsoft.com/office/excel/2006/main">
          <x14:cfRule type="dataBar" id="{CBCEC011-BD44-4702-A9F8-3CA333E988E1}">
            <x14:dataBar minLength="0" maxLength="100" border="1" gradient="0">
              <x14:cfvo type="num">
                <xm:f>0</xm:f>
              </x14:cfvo>
              <x14:cfvo type="num">
                <xm:f>1</xm:f>
              </x14:cfvo>
              <x14:borderColor theme="0"/>
              <x14:negativeFillColor rgb="FFFF0000"/>
              <x14:axisColor rgb="FF000000"/>
            </x14:dataBar>
          </x14:cfRule>
          <xm:sqref>AP314</xm:sqref>
        </x14:conditionalFormatting>
        <x14:conditionalFormatting xmlns:xm="http://schemas.microsoft.com/office/excel/2006/main">
          <x14:cfRule type="dataBar" id="{98FFD469-1C8D-4154-83A6-DA415699C521}">
            <x14:dataBar minLength="0" maxLength="100" border="1" gradient="0">
              <x14:cfvo type="num">
                <xm:f>0</xm:f>
              </x14:cfvo>
              <x14:cfvo type="num">
                <xm:f>1</xm:f>
              </x14:cfvo>
              <x14:borderColor theme="0"/>
              <x14:negativeFillColor rgb="FFFF0000"/>
              <x14:axisColor rgb="FF000000"/>
            </x14:dataBar>
          </x14:cfRule>
          <xm:sqref>AP316</xm:sqref>
        </x14:conditionalFormatting>
        <x14:conditionalFormatting xmlns:xm="http://schemas.microsoft.com/office/excel/2006/main">
          <x14:cfRule type="dataBar" id="{9F8D2A46-B074-40FD-A897-D0AAC54F84E1}">
            <x14:dataBar minLength="0" maxLength="100" border="1" gradient="0">
              <x14:cfvo type="num">
                <xm:f>0</xm:f>
              </x14:cfvo>
              <x14:cfvo type="num">
                <xm:f>1</xm:f>
              </x14:cfvo>
              <x14:borderColor theme="0"/>
              <x14:negativeFillColor rgb="FFFF0000"/>
              <x14:axisColor rgb="FF000000"/>
            </x14:dataBar>
          </x14:cfRule>
          <xm:sqref>AP318</xm:sqref>
        </x14:conditionalFormatting>
        <x14:conditionalFormatting xmlns:xm="http://schemas.microsoft.com/office/excel/2006/main">
          <x14:cfRule type="dataBar" id="{D69A1502-191E-42F4-BF8D-1838C4DE461B}">
            <x14:dataBar minLength="0" maxLength="100" border="1" gradient="0">
              <x14:cfvo type="num">
                <xm:f>0</xm:f>
              </x14:cfvo>
              <x14:cfvo type="num">
                <xm:f>1</xm:f>
              </x14:cfvo>
              <x14:borderColor theme="0"/>
              <x14:negativeFillColor rgb="FFFF0000"/>
              <x14:axisColor rgb="FF000000"/>
            </x14:dataBar>
          </x14:cfRule>
          <xm:sqref>AP320</xm:sqref>
        </x14:conditionalFormatting>
        <x14:conditionalFormatting xmlns:xm="http://schemas.microsoft.com/office/excel/2006/main">
          <x14:cfRule type="dataBar" id="{C70F9594-58B2-4259-9B1C-4C4908BD5790}">
            <x14:dataBar minLength="0" maxLength="100" border="1" gradient="0">
              <x14:cfvo type="num">
                <xm:f>0</xm:f>
              </x14:cfvo>
              <x14:cfvo type="num">
                <xm:f>1</xm:f>
              </x14:cfvo>
              <x14:borderColor theme="0"/>
              <x14:negativeFillColor rgb="FFFF0000"/>
              <x14:axisColor rgb="FF000000"/>
            </x14:dataBar>
          </x14:cfRule>
          <xm:sqref>AP322</xm:sqref>
        </x14:conditionalFormatting>
        <x14:conditionalFormatting xmlns:xm="http://schemas.microsoft.com/office/excel/2006/main">
          <x14:cfRule type="dataBar" id="{6003A36C-E971-4A80-8599-3323D24ADEAC}">
            <x14:dataBar minLength="0" maxLength="100" border="1" gradient="0">
              <x14:cfvo type="num">
                <xm:f>0</xm:f>
              </x14:cfvo>
              <x14:cfvo type="num">
                <xm:f>1</xm:f>
              </x14:cfvo>
              <x14:borderColor theme="0"/>
              <x14:negativeFillColor rgb="FFFF0000"/>
              <x14:axisColor rgb="FF000000"/>
            </x14:dataBar>
          </x14:cfRule>
          <xm:sqref>AP324</xm:sqref>
        </x14:conditionalFormatting>
        <x14:conditionalFormatting xmlns:xm="http://schemas.microsoft.com/office/excel/2006/main">
          <x14:cfRule type="dataBar" id="{475DC612-6699-4226-B1B3-097DE797C236}">
            <x14:dataBar minLength="0" maxLength="100" border="1" gradient="0">
              <x14:cfvo type="num">
                <xm:f>0</xm:f>
              </x14:cfvo>
              <x14:cfvo type="num">
                <xm:f>1</xm:f>
              </x14:cfvo>
              <x14:borderColor theme="0"/>
              <x14:negativeFillColor rgb="FFFF0000"/>
              <x14:axisColor rgb="FF000000"/>
            </x14:dataBar>
          </x14:cfRule>
          <xm:sqref>AP326</xm:sqref>
        </x14:conditionalFormatting>
        <x14:conditionalFormatting xmlns:xm="http://schemas.microsoft.com/office/excel/2006/main">
          <x14:cfRule type="dataBar" id="{7C40AA3B-8846-40C2-8EF7-DF7C91480DC8}">
            <x14:dataBar minLength="0" maxLength="100" border="1" gradient="0">
              <x14:cfvo type="num">
                <xm:f>0</xm:f>
              </x14:cfvo>
              <x14:cfvo type="num">
                <xm:f>1</xm:f>
              </x14:cfvo>
              <x14:borderColor theme="0"/>
              <x14:negativeFillColor rgb="FFFF0000"/>
              <x14:axisColor rgb="FF000000"/>
            </x14:dataBar>
          </x14:cfRule>
          <xm:sqref>AP328</xm:sqref>
        </x14:conditionalFormatting>
        <x14:conditionalFormatting xmlns:xm="http://schemas.microsoft.com/office/excel/2006/main">
          <x14:cfRule type="dataBar" id="{1002E695-275C-47C5-B019-E7784371B8FF}">
            <x14:dataBar minLength="0" maxLength="100" border="1" gradient="0">
              <x14:cfvo type="num">
                <xm:f>0</xm:f>
              </x14:cfvo>
              <x14:cfvo type="num">
                <xm:f>1</xm:f>
              </x14:cfvo>
              <x14:borderColor theme="0"/>
              <x14:negativeFillColor rgb="FFFF0000"/>
              <x14:axisColor rgb="FF000000"/>
            </x14:dataBar>
          </x14:cfRule>
          <xm:sqref>AP330</xm:sqref>
        </x14:conditionalFormatting>
        <x14:conditionalFormatting xmlns:xm="http://schemas.microsoft.com/office/excel/2006/main">
          <x14:cfRule type="dataBar" id="{C34CF2B7-ED59-4E22-909D-12A284AF7DC1}">
            <x14:dataBar minLength="0" maxLength="100" border="1" gradient="0">
              <x14:cfvo type="num">
                <xm:f>0</xm:f>
              </x14:cfvo>
              <x14:cfvo type="num">
                <xm:f>1</xm:f>
              </x14:cfvo>
              <x14:borderColor theme="0"/>
              <x14:negativeFillColor rgb="FFFF0000"/>
              <x14:axisColor rgb="FF000000"/>
            </x14:dataBar>
          </x14:cfRule>
          <xm:sqref>AP332</xm:sqref>
        </x14:conditionalFormatting>
        <x14:conditionalFormatting xmlns:xm="http://schemas.microsoft.com/office/excel/2006/main">
          <x14:cfRule type="dataBar" id="{4555A562-AC2C-408E-8942-0D7B94E871AD}">
            <x14:dataBar minLength="0" maxLength="100" border="1" gradient="0">
              <x14:cfvo type="num">
                <xm:f>0</xm:f>
              </x14:cfvo>
              <x14:cfvo type="num">
                <xm:f>1</xm:f>
              </x14:cfvo>
              <x14:borderColor theme="0"/>
              <x14:negativeFillColor rgb="FFFF0000"/>
              <x14:axisColor rgb="FF000000"/>
            </x14:dataBar>
          </x14:cfRule>
          <xm:sqref>AP334</xm:sqref>
        </x14:conditionalFormatting>
        <x14:conditionalFormatting xmlns:xm="http://schemas.microsoft.com/office/excel/2006/main">
          <x14:cfRule type="dataBar" id="{87F6EBE0-DF6C-45AC-9D98-88B356FDF949}">
            <x14:dataBar minLength="0" maxLength="100" border="1" gradient="0">
              <x14:cfvo type="num">
                <xm:f>0</xm:f>
              </x14:cfvo>
              <x14:cfvo type="num">
                <xm:f>1</xm:f>
              </x14:cfvo>
              <x14:borderColor theme="0"/>
              <x14:negativeFillColor rgb="FFFF0000"/>
              <x14:axisColor rgb="FF000000"/>
            </x14:dataBar>
          </x14:cfRule>
          <xm:sqref>AP336</xm:sqref>
        </x14:conditionalFormatting>
        <x14:conditionalFormatting xmlns:xm="http://schemas.microsoft.com/office/excel/2006/main">
          <x14:cfRule type="dataBar" id="{8FFD5B8D-D78B-4B7C-96CD-1A0647703C7B}">
            <x14:dataBar minLength="0" maxLength="100" border="1" gradient="0">
              <x14:cfvo type="num">
                <xm:f>0</xm:f>
              </x14:cfvo>
              <x14:cfvo type="num">
                <xm:f>1</xm:f>
              </x14:cfvo>
              <x14:borderColor theme="0"/>
              <x14:negativeFillColor rgb="FFFF0000"/>
              <x14:axisColor rgb="FF000000"/>
            </x14:dataBar>
          </x14:cfRule>
          <xm:sqref>AP338</xm:sqref>
        </x14:conditionalFormatting>
        <x14:conditionalFormatting xmlns:xm="http://schemas.microsoft.com/office/excel/2006/main">
          <x14:cfRule type="dataBar" id="{5B5A662A-B8B9-49D8-81B5-03B2AD22EC97}">
            <x14:dataBar minLength="0" maxLength="100" border="1" gradient="0">
              <x14:cfvo type="num">
                <xm:f>0</xm:f>
              </x14:cfvo>
              <x14:cfvo type="num">
                <xm:f>1</xm:f>
              </x14:cfvo>
              <x14:borderColor theme="0"/>
              <x14:negativeFillColor rgb="FFFF0000"/>
              <x14:axisColor rgb="FF000000"/>
            </x14:dataBar>
          </x14:cfRule>
          <xm:sqref>AP340</xm:sqref>
        </x14:conditionalFormatting>
        <x14:conditionalFormatting xmlns:xm="http://schemas.microsoft.com/office/excel/2006/main">
          <x14:cfRule type="dataBar" id="{43EC26D8-27D2-409C-9B45-18FB9CDDF3FD}">
            <x14:dataBar minLength="0" maxLength="100" border="1" gradient="0">
              <x14:cfvo type="num">
                <xm:f>0</xm:f>
              </x14:cfvo>
              <x14:cfvo type="num">
                <xm:f>1</xm:f>
              </x14:cfvo>
              <x14:borderColor theme="0"/>
              <x14:negativeFillColor rgb="FFFF0000"/>
              <x14:axisColor rgb="FF000000"/>
            </x14:dataBar>
          </x14:cfRule>
          <xm:sqref>AP342</xm:sqref>
        </x14:conditionalFormatting>
        <x14:conditionalFormatting xmlns:xm="http://schemas.microsoft.com/office/excel/2006/main">
          <x14:cfRule type="dataBar" id="{101F3AEE-23CE-4D2D-A314-1A6C3804A136}">
            <x14:dataBar minLength="0" maxLength="100" border="1" gradient="0">
              <x14:cfvo type="num">
                <xm:f>0</xm:f>
              </x14:cfvo>
              <x14:cfvo type="num">
                <xm:f>1</xm:f>
              </x14:cfvo>
              <x14:borderColor theme="0"/>
              <x14:negativeFillColor rgb="FFFF0000"/>
              <x14:axisColor rgb="FF000000"/>
            </x14:dataBar>
          </x14:cfRule>
          <xm:sqref>AP344</xm:sqref>
        </x14:conditionalFormatting>
        <x14:conditionalFormatting xmlns:xm="http://schemas.microsoft.com/office/excel/2006/main">
          <x14:cfRule type="dataBar" id="{AC65AA51-7024-4716-BADC-A13C75B78B2F}">
            <x14:dataBar minLength="0" maxLength="100" border="1" gradient="0">
              <x14:cfvo type="num">
                <xm:f>0</xm:f>
              </x14:cfvo>
              <x14:cfvo type="num">
                <xm:f>1</xm:f>
              </x14:cfvo>
              <x14:borderColor theme="0"/>
              <x14:negativeFillColor rgb="FFFF0000"/>
              <x14:axisColor rgb="FF000000"/>
            </x14:dataBar>
          </x14:cfRule>
          <xm:sqref>AP346</xm:sqref>
        </x14:conditionalFormatting>
        <x14:conditionalFormatting xmlns:xm="http://schemas.microsoft.com/office/excel/2006/main">
          <x14:cfRule type="dataBar" id="{8A8FEE47-2522-4D79-89EA-C3AE0C04BF03}">
            <x14:dataBar minLength="0" maxLength="100" border="1" gradient="0">
              <x14:cfvo type="num">
                <xm:f>0</xm:f>
              </x14:cfvo>
              <x14:cfvo type="num">
                <xm:f>1</xm:f>
              </x14:cfvo>
              <x14:borderColor theme="0"/>
              <x14:negativeFillColor rgb="FFFF0000"/>
              <x14:axisColor rgb="FF000000"/>
            </x14:dataBar>
          </x14:cfRule>
          <xm:sqref>AP348</xm:sqref>
        </x14:conditionalFormatting>
        <x14:conditionalFormatting xmlns:xm="http://schemas.microsoft.com/office/excel/2006/main">
          <x14:cfRule type="dataBar" id="{8F8A61DF-3F67-474B-BF1E-7613F548748D}">
            <x14:dataBar minLength="0" maxLength="100" border="1" gradient="0">
              <x14:cfvo type="num">
                <xm:f>0</xm:f>
              </x14:cfvo>
              <x14:cfvo type="num">
                <xm:f>1</xm:f>
              </x14:cfvo>
              <x14:borderColor theme="0"/>
              <x14:negativeFillColor rgb="FFFF0000"/>
              <x14:axisColor rgb="FF000000"/>
            </x14:dataBar>
          </x14:cfRule>
          <xm:sqref>AP350</xm:sqref>
        </x14:conditionalFormatting>
        <x14:conditionalFormatting xmlns:xm="http://schemas.microsoft.com/office/excel/2006/main">
          <x14:cfRule type="dataBar" id="{18234517-5434-4346-90D2-CF27C26ABDF5}">
            <x14:dataBar minLength="0" maxLength="100" border="1" gradient="0">
              <x14:cfvo type="num">
                <xm:f>0</xm:f>
              </x14:cfvo>
              <x14:cfvo type="num">
                <xm:f>1</xm:f>
              </x14:cfvo>
              <x14:borderColor theme="0"/>
              <x14:negativeFillColor rgb="FFFF0000"/>
              <x14:axisColor rgb="FF000000"/>
            </x14:dataBar>
          </x14:cfRule>
          <xm:sqref>AP352</xm:sqref>
        </x14:conditionalFormatting>
        <x14:conditionalFormatting xmlns:xm="http://schemas.microsoft.com/office/excel/2006/main">
          <x14:cfRule type="dataBar" id="{C6C697AC-BEE6-4126-BFD4-A679BD9A9CAF}">
            <x14:dataBar minLength="0" maxLength="100" border="1" gradient="0">
              <x14:cfvo type="num">
                <xm:f>0</xm:f>
              </x14:cfvo>
              <x14:cfvo type="num">
                <xm:f>1</xm:f>
              </x14:cfvo>
              <x14:borderColor theme="0"/>
              <x14:negativeFillColor rgb="FFFF0000"/>
              <x14:axisColor rgb="FF000000"/>
            </x14:dataBar>
          </x14:cfRule>
          <xm:sqref>AP354</xm:sqref>
        </x14:conditionalFormatting>
        <x14:conditionalFormatting xmlns:xm="http://schemas.microsoft.com/office/excel/2006/main">
          <x14:cfRule type="dataBar" id="{1EA00C12-0B51-4BAA-B36B-0E6D517CA40B}">
            <x14:dataBar minLength="0" maxLength="100" border="1" gradient="0">
              <x14:cfvo type="num">
                <xm:f>0</xm:f>
              </x14:cfvo>
              <x14:cfvo type="num">
                <xm:f>1</xm:f>
              </x14:cfvo>
              <x14:borderColor theme="0"/>
              <x14:negativeFillColor rgb="FFFF0000"/>
              <x14:axisColor rgb="FF000000"/>
            </x14:dataBar>
          </x14:cfRule>
          <xm:sqref>AP356</xm:sqref>
        </x14:conditionalFormatting>
        <x14:conditionalFormatting xmlns:xm="http://schemas.microsoft.com/office/excel/2006/main">
          <x14:cfRule type="dataBar" id="{04ACA202-37CD-4E99-9A67-0CD32CEEDABE}">
            <x14:dataBar minLength="0" maxLength="100" border="1" gradient="0">
              <x14:cfvo type="num">
                <xm:f>0</xm:f>
              </x14:cfvo>
              <x14:cfvo type="num">
                <xm:f>1</xm:f>
              </x14:cfvo>
              <x14:borderColor theme="0"/>
              <x14:negativeFillColor rgb="FFFF0000"/>
              <x14:axisColor rgb="FF000000"/>
            </x14:dataBar>
          </x14:cfRule>
          <xm:sqref>AP358</xm:sqref>
        </x14:conditionalFormatting>
        <x14:conditionalFormatting xmlns:xm="http://schemas.microsoft.com/office/excel/2006/main">
          <x14:cfRule type="dataBar" id="{AE28A57F-94CA-4DB4-82BC-C71A668363B0}">
            <x14:dataBar minLength="0" maxLength="100" border="1" gradient="0">
              <x14:cfvo type="num">
                <xm:f>0</xm:f>
              </x14:cfvo>
              <x14:cfvo type="num">
                <xm:f>1</xm:f>
              </x14:cfvo>
              <x14:borderColor theme="0"/>
              <x14:negativeFillColor rgb="FFFF0000"/>
              <x14:axisColor rgb="FF000000"/>
            </x14:dataBar>
          </x14:cfRule>
          <xm:sqref>AP360</xm:sqref>
        </x14:conditionalFormatting>
        <x14:conditionalFormatting xmlns:xm="http://schemas.microsoft.com/office/excel/2006/main">
          <x14:cfRule type="dataBar" id="{D59B1F0D-9DE9-4153-A93C-4F47174D2D43}">
            <x14:dataBar minLength="0" maxLength="100" border="1" gradient="0">
              <x14:cfvo type="num">
                <xm:f>0</xm:f>
              </x14:cfvo>
              <x14:cfvo type="num">
                <xm:f>1</xm:f>
              </x14:cfvo>
              <x14:borderColor theme="0"/>
              <x14:negativeFillColor rgb="FFFF0000"/>
              <x14:axisColor rgb="FF000000"/>
            </x14:dataBar>
          </x14:cfRule>
          <xm:sqref>AP362</xm:sqref>
        </x14:conditionalFormatting>
        <x14:conditionalFormatting xmlns:xm="http://schemas.microsoft.com/office/excel/2006/main">
          <x14:cfRule type="dataBar" id="{58A978ED-0376-4864-950A-16FEB92E6D92}">
            <x14:dataBar minLength="0" maxLength="100" border="1" gradient="0">
              <x14:cfvo type="num">
                <xm:f>0</xm:f>
              </x14:cfvo>
              <x14:cfvo type="num">
                <xm:f>1</xm:f>
              </x14:cfvo>
              <x14:borderColor theme="0"/>
              <x14:negativeFillColor rgb="FFFF0000"/>
              <x14:axisColor rgb="FF000000"/>
            </x14:dataBar>
          </x14:cfRule>
          <xm:sqref>AP364</xm:sqref>
        </x14:conditionalFormatting>
        <x14:conditionalFormatting xmlns:xm="http://schemas.microsoft.com/office/excel/2006/main">
          <x14:cfRule type="dataBar" id="{5A2B73EF-1438-4DC6-9D7C-FA256E1862DF}">
            <x14:dataBar minLength="0" maxLength="100" border="1" gradient="0">
              <x14:cfvo type="num">
                <xm:f>0</xm:f>
              </x14:cfvo>
              <x14:cfvo type="num">
                <xm:f>1</xm:f>
              </x14:cfvo>
              <x14:borderColor theme="0"/>
              <x14:negativeFillColor rgb="FFFF0000"/>
              <x14:axisColor rgb="FF000000"/>
            </x14:dataBar>
          </x14:cfRule>
          <xm:sqref>AP366</xm:sqref>
        </x14:conditionalFormatting>
        <x14:conditionalFormatting xmlns:xm="http://schemas.microsoft.com/office/excel/2006/main">
          <x14:cfRule type="dataBar" id="{CF12D746-A9FD-4E41-BFF1-054726E64313}">
            <x14:dataBar minLength="0" maxLength="100" border="1" gradient="0">
              <x14:cfvo type="num">
                <xm:f>0</xm:f>
              </x14:cfvo>
              <x14:cfvo type="num">
                <xm:f>1</xm:f>
              </x14:cfvo>
              <x14:borderColor theme="0"/>
              <x14:negativeFillColor rgb="FFFF0000"/>
              <x14:axisColor rgb="FF000000"/>
            </x14:dataBar>
          </x14:cfRule>
          <xm:sqref>AP368</xm:sqref>
        </x14:conditionalFormatting>
        <x14:conditionalFormatting xmlns:xm="http://schemas.microsoft.com/office/excel/2006/main">
          <x14:cfRule type="dataBar" id="{DD60A899-1B92-4874-8204-7D1CFF93A156}">
            <x14:dataBar minLength="0" maxLength="100" border="1" gradient="0">
              <x14:cfvo type="num">
                <xm:f>0</xm:f>
              </x14:cfvo>
              <x14:cfvo type="num">
                <xm:f>1</xm:f>
              </x14:cfvo>
              <x14:borderColor theme="0"/>
              <x14:negativeFillColor rgb="FFFF0000"/>
              <x14:axisColor rgb="FF000000"/>
            </x14:dataBar>
          </x14:cfRule>
          <xm:sqref>AP370</xm:sqref>
        </x14:conditionalFormatting>
        <x14:conditionalFormatting xmlns:xm="http://schemas.microsoft.com/office/excel/2006/main">
          <x14:cfRule type="dataBar" id="{C20A98E0-9EA2-4009-8396-916DF5B9AF89}">
            <x14:dataBar minLength="0" maxLength="100" border="1" gradient="0">
              <x14:cfvo type="num">
                <xm:f>0</xm:f>
              </x14:cfvo>
              <x14:cfvo type="num">
                <xm:f>1</xm:f>
              </x14:cfvo>
              <x14:borderColor theme="0"/>
              <x14:negativeFillColor rgb="FFFF0000"/>
              <x14:axisColor rgb="FF000000"/>
            </x14:dataBar>
          </x14:cfRule>
          <xm:sqref>AP372</xm:sqref>
        </x14:conditionalFormatting>
        <x14:conditionalFormatting xmlns:xm="http://schemas.microsoft.com/office/excel/2006/main">
          <x14:cfRule type="dataBar" id="{C1B9CEC1-84C4-4185-915C-56AF5C594FFB}">
            <x14:dataBar minLength="0" maxLength="100" border="1" gradient="0">
              <x14:cfvo type="num">
                <xm:f>0</xm:f>
              </x14:cfvo>
              <x14:cfvo type="num">
                <xm:f>1</xm:f>
              </x14:cfvo>
              <x14:borderColor theme="0"/>
              <x14:negativeFillColor rgb="FFFF0000"/>
              <x14:axisColor rgb="FF000000"/>
            </x14:dataBar>
          </x14:cfRule>
          <xm:sqref>AP374</xm:sqref>
        </x14:conditionalFormatting>
        <x14:conditionalFormatting xmlns:xm="http://schemas.microsoft.com/office/excel/2006/main">
          <x14:cfRule type="dataBar" id="{3F253486-1BB3-4AAA-AE56-8AD7164C2025}">
            <x14:dataBar minLength="0" maxLength="100" border="1" gradient="0">
              <x14:cfvo type="num">
                <xm:f>0</xm:f>
              </x14:cfvo>
              <x14:cfvo type="num">
                <xm:f>1</xm:f>
              </x14:cfvo>
              <x14:borderColor theme="0"/>
              <x14:negativeFillColor rgb="FFFF0000"/>
              <x14:axisColor rgb="FF000000"/>
            </x14:dataBar>
          </x14:cfRule>
          <xm:sqref>AP376</xm:sqref>
        </x14:conditionalFormatting>
        <x14:conditionalFormatting xmlns:xm="http://schemas.microsoft.com/office/excel/2006/main">
          <x14:cfRule type="dataBar" id="{E6B603F1-4768-41A5-8FB3-A756A8620528}">
            <x14:dataBar minLength="0" maxLength="100" border="1" gradient="0">
              <x14:cfvo type="num">
                <xm:f>0</xm:f>
              </x14:cfvo>
              <x14:cfvo type="num">
                <xm:f>1</xm:f>
              </x14:cfvo>
              <x14:borderColor theme="0"/>
              <x14:negativeFillColor rgb="FFFF0000"/>
              <x14:axisColor rgb="FF000000"/>
            </x14:dataBar>
          </x14:cfRule>
          <xm:sqref>AP378</xm:sqref>
        </x14:conditionalFormatting>
        <x14:conditionalFormatting xmlns:xm="http://schemas.microsoft.com/office/excel/2006/main">
          <x14:cfRule type="dataBar" id="{BEE47D09-1D24-41CE-AB3C-4276FE26F1C2}">
            <x14:dataBar minLength="0" maxLength="100" border="1" gradient="0">
              <x14:cfvo type="num">
                <xm:f>0</xm:f>
              </x14:cfvo>
              <x14:cfvo type="num">
                <xm:f>1</xm:f>
              </x14:cfvo>
              <x14:borderColor theme="0"/>
              <x14:negativeFillColor rgb="FFFF0000"/>
              <x14:axisColor rgb="FF000000"/>
            </x14:dataBar>
          </x14:cfRule>
          <xm:sqref>AP380</xm:sqref>
        </x14:conditionalFormatting>
        <x14:conditionalFormatting xmlns:xm="http://schemas.microsoft.com/office/excel/2006/main">
          <x14:cfRule type="dataBar" id="{DC873060-619E-437B-B17D-4854B735814B}">
            <x14:dataBar minLength="0" maxLength="100" border="1" gradient="0">
              <x14:cfvo type="num">
                <xm:f>0</xm:f>
              </x14:cfvo>
              <x14:cfvo type="num">
                <xm:f>1</xm:f>
              </x14:cfvo>
              <x14:borderColor theme="0"/>
              <x14:negativeFillColor rgb="FFFF0000"/>
              <x14:axisColor rgb="FF000000"/>
            </x14:dataBar>
          </x14:cfRule>
          <xm:sqref>AP382</xm:sqref>
        </x14:conditionalFormatting>
        <x14:conditionalFormatting xmlns:xm="http://schemas.microsoft.com/office/excel/2006/main">
          <x14:cfRule type="dataBar" id="{BFF1157C-6F58-41D0-96EF-7FE5167F7B5E}">
            <x14:dataBar minLength="0" maxLength="100" border="1" gradient="0">
              <x14:cfvo type="num">
                <xm:f>0</xm:f>
              </x14:cfvo>
              <x14:cfvo type="num">
                <xm:f>1</xm:f>
              </x14:cfvo>
              <x14:borderColor theme="0"/>
              <x14:negativeFillColor rgb="FFFF0000"/>
              <x14:axisColor rgb="FF000000"/>
            </x14:dataBar>
          </x14:cfRule>
          <xm:sqref>AP384</xm:sqref>
        </x14:conditionalFormatting>
        <x14:conditionalFormatting xmlns:xm="http://schemas.microsoft.com/office/excel/2006/main">
          <x14:cfRule type="dataBar" id="{CD33F35C-87EB-49BC-9761-A61CF79F9887}">
            <x14:dataBar minLength="0" maxLength="100" border="1" gradient="0">
              <x14:cfvo type="num">
                <xm:f>0</xm:f>
              </x14:cfvo>
              <x14:cfvo type="num">
                <xm:f>1</xm:f>
              </x14:cfvo>
              <x14:borderColor theme="0"/>
              <x14:negativeFillColor rgb="FFFF0000"/>
              <x14:axisColor rgb="FF000000"/>
            </x14:dataBar>
          </x14:cfRule>
          <xm:sqref>AP386</xm:sqref>
        </x14:conditionalFormatting>
        <x14:conditionalFormatting xmlns:xm="http://schemas.microsoft.com/office/excel/2006/main">
          <x14:cfRule type="dataBar" id="{2051BE27-E0B9-4F11-8EDE-537230F5AC1C}">
            <x14:dataBar minLength="0" maxLength="100" border="1" gradient="0">
              <x14:cfvo type="num">
                <xm:f>0</xm:f>
              </x14:cfvo>
              <x14:cfvo type="num">
                <xm:f>1</xm:f>
              </x14:cfvo>
              <x14:borderColor theme="0"/>
              <x14:negativeFillColor rgb="FFFF0000"/>
              <x14:axisColor rgb="FF000000"/>
            </x14:dataBar>
          </x14:cfRule>
          <xm:sqref>AP388</xm:sqref>
        </x14:conditionalFormatting>
        <x14:conditionalFormatting xmlns:xm="http://schemas.microsoft.com/office/excel/2006/main">
          <x14:cfRule type="dataBar" id="{28F95417-B7FE-4CA7-B8B7-57F7DCD82085}">
            <x14:dataBar minLength="0" maxLength="100" border="1" gradient="0">
              <x14:cfvo type="num">
                <xm:f>0</xm:f>
              </x14:cfvo>
              <x14:cfvo type="num">
                <xm:f>1</xm:f>
              </x14:cfvo>
              <x14:borderColor theme="0"/>
              <x14:negativeFillColor rgb="FFFF0000"/>
              <x14:axisColor rgb="FF000000"/>
            </x14:dataBar>
          </x14:cfRule>
          <xm:sqref>AP390</xm:sqref>
        </x14:conditionalFormatting>
        <x14:conditionalFormatting xmlns:xm="http://schemas.microsoft.com/office/excel/2006/main">
          <x14:cfRule type="dataBar" id="{50B36709-C2EC-41EA-8280-5E0561F9374E}">
            <x14:dataBar minLength="0" maxLength="100" border="1" gradient="0">
              <x14:cfvo type="num">
                <xm:f>0</xm:f>
              </x14:cfvo>
              <x14:cfvo type="num">
                <xm:f>1</xm:f>
              </x14:cfvo>
              <x14:borderColor theme="0"/>
              <x14:negativeFillColor rgb="FFFF0000"/>
              <x14:axisColor rgb="FF000000"/>
            </x14:dataBar>
          </x14:cfRule>
          <xm:sqref>AP393</xm:sqref>
        </x14:conditionalFormatting>
        <x14:conditionalFormatting xmlns:xm="http://schemas.microsoft.com/office/excel/2006/main">
          <x14:cfRule type="dataBar" id="{B1EDC3FA-3FAA-4D8A-A2E7-DE58D693D6B6}">
            <x14:dataBar minLength="0" maxLength="100" border="1" gradient="0">
              <x14:cfvo type="num">
                <xm:f>0</xm:f>
              </x14:cfvo>
              <x14:cfvo type="num">
                <xm:f>1</xm:f>
              </x14:cfvo>
              <x14:borderColor theme="0"/>
              <x14:negativeFillColor rgb="FFFF0000"/>
              <x14:axisColor rgb="FF000000"/>
            </x14:dataBar>
          </x14:cfRule>
          <xm:sqref>AP395</xm:sqref>
        </x14:conditionalFormatting>
        <x14:conditionalFormatting xmlns:xm="http://schemas.microsoft.com/office/excel/2006/main">
          <x14:cfRule type="dataBar" id="{8A6C49C4-CA40-48B7-AF6A-DDC2C44C4A2C}">
            <x14:dataBar minLength="0" maxLength="100" border="1" gradient="0">
              <x14:cfvo type="num">
                <xm:f>0</xm:f>
              </x14:cfvo>
              <x14:cfvo type="num">
                <xm:f>1</xm:f>
              </x14:cfvo>
              <x14:borderColor theme="0"/>
              <x14:negativeFillColor rgb="FFFF0000"/>
              <x14:axisColor rgb="FF000000"/>
            </x14:dataBar>
          </x14:cfRule>
          <xm:sqref>AP397</xm:sqref>
        </x14:conditionalFormatting>
        <x14:conditionalFormatting xmlns:xm="http://schemas.microsoft.com/office/excel/2006/main">
          <x14:cfRule type="dataBar" id="{59B96D3D-E3DD-49AF-96FA-E0366E540E24}">
            <x14:dataBar minLength="0" maxLength="100" border="1" gradient="0">
              <x14:cfvo type="num">
                <xm:f>0</xm:f>
              </x14:cfvo>
              <x14:cfvo type="num">
                <xm:f>1</xm:f>
              </x14:cfvo>
              <x14:borderColor theme="0"/>
              <x14:negativeFillColor rgb="FFFF0000"/>
              <x14:axisColor rgb="FF000000"/>
            </x14:dataBar>
          </x14:cfRule>
          <xm:sqref>AP399</xm:sqref>
        </x14:conditionalFormatting>
        <x14:conditionalFormatting xmlns:xm="http://schemas.microsoft.com/office/excel/2006/main">
          <x14:cfRule type="dataBar" id="{16C6BFC6-6452-44D9-8A30-838FFEF9D2CD}">
            <x14:dataBar minLength="0" maxLength="100" border="1" gradient="0">
              <x14:cfvo type="num">
                <xm:f>0</xm:f>
              </x14:cfvo>
              <x14:cfvo type="num">
                <xm:f>1</xm:f>
              </x14:cfvo>
              <x14:borderColor theme="0"/>
              <x14:negativeFillColor rgb="FFFF0000"/>
              <x14:axisColor rgb="FF000000"/>
            </x14:dataBar>
          </x14:cfRule>
          <xm:sqref>AP401</xm:sqref>
        </x14:conditionalFormatting>
        <x14:conditionalFormatting xmlns:xm="http://schemas.microsoft.com/office/excel/2006/main">
          <x14:cfRule type="dataBar" id="{DA6A0A68-45A5-47BF-AB03-54112AA524EF}">
            <x14:dataBar minLength="0" maxLength="100" border="1" gradient="0">
              <x14:cfvo type="num">
                <xm:f>0</xm:f>
              </x14:cfvo>
              <x14:cfvo type="num">
                <xm:f>1</xm:f>
              </x14:cfvo>
              <x14:borderColor theme="0"/>
              <x14:negativeFillColor rgb="FFFF0000"/>
              <x14:axisColor rgb="FF000000"/>
            </x14:dataBar>
          </x14:cfRule>
          <xm:sqref>AP403</xm:sqref>
        </x14:conditionalFormatting>
        <x14:conditionalFormatting xmlns:xm="http://schemas.microsoft.com/office/excel/2006/main">
          <x14:cfRule type="dataBar" id="{8B6D1B8D-31C6-4CF5-9E8A-5F8D7FE41416}">
            <x14:dataBar minLength="0" maxLength="100" border="1" gradient="0">
              <x14:cfvo type="num">
                <xm:f>0</xm:f>
              </x14:cfvo>
              <x14:cfvo type="num">
                <xm:f>1</xm:f>
              </x14:cfvo>
              <x14:borderColor theme="0"/>
              <x14:negativeFillColor rgb="FFFF0000"/>
              <x14:axisColor rgb="FF000000"/>
            </x14:dataBar>
          </x14:cfRule>
          <xm:sqref>AP405</xm:sqref>
        </x14:conditionalFormatting>
        <x14:conditionalFormatting xmlns:xm="http://schemas.microsoft.com/office/excel/2006/main">
          <x14:cfRule type="dataBar" id="{939E5824-F23A-46AF-BD09-8C902C764140}">
            <x14:dataBar minLength="0" maxLength="100" border="1" gradient="0">
              <x14:cfvo type="num">
                <xm:f>0</xm:f>
              </x14:cfvo>
              <x14:cfvo type="num">
                <xm:f>1</xm:f>
              </x14:cfvo>
              <x14:borderColor theme="0"/>
              <x14:negativeFillColor rgb="FFFF0000"/>
              <x14:axisColor rgb="FF000000"/>
            </x14:dataBar>
          </x14:cfRule>
          <xm:sqref>AP407</xm:sqref>
        </x14:conditionalFormatting>
        <x14:conditionalFormatting xmlns:xm="http://schemas.microsoft.com/office/excel/2006/main">
          <x14:cfRule type="dataBar" id="{35334D0B-38BD-4455-B99C-EAA6095D2506}">
            <x14:dataBar minLength="0" maxLength="100" border="1" gradient="0">
              <x14:cfvo type="num">
                <xm:f>0</xm:f>
              </x14:cfvo>
              <x14:cfvo type="num">
                <xm:f>1</xm:f>
              </x14:cfvo>
              <x14:borderColor theme="0"/>
              <x14:negativeFillColor rgb="FFFF0000"/>
              <x14:axisColor rgb="FF000000"/>
            </x14:dataBar>
          </x14:cfRule>
          <xm:sqref>AP409</xm:sqref>
        </x14:conditionalFormatting>
        <x14:conditionalFormatting xmlns:xm="http://schemas.microsoft.com/office/excel/2006/main">
          <x14:cfRule type="dataBar" id="{783841CB-1336-41CB-A00F-5FB0A0606E97}">
            <x14:dataBar minLength="0" maxLength="100" border="1" gradient="0">
              <x14:cfvo type="num">
                <xm:f>0</xm:f>
              </x14:cfvo>
              <x14:cfvo type="num">
                <xm:f>1</xm:f>
              </x14:cfvo>
              <x14:borderColor theme="0"/>
              <x14:negativeFillColor rgb="FFFF0000"/>
              <x14:axisColor rgb="FF000000"/>
            </x14:dataBar>
          </x14:cfRule>
          <xm:sqref>AP411</xm:sqref>
        </x14:conditionalFormatting>
        <x14:conditionalFormatting xmlns:xm="http://schemas.microsoft.com/office/excel/2006/main">
          <x14:cfRule type="dataBar" id="{37E275FA-ED60-4C35-ABA6-4BA343C36648}">
            <x14:dataBar minLength="0" maxLength="100" border="1" gradient="0">
              <x14:cfvo type="num">
                <xm:f>0</xm:f>
              </x14:cfvo>
              <x14:cfvo type="num">
                <xm:f>1</xm:f>
              </x14:cfvo>
              <x14:borderColor theme="0"/>
              <x14:negativeFillColor rgb="FFFF0000"/>
              <x14:axisColor rgb="FF000000"/>
            </x14:dataBar>
          </x14:cfRule>
          <xm:sqref>AP413</xm:sqref>
        </x14:conditionalFormatting>
        <x14:conditionalFormatting xmlns:xm="http://schemas.microsoft.com/office/excel/2006/main">
          <x14:cfRule type="dataBar" id="{1E250BDA-0155-4F39-8D9B-4602E67099AF}">
            <x14:dataBar minLength="0" maxLength="100" border="1" gradient="0">
              <x14:cfvo type="num">
                <xm:f>0</xm:f>
              </x14:cfvo>
              <x14:cfvo type="num">
                <xm:f>1</xm:f>
              </x14:cfvo>
              <x14:borderColor theme="0"/>
              <x14:negativeFillColor rgb="FFFF0000"/>
              <x14:axisColor rgb="FF000000"/>
            </x14:dataBar>
          </x14:cfRule>
          <xm:sqref>AP415</xm:sqref>
        </x14:conditionalFormatting>
        <x14:conditionalFormatting xmlns:xm="http://schemas.microsoft.com/office/excel/2006/main">
          <x14:cfRule type="dataBar" id="{620EDC50-BC84-4DBC-9E79-55C824FD5A13}">
            <x14:dataBar minLength="0" maxLength="100" border="1" gradient="0">
              <x14:cfvo type="num">
                <xm:f>0</xm:f>
              </x14:cfvo>
              <x14:cfvo type="num">
                <xm:f>1</xm:f>
              </x14:cfvo>
              <x14:borderColor theme="0"/>
              <x14:negativeFillColor rgb="FFFF0000"/>
              <x14:axisColor rgb="FF000000"/>
            </x14:dataBar>
          </x14:cfRule>
          <xm:sqref>AP417</xm:sqref>
        </x14:conditionalFormatting>
        <x14:conditionalFormatting xmlns:xm="http://schemas.microsoft.com/office/excel/2006/main">
          <x14:cfRule type="dataBar" id="{7B6E7C84-2450-4368-AC5A-A42F62A57491}">
            <x14:dataBar minLength="0" maxLength="100" border="1" gradient="0">
              <x14:cfvo type="num">
                <xm:f>0</xm:f>
              </x14:cfvo>
              <x14:cfvo type="num">
                <xm:f>1</xm:f>
              </x14:cfvo>
              <x14:borderColor theme="0"/>
              <x14:negativeFillColor rgb="FFFF0000"/>
              <x14:axisColor rgb="FF000000"/>
            </x14:dataBar>
          </x14:cfRule>
          <xm:sqref>AP419</xm:sqref>
        </x14:conditionalFormatting>
        <x14:conditionalFormatting xmlns:xm="http://schemas.microsoft.com/office/excel/2006/main">
          <x14:cfRule type="dataBar" id="{ABC1902E-998F-4D0C-9934-F879976BF18B}">
            <x14:dataBar minLength="0" maxLength="100" border="1" gradient="0">
              <x14:cfvo type="num">
                <xm:f>0</xm:f>
              </x14:cfvo>
              <x14:cfvo type="num">
                <xm:f>1</xm:f>
              </x14:cfvo>
              <x14:borderColor theme="0"/>
              <x14:negativeFillColor rgb="FFFF0000"/>
              <x14:axisColor rgb="FF000000"/>
            </x14:dataBar>
          </x14:cfRule>
          <xm:sqref>AP421</xm:sqref>
        </x14:conditionalFormatting>
        <x14:conditionalFormatting xmlns:xm="http://schemas.microsoft.com/office/excel/2006/main">
          <x14:cfRule type="dataBar" id="{ABB10108-EF85-4711-A46F-226E3FFA3D0F}">
            <x14:dataBar minLength="0" maxLength="100" border="1" gradient="0">
              <x14:cfvo type="num">
                <xm:f>0</xm:f>
              </x14:cfvo>
              <x14:cfvo type="num">
                <xm:f>1</xm:f>
              </x14:cfvo>
              <x14:borderColor theme="0"/>
              <x14:negativeFillColor rgb="FFFF0000"/>
              <x14:axisColor rgb="FF000000"/>
            </x14:dataBar>
          </x14:cfRule>
          <xm:sqref>AP423</xm:sqref>
        </x14:conditionalFormatting>
        <x14:conditionalFormatting xmlns:xm="http://schemas.microsoft.com/office/excel/2006/main">
          <x14:cfRule type="dataBar" id="{64FB95F0-7E5C-44A1-A95D-69DE92127B15}">
            <x14:dataBar minLength="0" maxLength="100" border="1" gradient="0">
              <x14:cfvo type="num">
                <xm:f>0</xm:f>
              </x14:cfvo>
              <x14:cfvo type="num">
                <xm:f>1</xm:f>
              </x14:cfvo>
              <x14:borderColor theme="0"/>
              <x14:negativeFillColor rgb="FFFF0000"/>
              <x14:axisColor rgb="FF000000"/>
            </x14:dataBar>
          </x14:cfRule>
          <xm:sqref>AP425</xm:sqref>
        </x14:conditionalFormatting>
        <x14:conditionalFormatting xmlns:xm="http://schemas.microsoft.com/office/excel/2006/main">
          <x14:cfRule type="dataBar" id="{39DC3097-9A3D-4561-8855-A8BB51BD65C6}">
            <x14:dataBar minLength="0" maxLength="100" border="1" gradient="0">
              <x14:cfvo type="num">
                <xm:f>0</xm:f>
              </x14:cfvo>
              <x14:cfvo type="num">
                <xm:f>1</xm:f>
              </x14:cfvo>
              <x14:borderColor theme="0"/>
              <x14:negativeFillColor rgb="FFFF0000"/>
              <x14:axisColor rgb="FF000000"/>
            </x14:dataBar>
          </x14:cfRule>
          <xm:sqref>AP428</xm:sqref>
        </x14:conditionalFormatting>
        <x14:conditionalFormatting xmlns:xm="http://schemas.microsoft.com/office/excel/2006/main">
          <x14:cfRule type="dataBar" id="{BEF974C2-AC7A-4A7A-84A7-3A90AE90E986}">
            <x14:dataBar minLength="0" maxLength="100" border="1" gradient="0">
              <x14:cfvo type="num">
                <xm:f>0</xm:f>
              </x14:cfvo>
              <x14:cfvo type="num">
                <xm:f>1</xm:f>
              </x14:cfvo>
              <x14:borderColor theme="0"/>
              <x14:negativeFillColor rgb="FFFF0000"/>
              <x14:axisColor rgb="FF000000"/>
            </x14:dataBar>
          </x14:cfRule>
          <xm:sqref>AP430</xm:sqref>
        </x14:conditionalFormatting>
        <x14:conditionalFormatting xmlns:xm="http://schemas.microsoft.com/office/excel/2006/main">
          <x14:cfRule type="dataBar" id="{3A18CFBF-AE85-4B8C-B3CE-5B0087E31465}">
            <x14:dataBar minLength="0" maxLength="100" border="1" gradient="0">
              <x14:cfvo type="num">
                <xm:f>0</xm:f>
              </x14:cfvo>
              <x14:cfvo type="num">
                <xm:f>1</xm:f>
              </x14:cfvo>
              <x14:borderColor theme="0"/>
              <x14:negativeFillColor rgb="FFFF0000"/>
              <x14:axisColor rgb="FF000000"/>
            </x14:dataBar>
          </x14:cfRule>
          <xm:sqref>AP432</xm:sqref>
        </x14:conditionalFormatting>
        <x14:conditionalFormatting xmlns:xm="http://schemas.microsoft.com/office/excel/2006/main">
          <x14:cfRule type="dataBar" id="{E5829324-3B55-4510-B919-9F24151DEB11}">
            <x14:dataBar minLength="0" maxLength="100" border="1" gradient="0">
              <x14:cfvo type="num">
                <xm:f>0</xm:f>
              </x14:cfvo>
              <x14:cfvo type="num">
                <xm:f>1</xm:f>
              </x14:cfvo>
              <x14:borderColor theme="0"/>
              <x14:negativeFillColor rgb="FFFF0000"/>
              <x14:axisColor rgb="FF000000"/>
            </x14:dataBar>
          </x14:cfRule>
          <xm:sqref>AP434</xm:sqref>
        </x14:conditionalFormatting>
        <x14:conditionalFormatting xmlns:xm="http://schemas.microsoft.com/office/excel/2006/main">
          <x14:cfRule type="dataBar" id="{91B451E6-E774-4BC1-BE8B-3A0769F6072C}">
            <x14:dataBar minLength="0" maxLength="100" border="1" gradient="0">
              <x14:cfvo type="num">
                <xm:f>0</xm:f>
              </x14:cfvo>
              <x14:cfvo type="num">
                <xm:f>1</xm:f>
              </x14:cfvo>
              <x14:borderColor theme="0"/>
              <x14:negativeFillColor rgb="FFFF0000"/>
              <x14:axisColor rgb="FF000000"/>
            </x14:dataBar>
          </x14:cfRule>
          <xm:sqref>AP436</xm:sqref>
        </x14:conditionalFormatting>
        <x14:conditionalFormatting xmlns:xm="http://schemas.microsoft.com/office/excel/2006/main">
          <x14:cfRule type="dataBar" id="{A6B67D41-B9DF-462F-9706-4FA196D3E101}">
            <x14:dataBar minLength="0" maxLength="100" border="1" gradient="0">
              <x14:cfvo type="num">
                <xm:f>0</xm:f>
              </x14:cfvo>
              <x14:cfvo type="num">
                <xm:f>1</xm:f>
              </x14:cfvo>
              <x14:borderColor theme="0"/>
              <x14:negativeFillColor rgb="FFFF0000"/>
              <x14:axisColor rgb="FF000000"/>
            </x14:dataBar>
          </x14:cfRule>
          <xm:sqref>AP438</xm:sqref>
        </x14:conditionalFormatting>
        <x14:conditionalFormatting xmlns:xm="http://schemas.microsoft.com/office/excel/2006/main">
          <x14:cfRule type="dataBar" id="{A28E9C33-6C65-4E47-BB5F-2E5FD8B663B7}">
            <x14:dataBar minLength="0" maxLength="100" border="1" gradient="0">
              <x14:cfvo type="num">
                <xm:f>0</xm:f>
              </x14:cfvo>
              <x14:cfvo type="num">
                <xm:f>1</xm:f>
              </x14:cfvo>
              <x14:borderColor theme="0"/>
              <x14:negativeFillColor rgb="FFFF0000"/>
              <x14:axisColor rgb="FF000000"/>
            </x14:dataBar>
          </x14:cfRule>
          <xm:sqref>AP440</xm:sqref>
        </x14:conditionalFormatting>
        <x14:conditionalFormatting xmlns:xm="http://schemas.microsoft.com/office/excel/2006/main">
          <x14:cfRule type="dataBar" id="{14331BDA-1F91-4502-B984-68BB7C148D7B}">
            <x14:dataBar minLength="0" maxLength="100" border="1" gradient="0">
              <x14:cfvo type="num">
                <xm:f>0</xm:f>
              </x14:cfvo>
              <x14:cfvo type="num">
                <xm:f>1</xm:f>
              </x14:cfvo>
              <x14:borderColor theme="0"/>
              <x14:negativeFillColor rgb="FFFF0000"/>
              <x14:axisColor rgb="FF000000"/>
            </x14:dataBar>
          </x14:cfRule>
          <xm:sqref>AP442</xm:sqref>
        </x14:conditionalFormatting>
        <x14:conditionalFormatting xmlns:xm="http://schemas.microsoft.com/office/excel/2006/main">
          <x14:cfRule type="dataBar" id="{E76FF80B-566E-4F09-B84A-EF2097042F8A}">
            <x14:dataBar minLength="0" maxLength="100" border="1" gradient="0">
              <x14:cfvo type="num">
                <xm:f>0</xm:f>
              </x14:cfvo>
              <x14:cfvo type="num">
                <xm:f>1</xm:f>
              </x14:cfvo>
              <x14:borderColor theme="0"/>
              <x14:negativeFillColor rgb="FFFF0000"/>
              <x14:axisColor rgb="FF000000"/>
            </x14:dataBar>
          </x14:cfRule>
          <xm:sqref>AP444</xm:sqref>
        </x14:conditionalFormatting>
        <x14:conditionalFormatting xmlns:xm="http://schemas.microsoft.com/office/excel/2006/main">
          <x14:cfRule type="dataBar" id="{7894D0B0-4AD9-4A76-9FDD-0DBC193C44EE}">
            <x14:dataBar minLength="0" maxLength="100" border="1" gradient="0">
              <x14:cfvo type="num">
                <xm:f>0</xm:f>
              </x14:cfvo>
              <x14:cfvo type="num">
                <xm:f>1</xm:f>
              </x14:cfvo>
              <x14:borderColor theme="0"/>
              <x14:negativeFillColor rgb="FFFF0000"/>
              <x14:axisColor rgb="FF000000"/>
            </x14:dataBar>
          </x14:cfRule>
          <xm:sqref>AP446</xm:sqref>
        </x14:conditionalFormatting>
        <x14:conditionalFormatting xmlns:xm="http://schemas.microsoft.com/office/excel/2006/main">
          <x14:cfRule type="dataBar" id="{500A0E50-E380-43F7-A429-91314B30052E}">
            <x14:dataBar minLength="0" maxLength="100" border="1" gradient="0">
              <x14:cfvo type="num">
                <xm:f>0</xm:f>
              </x14:cfvo>
              <x14:cfvo type="num">
                <xm:f>1</xm:f>
              </x14:cfvo>
              <x14:borderColor theme="0"/>
              <x14:negativeFillColor rgb="FFFF0000"/>
              <x14:axisColor rgb="FF000000"/>
            </x14:dataBar>
          </x14:cfRule>
          <xm:sqref>AP448</xm:sqref>
        </x14:conditionalFormatting>
        <x14:conditionalFormatting xmlns:xm="http://schemas.microsoft.com/office/excel/2006/main">
          <x14:cfRule type="dataBar" id="{9D24C998-F531-4DEB-8A1F-C7C6139D5AEF}">
            <x14:dataBar minLength="0" maxLength="100" border="1" gradient="0">
              <x14:cfvo type="num">
                <xm:f>0</xm:f>
              </x14:cfvo>
              <x14:cfvo type="num">
                <xm:f>1</xm:f>
              </x14:cfvo>
              <x14:borderColor theme="0"/>
              <x14:negativeFillColor rgb="FFFF0000"/>
              <x14:axisColor rgb="FF000000"/>
            </x14:dataBar>
          </x14:cfRule>
          <xm:sqref>AP450</xm:sqref>
        </x14:conditionalFormatting>
        <x14:conditionalFormatting xmlns:xm="http://schemas.microsoft.com/office/excel/2006/main">
          <x14:cfRule type="dataBar" id="{3138FC62-74B9-47D4-A9BE-53F432D06953}">
            <x14:dataBar minLength="0" maxLength="100" border="1" gradient="0">
              <x14:cfvo type="num">
                <xm:f>0</xm:f>
              </x14:cfvo>
              <x14:cfvo type="num">
                <xm:f>1</xm:f>
              </x14:cfvo>
              <x14:borderColor theme="0"/>
              <x14:negativeFillColor rgb="FFFF0000"/>
              <x14:axisColor rgb="FF000000"/>
            </x14:dataBar>
          </x14:cfRule>
          <xm:sqref>AP452</xm:sqref>
        </x14:conditionalFormatting>
        <x14:conditionalFormatting xmlns:xm="http://schemas.microsoft.com/office/excel/2006/main">
          <x14:cfRule type="dataBar" id="{A303C0CE-37E5-436F-8614-633E050D2818}">
            <x14:dataBar minLength="0" maxLength="100" border="1" gradient="0">
              <x14:cfvo type="num">
                <xm:f>0</xm:f>
              </x14:cfvo>
              <x14:cfvo type="num">
                <xm:f>1</xm:f>
              </x14:cfvo>
              <x14:borderColor theme="0"/>
              <x14:negativeFillColor rgb="FFFF0000"/>
              <x14:axisColor rgb="FF000000"/>
            </x14:dataBar>
          </x14:cfRule>
          <xm:sqref>AP454</xm:sqref>
        </x14:conditionalFormatting>
        <x14:conditionalFormatting xmlns:xm="http://schemas.microsoft.com/office/excel/2006/main">
          <x14:cfRule type="dataBar" id="{9886B54E-47D6-43F8-A771-1C7955BA2FA3}">
            <x14:dataBar minLength="0" maxLength="100" border="1" gradient="0">
              <x14:cfvo type="num">
                <xm:f>0</xm:f>
              </x14:cfvo>
              <x14:cfvo type="num">
                <xm:f>1</xm:f>
              </x14:cfvo>
              <x14:borderColor theme="0"/>
              <x14:negativeFillColor rgb="FFFF0000"/>
              <x14:axisColor rgb="FF000000"/>
            </x14:dataBar>
          </x14:cfRule>
          <xm:sqref>AP456</xm:sqref>
        </x14:conditionalFormatting>
        <x14:conditionalFormatting xmlns:xm="http://schemas.microsoft.com/office/excel/2006/main">
          <x14:cfRule type="dataBar" id="{B072BC80-00E2-489E-9ED8-3569BE2A5868}">
            <x14:dataBar minLength="0" maxLength="100" border="1" gradient="0">
              <x14:cfvo type="num">
                <xm:f>0</xm:f>
              </x14:cfvo>
              <x14:cfvo type="num">
                <xm:f>1</xm:f>
              </x14:cfvo>
              <x14:borderColor theme="0"/>
              <x14:negativeFillColor rgb="FFFF0000"/>
              <x14:axisColor rgb="FF000000"/>
            </x14:dataBar>
          </x14:cfRule>
          <xm:sqref>AP458</xm:sqref>
        </x14:conditionalFormatting>
        <x14:conditionalFormatting xmlns:xm="http://schemas.microsoft.com/office/excel/2006/main">
          <x14:cfRule type="dataBar" id="{FF06BF64-015C-437E-9E1E-9557B97B0733}">
            <x14:dataBar minLength="0" maxLength="100" border="1" gradient="0">
              <x14:cfvo type="num">
                <xm:f>0</xm:f>
              </x14:cfvo>
              <x14:cfvo type="num">
                <xm:f>1</xm:f>
              </x14:cfvo>
              <x14:borderColor theme="0"/>
              <x14:negativeFillColor rgb="FFFF0000"/>
              <x14:axisColor rgb="FF000000"/>
            </x14:dataBar>
          </x14:cfRule>
          <xm:sqref>AP460</xm:sqref>
        </x14:conditionalFormatting>
        <x14:conditionalFormatting xmlns:xm="http://schemas.microsoft.com/office/excel/2006/main">
          <x14:cfRule type="dataBar" id="{2069D543-ABF2-4642-A1BD-C547A0CC78B0}">
            <x14:dataBar minLength="0" maxLength="100" border="1" gradient="0">
              <x14:cfvo type="num">
                <xm:f>0</xm:f>
              </x14:cfvo>
              <x14:cfvo type="num">
                <xm:f>1</xm:f>
              </x14:cfvo>
              <x14:borderColor theme="0"/>
              <x14:negativeFillColor rgb="FFFF0000"/>
              <x14:axisColor rgb="FF000000"/>
            </x14:dataBar>
          </x14:cfRule>
          <xm:sqref>AP462</xm:sqref>
        </x14:conditionalFormatting>
        <x14:conditionalFormatting xmlns:xm="http://schemas.microsoft.com/office/excel/2006/main">
          <x14:cfRule type="dataBar" id="{F53AE6D5-7B72-46EC-8CBC-19EF8B52F65D}">
            <x14:dataBar minLength="0" maxLength="100" border="1" gradient="0">
              <x14:cfvo type="num">
                <xm:f>0</xm:f>
              </x14:cfvo>
              <x14:cfvo type="num">
                <xm:f>1</xm:f>
              </x14:cfvo>
              <x14:borderColor theme="0"/>
              <x14:negativeFillColor rgb="FFFF0000"/>
              <x14:axisColor rgb="FF000000"/>
            </x14:dataBar>
          </x14:cfRule>
          <xm:sqref>AP464</xm:sqref>
        </x14:conditionalFormatting>
        <x14:conditionalFormatting xmlns:xm="http://schemas.microsoft.com/office/excel/2006/main">
          <x14:cfRule type="dataBar" id="{DBD860D4-0C5F-4728-88D5-D3AB613219A2}">
            <x14:dataBar minLength="0" maxLength="100" border="1" gradient="0">
              <x14:cfvo type="num">
                <xm:f>0</xm:f>
              </x14:cfvo>
              <x14:cfvo type="num">
                <xm:f>1</xm:f>
              </x14:cfvo>
              <x14:borderColor theme="0"/>
              <x14:negativeFillColor rgb="FFFF0000"/>
              <x14:axisColor rgb="FF000000"/>
            </x14:dataBar>
          </x14:cfRule>
          <xm:sqref>AP466</xm:sqref>
        </x14:conditionalFormatting>
        <x14:conditionalFormatting xmlns:xm="http://schemas.microsoft.com/office/excel/2006/main">
          <x14:cfRule type="dataBar" id="{07A3B913-ADC0-4B78-B415-DEC11564E85F}">
            <x14:dataBar minLength="0" maxLength="100" border="1" gradient="0">
              <x14:cfvo type="num">
                <xm:f>0</xm:f>
              </x14:cfvo>
              <x14:cfvo type="num">
                <xm:f>1</xm:f>
              </x14:cfvo>
              <x14:borderColor theme="0"/>
              <x14:negativeFillColor rgb="FFFF0000"/>
              <x14:axisColor rgb="FF000000"/>
            </x14:dataBar>
          </x14:cfRule>
          <xm:sqref>AP468</xm:sqref>
        </x14:conditionalFormatting>
        <x14:conditionalFormatting xmlns:xm="http://schemas.microsoft.com/office/excel/2006/main">
          <x14:cfRule type="dataBar" id="{C5B702BB-4E26-4CFB-83B5-AB31E5A73B21}">
            <x14:dataBar minLength="0" maxLength="100" border="1" gradient="0">
              <x14:cfvo type="num">
                <xm:f>0</xm:f>
              </x14:cfvo>
              <x14:cfvo type="num">
                <xm:f>1</xm:f>
              </x14:cfvo>
              <x14:borderColor theme="0"/>
              <x14:negativeFillColor rgb="FFFF0000"/>
              <x14:axisColor rgb="FF000000"/>
            </x14:dataBar>
          </x14:cfRule>
          <xm:sqref>AP470</xm:sqref>
        </x14:conditionalFormatting>
        <x14:conditionalFormatting xmlns:xm="http://schemas.microsoft.com/office/excel/2006/main">
          <x14:cfRule type="dataBar" id="{534F362D-5D25-44A8-A197-215C430623D3}">
            <x14:dataBar minLength="0" maxLength="100" border="1" gradient="0">
              <x14:cfvo type="num">
                <xm:f>0</xm:f>
              </x14:cfvo>
              <x14:cfvo type="num">
                <xm:f>1</xm:f>
              </x14:cfvo>
              <x14:borderColor theme="0"/>
              <x14:negativeFillColor rgb="FFFF0000"/>
              <x14:axisColor rgb="FF000000"/>
            </x14:dataBar>
          </x14:cfRule>
          <xm:sqref>AP472</xm:sqref>
        </x14:conditionalFormatting>
        <x14:conditionalFormatting xmlns:xm="http://schemas.microsoft.com/office/excel/2006/main">
          <x14:cfRule type="dataBar" id="{95780C10-7890-4A23-B604-6348AEBEE01D}">
            <x14:dataBar minLength="0" maxLength="100" border="1" gradient="0">
              <x14:cfvo type="num">
                <xm:f>0</xm:f>
              </x14:cfvo>
              <x14:cfvo type="num">
                <xm:f>1</xm:f>
              </x14:cfvo>
              <x14:borderColor theme="0"/>
              <x14:negativeFillColor rgb="FFFF0000"/>
              <x14:axisColor rgb="FF000000"/>
            </x14:dataBar>
          </x14:cfRule>
          <xm:sqref>AP474</xm:sqref>
        </x14:conditionalFormatting>
        <x14:conditionalFormatting xmlns:xm="http://schemas.microsoft.com/office/excel/2006/main">
          <x14:cfRule type="dataBar" id="{2B39A436-3A0E-4E7F-9E90-676978599F3A}">
            <x14:dataBar minLength="0" maxLength="100" border="1" gradient="0">
              <x14:cfvo type="num">
                <xm:f>0</xm:f>
              </x14:cfvo>
              <x14:cfvo type="num">
                <xm:f>1</xm:f>
              </x14:cfvo>
              <x14:borderColor theme="0"/>
              <x14:negativeFillColor rgb="FFFF0000"/>
              <x14:axisColor rgb="FF000000"/>
            </x14:dataBar>
          </x14:cfRule>
          <xm:sqref>AP476</xm:sqref>
        </x14:conditionalFormatting>
        <x14:conditionalFormatting xmlns:xm="http://schemas.microsoft.com/office/excel/2006/main">
          <x14:cfRule type="dataBar" id="{100CF11E-D777-44B8-A1B9-9BB20AE4316B}">
            <x14:dataBar minLength="0" maxLength="100" border="1" gradient="0">
              <x14:cfvo type="num">
                <xm:f>0</xm:f>
              </x14:cfvo>
              <x14:cfvo type="num">
                <xm:f>1</xm:f>
              </x14:cfvo>
              <x14:borderColor theme="0"/>
              <x14:negativeFillColor rgb="FFFF0000"/>
              <x14:axisColor rgb="FF000000"/>
            </x14:dataBar>
          </x14:cfRule>
          <xm:sqref>AP478</xm:sqref>
        </x14:conditionalFormatting>
        <x14:conditionalFormatting xmlns:xm="http://schemas.microsoft.com/office/excel/2006/main">
          <x14:cfRule type="dataBar" id="{D814F97A-0BBE-462A-9459-B7CD27F828B7}">
            <x14:dataBar minLength="0" maxLength="100" border="1" gradient="0">
              <x14:cfvo type="num">
                <xm:f>0</xm:f>
              </x14:cfvo>
              <x14:cfvo type="num">
                <xm:f>1</xm:f>
              </x14:cfvo>
              <x14:borderColor theme="0"/>
              <x14:negativeFillColor rgb="FFFF0000"/>
              <x14:axisColor rgb="FF000000"/>
            </x14:dataBar>
          </x14:cfRule>
          <xm:sqref>AP480</xm:sqref>
        </x14:conditionalFormatting>
        <x14:conditionalFormatting xmlns:xm="http://schemas.microsoft.com/office/excel/2006/main">
          <x14:cfRule type="dataBar" id="{C7A854A5-C66C-4402-8259-D3F21BAB9463}">
            <x14:dataBar minLength="0" maxLength="100" border="1" gradient="0">
              <x14:cfvo type="num">
                <xm:f>0</xm:f>
              </x14:cfvo>
              <x14:cfvo type="num">
                <xm:f>1</xm:f>
              </x14:cfvo>
              <x14:borderColor theme="0"/>
              <x14:negativeFillColor rgb="FFFF0000"/>
              <x14:axisColor rgb="FF000000"/>
            </x14:dataBar>
          </x14:cfRule>
          <xm:sqref>AP482</xm:sqref>
        </x14:conditionalFormatting>
        <x14:conditionalFormatting xmlns:xm="http://schemas.microsoft.com/office/excel/2006/main">
          <x14:cfRule type="dataBar" id="{8710523B-40EC-4532-915D-E0B0CB8B2025}">
            <x14:dataBar minLength="0" maxLength="100" border="1" gradient="0">
              <x14:cfvo type="num">
                <xm:f>0</xm:f>
              </x14:cfvo>
              <x14:cfvo type="num">
                <xm:f>1</xm:f>
              </x14:cfvo>
              <x14:borderColor theme="0"/>
              <x14:negativeFillColor rgb="FFFF0000"/>
              <x14:axisColor rgb="FF000000"/>
            </x14:dataBar>
          </x14:cfRule>
          <xm:sqref>AP484</xm:sqref>
        </x14:conditionalFormatting>
        <x14:conditionalFormatting xmlns:xm="http://schemas.microsoft.com/office/excel/2006/main">
          <x14:cfRule type="dataBar" id="{E5BB909F-B63E-4306-BE7C-453B07339579}">
            <x14:dataBar minLength="0" maxLength="100" border="1" gradient="0">
              <x14:cfvo type="num">
                <xm:f>0</xm:f>
              </x14:cfvo>
              <x14:cfvo type="num">
                <xm:f>1</xm:f>
              </x14:cfvo>
              <x14:borderColor theme="0"/>
              <x14:negativeFillColor rgb="FFFF0000"/>
              <x14:axisColor rgb="FF000000"/>
            </x14:dataBar>
          </x14:cfRule>
          <xm:sqref>AP486</xm:sqref>
        </x14:conditionalFormatting>
        <x14:conditionalFormatting xmlns:xm="http://schemas.microsoft.com/office/excel/2006/main">
          <x14:cfRule type="dataBar" id="{A8CCFD64-2F29-4ED6-BCA5-1EA4E0E00EC1}">
            <x14:dataBar minLength="0" maxLength="100" border="1" gradient="0">
              <x14:cfvo type="num">
                <xm:f>0</xm:f>
              </x14:cfvo>
              <x14:cfvo type="num">
                <xm:f>1</xm:f>
              </x14:cfvo>
              <x14:borderColor theme="0"/>
              <x14:negativeFillColor rgb="FFFF0000"/>
              <x14:axisColor rgb="FF000000"/>
            </x14:dataBar>
          </x14:cfRule>
          <xm:sqref>AP488</xm:sqref>
        </x14:conditionalFormatting>
        <x14:conditionalFormatting xmlns:xm="http://schemas.microsoft.com/office/excel/2006/main">
          <x14:cfRule type="dataBar" id="{BC25EB53-72F5-4539-9610-DB6CB0C5162F}">
            <x14:dataBar minLength="0" maxLength="100" border="1" gradient="0">
              <x14:cfvo type="num">
                <xm:f>0</xm:f>
              </x14:cfvo>
              <x14:cfvo type="num">
                <xm:f>1</xm:f>
              </x14:cfvo>
              <x14:borderColor theme="0"/>
              <x14:negativeFillColor rgb="FFFF0000"/>
              <x14:axisColor rgb="FF000000"/>
            </x14:dataBar>
          </x14:cfRule>
          <xm:sqref>AP490</xm:sqref>
        </x14:conditionalFormatting>
        <x14:conditionalFormatting xmlns:xm="http://schemas.microsoft.com/office/excel/2006/main">
          <x14:cfRule type="dataBar" id="{59213241-6965-4BE8-8636-3487A202E8D0}">
            <x14:dataBar minLength="0" maxLength="100" border="1" gradient="0">
              <x14:cfvo type="num">
                <xm:f>0</xm:f>
              </x14:cfvo>
              <x14:cfvo type="num">
                <xm:f>1</xm:f>
              </x14:cfvo>
              <x14:borderColor theme="0"/>
              <x14:negativeFillColor rgb="FFFF0000"/>
              <x14:axisColor rgb="FF000000"/>
            </x14:dataBar>
          </x14:cfRule>
          <xm:sqref>AP492</xm:sqref>
        </x14:conditionalFormatting>
        <x14:conditionalFormatting xmlns:xm="http://schemas.microsoft.com/office/excel/2006/main">
          <x14:cfRule type="dataBar" id="{879F9BD2-5F35-4905-9927-7429A9C5E6B0}">
            <x14:dataBar minLength="0" maxLength="100" border="1" gradient="0">
              <x14:cfvo type="num">
                <xm:f>0</xm:f>
              </x14:cfvo>
              <x14:cfvo type="num">
                <xm:f>1</xm:f>
              </x14:cfvo>
              <x14:borderColor theme="0"/>
              <x14:negativeFillColor rgb="FFFF0000"/>
              <x14:axisColor rgb="FF000000"/>
            </x14:dataBar>
          </x14:cfRule>
          <xm:sqref>AP494</xm:sqref>
        </x14:conditionalFormatting>
        <x14:conditionalFormatting xmlns:xm="http://schemas.microsoft.com/office/excel/2006/main">
          <x14:cfRule type="dataBar" id="{DFD21D9D-F6D5-4975-8D6E-A1E20EB78405}">
            <x14:dataBar minLength="0" maxLength="100" border="1" gradient="0">
              <x14:cfvo type="num">
                <xm:f>0</xm:f>
              </x14:cfvo>
              <x14:cfvo type="num">
                <xm:f>1</xm:f>
              </x14:cfvo>
              <x14:borderColor theme="0"/>
              <x14:negativeFillColor rgb="FFFF0000"/>
              <x14:axisColor rgb="FF000000"/>
            </x14:dataBar>
          </x14:cfRule>
          <xm:sqref>AP496</xm:sqref>
        </x14:conditionalFormatting>
        <x14:conditionalFormatting xmlns:xm="http://schemas.microsoft.com/office/excel/2006/main">
          <x14:cfRule type="dataBar" id="{CDD9BCFC-C74B-4C88-92F4-956330BFFC3B}">
            <x14:dataBar minLength="0" maxLength="100" border="1" gradient="0">
              <x14:cfvo type="num">
                <xm:f>0</xm:f>
              </x14:cfvo>
              <x14:cfvo type="num">
                <xm:f>1</xm:f>
              </x14:cfvo>
              <x14:borderColor theme="0"/>
              <x14:negativeFillColor rgb="FFFF0000"/>
              <x14:axisColor rgb="FF000000"/>
            </x14:dataBar>
          </x14:cfRule>
          <xm:sqref>AP498</xm:sqref>
        </x14:conditionalFormatting>
        <x14:conditionalFormatting xmlns:xm="http://schemas.microsoft.com/office/excel/2006/main">
          <x14:cfRule type="dataBar" id="{14C6A53B-2C24-42F4-987E-CBEEE4DE2970}">
            <x14:dataBar minLength="0" maxLength="100" border="1" gradient="0">
              <x14:cfvo type="num">
                <xm:f>0</xm:f>
              </x14:cfvo>
              <x14:cfvo type="num">
                <xm:f>1</xm:f>
              </x14:cfvo>
              <x14:borderColor theme="0"/>
              <x14:negativeFillColor rgb="FFFF0000"/>
              <x14:axisColor rgb="FF000000"/>
            </x14:dataBar>
          </x14:cfRule>
          <xm:sqref>AP500</xm:sqref>
        </x14:conditionalFormatting>
        <x14:conditionalFormatting xmlns:xm="http://schemas.microsoft.com/office/excel/2006/main">
          <x14:cfRule type="dataBar" id="{32AC05CF-A07E-4347-84CA-358DEF07D192}">
            <x14:dataBar minLength="0" maxLength="100" border="1" gradient="0">
              <x14:cfvo type="num">
                <xm:f>0</xm:f>
              </x14:cfvo>
              <x14:cfvo type="num">
                <xm:f>1</xm:f>
              </x14:cfvo>
              <x14:borderColor theme="0"/>
              <x14:negativeFillColor rgb="FFFF0000"/>
              <x14:axisColor rgb="FF000000"/>
            </x14:dataBar>
          </x14:cfRule>
          <xm:sqref>AP502</xm:sqref>
        </x14:conditionalFormatting>
        <x14:conditionalFormatting xmlns:xm="http://schemas.microsoft.com/office/excel/2006/main">
          <x14:cfRule type="dataBar" id="{C0787117-14AC-4294-B61B-60E03B075613}">
            <x14:dataBar minLength="0" maxLength="100" border="1" gradient="0">
              <x14:cfvo type="num">
                <xm:f>0</xm:f>
              </x14:cfvo>
              <x14:cfvo type="num">
                <xm:f>1</xm:f>
              </x14:cfvo>
              <x14:borderColor theme="0"/>
              <x14:negativeFillColor rgb="FFFF0000"/>
              <x14:axisColor rgb="FF000000"/>
            </x14:dataBar>
          </x14:cfRule>
          <xm:sqref>AP504</xm:sqref>
        </x14:conditionalFormatting>
        <x14:conditionalFormatting xmlns:xm="http://schemas.microsoft.com/office/excel/2006/main">
          <x14:cfRule type="dataBar" id="{D71214E8-0F41-4708-B73A-2DADCE35040B}">
            <x14:dataBar minLength="0" maxLength="100" border="1" gradient="0">
              <x14:cfvo type="num">
                <xm:f>0</xm:f>
              </x14:cfvo>
              <x14:cfvo type="num">
                <xm:f>1</xm:f>
              </x14:cfvo>
              <x14:borderColor theme="0"/>
              <x14:negativeFillColor rgb="FFFF0000"/>
              <x14:axisColor rgb="FF000000"/>
            </x14:dataBar>
          </x14:cfRule>
          <xm:sqref>AP506</xm:sqref>
        </x14:conditionalFormatting>
        <x14:conditionalFormatting xmlns:xm="http://schemas.microsoft.com/office/excel/2006/main">
          <x14:cfRule type="dataBar" id="{E34CABAB-0FA0-4F93-985E-B5D08023381F}">
            <x14:dataBar minLength="0" maxLength="100" border="1" gradient="0">
              <x14:cfvo type="num">
                <xm:f>0</xm:f>
              </x14:cfvo>
              <x14:cfvo type="num">
                <xm:f>1</xm:f>
              </x14:cfvo>
              <x14:borderColor theme="0"/>
              <x14:negativeFillColor rgb="FFFF0000"/>
              <x14:axisColor rgb="FF000000"/>
            </x14:dataBar>
          </x14:cfRule>
          <xm:sqref>AP508</xm:sqref>
        </x14:conditionalFormatting>
        <x14:conditionalFormatting xmlns:xm="http://schemas.microsoft.com/office/excel/2006/main">
          <x14:cfRule type="dataBar" id="{C56AA1D8-990F-4E8A-9F2E-07513CDA8ECB}">
            <x14:dataBar minLength="0" maxLength="100" border="1" gradient="0">
              <x14:cfvo type="num">
                <xm:f>0</xm:f>
              </x14:cfvo>
              <x14:cfvo type="num">
                <xm:f>1</xm:f>
              </x14:cfvo>
              <x14:borderColor theme="0"/>
              <x14:negativeFillColor rgb="FFFF0000"/>
              <x14:axisColor rgb="FF000000"/>
            </x14:dataBar>
          </x14:cfRule>
          <xm:sqref>AP510</xm:sqref>
        </x14:conditionalFormatting>
        <x14:conditionalFormatting xmlns:xm="http://schemas.microsoft.com/office/excel/2006/main">
          <x14:cfRule type="dataBar" id="{78BAA1DD-053C-4509-95C9-893DB7433CFC}">
            <x14:dataBar minLength="0" maxLength="100" border="1" gradient="0">
              <x14:cfvo type="num">
                <xm:f>0</xm:f>
              </x14:cfvo>
              <x14:cfvo type="num">
                <xm:f>1</xm:f>
              </x14:cfvo>
              <x14:borderColor theme="0"/>
              <x14:negativeFillColor rgb="FFFF0000"/>
              <x14:axisColor rgb="FF000000"/>
            </x14:dataBar>
          </x14:cfRule>
          <xm:sqref>AP512</xm:sqref>
        </x14:conditionalFormatting>
        <x14:conditionalFormatting xmlns:xm="http://schemas.microsoft.com/office/excel/2006/main">
          <x14:cfRule type="dataBar" id="{83384CA8-B35C-4DFA-B07A-972D9D948166}">
            <x14:dataBar minLength="0" maxLength="100" border="1" gradient="0">
              <x14:cfvo type="num">
                <xm:f>0</xm:f>
              </x14:cfvo>
              <x14:cfvo type="num">
                <xm:f>1</xm:f>
              </x14:cfvo>
              <x14:borderColor theme="0"/>
              <x14:negativeFillColor rgb="FFFF0000"/>
              <x14:axisColor rgb="FF000000"/>
            </x14:dataBar>
          </x14:cfRule>
          <xm:sqref>AP514</xm:sqref>
        </x14:conditionalFormatting>
        <x14:conditionalFormatting xmlns:xm="http://schemas.microsoft.com/office/excel/2006/main">
          <x14:cfRule type="dataBar" id="{8F4AB84D-8DB2-49BA-9F16-6AB0AFD06BEE}">
            <x14:dataBar minLength="0" maxLength="100" border="1" gradient="0">
              <x14:cfvo type="num">
                <xm:f>0</xm:f>
              </x14:cfvo>
              <x14:cfvo type="num">
                <xm:f>1</xm:f>
              </x14:cfvo>
              <x14:borderColor theme="0"/>
              <x14:negativeFillColor rgb="FFFF0000"/>
              <x14:axisColor rgb="FF000000"/>
            </x14:dataBar>
          </x14:cfRule>
          <xm:sqref>AP516</xm:sqref>
        </x14:conditionalFormatting>
        <x14:conditionalFormatting xmlns:xm="http://schemas.microsoft.com/office/excel/2006/main">
          <x14:cfRule type="dataBar" id="{7B4FFE98-7778-42FD-9602-B9F91345E927}">
            <x14:dataBar minLength="0" maxLength="100" border="1" gradient="0">
              <x14:cfvo type="num">
                <xm:f>0</xm:f>
              </x14:cfvo>
              <x14:cfvo type="num">
                <xm:f>1</xm:f>
              </x14:cfvo>
              <x14:borderColor theme="0"/>
              <x14:negativeFillColor rgb="FFFF0000"/>
              <x14:axisColor rgb="FF000000"/>
            </x14:dataBar>
          </x14:cfRule>
          <xm:sqref>AP518</xm:sqref>
        </x14:conditionalFormatting>
        <x14:conditionalFormatting xmlns:xm="http://schemas.microsoft.com/office/excel/2006/main">
          <x14:cfRule type="dataBar" id="{CAF72584-88D2-4613-9B56-25C5264A3676}">
            <x14:dataBar minLength="0" maxLength="100" border="1" gradient="0">
              <x14:cfvo type="num">
                <xm:f>0</xm:f>
              </x14:cfvo>
              <x14:cfvo type="num">
                <xm:f>1</xm:f>
              </x14:cfvo>
              <x14:borderColor theme="0"/>
              <x14:negativeFillColor rgb="FFFF0000"/>
              <x14:axisColor rgb="FF000000"/>
            </x14:dataBar>
          </x14:cfRule>
          <xm:sqref>AP520</xm:sqref>
        </x14:conditionalFormatting>
        <x14:conditionalFormatting xmlns:xm="http://schemas.microsoft.com/office/excel/2006/main">
          <x14:cfRule type="dataBar" id="{5A581681-E09D-4721-B439-6B8A5D4A468D}">
            <x14:dataBar minLength="0" maxLength="100" border="1" gradient="0">
              <x14:cfvo type="num">
                <xm:f>0</xm:f>
              </x14:cfvo>
              <x14:cfvo type="num">
                <xm:f>1</xm:f>
              </x14:cfvo>
              <x14:borderColor theme="0"/>
              <x14:negativeFillColor rgb="FFFF0000"/>
              <x14:axisColor rgb="FF000000"/>
            </x14:dataBar>
          </x14:cfRule>
          <xm:sqref>AP522</xm:sqref>
        </x14:conditionalFormatting>
        <x14:conditionalFormatting xmlns:xm="http://schemas.microsoft.com/office/excel/2006/main">
          <x14:cfRule type="dataBar" id="{E9CF6F82-759E-4E85-BD7C-EC920A9C0E6C}">
            <x14:dataBar minLength="0" maxLength="100" border="1" gradient="0">
              <x14:cfvo type="num">
                <xm:f>0</xm:f>
              </x14:cfvo>
              <x14:cfvo type="num">
                <xm:f>1</xm:f>
              </x14:cfvo>
              <x14:borderColor theme="0"/>
              <x14:negativeFillColor rgb="FFFF0000"/>
              <x14:axisColor rgb="FF000000"/>
            </x14:dataBar>
          </x14:cfRule>
          <xm:sqref>AP524</xm:sqref>
        </x14:conditionalFormatting>
        <x14:conditionalFormatting xmlns:xm="http://schemas.microsoft.com/office/excel/2006/main">
          <x14:cfRule type="dataBar" id="{A2A823A9-59A5-43BD-87B1-30641E86280C}">
            <x14:dataBar minLength="0" maxLength="100" border="1" gradient="0">
              <x14:cfvo type="num">
                <xm:f>0</xm:f>
              </x14:cfvo>
              <x14:cfvo type="num">
                <xm:f>1</xm:f>
              </x14:cfvo>
              <x14:borderColor theme="0"/>
              <x14:negativeFillColor rgb="FFFF0000"/>
              <x14:axisColor rgb="FF000000"/>
            </x14:dataBar>
          </x14:cfRule>
          <xm:sqref>AP526</xm:sqref>
        </x14:conditionalFormatting>
        <x14:conditionalFormatting xmlns:xm="http://schemas.microsoft.com/office/excel/2006/main">
          <x14:cfRule type="dataBar" id="{552BB7D8-8FD5-4E77-89F8-D60847FF06B3}">
            <x14:dataBar minLength="0" maxLength="100" border="1" gradient="0">
              <x14:cfvo type="num">
                <xm:f>0</xm:f>
              </x14:cfvo>
              <x14:cfvo type="num">
                <xm:f>1</xm:f>
              </x14:cfvo>
              <x14:borderColor theme="0"/>
              <x14:negativeFillColor rgb="FFFF0000"/>
              <x14:axisColor rgb="FF000000"/>
            </x14:dataBar>
          </x14:cfRule>
          <xm:sqref>AP528</xm:sqref>
        </x14:conditionalFormatting>
        <x14:conditionalFormatting xmlns:xm="http://schemas.microsoft.com/office/excel/2006/main">
          <x14:cfRule type="dataBar" id="{0EF7ECB3-9871-431D-A9A5-52F944A3AC16}">
            <x14:dataBar minLength="0" maxLength="100" border="1" gradient="0">
              <x14:cfvo type="num">
                <xm:f>0</xm:f>
              </x14:cfvo>
              <x14:cfvo type="num">
                <xm:f>1</xm:f>
              </x14:cfvo>
              <x14:borderColor theme="0"/>
              <x14:negativeFillColor rgb="FFFF0000"/>
              <x14:axisColor rgb="FF000000"/>
            </x14:dataBar>
          </x14:cfRule>
          <xm:sqref>AP530</xm:sqref>
        </x14:conditionalFormatting>
        <x14:conditionalFormatting xmlns:xm="http://schemas.microsoft.com/office/excel/2006/main">
          <x14:cfRule type="dataBar" id="{D40C085A-4E08-40F3-85CD-E6CF5595EFDA}">
            <x14:dataBar minLength="0" maxLength="100" border="1" gradient="0">
              <x14:cfvo type="num">
                <xm:f>0</xm:f>
              </x14:cfvo>
              <x14:cfvo type="num">
                <xm:f>1</xm:f>
              </x14:cfvo>
              <x14:borderColor theme="0"/>
              <x14:negativeFillColor rgb="FFFF0000"/>
              <x14:axisColor rgb="FF000000"/>
            </x14:dataBar>
          </x14:cfRule>
          <xm:sqref>AP532</xm:sqref>
        </x14:conditionalFormatting>
        <x14:conditionalFormatting xmlns:xm="http://schemas.microsoft.com/office/excel/2006/main">
          <x14:cfRule type="dataBar" id="{0E631B63-ECAE-4D9E-81D0-1B40C12A62F0}">
            <x14:dataBar minLength="0" maxLength="100" border="1" gradient="0">
              <x14:cfvo type="num">
                <xm:f>0</xm:f>
              </x14:cfvo>
              <x14:cfvo type="num">
                <xm:f>1</xm:f>
              </x14:cfvo>
              <x14:borderColor theme="0"/>
              <x14:negativeFillColor rgb="FFFF0000"/>
              <x14:axisColor rgb="FF000000"/>
            </x14:dataBar>
          </x14:cfRule>
          <xm:sqref>AP534</xm:sqref>
        </x14:conditionalFormatting>
        <x14:conditionalFormatting xmlns:xm="http://schemas.microsoft.com/office/excel/2006/main">
          <x14:cfRule type="dataBar" id="{ED6D708D-6EAD-4DF6-8E7A-C5A513029B28}">
            <x14:dataBar minLength="0" maxLength="100" border="1" gradient="0">
              <x14:cfvo type="num">
                <xm:f>0</xm:f>
              </x14:cfvo>
              <x14:cfvo type="num">
                <xm:f>1</xm:f>
              </x14:cfvo>
              <x14:borderColor theme="0"/>
              <x14:negativeFillColor rgb="FFFF0000"/>
              <x14:axisColor rgb="FF000000"/>
            </x14:dataBar>
          </x14:cfRule>
          <xm:sqref>AP536</xm:sqref>
        </x14:conditionalFormatting>
        <x14:conditionalFormatting xmlns:xm="http://schemas.microsoft.com/office/excel/2006/main">
          <x14:cfRule type="dataBar" id="{9EA8AF18-0D06-42E9-80C3-11F8FDD4E8B5}">
            <x14:dataBar minLength="0" maxLength="100" border="1" gradient="0">
              <x14:cfvo type="num">
                <xm:f>0</xm:f>
              </x14:cfvo>
              <x14:cfvo type="num">
                <xm:f>1</xm:f>
              </x14:cfvo>
              <x14:borderColor theme="0"/>
              <x14:negativeFillColor rgb="FFFF0000"/>
              <x14:axisColor rgb="FF000000"/>
            </x14:dataBar>
          </x14:cfRule>
          <xm:sqref>AP538</xm:sqref>
        </x14:conditionalFormatting>
        <x14:conditionalFormatting xmlns:xm="http://schemas.microsoft.com/office/excel/2006/main">
          <x14:cfRule type="dataBar" id="{A789F7EE-1061-432D-B469-306607EF03EB}">
            <x14:dataBar minLength="0" maxLength="100" border="1" gradient="0">
              <x14:cfvo type="num">
                <xm:f>0</xm:f>
              </x14:cfvo>
              <x14:cfvo type="num">
                <xm:f>1</xm:f>
              </x14:cfvo>
              <x14:borderColor theme="0"/>
              <x14:negativeFillColor rgb="FFFF0000"/>
              <x14:axisColor rgb="FF000000"/>
            </x14:dataBar>
          </x14:cfRule>
          <xm:sqref>AP540</xm:sqref>
        </x14:conditionalFormatting>
        <x14:conditionalFormatting xmlns:xm="http://schemas.microsoft.com/office/excel/2006/main">
          <x14:cfRule type="dataBar" id="{F3853E52-63B0-4064-96E7-55530FF58D37}">
            <x14:dataBar minLength="0" maxLength="100" border="1" gradient="0">
              <x14:cfvo type="num">
                <xm:f>0</xm:f>
              </x14:cfvo>
              <x14:cfvo type="num">
                <xm:f>1</xm:f>
              </x14:cfvo>
              <x14:borderColor theme="0"/>
              <x14:negativeFillColor rgb="FFFF0000"/>
              <x14:axisColor rgb="FF000000"/>
            </x14:dataBar>
          </x14:cfRule>
          <xm:sqref>AP542</xm:sqref>
        </x14:conditionalFormatting>
        <x14:conditionalFormatting xmlns:xm="http://schemas.microsoft.com/office/excel/2006/main">
          <x14:cfRule type="dataBar" id="{5B78FC86-10BC-4E79-BD8C-A518AA65CD10}">
            <x14:dataBar minLength="0" maxLength="100" border="1" gradient="0">
              <x14:cfvo type="num">
                <xm:f>0</xm:f>
              </x14:cfvo>
              <x14:cfvo type="num">
                <xm:f>1</xm:f>
              </x14:cfvo>
              <x14:borderColor theme="0"/>
              <x14:negativeFillColor rgb="FFFF0000"/>
              <x14:axisColor rgb="FF000000"/>
            </x14:dataBar>
          </x14:cfRule>
          <xm:sqref>AP544</xm:sqref>
        </x14:conditionalFormatting>
        <x14:conditionalFormatting xmlns:xm="http://schemas.microsoft.com/office/excel/2006/main">
          <x14:cfRule type="dataBar" id="{BE4525B6-30FA-48AA-86F4-AB90CE1E1364}">
            <x14:dataBar minLength="0" maxLength="100" border="1" gradient="0">
              <x14:cfvo type="num">
                <xm:f>0</xm:f>
              </x14:cfvo>
              <x14:cfvo type="num">
                <xm:f>1</xm:f>
              </x14:cfvo>
              <x14:borderColor theme="0"/>
              <x14:negativeFillColor rgb="FFFF0000"/>
              <x14:axisColor rgb="FF000000"/>
            </x14:dataBar>
          </x14:cfRule>
          <xm:sqref>AP546</xm:sqref>
        </x14:conditionalFormatting>
        <x14:conditionalFormatting xmlns:xm="http://schemas.microsoft.com/office/excel/2006/main">
          <x14:cfRule type="dataBar" id="{0D138B03-2360-4D39-9B1D-4518454DB8BD}">
            <x14:dataBar minLength="0" maxLength="100" border="1" gradient="0">
              <x14:cfvo type="num">
                <xm:f>0</xm:f>
              </x14:cfvo>
              <x14:cfvo type="num">
                <xm:f>1</xm:f>
              </x14:cfvo>
              <x14:borderColor theme="0"/>
              <x14:negativeFillColor rgb="FFFF0000"/>
              <x14:axisColor rgb="FF000000"/>
            </x14:dataBar>
          </x14:cfRule>
          <xm:sqref>AP548</xm:sqref>
        </x14:conditionalFormatting>
        <x14:conditionalFormatting xmlns:xm="http://schemas.microsoft.com/office/excel/2006/main">
          <x14:cfRule type="dataBar" id="{1C508E6E-7BB8-423B-B0A2-3834F94B63A3}">
            <x14:dataBar minLength="0" maxLength="100" border="1" gradient="0">
              <x14:cfvo type="num">
                <xm:f>0</xm:f>
              </x14:cfvo>
              <x14:cfvo type="num">
                <xm:f>1</xm:f>
              </x14:cfvo>
              <x14:borderColor theme="0"/>
              <x14:negativeFillColor rgb="FFFF0000"/>
              <x14:axisColor rgb="FF000000"/>
            </x14:dataBar>
          </x14:cfRule>
          <xm:sqref>AP550</xm:sqref>
        </x14:conditionalFormatting>
        <x14:conditionalFormatting xmlns:xm="http://schemas.microsoft.com/office/excel/2006/main">
          <x14:cfRule type="dataBar" id="{531587B6-06F7-4A31-8C26-46699966CEC3}">
            <x14:dataBar minLength="0" maxLength="100" border="1" gradient="0">
              <x14:cfvo type="num">
                <xm:f>0</xm:f>
              </x14:cfvo>
              <x14:cfvo type="num">
                <xm:f>1</xm:f>
              </x14:cfvo>
              <x14:borderColor theme="0"/>
              <x14:negativeFillColor rgb="FFFF0000"/>
              <x14:axisColor rgb="FF000000"/>
            </x14:dataBar>
          </x14:cfRule>
          <xm:sqref>AP552</xm:sqref>
        </x14:conditionalFormatting>
        <x14:conditionalFormatting xmlns:xm="http://schemas.microsoft.com/office/excel/2006/main">
          <x14:cfRule type="dataBar" id="{D0753216-C349-4A63-A0ED-24E3D73935A5}">
            <x14:dataBar minLength="0" maxLength="100" border="1" gradient="0">
              <x14:cfvo type="num">
                <xm:f>0</xm:f>
              </x14:cfvo>
              <x14:cfvo type="num">
                <xm:f>1</xm:f>
              </x14:cfvo>
              <x14:borderColor theme="0"/>
              <x14:negativeFillColor rgb="FFFF0000"/>
              <x14:axisColor rgb="FF000000"/>
            </x14:dataBar>
          </x14:cfRule>
          <xm:sqref>AP554</xm:sqref>
        </x14:conditionalFormatting>
        <x14:conditionalFormatting xmlns:xm="http://schemas.microsoft.com/office/excel/2006/main">
          <x14:cfRule type="dataBar" id="{A42B8691-0D0F-42FD-8454-AEA0DEAC39DA}">
            <x14:dataBar minLength="0" maxLength="100" border="1" gradient="0">
              <x14:cfvo type="num">
                <xm:f>0</xm:f>
              </x14:cfvo>
              <x14:cfvo type="num">
                <xm:f>1</xm:f>
              </x14:cfvo>
              <x14:borderColor theme="0"/>
              <x14:negativeFillColor rgb="FFFF0000"/>
              <x14:axisColor rgb="FF000000"/>
            </x14:dataBar>
          </x14:cfRule>
          <xm:sqref>AP556</xm:sqref>
        </x14:conditionalFormatting>
        <x14:conditionalFormatting xmlns:xm="http://schemas.microsoft.com/office/excel/2006/main">
          <x14:cfRule type="dataBar" id="{B816B6A7-9625-4866-83E9-4A7697F57B05}">
            <x14:dataBar minLength="0" maxLength="100" border="1" gradient="0">
              <x14:cfvo type="num">
                <xm:f>0</xm:f>
              </x14:cfvo>
              <x14:cfvo type="num">
                <xm:f>1</xm:f>
              </x14:cfvo>
              <x14:borderColor theme="0"/>
              <x14:negativeFillColor rgb="FFFF0000"/>
              <x14:axisColor rgb="FF000000"/>
            </x14:dataBar>
          </x14:cfRule>
          <xm:sqref>AP558</xm:sqref>
        </x14:conditionalFormatting>
        <x14:conditionalFormatting xmlns:xm="http://schemas.microsoft.com/office/excel/2006/main">
          <x14:cfRule type="dataBar" id="{8C9FDBB0-5E1C-4AE0-BB68-AE31E9DBB995}">
            <x14:dataBar minLength="0" maxLength="100" border="1" gradient="0">
              <x14:cfvo type="num">
                <xm:f>0</xm:f>
              </x14:cfvo>
              <x14:cfvo type="num">
                <xm:f>1</xm:f>
              </x14:cfvo>
              <x14:borderColor theme="0"/>
              <x14:negativeFillColor rgb="FFFF0000"/>
              <x14:axisColor rgb="FF000000"/>
            </x14:dataBar>
          </x14:cfRule>
          <xm:sqref>AP560</xm:sqref>
        </x14:conditionalFormatting>
        <x14:conditionalFormatting xmlns:xm="http://schemas.microsoft.com/office/excel/2006/main">
          <x14:cfRule type="dataBar" id="{9424E0F0-B7DA-408B-A63D-835F2583E131}">
            <x14:dataBar minLength="0" maxLength="100" border="1" gradient="0">
              <x14:cfvo type="num">
                <xm:f>0</xm:f>
              </x14:cfvo>
              <x14:cfvo type="num">
                <xm:f>1</xm:f>
              </x14:cfvo>
              <x14:borderColor theme="0"/>
              <x14:negativeFillColor rgb="FFFF0000"/>
              <x14:axisColor rgb="FF000000"/>
            </x14:dataBar>
          </x14:cfRule>
          <xm:sqref>AP562</xm:sqref>
        </x14:conditionalFormatting>
        <x14:conditionalFormatting xmlns:xm="http://schemas.microsoft.com/office/excel/2006/main">
          <x14:cfRule type="dataBar" id="{7E1C5834-33F6-43CB-966B-14D9AAB8917E}">
            <x14:dataBar minLength="0" maxLength="100" border="1" gradient="0">
              <x14:cfvo type="num">
                <xm:f>0</xm:f>
              </x14:cfvo>
              <x14:cfvo type="num">
                <xm:f>1</xm:f>
              </x14:cfvo>
              <x14:borderColor theme="0"/>
              <x14:negativeFillColor rgb="FFFF0000"/>
              <x14:axisColor rgb="FF000000"/>
            </x14:dataBar>
          </x14:cfRule>
          <xm:sqref>AP564</xm:sqref>
        </x14:conditionalFormatting>
        <x14:conditionalFormatting xmlns:xm="http://schemas.microsoft.com/office/excel/2006/main">
          <x14:cfRule type="dataBar" id="{C82DFDFA-B1F4-47CB-A221-0B4FBFEFDD14}">
            <x14:dataBar minLength="0" maxLength="100" border="1" gradient="0">
              <x14:cfvo type="num">
                <xm:f>0</xm:f>
              </x14:cfvo>
              <x14:cfvo type="num">
                <xm:f>1</xm:f>
              </x14:cfvo>
              <x14:borderColor theme="0"/>
              <x14:negativeFillColor rgb="FFFF0000"/>
              <x14:axisColor rgb="FF000000"/>
            </x14:dataBar>
          </x14:cfRule>
          <xm:sqref>AP566</xm:sqref>
        </x14:conditionalFormatting>
        <x14:conditionalFormatting xmlns:xm="http://schemas.microsoft.com/office/excel/2006/main">
          <x14:cfRule type="dataBar" id="{D4CE28EE-FD81-4FE7-A9A6-FC34857957EC}">
            <x14:dataBar minLength="0" maxLength="100" border="1" gradient="0">
              <x14:cfvo type="num">
                <xm:f>0</xm:f>
              </x14:cfvo>
              <x14:cfvo type="num">
                <xm:f>1</xm:f>
              </x14:cfvo>
              <x14:borderColor theme="0"/>
              <x14:negativeFillColor rgb="FFFF0000"/>
              <x14:axisColor rgb="FF000000"/>
            </x14:dataBar>
          </x14:cfRule>
          <xm:sqref>AP568</xm:sqref>
        </x14:conditionalFormatting>
        <x14:conditionalFormatting xmlns:xm="http://schemas.microsoft.com/office/excel/2006/main">
          <x14:cfRule type="dataBar" id="{B0431406-49C0-49C5-86FF-C466F4974C6A}">
            <x14:dataBar minLength="0" maxLength="100" border="1" gradient="0">
              <x14:cfvo type="num">
                <xm:f>0</xm:f>
              </x14:cfvo>
              <x14:cfvo type="num">
                <xm:f>1</xm:f>
              </x14:cfvo>
              <x14:borderColor theme="0"/>
              <x14:negativeFillColor rgb="FFFF0000"/>
              <x14:axisColor rgb="FF000000"/>
            </x14:dataBar>
          </x14:cfRule>
          <xm:sqref>AP570</xm:sqref>
        </x14:conditionalFormatting>
        <x14:conditionalFormatting xmlns:xm="http://schemas.microsoft.com/office/excel/2006/main">
          <x14:cfRule type="dataBar" id="{B861380F-7DB9-40B9-BAC1-913DD2389885}">
            <x14:dataBar minLength="0" maxLength="100" border="1" gradient="0">
              <x14:cfvo type="num">
                <xm:f>0</xm:f>
              </x14:cfvo>
              <x14:cfvo type="num">
                <xm:f>1</xm:f>
              </x14:cfvo>
              <x14:borderColor theme="0"/>
              <x14:negativeFillColor rgb="FFFF0000"/>
              <x14:axisColor rgb="FF000000"/>
            </x14:dataBar>
          </x14:cfRule>
          <xm:sqref>AP572</xm:sqref>
        </x14:conditionalFormatting>
        <x14:conditionalFormatting xmlns:xm="http://schemas.microsoft.com/office/excel/2006/main">
          <x14:cfRule type="dataBar" id="{EE19D23E-C10D-4576-BDA2-7BF0F5791D98}">
            <x14:dataBar minLength="0" maxLength="100" border="1" gradient="0">
              <x14:cfvo type="num">
                <xm:f>0</xm:f>
              </x14:cfvo>
              <x14:cfvo type="num">
                <xm:f>1</xm:f>
              </x14:cfvo>
              <x14:borderColor theme="0"/>
              <x14:negativeFillColor rgb="FFFF0000"/>
              <x14:axisColor rgb="FF000000"/>
            </x14:dataBar>
          </x14:cfRule>
          <xm:sqref>AP574</xm:sqref>
        </x14:conditionalFormatting>
        <x14:conditionalFormatting xmlns:xm="http://schemas.microsoft.com/office/excel/2006/main">
          <x14:cfRule type="dataBar" id="{E57C764C-4158-48CF-848A-1AC9D4B2598A}">
            <x14:dataBar minLength="0" maxLength="100" border="1" gradient="0">
              <x14:cfvo type="num">
                <xm:f>0</xm:f>
              </x14:cfvo>
              <x14:cfvo type="num">
                <xm:f>1</xm:f>
              </x14:cfvo>
              <x14:borderColor theme="0"/>
              <x14:negativeFillColor rgb="FFFF0000"/>
              <x14:axisColor rgb="FF000000"/>
            </x14:dataBar>
          </x14:cfRule>
          <xm:sqref>AP576</xm:sqref>
        </x14:conditionalFormatting>
        <x14:conditionalFormatting xmlns:xm="http://schemas.microsoft.com/office/excel/2006/main">
          <x14:cfRule type="dataBar" id="{435F4F9D-FD98-442B-BA4A-392677A24FF5}">
            <x14:dataBar minLength="0" maxLength="100" border="1" gradient="0">
              <x14:cfvo type="num">
                <xm:f>0</xm:f>
              </x14:cfvo>
              <x14:cfvo type="num">
                <xm:f>1</xm:f>
              </x14:cfvo>
              <x14:borderColor theme="0"/>
              <x14:negativeFillColor rgb="FFFF0000"/>
              <x14:axisColor rgb="FF000000"/>
            </x14:dataBar>
          </x14:cfRule>
          <xm:sqref>AP578</xm:sqref>
        </x14:conditionalFormatting>
        <x14:conditionalFormatting xmlns:xm="http://schemas.microsoft.com/office/excel/2006/main">
          <x14:cfRule type="dataBar" id="{FDDA28D6-4F0F-45CB-9BE2-76EDA6CFD6BE}">
            <x14:dataBar minLength="0" maxLength="100" border="1" gradient="0">
              <x14:cfvo type="num">
                <xm:f>0</xm:f>
              </x14:cfvo>
              <x14:cfvo type="num">
                <xm:f>1</xm:f>
              </x14:cfvo>
              <x14:borderColor theme="0"/>
              <x14:negativeFillColor rgb="FFFF0000"/>
              <x14:axisColor rgb="FF000000"/>
            </x14:dataBar>
          </x14:cfRule>
          <xm:sqref>AP580</xm:sqref>
        </x14:conditionalFormatting>
        <x14:conditionalFormatting xmlns:xm="http://schemas.microsoft.com/office/excel/2006/main">
          <x14:cfRule type="dataBar" id="{AB479CB4-2143-4A87-B589-FEC045545171}">
            <x14:dataBar minLength="0" maxLength="100" border="1" gradient="0">
              <x14:cfvo type="num">
                <xm:f>0</xm:f>
              </x14:cfvo>
              <x14:cfvo type="num">
                <xm:f>1</xm:f>
              </x14:cfvo>
              <x14:borderColor theme="0"/>
              <x14:negativeFillColor rgb="FFFF0000"/>
              <x14:axisColor rgb="FF000000"/>
            </x14:dataBar>
          </x14:cfRule>
          <xm:sqref>AP582</xm:sqref>
        </x14:conditionalFormatting>
        <x14:conditionalFormatting xmlns:xm="http://schemas.microsoft.com/office/excel/2006/main">
          <x14:cfRule type="dataBar" id="{E58E95A3-42D2-4BB6-AF99-9F7F3FF2E077}">
            <x14:dataBar minLength="0" maxLength="100" border="1" gradient="0">
              <x14:cfvo type="num">
                <xm:f>0</xm:f>
              </x14:cfvo>
              <x14:cfvo type="num">
                <xm:f>1</xm:f>
              </x14:cfvo>
              <x14:borderColor theme="0"/>
              <x14:negativeFillColor rgb="FFFF0000"/>
              <x14:axisColor rgb="FF000000"/>
            </x14:dataBar>
          </x14:cfRule>
          <xm:sqref>AP584</xm:sqref>
        </x14:conditionalFormatting>
        <x14:conditionalFormatting xmlns:xm="http://schemas.microsoft.com/office/excel/2006/main">
          <x14:cfRule type="dataBar" id="{6E787FC1-B4EA-46D9-880A-803206968E53}">
            <x14:dataBar minLength="0" maxLength="100" border="1" gradient="0">
              <x14:cfvo type="num">
                <xm:f>0</xm:f>
              </x14:cfvo>
              <x14:cfvo type="num">
                <xm:f>1</xm:f>
              </x14:cfvo>
              <x14:borderColor theme="0"/>
              <x14:negativeFillColor rgb="FFFF0000"/>
              <x14:axisColor rgb="FF000000"/>
            </x14:dataBar>
          </x14:cfRule>
          <xm:sqref>AP586</xm:sqref>
        </x14:conditionalFormatting>
        <x14:conditionalFormatting xmlns:xm="http://schemas.microsoft.com/office/excel/2006/main">
          <x14:cfRule type="dataBar" id="{A866D9BE-E2F7-473E-A2EA-B710DF6E612B}">
            <x14:dataBar minLength="0" maxLength="100" border="1" gradient="0">
              <x14:cfvo type="num">
                <xm:f>0</xm:f>
              </x14:cfvo>
              <x14:cfvo type="num">
                <xm:f>1</xm:f>
              </x14:cfvo>
              <x14:borderColor theme="0"/>
              <x14:negativeFillColor rgb="FFFF0000"/>
              <x14:axisColor rgb="FF000000"/>
            </x14:dataBar>
          </x14:cfRule>
          <xm:sqref>AP588</xm:sqref>
        </x14:conditionalFormatting>
        <x14:conditionalFormatting xmlns:xm="http://schemas.microsoft.com/office/excel/2006/main">
          <x14:cfRule type="dataBar" id="{E160EE9B-7291-4730-8E41-FFC95019470D}">
            <x14:dataBar minLength="0" maxLength="100" border="1" gradient="0">
              <x14:cfvo type="num">
                <xm:f>0</xm:f>
              </x14:cfvo>
              <x14:cfvo type="num">
                <xm:f>1</xm:f>
              </x14:cfvo>
              <x14:borderColor theme="0"/>
              <x14:negativeFillColor rgb="FFFF0000"/>
              <x14:axisColor rgb="FF000000"/>
            </x14:dataBar>
          </x14:cfRule>
          <xm:sqref>AP591</xm:sqref>
        </x14:conditionalFormatting>
        <x14:conditionalFormatting xmlns:xm="http://schemas.microsoft.com/office/excel/2006/main">
          <x14:cfRule type="dataBar" id="{EDB8CDD6-2747-493B-8A2A-9F99AA0A916E}">
            <x14:dataBar minLength="0" maxLength="100" border="1" gradient="0">
              <x14:cfvo type="num">
                <xm:f>0</xm:f>
              </x14:cfvo>
              <x14:cfvo type="num">
                <xm:f>1</xm:f>
              </x14:cfvo>
              <x14:borderColor theme="0"/>
              <x14:negativeFillColor rgb="FFFF0000"/>
              <x14:axisColor rgb="FF000000"/>
            </x14:dataBar>
          </x14:cfRule>
          <xm:sqref>AP593</xm:sqref>
        </x14:conditionalFormatting>
        <x14:conditionalFormatting xmlns:xm="http://schemas.microsoft.com/office/excel/2006/main">
          <x14:cfRule type="dataBar" id="{A673AED3-0DC9-4DCB-B832-AB5F59BD31DF}">
            <x14:dataBar minLength="0" maxLength="100" border="1" gradient="0">
              <x14:cfvo type="num">
                <xm:f>0</xm:f>
              </x14:cfvo>
              <x14:cfvo type="num">
                <xm:f>1</xm:f>
              </x14:cfvo>
              <x14:borderColor theme="0"/>
              <x14:negativeFillColor rgb="FFFF0000"/>
              <x14:axisColor rgb="FF000000"/>
            </x14:dataBar>
          </x14:cfRule>
          <xm:sqref>AP595</xm:sqref>
        </x14:conditionalFormatting>
        <x14:conditionalFormatting xmlns:xm="http://schemas.microsoft.com/office/excel/2006/main">
          <x14:cfRule type="dataBar" id="{D3E1C020-9B7D-4769-83C7-5EAFEE0AD272}">
            <x14:dataBar minLength="0" maxLength="100" border="1" gradient="0">
              <x14:cfvo type="num">
                <xm:f>0</xm:f>
              </x14:cfvo>
              <x14:cfvo type="num">
                <xm:f>1</xm:f>
              </x14:cfvo>
              <x14:borderColor theme="0"/>
              <x14:negativeFillColor rgb="FFFF0000"/>
              <x14:axisColor rgb="FF000000"/>
            </x14:dataBar>
          </x14:cfRule>
          <xm:sqref>AP597</xm:sqref>
        </x14:conditionalFormatting>
        <x14:conditionalFormatting xmlns:xm="http://schemas.microsoft.com/office/excel/2006/main">
          <x14:cfRule type="dataBar" id="{A6DEAF88-6C8E-493C-8965-0711D1A20B4F}">
            <x14:dataBar minLength="0" maxLength="100" border="1" gradient="0">
              <x14:cfvo type="num">
                <xm:f>0</xm:f>
              </x14:cfvo>
              <x14:cfvo type="num">
                <xm:f>1</xm:f>
              </x14:cfvo>
              <x14:borderColor theme="0"/>
              <x14:negativeFillColor rgb="FFFF0000"/>
              <x14:axisColor rgb="FF000000"/>
            </x14:dataBar>
          </x14:cfRule>
          <xm:sqref>AP599</xm:sqref>
        </x14:conditionalFormatting>
        <x14:conditionalFormatting xmlns:xm="http://schemas.microsoft.com/office/excel/2006/main">
          <x14:cfRule type="dataBar" id="{0A6F97F8-9712-403D-8D18-6E9CD9D5A994}">
            <x14:dataBar minLength="0" maxLength="100" border="1" gradient="0">
              <x14:cfvo type="num">
                <xm:f>0</xm:f>
              </x14:cfvo>
              <x14:cfvo type="num">
                <xm:f>1</xm:f>
              </x14:cfvo>
              <x14:borderColor theme="0"/>
              <x14:negativeFillColor rgb="FFFF0000"/>
              <x14:axisColor rgb="FF000000"/>
            </x14:dataBar>
          </x14:cfRule>
          <xm:sqref>AP601</xm:sqref>
        </x14:conditionalFormatting>
        <x14:conditionalFormatting xmlns:xm="http://schemas.microsoft.com/office/excel/2006/main">
          <x14:cfRule type="dataBar" id="{DAD6DFAA-43EC-4D93-AC4E-8E749D9F32AB}">
            <x14:dataBar minLength="0" maxLength="100" border="1" gradient="0">
              <x14:cfvo type="num">
                <xm:f>0</xm:f>
              </x14:cfvo>
              <x14:cfvo type="num">
                <xm:f>1</xm:f>
              </x14:cfvo>
              <x14:borderColor theme="0"/>
              <x14:negativeFillColor rgb="FFFF0000"/>
              <x14:axisColor rgb="FF000000"/>
            </x14:dataBar>
          </x14:cfRule>
          <xm:sqref>AP603</xm:sqref>
        </x14:conditionalFormatting>
        <x14:conditionalFormatting xmlns:xm="http://schemas.microsoft.com/office/excel/2006/main">
          <x14:cfRule type="dataBar" id="{1122F98F-A03E-4863-BFF9-3842C12A4171}">
            <x14:dataBar minLength="0" maxLength="100" border="1" gradient="0">
              <x14:cfvo type="num">
                <xm:f>0</xm:f>
              </x14:cfvo>
              <x14:cfvo type="num">
                <xm:f>1</xm:f>
              </x14:cfvo>
              <x14:borderColor theme="0"/>
              <x14:negativeFillColor rgb="FFFF0000"/>
              <x14:axisColor rgb="FF000000"/>
            </x14:dataBar>
          </x14:cfRule>
          <xm:sqref>AP605</xm:sqref>
        </x14:conditionalFormatting>
        <x14:conditionalFormatting xmlns:xm="http://schemas.microsoft.com/office/excel/2006/main">
          <x14:cfRule type="dataBar" id="{B837FB0F-216A-4008-A1AB-CDEAC3AAF870}">
            <x14:dataBar minLength="0" maxLength="100" border="1" gradient="0">
              <x14:cfvo type="num">
                <xm:f>0</xm:f>
              </x14:cfvo>
              <x14:cfvo type="num">
                <xm:f>1</xm:f>
              </x14:cfvo>
              <x14:borderColor theme="0"/>
              <x14:negativeFillColor rgb="FFFF0000"/>
              <x14:axisColor rgb="FF000000"/>
            </x14:dataBar>
          </x14:cfRule>
          <xm:sqref>AP607</xm:sqref>
        </x14:conditionalFormatting>
        <x14:conditionalFormatting xmlns:xm="http://schemas.microsoft.com/office/excel/2006/main">
          <x14:cfRule type="dataBar" id="{6B92C85D-A998-45A6-80C2-47E6FF11DD46}">
            <x14:dataBar minLength="0" maxLength="100" border="1" gradient="0">
              <x14:cfvo type="num">
                <xm:f>0</xm:f>
              </x14:cfvo>
              <x14:cfvo type="num">
                <xm:f>1</xm:f>
              </x14:cfvo>
              <x14:borderColor theme="0"/>
              <x14:negativeFillColor rgb="FFFF0000"/>
              <x14:axisColor rgb="FF000000"/>
            </x14:dataBar>
          </x14:cfRule>
          <xm:sqref>AP609</xm:sqref>
        </x14:conditionalFormatting>
        <x14:conditionalFormatting xmlns:xm="http://schemas.microsoft.com/office/excel/2006/main">
          <x14:cfRule type="dataBar" id="{67CE196D-3E97-456B-BBC1-099032881259}">
            <x14:dataBar minLength="0" maxLength="100" border="1" gradient="0">
              <x14:cfvo type="num">
                <xm:f>0</xm:f>
              </x14:cfvo>
              <x14:cfvo type="num">
                <xm:f>1</xm:f>
              </x14:cfvo>
              <x14:borderColor theme="0"/>
              <x14:negativeFillColor rgb="FFFF0000"/>
              <x14:axisColor rgb="FF000000"/>
            </x14:dataBar>
          </x14:cfRule>
          <xm:sqref>AP611</xm:sqref>
        </x14:conditionalFormatting>
        <x14:conditionalFormatting xmlns:xm="http://schemas.microsoft.com/office/excel/2006/main">
          <x14:cfRule type="dataBar" id="{CE918DE3-A7F0-4F75-8FDC-E47AEBF3DCBA}">
            <x14:dataBar minLength="0" maxLength="100" border="1" gradient="0">
              <x14:cfvo type="num">
                <xm:f>0</xm:f>
              </x14:cfvo>
              <x14:cfvo type="num">
                <xm:f>1</xm:f>
              </x14:cfvo>
              <x14:borderColor theme="0"/>
              <x14:negativeFillColor rgb="FFFF0000"/>
              <x14:axisColor rgb="FF000000"/>
            </x14:dataBar>
          </x14:cfRule>
          <xm:sqref>AP613</xm:sqref>
        </x14:conditionalFormatting>
        <x14:conditionalFormatting xmlns:xm="http://schemas.microsoft.com/office/excel/2006/main">
          <x14:cfRule type="dataBar" id="{0D5CBF29-351E-4979-933D-64D7BD4BD92E}">
            <x14:dataBar minLength="0" maxLength="100" border="1" gradient="0">
              <x14:cfvo type="num">
                <xm:f>0</xm:f>
              </x14:cfvo>
              <x14:cfvo type="num">
                <xm:f>1</xm:f>
              </x14:cfvo>
              <x14:borderColor theme="0"/>
              <x14:negativeFillColor rgb="FFFF0000"/>
              <x14:axisColor rgb="FF000000"/>
            </x14:dataBar>
          </x14:cfRule>
          <xm:sqref>AP615</xm:sqref>
        </x14:conditionalFormatting>
        <x14:conditionalFormatting xmlns:xm="http://schemas.microsoft.com/office/excel/2006/main">
          <x14:cfRule type="dataBar" id="{E8F1E804-B68F-4F48-8F1D-F5C286F00CDD}">
            <x14:dataBar minLength="0" maxLength="100" border="1" gradient="0">
              <x14:cfvo type="num">
                <xm:f>0</xm:f>
              </x14:cfvo>
              <x14:cfvo type="num">
                <xm:f>1</xm:f>
              </x14:cfvo>
              <x14:borderColor theme="0"/>
              <x14:negativeFillColor rgb="FFFF0000"/>
              <x14:axisColor rgb="FF000000"/>
            </x14:dataBar>
          </x14:cfRule>
          <xm:sqref>AP617</xm:sqref>
        </x14:conditionalFormatting>
        <x14:conditionalFormatting xmlns:xm="http://schemas.microsoft.com/office/excel/2006/main">
          <x14:cfRule type="dataBar" id="{C48C9E69-4DAE-4C3F-B34C-E51692D20F3C}">
            <x14:dataBar minLength="0" maxLength="100" border="1" gradient="0">
              <x14:cfvo type="num">
                <xm:f>0</xm:f>
              </x14:cfvo>
              <x14:cfvo type="num">
                <xm:f>1</xm:f>
              </x14:cfvo>
              <x14:borderColor theme="0"/>
              <x14:negativeFillColor rgb="FFFF0000"/>
              <x14:axisColor rgb="FF000000"/>
            </x14:dataBar>
          </x14:cfRule>
          <xm:sqref>AP619</xm:sqref>
        </x14:conditionalFormatting>
        <x14:conditionalFormatting xmlns:xm="http://schemas.microsoft.com/office/excel/2006/main">
          <x14:cfRule type="dataBar" id="{A0A6E897-6990-4741-8386-990B2A858F00}">
            <x14:dataBar minLength="0" maxLength="100" border="1" gradient="0">
              <x14:cfvo type="num">
                <xm:f>0</xm:f>
              </x14:cfvo>
              <x14:cfvo type="num">
                <xm:f>1</xm:f>
              </x14:cfvo>
              <x14:borderColor theme="0"/>
              <x14:negativeFillColor rgb="FFFF0000"/>
              <x14:axisColor rgb="FF000000"/>
            </x14:dataBar>
          </x14:cfRule>
          <xm:sqref>AP621</xm:sqref>
        </x14:conditionalFormatting>
        <x14:conditionalFormatting xmlns:xm="http://schemas.microsoft.com/office/excel/2006/main">
          <x14:cfRule type="dataBar" id="{9A236DB3-0C2B-4A1B-B787-77E17B08C26C}">
            <x14:dataBar minLength="0" maxLength="100" border="1" gradient="0">
              <x14:cfvo type="num">
                <xm:f>0</xm:f>
              </x14:cfvo>
              <x14:cfvo type="num">
                <xm:f>1</xm:f>
              </x14:cfvo>
              <x14:borderColor theme="0"/>
              <x14:negativeFillColor rgb="FFFF0000"/>
              <x14:axisColor rgb="FF000000"/>
            </x14:dataBar>
          </x14:cfRule>
          <xm:sqref>AP623</xm:sqref>
        </x14:conditionalFormatting>
        <x14:conditionalFormatting xmlns:xm="http://schemas.microsoft.com/office/excel/2006/main">
          <x14:cfRule type="dataBar" id="{DDD813DF-FA09-4E99-B098-C3EC17B13BF5}">
            <x14:dataBar minLength="0" maxLength="100" border="1" gradient="0">
              <x14:cfvo type="num">
                <xm:f>0</xm:f>
              </x14:cfvo>
              <x14:cfvo type="num">
                <xm:f>1</xm:f>
              </x14:cfvo>
              <x14:borderColor theme="0"/>
              <x14:negativeFillColor rgb="FFFF0000"/>
              <x14:axisColor rgb="FF000000"/>
            </x14:dataBar>
          </x14:cfRule>
          <xm:sqref>AP625</xm:sqref>
        </x14:conditionalFormatting>
        <x14:conditionalFormatting xmlns:xm="http://schemas.microsoft.com/office/excel/2006/main">
          <x14:cfRule type="dataBar" id="{6057EAF0-A16C-4702-8CDF-6D56F9DFB53B}">
            <x14:dataBar minLength="0" maxLength="100" border="1" gradient="0">
              <x14:cfvo type="num">
                <xm:f>0</xm:f>
              </x14:cfvo>
              <x14:cfvo type="num">
                <xm:f>1</xm:f>
              </x14:cfvo>
              <x14:borderColor theme="0"/>
              <x14:negativeFillColor rgb="FFFF0000"/>
              <x14:axisColor rgb="FF000000"/>
            </x14:dataBar>
          </x14:cfRule>
          <xm:sqref>BA9</xm:sqref>
        </x14:conditionalFormatting>
        <x14:conditionalFormatting xmlns:xm="http://schemas.microsoft.com/office/excel/2006/main">
          <x14:cfRule type="dataBar" id="{F2EFDD44-CE0A-43C4-9764-CAAEB5397877}">
            <x14:dataBar minLength="0" maxLength="100" border="1" gradient="0">
              <x14:cfvo type="num">
                <xm:f>0</xm:f>
              </x14:cfvo>
              <x14:cfvo type="num">
                <xm:f>1</xm:f>
              </x14:cfvo>
              <x14:borderColor theme="0"/>
              <x14:negativeFillColor rgb="FFFF0000"/>
              <x14:axisColor rgb="FF000000"/>
            </x14:dataBar>
          </x14:cfRule>
          <xm:sqref>BA13</xm:sqref>
        </x14:conditionalFormatting>
        <x14:conditionalFormatting xmlns:xm="http://schemas.microsoft.com/office/excel/2006/main">
          <x14:cfRule type="dataBar" id="{5A451159-FBDD-44EA-961E-899414C9E271}">
            <x14:dataBar minLength="0" maxLength="100" border="1" gradient="0">
              <x14:cfvo type="num">
                <xm:f>0</xm:f>
              </x14:cfvo>
              <x14:cfvo type="num">
                <xm:f>1</xm:f>
              </x14:cfvo>
              <x14:borderColor theme="0"/>
              <x14:negativeFillColor rgb="FFFF0000"/>
              <x14:axisColor rgb="FF000000"/>
            </x14:dataBar>
          </x14:cfRule>
          <xm:sqref>BA15</xm:sqref>
        </x14:conditionalFormatting>
        <x14:conditionalFormatting xmlns:xm="http://schemas.microsoft.com/office/excel/2006/main">
          <x14:cfRule type="dataBar" id="{4C2FD900-2E0E-41B5-BCBA-C3A1EAEF5DCC}">
            <x14:dataBar minLength="0" maxLength="100" border="1" gradient="0">
              <x14:cfvo type="num">
                <xm:f>0</xm:f>
              </x14:cfvo>
              <x14:cfvo type="num">
                <xm:f>1</xm:f>
              </x14:cfvo>
              <x14:borderColor theme="0"/>
              <x14:negativeFillColor rgb="FFFF0000"/>
              <x14:axisColor rgb="FF000000"/>
            </x14:dataBar>
          </x14:cfRule>
          <xm:sqref>BA17</xm:sqref>
        </x14:conditionalFormatting>
        <x14:conditionalFormatting xmlns:xm="http://schemas.microsoft.com/office/excel/2006/main">
          <x14:cfRule type="dataBar" id="{08EE0ABC-F507-4C5A-ABAA-4A97EFBD4F65}">
            <x14:dataBar minLength="0" maxLength="100" border="1" gradient="0">
              <x14:cfvo type="num">
                <xm:f>0</xm:f>
              </x14:cfvo>
              <x14:cfvo type="num">
                <xm:f>1</xm:f>
              </x14:cfvo>
              <x14:borderColor theme="0"/>
              <x14:negativeFillColor rgb="FFFF0000"/>
              <x14:axisColor rgb="FF000000"/>
            </x14:dataBar>
          </x14:cfRule>
          <xm:sqref>BA19</xm:sqref>
        </x14:conditionalFormatting>
        <x14:conditionalFormatting xmlns:xm="http://schemas.microsoft.com/office/excel/2006/main">
          <x14:cfRule type="dataBar" id="{08E7D887-9D5D-48B4-839C-E3FBCA840BA1}">
            <x14:dataBar minLength="0" maxLength="100" border="1" gradient="0">
              <x14:cfvo type="num">
                <xm:f>0</xm:f>
              </x14:cfvo>
              <x14:cfvo type="num">
                <xm:f>1</xm:f>
              </x14:cfvo>
              <x14:borderColor theme="0"/>
              <x14:negativeFillColor rgb="FFFF0000"/>
              <x14:axisColor rgb="FF000000"/>
            </x14:dataBar>
          </x14:cfRule>
          <xm:sqref>BA21</xm:sqref>
        </x14:conditionalFormatting>
        <x14:conditionalFormatting xmlns:xm="http://schemas.microsoft.com/office/excel/2006/main">
          <x14:cfRule type="dataBar" id="{36ABCAA7-BD10-4A89-9CB8-CAE5D37B12F0}">
            <x14:dataBar minLength="0" maxLength="100" border="1" gradient="0">
              <x14:cfvo type="num">
                <xm:f>0</xm:f>
              </x14:cfvo>
              <x14:cfvo type="num">
                <xm:f>1</xm:f>
              </x14:cfvo>
              <x14:borderColor theme="0"/>
              <x14:negativeFillColor rgb="FFFF0000"/>
              <x14:axisColor rgb="FF000000"/>
            </x14:dataBar>
          </x14:cfRule>
          <xm:sqref>BA23</xm:sqref>
        </x14:conditionalFormatting>
        <x14:conditionalFormatting xmlns:xm="http://schemas.microsoft.com/office/excel/2006/main">
          <x14:cfRule type="dataBar" id="{3B1D871C-9499-4BDD-A587-DF24447FA213}">
            <x14:dataBar minLength="0" maxLength="100" border="1" gradient="0">
              <x14:cfvo type="num">
                <xm:f>0</xm:f>
              </x14:cfvo>
              <x14:cfvo type="num">
                <xm:f>1</xm:f>
              </x14:cfvo>
              <x14:borderColor theme="0"/>
              <x14:negativeFillColor rgb="FFFF0000"/>
              <x14:axisColor rgb="FF000000"/>
            </x14:dataBar>
          </x14:cfRule>
          <xm:sqref>BA25</xm:sqref>
        </x14:conditionalFormatting>
        <x14:conditionalFormatting xmlns:xm="http://schemas.microsoft.com/office/excel/2006/main">
          <x14:cfRule type="dataBar" id="{2D8B19C0-B811-4B80-9D79-636386C74A08}">
            <x14:dataBar minLength="0" maxLength="100" border="1" gradient="0">
              <x14:cfvo type="num">
                <xm:f>0</xm:f>
              </x14:cfvo>
              <x14:cfvo type="num">
                <xm:f>1</xm:f>
              </x14:cfvo>
              <x14:borderColor theme="0"/>
              <x14:negativeFillColor rgb="FFFF0000"/>
              <x14:axisColor rgb="FF000000"/>
            </x14:dataBar>
          </x14:cfRule>
          <xm:sqref>BA27</xm:sqref>
        </x14:conditionalFormatting>
        <x14:conditionalFormatting xmlns:xm="http://schemas.microsoft.com/office/excel/2006/main">
          <x14:cfRule type="dataBar" id="{93B2CFE8-0820-4077-B60D-60B38FCE17E4}">
            <x14:dataBar minLength="0" maxLength="100" border="1" gradient="0">
              <x14:cfvo type="num">
                <xm:f>0</xm:f>
              </x14:cfvo>
              <x14:cfvo type="num">
                <xm:f>1</xm:f>
              </x14:cfvo>
              <x14:borderColor theme="0"/>
              <x14:negativeFillColor rgb="FFFF0000"/>
              <x14:axisColor rgb="FF000000"/>
            </x14:dataBar>
          </x14:cfRule>
          <xm:sqref>BA29</xm:sqref>
        </x14:conditionalFormatting>
        <x14:conditionalFormatting xmlns:xm="http://schemas.microsoft.com/office/excel/2006/main">
          <x14:cfRule type="dataBar" id="{C379D453-D367-4CF8-85F6-931A91C30BFF}">
            <x14:dataBar minLength="0" maxLength="100" border="1" gradient="0">
              <x14:cfvo type="num">
                <xm:f>0</xm:f>
              </x14:cfvo>
              <x14:cfvo type="num">
                <xm:f>1</xm:f>
              </x14:cfvo>
              <x14:borderColor theme="0"/>
              <x14:negativeFillColor rgb="FFFF0000"/>
              <x14:axisColor rgb="FF000000"/>
            </x14:dataBar>
          </x14:cfRule>
          <xm:sqref>BA31</xm:sqref>
        </x14:conditionalFormatting>
        <x14:conditionalFormatting xmlns:xm="http://schemas.microsoft.com/office/excel/2006/main">
          <x14:cfRule type="dataBar" id="{65BD5546-661B-487C-A0FD-41785198746B}">
            <x14:dataBar minLength="0" maxLength="100" border="1" gradient="0">
              <x14:cfvo type="num">
                <xm:f>0</xm:f>
              </x14:cfvo>
              <x14:cfvo type="num">
                <xm:f>1</xm:f>
              </x14:cfvo>
              <x14:borderColor theme="0"/>
              <x14:negativeFillColor rgb="FFFF0000"/>
              <x14:axisColor rgb="FF000000"/>
            </x14:dataBar>
          </x14:cfRule>
          <xm:sqref>BA35</xm:sqref>
        </x14:conditionalFormatting>
        <x14:conditionalFormatting xmlns:xm="http://schemas.microsoft.com/office/excel/2006/main">
          <x14:cfRule type="dataBar" id="{7AEF19E9-AF09-4254-A484-2019763502E4}">
            <x14:dataBar minLength="0" maxLength="100" border="1" gradient="0">
              <x14:cfvo type="num">
                <xm:f>0</xm:f>
              </x14:cfvo>
              <x14:cfvo type="num">
                <xm:f>1</xm:f>
              </x14:cfvo>
              <x14:borderColor theme="0"/>
              <x14:negativeFillColor rgb="FFFF0000"/>
              <x14:axisColor rgb="FF000000"/>
            </x14:dataBar>
          </x14:cfRule>
          <xm:sqref>BA37</xm:sqref>
        </x14:conditionalFormatting>
        <x14:conditionalFormatting xmlns:xm="http://schemas.microsoft.com/office/excel/2006/main">
          <x14:cfRule type="dataBar" id="{D14541E7-49A0-4735-8F10-9BF4AF730E64}">
            <x14:dataBar minLength="0" maxLength="100" border="1" gradient="0">
              <x14:cfvo type="num">
                <xm:f>0</xm:f>
              </x14:cfvo>
              <x14:cfvo type="num">
                <xm:f>1</xm:f>
              </x14:cfvo>
              <x14:borderColor theme="0"/>
              <x14:negativeFillColor rgb="FFFF0000"/>
              <x14:axisColor rgb="FF000000"/>
            </x14:dataBar>
          </x14:cfRule>
          <xm:sqref>BA39</xm:sqref>
        </x14:conditionalFormatting>
        <x14:conditionalFormatting xmlns:xm="http://schemas.microsoft.com/office/excel/2006/main">
          <x14:cfRule type="dataBar" id="{F2FBBFEA-C5F3-4E09-82B4-2070E5BEEC0B}">
            <x14:dataBar minLength="0" maxLength="100" border="1" gradient="0">
              <x14:cfvo type="num">
                <xm:f>0</xm:f>
              </x14:cfvo>
              <x14:cfvo type="num">
                <xm:f>1</xm:f>
              </x14:cfvo>
              <x14:borderColor theme="0"/>
              <x14:negativeFillColor rgb="FFFF0000"/>
              <x14:axisColor rgb="FF000000"/>
            </x14:dataBar>
          </x14:cfRule>
          <xm:sqref>BA41</xm:sqref>
        </x14:conditionalFormatting>
        <x14:conditionalFormatting xmlns:xm="http://schemas.microsoft.com/office/excel/2006/main">
          <x14:cfRule type="dataBar" id="{C77D70B1-9369-4B93-A6EC-2215DCAFF599}">
            <x14:dataBar minLength="0" maxLength="100" border="1" gradient="0">
              <x14:cfvo type="num">
                <xm:f>0</xm:f>
              </x14:cfvo>
              <x14:cfvo type="num">
                <xm:f>1</xm:f>
              </x14:cfvo>
              <x14:borderColor theme="0"/>
              <x14:negativeFillColor rgb="FFFF0000"/>
              <x14:axisColor rgb="FF000000"/>
            </x14:dataBar>
          </x14:cfRule>
          <xm:sqref>BA43</xm:sqref>
        </x14:conditionalFormatting>
        <x14:conditionalFormatting xmlns:xm="http://schemas.microsoft.com/office/excel/2006/main">
          <x14:cfRule type="dataBar" id="{122E5BC2-6902-4C8D-B527-A4DAB793F812}">
            <x14:dataBar minLength="0" maxLength="100" border="1" gradient="0">
              <x14:cfvo type="num">
                <xm:f>0</xm:f>
              </x14:cfvo>
              <x14:cfvo type="num">
                <xm:f>1</xm:f>
              </x14:cfvo>
              <x14:borderColor theme="0"/>
              <x14:negativeFillColor rgb="FFFF0000"/>
              <x14:axisColor rgb="FF000000"/>
            </x14:dataBar>
          </x14:cfRule>
          <xm:sqref>BA47</xm:sqref>
        </x14:conditionalFormatting>
        <x14:conditionalFormatting xmlns:xm="http://schemas.microsoft.com/office/excel/2006/main">
          <x14:cfRule type="dataBar" id="{4BD22A99-FE24-4249-B5EF-82A2FAF7FEFB}">
            <x14:dataBar minLength="0" maxLength="100" border="1" gradient="0">
              <x14:cfvo type="num">
                <xm:f>0</xm:f>
              </x14:cfvo>
              <x14:cfvo type="num">
                <xm:f>1</xm:f>
              </x14:cfvo>
              <x14:borderColor theme="0"/>
              <x14:negativeFillColor rgb="FFFF0000"/>
              <x14:axisColor rgb="FF000000"/>
            </x14:dataBar>
          </x14:cfRule>
          <xm:sqref>BA49</xm:sqref>
        </x14:conditionalFormatting>
        <x14:conditionalFormatting xmlns:xm="http://schemas.microsoft.com/office/excel/2006/main">
          <x14:cfRule type="dataBar" id="{372997F4-112B-4AE1-BA75-55F0CFA6E08C}">
            <x14:dataBar minLength="0" maxLength="100" border="1" gradient="0">
              <x14:cfvo type="num">
                <xm:f>0</xm:f>
              </x14:cfvo>
              <x14:cfvo type="num">
                <xm:f>1</xm:f>
              </x14:cfvo>
              <x14:borderColor theme="0"/>
              <x14:negativeFillColor rgb="FFFF0000"/>
              <x14:axisColor rgb="FF000000"/>
            </x14:dataBar>
          </x14:cfRule>
          <xm:sqref>BA51</xm:sqref>
        </x14:conditionalFormatting>
        <x14:conditionalFormatting xmlns:xm="http://schemas.microsoft.com/office/excel/2006/main">
          <x14:cfRule type="dataBar" id="{EC747471-7DC3-42BD-88E3-063B3BB6E0BB}">
            <x14:dataBar minLength="0" maxLength="100" border="1" gradient="0">
              <x14:cfvo type="num">
                <xm:f>0</xm:f>
              </x14:cfvo>
              <x14:cfvo type="num">
                <xm:f>1</xm:f>
              </x14:cfvo>
              <x14:borderColor theme="0"/>
              <x14:negativeFillColor rgb="FFFF0000"/>
              <x14:axisColor rgb="FF000000"/>
            </x14:dataBar>
          </x14:cfRule>
          <xm:sqref>BA53</xm:sqref>
        </x14:conditionalFormatting>
        <x14:conditionalFormatting xmlns:xm="http://schemas.microsoft.com/office/excel/2006/main">
          <x14:cfRule type="dataBar" id="{99BB46B3-4992-4321-9635-376585A4821C}">
            <x14:dataBar minLength="0" maxLength="100" border="1" gradient="0">
              <x14:cfvo type="num">
                <xm:f>0</xm:f>
              </x14:cfvo>
              <x14:cfvo type="num">
                <xm:f>1</xm:f>
              </x14:cfvo>
              <x14:borderColor theme="0"/>
              <x14:negativeFillColor rgb="FFFF0000"/>
              <x14:axisColor rgb="FF000000"/>
            </x14:dataBar>
          </x14:cfRule>
          <xm:sqref>BA55</xm:sqref>
        </x14:conditionalFormatting>
        <x14:conditionalFormatting xmlns:xm="http://schemas.microsoft.com/office/excel/2006/main">
          <x14:cfRule type="dataBar" id="{FBA957CB-613E-4032-8471-1E52F8205A20}">
            <x14:dataBar minLength="0" maxLength="100" border="1" gradient="0">
              <x14:cfvo type="num">
                <xm:f>0</xm:f>
              </x14:cfvo>
              <x14:cfvo type="num">
                <xm:f>1</xm:f>
              </x14:cfvo>
              <x14:borderColor theme="0"/>
              <x14:negativeFillColor rgb="FFFF0000"/>
              <x14:axisColor rgb="FF000000"/>
            </x14:dataBar>
          </x14:cfRule>
          <xm:sqref>BA57</xm:sqref>
        </x14:conditionalFormatting>
        <x14:conditionalFormatting xmlns:xm="http://schemas.microsoft.com/office/excel/2006/main">
          <x14:cfRule type="dataBar" id="{3548C78B-A694-44F6-82CC-D7115F494BFB}">
            <x14:dataBar minLength="0" maxLength="100" border="1" gradient="0">
              <x14:cfvo type="num">
                <xm:f>0</xm:f>
              </x14:cfvo>
              <x14:cfvo type="num">
                <xm:f>1</xm:f>
              </x14:cfvo>
              <x14:borderColor theme="0"/>
              <x14:negativeFillColor rgb="FFFF0000"/>
              <x14:axisColor rgb="FF000000"/>
            </x14:dataBar>
          </x14:cfRule>
          <xm:sqref>BA59</xm:sqref>
        </x14:conditionalFormatting>
        <x14:conditionalFormatting xmlns:xm="http://schemas.microsoft.com/office/excel/2006/main">
          <x14:cfRule type="dataBar" id="{49094E03-B942-479C-A64D-0DB002867EAF}">
            <x14:dataBar minLength="0" maxLength="100" border="1" gradient="0">
              <x14:cfvo type="num">
                <xm:f>0</xm:f>
              </x14:cfvo>
              <x14:cfvo type="num">
                <xm:f>1</xm:f>
              </x14:cfvo>
              <x14:borderColor theme="0"/>
              <x14:negativeFillColor rgb="FFFF0000"/>
              <x14:axisColor rgb="FF000000"/>
            </x14:dataBar>
          </x14:cfRule>
          <xm:sqref>BA61</xm:sqref>
        </x14:conditionalFormatting>
        <x14:conditionalFormatting xmlns:xm="http://schemas.microsoft.com/office/excel/2006/main">
          <x14:cfRule type="dataBar" id="{CD71D673-EEED-4E38-8D90-0BC8E53E1A34}">
            <x14:dataBar minLength="0" maxLength="100" border="1" gradient="0">
              <x14:cfvo type="num">
                <xm:f>0</xm:f>
              </x14:cfvo>
              <x14:cfvo type="num">
                <xm:f>1</xm:f>
              </x14:cfvo>
              <x14:borderColor theme="0"/>
              <x14:negativeFillColor rgb="FFFF0000"/>
              <x14:axisColor rgb="FF000000"/>
            </x14:dataBar>
          </x14:cfRule>
          <xm:sqref>BA63</xm:sqref>
        </x14:conditionalFormatting>
        <x14:conditionalFormatting xmlns:xm="http://schemas.microsoft.com/office/excel/2006/main">
          <x14:cfRule type="dataBar" id="{51D8964A-F781-4961-B33B-FF61896A8171}">
            <x14:dataBar minLength="0" maxLength="100" border="1" gradient="0">
              <x14:cfvo type="num">
                <xm:f>0</xm:f>
              </x14:cfvo>
              <x14:cfvo type="num">
                <xm:f>1</xm:f>
              </x14:cfvo>
              <x14:borderColor theme="0"/>
              <x14:negativeFillColor rgb="FFFF0000"/>
              <x14:axisColor rgb="FF000000"/>
            </x14:dataBar>
          </x14:cfRule>
          <xm:sqref>BA65</xm:sqref>
        </x14:conditionalFormatting>
        <x14:conditionalFormatting xmlns:xm="http://schemas.microsoft.com/office/excel/2006/main">
          <x14:cfRule type="dataBar" id="{EC72DE4E-4EA1-4528-8223-81CA0A9954ED}">
            <x14:dataBar minLength="0" maxLength="100" border="1" gradient="0">
              <x14:cfvo type="num">
                <xm:f>0</xm:f>
              </x14:cfvo>
              <x14:cfvo type="num">
                <xm:f>1</xm:f>
              </x14:cfvo>
              <x14:borderColor theme="0"/>
              <x14:negativeFillColor rgb="FFFF0000"/>
              <x14:axisColor rgb="FF000000"/>
            </x14:dataBar>
          </x14:cfRule>
          <xm:sqref>BA67</xm:sqref>
        </x14:conditionalFormatting>
        <x14:conditionalFormatting xmlns:xm="http://schemas.microsoft.com/office/excel/2006/main">
          <x14:cfRule type="dataBar" id="{C72E2C71-AC16-4282-9E6A-90258AB1D155}">
            <x14:dataBar minLength="0" maxLength="100" border="1" gradient="0">
              <x14:cfvo type="num">
                <xm:f>0</xm:f>
              </x14:cfvo>
              <x14:cfvo type="num">
                <xm:f>1</xm:f>
              </x14:cfvo>
              <x14:borderColor theme="0"/>
              <x14:negativeFillColor rgb="FFFF0000"/>
              <x14:axisColor rgb="FF000000"/>
            </x14:dataBar>
          </x14:cfRule>
          <xm:sqref>BA69</xm:sqref>
        </x14:conditionalFormatting>
        <x14:conditionalFormatting xmlns:xm="http://schemas.microsoft.com/office/excel/2006/main">
          <x14:cfRule type="dataBar" id="{F4411FBC-56E4-42FE-ADB9-BE0660DF7E35}">
            <x14:dataBar minLength="0" maxLength="100" border="1" gradient="0">
              <x14:cfvo type="num">
                <xm:f>0</xm:f>
              </x14:cfvo>
              <x14:cfvo type="num">
                <xm:f>1</xm:f>
              </x14:cfvo>
              <x14:borderColor theme="0"/>
              <x14:negativeFillColor rgb="FFFF0000"/>
              <x14:axisColor rgb="FF000000"/>
            </x14:dataBar>
          </x14:cfRule>
          <xm:sqref>BA73</xm:sqref>
        </x14:conditionalFormatting>
        <x14:conditionalFormatting xmlns:xm="http://schemas.microsoft.com/office/excel/2006/main">
          <x14:cfRule type="dataBar" id="{1CB922F4-7F97-4760-A985-14364750D42D}">
            <x14:dataBar minLength="0" maxLength="100" border="1" gradient="0">
              <x14:cfvo type="num">
                <xm:f>0</xm:f>
              </x14:cfvo>
              <x14:cfvo type="num">
                <xm:f>1</xm:f>
              </x14:cfvo>
              <x14:borderColor theme="0"/>
              <x14:negativeFillColor rgb="FFFF0000"/>
              <x14:axisColor rgb="FF000000"/>
            </x14:dataBar>
          </x14:cfRule>
          <xm:sqref>BA77</xm:sqref>
        </x14:conditionalFormatting>
        <x14:conditionalFormatting xmlns:xm="http://schemas.microsoft.com/office/excel/2006/main">
          <x14:cfRule type="dataBar" id="{A209E336-04D6-448B-A13C-333FD06EF8F3}">
            <x14:dataBar minLength="0" maxLength="100" border="1" gradient="0">
              <x14:cfvo type="num">
                <xm:f>0</xm:f>
              </x14:cfvo>
              <x14:cfvo type="num">
                <xm:f>1</xm:f>
              </x14:cfvo>
              <x14:borderColor theme="0"/>
              <x14:negativeFillColor rgb="FFFF0000"/>
              <x14:axisColor rgb="FF000000"/>
            </x14:dataBar>
          </x14:cfRule>
          <xm:sqref>BA79</xm:sqref>
        </x14:conditionalFormatting>
        <x14:conditionalFormatting xmlns:xm="http://schemas.microsoft.com/office/excel/2006/main">
          <x14:cfRule type="dataBar" id="{2AF96FE7-0D3F-42EA-95FD-DDF3138E9EC4}">
            <x14:dataBar minLength="0" maxLength="100" border="1" gradient="0">
              <x14:cfvo type="num">
                <xm:f>0</xm:f>
              </x14:cfvo>
              <x14:cfvo type="num">
                <xm:f>1</xm:f>
              </x14:cfvo>
              <x14:borderColor theme="0"/>
              <x14:negativeFillColor rgb="FFFF0000"/>
              <x14:axisColor rgb="FF000000"/>
            </x14:dataBar>
          </x14:cfRule>
          <xm:sqref>BA81</xm:sqref>
        </x14:conditionalFormatting>
        <x14:conditionalFormatting xmlns:xm="http://schemas.microsoft.com/office/excel/2006/main">
          <x14:cfRule type="dataBar" id="{C28E072B-365F-49F6-B97D-88A8AA461874}">
            <x14:dataBar minLength="0" maxLength="100" border="1" gradient="0">
              <x14:cfvo type="num">
                <xm:f>0</xm:f>
              </x14:cfvo>
              <x14:cfvo type="num">
                <xm:f>1</xm:f>
              </x14:cfvo>
              <x14:borderColor theme="0"/>
              <x14:negativeFillColor rgb="FFFF0000"/>
              <x14:axisColor rgb="FF000000"/>
            </x14:dataBar>
          </x14:cfRule>
          <xm:sqref>BA83</xm:sqref>
        </x14:conditionalFormatting>
        <x14:conditionalFormatting xmlns:xm="http://schemas.microsoft.com/office/excel/2006/main">
          <x14:cfRule type="dataBar" id="{FBDFF949-9990-4B87-9F1F-BE891EBF845B}">
            <x14:dataBar minLength="0" maxLength="100" border="1" gradient="0">
              <x14:cfvo type="num">
                <xm:f>0</xm:f>
              </x14:cfvo>
              <x14:cfvo type="num">
                <xm:f>1</xm:f>
              </x14:cfvo>
              <x14:borderColor theme="0"/>
              <x14:negativeFillColor rgb="FFFF0000"/>
              <x14:axisColor rgb="FF000000"/>
            </x14:dataBar>
          </x14:cfRule>
          <xm:sqref>BA85</xm:sqref>
        </x14:conditionalFormatting>
        <x14:conditionalFormatting xmlns:xm="http://schemas.microsoft.com/office/excel/2006/main">
          <x14:cfRule type="dataBar" id="{8BB2B0A9-41C2-46E1-9379-526447AE4B11}">
            <x14:dataBar minLength="0" maxLength="100" border="1" gradient="0">
              <x14:cfvo type="num">
                <xm:f>0</xm:f>
              </x14:cfvo>
              <x14:cfvo type="num">
                <xm:f>1</xm:f>
              </x14:cfvo>
              <x14:borderColor theme="0"/>
              <x14:negativeFillColor rgb="FFFF0000"/>
              <x14:axisColor rgb="FF000000"/>
            </x14:dataBar>
          </x14:cfRule>
          <xm:sqref>BA87</xm:sqref>
        </x14:conditionalFormatting>
        <x14:conditionalFormatting xmlns:xm="http://schemas.microsoft.com/office/excel/2006/main">
          <x14:cfRule type="dataBar" id="{9C40984D-F46D-49E2-8C9F-B66839D1FA25}">
            <x14:dataBar minLength="0" maxLength="100" border="1" gradient="0">
              <x14:cfvo type="num">
                <xm:f>0</xm:f>
              </x14:cfvo>
              <x14:cfvo type="num">
                <xm:f>1</xm:f>
              </x14:cfvo>
              <x14:borderColor theme="0"/>
              <x14:negativeFillColor rgb="FFFF0000"/>
              <x14:axisColor rgb="FF000000"/>
            </x14:dataBar>
          </x14:cfRule>
          <xm:sqref>BA89</xm:sqref>
        </x14:conditionalFormatting>
        <x14:conditionalFormatting xmlns:xm="http://schemas.microsoft.com/office/excel/2006/main">
          <x14:cfRule type="dataBar" id="{4BD114A2-F17B-4FCA-9D85-FBA80107986F}">
            <x14:dataBar minLength="0" maxLength="100" border="1" gradient="0">
              <x14:cfvo type="num">
                <xm:f>0</xm:f>
              </x14:cfvo>
              <x14:cfvo type="num">
                <xm:f>1</xm:f>
              </x14:cfvo>
              <x14:borderColor theme="0"/>
              <x14:negativeFillColor rgb="FFFF0000"/>
              <x14:axisColor rgb="FF000000"/>
            </x14:dataBar>
          </x14:cfRule>
          <xm:sqref>BA93</xm:sqref>
        </x14:conditionalFormatting>
        <x14:conditionalFormatting xmlns:xm="http://schemas.microsoft.com/office/excel/2006/main">
          <x14:cfRule type="dataBar" id="{6B1CCD5C-FE84-4164-8A70-E45A6DDFD1D9}">
            <x14:dataBar minLength="0" maxLength="100" border="1" gradient="0">
              <x14:cfvo type="num">
                <xm:f>0</xm:f>
              </x14:cfvo>
              <x14:cfvo type="num">
                <xm:f>1</xm:f>
              </x14:cfvo>
              <x14:borderColor theme="0"/>
              <x14:negativeFillColor rgb="FFFF0000"/>
              <x14:axisColor rgb="FF000000"/>
            </x14:dataBar>
          </x14:cfRule>
          <xm:sqref>BA95</xm:sqref>
        </x14:conditionalFormatting>
        <x14:conditionalFormatting xmlns:xm="http://schemas.microsoft.com/office/excel/2006/main">
          <x14:cfRule type="dataBar" id="{1F2A8222-7E8D-4075-95B6-983D657424CE}">
            <x14:dataBar minLength="0" maxLength="100" border="1" gradient="0">
              <x14:cfvo type="num">
                <xm:f>0</xm:f>
              </x14:cfvo>
              <x14:cfvo type="num">
                <xm:f>1</xm:f>
              </x14:cfvo>
              <x14:borderColor theme="0"/>
              <x14:negativeFillColor rgb="FFFF0000"/>
              <x14:axisColor rgb="FF000000"/>
            </x14:dataBar>
          </x14:cfRule>
          <xm:sqref>BA97</xm:sqref>
        </x14:conditionalFormatting>
        <x14:conditionalFormatting xmlns:xm="http://schemas.microsoft.com/office/excel/2006/main">
          <x14:cfRule type="dataBar" id="{49CB6F91-A8F4-4C55-8AF7-584E69349CC0}">
            <x14:dataBar minLength="0" maxLength="100" border="1" gradient="0">
              <x14:cfvo type="num">
                <xm:f>0</xm:f>
              </x14:cfvo>
              <x14:cfvo type="num">
                <xm:f>1</xm:f>
              </x14:cfvo>
              <x14:borderColor theme="0"/>
              <x14:negativeFillColor rgb="FFFF0000"/>
              <x14:axisColor rgb="FF000000"/>
            </x14:dataBar>
          </x14:cfRule>
          <xm:sqref>BA99</xm:sqref>
        </x14:conditionalFormatting>
        <x14:conditionalFormatting xmlns:xm="http://schemas.microsoft.com/office/excel/2006/main">
          <x14:cfRule type="dataBar" id="{E17C8275-AF0F-443B-BC36-0C09085CF55D}">
            <x14:dataBar minLength="0" maxLength="100" border="1" gradient="0">
              <x14:cfvo type="num">
                <xm:f>0</xm:f>
              </x14:cfvo>
              <x14:cfvo type="num">
                <xm:f>1</xm:f>
              </x14:cfvo>
              <x14:borderColor theme="0"/>
              <x14:negativeFillColor rgb="FFFF0000"/>
              <x14:axisColor rgb="FF000000"/>
            </x14:dataBar>
          </x14:cfRule>
          <xm:sqref>BA101</xm:sqref>
        </x14:conditionalFormatting>
        <x14:conditionalFormatting xmlns:xm="http://schemas.microsoft.com/office/excel/2006/main">
          <x14:cfRule type="dataBar" id="{32B9B48E-9655-49B8-ABF8-9BD5C1958EAC}">
            <x14:dataBar minLength="0" maxLength="100" border="1" gradient="0">
              <x14:cfvo type="num">
                <xm:f>0</xm:f>
              </x14:cfvo>
              <x14:cfvo type="num">
                <xm:f>1</xm:f>
              </x14:cfvo>
              <x14:borderColor theme="0"/>
              <x14:negativeFillColor rgb="FFFF0000"/>
              <x14:axisColor rgb="FF000000"/>
            </x14:dataBar>
          </x14:cfRule>
          <xm:sqref>BA103</xm:sqref>
        </x14:conditionalFormatting>
        <x14:conditionalFormatting xmlns:xm="http://schemas.microsoft.com/office/excel/2006/main">
          <x14:cfRule type="dataBar" id="{526A281D-B096-4800-B80D-AE30C4DCD55D}">
            <x14:dataBar minLength="0" maxLength="100" border="1" gradient="0">
              <x14:cfvo type="num">
                <xm:f>0</xm:f>
              </x14:cfvo>
              <x14:cfvo type="num">
                <xm:f>1</xm:f>
              </x14:cfvo>
              <x14:borderColor theme="0"/>
              <x14:negativeFillColor rgb="FFFF0000"/>
              <x14:axisColor rgb="FF000000"/>
            </x14:dataBar>
          </x14:cfRule>
          <xm:sqref>BA105</xm:sqref>
        </x14:conditionalFormatting>
        <x14:conditionalFormatting xmlns:xm="http://schemas.microsoft.com/office/excel/2006/main">
          <x14:cfRule type="dataBar" id="{FFE18037-F6CF-483E-944E-6DB45232CF25}">
            <x14:dataBar minLength="0" maxLength="100" border="1" gradient="0">
              <x14:cfvo type="num">
                <xm:f>0</xm:f>
              </x14:cfvo>
              <x14:cfvo type="num">
                <xm:f>1</xm:f>
              </x14:cfvo>
              <x14:borderColor theme="0"/>
              <x14:negativeFillColor rgb="FFFF0000"/>
              <x14:axisColor rgb="FF000000"/>
            </x14:dataBar>
          </x14:cfRule>
          <xm:sqref>BA107</xm:sqref>
        </x14:conditionalFormatting>
        <x14:conditionalFormatting xmlns:xm="http://schemas.microsoft.com/office/excel/2006/main">
          <x14:cfRule type="dataBar" id="{95F5A7C4-1772-432A-9F83-2C96613760F4}">
            <x14:dataBar minLength="0" maxLength="100" border="1" gradient="0">
              <x14:cfvo type="num">
                <xm:f>0</xm:f>
              </x14:cfvo>
              <x14:cfvo type="num">
                <xm:f>1</xm:f>
              </x14:cfvo>
              <x14:borderColor theme="0"/>
              <x14:negativeFillColor rgb="FFFF0000"/>
              <x14:axisColor rgb="FF000000"/>
            </x14:dataBar>
          </x14:cfRule>
          <xm:sqref>BA109</xm:sqref>
        </x14:conditionalFormatting>
        <x14:conditionalFormatting xmlns:xm="http://schemas.microsoft.com/office/excel/2006/main">
          <x14:cfRule type="dataBar" id="{A9EAD47C-FC5C-446C-97AC-99EAF6E1A6B9}">
            <x14:dataBar minLength="0" maxLength="100" border="1" gradient="0">
              <x14:cfvo type="num">
                <xm:f>0</xm:f>
              </x14:cfvo>
              <x14:cfvo type="num">
                <xm:f>1</xm:f>
              </x14:cfvo>
              <x14:borderColor theme="0"/>
              <x14:negativeFillColor rgb="FFFF0000"/>
              <x14:axisColor rgb="FF000000"/>
            </x14:dataBar>
          </x14:cfRule>
          <xm:sqref>BA113</xm:sqref>
        </x14:conditionalFormatting>
        <x14:conditionalFormatting xmlns:xm="http://schemas.microsoft.com/office/excel/2006/main">
          <x14:cfRule type="dataBar" id="{E37A65DC-8E21-4B32-B213-D36967C5A5F6}">
            <x14:dataBar minLength="0" maxLength="100" border="1" gradient="0">
              <x14:cfvo type="num">
                <xm:f>0</xm:f>
              </x14:cfvo>
              <x14:cfvo type="num">
                <xm:f>1</xm:f>
              </x14:cfvo>
              <x14:borderColor theme="0"/>
              <x14:negativeFillColor rgb="FFFF0000"/>
              <x14:axisColor rgb="FF000000"/>
            </x14:dataBar>
          </x14:cfRule>
          <xm:sqref>BA115</xm:sqref>
        </x14:conditionalFormatting>
        <x14:conditionalFormatting xmlns:xm="http://schemas.microsoft.com/office/excel/2006/main">
          <x14:cfRule type="dataBar" id="{35EA0E2E-2A8D-4DD8-84DA-63B0A3B4ACEC}">
            <x14:dataBar minLength="0" maxLength="100" border="1" gradient="0">
              <x14:cfvo type="num">
                <xm:f>0</xm:f>
              </x14:cfvo>
              <x14:cfvo type="num">
                <xm:f>1</xm:f>
              </x14:cfvo>
              <x14:borderColor theme="0"/>
              <x14:negativeFillColor rgb="FFFF0000"/>
              <x14:axisColor rgb="FF000000"/>
            </x14:dataBar>
          </x14:cfRule>
          <xm:sqref>BA119</xm:sqref>
        </x14:conditionalFormatting>
        <x14:conditionalFormatting xmlns:xm="http://schemas.microsoft.com/office/excel/2006/main">
          <x14:cfRule type="dataBar" id="{D2EE95A0-6B9C-4FD9-86AC-3AF0E5E14E9A}">
            <x14:dataBar minLength="0" maxLength="100" border="1" gradient="0">
              <x14:cfvo type="num">
                <xm:f>0</xm:f>
              </x14:cfvo>
              <x14:cfvo type="num">
                <xm:f>1</xm:f>
              </x14:cfvo>
              <x14:borderColor theme="0"/>
              <x14:negativeFillColor rgb="FFFF0000"/>
              <x14:axisColor rgb="FF000000"/>
            </x14:dataBar>
          </x14:cfRule>
          <xm:sqref>BA121</xm:sqref>
        </x14:conditionalFormatting>
        <x14:conditionalFormatting xmlns:xm="http://schemas.microsoft.com/office/excel/2006/main">
          <x14:cfRule type="dataBar" id="{338DCDE8-904C-47EE-ADAB-F274E0BED6BA}">
            <x14:dataBar minLength="0" maxLength="100" border="1" gradient="0">
              <x14:cfvo type="num">
                <xm:f>0</xm:f>
              </x14:cfvo>
              <x14:cfvo type="num">
                <xm:f>1</xm:f>
              </x14:cfvo>
              <x14:borderColor theme="0"/>
              <x14:negativeFillColor rgb="FFFF0000"/>
              <x14:axisColor rgb="FF000000"/>
            </x14:dataBar>
          </x14:cfRule>
          <xm:sqref>BA123</xm:sqref>
        </x14:conditionalFormatting>
        <x14:conditionalFormatting xmlns:xm="http://schemas.microsoft.com/office/excel/2006/main">
          <x14:cfRule type="dataBar" id="{63E91A36-E48A-422B-B82D-F934A8811B05}">
            <x14:dataBar minLength="0" maxLength="100" border="1" gradient="0">
              <x14:cfvo type="num">
                <xm:f>0</xm:f>
              </x14:cfvo>
              <x14:cfvo type="num">
                <xm:f>1</xm:f>
              </x14:cfvo>
              <x14:borderColor theme="0"/>
              <x14:negativeFillColor rgb="FFFF0000"/>
              <x14:axisColor rgb="FF000000"/>
            </x14:dataBar>
          </x14:cfRule>
          <xm:sqref>BA125</xm:sqref>
        </x14:conditionalFormatting>
        <x14:conditionalFormatting xmlns:xm="http://schemas.microsoft.com/office/excel/2006/main">
          <x14:cfRule type="dataBar" id="{FB26264C-0372-47CE-BC24-9BD669C6C631}">
            <x14:dataBar minLength="0" maxLength="100" border="1" gradient="0">
              <x14:cfvo type="num">
                <xm:f>0</xm:f>
              </x14:cfvo>
              <x14:cfvo type="num">
                <xm:f>1</xm:f>
              </x14:cfvo>
              <x14:borderColor theme="0"/>
              <x14:negativeFillColor rgb="FFFF0000"/>
              <x14:axisColor rgb="FF000000"/>
            </x14:dataBar>
          </x14:cfRule>
          <xm:sqref>BA127</xm:sqref>
        </x14:conditionalFormatting>
        <x14:conditionalFormatting xmlns:xm="http://schemas.microsoft.com/office/excel/2006/main">
          <x14:cfRule type="dataBar" id="{63F88286-EF55-4336-B175-DCE15D247F34}">
            <x14:dataBar minLength="0" maxLength="100" border="1" gradient="0">
              <x14:cfvo type="num">
                <xm:f>0</xm:f>
              </x14:cfvo>
              <x14:cfvo type="num">
                <xm:f>1</xm:f>
              </x14:cfvo>
              <x14:borderColor theme="0"/>
              <x14:negativeFillColor rgb="FFFF0000"/>
              <x14:axisColor rgb="FF000000"/>
            </x14:dataBar>
          </x14:cfRule>
          <xm:sqref>BA129</xm:sqref>
        </x14:conditionalFormatting>
        <x14:conditionalFormatting xmlns:xm="http://schemas.microsoft.com/office/excel/2006/main">
          <x14:cfRule type="dataBar" id="{4FFEBEB1-2A5F-4009-950A-33AF1F43EB68}">
            <x14:dataBar minLength="0" maxLength="100" border="1" gradient="0">
              <x14:cfvo type="num">
                <xm:f>0</xm:f>
              </x14:cfvo>
              <x14:cfvo type="num">
                <xm:f>1</xm:f>
              </x14:cfvo>
              <x14:borderColor theme="0"/>
              <x14:negativeFillColor rgb="FFFF0000"/>
              <x14:axisColor rgb="FF000000"/>
            </x14:dataBar>
          </x14:cfRule>
          <xm:sqref>BA131</xm:sqref>
        </x14:conditionalFormatting>
        <x14:conditionalFormatting xmlns:xm="http://schemas.microsoft.com/office/excel/2006/main">
          <x14:cfRule type="dataBar" id="{FDBCE026-783D-4B6B-A956-23F9A63527D6}">
            <x14:dataBar minLength="0" maxLength="100" border="1" gradient="0">
              <x14:cfvo type="num">
                <xm:f>0</xm:f>
              </x14:cfvo>
              <x14:cfvo type="num">
                <xm:f>1</xm:f>
              </x14:cfvo>
              <x14:borderColor theme="0"/>
              <x14:negativeFillColor rgb="FFFF0000"/>
              <x14:axisColor rgb="FF000000"/>
            </x14:dataBar>
          </x14:cfRule>
          <xm:sqref>BA134</xm:sqref>
        </x14:conditionalFormatting>
        <x14:conditionalFormatting xmlns:xm="http://schemas.microsoft.com/office/excel/2006/main">
          <x14:cfRule type="dataBar" id="{E2BCA8BC-1AB9-439B-8ED7-397544012A03}">
            <x14:dataBar minLength="0" maxLength="100" border="1" gradient="0">
              <x14:cfvo type="num">
                <xm:f>0</xm:f>
              </x14:cfvo>
              <x14:cfvo type="num">
                <xm:f>1</xm:f>
              </x14:cfvo>
              <x14:borderColor theme="0"/>
              <x14:negativeFillColor rgb="FFFF0000"/>
              <x14:axisColor rgb="FF000000"/>
            </x14:dataBar>
          </x14:cfRule>
          <xm:sqref>BA137</xm:sqref>
        </x14:conditionalFormatting>
        <x14:conditionalFormatting xmlns:xm="http://schemas.microsoft.com/office/excel/2006/main">
          <x14:cfRule type="dataBar" id="{73A06DA5-ABEB-4A9F-AE9D-09F94E7C8ED3}">
            <x14:dataBar minLength="0" maxLength="100" border="1" gradient="0">
              <x14:cfvo type="num">
                <xm:f>0</xm:f>
              </x14:cfvo>
              <x14:cfvo type="num">
                <xm:f>1</xm:f>
              </x14:cfvo>
              <x14:borderColor theme="0"/>
              <x14:negativeFillColor rgb="FFFF0000"/>
              <x14:axisColor rgb="FF000000"/>
            </x14:dataBar>
          </x14:cfRule>
          <xm:sqref>BA140</xm:sqref>
        </x14:conditionalFormatting>
        <x14:conditionalFormatting xmlns:xm="http://schemas.microsoft.com/office/excel/2006/main">
          <x14:cfRule type="dataBar" id="{93FEB960-EBE9-4B40-88C6-73E1A1ED6B2A}">
            <x14:dataBar minLength="0" maxLength="100" border="1" gradient="0">
              <x14:cfvo type="num">
                <xm:f>0</xm:f>
              </x14:cfvo>
              <x14:cfvo type="num">
                <xm:f>1</xm:f>
              </x14:cfvo>
              <x14:borderColor theme="0"/>
              <x14:negativeFillColor rgb="FFFF0000"/>
              <x14:axisColor rgb="FF000000"/>
            </x14:dataBar>
          </x14:cfRule>
          <xm:sqref>BA142</xm:sqref>
        </x14:conditionalFormatting>
        <x14:conditionalFormatting xmlns:xm="http://schemas.microsoft.com/office/excel/2006/main">
          <x14:cfRule type="dataBar" id="{A84C6FAC-45EF-452A-B4D0-7D9D2AA61243}">
            <x14:dataBar minLength="0" maxLength="100" border="1" gradient="0">
              <x14:cfvo type="num">
                <xm:f>0</xm:f>
              </x14:cfvo>
              <x14:cfvo type="num">
                <xm:f>1</xm:f>
              </x14:cfvo>
              <x14:borderColor theme="0"/>
              <x14:negativeFillColor rgb="FFFF0000"/>
              <x14:axisColor rgb="FF000000"/>
            </x14:dataBar>
          </x14:cfRule>
          <xm:sqref>BA144</xm:sqref>
        </x14:conditionalFormatting>
        <x14:conditionalFormatting xmlns:xm="http://schemas.microsoft.com/office/excel/2006/main">
          <x14:cfRule type="dataBar" id="{EF424269-8A98-4561-BE4C-21CBE7A71695}">
            <x14:dataBar minLength="0" maxLength="100" border="1" gradient="0">
              <x14:cfvo type="num">
                <xm:f>0</xm:f>
              </x14:cfvo>
              <x14:cfvo type="num">
                <xm:f>1</xm:f>
              </x14:cfvo>
              <x14:borderColor theme="0"/>
              <x14:negativeFillColor rgb="FFFF0000"/>
              <x14:axisColor rgb="FF000000"/>
            </x14:dataBar>
          </x14:cfRule>
          <xm:sqref>BA146</xm:sqref>
        </x14:conditionalFormatting>
        <x14:conditionalFormatting xmlns:xm="http://schemas.microsoft.com/office/excel/2006/main">
          <x14:cfRule type="dataBar" id="{417CF5F9-6A17-4CF6-9718-93C3B8127637}">
            <x14:dataBar minLength="0" maxLength="100" border="1" gradient="0">
              <x14:cfvo type="num">
                <xm:f>0</xm:f>
              </x14:cfvo>
              <x14:cfvo type="num">
                <xm:f>1</xm:f>
              </x14:cfvo>
              <x14:borderColor theme="0"/>
              <x14:negativeFillColor rgb="FFFF0000"/>
              <x14:axisColor rgb="FF000000"/>
            </x14:dataBar>
          </x14:cfRule>
          <xm:sqref>BA148</xm:sqref>
        </x14:conditionalFormatting>
        <x14:conditionalFormatting xmlns:xm="http://schemas.microsoft.com/office/excel/2006/main">
          <x14:cfRule type="dataBar" id="{08D405EB-3F45-43E5-B496-F17A44043B83}">
            <x14:dataBar minLength="0" maxLength="100" border="1" gradient="0">
              <x14:cfvo type="num">
                <xm:f>0</xm:f>
              </x14:cfvo>
              <x14:cfvo type="num">
                <xm:f>1</xm:f>
              </x14:cfvo>
              <x14:borderColor theme="0"/>
              <x14:negativeFillColor rgb="FFFF0000"/>
              <x14:axisColor rgb="FF000000"/>
            </x14:dataBar>
          </x14:cfRule>
          <xm:sqref>BA150</xm:sqref>
        </x14:conditionalFormatting>
        <x14:conditionalFormatting xmlns:xm="http://schemas.microsoft.com/office/excel/2006/main">
          <x14:cfRule type="dataBar" id="{7F45F1CB-8356-439E-8CCC-AE4684094CC4}">
            <x14:dataBar minLength="0" maxLength="100" border="1" gradient="0">
              <x14:cfvo type="num">
                <xm:f>0</xm:f>
              </x14:cfvo>
              <x14:cfvo type="num">
                <xm:f>1</xm:f>
              </x14:cfvo>
              <x14:borderColor theme="0"/>
              <x14:negativeFillColor rgb="FFFF0000"/>
              <x14:axisColor rgb="FF000000"/>
            </x14:dataBar>
          </x14:cfRule>
          <xm:sqref>BA152</xm:sqref>
        </x14:conditionalFormatting>
        <x14:conditionalFormatting xmlns:xm="http://schemas.microsoft.com/office/excel/2006/main">
          <x14:cfRule type="dataBar" id="{B2D63E23-5F98-4A7B-BE3C-CCD360190C77}">
            <x14:dataBar minLength="0" maxLength="100" border="1" gradient="0">
              <x14:cfvo type="num">
                <xm:f>0</xm:f>
              </x14:cfvo>
              <x14:cfvo type="num">
                <xm:f>1</xm:f>
              </x14:cfvo>
              <x14:borderColor theme="0"/>
              <x14:negativeFillColor rgb="FFFF0000"/>
              <x14:axisColor rgb="FF000000"/>
            </x14:dataBar>
          </x14:cfRule>
          <xm:sqref>BA154</xm:sqref>
        </x14:conditionalFormatting>
        <x14:conditionalFormatting xmlns:xm="http://schemas.microsoft.com/office/excel/2006/main">
          <x14:cfRule type="dataBar" id="{380DBAB7-E43F-48E0-924E-65D50F0D7ECF}">
            <x14:dataBar minLength="0" maxLength="100" border="1" gradient="0">
              <x14:cfvo type="num">
                <xm:f>0</xm:f>
              </x14:cfvo>
              <x14:cfvo type="num">
                <xm:f>1</xm:f>
              </x14:cfvo>
              <x14:borderColor theme="0"/>
              <x14:negativeFillColor rgb="FFFF0000"/>
              <x14:axisColor rgb="FF000000"/>
            </x14:dataBar>
          </x14:cfRule>
          <xm:sqref>BA156</xm:sqref>
        </x14:conditionalFormatting>
        <x14:conditionalFormatting xmlns:xm="http://schemas.microsoft.com/office/excel/2006/main">
          <x14:cfRule type="dataBar" id="{67825AF6-9539-4765-A5A4-0C73E7F26D23}">
            <x14:dataBar minLength="0" maxLength="100" border="1" gradient="0">
              <x14:cfvo type="num">
                <xm:f>0</xm:f>
              </x14:cfvo>
              <x14:cfvo type="num">
                <xm:f>1</xm:f>
              </x14:cfvo>
              <x14:borderColor theme="0"/>
              <x14:negativeFillColor rgb="FFFF0000"/>
              <x14:axisColor rgb="FF000000"/>
            </x14:dataBar>
          </x14:cfRule>
          <xm:sqref>BA158</xm:sqref>
        </x14:conditionalFormatting>
        <x14:conditionalFormatting xmlns:xm="http://schemas.microsoft.com/office/excel/2006/main">
          <x14:cfRule type="dataBar" id="{A77A9745-833C-434C-A32F-27FCD61DC837}">
            <x14:dataBar minLength="0" maxLength="100" border="1" gradient="0">
              <x14:cfvo type="num">
                <xm:f>0</xm:f>
              </x14:cfvo>
              <x14:cfvo type="num">
                <xm:f>1</xm:f>
              </x14:cfvo>
              <x14:borderColor theme="0"/>
              <x14:negativeFillColor rgb="FFFF0000"/>
              <x14:axisColor rgb="FF000000"/>
            </x14:dataBar>
          </x14:cfRule>
          <xm:sqref>BA160</xm:sqref>
        </x14:conditionalFormatting>
        <x14:conditionalFormatting xmlns:xm="http://schemas.microsoft.com/office/excel/2006/main">
          <x14:cfRule type="dataBar" id="{647184A0-EE4B-4724-987A-0A0AE2498936}">
            <x14:dataBar minLength="0" maxLength="100" border="1" gradient="0">
              <x14:cfvo type="num">
                <xm:f>0</xm:f>
              </x14:cfvo>
              <x14:cfvo type="num">
                <xm:f>1</xm:f>
              </x14:cfvo>
              <x14:borderColor theme="0"/>
              <x14:negativeFillColor rgb="FFFF0000"/>
              <x14:axisColor rgb="FF000000"/>
            </x14:dataBar>
          </x14:cfRule>
          <xm:sqref>BA162</xm:sqref>
        </x14:conditionalFormatting>
        <x14:conditionalFormatting xmlns:xm="http://schemas.microsoft.com/office/excel/2006/main">
          <x14:cfRule type="dataBar" id="{97E1DEA7-7CED-42A0-952C-9EADB8219FD2}">
            <x14:dataBar minLength="0" maxLength="100" border="1" gradient="0">
              <x14:cfvo type="num">
                <xm:f>0</xm:f>
              </x14:cfvo>
              <x14:cfvo type="num">
                <xm:f>1</xm:f>
              </x14:cfvo>
              <x14:borderColor theme="0"/>
              <x14:negativeFillColor rgb="FFFF0000"/>
              <x14:axisColor rgb="FF000000"/>
            </x14:dataBar>
          </x14:cfRule>
          <xm:sqref>BA164</xm:sqref>
        </x14:conditionalFormatting>
        <x14:conditionalFormatting xmlns:xm="http://schemas.microsoft.com/office/excel/2006/main">
          <x14:cfRule type="dataBar" id="{90A8C78A-4819-4A6B-A0A9-1CB77BD4CB42}">
            <x14:dataBar minLength="0" maxLength="100" border="1" gradient="0">
              <x14:cfvo type="num">
                <xm:f>0</xm:f>
              </x14:cfvo>
              <x14:cfvo type="num">
                <xm:f>1</xm:f>
              </x14:cfvo>
              <x14:borderColor theme="0"/>
              <x14:negativeFillColor rgb="FFFF0000"/>
              <x14:axisColor rgb="FF000000"/>
            </x14:dataBar>
          </x14:cfRule>
          <xm:sqref>BA166</xm:sqref>
        </x14:conditionalFormatting>
        <x14:conditionalFormatting xmlns:xm="http://schemas.microsoft.com/office/excel/2006/main">
          <x14:cfRule type="dataBar" id="{58F8070A-B8A9-4604-B9CC-33AF82DDC49D}">
            <x14:dataBar minLength="0" maxLength="100" border="1" gradient="0">
              <x14:cfvo type="num">
                <xm:f>0</xm:f>
              </x14:cfvo>
              <x14:cfvo type="num">
                <xm:f>1</xm:f>
              </x14:cfvo>
              <x14:borderColor theme="0"/>
              <x14:negativeFillColor rgb="FFFF0000"/>
              <x14:axisColor rgb="FF000000"/>
            </x14:dataBar>
          </x14:cfRule>
          <xm:sqref>BA168</xm:sqref>
        </x14:conditionalFormatting>
        <x14:conditionalFormatting xmlns:xm="http://schemas.microsoft.com/office/excel/2006/main">
          <x14:cfRule type="dataBar" id="{D33C3511-1025-4A6D-887B-D76367186476}">
            <x14:dataBar minLength="0" maxLength="100" border="1" gradient="0">
              <x14:cfvo type="num">
                <xm:f>0</xm:f>
              </x14:cfvo>
              <x14:cfvo type="num">
                <xm:f>1</xm:f>
              </x14:cfvo>
              <x14:borderColor theme="0"/>
              <x14:negativeFillColor rgb="FFFF0000"/>
              <x14:axisColor rgb="FF000000"/>
            </x14:dataBar>
          </x14:cfRule>
          <xm:sqref>BA170</xm:sqref>
        </x14:conditionalFormatting>
        <x14:conditionalFormatting xmlns:xm="http://schemas.microsoft.com/office/excel/2006/main">
          <x14:cfRule type="dataBar" id="{686F549D-06EC-4550-BF6D-5889E80B8116}">
            <x14:dataBar minLength="0" maxLength="100" border="1" gradient="0">
              <x14:cfvo type="num">
                <xm:f>0</xm:f>
              </x14:cfvo>
              <x14:cfvo type="num">
                <xm:f>1</xm:f>
              </x14:cfvo>
              <x14:borderColor theme="0"/>
              <x14:negativeFillColor rgb="FFFF0000"/>
              <x14:axisColor rgb="FF000000"/>
            </x14:dataBar>
          </x14:cfRule>
          <xm:sqref>BA172</xm:sqref>
        </x14:conditionalFormatting>
        <x14:conditionalFormatting xmlns:xm="http://schemas.microsoft.com/office/excel/2006/main">
          <x14:cfRule type="dataBar" id="{D75E21FD-2179-479F-BEB6-A6E3D9C308AE}">
            <x14:dataBar minLength="0" maxLength="100" border="1" gradient="0">
              <x14:cfvo type="num">
                <xm:f>0</xm:f>
              </x14:cfvo>
              <x14:cfvo type="num">
                <xm:f>1</xm:f>
              </x14:cfvo>
              <x14:borderColor theme="0"/>
              <x14:negativeFillColor rgb="FFFF0000"/>
              <x14:axisColor rgb="FF000000"/>
            </x14:dataBar>
          </x14:cfRule>
          <xm:sqref>BA174</xm:sqref>
        </x14:conditionalFormatting>
        <x14:conditionalFormatting xmlns:xm="http://schemas.microsoft.com/office/excel/2006/main">
          <x14:cfRule type="dataBar" id="{76CF94D7-D23B-421D-9372-2397C989F389}">
            <x14:dataBar minLength="0" maxLength="100" border="1" gradient="0">
              <x14:cfvo type="num">
                <xm:f>0</xm:f>
              </x14:cfvo>
              <x14:cfvo type="num">
                <xm:f>1</xm:f>
              </x14:cfvo>
              <x14:borderColor theme="0"/>
              <x14:negativeFillColor rgb="FFFF0000"/>
              <x14:axisColor rgb="FF000000"/>
            </x14:dataBar>
          </x14:cfRule>
          <xm:sqref>BA176</xm:sqref>
        </x14:conditionalFormatting>
        <x14:conditionalFormatting xmlns:xm="http://schemas.microsoft.com/office/excel/2006/main">
          <x14:cfRule type="dataBar" id="{9DCFD0FD-630D-4946-93A6-A02AB68E971D}">
            <x14:dataBar minLength="0" maxLength="100" border="1" gradient="0">
              <x14:cfvo type="num">
                <xm:f>0</xm:f>
              </x14:cfvo>
              <x14:cfvo type="num">
                <xm:f>1</xm:f>
              </x14:cfvo>
              <x14:borderColor theme="0"/>
              <x14:negativeFillColor rgb="FFFF0000"/>
              <x14:axisColor rgb="FF000000"/>
            </x14:dataBar>
          </x14:cfRule>
          <xm:sqref>BA180</xm:sqref>
        </x14:conditionalFormatting>
        <x14:conditionalFormatting xmlns:xm="http://schemas.microsoft.com/office/excel/2006/main">
          <x14:cfRule type="dataBar" id="{9525210E-D9EF-4549-B8DF-573A5B18DB15}">
            <x14:dataBar minLength="0" maxLength="100" border="1" gradient="0">
              <x14:cfvo type="num">
                <xm:f>0</xm:f>
              </x14:cfvo>
              <x14:cfvo type="num">
                <xm:f>1</xm:f>
              </x14:cfvo>
              <x14:borderColor theme="0"/>
              <x14:negativeFillColor rgb="FFFF0000"/>
              <x14:axisColor rgb="FF000000"/>
            </x14:dataBar>
          </x14:cfRule>
          <xm:sqref>BA182</xm:sqref>
        </x14:conditionalFormatting>
        <x14:conditionalFormatting xmlns:xm="http://schemas.microsoft.com/office/excel/2006/main">
          <x14:cfRule type="dataBar" id="{E9FC526D-900F-47C1-B038-D071B52F1343}">
            <x14:dataBar minLength="0" maxLength="100" border="1" gradient="0">
              <x14:cfvo type="num">
                <xm:f>0</xm:f>
              </x14:cfvo>
              <x14:cfvo type="num">
                <xm:f>1</xm:f>
              </x14:cfvo>
              <x14:borderColor theme="0"/>
              <x14:negativeFillColor rgb="FFFF0000"/>
              <x14:axisColor rgb="FF000000"/>
            </x14:dataBar>
          </x14:cfRule>
          <xm:sqref>BA184</xm:sqref>
        </x14:conditionalFormatting>
        <x14:conditionalFormatting xmlns:xm="http://schemas.microsoft.com/office/excel/2006/main">
          <x14:cfRule type="dataBar" id="{4D26AE49-77E6-4910-A6EB-45124D0D14D6}">
            <x14:dataBar minLength="0" maxLength="100" border="1" gradient="0">
              <x14:cfvo type="num">
                <xm:f>0</xm:f>
              </x14:cfvo>
              <x14:cfvo type="num">
                <xm:f>1</xm:f>
              </x14:cfvo>
              <x14:borderColor theme="0"/>
              <x14:negativeFillColor rgb="FFFF0000"/>
              <x14:axisColor rgb="FF000000"/>
            </x14:dataBar>
          </x14:cfRule>
          <xm:sqref>BA186</xm:sqref>
        </x14:conditionalFormatting>
        <x14:conditionalFormatting xmlns:xm="http://schemas.microsoft.com/office/excel/2006/main">
          <x14:cfRule type="dataBar" id="{E8F2B5E9-4183-40D0-9ADF-86FEDED14AE2}">
            <x14:dataBar minLength="0" maxLength="100" border="1" gradient="0">
              <x14:cfvo type="num">
                <xm:f>0</xm:f>
              </x14:cfvo>
              <x14:cfvo type="num">
                <xm:f>1</xm:f>
              </x14:cfvo>
              <x14:borderColor theme="0"/>
              <x14:negativeFillColor rgb="FFFF0000"/>
              <x14:axisColor rgb="FF000000"/>
            </x14:dataBar>
          </x14:cfRule>
          <xm:sqref>BA188</xm:sqref>
        </x14:conditionalFormatting>
        <x14:conditionalFormatting xmlns:xm="http://schemas.microsoft.com/office/excel/2006/main">
          <x14:cfRule type="dataBar" id="{741E9B4A-EB82-4CF0-9764-ADA11F491D35}">
            <x14:dataBar minLength="0" maxLength="100" border="1" gradient="0">
              <x14:cfvo type="num">
                <xm:f>0</xm:f>
              </x14:cfvo>
              <x14:cfvo type="num">
                <xm:f>1</xm:f>
              </x14:cfvo>
              <x14:borderColor theme="0"/>
              <x14:negativeFillColor rgb="FFFF0000"/>
              <x14:axisColor rgb="FF000000"/>
            </x14:dataBar>
          </x14:cfRule>
          <xm:sqref>BA190</xm:sqref>
        </x14:conditionalFormatting>
        <x14:conditionalFormatting xmlns:xm="http://schemas.microsoft.com/office/excel/2006/main">
          <x14:cfRule type="dataBar" id="{AC9479D5-956F-4B16-A1B4-31F02EC545A0}">
            <x14:dataBar minLength="0" maxLength="100" border="1" gradient="0">
              <x14:cfvo type="num">
                <xm:f>0</xm:f>
              </x14:cfvo>
              <x14:cfvo type="num">
                <xm:f>1</xm:f>
              </x14:cfvo>
              <x14:borderColor theme="0"/>
              <x14:negativeFillColor rgb="FFFF0000"/>
              <x14:axisColor rgb="FF000000"/>
            </x14:dataBar>
          </x14:cfRule>
          <xm:sqref>BA192</xm:sqref>
        </x14:conditionalFormatting>
        <x14:conditionalFormatting xmlns:xm="http://schemas.microsoft.com/office/excel/2006/main">
          <x14:cfRule type="dataBar" id="{555678E0-98B8-4776-9B97-C0233A4C27E3}">
            <x14:dataBar minLength="0" maxLength="100" border="1" gradient="0">
              <x14:cfvo type="num">
                <xm:f>0</xm:f>
              </x14:cfvo>
              <x14:cfvo type="num">
                <xm:f>1</xm:f>
              </x14:cfvo>
              <x14:borderColor theme="0"/>
              <x14:negativeFillColor rgb="FFFF0000"/>
              <x14:axisColor rgb="FF000000"/>
            </x14:dataBar>
          </x14:cfRule>
          <xm:sqref>BA194</xm:sqref>
        </x14:conditionalFormatting>
        <x14:conditionalFormatting xmlns:xm="http://schemas.microsoft.com/office/excel/2006/main">
          <x14:cfRule type="dataBar" id="{F2C980E8-0C2B-4AAE-AE1E-A258DF49EEB1}">
            <x14:dataBar minLength="0" maxLength="100" border="1" gradient="0">
              <x14:cfvo type="num">
                <xm:f>0</xm:f>
              </x14:cfvo>
              <x14:cfvo type="num">
                <xm:f>1</xm:f>
              </x14:cfvo>
              <x14:borderColor theme="0"/>
              <x14:negativeFillColor rgb="FFFF0000"/>
              <x14:axisColor rgb="FF000000"/>
            </x14:dataBar>
          </x14:cfRule>
          <xm:sqref>BA196</xm:sqref>
        </x14:conditionalFormatting>
        <x14:conditionalFormatting xmlns:xm="http://schemas.microsoft.com/office/excel/2006/main">
          <x14:cfRule type="dataBar" id="{8666C396-4440-43FE-80A4-91484D356877}">
            <x14:dataBar minLength="0" maxLength="100" border="1" gradient="0">
              <x14:cfvo type="num">
                <xm:f>0</xm:f>
              </x14:cfvo>
              <x14:cfvo type="num">
                <xm:f>1</xm:f>
              </x14:cfvo>
              <x14:borderColor theme="0"/>
              <x14:negativeFillColor rgb="FFFF0000"/>
              <x14:axisColor rgb="FF000000"/>
            </x14:dataBar>
          </x14:cfRule>
          <xm:sqref>BA198</xm:sqref>
        </x14:conditionalFormatting>
        <x14:conditionalFormatting xmlns:xm="http://schemas.microsoft.com/office/excel/2006/main">
          <x14:cfRule type="dataBar" id="{F6B33B3C-024B-4872-B9C9-FA3E713A1158}">
            <x14:dataBar minLength="0" maxLength="100" border="1" gradient="0">
              <x14:cfvo type="num">
                <xm:f>0</xm:f>
              </x14:cfvo>
              <x14:cfvo type="num">
                <xm:f>1</xm:f>
              </x14:cfvo>
              <x14:borderColor theme="0"/>
              <x14:negativeFillColor rgb="FFFF0000"/>
              <x14:axisColor rgb="FF000000"/>
            </x14:dataBar>
          </x14:cfRule>
          <xm:sqref>BA200</xm:sqref>
        </x14:conditionalFormatting>
        <x14:conditionalFormatting xmlns:xm="http://schemas.microsoft.com/office/excel/2006/main">
          <x14:cfRule type="dataBar" id="{CFA7DD8A-84F2-432A-BDA7-2EA741BA54FC}">
            <x14:dataBar minLength="0" maxLength="100" border="1" gradient="0">
              <x14:cfvo type="num">
                <xm:f>0</xm:f>
              </x14:cfvo>
              <x14:cfvo type="num">
                <xm:f>1</xm:f>
              </x14:cfvo>
              <x14:borderColor theme="0"/>
              <x14:negativeFillColor rgb="FFFF0000"/>
              <x14:axisColor rgb="FF000000"/>
            </x14:dataBar>
          </x14:cfRule>
          <xm:sqref>BA202</xm:sqref>
        </x14:conditionalFormatting>
        <x14:conditionalFormatting xmlns:xm="http://schemas.microsoft.com/office/excel/2006/main">
          <x14:cfRule type="dataBar" id="{E9B275F6-E072-4E34-AA90-D3D3050AF319}">
            <x14:dataBar minLength="0" maxLength="100" border="1" gradient="0">
              <x14:cfvo type="num">
                <xm:f>0</xm:f>
              </x14:cfvo>
              <x14:cfvo type="num">
                <xm:f>1</xm:f>
              </x14:cfvo>
              <x14:borderColor theme="0"/>
              <x14:negativeFillColor rgb="FFFF0000"/>
              <x14:axisColor rgb="FF000000"/>
            </x14:dataBar>
          </x14:cfRule>
          <xm:sqref>BA204</xm:sqref>
        </x14:conditionalFormatting>
        <x14:conditionalFormatting xmlns:xm="http://schemas.microsoft.com/office/excel/2006/main">
          <x14:cfRule type="dataBar" id="{2E7B10E7-7347-4185-B54B-BE9CE625DA32}">
            <x14:dataBar minLength="0" maxLength="100" border="1" gradient="0">
              <x14:cfvo type="num">
                <xm:f>0</xm:f>
              </x14:cfvo>
              <x14:cfvo type="num">
                <xm:f>1</xm:f>
              </x14:cfvo>
              <x14:borderColor theme="0"/>
              <x14:negativeFillColor rgb="FFFF0000"/>
              <x14:axisColor rgb="FF000000"/>
            </x14:dataBar>
          </x14:cfRule>
          <xm:sqref>BA206</xm:sqref>
        </x14:conditionalFormatting>
        <x14:conditionalFormatting xmlns:xm="http://schemas.microsoft.com/office/excel/2006/main">
          <x14:cfRule type="dataBar" id="{F4CDDD65-E21C-4A64-96DC-9F99EFF01FA9}">
            <x14:dataBar minLength="0" maxLength="100" border="1" gradient="0">
              <x14:cfvo type="num">
                <xm:f>0</xm:f>
              </x14:cfvo>
              <x14:cfvo type="num">
                <xm:f>1</xm:f>
              </x14:cfvo>
              <x14:borderColor theme="0"/>
              <x14:negativeFillColor rgb="FFFF0000"/>
              <x14:axisColor rgb="FF000000"/>
            </x14:dataBar>
          </x14:cfRule>
          <xm:sqref>BA208</xm:sqref>
        </x14:conditionalFormatting>
        <x14:conditionalFormatting xmlns:xm="http://schemas.microsoft.com/office/excel/2006/main">
          <x14:cfRule type="dataBar" id="{99E0F32F-9902-4876-BA9D-9AF1C2D2C0CB}">
            <x14:dataBar minLength="0" maxLength="100" border="1" gradient="0">
              <x14:cfvo type="num">
                <xm:f>0</xm:f>
              </x14:cfvo>
              <x14:cfvo type="num">
                <xm:f>1</xm:f>
              </x14:cfvo>
              <x14:borderColor theme="0"/>
              <x14:negativeFillColor rgb="FFFF0000"/>
              <x14:axisColor rgb="FF000000"/>
            </x14:dataBar>
          </x14:cfRule>
          <xm:sqref>BA210</xm:sqref>
        </x14:conditionalFormatting>
        <x14:conditionalFormatting xmlns:xm="http://schemas.microsoft.com/office/excel/2006/main">
          <x14:cfRule type="dataBar" id="{38027B19-C62F-41C1-98B7-D32A7D3D7D88}">
            <x14:dataBar minLength="0" maxLength="100" border="1" gradient="0">
              <x14:cfvo type="num">
                <xm:f>0</xm:f>
              </x14:cfvo>
              <x14:cfvo type="num">
                <xm:f>1</xm:f>
              </x14:cfvo>
              <x14:borderColor theme="0"/>
              <x14:negativeFillColor rgb="FFFF0000"/>
              <x14:axisColor rgb="FF000000"/>
            </x14:dataBar>
          </x14:cfRule>
          <xm:sqref>BA212</xm:sqref>
        </x14:conditionalFormatting>
        <x14:conditionalFormatting xmlns:xm="http://schemas.microsoft.com/office/excel/2006/main">
          <x14:cfRule type="dataBar" id="{10C44A90-998B-4800-99E9-F08AAFC170D9}">
            <x14:dataBar minLength="0" maxLength="100" border="1" gradient="0">
              <x14:cfvo type="num">
                <xm:f>0</xm:f>
              </x14:cfvo>
              <x14:cfvo type="num">
                <xm:f>1</xm:f>
              </x14:cfvo>
              <x14:borderColor theme="0"/>
              <x14:negativeFillColor rgb="FFFF0000"/>
              <x14:axisColor rgb="FF000000"/>
            </x14:dataBar>
          </x14:cfRule>
          <xm:sqref>BA214</xm:sqref>
        </x14:conditionalFormatting>
        <x14:conditionalFormatting xmlns:xm="http://schemas.microsoft.com/office/excel/2006/main">
          <x14:cfRule type="dataBar" id="{33961AB7-C472-442E-AD8F-306FB1C6723A}">
            <x14:dataBar minLength="0" maxLength="100" border="1" gradient="0">
              <x14:cfvo type="num">
                <xm:f>0</xm:f>
              </x14:cfvo>
              <x14:cfvo type="num">
                <xm:f>1</xm:f>
              </x14:cfvo>
              <x14:borderColor theme="0"/>
              <x14:negativeFillColor rgb="FFFF0000"/>
              <x14:axisColor rgb="FF000000"/>
            </x14:dataBar>
          </x14:cfRule>
          <xm:sqref>BA216</xm:sqref>
        </x14:conditionalFormatting>
        <x14:conditionalFormatting xmlns:xm="http://schemas.microsoft.com/office/excel/2006/main">
          <x14:cfRule type="dataBar" id="{F8976C30-F21B-4AD9-B697-110B87848465}">
            <x14:dataBar minLength="0" maxLength="100" border="1" gradient="0">
              <x14:cfvo type="num">
                <xm:f>0</xm:f>
              </x14:cfvo>
              <x14:cfvo type="num">
                <xm:f>1</xm:f>
              </x14:cfvo>
              <x14:borderColor theme="0"/>
              <x14:negativeFillColor rgb="FFFF0000"/>
              <x14:axisColor rgb="FF000000"/>
            </x14:dataBar>
          </x14:cfRule>
          <xm:sqref>BA218</xm:sqref>
        </x14:conditionalFormatting>
        <x14:conditionalFormatting xmlns:xm="http://schemas.microsoft.com/office/excel/2006/main">
          <x14:cfRule type="dataBar" id="{5A8CCDB4-06F8-40C5-9CBF-E5DAEA3D4C08}">
            <x14:dataBar minLength="0" maxLength="100" border="1" gradient="0">
              <x14:cfvo type="num">
                <xm:f>0</xm:f>
              </x14:cfvo>
              <x14:cfvo type="num">
                <xm:f>1</xm:f>
              </x14:cfvo>
              <x14:borderColor theme="0"/>
              <x14:negativeFillColor rgb="FFFF0000"/>
              <x14:axisColor rgb="FF000000"/>
            </x14:dataBar>
          </x14:cfRule>
          <xm:sqref>BA220</xm:sqref>
        </x14:conditionalFormatting>
        <x14:conditionalFormatting xmlns:xm="http://schemas.microsoft.com/office/excel/2006/main">
          <x14:cfRule type="dataBar" id="{52DC7E5F-B3D6-4E68-AF2D-734D4A373795}">
            <x14:dataBar minLength="0" maxLength="100" border="1" gradient="0">
              <x14:cfvo type="num">
                <xm:f>0</xm:f>
              </x14:cfvo>
              <x14:cfvo type="num">
                <xm:f>1</xm:f>
              </x14:cfvo>
              <x14:borderColor theme="0"/>
              <x14:negativeFillColor rgb="FFFF0000"/>
              <x14:axisColor rgb="FF000000"/>
            </x14:dataBar>
          </x14:cfRule>
          <xm:sqref>BA222</xm:sqref>
        </x14:conditionalFormatting>
        <x14:conditionalFormatting xmlns:xm="http://schemas.microsoft.com/office/excel/2006/main">
          <x14:cfRule type="dataBar" id="{3312CF8A-F1D8-4694-933C-5E1A044676AD}">
            <x14:dataBar minLength="0" maxLength="100" border="1" gradient="0">
              <x14:cfvo type="num">
                <xm:f>0</xm:f>
              </x14:cfvo>
              <x14:cfvo type="num">
                <xm:f>1</xm:f>
              </x14:cfvo>
              <x14:borderColor theme="0"/>
              <x14:negativeFillColor rgb="FFFF0000"/>
              <x14:axisColor rgb="FF000000"/>
            </x14:dataBar>
          </x14:cfRule>
          <xm:sqref>BA226</xm:sqref>
        </x14:conditionalFormatting>
        <x14:conditionalFormatting xmlns:xm="http://schemas.microsoft.com/office/excel/2006/main">
          <x14:cfRule type="dataBar" id="{678E07A5-3BC4-4911-A33D-25F0E5811CA1}">
            <x14:dataBar minLength="0" maxLength="100" border="1" gradient="0">
              <x14:cfvo type="num">
                <xm:f>0</xm:f>
              </x14:cfvo>
              <x14:cfvo type="num">
                <xm:f>1</xm:f>
              </x14:cfvo>
              <x14:borderColor theme="0"/>
              <x14:negativeFillColor rgb="FFFF0000"/>
              <x14:axisColor rgb="FF000000"/>
            </x14:dataBar>
          </x14:cfRule>
          <xm:sqref>BA229</xm:sqref>
        </x14:conditionalFormatting>
        <x14:conditionalFormatting xmlns:xm="http://schemas.microsoft.com/office/excel/2006/main">
          <x14:cfRule type="dataBar" id="{B572B2F1-F775-4A31-BF03-9330C95F373D}">
            <x14:dataBar minLength="0" maxLength="100" border="1" gradient="0">
              <x14:cfvo type="num">
                <xm:f>0</xm:f>
              </x14:cfvo>
              <x14:cfvo type="num">
                <xm:f>1</xm:f>
              </x14:cfvo>
              <x14:borderColor theme="0"/>
              <x14:negativeFillColor rgb="FFFF0000"/>
              <x14:axisColor rgb="FF000000"/>
            </x14:dataBar>
          </x14:cfRule>
          <xm:sqref>BA233</xm:sqref>
        </x14:conditionalFormatting>
        <x14:conditionalFormatting xmlns:xm="http://schemas.microsoft.com/office/excel/2006/main">
          <x14:cfRule type="dataBar" id="{357133F2-12E6-49D9-A22D-CC26C4E49CF0}">
            <x14:dataBar minLength="0" maxLength="100" border="1" gradient="0">
              <x14:cfvo type="num">
                <xm:f>0</xm:f>
              </x14:cfvo>
              <x14:cfvo type="num">
                <xm:f>1</xm:f>
              </x14:cfvo>
              <x14:borderColor theme="0"/>
              <x14:negativeFillColor rgb="FFFF0000"/>
              <x14:axisColor rgb="FF000000"/>
            </x14:dataBar>
          </x14:cfRule>
          <xm:sqref>BA235</xm:sqref>
        </x14:conditionalFormatting>
        <x14:conditionalFormatting xmlns:xm="http://schemas.microsoft.com/office/excel/2006/main">
          <x14:cfRule type="dataBar" id="{E21200EF-3879-4FF1-96CE-EBD7CA398A0E}">
            <x14:dataBar minLength="0" maxLength="100" border="1" gradient="0">
              <x14:cfvo type="num">
                <xm:f>0</xm:f>
              </x14:cfvo>
              <x14:cfvo type="num">
                <xm:f>1</xm:f>
              </x14:cfvo>
              <x14:borderColor theme="0"/>
              <x14:negativeFillColor rgb="FFFF0000"/>
              <x14:axisColor rgb="FF000000"/>
            </x14:dataBar>
          </x14:cfRule>
          <xm:sqref>BA237</xm:sqref>
        </x14:conditionalFormatting>
        <x14:conditionalFormatting xmlns:xm="http://schemas.microsoft.com/office/excel/2006/main">
          <x14:cfRule type="dataBar" id="{9956A387-13BB-4842-AA4B-1AC0B89DFEB8}">
            <x14:dataBar minLength="0" maxLength="100" border="1" gradient="0">
              <x14:cfvo type="num">
                <xm:f>0</xm:f>
              </x14:cfvo>
              <x14:cfvo type="num">
                <xm:f>1</xm:f>
              </x14:cfvo>
              <x14:borderColor theme="0"/>
              <x14:negativeFillColor rgb="FFFF0000"/>
              <x14:axisColor rgb="FF000000"/>
            </x14:dataBar>
          </x14:cfRule>
          <xm:sqref>BA239</xm:sqref>
        </x14:conditionalFormatting>
        <x14:conditionalFormatting xmlns:xm="http://schemas.microsoft.com/office/excel/2006/main">
          <x14:cfRule type="dataBar" id="{8FF4D8EC-9A19-4BA8-A17E-6F785A6D3963}">
            <x14:dataBar minLength="0" maxLength="100" border="1" gradient="0">
              <x14:cfvo type="num">
                <xm:f>0</xm:f>
              </x14:cfvo>
              <x14:cfvo type="num">
                <xm:f>1</xm:f>
              </x14:cfvo>
              <x14:borderColor theme="0"/>
              <x14:negativeFillColor rgb="FFFF0000"/>
              <x14:axisColor rgb="FF000000"/>
            </x14:dataBar>
          </x14:cfRule>
          <xm:sqref>BA241</xm:sqref>
        </x14:conditionalFormatting>
        <x14:conditionalFormatting xmlns:xm="http://schemas.microsoft.com/office/excel/2006/main">
          <x14:cfRule type="dataBar" id="{678111DC-1C31-4A30-8984-FE655BA07DCD}">
            <x14:dataBar minLength="0" maxLength="100" border="1" gradient="0">
              <x14:cfvo type="num">
                <xm:f>0</xm:f>
              </x14:cfvo>
              <x14:cfvo type="num">
                <xm:f>1</xm:f>
              </x14:cfvo>
              <x14:borderColor theme="0"/>
              <x14:negativeFillColor rgb="FFFF0000"/>
              <x14:axisColor rgb="FF000000"/>
            </x14:dataBar>
          </x14:cfRule>
          <xm:sqref>BA243</xm:sqref>
        </x14:conditionalFormatting>
        <x14:conditionalFormatting xmlns:xm="http://schemas.microsoft.com/office/excel/2006/main">
          <x14:cfRule type="dataBar" id="{797783F2-8C2C-4723-9117-00AB257A1B87}">
            <x14:dataBar minLength="0" maxLength="100" border="1" gradient="0">
              <x14:cfvo type="num">
                <xm:f>0</xm:f>
              </x14:cfvo>
              <x14:cfvo type="num">
                <xm:f>1</xm:f>
              </x14:cfvo>
              <x14:borderColor theme="0"/>
              <x14:negativeFillColor rgb="FFFF0000"/>
              <x14:axisColor rgb="FF000000"/>
            </x14:dataBar>
          </x14:cfRule>
          <xm:sqref>BA245</xm:sqref>
        </x14:conditionalFormatting>
        <x14:conditionalFormatting xmlns:xm="http://schemas.microsoft.com/office/excel/2006/main">
          <x14:cfRule type="dataBar" id="{3AC226F3-E406-4B54-B014-A524DB4BA5CC}">
            <x14:dataBar minLength="0" maxLength="100" border="1" gradient="0">
              <x14:cfvo type="num">
                <xm:f>0</xm:f>
              </x14:cfvo>
              <x14:cfvo type="num">
                <xm:f>1</xm:f>
              </x14:cfvo>
              <x14:borderColor theme="0"/>
              <x14:negativeFillColor rgb="FFFF0000"/>
              <x14:axisColor rgb="FF000000"/>
            </x14:dataBar>
          </x14:cfRule>
          <xm:sqref>BA247</xm:sqref>
        </x14:conditionalFormatting>
        <x14:conditionalFormatting xmlns:xm="http://schemas.microsoft.com/office/excel/2006/main">
          <x14:cfRule type="dataBar" id="{5581A0BD-4058-42E6-98CC-862F8FABE7AE}">
            <x14:dataBar minLength="0" maxLength="100" border="1" gradient="0">
              <x14:cfvo type="num">
                <xm:f>0</xm:f>
              </x14:cfvo>
              <x14:cfvo type="num">
                <xm:f>1</xm:f>
              </x14:cfvo>
              <x14:borderColor theme="0"/>
              <x14:negativeFillColor rgb="FFFF0000"/>
              <x14:axisColor rgb="FF000000"/>
            </x14:dataBar>
          </x14:cfRule>
          <xm:sqref>BA249</xm:sqref>
        </x14:conditionalFormatting>
        <x14:conditionalFormatting xmlns:xm="http://schemas.microsoft.com/office/excel/2006/main">
          <x14:cfRule type="dataBar" id="{1B5CDE94-6139-4DAD-A1A2-FF826D0ED545}">
            <x14:dataBar minLength="0" maxLength="100" border="1" gradient="0">
              <x14:cfvo type="num">
                <xm:f>0</xm:f>
              </x14:cfvo>
              <x14:cfvo type="num">
                <xm:f>1</xm:f>
              </x14:cfvo>
              <x14:borderColor theme="0"/>
              <x14:negativeFillColor rgb="FFFF0000"/>
              <x14:axisColor rgb="FF000000"/>
            </x14:dataBar>
          </x14:cfRule>
          <xm:sqref>BA251</xm:sqref>
        </x14:conditionalFormatting>
        <x14:conditionalFormatting xmlns:xm="http://schemas.microsoft.com/office/excel/2006/main">
          <x14:cfRule type="dataBar" id="{E55BABFE-C63B-45A9-828C-93524A82A438}">
            <x14:dataBar minLength="0" maxLength="100" border="1" gradient="0">
              <x14:cfvo type="num">
                <xm:f>0</xm:f>
              </x14:cfvo>
              <x14:cfvo type="num">
                <xm:f>1</xm:f>
              </x14:cfvo>
              <x14:borderColor theme="0"/>
              <x14:negativeFillColor rgb="FFFF0000"/>
              <x14:axisColor rgb="FF000000"/>
            </x14:dataBar>
          </x14:cfRule>
          <xm:sqref>BA253</xm:sqref>
        </x14:conditionalFormatting>
        <x14:conditionalFormatting xmlns:xm="http://schemas.microsoft.com/office/excel/2006/main">
          <x14:cfRule type="dataBar" id="{E8F3C887-02E1-4006-A5DC-081C8669730A}">
            <x14:dataBar minLength="0" maxLength="100" border="1" gradient="0">
              <x14:cfvo type="num">
                <xm:f>0</xm:f>
              </x14:cfvo>
              <x14:cfvo type="num">
                <xm:f>1</xm:f>
              </x14:cfvo>
              <x14:borderColor theme="0"/>
              <x14:negativeFillColor rgb="FFFF0000"/>
              <x14:axisColor rgb="FF000000"/>
            </x14:dataBar>
          </x14:cfRule>
          <xm:sqref>BA255</xm:sqref>
        </x14:conditionalFormatting>
        <x14:conditionalFormatting xmlns:xm="http://schemas.microsoft.com/office/excel/2006/main">
          <x14:cfRule type="dataBar" id="{8FE3CB16-C78E-4369-8EFC-4ED30BCE19C3}">
            <x14:dataBar minLength="0" maxLength="100" border="1" gradient="0">
              <x14:cfvo type="num">
                <xm:f>0</xm:f>
              </x14:cfvo>
              <x14:cfvo type="num">
                <xm:f>1</xm:f>
              </x14:cfvo>
              <x14:borderColor theme="0"/>
              <x14:negativeFillColor rgb="FFFF0000"/>
              <x14:axisColor rgb="FF000000"/>
            </x14:dataBar>
          </x14:cfRule>
          <xm:sqref>BA257</xm:sqref>
        </x14:conditionalFormatting>
        <x14:conditionalFormatting xmlns:xm="http://schemas.microsoft.com/office/excel/2006/main">
          <x14:cfRule type="dataBar" id="{A93BC383-4873-4B6C-8C41-CD544E550483}">
            <x14:dataBar minLength="0" maxLength="100" border="1" gradient="0">
              <x14:cfvo type="num">
                <xm:f>0</xm:f>
              </x14:cfvo>
              <x14:cfvo type="num">
                <xm:f>1</xm:f>
              </x14:cfvo>
              <x14:borderColor theme="0"/>
              <x14:negativeFillColor rgb="FFFF0000"/>
              <x14:axisColor rgb="FF000000"/>
            </x14:dataBar>
          </x14:cfRule>
          <xm:sqref>BA259</xm:sqref>
        </x14:conditionalFormatting>
        <x14:conditionalFormatting xmlns:xm="http://schemas.microsoft.com/office/excel/2006/main">
          <x14:cfRule type="dataBar" id="{2BF7EBA1-8B1B-40B0-BA5A-E9822A44CA36}">
            <x14:dataBar minLength="0" maxLength="100" border="1" gradient="0">
              <x14:cfvo type="num">
                <xm:f>0</xm:f>
              </x14:cfvo>
              <x14:cfvo type="num">
                <xm:f>1</xm:f>
              </x14:cfvo>
              <x14:borderColor theme="0"/>
              <x14:negativeFillColor rgb="FFFF0000"/>
              <x14:axisColor rgb="FF000000"/>
            </x14:dataBar>
          </x14:cfRule>
          <xm:sqref>BA261</xm:sqref>
        </x14:conditionalFormatting>
        <x14:conditionalFormatting xmlns:xm="http://schemas.microsoft.com/office/excel/2006/main">
          <x14:cfRule type="dataBar" id="{6838D78F-AE5D-4831-88A4-07AE8478D27A}">
            <x14:dataBar minLength="0" maxLength="100" border="1" gradient="0">
              <x14:cfvo type="num">
                <xm:f>0</xm:f>
              </x14:cfvo>
              <x14:cfvo type="num">
                <xm:f>1</xm:f>
              </x14:cfvo>
              <x14:borderColor theme="0"/>
              <x14:negativeFillColor rgb="FFFF0000"/>
              <x14:axisColor rgb="FF000000"/>
            </x14:dataBar>
          </x14:cfRule>
          <xm:sqref>BA263</xm:sqref>
        </x14:conditionalFormatting>
        <x14:conditionalFormatting xmlns:xm="http://schemas.microsoft.com/office/excel/2006/main">
          <x14:cfRule type="dataBar" id="{8C7A93A2-9CD1-449D-88DF-2A8588D86725}">
            <x14:dataBar minLength="0" maxLength="100" border="1" gradient="0">
              <x14:cfvo type="num">
                <xm:f>0</xm:f>
              </x14:cfvo>
              <x14:cfvo type="num">
                <xm:f>1</xm:f>
              </x14:cfvo>
              <x14:borderColor theme="0"/>
              <x14:negativeFillColor rgb="FFFF0000"/>
              <x14:axisColor rgb="FF000000"/>
            </x14:dataBar>
          </x14:cfRule>
          <xm:sqref>BA265</xm:sqref>
        </x14:conditionalFormatting>
        <x14:conditionalFormatting xmlns:xm="http://schemas.microsoft.com/office/excel/2006/main">
          <x14:cfRule type="dataBar" id="{D8E79501-0554-43B8-A56E-F1F98BD5DA4D}">
            <x14:dataBar minLength="0" maxLength="100" border="1" gradient="0">
              <x14:cfvo type="num">
                <xm:f>0</xm:f>
              </x14:cfvo>
              <x14:cfvo type="num">
                <xm:f>1</xm:f>
              </x14:cfvo>
              <x14:borderColor theme="0"/>
              <x14:negativeFillColor rgb="FFFF0000"/>
              <x14:axisColor rgb="FF000000"/>
            </x14:dataBar>
          </x14:cfRule>
          <xm:sqref>BA267</xm:sqref>
        </x14:conditionalFormatting>
        <x14:conditionalFormatting xmlns:xm="http://schemas.microsoft.com/office/excel/2006/main">
          <x14:cfRule type="dataBar" id="{B4E56D5B-7C28-4442-AEEA-02BE79524A19}">
            <x14:dataBar minLength="0" maxLength="100" border="1" gradient="0">
              <x14:cfvo type="num">
                <xm:f>0</xm:f>
              </x14:cfvo>
              <x14:cfvo type="num">
                <xm:f>1</xm:f>
              </x14:cfvo>
              <x14:borderColor theme="0"/>
              <x14:negativeFillColor rgb="FFFF0000"/>
              <x14:axisColor rgb="FF000000"/>
            </x14:dataBar>
          </x14:cfRule>
          <xm:sqref>BA269</xm:sqref>
        </x14:conditionalFormatting>
        <x14:conditionalFormatting xmlns:xm="http://schemas.microsoft.com/office/excel/2006/main">
          <x14:cfRule type="dataBar" id="{444A3576-6FF2-401C-84E8-63A60A93FAA8}">
            <x14:dataBar minLength="0" maxLength="100" border="1" gradient="0">
              <x14:cfvo type="num">
                <xm:f>0</xm:f>
              </x14:cfvo>
              <x14:cfvo type="num">
                <xm:f>1</xm:f>
              </x14:cfvo>
              <x14:borderColor theme="0"/>
              <x14:negativeFillColor rgb="FFFF0000"/>
              <x14:axisColor rgb="FF000000"/>
            </x14:dataBar>
          </x14:cfRule>
          <xm:sqref>BA271</xm:sqref>
        </x14:conditionalFormatting>
        <x14:conditionalFormatting xmlns:xm="http://schemas.microsoft.com/office/excel/2006/main">
          <x14:cfRule type="dataBar" id="{57F5BB9A-3F7C-42AB-81C1-F5F10E4F81FE}">
            <x14:dataBar minLength="0" maxLength="100" border="1" gradient="0">
              <x14:cfvo type="num">
                <xm:f>0</xm:f>
              </x14:cfvo>
              <x14:cfvo type="num">
                <xm:f>1</xm:f>
              </x14:cfvo>
              <x14:borderColor theme="0"/>
              <x14:negativeFillColor rgb="FFFF0000"/>
              <x14:axisColor rgb="FF000000"/>
            </x14:dataBar>
          </x14:cfRule>
          <xm:sqref>BA273</xm:sqref>
        </x14:conditionalFormatting>
        <x14:conditionalFormatting xmlns:xm="http://schemas.microsoft.com/office/excel/2006/main">
          <x14:cfRule type="dataBar" id="{499E1835-3FE5-4547-9FD8-3CEBE6B86643}">
            <x14:dataBar minLength="0" maxLength="100" border="1" gradient="0">
              <x14:cfvo type="num">
                <xm:f>0</xm:f>
              </x14:cfvo>
              <x14:cfvo type="num">
                <xm:f>1</xm:f>
              </x14:cfvo>
              <x14:borderColor theme="0"/>
              <x14:negativeFillColor rgb="FFFF0000"/>
              <x14:axisColor rgb="FF000000"/>
            </x14:dataBar>
          </x14:cfRule>
          <xm:sqref>BA275</xm:sqref>
        </x14:conditionalFormatting>
        <x14:conditionalFormatting xmlns:xm="http://schemas.microsoft.com/office/excel/2006/main">
          <x14:cfRule type="dataBar" id="{58297AA7-8B54-4ACD-960F-6A6DF0B3D2B6}">
            <x14:dataBar minLength="0" maxLength="100" border="1" gradient="0">
              <x14:cfvo type="num">
                <xm:f>0</xm:f>
              </x14:cfvo>
              <x14:cfvo type="num">
                <xm:f>1</xm:f>
              </x14:cfvo>
              <x14:borderColor theme="0"/>
              <x14:negativeFillColor rgb="FFFF0000"/>
              <x14:axisColor rgb="FF000000"/>
            </x14:dataBar>
          </x14:cfRule>
          <xm:sqref>BA278</xm:sqref>
        </x14:conditionalFormatting>
        <x14:conditionalFormatting xmlns:xm="http://schemas.microsoft.com/office/excel/2006/main">
          <x14:cfRule type="dataBar" id="{E69FAB41-F93C-4073-ABE3-A11E895FE26F}">
            <x14:dataBar minLength="0" maxLength="100" border="1" gradient="0">
              <x14:cfvo type="num">
                <xm:f>0</xm:f>
              </x14:cfvo>
              <x14:cfvo type="num">
                <xm:f>1</xm:f>
              </x14:cfvo>
              <x14:borderColor theme="0"/>
              <x14:negativeFillColor rgb="FFFF0000"/>
              <x14:axisColor rgb="FF000000"/>
            </x14:dataBar>
          </x14:cfRule>
          <xm:sqref>BA280 BA296</xm:sqref>
        </x14:conditionalFormatting>
        <x14:conditionalFormatting xmlns:xm="http://schemas.microsoft.com/office/excel/2006/main">
          <x14:cfRule type="dataBar" id="{D5C27CD6-E339-43C1-8669-338ECAD6DC78}">
            <x14:dataBar minLength="0" maxLength="100" border="1" gradient="0">
              <x14:cfvo type="num">
                <xm:f>0</xm:f>
              </x14:cfvo>
              <x14:cfvo type="num">
                <xm:f>1</xm:f>
              </x14:cfvo>
              <x14:borderColor theme="0"/>
              <x14:negativeFillColor rgb="FFFF0000"/>
              <x14:axisColor rgb="FF000000"/>
            </x14:dataBar>
          </x14:cfRule>
          <xm:sqref>BA282</xm:sqref>
        </x14:conditionalFormatting>
        <x14:conditionalFormatting xmlns:xm="http://schemas.microsoft.com/office/excel/2006/main">
          <x14:cfRule type="dataBar" id="{C608B3F2-B817-475E-969F-12BF4E42912B}">
            <x14:dataBar minLength="0" maxLength="100" border="1" gradient="0">
              <x14:cfvo type="num">
                <xm:f>0</xm:f>
              </x14:cfvo>
              <x14:cfvo type="num">
                <xm:f>1</xm:f>
              </x14:cfvo>
              <x14:borderColor theme="0"/>
              <x14:negativeFillColor rgb="FFFF0000"/>
              <x14:axisColor rgb="FF000000"/>
            </x14:dataBar>
          </x14:cfRule>
          <xm:sqref>BA284</xm:sqref>
        </x14:conditionalFormatting>
        <x14:conditionalFormatting xmlns:xm="http://schemas.microsoft.com/office/excel/2006/main">
          <x14:cfRule type="dataBar" id="{3ECAFE39-2FCD-40E7-8BB7-7377AC0FCA5D}">
            <x14:dataBar minLength="0" maxLength="100" border="1" gradient="0">
              <x14:cfvo type="num">
                <xm:f>0</xm:f>
              </x14:cfvo>
              <x14:cfvo type="num">
                <xm:f>1</xm:f>
              </x14:cfvo>
              <x14:borderColor theme="0"/>
              <x14:negativeFillColor rgb="FFFF0000"/>
              <x14:axisColor rgb="FF000000"/>
            </x14:dataBar>
          </x14:cfRule>
          <xm:sqref>BA286</xm:sqref>
        </x14:conditionalFormatting>
        <x14:conditionalFormatting xmlns:xm="http://schemas.microsoft.com/office/excel/2006/main">
          <x14:cfRule type="dataBar" id="{D5DD818F-0E70-4302-822F-F45930E7252E}">
            <x14:dataBar minLength="0" maxLength="100" border="1" gradient="0">
              <x14:cfvo type="num">
                <xm:f>0</xm:f>
              </x14:cfvo>
              <x14:cfvo type="num">
                <xm:f>1</xm:f>
              </x14:cfvo>
              <x14:borderColor theme="0"/>
              <x14:negativeFillColor rgb="FFFF0000"/>
              <x14:axisColor rgb="FF000000"/>
            </x14:dataBar>
          </x14:cfRule>
          <xm:sqref>BA288</xm:sqref>
        </x14:conditionalFormatting>
        <x14:conditionalFormatting xmlns:xm="http://schemas.microsoft.com/office/excel/2006/main">
          <x14:cfRule type="dataBar" id="{681F0B7A-53CE-4222-B189-5B2A7B10AECA}">
            <x14:dataBar minLength="0" maxLength="100" border="1" gradient="0">
              <x14:cfvo type="num">
                <xm:f>0</xm:f>
              </x14:cfvo>
              <x14:cfvo type="num">
                <xm:f>1</xm:f>
              </x14:cfvo>
              <x14:borderColor theme="0"/>
              <x14:negativeFillColor rgb="FFFF0000"/>
              <x14:axisColor rgb="FF000000"/>
            </x14:dataBar>
          </x14:cfRule>
          <xm:sqref>BA290</xm:sqref>
        </x14:conditionalFormatting>
        <x14:conditionalFormatting xmlns:xm="http://schemas.microsoft.com/office/excel/2006/main">
          <x14:cfRule type="dataBar" id="{987C08E5-B62A-4EF1-AFBD-5A1BEA577314}">
            <x14:dataBar minLength="0" maxLength="100" border="1" gradient="0">
              <x14:cfvo type="num">
                <xm:f>0</xm:f>
              </x14:cfvo>
              <x14:cfvo type="num">
                <xm:f>1</xm:f>
              </x14:cfvo>
              <x14:borderColor theme="0"/>
              <x14:negativeFillColor rgb="FFFF0000"/>
              <x14:axisColor rgb="FF000000"/>
            </x14:dataBar>
          </x14:cfRule>
          <xm:sqref>BA292</xm:sqref>
        </x14:conditionalFormatting>
        <x14:conditionalFormatting xmlns:xm="http://schemas.microsoft.com/office/excel/2006/main">
          <x14:cfRule type="dataBar" id="{78207F65-58FC-4E09-BDBA-5FF03CB921EA}">
            <x14:dataBar minLength="0" maxLength="100" border="1" gradient="0">
              <x14:cfvo type="num">
                <xm:f>0</xm:f>
              </x14:cfvo>
              <x14:cfvo type="num">
                <xm:f>1</xm:f>
              </x14:cfvo>
              <x14:borderColor theme="0"/>
              <x14:negativeFillColor rgb="FFFF0000"/>
              <x14:axisColor rgb="FF000000"/>
            </x14:dataBar>
          </x14:cfRule>
          <xm:sqref>BA294</xm:sqref>
        </x14:conditionalFormatting>
        <x14:conditionalFormatting xmlns:xm="http://schemas.microsoft.com/office/excel/2006/main">
          <x14:cfRule type="dataBar" id="{85398FA7-27D5-47BD-A3A0-8F5C57F19784}">
            <x14:dataBar minLength="0" maxLength="100" border="1" gradient="0">
              <x14:cfvo type="num">
                <xm:f>0</xm:f>
              </x14:cfvo>
              <x14:cfvo type="num">
                <xm:f>1</xm:f>
              </x14:cfvo>
              <x14:borderColor theme="0"/>
              <x14:negativeFillColor rgb="FFFF0000"/>
              <x14:axisColor rgb="FF000000"/>
            </x14:dataBar>
          </x14:cfRule>
          <xm:sqref>BA299</xm:sqref>
        </x14:conditionalFormatting>
        <x14:conditionalFormatting xmlns:xm="http://schemas.microsoft.com/office/excel/2006/main">
          <x14:cfRule type="dataBar" id="{B852E2AE-2C09-47E5-AC61-C09E2CD3E54F}">
            <x14:dataBar minLength="0" maxLength="100" border="1" gradient="0">
              <x14:cfvo type="num">
                <xm:f>0</xm:f>
              </x14:cfvo>
              <x14:cfvo type="num">
                <xm:f>1</xm:f>
              </x14:cfvo>
              <x14:borderColor theme="0"/>
              <x14:negativeFillColor rgb="FFFF0000"/>
              <x14:axisColor rgb="FF000000"/>
            </x14:dataBar>
          </x14:cfRule>
          <xm:sqref>BA304</xm:sqref>
        </x14:conditionalFormatting>
        <x14:conditionalFormatting xmlns:xm="http://schemas.microsoft.com/office/excel/2006/main">
          <x14:cfRule type="dataBar" id="{575FDBF6-43EA-46F1-8B6E-90868341764B}">
            <x14:dataBar minLength="0" maxLength="100" border="1" gradient="0">
              <x14:cfvo type="num">
                <xm:f>0</xm:f>
              </x14:cfvo>
              <x14:cfvo type="num">
                <xm:f>1</xm:f>
              </x14:cfvo>
              <x14:borderColor theme="0"/>
              <x14:negativeFillColor rgb="FFFF0000"/>
              <x14:axisColor rgb="FF000000"/>
            </x14:dataBar>
          </x14:cfRule>
          <xm:sqref>BA307</xm:sqref>
        </x14:conditionalFormatting>
        <x14:conditionalFormatting xmlns:xm="http://schemas.microsoft.com/office/excel/2006/main">
          <x14:cfRule type="dataBar" id="{2D345EF1-CB97-459F-A945-D6DB38CE2442}">
            <x14:dataBar minLength="0" maxLength="100" border="1" gradient="0">
              <x14:cfvo type="num">
                <xm:f>0</xm:f>
              </x14:cfvo>
              <x14:cfvo type="num">
                <xm:f>1</xm:f>
              </x14:cfvo>
              <x14:borderColor theme="0"/>
              <x14:negativeFillColor rgb="FFFF0000"/>
              <x14:axisColor rgb="FF000000"/>
            </x14:dataBar>
          </x14:cfRule>
          <xm:sqref>BA310</xm:sqref>
        </x14:conditionalFormatting>
        <x14:conditionalFormatting xmlns:xm="http://schemas.microsoft.com/office/excel/2006/main">
          <x14:cfRule type="dataBar" id="{E5674558-AF70-4B22-BD90-81C1FC76890C}">
            <x14:dataBar minLength="0" maxLength="100" border="1" gradient="0">
              <x14:cfvo type="num">
                <xm:f>0</xm:f>
              </x14:cfvo>
              <x14:cfvo type="num">
                <xm:f>1</xm:f>
              </x14:cfvo>
              <x14:borderColor theme="0"/>
              <x14:negativeFillColor rgb="FFFF0000"/>
              <x14:axisColor rgb="FF000000"/>
            </x14:dataBar>
          </x14:cfRule>
          <xm:sqref>BA314</xm:sqref>
        </x14:conditionalFormatting>
        <x14:conditionalFormatting xmlns:xm="http://schemas.microsoft.com/office/excel/2006/main">
          <x14:cfRule type="dataBar" id="{24D2C9DA-20FE-40EB-B981-F4CD0319637C}">
            <x14:dataBar minLength="0" maxLength="100" border="1" gradient="0">
              <x14:cfvo type="num">
                <xm:f>0</xm:f>
              </x14:cfvo>
              <x14:cfvo type="num">
                <xm:f>1</xm:f>
              </x14:cfvo>
              <x14:borderColor theme="0"/>
              <x14:negativeFillColor rgb="FFFF0000"/>
              <x14:axisColor rgb="FF000000"/>
            </x14:dataBar>
          </x14:cfRule>
          <xm:sqref>BA316</xm:sqref>
        </x14:conditionalFormatting>
        <x14:conditionalFormatting xmlns:xm="http://schemas.microsoft.com/office/excel/2006/main">
          <x14:cfRule type="dataBar" id="{66E4AB2D-3C29-4F40-9DB3-CCED5E3DF0F2}">
            <x14:dataBar minLength="0" maxLength="100" border="1" gradient="0">
              <x14:cfvo type="num">
                <xm:f>0</xm:f>
              </x14:cfvo>
              <x14:cfvo type="num">
                <xm:f>1</xm:f>
              </x14:cfvo>
              <x14:borderColor theme="0"/>
              <x14:negativeFillColor rgb="FFFF0000"/>
              <x14:axisColor rgb="FF000000"/>
            </x14:dataBar>
          </x14:cfRule>
          <xm:sqref>BA318</xm:sqref>
        </x14:conditionalFormatting>
        <x14:conditionalFormatting xmlns:xm="http://schemas.microsoft.com/office/excel/2006/main">
          <x14:cfRule type="dataBar" id="{A71C3167-5CAB-465D-9DD6-8026B978BFAC}">
            <x14:dataBar minLength="0" maxLength="100" border="1" gradient="0">
              <x14:cfvo type="num">
                <xm:f>0</xm:f>
              </x14:cfvo>
              <x14:cfvo type="num">
                <xm:f>1</xm:f>
              </x14:cfvo>
              <x14:borderColor theme="0"/>
              <x14:negativeFillColor rgb="FFFF0000"/>
              <x14:axisColor rgb="FF000000"/>
            </x14:dataBar>
          </x14:cfRule>
          <xm:sqref>BA320</xm:sqref>
        </x14:conditionalFormatting>
        <x14:conditionalFormatting xmlns:xm="http://schemas.microsoft.com/office/excel/2006/main">
          <x14:cfRule type="dataBar" id="{8087874D-E88D-40C3-8416-9F159A22B656}">
            <x14:dataBar minLength="0" maxLength="100" border="1" gradient="0">
              <x14:cfvo type="num">
                <xm:f>0</xm:f>
              </x14:cfvo>
              <x14:cfvo type="num">
                <xm:f>1</xm:f>
              </x14:cfvo>
              <x14:borderColor theme="0"/>
              <x14:negativeFillColor rgb="FFFF0000"/>
              <x14:axisColor rgb="FF000000"/>
            </x14:dataBar>
          </x14:cfRule>
          <xm:sqref>BA322</xm:sqref>
        </x14:conditionalFormatting>
        <x14:conditionalFormatting xmlns:xm="http://schemas.microsoft.com/office/excel/2006/main">
          <x14:cfRule type="dataBar" id="{FD2F5C23-0AE6-4795-891E-8B3BF5CBDEE9}">
            <x14:dataBar minLength="0" maxLength="100" border="1" gradient="0">
              <x14:cfvo type="num">
                <xm:f>0</xm:f>
              </x14:cfvo>
              <x14:cfvo type="num">
                <xm:f>1</xm:f>
              </x14:cfvo>
              <x14:borderColor theme="0"/>
              <x14:negativeFillColor rgb="FFFF0000"/>
              <x14:axisColor rgb="FF000000"/>
            </x14:dataBar>
          </x14:cfRule>
          <xm:sqref>BA324</xm:sqref>
        </x14:conditionalFormatting>
        <x14:conditionalFormatting xmlns:xm="http://schemas.microsoft.com/office/excel/2006/main">
          <x14:cfRule type="dataBar" id="{E2829E46-62A2-496F-BFAD-01CF97C05469}">
            <x14:dataBar minLength="0" maxLength="100" border="1" gradient="0">
              <x14:cfvo type="num">
                <xm:f>0</xm:f>
              </x14:cfvo>
              <x14:cfvo type="num">
                <xm:f>1</xm:f>
              </x14:cfvo>
              <x14:borderColor theme="0"/>
              <x14:negativeFillColor rgb="FFFF0000"/>
              <x14:axisColor rgb="FF000000"/>
            </x14:dataBar>
          </x14:cfRule>
          <xm:sqref>BA326</xm:sqref>
        </x14:conditionalFormatting>
        <x14:conditionalFormatting xmlns:xm="http://schemas.microsoft.com/office/excel/2006/main">
          <x14:cfRule type="dataBar" id="{47E06270-9D09-41E4-A0C1-D85DC9FD49E5}">
            <x14:dataBar minLength="0" maxLength="100" border="1" gradient="0">
              <x14:cfvo type="num">
                <xm:f>0</xm:f>
              </x14:cfvo>
              <x14:cfvo type="num">
                <xm:f>1</xm:f>
              </x14:cfvo>
              <x14:borderColor theme="0"/>
              <x14:negativeFillColor rgb="FFFF0000"/>
              <x14:axisColor rgb="FF000000"/>
            </x14:dataBar>
          </x14:cfRule>
          <xm:sqref>BA328</xm:sqref>
        </x14:conditionalFormatting>
        <x14:conditionalFormatting xmlns:xm="http://schemas.microsoft.com/office/excel/2006/main">
          <x14:cfRule type="dataBar" id="{4A6EE002-6B61-49C1-886C-A83967992C27}">
            <x14:dataBar minLength="0" maxLength="100" border="1" gradient="0">
              <x14:cfvo type="num">
                <xm:f>0</xm:f>
              </x14:cfvo>
              <x14:cfvo type="num">
                <xm:f>1</xm:f>
              </x14:cfvo>
              <x14:borderColor theme="0"/>
              <x14:negativeFillColor rgb="FFFF0000"/>
              <x14:axisColor rgb="FF000000"/>
            </x14:dataBar>
          </x14:cfRule>
          <xm:sqref>BA330</xm:sqref>
        </x14:conditionalFormatting>
        <x14:conditionalFormatting xmlns:xm="http://schemas.microsoft.com/office/excel/2006/main">
          <x14:cfRule type="dataBar" id="{55016902-68CF-49C0-8666-4C52BA4CE250}">
            <x14:dataBar minLength="0" maxLength="100" border="1" gradient="0">
              <x14:cfvo type="num">
                <xm:f>0</xm:f>
              </x14:cfvo>
              <x14:cfvo type="num">
                <xm:f>1</xm:f>
              </x14:cfvo>
              <x14:borderColor theme="0"/>
              <x14:negativeFillColor rgb="FFFF0000"/>
              <x14:axisColor rgb="FF000000"/>
            </x14:dataBar>
          </x14:cfRule>
          <xm:sqref>BA332</xm:sqref>
        </x14:conditionalFormatting>
        <x14:conditionalFormatting xmlns:xm="http://schemas.microsoft.com/office/excel/2006/main">
          <x14:cfRule type="dataBar" id="{757293FB-73A8-4710-8EA4-90200B11AF3C}">
            <x14:dataBar minLength="0" maxLength="100" border="1" gradient="0">
              <x14:cfvo type="num">
                <xm:f>0</xm:f>
              </x14:cfvo>
              <x14:cfvo type="num">
                <xm:f>1</xm:f>
              </x14:cfvo>
              <x14:borderColor theme="0"/>
              <x14:negativeFillColor rgb="FFFF0000"/>
              <x14:axisColor rgb="FF000000"/>
            </x14:dataBar>
          </x14:cfRule>
          <xm:sqref>BA334</xm:sqref>
        </x14:conditionalFormatting>
        <x14:conditionalFormatting xmlns:xm="http://schemas.microsoft.com/office/excel/2006/main">
          <x14:cfRule type="dataBar" id="{4D2EF73D-C72A-4577-9AE6-9F920925A9D9}">
            <x14:dataBar minLength="0" maxLength="100" border="1" gradient="0">
              <x14:cfvo type="num">
                <xm:f>0</xm:f>
              </x14:cfvo>
              <x14:cfvo type="num">
                <xm:f>1</xm:f>
              </x14:cfvo>
              <x14:borderColor theme="0"/>
              <x14:negativeFillColor rgb="FFFF0000"/>
              <x14:axisColor rgb="FF000000"/>
            </x14:dataBar>
          </x14:cfRule>
          <xm:sqref>BA336</xm:sqref>
        </x14:conditionalFormatting>
        <x14:conditionalFormatting xmlns:xm="http://schemas.microsoft.com/office/excel/2006/main">
          <x14:cfRule type="dataBar" id="{1EBFBE84-A609-4686-860C-76497B088954}">
            <x14:dataBar minLength="0" maxLength="100" border="1" gradient="0">
              <x14:cfvo type="num">
                <xm:f>0</xm:f>
              </x14:cfvo>
              <x14:cfvo type="num">
                <xm:f>1</xm:f>
              </x14:cfvo>
              <x14:borderColor theme="0"/>
              <x14:negativeFillColor rgb="FFFF0000"/>
              <x14:axisColor rgb="FF000000"/>
            </x14:dataBar>
          </x14:cfRule>
          <xm:sqref>BA338</xm:sqref>
        </x14:conditionalFormatting>
        <x14:conditionalFormatting xmlns:xm="http://schemas.microsoft.com/office/excel/2006/main">
          <x14:cfRule type="dataBar" id="{42E69B6E-B5E1-43C4-AD71-200D72EBE34A}">
            <x14:dataBar minLength="0" maxLength="100" border="1" gradient="0">
              <x14:cfvo type="num">
                <xm:f>0</xm:f>
              </x14:cfvo>
              <x14:cfvo type="num">
                <xm:f>1</xm:f>
              </x14:cfvo>
              <x14:borderColor theme="0"/>
              <x14:negativeFillColor rgb="FFFF0000"/>
              <x14:axisColor rgb="FF000000"/>
            </x14:dataBar>
          </x14:cfRule>
          <xm:sqref>BA340</xm:sqref>
        </x14:conditionalFormatting>
        <x14:conditionalFormatting xmlns:xm="http://schemas.microsoft.com/office/excel/2006/main">
          <x14:cfRule type="dataBar" id="{51F6C2CB-7F4B-4A3A-9F7F-1B12E403BF7D}">
            <x14:dataBar minLength="0" maxLength="100" border="1" gradient="0">
              <x14:cfvo type="num">
                <xm:f>0</xm:f>
              </x14:cfvo>
              <x14:cfvo type="num">
                <xm:f>1</xm:f>
              </x14:cfvo>
              <x14:borderColor theme="0"/>
              <x14:negativeFillColor rgb="FFFF0000"/>
              <x14:axisColor rgb="FF000000"/>
            </x14:dataBar>
          </x14:cfRule>
          <xm:sqref>BA342</xm:sqref>
        </x14:conditionalFormatting>
        <x14:conditionalFormatting xmlns:xm="http://schemas.microsoft.com/office/excel/2006/main">
          <x14:cfRule type="dataBar" id="{D49F9F30-D1B2-449F-B501-A2B13C0D8991}">
            <x14:dataBar minLength="0" maxLength="100" border="1" gradient="0">
              <x14:cfvo type="num">
                <xm:f>0</xm:f>
              </x14:cfvo>
              <x14:cfvo type="num">
                <xm:f>1</xm:f>
              </x14:cfvo>
              <x14:borderColor theme="0"/>
              <x14:negativeFillColor rgb="FFFF0000"/>
              <x14:axisColor rgb="FF000000"/>
            </x14:dataBar>
          </x14:cfRule>
          <xm:sqref>BA344</xm:sqref>
        </x14:conditionalFormatting>
        <x14:conditionalFormatting xmlns:xm="http://schemas.microsoft.com/office/excel/2006/main">
          <x14:cfRule type="dataBar" id="{42C34CE6-477A-4FDF-9BDB-EF02F6B44C10}">
            <x14:dataBar minLength="0" maxLength="100" border="1" gradient="0">
              <x14:cfvo type="num">
                <xm:f>0</xm:f>
              </x14:cfvo>
              <x14:cfvo type="num">
                <xm:f>1</xm:f>
              </x14:cfvo>
              <x14:borderColor theme="0"/>
              <x14:negativeFillColor rgb="FFFF0000"/>
              <x14:axisColor rgb="FF000000"/>
            </x14:dataBar>
          </x14:cfRule>
          <xm:sqref>BA346</xm:sqref>
        </x14:conditionalFormatting>
        <x14:conditionalFormatting xmlns:xm="http://schemas.microsoft.com/office/excel/2006/main">
          <x14:cfRule type="dataBar" id="{B1112238-7C4F-427C-9A2B-348BC992D6CD}">
            <x14:dataBar minLength="0" maxLength="100" border="1" gradient="0">
              <x14:cfvo type="num">
                <xm:f>0</xm:f>
              </x14:cfvo>
              <x14:cfvo type="num">
                <xm:f>1</xm:f>
              </x14:cfvo>
              <x14:borderColor theme="0"/>
              <x14:negativeFillColor rgb="FFFF0000"/>
              <x14:axisColor rgb="FF000000"/>
            </x14:dataBar>
          </x14:cfRule>
          <xm:sqref>BA348</xm:sqref>
        </x14:conditionalFormatting>
        <x14:conditionalFormatting xmlns:xm="http://schemas.microsoft.com/office/excel/2006/main">
          <x14:cfRule type="dataBar" id="{274D2B96-5F6F-4F7D-9BA8-0864DC092204}">
            <x14:dataBar minLength="0" maxLength="100" border="1" gradient="0">
              <x14:cfvo type="num">
                <xm:f>0</xm:f>
              </x14:cfvo>
              <x14:cfvo type="num">
                <xm:f>1</xm:f>
              </x14:cfvo>
              <x14:borderColor theme="0"/>
              <x14:negativeFillColor rgb="FFFF0000"/>
              <x14:axisColor rgb="FF000000"/>
            </x14:dataBar>
          </x14:cfRule>
          <xm:sqref>BA350</xm:sqref>
        </x14:conditionalFormatting>
        <x14:conditionalFormatting xmlns:xm="http://schemas.microsoft.com/office/excel/2006/main">
          <x14:cfRule type="dataBar" id="{D4B01D6A-7F7C-4A63-8E5E-BE2E80331DA4}">
            <x14:dataBar minLength="0" maxLength="100" border="1" gradient="0">
              <x14:cfvo type="num">
                <xm:f>0</xm:f>
              </x14:cfvo>
              <x14:cfvo type="num">
                <xm:f>1</xm:f>
              </x14:cfvo>
              <x14:borderColor theme="0"/>
              <x14:negativeFillColor rgb="FFFF0000"/>
              <x14:axisColor rgb="FF000000"/>
            </x14:dataBar>
          </x14:cfRule>
          <xm:sqref>BA352</xm:sqref>
        </x14:conditionalFormatting>
        <x14:conditionalFormatting xmlns:xm="http://schemas.microsoft.com/office/excel/2006/main">
          <x14:cfRule type="dataBar" id="{97C937F1-E179-45D0-8928-3CAE69ED2268}">
            <x14:dataBar minLength="0" maxLength="100" border="1" gradient="0">
              <x14:cfvo type="num">
                <xm:f>0</xm:f>
              </x14:cfvo>
              <x14:cfvo type="num">
                <xm:f>1</xm:f>
              </x14:cfvo>
              <x14:borderColor theme="0"/>
              <x14:negativeFillColor rgb="FFFF0000"/>
              <x14:axisColor rgb="FF000000"/>
            </x14:dataBar>
          </x14:cfRule>
          <xm:sqref>BA354</xm:sqref>
        </x14:conditionalFormatting>
        <x14:conditionalFormatting xmlns:xm="http://schemas.microsoft.com/office/excel/2006/main">
          <x14:cfRule type="dataBar" id="{D88D1102-E3A5-4A77-BC05-862B555FE088}">
            <x14:dataBar minLength="0" maxLength="100" border="1" gradient="0">
              <x14:cfvo type="num">
                <xm:f>0</xm:f>
              </x14:cfvo>
              <x14:cfvo type="num">
                <xm:f>1</xm:f>
              </x14:cfvo>
              <x14:borderColor theme="0"/>
              <x14:negativeFillColor rgb="FFFF0000"/>
              <x14:axisColor rgb="FF000000"/>
            </x14:dataBar>
          </x14:cfRule>
          <xm:sqref>BA356</xm:sqref>
        </x14:conditionalFormatting>
        <x14:conditionalFormatting xmlns:xm="http://schemas.microsoft.com/office/excel/2006/main">
          <x14:cfRule type="dataBar" id="{2A7D5A14-8B2A-48F0-8EC6-848E3C5F98DC}">
            <x14:dataBar minLength="0" maxLength="100" border="1" gradient="0">
              <x14:cfvo type="num">
                <xm:f>0</xm:f>
              </x14:cfvo>
              <x14:cfvo type="num">
                <xm:f>1</xm:f>
              </x14:cfvo>
              <x14:borderColor theme="0"/>
              <x14:negativeFillColor rgb="FFFF0000"/>
              <x14:axisColor rgb="FF000000"/>
            </x14:dataBar>
          </x14:cfRule>
          <xm:sqref>BA358</xm:sqref>
        </x14:conditionalFormatting>
        <x14:conditionalFormatting xmlns:xm="http://schemas.microsoft.com/office/excel/2006/main">
          <x14:cfRule type="dataBar" id="{692E4F35-27A1-4A2B-A23F-5D3CA0F97EE7}">
            <x14:dataBar minLength="0" maxLength="100" border="1" gradient="0">
              <x14:cfvo type="num">
                <xm:f>0</xm:f>
              </x14:cfvo>
              <x14:cfvo type="num">
                <xm:f>1</xm:f>
              </x14:cfvo>
              <x14:borderColor theme="0"/>
              <x14:negativeFillColor rgb="FFFF0000"/>
              <x14:axisColor rgb="FF000000"/>
            </x14:dataBar>
          </x14:cfRule>
          <xm:sqref>BA360</xm:sqref>
        </x14:conditionalFormatting>
        <x14:conditionalFormatting xmlns:xm="http://schemas.microsoft.com/office/excel/2006/main">
          <x14:cfRule type="dataBar" id="{5C2E1E22-7DE3-4FDE-AE9E-B1CF28F175D1}">
            <x14:dataBar minLength="0" maxLength="100" border="1" gradient="0">
              <x14:cfvo type="num">
                <xm:f>0</xm:f>
              </x14:cfvo>
              <x14:cfvo type="num">
                <xm:f>1</xm:f>
              </x14:cfvo>
              <x14:borderColor theme="0"/>
              <x14:negativeFillColor rgb="FFFF0000"/>
              <x14:axisColor rgb="FF000000"/>
            </x14:dataBar>
          </x14:cfRule>
          <xm:sqref>BA362</xm:sqref>
        </x14:conditionalFormatting>
        <x14:conditionalFormatting xmlns:xm="http://schemas.microsoft.com/office/excel/2006/main">
          <x14:cfRule type="dataBar" id="{45425796-1C6C-47FE-AB2D-6561F147AA87}">
            <x14:dataBar minLength="0" maxLength="100" border="1" gradient="0">
              <x14:cfvo type="num">
                <xm:f>0</xm:f>
              </x14:cfvo>
              <x14:cfvo type="num">
                <xm:f>1</xm:f>
              </x14:cfvo>
              <x14:borderColor theme="0"/>
              <x14:negativeFillColor rgb="FFFF0000"/>
              <x14:axisColor rgb="FF000000"/>
            </x14:dataBar>
          </x14:cfRule>
          <xm:sqref>BA364</xm:sqref>
        </x14:conditionalFormatting>
        <x14:conditionalFormatting xmlns:xm="http://schemas.microsoft.com/office/excel/2006/main">
          <x14:cfRule type="dataBar" id="{065FCF9A-2865-4334-B213-A25709DC56CD}">
            <x14:dataBar minLength="0" maxLength="100" border="1" gradient="0">
              <x14:cfvo type="num">
                <xm:f>0</xm:f>
              </x14:cfvo>
              <x14:cfvo type="num">
                <xm:f>1</xm:f>
              </x14:cfvo>
              <x14:borderColor theme="0"/>
              <x14:negativeFillColor rgb="FFFF0000"/>
              <x14:axisColor rgb="FF000000"/>
            </x14:dataBar>
          </x14:cfRule>
          <xm:sqref>BA366</xm:sqref>
        </x14:conditionalFormatting>
        <x14:conditionalFormatting xmlns:xm="http://schemas.microsoft.com/office/excel/2006/main">
          <x14:cfRule type="dataBar" id="{7A3A2963-0BAA-4B7C-8939-59E040F821A7}">
            <x14:dataBar minLength="0" maxLength="100" border="1" gradient="0">
              <x14:cfvo type="num">
                <xm:f>0</xm:f>
              </x14:cfvo>
              <x14:cfvo type="num">
                <xm:f>1</xm:f>
              </x14:cfvo>
              <x14:borderColor theme="0"/>
              <x14:negativeFillColor rgb="FFFF0000"/>
              <x14:axisColor rgb="FF000000"/>
            </x14:dataBar>
          </x14:cfRule>
          <xm:sqref>BA368</xm:sqref>
        </x14:conditionalFormatting>
        <x14:conditionalFormatting xmlns:xm="http://schemas.microsoft.com/office/excel/2006/main">
          <x14:cfRule type="dataBar" id="{16E3E44A-4EAB-4A34-AB6F-5A02DD311C3F}">
            <x14:dataBar minLength="0" maxLength="100" border="1" gradient="0">
              <x14:cfvo type="num">
                <xm:f>0</xm:f>
              </x14:cfvo>
              <x14:cfvo type="num">
                <xm:f>1</xm:f>
              </x14:cfvo>
              <x14:borderColor theme="0"/>
              <x14:negativeFillColor rgb="FFFF0000"/>
              <x14:axisColor rgb="FF000000"/>
            </x14:dataBar>
          </x14:cfRule>
          <xm:sqref>BA370</xm:sqref>
        </x14:conditionalFormatting>
        <x14:conditionalFormatting xmlns:xm="http://schemas.microsoft.com/office/excel/2006/main">
          <x14:cfRule type="dataBar" id="{7DF7A1B6-47AA-4262-947C-A9624DC4732B}">
            <x14:dataBar minLength="0" maxLength="100" border="1" gradient="0">
              <x14:cfvo type="num">
                <xm:f>0</xm:f>
              </x14:cfvo>
              <x14:cfvo type="num">
                <xm:f>1</xm:f>
              </x14:cfvo>
              <x14:borderColor theme="0"/>
              <x14:negativeFillColor rgb="FFFF0000"/>
              <x14:axisColor rgb="FF000000"/>
            </x14:dataBar>
          </x14:cfRule>
          <xm:sqref>BA372</xm:sqref>
        </x14:conditionalFormatting>
        <x14:conditionalFormatting xmlns:xm="http://schemas.microsoft.com/office/excel/2006/main">
          <x14:cfRule type="dataBar" id="{DDEFC295-8E33-4DC2-BC8D-C9C3CA1DCCED}">
            <x14:dataBar minLength="0" maxLength="100" border="1" gradient="0">
              <x14:cfvo type="num">
                <xm:f>0</xm:f>
              </x14:cfvo>
              <x14:cfvo type="num">
                <xm:f>1</xm:f>
              </x14:cfvo>
              <x14:borderColor theme="0"/>
              <x14:negativeFillColor rgb="FFFF0000"/>
              <x14:axisColor rgb="FF000000"/>
            </x14:dataBar>
          </x14:cfRule>
          <xm:sqref>BA374</xm:sqref>
        </x14:conditionalFormatting>
        <x14:conditionalFormatting xmlns:xm="http://schemas.microsoft.com/office/excel/2006/main">
          <x14:cfRule type="dataBar" id="{5F5E3E8F-DDF0-4250-B42A-C080C6E5D87B}">
            <x14:dataBar minLength="0" maxLength="100" border="1" gradient="0">
              <x14:cfvo type="num">
                <xm:f>0</xm:f>
              </x14:cfvo>
              <x14:cfvo type="num">
                <xm:f>1</xm:f>
              </x14:cfvo>
              <x14:borderColor theme="0"/>
              <x14:negativeFillColor rgb="FFFF0000"/>
              <x14:axisColor rgb="FF000000"/>
            </x14:dataBar>
          </x14:cfRule>
          <xm:sqref>BA376</xm:sqref>
        </x14:conditionalFormatting>
        <x14:conditionalFormatting xmlns:xm="http://schemas.microsoft.com/office/excel/2006/main">
          <x14:cfRule type="dataBar" id="{55A04EA4-5D8C-4DD6-BC6C-71205B6E84F5}">
            <x14:dataBar minLength="0" maxLength="100" border="1" gradient="0">
              <x14:cfvo type="num">
                <xm:f>0</xm:f>
              </x14:cfvo>
              <x14:cfvo type="num">
                <xm:f>1</xm:f>
              </x14:cfvo>
              <x14:borderColor theme="0"/>
              <x14:negativeFillColor rgb="FFFF0000"/>
              <x14:axisColor rgb="FF000000"/>
            </x14:dataBar>
          </x14:cfRule>
          <xm:sqref>BA378</xm:sqref>
        </x14:conditionalFormatting>
        <x14:conditionalFormatting xmlns:xm="http://schemas.microsoft.com/office/excel/2006/main">
          <x14:cfRule type="dataBar" id="{FD4C4715-A218-487A-8C4F-151720D43737}">
            <x14:dataBar minLength="0" maxLength="100" border="1" gradient="0">
              <x14:cfvo type="num">
                <xm:f>0</xm:f>
              </x14:cfvo>
              <x14:cfvo type="num">
                <xm:f>1</xm:f>
              </x14:cfvo>
              <x14:borderColor theme="0"/>
              <x14:negativeFillColor rgb="FFFF0000"/>
              <x14:axisColor rgb="FF000000"/>
            </x14:dataBar>
          </x14:cfRule>
          <xm:sqref>BA380</xm:sqref>
        </x14:conditionalFormatting>
        <x14:conditionalFormatting xmlns:xm="http://schemas.microsoft.com/office/excel/2006/main">
          <x14:cfRule type="dataBar" id="{36C5E1C7-0E65-4D3D-B491-E8F672E1B518}">
            <x14:dataBar minLength="0" maxLength="100" border="1" gradient="0">
              <x14:cfvo type="num">
                <xm:f>0</xm:f>
              </x14:cfvo>
              <x14:cfvo type="num">
                <xm:f>1</xm:f>
              </x14:cfvo>
              <x14:borderColor theme="0"/>
              <x14:negativeFillColor rgb="FFFF0000"/>
              <x14:axisColor rgb="FF000000"/>
            </x14:dataBar>
          </x14:cfRule>
          <xm:sqref>BA382</xm:sqref>
        </x14:conditionalFormatting>
        <x14:conditionalFormatting xmlns:xm="http://schemas.microsoft.com/office/excel/2006/main">
          <x14:cfRule type="dataBar" id="{4671E9EB-6948-41DE-809F-A88C41223C68}">
            <x14:dataBar minLength="0" maxLength="100" border="1" gradient="0">
              <x14:cfvo type="num">
                <xm:f>0</xm:f>
              </x14:cfvo>
              <x14:cfvo type="num">
                <xm:f>1</xm:f>
              </x14:cfvo>
              <x14:borderColor theme="0"/>
              <x14:negativeFillColor rgb="FFFF0000"/>
              <x14:axisColor rgb="FF000000"/>
            </x14:dataBar>
          </x14:cfRule>
          <xm:sqref>BA384</xm:sqref>
        </x14:conditionalFormatting>
        <x14:conditionalFormatting xmlns:xm="http://schemas.microsoft.com/office/excel/2006/main">
          <x14:cfRule type="dataBar" id="{E40EB1D5-02E8-40D9-8DD7-A31649F419B7}">
            <x14:dataBar minLength="0" maxLength="100" border="1" gradient="0">
              <x14:cfvo type="num">
                <xm:f>0</xm:f>
              </x14:cfvo>
              <x14:cfvo type="num">
                <xm:f>1</xm:f>
              </x14:cfvo>
              <x14:borderColor theme="0"/>
              <x14:negativeFillColor rgb="FFFF0000"/>
              <x14:axisColor rgb="FF000000"/>
            </x14:dataBar>
          </x14:cfRule>
          <xm:sqref>BA386</xm:sqref>
        </x14:conditionalFormatting>
        <x14:conditionalFormatting xmlns:xm="http://schemas.microsoft.com/office/excel/2006/main">
          <x14:cfRule type="dataBar" id="{DFB6810C-A7FF-45C7-B387-8CD4DB7B2998}">
            <x14:dataBar minLength="0" maxLength="100" border="1" gradient="0">
              <x14:cfvo type="num">
                <xm:f>0</xm:f>
              </x14:cfvo>
              <x14:cfvo type="num">
                <xm:f>1</xm:f>
              </x14:cfvo>
              <x14:borderColor theme="0"/>
              <x14:negativeFillColor rgb="FFFF0000"/>
              <x14:axisColor rgb="FF000000"/>
            </x14:dataBar>
          </x14:cfRule>
          <xm:sqref>BA388</xm:sqref>
        </x14:conditionalFormatting>
        <x14:conditionalFormatting xmlns:xm="http://schemas.microsoft.com/office/excel/2006/main">
          <x14:cfRule type="dataBar" id="{79F8CF50-DD1E-4DC5-A95A-D6FFF9E2E220}">
            <x14:dataBar minLength="0" maxLength="100" border="1" gradient="0">
              <x14:cfvo type="num">
                <xm:f>0</xm:f>
              </x14:cfvo>
              <x14:cfvo type="num">
                <xm:f>1</xm:f>
              </x14:cfvo>
              <x14:borderColor theme="0"/>
              <x14:negativeFillColor rgb="FFFF0000"/>
              <x14:axisColor rgb="FF000000"/>
            </x14:dataBar>
          </x14:cfRule>
          <xm:sqref>BA390</xm:sqref>
        </x14:conditionalFormatting>
        <x14:conditionalFormatting xmlns:xm="http://schemas.microsoft.com/office/excel/2006/main">
          <x14:cfRule type="dataBar" id="{2C98CBB9-0293-493A-AD04-87D0E5619ED4}">
            <x14:dataBar minLength="0" maxLength="100" border="1" gradient="0">
              <x14:cfvo type="num">
                <xm:f>0</xm:f>
              </x14:cfvo>
              <x14:cfvo type="num">
                <xm:f>1</xm:f>
              </x14:cfvo>
              <x14:borderColor theme="0"/>
              <x14:negativeFillColor rgb="FFFF0000"/>
              <x14:axisColor rgb="FF000000"/>
            </x14:dataBar>
          </x14:cfRule>
          <xm:sqref>BA393</xm:sqref>
        </x14:conditionalFormatting>
        <x14:conditionalFormatting xmlns:xm="http://schemas.microsoft.com/office/excel/2006/main">
          <x14:cfRule type="dataBar" id="{EF35EA4B-91FD-42BB-B3A5-E7DDDEE92697}">
            <x14:dataBar minLength="0" maxLength="100" border="1" gradient="0">
              <x14:cfvo type="num">
                <xm:f>0</xm:f>
              </x14:cfvo>
              <x14:cfvo type="num">
                <xm:f>1</xm:f>
              </x14:cfvo>
              <x14:borderColor theme="0"/>
              <x14:negativeFillColor rgb="FFFF0000"/>
              <x14:axisColor rgb="FF000000"/>
            </x14:dataBar>
          </x14:cfRule>
          <xm:sqref>BA395</xm:sqref>
        </x14:conditionalFormatting>
        <x14:conditionalFormatting xmlns:xm="http://schemas.microsoft.com/office/excel/2006/main">
          <x14:cfRule type="dataBar" id="{5D60477C-1DA9-462F-82E6-EB8F0E8DAF7A}">
            <x14:dataBar minLength="0" maxLength="100" border="1" gradient="0">
              <x14:cfvo type="num">
                <xm:f>0</xm:f>
              </x14:cfvo>
              <x14:cfvo type="num">
                <xm:f>1</xm:f>
              </x14:cfvo>
              <x14:borderColor theme="0"/>
              <x14:negativeFillColor rgb="FFFF0000"/>
              <x14:axisColor rgb="FF000000"/>
            </x14:dataBar>
          </x14:cfRule>
          <xm:sqref>BA397</xm:sqref>
        </x14:conditionalFormatting>
        <x14:conditionalFormatting xmlns:xm="http://schemas.microsoft.com/office/excel/2006/main">
          <x14:cfRule type="dataBar" id="{07F2CEAE-D8D9-40CB-80AF-5AB2BA7381D5}">
            <x14:dataBar minLength="0" maxLength="100" border="1" gradient="0">
              <x14:cfvo type="num">
                <xm:f>0</xm:f>
              </x14:cfvo>
              <x14:cfvo type="num">
                <xm:f>1</xm:f>
              </x14:cfvo>
              <x14:borderColor theme="0"/>
              <x14:negativeFillColor rgb="FFFF0000"/>
              <x14:axisColor rgb="FF000000"/>
            </x14:dataBar>
          </x14:cfRule>
          <xm:sqref>BA399</xm:sqref>
        </x14:conditionalFormatting>
        <x14:conditionalFormatting xmlns:xm="http://schemas.microsoft.com/office/excel/2006/main">
          <x14:cfRule type="dataBar" id="{09C30960-1E70-49E4-9EFF-60CA8A768A4A}">
            <x14:dataBar minLength="0" maxLength="100" border="1" gradient="0">
              <x14:cfvo type="num">
                <xm:f>0</xm:f>
              </x14:cfvo>
              <x14:cfvo type="num">
                <xm:f>1</xm:f>
              </x14:cfvo>
              <x14:borderColor theme="0"/>
              <x14:negativeFillColor rgb="FFFF0000"/>
              <x14:axisColor rgb="FF000000"/>
            </x14:dataBar>
          </x14:cfRule>
          <xm:sqref>BA401</xm:sqref>
        </x14:conditionalFormatting>
        <x14:conditionalFormatting xmlns:xm="http://schemas.microsoft.com/office/excel/2006/main">
          <x14:cfRule type="dataBar" id="{5ED936CA-94FA-45D9-9CEC-AFE6EBAFD9A4}">
            <x14:dataBar minLength="0" maxLength="100" border="1" gradient="0">
              <x14:cfvo type="num">
                <xm:f>0</xm:f>
              </x14:cfvo>
              <x14:cfvo type="num">
                <xm:f>1</xm:f>
              </x14:cfvo>
              <x14:borderColor theme="0"/>
              <x14:negativeFillColor rgb="FFFF0000"/>
              <x14:axisColor rgb="FF000000"/>
            </x14:dataBar>
          </x14:cfRule>
          <xm:sqref>BA403</xm:sqref>
        </x14:conditionalFormatting>
        <x14:conditionalFormatting xmlns:xm="http://schemas.microsoft.com/office/excel/2006/main">
          <x14:cfRule type="dataBar" id="{76CD46CF-1F19-4F77-8B4D-8AE3D000F084}">
            <x14:dataBar minLength="0" maxLength="100" border="1" gradient="0">
              <x14:cfvo type="num">
                <xm:f>0</xm:f>
              </x14:cfvo>
              <x14:cfvo type="num">
                <xm:f>1</xm:f>
              </x14:cfvo>
              <x14:borderColor theme="0"/>
              <x14:negativeFillColor rgb="FFFF0000"/>
              <x14:axisColor rgb="FF000000"/>
            </x14:dataBar>
          </x14:cfRule>
          <xm:sqref>BA405</xm:sqref>
        </x14:conditionalFormatting>
        <x14:conditionalFormatting xmlns:xm="http://schemas.microsoft.com/office/excel/2006/main">
          <x14:cfRule type="dataBar" id="{C0F17FD1-0870-4454-BAA2-B7E0F8EC0E8A}">
            <x14:dataBar minLength="0" maxLength="100" border="1" gradient="0">
              <x14:cfvo type="num">
                <xm:f>0</xm:f>
              </x14:cfvo>
              <x14:cfvo type="num">
                <xm:f>1</xm:f>
              </x14:cfvo>
              <x14:borderColor theme="0"/>
              <x14:negativeFillColor rgb="FFFF0000"/>
              <x14:axisColor rgb="FF000000"/>
            </x14:dataBar>
          </x14:cfRule>
          <xm:sqref>BA407</xm:sqref>
        </x14:conditionalFormatting>
        <x14:conditionalFormatting xmlns:xm="http://schemas.microsoft.com/office/excel/2006/main">
          <x14:cfRule type="dataBar" id="{C9FA2919-D346-412A-88A0-7FF74DB2D74D}">
            <x14:dataBar minLength="0" maxLength="100" border="1" gradient="0">
              <x14:cfvo type="num">
                <xm:f>0</xm:f>
              </x14:cfvo>
              <x14:cfvo type="num">
                <xm:f>1</xm:f>
              </x14:cfvo>
              <x14:borderColor theme="0"/>
              <x14:negativeFillColor rgb="FFFF0000"/>
              <x14:axisColor rgb="FF000000"/>
            </x14:dataBar>
          </x14:cfRule>
          <xm:sqref>BA409</xm:sqref>
        </x14:conditionalFormatting>
        <x14:conditionalFormatting xmlns:xm="http://schemas.microsoft.com/office/excel/2006/main">
          <x14:cfRule type="dataBar" id="{3FE2AAD8-FB89-4EDC-9B7E-135421F37CFB}">
            <x14:dataBar minLength="0" maxLength="100" border="1" gradient="0">
              <x14:cfvo type="num">
                <xm:f>0</xm:f>
              </x14:cfvo>
              <x14:cfvo type="num">
                <xm:f>1</xm:f>
              </x14:cfvo>
              <x14:borderColor theme="0"/>
              <x14:negativeFillColor rgb="FFFF0000"/>
              <x14:axisColor rgb="FF000000"/>
            </x14:dataBar>
          </x14:cfRule>
          <xm:sqref>BA411</xm:sqref>
        </x14:conditionalFormatting>
        <x14:conditionalFormatting xmlns:xm="http://schemas.microsoft.com/office/excel/2006/main">
          <x14:cfRule type="dataBar" id="{5518387A-43DC-42B9-B9A6-F86A35E3CB24}">
            <x14:dataBar minLength="0" maxLength="100" border="1" gradient="0">
              <x14:cfvo type="num">
                <xm:f>0</xm:f>
              </x14:cfvo>
              <x14:cfvo type="num">
                <xm:f>1</xm:f>
              </x14:cfvo>
              <x14:borderColor theme="0"/>
              <x14:negativeFillColor rgb="FFFF0000"/>
              <x14:axisColor rgb="FF000000"/>
            </x14:dataBar>
          </x14:cfRule>
          <xm:sqref>BA413</xm:sqref>
        </x14:conditionalFormatting>
        <x14:conditionalFormatting xmlns:xm="http://schemas.microsoft.com/office/excel/2006/main">
          <x14:cfRule type="dataBar" id="{B3162320-B49D-4A6E-A394-545C02898A47}">
            <x14:dataBar minLength="0" maxLength="100" border="1" gradient="0">
              <x14:cfvo type="num">
                <xm:f>0</xm:f>
              </x14:cfvo>
              <x14:cfvo type="num">
                <xm:f>1</xm:f>
              </x14:cfvo>
              <x14:borderColor theme="0"/>
              <x14:negativeFillColor rgb="FFFF0000"/>
              <x14:axisColor rgb="FF000000"/>
            </x14:dataBar>
          </x14:cfRule>
          <xm:sqref>BA415</xm:sqref>
        </x14:conditionalFormatting>
        <x14:conditionalFormatting xmlns:xm="http://schemas.microsoft.com/office/excel/2006/main">
          <x14:cfRule type="dataBar" id="{FD0ED1AB-F3D9-4239-9196-BAD88598C0F4}">
            <x14:dataBar minLength="0" maxLength="100" border="1" gradient="0">
              <x14:cfvo type="num">
                <xm:f>0</xm:f>
              </x14:cfvo>
              <x14:cfvo type="num">
                <xm:f>1</xm:f>
              </x14:cfvo>
              <x14:borderColor theme="0"/>
              <x14:negativeFillColor rgb="FFFF0000"/>
              <x14:axisColor rgb="FF000000"/>
            </x14:dataBar>
          </x14:cfRule>
          <xm:sqref>BA417</xm:sqref>
        </x14:conditionalFormatting>
        <x14:conditionalFormatting xmlns:xm="http://schemas.microsoft.com/office/excel/2006/main">
          <x14:cfRule type="dataBar" id="{F069C65F-07DD-42DA-88DC-DD355290A5A8}">
            <x14:dataBar minLength="0" maxLength="100" border="1" gradient="0">
              <x14:cfvo type="num">
                <xm:f>0</xm:f>
              </x14:cfvo>
              <x14:cfvo type="num">
                <xm:f>1</xm:f>
              </x14:cfvo>
              <x14:borderColor theme="0"/>
              <x14:negativeFillColor rgb="FFFF0000"/>
              <x14:axisColor rgb="FF000000"/>
            </x14:dataBar>
          </x14:cfRule>
          <xm:sqref>BA419</xm:sqref>
        </x14:conditionalFormatting>
        <x14:conditionalFormatting xmlns:xm="http://schemas.microsoft.com/office/excel/2006/main">
          <x14:cfRule type="dataBar" id="{99F51470-C0A0-471B-BF55-5D2420B5100D}">
            <x14:dataBar minLength="0" maxLength="100" border="1" gradient="0">
              <x14:cfvo type="num">
                <xm:f>0</xm:f>
              </x14:cfvo>
              <x14:cfvo type="num">
                <xm:f>1</xm:f>
              </x14:cfvo>
              <x14:borderColor theme="0"/>
              <x14:negativeFillColor rgb="FFFF0000"/>
              <x14:axisColor rgb="FF000000"/>
            </x14:dataBar>
          </x14:cfRule>
          <xm:sqref>BA421</xm:sqref>
        </x14:conditionalFormatting>
        <x14:conditionalFormatting xmlns:xm="http://schemas.microsoft.com/office/excel/2006/main">
          <x14:cfRule type="dataBar" id="{B808005F-F486-419C-AC82-6EC20F6580C0}">
            <x14:dataBar minLength="0" maxLength="100" border="1" gradient="0">
              <x14:cfvo type="num">
                <xm:f>0</xm:f>
              </x14:cfvo>
              <x14:cfvo type="num">
                <xm:f>1</xm:f>
              </x14:cfvo>
              <x14:borderColor theme="0"/>
              <x14:negativeFillColor rgb="FFFF0000"/>
              <x14:axisColor rgb="FF000000"/>
            </x14:dataBar>
          </x14:cfRule>
          <xm:sqref>BA423</xm:sqref>
        </x14:conditionalFormatting>
        <x14:conditionalFormatting xmlns:xm="http://schemas.microsoft.com/office/excel/2006/main">
          <x14:cfRule type="dataBar" id="{388E7563-B054-4960-AF8F-11DE9E320C13}">
            <x14:dataBar minLength="0" maxLength="100" border="1" gradient="0">
              <x14:cfvo type="num">
                <xm:f>0</xm:f>
              </x14:cfvo>
              <x14:cfvo type="num">
                <xm:f>1</xm:f>
              </x14:cfvo>
              <x14:borderColor theme="0"/>
              <x14:negativeFillColor rgb="FFFF0000"/>
              <x14:axisColor rgb="FF000000"/>
            </x14:dataBar>
          </x14:cfRule>
          <xm:sqref>BA425</xm:sqref>
        </x14:conditionalFormatting>
        <x14:conditionalFormatting xmlns:xm="http://schemas.microsoft.com/office/excel/2006/main">
          <x14:cfRule type="dataBar" id="{8070AA02-3559-40AF-B633-FB7B79995C9C}">
            <x14:dataBar minLength="0" maxLength="100" border="1" gradient="0">
              <x14:cfvo type="num">
                <xm:f>0</xm:f>
              </x14:cfvo>
              <x14:cfvo type="num">
                <xm:f>1</xm:f>
              </x14:cfvo>
              <x14:borderColor theme="0"/>
              <x14:negativeFillColor rgb="FFFF0000"/>
              <x14:axisColor rgb="FF000000"/>
            </x14:dataBar>
          </x14:cfRule>
          <xm:sqref>BA428</xm:sqref>
        </x14:conditionalFormatting>
        <x14:conditionalFormatting xmlns:xm="http://schemas.microsoft.com/office/excel/2006/main">
          <x14:cfRule type="dataBar" id="{85855DBD-526D-4722-83B4-967AE79D9818}">
            <x14:dataBar minLength="0" maxLength="100" border="1" gradient="0">
              <x14:cfvo type="num">
                <xm:f>0</xm:f>
              </x14:cfvo>
              <x14:cfvo type="num">
                <xm:f>1</xm:f>
              </x14:cfvo>
              <x14:borderColor theme="0"/>
              <x14:negativeFillColor rgb="FFFF0000"/>
              <x14:axisColor rgb="FF000000"/>
            </x14:dataBar>
          </x14:cfRule>
          <xm:sqref>BA430</xm:sqref>
        </x14:conditionalFormatting>
        <x14:conditionalFormatting xmlns:xm="http://schemas.microsoft.com/office/excel/2006/main">
          <x14:cfRule type="dataBar" id="{0A7CEBB5-3D22-401A-B806-1EFDED704247}">
            <x14:dataBar minLength="0" maxLength="100" border="1" gradient="0">
              <x14:cfvo type="num">
                <xm:f>0</xm:f>
              </x14:cfvo>
              <x14:cfvo type="num">
                <xm:f>1</xm:f>
              </x14:cfvo>
              <x14:borderColor theme="0"/>
              <x14:negativeFillColor rgb="FFFF0000"/>
              <x14:axisColor rgb="FF000000"/>
            </x14:dataBar>
          </x14:cfRule>
          <xm:sqref>BA432</xm:sqref>
        </x14:conditionalFormatting>
        <x14:conditionalFormatting xmlns:xm="http://schemas.microsoft.com/office/excel/2006/main">
          <x14:cfRule type="dataBar" id="{50204CF5-AE94-4BA6-95B0-139DE9D822D7}">
            <x14:dataBar minLength="0" maxLength="100" border="1" gradient="0">
              <x14:cfvo type="num">
                <xm:f>0</xm:f>
              </x14:cfvo>
              <x14:cfvo type="num">
                <xm:f>1</xm:f>
              </x14:cfvo>
              <x14:borderColor theme="0"/>
              <x14:negativeFillColor rgb="FFFF0000"/>
              <x14:axisColor rgb="FF000000"/>
            </x14:dataBar>
          </x14:cfRule>
          <xm:sqref>BA434</xm:sqref>
        </x14:conditionalFormatting>
        <x14:conditionalFormatting xmlns:xm="http://schemas.microsoft.com/office/excel/2006/main">
          <x14:cfRule type="dataBar" id="{A82F46C2-7D4A-46CB-88E6-89420FE3D7B2}">
            <x14:dataBar minLength="0" maxLength="100" border="1" gradient="0">
              <x14:cfvo type="num">
                <xm:f>0</xm:f>
              </x14:cfvo>
              <x14:cfvo type="num">
                <xm:f>1</xm:f>
              </x14:cfvo>
              <x14:borderColor theme="0"/>
              <x14:negativeFillColor rgb="FFFF0000"/>
              <x14:axisColor rgb="FF000000"/>
            </x14:dataBar>
          </x14:cfRule>
          <xm:sqref>BA436</xm:sqref>
        </x14:conditionalFormatting>
        <x14:conditionalFormatting xmlns:xm="http://schemas.microsoft.com/office/excel/2006/main">
          <x14:cfRule type="dataBar" id="{60980A14-EC3F-4452-9DFC-0C491C8638BA}">
            <x14:dataBar minLength="0" maxLength="100" border="1" gradient="0">
              <x14:cfvo type="num">
                <xm:f>0</xm:f>
              </x14:cfvo>
              <x14:cfvo type="num">
                <xm:f>1</xm:f>
              </x14:cfvo>
              <x14:borderColor theme="0"/>
              <x14:negativeFillColor rgb="FFFF0000"/>
              <x14:axisColor rgb="FF000000"/>
            </x14:dataBar>
          </x14:cfRule>
          <xm:sqref>BA438</xm:sqref>
        </x14:conditionalFormatting>
        <x14:conditionalFormatting xmlns:xm="http://schemas.microsoft.com/office/excel/2006/main">
          <x14:cfRule type="dataBar" id="{BEA075D8-8430-411E-820E-65DAD98E9A79}">
            <x14:dataBar minLength="0" maxLength="100" border="1" gradient="0">
              <x14:cfvo type="num">
                <xm:f>0</xm:f>
              </x14:cfvo>
              <x14:cfvo type="num">
                <xm:f>1</xm:f>
              </x14:cfvo>
              <x14:borderColor theme="0"/>
              <x14:negativeFillColor rgb="FFFF0000"/>
              <x14:axisColor rgb="FF000000"/>
            </x14:dataBar>
          </x14:cfRule>
          <xm:sqref>BA440</xm:sqref>
        </x14:conditionalFormatting>
        <x14:conditionalFormatting xmlns:xm="http://schemas.microsoft.com/office/excel/2006/main">
          <x14:cfRule type="dataBar" id="{592619F1-32CB-4731-86FB-EABFA0534110}">
            <x14:dataBar minLength="0" maxLength="100" border="1" gradient="0">
              <x14:cfvo type="num">
                <xm:f>0</xm:f>
              </x14:cfvo>
              <x14:cfvo type="num">
                <xm:f>1</xm:f>
              </x14:cfvo>
              <x14:borderColor theme="0"/>
              <x14:negativeFillColor rgb="FFFF0000"/>
              <x14:axisColor rgb="FF000000"/>
            </x14:dataBar>
          </x14:cfRule>
          <xm:sqref>BA442</xm:sqref>
        </x14:conditionalFormatting>
        <x14:conditionalFormatting xmlns:xm="http://schemas.microsoft.com/office/excel/2006/main">
          <x14:cfRule type="dataBar" id="{1628C229-3991-41EA-8631-78650AFB7939}">
            <x14:dataBar minLength="0" maxLength="100" border="1" gradient="0">
              <x14:cfvo type="num">
                <xm:f>0</xm:f>
              </x14:cfvo>
              <x14:cfvo type="num">
                <xm:f>1</xm:f>
              </x14:cfvo>
              <x14:borderColor theme="0"/>
              <x14:negativeFillColor rgb="FFFF0000"/>
              <x14:axisColor rgb="FF000000"/>
            </x14:dataBar>
          </x14:cfRule>
          <xm:sqref>BA444</xm:sqref>
        </x14:conditionalFormatting>
        <x14:conditionalFormatting xmlns:xm="http://schemas.microsoft.com/office/excel/2006/main">
          <x14:cfRule type="dataBar" id="{96115358-48CB-46BC-913B-8444C9496BB6}">
            <x14:dataBar minLength="0" maxLength="100" border="1" gradient="0">
              <x14:cfvo type="num">
                <xm:f>0</xm:f>
              </x14:cfvo>
              <x14:cfvo type="num">
                <xm:f>1</xm:f>
              </x14:cfvo>
              <x14:borderColor theme="0"/>
              <x14:negativeFillColor rgb="FFFF0000"/>
              <x14:axisColor rgb="FF000000"/>
            </x14:dataBar>
          </x14:cfRule>
          <xm:sqref>BA446</xm:sqref>
        </x14:conditionalFormatting>
        <x14:conditionalFormatting xmlns:xm="http://schemas.microsoft.com/office/excel/2006/main">
          <x14:cfRule type="dataBar" id="{FE0CA5E6-3394-4920-B200-67D533D7D69C}">
            <x14:dataBar minLength="0" maxLength="100" border="1" gradient="0">
              <x14:cfvo type="num">
                <xm:f>0</xm:f>
              </x14:cfvo>
              <x14:cfvo type="num">
                <xm:f>1</xm:f>
              </x14:cfvo>
              <x14:borderColor theme="0"/>
              <x14:negativeFillColor rgb="FFFF0000"/>
              <x14:axisColor rgb="FF000000"/>
            </x14:dataBar>
          </x14:cfRule>
          <xm:sqref>BA448</xm:sqref>
        </x14:conditionalFormatting>
        <x14:conditionalFormatting xmlns:xm="http://schemas.microsoft.com/office/excel/2006/main">
          <x14:cfRule type="dataBar" id="{031A2C0D-34A9-4552-9EC8-C90E13B97B38}">
            <x14:dataBar minLength="0" maxLength="100" border="1" gradient="0">
              <x14:cfvo type="num">
                <xm:f>0</xm:f>
              </x14:cfvo>
              <x14:cfvo type="num">
                <xm:f>1</xm:f>
              </x14:cfvo>
              <x14:borderColor theme="0"/>
              <x14:negativeFillColor rgb="FFFF0000"/>
              <x14:axisColor rgb="FF000000"/>
            </x14:dataBar>
          </x14:cfRule>
          <xm:sqref>BA450</xm:sqref>
        </x14:conditionalFormatting>
        <x14:conditionalFormatting xmlns:xm="http://schemas.microsoft.com/office/excel/2006/main">
          <x14:cfRule type="dataBar" id="{5B36EF5F-587D-4827-A61E-4AA72838A1FE}">
            <x14:dataBar minLength="0" maxLength="100" border="1" gradient="0">
              <x14:cfvo type="num">
                <xm:f>0</xm:f>
              </x14:cfvo>
              <x14:cfvo type="num">
                <xm:f>1</xm:f>
              </x14:cfvo>
              <x14:borderColor theme="0"/>
              <x14:negativeFillColor rgb="FFFF0000"/>
              <x14:axisColor rgb="FF000000"/>
            </x14:dataBar>
          </x14:cfRule>
          <xm:sqref>BA452</xm:sqref>
        </x14:conditionalFormatting>
        <x14:conditionalFormatting xmlns:xm="http://schemas.microsoft.com/office/excel/2006/main">
          <x14:cfRule type="dataBar" id="{DD333C2A-5655-4B55-80B3-0CABDD7FF4B2}">
            <x14:dataBar minLength="0" maxLength="100" border="1" gradient="0">
              <x14:cfvo type="num">
                <xm:f>0</xm:f>
              </x14:cfvo>
              <x14:cfvo type="num">
                <xm:f>1</xm:f>
              </x14:cfvo>
              <x14:borderColor theme="0"/>
              <x14:negativeFillColor rgb="FFFF0000"/>
              <x14:axisColor rgb="FF000000"/>
            </x14:dataBar>
          </x14:cfRule>
          <xm:sqref>BA454</xm:sqref>
        </x14:conditionalFormatting>
        <x14:conditionalFormatting xmlns:xm="http://schemas.microsoft.com/office/excel/2006/main">
          <x14:cfRule type="dataBar" id="{B0D7D7E9-7A03-43D4-A431-8AA2E4C25D7C}">
            <x14:dataBar minLength="0" maxLength="100" border="1" gradient="0">
              <x14:cfvo type="num">
                <xm:f>0</xm:f>
              </x14:cfvo>
              <x14:cfvo type="num">
                <xm:f>1</xm:f>
              </x14:cfvo>
              <x14:borderColor theme="0"/>
              <x14:negativeFillColor rgb="FFFF0000"/>
              <x14:axisColor rgb="FF000000"/>
            </x14:dataBar>
          </x14:cfRule>
          <xm:sqref>BA456</xm:sqref>
        </x14:conditionalFormatting>
        <x14:conditionalFormatting xmlns:xm="http://schemas.microsoft.com/office/excel/2006/main">
          <x14:cfRule type="dataBar" id="{F98A27F4-402A-4BA5-B404-DE12934D325B}">
            <x14:dataBar minLength="0" maxLength="100" border="1" gradient="0">
              <x14:cfvo type="num">
                <xm:f>0</xm:f>
              </x14:cfvo>
              <x14:cfvo type="num">
                <xm:f>1</xm:f>
              </x14:cfvo>
              <x14:borderColor theme="0"/>
              <x14:negativeFillColor rgb="FFFF0000"/>
              <x14:axisColor rgb="FF000000"/>
            </x14:dataBar>
          </x14:cfRule>
          <xm:sqref>BA458</xm:sqref>
        </x14:conditionalFormatting>
        <x14:conditionalFormatting xmlns:xm="http://schemas.microsoft.com/office/excel/2006/main">
          <x14:cfRule type="dataBar" id="{A0F2067B-56C6-441C-9602-340FD782A6B7}">
            <x14:dataBar minLength="0" maxLength="100" border="1" gradient="0">
              <x14:cfvo type="num">
                <xm:f>0</xm:f>
              </x14:cfvo>
              <x14:cfvo type="num">
                <xm:f>1</xm:f>
              </x14:cfvo>
              <x14:borderColor theme="0"/>
              <x14:negativeFillColor rgb="FFFF0000"/>
              <x14:axisColor rgb="FF000000"/>
            </x14:dataBar>
          </x14:cfRule>
          <xm:sqref>BA460</xm:sqref>
        </x14:conditionalFormatting>
        <x14:conditionalFormatting xmlns:xm="http://schemas.microsoft.com/office/excel/2006/main">
          <x14:cfRule type="dataBar" id="{B459A9AC-0A94-43C0-A61D-8C727236FFA5}">
            <x14:dataBar minLength="0" maxLength="100" border="1" gradient="0">
              <x14:cfvo type="num">
                <xm:f>0</xm:f>
              </x14:cfvo>
              <x14:cfvo type="num">
                <xm:f>1</xm:f>
              </x14:cfvo>
              <x14:borderColor theme="0"/>
              <x14:negativeFillColor rgb="FFFF0000"/>
              <x14:axisColor rgb="FF000000"/>
            </x14:dataBar>
          </x14:cfRule>
          <xm:sqref>BA462</xm:sqref>
        </x14:conditionalFormatting>
        <x14:conditionalFormatting xmlns:xm="http://schemas.microsoft.com/office/excel/2006/main">
          <x14:cfRule type="dataBar" id="{AA030445-60E1-446E-89D9-7D66EC6DAE09}">
            <x14:dataBar minLength="0" maxLength="100" border="1" gradient="0">
              <x14:cfvo type="num">
                <xm:f>0</xm:f>
              </x14:cfvo>
              <x14:cfvo type="num">
                <xm:f>1</xm:f>
              </x14:cfvo>
              <x14:borderColor theme="0"/>
              <x14:negativeFillColor rgb="FFFF0000"/>
              <x14:axisColor rgb="FF000000"/>
            </x14:dataBar>
          </x14:cfRule>
          <xm:sqref>BA464</xm:sqref>
        </x14:conditionalFormatting>
        <x14:conditionalFormatting xmlns:xm="http://schemas.microsoft.com/office/excel/2006/main">
          <x14:cfRule type="dataBar" id="{E9050BC9-8D17-436C-ACA5-6CD59C7BA7D9}">
            <x14:dataBar minLength="0" maxLength="100" border="1" gradient="0">
              <x14:cfvo type="num">
                <xm:f>0</xm:f>
              </x14:cfvo>
              <x14:cfvo type="num">
                <xm:f>1</xm:f>
              </x14:cfvo>
              <x14:borderColor theme="0"/>
              <x14:negativeFillColor rgb="FFFF0000"/>
              <x14:axisColor rgb="FF000000"/>
            </x14:dataBar>
          </x14:cfRule>
          <xm:sqref>BA466</xm:sqref>
        </x14:conditionalFormatting>
        <x14:conditionalFormatting xmlns:xm="http://schemas.microsoft.com/office/excel/2006/main">
          <x14:cfRule type="dataBar" id="{453602E5-CE1B-4251-8990-B0AB68E208FC}">
            <x14:dataBar minLength="0" maxLength="100" border="1" gradient="0">
              <x14:cfvo type="num">
                <xm:f>0</xm:f>
              </x14:cfvo>
              <x14:cfvo type="num">
                <xm:f>1</xm:f>
              </x14:cfvo>
              <x14:borderColor theme="0"/>
              <x14:negativeFillColor rgb="FFFF0000"/>
              <x14:axisColor rgb="FF000000"/>
            </x14:dataBar>
          </x14:cfRule>
          <xm:sqref>BA468</xm:sqref>
        </x14:conditionalFormatting>
        <x14:conditionalFormatting xmlns:xm="http://schemas.microsoft.com/office/excel/2006/main">
          <x14:cfRule type="dataBar" id="{2EA4FC29-FFAA-47E4-A1F1-36DAFDCEDF57}">
            <x14:dataBar minLength="0" maxLength="100" border="1" gradient="0">
              <x14:cfvo type="num">
                <xm:f>0</xm:f>
              </x14:cfvo>
              <x14:cfvo type="num">
                <xm:f>1</xm:f>
              </x14:cfvo>
              <x14:borderColor theme="0"/>
              <x14:negativeFillColor rgb="FFFF0000"/>
              <x14:axisColor rgb="FF000000"/>
            </x14:dataBar>
          </x14:cfRule>
          <xm:sqref>BA470</xm:sqref>
        </x14:conditionalFormatting>
        <x14:conditionalFormatting xmlns:xm="http://schemas.microsoft.com/office/excel/2006/main">
          <x14:cfRule type="dataBar" id="{AABCD498-D9EB-4926-97D4-E4E47ABAEF7A}">
            <x14:dataBar minLength="0" maxLength="100" border="1" gradient="0">
              <x14:cfvo type="num">
                <xm:f>0</xm:f>
              </x14:cfvo>
              <x14:cfvo type="num">
                <xm:f>1</xm:f>
              </x14:cfvo>
              <x14:borderColor theme="0"/>
              <x14:negativeFillColor rgb="FFFF0000"/>
              <x14:axisColor rgb="FF000000"/>
            </x14:dataBar>
          </x14:cfRule>
          <xm:sqref>BA472</xm:sqref>
        </x14:conditionalFormatting>
        <x14:conditionalFormatting xmlns:xm="http://schemas.microsoft.com/office/excel/2006/main">
          <x14:cfRule type="dataBar" id="{340AE7DB-8A9C-4295-9379-CC9116AE8C24}">
            <x14:dataBar minLength="0" maxLength="100" border="1" gradient="0">
              <x14:cfvo type="num">
                <xm:f>0</xm:f>
              </x14:cfvo>
              <x14:cfvo type="num">
                <xm:f>1</xm:f>
              </x14:cfvo>
              <x14:borderColor theme="0"/>
              <x14:negativeFillColor rgb="FFFF0000"/>
              <x14:axisColor rgb="FF000000"/>
            </x14:dataBar>
          </x14:cfRule>
          <xm:sqref>BA474</xm:sqref>
        </x14:conditionalFormatting>
        <x14:conditionalFormatting xmlns:xm="http://schemas.microsoft.com/office/excel/2006/main">
          <x14:cfRule type="dataBar" id="{A1D58131-1654-4C15-B219-304AF1875DD8}">
            <x14:dataBar minLength="0" maxLength="100" border="1" gradient="0">
              <x14:cfvo type="num">
                <xm:f>0</xm:f>
              </x14:cfvo>
              <x14:cfvo type="num">
                <xm:f>1</xm:f>
              </x14:cfvo>
              <x14:borderColor theme="0"/>
              <x14:negativeFillColor rgb="FFFF0000"/>
              <x14:axisColor rgb="FF000000"/>
            </x14:dataBar>
          </x14:cfRule>
          <xm:sqref>BA476</xm:sqref>
        </x14:conditionalFormatting>
        <x14:conditionalFormatting xmlns:xm="http://schemas.microsoft.com/office/excel/2006/main">
          <x14:cfRule type="dataBar" id="{A6D02944-5DD5-4EED-9BF7-DEB9855F4178}">
            <x14:dataBar minLength="0" maxLength="100" border="1" gradient="0">
              <x14:cfvo type="num">
                <xm:f>0</xm:f>
              </x14:cfvo>
              <x14:cfvo type="num">
                <xm:f>1</xm:f>
              </x14:cfvo>
              <x14:borderColor theme="0"/>
              <x14:negativeFillColor rgb="FFFF0000"/>
              <x14:axisColor rgb="FF000000"/>
            </x14:dataBar>
          </x14:cfRule>
          <xm:sqref>BA478</xm:sqref>
        </x14:conditionalFormatting>
        <x14:conditionalFormatting xmlns:xm="http://schemas.microsoft.com/office/excel/2006/main">
          <x14:cfRule type="dataBar" id="{D3C19C3B-8660-407A-95CB-33F0C23C926D}">
            <x14:dataBar minLength="0" maxLength="100" border="1" gradient="0">
              <x14:cfvo type="num">
                <xm:f>0</xm:f>
              </x14:cfvo>
              <x14:cfvo type="num">
                <xm:f>1</xm:f>
              </x14:cfvo>
              <x14:borderColor theme="0"/>
              <x14:negativeFillColor rgb="FFFF0000"/>
              <x14:axisColor rgb="FF000000"/>
            </x14:dataBar>
          </x14:cfRule>
          <xm:sqref>BA480</xm:sqref>
        </x14:conditionalFormatting>
        <x14:conditionalFormatting xmlns:xm="http://schemas.microsoft.com/office/excel/2006/main">
          <x14:cfRule type="dataBar" id="{00B8CCD9-925B-4180-98A0-9F5345B69EDB}">
            <x14:dataBar minLength="0" maxLength="100" border="1" gradient="0">
              <x14:cfvo type="num">
                <xm:f>0</xm:f>
              </x14:cfvo>
              <x14:cfvo type="num">
                <xm:f>1</xm:f>
              </x14:cfvo>
              <x14:borderColor theme="0"/>
              <x14:negativeFillColor rgb="FFFF0000"/>
              <x14:axisColor rgb="FF000000"/>
            </x14:dataBar>
          </x14:cfRule>
          <xm:sqref>BA482</xm:sqref>
        </x14:conditionalFormatting>
        <x14:conditionalFormatting xmlns:xm="http://schemas.microsoft.com/office/excel/2006/main">
          <x14:cfRule type="dataBar" id="{2C5D9C87-68F3-4CEC-884B-188B27BE857A}">
            <x14:dataBar minLength="0" maxLength="100" border="1" gradient="0">
              <x14:cfvo type="num">
                <xm:f>0</xm:f>
              </x14:cfvo>
              <x14:cfvo type="num">
                <xm:f>1</xm:f>
              </x14:cfvo>
              <x14:borderColor theme="0"/>
              <x14:negativeFillColor rgb="FFFF0000"/>
              <x14:axisColor rgb="FF000000"/>
            </x14:dataBar>
          </x14:cfRule>
          <xm:sqref>BA484</xm:sqref>
        </x14:conditionalFormatting>
        <x14:conditionalFormatting xmlns:xm="http://schemas.microsoft.com/office/excel/2006/main">
          <x14:cfRule type="dataBar" id="{0636C396-6830-4543-B66C-68A713A61F18}">
            <x14:dataBar minLength="0" maxLength="100" border="1" gradient="0">
              <x14:cfvo type="num">
                <xm:f>0</xm:f>
              </x14:cfvo>
              <x14:cfvo type="num">
                <xm:f>1</xm:f>
              </x14:cfvo>
              <x14:borderColor theme="0"/>
              <x14:negativeFillColor rgb="FFFF0000"/>
              <x14:axisColor rgb="FF000000"/>
            </x14:dataBar>
          </x14:cfRule>
          <xm:sqref>BA486</xm:sqref>
        </x14:conditionalFormatting>
        <x14:conditionalFormatting xmlns:xm="http://schemas.microsoft.com/office/excel/2006/main">
          <x14:cfRule type="dataBar" id="{7AB5F21D-FAE4-4FC2-AEF9-C638B441A5DC}">
            <x14:dataBar minLength="0" maxLength="100" border="1" gradient="0">
              <x14:cfvo type="num">
                <xm:f>0</xm:f>
              </x14:cfvo>
              <x14:cfvo type="num">
                <xm:f>1</xm:f>
              </x14:cfvo>
              <x14:borderColor theme="0"/>
              <x14:negativeFillColor rgb="FFFF0000"/>
              <x14:axisColor rgb="FF000000"/>
            </x14:dataBar>
          </x14:cfRule>
          <xm:sqref>BA488</xm:sqref>
        </x14:conditionalFormatting>
        <x14:conditionalFormatting xmlns:xm="http://schemas.microsoft.com/office/excel/2006/main">
          <x14:cfRule type="dataBar" id="{52B82EFB-3AF8-4C86-BEA0-7C3A575B8F16}">
            <x14:dataBar minLength="0" maxLength="100" border="1" gradient="0">
              <x14:cfvo type="num">
                <xm:f>0</xm:f>
              </x14:cfvo>
              <x14:cfvo type="num">
                <xm:f>1</xm:f>
              </x14:cfvo>
              <x14:borderColor theme="0"/>
              <x14:negativeFillColor rgb="FFFF0000"/>
              <x14:axisColor rgb="FF000000"/>
            </x14:dataBar>
          </x14:cfRule>
          <xm:sqref>BA490</xm:sqref>
        </x14:conditionalFormatting>
        <x14:conditionalFormatting xmlns:xm="http://schemas.microsoft.com/office/excel/2006/main">
          <x14:cfRule type="dataBar" id="{1F20F9AB-E416-404C-A774-9956EE8F77B4}">
            <x14:dataBar minLength="0" maxLength="100" border="1" gradient="0">
              <x14:cfvo type="num">
                <xm:f>0</xm:f>
              </x14:cfvo>
              <x14:cfvo type="num">
                <xm:f>1</xm:f>
              </x14:cfvo>
              <x14:borderColor theme="0"/>
              <x14:negativeFillColor rgb="FFFF0000"/>
              <x14:axisColor rgb="FF000000"/>
            </x14:dataBar>
          </x14:cfRule>
          <xm:sqref>BA492</xm:sqref>
        </x14:conditionalFormatting>
        <x14:conditionalFormatting xmlns:xm="http://schemas.microsoft.com/office/excel/2006/main">
          <x14:cfRule type="dataBar" id="{C92B7800-AA03-4C68-A135-17CC64CBDC06}">
            <x14:dataBar minLength="0" maxLength="100" border="1" gradient="0">
              <x14:cfvo type="num">
                <xm:f>0</xm:f>
              </x14:cfvo>
              <x14:cfvo type="num">
                <xm:f>1</xm:f>
              </x14:cfvo>
              <x14:borderColor theme="0"/>
              <x14:negativeFillColor rgb="FFFF0000"/>
              <x14:axisColor rgb="FF000000"/>
            </x14:dataBar>
          </x14:cfRule>
          <xm:sqref>BA494</xm:sqref>
        </x14:conditionalFormatting>
        <x14:conditionalFormatting xmlns:xm="http://schemas.microsoft.com/office/excel/2006/main">
          <x14:cfRule type="dataBar" id="{F7FA26BE-CD05-458B-9CFF-81A4D0EF06F5}">
            <x14:dataBar minLength="0" maxLength="100" border="1" gradient="0">
              <x14:cfvo type="num">
                <xm:f>0</xm:f>
              </x14:cfvo>
              <x14:cfvo type="num">
                <xm:f>1</xm:f>
              </x14:cfvo>
              <x14:borderColor theme="0"/>
              <x14:negativeFillColor rgb="FFFF0000"/>
              <x14:axisColor rgb="FF000000"/>
            </x14:dataBar>
          </x14:cfRule>
          <xm:sqref>BA496</xm:sqref>
        </x14:conditionalFormatting>
        <x14:conditionalFormatting xmlns:xm="http://schemas.microsoft.com/office/excel/2006/main">
          <x14:cfRule type="dataBar" id="{5D75B412-1C93-4924-A38F-4AD10F29C776}">
            <x14:dataBar minLength="0" maxLength="100" border="1" gradient="0">
              <x14:cfvo type="num">
                <xm:f>0</xm:f>
              </x14:cfvo>
              <x14:cfvo type="num">
                <xm:f>1</xm:f>
              </x14:cfvo>
              <x14:borderColor theme="0"/>
              <x14:negativeFillColor rgb="FFFF0000"/>
              <x14:axisColor rgb="FF000000"/>
            </x14:dataBar>
          </x14:cfRule>
          <xm:sqref>BA498</xm:sqref>
        </x14:conditionalFormatting>
        <x14:conditionalFormatting xmlns:xm="http://schemas.microsoft.com/office/excel/2006/main">
          <x14:cfRule type="dataBar" id="{EF95BD91-2889-47F7-9C5D-236692D3C907}">
            <x14:dataBar minLength="0" maxLength="100" border="1" gradient="0">
              <x14:cfvo type="num">
                <xm:f>0</xm:f>
              </x14:cfvo>
              <x14:cfvo type="num">
                <xm:f>1</xm:f>
              </x14:cfvo>
              <x14:borderColor theme="0"/>
              <x14:negativeFillColor rgb="FFFF0000"/>
              <x14:axisColor rgb="FF000000"/>
            </x14:dataBar>
          </x14:cfRule>
          <xm:sqref>BA500</xm:sqref>
        </x14:conditionalFormatting>
        <x14:conditionalFormatting xmlns:xm="http://schemas.microsoft.com/office/excel/2006/main">
          <x14:cfRule type="dataBar" id="{72786E9F-1E3D-4B37-A83C-B4FEA8762453}">
            <x14:dataBar minLength="0" maxLength="100" border="1" gradient="0">
              <x14:cfvo type="num">
                <xm:f>0</xm:f>
              </x14:cfvo>
              <x14:cfvo type="num">
                <xm:f>1</xm:f>
              </x14:cfvo>
              <x14:borderColor theme="0"/>
              <x14:negativeFillColor rgb="FFFF0000"/>
              <x14:axisColor rgb="FF000000"/>
            </x14:dataBar>
          </x14:cfRule>
          <xm:sqref>BA502</xm:sqref>
        </x14:conditionalFormatting>
        <x14:conditionalFormatting xmlns:xm="http://schemas.microsoft.com/office/excel/2006/main">
          <x14:cfRule type="dataBar" id="{9F645758-B7B4-43CB-A79A-2F04C4C9D5C8}">
            <x14:dataBar minLength="0" maxLength="100" border="1" gradient="0">
              <x14:cfvo type="num">
                <xm:f>0</xm:f>
              </x14:cfvo>
              <x14:cfvo type="num">
                <xm:f>1</xm:f>
              </x14:cfvo>
              <x14:borderColor theme="0"/>
              <x14:negativeFillColor rgb="FFFF0000"/>
              <x14:axisColor rgb="FF000000"/>
            </x14:dataBar>
          </x14:cfRule>
          <xm:sqref>BA504</xm:sqref>
        </x14:conditionalFormatting>
        <x14:conditionalFormatting xmlns:xm="http://schemas.microsoft.com/office/excel/2006/main">
          <x14:cfRule type="dataBar" id="{EF564EB3-E9DB-4DC3-B7F0-A2613C05D195}">
            <x14:dataBar minLength="0" maxLength="100" border="1" gradient="0">
              <x14:cfvo type="num">
                <xm:f>0</xm:f>
              </x14:cfvo>
              <x14:cfvo type="num">
                <xm:f>1</xm:f>
              </x14:cfvo>
              <x14:borderColor theme="0"/>
              <x14:negativeFillColor rgb="FFFF0000"/>
              <x14:axisColor rgb="FF000000"/>
            </x14:dataBar>
          </x14:cfRule>
          <xm:sqref>BA506</xm:sqref>
        </x14:conditionalFormatting>
        <x14:conditionalFormatting xmlns:xm="http://schemas.microsoft.com/office/excel/2006/main">
          <x14:cfRule type="dataBar" id="{088F771F-EDD8-486F-9116-864FEC5DA6A4}">
            <x14:dataBar minLength="0" maxLength="100" border="1" gradient="0">
              <x14:cfvo type="num">
                <xm:f>0</xm:f>
              </x14:cfvo>
              <x14:cfvo type="num">
                <xm:f>1</xm:f>
              </x14:cfvo>
              <x14:borderColor theme="0"/>
              <x14:negativeFillColor rgb="FFFF0000"/>
              <x14:axisColor rgb="FF000000"/>
            </x14:dataBar>
          </x14:cfRule>
          <xm:sqref>BA508</xm:sqref>
        </x14:conditionalFormatting>
        <x14:conditionalFormatting xmlns:xm="http://schemas.microsoft.com/office/excel/2006/main">
          <x14:cfRule type="dataBar" id="{4F9C4FC4-EFB1-4769-A664-CA64DFC2B88D}">
            <x14:dataBar minLength="0" maxLength="100" border="1" gradient="0">
              <x14:cfvo type="num">
                <xm:f>0</xm:f>
              </x14:cfvo>
              <x14:cfvo type="num">
                <xm:f>1</xm:f>
              </x14:cfvo>
              <x14:borderColor theme="0"/>
              <x14:negativeFillColor rgb="FFFF0000"/>
              <x14:axisColor rgb="FF000000"/>
            </x14:dataBar>
          </x14:cfRule>
          <xm:sqref>BA510</xm:sqref>
        </x14:conditionalFormatting>
        <x14:conditionalFormatting xmlns:xm="http://schemas.microsoft.com/office/excel/2006/main">
          <x14:cfRule type="dataBar" id="{5B8D7E22-262D-44D6-BD73-0E3779302929}">
            <x14:dataBar minLength="0" maxLength="100" border="1" gradient="0">
              <x14:cfvo type="num">
                <xm:f>0</xm:f>
              </x14:cfvo>
              <x14:cfvo type="num">
                <xm:f>1</xm:f>
              </x14:cfvo>
              <x14:borderColor theme="0"/>
              <x14:negativeFillColor rgb="FFFF0000"/>
              <x14:axisColor rgb="FF000000"/>
            </x14:dataBar>
          </x14:cfRule>
          <xm:sqref>BA512</xm:sqref>
        </x14:conditionalFormatting>
        <x14:conditionalFormatting xmlns:xm="http://schemas.microsoft.com/office/excel/2006/main">
          <x14:cfRule type="dataBar" id="{C35A841B-FFFC-4E06-B71A-F8F03FE829F2}">
            <x14:dataBar minLength="0" maxLength="100" border="1" gradient="0">
              <x14:cfvo type="num">
                <xm:f>0</xm:f>
              </x14:cfvo>
              <x14:cfvo type="num">
                <xm:f>1</xm:f>
              </x14:cfvo>
              <x14:borderColor theme="0"/>
              <x14:negativeFillColor rgb="FFFF0000"/>
              <x14:axisColor rgb="FF000000"/>
            </x14:dataBar>
          </x14:cfRule>
          <xm:sqref>BA514</xm:sqref>
        </x14:conditionalFormatting>
        <x14:conditionalFormatting xmlns:xm="http://schemas.microsoft.com/office/excel/2006/main">
          <x14:cfRule type="dataBar" id="{AE90DF1C-97E2-4EDF-A80B-3BBBE09DF0DC}">
            <x14:dataBar minLength="0" maxLength="100" border="1" gradient="0">
              <x14:cfvo type="num">
                <xm:f>0</xm:f>
              </x14:cfvo>
              <x14:cfvo type="num">
                <xm:f>1</xm:f>
              </x14:cfvo>
              <x14:borderColor theme="0"/>
              <x14:negativeFillColor rgb="FFFF0000"/>
              <x14:axisColor rgb="FF000000"/>
            </x14:dataBar>
          </x14:cfRule>
          <xm:sqref>BA516</xm:sqref>
        </x14:conditionalFormatting>
        <x14:conditionalFormatting xmlns:xm="http://schemas.microsoft.com/office/excel/2006/main">
          <x14:cfRule type="dataBar" id="{912242C8-A9F2-479C-B550-D412A1933B54}">
            <x14:dataBar minLength="0" maxLength="100" border="1" gradient="0">
              <x14:cfvo type="num">
                <xm:f>0</xm:f>
              </x14:cfvo>
              <x14:cfvo type="num">
                <xm:f>1</xm:f>
              </x14:cfvo>
              <x14:borderColor theme="0"/>
              <x14:negativeFillColor rgb="FFFF0000"/>
              <x14:axisColor rgb="FF000000"/>
            </x14:dataBar>
          </x14:cfRule>
          <xm:sqref>BA518</xm:sqref>
        </x14:conditionalFormatting>
        <x14:conditionalFormatting xmlns:xm="http://schemas.microsoft.com/office/excel/2006/main">
          <x14:cfRule type="dataBar" id="{8ED5A48A-B036-4998-AFA6-8503A9F9B2BC}">
            <x14:dataBar minLength="0" maxLength="100" border="1" gradient="0">
              <x14:cfvo type="num">
                <xm:f>0</xm:f>
              </x14:cfvo>
              <x14:cfvo type="num">
                <xm:f>1</xm:f>
              </x14:cfvo>
              <x14:borderColor theme="0"/>
              <x14:negativeFillColor rgb="FFFF0000"/>
              <x14:axisColor rgb="FF000000"/>
            </x14:dataBar>
          </x14:cfRule>
          <xm:sqref>BA520</xm:sqref>
        </x14:conditionalFormatting>
        <x14:conditionalFormatting xmlns:xm="http://schemas.microsoft.com/office/excel/2006/main">
          <x14:cfRule type="dataBar" id="{1FE2B87F-AB72-4E86-9941-988413FAE001}">
            <x14:dataBar minLength="0" maxLength="100" border="1" gradient="0">
              <x14:cfvo type="num">
                <xm:f>0</xm:f>
              </x14:cfvo>
              <x14:cfvo type="num">
                <xm:f>1</xm:f>
              </x14:cfvo>
              <x14:borderColor theme="0"/>
              <x14:negativeFillColor rgb="FFFF0000"/>
              <x14:axisColor rgb="FF000000"/>
            </x14:dataBar>
          </x14:cfRule>
          <xm:sqref>BA522</xm:sqref>
        </x14:conditionalFormatting>
        <x14:conditionalFormatting xmlns:xm="http://schemas.microsoft.com/office/excel/2006/main">
          <x14:cfRule type="dataBar" id="{4E4DEB31-F6A3-4648-84FA-4646951D68A6}">
            <x14:dataBar minLength="0" maxLength="100" border="1" gradient="0">
              <x14:cfvo type="num">
                <xm:f>0</xm:f>
              </x14:cfvo>
              <x14:cfvo type="num">
                <xm:f>1</xm:f>
              </x14:cfvo>
              <x14:borderColor theme="0"/>
              <x14:negativeFillColor rgb="FFFF0000"/>
              <x14:axisColor rgb="FF000000"/>
            </x14:dataBar>
          </x14:cfRule>
          <xm:sqref>BA524</xm:sqref>
        </x14:conditionalFormatting>
        <x14:conditionalFormatting xmlns:xm="http://schemas.microsoft.com/office/excel/2006/main">
          <x14:cfRule type="dataBar" id="{A4C1E5FB-8AD8-4B49-9A8E-F0481E35FBE3}">
            <x14:dataBar minLength="0" maxLength="100" border="1" gradient="0">
              <x14:cfvo type="num">
                <xm:f>0</xm:f>
              </x14:cfvo>
              <x14:cfvo type="num">
                <xm:f>1</xm:f>
              </x14:cfvo>
              <x14:borderColor theme="0"/>
              <x14:negativeFillColor rgb="FFFF0000"/>
              <x14:axisColor rgb="FF000000"/>
            </x14:dataBar>
          </x14:cfRule>
          <xm:sqref>BA526</xm:sqref>
        </x14:conditionalFormatting>
        <x14:conditionalFormatting xmlns:xm="http://schemas.microsoft.com/office/excel/2006/main">
          <x14:cfRule type="dataBar" id="{C0107D5E-AB51-428A-A7BD-44A7A7CD1CC5}">
            <x14:dataBar minLength="0" maxLength="100" border="1" gradient="0">
              <x14:cfvo type="num">
                <xm:f>0</xm:f>
              </x14:cfvo>
              <x14:cfvo type="num">
                <xm:f>1</xm:f>
              </x14:cfvo>
              <x14:borderColor theme="0"/>
              <x14:negativeFillColor rgb="FFFF0000"/>
              <x14:axisColor rgb="FF000000"/>
            </x14:dataBar>
          </x14:cfRule>
          <xm:sqref>BA528</xm:sqref>
        </x14:conditionalFormatting>
        <x14:conditionalFormatting xmlns:xm="http://schemas.microsoft.com/office/excel/2006/main">
          <x14:cfRule type="dataBar" id="{2C51F07B-43B4-4A28-A441-6225124C8B59}">
            <x14:dataBar minLength="0" maxLength="100" border="1" gradient="0">
              <x14:cfvo type="num">
                <xm:f>0</xm:f>
              </x14:cfvo>
              <x14:cfvo type="num">
                <xm:f>1</xm:f>
              </x14:cfvo>
              <x14:borderColor theme="0"/>
              <x14:negativeFillColor rgb="FFFF0000"/>
              <x14:axisColor rgb="FF000000"/>
            </x14:dataBar>
          </x14:cfRule>
          <xm:sqref>BA530</xm:sqref>
        </x14:conditionalFormatting>
        <x14:conditionalFormatting xmlns:xm="http://schemas.microsoft.com/office/excel/2006/main">
          <x14:cfRule type="dataBar" id="{D4450602-74D9-4B82-9045-3EAD0A92F292}">
            <x14:dataBar minLength="0" maxLength="100" border="1" gradient="0">
              <x14:cfvo type="num">
                <xm:f>0</xm:f>
              </x14:cfvo>
              <x14:cfvo type="num">
                <xm:f>1</xm:f>
              </x14:cfvo>
              <x14:borderColor theme="0"/>
              <x14:negativeFillColor rgb="FFFF0000"/>
              <x14:axisColor rgb="FF000000"/>
            </x14:dataBar>
          </x14:cfRule>
          <xm:sqref>BA532</xm:sqref>
        </x14:conditionalFormatting>
        <x14:conditionalFormatting xmlns:xm="http://schemas.microsoft.com/office/excel/2006/main">
          <x14:cfRule type="dataBar" id="{8AD5E3CA-B96F-4DF5-8FEB-6E6F60AB2B03}">
            <x14:dataBar minLength="0" maxLength="100" border="1" gradient="0">
              <x14:cfvo type="num">
                <xm:f>0</xm:f>
              </x14:cfvo>
              <x14:cfvo type="num">
                <xm:f>1</xm:f>
              </x14:cfvo>
              <x14:borderColor theme="0"/>
              <x14:negativeFillColor rgb="FFFF0000"/>
              <x14:axisColor rgb="FF000000"/>
            </x14:dataBar>
          </x14:cfRule>
          <xm:sqref>BA534</xm:sqref>
        </x14:conditionalFormatting>
        <x14:conditionalFormatting xmlns:xm="http://schemas.microsoft.com/office/excel/2006/main">
          <x14:cfRule type="dataBar" id="{8420B34D-9A81-4EA4-A6F3-0DF6E87AA2B1}">
            <x14:dataBar minLength="0" maxLength="100" border="1" gradient="0">
              <x14:cfvo type="num">
                <xm:f>0</xm:f>
              </x14:cfvo>
              <x14:cfvo type="num">
                <xm:f>1</xm:f>
              </x14:cfvo>
              <x14:borderColor theme="0"/>
              <x14:negativeFillColor rgb="FFFF0000"/>
              <x14:axisColor rgb="FF000000"/>
            </x14:dataBar>
          </x14:cfRule>
          <xm:sqref>BA536</xm:sqref>
        </x14:conditionalFormatting>
        <x14:conditionalFormatting xmlns:xm="http://schemas.microsoft.com/office/excel/2006/main">
          <x14:cfRule type="dataBar" id="{ED9B9BD0-5331-4548-93B8-BC67A5DBDAC4}">
            <x14:dataBar minLength="0" maxLength="100" border="1" gradient="0">
              <x14:cfvo type="num">
                <xm:f>0</xm:f>
              </x14:cfvo>
              <x14:cfvo type="num">
                <xm:f>1</xm:f>
              </x14:cfvo>
              <x14:borderColor theme="0"/>
              <x14:negativeFillColor rgb="FFFF0000"/>
              <x14:axisColor rgb="FF000000"/>
            </x14:dataBar>
          </x14:cfRule>
          <xm:sqref>BA538</xm:sqref>
        </x14:conditionalFormatting>
        <x14:conditionalFormatting xmlns:xm="http://schemas.microsoft.com/office/excel/2006/main">
          <x14:cfRule type="dataBar" id="{E907DE5E-3B62-4EF7-8478-F0189D246A85}">
            <x14:dataBar minLength="0" maxLength="100" border="1" gradient="0">
              <x14:cfvo type="num">
                <xm:f>0</xm:f>
              </x14:cfvo>
              <x14:cfvo type="num">
                <xm:f>1</xm:f>
              </x14:cfvo>
              <x14:borderColor theme="0"/>
              <x14:negativeFillColor rgb="FFFF0000"/>
              <x14:axisColor rgb="FF000000"/>
            </x14:dataBar>
          </x14:cfRule>
          <xm:sqref>BA540</xm:sqref>
        </x14:conditionalFormatting>
        <x14:conditionalFormatting xmlns:xm="http://schemas.microsoft.com/office/excel/2006/main">
          <x14:cfRule type="dataBar" id="{ECE5172A-B345-4B10-A0C8-A80236659921}">
            <x14:dataBar minLength="0" maxLength="100" border="1" gradient="0">
              <x14:cfvo type="num">
                <xm:f>0</xm:f>
              </x14:cfvo>
              <x14:cfvo type="num">
                <xm:f>1</xm:f>
              </x14:cfvo>
              <x14:borderColor theme="0"/>
              <x14:negativeFillColor rgb="FFFF0000"/>
              <x14:axisColor rgb="FF000000"/>
            </x14:dataBar>
          </x14:cfRule>
          <xm:sqref>BA542</xm:sqref>
        </x14:conditionalFormatting>
        <x14:conditionalFormatting xmlns:xm="http://schemas.microsoft.com/office/excel/2006/main">
          <x14:cfRule type="dataBar" id="{D35E3434-D646-4301-8831-EDA33DC5C2A9}">
            <x14:dataBar minLength="0" maxLength="100" border="1" gradient="0">
              <x14:cfvo type="num">
                <xm:f>0</xm:f>
              </x14:cfvo>
              <x14:cfvo type="num">
                <xm:f>1</xm:f>
              </x14:cfvo>
              <x14:borderColor theme="0"/>
              <x14:negativeFillColor rgb="FFFF0000"/>
              <x14:axisColor rgb="FF000000"/>
            </x14:dataBar>
          </x14:cfRule>
          <xm:sqref>BA544</xm:sqref>
        </x14:conditionalFormatting>
        <x14:conditionalFormatting xmlns:xm="http://schemas.microsoft.com/office/excel/2006/main">
          <x14:cfRule type="dataBar" id="{6EBC7765-2051-49E3-8F5E-4D6971B6C230}">
            <x14:dataBar minLength="0" maxLength="100" border="1" gradient="0">
              <x14:cfvo type="num">
                <xm:f>0</xm:f>
              </x14:cfvo>
              <x14:cfvo type="num">
                <xm:f>1</xm:f>
              </x14:cfvo>
              <x14:borderColor theme="0"/>
              <x14:negativeFillColor rgb="FFFF0000"/>
              <x14:axisColor rgb="FF000000"/>
            </x14:dataBar>
          </x14:cfRule>
          <xm:sqref>BA546</xm:sqref>
        </x14:conditionalFormatting>
        <x14:conditionalFormatting xmlns:xm="http://schemas.microsoft.com/office/excel/2006/main">
          <x14:cfRule type="dataBar" id="{F90EFE2C-985C-400E-98C8-77287345E89B}">
            <x14:dataBar minLength="0" maxLength="100" border="1" gradient="0">
              <x14:cfvo type="num">
                <xm:f>0</xm:f>
              </x14:cfvo>
              <x14:cfvo type="num">
                <xm:f>1</xm:f>
              </x14:cfvo>
              <x14:borderColor theme="0"/>
              <x14:negativeFillColor rgb="FFFF0000"/>
              <x14:axisColor rgb="FF000000"/>
            </x14:dataBar>
          </x14:cfRule>
          <xm:sqref>BA548</xm:sqref>
        </x14:conditionalFormatting>
        <x14:conditionalFormatting xmlns:xm="http://schemas.microsoft.com/office/excel/2006/main">
          <x14:cfRule type="dataBar" id="{9237564D-4D32-433E-8D0D-F58899FEFE88}">
            <x14:dataBar minLength="0" maxLength="100" border="1" gradient="0">
              <x14:cfvo type="num">
                <xm:f>0</xm:f>
              </x14:cfvo>
              <x14:cfvo type="num">
                <xm:f>1</xm:f>
              </x14:cfvo>
              <x14:borderColor theme="0"/>
              <x14:negativeFillColor rgb="FFFF0000"/>
              <x14:axisColor rgb="FF000000"/>
            </x14:dataBar>
          </x14:cfRule>
          <xm:sqref>BA550</xm:sqref>
        </x14:conditionalFormatting>
        <x14:conditionalFormatting xmlns:xm="http://schemas.microsoft.com/office/excel/2006/main">
          <x14:cfRule type="dataBar" id="{BE241F40-5B83-4734-8B52-C3A1048986A1}">
            <x14:dataBar minLength="0" maxLength="100" border="1" gradient="0">
              <x14:cfvo type="num">
                <xm:f>0</xm:f>
              </x14:cfvo>
              <x14:cfvo type="num">
                <xm:f>1</xm:f>
              </x14:cfvo>
              <x14:borderColor theme="0"/>
              <x14:negativeFillColor rgb="FFFF0000"/>
              <x14:axisColor rgb="FF000000"/>
            </x14:dataBar>
          </x14:cfRule>
          <xm:sqref>BA552</xm:sqref>
        </x14:conditionalFormatting>
        <x14:conditionalFormatting xmlns:xm="http://schemas.microsoft.com/office/excel/2006/main">
          <x14:cfRule type="dataBar" id="{B5696AE0-1648-453D-AB68-3D2C03DFC95B}">
            <x14:dataBar minLength="0" maxLength="100" border="1" gradient="0">
              <x14:cfvo type="num">
                <xm:f>0</xm:f>
              </x14:cfvo>
              <x14:cfvo type="num">
                <xm:f>1</xm:f>
              </x14:cfvo>
              <x14:borderColor theme="0"/>
              <x14:negativeFillColor rgb="FFFF0000"/>
              <x14:axisColor rgb="FF000000"/>
            </x14:dataBar>
          </x14:cfRule>
          <xm:sqref>BA554</xm:sqref>
        </x14:conditionalFormatting>
        <x14:conditionalFormatting xmlns:xm="http://schemas.microsoft.com/office/excel/2006/main">
          <x14:cfRule type="dataBar" id="{FEEA2A91-3A03-4BBA-8C48-1D31568E6C17}">
            <x14:dataBar minLength="0" maxLength="100" border="1" gradient="0">
              <x14:cfvo type="num">
                <xm:f>0</xm:f>
              </x14:cfvo>
              <x14:cfvo type="num">
                <xm:f>1</xm:f>
              </x14:cfvo>
              <x14:borderColor theme="0"/>
              <x14:negativeFillColor rgb="FFFF0000"/>
              <x14:axisColor rgb="FF000000"/>
            </x14:dataBar>
          </x14:cfRule>
          <xm:sqref>BA556</xm:sqref>
        </x14:conditionalFormatting>
        <x14:conditionalFormatting xmlns:xm="http://schemas.microsoft.com/office/excel/2006/main">
          <x14:cfRule type="dataBar" id="{332A5A53-2FFE-4210-9C20-4D47432EF14B}">
            <x14:dataBar minLength="0" maxLength="100" border="1" gradient="0">
              <x14:cfvo type="num">
                <xm:f>0</xm:f>
              </x14:cfvo>
              <x14:cfvo type="num">
                <xm:f>1</xm:f>
              </x14:cfvo>
              <x14:borderColor theme="0"/>
              <x14:negativeFillColor rgb="FFFF0000"/>
              <x14:axisColor rgb="FF000000"/>
            </x14:dataBar>
          </x14:cfRule>
          <xm:sqref>BA558</xm:sqref>
        </x14:conditionalFormatting>
        <x14:conditionalFormatting xmlns:xm="http://schemas.microsoft.com/office/excel/2006/main">
          <x14:cfRule type="dataBar" id="{F90B30AE-621A-4397-9DB5-5F82064D54AD}">
            <x14:dataBar minLength="0" maxLength="100" border="1" gradient="0">
              <x14:cfvo type="num">
                <xm:f>0</xm:f>
              </x14:cfvo>
              <x14:cfvo type="num">
                <xm:f>1</xm:f>
              </x14:cfvo>
              <x14:borderColor theme="0"/>
              <x14:negativeFillColor rgb="FFFF0000"/>
              <x14:axisColor rgb="FF000000"/>
            </x14:dataBar>
          </x14:cfRule>
          <xm:sqref>BA560</xm:sqref>
        </x14:conditionalFormatting>
        <x14:conditionalFormatting xmlns:xm="http://schemas.microsoft.com/office/excel/2006/main">
          <x14:cfRule type="dataBar" id="{424ED11B-03A1-40E6-9FF0-A4B6C6A2579A}">
            <x14:dataBar minLength="0" maxLength="100" border="1" gradient="0">
              <x14:cfvo type="num">
                <xm:f>0</xm:f>
              </x14:cfvo>
              <x14:cfvo type="num">
                <xm:f>1</xm:f>
              </x14:cfvo>
              <x14:borderColor theme="0"/>
              <x14:negativeFillColor rgb="FFFF0000"/>
              <x14:axisColor rgb="FF000000"/>
            </x14:dataBar>
          </x14:cfRule>
          <xm:sqref>BA562</xm:sqref>
        </x14:conditionalFormatting>
        <x14:conditionalFormatting xmlns:xm="http://schemas.microsoft.com/office/excel/2006/main">
          <x14:cfRule type="dataBar" id="{69E89820-6779-4325-808B-E60EB3AEF1CF}">
            <x14:dataBar minLength="0" maxLength="100" border="1" gradient="0">
              <x14:cfvo type="num">
                <xm:f>0</xm:f>
              </x14:cfvo>
              <x14:cfvo type="num">
                <xm:f>1</xm:f>
              </x14:cfvo>
              <x14:borderColor theme="0"/>
              <x14:negativeFillColor rgb="FFFF0000"/>
              <x14:axisColor rgb="FF000000"/>
            </x14:dataBar>
          </x14:cfRule>
          <xm:sqref>BA564</xm:sqref>
        </x14:conditionalFormatting>
        <x14:conditionalFormatting xmlns:xm="http://schemas.microsoft.com/office/excel/2006/main">
          <x14:cfRule type="dataBar" id="{435B8C47-96B0-414A-87CF-8B24D4D17CBD}">
            <x14:dataBar minLength="0" maxLength="100" border="1" gradient="0">
              <x14:cfvo type="num">
                <xm:f>0</xm:f>
              </x14:cfvo>
              <x14:cfvo type="num">
                <xm:f>1</xm:f>
              </x14:cfvo>
              <x14:borderColor theme="0"/>
              <x14:negativeFillColor rgb="FFFF0000"/>
              <x14:axisColor rgb="FF000000"/>
            </x14:dataBar>
          </x14:cfRule>
          <xm:sqref>BA566</xm:sqref>
        </x14:conditionalFormatting>
        <x14:conditionalFormatting xmlns:xm="http://schemas.microsoft.com/office/excel/2006/main">
          <x14:cfRule type="dataBar" id="{E0FE1AB3-4C90-4D76-B180-0398E0866C42}">
            <x14:dataBar minLength="0" maxLength="100" border="1" gradient="0">
              <x14:cfvo type="num">
                <xm:f>0</xm:f>
              </x14:cfvo>
              <x14:cfvo type="num">
                <xm:f>1</xm:f>
              </x14:cfvo>
              <x14:borderColor theme="0"/>
              <x14:negativeFillColor rgb="FFFF0000"/>
              <x14:axisColor rgb="FF000000"/>
            </x14:dataBar>
          </x14:cfRule>
          <xm:sqref>BA568</xm:sqref>
        </x14:conditionalFormatting>
        <x14:conditionalFormatting xmlns:xm="http://schemas.microsoft.com/office/excel/2006/main">
          <x14:cfRule type="dataBar" id="{5664719B-F562-4966-A6A5-96747629DA15}">
            <x14:dataBar minLength="0" maxLength="100" border="1" gradient="0">
              <x14:cfvo type="num">
                <xm:f>0</xm:f>
              </x14:cfvo>
              <x14:cfvo type="num">
                <xm:f>1</xm:f>
              </x14:cfvo>
              <x14:borderColor theme="0"/>
              <x14:negativeFillColor rgb="FFFF0000"/>
              <x14:axisColor rgb="FF000000"/>
            </x14:dataBar>
          </x14:cfRule>
          <xm:sqref>BA570</xm:sqref>
        </x14:conditionalFormatting>
        <x14:conditionalFormatting xmlns:xm="http://schemas.microsoft.com/office/excel/2006/main">
          <x14:cfRule type="dataBar" id="{A80D6196-A516-4D21-AEAC-B747819DD64D}">
            <x14:dataBar minLength="0" maxLength="100" border="1" gradient="0">
              <x14:cfvo type="num">
                <xm:f>0</xm:f>
              </x14:cfvo>
              <x14:cfvo type="num">
                <xm:f>1</xm:f>
              </x14:cfvo>
              <x14:borderColor theme="0"/>
              <x14:negativeFillColor rgb="FFFF0000"/>
              <x14:axisColor rgb="FF000000"/>
            </x14:dataBar>
          </x14:cfRule>
          <xm:sqref>BA572</xm:sqref>
        </x14:conditionalFormatting>
        <x14:conditionalFormatting xmlns:xm="http://schemas.microsoft.com/office/excel/2006/main">
          <x14:cfRule type="dataBar" id="{1DA812E8-4AD7-4F38-BBC1-5CB1675EC93F}">
            <x14:dataBar minLength="0" maxLength="100" border="1" gradient="0">
              <x14:cfvo type="num">
                <xm:f>0</xm:f>
              </x14:cfvo>
              <x14:cfvo type="num">
                <xm:f>1</xm:f>
              </x14:cfvo>
              <x14:borderColor theme="0"/>
              <x14:negativeFillColor rgb="FFFF0000"/>
              <x14:axisColor rgb="FF000000"/>
            </x14:dataBar>
          </x14:cfRule>
          <xm:sqref>BA574</xm:sqref>
        </x14:conditionalFormatting>
        <x14:conditionalFormatting xmlns:xm="http://schemas.microsoft.com/office/excel/2006/main">
          <x14:cfRule type="dataBar" id="{1EAD4ADF-8B32-41F4-AAEB-2CCD4E23D3E5}">
            <x14:dataBar minLength="0" maxLength="100" border="1" gradient="0">
              <x14:cfvo type="num">
                <xm:f>0</xm:f>
              </x14:cfvo>
              <x14:cfvo type="num">
                <xm:f>1</xm:f>
              </x14:cfvo>
              <x14:borderColor theme="0"/>
              <x14:negativeFillColor rgb="FFFF0000"/>
              <x14:axisColor rgb="FF000000"/>
            </x14:dataBar>
          </x14:cfRule>
          <xm:sqref>BA576</xm:sqref>
        </x14:conditionalFormatting>
        <x14:conditionalFormatting xmlns:xm="http://schemas.microsoft.com/office/excel/2006/main">
          <x14:cfRule type="dataBar" id="{F73332A4-0E5C-43B9-A734-DD837B5459EF}">
            <x14:dataBar minLength="0" maxLength="100" border="1" gradient="0">
              <x14:cfvo type="num">
                <xm:f>0</xm:f>
              </x14:cfvo>
              <x14:cfvo type="num">
                <xm:f>1</xm:f>
              </x14:cfvo>
              <x14:borderColor theme="0"/>
              <x14:negativeFillColor rgb="FFFF0000"/>
              <x14:axisColor rgb="FF000000"/>
            </x14:dataBar>
          </x14:cfRule>
          <xm:sqref>BA578</xm:sqref>
        </x14:conditionalFormatting>
        <x14:conditionalFormatting xmlns:xm="http://schemas.microsoft.com/office/excel/2006/main">
          <x14:cfRule type="dataBar" id="{5103A53C-D03B-4C26-BA76-D5AB991877D9}">
            <x14:dataBar minLength="0" maxLength="100" border="1" gradient="0">
              <x14:cfvo type="num">
                <xm:f>0</xm:f>
              </x14:cfvo>
              <x14:cfvo type="num">
                <xm:f>1</xm:f>
              </x14:cfvo>
              <x14:borderColor theme="0"/>
              <x14:negativeFillColor rgb="FFFF0000"/>
              <x14:axisColor rgb="FF000000"/>
            </x14:dataBar>
          </x14:cfRule>
          <xm:sqref>BA580</xm:sqref>
        </x14:conditionalFormatting>
        <x14:conditionalFormatting xmlns:xm="http://schemas.microsoft.com/office/excel/2006/main">
          <x14:cfRule type="dataBar" id="{CF5F827A-D4B6-45A9-9913-8F3BB525687C}">
            <x14:dataBar minLength="0" maxLength="100" border="1" gradient="0">
              <x14:cfvo type="num">
                <xm:f>0</xm:f>
              </x14:cfvo>
              <x14:cfvo type="num">
                <xm:f>1</xm:f>
              </x14:cfvo>
              <x14:borderColor theme="0"/>
              <x14:negativeFillColor rgb="FFFF0000"/>
              <x14:axisColor rgb="FF000000"/>
            </x14:dataBar>
          </x14:cfRule>
          <xm:sqref>BA582</xm:sqref>
        </x14:conditionalFormatting>
        <x14:conditionalFormatting xmlns:xm="http://schemas.microsoft.com/office/excel/2006/main">
          <x14:cfRule type="dataBar" id="{3178BD4A-B81B-4CAF-9A8C-65FE244168FD}">
            <x14:dataBar minLength="0" maxLength="100" border="1" gradient="0">
              <x14:cfvo type="num">
                <xm:f>0</xm:f>
              </x14:cfvo>
              <x14:cfvo type="num">
                <xm:f>1</xm:f>
              </x14:cfvo>
              <x14:borderColor theme="0"/>
              <x14:negativeFillColor rgb="FFFF0000"/>
              <x14:axisColor rgb="FF000000"/>
            </x14:dataBar>
          </x14:cfRule>
          <xm:sqref>BA584</xm:sqref>
        </x14:conditionalFormatting>
        <x14:conditionalFormatting xmlns:xm="http://schemas.microsoft.com/office/excel/2006/main">
          <x14:cfRule type="dataBar" id="{0AC61B75-D712-4810-A8D1-457428A5B031}">
            <x14:dataBar minLength="0" maxLength="100" border="1" gradient="0">
              <x14:cfvo type="num">
                <xm:f>0</xm:f>
              </x14:cfvo>
              <x14:cfvo type="num">
                <xm:f>1</xm:f>
              </x14:cfvo>
              <x14:borderColor theme="0"/>
              <x14:negativeFillColor rgb="FFFF0000"/>
              <x14:axisColor rgb="FF000000"/>
            </x14:dataBar>
          </x14:cfRule>
          <xm:sqref>BA586</xm:sqref>
        </x14:conditionalFormatting>
        <x14:conditionalFormatting xmlns:xm="http://schemas.microsoft.com/office/excel/2006/main">
          <x14:cfRule type="dataBar" id="{A9C975E5-BEEC-4074-B6C8-324422B4FFB6}">
            <x14:dataBar minLength="0" maxLength="100" border="1" gradient="0">
              <x14:cfvo type="num">
                <xm:f>0</xm:f>
              </x14:cfvo>
              <x14:cfvo type="num">
                <xm:f>1</xm:f>
              </x14:cfvo>
              <x14:borderColor theme="0"/>
              <x14:negativeFillColor rgb="FFFF0000"/>
              <x14:axisColor rgb="FF000000"/>
            </x14:dataBar>
          </x14:cfRule>
          <xm:sqref>BA588</xm:sqref>
        </x14:conditionalFormatting>
        <x14:conditionalFormatting xmlns:xm="http://schemas.microsoft.com/office/excel/2006/main">
          <x14:cfRule type="dataBar" id="{93B5BFC0-4060-4BDF-8D12-A56FACF6BEDB}">
            <x14:dataBar minLength="0" maxLength="100" border="1" gradient="0">
              <x14:cfvo type="num">
                <xm:f>0</xm:f>
              </x14:cfvo>
              <x14:cfvo type="num">
                <xm:f>1</xm:f>
              </x14:cfvo>
              <x14:borderColor theme="0"/>
              <x14:negativeFillColor rgb="FFFF0000"/>
              <x14:axisColor rgb="FF000000"/>
            </x14:dataBar>
          </x14:cfRule>
          <xm:sqref>BA591</xm:sqref>
        </x14:conditionalFormatting>
        <x14:conditionalFormatting xmlns:xm="http://schemas.microsoft.com/office/excel/2006/main">
          <x14:cfRule type="dataBar" id="{96DA0B75-832A-4937-893B-D6C0447C9493}">
            <x14:dataBar minLength="0" maxLength="100" border="1" gradient="0">
              <x14:cfvo type="num">
                <xm:f>0</xm:f>
              </x14:cfvo>
              <x14:cfvo type="num">
                <xm:f>1</xm:f>
              </x14:cfvo>
              <x14:borderColor theme="0"/>
              <x14:negativeFillColor rgb="FFFF0000"/>
              <x14:axisColor rgb="FF000000"/>
            </x14:dataBar>
          </x14:cfRule>
          <xm:sqref>BA593</xm:sqref>
        </x14:conditionalFormatting>
        <x14:conditionalFormatting xmlns:xm="http://schemas.microsoft.com/office/excel/2006/main">
          <x14:cfRule type="dataBar" id="{D0878925-D445-4979-A10D-8645256920A8}">
            <x14:dataBar minLength="0" maxLength="100" border="1" gradient="0">
              <x14:cfvo type="num">
                <xm:f>0</xm:f>
              </x14:cfvo>
              <x14:cfvo type="num">
                <xm:f>1</xm:f>
              </x14:cfvo>
              <x14:borderColor theme="0"/>
              <x14:negativeFillColor rgb="FFFF0000"/>
              <x14:axisColor rgb="FF000000"/>
            </x14:dataBar>
          </x14:cfRule>
          <xm:sqref>BA595</xm:sqref>
        </x14:conditionalFormatting>
        <x14:conditionalFormatting xmlns:xm="http://schemas.microsoft.com/office/excel/2006/main">
          <x14:cfRule type="dataBar" id="{E48C8139-6F8A-47B2-B49A-1A3B4F3B2383}">
            <x14:dataBar minLength="0" maxLength="100" border="1" gradient="0">
              <x14:cfvo type="num">
                <xm:f>0</xm:f>
              </x14:cfvo>
              <x14:cfvo type="num">
                <xm:f>1</xm:f>
              </x14:cfvo>
              <x14:borderColor theme="0"/>
              <x14:negativeFillColor rgb="FFFF0000"/>
              <x14:axisColor rgb="FF000000"/>
            </x14:dataBar>
          </x14:cfRule>
          <xm:sqref>BA597</xm:sqref>
        </x14:conditionalFormatting>
        <x14:conditionalFormatting xmlns:xm="http://schemas.microsoft.com/office/excel/2006/main">
          <x14:cfRule type="dataBar" id="{46123D93-5358-498A-95D9-2AE9EC969AF1}">
            <x14:dataBar minLength="0" maxLength="100" border="1" gradient="0">
              <x14:cfvo type="num">
                <xm:f>0</xm:f>
              </x14:cfvo>
              <x14:cfvo type="num">
                <xm:f>1</xm:f>
              </x14:cfvo>
              <x14:borderColor theme="0"/>
              <x14:negativeFillColor rgb="FFFF0000"/>
              <x14:axisColor rgb="FF000000"/>
            </x14:dataBar>
          </x14:cfRule>
          <xm:sqref>BA599</xm:sqref>
        </x14:conditionalFormatting>
        <x14:conditionalFormatting xmlns:xm="http://schemas.microsoft.com/office/excel/2006/main">
          <x14:cfRule type="dataBar" id="{F072C3F1-A1B2-4BB3-8E1F-D08D8DA8A2CF}">
            <x14:dataBar minLength="0" maxLength="100" border="1" gradient="0">
              <x14:cfvo type="num">
                <xm:f>0</xm:f>
              </x14:cfvo>
              <x14:cfvo type="num">
                <xm:f>1</xm:f>
              </x14:cfvo>
              <x14:borderColor theme="0"/>
              <x14:negativeFillColor rgb="FFFF0000"/>
              <x14:axisColor rgb="FF000000"/>
            </x14:dataBar>
          </x14:cfRule>
          <xm:sqref>BA601</xm:sqref>
        </x14:conditionalFormatting>
        <x14:conditionalFormatting xmlns:xm="http://schemas.microsoft.com/office/excel/2006/main">
          <x14:cfRule type="dataBar" id="{1FAA7B1E-EEAA-4982-A8A1-1E4F06A29129}">
            <x14:dataBar minLength="0" maxLength="100" border="1" gradient="0">
              <x14:cfvo type="num">
                <xm:f>0</xm:f>
              </x14:cfvo>
              <x14:cfvo type="num">
                <xm:f>1</xm:f>
              </x14:cfvo>
              <x14:borderColor theme="0"/>
              <x14:negativeFillColor rgb="FFFF0000"/>
              <x14:axisColor rgb="FF000000"/>
            </x14:dataBar>
          </x14:cfRule>
          <xm:sqref>BA603</xm:sqref>
        </x14:conditionalFormatting>
        <x14:conditionalFormatting xmlns:xm="http://schemas.microsoft.com/office/excel/2006/main">
          <x14:cfRule type="dataBar" id="{9F4371C4-14CE-4874-A4DF-FDD457436407}">
            <x14:dataBar minLength="0" maxLength="100" border="1" gradient="0">
              <x14:cfvo type="num">
                <xm:f>0</xm:f>
              </x14:cfvo>
              <x14:cfvo type="num">
                <xm:f>1</xm:f>
              </x14:cfvo>
              <x14:borderColor theme="0"/>
              <x14:negativeFillColor rgb="FFFF0000"/>
              <x14:axisColor rgb="FF000000"/>
            </x14:dataBar>
          </x14:cfRule>
          <xm:sqref>BA605</xm:sqref>
        </x14:conditionalFormatting>
        <x14:conditionalFormatting xmlns:xm="http://schemas.microsoft.com/office/excel/2006/main">
          <x14:cfRule type="dataBar" id="{8C6322CB-480A-4F29-9419-0ECA27B4D1D7}">
            <x14:dataBar minLength="0" maxLength="100" border="1" gradient="0">
              <x14:cfvo type="num">
                <xm:f>0</xm:f>
              </x14:cfvo>
              <x14:cfvo type="num">
                <xm:f>1</xm:f>
              </x14:cfvo>
              <x14:borderColor theme="0"/>
              <x14:negativeFillColor rgb="FFFF0000"/>
              <x14:axisColor rgb="FF000000"/>
            </x14:dataBar>
          </x14:cfRule>
          <xm:sqref>BA607</xm:sqref>
        </x14:conditionalFormatting>
        <x14:conditionalFormatting xmlns:xm="http://schemas.microsoft.com/office/excel/2006/main">
          <x14:cfRule type="dataBar" id="{7FD4F84D-F6B9-4B8A-BB96-8C82A03B68B7}">
            <x14:dataBar minLength="0" maxLength="100" border="1" gradient="0">
              <x14:cfvo type="num">
                <xm:f>0</xm:f>
              </x14:cfvo>
              <x14:cfvo type="num">
                <xm:f>1</xm:f>
              </x14:cfvo>
              <x14:borderColor theme="0"/>
              <x14:negativeFillColor rgb="FFFF0000"/>
              <x14:axisColor rgb="FF000000"/>
            </x14:dataBar>
          </x14:cfRule>
          <xm:sqref>BA609</xm:sqref>
        </x14:conditionalFormatting>
        <x14:conditionalFormatting xmlns:xm="http://schemas.microsoft.com/office/excel/2006/main">
          <x14:cfRule type="dataBar" id="{66F76C90-704C-46A9-90A0-D53CCC377303}">
            <x14:dataBar minLength="0" maxLength="100" border="1" gradient="0">
              <x14:cfvo type="num">
                <xm:f>0</xm:f>
              </x14:cfvo>
              <x14:cfvo type="num">
                <xm:f>1</xm:f>
              </x14:cfvo>
              <x14:borderColor theme="0"/>
              <x14:negativeFillColor rgb="FFFF0000"/>
              <x14:axisColor rgb="FF000000"/>
            </x14:dataBar>
          </x14:cfRule>
          <xm:sqref>BA611</xm:sqref>
        </x14:conditionalFormatting>
        <x14:conditionalFormatting xmlns:xm="http://schemas.microsoft.com/office/excel/2006/main">
          <x14:cfRule type="dataBar" id="{62836ECE-E5F7-4C44-8199-64D334358022}">
            <x14:dataBar minLength="0" maxLength="100" border="1" gradient="0">
              <x14:cfvo type="num">
                <xm:f>0</xm:f>
              </x14:cfvo>
              <x14:cfvo type="num">
                <xm:f>1</xm:f>
              </x14:cfvo>
              <x14:borderColor theme="0"/>
              <x14:negativeFillColor rgb="FFFF0000"/>
              <x14:axisColor rgb="FF000000"/>
            </x14:dataBar>
          </x14:cfRule>
          <xm:sqref>BA613</xm:sqref>
        </x14:conditionalFormatting>
        <x14:conditionalFormatting xmlns:xm="http://schemas.microsoft.com/office/excel/2006/main">
          <x14:cfRule type="dataBar" id="{0DAB6EE1-4BEB-4797-B9DB-BF21A73A97D4}">
            <x14:dataBar minLength="0" maxLength="100" border="1" gradient="0">
              <x14:cfvo type="num">
                <xm:f>0</xm:f>
              </x14:cfvo>
              <x14:cfvo type="num">
                <xm:f>1</xm:f>
              </x14:cfvo>
              <x14:borderColor theme="0"/>
              <x14:negativeFillColor rgb="FFFF0000"/>
              <x14:axisColor rgb="FF000000"/>
            </x14:dataBar>
          </x14:cfRule>
          <xm:sqref>BA615</xm:sqref>
        </x14:conditionalFormatting>
        <x14:conditionalFormatting xmlns:xm="http://schemas.microsoft.com/office/excel/2006/main">
          <x14:cfRule type="dataBar" id="{410AE398-1A67-4D8F-A29F-A16F5B7F064E}">
            <x14:dataBar minLength="0" maxLength="100" border="1" gradient="0">
              <x14:cfvo type="num">
                <xm:f>0</xm:f>
              </x14:cfvo>
              <x14:cfvo type="num">
                <xm:f>1</xm:f>
              </x14:cfvo>
              <x14:borderColor theme="0"/>
              <x14:negativeFillColor rgb="FFFF0000"/>
              <x14:axisColor rgb="FF000000"/>
            </x14:dataBar>
          </x14:cfRule>
          <xm:sqref>BA617</xm:sqref>
        </x14:conditionalFormatting>
        <x14:conditionalFormatting xmlns:xm="http://schemas.microsoft.com/office/excel/2006/main">
          <x14:cfRule type="dataBar" id="{19916A01-5626-4F0C-B03E-2557A0300548}">
            <x14:dataBar minLength="0" maxLength="100" border="1" gradient="0">
              <x14:cfvo type="num">
                <xm:f>0</xm:f>
              </x14:cfvo>
              <x14:cfvo type="num">
                <xm:f>1</xm:f>
              </x14:cfvo>
              <x14:borderColor theme="0"/>
              <x14:negativeFillColor rgb="FFFF0000"/>
              <x14:axisColor rgb="FF000000"/>
            </x14:dataBar>
          </x14:cfRule>
          <xm:sqref>BA619</xm:sqref>
        </x14:conditionalFormatting>
        <x14:conditionalFormatting xmlns:xm="http://schemas.microsoft.com/office/excel/2006/main">
          <x14:cfRule type="dataBar" id="{038975FB-5882-40E8-878A-0EDA63EBFD86}">
            <x14:dataBar minLength="0" maxLength="100" border="1" gradient="0">
              <x14:cfvo type="num">
                <xm:f>0</xm:f>
              </x14:cfvo>
              <x14:cfvo type="num">
                <xm:f>1</xm:f>
              </x14:cfvo>
              <x14:borderColor theme="0"/>
              <x14:negativeFillColor rgb="FFFF0000"/>
              <x14:axisColor rgb="FF000000"/>
            </x14:dataBar>
          </x14:cfRule>
          <xm:sqref>BA621</xm:sqref>
        </x14:conditionalFormatting>
        <x14:conditionalFormatting xmlns:xm="http://schemas.microsoft.com/office/excel/2006/main">
          <x14:cfRule type="dataBar" id="{31C5BE06-F788-4E9B-83F1-A36485F1CEC0}">
            <x14:dataBar minLength="0" maxLength="100" border="1" gradient="0">
              <x14:cfvo type="num">
                <xm:f>0</xm:f>
              </x14:cfvo>
              <x14:cfvo type="num">
                <xm:f>1</xm:f>
              </x14:cfvo>
              <x14:borderColor theme="0"/>
              <x14:negativeFillColor rgb="FFFF0000"/>
              <x14:axisColor rgb="FF000000"/>
            </x14:dataBar>
          </x14:cfRule>
          <xm:sqref>BA623</xm:sqref>
        </x14:conditionalFormatting>
        <x14:conditionalFormatting xmlns:xm="http://schemas.microsoft.com/office/excel/2006/main">
          <x14:cfRule type="dataBar" id="{9154A443-AF8C-41F1-9B5F-41C76E33C206}">
            <x14:dataBar minLength="0" maxLength="100" border="1" gradient="0">
              <x14:cfvo type="num">
                <xm:f>0</xm:f>
              </x14:cfvo>
              <x14:cfvo type="num">
                <xm:f>1</xm:f>
              </x14:cfvo>
              <x14:borderColor theme="0"/>
              <x14:negativeFillColor rgb="FFFF0000"/>
              <x14:axisColor rgb="FF000000"/>
            </x14:dataBar>
          </x14:cfRule>
          <xm:sqref>BA625</xm:sqref>
        </x14:conditionalFormatting>
        <x14:conditionalFormatting xmlns:xm="http://schemas.microsoft.com/office/excel/2006/main">
          <x14:cfRule type="dataBar" id="{62FACDA0-DBB5-4080-86CC-639C4CCC4BEA}">
            <x14:dataBar minLength="0" maxLength="100" border="1" gradient="0">
              <x14:cfvo type="num">
                <xm:f>0</xm:f>
              </x14:cfvo>
              <x14:cfvo type="num">
                <xm:f>1</xm:f>
              </x14:cfvo>
              <x14:borderColor theme="0"/>
              <x14:negativeFillColor rgb="FFFF0000"/>
              <x14:axisColor rgb="FF000000"/>
            </x14:dataBar>
          </x14:cfRule>
          <xm:sqref>BL9</xm:sqref>
        </x14:conditionalFormatting>
        <x14:conditionalFormatting xmlns:xm="http://schemas.microsoft.com/office/excel/2006/main">
          <x14:cfRule type="dataBar" id="{3BDE937F-7186-482B-8D1A-D625D97D932F}">
            <x14:dataBar minLength="0" maxLength="100" border="1" gradient="0">
              <x14:cfvo type="num">
                <xm:f>0</xm:f>
              </x14:cfvo>
              <x14:cfvo type="num">
                <xm:f>1</xm:f>
              </x14:cfvo>
              <x14:borderColor theme="0"/>
              <x14:negativeFillColor rgb="FFFF0000"/>
              <x14:axisColor rgb="FF000000"/>
            </x14:dataBar>
          </x14:cfRule>
          <xm:sqref>BL13</xm:sqref>
        </x14:conditionalFormatting>
        <x14:conditionalFormatting xmlns:xm="http://schemas.microsoft.com/office/excel/2006/main">
          <x14:cfRule type="dataBar" id="{3FF72383-4BC4-448B-BAA9-8C077DB3D3C8}">
            <x14:dataBar minLength="0" maxLength="100" border="1" gradient="0">
              <x14:cfvo type="num">
                <xm:f>0</xm:f>
              </x14:cfvo>
              <x14:cfvo type="num">
                <xm:f>1</xm:f>
              </x14:cfvo>
              <x14:borderColor theme="0"/>
              <x14:negativeFillColor rgb="FFFF0000"/>
              <x14:axisColor rgb="FF000000"/>
            </x14:dataBar>
          </x14:cfRule>
          <xm:sqref>BL15</xm:sqref>
        </x14:conditionalFormatting>
        <x14:conditionalFormatting xmlns:xm="http://schemas.microsoft.com/office/excel/2006/main">
          <x14:cfRule type="dataBar" id="{5315882C-FD4B-44ED-9169-29E8B1E55050}">
            <x14:dataBar minLength="0" maxLength="100" border="1" gradient="0">
              <x14:cfvo type="num">
                <xm:f>0</xm:f>
              </x14:cfvo>
              <x14:cfvo type="num">
                <xm:f>1</xm:f>
              </x14:cfvo>
              <x14:borderColor theme="0"/>
              <x14:negativeFillColor rgb="FFFF0000"/>
              <x14:axisColor rgb="FF000000"/>
            </x14:dataBar>
          </x14:cfRule>
          <xm:sqref>BL17</xm:sqref>
        </x14:conditionalFormatting>
        <x14:conditionalFormatting xmlns:xm="http://schemas.microsoft.com/office/excel/2006/main">
          <x14:cfRule type="dataBar" id="{711327E7-A001-47F9-BA58-2DB32FDAA559}">
            <x14:dataBar minLength="0" maxLength="100" border="1" gradient="0">
              <x14:cfvo type="num">
                <xm:f>0</xm:f>
              </x14:cfvo>
              <x14:cfvo type="num">
                <xm:f>1</xm:f>
              </x14:cfvo>
              <x14:borderColor theme="0"/>
              <x14:negativeFillColor rgb="FFFF0000"/>
              <x14:axisColor rgb="FF000000"/>
            </x14:dataBar>
          </x14:cfRule>
          <xm:sqref>BL19</xm:sqref>
        </x14:conditionalFormatting>
        <x14:conditionalFormatting xmlns:xm="http://schemas.microsoft.com/office/excel/2006/main">
          <x14:cfRule type="dataBar" id="{8BA46333-C440-47AC-BF0E-A4466FF6EA2A}">
            <x14:dataBar minLength="0" maxLength="100" border="1" gradient="0">
              <x14:cfvo type="num">
                <xm:f>0</xm:f>
              </x14:cfvo>
              <x14:cfvo type="num">
                <xm:f>1</xm:f>
              </x14:cfvo>
              <x14:borderColor theme="0"/>
              <x14:negativeFillColor rgb="FFFF0000"/>
              <x14:axisColor rgb="FF000000"/>
            </x14:dataBar>
          </x14:cfRule>
          <xm:sqref>BL21</xm:sqref>
        </x14:conditionalFormatting>
        <x14:conditionalFormatting xmlns:xm="http://schemas.microsoft.com/office/excel/2006/main">
          <x14:cfRule type="dataBar" id="{2840A557-3C2F-484B-80A0-95CAA50F9C9F}">
            <x14:dataBar minLength="0" maxLength="100" border="1" gradient="0">
              <x14:cfvo type="num">
                <xm:f>0</xm:f>
              </x14:cfvo>
              <x14:cfvo type="num">
                <xm:f>1</xm:f>
              </x14:cfvo>
              <x14:borderColor theme="0"/>
              <x14:negativeFillColor rgb="FFFF0000"/>
              <x14:axisColor rgb="FF000000"/>
            </x14:dataBar>
          </x14:cfRule>
          <xm:sqref>BL23</xm:sqref>
        </x14:conditionalFormatting>
        <x14:conditionalFormatting xmlns:xm="http://schemas.microsoft.com/office/excel/2006/main">
          <x14:cfRule type="dataBar" id="{38E1BA36-54E1-43FE-BABB-E59E60328ACB}">
            <x14:dataBar minLength="0" maxLength="100" border="1" gradient="0">
              <x14:cfvo type="num">
                <xm:f>0</xm:f>
              </x14:cfvo>
              <x14:cfvo type="num">
                <xm:f>1</xm:f>
              </x14:cfvo>
              <x14:borderColor theme="0"/>
              <x14:negativeFillColor rgb="FFFF0000"/>
              <x14:axisColor rgb="FF000000"/>
            </x14:dataBar>
          </x14:cfRule>
          <xm:sqref>BL25</xm:sqref>
        </x14:conditionalFormatting>
        <x14:conditionalFormatting xmlns:xm="http://schemas.microsoft.com/office/excel/2006/main">
          <x14:cfRule type="dataBar" id="{16E8E622-46F8-4357-B788-6D4EF782462D}">
            <x14:dataBar minLength="0" maxLength="100" border="1" gradient="0">
              <x14:cfvo type="num">
                <xm:f>0</xm:f>
              </x14:cfvo>
              <x14:cfvo type="num">
                <xm:f>1</xm:f>
              </x14:cfvo>
              <x14:borderColor theme="0"/>
              <x14:negativeFillColor rgb="FFFF0000"/>
              <x14:axisColor rgb="FF000000"/>
            </x14:dataBar>
          </x14:cfRule>
          <xm:sqref>BL27</xm:sqref>
        </x14:conditionalFormatting>
        <x14:conditionalFormatting xmlns:xm="http://schemas.microsoft.com/office/excel/2006/main">
          <x14:cfRule type="dataBar" id="{1D67DC2F-0A24-400C-8500-9D560DB0D742}">
            <x14:dataBar minLength="0" maxLength="100" border="1" gradient="0">
              <x14:cfvo type="num">
                <xm:f>0</xm:f>
              </x14:cfvo>
              <x14:cfvo type="num">
                <xm:f>1</xm:f>
              </x14:cfvo>
              <x14:borderColor theme="0"/>
              <x14:negativeFillColor rgb="FFFF0000"/>
              <x14:axisColor rgb="FF000000"/>
            </x14:dataBar>
          </x14:cfRule>
          <xm:sqref>BL29</xm:sqref>
        </x14:conditionalFormatting>
        <x14:conditionalFormatting xmlns:xm="http://schemas.microsoft.com/office/excel/2006/main">
          <x14:cfRule type="dataBar" id="{66FD0BCA-823B-420A-9D79-B3E8D23E6949}">
            <x14:dataBar minLength="0" maxLength="100" border="1" gradient="0">
              <x14:cfvo type="num">
                <xm:f>0</xm:f>
              </x14:cfvo>
              <x14:cfvo type="num">
                <xm:f>1</xm:f>
              </x14:cfvo>
              <x14:borderColor theme="0"/>
              <x14:negativeFillColor rgb="FFFF0000"/>
              <x14:axisColor rgb="FF000000"/>
            </x14:dataBar>
          </x14:cfRule>
          <xm:sqref>BL31</xm:sqref>
        </x14:conditionalFormatting>
        <x14:conditionalFormatting xmlns:xm="http://schemas.microsoft.com/office/excel/2006/main">
          <x14:cfRule type="dataBar" id="{90B60418-FBED-4432-AB88-304E1561CB73}">
            <x14:dataBar minLength="0" maxLength="100" border="1" gradient="0">
              <x14:cfvo type="num">
                <xm:f>0</xm:f>
              </x14:cfvo>
              <x14:cfvo type="num">
                <xm:f>1</xm:f>
              </x14:cfvo>
              <x14:borderColor theme="0"/>
              <x14:negativeFillColor rgb="FFFF0000"/>
              <x14:axisColor rgb="FF000000"/>
            </x14:dataBar>
          </x14:cfRule>
          <xm:sqref>BL35</xm:sqref>
        </x14:conditionalFormatting>
        <x14:conditionalFormatting xmlns:xm="http://schemas.microsoft.com/office/excel/2006/main">
          <x14:cfRule type="dataBar" id="{EB54CA6D-BB9F-45F2-B8D0-D4E48F5C1E4E}">
            <x14:dataBar minLength="0" maxLength="100" border="1" gradient="0">
              <x14:cfvo type="num">
                <xm:f>0</xm:f>
              </x14:cfvo>
              <x14:cfvo type="num">
                <xm:f>1</xm:f>
              </x14:cfvo>
              <x14:borderColor theme="0"/>
              <x14:negativeFillColor rgb="FFFF0000"/>
              <x14:axisColor rgb="FF000000"/>
            </x14:dataBar>
          </x14:cfRule>
          <xm:sqref>BL37</xm:sqref>
        </x14:conditionalFormatting>
        <x14:conditionalFormatting xmlns:xm="http://schemas.microsoft.com/office/excel/2006/main">
          <x14:cfRule type="dataBar" id="{DE95B718-8572-41A5-BAF9-3870D9BB4C15}">
            <x14:dataBar minLength="0" maxLength="100" border="1" gradient="0">
              <x14:cfvo type="num">
                <xm:f>0</xm:f>
              </x14:cfvo>
              <x14:cfvo type="num">
                <xm:f>1</xm:f>
              </x14:cfvo>
              <x14:borderColor theme="0"/>
              <x14:negativeFillColor rgb="FFFF0000"/>
              <x14:axisColor rgb="FF000000"/>
            </x14:dataBar>
          </x14:cfRule>
          <xm:sqref>BL39</xm:sqref>
        </x14:conditionalFormatting>
        <x14:conditionalFormatting xmlns:xm="http://schemas.microsoft.com/office/excel/2006/main">
          <x14:cfRule type="dataBar" id="{BFC4C2E6-4FC5-436F-8980-E0674C37386C}">
            <x14:dataBar minLength="0" maxLength="100" border="1" gradient="0">
              <x14:cfvo type="num">
                <xm:f>0</xm:f>
              </x14:cfvo>
              <x14:cfvo type="num">
                <xm:f>1</xm:f>
              </x14:cfvo>
              <x14:borderColor theme="0"/>
              <x14:negativeFillColor rgb="FFFF0000"/>
              <x14:axisColor rgb="FF000000"/>
            </x14:dataBar>
          </x14:cfRule>
          <xm:sqref>BL41</xm:sqref>
        </x14:conditionalFormatting>
        <x14:conditionalFormatting xmlns:xm="http://schemas.microsoft.com/office/excel/2006/main">
          <x14:cfRule type="dataBar" id="{23559C78-89DA-4EAA-B6B6-55B3D886BB90}">
            <x14:dataBar minLength="0" maxLength="100" border="1" gradient="0">
              <x14:cfvo type="num">
                <xm:f>0</xm:f>
              </x14:cfvo>
              <x14:cfvo type="num">
                <xm:f>1</xm:f>
              </x14:cfvo>
              <x14:borderColor theme="0"/>
              <x14:negativeFillColor rgb="FFFF0000"/>
              <x14:axisColor rgb="FF000000"/>
            </x14:dataBar>
          </x14:cfRule>
          <xm:sqref>BL43</xm:sqref>
        </x14:conditionalFormatting>
        <x14:conditionalFormatting xmlns:xm="http://schemas.microsoft.com/office/excel/2006/main">
          <x14:cfRule type="dataBar" id="{78320D4E-80C9-420E-8EB2-D3F702ADBC06}">
            <x14:dataBar minLength="0" maxLength="100" border="1" gradient="0">
              <x14:cfvo type="num">
                <xm:f>0</xm:f>
              </x14:cfvo>
              <x14:cfvo type="num">
                <xm:f>1</xm:f>
              </x14:cfvo>
              <x14:borderColor theme="0"/>
              <x14:negativeFillColor rgb="FFFF0000"/>
              <x14:axisColor rgb="FF000000"/>
            </x14:dataBar>
          </x14:cfRule>
          <xm:sqref>BL47</xm:sqref>
        </x14:conditionalFormatting>
        <x14:conditionalFormatting xmlns:xm="http://schemas.microsoft.com/office/excel/2006/main">
          <x14:cfRule type="dataBar" id="{31871051-E8C0-4589-A2EB-0C4D5647CAAC}">
            <x14:dataBar minLength="0" maxLength="100" border="1" gradient="0">
              <x14:cfvo type="num">
                <xm:f>0</xm:f>
              </x14:cfvo>
              <x14:cfvo type="num">
                <xm:f>1</xm:f>
              </x14:cfvo>
              <x14:borderColor theme="0"/>
              <x14:negativeFillColor rgb="FFFF0000"/>
              <x14:axisColor rgb="FF000000"/>
            </x14:dataBar>
          </x14:cfRule>
          <xm:sqref>BL49</xm:sqref>
        </x14:conditionalFormatting>
        <x14:conditionalFormatting xmlns:xm="http://schemas.microsoft.com/office/excel/2006/main">
          <x14:cfRule type="dataBar" id="{0C0871EA-6F8E-45E2-9739-37751CA79941}">
            <x14:dataBar minLength="0" maxLength="100" border="1" gradient="0">
              <x14:cfvo type="num">
                <xm:f>0</xm:f>
              </x14:cfvo>
              <x14:cfvo type="num">
                <xm:f>1</xm:f>
              </x14:cfvo>
              <x14:borderColor theme="0"/>
              <x14:negativeFillColor rgb="FFFF0000"/>
              <x14:axisColor rgb="FF000000"/>
            </x14:dataBar>
          </x14:cfRule>
          <xm:sqref>BL51</xm:sqref>
        </x14:conditionalFormatting>
        <x14:conditionalFormatting xmlns:xm="http://schemas.microsoft.com/office/excel/2006/main">
          <x14:cfRule type="dataBar" id="{7C97D52F-B7A2-4671-B7AB-8091C45E184F}">
            <x14:dataBar minLength="0" maxLength="100" border="1" gradient="0">
              <x14:cfvo type="num">
                <xm:f>0</xm:f>
              </x14:cfvo>
              <x14:cfvo type="num">
                <xm:f>1</xm:f>
              </x14:cfvo>
              <x14:borderColor theme="0"/>
              <x14:negativeFillColor rgb="FFFF0000"/>
              <x14:axisColor rgb="FF000000"/>
            </x14:dataBar>
          </x14:cfRule>
          <xm:sqref>BL53</xm:sqref>
        </x14:conditionalFormatting>
        <x14:conditionalFormatting xmlns:xm="http://schemas.microsoft.com/office/excel/2006/main">
          <x14:cfRule type="dataBar" id="{F171A57C-9A3F-42A8-A51F-9586EECA8B47}">
            <x14:dataBar minLength="0" maxLength="100" border="1" gradient="0">
              <x14:cfvo type="num">
                <xm:f>0</xm:f>
              </x14:cfvo>
              <x14:cfvo type="num">
                <xm:f>1</xm:f>
              </x14:cfvo>
              <x14:borderColor theme="0"/>
              <x14:negativeFillColor rgb="FFFF0000"/>
              <x14:axisColor rgb="FF000000"/>
            </x14:dataBar>
          </x14:cfRule>
          <xm:sqref>BL55</xm:sqref>
        </x14:conditionalFormatting>
        <x14:conditionalFormatting xmlns:xm="http://schemas.microsoft.com/office/excel/2006/main">
          <x14:cfRule type="dataBar" id="{DFF4D18A-19B5-40CA-82E6-6DDE9E61B822}">
            <x14:dataBar minLength="0" maxLength="100" border="1" gradient="0">
              <x14:cfvo type="num">
                <xm:f>0</xm:f>
              </x14:cfvo>
              <x14:cfvo type="num">
                <xm:f>1</xm:f>
              </x14:cfvo>
              <x14:borderColor theme="0"/>
              <x14:negativeFillColor rgb="FFFF0000"/>
              <x14:axisColor rgb="FF000000"/>
            </x14:dataBar>
          </x14:cfRule>
          <xm:sqref>BL57</xm:sqref>
        </x14:conditionalFormatting>
        <x14:conditionalFormatting xmlns:xm="http://schemas.microsoft.com/office/excel/2006/main">
          <x14:cfRule type="dataBar" id="{6941ADD7-EF00-41F2-AAAB-3BBB8B1BA6DA}">
            <x14:dataBar minLength="0" maxLength="100" border="1" gradient="0">
              <x14:cfvo type="num">
                <xm:f>0</xm:f>
              </x14:cfvo>
              <x14:cfvo type="num">
                <xm:f>1</xm:f>
              </x14:cfvo>
              <x14:borderColor theme="0"/>
              <x14:negativeFillColor rgb="FFFF0000"/>
              <x14:axisColor rgb="FF000000"/>
            </x14:dataBar>
          </x14:cfRule>
          <xm:sqref>BL59</xm:sqref>
        </x14:conditionalFormatting>
        <x14:conditionalFormatting xmlns:xm="http://schemas.microsoft.com/office/excel/2006/main">
          <x14:cfRule type="dataBar" id="{298796E0-1866-405F-97AC-BB4B9AE2EF6D}">
            <x14:dataBar minLength="0" maxLength="100" border="1" gradient="0">
              <x14:cfvo type="num">
                <xm:f>0</xm:f>
              </x14:cfvo>
              <x14:cfvo type="num">
                <xm:f>1</xm:f>
              </x14:cfvo>
              <x14:borderColor theme="0"/>
              <x14:negativeFillColor rgb="FFFF0000"/>
              <x14:axisColor rgb="FF000000"/>
            </x14:dataBar>
          </x14:cfRule>
          <xm:sqref>BL61</xm:sqref>
        </x14:conditionalFormatting>
        <x14:conditionalFormatting xmlns:xm="http://schemas.microsoft.com/office/excel/2006/main">
          <x14:cfRule type="dataBar" id="{89AD43F5-E39A-4B1F-A08D-2F7A7F0360B5}">
            <x14:dataBar minLength="0" maxLength="100" border="1" gradient="0">
              <x14:cfvo type="num">
                <xm:f>0</xm:f>
              </x14:cfvo>
              <x14:cfvo type="num">
                <xm:f>1</xm:f>
              </x14:cfvo>
              <x14:borderColor theme="0"/>
              <x14:negativeFillColor rgb="FFFF0000"/>
              <x14:axisColor rgb="FF000000"/>
            </x14:dataBar>
          </x14:cfRule>
          <xm:sqref>BL63</xm:sqref>
        </x14:conditionalFormatting>
        <x14:conditionalFormatting xmlns:xm="http://schemas.microsoft.com/office/excel/2006/main">
          <x14:cfRule type="dataBar" id="{88E1689B-D683-4925-A953-7EB3BEE0BCFD}">
            <x14:dataBar minLength="0" maxLength="100" border="1" gradient="0">
              <x14:cfvo type="num">
                <xm:f>0</xm:f>
              </x14:cfvo>
              <x14:cfvo type="num">
                <xm:f>1</xm:f>
              </x14:cfvo>
              <x14:borderColor theme="0"/>
              <x14:negativeFillColor rgb="FFFF0000"/>
              <x14:axisColor rgb="FF000000"/>
            </x14:dataBar>
          </x14:cfRule>
          <xm:sqref>BL65</xm:sqref>
        </x14:conditionalFormatting>
        <x14:conditionalFormatting xmlns:xm="http://schemas.microsoft.com/office/excel/2006/main">
          <x14:cfRule type="dataBar" id="{89528309-9941-49B4-830F-71AD0C8996D2}">
            <x14:dataBar minLength="0" maxLength="100" border="1" gradient="0">
              <x14:cfvo type="num">
                <xm:f>0</xm:f>
              </x14:cfvo>
              <x14:cfvo type="num">
                <xm:f>1</xm:f>
              </x14:cfvo>
              <x14:borderColor theme="0"/>
              <x14:negativeFillColor rgb="FFFF0000"/>
              <x14:axisColor rgb="FF000000"/>
            </x14:dataBar>
          </x14:cfRule>
          <xm:sqref>BL67</xm:sqref>
        </x14:conditionalFormatting>
        <x14:conditionalFormatting xmlns:xm="http://schemas.microsoft.com/office/excel/2006/main">
          <x14:cfRule type="dataBar" id="{662EC653-0666-44C3-854E-0CAAD0DAD487}">
            <x14:dataBar minLength="0" maxLength="100" border="1" gradient="0">
              <x14:cfvo type="num">
                <xm:f>0</xm:f>
              </x14:cfvo>
              <x14:cfvo type="num">
                <xm:f>1</xm:f>
              </x14:cfvo>
              <x14:borderColor theme="0"/>
              <x14:negativeFillColor rgb="FFFF0000"/>
              <x14:axisColor rgb="FF000000"/>
            </x14:dataBar>
          </x14:cfRule>
          <xm:sqref>BL69</xm:sqref>
        </x14:conditionalFormatting>
        <x14:conditionalFormatting xmlns:xm="http://schemas.microsoft.com/office/excel/2006/main">
          <x14:cfRule type="dataBar" id="{AA75899B-EEAA-4139-BDD1-C2815B75F895}">
            <x14:dataBar minLength="0" maxLength="100" border="1" gradient="0">
              <x14:cfvo type="num">
                <xm:f>0</xm:f>
              </x14:cfvo>
              <x14:cfvo type="num">
                <xm:f>1</xm:f>
              </x14:cfvo>
              <x14:borderColor theme="0"/>
              <x14:negativeFillColor rgb="FFFF0000"/>
              <x14:axisColor rgb="FF000000"/>
            </x14:dataBar>
          </x14:cfRule>
          <xm:sqref>BL73</xm:sqref>
        </x14:conditionalFormatting>
        <x14:conditionalFormatting xmlns:xm="http://schemas.microsoft.com/office/excel/2006/main">
          <x14:cfRule type="dataBar" id="{A601D384-1163-41B9-9FB7-F4CFA67D1034}">
            <x14:dataBar minLength="0" maxLength="100" border="1" gradient="0">
              <x14:cfvo type="num">
                <xm:f>0</xm:f>
              </x14:cfvo>
              <x14:cfvo type="num">
                <xm:f>1</xm:f>
              </x14:cfvo>
              <x14:borderColor theme="0"/>
              <x14:negativeFillColor rgb="FFFF0000"/>
              <x14:axisColor rgb="FF000000"/>
            </x14:dataBar>
          </x14:cfRule>
          <xm:sqref>BL77</xm:sqref>
        </x14:conditionalFormatting>
        <x14:conditionalFormatting xmlns:xm="http://schemas.microsoft.com/office/excel/2006/main">
          <x14:cfRule type="dataBar" id="{39ED9933-BB77-4D26-84CB-37BF82664F94}">
            <x14:dataBar minLength="0" maxLength="100" border="1" gradient="0">
              <x14:cfvo type="num">
                <xm:f>0</xm:f>
              </x14:cfvo>
              <x14:cfvo type="num">
                <xm:f>1</xm:f>
              </x14:cfvo>
              <x14:borderColor theme="0"/>
              <x14:negativeFillColor rgb="FFFF0000"/>
              <x14:axisColor rgb="FF000000"/>
            </x14:dataBar>
          </x14:cfRule>
          <xm:sqref>BL79</xm:sqref>
        </x14:conditionalFormatting>
        <x14:conditionalFormatting xmlns:xm="http://schemas.microsoft.com/office/excel/2006/main">
          <x14:cfRule type="dataBar" id="{9479CCDC-1F10-42E3-8F47-0854C5723E22}">
            <x14:dataBar minLength="0" maxLength="100" border="1" gradient="0">
              <x14:cfvo type="num">
                <xm:f>0</xm:f>
              </x14:cfvo>
              <x14:cfvo type="num">
                <xm:f>1</xm:f>
              </x14:cfvo>
              <x14:borderColor theme="0"/>
              <x14:negativeFillColor rgb="FFFF0000"/>
              <x14:axisColor rgb="FF000000"/>
            </x14:dataBar>
          </x14:cfRule>
          <xm:sqref>BL81</xm:sqref>
        </x14:conditionalFormatting>
        <x14:conditionalFormatting xmlns:xm="http://schemas.microsoft.com/office/excel/2006/main">
          <x14:cfRule type="dataBar" id="{ACBCABC1-6C81-463E-93FC-CB27725E03C5}">
            <x14:dataBar minLength="0" maxLength="100" border="1" gradient="0">
              <x14:cfvo type="num">
                <xm:f>0</xm:f>
              </x14:cfvo>
              <x14:cfvo type="num">
                <xm:f>1</xm:f>
              </x14:cfvo>
              <x14:borderColor theme="0"/>
              <x14:negativeFillColor rgb="FFFF0000"/>
              <x14:axisColor rgb="FF000000"/>
            </x14:dataBar>
          </x14:cfRule>
          <xm:sqref>BL83</xm:sqref>
        </x14:conditionalFormatting>
        <x14:conditionalFormatting xmlns:xm="http://schemas.microsoft.com/office/excel/2006/main">
          <x14:cfRule type="dataBar" id="{B92F93E3-28D5-4E57-AF6A-ADDE1EA0B5A4}">
            <x14:dataBar minLength="0" maxLength="100" border="1" gradient="0">
              <x14:cfvo type="num">
                <xm:f>0</xm:f>
              </x14:cfvo>
              <x14:cfvo type="num">
                <xm:f>1</xm:f>
              </x14:cfvo>
              <x14:borderColor theme="0"/>
              <x14:negativeFillColor rgb="FFFF0000"/>
              <x14:axisColor rgb="FF000000"/>
            </x14:dataBar>
          </x14:cfRule>
          <xm:sqref>BL85</xm:sqref>
        </x14:conditionalFormatting>
        <x14:conditionalFormatting xmlns:xm="http://schemas.microsoft.com/office/excel/2006/main">
          <x14:cfRule type="dataBar" id="{83FE8B9D-44C9-4CE1-89E9-9FFBD2261328}">
            <x14:dataBar minLength="0" maxLength="100" border="1" gradient="0">
              <x14:cfvo type="num">
                <xm:f>0</xm:f>
              </x14:cfvo>
              <x14:cfvo type="num">
                <xm:f>1</xm:f>
              </x14:cfvo>
              <x14:borderColor theme="0"/>
              <x14:negativeFillColor rgb="FFFF0000"/>
              <x14:axisColor rgb="FF000000"/>
            </x14:dataBar>
          </x14:cfRule>
          <xm:sqref>BL87</xm:sqref>
        </x14:conditionalFormatting>
        <x14:conditionalFormatting xmlns:xm="http://schemas.microsoft.com/office/excel/2006/main">
          <x14:cfRule type="dataBar" id="{5C3B8650-FE43-4741-A5BC-C32128907B3A}">
            <x14:dataBar minLength="0" maxLength="100" border="1" gradient="0">
              <x14:cfvo type="num">
                <xm:f>0</xm:f>
              </x14:cfvo>
              <x14:cfvo type="num">
                <xm:f>1</xm:f>
              </x14:cfvo>
              <x14:borderColor theme="0"/>
              <x14:negativeFillColor rgb="FFFF0000"/>
              <x14:axisColor rgb="FF000000"/>
            </x14:dataBar>
          </x14:cfRule>
          <xm:sqref>BL89</xm:sqref>
        </x14:conditionalFormatting>
        <x14:conditionalFormatting xmlns:xm="http://schemas.microsoft.com/office/excel/2006/main">
          <x14:cfRule type="dataBar" id="{EDC5B375-C4C9-4DB2-B336-95597DC45C27}">
            <x14:dataBar minLength="0" maxLength="100" border="1" gradient="0">
              <x14:cfvo type="num">
                <xm:f>0</xm:f>
              </x14:cfvo>
              <x14:cfvo type="num">
                <xm:f>1</xm:f>
              </x14:cfvo>
              <x14:borderColor theme="0"/>
              <x14:negativeFillColor rgb="FFFF0000"/>
              <x14:axisColor rgb="FF000000"/>
            </x14:dataBar>
          </x14:cfRule>
          <xm:sqref>BL93</xm:sqref>
        </x14:conditionalFormatting>
        <x14:conditionalFormatting xmlns:xm="http://schemas.microsoft.com/office/excel/2006/main">
          <x14:cfRule type="dataBar" id="{A67DD2BC-F3D4-40C4-B23F-58992D92D3AB}">
            <x14:dataBar minLength="0" maxLength="100" border="1" gradient="0">
              <x14:cfvo type="num">
                <xm:f>0</xm:f>
              </x14:cfvo>
              <x14:cfvo type="num">
                <xm:f>1</xm:f>
              </x14:cfvo>
              <x14:borderColor theme="0"/>
              <x14:negativeFillColor rgb="FFFF0000"/>
              <x14:axisColor rgb="FF000000"/>
            </x14:dataBar>
          </x14:cfRule>
          <xm:sqref>BL95</xm:sqref>
        </x14:conditionalFormatting>
        <x14:conditionalFormatting xmlns:xm="http://schemas.microsoft.com/office/excel/2006/main">
          <x14:cfRule type="dataBar" id="{1C70C081-98F7-4359-A3F4-701C5B718D47}">
            <x14:dataBar minLength="0" maxLength="100" border="1" gradient="0">
              <x14:cfvo type="num">
                <xm:f>0</xm:f>
              </x14:cfvo>
              <x14:cfvo type="num">
                <xm:f>1</xm:f>
              </x14:cfvo>
              <x14:borderColor theme="0"/>
              <x14:negativeFillColor rgb="FFFF0000"/>
              <x14:axisColor rgb="FF000000"/>
            </x14:dataBar>
          </x14:cfRule>
          <xm:sqref>BL97</xm:sqref>
        </x14:conditionalFormatting>
        <x14:conditionalFormatting xmlns:xm="http://schemas.microsoft.com/office/excel/2006/main">
          <x14:cfRule type="dataBar" id="{E320A613-FD54-4C5A-A0C8-D2E5D98412EE}">
            <x14:dataBar minLength="0" maxLength="100" border="1" gradient="0">
              <x14:cfvo type="num">
                <xm:f>0</xm:f>
              </x14:cfvo>
              <x14:cfvo type="num">
                <xm:f>1</xm:f>
              </x14:cfvo>
              <x14:borderColor theme="0"/>
              <x14:negativeFillColor rgb="FFFF0000"/>
              <x14:axisColor rgb="FF000000"/>
            </x14:dataBar>
          </x14:cfRule>
          <xm:sqref>BL99</xm:sqref>
        </x14:conditionalFormatting>
        <x14:conditionalFormatting xmlns:xm="http://schemas.microsoft.com/office/excel/2006/main">
          <x14:cfRule type="dataBar" id="{E03668AA-6A18-45B5-8ECF-FC7D4E511929}">
            <x14:dataBar minLength="0" maxLength="100" border="1" gradient="0">
              <x14:cfvo type="num">
                <xm:f>0</xm:f>
              </x14:cfvo>
              <x14:cfvo type="num">
                <xm:f>1</xm:f>
              </x14:cfvo>
              <x14:borderColor theme="0"/>
              <x14:negativeFillColor rgb="FFFF0000"/>
              <x14:axisColor rgb="FF000000"/>
            </x14:dataBar>
          </x14:cfRule>
          <xm:sqref>BL101</xm:sqref>
        </x14:conditionalFormatting>
        <x14:conditionalFormatting xmlns:xm="http://schemas.microsoft.com/office/excel/2006/main">
          <x14:cfRule type="dataBar" id="{125AB684-C76B-4266-AC63-172C50BD0483}">
            <x14:dataBar minLength="0" maxLength="100" border="1" gradient="0">
              <x14:cfvo type="num">
                <xm:f>0</xm:f>
              </x14:cfvo>
              <x14:cfvo type="num">
                <xm:f>1</xm:f>
              </x14:cfvo>
              <x14:borderColor theme="0"/>
              <x14:negativeFillColor rgb="FFFF0000"/>
              <x14:axisColor rgb="FF000000"/>
            </x14:dataBar>
          </x14:cfRule>
          <xm:sqref>BL103</xm:sqref>
        </x14:conditionalFormatting>
        <x14:conditionalFormatting xmlns:xm="http://schemas.microsoft.com/office/excel/2006/main">
          <x14:cfRule type="dataBar" id="{6757E5EC-F178-4E8C-843F-4ED1D8A7C05D}">
            <x14:dataBar minLength="0" maxLength="100" border="1" gradient="0">
              <x14:cfvo type="num">
                <xm:f>0</xm:f>
              </x14:cfvo>
              <x14:cfvo type="num">
                <xm:f>1</xm:f>
              </x14:cfvo>
              <x14:borderColor theme="0"/>
              <x14:negativeFillColor rgb="FFFF0000"/>
              <x14:axisColor rgb="FF000000"/>
            </x14:dataBar>
          </x14:cfRule>
          <xm:sqref>BL105</xm:sqref>
        </x14:conditionalFormatting>
        <x14:conditionalFormatting xmlns:xm="http://schemas.microsoft.com/office/excel/2006/main">
          <x14:cfRule type="dataBar" id="{D6439E93-6A3F-4B23-9472-919DB9E84BFB}">
            <x14:dataBar minLength="0" maxLength="100" border="1" gradient="0">
              <x14:cfvo type="num">
                <xm:f>0</xm:f>
              </x14:cfvo>
              <x14:cfvo type="num">
                <xm:f>1</xm:f>
              </x14:cfvo>
              <x14:borderColor theme="0"/>
              <x14:negativeFillColor rgb="FFFF0000"/>
              <x14:axisColor rgb="FF000000"/>
            </x14:dataBar>
          </x14:cfRule>
          <xm:sqref>BL107</xm:sqref>
        </x14:conditionalFormatting>
        <x14:conditionalFormatting xmlns:xm="http://schemas.microsoft.com/office/excel/2006/main">
          <x14:cfRule type="dataBar" id="{F40E6FF8-8829-44A9-B1DC-9E745CD22F43}">
            <x14:dataBar minLength="0" maxLength="100" border="1" gradient="0">
              <x14:cfvo type="num">
                <xm:f>0</xm:f>
              </x14:cfvo>
              <x14:cfvo type="num">
                <xm:f>1</xm:f>
              </x14:cfvo>
              <x14:borderColor theme="0"/>
              <x14:negativeFillColor rgb="FFFF0000"/>
              <x14:axisColor rgb="FF000000"/>
            </x14:dataBar>
          </x14:cfRule>
          <xm:sqref>BL109</xm:sqref>
        </x14:conditionalFormatting>
        <x14:conditionalFormatting xmlns:xm="http://schemas.microsoft.com/office/excel/2006/main">
          <x14:cfRule type="dataBar" id="{A3B3C6E3-48FC-4701-89D5-04CD393E31F7}">
            <x14:dataBar minLength="0" maxLength="100" border="1" gradient="0">
              <x14:cfvo type="num">
                <xm:f>0</xm:f>
              </x14:cfvo>
              <x14:cfvo type="num">
                <xm:f>1</xm:f>
              </x14:cfvo>
              <x14:borderColor theme="0"/>
              <x14:negativeFillColor rgb="FFFF0000"/>
              <x14:axisColor rgb="FF000000"/>
            </x14:dataBar>
          </x14:cfRule>
          <xm:sqref>BL113</xm:sqref>
        </x14:conditionalFormatting>
        <x14:conditionalFormatting xmlns:xm="http://schemas.microsoft.com/office/excel/2006/main">
          <x14:cfRule type="dataBar" id="{A3CBEAEE-9003-47F5-96A4-D80A3335992B}">
            <x14:dataBar minLength="0" maxLength="100" border="1" gradient="0">
              <x14:cfvo type="num">
                <xm:f>0</xm:f>
              </x14:cfvo>
              <x14:cfvo type="num">
                <xm:f>1</xm:f>
              </x14:cfvo>
              <x14:borderColor theme="0"/>
              <x14:negativeFillColor rgb="FFFF0000"/>
              <x14:axisColor rgb="FF000000"/>
            </x14:dataBar>
          </x14:cfRule>
          <xm:sqref>BL115</xm:sqref>
        </x14:conditionalFormatting>
        <x14:conditionalFormatting xmlns:xm="http://schemas.microsoft.com/office/excel/2006/main">
          <x14:cfRule type="dataBar" id="{1AFB2378-8331-4AD2-B817-CFF9D48D47E6}">
            <x14:dataBar minLength="0" maxLength="100" border="1" gradient="0">
              <x14:cfvo type="num">
                <xm:f>0</xm:f>
              </x14:cfvo>
              <x14:cfvo type="num">
                <xm:f>1</xm:f>
              </x14:cfvo>
              <x14:borderColor theme="0"/>
              <x14:negativeFillColor rgb="FFFF0000"/>
              <x14:axisColor rgb="FF000000"/>
            </x14:dataBar>
          </x14:cfRule>
          <xm:sqref>BL119</xm:sqref>
        </x14:conditionalFormatting>
        <x14:conditionalFormatting xmlns:xm="http://schemas.microsoft.com/office/excel/2006/main">
          <x14:cfRule type="dataBar" id="{C7021FAE-FF9F-4238-8571-C4676E6295BD}">
            <x14:dataBar minLength="0" maxLength="100" border="1" gradient="0">
              <x14:cfvo type="num">
                <xm:f>0</xm:f>
              </x14:cfvo>
              <x14:cfvo type="num">
                <xm:f>1</xm:f>
              </x14:cfvo>
              <x14:borderColor theme="0"/>
              <x14:negativeFillColor rgb="FFFF0000"/>
              <x14:axisColor rgb="FF000000"/>
            </x14:dataBar>
          </x14:cfRule>
          <xm:sqref>BL121</xm:sqref>
        </x14:conditionalFormatting>
        <x14:conditionalFormatting xmlns:xm="http://schemas.microsoft.com/office/excel/2006/main">
          <x14:cfRule type="dataBar" id="{54EF4957-2602-4F82-AE20-1CEE18157CD5}">
            <x14:dataBar minLength="0" maxLength="100" border="1" gradient="0">
              <x14:cfvo type="num">
                <xm:f>0</xm:f>
              </x14:cfvo>
              <x14:cfvo type="num">
                <xm:f>1</xm:f>
              </x14:cfvo>
              <x14:borderColor theme="0"/>
              <x14:negativeFillColor rgb="FFFF0000"/>
              <x14:axisColor rgb="FF000000"/>
            </x14:dataBar>
          </x14:cfRule>
          <xm:sqref>BL123</xm:sqref>
        </x14:conditionalFormatting>
        <x14:conditionalFormatting xmlns:xm="http://schemas.microsoft.com/office/excel/2006/main">
          <x14:cfRule type="dataBar" id="{8D26250B-5A14-4D33-8F4D-BE8919CCEC9D}">
            <x14:dataBar minLength="0" maxLength="100" border="1" gradient="0">
              <x14:cfvo type="num">
                <xm:f>0</xm:f>
              </x14:cfvo>
              <x14:cfvo type="num">
                <xm:f>1</xm:f>
              </x14:cfvo>
              <x14:borderColor theme="0"/>
              <x14:negativeFillColor rgb="FFFF0000"/>
              <x14:axisColor rgb="FF000000"/>
            </x14:dataBar>
          </x14:cfRule>
          <xm:sqref>BL125</xm:sqref>
        </x14:conditionalFormatting>
        <x14:conditionalFormatting xmlns:xm="http://schemas.microsoft.com/office/excel/2006/main">
          <x14:cfRule type="dataBar" id="{7E5B2D52-8ACF-4530-8405-8F224A943DC6}">
            <x14:dataBar minLength="0" maxLength="100" border="1" gradient="0">
              <x14:cfvo type="num">
                <xm:f>0</xm:f>
              </x14:cfvo>
              <x14:cfvo type="num">
                <xm:f>1</xm:f>
              </x14:cfvo>
              <x14:borderColor theme="0"/>
              <x14:negativeFillColor rgb="FFFF0000"/>
              <x14:axisColor rgb="FF000000"/>
            </x14:dataBar>
          </x14:cfRule>
          <xm:sqref>BL127</xm:sqref>
        </x14:conditionalFormatting>
        <x14:conditionalFormatting xmlns:xm="http://schemas.microsoft.com/office/excel/2006/main">
          <x14:cfRule type="dataBar" id="{E20A7753-E4CF-46B5-BE7B-BE47F5DFCD75}">
            <x14:dataBar minLength="0" maxLength="100" border="1" gradient="0">
              <x14:cfvo type="num">
                <xm:f>0</xm:f>
              </x14:cfvo>
              <x14:cfvo type="num">
                <xm:f>1</xm:f>
              </x14:cfvo>
              <x14:borderColor theme="0"/>
              <x14:negativeFillColor rgb="FFFF0000"/>
              <x14:axisColor rgb="FF000000"/>
            </x14:dataBar>
          </x14:cfRule>
          <xm:sqref>BL129</xm:sqref>
        </x14:conditionalFormatting>
        <x14:conditionalFormatting xmlns:xm="http://schemas.microsoft.com/office/excel/2006/main">
          <x14:cfRule type="dataBar" id="{B3B4DC2F-7CE1-4CD2-A5CB-7CCD327E7DB4}">
            <x14:dataBar minLength="0" maxLength="100" border="1" gradient="0">
              <x14:cfvo type="num">
                <xm:f>0</xm:f>
              </x14:cfvo>
              <x14:cfvo type="num">
                <xm:f>1</xm:f>
              </x14:cfvo>
              <x14:borderColor theme="0"/>
              <x14:negativeFillColor rgb="FFFF0000"/>
              <x14:axisColor rgb="FF000000"/>
            </x14:dataBar>
          </x14:cfRule>
          <xm:sqref>BL131</xm:sqref>
        </x14:conditionalFormatting>
        <x14:conditionalFormatting xmlns:xm="http://schemas.microsoft.com/office/excel/2006/main">
          <x14:cfRule type="dataBar" id="{D0A83A98-61B3-49CF-8A4D-F784E844F8B3}">
            <x14:dataBar minLength="0" maxLength="100" border="1" gradient="0">
              <x14:cfvo type="num">
                <xm:f>0</xm:f>
              </x14:cfvo>
              <x14:cfvo type="num">
                <xm:f>1</xm:f>
              </x14:cfvo>
              <x14:borderColor theme="0"/>
              <x14:negativeFillColor rgb="FFFF0000"/>
              <x14:axisColor rgb="FF000000"/>
            </x14:dataBar>
          </x14:cfRule>
          <xm:sqref>BL134</xm:sqref>
        </x14:conditionalFormatting>
        <x14:conditionalFormatting xmlns:xm="http://schemas.microsoft.com/office/excel/2006/main">
          <x14:cfRule type="dataBar" id="{6E037563-03F4-400F-8649-ADDFFB8959F8}">
            <x14:dataBar minLength="0" maxLength="100" border="1" gradient="0">
              <x14:cfvo type="num">
                <xm:f>0</xm:f>
              </x14:cfvo>
              <x14:cfvo type="num">
                <xm:f>1</xm:f>
              </x14:cfvo>
              <x14:borderColor theme="0"/>
              <x14:negativeFillColor rgb="FFFF0000"/>
              <x14:axisColor rgb="FF000000"/>
            </x14:dataBar>
          </x14:cfRule>
          <xm:sqref>BL137</xm:sqref>
        </x14:conditionalFormatting>
        <x14:conditionalFormatting xmlns:xm="http://schemas.microsoft.com/office/excel/2006/main">
          <x14:cfRule type="dataBar" id="{B5C8C80E-EE4B-49D5-9C62-B250BA9E8B0A}">
            <x14:dataBar minLength="0" maxLength="100" border="1" gradient="0">
              <x14:cfvo type="num">
                <xm:f>0</xm:f>
              </x14:cfvo>
              <x14:cfvo type="num">
                <xm:f>1</xm:f>
              </x14:cfvo>
              <x14:borderColor theme="0"/>
              <x14:negativeFillColor rgb="FFFF0000"/>
              <x14:axisColor rgb="FF000000"/>
            </x14:dataBar>
          </x14:cfRule>
          <xm:sqref>BL140</xm:sqref>
        </x14:conditionalFormatting>
        <x14:conditionalFormatting xmlns:xm="http://schemas.microsoft.com/office/excel/2006/main">
          <x14:cfRule type="dataBar" id="{E7C95CE9-73FC-4836-83F0-B7CCDDDF2D1D}">
            <x14:dataBar minLength="0" maxLength="100" border="1" gradient="0">
              <x14:cfvo type="num">
                <xm:f>0</xm:f>
              </x14:cfvo>
              <x14:cfvo type="num">
                <xm:f>1</xm:f>
              </x14:cfvo>
              <x14:borderColor theme="0"/>
              <x14:negativeFillColor rgb="FFFF0000"/>
              <x14:axisColor rgb="FF000000"/>
            </x14:dataBar>
          </x14:cfRule>
          <xm:sqref>BL142</xm:sqref>
        </x14:conditionalFormatting>
        <x14:conditionalFormatting xmlns:xm="http://schemas.microsoft.com/office/excel/2006/main">
          <x14:cfRule type="dataBar" id="{ED5C802E-3D62-4823-AF10-526C976913D2}">
            <x14:dataBar minLength="0" maxLength="100" border="1" gradient="0">
              <x14:cfvo type="num">
                <xm:f>0</xm:f>
              </x14:cfvo>
              <x14:cfvo type="num">
                <xm:f>1</xm:f>
              </x14:cfvo>
              <x14:borderColor theme="0"/>
              <x14:negativeFillColor rgb="FFFF0000"/>
              <x14:axisColor rgb="FF000000"/>
            </x14:dataBar>
          </x14:cfRule>
          <xm:sqref>BL144</xm:sqref>
        </x14:conditionalFormatting>
        <x14:conditionalFormatting xmlns:xm="http://schemas.microsoft.com/office/excel/2006/main">
          <x14:cfRule type="dataBar" id="{E06ED34A-CEDF-43E9-B001-43DD505800BE}">
            <x14:dataBar minLength="0" maxLength="100" border="1" gradient="0">
              <x14:cfvo type="num">
                <xm:f>0</xm:f>
              </x14:cfvo>
              <x14:cfvo type="num">
                <xm:f>1</xm:f>
              </x14:cfvo>
              <x14:borderColor theme="0"/>
              <x14:negativeFillColor rgb="FFFF0000"/>
              <x14:axisColor rgb="FF000000"/>
            </x14:dataBar>
          </x14:cfRule>
          <xm:sqref>BL146</xm:sqref>
        </x14:conditionalFormatting>
        <x14:conditionalFormatting xmlns:xm="http://schemas.microsoft.com/office/excel/2006/main">
          <x14:cfRule type="dataBar" id="{07E4411F-9ED9-4183-9102-0FF33BAD2781}">
            <x14:dataBar minLength="0" maxLength="100" border="1" gradient="0">
              <x14:cfvo type="num">
                <xm:f>0</xm:f>
              </x14:cfvo>
              <x14:cfvo type="num">
                <xm:f>1</xm:f>
              </x14:cfvo>
              <x14:borderColor theme="0"/>
              <x14:negativeFillColor rgb="FFFF0000"/>
              <x14:axisColor rgb="FF000000"/>
            </x14:dataBar>
          </x14:cfRule>
          <xm:sqref>BL148</xm:sqref>
        </x14:conditionalFormatting>
        <x14:conditionalFormatting xmlns:xm="http://schemas.microsoft.com/office/excel/2006/main">
          <x14:cfRule type="dataBar" id="{3AEB7FFE-E4AF-4E5C-856A-FA9AE18B4F4B}">
            <x14:dataBar minLength="0" maxLength="100" border="1" gradient="0">
              <x14:cfvo type="num">
                <xm:f>0</xm:f>
              </x14:cfvo>
              <x14:cfvo type="num">
                <xm:f>1</xm:f>
              </x14:cfvo>
              <x14:borderColor theme="0"/>
              <x14:negativeFillColor rgb="FFFF0000"/>
              <x14:axisColor rgb="FF000000"/>
            </x14:dataBar>
          </x14:cfRule>
          <xm:sqref>BL150</xm:sqref>
        </x14:conditionalFormatting>
        <x14:conditionalFormatting xmlns:xm="http://schemas.microsoft.com/office/excel/2006/main">
          <x14:cfRule type="dataBar" id="{03CA89E8-EACB-4828-A50E-9D68A2347A23}">
            <x14:dataBar minLength="0" maxLength="100" border="1" gradient="0">
              <x14:cfvo type="num">
                <xm:f>0</xm:f>
              </x14:cfvo>
              <x14:cfvo type="num">
                <xm:f>1</xm:f>
              </x14:cfvo>
              <x14:borderColor theme="0"/>
              <x14:negativeFillColor rgb="FFFF0000"/>
              <x14:axisColor rgb="FF000000"/>
            </x14:dataBar>
          </x14:cfRule>
          <xm:sqref>BL152</xm:sqref>
        </x14:conditionalFormatting>
        <x14:conditionalFormatting xmlns:xm="http://schemas.microsoft.com/office/excel/2006/main">
          <x14:cfRule type="dataBar" id="{4E63579D-9B08-49E2-BD15-5DF56B37A12B}">
            <x14:dataBar minLength="0" maxLength="100" border="1" gradient="0">
              <x14:cfvo type="num">
                <xm:f>0</xm:f>
              </x14:cfvo>
              <x14:cfvo type="num">
                <xm:f>1</xm:f>
              </x14:cfvo>
              <x14:borderColor theme="0"/>
              <x14:negativeFillColor rgb="FFFF0000"/>
              <x14:axisColor rgb="FF000000"/>
            </x14:dataBar>
          </x14:cfRule>
          <xm:sqref>BL154</xm:sqref>
        </x14:conditionalFormatting>
        <x14:conditionalFormatting xmlns:xm="http://schemas.microsoft.com/office/excel/2006/main">
          <x14:cfRule type="dataBar" id="{83AE56DB-D166-40CD-A22B-67E49A03DD31}">
            <x14:dataBar minLength="0" maxLength="100" border="1" gradient="0">
              <x14:cfvo type="num">
                <xm:f>0</xm:f>
              </x14:cfvo>
              <x14:cfvo type="num">
                <xm:f>1</xm:f>
              </x14:cfvo>
              <x14:borderColor theme="0"/>
              <x14:negativeFillColor rgb="FFFF0000"/>
              <x14:axisColor rgb="FF000000"/>
            </x14:dataBar>
          </x14:cfRule>
          <xm:sqref>BL156</xm:sqref>
        </x14:conditionalFormatting>
        <x14:conditionalFormatting xmlns:xm="http://schemas.microsoft.com/office/excel/2006/main">
          <x14:cfRule type="dataBar" id="{59380D25-D52C-4B39-B801-7FFF555B8CA6}">
            <x14:dataBar minLength="0" maxLength="100" border="1" gradient="0">
              <x14:cfvo type="num">
                <xm:f>0</xm:f>
              </x14:cfvo>
              <x14:cfvo type="num">
                <xm:f>1</xm:f>
              </x14:cfvo>
              <x14:borderColor theme="0"/>
              <x14:negativeFillColor rgb="FFFF0000"/>
              <x14:axisColor rgb="FF000000"/>
            </x14:dataBar>
          </x14:cfRule>
          <xm:sqref>BL158</xm:sqref>
        </x14:conditionalFormatting>
        <x14:conditionalFormatting xmlns:xm="http://schemas.microsoft.com/office/excel/2006/main">
          <x14:cfRule type="dataBar" id="{0910F35B-D550-407E-AB64-19D7EFF6E62F}">
            <x14:dataBar minLength="0" maxLength="100" border="1" gradient="0">
              <x14:cfvo type="num">
                <xm:f>0</xm:f>
              </x14:cfvo>
              <x14:cfvo type="num">
                <xm:f>1</xm:f>
              </x14:cfvo>
              <x14:borderColor theme="0"/>
              <x14:negativeFillColor rgb="FFFF0000"/>
              <x14:axisColor rgb="FF000000"/>
            </x14:dataBar>
          </x14:cfRule>
          <xm:sqref>BL160</xm:sqref>
        </x14:conditionalFormatting>
        <x14:conditionalFormatting xmlns:xm="http://schemas.microsoft.com/office/excel/2006/main">
          <x14:cfRule type="dataBar" id="{BF346901-B05C-4DF4-951C-2731382D5DB4}">
            <x14:dataBar minLength="0" maxLength="100" border="1" gradient="0">
              <x14:cfvo type="num">
                <xm:f>0</xm:f>
              </x14:cfvo>
              <x14:cfvo type="num">
                <xm:f>1</xm:f>
              </x14:cfvo>
              <x14:borderColor theme="0"/>
              <x14:negativeFillColor rgb="FFFF0000"/>
              <x14:axisColor rgb="FF000000"/>
            </x14:dataBar>
          </x14:cfRule>
          <xm:sqref>BL162</xm:sqref>
        </x14:conditionalFormatting>
        <x14:conditionalFormatting xmlns:xm="http://schemas.microsoft.com/office/excel/2006/main">
          <x14:cfRule type="dataBar" id="{155B276E-CC9A-4F50-868E-3B1147173952}">
            <x14:dataBar minLength="0" maxLength="100" border="1" gradient="0">
              <x14:cfvo type="num">
                <xm:f>0</xm:f>
              </x14:cfvo>
              <x14:cfvo type="num">
                <xm:f>1</xm:f>
              </x14:cfvo>
              <x14:borderColor theme="0"/>
              <x14:negativeFillColor rgb="FFFF0000"/>
              <x14:axisColor rgb="FF000000"/>
            </x14:dataBar>
          </x14:cfRule>
          <xm:sqref>BL164</xm:sqref>
        </x14:conditionalFormatting>
        <x14:conditionalFormatting xmlns:xm="http://schemas.microsoft.com/office/excel/2006/main">
          <x14:cfRule type="dataBar" id="{40D343C9-D57E-43E4-8428-33A23C4A9EFB}">
            <x14:dataBar minLength="0" maxLength="100" border="1" gradient="0">
              <x14:cfvo type="num">
                <xm:f>0</xm:f>
              </x14:cfvo>
              <x14:cfvo type="num">
                <xm:f>1</xm:f>
              </x14:cfvo>
              <x14:borderColor theme="0"/>
              <x14:negativeFillColor rgb="FFFF0000"/>
              <x14:axisColor rgb="FF000000"/>
            </x14:dataBar>
          </x14:cfRule>
          <xm:sqref>BL166</xm:sqref>
        </x14:conditionalFormatting>
        <x14:conditionalFormatting xmlns:xm="http://schemas.microsoft.com/office/excel/2006/main">
          <x14:cfRule type="dataBar" id="{BB743B7F-0BB6-4C0B-81C3-3440CC978B6A}">
            <x14:dataBar minLength="0" maxLength="100" border="1" gradient="0">
              <x14:cfvo type="num">
                <xm:f>0</xm:f>
              </x14:cfvo>
              <x14:cfvo type="num">
                <xm:f>1</xm:f>
              </x14:cfvo>
              <x14:borderColor theme="0"/>
              <x14:negativeFillColor rgb="FFFF0000"/>
              <x14:axisColor rgb="FF000000"/>
            </x14:dataBar>
          </x14:cfRule>
          <xm:sqref>BL168</xm:sqref>
        </x14:conditionalFormatting>
        <x14:conditionalFormatting xmlns:xm="http://schemas.microsoft.com/office/excel/2006/main">
          <x14:cfRule type="dataBar" id="{E264B6CC-A6D3-43FA-AE9F-B43D768CE037}">
            <x14:dataBar minLength="0" maxLength="100" border="1" gradient="0">
              <x14:cfvo type="num">
                <xm:f>0</xm:f>
              </x14:cfvo>
              <x14:cfvo type="num">
                <xm:f>1</xm:f>
              </x14:cfvo>
              <x14:borderColor theme="0"/>
              <x14:negativeFillColor rgb="FFFF0000"/>
              <x14:axisColor rgb="FF000000"/>
            </x14:dataBar>
          </x14:cfRule>
          <xm:sqref>BL170</xm:sqref>
        </x14:conditionalFormatting>
        <x14:conditionalFormatting xmlns:xm="http://schemas.microsoft.com/office/excel/2006/main">
          <x14:cfRule type="dataBar" id="{C0FEA638-316B-4DEE-8051-41AC22097C3D}">
            <x14:dataBar minLength="0" maxLength="100" border="1" gradient="0">
              <x14:cfvo type="num">
                <xm:f>0</xm:f>
              </x14:cfvo>
              <x14:cfvo type="num">
                <xm:f>1</xm:f>
              </x14:cfvo>
              <x14:borderColor theme="0"/>
              <x14:negativeFillColor rgb="FFFF0000"/>
              <x14:axisColor rgb="FF000000"/>
            </x14:dataBar>
          </x14:cfRule>
          <xm:sqref>BL172</xm:sqref>
        </x14:conditionalFormatting>
        <x14:conditionalFormatting xmlns:xm="http://schemas.microsoft.com/office/excel/2006/main">
          <x14:cfRule type="dataBar" id="{739BCC22-498C-42B6-A84E-07375DAE1DFF}">
            <x14:dataBar minLength="0" maxLength="100" border="1" gradient="0">
              <x14:cfvo type="num">
                <xm:f>0</xm:f>
              </x14:cfvo>
              <x14:cfvo type="num">
                <xm:f>1</xm:f>
              </x14:cfvo>
              <x14:borderColor theme="0"/>
              <x14:negativeFillColor rgb="FFFF0000"/>
              <x14:axisColor rgb="FF000000"/>
            </x14:dataBar>
          </x14:cfRule>
          <xm:sqref>BL174</xm:sqref>
        </x14:conditionalFormatting>
        <x14:conditionalFormatting xmlns:xm="http://schemas.microsoft.com/office/excel/2006/main">
          <x14:cfRule type="dataBar" id="{C4E71017-FE30-4C98-982D-0E52E14EC33D}">
            <x14:dataBar minLength="0" maxLength="100" border="1" gradient="0">
              <x14:cfvo type="num">
                <xm:f>0</xm:f>
              </x14:cfvo>
              <x14:cfvo type="num">
                <xm:f>1</xm:f>
              </x14:cfvo>
              <x14:borderColor theme="0"/>
              <x14:negativeFillColor rgb="FFFF0000"/>
              <x14:axisColor rgb="FF000000"/>
            </x14:dataBar>
          </x14:cfRule>
          <xm:sqref>BL176</xm:sqref>
        </x14:conditionalFormatting>
        <x14:conditionalFormatting xmlns:xm="http://schemas.microsoft.com/office/excel/2006/main">
          <x14:cfRule type="dataBar" id="{973DB380-35F8-4A9A-BA43-70F5FE8336D1}">
            <x14:dataBar minLength="0" maxLength="100" border="1" gradient="0">
              <x14:cfvo type="num">
                <xm:f>0</xm:f>
              </x14:cfvo>
              <x14:cfvo type="num">
                <xm:f>1</xm:f>
              </x14:cfvo>
              <x14:borderColor theme="0"/>
              <x14:negativeFillColor rgb="FFFF0000"/>
              <x14:axisColor rgb="FF000000"/>
            </x14:dataBar>
          </x14:cfRule>
          <xm:sqref>BL180</xm:sqref>
        </x14:conditionalFormatting>
        <x14:conditionalFormatting xmlns:xm="http://schemas.microsoft.com/office/excel/2006/main">
          <x14:cfRule type="dataBar" id="{52F4883C-CBF5-484E-A4CA-B882918D100C}">
            <x14:dataBar minLength="0" maxLength="100" border="1" gradient="0">
              <x14:cfvo type="num">
                <xm:f>0</xm:f>
              </x14:cfvo>
              <x14:cfvo type="num">
                <xm:f>1</xm:f>
              </x14:cfvo>
              <x14:borderColor theme="0"/>
              <x14:negativeFillColor rgb="FFFF0000"/>
              <x14:axisColor rgb="FF000000"/>
            </x14:dataBar>
          </x14:cfRule>
          <xm:sqref>BL182</xm:sqref>
        </x14:conditionalFormatting>
        <x14:conditionalFormatting xmlns:xm="http://schemas.microsoft.com/office/excel/2006/main">
          <x14:cfRule type="dataBar" id="{5ADF05D5-59BE-4D36-9FEF-C540B72CA59B}">
            <x14:dataBar minLength="0" maxLength="100" border="1" gradient="0">
              <x14:cfvo type="num">
                <xm:f>0</xm:f>
              </x14:cfvo>
              <x14:cfvo type="num">
                <xm:f>1</xm:f>
              </x14:cfvo>
              <x14:borderColor theme="0"/>
              <x14:negativeFillColor rgb="FFFF0000"/>
              <x14:axisColor rgb="FF000000"/>
            </x14:dataBar>
          </x14:cfRule>
          <xm:sqref>BL184</xm:sqref>
        </x14:conditionalFormatting>
        <x14:conditionalFormatting xmlns:xm="http://schemas.microsoft.com/office/excel/2006/main">
          <x14:cfRule type="dataBar" id="{7E67149B-904E-4865-8C1A-E5048B217FFC}">
            <x14:dataBar minLength="0" maxLength="100" border="1" gradient="0">
              <x14:cfvo type="num">
                <xm:f>0</xm:f>
              </x14:cfvo>
              <x14:cfvo type="num">
                <xm:f>1</xm:f>
              </x14:cfvo>
              <x14:borderColor theme="0"/>
              <x14:negativeFillColor rgb="FFFF0000"/>
              <x14:axisColor rgb="FF000000"/>
            </x14:dataBar>
          </x14:cfRule>
          <xm:sqref>BL186</xm:sqref>
        </x14:conditionalFormatting>
        <x14:conditionalFormatting xmlns:xm="http://schemas.microsoft.com/office/excel/2006/main">
          <x14:cfRule type="dataBar" id="{0BD7B763-B46E-45FF-AC75-74F4C0B40D67}">
            <x14:dataBar minLength="0" maxLength="100" border="1" gradient="0">
              <x14:cfvo type="num">
                <xm:f>0</xm:f>
              </x14:cfvo>
              <x14:cfvo type="num">
                <xm:f>1</xm:f>
              </x14:cfvo>
              <x14:borderColor theme="0"/>
              <x14:negativeFillColor rgb="FFFF0000"/>
              <x14:axisColor rgb="FF000000"/>
            </x14:dataBar>
          </x14:cfRule>
          <xm:sqref>BL188</xm:sqref>
        </x14:conditionalFormatting>
        <x14:conditionalFormatting xmlns:xm="http://schemas.microsoft.com/office/excel/2006/main">
          <x14:cfRule type="dataBar" id="{735501BD-6B4C-473D-9D8E-90EAEC4D71C6}">
            <x14:dataBar minLength="0" maxLength="100" border="1" gradient="0">
              <x14:cfvo type="num">
                <xm:f>0</xm:f>
              </x14:cfvo>
              <x14:cfvo type="num">
                <xm:f>1</xm:f>
              </x14:cfvo>
              <x14:borderColor theme="0"/>
              <x14:negativeFillColor rgb="FFFF0000"/>
              <x14:axisColor rgb="FF000000"/>
            </x14:dataBar>
          </x14:cfRule>
          <xm:sqref>BL190</xm:sqref>
        </x14:conditionalFormatting>
        <x14:conditionalFormatting xmlns:xm="http://schemas.microsoft.com/office/excel/2006/main">
          <x14:cfRule type="dataBar" id="{6DA40A0F-AE4B-4A96-97B0-7EB14EB7C0BC}">
            <x14:dataBar minLength="0" maxLength="100" border="1" gradient="0">
              <x14:cfvo type="num">
                <xm:f>0</xm:f>
              </x14:cfvo>
              <x14:cfvo type="num">
                <xm:f>1</xm:f>
              </x14:cfvo>
              <x14:borderColor theme="0"/>
              <x14:negativeFillColor rgb="FFFF0000"/>
              <x14:axisColor rgb="FF000000"/>
            </x14:dataBar>
          </x14:cfRule>
          <xm:sqref>BL192</xm:sqref>
        </x14:conditionalFormatting>
        <x14:conditionalFormatting xmlns:xm="http://schemas.microsoft.com/office/excel/2006/main">
          <x14:cfRule type="dataBar" id="{86257CED-033F-4F3A-8B4A-6268A4A7FF7A}">
            <x14:dataBar minLength="0" maxLength="100" border="1" gradient="0">
              <x14:cfvo type="num">
                <xm:f>0</xm:f>
              </x14:cfvo>
              <x14:cfvo type="num">
                <xm:f>1</xm:f>
              </x14:cfvo>
              <x14:borderColor theme="0"/>
              <x14:negativeFillColor rgb="FFFF0000"/>
              <x14:axisColor rgb="FF000000"/>
            </x14:dataBar>
          </x14:cfRule>
          <xm:sqref>BL194</xm:sqref>
        </x14:conditionalFormatting>
        <x14:conditionalFormatting xmlns:xm="http://schemas.microsoft.com/office/excel/2006/main">
          <x14:cfRule type="dataBar" id="{1688EC03-66FF-4574-9AB6-6A38F09B4F55}">
            <x14:dataBar minLength="0" maxLength="100" border="1" gradient="0">
              <x14:cfvo type="num">
                <xm:f>0</xm:f>
              </x14:cfvo>
              <x14:cfvo type="num">
                <xm:f>1</xm:f>
              </x14:cfvo>
              <x14:borderColor theme="0"/>
              <x14:negativeFillColor rgb="FFFF0000"/>
              <x14:axisColor rgb="FF000000"/>
            </x14:dataBar>
          </x14:cfRule>
          <xm:sqref>BL196</xm:sqref>
        </x14:conditionalFormatting>
        <x14:conditionalFormatting xmlns:xm="http://schemas.microsoft.com/office/excel/2006/main">
          <x14:cfRule type="dataBar" id="{19481B16-046E-47E9-A413-7AADDED583EC}">
            <x14:dataBar minLength="0" maxLength="100" border="1" gradient="0">
              <x14:cfvo type="num">
                <xm:f>0</xm:f>
              </x14:cfvo>
              <x14:cfvo type="num">
                <xm:f>1</xm:f>
              </x14:cfvo>
              <x14:borderColor theme="0"/>
              <x14:negativeFillColor rgb="FFFF0000"/>
              <x14:axisColor rgb="FF000000"/>
            </x14:dataBar>
          </x14:cfRule>
          <xm:sqref>BL198</xm:sqref>
        </x14:conditionalFormatting>
        <x14:conditionalFormatting xmlns:xm="http://schemas.microsoft.com/office/excel/2006/main">
          <x14:cfRule type="dataBar" id="{ED267BC0-588C-4C43-9DED-75F7DF5EE8AE}">
            <x14:dataBar minLength="0" maxLength="100" border="1" gradient="0">
              <x14:cfvo type="num">
                <xm:f>0</xm:f>
              </x14:cfvo>
              <x14:cfvo type="num">
                <xm:f>1</xm:f>
              </x14:cfvo>
              <x14:borderColor theme="0"/>
              <x14:negativeFillColor rgb="FFFF0000"/>
              <x14:axisColor rgb="FF000000"/>
            </x14:dataBar>
          </x14:cfRule>
          <xm:sqref>BL200</xm:sqref>
        </x14:conditionalFormatting>
        <x14:conditionalFormatting xmlns:xm="http://schemas.microsoft.com/office/excel/2006/main">
          <x14:cfRule type="dataBar" id="{0B6490D0-3F8F-4616-8093-40770133483B}">
            <x14:dataBar minLength="0" maxLength="100" border="1" gradient="0">
              <x14:cfvo type="num">
                <xm:f>0</xm:f>
              </x14:cfvo>
              <x14:cfvo type="num">
                <xm:f>1</xm:f>
              </x14:cfvo>
              <x14:borderColor theme="0"/>
              <x14:negativeFillColor rgb="FFFF0000"/>
              <x14:axisColor rgb="FF000000"/>
            </x14:dataBar>
          </x14:cfRule>
          <xm:sqref>BL202</xm:sqref>
        </x14:conditionalFormatting>
        <x14:conditionalFormatting xmlns:xm="http://schemas.microsoft.com/office/excel/2006/main">
          <x14:cfRule type="dataBar" id="{DF01C9A0-7599-430F-B6B5-B2C01A3887EF}">
            <x14:dataBar minLength="0" maxLength="100" border="1" gradient="0">
              <x14:cfvo type="num">
                <xm:f>0</xm:f>
              </x14:cfvo>
              <x14:cfvo type="num">
                <xm:f>1</xm:f>
              </x14:cfvo>
              <x14:borderColor theme="0"/>
              <x14:negativeFillColor rgb="FFFF0000"/>
              <x14:axisColor rgb="FF000000"/>
            </x14:dataBar>
          </x14:cfRule>
          <xm:sqref>BL204</xm:sqref>
        </x14:conditionalFormatting>
        <x14:conditionalFormatting xmlns:xm="http://schemas.microsoft.com/office/excel/2006/main">
          <x14:cfRule type="dataBar" id="{50D53B3F-C4B3-448F-A3E6-E99ADBEF55B5}">
            <x14:dataBar minLength="0" maxLength="100" border="1" gradient="0">
              <x14:cfvo type="num">
                <xm:f>0</xm:f>
              </x14:cfvo>
              <x14:cfvo type="num">
                <xm:f>1</xm:f>
              </x14:cfvo>
              <x14:borderColor theme="0"/>
              <x14:negativeFillColor rgb="FFFF0000"/>
              <x14:axisColor rgb="FF000000"/>
            </x14:dataBar>
          </x14:cfRule>
          <xm:sqref>BL206</xm:sqref>
        </x14:conditionalFormatting>
        <x14:conditionalFormatting xmlns:xm="http://schemas.microsoft.com/office/excel/2006/main">
          <x14:cfRule type="dataBar" id="{98E84E5B-B2ED-4C0B-A0F9-6C6EBF1B2BA1}">
            <x14:dataBar minLength="0" maxLength="100" border="1" gradient="0">
              <x14:cfvo type="num">
                <xm:f>0</xm:f>
              </x14:cfvo>
              <x14:cfvo type="num">
                <xm:f>1</xm:f>
              </x14:cfvo>
              <x14:borderColor theme="0"/>
              <x14:negativeFillColor rgb="FFFF0000"/>
              <x14:axisColor rgb="FF000000"/>
            </x14:dataBar>
          </x14:cfRule>
          <xm:sqref>BL208</xm:sqref>
        </x14:conditionalFormatting>
        <x14:conditionalFormatting xmlns:xm="http://schemas.microsoft.com/office/excel/2006/main">
          <x14:cfRule type="dataBar" id="{8A67B146-F10D-498F-9363-05AFFE320BD8}">
            <x14:dataBar minLength="0" maxLength="100" border="1" gradient="0">
              <x14:cfvo type="num">
                <xm:f>0</xm:f>
              </x14:cfvo>
              <x14:cfvo type="num">
                <xm:f>1</xm:f>
              </x14:cfvo>
              <x14:borderColor theme="0"/>
              <x14:negativeFillColor rgb="FFFF0000"/>
              <x14:axisColor rgb="FF000000"/>
            </x14:dataBar>
          </x14:cfRule>
          <xm:sqref>BL210</xm:sqref>
        </x14:conditionalFormatting>
        <x14:conditionalFormatting xmlns:xm="http://schemas.microsoft.com/office/excel/2006/main">
          <x14:cfRule type="dataBar" id="{D5D8B2F8-1DB4-432D-B38C-8C5A001BC476}">
            <x14:dataBar minLength="0" maxLength="100" border="1" gradient="0">
              <x14:cfvo type="num">
                <xm:f>0</xm:f>
              </x14:cfvo>
              <x14:cfvo type="num">
                <xm:f>1</xm:f>
              </x14:cfvo>
              <x14:borderColor theme="0"/>
              <x14:negativeFillColor rgb="FFFF0000"/>
              <x14:axisColor rgb="FF000000"/>
            </x14:dataBar>
          </x14:cfRule>
          <xm:sqref>BL212</xm:sqref>
        </x14:conditionalFormatting>
        <x14:conditionalFormatting xmlns:xm="http://schemas.microsoft.com/office/excel/2006/main">
          <x14:cfRule type="dataBar" id="{D19FB9A5-41FD-4CB4-9A86-801891AC1089}">
            <x14:dataBar minLength="0" maxLength="100" border="1" gradient="0">
              <x14:cfvo type="num">
                <xm:f>0</xm:f>
              </x14:cfvo>
              <x14:cfvo type="num">
                <xm:f>1</xm:f>
              </x14:cfvo>
              <x14:borderColor theme="0"/>
              <x14:negativeFillColor rgb="FFFF0000"/>
              <x14:axisColor rgb="FF000000"/>
            </x14:dataBar>
          </x14:cfRule>
          <xm:sqref>BL214</xm:sqref>
        </x14:conditionalFormatting>
        <x14:conditionalFormatting xmlns:xm="http://schemas.microsoft.com/office/excel/2006/main">
          <x14:cfRule type="dataBar" id="{C816002E-DD9E-4BCC-9F18-FAC2C985B5A9}">
            <x14:dataBar minLength="0" maxLength="100" border="1" gradient="0">
              <x14:cfvo type="num">
                <xm:f>0</xm:f>
              </x14:cfvo>
              <x14:cfvo type="num">
                <xm:f>1</xm:f>
              </x14:cfvo>
              <x14:borderColor theme="0"/>
              <x14:negativeFillColor rgb="FFFF0000"/>
              <x14:axisColor rgb="FF000000"/>
            </x14:dataBar>
          </x14:cfRule>
          <xm:sqref>BL216</xm:sqref>
        </x14:conditionalFormatting>
        <x14:conditionalFormatting xmlns:xm="http://schemas.microsoft.com/office/excel/2006/main">
          <x14:cfRule type="dataBar" id="{6EB1EA77-2B54-4A34-8C4C-75F002918749}">
            <x14:dataBar minLength="0" maxLength="100" border="1" gradient="0">
              <x14:cfvo type="num">
                <xm:f>0</xm:f>
              </x14:cfvo>
              <x14:cfvo type="num">
                <xm:f>1</xm:f>
              </x14:cfvo>
              <x14:borderColor theme="0"/>
              <x14:negativeFillColor rgb="FFFF0000"/>
              <x14:axisColor rgb="FF000000"/>
            </x14:dataBar>
          </x14:cfRule>
          <xm:sqref>BL218</xm:sqref>
        </x14:conditionalFormatting>
        <x14:conditionalFormatting xmlns:xm="http://schemas.microsoft.com/office/excel/2006/main">
          <x14:cfRule type="dataBar" id="{F00A4A4C-1462-4503-919E-83242910C7DF}">
            <x14:dataBar minLength="0" maxLength="100" border="1" gradient="0">
              <x14:cfvo type="num">
                <xm:f>0</xm:f>
              </x14:cfvo>
              <x14:cfvo type="num">
                <xm:f>1</xm:f>
              </x14:cfvo>
              <x14:borderColor theme="0"/>
              <x14:negativeFillColor rgb="FFFF0000"/>
              <x14:axisColor rgb="FF000000"/>
            </x14:dataBar>
          </x14:cfRule>
          <xm:sqref>BL220</xm:sqref>
        </x14:conditionalFormatting>
        <x14:conditionalFormatting xmlns:xm="http://schemas.microsoft.com/office/excel/2006/main">
          <x14:cfRule type="dataBar" id="{172A0C9C-0BB1-4A0C-969E-7872D97E8CF4}">
            <x14:dataBar minLength="0" maxLength="100" border="1" gradient="0">
              <x14:cfvo type="num">
                <xm:f>0</xm:f>
              </x14:cfvo>
              <x14:cfvo type="num">
                <xm:f>1</xm:f>
              </x14:cfvo>
              <x14:borderColor theme="0"/>
              <x14:negativeFillColor rgb="FFFF0000"/>
              <x14:axisColor rgb="FF000000"/>
            </x14:dataBar>
          </x14:cfRule>
          <xm:sqref>BL222</xm:sqref>
        </x14:conditionalFormatting>
        <x14:conditionalFormatting xmlns:xm="http://schemas.microsoft.com/office/excel/2006/main">
          <x14:cfRule type="dataBar" id="{FFC76008-803F-48AE-8DB4-912D0BA1A289}">
            <x14:dataBar minLength="0" maxLength="100" border="1" gradient="0">
              <x14:cfvo type="num">
                <xm:f>0</xm:f>
              </x14:cfvo>
              <x14:cfvo type="num">
                <xm:f>1</xm:f>
              </x14:cfvo>
              <x14:borderColor theme="0"/>
              <x14:negativeFillColor rgb="FFFF0000"/>
              <x14:axisColor rgb="FF000000"/>
            </x14:dataBar>
          </x14:cfRule>
          <xm:sqref>BL226</xm:sqref>
        </x14:conditionalFormatting>
        <x14:conditionalFormatting xmlns:xm="http://schemas.microsoft.com/office/excel/2006/main">
          <x14:cfRule type="dataBar" id="{E8075714-0FBA-4967-A802-988E2757A423}">
            <x14:dataBar minLength="0" maxLength="100" border="1" gradient="0">
              <x14:cfvo type="num">
                <xm:f>0</xm:f>
              </x14:cfvo>
              <x14:cfvo type="num">
                <xm:f>1</xm:f>
              </x14:cfvo>
              <x14:borderColor theme="0"/>
              <x14:negativeFillColor rgb="FFFF0000"/>
              <x14:axisColor rgb="FF000000"/>
            </x14:dataBar>
          </x14:cfRule>
          <xm:sqref>BL229</xm:sqref>
        </x14:conditionalFormatting>
        <x14:conditionalFormatting xmlns:xm="http://schemas.microsoft.com/office/excel/2006/main">
          <x14:cfRule type="dataBar" id="{6C7E992A-61A3-4F74-A459-401B9254D290}">
            <x14:dataBar minLength="0" maxLength="100" border="1" gradient="0">
              <x14:cfvo type="num">
                <xm:f>0</xm:f>
              </x14:cfvo>
              <x14:cfvo type="num">
                <xm:f>1</xm:f>
              </x14:cfvo>
              <x14:borderColor theme="0"/>
              <x14:negativeFillColor rgb="FFFF0000"/>
              <x14:axisColor rgb="FF000000"/>
            </x14:dataBar>
          </x14:cfRule>
          <xm:sqref>BL233</xm:sqref>
        </x14:conditionalFormatting>
        <x14:conditionalFormatting xmlns:xm="http://schemas.microsoft.com/office/excel/2006/main">
          <x14:cfRule type="dataBar" id="{AC4D1518-CA66-44AF-AA3C-05350EC929B6}">
            <x14:dataBar minLength="0" maxLength="100" border="1" gradient="0">
              <x14:cfvo type="num">
                <xm:f>0</xm:f>
              </x14:cfvo>
              <x14:cfvo type="num">
                <xm:f>1</xm:f>
              </x14:cfvo>
              <x14:borderColor theme="0"/>
              <x14:negativeFillColor rgb="FFFF0000"/>
              <x14:axisColor rgb="FF000000"/>
            </x14:dataBar>
          </x14:cfRule>
          <xm:sqref>BL235</xm:sqref>
        </x14:conditionalFormatting>
        <x14:conditionalFormatting xmlns:xm="http://schemas.microsoft.com/office/excel/2006/main">
          <x14:cfRule type="dataBar" id="{1D5D75EB-2C21-4A84-B502-C85AD2462B0D}">
            <x14:dataBar minLength="0" maxLength="100" border="1" gradient="0">
              <x14:cfvo type="num">
                <xm:f>0</xm:f>
              </x14:cfvo>
              <x14:cfvo type="num">
                <xm:f>1</xm:f>
              </x14:cfvo>
              <x14:borderColor theme="0"/>
              <x14:negativeFillColor rgb="FFFF0000"/>
              <x14:axisColor rgb="FF000000"/>
            </x14:dataBar>
          </x14:cfRule>
          <xm:sqref>BL237</xm:sqref>
        </x14:conditionalFormatting>
        <x14:conditionalFormatting xmlns:xm="http://schemas.microsoft.com/office/excel/2006/main">
          <x14:cfRule type="dataBar" id="{AF0F7097-EC08-472E-9931-BEDCA3AF7BCF}">
            <x14:dataBar minLength="0" maxLength="100" border="1" gradient="0">
              <x14:cfvo type="num">
                <xm:f>0</xm:f>
              </x14:cfvo>
              <x14:cfvo type="num">
                <xm:f>1</xm:f>
              </x14:cfvo>
              <x14:borderColor theme="0"/>
              <x14:negativeFillColor rgb="FFFF0000"/>
              <x14:axisColor rgb="FF000000"/>
            </x14:dataBar>
          </x14:cfRule>
          <xm:sqref>BL239</xm:sqref>
        </x14:conditionalFormatting>
        <x14:conditionalFormatting xmlns:xm="http://schemas.microsoft.com/office/excel/2006/main">
          <x14:cfRule type="dataBar" id="{6E092C3E-786E-427A-975E-5ABA57C3969F}">
            <x14:dataBar minLength="0" maxLength="100" border="1" gradient="0">
              <x14:cfvo type="num">
                <xm:f>0</xm:f>
              </x14:cfvo>
              <x14:cfvo type="num">
                <xm:f>1</xm:f>
              </x14:cfvo>
              <x14:borderColor theme="0"/>
              <x14:negativeFillColor rgb="FFFF0000"/>
              <x14:axisColor rgb="FF000000"/>
            </x14:dataBar>
          </x14:cfRule>
          <xm:sqref>BL241</xm:sqref>
        </x14:conditionalFormatting>
        <x14:conditionalFormatting xmlns:xm="http://schemas.microsoft.com/office/excel/2006/main">
          <x14:cfRule type="dataBar" id="{B35700BB-1FBE-4618-B7CF-E91BD58470C4}">
            <x14:dataBar minLength="0" maxLength="100" border="1" gradient="0">
              <x14:cfvo type="num">
                <xm:f>0</xm:f>
              </x14:cfvo>
              <x14:cfvo type="num">
                <xm:f>1</xm:f>
              </x14:cfvo>
              <x14:borderColor theme="0"/>
              <x14:negativeFillColor rgb="FFFF0000"/>
              <x14:axisColor rgb="FF000000"/>
            </x14:dataBar>
          </x14:cfRule>
          <xm:sqref>BL243</xm:sqref>
        </x14:conditionalFormatting>
        <x14:conditionalFormatting xmlns:xm="http://schemas.microsoft.com/office/excel/2006/main">
          <x14:cfRule type="dataBar" id="{11F34E33-743B-4E94-9335-C728B6C36675}">
            <x14:dataBar minLength="0" maxLength="100" border="1" gradient="0">
              <x14:cfvo type="num">
                <xm:f>0</xm:f>
              </x14:cfvo>
              <x14:cfvo type="num">
                <xm:f>1</xm:f>
              </x14:cfvo>
              <x14:borderColor theme="0"/>
              <x14:negativeFillColor rgb="FFFF0000"/>
              <x14:axisColor rgb="FF000000"/>
            </x14:dataBar>
          </x14:cfRule>
          <xm:sqref>BL245</xm:sqref>
        </x14:conditionalFormatting>
        <x14:conditionalFormatting xmlns:xm="http://schemas.microsoft.com/office/excel/2006/main">
          <x14:cfRule type="dataBar" id="{A7FB3818-C9B5-4B90-A854-EC09CF600D59}">
            <x14:dataBar minLength="0" maxLength="100" border="1" gradient="0">
              <x14:cfvo type="num">
                <xm:f>0</xm:f>
              </x14:cfvo>
              <x14:cfvo type="num">
                <xm:f>1</xm:f>
              </x14:cfvo>
              <x14:borderColor theme="0"/>
              <x14:negativeFillColor rgb="FFFF0000"/>
              <x14:axisColor rgb="FF000000"/>
            </x14:dataBar>
          </x14:cfRule>
          <xm:sqref>BL247</xm:sqref>
        </x14:conditionalFormatting>
        <x14:conditionalFormatting xmlns:xm="http://schemas.microsoft.com/office/excel/2006/main">
          <x14:cfRule type="dataBar" id="{EE772BEA-379C-4759-BBA1-5C8EADCAFDF3}">
            <x14:dataBar minLength="0" maxLength="100" border="1" gradient="0">
              <x14:cfvo type="num">
                <xm:f>0</xm:f>
              </x14:cfvo>
              <x14:cfvo type="num">
                <xm:f>1</xm:f>
              </x14:cfvo>
              <x14:borderColor theme="0"/>
              <x14:negativeFillColor rgb="FFFF0000"/>
              <x14:axisColor rgb="FF000000"/>
            </x14:dataBar>
          </x14:cfRule>
          <xm:sqref>BL249</xm:sqref>
        </x14:conditionalFormatting>
        <x14:conditionalFormatting xmlns:xm="http://schemas.microsoft.com/office/excel/2006/main">
          <x14:cfRule type="dataBar" id="{7E1C8171-1BC0-4467-9171-7061A6C26BFE}">
            <x14:dataBar minLength="0" maxLength="100" border="1" gradient="0">
              <x14:cfvo type="num">
                <xm:f>0</xm:f>
              </x14:cfvo>
              <x14:cfvo type="num">
                <xm:f>1</xm:f>
              </x14:cfvo>
              <x14:borderColor theme="0"/>
              <x14:negativeFillColor rgb="FFFF0000"/>
              <x14:axisColor rgb="FF000000"/>
            </x14:dataBar>
          </x14:cfRule>
          <xm:sqref>BL251</xm:sqref>
        </x14:conditionalFormatting>
        <x14:conditionalFormatting xmlns:xm="http://schemas.microsoft.com/office/excel/2006/main">
          <x14:cfRule type="dataBar" id="{5ECD37A0-B79C-41BA-BECE-3F74E2D063C9}">
            <x14:dataBar minLength="0" maxLength="100" border="1" gradient="0">
              <x14:cfvo type="num">
                <xm:f>0</xm:f>
              </x14:cfvo>
              <x14:cfvo type="num">
                <xm:f>1</xm:f>
              </x14:cfvo>
              <x14:borderColor theme="0"/>
              <x14:negativeFillColor rgb="FFFF0000"/>
              <x14:axisColor rgb="FF000000"/>
            </x14:dataBar>
          </x14:cfRule>
          <xm:sqref>BL253</xm:sqref>
        </x14:conditionalFormatting>
        <x14:conditionalFormatting xmlns:xm="http://schemas.microsoft.com/office/excel/2006/main">
          <x14:cfRule type="dataBar" id="{045D769E-C60B-4083-9CD9-B4778AE69345}">
            <x14:dataBar minLength="0" maxLength="100" border="1" gradient="0">
              <x14:cfvo type="num">
                <xm:f>0</xm:f>
              </x14:cfvo>
              <x14:cfvo type="num">
                <xm:f>1</xm:f>
              </x14:cfvo>
              <x14:borderColor theme="0"/>
              <x14:negativeFillColor rgb="FFFF0000"/>
              <x14:axisColor rgb="FF000000"/>
            </x14:dataBar>
          </x14:cfRule>
          <xm:sqref>BL255</xm:sqref>
        </x14:conditionalFormatting>
        <x14:conditionalFormatting xmlns:xm="http://schemas.microsoft.com/office/excel/2006/main">
          <x14:cfRule type="dataBar" id="{5E5E77C3-03E4-4F4A-A63A-0F8F69569CF9}">
            <x14:dataBar minLength="0" maxLength="100" border="1" gradient="0">
              <x14:cfvo type="num">
                <xm:f>0</xm:f>
              </x14:cfvo>
              <x14:cfvo type="num">
                <xm:f>1</xm:f>
              </x14:cfvo>
              <x14:borderColor theme="0"/>
              <x14:negativeFillColor rgb="FFFF0000"/>
              <x14:axisColor rgb="FF000000"/>
            </x14:dataBar>
          </x14:cfRule>
          <xm:sqref>BL257</xm:sqref>
        </x14:conditionalFormatting>
        <x14:conditionalFormatting xmlns:xm="http://schemas.microsoft.com/office/excel/2006/main">
          <x14:cfRule type="dataBar" id="{C0C28CCD-49E3-4D8A-8464-DD1D8ADD1C46}">
            <x14:dataBar minLength="0" maxLength="100" border="1" gradient="0">
              <x14:cfvo type="num">
                <xm:f>0</xm:f>
              </x14:cfvo>
              <x14:cfvo type="num">
                <xm:f>1</xm:f>
              </x14:cfvo>
              <x14:borderColor theme="0"/>
              <x14:negativeFillColor rgb="FFFF0000"/>
              <x14:axisColor rgb="FF000000"/>
            </x14:dataBar>
          </x14:cfRule>
          <xm:sqref>BL259</xm:sqref>
        </x14:conditionalFormatting>
        <x14:conditionalFormatting xmlns:xm="http://schemas.microsoft.com/office/excel/2006/main">
          <x14:cfRule type="dataBar" id="{8970959B-2B09-4D26-9D56-4C450A6C4BC2}">
            <x14:dataBar minLength="0" maxLength="100" border="1" gradient="0">
              <x14:cfvo type="num">
                <xm:f>0</xm:f>
              </x14:cfvo>
              <x14:cfvo type="num">
                <xm:f>1</xm:f>
              </x14:cfvo>
              <x14:borderColor theme="0"/>
              <x14:negativeFillColor rgb="FFFF0000"/>
              <x14:axisColor rgb="FF000000"/>
            </x14:dataBar>
          </x14:cfRule>
          <xm:sqref>BL261</xm:sqref>
        </x14:conditionalFormatting>
        <x14:conditionalFormatting xmlns:xm="http://schemas.microsoft.com/office/excel/2006/main">
          <x14:cfRule type="dataBar" id="{DE33FD28-5213-4EEB-B4BA-286223C4E68A}">
            <x14:dataBar minLength="0" maxLength="100" border="1" gradient="0">
              <x14:cfvo type="num">
                <xm:f>0</xm:f>
              </x14:cfvo>
              <x14:cfvo type="num">
                <xm:f>1</xm:f>
              </x14:cfvo>
              <x14:borderColor theme="0"/>
              <x14:negativeFillColor rgb="FFFF0000"/>
              <x14:axisColor rgb="FF000000"/>
            </x14:dataBar>
          </x14:cfRule>
          <xm:sqref>BL263</xm:sqref>
        </x14:conditionalFormatting>
        <x14:conditionalFormatting xmlns:xm="http://schemas.microsoft.com/office/excel/2006/main">
          <x14:cfRule type="dataBar" id="{4FCCB9ED-F958-4041-B877-50593E60967B}">
            <x14:dataBar minLength="0" maxLength="100" border="1" gradient="0">
              <x14:cfvo type="num">
                <xm:f>0</xm:f>
              </x14:cfvo>
              <x14:cfvo type="num">
                <xm:f>1</xm:f>
              </x14:cfvo>
              <x14:borderColor theme="0"/>
              <x14:negativeFillColor rgb="FFFF0000"/>
              <x14:axisColor rgb="FF000000"/>
            </x14:dataBar>
          </x14:cfRule>
          <xm:sqref>BL265</xm:sqref>
        </x14:conditionalFormatting>
        <x14:conditionalFormatting xmlns:xm="http://schemas.microsoft.com/office/excel/2006/main">
          <x14:cfRule type="dataBar" id="{15B87DCC-2437-406D-B463-E5681BC560AB}">
            <x14:dataBar minLength="0" maxLength="100" border="1" gradient="0">
              <x14:cfvo type="num">
                <xm:f>0</xm:f>
              </x14:cfvo>
              <x14:cfvo type="num">
                <xm:f>1</xm:f>
              </x14:cfvo>
              <x14:borderColor theme="0"/>
              <x14:negativeFillColor rgb="FFFF0000"/>
              <x14:axisColor rgb="FF000000"/>
            </x14:dataBar>
          </x14:cfRule>
          <xm:sqref>BL267</xm:sqref>
        </x14:conditionalFormatting>
        <x14:conditionalFormatting xmlns:xm="http://schemas.microsoft.com/office/excel/2006/main">
          <x14:cfRule type="dataBar" id="{BFCF89D3-D229-4AF3-B054-5BE89DF44936}">
            <x14:dataBar minLength="0" maxLength="100" border="1" gradient="0">
              <x14:cfvo type="num">
                <xm:f>0</xm:f>
              </x14:cfvo>
              <x14:cfvo type="num">
                <xm:f>1</xm:f>
              </x14:cfvo>
              <x14:borderColor theme="0"/>
              <x14:negativeFillColor rgb="FFFF0000"/>
              <x14:axisColor rgb="FF000000"/>
            </x14:dataBar>
          </x14:cfRule>
          <xm:sqref>BL269</xm:sqref>
        </x14:conditionalFormatting>
        <x14:conditionalFormatting xmlns:xm="http://schemas.microsoft.com/office/excel/2006/main">
          <x14:cfRule type="dataBar" id="{035AB785-E114-46B9-A1E6-BC9AE7E6F128}">
            <x14:dataBar minLength="0" maxLength="100" border="1" gradient="0">
              <x14:cfvo type="num">
                <xm:f>0</xm:f>
              </x14:cfvo>
              <x14:cfvo type="num">
                <xm:f>1</xm:f>
              </x14:cfvo>
              <x14:borderColor theme="0"/>
              <x14:negativeFillColor rgb="FFFF0000"/>
              <x14:axisColor rgb="FF000000"/>
            </x14:dataBar>
          </x14:cfRule>
          <xm:sqref>BL271</xm:sqref>
        </x14:conditionalFormatting>
        <x14:conditionalFormatting xmlns:xm="http://schemas.microsoft.com/office/excel/2006/main">
          <x14:cfRule type="dataBar" id="{ED0A3F8C-F019-4BEC-A7DC-F09B6FB80C1A}">
            <x14:dataBar minLength="0" maxLength="100" border="1" gradient="0">
              <x14:cfvo type="num">
                <xm:f>0</xm:f>
              </x14:cfvo>
              <x14:cfvo type="num">
                <xm:f>1</xm:f>
              </x14:cfvo>
              <x14:borderColor theme="0"/>
              <x14:negativeFillColor rgb="FFFF0000"/>
              <x14:axisColor rgb="FF000000"/>
            </x14:dataBar>
          </x14:cfRule>
          <xm:sqref>BL273</xm:sqref>
        </x14:conditionalFormatting>
        <x14:conditionalFormatting xmlns:xm="http://schemas.microsoft.com/office/excel/2006/main">
          <x14:cfRule type="dataBar" id="{EC9C1F49-B307-4FD6-9015-28E0952CB1D8}">
            <x14:dataBar minLength="0" maxLength="100" border="1" gradient="0">
              <x14:cfvo type="num">
                <xm:f>0</xm:f>
              </x14:cfvo>
              <x14:cfvo type="num">
                <xm:f>1</xm:f>
              </x14:cfvo>
              <x14:borderColor theme="0"/>
              <x14:negativeFillColor rgb="FFFF0000"/>
              <x14:axisColor rgb="FF000000"/>
            </x14:dataBar>
          </x14:cfRule>
          <xm:sqref>BL275</xm:sqref>
        </x14:conditionalFormatting>
        <x14:conditionalFormatting xmlns:xm="http://schemas.microsoft.com/office/excel/2006/main">
          <x14:cfRule type="dataBar" id="{FEC988E1-AE26-4E33-8A5F-A978DB1CCC00}">
            <x14:dataBar minLength="0" maxLength="100" border="1" gradient="0">
              <x14:cfvo type="num">
                <xm:f>0</xm:f>
              </x14:cfvo>
              <x14:cfvo type="num">
                <xm:f>1</xm:f>
              </x14:cfvo>
              <x14:borderColor theme="0"/>
              <x14:negativeFillColor rgb="FFFF0000"/>
              <x14:axisColor rgb="FF000000"/>
            </x14:dataBar>
          </x14:cfRule>
          <xm:sqref>BL278</xm:sqref>
        </x14:conditionalFormatting>
        <x14:conditionalFormatting xmlns:xm="http://schemas.microsoft.com/office/excel/2006/main">
          <x14:cfRule type="dataBar" id="{C6279300-96E8-4A11-8916-DDA137982401}">
            <x14:dataBar minLength="0" maxLength="100" border="1" gradient="0">
              <x14:cfvo type="num">
                <xm:f>0</xm:f>
              </x14:cfvo>
              <x14:cfvo type="num">
                <xm:f>1</xm:f>
              </x14:cfvo>
              <x14:borderColor theme="0"/>
              <x14:negativeFillColor rgb="FFFF0000"/>
              <x14:axisColor rgb="FF000000"/>
            </x14:dataBar>
          </x14:cfRule>
          <xm:sqref>BL282</xm:sqref>
        </x14:conditionalFormatting>
        <x14:conditionalFormatting xmlns:xm="http://schemas.microsoft.com/office/excel/2006/main">
          <x14:cfRule type="dataBar" id="{861F85C2-2359-44EB-9FDC-257BB3580FE4}">
            <x14:dataBar minLength="0" maxLength="100" border="1" gradient="0">
              <x14:cfvo type="num">
                <xm:f>0</xm:f>
              </x14:cfvo>
              <x14:cfvo type="num">
                <xm:f>1</xm:f>
              </x14:cfvo>
              <x14:borderColor theme="0"/>
              <x14:negativeFillColor rgb="FFFF0000"/>
              <x14:axisColor rgb="FF000000"/>
            </x14:dataBar>
          </x14:cfRule>
          <xm:sqref>BL284</xm:sqref>
        </x14:conditionalFormatting>
        <x14:conditionalFormatting xmlns:xm="http://schemas.microsoft.com/office/excel/2006/main">
          <x14:cfRule type="dataBar" id="{311B19F3-9D1B-498A-A1B2-27780AC0944A}">
            <x14:dataBar minLength="0" maxLength="100" border="1" gradient="0">
              <x14:cfvo type="num">
                <xm:f>0</xm:f>
              </x14:cfvo>
              <x14:cfvo type="num">
                <xm:f>1</xm:f>
              </x14:cfvo>
              <x14:borderColor theme="0"/>
              <x14:negativeFillColor rgb="FFFF0000"/>
              <x14:axisColor rgb="FF000000"/>
            </x14:dataBar>
          </x14:cfRule>
          <xm:sqref>BL286</xm:sqref>
        </x14:conditionalFormatting>
        <x14:conditionalFormatting xmlns:xm="http://schemas.microsoft.com/office/excel/2006/main">
          <x14:cfRule type="dataBar" id="{D2A2C37D-A8F2-45B6-A4ED-35B2700C8330}">
            <x14:dataBar minLength="0" maxLength="100" border="1" gradient="0">
              <x14:cfvo type="num">
                <xm:f>0</xm:f>
              </x14:cfvo>
              <x14:cfvo type="num">
                <xm:f>1</xm:f>
              </x14:cfvo>
              <x14:borderColor theme="0"/>
              <x14:negativeFillColor rgb="FFFF0000"/>
              <x14:axisColor rgb="FF000000"/>
            </x14:dataBar>
          </x14:cfRule>
          <xm:sqref>BL288</xm:sqref>
        </x14:conditionalFormatting>
        <x14:conditionalFormatting xmlns:xm="http://schemas.microsoft.com/office/excel/2006/main">
          <x14:cfRule type="dataBar" id="{1C241C8C-5970-429B-9FFE-E241EDFB5972}">
            <x14:dataBar minLength="0" maxLength="100" border="1" gradient="0">
              <x14:cfvo type="num">
                <xm:f>0</xm:f>
              </x14:cfvo>
              <x14:cfvo type="num">
                <xm:f>1</xm:f>
              </x14:cfvo>
              <x14:borderColor theme="0"/>
              <x14:negativeFillColor rgb="FFFF0000"/>
              <x14:axisColor rgb="FF000000"/>
            </x14:dataBar>
          </x14:cfRule>
          <xm:sqref>BL290</xm:sqref>
        </x14:conditionalFormatting>
        <x14:conditionalFormatting xmlns:xm="http://schemas.microsoft.com/office/excel/2006/main">
          <x14:cfRule type="dataBar" id="{C3FC9760-8300-4755-9DFC-811738B3EB2D}">
            <x14:dataBar minLength="0" maxLength="100" border="1" gradient="0">
              <x14:cfvo type="num">
                <xm:f>0</xm:f>
              </x14:cfvo>
              <x14:cfvo type="num">
                <xm:f>1</xm:f>
              </x14:cfvo>
              <x14:borderColor theme="0"/>
              <x14:negativeFillColor rgb="FFFF0000"/>
              <x14:axisColor rgb="FF000000"/>
            </x14:dataBar>
          </x14:cfRule>
          <xm:sqref>BL292</xm:sqref>
        </x14:conditionalFormatting>
        <x14:conditionalFormatting xmlns:xm="http://schemas.microsoft.com/office/excel/2006/main">
          <x14:cfRule type="dataBar" id="{3228FDEE-3339-4612-9E07-BEC925375F15}">
            <x14:dataBar minLength="0" maxLength="100" border="1" gradient="0">
              <x14:cfvo type="num">
                <xm:f>0</xm:f>
              </x14:cfvo>
              <x14:cfvo type="num">
                <xm:f>1</xm:f>
              </x14:cfvo>
              <x14:borderColor theme="0"/>
              <x14:negativeFillColor rgb="FFFF0000"/>
              <x14:axisColor rgb="FF000000"/>
            </x14:dataBar>
          </x14:cfRule>
          <xm:sqref>BL294</xm:sqref>
        </x14:conditionalFormatting>
        <x14:conditionalFormatting xmlns:xm="http://schemas.microsoft.com/office/excel/2006/main">
          <x14:cfRule type="dataBar" id="{F3BC5201-ECA9-4305-A6BB-4FC5DAD75C05}">
            <x14:dataBar minLength="0" maxLength="100" border="1" gradient="0">
              <x14:cfvo type="num">
                <xm:f>0</xm:f>
              </x14:cfvo>
              <x14:cfvo type="num">
                <xm:f>1</xm:f>
              </x14:cfvo>
              <x14:borderColor theme="0"/>
              <x14:negativeFillColor rgb="FFFF0000"/>
              <x14:axisColor rgb="FF000000"/>
            </x14:dataBar>
          </x14:cfRule>
          <xm:sqref>BL280 BL296</xm:sqref>
        </x14:conditionalFormatting>
        <x14:conditionalFormatting xmlns:xm="http://schemas.microsoft.com/office/excel/2006/main">
          <x14:cfRule type="dataBar" id="{8042431E-5CCA-431F-B390-FC069E1F144E}">
            <x14:dataBar minLength="0" maxLength="100" border="1" gradient="0">
              <x14:cfvo type="num">
                <xm:f>0</xm:f>
              </x14:cfvo>
              <x14:cfvo type="num">
                <xm:f>1</xm:f>
              </x14:cfvo>
              <x14:borderColor theme="0"/>
              <x14:negativeFillColor rgb="FFFF0000"/>
              <x14:axisColor rgb="FF000000"/>
            </x14:dataBar>
          </x14:cfRule>
          <xm:sqref>BL299</xm:sqref>
        </x14:conditionalFormatting>
        <x14:conditionalFormatting xmlns:xm="http://schemas.microsoft.com/office/excel/2006/main">
          <x14:cfRule type="dataBar" id="{5BB5DFB8-E207-4E4E-9B4F-D8D42FB56426}">
            <x14:dataBar minLength="0" maxLength="100" border="1" gradient="0">
              <x14:cfvo type="num">
                <xm:f>0</xm:f>
              </x14:cfvo>
              <x14:cfvo type="num">
                <xm:f>1</xm:f>
              </x14:cfvo>
              <x14:borderColor theme="0"/>
              <x14:negativeFillColor rgb="FFFF0000"/>
              <x14:axisColor rgb="FF000000"/>
            </x14:dataBar>
          </x14:cfRule>
          <xm:sqref>BL304</xm:sqref>
        </x14:conditionalFormatting>
        <x14:conditionalFormatting xmlns:xm="http://schemas.microsoft.com/office/excel/2006/main">
          <x14:cfRule type="dataBar" id="{B302EE0C-15CD-4AE6-B2BF-D90EE29F89F1}">
            <x14:dataBar minLength="0" maxLength="100" border="1" gradient="0">
              <x14:cfvo type="num">
                <xm:f>0</xm:f>
              </x14:cfvo>
              <x14:cfvo type="num">
                <xm:f>1</xm:f>
              </x14:cfvo>
              <x14:borderColor theme="0"/>
              <x14:negativeFillColor rgb="FFFF0000"/>
              <x14:axisColor rgb="FF000000"/>
            </x14:dataBar>
          </x14:cfRule>
          <xm:sqref>BL307</xm:sqref>
        </x14:conditionalFormatting>
        <x14:conditionalFormatting xmlns:xm="http://schemas.microsoft.com/office/excel/2006/main">
          <x14:cfRule type="dataBar" id="{C93E4989-5531-4103-8FEC-AFE2CD5DD892}">
            <x14:dataBar minLength="0" maxLength="100" border="1" gradient="0">
              <x14:cfvo type="num">
                <xm:f>0</xm:f>
              </x14:cfvo>
              <x14:cfvo type="num">
                <xm:f>1</xm:f>
              </x14:cfvo>
              <x14:borderColor theme="0"/>
              <x14:negativeFillColor rgb="FFFF0000"/>
              <x14:axisColor rgb="FF000000"/>
            </x14:dataBar>
          </x14:cfRule>
          <xm:sqref>BL310</xm:sqref>
        </x14:conditionalFormatting>
        <x14:conditionalFormatting xmlns:xm="http://schemas.microsoft.com/office/excel/2006/main">
          <x14:cfRule type="dataBar" id="{31A08123-C7B1-46F2-A3CF-973A6190D15D}">
            <x14:dataBar minLength="0" maxLength="100" border="1" gradient="0">
              <x14:cfvo type="num">
                <xm:f>0</xm:f>
              </x14:cfvo>
              <x14:cfvo type="num">
                <xm:f>1</xm:f>
              </x14:cfvo>
              <x14:borderColor theme="0"/>
              <x14:negativeFillColor rgb="FFFF0000"/>
              <x14:axisColor rgb="FF000000"/>
            </x14:dataBar>
          </x14:cfRule>
          <xm:sqref>BL314</xm:sqref>
        </x14:conditionalFormatting>
        <x14:conditionalFormatting xmlns:xm="http://schemas.microsoft.com/office/excel/2006/main">
          <x14:cfRule type="dataBar" id="{1F8F3C47-1C95-48CC-B642-6681229B1B56}">
            <x14:dataBar minLength="0" maxLength="100" border="1" gradient="0">
              <x14:cfvo type="num">
                <xm:f>0</xm:f>
              </x14:cfvo>
              <x14:cfvo type="num">
                <xm:f>1</xm:f>
              </x14:cfvo>
              <x14:borderColor theme="0"/>
              <x14:negativeFillColor rgb="FFFF0000"/>
              <x14:axisColor rgb="FF000000"/>
            </x14:dataBar>
          </x14:cfRule>
          <xm:sqref>BL316</xm:sqref>
        </x14:conditionalFormatting>
        <x14:conditionalFormatting xmlns:xm="http://schemas.microsoft.com/office/excel/2006/main">
          <x14:cfRule type="dataBar" id="{6254BD62-D210-4CB3-AC7A-83698547C9D0}">
            <x14:dataBar minLength="0" maxLength="100" border="1" gradient="0">
              <x14:cfvo type="num">
                <xm:f>0</xm:f>
              </x14:cfvo>
              <x14:cfvo type="num">
                <xm:f>1</xm:f>
              </x14:cfvo>
              <x14:borderColor theme="0"/>
              <x14:negativeFillColor rgb="FFFF0000"/>
              <x14:axisColor rgb="FF000000"/>
            </x14:dataBar>
          </x14:cfRule>
          <xm:sqref>BL318</xm:sqref>
        </x14:conditionalFormatting>
        <x14:conditionalFormatting xmlns:xm="http://schemas.microsoft.com/office/excel/2006/main">
          <x14:cfRule type="dataBar" id="{EBA1700D-4B36-464A-AC32-5DCAB7FA3C73}">
            <x14:dataBar minLength="0" maxLength="100" border="1" gradient="0">
              <x14:cfvo type="num">
                <xm:f>0</xm:f>
              </x14:cfvo>
              <x14:cfvo type="num">
                <xm:f>1</xm:f>
              </x14:cfvo>
              <x14:borderColor theme="0"/>
              <x14:negativeFillColor rgb="FFFF0000"/>
              <x14:axisColor rgb="FF000000"/>
            </x14:dataBar>
          </x14:cfRule>
          <xm:sqref>BL320</xm:sqref>
        </x14:conditionalFormatting>
        <x14:conditionalFormatting xmlns:xm="http://schemas.microsoft.com/office/excel/2006/main">
          <x14:cfRule type="dataBar" id="{5972AA4C-B8FB-4973-8BB8-B76FACE96C77}">
            <x14:dataBar minLength="0" maxLength="100" border="1" gradient="0">
              <x14:cfvo type="num">
                <xm:f>0</xm:f>
              </x14:cfvo>
              <x14:cfvo type="num">
                <xm:f>1</xm:f>
              </x14:cfvo>
              <x14:borderColor theme="0"/>
              <x14:negativeFillColor rgb="FFFF0000"/>
              <x14:axisColor rgb="FF000000"/>
            </x14:dataBar>
          </x14:cfRule>
          <xm:sqref>BL322</xm:sqref>
        </x14:conditionalFormatting>
        <x14:conditionalFormatting xmlns:xm="http://schemas.microsoft.com/office/excel/2006/main">
          <x14:cfRule type="dataBar" id="{E36BF1BF-D7F9-4F07-BE55-78985A217107}">
            <x14:dataBar minLength="0" maxLength="100" border="1" gradient="0">
              <x14:cfvo type="num">
                <xm:f>0</xm:f>
              </x14:cfvo>
              <x14:cfvo type="num">
                <xm:f>1</xm:f>
              </x14:cfvo>
              <x14:borderColor theme="0"/>
              <x14:negativeFillColor rgb="FFFF0000"/>
              <x14:axisColor rgb="FF000000"/>
            </x14:dataBar>
          </x14:cfRule>
          <xm:sqref>BL324</xm:sqref>
        </x14:conditionalFormatting>
        <x14:conditionalFormatting xmlns:xm="http://schemas.microsoft.com/office/excel/2006/main">
          <x14:cfRule type="dataBar" id="{A463119A-2CA7-4CA7-A6F7-69DB5CA057AE}">
            <x14:dataBar minLength="0" maxLength="100" border="1" gradient="0">
              <x14:cfvo type="num">
                <xm:f>0</xm:f>
              </x14:cfvo>
              <x14:cfvo type="num">
                <xm:f>1</xm:f>
              </x14:cfvo>
              <x14:borderColor theme="0"/>
              <x14:negativeFillColor rgb="FFFF0000"/>
              <x14:axisColor rgb="FF000000"/>
            </x14:dataBar>
          </x14:cfRule>
          <xm:sqref>BL326</xm:sqref>
        </x14:conditionalFormatting>
        <x14:conditionalFormatting xmlns:xm="http://schemas.microsoft.com/office/excel/2006/main">
          <x14:cfRule type="dataBar" id="{97432AD8-D07D-4EEB-9C0C-BC7E4E3393CE}">
            <x14:dataBar minLength="0" maxLength="100" border="1" gradient="0">
              <x14:cfvo type="num">
                <xm:f>0</xm:f>
              </x14:cfvo>
              <x14:cfvo type="num">
                <xm:f>1</xm:f>
              </x14:cfvo>
              <x14:borderColor theme="0"/>
              <x14:negativeFillColor rgb="FFFF0000"/>
              <x14:axisColor rgb="FF000000"/>
            </x14:dataBar>
          </x14:cfRule>
          <xm:sqref>BL328</xm:sqref>
        </x14:conditionalFormatting>
        <x14:conditionalFormatting xmlns:xm="http://schemas.microsoft.com/office/excel/2006/main">
          <x14:cfRule type="dataBar" id="{2A24C23C-30B3-471E-9BB6-E13FFF2A7FE6}">
            <x14:dataBar minLength="0" maxLength="100" border="1" gradient="0">
              <x14:cfvo type="num">
                <xm:f>0</xm:f>
              </x14:cfvo>
              <x14:cfvo type="num">
                <xm:f>1</xm:f>
              </x14:cfvo>
              <x14:borderColor theme="0"/>
              <x14:negativeFillColor rgb="FFFF0000"/>
              <x14:axisColor rgb="FF000000"/>
            </x14:dataBar>
          </x14:cfRule>
          <xm:sqref>BL330</xm:sqref>
        </x14:conditionalFormatting>
        <x14:conditionalFormatting xmlns:xm="http://schemas.microsoft.com/office/excel/2006/main">
          <x14:cfRule type="dataBar" id="{00481676-0A22-4F3B-9DF5-3A3DDD3AB11C}">
            <x14:dataBar minLength="0" maxLength="100" border="1" gradient="0">
              <x14:cfvo type="num">
                <xm:f>0</xm:f>
              </x14:cfvo>
              <x14:cfvo type="num">
                <xm:f>1</xm:f>
              </x14:cfvo>
              <x14:borderColor theme="0"/>
              <x14:negativeFillColor rgb="FFFF0000"/>
              <x14:axisColor rgb="FF000000"/>
            </x14:dataBar>
          </x14:cfRule>
          <xm:sqref>BL332</xm:sqref>
        </x14:conditionalFormatting>
        <x14:conditionalFormatting xmlns:xm="http://schemas.microsoft.com/office/excel/2006/main">
          <x14:cfRule type="dataBar" id="{0498BDC7-CADE-48C6-8F21-322930A14181}">
            <x14:dataBar minLength="0" maxLength="100" border="1" gradient="0">
              <x14:cfvo type="num">
                <xm:f>0</xm:f>
              </x14:cfvo>
              <x14:cfvo type="num">
                <xm:f>1</xm:f>
              </x14:cfvo>
              <x14:borderColor theme="0"/>
              <x14:negativeFillColor rgb="FFFF0000"/>
              <x14:axisColor rgb="FF000000"/>
            </x14:dataBar>
          </x14:cfRule>
          <xm:sqref>BL334</xm:sqref>
        </x14:conditionalFormatting>
        <x14:conditionalFormatting xmlns:xm="http://schemas.microsoft.com/office/excel/2006/main">
          <x14:cfRule type="dataBar" id="{80EA106F-F925-43CE-9B96-1C41AB7E78DC}">
            <x14:dataBar minLength="0" maxLength="100" border="1" gradient="0">
              <x14:cfvo type="num">
                <xm:f>0</xm:f>
              </x14:cfvo>
              <x14:cfvo type="num">
                <xm:f>1</xm:f>
              </x14:cfvo>
              <x14:borderColor theme="0"/>
              <x14:negativeFillColor rgb="FFFF0000"/>
              <x14:axisColor rgb="FF000000"/>
            </x14:dataBar>
          </x14:cfRule>
          <xm:sqref>BL336</xm:sqref>
        </x14:conditionalFormatting>
        <x14:conditionalFormatting xmlns:xm="http://schemas.microsoft.com/office/excel/2006/main">
          <x14:cfRule type="dataBar" id="{BC304080-DF28-472E-AFF8-2F64148BAF0D}">
            <x14:dataBar minLength="0" maxLength="100" border="1" gradient="0">
              <x14:cfvo type="num">
                <xm:f>0</xm:f>
              </x14:cfvo>
              <x14:cfvo type="num">
                <xm:f>1</xm:f>
              </x14:cfvo>
              <x14:borderColor theme="0"/>
              <x14:negativeFillColor rgb="FFFF0000"/>
              <x14:axisColor rgb="FF000000"/>
            </x14:dataBar>
          </x14:cfRule>
          <xm:sqref>BL338</xm:sqref>
        </x14:conditionalFormatting>
        <x14:conditionalFormatting xmlns:xm="http://schemas.microsoft.com/office/excel/2006/main">
          <x14:cfRule type="dataBar" id="{5E5F00C3-8D84-46F2-8391-78F354623760}">
            <x14:dataBar minLength="0" maxLength="100" border="1" gradient="0">
              <x14:cfvo type="num">
                <xm:f>0</xm:f>
              </x14:cfvo>
              <x14:cfvo type="num">
                <xm:f>1</xm:f>
              </x14:cfvo>
              <x14:borderColor theme="0"/>
              <x14:negativeFillColor rgb="FFFF0000"/>
              <x14:axisColor rgb="FF000000"/>
            </x14:dataBar>
          </x14:cfRule>
          <xm:sqref>BL340</xm:sqref>
        </x14:conditionalFormatting>
        <x14:conditionalFormatting xmlns:xm="http://schemas.microsoft.com/office/excel/2006/main">
          <x14:cfRule type="dataBar" id="{E74AE1B1-6C71-4A97-A45E-271239C74D58}">
            <x14:dataBar minLength="0" maxLength="100" border="1" gradient="0">
              <x14:cfvo type="num">
                <xm:f>0</xm:f>
              </x14:cfvo>
              <x14:cfvo type="num">
                <xm:f>1</xm:f>
              </x14:cfvo>
              <x14:borderColor theme="0"/>
              <x14:negativeFillColor rgb="FFFF0000"/>
              <x14:axisColor rgb="FF000000"/>
            </x14:dataBar>
          </x14:cfRule>
          <xm:sqref>BL342</xm:sqref>
        </x14:conditionalFormatting>
        <x14:conditionalFormatting xmlns:xm="http://schemas.microsoft.com/office/excel/2006/main">
          <x14:cfRule type="dataBar" id="{AFD9BC75-86F9-4FC0-B2CB-03BC725BC635}">
            <x14:dataBar minLength="0" maxLength="100" border="1" gradient="0">
              <x14:cfvo type="num">
                <xm:f>0</xm:f>
              </x14:cfvo>
              <x14:cfvo type="num">
                <xm:f>1</xm:f>
              </x14:cfvo>
              <x14:borderColor theme="0"/>
              <x14:negativeFillColor rgb="FFFF0000"/>
              <x14:axisColor rgb="FF000000"/>
            </x14:dataBar>
          </x14:cfRule>
          <xm:sqref>BL344</xm:sqref>
        </x14:conditionalFormatting>
        <x14:conditionalFormatting xmlns:xm="http://schemas.microsoft.com/office/excel/2006/main">
          <x14:cfRule type="dataBar" id="{55FBD050-3700-4815-9A7C-A417E2E8646D}">
            <x14:dataBar minLength="0" maxLength="100" border="1" gradient="0">
              <x14:cfvo type="num">
                <xm:f>0</xm:f>
              </x14:cfvo>
              <x14:cfvo type="num">
                <xm:f>1</xm:f>
              </x14:cfvo>
              <x14:borderColor theme="0"/>
              <x14:negativeFillColor rgb="FFFF0000"/>
              <x14:axisColor rgb="FF000000"/>
            </x14:dataBar>
          </x14:cfRule>
          <xm:sqref>BL346</xm:sqref>
        </x14:conditionalFormatting>
        <x14:conditionalFormatting xmlns:xm="http://schemas.microsoft.com/office/excel/2006/main">
          <x14:cfRule type="dataBar" id="{9F22E8EC-D576-4F55-AB66-C11389EDFDAF}">
            <x14:dataBar minLength="0" maxLength="100" border="1" gradient="0">
              <x14:cfvo type="num">
                <xm:f>0</xm:f>
              </x14:cfvo>
              <x14:cfvo type="num">
                <xm:f>1</xm:f>
              </x14:cfvo>
              <x14:borderColor theme="0"/>
              <x14:negativeFillColor rgb="FFFF0000"/>
              <x14:axisColor rgb="FF000000"/>
            </x14:dataBar>
          </x14:cfRule>
          <xm:sqref>BL348</xm:sqref>
        </x14:conditionalFormatting>
        <x14:conditionalFormatting xmlns:xm="http://schemas.microsoft.com/office/excel/2006/main">
          <x14:cfRule type="dataBar" id="{74971564-1179-4920-A62F-FC7E89FE57FB}">
            <x14:dataBar minLength="0" maxLength="100" border="1" gradient="0">
              <x14:cfvo type="num">
                <xm:f>0</xm:f>
              </x14:cfvo>
              <x14:cfvo type="num">
                <xm:f>1</xm:f>
              </x14:cfvo>
              <x14:borderColor theme="0"/>
              <x14:negativeFillColor rgb="FFFF0000"/>
              <x14:axisColor rgb="FF000000"/>
            </x14:dataBar>
          </x14:cfRule>
          <xm:sqref>BL350</xm:sqref>
        </x14:conditionalFormatting>
        <x14:conditionalFormatting xmlns:xm="http://schemas.microsoft.com/office/excel/2006/main">
          <x14:cfRule type="dataBar" id="{763D5ACA-EF9F-4D3F-840D-9D387E2379E2}">
            <x14:dataBar minLength="0" maxLength="100" border="1" gradient="0">
              <x14:cfvo type="num">
                <xm:f>0</xm:f>
              </x14:cfvo>
              <x14:cfvo type="num">
                <xm:f>1</xm:f>
              </x14:cfvo>
              <x14:borderColor theme="0"/>
              <x14:negativeFillColor rgb="FFFF0000"/>
              <x14:axisColor rgb="FF000000"/>
            </x14:dataBar>
          </x14:cfRule>
          <xm:sqref>BL352</xm:sqref>
        </x14:conditionalFormatting>
        <x14:conditionalFormatting xmlns:xm="http://schemas.microsoft.com/office/excel/2006/main">
          <x14:cfRule type="dataBar" id="{4CC527DF-BBA1-461A-8AD8-42EEF073B952}">
            <x14:dataBar minLength="0" maxLength="100" border="1" gradient="0">
              <x14:cfvo type="num">
                <xm:f>0</xm:f>
              </x14:cfvo>
              <x14:cfvo type="num">
                <xm:f>1</xm:f>
              </x14:cfvo>
              <x14:borderColor theme="0"/>
              <x14:negativeFillColor rgb="FFFF0000"/>
              <x14:axisColor rgb="FF000000"/>
            </x14:dataBar>
          </x14:cfRule>
          <xm:sqref>BL354</xm:sqref>
        </x14:conditionalFormatting>
        <x14:conditionalFormatting xmlns:xm="http://schemas.microsoft.com/office/excel/2006/main">
          <x14:cfRule type="dataBar" id="{3C895C0B-3A36-4F45-A49F-5D61B6176A85}">
            <x14:dataBar minLength="0" maxLength="100" border="1" gradient="0">
              <x14:cfvo type="num">
                <xm:f>0</xm:f>
              </x14:cfvo>
              <x14:cfvo type="num">
                <xm:f>1</xm:f>
              </x14:cfvo>
              <x14:borderColor theme="0"/>
              <x14:negativeFillColor rgb="FFFF0000"/>
              <x14:axisColor rgb="FF000000"/>
            </x14:dataBar>
          </x14:cfRule>
          <xm:sqref>BL356</xm:sqref>
        </x14:conditionalFormatting>
        <x14:conditionalFormatting xmlns:xm="http://schemas.microsoft.com/office/excel/2006/main">
          <x14:cfRule type="dataBar" id="{31214424-901C-4013-A02F-CB3B6243DCE7}">
            <x14:dataBar minLength="0" maxLength="100" border="1" gradient="0">
              <x14:cfvo type="num">
                <xm:f>0</xm:f>
              </x14:cfvo>
              <x14:cfvo type="num">
                <xm:f>1</xm:f>
              </x14:cfvo>
              <x14:borderColor theme="0"/>
              <x14:negativeFillColor rgb="FFFF0000"/>
              <x14:axisColor rgb="FF000000"/>
            </x14:dataBar>
          </x14:cfRule>
          <xm:sqref>BL358</xm:sqref>
        </x14:conditionalFormatting>
        <x14:conditionalFormatting xmlns:xm="http://schemas.microsoft.com/office/excel/2006/main">
          <x14:cfRule type="dataBar" id="{4C4420BE-BA07-4AAE-8692-0F7EF649CDCD}">
            <x14:dataBar minLength="0" maxLength="100" border="1" gradient="0">
              <x14:cfvo type="num">
                <xm:f>0</xm:f>
              </x14:cfvo>
              <x14:cfvo type="num">
                <xm:f>1</xm:f>
              </x14:cfvo>
              <x14:borderColor theme="0"/>
              <x14:negativeFillColor rgb="FFFF0000"/>
              <x14:axisColor rgb="FF000000"/>
            </x14:dataBar>
          </x14:cfRule>
          <xm:sqref>BL360</xm:sqref>
        </x14:conditionalFormatting>
        <x14:conditionalFormatting xmlns:xm="http://schemas.microsoft.com/office/excel/2006/main">
          <x14:cfRule type="dataBar" id="{B5CEF9F4-691C-493D-B157-B871DC5FA365}">
            <x14:dataBar minLength="0" maxLength="100" border="1" gradient="0">
              <x14:cfvo type="num">
                <xm:f>0</xm:f>
              </x14:cfvo>
              <x14:cfvo type="num">
                <xm:f>1</xm:f>
              </x14:cfvo>
              <x14:borderColor theme="0"/>
              <x14:negativeFillColor rgb="FFFF0000"/>
              <x14:axisColor rgb="FF000000"/>
            </x14:dataBar>
          </x14:cfRule>
          <xm:sqref>BL362</xm:sqref>
        </x14:conditionalFormatting>
        <x14:conditionalFormatting xmlns:xm="http://schemas.microsoft.com/office/excel/2006/main">
          <x14:cfRule type="dataBar" id="{584D87FA-F19B-4DEB-B4E8-DBDAE9106F76}">
            <x14:dataBar minLength="0" maxLength="100" border="1" gradient="0">
              <x14:cfvo type="num">
                <xm:f>0</xm:f>
              </x14:cfvo>
              <x14:cfvo type="num">
                <xm:f>1</xm:f>
              </x14:cfvo>
              <x14:borderColor theme="0"/>
              <x14:negativeFillColor rgb="FFFF0000"/>
              <x14:axisColor rgb="FF000000"/>
            </x14:dataBar>
          </x14:cfRule>
          <xm:sqref>BL364</xm:sqref>
        </x14:conditionalFormatting>
        <x14:conditionalFormatting xmlns:xm="http://schemas.microsoft.com/office/excel/2006/main">
          <x14:cfRule type="dataBar" id="{84EC326B-41F0-4EC0-9534-2AB29144F47C}">
            <x14:dataBar minLength="0" maxLength="100" border="1" gradient="0">
              <x14:cfvo type="num">
                <xm:f>0</xm:f>
              </x14:cfvo>
              <x14:cfvo type="num">
                <xm:f>1</xm:f>
              </x14:cfvo>
              <x14:borderColor theme="0"/>
              <x14:negativeFillColor rgb="FFFF0000"/>
              <x14:axisColor rgb="FF000000"/>
            </x14:dataBar>
          </x14:cfRule>
          <xm:sqref>BL366</xm:sqref>
        </x14:conditionalFormatting>
        <x14:conditionalFormatting xmlns:xm="http://schemas.microsoft.com/office/excel/2006/main">
          <x14:cfRule type="dataBar" id="{45032977-4631-49AB-A90E-B2E555D6E3BA}">
            <x14:dataBar minLength="0" maxLength="100" border="1" gradient="0">
              <x14:cfvo type="num">
                <xm:f>0</xm:f>
              </x14:cfvo>
              <x14:cfvo type="num">
                <xm:f>1</xm:f>
              </x14:cfvo>
              <x14:borderColor theme="0"/>
              <x14:negativeFillColor rgb="FFFF0000"/>
              <x14:axisColor rgb="FF000000"/>
            </x14:dataBar>
          </x14:cfRule>
          <xm:sqref>BL368</xm:sqref>
        </x14:conditionalFormatting>
        <x14:conditionalFormatting xmlns:xm="http://schemas.microsoft.com/office/excel/2006/main">
          <x14:cfRule type="dataBar" id="{15D0A590-28F6-446E-902D-00A157196253}">
            <x14:dataBar minLength="0" maxLength="100" border="1" gradient="0">
              <x14:cfvo type="num">
                <xm:f>0</xm:f>
              </x14:cfvo>
              <x14:cfvo type="num">
                <xm:f>1</xm:f>
              </x14:cfvo>
              <x14:borderColor theme="0"/>
              <x14:negativeFillColor rgb="FFFF0000"/>
              <x14:axisColor rgb="FF000000"/>
            </x14:dataBar>
          </x14:cfRule>
          <xm:sqref>BL370</xm:sqref>
        </x14:conditionalFormatting>
        <x14:conditionalFormatting xmlns:xm="http://schemas.microsoft.com/office/excel/2006/main">
          <x14:cfRule type="dataBar" id="{DE464F2C-D62F-4E02-A747-A1DEA5C07BFA}">
            <x14:dataBar minLength="0" maxLength="100" border="1" gradient="0">
              <x14:cfvo type="num">
                <xm:f>0</xm:f>
              </x14:cfvo>
              <x14:cfvo type="num">
                <xm:f>1</xm:f>
              </x14:cfvo>
              <x14:borderColor theme="0"/>
              <x14:negativeFillColor rgb="FFFF0000"/>
              <x14:axisColor rgb="FF000000"/>
            </x14:dataBar>
          </x14:cfRule>
          <xm:sqref>BL372</xm:sqref>
        </x14:conditionalFormatting>
        <x14:conditionalFormatting xmlns:xm="http://schemas.microsoft.com/office/excel/2006/main">
          <x14:cfRule type="dataBar" id="{8C0E1058-9F64-4AE8-82B3-6ECEA43DB686}">
            <x14:dataBar minLength="0" maxLength="100" border="1" gradient="0">
              <x14:cfvo type="num">
                <xm:f>0</xm:f>
              </x14:cfvo>
              <x14:cfvo type="num">
                <xm:f>1</xm:f>
              </x14:cfvo>
              <x14:borderColor theme="0"/>
              <x14:negativeFillColor rgb="FFFF0000"/>
              <x14:axisColor rgb="FF000000"/>
            </x14:dataBar>
          </x14:cfRule>
          <xm:sqref>BL374</xm:sqref>
        </x14:conditionalFormatting>
        <x14:conditionalFormatting xmlns:xm="http://schemas.microsoft.com/office/excel/2006/main">
          <x14:cfRule type="dataBar" id="{2DA15D27-AB43-4E66-A07A-DF11C258478C}">
            <x14:dataBar minLength="0" maxLength="100" border="1" gradient="0">
              <x14:cfvo type="num">
                <xm:f>0</xm:f>
              </x14:cfvo>
              <x14:cfvo type="num">
                <xm:f>1</xm:f>
              </x14:cfvo>
              <x14:borderColor theme="0"/>
              <x14:negativeFillColor rgb="FFFF0000"/>
              <x14:axisColor rgb="FF000000"/>
            </x14:dataBar>
          </x14:cfRule>
          <xm:sqref>BL376</xm:sqref>
        </x14:conditionalFormatting>
        <x14:conditionalFormatting xmlns:xm="http://schemas.microsoft.com/office/excel/2006/main">
          <x14:cfRule type="dataBar" id="{90E39257-B7E4-4E9E-B078-289887E030AD}">
            <x14:dataBar minLength="0" maxLength="100" border="1" gradient="0">
              <x14:cfvo type="num">
                <xm:f>0</xm:f>
              </x14:cfvo>
              <x14:cfvo type="num">
                <xm:f>1</xm:f>
              </x14:cfvo>
              <x14:borderColor theme="0"/>
              <x14:negativeFillColor rgb="FFFF0000"/>
              <x14:axisColor rgb="FF000000"/>
            </x14:dataBar>
          </x14:cfRule>
          <xm:sqref>BL378</xm:sqref>
        </x14:conditionalFormatting>
        <x14:conditionalFormatting xmlns:xm="http://schemas.microsoft.com/office/excel/2006/main">
          <x14:cfRule type="dataBar" id="{3EFA630C-5394-4219-9C91-B0406B4A1A27}">
            <x14:dataBar minLength="0" maxLength="100" border="1" gradient="0">
              <x14:cfvo type="num">
                <xm:f>0</xm:f>
              </x14:cfvo>
              <x14:cfvo type="num">
                <xm:f>1</xm:f>
              </x14:cfvo>
              <x14:borderColor theme="0"/>
              <x14:negativeFillColor rgb="FFFF0000"/>
              <x14:axisColor rgb="FF000000"/>
            </x14:dataBar>
          </x14:cfRule>
          <xm:sqref>BL380</xm:sqref>
        </x14:conditionalFormatting>
        <x14:conditionalFormatting xmlns:xm="http://schemas.microsoft.com/office/excel/2006/main">
          <x14:cfRule type="dataBar" id="{5A2DC666-7F2C-4135-A692-16654F1AF5F3}">
            <x14:dataBar minLength="0" maxLength="100" border="1" gradient="0">
              <x14:cfvo type="num">
                <xm:f>0</xm:f>
              </x14:cfvo>
              <x14:cfvo type="num">
                <xm:f>1</xm:f>
              </x14:cfvo>
              <x14:borderColor theme="0"/>
              <x14:negativeFillColor rgb="FFFF0000"/>
              <x14:axisColor rgb="FF000000"/>
            </x14:dataBar>
          </x14:cfRule>
          <xm:sqref>BL382</xm:sqref>
        </x14:conditionalFormatting>
        <x14:conditionalFormatting xmlns:xm="http://schemas.microsoft.com/office/excel/2006/main">
          <x14:cfRule type="dataBar" id="{6FA1B9B6-739F-43FB-BB5F-B901D86BBF02}">
            <x14:dataBar minLength="0" maxLength="100" border="1" gradient="0">
              <x14:cfvo type="num">
                <xm:f>0</xm:f>
              </x14:cfvo>
              <x14:cfvo type="num">
                <xm:f>1</xm:f>
              </x14:cfvo>
              <x14:borderColor theme="0"/>
              <x14:negativeFillColor rgb="FFFF0000"/>
              <x14:axisColor rgb="FF000000"/>
            </x14:dataBar>
          </x14:cfRule>
          <xm:sqref>BL384</xm:sqref>
        </x14:conditionalFormatting>
        <x14:conditionalFormatting xmlns:xm="http://schemas.microsoft.com/office/excel/2006/main">
          <x14:cfRule type="dataBar" id="{D2733407-A48E-4428-8F2A-60EA7CEAB82B}">
            <x14:dataBar minLength="0" maxLength="100" border="1" gradient="0">
              <x14:cfvo type="num">
                <xm:f>0</xm:f>
              </x14:cfvo>
              <x14:cfvo type="num">
                <xm:f>1</xm:f>
              </x14:cfvo>
              <x14:borderColor theme="0"/>
              <x14:negativeFillColor rgb="FFFF0000"/>
              <x14:axisColor rgb="FF000000"/>
            </x14:dataBar>
          </x14:cfRule>
          <xm:sqref>BL386</xm:sqref>
        </x14:conditionalFormatting>
        <x14:conditionalFormatting xmlns:xm="http://schemas.microsoft.com/office/excel/2006/main">
          <x14:cfRule type="dataBar" id="{CC52C59D-D398-4DB1-8EB9-24DC54F64E9B}">
            <x14:dataBar minLength="0" maxLength="100" border="1" gradient="0">
              <x14:cfvo type="num">
                <xm:f>0</xm:f>
              </x14:cfvo>
              <x14:cfvo type="num">
                <xm:f>1</xm:f>
              </x14:cfvo>
              <x14:borderColor theme="0"/>
              <x14:negativeFillColor rgb="FFFF0000"/>
              <x14:axisColor rgb="FF000000"/>
            </x14:dataBar>
          </x14:cfRule>
          <xm:sqref>BL388</xm:sqref>
        </x14:conditionalFormatting>
        <x14:conditionalFormatting xmlns:xm="http://schemas.microsoft.com/office/excel/2006/main">
          <x14:cfRule type="dataBar" id="{6CCD94DA-4DA3-499E-8F92-F9C5EE7DAADC}">
            <x14:dataBar minLength="0" maxLength="100" border="1" gradient="0">
              <x14:cfvo type="num">
                <xm:f>0</xm:f>
              </x14:cfvo>
              <x14:cfvo type="num">
                <xm:f>1</xm:f>
              </x14:cfvo>
              <x14:borderColor theme="0"/>
              <x14:negativeFillColor rgb="FFFF0000"/>
              <x14:axisColor rgb="FF000000"/>
            </x14:dataBar>
          </x14:cfRule>
          <xm:sqref>BL390</xm:sqref>
        </x14:conditionalFormatting>
        <x14:conditionalFormatting xmlns:xm="http://schemas.microsoft.com/office/excel/2006/main">
          <x14:cfRule type="dataBar" id="{3A01C2AC-1DD0-4647-9AE7-AE8F3576D0AF}">
            <x14:dataBar minLength="0" maxLength="100" border="1" gradient="0">
              <x14:cfvo type="num">
                <xm:f>0</xm:f>
              </x14:cfvo>
              <x14:cfvo type="num">
                <xm:f>1</xm:f>
              </x14:cfvo>
              <x14:borderColor theme="0"/>
              <x14:negativeFillColor rgb="FFFF0000"/>
              <x14:axisColor rgb="FF000000"/>
            </x14:dataBar>
          </x14:cfRule>
          <xm:sqref>BL393</xm:sqref>
        </x14:conditionalFormatting>
        <x14:conditionalFormatting xmlns:xm="http://schemas.microsoft.com/office/excel/2006/main">
          <x14:cfRule type="dataBar" id="{4FA534EB-8BE7-4228-9C04-FE15642C267C}">
            <x14:dataBar minLength="0" maxLength="100" border="1" gradient="0">
              <x14:cfvo type="num">
                <xm:f>0</xm:f>
              </x14:cfvo>
              <x14:cfvo type="num">
                <xm:f>1</xm:f>
              </x14:cfvo>
              <x14:borderColor theme="0"/>
              <x14:negativeFillColor rgb="FFFF0000"/>
              <x14:axisColor rgb="FF000000"/>
            </x14:dataBar>
          </x14:cfRule>
          <xm:sqref>BL395</xm:sqref>
        </x14:conditionalFormatting>
        <x14:conditionalFormatting xmlns:xm="http://schemas.microsoft.com/office/excel/2006/main">
          <x14:cfRule type="dataBar" id="{B45737D7-C8F7-42BB-B1D2-EBA7856EEFE7}">
            <x14:dataBar minLength="0" maxLength="100" border="1" gradient="0">
              <x14:cfvo type="num">
                <xm:f>0</xm:f>
              </x14:cfvo>
              <x14:cfvo type="num">
                <xm:f>1</xm:f>
              </x14:cfvo>
              <x14:borderColor theme="0"/>
              <x14:negativeFillColor rgb="FFFF0000"/>
              <x14:axisColor rgb="FF000000"/>
            </x14:dataBar>
          </x14:cfRule>
          <xm:sqref>BL397</xm:sqref>
        </x14:conditionalFormatting>
        <x14:conditionalFormatting xmlns:xm="http://schemas.microsoft.com/office/excel/2006/main">
          <x14:cfRule type="dataBar" id="{A31A0448-6FB5-4B74-B9F5-4611BD5EBBA0}">
            <x14:dataBar minLength="0" maxLength="100" border="1" gradient="0">
              <x14:cfvo type="num">
                <xm:f>0</xm:f>
              </x14:cfvo>
              <x14:cfvo type="num">
                <xm:f>1</xm:f>
              </x14:cfvo>
              <x14:borderColor theme="0"/>
              <x14:negativeFillColor rgb="FFFF0000"/>
              <x14:axisColor rgb="FF000000"/>
            </x14:dataBar>
          </x14:cfRule>
          <xm:sqref>BL399</xm:sqref>
        </x14:conditionalFormatting>
        <x14:conditionalFormatting xmlns:xm="http://schemas.microsoft.com/office/excel/2006/main">
          <x14:cfRule type="dataBar" id="{C0AC79ED-FEF3-45B6-B670-845D9A459B4D}">
            <x14:dataBar minLength="0" maxLength="100" border="1" gradient="0">
              <x14:cfvo type="num">
                <xm:f>0</xm:f>
              </x14:cfvo>
              <x14:cfvo type="num">
                <xm:f>1</xm:f>
              </x14:cfvo>
              <x14:borderColor theme="0"/>
              <x14:negativeFillColor rgb="FFFF0000"/>
              <x14:axisColor rgb="FF000000"/>
            </x14:dataBar>
          </x14:cfRule>
          <xm:sqref>BL401</xm:sqref>
        </x14:conditionalFormatting>
        <x14:conditionalFormatting xmlns:xm="http://schemas.microsoft.com/office/excel/2006/main">
          <x14:cfRule type="dataBar" id="{1C7EC8B3-47EB-42A4-B0AC-E0A3453EA3AB}">
            <x14:dataBar minLength="0" maxLength="100" border="1" gradient="0">
              <x14:cfvo type="num">
                <xm:f>0</xm:f>
              </x14:cfvo>
              <x14:cfvo type="num">
                <xm:f>1</xm:f>
              </x14:cfvo>
              <x14:borderColor theme="0"/>
              <x14:negativeFillColor rgb="FFFF0000"/>
              <x14:axisColor rgb="FF000000"/>
            </x14:dataBar>
          </x14:cfRule>
          <xm:sqref>BL403</xm:sqref>
        </x14:conditionalFormatting>
        <x14:conditionalFormatting xmlns:xm="http://schemas.microsoft.com/office/excel/2006/main">
          <x14:cfRule type="dataBar" id="{0A04CD72-66F7-468F-A274-1433E9FA1920}">
            <x14:dataBar minLength="0" maxLength="100" border="1" gradient="0">
              <x14:cfvo type="num">
                <xm:f>0</xm:f>
              </x14:cfvo>
              <x14:cfvo type="num">
                <xm:f>1</xm:f>
              </x14:cfvo>
              <x14:borderColor theme="0"/>
              <x14:negativeFillColor rgb="FFFF0000"/>
              <x14:axisColor rgb="FF000000"/>
            </x14:dataBar>
          </x14:cfRule>
          <xm:sqref>BL405</xm:sqref>
        </x14:conditionalFormatting>
        <x14:conditionalFormatting xmlns:xm="http://schemas.microsoft.com/office/excel/2006/main">
          <x14:cfRule type="dataBar" id="{DF963299-74ED-4F0F-AB15-511495879A1E}">
            <x14:dataBar minLength="0" maxLength="100" border="1" gradient="0">
              <x14:cfvo type="num">
                <xm:f>0</xm:f>
              </x14:cfvo>
              <x14:cfvo type="num">
                <xm:f>1</xm:f>
              </x14:cfvo>
              <x14:borderColor theme="0"/>
              <x14:negativeFillColor rgb="FFFF0000"/>
              <x14:axisColor rgb="FF000000"/>
            </x14:dataBar>
          </x14:cfRule>
          <xm:sqref>BL407</xm:sqref>
        </x14:conditionalFormatting>
        <x14:conditionalFormatting xmlns:xm="http://schemas.microsoft.com/office/excel/2006/main">
          <x14:cfRule type="dataBar" id="{494CFD40-D1BA-452A-9EA1-82380A7C06B0}">
            <x14:dataBar minLength="0" maxLength="100" border="1" gradient="0">
              <x14:cfvo type="num">
                <xm:f>0</xm:f>
              </x14:cfvo>
              <x14:cfvo type="num">
                <xm:f>1</xm:f>
              </x14:cfvo>
              <x14:borderColor theme="0"/>
              <x14:negativeFillColor rgb="FFFF0000"/>
              <x14:axisColor rgb="FF000000"/>
            </x14:dataBar>
          </x14:cfRule>
          <xm:sqref>BL409</xm:sqref>
        </x14:conditionalFormatting>
        <x14:conditionalFormatting xmlns:xm="http://schemas.microsoft.com/office/excel/2006/main">
          <x14:cfRule type="dataBar" id="{5B1283A7-4090-41BD-8D2A-F164DF660375}">
            <x14:dataBar minLength="0" maxLength="100" border="1" gradient="0">
              <x14:cfvo type="num">
                <xm:f>0</xm:f>
              </x14:cfvo>
              <x14:cfvo type="num">
                <xm:f>1</xm:f>
              </x14:cfvo>
              <x14:borderColor theme="0"/>
              <x14:negativeFillColor rgb="FFFF0000"/>
              <x14:axisColor rgb="FF000000"/>
            </x14:dataBar>
          </x14:cfRule>
          <xm:sqref>BL411</xm:sqref>
        </x14:conditionalFormatting>
        <x14:conditionalFormatting xmlns:xm="http://schemas.microsoft.com/office/excel/2006/main">
          <x14:cfRule type="dataBar" id="{B7531AC4-715E-46FE-9090-3242AB6602A9}">
            <x14:dataBar minLength="0" maxLength="100" border="1" gradient="0">
              <x14:cfvo type="num">
                <xm:f>0</xm:f>
              </x14:cfvo>
              <x14:cfvo type="num">
                <xm:f>1</xm:f>
              </x14:cfvo>
              <x14:borderColor theme="0"/>
              <x14:negativeFillColor rgb="FFFF0000"/>
              <x14:axisColor rgb="FF000000"/>
            </x14:dataBar>
          </x14:cfRule>
          <xm:sqref>BL413</xm:sqref>
        </x14:conditionalFormatting>
        <x14:conditionalFormatting xmlns:xm="http://schemas.microsoft.com/office/excel/2006/main">
          <x14:cfRule type="dataBar" id="{2B5475ED-E4BD-4DEA-AFCD-413D5D255A95}">
            <x14:dataBar minLength="0" maxLength="100" border="1" gradient="0">
              <x14:cfvo type="num">
                <xm:f>0</xm:f>
              </x14:cfvo>
              <x14:cfvo type="num">
                <xm:f>1</xm:f>
              </x14:cfvo>
              <x14:borderColor theme="0"/>
              <x14:negativeFillColor rgb="FFFF0000"/>
              <x14:axisColor rgb="FF000000"/>
            </x14:dataBar>
          </x14:cfRule>
          <xm:sqref>BL415</xm:sqref>
        </x14:conditionalFormatting>
        <x14:conditionalFormatting xmlns:xm="http://schemas.microsoft.com/office/excel/2006/main">
          <x14:cfRule type="dataBar" id="{D4F1BAFB-B165-47D4-83D1-7C729436809A}">
            <x14:dataBar minLength="0" maxLength="100" border="1" gradient="0">
              <x14:cfvo type="num">
                <xm:f>0</xm:f>
              </x14:cfvo>
              <x14:cfvo type="num">
                <xm:f>1</xm:f>
              </x14:cfvo>
              <x14:borderColor theme="0"/>
              <x14:negativeFillColor rgb="FFFF0000"/>
              <x14:axisColor rgb="FF000000"/>
            </x14:dataBar>
          </x14:cfRule>
          <xm:sqref>BL417</xm:sqref>
        </x14:conditionalFormatting>
        <x14:conditionalFormatting xmlns:xm="http://schemas.microsoft.com/office/excel/2006/main">
          <x14:cfRule type="dataBar" id="{36258C11-4765-4D7C-ABA7-3C413C15EE17}">
            <x14:dataBar minLength="0" maxLength="100" border="1" gradient="0">
              <x14:cfvo type="num">
                <xm:f>0</xm:f>
              </x14:cfvo>
              <x14:cfvo type="num">
                <xm:f>1</xm:f>
              </x14:cfvo>
              <x14:borderColor theme="0"/>
              <x14:negativeFillColor rgb="FFFF0000"/>
              <x14:axisColor rgb="FF000000"/>
            </x14:dataBar>
          </x14:cfRule>
          <xm:sqref>BL419</xm:sqref>
        </x14:conditionalFormatting>
        <x14:conditionalFormatting xmlns:xm="http://schemas.microsoft.com/office/excel/2006/main">
          <x14:cfRule type="dataBar" id="{6F53778F-F13E-4786-86B5-3A2B34861E10}">
            <x14:dataBar minLength="0" maxLength="100" border="1" gradient="0">
              <x14:cfvo type="num">
                <xm:f>0</xm:f>
              </x14:cfvo>
              <x14:cfvo type="num">
                <xm:f>1</xm:f>
              </x14:cfvo>
              <x14:borderColor theme="0"/>
              <x14:negativeFillColor rgb="FFFF0000"/>
              <x14:axisColor rgb="FF000000"/>
            </x14:dataBar>
          </x14:cfRule>
          <xm:sqref>BL421</xm:sqref>
        </x14:conditionalFormatting>
        <x14:conditionalFormatting xmlns:xm="http://schemas.microsoft.com/office/excel/2006/main">
          <x14:cfRule type="dataBar" id="{116D7073-0165-465E-A2A8-0F6BF3E7BB8F}">
            <x14:dataBar minLength="0" maxLength="100" border="1" gradient="0">
              <x14:cfvo type="num">
                <xm:f>0</xm:f>
              </x14:cfvo>
              <x14:cfvo type="num">
                <xm:f>1</xm:f>
              </x14:cfvo>
              <x14:borderColor theme="0"/>
              <x14:negativeFillColor rgb="FFFF0000"/>
              <x14:axisColor rgb="FF000000"/>
            </x14:dataBar>
          </x14:cfRule>
          <xm:sqref>BL423</xm:sqref>
        </x14:conditionalFormatting>
        <x14:conditionalFormatting xmlns:xm="http://schemas.microsoft.com/office/excel/2006/main">
          <x14:cfRule type="dataBar" id="{025468E7-7F05-46DC-9850-87B93F2D856B}">
            <x14:dataBar minLength="0" maxLength="100" border="1" gradient="0">
              <x14:cfvo type="num">
                <xm:f>0</xm:f>
              </x14:cfvo>
              <x14:cfvo type="num">
                <xm:f>1</xm:f>
              </x14:cfvo>
              <x14:borderColor theme="0"/>
              <x14:negativeFillColor rgb="FFFF0000"/>
              <x14:axisColor rgb="FF000000"/>
            </x14:dataBar>
          </x14:cfRule>
          <xm:sqref>BL425</xm:sqref>
        </x14:conditionalFormatting>
        <x14:conditionalFormatting xmlns:xm="http://schemas.microsoft.com/office/excel/2006/main">
          <x14:cfRule type="dataBar" id="{4179959F-DBB6-40D4-B2DA-A70DF3F0D0E1}">
            <x14:dataBar minLength="0" maxLength="100" border="1" gradient="0">
              <x14:cfvo type="num">
                <xm:f>0</xm:f>
              </x14:cfvo>
              <x14:cfvo type="num">
                <xm:f>1</xm:f>
              </x14:cfvo>
              <x14:borderColor theme="0"/>
              <x14:negativeFillColor rgb="FFFF0000"/>
              <x14:axisColor rgb="FF000000"/>
            </x14:dataBar>
          </x14:cfRule>
          <xm:sqref>BL428</xm:sqref>
        </x14:conditionalFormatting>
        <x14:conditionalFormatting xmlns:xm="http://schemas.microsoft.com/office/excel/2006/main">
          <x14:cfRule type="dataBar" id="{21FDAF70-518C-42DC-BCBB-EE891E8079C5}">
            <x14:dataBar minLength="0" maxLength="100" border="1" gradient="0">
              <x14:cfvo type="num">
                <xm:f>0</xm:f>
              </x14:cfvo>
              <x14:cfvo type="num">
                <xm:f>1</xm:f>
              </x14:cfvo>
              <x14:borderColor theme="0"/>
              <x14:negativeFillColor rgb="FFFF0000"/>
              <x14:axisColor rgb="FF000000"/>
            </x14:dataBar>
          </x14:cfRule>
          <xm:sqref>BL430</xm:sqref>
        </x14:conditionalFormatting>
        <x14:conditionalFormatting xmlns:xm="http://schemas.microsoft.com/office/excel/2006/main">
          <x14:cfRule type="dataBar" id="{D44C305E-8751-4FFE-8D24-673C63A07398}">
            <x14:dataBar minLength="0" maxLength="100" border="1" gradient="0">
              <x14:cfvo type="num">
                <xm:f>0</xm:f>
              </x14:cfvo>
              <x14:cfvo type="num">
                <xm:f>1</xm:f>
              </x14:cfvo>
              <x14:borderColor theme="0"/>
              <x14:negativeFillColor rgb="FFFF0000"/>
              <x14:axisColor rgb="FF000000"/>
            </x14:dataBar>
          </x14:cfRule>
          <xm:sqref>BL432</xm:sqref>
        </x14:conditionalFormatting>
        <x14:conditionalFormatting xmlns:xm="http://schemas.microsoft.com/office/excel/2006/main">
          <x14:cfRule type="dataBar" id="{5303D339-253F-4D22-A9EE-498807468321}">
            <x14:dataBar minLength="0" maxLength="100" border="1" gradient="0">
              <x14:cfvo type="num">
                <xm:f>0</xm:f>
              </x14:cfvo>
              <x14:cfvo type="num">
                <xm:f>1</xm:f>
              </x14:cfvo>
              <x14:borderColor theme="0"/>
              <x14:negativeFillColor rgb="FFFF0000"/>
              <x14:axisColor rgb="FF000000"/>
            </x14:dataBar>
          </x14:cfRule>
          <xm:sqref>BL434</xm:sqref>
        </x14:conditionalFormatting>
        <x14:conditionalFormatting xmlns:xm="http://schemas.microsoft.com/office/excel/2006/main">
          <x14:cfRule type="dataBar" id="{32FC3FFF-4F91-495A-ABB9-5B28BB90DED3}">
            <x14:dataBar minLength="0" maxLength="100" border="1" gradient="0">
              <x14:cfvo type="num">
                <xm:f>0</xm:f>
              </x14:cfvo>
              <x14:cfvo type="num">
                <xm:f>1</xm:f>
              </x14:cfvo>
              <x14:borderColor theme="0"/>
              <x14:negativeFillColor rgb="FFFF0000"/>
              <x14:axisColor rgb="FF000000"/>
            </x14:dataBar>
          </x14:cfRule>
          <xm:sqref>BL436</xm:sqref>
        </x14:conditionalFormatting>
        <x14:conditionalFormatting xmlns:xm="http://schemas.microsoft.com/office/excel/2006/main">
          <x14:cfRule type="dataBar" id="{D8801ADA-9C27-41B8-92E9-18701392B074}">
            <x14:dataBar minLength="0" maxLength="100" border="1" gradient="0">
              <x14:cfvo type="num">
                <xm:f>0</xm:f>
              </x14:cfvo>
              <x14:cfvo type="num">
                <xm:f>1</xm:f>
              </x14:cfvo>
              <x14:borderColor theme="0"/>
              <x14:negativeFillColor rgb="FFFF0000"/>
              <x14:axisColor rgb="FF000000"/>
            </x14:dataBar>
          </x14:cfRule>
          <xm:sqref>BL438</xm:sqref>
        </x14:conditionalFormatting>
        <x14:conditionalFormatting xmlns:xm="http://schemas.microsoft.com/office/excel/2006/main">
          <x14:cfRule type="dataBar" id="{5BEC3671-CC3E-4983-80F0-FFC4215B7DF1}">
            <x14:dataBar minLength="0" maxLength="100" border="1" gradient="0">
              <x14:cfvo type="num">
                <xm:f>0</xm:f>
              </x14:cfvo>
              <x14:cfvo type="num">
                <xm:f>1</xm:f>
              </x14:cfvo>
              <x14:borderColor theme="0"/>
              <x14:negativeFillColor rgb="FFFF0000"/>
              <x14:axisColor rgb="FF000000"/>
            </x14:dataBar>
          </x14:cfRule>
          <xm:sqref>BL440</xm:sqref>
        </x14:conditionalFormatting>
        <x14:conditionalFormatting xmlns:xm="http://schemas.microsoft.com/office/excel/2006/main">
          <x14:cfRule type="dataBar" id="{70B2B1D6-9D80-42A4-BD03-106C76FB23E0}">
            <x14:dataBar minLength="0" maxLength="100" border="1" gradient="0">
              <x14:cfvo type="num">
                <xm:f>0</xm:f>
              </x14:cfvo>
              <x14:cfvo type="num">
                <xm:f>1</xm:f>
              </x14:cfvo>
              <x14:borderColor theme="0"/>
              <x14:negativeFillColor rgb="FFFF0000"/>
              <x14:axisColor rgb="FF000000"/>
            </x14:dataBar>
          </x14:cfRule>
          <xm:sqref>BL442</xm:sqref>
        </x14:conditionalFormatting>
        <x14:conditionalFormatting xmlns:xm="http://schemas.microsoft.com/office/excel/2006/main">
          <x14:cfRule type="dataBar" id="{C7505E94-21EC-437B-9B5E-1FD09A72500F}">
            <x14:dataBar minLength="0" maxLength="100" border="1" gradient="0">
              <x14:cfvo type="num">
                <xm:f>0</xm:f>
              </x14:cfvo>
              <x14:cfvo type="num">
                <xm:f>1</xm:f>
              </x14:cfvo>
              <x14:borderColor theme="0"/>
              <x14:negativeFillColor rgb="FFFF0000"/>
              <x14:axisColor rgb="FF000000"/>
            </x14:dataBar>
          </x14:cfRule>
          <xm:sqref>BL444</xm:sqref>
        </x14:conditionalFormatting>
        <x14:conditionalFormatting xmlns:xm="http://schemas.microsoft.com/office/excel/2006/main">
          <x14:cfRule type="dataBar" id="{1B26B04D-597F-4060-B4AF-B6471E88233D}">
            <x14:dataBar minLength="0" maxLength="100" border="1" gradient="0">
              <x14:cfvo type="num">
                <xm:f>0</xm:f>
              </x14:cfvo>
              <x14:cfvo type="num">
                <xm:f>1</xm:f>
              </x14:cfvo>
              <x14:borderColor theme="0"/>
              <x14:negativeFillColor rgb="FFFF0000"/>
              <x14:axisColor rgb="FF000000"/>
            </x14:dataBar>
          </x14:cfRule>
          <xm:sqref>BL446</xm:sqref>
        </x14:conditionalFormatting>
        <x14:conditionalFormatting xmlns:xm="http://schemas.microsoft.com/office/excel/2006/main">
          <x14:cfRule type="dataBar" id="{890FFB38-49E1-409D-89A4-D7E333A06434}">
            <x14:dataBar minLength="0" maxLength="100" border="1" gradient="0">
              <x14:cfvo type="num">
                <xm:f>0</xm:f>
              </x14:cfvo>
              <x14:cfvo type="num">
                <xm:f>1</xm:f>
              </x14:cfvo>
              <x14:borderColor theme="0"/>
              <x14:negativeFillColor rgb="FFFF0000"/>
              <x14:axisColor rgb="FF000000"/>
            </x14:dataBar>
          </x14:cfRule>
          <xm:sqref>BL448</xm:sqref>
        </x14:conditionalFormatting>
        <x14:conditionalFormatting xmlns:xm="http://schemas.microsoft.com/office/excel/2006/main">
          <x14:cfRule type="dataBar" id="{FBF1CBA9-70CF-40F7-AC06-89A05A497ECE}">
            <x14:dataBar minLength="0" maxLength="100" border="1" gradient="0">
              <x14:cfvo type="num">
                <xm:f>0</xm:f>
              </x14:cfvo>
              <x14:cfvo type="num">
                <xm:f>1</xm:f>
              </x14:cfvo>
              <x14:borderColor theme="0"/>
              <x14:negativeFillColor rgb="FFFF0000"/>
              <x14:axisColor rgb="FF000000"/>
            </x14:dataBar>
          </x14:cfRule>
          <xm:sqref>BL450</xm:sqref>
        </x14:conditionalFormatting>
        <x14:conditionalFormatting xmlns:xm="http://schemas.microsoft.com/office/excel/2006/main">
          <x14:cfRule type="dataBar" id="{B97313C7-FE1D-4E90-9298-9ECE55C7EBBD}">
            <x14:dataBar minLength="0" maxLength="100" border="1" gradient="0">
              <x14:cfvo type="num">
                <xm:f>0</xm:f>
              </x14:cfvo>
              <x14:cfvo type="num">
                <xm:f>1</xm:f>
              </x14:cfvo>
              <x14:borderColor theme="0"/>
              <x14:negativeFillColor rgb="FFFF0000"/>
              <x14:axisColor rgb="FF000000"/>
            </x14:dataBar>
          </x14:cfRule>
          <xm:sqref>BL452</xm:sqref>
        </x14:conditionalFormatting>
        <x14:conditionalFormatting xmlns:xm="http://schemas.microsoft.com/office/excel/2006/main">
          <x14:cfRule type="dataBar" id="{B832A44C-5772-4C52-A7FB-C3F69CAC02E3}">
            <x14:dataBar minLength="0" maxLength="100" border="1" gradient="0">
              <x14:cfvo type="num">
                <xm:f>0</xm:f>
              </x14:cfvo>
              <x14:cfvo type="num">
                <xm:f>1</xm:f>
              </x14:cfvo>
              <x14:borderColor theme="0"/>
              <x14:negativeFillColor rgb="FFFF0000"/>
              <x14:axisColor rgb="FF000000"/>
            </x14:dataBar>
          </x14:cfRule>
          <xm:sqref>BL454</xm:sqref>
        </x14:conditionalFormatting>
        <x14:conditionalFormatting xmlns:xm="http://schemas.microsoft.com/office/excel/2006/main">
          <x14:cfRule type="dataBar" id="{C230CDFB-8161-4FAC-842B-93E9BBD90591}">
            <x14:dataBar minLength="0" maxLength="100" border="1" gradient="0">
              <x14:cfvo type="num">
                <xm:f>0</xm:f>
              </x14:cfvo>
              <x14:cfvo type="num">
                <xm:f>1</xm:f>
              </x14:cfvo>
              <x14:borderColor theme="0"/>
              <x14:negativeFillColor rgb="FFFF0000"/>
              <x14:axisColor rgb="FF000000"/>
            </x14:dataBar>
          </x14:cfRule>
          <xm:sqref>BL456</xm:sqref>
        </x14:conditionalFormatting>
        <x14:conditionalFormatting xmlns:xm="http://schemas.microsoft.com/office/excel/2006/main">
          <x14:cfRule type="dataBar" id="{AD634330-DB38-411C-BB21-215C4AD1491F}">
            <x14:dataBar minLength="0" maxLength="100" border="1" gradient="0">
              <x14:cfvo type="num">
                <xm:f>0</xm:f>
              </x14:cfvo>
              <x14:cfvo type="num">
                <xm:f>1</xm:f>
              </x14:cfvo>
              <x14:borderColor theme="0"/>
              <x14:negativeFillColor rgb="FFFF0000"/>
              <x14:axisColor rgb="FF000000"/>
            </x14:dataBar>
          </x14:cfRule>
          <xm:sqref>BL458</xm:sqref>
        </x14:conditionalFormatting>
        <x14:conditionalFormatting xmlns:xm="http://schemas.microsoft.com/office/excel/2006/main">
          <x14:cfRule type="dataBar" id="{0A4D3240-B153-48D8-8506-CE4EEFE43EE1}">
            <x14:dataBar minLength="0" maxLength="100" border="1" gradient="0">
              <x14:cfvo type="num">
                <xm:f>0</xm:f>
              </x14:cfvo>
              <x14:cfvo type="num">
                <xm:f>1</xm:f>
              </x14:cfvo>
              <x14:borderColor theme="0"/>
              <x14:negativeFillColor rgb="FFFF0000"/>
              <x14:axisColor rgb="FF000000"/>
            </x14:dataBar>
          </x14:cfRule>
          <xm:sqref>BL460</xm:sqref>
        </x14:conditionalFormatting>
        <x14:conditionalFormatting xmlns:xm="http://schemas.microsoft.com/office/excel/2006/main">
          <x14:cfRule type="dataBar" id="{57B158E2-6111-470F-8770-4FF1923CC782}">
            <x14:dataBar minLength="0" maxLength="100" border="1" gradient="0">
              <x14:cfvo type="num">
                <xm:f>0</xm:f>
              </x14:cfvo>
              <x14:cfvo type="num">
                <xm:f>1</xm:f>
              </x14:cfvo>
              <x14:borderColor theme="0"/>
              <x14:negativeFillColor rgb="FFFF0000"/>
              <x14:axisColor rgb="FF000000"/>
            </x14:dataBar>
          </x14:cfRule>
          <xm:sqref>BL462</xm:sqref>
        </x14:conditionalFormatting>
        <x14:conditionalFormatting xmlns:xm="http://schemas.microsoft.com/office/excel/2006/main">
          <x14:cfRule type="dataBar" id="{65F59EEE-E6D2-40AE-B4DD-6AC80AFE4F7C}">
            <x14:dataBar minLength="0" maxLength="100" border="1" gradient="0">
              <x14:cfvo type="num">
                <xm:f>0</xm:f>
              </x14:cfvo>
              <x14:cfvo type="num">
                <xm:f>1</xm:f>
              </x14:cfvo>
              <x14:borderColor theme="0"/>
              <x14:negativeFillColor rgb="FFFF0000"/>
              <x14:axisColor rgb="FF000000"/>
            </x14:dataBar>
          </x14:cfRule>
          <xm:sqref>BL464</xm:sqref>
        </x14:conditionalFormatting>
        <x14:conditionalFormatting xmlns:xm="http://schemas.microsoft.com/office/excel/2006/main">
          <x14:cfRule type="dataBar" id="{BEC8B694-71BB-41C2-8050-00DDD7EF34AF}">
            <x14:dataBar minLength="0" maxLength="100" border="1" gradient="0">
              <x14:cfvo type="num">
                <xm:f>0</xm:f>
              </x14:cfvo>
              <x14:cfvo type="num">
                <xm:f>1</xm:f>
              </x14:cfvo>
              <x14:borderColor theme="0"/>
              <x14:negativeFillColor rgb="FFFF0000"/>
              <x14:axisColor rgb="FF000000"/>
            </x14:dataBar>
          </x14:cfRule>
          <xm:sqref>BL466</xm:sqref>
        </x14:conditionalFormatting>
        <x14:conditionalFormatting xmlns:xm="http://schemas.microsoft.com/office/excel/2006/main">
          <x14:cfRule type="dataBar" id="{41D44E63-472C-4ACA-B743-EE56FDABD4D1}">
            <x14:dataBar minLength="0" maxLength="100" border="1" gradient="0">
              <x14:cfvo type="num">
                <xm:f>0</xm:f>
              </x14:cfvo>
              <x14:cfvo type="num">
                <xm:f>1</xm:f>
              </x14:cfvo>
              <x14:borderColor theme="0"/>
              <x14:negativeFillColor rgb="FFFF0000"/>
              <x14:axisColor rgb="FF000000"/>
            </x14:dataBar>
          </x14:cfRule>
          <xm:sqref>BL468</xm:sqref>
        </x14:conditionalFormatting>
        <x14:conditionalFormatting xmlns:xm="http://schemas.microsoft.com/office/excel/2006/main">
          <x14:cfRule type="dataBar" id="{8293972B-5FC3-4258-91D7-F84B857ACBEB}">
            <x14:dataBar minLength="0" maxLength="100" border="1" gradient="0">
              <x14:cfvo type="num">
                <xm:f>0</xm:f>
              </x14:cfvo>
              <x14:cfvo type="num">
                <xm:f>1</xm:f>
              </x14:cfvo>
              <x14:borderColor theme="0"/>
              <x14:negativeFillColor rgb="FFFF0000"/>
              <x14:axisColor rgb="FF000000"/>
            </x14:dataBar>
          </x14:cfRule>
          <xm:sqref>BL470</xm:sqref>
        </x14:conditionalFormatting>
        <x14:conditionalFormatting xmlns:xm="http://schemas.microsoft.com/office/excel/2006/main">
          <x14:cfRule type="dataBar" id="{9FB499D0-0D5A-4B24-92BB-DA1841401819}">
            <x14:dataBar minLength="0" maxLength="100" border="1" gradient="0">
              <x14:cfvo type="num">
                <xm:f>0</xm:f>
              </x14:cfvo>
              <x14:cfvo type="num">
                <xm:f>1</xm:f>
              </x14:cfvo>
              <x14:borderColor theme="0"/>
              <x14:negativeFillColor rgb="FFFF0000"/>
              <x14:axisColor rgb="FF000000"/>
            </x14:dataBar>
          </x14:cfRule>
          <xm:sqref>BL472</xm:sqref>
        </x14:conditionalFormatting>
        <x14:conditionalFormatting xmlns:xm="http://schemas.microsoft.com/office/excel/2006/main">
          <x14:cfRule type="dataBar" id="{2AB42795-552E-422B-ACF5-28AB2A6F9A1E}">
            <x14:dataBar minLength="0" maxLength="100" border="1" gradient="0">
              <x14:cfvo type="num">
                <xm:f>0</xm:f>
              </x14:cfvo>
              <x14:cfvo type="num">
                <xm:f>1</xm:f>
              </x14:cfvo>
              <x14:borderColor theme="0"/>
              <x14:negativeFillColor rgb="FFFF0000"/>
              <x14:axisColor rgb="FF000000"/>
            </x14:dataBar>
          </x14:cfRule>
          <xm:sqref>BL474</xm:sqref>
        </x14:conditionalFormatting>
        <x14:conditionalFormatting xmlns:xm="http://schemas.microsoft.com/office/excel/2006/main">
          <x14:cfRule type="dataBar" id="{931C75C7-DF89-4BC4-9ABE-6D1E54CB1638}">
            <x14:dataBar minLength="0" maxLength="100" border="1" gradient="0">
              <x14:cfvo type="num">
                <xm:f>0</xm:f>
              </x14:cfvo>
              <x14:cfvo type="num">
                <xm:f>1</xm:f>
              </x14:cfvo>
              <x14:borderColor theme="0"/>
              <x14:negativeFillColor rgb="FFFF0000"/>
              <x14:axisColor rgb="FF000000"/>
            </x14:dataBar>
          </x14:cfRule>
          <xm:sqref>BL476</xm:sqref>
        </x14:conditionalFormatting>
        <x14:conditionalFormatting xmlns:xm="http://schemas.microsoft.com/office/excel/2006/main">
          <x14:cfRule type="dataBar" id="{5A4E279E-AEC9-471E-B368-00DC546647E8}">
            <x14:dataBar minLength="0" maxLength="100" border="1" gradient="0">
              <x14:cfvo type="num">
                <xm:f>0</xm:f>
              </x14:cfvo>
              <x14:cfvo type="num">
                <xm:f>1</xm:f>
              </x14:cfvo>
              <x14:borderColor theme="0"/>
              <x14:negativeFillColor rgb="FFFF0000"/>
              <x14:axisColor rgb="FF000000"/>
            </x14:dataBar>
          </x14:cfRule>
          <xm:sqref>BL478</xm:sqref>
        </x14:conditionalFormatting>
        <x14:conditionalFormatting xmlns:xm="http://schemas.microsoft.com/office/excel/2006/main">
          <x14:cfRule type="dataBar" id="{9FCB2B97-53DE-469B-8AE0-CE6A1E9E0A04}">
            <x14:dataBar minLength="0" maxLength="100" border="1" gradient="0">
              <x14:cfvo type="num">
                <xm:f>0</xm:f>
              </x14:cfvo>
              <x14:cfvo type="num">
                <xm:f>1</xm:f>
              </x14:cfvo>
              <x14:borderColor theme="0"/>
              <x14:negativeFillColor rgb="FFFF0000"/>
              <x14:axisColor rgb="FF000000"/>
            </x14:dataBar>
          </x14:cfRule>
          <xm:sqref>BL480</xm:sqref>
        </x14:conditionalFormatting>
        <x14:conditionalFormatting xmlns:xm="http://schemas.microsoft.com/office/excel/2006/main">
          <x14:cfRule type="dataBar" id="{E7C68CF1-B6D1-47FF-B9F0-0A18EB2147B4}">
            <x14:dataBar minLength="0" maxLength="100" border="1" gradient="0">
              <x14:cfvo type="num">
                <xm:f>0</xm:f>
              </x14:cfvo>
              <x14:cfvo type="num">
                <xm:f>1</xm:f>
              </x14:cfvo>
              <x14:borderColor theme="0"/>
              <x14:negativeFillColor rgb="FFFF0000"/>
              <x14:axisColor rgb="FF000000"/>
            </x14:dataBar>
          </x14:cfRule>
          <xm:sqref>BL482</xm:sqref>
        </x14:conditionalFormatting>
        <x14:conditionalFormatting xmlns:xm="http://schemas.microsoft.com/office/excel/2006/main">
          <x14:cfRule type="dataBar" id="{E84A874F-AAA3-453F-86A6-31385C7BAB31}">
            <x14:dataBar minLength="0" maxLength="100" border="1" gradient="0">
              <x14:cfvo type="num">
                <xm:f>0</xm:f>
              </x14:cfvo>
              <x14:cfvo type="num">
                <xm:f>1</xm:f>
              </x14:cfvo>
              <x14:borderColor theme="0"/>
              <x14:negativeFillColor rgb="FFFF0000"/>
              <x14:axisColor rgb="FF000000"/>
            </x14:dataBar>
          </x14:cfRule>
          <xm:sqref>BL484</xm:sqref>
        </x14:conditionalFormatting>
        <x14:conditionalFormatting xmlns:xm="http://schemas.microsoft.com/office/excel/2006/main">
          <x14:cfRule type="dataBar" id="{296E1AFF-DD0A-478B-991A-06E18704D8DA}">
            <x14:dataBar minLength="0" maxLength="100" border="1" gradient="0">
              <x14:cfvo type="num">
                <xm:f>0</xm:f>
              </x14:cfvo>
              <x14:cfvo type="num">
                <xm:f>1</xm:f>
              </x14:cfvo>
              <x14:borderColor theme="0"/>
              <x14:negativeFillColor rgb="FFFF0000"/>
              <x14:axisColor rgb="FF000000"/>
            </x14:dataBar>
          </x14:cfRule>
          <xm:sqref>BL486</xm:sqref>
        </x14:conditionalFormatting>
        <x14:conditionalFormatting xmlns:xm="http://schemas.microsoft.com/office/excel/2006/main">
          <x14:cfRule type="dataBar" id="{E4B92B8A-DC53-4092-964F-B5FA2F16C482}">
            <x14:dataBar minLength="0" maxLength="100" border="1" gradient="0">
              <x14:cfvo type="num">
                <xm:f>0</xm:f>
              </x14:cfvo>
              <x14:cfvo type="num">
                <xm:f>1</xm:f>
              </x14:cfvo>
              <x14:borderColor theme="0"/>
              <x14:negativeFillColor rgb="FFFF0000"/>
              <x14:axisColor rgb="FF000000"/>
            </x14:dataBar>
          </x14:cfRule>
          <xm:sqref>BL488</xm:sqref>
        </x14:conditionalFormatting>
        <x14:conditionalFormatting xmlns:xm="http://schemas.microsoft.com/office/excel/2006/main">
          <x14:cfRule type="dataBar" id="{F09CC887-A15F-40BD-B133-5D31C7592A85}">
            <x14:dataBar minLength="0" maxLength="100" border="1" gradient="0">
              <x14:cfvo type="num">
                <xm:f>0</xm:f>
              </x14:cfvo>
              <x14:cfvo type="num">
                <xm:f>1</xm:f>
              </x14:cfvo>
              <x14:borderColor theme="0"/>
              <x14:negativeFillColor rgb="FFFF0000"/>
              <x14:axisColor rgb="FF000000"/>
            </x14:dataBar>
          </x14:cfRule>
          <xm:sqref>BL490</xm:sqref>
        </x14:conditionalFormatting>
        <x14:conditionalFormatting xmlns:xm="http://schemas.microsoft.com/office/excel/2006/main">
          <x14:cfRule type="dataBar" id="{3BA32880-F9A7-4851-A46C-B859FDAC77B9}">
            <x14:dataBar minLength="0" maxLength="100" border="1" gradient="0">
              <x14:cfvo type="num">
                <xm:f>0</xm:f>
              </x14:cfvo>
              <x14:cfvo type="num">
                <xm:f>1</xm:f>
              </x14:cfvo>
              <x14:borderColor theme="0"/>
              <x14:negativeFillColor rgb="FFFF0000"/>
              <x14:axisColor rgb="FF000000"/>
            </x14:dataBar>
          </x14:cfRule>
          <xm:sqref>BL492</xm:sqref>
        </x14:conditionalFormatting>
        <x14:conditionalFormatting xmlns:xm="http://schemas.microsoft.com/office/excel/2006/main">
          <x14:cfRule type="dataBar" id="{35C7501B-1C59-4A1F-84EF-F31F2446C8E6}">
            <x14:dataBar minLength="0" maxLength="100" border="1" gradient="0">
              <x14:cfvo type="num">
                <xm:f>0</xm:f>
              </x14:cfvo>
              <x14:cfvo type="num">
                <xm:f>1</xm:f>
              </x14:cfvo>
              <x14:borderColor theme="0"/>
              <x14:negativeFillColor rgb="FFFF0000"/>
              <x14:axisColor rgb="FF000000"/>
            </x14:dataBar>
          </x14:cfRule>
          <xm:sqref>BL494</xm:sqref>
        </x14:conditionalFormatting>
        <x14:conditionalFormatting xmlns:xm="http://schemas.microsoft.com/office/excel/2006/main">
          <x14:cfRule type="dataBar" id="{9E0C0DFC-5776-46E5-AB95-89D40156A9F2}">
            <x14:dataBar minLength="0" maxLength="100" border="1" gradient="0">
              <x14:cfvo type="num">
                <xm:f>0</xm:f>
              </x14:cfvo>
              <x14:cfvo type="num">
                <xm:f>1</xm:f>
              </x14:cfvo>
              <x14:borderColor theme="0"/>
              <x14:negativeFillColor rgb="FFFF0000"/>
              <x14:axisColor rgb="FF000000"/>
            </x14:dataBar>
          </x14:cfRule>
          <xm:sqref>BL496</xm:sqref>
        </x14:conditionalFormatting>
        <x14:conditionalFormatting xmlns:xm="http://schemas.microsoft.com/office/excel/2006/main">
          <x14:cfRule type="dataBar" id="{CE7B3FDE-2455-4C45-BFD1-B31237A6D547}">
            <x14:dataBar minLength="0" maxLength="100" border="1" gradient="0">
              <x14:cfvo type="num">
                <xm:f>0</xm:f>
              </x14:cfvo>
              <x14:cfvo type="num">
                <xm:f>1</xm:f>
              </x14:cfvo>
              <x14:borderColor theme="0"/>
              <x14:negativeFillColor rgb="FFFF0000"/>
              <x14:axisColor rgb="FF000000"/>
            </x14:dataBar>
          </x14:cfRule>
          <xm:sqref>BL498</xm:sqref>
        </x14:conditionalFormatting>
        <x14:conditionalFormatting xmlns:xm="http://schemas.microsoft.com/office/excel/2006/main">
          <x14:cfRule type="dataBar" id="{5AFF4030-C232-4E51-8A7E-4D55E1F714FA}">
            <x14:dataBar minLength="0" maxLength="100" border="1" gradient="0">
              <x14:cfvo type="num">
                <xm:f>0</xm:f>
              </x14:cfvo>
              <x14:cfvo type="num">
                <xm:f>1</xm:f>
              </x14:cfvo>
              <x14:borderColor theme="0"/>
              <x14:negativeFillColor rgb="FFFF0000"/>
              <x14:axisColor rgb="FF000000"/>
            </x14:dataBar>
          </x14:cfRule>
          <xm:sqref>BL500</xm:sqref>
        </x14:conditionalFormatting>
        <x14:conditionalFormatting xmlns:xm="http://schemas.microsoft.com/office/excel/2006/main">
          <x14:cfRule type="dataBar" id="{49C1F557-B247-4C49-80E8-0DB60C73C4BE}">
            <x14:dataBar minLength="0" maxLength="100" border="1" gradient="0">
              <x14:cfvo type="num">
                <xm:f>0</xm:f>
              </x14:cfvo>
              <x14:cfvo type="num">
                <xm:f>1</xm:f>
              </x14:cfvo>
              <x14:borderColor theme="0"/>
              <x14:negativeFillColor rgb="FFFF0000"/>
              <x14:axisColor rgb="FF000000"/>
            </x14:dataBar>
          </x14:cfRule>
          <xm:sqref>BL502</xm:sqref>
        </x14:conditionalFormatting>
        <x14:conditionalFormatting xmlns:xm="http://schemas.microsoft.com/office/excel/2006/main">
          <x14:cfRule type="dataBar" id="{01449E64-79F3-4205-8EC7-515BF1EBD44C}">
            <x14:dataBar minLength="0" maxLength="100" border="1" gradient="0">
              <x14:cfvo type="num">
                <xm:f>0</xm:f>
              </x14:cfvo>
              <x14:cfvo type="num">
                <xm:f>1</xm:f>
              </x14:cfvo>
              <x14:borderColor theme="0"/>
              <x14:negativeFillColor rgb="FFFF0000"/>
              <x14:axisColor rgb="FF000000"/>
            </x14:dataBar>
          </x14:cfRule>
          <xm:sqref>BL504</xm:sqref>
        </x14:conditionalFormatting>
        <x14:conditionalFormatting xmlns:xm="http://schemas.microsoft.com/office/excel/2006/main">
          <x14:cfRule type="dataBar" id="{30CF6002-1DDE-4ECB-865C-ABCF74DAC009}">
            <x14:dataBar minLength="0" maxLength="100" border="1" gradient="0">
              <x14:cfvo type="num">
                <xm:f>0</xm:f>
              </x14:cfvo>
              <x14:cfvo type="num">
                <xm:f>1</xm:f>
              </x14:cfvo>
              <x14:borderColor theme="0"/>
              <x14:negativeFillColor rgb="FFFF0000"/>
              <x14:axisColor rgb="FF000000"/>
            </x14:dataBar>
          </x14:cfRule>
          <xm:sqref>BL506</xm:sqref>
        </x14:conditionalFormatting>
        <x14:conditionalFormatting xmlns:xm="http://schemas.microsoft.com/office/excel/2006/main">
          <x14:cfRule type="dataBar" id="{791B0ADF-8DCD-462B-AE45-A5B3F233F725}">
            <x14:dataBar minLength="0" maxLength="100" border="1" gradient="0">
              <x14:cfvo type="num">
                <xm:f>0</xm:f>
              </x14:cfvo>
              <x14:cfvo type="num">
                <xm:f>1</xm:f>
              </x14:cfvo>
              <x14:borderColor theme="0"/>
              <x14:negativeFillColor rgb="FFFF0000"/>
              <x14:axisColor rgb="FF000000"/>
            </x14:dataBar>
          </x14:cfRule>
          <xm:sqref>BL508</xm:sqref>
        </x14:conditionalFormatting>
        <x14:conditionalFormatting xmlns:xm="http://schemas.microsoft.com/office/excel/2006/main">
          <x14:cfRule type="dataBar" id="{049CBB52-64E1-4A5A-878B-BDE3CF064836}">
            <x14:dataBar minLength="0" maxLength="100" border="1" gradient="0">
              <x14:cfvo type="num">
                <xm:f>0</xm:f>
              </x14:cfvo>
              <x14:cfvo type="num">
                <xm:f>1</xm:f>
              </x14:cfvo>
              <x14:borderColor theme="0"/>
              <x14:negativeFillColor rgb="FFFF0000"/>
              <x14:axisColor rgb="FF000000"/>
            </x14:dataBar>
          </x14:cfRule>
          <xm:sqref>BL510</xm:sqref>
        </x14:conditionalFormatting>
        <x14:conditionalFormatting xmlns:xm="http://schemas.microsoft.com/office/excel/2006/main">
          <x14:cfRule type="dataBar" id="{24ABE255-F25C-4959-81DA-5F6260F819BA}">
            <x14:dataBar minLength="0" maxLength="100" border="1" gradient="0">
              <x14:cfvo type="num">
                <xm:f>0</xm:f>
              </x14:cfvo>
              <x14:cfvo type="num">
                <xm:f>1</xm:f>
              </x14:cfvo>
              <x14:borderColor theme="0"/>
              <x14:negativeFillColor rgb="FFFF0000"/>
              <x14:axisColor rgb="FF000000"/>
            </x14:dataBar>
          </x14:cfRule>
          <xm:sqref>BL512</xm:sqref>
        </x14:conditionalFormatting>
        <x14:conditionalFormatting xmlns:xm="http://schemas.microsoft.com/office/excel/2006/main">
          <x14:cfRule type="dataBar" id="{F8CB01A5-2D8F-4C95-9CA6-D6EEE4C8C871}">
            <x14:dataBar minLength="0" maxLength="100" border="1" gradient="0">
              <x14:cfvo type="num">
                <xm:f>0</xm:f>
              </x14:cfvo>
              <x14:cfvo type="num">
                <xm:f>1</xm:f>
              </x14:cfvo>
              <x14:borderColor theme="0"/>
              <x14:negativeFillColor rgb="FFFF0000"/>
              <x14:axisColor rgb="FF000000"/>
            </x14:dataBar>
          </x14:cfRule>
          <xm:sqref>BL514</xm:sqref>
        </x14:conditionalFormatting>
        <x14:conditionalFormatting xmlns:xm="http://schemas.microsoft.com/office/excel/2006/main">
          <x14:cfRule type="dataBar" id="{D76974F8-5059-4417-86BA-395BC7CCEE6A}">
            <x14:dataBar minLength="0" maxLength="100" border="1" gradient="0">
              <x14:cfvo type="num">
                <xm:f>0</xm:f>
              </x14:cfvo>
              <x14:cfvo type="num">
                <xm:f>1</xm:f>
              </x14:cfvo>
              <x14:borderColor theme="0"/>
              <x14:negativeFillColor rgb="FFFF0000"/>
              <x14:axisColor rgb="FF000000"/>
            </x14:dataBar>
          </x14:cfRule>
          <xm:sqref>BL516</xm:sqref>
        </x14:conditionalFormatting>
        <x14:conditionalFormatting xmlns:xm="http://schemas.microsoft.com/office/excel/2006/main">
          <x14:cfRule type="dataBar" id="{AC561BD2-4DA7-4EC7-BFD9-96C9A55A85D1}">
            <x14:dataBar minLength="0" maxLength="100" border="1" gradient="0">
              <x14:cfvo type="num">
                <xm:f>0</xm:f>
              </x14:cfvo>
              <x14:cfvo type="num">
                <xm:f>1</xm:f>
              </x14:cfvo>
              <x14:borderColor theme="0"/>
              <x14:negativeFillColor rgb="FFFF0000"/>
              <x14:axisColor rgb="FF000000"/>
            </x14:dataBar>
          </x14:cfRule>
          <xm:sqref>BL518</xm:sqref>
        </x14:conditionalFormatting>
        <x14:conditionalFormatting xmlns:xm="http://schemas.microsoft.com/office/excel/2006/main">
          <x14:cfRule type="dataBar" id="{92D0C060-E5FE-4162-8A7E-9146CC0CDB37}">
            <x14:dataBar minLength="0" maxLength="100" border="1" gradient="0">
              <x14:cfvo type="num">
                <xm:f>0</xm:f>
              </x14:cfvo>
              <x14:cfvo type="num">
                <xm:f>1</xm:f>
              </x14:cfvo>
              <x14:borderColor theme="0"/>
              <x14:negativeFillColor rgb="FFFF0000"/>
              <x14:axisColor rgb="FF000000"/>
            </x14:dataBar>
          </x14:cfRule>
          <xm:sqref>BL520</xm:sqref>
        </x14:conditionalFormatting>
        <x14:conditionalFormatting xmlns:xm="http://schemas.microsoft.com/office/excel/2006/main">
          <x14:cfRule type="dataBar" id="{7A1EF9C5-726C-4504-B76A-144A90FC1C34}">
            <x14:dataBar minLength="0" maxLength="100" border="1" gradient="0">
              <x14:cfvo type="num">
                <xm:f>0</xm:f>
              </x14:cfvo>
              <x14:cfvo type="num">
                <xm:f>1</xm:f>
              </x14:cfvo>
              <x14:borderColor theme="0"/>
              <x14:negativeFillColor rgb="FFFF0000"/>
              <x14:axisColor rgb="FF000000"/>
            </x14:dataBar>
          </x14:cfRule>
          <xm:sqref>BL522</xm:sqref>
        </x14:conditionalFormatting>
        <x14:conditionalFormatting xmlns:xm="http://schemas.microsoft.com/office/excel/2006/main">
          <x14:cfRule type="dataBar" id="{1CF2AEC9-B1AA-4D63-B707-37AFE6285AF6}">
            <x14:dataBar minLength="0" maxLength="100" border="1" gradient="0">
              <x14:cfvo type="num">
                <xm:f>0</xm:f>
              </x14:cfvo>
              <x14:cfvo type="num">
                <xm:f>1</xm:f>
              </x14:cfvo>
              <x14:borderColor theme="0"/>
              <x14:negativeFillColor rgb="FFFF0000"/>
              <x14:axisColor rgb="FF000000"/>
            </x14:dataBar>
          </x14:cfRule>
          <xm:sqref>BL524</xm:sqref>
        </x14:conditionalFormatting>
        <x14:conditionalFormatting xmlns:xm="http://schemas.microsoft.com/office/excel/2006/main">
          <x14:cfRule type="dataBar" id="{2E72A6C5-F31D-4311-AE4E-00595618856D}">
            <x14:dataBar minLength="0" maxLength="100" border="1" gradient="0">
              <x14:cfvo type="num">
                <xm:f>0</xm:f>
              </x14:cfvo>
              <x14:cfvo type="num">
                <xm:f>1</xm:f>
              </x14:cfvo>
              <x14:borderColor theme="0"/>
              <x14:negativeFillColor rgb="FFFF0000"/>
              <x14:axisColor rgb="FF000000"/>
            </x14:dataBar>
          </x14:cfRule>
          <xm:sqref>BL526</xm:sqref>
        </x14:conditionalFormatting>
        <x14:conditionalFormatting xmlns:xm="http://schemas.microsoft.com/office/excel/2006/main">
          <x14:cfRule type="dataBar" id="{73CB5B8D-FD41-4614-A460-DA9966A92F64}">
            <x14:dataBar minLength="0" maxLength="100" border="1" gradient="0">
              <x14:cfvo type="num">
                <xm:f>0</xm:f>
              </x14:cfvo>
              <x14:cfvo type="num">
                <xm:f>1</xm:f>
              </x14:cfvo>
              <x14:borderColor theme="0"/>
              <x14:negativeFillColor rgb="FFFF0000"/>
              <x14:axisColor rgb="FF000000"/>
            </x14:dataBar>
          </x14:cfRule>
          <xm:sqref>BL528</xm:sqref>
        </x14:conditionalFormatting>
        <x14:conditionalFormatting xmlns:xm="http://schemas.microsoft.com/office/excel/2006/main">
          <x14:cfRule type="dataBar" id="{4494FAD8-858D-460D-9F85-8D6003703988}">
            <x14:dataBar minLength="0" maxLength="100" border="1" gradient="0">
              <x14:cfvo type="num">
                <xm:f>0</xm:f>
              </x14:cfvo>
              <x14:cfvo type="num">
                <xm:f>1</xm:f>
              </x14:cfvo>
              <x14:borderColor theme="0"/>
              <x14:negativeFillColor rgb="FFFF0000"/>
              <x14:axisColor rgb="FF000000"/>
            </x14:dataBar>
          </x14:cfRule>
          <xm:sqref>BL530</xm:sqref>
        </x14:conditionalFormatting>
        <x14:conditionalFormatting xmlns:xm="http://schemas.microsoft.com/office/excel/2006/main">
          <x14:cfRule type="dataBar" id="{93463FF6-0939-4248-B0B6-C64EF0DB68D8}">
            <x14:dataBar minLength="0" maxLength="100" border="1" gradient="0">
              <x14:cfvo type="num">
                <xm:f>0</xm:f>
              </x14:cfvo>
              <x14:cfvo type="num">
                <xm:f>1</xm:f>
              </x14:cfvo>
              <x14:borderColor theme="0"/>
              <x14:negativeFillColor rgb="FFFF0000"/>
              <x14:axisColor rgb="FF000000"/>
            </x14:dataBar>
          </x14:cfRule>
          <xm:sqref>BL532</xm:sqref>
        </x14:conditionalFormatting>
        <x14:conditionalFormatting xmlns:xm="http://schemas.microsoft.com/office/excel/2006/main">
          <x14:cfRule type="dataBar" id="{0210CF59-0A0F-49FD-81AC-C975B9DC26C4}">
            <x14:dataBar minLength="0" maxLength="100" border="1" gradient="0">
              <x14:cfvo type="num">
                <xm:f>0</xm:f>
              </x14:cfvo>
              <x14:cfvo type="num">
                <xm:f>1</xm:f>
              </x14:cfvo>
              <x14:borderColor theme="0"/>
              <x14:negativeFillColor rgb="FFFF0000"/>
              <x14:axisColor rgb="FF000000"/>
            </x14:dataBar>
          </x14:cfRule>
          <xm:sqref>BL534</xm:sqref>
        </x14:conditionalFormatting>
        <x14:conditionalFormatting xmlns:xm="http://schemas.microsoft.com/office/excel/2006/main">
          <x14:cfRule type="dataBar" id="{5A91C31F-A7A6-4A9F-997C-5AD38B60BE47}">
            <x14:dataBar minLength="0" maxLength="100" border="1" gradient="0">
              <x14:cfvo type="num">
                <xm:f>0</xm:f>
              </x14:cfvo>
              <x14:cfvo type="num">
                <xm:f>1</xm:f>
              </x14:cfvo>
              <x14:borderColor theme="0"/>
              <x14:negativeFillColor rgb="FFFF0000"/>
              <x14:axisColor rgb="FF000000"/>
            </x14:dataBar>
          </x14:cfRule>
          <xm:sqref>BL536</xm:sqref>
        </x14:conditionalFormatting>
        <x14:conditionalFormatting xmlns:xm="http://schemas.microsoft.com/office/excel/2006/main">
          <x14:cfRule type="dataBar" id="{F07F6B9F-5D51-40CC-8169-6B41D007C173}">
            <x14:dataBar minLength="0" maxLength="100" border="1" gradient="0">
              <x14:cfvo type="num">
                <xm:f>0</xm:f>
              </x14:cfvo>
              <x14:cfvo type="num">
                <xm:f>1</xm:f>
              </x14:cfvo>
              <x14:borderColor theme="0"/>
              <x14:negativeFillColor rgb="FFFF0000"/>
              <x14:axisColor rgb="FF000000"/>
            </x14:dataBar>
          </x14:cfRule>
          <xm:sqref>BL538</xm:sqref>
        </x14:conditionalFormatting>
        <x14:conditionalFormatting xmlns:xm="http://schemas.microsoft.com/office/excel/2006/main">
          <x14:cfRule type="dataBar" id="{4736665D-75FA-4B09-8B55-6D717DAB60A9}">
            <x14:dataBar minLength="0" maxLength="100" border="1" gradient="0">
              <x14:cfvo type="num">
                <xm:f>0</xm:f>
              </x14:cfvo>
              <x14:cfvo type="num">
                <xm:f>1</xm:f>
              </x14:cfvo>
              <x14:borderColor theme="0"/>
              <x14:negativeFillColor rgb="FFFF0000"/>
              <x14:axisColor rgb="FF000000"/>
            </x14:dataBar>
          </x14:cfRule>
          <xm:sqref>BL540</xm:sqref>
        </x14:conditionalFormatting>
        <x14:conditionalFormatting xmlns:xm="http://schemas.microsoft.com/office/excel/2006/main">
          <x14:cfRule type="dataBar" id="{57130597-103A-45C5-A632-9F3B304C7047}">
            <x14:dataBar minLength="0" maxLength="100" border="1" gradient="0">
              <x14:cfvo type="num">
                <xm:f>0</xm:f>
              </x14:cfvo>
              <x14:cfvo type="num">
                <xm:f>1</xm:f>
              </x14:cfvo>
              <x14:borderColor theme="0"/>
              <x14:negativeFillColor rgb="FFFF0000"/>
              <x14:axisColor rgb="FF000000"/>
            </x14:dataBar>
          </x14:cfRule>
          <xm:sqref>BL542</xm:sqref>
        </x14:conditionalFormatting>
        <x14:conditionalFormatting xmlns:xm="http://schemas.microsoft.com/office/excel/2006/main">
          <x14:cfRule type="dataBar" id="{DDCD23C1-13A9-4EA4-9F6E-72365946499A}">
            <x14:dataBar minLength="0" maxLength="100" border="1" gradient="0">
              <x14:cfvo type="num">
                <xm:f>0</xm:f>
              </x14:cfvo>
              <x14:cfvo type="num">
                <xm:f>1</xm:f>
              </x14:cfvo>
              <x14:borderColor theme="0"/>
              <x14:negativeFillColor rgb="FFFF0000"/>
              <x14:axisColor rgb="FF000000"/>
            </x14:dataBar>
          </x14:cfRule>
          <xm:sqref>BL544</xm:sqref>
        </x14:conditionalFormatting>
        <x14:conditionalFormatting xmlns:xm="http://schemas.microsoft.com/office/excel/2006/main">
          <x14:cfRule type="dataBar" id="{0DE0741B-9FF3-4C3B-9F77-AF3E2D06A737}">
            <x14:dataBar minLength="0" maxLength="100" border="1" gradient="0">
              <x14:cfvo type="num">
                <xm:f>0</xm:f>
              </x14:cfvo>
              <x14:cfvo type="num">
                <xm:f>1</xm:f>
              </x14:cfvo>
              <x14:borderColor theme="0"/>
              <x14:negativeFillColor rgb="FFFF0000"/>
              <x14:axisColor rgb="FF000000"/>
            </x14:dataBar>
          </x14:cfRule>
          <xm:sqref>BL546</xm:sqref>
        </x14:conditionalFormatting>
        <x14:conditionalFormatting xmlns:xm="http://schemas.microsoft.com/office/excel/2006/main">
          <x14:cfRule type="dataBar" id="{E6289ACB-EF18-4105-99ED-CA09EED7BB91}">
            <x14:dataBar minLength="0" maxLength="100" border="1" gradient="0">
              <x14:cfvo type="num">
                <xm:f>0</xm:f>
              </x14:cfvo>
              <x14:cfvo type="num">
                <xm:f>1</xm:f>
              </x14:cfvo>
              <x14:borderColor theme="0"/>
              <x14:negativeFillColor rgb="FFFF0000"/>
              <x14:axisColor rgb="FF000000"/>
            </x14:dataBar>
          </x14:cfRule>
          <xm:sqref>BL548</xm:sqref>
        </x14:conditionalFormatting>
        <x14:conditionalFormatting xmlns:xm="http://schemas.microsoft.com/office/excel/2006/main">
          <x14:cfRule type="dataBar" id="{9BB566C1-6A05-4600-B0B0-D7E77394C7A0}">
            <x14:dataBar minLength="0" maxLength="100" border="1" gradient="0">
              <x14:cfvo type="num">
                <xm:f>0</xm:f>
              </x14:cfvo>
              <x14:cfvo type="num">
                <xm:f>1</xm:f>
              </x14:cfvo>
              <x14:borderColor theme="0"/>
              <x14:negativeFillColor rgb="FFFF0000"/>
              <x14:axisColor rgb="FF000000"/>
            </x14:dataBar>
          </x14:cfRule>
          <xm:sqref>BL550</xm:sqref>
        </x14:conditionalFormatting>
        <x14:conditionalFormatting xmlns:xm="http://schemas.microsoft.com/office/excel/2006/main">
          <x14:cfRule type="dataBar" id="{0070549A-55F9-404D-821B-51FB28558737}">
            <x14:dataBar minLength="0" maxLength="100" border="1" gradient="0">
              <x14:cfvo type="num">
                <xm:f>0</xm:f>
              </x14:cfvo>
              <x14:cfvo type="num">
                <xm:f>1</xm:f>
              </x14:cfvo>
              <x14:borderColor theme="0"/>
              <x14:negativeFillColor rgb="FFFF0000"/>
              <x14:axisColor rgb="FF000000"/>
            </x14:dataBar>
          </x14:cfRule>
          <xm:sqref>BL552</xm:sqref>
        </x14:conditionalFormatting>
        <x14:conditionalFormatting xmlns:xm="http://schemas.microsoft.com/office/excel/2006/main">
          <x14:cfRule type="dataBar" id="{4912D5D7-AED8-4DB2-9D6B-78F080D9F9A9}">
            <x14:dataBar minLength="0" maxLength="100" border="1" gradient="0">
              <x14:cfvo type="num">
                <xm:f>0</xm:f>
              </x14:cfvo>
              <x14:cfvo type="num">
                <xm:f>1</xm:f>
              </x14:cfvo>
              <x14:borderColor theme="0"/>
              <x14:negativeFillColor rgb="FFFF0000"/>
              <x14:axisColor rgb="FF000000"/>
            </x14:dataBar>
          </x14:cfRule>
          <xm:sqref>BL554</xm:sqref>
        </x14:conditionalFormatting>
        <x14:conditionalFormatting xmlns:xm="http://schemas.microsoft.com/office/excel/2006/main">
          <x14:cfRule type="dataBar" id="{334F0DBA-1E3A-4B21-AC59-E649131D7CC0}">
            <x14:dataBar minLength="0" maxLength="100" border="1" gradient="0">
              <x14:cfvo type="num">
                <xm:f>0</xm:f>
              </x14:cfvo>
              <x14:cfvo type="num">
                <xm:f>1</xm:f>
              </x14:cfvo>
              <x14:borderColor theme="0"/>
              <x14:negativeFillColor rgb="FFFF0000"/>
              <x14:axisColor rgb="FF000000"/>
            </x14:dataBar>
          </x14:cfRule>
          <xm:sqref>BL556</xm:sqref>
        </x14:conditionalFormatting>
        <x14:conditionalFormatting xmlns:xm="http://schemas.microsoft.com/office/excel/2006/main">
          <x14:cfRule type="dataBar" id="{1B4EC13F-C78B-44D9-BF62-BE4FBD86AFCE}">
            <x14:dataBar minLength="0" maxLength="100" border="1" gradient="0">
              <x14:cfvo type="num">
                <xm:f>0</xm:f>
              </x14:cfvo>
              <x14:cfvo type="num">
                <xm:f>1</xm:f>
              </x14:cfvo>
              <x14:borderColor theme="0"/>
              <x14:negativeFillColor rgb="FFFF0000"/>
              <x14:axisColor rgb="FF000000"/>
            </x14:dataBar>
          </x14:cfRule>
          <xm:sqref>BL558</xm:sqref>
        </x14:conditionalFormatting>
        <x14:conditionalFormatting xmlns:xm="http://schemas.microsoft.com/office/excel/2006/main">
          <x14:cfRule type="dataBar" id="{7E02B01C-0301-4EB5-8ECB-2C33A14A6613}">
            <x14:dataBar minLength="0" maxLength="100" border="1" gradient="0">
              <x14:cfvo type="num">
                <xm:f>0</xm:f>
              </x14:cfvo>
              <x14:cfvo type="num">
                <xm:f>1</xm:f>
              </x14:cfvo>
              <x14:borderColor theme="0"/>
              <x14:negativeFillColor rgb="FFFF0000"/>
              <x14:axisColor rgb="FF000000"/>
            </x14:dataBar>
          </x14:cfRule>
          <xm:sqref>BL560</xm:sqref>
        </x14:conditionalFormatting>
        <x14:conditionalFormatting xmlns:xm="http://schemas.microsoft.com/office/excel/2006/main">
          <x14:cfRule type="dataBar" id="{003AFC61-14B7-4898-817B-EFD21D1F1F15}">
            <x14:dataBar minLength="0" maxLength="100" border="1" gradient="0">
              <x14:cfvo type="num">
                <xm:f>0</xm:f>
              </x14:cfvo>
              <x14:cfvo type="num">
                <xm:f>1</xm:f>
              </x14:cfvo>
              <x14:borderColor theme="0"/>
              <x14:negativeFillColor rgb="FFFF0000"/>
              <x14:axisColor rgb="FF000000"/>
            </x14:dataBar>
          </x14:cfRule>
          <xm:sqref>BL562</xm:sqref>
        </x14:conditionalFormatting>
        <x14:conditionalFormatting xmlns:xm="http://schemas.microsoft.com/office/excel/2006/main">
          <x14:cfRule type="dataBar" id="{8645363B-75BE-4C1F-88A3-BCBF00C99468}">
            <x14:dataBar minLength="0" maxLength="100" border="1" gradient="0">
              <x14:cfvo type="num">
                <xm:f>0</xm:f>
              </x14:cfvo>
              <x14:cfvo type="num">
                <xm:f>1</xm:f>
              </x14:cfvo>
              <x14:borderColor theme="0"/>
              <x14:negativeFillColor rgb="FFFF0000"/>
              <x14:axisColor rgb="FF000000"/>
            </x14:dataBar>
          </x14:cfRule>
          <xm:sqref>BL564</xm:sqref>
        </x14:conditionalFormatting>
        <x14:conditionalFormatting xmlns:xm="http://schemas.microsoft.com/office/excel/2006/main">
          <x14:cfRule type="dataBar" id="{B43254B4-631C-4544-886C-FD40A4C7D4B4}">
            <x14:dataBar minLength="0" maxLength="100" border="1" gradient="0">
              <x14:cfvo type="num">
                <xm:f>0</xm:f>
              </x14:cfvo>
              <x14:cfvo type="num">
                <xm:f>1</xm:f>
              </x14:cfvo>
              <x14:borderColor theme="0"/>
              <x14:negativeFillColor rgb="FFFF0000"/>
              <x14:axisColor rgb="FF000000"/>
            </x14:dataBar>
          </x14:cfRule>
          <xm:sqref>BL566</xm:sqref>
        </x14:conditionalFormatting>
        <x14:conditionalFormatting xmlns:xm="http://schemas.microsoft.com/office/excel/2006/main">
          <x14:cfRule type="dataBar" id="{170D2379-E6CF-4D12-8E62-DCCC7ABA9329}">
            <x14:dataBar minLength="0" maxLength="100" border="1" gradient="0">
              <x14:cfvo type="num">
                <xm:f>0</xm:f>
              </x14:cfvo>
              <x14:cfvo type="num">
                <xm:f>1</xm:f>
              </x14:cfvo>
              <x14:borderColor theme="0"/>
              <x14:negativeFillColor rgb="FFFF0000"/>
              <x14:axisColor rgb="FF000000"/>
            </x14:dataBar>
          </x14:cfRule>
          <xm:sqref>BL568</xm:sqref>
        </x14:conditionalFormatting>
        <x14:conditionalFormatting xmlns:xm="http://schemas.microsoft.com/office/excel/2006/main">
          <x14:cfRule type="dataBar" id="{C31F5227-2644-4692-B256-BB3FE2114C3E}">
            <x14:dataBar minLength="0" maxLength="100" border="1" gradient="0">
              <x14:cfvo type="num">
                <xm:f>0</xm:f>
              </x14:cfvo>
              <x14:cfvo type="num">
                <xm:f>1</xm:f>
              </x14:cfvo>
              <x14:borderColor theme="0"/>
              <x14:negativeFillColor rgb="FFFF0000"/>
              <x14:axisColor rgb="FF000000"/>
            </x14:dataBar>
          </x14:cfRule>
          <xm:sqref>BL570</xm:sqref>
        </x14:conditionalFormatting>
        <x14:conditionalFormatting xmlns:xm="http://schemas.microsoft.com/office/excel/2006/main">
          <x14:cfRule type="dataBar" id="{2C692766-42F8-4934-AD3E-8B4FAD4E8F9C}">
            <x14:dataBar minLength="0" maxLength="100" border="1" gradient="0">
              <x14:cfvo type="num">
                <xm:f>0</xm:f>
              </x14:cfvo>
              <x14:cfvo type="num">
                <xm:f>1</xm:f>
              </x14:cfvo>
              <x14:borderColor theme="0"/>
              <x14:negativeFillColor rgb="FFFF0000"/>
              <x14:axisColor rgb="FF000000"/>
            </x14:dataBar>
          </x14:cfRule>
          <xm:sqref>BL572</xm:sqref>
        </x14:conditionalFormatting>
        <x14:conditionalFormatting xmlns:xm="http://schemas.microsoft.com/office/excel/2006/main">
          <x14:cfRule type="dataBar" id="{789C45B2-D5E1-421C-AD74-16E4887FF297}">
            <x14:dataBar minLength="0" maxLength="100" border="1" gradient="0">
              <x14:cfvo type="num">
                <xm:f>0</xm:f>
              </x14:cfvo>
              <x14:cfvo type="num">
                <xm:f>1</xm:f>
              </x14:cfvo>
              <x14:borderColor theme="0"/>
              <x14:negativeFillColor rgb="FFFF0000"/>
              <x14:axisColor rgb="FF000000"/>
            </x14:dataBar>
          </x14:cfRule>
          <xm:sqref>BL574</xm:sqref>
        </x14:conditionalFormatting>
        <x14:conditionalFormatting xmlns:xm="http://schemas.microsoft.com/office/excel/2006/main">
          <x14:cfRule type="dataBar" id="{443C1893-B5C6-44A7-AD30-A682E0EE0164}">
            <x14:dataBar minLength="0" maxLength="100" border="1" gradient="0">
              <x14:cfvo type="num">
                <xm:f>0</xm:f>
              </x14:cfvo>
              <x14:cfvo type="num">
                <xm:f>1</xm:f>
              </x14:cfvo>
              <x14:borderColor theme="0"/>
              <x14:negativeFillColor rgb="FFFF0000"/>
              <x14:axisColor rgb="FF000000"/>
            </x14:dataBar>
          </x14:cfRule>
          <xm:sqref>BL576</xm:sqref>
        </x14:conditionalFormatting>
        <x14:conditionalFormatting xmlns:xm="http://schemas.microsoft.com/office/excel/2006/main">
          <x14:cfRule type="dataBar" id="{1E40322E-E012-46CB-8F3F-9D11B617A0CF}">
            <x14:dataBar minLength="0" maxLength="100" border="1" gradient="0">
              <x14:cfvo type="num">
                <xm:f>0</xm:f>
              </x14:cfvo>
              <x14:cfvo type="num">
                <xm:f>1</xm:f>
              </x14:cfvo>
              <x14:borderColor theme="0"/>
              <x14:negativeFillColor rgb="FFFF0000"/>
              <x14:axisColor rgb="FF000000"/>
            </x14:dataBar>
          </x14:cfRule>
          <xm:sqref>BL578</xm:sqref>
        </x14:conditionalFormatting>
        <x14:conditionalFormatting xmlns:xm="http://schemas.microsoft.com/office/excel/2006/main">
          <x14:cfRule type="dataBar" id="{6951E68B-0BAB-4FE7-81B5-16C4F6863D34}">
            <x14:dataBar minLength="0" maxLength="100" border="1" gradient="0">
              <x14:cfvo type="num">
                <xm:f>0</xm:f>
              </x14:cfvo>
              <x14:cfvo type="num">
                <xm:f>1</xm:f>
              </x14:cfvo>
              <x14:borderColor theme="0"/>
              <x14:negativeFillColor rgb="FFFF0000"/>
              <x14:axisColor rgb="FF000000"/>
            </x14:dataBar>
          </x14:cfRule>
          <xm:sqref>BL580</xm:sqref>
        </x14:conditionalFormatting>
        <x14:conditionalFormatting xmlns:xm="http://schemas.microsoft.com/office/excel/2006/main">
          <x14:cfRule type="dataBar" id="{FEE43F1F-EF3A-4150-A1F8-A6A35220FEF6}">
            <x14:dataBar minLength="0" maxLength="100" border="1" gradient="0">
              <x14:cfvo type="num">
                <xm:f>0</xm:f>
              </x14:cfvo>
              <x14:cfvo type="num">
                <xm:f>1</xm:f>
              </x14:cfvo>
              <x14:borderColor theme="0"/>
              <x14:negativeFillColor rgb="FFFF0000"/>
              <x14:axisColor rgb="FF000000"/>
            </x14:dataBar>
          </x14:cfRule>
          <xm:sqref>BL582</xm:sqref>
        </x14:conditionalFormatting>
        <x14:conditionalFormatting xmlns:xm="http://schemas.microsoft.com/office/excel/2006/main">
          <x14:cfRule type="dataBar" id="{A45BDF61-4A9E-48A7-BFC7-932201863470}">
            <x14:dataBar minLength="0" maxLength="100" border="1" gradient="0">
              <x14:cfvo type="num">
                <xm:f>0</xm:f>
              </x14:cfvo>
              <x14:cfvo type="num">
                <xm:f>1</xm:f>
              </x14:cfvo>
              <x14:borderColor theme="0"/>
              <x14:negativeFillColor rgb="FFFF0000"/>
              <x14:axisColor rgb="FF000000"/>
            </x14:dataBar>
          </x14:cfRule>
          <xm:sqref>BL584</xm:sqref>
        </x14:conditionalFormatting>
        <x14:conditionalFormatting xmlns:xm="http://schemas.microsoft.com/office/excel/2006/main">
          <x14:cfRule type="dataBar" id="{A80F2073-4A57-4C4B-85E8-E1ABDC1E4716}">
            <x14:dataBar minLength="0" maxLength="100" border="1" gradient="0">
              <x14:cfvo type="num">
                <xm:f>0</xm:f>
              </x14:cfvo>
              <x14:cfvo type="num">
                <xm:f>1</xm:f>
              </x14:cfvo>
              <x14:borderColor theme="0"/>
              <x14:negativeFillColor rgb="FFFF0000"/>
              <x14:axisColor rgb="FF000000"/>
            </x14:dataBar>
          </x14:cfRule>
          <xm:sqref>BL586</xm:sqref>
        </x14:conditionalFormatting>
        <x14:conditionalFormatting xmlns:xm="http://schemas.microsoft.com/office/excel/2006/main">
          <x14:cfRule type="dataBar" id="{4C6B2DA8-65A6-4F1C-907C-A99CA8827424}">
            <x14:dataBar minLength="0" maxLength="100" border="1" gradient="0">
              <x14:cfvo type="num">
                <xm:f>0</xm:f>
              </x14:cfvo>
              <x14:cfvo type="num">
                <xm:f>1</xm:f>
              </x14:cfvo>
              <x14:borderColor theme="0"/>
              <x14:negativeFillColor rgb="FFFF0000"/>
              <x14:axisColor rgb="FF000000"/>
            </x14:dataBar>
          </x14:cfRule>
          <xm:sqref>BL588</xm:sqref>
        </x14:conditionalFormatting>
        <x14:conditionalFormatting xmlns:xm="http://schemas.microsoft.com/office/excel/2006/main">
          <x14:cfRule type="dataBar" id="{DE8F979A-7525-44AB-A54D-5968D26128B3}">
            <x14:dataBar minLength="0" maxLength="100" border="1" gradient="0">
              <x14:cfvo type="num">
                <xm:f>0</xm:f>
              </x14:cfvo>
              <x14:cfvo type="num">
                <xm:f>1</xm:f>
              </x14:cfvo>
              <x14:borderColor theme="0"/>
              <x14:negativeFillColor rgb="FFFF0000"/>
              <x14:axisColor rgb="FF000000"/>
            </x14:dataBar>
          </x14:cfRule>
          <xm:sqref>BL591</xm:sqref>
        </x14:conditionalFormatting>
        <x14:conditionalFormatting xmlns:xm="http://schemas.microsoft.com/office/excel/2006/main">
          <x14:cfRule type="dataBar" id="{6D2FDAFA-C1C1-4CA5-8838-E70EC7BE5CFB}">
            <x14:dataBar minLength="0" maxLength="100" border="1" gradient="0">
              <x14:cfvo type="num">
                <xm:f>0</xm:f>
              </x14:cfvo>
              <x14:cfvo type="num">
                <xm:f>1</xm:f>
              </x14:cfvo>
              <x14:borderColor theme="0"/>
              <x14:negativeFillColor rgb="FFFF0000"/>
              <x14:axisColor rgb="FF000000"/>
            </x14:dataBar>
          </x14:cfRule>
          <xm:sqref>BL593</xm:sqref>
        </x14:conditionalFormatting>
        <x14:conditionalFormatting xmlns:xm="http://schemas.microsoft.com/office/excel/2006/main">
          <x14:cfRule type="dataBar" id="{2E3D0178-3AD9-49D8-87D2-3CD2710747CC}">
            <x14:dataBar minLength="0" maxLength="100" border="1" gradient="0">
              <x14:cfvo type="num">
                <xm:f>0</xm:f>
              </x14:cfvo>
              <x14:cfvo type="num">
                <xm:f>1</xm:f>
              </x14:cfvo>
              <x14:borderColor theme="0"/>
              <x14:negativeFillColor rgb="FFFF0000"/>
              <x14:axisColor rgb="FF000000"/>
            </x14:dataBar>
          </x14:cfRule>
          <xm:sqref>BL595</xm:sqref>
        </x14:conditionalFormatting>
        <x14:conditionalFormatting xmlns:xm="http://schemas.microsoft.com/office/excel/2006/main">
          <x14:cfRule type="dataBar" id="{A31A26F3-39C7-446B-8390-3B48A61FA85F}">
            <x14:dataBar minLength="0" maxLength="100" border="1" gradient="0">
              <x14:cfvo type="num">
                <xm:f>0</xm:f>
              </x14:cfvo>
              <x14:cfvo type="num">
                <xm:f>1</xm:f>
              </x14:cfvo>
              <x14:borderColor theme="0"/>
              <x14:negativeFillColor rgb="FFFF0000"/>
              <x14:axisColor rgb="FF000000"/>
            </x14:dataBar>
          </x14:cfRule>
          <xm:sqref>BL597</xm:sqref>
        </x14:conditionalFormatting>
        <x14:conditionalFormatting xmlns:xm="http://schemas.microsoft.com/office/excel/2006/main">
          <x14:cfRule type="dataBar" id="{B5232D56-1EAC-4CBC-8542-D8E3E5CCA4A7}">
            <x14:dataBar minLength="0" maxLength="100" border="1" gradient="0">
              <x14:cfvo type="num">
                <xm:f>0</xm:f>
              </x14:cfvo>
              <x14:cfvo type="num">
                <xm:f>1</xm:f>
              </x14:cfvo>
              <x14:borderColor theme="0"/>
              <x14:negativeFillColor rgb="FFFF0000"/>
              <x14:axisColor rgb="FF000000"/>
            </x14:dataBar>
          </x14:cfRule>
          <xm:sqref>BL599</xm:sqref>
        </x14:conditionalFormatting>
        <x14:conditionalFormatting xmlns:xm="http://schemas.microsoft.com/office/excel/2006/main">
          <x14:cfRule type="dataBar" id="{9A1EA9D8-DC91-4906-9ADB-33893065F5E7}">
            <x14:dataBar minLength="0" maxLength="100" border="1" gradient="0">
              <x14:cfvo type="num">
                <xm:f>0</xm:f>
              </x14:cfvo>
              <x14:cfvo type="num">
                <xm:f>1</xm:f>
              </x14:cfvo>
              <x14:borderColor theme="0"/>
              <x14:negativeFillColor rgb="FFFF0000"/>
              <x14:axisColor rgb="FF000000"/>
            </x14:dataBar>
          </x14:cfRule>
          <xm:sqref>BL601</xm:sqref>
        </x14:conditionalFormatting>
        <x14:conditionalFormatting xmlns:xm="http://schemas.microsoft.com/office/excel/2006/main">
          <x14:cfRule type="dataBar" id="{9003E35F-F839-48B7-9C59-F5472A065E6A}">
            <x14:dataBar minLength="0" maxLength="100" border="1" gradient="0">
              <x14:cfvo type="num">
                <xm:f>0</xm:f>
              </x14:cfvo>
              <x14:cfvo type="num">
                <xm:f>1</xm:f>
              </x14:cfvo>
              <x14:borderColor theme="0"/>
              <x14:negativeFillColor rgb="FFFF0000"/>
              <x14:axisColor rgb="FF000000"/>
            </x14:dataBar>
          </x14:cfRule>
          <xm:sqref>BL603</xm:sqref>
        </x14:conditionalFormatting>
        <x14:conditionalFormatting xmlns:xm="http://schemas.microsoft.com/office/excel/2006/main">
          <x14:cfRule type="dataBar" id="{2809881F-E2B9-4094-A5EF-B4308A4D8F5E}">
            <x14:dataBar minLength="0" maxLength="100" border="1" gradient="0">
              <x14:cfvo type="num">
                <xm:f>0</xm:f>
              </x14:cfvo>
              <x14:cfvo type="num">
                <xm:f>1</xm:f>
              </x14:cfvo>
              <x14:borderColor theme="0"/>
              <x14:negativeFillColor rgb="FFFF0000"/>
              <x14:axisColor rgb="FF000000"/>
            </x14:dataBar>
          </x14:cfRule>
          <xm:sqref>BL605</xm:sqref>
        </x14:conditionalFormatting>
        <x14:conditionalFormatting xmlns:xm="http://schemas.microsoft.com/office/excel/2006/main">
          <x14:cfRule type="dataBar" id="{E946B370-A9CC-440A-88A0-F9046D5A8DFC}">
            <x14:dataBar minLength="0" maxLength="100" border="1" gradient="0">
              <x14:cfvo type="num">
                <xm:f>0</xm:f>
              </x14:cfvo>
              <x14:cfvo type="num">
                <xm:f>1</xm:f>
              </x14:cfvo>
              <x14:borderColor theme="0"/>
              <x14:negativeFillColor rgb="FFFF0000"/>
              <x14:axisColor rgb="FF000000"/>
            </x14:dataBar>
          </x14:cfRule>
          <xm:sqref>BL607</xm:sqref>
        </x14:conditionalFormatting>
        <x14:conditionalFormatting xmlns:xm="http://schemas.microsoft.com/office/excel/2006/main">
          <x14:cfRule type="dataBar" id="{33E8F528-E2DB-4FA0-990F-95D1F0B77F21}">
            <x14:dataBar minLength="0" maxLength="100" border="1" gradient="0">
              <x14:cfvo type="num">
                <xm:f>0</xm:f>
              </x14:cfvo>
              <x14:cfvo type="num">
                <xm:f>1</xm:f>
              </x14:cfvo>
              <x14:borderColor theme="0"/>
              <x14:negativeFillColor rgb="FFFF0000"/>
              <x14:axisColor rgb="FF000000"/>
            </x14:dataBar>
          </x14:cfRule>
          <xm:sqref>BL609</xm:sqref>
        </x14:conditionalFormatting>
        <x14:conditionalFormatting xmlns:xm="http://schemas.microsoft.com/office/excel/2006/main">
          <x14:cfRule type="dataBar" id="{20DB4DF7-901C-493E-9707-2676B4B81B47}">
            <x14:dataBar minLength="0" maxLength="100" border="1" gradient="0">
              <x14:cfvo type="num">
                <xm:f>0</xm:f>
              </x14:cfvo>
              <x14:cfvo type="num">
                <xm:f>1</xm:f>
              </x14:cfvo>
              <x14:borderColor theme="0"/>
              <x14:negativeFillColor rgb="FFFF0000"/>
              <x14:axisColor rgb="FF000000"/>
            </x14:dataBar>
          </x14:cfRule>
          <xm:sqref>BL611</xm:sqref>
        </x14:conditionalFormatting>
        <x14:conditionalFormatting xmlns:xm="http://schemas.microsoft.com/office/excel/2006/main">
          <x14:cfRule type="dataBar" id="{79A658BA-5115-4F35-957F-3ACB41DECB15}">
            <x14:dataBar minLength="0" maxLength="100" border="1" gradient="0">
              <x14:cfvo type="num">
                <xm:f>0</xm:f>
              </x14:cfvo>
              <x14:cfvo type="num">
                <xm:f>1</xm:f>
              </x14:cfvo>
              <x14:borderColor theme="0"/>
              <x14:negativeFillColor rgb="FFFF0000"/>
              <x14:axisColor rgb="FF000000"/>
            </x14:dataBar>
          </x14:cfRule>
          <xm:sqref>BL613</xm:sqref>
        </x14:conditionalFormatting>
        <x14:conditionalFormatting xmlns:xm="http://schemas.microsoft.com/office/excel/2006/main">
          <x14:cfRule type="dataBar" id="{AE3D02BD-B46C-4F4B-A9B1-FBA8AAA1C904}">
            <x14:dataBar minLength="0" maxLength="100" border="1" gradient="0">
              <x14:cfvo type="num">
                <xm:f>0</xm:f>
              </x14:cfvo>
              <x14:cfvo type="num">
                <xm:f>1</xm:f>
              </x14:cfvo>
              <x14:borderColor theme="0"/>
              <x14:negativeFillColor rgb="FFFF0000"/>
              <x14:axisColor rgb="FF000000"/>
            </x14:dataBar>
          </x14:cfRule>
          <xm:sqref>BL615</xm:sqref>
        </x14:conditionalFormatting>
        <x14:conditionalFormatting xmlns:xm="http://schemas.microsoft.com/office/excel/2006/main">
          <x14:cfRule type="dataBar" id="{1D6A1B27-E493-47F2-94A4-83C5028F9079}">
            <x14:dataBar minLength="0" maxLength="100" border="1" gradient="0">
              <x14:cfvo type="num">
                <xm:f>0</xm:f>
              </x14:cfvo>
              <x14:cfvo type="num">
                <xm:f>1</xm:f>
              </x14:cfvo>
              <x14:borderColor theme="0"/>
              <x14:negativeFillColor rgb="FFFF0000"/>
              <x14:axisColor rgb="FF000000"/>
            </x14:dataBar>
          </x14:cfRule>
          <xm:sqref>BL617</xm:sqref>
        </x14:conditionalFormatting>
        <x14:conditionalFormatting xmlns:xm="http://schemas.microsoft.com/office/excel/2006/main">
          <x14:cfRule type="dataBar" id="{57D3757D-BC0A-4833-9505-FBA94B7AB0D7}">
            <x14:dataBar minLength="0" maxLength="100" border="1" gradient="0">
              <x14:cfvo type="num">
                <xm:f>0</xm:f>
              </x14:cfvo>
              <x14:cfvo type="num">
                <xm:f>1</xm:f>
              </x14:cfvo>
              <x14:borderColor theme="0"/>
              <x14:negativeFillColor rgb="FFFF0000"/>
              <x14:axisColor rgb="FF000000"/>
            </x14:dataBar>
          </x14:cfRule>
          <xm:sqref>BL619</xm:sqref>
        </x14:conditionalFormatting>
        <x14:conditionalFormatting xmlns:xm="http://schemas.microsoft.com/office/excel/2006/main">
          <x14:cfRule type="dataBar" id="{B435415E-4A19-42FA-BE61-1079625E0C74}">
            <x14:dataBar minLength="0" maxLength="100" border="1" gradient="0">
              <x14:cfvo type="num">
                <xm:f>0</xm:f>
              </x14:cfvo>
              <x14:cfvo type="num">
                <xm:f>1</xm:f>
              </x14:cfvo>
              <x14:borderColor theme="0"/>
              <x14:negativeFillColor rgb="FFFF0000"/>
              <x14:axisColor rgb="FF000000"/>
            </x14:dataBar>
          </x14:cfRule>
          <xm:sqref>BL621</xm:sqref>
        </x14:conditionalFormatting>
        <x14:conditionalFormatting xmlns:xm="http://schemas.microsoft.com/office/excel/2006/main">
          <x14:cfRule type="dataBar" id="{267DA055-9AC6-46FE-ACCD-596E3C7172C4}">
            <x14:dataBar minLength="0" maxLength="100" border="1" gradient="0">
              <x14:cfvo type="num">
                <xm:f>0</xm:f>
              </x14:cfvo>
              <x14:cfvo type="num">
                <xm:f>1</xm:f>
              </x14:cfvo>
              <x14:borderColor theme="0"/>
              <x14:negativeFillColor rgb="FFFF0000"/>
              <x14:axisColor rgb="FF000000"/>
            </x14:dataBar>
          </x14:cfRule>
          <xm:sqref>BL623</xm:sqref>
        </x14:conditionalFormatting>
        <x14:conditionalFormatting xmlns:xm="http://schemas.microsoft.com/office/excel/2006/main">
          <x14:cfRule type="dataBar" id="{9B265EA0-5B4D-4441-95AD-EDD25CF5E027}">
            <x14:dataBar minLength="0" maxLength="100" border="1" gradient="0">
              <x14:cfvo type="num">
                <xm:f>0</xm:f>
              </x14:cfvo>
              <x14:cfvo type="num">
                <xm:f>1</xm:f>
              </x14:cfvo>
              <x14:borderColor theme="0"/>
              <x14:negativeFillColor rgb="FFFF0000"/>
              <x14:axisColor rgb="FF000000"/>
            </x14:dataBar>
          </x14:cfRule>
          <xm:sqref>BL625</xm:sqref>
        </x14:conditionalFormatting>
        <x14:conditionalFormatting xmlns:xm="http://schemas.microsoft.com/office/excel/2006/main">
          <x14:cfRule type="dataBar" id="{2EDCC083-B49C-433A-8DE8-BF13CB0AB883}">
            <x14:dataBar minLength="0" maxLength="100" border="1" gradient="0">
              <x14:cfvo type="num">
                <xm:f>0</xm:f>
              </x14:cfvo>
              <x14:cfvo type="num">
                <xm:f>1</xm:f>
              </x14:cfvo>
              <x14:borderColor theme="0"/>
              <x14:negativeFillColor rgb="FFFF0000"/>
              <x14:axisColor rgb="FF000000"/>
            </x14:dataBar>
          </x14:cfRule>
          <xm:sqref>BQ9</xm:sqref>
        </x14:conditionalFormatting>
        <x14:conditionalFormatting xmlns:xm="http://schemas.microsoft.com/office/excel/2006/main">
          <x14:cfRule type="dataBar" id="{0F1A7DB9-D3CB-489A-B3E8-1D3929999D95}">
            <x14:dataBar minLength="0" maxLength="100" border="1" gradient="0">
              <x14:cfvo type="num">
                <xm:f>0</xm:f>
              </x14:cfvo>
              <x14:cfvo type="num">
                <xm:f>1</xm:f>
              </x14:cfvo>
              <x14:borderColor theme="0"/>
              <x14:negativeFillColor rgb="FFFF0000"/>
              <x14:axisColor rgb="FF000000"/>
            </x14:dataBar>
          </x14:cfRule>
          <xm:sqref>BQ13</xm:sqref>
        </x14:conditionalFormatting>
        <x14:conditionalFormatting xmlns:xm="http://schemas.microsoft.com/office/excel/2006/main">
          <x14:cfRule type="dataBar" id="{86351385-B4CC-4FF1-807D-EF778D9A61F7}">
            <x14:dataBar minLength="0" maxLength="100" border="1" gradient="0">
              <x14:cfvo type="num">
                <xm:f>0</xm:f>
              </x14:cfvo>
              <x14:cfvo type="num">
                <xm:f>1</xm:f>
              </x14:cfvo>
              <x14:borderColor theme="0"/>
              <x14:negativeFillColor rgb="FFFF0000"/>
              <x14:axisColor rgb="FF000000"/>
            </x14:dataBar>
          </x14:cfRule>
          <xm:sqref>BQ15</xm:sqref>
        </x14:conditionalFormatting>
        <x14:conditionalFormatting xmlns:xm="http://schemas.microsoft.com/office/excel/2006/main">
          <x14:cfRule type="dataBar" id="{ADD53038-C92A-4125-AF48-29DEEDCCBB66}">
            <x14:dataBar minLength="0" maxLength="100" border="1" gradient="0">
              <x14:cfvo type="num">
                <xm:f>0</xm:f>
              </x14:cfvo>
              <x14:cfvo type="num">
                <xm:f>1</xm:f>
              </x14:cfvo>
              <x14:borderColor theme="0"/>
              <x14:negativeFillColor rgb="FFFF0000"/>
              <x14:axisColor rgb="FF000000"/>
            </x14:dataBar>
          </x14:cfRule>
          <xm:sqref>BQ17</xm:sqref>
        </x14:conditionalFormatting>
        <x14:conditionalFormatting xmlns:xm="http://schemas.microsoft.com/office/excel/2006/main">
          <x14:cfRule type="dataBar" id="{A3875372-ABDA-407B-9B15-F9708C6D354F}">
            <x14:dataBar minLength="0" maxLength="100" border="1" gradient="0">
              <x14:cfvo type="num">
                <xm:f>0</xm:f>
              </x14:cfvo>
              <x14:cfvo type="num">
                <xm:f>1</xm:f>
              </x14:cfvo>
              <x14:borderColor theme="0"/>
              <x14:negativeFillColor rgb="FFFF0000"/>
              <x14:axisColor rgb="FF000000"/>
            </x14:dataBar>
          </x14:cfRule>
          <xm:sqref>BQ19</xm:sqref>
        </x14:conditionalFormatting>
        <x14:conditionalFormatting xmlns:xm="http://schemas.microsoft.com/office/excel/2006/main">
          <x14:cfRule type="dataBar" id="{9C86DD1B-8453-4AC9-9040-F2232730C06B}">
            <x14:dataBar minLength="0" maxLength="100" border="1" gradient="0">
              <x14:cfvo type="num">
                <xm:f>0</xm:f>
              </x14:cfvo>
              <x14:cfvo type="num">
                <xm:f>1</xm:f>
              </x14:cfvo>
              <x14:borderColor theme="0"/>
              <x14:negativeFillColor rgb="FFFF0000"/>
              <x14:axisColor rgb="FF000000"/>
            </x14:dataBar>
          </x14:cfRule>
          <xm:sqref>BQ21</xm:sqref>
        </x14:conditionalFormatting>
        <x14:conditionalFormatting xmlns:xm="http://schemas.microsoft.com/office/excel/2006/main">
          <x14:cfRule type="dataBar" id="{C97B380F-4A80-4F07-BC16-B1DDD1893555}">
            <x14:dataBar minLength="0" maxLength="100" border="1" gradient="0">
              <x14:cfvo type="num">
                <xm:f>0</xm:f>
              </x14:cfvo>
              <x14:cfvo type="num">
                <xm:f>1</xm:f>
              </x14:cfvo>
              <x14:borderColor theme="0"/>
              <x14:negativeFillColor rgb="FFFF0000"/>
              <x14:axisColor rgb="FF000000"/>
            </x14:dataBar>
          </x14:cfRule>
          <xm:sqref>BQ31 BQ23</xm:sqref>
        </x14:conditionalFormatting>
        <x14:conditionalFormatting xmlns:xm="http://schemas.microsoft.com/office/excel/2006/main">
          <x14:cfRule type="dataBar" id="{B884F6FA-AE60-454F-AEFC-1DF72ECD7C44}">
            <x14:dataBar minLength="0" maxLength="100" border="1" gradient="0">
              <x14:cfvo type="num">
                <xm:f>0</xm:f>
              </x14:cfvo>
              <x14:cfvo type="num">
                <xm:f>1</xm:f>
              </x14:cfvo>
              <x14:borderColor theme="0"/>
              <x14:negativeFillColor rgb="FFFF0000"/>
              <x14:axisColor rgb="FF000000"/>
            </x14:dataBar>
          </x14:cfRule>
          <xm:sqref>BQ25</xm:sqref>
        </x14:conditionalFormatting>
        <x14:conditionalFormatting xmlns:xm="http://schemas.microsoft.com/office/excel/2006/main">
          <x14:cfRule type="dataBar" id="{2389A485-D565-4737-B93A-D49941671BEB}">
            <x14:dataBar minLength="0" maxLength="100" border="1" gradient="0">
              <x14:cfvo type="num">
                <xm:f>0</xm:f>
              </x14:cfvo>
              <x14:cfvo type="num">
                <xm:f>1</xm:f>
              </x14:cfvo>
              <x14:borderColor theme="0"/>
              <x14:negativeFillColor rgb="FFFF0000"/>
              <x14:axisColor rgb="FF000000"/>
            </x14:dataBar>
          </x14:cfRule>
          <xm:sqref>BQ27</xm:sqref>
        </x14:conditionalFormatting>
        <x14:conditionalFormatting xmlns:xm="http://schemas.microsoft.com/office/excel/2006/main">
          <x14:cfRule type="dataBar" id="{AC411119-EF3C-4649-9D56-D023E5CD320F}">
            <x14:dataBar minLength="0" maxLength="100" border="1" gradient="0">
              <x14:cfvo type="num">
                <xm:f>0</xm:f>
              </x14:cfvo>
              <x14:cfvo type="num">
                <xm:f>1</xm:f>
              </x14:cfvo>
              <x14:borderColor theme="0"/>
              <x14:negativeFillColor rgb="FFFF0000"/>
              <x14:axisColor rgb="FF000000"/>
            </x14:dataBar>
          </x14:cfRule>
          <xm:sqref>BQ29</xm:sqref>
        </x14:conditionalFormatting>
        <x14:conditionalFormatting xmlns:xm="http://schemas.microsoft.com/office/excel/2006/main">
          <x14:cfRule type="dataBar" id="{D46D39C3-BBAF-428A-AE21-CFE36704A96A}">
            <x14:dataBar minLength="0" maxLength="100" border="1" gradient="0">
              <x14:cfvo type="num">
                <xm:f>0</xm:f>
              </x14:cfvo>
              <x14:cfvo type="num">
                <xm:f>1</xm:f>
              </x14:cfvo>
              <x14:borderColor theme="0"/>
              <x14:negativeFillColor rgb="FFFF0000"/>
              <x14:axisColor rgb="FF000000"/>
            </x14:dataBar>
          </x14:cfRule>
          <xm:sqref>BQ35</xm:sqref>
        </x14:conditionalFormatting>
        <x14:conditionalFormatting xmlns:xm="http://schemas.microsoft.com/office/excel/2006/main">
          <x14:cfRule type="dataBar" id="{4E6AB214-2AD2-429E-AD9D-225C48D5EB6B}">
            <x14:dataBar minLength="0" maxLength="100" border="1" gradient="0">
              <x14:cfvo type="num">
                <xm:f>0</xm:f>
              </x14:cfvo>
              <x14:cfvo type="num">
                <xm:f>1</xm:f>
              </x14:cfvo>
              <x14:borderColor theme="0"/>
              <x14:negativeFillColor rgb="FFFF0000"/>
              <x14:axisColor rgb="FF000000"/>
            </x14:dataBar>
          </x14:cfRule>
          <xm:sqref>BQ37</xm:sqref>
        </x14:conditionalFormatting>
        <x14:conditionalFormatting xmlns:xm="http://schemas.microsoft.com/office/excel/2006/main">
          <x14:cfRule type="dataBar" id="{8D2A489F-EB0D-45DD-AA83-9C5E09150BEA}">
            <x14:dataBar minLength="0" maxLength="100" border="1" gradient="0">
              <x14:cfvo type="num">
                <xm:f>0</xm:f>
              </x14:cfvo>
              <x14:cfvo type="num">
                <xm:f>1</xm:f>
              </x14:cfvo>
              <x14:borderColor theme="0"/>
              <x14:negativeFillColor rgb="FFFF0000"/>
              <x14:axisColor rgb="FF000000"/>
            </x14:dataBar>
          </x14:cfRule>
          <xm:sqref>BQ39</xm:sqref>
        </x14:conditionalFormatting>
        <x14:conditionalFormatting xmlns:xm="http://schemas.microsoft.com/office/excel/2006/main">
          <x14:cfRule type="dataBar" id="{77B0499B-6A6D-4A4C-8672-D9A569F43CA2}">
            <x14:dataBar minLength="0" maxLength="100" border="1" gradient="0">
              <x14:cfvo type="num">
                <xm:f>0</xm:f>
              </x14:cfvo>
              <x14:cfvo type="num">
                <xm:f>1</xm:f>
              </x14:cfvo>
              <x14:borderColor theme="0"/>
              <x14:negativeFillColor rgb="FFFF0000"/>
              <x14:axisColor rgb="FF000000"/>
            </x14:dataBar>
          </x14:cfRule>
          <xm:sqref>BQ41</xm:sqref>
        </x14:conditionalFormatting>
        <x14:conditionalFormatting xmlns:xm="http://schemas.microsoft.com/office/excel/2006/main">
          <x14:cfRule type="dataBar" id="{3D7CB3B6-00A4-4013-979C-C575A26EE3DF}">
            <x14:dataBar minLength="0" maxLength="100" border="1" gradient="0">
              <x14:cfvo type="num">
                <xm:f>0</xm:f>
              </x14:cfvo>
              <x14:cfvo type="num">
                <xm:f>1</xm:f>
              </x14:cfvo>
              <x14:borderColor theme="0"/>
              <x14:negativeFillColor rgb="FFFF0000"/>
              <x14:axisColor rgb="FF000000"/>
            </x14:dataBar>
          </x14:cfRule>
          <xm:sqref>BQ43</xm:sqref>
        </x14:conditionalFormatting>
        <x14:conditionalFormatting xmlns:xm="http://schemas.microsoft.com/office/excel/2006/main">
          <x14:cfRule type="dataBar" id="{6D06864A-8B56-4CF2-8476-738C9B6ADA1F}">
            <x14:dataBar minLength="0" maxLength="100" border="1" gradient="0">
              <x14:cfvo type="num">
                <xm:f>0</xm:f>
              </x14:cfvo>
              <x14:cfvo type="num">
                <xm:f>1</xm:f>
              </x14:cfvo>
              <x14:borderColor theme="0"/>
              <x14:negativeFillColor rgb="FFFF0000"/>
              <x14:axisColor rgb="FF000000"/>
            </x14:dataBar>
          </x14:cfRule>
          <xm:sqref>BQ47</xm:sqref>
        </x14:conditionalFormatting>
        <x14:conditionalFormatting xmlns:xm="http://schemas.microsoft.com/office/excel/2006/main">
          <x14:cfRule type="dataBar" id="{1D0C73B1-DF66-455C-A85B-B26C0F18C7EE}">
            <x14:dataBar minLength="0" maxLength="100" border="1" gradient="0">
              <x14:cfvo type="num">
                <xm:f>0</xm:f>
              </x14:cfvo>
              <x14:cfvo type="num">
                <xm:f>1</xm:f>
              </x14:cfvo>
              <x14:borderColor theme="0"/>
              <x14:negativeFillColor rgb="FFFF0000"/>
              <x14:axisColor rgb="FF000000"/>
            </x14:dataBar>
          </x14:cfRule>
          <xm:sqref>BQ49</xm:sqref>
        </x14:conditionalFormatting>
        <x14:conditionalFormatting xmlns:xm="http://schemas.microsoft.com/office/excel/2006/main">
          <x14:cfRule type="dataBar" id="{1ED18D17-DDC3-4BC4-8B42-3DBEC4FBF134}">
            <x14:dataBar minLength="0" maxLength="100" border="1" gradient="0">
              <x14:cfvo type="num">
                <xm:f>0</xm:f>
              </x14:cfvo>
              <x14:cfvo type="num">
                <xm:f>1</xm:f>
              </x14:cfvo>
              <x14:borderColor theme="0"/>
              <x14:negativeFillColor rgb="FFFF0000"/>
              <x14:axisColor rgb="FF000000"/>
            </x14:dataBar>
          </x14:cfRule>
          <xm:sqref>BQ51</xm:sqref>
        </x14:conditionalFormatting>
        <x14:conditionalFormatting xmlns:xm="http://schemas.microsoft.com/office/excel/2006/main">
          <x14:cfRule type="dataBar" id="{5936DF44-CB67-4F3F-A64E-80D3F025AB99}">
            <x14:dataBar minLength="0" maxLength="100" border="1" gradient="0">
              <x14:cfvo type="num">
                <xm:f>0</xm:f>
              </x14:cfvo>
              <x14:cfvo type="num">
                <xm:f>1</xm:f>
              </x14:cfvo>
              <x14:borderColor theme="0"/>
              <x14:negativeFillColor rgb="FFFF0000"/>
              <x14:axisColor rgb="FF000000"/>
            </x14:dataBar>
          </x14:cfRule>
          <xm:sqref>BQ53</xm:sqref>
        </x14:conditionalFormatting>
        <x14:conditionalFormatting xmlns:xm="http://schemas.microsoft.com/office/excel/2006/main">
          <x14:cfRule type="dataBar" id="{E4E8DF4C-740C-4B9A-A494-8F01D5C4CC65}">
            <x14:dataBar minLength="0" maxLength="100" border="1" gradient="0">
              <x14:cfvo type="num">
                <xm:f>0</xm:f>
              </x14:cfvo>
              <x14:cfvo type="num">
                <xm:f>1</xm:f>
              </x14:cfvo>
              <x14:borderColor theme="0"/>
              <x14:negativeFillColor rgb="FFFF0000"/>
              <x14:axisColor rgb="FF000000"/>
            </x14:dataBar>
          </x14:cfRule>
          <xm:sqref>BQ55</xm:sqref>
        </x14:conditionalFormatting>
        <x14:conditionalFormatting xmlns:xm="http://schemas.microsoft.com/office/excel/2006/main">
          <x14:cfRule type="dataBar" id="{73B383D8-3576-42EF-864A-620675E4905A}">
            <x14:dataBar minLength="0" maxLength="100" border="1" gradient="0">
              <x14:cfvo type="num">
                <xm:f>0</xm:f>
              </x14:cfvo>
              <x14:cfvo type="num">
                <xm:f>1</xm:f>
              </x14:cfvo>
              <x14:borderColor theme="0"/>
              <x14:negativeFillColor rgb="FFFF0000"/>
              <x14:axisColor rgb="FF000000"/>
            </x14:dataBar>
          </x14:cfRule>
          <xm:sqref>BQ57</xm:sqref>
        </x14:conditionalFormatting>
        <x14:conditionalFormatting xmlns:xm="http://schemas.microsoft.com/office/excel/2006/main">
          <x14:cfRule type="dataBar" id="{5F3295FA-FC55-4AF2-BE77-18469AFD953A}">
            <x14:dataBar minLength="0" maxLength="100" border="1" gradient="0">
              <x14:cfvo type="num">
                <xm:f>0</xm:f>
              </x14:cfvo>
              <x14:cfvo type="num">
                <xm:f>1</xm:f>
              </x14:cfvo>
              <x14:borderColor theme="0"/>
              <x14:negativeFillColor rgb="FFFF0000"/>
              <x14:axisColor rgb="FF000000"/>
            </x14:dataBar>
          </x14:cfRule>
          <xm:sqref>BQ59</xm:sqref>
        </x14:conditionalFormatting>
        <x14:conditionalFormatting xmlns:xm="http://schemas.microsoft.com/office/excel/2006/main">
          <x14:cfRule type="dataBar" id="{A1EFD880-33CE-4454-8C9B-0D649835B403}">
            <x14:dataBar minLength="0" maxLength="100" border="1" gradient="0">
              <x14:cfvo type="num">
                <xm:f>0</xm:f>
              </x14:cfvo>
              <x14:cfvo type="num">
                <xm:f>1</xm:f>
              </x14:cfvo>
              <x14:borderColor theme="0"/>
              <x14:negativeFillColor rgb="FFFF0000"/>
              <x14:axisColor rgb="FF000000"/>
            </x14:dataBar>
          </x14:cfRule>
          <xm:sqref>BQ61</xm:sqref>
        </x14:conditionalFormatting>
        <x14:conditionalFormatting xmlns:xm="http://schemas.microsoft.com/office/excel/2006/main">
          <x14:cfRule type="dataBar" id="{5508688F-AD14-4E44-8161-19F90AB600D9}">
            <x14:dataBar minLength="0" maxLength="100" border="1" gradient="0">
              <x14:cfvo type="num">
                <xm:f>0</xm:f>
              </x14:cfvo>
              <x14:cfvo type="num">
                <xm:f>1</xm:f>
              </x14:cfvo>
              <x14:borderColor theme="0"/>
              <x14:negativeFillColor rgb="FFFF0000"/>
              <x14:axisColor rgb="FF000000"/>
            </x14:dataBar>
          </x14:cfRule>
          <xm:sqref>BQ63</xm:sqref>
        </x14:conditionalFormatting>
        <x14:conditionalFormatting xmlns:xm="http://schemas.microsoft.com/office/excel/2006/main">
          <x14:cfRule type="dataBar" id="{40D8AAD0-701F-4C56-A52C-2F5BCB91FE5A}">
            <x14:dataBar minLength="0" maxLength="100" border="1" gradient="0">
              <x14:cfvo type="num">
                <xm:f>0</xm:f>
              </x14:cfvo>
              <x14:cfvo type="num">
                <xm:f>1</xm:f>
              </x14:cfvo>
              <x14:borderColor theme="0"/>
              <x14:negativeFillColor rgb="FFFF0000"/>
              <x14:axisColor rgb="FF000000"/>
            </x14:dataBar>
          </x14:cfRule>
          <xm:sqref>BQ65</xm:sqref>
        </x14:conditionalFormatting>
        <x14:conditionalFormatting xmlns:xm="http://schemas.microsoft.com/office/excel/2006/main">
          <x14:cfRule type="dataBar" id="{E9268295-DF07-4412-A6B5-6DD2452003AB}">
            <x14:dataBar minLength="0" maxLength="100" border="1" gradient="0">
              <x14:cfvo type="num">
                <xm:f>0</xm:f>
              </x14:cfvo>
              <x14:cfvo type="num">
                <xm:f>1</xm:f>
              </x14:cfvo>
              <x14:borderColor theme="0"/>
              <x14:negativeFillColor rgb="FFFF0000"/>
              <x14:axisColor rgb="FF000000"/>
            </x14:dataBar>
          </x14:cfRule>
          <xm:sqref>BQ67</xm:sqref>
        </x14:conditionalFormatting>
        <x14:conditionalFormatting xmlns:xm="http://schemas.microsoft.com/office/excel/2006/main">
          <x14:cfRule type="dataBar" id="{4202D007-29D6-4285-BFC9-F5B5A7824AC9}">
            <x14:dataBar minLength="0" maxLength="100" border="1" gradient="0">
              <x14:cfvo type="num">
                <xm:f>0</xm:f>
              </x14:cfvo>
              <x14:cfvo type="num">
                <xm:f>1</xm:f>
              </x14:cfvo>
              <x14:borderColor theme="0"/>
              <x14:negativeFillColor rgb="FFFF0000"/>
              <x14:axisColor rgb="FF000000"/>
            </x14:dataBar>
          </x14:cfRule>
          <xm:sqref>BQ69</xm:sqref>
        </x14:conditionalFormatting>
        <x14:conditionalFormatting xmlns:xm="http://schemas.microsoft.com/office/excel/2006/main">
          <x14:cfRule type="dataBar" id="{5BB334C5-DD52-4775-B238-C8C19D528550}">
            <x14:dataBar minLength="0" maxLength="100" border="1" gradient="0">
              <x14:cfvo type="num">
                <xm:f>0</xm:f>
              </x14:cfvo>
              <x14:cfvo type="num">
                <xm:f>1</xm:f>
              </x14:cfvo>
              <x14:borderColor theme="0"/>
              <x14:negativeFillColor rgb="FFFF0000"/>
              <x14:axisColor rgb="FF000000"/>
            </x14:dataBar>
          </x14:cfRule>
          <xm:sqref>BQ73</xm:sqref>
        </x14:conditionalFormatting>
        <x14:conditionalFormatting xmlns:xm="http://schemas.microsoft.com/office/excel/2006/main">
          <x14:cfRule type="dataBar" id="{AB528B5F-C46F-4F7F-9228-F609A84F97E3}">
            <x14:dataBar minLength="0" maxLength="100" border="1" gradient="0">
              <x14:cfvo type="num">
                <xm:f>0</xm:f>
              </x14:cfvo>
              <x14:cfvo type="num">
                <xm:f>1</xm:f>
              </x14:cfvo>
              <x14:borderColor theme="0"/>
              <x14:negativeFillColor rgb="FFFF0000"/>
              <x14:axisColor rgb="FF000000"/>
            </x14:dataBar>
          </x14:cfRule>
          <xm:sqref>BQ77</xm:sqref>
        </x14:conditionalFormatting>
        <x14:conditionalFormatting xmlns:xm="http://schemas.microsoft.com/office/excel/2006/main">
          <x14:cfRule type="dataBar" id="{0D6F4FE9-98CD-4D07-8F26-93896670E5E5}">
            <x14:dataBar minLength="0" maxLength="100" border="1" gradient="0">
              <x14:cfvo type="num">
                <xm:f>0</xm:f>
              </x14:cfvo>
              <x14:cfvo type="num">
                <xm:f>1</xm:f>
              </x14:cfvo>
              <x14:borderColor theme="0"/>
              <x14:negativeFillColor rgb="FFFF0000"/>
              <x14:axisColor rgb="FF000000"/>
            </x14:dataBar>
          </x14:cfRule>
          <xm:sqref>BQ79 BQ89</xm:sqref>
        </x14:conditionalFormatting>
        <x14:conditionalFormatting xmlns:xm="http://schemas.microsoft.com/office/excel/2006/main">
          <x14:cfRule type="dataBar" id="{4F5BAB08-C24C-41C8-AB39-1044A3AF8759}">
            <x14:dataBar minLength="0" maxLength="100" border="1" gradient="0">
              <x14:cfvo type="num">
                <xm:f>0</xm:f>
              </x14:cfvo>
              <x14:cfvo type="num">
                <xm:f>1</xm:f>
              </x14:cfvo>
              <x14:borderColor theme="0"/>
              <x14:negativeFillColor rgb="FFFF0000"/>
              <x14:axisColor rgb="FF000000"/>
            </x14:dataBar>
          </x14:cfRule>
          <xm:sqref>BQ81</xm:sqref>
        </x14:conditionalFormatting>
        <x14:conditionalFormatting xmlns:xm="http://schemas.microsoft.com/office/excel/2006/main">
          <x14:cfRule type="dataBar" id="{30F99A91-6BAF-4CF3-9F64-2377C7654817}">
            <x14:dataBar minLength="0" maxLength="100" border="1" gradient="0">
              <x14:cfvo type="num">
                <xm:f>0</xm:f>
              </x14:cfvo>
              <x14:cfvo type="num">
                <xm:f>1</xm:f>
              </x14:cfvo>
              <x14:borderColor theme="0"/>
              <x14:negativeFillColor rgb="FFFF0000"/>
              <x14:axisColor rgb="FF000000"/>
            </x14:dataBar>
          </x14:cfRule>
          <xm:sqref>BQ83</xm:sqref>
        </x14:conditionalFormatting>
        <x14:conditionalFormatting xmlns:xm="http://schemas.microsoft.com/office/excel/2006/main">
          <x14:cfRule type="dataBar" id="{1F46F06D-41FB-40D6-A5B2-896209114707}">
            <x14:dataBar minLength="0" maxLength="100" border="1" gradient="0">
              <x14:cfvo type="num">
                <xm:f>0</xm:f>
              </x14:cfvo>
              <x14:cfvo type="num">
                <xm:f>1</xm:f>
              </x14:cfvo>
              <x14:borderColor theme="0"/>
              <x14:negativeFillColor rgb="FFFF0000"/>
              <x14:axisColor rgb="FF000000"/>
            </x14:dataBar>
          </x14:cfRule>
          <xm:sqref>BQ85</xm:sqref>
        </x14:conditionalFormatting>
        <x14:conditionalFormatting xmlns:xm="http://schemas.microsoft.com/office/excel/2006/main">
          <x14:cfRule type="dataBar" id="{E410C9A2-3365-4EB4-B65F-591BEF416EBA}">
            <x14:dataBar minLength="0" maxLength="100" border="1" gradient="0">
              <x14:cfvo type="num">
                <xm:f>0</xm:f>
              </x14:cfvo>
              <x14:cfvo type="num">
                <xm:f>1</xm:f>
              </x14:cfvo>
              <x14:borderColor theme="0"/>
              <x14:negativeFillColor rgb="FFFF0000"/>
              <x14:axisColor rgb="FF000000"/>
            </x14:dataBar>
          </x14:cfRule>
          <xm:sqref>BQ87</xm:sqref>
        </x14:conditionalFormatting>
        <x14:conditionalFormatting xmlns:xm="http://schemas.microsoft.com/office/excel/2006/main">
          <x14:cfRule type="dataBar" id="{04A4BDC6-6490-42FD-8994-166456F8D6AB}">
            <x14:dataBar minLength="0" maxLength="100" border="1" gradient="0">
              <x14:cfvo type="num">
                <xm:f>0</xm:f>
              </x14:cfvo>
              <x14:cfvo type="num">
                <xm:f>1</xm:f>
              </x14:cfvo>
              <x14:borderColor theme="0"/>
              <x14:negativeFillColor rgb="FFFF0000"/>
              <x14:axisColor rgb="FF000000"/>
            </x14:dataBar>
          </x14:cfRule>
          <xm:sqref>BQ93</xm:sqref>
        </x14:conditionalFormatting>
        <x14:conditionalFormatting xmlns:xm="http://schemas.microsoft.com/office/excel/2006/main">
          <x14:cfRule type="dataBar" id="{EE624CD1-4D07-4310-96AF-D3152D38DC7E}">
            <x14:dataBar minLength="0" maxLength="100" border="1" gradient="0">
              <x14:cfvo type="num">
                <xm:f>0</xm:f>
              </x14:cfvo>
              <x14:cfvo type="num">
                <xm:f>1</xm:f>
              </x14:cfvo>
              <x14:borderColor theme="0"/>
              <x14:negativeFillColor rgb="FFFF0000"/>
              <x14:axisColor rgb="FF000000"/>
            </x14:dataBar>
          </x14:cfRule>
          <xm:sqref>BQ95</xm:sqref>
        </x14:conditionalFormatting>
        <x14:conditionalFormatting xmlns:xm="http://schemas.microsoft.com/office/excel/2006/main">
          <x14:cfRule type="dataBar" id="{FA0C1D04-F363-4AEE-B03B-3B73B3DE3841}">
            <x14:dataBar minLength="0" maxLength="100" border="1" gradient="0">
              <x14:cfvo type="num">
                <xm:f>0</xm:f>
              </x14:cfvo>
              <x14:cfvo type="num">
                <xm:f>1</xm:f>
              </x14:cfvo>
              <x14:borderColor theme="0"/>
              <x14:negativeFillColor rgb="FFFF0000"/>
              <x14:axisColor rgb="FF000000"/>
            </x14:dataBar>
          </x14:cfRule>
          <xm:sqref>BQ97</xm:sqref>
        </x14:conditionalFormatting>
        <x14:conditionalFormatting xmlns:xm="http://schemas.microsoft.com/office/excel/2006/main">
          <x14:cfRule type="dataBar" id="{1B204483-0251-4D23-BD4B-63356ADE61AE}">
            <x14:dataBar minLength="0" maxLength="100" border="1" gradient="0">
              <x14:cfvo type="num">
                <xm:f>0</xm:f>
              </x14:cfvo>
              <x14:cfvo type="num">
                <xm:f>1</xm:f>
              </x14:cfvo>
              <x14:borderColor theme="0"/>
              <x14:negativeFillColor rgb="FFFF0000"/>
              <x14:axisColor rgb="FF000000"/>
            </x14:dataBar>
          </x14:cfRule>
          <xm:sqref>BQ99</xm:sqref>
        </x14:conditionalFormatting>
        <x14:conditionalFormatting xmlns:xm="http://schemas.microsoft.com/office/excel/2006/main">
          <x14:cfRule type="dataBar" id="{E27BDD94-626A-45FF-B139-FC5C799E5CF9}">
            <x14:dataBar minLength="0" maxLength="100" border="1" gradient="0">
              <x14:cfvo type="num">
                <xm:f>0</xm:f>
              </x14:cfvo>
              <x14:cfvo type="num">
                <xm:f>1</xm:f>
              </x14:cfvo>
              <x14:borderColor theme="0"/>
              <x14:negativeFillColor rgb="FFFF0000"/>
              <x14:axisColor rgb="FF000000"/>
            </x14:dataBar>
          </x14:cfRule>
          <xm:sqref>BQ101</xm:sqref>
        </x14:conditionalFormatting>
        <x14:conditionalFormatting xmlns:xm="http://schemas.microsoft.com/office/excel/2006/main">
          <x14:cfRule type="dataBar" id="{1FB3E872-2570-4394-B2D6-D50D2CAA54AA}">
            <x14:dataBar minLength="0" maxLength="100" border="1" gradient="0">
              <x14:cfvo type="num">
                <xm:f>0</xm:f>
              </x14:cfvo>
              <x14:cfvo type="num">
                <xm:f>1</xm:f>
              </x14:cfvo>
              <x14:borderColor theme="0"/>
              <x14:negativeFillColor rgb="FFFF0000"/>
              <x14:axisColor rgb="FF000000"/>
            </x14:dataBar>
          </x14:cfRule>
          <xm:sqref>BQ103</xm:sqref>
        </x14:conditionalFormatting>
        <x14:conditionalFormatting xmlns:xm="http://schemas.microsoft.com/office/excel/2006/main">
          <x14:cfRule type="dataBar" id="{E8BDE553-6722-4531-8606-0489A66D6598}">
            <x14:dataBar minLength="0" maxLength="100" border="1" gradient="0">
              <x14:cfvo type="num">
                <xm:f>0</xm:f>
              </x14:cfvo>
              <x14:cfvo type="num">
                <xm:f>1</xm:f>
              </x14:cfvo>
              <x14:borderColor theme="0"/>
              <x14:negativeFillColor rgb="FFFF0000"/>
              <x14:axisColor rgb="FF000000"/>
            </x14:dataBar>
          </x14:cfRule>
          <xm:sqref>BQ105</xm:sqref>
        </x14:conditionalFormatting>
        <x14:conditionalFormatting xmlns:xm="http://schemas.microsoft.com/office/excel/2006/main">
          <x14:cfRule type="dataBar" id="{1C362D47-BF17-4F51-AA09-D0D16F2C7B84}">
            <x14:dataBar minLength="0" maxLength="100" border="1" gradient="0">
              <x14:cfvo type="num">
                <xm:f>0</xm:f>
              </x14:cfvo>
              <x14:cfvo type="num">
                <xm:f>1</xm:f>
              </x14:cfvo>
              <x14:borderColor theme="0"/>
              <x14:negativeFillColor rgb="FFFF0000"/>
              <x14:axisColor rgb="FF000000"/>
            </x14:dataBar>
          </x14:cfRule>
          <xm:sqref>BQ107</xm:sqref>
        </x14:conditionalFormatting>
        <x14:conditionalFormatting xmlns:xm="http://schemas.microsoft.com/office/excel/2006/main">
          <x14:cfRule type="dataBar" id="{91E4DF39-FEF3-4B5C-8D59-F2EDB7B80405}">
            <x14:dataBar minLength="0" maxLength="100" border="1" gradient="0">
              <x14:cfvo type="num">
                <xm:f>0</xm:f>
              </x14:cfvo>
              <x14:cfvo type="num">
                <xm:f>1</xm:f>
              </x14:cfvo>
              <x14:borderColor theme="0"/>
              <x14:negativeFillColor rgb="FFFF0000"/>
              <x14:axisColor rgb="FF000000"/>
            </x14:dataBar>
          </x14:cfRule>
          <xm:sqref>BQ109</xm:sqref>
        </x14:conditionalFormatting>
        <x14:conditionalFormatting xmlns:xm="http://schemas.microsoft.com/office/excel/2006/main">
          <x14:cfRule type="dataBar" id="{60D0D0DD-EF3D-47B9-A3A9-EAC479FBD1E8}">
            <x14:dataBar minLength="0" maxLength="100" border="1" gradient="0">
              <x14:cfvo type="num">
                <xm:f>0</xm:f>
              </x14:cfvo>
              <x14:cfvo type="num">
                <xm:f>1</xm:f>
              </x14:cfvo>
              <x14:borderColor theme="0"/>
              <x14:negativeFillColor rgb="FFFF0000"/>
              <x14:axisColor rgb="FF000000"/>
            </x14:dataBar>
          </x14:cfRule>
          <xm:sqref>BQ113</xm:sqref>
        </x14:conditionalFormatting>
        <x14:conditionalFormatting xmlns:xm="http://schemas.microsoft.com/office/excel/2006/main">
          <x14:cfRule type="dataBar" id="{4AA6A8A4-83A2-4FA2-B82A-5CB051BBCFE0}">
            <x14:dataBar minLength="0" maxLength="100" border="1" gradient="0">
              <x14:cfvo type="num">
                <xm:f>0</xm:f>
              </x14:cfvo>
              <x14:cfvo type="num">
                <xm:f>1</xm:f>
              </x14:cfvo>
              <x14:borderColor theme="0"/>
              <x14:negativeFillColor rgb="FFFF0000"/>
              <x14:axisColor rgb="FF000000"/>
            </x14:dataBar>
          </x14:cfRule>
          <xm:sqref>BQ115</xm:sqref>
        </x14:conditionalFormatting>
        <x14:conditionalFormatting xmlns:xm="http://schemas.microsoft.com/office/excel/2006/main">
          <x14:cfRule type="dataBar" id="{364B432D-A6CD-4794-BF24-79DFB49DC3F9}">
            <x14:dataBar minLength="0" maxLength="100" border="1" gradient="0">
              <x14:cfvo type="num">
                <xm:f>0</xm:f>
              </x14:cfvo>
              <x14:cfvo type="num">
                <xm:f>1</xm:f>
              </x14:cfvo>
              <x14:borderColor theme="0"/>
              <x14:negativeFillColor rgb="FFFF0000"/>
              <x14:axisColor rgb="FF000000"/>
            </x14:dataBar>
          </x14:cfRule>
          <xm:sqref>BQ119</xm:sqref>
        </x14:conditionalFormatting>
        <x14:conditionalFormatting xmlns:xm="http://schemas.microsoft.com/office/excel/2006/main">
          <x14:cfRule type="dataBar" id="{08739BF1-F2B9-4D69-94ED-15AC1F30B083}">
            <x14:dataBar minLength="0" maxLength="100" border="1" gradient="0">
              <x14:cfvo type="num">
                <xm:f>0</xm:f>
              </x14:cfvo>
              <x14:cfvo type="num">
                <xm:f>1</xm:f>
              </x14:cfvo>
              <x14:borderColor theme="0"/>
              <x14:negativeFillColor rgb="FFFF0000"/>
              <x14:axisColor rgb="FF000000"/>
            </x14:dataBar>
          </x14:cfRule>
          <xm:sqref>BQ121 BQ129 BQ123</xm:sqref>
        </x14:conditionalFormatting>
        <x14:conditionalFormatting xmlns:xm="http://schemas.microsoft.com/office/excel/2006/main">
          <x14:cfRule type="dataBar" id="{4DBCB3D4-D4DA-435D-B67A-2985E5967AC2}">
            <x14:dataBar minLength="0" maxLength="100" border="1" gradient="0">
              <x14:cfvo type="num">
                <xm:f>0</xm:f>
              </x14:cfvo>
              <x14:cfvo type="num">
                <xm:f>1</xm:f>
              </x14:cfvo>
              <x14:borderColor theme="0"/>
              <x14:negativeFillColor rgb="FFFF0000"/>
              <x14:axisColor rgb="FF000000"/>
            </x14:dataBar>
          </x14:cfRule>
          <xm:sqref>BQ125</xm:sqref>
        </x14:conditionalFormatting>
        <x14:conditionalFormatting xmlns:xm="http://schemas.microsoft.com/office/excel/2006/main">
          <x14:cfRule type="dataBar" id="{899AEBFC-5E3B-44DA-B8F5-5D5897BA7D30}">
            <x14:dataBar minLength="0" maxLength="100" border="1" gradient="0">
              <x14:cfvo type="num">
                <xm:f>0</xm:f>
              </x14:cfvo>
              <x14:cfvo type="num">
                <xm:f>1</xm:f>
              </x14:cfvo>
              <x14:borderColor theme="0"/>
              <x14:negativeFillColor rgb="FFFF0000"/>
              <x14:axisColor rgb="FF000000"/>
            </x14:dataBar>
          </x14:cfRule>
          <xm:sqref>BQ127</xm:sqref>
        </x14:conditionalFormatting>
        <x14:conditionalFormatting xmlns:xm="http://schemas.microsoft.com/office/excel/2006/main">
          <x14:cfRule type="dataBar" id="{1886C625-97E1-4B13-9527-23EEA836ED57}">
            <x14:dataBar minLength="0" maxLength="100" border="1" gradient="0">
              <x14:cfvo type="num">
                <xm:f>0</xm:f>
              </x14:cfvo>
              <x14:cfvo type="num">
                <xm:f>1</xm:f>
              </x14:cfvo>
              <x14:borderColor theme="0"/>
              <x14:negativeFillColor rgb="FFFF0000"/>
              <x14:axisColor rgb="FF000000"/>
            </x14:dataBar>
          </x14:cfRule>
          <xm:sqref>BQ131</xm:sqref>
        </x14:conditionalFormatting>
        <x14:conditionalFormatting xmlns:xm="http://schemas.microsoft.com/office/excel/2006/main">
          <x14:cfRule type="dataBar" id="{3FD5909B-5295-4A36-9E53-7DC6DEEA0937}">
            <x14:dataBar minLength="0" maxLength="100" border="1" gradient="0">
              <x14:cfvo type="num">
                <xm:f>0</xm:f>
              </x14:cfvo>
              <x14:cfvo type="num">
                <xm:f>1</xm:f>
              </x14:cfvo>
              <x14:borderColor theme="0"/>
              <x14:negativeFillColor rgb="FFFF0000"/>
              <x14:axisColor rgb="FF000000"/>
            </x14:dataBar>
          </x14:cfRule>
          <xm:sqref>BQ134</xm:sqref>
        </x14:conditionalFormatting>
        <x14:conditionalFormatting xmlns:xm="http://schemas.microsoft.com/office/excel/2006/main">
          <x14:cfRule type="dataBar" id="{DBC65DEF-A4F8-4632-A911-F380EF648192}">
            <x14:dataBar minLength="0" maxLength="100" border="1" gradient="0">
              <x14:cfvo type="num">
                <xm:f>0</xm:f>
              </x14:cfvo>
              <x14:cfvo type="num">
                <xm:f>1</xm:f>
              </x14:cfvo>
              <x14:borderColor theme="0"/>
              <x14:negativeFillColor rgb="FFFF0000"/>
              <x14:axisColor rgb="FF000000"/>
            </x14:dataBar>
          </x14:cfRule>
          <xm:sqref>BQ137</xm:sqref>
        </x14:conditionalFormatting>
        <x14:conditionalFormatting xmlns:xm="http://schemas.microsoft.com/office/excel/2006/main">
          <x14:cfRule type="dataBar" id="{16CFE06F-D46A-4A85-82E4-2743C3280BDE}">
            <x14:dataBar minLength="0" maxLength="100" border="1" gradient="0">
              <x14:cfvo type="num">
                <xm:f>0</xm:f>
              </x14:cfvo>
              <x14:cfvo type="num">
                <xm:f>1</xm:f>
              </x14:cfvo>
              <x14:borderColor theme="0"/>
              <x14:negativeFillColor rgb="FFFF0000"/>
              <x14:axisColor rgb="FF000000"/>
            </x14:dataBar>
          </x14:cfRule>
          <xm:sqref>BQ140</xm:sqref>
        </x14:conditionalFormatting>
        <x14:conditionalFormatting xmlns:xm="http://schemas.microsoft.com/office/excel/2006/main">
          <x14:cfRule type="dataBar" id="{17AD541B-B308-4585-9C71-D4DA2EA60B10}">
            <x14:dataBar minLength="0" maxLength="100" border="1" gradient="0">
              <x14:cfvo type="num">
                <xm:f>0</xm:f>
              </x14:cfvo>
              <x14:cfvo type="num">
                <xm:f>1</xm:f>
              </x14:cfvo>
              <x14:borderColor theme="0"/>
              <x14:negativeFillColor rgb="FFFF0000"/>
              <x14:axisColor rgb="FF000000"/>
            </x14:dataBar>
          </x14:cfRule>
          <xm:sqref>BQ142</xm:sqref>
        </x14:conditionalFormatting>
        <x14:conditionalFormatting xmlns:xm="http://schemas.microsoft.com/office/excel/2006/main">
          <x14:cfRule type="dataBar" id="{ADF074F1-A3AA-4DA5-9308-0A56905B4090}">
            <x14:dataBar minLength="0" maxLength="100" border="1" gradient="0">
              <x14:cfvo type="num">
                <xm:f>0</xm:f>
              </x14:cfvo>
              <x14:cfvo type="num">
                <xm:f>1</xm:f>
              </x14:cfvo>
              <x14:borderColor theme="0"/>
              <x14:negativeFillColor rgb="FFFF0000"/>
              <x14:axisColor rgb="FF000000"/>
            </x14:dataBar>
          </x14:cfRule>
          <xm:sqref>BQ144</xm:sqref>
        </x14:conditionalFormatting>
        <x14:conditionalFormatting xmlns:xm="http://schemas.microsoft.com/office/excel/2006/main">
          <x14:cfRule type="dataBar" id="{489B1594-735F-497F-9067-68AE23208A1E}">
            <x14:dataBar minLength="0" maxLength="100" border="1" gradient="0">
              <x14:cfvo type="num">
                <xm:f>0</xm:f>
              </x14:cfvo>
              <x14:cfvo type="num">
                <xm:f>1</xm:f>
              </x14:cfvo>
              <x14:borderColor theme="0"/>
              <x14:negativeFillColor rgb="FFFF0000"/>
              <x14:axisColor rgb="FF000000"/>
            </x14:dataBar>
          </x14:cfRule>
          <xm:sqref>BQ146</xm:sqref>
        </x14:conditionalFormatting>
        <x14:conditionalFormatting xmlns:xm="http://schemas.microsoft.com/office/excel/2006/main">
          <x14:cfRule type="dataBar" id="{BF532B47-FDF0-478C-B8C0-A14D1379F9E9}">
            <x14:dataBar minLength="0" maxLength="100" border="1" gradient="0">
              <x14:cfvo type="num">
                <xm:f>0</xm:f>
              </x14:cfvo>
              <x14:cfvo type="num">
                <xm:f>1</xm:f>
              </x14:cfvo>
              <x14:borderColor theme="0"/>
              <x14:negativeFillColor rgb="FFFF0000"/>
              <x14:axisColor rgb="FF000000"/>
            </x14:dataBar>
          </x14:cfRule>
          <xm:sqref>BQ150</xm:sqref>
        </x14:conditionalFormatting>
        <x14:conditionalFormatting xmlns:xm="http://schemas.microsoft.com/office/excel/2006/main">
          <x14:cfRule type="dataBar" id="{C493D3A3-7851-4AD2-B903-FDD0FFFDA14B}">
            <x14:dataBar minLength="0" maxLength="100" border="1" gradient="0">
              <x14:cfvo type="num">
                <xm:f>0</xm:f>
              </x14:cfvo>
              <x14:cfvo type="num">
                <xm:f>1</xm:f>
              </x14:cfvo>
              <x14:borderColor theme="0"/>
              <x14:negativeFillColor rgb="FFFF0000"/>
              <x14:axisColor rgb="FF000000"/>
            </x14:dataBar>
          </x14:cfRule>
          <xm:sqref>BQ152</xm:sqref>
        </x14:conditionalFormatting>
        <x14:conditionalFormatting xmlns:xm="http://schemas.microsoft.com/office/excel/2006/main">
          <x14:cfRule type="dataBar" id="{DCC01019-C6DE-4EBE-A5BE-F909C9C4FC64}">
            <x14:dataBar minLength="0" maxLength="100" border="1" gradient="0">
              <x14:cfvo type="num">
                <xm:f>0</xm:f>
              </x14:cfvo>
              <x14:cfvo type="num">
                <xm:f>1</xm:f>
              </x14:cfvo>
              <x14:borderColor theme="0"/>
              <x14:negativeFillColor rgb="FFFF0000"/>
              <x14:axisColor rgb="FF000000"/>
            </x14:dataBar>
          </x14:cfRule>
          <xm:sqref>BQ154</xm:sqref>
        </x14:conditionalFormatting>
        <x14:conditionalFormatting xmlns:xm="http://schemas.microsoft.com/office/excel/2006/main">
          <x14:cfRule type="dataBar" id="{67BD035F-7BC3-4EB3-B725-85521E3B20E4}">
            <x14:dataBar minLength="0" maxLength="100" border="1" gradient="0">
              <x14:cfvo type="num">
                <xm:f>0</xm:f>
              </x14:cfvo>
              <x14:cfvo type="num">
                <xm:f>1</xm:f>
              </x14:cfvo>
              <x14:borderColor theme="0"/>
              <x14:negativeFillColor rgb="FFFF0000"/>
              <x14:axisColor rgb="FF000000"/>
            </x14:dataBar>
          </x14:cfRule>
          <xm:sqref>BQ156</xm:sqref>
        </x14:conditionalFormatting>
        <x14:conditionalFormatting xmlns:xm="http://schemas.microsoft.com/office/excel/2006/main">
          <x14:cfRule type="dataBar" id="{8DF2E789-A602-42D2-B4CE-20CBD80CE0AC}">
            <x14:dataBar minLength="0" maxLength="100" border="1" gradient="0">
              <x14:cfvo type="num">
                <xm:f>0</xm:f>
              </x14:cfvo>
              <x14:cfvo type="num">
                <xm:f>1</xm:f>
              </x14:cfvo>
              <x14:borderColor theme="0"/>
              <x14:negativeFillColor rgb="FFFF0000"/>
              <x14:axisColor rgb="FF000000"/>
            </x14:dataBar>
          </x14:cfRule>
          <xm:sqref>BQ158</xm:sqref>
        </x14:conditionalFormatting>
        <x14:conditionalFormatting xmlns:xm="http://schemas.microsoft.com/office/excel/2006/main">
          <x14:cfRule type="dataBar" id="{0250B5D6-1DCA-43CA-A688-0FF83AC1E7D5}">
            <x14:dataBar minLength="0" maxLength="100" border="1" gradient="0">
              <x14:cfvo type="num">
                <xm:f>0</xm:f>
              </x14:cfvo>
              <x14:cfvo type="num">
                <xm:f>1</xm:f>
              </x14:cfvo>
              <x14:borderColor theme="0"/>
              <x14:negativeFillColor rgb="FFFF0000"/>
              <x14:axisColor rgb="FF000000"/>
            </x14:dataBar>
          </x14:cfRule>
          <xm:sqref>BQ160</xm:sqref>
        </x14:conditionalFormatting>
        <x14:conditionalFormatting xmlns:xm="http://schemas.microsoft.com/office/excel/2006/main">
          <x14:cfRule type="dataBar" id="{AA104D26-AD7D-41C7-A361-3936B2543A90}">
            <x14:dataBar minLength="0" maxLength="100" border="1" gradient="0">
              <x14:cfvo type="num">
                <xm:f>0</xm:f>
              </x14:cfvo>
              <x14:cfvo type="num">
                <xm:f>1</xm:f>
              </x14:cfvo>
              <x14:borderColor theme="0"/>
              <x14:negativeFillColor rgb="FFFF0000"/>
              <x14:axisColor rgb="FF000000"/>
            </x14:dataBar>
          </x14:cfRule>
          <xm:sqref>BQ162</xm:sqref>
        </x14:conditionalFormatting>
        <x14:conditionalFormatting xmlns:xm="http://schemas.microsoft.com/office/excel/2006/main">
          <x14:cfRule type="dataBar" id="{DD46D313-21F9-4DE5-9196-8EEC0D1DDD29}">
            <x14:dataBar minLength="0" maxLength="100" border="1" gradient="0">
              <x14:cfvo type="num">
                <xm:f>0</xm:f>
              </x14:cfvo>
              <x14:cfvo type="num">
                <xm:f>1</xm:f>
              </x14:cfvo>
              <x14:borderColor theme="0"/>
              <x14:negativeFillColor rgb="FFFF0000"/>
              <x14:axisColor rgb="FF000000"/>
            </x14:dataBar>
          </x14:cfRule>
          <xm:sqref>BQ164</xm:sqref>
        </x14:conditionalFormatting>
        <x14:conditionalFormatting xmlns:xm="http://schemas.microsoft.com/office/excel/2006/main">
          <x14:cfRule type="dataBar" id="{5329A4FD-0F2A-4359-B4D2-04F041E78540}">
            <x14:dataBar minLength="0" maxLength="100" border="1" gradient="0">
              <x14:cfvo type="num">
                <xm:f>0</xm:f>
              </x14:cfvo>
              <x14:cfvo type="num">
                <xm:f>1</xm:f>
              </x14:cfvo>
              <x14:borderColor theme="0"/>
              <x14:negativeFillColor rgb="FFFF0000"/>
              <x14:axisColor rgb="FF000000"/>
            </x14:dataBar>
          </x14:cfRule>
          <xm:sqref>BQ166</xm:sqref>
        </x14:conditionalFormatting>
        <x14:conditionalFormatting xmlns:xm="http://schemas.microsoft.com/office/excel/2006/main">
          <x14:cfRule type="dataBar" id="{3F1CBA17-BC0D-4717-95B2-C3F0DC066CC6}">
            <x14:dataBar minLength="0" maxLength="100" border="1" gradient="0">
              <x14:cfvo type="num">
                <xm:f>0</xm:f>
              </x14:cfvo>
              <x14:cfvo type="num">
                <xm:f>1</xm:f>
              </x14:cfvo>
              <x14:borderColor theme="0"/>
              <x14:negativeFillColor rgb="FFFF0000"/>
              <x14:axisColor rgb="FF000000"/>
            </x14:dataBar>
          </x14:cfRule>
          <xm:sqref>BQ168</xm:sqref>
        </x14:conditionalFormatting>
        <x14:conditionalFormatting xmlns:xm="http://schemas.microsoft.com/office/excel/2006/main">
          <x14:cfRule type="dataBar" id="{356899CA-1839-481F-A989-E035D9AC777D}">
            <x14:dataBar minLength="0" maxLength="100" border="1" gradient="0">
              <x14:cfvo type="num">
                <xm:f>0</xm:f>
              </x14:cfvo>
              <x14:cfvo type="num">
                <xm:f>1</xm:f>
              </x14:cfvo>
              <x14:borderColor theme="0"/>
              <x14:negativeFillColor rgb="FFFF0000"/>
              <x14:axisColor rgb="FF000000"/>
            </x14:dataBar>
          </x14:cfRule>
          <xm:sqref>BQ170</xm:sqref>
        </x14:conditionalFormatting>
        <x14:conditionalFormatting xmlns:xm="http://schemas.microsoft.com/office/excel/2006/main">
          <x14:cfRule type="dataBar" id="{1229617D-2C0D-4A45-871B-47CEA43C51CB}">
            <x14:dataBar minLength="0" maxLength="100" border="1" gradient="0">
              <x14:cfvo type="num">
                <xm:f>0</xm:f>
              </x14:cfvo>
              <x14:cfvo type="num">
                <xm:f>1</xm:f>
              </x14:cfvo>
              <x14:borderColor theme="0"/>
              <x14:negativeFillColor rgb="FFFF0000"/>
              <x14:axisColor rgb="FF000000"/>
            </x14:dataBar>
          </x14:cfRule>
          <xm:sqref>BQ172</xm:sqref>
        </x14:conditionalFormatting>
        <x14:conditionalFormatting xmlns:xm="http://schemas.microsoft.com/office/excel/2006/main">
          <x14:cfRule type="dataBar" id="{B2A671DC-077B-4708-849E-2342759323FB}">
            <x14:dataBar minLength="0" maxLength="100" border="1" gradient="0">
              <x14:cfvo type="num">
                <xm:f>0</xm:f>
              </x14:cfvo>
              <x14:cfvo type="num">
                <xm:f>1</xm:f>
              </x14:cfvo>
              <x14:borderColor theme="0"/>
              <x14:negativeFillColor rgb="FFFF0000"/>
              <x14:axisColor rgb="FF000000"/>
            </x14:dataBar>
          </x14:cfRule>
          <xm:sqref>BQ148 BQ174</xm:sqref>
        </x14:conditionalFormatting>
        <x14:conditionalFormatting xmlns:xm="http://schemas.microsoft.com/office/excel/2006/main">
          <x14:cfRule type="dataBar" id="{2C18F4C8-201E-4BB1-96D7-D222ACF72C93}">
            <x14:dataBar minLength="0" maxLength="100" border="1" gradient="0">
              <x14:cfvo type="num">
                <xm:f>0</xm:f>
              </x14:cfvo>
              <x14:cfvo type="num">
                <xm:f>1</xm:f>
              </x14:cfvo>
              <x14:borderColor theme="0"/>
              <x14:negativeFillColor rgb="FFFF0000"/>
              <x14:axisColor rgb="FF000000"/>
            </x14:dataBar>
          </x14:cfRule>
          <xm:sqref>BQ176</xm:sqref>
        </x14:conditionalFormatting>
        <x14:conditionalFormatting xmlns:xm="http://schemas.microsoft.com/office/excel/2006/main">
          <x14:cfRule type="dataBar" id="{7D84E3F8-0746-4C9D-B542-78050788346C}">
            <x14:dataBar minLength="0" maxLength="100" border="1" gradient="0">
              <x14:cfvo type="num">
                <xm:f>0</xm:f>
              </x14:cfvo>
              <x14:cfvo type="num">
                <xm:f>1</xm:f>
              </x14:cfvo>
              <x14:borderColor theme="0"/>
              <x14:negativeFillColor rgb="FFFF0000"/>
              <x14:axisColor rgb="FF000000"/>
            </x14:dataBar>
          </x14:cfRule>
          <xm:sqref>BQ180</xm:sqref>
        </x14:conditionalFormatting>
        <x14:conditionalFormatting xmlns:xm="http://schemas.microsoft.com/office/excel/2006/main">
          <x14:cfRule type="dataBar" id="{04053C6B-0C1E-43DB-A26E-7E3B5024235C}">
            <x14:dataBar minLength="0" maxLength="100" border="1" gradient="0">
              <x14:cfvo type="num">
                <xm:f>0</xm:f>
              </x14:cfvo>
              <x14:cfvo type="num">
                <xm:f>1</xm:f>
              </x14:cfvo>
              <x14:borderColor theme="0"/>
              <x14:negativeFillColor rgb="FFFF0000"/>
              <x14:axisColor rgb="FF000000"/>
            </x14:dataBar>
          </x14:cfRule>
          <xm:sqref>BQ182</xm:sqref>
        </x14:conditionalFormatting>
        <x14:conditionalFormatting xmlns:xm="http://schemas.microsoft.com/office/excel/2006/main">
          <x14:cfRule type="dataBar" id="{5E646FB0-B238-4229-B761-01242A034A97}">
            <x14:dataBar minLength="0" maxLength="100" border="1" gradient="0">
              <x14:cfvo type="num">
                <xm:f>0</xm:f>
              </x14:cfvo>
              <x14:cfvo type="num">
                <xm:f>1</xm:f>
              </x14:cfvo>
              <x14:borderColor theme="0"/>
              <x14:negativeFillColor rgb="FFFF0000"/>
              <x14:axisColor rgb="FF000000"/>
            </x14:dataBar>
          </x14:cfRule>
          <xm:sqref>BQ184</xm:sqref>
        </x14:conditionalFormatting>
        <x14:conditionalFormatting xmlns:xm="http://schemas.microsoft.com/office/excel/2006/main">
          <x14:cfRule type="dataBar" id="{26305519-F181-4314-B3AB-91BB61D1A53C}">
            <x14:dataBar minLength="0" maxLength="100" border="1" gradient="0">
              <x14:cfvo type="num">
                <xm:f>0</xm:f>
              </x14:cfvo>
              <x14:cfvo type="num">
                <xm:f>1</xm:f>
              </x14:cfvo>
              <x14:borderColor theme="0"/>
              <x14:negativeFillColor rgb="FFFF0000"/>
              <x14:axisColor rgb="FF000000"/>
            </x14:dataBar>
          </x14:cfRule>
          <xm:sqref>BQ186</xm:sqref>
        </x14:conditionalFormatting>
        <x14:conditionalFormatting xmlns:xm="http://schemas.microsoft.com/office/excel/2006/main">
          <x14:cfRule type="dataBar" id="{0B157D13-09C4-4C20-8006-7987FC841859}">
            <x14:dataBar minLength="0" maxLength="100" border="1" gradient="0">
              <x14:cfvo type="num">
                <xm:f>0</xm:f>
              </x14:cfvo>
              <x14:cfvo type="num">
                <xm:f>1</xm:f>
              </x14:cfvo>
              <x14:borderColor theme="0"/>
              <x14:negativeFillColor rgb="FFFF0000"/>
              <x14:axisColor rgb="FF000000"/>
            </x14:dataBar>
          </x14:cfRule>
          <xm:sqref>BQ188</xm:sqref>
        </x14:conditionalFormatting>
        <x14:conditionalFormatting xmlns:xm="http://schemas.microsoft.com/office/excel/2006/main">
          <x14:cfRule type="dataBar" id="{F6027EF3-395F-48D2-81FB-AEB65CE28529}">
            <x14:dataBar minLength="0" maxLength="100" border="1" gradient="0">
              <x14:cfvo type="num">
                <xm:f>0</xm:f>
              </x14:cfvo>
              <x14:cfvo type="num">
                <xm:f>1</xm:f>
              </x14:cfvo>
              <x14:borderColor theme="0"/>
              <x14:negativeFillColor rgb="FFFF0000"/>
              <x14:axisColor rgb="FF000000"/>
            </x14:dataBar>
          </x14:cfRule>
          <xm:sqref>BQ190</xm:sqref>
        </x14:conditionalFormatting>
        <x14:conditionalFormatting xmlns:xm="http://schemas.microsoft.com/office/excel/2006/main">
          <x14:cfRule type="dataBar" id="{65E2896F-805A-4C5B-840B-1F011CC05BA6}">
            <x14:dataBar minLength="0" maxLength="100" border="1" gradient="0">
              <x14:cfvo type="num">
                <xm:f>0</xm:f>
              </x14:cfvo>
              <x14:cfvo type="num">
                <xm:f>1</xm:f>
              </x14:cfvo>
              <x14:borderColor theme="0"/>
              <x14:negativeFillColor rgb="FFFF0000"/>
              <x14:axisColor rgb="FF000000"/>
            </x14:dataBar>
          </x14:cfRule>
          <xm:sqref>BQ192</xm:sqref>
        </x14:conditionalFormatting>
        <x14:conditionalFormatting xmlns:xm="http://schemas.microsoft.com/office/excel/2006/main">
          <x14:cfRule type="dataBar" id="{7F1DCB29-B260-46DA-87B7-745851BDBF9C}">
            <x14:dataBar minLength="0" maxLength="100" border="1" gradient="0">
              <x14:cfvo type="num">
                <xm:f>0</xm:f>
              </x14:cfvo>
              <x14:cfvo type="num">
                <xm:f>1</xm:f>
              </x14:cfvo>
              <x14:borderColor theme="0"/>
              <x14:negativeFillColor rgb="FFFF0000"/>
              <x14:axisColor rgb="FF000000"/>
            </x14:dataBar>
          </x14:cfRule>
          <xm:sqref>BQ194</xm:sqref>
        </x14:conditionalFormatting>
        <x14:conditionalFormatting xmlns:xm="http://schemas.microsoft.com/office/excel/2006/main">
          <x14:cfRule type="dataBar" id="{028BE829-0FAD-4DCB-BB24-15850361C720}">
            <x14:dataBar minLength="0" maxLength="100" border="1" gradient="0">
              <x14:cfvo type="num">
                <xm:f>0</xm:f>
              </x14:cfvo>
              <x14:cfvo type="num">
                <xm:f>1</xm:f>
              </x14:cfvo>
              <x14:borderColor theme="0"/>
              <x14:negativeFillColor rgb="FFFF0000"/>
              <x14:axisColor rgb="FF000000"/>
            </x14:dataBar>
          </x14:cfRule>
          <xm:sqref>BQ196</xm:sqref>
        </x14:conditionalFormatting>
        <x14:conditionalFormatting xmlns:xm="http://schemas.microsoft.com/office/excel/2006/main">
          <x14:cfRule type="dataBar" id="{5B0FB03A-666D-4C55-8581-9839984E0081}">
            <x14:dataBar minLength="0" maxLength="100" border="1" gradient="0">
              <x14:cfvo type="num">
                <xm:f>0</xm:f>
              </x14:cfvo>
              <x14:cfvo type="num">
                <xm:f>1</xm:f>
              </x14:cfvo>
              <x14:borderColor theme="0"/>
              <x14:negativeFillColor rgb="FFFF0000"/>
              <x14:axisColor rgb="FF000000"/>
            </x14:dataBar>
          </x14:cfRule>
          <xm:sqref>BQ198</xm:sqref>
        </x14:conditionalFormatting>
        <x14:conditionalFormatting xmlns:xm="http://schemas.microsoft.com/office/excel/2006/main">
          <x14:cfRule type="dataBar" id="{54E97C37-E022-4102-8DA3-1649E389B35D}">
            <x14:dataBar minLength="0" maxLength="100" border="1" gradient="0">
              <x14:cfvo type="num">
                <xm:f>0</xm:f>
              </x14:cfvo>
              <x14:cfvo type="num">
                <xm:f>1</xm:f>
              </x14:cfvo>
              <x14:borderColor theme="0"/>
              <x14:negativeFillColor rgb="FFFF0000"/>
              <x14:axisColor rgb="FF000000"/>
            </x14:dataBar>
          </x14:cfRule>
          <xm:sqref>BQ200</xm:sqref>
        </x14:conditionalFormatting>
        <x14:conditionalFormatting xmlns:xm="http://schemas.microsoft.com/office/excel/2006/main">
          <x14:cfRule type="dataBar" id="{D1971EB3-ECE8-472B-85F5-336D60560CC1}">
            <x14:dataBar minLength="0" maxLength="100" border="1" gradient="0">
              <x14:cfvo type="num">
                <xm:f>0</xm:f>
              </x14:cfvo>
              <x14:cfvo type="num">
                <xm:f>1</xm:f>
              </x14:cfvo>
              <x14:borderColor theme="0"/>
              <x14:negativeFillColor rgb="FFFF0000"/>
              <x14:axisColor rgb="FF000000"/>
            </x14:dataBar>
          </x14:cfRule>
          <xm:sqref>BQ202</xm:sqref>
        </x14:conditionalFormatting>
        <x14:conditionalFormatting xmlns:xm="http://schemas.microsoft.com/office/excel/2006/main">
          <x14:cfRule type="dataBar" id="{36338146-0BED-42E6-B703-44C78F4312DA}">
            <x14:dataBar minLength="0" maxLength="100" border="1" gradient="0">
              <x14:cfvo type="num">
                <xm:f>0</xm:f>
              </x14:cfvo>
              <x14:cfvo type="num">
                <xm:f>1</xm:f>
              </x14:cfvo>
              <x14:borderColor theme="0"/>
              <x14:negativeFillColor rgb="FFFF0000"/>
              <x14:axisColor rgb="FF000000"/>
            </x14:dataBar>
          </x14:cfRule>
          <xm:sqref>BQ204</xm:sqref>
        </x14:conditionalFormatting>
        <x14:conditionalFormatting xmlns:xm="http://schemas.microsoft.com/office/excel/2006/main">
          <x14:cfRule type="dataBar" id="{AFF9A7DE-50A2-4563-8A7B-B6BF9E2BE19D}">
            <x14:dataBar minLength="0" maxLength="100" border="1" gradient="0">
              <x14:cfvo type="num">
                <xm:f>0</xm:f>
              </x14:cfvo>
              <x14:cfvo type="num">
                <xm:f>1</xm:f>
              </x14:cfvo>
              <x14:borderColor theme="0"/>
              <x14:negativeFillColor rgb="FFFF0000"/>
              <x14:axisColor rgb="FF000000"/>
            </x14:dataBar>
          </x14:cfRule>
          <xm:sqref>BQ206</xm:sqref>
        </x14:conditionalFormatting>
        <x14:conditionalFormatting xmlns:xm="http://schemas.microsoft.com/office/excel/2006/main">
          <x14:cfRule type="dataBar" id="{AE84B3E1-5FD7-418A-93C6-598DACC6CE92}">
            <x14:dataBar minLength="0" maxLength="100" border="1" gradient="0">
              <x14:cfvo type="num">
                <xm:f>0</xm:f>
              </x14:cfvo>
              <x14:cfvo type="num">
                <xm:f>1</xm:f>
              </x14:cfvo>
              <x14:borderColor theme="0"/>
              <x14:negativeFillColor rgb="FFFF0000"/>
              <x14:axisColor rgb="FF000000"/>
            </x14:dataBar>
          </x14:cfRule>
          <xm:sqref>BQ208</xm:sqref>
        </x14:conditionalFormatting>
        <x14:conditionalFormatting xmlns:xm="http://schemas.microsoft.com/office/excel/2006/main">
          <x14:cfRule type="dataBar" id="{1535A7AA-778D-4695-B4D4-2E83B24A2A6B}">
            <x14:dataBar minLength="0" maxLength="100" border="1" gradient="0">
              <x14:cfvo type="num">
                <xm:f>0</xm:f>
              </x14:cfvo>
              <x14:cfvo type="num">
                <xm:f>1</xm:f>
              </x14:cfvo>
              <x14:borderColor theme="0"/>
              <x14:negativeFillColor rgb="FFFF0000"/>
              <x14:axisColor rgb="FF000000"/>
            </x14:dataBar>
          </x14:cfRule>
          <xm:sqref>BQ210</xm:sqref>
        </x14:conditionalFormatting>
        <x14:conditionalFormatting xmlns:xm="http://schemas.microsoft.com/office/excel/2006/main">
          <x14:cfRule type="dataBar" id="{ED22A06D-9941-4DEB-8240-6CBD2782A5CE}">
            <x14:dataBar minLength="0" maxLength="100" border="1" gradient="0">
              <x14:cfvo type="num">
                <xm:f>0</xm:f>
              </x14:cfvo>
              <x14:cfvo type="num">
                <xm:f>1</xm:f>
              </x14:cfvo>
              <x14:borderColor theme="0"/>
              <x14:negativeFillColor rgb="FFFF0000"/>
              <x14:axisColor rgb="FF000000"/>
            </x14:dataBar>
          </x14:cfRule>
          <xm:sqref>BQ212</xm:sqref>
        </x14:conditionalFormatting>
        <x14:conditionalFormatting xmlns:xm="http://schemas.microsoft.com/office/excel/2006/main">
          <x14:cfRule type="dataBar" id="{C8D94C10-E5A8-42AC-971E-608886568CB4}">
            <x14:dataBar minLength="0" maxLength="100" border="1" gradient="0">
              <x14:cfvo type="num">
                <xm:f>0</xm:f>
              </x14:cfvo>
              <x14:cfvo type="num">
                <xm:f>1</xm:f>
              </x14:cfvo>
              <x14:borderColor theme="0"/>
              <x14:negativeFillColor rgb="FFFF0000"/>
              <x14:axisColor rgb="FF000000"/>
            </x14:dataBar>
          </x14:cfRule>
          <xm:sqref>BQ214</xm:sqref>
        </x14:conditionalFormatting>
        <x14:conditionalFormatting xmlns:xm="http://schemas.microsoft.com/office/excel/2006/main">
          <x14:cfRule type="dataBar" id="{8A4730F6-7F4F-424A-A982-B8CAD5928E7D}">
            <x14:dataBar minLength="0" maxLength="100" border="1" gradient="0">
              <x14:cfvo type="num">
                <xm:f>0</xm:f>
              </x14:cfvo>
              <x14:cfvo type="num">
                <xm:f>1</xm:f>
              </x14:cfvo>
              <x14:borderColor theme="0"/>
              <x14:negativeFillColor rgb="FFFF0000"/>
              <x14:axisColor rgb="FF000000"/>
            </x14:dataBar>
          </x14:cfRule>
          <xm:sqref>BQ216</xm:sqref>
        </x14:conditionalFormatting>
        <x14:conditionalFormatting xmlns:xm="http://schemas.microsoft.com/office/excel/2006/main">
          <x14:cfRule type="dataBar" id="{C1BE714B-2CD4-4AC0-8047-1D1D14815360}">
            <x14:dataBar minLength="0" maxLength="100" border="1" gradient="0">
              <x14:cfvo type="num">
                <xm:f>0</xm:f>
              </x14:cfvo>
              <x14:cfvo type="num">
                <xm:f>1</xm:f>
              </x14:cfvo>
              <x14:borderColor theme="0"/>
              <x14:negativeFillColor rgb="FFFF0000"/>
              <x14:axisColor rgb="FF000000"/>
            </x14:dataBar>
          </x14:cfRule>
          <xm:sqref>BQ218</xm:sqref>
        </x14:conditionalFormatting>
        <x14:conditionalFormatting xmlns:xm="http://schemas.microsoft.com/office/excel/2006/main">
          <x14:cfRule type="dataBar" id="{F373F9FC-22BC-47B9-88B5-26A7A963431A}">
            <x14:dataBar minLength="0" maxLength="100" border="1" gradient="0">
              <x14:cfvo type="num">
                <xm:f>0</xm:f>
              </x14:cfvo>
              <x14:cfvo type="num">
                <xm:f>1</xm:f>
              </x14:cfvo>
              <x14:borderColor theme="0"/>
              <x14:negativeFillColor rgb="FFFF0000"/>
              <x14:axisColor rgb="FF000000"/>
            </x14:dataBar>
          </x14:cfRule>
          <xm:sqref>BQ220</xm:sqref>
        </x14:conditionalFormatting>
        <x14:conditionalFormatting xmlns:xm="http://schemas.microsoft.com/office/excel/2006/main">
          <x14:cfRule type="dataBar" id="{7FCA53BD-D29F-4479-9A12-E474A24F27FD}">
            <x14:dataBar minLength="0" maxLength="100" border="1" gradient="0">
              <x14:cfvo type="num">
                <xm:f>0</xm:f>
              </x14:cfvo>
              <x14:cfvo type="num">
                <xm:f>1</xm:f>
              </x14:cfvo>
              <x14:borderColor theme="0"/>
              <x14:negativeFillColor rgb="FFFF0000"/>
              <x14:axisColor rgb="FF000000"/>
            </x14:dataBar>
          </x14:cfRule>
          <xm:sqref>BQ222</xm:sqref>
        </x14:conditionalFormatting>
        <x14:conditionalFormatting xmlns:xm="http://schemas.microsoft.com/office/excel/2006/main">
          <x14:cfRule type="dataBar" id="{F991A6A0-F2AB-412B-87D8-0858A9D1A57A}">
            <x14:dataBar minLength="0" maxLength="100" border="1" gradient="0">
              <x14:cfvo type="num">
                <xm:f>0</xm:f>
              </x14:cfvo>
              <x14:cfvo type="num">
                <xm:f>1</xm:f>
              </x14:cfvo>
              <x14:borderColor theme="0"/>
              <x14:negativeFillColor rgb="FFFF0000"/>
              <x14:axisColor rgb="FF000000"/>
            </x14:dataBar>
          </x14:cfRule>
          <xm:sqref>BQ226</xm:sqref>
        </x14:conditionalFormatting>
        <x14:conditionalFormatting xmlns:xm="http://schemas.microsoft.com/office/excel/2006/main">
          <x14:cfRule type="dataBar" id="{C30A1301-0A6C-48E6-A952-4EDE11532D20}">
            <x14:dataBar minLength="0" maxLength="100" border="1" gradient="0">
              <x14:cfvo type="num">
                <xm:f>0</xm:f>
              </x14:cfvo>
              <x14:cfvo type="num">
                <xm:f>1</xm:f>
              </x14:cfvo>
              <x14:borderColor theme="0"/>
              <x14:negativeFillColor rgb="FFFF0000"/>
              <x14:axisColor rgb="FF000000"/>
            </x14:dataBar>
          </x14:cfRule>
          <xm:sqref>BQ229</xm:sqref>
        </x14:conditionalFormatting>
        <x14:conditionalFormatting xmlns:xm="http://schemas.microsoft.com/office/excel/2006/main">
          <x14:cfRule type="dataBar" id="{8095B95C-7CBF-4597-AF18-205B04ED7A80}">
            <x14:dataBar minLength="0" maxLength="100" border="1" gradient="0">
              <x14:cfvo type="num">
                <xm:f>0</xm:f>
              </x14:cfvo>
              <x14:cfvo type="num">
                <xm:f>1</xm:f>
              </x14:cfvo>
              <x14:borderColor theme="0"/>
              <x14:negativeFillColor rgb="FFFF0000"/>
              <x14:axisColor rgb="FF000000"/>
            </x14:dataBar>
          </x14:cfRule>
          <xm:sqref>BQ233</xm:sqref>
        </x14:conditionalFormatting>
        <x14:conditionalFormatting xmlns:xm="http://schemas.microsoft.com/office/excel/2006/main">
          <x14:cfRule type="dataBar" id="{8E68E1D4-CBD7-491F-8F3B-60C257310FA8}">
            <x14:dataBar minLength="0" maxLength="100" border="1" gradient="0">
              <x14:cfvo type="num">
                <xm:f>0</xm:f>
              </x14:cfvo>
              <x14:cfvo type="num">
                <xm:f>1</xm:f>
              </x14:cfvo>
              <x14:borderColor theme="0"/>
              <x14:negativeFillColor rgb="FFFF0000"/>
              <x14:axisColor rgb="FF000000"/>
            </x14:dataBar>
          </x14:cfRule>
          <xm:sqref>BQ235</xm:sqref>
        </x14:conditionalFormatting>
        <x14:conditionalFormatting xmlns:xm="http://schemas.microsoft.com/office/excel/2006/main">
          <x14:cfRule type="dataBar" id="{7EA38E8D-80CE-430E-B60B-5EAE292AEF8E}">
            <x14:dataBar minLength="0" maxLength="100" border="1" gradient="0">
              <x14:cfvo type="num">
                <xm:f>0</xm:f>
              </x14:cfvo>
              <x14:cfvo type="num">
                <xm:f>1</xm:f>
              </x14:cfvo>
              <x14:borderColor theme="0"/>
              <x14:negativeFillColor rgb="FFFF0000"/>
              <x14:axisColor rgb="FF000000"/>
            </x14:dataBar>
          </x14:cfRule>
          <xm:sqref>BQ237</xm:sqref>
        </x14:conditionalFormatting>
        <x14:conditionalFormatting xmlns:xm="http://schemas.microsoft.com/office/excel/2006/main">
          <x14:cfRule type="dataBar" id="{A99198A0-609B-40C3-BC6C-31E67264062B}">
            <x14:dataBar minLength="0" maxLength="100" border="1" gradient="0">
              <x14:cfvo type="num">
                <xm:f>0</xm:f>
              </x14:cfvo>
              <x14:cfvo type="num">
                <xm:f>1</xm:f>
              </x14:cfvo>
              <x14:borderColor theme="0"/>
              <x14:negativeFillColor rgb="FFFF0000"/>
              <x14:axisColor rgb="FF000000"/>
            </x14:dataBar>
          </x14:cfRule>
          <xm:sqref>BQ239</xm:sqref>
        </x14:conditionalFormatting>
        <x14:conditionalFormatting xmlns:xm="http://schemas.microsoft.com/office/excel/2006/main">
          <x14:cfRule type="dataBar" id="{FB9803D8-F016-4196-98E6-00BB06445F19}">
            <x14:dataBar minLength="0" maxLength="100" border="1" gradient="0">
              <x14:cfvo type="num">
                <xm:f>0</xm:f>
              </x14:cfvo>
              <x14:cfvo type="num">
                <xm:f>1</xm:f>
              </x14:cfvo>
              <x14:borderColor theme="0"/>
              <x14:negativeFillColor rgb="FFFF0000"/>
              <x14:axisColor rgb="FF000000"/>
            </x14:dataBar>
          </x14:cfRule>
          <xm:sqref>BQ241</xm:sqref>
        </x14:conditionalFormatting>
        <x14:conditionalFormatting xmlns:xm="http://schemas.microsoft.com/office/excel/2006/main">
          <x14:cfRule type="dataBar" id="{7CBF695E-4021-4D6F-8092-16F768924D55}">
            <x14:dataBar minLength="0" maxLength="100" border="1" gradient="0">
              <x14:cfvo type="num">
                <xm:f>0</xm:f>
              </x14:cfvo>
              <x14:cfvo type="num">
                <xm:f>1</xm:f>
              </x14:cfvo>
              <x14:borderColor theme="0"/>
              <x14:negativeFillColor rgb="FFFF0000"/>
              <x14:axisColor rgb="FF000000"/>
            </x14:dataBar>
          </x14:cfRule>
          <xm:sqref>BQ245 BQ243</xm:sqref>
        </x14:conditionalFormatting>
        <x14:conditionalFormatting xmlns:xm="http://schemas.microsoft.com/office/excel/2006/main">
          <x14:cfRule type="dataBar" id="{289C6BBE-31D4-4054-A649-FA79D8BCDB18}">
            <x14:dataBar minLength="0" maxLength="100" border="1" gradient="0">
              <x14:cfvo type="num">
                <xm:f>0</xm:f>
              </x14:cfvo>
              <x14:cfvo type="num">
                <xm:f>1</xm:f>
              </x14:cfvo>
              <x14:borderColor theme="0"/>
              <x14:negativeFillColor rgb="FFFF0000"/>
              <x14:axisColor rgb="FF000000"/>
            </x14:dataBar>
          </x14:cfRule>
          <xm:sqref>BQ247</xm:sqref>
        </x14:conditionalFormatting>
        <x14:conditionalFormatting xmlns:xm="http://schemas.microsoft.com/office/excel/2006/main">
          <x14:cfRule type="dataBar" id="{54FC50D7-6D0E-49DC-8204-1B3604A97974}">
            <x14:dataBar minLength="0" maxLength="100" border="1" gradient="0">
              <x14:cfvo type="num">
                <xm:f>0</xm:f>
              </x14:cfvo>
              <x14:cfvo type="num">
                <xm:f>1</xm:f>
              </x14:cfvo>
              <x14:borderColor theme="0"/>
              <x14:negativeFillColor rgb="FFFF0000"/>
              <x14:axisColor rgb="FF000000"/>
            </x14:dataBar>
          </x14:cfRule>
          <xm:sqref>BQ249</xm:sqref>
        </x14:conditionalFormatting>
        <x14:conditionalFormatting xmlns:xm="http://schemas.microsoft.com/office/excel/2006/main">
          <x14:cfRule type="dataBar" id="{2E8DBF6A-8359-40C2-A292-F754CB0EEAB5}">
            <x14:dataBar minLength="0" maxLength="100" border="1" gradient="0">
              <x14:cfvo type="num">
                <xm:f>0</xm:f>
              </x14:cfvo>
              <x14:cfvo type="num">
                <xm:f>1</xm:f>
              </x14:cfvo>
              <x14:borderColor theme="0"/>
              <x14:negativeFillColor rgb="FFFF0000"/>
              <x14:axisColor rgb="FF000000"/>
            </x14:dataBar>
          </x14:cfRule>
          <xm:sqref>BQ251</xm:sqref>
        </x14:conditionalFormatting>
        <x14:conditionalFormatting xmlns:xm="http://schemas.microsoft.com/office/excel/2006/main">
          <x14:cfRule type="dataBar" id="{9580E19F-A33C-4DD9-90BA-36246938C152}">
            <x14:dataBar minLength="0" maxLength="100" border="1" gradient="0">
              <x14:cfvo type="num">
                <xm:f>0</xm:f>
              </x14:cfvo>
              <x14:cfvo type="num">
                <xm:f>1</xm:f>
              </x14:cfvo>
              <x14:borderColor theme="0"/>
              <x14:negativeFillColor rgb="FFFF0000"/>
              <x14:axisColor rgb="FF000000"/>
            </x14:dataBar>
          </x14:cfRule>
          <xm:sqref>BQ253</xm:sqref>
        </x14:conditionalFormatting>
        <x14:conditionalFormatting xmlns:xm="http://schemas.microsoft.com/office/excel/2006/main">
          <x14:cfRule type="dataBar" id="{95A577D2-789B-458B-9D28-621F6A337828}">
            <x14:dataBar minLength="0" maxLength="100" border="1" gradient="0">
              <x14:cfvo type="num">
                <xm:f>0</xm:f>
              </x14:cfvo>
              <x14:cfvo type="num">
                <xm:f>1</xm:f>
              </x14:cfvo>
              <x14:borderColor theme="0"/>
              <x14:negativeFillColor rgb="FFFF0000"/>
              <x14:axisColor rgb="FF000000"/>
            </x14:dataBar>
          </x14:cfRule>
          <xm:sqref>BQ255</xm:sqref>
        </x14:conditionalFormatting>
        <x14:conditionalFormatting xmlns:xm="http://schemas.microsoft.com/office/excel/2006/main">
          <x14:cfRule type="dataBar" id="{C7B8F0ED-1233-4E17-A0FF-7CA8CEDD16AC}">
            <x14:dataBar minLength="0" maxLength="100" border="1" gradient="0">
              <x14:cfvo type="num">
                <xm:f>0</xm:f>
              </x14:cfvo>
              <x14:cfvo type="num">
                <xm:f>1</xm:f>
              </x14:cfvo>
              <x14:borderColor theme="0"/>
              <x14:negativeFillColor rgb="FFFF0000"/>
              <x14:axisColor rgb="FF000000"/>
            </x14:dataBar>
          </x14:cfRule>
          <xm:sqref>BQ257</xm:sqref>
        </x14:conditionalFormatting>
        <x14:conditionalFormatting xmlns:xm="http://schemas.microsoft.com/office/excel/2006/main">
          <x14:cfRule type="dataBar" id="{84B472AA-48F2-4B0E-9411-A826B9DBC421}">
            <x14:dataBar minLength="0" maxLength="100" border="1" gradient="0">
              <x14:cfvo type="num">
                <xm:f>0</xm:f>
              </x14:cfvo>
              <x14:cfvo type="num">
                <xm:f>1</xm:f>
              </x14:cfvo>
              <x14:borderColor theme="0"/>
              <x14:negativeFillColor rgb="FFFF0000"/>
              <x14:axisColor rgb="FF000000"/>
            </x14:dataBar>
          </x14:cfRule>
          <xm:sqref>BQ259</xm:sqref>
        </x14:conditionalFormatting>
        <x14:conditionalFormatting xmlns:xm="http://schemas.microsoft.com/office/excel/2006/main">
          <x14:cfRule type="dataBar" id="{3DA442B8-084C-4D70-8876-0334D14347B6}">
            <x14:dataBar minLength="0" maxLength="100" border="1" gradient="0">
              <x14:cfvo type="num">
                <xm:f>0</xm:f>
              </x14:cfvo>
              <x14:cfvo type="num">
                <xm:f>1</xm:f>
              </x14:cfvo>
              <x14:borderColor theme="0"/>
              <x14:negativeFillColor rgb="FFFF0000"/>
              <x14:axisColor rgb="FF000000"/>
            </x14:dataBar>
          </x14:cfRule>
          <xm:sqref>BQ261</xm:sqref>
        </x14:conditionalFormatting>
        <x14:conditionalFormatting xmlns:xm="http://schemas.microsoft.com/office/excel/2006/main">
          <x14:cfRule type="dataBar" id="{2C7DC8A3-73A0-4357-BDD8-DE264FA28AE3}">
            <x14:dataBar minLength="0" maxLength="100" border="1" gradient="0">
              <x14:cfvo type="num">
                <xm:f>0</xm:f>
              </x14:cfvo>
              <x14:cfvo type="num">
                <xm:f>1</xm:f>
              </x14:cfvo>
              <x14:borderColor theme="0"/>
              <x14:negativeFillColor rgb="FFFF0000"/>
              <x14:axisColor rgb="FF000000"/>
            </x14:dataBar>
          </x14:cfRule>
          <xm:sqref>BQ263</xm:sqref>
        </x14:conditionalFormatting>
        <x14:conditionalFormatting xmlns:xm="http://schemas.microsoft.com/office/excel/2006/main">
          <x14:cfRule type="dataBar" id="{9CAB6244-8C60-4A2D-AA94-B07B6DCA6940}">
            <x14:dataBar minLength="0" maxLength="100" border="1" gradient="0">
              <x14:cfvo type="num">
                <xm:f>0</xm:f>
              </x14:cfvo>
              <x14:cfvo type="num">
                <xm:f>1</xm:f>
              </x14:cfvo>
              <x14:borderColor theme="0"/>
              <x14:negativeFillColor rgb="FFFF0000"/>
              <x14:axisColor rgb="FF000000"/>
            </x14:dataBar>
          </x14:cfRule>
          <xm:sqref>BQ265</xm:sqref>
        </x14:conditionalFormatting>
        <x14:conditionalFormatting xmlns:xm="http://schemas.microsoft.com/office/excel/2006/main">
          <x14:cfRule type="dataBar" id="{6ED3DF6E-26A6-41A3-A391-7814B0C2BA4E}">
            <x14:dataBar minLength="0" maxLength="100" border="1" gradient="0">
              <x14:cfvo type="num">
                <xm:f>0</xm:f>
              </x14:cfvo>
              <x14:cfvo type="num">
                <xm:f>1</xm:f>
              </x14:cfvo>
              <x14:borderColor theme="0"/>
              <x14:negativeFillColor rgb="FFFF0000"/>
              <x14:axisColor rgb="FF000000"/>
            </x14:dataBar>
          </x14:cfRule>
          <xm:sqref>BQ267</xm:sqref>
        </x14:conditionalFormatting>
        <x14:conditionalFormatting xmlns:xm="http://schemas.microsoft.com/office/excel/2006/main">
          <x14:cfRule type="dataBar" id="{29F0D146-D35B-41D5-B997-3D4BEF953016}">
            <x14:dataBar minLength="0" maxLength="100" border="1" gradient="0">
              <x14:cfvo type="num">
                <xm:f>0</xm:f>
              </x14:cfvo>
              <x14:cfvo type="num">
                <xm:f>1</xm:f>
              </x14:cfvo>
              <x14:borderColor theme="0"/>
              <x14:negativeFillColor rgb="FFFF0000"/>
              <x14:axisColor rgb="FF000000"/>
            </x14:dataBar>
          </x14:cfRule>
          <xm:sqref>BQ269</xm:sqref>
        </x14:conditionalFormatting>
        <x14:conditionalFormatting xmlns:xm="http://schemas.microsoft.com/office/excel/2006/main">
          <x14:cfRule type="dataBar" id="{81104773-E058-46AC-9B71-C176B7D4D88E}">
            <x14:dataBar minLength="0" maxLength="100" border="1" gradient="0">
              <x14:cfvo type="num">
                <xm:f>0</xm:f>
              </x14:cfvo>
              <x14:cfvo type="num">
                <xm:f>1</xm:f>
              </x14:cfvo>
              <x14:borderColor theme="0"/>
              <x14:negativeFillColor rgb="FFFF0000"/>
              <x14:axisColor rgb="FF000000"/>
            </x14:dataBar>
          </x14:cfRule>
          <xm:sqref>BQ271</xm:sqref>
        </x14:conditionalFormatting>
        <x14:conditionalFormatting xmlns:xm="http://schemas.microsoft.com/office/excel/2006/main">
          <x14:cfRule type="dataBar" id="{1108593E-EFF6-4270-B15A-699105B9FB59}">
            <x14:dataBar minLength="0" maxLength="100" border="1" gradient="0">
              <x14:cfvo type="num">
                <xm:f>0</xm:f>
              </x14:cfvo>
              <x14:cfvo type="num">
                <xm:f>1</xm:f>
              </x14:cfvo>
              <x14:borderColor theme="0"/>
              <x14:negativeFillColor rgb="FFFF0000"/>
              <x14:axisColor rgb="FF000000"/>
            </x14:dataBar>
          </x14:cfRule>
          <xm:sqref>BQ273</xm:sqref>
        </x14:conditionalFormatting>
        <x14:conditionalFormatting xmlns:xm="http://schemas.microsoft.com/office/excel/2006/main">
          <x14:cfRule type="dataBar" id="{9273573A-AD88-4DE8-9C1B-EB5FFDAD4BC7}">
            <x14:dataBar minLength="0" maxLength="100" border="1" gradient="0">
              <x14:cfvo type="num">
                <xm:f>0</xm:f>
              </x14:cfvo>
              <x14:cfvo type="num">
                <xm:f>1</xm:f>
              </x14:cfvo>
              <x14:borderColor theme="0"/>
              <x14:negativeFillColor rgb="FFFF0000"/>
              <x14:axisColor rgb="FF000000"/>
            </x14:dataBar>
          </x14:cfRule>
          <xm:sqref>BQ275</xm:sqref>
        </x14:conditionalFormatting>
        <x14:conditionalFormatting xmlns:xm="http://schemas.microsoft.com/office/excel/2006/main">
          <x14:cfRule type="dataBar" id="{A4D791A8-CA91-40D8-A04E-B66B81708E90}">
            <x14:dataBar minLength="0" maxLength="100" border="1" gradient="0">
              <x14:cfvo type="num">
                <xm:f>0</xm:f>
              </x14:cfvo>
              <x14:cfvo type="num">
                <xm:f>1</xm:f>
              </x14:cfvo>
              <x14:borderColor theme="0"/>
              <x14:negativeFillColor rgb="FFFF0000"/>
              <x14:axisColor rgb="FF000000"/>
            </x14:dataBar>
          </x14:cfRule>
          <xm:sqref>BQ278</xm:sqref>
        </x14:conditionalFormatting>
        <x14:conditionalFormatting xmlns:xm="http://schemas.microsoft.com/office/excel/2006/main">
          <x14:cfRule type="dataBar" id="{CE57AFD8-849E-4D34-9676-FBA7FCE63928}">
            <x14:dataBar minLength="0" maxLength="100" border="1" gradient="0">
              <x14:cfvo type="num">
                <xm:f>0</xm:f>
              </x14:cfvo>
              <x14:cfvo type="num">
                <xm:f>1</xm:f>
              </x14:cfvo>
              <x14:borderColor theme="0"/>
              <x14:negativeFillColor rgb="FFFF0000"/>
              <x14:axisColor rgb="FF000000"/>
            </x14:dataBar>
          </x14:cfRule>
          <xm:sqref>BQ280</xm:sqref>
        </x14:conditionalFormatting>
        <x14:conditionalFormatting xmlns:xm="http://schemas.microsoft.com/office/excel/2006/main">
          <x14:cfRule type="dataBar" id="{12D11D15-567F-480D-999B-20A42CC4DB1A}">
            <x14:dataBar minLength="0" maxLength="100" border="1" gradient="0">
              <x14:cfvo type="num">
                <xm:f>0</xm:f>
              </x14:cfvo>
              <x14:cfvo type="num">
                <xm:f>1</xm:f>
              </x14:cfvo>
              <x14:borderColor theme="0"/>
              <x14:negativeFillColor rgb="FFFF0000"/>
              <x14:axisColor rgb="FF000000"/>
            </x14:dataBar>
          </x14:cfRule>
          <xm:sqref>BQ282</xm:sqref>
        </x14:conditionalFormatting>
        <x14:conditionalFormatting xmlns:xm="http://schemas.microsoft.com/office/excel/2006/main">
          <x14:cfRule type="dataBar" id="{DF53A0F1-A5D3-4AF9-9F73-D5E7C4E8466F}">
            <x14:dataBar minLength="0" maxLength="100" border="1" gradient="0">
              <x14:cfvo type="num">
                <xm:f>0</xm:f>
              </x14:cfvo>
              <x14:cfvo type="num">
                <xm:f>1</xm:f>
              </x14:cfvo>
              <x14:borderColor theme="0"/>
              <x14:negativeFillColor rgb="FFFF0000"/>
              <x14:axisColor rgb="FF000000"/>
            </x14:dataBar>
          </x14:cfRule>
          <xm:sqref>BQ284</xm:sqref>
        </x14:conditionalFormatting>
        <x14:conditionalFormatting xmlns:xm="http://schemas.microsoft.com/office/excel/2006/main">
          <x14:cfRule type="dataBar" id="{6ED362E2-A573-40A9-9F7F-CC13A8DF505A}">
            <x14:dataBar minLength="0" maxLength="100" border="1" gradient="0">
              <x14:cfvo type="num">
                <xm:f>0</xm:f>
              </x14:cfvo>
              <x14:cfvo type="num">
                <xm:f>1</xm:f>
              </x14:cfvo>
              <x14:borderColor theme="0"/>
              <x14:negativeFillColor rgb="FFFF0000"/>
              <x14:axisColor rgb="FF000000"/>
            </x14:dataBar>
          </x14:cfRule>
          <xm:sqref>BQ286</xm:sqref>
        </x14:conditionalFormatting>
        <x14:conditionalFormatting xmlns:xm="http://schemas.microsoft.com/office/excel/2006/main">
          <x14:cfRule type="dataBar" id="{CF714FF8-8C38-4C58-8326-822E76E584AC}">
            <x14:dataBar minLength="0" maxLength="100" border="1" gradient="0">
              <x14:cfvo type="num">
                <xm:f>0</xm:f>
              </x14:cfvo>
              <x14:cfvo type="num">
                <xm:f>1</xm:f>
              </x14:cfvo>
              <x14:borderColor theme="0"/>
              <x14:negativeFillColor rgb="FFFF0000"/>
              <x14:axisColor rgb="FF000000"/>
            </x14:dataBar>
          </x14:cfRule>
          <xm:sqref>BQ288</xm:sqref>
        </x14:conditionalFormatting>
        <x14:conditionalFormatting xmlns:xm="http://schemas.microsoft.com/office/excel/2006/main">
          <x14:cfRule type="dataBar" id="{540F4F3A-70E0-448E-A2EE-F1D3B8FE83E9}">
            <x14:dataBar minLength="0" maxLength="100" border="1" gradient="0">
              <x14:cfvo type="num">
                <xm:f>0</xm:f>
              </x14:cfvo>
              <x14:cfvo type="num">
                <xm:f>1</xm:f>
              </x14:cfvo>
              <x14:borderColor theme="0"/>
              <x14:negativeFillColor rgb="FFFF0000"/>
              <x14:axisColor rgb="FF000000"/>
            </x14:dataBar>
          </x14:cfRule>
          <xm:sqref>BQ290</xm:sqref>
        </x14:conditionalFormatting>
        <x14:conditionalFormatting xmlns:xm="http://schemas.microsoft.com/office/excel/2006/main">
          <x14:cfRule type="dataBar" id="{AA031F78-C0F4-4D74-ACC1-B60CAA68A177}">
            <x14:dataBar minLength="0" maxLength="100" border="1" gradient="0">
              <x14:cfvo type="num">
                <xm:f>0</xm:f>
              </x14:cfvo>
              <x14:cfvo type="num">
                <xm:f>1</xm:f>
              </x14:cfvo>
              <x14:borderColor theme="0"/>
              <x14:negativeFillColor rgb="FFFF0000"/>
              <x14:axisColor rgb="FF000000"/>
            </x14:dataBar>
          </x14:cfRule>
          <xm:sqref>BQ292</xm:sqref>
        </x14:conditionalFormatting>
        <x14:conditionalFormatting xmlns:xm="http://schemas.microsoft.com/office/excel/2006/main">
          <x14:cfRule type="dataBar" id="{E22BDF4C-C8DF-498D-971F-BE891B39B75B}">
            <x14:dataBar minLength="0" maxLength="100" border="1" gradient="0">
              <x14:cfvo type="num">
                <xm:f>0</xm:f>
              </x14:cfvo>
              <x14:cfvo type="num">
                <xm:f>1</xm:f>
              </x14:cfvo>
              <x14:borderColor theme="0"/>
              <x14:negativeFillColor rgb="FFFF0000"/>
              <x14:axisColor rgb="FF000000"/>
            </x14:dataBar>
          </x14:cfRule>
          <xm:sqref>BQ294</xm:sqref>
        </x14:conditionalFormatting>
        <x14:conditionalFormatting xmlns:xm="http://schemas.microsoft.com/office/excel/2006/main">
          <x14:cfRule type="dataBar" id="{88CCDDAF-F153-4898-B093-3B4F23A4E537}">
            <x14:dataBar minLength="0" maxLength="100" border="1" gradient="0">
              <x14:cfvo type="num">
                <xm:f>0</xm:f>
              </x14:cfvo>
              <x14:cfvo type="num">
                <xm:f>1</xm:f>
              </x14:cfvo>
              <x14:borderColor theme="0"/>
              <x14:negativeFillColor rgb="FFFF0000"/>
              <x14:axisColor rgb="FF000000"/>
            </x14:dataBar>
          </x14:cfRule>
          <xm:sqref>BQ296</xm:sqref>
        </x14:conditionalFormatting>
        <x14:conditionalFormatting xmlns:xm="http://schemas.microsoft.com/office/excel/2006/main">
          <x14:cfRule type="dataBar" id="{265FE95E-56C3-4B4F-B179-26BB83388705}">
            <x14:dataBar minLength="0" maxLength="100" border="1" gradient="0">
              <x14:cfvo type="num">
                <xm:f>0</xm:f>
              </x14:cfvo>
              <x14:cfvo type="num">
                <xm:f>1</xm:f>
              </x14:cfvo>
              <x14:borderColor theme="0"/>
              <x14:negativeFillColor rgb="FFFF0000"/>
              <x14:axisColor rgb="FF000000"/>
            </x14:dataBar>
          </x14:cfRule>
          <xm:sqref>BQ299</xm:sqref>
        </x14:conditionalFormatting>
        <x14:conditionalFormatting xmlns:xm="http://schemas.microsoft.com/office/excel/2006/main">
          <x14:cfRule type="dataBar" id="{4A40FB0B-4E81-42FB-8B2A-F301FFD2D25B}">
            <x14:dataBar minLength="0" maxLength="100" border="1" gradient="0">
              <x14:cfvo type="num">
                <xm:f>0</xm:f>
              </x14:cfvo>
              <x14:cfvo type="num">
                <xm:f>1</xm:f>
              </x14:cfvo>
              <x14:borderColor theme="0"/>
              <x14:negativeFillColor rgb="FFFF0000"/>
              <x14:axisColor rgb="FF000000"/>
            </x14:dataBar>
          </x14:cfRule>
          <xm:sqref>BQ304</xm:sqref>
        </x14:conditionalFormatting>
        <x14:conditionalFormatting xmlns:xm="http://schemas.microsoft.com/office/excel/2006/main">
          <x14:cfRule type="dataBar" id="{1F4ED3DE-3607-4698-8DB5-671002B9FBF9}">
            <x14:dataBar minLength="0" maxLength="100" border="1" gradient="0">
              <x14:cfvo type="num">
                <xm:f>0</xm:f>
              </x14:cfvo>
              <x14:cfvo type="num">
                <xm:f>1</xm:f>
              </x14:cfvo>
              <x14:borderColor theme="0"/>
              <x14:negativeFillColor rgb="FFFF0000"/>
              <x14:axisColor rgb="FF000000"/>
            </x14:dataBar>
          </x14:cfRule>
          <xm:sqref>BQ307</xm:sqref>
        </x14:conditionalFormatting>
        <x14:conditionalFormatting xmlns:xm="http://schemas.microsoft.com/office/excel/2006/main">
          <x14:cfRule type="dataBar" id="{3B1AF6E2-B328-4F1D-98DC-88349F936A9D}">
            <x14:dataBar minLength="0" maxLength="100" border="1" gradient="0">
              <x14:cfvo type="num">
                <xm:f>0</xm:f>
              </x14:cfvo>
              <x14:cfvo type="num">
                <xm:f>1</xm:f>
              </x14:cfvo>
              <x14:borderColor theme="0"/>
              <x14:negativeFillColor rgb="FFFF0000"/>
              <x14:axisColor rgb="FF000000"/>
            </x14:dataBar>
          </x14:cfRule>
          <xm:sqref>BQ310</xm:sqref>
        </x14:conditionalFormatting>
        <x14:conditionalFormatting xmlns:xm="http://schemas.microsoft.com/office/excel/2006/main">
          <x14:cfRule type="dataBar" id="{AD51FD57-35B6-43B2-A09B-C167A606D7EE}">
            <x14:dataBar minLength="0" maxLength="100" border="1" gradient="0">
              <x14:cfvo type="num">
                <xm:f>0</xm:f>
              </x14:cfvo>
              <x14:cfvo type="num">
                <xm:f>1</xm:f>
              </x14:cfvo>
              <x14:borderColor theme="0"/>
              <x14:negativeFillColor rgb="FFFF0000"/>
              <x14:axisColor rgb="FF000000"/>
            </x14:dataBar>
          </x14:cfRule>
          <xm:sqref>BQ314</xm:sqref>
        </x14:conditionalFormatting>
        <x14:conditionalFormatting xmlns:xm="http://schemas.microsoft.com/office/excel/2006/main">
          <x14:cfRule type="dataBar" id="{03D9AAD0-5A9A-41E7-886A-88805EFB7D2E}">
            <x14:dataBar minLength="0" maxLength="100" border="1" gradient="0">
              <x14:cfvo type="num">
                <xm:f>0</xm:f>
              </x14:cfvo>
              <x14:cfvo type="num">
                <xm:f>1</xm:f>
              </x14:cfvo>
              <x14:borderColor theme="0"/>
              <x14:negativeFillColor rgb="FFFF0000"/>
              <x14:axisColor rgb="FF000000"/>
            </x14:dataBar>
          </x14:cfRule>
          <xm:sqref>BQ316</xm:sqref>
        </x14:conditionalFormatting>
        <x14:conditionalFormatting xmlns:xm="http://schemas.microsoft.com/office/excel/2006/main">
          <x14:cfRule type="dataBar" id="{0B640312-8680-47BE-BEF5-3EC26929C1B0}">
            <x14:dataBar minLength="0" maxLength="100" border="1" gradient="0">
              <x14:cfvo type="num">
                <xm:f>0</xm:f>
              </x14:cfvo>
              <x14:cfvo type="num">
                <xm:f>1</xm:f>
              </x14:cfvo>
              <x14:borderColor theme="0"/>
              <x14:negativeFillColor rgb="FFFF0000"/>
              <x14:axisColor rgb="FF000000"/>
            </x14:dataBar>
          </x14:cfRule>
          <xm:sqref>BQ318</xm:sqref>
        </x14:conditionalFormatting>
        <x14:conditionalFormatting xmlns:xm="http://schemas.microsoft.com/office/excel/2006/main">
          <x14:cfRule type="dataBar" id="{E261011D-344B-4F4B-87DF-BCE0E83E2BB5}">
            <x14:dataBar minLength="0" maxLength="100" border="1" gradient="0">
              <x14:cfvo type="num">
                <xm:f>0</xm:f>
              </x14:cfvo>
              <x14:cfvo type="num">
                <xm:f>1</xm:f>
              </x14:cfvo>
              <x14:borderColor theme="0"/>
              <x14:negativeFillColor rgb="FFFF0000"/>
              <x14:axisColor rgb="FF000000"/>
            </x14:dataBar>
          </x14:cfRule>
          <xm:sqref>BQ320</xm:sqref>
        </x14:conditionalFormatting>
        <x14:conditionalFormatting xmlns:xm="http://schemas.microsoft.com/office/excel/2006/main">
          <x14:cfRule type="dataBar" id="{53101FC1-69C1-4103-8929-57D81B687AAA}">
            <x14:dataBar minLength="0" maxLength="100" border="1" gradient="0">
              <x14:cfvo type="num">
                <xm:f>0</xm:f>
              </x14:cfvo>
              <x14:cfvo type="num">
                <xm:f>1</xm:f>
              </x14:cfvo>
              <x14:borderColor theme="0"/>
              <x14:negativeFillColor rgb="FFFF0000"/>
              <x14:axisColor rgb="FF000000"/>
            </x14:dataBar>
          </x14:cfRule>
          <xm:sqref>BQ322</xm:sqref>
        </x14:conditionalFormatting>
        <x14:conditionalFormatting xmlns:xm="http://schemas.microsoft.com/office/excel/2006/main">
          <x14:cfRule type="dataBar" id="{D3204033-6507-468F-AFFD-D01BAC6A6257}">
            <x14:dataBar minLength="0" maxLength="100" border="1" gradient="0">
              <x14:cfvo type="num">
                <xm:f>0</xm:f>
              </x14:cfvo>
              <x14:cfvo type="num">
                <xm:f>1</xm:f>
              </x14:cfvo>
              <x14:borderColor theme="0"/>
              <x14:negativeFillColor rgb="FFFF0000"/>
              <x14:axisColor rgb="FF000000"/>
            </x14:dataBar>
          </x14:cfRule>
          <xm:sqref>BQ324</xm:sqref>
        </x14:conditionalFormatting>
        <x14:conditionalFormatting xmlns:xm="http://schemas.microsoft.com/office/excel/2006/main">
          <x14:cfRule type="dataBar" id="{EE8D0550-9FC4-4B62-B895-31051064B7CC}">
            <x14:dataBar minLength="0" maxLength="100" border="1" gradient="0">
              <x14:cfvo type="num">
                <xm:f>0</xm:f>
              </x14:cfvo>
              <x14:cfvo type="num">
                <xm:f>1</xm:f>
              </x14:cfvo>
              <x14:borderColor theme="0"/>
              <x14:negativeFillColor rgb="FFFF0000"/>
              <x14:axisColor rgb="FF000000"/>
            </x14:dataBar>
          </x14:cfRule>
          <xm:sqref>BQ326</xm:sqref>
        </x14:conditionalFormatting>
        <x14:conditionalFormatting xmlns:xm="http://schemas.microsoft.com/office/excel/2006/main">
          <x14:cfRule type="dataBar" id="{F387691C-AD8F-49BC-8D30-91EE6306CF86}">
            <x14:dataBar minLength="0" maxLength="100" border="1" gradient="0">
              <x14:cfvo type="num">
                <xm:f>0</xm:f>
              </x14:cfvo>
              <x14:cfvo type="num">
                <xm:f>1</xm:f>
              </x14:cfvo>
              <x14:borderColor theme="0"/>
              <x14:negativeFillColor rgb="FFFF0000"/>
              <x14:axisColor rgb="FF000000"/>
            </x14:dataBar>
          </x14:cfRule>
          <xm:sqref>BQ328</xm:sqref>
        </x14:conditionalFormatting>
        <x14:conditionalFormatting xmlns:xm="http://schemas.microsoft.com/office/excel/2006/main">
          <x14:cfRule type="dataBar" id="{07BE0F3C-4ADE-4DD5-841E-4CBAEDB66FB3}">
            <x14:dataBar minLength="0" maxLength="100" border="1" gradient="0">
              <x14:cfvo type="num">
                <xm:f>0</xm:f>
              </x14:cfvo>
              <x14:cfvo type="num">
                <xm:f>1</xm:f>
              </x14:cfvo>
              <x14:borderColor theme="0"/>
              <x14:negativeFillColor rgb="FFFF0000"/>
              <x14:axisColor rgb="FF000000"/>
            </x14:dataBar>
          </x14:cfRule>
          <xm:sqref>BQ330</xm:sqref>
        </x14:conditionalFormatting>
        <x14:conditionalFormatting xmlns:xm="http://schemas.microsoft.com/office/excel/2006/main">
          <x14:cfRule type="dataBar" id="{644502B0-EE30-4C11-9344-1F518598CEDD}">
            <x14:dataBar minLength="0" maxLength="100" border="1" gradient="0">
              <x14:cfvo type="num">
                <xm:f>0</xm:f>
              </x14:cfvo>
              <x14:cfvo type="num">
                <xm:f>1</xm:f>
              </x14:cfvo>
              <x14:borderColor theme="0"/>
              <x14:negativeFillColor rgb="FFFF0000"/>
              <x14:axisColor rgb="FF000000"/>
            </x14:dataBar>
          </x14:cfRule>
          <xm:sqref>BQ332</xm:sqref>
        </x14:conditionalFormatting>
        <x14:conditionalFormatting xmlns:xm="http://schemas.microsoft.com/office/excel/2006/main">
          <x14:cfRule type="dataBar" id="{A5FA641D-E7DC-4E66-B0F4-84736D192070}">
            <x14:dataBar minLength="0" maxLength="100" border="1" gradient="0">
              <x14:cfvo type="num">
                <xm:f>0</xm:f>
              </x14:cfvo>
              <x14:cfvo type="num">
                <xm:f>1</xm:f>
              </x14:cfvo>
              <x14:borderColor theme="0"/>
              <x14:negativeFillColor rgb="FFFF0000"/>
              <x14:axisColor rgb="FF000000"/>
            </x14:dataBar>
          </x14:cfRule>
          <xm:sqref>BQ334</xm:sqref>
        </x14:conditionalFormatting>
        <x14:conditionalFormatting xmlns:xm="http://schemas.microsoft.com/office/excel/2006/main">
          <x14:cfRule type="dataBar" id="{7C1C22F4-AE93-412D-852E-2A49725E65AC}">
            <x14:dataBar minLength="0" maxLength="100" border="1" gradient="0">
              <x14:cfvo type="num">
                <xm:f>0</xm:f>
              </x14:cfvo>
              <x14:cfvo type="num">
                <xm:f>1</xm:f>
              </x14:cfvo>
              <x14:borderColor theme="0"/>
              <x14:negativeFillColor rgb="FFFF0000"/>
              <x14:axisColor rgb="FF000000"/>
            </x14:dataBar>
          </x14:cfRule>
          <xm:sqref>BQ336</xm:sqref>
        </x14:conditionalFormatting>
        <x14:conditionalFormatting xmlns:xm="http://schemas.microsoft.com/office/excel/2006/main">
          <x14:cfRule type="dataBar" id="{DCC08581-3903-42B3-9B64-893211FDFA5B}">
            <x14:dataBar minLength="0" maxLength="100" border="1" gradient="0">
              <x14:cfvo type="num">
                <xm:f>0</xm:f>
              </x14:cfvo>
              <x14:cfvo type="num">
                <xm:f>1</xm:f>
              </x14:cfvo>
              <x14:borderColor theme="0"/>
              <x14:negativeFillColor rgb="FFFF0000"/>
              <x14:axisColor rgb="FF000000"/>
            </x14:dataBar>
          </x14:cfRule>
          <xm:sqref>BQ338</xm:sqref>
        </x14:conditionalFormatting>
        <x14:conditionalFormatting xmlns:xm="http://schemas.microsoft.com/office/excel/2006/main">
          <x14:cfRule type="dataBar" id="{03A03885-C0CF-4E0C-BC93-A632ECC44061}">
            <x14:dataBar minLength="0" maxLength="100" border="1" gradient="0">
              <x14:cfvo type="num">
                <xm:f>0</xm:f>
              </x14:cfvo>
              <x14:cfvo type="num">
                <xm:f>1</xm:f>
              </x14:cfvo>
              <x14:borderColor theme="0"/>
              <x14:negativeFillColor rgb="FFFF0000"/>
              <x14:axisColor rgb="FF000000"/>
            </x14:dataBar>
          </x14:cfRule>
          <xm:sqref>BQ340</xm:sqref>
        </x14:conditionalFormatting>
        <x14:conditionalFormatting xmlns:xm="http://schemas.microsoft.com/office/excel/2006/main">
          <x14:cfRule type="dataBar" id="{99E47FED-444D-4891-A3B3-8836AB1751BA}">
            <x14:dataBar minLength="0" maxLength="100" border="1" gradient="0">
              <x14:cfvo type="num">
                <xm:f>0</xm:f>
              </x14:cfvo>
              <x14:cfvo type="num">
                <xm:f>1</xm:f>
              </x14:cfvo>
              <x14:borderColor theme="0"/>
              <x14:negativeFillColor rgb="FFFF0000"/>
              <x14:axisColor rgb="FF000000"/>
            </x14:dataBar>
          </x14:cfRule>
          <xm:sqref>BQ342</xm:sqref>
        </x14:conditionalFormatting>
        <x14:conditionalFormatting xmlns:xm="http://schemas.microsoft.com/office/excel/2006/main">
          <x14:cfRule type="dataBar" id="{CEE279F5-0653-4C15-AC56-545B1AAD0F27}">
            <x14:dataBar minLength="0" maxLength="100" border="1" gradient="0">
              <x14:cfvo type="num">
                <xm:f>0</xm:f>
              </x14:cfvo>
              <x14:cfvo type="num">
                <xm:f>1</xm:f>
              </x14:cfvo>
              <x14:borderColor theme="0"/>
              <x14:negativeFillColor rgb="FFFF0000"/>
              <x14:axisColor rgb="FF000000"/>
            </x14:dataBar>
          </x14:cfRule>
          <xm:sqref>BQ344</xm:sqref>
        </x14:conditionalFormatting>
        <x14:conditionalFormatting xmlns:xm="http://schemas.microsoft.com/office/excel/2006/main">
          <x14:cfRule type="dataBar" id="{D7D21922-DCB5-4E15-999E-3FB3A6DCC85B}">
            <x14:dataBar minLength="0" maxLength="100" border="1" gradient="0">
              <x14:cfvo type="num">
                <xm:f>0</xm:f>
              </x14:cfvo>
              <x14:cfvo type="num">
                <xm:f>1</xm:f>
              </x14:cfvo>
              <x14:borderColor theme="0"/>
              <x14:negativeFillColor rgb="FFFF0000"/>
              <x14:axisColor rgb="FF000000"/>
            </x14:dataBar>
          </x14:cfRule>
          <xm:sqref>BQ346</xm:sqref>
        </x14:conditionalFormatting>
        <x14:conditionalFormatting xmlns:xm="http://schemas.microsoft.com/office/excel/2006/main">
          <x14:cfRule type="dataBar" id="{A47BF131-78D4-4B02-81EE-D2731E2B66C3}">
            <x14:dataBar minLength="0" maxLength="100" border="1" gradient="0">
              <x14:cfvo type="num">
                <xm:f>0</xm:f>
              </x14:cfvo>
              <x14:cfvo type="num">
                <xm:f>1</xm:f>
              </x14:cfvo>
              <x14:borderColor theme="0"/>
              <x14:negativeFillColor rgb="FFFF0000"/>
              <x14:axisColor rgb="FF000000"/>
            </x14:dataBar>
          </x14:cfRule>
          <xm:sqref>BQ348</xm:sqref>
        </x14:conditionalFormatting>
        <x14:conditionalFormatting xmlns:xm="http://schemas.microsoft.com/office/excel/2006/main">
          <x14:cfRule type="dataBar" id="{60070F10-F81C-4D01-9C5D-C027F0354856}">
            <x14:dataBar minLength="0" maxLength="100" border="1" gradient="0">
              <x14:cfvo type="num">
                <xm:f>0</xm:f>
              </x14:cfvo>
              <x14:cfvo type="num">
                <xm:f>1</xm:f>
              </x14:cfvo>
              <x14:borderColor theme="0"/>
              <x14:negativeFillColor rgb="FFFF0000"/>
              <x14:axisColor rgb="FF000000"/>
            </x14:dataBar>
          </x14:cfRule>
          <xm:sqref>BQ350</xm:sqref>
        </x14:conditionalFormatting>
        <x14:conditionalFormatting xmlns:xm="http://schemas.microsoft.com/office/excel/2006/main">
          <x14:cfRule type="dataBar" id="{B6217313-398F-49D8-82C5-EBF0A455B14D}">
            <x14:dataBar minLength="0" maxLength="100" border="1" gradient="0">
              <x14:cfvo type="num">
                <xm:f>0</xm:f>
              </x14:cfvo>
              <x14:cfvo type="num">
                <xm:f>1</xm:f>
              </x14:cfvo>
              <x14:borderColor theme="0"/>
              <x14:negativeFillColor rgb="FFFF0000"/>
              <x14:axisColor rgb="FF000000"/>
            </x14:dataBar>
          </x14:cfRule>
          <xm:sqref>BQ352</xm:sqref>
        </x14:conditionalFormatting>
        <x14:conditionalFormatting xmlns:xm="http://schemas.microsoft.com/office/excel/2006/main">
          <x14:cfRule type="dataBar" id="{87FB8736-6836-48E8-A5AE-C55ED5BF4D46}">
            <x14:dataBar minLength="0" maxLength="100" border="1" gradient="0">
              <x14:cfvo type="num">
                <xm:f>0</xm:f>
              </x14:cfvo>
              <x14:cfvo type="num">
                <xm:f>1</xm:f>
              </x14:cfvo>
              <x14:borderColor theme="0"/>
              <x14:negativeFillColor rgb="FFFF0000"/>
              <x14:axisColor rgb="FF000000"/>
            </x14:dataBar>
          </x14:cfRule>
          <xm:sqref>BQ354</xm:sqref>
        </x14:conditionalFormatting>
        <x14:conditionalFormatting xmlns:xm="http://schemas.microsoft.com/office/excel/2006/main">
          <x14:cfRule type="dataBar" id="{F526F6E0-DE40-4DAF-B29E-B14461B81670}">
            <x14:dataBar minLength="0" maxLength="100" border="1" gradient="0">
              <x14:cfvo type="num">
                <xm:f>0</xm:f>
              </x14:cfvo>
              <x14:cfvo type="num">
                <xm:f>1</xm:f>
              </x14:cfvo>
              <x14:borderColor theme="0"/>
              <x14:negativeFillColor rgb="FFFF0000"/>
              <x14:axisColor rgb="FF000000"/>
            </x14:dataBar>
          </x14:cfRule>
          <xm:sqref>BQ356</xm:sqref>
        </x14:conditionalFormatting>
        <x14:conditionalFormatting xmlns:xm="http://schemas.microsoft.com/office/excel/2006/main">
          <x14:cfRule type="dataBar" id="{4BCD8E8D-FD34-417A-92EF-2C733026B2DB}">
            <x14:dataBar minLength="0" maxLength="100" border="1" gradient="0">
              <x14:cfvo type="num">
                <xm:f>0</xm:f>
              </x14:cfvo>
              <x14:cfvo type="num">
                <xm:f>1</xm:f>
              </x14:cfvo>
              <x14:borderColor theme="0"/>
              <x14:negativeFillColor rgb="FFFF0000"/>
              <x14:axisColor rgb="FF000000"/>
            </x14:dataBar>
          </x14:cfRule>
          <xm:sqref>BQ358</xm:sqref>
        </x14:conditionalFormatting>
        <x14:conditionalFormatting xmlns:xm="http://schemas.microsoft.com/office/excel/2006/main">
          <x14:cfRule type="dataBar" id="{55911767-59B4-4847-A2A3-CAB5800462FE}">
            <x14:dataBar minLength="0" maxLength="100" border="1" gradient="0">
              <x14:cfvo type="num">
                <xm:f>0</xm:f>
              </x14:cfvo>
              <x14:cfvo type="num">
                <xm:f>1</xm:f>
              </x14:cfvo>
              <x14:borderColor theme="0"/>
              <x14:negativeFillColor rgb="FFFF0000"/>
              <x14:axisColor rgb="FF000000"/>
            </x14:dataBar>
          </x14:cfRule>
          <xm:sqref>BQ360</xm:sqref>
        </x14:conditionalFormatting>
        <x14:conditionalFormatting xmlns:xm="http://schemas.microsoft.com/office/excel/2006/main">
          <x14:cfRule type="dataBar" id="{D6190C55-D5AC-42BF-A248-AEDDDB62F4C9}">
            <x14:dataBar minLength="0" maxLength="100" border="1" gradient="0">
              <x14:cfvo type="num">
                <xm:f>0</xm:f>
              </x14:cfvo>
              <x14:cfvo type="num">
                <xm:f>1</xm:f>
              </x14:cfvo>
              <x14:borderColor theme="0"/>
              <x14:negativeFillColor rgb="FFFF0000"/>
              <x14:axisColor rgb="FF000000"/>
            </x14:dataBar>
          </x14:cfRule>
          <xm:sqref>BQ362</xm:sqref>
        </x14:conditionalFormatting>
        <x14:conditionalFormatting xmlns:xm="http://schemas.microsoft.com/office/excel/2006/main">
          <x14:cfRule type="dataBar" id="{786BAC98-873E-497A-83AB-E4BA3A975B70}">
            <x14:dataBar minLength="0" maxLength="100" border="1" gradient="0">
              <x14:cfvo type="num">
                <xm:f>0</xm:f>
              </x14:cfvo>
              <x14:cfvo type="num">
                <xm:f>1</xm:f>
              </x14:cfvo>
              <x14:borderColor theme="0"/>
              <x14:negativeFillColor rgb="FFFF0000"/>
              <x14:axisColor rgb="FF000000"/>
            </x14:dataBar>
          </x14:cfRule>
          <xm:sqref>BQ364</xm:sqref>
        </x14:conditionalFormatting>
        <x14:conditionalFormatting xmlns:xm="http://schemas.microsoft.com/office/excel/2006/main">
          <x14:cfRule type="dataBar" id="{44436172-B4FD-43C1-BABE-3E8C3221BC3A}">
            <x14:dataBar minLength="0" maxLength="100" border="1" gradient="0">
              <x14:cfvo type="num">
                <xm:f>0</xm:f>
              </x14:cfvo>
              <x14:cfvo type="num">
                <xm:f>1</xm:f>
              </x14:cfvo>
              <x14:borderColor theme="0"/>
              <x14:negativeFillColor rgb="FFFF0000"/>
              <x14:axisColor rgb="FF000000"/>
            </x14:dataBar>
          </x14:cfRule>
          <xm:sqref>BQ366</xm:sqref>
        </x14:conditionalFormatting>
        <x14:conditionalFormatting xmlns:xm="http://schemas.microsoft.com/office/excel/2006/main">
          <x14:cfRule type="dataBar" id="{2A559D10-1218-46D6-8F22-1D7D80A26E55}">
            <x14:dataBar minLength="0" maxLength="100" border="1" gradient="0">
              <x14:cfvo type="num">
                <xm:f>0</xm:f>
              </x14:cfvo>
              <x14:cfvo type="num">
                <xm:f>1</xm:f>
              </x14:cfvo>
              <x14:borderColor theme="0"/>
              <x14:negativeFillColor rgb="FFFF0000"/>
              <x14:axisColor rgb="FF000000"/>
            </x14:dataBar>
          </x14:cfRule>
          <xm:sqref>BQ368</xm:sqref>
        </x14:conditionalFormatting>
        <x14:conditionalFormatting xmlns:xm="http://schemas.microsoft.com/office/excel/2006/main">
          <x14:cfRule type="dataBar" id="{CC9E9357-1A20-4A8D-8DE3-C58AFC6FDB20}">
            <x14:dataBar minLength="0" maxLength="100" border="1" gradient="0">
              <x14:cfvo type="num">
                <xm:f>0</xm:f>
              </x14:cfvo>
              <x14:cfvo type="num">
                <xm:f>1</xm:f>
              </x14:cfvo>
              <x14:borderColor theme="0"/>
              <x14:negativeFillColor rgb="FFFF0000"/>
              <x14:axisColor rgb="FF000000"/>
            </x14:dataBar>
          </x14:cfRule>
          <xm:sqref>BQ370</xm:sqref>
        </x14:conditionalFormatting>
        <x14:conditionalFormatting xmlns:xm="http://schemas.microsoft.com/office/excel/2006/main">
          <x14:cfRule type="dataBar" id="{61A967B8-5F50-4912-86B0-9B51DAFF3091}">
            <x14:dataBar minLength="0" maxLength="100" border="1" gradient="0">
              <x14:cfvo type="num">
                <xm:f>0</xm:f>
              </x14:cfvo>
              <x14:cfvo type="num">
                <xm:f>1</xm:f>
              </x14:cfvo>
              <x14:borderColor theme="0"/>
              <x14:negativeFillColor rgb="FFFF0000"/>
              <x14:axisColor rgb="FF000000"/>
            </x14:dataBar>
          </x14:cfRule>
          <xm:sqref>BQ372</xm:sqref>
        </x14:conditionalFormatting>
        <x14:conditionalFormatting xmlns:xm="http://schemas.microsoft.com/office/excel/2006/main">
          <x14:cfRule type="dataBar" id="{067BA56B-4E61-4C43-AD2C-D521F8E83EE0}">
            <x14:dataBar minLength="0" maxLength="100" border="1" gradient="0">
              <x14:cfvo type="num">
                <xm:f>0</xm:f>
              </x14:cfvo>
              <x14:cfvo type="num">
                <xm:f>1</xm:f>
              </x14:cfvo>
              <x14:borderColor theme="0"/>
              <x14:negativeFillColor rgb="FFFF0000"/>
              <x14:axisColor rgb="FF000000"/>
            </x14:dataBar>
          </x14:cfRule>
          <xm:sqref>BQ374</xm:sqref>
        </x14:conditionalFormatting>
        <x14:conditionalFormatting xmlns:xm="http://schemas.microsoft.com/office/excel/2006/main">
          <x14:cfRule type="dataBar" id="{4259EA86-ED36-4C2E-91EF-2C89906E0CD9}">
            <x14:dataBar minLength="0" maxLength="100" border="1" gradient="0">
              <x14:cfvo type="num">
                <xm:f>0</xm:f>
              </x14:cfvo>
              <x14:cfvo type="num">
                <xm:f>1</xm:f>
              </x14:cfvo>
              <x14:borderColor theme="0"/>
              <x14:negativeFillColor rgb="FFFF0000"/>
              <x14:axisColor rgb="FF000000"/>
            </x14:dataBar>
          </x14:cfRule>
          <xm:sqref>BQ376</xm:sqref>
        </x14:conditionalFormatting>
        <x14:conditionalFormatting xmlns:xm="http://schemas.microsoft.com/office/excel/2006/main">
          <x14:cfRule type="dataBar" id="{FD996B21-30E3-4985-9442-141BE3FCE4A6}">
            <x14:dataBar minLength="0" maxLength="100" border="1" gradient="0">
              <x14:cfvo type="num">
                <xm:f>0</xm:f>
              </x14:cfvo>
              <x14:cfvo type="num">
                <xm:f>1</xm:f>
              </x14:cfvo>
              <x14:borderColor theme="0"/>
              <x14:negativeFillColor rgb="FFFF0000"/>
              <x14:axisColor rgb="FF000000"/>
            </x14:dataBar>
          </x14:cfRule>
          <xm:sqref>BQ378</xm:sqref>
        </x14:conditionalFormatting>
        <x14:conditionalFormatting xmlns:xm="http://schemas.microsoft.com/office/excel/2006/main">
          <x14:cfRule type="dataBar" id="{35A8B184-923A-47CE-9E82-A7A8AB5F1A7D}">
            <x14:dataBar minLength="0" maxLength="100" border="1" gradient="0">
              <x14:cfvo type="num">
                <xm:f>0</xm:f>
              </x14:cfvo>
              <x14:cfvo type="num">
                <xm:f>1</xm:f>
              </x14:cfvo>
              <x14:borderColor theme="0"/>
              <x14:negativeFillColor rgb="FFFF0000"/>
              <x14:axisColor rgb="FF000000"/>
            </x14:dataBar>
          </x14:cfRule>
          <xm:sqref>BQ380</xm:sqref>
        </x14:conditionalFormatting>
        <x14:conditionalFormatting xmlns:xm="http://schemas.microsoft.com/office/excel/2006/main">
          <x14:cfRule type="dataBar" id="{A13B9D92-6461-474A-ACCB-CE343CA7170E}">
            <x14:dataBar minLength="0" maxLength="100" border="1" gradient="0">
              <x14:cfvo type="num">
                <xm:f>0</xm:f>
              </x14:cfvo>
              <x14:cfvo type="num">
                <xm:f>1</xm:f>
              </x14:cfvo>
              <x14:borderColor theme="0"/>
              <x14:negativeFillColor rgb="FFFF0000"/>
              <x14:axisColor rgb="FF000000"/>
            </x14:dataBar>
          </x14:cfRule>
          <xm:sqref>BQ382</xm:sqref>
        </x14:conditionalFormatting>
        <x14:conditionalFormatting xmlns:xm="http://schemas.microsoft.com/office/excel/2006/main">
          <x14:cfRule type="dataBar" id="{79CBD54F-2E3C-4EBB-A620-6A6F40A8508C}">
            <x14:dataBar minLength="0" maxLength="100" border="1" gradient="0">
              <x14:cfvo type="num">
                <xm:f>0</xm:f>
              </x14:cfvo>
              <x14:cfvo type="num">
                <xm:f>1</xm:f>
              </x14:cfvo>
              <x14:borderColor theme="0"/>
              <x14:negativeFillColor rgb="FFFF0000"/>
              <x14:axisColor rgb="FF000000"/>
            </x14:dataBar>
          </x14:cfRule>
          <xm:sqref>BQ384</xm:sqref>
        </x14:conditionalFormatting>
        <x14:conditionalFormatting xmlns:xm="http://schemas.microsoft.com/office/excel/2006/main">
          <x14:cfRule type="dataBar" id="{2EDB75C6-E4F1-47B1-8AE4-5C734AA5FB93}">
            <x14:dataBar minLength="0" maxLength="100" border="1" gradient="0">
              <x14:cfvo type="num">
                <xm:f>0</xm:f>
              </x14:cfvo>
              <x14:cfvo type="num">
                <xm:f>1</xm:f>
              </x14:cfvo>
              <x14:borderColor theme="0"/>
              <x14:negativeFillColor rgb="FFFF0000"/>
              <x14:axisColor rgb="FF000000"/>
            </x14:dataBar>
          </x14:cfRule>
          <xm:sqref>BQ386</xm:sqref>
        </x14:conditionalFormatting>
        <x14:conditionalFormatting xmlns:xm="http://schemas.microsoft.com/office/excel/2006/main">
          <x14:cfRule type="dataBar" id="{C296530F-DC9F-4E4B-840A-3A3A7D830143}">
            <x14:dataBar minLength="0" maxLength="100" border="1" gradient="0">
              <x14:cfvo type="num">
                <xm:f>0</xm:f>
              </x14:cfvo>
              <x14:cfvo type="num">
                <xm:f>1</xm:f>
              </x14:cfvo>
              <x14:borderColor theme="0"/>
              <x14:negativeFillColor rgb="FFFF0000"/>
              <x14:axisColor rgb="FF000000"/>
            </x14:dataBar>
          </x14:cfRule>
          <xm:sqref>BQ388</xm:sqref>
        </x14:conditionalFormatting>
        <x14:conditionalFormatting xmlns:xm="http://schemas.microsoft.com/office/excel/2006/main">
          <x14:cfRule type="dataBar" id="{E4644879-6E02-41F5-AE9C-A4286164AAF0}">
            <x14:dataBar minLength="0" maxLength="100" border="1" gradient="0">
              <x14:cfvo type="num">
                <xm:f>0</xm:f>
              </x14:cfvo>
              <x14:cfvo type="num">
                <xm:f>1</xm:f>
              </x14:cfvo>
              <x14:borderColor theme="0"/>
              <x14:negativeFillColor rgb="FFFF0000"/>
              <x14:axisColor rgb="FF000000"/>
            </x14:dataBar>
          </x14:cfRule>
          <xm:sqref>BQ390</xm:sqref>
        </x14:conditionalFormatting>
        <x14:conditionalFormatting xmlns:xm="http://schemas.microsoft.com/office/excel/2006/main">
          <x14:cfRule type="dataBar" id="{B7D49CCA-04D7-48A4-8831-3833AA951C81}">
            <x14:dataBar minLength="0" maxLength="100" border="1" gradient="0">
              <x14:cfvo type="num">
                <xm:f>0</xm:f>
              </x14:cfvo>
              <x14:cfvo type="num">
                <xm:f>1</xm:f>
              </x14:cfvo>
              <x14:borderColor theme="0"/>
              <x14:negativeFillColor rgb="FFFF0000"/>
              <x14:axisColor rgb="FF000000"/>
            </x14:dataBar>
          </x14:cfRule>
          <xm:sqref>BQ393</xm:sqref>
        </x14:conditionalFormatting>
        <x14:conditionalFormatting xmlns:xm="http://schemas.microsoft.com/office/excel/2006/main">
          <x14:cfRule type="dataBar" id="{8D9A7F62-AC6A-443A-B26C-A45FC594D689}">
            <x14:dataBar minLength="0" maxLength="100" border="1" gradient="0">
              <x14:cfvo type="num">
                <xm:f>0</xm:f>
              </x14:cfvo>
              <x14:cfvo type="num">
                <xm:f>1</xm:f>
              </x14:cfvo>
              <x14:borderColor theme="0"/>
              <x14:negativeFillColor rgb="FFFF0000"/>
              <x14:axisColor rgb="FF000000"/>
            </x14:dataBar>
          </x14:cfRule>
          <xm:sqref>BQ395</xm:sqref>
        </x14:conditionalFormatting>
        <x14:conditionalFormatting xmlns:xm="http://schemas.microsoft.com/office/excel/2006/main">
          <x14:cfRule type="dataBar" id="{27BB3A3D-82E8-41C2-BCD6-717912233012}">
            <x14:dataBar minLength="0" maxLength="100" border="1" gradient="0">
              <x14:cfvo type="num">
                <xm:f>0</xm:f>
              </x14:cfvo>
              <x14:cfvo type="num">
                <xm:f>1</xm:f>
              </x14:cfvo>
              <x14:borderColor theme="0"/>
              <x14:negativeFillColor rgb="FFFF0000"/>
              <x14:axisColor rgb="FF000000"/>
            </x14:dataBar>
          </x14:cfRule>
          <xm:sqref>BQ397</xm:sqref>
        </x14:conditionalFormatting>
        <x14:conditionalFormatting xmlns:xm="http://schemas.microsoft.com/office/excel/2006/main">
          <x14:cfRule type="dataBar" id="{648A8D09-3F60-4F36-BCE3-4CEBCC0DF270}">
            <x14:dataBar minLength="0" maxLength="100" border="1" gradient="0">
              <x14:cfvo type="num">
                <xm:f>0</xm:f>
              </x14:cfvo>
              <x14:cfvo type="num">
                <xm:f>1</xm:f>
              </x14:cfvo>
              <x14:borderColor theme="0"/>
              <x14:negativeFillColor rgb="FFFF0000"/>
              <x14:axisColor rgb="FF000000"/>
            </x14:dataBar>
          </x14:cfRule>
          <xm:sqref>BQ399</xm:sqref>
        </x14:conditionalFormatting>
        <x14:conditionalFormatting xmlns:xm="http://schemas.microsoft.com/office/excel/2006/main">
          <x14:cfRule type="dataBar" id="{5994A7ED-D886-4C12-8446-A664BD3C5DCF}">
            <x14:dataBar minLength="0" maxLength="100" border="1" gradient="0">
              <x14:cfvo type="num">
                <xm:f>0</xm:f>
              </x14:cfvo>
              <x14:cfvo type="num">
                <xm:f>1</xm:f>
              </x14:cfvo>
              <x14:borderColor theme="0"/>
              <x14:negativeFillColor rgb="FFFF0000"/>
              <x14:axisColor rgb="FF000000"/>
            </x14:dataBar>
          </x14:cfRule>
          <xm:sqref>BQ401</xm:sqref>
        </x14:conditionalFormatting>
        <x14:conditionalFormatting xmlns:xm="http://schemas.microsoft.com/office/excel/2006/main">
          <x14:cfRule type="dataBar" id="{985346AC-563C-448C-BBE4-DD3D592229BC}">
            <x14:dataBar minLength="0" maxLength="100" border="1" gradient="0">
              <x14:cfvo type="num">
                <xm:f>0</xm:f>
              </x14:cfvo>
              <x14:cfvo type="num">
                <xm:f>1</xm:f>
              </x14:cfvo>
              <x14:borderColor theme="0"/>
              <x14:negativeFillColor rgb="FFFF0000"/>
              <x14:axisColor rgb="FF000000"/>
            </x14:dataBar>
          </x14:cfRule>
          <xm:sqref>BQ403</xm:sqref>
        </x14:conditionalFormatting>
        <x14:conditionalFormatting xmlns:xm="http://schemas.microsoft.com/office/excel/2006/main">
          <x14:cfRule type="dataBar" id="{FCBE4B5E-7448-42BD-90D8-E968B33502FE}">
            <x14:dataBar minLength="0" maxLength="100" border="1" gradient="0">
              <x14:cfvo type="num">
                <xm:f>0</xm:f>
              </x14:cfvo>
              <x14:cfvo type="num">
                <xm:f>1</xm:f>
              </x14:cfvo>
              <x14:borderColor theme="0"/>
              <x14:negativeFillColor rgb="FFFF0000"/>
              <x14:axisColor rgb="FF000000"/>
            </x14:dataBar>
          </x14:cfRule>
          <xm:sqref>BQ405</xm:sqref>
        </x14:conditionalFormatting>
        <x14:conditionalFormatting xmlns:xm="http://schemas.microsoft.com/office/excel/2006/main">
          <x14:cfRule type="dataBar" id="{E7A12D91-AAB7-4D34-87CE-06B6168E5263}">
            <x14:dataBar minLength="0" maxLength="100" border="1" gradient="0">
              <x14:cfvo type="num">
                <xm:f>0</xm:f>
              </x14:cfvo>
              <x14:cfvo type="num">
                <xm:f>1</xm:f>
              </x14:cfvo>
              <x14:borderColor theme="0"/>
              <x14:negativeFillColor rgb="FFFF0000"/>
              <x14:axisColor rgb="FF000000"/>
            </x14:dataBar>
          </x14:cfRule>
          <xm:sqref>BQ407</xm:sqref>
        </x14:conditionalFormatting>
        <x14:conditionalFormatting xmlns:xm="http://schemas.microsoft.com/office/excel/2006/main">
          <x14:cfRule type="dataBar" id="{D42A2A3A-58B4-4087-B48E-B0E8E1D78E98}">
            <x14:dataBar minLength="0" maxLength="100" border="1" gradient="0">
              <x14:cfvo type="num">
                <xm:f>0</xm:f>
              </x14:cfvo>
              <x14:cfvo type="num">
                <xm:f>1</xm:f>
              </x14:cfvo>
              <x14:borderColor theme="0"/>
              <x14:negativeFillColor rgb="FFFF0000"/>
              <x14:axisColor rgb="FF000000"/>
            </x14:dataBar>
          </x14:cfRule>
          <xm:sqref>BQ409</xm:sqref>
        </x14:conditionalFormatting>
        <x14:conditionalFormatting xmlns:xm="http://schemas.microsoft.com/office/excel/2006/main">
          <x14:cfRule type="dataBar" id="{1CBDD50C-C6E4-41CC-B151-C1BF645E272A}">
            <x14:dataBar minLength="0" maxLength="100" border="1" gradient="0">
              <x14:cfvo type="num">
                <xm:f>0</xm:f>
              </x14:cfvo>
              <x14:cfvo type="num">
                <xm:f>1</xm:f>
              </x14:cfvo>
              <x14:borderColor theme="0"/>
              <x14:negativeFillColor rgb="FFFF0000"/>
              <x14:axisColor rgb="FF000000"/>
            </x14:dataBar>
          </x14:cfRule>
          <xm:sqref>BQ411</xm:sqref>
        </x14:conditionalFormatting>
        <x14:conditionalFormatting xmlns:xm="http://schemas.microsoft.com/office/excel/2006/main">
          <x14:cfRule type="dataBar" id="{61129B6B-2C9A-4722-82FE-148143FA91B4}">
            <x14:dataBar minLength="0" maxLength="100" border="1" gradient="0">
              <x14:cfvo type="num">
                <xm:f>0</xm:f>
              </x14:cfvo>
              <x14:cfvo type="num">
                <xm:f>1</xm:f>
              </x14:cfvo>
              <x14:borderColor theme="0"/>
              <x14:negativeFillColor rgb="FFFF0000"/>
              <x14:axisColor rgb="FF000000"/>
            </x14:dataBar>
          </x14:cfRule>
          <xm:sqref>BQ413</xm:sqref>
        </x14:conditionalFormatting>
        <x14:conditionalFormatting xmlns:xm="http://schemas.microsoft.com/office/excel/2006/main">
          <x14:cfRule type="dataBar" id="{FAEEE11D-E226-4139-AE1D-3C266A95CCAE}">
            <x14:dataBar minLength="0" maxLength="100" border="1" gradient="0">
              <x14:cfvo type="num">
                <xm:f>0</xm:f>
              </x14:cfvo>
              <x14:cfvo type="num">
                <xm:f>1</xm:f>
              </x14:cfvo>
              <x14:borderColor theme="0"/>
              <x14:negativeFillColor rgb="FFFF0000"/>
              <x14:axisColor rgb="FF000000"/>
            </x14:dataBar>
          </x14:cfRule>
          <xm:sqref>BQ415</xm:sqref>
        </x14:conditionalFormatting>
        <x14:conditionalFormatting xmlns:xm="http://schemas.microsoft.com/office/excel/2006/main">
          <x14:cfRule type="dataBar" id="{F7C89272-F7E5-406F-9A8E-7A992F9C1A75}">
            <x14:dataBar minLength="0" maxLength="100" border="1" gradient="0">
              <x14:cfvo type="num">
                <xm:f>0</xm:f>
              </x14:cfvo>
              <x14:cfvo type="num">
                <xm:f>1</xm:f>
              </x14:cfvo>
              <x14:borderColor theme="0"/>
              <x14:negativeFillColor rgb="FFFF0000"/>
              <x14:axisColor rgb="FF000000"/>
            </x14:dataBar>
          </x14:cfRule>
          <xm:sqref>BQ417</xm:sqref>
        </x14:conditionalFormatting>
        <x14:conditionalFormatting xmlns:xm="http://schemas.microsoft.com/office/excel/2006/main">
          <x14:cfRule type="dataBar" id="{556E7CD3-8467-4381-9F8D-C41145C7AB6A}">
            <x14:dataBar minLength="0" maxLength="100" border="1" gradient="0">
              <x14:cfvo type="num">
                <xm:f>0</xm:f>
              </x14:cfvo>
              <x14:cfvo type="num">
                <xm:f>1</xm:f>
              </x14:cfvo>
              <x14:borderColor theme="0"/>
              <x14:negativeFillColor rgb="FFFF0000"/>
              <x14:axisColor rgb="FF000000"/>
            </x14:dataBar>
          </x14:cfRule>
          <xm:sqref>BQ419</xm:sqref>
        </x14:conditionalFormatting>
        <x14:conditionalFormatting xmlns:xm="http://schemas.microsoft.com/office/excel/2006/main">
          <x14:cfRule type="dataBar" id="{FCA2CA8B-D8FC-4C91-85E3-2360C508ED3D}">
            <x14:dataBar minLength="0" maxLength="100" border="1" gradient="0">
              <x14:cfvo type="num">
                <xm:f>0</xm:f>
              </x14:cfvo>
              <x14:cfvo type="num">
                <xm:f>1</xm:f>
              </x14:cfvo>
              <x14:borderColor theme="0"/>
              <x14:negativeFillColor rgb="FFFF0000"/>
              <x14:axisColor rgb="FF000000"/>
            </x14:dataBar>
          </x14:cfRule>
          <xm:sqref>BQ421</xm:sqref>
        </x14:conditionalFormatting>
        <x14:conditionalFormatting xmlns:xm="http://schemas.microsoft.com/office/excel/2006/main">
          <x14:cfRule type="dataBar" id="{D30D8913-4A64-4CDC-8964-C822F65E2261}">
            <x14:dataBar minLength="0" maxLength="100" border="1" gradient="0">
              <x14:cfvo type="num">
                <xm:f>0</xm:f>
              </x14:cfvo>
              <x14:cfvo type="num">
                <xm:f>1</xm:f>
              </x14:cfvo>
              <x14:borderColor theme="0"/>
              <x14:negativeFillColor rgb="FFFF0000"/>
              <x14:axisColor rgb="FF000000"/>
            </x14:dataBar>
          </x14:cfRule>
          <xm:sqref>BQ423</xm:sqref>
        </x14:conditionalFormatting>
        <x14:conditionalFormatting xmlns:xm="http://schemas.microsoft.com/office/excel/2006/main">
          <x14:cfRule type="dataBar" id="{859029C0-C50C-43C2-A2C9-4C815320E5A6}">
            <x14:dataBar minLength="0" maxLength="100" border="1" gradient="0">
              <x14:cfvo type="num">
                <xm:f>0</xm:f>
              </x14:cfvo>
              <x14:cfvo type="num">
                <xm:f>1</xm:f>
              </x14:cfvo>
              <x14:borderColor theme="0"/>
              <x14:negativeFillColor rgb="FFFF0000"/>
              <x14:axisColor rgb="FF000000"/>
            </x14:dataBar>
          </x14:cfRule>
          <xm:sqref>BQ425</xm:sqref>
        </x14:conditionalFormatting>
        <x14:conditionalFormatting xmlns:xm="http://schemas.microsoft.com/office/excel/2006/main">
          <x14:cfRule type="dataBar" id="{927510CF-9440-4783-A784-F225488465D1}">
            <x14:dataBar minLength="0" maxLength="100" border="1" gradient="0">
              <x14:cfvo type="num">
                <xm:f>0</xm:f>
              </x14:cfvo>
              <x14:cfvo type="num">
                <xm:f>1</xm:f>
              </x14:cfvo>
              <x14:borderColor theme="0"/>
              <x14:negativeFillColor rgb="FFFF0000"/>
              <x14:axisColor rgb="FF000000"/>
            </x14:dataBar>
          </x14:cfRule>
          <xm:sqref>BQ428</xm:sqref>
        </x14:conditionalFormatting>
        <x14:conditionalFormatting xmlns:xm="http://schemas.microsoft.com/office/excel/2006/main">
          <x14:cfRule type="dataBar" id="{751AA30A-1056-452D-A07B-4AC403AB7D4D}">
            <x14:dataBar minLength="0" maxLength="100" border="1" gradient="0">
              <x14:cfvo type="num">
                <xm:f>0</xm:f>
              </x14:cfvo>
              <x14:cfvo type="num">
                <xm:f>1</xm:f>
              </x14:cfvo>
              <x14:borderColor theme="0"/>
              <x14:negativeFillColor rgb="FFFF0000"/>
              <x14:axisColor rgb="FF000000"/>
            </x14:dataBar>
          </x14:cfRule>
          <xm:sqref>BQ430</xm:sqref>
        </x14:conditionalFormatting>
        <x14:conditionalFormatting xmlns:xm="http://schemas.microsoft.com/office/excel/2006/main">
          <x14:cfRule type="dataBar" id="{6A7179D1-5CEE-4B55-93C3-D600470F5791}">
            <x14:dataBar minLength="0" maxLength="100" border="1" gradient="0">
              <x14:cfvo type="num">
                <xm:f>0</xm:f>
              </x14:cfvo>
              <x14:cfvo type="num">
                <xm:f>1</xm:f>
              </x14:cfvo>
              <x14:borderColor theme="0"/>
              <x14:negativeFillColor rgb="FFFF0000"/>
              <x14:axisColor rgb="FF000000"/>
            </x14:dataBar>
          </x14:cfRule>
          <xm:sqref>BQ432</xm:sqref>
        </x14:conditionalFormatting>
        <x14:conditionalFormatting xmlns:xm="http://schemas.microsoft.com/office/excel/2006/main">
          <x14:cfRule type="dataBar" id="{D8071E7C-3040-4AF7-92AE-045AC95414C0}">
            <x14:dataBar minLength="0" maxLength="100" border="1" gradient="0">
              <x14:cfvo type="num">
                <xm:f>0</xm:f>
              </x14:cfvo>
              <x14:cfvo type="num">
                <xm:f>1</xm:f>
              </x14:cfvo>
              <x14:borderColor theme="0"/>
              <x14:negativeFillColor rgb="FFFF0000"/>
              <x14:axisColor rgb="FF000000"/>
            </x14:dataBar>
          </x14:cfRule>
          <xm:sqref>BQ434</xm:sqref>
        </x14:conditionalFormatting>
        <x14:conditionalFormatting xmlns:xm="http://schemas.microsoft.com/office/excel/2006/main">
          <x14:cfRule type="dataBar" id="{3A3BE270-8C2D-4181-B647-B126E1C8FB59}">
            <x14:dataBar minLength="0" maxLength="100" border="1" gradient="0">
              <x14:cfvo type="num">
                <xm:f>0</xm:f>
              </x14:cfvo>
              <x14:cfvo type="num">
                <xm:f>1</xm:f>
              </x14:cfvo>
              <x14:borderColor theme="0"/>
              <x14:negativeFillColor rgb="FFFF0000"/>
              <x14:axisColor rgb="FF000000"/>
            </x14:dataBar>
          </x14:cfRule>
          <xm:sqref>BQ436</xm:sqref>
        </x14:conditionalFormatting>
        <x14:conditionalFormatting xmlns:xm="http://schemas.microsoft.com/office/excel/2006/main">
          <x14:cfRule type="dataBar" id="{B6E18F57-9D1A-4B6A-9D90-1E3D17D4B73D}">
            <x14:dataBar minLength="0" maxLength="100" border="1" gradient="0">
              <x14:cfvo type="num">
                <xm:f>0</xm:f>
              </x14:cfvo>
              <x14:cfvo type="num">
                <xm:f>1</xm:f>
              </x14:cfvo>
              <x14:borderColor theme="0"/>
              <x14:negativeFillColor rgb="FFFF0000"/>
              <x14:axisColor rgb="FF000000"/>
            </x14:dataBar>
          </x14:cfRule>
          <xm:sqref>BQ438</xm:sqref>
        </x14:conditionalFormatting>
        <x14:conditionalFormatting xmlns:xm="http://schemas.microsoft.com/office/excel/2006/main">
          <x14:cfRule type="dataBar" id="{5C6AEFC6-3B6D-4D4C-8841-076D397A8B47}">
            <x14:dataBar minLength="0" maxLength="100" border="1" gradient="0">
              <x14:cfvo type="num">
                <xm:f>0</xm:f>
              </x14:cfvo>
              <x14:cfvo type="num">
                <xm:f>1</xm:f>
              </x14:cfvo>
              <x14:borderColor theme="0"/>
              <x14:negativeFillColor rgb="FFFF0000"/>
              <x14:axisColor rgb="FF000000"/>
            </x14:dataBar>
          </x14:cfRule>
          <xm:sqref>BQ440</xm:sqref>
        </x14:conditionalFormatting>
        <x14:conditionalFormatting xmlns:xm="http://schemas.microsoft.com/office/excel/2006/main">
          <x14:cfRule type="dataBar" id="{4EF4249B-0F5B-4692-8B57-10AF82EA5C22}">
            <x14:dataBar minLength="0" maxLength="100" border="1" gradient="0">
              <x14:cfvo type="num">
                <xm:f>0</xm:f>
              </x14:cfvo>
              <x14:cfvo type="num">
                <xm:f>1</xm:f>
              </x14:cfvo>
              <x14:borderColor theme="0"/>
              <x14:negativeFillColor rgb="FFFF0000"/>
              <x14:axisColor rgb="FF000000"/>
            </x14:dataBar>
          </x14:cfRule>
          <xm:sqref>BQ442</xm:sqref>
        </x14:conditionalFormatting>
        <x14:conditionalFormatting xmlns:xm="http://schemas.microsoft.com/office/excel/2006/main">
          <x14:cfRule type="dataBar" id="{B77608EC-5C65-4760-91FF-4C970BED8D1B}">
            <x14:dataBar minLength="0" maxLength="100" border="1" gradient="0">
              <x14:cfvo type="num">
                <xm:f>0</xm:f>
              </x14:cfvo>
              <x14:cfvo type="num">
                <xm:f>1</xm:f>
              </x14:cfvo>
              <x14:borderColor theme="0"/>
              <x14:negativeFillColor rgb="FFFF0000"/>
              <x14:axisColor rgb="FF000000"/>
            </x14:dataBar>
          </x14:cfRule>
          <xm:sqref>BQ444</xm:sqref>
        </x14:conditionalFormatting>
        <x14:conditionalFormatting xmlns:xm="http://schemas.microsoft.com/office/excel/2006/main">
          <x14:cfRule type="dataBar" id="{113F4F87-BEF7-4FC6-B637-E23DD806FAEE}">
            <x14:dataBar minLength="0" maxLength="100" border="1" gradient="0">
              <x14:cfvo type="num">
                <xm:f>0</xm:f>
              </x14:cfvo>
              <x14:cfvo type="num">
                <xm:f>1</xm:f>
              </x14:cfvo>
              <x14:borderColor theme="0"/>
              <x14:negativeFillColor rgb="FFFF0000"/>
              <x14:axisColor rgb="FF000000"/>
            </x14:dataBar>
          </x14:cfRule>
          <xm:sqref>BQ446</xm:sqref>
        </x14:conditionalFormatting>
        <x14:conditionalFormatting xmlns:xm="http://schemas.microsoft.com/office/excel/2006/main">
          <x14:cfRule type="dataBar" id="{EB217AFE-8FE0-4B6D-9C94-308223B78E65}">
            <x14:dataBar minLength="0" maxLength="100" border="1" gradient="0">
              <x14:cfvo type="num">
                <xm:f>0</xm:f>
              </x14:cfvo>
              <x14:cfvo type="num">
                <xm:f>1</xm:f>
              </x14:cfvo>
              <x14:borderColor theme="0"/>
              <x14:negativeFillColor rgb="FFFF0000"/>
              <x14:axisColor rgb="FF000000"/>
            </x14:dataBar>
          </x14:cfRule>
          <xm:sqref>BQ448</xm:sqref>
        </x14:conditionalFormatting>
        <x14:conditionalFormatting xmlns:xm="http://schemas.microsoft.com/office/excel/2006/main">
          <x14:cfRule type="dataBar" id="{1A6670D1-12A6-4E09-9799-7FA6F74AE90D}">
            <x14:dataBar minLength="0" maxLength="100" border="1" gradient="0">
              <x14:cfvo type="num">
                <xm:f>0</xm:f>
              </x14:cfvo>
              <x14:cfvo type="num">
                <xm:f>1</xm:f>
              </x14:cfvo>
              <x14:borderColor theme="0"/>
              <x14:negativeFillColor rgb="FFFF0000"/>
              <x14:axisColor rgb="FF000000"/>
            </x14:dataBar>
          </x14:cfRule>
          <xm:sqref>BQ450</xm:sqref>
        </x14:conditionalFormatting>
        <x14:conditionalFormatting xmlns:xm="http://schemas.microsoft.com/office/excel/2006/main">
          <x14:cfRule type="dataBar" id="{C9F1367B-F3F3-4FE4-B213-717BC7E8AA56}">
            <x14:dataBar minLength="0" maxLength="100" border="1" gradient="0">
              <x14:cfvo type="num">
                <xm:f>0</xm:f>
              </x14:cfvo>
              <x14:cfvo type="num">
                <xm:f>1</xm:f>
              </x14:cfvo>
              <x14:borderColor theme="0"/>
              <x14:negativeFillColor rgb="FFFF0000"/>
              <x14:axisColor rgb="FF000000"/>
            </x14:dataBar>
          </x14:cfRule>
          <xm:sqref>BQ452</xm:sqref>
        </x14:conditionalFormatting>
        <x14:conditionalFormatting xmlns:xm="http://schemas.microsoft.com/office/excel/2006/main">
          <x14:cfRule type="dataBar" id="{A7D2B014-162C-4DA5-8726-258C83ACC83D}">
            <x14:dataBar minLength="0" maxLength="100" border="1" gradient="0">
              <x14:cfvo type="num">
                <xm:f>0</xm:f>
              </x14:cfvo>
              <x14:cfvo type="num">
                <xm:f>1</xm:f>
              </x14:cfvo>
              <x14:borderColor theme="0"/>
              <x14:negativeFillColor rgb="FFFF0000"/>
              <x14:axisColor rgb="FF000000"/>
            </x14:dataBar>
          </x14:cfRule>
          <xm:sqref>BQ454</xm:sqref>
        </x14:conditionalFormatting>
        <x14:conditionalFormatting xmlns:xm="http://schemas.microsoft.com/office/excel/2006/main">
          <x14:cfRule type="dataBar" id="{0B7B706D-86AA-4712-B8F3-7A912470F117}">
            <x14:dataBar minLength="0" maxLength="100" border="1" gradient="0">
              <x14:cfvo type="num">
                <xm:f>0</xm:f>
              </x14:cfvo>
              <x14:cfvo type="num">
                <xm:f>1</xm:f>
              </x14:cfvo>
              <x14:borderColor theme="0"/>
              <x14:negativeFillColor rgb="FFFF0000"/>
              <x14:axisColor rgb="FF000000"/>
            </x14:dataBar>
          </x14:cfRule>
          <xm:sqref>BQ456</xm:sqref>
        </x14:conditionalFormatting>
        <x14:conditionalFormatting xmlns:xm="http://schemas.microsoft.com/office/excel/2006/main">
          <x14:cfRule type="dataBar" id="{B1FACE51-72F8-41D1-A8AE-DF8BB8233CA9}">
            <x14:dataBar minLength="0" maxLength="100" border="1" gradient="0">
              <x14:cfvo type="num">
                <xm:f>0</xm:f>
              </x14:cfvo>
              <x14:cfvo type="num">
                <xm:f>1</xm:f>
              </x14:cfvo>
              <x14:borderColor theme="0"/>
              <x14:negativeFillColor rgb="FFFF0000"/>
              <x14:axisColor rgb="FF000000"/>
            </x14:dataBar>
          </x14:cfRule>
          <xm:sqref>BQ458</xm:sqref>
        </x14:conditionalFormatting>
        <x14:conditionalFormatting xmlns:xm="http://schemas.microsoft.com/office/excel/2006/main">
          <x14:cfRule type="dataBar" id="{3DA9343F-465A-43A2-A169-59AC4612611A}">
            <x14:dataBar minLength="0" maxLength="100" border="1" gradient="0">
              <x14:cfvo type="num">
                <xm:f>0</xm:f>
              </x14:cfvo>
              <x14:cfvo type="num">
                <xm:f>1</xm:f>
              </x14:cfvo>
              <x14:borderColor theme="0"/>
              <x14:negativeFillColor rgb="FFFF0000"/>
              <x14:axisColor rgb="FF000000"/>
            </x14:dataBar>
          </x14:cfRule>
          <xm:sqref>BQ460</xm:sqref>
        </x14:conditionalFormatting>
        <x14:conditionalFormatting xmlns:xm="http://schemas.microsoft.com/office/excel/2006/main">
          <x14:cfRule type="dataBar" id="{21B4AC38-3CFE-42CC-9BB3-68F270A6471B}">
            <x14:dataBar minLength="0" maxLength="100" border="1" gradient="0">
              <x14:cfvo type="num">
                <xm:f>0</xm:f>
              </x14:cfvo>
              <x14:cfvo type="num">
                <xm:f>1</xm:f>
              </x14:cfvo>
              <x14:borderColor theme="0"/>
              <x14:negativeFillColor rgb="FFFF0000"/>
              <x14:axisColor rgb="FF000000"/>
            </x14:dataBar>
          </x14:cfRule>
          <xm:sqref>BQ462</xm:sqref>
        </x14:conditionalFormatting>
        <x14:conditionalFormatting xmlns:xm="http://schemas.microsoft.com/office/excel/2006/main">
          <x14:cfRule type="dataBar" id="{90724829-42EB-46F1-A72F-FB024C8824FE}">
            <x14:dataBar minLength="0" maxLength="100" border="1" gradient="0">
              <x14:cfvo type="num">
                <xm:f>0</xm:f>
              </x14:cfvo>
              <x14:cfvo type="num">
                <xm:f>1</xm:f>
              </x14:cfvo>
              <x14:borderColor theme="0"/>
              <x14:negativeFillColor rgb="FFFF0000"/>
              <x14:axisColor rgb="FF000000"/>
            </x14:dataBar>
          </x14:cfRule>
          <xm:sqref>BQ464</xm:sqref>
        </x14:conditionalFormatting>
        <x14:conditionalFormatting xmlns:xm="http://schemas.microsoft.com/office/excel/2006/main">
          <x14:cfRule type="dataBar" id="{9F001593-6740-4F96-8B4C-F60B55E97B04}">
            <x14:dataBar minLength="0" maxLength="100" border="1" gradient="0">
              <x14:cfvo type="num">
                <xm:f>0</xm:f>
              </x14:cfvo>
              <x14:cfvo type="num">
                <xm:f>1</xm:f>
              </x14:cfvo>
              <x14:borderColor theme="0"/>
              <x14:negativeFillColor rgb="FFFF0000"/>
              <x14:axisColor rgb="FF000000"/>
            </x14:dataBar>
          </x14:cfRule>
          <xm:sqref>BQ466</xm:sqref>
        </x14:conditionalFormatting>
        <x14:conditionalFormatting xmlns:xm="http://schemas.microsoft.com/office/excel/2006/main">
          <x14:cfRule type="dataBar" id="{70264929-D62F-4FD3-9DF9-82FA5DDACAA8}">
            <x14:dataBar minLength="0" maxLength="100" border="1" gradient="0">
              <x14:cfvo type="num">
                <xm:f>0</xm:f>
              </x14:cfvo>
              <x14:cfvo type="num">
                <xm:f>1</xm:f>
              </x14:cfvo>
              <x14:borderColor theme="0"/>
              <x14:negativeFillColor rgb="FFFF0000"/>
              <x14:axisColor rgb="FF000000"/>
            </x14:dataBar>
          </x14:cfRule>
          <xm:sqref>BQ468</xm:sqref>
        </x14:conditionalFormatting>
        <x14:conditionalFormatting xmlns:xm="http://schemas.microsoft.com/office/excel/2006/main">
          <x14:cfRule type="dataBar" id="{BA6CAAD9-FEFD-410D-8FD1-F607C08F2169}">
            <x14:dataBar minLength="0" maxLength="100" border="1" gradient="0">
              <x14:cfvo type="num">
                <xm:f>0</xm:f>
              </x14:cfvo>
              <x14:cfvo type="num">
                <xm:f>1</xm:f>
              </x14:cfvo>
              <x14:borderColor theme="0"/>
              <x14:negativeFillColor rgb="FFFF0000"/>
              <x14:axisColor rgb="FF000000"/>
            </x14:dataBar>
          </x14:cfRule>
          <xm:sqref>BQ470</xm:sqref>
        </x14:conditionalFormatting>
        <x14:conditionalFormatting xmlns:xm="http://schemas.microsoft.com/office/excel/2006/main">
          <x14:cfRule type="dataBar" id="{81CB2ACE-D510-4815-B6A8-C5751DFC1E4F}">
            <x14:dataBar minLength="0" maxLength="100" border="1" gradient="0">
              <x14:cfvo type="num">
                <xm:f>0</xm:f>
              </x14:cfvo>
              <x14:cfvo type="num">
                <xm:f>1</xm:f>
              </x14:cfvo>
              <x14:borderColor theme="0"/>
              <x14:negativeFillColor rgb="FFFF0000"/>
              <x14:axisColor rgb="FF000000"/>
            </x14:dataBar>
          </x14:cfRule>
          <xm:sqref>BQ472</xm:sqref>
        </x14:conditionalFormatting>
        <x14:conditionalFormatting xmlns:xm="http://schemas.microsoft.com/office/excel/2006/main">
          <x14:cfRule type="dataBar" id="{3E79D08E-0B79-41CD-9A6F-7536FA63EAC1}">
            <x14:dataBar minLength="0" maxLength="100" border="1" gradient="0">
              <x14:cfvo type="num">
                <xm:f>0</xm:f>
              </x14:cfvo>
              <x14:cfvo type="num">
                <xm:f>1</xm:f>
              </x14:cfvo>
              <x14:borderColor theme="0"/>
              <x14:negativeFillColor rgb="FFFF0000"/>
              <x14:axisColor rgb="FF000000"/>
            </x14:dataBar>
          </x14:cfRule>
          <xm:sqref>BQ474</xm:sqref>
        </x14:conditionalFormatting>
        <x14:conditionalFormatting xmlns:xm="http://schemas.microsoft.com/office/excel/2006/main">
          <x14:cfRule type="dataBar" id="{C191A324-1592-4B22-9EE6-1D8F5B398F2C}">
            <x14:dataBar minLength="0" maxLength="100" border="1" gradient="0">
              <x14:cfvo type="num">
                <xm:f>0</xm:f>
              </x14:cfvo>
              <x14:cfvo type="num">
                <xm:f>1</xm:f>
              </x14:cfvo>
              <x14:borderColor theme="0"/>
              <x14:negativeFillColor rgb="FFFF0000"/>
              <x14:axisColor rgb="FF000000"/>
            </x14:dataBar>
          </x14:cfRule>
          <xm:sqref>BQ476</xm:sqref>
        </x14:conditionalFormatting>
        <x14:conditionalFormatting xmlns:xm="http://schemas.microsoft.com/office/excel/2006/main">
          <x14:cfRule type="dataBar" id="{AEB9B741-3D17-42F2-A21A-5E581561A181}">
            <x14:dataBar minLength="0" maxLength="100" border="1" gradient="0">
              <x14:cfvo type="num">
                <xm:f>0</xm:f>
              </x14:cfvo>
              <x14:cfvo type="num">
                <xm:f>1</xm:f>
              </x14:cfvo>
              <x14:borderColor theme="0"/>
              <x14:negativeFillColor rgb="FFFF0000"/>
              <x14:axisColor rgb="FF000000"/>
            </x14:dataBar>
          </x14:cfRule>
          <xm:sqref>BQ478</xm:sqref>
        </x14:conditionalFormatting>
        <x14:conditionalFormatting xmlns:xm="http://schemas.microsoft.com/office/excel/2006/main">
          <x14:cfRule type="dataBar" id="{7AC25953-510C-4A63-8961-3CB86C30EC7F}">
            <x14:dataBar minLength="0" maxLength="100" border="1" gradient="0">
              <x14:cfvo type="num">
                <xm:f>0</xm:f>
              </x14:cfvo>
              <x14:cfvo type="num">
                <xm:f>1</xm:f>
              </x14:cfvo>
              <x14:borderColor theme="0"/>
              <x14:negativeFillColor rgb="FFFF0000"/>
              <x14:axisColor rgb="FF000000"/>
            </x14:dataBar>
          </x14:cfRule>
          <xm:sqref>BQ480</xm:sqref>
        </x14:conditionalFormatting>
        <x14:conditionalFormatting xmlns:xm="http://schemas.microsoft.com/office/excel/2006/main">
          <x14:cfRule type="dataBar" id="{3936EB13-C583-45B0-A8ED-0B982C9DF894}">
            <x14:dataBar minLength="0" maxLength="100" border="1" gradient="0">
              <x14:cfvo type="num">
                <xm:f>0</xm:f>
              </x14:cfvo>
              <x14:cfvo type="num">
                <xm:f>1</xm:f>
              </x14:cfvo>
              <x14:borderColor theme="0"/>
              <x14:negativeFillColor rgb="FFFF0000"/>
              <x14:axisColor rgb="FF000000"/>
            </x14:dataBar>
          </x14:cfRule>
          <xm:sqref>BQ482</xm:sqref>
        </x14:conditionalFormatting>
        <x14:conditionalFormatting xmlns:xm="http://schemas.microsoft.com/office/excel/2006/main">
          <x14:cfRule type="dataBar" id="{25AB1AD1-A5A3-4340-851B-18A918EDBBC9}">
            <x14:dataBar minLength="0" maxLength="100" border="1" gradient="0">
              <x14:cfvo type="num">
                <xm:f>0</xm:f>
              </x14:cfvo>
              <x14:cfvo type="num">
                <xm:f>1</xm:f>
              </x14:cfvo>
              <x14:borderColor theme="0"/>
              <x14:negativeFillColor rgb="FFFF0000"/>
              <x14:axisColor rgb="FF000000"/>
            </x14:dataBar>
          </x14:cfRule>
          <xm:sqref>BQ484</xm:sqref>
        </x14:conditionalFormatting>
        <x14:conditionalFormatting xmlns:xm="http://schemas.microsoft.com/office/excel/2006/main">
          <x14:cfRule type="dataBar" id="{89609C43-BCD9-4F14-9D06-B1D3B7BF2068}">
            <x14:dataBar minLength="0" maxLength="100" border="1" gradient="0">
              <x14:cfvo type="num">
                <xm:f>0</xm:f>
              </x14:cfvo>
              <x14:cfvo type="num">
                <xm:f>1</xm:f>
              </x14:cfvo>
              <x14:borderColor theme="0"/>
              <x14:negativeFillColor rgb="FFFF0000"/>
              <x14:axisColor rgb="FF000000"/>
            </x14:dataBar>
          </x14:cfRule>
          <xm:sqref>BQ486</xm:sqref>
        </x14:conditionalFormatting>
        <x14:conditionalFormatting xmlns:xm="http://schemas.microsoft.com/office/excel/2006/main">
          <x14:cfRule type="dataBar" id="{879DA3C5-36C2-4D3C-B55A-2C726078D24A}">
            <x14:dataBar minLength="0" maxLength="100" border="1" gradient="0">
              <x14:cfvo type="num">
                <xm:f>0</xm:f>
              </x14:cfvo>
              <x14:cfvo type="num">
                <xm:f>1</xm:f>
              </x14:cfvo>
              <x14:borderColor theme="0"/>
              <x14:negativeFillColor rgb="FFFF0000"/>
              <x14:axisColor rgb="FF000000"/>
            </x14:dataBar>
          </x14:cfRule>
          <xm:sqref>BQ488</xm:sqref>
        </x14:conditionalFormatting>
        <x14:conditionalFormatting xmlns:xm="http://schemas.microsoft.com/office/excel/2006/main">
          <x14:cfRule type="dataBar" id="{E430B36D-06D8-4A9F-B4D7-9692C71CF8AB}">
            <x14:dataBar minLength="0" maxLength="100" border="1" gradient="0">
              <x14:cfvo type="num">
                <xm:f>0</xm:f>
              </x14:cfvo>
              <x14:cfvo type="num">
                <xm:f>1</xm:f>
              </x14:cfvo>
              <x14:borderColor theme="0"/>
              <x14:negativeFillColor rgb="FFFF0000"/>
              <x14:axisColor rgb="FF000000"/>
            </x14:dataBar>
          </x14:cfRule>
          <xm:sqref>BQ490</xm:sqref>
        </x14:conditionalFormatting>
        <x14:conditionalFormatting xmlns:xm="http://schemas.microsoft.com/office/excel/2006/main">
          <x14:cfRule type="dataBar" id="{A98FC425-E1A1-4A6C-BA9E-8BCE8DAFBEFB}">
            <x14:dataBar minLength="0" maxLength="100" border="1" gradient="0">
              <x14:cfvo type="num">
                <xm:f>0</xm:f>
              </x14:cfvo>
              <x14:cfvo type="num">
                <xm:f>1</xm:f>
              </x14:cfvo>
              <x14:borderColor theme="0"/>
              <x14:negativeFillColor rgb="FFFF0000"/>
              <x14:axisColor rgb="FF000000"/>
            </x14:dataBar>
          </x14:cfRule>
          <xm:sqref>BQ492</xm:sqref>
        </x14:conditionalFormatting>
        <x14:conditionalFormatting xmlns:xm="http://schemas.microsoft.com/office/excel/2006/main">
          <x14:cfRule type="dataBar" id="{4A5D9DD6-9EAE-4F71-AB06-4247E6DFD872}">
            <x14:dataBar minLength="0" maxLength="100" border="1" gradient="0">
              <x14:cfvo type="num">
                <xm:f>0</xm:f>
              </x14:cfvo>
              <x14:cfvo type="num">
                <xm:f>1</xm:f>
              </x14:cfvo>
              <x14:borderColor theme="0"/>
              <x14:negativeFillColor rgb="FFFF0000"/>
              <x14:axisColor rgb="FF000000"/>
            </x14:dataBar>
          </x14:cfRule>
          <xm:sqref>BQ494</xm:sqref>
        </x14:conditionalFormatting>
        <x14:conditionalFormatting xmlns:xm="http://schemas.microsoft.com/office/excel/2006/main">
          <x14:cfRule type="dataBar" id="{94C2685D-0A74-4396-A034-5E655F1650B6}">
            <x14:dataBar minLength="0" maxLength="100" border="1" gradient="0">
              <x14:cfvo type="num">
                <xm:f>0</xm:f>
              </x14:cfvo>
              <x14:cfvo type="num">
                <xm:f>1</xm:f>
              </x14:cfvo>
              <x14:borderColor theme="0"/>
              <x14:negativeFillColor rgb="FFFF0000"/>
              <x14:axisColor rgb="FF000000"/>
            </x14:dataBar>
          </x14:cfRule>
          <xm:sqref>BQ496</xm:sqref>
        </x14:conditionalFormatting>
        <x14:conditionalFormatting xmlns:xm="http://schemas.microsoft.com/office/excel/2006/main">
          <x14:cfRule type="dataBar" id="{42F71C0D-9DB1-4B14-A954-12816D57DA27}">
            <x14:dataBar minLength="0" maxLength="100" border="1" gradient="0">
              <x14:cfvo type="num">
                <xm:f>0</xm:f>
              </x14:cfvo>
              <x14:cfvo type="num">
                <xm:f>1</xm:f>
              </x14:cfvo>
              <x14:borderColor theme="0"/>
              <x14:negativeFillColor rgb="FFFF0000"/>
              <x14:axisColor rgb="FF000000"/>
            </x14:dataBar>
          </x14:cfRule>
          <xm:sqref>BQ498</xm:sqref>
        </x14:conditionalFormatting>
        <x14:conditionalFormatting xmlns:xm="http://schemas.microsoft.com/office/excel/2006/main">
          <x14:cfRule type="dataBar" id="{E128C145-E65B-4767-AF32-B9E5C3B410E0}">
            <x14:dataBar minLength="0" maxLength="100" border="1" gradient="0">
              <x14:cfvo type="num">
                <xm:f>0</xm:f>
              </x14:cfvo>
              <x14:cfvo type="num">
                <xm:f>1</xm:f>
              </x14:cfvo>
              <x14:borderColor theme="0"/>
              <x14:negativeFillColor rgb="FFFF0000"/>
              <x14:axisColor rgb="FF000000"/>
            </x14:dataBar>
          </x14:cfRule>
          <xm:sqref>BQ500</xm:sqref>
        </x14:conditionalFormatting>
        <x14:conditionalFormatting xmlns:xm="http://schemas.microsoft.com/office/excel/2006/main">
          <x14:cfRule type="dataBar" id="{65EF7C4D-1B87-4662-B681-8704B7AB098D}">
            <x14:dataBar minLength="0" maxLength="100" border="1" gradient="0">
              <x14:cfvo type="num">
                <xm:f>0</xm:f>
              </x14:cfvo>
              <x14:cfvo type="num">
                <xm:f>1</xm:f>
              </x14:cfvo>
              <x14:borderColor theme="0"/>
              <x14:negativeFillColor rgb="FFFF0000"/>
              <x14:axisColor rgb="FF000000"/>
            </x14:dataBar>
          </x14:cfRule>
          <xm:sqref>BQ502</xm:sqref>
        </x14:conditionalFormatting>
        <x14:conditionalFormatting xmlns:xm="http://schemas.microsoft.com/office/excel/2006/main">
          <x14:cfRule type="dataBar" id="{90841D62-A4B9-45A0-8587-1CE304D5381F}">
            <x14:dataBar minLength="0" maxLength="100" border="1" gradient="0">
              <x14:cfvo type="num">
                <xm:f>0</xm:f>
              </x14:cfvo>
              <x14:cfvo type="num">
                <xm:f>1</xm:f>
              </x14:cfvo>
              <x14:borderColor theme="0"/>
              <x14:negativeFillColor rgb="FFFF0000"/>
              <x14:axisColor rgb="FF000000"/>
            </x14:dataBar>
          </x14:cfRule>
          <xm:sqref>BQ504</xm:sqref>
        </x14:conditionalFormatting>
        <x14:conditionalFormatting xmlns:xm="http://schemas.microsoft.com/office/excel/2006/main">
          <x14:cfRule type="dataBar" id="{1FBDECE0-90FC-4015-BABA-7B4D41275FA2}">
            <x14:dataBar minLength="0" maxLength="100" border="1" gradient="0">
              <x14:cfvo type="num">
                <xm:f>0</xm:f>
              </x14:cfvo>
              <x14:cfvo type="num">
                <xm:f>1</xm:f>
              </x14:cfvo>
              <x14:borderColor theme="0"/>
              <x14:negativeFillColor rgb="FFFF0000"/>
              <x14:axisColor rgb="FF000000"/>
            </x14:dataBar>
          </x14:cfRule>
          <xm:sqref>BQ506</xm:sqref>
        </x14:conditionalFormatting>
        <x14:conditionalFormatting xmlns:xm="http://schemas.microsoft.com/office/excel/2006/main">
          <x14:cfRule type="dataBar" id="{4817975C-6F9C-4862-A546-A06BE4CA6793}">
            <x14:dataBar minLength="0" maxLength="100" border="1" gradient="0">
              <x14:cfvo type="num">
                <xm:f>0</xm:f>
              </x14:cfvo>
              <x14:cfvo type="num">
                <xm:f>1</xm:f>
              </x14:cfvo>
              <x14:borderColor theme="0"/>
              <x14:negativeFillColor rgb="FFFF0000"/>
              <x14:axisColor rgb="FF000000"/>
            </x14:dataBar>
          </x14:cfRule>
          <xm:sqref>BQ508</xm:sqref>
        </x14:conditionalFormatting>
        <x14:conditionalFormatting xmlns:xm="http://schemas.microsoft.com/office/excel/2006/main">
          <x14:cfRule type="dataBar" id="{61AB6B71-3217-4E54-AD98-5F69D2653BDC}">
            <x14:dataBar minLength="0" maxLength="100" border="1" gradient="0">
              <x14:cfvo type="num">
                <xm:f>0</xm:f>
              </x14:cfvo>
              <x14:cfvo type="num">
                <xm:f>1</xm:f>
              </x14:cfvo>
              <x14:borderColor theme="0"/>
              <x14:negativeFillColor rgb="FFFF0000"/>
              <x14:axisColor rgb="FF000000"/>
            </x14:dataBar>
          </x14:cfRule>
          <xm:sqref>BQ510</xm:sqref>
        </x14:conditionalFormatting>
        <x14:conditionalFormatting xmlns:xm="http://schemas.microsoft.com/office/excel/2006/main">
          <x14:cfRule type="dataBar" id="{939FE6AE-F2A6-43B2-B081-08E0E1784CFC}">
            <x14:dataBar minLength="0" maxLength="100" border="1" gradient="0">
              <x14:cfvo type="num">
                <xm:f>0</xm:f>
              </x14:cfvo>
              <x14:cfvo type="num">
                <xm:f>1</xm:f>
              </x14:cfvo>
              <x14:borderColor theme="0"/>
              <x14:negativeFillColor rgb="FFFF0000"/>
              <x14:axisColor rgb="FF000000"/>
            </x14:dataBar>
          </x14:cfRule>
          <xm:sqref>BQ512</xm:sqref>
        </x14:conditionalFormatting>
        <x14:conditionalFormatting xmlns:xm="http://schemas.microsoft.com/office/excel/2006/main">
          <x14:cfRule type="dataBar" id="{09FE3A33-E9C8-4EBE-8FD3-284AF9ABB225}">
            <x14:dataBar minLength="0" maxLength="100" border="1" gradient="0">
              <x14:cfvo type="num">
                <xm:f>0</xm:f>
              </x14:cfvo>
              <x14:cfvo type="num">
                <xm:f>1</xm:f>
              </x14:cfvo>
              <x14:borderColor theme="0"/>
              <x14:negativeFillColor rgb="FFFF0000"/>
              <x14:axisColor rgb="FF000000"/>
            </x14:dataBar>
          </x14:cfRule>
          <xm:sqref>BQ514</xm:sqref>
        </x14:conditionalFormatting>
        <x14:conditionalFormatting xmlns:xm="http://schemas.microsoft.com/office/excel/2006/main">
          <x14:cfRule type="dataBar" id="{847ACA73-4F5B-428D-AD3E-C3C323BBD999}">
            <x14:dataBar minLength="0" maxLength="100" border="1" gradient="0">
              <x14:cfvo type="num">
                <xm:f>0</xm:f>
              </x14:cfvo>
              <x14:cfvo type="num">
                <xm:f>1</xm:f>
              </x14:cfvo>
              <x14:borderColor theme="0"/>
              <x14:negativeFillColor rgb="FFFF0000"/>
              <x14:axisColor rgb="FF000000"/>
            </x14:dataBar>
          </x14:cfRule>
          <xm:sqref>BQ516</xm:sqref>
        </x14:conditionalFormatting>
        <x14:conditionalFormatting xmlns:xm="http://schemas.microsoft.com/office/excel/2006/main">
          <x14:cfRule type="dataBar" id="{E7C98F3B-E866-4DFD-891C-E590DEA06D35}">
            <x14:dataBar minLength="0" maxLength="100" border="1" gradient="0">
              <x14:cfvo type="num">
                <xm:f>0</xm:f>
              </x14:cfvo>
              <x14:cfvo type="num">
                <xm:f>1</xm:f>
              </x14:cfvo>
              <x14:borderColor theme="0"/>
              <x14:negativeFillColor rgb="FFFF0000"/>
              <x14:axisColor rgb="FF000000"/>
            </x14:dataBar>
          </x14:cfRule>
          <xm:sqref>BQ518</xm:sqref>
        </x14:conditionalFormatting>
        <x14:conditionalFormatting xmlns:xm="http://schemas.microsoft.com/office/excel/2006/main">
          <x14:cfRule type="dataBar" id="{FD07C29A-97F1-4025-A052-2E5CCE093021}">
            <x14:dataBar minLength="0" maxLength="100" border="1" gradient="0">
              <x14:cfvo type="num">
                <xm:f>0</xm:f>
              </x14:cfvo>
              <x14:cfvo type="num">
                <xm:f>1</xm:f>
              </x14:cfvo>
              <x14:borderColor theme="0"/>
              <x14:negativeFillColor rgb="FFFF0000"/>
              <x14:axisColor rgb="FF000000"/>
            </x14:dataBar>
          </x14:cfRule>
          <xm:sqref>BQ520</xm:sqref>
        </x14:conditionalFormatting>
        <x14:conditionalFormatting xmlns:xm="http://schemas.microsoft.com/office/excel/2006/main">
          <x14:cfRule type="dataBar" id="{C8F4D28C-3A98-49F1-BA09-403E6A9DB2C7}">
            <x14:dataBar minLength="0" maxLength="100" border="1" gradient="0">
              <x14:cfvo type="num">
                <xm:f>0</xm:f>
              </x14:cfvo>
              <x14:cfvo type="num">
                <xm:f>1</xm:f>
              </x14:cfvo>
              <x14:borderColor theme="0"/>
              <x14:negativeFillColor rgb="FFFF0000"/>
              <x14:axisColor rgb="FF000000"/>
            </x14:dataBar>
          </x14:cfRule>
          <xm:sqref>BQ522</xm:sqref>
        </x14:conditionalFormatting>
        <x14:conditionalFormatting xmlns:xm="http://schemas.microsoft.com/office/excel/2006/main">
          <x14:cfRule type="dataBar" id="{273E2A6C-72AF-43F4-9EB3-D79DC3FA2EA0}">
            <x14:dataBar minLength="0" maxLength="100" border="1" gradient="0">
              <x14:cfvo type="num">
                <xm:f>0</xm:f>
              </x14:cfvo>
              <x14:cfvo type="num">
                <xm:f>1</xm:f>
              </x14:cfvo>
              <x14:borderColor theme="0"/>
              <x14:negativeFillColor rgb="FFFF0000"/>
              <x14:axisColor rgb="FF000000"/>
            </x14:dataBar>
          </x14:cfRule>
          <xm:sqref>BQ524</xm:sqref>
        </x14:conditionalFormatting>
        <x14:conditionalFormatting xmlns:xm="http://schemas.microsoft.com/office/excel/2006/main">
          <x14:cfRule type="dataBar" id="{09FE8112-8B9F-48F1-AEC8-A800FA84A69B}">
            <x14:dataBar minLength="0" maxLength="100" border="1" gradient="0">
              <x14:cfvo type="num">
                <xm:f>0</xm:f>
              </x14:cfvo>
              <x14:cfvo type="num">
                <xm:f>1</xm:f>
              </x14:cfvo>
              <x14:borderColor theme="0"/>
              <x14:negativeFillColor rgb="FFFF0000"/>
              <x14:axisColor rgb="FF000000"/>
            </x14:dataBar>
          </x14:cfRule>
          <xm:sqref>BQ526</xm:sqref>
        </x14:conditionalFormatting>
        <x14:conditionalFormatting xmlns:xm="http://schemas.microsoft.com/office/excel/2006/main">
          <x14:cfRule type="dataBar" id="{0B51F914-C206-425E-856F-E62230082A23}">
            <x14:dataBar minLength="0" maxLength="100" border="1" gradient="0">
              <x14:cfvo type="num">
                <xm:f>0</xm:f>
              </x14:cfvo>
              <x14:cfvo type="num">
                <xm:f>1</xm:f>
              </x14:cfvo>
              <x14:borderColor theme="0"/>
              <x14:negativeFillColor rgb="FFFF0000"/>
              <x14:axisColor rgb="FF000000"/>
            </x14:dataBar>
          </x14:cfRule>
          <xm:sqref>BQ528</xm:sqref>
        </x14:conditionalFormatting>
        <x14:conditionalFormatting xmlns:xm="http://schemas.microsoft.com/office/excel/2006/main">
          <x14:cfRule type="dataBar" id="{FE2BDD07-38E9-46B6-9BC9-C46DA2BC88C0}">
            <x14:dataBar minLength="0" maxLength="100" border="1" gradient="0">
              <x14:cfvo type="num">
                <xm:f>0</xm:f>
              </x14:cfvo>
              <x14:cfvo type="num">
                <xm:f>1</xm:f>
              </x14:cfvo>
              <x14:borderColor theme="0"/>
              <x14:negativeFillColor rgb="FFFF0000"/>
              <x14:axisColor rgb="FF000000"/>
            </x14:dataBar>
          </x14:cfRule>
          <xm:sqref>BQ530</xm:sqref>
        </x14:conditionalFormatting>
        <x14:conditionalFormatting xmlns:xm="http://schemas.microsoft.com/office/excel/2006/main">
          <x14:cfRule type="dataBar" id="{472E64C3-389C-4EBB-ADAD-F90549D724B3}">
            <x14:dataBar minLength="0" maxLength="100" border="1" gradient="0">
              <x14:cfvo type="num">
                <xm:f>0</xm:f>
              </x14:cfvo>
              <x14:cfvo type="num">
                <xm:f>1</xm:f>
              </x14:cfvo>
              <x14:borderColor theme="0"/>
              <x14:negativeFillColor rgb="FFFF0000"/>
              <x14:axisColor rgb="FF000000"/>
            </x14:dataBar>
          </x14:cfRule>
          <xm:sqref>BQ532</xm:sqref>
        </x14:conditionalFormatting>
        <x14:conditionalFormatting xmlns:xm="http://schemas.microsoft.com/office/excel/2006/main">
          <x14:cfRule type="dataBar" id="{1AAE61FD-37BC-46F1-8779-ABD9E50E7C40}">
            <x14:dataBar minLength="0" maxLength="100" border="1" gradient="0">
              <x14:cfvo type="num">
                <xm:f>0</xm:f>
              </x14:cfvo>
              <x14:cfvo type="num">
                <xm:f>1</xm:f>
              </x14:cfvo>
              <x14:borderColor theme="0"/>
              <x14:negativeFillColor rgb="FFFF0000"/>
              <x14:axisColor rgb="FF000000"/>
            </x14:dataBar>
          </x14:cfRule>
          <xm:sqref>BQ534</xm:sqref>
        </x14:conditionalFormatting>
        <x14:conditionalFormatting xmlns:xm="http://schemas.microsoft.com/office/excel/2006/main">
          <x14:cfRule type="dataBar" id="{9BE6666E-C8F9-4EA7-BEFB-3D7317396F30}">
            <x14:dataBar minLength="0" maxLength="100" border="1" gradient="0">
              <x14:cfvo type="num">
                <xm:f>0</xm:f>
              </x14:cfvo>
              <x14:cfvo type="num">
                <xm:f>1</xm:f>
              </x14:cfvo>
              <x14:borderColor theme="0"/>
              <x14:negativeFillColor rgb="FFFF0000"/>
              <x14:axisColor rgb="FF000000"/>
            </x14:dataBar>
          </x14:cfRule>
          <xm:sqref>BQ536</xm:sqref>
        </x14:conditionalFormatting>
        <x14:conditionalFormatting xmlns:xm="http://schemas.microsoft.com/office/excel/2006/main">
          <x14:cfRule type="dataBar" id="{EAA507EC-D98D-43DA-8AD9-BB9CB3A9C105}">
            <x14:dataBar minLength="0" maxLength="100" border="1" gradient="0">
              <x14:cfvo type="num">
                <xm:f>0</xm:f>
              </x14:cfvo>
              <x14:cfvo type="num">
                <xm:f>1</xm:f>
              </x14:cfvo>
              <x14:borderColor theme="0"/>
              <x14:negativeFillColor rgb="FFFF0000"/>
              <x14:axisColor rgb="FF000000"/>
            </x14:dataBar>
          </x14:cfRule>
          <xm:sqref>BQ538</xm:sqref>
        </x14:conditionalFormatting>
        <x14:conditionalFormatting xmlns:xm="http://schemas.microsoft.com/office/excel/2006/main">
          <x14:cfRule type="dataBar" id="{BEEFAA5F-F096-493D-AA99-F44225454B5C}">
            <x14:dataBar minLength="0" maxLength="100" border="1" gradient="0">
              <x14:cfvo type="num">
                <xm:f>0</xm:f>
              </x14:cfvo>
              <x14:cfvo type="num">
                <xm:f>1</xm:f>
              </x14:cfvo>
              <x14:borderColor theme="0"/>
              <x14:negativeFillColor rgb="FFFF0000"/>
              <x14:axisColor rgb="FF000000"/>
            </x14:dataBar>
          </x14:cfRule>
          <xm:sqref>BQ540</xm:sqref>
        </x14:conditionalFormatting>
        <x14:conditionalFormatting xmlns:xm="http://schemas.microsoft.com/office/excel/2006/main">
          <x14:cfRule type="dataBar" id="{AC17064F-5497-4382-B640-87A1999FA1AD}">
            <x14:dataBar minLength="0" maxLength="100" border="1" gradient="0">
              <x14:cfvo type="num">
                <xm:f>0</xm:f>
              </x14:cfvo>
              <x14:cfvo type="num">
                <xm:f>1</xm:f>
              </x14:cfvo>
              <x14:borderColor theme="0"/>
              <x14:negativeFillColor rgb="FFFF0000"/>
              <x14:axisColor rgb="FF000000"/>
            </x14:dataBar>
          </x14:cfRule>
          <xm:sqref>BQ542</xm:sqref>
        </x14:conditionalFormatting>
        <x14:conditionalFormatting xmlns:xm="http://schemas.microsoft.com/office/excel/2006/main">
          <x14:cfRule type="dataBar" id="{5C27AE68-9AF4-47C0-AFEC-ABE783055614}">
            <x14:dataBar minLength="0" maxLength="100" border="1" gradient="0">
              <x14:cfvo type="num">
                <xm:f>0</xm:f>
              </x14:cfvo>
              <x14:cfvo type="num">
                <xm:f>1</xm:f>
              </x14:cfvo>
              <x14:borderColor theme="0"/>
              <x14:negativeFillColor rgb="FFFF0000"/>
              <x14:axisColor rgb="FF000000"/>
            </x14:dataBar>
          </x14:cfRule>
          <xm:sqref>BQ544</xm:sqref>
        </x14:conditionalFormatting>
        <x14:conditionalFormatting xmlns:xm="http://schemas.microsoft.com/office/excel/2006/main">
          <x14:cfRule type="dataBar" id="{86DF9F97-3583-49FD-AD83-274BFCD53609}">
            <x14:dataBar minLength="0" maxLength="100" border="1" gradient="0">
              <x14:cfvo type="num">
                <xm:f>0</xm:f>
              </x14:cfvo>
              <x14:cfvo type="num">
                <xm:f>1</xm:f>
              </x14:cfvo>
              <x14:borderColor theme="0"/>
              <x14:negativeFillColor rgb="FFFF0000"/>
              <x14:axisColor rgb="FF000000"/>
            </x14:dataBar>
          </x14:cfRule>
          <xm:sqref>BQ546</xm:sqref>
        </x14:conditionalFormatting>
        <x14:conditionalFormatting xmlns:xm="http://schemas.microsoft.com/office/excel/2006/main">
          <x14:cfRule type="dataBar" id="{E8C4079D-659C-429D-A0B8-17F4A7AC5991}">
            <x14:dataBar minLength="0" maxLength="100" border="1" gradient="0">
              <x14:cfvo type="num">
                <xm:f>0</xm:f>
              </x14:cfvo>
              <x14:cfvo type="num">
                <xm:f>1</xm:f>
              </x14:cfvo>
              <x14:borderColor theme="0"/>
              <x14:negativeFillColor rgb="FFFF0000"/>
              <x14:axisColor rgb="FF000000"/>
            </x14:dataBar>
          </x14:cfRule>
          <xm:sqref>BQ548</xm:sqref>
        </x14:conditionalFormatting>
        <x14:conditionalFormatting xmlns:xm="http://schemas.microsoft.com/office/excel/2006/main">
          <x14:cfRule type="dataBar" id="{2E66872A-7DD9-4688-A83A-00D1CEF3BE11}">
            <x14:dataBar minLength="0" maxLength="100" border="1" gradient="0">
              <x14:cfvo type="num">
                <xm:f>0</xm:f>
              </x14:cfvo>
              <x14:cfvo type="num">
                <xm:f>1</xm:f>
              </x14:cfvo>
              <x14:borderColor theme="0"/>
              <x14:negativeFillColor rgb="FFFF0000"/>
              <x14:axisColor rgb="FF000000"/>
            </x14:dataBar>
          </x14:cfRule>
          <xm:sqref>BQ550</xm:sqref>
        </x14:conditionalFormatting>
        <x14:conditionalFormatting xmlns:xm="http://schemas.microsoft.com/office/excel/2006/main">
          <x14:cfRule type="dataBar" id="{CB85ACC1-F1E3-4DE3-9EDE-AFE8BF16AA66}">
            <x14:dataBar minLength="0" maxLength="100" border="1" gradient="0">
              <x14:cfvo type="num">
                <xm:f>0</xm:f>
              </x14:cfvo>
              <x14:cfvo type="num">
                <xm:f>1</xm:f>
              </x14:cfvo>
              <x14:borderColor theme="0"/>
              <x14:negativeFillColor rgb="FFFF0000"/>
              <x14:axisColor rgb="FF000000"/>
            </x14:dataBar>
          </x14:cfRule>
          <xm:sqref>BQ552</xm:sqref>
        </x14:conditionalFormatting>
        <x14:conditionalFormatting xmlns:xm="http://schemas.microsoft.com/office/excel/2006/main">
          <x14:cfRule type="dataBar" id="{3E35B86F-D627-4A80-AFFD-9AE331DCEC54}">
            <x14:dataBar minLength="0" maxLength="100" border="1" gradient="0">
              <x14:cfvo type="num">
                <xm:f>0</xm:f>
              </x14:cfvo>
              <x14:cfvo type="num">
                <xm:f>1</xm:f>
              </x14:cfvo>
              <x14:borderColor theme="0"/>
              <x14:negativeFillColor rgb="FFFF0000"/>
              <x14:axisColor rgb="FF000000"/>
            </x14:dataBar>
          </x14:cfRule>
          <xm:sqref>BQ554</xm:sqref>
        </x14:conditionalFormatting>
        <x14:conditionalFormatting xmlns:xm="http://schemas.microsoft.com/office/excel/2006/main">
          <x14:cfRule type="dataBar" id="{BCD5FEC0-2F9E-4741-8B03-AD3E23D81E68}">
            <x14:dataBar minLength="0" maxLength="100" border="1" gradient="0">
              <x14:cfvo type="num">
                <xm:f>0</xm:f>
              </x14:cfvo>
              <x14:cfvo type="num">
                <xm:f>1</xm:f>
              </x14:cfvo>
              <x14:borderColor theme="0"/>
              <x14:negativeFillColor rgb="FFFF0000"/>
              <x14:axisColor rgb="FF000000"/>
            </x14:dataBar>
          </x14:cfRule>
          <xm:sqref>BQ556</xm:sqref>
        </x14:conditionalFormatting>
        <x14:conditionalFormatting xmlns:xm="http://schemas.microsoft.com/office/excel/2006/main">
          <x14:cfRule type="dataBar" id="{696952AF-390E-4980-A496-D450A7651969}">
            <x14:dataBar minLength="0" maxLength="100" border="1" gradient="0">
              <x14:cfvo type="num">
                <xm:f>0</xm:f>
              </x14:cfvo>
              <x14:cfvo type="num">
                <xm:f>1</xm:f>
              </x14:cfvo>
              <x14:borderColor theme="0"/>
              <x14:negativeFillColor rgb="FFFF0000"/>
              <x14:axisColor rgb="FF000000"/>
            </x14:dataBar>
          </x14:cfRule>
          <xm:sqref>BQ558</xm:sqref>
        </x14:conditionalFormatting>
        <x14:conditionalFormatting xmlns:xm="http://schemas.microsoft.com/office/excel/2006/main">
          <x14:cfRule type="dataBar" id="{232AB820-4C88-4733-93B9-568B79B2B408}">
            <x14:dataBar minLength="0" maxLength="100" border="1" gradient="0">
              <x14:cfvo type="num">
                <xm:f>0</xm:f>
              </x14:cfvo>
              <x14:cfvo type="num">
                <xm:f>1</xm:f>
              </x14:cfvo>
              <x14:borderColor theme="0"/>
              <x14:negativeFillColor rgb="FFFF0000"/>
              <x14:axisColor rgb="FF000000"/>
            </x14:dataBar>
          </x14:cfRule>
          <xm:sqref>BQ560</xm:sqref>
        </x14:conditionalFormatting>
        <x14:conditionalFormatting xmlns:xm="http://schemas.microsoft.com/office/excel/2006/main">
          <x14:cfRule type="dataBar" id="{0F749283-3DFE-4F08-A6F8-059B92EBB965}">
            <x14:dataBar minLength="0" maxLength="100" border="1" gradient="0">
              <x14:cfvo type="num">
                <xm:f>0</xm:f>
              </x14:cfvo>
              <x14:cfvo type="num">
                <xm:f>1</xm:f>
              </x14:cfvo>
              <x14:borderColor theme="0"/>
              <x14:negativeFillColor rgb="FFFF0000"/>
              <x14:axisColor rgb="FF000000"/>
            </x14:dataBar>
          </x14:cfRule>
          <xm:sqref>BQ562</xm:sqref>
        </x14:conditionalFormatting>
        <x14:conditionalFormatting xmlns:xm="http://schemas.microsoft.com/office/excel/2006/main">
          <x14:cfRule type="dataBar" id="{73EA617E-30AE-4928-98B8-CD533018CE0D}">
            <x14:dataBar minLength="0" maxLength="100" border="1" gradient="0">
              <x14:cfvo type="num">
                <xm:f>0</xm:f>
              </x14:cfvo>
              <x14:cfvo type="num">
                <xm:f>1</xm:f>
              </x14:cfvo>
              <x14:borderColor theme="0"/>
              <x14:negativeFillColor rgb="FFFF0000"/>
              <x14:axisColor rgb="FF000000"/>
            </x14:dataBar>
          </x14:cfRule>
          <xm:sqref>BQ564</xm:sqref>
        </x14:conditionalFormatting>
        <x14:conditionalFormatting xmlns:xm="http://schemas.microsoft.com/office/excel/2006/main">
          <x14:cfRule type="dataBar" id="{DF8DB504-E7D1-4932-8CBB-315CD37A4981}">
            <x14:dataBar minLength="0" maxLength="100" border="1" gradient="0">
              <x14:cfvo type="num">
                <xm:f>0</xm:f>
              </x14:cfvo>
              <x14:cfvo type="num">
                <xm:f>1</xm:f>
              </x14:cfvo>
              <x14:borderColor theme="0"/>
              <x14:negativeFillColor rgb="FFFF0000"/>
              <x14:axisColor rgb="FF000000"/>
            </x14:dataBar>
          </x14:cfRule>
          <xm:sqref>BQ566</xm:sqref>
        </x14:conditionalFormatting>
        <x14:conditionalFormatting xmlns:xm="http://schemas.microsoft.com/office/excel/2006/main">
          <x14:cfRule type="dataBar" id="{9FBE5A48-58BF-488E-B95E-42A2D53A9C3D}">
            <x14:dataBar minLength="0" maxLength="100" border="1" gradient="0">
              <x14:cfvo type="num">
                <xm:f>0</xm:f>
              </x14:cfvo>
              <x14:cfvo type="num">
                <xm:f>1</xm:f>
              </x14:cfvo>
              <x14:borderColor theme="0"/>
              <x14:negativeFillColor rgb="FFFF0000"/>
              <x14:axisColor rgb="FF000000"/>
            </x14:dataBar>
          </x14:cfRule>
          <xm:sqref>BQ568</xm:sqref>
        </x14:conditionalFormatting>
        <x14:conditionalFormatting xmlns:xm="http://schemas.microsoft.com/office/excel/2006/main">
          <x14:cfRule type="dataBar" id="{A076E1E7-2991-4B95-9A7D-41586CD43DF8}">
            <x14:dataBar minLength="0" maxLength="100" border="1" gradient="0">
              <x14:cfvo type="num">
                <xm:f>0</xm:f>
              </x14:cfvo>
              <x14:cfvo type="num">
                <xm:f>1</xm:f>
              </x14:cfvo>
              <x14:borderColor theme="0"/>
              <x14:negativeFillColor rgb="FFFF0000"/>
              <x14:axisColor rgb="FF000000"/>
            </x14:dataBar>
          </x14:cfRule>
          <xm:sqref>BQ570</xm:sqref>
        </x14:conditionalFormatting>
        <x14:conditionalFormatting xmlns:xm="http://schemas.microsoft.com/office/excel/2006/main">
          <x14:cfRule type="dataBar" id="{37B791CF-C7D9-489A-AC88-1089AC3E5014}">
            <x14:dataBar minLength="0" maxLength="100" border="1" gradient="0">
              <x14:cfvo type="num">
                <xm:f>0</xm:f>
              </x14:cfvo>
              <x14:cfvo type="num">
                <xm:f>1</xm:f>
              </x14:cfvo>
              <x14:borderColor theme="0"/>
              <x14:negativeFillColor rgb="FFFF0000"/>
              <x14:axisColor rgb="FF000000"/>
            </x14:dataBar>
          </x14:cfRule>
          <xm:sqref>BQ572</xm:sqref>
        </x14:conditionalFormatting>
        <x14:conditionalFormatting xmlns:xm="http://schemas.microsoft.com/office/excel/2006/main">
          <x14:cfRule type="dataBar" id="{CF129AF9-1F89-41D4-A673-65A741F2A129}">
            <x14:dataBar minLength="0" maxLength="100" border="1" gradient="0">
              <x14:cfvo type="num">
                <xm:f>0</xm:f>
              </x14:cfvo>
              <x14:cfvo type="num">
                <xm:f>1</xm:f>
              </x14:cfvo>
              <x14:borderColor theme="0"/>
              <x14:negativeFillColor rgb="FFFF0000"/>
              <x14:axisColor rgb="FF000000"/>
            </x14:dataBar>
          </x14:cfRule>
          <xm:sqref>BQ574</xm:sqref>
        </x14:conditionalFormatting>
        <x14:conditionalFormatting xmlns:xm="http://schemas.microsoft.com/office/excel/2006/main">
          <x14:cfRule type="dataBar" id="{F7AB0D3E-7D4D-4C13-A701-B934B435725E}">
            <x14:dataBar minLength="0" maxLength="100" border="1" gradient="0">
              <x14:cfvo type="num">
                <xm:f>0</xm:f>
              </x14:cfvo>
              <x14:cfvo type="num">
                <xm:f>1</xm:f>
              </x14:cfvo>
              <x14:borderColor theme="0"/>
              <x14:negativeFillColor rgb="FFFF0000"/>
              <x14:axisColor rgb="FF000000"/>
            </x14:dataBar>
          </x14:cfRule>
          <xm:sqref>BQ576</xm:sqref>
        </x14:conditionalFormatting>
        <x14:conditionalFormatting xmlns:xm="http://schemas.microsoft.com/office/excel/2006/main">
          <x14:cfRule type="dataBar" id="{7050C858-07D2-4FDE-A262-3E29E946FDEE}">
            <x14:dataBar minLength="0" maxLength="100" border="1" gradient="0">
              <x14:cfvo type="num">
                <xm:f>0</xm:f>
              </x14:cfvo>
              <x14:cfvo type="num">
                <xm:f>1</xm:f>
              </x14:cfvo>
              <x14:borderColor theme="0"/>
              <x14:negativeFillColor rgb="FFFF0000"/>
              <x14:axisColor rgb="FF000000"/>
            </x14:dataBar>
          </x14:cfRule>
          <xm:sqref>BQ578</xm:sqref>
        </x14:conditionalFormatting>
        <x14:conditionalFormatting xmlns:xm="http://schemas.microsoft.com/office/excel/2006/main">
          <x14:cfRule type="dataBar" id="{ADC444D2-5862-43F1-97BD-DD7420409C9E}">
            <x14:dataBar minLength="0" maxLength="100" border="1" gradient="0">
              <x14:cfvo type="num">
                <xm:f>0</xm:f>
              </x14:cfvo>
              <x14:cfvo type="num">
                <xm:f>1</xm:f>
              </x14:cfvo>
              <x14:borderColor theme="0"/>
              <x14:negativeFillColor rgb="FFFF0000"/>
              <x14:axisColor rgb="FF000000"/>
            </x14:dataBar>
          </x14:cfRule>
          <xm:sqref>BQ580</xm:sqref>
        </x14:conditionalFormatting>
        <x14:conditionalFormatting xmlns:xm="http://schemas.microsoft.com/office/excel/2006/main">
          <x14:cfRule type="dataBar" id="{609068BF-8D77-43F1-9267-59514F18F502}">
            <x14:dataBar minLength="0" maxLength="100" border="1" gradient="0">
              <x14:cfvo type="num">
                <xm:f>0</xm:f>
              </x14:cfvo>
              <x14:cfvo type="num">
                <xm:f>1</xm:f>
              </x14:cfvo>
              <x14:borderColor theme="0"/>
              <x14:negativeFillColor rgb="FFFF0000"/>
              <x14:axisColor rgb="FF000000"/>
            </x14:dataBar>
          </x14:cfRule>
          <xm:sqref>BQ582</xm:sqref>
        </x14:conditionalFormatting>
        <x14:conditionalFormatting xmlns:xm="http://schemas.microsoft.com/office/excel/2006/main">
          <x14:cfRule type="dataBar" id="{0A9FB788-2CE9-4CAB-8CFE-C44EC0A82F09}">
            <x14:dataBar minLength="0" maxLength="100" border="1" gradient="0">
              <x14:cfvo type="num">
                <xm:f>0</xm:f>
              </x14:cfvo>
              <x14:cfvo type="num">
                <xm:f>1</xm:f>
              </x14:cfvo>
              <x14:borderColor theme="0"/>
              <x14:negativeFillColor rgb="FFFF0000"/>
              <x14:axisColor rgb="FF000000"/>
            </x14:dataBar>
          </x14:cfRule>
          <xm:sqref>BQ584</xm:sqref>
        </x14:conditionalFormatting>
        <x14:conditionalFormatting xmlns:xm="http://schemas.microsoft.com/office/excel/2006/main">
          <x14:cfRule type="dataBar" id="{16176067-8E4C-4AFC-B714-FD2EE3B01CD2}">
            <x14:dataBar minLength="0" maxLength="100" border="1" gradient="0">
              <x14:cfvo type="num">
                <xm:f>0</xm:f>
              </x14:cfvo>
              <x14:cfvo type="num">
                <xm:f>1</xm:f>
              </x14:cfvo>
              <x14:borderColor theme="0"/>
              <x14:negativeFillColor rgb="FFFF0000"/>
              <x14:axisColor rgb="FF000000"/>
            </x14:dataBar>
          </x14:cfRule>
          <xm:sqref>BQ586</xm:sqref>
        </x14:conditionalFormatting>
        <x14:conditionalFormatting xmlns:xm="http://schemas.microsoft.com/office/excel/2006/main">
          <x14:cfRule type="dataBar" id="{6178053D-2574-4BBD-AC79-B19542C44254}">
            <x14:dataBar minLength="0" maxLength="100" border="1" gradient="0">
              <x14:cfvo type="num">
                <xm:f>0</xm:f>
              </x14:cfvo>
              <x14:cfvo type="num">
                <xm:f>1</xm:f>
              </x14:cfvo>
              <x14:borderColor theme="0"/>
              <x14:negativeFillColor rgb="FFFF0000"/>
              <x14:axisColor rgb="FF000000"/>
            </x14:dataBar>
          </x14:cfRule>
          <xm:sqref>BQ588</xm:sqref>
        </x14:conditionalFormatting>
        <x14:conditionalFormatting xmlns:xm="http://schemas.microsoft.com/office/excel/2006/main">
          <x14:cfRule type="dataBar" id="{ECCDCD90-CAA9-48A1-B8DF-8E8B664F6E68}">
            <x14:dataBar minLength="0" maxLength="100" border="1" gradient="0">
              <x14:cfvo type="num">
                <xm:f>0</xm:f>
              </x14:cfvo>
              <x14:cfvo type="num">
                <xm:f>1</xm:f>
              </x14:cfvo>
              <x14:borderColor theme="0"/>
              <x14:negativeFillColor rgb="FFFF0000"/>
              <x14:axisColor rgb="FF000000"/>
            </x14:dataBar>
          </x14:cfRule>
          <xm:sqref>BQ591</xm:sqref>
        </x14:conditionalFormatting>
        <x14:conditionalFormatting xmlns:xm="http://schemas.microsoft.com/office/excel/2006/main">
          <x14:cfRule type="dataBar" id="{EA4AADE3-6E1E-4692-8E8B-BA60A0743610}">
            <x14:dataBar minLength="0" maxLength="100" border="1" gradient="0">
              <x14:cfvo type="num">
                <xm:f>0</xm:f>
              </x14:cfvo>
              <x14:cfvo type="num">
                <xm:f>1</xm:f>
              </x14:cfvo>
              <x14:borderColor theme="0"/>
              <x14:negativeFillColor rgb="FFFF0000"/>
              <x14:axisColor rgb="FF000000"/>
            </x14:dataBar>
          </x14:cfRule>
          <xm:sqref>BQ593</xm:sqref>
        </x14:conditionalFormatting>
        <x14:conditionalFormatting xmlns:xm="http://schemas.microsoft.com/office/excel/2006/main">
          <x14:cfRule type="dataBar" id="{918DCD8D-6697-4F87-B8DE-EAB1E999D899}">
            <x14:dataBar minLength="0" maxLength="100" border="1" gradient="0">
              <x14:cfvo type="num">
                <xm:f>0</xm:f>
              </x14:cfvo>
              <x14:cfvo type="num">
                <xm:f>1</xm:f>
              </x14:cfvo>
              <x14:borderColor theme="0"/>
              <x14:negativeFillColor rgb="FFFF0000"/>
              <x14:axisColor rgb="FF000000"/>
            </x14:dataBar>
          </x14:cfRule>
          <xm:sqref>BQ595</xm:sqref>
        </x14:conditionalFormatting>
        <x14:conditionalFormatting xmlns:xm="http://schemas.microsoft.com/office/excel/2006/main">
          <x14:cfRule type="dataBar" id="{352CAFF5-6B92-4F98-A42F-CB06FC6A70BC}">
            <x14:dataBar minLength="0" maxLength="100" border="1" gradient="0">
              <x14:cfvo type="num">
                <xm:f>0</xm:f>
              </x14:cfvo>
              <x14:cfvo type="num">
                <xm:f>1</xm:f>
              </x14:cfvo>
              <x14:borderColor theme="0"/>
              <x14:negativeFillColor rgb="FFFF0000"/>
              <x14:axisColor rgb="FF000000"/>
            </x14:dataBar>
          </x14:cfRule>
          <xm:sqref>BQ597</xm:sqref>
        </x14:conditionalFormatting>
        <x14:conditionalFormatting xmlns:xm="http://schemas.microsoft.com/office/excel/2006/main">
          <x14:cfRule type="dataBar" id="{D07F3032-0180-4D52-BD3E-656BEB006A19}">
            <x14:dataBar minLength="0" maxLength="100" border="1" gradient="0">
              <x14:cfvo type="num">
                <xm:f>0</xm:f>
              </x14:cfvo>
              <x14:cfvo type="num">
                <xm:f>1</xm:f>
              </x14:cfvo>
              <x14:borderColor theme="0"/>
              <x14:negativeFillColor rgb="FFFF0000"/>
              <x14:axisColor rgb="FF000000"/>
            </x14:dataBar>
          </x14:cfRule>
          <xm:sqref>BQ599</xm:sqref>
        </x14:conditionalFormatting>
        <x14:conditionalFormatting xmlns:xm="http://schemas.microsoft.com/office/excel/2006/main">
          <x14:cfRule type="dataBar" id="{886A5E85-7FDC-4AAD-BAE2-DD8779D44B3D}">
            <x14:dataBar minLength="0" maxLength="100" border="1" gradient="0">
              <x14:cfvo type="num">
                <xm:f>0</xm:f>
              </x14:cfvo>
              <x14:cfvo type="num">
                <xm:f>1</xm:f>
              </x14:cfvo>
              <x14:borderColor theme="0"/>
              <x14:negativeFillColor rgb="FFFF0000"/>
              <x14:axisColor rgb="FF000000"/>
            </x14:dataBar>
          </x14:cfRule>
          <xm:sqref>BQ601</xm:sqref>
        </x14:conditionalFormatting>
        <x14:conditionalFormatting xmlns:xm="http://schemas.microsoft.com/office/excel/2006/main">
          <x14:cfRule type="dataBar" id="{8329CB49-2F57-4BCC-A403-684E2234BA9A}">
            <x14:dataBar minLength="0" maxLength="100" border="1" gradient="0">
              <x14:cfvo type="num">
                <xm:f>0</xm:f>
              </x14:cfvo>
              <x14:cfvo type="num">
                <xm:f>1</xm:f>
              </x14:cfvo>
              <x14:borderColor theme="0"/>
              <x14:negativeFillColor rgb="FFFF0000"/>
              <x14:axisColor rgb="FF000000"/>
            </x14:dataBar>
          </x14:cfRule>
          <xm:sqref>BQ603</xm:sqref>
        </x14:conditionalFormatting>
        <x14:conditionalFormatting xmlns:xm="http://schemas.microsoft.com/office/excel/2006/main">
          <x14:cfRule type="dataBar" id="{FC1F00E9-380E-4A13-9772-A00A9640BC58}">
            <x14:dataBar minLength="0" maxLength="100" border="1" gradient="0">
              <x14:cfvo type="num">
                <xm:f>0</xm:f>
              </x14:cfvo>
              <x14:cfvo type="num">
                <xm:f>1</xm:f>
              </x14:cfvo>
              <x14:borderColor theme="0"/>
              <x14:negativeFillColor rgb="FFFF0000"/>
              <x14:axisColor rgb="FF000000"/>
            </x14:dataBar>
          </x14:cfRule>
          <xm:sqref>BQ605</xm:sqref>
        </x14:conditionalFormatting>
        <x14:conditionalFormatting xmlns:xm="http://schemas.microsoft.com/office/excel/2006/main">
          <x14:cfRule type="dataBar" id="{0346CFE2-64F0-4C46-B417-3FE48AB2E0C4}">
            <x14:dataBar minLength="0" maxLength="100" border="1" gradient="0">
              <x14:cfvo type="num">
                <xm:f>0</xm:f>
              </x14:cfvo>
              <x14:cfvo type="num">
                <xm:f>1</xm:f>
              </x14:cfvo>
              <x14:borderColor theme="0"/>
              <x14:negativeFillColor rgb="FFFF0000"/>
              <x14:axisColor rgb="FF000000"/>
            </x14:dataBar>
          </x14:cfRule>
          <xm:sqref>BQ607</xm:sqref>
        </x14:conditionalFormatting>
        <x14:conditionalFormatting xmlns:xm="http://schemas.microsoft.com/office/excel/2006/main">
          <x14:cfRule type="dataBar" id="{0C437918-DFB2-4560-8D57-34B871E8A9F7}">
            <x14:dataBar minLength="0" maxLength="100" border="1" gradient="0">
              <x14:cfvo type="num">
                <xm:f>0</xm:f>
              </x14:cfvo>
              <x14:cfvo type="num">
                <xm:f>1</xm:f>
              </x14:cfvo>
              <x14:borderColor theme="0"/>
              <x14:negativeFillColor rgb="FFFF0000"/>
              <x14:axisColor rgb="FF000000"/>
            </x14:dataBar>
          </x14:cfRule>
          <xm:sqref>BQ609</xm:sqref>
        </x14:conditionalFormatting>
        <x14:conditionalFormatting xmlns:xm="http://schemas.microsoft.com/office/excel/2006/main">
          <x14:cfRule type="dataBar" id="{4E7E4C9A-621C-4B1D-B958-9C22E8F7C365}">
            <x14:dataBar minLength="0" maxLength="100" border="1" gradient="0">
              <x14:cfvo type="num">
                <xm:f>0</xm:f>
              </x14:cfvo>
              <x14:cfvo type="num">
                <xm:f>1</xm:f>
              </x14:cfvo>
              <x14:borderColor theme="0"/>
              <x14:negativeFillColor rgb="FFFF0000"/>
              <x14:axisColor rgb="FF000000"/>
            </x14:dataBar>
          </x14:cfRule>
          <xm:sqref>BQ611</xm:sqref>
        </x14:conditionalFormatting>
        <x14:conditionalFormatting xmlns:xm="http://schemas.microsoft.com/office/excel/2006/main">
          <x14:cfRule type="dataBar" id="{FEEE2D7F-75E8-4918-A478-28C84647BE50}">
            <x14:dataBar minLength="0" maxLength="100" border="1" gradient="0">
              <x14:cfvo type="num">
                <xm:f>0</xm:f>
              </x14:cfvo>
              <x14:cfvo type="num">
                <xm:f>1</xm:f>
              </x14:cfvo>
              <x14:borderColor theme="0"/>
              <x14:negativeFillColor rgb="FFFF0000"/>
              <x14:axisColor rgb="FF000000"/>
            </x14:dataBar>
          </x14:cfRule>
          <xm:sqref>BQ613</xm:sqref>
        </x14:conditionalFormatting>
        <x14:conditionalFormatting xmlns:xm="http://schemas.microsoft.com/office/excel/2006/main">
          <x14:cfRule type="dataBar" id="{7EB9BB08-32D3-4F12-8B6E-A06201F66891}">
            <x14:dataBar minLength="0" maxLength="100" border="1" gradient="0">
              <x14:cfvo type="num">
                <xm:f>0</xm:f>
              </x14:cfvo>
              <x14:cfvo type="num">
                <xm:f>1</xm:f>
              </x14:cfvo>
              <x14:borderColor theme="0"/>
              <x14:negativeFillColor rgb="FFFF0000"/>
              <x14:axisColor rgb="FF000000"/>
            </x14:dataBar>
          </x14:cfRule>
          <xm:sqref>BQ615</xm:sqref>
        </x14:conditionalFormatting>
        <x14:conditionalFormatting xmlns:xm="http://schemas.microsoft.com/office/excel/2006/main">
          <x14:cfRule type="dataBar" id="{3431F829-614E-4C42-94FF-EA28FF25EA62}">
            <x14:dataBar minLength="0" maxLength="100" border="1" gradient="0">
              <x14:cfvo type="num">
                <xm:f>0</xm:f>
              </x14:cfvo>
              <x14:cfvo type="num">
                <xm:f>1</xm:f>
              </x14:cfvo>
              <x14:borderColor theme="0"/>
              <x14:negativeFillColor rgb="FFFF0000"/>
              <x14:axisColor rgb="FF000000"/>
            </x14:dataBar>
          </x14:cfRule>
          <xm:sqref>BQ617</xm:sqref>
        </x14:conditionalFormatting>
        <x14:conditionalFormatting xmlns:xm="http://schemas.microsoft.com/office/excel/2006/main">
          <x14:cfRule type="dataBar" id="{BE1CA0BC-E763-4350-913A-C7E8C7068D79}">
            <x14:dataBar minLength="0" maxLength="100" border="1" gradient="0">
              <x14:cfvo type="num">
                <xm:f>0</xm:f>
              </x14:cfvo>
              <x14:cfvo type="num">
                <xm:f>1</xm:f>
              </x14:cfvo>
              <x14:borderColor theme="0"/>
              <x14:negativeFillColor rgb="FFFF0000"/>
              <x14:axisColor rgb="FF000000"/>
            </x14:dataBar>
          </x14:cfRule>
          <xm:sqref>BQ619</xm:sqref>
        </x14:conditionalFormatting>
        <x14:conditionalFormatting xmlns:xm="http://schemas.microsoft.com/office/excel/2006/main">
          <x14:cfRule type="dataBar" id="{BEC5CE57-3EC8-48B2-8809-7DE0E1904B47}">
            <x14:dataBar minLength="0" maxLength="100" border="1" gradient="0">
              <x14:cfvo type="num">
                <xm:f>0</xm:f>
              </x14:cfvo>
              <x14:cfvo type="num">
                <xm:f>1</xm:f>
              </x14:cfvo>
              <x14:borderColor theme="0"/>
              <x14:negativeFillColor rgb="FFFF0000"/>
              <x14:axisColor rgb="FF000000"/>
            </x14:dataBar>
          </x14:cfRule>
          <xm:sqref>BQ621</xm:sqref>
        </x14:conditionalFormatting>
        <x14:conditionalFormatting xmlns:xm="http://schemas.microsoft.com/office/excel/2006/main">
          <x14:cfRule type="dataBar" id="{C70F1680-105E-4920-BB57-AD51D33C0B6F}">
            <x14:dataBar minLength="0" maxLength="100" border="1" gradient="0">
              <x14:cfvo type="num">
                <xm:f>0</xm:f>
              </x14:cfvo>
              <x14:cfvo type="num">
                <xm:f>1</xm:f>
              </x14:cfvo>
              <x14:borderColor theme="0"/>
              <x14:negativeFillColor rgb="FFFF0000"/>
              <x14:axisColor rgb="FF000000"/>
            </x14:dataBar>
          </x14:cfRule>
          <xm:sqref>BQ623</xm:sqref>
        </x14:conditionalFormatting>
        <x14:conditionalFormatting xmlns:xm="http://schemas.microsoft.com/office/excel/2006/main">
          <x14:cfRule type="dataBar" id="{C71CC61D-34F6-494A-88B5-8B873DF4E2F9}">
            <x14:dataBar minLength="0" maxLength="100" border="1" gradient="0">
              <x14:cfvo type="num">
                <xm:f>0</xm:f>
              </x14:cfvo>
              <x14:cfvo type="num">
                <xm:f>1</xm:f>
              </x14:cfvo>
              <x14:borderColor theme="0"/>
              <x14:negativeFillColor rgb="FFFF0000"/>
              <x14:axisColor rgb="FF000000"/>
            </x14:dataBar>
          </x14:cfRule>
          <xm:sqref>BQ625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81EC-6B0A-4CA3-B33B-A4B2D6E2DB79}">
  <sheetPr>
    <tabColor rgb="FF38986A"/>
  </sheetPr>
  <dimension ref="A1:AY64"/>
  <sheetViews>
    <sheetView showGridLines="0" zoomScale="70" zoomScaleNormal="70" workbookViewId="0">
      <pane xSplit="4" ySplit="8" topLeftCell="E9" activePane="bottomRight" state="frozen"/>
      <selection pane="bottomRight" activeCell="V68" sqref="V68"/>
      <selection pane="bottomLeft" activeCell="A9" sqref="A9"/>
      <selection pane="topRight" activeCell="G1" sqref="G1"/>
    </sheetView>
  </sheetViews>
  <sheetFormatPr defaultRowHeight="15" outlineLevelRow="1" outlineLevelCol="1"/>
  <cols>
    <col min="1" max="1" width="1.28515625" customWidth="1"/>
    <col min="2" max="2" width="43.42578125" style="16" customWidth="1"/>
    <col min="3" max="3" width="10.5703125" style="141" bestFit="1" customWidth="1"/>
    <col min="4" max="4" width="1.5703125" customWidth="1"/>
    <col min="5" max="5" width="5.28515625" customWidth="1" outlineLevel="1"/>
    <col min="6" max="6" width="10.42578125" customWidth="1" outlineLevel="1"/>
    <col min="7" max="7" width="11.42578125" customWidth="1" outlineLevel="1"/>
    <col min="8" max="8" width="1" style="4" customWidth="1"/>
    <col min="9" max="9" width="5.28515625" style="59" customWidth="1"/>
    <col min="10" max="10" width="9.7109375" customWidth="1"/>
    <col min="11" max="11" width="11.42578125" customWidth="1"/>
    <col min="12" max="12" width="1" style="4" customWidth="1"/>
    <col min="13" max="19" width="10.5703125" style="7" customWidth="1"/>
    <col min="20" max="20" width="1" style="6" customWidth="1"/>
    <col min="21" max="21" width="13.5703125" style="7" customWidth="1"/>
    <col min="22" max="22" width="13.42578125" customWidth="1"/>
    <col min="23" max="23" width="13.5703125" style="7" customWidth="1"/>
    <col min="24" max="24" width="1.28515625" style="4" customWidth="1"/>
    <col min="25" max="25" width="12.42578125" bestFit="1" customWidth="1"/>
    <col min="26" max="27" width="12.5703125" customWidth="1"/>
    <col min="28" max="28" width="13.42578125" customWidth="1"/>
    <col min="29" max="29" width="1" style="4" customWidth="1"/>
    <col min="30" max="30" width="14" customWidth="1"/>
    <col min="31" max="31" width="1.28515625" style="4" hidden="1" customWidth="1"/>
    <col min="32" max="33" width="14.42578125" hidden="1" customWidth="1"/>
    <col min="34" max="34" width="1.28515625" style="4" customWidth="1"/>
    <col min="35" max="36" width="14.42578125" customWidth="1"/>
    <col min="37" max="37" width="1" style="4" customWidth="1"/>
    <col min="38" max="39" width="12.7109375" customWidth="1"/>
    <col min="40" max="40" width="1.7109375" style="4" customWidth="1"/>
    <col min="41" max="43" width="20.5703125" style="7" hidden="1" customWidth="1"/>
    <col min="44" max="44" width="12.7109375" hidden="1" customWidth="1"/>
    <col min="45" max="45" width="13.5703125" hidden="1" customWidth="1"/>
    <col min="46" max="46" width="13.5703125" style="7" hidden="1" customWidth="1"/>
    <col min="47" max="50" width="5.42578125" customWidth="1"/>
  </cols>
  <sheetData>
    <row r="1" spans="1:51">
      <c r="A1" s="1"/>
      <c r="B1" s="2"/>
      <c r="D1" s="3"/>
      <c r="E1" s="3"/>
      <c r="F1" s="3"/>
      <c r="G1" s="3"/>
      <c r="I1" s="92"/>
      <c r="J1" s="3"/>
      <c r="K1" s="3"/>
      <c r="M1" s="5"/>
      <c r="N1" s="5"/>
      <c r="O1" s="5"/>
      <c r="P1" s="5"/>
      <c r="Q1" s="5"/>
      <c r="R1" s="5"/>
      <c r="S1" s="5"/>
      <c r="U1" s="5"/>
      <c r="V1" s="3"/>
      <c r="W1" s="5"/>
      <c r="Y1" s="3"/>
      <c r="Z1" s="3"/>
      <c r="AA1" s="3"/>
      <c r="AB1" s="3"/>
      <c r="AD1" s="3"/>
      <c r="AF1" s="3"/>
      <c r="AG1" s="3"/>
      <c r="AI1" s="3"/>
      <c r="AJ1" s="3"/>
      <c r="AL1" s="3"/>
      <c r="AM1" s="3"/>
    </row>
    <row r="2" spans="1:51" ht="49.35" customHeight="1">
      <c r="A2" s="1"/>
      <c r="B2" s="349"/>
      <c r="C2" s="88"/>
      <c r="D2" s="88"/>
      <c r="E2" s="350"/>
      <c r="F2" s="88"/>
      <c r="G2" s="88"/>
      <c r="H2" s="88"/>
      <c r="I2" s="350" t="s">
        <v>153</v>
      </c>
      <c r="J2" s="88"/>
      <c r="K2" s="88"/>
      <c r="L2" s="88"/>
      <c r="M2" s="88"/>
      <c r="N2" s="88"/>
      <c r="O2" s="88"/>
      <c r="P2" s="88"/>
      <c r="Q2" s="88"/>
      <c r="R2" s="88"/>
      <c r="S2" s="88"/>
      <c r="T2" s="88"/>
      <c r="U2" s="88"/>
      <c r="V2" s="88"/>
      <c r="W2" s="88"/>
      <c r="X2" s="88"/>
      <c r="Y2" s="88"/>
      <c r="Z2" s="88"/>
      <c r="AA2" s="88"/>
      <c r="AB2" s="351"/>
      <c r="AC2" s="291"/>
      <c r="AD2" s="291"/>
      <c r="AE2" s="291"/>
      <c r="AF2" s="291"/>
      <c r="AG2" s="291"/>
      <c r="AH2" s="291"/>
      <c r="AI2" s="291"/>
      <c r="AJ2" s="291"/>
      <c r="AK2" s="291"/>
      <c r="AL2" s="291"/>
      <c r="AM2" s="291"/>
      <c r="AN2" s="3"/>
      <c r="AO2" s="8"/>
      <c r="AP2" s="8"/>
      <c r="AQ2" s="8"/>
      <c r="AT2" s="88"/>
    </row>
    <row r="3" spans="1:51" ht="8.1" customHeight="1">
      <c r="A3" s="1"/>
      <c r="B3" s="1"/>
      <c r="D3" s="1"/>
      <c r="E3" s="1"/>
      <c r="F3" s="1"/>
      <c r="G3" s="1"/>
      <c r="H3" s="1"/>
      <c r="I3" s="323"/>
      <c r="J3" s="1"/>
      <c r="K3" s="1"/>
      <c r="L3" s="1"/>
      <c r="M3" s="9"/>
      <c r="N3" s="9"/>
      <c r="O3" s="9"/>
      <c r="P3" s="9"/>
      <c r="Q3" s="9"/>
      <c r="R3" s="9"/>
      <c r="S3" s="9"/>
      <c r="T3" s="9"/>
      <c r="U3" s="9"/>
      <c r="V3" s="1"/>
      <c r="W3" s="9"/>
      <c r="X3" s="1"/>
      <c r="Y3" s="1"/>
      <c r="Z3" s="1"/>
      <c r="AA3" s="1"/>
      <c r="AB3" s="1"/>
      <c r="AC3" s="1"/>
      <c r="AD3" s="1"/>
      <c r="AE3" s="1"/>
      <c r="AF3" s="1"/>
      <c r="AG3" s="1"/>
      <c r="AH3" s="1"/>
      <c r="AI3" s="1"/>
      <c r="AJ3" s="1"/>
      <c r="AK3" s="1"/>
      <c r="AL3" s="1"/>
      <c r="AM3" s="1"/>
      <c r="AN3" s="3"/>
      <c r="AO3" s="8"/>
      <c r="AP3" s="8"/>
      <c r="AQ3" s="8"/>
      <c r="AT3" s="9"/>
    </row>
    <row r="4" spans="1:51" ht="35.85" customHeight="1">
      <c r="A4" s="1"/>
      <c r="B4" s="89" t="s">
        <v>0</v>
      </c>
      <c r="C4" s="142" t="s">
        <v>0</v>
      </c>
      <c r="D4" s="3"/>
      <c r="E4" s="217"/>
      <c r="F4" s="218" t="s">
        <v>72</v>
      </c>
      <c r="G4" s="218">
        <f>K4-1</f>
        <v>49</v>
      </c>
      <c r="H4" s="1"/>
      <c r="I4" s="324"/>
      <c r="J4" s="292" t="s">
        <v>72</v>
      </c>
      <c r="K4" s="292">
        <v>50</v>
      </c>
      <c r="L4" s="1"/>
      <c r="M4" s="352" t="s">
        <v>10</v>
      </c>
      <c r="N4" s="90"/>
      <c r="O4" s="90"/>
      <c r="P4" s="90"/>
      <c r="Q4" s="352"/>
      <c r="R4" s="90"/>
      <c r="S4" s="90"/>
      <c r="T4" s="90"/>
      <c r="U4" s="90"/>
      <c r="V4" s="90"/>
      <c r="W4" s="90"/>
      <c r="X4" s="1"/>
      <c r="Y4" s="353" t="s">
        <v>4126</v>
      </c>
      <c r="Z4" s="354"/>
      <c r="AA4" s="354"/>
      <c r="AB4" s="355">
        <v>46204</v>
      </c>
      <c r="AC4" s="293">
        <f>EOMONTH(AB4,0)</f>
        <v>46234</v>
      </c>
      <c r="AD4" s="356" t="s">
        <v>157</v>
      </c>
      <c r="AE4" s="357"/>
      <c r="AF4" s="357"/>
      <c r="AG4" s="357"/>
      <c r="AH4" s="357"/>
      <c r="AI4" s="357"/>
      <c r="AJ4" s="357"/>
      <c r="AK4" s="1"/>
      <c r="AL4" s="358" t="s">
        <v>158</v>
      </c>
      <c r="AM4" s="359"/>
      <c r="AN4" s="3"/>
      <c r="AO4" s="8"/>
      <c r="AP4" s="8"/>
      <c r="AQ4" s="8"/>
      <c r="AT4" s="90"/>
    </row>
    <row r="5" spans="1:51" ht="3" customHeight="1">
      <c r="A5" s="1"/>
      <c r="B5" s="11"/>
      <c r="C5" s="143"/>
      <c r="D5" s="1"/>
      <c r="E5" s="219"/>
      <c r="F5" s="219"/>
      <c r="G5" s="219">
        <v>132</v>
      </c>
      <c r="H5" s="1"/>
      <c r="I5" s="323"/>
      <c r="J5" s="1"/>
      <c r="K5" s="1">
        <v>132</v>
      </c>
      <c r="L5" s="1"/>
      <c r="M5" s="9"/>
      <c r="N5" s="9"/>
      <c r="O5" s="9"/>
      <c r="P5" s="9"/>
      <c r="Q5" s="9"/>
      <c r="R5" s="9"/>
      <c r="S5" s="9"/>
      <c r="T5" s="1"/>
      <c r="U5" s="9"/>
      <c r="V5" s="9"/>
      <c r="W5" s="9"/>
      <c r="X5" s="1"/>
      <c r="Y5" s="13">
        <v>46054</v>
      </c>
      <c r="Z5" s="13">
        <v>46081</v>
      </c>
      <c r="AA5" s="14"/>
      <c r="AB5" s="14"/>
      <c r="AC5" s="1"/>
      <c r="AD5" s="1"/>
      <c r="AE5" s="1"/>
      <c r="AF5" s="1"/>
      <c r="AG5" s="1"/>
      <c r="AH5" s="1"/>
      <c r="AI5" s="1"/>
      <c r="AJ5" s="1"/>
      <c r="AK5" s="1"/>
      <c r="AL5" s="1"/>
      <c r="AM5" s="1"/>
      <c r="AN5" s="3"/>
      <c r="AO5" s="8"/>
      <c r="AP5" s="8"/>
      <c r="AQ5" s="8"/>
      <c r="AT5" s="9"/>
    </row>
    <row r="6" spans="1:51" s="17" customFormat="1" ht="23.85" customHeight="1">
      <c r="A6" s="10"/>
      <c r="B6" s="1158" t="s">
        <v>100</v>
      </c>
      <c r="C6" s="1159" t="s">
        <v>4127</v>
      </c>
      <c r="D6" s="15"/>
      <c r="E6" s="1160" t="s">
        <v>4128</v>
      </c>
      <c r="F6" s="1160"/>
      <c r="G6" s="717" t="s">
        <v>4129</v>
      </c>
      <c r="H6" s="10"/>
      <c r="I6" s="1161" t="s">
        <v>4130</v>
      </c>
      <c r="J6" s="1161"/>
      <c r="K6" s="718" t="str">
        <f ca="1">TEXT(K7,"dDD")</f>
        <v>Tue</v>
      </c>
      <c r="L6" s="10"/>
      <c r="M6" s="294" t="str">
        <f>TEXT(M7,"dDD")</f>
        <v>seg</v>
      </c>
      <c r="N6" s="294" t="str">
        <f t="shared" ref="N6:S6" si="0">TEXT(N7,"dDD")</f>
        <v>ter</v>
      </c>
      <c r="O6" s="294" t="str">
        <f t="shared" si="0"/>
        <v>qua</v>
      </c>
      <c r="P6" s="294" t="str">
        <f t="shared" si="0"/>
        <v>qui</v>
      </c>
      <c r="Q6" s="294" t="str">
        <f t="shared" si="0"/>
        <v>sex</v>
      </c>
      <c r="R6" s="294" t="str">
        <f t="shared" si="0"/>
        <v>sáb</v>
      </c>
      <c r="S6" s="294" t="str">
        <f t="shared" si="0"/>
        <v>dom</v>
      </c>
      <c r="T6" s="10"/>
      <c r="U6" s="1151" t="str">
        <f ca="1">"TOTAL SEMANA
(até "&amp;TEXT(K7,"DD/MM")&amp;")"</f>
        <v>TOTAL SEMANA
(até 14/07)</v>
      </c>
      <c r="V6" s="295" t="s">
        <v>4129</v>
      </c>
      <c r="W6" s="1151" t="str">
        <f>"TOTAL SEMANA"</f>
        <v>TOTAL SEMANA</v>
      </c>
      <c r="X6" s="10"/>
      <c r="Y6" s="1164" t="s">
        <v>4131</v>
      </c>
      <c r="Z6" s="1165" t="s">
        <v>4132</v>
      </c>
      <c r="AA6" s="1162" t="s">
        <v>4133</v>
      </c>
      <c r="AB6" s="719" t="s">
        <v>4129</v>
      </c>
      <c r="AC6" s="10"/>
      <c r="AD6" s="1163" t="s">
        <v>4134</v>
      </c>
      <c r="AE6" s="10"/>
      <c r="AF6" s="1104" t="s">
        <v>3834</v>
      </c>
      <c r="AG6" s="1104" t="s">
        <v>3835</v>
      </c>
      <c r="AH6" s="10"/>
      <c r="AI6" s="1140" t="s">
        <v>4135</v>
      </c>
      <c r="AJ6" s="1140" t="s">
        <v>4136</v>
      </c>
      <c r="AK6" s="10"/>
      <c r="AL6" s="1141" t="s">
        <v>4137</v>
      </c>
      <c r="AM6" s="1141" t="s">
        <v>30</v>
      </c>
      <c r="AN6" s="15"/>
      <c r="AO6" s="1157" t="s">
        <v>4138</v>
      </c>
      <c r="AP6" s="276"/>
      <c r="AQ6" s="276"/>
      <c r="AR6" s="17" t="s">
        <v>4139</v>
      </c>
      <c r="AT6" s="1151"/>
    </row>
    <row r="7" spans="1:51" s="17" customFormat="1" ht="30.75" customHeight="1">
      <c r="A7" s="15"/>
      <c r="B7" s="1158"/>
      <c r="C7" s="1159"/>
      <c r="D7" s="15"/>
      <c r="E7" s="1160"/>
      <c r="F7" s="1160"/>
      <c r="G7" s="91">
        <f>AVERAGE(G9,G17,G25,G33,G39,G48)</f>
        <v>0.90978835978835981</v>
      </c>
      <c r="H7" s="10"/>
      <c r="I7" s="1161"/>
      <c r="J7" s="1161"/>
      <c r="K7" s="296">
        <f ca="1">TODAY()-1</f>
        <v>46217</v>
      </c>
      <c r="L7" s="10"/>
      <c r="M7" s="297">
        <v>46216</v>
      </c>
      <c r="N7" s="297">
        <f>M7+1</f>
        <v>46217</v>
      </c>
      <c r="O7" s="297">
        <f t="shared" ref="O7:S7" si="1">N7+1</f>
        <v>46218</v>
      </c>
      <c r="P7" s="297">
        <f t="shared" si="1"/>
        <v>46219</v>
      </c>
      <c r="Q7" s="297">
        <f t="shared" si="1"/>
        <v>46220</v>
      </c>
      <c r="R7" s="297">
        <f t="shared" si="1"/>
        <v>46221</v>
      </c>
      <c r="S7" s="297">
        <f t="shared" si="1"/>
        <v>46222</v>
      </c>
      <c r="T7" s="10"/>
      <c r="U7" s="1151"/>
      <c r="V7" s="91">
        <f ca="1">AVERAGE(V17,V25,V33,V39,V48)</f>
        <v>1</v>
      </c>
      <c r="W7" s="1151"/>
      <c r="X7" s="10"/>
      <c r="Y7" s="1164"/>
      <c r="Z7" s="1165"/>
      <c r="AA7" s="1162"/>
      <c r="AB7" s="91">
        <f>AVERAGE(AB9,AB17,AB25,AB33,AB39,AB48)</f>
        <v>1.1270531400966184</v>
      </c>
      <c r="AC7" s="10"/>
      <c r="AD7" s="1163"/>
      <c r="AE7" s="10"/>
      <c r="AF7" s="1104"/>
      <c r="AG7" s="1104"/>
      <c r="AH7" s="10"/>
      <c r="AI7" s="1140"/>
      <c r="AJ7" s="1140"/>
      <c r="AK7" s="10"/>
      <c r="AL7" s="1141"/>
      <c r="AM7" s="1141"/>
      <c r="AN7" s="15"/>
      <c r="AO7" s="1157"/>
      <c r="AP7" s="276"/>
      <c r="AQ7" s="276"/>
      <c r="AT7" s="1151"/>
    </row>
    <row r="8" spans="1:51" s="3" customFormat="1" ht="12" customHeight="1">
      <c r="C8" s="141"/>
      <c r="F8" s="92"/>
      <c r="I8" s="92"/>
      <c r="J8" s="92"/>
      <c r="M8" s="5"/>
      <c r="N8" s="5"/>
      <c r="O8" s="5"/>
      <c r="P8" s="5"/>
      <c r="Q8" s="5"/>
      <c r="R8" s="5"/>
      <c r="S8" s="5"/>
      <c r="U8" s="5"/>
      <c r="V8" s="5"/>
      <c r="W8" s="5"/>
      <c r="Y8" s="18"/>
      <c r="Z8" s="18"/>
      <c r="AH8" s="2"/>
      <c r="AO8" s="19"/>
      <c r="AP8" s="19"/>
      <c r="AQ8" s="19"/>
      <c r="AT8" s="5"/>
    </row>
    <row r="9" spans="1:51" s="93" customFormat="1">
      <c r="B9" s="1154" t="s">
        <v>107</v>
      </c>
      <c r="C9" s="1133"/>
      <c r="D9" s="94"/>
      <c r="E9" s="95" t="s">
        <v>37</v>
      </c>
      <c r="F9" s="315">
        <v>0</v>
      </c>
      <c r="G9" s="1119" t="str">
        <f>IFERROR((F10/F9),"-")</f>
        <v>-</v>
      </c>
      <c r="H9" s="94"/>
      <c r="I9" s="95" t="s">
        <v>37</v>
      </c>
      <c r="J9" s="96">
        <f ca="1">INDEX(M9:S9,MATCH($K$7,M$7:S$7,0))</f>
        <v>0</v>
      </c>
      <c r="K9" s="1119" t="str">
        <f ca="1">IFERROR((J10/J9),"-")</f>
        <v>-</v>
      </c>
      <c r="L9" s="94"/>
      <c r="M9" s="96">
        <f>SUM(M11+M13+M15)</f>
        <v>0</v>
      </c>
      <c r="N9" s="96">
        <f t="shared" ref="N9:S10" si="2">SUM(N11+N13+N15)</f>
        <v>0</v>
      </c>
      <c r="O9" s="96">
        <f t="shared" si="2"/>
        <v>0</v>
      </c>
      <c r="P9" s="96">
        <f t="shared" si="2"/>
        <v>0</v>
      </c>
      <c r="Q9" s="96">
        <f t="shared" si="2"/>
        <v>0</v>
      </c>
      <c r="R9" s="96">
        <f t="shared" si="2"/>
        <v>0</v>
      </c>
      <c r="S9" s="96">
        <f t="shared" si="2"/>
        <v>0</v>
      </c>
      <c r="T9" s="94"/>
      <c r="U9" s="96">
        <f ca="1">SUMIFS(M9:S9,$M$7:$S$7,"&gt;="&amp;$M$7,$M$7:$S$7,"&lt;="&amp;$K$7)</f>
        <v>0</v>
      </c>
      <c r="V9" s="1119" t="str">
        <f ca="1">IF(T9=0,IF(U9&gt;0,100%,"-"),U9/T9)</f>
        <v>-</v>
      </c>
      <c r="W9" s="96">
        <f ca="1">SUM(O9:U9)</f>
        <v>0</v>
      </c>
      <c r="X9" s="94"/>
      <c r="Y9" s="1134">
        <f>SUM(Y11:Y16)</f>
        <v>0</v>
      </c>
      <c r="Z9" s="1134">
        <f>SUM(Z11:Z16)</f>
        <v>0</v>
      </c>
      <c r="AA9" s="1134">
        <f>SUM(AA11,AA13,AA15)</f>
        <v>0</v>
      </c>
      <c r="AB9" s="1119" t="str">
        <f>IF(Z9=0,IF(AA9&gt;0,100%,"-"),AA9/Z9)</f>
        <v>-</v>
      </c>
      <c r="AC9" s="94"/>
      <c r="AD9" s="1134">
        <f>SUM(AD11,AD13,AD15)</f>
        <v>67</v>
      </c>
      <c r="AE9" s="298"/>
      <c r="AF9" s="1135">
        <v>210</v>
      </c>
      <c r="AG9" s="1119">
        <f>IFERROR((AD9/AF9),"-")</f>
        <v>0.31904761904761902</v>
      </c>
      <c r="AH9" s="94"/>
      <c r="AI9" s="1134">
        <f>SUM(AI11:AI16)</f>
        <v>67</v>
      </c>
      <c r="AJ9" s="1119">
        <f>IFERROR((AD9/AI9),"-")</f>
        <v>1</v>
      </c>
      <c r="AK9" s="94"/>
      <c r="AL9" s="1134">
        <f>SUM(AL11:AL16)</f>
        <v>67</v>
      </c>
      <c r="AM9" s="1134">
        <f>SUM(AM11:AM16)</f>
        <v>0</v>
      </c>
      <c r="AN9" s="94"/>
      <c r="AO9" s="1152" t="s">
        <v>4140</v>
      </c>
      <c r="AP9" s="277"/>
      <c r="AQ9" s="277"/>
      <c r="AR9" s="93">
        <v>0</v>
      </c>
      <c r="AT9" s="96"/>
      <c r="AY9" s="93" t="str">
        <f>IF(B9&lt;&gt;"",B9,AY8)</f>
        <v>Blocos</v>
      </c>
    </row>
    <row r="10" spans="1:51" s="98" customFormat="1">
      <c r="A10" s="94"/>
      <c r="B10" s="1154"/>
      <c r="C10" s="1133"/>
      <c r="D10" s="94"/>
      <c r="E10" s="95" t="s">
        <v>38</v>
      </c>
      <c r="F10" s="316">
        <v>0</v>
      </c>
      <c r="G10" s="1120"/>
      <c r="H10" s="94"/>
      <c r="I10" s="299" t="s">
        <v>38</v>
      </c>
      <c r="J10" s="97">
        <f t="shared" ref="J10:J46" ca="1" si="3">INDEX(M10:S10,MATCH($K$7,M$7:S$7,0))</f>
        <v>0</v>
      </c>
      <c r="K10" s="1120"/>
      <c r="L10" s="94"/>
      <c r="M10" s="96">
        <f>SUM(M12+M14+M16)</f>
        <v>0</v>
      </c>
      <c r="N10" s="96">
        <f t="shared" si="2"/>
        <v>0</v>
      </c>
      <c r="O10" s="96">
        <f t="shared" si="2"/>
        <v>0</v>
      </c>
      <c r="P10" s="96">
        <f t="shared" si="2"/>
        <v>0</v>
      </c>
      <c r="Q10" s="96">
        <f t="shared" si="2"/>
        <v>0</v>
      </c>
      <c r="R10" s="96">
        <f t="shared" si="2"/>
        <v>0</v>
      </c>
      <c r="S10" s="96">
        <f t="shared" si="2"/>
        <v>0</v>
      </c>
      <c r="T10" s="300"/>
      <c r="U10" s="97">
        <f t="shared" ref="U10:U46" ca="1" si="4">SUMIFS(M10:S10,$M$7:$S$7,"&gt;="&amp;$M$7,$M$7:$S$7,"&lt;="&amp;$K$7)</f>
        <v>0</v>
      </c>
      <c r="V10" s="1120"/>
      <c r="W10" s="97">
        <f t="shared" ref="W10:W16" ca="1" si="5">SUM(O10:U10)</f>
        <v>0</v>
      </c>
      <c r="X10" s="94"/>
      <c r="Y10" s="1134"/>
      <c r="Z10" s="1135"/>
      <c r="AA10" s="1135"/>
      <c r="AB10" s="1120"/>
      <c r="AC10" s="94"/>
      <c r="AD10" s="1134"/>
      <c r="AE10" s="298"/>
      <c r="AF10" s="1135"/>
      <c r="AG10" s="1119"/>
      <c r="AH10" s="94"/>
      <c r="AI10" s="1134"/>
      <c r="AJ10" s="1119"/>
      <c r="AK10" s="94"/>
      <c r="AL10" s="1134"/>
      <c r="AM10" s="1134"/>
      <c r="AN10" s="94"/>
      <c r="AO10" s="1153"/>
      <c r="AP10" s="278"/>
      <c r="AQ10" s="278"/>
      <c r="AR10" s="98">
        <v>0</v>
      </c>
      <c r="AT10" s="96"/>
      <c r="AY10" s="93" t="str">
        <f t="shared" ref="AY10:AY63" si="6">IF(B10&lt;&gt;"",B10,AY9)</f>
        <v>Blocos</v>
      </c>
    </row>
    <row r="11" spans="1:51" s="16" customFormat="1" ht="14.65" hidden="1" customHeight="1" outlineLevel="1">
      <c r="A11" s="2"/>
      <c r="B11" s="1062" t="s">
        <v>4141</v>
      </c>
      <c r="C11" s="1109" t="s">
        <v>4142</v>
      </c>
      <c r="D11" s="2"/>
      <c r="E11" s="99" t="s">
        <v>37</v>
      </c>
      <c r="F11" s="401">
        <v>0</v>
      </c>
      <c r="G11" s="1073" t="str">
        <f>IFERROR((F12/F11),"-")</f>
        <v>-</v>
      </c>
      <c r="H11" s="2"/>
      <c r="I11" s="99" t="s">
        <v>37</v>
      </c>
      <c r="J11" s="720">
        <f t="shared" ca="1" si="3"/>
        <v>0</v>
      </c>
      <c r="K11" s="1073" t="str">
        <f ca="1">IFERROR((J12/J11),"-")</f>
        <v>-</v>
      </c>
      <c r="L11" s="2"/>
      <c r="M11" s="301"/>
      <c r="N11" s="301"/>
      <c r="O11" s="301"/>
      <c r="P11" s="301"/>
      <c r="Q11" s="301"/>
      <c r="R11" s="301"/>
      <c r="S11" s="301"/>
      <c r="T11" s="2"/>
      <c r="U11" s="302">
        <f t="shared" ca="1" si="4"/>
        <v>0</v>
      </c>
      <c r="V11" s="1073" t="str">
        <f ca="1">IFERROR((U12/U11),"-")</f>
        <v>-</v>
      </c>
      <c r="W11" s="302">
        <f t="shared" ca="1" si="5"/>
        <v>0</v>
      </c>
      <c r="X11" s="2"/>
      <c r="Y11" s="1126">
        <v>0</v>
      </c>
      <c r="Z11" s="1138">
        <v>0</v>
      </c>
      <c r="AA11" s="1126">
        <v>0</v>
      </c>
      <c r="AB11" s="1073" t="str">
        <f t="shared" ref="AB11" si="7">IFERROR((AA11/Z11),"-")</f>
        <v>-</v>
      </c>
      <c r="AC11" s="2"/>
      <c r="AD11" s="1123">
        <v>3</v>
      </c>
      <c r="AE11" s="2"/>
      <c r="AF11" s="1114">
        <v>106</v>
      </c>
      <c r="AG11" s="1073">
        <f t="shared" ref="AG11" si="8">IFERROR((AD11/AF11),"-")</f>
        <v>2.8301886792452831E-2</v>
      </c>
      <c r="AH11" s="2"/>
      <c r="AI11" s="1126">
        <v>3</v>
      </c>
      <c r="AJ11" s="1073">
        <f t="shared" ref="AJ11" si="9">IFERROR((AD11/AI11),"-")</f>
        <v>1</v>
      </c>
      <c r="AK11" s="2"/>
      <c r="AL11" s="1126">
        <v>3</v>
      </c>
      <c r="AM11" s="1123">
        <f>AL11-AD11</f>
        <v>0</v>
      </c>
      <c r="AN11" s="2"/>
      <c r="AO11" s="1109" t="s">
        <v>4140</v>
      </c>
      <c r="AP11" s="279"/>
      <c r="AQ11" s="279"/>
      <c r="AT11" s="100" t="e">
        <f t="shared" ref="AT11:AT16" si="10">SUMIFS(AJ11:AR11,$N$7:$T$7,"&gt;="&amp;$N$7,$N$7:$T$7,"&lt;="&amp;$L$7)</f>
        <v>#VALUE!</v>
      </c>
      <c r="AY11" s="93" t="str">
        <f t="shared" si="6"/>
        <v>Blocos (Etapas) - Lado Goiás</v>
      </c>
    </row>
    <row r="12" spans="1:51" s="16" customFormat="1" ht="14.65" hidden="1" customHeight="1" outlineLevel="1">
      <c r="A12" s="2"/>
      <c r="B12" s="1063"/>
      <c r="C12" s="1110"/>
      <c r="D12" s="2"/>
      <c r="E12" s="20" t="s">
        <v>38</v>
      </c>
      <c r="F12" s="364">
        <v>0</v>
      </c>
      <c r="G12" s="1074"/>
      <c r="H12" s="2"/>
      <c r="I12" s="303" t="s">
        <v>38</v>
      </c>
      <c r="J12" s="305">
        <f t="shared" ca="1" si="3"/>
        <v>0</v>
      </c>
      <c r="K12" s="1074"/>
      <c r="L12" s="2"/>
      <c r="M12" s="304"/>
      <c r="N12" s="304"/>
      <c r="O12" s="304"/>
      <c r="P12" s="304"/>
      <c r="Q12" s="304"/>
      <c r="R12" s="304"/>
      <c r="S12" s="304"/>
      <c r="T12" s="2"/>
      <c r="U12" s="101">
        <f t="shared" ca="1" si="4"/>
        <v>0</v>
      </c>
      <c r="V12" s="1074"/>
      <c r="W12" s="101">
        <f t="shared" ca="1" si="5"/>
        <v>0</v>
      </c>
      <c r="X12" s="2"/>
      <c r="Y12" s="1127"/>
      <c r="Z12" s="1139"/>
      <c r="AA12" s="1127" t="e">
        <v>#VALUE!</v>
      </c>
      <c r="AB12" s="1074"/>
      <c r="AC12" s="2"/>
      <c r="AD12" s="1125" t="e">
        <v>#VALUE!</v>
      </c>
      <c r="AE12" s="2"/>
      <c r="AF12" s="1115"/>
      <c r="AG12" s="1117"/>
      <c r="AH12" s="2"/>
      <c r="AI12" s="1127"/>
      <c r="AJ12" s="1117"/>
      <c r="AK12" s="2"/>
      <c r="AL12" s="1127"/>
      <c r="AM12" s="1125"/>
      <c r="AN12" s="2"/>
      <c r="AO12" s="1110"/>
      <c r="AP12" s="280"/>
      <c r="AQ12" s="280"/>
      <c r="AT12" s="101" t="e">
        <f t="shared" si="10"/>
        <v>#VALUE!</v>
      </c>
      <c r="AY12" s="93" t="str">
        <f t="shared" si="6"/>
        <v>Blocos (Etapas) - Lado Goiás</v>
      </c>
    </row>
    <row r="13" spans="1:51" s="16" customFormat="1" ht="14.65" hidden="1" customHeight="1" outlineLevel="1">
      <c r="A13" s="2"/>
      <c r="B13" s="1062" t="s">
        <v>4143</v>
      </c>
      <c r="C13" s="1109" t="s">
        <v>4142</v>
      </c>
      <c r="D13" s="2"/>
      <c r="E13" s="99" t="s">
        <v>37</v>
      </c>
      <c r="F13" s="401">
        <v>0</v>
      </c>
      <c r="G13" s="1073" t="str">
        <f t="shared" ref="G13" si="11">IFERROR((F14/F13),"-")</f>
        <v>-</v>
      </c>
      <c r="H13" s="2"/>
      <c r="I13" s="99" t="s">
        <v>37</v>
      </c>
      <c r="J13" s="720">
        <f t="shared" ca="1" si="3"/>
        <v>0</v>
      </c>
      <c r="K13" s="1073" t="str">
        <f t="shared" ref="K13" ca="1" si="12">IFERROR((J14/J13),"-")</f>
        <v>-</v>
      </c>
      <c r="L13" s="2"/>
      <c r="M13" s="301"/>
      <c r="N13" s="301"/>
      <c r="O13" s="301"/>
      <c r="P13" s="301"/>
      <c r="Q13" s="301"/>
      <c r="R13" s="301"/>
      <c r="S13" s="301"/>
      <c r="T13" s="2"/>
      <c r="U13" s="302">
        <f t="shared" ca="1" si="4"/>
        <v>0</v>
      </c>
      <c r="V13" s="1073" t="str">
        <f t="shared" ref="V13" ca="1" si="13">IFERROR((U14/U13),"-")</f>
        <v>-</v>
      </c>
      <c r="W13" s="302">
        <f t="shared" ca="1" si="5"/>
        <v>0</v>
      </c>
      <c r="X13" s="2"/>
      <c r="Y13" s="1126">
        <v>0</v>
      </c>
      <c r="Z13" s="1138">
        <v>0</v>
      </c>
      <c r="AA13" s="1126">
        <v>0</v>
      </c>
      <c r="AB13" s="1073" t="str">
        <f t="shared" ref="AB13" si="14">IFERROR((AA13/Z13),"-")</f>
        <v>-</v>
      </c>
      <c r="AC13" s="2"/>
      <c r="AD13" s="1123">
        <v>14</v>
      </c>
      <c r="AE13" s="2"/>
      <c r="AF13" s="1114">
        <v>104</v>
      </c>
      <c r="AG13" s="1073">
        <f t="shared" ref="AG13" si="15">IFERROR((AD13/AF13),"-")</f>
        <v>0.13461538461538461</v>
      </c>
      <c r="AH13" s="2"/>
      <c r="AI13" s="1126">
        <v>14</v>
      </c>
      <c r="AJ13" s="1073">
        <f t="shared" ref="AJ13" si="16">IFERROR((AD13/AI13),"-")</f>
        <v>1</v>
      </c>
      <c r="AK13" s="2"/>
      <c r="AL13" s="1126">
        <v>14</v>
      </c>
      <c r="AM13" s="1123">
        <f>AL13-AD13</f>
        <v>0</v>
      </c>
      <c r="AN13" s="2"/>
      <c r="AO13" s="1109" t="s">
        <v>4140</v>
      </c>
      <c r="AP13" s="279"/>
      <c r="AQ13" s="279"/>
      <c r="AT13" s="100" t="e">
        <f t="shared" si="10"/>
        <v>#VALUE!</v>
      </c>
      <c r="AY13" s="93" t="str">
        <f t="shared" si="6"/>
        <v>Blocos (Etapas) - Balanço Sucessivo</v>
      </c>
    </row>
    <row r="14" spans="1:51" s="16" customFormat="1" ht="14.65" hidden="1" customHeight="1" outlineLevel="1">
      <c r="A14" s="2"/>
      <c r="B14" s="1063"/>
      <c r="C14" s="1110"/>
      <c r="D14" s="2"/>
      <c r="E14" s="20" t="s">
        <v>38</v>
      </c>
      <c r="F14" s="363">
        <v>0</v>
      </c>
      <c r="G14" s="1074"/>
      <c r="H14" s="2"/>
      <c r="I14" s="303" t="s">
        <v>38</v>
      </c>
      <c r="J14" s="305">
        <f t="shared" ca="1" si="3"/>
        <v>0</v>
      </c>
      <c r="K14" s="1074"/>
      <c r="L14" s="2"/>
      <c r="M14" s="304"/>
      <c r="N14" s="304"/>
      <c r="O14" s="304"/>
      <c r="P14" s="304"/>
      <c r="Q14" s="304"/>
      <c r="R14" s="304"/>
      <c r="S14" s="304"/>
      <c r="T14" s="2"/>
      <c r="U14" s="102">
        <f t="shared" ca="1" si="4"/>
        <v>0</v>
      </c>
      <c r="V14" s="1074"/>
      <c r="W14" s="102">
        <f t="shared" ca="1" si="5"/>
        <v>0</v>
      </c>
      <c r="X14" s="2"/>
      <c r="Y14" s="1127"/>
      <c r="Z14" s="1139"/>
      <c r="AA14" s="1127" t="e">
        <v>#VALUE!</v>
      </c>
      <c r="AB14" s="1074"/>
      <c r="AC14" s="2"/>
      <c r="AD14" s="1125" t="e">
        <v>#VALUE!</v>
      </c>
      <c r="AE14" s="2"/>
      <c r="AF14" s="1115"/>
      <c r="AG14" s="1117"/>
      <c r="AH14" s="2"/>
      <c r="AI14" s="1127"/>
      <c r="AJ14" s="1117"/>
      <c r="AK14" s="2"/>
      <c r="AL14" s="1127"/>
      <c r="AM14" s="1125"/>
      <c r="AN14" s="2"/>
      <c r="AO14" s="1110"/>
      <c r="AP14" s="280"/>
      <c r="AQ14" s="280"/>
      <c r="AT14" s="101" t="e">
        <f t="shared" si="10"/>
        <v>#VALUE!</v>
      </c>
      <c r="AY14" s="93" t="str">
        <f t="shared" si="6"/>
        <v>Blocos (Etapas) - Balanço Sucessivo</v>
      </c>
    </row>
    <row r="15" spans="1:51" s="16" customFormat="1" ht="14.65" hidden="1" customHeight="1" outlineLevel="1">
      <c r="A15" s="2"/>
      <c r="B15" s="1062" t="s">
        <v>4144</v>
      </c>
      <c r="C15" s="1109" t="s">
        <v>4142</v>
      </c>
      <c r="D15" s="2"/>
      <c r="E15" s="99" t="s">
        <v>37</v>
      </c>
      <c r="F15" s="364">
        <v>0</v>
      </c>
      <c r="G15" s="1073" t="str">
        <f t="shared" ref="G15" si="17">IFERROR((F16/F15),"-")</f>
        <v>-</v>
      </c>
      <c r="H15" s="2"/>
      <c r="I15" s="99" t="s">
        <v>37</v>
      </c>
      <c r="J15" s="720">
        <f t="shared" ca="1" si="3"/>
        <v>0</v>
      </c>
      <c r="K15" s="1073" t="str">
        <f t="shared" ref="K15" ca="1" si="18">IFERROR((J16/J15),"-")</f>
        <v>-</v>
      </c>
      <c r="L15" s="2"/>
      <c r="M15" s="301"/>
      <c r="N15" s="301"/>
      <c r="O15" s="301"/>
      <c r="P15" s="301"/>
      <c r="Q15" s="301"/>
      <c r="R15" s="306"/>
      <c r="S15" s="301"/>
      <c r="T15" s="2"/>
      <c r="U15" s="307">
        <f t="shared" ca="1" si="4"/>
        <v>0</v>
      </c>
      <c r="V15" s="1073" t="str">
        <f t="shared" ref="V15" ca="1" si="19">IFERROR((U16/U15),"-")</f>
        <v>-</v>
      </c>
      <c r="W15" s="307">
        <f t="shared" ca="1" si="5"/>
        <v>0</v>
      </c>
      <c r="X15" s="2"/>
      <c r="Y15" s="1126">
        <v>0</v>
      </c>
      <c r="Z15" s="1138">
        <v>0</v>
      </c>
      <c r="AA15" s="1126">
        <v>0</v>
      </c>
      <c r="AB15" s="1073" t="str">
        <f t="shared" ref="AB15" si="20">IFERROR((AA15/Z15),"-")</f>
        <v>-</v>
      </c>
      <c r="AC15" s="2"/>
      <c r="AD15" s="1123">
        <v>50</v>
      </c>
      <c r="AE15" s="2"/>
      <c r="AF15" s="1155" t="e">
        <v>#N/A</v>
      </c>
      <c r="AG15" s="1073" t="str">
        <f t="shared" ref="AG15" si="21">IFERROR((AD15/AF15),"-")</f>
        <v>-</v>
      </c>
      <c r="AH15" s="2"/>
      <c r="AI15" s="1126">
        <v>50</v>
      </c>
      <c r="AJ15" s="1073">
        <f t="shared" ref="AJ15" si="22">IFERROR((AD15/AI15),"-")</f>
        <v>1</v>
      </c>
      <c r="AK15" s="2"/>
      <c r="AL15" s="1126">
        <v>50</v>
      </c>
      <c r="AM15" s="1123">
        <f>AL15-AD15</f>
        <v>0</v>
      </c>
      <c r="AN15" s="2"/>
      <c r="AO15" s="1109" t="s">
        <v>4140</v>
      </c>
      <c r="AP15" s="279"/>
      <c r="AQ15" s="279"/>
      <c r="AT15" s="101" t="e">
        <f t="shared" si="10"/>
        <v>#VALUE!</v>
      </c>
      <c r="AY15" s="93" t="str">
        <f t="shared" si="6"/>
        <v>Blocos (Etapas) - Lado Mato Grosso</v>
      </c>
    </row>
    <row r="16" spans="1:51" s="16" customFormat="1" ht="14.65" hidden="1" customHeight="1" outlineLevel="1">
      <c r="A16" s="2"/>
      <c r="B16" s="1063"/>
      <c r="C16" s="1110"/>
      <c r="D16" s="2"/>
      <c r="E16" s="20" t="s">
        <v>38</v>
      </c>
      <c r="F16" s="364">
        <v>0</v>
      </c>
      <c r="G16" s="1074"/>
      <c r="H16" s="2"/>
      <c r="I16" s="303" t="s">
        <v>38</v>
      </c>
      <c r="J16" s="305">
        <f t="shared" ca="1" si="3"/>
        <v>0</v>
      </c>
      <c r="K16" s="1074"/>
      <c r="L16" s="2"/>
      <c r="M16" s="304"/>
      <c r="N16" s="304"/>
      <c r="O16" s="304"/>
      <c r="P16" s="304"/>
      <c r="Q16" s="304"/>
      <c r="R16" s="304"/>
      <c r="S16" s="304"/>
      <c r="T16" s="2"/>
      <c r="U16" s="101">
        <f t="shared" ca="1" si="4"/>
        <v>0</v>
      </c>
      <c r="V16" s="1074"/>
      <c r="W16" s="101">
        <f t="shared" ca="1" si="5"/>
        <v>0</v>
      </c>
      <c r="X16" s="2"/>
      <c r="Y16" s="1127"/>
      <c r="Z16" s="1139"/>
      <c r="AA16" s="1127" t="e">
        <v>#VALUE!</v>
      </c>
      <c r="AB16" s="1074"/>
      <c r="AC16" s="2"/>
      <c r="AD16" s="1125" t="e">
        <v>#VALUE!</v>
      </c>
      <c r="AE16" s="2"/>
      <c r="AF16" s="1156"/>
      <c r="AG16" s="1117"/>
      <c r="AH16" s="2"/>
      <c r="AI16" s="1127"/>
      <c r="AJ16" s="1117"/>
      <c r="AK16" s="2"/>
      <c r="AL16" s="1127"/>
      <c r="AM16" s="1125"/>
      <c r="AN16" s="2"/>
      <c r="AO16" s="1110"/>
      <c r="AP16" s="280"/>
      <c r="AQ16" s="280"/>
      <c r="AT16" s="101" t="e">
        <f t="shared" si="10"/>
        <v>#VALUE!</v>
      </c>
      <c r="AY16" s="93" t="str">
        <f t="shared" si="6"/>
        <v>Blocos (Etapas) - Lado Mato Grosso</v>
      </c>
    </row>
    <row r="17" spans="1:51" s="93" customFormat="1" collapsed="1">
      <c r="B17" s="1154" t="s">
        <v>57</v>
      </c>
      <c r="C17" s="1133"/>
      <c r="D17" s="94"/>
      <c r="E17" s="95" t="s">
        <v>37</v>
      </c>
      <c r="F17" s="315">
        <v>6</v>
      </c>
      <c r="G17" s="1119">
        <f>IFERROR((F18/F17),"-")</f>
        <v>1.1666666666666667</v>
      </c>
      <c r="H17" s="94"/>
      <c r="I17" s="95" t="s">
        <v>37</v>
      </c>
      <c r="J17" s="315">
        <f t="shared" ca="1" si="3"/>
        <v>0</v>
      </c>
      <c r="K17" s="1119" t="str">
        <f t="shared" ref="K17" ca="1" si="23">IFERROR((J18/J17),"-")</f>
        <v>-</v>
      </c>
      <c r="L17" s="94"/>
      <c r="M17" s="96">
        <f>SUM(M19+M21+M23)</f>
        <v>0</v>
      </c>
      <c r="N17" s="96">
        <f t="shared" ref="N17:S18" si="24">SUM(N19+N21+N23)</f>
        <v>0</v>
      </c>
      <c r="O17" s="96">
        <f t="shared" si="24"/>
        <v>4</v>
      </c>
      <c r="P17" s="96">
        <f t="shared" si="24"/>
        <v>0</v>
      </c>
      <c r="Q17" s="96">
        <f t="shared" si="24"/>
        <v>0</v>
      </c>
      <c r="R17" s="96">
        <f t="shared" si="24"/>
        <v>5</v>
      </c>
      <c r="S17" s="96">
        <f t="shared" si="24"/>
        <v>0</v>
      </c>
      <c r="T17" s="94"/>
      <c r="U17" s="96">
        <f t="shared" ca="1" si="4"/>
        <v>0</v>
      </c>
      <c r="V17" s="1119" t="str">
        <f ca="1">IFERROR((U18/U17),"-")</f>
        <v>-</v>
      </c>
      <c r="W17" s="96">
        <f>SUM(M17:S17)</f>
        <v>9</v>
      </c>
      <c r="X17" s="94"/>
      <c r="Y17" s="1134">
        <f>SUM(Y19:Y24)</f>
        <v>50</v>
      </c>
      <c r="Z17" s="1134">
        <f>SUM(Z19:Z24)</f>
        <v>18</v>
      </c>
      <c r="AA17" s="1134">
        <f>SUM(AA19,AA21,AA23)</f>
        <v>13</v>
      </c>
      <c r="AB17" s="1119">
        <f>IF(Z17=0,IF(AA17&gt;0,100%,"-"),AA17/Z17)</f>
        <v>0.72222222222222221</v>
      </c>
      <c r="AC17" s="94"/>
      <c r="AD17" s="1134">
        <f>SUM(AD19,AD21,AD23)</f>
        <v>175</v>
      </c>
      <c r="AE17" s="298"/>
      <c r="AF17" s="1135">
        <v>210</v>
      </c>
      <c r="AG17" s="1119">
        <f>IFERROR((AD17/AF17),"-")</f>
        <v>0.83333333333333337</v>
      </c>
      <c r="AH17" s="94"/>
      <c r="AI17" s="1134">
        <f>SUM(AI19:AI24)</f>
        <v>183</v>
      </c>
      <c r="AJ17" s="1119">
        <f>IFERROR((AD17/AI17),"-")</f>
        <v>0.95628415300546443</v>
      </c>
      <c r="AK17" s="94"/>
      <c r="AL17" s="1134">
        <f>SUM(AL19:AL24)</f>
        <v>249</v>
      </c>
      <c r="AM17" s="1134">
        <f>SUM(AM19:AM24)</f>
        <v>74</v>
      </c>
      <c r="AN17" s="94"/>
      <c r="AO17" s="1152" t="s">
        <v>4140</v>
      </c>
      <c r="AP17" s="277"/>
      <c r="AQ17" s="277"/>
      <c r="AR17" s="93">
        <v>0</v>
      </c>
      <c r="AT17" s="96"/>
      <c r="AY17" s="93" t="str">
        <f t="shared" si="6"/>
        <v>Pilares</v>
      </c>
    </row>
    <row r="18" spans="1:51" s="98" customFormat="1">
      <c r="A18" s="94"/>
      <c r="B18" s="1154"/>
      <c r="C18" s="1133"/>
      <c r="D18" s="94"/>
      <c r="E18" s="95" t="s">
        <v>38</v>
      </c>
      <c r="F18" s="316">
        <v>7</v>
      </c>
      <c r="G18" s="1120"/>
      <c r="H18" s="94"/>
      <c r="I18" s="299" t="s">
        <v>38</v>
      </c>
      <c r="J18" s="316">
        <f t="shared" ca="1" si="3"/>
        <v>0</v>
      </c>
      <c r="K18" s="1120"/>
      <c r="L18" s="94"/>
      <c r="M18" s="97">
        <f>SUM(M20+M22+M24)</f>
        <v>0</v>
      </c>
      <c r="N18" s="97">
        <f t="shared" si="24"/>
        <v>0</v>
      </c>
      <c r="O18" s="97">
        <f>SUM(O20+O22+O24)</f>
        <v>0</v>
      </c>
      <c r="P18" s="97">
        <f t="shared" si="24"/>
        <v>0</v>
      </c>
      <c r="Q18" s="97">
        <f t="shared" si="24"/>
        <v>0</v>
      </c>
      <c r="R18" s="97">
        <f t="shared" si="24"/>
        <v>0</v>
      </c>
      <c r="S18" s="97">
        <f t="shared" si="24"/>
        <v>0</v>
      </c>
      <c r="T18" s="300"/>
      <c r="U18" s="97">
        <f t="shared" ca="1" si="4"/>
        <v>0</v>
      </c>
      <c r="V18" s="1120"/>
      <c r="W18" s="97">
        <f t="shared" ref="W18:W59" si="25">SUM(M18:S18)</f>
        <v>0</v>
      </c>
      <c r="X18" s="94"/>
      <c r="Y18" s="1136"/>
      <c r="Z18" s="1137"/>
      <c r="AA18" s="1137"/>
      <c r="AB18" s="1120"/>
      <c r="AC18" s="94"/>
      <c r="AD18" s="1136"/>
      <c r="AE18" s="298"/>
      <c r="AF18" s="1135"/>
      <c r="AG18" s="1119"/>
      <c r="AH18" s="94"/>
      <c r="AI18" s="1134"/>
      <c r="AJ18" s="1119"/>
      <c r="AK18" s="94"/>
      <c r="AL18" s="1134"/>
      <c r="AM18" s="1134"/>
      <c r="AN18" s="94"/>
      <c r="AO18" s="1153"/>
      <c r="AP18" s="278"/>
      <c r="AQ18" s="278"/>
      <c r="AR18" s="98">
        <v>0</v>
      </c>
      <c r="AT18" s="96"/>
      <c r="AY18" s="93" t="str">
        <f t="shared" si="6"/>
        <v>Pilares</v>
      </c>
    </row>
    <row r="19" spans="1:51" s="16" customFormat="1" ht="14.65" hidden="1" customHeight="1" outlineLevel="1">
      <c r="A19" s="2"/>
      <c r="B19" s="1062" t="s">
        <v>4145</v>
      </c>
      <c r="C19" s="1109" t="s">
        <v>4146</v>
      </c>
      <c r="D19" s="2"/>
      <c r="E19" s="99" t="s">
        <v>37</v>
      </c>
      <c r="F19" s="364">
        <v>0</v>
      </c>
      <c r="G19" s="1073" t="str">
        <f t="shared" ref="G19" si="26">IFERROR((F20/F19),"-")</f>
        <v>-</v>
      </c>
      <c r="H19" s="2"/>
      <c r="I19" s="99" t="s">
        <v>37</v>
      </c>
      <c r="J19" s="360">
        <f t="shared" ca="1" si="3"/>
        <v>0</v>
      </c>
      <c r="K19" s="1073" t="str">
        <f t="shared" ref="K19" ca="1" si="27">IFERROR((J20/J19),"-")</f>
        <v>-</v>
      </c>
      <c r="L19" s="2"/>
      <c r="M19" s="301"/>
      <c r="N19" s="301"/>
      <c r="O19" s="301"/>
      <c r="P19" s="301"/>
      <c r="Q19" s="301"/>
      <c r="R19" s="301"/>
      <c r="S19" s="301"/>
      <c r="T19" s="2"/>
      <c r="U19" s="307">
        <f t="shared" ca="1" si="4"/>
        <v>0</v>
      </c>
      <c r="V19" s="1073" t="str">
        <f t="shared" ref="V19" ca="1" si="28">IFERROR((U20/U19),"-")</f>
        <v>-</v>
      </c>
      <c r="W19" s="307">
        <f t="shared" si="25"/>
        <v>0</v>
      </c>
      <c r="X19" s="2"/>
      <c r="Y19" s="1126">
        <v>0</v>
      </c>
      <c r="Z19" s="1126">
        <v>0</v>
      </c>
      <c r="AA19" s="1126">
        <v>0</v>
      </c>
      <c r="AB19" s="1073" t="str">
        <f t="shared" ref="AB19" si="29">IF(Z19=0,IF(AA19&gt;0,100%,"-"),AA19/Z19)</f>
        <v>-</v>
      </c>
      <c r="AC19" s="2"/>
      <c r="AD19" s="1123">
        <v>4</v>
      </c>
      <c r="AE19" s="2"/>
      <c r="AF19" s="1114">
        <v>106</v>
      </c>
      <c r="AG19" s="1073">
        <f t="shared" ref="AG19" si="30">IFERROR((AD19/AF19),"-")</f>
        <v>3.7735849056603772E-2</v>
      </c>
      <c r="AH19" s="2"/>
      <c r="AI19" s="1126">
        <v>4</v>
      </c>
      <c r="AJ19" s="1073">
        <f t="shared" ref="AJ19" si="31">IFERROR((AD19/AI19),"-")</f>
        <v>1</v>
      </c>
      <c r="AK19" s="2"/>
      <c r="AL19" s="1126">
        <v>4</v>
      </c>
      <c r="AM19" s="1123">
        <f>AL19-AD19</f>
        <v>0</v>
      </c>
      <c r="AN19" s="2"/>
      <c r="AO19" s="1109" t="s">
        <v>4140</v>
      </c>
      <c r="AP19" s="279"/>
      <c r="AQ19" s="279"/>
      <c r="AT19" s="101" t="e">
        <f t="shared" ref="AT19:AT24" si="32">SUMIFS(AJ19:AR19,$N$7:$T$7,"&gt;="&amp;$N$7,$N$7:$T$7,"&lt;="&amp;$L$7)</f>
        <v>#VALUE!</v>
      </c>
      <c r="AY19" s="93" t="str">
        <f t="shared" si="6"/>
        <v>Pilares - Lado Goiás</v>
      </c>
    </row>
    <row r="20" spans="1:51" s="16" customFormat="1" ht="14.65" hidden="1" customHeight="1" outlineLevel="1">
      <c r="A20" s="2"/>
      <c r="B20" s="1063"/>
      <c r="C20" s="1110"/>
      <c r="D20" s="2"/>
      <c r="E20" s="20" t="s">
        <v>38</v>
      </c>
      <c r="F20" s="402">
        <v>0</v>
      </c>
      <c r="G20" s="1074"/>
      <c r="H20" s="2"/>
      <c r="I20" s="303" t="s">
        <v>38</v>
      </c>
      <c r="J20" s="361">
        <f t="shared" ca="1" si="3"/>
        <v>0</v>
      </c>
      <c r="K20" s="1074"/>
      <c r="L20" s="2"/>
      <c r="M20" s="304"/>
      <c r="N20" s="304">
        <v>0</v>
      </c>
      <c r="O20" s="304">
        <v>0</v>
      </c>
      <c r="P20" s="304">
        <v>0</v>
      </c>
      <c r="Q20" s="304">
        <v>0</v>
      </c>
      <c r="R20" s="304">
        <v>0</v>
      </c>
      <c r="S20" s="304">
        <v>0</v>
      </c>
      <c r="T20" s="2"/>
      <c r="U20" s="103">
        <f t="shared" ca="1" si="4"/>
        <v>0</v>
      </c>
      <c r="V20" s="1074"/>
      <c r="W20" s="103">
        <f t="shared" si="25"/>
        <v>0</v>
      </c>
      <c r="X20" s="2"/>
      <c r="Y20" s="1127"/>
      <c r="Z20" s="1127"/>
      <c r="AA20" s="1127" t="e">
        <v>#VALUE!</v>
      </c>
      <c r="AB20" s="1074"/>
      <c r="AC20" s="2"/>
      <c r="AD20" s="1125" t="e">
        <v>#VALUE!</v>
      </c>
      <c r="AE20" s="2"/>
      <c r="AF20" s="1115"/>
      <c r="AG20" s="1117"/>
      <c r="AH20" s="2"/>
      <c r="AI20" s="1127"/>
      <c r="AJ20" s="1117"/>
      <c r="AK20" s="2"/>
      <c r="AL20" s="1127"/>
      <c r="AM20" s="1125"/>
      <c r="AN20" s="2"/>
      <c r="AO20" s="1110"/>
      <c r="AP20" s="280"/>
      <c r="AQ20" s="280"/>
      <c r="AT20" s="103" t="e">
        <f t="shared" si="32"/>
        <v>#VALUE!</v>
      </c>
      <c r="AY20" s="93" t="str">
        <f t="shared" si="6"/>
        <v>Pilares - Lado Goiás</v>
      </c>
    </row>
    <row r="21" spans="1:51" s="16" customFormat="1" ht="14.65" hidden="1" customHeight="1" outlineLevel="1">
      <c r="A21" s="2"/>
      <c r="B21" s="1062" t="s">
        <v>4147</v>
      </c>
      <c r="C21" s="1109" t="s">
        <v>4146</v>
      </c>
      <c r="D21" s="2"/>
      <c r="E21" s="99" t="s">
        <v>37</v>
      </c>
      <c r="F21" s="403">
        <v>1</v>
      </c>
      <c r="G21" s="1073">
        <f>IFERROR((F22/F21),"-")</f>
        <v>1</v>
      </c>
      <c r="H21" s="2"/>
      <c r="I21" s="99" t="s">
        <v>37</v>
      </c>
      <c r="J21" s="360">
        <f t="shared" ca="1" si="3"/>
        <v>0</v>
      </c>
      <c r="K21" s="1073" t="str">
        <f ca="1">IFERROR((J22/J21),"-")</f>
        <v>-</v>
      </c>
      <c r="L21" s="2"/>
      <c r="M21" s="301"/>
      <c r="N21" s="301"/>
      <c r="O21" s="301">
        <v>2</v>
      </c>
      <c r="P21" s="301"/>
      <c r="Q21" s="301"/>
      <c r="R21" s="301">
        <v>2</v>
      </c>
      <c r="S21" s="301"/>
      <c r="T21" s="2"/>
      <c r="U21" s="308">
        <f t="shared" ca="1" si="4"/>
        <v>0</v>
      </c>
      <c r="V21" s="1073" t="str">
        <f ca="1">IFERROR((U22/U21),"-")</f>
        <v>-</v>
      </c>
      <c r="W21" s="308">
        <f t="shared" si="25"/>
        <v>4</v>
      </c>
      <c r="X21" s="2"/>
      <c r="Y21" s="1126">
        <v>11</v>
      </c>
      <c r="Z21" s="1126">
        <v>4</v>
      </c>
      <c r="AA21" s="1126">
        <v>2</v>
      </c>
      <c r="AB21" s="1073">
        <f t="shared" ref="AB21" si="33">IF(Z21=0,IF(AA21&gt;0,100%,"-"),AA21/Z21)</f>
        <v>0.5</v>
      </c>
      <c r="AC21" s="2"/>
      <c r="AD21" s="1123">
        <v>22</v>
      </c>
      <c r="AE21" s="2"/>
      <c r="AF21" s="1114">
        <v>104</v>
      </c>
      <c r="AG21" s="1073">
        <f t="shared" ref="AG21" si="34">IFERROR((AD21/AF21),"-")</f>
        <v>0.21153846153846154</v>
      </c>
      <c r="AH21" s="2"/>
      <c r="AI21" s="1126">
        <v>21</v>
      </c>
      <c r="AJ21" s="1073">
        <f>IFERROR((AD21/AI21),"-")</f>
        <v>1.0476190476190477</v>
      </c>
      <c r="AK21" s="2"/>
      <c r="AL21" s="1126">
        <v>31</v>
      </c>
      <c r="AM21" s="1123">
        <f>AL21-AD21</f>
        <v>9</v>
      </c>
      <c r="AN21" s="2"/>
      <c r="AO21" s="1109" t="s">
        <v>4140</v>
      </c>
      <c r="AP21" s="279"/>
      <c r="AQ21" s="279"/>
      <c r="AT21" s="100" t="e">
        <f t="shared" si="32"/>
        <v>#VALUE!</v>
      </c>
      <c r="AY21" s="93" t="str">
        <f t="shared" si="6"/>
        <v>Pilares - Balanço Sucessivo</v>
      </c>
    </row>
    <row r="22" spans="1:51" s="16" customFormat="1" ht="14.65" hidden="1" customHeight="1" outlineLevel="1">
      <c r="A22" s="2"/>
      <c r="B22" s="1063"/>
      <c r="C22" s="1110"/>
      <c r="D22" s="2"/>
      <c r="E22" s="20" t="s">
        <v>38</v>
      </c>
      <c r="F22" s="402">
        <v>1</v>
      </c>
      <c r="G22" s="1074"/>
      <c r="H22" s="2"/>
      <c r="I22" s="303" t="s">
        <v>38</v>
      </c>
      <c r="J22" s="361">
        <f t="shared" ca="1" si="3"/>
        <v>0</v>
      </c>
      <c r="K22" s="1074"/>
      <c r="L22" s="2"/>
      <c r="M22" s="304">
        <v>0</v>
      </c>
      <c r="N22" s="304">
        <v>0</v>
      </c>
      <c r="O22" s="304">
        <v>0</v>
      </c>
      <c r="P22" s="304">
        <v>0</v>
      </c>
      <c r="Q22" s="304">
        <v>0</v>
      </c>
      <c r="R22" s="304">
        <v>0</v>
      </c>
      <c r="S22" s="304">
        <v>0</v>
      </c>
      <c r="T22" s="2"/>
      <c r="U22" s="103">
        <f t="shared" ca="1" si="4"/>
        <v>0</v>
      </c>
      <c r="V22" s="1074"/>
      <c r="W22" s="103">
        <f t="shared" si="25"/>
        <v>0</v>
      </c>
      <c r="X22" s="2"/>
      <c r="Y22" s="1127"/>
      <c r="Z22" s="1127"/>
      <c r="AA22" s="1127" t="e">
        <v>#VALUE!</v>
      </c>
      <c r="AB22" s="1074"/>
      <c r="AC22" s="2"/>
      <c r="AD22" s="1125" t="e">
        <v>#VALUE!</v>
      </c>
      <c r="AE22" s="2"/>
      <c r="AF22" s="1115"/>
      <c r="AG22" s="1117"/>
      <c r="AH22" s="2"/>
      <c r="AI22" s="1127"/>
      <c r="AJ22" s="1117"/>
      <c r="AK22" s="2"/>
      <c r="AL22" s="1127"/>
      <c r="AM22" s="1125"/>
      <c r="AN22" s="2"/>
      <c r="AO22" s="1110"/>
      <c r="AP22" s="280"/>
      <c r="AQ22" s="280"/>
      <c r="AT22" s="103" t="e">
        <f t="shared" si="32"/>
        <v>#VALUE!</v>
      </c>
      <c r="AY22" s="93" t="str">
        <f t="shared" si="6"/>
        <v>Pilares - Balanço Sucessivo</v>
      </c>
    </row>
    <row r="23" spans="1:51" s="16" customFormat="1" ht="14.65" hidden="1" customHeight="1" outlineLevel="1">
      <c r="A23" s="2"/>
      <c r="B23" s="1062" t="s">
        <v>4148</v>
      </c>
      <c r="C23" s="1109" t="s">
        <v>4146</v>
      </c>
      <c r="D23" s="2"/>
      <c r="E23" s="99" t="s">
        <v>37</v>
      </c>
      <c r="F23" s="403">
        <v>5</v>
      </c>
      <c r="G23" s="1073">
        <f t="shared" ref="G23" si="35">IFERROR((F24/F23),"-")</f>
        <v>1.2</v>
      </c>
      <c r="H23" s="2"/>
      <c r="I23" s="99" t="s">
        <v>37</v>
      </c>
      <c r="J23" s="360">
        <f t="shared" ca="1" si="3"/>
        <v>0</v>
      </c>
      <c r="K23" s="1073" t="str">
        <f t="shared" ref="K23" ca="1" si="36">IFERROR((J24/J23),"-")</f>
        <v>-</v>
      </c>
      <c r="L23" s="2"/>
      <c r="M23" s="301"/>
      <c r="N23" s="301"/>
      <c r="O23" s="301">
        <v>2</v>
      </c>
      <c r="P23" s="301"/>
      <c r="Q23" s="301"/>
      <c r="R23" s="301">
        <v>3</v>
      </c>
      <c r="S23" s="301"/>
      <c r="T23" s="2"/>
      <c r="U23" s="308">
        <f t="shared" ca="1" si="4"/>
        <v>0</v>
      </c>
      <c r="V23" s="1073" t="str">
        <f ca="1">IFERROR((U24/U23),"-")</f>
        <v>-</v>
      </c>
      <c r="W23" s="308">
        <f t="shared" si="25"/>
        <v>5</v>
      </c>
      <c r="X23" s="2"/>
      <c r="Y23" s="1126">
        <v>39</v>
      </c>
      <c r="Z23" s="1126">
        <v>14</v>
      </c>
      <c r="AA23" s="1126">
        <v>11</v>
      </c>
      <c r="AB23" s="1073">
        <f t="shared" ref="AB23" si="37">IF(Z23=0,IF(AA23&gt;0,100%,"-"),AA23/Z23)</f>
        <v>0.7857142857142857</v>
      </c>
      <c r="AC23" s="2"/>
      <c r="AD23" s="1123">
        <v>149</v>
      </c>
      <c r="AE23" s="2"/>
      <c r="AF23" s="1155" t="e">
        <v>#N/A</v>
      </c>
      <c r="AG23" s="1073" t="str">
        <f t="shared" ref="AG23" si="38">IFERROR((AD23/AF23),"-")</f>
        <v>-</v>
      </c>
      <c r="AH23" s="2"/>
      <c r="AI23" s="1126">
        <v>158</v>
      </c>
      <c r="AJ23" s="1073">
        <f t="shared" ref="AJ23" si="39">IFERROR((AD23/AI23),"-")</f>
        <v>0.94303797468354433</v>
      </c>
      <c r="AK23" s="2"/>
      <c r="AL23" s="1126">
        <v>214</v>
      </c>
      <c r="AM23" s="1123">
        <f>AL23-AD23</f>
        <v>65</v>
      </c>
      <c r="AN23" s="2"/>
      <c r="AO23" s="1109" t="s">
        <v>4140</v>
      </c>
      <c r="AP23" s="279"/>
      <c r="AQ23" s="279"/>
      <c r="AT23" s="100" t="e">
        <f t="shared" si="32"/>
        <v>#VALUE!</v>
      </c>
      <c r="AY23" s="93" t="str">
        <f t="shared" si="6"/>
        <v>Pilares - Lado Mato Grosso</v>
      </c>
    </row>
    <row r="24" spans="1:51" s="16" customFormat="1" ht="14.65" hidden="1" customHeight="1" outlineLevel="1">
      <c r="A24" s="2"/>
      <c r="B24" s="1063"/>
      <c r="C24" s="1110"/>
      <c r="D24" s="2"/>
      <c r="E24" s="20" t="s">
        <v>38</v>
      </c>
      <c r="F24" s="402">
        <v>6</v>
      </c>
      <c r="G24" s="1074"/>
      <c r="H24" s="2"/>
      <c r="I24" s="303" t="s">
        <v>38</v>
      </c>
      <c r="J24" s="361">
        <f t="shared" ca="1" si="3"/>
        <v>0</v>
      </c>
      <c r="K24" s="1074"/>
      <c r="L24" s="2"/>
      <c r="M24" s="304">
        <v>0</v>
      </c>
      <c r="N24" s="304">
        <v>0</v>
      </c>
      <c r="O24" s="304">
        <v>0</v>
      </c>
      <c r="P24" s="304">
        <v>0</v>
      </c>
      <c r="Q24" s="304">
        <v>0</v>
      </c>
      <c r="R24" s="304">
        <v>0</v>
      </c>
      <c r="S24" s="304">
        <v>0</v>
      </c>
      <c r="T24" s="2"/>
      <c r="U24" s="103">
        <f ca="1">SUMIFS(M24:S24,$M$7:$S$7,"&gt;="&amp;$M$7,$M$7:$S$7,"&lt;="&amp;$K$7)</f>
        <v>0</v>
      </c>
      <c r="V24" s="1074"/>
      <c r="W24" s="103">
        <f t="shared" si="25"/>
        <v>0</v>
      </c>
      <c r="X24" s="2"/>
      <c r="Y24" s="1127"/>
      <c r="Z24" s="1127"/>
      <c r="AA24" s="1127" t="e">
        <v>#VALUE!</v>
      </c>
      <c r="AB24" s="1074"/>
      <c r="AC24" s="2"/>
      <c r="AD24" s="1125" t="e">
        <v>#VALUE!</v>
      </c>
      <c r="AE24" s="2"/>
      <c r="AF24" s="1156"/>
      <c r="AG24" s="1117"/>
      <c r="AH24" s="2"/>
      <c r="AI24" s="1127"/>
      <c r="AJ24" s="1117"/>
      <c r="AK24" s="2"/>
      <c r="AL24" s="1127"/>
      <c r="AM24" s="1125"/>
      <c r="AN24" s="2"/>
      <c r="AO24" s="1110"/>
      <c r="AP24" s="280"/>
      <c r="AQ24" s="280"/>
      <c r="AT24" s="103" t="e">
        <f t="shared" si="32"/>
        <v>#VALUE!</v>
      </c>
      <c r="AU24" s="104"/>
      <c r="AY24" s="93" t="str">
        <f t="shared" si="6"/>
        <v>Pilares - Lado Mato Grosso</v>
      </c>
    </row>
    <row r="25" spans="1:51" s="93" customFormat="1" collapsed="1">
      <c r="B25" s="1154" t="s">
        <v>59</v>
      </c>
      <c r="C25" s="1133"/>
      <c r="D25" s="94"/>
      <c r="E25" s="95" t="s">
        <v>37</v>
      </c>
      <c r="F25" s="315">
        <v>1.5</v>
      </c>
      <c r="G25" s="1119">
        <f>IFERROR((F26/F25),"-")</f>
        <v>1.3333333333333333</v>
      </c>
      <c r="H25" s="94"/>
      <c r="I25" s="95" t="s">
        <v>37</v>
      </c>
      <c r="J25" s="315">
        <f t="shared" ca="1" si="3"/>
        <v>0</v>
      </c>
      <c r="K25" s="1119" t="str">
        <f ca="1">IF(J25=0,IF(J26&gt;0,100%,"-"),J26/J25)</f>
        <v>-</v>
      </c>
      <c r="L25" s="94"/>
      <c r="M25" s="315">
        <f>SUM(M27+M29+M31)</f>
        <v>0</v>
      </c>
      <c r="N25" s="315">
        <f t="shared" ref="N25:S26" si="40">SUM(N27+N29+N31)</f>
        <v>0</v>
      </c>
      <c r="O25" s="315">
        <f t="shared" si="40"/>
        <v>0</v>
      </c>
      <c r="P25" s="96">
        <f t="shared" si="40"/>
        <v>0.5</v>
      </c>
      <c r="Q25" s="96">
        <f t="shared" si="40"/>
        <v>0</v>
      </c>
      <c r="R25" s="96">
        <f t="shared" si="40"/>
        <v>1</v>
      </c>
      <c r="S25" s="96">
        <f t="shared" si="40"/>
        <v>0</v>
      </c>
      <c r="T25" s="94"/>
      <c r="U25" s="315">
        <f t="shared" ca="1" si="4"/>
        <v>0</v>
      </c>
      <c r="V25" s="1119" t="str">
        <f ca="1">IFERROR((U26/U25),"-")</f>
        <v>-</v>
      </c>
      <c r="W25" s="96">
        <f t="shared" si="25"/>
        <v>1.5</v>
      </c>
      <c r="X25" s="94"/>
      <c r="Y25" s="1134">
        <f t="shared" ref="Y25:Z25" si="41">SUM(Y27:Y32)</f>
        <v>8</v>
      </c>
      <c r="Z25" s="1135">
        <f t="shared" si="41"/>
        <v>4</v>
      </c>
      <c r="AA25" s="1134">
        <f>SUM(AA27,AA29,AA31)</f>
        <v>4</v>
      </c>
      <c r="AB25" s="1119">
        <f>IF(Z25=0,IF(AA25&gt;0,100%,"-"),AA25/Z25)</f>
        <v>1</v>
      </c>
      <c r="AC25" s="94"/>
      <c r="AD25" s="1134">
        <f>SUM(AD27,AD29,AD31)</f>
        <v>20</v>
      </c>
      <c r="AE25" s="298"/>
      <c r="AF25" s="1135">
        <v>210</v>
      </c>
      <c r="AG25" s="1119">
        <f>IFERROR((AD25/AF25),"-")</f>
        <v>9.5238095238095233E-2</v>
      </c>
      <c r="AH25" s="94"/>
      <c r="AI25" s="1134">
        <f>SUM(AI27:AI32)</f>
        <v>38</v>
      </c>
      <c r="AJ25" s="1119">
        <f>IFERROR((AD25/AI25),"-")</f>
        <v>0.52631578947368418</v>
      </c>
      <c r="AK25" s="94"/>
      <c r="AL25" s="1134">
        <f>SUM(AL27:AL32)</f>
        <v>63</v>
      </c>
      <c r="AM25" s="1134">
        <f>SUM(AM27:AM32)</f>
        <v>43</v>
      </c>
      <c r="AN25" s="94"/>
      <c r="AO25" s="1152" t="s">
        <v>4140</v>
      </c>
      <c r="AP25" s="277"/>
      <c r="AQ25" s="277"/>
      <c r="AR25" s="93">
        <v>0</v>
      </c>
      <c r="AT25" s="96"/>
      <c r="AY25" s="93" t="str">
        <f t="shared" si="6"/>
        <v>Travessa</v>
      </c>
    </row>
    <row r="26" spans="1:51" s="98" customFormat="1">
      <c r="A26" s="94"/>
      <c r="B26" s="1154"/>
      <c r="C26" s="1133"/>
      <c r="D26" s="94"/>
      <c r="E26" s="95" t="s">
        <v>38</v>
      </c>
      <c r="F26" s="316">
        <v>2</v>
      </c>
      <c r="G26" s="1120"/>
      <c r="H26" s="94"/>
      <c r="I26" s="299" t="s">
        <v>38</v>
      </c>
      <c r="J26" s="316">
        <f t="shared" ca="1" si="3"/>
        <v>0</v>
      </c>
      <c r="K26" s="1120"/>
      <c r="L26" s="94"/>
      <c r="M26" s="316">
        <f>SUM(M28+M30+M32)</f>
        <v>0</v>
      </c>
      <c r="N26" s="316">
        <f t="shared" si="40"/>
        <v>0</v>
      </c>
      <c r="O26" s="97">
        <f>SUM(O28+O30+O32)</f>
        <v>0</v>
      </c>
      <c r="P26" s="316">
        <f t="shared" si="40"/>
        <v>0</v>
      </c>
      <c r="Q26" s="316">
        <f t="shared" si="40"/>
        <v>0</v>
      </c>
      <c r="R26" s="97">
        <f t="shared" si="40"/>
        <v>0</v>
      </c>
      <c r="S26" s="97">
        <f t="shared" si="40"/>
        <v>0</v>
      </c>
      <c r="T26" s="300"/>
      <c r="U26" s="316">
        <f t="shared" ca="1" si="4"/>
        <v>0</v>
      </c>
      <c r="V26" s="1120"/>
      <c r="W26" s="97">
        <f t="shared" si="25"/>
        <v>0</v>
      </c>
      <c r="X26" s="94"/>
      <c r="Y26" s="1134"/>
      <c r="Z26" s="1135"/>
      <c r="AA26" s="1135"/>
      <c r="AB26" s="1120"/>
      <c r="AC26" s="94"/>
      <c r="AD26" s="1134"/>
      <c r="AE26" s="298"/>
      <c r="AF26" s="1135"/>
      <c r="AG26" s="1119"/>
      <c r="AH26" s="94"/>
      <c r="AI26" s="1134"/>
      <c r="AJ26" s="1119"/>
      <c r="AK26" s="94"/>
      <c r="AL26" s="1134"/>
      <c r="AM26" s="1134"/>
      <c r="AN26" s="94"/>
      <c r="AO26" s="1153"/>
      <c r="AP26" s="278"/>
      <c r="AQ26" s="278"/>
      <c r="AR26" s="98">
        <v>0</v>
      </c>
      <c r="AT26" s="96"/>
      <c r="AY26" s="93" t="str">
        <f t="shared" si="6"/>
        <v>Travessa</v>
      </c>
    </row>
    <row r="27" spans="1:51" s="16" customFormat="1" ht="15" hidden="1" customHeight="1" outlineLevel="1">
      <c r="A27" s="2"/>
      <c r="B27" s="1062" t="s">
        <v>4149</v>
      </c>
      <c r="C27" s="1109" t="s">
        <v>4146</v>
      </c>
      <c r="D27" s="2"/>
      <c r="E27" s="99" t="s">
        <v>37</v>
      </c>
      <c r="F27" s="364">
        <v>0</v>
      </c>
      <c r="G27" s="1073" t="str">
        <f t="shared" ref="G27" si="42">IFERROR((F28/F27),"-")</f>
        <v>-</v>
      </c>
      <c r="H27" s="2"/>
      <c r="I27" s="99" t="s">
        <v>37</v>
      </c>
      <c r="J27" s="360">
        <f t="shared" ca="1" si="3"/>
        <v>0</v>
      </c>
      <c r="K27" s="1073" t="str">
        <f t="shared" ref="K27" ca="1" si="43">IFERROR((J28/J27),"-")</f>
        <v>-</v>
      </c>
      <c r="L27" s="2"/>
      <c r="M27" s="301"/>
      <c r="N27" s="301"/>
      <c r="O27" s="301"/>
      <c r="P27" s="301"/>
      <c r="Q27" s="301"/>
      <c r="R27" s="301"/>
      <c r="S27" s="301"/>
      <c r="T27" s="2"/>
      <c r="U27" s="362">
        <f t="shared" ca="1" si="4"/>
        <v>0</v>
      </c>
      <c r="V27" s="1073" t="str">
        <f t="shared" ref="V27" ca="1" si="44">IFERROR((U28/U27),"-")</f>
        <v>-</v>
      </c>
      <c r="W27" s="307">
        <f t="shared" si="25"/>
        <v>0</v>
      </c>
      <c r="X27" s="2"/>
      <c r="Y27" s="1126">
        <v>0</v>
      </c>
      <c r="Z27" s="1126">
        <v>0</v>
      </c>
      <c r="AA27" s="1126">
        <v>0</v>
      </c>
      <c r="AB27" s="1073" t="str">
        <f t="shared" ref="AB27" si="45">IF(Z27=0,IF(AA27&gt;0,100%,"-"),AA27/Z27)</f>
        <v>-</v>
      </c>
      <c r="AC27" s="2"/>
      <c r="AD27" s="1105">
        <v>0</v>
      </c>
      <c r="AE27" s="2"/>
      <c r="AF27" s="1114">
        <v>106</v>
      </c>
      <c r="AG27" s="1073">
        <f t="shared" ref="AG27" si="46">IFERROR((AD27/AF27),"-")</f>
        <v>0</v>
      </c>
      <c r="AH27" s="2"/>
      <c r="AI27" s="1126">
        <v>1</v>
      </c>
      <c r="AJ27" s="1073">
        <f t="shared" ref="AJ27" si="47">IFERROR((AD27/AI27),"-")</f>
        <v>0</v>
      </c>
      <c r="AK27" s="2"/>
      <c r="AL27" s="1126">
        <v>1</v>
      </c>
      <c r="AM27" s="1123">
        <f>AL27-AD27</f>
        <v>1</v>
      </c>
      <c r="AN27" s="2"/>
      <c r="AO27" s="1109" t="s">
        <v>4140</v>
      </c>
      <c r="AP27" s="279"/>
      <c r="AQ27" s="279"/>
      <c r="AT27" s="101" t="e">
        <f t="shared" ref="AT27:AT32" si="48">SUMIFS(AJ27:AR27,$N$7:$T$7,"&gt;="&amp;$N$7,$N$7:$T$7,"&lt;="&amp;$L$7)</f>
        <v>#VALUE!</v>
      </c>
      <c r="AY27" s="93" t="str">
        <f t="shared" si="6"/>
        <v>Travessas - Lado Goiás</v>
      </c>
    </row>
    <row r="28" spans="1:51" s="16" customFormat="1" ht="15" hidden="1" customHeight="1" outlineLevel="1">
      <c r="A28" s="2"/>
      <c r="B28" s="1063"/>
      <c r="C28" s="1110"/>
      <c r="D28" s="2"/>
      <c r="E28" s="20" t="s">
        <v>38</v>
      </c>
      <c r="F28" s="364">
        <v>0</v>
      </c>
      <c r="G28" s="1074"/>
      <c r="H28" s="2"/>
      <c r="I28" s="303" t="s">
        <v>38</v>
      </c>
      <c r="J28" s="361">
        <f t="shared" ca="1" si="3"/>
        <v>0</v>
      </c>
      <c r="K28" s="1074"/>
      <c r="L28" s="2"/>
      <c r="M28" s="304"/>
      <c r="N28" s="304"/>
      <c r="O28" s="304"/>
      <c r="P28" s="304"/>
      <c r="Q28" s="304"/>
      <c r="R28" s="304"/>
      <c r="S28" s="304"/>
      <c r="T28" s="2"/>
      <c r="U28" s="364">
        <f t="shared" ca="1" si="4"/>
        <v>0</v>
      </c>
      <c r="V28" s="1074"/>
      <c r="W28" s="101">
        <f t="shared" si="25"/>
        <v>0</v>
      </c>
      <c r="X28" s="2"/>
      <c r="Y28" s="1127"/>
      <c r="Z28" s="1127"/>
      <c r="AA28" s="1127" t="e">
        <v>#VALUE!</v>
      </c>
      <c r="AB28" s="1074"/>
      <c r="AC28" s="2"/>
      <c r="AD28" s="1116" t="e">
        <v>#VALUE!</v>
      </c>
      <c r="AE28" s="2"/>
      <c r="AF28" s="1115"/>
      <c r="AG28" s="1117"/>
      <c r="AH28" s="2"/>
      <c r="AI28" s="1127"/>
      <c r="AJ28" s="1117"/>
      <c r="AK28" s="2"/>
      <c r="AL28" s="1127"/>
      <c r="AM28" s="1125"/>
      <c r="AN28" s="2"/>
      <c r="AO28" s="1110"/>
      <c r="AP28" s="280"/>
      <c r="AQ28" s="280"/>
      <c r="AT28" s="101" t="e">
        <f t="shared" si="48"/>
        <v>#VALUE!</v>
      </c>
      <c r="AY28" s="93" t="str">
        <f t="shared" si="6"/>
        <v>Travessas - Lado Goiás</v>
      </c>
    </row>
    <row r="29" spans="1:51" s="16" customFormat="1" ht="14.65" hidden="1" customHeight="1" outlineLevel="1">
      <c r="A29" s="2"/>
      <c r="B29" s="1062" t="s">
        <v>4150</v>
      </c>
      <c r="C29" s="1109" t="s">
        <v>4146</v>
      </c>
      <c r="D29" s="2"/>
      <c r="E29" s="99" t="s">
        <v>37</v>
      </c>
      <c r="F29" s="364">
        <v>0</v>
      </c>
      <c r="G29" s="1073" t="str">
        <f t="shared" ref="G29" si="49">IFERROR((F30/F29),"-")</f>
        <v>-</v>
      </c>
      <c r="H29" s="2"/>
      <c r="I29" s="99" t="s">
        <v>37</v>
      </c>
      <c r="J29" s="360">
        <f t="shared" ca="1" si="3"/>
        <v>0</v>
      </c>
      <c r="K29" s="1073" t="str">
        <f t="shared" ref="K29" ca="1" si="50">IFERROR((J30/J29),"-")</f>
        <v>-</v>
      </c>
      <c r="L29" s="2"/>
      <c r="M29" s="301"/>
      <c r="N29" s="301"/>
      <c r="O29" s="301"/>
      <c r="P29" s="301"/>
      <c r="Q29" s="301"/>
      <c r="R29" s="301"/>
      <c r="S29" s="301"/>
      <c r="T29" s="2"/>
      <c r="U29" s="362">
        <f t="shared" ca="1" si="4"/>
        <v>0</v>
      </c>
      <c r="V29" s="1073" t="str">
        <f t="shared" ref="V29" ca="1" si="51">IFERROR((U30/U29),"-")</f>
        <v>-</v>
      </c>
      <c r="W29" s="307">
        <f t="shared" si="25"/>
        <v>0</v>
      </c>
      <c r="X29" s="2"/>
      <c r="Y29" s="1126">
        <v>0</v>
      </c>
      <c r="Z29" s="1126">
        <v>0</v>
      </c>
      <c r="AA29" s="1126">
        <v>0</v>
      </c>
      <c r="AB29" s="1073" t="str">
        <f t="shared" ref="AB29" si="52">IF(Z29=0,IF(AA29&gt;0,100%,"-"),AA29/Z29)</f>
        <v>-</v>
      </c>
      <c r="AC29" s="2"/>
      <c r="AD29" s="1105">
        <v>0</v>
      </c>
      <c r="AE29" s="2"/>
      <c r="AF29" s="1114">
        <v>104</v>
      </c>
      <c r="AG29" s="1073">
        <f t="shared" ref="AG29" si="53">IFERROR((AD29/AF29),"-")</f>
        <v>0</v>
      </c>
      <c r="AH29" s="2"/>
      <c r="AI29" s="1126">
        <v>1</v>
      </c>
      <c r="AJ29" s="1073">
        <f>IFERROR((AD29/AI29),"-")</f>
        <v>0</v>
      </c>
      <c r="AK29" s="2"/>
      <c r="AL29" s="1126">
        <v>2</v>
      </c>
      <c r="AM29" s="1123">
        <f>AL29-AD29</f>
        <v>2</v>
      </c>
      <c r="AN29" s="2"/>
      <c r="AO29" s="1109" t="s">
        <v>4140</v>
      </c>
      <c r="AP29" s="279"/>
      <c r="AQ29" s="279"/>
      <c r="AT29" s="101" t="e">
        <f t="shared" si="48"/>
        <v>#VALUE!</v>
      </c>
      <c r="AY29" s="93" t="str">
        <f t="shared" si="6"/>
        <v>Travessas - Balanço Sucessivo</v>
      </c>
    </row>
    <row r="30" spans="1:51" s="16" customFormat="1" ht="14.65" hidden="1" customHeight="1" outlineLevel="1">
      <c r="A30" s="2"/>
      <c r="B30" s="1063"/>
      <c r="C30" s="1110"/>
      <c r="D30" s="2"/>
      <c r="E30" s="20" t="s">
        <v>38</v>
      </c>
      <c r="F30" s="364">
        <v>0</v>
      </c>
      <c r="G30" s="1074"/>
      <c r="H30" s="2"/>
      <c r="I30" s="303" t="s">
        <v>38</v>
      </c>
      <c r="J30" s="361">
        <f t="shared" ca="1" si="3"/>
        <v>0</v>
      </c>
      <c r="K30" s="1074"/>
      <c r="L30" s="2"/>
      <c r="M30" s="304"/>
      <c r="N30" s="304"/>
      <c r="O30" s="304"/>
      <c r="P30" s="304"/>
      <c r="Q30" s="304"/>
      <c r="R30" s="304"/>
      <c r="S30" s="304"/>
      <c r="T30" s="2"/>
      <c r="U30" s="364">
        <f t="shared" ca="1" si="4"/>
        <v>0</v>
      </c>
      <c r="V30" s="1074"/>
      <c r="W30" s="101">
        <f t="shared" si="25"/>
        <v>0</v>
      </c>
      <c r="X30" s="2"/>
      <c r="Y30" s="1127"/>
      <c r="Z30" s="1127"/>
      <c r="AA30" s="1127" t="e">
        <v>#VALUE!</v>
      </c>
      <c r="AB30" s="1074"/>
      <c r="AC30" s="2"/>
      <c r="AD30" s="1116" t="e">
        <v>#VALUE!</v>
      </c>
      <c r="AE30" s="2"/>
      <c r="AF30" s="1115"/>
      <c r="AG30" s="1117"/>
      <c r="AH30" s="2"/>
      <c r="AI30" s="1127"/>
      <c r="AJ30" s="1117"/>
      <c r="AK30" s="2"/>
      <c r="AL30" s="1127"/>
      <c r="AM30" s="1125"/>
      <c r="AN30" s="2"/>
      <c r="AO30" s="1110"/>
      <c r="AP30" s="280"/>
      <c r="AQ30" s="280"/>
      <c r="AT30" s="101" t="e">
        <f t="shared" si="48"/>
        <v>#VALUE!</v>
      </c>
      <c r="AY30" s="93" t="str">
        <f t="shared" si="6"/>
        <v>Travessas - Balanço Sucessivo</v>
      </c>
    </row>
    <row r="31" spans="1:51" s="16" customFormat="1" ht="14.65" hidden="1" customHeight="1" outlineLevel="1">
      <c r="A31" s="2"/>
      <c r="B31" s="1062" t="s">
        <v>4151</v>
      </c>
      <c r="C31" s="1109" t="s">
        <v>4146</v>
      </c>
      <c r="D31" s="2"/>
      <c r="E31" s="99" t="s">
        <v>37</v>
      </c>
      <c r="F31" s="364">
        <v>1.5</v>
      </c>
      <c r="G31" s="1073">
        <f t="shared" ref="G31" si="54">IFERROR((F32/F31),"-")</f>
        <v>1.3333333333333333</v>
      </c>
      <c r="H31" s="2"/>
      <c r="I31" s="99" t="s">
        <v>37</v>
      </c>
      <c r="J31" s="360">
        <f t="shared" ca="1" si="3"/>
        <v>0</v>
      </c>
      <c r="K31" s="1073" t="str">
        <f t="shared" ref="K31" ca="1" si="55">IFERROR((J32/J31),"-")</f>
        <v>-</v>
      </c>
      <c r="L31" s="2"/>
      <c r="M31" s="310"/>
      <c r="N31" s="310"/>
      <c r="O31" s="310"/>
      <c r="P31" s="310">
        <v>0.5</v>
      </c>
      <c r="Q31" s="310"/>
      <c r="R31" s="310">
        <v>1</v>
      </c>
      <c r="S31" s="310"/>
      <c r="T31" s="2"/>
      <c r="U31" s="362">
        <f t="shared" ca="1" si="4"/>
        <v>0</v>
      </c>
      <c r="V31" s="1073" t="str">
        <f t="shared" ref="V31" ca="1" si="56">IFERROR((U32/U31),"-")</f>
        <v>-</v>
      </c>
      <c r="W31" s="362">
        <f t="shared" si="25"/>
        <v>1.5</v>
      </c>
      <c r="X31" s="2"/>
      <c r="Y31" s="1126">
        <v>8</v>
      </c>
      <c r="Z31" s="1126">
        <v>4</v>
      </c>
      <c r="AA31" s="1126">
        <v>4</v>
      </c>
      <c r="AB31" s="1073">
        <f t="shared" ref="AB31" si="57">IF(Z31=0,IF(AA31&gt;0,100%,"-"),AA31/Z31)</f>
        <v>1</v>
      </c>
      <c r="AC31" s="2"/>
      <c r="AD31" s="1105">
        <v>20</v>
      </c>
      <c r="AE31" s="2"/>
      <c r="AF31" s="1155" t="e">
        <v>#N/A</v>
      </c>
      <c r="AG31" s="1073" t="str">
        <f t="shared" ref="AG31" si="58">IFERROR((AD31/AF31),"-")</f>
        <v>-</v>
      </c>
      <c r="AH31" s="2"/>
      <c r="AI31" s="1126">
        <v>36</v>
      </c>
      <c r="AJ31" s="1073">
        <f t="shared" ref="AJ31" si="59">IFERROR((AD31/AI31),"-")</f>
        <v>0.55555555555555558</v>
      </c>
      <c r="AK31" s="2"/>
      <c r="AL31" s="1126">
        <v>60</v>
      </c>
      <c r="AM31" s="1123">
        <f>AL31-AD31</f>
        <v>40</v>
      </c>
      <c r="AN31" s="2"/>
      <c r="AO31" s="1109" t="s">
        <v>4140</v>
      </c>
      <c r="AP31" s="279"/>
      <c r="AQ31" s="279"/>
      <c r="AT31" s="101" t="e">
        <f t="shared" si="48"/>
        <v>#VALUE!</v>
      </c>
      <c r="AY31" s="93" t="str">
        <f t="shared" si="6"/>
        <v>Travessas - Lado Mato Grosso</v>
      </c>
    </row>
    <row r="32" spans="1:51" s="16" customFormat="1" ht="14.65" hidden="1" customHeight="1" outlineLevel="1">
      <c r="A32" s="2"/>
      <c r="B32" s="1063"/>
      <c r="C32" s="1110"/>
      <c r="D32" s="2"/>
      <c r="E32" s="20" t="s">
        <v>38</v>
      </c>
      <c r="F32" s="364">
        <v>2</v>
      </c>
      <c r="G32" s="1074"/>
      <c r="H32" s="2"/>
      <c r="I32" s="303" t="s">
        <v>38</v>
      </c>
      <c r="J32" s="361">
        <f t="shared" ca="1" si="3"/>
        <v>0</v>
      </c>
      <c r="K32" s="1074"/>
      <c r="L32" s="2"/>
      <c r="M32" s="304">
        <v>0</v>
      </c>
      <c r="N32" s="322">
        <v>0</v>
      </c>
      <c r="O32" s="304">
        <v>0</v>
      </c>
      <c r="P32" s="322">
        <v>0</v>
      </c>
      <c r="Q32" s="322">
        <v>0</v>
      </c>
      <c r="R32" s="322">
        <v>0</v>
      </c>
      <c r="S32" s="304">
        <v>0</v>
      </c>
      <c r="T32" s="2"/>
      <c r="U32" s="363">
        <f t="shared" ca="1" si="4"/>
        <v>0</v>
      </c>
      <c r="V32" s="1074"/>
      <c r="W32" s="364">
        <f t="shared" si="25"/>
        <v>0</v>
      </c>
      <c r="X32" s="2"/>
      <c r="Y32" s="1127"/>
      <c r="Z32" s="1127"/>
      <c r="AA32" s="1127" t="e">
        <v>#VALUE!</v>
      </c>
      <c r="AB32" s="1074"/>
      <c r="AC32" s="2"/>
      <c r="AD32" s="1116" t="e">
        <v>#VALUE!</v>
      </c>
      <c r="AE32" s="2"/>
      <c r="AF32" s="1156"/>
      <c r="AG32" s="1117"/>
      <c r="AH32" s="2"/>
      <c r="AI32" s="1127"/>
      <c r="AJ32" s="1117"/>
      <c r="AK32" s="2"/>
      <c r="AL32" s="1127"/>
      <c r="AM32" s="1125"/>
      <c r="AN32" s="2"/>
      <c r="AO32" s="1110"/>
      <c r="AP32" s="280"/>
      <c r="AQ32" s="280"/>
      <c r="AT32" s="101" t="e">
        <f t="shared" si="48"/>
        <v>#VALUE!</v>
      </c>
      <c r="AY32" s="93" t="str">
        <f t="shared" si="6"/>
        <v>Travessas - Lado Mato Grosso</v>
      </c>
    </row>
    <row r="33" spans="1:51" s="93" customFormat="1" collapsed="1">
      <c r="B33" s="1154" t="s">
        <v>61</v>
      </c>
      <c r="C33" s="1133"/>
      <c r="D33" s="94"/>
      <c r="E33" s="95" t="s">
        <v>37</v>
      </c>
      <c r="F33" s="315">
        <v>1</v>
      </c>
      <c r="G33" s="1119">
        <f>IFERROR((F34/F33),"-")</f>
        <v>1</v>
      </c>
      <c r="H33" s="94"/>
      <c r="I33" s="95" t="s">
        <v>37</v>
      </c>
      <c r="J33" s="315">
        <f t="shared" ca="1" si="3"/>
        <v>0</v>
      </c>
      <c r="K33" s="1119" t="str">
        <f ca="1">IF(J33=0,IF(J34&gt;0,100%,"-"),J34/J33)</f>
        <v>-</v>
      </c>
      <c r="L33" s="94"/>
      <c r="M33" s="96">
        <f>SUM(M35+M37)</f>
        <v>0</v>
      </c>
      <c r="N33" s="96">
        <f t="shared" ref="N33:S34" si="60">SUM(N35+N37)</f>
        <v>0</v>
      </c>
      <c r="O33" s="96">
        <f t="shared" si="60"/>
        <v>0</v>
      </c>
      <c r="P33" s="96">
        <f t="shared" si="60"/>
        <v>1</v>
      </c>
      <c r="Q33" s="96">
        <f t="shared" si="60"/>
        <v>0</v>
      </c>
      <c r="R33" s="96">
        <f t="shared" si="60"/>
        <v>1</v>
      </c>
      <c r="S33" s="96">
        <f t="shared" si="60"/>
        <v>0</v>
      </c>
      <c r="T33" s="94"/>
      <c r="U33" s="96">
        <f t="shared" ca="1" si="4"/>
        <v>0</v>
      </c>
      <c r="V33" s="1119" t="str">
        <f ca="1">IF(U33=0,IF(U34&gt;0,100%,"-"),U34/U33)</f>
        <v>-</v>
      </c>
      <c r="W33" s="96">
        <f t="shared" si="25"/>
        <v>2</v>
      </c>
      <c r="X33" s="94"/>
      <c r="Y33" s="1134">
        <f>SUM(Y35:Y38)</f>
        <v>8</v>
      </c>
      <c r="Z33" s="1134">
        <f t="shared" ref="Z33" si="61">SUM(Z35:Z38)</f>
        <v>2</v>
      </c>
      <c r="AA33" s="1134">
        <f>SUM(AA35,AA37)</f>
        <v>2</v>
      </c>
      <c r="AB33" s="1119">
        <f>IF(Z33=0,IF(AA33&gt;0,100%,"-"),AA33/Z33)</f>
        <v>1</v>
      </c>
      <c r="AC33" s="94"/>
      <c r="AD33" s="1134">
        <f>SUM(AD35,AD37)</f>
        <v>44</v>
      </c>
      <c r="AE33" s="298"/>
      <c r="AF33" s="1135">
        <v>210</v>
      </c>
      <c r="AG33" s="1119">
        <f>IFERROR((AD33/AF33),"-")</f>
        <v>0.20952380952380953</v>
      </c>
      <c r="AH33" s="94"/>
      <c r="AI33" s="1134">
        <f>SUM(AI35:AI38)</f>
        <v>46</v>
      </c>
      <c r="AJ33" s="1119">
        <f>IFERROR((AD33/AI33),"-")</f>
        <v>0.95652173913043481</v>
      </c>
      <c r="AK33" s="94"/>
      <c r="AL33" s="1134">
        <f>SUM(AL35:AL38)</f>
        <v>66</v>
      </c>
      <c r="AM33" s="1134">
        <f>SUM(AM35:AM38)</f>
        <v>22</v>
      </c>
      <c r="AN33" s="94"/>
      <c r="AO33" s="1152" t="s">
        <v>4140</v>
      </c>
      <c r="AP33" s="277"/>
      <c r="AQ33" s="277"/>
      <c r="AR33" s="93">
        <v>0</v>
      </c>
      <c r="AT33" s="96"/>
      <c r="AY33" s="93" t="str">
        <f t="shared" si="6"/>
        <v xml:space="preserve">Vigas Pré Moldadas </v>
      </c>
    </row>
    <row r="34" spans="1:51" s="98" customFormat="1">
      <c r="A34" s="94"/>
      <c r="B34" s="1154"/>
      <c r="C34" s="1133"/>
      <c r="D34" s="94"/>
      <c r="E34" s="95" t="s">
        <v>38</v>
      </c>
      <c r="F34" s="316">
        <v>1</v>
      </c>
      <c r="G34" s="1120"/>
      <c r="H34" s="94"/>
      <c r="I34" s="299" t="s">
        <v>38</v>
      </c>
      <c r="J34" s="316">
        <f t="shared" ca="1" si="3"/>
        <v>0</v>
      </c>
      <c r="K34" s="1120"/>
      <c r="L34" s="94"/>
      <c r="M34" s="97">
        <f>SUM(M36+M38)</f>
        <v>0</v>
      </c>
      <c r="N34" s="97">
        <f t="shared" si="60"/>
        <v>0</v>
      </c>
      <c r="O34" s="97">
        <f t="shared" si="60"/>
        <v>0</v>
      </c>
      <c r="P34" s="97">
        <f t="shared" si="60"/>
        <v>0</v>
      </c>
      <c r="Q34" s="97">
        <f t="shared" si="60"/>
        <v>0</v>
      </c>
      <c r="R34" s="97">
        <f t="shared" si="60"/>
        <v>0</v>
      </c>
      <c r="S34" s="97">
        <f t="shared" si="60"/>
        <v>0</v>
      </c>
      <c r="T34" s="300"/>
      <c r="U34" s="97">
        <f t="shared" ca="1" si="4"/>
        <v>0</v>
      </c>
      <c r="V34" s="1120"/>
      <c r="W34" s="97">
        <f t="shared" si="25"/>
        <v>0</v>
      </c>
      <c r="X34" s="94"/>
      <c r="Y34" s="1134"/>
      <c r="Z34" s="1134"/>
      <c r="AA34" s="1135"/>
      <c r="AB34" s="1120"/>
      <c r="AC34" s="94"/>
      <c r="AD34" s="1134"/>
      <c r="AE34" s="298"/>
      <c r="AF34" s="1135"/>
      <c r="AG34" s="1119"/>
      <c r="AH34" s="94"/>
      <c r="AI34" s="1134"/>
      <c r="AJ34" s="1119"/>
      <c r="AK34" s="94"/>
      <c r="AL34" s="1134"/>
      <c r="AM34" s="1134"/>
      <c r="AN34" s="94"/>
      <c r="AO34" s="1153"/>
      <c r="AP34" s="278"/>
      <c r="AQ34" s="278"/>
      <c r="AR34" s="98">
        <v>0</v>
      </c>
      <c r="AT34" s="96"/>
      <c r="AY34" s="93" t="str">
        <f t="shared" si="6"/>
        <v xml:space="preserve">Vigas Pré Moldadas </v>
      </c>
    </row>
    <row r="35" spans="1:51" s="16" customFormat="1" ht="14.65" hidden="1" customHeight="1" outlineLevel="1">
      <c r="A35" s="2"/>
      <c r="B35" s="1062" t="s">
        <v>4152</v>
      </c>
      <c r="C35" s="1109" t="s">
        <v>4142</v>
      </c>
      <c r="D35" s="2"/>
      <c r="E35" s="99" t="s">
        <v>37</v>
      </c>
      <c r="F35" s="401">
        <v>1</v>
      </c>
      <c r="G35" s="1131">
        <v>1</v>
      </c>
      <c r="H35" s="2"/>
      <c r="I35" s="99" t="s">
        <v>37</v>
      </c>
      <c r="J35" s="360">
        <f t="shared" ca="1" si="3"/>
        <v>0</v>
      </c>
      <c r="K35" s="1073" t="str">
        <f t="shared" ref="K35:K37" ca="1" si="62">IFERROR((J36/J35),"-")</f>
        <v>-</v>
      </c>
      <c r="L35" s="2"/>
      <c r="M35" s="301"/>
      <c r="N35" s="301"/>
      <c r="O35" s="301"/>
      <c r="P35" s="301">
        <v>1</v>
      </c>
      <c r="Q35" s="301"/>
      <c r="R35" s="301">
        <v>1</v>
      </c>
      <c r="S35" s="301"/>
      <c r="T35" s="2"/>
      <c r="U35" s="302">
        <f t="shared" ca="1" si="4"/>
        <v>0</v>
      </c>
      <c r="V35" s="1073" t="str">
        <f ca="1">IF(U35=0,IF(U36&gt;0,100%,"-"),U36/U35)</f>
        <v>-</v>
      </c>
      <c r="W35" s="302">
        <f t="shared" si="25"/>
        <v>2</v>
      </c>
      <c r="X35" s="2"/>
      <c r="Y35" s="1126">
        <v>8</v>
      </c>
      <c r="Z35" s="1126">
        <v>2</v>
      </c>
      <c r="AA35" s="1126">
        <v>2</v>
      </c>
      <c r="AB35" s="1073">
        <f>IF(Z35=0,IF(AA35&gt;0,100%,"-"),AA35/Z35)</f>
        <v>1</v>
      </c>
      <c r="AC35" s="2"/>
      <c r="AD35" s="1123">
        <v>44</v>
      </c>
      <c r="AE35" s="2"/>
      <c r="AF35" s="1114">
        <v>106</v>
      </c>
      <c r="AG35" s="1073">
        <f t="shared" ref="AG35" si="63">IFERROR((AD35/AF35),"-")</f>
        <v>0.41509433962264153</v>
      </c>
      <c r="AH35" s="2"/>
      <c r="AI35" s="1126">
        <v>44</v>
      </c>
      <c r="AJ35" s="1073">
        <f t="shared" ref="AJ35" si="64">IFERROR((AD35/AI35),"-")</f>
        <v>1</v>
      </c>
      <c r="AK35" s="2"/>
      <c r="AL35" s="1126">
        <v>64</v>
      </c>
      <c r="AM35" s="1123">
        <f>AL35-AD35</f>
        <v>20</v>
      </c>
      <c r="AN35" s="2"/>
      <c r="AO35" s="1109" t="s">
        <v>4140</v>
      </c>
      <c r="AP35" s="279"/>
      <c r="AQ35" s="279"/>
      <c r="AT35" s="100" t="e">
        <f>SUMIFS(AJ35:AR35,$N$7:$T$7,"&gt;="&amp;$N$7,$N$7:$T$7,"&lt;="&amp;$L$7)</f>
        <v>#VALUE!</v>
      </c>
      <c r="AY35" s="93" t="str">
        <f t="shared" si="6"/>
        <v>Fabricação de Vigas</v>
      </c>
    </row>
    <row r="36" spans="1:51" s="16" customFormat="1" ht="14.65" hidden="1" customHeight="1" outlineLevel="1">
      <c r="A36" s="2"/>
      <c r="B36" s="1063"/>
      <c r="C36" s="1110"/>
      <c r="D36" s="2"/>
      <c r="E36" s="20" t="s">
        <v>38</v>
      </c>
      <c r="F36" s="402">
        <v>1</v>
      </c>
      <c r="G36" s="1132"/>
      <c r="H36" s="2"/>
      <c r="I36" s="303" t="s">
        <v>38</v>
      </c>
      <c r="J36" s="361">
        <f ca="1">INDEX(M36:S36,MATCH($K$7,M$7:S$7,0))</f>
        <v>0</v>
      </c>
      <c r="K36" s="1074"/>
      <c r="L36" s="2"/>
      <c r="M36" s="304">
        <v>0</v>
      </c>
      <c r="N36" s="304">
        <v>0</v>
      </c>
      <c r="O36" s="304">
        <v>0</v>
      </c>
      <c r="P36" s="304">
        <v>0</v>
      </c>
      <c r="Q36" s="304">
        <v>0</v>
      </c>
      <c r="R36" s="304">
        <v>0</v>
      </c>
      <c r="S36" s="304">
        <v>0</v>
      </c>
      <c r="T36" s="2"/>
      <c r="U36" s="103">
        <f t="shared" ca="1" si="4"/>
        <v>0</v>
      </c>
      <c r="V36" s="1074"/>
      <c r="W36" s="103">
        <f t="shared" si="25"/>
        <v>0</v>
      </c>
      <c r="X36" s="2"/>
      <c r="Y36" s="1127"/>
      <c r="Z36" s="1127"/>
      <c r="AA36" s="1127" t="e">
        <v>#VALUE!</v>
      </c>
      <c r="AB36" s="1074"/>
      <c r="AC36" s="2"/>
      <c r="AD36" s="1125" t="e">
        <v>#VALUE!</v>
      </c>
      <c r="AE36" s="2"/>
      <c r="AF36" s="1115"/>
      <c r="AG36" s="1117"/>
      <c r="AH36" s="2"/>
      <c r="AI36" s="1127"/>
      <c r="AJ36" s="1117"/>
      <c r="AK36" s="2"/>
      <c r="AL36" s="1127"/>
      <c r="AM36" s="1125"/>
      <c r="AN36" s="2"/>
      <c r="AO36" s="1110"/>
      <c r="AP36" s="280"/>
      <c r="AQ36" s="280"/>
      <c r="AT36" s="103" t="e">
        <f>SUMIFS(AJ36:AR36,$N$7:$T$7,"&gt;="&amp;$N$7,$N$7:$T$7,"&lt;="&amp;$L$7)</f>
        <v>#VALUE!</v>
      </c>
      <c r="AY36" s="93" t="str">
        <f t="shared" si="6"/>
        <v>Fabricação de Vigas</v>
      </c>
    </row>
    <row r="37" spans="1:51" s="16" customFormat="1" ht="14.65" hidden="1" customHeight="1" outlineLevel="1">
      <c r="A37" s="2"/>
      <c r="B37" s="1062" t="s">
        <v>4153</v>
      </c>
      <c r="C37" s="1109" t="s">
        <v>4142</v>
      </c>
      <c r="D37" s="2"/>
      <c r="E37" s="99" t="s">
        <v>37</v>
      </c>
      <c r="F37" s="364">
        <v>0</v>
      </c>
      <c r="G37" s="1073" t="str">
        <f t="shared" ref="G37" si="65">IFERROR((F38/F37),"-")</f>
        <v>-</v>
      </c>
      <c r="H37" s="2"/>
      <c r="I37" s="99" t="s">
        <v>37</v>
      </c>
      <c r="J37" s="360">
        <f t="shared" ca="1" si="3"/>
        <v>0</v>
      </c>
      <c r="K37" s="1073" t="str">
        <f t="shared" ca="1" si="62"/>
        <v>-</v>
      </c>
      <c r="L37" s="2"/>
      <c r="M37" s="301"/>
      <c r="N37" s="301"/>
      <c r="O37" s="301"/>
      <c r="P37" s="301"/>
      <c r="Q37" s="301"/>
      <c r="R37" s="301"/>
      <c r="S37" s="301"/>
      <c r="T37" s="2"/>
      <c r="U37" s="307">
        <f t="shared" ca="1" si="4"/>
        <v>0</v>
      </c>
      <c r="V37" s="1073" t="str">
        <f t="shared" ref="V37" ca="1" si="66">IFERROR((U38/U37),"-")</f>
        <v>-</v>
      </c>
      <c r="W37" s="307">
        <f t="shared" si="25"/>
        <v>0</v>
      </c>
      <c r="X37" s="2"/>
      <c r="Y37" s="1126">
        <v>0</v>
      </c>
      <c r="Z37" s="1126">
        <v>0</v>
      </c>
      <c r="AA37" s="1126">
        <v>0</v>
      </c>
      <c r="AB37" s="1073" t="str">
        <f t="shared" ref="AB37" si="67">IFERROR((AA37/Z37),"-")</f>
        <v>-</v>
      </c>
      <c r="AC37" s="2"/>
      <c r="AD37" s="1123">
        <v>0</v>
      </c>
      <c r="AE37" s="2"/>
      <c r="AF37" s="1114">
        <v>106</v>
      </c>
      <c r="AG37" s="1073">
        <f t="shared" ref="AG37" si="68">IFERROR((AD37/AF37),"-")</f>
        <v>0</v>
      </c>
      <c r="AH37" s="2"/>
      <c r="AI37" s="1126">
        <v>2</v>
      </c>
      <c r="AJ37" s="1073">
        <f t="shared" ref="AJ37" si="69">IFERROR((AD37/AI37),"-")</f>
        <v>0</v>
      </c>
      <c r="AK37" s="2"/>
      <c r="AL37" s="1126">
        <v>2</v>
      </c>
      <c r="AM37" s="1123">
        <f>AL37-AD37</f>
        <v>2</v>
      </c>
      <c r="AN37" s="2"/>
      <c r="AO37" s="1109" t="s">
        <v>4140</v>
      </c>
      <c r="AP37" s="279"/>
      <c r="AQ37" s="279"/>
      <c r="AT37" s="101" t="e">
        <f>SUMIFS(AJ37:AR37,$N$7:$T$7,"&gt;="&amp;$N$7,$N$7:$T$7,"&lt;="&amp;$L$7)</f>
        <v>#VALUE!</v>
      </c>
      <c r="AY37" s="93" t="str">
        <f t="shared" si="6"/>
        <v>Fabricação de Vigas - In loco</v>
      </c>
    </row>
    <row r="38" spans="1:51" s="16" customFormat="1" ht="14.65" hidden="1" customHeight="1" outlineLevel="1">
      <c r="A38" s="2"/>
      <c r="B38" s="1063"/>
      <c r="C38" s="1110"/>
      <c r="D38" s="2"/>
      <c r="E38" s="20" t="s">
        <v>38</v>
      </c>
      <c r="F38" s="402">
        <v>0</v>
      </c>
      <c r="G38" s="1074"/>
      <c r="H38" s="2"/>
      <c r="I38" s="303" t="s">
        <v>38</v>
      </c>
      <c r="J38" s="361">
        <f t="shared" ca="1" si="3"/>
        <v>0</v>
      </c>
      <c r="K38" s="1074"/>
      <c r="L38" s="2"/>
      <c r="M38" s="304"/>
      <c r="N38" s="304"/>
      <c r="O38" s="304"/>
      <c r="P38" s="304"/>
      <c r="Q38" s="304"/>
      <c r="R38" s="304"/>
      <c r="S38" s="304"/>
      <c r="T38" s="2"/>
      <c r="U38" s="103">
        <f t="shared" ca="1" si="4"/>
        <v>0</v>
      </c>
      <c r="V38" s="1074"/>
      <c r="W38" s="103">
        <f t="shared" si="25"/>
        <v>0</v>
      </c>
      <c r="X38" s="2"/>
      <c r="Y38" s="1127"/>
      <c r="Z38" s="1127"/>
      <c r="AA38" s="1127" t="e">
        <v>#VALUE!</v>
      </c>
      <c r="AB38" s="1074"/>
      <c r="AC38" s="2"/>
      <c r="AD38" s="1125" t="e">
        <v>#VALUE!</v>
      </c>
      <c r="AE38" s="2"/>
      <c r="AF38" s="1115"/>
      <c r="AG38" s="1117"/>
      <c r="AH38" s="2"/>
      <c r="AI38" s="1127"/>
      <c r="AJ38" s="1117"/>
      <c r="AK38" s="2"/>
      <c r="AL38" s="1127"/>
      <c r="AM38" s="1125"/>
      <c r="AN38" s="2"/>
      <c r="AO38" s="1110"/>
      <c r="AP38" s="280"/>
      <c r="AQ38" s="280"/>
      <c r="AT38" s="103" t="e">
        <f>SUMIFS(AJ38:AR38,$N$7:$T$7,"&gt;="&amp;$N$7,$N$7:$T$7,"&lt;="&amp;$L$7)</f>
        <v>#VALUE!</v>
      </c>
      <c r="AY38" s="93" t="str">
        <f t="shared" si="6"/>
        <v>Fabricação de Vigas - In loco</v>
      </c>
    </row>
    <row r="39" spans="1:51" s="21" customFormat="1" collapsed="1">
      <c r="B39" s="1148" t="s">
        <v>63</v>
      </c>
      <c r="C39" s="1118"/>
      <c r="D39" s="2"/>
      <c r="E39" s="105" t="s">
        <v>37</v>
      </c>
      <c r="F39" s="106">
        <v>189</v>
      </c>
      <c r="G39" s="1119">
        <f>IFERROR((F40/F39),"-")</f>
        <v>0.79894179894179895</v>
      </c>
      <c r="H39" s="2"/>
      <c r="I39" s="105" t="s">
        <v>37</v>
      </c>
      <c r="J39" s="365">
        <f t="shared" ca="1" si="3"/>
        <v>23</v>
      </c>
      <c r="K39" s="1119">
        <f ca="1">IFERROR((J40/J39),"-")</f>
        <v>1</v>
      </c>
      <c r="L39" s="2"/>
      <c r="M39" s="96">
        <f>SUM(M41+M43+M45)</f>
        <v>40</v>
      </c>
      <c r="N39" s="96">
        <f t="shared" ref="N39:S40" si="70">SUM(N41+N43+N45)</f>
        <v>23</v>
      </c>
      <c r="O39" s="96">
        <f t="shared" si="70"/>
        <v>40</v>
      </c>
      <c r="P39" s="96">
        <f t="shared" si="70"/>
        <v>23</v>
      </c>
      <c r="Q39" s="96">
        <f t="shared" si="70"/>
        <v>40</v>
      </c>
      <c r="R39" s="96">
        <f t="shared" si="70"/>
        <v>23</v>
      </c>
      <c r="S39" s="96">
        <f t="shared" si="70"/>
        <v>0</v>
      </c>
      <c r="T39" s="2"/>
      <c r="U39" s="106">
        <f t="shared" ca="1" si="4"/>
        <v>63</v>
      </c>
      <c r="V39" s="1119">
        <f ca="1">IFERROR((U40/U39),"-")</f>
        <v>1</v>
      </c>
      <c r="W39" s="106">
        <f t="shared" si="25"/>
        <v>189</v>
      </c>
      <c r="X39" s="2"/>
      <c r="Y39" s="1121">
        <f>SUM(Y41:Y46)</f>
        <v>552</v>
      </c>
      <c r="Z39" s="1121">
        <f>SUM(Z41:Z46)</f>
        <v>276</v>
      </c>
      <c r="AA39" s="1121">
        <f>SUM(AA41:AA46)</f>
        <v>344</v>
      </c>
      <c r="AB39" s="1119">
        <f>IF(Z39=0,IF(AA39&gt;0,100%,"-"),AA39/Z39)</f>
        <v>1.2463768115942029</v>
      </c>
      <c r="AC39" s="2"/>
      <c r="AD39" s="1121">
        <f>SUM(AD41,AD43,AD45)</f>
        <v>1273</v>
      </c>
      <c r="AE39" s="11"/>
      <c r="AF39" s="1130">
        <v>210</v>
      </c>
      <c r="AG39" s="1122">
        <f>IFERROR((AD39/AF39),"-")</f>
        <v>6.0619047619047617</v>
      </c>
      <c r="AH39" s="2"/>
      <c r="AI39" s="1121">
        <f>SUM(AI41:AI46)</f>
        <v>2760</v>
      </c>
      <c r="AJ39" s="1122">
        <f>IFERROR((AD39/AI39),"-")</f>
        <v>0.461231884057971</v>
      </c>
      <c r="AK39" s="2"/>
      <c r="AL39" s="1121">
        <f>SUM(AL41:AL46)</f>
        <v>5116</v>
      </c>
      <c r="AM39" s="1121">
        <f>SUM(AM41:AM46)</f>
        <v>3843</v>
      </c>
      <c r="AN39" s="2"/>
      <c r="AO39" s="1149" t="s">
        <v>4140</v>
      </c>
      <c r="AP39" s="1121"/>
      <c r="AQ39" s="1121"/>
      <c r="AR39" s="1119">
        <v>0</v>
      </c>
      <c r="AS39" s="1119"/>
      <c r="AT39" s="106"/>
      <c r="AY39" s="93" t="str">
        <f t="shared" si="6"/>
        <v>Pré moldados</v>
      </c>
    </row>
    <row r="40" spans="1:51" s="16" customFormat="1">
      <c r="A40" s="2"/>
      <c r="B40" s="1148"/>
      <c r="C40" s="1118"/>
      <c r="D40" s="2"/>
      <c r="E40" s="107" t="s">
        <v>38</v>
      </c>
      <c r="F40" s="97">
        <v>151</v>
      </c>
      <c r="G40" s="1120"/>
      <c r="H40" s="2"/>
      <c r="I40" s="299" t="s">
        <v>38</v>
      </c>
      <c r="J40" s="316">
        <f t="shared" ca="1" si="3"/>
        <v>23</v>
      </c>
      <c r="K40" s="1120"/>
      <c r="L40" s="2"/>
      <c r="M40" s="97">
        <f>SUM(M42+M44+M46)</f>
        <v>40</v>
      </c>
      <c r="N40" s="97">
        <f t="shared" si="70"/>
        <v>23</v>
      </c>
      <c r="O40" s="97">
        <f t="shared" si="70"/>
        <v>0</v>
      </c>
      <c r="P40" s="97">
        <f t="shared" si="70"/>
        <v>0</v>
      </c>
      <c r="Q40" s="97">
        <f t="shared" si="70"/>
        <v>0</v>
      </c>
      <c r="R40" s="97">
        <f t="shared" si="70"/>
        <v>0</v>
      </c>
      <c r="S40" s="97">
        <f t="shared" si="70"/>
        <v>0</v>
      </c>
      <c r="T40" s="300"/>
      <c r="U40" s="97">
        <f t="shared" ca="1" si="4"/>
        <v>63</v>
      </c>
      <c r="V40" s="1120"/>
      <c r="W40" s="97">
        <f t="shared" si="25"/>
        <v>63</v>
      </c>
      <c r="X40" s="2"/>
      <c r="Y40" s="1129"/>
      <c r="Z40" s="1130"/>
      <c r="AA40" s="1130"/>
      <c r="AB40" s="1120"/>
      <c r="AC40" s="2"/>
      <c r="AD40" s="1121"/>
      <c r="AE40" s="11"/>
      <c r="AF40" s="1130"/>
      <c r="AG40" s="1122"/>
      <c r="AH40" s="2"/>
      <c r="AI40" s="1121"/>
      <c r="AJ40" s="1122"/>
      <c r="AK40" s="2"/>
      <c r="AL40" s="1121"/>
      <c r="AM40" s="1121"/>
      <c r="AN40" s="2"/>
      <c r="AO40" s="1150"/>
      <c r="AP40" s="1130"/>
      <c r="AQ40" s="1130"/>
      <c r="AR40" s="1120">
        <v>0</v>
      </c>
      <c r="AS40" s="1120"/>
      <c r="AT40" s="108"/>
      <c r="AY40" s="93" t="str">
        <f t="shared" si="6"/>
        <v>Pré moldados</v>
      </c>
    </row>
    <row r="41" spans="1:51" s="16" customFormat="1" ht="14.65" hidden="1" customHeight="1" outlineLevel="1">
      <c r="A41" s="2"/>
      <c r="B41" s="1062" t="s">
        <v>4154</v>
      </c>
      <c r="C41" s="1109" t="s">
        <v>4142</v>
      </c>
      <c r="D41" s="2"/>
      <c r="E41" s="99" t="s">
        <v>37</v>
      </c>
      <c r="F41" s="101">
        <v>24</v>
      </c>
      <c r="G41" s="1073">
        <f t="shared" ref="G41" si="71">IFERROR((F42/F41),"-")</f>
        <v>0.91666666666666663</v>
      </c>
      <c r="H41" s="2"/>
      <c r="I41" s="99" t="s">
        <v>37</v>
      </c>
      <c r="J41" s="360">
        <f t="shared" ca="1" si="3"/>
        <v>4</v>
      </c>
      <c r="K41" s="1073">
        <f t="shared" ref="K41:K43" ca="1" si="72">IFERROR((J42/J41),"-")</f>
        <v>1</v>
      </c>
      <c r="L41" s="2"/>
      <c r="M41" s="301">
        <v>4</v>
      </c>
      <c r="N41" s="301">
        <v>4</v>
      </c>
      <c r="O41" s="301">
        <v>4</v>
      </c>
      <c r="P41" s="301">
        <v>4</v>
      </c>
      <c r="Q41" s="301">
        <v>4</v>
      </c>
      <c r="R41" s="301">
        <v>4</v>
      </c>
      <c r="S41" s="301"/>
      <c r="T41" s="2"/>
      <c r="U41" s="307">
        <f t="shared" ca="1" si="4"/>
        <v>8</v>
      </c>
      <c r="V41" s="1073">
        <f t="shared" ref="V41:V43" ca="1" si="73">IFERROR((U42/U41),"-")</f>
        <v>1</v>
      </c>
      <c r="W41" s="307">
        <f t="shared" si="25"/>
        <v>24</v>
      </c>
      <c r="X41" s="2"/>
      <c r="Y41" s="1126">
        <v>96</v>
      </c>
      <c r="Z41" s="1126">
        <v>48</v>
      </c>
      <c r="AA41" s="1126">
        <v>44</v>
      </c>
      <c r="AB41" s="1073">
        <f t="shared" ref="AB41" si="74">IF(Z41=0,IF(AA41&gt;0,100%,"-"),AA41/Z41)</f>
        <v>0.91666666666666663</v>
      </c>
      <c r="AC41" s="2"/>
      <c r="AD41" s="1123">
        <v>230</v>
      </c>
      <c r="AE41" s="2"/>
      <c r="AF41" s="1114">
        <v>106</v>
      </c>
      <c r="AG41" s="1073">
        <f t="shared" ref="AG41" si="75">IFERROR((AD41/AF41),"-")</f>
        <v>2.1698113207547172</v>
      </c>
      <c r="AH41" s="2"/>
      <c r="AI41" s="1126">
        <v>504</v>
      </c>
      <c r="AJ41" s="1073">
        <f t="shared" ref="AJ41" si="76">IFERROR((AD41/AI41),"-")</f>
        <v>0.45634920634920634</v>
      </c>
      <c r="AK41" s="2"/>
      <c r="AL41" s="1126">
        <v>780</v>
      </c>
      <c r="AM41" s="1123">
        <f>AL41-AD41</f>
        <v>550</v>
      </c>
      <c r="AN41" s="2"/>
      <c r="AO41" s="1109" t="s">
        <v>4140</v>
      </c>
      <c r="AP41" s="1126" t="e">
        <v>#VALUE!</v>
      </c>
      <c r="AQ41" s="1126" t="e">
        <v>#VALUE!</v>
      </c>
      <c r="AR41" s="1146" t="e">
        <f>AP41/AL41</f>
        <v>#VALUE!</v>
      </c>
      <c r="AS41" s="1146" t="e">
        <f>AQ41/AL41</f>
        <v>#VALUE!</v>
      </c>
      <c r="AT41" s="101" t="e">
        <f t="shared" ref="AT41:AT46" si="77">SUMIFS(AJ41:AR41,$N$7:$T$7,"&gt;="&amp;$N$7,$N$7:$T$7,"&lt;="&amp;$L$7)</f>
        <v>#VALUE!</v>
      </c>
      <c r="AY41" s="93" t="str">
        <f t="shared" si="6"/>
        <v>Lajes Pré-moldadas</v>
      </c>
    </row>
    <row r="42" spans="1:51" s="16" customFormat="1" ht="14.65" hidden="1" customHeight="1" outlineLevel="1">
      <c r="A42" s="2"/>
      <c r="B42" s="1063"/>
      <c r="C42" s="1110"/>
      <c r="D42" s="2"/>
      <c r="E42" s="20" t="s">
        <v>38</v>
      </c>
      <c r="F42" s="102">
        <v>22</v>
      </c>
      <c r="G42" s="1074"/>
      <c r="H42" s="2"/>
      <c r="I42" s="303" t="s">
        <v>38</v>
      </c>
      <c r="J42" s="361">
        <f t="shared" ca="1" si="3"/>
        <v>4</v>
      </c>
      <c r="K42" s="1074"/>
      <c r="L42" s="2"/>
      <c r="M42" s="309">
        <v>4</v>
      </c>
      <c r="N42" s="309">
        <v>4</v>
      </c>
      <c r="O42" s="309">
        <v>0</v>
      </c>
      <c r="P42" s="309">
        <v>0</v>
      </c>
      <c r="Q42" s="309">
        <v>0</v>
      </c>
      <c r="R42" s="309">
        <v>0</v>
      </c>
      <c r="S42" s="309">
        <v>0</v>
      </c>
      <c r="T42" s="300"/>
      <c r="U42" s="102">
        <f t="shared" ca="1" si="4"/>
        <v>8</v>
      </c>
      <c r="V42" s="1074"/>
      <c r="W42" s="102">
        <f t="shared" si="25"/>
        <v>8</v>
      </c>
      <c r="X42" s="2"/>
      <c r="Y42" s="1128"/>
      <c r="Z42" s="1127"/>
      <c r="AA42" s="1127"/>
      <c r="AB42" s="1074"/>
      <c r="AC42" s="2"/>
      <c r="AD42" s="1125" t="e">
        <v>#VALUE!</v>
      </c>
      <c r="AE42" s="2"/>
      <c r="AF42" s="1115"/>
      <c r="AG42" s="1117"/>
      <c r="AH42" s="2"/>
      <c r="AI42" s="1127"/>
      <c r="AJ42" s="1117"/>
      <c r="AK42" s="2"/>
      <c r="AL42" s="1127"/>
      <c r="AM42" s="1125"/>
      <c r="AN42" s="2"/>
      <c r="AO42" s="1110"/>
      <c r="AP42" s="1127"/>
      <c r="AQ42" s="1127"/>
      <c r="AR42" s="1147"/>
      <c r="AS42" s="1147"/>
      <c r="AT42" s="103" t="e">
        <f t="shared" si="77"/>
        <v>#VALUE!</v>
      </c>
      <c r="AU42" s="78"/>
      <c r="AY42" s="93" t="str">
        <f t="shared" si="6"/>
        <v>Lajes Pré-moldadas</v>
      </c>
    </row>
    <row r="43" spans="1:51" s="16" customFormat="1" ht="14.65" hidden="1" customHeight="1" outlineLevel="1">
      <c r="A43" s="2"/>
      <c r="B43" s="1062" t="s">
        <v>4155</v>
      </c>
      <c r="C43" s="1109" t="s">
        <v>4142</v>
      </c>
      <c r="D43" s="2"/>
      <c r="E43" s="99" t="s">
        <v>37</v>
      </c>
      <c r="F43" s="101">
        <v>57</v>
      </c>
      <c r="G43" s="1073">
        <f t="shared" ref="G43" si="78">IFERROR((F44/F43),"-")</f>
        <v>1</v>
      </c>
      <c r="H43" s="2"/>
      <c r="I43" s="99" t="s">
        <v>37</v>
      </c>
      <c r="J43" s="360">
        <f ca="1">INDEX(M43:S43,MATCH($K$7,M$7:S$7,0))</f>
        <v>19</v>
      </c>
      <c r="K43" s="1073">
        <f t="shared" ca="1" si="72"/>
        <v>1</v>
      </c>
      <c r="L43" s="2"/>
      <c r="M43" s="301"/>
      <c r="N43" s="301">
        <v>19</v>
      </c>
      <c r="O43" s="301"/>
      <c r="P43" s="301">
        <v>19</v>
      </c>
      <c r="Q43" s="301"/>
      <c r="R43" s="301">
        <v>19</v>
      </c>
      <c r="S43" s="301"/>
      <c r="T43" s="2"/>
      <c r="U43" s="307">
        <f t="shared" ca="1" si="4"/>
        <v>19</v>
      </c>
      <c r="V43" s="1073">
        <f t="shared" ca="1" si="73"/>
        <v>1</v>
      </c>
      <c r="W43" s="307">
        <f t="shared" si="25"/>
        <v>57</v>
      </c>
      <c r="X43" s="2"/>
      <c r="Y43" s="1126">
        <v>228</v>
      </c>
      <c r="Z43" s="1126">
        <v>114</v>
      </c>
      <c r="AA43" s="1126">
        <v>120</v>
      </c>
      <c r="AB43" s="1073">
        <f t="shared" ref="AB43" si="79">IF(Z43=0,IF(AA43&gt;0,100%,"-"),AA43/Z43)</f>
        <v>1.0526315789473684</v>
      </c>
      <c r="AC43" s="2"/>
      <c r="AD43" s="1123">
        <v>555</v>
      </c>
      <c r="AE43" s="2"/>
      <c r="AF43" s="1114">
        <v>106</v>
      </c>
      <c r="AG43" s="1073">
        <f t="shared" ref="AG43" si="80">IFERROR((AD43/AF43),"-")</f>
        <v>5.2358490566037732</v>
      </c>
      <c r="AH43" s="2"/>
      <c r="AI43" s="1126">
        <v>1133</v>
      </c>
      <c r="AJ43" s="1073">
        <f t="shared" ref="AJ43" si="81">IFERROR((AD43/AI43),"-")</f>
        <v>0.48984995586937335</v>
      </c>
      <c r="AK43" s="2"/>
      <c r="AL43" s="1126">
        <v>2168</v>
      </c>
      <c r="AM43" s="1123">
        <f>AL43-AD43</f>
        <v>1613</v>
      </c>
      <c r="AN43" s="2"/>
      <c r="AO43" s="1109" t="s">
        <v>4140</v>
      </c>
      <c r="AP43" s="1126" t="e">
        <v>#VALUE!</v>
      </c>
      <c r="AQ43" s="1126" t="e">
        <v>#VALUE!</v>
      </c>
      <c r="AR43" s="1146" t="e">
        <f>AP43/AL43</f>
        <v>#VALUE!</v>
      </c>
      <c r="AS43" s="1146" t="e">
        <f>AQ43/AL43</f>
        <v>#VALUE!</v>
      </c>
      <c r="AT43" s="101" t="e">
        <f t="shared" si="77"/>
        <v>#VALUE!</v>
      </c>
      <c r="AY43" s="93" t="str">
        <f t="shared" si="6"/>
        <v>Canaletas</v>
      </c>
    </row>
    <row r="44" spans="1:51" s="16" customFormat="1" ht="14.65" hidden="1" customHeight="1" outlineLevel="1">
      <c r="A44" s="2"/>
      <c r="B44" s="1063"/>
      <c r="C44" s="1110"/>
      <c r="D44" s="2"/>
      <c r="E44" s="20" t="s">
        <v>38</v>
      </c>
      <c r="F44" s="102">
        <v>57</v>
      </c>
      <c r="G44" s="1074"/>
      <c r="H44" s="2"/>
      <c r="I44" s="303" t="s">
        <v>38</v>
      </c>
      <c r="J44" s="361">
        <f t="shared" ca="1" si="3"/>
        <v>19</v>
      </c>
      <c r="K44" s="1074"/>
      <c r="L44" s="2"/>
      <c r="M44" s="309">
        <v>0</v>
      </c>
      <c r="N44" s="309">
        <v>19</v>
      </c>
      <c r="O44" s="309">
        <v>0</v>
      </c>
      <c r="P44" s="309">
        <v>0</v>
      </c>
      <c r="Q44" s="309">
        <v>0</v>
      </c>
      <c r="R44" s="309">
        <v>0</v>
      </c>
      <c r="S44" s="309">
        <v>0</v>
      </c>
      <c r="T44" s="300"/>
      <c r="U44" s="102">
        <f t="shared" ca="1" si="4"/>
        <v>19</v>
      </c>
      <c r="V44" s="1074"/>
      <c r="W44" s="102">
        <f t="shared" si="25"/>
        <v>19</v>
      </c>
      <c r="X44" s="2"/>
      <c r="Y44" s="1128"/>
      <c r="Z44" s="1127"/>
      <c r="AA44" s="1127"/>
      <c r="AB44" s="1074"/>
      <c r="AC44" s="2"/>
      <c r="AD44" s="1125" t="e">
        <v>#VALUE!</v>
      </c>
      <c r="AE44" s="2"/>
      <c r="AF44" s="1115"/>
      <c r="AG44" s="1117"/>
      <c r="AH44" s="2"/>
      <c r="AI44" s="1127"/>
      <c r="AJ44" s="1117"/>
      <c r="AK44" s="2"/>
      <c r="AL44" s="1127"/>
      <c r="AM44" s="1125"/>
      <c r="AN44" s="2"/>
      <c r="AO44" s="1110"/>
      <c r="AP44" s="1127"/>
      <c r="AQ44" s="1127"/>
      <c r="AR44" s="1147"/>
      <c r="AS44" s="1147"/>
      <c r="AT44" s="103" t="e">
        <f t="shared" si="77"/>
        <v>#VALUE!</v>
      </c>
      <c r="AY44" s="93" t="str">
        <f t="shared" si="6"/>
        <v>Canaletas</v>
      </c>
    </row>
    <row r="45" spans="1:51" s="16" customFormat="1" ht="14.65" hidden="1" customHeight="1" outlineLevel="1">
      <c r="A45" s="2"/>
      <c r="B45" s="1062" t="s">
        <v>4156</v>
      </c>
      <c r="C45" s="1109" t="s">
        <v>4142</v>
      </c>
      <c r="D45" s="2"/>
      <c r="E45" s="99" t="s">
        <v>37</v>
      </c>
      <c r="F45" s="101">
        <v>108</v>
      </c>
      <c r="G45" s="1073">
        <f t="shared" ref="G45" si="82">IFERROR((F46/F45),"-")</f>
        <v>0.66666666666666663</v>
      </c>
      <c r="H45" s="2"/>
      <c r="I45" s="99" t="s">
        <v>37</v>
      </c>
      <c r="J45" s="360">
        <f t="shared" ca="1" si="3"/>
        <v>0</v>
      </c>
      <c r="K45" s="1073" t="str">
        <f t="shared" ref="K45" ca="1" si="83">IFERROR((J46/J45),"-")</f>
        <v>-</v>
      </c>
      <c r="L45" s="2"/>
      <c r="M45" s="301">
        <v>36</v>
      </c>
      <c r="N45" s="301"/>
      <c r="O45" s="301">
        <v>36</v>
      </c>
      <c r="P45" s="301"/>
      <c r="Q45" s="301">
        <v>36</v>
      </c>
      <c r="R45" s="301"/>
      <c r="S45" s="301"/>
      <c r="T45" s="2"/>
      <c r="U45" s="308">
        <f t="shared" ca="1" si="4"/>
        <v>36</v>
      </c>
      <c r="V45" s="1073">
        <f t="shared" ref="V45" ca="1" si="84">IFERROR((U46/U45),"-")</f>
        <v>1</v>
      </c>
      <c r="W45" s="308">
        <f t="shared" si="25"/>
        <v>108</v>
      </c>
      <c r="X45" s="2"/>
      <c r="Y45" s="1126">
        <v>228</v>
      </c>
      <c r="Z45" s="1126">
        <v>114</v>
      </c>
      <c r="AA45" s="1126">
        <v>180</v>
      </c>
      <c r="AB45" s="1073">
        <f t="shared" ref="AB45" si="85">IF(Z45=0,IF(AA45&gt;0,100%,"-"),AA45/Z45)</f>
        <v>1.5789473684210527</v>
      </c>
      <c r="AC45" s="2"/>
      <c r="AD45" s="1123">
        <v>488</v>
      </c>
      <c r="AE45" s="2"/>
      <c r="AF45" s="1114">
        <v>106</v>
      </c>
      <c r="AG45" s="1073">
        <f t="shared" ref="AG45" si="86">IFERROR((AD45/AF45),"-")</f>
        <v>4.6037735849056602</v>
      </c>
      <c r="AH45" s="2"/>
      <c r="AI45" s="1126">
        <v>1123</v>
      </c>
      <c r="AJ45" s="1073">
        <f t="shared" ref="AJ45" si="87">IFERROR((AD45/AI45),"-")</f>
        <v>0.43455031166518254</v>
      </c>
      <c r="AK45" s="2"/>
      <c r="AL45" s="1126">
        <v>2168</v>
      </c>
      <c r="AM45" s="1123">
        <f>AL45-AD45</f>
        <v>1680</v>
      </c>
      <c r="AN45" s="2"/>
      <c r="AO45" s="1109" t="s">
        <v>4140</v>
      </c>
      <c r="AP45" s="1126" t="e">
        <v>#VALUE!</v>
      </c>
      <c r="AQ45" s="1126" t="e">
        <v>#VALUE!</v>
      </c>
      <c r="AR45" s="1146">
        <f>Z45/AL45</f>
        <v>5.2583025830258305E-2</v>
      </c>
      <c r="AS45" s="1146" t="e">
        <f>AQ45/AL45</f>
        <v>#VALUE!</v>
      </c>
      <c r="AT45" s="101" t="e">
        <f t="shared" si="77"/>
        <v>#VALUE!</v>
      </c>
      <c r="AY45" s="93" t="str">
        <f t="shared" si="6"/>
        <v>Tampas</v>
      </c>
    </row>
    <row r="46" spans="1:51" s="16" customFormat="1" ht="14.65" hidden="1" customHeight="1" outlineLevel="1">
      <c r="A46" s="2"/>
      <c r="B46" s="1063"/>
      <c r="C46" s="1110"/>
      <c r="D46" s="2"/>
      <c r="E46" s="20" t="s">
        <v>38</v>
      </c>
      <c r="F46" s="103">
        <v>72</v>
      </c>
      <c r="G46" s="1074"/>
      <c r="H46" s="2"/>
      <c r="I46" s="303" t="s">
        <v>38</v>
      </c>
      <c r="J46" s="361">
        <f t="shared" ca="1" si="3"/>
        <v>0</v>
      </c>
      <c r="K46" s="1074"/>
      <c r="L46" s="2"/>
      <c r="M46" s="309">
        <v>36</v>
      </c>
      <c r="N46" s="304">
        <v>0</v>
      </c>
      <c r="O46" s="304">
        <v>0</v>
      </c>
      <c r="P46" s="304">
        <v>0</v>
      </c>
      <c r="Q46" s="304">
        <v>0</v>
      </c>
      <c r="R46" s="304">
        <v>0</v>
      </c>
      <c r="S46" s="304">
        <v>0</v>
      </c>
      <c r="T46" s="2"/>
      <c r="U46" s="102">
        <f t="shared" ca="1" si="4"/>
        <v>36</v>
      </c>
      <c r="V46" s="1074"/>
      <c r="W46" s="102">
        <f t="shared" si="25"/>
        <v>36</v>
      </c>
      <c r="X46" s="81"/>
      <c r="Y46" s="1128"/>
      <c r="Z46" s="1142"/>
      <c r="AA46" s="1139"/>
      <c r="AB46" s="1074"/>
      <c r="AC46" s="81"/>
      <c r="AD46" s="1124" t="e">
        <v>#VALUE!</v>
      </c>
      <c r="AE46" s="81"/>
      <c r="AF46" s="1143"/>
      <c r="AG46" s="1111"/>
      <c r="AH46" s="81"/>
      <c r="AI46" s="1139"/>
      <c r="AJ46" s="1111"/>
      <c r="AK46" s="81"/>
      <c r="AL46" s="1139"/>
      <c r="AM46" s="1124"/>
      <c r="AN46" s="2"/>
      <c r="AO46" s="1110"/>
      <c r="AP46" s="1142"/>
      <c r="AQ46" s="1139"/>
      <c r="AR46" s="1147"/>
      <c r="AS46" s="1147"/>
      <c r="AT46" s="103" t="e">
        <f t="shared" si="77"/>
        <v>#VALUE!</v>
      </c>
      <c r="AY46" s="93" t="str">
        <f t="shared" si="6"/>
        <v>Tampas</v>
      </c>
    </row>
    <row r="47" spans="1:51" ht="6.75" hidden="1" customHeight="1" outlineLevel="1">
      <c r="E47" s="59"/>
      <c r="F47" s="404"/>
      <c r="T47" s="7"/>
      <c r="V47" s="7"/>
      <c r="W47" s="290"/>
      <c r="X47" s="7"/>
      <c r="Y47" s="7"/>
      <c r="Z47" s="7"/>
      <c r="AA47" s="7"/>
      <c r="AB47" s="7"/>
      <c r="AC47" s="7"/>
      <c r="AD47" s="7"/>
      <c r="AE47" s="7"/>
      <c r="AF47" s="7"/>
      <c r="AG47" s="7"/>
      <c r="AH47" s="7"/>
      <c r="AI47" s="7"/>
      <c r="AJ47" s="7"/>
      <c r="AK47" s="7"/>
      <c r="AL47" s="7"/>
      <c r="AM47" s="7"/>
      <c r="AY47" s="93" t="str">
        <f t="shared" si="6"/>
        <v>Tampas</v>
      </c>
    </row>
    <row r="48" spans="1:51" s="21" customFormat="1" collapsed="1">
      <c r="B48" s="1148" t="s">
        <v>60</v>
      </c>
      <c r="C48" s="1118"/>
      <c r="D48" s="2"/>
      <c r="E48" s="105" t="s">
        <v>37</v>
      </c>
      <c r="F48" s="320">
        <v>4</v>
      </c>
      <c r="G48" s="1119">
        <f>IFERROR((F49/F48),"-")</f>
        <v>0.25</v>
      </c>
      <c r="H48" s="2"/>
      <c r="I48" s="105" t="s">
        <v>37</v>
      </c>
      <c r="J48" s="320">
        <f t="shared" ref="J48:J51" ca="1" si="88">INDEX(M48:S48,MATCH($K$7,M$7:S$7,0))</f>
        <v>0</v>
      </c>
      <c r="K48" s="1119">
        <f ca="1">IF(J48=0,IF(J49&gt;0,100%,"-"),J49/J48)</f>
        <v>1</v>
      </c>
      <c r="L48" s="2"/>
      <c r="M48" s="317">
        <f>SUM(M50+M52+M54)+M56+M58+M60+M62</f>
        <v>3</v>
      </c>
      <c r="N48" s="317">
        <f t="shared" ref="N48:S48" si="89">SUM(N50+N52+N54)+N56+N58+N60+N62</f>
        <v>0</v>
      </c>
      <c r="O48" s="317">
        <f t="shared" si="89"/>
        <v>0</v>
      </c>
      <c r="P48" s="317">
        <f t="shared" si="89"/>
        <v>0</v>
      </c>
      <c r="Q48" s="317">
        <f t="shared" si="89"/>
        <v>0</v>
      </c>
      <c r="R48" s="317">
        <f>SUM(R50+R52+R54)+R56+R58+R60+R62</f>
        <v>1</v>
      </c>
      <c r="S48" s="317">
        <f t="shared" si="89"/>
        <v>0</v>
      </c>
      <c r="T48" s="2"/>
      <c r="U48" s="320">
        <f ca="1">SUMIFS(M48:S48,$M$7:$S$7,"&gt;="&amp;$M$7,$M$7:$S$7,"&lt;="&amp;$K$7)</f>
        <v>3</v>
      </c>
      <c r="V48" s="1119">
        <f ca="1">IFERROR((U49/U48),"-")</f>
        <v>1</v>
      </c>
      <c r="W48" s="320">
        <f t="shared" si="25"/>
        <v>4</v>
      </c>
      <c r="X48" s="2"/>
      <c r="Y48" s="1144">
        <f>SUM(Y50:Y63)</f>
        <v>15</v>
      </c>
      <c r="Z48" s="1144">
        <f>SUM(Z50:Z63)</f>
        <v>3</v>
      </c>
      <c r="AA48" s="1144">
        <f>SUM(AA50:AA63)</f>
        <v>5</v>
      </c>
      <c r="AB48" s="1119">
        <f>IF(Z48=0,IF(AA48&gt;0,100%,"-"),AA48/Z48)</f>
        <v>1.6666666666666667</v>
      </c>
      <c r="AC48" s="2"/>
      <c r="AD48" s="1121">
        <f>SUM(AD50:AD63)</f>
        <v>13.999999999999998</v>
      </c>
      <c r="AE48" s="11"/>
      <c r="AF48" s="1130">
        <v>210</v>
      </c>
      <c r="AG48" s="1122">
        <f>IFERROR((AD48/AF48),"-")</f>
        <v>6.6666666666666652E-2</v>
      </c>
      <c r="AH48" s="2"/>
      <c r="AI48" s="1121">
        <f>SUM(AI50:AI63)</f>
        <v>75</v>
      </c>
      <c r="AJ48" s="1122">
        <f>IFERROR((AD48/AI48),"-")</f>
        <v>0.18666666666666665</v>
      </c>
      <c r="AK48" s="2"/>
      <c r="AL48" s="1121">
        <f>SUM(AL50:AL63)</f>
        <v>135</v>
      </c>
      <c r="AM48" s="1121">
        <f>SUM(AM50:AM63)</f>
        <v>121</v>
      </c>
      <c r="AN48" s="2"/>
      <c r="AO48" s="1149" t="s">
        <v>4140</v>
      </c>
      <c r="AP48" s="281"/>
      <c r="AQ48" s="281"/>
      <c r="AT48" s="7"/>
      <c r="AY48" s="93" t="str">
        <f t="shared" si="6"/>
        <v>Aduelas</v>
      </c>
    </row>
    <row r="49" spans="1:51" s="16" customFormat="1">
      <c r="A49" s="2"/>
      <c r="B49" s="1148"/>
      <c r="C49" s="1118"/>
      <c r="D49" s="2"/>
      <c r="E49" s="107" t="s">
        <v>38</v>
      </c>
      <c r="F49" s="318">
        <v>1</v>
      </c>
      <c r="G49" s="1120"/>
      <c r="H49" s="2"/>
      <c r="I49" s="299" t="s">
        <v>38</v>
      </c>
      <c r="J49" s="320">
        <f t="shared" ca="1" si="88"/>
        <v>3</v>
      </c>
      <c r="K49" s="1120"/>
      <c r="L49" s="2"/>
      <c r="M49" s="318">
        <f t="shared" ref="M49:P49" si="90">SUM(M51+M53+M55)+M57+M59+M61+M63</f>
        <v>0</v>
      </c>
      <c r="N49" s="318">
        <f t="shared" si="90"/>
        <v>3</v>
      </c>
      <c r="O49" s="318">
        <f t="shared" si="90"/>
        <v>0</v>
      </c>
      <c r="P49" s="318">
        <f t="shared" si="90"/>
        <v>0</v>
      </c>
      <c r="Q49" s="318">
        <f>SUM(Q51+Q53+Q55)+Q57+Q59+Q61+Q63</f>
        <v>0</v>
      </c>
      <c r="R49" s="318">
        <f t="shared" ref="R49:S49" si="91">SUM(R51+R53+R55)+R57+R59+R61+R63</f>
        <v>0</v>
      </c>
      <c r="S49" s="318">
        <f t="shared" si="91"/>
        <v>0</v>
      </c>
      <c r="T49" s="300"/>
      <c r="U49" s="318">
        <f ca="1">SUMIFS(M49:S49,$M$7:$S$7,"&gt;="&amp;$M$7,$M$7:$S$7,"&lt;="&amp;$K$7)</f>
        <v>3</v>
      </c>
      <c r="V49" s="1120"/>
      <c r="W49" s="318">
        <f t="shared" si="25"/>
        <v>3</v>
      </c>
      <c r="X49" s="2"/>
      <c r="Y49" s="1145"/>
      <c r="Z49" s="1145"/>
      <c r="AA49" s="1145"/>
      <c r="AB49" s="1120"/>
      <c r="AC49" s="2"/>
      <c r="AD49" s="1121"/>
      <c r="AE49" s="11"/>
      <c r="AF49" s="1130"/>
      <c r="AG49" s="1122"/>
      <c r="AH49" s="2"/>
      <c r="AI49" s="1121"/>
      <c r="AJ49" s="1122"/>
      <c r="AK49" s="2"/>
      <c r="AL49" s="1121"/>
      <c r="AM49" s="1121"/>
      <c r="AN49" s="2"/>
      <c r="AO49" s="1150"/>
      <c r="AP49" s="282"/>
      <c r="AQ49" s="282"/>
      <c r="AT49" s="7"/>
      <c r="AY49" s="93" t="str">
        <f t="shared" si="6"/>
        <v>Aduelas</v>
      </c>
    </row>
    <row r="50" spans="1:51" s="16" customFormat="1" hidden="1" outlineLevel="1">
      <c r="A50" s="2"/>
      <c r="B50" s="1062" t="s">
        <v>4157</v>
      </c>
      <c r="C50" s="1109" t="s">
        <v>4146</v>
      </c>
      <c r="D50" s="2"/>
      <c r="E50" s="99" t="s">
        <v>37</v>
      </c>
      <c r="F50" s="405">
        <v>1.3333333333333333</v>
      </c>
      <c r="G50" s="1073">
        <f t="shared" ref="G50" si="92">IFERROR((F51/F50),"-")</f>
        <v>0.25</v>
      </c>
      <c r="H50" s="2"/>
      <c r="I50" s="99" t="s">
        <v>37</v>
      </c>
      <c r="J50" s="325">
        <f t="shared" ca="1" si="88"/>
        <v>0</v>
      </c>
      <c r="K50" s="1073" t="str">
        <f t="shared" ref="K50:K62" ca="1" si="93">IFERROR((J51/J50),"-")</f>
        <v>-</v>
      </c>
      <c r="L50" s="2"/>
      <c r="M50" s="311">
        <v>1</v>
      </c>
      <c r="N50" s="311"/>
      <c r="O50" s="311"/>
      <c r="P50" s="311"/>
      <c r="Q50" s="311"/>
      <c r="R50" s="311">
        <f>1/3</f>
        <v>0.33333333333333331</v>
      </c>
      <c r="S50" s="311"/>
      <c r="T50" s="2"/>
      <c r="U50" s="313">
        <f t="shared" ref="U50:U59" ca="1" si="94">SUMIFS(M50:S50,$M$7:$S$7,"&gt;="&amp;$M$7,$M$7:$S$7,"&lt;="&amp;$K$7)</f>
        <v>1</v>
      </c>
      <c r="V50" s="1073">
        <f t="shared" ref="V50" ca="1" si="95">IFERROR((U51/U50),"-")</f>
        <v>1</v>
      </c>
      <c r="W50" s="313">
        <f t="shared" si="25"/>
        <v>1.3333333333333333</v>
      </c>
      <c r="X50" s="2"/>
      <c r="Y50" s="1107">
        <v>3</v>
      </c>
      <c r="Z50" s="1107">
        <v>1</v>
      </c>
      <c r="AA50" s="1107">
        <v>1.3333333333333333</v>
      </c>
      <c r="AB50" s="1073">
        <f t="shared" ref="AB50" si="96">IF(Z50=0,IF(AA50&gt;0,100%,"-"),AA50/Z50)</f>
        <v>1.3333333333333333</v>
      </c>
      <c r="AC50" s="2"/>
      <c r="AD50" s="1105">
        <v>4.6666666666666661</v>
      </c>
      <c r="AE50" s="2"/>
      <c r="AF50" s="1114">
        <v>106</v>
      </c>
      <c r="AG50" s="1073">
        <f t="shared" ref="AG50" si="97">IFERROR((AD50/AF50),"-")</f>
        <v>4.40251572327044E-2</v>
      </c>
      <c r="AH50" s="2"/>
      <c r="AI50" s="1107">
        <v>5.9999999999999982</v>
      </c>
      <c r="AJ50" s="1073">
        <f t="shared" ref="AJ50" si="98">IFERROR((AD50/AI50),"-")</f>
        <v>0.7777777777777779</v>
      </c>
      <c r="AK50" s="2"/>
      <c r="AL50" s="1107">
        <v>6</v>
      </c>
      <c r="AM50" s="1105">
        <f>AL50-AD50</f>
        <v>1.3333333333333339</v>
      </c>
      <c r="AN50" s="2"/>
      <c r="AO50" s="1109" t="s">
        <v>4140</v>
      </c>
      <c r="AP50" s="279"/>
      <c r="AQ50" s="279"/>
      <c r="AT50" s="7"/>
      <c r="AY50" s="93" t="str">
        <f t="shared" si="6"/>
        <v>Aduela de Disparo</v>
      </c>
    </row>
    <row r="51" spans="1:51" s="16" customFormat="1" hidden="1" outlineLevel="1">
      <c r="A51" s="2"/>
      <c r="B51" s="1063"/>
      <c r="C51" s="1110"/>
      <c r="D51" s="2"/>
      <c r="E51" s="20" t="s">
        <v>38</v>
      </c>
      <c r="F51" s="314">
        <v>0.33333333333333331</v>
      </c>
      <c r="G51" s="1074"/>
      <c r="H51" s="2"/>
      <c r="I51" s="303" t="s">
        <v>38</v>
      </c>
      <c r="J51" s="325">
        <f t="shared" ca="1" si="88"/>
        <v>1</v>
      </c>
      <c r="K51" s="1074"/>
      <c r="L51" s="2"/>
      <c r="M51" s="312"/>
      <c r="N51" s="312">
        <v>1</v>
      </c>
      <c r="O51" s="312"/>
      <c r="P51" s="312"/>
      <c r="Q51" s="312"/>
      <c r="R51" s="312"/>
      <c r="S51" s="312"/>
      <c r="T51" s="300"/>
      <c r="U51" s="314">
        <f t="shared" ca="1" si="94"/>
        <v>1</v>
      </c>
      <c r="V51" s="1074"/>
      <c r="W51" s="314">
        <f t="shared" si="25"/>
        <v>1</v>
      </c>
      <c r="X51" s="2"/>
      <c r="Y51" s="1113"/>
      <c r="Z51" s="1113"/>
      <c r="AA51" s="1113"/>
      <c r="AB51" s="1074"/>
      <c r="AC51" s="2"/>
      <c r="AD51" s="1116"/>
      <c r="AE51" s="2"/>
      <c r="AF51" s="1115"/>
      <c r="AG51" s="1117"/>
      <c r="AH51" s="2"/>
      <c r="AI51" s="1113"/>
      <c r="AJ51" s="1117"/>
      <c r="AK51" s="2"/>
      <c r="AL51" s="1113"/>
      <c r="AM51" s="1106"/>
      <c r="AN51" s="2"/>
      <c r="AO51" s="1110"/>
      <c r="AP51" s="280"/>
      <c r="AQ51" s="280"/>
      <c r="AT51" s="7"/>
      <c r="AY51" s="93" t="str">
        <f t="shared" si="6"/>
        <v>Aduela de Disparo</v>
      </c>
    </row>
    <row r="52" spans="1:51" s="16" customFormat="1" hidden="1" outlineLevel="1">
      <c r="A52" s="2"/>
      <c r="B52" s="1062" t="s">
        <v>4158</v>
      </c>
      <c r="C52" s="1109" t="s">
        <v>4146</v>
      </c>
      <c r="D52" s="2"/>
      <c r="E52" s="99" t="s">
        <v>37</v>
      </c>
      <c r="F52" s="405">
        <v>1</v>
      </c>
      <c r="G52" s="1073">
        <f t="shared" ref="G52:G62" si="99">IFERROR((F53/F52),"-")</f>
        <v>0</v>
      </c>
      <c r="H52" s="2"/>
      <c r="I52" s="99" t="s">
        <v>37</v>
      </c>
      <c r="J52" s="325">
        <f ca="1">INDEX(M52:S52,MATCH($K$7,M$7:S$7,0))</f>
        <v>0</v>
      </c>
      <c r="K52" s="1073" t="str">
        <f t="shared" ca="1" si="93"/>
        <v>-</v>
      </c>
      <c r="L52" s="2"/>
      <c r="M52" s="311">
        <v>1</v>
      </c>
      <c r="N52" s="311"/>
      <c r="O52" s="311"/>
      <c r="P52" s="311"/>
      <c r="Q52" s="311"/>
      <c r="R52" s="311"/>
      <c r="S52" s="311"/>
      <c r="T52" s="2"/>
      <c r="U52" s="313">
        <f t="shared" ca="1" si="94"/>
        <v>1</v>
      </c>
      <c r="V52" s="1073">
        <f t="shared" ref="V52" ca="1" si="100">IFERROR((U53/U52),"-")</f>
        <v>1</v>
      </c>
      <c r="W52" s="313">
        <f t="shared" si="25"/>
        <v>1</v>
      </c>
      <c r="X52" s="2"/>
      <c r="Y52" s="1107">
        <v>1</v>
      </c>
      <c r="Z52" s="1107">
        <v>1</v>
      </c>
      <c r="AA52" s="1107">
        <v>0</v>
      </c>
      <c r="AB52" s="1073">
        <f t="shared" ref="AB52" si="101">IF(Z52=0,IF(AA52&gt;0,100%,"-"),AA52/Z52)</f>
        <v>0</v>
      </c>
      <c r="AC52" s="2"/>
      <c r="AD52" s="1105">
        <v>3</v>
      </c>
      <c r="AE52" s="2"/>
      <c r="AF52" s="1114">
        <v>106</v>
      </c>
      <c r="AG52" s="1073">
        <f t="shared" ref="AG52" si="102">IFERROR((AD52/AF52),"-")</f>
        <v>2.8301886792452831E-2</v>
      </c>
      <c r="AH52" s="2"/>
      <c r="AI52" s="1107">
        <v>3</v>
      </c>
      <c r="AJ52" s="1073">
        <f t="shared" ref="AJ52" si="103">IFERROR((AD52/AI52),"-")</f>
        <v>1</v>
      </c>
      <c r="AK52" s="2"/>
      <c r="AL52" s="1107">
        <v>3</v>
      </c>
      <c r="AM52" s="1105">
        <f t="shared" ref="AM52" si="104">AL52-AD52</f>
        <v>0</v>
      </c>
      <c r="AN52" s="2"/>
      <c r="AO52" s="1109" t="s">
        <v>4140</v>
      </c>
      <c r="AP52" s="279"/>
      <c r="AQ52" s="279"/>
      <c r="AT52" s="7"/>
      <c r="AY52" s="93" t="str">
        <f t="shared" si="6"/>
        <v>Aduela AP-03 AD0E</v>
      </c>
    </row>
    <row r="53" spans="1:51" s="16" customFormat="1" hidden="1" outlineLevel="1">
      <c r="A53" s="2"/>
      <c r="B53" s="1063"/>
      <c r="C53" s="1110"/>
      <c r="D53" s="2"/>
      <c r="E53" s="20" t="s">
        <v>38</v>
      </c>
      <c r="F53" s="314">
        <v>0</v>
      </c>
      <c r="G53" s="1074"/>
      <c r="H53" s="2"/>
      <c r="I53" s="303" t="s">
        <v>38</v>
      </c>
      <c r="J53" s="325">
        <f t="shared" ref="J53:J63" ca="1" si="105">INDEX(M53:S53,MATCH($K$7,M$7:S$7,0))</f>
        <v>1</v>
      </c>
      <c r="K53" s="1074"/>
      <c r="L53" s="2"/>
      <c r="M53" s="312"/>
      <c r="N53" s="312">
        <v>1</v>
      </c>
      <c r="O53" s="312"/>
      <c r="P53" s="312"/>
      <c r="Q53" s="312"/>
      <c r="R53" s="312"/>
      <c r="S53" s="312"/>
      <c r="T53" s="300"/>
      <c r="U53" s="314">
        <f t="shared" ca="1" si="94"/>
        <v>1</v>
      </c>
      <c r="V53" s="1074"/>
      <c r="W53" s="314">
        <f t="shared" si="25"/>
        <v>1</v>
      </c>
      <c r="X53" s="2"/>
      <c r="Y53" s="1113"/>
      <c r="Z53" s="1113"/>
      <c r="AA53" s="1113"/>
      <c r="AB53" s="1074"/>
      <c r="AC53" s="2"/>
      <c r="AD53" s="1116"/>
      <c r="AE53" s="2"/>
      <c r="AF53" s="1115"/>
      <c r="AG53" s="1117"/>
      <c r="AH53" s="2"/>
      <c r="AI53" s="1113"/>
      <c r="AJ53" s="1117"/>
      <c r="AK53" s="2"/>
      <c r="AL53" s="1113"/>
      <c r="AM53" s="1106"/>
      <c r="AN53" s="2"/>
      <c r="AO53" s="1110"/>
      <c r="AP53" s="280"/>
      <c r="AQ53" s="280"/>
      <c r="AT53" s="7"/>
      <c r="AY53" s="93" t="str">
        <f t="shared" si="6"/>
        <v>Aduela AP-03 AD0E</v>
      </c>
    </row>
    <row r="54" spans="1:51" s="16" customFormat="1" hidden="1" outlineLevel="1">
      <c r="A54" s="2"/>
      <c r="B54" s="1062" t="s">
        <v>4159</v>
      </c>
      <c r="C54" s="1109" t="s">
        <v>4146</v>
      </c>
      <c r="D54" s="2"/>
      <c r="E54" s="99" t="s">
        <v>37</v>
      </c>
      <c r="F54" s="405">
        <v>1</v>
      </c>
      <c r="G54" s="1073">
        <f t="shared" si="99"/>
        <v>0</v>
      </c>
      <c r="H54" s="2"/>
      <c r="I54" s="99" t="s">
        <v>37</v>
      </c>
      <c r="J54" s="325">
        <f t="shared" ca="1" si="105"/>
        <v>0</v>
      </c>
      <c r="K54" s="1073" t="str">
        <f t="shared" ca="1" si="93"/>
        <v>-</v>
      </c>
      <c r="L54" s="2"/>
      <c r="M54" s="311">
        <v>1</v>
      </c>
      <c r="N54" s="311"/>
      <c r="O54" s="311"/>
      <c r="P54" s="310"/>
      <c r="Q54" s="311"/>
      <c r="R54" s="311"/>
      <c r="S54" s="311"/>
      <c r="T54" s="2"/>
      <c r="U54" s="321">
        <f t="shared" ca="1" si="94"/>
        <v>1</v>
      </c>
      <c r="V54" s="1073">
        <f t="shared" ref="V54" ca="1" si="106">IFERROR((U55/U54),"-")</f>
        <v>1</v>
      </c>
      <c r="W54" s="321">
        <f t="shared" si="25"/>
        <v>1</v>
      </c>
      <c r="X54" s="2"/>
      <c r="Y54" s="1107">
        <v>3</v>
      </c>
      <c r="Z54" s="1107">
        <v>1</v>
      </c>
      <c r="AA54" s="1107">
        <v>1</v>
      </c>
      <c r="AB54" s="1073">
        <f t="shared" ref="AB54" si="107">IF(Z54=0,IF(AA54&gt;0,100%,"-"),AA54/Z54)</f>
        <v>1</v>
      </c>
      <c r="AC54" s="2"/>
      <c r="AD54" s="1105">
        <v>3</v>
      </c>
      <c r="AE54" s="2"/>
      <c r="AF54" s="1114">
        <v>106</v>
      </c>
      <c r="AG54" s="1073">
        <f t="shared" ref="AG54" si="108">IFERROR((AD54/AF54),"-")</f>
        <v>2.8301886792452831E-2</v>
      </c>
      <c r="AH54" s="2"/>
      <c r="AI54" s="1107">
        <v>3</v>
      </c>
      <c r="AJ54" s="1073">
        <f t="shared" ref="AJ54" si="109">IFERROR((AD54/AI54),"-")</f>
        <v>1</v>
      </c>
      <c r="AK54" s="2"/>
      <c r="AL54" s="1107">
        <v>3</v>
      </c>
      <c r="AM54" s="1105">
        <f t="shared" ref="AM54" si="110">AL54-AD54</f>
        <v>0</v>
      </c>
      <c r="AN54" s="2"/>
      <c r="AO54" s="1109" t="s">
        <v>4140</v>
      </c>
      <c r="AP54" s="279"/>
      <c r="AQ54" s="279"/>
      <c r="AT54" s="7"/>
      <c r="AY54" s="93" t="str">
        <f t="shared" si="6"/>
        <v>Aduela AP-03 AD0D</v>
      </c>
    </row>
    <row r="55" spans="1:51" s="16" customFormat="1" hidden="1" outlineLevel="1">
      <c r="A55" s="2"/>
      <c r="B55" s="1063"/>
      <c r="C55" s="1110"/>
      <c r="D55" s="2"/>
      <c r="E55" s="20" t="s">
        <v>38</v>
      </c>
      <c r="F55" s="406">
        <v>0</v>
      </c>
      <c r="G55" s="1074"/>
      <c r="H55" s="2"/>
      <c r="I55" s="303" t="s">
        <v>38</v>
      </c>
      <c r="J55" s="325">
        <f t="shared" ca="1" si="105"/>
        <v>1</v>
      </c>
      <c r="K55" s="1074"/>
      <c r="L55" s="2"/>
      <c r="M55" s="319"/>
      <c r="N55" s="319">
        <v>1</v>
      </c>
      <c r="O55" s="319"/>
      <c r="P55" s="319"/>
      <c r="Q55" s="319"/>
      <c r="R55" s="312"/>
      <c r="S55" s="319"/>
      <c r="T55" s="2"/>
      <c r="U55" s="314">
        <f t="shared" ca="1" si="94"/>
        <v>1</v>
      </c>
      <c r="V55" s="1074"/>
      <c r="W55" s="314">
        <f t="shared" si="25"/>
        <v>1</v>
      </c>
      <c r="X55" s="81"/>
      <c r="Y55" s="1113"/>
      <c r="Z55" s="1113"/>
      <c r="AA55" s="1108"/>
      <c r="AB55" s="1074"/>
      <c r="AC55" s="81"/>
      <c r="AD55" s="1106"/>
      <c r="AE55" s="81"/>
      <c r="AF55" s="1143"/>
      <c r="AG55" s="1111"/>
      <c r="AH55" s="81"/>
      <c r="AI55" s="1108"/>
      <c r="AJ55" s="1111"/>
      <c r="AK55" s="81"/>
      <c r="AL55" s="1108"/>
      <c r="AM55" s="1106"/>
      <c r="AN55" s="2"/>
      <c r="AO55" s="1110"/>
      <c r="AP55" s="280"/>
      <c r="AQ55" s="280"/>
      <c r="AT55" s="7"/>
      <c r="AY55" s="93" t="str">
        <f t="shared" si="6"/>
        <v>Aduela AP-03 AD0D</v>
      </c>
    </row>
    <row r="56" spans="1:51" s="16" customFormat="1" hidden="1" outlineLevel="1">
      <c r="A56" s="2"/>
      <c r="B56" s="1062" t="s">
        <v>4160</v>
      </c>
      <c r="C56" s="1109" t="s">
        <v>4146</v>
      </c>
      <c r="D56" s="2"/>
      <c r="E56" s="99" t="s">
        <v>37</v>
      </c>
      <c r="F56" s="405">
        <v>0.33333333333333331</v>
      </c>
      <c r="G56" s="1073">
        <f t="shared" si="99"/>
        <v>1</v>
      </c>
      <c r="H56" s="2"/>
      <c r="I56" s="99" t="s">
        <v>37</v>
      </c>
      <c r="J56" s="325">
        <f t="shared" ca="1" si="105"/>
        <v>0</v>
      </c>
      <c r="K56" s="1073" t="str">
        <f t="shared" ca="1" si="93"/>
        <v>-</v>
      </c>
      <c r="L56" s="2"/>
      <c r="M56" s="311"/>
      <c r="N56" s="311"/>
      <c r="O56" s="311"/>
      <c r="P56" s="311"/>
      <c r="Q56" s="311"/>
      <c r="R56" s="311">
        <f>1/3</f>
        <v>0.33333333333333331</v>
      </c>
      <c r="S56" s="311"/>
      <c r="T56" s="2"/>
      <c r="U56" s="321">
        <f ca="1">SUMIFS(M56:S56,$M$7:$S$7,"&gt;="&amp;$M$7,$M$7:$S$7,"&lt;="&amp;$K$7)</f>
        <v>0</v>
      </c>
      <c r="V56" s="1073" t="str">
        <f t="shared" ref="V56" ca="1" si="111">IFERROR((U57/U56),"-")</f>
        <v>-</v>
      </c>
      <c r="W56" s="321">
        <f t="shared" si="25"/>
        <v>0.33333333333333331</v>
      </c>
      <c r="X56" s="2"/>
      <c r="Y56" s="1107">
        <v>0</v>
      </c>
      <c r="Z56" s="1107">
        <v>0</v>
      </c>
      <c r="AA56" s="1107">
        <v>0.66666666666666663</v>
      </c>
      <c r="AB56" s="1073">
        <f t="shared" ref="AB56" si="112">IF(Z56=0,IF(AA56&gt;0,100%,"-"),AA56/Z56)</f>
        <v>1</v>
      </c>
      <c r="AC56" s="2"/>
      <c r="AD56" s="1105">
        <v>1.6666666666666665</v>
      </c>
      <c r="AE56" s="2"/>
      <c r="AF56" s="1114">
        <v>106</v>
      </c>
      <c r="AG56" s="1073">
        <f t="shared" ref="AG56" si="113">IFERROR((AD56/AF56),"-")</f>
        <v>1.5723270440251572E-2</v>
      </c>
      <c r="AH56" s="2"/>
      <c r="AI56" s="1107">
        <v>3</v>
      </c>
      <c r="AJ56" s="1073">
        <f t="shared" ref="AJ56" si="114">IFERROR((AD56/AI56),"-")</f>
        <v>0.55555555555555547</v>
      </c>
      <c r="AK56" s="2"/>
      <c r="AL56" s="1107">
        <v>3</v>
      </c>
      <c r="AM56" s="1105">
        <f t="shared" ref="AM56" si="115">AL56-AD56</f>
        <v>1.3333333333333335</v>
      </c>
      <c r="AN56" s="2"/>
      <c r="AO56" s="1109" t="s">
        <v>4140</v>
      </c>
      <c r="AP56" s="279"/>
      <c r="AQ56" s="279"/>
      <c r="AT56" s="7"/>
      <c r="AY56" s="93" t="str">
        <f t="shared" si="6"/>
        <v>Aduela AP-04 AD0E</v>
      </c>
    </row>
    <row r="57" spans="1:51" s="16" customFormat="1" hidden="1" outlineLevel="1">
      <c r="A57" s="2"/>
      <c r="B57" s="1063"/>
      <c r="C57" s="1110"/>
      <c r="D57" s="2"/>
      <c r="E57" s="20" t="s">
        <v>38</v>
      </c>
      <c r="F57" s="406">
        <v>0.33333333333333331</v>
      </c>
      <c r="G57" s="1074"/>
      <c r="H57" s="2"/>
      <c r="I57" s="303" t="s">
        <v>38</v>
      </c>
      <c r="J57" s="325">
        <f t="shared" ca="1" si="105"/>
        <v>0</v>
      </c>
      <c r="K57" s="1074"/>
      <c r="L57" s="2"/>
      <c r="M57" s="319"/>
      <c r="N57" s="319"/>
      <c r="O57" s="319"/>
      <c r="P57" s="319"/>
      <c r="Q57" s="312"/>
      <c r="R57" s="319"/>
      <c r="S57" s="319"/>
      <c r="T57" s="2"/>
      <c r="U57" s="314">
        <f t="shared" ca="1" si="94"/>
        <v>0</v>
      </c>
      <c r="V57" s="1074"/>
      <c r="W57" s="314">
        <f t="shared" si="25"/>
        <v>0</v>
      </c>
      <c r="X57" s="81"/>
      <c r="Y57" s="1113"/>
      <c r="Z57" s="1113"/>
      <c r="AA57" s="1108"/>
      <c r="AB57" s="1074"/>
      <c r="AC57" s="81"/>
      <c r="AD57" s="1106"/>
      <c r="AE57" s="81"/>
      <c r="AF57" s="1143"/>
      <c r="AG57" s="1111"/>
      <c r="AH57" s="81"/>
      <c r="AI57" s="1108"/>
      <c r="AJ57" s="1111"/>
      <c r="AK57" s="81"/>
      <c r="AL57" s="1108"/>
      <c r="AM57" s="1106"/>
      <c r="AN57" s="2"/>
      <c r="AO57" s="1110"/>
      <c r="AP57" s="280"/>
      <c r="AQ57" s="280"/>
      <c r="AT57" s="7"/>
      <c r="AY57" s="93" t="str">
        <f t="shared" si="6"/>
        <v>Aduela AP-04 AD0E</v>
      </c>
    </row>
    <row r="58" spans="1:51" s="16" customFormat="1" hidden="1" outlineLevel="1">
      <c r="A58" s="2"/>
      <c r="B58" s="1062" t="s">
        <v>4161</v>
      </c>
      <c r="C58" s="1109" t="s">
        <v>4146</v>
      </c>
      <c r="D58" s="2"/>
      <c r="E58" s="99" t="s">
        <v>37</v>
      </c>
      <c r="F58" s="405">
        <v>0.33333333333333331</v>
      </c>
      <c r="G58" s="1073">
        <f t="shared" si="99"/>
        <v>1</v>
      </c>
      <c r="H58" s="2"/>
      <c r="I58" s="99" t="s">
        <v>37</v>
      </c>
      <c r="J58" s="325">
        <f t="shared" ca="1" si="105"/>
        <v>0</v>
      </c>
      <c r="K58" s="1073" t="str">
        <f t="shared" ca="1" si="93"/>
        <v>-</v>
      </c>
      <c r="L58" s="2"/>
      <c r="M58" s="311"/>
      <c r="N58" s="311"/>
      <c r="O58" s="311"/>
      <c r="P58" s="311"/>
      <c r="Q58" s="311"/>
      <c r="R58" s="311">
        <f>1/3</f>
        <v>0.33333333333333331</v>
      </c>
      <c r="S58" s="311"/>
      <c r="T58" s="2"/>
      <c r="U58" s="321">
        <f t="shared" ca="1" si="94"/>
        <v>0</v>
      </c>
      <c r="V58" s="1073" t="str">
        <f t="shared" ref="V58:V62" ca="1" si="116">IFERROR((U59/U58),"-")</f>
        <v>-</v>
      </c>
      <c r="W58" s="321">
        <f t="shared" si="25"/>
        <v>0.33333333333333331</v>
      </c>
      <c r="X58" s="2"/>
      <c r="Y58" s="1107">
        <v>2</v>
      </c>
      <c r="Z58" s="1107">
        <v>0</v>
      </c>
      <c r="AA58" s="1107">
        <v>2</v>
      </c>
      <c r="AB58" s="1073">
        <f t="shared" ref="AB58" si="117">IF(Z58=0,IF(AA58&gt;0,100%,"-"),AA58/Z58)</f>
        <v>1</v>
      </c>
      <c r="AC58" s="2"/>
      <c r="AD58" s="1105">
        <v>1.6666666666666665</v>
      </c>
      <c r="AE58" s="2"/>
      <c r="AF58" s="1114">
        <v>106</v>
      </c>
      <c r="AG58" s="1073">
        <f t="shared" ref="AG58" si="118">IFERROR((AD58/AF58),"-")</f>
        <v>1.5723270440251572E-2</v>
      </c>
      <c r="AH58" s="2"/>
      <c r="AI58" s="1107">
        <v>3</v>
      </c>
      <c r="AJ58" s="1073">
        <f t="shared" ref="AJ58:AJ62" si="119">IFERROR((AD58/AI58),"-")</f>
        <v>0.55555555555555547</v>
      </c>
      <c r="AK58" s="2"/>
      <c r="AL58" s="1107">
        <v>3</v>
      </c>
      <c r="AM58" s="1105">
        <f t="shared" ref="AM58" si="120">AL58-AD58</f>
        <v>1.3333333333333335</v>
      </c>
      <c r="AN58" s="2"/>
      <c r="AO58" s="1109" t="s">
        <v>4140</v>
      </c>
      <c r="AP58" s="279"/>
      <c r="AQ58" s="279"/>
      <c r="AT58" s="7"/>
      <c r="AY58" s="93" t="str">
        <f t="shared" si="6"/>
        <v>Aduela AP-04 AD0D</v>
      </c>
    </row>
    <row r="59" spans="1:51" s="16" customFormat="1" hidden="1" outlineLevel="1">
      <c r="A59" s="2"/>
      <c r="B59" s="1063"/>
      <c r="C59" s="1110"/>
      <c r="D59" s="2"/>
      <c r="E59" s="20" t="s">
        <v>38</v>
      </c>
      <c r="F59" s="406">
        <v>0.33333333333333331</v>
      </c>
      <c r="G59" s="1074"/>
      <c r="H59" s="2"/>
      <c r="I59" s="303" t="s">
        <v>38</v>
      </c>
      <c r="J59" s="325">
        <f t="shared" ca="1" si="105"/>
        <v>0</v>
      </c>
      <c r="K59" s="1074"/>
      <c r="L59" s="2"/>
      <c r="M59" s="319"/>
      <c r="N59" s="319"/>
      <c r="O59" s="319"/>
      <c r="P59" s="319"/>
      <c r="Q59" s="312"/>
      <c r="R59" s="319"/>
      <c r="S59" s="319"/>
      <c r="T59" s="2"/>
      <c r="U59" s="314">
        <f t="shared" ca="1" si="94"/>
        <v>0</v>
      </c>
      <c r="V59" s="1074"/>
      <c r="W59" s="314">
        <f t="shared" si="25"/>
        <v>0</v>
      </c>
      <c r="X59" s="81"/>
      <c r="Y59" s="1108"/>
      <c r="Z59" s="1108"/>
      <c r="AA59" s="1108"/>
      <c r="AB59" s="1074"/>
      <c r="AC59" s="81"/>
      <c r="AD59" s="1112"/>
      <c r="AE59" s="81"/>
      <c r="AF59" s="1143"/>
      <c r="AG59" s="1111"/>
      <c r="AH59" s="81"/>
      <c r="AI59" s="1108"/>
      <c r="AJ59" s="1111"/>
      <c r="AK59" s="81"/>
      <c r="AL59" s="1108"/>
      <c r="AM59" s="1106"/>
      <c r="AN59" s="2"/>
      <c r="AO59" s="1110"/>
      <c r="AP59" s="280"/>
      <c r="AQ59" s="280"/>
      <c r="AT59" s="7"/>
      <c r="AY59" s="93" t="str">
        <f t="shared" si="6"/>
        <v>Aduela AP-04 AD0D</v>
      </c>
    </row>
    <row r="60" spans="1:51" s="16" customFormat="1" hidden="1" outlineLevel="1">
      <c r="A60" s="2"/>
      <c r="B60" s="1062" t="s">
        <v>4162</v>
      </c>
      <c r="C60" s="1109" t="s">
        <v>4146</v>
      </c>
      <c r="D60" s="2"/>
      <c r="E60" s="99" t="s">
        <v>37</v>
      </c>
      <c r="F60" s="405"/>
      <c r="G60" s="1073" t="str">
        <f t="shared" si="99"/>
        <v>-</v>
      </c>
      <c r="H60" s="2"/>
      <c r="I60" s="99" t="s">
        <v>37</v>
      </c>
      <c r="J60" s="325">
        <f t="shared" ca="1" si="105"/>
        <v>0</v>
      </c>
      <c r="K60" s="1073" t="str">
        <f t="shared" ca="1" si="93"/>
        <v>-</v>
      </c>
      <c r="L60" s="2"/>
      <c r="M60" s="311"/>
      <c r="N60" s="311"/>
      <c r="O60" s="311"/>
      <c r="P60" s="311"/>
      <c r="Q60" s="311"/>
      <c r="R60" s="311"/>
      <c r="S60" s="311"/>
      <c r="T60" s="2"/>
      <c r="U60" s="321"/>
      <c r="V60" s="1073" t="str">
        <f t="shared" si="116"/>
        <v>-</v>
      </c>
      <c r="W60" s="321"/>
      <c r="X60" s="2"/>
      <c r="Y60" s="1107">
        <v>6</v>
      </c>
      <c r="Z60" s="1107">
        <v>0</v>
      </c>
      <c r="AA60" s="1107">
        <v>0</v>
      </c>
      <c r="AB60" s="1073" t="str">
        <f t="shared" ref="AB60" si="121">IF(Z60=0,IF(AA60&gt;0,100%,"-"),AA60/Z60)</f>
        <v>-</v>
      </c>
      <c r="AC60" s="2"/>
      <c r="AD60" s="1105">
        <v>0</v>
      </c>
      <c r="AE60" s="2"/>
      <c r="AF60" s="1114"/>
      <c r="AG60" s="1073"/>
      <c r="AH60" s="2"/>
      <c r="AI60" s="1107">
        <v>57</v>
      </c>
      <c r="AJ60" s="1073">
        <f t="shared" si="119"/>
        <v>0</v>
      </c>
      <c r="AK60" s="2"/>
      <c r="AL60" s="1107">
        <v>108</v>
      </c>
      <c r="AM60" s="1105">
        <f t="shared" ref="AM60" si="122">AL60-AD60</f>
        <v>108</v>
      </c>
      <c r="AN60" s="2"/>
      <c r="AO60" s="1109"/>
      <c r="AP60" s="279"/>
      <c r="AQ60" s="279"/>
      <c r="AT60" s="7"/>
      <c r="AY60" s="93" t="str">
        <f t="shared" si="6"/>
        <v>Aduela</v>
      </c>
    </row>
    <row r="61" spans="1:51" s="16" customFormat="1" hidden="1" outlineLevel="1">
      <c r="A61" s="2"/>
      <c r="B61" s="1063"/>
      <c r="C61" s="1110"/>
      <c r="D61" s="2"/>
      <c r="E61" s="20" t="s">
        <v>38</v>
      </c>
      <c r="F61" s="406"/>
      <c r="G61" s="1074"/>
      <c r="H61" s="2"/>
      <c r="I61" s="303" t="s">
        <v>38</v>
      </c>
      <c r="J61" s="325">
        <f t="shared" ca="1" si="105"/>
        <v>0</v>
      </c>
      <c r="K61" s="1074"/>
      <c r="L61" s="2"/>
      <c r="M61" s="319"/>
      <c r="N61" s="319"/>
      <c r="O61" s="319"/>
      <c r="P61" s="319"/>
      <c r="Q61" s="319"/>
      <c r="R61" s="319"/>
      <c r="S61" s="319"/>
      <c r="T61" s="2"/>
      <c r="U61" s="314"/>
      <c r="V61" s="1074"/>
      <c r="W61" s="314"/>
      <c r="X61" s="81"/>
      <c r="Y61" s="1108"/>
      <c r="Z61" s="1108"/>
      <c r="AA61" s="1108"/>
      <c r="AB61" s="1074"/>
      <c r="AC61" s="81"/>
      <c r="AD61" s="1106"/>
      <c r="AE61" s="81"/>
      <c r="AF61" s="1143"/>
      <c r="AG61" s="1111"/>
      <c r="AH61" s="81"/>
      <c r="AI61" s="1108"/>
      <c r="AJ61" s="1111"/>
      <c r="AK61" s="81"/>
      <c r="AL61" s="1108"/>
      <c r="AM61" s="1106"/>
      <c r="AN61" s="2"/>
      <c r="AO61" s="1110"/>
      <c r="AP61" s="280"/>
      <c r="AQ61" s="280"/>
      <c r="AT61" s="7"/>
      <c r="AY61" s="93" t="str">
        <f t="shared" si="6"/>
        <v>Aduela</v>
      </c>
    </row>
    <row r="62" spans="1:51" s="16" customFormat="1" hidden="1" outlineLevel="1">
      <c r="A62" s="2"/>
      <c r="B62" s="1062" t="s">
        <v>4163</v>
      </c>
      <c r="C62" s="1109" t="s">
        <v>4146</v>
      </c>
      <c r="D62" s="2"/>
      <c r="E62" s="99" t="s">
        <v>37</v>
      </c>
      <c r="F62" s="405"/>
      <c r="G62" s="1073" t="str">
        <f t="shared" si="99"/>
        <v>-</v>
      </c>
      <c r="H62" s="2"/>
      <c r="I62" s="99" t="s">
        <v>37</v>
      </c>
      <c r="J62" s="325">
        <f t="shared" ca="1" si="105"/>
        <v>0</v>
      </c>
      <c r="K62" s="1073" t="str">
        <f t="shared" ca="1" si="93"/>
        <v>-</v>
      </c>
      <c r="L62" s="2"/>
      <c r="M62" s="311"/>
      <c r="N62" s="311"/>
      <c r="O62" s="311"/>
      <c r="P62" s="311"/>
      <c r="Q62" s="311"/>
      <c r="R62" s="311"/>
      <c r="S62" s="311"/>
      <c r="T62" s="2"/>
      <c r="U62" s="321"/>
      <c r="V62" s="1073" t="str">
        <f t="shared" si="116"/>
        <v>-</v>
      </c>
      <c r="W62" s="321"/>
      <c r="X62" s="2"/>
      <c r="Y62" s="1107">
        <v>0</v>
      </c>
      <c r="Z62" s="1107">
        <v>0</v>
      </c>
      <c r="AA62" s="1107">
        <v>0</v>
      </c>
      <c r="AB62" s="1073" t="str">
        <f t="shared" ref="AB62" si="123">IF(Z62=0,IF(AA62&gt;0,100%,"-"),AA62/Z62)</f>
        <v>-</v>
      </c>
      <c r="AC62" s="2"/>
      <c r="AD62" s="1105">
        <v>0</v>
      </c>
      <c r="AE62" s="2"/>
      <c r="AF62" s="1114"/>
      <c r="AG62" s="1073"/>
      <c r="AH62" s="2"/>
      <c r="AI62" s="1107">
        <v>0</v>
      </c>
      <c r="AJ62" s="1073" t="str">
        <f t="shared" si="119"/>
        <v>-</v>
      </c>
      <c r="AK62" s="2"/>
      <c r="AL62" s="1107">
        <v>9</v>
      </c>
      <c r="AM62" s="1105">
        <f t="shared" ref="AM62" si="124">AL62-AD62</f>
        <v>9</v>
      </c>
      <c r="AN62" s="2"/>
      <c r="AO62" s="1109"/>
      <c r="AP62" s="279"/>
      <c r="AQ62" s="279"/>
      <c r="AT62" s="7"/>
      <c r="AY62" s="93" t="str">
        <f t="shared" si="6"/>
        <v>Aduela Fechamento</v>
      </c>
    </row>
    <row r="63" spans="1:51" s="16" customFormat="1" hidden="1" outlineLevel="1">
      <c r="A63" s="2"/>
      <c r="B63" s="1063"/>
      <c r="C63" s="1110"/>
      <c r="D63" s="2"/>
      <c r="E63" s="20" t="s">
        <v>38</v>
      </c>
      <c r="F63" s="402"/>
      <c r="G63" s="1074"/>
      <c r="H63" s="2"/>
      <c r="I63" s="303" t="s">
        <v>38</v>
      </c>
      <c r="J63" s="325">
        <f t="shared" ca="1" si="105"/>
        <v>0</v>
      </c>
      <c r="K63" s="1074"/>
      <c r="L63" s="2"/>
      <c r="M63" s="319"/>
      <c r="N63" s="319"/>
      <c r="O63" s="319"/>
      <c r="P63" s="319"/>
      <c r="Q63" s="319"/>
      <c r="R63" s="319"/>
      <c r="S63" s="319"/>
      <c r="T63" s="2"/>
      <c r="U63" s="314"/>
      <c r="V63" s="1074"/>
      <c r="W63" s="314"/>
      <c r="X63" s="81"/>
      <c r="Y63" s="1108"/>
      <c r="Z63" s="1108"/>
      <c r="AA63" s="1108"/>
      <c r="AB63" s="1074"/>
      <c r="AC63" s="81"/>
      <c r="AD63" s="1106"/>
      <c r="AE63" s="81"/>
      <c r="AF63" s="1143"/>
      <c r="AG63" s="1111"/>
      <c r="AH63" s="81"/>
      <c r="AI63" s="1108"/>
      <c r="AJ63" s="1111"/>
      <c r="AK63" s="81"/>
      <c r="AL63" s="1108"/>
      <c r="AM63" s="1106"/>
      <c r="AN63" s="2"/>
      <c r="AO63" s="1110"/>
      <c r="AP63" s="280"/>
      <c r="AQ63" s="280"/>
      <c r="AT63" s="7"/>
      <c r="AY63" s="93" t="str">
        <f t="shared" si="6"/>
        <v>Aduela Fechamento</v>
      </c>
    </row>
    <row r="64" spans="1:51" collapsed="1"/>
  </sheetData>
  <mergeCells count="493">
    <mergeCell ref="B62:B63"/>
    <mergeCell ref="C56:C57"/>
    <mergeCell ref="AL62:AL63"/>
    <mergeCell ref="AI62:AI63"/>
    <mergeCell ref="Z58:Z59"/>
    <mergeCell ref="AA58:AA59"/>
    <mergeCell ref="AF58:AF59"/>
    <mergeCell ref="AF60:AF61"/>
    <mergeCell ref="AI60:AI61"/>
    <mergeCell ref="Y60:Y61"/>
    <mergeCell ref="Z60:Z61"/>
    <mergeCell ref="G56:G57"/>
    <mergeCell ref="K56:K57"/>
    <mergeCell ref="V56:V57"/>
    <mergeCell ref="AG56:AG57"/>
    <mergeCell ref="AJ56:AJ57"/>
    <mergeCell ref="C60:C61"/>
    <mergeCell ref="G60:G61"/>
    <mergeCell ref="K60:K61"/>
    <mergeCell ref="V60:V61"/>
    <mergeCell ref="AG60:AG61"/>
    <mergeCell ref="AJ60:AJ61"/>
    <mergeCell ref="Y54:Y55"/>
    <mergeCell ref="Z54:Z55"/>
    <mergeCell ref="AA54:AA55"/>
    <mergeCell ref="AF54:AF55"/>
    <mergeCell ref="Y62:Y63"/>
    <mergeCell ref="Z62:Z63"/>
    <mergeCell ref="AA62:AA63"/>
    <mergeCell ref="AF62:AF63"/>
    <mergeCell ref="AF56:AF57"/>
    <mergeCell ref="Y56:Y57"/>
    <mergeCell ref="Z56:Z57"/>
    <mergeCell ref="AA56:AA57"/>
    <mergeCell ref="AB56:AB57"/>
    <mergeCell ref="AD56:AD57"/>
    <mergeCell ref="AB60:AB61"/>
    <mergeCell ref="AD60:AD61"/>
    <mergeCell ref="AO6:AO7"/>
    <mergeCell ref="B6:B7"/>
    <mergeCell ref="AL6:AL7"/>
    <mergeCell ref="AI6:AI7"/>
    <mergeCell ref="AO9:AO10"/>
    <mergeCell ref="B11:B12"/>
    <mergeCell ref="B9:B10"/>
    <mergeCell ref="AO11:AO12"/>
    <mergeCell ref="AL11:AL12"/>
    <mergeCell ref="AL9:AL10"/>
    <mergeCell ref="AF11:AF12"/>
    <mergeCell ref="C6:C7"/>
    <mergeCell ref="E6:F7"/>
    <mergeCell ref="I6:J7"/>
    <mergeCell ref="U6:U7"/>
    <mergeCell ref="W6:W7"/>
    <mergeCell ref="AA6:AA7"/>
    <mergeCell ref="AD6:AD7"/>
    <mergeCell ref="AI9:AI10"/>
    <mergeCell ref="Y6:Y7"/>
    <mergeCell ref="Z6:Z7"/>
    <mergeCell ref="AF6:AF7"/>
    <mergeCell ref="Y9:Y10"/>
    <mergeCell ref="Z9:Z10"/>
    <mergeCell ref="AO13:AO14"/>
    <mergeCell ref="B15:B16"/>
    <mergeCell ref="B13:B14"/>
    <mergeCell ref="AO15:AO16"/>
    <mergeCell ref="AL15:AL16"/>
    <mergeCell ref="AO17:AO18"/>
    <mergeCell ref="B19:B20"/>
    <mergeCell ref="B17:B18"/>
    <mergeCell ref="AO19:AO20"/>
    <mergeCell ref="AL19:AL20"/>
    <mergeCell ref="AL17:AL18"/>
    <mergeCell ref="AF19:AF20"/>
    <mergeCell ref="AL13:AL14"/>
    <mergeCell ref="AF15:AF16"/>
    <mergeCell ref="C13:C14"/>
    <mergeCell ref="G13:G14"/>
    <mergeCell ref="K13:K14"/>
    <mergeCell ref="V13:V14"/>
    <mergeCell ref="AI13:AI14"/>
    <mergeCell ref="Y13:Y14"/>
    <mergeCell ref="Z13:Z14"/>
    <mergeCell ref="AF13:AF14"/>
    <mergeCell ref="AI17:AI18"/>
    <mergeCell ref="AB13:AB14"/>
    <mergeCell ref="AO21:AO22"/>
    <mergeCell ref="B23:B24"/>
    <mergeCell ref="B21:B22"/>
    <mergeCell ref="AO23:AO24"/>
    <mergeCell ref="AL23:AL24"/>
    <mergeCell ref="AO25:AO26"/>
    <mergeCell ref="B27:B28"/>
    <mergeCell ref="B25:B26"/>
    <mergeCell ref="AO27:AO28"/>
    <mergeCell ref="AL27:AL28"/>
    <mergeCell ref="AL25:AL26"/>
    <mergeCell ref="AF27:AF28"/>
    <mergeCell ref="AL21:AL22"/>
    <mergeCell ref="AF23:AF24"/>
    <mergeCell ref="C21:C22"/>
    <mergeCell ref="G21:G22"/>
    <mergeCell ref="K21:K22"/>
    <mergeCell ref="V21:V22"/>
    <mergeCell ref="AI21:AI22"/>
    <mergeCell ref="Y21:Y22"/>
    <mergeCell ref="Z21:Z22"/>
    <mergeCell ref="AF21:AF22"/>
    <mergeCell ref="AI25:AI26"/>
    <mergeCell ref="AB21:AB22"/>
    <mergeCell ref="AO29:AO30"/>
    <mergeCell ref="B31:B32"/>
    <mergeCell ref="B29:B30"/>
    <mergeCell ref="AO31:AO32"/>
    <mergeCell ref="AL31:AL32"/>
    <mergeCell ref="AO33:AO34"/>
    <mergeCell ref="B35:B36"/>
    <mergeCell ref="B33:B34"/>
    <mergeCell ref="AO35:AO36"/>
    <mergeCell ref="AL35:AL36"/>
    <mergeCell ref="AL33:AL34"/>
    <mergeCell ref="AF35:AF36"/>
    <mergeCell ref="AL29:AL30"/>
    <mergeCell ref="AF31:AF32"/>
    <mergeCell ref="C29:C30"/>
    <mergeCell ref="G29:G30"/>
    <mergeCell ref="K29:K30"/>
    <mergeCell ref="V29:V30"/>
    <mergeCell ref="AI29:AI30"/>
    <mergeCell ref="Y29:Y30"/>
    <mergeCell ref="Z29:Z30"/>
    <mergeCell ref="AF29:AF30"/>
    <mergeCell ref="AI33:AI34"/>
    <mergeCell ref="AB29:AB30"/>
    <mergeCell ref="AO37:AO38"/>
    <mergeCell ref="B39:B40"/>
    <mergeCell ref="B37:B38"/>
    <mergeCell ref="AO39:AO40"/>
    <mergeCell ref="AL39:AL40"/>
    <mergeCell ref="AO41:AO42"/>
    <mergeCell ref="B43:B44"/>
    <mergeCell ref="B41:B42"/>
    <mergeCell ref="AO43:AO44"/>
    <mergeCell ref="AL43:AL44"/>
    <mergeCell ref="AL41:AL42"/>
    <mergeCell ref="AF43:AF44"/>
    <mergeCell ref="AL37:AL38"/>
    <mergeCell ref="AF39:AF40"/>
    <mergeCell ref="C37:C38"/>
    <mergeCell ref="G37:G38"/>
    <mergeCell ref="K37:K38"/>
    <mergeCell ref="V37:V38"/>
    <mergeCell ref="AI37:AI38"/>
    <mergeCell ref="Y37:Y38"/>
    <mergeCell ref="Z37:Z38"/>
    <mergeCell ref="AF37:AF38"/>
    <mergeCell ref="AI41:AI42"/>
    <mergeCell ref="AB37:AB38"/>
    <mergeCell ref="AT6:AT7"/>
    <mergeCell ref="AP39:AP40"/>
    <mergeCell ref="AQ39:AQ40"/>
    <mergeCell ref="AR39:AR40"/>
    <mergeCell ref="AS39:AS40"/>
    <mergeCell ref="AP41:AP42"/>
    <mergeCell ref="AQ41:AQ42"/>
    <mergeCell ref="AR41:AR42"/>
    <mergeCell ref="AS41:AS42"/>
    <mergeCell ref="AO62:AO63"/>
    <mergeCell ref="AP43:AP44"/>
    <mergeCell ref="AQ43:AQ44"/>
    <mergeCell ref="AR43:AR44"/>
    <mergeCell ref="AS43:AS44"/>
    <mergeCell ref="AP45:AP46"/>
    <mergeCell ref="AQ45:AQ46"/>
    <mergeCell ref="AO45:AO46"/>
    <mergeCell ref="B48:B49"/>
    <mergeCell ref="B45:B46"/>
    <mergeCell ref="AO48:AO49"/>
    <mergeCell ref="AL48:AL49"/>
    <mergeCell ref="AO50:AO51"/>
    <mergeCell ref="B52:B53"/>
    <mergeCell ref="AR45:AR46"/>
    <mergeCell ref="AS45:AS46"/>
    <mergeCell ref="AO60:AO61"/>
    <mergeCell ref="AO54:AO55"/>
    <mergeCell ref="B56:B57"/>
    <mergeCell ref="B54:B55"/>
    <mergeCell ref="B58:B59"/>
    <mergeCell ref="AO56:AO57"/>
    <mergeCell ref="AO58:AO59"/>
    <mergeCell ref="B60:B61"/>
    <mergeCell ref="B50:B51"/>
    <mergeCell ref="AO52:AO53"/>
    <mergeCell ref="AL52:AL53"/>
    <mergeCell ref="AL54:AL55"/>
    <mergeCell ref="Y58:Y59"/>
    <mergeCell ref="AL50:AL51"/>
    <mergeCell ref="AL45:AL46"/>
    <mergeCell ref="AF48:AF49"/>
    <mergeCell ref="AI58:AI59"/>
    <mergeCell ref="AL58:AL59"/>
    <mergeCell ref="AI56:AI57"/>
    <mergeCell ref="AL56:AL57"/>
    <mergeCell ref="AI45:AI46"/>
    <mergeCell ref="Y45:Y46"/>
    <mergeCell ref="Z45:Z46"/>
    <mergeCell ref="AA45:AA46"/>
    <mergeCell ref="AF45:AF46"/>
    <mergeCell ref="AI50:AI51"/>
    <mergeCell ref="AI48:AI49"/>
    <mergeCell ref="Y48:Y49"/>
    <mergeCell ref="Z48:Z49"/>
    <mergeCell ref="AA48:AA49"/>
    <mergeCell ref="Y50:Y51"/>
    <mergeCell ref="Z50:Z51"/>
    <mergeCell ref="AG6:AG7"/>
    <mergeCell ref="AJ6:AJ7"/>
    <mergeCell ref="AM6:AM7"/>
    <mergeCell ref="C9:C10"/>
    <mergeCell ref="G9:G10"/>
    <mergeCell ref="K9:K10"/>
    <mergeCell ref="V9:V10"/>
    <mergeCell ref="AB9:AB10"/>
    <mergeCell ref="AD9:AD10"/>
    <mergeCell ref="AG9:AG10"/>
    <mergeCell ref="AJ9:AJ10"/>
    <mergeCell ref="AM9:AM10"/>
    <mergeCell ref="AA9:AA10"/>
    <mergeCell ref="AF9:AF10"/>
    <mergeCell ref="C11:C12"/>
    <mergeCell ref="G11:G12"/>
    <mergeCell ref="K11:K12"/>
    <mergeCell ref="V11:V12"/>
    <mergeCell ref="AB11:AB12"/>
    <mergeCell ref="AG11:AG12"/>
    <mergeCell ref="AJ11:AJ12"/>
    <mergeCell ref="AM11:AM12"/>
    <mergeCell ref="AI11:AI12"/>
    <mergeCell ref="Y11:Y12"/>
    <mergeCell ref="Z11:Z12"/>
    <mergeCell ref="AA11:AA12"/>
    <mergeCell ref="AD11:AD12"/>
    <mergeCell ref="AG13:AG14"/>
    <mergeCell ref="AJ13:AJ14"/>
    <mergeCell ref="AM13:AM14"/>
    <mergeCell ref="C15:C16"/>
    <mergeCell ref="G15:G16"/>
    <mergeCell ref="K15:K16"/>
    <mergeCell ref="V15:V16"/>
    <mergeCell ref="AB15:AB16"/>
    <mergeCell ref="AG15:AG16"/>
    <mergeCell ref="AJ15:AJ16"/>
    <mergeCell ref="AM15:AM16"/>
    <mergeCell ref="AI15:AI16"/>
    <mergeCell ref="Y15:Y16"/>
    <mergeCell ref="Z15:Z16"/>
    <mergeCell ref="AA13:AA14"/>
    <mergeCell ref="AD13:AD14"/>
    <mergeCell ref="AA15:AA16"/>
    <mergeCell ref="AD15:AD16"/>
    <mergeCell ref="C17:C18"/>
    <mergeCell ref="G17:G18"/>
    <mergeCell ref="K17:K18"/>
    <mergeCell ref="V17:V18"/>
    <mergeCell ref="AB17:AB18"/>
    <mergeCell ref="AD17:AD18"/>
    <mergeCell ref="AG17:AG18"/>
    <mergeCell ref="AJ17:AJ18"/>
    <mergeCell ref="AM17:AM18"/>
    <mergeCell ref="Y17:Y18"/>
    <mergeCell ref="Z17:Z18"/>
    <mergeCell ref="AA17:AA18"/>
    <mergeCell ref="AF17:AF18"/>
    <mergeCell ref="C19:C20"/>
    <mergeCell ref="G19:G20"/>
    <mergeCell ref="K19:K20"/>
    <mergeCell ref="V19:V20"/>
    <mergeCell ref="AB19:AB20"/>
    <mergeCell ref="AG19:AG20"/>
    <mergeCell ref="AJ19:AJ20"/>
    <mergeCell ref="AM19:AM20"/>
    <mergeCell ref="AI19:AI20"/>
    <mergeCell ref="Y19:Y20"/>
    <mergeCell ref="Z19:Z20"/>
    <mergeCell ref="AA19:AA20"/>
    <mergeCell ref="AD19:AD20"/>
    <mergeCell ref="AG21:AG22"/>
    <mergeCell ref="AJ21:AJ22"/>
    <mergeCell ref="AM21:AM22"/>
    <mergeCell ref="C23:C24"/>
    <mergeCell ref="G23:G24"/>
    <mergeCell ref="K23:K24"/>
    <mergeCell ref="V23:V24"/>
    <mergeCell ref="AB23:AB24"/>
    <mergeCell ref="AG23:AG24"/>
    <mergeCell ref="AJ23:AJ24"/>
    <mergeCell ref="AM23:AM24"/>
    <mergeCell ref="AI23:AI24"/>
    <mergeCell ref="Y23:Y24"/>
    <mergeCell ref="Z23:Z24"/>
    <mergeCell ref="AA21:AA22"/>
    <mergeCell ref="AD21:AD22"/>
    <mergeCell ref="AA23:AA24"/>
    <mergeCell ref="AD23:AD24"/>
    <mergeCell ref="C25:C26"/>
    <mergeCell ref="G25:G26"/>
    <mergeCell ref="K25:K26"/>
    <mergeCell ref="V25:V26"/>
    <mergeCell ref="AB25:AB26"/>
    <mergeCell ref="AD25:AD26"/>
    <mergeCell ref="AG25:AG26"/>
    <mergeCell ref="AJ25:AJ26"/>
    <mergeCell ref="AM25:AM26"/>
    <mergeCell ref="Y25:Y26"/>
    <mergeCell ref="Z25:Z26"/>
    <mergeCell ref="AA25:AA26"/>
    <mergeCell ref="AF25:AF26"/>
    <mergeCell ref="C27:C28"/>
    <mergeCell ref="G27:G28"/>
    <mergeCell ref="K27:K28"/>
    <mergeCell ref="V27:V28"/>
    <mergeCell ref="AB27:AB28"/>
    <mergeCell ref="AG27:AG28"/>
    <mergeCell ref="AJ27:AJ28"/>
    <mergeCell ref="AM27:AM28"/>
    <mergeCell ref="AI27:AI28"/>
    <mergeCell ref="Y27:Y28"/>
    <mergeCell ref="Z27:Z28"/>
    <mergeCell ref="AA27:AA28"/>
    <mergeCell ref="AD27:AD28"/>
    <mergeCell ref="AG29:AG30"/>
    <mergeCell ref="AJ29:AJ30"/>
    <mergeCell ref="AM29:AM30"/>
    <mergeCell ref="C31:C32"/>
    <mergeCell ref="G31:G32"/>
    <mergeCell ref="K31:K32"/>
    <mergeCell ref="V31:V32"/>
    <mergeCell ref="AB31:AB32"/>
    <mergeCell ref="AG31:AG32"/>
    <mergeCell ref="AJ31:AJ32"/>
    <mergeCell ref="AM31:AM32"/>
    <mergeCell ref="AI31:AI32"/>
    <mergeCell ref="Y31:Y32"/>
    <mergeCell ref="Z31:Z32"/>
    <mergeCell ref="AA29:AA30"/>
    <mergeCell ref="AD29:AD30"/>
    <mergeCell ref="AA31:AA32"/>
    <mergeCell ref="AD31:AD32"/>
    <mergeCell ref="C33:C34"/>
    <mergeCell ref="G33:G34"/>
    <mergeCell ref="K33:K34"/>
    <mergeCell ref="V33:V34"/>
    <mergeCell ref="AB33:AB34"/>
    <mergeCell ref="AD33:AD34"/>
    <mergeCell ref="AG33:AG34"/>
    <mergeCell ref="AJ33:AJ34"/>
    <mergeCell ref="AM33:AM34"/>
    <mergeCell ref="Y33:Y34"/>
    <mergeCell ref="Z33:Z34"/>
    <mergeCell ref="AA33:AA34"/>
    <mergeCell ref="AF33:AF34"/>
    <mergeCell ref="C35:C36"/>
    <mergeCell ref="G35:G36"/>
    <mergeCell ref="K35:K36"/>
    <mergeCell ref="V35:V36"/>
    <mergeCell ref="AB35:AB36"/>
    <mergeCell ref="AG35:AG36"/>
    <mergeCell ref="AJ35:AJ36"/>
    <mergeCell ref="AM35:AM36"/>
    <mergeCell ref="AI35:AI36"/>
    <mergeCell ref="Y35:Y36"/>
    <mergeCell ref="Z35:Z36"/>
    <mergeCell ref="AA35:AA36"/>
    <mergeCell ref="AD35:AD36"/>
    <mergeCell ref="AG37:AG38"/>
    <mergeCell ref="AJ37:AJ38"/>
    <mergeCell ref="AM37:AM38"/>
    <mergeCell ref="C39:C40"/>
    <mergeCell ref="G39:G40"/>
    <mergeCell ref="K39:K40"/>
    <mergeCell ref="V39:V40"/>
    <mergeCell ref="AB39:AB40"/>
    <mergeCell ref="AD39:AD40"/>
    <mergeCell ref="AG39:AG40"/>
    <mergeCell ref="AJ39:AJ40"/>
    <mergeCell ref="AM39:AM40"/>
    <mergeCell ref="AI39:AI40"/>
    <mergeCell ref="Y39:Y40"/>
    <mergeCell ref="Z39:Z40"/>
    <mergeCell ref="AA39:AA40"/>
    <mergeCell ref="AA37:AA38"/>
    <mergeCell ref="AD37:AD38"/>
    <mergeCell ref="C41:C42"/>
    <mergeCell ref="G41:G42"/>
    <mergeCell ref="K41:K42"/>
    <mergeCell ref="V41:V42"/>
    <mergeCell ref="AB41:AB42"/>
    <mergeCell ref="AG41:AG42"/>
    <mergeCell ref="AJ41:AJ42"/>
    <mergeCell ref="AM41:AM42"/>
    <mergeCell ref="Y41:Y42"/>
    <mergeCell ref="Z41:Z42"/>
    <mergeCell ref="AA41:AA42"/>
    <mergeCell ref="AF41:AF42"/>
    <mergeCell ref="AD41:AD42"/>
    <mergeCell ref="C43:C44"/>
    <mergeCell ref="G43:G44"/>
    <mergeCell ref="K43:K44"/>
    <mergeCell ref="V43:V44"/>
    <mergeCell ref="AB43:AB44"/>
    <mergeCell ref="AD43:AD44"/>
    <mergeCell ref="AG43:AG44"/>
    <mergeCell ref="AJ43:AJ44"/>
    <mergeCell ref="AM43:AM44"/>
    <mergeCell ref="AI43:AI44"/>
    <mergeCell ref="Y43:Y44"/>
    <mergeCell ref="Z43:Z44"/>
    <mergeCell ref="AA43:AA44"/>
    <mergeCell ref="C45:C46"/>
    <mergeCell ref="G45:G46"/>
    <mergeCell ref="K45:K46"/>
    <mergeCell ref="V45:V46"/>
    <mergeCell ref="AB45:AB46"/>
    <mergeCell ref="AD45:AD46"/>
    <mergeCell ref="AG45:AG46"/>
    <mergeCell ref="AJ45:AJ46"/>
    <mergeCell ref="AM45:AM46"/>
    <mergeCell ref="C48:C49"/>
    <mergeCell ref="G48:G49"/>
    <mergeCell ref="K48:K49"/>
    <mergeCell ref="V48:V49"/>
    <mergeCell ref="AB48:AB49"/>
    <mergeCell ref="AD48:AD49"/>
    <mergeCell ref="AG48:AG49"/>
    <mergeCell ref="AJ48:AJ49"/>
    <mergeCell ref="AM48:AM49"/>
    <mergeCell ref="C50:C51"/>
    <mergeCell ref="G50:G51"/>
    <mergeCell ref="K50:K51"/>
    <mergeCell ref="V50:V51"/>
    <mergeCell ref="AB50:AB51"/>
    <mergeCell ref="AD50:AD51"/>
    <mergeCell ref="AG50:AG51"/>
    <mergeCell ref="AJ50:AJ51"/>
    <mergeCell ref="AM50:AM51"/>
    <mergeCell ref="AA50:AA51"/>
    <mergeCell ref="AF50:AF51"/>
    <mergeCell ref="AM52:AM53"/>
    <mergeCell ref="C54:C55"/>
    <mergeCell ref="G54:G55"/>
    <mergeCell ref="K54:K55"/>
    <mergeCell ref="V54:V55"/>
    <mergeCell ref="AB54:AB55"/>
    <mergeCell ref="AD54:AD55"/>
    <mergeCell ref="AG54:AG55"/>
    <mergeCell ref="AJ54:AJ55"/>
    <mergeCell ref="AM54:AM55"/>
    <mergeCell ref="AI52:AI53"/>
    <mergeCell ref="Y52:Y53"/>
    <mergeCell ref="Z52:Z53"/>
    <mergeCell ref="AA52:AA53"/>
    <mergeCell ref="AF52:AF53"/>
    <mergeCell ref="C52:C53"/>
    <mergeCell ref="G52:G53"/>
    <mergeCell ref="K52:K53"/>
    <mergeCell ref="V52:V53"/>
    <mergeCell ref="AB52:AB53"/>
    <mergeCell ref="AD52:AD53"/>
    <mergeCell ref="AG52:AG53"/>
    <mergeCell ref="AJ52:AJ53"/>
    <mergeCell ref="AI54:AI55"/>
    <mergeCell ref="AM56:AM57"/>
    <mergeCell ref="C58:C59"/>
    <mergeCell ref="G58:G59"/>
    <mergeCell ref="K58:K59"/>
    <mergeCell ref="V58:V59"/>
    <mergeCell ref="AB58:AB59"/>
    <mergeCell ref="AD58:AD59"/>
    <mergeCell ref="AG58:AG59"/>
    <mergeCell ref="AJ58:AJ59"/>
    <mergeCell ref="AM58:AM59"/>
    <mergeCell ref="AM60:AM61"/>
    <mergeCell ref="AL60:AL61"/>
    <mergeCell ref="AA60:AA61"/>
    <mergeCell ref="C62:C63"/>
    <mergeCell ref="G62:G63"/>
    <mergeCell ref="K62:K63"/>
    <mergeCell ref="V62:V63"/>
    <mergeCell ref="AB62:AB63"/>
    <mergeCell ref="AD62:AD63"/>
    <mergeCell ref="AG62:AG63"/>
    <mergeCell ref="AJ62:AJ63"/>
    <mergeCell ref="AM62:AM63"/>
  </mergeCells>
  <conditionalFormatting sqref="AR39:AS39">
    <cfRule type="iconSet" priority="8903">
      <iconSet iconSet="3Arrows">
        <cfvo type="percent" val="0"/>
        <cfvo type="num" val="0.7"/>
        <cfvo type="num" val="1"/>
      </iconSet>
    </cfRule>
    <cfRule type="dataBar" priority="8904">
      <dataBar>
        <cfvo type="num" val="0"/>
        <cfvo type="num" val="1"/>
        <color theme="6" tint="0.59999389629810485"/>
      </dataBar>
      <extLst>
        <ext xmlns:x14="http://schemas.microsoft.com/office/spreadsheetml/2009/9/main" uri="{B025F937-C7B1-47D3-B67F-A62EFF666E3E}">
          <x14:id>{B9438BBB-2009-481A-B9B8-ACC4528337E2}</x14:id>
        </ext>
      </extLst>
    </cfRule>
  </conditionalFormatting>
  <conditionalFormatting sqref="AT9:AT10">
    <cfRule type="cellIs" dxfId="69" priority="8915" operator="equal">
      <formula>0</formula>
    </cfRule>
  </conditionalFormatting>
  <conditionalFormatting sqref="AT17:AT18">
    <cfRule type="cellIs" dxfId="68" priority="8913" operator="equal">
      <formula>0</formula>
    </cfRule>
  </conditionalFormatting>
  <conditionalFormatting sqref="AT25:AT26">
    <cfRule type="cellIs" dxfId="67" priority="8911" operator="equal">
      <formula>0</formula>
    </cfRule>
  </conditionalFormatting>
  <conditionalFormatting sqref="AT33:AT34">
    <cfRule type="cellIs" dxfId="66" priority="8909" operator="equal">
      <formula>0</formula>
    </cfRule>
  </conditionalFormatting>
  <conditionalFormatting sqref="AT39:AT40">
    <cfRule type="cellIs" dxfId="65" priority="8907" operator="equal">
      <formula>0</formula>
    </cfRule>
  </conditionalFormatting>
  <conditionalFormatting sqref="AT11:AT16">
    <cfRule type="cellIs" dxfId="64" priority="7544" operator="equal">
      <formula>0</formula>
    </cfRule>
  </conditionalFormatting>
  <conditionalFormatting sqref="AT19:AT24">
    <cfRule type="cellIs" dxfId="63" priority="7519" operator="equal">
      <formula>0</formula>
    </cfRule>
  </conditionalFormatting>
  <conditionalFormatting sqref="AT27:AT32">
    <cfRule type="cellIs" dxfId="62" priority="7494" operator="equal">
      <formula>0</formula>
    </cfRule>
  </conditionalFormatting>
  <conditionalFormatting sqref="AT35:AT38">
    <cfRule type="cellIs" dxfId="61" priority="7471" operator="equal">
      <formula>0</formula>
    </cfRule>
  </conditionalFormatting>
  <conditionalFormatting sqref="AR41:AS41 AR43:AS43 AR45:AS45">
    <cfRule type="iconSet" priority="7438">
      <iconSet iconSet="3Arrows">
        <cfvo type="percent" val="0"/>
        <cfvo type="num" val="0.7"/>
        <cfvo type="num" val="1"/>
      </iconSet>
    </cfRule>
    <cfRule type="dataBar" priority="7439">
      <dataBar>
        <cfvo type="num" val="0"/>
        <cfvo type="num" val="1"/>
        <color theme="9" tint="0.79998168889431442"/>
      </dataBar>
      <extLst>
        <ext xmlns:x14="http://schemas.microsoft.com/office/spreadsheetml/2009/9/main" uri="{B025F937-C7B1-47D3-B67F-A62EFF666E3E}">
          <x14:id>{5D4EEBBA-322B-4C6A-8E67-891BC459BEDD}</x14:id>
        </ext>
      </extLst>
    </cfRule>
  </conditionalFormatting>
  <conditionalFormatting sqref="AT41:AT46">
    <cfRule type="cellIs" dxfId="60" priority="7440" operator="equal">
      <formula>0</formula>
    </cfRule>
  </conditionalFormatting>
  <conditionalFormatting sqref="F9:F10">
    <cfRule type="cellIs" dxfId="59" priority="150" operator="equal">
      <formula>0</formula>
    </cfRule>
  </conditionalFormatting>
  <conditionalFormatting sqref="F11:F16">
    <cfRule type="cellIs" dxfId="58" priority="151" operator="equal">
      <formula>0</formula>
    </cfRule>
  </conditionalFormatting>
  <conditionalFormatting sqref="F17:F18">
    <cfRule type="cellIs" dxfId="57" priority="148" operator="equal">
      <formula>0</formula>
    </cfRule>
  </conditionalFormatting>
  <conditionalFormatting sqref="F19:F24">
    <cfRule type="cellIs" dxfId="56" priority="149" operator="equal">
      <formula>0</formula>
    </cfRule>
  </conditionalFormatting>
  <conditionalFormatting sqref="F25:F26">
    <cfRule type="cellIs" dxfId="55" priority="146" operator="equal">
      <formula>0</formula>
    </cfRule>
  </conditionalFormatting>
  <conditionalFormatting sqref="F27:F32">
    <cfRule type="cellIs" dxfId="54" priority="147" operator="equal">
      <formula>0</formula>
    </cfRule>
  </conditionalFormatting>
  <conditionalFormatting sqref="F33:F34">
    <cfRule type="cellIs" dxfId="53" priority="144" operator="equal">
      <formula>0</formula>
    </cfRule>
  </conditionalFormatting>
  <conditionalFormatting sqref="F35:F38">
    <cfRule type="cellIs" dxfId="52" priority="145" operator="equal">
      <formula>0</formula>
    </cfRule>
  </conditionalFormatting>
  <conditionalFormatting sqref="F39:F40">
    <cfRule type="cellIs" dxfId="51" priority="142" operator="equal">
      <formula>0</formula>
    </cfRule>
  </conditionalFormatting>
  <conditionalFormatting sqref="F41:F46">
    <cfRule type="cellIs" dxfId="50" priority="143" operator="equal">
      <formula>0</formula>
    </cfRule>
  </conditionalFormatting>
  <conditionalFormatting sqref="F48:F49">
    <cfRule type="cellIs" dxfId="49" priority="61" operator="equal">
      <formula>0</formula>
    </cfRule>
  </conditionalFormatting>
  <conditionalFormatting sqref="F50:F63">
    <cfRule type="cellIs" dxfId="48" priority="62" operator="equal">
      <formula>0</formula>
    </cfRule>
  </conditionalFormatting>
  <conditionalFormatting sqref="G7">
    <cfRule type="iconSet" priority="82">
      <iconSet iconSet="3Arrows">
        <cfvo type="percent" val="0"/>
        <cfvo type="num" val="0.7"/>
        <cfvo type="num" val="1"/>
      </iconSet>
    </cfRule>
    <cfRule type="dataBar" priority="83">
      <dataBar>
        <cfvo type="num" val="0"/>
        <cfvo type="num" val="1"/>
        <color theme="7" tint="0.59999389629810485"/>
      </dataBar>
      <extLst>
        <ext xmlns:x14="http://schemas.microsoft.com/office/spreadsheetml/2009/9/main" uri="{B025F937-C7B1-47D3-B67F-A62EFF666E3E}">
          <x14:id>{0DA1A0A4-3568-48D7-9988-B90B0E6616B4}</x14:id>
        </ext>
      </extLst>
    </cfRule>
  </conditionalFormatting>
  <conditionalFormatting sqref="G9">
    <cfRule type="iconSet" priority="173">
      <iconSet iconSet="3Arrows">
        <cfvo type="percent" val="0"/>
        <cfvo type="num" val="0.7"/>
        <cfvo type="num" val="1"/>
      </iconSet>
    </cfRule>
    <cfRule type="dataBar" priority="174">
      <dataBar>
        <cfvo type="num" val="0"/>
        <cfvo type="num" val="1"/>
        <color theme="4" tint="0.79998168889431442"/>
      </dataBar>
      <extLst>
        <ext xmlns:x14="http://schemas.microsoft.com/office/spreadsheetml/2009/9/main" uri="{B025F937-C7B1-47D3-B67F-A62EFF666E3E}">
          <x14:id>{1F1CA8E2-5ECC-49A1-9568-DC8F01434094}</x14:id>
        </ext>
      </extLst>
    </cfRule>
  </conditionalFormatting>
  <conditionalFormatting sqref="G11 G13">
    <cfRule type="iconSet" priority="175">
      <iconSet iconSet="3Arrows">
        <cfvo type="percent" val="0"/>
        <cfvo type="num" val="0.7"/>
        <cfvo type="num" val="1"/>
      </iconSet>
    </cfRule>
    <cfRule type="dataBar" priority="176">
      <dataBar>
        <cfvo type="num" val="0"/>
        <cfvo type="num" val="1"/>
        <color theme="4" tint="0.79998168889431442"/>
      </dataBar>
      <extLst>
        <ext xmlns:x14="http://schemas.microsoft.com/office/spreadsheetml/2009/9/main" uri="{B025F937-C7B1-47D3-B67F-A62EFF666E3E}">
          <x14:id>{85F1C33D-8CAA-4E55-ABB5-93DC014472C7}</x14:id>
        </ext>
      </extLst>
    </cfRule>
  </conditionalFormatting>
  <conditionalFormatting sqref="G15">
    <cfRule type="iconSet" priority="171">
      <iconSet iconSet="3Arrows">
        <cfvo type="percent" val="0"/>
        <cfvo type="num" val="0.7"/>
        <cfvo type="num" val="1"/>
      </iconSet>
    </cfRule>
    <cfRule type="dataBar" priority="172">
      <dataBar>
        <cfvo type="num" val="0"/>
        <cfvo type="num" val="1"/>
        <color theme="4" tint="0.79998168889431442"/>
      </dataBar>
      <extLst>
        <ext xmlns:x14="http://schemas.microsoft.com/office/spreadsheetml/2009/9/main" uri="{B025F937-C7B1-47D3-B67F-A62EFF666E3E}">
          <x14:id>{678A8D2E-EE61-4F6E-8D31-CD8FCC9D5CF5}</x14:id>
        </ext>
      </extLst>
    </cfRule>
  </conditionalFormatting>
  <conditionalFormatting sqref="G17">
    <cfRule type="iconSet" priority="80">
      <iconSet iconSet="3Arrows">
        <cfvo type="percent" val="0"/>
        <cfvo type="num" val="0.7"/>
        <cfvo type="num" val="1"/>
      </iconSet>
    </cfRule>
    <cfRule type="dataBar" priority="81">
      <dataBar>
        <cfvo type="num" val="0"/>
        <cfvo type="num" val="1"/>
        <color theme="7" tint="0.59999389629810485"/>
      </dataBar>
      <extLst>
        <ext xmlns:x14="http://schemas.microsoft.com/office/spreadsheetml/2009/9/main" uri="{B025F937-C7B1-47D3-B67F-A62EFF666E3E}">
          <x14:id>{46A832D3-5AB9-427E-A8FD-8FF3A3C7757B}</x14:id>
        </ext>
      </extLst>
    </cfRule>
  </conditionalFormatting>
  <conditionalFormatting sqref="G21 G19">
    <cfRule type="iconSet" priority="169">
      <iconSet iconSet="3Arrows">
        <cfvo type="percent" val="0"/>
        <cfvo type="num" val="0.7"/>
        <cfvo type="num" val="1"/>
      </iconSet>
    </cfRule>
    <cfRule type="dataBar" priority="170">
      <dataBar>
        <cfvo type="num" val="0"/>
        <cfvo type="num" val="1"/>
        <color theme="4" tint="0.79998168889431442"/>
      </dataBar>
      <extLst>
        <ext xmlns:x14="http://schemas.microsoft.com/office/spreadsheetml/2009/9/main" uri="{B025F937-C7B1-47D3-B67F-A62EFF666E3E}">
          <x14:id>{E0A84F5B-194C-4CE5-A42B-D2F7A9E7A1A2}</x14:id>
        </ext>
      </extLst>
    </cfRule>
  </conditionalFormatting>
  <conditionalFormatting sqref="G23">
    <cfRule type="iconSet" priority="167">
      <iconSet iconSet="3Arrows">
        <cfvo type="percent" val="0"/>
        <cfvo type="num" val="0.7"/>
        <cfvo type="num" val="1"/>
      </iconSet>
    </cfRule>
    <cfRule type="dataBar" priority="168">
      <dataBar>
        <cfvo type="num" val="0"/>
        <cfvo type="num" val="1"/>
        <color theme="4" tint="0.79998168889431442"/>
      </dataBar>
      <extLst>
        <ext xmlns:x14="http://schemas.microsoft.com/office/spreadsheetml/2009/9/main" uri="{B025F937-C7B1-47D3-B67F-A62EFF666E3E}">
          <x14:id>{0AD41210-1311-49C8-A97C-E279F55232E2}</x14:id>
        </ext>
      </extLst>
    </cfRule>
  </conditionalFormatting>
  <conditionalFormatting sqref="G25">
    <cfRule type="iconSet" priority="78">
      <iconSet iconSet="3Arrows">
        <cfvo type="percent" val="0"/>
        <cfvo type="num" val="0.7"/>
        <cfvo type="num" val="1"/>
      </iconSet>
    </cfRule>
    <cfRule type="dataBar" priority="79">
      <dataBar>
        <cfvo type="num" val="0"/>
        <cfvo type="num" val="1"/>
        <color theme="7" tint="0.59999389629810485"/>
      </dataBar>
      <extLst>
        <ext xmlns:x14="http://schemas.microsoft.com/office/spreadsheetml/2009/9/main" uri="{B025F937-C7B1-47D3-B67F-A62EFF666E3E}">
          <x14:id>{0C7FB050-AB40-41C4-820C-5826246E6E8E}</x14:id>
        </ext>
      </extLst>
    </cfRule>
  </conditionalFormatting>
  <conditionalFormatting sqref="G27 G29">
    <cfRule type="iconSet" priority="165">
      <iconSet iconSet="3Arrows">
        <cfvo type="percent" val="0"/>
        <cfvo type="num" val="0.7"/>
        <cfvo type="num" val="1"/>
      </iconSet>
    </cfRule>
    <cfRule type="dataBar" priority="166">
      <dataBar>
        <cfvo type="num" val="0"/>
        <cfvo type="num" val="1"/>
        <color theme="4" tint="0.79998168889431442"/>
      </dataBar>
      <extLst>
        <ext xmlns:x14="http://schemas.microsoft.com/office/spreadsheetml/2009/9/main" uri="{B025F937-C7B1-47D3-B67F-A62EFF666E3E}">
          <x14:id>{C317ECE2-C94B-42D1-B33D-0A847BA33996}</x14:id>
        </ext>
      </extLst>
    </cfRule>
  </conditionalFormatting>
  <conditionalFormatting sqref="G31">
    <cfRule type="iconSet" priority="163">
      <iconSet iconSet="3Arrows">
        <cfvo type="percent" val="0"/>
        <cfvo type="num" val="0.7"/>
        <cfvo type="num" val="1"/>
      </iconSet>
    </cfRule>
    <cfRule type="dataBar" priority="164">
      <dataBar>
        <cfvo type="num" val="0"/>
        <cfvo type="num" val="1"/>
        <color theme="4" tint="0.79998168889431442"/>
      </dataBar>
      <extLst>
        <ext xmlns:x14="http://schemas.microsoft.com/office/spreadsheetml/2009/9/main" uri="{B025F937-C7B1-47D3-B67F-A62EFF666E3E}">
          <x14:id>{EDB5F5CB-7658-4A76-8EAC-81AD898122CC}</x14:id>
        </ext>
      </extLst>
    </cfRule>
  </conditionalFormatting>
  <conditionalFormatting sqref="G33">
    <cfRule type="iconSet" priority="76">
      <iconSet iconSet="3Arrows">
        <cfvo type="percent" val="0"/>
        <cfvo type="num" val="0.7"/>
        <cfvo type="num" val="1"/>
      </iconSet>
    </cfRule>
    <cfRule type="dataBar" priority="77">
      <dataBar>
        <cfvo type="num" val="0"/>
        <cfvo type="num" val="1"/>
        <color theme="7" tint="0.59999389629810485"/>
      </dataBar>
      <extLst>
        <ext xmlns:x14="http://schemas.microsoft.com/office/spreadsheetml/2009/9/main" uri="{B025F937-C7B1-47D3-B67F-A62EFF666E3E}">
          <x14:id>{F091F619-49CE-46A9-BB59-928D5F6658D1}</x14:id>
        </ext>
      </extLst>
    </cfRule>
  </conditionalFormatting>
  <conditionalFormatting sqref="G35">
    <cfRule type="iconSet" priority="153">
      <iconSet iconSet="3Arrows">
        <cfvo type="percent" val="0"/>
        <cfvo type="num" val="0.7"/>
        <cfvo type="num" val="1"/>
      </iconSet>
    </cfRule>
    <cfRule type="dataBar" priority="154">
      <dataBar>
        <cfvo type="num" val="0"/>
        <cfvo type="num" val="1"/>
        <color theme="4" tint="0.79998168889431442"/>
      </dataBar>
      <extLst>
        <ext xmlns:x14="http://schemas.microsoft.com/office/spreadsheetml/2009/9/main" uri="{B025F937-C7B1-47D3-B67F-A62EFF666E3E}">
          <x14:id>{305A359D-9ED4-4328-AA40-2D50C5BF4D8C}</x14:id>
        </ext>
      </extLst>
    </cfRule>
  </conditionalFormatting>
  <conditionalFormatting sqref="G37">
    <cfRule type="iconSet" priority="155">
      <iconSet iconSet="3Arrows">
        <cfvo type="percent" val="0"/>
        <cfvo type="num" val="0.7"/>
        <cfvo type="num" val="1"/>
      </iconSet>
    </cfRule>
    <cfRule type="dataBar" priority="156">
      <dataBar>
        <cfvo type="num" val="0"/>
        <cfvo type="num" val="1"/>
        <color theme="4" tint="0.79998168889431442"/>
      </dataBar>
      <extLst>
        <ext xmlns:x14="http://schemas.microsoft.com/office/spreadsheetml/2009/9/main" uri="{B025F937-C7B1-47D3-B67F-A62EFF666E3E}">
          <x14:id>{6A1B17F3-7FEA-4000-86F9-7DBF24DBA371}</x14:id>
        </ext>
      </extLst>
    </cfRule>
  </conditionalFormatting>
  <conditionalFormatting sqref="G39">
    <cfRule type="iconSet" priority="74">
      <iconSet iconSet="3Arrows">
        <cfvo type="percent" val="0"/>
        <cfvo type="num" val="0.7"/>
        <cfvo type="num" val="1"/>
      </iconSet>
    </cfRule>
    <cfRule type="dataBar" priority="75">
      <dataBar>
        <cfvo type="num" val="0"/>
        <cfvo type="num" val="1"/>
        <color theme="7" tint="0.59999389629810485"/>
      </dataBar>
      <extLst>
        <ext xmlns:x14="http://schemas.microsoft.com/office/spreadsheetml/2009/9/main" uri="{B025F937-C7B1-47D3-B67F-A62EFF666E3E}">
          <x14:id>{1F61DBF4-8435-4EFC-8358-68F3E85A71CD}</x14:id>
        </ext>
      </extLst>
    </cfRule>
  </conditionalFormatting>
  <conditionalFormatting sqref="G41">
    <cfRule type="iconSet" priority="161">
      <iconSet iconSet="3Arrows">
        <cfvo type="percent" val="0"/>
        <cfvo type="num" val="0.7"/>
        <cfvo type="num" val="1"/>
      </iconSet>
    </cfRule>
    <cfRule type="dataBar" priority="162">
      <dataBar>
        <cfvo type="num" val="0"/>
        <cfvo type="num" val="1"/>
        <color theme="4" tint="0.79998168889431442"/>
      </dataBar>
      <extLst>
        <ext xmlns:x14="http://schemas.microsoft.com/office/spreadsheetml/2009/9/main" uri="{B025F937-C7B1-47D3-B67F-A62EFF666E3E}">
          <x14:id>{F9083102-1D3C-49A5-B1FF-DAD0A4AE34C9}</x14:id>
        </ext>
      </extLst>
    </cfRule>
  </conditionalFormatting>
  <conditionalFormatting sqref="G43">
    <cfRule type="iconSet" priority="159">
      <iconSet iconSet="3Arrows">
        <cfvo type="percent" val="0"/>
        <cfvo type="num" val="0.7"/>
        <cfvo type="num" val="1"/>
      </iconSet>
    </cfRule>
    <cfRule type="dataBar" priority="160">
      <dataBar>
        <cfvo type="num" val="0"/>
        <cfvo type="num" val="1"/>
        <color theme="4" tint="0.79998168889431442"/>
      </dataBar>
      <extLst>
        <ext xmlns:x14="http://schemas.microsoft.com/office/spreadsheetml/2009/9/main" uri="{B025F937-C7B1-47D3-B67F-A62EFF666E3E}">
          <x14:id>{F8AA7968-1333-417C-84E9-934B3285756F}</x14:id>
        </ext>
      </extLst>
    </cfRule>
  </conditionalFormatting>
  <conditionalFormatting sqref="G45">
    <cfRule type="iconSet" priority="157">
      <iconSet iconSet="3Arrows">
        <cfvo type="percent" val="0"/>
        <cfvo type="num" val="0.7"/>
        <cfvo type="num" val="1"/>
      </iconSet>
    </cfRule>
    <cfRule type="dataBar" priority="158">
      <dataBar>
        <cfvo type="num" val="0"/>
        <cfvo type="num" val="1"/>
        <color theme="4" tint="0.79998168889431442"/>
      </dataBar>
      <extLst>
        <ext xmlns:x14="http://schemas.microsoft.com/office/spreadsheetml/2009/9/main" uri="{B025F937-C7B1-47D3-B67F-A62EFF666E3E}">
          <x14:id>{87385FF5-5E81-47FE-871D-FA8493A7066F}</x14:id>
        </ext>
      </extLst>
    </cfRule>
  </conditionalFormatting>
  <conditionalFormatting sqref="G48">
    <cfRule type="iconSet" priority="13">
      <iconSet iconSet="3Arrows">
        <cfvo type="percent" val="0"/>
        <cfvo type="num" val="0.7"/>
        <cfvo type="num" val="1"/>
      </iconSet>
    </cfRule>
    <cfRule type="dataBar" priority="14">
      <dataBar>
        <cfvo type="num" val="0"/>
        <cfvo type="num" val="1"/>
        <color theme="7" tint="0.59999389629810485"/>
      </dataBar>
      <extLst>
        <ext xmlns:x14="http://schemas.microsoft.com/office/spreadsheetml/2009/9/main" uri="{B025F937-C7B1-47D3-B67F-A62EFF666E3E}">
          <x14:id>{900147C9-DE3D-4FBB-B522-526D66759E91}</x14:id>
        </ext>
      </extLst>
    </cfRule>
  </conditionalFormatting>
  <conditionalFormatting sqref="G50">
    <cfRule type="iconSet" priority="17">
      <iconSet iconSet="3Arrows">
        <cfvo type="percent" val="0"/>
        <cfvo type="num" val="0.7"/>
        <cfvo type="num" val="1"/>
      </iconSet>
    </cfRule>
    <cfRule type="dataBar" priority="18">
      <dataBar>
        <cfvo type="num" val="0"/>
        <cfvo type="num" val="1"/>
        <color theme="4" tint="0.79998168889431442"/>
      </dataBar>
      <extLst>
        <ext xmlns:x14="http://schemas.microsoft.com/office/spreadsheetml/2009/9/main" uri="{B025F937-C7B1-47D3-B67F-A62EFF666E3E}">
          <x14:id>{998B714B-D34D-47EE-A86E-FF1FF443EC7B}</x14:id>
        </ext>
      </extLst>
    </cfRule>
  </conditionalFormatting>
  <conditionalFormatting sqref="G52 G54 G56 G58 G60 G62">
    <cfRule type="iconSet" priority="15">
      <iconSet iconSet="3Arrows">
        <cfvo type="percent" val="0"/>
        <cfvo type="num" val="0.7"/>
        <cfvo type="num" val="1"/>
      </iconSet>
    </cfRule>
    <cfRule type="dataBar" priority="16">
      <dataBar>
        <cfvo type="num" val="0"/>
        <cfvo type="num" val="1"/>
        <color theme="4" tint="0.79998168889431442"/>
      </dataBar>
      <extLst>
        <ext xmlns:x14="http://schemas.microsoft.com/office/spreadsheetml/2009/9/main" uri="{B025F937-C7B1-47D3-B67F-A62EFF666E3E}">
          <x14:id>{8F123834-1B9E-4380-BA00-E49AE6CC579D}</x14:id>
        </ext>
      </extLst>
    </cfRule>
  </conditionalFormatting>
  <conditionalFormatting sqref="K9">
    <cfRule type="iconSet" priority="191">
      <iconSet iconSet="3Arrows">
        <cfvo type="percent" val="0"/>
        <cfvo type="num" val="0.7"/>
        <cfvo type="num" val="1"/>
      </iconSet>
    </cfRule>
    <cfRule type="dataBar" priority="192">
      <dataBar>
        <cfvo type="num" val="0"/>
        <cfvo type="num" val="1"/>
        <color theme="4" tint="0.79998168889431442"/>
      </dataBar>
      <extLst>
        <ext xmlns:x14="http://schemas.microsoft.com/office/spreadsheetml/2009/9/main" uri="{B025F937-C7B1-47D3-B67F-A62EFF666E3E}">
          <x14:id>{8E01F4CC-2742-4311-8618-F0C2C71FFD00}</x14:id>
        </ext>
      </extLst>
    </cfRule>
  </conditionalFormatting>
  <conditionalFormatting sqref="K11 K13">
    <cfRule type="iconSet" priority="193">
      <iconSet iconSet="3Arrows">
        <cfvo type="percent" val="0"/>
        <cfvo type="num" val="0.7"/>
        <cfvo type="num" val="1"/>
      </iconSet>
    </cfRule>
    <cfRule type="dataBar" priority="194">
      <dataBar>
        <cfvo type="num" val="0"/>
        <cfvo type="num" val="1"/>
        <color theme="4" tint="0.79998168889431442"/>
      </dataBar>
      <extLst>
        <ext xmlns:x14="http://schemas.microsoft.com/office/spreadsheetml/2009/9/main" uri="{B025F937-C7B1-47D3-B67F-A62EFF666E3E}">
          <x14:id>{5D2F7C36-11F4-4071-9F4F-9729F626DD48}</x14:id>
        </ext>
      </extLst>
    </cfRule>
  </conditionalFormatting>
  <conditionalFormatting sqref="K15">
    <cfRule type="iconSet" priority="189">
      <iconSet iconSet="3Arrows">
        <cfvo type="percent" val="0"/>
        <cfvo type="num" val="0.7"/>
        <cfvo type="num" val="1"/>
      </iconSet>
    </cfRule>
    <cfRule type="dataBar" priority="190">
      <dataBar>
        <cfvo type="num" val="0"/>
        <cfvo type="num" val="1"/>
        <color theme="4" tint="0.79998168889431442"/>
      </dataBar>
      <extLst>
        <ext xmlns:x14="http://schemas.microsoft.com/office/spreadsheetml/2009/9/main" uri="{B025F937-C7B1-47D3-B67F-A62EFF666E3E}">
          <x14:id>{0E941A36-57EE-453A-A9CF-0B3C2B16B66B}</x14:id>
        </ext>
      </extLst>
    </cfRule>
  </conditionalFormatting>
  <conditionalFormatting sqref="K17">
    <cfRule type="iconSet" priority="88">
      <iconSet iconSet="3Arrows">
        <cfvo type="percent" val="0"/>
        <cfvo type="num" val="0.7"/>
        <cfvo type="num" val="1"/>
      </iconSet>
    </cfRule>
    <cfRule type="dataBar" priority="89">
      <dataBar>
        <cfvo type="num" val="0"/>
        <cfvo type="num" val="1"/>
        <color theme="7" tint="0.59999389629810485"/>
      </dataBar>
      <extLst>
        <ext xmlns:x14="http://schemas.microsoft.com/office/spreadsheetml/2009/9/main" uri="{B025F937-C7B1-47D3-B67F-A62EFF666E3E}">
          <x14:id>{3F423E5E-AABB-49E7-BA04-827C13AA6F37}</x14:id>
        </ext>
      </extLst>
    </cfRule>
  </conditionalFormatting>
  <conditionalFormatting sqref="K19 K21">
    <cfRule type="iconSet" priority="187">
      <iconSet iconSet="3Arrows">
        <cfvo type="percent" val="0"/>
        <cfvo type="num" val="0.7"/>
        <cfvo type="num" val="1"/>
      </iconSet>
    </cfRule>
    <cfRule type="dataBar" priority="188">
      <dataBar>
        <cfvo type="num" val="0"/>
        <cfvo type="num" val="1"/>
        <color theme="4" tint="0.79998168889431442"/>
      </dataBar>
      <extLst>
        <ext xmlns:x14="http://schemas.microsoft.com/office/spreadsheetml/2009/9/main" uri="{B025F937-C7B1-47D3-B67F-A62EFF666E3E}">
          <x14:id>{0C34A443-9B29-4891-BA46-6A897685961D}</x14:id>
        </ext>
      </extLst>
    </cfRule>
  </conditionalFormatting>
  <conditionalFormatting sqref="K23">
    <cfRule type="iconSet" priority="1">
      <iconSet iconSet="3Arrows">
        <cfvo type="percent" val="0"/>
        <cfvo type="num" val="0.7"/>
        <cfvo type="num" val="1"/>
      </iconSet>
    </cfRule>
    <cfRule type="dataBar" priority="2">
      <dataBar>
        <cfvo type="num" val="0"/>
        <cfvo type="num" val="1"/>
        <color theme="4" tint="0.79998168889431442"/>
      </dataBar>
      <extLst>
        <ext xmlns:x14="http://schemas.microsoft.com/office/spreadsheetml/2009/9/main" uri="{B025F937-C7B1-47D3-B67F-A62EFF666E3E}">
          <x14:id>{DF80310C-4B22-4647-BE86-125B185A88D3}</x14:id>
        </ext>
      </extLst>
    </cfRule>
  </conditionalFormatting>
  <conditionalFormatting sqref="K25">
    <cfRule type="iconSet" priority="86">
      <iconSet iconSet="3Arrows">
        <cfvo type="percent" val="0"/>
        <cfvo type="num" val="0.7"/>
        <cfvo type="num" val="1"/>
      </iconSet>
    </cfRule>
    <cfRule type="dataBar" priority="87">
      <dataBar>
        <cfvo type="num" val="0"/>
        <cfvo type="num" val="1"/>
        <color theme="7" tint="0.59999389629810485"/>
      </dataBar>
      <extLst>
        <ext xmlns:x14="http://schemas.microsoft.com/office/spreadsheetml/2009/9/main" uri="{B025F937-C7B1-47D3-B67F-A62EFF666E3E}">
          <x14:id>{6941ED82-0966-4AC3-A284-E7653A1D3067}</x14:id>
        </ext>
      </extLst>
    </cfRule>
  </conditionalFormatting>
  <conditionalFormatting sqref="K27 K29">
    <cfRule type="iconSet" priority="185">
      <iconSet iconSet="3Arrows">
        <cfvo type="percent" val="0"/>
        <cfvo type="num" val="0.7"/>
        <cfvo type="num" val="1"/>
      </iconSet>
    </cfRule>
    <cfRule type="dataBar" priority="186">
      <dataBar>
        <cfvo type="num" val="0"/>
        <cfvo type="num" val="1"/>
        <color theme="4" tint="0.79998168889431442"/>
      </dataBar>
      <extLst>
        <ext xmlns:x14="http://schemas.microsoft.com/office/spreadsheetml/2009/9/main" uri="{B025F937-C7B1-47D3-B67F-A62EFF666E3E}">
          <x14:id>{13F5A9C0-7C77-4B10-A93E-7C46A6C07250}</x14:id>
        </ext>
      </extLst>
    </cfRule>
  </conditionalFormatting>
  <conditionalFormatting sqref="K31">
    <cfRule type="iconSet" priority="183">
      <iconSet iconSet="3Arrows">
        <cfvo type="percent" val="0"/>
        <cfvo type="num" val="0.7"/>
        <cfvo type="num" val="1"/>
      </iconSet>
    </cfRule>
    <cfRule type="dataBar" priority="184">
      <dataBar>
        <cfvo type="num" val="0"/>
        <cfvo type="num" val="1"/>
        <color theme="4" tint="0.79998168889431442"/>
      </dataBar>
      <extLst>
        <ext xmlns:x14="http://schemas.microsoft.com/office/spreadsheetml/2009/9/main" uri="{B025F937-C7B1-47D3-B67F-A62EFF666E3E}">
          <x14:id>{604E4C74-12EA-47EE-AA41-AD9BAACEC248}</x14:id>
        </ext>
      </extLst>
    </cfRule>
  </conditionalFormatting>
  <conditionalFormatting sqref="K33">
    <cfRule type="iconSet" priority="177">
      <iconSet iconSet="3Arrows">
        <cfvo type="percent" val="0"/>
        <cfvo type="num" val="0.7"/>
        <cfvo type="num" val="1"/>
      </iconSet>
    </cfRule>
    <cfRule type="dataBar" priority="178">
      <dataBar>
        <cfvo type="num" val="0"/>
        <cfvo type="num" val="1"/>
        <color theme="4" tint="0.79998168889431442"/>
      </dataBar>
      <extLst>
        <ext xmlns:x14="http://schemas.microsoft.com/office/spreadsheetml/2009/9/main" uri="{B025F937-C7B1-47D3-B67F-A62EFF666E3E}">
          <x14:id>{D3ED685B-F54D-40CF-B155-19E931EB318C}</x14:id>
        </ext>
      </extLst>
    </cfRule>
  </conditionalFormatting>
  <conditionalFormatting sqref="K35 K37">
    <cfRule type="iconSet" priority="179">
      <iconSet iconSet="3Arrows">
        <cfvo type="percent" val="0"/>
        <cfvo type="num" val="0.7"/>
        <cfvo type="num" val="1"/>
      </iconSet>
    </cfRule>
    <cfRule type="dataBar" priority="180">
      <dataBar>
        <cfvo type="num" val="0"/>
        <cfvo type="num" val="1"/>
        <color theme="4" tint="0.79998168889431442"/>
      </dataBar>
      <extLst>
        <ext xmlns:x14="http://schemas.microsoft.com/office/spreadsheetml/2009/9/main" uri="{B025F937-C7B1-47D3-B67F-A62EFF666E3E}">
          <x14:id>{0C410706-E8BF-430E-936F-B5F3D319F70B}</x14:id>
        </ext>
      </extLst>
    </cfRule>
  </conditionalFormatting>
  <conditionalFormatting sqref="K39">
    <cfRule type="iconSet" priority="84">
      <iconSet iconSet="3Arrows">
        <cfvo type="percent" val="0"/>
        <cfvo type="num" val="0.7"/>
        <cfvo type="num" val="1"/>
      </iconSet>
    </cfRule>
    <cfRule type="dataBar" priority="85">
      <dataBar>
        <cfvo type="num" val="0"/>
        <cfvo type="num" val="1"/>
        <color theme="7" tint="0.59999389629810485"/>
      </dataBar>
      <extLst>
        <ext xmlns:x14="http://schemas.microsoft.com/office/spreadsheetml/2009/9/main" uri="{B025F937-C7B1-47D3-B67F-A62EFF666E3E}">
          <x14:id>{E970F020-166F-41E8-ABE1-3064827A8277}</x14:id>
        </ext>
      </extLst>
    </cfRule>
  </conditionalFormatting>
  <conditionalFormatting sqref="K45 K41 K43">
    <cfRule type="iconSet" priority="181">
      <iconSet iconSet="3Arrows">
        <cfvo type="percent" val="0"/>
        <cfvo type="num" val="0.7"/>
        <cfvo type="num" val="1"/>
      </iconSet>
    </cfRule>
    <cfRule type="dataBar" priority="182">
      <dataBar>
        <cfvo type="num" val="0"/>
        <cfvo type="num" val="1"/>
        <color theme="4" tint="0.79998168889431442"/>
      </dataBar>
      <extLst>
        <ext xmlns:x14="http://schemas.microsoft.com/office/spreadsheetml/2009/9/main" uri="{B025F937-C7B1-47D3-B67F-A62EFF666E3E}">
          <x14:id>{97719142-7BCE-465D-A126-9A81BEB6A6BF}</x14:id>
        </ext>
      </extLst>
    </cfRule>
  </conditionalFormatting>
  <conditionalFormatting sqref="K48">
    <cfRule type="iconSet" priority="47">
      <iconSet iconSet="3Arrows">
        <cfvo type="percent" val="0"/>
        <cfvo type="num" val="0.7"/>
        <cfvo type="num" val="1"/>
      </iconSet>
    </cfRule>
    <cfRule type="dataBar" priority="48">
      <dataBar>
        <cfvo type="num" val="0"/>
        <cfvo type="num" val="1"/>
        <color theme="7" tint="0.59999389629810485"/>
      </dataBar>
      <extLst>
        <ext xmlns:x14="http://schemas.microsoft.com/office/spreadsheetml/2009/9/main" uri="{B025F937-C7B1-47D3-B67F-A62EFF666E3E}">
          <x14:id>{979D8481-CAA4-4E23-834D-7EC3257D8E5A}</x14:id>
        </ext>
      </extLst>
    </cfRule>
  </conditionalFormatting>
  <conditionalFormatting sqref="K50 K52 K54 K56 K58 K60 K62">
    <cfRule type="iconSet" priority="63">
      <iconSet iconSet="3Arrows">
        <cfvo type="percent" val="0"/>
        <cfvo type="num" val="0.7"/>
        <cfvo type="num" val="1"/>
      </iconSet>
    </cfRule>
    <cfRule type="dataBar" priority="64">
      <dataBar>
        <cfvo type="num" val="0"/>
        <cfvo type="num" val="1"/>
        <color theme="4" tint="0.79998168889431442"/>
      </dataBar>
      <extLst>
        <ext xmlns:x14="http://schemas.microsoft.com/office/spreadsheetml/2009/9/main" uri="{B025F937-C7B1-47D3-B67F-A62EFF666E3E}">
          <x14:id>{F524886E-2C33-4409-8D0B-023AB9FBFCFE}</x14:id>
        </ext>
      </extLst>
    </cfRule>
  </conditionalFormatting>
  <conditionalFormatting sqref="M9:S10">
    <cfRule type="cellIs" dxfId="47" priority="8" operator="equal">
      <formula>0</formula>
    </cfRule>
  </conditionalFormatting>
  <conditionalFormatting sqref="M11:S16">
    <cfRule type="cellIs" dxfId="46" priority="195" operator="equal">
      <formula>0</formula>
    </cfRule>
  </conditionalFormatting>
  <conditionalFormatting sqref="M17:S18">
    <cfRule type="cellIs" dxfId="45" priority="7" operator="equal">
      <formula>0</formula>
    </cfRule>
  </conditionalFormatting>
  <conditionalFormatting sqref="M19:S24">
    <cfRule type="cellIs" dxfId="44" priority="152" operator="equal">
      <formula>0</formula>
    </cfRule>
  </conditionalFormatting>
  <conditionalFormatting sqref="M25:S26">
    <cfRule type="cellIs" dxfId="43" priority="6" operator="equal">
      <formula>0</formula>
    </cfRule>
  </conditionalFormatting>
  <conditionalFormatting sqref="M27:S32">
    <cfRule type="cellIs" dxfId="42" priority="196" operator="equal">
      <formula>0</formula>
    </cfRule>
  </conditionalFormatting>
  <conditionalFormatting sqref="M33:S34">
    <cfRule type="cellIs" dxfId="41" priority="5" operator="equal">
      <formula>0</formula>
    </cfRule>
  </conditionalFormatting>
  <conditionalFormatting sqref="M35:S38">
    <cfRule type="cellIs" dxfId="40" priority="197" operator="equal">
      <formula>0</formula>
    </cfRule>
  </conditionalFormatting>
  <conditionalFormatting sqref="M39:S40">
    <cfRule type="cellIs" dxfId="39" priority="4" operator="equal">
      <formula>0</formula>
    </cfRule>
  </conditionalFormatting>
  <conditionalFormatting sqref="M41:S46">
    <cfRule type="cellIs" dxfId="38" priority="198" operator="equal">
      <formula>0</formula>
    </cfRule>
  </conditionalFormatting>
  <conditionalFormatting sqref="M48:S49">
    <cfRule type="cellIs" dxfId="37" priority="3" operator="equal">
      <formula>0</formula>
    </cfRule>
  </conditionalFormatting>
  <conditionalFormatting sqref="M50:S63">
    <cfRule type="cellIs" dxfId="36" priority="38" operator="equal">
      <formula>0</formula>
    </cfRule>
  </conditionalFormatting>
  <conditionalFormatting sqref="U9:U10">
    <cfRule type="cellIs" dxfId="35" priority="235" operator="equal">
      <formula>0</formula>
    </cfRule>
  </conditionalFormatting>
  <conditionalFormatting sqref="U11:U16">
    <cfRule type="cellIs" dxfId="34" priority="240" operator="equal">
      <formula>0</formula>
    </cfRule>
  </conditionalFormatting>
  <conditionalFormatting sqref="U17:U18">
    <cfRule type="cellIs" dxfId="33" priority="227" operator="equal">
      <formula>0</formula>
    </cfRule>
  </conditionalFormatting>
  <conditionalFormatting sqref="U19:U24">
    <cfRule type="cellIs" dxfId="32" priority="228" operator="equal">
      <formula>0</formula>
    </cfRule>
  </conditionalFormatting>
  <conditionalFormatting sqref="U25:U26">
    <cfRule type="cellIs" dxfId="31" priority="221" operator="equal">
      <formula>0</formula>
    </cfRule>
  </conditionalFormatting>
  <conditionalFormatting sqref="U27:U32">
    <cfRule type="cellIs" dxfId="30" priority="222" operator="equal">
      <formula>0</formula>
    </cfRule>
  </conditionalFormatting>
  <conditionalFormatting sqref="U33:U34">
    <cfRule type="cellIs" dxfId="29" priority="217" operator="equal">
      <formula>0</formula>
    </cfRule>
  </conditionalFormatting>
  <conditionalFormatting sqref="U35:U38">
    <cfRule type="cellIs" dxfId="28" priority="218" operator="equal">
      <formula>0</formula>
    </cfRule>
  </conditionalFormatting>
  <conditionalFormatting sqref="U39:U40">
    <cfRule type="cellIs" dxfId="27" priority="213" operator="equal">
      <formula>0</formula>
    </cfRule>
  </conditionalFormatting>
  <conditionalFormatting sqref="U41:U46">
    <cfRule type="cellIs" dxfId="26" priority="214" operator="equal">
      <formula>0</formula>
    </cfRule>
  </conditionalFormatting>
  <conditionalFormatting sqref="U48:U49">
    <cfRule type="cellIs" dxfId="25" priority="33" operator="equal">
      <formula>0</formula>
    </cfRule>
  </conditionalFormatting>
  <conditionalFormatting sqref="U50:U63">
    <cfRule type="cellIs" dxfId="24" priority="71" operator="equal">
      <formula>0</formula>
    </cfRule>
  </conditionalFormatting>
  <conditionalFormatting sqref="V7">
    <cfRule type="iconSet" priority="90">
      <iconSet iconSet="3Arrows">
        <cfvo type="percent" val="0"/>
        <cfvo type="num" val="0.7"/>
        <cfvo type="num" val="1"/>
      </iconSet>
    </cfRule>
    <cfRule type="dataBar" priority="91">
      <dataBar>
        <cfvo type="num" val="0"/>
        <cfvo type="num" val="1"/>
        <color theme="7" tint="0.59999389629810485"/>
      </dataBar>
      <extLst>
        <ext xmlns:x14="http://schemas.microsoft.com/office/spreadsheetml/2009/9/main" uri="{B025F937-C7B1-47D3-B67F-A62EFF666E3E}">
          <x14:id>{31DCD5D6-7362-4124-A964-7D1A70C11776}</x14:id>
        </ext>
      </extLst>
    </cfRule>
  </conditionalFormatting>
  <conditionalFormatting sqref="V9">
    <cfRule type="iconSet" priority="233">
      <iconSet iconSet="3Arrows">
        <cfvo type="percent" val="0"/>
        <cfvo type="num" val="0.7"/>
        <cfvo type="num" val="1"/>
      </iconSet>
    </cfRule>
    <cfRule type="dataBar" priority="234">
      <dataBar>
        <cfvo type="num" val="0"/>
        <cfvo type="num" val="1"/>
        <color theme="7" tint="0.59999389629810485"/>
      </dataBar>
      <extLst>
        <ext xmlns:x14="http://schemas.microsoft.com/office/spreadsheetml/2009/9/main" uri="{B025F937-C7B1-47D3-B67F-A62EFF666E3E}">
          <x14:id>{8A6B88D6-0011-40C0-811C-EA9D052031F1}</x14:id>
        </ext>
      </extLst>
    </cfRule>
  </conditionalFormatting>
  <conditionalFormatting sqref="V13 V11 V15">
    <cfRule type="iconSet" priority="238">
      <iconSet iconSet="3Arrows">
        <cfvo type="percent" val="0"/>
        <cfvo type="num" val="0.7"/>
        <cfvo type="num" val="1"/>
      </iconSet>
    </cfRule>
    <cfRule type="dataBar" priority="239">
      <dataBar>
        <cfvo type="num" val="0"/>
        <cfvo type="num" val="1"/>
        <color theme="7" tint="0.79998168889431442"/>
      </dataBar>
      <extLst>
        <ext xmlns:x14="http://schemas.microsoft.com/office/spreadsheetml/2009/9/main" uri="{B025F937-C7B1-47D3-B67F-A62EFF666E3E}">
          <x14:id>{11D77531-6111-4599-9B2E-242EB5C48E84}</x14:id>
        </ext>
      </extLst>
    </cfRule>
  </conditionalFormatting>
  <conditionalFormatting sqref="V17">
    <cfRule type="iconSet" priority="140">
      <iconSet iconSet="3Arrows">
        <cfvo type="percent" val="0"/>
        <cfvo type="num" val="0.7"/>
        <cfvo type="num" val="1"/>
      </iconSet>
    </cfRule>
    <cfRule type="dataBar" priority="141">
      <dataBar>
        <cfvo type="num" val="0"/>
        <cfvo type="num" val="1"/>
        <color theme="7" tint="0.59999389629810485"/>
      </dataBar>
      <extLst>
        <ext xmlns:x14="http://schemas.microsoft.com/office/spreadsheetml/2009/9/main" uri="{B025F937-C7B1-47D3-B67F-A62EFF666E3E}">
          <x14:id>{64138277-56B1-43B1-B6B8-E034F6912B4D}</x14:id>
        </ext>
      </extLst>
    </cfRule>
  </conditionalFormatting>
  <conditionalFormatting sqref="V19 V21 V23">
    <cfRule type="iconSet" priority="124">
      <iconSet iconSet="3Arrows">
        <cfvo type="percent" val="0"/>
        <cfvo type="num" val="0.7"/>
        <cfvo type="num" val="1"/>
      </iconSet>
    </cfRule>
    <cfRule type="dataBar" priority="125">
      <dataBar>
        <cfvo type="num" val="0"/>
        <cfvo type="num" val="1"/>
        <color theme="7" tint="0.79998168889431442"/>
      </dataBar>
      <extLst>
        <ext xmlns:x14="http://schemas.microsoft.com/office/spreadsheetml/2009/9/main" uri="{B025F937-C7B1-47D3-B67F-A62EFF666E3E}">
          <x14:id>{943E938A-8D94-4167-BE48-16E39ECF1C09}</x14:id>
        </ext>
      </extLst>
    </cfRule>
  </conditionalFormatting>
  <conditionalFormatting sqref="V25">
    <cfRule type="iconSet" priority="138">
      <iconSet iconSet="3Arrows">
        <cfvo type="percent" val="0"/>
        <cfvo type="num" val="0.7"/>
        <cfvo type="num" val="1"/>
      </iconSet>
    </cfRule>
    <cfRule type="dataBar" priority="139">
      <dataBar>
        <cfvo type="num" val="0"/>
        <cfvo type="num" val="1"/>
        <color theme="7" tint="0.59999389629810485"/>
      </dataBar>
      <extLst>
        <ext xmlns:x14="http://schemas.microsoft.com/office/spreadsheetml/2009/9/main" uri="{B025F937-C7B1-47D3-B67F-A62EFF666E3E}">
          <x14:id>{13916D74-209D-4AF0-8363-6FC94B888A2E}</x14:id>
        </ext>
      </extLst>
    </cfRule>
  </conditionalFormatting>
  <conditionalFormatting sqref="V27 V29 V31">
    <cfRule type="iconSet" priority="122">
      <iconSet iconSet="3Arrows">
        <cfvo type="percent" val="0"/>
        <cfvo type="num" val="0.7"/>
        <cfvo type="num" val="1"/>
      </iconSet>
    </cfRule>
    <cfRule type="dataBar" priority="123">
      <dataBar>
        <cfvo type="num" val="0"/>
        <cfvo type="num" val="1"/>
        <color theme="7" tint="0.79998168889431442"/>
      </dataBar>
      <extLst>
        <ext xmlns:x14="http://schemas.microsoft.com/office/spreadsheetml/2009/9/main" uri="{B025F937-C7B1-47D3-B67F-A62EFF666E3E}">
          <x14:id>{E442FD21-065C-458D-8988-AD24C8469247}</x14:id>
        </ext>
      </extLst>
    </cfRule>
  </conditionalFormatting>
  <conditionalFormatting sqref="V33">
    <cfRule type="iconSet" priority="11">
      <iconSet iconSet="3Arrows">
        <cfvo type="percent" val="0"/>
        <cfvo type="num" val="0.7"/>
        <cfvo type="num" val="1"/>
      </iconSet>
    </cfRule>
    <cfRule type="dataBar" priority="12">
      <dataBar>
        <cfvo type="num" val="0"/>
        <cfvo type="num" val="1"/>
        <color theme="7" tint="0.59999389629810485"/>
      </dataBar>
      <extLst>
        <ext xmlns:x14="http://schemas.microsoft.com/office/spreadsheetml/2009/9/main" uri="{B025F937-C7B1-47D3-B67F-A62EFF666E3E}">
          <x14:id>{1879AF7D-C163-4B3C-9427-F51403CFC547}</x14:id>
        </ext>
      </extLst>
    </cfRule>
  </conditionalFormatting>
  <conditionalFormatting sqref="V35 V37">
    <cfRule type="iconSet" priority="120">
      <iconSet iconSet="3Arrows">
        <cfvo type="percent" val="0"/>
        <cfvo type="num" val="0.7"/>
        <cfvo type="num" val="1"/>
      </iconSet>
    </cfRule>
    <cfRule type="dataBar" priority="121">
      <dataBar>
        <cfvo type="num" val="0"/>
        <cfvo type="num" val="1"/>
        <color theme="7" tint="0.79998168889431442"/>
      </dataBar>
      <extLst>
        <ext xmlns:x14="http://schemas.microsoft.com/office/spreadsheetml/2009/9/main" uri="{B025F937-C7B1-47D3-B67F-A62EFF666E3E}">
          <x14:id>{733DA819-2FA3-4A95-A122-25A1B152E149}</x14:id>
        </ext>
      </extLst>
    </cfRule>
  </conditionalFormatting>
  <conditionalFormatting sqref="V39">
    <cfRule type="iconSet" priority="136">
      <iconSet iconSet="3Arrows">
        <cfvo type="percent" val="0"/>
        <cfvo type="num" val="0.7"/>
        <cfvo type="num" val="1"/>
      </iconSet>
    </cfRule>
    <cfRule type="dataBar" priority="137">
      <dataBar>
        <cfvo type="num" val="0"/>
        <cfvo type="num" val="1"/>
        <color theme="7" tint="0.59999389629810485"/>
      </dataBar>
      <extLst>
        <ext xmlns:x14="http://schemas.microsoft.com/office/spreadsheetml/2009/9/main" uri="{B025F937-C7B1-47D3-B67F-A62EFF666E3E}">
          <x14:id>{68329C60-E58C-421F-AE0C-C497328DE39A}</x14:id>
        </ext>
      </extLst>
    </cfRule>
  </conditionalFormatting>
  <conditionalFormatting sqref="V45 V41 V43">
    <cfRule type="iconSet" priority="118">
      <iconSet iconSet="3Arrows">
        <cfvo type="percent" val="0"/>
        <cfvo type="num" val="0.7"/>
        <cfvo type="num" val="1"/>
      </iconSet>
    </cfRule>
    <cfRule type="dataBar" priority="119">
      <dataBar>
        <cfvo type="num" val="0"/>
        <cfvo type="num" val="1"/>
        <color theme="7" tint="0.79998168889431442"/>
      </dataBar>
      <extLst>
        <ext xmlns:x14="http://schemas.microsoft.com/office/spreadsheetml/2009/9/main" uri="{B025F937-C7B1-47D3-B67F-A62EFF666E3E}">
          <x14:id>{A65F70DC-678A-482C-B3E9-0C0AF972F2A6}</x14:id>
        </ext>
      </extLst>
    </cfRule>
  </conditionalFormatting>
  <conditionalFormatting sqref="V48">
    <cfRule type="iconSet" priority="59">
      <iconSet iconSet="3Arrows">
        <cfvo type="percent" val="0"/>
        <cfvo type="num" val="0.7"/>
        <cfvo type="num" val="1"/>
      </iconSet>
    </cfRule>
    <cfRule type="dataBar" priority="60">
      <dataBar>
        <cfvo type="num" val="0"/>
        <cfvo type="num" val="1"/>
        <color theme="7" tint="0.59999389629810485"/>
      </dataBar>
      <extLst>
        <ext xmlns:x14="http://schemas.microsoft.com/office/spreadsheetml/2009/9/main" uri="{B025F937-C7B1-47D3-B67F-A62EFF666E3E}">
          <x14:id>{E136A7C0-501F-4A21-B949-E8696B773768}</x14:id>
        </ext>
      </extLst>
    </cfRule>
  </conditionalFormatting>
  <conditionalFormatting sqref="V52 V50 V54">
    <cfRule type="iconSet" priority="55">
      <iconSet iconSet="3Arrows">
        <cfvo type="percent" val="0"/>
        <cfvo type="num" val="0.7"/>
        <cfvo type="num" val="1"/>
      </iconSet>
    </cfRule>
    <cfRule type="dataBar" priority="56">
      <dataBar>
        <cfvo type="num" val="0"/>
        <cfvo type="num" val="1"/>
        <color theme="7" tint="0.79998168889431442"/>
      </dataBar>
      <extLst>
        <ext xmlns:x14="http://schemas.microsoft.com/office/spreadsheetml/2009/9/main" uri="{B025F937-C7B1-47D3-B67F-A62EFF666E3E}">
          <x14:id>{10998B1C-0E51-46E5-82DC-B5C70ED2A492}</x14:id>
        </ext>
      </extLst>
    </cfRule>
  </conditionalFormatting>
  <conditionalFormatting sqref="V56">
    <cfRule type="iconSet" priority="43">
      <iconSet iconSet="3Arrows">
        <cfvo type="percent" val="0"/>
        <cfvo type="num" val="0.7"/>
        <cfvo type="num" val="1"/>
      </iconSet>
    </cfRule>
    <cfRule type="dataBar" priority="44">
      <dataBar>
        <cfvo type="num" val="0"/>
        <cfvo type="num" val="1"/>
        <color theme="7" tint="0.79998168889431442"/>
      </dataBar>
      <extLst>
        <ext xmlns:x14="http://schemas.microsoft.com/office/spreadsheetml/2009/9/main" uri="{B025F937-C7B1-47D3-B67F-A62EFF666E3E}">
          <x14:id>{F7620DE2-86FA-4FC7-AAFE-38A0801ED396}</x14:id>
        </ext>
      </extLst>
    </cfRule>
  </conditionalFormatting>
  <conditionalFormatting sqref="V58 V60 V62">
    <cfRule type="iconSet" priority="36">
      <iconSet iconSet="3Arrows">
        <cfvo type="percent" val="0"/>
        <cfvo type="num" val="0.7"/>
        <cfvo type="num" val="1"/>
      </iconSet>
    </cfRule>
    <cfRule type="dataBar" priority="37">
      <dataBar>
        <cfvo type="num" val="0"/>
        <cfvo type="num" val="1"/>
        <color theme="7" tint="0.79998168889431442"/>
      </dataBar>
      <extLst>
        <ext xmlns:x14="http://schemas.microsoft.com/office/spreadsheetml/2009/9/main" uri="{B025F937-C7B1-47D3-B67F-A62EFF666E3E}">
          <x14:id>{C59249EC-CD24-4AB8-AF23-8216A3796476}</x14:id>
        </ext>
      </extLst>
    </cfRule>
  </conditionalFormatting>
  <conditionalFormatting sqref="W9:W10">
    <cfRule type="cellIs" dxfId="23" priority="31" operator="equal">
      <formula>0</formula>
    </cfRule>
  </conditionalFormatting>
  <conditionalFormatting sqref="W11:W16">
    <cfRule type="cellIs" dxfId="22" priority="32" operator="equal">
      <formula>0</formula>
    </cfRule>
  </conditionalFormatting>
  <conditionalFormatting sqref="W17:W18">
    <cfRule type="cellIs" dxfId="21" priority="29" operator="equal">
      <formula>0</formula>
    </cfRule>
  </conditionalFormatting>
  <conditionalFormatting sqref="W19:W24">
    <cfRule type="cellIs" dxfId="20" priority="30" operator="equal">
      <formula>0</formula>
    </cfRule>
  </conditionalFormatting>
  <conditionalFormatting sqref="W25:W26">
    <cfRule type="cellIs" dxfId="19" priority="27" operator="equal">
      <formula>0</formula>
    </cfRule>
  </conditionalFormatting>
  <conditionalFormatting sqref="W27:W32">
    <cfRule type="cellIs" dxfId="18" priority="28" operator="equal">
      <formula>0</formula>
    </cfRule>
  </conditionalFormatting>
  <conditionalFormatting sqref="W33:W34">
    <cfRule type="cellIs" dxfId="17" priority="25" operator="equal">
      <formula>0</formula>
    </cfRule>
  </conditionalFormatting>
  <conditionalFormatting sqref="W35:W38">
    <cfRule type="cellIs" dxfId="16" priority="26" operator="equal">
      <formula>0</formula>
    </cfRule>
  </conditionalFormatting>
  <conditionalFormatting sqref="W39:W40">
    <cfRule type="cellIs" dxfId="15" priority="23" operator="equal">
      <formula>0</formula>
    </cfRule>
  </conditionalFormatting>
  <conditionalFormatting sqref="W41:W46">
    <cfRule type="cellIs" dxfId="14" priority="24" operator="equal">
      <formula>0</formula>
    </cfRule>
  </conditionalFormatting>
  <conditionalFormatting sqref="W48:W49">
    <cfRule type="cellIs" dxfId="13" priority="21" operator="equal">
      <formula>0</formula>
    </cfRule>
  </conditionalFormatting>
  <conditionalFormatting sqref="W50:W63">
    <cfRule type="cellIs" dxfId="12" priority="22" operator="equal">
      <formula>0</formula>
    </cfRule>
  </conditionalFormatting>
  <conditionalFormatting sqref="AB7">
    <cfRule type="iconSet" priority="9">
      <iconSet iconSet="3Arrows">
        <cfvo type="percent" val="0"/>
        <cfvo type="num" val="0.7"/>
        <cfvo type="num" val="1"/>
      </iconSet>
    </cfRule>
    <cfRule type="dataBar" priority="10">
      <dataBar>
        <cfvo type="num" val="0"/>
        <cfvo type="num" val="1"/>
        <color theme="7" tint="0.59999389629810485"/>
      </dataBar>
      <extLst>
        <ext xmlns:x14="http://schemas.microsoft.com/office/spreadsheetml/2009/9/main" uri="{B025F937-C7B1-47D3-B67F-A62EFF666E3E}">
          <x14:id>{6879D40D-FFBE-40F6-9C41-D75754553125}</x14:id>
        </ext>
      </extLst>
    </cfRule>
  </conditionalFormatting>
  <conditionalFormatting sqref="AB9">
    <cfRule type="iconSet" priority="134">
      <iconSet iconSet="3Arrows">
        <cfvo type="percent" val="0"/>
        <cfvo type="num" val="0.7"/>
        <cfvo type="num" val="1"/>
      </iconSet>
    </cfRule>
    <cfRule type="dataBar" priority="135">
      <dataBar>
        <cfvo type="num" val="0"/>
        <cfvo type="num" val="1"/>
        <color theme="6" tint="0.59999389629810485"/>
      </dataBar>
      <extLst>
        <ext xmlns:x14="http://schemas.microsoft.com/office/spreadsheetml/2009/9/main" uri="{B025F937-C7B1-47D3-B67F-A62EFF666E3E}">
          <x14:id>{80BAB5C2-E68B-4A00-801B-A5582F02AF53}</x14:id>
        </ext>
      </extLst>
    </cfRule>
  </conditionalFormatting>
  <conditionalFormatting sqref="AB11">
    <cfRule type="iconSet" priority="114">
      <iconSet iconSet="3Arrows">
        <cfvo type="percent" val="0"/>
        <cfvo type="num" val="0.7"/>
        <cfvo type="num" val="1"/>
      </iconSet>
    </cfRule>
    <cfRule type="dataBar" priority="115">
      <dataBar>
        <cfvo type="num" val="0"/>
        <cfvo type="num" val="1"/>
        <color theme="9" tint="0.79998168889431442"/>
      </dataBar>
      <extLst>
        <ext xmlns:x14="http://schemas.microsoft.com/office/spreadsheetml/2009/9/main" uri="{B025F937-C7B1-47D3-B67F-A62EFF666E3E}">
          <x14:id>{15974920-0001-4589-BFDA-B627CF0FA760}</x14:id>
        </ext>
      </extLst>
    </cfRule>
  </conditionalFormatting>
  <conditionalFormatting sqref="AB13 AB15">
    <cfRule type="iconSet" priority="116">
      <iconSet iconSet="3Arrows">
        <cfvo type="percent" val="0"/>
        <cfvo type="num" val="0.7"/>
        <cfvo type="num" val="1"/>
      </iconSet>
    </cfRule>
    <cfRule type="dataBar" priority="117">
      <dataBar>
        <cfvo type="num" val="0"/>
        <cfvo type="num" val="1"/>
        <color theme="9" tint="0.79998168889431442"/>
      </dataBar>
      <extLst>
        <ext xmlns:x14="http://schemas.microsoft.com/office/spreadsheetml/2009/9/main" uri="{B025F937-C7B1-47D3-B67F-A62EFF666E3E}">
          <x14:id>{C2EED596-A409-47C1-8CEE-B0C74FF6C61A}</x14:id>
        </ext>
      </extLst>
    </cfRule>
  </conditionalFormatting>
  <conditionalFormatting sqref="AB17">
    <cfRule type="iconSet" priority="132">
      <iconSet iconSet="3Arrows">
        <cfvo type="percent" val="0"/>
        <cfvo type="num" val="0.7"/>
        <cfvo type="num" val="1"/>
      </iconSet>
    </cfRule>
    <cfRule type="dataBar" priority="133">
      <dataBar>
        <cfvo type="num" val="0"/>
        <cfvo type="num" val="1"/>
        <color theme="6" tint="0.59999389629810485"/>
      </dataBar>
      <extLst>
        <ext xmlns:x14="http://schemas.microsoft.com/office/spreadsheetml/2009/9/main" uri="{B025F937-C7B1-47D3-B67F-A62EFF666E3E}">
          <x14:id>{82DFC92C-1E21-4EAC-8F32-31F2B9BE6D86}</x14:id>
        </ext>
      </extLst>
    </cfRule>
  </conditionalFormatting>
  <conditionalFormatting sqref="AB19">
    <cfRule type="iconSet" priority="112">
      <iconSet iconSet="3Arrows">
        <cfvo type="percent" val="0"/>
        <cfvo type="num" val="0.7"/>
        <cfvo type="num" val="1"/>
      </iconSet>
    </cfRule>
    <cfRule type="dataBar" priority="113">
      <dataBar>
        <cfvo type="num" val="0"/>
        <cfvo type="num" val="1"/>
        <color theme="9" tint="0.79998168889431442"/>
      </dataBar>
      <extLst>
        <ext xmlns:x14="http://schemas.microsoft.com/office/spreadsheetml/2009/9/main" uri="{B025F937-C7B1-47D3-B67F-A62EFF666E3E}">
          <x14:id>{7FBB3C24-A251-4D0B-8F63-06E180000703}</x14:id>
        </ext>
      </extLst>
    </cfRule>
  </conditionalFormatting>
  <conditionalFormatting sqref="AB21">
    <cfRule type="iconSet" priority="110">
      <iconSet iconSet="3Arrows">
        <cfvo type="percent" val="0"/>
        <cfvo type="num" val="0.7"/>
        <cfvo type="num" val="1"/>
      </iconSet>
    </cfRule>
    <cfRule type="dataBar" priority="111">
      <dataBar>
        <cfvo type="num" val="0"/>
        <cfvo type="num" val="1"/>
        <color theme="9" tint="0.79998168889431442"/>
      </dataBar>
      <extLst>
        <ext xmlns:x14="http://schemas.microsoft.com/office/spreadsheetml/2009/9/main" uri="{B025F937-C7B1-47D3-B67F-A62EFF666E3E}">
          <x14:id>{A6250CF6-9014-49D8-862D-8C7D1181137D}</x14:id>
        </ext>
      </extLst>
    </cfRule>
  </conditionalFormatting>
  <conditionalFormatting sqref="AB23">
    <cfRule type="iconSet" priority="108">
      <iconSet iconSet="3Arrows">
        <cfvo type="percent" val="0"/>
        <cfvo type="num" val="0.7"/>
        <cfvo type="num" val="1"/>
      </iconSet>
    </cfRule>
    <cfRule type="dataBar" priority="109">
      <dataBar>
        <cfvo type="num" val="0"/>
        <cfvo type="num" val="1"/>
        <color theme="9" tint="0.79998168889431442"/>
      </dataBar>
      <extLst>
        <ext xmlns:x14="http://schemas.microsoft.com/office/spreadsheetml/2009/9/main" uri="{B025F937-C7B1-47D3-B67F-A62EFF666E3E}">
          <x14:id>{717CC5D8-F5E2-4E65-88ED-5192E989BA01}</x14:id>
        </ext>
      </extLst>
    </cfRule>
  </conditionalFormatting>
  <conditionalFormatting sqref="AB25">
    <cfRule type="iconSet" priority="130">
      <iconSet iconSet="3Arrows">
        <cfvo type="percent" val="0"/>
        <cfvo type="num" val="0.7"/>
        <cfvo type="num" val="1"/>
      </iconSet>
    </cfRule>
    <cfRule type="dataBar" priority="131">
      <dataBar>
        <cfvo type="num" val="0"/>
        <cfvo type="num" val="1"/>
        <color theme="6" tint="0.59999389629810485"/>
      </dataBar>
      <extLst>
        <ext xmlns:x14="http://schemas.microsoft.com/office/spreadsheetml/2009/9/main" uri="{B025F937-C7B1-47D3-B67F-A62EFF666E3E}">
          <x14:id>{2CE6B85F-3D01-4CA1-A1DE-1DF9D5C5B383}</x14:id>
        </ext>
      </extLst>
    </cfRule>
  </conditionalFormatting>
  <conditionalFormatting sqref="AB27">
    <cfRule type="iconSet" priority="106">
      <iconSet iconSet="3Arrows">
        <cfvo type="percent" val="0"/>
        <cfvo type="num" val="0.7"/>
        <cfvo type="num" val="1"/>
      </iconSet>
    </cfRule>
    <cfRule type="dataBar" priority="107">
      <dataBar>
        <cfvo type="num" val="0"/>
        <cfvo type="num" val="1"/>
        <color theme="9" tint="0.79998168889431442"/>
      </dataBar>
      <extLst>
        <ext xmlns:x14="http://schemas.microsoft.com/office/spreadsheetml/2009/9/main" uri="{B025F937-C7B1-47D3-B67F-A62EFF666E3E}">
          <x14:id>{3BEAE6BA-1F3F-4EE3-B848-94ABD0EF3E68}</x14:id>
        </ext>
      </extLst>
    </cfRule>
  </conditionalFormatting>
  <conditionalFormatting sqref="AB29">
    <cfRule type="iconSet" priority="104">
      <iconSet iconSet="3Arrows">
        <cfvo type="percent" val="0"/>
        <cfvo type="num" val="0.7"/>
        <cfvo type="num" val="1"/>
      </iconSet>
    </cfRule>
    <cfRule type="dataBar" priority="105">
      <dataBar>
        <cfvo type="num" val="0"/>
        <cfvo type="num" val="1"/>
        <color theme="9" tint="0.79998168889431442"/>
      </dataBar>
      <extLst>
        <ext xmlns:x14="http://schemas.microsoft.com/office/spreadsheetml/2009/9/main" uri="{B025F937-C7B1-47D3-B67F-A62EFF666E3E}">
          <x14:id>{5BFB595C-03F0-4DEC-BF52-D9787E026F24}</x14:id>
        </ext>
      </extLst>
    </cfRule>
  </conditionalFormatting>
  <conditionalFormatting sqref="AB31">
    <cfRule type="iconSet" priority="102">
      <iconSet iconSet="3Arrows">
        <cfvo type="percent" val="0"/>
        <cfvo type="num" val="0.7"/>
        <cfvo type="num" val="1"/>
      </iconSet>
    </cfRule>
    <cfRule type="dataBar" priority="103">
      <dataBar>
        <cfvo type="num" val="0"/>
        <cfvo type="num" val="1"/>
        <color theme="9" tint="0.79998168889431442"/>
      </dataBar>
      <extLst>
        <ext xmlns:x14="http://schemas.microsoft.com/office/spreadsheetml/2009/9/main" uri="{B025F937-C7B1-47D3-B67F-A62EFF666E3E}">
          <x14:id>{6A68F689-9F8D-41F6-B467-FBA377FE8DAF}</x14:id>
        </ext>
      </extLst>
    </cfRule>
  </conditionalFormatting>
  <conditionalFormatting sqref="AB33">
    <cfRule type="iconSet" priority="128">
      <iconSet iconSet="3Arrows">
        <cfvo type="percent" val="0"/>
        <cfvo type="num" val="0.7"/>
        <cfvo type="num" val="1"/>
      </iconSet>
    </cfRule>
    <cfRule type="dataBar" priority="129">
      <dataBar>
        <cfvo type="num" val="0"/>
        <cfvo type="num" val="1"/>
        <color theme="6" tint="0.59999389629810485"/>
      </dataBar>
      <extLst>
        <ext xmlns:x14="http://schemas.microsoft.com/office/spreadsheetml/2009/9/main" uri="{B025F937-C7B1-47D3-B67F-A62EFF666E3E}">
          <x14:id>{F284B1E2-75AF-400A-8B9E-58A3DCFC9BDA}</x14:id>
        </ext>
      </extLst>
    </cfRule>
  </conditionalFormatting>
  <conditionalFormatting sqref="AB35">
    <cfRule type="iconSet" priority="100">
      <iconSet iconSet="3Arrows">
        <cfvo type="percent" val="0"/>
        <cfvo type="num" val="0.7"/>
        <cfvo type="num" val="1"/>
      </iconSet>
    </cfRule>
    <cfRule type="dataBar" priority="101">
      <dataBar>
        <cfvo type="num" val="0"/>
        <cfvo type="num" val="1"/>
        <color theme="9" tint="0.79998168889431442"/>
      </dataBar>
      <extLst>
        <ext xmlns:x14="http://schemas.microsoft.com/office/spreadsheetml/2009/9/main" uri="{B025F937-C7B1-47D3-B67F-A62EFF666E3E}">
          <x14:id>{BD4F9AA0-3B66-4A4B-AC50-E34C9EA5BFBF}</x14:id>
        </ext>
      </extLst>
    </cfRule>
  </conditionalFormatting>
  <conditionalFormatting sqref="AB37">
    <cfRule type="iconSet" priority="98">
      <iconSet iconSet="3Arrows">
        <cfvo type="percent" val="0"/>
        <cfvo type="num" val="0.7"/>
        <cfvo type="num" val="1"/>
      </iconSet>
    </cfRule>
    <cfRule type="dataBar" priority="99">
      <dataBar>
        <cfvo type="num" val="0"/>
        <cfvo type="num" val="1"/>
        <color theme="9" tint="0.79998168889431442"/>
      </dataBar>
      <extLst>
        <ext xmlns:x14="http://schemas.microsoft.com/office/spreadsheetml/2009/9/main" uri="{B025F937-C7B1-47D3-B67F-A62EFF666E3E}">
          <x14:id>{8BBB3744-F385-42C6-8F35-95E6F48A332C}</x14:id>
        </ext>
      </extLst>
    </cfRule>
  </conditionalFormatting>
  <conditionalFormatting sqref="AB39">
    <cfRule type="iconSet" priority="126">
      <iconSet iconSet="3Arrows">
        <cfvo type="percent" val="0"/>
        <cfvo type="num" val="0.7"/>
        <cfvo type="num" val="1"/>
      </iconSet>
    </cfRule>
    <cfRule type="dataBar" priority="127">
      <dataBar>
        <cfvo type="num" val="0"/>
        <cfvo type="num" val="1"/>
        <color theme="6" tint="0.59999389629810485"/>
      </dataBar>
      <extLst>
        <ext xmlns:x14="http://schemas.microsoft.com/office/spreadsheetml/2009/9/main" uri="{B025F937-C7B1-47D3-B67F-A62EFF666E3E}">
          <x14:id>{B08199AC-FFB5-43EB-9BD0-FA52A86D1893}</x14:id>
        </ext>
      </extLst>
    </cfRule>
  </conditionalFormatting>
  <conditionalFormatting sqref="AB41">
    <cfRule type="iconSet" priority="96">
      <iconSet iconSet="3Arrows">
        <cfvo type="percent" val="0"/>
        <cfvo type="num" val="0.7"/>
        <cfvo type="num" val="1"/>
      </iconSet>
    </cfRule>
    <cfRule type="dataBar" priority="97">
      <dataBar>
        <cfvo type="num" val="0"/>
        <cfvo type="num" val="1"/>
        <color theme="9" tint="0.79998168889431442"/>
      </dataBar>
      <extLst>
        <ext xmlns:x14="http://schemas.microsoft.com/office/spreadsheetml/2009/9/main" uri="{B025F937-C7B1-47D3-B67F-A62EFF666E3E}">
          <x14:id>{7C519820-149D-4156-99B8-F38FB231DD8B}</x14:id>
        </ext>
      </extLst>
    </cfRule>
  </conditionalFormatting>
  <conditionalFormatting sqref="AB43">
    <cfRule type="iconSet" priority="94">
      <iconSet iconSet="3Arrows">
        <cfvo type="percent" val="0"/>
        <cfvo type="num" val="0.7"/>
        <cfvo type="num" val="1"/>
      </iconSet>
    </cfRule>
    <cfRule type="dataBar" priority="95">
      <dataBar>
        <cfvo type="num" val="0"/>
        <cfvo type="num" val="1"/>
        <color theme="9" tint="0.79998168889431442"/>
      </dataBar>
      <extLst>
        <ext xmlns:x14="http://schemas.microsoft.com/office/spreadsheetml/2009/9/main" uri="{B025F937-C7B1-47D3-B67F-A62EFF666E3E}">
          <x14:id>{7BC79D39-984D-41C8-A76A-7A5866C441D5}</x14:id>
        </ext>
      </extLst>
    </cfRule>
  </conditionalFormatting>
  <conditionalFormatting sqref="AB45">
    <cfRule type="iconSet" priority="92">
      <iconSet iconSet="3Arrows">
        <cfvo type="percent" val="0"/>
        <cfvo type="num" val="0.7"/>
        <cfvo type="num" val="1"/>
      </iconSet>
    </cfRule>
    <cfRule type="dataBar" priority="93">
      <dataBar>
        <cfvo type="num" val="0"/>
        <cfvo type="num" val="1"/>
        <color theme="9" tint="0.79998168889431442"/>
      </dataBar>
      <extLst>
        <ext xmlns:x14="http://schemas.microsoft.com/office/spreadsheetml/2009/9/main" uri="{B025F937-C7B1-47D3-B67F-A62EFF666E3E}">
          <x14:id>{A4DE6C6E-2AF2-46A3-A369-5640EEBB9F62}</x14:id>
        </ext>
      </extLst>
    </cfRule>
  </conditionalFormatting>
  <conditionalFormatting sqref="AB48">
    <cfRule type="iconSet" priority="57">
      <iconSet iconSet="3Arrows">
        <cfvo type="percent" val="0"/>
        <cfvo type="num" val="0.7"/>
        <cfvo type="num" val="1"/>
      </iconSet>
    </cfRule>
    <cfRule type="dataBar" priority="58">
      <dataBar>
        <cfvo type="num" val="0"/>
        <cfvo type="num" val="1"/>
        <color theme="6" tint="0.59999389629810485"/>
      </dataBar>
      <extLst>
        <ext xmlns:x14="http://schemas.microsoft.com/office/spreadsheetml/2009/9/main" uri="{B025F937-C7B1-47D3-B67F-A62EFF666E3E}">
          <x14:id>{9C1C78D2-A9DA-459D-9BF7-E91481D0A090}</x14:id>
        </ext>
      </extLst>
    </cfRule>
  </conditionalFormatting>
  <conditionalFormatting sqref="AB50">
    <cfRule type="iconSet" priority="53">
      <iconSet iconSet="3Arrows">
        <cfvo type="percent" val="0"/>
        <cfvo type="num" val="0.7"/>
        <cfvo type="num" val="1"/>
      </iconSet>
    </cfRule>
    <cfRule type="dataBar" priority="54">
      <dataBar>
        <cfvo type="num" val="0"/>
        <cfvo type="num" val="1"/>
        <color theme="9" tint="0.79998168889431442"/>
      </dataBar>
      <extLst>
        <ext xmlns:x14="http://schemas.microsoft.com/office/spreadsheetml/2009/9/main" uri="{B025F937-C7B1-47D3-B67F-A62EFF666E3E}">
          <x14:id>{DB37F6D3-52C9-4740-9F0B-1064E2BA3C44}</x14:id>
        </ext>
      </extLst>
    </cfRule>
  </conditionalFormatting>
  <conditionalFormatting sqref="AB52">
    <cfRule type="iconSet" priority="51">
      <iconSet iconSet="3Arrows">
        <cfvo type="percent" val="0"/>
        <cfvo type="num" val="0.7"/>
        <cfvo type="num" val="1"/>
      </iconSet>
    </cfRule>
    <cfRule type="dataBar" priority="52">
      <dataBar>
        <cfvo type="num" val="0"/>
        <cfvo type="num" val="1"/>
        <color theme="9" tint="0.79998168889431442"/>
      </dataBar>
      <extLst>
        <ext xmlns:x14="http://schemas.microsoft.com/office/spreadsheetml/2009/9/main" uri="{B025F937-C7B1-47D3-B67F-A62EFF666E3E}">
          <x14:id>{9FB2266C-A577-427C-A196-31ED86E45507}</x14:id>
        </ext>
      </extLst>
    </cfRule>
  </conditionalFormatting>
  <conditionalFormatting sqref="AB54">
    <cfRule type="iconSet" priority="49">
      <iconSet iconSet="3Arrows">
        <cfvo type="percent" val="0"/>
        <cfvo type="num" val="0.7"/>
        <cfvo type="num" val="1"/>
      </iconSet>
    </cfRule>
    <cfRule type="dataBar" priority="50">
      <dataBar>
        <cfvo type="num" val="0"/>
        <cfvo type="num" val="1"/>
        <color theme="9" tint="0.79998168889431442"/>
      </dataBar>
      <extLst>
        <ext xmlns:x14="http://schemas.microsoft.com/office/spreadsheetml/2009/9/main" uri="{B025F937-C7B1-47D3-B67F-A62EFF666E3E}">
          <x14:id>{933980F4-7FA7-4C6F-A8B5-531DC62C8B88}</x14:id>
        </ext>
      </extLst>
    </cfRule>
  </conditionalFormatting>
  <conditionalFormatting sqref="AB56">
    <cfRule type="iconSet" priority="41">
      <iconSet iconSet="3Arrows">
        <cfvo type="percent" val="0"/>
        <cfvo type="num" val="0.7"/>
        <cfvo type="num" val="1"/>
      </iconSet>
    </cfRule>
    <cfRule type="dataBar" priority="42">
      <dataBar>
        <cfvo type="num" val="0"/>
        <cfvo type="num" val="1"/>
        <color theme="9" tint="0.79998168889431442"/>
      </dataBar>
      <extLst>
        <ext xmlns:x14="http://schemas.microsoft.com/office/spreadsheetml/2009/9/main" uri="{B025F937-C7B1-47D3-B67F-A62EFF666E3E}">
          <x14:id>{F92D83D4-4139-46C0-BBA5-28D948207A87}</x14:id>
        </ext>
      </extLst>
    </cfRule>
  </conditionalFormatting>
  <conditionalFormatting sqref="AB58 AB60 AB62">
    <cfRule type="iconSet" priority="34">
      <iconSet iconSet="3Arrows">
        <cfvo type="percent" val="0"/>
        <cfvo type="num" val="0.7"/>
        <cfvo type="num" val="1"/>
      </iconSet>
    </cfRule>
    <cfRule type="dataBar" priority="35">
      <dataBar>
        <cfvo type="num" val="0"/>
        <cfvo type="num" val="1"/>
        <color theme="9" tint="0.79998168889431442"/>
      </dataBar>
      <extLst>
        <ext xmlns:x14="http://schemas.microsoft.com/office/spreadsheetml/2009/9/main" uri="{B025F937-C7B1-47D3-B67F-A62EFF666E3E}">
          <x14:id>{407959CB-EDF2-49B8-B00D-03E54626E2BC}</x14:id>
        </ext>
      </extLst>
    </cfRule>
  </conditionalFormatting>
  <conditionalFormatting sqref="AG9">
    <cfRule type="iconSet" priority="237">
      <iconSet iconSet="3Signs">
        <cfvo type="percent" val="0"/>
        <cfvo type="num" val="0.75"/>
        <cfvo type="num" val="1"/>
      </iconSet>
    </cfRule>
  </conditionalFormatting>
  <conditionalFormatting sqref="AG11 AG13">
    <cfRule type="iconSet" priority="242">
      <iconSet iconSet="3Signs">
        <cfvo type="percent" val="0"/>
        <cfvo type="num" val="0.75"/>
        <cfvo type="num" val="1"/>
      </iconSet>
    </cfRule>
  </conditionalFormatting>
  <conditionalFormatting sqref="AG15">
    <cfRule type="iconSet" priority="232">
      <iconSet iconSet="3Signs">
        <cfvo type="percent" val="0"/>
        <cfvo type="num" val="0.75"/>
        <cfvo type="num" val="1"/>
      </iconSet>
    </cfRule>
  </conditionalFormatting>
  <conditionalFormatting sqref="AG17">
    <cfRule type="iconSet" priority="208">
      <iconSet iconSet="3Signs">
        <cfvo type="percent" val="0"/>
        <cfvo type="num" val="0.75"/>
        <cfvo type="num" val="1"/>
      </iconSet>
    </cfRule>
  </conditionalFormatting>
  <conditionalFormatting sqref="AG19 AG21">
    <cfRule type="iconSet" priority="230">
      <iconSet iconSet="3Signs">
        <cfvo type="percent" val="0"/>
        <cfvo type="num" val="0.75"/>
        <cfvo type="num" val="1"/>
      </iconSet>
    </cfRule>
  </conditionalFormatting>
  <conditionalFormatting sqref="AG23">
    <cfRule type="iconSet" priority="226">
      <iconSet iconSet="3Signs">
        <cfvo type="percent" val="0"/>
        <cfvo type="num" val="0.75"/>
        <cfvo type="num" val="1"/>
      </iconSet>
    </cfRule>
  </conditionalFormatting>
  <conditionalFormatting sqref="AG25">
    <cfRule type="iconSet" priority="206">
      <iconSet iconSet="3Signs">
        <cfvo type="percent" val="0"/>
        <cfvo type="num" val="0.75"/>
        <cfvo type="num" val="1"/>
      </iconSet>
    </cfRule>
  </conditionalFormatting>
  <conditionalFormatting sqref="AG27 AG29">
    <cfRule type="iconSet" priority="224">
      <iconSet iconSet="3Signs">
        <cfvo type="percent" val="0"/>
        <cfvo type="num" val="0.75"/>
        <cfvo type="num" val="1"/>
      </iconSet>
    </cfRule>
  </conditionalFormatting>
  <conditionalFormatting sqref="AG31">
    <cfRule type="iconSet" priority="220">
      <iconSet iconSet="3Signs">
        <cfvo type="percent" val="0"/>
        <cfvo type="num" val="0.75"/>
        <cfvo type="num" val="1"/>
      </iconSet>
    </cfRule>
  </conditionalFormatting>
  <conditionalFormatting sqref="AG33">
    <cfRule type="iconSet" priority="204">
      <iconSet iconSet="3Signs">
        <cfvo type="percent" val="0"/>
        <cfvo type="num" val="0.75"/>
        <cfvo type="num" val="1"/>
      </iconSet>
    </cfRule>
  </conditionalFormatting>
  <conditionalFormatting sqref="AG35">
    <cfRule type="iconSet" priority="243">
      <iconSet iconSet="3Signs">
        <cfvo type="percent" val="0"/>
        <cfvo type="num" val="0.75"/>
        <cfvo type="num" val="1"/>
      </iconSet>
    </cfRule>
  </conditionalFormatting>
  <conditionalFormatting sqref="AG37">
    <cfRule type="iconSet" priority="199">
      <iconSet iconSet="3Signs">
        <cfvo type="percent" val="0"/>
        <cfvo type="num" val="0.75"/>
        <cfvo type="num" val="1"/>
      </iconSet>
    </cfRule>
  </conditionalFormatting>
  <conditionalFormatting sqref="AG39">
    <cfRule type="iconSet" priority="202">
      <iconSet iconSet="3Signs">
        <cfvo type="percent" val="0"/>
        <cfvo type="num" val="0.75"/>
        <cfvo type="num" val="1"/>
      </iconSet>
    </cfRule>
  </conditionalFormatting>
  <conditionalFormatting sqref="AG41">
    <cfRule type="iconSet" priority="215">
      <iconSet iconSet="3Signs">
        <cfvo type="percent" val="0"/>
        <cfvo type="num" val="0.75"/>
        <cfvo type="num" val="1"/>
      </iconSet>
    </cfRule>
  </conditionalFormatting>
  <conditionalFormatting sqref="AG43">
    <cfRule type="iconSet" priority="211">
      <iconSet iconSet="3Signs">
        <cfvo type="percent" val="0"/>
        <cfvo type="num" val="0.75"/>
        <cfvo type="num" val="1"/>
      </iconSet>
    </cfRule>
  </conditionalFormatting>
  <conditionalFormatting sqref="AG45">
    <cfRule type="iconSet" priority="209">
      <iconSet iconSet="3Signs">
        <cfvo type="percent" val="0"/>
        <cfvo type="num" val="0.75"/>
        <cfvo type="num" val="1"/>
      </iconSet>
    </cfRule>
  </conditionalFormatting>
  <conditionalFormatting sqref="AG48">
    <cfRule type="iconSet" priority="66">
      <iconSet iconSet="3Signs">
        <cfvo type="percent" val="0"/>
        <cfvo type="num" val="0.75"/>
        <cfvo type="num" val="1"/>
      </iconSet>
    </cfRule>
  </conditionalFormatting>
  <conditionalFormatting sqref="AG50">
    <cfRule type="iconSet" priority="72">
      <iconSet iconSet="3Signs">
        <cfvo type="percent" val="0"/>
        <cfvo type="num" val="0.75"/>
        <cfvo type="num" val="1"/>
      </iconSet>
    </cfRule>
  </conditionalFormatting>
  <conditionalFormatting sqref="AG52">
    <cfRule type="iconSet" priority="69">
      <iconSet iconSet="3Signs">
        <cfvo type="percent" val="0"/>
        <cfvo type="num" val="0.75"/>
        <cfvo type="num" val="1"/>
      </iconSet>
    </cfRule>
  </conditionalFormatting>
  <conditionalFormatting sqref="AG54">
    <cfRule type="iconSet" priority="67">
      <iconSet iconSet="3Signs">
        <cfvo type="percent" val="0"/>
        <cfvo type="num" val="0.75"/>
        <cfvo type="num" val="1"/>
      </iconSet>
    </cfRule>
  </conditionalFormatting>
  <conditionalFormatting sqref="AG56">
    <cfRule type="iconSet" priority="45">
      <iconSet iconSet="3Signs">
        <cfvo type="percent" val="0"/>
        <cfvo type="num" val="0.75"/>
        <cfvo type="num" val="1"/>
      </iconSet>
    </cfRule>
  </conditionalFormatting>
  <conditionalFormatting sqref="AG58">
    <cfRule type="iconSet" priority="39">
      <iconSet iconSet="3Signs">
        <cfvo type="percent" val="0"/>
        <cfvo type="num" val="0.75"/>
        <cfvo type="num" val="1"/>
      </iconSet>
    </cfRule>
  </conditionalFormatting>
  <conditionalFormatting sqref="AG60">
    <cfRule type="iconSet" priority="20">
      <iconSet iconSet="3Signs">
        <cfvo type="percent" val="0"/>
        <cfvo type="num" val="0.75"/>
        <cfvo type="num" val="1"/>
      </iconSet>
    </cfRule>
  </conditionalFormatting>
  <conditionalFormatting sqref="AG62">
    <cfRule type="iconSet" priority="19">
      <iconSet iconSet="3Signs">
        <cfvo type="percent" val="0"/>
        <cfvo type="num" val="0.75"/>
        <cfvo type="num" val="1"/>
      </iconSet>
    </cfRule>
  </conditionalFormatting>
  <conditionalFormatting sqref="AJ9">
    <cfRule type="iconSet" priority="236">
      <iconSet iconSet="3Signs">
        <cfvo type="percent" val="0"/>
        <cfvo type="num" val="0.75"/>
        <cfvo type="num" val="1"/>
      </iconSet>
    </cfRule>
  </conditionalFormatting>
  <conditionalFormatting sqref="AJ11 AJ13">
    <cfRule type="iconSet" priority="241">
      <iconSet iconSet="3Signs">
        <cfvo type="percent" val="0"/>
        <cfvo type="num" val="0.75"/>
        <cfvo type="num" val="1"/>
      </iconSet>
    </cfRule>
  </conditionalFormatting>
  <conditionalFormatting sqref="AJ15">
    <cfRule type="iconSet" priority="231">
      <iconSet iconSet="3Signs">
        <cfvo type="percent" val="0"/>
        <cfvo type="num" val="0.75"/>
        <cfvo type="num" val="1"/>
      </iconSet>
    </cfRule>
  </conditionalFormatting>
  <conditionalFormatting sqref="AJ17">
    <cfRule type="iconSet" priority="207">
      <iconSet iconSet="3Signs">
        <cfvo type="percent" val="0"/>
        <cfvo type="num" val="0.75"/>
        <cfvo type="num" val="1"/>
      </iconSet>
    </cfRule>
  </conditionalFormatting>
  <conditionalFormatting sqref="AJ19 AJ21">
    <cfRule type="iconSet" priority="229">
      <iconSet iconSet="3Signs">
        <cfvo type="percent" val="0"/>
        <cfvo type="num" val="0.75"/>
        <cfvo type="num" val="1"/>
      </iconSet>
    </cfRule>
  </conditionalFormatting>
  <conditionalFormatting sqref="AJ23">
    <cfRule type="iconSet" priority="225">
      <iconSet iconSet="3Signs">
        <cfvo type="percent" val="0"/>
        <cfvo type="num" val="0.75"/>
        <cfvo type="num" val="1"/>
      </iconSet>
    </cfRule>
  </conditionalFormatting>
  <conditionalFormatting sqref="AJ25">
    <cfRule type="iconSet" priority="205">
      <iconSet iconSet="3Signs">
        <cfvo type="percent" val="0"/>
        <cfvo type="num" val="0.75"/>
        <cfvo type="num" val="1"/>
      </iconSet>
    </cfRule>
  </conditionalFormatting>
  <conditionalFormatting sqref="AJ27 AJ29">
    <cfRule type="iconSet" priority="223">
      <iconSet iconSet="3Signs">
        <cfvo type="percent" val="0"/>
        <cfvo type="num" val="0.75"/>
        <cfvo type="num" val="1"/>
      </iconSet>
    </cfRule>
  </conditionalFormatting>
  <conditionalFormatting sqref="AJ31">
    <cfRule type="iconSet" priority="219">
      <iconSet iconSet="3Signs">
        <cfvo type="percent" val="0"/>
        <cfvo type="num" val="0.75"/>
        <cfvo type="num" val="1"/>
      </iconSet>
    </cfRule>
  </conditionalFormatting>
  <conditionalFormatting sqref="AJ33">
    <cfRule type="iconSet" priority="203">
      <iconSet iconSet="3Signs">
        <cfvo type="percent" val="0"/>
        <cfvo type="num" val="0.75"/>
        <cfvo type="num" val="1"/>
      </iconSet>
    </cfRule>
  </conditionalFormatting>
  <conditionalFormatting sqref="AJ35">
    <cfRule type="iconSet" priority="244">
      <iconSet iconSet="3Signs">
        <cfvo type="percent" val="0"/>
        <cfvo type="num" val="0.75"/>
        <cfvo type="num" val="1"/>
      </iconSet>
    </cfRule>
  </conditionalFormatting>
  <conditionalFormatting sqref="AJ37">
    <cfRule type="iconSet" priority="200">
      <iconSet iconSet="3Signs">
        <cfvo type="percent" val="0"/>
        <cfvo type="num" val="0.75"/>
        <cfvo type="num" val="1"/>
      </iconSet>
    </cfRule>
  </conditionalFormatting>
  <conditionalFormatting sqref="AJ39">
    <cfRule type="iconSet" priority="201">
      <iconSet iconSet="3Signs">
        <cfvo type="percent" val="0"/>
        <cfvo type="num" val="0.75"/>
        <cfvo type="num" val="1"/>
      </iconSet>
    </cfRule>
  </conditionalFormatting>
  <conditionalFormatting sqref="AJ41">
    <cfRule type="iconSet" priority="216">
      <iconSet iconSet="3Signs">
        <cfvo type="percent" val="0"/>
        <cfvo type="num" val="0.75"/>
        <cfvo type="num" val="1"/>
      </iconSet>
    </cfRule>
  </conditionalFormatting>
  <conditionalFormatting sqref="AJ43">
    <cfRule type="iconSet" priority="212">
      <iconSet iconSet="3Signs">
        <cfvo type="percent" val="0"/>
        <cfvo type="num" val="0.75"/>
        <cfvo type="num" val="1"/>
      </iconSet>
    </cfRule>
  </conditionalFormatting>
  <conditionalFormatting sqref="AJ45">
    <cfRule type="iconSet" priority="210">
      <iconSet iconSet="3Signs">
        <cfvo type="percent" val="0"/>
        <cfvo type="num" val="0.75"/>
        <cfvo type="num" val="1"/>
      </iconSet>
    </cfRule>
  </conditionalFormatting>
  <conditionalFormatting sqref="AJ48">
    <cfRule type="iconSet" priority="65">
      <iconSet iconSet="3Signs">
        <cfvo type="percent" val="0"/>
        <cfvo type="num" val="0.75"/>
        <cfvo type="num" val="1"/>
      </iconSet>
    </cfRule>
  </conditionalFormatting>
  <conditionalFormatting sqref="AJ50">
    <cfRule type="iconSet" priority="73">
      <iconSet iconSet="3Signs">
        <cfvo type="percent" val="0"/>
        <cfvo type="num" val="0.75"/>
        <cfvo type="num" val="1"/>
      </iconSet>
    </cfRule>
  </conditionalFormatting>
  <conditionalFormatting sqref="AJ52">
    <cfRule type="iconSet" priority="70">
      <iconSet iconSet="3Signs">
        <cfvo type="percent" val="0"/>
        <cfvo type="num" val="0.75"/>
        <cfvo type="num" val="1"/>
      </iconSet>
    </cfRule>
  </conditionalFormatting>
  <conditionalFormatting sqref="AJ54">
    <cfRule type="iconSet" priority="68">
      <iconSet iconSet="3Signs">
        <cfvo type="percent" val="0"/>
        <cfvo type="num" val="0.75"/>
        <cfvo type="num" val="1"/>
      </iconSet>
    </cfRule>
  </conditionalFormatting>
  <conditionalFormatting sqref="AJ56">
    <cfRule type="iconSet" priority="46">
      <iconSet iconSet="3Signs">
        <cfvo type="percent" val="0"/>
        <cfvo type="num" val="0.75"/>
        <cfvo type="num" val="1"/>
      </iconSet>
    </cfRule>
  </conditionalFormatting>
  <conditionalFormatting sqref="AJ58 AJ60 AJ62">
    <cfRule type="iconSet" priority="40">
      <iconSet iconSet="3Signs">
        <cfvo type="percent" val="0"/>
        <cfvo type="num" val="0.75"/>
        <cfvo type="num" val="1"/>
      </iconSet>
    </cfRule>
  </conditionalFormatting>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B9438BBB-2009-481A-B9B8-ACC4528337E2}">
            <x14:dataBar minLength="0" maxLength="100" border="1" gradient="0">
              <x14:cfvo type="num">
                <xm:f>0</xm:f>
              </x14:cfvo>
              <x14:cfvo type="num">
                <xm:f>1</xm:f>
              </x14:cfvo>
              <x14:borderColor theme="0"/>
              <x14:negativeFillColor rgb="FFFF0000"/>
              <x14:axisColor rgb="FF000000"/>
            </x14:dataBar>
          </x14:cfRule>
          <xm:sqref>AR39:AS39</xm:sqref>
        </x14:conditionalFormatting>
        <x14:conditionalFormatting xmlns:xm="http://schemas.microsoft.com/office/excel/2006/main">
          <x14:cfRule type="dataBar" id="{5D4EEBBA-322B-4C6A-8E67-891BC459BEDD}">
            <x14:dataBar minLength="0" maxLength="100" border="1" gradient="0">
              <x14:cfvo type="num">
                <xm:f>0</xm:f>
              </x14:cfvo>
              <x14:cfvo type="num">
                <xm:f>1</xm:f>
              </x14:cfvo>
              <x14:borderColor theme="0"/>
              <x14:negativeFillColor rgb="FFFF0000"/>
              <x14:axisColor rgb="FF000000"/>
            </x14:dataBar>
          </x14:cfRule>
          <xm:sqref>AR41:AS41 AR43:AS43 AR45:AS45</xm:sqref>
        </x14:conditionalFormatting>
        <x14:conditionalFormatting xmlns:xm="http://schemas.microsoft.com/office/excel/2006/main">
          <x14:cfRule type="dataBar" id="{0DA1A0A4-3568-48D7-9988-B90B0E6616B4}">
            <x14:dataBar minLength="0" maxLength="100" border="1" gradient="0">
              <x14:cfvo type="num">
                <xm:f>0</xm:f>
              </x14:cfvo>
              <x14:cfvo type="num">
                <xm:f>1</xm:f>
              </x14:cfvo>
              <x14:borderColor theme="0"/>
              <x14:negativeFillColor rgb="FFFF0000"/>
              <x14:axisColor rgb="FF000000"/>
            </x14:dataBar>
          </x14:cfRule>
          <xm:sqref>G7</xm:sqref>
        </x14:conditionalFormatting>
        <x14:conditionalFormatting xmlns:xm="http://schemas.microsoft.com/office/excel/2006/main">
          <x14:cfRule type="dataBar" id="{1F1CA8E2-5ECC-49A1-9568-DC8F01434094}">
            <x14:dataBar minLength="0" maxLength="100" border="1" gradient="0">
              <x14:cfvo type="num">
                <xm:f>0</xm:f>
              </x14:cfvo>
              <x14:cfvo type="num">
                <xm:f>1</xm:f>
              </x14:cfvo>
              <x14:borderColor theme="0"/>
              <x14:negativeFillColor rgb="FFFF0000"/>
              <x14:axisColor rgb="FF000000"/>
            </x14:dataBar>
          </x14:cfRule>
          <xm:sqref>G9</xm:sqref>
        </x14:conditionalFormatting>
        <x14:conditionalFormatting xmlns:xm="http://schemas.microsoft.com/office/excel/2006/main">
          <x14:cfRule type="dataBar" id="{85F1C33D-8CAA-4E55-ABB5-93DC014472C7}">
            <x14:dataBar minLength="0" maxLength="100" border="1" gradient="0">
              <x14:cfvo type="num">
                <xm:f>0</xm:f>
              </x14:cfvo>
              <x14:cfvo type="num">
                <xm:f>1</xm:f>
              </x14:cfvo>
              <x14:borderColor theme="0"/>
              <x14:negativeFillColor rgb="FFFF0000"/>
              <x14:axisColor rgb="FF000000"/>
            </x14:dataBar>
          </x14:cfRule>
          <xm:sqref>G11 G13</xm:sqref>
        </x14:conditionalFormatting>
        <x14:conditionalFormatting xmlns:xm="http://schemas.microsoft.com/office/excel/2006/main">
          <x14:cfRule type="dataBar" id="{678A8D2E-EE61-4F6E-8D31-CD8FCC9D5CF5}">
            <x14:dataBar minLength="0" maxLength="100" border="1" gradient="0">
              <x14:cfvo type="num">
                <xm:f>0</xm:f>
              </x14:cfvo>
              <x14:cfvo type="num">
                <xm:f>1</xm:f>
              </x14:cfvo>
              <x14:borderColor theme="0"/>
              <x14:negativeFillColor rgb="FFFF0000"/>
              <x14:axisColor rgb="FF000000"/>
            </x14:dataBar>
          </x14:cfRule>
          <xm:sqref>G15</xm:sqref>
        </x14:conditionalFormatting>
        <x14:conditionalFormatting xmlns:xm="http://schemas.microsoft.com/office/excel/2006/main">
          <x14:cfRule type="dataBar" id="{46A832D3-5AB9-427E-A8FD-8FF3A3C7757B}">
            <x14:dataBar minLength="0" maxLength="100" border="1" gradient="0">
              <x14:cfvo type="num">
                <xm:f>0</xm:f>
              </x14:cfvo>
              <x14:cfvo type="num">
                <xm:f>1</xm:f>
              </x14:cfvo>
              <x14:borderColor theme="0"/>
              <x14:negativeFillColor rgb="FFFF0000"/>
              <x14:axisColor rgb="FF000000"/>
            </x14:dataBar>
          </x14:cfRule>
          <xm:sqref>G17</xm:sqref>
        </x14:conditionalFormatting>
        <x14:conditionalFormatting xmlns:xm="http://schemas.microsoft.com/office/excel/2006/main">
          <x14:cfRule type="dataBar" id="{E0A84F5B-194C-4CE5-A42B-D2F7A9E7A1A2}">
            <x14:dataBar minLength="0" maxLength="100" border="1" gradient="0">
              <x14:cfvo type="num">
                <xm:f>0</xm:f>
              </x14:cfvo>
              <x14:cfvo type="num">
                <xm:f>1</xm:f>
              </x14:cfvo>
              <x14:borderColor theme="0"/>
              <x14:negativeFillColor rgb="FFFF0000"/>
              <x14:axisColor rgb="FF000000"/>
            </x14:dataBar>
          </x14:cfRule>
          <xm:sqref>G21 G19</xm:sqref>
        </x14:conditionalFormatting>
        <x14:conditionalFormatting xmlns:xm="http://schemas.microsoft.com/office/excel/2006/main">
          <x14:cfRule type="dataBar" id="{0AD41210-1311-49C8-A97C-E279F55232E2}">
            <x14:dataBar minLength="0" maxLength="100" border="1" gradient="0">
              <x14:cfvo type="num">
                <xm:f>0</xm:f>
              </x14:cfvo>
              <x14:cfvo type="num">
                <xm:f>1</xm:f>
              </x14:cfvo>
              <x14:borderColor theme="0"/>
              <x14:negativeFillColor rgb="FFFF0000"/>
              <x14:axisColor rgb="FF000000"/>
            </x14:dataBar>
          </x14:cfRule>
          <xm:sqref>G23</xm:sqref>
        </x14:conditionalFormatting>
        <x14:conditionalFormatting xmlns:xm="http://schemas.microsoft.com/office/excel/2006/main">
          <x14:cfRule type="dataBar" id="{0C7FB050-AB40-41C4-820C-5826246E6E8E}">
            <x14:dataBar minLength="0" maxLength="100" border="1" gradient="0">
              <x14:cfvo type="num">
                <xm:f>0</xm:f>
              </x14:cfvo>
              <x14:cfvo type="num">
                <xm:f>1</xm:f>
              </x14:cfvo>
              <x14:borderColor theme="0"/>
              <x14:negativeFillColor rgb="FFFF0000"/>
              <x14:axisColor rgb="FF000000"/>
            </x14:dataBar>
          </x14:cfRule>
          <xm:sqref>G25</xm:sqref>
        </x14:conditionalFormatting>
        <x14:conditionalFormatting xmlns:xm="http://schemas.microsoft.com/office/excel/2006/main">
          <x14:cfRule type="dataBar" id="{C317ECE2-C94B-42D1-B33D-0A847BA33996}">
            <x14:dataBar minLength="0" maxLength="100" border="1" gradient="0">
              <x14:cfvo type="num">
                <xm:f>0</xm:f>
              </x14:cfvo>
              <x14:cfvo type="num">
                <xm:f>1</xm:f>
              </x14:cfvo>
              <x14:borderColor theme="0"/>
              <x14:negativeFillColor rgb="FFFF0000"/>
              <x14:axisColor rgb="FF000000"/>
            </x14:dataBar>
          </x14:cfRule>
          <xm:sqref>G27 G29</xm:sqref>
        </x14:conditionalFormatting>
        <x14:conditionalFormatting xmlns:xm="http://schemas.microsoft.com/office/excel/2006/main">
          <x14:cfRule type="dataBar" id="{EDB5F5CB-7658-4A76-8EAC-81AD898122CC}">
            <x14:dataBar minLength="0" maxLength="100" border="1" gradient="0">
              <x14:cfvo type="num">
                <xm:f>0</xm:f>
              </x14:cfvo>
              <x14:cfvo type="num">
                <xm:f>1</xm:f>
              </x14:cfvo>
              <x14:borderColor theme="0"/>
              <x14:negativeFillColor rgb="FFFF0000"/>
              <x14:axisColor rgb="FF000000"/>
            </x14:dataBar>
          </x14:cfRule>
          <xm:sqref>G31</xm:sqref>
        </x14:conditionalFormatting>
        <x14:conditionalFormatting xmlns:xm="http://schemas.microsoft.com/office/excel/2006/main">
          <x14:cfRule type="dataBar" id="{F091F619-49CE-46A9-BB59-928D5F6658D1}">
            <x14:dataBar minLength="0" maxLength="100" border="1" gradient="0">
              <x14:cfvo type="num">
                <xm:f>0</xm:f>
              </x14:cfvo>
              <x14:cfvo type="num">
                <xm:f>1</xm:f>
              </x14:cfvo>
              <x14:borderColor theme="0"/>
              <x14:negativeFillColor rgb="FFFF0000"/>
              <x14:axisColor rgb="FF000000"/>
            </x14:dataBar>
          </x14:cfRule>
          <xm:sqref>G33</xm:sqref>
        </x14:conditionalFormatting>
        <x14:conditionalFormatting xmlns:xm="http://schemas.microsoft.com/office/excel/2006/main">
          <x14:cfRule type="dataBar" id="{305A359D-9ED4-4328-AA40-2D50C5BF4D8C}">
            <x14:dataBar minLength="0" maxLength="100" border="1" gradient="0">
              <x14:cfvo type="num">
                <xm:f>0</xm:f>
              </x14:cfvo>
              <x14:cfvo type="num">
                <xm:f>1</xm:f>
              </x14:cfvo>
              <x14:borderColor theme="0"/>
              <x14:negativeFillColor rgb="FFFF0000"/>
              <x14:axisColor rgb="FF000000"/>
            </x14:dataBar>
          </x14:cfRule>
          <xm:sqref>G35</xm:sqref>
        </x14:conditionalFormatting>
        <x14:conditionalFormatting xmlns:xm="http://schemas.microsoft.com/office/excel/2006/main">
          <x14:cfRule type="dataBar" id="{6A1B17F3-7FEA-4000-86F9-7DBF24DBA371}">
            <x14:dataBar minLength="0" maxLength="100" border="1" gradient="0">
              <x14:cfvo type="num">
                <xm:f>0</xm:f>
              </x14:cfvo>
              <x14:cfvo type="num">
                <xm:f>1</xm:f>
              </x14:cfvo>
              <x14:borderColor theme="0"/>
              <x14:negativeFillColor rgb="FFFF0000"/>
              <x14:axisColor rgb="FF000000"/>
            </x14:dataBar>
          </x14:cfRule>
          <xm:sqref>G37</xm:sqref>
        </x14:conditionalFormatting>
        <x14:conditionalFormatting xmlns:xm="http://schemas.microsoft.com/office/excel/2006/main">
          <x14:cfRule type="dataBar" id="{1F61DBF4-8435-4EFC-8358-68F3E85A71CD}">
            <x14:dataBar minLength="0" maxLength="100" border="1" gradient="0">
              <x14:cfvo type="num">
                <xm:f>0</xm:f>
              </x14:cfvo>
              <x14:cfvo type="num">
                <xm:f>1</xm:f>
              </x14:cfvo>
              <x14:borderColor theme="0"/>
              <x14:negativeFillColor rgb="FFFF0000"/>
              <x14:axisColor rgb="FF000000"/>
            </x14:dataBar>
          </x14:cfRule>
          <xm:sqref>G39</xm:sqref>
        </x14:conditionalFormatting>
        <x14:conditionalFormatting xmlns:xm="http://schemas.microsoft.com/office/excel/2006/main">
          <x14:cfRule type="dataBar" id="{F9083102-1D3C-49A5-B1FF-DAD0A4AE34C9}">
            <x14:dataBar minLength="0" maxLength="100" border="1" gradient="0">
              <x14:cfvo type="num">
                <xm:f>0</xm:f>
              </x14:cfvo>
              <x14:cfvo type="num">
                <xm:f>1</xm:f>
              </x14:cfvo>
              <x14:borderColor theme="0"/>
              <x14:negativeFillColor rgb="FFFF0000"/>
              <x14:axisColor rgb="FF000000"/>
            </x14:dataBar>
          </x14:cfRule>
          <xm:sqref>G41</xm:sqref>
        </x14:conditionalFormatting>
        <x14:conditionalFormatting xmlns:xm="http://schemas.microsoft.com/office/excel/2006/main">
          <x14:cfRule type="dataBar" id="{F8AA7968-1333-417C-84E9-934B3285756F}">
            <x14:dataBar minLength="0" maxLength="100" border="1" gradient="0">
              <x14:cfvo type="num">
                <xm:f>0</xm:f>
              </x14:cfvo>
              <x14:cfvo type="num">
                <xm:f>1</xm:f>
              </x14:cfvo>
              <x14:borderColor theme="0"/>
              <x14:negativeFillColor rgb="FFFF0000"/>
              <x14:axisColor rgb="FF000000"/>
            </x14:dataBar>
          </x14:cfRule>
          <xm:sqref>G43</xm:sqref>
        </x14:conditionalFormatting>
        <x14:conditionalFormatting xmlns:xm="http://schemas.microsoft.com/office/excel/2006/main">
          <x14:cfRule type="dataBar" id="{87385FF5-5E81-47FE-871D-FA8493A7066F}">
            <x14:dataBar minLength="0" maxLength="100" border="1" gradient="0">
              <x14:cfvo type="num">
                <xm:f>0</xm:f>
              </x14:cfvo>
              <x14:cfvo type="num">
                <xm:f>1</xm:f>
              </x14:cfvo>
              <x14:borderColor theme="0"/>
              <x14:negativeFillColor rgb="FFFF0000"/>
              <x14:axisColor rgb="FF000000"/>
            </x14:dataBar>
          </x14:cfRule>
          <xm:sqref>G45</xm:sqref>
        </x14:conditionalFormatting>
        <x14:conditionalFormatting xmlns:xm="http://schemas.microsoft.com/office/excel/2006/main">
          <x14:cfRule type="dataBar" id="{900147C9-DE3D-4FBB-B522-526D66759E91}">
            <x14:dataBar minLength="0" maxLength="100" border="1" gradient="0">
              <x14:cfvo type="num">
                <xm:f>0</xm:f>
              </x14:cfvo>
              <x14:cfvo type="num">
                <xm:f>1</xm:f>
              </x14:cfvo>
              <x14:borderColor theme="0"/>
              <x14:negativeFillColor rgb="FFFF0000"/>
              <x14:axisColor rgb="FF000000"/>
            </x14:dataBar>
          </x14:cfRule>
          <xm:sqref>G48</xm:sqref>
        </x14:conditionalFormatting>
        <x14:conditionalFormatting xmlns:xm="http://schemas.microsoft.com/office/excel/2006/main">
          <x14:cfRule type="dataBar" id="{998B714B-D34D-47EE-A86E-FF1FF443EC7B}">
            <x14:dataBar minLength="0" maxLength="100" border="1" gradient="0">
              <x14:cfvo type="num">
                <xm:f>0</xm:f>
              </x14:cfvo>
              <x14:cfvo type="num">
                <xm:f>1</xm:f>
              </x14:cfvo>
              <x14:borderColor theme="0"/>
              <x14:negativeFillColor rgb="FFFF0000"/>
              <x14:axisColor rgb="FF000000"/>
            </x14:dataBar>
          </x14:cfRule>
          <xm:sqref>G50</xm:sqref>
        </x14:conditionalFormatting>
        <x14:conditionalFormatting xmlns:xm="http://schemas.microsoft.com/office/excel/2006/main">
          <x14:cfRule type="dataBar" id="{8F123834-1B9E-4380-BA00-E49AE6CC579D}">
            <x14:dataBar minLength="0" maxLength="100" border="1" gradient="0">
              <x14:cfvo type="num">
                <xm:f>0</xm:f>
              </x14:cfvo>
              <x14:cfvo type="num">
                <xm:f>1</xm:f>
              </x14:cfvo>
              <x14:borderColor theme="0"/>
              <x14:negativeFillColor rgb="FFFF0000"/>
              <x14:axisColor rgb="FF000000"/>
            </x14:dataBar>
          </x14:cfRule>
          <xm:sqref>G52 G54 G56 G58 G60 G62</xm:sqref>
        </x14:conditionalFormatting>
        <x14:conditionalFormatting xmlns:xm="http://schemas.microsoft.com/office/excel/2006/main">
          <x14:cfRule type="dataBar" id="{8E01F4CC-2742-4311-8618-F0C2C71FFD00}">
            <x14:dataBar minLength="0" maxLength="100" border="1" gradient="0">
              <x14:cfvo type="num">
                <xm:f>0</xm:f>
              </x14:cfvo>
              <x14:cfvo type="num">
                <xm:f>1</xm:f>
              </x14:cfvo>
              <x14:borderColor theme="0"/>
              <x14:negativeFillColor rgb="FFFF0000"/>
              <x14:axisColor rgb="FF000000"/>
            </x14:dataBar>
          </x14:cfRule>
          <xm:sqref>K9</xm:sqref>
        </x14:conditionalFormatting>
        <x14:conditionalFormatting xmlns:xm="http://schemas.microsoft.com/office/excel/2006/main">
          <x14:cfRule type="dataBar" id="{5D2F7C36-11F4-4071-9F4F-9729F626DD48}">
            <x14:dataBar minLength="0" maxLength="100" border="1" gradient="0">
              <x14:cfvo type="num">
                <xm:f>0</xm:f>
              </x14:cfvo>
              <x14:cfvo type="num">
                <xm:f>1</xm:f>
              </x14:cfvo>
              <x14:borderColor theme="0"/>
              <x14:negativeFillColor rgb="FFFF0000"/>
              <x14:axisColor rgb="FF000000"/>
            </x14:dataBar>
          </x14:cfRule>
          <xm:sqref>K11 K13</xm:sqref>
        </x14:conditionalFormatting>
        <x14:conditionalFormatting xmlns:xm="http://schemas.microsoft.com/office/excel/2006/main">
          <x14:cfRule type="dataBar" id="{0E941A36-57EE-453A-A9CF-0B3C2B16B66B}">
            <x14:dataBar minLength="0" maxLength="100" border="1" gradient="0">
              <x14:cfvo type="num">
                <xm:f>0</xm:f>
              </x14:cfvo>
              <x14:cfvo type="num">
                <xm:f>1</xm:f>
              </x14:cfvo>
              <x14:borderColor theme="0"/>
              <x14:negativeFillColor rgb="FFFF0000"/>
              <x14:axisColor rgb="FF000000"/>
            </x14:dataBar>
          </x14:cfRule>
          <xm:sqref>K15</xm:sqref>
        </x14:conditionalFormatting>
        <x14:conditionalFormatting xmlns:xm="http://schemas.microsoft.com/office/excel/2006/main">
          <x14:cfRule type="dataBar" id="{3F423E5E-AABB-49E7-BA04-827C13AA6F37}">
            <x14:dataBar minLength="0" maxLength="100" border="1" gradient="0">
              <x14:cfvo type="num">
                <xm:f>0</xm:f>
              </x14:cfvo>
              <x14:cfvo type="num">
                <xm:f>1</xm:f>
              </x14:cfvo>
              <x14:borderColor theme="0"/>
              <x14:negativeFillColor rgb="FFFF0000"/>
              <x14:axisColor rgb="FF000000"/>
            </x14:dataBar>
          </x14:cfRule>
          <xm:sqref>K17</xm:sqref>
        </x14:conditionalFormatting>
        <x14:conditionalFormatting xmlns:xm="http://schemas.microsoft.com/office/excel/2006/main">
          <x14:cfRule type="dataBar" id="{0C34A443-9B29-4891-BA46-6A897685961D}">
            <x14:dataBar minLength="0" maxLength="100" border="1" gradient="0">
              <x14:cfvo type="num">
                <xm:f>0</xm:f>
              </x14:cfvo>
              <x14:cfvo type="num">
                <xm:f>1</xm:f>
              </x14:cfvo>
              <x14:borderColor theme="0"/>
              <x14:negativeFillColor rgb="FFFF0000"/>
              <x14:axisColor rgb="FF000000"/>
            </x14:dataBar>
          </x14:cfRule>
          <xm:sqref>K19 K21</xm:sqref>
        </x14:conditionalFormatting>
        <x14:conditionalFormatting xmlns:xm="http://schemas.microsoft.com/office/excel/2006/main">
          <x14:cfRule type="dataBar" id="{DF80310C-4B22-4647-BE86-125B185A88D3}">
            <x14:dataBar minLength="0" maxLength="100" border="1" gradient="0">
              <x14:cfvo type="num">
                <xm:f>0</xm:f>
              </x14:cfvo>
              <x14:cfvo type="num">
                <xm:f>1</xm:f>
              </x14:cfvo>
              <x14:borderColor theme="0"/>
              <x14:negativeFillColor rgb="FFFF0000"/>
              <x14:axisColor rgb="FF000000"/>
            </x14:dataBar>
          </x14:cfRule>
          <xm:sqref>K23</xm:sqref>
        </x14:conditionalFormatting>
        <x14:conditionalFormatting xmlns:xm="http://schemas.microsoft.com/office/excel/2006/main">
          <x14:cfRule type="dataBar" id="{6941ED82-0966-4AC3-A284-E7653A1D3067}">
            <x14:dataBar minLength="0" maxLength="100" border="1" gradient="0">
              <x14:cfvo type="num">
                <xm:f>0</xm:f>
              </x14:cfvo>
              <x14:cfvo type="num">
                <xm:f>1</xm:f>
              </x14:cfvo>
              <x14:borderColor theme="0"/>
              <x14:negativeFillColor rgb="FFFF0000"/>
              <x14:axisColor rgb="FF000000"/>
            </x14:dataBar>
          </x14:cfRule>
          <xm:sqref>K25</xm:sqref>
        </x14:conditionalFormatting>
        <x14:conditionalFormatting xmlns:xm="http://schemas.microsoft.com/office/excel/2006/main">
          <x14:cfRule type="dataBar" id="{13F5A9C0-7C77-4B10-A93E-7C46A6C07250}">
            <x14:dataBar minLength="0" maxLength="100" border="1" gradient="0">
              <x14:cfvo type="num">
                <xm:f>0</xm:f>
              </x14:cfvo>
              <x14:cfvo type="num">
                <xm:f>1</xm:f>
              </x14:cfvo>
              <x14:borderColor theme="0"/>
              <x14:negativeFillColor rgb="FFFF0000"/>
              <x14:axisColor rgb="FF000000"/>
            </x14:dataBar>
          </x14:cfRule>
          <xm:sqref>K27 K29</xm:sqref>
        </x14:conditionalFormatting>
        <x14:conditionalFormatting xmlns:xm="http://schemas.microsoft.com/office/excel/2006/main">
          <x14:cfRule type="dataBar" id="{604E4C74-12EA-47EE-AA41-AD9BAACEC248}">
            <x14:dataBar minLength="0" maxLength="100" border="1" gradient="0">
              <x14:cfvo type="num">
                <xm:f>0</xm:f>
              </x14:cfvo>
              <x14:cfvo type="num">
                <xm:f>1</xm:f>
              </x14:cfvo>
              <x14:borderColor theme="0"/>
              <x14:negativeFillColor rgb="FFFF0000"/>
              <x14:axisColor rgb="FF000000"/>
            </x14:dataBar>
          </x14:cfRule>
          <xm:sqref>K31</xm:sqref>
        </x14:conditionalFormatting>
        <x14:conditionalFormatting xmlns:xm="http://schemas.microsoft.com/office/excel/2006/main">
          <x14:cfRule type="dataBar" id="{D3ED685B-F54D-40CF-B155-19E931EB318C}">
            <x14:dataBar minLength="0" maxLength="100" border="1" gradient="0">
              <x14:cfvo type="num">
                <xm:f>0</xm:f>
              </x14:cfvo>
              <x14:cfvo type="num">
                <xm:f>1</xm:f>
              </x14:cfvo>
              <x14:borderColor theme="0"/>
              <x14:negativeFillColor rgb="FFFF0000"/>
              <x14:axisColor rgb="FF000000"/>
            </x14:dataBar>
          </x14:cfRule>
          <xm:sqref>K33</xm:sqref>
        </x14:conditionalFormatting>
        <x14:conditionalFormatting xmlns:xm="http://schemas.microsoft.com/office/excel/2006/main">
          <x14:cfRule type="dataBar" id="{0C410706-E8BF-430E-936F-B5F3D319F70B}">
            <x14:dataBar minLength="0" maxLength="100" border="1" gradient="0">
              <x14:cfvo type="num">
                <xm:f>0</xm:f>
              </x14:cfvo>
              <x14:cfvo type="num">
                <xm:f>1</xm:f>
              </x14:cfvo>
              <x14:borderColor theme="0"/>
              <x14:negativeFillColor rgb="FFFF0000"/>
              <x14:axisColor rgb="FF000000"/>
            </x14:dataBar>
          </x14:cfRule>
          <xm:sqref>K35 K37</xm:sqref>
        </x14:conditionalFormatting>
        <x14:conditionalFormatting xmlns:xm="http://schemas.microsoft.com/office/excel/2006/main">
          <x14:cfRule type="dataBar" id="{E970F020-166F-41E8-ABE1-3064827A8277}">
            <x14:dataBar minLength="0" maxLength="100" border="1" gradient="0">
              <x14:cfvo type="num">
                <xm:f>0</xm:f>
              </x14:cfvo>
              <x14:cfvo type="num">
                <xm:f>1</xm:f>
              </x14:cfvo>
              <x14:borderColor theme="0"/>
              <x14:negativeFillColor rgb="FFFF0000"/>
              <x14:axisColor rgb="FF000000"/>
            </x14:dataBar>
          </x14:cfRule>
          <xm:sqref>K39</xm:sqref>
        </x14:conditionalFormatting>
        <x14:conditionalFormatting xmlns:xm="http://schemas.microsoft.com/office/excel/2006/main">
          <x14:cfRule type="dataBar" id="{97719142-7BCE-465D-A126-9A81BEB6A6BF}">
            <x14:dataBar minLength="0" maxLength="100" border="1" gradient="0">
              <x14:cfvo type="num">
                <xm:f>0</xm:f>
              </x14:cfvo>
              <x14:cfvo type="num">
                <xm:f>1</xm:f>
              </x14:cfvo>
              <x14:borderColor theme="0"/>
              <x14:negativeFillColor rgb="FFFF0000"/>
              <x14:axisColor rgb="FF000000"/>
            </x14:dataBar>
          </x14:cfRule>
          <xm:sqref>K45 K41 K43</xm:sqref>
        </x14:conditionalFormatting>
        <x14:conditionalFormatting xmlns:xm="http://schemas.microsoft.com/office/excel/2006/main">
          <x14:cfRule type="dataBar" id="{979D8481-CAA4-4E23-834D-7EC3257D8E5A}">
            <x14:dataBar minLength="0" maxLength="100" border="1" gradient="0">
              <x14:cfvo type="num">
                <xm:f>0</xm:f>
              </x14:cfvo>
              <x14:cfvo type="num">
                <xm:f>1</xm:f>
              </x14:cfvo>
              <x14:borderColor theme="0"/>
              <x14:negativeFillColor rgb="FFFF0000"/>
              <x14:axisColor rgb="FF000000"/>
            </x14:dataBar>
          </x14:cfRule>
          <xm:sqref>K48</xm:sqref>
        </x14:conditionalFormatting>
        <x14:conditionalFormatting xmlns:xm="http://schemas.microsoft.com/office/excel/2006/main">
          <x14:cfRule type="dataBar" id="{F524886E-2C33-4409-8D0B-023AB9FBFCFE}">
            <x14:dataBar minLength="0" maxLength="100" border="1" gradient="0">
              <x14:cfvo type="num">
                <xm:f>0</xm:f>
              </x14:cfvo>
              <x14:cfvo type="num">
                <xm:f>1</xm:f>
              </x14:cfvo>
              <x14:borderColor theme="0"/>
              <x14:negativeFillColor rgb="FFFF0000"/>
              <x14:axisColor rgb="FF000000"/>
            </x14:dataBar>
          </x14:cfRule>
          <xm:sqref>K50 K52 K54 K56 K58 K60 K62</xm:sqref>
        </x14:conditionalFormatting>
        <x14:conditionalFormatting xmlns:xm="http://schemas.microsoft.com/office/excel/2006/main">
          <x14:cfRule type="dataBar" id="{31DCD5D6-7362-4124-A964-7D1A70C11776}">
            <x14:dataBar minLength="0" maxLength="100" border="1" gradient="0">
              <x14:cfvo type="num">
                <xm:f>0</xm:f>
              </x14:cfvo>
              <x14:cfvo type="num">
                <xm:f>1</xm:f>
              </x14:cfvo>
              <x14:borderColor theme="0"/>
              <x14:negativeFillColor rgb="FFFF0000"/>
              <x14:axisColor rgb="FF000000"/>
            </x14:dataBar>
          </x14:cfRule>
          <xm:sqref>V7</xm:sqref>
        </x14:conditionalFormatting>
        <x14:conditionalFormatting xmlns:xm="http://schemas.microsoft.com/office/excel/2006/main">
          <x14:cfRule type="dataBar" id="{8A6B88D6-0011-40C0-811C-EA9D052031F1}">
            <x14:dataBar minLength="0" maxLength="100" border="1" gradient="0">
              <x14:cfvo type="num">
                <xm:f>0</xm:f>
              </x14:cfvo>
              <x14:cfvo type="num">
                <xm:f>1</xm:f>
              </x14:cfvo>
              <x14:borderColor theme="0"/>
              <x14:negativeFillColor rgb="FFFF0000"/>
              <x14:axisColor rgb="FF000000"/>
            </x14:dataBar>
          </x14:cfRule>
          <xm:sqref>V9</xm:sqref>
        </x14:conditionalFormatting>
        <x14:conditionalFormatting xmlns:xm="http://schemas.microsoft.com/office/excel/2006/main">
          <x14:cfRule type="dataBar" id="{11D77531-6111-4599-9B2E-242EB5C48E84}">
            <x14:dataBar minLength="0" maxLength="100" border="1" gradient="0">
              <x14:cfvo type="num">
                <xm:f>0</xm:f>
              </x14:cfvo>
              <x14:cfvo type="num">
                <xm:f>1</xm:f>
              </x14:cfvo>
              <x14:borderColor theme="0"/>
              <x14:negativeFillColor rgb="FFFF0000"/>
              <x14:axisColor rgb="FF000000"/>
            </x14:dataBar>
          </x14:cfRule>
          <xm:sqref>V13 V11 V15</xm:sqref>
        </x14:conditionalFormatting>
        <x14:conditionalFormatting xmlns:xm="http://schemas.microsoft.com/office/excel/2006/main">
          <x14:cfRule type="dataBar" id="{64138277-56B1-43B1-B6B8-E034F6912B4D}">
            <x14:dataBar minLength="0" maxLength="100" border="1" gradient="0">
              <x14:cfvo type="num">
                <xm:f>0</xm:f>
              </x14:cfvo>
              <x14:cfvo type="num">
                <xm:f>1</xm:f>
              </x14:cfvo>
              <x14:borderColor theme="0"/>
              <x14:negativeFillColor rgb="FFFF0000"/>
              <x14:axisColor rgb="FF000000"/>
            </x14:dataBar>
          </x14:cfRule>
          <xm:sqref>V17</xm:sqref>
        </x14:conditionalFormatting>
        <x14:conditionalFormatting xmlns:xm="http://schemas.microsoft.com/office/excel/2006/main">
          <x14:cfRule type="dataBar" id="{943E938A-8D94-4167-BE48-16E39ECF1C09}">
            <x14:dataBar minLength="0" maxLength="100" border="1" gradient="0">
              <x14:cfvo type="num">
                <xm:f>0</xm:f>
              </x14:cfvo>
              <x14:cfvo type="num">
                <xm:f>1</xm:f>
              </x14:cfvo>
              <x14:borderColor theme="0"/>
              <x14:negativeFillColor rgb="FFFF0000"/>
              <x14:axisColor rgb="FF000000"/>
            </x14:dataBar>
          </x14:cfRule>
          <xm:sqref>V19 V21 V23</xm:sqref>
        </x14:conditionalFormatting>
        <x14:conditionalFormatting xmlns:xm="http://schemas.microsoft.com/office/excel/2006/main">
          <x14:cfRule type="dataBar" id="{13916D74-209D-4AF0-8363-6FC94B888A2E}">
            <x14:dataBar minLength="0" maxLength="100" border="1" gradient="0">
              <x14:cfvo type="num">
                <xm:f>0</xm:f>
              </x14:cfvo>
              <x14:cfvo type="num">
                <xm:f>1</xm:f>
              </x14:cfvo>
              <x14:borderColor theme="0"/>
              <x14:negativeFillColor rgb="FFFF0000"/>
              <x14:axisColor rgb="FF000000"/>
            </x14:dataBar>
          </x14:cfRule>
          <xm:sqref>V25</xm:sqref>
        </x14:conditionalFormatting>
        <x14:conditionalFormatting xmlns:xm="http://schemas.microsoft.com/office/excel/2006/main">
          <x14:cfRule type="dataBar" id="{E442FD21-065C-458D-8988-AD24C8469247}">
            <x14:dataBar minLength="0" maxLength="100" border="1" gradient="0">
              <x14:cfvo type="num">
                <xm:f>0</xm:f>
              </x14:cfvo>
              <x14:cfvo type="num">
                <xm:f>1</xm:f>
              </x14:cfvo>
              <x14:borderColor theme="0"/>
              <x14:negativeFillColor rgb="FFFF0000"/>
              <x14:axisColor rgb="FF000000"/>
            </x14:dataBar>
          </x14:cfRule>
          <xm:sqref>V27 V29 V31</xm:sqref>
        </x14:conditionalFormatting>
        <x14:conditionalFormatting xmlns:xm="http://schemas.microsoft.com/office/excel/2006/main">
          <x14:cfRule type="dataBar" id="{1879AF7D-C163-4B3C-9427-F51403CFC547}">
            <x14:dataBar minLength="0" maxLength="100" border="1" gradient="0">
              <x14:cfvo type="num">
                <xm:f>0</xm:f>
              </x14:cfvo>
              <x14:cfvo type="num">
                <xm:f>1</xm:f>
              </x14:cfvo>
              <x14:borderColor theme="0"/>
              <x14:negativeFillColor rgb="FFFF0000"/>
              <x14:axisColor rgb="FF000000"/>
            </x14:dataBar>
          </x14:cfRule>
          <xm:sqref>V33</xm:sqref>
        </x14:conditionalFormatting>
        <x14:conditionalFormatting xmlns:xm="http://schemas.microsoft.com/office/excel/2006/main">
          <x14:cfRule type="dataBar" id="{733DA819-2FA3-4A95-A122-25A1B152E149}">
            <x14:dataBar minLength="0" maxLength="100" border="1" gradient="0">
              <x14:cfvo type="num">
                <xm:f>0</xm:f>
              </x14:cfvo>
              <x14:cfvo type="num">
                <xm:f>1</xm:f>
              </x14:cfvo>
              <x14:borderColor theme="0"/>
              <x14:negativeFillColor rgb="FFFF0000"/>
              <x14:axisColor rgb="FF000000"/>
            </x14:dataBar>
          </x14:cfRule>
          <xm:sqref>V35 V37</xm:sqref>
        </x14:conditionalFormatting>
        <x14:conditionalFormatting xmlns:xm="http://schemas.microsoft.com/office/excel/2006/main">
          <x14:cfRule type="dataBar" id="{68329C60-E58C-421F-AE0C-C497328DE39A}">
            <x14:dataBar minLength="0" maxLength="100" border="1" gradient="0">
              <x14:cfvo type="num">
                <xm:f>0</xm:f>
              </x14:cfvo>
              <x14:cfvo type="num">
                <xm:f>1</xm:f>
              </x14:cfvo>
              <x14:borderColor theme="0"/>
              <x14:negativeFillColor rgb="FFFF0000"/>
              <x14:axisColor rgb="FF000000"/>
            </x14:dataBar>
          </x14:cfRule>
          <xm:sqref>V39</xm:sqref>
        </x14:conditionalFormatting>
        <x14:conditionalFormatting xmlns:xm="http://schemas.microsoft.com/office/excel/2006/main">
          <x14:cfRule type="dataBar" id="{A65F70DC-678A-482C-B3E9-0C0AF972F2A6}">
            <x14:dataBar minLength="0" maxLength="100" border="1" gradient="0">
              <x14:cfvo type="num">
                <xm:f>0</xm:f>
              </x14:cfvo>
              <x14:cfvo type="num">
                <xm:f>1</xm:f>
              </x14:cfvo>
              <x14:borderColor theme="0"/>
              <x14:negativeFillColor rgb="FFFF0000"/>
              <x14:axisColor rgb="FF000000"/>
            </x14:dataBar>
          </x14:cfRule>
          <xm:sqref>V45 V41 V43</xm:sqref>
        </x14:conditionalFormatting>
        <x14:conditionalFormatting xmlns:xm="http://schemas.microsoft.com/office/excel/2006/main">
          <x14:cfRule type="dataBar" id="{E136A7C0-501F-4A21-B949-E8696B773768}">
            <x14:dataBar minLength="0" maxLength="100" border="1" gradient="0">
              <x14:cfvo type="num">
                <xm:f>0</xm:f>
              </x14:cfvo>
              <x14:cfvo type="num">
                <xm:f>1</xm:f>
              </x14:cfvo>
              <x14:borderColor theme="0"/>
              <x14:negativeFillColor rgb="FFFF0000"/>
              <x14:axisColor rgb="FF000000"/>
            </x14:dataBar>
          </x14:cfRule>
          <xm:sqref>V48</xm:sqref>
        </x14:conditionalFormatting>
        <x14:conditionalFormatting xmlns:xm="http://schemas.microsoft.com/office/excel/2006/main">
          <x14:cfRule type="dataBar" id="{10998B1C-0E51-46E5-82DC-B5C70ED2A492}">
            <x14:dataBar minLength="0" maxLength="100" border="1" gradient="0">
              <x14:cfvo type="num">
                <xm:f>0</xm:f>
              </x14:cfvo>
              <x14:cfvo type="num">
                <xm:f>1</xm:f>
              </x14:cfvo>
              <x14:borderColor theme="0"/>
              <x14:negativeFillColor rgb="FFFF0000"/>
              <x14:axisColor rgb="FF000000"/>
            </x14:dataBar>
          </x14:cfRule>
          <xm:sqref>V52 V50 V54</xm:sqref>
        </x14:conditionalFormatting>
        <x14:conditionalFormatting xmlns:xm="http://schemas.microsoft.com/office/excel/2006/main">
          <x14:cfRule type="dataBar" id="{F7620DE2-86FA-4FC7-AAFE-38A0801ED396}">
            <x14:dataBar minLength="0" maxLength="100" border="1" gradient="0">
              <x14:cfvo type="num">
                <xm:f>0</xm:f>
              </x14:cfvo>
              <x14:cfvo type="num">
                <xm:f>1</xm:f>
              </x14:cfvo>
              <x14:borderColor theme="0"/>
              <x14:negativeFillColor rgb="FFFF0000"/>
              <x14:axisColor rgb="FF000000"/>
            </x14:dataBar>
          </x14:cfRule>
          <xm:sqref>V56</xm:sqref>
        </x14:conditionalFormatting>
        <x14:conditionalFormatting xmlns:xm="http://schemas.microsoft.com/office/excel/2006/main">
          <x14:cfRule type="dataBar" id="{C59249EC-CD24-4AB8-AF23-8216A3796476}">
            <x14:dataBar minLength="0" maxLength="100" border="1" gradient="0">
              <x14:cfvo type="num">
                <xm:f>0</xm:f>
              </x14:cfvo>
              <x14:cfvo type="num">
                <xm:f>1</xm:f>
              </x14:cfvo>
              <x14:borderColor theme="0"/>
              <x14:negativeFillColor rgb="FFFF0000"/>
              <x14:axisColor rgb="FF000000"/>
            </x14:dataBar>
          </x14:cfRule>
          <xm:sqref>V58 V60 V62</xm:sqref>
        </x14:conditionalFormatting>
        <x14:conditionalFormatting xmlns:xm="http://schemas.microsoft.com/office/excel/2006/main">
          <x14:cfRule type="dataBar" id="{6879D40D-FFBE-40F6-9C41-D75754553125}">
            <x14:dataBar minLength="0" maxLength="100" border="1" gradient="0">
              <x14:cfvo type="num">
                <xm:f>0</xm:f>
              </x14:cfvo>
              <x14:cfvo type="num">
                <xm:f>1</xm:f>
              </x14:cfvo>
              <x14:borderColor theme="0"/>
              <x14:negativeFillColor rgb="FFFF0000"/>
              <x14:axisColor rgb="FF000000"/>
            </x14:dataBar>
          </x14:cfRule>
          <xm:sqref>AB7</xm:sqref>
        </x14:conditionalFormatting>
        <x14:conditionalFormatting xmlns:xm="http://schemas.microsoft.com/office/excel/2006/main">
          <x14:cfRule type="dataBar" id="{80BAB5C2-E68B-4A00-801B-A5582F02AF53}">
            <x14:dataBar minLength="0" maxLength="100" border="1" gradient="0">
              <x14:cfvo type="num">
                <xm:f>0</xm:f>
              </x14:cfvo>
              <x14:cfvo type="num">
                <xm:f>1</xm:f>
              </x14:cfvo>
              <x14:borderColor theme="0"/>
              <x14:negativeFillColor rgb="FFFF0000"/>
              <x14:axisColor rgb="FF000000"/>
            </x14:dataBar>
          </x14:cfRule>
          <xm:sqref>AB9</xm:sqref>
        </x14:conditionalFormatting>
        <x14:conditionalFormatting xmlns:xm="http://schemas.microsoft.com/office/excel/2006/main">
          <x14:cfRule type="dataBar" id="{15974920-0001-4589-BFDA-B627CF0FA760}">
            <x14:dataBar minLength="0" maxLength="100" border="1" gradient="0">
              <x14:cfvo type="num">
                <xm:f>0</xm:f>
              </x14:cfvo>
              <x14:cfvo type="num">
                <xm:f>1</xm:f>
              </x14:cfvo>
              <x14:borderColor theme="0"/>
              <x14:negativeFillColor rgb="FFFF0000"/>
              <x14:axisColor rgb="FF000000"/>
            </x14:dataBar>
          </x14:cfRule>
          <xm:sqref>AB11</xm:sqref>
        </x14:conditionalFormatting>
        <x14:conditionalFormatting xmlns:xm="http://schemas.microsoft.com/office/excel/2006/main">
          <x14:cfRule type="dataBar" id="{C2EED596-A409-47C1-8CEE-B0C74FF6C61A}">
            <x14:dataBar minLength="0" maxLength="100" border="1" gradient="0">
              <x14:cfvo type="num">
                <xm:f>0</xm:f>
              </x14:cfvo>
              <x14:cfvo type="num">
                <xm:f>1</xm:f>
              </x14:cfvo>
              <x14:borderColor theme="0"/>
              <x14:negativeFillColor rgb="FFFF0000"/>
              <x14:axisColor rgb="FF000000"/>
            </x14:dataBar>
          </x14:cfRule>
          <xm:sqref>AB13 AB15</xm:sqref>
        </x14:conditionalFormatting>
        <x14:conditionalFormatting xmlns:xm="http://schemas.microsoft.com/office/excel/2006/main">
          <x14:cfRule type="dataBar" id="{82DFC92C-1E21-4EAC-8F32-31F2B9BE6D86}">
            <x14:dataBar minLength="0" maxLength="100" border="1" gradient="0">
              <x14:cfvo type="num">
                <xm:f>0</xm:f>
              </x14:cfvo>
              <x14:cfvo type="num">
                <xm:f>1</xm:f>
              </x14:cfvo>
              <x14:borderColor theme="0"/>
              <x14:negativeFillColor rgb="FFFF0000"/>
              <x14:axisColor rgb="FF000000"/>
            </x14:dataBar>
          </x14:cfRule>
          <xm:sqref>AB17</xm:sqref>
        </x14:conditionalFormatting>
        <x14:conditionalFormatting xmlns:xm="http://schemas.microsoft.com/office/excel/2006/main">
          <x14:cfRule type="dataBar" id="{7FBB3C24-A251-4D0B-8F63-06E180000703}">
            <x14:dataBar minLength="0" maxLength="100" border="1" gradient="0">
              <x14:cfvo type="num">
                <xm:f>0</xm:f>
              </x14:cfvo>
              <x14:cfvo type="num">
                <xm:f>1</xm:f>
              </x14:cfvo>
              <x14:borderColor theme="0"/>
              <x14:negativeFillColor rgb="FFFF0000"/>
              <x14:axisColor rgb="FF000000"/>
            </x14:dataBar>
          </x14:cfRule>
          <xm:sqref>AB19</xm:sqref>
        </x14:conditionalFormatting>
        <x14:conditionalFormatting xmlns:xm="http://schemas.microsoft.com/office/excel/2006/main">
          <x14:cfRule type="dataBar" id="{A6250CF6-9014-49D8-862D-8C7D1181137D}">
            <x14:dataBar minLength="0" maxLength="100" border="1" gradient="0">
              <x14:cfvo type="num">
                <xm:f>0</xm:f>
              </x14:cfvo>
              <x14:cfvo type="num">
                <xm:f>1</xm:f>
              </x14:cfvo>
              <x14:borderColor theme="0"/>
              <x14:negativeFillColor rgb="FFFF0000"/>
              <x14:axisColor rgb="FF000000"/>
            </x14:dataBar>
          </x14:cfRule>
          <xm:sqref>AB21</xm:sqref>
        </x14:conditionalFormatting>
        <x14:conditionalFormatting xmlns:xm="http://schemas.microsoft.com/office/excel/2006/main">
          <x14:cfRule type="dataBar" id="{717CC5D8-F5E2-4E65-88ED-5192E989BA01}">
            <x14:dataBar minLength="0" maxLength="100" border="1" gradient="0">
              <x14:cfvo type="num">
                <xm:f>0</xm:f>
              </x14:cfvo>
              <x14:cfvo type="num">
                <xm:f>1</xm:f>
              </x14:cfvo>
              <x14:borderColor theme="0"/>
              <x14:negativeFillColor rgb="FFFF0000"/>
              <x14:axisColor rgb="FF000000"/>
            </x14:dataBar>
          </x14:cfRule>
          <xm:sqref>AB23</xm:sqref>
        </x14:conditionalFormatting>
        <x14:conditionalFormatting xmlns:xm="http://schemas.microsoft.com/office/excel/2006/main">
          <x14:cfRule type="dataBar" id="{2CE6B85F-3D01-4CA1-A1DE-1DF9D5C5B383}">
            <x14:dataBar minLength="0" maxLength="100" border="1" gradient="0">
              <x14:cfvo type="num">
                <xm:f>0</xm:f>
              </x14:cfvo>
              <x14:cfvo type="num">
                <xm:f>1</xm:f>
              </x14:cfvo>
              <x14:borderColor theme="0"/>
              <x14:negativeFillColor rgb="FFFF0000"/>
              <x14:axisColor rgb="FF000000"/>
            </x14:dataBar>
          </x14:cfRule>
          <xm:sqref>AB25</xm:sqref>
        </x14:conditionalFormatting>
        <x14:conditionalFormatting xmlns:xm="http://schemas.microsoft.com/office/excel/2006/main">
          <x14:cfRule type="dataBar" id="{3BEAE6BA-1F3F-4EE3-B848-94ABD0EF3E68}">
            <x14:dataBar minLength="0" maxLength="100" border="1" gradient="0">
              <x14:cfvo type="num">
                <xm:f>0</xm:f>
              </x14:cfvo>
              <x14:cfvo type="num">
                <xm:f>1</xm:f>
              </x14:cfvo>
              <x14:borderColor theme="0"/>
              <x14:negativeFillColor rgb="FFFF0000"/>
              <x14:axisColor rgb="FF000000"/>
            </x14:dataBar>
          </x14:cfRule>
          <xm:sqref>AB27</xm:sqref>
        </x14:conditionalFormatting>
        <x14:conditionalFormatting xmlns:xm="http://schemas.microsoft.com/office/excel/2006/main">
          <x14:cfRule type="dataBar" id="{5BFB595C-03F0-4DEC-BF52-D9787E026F24}">
            <x14:dataBar minLength="0" maxLength="100" border="1" gradient="0">
              <x14:cfvo type="num">
                <xm:f>0</xm:f>
              </x14:cfvo>
              <x14:cfvo type="num">
                <xm:f>1</xm:f>
              </x14:cfvo>
              <x14:borderColor theme="0"/>
              <x14:negativeFillColor rgb="FFFF0000"/>
              <x14:axisColor rgb="FF000000"/>
            </x14:dataBar>
          </x14:cfRule>
          <xm:sqref>AB29</xm:sqref>
        </x14:conditionalFormatting>
        <x14:conditionalFormatting xmlns:xm="http://schemas.microsoft.com/office/excel/2006/main">
          <x14:cfRule type="dataBar" id="{6A68F689-9F8D-41F6-B467-FBA377FE8DAF}">
            <x14:dataBar minLength="0" maxLength="100" border="1" gradient="0">
              <x14:cfvo type="num">
                <xm:f>0</xm:f>
              </x14:cfvo>
              <x14:cfvo type="num">
                <xm:f>1</xm:f>
              </x14:cfvo>
              <x14:borderColor theme="0"/>
              <x14:negativeFillColor rgb="FFFF0000"/>
              <x14:axisColor rgb="FF000000"/>
            </x14:dataBar>
          </x14:cfRule>
          <xm:sqref>AB31</xm:sqref>
        </x14:conditionalFormatting>
        <x14:conditionalFormatting xmlns:xm="http://schemas.microsoft.com/office/excel/2006/main">
          <x14:cfRule type="dataBar" id="{F284B1E2-75AF-400A-8B9E-58A3DCFC9BDA}">
            <x14:dataBar minLength="0" maxLength="100" border="1" gradient="0">
              <x14:cfvo type="num">
                <xm:f>0</xm:f>
              </x14:cfvo>
              <x14:cfvo type="num">
                <xm:f>1</xm:f>
              </x14:cfvo>
              <x14:borderColor theme="0"/>
              <x14:negativeFillColor rgb="FFFF0000"/>
              <x14:axisColor rgb="FF000000"/>
            </x14:dataBar>
          </x14:cfRule>
          <xm:sqref>AB33</xm:sqref>
        </x14:conditionalFormatting>
        <x14:conditionalFormatting xmlns:xm="http://schemas.microsoft.com/office/excel/2006/main">
          <x14:cfRule type="dataBar" id="{BD4F9AA0-3B66-4A4B-AC50-E34C9EA5BFBF}">
            <x14:dataBar minLength="0" maxLength="100" border="1" gradient="0">
              <x14:cfvo type="num">
                <xm:f>0</xm:f>
              </x14:cfvo>
              <x14:cfvo type="num">
                <xm:f>1</xm:f>
              </x14:cfvo>
              <x14:borderColor theme="0"/>
              <x14:negativeFillColor rgb="FFFF0000"/>
              <x14:axisColor rgb="FF000000"/>
            </x14:dataBar>
          </x14:cfRule>
          <xm:sqref>AB35</xm:sqref>
        </x14:conditionalFormatting>
        <x14:conditionalFormatting xmlns:xm="http://schemas.microsoft.com/office/excel/2006/main">
          <x14:cfRule type="dataBar" id="{8BBB3744-F385-42C6-8F35-95E6F48A332C}">
            <x14:dataBar minLength="0" maxLength="100" border="1" gradient="0">
              <x14:cfvo type="num">
                <xm:f>0</xm:f>
              </x14:cfvo>
              <x14:cfvo type="num">
                <xm:f>1</xm:f>
              </x14:cfvo>
              <x14:borderColor theme="0"/>
              <x14:negativeFillColor rgb="FFFF0000"/>
              <x14:axisColor rgb="FF000000"/>
            </x14:dataBar>
          </x14:cfRule>
          <xm:sqref>AB37</xm:sqref>
        </x14:conditionalFormatting>
        <x14:conditionalFormatting xmlns:xm="http://schemas.microsoft.com/office/excel/2006/main">
          <x14:cfRule type="dataBar" id="{B08199AC-FFB5-43EB-9BD0-FA52A86D1893}">
            <x14:dataBar minLength="0" maxLength="100" border="1" gradient="0">
              <x14:cfvo type="num">
                <xm:f>0</xm:f>
              </x14:cfvo>
              <x14:cfvo type="num">
                <xm:f>1</xm:f>
              </x14:cfvo>
              <x14:borderColor theme="0"/>
              <x14:negativeFillColor rgb="FFFF0000"/>
              <x14:axisColor rgb="FF000000"/>
            </x14:dataBar>
          </x14:cfRule>
          <xm:sqref>AB39</xm:sqref>
        </x14:conditionalFormatting>
        <x14:conditionalFormatting xmlns:xm="http://schemas.microsoft.com/office/excel/2006/main">
          <x14:cfRule type="dataBar" id="{7C519820-149D-4156-99B8-F38FB231DD8B}">
            <x14:dataBar minLength="0" maxLength="100" border="1" gradient="0">
              <x14:cfvo type="num">
                <xm:f>0</xm:f>
              </x14:cfvo>
              <x14:cfvo type="num">
                <xm:f>1</xm:f>
              </x14:cfvo>
              <x14:borderColor theme="0"/>
              <x14:negativeFillColor rgb="FFFF0000"/>
              <x14:axisColor rgb="FF000000"/>
            </x14:dataBar>
          </x14:cfRule>
          <xm:sqref>AB41</xm:sqref>
        </x14:conditionalFormatting>
        <x14:conditionalFormatting xmlns:xm="http://schemas.microsoft.com/office/excel/2006/main">
          <x14:cfRule type="dataBar" id="{7BC79D39-984D-41C8-A76A-7A5866C441D5}">
            <x14:dataBar minLength="0" maxLength="100" border="1" gradient="0">
              <x14:cfvo type="num">
                <xm:f>0</xm:f>
              </x14:cfvo>
              <x14:cfvo type="num">
                <xm:f>1</xm:f>
              </x14:cfvo>
              <x14:borderColor theme="0"/>
              <x14:negativeFillColor rgb="FFFF0000"/>
              <x14:axisColor rgb="FF000000"/>
            </x14:dataBar>
          </x14:cfRule>
          <xm:sqref>AB43</xm:sqref>
        </x14:conditionalFormatting>
        <x14:conditionalFormatting xmlns:xm="http://schemas.microsoft.com/office/excel/2006/main">
          <x14:cfRule type="dataBar" id="{A4DE6C6E-2AF2-46A3-A369-5640EEBB9F62}">
            <x14:dataBar minLength="0" maxLength="100" border="1" gradient="0">
              <x14:cfvo type="num">
                <xm:f>0</xm:f>
              </x14:cfvo>
              <x14:cfvo type="num">
                <xm:f>1</xm:f>
              </x14:cfvo>
              <x14:borderColor theme="0"/>
              <x14:negativeFillColor rgb="FFFF0000"/>
              <x14:axisColor rgb="FF000000"/>
            </x14:dataBar>
          </x14:cfRule>
          <xm:sqref>AB45</xm:sqref>
        </x14:conditionalFormatting>
        <x14:conditionalFormatting xmlns:xm="http://schemas.microsoft.com/office/excel/2006/main">
          <x14:cfRule type="dataBar" id="{9C1C78D2-A9DA-459D-9BF7-E91481D0A090}">
            <x14:dataBar minLength="0" maxLength="100" border="1" gradient="0">
              <x14:cfvo type="num">
                <xm:f>0</xm:f>
              </x14:cfvo>
              <x14:cfvo type="num">
                <xm:f>1</xm:f>
              </x14:cfvo>
              <x14:borderColor theme="0"/>
              <x14:negativeFillColor rgb="FFFF0000"/>
              <x14:axisColor rgb="FF000000"/>
            </x14:dataBar>
          </x14:cfRule>
          <xm:sqref>AB48</xm:sqref>
        </x14:conditionalFormatting>
        <x14:conditionalFormatting xmlns:xm="http://schemas.microsoft.com/office/excel/2006/main">
          <x14:cfRule type="dataBar" id="{DB37F6D3-52C9-4740-9F0B-1064E2BA3C44}">
            <x14:dataBar minLength="0" maxLength="100" border="1" gradient="0">
              <x14:cfvo type="num">
                <xm:f>0</xm:f>
              </x14:cfvo>
              <x14:cfvo type="num">
                <xm:f>1</xm:f>
              </x14:cfvo>
              <x14:borderColor theme="0"/>
              <x14:negativeFillColor rgb="FFFF0000"/>
              <x14:axisColor rgb="FF000000"/>
            </x14:dataBar>
          </x14:cfRule>
          <xm:sqref>AB50</xm:sqref>
        </x14:conditionalFormatting>
        <x14:conditionalFormatting xmlns:xm="http://schemas.microsoft.com/office/excel/2006/main">
          <x14:cfRule type="dataBar" id="{9FB2266C-A577-427C-A196-31ED86E45507}">
            <x14:dataBar minLength="0" maxLength="100" border="1" gradient="0">
              <x14:cfvo type="num">
                <xm:f>0</xm:f>
              </x14:cfvo>
              <x14:cfvo type="num">
                <xm:f>1</xm:f>
              </x14:cfvo>
              <x14:borderColor theme="0"/>
              <x14:negativeFillColor rgb="FFFF0000"/>
              <x14:axisColor rgb="FF000000"/>
            </x14:dataBar>
          </x14:cfRule>
          <xm:sqref>AB52</xm:sqref>
        </x14:conditionalFormatting>
        <x14:conditionalFormatting xmlns:xm="http://schemas.microsoft.com/office/excel/2006/main">
          <x14:cfRule type="dataBar" id="{933980F4-7FA7-4C6F-A8B5-531DC62C8B88}">
            <x14:dataBar minLength="0" maxLength="100" border="1" gradient="0">
              <x14:cfvo type="num">
                <xm:f>0</xm:f>
              </x14:cfvo>
              <x14:cfvo type="num">
                <xm:f>1</xm:f>
              </x14:cfvo>
              <x14:borderColor theme="0"/>
              <x14:negativeFillColor rgb="FFFF0000"/>
              <x14:axisColor rgb="FF000000"/>
            </x14:dataBar>
          </x14:cfRule>
          <xm:sqref>AB54</xm:sqref>
        </x14:conditionalFormatting>
        <x14:conditionalFormatting xmlns:xm="http://schemas.microsoft.com/office/excel/2006/main">
          <x14:cfRule type="dataBar" id="{F92D83D4-4139-46C0-BBA5-28D948207A87}">
            <x14:dataBar minLength="0" maxLength="100" border="1" gradient="0">
              <x14:cfvo type="num">
                <xm:f>0</xm:f>
              </x14:cfvo>
              <x14:cfvo type="num">
                <xm:f>1</xm:f>
              </x14:cfvo>
              <x14:borderColor theme="0"/>
              <x14:negativeFillColor rgb="FFFF0000"/>
              <x14:axisColor rgb="FF000000"/>
            </x14:dataBar>
          </x14:cfRule>
          <xm:sqref>AB56</xm:sqref>
        </x14:conditionalFormatting>
        <x14:conditionalFormatting xmlns:xm="http://schemas.microsoft.com/office/excel/2006/main">
          <x14:cfRule type="dataBar" id="{407959CB-EDF2-49B8-B00D-03E54626E2BC}">
            <x14:dataBar minLength="0" maxLength="100" border="1" gradient="0">
              <x14:cfvo type="num">
                <xm:f>0</xm:f>
              </x14:cfvo>
              <x14:cfvo type="num">
                <xm:f>1</xm:f>
              </x14:cfvo>
              <x14:borderColor theme="0"/>
              <x14:negativeFillColor rgb="FFFF0000"/>
              <x14:axisColor rgb="FF000000"/>
            </x14:dataBar>
          </x14:cfRule>
          <xm:sqref>AB58 AB60 AB62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FF47-ED00-4132-8329-28EC4C70D34C}">
  <sheetPr>
    <tabColor rgb="FF38986A"/>
  </sheetPr>
  <dimension ref="A1:CE141"/>
  <sheetViews>
    <sheetView showGridLines="0" zoomScale="60" zoomScaleNormal="60" workbookViewId="0">
      <pane xSplit="8" ySplit="7" topLeftCell="I8" activePane="bottomRight" state="frozen"/>
      <selection pane="bottomRight" activeCell="B106" sqref="B106:B107"/>
      <selection pane="bottomLeft" activeCell="A8" sqref="A8"/>
      <selection pane="topRight" activeCell="K1" sqref="K1"/>
    </sheetView>
  </sheetViews>
  <sheetFormatPr defaultRowHeight="15" outlineLevelRow="1" outlineLevelCol="1"/>
  <cols>
    <col min="1" max="1" width="1.140625" style="203" customWidth="1"/>
    <col min="2" max="2" width="37.7109375" style="201" customWidth="1"/>
    <col min="3" max="3" width="6.5703125" style="202" customWidth="1"/>
    <col min="4" max="4" width="13.42578125" style="203" hidden="1" customWidth="1"/>
    <col min="5" max="5" width="0.85546875" style="203" customWidth="1"/>
    <col min="6" max="6" width="5.140625" style="203" hidden="1" customWidth="1" outlineLevel="1"/>
    <col min="7" max="7" width="13.7109375" style="204" hidden="1" customWidth="1" outlineLevel="1"/>
    <col min="8" max="8" width="14.42578125" style="204" hidden="1" customWidth="1" outlineLevel="1"/>
    <col min="9" max="9" width="1" style="205" customWidth="1" collapsed="1"/>
    <col min="10" max="10" width="5.140625" style="204" customWidth="1" outlineLevel="1"/>
    <col min="11" max="11" width="12.5703125" style="204" customWidth="1" outlineLevel="1"/>
    <col min="12" max="12" width="14.42578125" style="203" customWidth="1" outlineLevel="1"/>
    <col min="13" max="13" width="1" style="206" customWidth="1"/>
    <col min="14" max="19" width="13.42578125" style="202" hidden="1" customWidth="1" outlineLevel="1"/>
    <col min="20" max="20" width="11" style="202" hidden="1" customWidth="1" outlineLevel="1"/>
    <col min="21" max="21" width="1.140625" style="206" customWidth="1" collapsed="1"/>
    <col min="22" max="27" width="13.42578125" style="202" hidden="1" customWidth="1" outlineLevel="1"/>
    <col min="28" max="28" width="11" style="202" hidden="1" customWidth="1" outlineLevel="1"/>
    <col min="29" max="29" width="1.140625" style="206" customWidth="1" collapsed="1"/>
    <col min="30" max="35" width="13.42578125" style="202" hidden="1" customWidth="1" outlineLevel="1"/>
    <col min="36" max="36" width="11" style="202" hidden="1" customWidth="1" outlineLevel="1"/>
    <col min="37" max="37" width="1.140625" style="206" customWidth="1" collapsed="1"/>
    <col min="38" max="43" width="13.42578125" style="202" customWidth="1" outlineLevel="1"/>
    <col min="44" max="44" width="11" style="202" customWidth="1" outlineLevel="1"/>
    <col min="45" max="45" width="1" style="207" customWidth="1"/>
    <col min="46" max="46" width="12.28515625" style="202" hidden="1" customWidth="1" outlineLevel="1"/>
    <col min="47" max="51" width="13.42578125" style="202" hidden="1" customWidth="1" outlineLevel="1"/>
    <col min="52" max="52" width="11" style="202" hidden="1" customWidth="1" outlineLevel="1"/>
    <col min="53" max="53" width="1.140625" style="206" customWidth="1" collapsed="1"/>
    <col min="54" max="59" width="13.42578125" style="202" hidden="1" customWidth="1" outlineLevel="1"/>
    <col min="60" max="60" width="11" style="202" hidden="1" customWidth="1" outlineLevel="1"/>
    <col min="61" max="61" width="1" style="207" hidden="1" customWidth="1" outlineLevel="1"/>
    <col min="62" max="62" width="16" style="208" customWidth="1" collapsed="1"/>
    <col min="63" max="63" width="16.85546875" style="203" customWidth="1"/>
    <col min="64" max="64" width="1" style="207" customWidth="1"/>
    <col min="65" max="65" width="17.7109375" style="204" customWidth="1"/>
    <col min="66" max="66" width="18.85546875" style="204" customWidth="1"/>
    <col min="67" max="67" width="14.42578125" style="204" bestFit="1" customWidth="1"/>
    <col min="68" max="68" width="15.28515625" style="203" customWidth="1"/>
    <col min="69" max="69" width="1.140625" style="206" customWidth="1"/>
    <col min="70" max="70" width="20.28515625" style="204" customWidth="1"/>
    <col min="71" max="71" width="20.85546875" style="204" customWidth="1"/>
    <col min="72" max="72" width="17.28515625" style="203" customWidth="1"/>
    <col min="73" max="73" width="1" style="206" customWidth="1"/>
    <col min="74" max="74" width="19.42578125" style="204" customWidth="1"/>
    <col min="75" max="75" width="16.85546875" style="204" customWidth="1"/>
    <col min="77" max="79" width="5.85546875" customWidth="1"/>
    <col min="80" max="80" width="33.5703125" bestFit="1" customWidth="1"/>
    <col min="81" max="81" width="11" customWidth="1"/>
  </cols>
  <sheetData>
    <row r="1" spans="1:83" s="495" customFormat="1" ht="16.350000000000001" customHeight="1" thickBot="1">
      <c r="A1" s="728"/>
      <c r="B1" s="1224" t="e" vm="1">
        <v>#VALUE!</v>
      </c>
      <c r="C1" s="1225"/>
      <c r="D1" s="413"/>
      <c r="E1" s="414"/>
      <c r="F1" s="413"/>
      <c r="G1" s="415"/>
      <c r="H1" s="415"/>
      <c r="I1" s="416"/>
      <c r="J1" s="415"/>
      <c r="K1" s="415"/>
      <c r="L1" s="413"/>
      <c r="M1" s="417"/>
      <c r="N1" s="418">
        <v>78</v>
      </c>
      <c r="O1" s="418">
        <v>78</v>
      </c>
      <c r="P1" s="418">
        <v>78</v>
      </c>
      <c r="Q1" s="418">
        <v>78</v>
      </c>
      <c r="R1" s="418">
        <v>78</v>
      </c>
      <c r="S1" s="418">
        <v>78</v>
      </c>
      <c r="T1" s="418">
        <v>78</v>
      </c>
      <c r="U1" s="418"/>
      <c r="V1" s="418">
        <v>79</v>
      </c>
      <c r="W1" s="418">
        <v>79</v>
      </c>
      <c r="X1" s="418">
        <v>79</v>
      </c>
      <c r="Y1" s="418">
        <v>79</v>
      </c>
      <c r="Z1" s="418">
        <v>79</v>
      </c>
      <c r="AA1" s="418">
        <v>79</v>
      </c>
      <c r="AB1" s="418">
        <v>79</v>
      </c>
      <c r="AC1" s="418"/>
      <c r="AD1" s="418">
        <v>80</v>
      </c>
      <c r="AE1" s="418">
        <v>80</v>
      </c>
      <c r="AF1" s="418">
        <v>80</v>
      </c>
      <c r="AG1" s="418">
        <v>80</v>
      </c>
      <c r="AH1" s="418">
        <v>80</v>
      </c>
      <c r="AI1" s="418">
        <v>80</v>
      </c>
      <c r="AJ1" s="418">
        <v>80</v>
      </c>
      <c r="AK1" s="417"/>
      <c r="AL1" s="418">
        <v>81</v>
      </c>
      <c r="AM1" s="418">
        <v>81</v>
      </c>
      <c r="AN1" s="418">
        <v>81</v>
      </c>
      <c r="AO1" s="418">
        <v>81</v>
      </c>
      <c r="AP1" s="418">
        <v>81</v>
      </c>
      <c r="AQ1" s="418">
        <v>81</v>
      </c>
      <c r="AR1" s="418">
        <v>81</v>
      </c>
      <c r="AS1" s="419"/>
      <c r="AT1" s="418">
        <v>82</v>
      </c>
      <c r="AU1" s="418">
        <v>82</v>
      </c>
      <c r="AV1" s="418">
        <v>82</v>
      </c>
      <c r="AW1" s="418">
        <v>82</v>
      </c>
      <c r="AX1" s="418">
        <v>82</v>
      </c>
      <c r="AY1" s="418">
        <v>82</v>
      </c>
      <c r="AZ1" s="418">
        <v>82</v>
      </c>
      <c r="BA1" s="417"/>
      <c r="BB1" s="418">
        <v>83</v>
      </c>
      <c r="BC1" s="418">
        <v>83</v>
      </c>
      <c r="BD1" s="418">
        <v>83</v>
      </c>
      <c r="BE1" s="418">
        <v>83</v>
      </c>
      <c r="BF1" s="418">
        <v>83</v>
      </c>
      <c r="BG1" s="418">
        <v>83</v>
      </c>
      <c r="BH1" s="418">
        <v>83</v>
      </c>
      <c r="BI1" s="419"/>
      <c r="BJ1" s="420"/>
      <c r="BK1" s="413"/>
      <c r="BL1" s="419"/>
      <c r="BM1" s="415"/>
      <c r="BN1" s="415"/>
      <c r="BO1" s="415"/>
      <c r="BP1" s="413"/>
      <c r="BQ1" s="417"/>
      <c r="BR1" s="415"/>
      <c r="BS1" s="415"/>
      <c r="BT1" s="413"/>
      <c r="BU1" s="417"/>
      <c r="BV1" s="1230" t="e" vm="2">
        <v>#VALUE!</v>
      </c>
      <c r="BW1" s="1231"/>
      <c r="BX1" s="421"/>
      <c r="BY1" s="490"/>
      <c r="BZ1" s="491"/>
      <c r="CA1" s="492"/>
      <c r="CB1" s="493"/>
      <c r="CC1" s="494"/>
      <c r="CD1" s="494"/>
      <c r="CE1" s="492"/>
    </row>
    <row r="2" spans="1:83" s="203" customFormat="1" ht="16.350000000000001" customHeight="1" thickBot="1">
      <c r="A2" s="729"/>
      <c r="B2" s="1226"/>
      <c r="C2" s="1227"/>
      <c r="D2" s="154"/>
      <c r="E2" s="379"/>
      <c r="F2" s="1305" t="s">
        <v>153</v>
      </c>
      <c r="G2" s="1306"/>
      <c r="H2" s="1306"/>
      <c r="I2" s="1306"/>
      <c r="J2" s="1306"/>
      <c r="K2" s="1306"/>
      <c r="L2" s="1307"/>
      <c r="M2" s="379"/>
      <c r="N2" s="1308" t="s">
        <v>4164</v>
      </c>
      <c r="O2" s="1309"/>
      <c r="P2" s="1309"/>
      <c r="Q2" s="1309"/>
      <c r="R2" s="1309"/>
      <c r="S2" s="1309"/>
      <c r="T2" s="1310"/>
      <c r="U2" s="157"/>
      <c r="V2" s="1308" t="s">
        <v>4165</v>
      </c>
      <c r="W2" s="1309"/>
      <c r="X2" s="1309"/>
      <c r="Y2" s="1309"/>
      <c r="Z2" s="1309"/>
      <c r="AA2" s="1309"/>
      <c r="AB2" s="1310"/>
      <c r="AC2" s="157"/>
      <c r="AD2" s="1308" t="s">
        <v>4166</v>
      </c>
      <c r="AE2" s="1309"/>
      <c r="AF2" s="1309"/>
      <c r="AG2" s="1309"/>
      <c r="AH2" s="1309"/>
      <c r="AI2" s="1309"/>
      <c r="AJ2" s="1310"/>
      <c r="AK2" s="206"/>
      <c r="AL2" s="1308" t="s">
        <v>4167</v>
      </c>
      <c r="AM2" s="1309"/>
      <c r="AN2" s="1309"/>
      <c r="AO2" s="1309"/>
      <c r="AP2" s="1309"/>
      <c r="AQ2" s="1309"/>
      <c r="AR2" s="1310"/>
      <c r="AS2" s="157"/>
      <c r="AT2" s="1308" t="s">
        <v>4164</v>
      </c>
      <c r="AU2" s="1309"/>
      <c r="AV2" s="1309"/>
      <c r="AW2" s="1309"/>
      <c r="AX2" s="1309"/>
      <c r="AY2" s="1309"/>
      <c r="AZ2" s="1310"/>
      <c r="BA2" s="157"/>
      <c r="BB2" s="1308" t="s">
        <v>4168</v>
      </c>
      <c r="BC2" s="1309"/>
      <c r="BD2" s="1309"/>
      <c r="BE2" s="1309"/>
      <c r="BF2" s="1309"/>
      <c r="BG2" s="1309"/>
      <c r="BH2" s="1310"/>
      <c r="BI2" s="207"/>
      <c r="BJ2" s="1308" t="s">
        <v>4169</v>
      </c>
      <c r="BK2" s="1310"/>
      <c r="BL2" s="157"/>
      <c r="BM2" s="1308" t="s">
        <v>4170</v>
      </c>
      <c r="BN2" s="1309"/>
      <c r="BO2" s="1309"/>
      <c r="BP2" s="1310"/>
      <c r="BQ2" s="379"/>
      <c r="BR2" s="1309" t="s">
        <v>4171</v>
      </c>
      <c r="BS2" s="1309"/>
      <c r="BT2" s="1310"/>
      <c r="BU2" s="379"/>
      <c r="BV2" s="1232"/>
      <c r="BW2" s="1233"/>
      <c r="BX2" s="155"/>
      <c r="BY2" s="156"/>
      <c r="BZ2" s="496"/>
      <c r="CA2" s="496"/>
      <c r="CB2" s="493"/>
      <c r="CC2" s="494"/>
      <c r="CD2" s="494"/>
      <c r="CE2" s="492" t="s">
        <v>4172</v>
      </c>
    </row>
    <row r="3" spans="1:83" ht="26.1" customHeight="1" thickBot="1">
      <c r="A3" s="730"/>
      <c r="B3" s="1228"/>
      <c r="C3" s="1229"/>
      <c r="D3" s="414"/>
      <c r="E3" s="414"/>
      <c r="F3" s="414"/>
      <c r="G3" s="414"/>
      <c r="H3" s="414"/>
      <c r="I3" s="414"/>
      <c r="J3" s="414"/>
      <c r="K3" s="414"/>
      <c r="L3" s="414"/>
      <c r="M3" s="414"/>
      <c r="N3" s="1236" t="s">
        <v>4173</v>
      </c>
      <c r="O3" s="1236"/>
      <c r="P3" s="1236"/>
      <c r="Q3" s="1236"/>
      <c r="R3" s="1236"/>
      <c r="S3" s="1236"/>
      <c r="T3" s="1236"/>
      <c r="U3" s="414"/>
      <c r="V3" s="1236" t="s">
        <v>4174</v>
      </c>
      <c r="W3" s="1236"/>
      <c r="X3" s="1236"/>
      <c r="Y3" s="1236"/>
      <c r="Z3" s="1236"/>
      <c r="AA3" s="1236"/>
      <c r="AB3" s="1236"/>
      <c r="AC3" s="414"/>
      <c r="AD3" s="1236" t="s">
        <v>4174</v>
      </c>
      <c r="AE3" s="1236"/>
      <c r="AF3" s="1236"/>
      <c r="AG3" s="1236"/>
      <c r="AH3" s="1236"/>
      <c r="AI3" s="1236"/>
      <c r="AJ3" s="1236"/>
      <c r="AK3" s="414"/>
      <c r="AL3" s="1236" t="s">
        <v>4174</v>
      </c>
      <c r="AM3" s="1236"/>
      <c r="AN3" s="1236"/>
      <c r="AO3" s="1236"/>
      <c r="AP3" s="1236"/>
      <c r="AQ3" s="1236"/>
      <c r="AR3" s="1236"/>
      <c r="AS3" s="414"/>
      <c r="AT3" s="1236" t="s">
        <v>4174</v>
      </c>
      <c r="AU3" s="1236"/>
      <c r="AV3" s="1236"/>
      <c r="AW3" s="1236"/>
      <c r="AX3" s="1236"/>
      <c r="AY3" s="1236"/>
      <c r="AZ3" s="1236"/>
      <c r="BA3" s="414"/>
      <c r="BB3" s="1236" t="s">
        <v>4174</v>
      </c>
      <c r="BC3" s="1236"/>
      <c r="BD3" s="1236"/>
      <c r="BE3" s="1236"/>
      <c r="BF3" s="1236"/>
      <c r="BG3" s="1236"/>
      <c r="BH3" s="1236"/>
      <c r="BI3" s="422"/>
      <c r="BJ3" s="414"/>
      <c r="BK3" s="414"/>
      <c r="BL3" s="414"/>
      <c r="BM3" s="414"/>
      <c r="BN3" s="414"/>
      <c r="BO3" s="414"/>
      <c r="BP3" s="414"/>
      <c r="BQ3" s="414"/>
      <c r="BR3" s="414"/>
      <c r="BS3" s="414"/>
      <c r="BT3" s="414"/>
      <c r="BU3" s="414"/>
      <c r="BV3" s="1234"/>
      <c r="BW3" s="1235"/>
    </row>
    <row r="4" spans="1:83" ht="35.450000000000003" customHeight="1" thickBot="1">
      <c r="A4" s="729"/>
      <c r="B4" s="1172" t="s">
        <v>4175</v>
      </c>
      <c r="C4" s="1173"/>
      <c r="D4" s="423"/>
      <c r="E4" s="424"/>
      <c r="F4" s="1174" t="s">
        <v>72</v>
      </c>
      <c r="G4" s="1175"/>
      <c r="H4" s="425">
        <f ca="1">L4-1</f>
        <v>80</v>
      </c>
      <c r="I4" s="424"/>
      <c r="J4" s="1174" t="s">
        <v>72</v>
      </c>
      <c r="K4" s="1175"/>
      <c r="L4" s="425">
        <f ca="1">_xlfn.XLOOKUP(L7,N7:BH7,N1:BH1)</f>
        <v>81</v>
      </c>
      <c r="M4" s="424"/>
      <c r="N4" s="1243" t="s">
        <v>10</v>
      </c>
      <c r="O4" s="1243"/>
      <c r="P4" s="1243"/>
      <c r="Q4" s="1243"/>
      <c r="R4" s="1243"/>
      <c r="S4" s="1243">
        <v>78</v>
      </c>
      <c r="T4" s="1243"/>
      <c r="U4" s="426"/>
      <c r="V4" s="1243" t="s">
        <v>10</v>
      </c>
      <c r="W4" s="1243"/>
      <c r="X4" s="1243"/>
      <c r="Y4" s="1243"/>
      <c r="Z4" s="1243"/>
      <c r="AA4" s="1243">
        <v>79</v>
      </c>
      <c r="AB4" s="1243"/>
      <c r="AC4" s="426"/>
      <c r="AD4" s="1243" t="s">
        <v>10</v>
      </c>
      <c r="AE4" s="1243"/>
      <c r="AF4" s="1243"/>
      <c r="AG4" s="1243"/>
      <c r="AH4" s="1243"/>
      <c r="AI4" s="1243">
        <f>AA4+1</f>
        <v>80</v>
      </c>
      <c r="AJ4" s="1243"/>
      <c r="AK4" s="426"/>
      <c r="AL4" s="1243" t="s">
        <v>10</v>
      </c>
      <c r="AM4" s="1243"/>
      <c r="AN4" s="1243"/>
      <c r="AO4" s="1243"/>
      <c r="AP4" s="1243"/>
      <c r="AQ4" s="1243">
        <f>AI4+1</f>
        <v>81</v>
      </c>
      <c r="AR4" s="1243"/>
      <c r="AS4" s="426"/>
      <c r="AT4" s="1243" t="s">
        <v>10</v>
      </c>
      <c r="AU4" s="1243"/>
      <c r="AV4" s="1243"/>
      <c r="AW4" s="1243"/>
      <c r="AX4" s="1243"/>
      <c r="AY4" s="1243">
        <f>AQ4+1</f>
        <v>82</v>
      </c>
      <c r="AZ4" s="1243"/>
      <c r="BA4" s="426"/>
      <c r="BB4" s="1243" t="s">
        <v>10</v>
      </c>
      <c r="BC4" s="1243"/>
      <c r="BD4" s="1243"/>
      <c r="BE4" s="1243"/>
      <c r="BF4" s="1243"/>
      <c r="BG4" s="1243">
        <f>AY4+1</f>
        <v>83</v>
      </c>
      <c r="BH4" s="1243"/>
      <c r="BI4" s="427"/>
      <c r="BJ4" s="1243" t="s">
        <v>4176</v>
      </c>
      <c r="BK4" s="1243"/>
      <c r="BL4" s="426"/>
      <c r="BM4" s="1244" t="s">
        <v>4126</v>
      </c>
      <c r="BN4" s="1245"/>
      <c r="BO4" s="1245"/>
      <c r="BP4" s="1246"/>
      <c r="BQ4" s="426"/>
      <c r="BR4" s="1302" t="s">
        <v>157</v>
      </c>
      <c r="BS4" s="1303"/>
      <c r="BT4" s="1304"/>
      <c r="BU4" s="426"/>
      <c r="BV4" s="428" t="s">
        <v>158</v>
      </c>
      <c r="BW4" s="429"/>
    </row>
    <row r="5" spans="1:83" ht="3" customHeight="1" thickBot="1">
      <c r="A5" s="729"/>
      <c r="B5" s="159"/>
      <c r="C5" s="160"/>
      <c r="D5" s="161"/>
      <c r="E5" s="158"/>
      <c r="F5" s="430"/>
      <c r="G5" s="430"/>
      <c r="H5" s="430"/>
      <c r="I5" s="158"/>
      <c r="J5" s="158"/>
      <c r="K5" s="158"/>
      <c r="L5" s="158"/>
      <c r="M5" s="158"/>
      <c r="N5" s="157"/>
      <c r="O5" s="157"/>
      <c r="P5" s="157"/>
      <c r="Q5" s="157"/>
      <c r="R5" s="157"/>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7"/>
      <c r="BK5" s="157"/>
      <c r="BL5" s="157"/>
      <c r="BM5" s="157"/>
      <c r="BN5" s="162"/>
      <c r="BO5" s="157"/>
      <c r="BP5" s="157"/>
      <c r="BQ5" s="157"/>
      <c r="BR5" s="157"/>
      <c r="BS5" s="157"/>
      <c r="BT5" s="157"/>
      <c r="BU5" s="157"/>
      <c r="BV5" s="157"/>
      <c r="BW5" s="157"/>
    </row>
    <row r="6" spans="1:83" s="130" customFormat="1" ht="23.45" customHeight="1">
      <c r="A6" s="731"/>
      <c r="B6" s="1179" t="s">
        <v>16</v>
      </c>
      <c r="C6" s="1195" t="s">
        <v>4177</v>
      </c>
      <c r="D6" s="1181" t="s">
        <v>4178</v>
      </c>
      <c r="E6" s="431"/>
      <c r="F6" s="1191" t="s">
        <v>4179</v>
      </c>
      <c r="G6" s="1192"/>
      <c r="H6" s="432">
        <f ca="1">_xlfn.XLOOKUP(H4,N1:BH1,N7:BH7,"")</f>
        <v>46209</v>
      </c>
      <c r="I6" s="431"/>
      <c r="J6" s="1183" t="s">
        <v>4130</v>
      </c>
      <c r="K6" s="1183"/>
      <c r="L6" s="432" t="str">
        <f ca="1">TEXT(L7,"dDD")</f>
        <v>Tue</v>
      </c>
      <c r="M6" s="431"/>
      <c r="N6" s="433" t="str">
        <f>TEXT(N7,"dDD")</f>
        <v>seg</v>
      </c>
      <c r="O6" s="434" t="str">
        <f t="shared" ref="O6:T6" si="0">TEXT(O7,"dDD")</f>
        <v>ter</v>
      </c>
      <c r="P6" s="434" t="str">
        <f t="shared" si="0"/>
        <v>qua</v>
      </c>
      <c r="Q6" s="434" t="str">
        <f t="shared" si="0"/>
        <v>qui</v>
      </c>
      <c r="R6" s="434" t="str">
        <f t="shared" si="0"/>
        <v>sex</v>
      </c>
      <c r="S6" s="434" t="str">
        <f t="shared" si="0"/>
        <v>sáb</v>
      </c>
      <c r="T6" s="434" t="str">
        <f t="shared" si="0"/>
        <v>dom</v>
      </c>
      <c r="U6" s="435"/>
      <c r="V6" s="433" t="str">
        <f>TEXT(V7,"dDD")</f>
        <v>seg</v>
      </c>
      <c r="W6" s="434" t="str">
        <f t="shared" ref="W6:AB6" si="1">TEXT(W7,"dDD")</f>
        <v>ter</v>
      </c>
      <c r="X6" s="434" t="str">
        <f t="shared" si="1"/>
        <v>qua</v>
      </c>
      <c r="Y6" s="434" t="str">
        <f t="shared" si="1"/>
        <v>qui</v>
      </c>
      <c r="Z6" s="434" t="str">
        <f t="shared" si="1"/>
        <v>sex</v>
      </c>
      <c r="AA6" s="434" t="str">
        <f t="shared" si="1"/>
        <v>sáb</v>
      </c>
      <c r="AB6" s="434" t="str">
        <f t="shared" si="1"/>
        <v>dom</v>
      </c>
      <c r="AC6" s="435"/>
      <c r="AD6" s="433" t="str">
        <f>TEXT(AD7,"dDD")</f>
        <v>seg</v>
      </c>
      <c r="AE6" s="434" t="str">
        <f t="shared" ref="AE6:AJ6" si="2">TEXT(AE7,"dDD")</f>
        <v>ter</v>
      </c>
      <c r="AF6" s="434" t="str">
        <f t="shared" si="2"/>
        <v>qua</v>
      </c>
      <c r="AG6" s="434" t="str">
        <f t="shared" si="2"/>
        <v>qui</v>
      </c>
      <c r="AH6" s="434" t="str">
        <f t="shared" si="2"/>
        <v>sex</v>
      </c>
      <c r="AI6" s="434" t="str">
        <f t="shared" si="2"/>
        <v>sáb</v>
      </c>
      <c r="AJ6" s="434" t="str">
        <f t="shared" si="2"/>
        <v>dom</v>
      </c>
      <c r="AK6" s="435"/>
      <c r="AL6" s="433" t="str">
        <f>TEXT(AL7,"dDD")</f>
        <v>seg</v>
      </c>
      <c r="AM6" s="434" t="str">
        <f t="shared" ref="AM6:AR6" si="3">TEXT(AM7,"dDD")</f>
        <v>ter</v>
      </c>
      <c r="AN6" s="434" t="str">
        <f t="shared" si="3"/>
        <v>qua</v>
      </c>
      <c r="AO6" s="434" t="str">
        <f t="shared" si="3"/>
        <v>qui</v>
      </c>
      <c r="AP6" s="434" t="str">
        <f t="shared" si="3"/>
        <v>sex</v>
      </c>
      <c r="AQ6" s="434" t="str">
        <f t="shared" si="3"/>
        <v>sáb</v>
      </c>
      <c r="AR6" s="434" t="str">
        <f t="shared" si="3"/>
        <v>dom</v>
      </c>
      <c r="AS6" s="435"/>
      <c r="AT6" s="433" t="str">
        <f>TEXT(AT7,"dDD")</f>
        <v>seg</v>
      </c>
      <c r="AU6" s="434" t="str">
        <f t="shared" ref="AU6:AZ6" si="4">TEXT(AU7,"dDD")</f>
        <v>ter</v>
      </c>
      <c r="AV6" s="434" t="str">
        <f t="shared" si="4"/>
        <v>qua</v>
      </c>
      <c r="AW6" s="434" t="str">
        <f t="shared" si="4"/>
        <v>qui</v>
      </c>
      <c r="AX6" s="434" t="str">
        <f t="shared" si="4"/>
        <v>sex</v>
      </c>
      <c r="AY6" s="434" t="str">
        <f t="shared" si="4"/>
        <v>sáb</v>
      </c>
      <c r="AZ6" s="434" t="str">
        <f t="shared" si="4"/>
        <v>dom</v>
      </c>
      <c r="BA6" s="435"/>
      <c r="BB6" s="433" t="str">
        <f>TEXT(BB7,"dDD")</f>
        <v>seg</v>
      </c>
      <c r="BC6" s="434" t="str">
        <f t="shared" ref="BC6:BH6" si="5">TEXT(BC7,"dDD")</f>
        <v>ter</v>
      </c>
      <c r="BD6" s="434" t="str">
        <f t="shared" si="5"/>
        <v>qua</v>
      </c>
      <c r="BE6" s="434" t="str">
        <f t="shared" si="5"/>
        <v>qui</v>
      </c>
      <c r="BF6" s="434" t="str">
        <f t="shared" si="5"/>
        <v>sex</v>
      </c>
      <c r="BG6" s="434" t="str">
        <f t="shared" si="5"/>
        <v>sáb</v>
      </c>
      <c r="BH6" s="434" t="str">
        <f t="shared" si="5"/>
        <v>dom</v>
      </c>
      <c r="BI6" s="435"/>
      <c r="BJ6" s="1247" t="str">
        <f ca="1">"TOTAL SEMANA
(até "&amp;TEXT(L7,"DD/MM")&amp;")"</f>
        <v>TOTAL SEMANA
(até 14/07)</v>
      </c>
      <c r="BK6" s="1249" t="s">
        <v>163</v>
      </c>
      <c r="BL6" s="435"/>
      <c r="BM6" s="1251" t="s">
        <v>4180</v>
      </c>
      <c r="BN6" s="1253" t="s">
        <v>4181</v>
      </c>
      <c r="BO6" s="1253" t="s">
        <v>26</v>
      </c>
      <c r="BP6" s="1253" t="s">
        <v>163</v>
      </c>
      <c r="BQ6" s="435"/>
      <c r="BR6" s="1255" t="s">
        <v>4182</v>
      </c>
      <c r="BS6" s="1255" t="s">
        <v>27</v>
      </c>
      <c r="BT6" s="1257" t="s">
        <v>163</v>
      </c>
      <c r="BU6" s="435"/>
      <c r="BV6" s="1259" t="s">
        <v>29</v>
      </c>
      <c r="BW6" s="1261" t="s">
        <v>30</v>
      </c>
    </row>
    <row r="7" spans="1:83" s="130" customFormat="1" ht="23.25" customHeight="1" thickBot="1">
      <c r="A7" s="732"/>
      <c r="B7" s="1180"/>
      <c r="C7" s="1196"/>
      <c r="D7" s="1182"/>
      <c r="E7" s="436"/>
      <c r="F7" s="1193"/>
      <c r="G7" s="1194"/>
      <c r="H7" s="437">
        <f ca="1">_xlfn.XLOOKUP(H4,N1:BH1,N7:BH7,"",0,-1)</f>
        <v>46215</v>
      </c>
      <c r="I7" s="436"/>
      <c r="J7" s="1184"/>
      <c r="K7" s="1184"/>
      <c r="L7" s="438">
        <f ca="1">IF(WEEKDAY(TODAY()-1,2)=7,TODAY()-2,TODAY()-1)</f>
        <v>46217</v>
      </c>
      <c r="M7" s="436"/>
      <c r="N7" s="439">
        <v>46195</v>
      </c>
      <c r="O7" s="440">
        <f t="shared" ref="O7:T7" si="6">N7+1</f>
        <v>46196</v>
      </c>
      <c r="P7" s="440">
        <f t="shared" si="6"/>
        <v>46197</v>
      </c>
      <c r="Q7" s="440">
        <f t="shared" si="6"/>
        <v>46198</v>
      </c>
      <c r="R7" s="440">
        <f t="shared" si="6"/>
        <v>46199</v>
      </c>
      <c r="S7" s="440">
        <f t="shared" si="6"/>
        <v>46200</v>
      </c>
      <c r="T7" s="440">
        <f t="shared" si="6"/>
        <v>46201</v>
      </c>
      <c r="U7" s="441"/>
      <c r="V7" s="439">
        <f>T7+1</f>
        <v>46202</v>
      </c>
      <c r="W7" s="440">
        <f t="shared" ref="W7:AB7" si="7">V7+1</f>
        <v>46203</v>
      </c>
      <c r="X7" s="440">
        <f t="shared" si="7"/>
        <v>46204</v>
      </c>
      <c r="Y7" s="440">
        <f t="shared" si="7"/>
        <v>46205</v>
      </c>
      <c r="Z7" s="440">
        <f t="shared" si="7"/>
        <v>46206</v>
      </c>
      <c r="AA7" s="440">
        <f t="shared" si="7"/>
        <v>46207</v>
      </c>
      <c r="AB7" s="440">
        <f t="shared" si="7"/>
        <v>46208</v>
      </c>
      <c r="AC7" s="441"/>
      <c r="AD7" s="439">
        <f>AB7+1</f>
        <v>46209</v>
      </c>
      <c r="AE7" s="440">
        <f t="shared" ref="AE7:AJ7" si="8">AD7+1</f>
        <v>46210</v>
      </c>
      <c r="AF7" s="440">
        <f t="shared" si="8"/>
        <v>46211</v>
      </c>
      <c r="AG7" s="440">
        <f t="shared" si="8"/>
        <v>46212</v>
      </c>
      <c r="AH7" s="440">
        <f t="shared" si="8"/>
        <v>46213</v>
      </c>
      <c r="AI7" s="440">
        <f t="shared" si="8"/>
        <v>46214</v>
      </c>
      <c r="AJ7" s="440">
        <f t="shared" si="8"/>
        <v>46215</v>
      </c>
      <c r="AK7" s="441"/>
      <c r="AL7" s="439">
        <f>AJ7+1</f>
        <v>46216</v>
      </c>
      <c r="AM7" s="440">
        <f t="shared" ref="AM7:AR7" si="9">AL7+1</f>
        <v>46217</v>
      </c>
      <c r="AN7" s="440">
        <f t="shared" si="9"/>
        <v>46218</v>
      </c>
      <c r="AO7" s="440">
        <f t="shared" si="9"/>
        <v>46219</v>
      </c>
      <c r="AP7" s="440">
        <f t="shared" si="9"/>
        <v>46220</v>
      </c>
      <c r="AQ7" s="440">
        <f t="shared" si="9"/>
        <v>46221</v>
      </c>
      <c r="AR7" s="440">
        <f t="shared" si="9"/>
        <v>46222</v>
      </c>
      <c r="AS7" s="441"/>
      <c r="AT7" s="439">
        <f>AR7+1</f>
        <v>46223</v>
      </c>
      <c r="AU7" s="440">
        <f t="shared" ref="AU7:AZ7" si="10">AT7+1</f>
        <v>46224</v>
      </c>
      <c r="AV7" s="440">
        <f t="shared" si="10"/>
        <v>46225</v>
      </c>
      <c r="AW7" s="440">
        <f t="shared" si="10"/>
        <v>46226</v>
      </c>
      <c r="AX7" s="440">
        <f t="shared" si="10"/>
        <v>46227</v>
      </c>
      <c r="AY7" s="440">
        <f t="shared" si="10"/>
        <v>46228</v>
      </c>
      <c r="AZ7" s="440">
        <f t="shared" si="10"/>
        <v>46229</v>
      </c>
      <c r="BA7" s="441"/>
      <c r="BB7" s="439">
        <f>AZ7+1</f>
        <v>46230</v>
      </c>
      <c r="BC7" s="440">
        <f t="shared" ref="BC7:BH7" si="11">BB7+1</f>
        <v>46231</v>
      </c>
      <c r="BD7" s="440">
        <f t="shared" si="11"/>
        <v>46232</v>
      </c>
      <c r="BE7" s="440">
        <f t="shared" si="11"/>
        <v>46233</v>
      </c>
      <c r="BF7" s="440">
        <f t="shared" si="11"/>
        <v>46234</v>
      </c>
      <c r="BG7" s="440">
        <f t="shared" si="11"/>
        <v>46235</v>
      </c>
      <c r="BH7" s="440">
        <f t="shared" si="11"/>
        <v>46236</v>
      </c>
      <c r="BI7" s="441"/>
      <c r="BJ7" s="1248"/>
      <c r="BK7" s="1250"/>
      <c r="BL7" s="441"/>
      <c r="BM7" s="1252"/>
      <c r="BN7" s="1254"/>
      <c r="BO7" s="1254"/>
      <c r="BP7" s="1254"/>
      <c r="BQ7" s="441"/>
      <c r="BR7" s="1256"/>
      <c r="BS7" s="1256"/>
      <c r="BT7" s="1258"/>
      <c r="BU7" s="441"/>
      <c r="BV7" s="1260"/>
      <c r="BW7" s="1262"/>
      <c r="CB7" s="44">
        <f t="shared" ref="CB7:CB38" si="12">IF(B7&lt;&gt;"",B7,CB6)</f>
        <v>0</v>
      </c>
    </row>
    <row r="8" spans="1:83" s="3" customFormat="1" ht="4.5" customHeight="1">
      <c r="A8" s="155"/>
      <c r="B8" s="155"/>
      <c r="C8" s="163"/>
      <c r="D8" s="155"/>
      <c r="E8" s="155"/>
      <c r="F8" s="155"/>
      <c r="G8" s="164"/>
      <c r="H8" s="165"/>
      <c r="I8" s="165"/>
      <c r="J8" s="165"/>
      <c r="K8" s="164"/>
      <c r="L8" s="155"/>
      <c r="M8" s="155"/>
      <c r="N8" s="166"/>
      <c r="O8" s="166"/>
      <c r="P8" s="166"/>
      <c r="Q8" s="166"/>
      <c r="R8" s="166"/>
      <c r="S8" s="166"/>
      <c r="T8" s="166"/>
      <c r="U8" s="155"/>
      <c r="V8" s="166"/>
      <c r="W8" s="166"/>
      <c r="X8" s="166"/>
      <c r="Y8" s="166"/>
      <c r="Z8" s="166"/>
      <c r="AA8" s="166"/>
      <c r="AB8" s="166"/>
      <c r="AC8" s="155"/>
      <c r="AD8" s="166"/>
      <c r="AE8" s="166"/>
      <c r="AF8" s="166"/>
      <c r="AG8" s="166"/>
      <c r="AH8" s="166"/>
      <c r="AI8" s="166"/>
      <c r="AJ8" s="166"/>
      <c r="AK8" s="155"/>
      <c r="AL8" s="166"/>
      <c r="AM8" s="166"/>
      <c r="AN8" s="166"/>
      <c r="AO8" s="166"/>
      <c r="AP8" s="166"/>
      <c r="AQ8" s="166"/>
      <c r="AR8" s="166"/>
      <c r="AS8" s="157"/>
      <c r="AT8" s="166"/>
      <c r="AU8" s="166"/>
      <c r="AV8" s="166"/>
      <c r="AW8" s="166"/>
      <c r="AX8" s="166"/>
      <c r="AY8" s="166"/>
      <c r="AZ8" s="166"/>
      <c r="BA8" s="155"/>
      <c r="BB8" s="166"/>
      <c r="BC8" s="166"/>
      <c r="BD8" s="166"/>
      <c r="BE8" s="166"/>
      <c r="BF8" s="166"/>
      <c r="BG8" s="166"/>
      <c r="BH8" s="166"/>
      <c r="BI8" s="157"/>
      <c r="BJ8" s="167"/>
      <c r="BK8" s="155"/>
      <c r="BL8" s="157"/>
      <c r="BM8" s="168"/>
      <c r="BN8" s="168"/>
      <c r="BO8" s="165"/>
      <c r="BP8" s="155"/>
      <c r="BQ8" s="155"/>
      <c r="BR8" s="165"/>
      <c r="BS8" s="165"/>
      <c r="BT8" s="155"/>
      <c r="BU8" s="157"/>
      <c r="BV8" s="165"/>
      <c r="BW8" s="165"/>
      <c r="CB8" s="44">
        <f t="shared" si="12"/>
        <v>0</v>
      </c>
    </row>
    <row r="9" spans="1:83" s="93" customFormat="1" ht="15.75">
      <c r="A9" s="733"/>
      <c r="B9" s="1197" t="s">
        <v>4183</v>
      </c>
      <c r="C9" s="1189" t="s">
        <v>3210</v>
      </c>
      <c r="D9" s="1185">
        <f>IFERROR((BS9-BR9),"-")</f>
        <v>139424.00217333296</v>
      </c>
      <c r="E9" s="169"/>
      <c r="F9" s="442" t="s">
        <v>37</v>
      </c>
      <c r="G9" s="443">
        <f ca="1">SUMIFS($N9:$BH9,$N$1:$BH$1,$H$4)</f>
        <v>4545.4466666666658</v>
      </c>
      <c r="H9" s="1187">
        <f ca="1">IFERROR((G10/G9),"-")</f>
        <v>2.0438068205984896</v>
      </c>
      <c r="I9" s="170"/>
      <c r="J9" s="444" t="s">
        <v>37</v>
      </c>
      <c r="K9" s="445" cm="1">
        <f t="array" aca="1" ref="K9" ca="1">_xlfn.XLOOKUP($L$7,$N$7:$BH$7,$N9:BH9)</f>
        <v>646.65500000000009</v>
      </c>
      <c r="L9" s="1187">
        <f ca="1">IFERROR((K10/K9),"-")</f>
        <v>26.800290881536515</v>
      </c>
      <c r="M9" s="169"/>
      <c r="N9" s="443">
        <f t="shared" ref="N9:T10" si="13">SUM(N13+N15+N17+N19+N21)</f>
        <v>804</v>
      </c>
      <c r="O9" s="443">
        <f t="shared" si="13"/>
        <v>804</v>
      </c>
      <c r="P9" s="443">
        <f t="shared" si="13"/>
        <v>804</v>
      </c>
      <c r="Q9" s="443">
        <f t="shared" si="13"/>
        <v>804</v>
      </c>
      <c r="R9" s="443">
        <f t="shared" si="13"/>
        <v>804</v>
      </c>
      <c r="S9" s="443">
        <f t="shared" si="13"/>
        <v>804</v>
      </c>
      <c r="T9" s="443">
        <f t="shared" si="13"/>
        <v>0</v>
      </c>
      <c r="U9" s="169"/>
      <c r="V9" s="443">
        <f t="shared" ref="V9:AB10" si="14">SUM(V13+V15+V17+V19+V21)</f>
        <v>766.08666666666659</v>
      </c>
      <c r="W9" s="443">
        <f t="shared" si="14"/>
        <v>766.08666666666659</v>
      </c>
      <c r="X9" s="443">
        <f t="shared" si="14"/>
        <v>766.08666666666659</v>
      </c>
      <c r="Y9" s="443">
        <f t="shared" si="14"/>
        <v>766.08666666666659</v>
      </c>
      <c r="Z9" s="443">
        <f t="shared" si="14"/>
        <v>766.08666666666659</v>
      </c>
      <c r="AA9" s="443">
        <f t="shared" si="14"/>
        <v>766.08666666666659</v>
      </c>
      <c r="AB9" s="443">
        <f t="shared" si="14"/>
        <v>0</v>
      </c>
      <c r="AC9" s="169"/>
      <c r="AD9" s="443">
        <f t="shared" ref="AD9:AJ10" si="15">SUM(AD13+AD15+AD17+AD19+AD21)</f>
        <v>766.08666666666659</v>
      </c>
      <c r="AE9" s="443">
        <f t="shared" si="15"/>
        <v>817.16</v>
      </c>
      <c r="AF9" s="443">
        <f t="shared" si="15"/>
        <v>817.16</v>
      </c>
      <c r="AG9" s="443">
        <f t="shared" si="15"/>
        <v>817.16</v>
      </c>
      <c r="AH9" s="443">
        <f t="shared" si="15"/>
        <v>817.16</v>
      </c>
      <c r="AI9" s="443">
        <f t="shared" si="15"/>
        <v>510.72</v>
      </c>
      <c r="AJ9" s="443">
        <f t="shared" si="15"/>
        <v>0</v>
      </c>
      <c r="AK9" s="169"/>
      <c r="AL9" s="443">
        <f t="shared" ref="AL9:AR10" si="16">SUM(AL13+AL15+AL17+AL19+AL21)</f>
        <v>646.65500000000009</v>
      </c>
      <c r="AM9" s="443">
        <f t="shared" si="16"/>
        <v>646.65500000000009</v>
      </c>
      <c r="AN9" s="443">
        <f t="shared" si="16"/>
        <v>646.65500000000009</v>
      </c>
      <c r="AO9" s="443">
        <f t="shared" si="16"/>
        <v>646.65500000000009</v>
      </c>
      <c r="AP9" s="443">
        <f t="shared" si="16"/>
        <v>646.65500000000009</v>
      </c>
      <c r="AQ9" s="443">
        <f t="shared" si="16"/>
        <v>646.65500000000009</v>
      </c>
      <c r="AR9" s="443">
        <f t="shared" si="16"/>
        <v>0</v>
      </c>
      <c r="AS9" s="169"/>
      <c r="AT9" s="443">
        <f t="shared" ref="AT9:AZ10" si="17">SUM(AT13+AT15+AT17+AT19+AT21)</f>
        <v>512.4666666666667</v>
      </c>
      <c r="AU9" s="443">
        <f t="shared" si="17"/>
        <v>512.4666666666667</v>
      </c>
      <c r="AV9" s="443">
        <f t="shared" si="17"/>
        <v>512.4666666666667</v>
      </c>
      <c r="AW9" s="443">
        <f t="shared" si="17"/>
        <v>512.4666666666667</v>
      </c>
      <c r="AX9" s="443">
        <f t="shared" si="17"/>
        <v>512.4666666666667</v>
      </c>
      <c r="AY9" s="443">
        <f t="shared" si="17"/>
        <v>512.4666666666667</v>
      </c>
      <c r="AZ9" s="443">
        <f t="shared" si="17"/>
        <v>0</v>
      </c>
      <c r="BA9" s="169"/>
      <c r="BB9" s="443">
        <f t="shared" ref="BB9:BH10" si="18">SUM(BB13+BB15+BB17+BB19+BB21)</f>
        <v>69.515000000000001</v>
      </c>
      <c r="BC9" s="443">
        <f t="shared" si="18"/>
        <v>69.515000000000001</v>
      </c>
      <c r="BD9" s="443">
        <f t="shared" si="18"/>
        <v>69.515000000000001</v>
      </c>
      <c r="BE9" s="443">
        <f t="shared" si="18"/>
        <v>69.515000000000001</v>
      </c>
      <c r="BF9" s="443">
        <f t="shared" si="18"/>
        <v>69.515000000000001</v>
      </c>
      <c r="BG9" s="443">
        <f t="shared" si="18"/>
        <v>69.515000000000001</v>
      </c>
      <c r="BH9" s="443">
        <f t="shared" si="18"/>
        <v>0</v>
      </c>
      <c r="BI9" s="169"/>
      <c r="BJ9" s="180">
        <f ca="1">SUMIFS(N9:BI9,$N$7:$BI$7,"&gt;="&amp;($L$7-WEEKDAY($L$7,2)+1),$N$7:$BI$7,"&lt;="&amp;$L$7)</f>
        <v>1293.3100000000002</v>
      </c>
      <c r="BK9" s="1263">
        <f ca="1">IFERROR((BJ10/BJ9),"-")</f>
        <v>16.028345330972464</v>
      </c>
      <c r="BL9" s="169"/>
      <c r="BM9" s="1265">
        <f>SUM(BM13:BM22)</f>
        <v>16374.756666666664</v>
      </c>
      <c r="BN9" s="1265">
        <f>SUM(BN13:BN22)</f>
        <v>10435.276666666667</v>
      </c>
      <c r="BO9" s="1265">
        <f>SUM(BO13:BO22)</f>
        <v>43997.338899999995</v>
      </c>
      <c r="BP9" s="1263">
        <f>IFERROR((BO9/BN9),"-")</f>
        <v>4.2162120186559493</v>
      </c>
      <c r="BQ9" s="169"/>
      <c r="BR9" s="1265">
        <f>SUM(BR13:BR22)</f>
        <v>1882180.6066666669</v>
      </c>
      <c r="BS9" s="1265">
        <f>SUM(BS13:BS22)</f>
        <v>2021604.6088399999</v>
      </c>
      <c r="BT9" s="1263">
        <f>IFERROR((BS9/BR9),"-")</f>
        <v>1.074075782993138</v>
      </c>
      <c r="BU9" s="169"/>
      <c r="BV9" s="1265">
        <f>SUM(BV13:BV22)</f>
        <v>1941517.66</v>
      </c>
      <c r="BW9" s="1265">
        <f>SUM(BW13:BW22)</f>
        <v>69772.33</v>
      </c>
      <c r="CB9" s="44" t="str">
        <f t="shared" si="12"/>
        <v>Supressão/Limpeza</v>
      </c>
    </row>
    <row r="10" spans="1:83" s="98" customFormat="1" ht="15.75">
      <c r="A10" s="157"/>
      <c r="B10" s="1198"/>
      <c r="C10" s="1189"/>
      <c r="D10" s="1186"/>
      <c r="E10" s="169"/>
      <c r="F10" s="446" t="s">
        <v>38</v>
      </c>
      <c r="G10" s="443">
        <f ca="1">SUMIFS($N10:$BH10,$N$1:$BH$1,$H$4)</f>
        <v>9290.0149000000001</v>
      </c>
      <c r="H10" s="1188"/>
      <c r="I10" s="170"/>
      <c r="J10" s="447" t="s">
        <v>38</v>
      </c>
      <c r="K10" s="445" cm="1">
        <f t="array" aca="1" ref="K10" ca="1">_xlfn.XLOOKUP($L$7,$N$7:$BH$7,$N10:BH10)</f>
        <v>17330.542099999999</v>
      </c>
      <c r="L10" s="1188"/>
      <c r="M10" s="169"/>
      <c r="N10" s="443">
        <f>SUM(N14+N16+N18+N20+N22)</f>
        <v>6488</v>
      </c>
      <c r="O10" s="443">
        <f t="shared" si="13"/>
        <v>20575.450799999999</v>
      </c>
      <c r="P10" s="443">
        <f t="shared" si="13"/>
        <v>2897.4890999999998</v>
      </c>
      <c r="Q10" s="443">
        <f t="shared" si="13"/>
        <v>5163.1201000000001</v>
      </c>
      <c r="R10" s="443">
        <f t="shared" si="13"/>
        <v>6311.2109</v>
      </c>
      <c r="S10" s="443">
        <f t="shared" si="13"/>
        <v>5440.7143999999998</v>
      </c>
      <c r="T10" s="443">
        <f t="shared" si="13"/>
        <v>0</v>
      </c>
      <c r="U10" s="169"/>
      <c r="V10" s="443">
        <f>SUM(V14+V16+V18+V20+V22)</f>
        <v>912.65909999999997</v>
      </c>
      <c r="W10" s="443">
        <f t="shared" si="14"/>
        <v>1315.5237</v>
      </c>
      <c r="X10" s="443">
        <f t="shared" si="14"/>
        <v>2324.9360000000001</v>
      </c>
      <c r="Y10" s="443">
        <f t="shared" si="14"/>
        <v>1375.9286000000002</v>
      </c>
      <c r="Z10" s="443">
        <f t="shared" si="14"/>
        <v>5908.6845000000003</v>
      </c>
      <c r="AA10" s="443">
        <f t="shared" si="14"/>
        <v>2139.9728</v>
      </c>
      <c r="AB10" s="443">
        <f t="shared" si="14"/>
        <v>0</v>
      </c>
      <c r="AC10" s="169"/>
      <c r="AD10" s="443">
        <f>SUM(AD14+AD16+AD18+AD20+AD22)</f>
        <v>2139.9792000000002</v>
      </c>
      <c r="AE10" s="443">
        <f t="shared" si="15"/>
        <v>1752.7632000000001</v>
      </c>
      <c r="AF10" s="443">
        <f t="shared" si="15"/>
        <v>2202.8253999999997</v>
      </c>
      <c r="AG10" s="443">
        <f t="shared" si="15"/>
        <v>0</v>
      </c>
      <c r="AH10" s="443">
        <f t="shared" si="15"/>
        <v>970.17470000000003</v>
      </c>
      <c r="AI10" s="443">
        <f t="shared" si="15"/>
        <v>2224.2723999999998</v>
      </c>
      <c r="AJ10" s="443">
        <f t="shared" si="15"/>
        <v>0</v>
      </c>
      <c r="AK10" s="169"/>
      <c r="AL10" s="443">
        <f>SUM(AL14+AL16+AL18+AL20+AL22)</f>
        <v>3399.0771999999997</v>
      </c>
      <c r="AM10" s="443">
        <f t="shared" si="16"/>
        <v>17330.542099999999</v>
      </c>
      <c r="AN10" s="443">
        <f t="shared" si="16"/>
        <v>0</v>
      </c>
      <c r="AO10" s="443">
        <f t="shared" si="16"/>
        <v>0</v>
      </c>
      <c r="AP10" s="443">
        <f t="shared" si="16"/>
        <v>0</v>
      </c>
      <c r="AQ10" s="443">
        <f t="shared" si="16"/>
        <v>0</v>
      </c>
      <c r="AR10" s="443">
        <f t="shared" si="16"/>
        <v>0</v>
      </c>
      <c r="AS10" s="169"/>
      <c r="AT10" s="443">
        <f>SUM(AT14+AT16+AT18+AT20+AT22)</f>
        <v>0</v>
      </c>
      <c r="AU10" s="443">
        <f t="shared" si="17"/>
        <v>0</v>
      </c>
      <c r="AV10" s="443">
        <f t="shared" si="17"/>
        <v>0</v>
      </c>
      <c r="AW10" s="443">
        <f t="shared" si="17"/>
        <v>0</v>
      </c>
      <c r="AX10" s="443">
        <f t="shared" si="17"/>
        <v>0</v>
      </c>
      <c r="AY10" s="443">
        <f t="shared" si="17"/>
        <v>0</v>
      </c>
      <c r="AZ10" s="443">
        <f t="shared" si="17"/>
        <v>0</v>
      </c>
      <c r="BA10" s="169"/>
      <c r="BB10" s="443">
        <f>SUM(BB14+BB16+BB18+BB20+BB22)</f>
        <v>0</v>
      </c>
      <c r="BC10" s="443">
        <f t="shared" si="18"/>
        <v>0</v>
      </c>
      <c r="BD10" s="443">
        <f t="shared" si="18"/>
        <v>0</v>
      </c>
      <c r="BE10" s="443">
        <f t="shared" si="18"/>
        <v>0</v>
      </c>
      <c r="BF10" s="443">
        <f t="shared" si="18"/>
        <v>0</v>
      </c>
      <c r="BG10" s="443">
        <f t="shared" si="18"/>
        <v>0</v>
      </c>
      <c r="BH10" s="443">
        <f t="shared" si="18"/>
        <v>0</v>
      </c>
      <c r="BI10" s="169"/>
      <c r="BJ10" s="721">
        <f ca="1">SUMIFS(N10:BI10,$N$7:$BI$7,"&gt;="&amp;($L$7-WEEKDAY($L$7,2)+1),$N$7:$BI$7,"&lt;="&amp;$L$7)</f>
        <v>20729.619299999998</v>
      </c>
      <c r="BK10" s="1264"/>
      <c r="BL10" s="169"/>
      <c r="BM10" s="1266"/>
      <c r="BN10" s="1267"/>
      <c r="BO10" s="1267"/>
      <c r="BP10" s="1264"/>
      <c r="BQ10" s="169"/>
      <c r="BR10" s="1267"/>
      <c r="BS10" s="1267"/>
      <c r="BT10" s="1268"/>
      <c r="BU10" s="169"/>
      <c r="BV10" s="1267"/>
      <c r="BW10" s="1267"/>
      <c r="CB10" s="44" t="str">
        <f t="shared" si="12"/>
        <v>Supressão/Limpeza</v>
      </c>
    </row>
    <row r="11" spans="1:83" s="16" customFormat="1" ht="3.75" customHeight="1">
      <c r="A11" s="157"/>
      <c r="B11" s="171"/>
      <c r="C11" s="172"/>
      <c r="D11" s="691"/>
      <c r="E11" s="169"/>
      <c r="F11" s="173"/>
      <c r="G11" s="692"/>
      <c r="H11" s="693"/>
      <c r="I11" s="170"/>
      <c r="J11" s="174"/>
      <c r="K11" s="175"/>
      <c r="L11" s="693"/>
      <c r="M11" s="169"/>
      <c r="N11" s="175"/>
      <c r="O11" s="175"/>
      <c r="P11" s="175"/>
      <c r="Q11" s="175"/>
      <c r="R11" s="175"/>
      <c r="S11" s="175"/>
      <c r="T11" s="175"/>
      <c r="U11" s="169"/>
      <c r="V11" s="175"/>
      <c r="W11" s="175"/>
      <c r="X11" s="175"/>
      <c r="Y11" s="175"/>
      <c r="Z11" s="175"/>
      <c r="AA11" s="175"/>
      <c r="AB11" s="175"/>
      <c r="AC11" s="169"/>
      <c r="AD11" s="175"/>
      <c r="AE11" s="175"/>
      <c r="AF11" s="175"/>
      <c r="AG11" s="175"/>
      <c r="AH11" s="175"/>
      <c r="AI11" s="175"/>
      <c r="AJ11" s="175"/>
      <c r="AK11" s="169"/>
      <c r="AL11" s="175"/>
      <c r="AM11" s="175"/>
      <c r="AN11" s="175"/>
      <c r="AO11" s="175"/>
      <c r="AP11" s="175"/>
      <c r="AQ11" s="175"/>
      <c r="AR11" s="175"/>
      <c r="AS11" s="169"/>
      <c r="AT11" s="175"/>
      <c r="AU11" s="175"/>
      <c r="AV11" s="175"/>
      <c r="AW11" s="175"/>
      <c r="AX11" s="175"/>
      <c r="AY11" s="175"/>
      <c r="AZ11" s="175"/>
      <c r="BA11" s="169"/>
      <c r="BB11" s="175"/>
      <c r="BC11" s="175"/>
      <c r="BD11" s="175"/>
      <c r="BE11" s="175"/>
      <c r="BF11" s="175"/>
      <c r="BG11" s="175"/>
      <c r="BH11" s="175"/>
      <c r="BI11" s="169"/>
      <c r="BJ11" s="175"/>
      <c r="BK11" s="693"/>
      <c r="BL11" s="169"/>
      <c r="BM11" s="175"/>
      <c r="BN11" s="175"/>
      <c r="BO11" s="175"/>
      <c r="BP11" s="693"/>
      <c r="BQ11" s="169"/>
      <c r="BR11" s="692"/>
      <c r="BS11" s="692"/>
      <c r="BT11" s="693"/>
      <c r="BU11" s="169"/>
      <c r="BV11" s="692"/>
      <c r="BW11" s="692"/>
      <c r="CB11" s="44" t="str">
        <f t="shared" si="12"/>
        <v>Supressão/Limpeza</v>
      </c>
    </row>
    <row r="12" spans="1:83" s="16" customFormat="1" ht="3.75" customHeight="1">
      <c r="A12" s="157"/>
      <c r="B12" s="171"/>
      <c r="C12" s="172"/>
      <c r="D12" s="691"/>
      <c r="E12" s="169"/>
      <c r="F12" s="173"/>
      <c r="G12" s="692"/>
      <c r="H12" s="693"/>
      <c r="I12" s="170"/>
      <c r="J12" s="174"/>
      <c r="K12" s="175"/>
      <c r="L12" s="693"/>
      <c r="M12" s="169"/>
      <c r="N12" s="175"/>
      <c r="O12" s="175"/>
      <c r="P12" s="175"/>
      <c r="Q12" s="175"/>
      <c r="R12" s="175"/>
      <c r="S12" s="175"/>
      <c r="T12" s="175"/>
      <c r="U12" s="169"/>
      <c r="V12" s="175"/>
      <c r="W12" s="175"/>
      <c r="X12" s="175"/>
      <c r="Y12" s="175"/>
      <c r="Z12" s="175"/>
      <c r="AA12" s="175"/>
      <c r="AB12" s="175"/>
      <c r="AC12" s="169"/>
      <c r="AD12" s="175"/>
      <c r="AE12" s="175"/>
      <c r="AF12" s="175"/>
      <c r="AG12" s="175"/>
      <c r="AH12" s="175"/>
      <c r="AI12" s="175"/>
      <c r="AJ12" s="175"/>
      <c r="AK12" s="169"/>
      <c r="AL12" s="175"/>
      <c r="AM12" s="175"/>
      <c r="AN12" s="175"/>
      <c r="AO12" s="175"/>
      <c r="AP12" s="175"/>
      <c r="AQ12" s="175"/>
      <c r="AR12" s="175"/>
      <c r="AS12" s="169"/>
      <c r="AT12" s="175"/>
      <c r="AU12" s="175"/>
      <c r="AV12" s="175"/>
      <c r="AW12" s="175"/>
      <c r="AX12" s="175"/>
      <c r="AY12" s="175"/>
      <c r="AZ12" s="175"/>
      <c r="BA12" s="169"/>
      <c r="BB12" s="175"/>
      <c r="BC12" s="175"/>
      <c r="BD12" s="175"/>
      <c r="BE12" s="175"/>
      <c r="BF12" s="175"/>
      <c r="BG12" s="175"/>
      <c r="BH12" s="175"/>
      <c r="BI12" s="169"/>
      <c r="BJ12" s="175"/>
      <c r="BK12" s="693"/>
      <c r="BL12" s="169"/>
      <c r="BM12" s="175"/>
      <c r="BN12" s="175"/>
      <c r="BO12" s="175"/>
      <c r="BP12" s="693"/>
      <c r="BQ12" s="169"/>
      <c r="BR12" s="692"/>
      <c r="BS12" s="692"/>
      <c r="BT12" s="693"/>
      <c r="BU12" s="169"/>
      <c r="BV12" s="692"/>
      <c r="BW12" s="692"/>
      <c r="CB12" s="44" t="str">
        <f t="shared" si="12"/>
        <v>Supressão/Limpeza</v>
      </c>
    </row>
    <row r="13" spans="1:83" s="16" customFormat="1" ht="15.75" hidden="1" outlineLevel="1">
      <c r="A13" s="734"/>
      <c r="B13" s="1199" t="s">
        <v>4184</v>
      </c>
      <c r="C13" s="1190" t="s">
        <v>3210</v>
      </c>
      <c r="D13" s="1200" t="str">
        <f>IFERROR((C13/B13),"-")</f>
        <v>-</v>
      </c>
      <c r="E13" s="169"/>
      <c r="F13" s="176" t="s">
        <v>37</v>
      </c>
      <c r="G13" s="721">
        <f ca="1">SUMIFS($N13:$BH13,$N$1:$BH$1,$H$4)</f>
        <v>0</v>
      </c>
      <c r="H13" s="1177" t="str">
        <f ca="1">IFERROR((G14/G13),"-")</f>
        <v>-</v>
      </c>
      <c r="I13" s="170"/>
      <c r="J13" s="177" t="s">
        <v>37</v>
      </c>
      <c r="K13" s="721" cm="1">
        <f t="array" aca="1" ref="K13" ca="1">_xlfn.XLOOKUP($L$7,$N$7:$BH$7,$N13:BH13)</f>
        <v>0</v>
      </c>
      <c r="L13" s="1210" t="str">
        <f ca="1">IFERROR((K14/K13),"-")</f>
        <v>-</v>
      </c>
      <c r="M13" s="169"/>
      <c r="N13" s="721"/>
      <c r="O13" s="721"/>
      <c r="P13" s="721"/>
      <c r="Q13" s="721"/>
      <c r="R13" s="721"/>
      <c r="S13" s="721"/>
      <c r="T13" s="721">
        <v>0</v>
      </c>
      <c r="U13" s="169"/>
      <c r="V13" s="721">
        <v>0</v>
      </c>
      <c r="W13" s="721">
        <v>0</v>
      </c>
      <c r="X13" s="721">
        <v>0</v>
      </c>
      <c r="Y13" s="721">
        <v>0</v>
      </c>
      <c r="Z13" s="721">
        <v>0</v>
      </c>
      <c r="AA13" s="721">
        <v>0</v>
      </c>
      <c r="AB13" s="721">
        <v>0</v>
      </c>
      <c r="AC13" s="169"/>
      <c r="AD13" s="721">
        <v>0</v>
      </c>
      <c r="AE13" s="721">
        <v>0</v>
      </c>
      <c r="AF13" s="721">
        <v>0</v>
      </c>
      <c r="AG13" s="721">
        <v>0</v>
      </c>
      <c r="AH13" s="721">
        <v>0</v>
      </c>
      <c r="AI13" s="721">
        <v>0</v>
      </c>
      <c r="AJ13" s="721">
        <v>0</v>
      </c>
      <c r="AK13" s="169"/>
      <c r="AL13" s="721">
        <v>0</v>
      </c>
      <c r="AM13" s="721">
        <v>0</v>
      </c>
      <c r="AN13" s="721">
        <v>0</v>
      </c>
      <c r="AO13" s="721">
        <v>0</v>
      </c>
      <c r="AP13" s="721">
        <v>0</v>
      </c>
      <c r="AQ13" s="721">
        <v>0</v>
      </c>
      <c r="AR13" s="721">
        <v>0</v>
      </c>
      <c r="AS13" s="170"/>
      <c r="AT13" s="721">
        <v>0</v>
      </c>
      <c r="AU13" s="721">
        <v>0</v>
      </c>
      <c r="AV13" s="721">
        <v>0</v>
      </c>
      <c r="AW13" s="721">
        <v>0</v>
      </c>
      <c r="AX13" s="721">
        <v>0</v>
      </c>
      <c r="AY13" s="721">
        <v>0</v>
      </c>
      <c r="AZ13" s="721">
        <v>0</v>
      </c>
      <c r="BA13" s="169"/>
      <c r="BB13" s="721">
        <v>0</v>
      </c>
      <c r="BC13" s="721">
        <v>0</v>
      </c>
      <c r="BD13" s="721">
        <v>0</v>
      </c>
      <c r="BE13" s="721">
        <v>0</v>
      </c>
      <c r="BF13" s="721">
        <v>0</v>
      </c>
      <c r="BG13" s="721">
        <v>0</v>
      </c>
      <c r="BH13" s="721">
        <v>0</v>
      </c>
      <c r="BI13" s="170"/>
      <c r="BJ13" s="721">
        <f ca="1">SUMIFS(N13:BI13,$N$7:$BI$7,"&gt;="&amp;($L$7-WEEKDAY($L$7,2)+1),$N$7:$BI$7,"&lt;="&amp;$L$7)</f>
        <v>0</v>
      </c>
      <c r="BK13" s="1210" t="str">
        <f ca="1">IFERROR((BJ14/BJ13),"-")</f>
        <v>-</v>
      </c>
      <c r="BL13" s="170"/>
      <c r="BM13" s="1215">
        <v>0</v>
      </c>
      <c r="BN13" s="1269">
        <v>0</v>
      </c>
      <c r="BO13" s="1269">
        <v>0</v>
      </c>
      <c r="BP13" s="1210" t="str">
        <f>IFERROR((BO13/BN13),"-")</f>
        <v>-</v>
      </c>
      <c r="BQ13" s="169"/>
      <c r="BR13" s="1269">
        <v>73467.350000000006</v>
      </c>
      <c r="BS13" s="1269">
        <v>98757.647800000006</v>
      </c>
      <c r="BT13" s="1210">
        <f>IFERROR((BS13/BR13),"-")</f>
        <v>1.3442386012289813</v>
      </c>
      <c r="BU13" s="169"/>
      <c r="BV13" s="1269">
        <v>86083.02</v>
      </c>
      <c r="BW13" s="1269">
        <v>12615.67</v>
      </c>
      <c r="CB13" s="44" t="str">
        <f t="shared" si="12"/>
        <v xml:space="preserve">Seg. 3.A2 - Supressão/limpeza </v>
      </c>
    </row>
    <row r="14" spans="1:83" s="16" customFormat="1" ht="15.75" hidden="1" outlineLevel="1">
      <c r="A14" s="734"/>
      <c r="B14" s="1199"/>
      <c r="C14" s="1190"/>
      <c r="D14" s="1201"/>
      <c r="E14" s="169"/>
      <c r="F14" s="178" t="s">
        <v>38</v>
      </c>
      <c r="G14" s="721">
        <f ca="1">SUMIFS($N14:$BH14,$N$1:$BH$1,$H$4)</f>
        <v>0</v>
      </c>
      <c r="H14" s="1178"/>
      <c r="I14" s="170"/>
      <c r="J14" s="179" t="s">
        <v>38</v>
      </c>
      <c r="K14" s="721" cm="1">
        <f t="array" aca="1" ref="K14" ca="1">_xlfn.XLOOKUP($L$7,$N$7:$BH$7,$N14:BH14)</f>
        <v>0</v>
      </c>
      <c r="L14" s="1210"/>
      <c r="M14" s="169"/>
      <c r="N14" s="721">
        <v>0</v>
      </c>
      <c r="O14" s="721">
        <v>0</v>
      </c>
      <c r="P14" s="721">
        <v>0</v>
      </c>
      <c r="Q14" s="721">
        <v>0</v>
      </c>
      <c r="R14" s="721">
        <v>0</v>
      </c>
      <c r="S14" s="721">
        <v>0</v>
      </c>
      <c r="T14" s="721">
        <v>0</v>
      </c>
      <c r="U14" s="169"/>
      <c r="V14" s="721">
        <v>0</v>
      </c>
      <c r="W14" s="721">
        <v>0</v>
      </c>
      <c r="X14" s="721">
        <v>0</v>
      </c>
      <c r="Y14" s="721">
        <v>0</v>
      </c>
      <c r="Z14" s="721">
        <v>0</v>
      </c>
      <c r="AA14" s="721">
        <v>0</v>
      </c>
      <c r="AB14" s="721">
        <v>0</v>
      </c>
      <c r="AC14" s="169"/>
      <c r="AD14" s="721">
        <v>0</v>
      </c>
      <c r="AE14" s="721">
        <v>0</v>
      </c>
      <c r="AF14" s="721">
        <v>0</v>
      </c>
      <c r="AG14" s="721">
        <v>0</v>
      </c>
      <c r="AH14" s="721">
        <v>0</v>
      </c>
      <c r="AI14" s="721">
        <v>0</v>
      </c>
      <c r="AJ14" s="721">
        <v>0</v>
      </c>
      <c r="AK14" s="169"/>
      <c r="AL14" s="721">
        <v>0</v>
      </c>
      <c r="AM14" s="721">
        <v>0</v>
      </c>
      <c r="AN14" s="721">
        <v>0</v>
      </c>
      <c r="AO14" s="721">
        <v>0</v>
      </c>
      <c r="AP14" s="721">
        <v>0</v>
      </c>
      <c r="AQ14" s="721">
        <v>0</v>
      </c>
      <c r="AR14" s="721">
        <v>0</v>
      </c>
      <c r="AS14" s="170">
        <v>0</v>
      </c>
      <c r="AT14" s="721">
        <v>0</v>
      </c>
      <c r="AU14" s="721">
        <v>0</v>
      </c>
      <c r="AV14" s="721">
        <v>0</v>
      </c>
      <c r="AW14" s="721">
        <v>0</v>
      </c>
      <c r="AX14" s="721">
        <v>0</v>
      </c>
      <c r="AY14" s="721">
        <v>0</v>
      </c>
      <c r="AZ14" s="721">
        <v>0</v>
      </c>
      <c r="BA14" s="169"/>
      <c r="BB14" s="721">
        <v>0</v>
      </c>
      <c r="BC14" s="721">
        <v>0</v>
      </c>
      <c r="BD14" s="721">
        <v>0</v>
      </c>
      <c r="BE14" s="721">
        <v>0</v>
      </c>
      <c r="BF14" s="721">
        <v>0</v>
      </c>
      <c r="BG14" s="721">
        <v>0</v>
      </c>
      <c r="BH14" s="721">
        <v>0</v>
      </c>
      <c r="BI14" s="170">
        <v>0</v>
      </c>
      <c r="BJ14" s="721">
        <f t="shared" ref="BJ14:BJ22" ca="1" si="19">SUMIFS(N14:BI14,$N$7:$BI$7,"&gt;="&amp;($L$7-WEEKDAY($L$7,2)+1),$N$7:$BI$7,"&lt;="&amp;$L$7)</f>
        <v>0</v>
      </c>
      <c r="BK14" s="1210"/>
      <c r="BL14" s="170"/>
      <c r="BM14" s="1216"/>
      <c r="BN14" s="1269"/>
      <c r="BO14" s="1269"/>
      <c r="BP14" s="1210"/>
      <c r="BQ14" s="169"/>
      <c r="BR14" s="1269"/>
      <c r="BS14" s="1269"/>
      <c r="BT14" s="1210"/>
      <c r="BU14" s="169"/>
      <c r="BV14" s="1269"/>
      <c r="BW14" s="1269"/>
      <c r="CB14" s="44" t="str">
        <f t="shared" si="12"/>
        <v xml:space="preserve">Seg. 3.A2 - Supressão/limpeza </v>
      </c>
    </row>
    <row r="15" spans="1:83" s="16" customFormat="1" ht="15.75" hidden="1" outlineLevel="1">
      <c r="A15" s="734"/>
      <c r="B15" s="1199" t="s">
        <v>4185</v>
      </c>
      <c r="C15" s="1176" t="s">
        <v>3210</v>
      </c>
      <c r="D15" s="1202" t="str">
        <f>IFERROR((C15/B15),"-")</f>
        <v>-</v>
      </c>
      <c r="E15" s="169"/>
      <c r="F15" s="176" t="s">
        <v>37</v>
      </c>
      <c r="G15" s="721">
        <f t="shared" ref="G15:G22" ca="1" si="20">SUMIFS($N15:$BH15,$N$1:$BH$1,$H$4)</f>
        <v>1590.9063333333329</v>
      </c>
      <c r="H15" s="1177">
        <f ca="1">IFERROR((G16/G15),"-")</f>
        <v>0</v>
      </c>
      <c r="I15" s="170"/>
      <c r="J15" s="177" t="s">
        <v>37</v>
      </c>
      <c r="K15" s="721" cm="1">
        <f t="array" aca="1" ref="K15" ca="1">_xlfn.XLOOKUP($L$7,$N$7:$BH$7,$N15:BH15)</f>
        <v>226.32925</v>
      </c>
      <c r="L15" s="1210">
        <f ca="1">IFERROR((K16/K15),"-")</f>
        <v>0</v>
      </c>
      <c r="M15" s="169"/>
      <c r="N15" s="721">
        <v>281</v>
      </c>
      <c r="O15" s="721">
        <v>281</v>
      </c>
      <c r="P15" s="721">
        <v>281</v>
      </c>
      <c r="Q15" s="721">
        <v>281</v>
      </c>
      <c r="R15" s="721">
        <v>281</v>
      </c>
      <c r="S15" s="721">
        <v>281</v>
      </c>
      <c r="T15" s="721"/>
      <c r="U15" s="169"/>
      <c r="V15" s="721">
        <v>268.13033333333328</v>
      </c>
      <c r="W15" s="721">
        <v>268.13033333333328</v>
      </c>
      <c r="X15" s="721">
        <v>268.13033333333328</v>
      </c>
      <c r="Y15" s="721">
        <v>268.13033333333328</v>
      </c>
      <c r="Z15" s="721">
        <v>268.13033333333328</v>
      </c>
      <c r="AA15" s="721">
        <v>268.13033333333328</v>
      </c>
      <c r="AB15" s="721"/>
      <c r="AC15" s="169"/>
      <c r="AD15" s="721">
        <v>268.13033333333328</v>
      </c>
      <c r="AE15" s="721">
        <v>286.00599999999997</v>
      </c>
      <c r="AF15" s="721">
        <v>286.00599999999997</v>
      </c>
      <c r="AG15" s="721">
        <v>286.00599999999997</v>
      </c>
      <c r="AH15" s="721">
        <v>286.00599999999997</v>
      </c>
      <c r="AI15" s="721">
        <v>178.75200000000001</v>
      </c>
      <c r="AJ15" s="721"/>
      <c r="AK15" s="169"/>
      <c r="AL15" s="721">
        <v>226.32925</v>
      </c>
      <c r="AM15" s="721">
        <v>226.32925</v>
      </c>
      <c r="AN15" s="721">
        <v>226.32925</v>
      </c>
      <c r="AO15" s="721">
        <v>226.32925</v>
      </c>
      <c r="AP15" s="721">
        <v>226.32925</v>
      </c>
      <c r="AQ15" s="721">
        <v>226.32925</v>
      </c>
      <c r="AR15" s="721"/>
      <c r="AS15" s="170"/>
      <c r="AT15" s="721">
        <v>179.36333333333334</v>
      </c>
      <c r="AU15" s="721">
        <v>179.36333333333334</v>
      </c>
      <c r="AV15" s="721">
        <v>179.36333333333334</v>
      </c>
      <c r="AW15" s="721">
        <v>179.36333333333334</v>
      </c>
      <c r="AX15" s="721">
        <v>179.36333333333334</v>
      </c>
      <c r="AY15" s="721">
        <v>179.36333333333334</v>
      </c>
      <c r="AZ15" s="721"/>
      <c r="BA15" s="169"/>
      <c r="BB15" s="721">
        <v>24.330249999999999</v>
      </c>
      <c r="BC15" s="721">
        <v>24.330249999999999</v>
      </c>
      <c r="BD15" s="721">
        <v>24.330249999999999</v>
      </c>
      <c r="BE15" s="721">
        <v>24.330249999999999</v>
      </c>
      <c r="BF15" s="721">
        <v>24.330249999999999</v>
      </c>
      <c r="BG15" s="721">
        <v>24.330249999999999</v>
      </c>
      <c r="BH15" s="721"/>
      <c r="BI15" s="170"/>
      <c r="BJ15" s="180">
        <f t="shared" ca="1" si="19"/>
        <v>452.6585</v>
      </c>
      <c r="BK15" s="1210">
        <f ca="1">IFERROR((BJ16/BJ15),"-")</f>
        <v>0</v>
      </c>
      <c r="BL15" s="170"/>
      <c r="BM15" s="1215">
        <v>5731.1648333333333</v>
      </c>
      <c r="BN15" s="1269">
        <v>3652.3468333333321</v>
      </c>
      <c r="BO15" s="1269">
        <v>6509.4361000000008</v>
      </c>
      <c r="BP15" s="1210">
        <f t="shared" ref="BP15" si="21">IFERROR((BO15/BN15),"-")</f>
        <v>1.7822612136917819</v>
      </c>
      <c r="BQ15" s="169"/>
      <c r="BR15" s="1269">
        <v>93942.076833333325</v>
      </c>
      <c r="BS15" s="1270">
        <v>149659.93203999996</v>
      </c>
      <c r="BT15" s="1210">
        <f>IFERROR((BS15/BR15),"-")</f>
        <v>1.5931086163393862</v>
      </c>
      <c r="BU15" s="169"/>
      <c r="BV15" s="1270">
        <v>93360.78</v>
      </c>
      <c r="BW15" s="1270">
        <v>3071.05</v>
      </c>
      <c r="CB15" s="44" t="str">
        <f t="shared" si="12"/>
        <v>Seg. 4.1 - Supressão/limpeza</v>
      </c>
    </row>
    <row r="16" spans="1:83" s="16" customFormat="1" ht="15.75" hidden="1" outlineLevel="1">
      <c r="A16" s="734"/>
      <c r="B16" s="1199"/>
      <c r="C16" s="1176"/>
      <c r="D16" s="1201"/>
      <c r="E16" s="169"/>
      <c r="F16" s="178" t="s">
        <v>38</v>
      </c>
      <c r="G16" s="721">
        <f t="shared" ca="1" si="20"/>
        <v>0</v>
      </c>
      <c r="H16" s="1178"/>
      <c r="I16" s="170"/>
      <c r="J16" s="179" t="s">
        <v>38</v>
      </c>
      <c r="K16" s="721" cm="1">
        <f t="array" aca="1" ref="K16" ca="1">_xlfn.XLOOKUP($L$7,$N$7:$BH$7,$N16:BH16)</f>
        <v>0</v>
      </c>
      <c r="L16" s="1210"/>
      <c r="M16" s="169"/>
      <c r="N16" s="721">
        <v>6488</v>
      </c>
      <c r="O16" s="721">
        <v>0</v>
      </c>
      <c r="P16" s="721">
        <v>0</v>
      </c>
      <c r="Q16" s="721">
        <v>5163.1201000000001</v>
      </c>
      <c r="R16" s="721">
        <v>0</v>
      </c>
      <c r="S16" s="721">
        <v>0</v>
      </c>
      <c r="T16" s="721">
        <v>0</v>
      </c>
      <c r="U16" s="169"/>
      <c r="V16" s="721">
        <v>0</v>
      </c>
      <c r="W16" s="721">
        <v>0</v>
      </c>
      <c r="X16" s="721">
        <v>0</v>
      </c>
      <c r="Y16" s="721">
        <v>600.75160000000005</v>
      </c>
      <c r="Z16" s="721">
        <v>5908.6845000000003</v>
      </c>
      <c r="AA16" s="721">
        <v>0</v>
      </c>
      <c r="AB16" s="721">
        <v>0</v>
      </c>
      <c r="AC16" s="169"/>
      <c r="AD16" s="721">
        <v>0</v>
      </c>
      <c r="AE16" s="721">
        <v>0</v>
      </c>
      <c r="AF16" s="721">
        <v>0</v>
      </c>
      <c r="AG16" s="721">
        <v>0</v>
      </c>
      <c r="AH16" s="721">
        <v>0</v>
      </c>
      <c r="AI16" s="721">
        <v>0</v>
      </c>
      <c r="AJ16" s="721">
        <v>0</v>
      </c>
      <c r="AK16" s="169"/>
      <c r="AL16" s="721">
        <v>0</v>
      </c>
      <c r="AM16" s="721">
        <v>0</v>
      </c>
      <c r="AN16" s="721">
        <v>0</v>
      </c>
      <c r="AO16" s="721">
        <v>0</v>
      </c>
      <c r="AP16" s="721">
        <v>0</v>
      </c>
      <c r="AQ16" s="721">
        <v>0</v>
      </c>
      <c r="AR16" s="721">
        <v>0</v>
      </c>
      <c r="AS16" s="170"/>
      <c r="AT16" s="721">
        <v>0</v>
      </c>
      <c r="AU16" s="721">
        <v>0</v>
      </c>
      <c r="AV16" s="721">
        <v>0</v>
      </c>
      <c r="AW16" s="721">
        <v>0</v>
      </c>
      <c r="AX16" s="721">
        <v>0</v>
      </c>
      <c r="AY16" s="721">
        <v>0</v>
      </c>
      <c r="AZ16" s="721">
        <v>0</v>
      </c>
      <c r="BA16" s="169"/>
      <c r="BB16" s="721">
        <v>0</v>
      </c>
      <c r="BC16" s="721">
        <v>0</v>
      </c>
      <c r="BD16" s="721">
        <v>0</v>
      </c>
      <c r="BE16" s="721">
        <v>0</v>
      </c>
      <c r="BF16" s="721">
        <v>0</v>
      </c>
      <c r="BG16" s="721">
        <v>0</v>
      </c>
      <c r="BH16" s="721">
        <v>0</v>
      </c>
      <c r="BI16" s="170"/>
      <c r="BJ16" s="721">
        <f t="shared" ca="1" si="19"/>
        <v>0</v>
      </c>
      <c r="BK16" s="1210"/>
      <c r="BL16" s="170"/>
      <c r="BM16" s="1216"/>
      <c r="BN16" s="1269"/>
      <c r="BO16" s="1269"/>
      <c r="BP16" s="1210"/>
      <c r="BQ16" s="169"/>
      <c r="BR16" s="1269"/>
      <c r="BS16" s="1271"/>
      <c r="BT16" s="1210"/>
      <c r="BU16" s="169"/>
      <c r="BV16" s="1271"/>
      <c r="BW16" s="1271"/>
      <c r="CB16" s="44" t="str">
        <f t="shared" si="12"/>
        <v>Seg. 4.1 - Supressão/limpeza</v>
      </c>
    </row>
    <row r="17" spans="1:80" s="16" customFormat="1" ht="15.75" hidden="1" outlineLevel="1">
      <c r="A17" s="734"/>
      <c r="B17" s="1199" t="s">
        <v>4186</v>
      </c>
      <c r="C17" s="1176" t="s">
        <v>3210</v>
      </c>
      <c r="D17" s="1202" t="str">
        <f>IFERROR((C17/B17),"-")</f>
        <v>-</v>
      </c>
      <c r="E17" s="169"/>
      <c r="F17" s="176" t="s">
        <v>37</v>
      </c>
      <c r="G17" s="721">
        <f t="shared" ca="1" si="20"/>
        <v>2954.5403333333329</v>
      </c>
      <c r="H17" s="1177">
        <f ca="1">IFERROR((G18/G17),"-")</f>
        <v>3.1443181855361373</v>
      </c>
      <c r="I17" s="170"/>
      <c r="J17" s="177" t="s">
        <v>37</v>
      </c>
      <c r="K17" s="721" cm="1">
        <f t="array" aca="1" ref="K17" ca="1">_xlfn.XLOOKUP($L$7,$N$7:$BH$7,$N17:BH17)</f>
        <v>420.32575000000008</v>
      </c>
      <c r="L17" s="1210">
        <f ca="1">IFERROR((K18/K17),"-")</f>
        <v>41.23121674082541</v>
      </c>
      <c r="M17" s="169"/>
      <c r="N17" s="721">
        <v>523</v>
      </c>
      <c r="O17" s="721">
        <v>523</v>
      </c>
      <c r="P17" s="721">
        <v>523</v>
      </c>
      <c r="Q17" s="721">
        <v>523</v>
      </c>
      <c r="R17" s="721">
        <v>523</v>
      </c>
      <c r="S17" s="721">
        <v>523</v>
      </c>
      <c r="T17" s="721"/>
      <c r="U17" s="169"/>
      <c r="V17" s="721">
        <v>497.9563333333333</v>
      </c>
      <c r="W17" s="721">
        <v>497.9563333333333</v>
      </c>
      <c r="X17" s="721">
        <v>497.9563333333333</v>
      </c>
      <c r="Y17" s="721">
        <v>497.9563333333333</v>
      </c>
      <c r="Z17" s="721">
        <v>497.9563333333333</v>
      </c>
      <c r="AA17" s="721">
        <v>497.9563333333333</v>
      </c>
      <c r="AB17" s="721"/>
      <c r="AC17" s="169"/>
      <c r="AD17" s="721">
        <v>497.9563333333333</v>
      </c>
      <c r="AE17" s="721">
        <v>531.154</v>
      </c>
      <c r="AF17" s="721">
        <v>531.154</v>
      </c>
      <c r="AG17" s="721">
        <v>531.154</v>
      </c>
      <c r="AH17" s="721">
        <v>531.154</v>
      </c>
      <c r="AI17" s="721">
        <v>331.96800000000002</v>
      </c>
      <c r="AJ17" s="721"/>
      <c r="AK17" s="169"/>
      <c r="AL17" s="721">
        <v>420.32575000000008</v>
      </c>
      <c r="AM17" s="721">
        <v>420.32575000000008</v>
      </c>
      <c r="AN17" s="721">
        <v>420.32575000000008</v>
      </c>
      <c r="AO17" s="721">
        <v>420.32575000000008</v>
      </c>
      <c r="AP17" s="721">
        <v>420.32575000000008</v>
      </c>
      <c r="AQ17" s="721">
        <v>420.32575000000008</v>
      </c>
      <c r="AR17" s="721"/>
      <c r="AS17" s="170"/>
      <c r="AT17" s="721">
        <v>333.10333333333335</v>
      </c>
      <c r="AU17" s="721">
        <v>333.10333333333335</v>
      </c>
      <c r="AV17" s="721">
        <v>333.10333333333335</v>
      </c>
      <c r="AW17" s="721">
        <v>333.10333333333335</v>
      </c>
      <c r="AX17" s="721">
        <v>333.10333333333335</v>
      </c>
      <c r="AY17" s="721">
        <v>333.10333333333335</v>
      </c>
      <c r="AZ17" s="721"/>
      <c r="BA17" s="169"/>
      <c r="BB17" s="721">
        <v>45.184750000000001</v>
      </c>
      <c r="BC17" s="721">
        <v>45.184750000000001</v>
      </c>
      <c r="BD17" s="721">
        <v>45.184750000000001</v>
      </c>
      <c r="BE17" s="721">
        <v>45.184750000000001</v>
      </c>
      <c r="BF17" s="721">
        <v>45.184750000000001</v>
      </c>
      <c r="BG17" s="721">
        <v>45.184750000000001</v>
      </c>
      <c r="BH17" s="721"/>
      <c r="BI17" s="170"/>
      <c r="BJ17" s="180">
        <f t="shared" ca="1" si="19"/>
        <v>840.65150000000017</v>
      </c>
      <c r="BK17" s="1210">
        <f ca="1">IFERROR((BJ18/BJ17),"-")</f>
        <v>24.658992816880708</v>
      </c>
      <c r="BL17" s="170"/>
      <c r="BM17" s="1215">
        <v>10643.591833333332</v>
      </c>
      <c r="BN17" s="1269">
        <v>6782.9298333333345</v>
      </c>
      <c r="BO17" s="1269">
        <v>37487.902799999996</v>
      </c>
      <c r="BP17" s="1210">
        <f t="shared" ref="BP17" si="22">IFERROR((BO17/BN17),"-")</f>
        <v>5.5268009136366549</v>
      </c>
      <c r="BQ17" s="169"/>
      <c r="BR17" s="1269">
        <v>320700.60983333335</v>
      </c>
      <c r="BS17" s="1270">
        <v>535510.45599999977</v>
      </c>
      <c r="BT17" s="1210">
        <f>IFERROR((BS17/BR17),"-")</f>
        <v>1.6698142740617241</v>
      </c>
      <c r="BU17" s="169"/>
      <c r="BV17" s="1270">
        <v>319131.09000000003</v>
      </c>
      <c r="BW17" s="1270">
        <v>5213.41</v>
      </c>
      <c r="CB17" s="44" t="str">
        <f t="shared" si="12"/>
        <v>Seg. 4.2 - Supressão/limpeza</v>
      </c>
    </row>
    <row r="18" spans="1:80" s="16" customFormat="1" ht="15.75" hidden="1" outlineLevel="1">
      <c r="A18" s="734"/>
      <c r="B18" s="1199"/>
      <c r="C18" s="1176"/>
      <c r="D18" s="1201"/>
      <c r="E18" s="169"/>
      <c r="F18" s="178" t="s">
        <v>38</v>
      </c>
      <c r="G18" s="721">
        <f t="shared" ca="1" si="20"/>
        <v>9290.0149000000001</v>
      </c>
      <c r="H18" s="1178"/>
      <c r="I18" s="170"/>
      <c r="J18" s="179" t="s">
        <v>38</v>
      </c>
      <c r="K18" s="721" cm="1">
        <f t="array" aca="1" ref="K18" ca="1">_xlfn.XLOOKUP($L$7,$N$7:$BH$7,$N18:BH18)</f>
        <v>17330.542099999999</v>
      </c>
      <c r="L18" s="1210"/>
      <c r="M18" s="169"/>
      <c r="N18" s="721">
        <v>0</v>
      </c>
      <c r="O18" s="721">
        <v>20575.450799999999</v>
      </c>
      <c r="P18" s="721">
        <v>2897.4890999999998</v>
      </c>
      <c r="Q18" s="721">
        <v>0</v>
      </c>
      <c r="R18" s="721">
        <v>6311.2109</v>
      </c>
      <c r="S18" s="721">
        <v>5440.7143999999998</v>
      </c>
      <c r="T18" s="721">
        <v>0</v>
      </c>
      <c r="U18" s="169"/>
      <c r="V18" s="721">
        <v>912.65909999999997</v>
      </c>
      <c r="W18" s="721">
        <v>1315.5237</v>
      </c>
      <c r="X18" s="721">
        <v>2324.9360000000001</v>
      </c>
      <c r="Y18" s="721">
        <v>775.17700000000002</v>
      </c>
      <c r="Z18" s="721">
        <v>0</v>
      </c>
      <c r="AA18" s="721">
        <v>2139.9728</v>
      </c>
      <c r="AB18" s="721">
        <v>0</v>
      </c>
      <c r="AC18" s="169"/>
      <c r="AD18" s="721">
        <v>2139.9792000000002</v>
      </c>
      <c r="AE18" s="721">
        <v>1752.7632000000001</v>
      </c>
      <c r="AF18" s="721">
        <v>2202.8253999999997</v>
      </c>
      <c r="AG18" s="721">
        <v>0</v>
      </c>
      <c r="AH18" s="721">
        <v>970.17470000000003</v>
      </c>
      <c r="AI18" s="721">
        <v>2224.2723999999998</v>
      </c>
      <c r="AJ18" s="721">
        <v>0</v>
      </c>
      <c r="AK18" s="169"/>
      <c r="AL18" s="721">
        <v>3399.0771999999997</v>
      </c>
      <c r="AM18" s="721">
        <v>17330.542099999999</v>
      </c>
      <c r="AN18" s="721">
        <v>0</v>
      </c>
      <c r="AO18" s="721">
        <v>0</v>
      </c>
      <c r="AP18" s="721">
        <v>0</v>
      </c>
      <c r="AQ18" s="721">
        <v>0</v>
      </c>
      <c r="AR18" s="721">
        <v>0</v>
      </c>
      <c r="AS18" s="170"/>
      <c r="AT18" s="721">
        <v>0</v>
      </c>
      <c r="AU18" s="721">
        <v>0</v>
      </c>
      <c r="AV18" s="721">
        <v>0</v>
      </c>
      <c r="AW18" s="721">
        <v>0</v>
      </c>
      <c r="AX18" s="721">
        <v>0</v>
      </c>
      <c r="AY18" s="721">
        <v>0</v>
      </c>
      <c r="AZ18" s="721">
        <v>0</v>
      </c>
      <c r="BA18" s="169"/>
      <c r="BB18" s="721">
        <v>0</v>
      </c>
      <c r="BC18" s="721">
        <v>0</v>
      </c>
      <c r="BD18" s="721">
        <v>0</v>
      </c>
      <c r="BE18" s="721">
        <v>0</v>
      </c>
      <c r="BF18" s="721">
        <v>0</v>
      </c>
      <c r="BG18" s="721">
        <v>0</v>
      </c>
      <c r="BH18" s="721">
        <v>0</v>
      </c>
      <c r="BI18" s="170"/>
      <c r="BJ18" s="721">
        <f t="shared" ca="1" si="19"/>
        <v>20729.619299999998</v>
      </c>
      <c r="BK18" s="1210"/>
      <c r="BL18" s="170"/>
      <c r="BM18" s="1216"/>
      <c r="BN18" s="1269"/>
      <c r="BO18" s="1269"/>
      <c r="BP18" s="1210"/>
      <c r="BQ18" s="169"/>
      <c r="BR18" s="1269"/>
      <c r="BS18" s="1271"/>
      <c r="BT18" s="1210"/>
      <c r="BU18" s="169"/>
      <c r="BV18" s="1271"/>
      <c r="BW18" s="1271"/>
      <c r="CB18" s="44" t="str">
        <f t="shared" si="12"/>
        <v>Seg. 4.2 - Supressão/limpeza</v>
      </c>
    </row>
    <row r="19" spans="1:80" s="16" customFormat="1" ht="15.75" hidden="1" outlineLevel="1">
      <c r="A19" s="734"/>
      <c r="B19" s="1199" t="s">
        <v>4187</v>
      </c>
      <c r="C19" s="1176" t="s">
        <v>3210</v>
      </c>
      <c r="D19" s="1202" t="str">
        <f>IFERROR((C19/B19),"-")</f>
        <v>-</v>
      </c>
      <c r="E19" s="169"/>
      <c r="F19" s="176" t="s">
        <v>37</v>
      </c>
      <c r="G19" s="721">
        <f t="shared" ca="1" si="20"/>
        <v>0</v>
      </c>
      <c r="H19" s="1177" t="str">
        <f ca="1">IFERROR((G20/G19),"-")</f>
        <v>-</v>
      </c>
      <c r="I19" s="170"/>
      <c r="J19" s="177" t="s">
        <v>37</v>
      </c>
      <c r="K19" s="721" cm="1">
        <f t="array" aca="1" ref="K19" ca="1">_xlfn.XLOOKUP($L$7,$N$7:$BH$7,$N19:BH19)</f>
        <v>0</v>
      </c>
      <c r="L19" s="1210" t="str">
        <f ca="1">IFERROR((K20/K19),"-")</f>
        <v>-</v>
      </c>
      <c r="M19" s="169"/>
      <c r="N19" s="721"/>
      <c r="O19" s="721"/>
      <c r="P19" s="721"/>
      <c r="Q19" s="721"/>
      <c r="R19" s="721"/>
      <c r="S19" s="721"/>
      <c r="T19" s="721"/>
      <c r="U19" s="169"/>
      <c r="V19" s="721">
        <v>0</v>
      </c>
      <c r="W19" s="721">
        <v>0</v>
      </c>
      <c r="X19" s="721">
        <v>0</v>
      </c>
      <c r="Y19" s="721">
        <v>0</v>
      </c>
      <c r="Z19" s="721">
        <v>0</v>
      </c>
      <c r="AA19" s="721">
        <v>0</v>
      </c>
      <c r="AB19" s="721"/>
      <c r="AC19" s="169"/>
      <c r="AD19" s="721">
        <v>0</v>
      </c>
      <c r="AE19" s="721">
        <v>0</v>
      </c>
      <c r="AF19" s="721">
        <v>0</v>
      </c>
      <c r="AG19" s="721">
        <v>0</v>
      </c>
      <c r="AH19" s="721">
        <v>0</v>
      </c>
      <c r="AI19" s="721">
        <v>0</v>
      </c>
      <c r="AJ19" s="721"/>
      <c r="AK19" s="169"/>
      <c r="AL19" s="721">
        <v>0</v>
      </c>
      <c r="AM19" s="721">
        <v>0</v>
      </c>
      <c r="AN19" s="721">
        <v>0</v>
      </c>
      <c r="AO19" s="721">
        <v>0</v>
      </c>
      <c r="AP19" s="721">
        <v>0</v>
      </c>
      <c r="AQ19" s="721">
        <v>0</v>
      </c>
      <c r="AR19" s="721"/>
      <c r="AS19" s="170"/>
      <c r="AT19" s="721">
        <v>0</v>
      </c>
      <c r="AU19" s="721">
        <v>0</v>
      </c>
      <c r="AV19" s="721">
        <v>0</v>
      </c>
      <c r="AW19" s="721">
        <v>0</v>
      </c>
      <c r="AX19" s="721">
        <v>0</v>
      </c>
      <c r="AY19" s="721">
        <v>0</v>
      </c>
      <c r="AZ19" s="721"/>
      <c r="BA19" s="169"/>
      <c r="BB19" s="721">
        <v>0</v>
      </c>
      <c r="BC19" s="721">
        <v>0</v>
      </c>
      <c r="BD19" s="721">
        <v>0</v>
      </c>
      <c r="BE19" s="721">
        <v>0</v>
      </c>
      <c r="BF19" s="721">
        <v>0</v>
      </c>
      <c r="BG19" s="721">
        <v>0</v>
      </c>
      <c r="BH19" s="721"/>
      <c r="BI19" s="170"/>
      <c r="BJ19" s="721">
        <f t="shared" ca="1" si="19"/>
        <v>0</v>
      </c>
      <c r="BK19" s="1210" t="str">
        <f ca="1">IFERROR((BJ20/BJ19),"-")</f>
        <v>-</v>
      </c>
      <c r="BL19" s="170"/>
      <c r="BM19" s="1215">
        <v>0</v>
      </c>
      <c r="BN19" s="1269">
        <v>0</v>
      </c>
      <c r="BO19" s="1269">
        <v>0</v>
      </c>
      <c r="BP19" s="1210" t="str">
        <f t="shared" ref="BP19" si="23">IFERROR((BO19/BN19),"-")</f>
        <v>-</v>
      </c>
      <c r="BQ19" s="169"/>
      <c r="BR19" s="1269">
        <v>765580.67</v>
      </c>
      <c r="BS19" s="1270">
        <v>930171.19800000009</v>
      </c>
      <c r="BT19" s="1210">
        <f>IFERROR((BS19/BR19),"-")</f>
        <v>1.2149878313933919</v>
      </c>
      <c r="BU19" s="169"/>
      <c r="BV19" s="1270">
        <v>770972.01</v>
      </c>
      <c r="BW19" s="1270">
        <v>5391.34</v>
      </c>
      <c r="CB19" s="44" t="str">
        <f t="shared" si="12"/>
        <v>Seg. 4.3 - Supressão/limpeza</v>
      </c>
    </row>
    <row r="20" spans="1:80" s="16" customFormat="1" ht="15.75" hidden="1" outlineLevel="1">
      <c r="A20" s="734"/>
      <c r="B20" s="1199"/>
      <c r="C20" s="1176"/>
      <c r="D20" s="1201"/>
      <c r="E20" s="169"/>
      <c r="F20" s="178" t="s">
        <v>38</v>
      </c>
      <c r="G20" s="721">
        <f t="shared" ca="1" si="20"/>
        <v>0</v>
      </c>
      <c r="H20" s="1178"/>
      <c r="I20" s="170"/>
      <c r="J20" s="179" t="s">
        <v>38</v>
      </c>
      <c r="K20" s="721" cm="1">
        <f t="array" aca="1" ref="K20" ca="1">_xlfn.XLOOKUP($L$7,$N$7:$BH$7,$N20:BH20)</f>
        <v>0</v>
      </c>
      <c r="L20" s="1210"/>
      <c r="M20" s="169"/>
      <c r="N20" s="721">
        <v>0</v>
      </c>
      <c r="O20" s="721">
        <v>0</v>
      </c>
      <c r="P20" s="721">
        <v>0</v>
      </c>
      <c r="Q20" s="721">
        <v>0</v>
      </c>
      <c r="R20" s="721">
        <v>0</v>
      </c>
      <c r="S20" s="721">
        <v>0</v>
      </c>
      <c r="T20" s="721">
        <v>0</v>
      </c>
      <c r="U20" s="169"/>
      <c r="V20" s="721">
        <v>0</v>
      </c>
      <c r="W20" s="721">
        <v>0</v>
      </c>
      <c r="X20" s="721">
        <v>0</v>
      </c>
      <c r="Y20" s="721">
        <v>0</v>
      </c>
      <c r="Z20" s="721">
        <v>0</v>
      </c>
      <c r="AA20" s="721">
        <v>0</v>
      </c>
      <c r="AB20" s="721">
        <v>0</v>
      </c>
      <c r="AC20" s="169"/>
      <c r="AD20" s="721">
        <v>0</v>
      </c>
      <c r="AE20" s="721">
        <v>0</v>
      </c>
      <c r="AF20" s="721">
        <v>0</v>
      </c>
      <c r="AG20" s="721">
        <v>0</v>
      </c>
      <c r="AH20" s="721">
        <v>0</v>
      </c>
      <c r="AI20" s="721">
        <v>0</v>
      </c>
      <c r="AJ20" s="721">
        <v>0</v>
      </c>
      <c r="AK20" s="169"/>
      <c r="AL20" s="721">
        <v>0</v>
      </c>
      <c r="AM20" s="721">
        <v>0</v>
      </c>
      <c r="AN20" s="721">
        <v>0</v>
      </c>
      <c r="AO20" s="721">
        <v>0</v>
      </c>
      <c r="AP20" s="721">
        <v>0</v>
      </c>
      <c r="AQ20" s="721">
        <v>0</v>
      </c>
      <c r="AR20" s="721">
        <v>0</v>
      </c>
      <c r="AS20" s="170"/>
      <c r="AT20" s="721">
        <v>0</v>
      </c>
      <c r="AU20" s="721">
        <v>0</v>
      </c>
      <c r="AV20" s="721">
        <v>0</v>
      </c>
      <c r="AW20" s="721">
        <v>0</v>
      </c>
      <c r="AX20" s="721">
        <v>0</v>
      </c>
      <c r="AY20" s="721">
        <v>0</v>
      </c>
      <c r="AZ20" s="721">
        <v>0</v>
      </c>
      <c r="BA20" s="169"/>
      <c r="BB20" s="721">
        <v>0</v>
      </c>
      <c r="BC20" s="721">
        <v>0</v>
      </c>
      <c r="BD20" s="721">
        <v>0</v>
      </c>
      <c r="BE20" s="721">
        <v>0</v>
      </c>
      <c r="BF20" s="721">
        <v>0</v>
      </c>
      <c r="BG20" s="721">
        <v>0</v>
      </c>
      <c r="BH20" s="721">
        <v>0</v>
      </c>
      <c r="BI20" s="170"/>
      <c r="BJ20" s="721">
        <f t="shared" ca="1" si="19"/>
        <v>0</v>
      </c>
      <c r="BK20" s="1210"/>
      <c r="BL20" s="170"/>
      <c r="BM20" s="1216"/>
      <c r="BN20" s="1269"/>
      <c r="BO20" s="1269"/>
      <c r="BP20" s="1210"/>
      <c r="BQ20" s="169"/>
      <c r="BR20" s="1269"/>
      <c r="BS20" s="1271"/>
      <c r="BT20" s="1210"/>
      <c r="BU20" s="169"/>
      <c r="BV20" s="1271"/>
      <c r="BW20" s="1271"/>
      <c r="CB20" s="44" t="str">
        <f t="shared" si="12"/>
        <v>Seg. 4.3 - Supressão/limpeza</v>
      </c>
    </row>
    <row r="21" spans="1:80" s="93" customFormat="1" ht="15.75" hidden="1" outlineLevel="1">
      <c r="A21" s="734"/>
      <c r="B21" s="1199" t="s">
        <v>4188</v>
      </c>
      <c r="C21" s="1176" t="s">
        <v>3210</v>
      </c>
      <c r="D21" s="1202" t="str">
        <f>IFERROR((C21/B21),"-")</f>
        <v>-</v>
      </c>
      <c r="E21" s="169"/>
      <c r="F21" s="176" t="s">
        <v>37</v>
      </c>
      <c r="G21" s="721">
        <f t="shared" ca="1" si="20"/>
        <v>0</v>
      </c>
      <c r="H21" s="1177" t="str">
        <f ca="1">IFERROR((G22/G21),"-")</f>
        <v>-</v>
      </c>
      <c r="I21" s="170"/>
      <c r="J21" s="177" t="s">
        <v>37</v>
      </c>
      <c r="K21" s="721" cm="1">
        <f t="array" aca="1" ref="K21" ca="1">_xlfn.XLOOKUP($L$7,$N$7:$BH$7,$N21:BH21)</f>
        <v>0</v>
      </c>
      <c r="L21" s="1210" t="str">
        <f ca="1">IFERROR((K22/K21),"-")</f>
        <v>-</v>
      </c>
      <c r="M21" s="169"/>
      <c r="N21" s="721"/>
      <c r="O21" s="721"/>
      <c r="P21" s="721"/>
      <c r="Q21" s="721"/>
      <c r="R21" s="721"/>
      <c r="S21" s="721"/>
      <c r="T21" s="721"/>
      <c r="U21" s="169"/>
      <c r="V21" s="721">
        <v>0</v>
      </c>
      <c r="W21" s="721">
        <v>0</v>
      </c>
      <c r="X21" s="721">
        <v>0</v>
      </c>
      <c r="Y21" s="721">
        <v>0</v>
      </c>
      <c r="Z21" s="721">
        <v>0</v>
      </c>
      <c r="AA21" s="721">
        <v>0</v>
      </c>
      <c r="AB21" s="721"/>
      <c r="AC21" s="169"/>
      <c r="AD21" s="721">
        <v>0</v>
      </c>
      <c r="AE21" s="721">
        <v>0</v>
      </c>
      <c r="AF21" s="721">
        <v>0</v>
      </c>
      <c r="AG21" s="721">
        <v>0</v>
      </c>
      <c r="AH21" s="721">
        <v>0</v>
      </c>
      <c r="AI21" s="721">
        <v>0</v>
      </c>
      <c r="AJ21" s="721"/>
      <c r="AK21" s="169"/>
      <c r="AL21" s="721">
        <v>0</v>
      </c>
      <c r="AM21" s="721">
        <v>0</v>
      </c>
      <c r="AN21" s="721">
        <v>0</v>
      </c>
      <c r="AO21" s="721">
        <v>0</v>
      </c>
      <c r="AP21" s="721">
        <v>0</v>
      </c>
      <c r="AQ21" s="721">
        <v>0</v>
      </c>
      <c r="AR21" s="721"/>
      <c r="AS21" s="170"/>
      <c r="AT21" s="721">
        <v>0</v>
      </c>
      <c r="AU21" s="721">
        <v>0</v>
      </c>
      <c r="AV21" s="721">
        <v>0</v>
      </c>
      <c r="AW21" s="721">
        <v>0</v>
      </c>
      <c r="AX21" s="721">
        <v>0</v>
      </c>
      <c r="AY21" s="721">
        <v>0</v>
      </c>
      <c r="AZ21" s="721"/>
      <c r="BA21" s="169"/>
      <c r="BB21" s="721">
        <v>0</v>
      </c>
      <c r="BC21" s="721">
        <v>0</v>
      </c>
      <c r="BD21" s="721">
        <v>0</v>
      </c>
      <c r="BE21" s="721">
        <v>0</v>
      </c>
      <c r="BF21" s="721">
        <v>0</v>
      </c>
      <c r="BG21" s="721">
        <v>0</v>
      </c>
      <c r="BH21" s="721"/>
      <c r="BI21" s="170"/>
      <c r="BJ21" s="721">
        <f t="shared" ca="1" si="19"/>
        <v>0</v>
      </c>
      <c r="BK21" s="1210" t="str">
        <f ca="1">IFERROR((BJ22/BJ21),"-")</f>
        <v>-</v>
      </c>
      <c r="BL21" s="170"/>
      <c r="BM21" s="1215">
        <v>0</v>
      </c>
      <c r="BN21" s="1269">
        <v>0</v>
      </c>
      <c r="BO21" s="1269">
        <v>0</v>
      </c>
      <c r="BP21" s="1210" t="str">
        <f t="shared" ref="BP21" si="24">IFERROR((BO21/BN21),"-")</f>
        <v>-</v>
      </c>
      <c r="BQ21" s="169"/>
      <c r="BR21" s="1269">
        <v>628489.9</v>
      </c>
      <c r="BS21" s="1270">
        <v>307505.375</v>
      </c>
      <c r="BT21" s="1210">
        <f>IFERROR((BS21/BR21),"-")</f>
        <v>0.48927655798446401</v>
      </c>
      <c r="BU21" s="169"/>
      <c r="BV21" s="1270">
        <v>671970.76</v>
      </c>
      <c r="BW21" s="1270">
        <v>43480.86</v>
      </c>
      <c r="CB21" s="44" t="str">
        <f t="shared" si="12"/>
        <v>Seg. 4.4 - Supressão/limpeza</v>
      </c>
    </row>
    <row r="22" spans="1:80" s="98" customFormat="1" ht="15.75" hidden="1" outlineLevel="1">
      <c r="A22" s="734"/>
      <c r="B22" s="1199"/>
      <c r="C22" s="1176"/>
      <c r="D22" s="1200"/>
      <c r="E22" s="169"/>
      <c r="F22" s="178" t="s">
        <v>38</v>
      </c>
      <c r="G22" s="721">
        <f t="shared" ca="1" si="20"/>
        <v>0</v>
      </c>
      <c r="H22" s="1178"/>
      <c r="I22" s="170"/>
      <c r="J22" s="179" t="s">
        <v>38</v>
      </c>
      <c r="K22" s="721" cm="1">
        <f t="array" aca="1" ref="K22" ca="1">_xlfn.XLOOKUP($L$7,$N$7:$BH$7,$N22:BH22)</f>
        <v>0</v>
      </c>
      <c r="L22" s="1210"/>
      <c r="M22" s="169"/>
      <c r="N22" s="721">
        <v>0</v>
      </c>
      <c r="O22" s="721">
        <v>0</v>
      </c>
      <c r="P22" s="721">
        <v>0</v>
      </c>
      <c r="Q22" s="721">
        <v>0</v>
      </c>
      <c r="R22" s="721">
        <v>0</v>
      </c>
      <c r="S22" s="721">
        <v>0</v>
      </c>
      <c r="T22" s="721">
        <v>0</v>
      </c>
      <c r="U22" s="169"/>
      <c r="V22" s="721">
        <v>0</v>
      </c>
      <c r="W22" s="721">
        <v>0</v>
      </c>
      <c r="X22" s="721">
        <v>0</v>
      </c>
      <c r="Y22" s="721">
        <v>0</v>
      </c>
      <c r="Z22" s="721">
        <v>0</v>
      </c>
      <c r="AA22" s="721">
        <v>0</v>
      </c>
      <c r="AB22" s="721">
        <v>0</v>
      </c>
      <c r="AC22" s="169"/>
      <c r="AD22" s="721">
        <v>0</v>
      </c>
      <c r="AE22" s="721">
        <v>0</v>
      </c>
      <c r="AF22" s="721">
        <v>0</v>
      </c>
      <c r="AG22" s="721">
        <v>0</v>
      </c>
      <c r="AH22" s="721">
        <v>0</v>
      </c>
      <c r="AI22" s="721">
        <v>0</v>
      </c>
      <c r="AJ22" s="721">
        <v>0</v>
      </c>
      <c r="AK22" s="169"/>
      <c r="AL22" s="721">
        <v>0</v>
      </c>
      <c r="AM22" s="721">
        <v>0</v>
      </c>
      <c r="AN22" s="721">
        <v>0</v>
      </c>
      <c r="AO22" s="721">
        <v>0</v>
      </c>
      <c r="AP22" s="721">
        <v>0</v>
      </c>
      <c r="AQ22" s="721">
        <v>0</v>
      </c>
      <c r="AR22" s="721">
        <v>0</v>
      </c>
      <c r="AS22" s="170"/>
      <c r="AT22" s="721">
        <v>0</v>
      </c>
      <c r="AU22" s="721">
        <v>0</v>
      </c>
      <c r="AV22" s="721">
        <v>0</v>
      </c>
      <c r="AW22" s="721">
        <v>0</v>
      </c>
      <c r="AX22" s="721">
        <v>0</v>
      </c>
      <c r="AY22" s="721">
        <v>0</v>
      </c>
      <c r="AZ22" s="721">
        <v>0</v>
      </c>
      <c r="BA22" s="169"/>
      <c r="BB22" s="721">
        <v>0</v>
      </c>
      <c r="BC22" s="721">
        <v>0</v>
      </c>
      <c r="BD22" s="721">
        <v>0</v>
      </c>
      <c r="BE22" s="721">
        <v>0</v>
      </c>
      <c r="BF22" s="721">
        <v>0</v>
      </c>
      <c r="BG22" s="721">
        <v>0</v>
      </c>
      <c r="BH22" s="721">
        <v>0</v>
      </c>
      <c r="BI22" s="170"/>
      <c r="BJ22" s="721">
        <f t="shared" ca="1" si="19"/>
        <v>0</v>
      </c>
      <c r="BK22" s="1210"/>
      <c r="BL22" s="170"/>
      <c r="BM22" s="1216"/>
      <c r="BN22" s="1269"/>
      <c r="BO22" s="1269"/>
      <c r="BP22" s="1210"/>
      <c r="BQ22" s="169"/>
      <c r="BR22" s="1269"/>
      <c r="BS22" s="1271"/>
      <c r="BT22" s="1210"/>
      <c r="BU22" s="169"/>
      <c r="BV22" s="1271"/>
      <c r="BW22" s="1271"/>
      <c r="CB22" s="44" t="str">
        <f t="shared" si="12"/>
        <v>Seg. 4.4 - Supressão/limpeza</v>
      </c>
    </row>
    <row r="23" spans="1:80" s="16" customFormat="1" ht="3.75" customHeight="1" collapsed="1">
      <c r="A23" s="157"/>
      <c r="B23" s="171"/>
      <c r="C23" s="172"/>
      <c r="D23" s="691"/>
      <c r="E23" s="169"/>
      <c r="F23" s="173"/>
      <c r="G23" s="692"/>
      <c r="H23" s="693"/>
      <c r="I23" s="170"/>
      <c r="J23" s="174"/>
      <c r="K23" s="175"/>
      <c r="L23" s="693"/>
      <c r="M23" s="169"/>
      <c r="N23" s="175"/>
      <c r="O23" s="175"/>
      <c r="P23" s="175"/>
      <c r="Q23" s="175"/>
      <c r="R23" s="175"/>
      <c r="S23" s="175"/>
      <c r="T23" s="175"/>
      <c r="U23" s="169"/>
      <c r="V23" s="175"/>
      <c r="W23" s="175"/>
      <c r="X23" s="175"/>
      <c r="Y23" s="175"/>
      <c r="Z23" s="175"/>
      <c r="AA23" s="175"/>
      <c r="AB23" s="175"/>
      <c r="AC23" s="169"/>
      <c r="AD23" s="175"/>
      <c r="AE23" s="175"/>
      <c r="AF23" s="175"/>
      <c r="AG23" s="175"/>
      <c r="AH23" s="175"/>
      <c r="AI23" s="175"/>
      <c r="AJ23" s="175"/>
      <c r="AK23" s="169"/>
      <c r="AL23" s="175"/>
      <c r="AM23" s="175"/>
      <c r="AN23" s="175"/>
      <c r="AO23" s="175"/>
      <c r="AP23" s="175"/>
      <c r="AQ23" s="175"/>
      <c r="AR23" s="175"/>
      <c r="AS23" s="169"/>
      <c r="AT23" s="175"/>
      <c r="AU23" s="175"/>
      <c r="AV23" s="175"/>
      <c r="AW23" s="175"/>
      <c r="AX23" s="175"/>
      <c r="AY23" s="175"/>
      <c r="AZ23" s="175"/>
      <c r="BA23" s="169"/>
      <c r="BB23" s="175"/>
      <c r="BC23" s="175"/>
      <c r="BD23" s="175"/>
      <c r="BE23" s="175"/>
      <c r="BF23" s="175"/>
      <c r="BG23" s="175"/>
      <c r="BH23" s="175"/>
      <c r="BI23" s="169"/>
      <c r="BJ23" s="175"/>
      <c r="BK23" s="693"/>
      <c r="BL23" s="169"/>
      <c r="BM23" s="175"/>
      <c r="BN23" s="175"/>
      <c r="BO23" s="175"/>
      <c r="BP23" s="693"/>
      <c r="BQ23" s="169"/>
      <c r="BR23" s="692"/>
      <c r="BS23" s="692"/>
      <c r="BT23" s="693"/>
      <c r="BU23" s="169"/>
      <c r="BV23" s="692"/>
      <c r="BW23" s="692"/>
      <c r="CB23" s="44" t="str">
        <f t="shared" si="12"/>
        <v>Seg. 4.4 - Supressão/limpeza</v>
      </c>
    </row>
    <row r="24" spans="1:80" s="16" customFormat="1" ht="3.75" customHeight="1">
      <c r="A24" s="157"/>
      <c r="B24" s="171"/>
      <c r="C24" s="172"/>
      <c r="D24" s="691"/>
      <c r="E24" s="169"/>
      <c r="F24" s="173"/>
      <c r="G24" s="692"/>
      <c r="H24" s="693"/>
      <c r="I24" s="170"/>
      <c r="J24" s="174"/>
      <c r="K24" s="175"/>
      <c r="L24" s="693"/>
      <c r="M24" s="169"/>
      <c r="N24" s="175"/>
      <c r="O24" s="175"/>
      <c r="P24" s="175"/>
      <c r="Q24" s="175"/>
      <c r="R24" s="175"/>
      <c r="S24" s="175"/>
      <c r="T24" s="175"/>
      <c r="U24" s="169"/>
      <c r="V24" s="175"/>
      <c r="W24" s="175"/>
      <c r="X24" s="175"/>
      <c r="Y24" s="175"/>
      <c r="Z24" s="175"/>
      <c r="AA24" s="175"/>
      <c r="AB24" s="175"/>
      <c r="AC24" s="169"/>
      <c r="AD24" s="175"/>
      <c r="AE24" s="175"/>
      <c r="AF24" s="175"/>
      <c r="AG24" s="175"/>
      <c r="AH24" s="175"/>
      <c r="AI24" s="175"/>
      <c r="AJ24" s="175"/>
      <c r="AK24" s="169"/>
      <c r="AL24" s="175"/>
      <c r="AM24" s="175"/>
      <c r="AN24" s="175"/>
      <c r="AO24" s="175"/>
      <c r="AP24" s="175"/>
      <c r="AQ24" s="175"/>
      <c r="AR24" s="175"/>
      <c r="AS24" s="169"/>
      <c r="AT24" s="175"/>
      <c r="AU24" s="175"/>
      <c r="AV24" s="175"/>
      <c r="AW24" s="175"/>
      <c r="AX24" s="175"/>
      <c r="AY24" s="175"/>
      <c r="AZ24" s="175"/>
      <c r="BA24" s="169"/>
      <c r="BB24" s="175"/>
      <c r="BC24" s="175"/>
      <c r="BD24" s="175"/>
      <c r="BE24" s="175"/>
      <c r="BF24" s="175"/>
      <c r="BG24" s="175"/>
      <c r="BH24" s="175"/>
      <c r="BI24" s="169"/>
      <c r="BJ24" s="175"/>
      <c r="BK24" s="693"/>
      <c r="BL24" s="169"/>
      <c r="BM24" s="175"/>
      <c r="BN24" s="175"/>
      <c r="BO24" s="175"/>
      <c r="BP24" s="693"/>
      <c r="BQ24" s="169"/>
      <c r="BR24" s="692"/>
      <c r="BS24" s="692"/>
      <c r="BT24" s="693"/>
      <c r="BU24" s="169"/>
      <c r="BV24" s="692"/>
      <c r="BW24" s="692"/>
      <c r="CB24" s="44" t="str">
        <f t="shared" si="12"/>
        <v>Seg. 4.4 - Supressão/limpeza</v>
      </c>
    </row>
    <row r="25" spans="1:80" s="16" customFormat="1" ht="15.75">
      <c r="A25" s="733"/>
      <c r="B25" s="1205" t="s">
        <v>47</v>
      </c>
      <c r="C25" s="1242" t="s">
        <v>36</v>
      </c>
      <c r="D25" s="1206">
        <f>IFERROR((BS25-BR25),"-")</f>
        <v>158483.60500305914</v>
      </c>
      <c r="E25" s="186"/>
      <c r="F25" s="448" t="s">
        <v>37</v>
      </c>
      <c r="G25" s="449">
        <f ca="1">SUMIFS($N25:$BH25,$N$1:$BH$1,$H$4)</f>
        <v>40064.070899999999</v>
      </c>
      <c r="H25" s="1211">
        <f ca="1">IFERROR((G26/G25),"-")</f>
        <v>1.3203820483454667</v>
      </c>
      <c r="I25" s="187"/>
      <c r="J25" s="450" t="s">
        <v>37</v>
      </c>
      <c r="K25" s="451" cm="1">
        <f t="array" aca="1" ref="K25" ca="1">_xlfn.XLOOKUP($L$7,$N$7:$BH$7,$N25:BH25)</f>
        <v>5673.042075866666</v>
      </c>
      <c r="L25" s="1211">
        <f ca="1">IFERROR((K26/K25),"-")</f>
        <v>1.5029308589602624</v>
      </c>
      <c r="M25" s="186"/>
      <c r="N25" s="452">
        <f t="shared" ref="N25:T26" si="25">SUM(N29+N31+N33+N35+N37)</f>
        <v>10332</v>
      </c>
      <c r="O25" s="452">
        <f t="shared" si="25"/>
        <v>10332</v>
      </c>
      <c r="P25" s="452">
        <f t="shared" si="25"/>
        <v>10332</v>
      </c>
      <c r="Q25" s="452">
        <f t="shared" si="25"/>
        <v>10332</v>
      </c>
      <c r="R25" s="452">
        <f t="shared" si="25"/>
        <v>10332</v>
      </c>
      <c r="S25" s="452">
        <f t="shared" si="25"/>
        <v>10332</v>
      </c>
      <c r="T25" s="452">
        <f t="shared" si="25"/>
        <v>0</v>
      </c>
      <c r="U25" s="186"/>
      <c r="V25" s="452">
        <f t="shared" ref="V25:AB26" si="26">SUM(V29+V31+V33+V35+V37)</f>
        <v>10991.785544999999</v>
      </c>
      <c r="W25" s="452">
        <f t="shared" si="26"/>
        <v>10991.785544999999</v>
      </c>
      <c r="X25" s="452">
        <f t="shared" si="26"/>
        <v>10991.785544999999</v>
      </c>
      <c r="Y25" s="452">
        <f t="shared" si="26"/>
        <v>10991.785544999999</v>
      </c>
      <c r="Z25" s="452">
        <f t="shared" si="26"/>
        <v>10991.785544999999</v>
      </c>
      <c r="AA25" s="452">
        <f t="shared" si="26"/>
        <v>10991.785544999999</v>
      </c>
      <c r="AB25" s="452">
        <f t="shared" si="26"/>
        <v>0</v>
      </c>
      <c r="AC25" s="186"/>
      <c r="AD25" s="452">
        <f t="shared" ref="AD25:AJ26" si="27">SUM(AD29+AD31+AD33+AD35+AD37)</f>
        <v>6677.3451500000001</v>
      </c>
      <c r="AE25" s="452">
        <f t="shared" si="27"/>
        <v>6677.3451500000001</v>
      </c>
      <c r="AF25" s="452">
        <f t="shared" si="27"/>
        <v>6677.3451500000001</v>
      </c>
      <c r="AG25" s="452">
        <f t="shared" si="27"/>
        <v>6677.3451500000001</v>
      </c>
      <c r="AH25" s="452">
        <f t="shared" si="27"/>
        <v>6677.3451500000001</v>
      </c>
      <c r="AI25" s="452">
        <f t="shared" si="27"/>
        <v>6677.3451500000001</v>
      </c>
      <c r="AJ25" s="452">
        <f t="shared" si="27"/>
        <v>0</v>
      </c>
      <c r="AK25" s="186"/>
      <c r="AL25" s="452">
        <f t="shared" ref="AL25:AR26" si="28">SUM(AL29+AL31+AL33+AL35+AL37)</f>
        <v>5673.042075866666</v>
      </c>
      <c r="AM25" s="452">
        <f t="shared" si="28"/>
        <v>5673.042075866666</v>
      </c>
      <c r="AN25" s="452">
        <f t="shared" si="28"/>
        <v>5673.042075866666</v>
      </c>
      <c r="AO25" s="452">
        <f t="shared" si="28"/>
        <v>5673.042075866666</v>
      </c>
      <c r="AP25" s="452">
        <f t="shared" si="28"/>
        <v>5673.042075866666</v>
      </c>
      <c r="AQ25" s="452">
        <f t="shared" si="28"/>
        <v>5673.042075866666</v>
      </c>
      <c r="AR25" s="452">
        <f t="shared" si="28"/>
        <v>0</v>
      </c>
      <c r="AS25" s="187"/>
      <c r="AT25" s="452">
        <f t="shared" ref="AT25:AZ26" si="29">SUM(AT29+AT31+AT33+AT35+AT37)</f>
        <v>7562.842842</v>
      </c>
      <c r="AU25" s="452">
        <f t="shared" si="29"/>
        <v>7562.842842</v>
      </c>
      <c r="AV25" s="452">
        <f t="shared" si="29"/>
        <v>7562.842842</v>
      </c>
      <c r="AW25" s="452">
        <f t="shared" si="29"/>
        <v>7562.842842</v>
      </c>
      <c r="AX25" s="452">
        <f t="shared" si="29"/>
        <v>7562.842842</v>
      </c>
      <c r="AY25" s="452">
        <f t="shared" si="29"/>
        <v>7562.842842</v>
      </c>
      <c r="AZ25" s="452">
        <f t="shared" si="29"/>
        <v>0</v>
      </c>
      <c r="BA25" s="186"/>
      <c r="BB25" s="452">
        <f t="shared" ref="BB25:BH26" si="30">SUM(BB29+BB31+BB33+BB35+BB37)</f>
        <v>9237.6837500000001</v>
      </c>
      <c r="BC25" s="452">
        <f t="shared" si="30"/>
        <v>9237.6837500000001</v>
      </c>
      <c r="BD25" s="452">
        <f t="shared" si="30"/>
        <v>9237.6837500000001</v>
      </c>
      <c r="BE25" s="452">
        <f t="shared" si="30"/>
        <v>9237.6837500000001</v>
      </c>
      <c r="BF25" s="452">
        <f t="shared" si="30"/>
        <v>9237.6837500000001</v>
      </c>
      <c r="BG25" s="452">
        <f t="shared" si="30"/>
        <v>9237.6837500000001</v>
      </c>
      <c r="BH25" s="452">
        <f t="shared" si="30"/>
        <v>0</v>
      </c>
      <c r="BI25" s="187"/>
      <c r="BJ25" s="180">
        <f ca="1">SUMIFS(N25:BI25,$N$7:$BI$7,"&gt;="&amp;($L$7-WEEKDAY($L$7,2)+1),$N$7:$BI$7,"&lt;="&amp;$L$7)</f>
        <v>11346.084151733332</v>
      </c>
      <c r="BK25" s="1272">
        <f ca="1">IFERROR((BJ26/BJ25),"-")</f>
        <v>1.5136244161714933</v>
      </c>
      <c r="BL25" s="187"/>
      <c r="BM25" s="1274">
        <f>SUM(BM29:BM38)</f>
        <v>222380.82867719998</v>
      </c>
      <c r="BN25" s="1276">
        <f>SUM(BN29:BN38)</f>
        <v>117360.86832173332</v>
      </c>
      <c r="BO25" s="1276">
        <f>SUM(BO29:BO38)</f>
        <v>125212.56000000001</v>
      </c>
      <c r="BP25" s="1277">
        <f>IFERROR((BO25/BN25),"-")</f>
        <v>1.0669021266674856</v>
      </c>
      <c r="BQ25" s="186"/>
      <c r="BR25" s="1276">
        <f>SUM(BR29:BR38)</f>
        <v>1979697.2757031329</v>
      </c>
      <c r="BS25" s="1276">
        <f>SUM(BS29:BS38)</f>
        <v>2138180.880706192</v>
      </c>
      <c r="BT25" s="1277">
        <f>IFERROR((BS25/BR25),"-")</f>
        <v>1.0800544643608554</v>
      </c>
      <c r="BU25" s="186"/>
      <c r="BV25" s="1276">
        <f>SUM(BV29:BV38)</f>
        <v>2502064.0209999997</v>
      </c>
      <c r="BW25" s="1276">
        <f>SUM(BW29:BW38)</f>
        <v>363883.14029380801</v>
      </c>
      <c r="CB25" s="44" t="str">
        <f t="shared" si="12"/>
        <v>Corte</v>
      </c>
    </row>
    <row r="26" spans="1:80" s="16" customFormat="1" ht="15.75">
      <c r="A26" s="157"/>
      <c r="B26" s="1205"/>
      <c r="C26" s="1242"/>
      <c r="D26" s="1207"/>
      <c r="E26" s="186"/>
      <c r="F26" s="453" t="s">
        <v>38</v>
      </c>
      <c r="G26" s="449">
        <f ca="1">SUMIFS($N26:$BH26,$N$1:$BH$1,$H$4)</f>
        <v>52899.880000000005</v>
      </c>
      <c r="H26" s="1212"/>
      <c r="I26" s="187"/>
      <c r="J26" s="454" t="s">
        <v>38</v>
      </c>
      <c r="K26" s="451" cm="1">
        <f t="array" aca="1" ref="K26" ca="1">_xlfn.XLOOKUP($L$7,$N$7:$BH$7,$N26:BH26)</f>
        <v>8526.1899999999987</v>
      </c>
      <c r="L26" s="1212"/>
      <c r="M26" s="186"/>
      <c r="N26" s="452">
        <f t="shared" si="25"/>
        <v>12144.029999999999</v>
      </c>
      <c r="O26" s="452">
        <f t="shared" si="25"/>
        <v>11063.09</v>
      </c>
      <c r="P26" s="452">
        <f t="shared" si="25"/>
        <v>9187.99</v>
      </c>
      <c r="Q26" s="452">
        <f t="shared" si="25"/>
        <v>9949.06</v>
      </c>
      <c r="R26" s="452">
        <f t="shared" si="25"/>
        <v>11030</v>
      </c>
      <c r="S26" s="452">
        <f t="shared" si="25"/>
        <v>8096.0199999999986</v>
      </c>
      <c r="T26" s="452">
        <f t="shared" si="25"/>
        <v>0</v>
      </c>
      <c r="U26" s="186"/>
      <c r="V26" s="452">
        <f t="shared" si="26"/>
        <v>5360.58</v>
      </c>
      <c r="W26" s="452">
        <f t="shared" si="26"/>
        <v>12110.939999999999</v>
      </c>
      <c r="X26" s="452">
        <f t="shared" si="26"/>
        <v>11570.469999999998</v>
      </c>
      <c r="Y26" s="452">
        <f t="shared" si="26"/>
        <v>10489.529999999999</v>
      </c>
      <c r="Z26" s="452">
        <f t="shared" si="26"/>
        <v>8978.42</v>
      </c>
      <c r="AA26" s="452">
        <f t="shared" si="26"/>
        <v>7974.69</v>
      </c>
      <c r="AB26" s="452">
        <f t="shared" si="26"/>
        <v>0</v>
      </c>
      <c r="AC26" s="186"/>
      <c r="AD26" s="452">
        <f t="shared" si="27"/>
        <v>11151.33</v>
      </c>
      <c r="AE26" s="452">
        <f t="shared" si="27"/>
        <v>9772.58</v>
      </c>
      <c r="AF26" s="452">
        <f t="shared" si="27"/>
        <v>10268.93</v>
      </c>
      <c r="AG26" s="452">
        <f t="shared" si="27"/>
        <v>8713.7000000000007</v>
      </c>
      <c r="AH26" s="452">
        <f t="shared" si="27"/>
        <v>6331.2199999999993</v>
      </c>
      <c r="AI26" s="452">
        <f t="shared" si="27"/>
        <v>6662.12</v>
      </c>
      <c r="AJ26" s="452">
        <f t="shared" si="27"/>
        <v>0</v>
      </c>
      <c r="AK26" s="186"/>
      <c r="AL26" s="452">
        <f t="shared" si="28"/>
        <v>8647.52</v>
      </c>
      <c r="AM26" s="452">
        <f t="shared" si="28"/>
        <v>8526.1899999999987</v>
      </c>
      <c r="AN26" s="452">
        <f t="shared" si="28"/>
        <v>0</v>
      </c>
      <c r="AO26" s="452">
        <f t="shared" si="28"/>
        <v>0</v>
      </c>
      <c r="AP26" s="452">
        <f t="shared" si="28"/>
        <v>0</v>
      </c>
      <c r="AQ26" s="452">
        <f t="shared" si="28"/>
        <v>0</v>
      </c>
      <c r="AR26" s="452">
        <f t="shared" si="28"/>
        <v>0</v>
      </c>
      <c r="AS26" s="187"/>
      <c r="AT26" s="452">
        <f t="shared" si="29"/>
        <v>0</v>
      </c>
      <c r="AU26" s="452">
        <f t="shared" si="29"/>
        <v>0</v>
      </c>
      <c r="AV26" s="452">
        <f t="shared" si="29"/>
        <v>0</v>
      </c>
      <c r="AW26" s="452">
        <f t="shared" si="29"/>
        <v>0</v>
      </c>
      <c r="AX26" s="452">
        <f t="shared" si="29"/>
        <v>0</v>
      </c>
      <c r="AY26" s="452">
        <f t="shared" si="29"/>
        <v>0</v>
      </c>
      <c r="AZ26" s="452">
        <f t="shared" si="29"/>
        <v>0</v>
      </c>
      <c r="BA26" s="186"/>
      <c r="BB26" s="452">
        <f t="shared" si="30"/>
        <v>0</v>
      </c>
      <c r="BC26" s="452">
        <f t="shared" si="30"/>
        <v>0</v>
      </c>
      <c r="BD26" s="452">
        <f t="shared" si="30"/>
        <v>0</v>
      </c>
      <c r="BE26" s="452">
        <f t="shared" si="30"/>
        <v>0</v>
      </c>
      <c r="BF26" s="452">
        <f t="shared" si="30"/>
        <v>0</v>
      </c>
      <c r="BG26" s="452">
        <f t="shared" si="30"/>
        <v>0</v>
      </c>
      <c r="BH26" s="452">
        <f t="shared" si="30"/>
        <v>0</v>
      </c>
      <c r="BI26" s="187"/>
      <c r="BJ26" s="180">
        <f ca="1">SUMIFS(N26:BI26,$N$7:$BI$7,"&gt;="&amp;($L$7-WEEKDAY($L$7,2)+1),$N$7:$BI$7,"&lt;="&amp;$L$7)</f>
        <v>17173.71</v>
      </c>
      <c r="BK26" s="1273"/>
      <c r="BL26" s="187"/>
      <c r="BM26" s="1275"/>
      <c r="BN26" s="1276"/>
      <c r="BO26" s="1276"/>
      <c r="BP26" s="1277"/>
      <c r="BQ26" s="186"/>
      <c r="BR26" s="1276"/>
      <c r="BS26" s="1276"/>
      <c r="BT26" s="1277"/>
      <c r="BU26" s="186"/>
      <c r="BV26" s="1276"/>
      <c r="BW26" s="1276"/>
      <c r="CB26" s="44" t="str">
        <f t="shared" si="12"/>
        <v>Corte</v>
      </c>
    </row>
    <row r="27" spans="1:80" s="16" customFormat="1" ht="3.75" customHeight="1">
      <c r="A27" s="157"/>
      <c r="B27" s="171"/>
      <c r="C27" s="172"/>
      <c r="D27" s="691"/>
      <c r="E27" s="169"/>
      <c r="F27" s="173"/>
      <c r="G27" s="692"/>
      <c r="H27" s="693"/>
      <c r="I27" s="170"/>
      <c r="J27" s="174"/>
      <c r="K27" s="175"/>
      <c r="L27" s="693"/>
      <c r="M27" s="169"/>
      <c r="N27" s="175"/>
      <c r="O27" s="175"/>
      <c r="P27" s="175"/>
      <c r="Q27" s="175"/>
      <c r="R27" s="175"/>
      <c r="S27" s="175"/>
      <c r="T27" s="175"/>
      <c r="U27" s="169"/>
      <c r="V27" s="175"/>
      <c r="W27" s="175"/>
      <c r="X27" s="175"/>
      <c r="Y27" s="175"/>
      <c r="Z27" s="175"/>
      <c r="AA27" s="175"/>
      <c r="AB27" s="175"/>
      <c r="AC27" s="169"/>
      <c r="AD27" s="175"/>
      <c r="AE27" s="175"/>
      <c r="AF27" s="175"/>
      <c r="AG27" s="175"/>
      <c r="AH27" s="175"/>
      <c r="AI27" s="175"/>
      <c r="AJ27" s="175"/>
      <c r="AK27" s="169"/>
      <c r="AL27" s="175"/>
      <c r="AM27" s="175"/>
      <c r="AN27" s="175"/>
      <c r="AO27" s="175"/>
      <c r="AP27" s="175"/>
      <c r="AQ27" s="175"/>
      <c r="AR27" s="175"/>
      <c r="AS27" s="169"/>
      <c r="AT27" s="175"/>
      <c r="AU27" s="175"/>
      <c r="AV27" s="175"/>
      <c r="AW27" s="175"/>
      <c r="AX27" s="175"/>
      <c r="AY27" s="175"/>
      <c r="AZ27" s="175"/>
      <c r="BA27" s="169"/>
      <c r="BB27" s="175"/>
      <c r="BC27" s="175"/>
      <c r="BD27" s="175"/>
      <c r="BE27" s="175"/>
      <c r="BF27" s="175"/>
      <c r="BG27" s="175"/>
      <c r="BH27" s="175"/>
      <c r="BI27" s="169"/>
      <c r="BJ27" s="175"/>
      <c r="BK27" s="693"/>
      <c r="BL27" s="169"/>
      <c r="BM27" s="175"/>
      <c r="BN27" s="175"/>
      <c r="BO27" s="175"/>
      <c r="BP27" s="693"/>
      <c r="BQ27" s="169"/>
      <c r="BR27" s="692"/>
      <c r="BS27" s="692"/>
      <c r="BT27" s="693"/>
      <c r="BU27" s="169"/>
      <c r="BV27" s="692"/>
      <c r="BW27" s="692"/>
      <c r="CB27" s="44" t="str">
        <f t="shared" si="12"/>
        <v>Corte</v>
      </c>
    </row>
    <row r="28" spans="1:80" s="16" customFormat="1" ht="3.75" customHeight="1">
      <c r="A28" s="157"/>
      <c r="B28" s="171"/>
      <c r="C28" s="172"/>
      <c r="D28" s="691"/>
      <c r="E28" s="169"/>
      <c r="F28" s="173"/>
      <c r="G28" s="692"/>
      <c r="H28" s="693"/>
      <c r="I28" s="170"/>
      <c r="J28" s="174"/>
      <c r="K28" s="175"/>
      <c r="L28" s="693"/>
      <c r="M28" s="169"/>
      <c r="N28" s="175"/>
      <c r="O28" s="175"/>
      <c r="P28" s="175"/>
      <c r="Q28" s="175"/>
      <c r="R28" s="175"/>
      <c r="S28" s="175"/>
      <c r="T28" s="175"/>
      <c r="U28" s="169"/>
      <c r="V28" s="175"/>
      <c r="W28" s="175"/>
      <c r="X28" s="175"/>
      <c r="Y28" s="175"/>
      <c r="Z28" s="175"/>
      <c r="AA28" s="175"/>
      <c r="AB28" s="175"/>
      <c r="AC28" s="169"/>
      <c r="AD28" s="175"/>
      <c r="AE28" s="175"/>
      <c r="AF28" s="175"/>
      <c r="AG28" s="175"/>
      <c r="AH28" s="175"/>
      <c r="AI28" s="175"/>
      <c r="AJ28" s="175"/>
      <c r="AK28" s="169"/>
      <c r="AL28" s="175"/>
      <c r="AM28" s="175"/>
      <c r="AN28" s="175"/>
      <c r="AO28" s="175"/>
      <c r="AP28" s="175"/>
      <c r="AQ28" s="175"/>
      <c r="AR28" s="175"/>
      <c r="AS28" s="169"/>
      <c r="AT28" s="175"/>
      <c r="AU28" s="175"/>
      <c r="AV28" s="175"/>
      <c r="AW28" s="175"/>
      <c r="AX28" s="175"/>
      <c r="AY28" s="175"/>
      <c r="AZ28" s="175"/>
      <c r="BA28" s="169"/>
      <c r="BB28" s="175"/>
      <c r="BC28" s="175"/>
      <c r="BD28" s="175"/>
      <c r="BE28" s="175"/>
      <c r="BF28" s="175"/>
      <c r="BG28" s="175"/>
      <c r="BH28" s="175"/>
      <c r="BI28" s="169"/>
      <c r="BJ28" s="175"/>
      <c r="BK28" s="693"/>
      <c r="BL28" s="169"/>
      <c r="BM28" s="175"/>
      <c r="BN28" s="175"/>
      <c r="BO28" s="175"/>
      <c r="BP28" s="693"/>
      <c r="BQ28" s="169"/>
      <c r="BR28" s="692"/>
      <c r="BS28" s="692"/>
      <c r="BT28" s="693"/>
      <c r="BU28" s="169"/>
      <c r="BV28" s="692"/>
      <c r="BW28" s="692"/>
      <c r="CB28" s="44" t="str">
        <f t="shared" si="12"/>
        <v>Corte</v>
      </c>
    </row>
    <row r="29" spans="1:80" s="16" customFormat="1" ht="15.75" hidden="1" outlineLevel="1">
      <c r="A29" s="734"/>
      <c r="B29" s="1166" t="s">
        <v>4189</v>
      </c>
      <c r="C29" s="723" t="s">
        <v>36</v>
      </c>
      <c r="D29" s="1167" t="str">
        <f>IFERROR((C29/B29),"-")</f>
        <v>-</v>
      </c>
      <c r="E29" s="186"/>
      <c r="F29" s="188" t="s">
        <v>37</v>
      </c>
      <c r="G29" s="721">
        <f ca="1">SUMIFS($N29:$BH29,$N$1:$BH$1,$H$4)</f>
        <v>15414.363899999998</v>
      </c>
      <c r="H29" s="1169">
        <f ca="1">IFERROR((G30/G29),"-")</f>
        <v>1.198573623917105</v>
      </c>
      <c r="I29" s="187"/>
      <c r="J29" s="189" t="s">
        <v>37</v>
      </c>
      <c r="K29" s="721" cm="1">
        <f t="array" aca="1" ref="K29" ca="1">_xlfn.XLOOKUP($L$7,$N$7:$BH$7,$N29:BH29)</f>
        <v>2271.0126594999997</v>
      </c>
      <c r="L29" s="1218">
        <f ca="1">IFERROR((K30/K29),"-")</f>
        <v>1.6124789021679167</v>
      </c>
      <c r="M29" s="192"/>
      <c r="N29" s="722">
        <v>3299</v>
      </c>
      <c r="O29" s="722">
        <v>3299</v>
      </c>
      <c r="P29" s="722">
        <v>3299</v>
      </c>
      <c r="Q29" s="722">
        <v>3299</v>
      </c>
      <c r="R29" s="722">
        <v>3299</v>
      </c>
      <c r="S29" s="722">
        <v>3299</v>
      </c>
      <c r="T29" s="722"/>
      <c r="U29" s="186"/>
      <c r="V29" s="722">
        <v>3509.889478333333</v>
      </c>
      <c r="W29" s="722">
        <v>3509.889478333333</v>
      </c>
      <c r="X29" s="722">
        <v>3509.889478333333</v>
      </c>
      <c r="Y29" s="722">
        <v>3509.889478333333</v>
      </c>
      <c r="Z29" s="722">
        <v>3509.889478333333</v>
      </c>
      <c r="AA29" s="722">
        <v>3509.889478333333</v>
      </c>
      <c r="AB29" s="722"/>
      <c r="AC29" s="186"/>
      <c r="AD29" s="722">
        <f t="shared" ref="AD29:AI29" si="31">AD45*1.31</f>
        <v>2569.0606499999999</v>
      </c>
      <c r="AE29" s="722">
        <f t="shared" si="31"/>
        <v>2569.0606499999999</v>
      </c>
      <c r="AF29" s="722">
        <f t="shared" si="31"/>
        <v>2569.0606499999999</v>
      </c>
      <c r="AG29" s="722">
        <f t="shared" si="31"/>
        <v>2569.0606499999999</v>
      </c>
      <c r="AH29" s="722">
        <f t="shared" si="31"/>
        <v>2569.0606499999999</v>
      </c>
      <c r="AI29" s="722">
        <f t="shared" si="31"/>
        <v>2569.0606499999999</v>
      </c>
      <c r="AJ29" s="722"/>
      <c r="AK29" s="186"/>
      <c r="AL29" s="722">
        <f t="shared" ref="AL29:AQ29" si="32">AL45*1.31</f>
        <v>2271.0126594999997</v>
      </c>
      <c r="AM29" s="722">
        <f t="shared" si="32"/>
        <v>2271.0126594999997</v>
      </c>
      <c r="AN29" s="722">
        <f t="shared" si="32"/>
        <v>2271.0126594999997</v>
      </c>
      <c r="AO29" s="722">
        <f t="shared" si="32"/>
        <v>2271.0126594999997</v>
      </c>
      <c r="AP29" s="722">
        <f t="shared" si="32"/>
        <v>2271.0126594999997</v>
      </c>
      <c r="AQ29" s="722">
        <f t="shared" si="32"/>
        <v>2271.0126594999997</v>
      </c>
      <c r="AR29" s="722"/>
      <c r="AS29" s="187"/>
      <c r="AT29" s="722">
        <f t="shared" ref="AT29:AY29" si="33">AT45*1.31</f>
        <v>2946.7553086666667</v>
      </c>
      <c r="AU29" s="722">
        <f t="shared" si="33"/>
        <v>2946.7553086666667</v>
      </c>
      <c r="AV29" s="722">
        <f t="shared" si="33"/>
        <v>2946.7553086666667</v>
      </c>
      <c r="AW29" s="722">
        <f t="shared" si="33"/>
        <v>2946.7553086666667</v>
      </c>
      <c r="AX29" s="722">
        <f t="shared" si="33"/>
        <v>2946.7553086666667</v>
      </c>
      <c r="AY29" s="722">
        <f t="shared" si="33"/>
        <v>2946.7553086666667</v>
      </c>
      <c r="AZ29" s="722"/>
      <c r="BA29" s="186"/>
      <c r="BB29" s="722">
        <f t="shared" ref="BB29:BG29" si="34">BB45*1.31</f>
        <v>5169.5154499999999</v>
      </c>
      <c r="BC29" s="722">
        <f t="shared" si="34"/>
        <v>5169.5154499999999</v>
      </c>
      <c r="BD29" s="722">
        <f t="shared" si="34"/>
        <v>5169.5154499999999</v>
      </c>
      <c r="BE29" s="722">
        <f t="shared" si="34"/>
        <v>5169.5154499999999</v>
      </c>
      <c r="BF29" s="722">
        <f t="shared" si="34"/>
        <v>5169.5154499999999</v>
      </c>
      <c r="BG29" s="722">
        <f t="shared" si="34"/>
        <v>5169.5154499999999</v>
      </c>
      <c r="BH29" s="722"/>
      <c r="BI29" s="187"/>
      <c r="BJ29" s="180">
        <f ca="1">SUMIFS(N29:BI29,$N$7:$BI$7,"&gt;="&amp;($L$7-WEEKDAY($L$7,2)+1),$N$7:$BI$7,"&lt;="&amp;$L$7)</f>
        <v>4542.0253189999994</v>
      </c>
      <c r="BK29" s="1218">
        <f ca="1">IFERROR((BJ30/BJ29),"-")</f>
        <v>1.5396259397205709</v>
      </c>
      <c r="BL29" s="187"/>
      <c r="BM29" s="1215">
        <v>88458.370379</v>
      </c>
      <c r="BN29" s="1269">
        <v>41015.726088999989</v>
      </c>
      <c r="BO29" s="1269">
        <v>47495.180000000008</v>
      </c>
      <c r="BP29" s="1223">
        <f>IFERROR((BO29/BN29),"-")</f>
        <v>1.1579748679065258</v>
      </c>
      <c r="BQ29" s="186"/>
      <c r="BR29" s="1215">
        <f>BR45*1.31</f>
        <v>317324.5462324</v>
      </c>
      <c r="BS29" s="1215">
        <f>BS45*1.31</f>
        <v>472468.35412094591</v>
      </c>
      <c r="BT29" s="1218">
        <f>IFERROR((BS29/BR29),"-")</f>
        <v>1.4889120924636028</v>
      </c>
      <c r="BU29" s="186"/>
      <c r="BV29" s="1269">
        <f>BV45*1.31</f>
        <v>670585.18790000002</v>
      </c>
      <c r="BW29" s="1270">
        <f>BV29-BS29</f>
        <v>198116.83377905411</v>
      </c>
      <c r="CB29" s="44" t="str">
        <f t="shared" si="12"/>
        <v>Seg. 3.A2 - Corte</v>
      </c>
    </row>
    <row r="30" spans="1:80" s="16" customFormat="1" ht="15.75" hidden="1" outlineLevel="1">
      <c r="A30" s="734"/>
      <c r="B30" s="1166"/>
      <c r="C30" s="723"/>
      <c r="D30" s="1168"/>
      <c r="E30" s="186"/>
      <c r="F30" s="178" t="s">
        <v>38</v>
      </c>
      <c r="G30" s="721">
        <f ca="1">SUMIFS($N30:$BH30,$N$1:$BH$1,$H$4)</f>
        <v>18475.249999999996</v>
      </c>
      <c r="H30" s="1170"/>
      <c r="I30" s="187"/>
      <c r="J30" s="179" t="s">
        <v>38</v>
      </c>
      <c r="K30" s="721" cm="1">
        <f t="array" aca="1" ref="K30" ca="1">_xlfn.XLOOKUP($L$7,$N$7:$BH$7,$N30:BH30)</f>
        <v>3661.96</v>
      </c>
      <c r="L30" s="1218"/>
      <c r="M30" s="192"/>
      <c r="N30" s="722">
        <v>5128.95</v>
      </c>
      <c r="O30" s="722">
        <v>4522.3</v>
      </c>
      <c r="P30" s="722">
        <v>3275.91</v>
      </c>
      <c r="Q30" s="722">
        <v>3496.5099999999998</v>
      </c>
      <c r="R30" s="722">
        <v>4213.46</v>
      </c>
      <c r="S30" s="722">
        <v>3088.3999999999996</v>
      </c>
      <c r="T30" s="722">
        <v>0</v>
      </c>
      <c r="U30" s="186"/>
      <c r="V30" s="722">
        <v>2503.81</v>
      </c>
      <c r="W30" s="722">
        <v>4202.4299999999994</v>
      </c>
      <c r="X30" s="722">
        <v>4003.8899999999994</v>
      </c>
      <c r="Y30" s="722">
        <v>4036.9799999999996</v>
      </c>
      <c r="Z30" s="722">
        <v>3805.35</v>
      </c>
      <c r="AA30" s="722">
        <v>3474.45</v>
      </c>
      <c r="AB30" s="722">
        <v>0</v>
      </c>
      <c r="AC30" s="186"/>
      <c r="AD30" s="722">
        <v>3860.5</v>
      </c>
      <c r="AE30" s="722">
        <v>2757.5</v>
      </c>
      <c r="AF30" s="722">
        <v>2978.1</v>
      </c>
      <c r="AG30" s="722">
        <v>3198.7</v>
      </c>
      <c r="AH30" s="722">
        <v>2978.0999999999995</v>
      </c>
      <c r="AI30" s="722">
        <v>2702.35</v>
      </c>
      <c r="AJ30" s="722">
        <v>0</v>
      </c>
      <c r="AK30" s="186"/>
      <c r="AL30" s="722">
        <v>3331.06</v>
      </c>
      <c r="AM30" s="722">
        <v>3661.96</v>
      </c>
      <c r="AN30" s="722">
        <v>0</v>
      </c>
      <c r="AO30" s="722">
        <v>0</v>
      </c>
      <c r="AP30" s="722">
        <v>0</v>
      </c>
      <c r="AQ30" s="722">
        <v>0</v>
      </c>
      <c r="AR30" s="722">
        <v>0</v>
      </c>
      <c r="AS30" s="187"/>
      <c r="AT30" s="722">
        <v>0</v>
      </c>
      <c r="AU30" s="722">
        <v>0</v>
      </c>
      <c r="AV30" s="722">
        <v>0</v>
      </c>
      <c r="AW30" s="722">
        <v>0</v>
      </c>
      <c r="AX30" s="722">
        <v>0</v>
      </c>
      <c r="AY30" s="722">
        <v>0</v>
      </c>
      <c r="AZ30" s="722">
        <v>0</v>
      </c>
      <c r="BA30" s="186"/>
      <c r="BB30" s="722">
        <v>0</v>
      </c>
      <c r="BC30" s="722">
        <v>0</v>
      </c>
      <c r="BD30" s="722">
        <v>0</v>
      </c>
      <c r="BE30" s="722">
        <v>0</v>
      </c>
      <c r="BF30" s="722">
        <v>0</v>
      </c>
      <c r="BG30" s="722">
        <v>0</v>
      </c>
      <c r="BH30" s="722">
        <v>0</v>
      </c>
      <c r="BI30" s="187"/>
      <c r="BJ30" s="180">
        <f t="shared" ref="BJ30:BJ38" ca="1" si="35">SUMIFS(N30:BI30,$N$7:$BI$7,"&gt;="&amp;($L$7-WEEKDAY($L$7,2)+1),$N$7:$BI$7,"&lt;="&amp;$L$7)</f>
        <v>6993.02</v>
      </c>
      <c r="BK30" s="1218"/>
      <c r="BL30" s="187"/>
      <c r="BM30" s="1216"/>
      <c r="BN30" s="1269"/>
      <c r="BO30" s="1269"/>
      <c r="BP30" s="1223"/>
      <c r="BQ30" s="186"/>
      <c r="BR30" s="1216"/>
      <c r="BS30" s="1216"/>
      <c r="BT30" s="1218"/>
      <c r="BU30" s="186"/>
      <c r="BV30" s="1269"/>
      <c r="BW30" s="1271"/>
      <c r="CB30" s="44" t="str">
        <f t="shared" si="12"/>
        <v>Seg. 3.A2 - Corte</v>
      </c>
    </row>
    <row r="31" spans="1:80" s="16" customFormat="1" ht="15.75" hidden="1" outlineLevel="1">
      <c r="A31" s="734"/>
      <c r="B31" s="1166" t="s">
        <v>4190</v>
      </c>
      <c r="C31" s="723" t="s">
        <v>36</v>
      </c>
      <c r="D31" s="1167" t="str">
        <f>IFERROR((C31/B31),"-")</f>
        <v>-</v>
      </c>
      <c r="E31" s="186"/>
      <c r="F31" s="188" t="s">
        <v>37</v>
      </c>
      <c r="G31" s="721">
        <f t="shared" ref="G31:G38" ca="1" si="36">SUMIFS($N31:$BH31,$N$1:$BH$1,$H$4)</f>
        <v>3741.2040000000002</v>
      </c>
      <c r="H31" s="1169">
        <f ca="1">IFERROR((G32/G31),"-")</f>
        <v>1.4682278753043136</v>
      </c>
      <c r="I31" s="187"/>
      <c r="J31" s="189" t="s">
        <v>37</v>
      </c>
      <c r="K31" s="721" cm="1">
        <f t="array" aca="1" ref="K31" ca="1">_xlfn.XLOOKUP($L$7,$N$7:$BH$7,$N31:BH31)</f>
        <v>377.56863436666663</v>
      </c>
      <c r="L31" s="1218">
        <f ca="1">IFERROR((K32/K31),"-")</f>
        <v>1.6359409754364156</v>
      </c>
      <c r="M31" s="192"/>
      <c r="N31" s="722">
        <v>1003</v>
      </c>
      <c r="O31" s="722">
        <v>1003</v>
      </c>
      <c r="P31" s="722">
        <v>1003</v>
      </c>
      <c r="Q31" s="722">
        <v>1003</v>
      </c>
      <c r="R31" s="722">
        <v>1003</v>
      </c>
      <c r="S31" s="722">
        <v>1003</v>
      </c>
      <c r="T31" s="722"/>
      <c r="U31" s="186"/>
      <c r="V31" s="722">
        <v>1067.2704683333332</v>
      </c>
      <c r="W31" s="722">
        <v>1067.2704683333332</v>
      </c>
      <c r="X31" s="722">
        <v>1067.2704683333332</v>
      </c>
      <c r="Y31" s="722">
        <v>1067.2704683333332</v>
      </c>
      <c r="Z31" s="722">
        <v>1067.2704683333332</v>
      </c>
      <c r="AA31" s="722">
        <v>1067.2704683333332</v>
      </c>
      <c r="AB31" s="722"/>
      <c r="AC31" s="186"/>
      <c r="AD31" s="722">
        <f t="shared" ref="AD31:AI31" si="37">AD47*1.24</f>
        <v>623.53399999999999</v>
      </c>
      <c r="AE31" s="722">
        <f t="shared" si="37"/>
        <v>623.53399999999999</v>
      </c>
      <c r="AF31" s="722">
        <f t="shared" si="37"/>
        <v>623.53399999999999</v>
      </c>
      <c r="AG31" s="722">
        <f t="shared" si="37"/>
        <v>623.53399999999999</v>
      </c>
      <c r="AH31" s="722">
        <f t="shared" si="37"/>
        <v>623.53399999999999</v>
      </c>
      <c r="AI31" s="722">
        <f t="shared" si="37"/>
        <v>623.53399999999999</v>
      </c>
      <c r="AJ31" s="722"/>
      <c r="AK31" s="186"/>
      <c r="AL31" s="722">
        <f t="shared" ref="AL31:AQ31" si="38">AL47*1.24</f>
        <v>377.56863436666663</v>
      </c>
      <c r="AM31" s="722">
        <f t="shared" si="38"/>
        <v>377.56863436666663</v>
      </c>
      <c r="AN31" s="722">
        <f t="shared" si="38"/>
        <v>377.56863436666663</v>
      </c>
      <c r="AO31" s="722">
        <f t="shared" si="38"/>
        <v>377.56863436666663</v>
      </c>
      <c r="AP31" s="722">
        <f t="shared" si="38"/>
        <v>377.56863436666663</v>
      </c>
      <c r="AQ31" s="722">
        <f t="shared" si="38"/>
        <v>377.56863436666663</v>
      </c>
      <c r="AR31" s="722"/>
      <c r="AS31" s="187"/>
      <c r="AT31" s="722">
        <f t="shared" ref="AT31:AY31" si="39">AT47*1.24-7/6</f>
        <v>439.24834933333324</v>
      </c>
      <c r="AU31" s="722">
        <f t="shared" si="39"/>
        <v>439.24834933333324</v>
      </c>
      <c r="AV31" s="722">
        <f t="shared" si="39"/>
        <v>439.24834933333324</v>
      </c>
      <c r="AW31" s="722">
        <f t="shared" si="39"/>
        <v>439.24834933333324</v>
      </c>
      <c r="AX31" s="722">
        <f t="shared" si="39"/>
        <v>439.24834933333324</v>
      </c>
      <c r="AY31" s="722">
        <f t="shared" si="39"/>
        <v>439.24834933333324</v>
      </c>
      <c r="AZ31" s="722"/>
      <c r="BA31" s="186"/>
      <c r="BB31" s="722">
        <f t="shared" ref="BB31:BG31" si="40">BB47*1.24</f>
        <v>0</v>
      </c>
      <c r="BC31" s="722">
        <f t="shared" si="40"/>
        <v>0</v>
      </c>
      <c r="BD31" s="722">
        <f t="shared" si="40"/>
        <v>0</v>
      </c>
      <c r="BE31" s="722">
        <f t="shared" si="40"/>
        <v>0</v>
      </c>
      <c r="BF31" s="722">
        <f t="shared" si="40"/>
        <v>0</v>
      </c>
      <c r="BG31" s="722">
        <f t="shared" si="40"/>
        <v>0</v>
      </c>
      <c r="BH31" s="722"/>
      <c r="BI31" s="187"/>
      <c r="BJ31" s="180">
        <f t="shared" ca="1" si="35"/>
        <v>755.13726873333326</v>
      </c>
      <c r="BK31" s="1218">
        <f ca="1">IFERROR((BJ32/BJ31),"-")</f>
        <v>1.9280732924786328</v>
      </c>
      <c r="BL31" s="187"/>
      <c r="BM31" s="1215">
        <v>15045.728712199998</v>
      </c>
      <c r="BN31" s="1269">
        <v>10899.96407873333</v>
      </c>
      <c r="BO31" s="1269">
        <v>14581.660000000003</v>
      </c>
      <c r="BP31" s="1223">
        <f>IFERROR((BO31/BN31),"-")</f>
        <v>1.3377713811415164</v>
      </c>
      <c r="BQ31" s="186"/>
      <c r="BR31" s="1215">
        <f>BR47*1.24</f>
        <v>342651.73956960003</v>
      </c>
      <c r="BS31" s="1215">
        <f>BS47*1.24</f>
        <v>339404.76239999983</v>
      </c>
      <c r="BT31" s="1218">
        <f>IFERROR((BS31/BR31),"-")</f>
        <v>0.99052397290123584</v>
      </c>
      <c r="BU31" s="186"/>
      <c r="BV31" s="1269">
        <f>BV47*1.24</f>
        <v>330694.43439999997</v>
      </c>
      <c r="BW31" s="1270">
        <f>BV31-BS31</f>
        <v>-8710.3279999998631</v>
      </c>
      <c r="CB31" s="44" t="str">
        <f t="shared" si="12"/>
        <v>Seg. 4.1  - Corte</v>
      </c>
    </row>
    <row r="32" spans="1:80" s="16" customFormat="1" ht="15.75" hidden="1" outlineLevel="1">
      <c r="A32" s="734"/>
      <c r="B32" s="1166"/>
      <c r="C32" s="723"/>
      <c r="D32" s="1168"/>
      <c r="E32" s="186"/>
      <c r="F32" s="178" t="s">
        <v>38</v>
      </c>
      <c r="G32" s="721">
        <f t="shared" ca="1" si="36"/>
        <v>5492.94</v>
      </c>
      <c r="H32" s="1170"/>
      <c r="I32" s="187"/>
      <c r="J32" s="179" t="s">
        <v>38</v>
      </c>
      <c r="K32" s="721" cm="1">
        <f t="array" aca="1" ref="K32" ca="1">_xlfn.XLOOKUP($L$7,$N$7:$BH$7,$N32:BH32)</f>
        <v>617.67999999999995</v>
      </c>
      <c r="L32" s="1218"/>
      <c r="M32" s="192"/>
      <c r="N32" s="722">
        <v>2338.3599999999997</v>
      </c>
      <c r="O32" s="722">
        <v>1830.98</v>
      </c>
      <c r="P32" s="722">
        <v>1500.08</v>
      </c>
      <c r="Q32" s="722">
        <v>1367.72</v>
      </c>
      <c r="R32" s="722">
        <v>1268.4499999999998</v>
      </c>
      <c r="S32" s="722">
        <v>1312.5699999999997</v>
      </c>
      <c r="T32" s="722">
        <v>0</v>
      </c>
      <c r="U32" s="186"/>
      <c r="V32" s="722">
        <v>1114.03</v>
      </c>
      <c r="W32" s="722">
        <v>1842.01</v>
      </c>
      <c r="X32" s="722">
        <v>1632.44</v>
      </c>
      <c r="Y32" s="722">
        <v>1158.1499999999999</v>
      </c>
      <c r="Z32" s="722">
        <v>827.25</v>
      </c>
      <c r="AA32" s="722">
        <v>838.28</v>
      </c>
      <c r="AB32" s="722">
        <v>0</v>
      </c>
      <c r="AC32" s="186"/>
      <c r="AD32" s="722">
        <v>1466.9899999999998</v>
      </c>
      <c r="AE32" s="722">
        <v>1014.76</v>
      </c>
      <c r="AF32" s="722">
        <v>1080.94</v>
      </c>
      <c r="AG32" s="722">
        <v>694.89</v>
      </c>
      <c r="AH32" s="722">
        <v>595.62</v>
      </c>
      <c r="AI32" s="722">
        <v>639.74</v>
      </c>
      <c r="AJ32" s="722">
        <v>0</v>
      </c>
      <c r="AK32" s="186"/>
      <c r="AL32" s="722">
        <v>838.28</v>
      </c>
      <c r="AM32" s="722">
        <v>617.67999999999995</v>
      </c>
      <c r="AN32" s="722">
        <v>0</v>
      </c>
      <c r="AO32" s="722">
        <v>0</v>
      </c>
      <c r="AP32" s="722">
        <v>0</v>
      </c>
      <c r="AQ32" s="722">
        <v>0</v>
      </c>
      <c r="AR32" s="722">
        <v>0</v>
      </c>
      <c r="AS32" s="187"/>
      <c r="AT32" s="722">
        <v>0</v>
      </c>
      <c r="AU32" s="722">
        <v>0</v>
      </c>
      <c r="AV32" s="722">
        <v>0</v>
      </c>
      <c r="AW32" s="722">
        <v>0</v>
      </c>
      <c r="AX32" s="722">
        <v>0</v>
      </c>
      <c r="AY32" s="722">
        <v>0</v>
      </c>
      <c r="AZ32" s="722">
        <v>0</v>
      </c>
      <c r="BA32" s="186"/>
      <c r="BB32" s="722">
        <v>0</v>
      </c>
      <c r="BC32" s="722">
        <v>0</v>
      </c>
      <c r="BD32" s="722">
        <v>0</v>
      </c>
      <c r="BE32" s="722">
        <v>0</v>
      </c>
      <c r="BF32" s="722">
        <v>0</v>
      </c>
      <c r="BG32" s="722">
        <v>0</v>
      </c>
      <c r="BH32" s="722">
        <v>0</v>
      </c>
      <c r="BI32" s="187"/>
      <c r="BJ32" s="180">
        <f t="shared" ca="1" si="35"/>
        <v>1455.96</v>
      </c>
      <c r="BK32" s="1218"/>
      <c r="BL32" s="187"/>
      <c r="BM32" s="1216"/>
      <c r="BN32" s="1269"/>
      <c r="BO32" s="1269"/>
      <c r="BP32" s="1223"/>
      <c r="BQ32" s="186"/>
      <c r="BR32" s="1216"/>
      <c r="BS32" s="1216"/>
      <c r="BT32" s="1218"/>
      <c r="BU32" s="186"/>
      <c r="BV32" s="1269"/>
      <c r="BW32" s="1271"/>
      <c r="CB32" s="44" t="str">
        <f t="shared" si="12"/>
        <v>Seg. 4.1  - Corte</v>
      </c>
    </row>
    <row r="33" spans="1:80" s="93" customFormat="1" ht="15.75" hidden="1" outlineLevel="1">
      <c r="A33" s="734"/>
      <c r="B33" s="1166" t="s">
        <v>4191</v>
      </c>
      <c r="C33" s="723" t="s">
        <v>36</v>
      </c>
      <c r="D33" s="1167" t="str">
        <f>IFERROR((C33/B33),"-")</f>
        <v>-</v>
      </c>
      <c r="E33" s="186"/>
      <c r="F33" s="188" t="s">
        <v>37</v>
      </c>
      <c r="G33" s="721">
        <f t="shared" ca="1" si="36"/>
        <v>20908.503000000004</v>
      </c>
      <c r="H33" s="1169">
        <f ca="1">IFERROR((G34/G33),"-")</f>
        <v>1.2507892124079851</v>
      </c>
      <c r="I33" s="187"/>
      <c r="J33" s="189" t="s">
        <v>37</v>
      </c>
      <c r="K33" s="721" cm="1">
        <f t="array" aca="1" ref="K33" ca="1">_xlfn.XLOOKUP($L$7,$N$7:$BH$7,$N33:BH33)</f>
        <v>3024.4607819999997</v>
      </c>
      <c r="L33" s="1218">
        <f ca="1">IFERROR((K34/K33),"-")</f>
        <v>1.4040684624754376</v>
      </c>
      <c r="M33" s="192"/>
      <c r="N33" s="722">
        <v>4954</v>
      </c>
      <c r="O33" s="722">
        <v>4954</v>
      </c>
      <c r="P33" s="722">
        <v>4954</v>
      </c>
      <c r="Q33" s="722">
        <v>4954</v>
      </c>
      <c r="R33" s="722">
        <v>4954</v>
      </c>
      <c r="S33" s="722">
        <v>4954</v>
      </c>
      <c r="T33" s="722"/>
      <c r="U33" s="186"/>
      <c r="V33" s="722">
        <v>5270.3356116666655</v>
      </c>
      <c r="W33" s="722">
        <v>5270.3356116666655</v>
      </c>
      <c r="X33" s="722">
        <v>5270.3356116666655</v>
      </c>
      <c r="Y33" s="722">
        <v>5270.3356116666655</v>
      </c>
      <c r="Z33" s="722">
        <v>5270.3356116666655</v>
      </c>
      <c r="AA33" s="722">
        <v>5270.3356116666655</v>
      </c>
      <c r="AB33" s="722"/>
      <c r="AC33" s="186"/>
      <c r="AD33" s="722">
        <f t="shared" ref="AD33:AI33" si="41">AD49*1.26</f>
        <v>3484.7505000000001</v>
      </c>
      <c r="AE33" s="722">
        <f t="shared" si="41"/>
        <v>3484.7505000000001</v>
      </c>
      <c r="AF33" s="722">
        <f t="shared" si="41"/>
        <v>3484.7505000000001</v>
      </c>
      <c r="AG33" s="722">
        <f t="shared" si="41"/>
        <v>3484.7505000000001</v>
      </c>
      <c r="AH33" s="722">
        <f t="shared" si="41"/>
        <v>3484.7505000000001</v>
      </c>
      <c r="AI33" s="722">
        <f t="shared" si="41"/>
        <v>3484.7505000000001</v>
      </c>
      <c r="AJ33" s="722"/>
      <c r="AK33" s="186"/>
      <c r="AL33" s="722">
        <f t="shared" ref="AL33:AQ33" si="42">AL49*1.26</f>
        <v>3024.4607819999997</v>
      </c>
      <c r="AM33" s="722">
        <f t="shared" si="42"/>
        <v>3024.4607819999997</v>
      </c>
      <c r="AN33" s="722">
        <f t="shared" si="42"/>
        <v>3024.4607819999997</v>
      </c>
      <c r="AO33" s="722">
        <f t="shared" si="42"/>
        <v>3024.4607819999997</v>
      </c>
      <c r="AP33" s="722">
        <f t="shared" si="42"/>
        <v>3024.4607819999997</v>
      </c>
      <c r="AQ33" s="722">
        <f t="shared" si="42"/>
        <v>3024.4607819999997</v>
      </c>
      <c r="AR33" s="722"/>
      <c r="AS33" s="187"/>
      <c r="AT33" s="722">
        <f t="shared" ref="AT33:AY33" si="43">AT49*1.26</f>
        <v>4176.8391840000004</v>
      </c>
      <c r="AU33" s="722">
        <f t="shared" si="43"/>
        <v>4176.8391840000004</v>
      </c>
      <c r="AV33" s="722">
        <f t="shared" si="43"/>
        <v>4176.8391840000004</v>
      </c>
      <c r="AW33" s="722">
        <f t="shared" si="43"/>
        <v>4176.8391840000004</v>
      </c>
      <c r="AX33" s="722">
        <f t="shared" si="43"/>
        <v>4176.8391840000004</v>
      </c>
      <c r="AY33" s="722">
        <f t="shared" si="43"/>
        <v>4176.8391840000004</v>
      </c>
      <c r="AZ33" s="722"/>
      <c r="BA33" s="186"/>
      <c r="BB33" s="722">
        <f t="shared" ref="BB33:BG33" si="44">BB49*1.26</f>
        <v>4068.1682999999994</v>
      </c>
      <c r="BC33" s="722">
        <f t="shared" si="44"/>
        <v>4068.1682999999994</v>
      </c>
      <c r="BD33" s="722">
        <f t="shared" si="44"/>
        <v>4068.1682999999994</v>
      </c>
      <c r="BE33" s="722">
        <f t="shared" si="44"/>
        <v>4068.1682999999994</v>
      </c>
      <c r="BF33" s="722">
        <f t="shared" si="44"/>
        <v>4068.1682999999994</v>
      </c>
      <c r="BG33" s="722">
        <f t="shared" si="44"/>
        <v>4068.1682999999994</v>
      </c>
      <c r="BH33" s="722"/>
      <c r="BI33" s="187"/>
      <c r="BJ33" s="180">
        <f t="shared" ca="1" si="35"/>
        <v>6048.9215639999993</v>
      </c>
      <c r="BK33" s="1218">
        <f ca="1">IFERROR((BJ34/BJ33),"-")</f>
        <v>1.442361238724768</v>
      </c>
      <c r="BL33" s="187"/>
      <c r="BM33" s="1215">
        <v>112010.98966600001</v>
      </c>
      <c r="BN33" s="1269">
        <v>58579.438234000008</v>
      </c>
      <c r="BO33" s="1269">
        <v>57775.14</v>
      </c>
      <c r="BP33" s="1223">
        <f>IFERROR((BO33/BN33),"-")</f>
        <v>0.98626995651977445</v>
      </c>
      <c r="BQ33" s="186"/>
      <c r="BR33" s="1215">
        <f>BR49*1.26</f>
        <v>507515.97221640009</v>
      </c>
      <c r="BS33" s="1215">
        <f>BS49*1.26</f>
        <v>513624.97568524606</v>
      </c>
      <c r="BT33" s="1218">
        <f>IFERROR((BS33/BR33),"-")</f>
        <v>1.0120370664240714</v>
      </c>
      <c r="BU33" s="186"/>
      <c r="BV33" s="1269">
        <f>BV49*1.26</f>
        <v>657405.34019999998</v>
      </c>
      <c r="BW33" s="1270">
        <f>BV33-BS33</f>
        <v>143780.36451475392</v>
      </c>
      <c r="CB33" s="44" t="str">
        <f t="shared" si="12"/>
        <v>Seg. 4.2  - Corte</v>
      </c>
    </row>
    <row r="34" spans="1:80" s="98" customFormat="1" ht="15.75" hidden="1" outlineLevel="1">
      <c r="A34" s="734"/>
      <c r="B34" s="1166"/>
      <c r="C34" s="723"/>
      <c r="D34" s="1168"/>
      <c r="E34" s="186"/>
      <c r="F34" s="178" t="s">
        <v>38</v>
      </c>
      <c r="G34" s="721">
        <f t="shared" ca="1" si="36"/>
        <v>26152.129999999997</v>
      </c>
      <c r="H34" s="1170"/>
      <c r="I34" s="187"/>
      <c r="J34" s="179" t="s">
        <v>38</v>
      </c>
      <c r="K34" s="721" cm="1">
        <f t="array" aca="1" ref="K34" ca="1">_xlfn.XLOOKUP($L$7,$N$7:$BH$7,$N34:BH34)</f>
        <v>4246.5499999999993</v>
      </c>
      <c r="L34" s="1218"/>
      <c r="M34" s="192"/>
      <c r="N34" s="722">
        <v>3242.8199999999997</v>
      </c>
      <c r="O34" s="722">
        <v>4158.3099999999995</v>
      </c>
      <c r="P34" s="722">
        <v>3331.0600000000004</v>
      </c>
      <c r="Q34" s="722">
        <v>4125.2199999999993</v>
      </c>
      <c r="R34" s="722">
        <v>4820.1100000000006</v>
      </c>
      <c r="S34" s="722">
        <v>3242.8199999999997</v>
      </c>
      <c r="T34" s="722">
        <v>0</v>
      </c>
      <c r="U34" s="186"/>
      <c r="V34" s="722">
        <v>1466.99</v>
      </c>
      <c r="W34" s="722">
        <v>5437.7899999999991</v>
      </c>
      <c r="X34" s="722">
        <v>5029.6799999999994</v>
      </c>
      <c r="Y34" s="722">
        <v>5294.4</v>
      </c>
      <c r="Z34" s="722">
        <v>3573.72</v>
      </c>
      <c r="AA34" s="722">
        <v>3033.25</v>
      </c>
      <c r="AB34" s="722">
        <v>0</v>
      </c>
      <c r="AC34" s="186"/>
      <c r="AD34" s="722">
        <v>5051.74</v>
      </c>
      <c r="AE34" s="722">
        <v>5117.9199999999992</v>
      </c>
      <c r="AF34" s="722">
        <v>5250.2799999999988</v>
      </c>
      <c r="AG34" s="722">
        <v>4654.66</v>
      </c>
      <c r="AH34" s="722">
        <v>2757.5</v>
      </c>
      <c r="AI34" s="722">
        <v>3320.0299999999997</v>
      </c>
      <c r="AJ34" s="722">
        <v>0</v>
      </c>
      <c r="AK34" s="186"/>
      <c r="AL34" s="722">
        <v>4478.18</v>
      </c>
      <c r="AM34" s="722">
        <v>4246.5499999999993</v>
      </c>
      <c r="AN34" s="722">
        <v>0</v>
      </c>
      <c r="AO34" s="722">
        <v>0</v>
      </c>
      <c r="AP34" s="722">
        <v>0</v>
      </c>
      <c r="AQ34" s="722">
        <v>0</v>
      </c>
      <c r="AR34" s="722">
        <v>0</v>
      </c>
      <c r="AS34" s="187"/>
      <c r="AT34" s="722">
        <v>0</v>
      </c>
      <c r="AU34" s="722">
        <v>0</v>
      </c>
      <c r="AV34" s="722">
        <v>0</v>
      </c>
      <c r="AW34" s="722">
        <v>0</v>
      </c>
      <c r="AX34" s="722">
        <v>0</v>
      </c>
      <c r="AY34" s="722">
        <v>0</v>
      </c>
      <c r="AZ34" s="722">
        <v>0</v>
      </c>
      <c r="BA34" s="186"/>
      <c r="BB34" s="722">
        <v>0</v>
      </c>
      <c r="BC34" s="722">
        <v>0</v>
      </c>
      <c r="BD34" s="722">
        <v>0</v>
      </c>
      <c r="BE34" s="722">
        <v>0</v>
      </c>
      <c r="BF34" s="722">
        <v>0</v>
      </c>
      <c r="BG34" s="722">
        <v>0</v>
      </c>
      <c r="BH34" s="722">
        <v>0</v>
      </c>
      <c r="BI34" s="187"/>
      <c r="BJ34" s="180">
        <f t="shared" ca="1" si="35"/>
        <v>8724.73</v>
      </c>
      <c r="BK34" s="1218"/>
      <c r="BL34" s="187"/>
      <c r="BM34" s="1216"/>
      <c r="BN34" s="1269"/>
      <c r="BO34" s="1269"/>
      <c r="BP34" s="1223"/>
      <c r="BQ34" s="186"/>
      <c r="BR34" s="1216"/>
      <c r="BS34" s="1216"/>
      <c r="BT34" s="1218"/>
      <c r="BU34" s="186"/>
      <c r="BV34" s="1269"/>
      <c r="BW34" s="1271"/>
      <c r="CB34" s="44" t="str">
        <f t="shared" si="12"/>
        <v>Seg. 4.2  - Corte</v>
      </c>
    </row>
    <row r="35" spans="1:80" s="16" customFormat="1" ht="15.75" hidden="1" outlineLevel="1">
      <c r="A35" s="734"/>
      <c r="B35" s="1166" t="s">
        <v>4192</v>
      </c>
      <c r="C35" s="723" t="s">
        <v>36</v>
      </c>
      <c r="D35" s="1167" t="str">
        <f>IFERROR((C35/B35),"-")</f>
        <v>-</v>
      </c>
      <c r="E35" s="186"/>
      <c r="F35" s="188" t="s">
        <v>37</v>
      </c>
      <c r="G35" s="721">
        <f t="shared" ca="1" si="36"/>
        <v>0</v>
      </c>
      <c r="H35" s="1169" t="str">
        <f ca="1">IFERROR((G36/G35),"-")</f>
        <v>-</v>
      </c>
      <c r="I35" s="187"/>
      <c r="J35" s="189" t="s">
        <v>37</v>
      </c>
      <c r="K35" s="721" cm="1">
        <f t="array" aca="1" ref="K35" ca="1">_xlfn.XLOOKUP($L$7,$N$7:$BH$7,$N35:BH35)</f>
        <v>0</v>
      </c>
      <c r="L35" s="1218" t="str">
        <f ca="1">IFERROR((K36/K35),"-")</f>
        <v>-</v>
      </c>
      <c r="M35" s="192"/>
      <c r="N35" s="722"/>
      <c r="O35" s="722"/>
      <c r="P35" s="722"/>
      <c r="Q35" s="722"/>
      <c r="R35" s="722"/>
      <c r="S35" s="722"/>
      <c r="T35" s="722"/>
      <c r="U35" s="186"/>
      <c r="V35" s="722">
        <v>0</v>
      </c>
      <c r="W35" s="722">
        <v>0</v>
      </c>
      <c r="X35" s="722">
        <v>0</v>
      </c>
      <c r="Y35" s="722">
        <v>0</v>
      </c>
      <c r="Z35" s="722">
        <v>0</v>
      </c>
      <c r="AA35" s="722">
        <v>0</v>
      </c>
      <c r="AB35" s="722"/>
      <c r="AC35" s="186"/>
      <c r="AD35" s="722">
        <f t="shared" ref="AD35:AI35" si="45">AD51*1.23</f>
        <v>0</v>
      </c>
      <c r="AE35" s="722">
        <f t="shared" si="45"/>
        <v>0</v>
      </c>
      <c r="AF35" s="722">
        <f t="shared" si="45"/>
        <v>0</v>
      </c>
      <c r="AG35" s="722">
        <f t="shared" si="45"/>
        <v>0</v>
      </c>
      <c r="AH35" s="722">
        <f t="shared" si="45"/>
        <v>0</v>
      </c>
      <c r="AI35" s="722">
        <f t="shared" si="45"/>
        <v>0</v>
      </c>
      <c r="AJ35" s="722"/>
      <c r="AK35" s="186"/>
      <c r="AL35" s="722">
        <f t="shared" ref="AL35:AQ35" si="46">AL51*1.23</f>
        <v>0</v>
      </c>
      <c r="AM35" s="722">
        <f t="shared" si="46"/>
        <v>0</v>
      </c>
      <c r="AN35" s="722">
        <f t="shared" si="46"/>
        <v>0</v>
      </c>
      <c r="AO35" s="722">
        <f t="shared" si="46"/>
        <v>0</v>
      </c>
      <c r="AP35" s="722">
        <f t="shared" si="46"/>
        <v>0</v>
      </c>
      <c r="AQ35" s="722">
        <f t="shared" si="46"/>
        <v>0</v>
      </c>
      <c r="AR35" s="722"/>
      <c r="AS35" s="187"/>
      <c r="AT35" s="722">
        <f t="shared" ref="AT35:AY35" si="47">AT51*1.23</f>
        <v>0</v>
      </c>
      <c r="AU35" s="722">
        <f t="shared" si="47"/>
        <v>0</v>
      </c>
      <c r="AV35" s="722">
        <f t="shared" si="47"/>
        <v>0</v>
      </c>
      <c r="AW35" s="722">
        <f t="shared" si="47"/>
        <v>0</v>
      </c>
      <c r="AX35" s="722">
        <f t="shared" si="47"/>
        <v>0</v>
      </c>
      <c r="AY35" s="722">
        <f t="shared" si="47"/>
        <v>0</v>
      </c>
      <c r="AZ35" s="722"/>
      <c r="BA35" s="186"/>
      <c r="BB35" s="722">
        <f t="shared" ref="BB35:BG35" si="48">BB51*1.23</f>
        <v>0</v>
      </c>
      <c r="BC35" s="722">
        <f t="shared" si="48"/>
        <v>0</v>
      </c>
      <c r="BD35" s="722">
        <f t="shared" si="48"/>
        <v>0</v>
      </c>
      <c r="BE35" s="722">
        <f t="shared" si="48"/>
        <v>0</v>
      </c>
      <c r="BF35" s="722">
        <f t="shared" si="48"/>
        <v>0</v>
      </c>
      <c r="BG35" s="722">
        <f t="shared" si="48"/>
        <v>0</v>
      </c>
      <c r="BH35" s="722"/>
      <c r="BI35" s="187"/>
      <c r="BJ35" s="721">
        <f t="shared" ca="1" si="35"/>
        <v>0</v>
      </c>
      <c r="BK35" s="1218" t="str">
        <f ca="1">IFERROR((BJ36/BJ35),"-")</f>
        <v>-</v>
      </c>
      <c r="BL35" s="187"/>
      <c r="BM35" s="1215">
        <v>0</v>
      </c>
      <c r="BN35" s="1269">
        <v>0</v>
      </c>
      <c r="BO35" s="1269">
        <v>0</v>
      </c>
      <c r="BP35" s="1223" t="str">
        <f>IFERROR((BO35/BN35),"-")</f>
        <v>-</v>
      </c>
      <c r="BQ35" s="186"/>
      <c r="BR35" s="1215">
        <f>BR51*1.23</f>
        <v>387066.57209999999</v>
      </c>
      <c r="BS35" s="1215">
        <f>BS51*1.23</f>
        <v>387066.56809999992</v>
      </c>
      <c r="BT35" s="1218">
        <f>IFERROR((BS35/BR35),"-")</f>
        <v>0.99999998966586023</v>
      </c>
      <c r="BU35" s="186"/>
      <c r="BV35" s="1269">
        <f>BV51*1.23</f>
        <v>409108.61489999999</v>
      </c>
      <c r="BW35" s="1270">
        <f>BV35-BS35</f>
        <v>22042.046800000069</v>
      </c>
      <c r="CB35" s="44" t="str">
        <f t="shared" si="12"/>
        <v>Seg. 4.3  - Corte</v>
      </c>
    </row>
    <row r="36" spans="1:80" s="16" customFormat="1" ht="15.75" hidden="1" outlineLevel="1">
      <c r="A36" s="734"/>
      <c r="B36" s="1166"/>
      <c r="C36" s="723"/>
      <c r="D36" s="1168"/>
      <c r="E36" s="186"/>
      <c r="F36" s="178" t="s">
        <v>38</v>
      </c>
      <c r="G36" s="721">
        <f t="shared" ca="1" si="36"/>
        <v>0</v>
      </c>
      <c r="H36" s="1170"/>
      <c r="I36" s="187"/>
      <c r="J36" s="179" t="s">
        <v>38</v>
      </c>
      <c r="K36" s="721" cm="1">
        <f t="array" aca="1" ref="K36" ca="1">_xlfn.XLOOKUP($L$7,$N$7:$BH$7,$N36:BH36)</f>
        <v>0</v>
      </c>
      <c r="L36" s="1218"/>
      <c r="M36" s="192"/>
      <c r="N36" s="722">
        <v>0</v>
      </c>
      <c r="O36" s="722">
        <v>0</v>
      </c>
      <c r="P36" s="722">
        <v>55.15</v>
      </c>
      <c r="Q36" s="722">
        <v>0</v>
      </c>
      <c r="R36" s="722"/>
      <c r="S36" s="722">
        <v>0</v>
      </c>
      <c r="T36" s="722"/>
      <c r="U36" s="186"/>
      <c r="V36" s="722">
        <v>0</v>
      </c>
      <c r="W36" s="722">
        <v>0</v>
      </c>
      <c r="X36" s="722">
        <v>0</v>
      </c>
      <c r="Y36" s="722">
        <v>0</v>
      </c>
      <c r="Z36" s="722">
        <v>0</v>
      </c>
      <c r="AA36" s="722">
        <v>0</v>
      </c>
      <c r="AB36" s="722"/>
      <c r="AC36" s="186"/>
      <c r="AD36" s="722">
        <v>0</v>
      </c>
      <c r="AE36" s="722">
        <v>0</v>
      </c>
      <c r="AF36" s="722">
        <v>0</v>
      </c>
      <c r="AG36" s="722">
        <v>0</v>
      </c>
      <c r="AH36" s="722">
        <v>0</v>
      </c>
      <c r="AI36" s="722">
        <v>0</v>
      </c>
      <c r="AJ36" s="722"/>
      <c r="AK36" s="186"/>
      <c r="AL36" s="722">
        <v>0</v>
      </c>
      <c r="AM36" s="722">
        <v>0</v>
      </c>
      <c r="AN36" s="722">
        <v>0</v>
      </c>
      <c r="AO36" s="722">
        <v>0</v>
      </c>
      <c r="AP36" s="722">
        <v>0</v>
      </c>
      <c r="AQ36" s="722">
        <v>0</v>
      </c>
      <c r="AR36" s="722"/>
      <c r="AS36" s="187"/>
      <c r="AT36" s="722">
        <v>0</v>
      </c>
      <c r="AU36" s="722">
        <v>0</v>
      </c>
      <c r="AV36" s="722">
        <v>0</v>
      </c>
      <c r="AW36" s="722">
        <v>0</v>
      </c>
      <c r="AX36" s="722">
        <v>0</v>
      </c>
      <c r="AY36" s="722">
        <v>0</v>
      </c>
      <c r="AZ36" s="722"/>
      <c r="BA36" s="186"/>
      <c r="BB36" s="722">
        <v>0</v>
      </c>
      <c r="BC36" s="722">
        <v>0</v>
      </c>
      <c r="BD36" s="722">
        <v>0</v>
      </c>
      <c r="BE36" s="722">
        <v>0</v>
      </c>
      <c r="BF36" s="722">
        <v>0</v>
      </c>
      <c r="BG36" s="722">
        <v>0</v>
      </c>
      <c r="BH36" s="722"/>
      <c r="BI36" s="187"/>
      <c r="BJ36" s="721">
        <f t="shared" ca="1" si="35"/>
        <v>0</v>
      </c>
      <c r="BK36" s="1218"/>
      <c r="BL36" s="187"/>
      <c r="BM36" s="1216"/>
      <c r="BN36" s="1269"/>
      <c r="BO36" s="1269"/>
      <c r="BP36" s="1223"/>
      <c r="BQ36" s="186"/>
      <c r="BR36" s="1216"/>
      <c r="BS36" s="1216"/>
      <c r="BT36" s="1218"/>
      <c r="BU36" s="186"/>
      <c r="BV36" s="1269"/>
      <c r="BW36" s="1271"/>
      <c r="CB36" s="44" t="str">
        <f t="shared" si="12"/>
        <v>Seg. 4.3  - Corte</v>
      </c>
    </row>
    <row r="37" spans="1:80" s="16" customFormat="1" ht="15.75" hidden="1" outlineLevel="1">
      <c r="A37" s="734"/>
      <c r="B37" s="1166" t="s">
        <v>4193</v>
      </c>
      <c r="C37" s="723" t="s">
        <v>36</v>
      </c>
      <c r="D37" s="1167" t="str">
        <f>IFERROR((C37/B37),"-")</f>
        <v>-</v>
      </c>
      <c r="E37" s="186"/>
      <c r="F37" s="188" t="s">
        <v>37</v>
      </c>
      <c r="G37" s="721">
        <f t="shared" ca="1" si="36"/>
        <v>0</v>
      </c>
      <c r="H37" s="1169" t="str">
        <f ca="1">IFERROR((G38/G37),"-")</f>
        <v>-</v>
      </c>
      <c r="I37" s="187"/>
      <c r="J37" s="189" t="s">
        <v>37</v>
      </c>
      <c r="K37" s="721" cm="1">
        <f t="array" aca="1" ref="K37" ca="1">_xlfn.XLOOKUP($L$7,$N$7:$BH$7,$N37:BH37)</f>
        <v>0</v>
      </c>
      <c r="L37" s="1218" t="str">
        <f ca="1">IFERROR((K38/K37),"-")</f>
        <v>-</v>
      </c>
      <c r="M37" s="192"/>
      <c r="N37" s="722">
        <v>1076</v>
      </c>
      <c r="O37" s="722">
        <v>1076</v>
      </c>
      <c r="P37" s="722">
        <v>1076</v>
      </c>
      <c r="Q37" s="722">
        <v>1076</v>
      </c>
      <c r="R37" s="722">
        <v>1076</v>
      </c>
      <c r="S37" s="722">
        <v>1076</v>
      </c>
      <c r="T37" s="722"/>
      <c r="U37" s="186"/>
      <c r="V37" s="722">
        <v>1144.2899866666664</v>
      </c>
      <c r="W37" s="722">
        <v>1144.2899866666664</v>
      </c>
      <c r="X37" s="722">
        <v>1144.2899866666664</v>
      </c>
      <c r="Y37" s="722">
        <v>1144.2899866666664</v>
      </c>
      <c r="Z37" s="722">
        <v>1144.2899866666664</v>
      </c>
      <c r="AA37" s="722">
        <v>1144.2899866666664</v>
      </c>
      <c r="AB37" s="722"/>
      <c r="AC37" s="186"/>
      <c r="AD37" s="722"/>
      <c r="AE37" s="722"/>
      <c r="AF37" s="722"/>
      <c r="AG37" s="722"/>
      <c r="AH37" s="722"/>
      <c r="AI37" s="722"/>
      <c r="AJ37" s="722"/>
      <c r="AK37" s="186"/>
      <c r="AL37" s="722">
        <f t="shared" ref="AL37:AQ37" si="49">AL53*1.22</f>
        <v>0</v>
      </c>
      <c r="AM37" s="722">
        <f t="shared" si="49"/>
        <v>0</v>
      </c>
      <c r="AN37" s="722">
        <f t="shared" si="49"/>
        <v>0</v>
      </c>
      <c r="AO37" s="722">
        <f t="shared" si="49"/>
        <v>0</v>
      </c>
      <c r="AP37" s="722">
        <f t="shared" si="49"/>
        <v>0</v>
      </c>
      <c r="AQ37" s="722">
        <f t="shared" si="49"/>
        <v>0</v>
      </c>
      <c r="AR37" s="722"/>
      <c r="AS37" s="187"/>
      <c r="AT37" s="722">
        <f t="shared" ref="AT37:AY37" si="50">AT53*1.22</f>
        <v>0</v>
      </c>
      <c r="AU37" s="722">
        <f t="shared" si="50"/>
        <v>0</v>
      </c>
      <c r="AV37" s="722">
        <f t="shared" si="50"/>
        <v>0</v>
      </c>
      <c r="AW37" s="722">
        <f t="shared" si="50"/>
        <v>0</v>
      </c>
      <c r="AX37" s="722">
        <f t="shared" si="50"/>
        <v>0</v>
      </c>
      <c r="AY37" s="722">
        <f t="shared" si="50"/>
        <v>0</v>
      </c>
      <c r="AZ37" s="722"/>
      <c r="BA37" s="186"/>
      <c r="BB37" s="722">
        <f t="shared" ref="BB37:BG37" si="51">BB53*1.22</f>
        <v>0</v>
      </c>
      <c r="BC37" s="722">
        <f t="shared" si="51"/>
        <v>0</v>
      </c>
      <c r="BD37" s="722">
        <f t="shared" si="51"/>
        <v>0</v>
      </c>
      <c r="BE37" s="722">
        <f t="shared" si="51"/>
        <v>0</v>
      </c>
      <c r="BF37" s="722">
        <f t="shared" si="51"/>
        <v>0</v>
      </c>
      <c r="BG37" s="722">
        <f t="shared" si="51"/>
        <v>0</v>
      </c>
      <c r="BH37" s="722"/>
      <c r="BI37" s="187"/>
      <c r="BJ37" s="180">
        <f t="shared" ca="1" si="35"/>
        <v>0</v>
      </c>
      <c r="BK37" s="1218" t="str">
        <f ca="1">IFERROR((BJ38/BJ37),"-")</f>
        <v>-</v>
      </c>
      <c r="BL37" s="187"/>
      <c r="BM37" s="1215">
        <v>6865.7399199999991</v>
      </c>
      <c r="BN37" s="1269">
        <v>6865.7399199999991</v>
      </c>
      <c r="BO37" s="1269">
        <v>5360.579999999999</v>
      </c>
      <c r="BP37" s="1223">
        <f>IFERROR((BO37/BN37),"-")</f>
        <v>0.78077236575544495</v>
      </c>
      <c r="BQ37" s="186"/>
      <c r="BR37" s="1215">
        <f>BR53*1.22</f>
        <v>425138.44558473286</v>
      </c>
      <c r="BS37" s="1215">
        <f>BS53*1.22</f>
        <v>425616.22040000022</v>
      </c>
      <c r="BT37" s="1218">
        <f>IFERROR((BS37/BR37),"-")</f>
        <v>1.0011238099499804</v>
      </c>
      <c r="BU37" s="186"/>
      <c r="BV37" s="1269">
        <f>BV53*1.22</f>
        <v>434270.4436</v>
      </c>
      <c r="BW37" s="1270">
        <f>BV37-BS37</f>
        <v>8654.2231999997748</v>
      </c>
      <c r="CB37" s="44" t="str">
        <f t="shared" si="12"/>
        <v>Seg. 4.4  - Corte</v>
      </c>
    </row>
    <row r="38" spans="1:80" s="16" customFormat="1" ht="15.75" hidden="1" outlineLevel="1">
      <c r="A38" s="734"/>
      <c r="B38" s="1166"/>
      <c r="C38" s="723"/>
      <c r="D38" s="1168"/>
      <c r="E38" s="186"/>
      <c r="F38" s="178" t="s">
        <v>38</v>
      </c>
      <c r="G38" s="721">
        <f t="shared" ca="1" si="36"/>
        <v>2779.5599999999995</v>
      </c>
      <c r="H38" s="1170"/>
      <c r="I38" s="187"/>
      <c r="J38" s="179" t="s">
        <v>38</v>
      </c>
      <c r="K38" s="721" cm="1">
        <f t="array" aca="1" ref="K38" ca="1">_xlfn.XLOOKUP($L$7,$N$7:$BH$7,$N38:BH38)</f>
        <v>0</v>
      </c>
      <c r="L38" s="1218"/>
      <c r="M38" s="192"/>
      <c r="N38" s="722">
        <v>1433.8999999999999</v>
      </c>
      <c r="O38" s="722">
        <v>551.5</v>
      </c>
      <c r="P38" s="722">
        <v>1025.79</v>
      </c>
      <c r="Q38" s="722">
        <v>959.6099999999999</v>
      </c>
      <c r="R38" s="722">
        <v>727.9799999999999</v>
      </c>
      <c r="S38" s="722">
        <v>452.22999999999996</v>
      </c>
      <c r="T38" s="722"/>
      <c r="U38" s="186"/>
      <c r="V38" s="722">
        <v>275.75</v>
      </c>
      <c r="W38" s="722">
        <v>628.70999999999992</v>
      </c>
      <c r="X38" s="722">
        <v>904.46</v>
      </c>
      <c r="Y38" s="722">
        <v>0</v>
      </c>
      <c r="Z38" s="722">
        <v>772.1</v>
      </c>
      <c r="AA38" s="722">
        <v>628.70999999999992</v>
      </c>
      <c r="AB38" s="722"/>
      <c r="AC38" s="186"/>
      <c r="AD38" s="722">
        <v>772.09999999999991</v>
      </c>
      <c r="AE38" s="722">
        <v>882.4</v>
      </c>
      <c r="AF38" s="722">
        <v>959.6099999999999</v>
      </c>
      <c r="AG38" s="722">
        <v>165.45</v>
      </c>
      <c r="AH38" s="722">
        <v>0</v>
      </c>
      <c r="AI38" s="722">
        <v>0</v>
      </c>
      <c r="AJ38" s="722"/>
      <c r="AK38" s="186"/>
      <c r="AL38" s="722">
        <v>0</v>
      </c>
      <c r="AM38" s="722">
        <v>0</v>
      </c>
      <c r="AN38" s="722">
        <v>0</v>
      </c>
      <c r="AO38" s="722">
        <v>0</v>
      </c>
      <c r="AP38" s="722">
        <v>0</v>
      </c>
      <c r="AQ38" s="722">
        <v>0</v>
      </c>
      <c r="AR38" s="722"/>
      <c r="AS38" s="187"/>
      <c r="AT38" s="722">
        <v>0</v>
      </c>
      <c r="AU38" s="722">
        <v>0</v>
      </c>
      <c r="AV38" s="722">
        <v>0</v>
      </c>
      <c r="AW38" s="722">
        <v>0</v>
      </c>
      <c r="AX38" s="722">
        <v>0</v>
      </c>
      <c r="AY38" s="722">
        <v>0</v>
      </c>
      <c r="AZ38" s="722"/>
      <c r="BA38" s="186"/>
      <c r="BB38" s="722">
        <v>0</v>
      </c>
      <c r="BC38" s="722">
        <v>0</v>
      </c>
      <c r="BD38" s="722">
        <v>0</v>
      </c>
      <c r="BE38" s="722">
        <v>0</v>
      </c>
      <c r="BF38" s="722">
        <v>0</v>
      </c>
      <c r="BG38" s="722">
        <v>0</v>
      </c>
      <c r="BH38" s="722"/>
      <c r="BI38" s="187"/>
      <c r="BJ38" s="180">
        <f t="shared" ca="1" si="35"/>
        <v>0</v>
      </c>
      <c r="BK38" s="1218"/>
      <c r="BL38" s="187"/>
      <c r="BM38" s="1216"/>
      <c r="BN38" s="1269"/>
      <c r="BO38" s="1269"/>
      <c r="BP38" s="1223"/>
      <c r="BQ38" s="186"/>
      <c r="BR38" s="1216"/>
      <c r="BS38" s="1216"/>
      <c r="BT38" s="1218"/>
      <c r="BU38" s="186"/>
      <c r="BV38" s="1269"/>
      <c r="BW38" s="1271"/>
      <c r="CB38" s="44" t="str">
        <f t="shared" si="12"/>
        <v>Seg. 4.4  - Corte</v>
      </c>
    </row>
    <row r="39" spans="1:80" s="16" customFormat="1" ht="3.75" customHeight="1" collapsed="1">
      <c r="A39" s="157"/>
      <c r="B39" s="171"/>
      <c r="C39" s="172"/>
      <c r="D39" s="691"/>
      <c r="E39" s="169"/>
      <c r="F39" s="173"/>
      <c r="G39" s="692"/>
      <c r="H39" s="693"/>
      <c r="I39" s="170"/>
      <c r="J39" s="174"/>
      <c r="K39" s="175"/>
      <c r="L39" s="693"/>
      <c r="M39" s="169"/>
      <c r="N39" s="175"/>
      <c r="O39" s="175"/>
      <c r="P39" s="175"/>
      <c r="Q39" s="175"/>
      <c r="R39" s="175"/>
      <c r="S39" s="175"/>
      <c r="T39" s="175"/>
      <c r="U39" s="169"/>
      <c r="V39" s="175"/>
      <c r="W39" s="175"/>
      <c r="X39" s="175"/>
      <c r="Y39" s="175"/>
      <c r="Z39" s="175"/>
      <c r="AA39" s="175"/>
      <c r="AB39" s="175"/>
      <c r="AC39" s="169"/>
      <c r="AD39" s="175"/>
      <c r="AE39" s="175"/>
      <c r="AF39" s="175"/>
      <c r="AG39" s="175"/>
      <c r="AH39" s="175"/>
      <c r="AI39" s="175"/>
      <c r="AJ39" s="175"/>
      <c r="AK39" s="169"/>
      <c r="AL39" s="175"/>
      <c r="AM39" s="175"/>
      <c r="AN39" s="175"/>
      <c r="AO39" s="175"/>
      <c r="AP39" s="175"/>
      <c r="AQ39" s="175"/>
      <c r="AR39" s="175"/>
      <c r="AS39" s="169"/>
      <c r="AT39" s="175"/>
      <c r="AU39" s="175"/>
      <c r="AV39" s="175"/>
      <c r="AW39" s="175"/>
      <c r="AX39" s="175"/>
      <c r="AY39" s="175"/>
      <c r="AZ39" s="175"/>
      <c r="BA39" s="169"/>
      <c r="BB39" s="175"/>
      <c r="BC39" s="175"/>
      <c r="BD39" s="175"/>
      <c r="BE39" s="175"/>
      <c r="BF39" s="175"/>
      <c r="BG39" s="175"/>
      <c r="BH39" s="175"/>
      <c r="BI39" s="169"/>
      <c r="BJ39" s="175"/>
      <c r="BK39" s="693"/>
      <c r="BL39" s="169"/>
      <c r="BM39" s="175"/>
      <c r="BN39" s="175"/>
      <c r="BO39" s="175"/>
      <c r="BP39" s="693"/>
      <c r="BQ39" s="169"/>
      <c r="BR39" s="692"/>
      <c r="BS39" s="692"/>
      <c r="BT39" s="693"/>
      <c r="BU39" s="169"/>
      <c r="BV39" s="692"/>
      <c r="BW39" s="692"/>
      <c r="CB39" s="44" t="str">
        <f t="shared" ref="CB39:CB70" si="52">IF(B39&lt;&gt;"",B39,CB38)</f>
        <v>Seg. 4.4  - Corte</v>
      </c>
    </row>
    <row r="40" spans="1:80" s="16" customFormat="1" ht="3.75" customHeight="1">
      <c r="A40" s="157"/>
      <c r="B40" s="171"/>
      <c r="C40" s="172"/>
      <c r="D40" s="691"/>
      <c r="E40" s="169"/>
      <c r="F40" s="173"/>
      <c r="G40" s="692"/>
      <c r="H40" s="693"/>
      <c r="I40" s="170"/>
      <c r="J40" s="174"/>
      <c r="K40" s="175"/>
      <c r="L40" s="693"/>
      <c r="M40" s="169"/>
      <c r="N40" s="175"/>
      <c r="O40" s="175"/>
      <c r="P40" s="175"/>
      <c r="Q40" s="175"/>
      <c r="R40" s="175"/>
      <c r="S40" s="175"/>
      <c r="T40" s="175"/>
      <c r="U40" s="169"/>
      <c r="V40" s="175"/>
      <c r="W40" s="175"/>
      <c r="X40" s="175"/>
      <c r="Y40" s="175"/>
      <c r="Z40" s="175"/>
      <c r="AA40" s="175"/>
      <c r="AB40" s="175"/>
      <c r="AC40" s="169"/>
      <c r="AD40" s="175"/>
      <c r="AE40" s="175"/>
      <c r="AF40" s="175"/>
      <c r="AG40" s="175"/>
      <c r="AH40" s="175"/>
      <c r="AI40" s="175"/>
      <c r="AJ40" s="175"/>
      <c r="AK40" s="169"/>
      <c r="AL40" s="175"/>
      <c r="AM40" s="175"/>
      <c r="AN40" s="175"/>
      <c r="AO40" s="175"/>
      <c r="AP40" s="175"/>
      <c r="AQ40" s="175"/>
      <c r="AR40" s="175"/>
      <c r="AS40" s="169"/>
      <c r="AT40" s="175"/>
      <c r="AU40" s="175"/>
      <c r="AV40" s="175"/>
      <c r="AW40" s="175"/>
      <c r="AX40" s="175"/>
      <c r="AY40" s="175"/>
      <c r="AZ40" s="175"/>
      <c r="BA40" s="169"/>
      <c r="BB40" s="175"/>
      <c r="BC40" s="175"/>
      <c r="BD40" s="175"/>
      <c r="BE40" s="175"/>
      <c r="BF40" s="175"/>
      <c r="BG40" s="175"/>
      <c r="BH40" s="175"/>
      <c r="BI40" s="169"/>
      <c r="BJ40" s="175"/>
      <c r="BK40" s="693"/>
      <c r="BL40" s="169"/>
      <c r="BM40" s="175"/>
      <c r="BN40" s="175"/>
      <c r="BO40" s="175"/>
      <c r="BP40" s="693"/>
      <c r="BQ40" s="169"/>
      <c r="BR40" s="692"/>
      <c r="BS40" s="692"/>
      <c r="BT40" s="693"/>
      <c r="BU40" s="169"/>
      <c r="BV40" s="692"/>
      <c r="BW40" s="692"/>
      <c r="CB40" s="44" t="str">
        <f t="shared" si="52"/>
        <v>Seg. 4.4  - Corte</v>
      </c>
    </row>
    <row r="41" spans="1:80" s="16" customFormat="1" ht="15.75">
      <c r="A41" s="733"/>
      <c r="B41" s="1219" t="s">
        <v>50</v>
      </c>
      <c r="C41" s="1204" t="s">
        <v>36</v>
      </c>
      <c r="D41" s="1206">
        <f>IFERROR((BS41-BR41),"-")</f>
        <v>121051.88862616755</v>
      </c>
      <c r="E41" s="186"/>
      <c r="F41" s="455" t="s">
        <v>37</v>
      </c>
      <c r="G41" s="456">
        <f ca="1">SUMIFS($N41:$BH41,$N$1:$BH$1,$H$4)</f>
        <v>35867.085485190844</v>
      </c>
      <c r="H41" s="1220">
        <f ca="1">IFERROR((G42/G41),"-")</f>
        <v>1.1092534360399549</v>
      </c>
      <c r="I41" s="187"/>
      <c r="J41" s="457" t="s">
        <v>37</v>
      </c>
      <c r="K41" s="458" cm="1">
        <f t="array" aca="1" ref="K41" ca="1">_xlfn.XLOOKUP($L$7,$N$7:$BH$7,$N41:BH41)</f>
        <v>4438.4539841666665</v>
      </c>
      <c r="L41" s="1220">
        <f ca="1">IFERROR((K42/K41),"-")</f>
        <v>1.4117971156156204</v>
      </c>
      <c r="M41" s="186"/>
      <c r="N41" s="459">
        <f t="shared" ref="N41:T42" si="53">SUM(N45+N47+N49+N51+N53)</f>
        <v>6069</v>
      </c>
      <c r="O41" s="459">
        <f t="shared" si="53"/>
        <v>6069</v>
      </c>
      <c r="P41" s="459">
        <f t="shared" si="53"/>
        <v>6069</v>
      </c>
      <c r="Q41" s="459">
        <f t="shared" si="53"/>
        <v>6069</v>
      </c>
      <c r="R41" s="459">
        <f t="shared" si="53"/>
        <v>6069</v>
      </c>
      <c r="S41" s="460">
        <f t="shared" si="53"/>
        <v>6069</v>
      </c>
      <c r="T41" s="460">
        <f t="shared" si="53"/>
        <v>0</v>
      </c>
      <c r="U41" s="186"/>
      <c r="V41" s="459">
        <f>SUM(V45+V47+V49+V51+V53)</f>
        <v>5130.873990000001</v>
      </c>
      <c r="W41" s="459">
        <f>SUM(W45+W47+W49+W51+W53)</f>
        <v>5130.873990000001</v>
      </c>
      <c r="X41" s="459">
        <f t="shared" ref="X41:AB41" si="54">SUM(X45+X47+X49+X51+X53)</f>
        <v>5130.873990000001</v>
      </c>
      <c r="Y41" s="459">
        <f t="shared" si="54"/>
        <v>5130.873990000001</v>
      </c>
      <c r="Z41" s="459">
        <f t="shared" si="54"/>
        <v>5130.873990000001</v>
      </c>
      <c r="AA41" s="460">
        <f>SUM(AA45+AA47+AA49+AA51+AA53)</f>
        <v>5130.873990000001</v>
      </c>
      <c r="AB41" s="460">
        <f t="shared" si="54"/>
        <v>0</v>
      </c>
      <c r="AC41" s="186"/>
      <c r="AD41" s="459">
        <f t="shared" ref="AD41:AJ42" si="55">SUM(AD45+AD47+AD49+AD51+AD53)</f>
        <v>5977.8475808651401</v>
      </c>
      <c r="AE41" s="459">
        <f t="shared" si="55"/>
        <v>5977.8475808651401</v>
      </c>
      <c r="AF41" s="459">
        <f t="shared" si="55"/>
        <v>5977.8475808651401</v>
      </c>
      <c r="AG41" s="459">
        <f t="shared" si="55"/>
        <v>5977.8475808651401</v>
      </c>
      <c r="AH41" s="459">
        <f t="shared" si="55"/>
        <v>5977.8475808651401</v>
      </c>
      <c r="AI41" s="460">
        <f t="shared" si="55"/>
        <v>5977.8475808651401</v>
      </c>
      <c r="AJ41" s="460">
        <f t="shared" si="55"/>
        <v>0</v>
      </c>
      <c r="AK41" s="186"/>
      <c r="AL41" s="459">
        <f t="shared" ref="AL41:AR42" si="56">SUM(AL45+AL47+AL49+AL51+AL53)</f>
        <v>4438.4539841666665</v>
      </c>
      <c r="AM41" s="459">
        <f t="shared" si="56"/>
        <v>4438.4539841666665</v>
      </c>
      <c r="AN41" s="459">
        <f t="shared" si="56"/>
        <v>4438.4539841666665</v>
      </c>
      <c r="AO41" s="459">
        <f t="shared" si="56"/>
        <v>4438.4539841666665</v>
      </c>
      <c r="AP41" s="459">
        <f t="shared" si="56"/>
        <v>4438.4539841666665</v>
      </c>
      <c r="AQ41" s="460">
        <f t="shared" si="56"/>
        <v>4438.4539841666665</v>
      </c>
      <c r="AR41" s="460">
        <f t="shared" si="56"/>
        <v>0</v>
      </c>
      <c r="AS41" s="187"/>
      <c r="AT41" s="459">
        <f t="shared" ref="AT41:AZ42" si="57">SUM(AT45+AT47+AT49+AT51+AT53)</f>
        <v>5919.5566666666673</v>
      </c>
      <c r="AU41" s="459">
        <f t="shared" si="57"/>
        <v>5919.5566666666673</v>
      </c>
      <c r="AV41" s="459">
        <f t="shared" si="57"/>
        <v>5919.5566666666673</v>
      </c>
      <c r="AW41" s="459">
        <f t="shared" si="57"/>
        <v>5919.5566666666673</v>
      </c>
      <c r="AX41" s="459">
        <f t="shared" si="57"/>
        <v>5919.5566666666673</v>
      </c>
      <c r="AY41" s="460">
        <f t="shared" si="57"/>
        <v>5919.5566666666673</v>
      </c>
      <c r="AZ41" s="460">
        <f t="shared" si="57"/>
        <v>0</v>
      </c>
      <c r="BA41" s="186"/>
      <c r="BB41" s="459">
        <f t="shared" ref="BB41:BH42" si="58">SUM(BB45+BB47+BB49+BB51+BB53)</f>
        <v>7174.9</v>
      </c>
      <c r="BC41" s="459">
        <f t="shared" si="58"/>
        <v>7174.9</v>
      </c>
      <c r="BD41" s="459">
        <f t="shared" si="58"/>
        <v>7174.9</v>
      </c>
      <c r="BE41" s="459">
        <f t="shared" si="58"/>
        <v>7174.9</v>
      </c>
      <c r="BF41" s="459">
        <f t="shared" si="58"/>
        <v>7174.9</v>
      </c>
      <c r="BG41" s="460">
        <f t="shared" si="58"/>
        <v>7174.9</v>
      </c>
      <c r="BH41" s="460">
        <f t="shared" si="58"/>
        <v>0</v>
      </c>
      <c r="BI41" s="187"/>
      <c r="BJ41" s="180">
        <f ca="1">SUMIFS(N41:BI41,$N$7:$BI$7,"&gt;="&amp;($L$7-WEEKDAY($L$7,2)+1),$N$7:$BI$7,"&lt;="&amp;$L$7)</f>
        <v>8876.907968333333</v>
      </c>
      <c r="BK41" s="1272">
        <f ca="1">IFERROR((BJ42/BJ41),"-")</f>
        <v>1.3742119312355514</v>
      </c>
      <c r="BL41" s="187"/>
      <c r="BM41" s="1274">
        <f>SUM(BM45:BM54)</f>
        <v>157499.99333019089</v>
      </c>
      <c r="BN41" s="1276">
        <f>SUM(BN45:BN54)</f>
        <v>75529.237393524178</v>
      </c>
      <c r="BO41" s="1276">
        <f>SUM(BO45:BO54)</f>
        <v>95993.316561120359</v>
      </c>
      <c r="BP41" s="1272">
        <f>IFERROR((BO41/BN41),"-")</f>
        <v>1.2709424836500567</v>
      </c>
      <c r="BQ41" s="186"/>
      <c r="BR41" s="1276">
        <f>SUM(BR45:BR54)</f>
        <v>1584517.3859451909</v>
      </c>
      <c r="BS41" s="1276">
        <f>SUM(BS45:BS54)</f>
        <v>1705569.2745713585</v>
      </c>
      <c r="BT41" s="1277">
        <f>IFERROR((BS41/BR41),"-")</f>
        <v>1.076396693213914</v>
      </c>
      <c r="BU41" s="186"/>
      <c r="BV41" s="1276">
        <f>SUM(BV45:BV54)</f>
        <v>1988904.4299999997</v>
      </c>
      <c r="BW41" s="1276">
        <f>SUM(BW45:BW54)</f>
        <v>283335.15542864171</v>
      </c>
      <c r="CB41" s="44" t="str">
        <f t="shared" si="52"/>
        <v>Aterro</v>
      </c>
    </row>
    <row r="42" spans="1:80" s="16" customFormat="1" ht="15.75">
      <c r="A42" s="157"/>
      <c r="B42" s="1219"/>
      <c r="C42" s="1204"/>
      <c r="D42" s="1207"/>
      <c r="E42" s="186"/>
      <c r="F42" s="461" t="s">
        <v>38</v>
      </c>
      <c r="G42" s="456">
        <f ca="1">SUMIFS($N42:$BH42,$N$1:$BH$1,$H$4)</f>
        <v>39785.687815186735</v>
      </c>
      <c r="H42" s="1221"/>
      <c r="I42" s="187"/>
      <c r="J42" s="462" t="s">
        <v>38</v>
      </c>
      <c r="K42" s="458" cm="1">
        <f t="array" aca="1" ref="K42" ca="1">_xlfn.XLOOKUP($L$7,$N$7:$BH$7,$N42:BH42)</f>
        <v>6266.1965326391582</v>
      </c>
      <c r="L42" s="1221"/>
      <c r="M42" s="186"/>
      <c r="N42" s="459">
        <f t="shared" si="53"/>
        <v>9549.9977367010997</v>
      </c>
      <c r="O42" s="460">
        <f t="shared" si="53"/>
        <v>8694.8061277718807</v>
      </c>
      <c r="P42" s="460">
        <f t="shared" si="53"/>
        <v>7240.1513981134567</v>
      </c>
      <c r="Q42" s="460">
        <f t="shared" si="53"/>
        <v>7534.5802420580294</v>
      </c>
      <c r="R42" s="460">
        <f t="shared" si="53"/>
        <v>9466.161813776931</v>
      </c>
      <c r="S42" s="460">
        <f t="shared" si="53"/>
        <v>6559.3300793365652</v>
      </c>
      <c r="T42" s="460">
        <f t="shared" si="53"/>
        <v>0</v>
      </c>
      <c r="U42" s="186"/>
      <c r="V42" s="459">
        <f>SUM(V46+V48+V50+V52+V54)</f>
        <v>4273.6384397148531</v>
      </c>
      <c r="W42" s="460">
        <f t="shared" ref="W42:AB42" si="59">SUM(W46+W48+W50+W52+W54)</f>
        <v>9085.6497082162896</v>
      </c>
      <c r="X42" s="460">
        <f t="shared" si="59"/>
        <v>8731.2165801862466</v>
      </c>
      <c r="Y42" s="460">
        <f t="shared" si="59"/>
        <v>8626.2706816129485</v>
      </c>
      <c r="Z42" s="460">
        <f t="shared" si="59"/>
        <v>7041.1389917631986</v>
      </c>
      <c r="AA42" s="460">
        <f>SUM(AA46+AA48+AA50+AA52+AA54)</f>
        <v>6250.9615018765026</v>
      </c>
      <c r="AB42" s="460">
        <f t="shared" si="59"/>
        <v>0</v>
      </c>
      <c r="AC42" s="186"/>
      <c r="AD42" s="459">
        <f t="shared" si="55"/>
        <v>8772.1893292748755</v>
      </c>
      <c r="AE42" s="460">
        <f t="shared" si="55"/>
        <v>7708.4366291366059</v>
      </c>
      <c r="AF42" s="460">
        <f t="shared" si="55"/>
        <v>8098.5390477369483</v>
      </c>
      <c r="AG42" s="460">
        <f t="shared" si="55"/>
        <v>6206.1306720636749</v>
      </c>
      <c r="AH42" s="460">
        <f t="shared" si="55"/>
        <v>4565.768916874802</v>
      </c>
      <c r="AI42" s="460">
        <f t="shared" si="55"/>
        <v>4434.6232200998265</v>
      </c>
      <c r="AJ42" s="460">
        <f t="shared" si="55"/>
        <v>0</v>
      </c>
      <c r="AK42" s="186"/>
      <c r="AL42" s="460">
        <f t="shared" si="56"/>
        <v>5932.5563099244455</v>
      </c>
      <c r="AM42" s="460">
        <f t="shared" si="56"/>
        <v>6266.1965326391582</v>
      </c>
      <c r="AN42" s="460">
        <f t="shared" si="56"/>
        <v>0</v>
      </c>
      <c r="AO42" s="460">
        <f t="shared" si="56"/>
        <v>0</v>
      </c>
      <c r="AP42" s="460">
        <f t="shared" si="56"/>
        <v>0</v>
      </c>
      <c r="AQ42" s="460">
        <f t="shared" si="56"/>
        <v>0</v>
      </c>
      <c r="AR42" s="460">
        <f t="shared" si="56"/>
        <v>0</v>
      </c>
      <c r="AS42" s="187"/>
      <c r="AT42" s="460">
        <f t="shared" si="57"/>
        <v>0</v>
      </c>
      <c r="AU42" s="460">
        <f t="shared" si="57"/>
        <v>0</v>
      </c>
      <c r="AV42" s="460">
        <f t="shared" si="57"/>
        <v>0</v>
      </c>
      <c r="AW42" s="460">
        <f t="shared" si="57"/>
        <v>0</v>
      </c>
      <c r="AX42" s="460">
        <f t="shared" si="57"/>
        <v>0</v>
      </c>
      <c r="AY42" s="460">
        <f t="shared" si="57"/>
        <v>0</v>
      </c>
      <c r="AZ42" s="460">
        <f t="shared" si="57"/>
        <v>0</v>
      </c>
      <c r="BA42" s="186"/>
      <c r="BB42" s="460">
        <f t="shared" si="58"/>
        <v>0</v>
      </c>
      <c r="BC42" s="460">
        <f t="shared" si="58"/>
        <v>0</v>
      </c>
      <c r="BD42" s="460">
        <f t="shared" si="58"/>
        <v>0</v>
      </c>
      <c r="BE42" s="460">
        <f t="shared" si="58"/>
        <v>0</v>
      </c>
      <c r="BF42" s="460">
        <f t="shared" si="58"/>
        <v>0</v>
      </c>
      <c r="BG42" s="460">
        <f t="shared" si="58"/>
        <v>0</v>
      </c>
      <c r="BH42" s="460">
        <f t="shared" si="58"/>
        <v>0</v>
      </c>
      <c r="BI42" s="187"/>
      <c r="BJ42" s="180">
        <f ca="1">SUMIFS(N42:BI42,$N$7:$BI$7,"&gt;="&amp;($L$7-WEEKDAY($L$7,2)+1),$N$7:$BI$7,"&lt;="&amp;$L$7)</f>
        <v>12198.752842563605</v>
      </c>
      <c r="BK42" s="1273"/>
      <c r="BL42" s="187"/>
      <c r="BM42" s="1275"/>
      <c r="BN42" s="1276"/>
      <c r="BO42" s="1276"/>
      <c r="BP42" s="1273"/>
      <c r="BQ42" s="186"/>
      <c r="BR42" s="1276"/>
      <c r="BS42" s="1276"/>
      <c r="BT42" s="1277"/>
      <c r="BU42" s="186"/>
      <c r="BV42" s="1276"/>
      <c r="BW42" s="1276"/>
      <c r="CB42" s="44" t="str">
        <f t="shared" si="52"/>
        <v>Aterro</v>
      </c>
    </row>
    <row r="43" spans="1:80" s="16" customFormat="1" ht="3.75" customHeight="1">
      <c r="A43" s="157"/>
      <c r="B43" s="171"/>
      <c r="C43" s="172"/>
      <c r="D43" s="691"/>
      <c r="E43" s="169"/>
      <c r="F43" s="173"/>
      <c r="G43" s="692"/>
      <c r="H43" s="693"/>
      <c r="I43" s="170"/>
      <c r="J43" s="174"/>
      <c r="K43" s="175"/>
      <c r="L43" s="693"/>
      <c r="M43" s="169"/>
      <c r="N43" s="175"/>
      <c r="O43" s="175"/>
      <c r="P43" s="175"/>
      <c r="Q43" s="175"/>
      <c r="R43" s="175"/>
      <c r="S43" s="175"/>
      <c r="T43" s="175"/>
      <c r="U43" s="169"/>
      <c r="V43" s="175"/>
      <c r="W43" s="175"/>
      <c r="X43" s="175"/>
      <c r="Y43" s="175"/>
      <c r="Z43" s="175"/>
      <c r="AA43" s="175"/>
      <c r="AB43" s="175"/>
      <c r="AC43" s="169"/>
      <c r="AD43" s="175"/>
      <c r="AE43" s="175"/>
      <c r="AF43" s="175"/>
      <c r="AG43" s="175"/>
      <c r="AH43" s="175"/>
      <c r="AI43" s="175"/>
      <c r="AJ43" s="175"/>
      <c r="AK43" s="169"/>
      <c r="AL43" s="175"/>
      <c r="AM43" s="175"/>
      <c r="AN43" s="175"/>
      <c r="AO43" s="175"/>
      <c r="AP43" s="175"/>
      <c r="AQ43" s="175"/>
      <c r="AR43" s="175"/>
      <c r="AS43" s="169"/>
      <c r="AT43" s="175"/>
      <c r="AU43" s="175"/>
      <c r="AV43" s="175"/>
      <c r="AW43" s="175"/>
      <c r="AX43" s="175"/>
      <c r="AY43" s="175"/>
      <c r="AZ43" s="175"/>
      <c r="BA43" s="169"/>
      <c r="BB43" s="175"/>
      <c r="BC43" s="175"/>
      <c r="BD43" s="175"/>
      <c r="BE43" s="175"/>
      <c r="BF43" s="175"/>
      <c r="BG43" s="175"/>
      <c r="BH43" s="175"/>
      <c r="BI43" s="169"/>
      <c r="BJ43" s="175"/>
      <c r="BK43" s="693"/>
      <c r="BL43" s="169"/>
      <c r="BM43" s="175"/>
      <c r="BN43" s="175"/>
      <c r="BO43" s="175"/>
      <c r="BP43" s="693"/>
      <c r="BQ43" s="169"/>
      <c r="BR43" s="692"/>
      <c r="BS43" s="692"/>
      <c r="BT43" s="693"/>
      <c r="BU43" s="169"/>
      <c r="BV43" s="692"/>
      <c r="BW43" s="692"/>
      <c r="CB43" s="44" t="str">
        <f t="shared" si="52"/>
        <v>Aterro</v>
      </c>
    </row>
    <row r="44" spans="1:80" s="16" customFormat="1" ht="3.75" customHeight="1">
      <c r="A44" s="157"/>
      <c r="B44" s="171"/>
      <c r="C44" s="172"/>
      <c r="D44" s="691"/>
      <c r="E44" s="169"/>
      <c r="F44" s="173"/>
      <c r="G44" s="692"/>
      <c r="H44" s="693"/>
      <c r="I44" s="170"/>
      <c r="J44" s="174"/>
      <c r="K44" s="175"/>
      <c r="L44" s="693"/>
      <c r="M44" s="169"/>
      <c r="N44" s="175"/>
      <c r="O44" s="175"/>
      <c r="P44" s="175"/>
      <c r="Q44" s="175"/>
      <c r="R44" s="175"/>
      <c r="S44" s="175"/>
      <c r="T44" s="175"/>
      <c r="U44" s="169"/>
      <c r="V44" s="175"/>
      <c r="W44" s="175"/>
      <c r="X44" s="175"/>
      <c r="Y44" s="175"/>
      <c r="Z44" s="175"/>
      <c r="AA44" s="175"/>
      <c r="AB44" s="175"/>
      <c r="AC44" s="169"/>
      <c r="AD44" s="175"/>
      <c r="AE44" s="175"/>
      <c r="AF44" s="175"/>
      <c r="AG44" s="175"/>
      <c r="AH44" s="175"/>
      <c r="AI44" s="175"/>
      <c r="AJ44" s="175"/>
      <c r="AK44" s="169"/>
      <c r="AL44" s="175"/>
      <c r="AM44" s="175"/>
      <c r="AN44" s="175"/>
      <c r="AO44" s="175"/>
      <c r="AP44" s="175"/>
      <c r="AQ44" s="175"/>
      <c r="AR44" s="175"/>
      <c r="AS44" s="169"/>
      <c r="AT44" s="175"/>
      <c r="AU44" s="175"/>
      <c r="AV44" s="175"/>
      <c r="AW44" s="175"/>
      <c r="AX44" s="175"/>
      <c r="AY44" s="175"/>
      <c r="AZ44" s="175"/>
      <c r="BA44" s="169"/>
      <c r="BB44" s="175"/>
      <c r="BC44" s="175"/>
      <c r="BD44" s="175"/>
      <c r="BE44" s="175"/>
      <c r="BF44" s="175"/>
      <c r="BG44" s="175"/>
      <c r="BH44" s="175"/>
      <c r="BI44" s="169"/>
      <c r="BJ44" s="175"/>
      <c r="BK44" s="693"/>
      <c r="BL44" s="169"/>
      <c r="BM44" s="175"/>
      <c r="BN44" s="175"/>
      <c r="BO44" s="175"/>
      <c r="BP44" s="693"/>
      <c r="BQ44" s="169"/>
      <c r="BR44" s="692"/>
      <c r="BS44" s="692"/>
      <c r="BT44" s="693"/>
      <c r="BU44" s="169"/>
      <c r="BV44" s="692"/>
      <c r="BW44" s="692"/>
      <c r="CB44" s="44" t="str">
        <f t="shared" si="52"/>
        <v>Aterro</v>
      </c>
    </row>
    <row r="45" spans="1:80" s="93" customFormat="1" ht="15.75" hidden="1" outlineLevel="1">
      <c r="A45" s="734"/>
      <c r="B45" s="1166" t="s">
        <v>4194</v>
      </c>
      <c r="C45" s="723" t="s">
        <v>36</v>
      </c>
      <c r="D45" s="1213" t="str">
        <f>IFERROR((C45/B45),"-")</f>
        <v>-</v>
      </c>
      <c r="E45" s="186"/>
      <c r="F45" s="188" t="s">
        <v>37</v>
      </c>
      <c r="G45" s="721">
        <f ca="1">SUMIFS($N45:$BH45,$N$1:$BH$1,$H$4)</f>
        <v>11766.69</v>
      </c>
      <c r="H45" s="1169">
        <f ca="1">IFERROR((G46/G45),"-")</f>
        <v>1.2050137210008387</v>
      </c>
      <c r="I45" s="187"/>
      <c r="J45" s="189" t="s">
        <v>37</v>
      </c>
      <c r="K45" s="721" cm="1">
        <f t="array" aca="1" ref="K45" ca="1">_xlfn.XLOOKUP($L$7,$N$7:$BH$7,$N45:BH45)</f>
        <v>1733.5974499999998</v>
      </c>
      <c r="L45" s="1218">
        <f ca="1">IFERROR((K46/K45),"-")</f>
        <v>1.6124789021679167</v>
      </c>
      <c r="M45" s="186"/>
      <c r="N45" s="722">
        <v>1938</v>
      </c>
      <c r="O45" s="722">
        <v>1938</v>
      </c>
      <c r="P45" s="722">
        <v>1938</v>
      </c>
      <c r="Q45" s="722">
        <v>1938</v>
      </c>
      <c r="R45" s="722">
        <v>1938</v>
      </c>
      <c r="S45" s="722">
        <v>1938</v>
      </c>
      <c r="T45" s="722"/>
      <c r="U45" s="186"/>
      <c r="V45" s="722">
        <v>1638.3871900000001</v>
      </c>
      <c r="W45" s="722">
        <v>1638.3871900000001</v>
      </c>
      <c r="X45" s="722">
        <v>1638.3871900000001</v>
      </c>
      <c r="Y45" s="722">
        <v>1638.3871900000001</v>
      </c>
      <c r="Z45" s="722">
        <v>1638.3871900000001</v>
      </c>
      <c r="AA45" s="722">
        <v>1638.3871900000001</v>
      </c>
      <c r="AB45" s="722"/>
      <c r="AC45" s="186"/>
      <c r="AD45" s="722">
        <v>1961.115</v>
      </c>
      <c r="AE45" s="722">
        <v>1961.115</v>
      </c>
      <c r="AF45" s="722">
        <v>1961.115</v>
      </c>
      <c r="AG45" s="722">
        <v>1961.115</v>
      </c>
      <c r="AH45" s="722">
        <v>1961.115</v>
      </c>
      <c r="AI45" s="722">
        <v>1961.115</v>
      </c>
      <c r="AJ45" s="722"/>
      <c r="AK45" s="186"/>
      <c r="AL45" s="722">
        <v>1733.5974499999998</v>
      </c>
      <c r="AM45" s="722">
        <v>1733.5974499999998</v>
      </c>
      <c r="AN45" s="722">
        <v>1733.5974499999998</v>
      </c>
      <c r="AO45" s="722">
        <v>1733.5974499999998</v>
      </c>
      <c r="AP45" s="722">
        <v>1733.5974499999998</v>
      </c>
      <c r="AQ45" s="722">
        <v>1733.5974499999998</v>
      </c>
      <c r="AR45" s="722"/>
      <c r="AS45" s="187"/>
      <c r="AT45" s="722">
        <v>2249.4315333333334</v>
      </c>
      <c r="AU45" s="722">
        <v>2249.4315333333334</v>
      </c>
      <c r="AV45" s="722">
        <v>2249.4315333333334</v>
      </c>
      <c r="AW45" s="722">
        <v>2249.4315333333334</v>
      </c>
      <c r="AX45" s="722">
        <v>2249.4315333333334</v>
      </c>
      <c r="AY45" s="722">
        <v>2249.4315333333334</v>
      </c>
      <c r="AZ45" s="722"/>
      <c r="BA45" s="186"/>
      <c r="BB45" s="722">
        <v>3946.1949999999997</v>
      </c>
      <c r="BC45" s="722">
        <v>3946.1949999999997</v>
      </c>
      <c r="BD45" s="722">
        <v>3946.1949999999997</v>
      </c>
      <c r="BE45" s="722">
        <v>3946.1949999999997</v>
      </c>
      <c r="BF45" s="722">
        <v>3946.1949999999997</v>
      </c>
      <c r="BG45" s="722">
        <v>3946.1949999999997</v>
      </c>
      <c r="BH45" s="722"/>
      <c r="BI45" s="187"/>
      <c r="BJ45" s="180">
        <f ca="1">SUMIFS(N45:BI45,$N$7:$BI$7,"&gt;="&amp;($L$7-WEEKDAY($L$7,2)+1),$N$7:$BI$7,"&lt;="&amp;$L$7)</f>
        <v>3467.1948999999995</v>
      </c>
      <c r="BK45" s="1218">
        <f ca="1">IFERROR((BJ46/BJ45),"-")</f>
        <v>1.5396259397205712</v>
      </c>
      <c r="BL45" s="187"/>
      <c r="BM45" s="1215">
        <v>61279.967040000025</v>
      </c>
      <c r="BN45" s="1269">
        <v>25064.208040000005</v>
      </c>
      <c r="BO45" s="1171">
        <v>36331.64122137404</v>
      </c>
      <c r="BP45" s="1218">
        <f>IFERROR((BO45/BN45),"-")</f>
        <v>1.4495427568823369</v>
      </c>
      <c r="BQ45" s="186"/>
      <c r="BR45" s="1269">
        <v>242232.47803999999</v>
      </c>
      <c r="BS45" s="1171">
        <v>360662.86574118008</v>
      </c>
      <c r="BT45" s="1218">
        <f>IFERROR((BS45/BR45),"-")</f>
        <v>1.4889120924636028</v>
      </c>
      <c r="BU45" s="186"/>
      <c r="BV45" s="1269">
        <v>511897.09</v>
      </c>
      <c r="BW45" s="1270">
        <f>BV45-BS45</f>
        <v>151234.22425881994</v>
      </c>
      <c r="CB45" s="44" t="str">
        <f t="shared" si="52"/>
        <v>Seg. 3.A2 - Aterro</v>
      </c>
    </row>
    <row r="46" spans="1:80" s="98" customFormat="1" ht="15.75" hidden="1" outlineLevel="1">
      <c r="A46" s="734"/>
      <c r="B46" s="1166"/>
      <c r="C46" s="723"/>
      <c r="D46" s="1214"/>
      <c r="E46" s="186"/>
      <c r="F46" s="178" t="s">
        <v>38</v>
      </c>
      <c r="G46" s="721">
        <f ca="1">SUMIFS($N46:$BH46,$N$1:$BH$1,$H$4)</f>
        <v>14179.022900763359</v>
      </c>
      <c r="H46" s="1170"/>
      <c r="I46" s="187"/>
      <c r="J46" s="179" t="s">
        <v>38</v>
      </c>
      <c r="K46" s="721" cm="1">
        <f t="array" aca="1" ref="K46" ca="1">_xlfn.XLOOKUP($L$7,$N$7:$BH$7,$N46:BH46)</f>
        <v>2795.3893129770995</v>
      </c>
      <c r="L46" s="1218"/>
      <c r="M46" s="186"/>
      <c r="N46" s="722">
        <v>3915.2290076335876</v>
      </c>
      <c r="O46" s="722">
        <v>3452.1374045801531</v>
      </c>
      <c r="P46" s="722">
        <v>2500.6946564885502</v>
      </c>
      <c r="Q46" s="722">
        <v>2719.6106870229009</v>
      </c>
      <c r="R46" s="722">
        <v>3216.3816793893129</v>
      </c>
      <c r="S46" s="722">
        <v>2357.5572519083971</v>
      </c>
      <c r="T46" s="722">
        <v>0</v>
      </c>
      <c r="U46" s="186"/>
      <c r="V46" s="722">
        <v>1911.3053435114507</v>
      </c>
      <c r="W46" s="722">
        <v>3207.9618320610689</v>
      </c>
      <c r="X46" s="722">
        <v>3056.4045801526718</v>
      </c>
      <c r="Y46" s="722">
        <v>3081.6641221374048</v>
      </c>
      <c r="Z46" s="722">
        <v>2904.8473282442751</v>
      </c>
      <c r="AA46" s="722">
        <v>2652.2519083969464</v>
      </c>
      <c r="AB46" s="722">
        <v>0</v>
      </c>
      <c r="AC46" s="186"/>
      <c r="AD46" s="722">
        <v>2946.9465648854962</v>
      </c>
      <c r="AE46" s="722">
        <v>2104.9618320610689</v>
      </c>
      <c r="AF46" s="722">
        <v>2273.3587786259545</v>
      </c>
      <c r="AG46" s="722">
        <v>2517.5343511450383</v>
      </c>
      <c r="AH46" s="722">
        <v>2273.3587786259545</v>
      </c>
      <c r="AI46" s="722">
        <v>2062.8625954198474</v>
      </c>
      <c r="AJ46" s="722">
        <v>0</v>
      </c>
      <c r="AK46" s="186"/>
      <c r="AL46" s="722">
        <v>2542.7938931297713</v>
      </c>
      <c r="AM46" s="722">
        <v>2795.3893129770995</v>
      </c>
      <c r="AN46" s="722">
        <v>0</v>
      </c>
      <c r="AO46" s="722">
        <v>0</v>
      </c>
      <c r="AP46" s="722">
        <v>0</v>
      </c>
      <c r="AQ46" s="722">
        <v>0</v>
      </c>
      <c r="AR46" s="722">
        <v>0</v>
      </c>
      <c r="AS46" s="187"/>
      <c r="AT46" s="722">
        <v>0</v>
      </c>
      <c r="AU46" s="722">
        <v>0</v>
      </c>
      <c r="AV46" s="722">
        <v>0</v>
      </c>
      <c r="AW46" s="722">
        <v>0</v>
      </c>
      <c r="AX46" s="722">
        <v>0</v>
      </c>
      <c r="AY46" s="722">
        <v>0</v>
      </c>
      <c r="AZ46" s="722">
        <v>0</v>
      </c>
      <c r="BA46" s="186"/>
      <c r="BB46" s="722">
        <v>0</v>
      </c>
      <c r="BC46" s="722">
        <v>0</v>
      </c>
      <c r="BD46" s="722">
        <v>0</v>
      </c>
      <c r="BE46" s="722">
        <v>0</v>
      </c>
      <c r="BF46" s="722">
        <v>0</v>
      </c>
      <c r="BG46" s="722">
        <v>0</v>
      </c>
      <c r="BH46" s="722">
        <v>0</v>
      </c>
      <c r="BI46" s="187"/>
      <c r="BJ46" s="180">
        <f t="shared" ref="BJ46:BJ54" ca="1" si="60">SUMIFS(N46:BI46,$N$7:$BI$7,"&gt;="&amp;($L$7-WEEKDAY($L$7,2)+1),$N$7:$BI$7,"&lt;="&amp;$L$7)</f>
        <v>5338.1832061068708</v>
      </c>
      <c r="BK46" s="1218"/>
      <c r="BL46" s="187"/>
      <c r="BM46" s="1216"/>
      <c r="BN46" s="1269"/>
      <c r="BO46" s="1171"/>
      <c r="BP46" s="1218"/>
      <c r="BQ46" s="186"/>
      <c r="BR46" s="1269"/>
      <c r="BS46" s="1171"/>
      <c r="BT46" s="1218"/>
      <c r="BU46" s="186"/>
      <c r="BV46" s="1269"/>
      <c r="BW46" s="1271"/>
      <c r="CB46" s="44" t="str">
        <f t="shared" si="52"/>
        <v>Seg. 3.A2 - Aterro</v>
      </c>
    </row>
    <row r="47" spans="1:80" s="16" customFormat="1" ht="15.75" hidden="1" outlineLevel="1">
      <c r="A47" s="734"/>
      <c r="B47" s="1166" t="s">
        <v>4195</v>
      </c>
      <c r="C47" s="723" t="s">
        <v>36</v>
      </c>
      <c r="D47" s="1213" t="str">
        <f>IFERROR((C47/B47),"-")</f>
        <v>-</v>
      </c>
      <c r="E47" s="186"/>
      <c r="F47" s="188" t="s">
        <v>37</v>
      </c>
      <c r="G47" s="721">
        <f t="shared" ref="G47:G54" ca="1" si="61">SUMIFS($N47:$BH47,$N$1:$BH$1,$H$4)</f>
        <v>3017.1</v>
      </c>
      <c r="H47" s="1169">
        <f ca="1">IFERROR((G48/G47),"-")</f>
        <v>1.4416936365939947</v>
      </c>
      <c r="I47" s="187"/>
      <c r="J47" s="189" t="s">
        <v>37</v>
      </c>
      <c r="K47" s="721" cm="1">
        <f t="array" aca="1" ref="K47" ca="1">_xlfn.XLOOKUP($L$7,$N$7:$BH$7,$N47:BH47)</f>
        <v>304.49083416666662</v>
      </c>
      <c r="L47" s="1218">
        <f ca="1">IFERROR((K48/K47),"-")</f>
        <v>0.87639695112665117</v>
      </c>
      <c r="M47" s="186"/>
      <c r="N47" s="722">
        <v>589</v>
      </c>
      <c r="O47" s="722">
        <v>589</v>
      </c>
      <c r="P47" s="722">
        <v>589</v>
      </c>
      <c r="Q47" s="722">
        <v>589</v>
      </c>
      <c r="R47" s="722">
        <v>589</v>
      </c>
      <c r="S47" s="722">
        <v>589</v>
      </c>
      <c r="T47" s="722"/>
      <c r="U47" s="186"/>
      <c r="V47" s="722">
        <v>498.19297000000006</v>
      </c>
      <c r="W47" s="722">
        <v>498.19297000000006</v>
      </c>
      <c r="X47" s="722">
        <v>498.19297000000006</v>
      </c>
      <c r="Y47" s="722">
        <v>498.19297000000006</v>
      </c>
      <c r="Z47" s="722">
        <v>498.19297000000006</v>
      </c>
      <c r="AA47" s="722">
        <v>498.19297000000006</v>
      </c>
      <c r="AB47" s="722"/>
      <c r="AC47" s="186"/>
      <c r="AD47" s="722">
        <v>502.85</v>
      </c>
      <c r="AE47" s="722">
        <v>502.85</v>
      </c>
      <c r="AF47" s="722">
        <v>502.85</v>
      </c>
      <c r="AG47" s="722">
        <v>502.85</v>
      </c>
      <c r="AH47" s="722">
        <v>502.85</v>
      </c>
      <c r="AI47" s="722">
        <v>502.85</v>
      </c>
      <c r="AJ47" s="722"/>
      <c r="AK47" s="186"/>
      <c r="AL47" s="722">
        <v>304.49083416666662</v>
      </c>
      <c r="AM47" s="722">
        <v>304.49083416666662</v>
      </c>
      <c r="AN47" s="722">
        <v>304.49083416666662</v>
      </c>
      <c r="AO47" s="722">
        <v>304.49083416666662</v>
      </c>
      <c r="AP47" s="722">
        <v>304.49083416666662</v>
      </c>
      <c r="AQ47" s="722">
        <v>304.49083416666662</v>
      </c>
      <c r="AR47" s="722"/>
      <c r="AS47" s="187"/>
      <c r="AT47" s="722">
        <v>355.17339999999996</v>
      </c>
      <c r="AU47" s="722">
        <v>355.17339999999996</v>
      </c>
      <c r="AV47" s="722">
        <v>355.17339999999996</v>
      </c>
      <c r="AW47" s="722">
        <v>355.17339999999996</v>
      </c>
      <c r="AX47" s="722">
        <v>355.17339999999996</v>
      </c>
      <c r="AY47" s="722">
        <v>355.17339999999996</v>
      </c>
      <c r="AZ47" s="722"/>
      <c r="BA47" s="186"/>
      <c r="BB47" s="722">
        <v>0</v>
      </c>
      <c r="BC47" s="722">
        <v>0</v>
      </c>
      <c r="BD47" s="722">
        <v>0</v>
      </c>
      <c r="BE47" s="722">
        <v>0</v>
      </c>
      <c r="BF47" s="722">
        <v>0</v>
      </c>
      <c r="BG47" s="722">
        <v>0</v>
      </c>
      <c r="BH47" s="722"/>
      <c r="BI47" s="187"/>
      <c r="BJ47" s="180">
        <f t="shared" ca="1" si="60"/>
        <v>608.98166833333323</v>
      </c>
      <c r="BK47" s="1218">
        <f ca="1">IFERROR((BJ48/BJ47),"-")</f>
        <v>1.5483012803237506</v>
      </c>
      <c r="BL47" s="187"/>
      <c r="BM47" s="1215">
        <v>9964.243225000002</v>
      </c>
      <c r="BN47" s="1269">
        <v>6615.2394883333354</v>
      </c>
      <c r="BO47" s="1171">
        <v>11270.169354838705</v>
      </c>
      <c r="BP47" s="1218">
        <f>IFERROR((BO47/BN47),"-")</f>
        <v>1.7036676260496424</v>
      </c>
      <c r="BQ47" s="186"/>
      <c r="BR47" s="1269">
        <v>276332.04804000002</v>
      </c>
      <c r="BS47" s="1171">
        <v>273713.51806451601</v>
      </c>
      <c r="BT47" s="1218">
        <f>IFERROR((BS47/BR47),"-")</f>
        <v>0.99052397290123595</v>
      </c>
      <c r="BU47" s="186"/>
      <c r="BV47" s="1269">
        <v>266689.06</v>
      </c>
      <c r="BW47" s="1270">
        <f>BV47-BS47</f>
        <v>-7024.4580645160167</v>
      </c>
      <c r="CB47" s="44" t="str">
        <f t="shared" si="52"/>
        <v>Seg. 4.1  - Aterro</v>
      </c>
    </row>
    <row r="48" spans="1:80" s="16" customFormat="1" ht="15.75" hidden="1" outlineLevel="1">
      <c r="A48" s="734"/>
      <c r="B48" s="1166"/>
      <c r="C48" s="723"/>
      <c r="D48" s="1214"/>
      <c r="E48" s="186"/>
      <c r="F48" s="178" t="s">
        <v>38</v>
      </c>
      <c r="G48" s="721">
        <f t="shared" ca="1" si="61"/>
        <v>4349.7338709677415</v>
      </c>
      <c r="H48" s="1170"/>
      <c r="I48" s="187"/>
      <c r="J48" s="179" t="s">
        <v>38</v>
      </c>
      <c r="K48" s="721" cm="1">
        <f t="array" aca="1" ref="K48" ca="1">_xlfn.XLOOKUP($L$7,$N$7:$BH$7,$N48:BH48)</f>
        <v>266.85483870967738</v>
      </c>
      <c r="L48" s="1218"/>
      <c r="M48" s="186"/>
      <c r="N48" s="722">
        <v>1885.7741935483871</v>
      </c>
      <c r="O48" s="722">
        <v>1476.5967741935483</v>
      </c>
      <c r="P48" s="722">
        <v>1209.741935483871</v>
      </c>
      <c r="Q48" s="722">
        <v>1103</v>
      </c>
      <c r="R48" s="722">
        <v>1022.9435483870966</v>
      </c>
      <c r="S48" s="722">
        <v>1058.5241935483871</v>
      </c>
      <c r="T48" s="722">
        <v>0</v>
      </c>
      <c r="U48" s="186"/>
      <c r="V48" s="722">
        <v>898.41129032258061</v>
      </c>
      <c r="W48" s="722">
        <v>1485.4919354838707</v>
      </c>
      <c r="X48" s="722">
        <v>1316.483870967742</v>
      </c>
      <c r="Y48" s="722">
        <v>933.99193548387098</v>
      </c>
      <c r="Z48" s="722">
        <v>667.13709677419354</v>
      </c>
      <c r="AA48" s="722">
        <v>676.0322580645161</v>
      </c>
      <c r="AB48" s="722">
        <v>0</v>
      </c>
      <c r="AC48" s="186"/>
      <c r="AD48" s="722">
        <v>1183.0564516129032</v>
      </c>
      <c r="AE48" s="722">
        <v>818.35483870967732</v>
      </c>
      <c r="AF48" s="722">
        <v>871.72580645161293</v>
      </c>
      <c r="AG48" s="722">
        <v>480.33870967741927</v>
      </c>
      <c r="AH48" s="722">
        <v>480.33870967741927</v>
      </c>
      <c r="AI48" s="722">
        <v>515.91935483870964</v>
      </c>
      <c r="AJ48" s="722">
        <v>0</v>
      </c>
      <c r="AK48" s="186"/>
      <c r="AL48" s="722">
        <v>676.03225806451599</v>
      </c>
      <c r="AM48" s="722">
        <v>266.85483870967738</v>
      </c>
      <c r="AN48" s="722">
        <v>0</v>
      </c>
      <c r="AO48" s="722">
        <v>0</v>
      </c>
      <c r="AP48" s="722">
        <v>0</v>
      </c>
      <c r="AQ48" s="722">
        <v>0</v>
      </c>
      <c r="AR48" s="722">
        <v>0</v>
      </c>
      <c r="AS48" s="187"/>
      <c r="AT48" s="722">
        <v>0</v>
      </c>
      <c r="AU48" s="722">
        <v>0</v>
      </c>
      <c r="AV48" s="722">
        <v>0</v>
      </c>
      <c r="AW48" s="722">
        <v>0</v>
      </c>
      <c r="AX48" s="722">
        <v>0</v>
      </c>
      <c r="AY48" s="722">
        <v>0</v>
      </c>
      <c r="AZ48" s="722">
        <v>0</v>
      </c>
      <c r="BA48" s="186"/>
      <c r="BB48" s="722">
        <v>0</v>
      </c>
      <c r="BC48" s="722">
        <v>0</v>
      </c>
      <c r="BD48" s="722">
        <v>0</v>
      </c>
      <c r="BE48" s="722">
        <v>0</v>
      </c>
      <c r="BF48" s="722">
        <v>0</v>
      </c>
      <c r="BG48" s="722">
        <v>0</v>
      </c>
      <c r="BH48" s="722">
        <v>0</v>
      </c>
      <c r="BI48" s="187"/>
      <c r="BJ48" s="180">
        <f t="shared" ca="1" si="60"/>
        <v>942.88709677419342</v>
      </c>
      <c r="BK48" s="1218"/>
      <c r="BL48" s="187"/>
      <c r="BM48" s="1216"/>
      <c r="BN48" s="1269"/>
      <c r="BO48" s="1171"/>
      <c r="BP48" s="1218"/>
      <c r="BQ48" s="186"/>
      <c r="BR48" s="1269"/>
      <c r="BS48" s="1171"/>
      <c r="BT48" s="1218"/>
      <c r="BU48" s="186"/>
      <c r="BV48" s="1269"/>
      <c r="BW48" s="1271"/>
      <c r="CB48" s="44" t="str">
        <f t="shared" si="52"/>
        <v>Seg. 4.1  - Aterro</v>
      </c>
    </row>
    <row r="49" spans="1:80" s="16" customFormat="1" ht="15.75" hidden="1" outlineLevel="1">
      <c r="A49" s="734"/>
      <c r="B49" s="1166" t="s">
        <v>4196</v>
      </c>
      <c r="C49" s="723" t="s">
        <v>36</v>
      </c>
      <c r="D49" s="1213" t="str">
        <f>IFERROR((C49/B49),"-")</f>
        <v>-</v>
      </c>
      <c r="E49" s="186"/>
      <c r="F49" s="188" t="s">
        <v>37</v>
      </c>
      <c r="G49" s="721">
        <f t="shared" ca="1" si="61"/>
        <v>16594.05</v>
      </c>
      <c r="H49" s="1169">
        <f ca="1">IFERROR((G50/G49),"-")</f>
        <v>1.1436992882752055</v>
      </c>
      <c r="I49" s="187"/>
      <c r="J49" s="189" t="s">
        <v>37</v>
      </c>
      <c r="K49" s="721" cm="1">
        <f t="array" aca="1" ref="K49" ca="1">_xlfn.XLOOKUP($L$7,$N$7:$BH$7,$N49:BH49)</f>
        <v>2400.3656999999998</v>
      </c>
      <c r="L49" s="1218">
        <f ca="1">IFERROR((K50/K49),"-")</f>
        <v>1.334776772119507</v>
      </c>
      <c r="M49" s="186"/>
      <c r="N49" s="722">
        <v>2910</v>
      </c>
      <c r="O49" s="722">
        <v>2910</v>
      </c>
      <c r="P49" s="722">
        <v>2910</v>
      </c>
      <c r="Q49" s="722">
        <v>2910</v>
      </c>
      <c r="R49" s="722">
        <v>2910</v>
      </c>
      <c r="S49" s="722">
        <v>2910</v>
      </c>
      <c r="T49" s="722"/>
      <c r="U49" s="186"/>
      <c r="V49" s="722">
        <v>2460.1487900000002</v>
      </c>
      <c r="W49" s="722">
        <v>2460.1487900000002</v>
      </c>
      <c r="X49" s="722">
        <v>2460.1487900000002</v>
      </c>
      <c r="Y49" s="722">
        <v>2460.1487900000002</v>
      </c>
      <c r="Z49" s="722">
        <v>2460.1487900000002</v>
      </c>
      <c r="AA49" s="722">
        <v>2460.1487900000002</v>
      </c>
      <c r="AB49" s="722"/>
      <c r="AC49" s="186"/>
      <c r="AD49" s="722">
        <v>2765.6750000000002</v>
      </c>
      <c r="AE49" s="722">
        <v>2765.6750000000002</v>
      </c>
      <c r="AF49" s="722">
        <v>2765.6750000000002</v>
      </c>
      <c r="AG49" s="722">
        <v>2765.6750000000002</v>
      </c>
      <c r="AH49" s="722">
        <v>2765.6750000000002</v>
      </c>
      <c r="AI49" s="722">
        <v>2765.6750000000002</v>
      </c>
      <c r="AJ49" s="722"/>
      <c r="AK49" s="186"/>
      <c r="AL49" s="722">
        <v>2400.3656999999998</v>
      </c>
      <c r="AM49" s="722">
        <v>2400.3656999999998</v>
      </c>
      <c r="AN49" s="722">
        <v>2400.3656999999998</v>
      </c>
      <c r="AO49" s="722">
        <v>2400.3656999999998</v>
      </c>
      <c r="AP49" s="722">
        <v>2400.3656999999998</v>
      </c>
      <c r="AQ49" s="722">
        <v>2400.3656999999998</v>
      </c>
      <c r="AR49" s="722"/>
      <c r="AS49" s="187"/>
      <c r="AT49" s="722">
        <v>3314.9517333333333</v>
      </c>
      <c r="AU49" s="722">
        <v>3314.9517333333333</v>
      </c>
      <c r="AV49" s="722">
        <v>3314.9517333333333</v>
      </c>
      <c r="AW49" s="722">
        <v>3314.9517333333333</v>
      </c>
      <c r="AX49" s="722">
        <v>3314.9517333333333</v>
      </c>
      <c r="AY49" s="722">
        <v>3314.9517333333333</v>
      </c>
      <c r="AZ49" s="722"/>
      <c r="BA49" s="186"/>
      <c r="BB49" s="722">
        <v>3228.7049999999995</v>
      </c>
      <c r="BC49" s="722">
        <v>3228.7049999999995</v>
      </c>
      <c r="BD49" s="722">
        <v>3228.7049999999995</v>
      </c>
      <c r="BE49" s="722">
        <v>3228.7049999999995</v>
      </c>
      <c r="BF49" s="722">
        <v>3228.7049999999995</v>
      </c>
      <c r="BG49" s="722">
        <v>3228.7049999999995</v>
      </c>
      <c r="BH49" s="722"/>
      <c r="BI49" s="187"/>
      <c r="BJ49" s="180">
        <f t="shared" ca="1" si="60"/>
        <v>4800.7313999999997</v>
      </c>
      <c r="BK49" s="1218">
        <f ca="1">IFERROR((BJ50/BJ49),"-")</f>
        <v>1.2326627021212933</v>
      </c>
      <c r="BL49" s="187"/>
      <c r="BM49" s="1215">
        <v>78561.667340000015</v>
      </c>
      <c r="BN49" s="1269">
        <v>36155.674139999996</v>
      </c>
      <c r="BO49" s="1171">
        <v>42541.98959146499</v>
      </c>
      <c r="BP49" s="1218">
        <f>IFERROR((BO49/BN49),"-")</f>
        <v>1.1766338369666751</v>
      </c>
      <c r="BQ49" s="186"/>
      <c r="BR49" s="1269">
        <v>402790.45414000005</v>
      </c>
      <c r="BS49" s="1171">
        <v>407638.8695914651</v>
      </c>
      <c r="BT49" s="1218">
        <f>IFERROR((BS49/BR49),"-")</f>
        <v>1.0120370664240714</v>
      </c>
      <c r="BU49" s="186"/>
      <c r="BV49" s="1269">
        <v>521750.26999999996</v>
      </c>
      <c r="BW49" s="1270">
        <f>BV49-BS49</f>
        <v>114111.40040853486</v>
      </c>
      <c r="CB49" s="44" t="str">
        <f t="shared" si="52"/>
        <v>Seg. 4.2  - Aterro</v>
      </c>
    </row>
    <row r="50" spans="1:80" s="16" customFormat="1" ht="15.75" hidden="1" outlineLevel="1">
      <c r="A50" s="734"/>
      <c r="B50" s="1166"/>
      <c r="C50" s="723"/>
      <c r="D50" s="1214"/>
      <c r="E50" s="186"/>
      <c r="F50" s="178" t="s">
        <v>38</v>
      </c>
      <c r="G50" s="721">
        <f t="shared" ca="1" si="61"/>
        <v>18978.603174603173</v>
      </c>
      <c r="H50" s="1170"/>
      <c r="I50" s="187"/>
      <c r="J50" s="179" t="s">
        <v>38</v>
      </c>
      <c r="K50" s="721" cm="1">
        <f t="array" aca="1" ref="K50" ca="1">_xlfn.XLOOKUP($L$7,$N$7:$BH$7,$N50:BH50)</f>
        <v>3203.9523809523807</v>
      </c>
      <c r="L50" s="1218"/>
      <c r="M50" s="186"/>
      <c r="N50" s="722">
        <v>2573.6666666666665</v>
      </c>
      <c r="O50" s="722">
        <v>2880.0555555555552</v>
      </c>
      <c r="P50" s="722">
        <v>2643.6984126984121</v>
      </c>
      <c r="Q50" s="722">
        <v>2599.9285714285706</v>
      </c>
      <c r="R50" s="722">
        <v>3825.4841269841268</v>
      </c>
      <c r="S50" s="722">
        <v>2573.6666666666665</v>
      </c>
      <c r="T50" s="722">
        <v>0</v>
      </c>
      <c r="U50" s="186"/>
      <c r="V50" s="722">
        <v>849.1349206349206</v>
      </c>
      <c r="W50" s="722">
        <v>3361.5238095238092</v>
      </c>
      <c r="X50" s="722">
        <v>3291.4920634920627</v>
      </c>
      <c r="Y50" s="722">
        <v>3869.2539682539682</v>
      </c>
      <c r="Z50" s="722">
        <v>2836.2857142857142</v>
      </c>
      <c r="AA50" s="722">
        <v>2407.3412698412694</v>
      </c>
      <c r="AB50" s="722">
        <v>0</v>
      </c>
      <c r="AC50" s="186"/>
      <c r="AD50" s="722">
        <v>4009.3174603174598</v>
      </c>
      <c r="AE50" s="722">
        <v>4061.8412698412694</v>
      </c>
      <c r="AF50" s="722">
        <v>4166.8888888888887</v>
      </c>
      <c r="AG50" s="722">
        <v>3072.6428571428573</v>
      </c>
      <c r="AH50" s="722">
        <v>1812.0714285714284</v>
      </c>
      <c r="AI50" s="722">
        <v>1855.8412698412696</v>
      </c>
      <c r="AJ50" s="722">
        <v>0</v>
      </c>
      <c r="AK50" s="186"/>
      <c r="AL50" s="722">
        <v>2713.7301587301581</v>
      </c>
      <c r="AM50" s="722">
        <v>3203.9523809523807</v>
      </c>
      <c r="AN50" s="722">
        <v>0</v>
      </c>
      <c r="AO50" s="722">
        <v>0</v>
      </c>
      <c r="AP50" s="722">
        <v>0</v>
      </c>
      <c r="AQ50" s="722">
        <v>0</v>
      </c>
      <c r="AR50" s="722">
        <v>0</v>
      </c>
      <c r="AS50" s="187"/>
      <c r="AT50" s="722">
        <v>0</v>
      </c>
      <c r="AU50" s="722">
        <v>0</v>
      </c>
      <c r="AV50" s="722">
        <v>0</v>
      </c>
      <c r="AW50" s="722">
        <v>0</v>
      </c>
      <c r="AX50" s="722">
        <v>0</v>
      </c>
      <c r="AY50" s="722">
        <v>0</v>
      </c>
      <c r="AZ50" s="722">
        <v>0</v>
      </c>
      <c r="BA50" s="186"/>
      <c r="BB50" s="722">
        <v>0</v>
      </c>
      <c r="BC50" s="722">
        <v>0</v>
      </c>
      <c r="BD50" s="722">
        <v>0</v>
      </c>
      <c r="BE50" s="722">
        <v>0</v>
      </c>
      <c r="BF50" s="722">
        <v>0</v>
      </c>
      <c r="BG50" s="722">
        <v>0</v>
      </c>
      <c r="BH50" s="722">
        <v>0</v>
      </c>
      <c r="BI50" s="187"/>
      <c r="BJ50" s="180">
        <f t="shared" ca="1" si="60"/>
        <v>5917.6825396825388</v>
      </c>
      <c r="BK50" s="1218"/>
      <c r="BL50" s="187"/>
      <c r="BM50" s="1216"/>
      <c r="BN50" s="1269"/>
      <c r="BO50" s="1171"/>
      <c r="BP50" s="1218"/>
      <c r="BQ50" s="186"/>
      <c r="BR50" s="1269"/>
      <c r="BS50" s="1171"/>
      <c r="BT50" s="1218"/>
      <c r="BU50" s="186"/>
      <c r="BV50" s="1269"/>
      <c r="BW50" s="1271"/>
      <c r="CB50" s="44" t="str">
        <f t="shared" si="52"/>
        <v>Seg. 4.2  - Aterro</v>
      </c>
    </row>
    <row r="51" spans="1:80" s="16" customFormat="1" ht="15.75" hidden="1" outlineLevel="1">
      <c r="A51" s="734"/>
      <c r="B51" s="1166" t="s">
        <v>4197</v>
      </c>
      <c r="C51" s="723" t="s">
        <v>36</v>
      </c>
      <c r="D51" s="1213" t="str">
        <f>IFERROR((C51/B51),"-")</f>
        <v>-</v>
      </c>
      <c r="E51" s="186"/>
      <c r="F51" s="188" t="s">
        <v>37</v>
      </c>
      <c r="G51" s="721">
        <f t="shared" ca="1" si="61"/>
        <v>0</v>
      </c>
      <c r="H51" s="1169" t="str">
        <f ca="1">IFERROR((G52/G51),"-")</f>
        <v>-</v>
      </c>
      <c r="I51" s="187"/>
      <c r="J51" s="189" t="s">
        <v>37</v>
      </c>
      <c r="K51" s="721" cm="1">
        <f t="array" aca="1" ref="K51" ca="1">_xlfn.XLOOKUP($L$7,$N$7:$BH$7,$N51:BH51)</f>
        <v>0</v>
      </c>
      <c r="L51" s="1218" t="str">
        <f ca="1">IFERROR((K52/K51),"-")</f>
        <v>-</v>
      </c>
      <c r="M51" s="186"/>
      <c r="N51" s="722"/>
      <c r="O51" s="722"/>
      <c r="P51" s="722"/>
      <c r="Q51" s="722"/>
      <c r="R51" s="722"/>
      <c r="S51" s="722"/>
      <c r="T51" s="722"/>
      <c r="U51" s="186"/>
      <c r="V51" s="722">
        <v>0</v>
      </c>
      <c r="W51" s="722">
        <v>0</v>
      </c>
      <c r="X51" s="722">
        <v>0</v>
      </c>
      <c r="Y51" s="722">
        <v>0</v>
      </c>
      <c r="Z51" s="722">
        <v>0</v>
      </c>
      <c r="AA51" s="722">
        <v>0</v>
      </c>
      <c r="AB51" s="722"/>
      <c r="AC51" s="186"/>
      <c r="AD51" s="722">
        <v>0</v>
      </c>
      <c r="AE51" s="722">
        <v>0</v>
      </c>
      <c r="AF51" s="722">
        <v>0</v>
      </c>
      <c r="AG51" s="722">
        <v>0</v>
      </c>
      <c r="AH51" s="722">
        <v>0</v>
      </c>
      <c r="AI51" s="722">
        <v>0</v>
      </c>
      <c r="AJ51" s="722"/>
      <c r="AK51" s="186"/>
      <c r="AL51" s="722">
        <v>0</v>
      </c>
      <c r="AM51" s="722">
        <v>0</v>
      </c>
      <c r="AN51" s="722">
        <v>0</v>
      </c>
      <c r="AO51" s="722">
        <v>0</v>
      </c>
      <c r="AP51" s="722">
        <v>0</v>
      </c>
      <c r="AQ51" s="722">
        <v>0</v>
      </c>
      <c r="AR51" s="722"/>
      <c r="AS51" s="187"/>
      <c r="AT51" s="722">
        <v>0</v>
      </c>
      <c r="AU51" s="722">
        <v>0</v>
      </c>
      <c r="AV51" s="722">
        <v>0</v>
      </c>
      <c r="AW51" s="722">
        <v>0</v>
      </c>
      <c r="AX51" s="722">
        <v>0</v>
      </c>
      <c r="AY51" s="722">
        <v>0</v>
      </c>
      <c r="AZ51" s="722"/>
      <c r="BA51" s="186"/>
      <c r="BB51" s="722">
        <v>0</v>
      </c>
      <c r="BC51" s="722">
        <v>0</v>
      </c>
      <c r="BD51" s="722">
        <v>0</v>
      </c>
      <c r="BE51" s="722">
        <v>0</v>
      </c>
      <c r="BF51" s="722">
        <v>0</v>
      </c>
      <c r="BG51" s="722">
        <v>0</v>
      </c>
      <c r="BH51" s="722"/>
      <c r="BI51" s="187"/>
      <c r="BJ51" s="721">
        <f t="shared" ca="1" si="60"/>
        <v>0</v>
      </c>
      <c r="BK51" s="1218" t="str">
        <f ca="1">IFERROR((BJ52/BJ51),"-")</f>
        <v>-</v>
      </c>
      <c r="BL51" s="187"/>
      <c r="BM51" s="1215">
        <v>0</v>
      </c>
      <c r="BN51" s="1269">
        <v>0</v>
      </c>
      <c r="BO51" s="1171">
        <v>0</v>
      </c>
      <c r="BP51" s="1218" t="str">
        <f>IFERROR((BO51/BN51),"-")</f>
        <v>-</v>
      </c>
      <c r="BQ51" s="186"/>
      <c r="BR51" s="1269">
        <v>314688.27</v>
      </c>
      <c r="BS51" s="1171">
        <v>314688.2667479674</v>
      </c>
      <c r="BT51" s="1218">
        <f>IFERROR((BS51/BR51),"-")</f>
        <v>0.99999998966586001</v>
      </c>
      <c r="BU51" s="186"/>
      <c r="BV51" s="1269">
        <v>332608.63</v>
      </c>
      <c r="BW51" s="1270">
        <f>BV51-BS51</f>
        <v>17920.363252032606</v>
      </c>
      <c r="CB51" s="44" t="str">
        <f t="shared" si="52"/>
        <v>Seg. 4.3  - Aterro</v>
      </c>
    </row>
    <row r="52" spans="1:80" s="16" customFormat="1" ht="15.75" hidden="1" outlineLevel="1">
      <c r="A52" s="734"/>
      <c r="B52" s="1166"/>
      <c r="C52" s="723"/>
      <c r="D52" s="1214"/>
      <c r="E52" s="186"/>
      <c r="F52" s="178" t="s">
        <v>38</v>
      </c>
      <c r="G52" s="721">
        <f t="shared" ca="1" si="61"/>
        <v>0</v>
      </c>
      <c r="H52" s="1170"/>
      <c r="I52" s="187"/>
      <c r="J52" s="179" t="s">
        <v>38</v>
      </c>
      <c r="K52" s="721" cm="1">
        <f t="array" aca="1" ref="K52" ca="1">_xlfn.XLOOKUP($L$7,$N$7:$BH$7,$N52:BH52)</f>
        <v>0</v>
      </c>
      <c r="L52" s="1218"/>
      <c r="M52" s="186"/>
      <c r="N52" s="722">
        <v>0</v>
      </c>
      <c r="O52" s="722">
        <v>0</v>
      </c>
      <c r="P52" s="722">
        <v>0</v>
      </c>
      <c r="Q52" s="722">
        <v>0</v>
      </c>
      <c r="R52" s="722">
        <v>0</v>
      </c>
      <c r="S52" s="722">
        <v>0</v>
      </c>
      <c r="T52" s="722"/>
      <c r="U52" s="186"/>
      <c r="V52" s="722">
        <v>0</v>
      </c>
      <c r="W52" s="722">
        <v>0</v>
      </c>
      <c r="X52" s="722">
        <v>0</v>
      </c>
      <c r="Y52" s="722">
        <v>0</v>
      </c>
      <c r="Z52" s="722">
        <v>0</v>
      </c>
      <c r="AA52" s="722">
        <v>0</v>
      </c>
      <c r="AB52" s="722"/>
      <c r="AC52" s="186"/>
      <c r="AD52" s="722">
        <v>0</v>
      </c>
      <c r="AE52" s="722">
        <v>0</v>
      </c>
      <c r="AF52" s="722">
        <v>0</v>
      </c>
      <c r="AG52" s="722">
        <v>0</v>
      </c>
      <c r="AH52" s="722">
        <v>0</v>
      </c>
      <c r="AI52" s="722">
        <v>0</v>
      </c>
      <c r="AJ52" s="722"/>
      <c r="AK52" s="186"/>
      <c r="AL52" s="722">
        <v>0</v>
      </c>
      <c r="AM52" s="722">
        <v>0</v>
      </c>
      <c r="AN52" s="722">
        <v>0</v>
      </c>
      <c r="AO52" s="722">
        <v>0</v>
      </c>
      <c r="AP52" s="722">
        <v>0</v>
      </c>
      <c r="AQ52" s="722">
        <v>0</v>
      </c>
      <c r="AR52" s="722"/>
      <c r="AS52" s="187"/>
      <c r="AT52" s="722">
        <v>0</v>
      </c>
      <c r="AU52" s="722">
        <v>0</v>
      </c>
      <c r="AV52" s="722">
        <v>0</v>
      </c>
      <c r="AW52" s="722">
        <v>0</v>
      </c>
      <c r="AX52" s="722">
        <v>0</v>
      </c>
      <c r="AY52" s="722">
        <v>0</v>
      </c>
      <c r="AZ52" s="722"/>
      <c r="BA52" s="186"/>
      <c r="BB52" s="722">
        <v>0</v>
      </c>
      <c r="BC52" s="722">
        <v>0</v>
      </c>
      <c r="BD52" s="722">
        <v>0</v>
      </c>
      <c r="BE52" s="722">
        <v>0</v>
      </c>
      <c r="BF52" s="722">
        <v>0</v>
      </c>
      <c r="BG52" s="722">
        <v>0</v>
      </c>
      <c r="BH52" s="722"/>
      <c r="BI52" s="187"/>
      <c r="BJ52" s="721">
        <f t="shared" ca="1" si="60"/>
        <v>0</v>
      </c>
      <c r="BK52" s="1218"/>
      <c r="BL52" s="187"/>
      <c r="BM52" s="1216"/>
      <c r="BN52" s="1269"/>
      <c r="BO52" s="1171"/>
      <c r="BP52" s="1218"/>
      <c r="BQ52" s="186"/>
      <c r="BR52" s="1269"/>
      <c r="BS52" s="1171"/>
      <c r="BT52" s="1218"/>
      <c r="BU52" s="186"/>
      <c r="BV52" s="1269"/>
      <c r="BW52" s="1271"/>
      <c r="CB52" s="44" t="str">
        <f t="shared" si="52"/>
        <v>Seg. 4.3  - Aterro</v>
      </c>
    </row>
    <row r="53" spans="1:80" s="16" customFormat="1" ht="15.75" hidden="1" outlineLevel="1">
      <c r="A53" s="734"/>
      <c r="B53" s="1166" t="s">
        <v>4198</v>
      </c>
      <c r="C53" s="723" t="s">
        <v>36</v>
      </c>
      <c r="D53" s="1213" t="str">
        <f>IFERROR((C53/B53),"-")</f>
        <v>-</v>
      </c>
      <c r="E53" s="186"/>
      <c r="F53" s="188" t="s">
        <v>37</v>
      </c>
      <c r="G53" s="721">
        <f t="shared" ca="1" si="61"/>
        <v>4489.2454851908406</v>
      </c>
      <c r="H53" s="1169">
        <f ca="1">IFERROR((G54/G53),"-")</f>
        <v>0.50750797129901359</v>
      </c>
      <c r="I53" s="187"/>
      <c r="J53" s="189" t="s">
        <v>37</v>
      </c>
      <c r="K53" s="721" cm="1">
        <f t="array" aca="1" ref="K53" ca="1">_xlfn.XLOOKUP($L$7,$N$7:$BH$7,$N53:BH53)</f>
        <v>0</v>
      </c>
      <c r="L53" s="1218" t="str">
        <f ca="1">IFERROR((K54/K53),"-")</f>
        <v>-</v>
      </c>
      <c r="M53" s="186"/>
      <c r="N53" s="722">
        <v>632</v>
      </c>
      <c r="O53" s="722">
        <v>632</v>
      </c>
      <c r="P53" s="722">
        <v>632</v>
      </c>
      <c r="Q53" s="722">
        <v>632</v>
      </c>
      <c r="R53" s="722">
        <v>632</v>
      </c>
      <c r="S53" s="722">
        <v>632</v>
      </c>
      <c r="T53" s="722"/>
      <c r="U53" s="186"/>
      <c r="V53" s="722">
        <v>534.14503999999999</v>
      </c>
      <c r="W53" s="722">
        <v>534.14503999999999</v>
      </c>
      <c r="X53" s="722">
        <v>534.14503999999999</v>
      </c>
      <c r="Y53" s="722">
        <v>534.14503999999999</v>
      </c>
      <c r="Z53" s="722">
        <v>534.14503999999999</v>
      </c>
      <c r="AA53" s="722">
        <v>534.14503999999999</v>
      </c>
      <c r="AB53" s="722"/>
      <c r="AC53" s="186"/>
      <c r="AD53" s="722">
        <v>748.20758086514013</v>
      </c>
      <c r="AE53" s="722">
        <v>748.20758086514013</v>
      </c>
      <c r="AF53" s="722">
        <v>748.20758086514013</v>
      </c>
      <c r="AG53" s="722">
        <v>748.20758086514013</v>
      </c>
      <c r="AH53" s="722">
        <v>748.20758086514013</v>
      </c>
      <c r="AI53" s="722">
        <v>748.20758086514013</v>
      </c>
      <c r="AJ53" s="722"/>
      <c r="AK53" s="186"/>
      <c r="AL53" s="722">
        <v>0</v>
      </c>
      <c r="AM53" s="722">
        <v>0</v>
      </c>
      <c r="AN53" s="722">
        <v>0</v>
      </c>
      <c r="AO53" s="722">
        <v>0</v>
      </c>
      <c r="AP53" s="722">
        <v>0</v>
      </c>
      <c r="AQ53" s="722">
        <v>0</v>
      </c>
      <c r="AR53" s="722"/>
      <c r="AS53" s="187"/>
      <c r="AT53" s="722">
        <v>0</v>
      </c>
      <c r="AU53" s="722">
        <v>0</v>
      </c>
      <c r="AV53" s="722">
        <v>0</v>
      </c>
      <c r="AW53" s="722">
        <v>0</v>
      </c>
      <c r="AX53" s="722">
        <v>0</v>
      </c>
      <c r="AY53" s="722">
        <v>0</v>
      </c>
      <c r="AZ53" s="722"/>
      <c r="BA53" s="186"/>
      <c r="BB53" s="722">
        <v>0</v>
      </c>
      <c r="BC53" s="722">
        <v>0</v>
      </c>
      <c r="BD53" s="722">
        <v>0</v>
      </c>
      <c r="BE53" s="722">
        <v>0</v>
      </c>
      <c r="BF53" s="722">
        <v>0</v>
      </c>
      <c r="BG53" s="722">
        <v>0</v>
      </c>
      <c r="BH53" s="722"/>
      <c r="BI53" s="187"/>
      <c r="BJ53" s="180">
        <f t="shared" ca="1" si="60"/>
        <v>0</v>
      </c>
      <c r="BK53" s="1218" t="str">
        <f ca="1">IFERROR((BJ54/BJ53),"-")</f>
        <v>-</v>
      </c>
      <c r="BL53" s="187"/>
      <c r="BM53" s="1215">
        <v>7694.1157251908389</v>
      </c>
      <c r="BN53" s="1269">
        <v>7694.1157251908389</v>
      </c>
      <c r="BO53" s="1171">
        <v>5849.5163934426237</v>
      </c>
      <c r="BP53" s="1218">
        <f>IFERROR((BO53/BN53),"-")</f>
        <v>0.76025843675460658</v>
      </c>
      <c r="BQ53" s="186"/>
      <c r="BR53" s="1269">
        <v>348474.13572519086</v>
      </c>
      <c r="BS53" s="1171">
        <v>348865.75442622969</v>
      </c>
      <c r="BT53" s="1218">
        <f>IFERROR((BS53/BR53),"-")</f>
        <v>1.0011238099499804</v>
      </c>
      <c r="BU53" s="186"/>
      <c r="BV53" s="1269">
        <v>355959.38</v>
      </c>
      <c r="BW53" s="1270">
        <f>BV53-BS53</f>
        <v>7093.6255737703177</v>
      </c>
      <c r="CB53" s="44" t="str">
        <f t="shared" si="52"/>
        <v>Seg. 4.4  - Aterro</v>
      </c>
    </row>
    <row r="54" spans="1:80" s="16" customFormat="1" ht="15.75" hidden="1" outlineLevel="1">
      <c r="A54" s="734"/>
      <c r="B54" s="1166"/>
      <c r="C54" s="723"/>
      <c r="D54" s="1214"/>
      <c r="E54" s="186"/>
      <c r="F54" s="178" t="s">
        <v>38</v>
      </c>
      <c r="G54" s="721">
        <f t="shared" ca="1" si="61"/>
        <v>2278.3278688524592</v>
      </c>
      <c r="H54" s="1170"/>
      <c r="I54" s="187"/>
      <c r="J54" s="179" t="s">
        <v>38</v>
      </c>
      <c r="K54" s="721" cm="1">
        <f t="array" aca="1" ref="K54" ca="1">_xlfn.XLOOKUP($L$7,$N$7:$BH$7,$N54:BH54)</f>
        <v>0</v>
      </c>
      <c r="L54" s="1218"/>
      <c r="M54" s="186"/>
      <c r="N54" s="722">
        <v>1175.327868852459</v>
      </c>
      <c r="O54" s="722">
        <v>886.01639344262298</v>
      </c>
      <c r="P54" s="722">
        <v>886.01639344262287</v>
      </c>
      <c r="Q54" s="722">
        <v>1112.0409836065576</v>
      </c>
      <c r="R54" s="722">
        <v>1401.3524590163936</v>
      </c>
      <c r="S54" s="722">
        <v>569.58196721311481</v>
      </c>
      <c r="T54" s="722"/>
      <c r="U54" s="186"/>
      <c r="V54" s="722">
        <v>614.78688524590166</v>
      </c>
      <c r="W54" s="722">
        <v>1030.672131147541</v>
      </c>
      <c r="X54" s="722">
        <v>1066.8360655737706</v>
      </c>
      <c r="Y54" s="722">
        <v>741.36065573770497</v>
      </c>
      <c r="Z54" s="722">
        <v>632.86885245901635</v>
      </c>
      <c r="AA54" s="722">
        <v>515.3360655737705</v>
      </c>
      <c r="AB54" s="722"/>
      <c r="AC54" s="186"/>
      <c r="AD54" s="722">
        <v>632.86885245901647</v>
      </c>
      <c r="AE54" s="722">
        <v>723.27868852459017</v>
      </c>
      <c r="AF54" s="722">
        <v>786.56557377049194</v>
      </c>
      <c r="AG54" s="722">
        <v>135.61475409836066</v>
      </c>
      <c r="AH54" s="722">
        <v>0</v>
      </c>
      <c r="AI54" s="722">
        <v>0</v>
      </c>
      <c r="AJ54" s="722"/>
      <c r="AK54" s="186"/>
      <c r="AL54" s="722">
        <v>0</v>
      </c>
      <c r="AM54" s="722">
        <v>0</v>
      </c>
      <c r="AN54" s="722">
        <v>0</v>
      </c>
      <c r="AO54" s="722">
        <v>0</v>
      </c>
      <c r="AP54" s="722">
        <v>0</v>
      </c>
      <c r="AQ54" s="722">
        <v>0</v>
      </c>
      <c r="AR54" s="722"/>
      <c r="AS54" s="187"/>
      <c r="AT54" s="722">
        <v>0</v>
      </c>
      <c r="AU54" s="722">
        <v>0</v>
      </c>
      <c r="AV54" s="722">
        <v>0</v>
      </c>
      <c r="AW54" s="722">
        <v>0</v>
      </c>
      <c r="AX54" s="722">
        <v>0</v>
      </c>
      <c r="AY54" s="722">
        <v>0</v>
      </c>
      <c r="AZ54" s="722"/>
      <c r="BA54" s="186"/>
      <c r="BB54" s="722">
        <v>0</v>
      </c>
      <c r="BC54" s="722">
        <v>0</v>
      </c>
      <c r="BD54" s="722">
        <v>0</v>
      </c>
      <c r="BE54" s="722">
        <v>0</v>
      </c>
      <c r="BF54" s="722">
        <v>0</v>
      </c>
      <c r="BG54" s="722">
        <v>0</v>
      </c>
      <c r="BH54" s="722"/>
      <c r="BI54" s="187"/>
      <c r="BJ54" s="180">
        <f t="shared" ca="1" si="60"/>
        <v>0</v>
      </c>
      <c r="BK54" s="1218"/>
      <c r="BL54" s="187"/>
      <c r="BM54" s="1216"/>
      <c r="BN54" s="1269"/>
      <c r="BO54" s="1171"/>
      <c r="BP54" s="1218"/>
      <c r="BQ54" s="186"/>
      <c r="BR54" s="1269"/>
      <c r="BS54" s="1171"/>
      <c r="BT54" s="1218"/>
      <c r="BU54" s="186"/>
      <c r="BV54" s="1269"/>
      <c r="BW54" s="1271"/>
      <c r="CB54" s="44" t="str">
        <f t="shared" si="52"/>
        <v>Seg. 4.4  - Aterro</v>
      </c>
    </row>
    <row r="55" spans="1:80" s="16" customFormat="1" ht="3.75" customHeight="1" collapsed="1">
      <c r="A55" s="157"/>
      <c r="B55" s="171"/>
      <c r="C55" s="172"/>
      <c r="D55" s="691"/>
      <c r="E55" s="169"/>
      <c r="F55" s="173"/>
      <c r="G55" s="692"/>
      <c r="H55" s="693"/>
      <c r="I55" s="170"/>
      <c r="J55" s="174"/>
      <c r="K55" s="175"/>
      <c r="L55" s="693"/>
      <c r="M55" s="169"/>
      <c r="N55" s="175"/>
      <c r="O55" s="175"/>
      <c r="P55" s="175"/>
      <c r="Q55" s="175"/>
      <c r="R55" s="175"/>
      <c r="S55" s="175"/>
      <c r="T55" s="175"/>
      <c r="U55" s="169"/>
      <c r="V55" s="175"/>
      <c r="W55" s="175"/>
      <c r="X55" s="175"/>
      <c r="Y55" s="175"/>
      <c r="Z55" s="175"/>
      <c r="AA55" s="175"/>
      <c r="AB55" s="175"/>
      <c r="AC55" s="169"/>
      <c r="AD55" s="175"/>
      <c r="AE55" s="175"/>
      <c r="AF55" s="175"/>
      <c r="AG55" s="175"/>
      <c r="AH55" s="175"/>
      <c r="AI55" s="175"/>
      <c r="AJ55" s="175"/>
      <c r="AK55" s="169"/>
      <c r="AL55" s="175"/>
      <c r="AM55" s="175"/>
      <c r="AN55" s="175"/>
      <c r="AO55" s="175"/>
      <c r="AP55" s="175"/>
      <c r="AQ55" s="175"/>
      <c r="AR55" s="175"/>
      <c r="AS55" s="169"/>
      <c r="AT55" s="175"/>
      <c r="AU55" s="175"/>
      <c r="AV55" s="175"/>
      <c r="AW55" s="175"/>
      <c r="AX55" s="175"/>
      <c r="AY55" s="175"/>
      <c r="AZ55" s="175"/>
      <c r="BA55" s="169"/>
      <c r="BB55" s="175"/>
      <c r="BC55" s="175"/>
      <c r="BD55" s="175"/>
      <c r="BE55" s="175"/>
      <c r="BF55" s="175"/>
      <c r="BG55" s="175"/>
      <c r="BH55" s="175"/>
      <c r="BI55" s="169"/>
      <c r="BJ55" s="175"/>
      <c r="BK55" s="693"/>
      <c r="BL55" s="169"/>
      <c r="BM55" s="175"/>
      <c r="BN55" s="175"/>
      <c r="BO55" s="175"/>
      <c r="BP55" s="693"/>
      <c r="BQ55" s="169"/>
      <c r="BR55" s="692"/>
      <c r="BS55" s="692"/>
      <c r="BT55" s="693"/>
      <c r="BU55" s="169"/>
      <c r="BV55" s="692"/>
      <c r="BW55" s="692"/>
      <c r="CB55" s="44" t="str">
        <f t="shared" si="52"/>
        <v>Seg. 4.4  - Aterro</v>
      </c>
    </row>
    <row r="56" spans="1:80" s="16" customFormat="1" ht="3.75" customHeight="1">
      <c r="A56" s="157"/>
      <c r="B56" s="171"/>
      <c r="C56" s="172"/>
      <c r="D56" s="691"/>
      <c r="E56" s="169"/>
      <c r="F56" s="173"/>
      <c r="G56" s="692"/>
      <c r="H56" s="693"/>
      <c r="I56" s="170"/>
      <c r="J56" s="174"/>
      <c r="K56" s="175"/>
      <c r="L56" s="693"/>
      <c r="M56" s="169"/>
      <c r="N56" s="175"/>
      <c r="O56" s="175"/>
      <c r="P56" s="175"/>
      <c r="Q56" s="175"/>
      <c r="R56" s="175"/>
      <c r="S56" s="175"/>
      <c r="T56" s="175"/>
      <c r="U56" s="169"/>
      <c r="V56" s="175"/>
      <c r="W56" s="175"/>
      <c r="X56" s="175"/>
      <c r="Y56" s="175"/>
      <c r="Z56" s="175"/>
      <c r="AA56" s="175"/>
      <c r="AB56" s="175"/>
      <c r="AC56" s="169"/>
      <c r="AD56" s="175"/>
      <c r="AE56" s="175"/>
      <c r="AF56" s="175"/>
      <c r="AG56" s="175"/>
      <c r="AH56" s="175"/>
      <c r="AI56" s="175"/>
      <c r="AJ56" s="175"/>
      <c r="AK56" s="169"/>
      <c r="AL56" s="175"/>
      <c r="AM56" s="175"/>
      <c r="AN56" s="175"/>
      <c r="AO56" s="175"/>
      <c r="AP56" s="175"/>
      <c r="AQ56" s="175"/>
      <c r="AR56" s="175"/>
      <c r="AS56" s="169"/>
      <c r="AT56" s="175"/>
      <c r="AU56" s="175"/>
      <c r="AV56" s="175"/>
      <c r="AW56" s="175"/>
      <c r="AX56" s="175"/>
      <c r="AY56" s="175"/>
      <c r="AZ56" s="175"/>
      <c r="BA56" s="169"/>
      <c r="BB56" s="175"/>
      <c r="BC56" s="175"/>
      <c r="BD56" s="175"/>
      <c r="BE56" s="175"/>
      <c r="BF56" s="175"/>
      <c r="BG56" s="175"/>
      <c r="BH56" s="175"/>
      <c r="BI56" s="169"/>
      <c r="BJ56" s="175"/>
      <c r="BK56" s="693"/>
      <c r="BL56" s="169"/>
      <c r="BM56" s="175"/>
      <c r="BN56" s="175"/>
      <c r="BO56" s="175"/>
      <c r="BP56" s="693"/>
      <c r="BQ56" s="169"/>
      <c r="BR56" s="692"/>
      <c r="BS56" s="692"/>
      <c r="BT56" s="693"/>
      <c r="BU56" s="169"/>
      <c r="BV56" s="692"/>
      <c r="BW56" s="692"/>
      <c r="CB56" s="44" t="str">
        <f t="shared" si="52"/>
        <v>Seg. 4.4  - Aterro</v>
      </c>
    </row>
    <row r="57" spans="1:80" s="93" customFormat="1" ht="15.75">
      <c r="A57" s="733"/>
      <c r="B57" s="1237" t="s">
        <v>4199</v>
      </c>
      <c r="C57" s="1217" t="s">
        <v>52</v>
      </c>
      <c r="D57" s="1238">
        <f>IFERROR((BS57-BR57),"-")</f>
        <v>18869.765599999999</v>
      </c>
      <c r="E57" s="169"/>
      <c r="F57" s="463" t="s">
        <v>37</v>
      </c>
      <c r="G57" s="464">
        <f ca="1">SUMIFS($N57:$BH57,$N$1:$BH$1,$H$4)</f>
        <v>1125.9000000000001</v>
      </c>
      <c r="H57" s="1240">
        <f ca="1">IFERROR((G58/G57),"-")</f>
        <v>1.0480504485300648</v>
      </c>
      <c r="I57" s="170"/>
      <c r="J57" s="465" t="s">
        <v>37</v>
      </c>
      <c r="K57" s="466" cm="1">
        <f t="array" aca="1" ref="K57" ca="1">_xlfn.XLOOKUP($L$7,$N$7:$BH$7,$N57:BH57)</f>
        <v>187.65</v>
      </c>
      <c r="L57" s="1240">
        <f ca="1">IFERROR((K58/K57),"-")</f>
        <v>1.0658140154543032</v>
      </c>
      <c r="M57" s="182"/>
      <c r="N57" s="464">
        <f>SUM(N61+N63+N65+N67+N69)</f>
        <v>241</v>
      </c>
      <c r="O57" s="464">
        <f t="shared" ref="O57:T58" si="62">SUM(O61+O63+O65+O67+O69)</f>
        <v>241</v>
      </c>
      <c r="P57" s="464">
        <f t="shared" si="62"/>
        <v>241</v>
      </c>
      <c r="Q57" s="464">
        <f t="shared" si="62"/>
        <v>241</v>
      </c>
      <c r="R57" s="464">
        <f t="shared" si="62"/>
        <v>241</v>
      </c>
      <c r="S57" s="464">
        <f t="shared" si="62"/>
        <v>241</v>
      </c>
      <c r="T57" s="464">
        <f t="shared" si="62"/>
        <v>0</v>
      </c>
      <c r="U57" s="169"/>
      <c r="V57" s="464">
        <f>SUM(V61+V63+V65+V67+V69)</f>
        <v>187.65</v>
      </c>
      <c r="W57" s="464">
        <f t="shared" ref="W57:AB58" si="63">SUM(W61+W63+W65+W67+W69)</f>
        <v>187.65</v>
      </c>
      <c r="X57" s="464">
        <f t="shared" si="63"/>
        <v>187.65</v>
      </c>
      <c r="Y57" s="464">
        <f t="shared" si="63"/>
        <v>187.65</v>
      </c>
      <c r="Z57" s="464">
        <f t="shared" si="63"/>
        <v>187.65</v>
      </c>
      <c r="AA57" s="464">
        <f t="shared" si="63"/>
        <v>187.65</v>
      </c>
      <c r="AB57" s="464">
        <f t="shared" si="63"/>
        <v>0</v>
      </c>
      <c r="AC57" s="169"/>
      <c r="AD57" s="464">
        <f>SUM(AD61+AD63+AD65+AD67+AD69)</f>
        <v>187.65</v>
      </c>
      <c r="AE57" s="464">
        <f t="shared" ref="AE57:AJ57" si="64">SUM(AE61+AE63+AE65+AE67+AE69)</f>
        <v>187.65</v>
      </c>
      <c r="AF57" s="464">
        <f t="shared" si="64"/>
        <v>187.65</v>
      </c>
      <c r="AG57" s="464">
        <f t="shared" si="64"/>
        <v>187.65</v>
      </c>
      <c r="AH57" s="464">
        <f t="shared" si="64"/>
        <v>187.65</v>
      </c>
      <c r="AI57" s="464">
        <f t="shared" si="64"/>
        <v>187.65</v>
      </c>
      <c r="AJ57" s="464">
        <f t="shared" si="64"/>
        <v>0</v>
      </c>
      <c r="AK57" s="169"/>
      <c r="AL57" s="464">
        <f>SUM(AL61+AL63+AL65+AL67+AL69)</f>
        <v>187.65</v>
      </c>
      <c r="AM57" s="464">
        <f t="shared" ref="AM57:AR58" si="65">SUM(AM61+AM63+AM65+AM67+AM69)</f>
        <v>187.65</v>
      </c>
      <c r="AN57" s="464">
        <f t="shared" si="65"/>
        <v>187.65</v>
      </c>
      <c r="AO57" s="464">
        <f t="shared" si="65"/>
        <v>187.65</v>
      </c>
      <c r="AP57" s="464">
        <f t="shared" si="65"/>
        <v>187.65</v>
      </c>
      <c r="AQ57" s="464">
        <f t="shared" si="65"/>
        <v>187.65</v>
      </c>
      <c r="AR57" s="464">
        <f t="shared" si="65"/>
        <v>0</v>
      </c>
      <c r="AS57" s="182"/>
      <c r="AT57" s="464">
        <f>SUM(AT61+AT63+AT65+AT67+AT69)</f>
        <v>187.65</v>
      </c>
      <c r="AU57" s="464">
        <f t="shared" ref="AU57:AZ58" si="66">SUM(AU61+AU63+AU65+AU67+AU69)</f>
        <v>187.65</v>
      </c>
      <c r="AV57" s="464">
        <f t="shared" si="66"/>
        <v>187.65</v>
      </c>
      <c r="AW57" s="464">
        <f t="shared" si="66"/>
        <v>187.65</v>
      </c>
      <c r="AX57" s="464">
        <f t="shared" si="66"/>
        <v>187.65</v>
      </c>
      <c r="AY57" s="464">
        <f t="shared" si="66"/>
        <v>187.65</v>
      </c>
      <c r="AZ57" s="464">
        <f t="shared" si="66"/>
        <v>0</v>
      </c>
      <c r="BA57" s="169"/>
      <c r="BB57" s="464">
        <f>SUM(BB61+BB63+BB65+BB67+BB69)</f>
        <v>187.65</v>
      </c>
      <c r="BC57" s="464">
        <f t="shared" ref="BC57:BH58" si="67">SUM(BC61+BC63+BC65+BC67+BC69)</f>
        <v>187.65</v>
      </c>
      <c r="BD57" s="464">
        <f t="shared" si="67"/>
        <v>187.65</v>
      </c>
      <c r="BE57" s="464">
        <f t="shared" si="67"/>
        <v>187.65</v>
      </c>
      <c r="BF57" s="464">
        <f t="shared" si="67"/>
        <v>187.65</v>
      </c>
      <c r="BG57" s="464">
        <f t="shared" si="67"/>
        <v>187.65</v>
      </c>
      <c r="BH57" s="464">
        <f t="shared" si="67"/>
        <v>0</v>
      </c>
      <c r="BI57" s="182"/>
      <c r="BJ57" s="180">
        <f ca="1">SUMIFS(N57:BI57,$N$7:$BI$7,"&gt;="&amp;($L$7-WEEKDAY($L$7,2)+1),$N$7:$BI$7,"&lt;="&amp;$L$7)</f>
        <v>375.3</v>
      </c>
      <c r="BK57" s="1263">
        <f ca="1">IFERROR((BJ58/BJ57),"-")</f>
        <v>1.1723954169997335</v>
      </c>
      <c r="BL57" s="182"/>
      <c r="BM57" s="1265">
        <f>SUM(BM61:BM70)</f>
        <v>5254.1999999999989</v>
      </c>
      <c r="BN57" s="1265">
        <f>SUM(BN61:BN70)</f>
        <v>2627.1000000000008</v>
      </c>
      <c r="BO57" s="1265">
        <f>SUM(BO61:BO70)</f>
        <v>2370</v>
      </c>
      <c r="BP57" s="1263">
        <f>IFERROR((BO57/BN57),"-")</f>
        <v>0.90213543450953493</v>
      </c>
      <c r="BQ57" s="169"/>
      <c r="BR57" s="1265">
        <f>SUM(BR61:BR70)</f>
        <v>35558.39</v>
      </c>
      <c r="BS57" s="1265">
        <f>SUM(BS61:BS70)</f>
        <v>54428.155599999998</v>
      </c>
      <c r="BT57" s="1263">
        <f>IFERROR((BS57/BR57),"-")</f>
        <v>1.5306698531626433</v>
      </c>
      <c r="BU57" s="169"/>
      <c r="BV57" s="1265">
        <f>SUM(BV61:BV70)</f>
        <v>78411.86</v>
      </c>
      <c r="BW57" s="1265">
        <f>SUM(BW61:BW70)</f>
        <v>16337.3</v>
      </c>
      <c r="CB57" s="44" t="str">
        <f t="shared" si="52"/>
        <v>Cerca Definitiva</v>
      </c>
    </row>
    <row r="58" spans="1:80" s="98" customFormat="1" ht="15.75">
      <c r="A58" s="157"/>
      <c r="B58" s="1237"/>
      <c r="C58" s="1217"/>
      <c r="D58" s="1239"/>
      <c r="E58" s="169"/>
      <c r="F58" s="467" t="s">
        <v>38</v>
      </c>
      <c r="G58" s="464">
        <f ca="1">SUMIFS($N58:$BH58,$N$1:$BH$1,$H$4)</f>
        <v>1180</v>
      </c>
      <c r="H58" s="1241"/>
      <c r="I58" s="170"/>
      <c r="J58" s="468" t="s">
        <v>38</v>
      </c>
      <c r="K58" s="466" cm="1">
        <f t="array" aca="1" ref="K58" ca="1">_xlfn.XLOOKUP($L$7,$N$7:$BH$7,$N58:BH58)</f>
        <v>200</v>
      </c>
      <c r="L58" s="1241"/>
      <c r="M58" s="182"/>
      <c r="N58" s="464">
        <f>SUM(N62+N64+N66+N68+N70)</f>
        <v>0</v>
      </c>
      <c r="O58" s="464">
        <f t="shared" si="62"/>
        <v>0</v>
      </c>
      <c r="P58" s="464">
        <f t="shared" si="62"/>
        <v>930</v>
      </c>
      <c r="Q58" s="464">
        <f t="shared" si="62"/>
        <v>0</v>
      </c>
      <c r="R58" s="464">
        <f t="shared" si="62"/>
        <v>440</v>
      </c>
      <c r="S58" s="464">
        <f t="shared" si="62"/>
        <v>420</v>
      </c>
      <c r="T58" s="464">
        <f t="shared" si="62"/>
        <v>0</v>
      </c>
      <c r="U58" s="169"/>
      <c r="V58" s="464">
        <f>SUM(V62+V64+V66+V68+V70)</f>
        <v>0</v>
      </c>
      <c r="W58" s="464">
        <f t="shared" si="63"/>
        <v>100</v>
      </c>
      <c r="X58" s="464">
        <f t="shared" si="63"/>
        <v>180</v>
      </c>
      <c r="Y58" s="464">
        <f t="shared" si="63"/>
        <v>190</v>
      </c>
      <c r="Z58" s="464">
        <f t="shared" si="63"/>
        <v>180</v>
      </c>
      <c r="AA58" s="464">
        <f t="shared" si="63"/>
        <v>100</v>
      </c>
      <c r="AB58" s="464">
        <f t="shared" si="63"/>
        <v>0</v>
      </c>
      <c r="AC58" s="169"/>
      <c r="AD58" s="464">
        <f>SUM(AD62+AD64+AD66+AD68+AD70)</f>
        <v>195</v>
      </c>
      <c r="AE58" s="464">
        <f>SUM(AE62+AE64+AE66+AE68+AE70)</f>
        <v>205</v>
      </c>
      <c r="AF58" s="464">
        <f>SUM(AF62+AF64+AF66+AF68+AF70)</f>
        <v>200</v>
      </c>
      <c r="AG58" s="464">
        <f>SUM(AG62+AG64+AG66+AG68+AG70)</f>
        <v>198</v>
      </c>
      <c r="AH58" s="464">
        <f>SUM(AH62+AH64+AH66+AH68+AH70)</f>
        <v>202</v>
      </c>
      <c r="AI58" s="464">
        <f>SUM(AI62+AI64+AI66+AI68+AI70)</f>
        <v>180</v>
      </c>
      <c r="AJ58" s="464"/>
      <c r="AK58" s="169"/>
      <c r="AL58" s="464">
        <f>SUM(AL62+AL64+AL66+AL68+AL70)</f>
        <v>240</v>
      </c>
      <c r="AM58" s="464">
        <f t="shared" si="65"/>
        <v>200</v>
      </c>
      <c r="AN58" s="464">
        <f t="shared" si="65"/>
        <v>0</v>
      </c>
      <c r="AO58" s="464">
        <f t="shared" si="65"/>
        <v>0</v>
      </c>
      <c r="AP58" s="464">
        <f t="shared" si="65"/>
        <v>0</v>
      </c>
      <c r="AQ58" s="464">
        <f t="shared" si="65"/>
        <v>0</v>
      </c>
      <c r="AR58" s="464">
        <f t="shared" si="65"/>
        <v>0</v>
      </c>
      <c r="AS58" s="182"/>
      <c r="AT58" s="464">
        <f>SUM(AT62+AT64+AT66+AT68+AT70)</f>
        <v>0</v>
      </c>
      <c r="AU58" s="464">
        <f t="shared" si="66"/>
        <v>0</v>
      </c>
      <c r="AV58" s="464">
        <f t="shared" si="66"/>
        <v>0</v>
      </c>
      <c r="AW58" s="464">
        <f t="shared" si="66"/>
        <v>0</v>
      </c>
      <c r="AX58" s="464">
        <f t="shared" si="66"/>
        <v>0</v>
      </c>
      <c r="AY58" s="464">
        <f t="shared" si="66"/>
        <v>0</v>
      </c>
      <c r="AZ58" s="464">
        <f t="shared" si="66"/>
        <v>0</v>
      </c>
      <c r="BA58" s="169"/>
      <c r="BB58" s="464">
        <f>SUM(BB62+BB64+BB66+BB68+BB70)</f>
        <v>0</v>
      </c>
      <c r="BC58" s="464">
        <f t="shared" si="67"/>
        <v>0</v>
      </c>
      <c r="BD58" s="464">
        <f t="shared" si="67"/>
        <v>0</v>
      </c>
      <c r="BE58" s="464">
        <f t="shared" si="67"/>
        <v>0</v>
      </c>
      <c r="BF58" s="464">
        <f t="shared" si="67"/>
        <v>0</v>
      </c>
      <c r="BG58" s="464">
        <f t="shared" si="67"/>
        <v>0</v>
      </c>
      <c r="BH58" s="464">
        <f t="shared" si="67"/>
        <v>0</v>
      </c>
      <c r="BI58" s="182"/>
      <c r="BJ58" s="721">
        <f ca="1">SUMIFS(N58:BI58,$N$7:$BI$7,"&gt;="&amp;($L$7-WEEKDAY($L$7,2)+1),$N$7:$BI$7,"&lt;="&amp;$L$7)</f>
        <v>440</v>
      </c>
      <c r="BK58" s="1264"/>
      <c r="BL58" s="182"/>
      <c r="BM58" s="1266"/>
      <c r="BN58" s="1267"/>
      <c r="BO58" s="1267"/>
      <c r="BP58" s="1264"/>
      <c r="BQ58" s="169"/>
      <c r="BR58" s="1267"/>
      <c r="BS58" s="1267"/>
      <c r="BT58" s="1268"/>
      <c r="BU58" s="169"/>
      <c r="BV58" s="1267"/>
      <c r="BW58" s="1267"/>
      <c r="CB58" s="44" t="str">
        <f t="shared" si="52"/>
        <v>Cerca Definitiva</v>
      </c>
    </row>
    <row r="59" spans="1:80" s="16" customFormat="1" ht="3.75" customHeight="1">
      <c r="A59" s="157"/>
      <c r="B59" s="171"/>
      <c r="C59" s="172"/>
      <c r="D59" s="691"/>
      <c r="E59" s="169"/>
      <c r="F59" s="173"/>
      <c r="G59" s="692"/>
      <c r="H59" s="693"/>
      <c r="I59" s="170"/>
      <c r="J59" s="174"/>
      <c r="K59" s="175"/>
      <c r="L59" s="693"/>
      <c r="M59" s="169"/>
      <c r="N59" s="175"/>
      <c r="O59" s="175"/>
      <c r="P59" s="175"/>
      <c r="Q59" s="175"/>
      <c r="R59" s="175"/>
      <c r="S59" s="175"/>
      <c r="T59" s="175"/>
      <c r="U59" s="169"/>
      <c r="V59" s="175"/>
      <c r="W59" s="175"/>
      <c r="X59" s="175"/>
      <c r="Y59" s="175"/>
      <c r="Z59" s="175"/>
      <c r="AA59" s="175"/>
      <c r="AB59" s="175"/>
      <c r="AC59" s="169"/>
      <c r="AD59" s="175"/>
      <c r="AE59" s="175"/>
      <c r="AF59" s="175"/>
      <c r="AG59" s="175"/>
      <c r="AH59" s="175"/>
      <c r="AI59" s="175"/>
      <c r="AJ59" s="175"/>
      <c r="AK59" s="169"/>
      <c r="AL59" s="175"/>
      <c r="AM59" s="175"/>
      <c r="AN59" s="175"/>
      <c r="AO59" s="175"/>
      <c r="AP59" s="175"/>
      <c r="AQ59" s="175"/>
      <c r="AR59" s="175"/>
      <c r="AS59" s="169"/>
      <c r="AT59" s="175"/>
      <c r="AU59" s="175"/>
      <c r="AV59" s="175"/>
      <c r="AW59" s="175"/>
      <c r="AX59" s="175"/>
      <c r="AY59" s="175"/>
      <c r="AZ59" s="175"/>
      <c r="BA59" s="169"/>
      <c r="BB59" s="175"/>
      <c r="BC59" s="175"/>
      <c r="BD59" s="175"/>
      <c r="BE59" s="175"/>
      <c r="BF59" s="175"/>
      <c r="BG59" s="175"/>
      <c r="BH59" s="175"/>
      <c r="BI59" s="169"/>
      <c r="BJ59" s="175"/>
      <c r="BK59" s="693"/>
      <c r="BL59" s="169"/>
      <c r="BM59" s="175"/>
      <c r="BN59" s="175"/>
      <c r="BO59" s="175"/>
      <c r="BP59" s="693"/>
      <c r="BQ59" s="169"/>
      <c r="BR59" s="692"/>
      <c r="BS59" s="692"/>
      <c r="BT59" s="693"/>
      <c r="BU59" s="169"/>
      <c r="BV59" s="692"/>
      <c r="BW59" s="692"/>
      <c r="CB59" s="44" t="str">
        <f t="shared" si="52"/>
        <v>Cerca Definitiva</v>
      </c>
    </row>
    <row r="60" spans="1:80" s="16" customFormat="1" ht="3.75" customHeight="1">
      <c r="A60" s="157"/>
      <c r="B60" s="171"/>
      <c r="C60" s="172"/>
      <c r="D60" s="691"/>
      <c r="E60" s="169"/>
      <c r="F60" s="173"/>
      <c r="G60" s="692"/>
      <c r="H60" s="693"/>
      <c r="I60" s="170"/>
      <c r="J60" s="174"/>
      <c r="K60" s="175"/>
      <c r="L60" s="693"/>
      <c r="M60" s="169"/>
      <c r="N60" s="175"/>
      <c r="O60" s="175"/>
      <c r="P60" s="175"/>
      <c r="Q60" s="175"/>
      <c r="R60" s="175"/>
      <c r="S60" s="175"/>
      <c r="T60" s="175"/>
      <c r="U60" s="169"/>
      <c r="V60" s="175"/>
      <c r="W60" s="175"/>
      <c r="X60" s="175"/>
      <c r="Y60" s="175"/>
      <c r="Z60" s="175"/>
      <c r="AA60" s="175"/>
      <c r="AB60" s="175"/>
      <c r="AC60" s="169"/>
      <c r="AD60" s="175"/>
      <c r="AE60" s="175"/>
      <c r="AF60" s="175"/>
      <c r="AG60" s="175"/>
      <c r="AH60" s="175"/>
      <c r="AI60" s="175"/>
      <c r="AJ60" s="175"/>
      <c r="AK60" s="169"/>
      <c r="AL60" s="175"/>
      <c r="AM60" s="175"/>
      <c r="AN60" s="175"/>
      <c r="AO60" s="175"/>
      <c r="AP60" s="175"/>
      <c r="AQ60" s="175"/>
      <c r="AR60" s="175"/>
      <c r="AS60" s="169"/>
      <c r="AT60" s="175"/>
      <c r="AU60" s="175"/>
      <c r="AV60" s="175"/>
      <c r="AW60" s="175"/>
      <c r="AX60" s="175"/>
      <c r="AY60" s="175"/>
      <c r="AZ60" s="175"/>
      <c r="BA60" s="169"/>
      <c r="BB60" s="175"/>
      <c r="BC60" s="175"/>
      <c r="BD60" s="175"/>
      <c r="BE60" s="175"/>
      <c r="BF60" s="175"/>
      <c r="BG60" s="175"/>
      <c r="BH60" s="175"/>
      <c r="BI60" s="169"/>
      <c r="BJ60" s="175"/>
      <c r="BK60" s="693"/>
      <c r="BL60" s="169"/>
      <c r="BM60" s="175"/>
      <c r="BN60" s="175"/>
      <c r="BO60" s="175"/>
      <c r="BP60" s="693"/>
      <c r="BQ60" s="169"/>
      <c r="BR60" s="692"/>
      <c r="BS60" s="692"/>
      <c r="BT60" s="693"/>
      <c r="BU60" s="169"/>
      <c r="BV60" s="692"/>
      <c r="BW60" s="692"/>
      <c r="CB60" s="44" t="str">
        <f t="shared" si="52"/>
        <v>Cerca Definitiva</v>
      </c>
    </row>
    <row r="61" spans="1:80" s="16" customFormat="1" ht="15.75" hidden="1" outlineLevel="1">
      <c r="A61" s="734"/>
      <c r="B61" s="1222" t="s">
        <v>4200</v>
      </c>
      <c r="C61" s="1279" t="s">
        <v>52</v>
      </c>
      <c r="D61" s="1208" t="str">
        <f>IFERROR((C61/B61),"-")</f>
        <v>-</v>
      </c>
      <c r="E61" s="183"/>
      <c r="F61" s="184" t="s">
        <v>37</v>
      </c>
      <c r="G61" s="721">
        <f t="shared" ref="G61:G70" ca="1" si="68">SUMIFS($N61:$BH61,$N$1:$BH$1,$H$4)</f>
        <v>0</v>
      </c>
      <c r="H61" s="1215" t="str">
        <f ca="1">IFERROR((G62/G61),"-")</f>
        <v>-</v>
      </c>
      <c r="I61" s="183"/>
      <c r="J61" s="184" t="s">
        <v>37</v>
      </c>
      <c r="K61" s="721" cm="1">
        <f t="array" aca="1" ref="K61" ca="1">_xlfn.XLOOKUP($L$7,$N$7:$BH$7,$N61:BH61)</f>
        <v>0</v>
      </c>
      <c r="L61" s="1171" t="str">
        <f ca="1">IFERROR((K62/K61),"-")</f>
        <v>-</v>
      </c>
      <c r="M61" s="183"/>
      <c r="N61" s="722"/>
      <c r="O61" s="722"/>
      <c r="P61" s="722"/>
      <c r="Q61" s="722"/>
      <c r="R61" s="722"/>
      <c r="S61" s="722"/>
      <c r="T61" s="722"/>
      <c r="U61" s="183"/>
      <c r="V61" s="722">
        <v>0</v>
      </c>
      <c r="W61" s="722">
        <v>0</v>
      </c>
      <c r="X61" s="722">
        <v>0</v>
      </c>
      <c r="Y61" s="722">
        <v>0</v>
      </c>
      <c r="Z61" s="722">
        <v>0</v>
      </c>
      <c r="AA61" s="722">
        <v>0</v>
      </c>
      <c r="AB61" s="722"/>
      <c r="AC61" s="183"/>
      <c r="AD61" s="722">
        <v>0</v>
      </c>
      <c r="AE61" s="722">
        <v>0</v>
      </c>
      <c r="AF61" s="722">
        <v>0</v>
      </c>
      <c r="AG61" s="722">
        <v>0</v>
      </c>
      <c r="AH61" s="722">
        <v>0</v>
      </c>
      <c r="AI61" s="722">
        <v>0</v>
      </c>
      <c r="AJ61" s="722"/>
      <c r="AK61" s="183"/>
      <c r="AL61" s="722">
        <v>0</v>
      </c>
      <c r="AM61" s="722">
        <v>0</v>
      </c>
      <c r="AN61" s="722">
        <v>0</v>
      </c>
      <c r="AO61" s="722">
        <v>0</v>
      </c>
      <c r="AP61" s="722">
        <v>0</v>
      </c>
      <c r="AQ61" s="722">
        <v>0</v>
      </c>
      <c r="AR61" s="722"/>
      <c r="AS61" s="170"/>
      <c r="AT61" s="722">
        <v>0</v>
      </c>
      <c r="AU61" s="722">
        <v>0</v>
      </c>
      <c r="AV61" s="722">
        <v>0</v>
      </c>
      <c r="AW61" s="722">
        <v>0</v>
      </c>
      <c r="AX61" s="722">
        <v>0</v>
      </c>
      <c r="AY61" s="722">
        <v>0</v>
      </c>
      <c r="AZ61" s="722"/>
      <c r="BA61" s="183"/>
      <c r="BB61" s="722">
        <v>0</v>
      </c>
      <c r="BC61" s="722">
        <v>0</v>
      </c>
      <c r="BD61" s="722">
        <v>0</v>
      </c>
      <c r="BE61" s="722">
        <v>0</v>
      </c>
      <c r="BF61" s="722">
        <v>0</v>
      </c>
      <c r="BG61" s="722">
        <v>0</v>
      </c>
      <c r="BH61" s="722"/>
      <c r="BI61" s="170"/>
      <c r="BJ61" s="721">
        <f ca="1">SUMIFS(N61:BI61,$N$7:$BI$7,"&gt;="&amp;($L$7-WEEKDAY($L$7,2)+1),$N$7:$BI$7,"&lt;="&amp;$L$7)</f>
        <v>0</v>
      </c>
      <c r="BK61" s="1223" t="str">
        <f ca="1">IFERROR((BJ62/BJ61),"-")</f>
        <v>-</v>
      </c>
      <c r="BL61" s="170"/>
      <c r="BM61" s="1215">
        <v>0</v>
      </c>
      <c r="BN61" s="1269">
        <v>0</v>
      </c>
      <c r="BO61" s="1171">
        <v>0</v>
      </c>
      <c r="BP61" s="1223" t="str">
        <f>IFERROR((BO61/BN61),"-")</f>
        <v>-</v>
      </c>
      <c r="BQ61" s="183"/>
      <c r="BR61" s="1269">
        <v>1535.41</v>
      </c>
      <c r="BS61" s="1171">
        <v>1535.4060000000002</v>
      </c>
      <c r="BT61" s="1223">
        <f>IFERROR((BS61/BR61),"-")</f>
        <v>0.9999973948326506</v>
      </c>
      <c r="BU61" s="183"/>
      <c r="BV61" s="1278">
        <v>3281.1499999999996</v>
      </c>
      <c r="BW61" s="1171">
        <v>0</v>
      </c>
      <c r="CB61" s="44" t="str">
        <f t="shared" si="52"/>
        <v>Seg. 3.A2 - Cerca Definitiva</v>
      </c>
    </row>
    <row r="62" spans="1:80" s="16" customFormat="1" ht="15.75" hidden="1" outlineLevel="1">
      <c r="A62" s="734"/>
      <c r="B62" s="1222"/>
      <c r="C62" s="1279"/>
      <c r="D62" s="1209"/>
      <c r="E62" s="183"/>
      <c r="F62" s="185" t="s">
        <v>38</v>
      </c>
      <c r="G62" s="721">
        <f t="shared" ca="1" si="68"/>
        <v>0</v>
      </c>
      <c r="H62" s="1216"/>
      <c r="I62" s="183"/>
      <c r="J62" s="185" t="s">
        <v>38</v>
      </c>
      <c r="K62" s="721" cm="1">
        <f t="array" aca="1" ref="K62" ca="1">_xlfn.XLOOKUP($L$7,$N$7:$BH$7,$N62:BH62)</f>
        <v>0</v>
      </c>
      <c r="L62" s="1171"/>
      <c r="M62" s="183"/>
      <c r="N62" s="722">
        <v>0</v>
      </c>
      <c r="O62" s="722">
        <v>0</v>
      </c>
      <c r="P62" s="722">
        <v>0</v>
      </c>
      <c r="Q62" s="722">
        <v>0</v>
      </c>
      <c r="R62" s="722">
        <v>0</v>
      </c>
      <c r="S62" s="722">
        <v>0</v>
      </c>
      <c r="T62" s="722">
        <v>0</v>
      </c>
      <c r="U62" s="183"/>
      <c r="V62" s="722">
        <v>0</v>
      </c>
      <c r="W62" s="722">
        <v>0</v>
      </c>
      <c r="X62" s="722">
        <v>0</v>
      </c>
      <c r="Y62" s="722">
        <v>0</v>
      </c>
      <c r="Z62" s="722">
        <v>0</v>
      </c>
      <c r="AA62" s="722">
        <v>0</v>
      </c>
      <c r="AB62" s="722">
        <v>0</v>
      </c>
      <c r="AC62" s="183"/>
      <c r="AD62" s="722">
        <v>0</v>
      </c>
      <c r="AE62" s="722">
        <v>0</v>
      </c>
      <c r="AF62" s="722">
        <v>0</v>
      </c>
      <c r="AG62" s="722">
        <v>0</v>
      </c>
      <c r="AH62" s="722">
        <v>0</v>
      </c>
      <c r="AI62" s="722">
        <v>0</v>
      </c>
      <c r="AJ62" s="722">
        <v>0</v>
      </c>
      <c r="AK62" s="183"/>
      <c r="AL62" s="722">
        <v>0</v>
      </c>
      <c r="AM62" s="722">
        <v>0</v>
      </c>
      <c r="AN62" s="722">
        <v>0</v>
      </c>
      <c r="AO62" s="722">
        <v>0</v>
      </c>
      <c r="AP62" s="722">
        <v>0</v>
      </c>
      <c r="AQ62" s="722">
        <v>0</v>
      </c>
      <c r="AR62" s="722">
        <v>0</v>
      </c>
      <c r="AS62" s="170">
        <v>0</v>
      </c>
      <c r="AT62" s="722">
        <v>0</v>
      </c>
      <c r="AU62" s="722">
        <v>0</v>
      </c>
      <c r="AV62" s="722">
        <v>0</v>
      </c>
      <c r="AW62" s="722">
        <v>0</v>
      </c>
      <c r="AX62" s="722">
        <v>0</v>
      </c>
      <c r="AY62" s="722">
        <v>0</v>
      </c>
      <c r="AZ62" s="722">
        <v>0</v>
      </c>
      <c r="BA62" s="183"/>
      <c r="BB62" s="722">
        <v>0</v>
      </c>
      <c r="BC62" s="722">
        <v>0</v>
      </c>
      <c r="BD62" s="722">
        <v>0</v>
      </c>
      <c r="BE62" s="722">
        <v>0</v>
      </c>
      <c r="BF62" s="722">
        <v>0</v>
      </c>
      <c r="BG62" s="722">
        <v>0</v>
      </c>
      <c r="BH62" s="722">
        <v>0</v>
      </c>
      <c r="BI62" s="170">
        <v>0</v>
      </c>
      <c r="BJ62" s="721">
        <f t="shared" ref="BJ62:BJ70" ca="1" si="69">SUMIFS(N62:BI62,$N$7:$BI$7,"&gt;="&amp;($L$7-WEEKDAY($L$7,2)+1),$N$7:$BI$7,"&lt;="&amp;$L$7)</f>
        <v>0</v>
      </c>
      <c r="BK62" s="1223"/>
      <c r="BL62" s="170"/>
      <c r="BM62" s="1216"/>
      <c r="BN62" s="1269"/>
      <c r="BO62" s="1171"/>
      <c r="BP62" s="1223"/>
      <c r="BQ62" s="183"/>
      <c r="BR62" s="1269"/>
      <c r="BS62" s="1171"/>
      <c r="BT62" s="1223"/>
      <c r="BU62" s="183"/>
      <c r="BV62" s="1269"/>
      <c r="BW62" s="1171"/>
      <c r="CB62" s="44" t="str">
        <f t="shared" si="52"/>
        <v>Seg. 3.A2 - Cerca Definitiva</v>
      </c>
    </row>
    <row r="63" spans="1:80" s="16" customFormat="1" ht="15.75" hidden="1" outlineLevel="1">
      <c r="A63" s="734"/>
      <c r="B63" s="1222" t="s">
        <v>4201</v>
      </c>
      <c r="C63" s="1279" t="s">
        <v>52</v>
      </c>
      <c r="D63" s="1208" t="str">
        <f>IFERROR((C63/B63),"-")</f>
        <v>-</v>
      </c>
      <c r="E63" s="183"/>
      <c r="F63" s="184" t="s">
        <v>37</v>
      </c>
      <c r="G63" s="721">
        <f t="shared" ca="1" si="68"/>
        <v>0</v>
      </c>
      <c r="H63" s="1215" t="str">
        <f ca="1">IFERROR((G64/G63),"-")</f>
        <v>-</v>
      </c>
      <c r="I63" s="183"/>
      <c r="J63" s="184" t="s">
        <v>37</v>
      </c>
      <c r="K63" s="721" cm="1">
        <f t="array" aca="1" ref="K63" ca="1">_xlfn.XLOOKUP($L$7,$N$7:$BH$7,$N63:BH63)</f>
        <v>0</v>
      </c>
      <c r="L63" s="1171" t="str">
        <f ca="1">IFERROR((K64/K63),"-")</f>
        <v>-</v>
      </c>
      <c r="M63" s="183"/>
      <c r="N63" s="722"/>
      <c r="O63" s="722"/>
      <c r="P63" s="722"/>
      <c r="Q63" s="722"/>
      <c r="R63" s="722"/>
      <c r="S63" s="722"/>
      <c r="T63" s="722"/>
      <c r="U63" s="183"/>
      <c r="V63" s="722">
        <v>0</v>
      </c>
      <c r="W63" s="722">
        <v>0</v>
      </c>
      <c r="X63" s="722">
        <v>0</v>
      </c>
      <c r="Y63" s="722">
        <v>0</v>
      </c>
      <c r="Z63" s="722">
        <v>0</v>
      </c>
      <c r="AA63" s="722">
        <v>0</v>
      </c>
      <c r="AB63" s="722"/>
      <c r="AC63" s="183"/>
      <c r="AD63" s="722">
        <v>0</v>
      </c>
      <c r="AE63" s="722">
        <v>0</v>
      </c>
      <c r="AF63" s="722">
        <v>0</v>
      </c>
      <c r="AG63" s="722">
        <v>0</v>
      </c>
      <c r="AH63" s="722">
        <v>0</v>
      </c>
      <c r="AI63" s="722">
        <v>0</v>
      </c>
      <c r="AJ63" s="722"/>
      <c r="AK63" s="183"/>
      <c r="AL63" s="722">
        <v>0</v>
      </c>
      <c r="AM63" s="722">
        <v>0</v>
      </c>
      <c r="AN63" s="722">
        <v>0</v>
      </c>
      <c r="AO63" s="722">
        <v>0</v>
      </c>
      <c r="AP63" s="722">
        <v>0</v>
      </c>
      <c r="AQ63" s="722">
        <v>0</v>
      </c>
      <c r="AR63" s="722"/>
      <c r="AS63" s="170"/>
      <c r="AT63" s="722">
        <v>0</v>
      </c>
      <c r="AU63" s="722">
        <v>0</v>
      </c>
      <c r="AV63" s="722">
        <v>0</v>
      </c>
      <c r="AW63" s="722">
        <v>0</v>
      </c>
      <c r="AX63" s="722">
        <v>0</v>
      </c>
      <c r="AY63" s="722">
        <v>0</v>
      </c>
      <c r="AZ63" s="722"/>
      <c r="BA63" s="183"/>
      <c r="BB63" s="722">
        <v>0</v>
      </c>
      <c r="BC63" s="722">
        <v>0</v>
      </c>
      <c r="BD63" s="722">
        <v>0</v>
      </c>
      <c r="BE63" s="722">
        <v>0</v>
      </c>
      <c r="BF63" s="722">
        <v>0</v>
      </c>
      <c r="BG63" s="722">
        <v>0</v>
      </c>
      <c r="BH63" s="722"/>
      <c r="BI63" s="170"/>
      <c r="BJ63" s="721">
        <f t="shared" ca="1" si="69"/>
        <v>0</v>
      </c>
      <c r="BK63" s="1223" t="str">
        <f ca="1">IFERROR((BJ64/BJ63),"-")</f>
        <v>-</v>
      </c>
      <c r="BL63" s="170"/>
      <c r="BM63" s="1215">
        <v>0</v>
      </c>
      <c r="BN63" s="1269">
        <v>0</v>
      </c>
      <c r="BO63" s="1171">
        <v>0</v>
      </c>
      <c r="BP63" s="1223" t="str">
        <f>IFERROR((BO63/BN63),"-")</f>
        <v>-</v>
      </c>
      <c r="BQ63" s="183"/>
      <c r="BR63" s="1269">
        <v>8570.8700000000008</v>
      </c>
      <c r="BS63" s="1171">
        <v>8257.1540000000005</v>
      </c>
      <c r="BT63" s="1223">
        <f>IFERROR((BS63/BR63),"-")</f>
        <v>0.96339741473152662</v>
      </c>
      <c r="BU63" s="183"/>
      <c r="BV63" s="1269">
        <v>11658.68</v>
      </c>
      <c r="BW63" s="1171">
        <v>716.25</v>
      </c>
      <c r="CB63" s="44" t="str">
        <f t="shared" si="52"/>
        <v>Seg. 4.1 - Cerca Definitiva</v>
      </c>
    </row>
    <row r="64" spans="1:80" s="16" customFormat="1" ht="15.75" hidden="1" outlineLevel="1">
      <c r="A64" s="734"/>
      <c r="B64" s="1222"/>
      <c r="C64" s="1279"/>
      <c r="D64" s="1209"/>
      <c r="E64" s="183"/>
      <c r="F64" s="185" t="s">
        <v>38</v>
      </c>
      <c r="G64" s="721">
        <f t="shared" ca="1" si="68"/>
        <v>0</v>
      </c>
      <c r="H64" s="1216"/>
      <c r="I64" s="183"/>
      <c r="J64" s="185" t="s">
        <v>38</v>
      </c>
      <c r="K64" s="721" cm="1">
        <f t="array" aca="1" ref="K64" ca="1">_xlfn.XLOOKUP($L$7,$N$7:$BH$7,$N64:BH64)</f>
        <v>0</v>
      </c>
      <c r="L64" s="1171"/>
      <c r="M64" s="183"/>
      <c r="N64" s="722">
        <v>0</v>
      </c>
      <c r="O64" s="722">
        <v>0</v>
      </c>
      <c r="P64" s="722">
        <v>0</v>
      </c>
      <c r="Q64" s="722">
        <v>0</v>
      </c>
      <c r="R64" s="722">
        <v>0</v>
      </c>
      <c r="S64" s="722">
        <v>0</v>
      </c>
      <c r="T64" s="722">
        <v>0</v>
      </c>
      <c r="U64" s="183"/>
      <c r="V64" s="722">
        <v>0</v>
      </c>
      <c r="W64" s="722">
        <v>0</v>
      </c>
      <c r="X64" s="722">
        <v>0</v>
      </c>
      <c r="Y64" s="722">
        <v>0</v>
      </c>
      <c r="Z64" s="722">
        <v>0</v>
      </c>
      <c r="AA64" s="722">
        <v>0</v>
      </c>
      <c r="AB64" s="722">
        <v>0</v>
      </c>
      <c r="AC64" s="183"/>
      <c r="AD64" s="722">
        <v>0</v>
      </c>
      <c r="AE64" s="722">
        <v>0</v>
      </c>
      <c r="AF64" s="722">
        <v>0</v>
      </c>
      <c r="AG64" s="722">
        <v>0</v>
      </c>
      <c r="AH64" s="722">
        <v>0</v>
      </c>
      <c r="AI64" s="722">
        <v>0</v>
      </c>
      <c r="AJ64" s="722">
        <v>0</v>
      </c>
      <c r="AK64" s="183"/>
      <c r="AL64" s="722">
        <v>0</v>
      </c>
      <c r="AM64" s="722">
        <v>0</v>
      </c>
      <c r="AN64" s="722">
        <v>0</v>
      </c>
      <c r="AO64" s="722">
        <v>0</v>
      </c>
      <c r="AP64" s="722">
        <v>0</v>
      </c>
      <c r="AQ64" s="722">
        <v>0</v>
      </c>
      <c r="AR64" s="722">
        <v>0</v>
      </c>
      <c r="AS64" s="170">
        <v>0</v>
      </c>
      <c r="AT64" s="722">
        <v>0</v>
      </c>
      <c r="AU64" s="722">
        <v>0</v>
      </c>
      <c r="AV64" s="722">
        <v>0</v>
      </c>
      <c r="AW64" s="722">
        <v>0</v>
      </c>
      <c r="AX64" s="722">
        <v>0</v>
      </c>
      <c r="AY64" s="722">
        <v>0</v>
      </c>
      <c r="AZ64" s="722">
        <v>0</v>
      </c>
      <c r="BA64" s="183"/>
      <c r="BB64" s="722">
        <v>0</v>
      </c>
      <c r="BC64" s="722">
        <v>0</v>
      </c>
      <c r="BD64" s="722">
        <v>0</v>
      </c>
      <c r="BE64" s="722">
        <v>0</v>
      </c>
      <c r="BF64" s="722">
        <v>0</v>
      </c>
      <c r="BG64" s="722">
        <v>0</v>
      </c>
      <c r="BH64" s="722">
        <v>0</v>
      </c>
      <c r="BI64" s="170">
        <v>0</v>
      </c>
      <c r="BJ64" s="721">
        <f t="shared" ca="1" si="69"/>
        <v>0</v>
      </c>
      <c r="BK64" s="1223"/>
      <c r="BL64" s="170"/>
      <c r="BM64" s="1216"/>
      <c r="BN64" s="1269"/>
      <c r="BO64" s="1171"/>
      <c r="BP64" s="1223"/>
      <c r="BQ64" s="183"/>
      <c r="BR64" s="1269"/>
      <c r="BS64" s="1171"/>
      <c r="BT64" s="1223"/>
      <c r="BU64" s="183"/>
      <c r="BV64" s="1269"/>
      <c r="BW64" s="1171"/>
      <c r="CB64" s="44" t="str">
        <f t="shared" si="52"/>
        <v>Seg. 4.1 - Cerca Definitiva</v>
      </c>
    </row>
    <row r="65" spans="1:80" s="16" customFormat="1" ht="15.75" hidden="1" outlineLevel="1">
      <c r="A65" s="734"/>
      <c r="B65" s="1222" t="s">
        <v>4202</v>
      </c>
      <c r="C65" s="1279" t="s">
        <v>52</v>
      </c>
      <c r="D65" s="1208" t="str">
        <f>IFERROR((C65/B65),"-")</f>
        <v>-</v>
      </c>
      <c r="E65" s="183"/>
      <c r="F65" s="184" t="s">
        <v>37</v>
      </c>
      <c r="G65" s="721">
        <f t="shared" ca="1" si="68"/>
        <v>1125.9000000000001</v>
      </c>
      <c r="H65" s="1215">
        <f ca="1">IFERROR((G66/G65),"-")</f>
        <v>1.2274624744648726</v>
      </c>
      <c r="I65" s="183"/>
      <c r="J65" s="184" t="s">
        <v>37</v>
      </c>
      <c r="K65" s="721" cm="1">
        <f t="array" aca="1" ref="K65" ca="1">_xlfn.XLOOKUP($L$7,$N$7:$BH$7,$N65:BH65)</f>
        <v>187.65</v>
      </c>
      <c r="L65" s="1171">
        <f ca="1">IFERROR((K66/K65),"-")</f>
        <v>1.0658140154543032</v>
      </c>
      <c r="M65" s="183"/>
      <c r="N65" s="722">
        <v>241</v>
      </c>
      <c r="O65" s="722">
        <v>241</v>
      </c>
      <c r="P65" s="722">
        <v>241</v>
      </c>
      <c r="Q65" s="722">
        <v>241</v>
      </c>
      <c r="R65" s="722">
        <v>241</v>
      </c>
      <c r="S65" s="722">
        <v>241</v>
      </c>
      <c r="T65" s="722"/>
      <c r="U65" s="183"/>
      <c r="V65" s="722">
        <v>187.65</v>
      </c>
      <c r="W65" s="722">
        <v>187.65</v>
      </c>
      <c r="X65" s="722">
        <v>187.65</v>
      </c>
      <c r="Y65" s="722">
        <v>187.65</v>
      </c>
      <c r="Z65" s="722">
        <v>187.65</v>
      </c>
      <c r="AA65" s="722">
        <v>187.65</v>
      </c>
      <c r="AB65" s="722"/>
      <c r="AC65" s="183"/>
      <c r="AD65" s="722">
        <v>187.65</v>
      </c>
      <c r="AE65" s="722">
        <v>187.65</v>
      </c>
      <c r="AF65" s="722">
        <v>187.65</v>
      </c>
      <c r="AG65" s="722">
        <v>187.65</v>
      </c>
      <c r="AH65" s="722">
        <v>187.65</v>
      </c>
      <c r="AI65" s="722">
        <v>187.65</v>
      </c>
      <c r="AJ65" s="722"/>
      <c r="AK65" s="183"/>
      <c r="AL65" s="722">
        <v>187.65</v>
      </c>
      <c r="AM65" s="722">
        <v>187.65</v>
      </c>
      <c r="AN65" s="722">
        <v>187.65</v>
      </c>
      <c r="AO65" s="722">
        <v>187.65</v>
      </c>
      <c r="AP65" s="722">
        <v>187.65</v>
      </c>
      <c r="AQ65" s="722">
        <v>187.65</v>
      </c>
      <c r="AR65" s="722"/>
      <c r="AS65" s="170"/>
      <c r="AT65" s="722">
        <v>187.65</v>
      </c>
      <c r="AU65" s="722">
        <v>187.65</v>
      </c>
      <c r="AV65" s="722">
        <v>187.65</v>
      </c>
      <c r="AW65" s="722">
        <v>187.65</v>
      </c>
      <c r="AX65" s="722">
        <v>187.65</v>
      </c>
      <c r="AY65" s="722">
        <v>187.65</v>
      </c>
      <c r="AZ65" s="722"/>
      <c r="BA65" s="183"/>
      <c r="BB65" s="722">
        <v>187.65</v>
      </c>
      <c r="BC65" s="722">
        <v>187.65</v>
      </c>
      <c r="BD65" s="722">
        <v>187.65</v>
      </c>
      <c r="BE65" s="722">
        <v>187.65</v>
      </c>
      <c r="BF65" s="722">
        <v>187.65</v>
      </c>
      <c r="BG65" s="722">
        <v>187.65</v>
      </c>
      <c r="BH65" s="722"/>
      <c r="BI65" s="170"/>
      <c r="BJ65" s="180">
        <f t="shared" ca="1" si="69"/>
        <v>375.3</v>
      </c>
      <c r="BK65" s="1223">
        <f ca="1">IFERROR((BJ66/BJ65),"-")</f>
        <v>1.1723954169997335</v>
      </c>
      <c r="BL65" s="170"/>
      <c r="BM65" s="1215">
        <v>5254.1999999999989</v>
      </c>
      <c r="BN65" s="1269">
        <v>2627.1000000000008</v>
      </c>
      <c r="BO65" s="1171">
        <v>2370</v>
      </c>
      <c r="BP65" s="1223">
        <f>IFERROR((BO65/BN65),"-")</f>
        <v>0.90213543450953493</v>
      </c>
      <c r="BQ65" s="183"/>
      <c r="BR65" s="1269">
        <v>6716.1100000000006</v>
      </c>
      <c r="BS65" s="1171">
        <v>6989.0519999999997</v>
      </c>
      <c r="BT65" s="1223">
        <f>IFERROR((BS65/BR65),"-")</f>
        <v>1.0406398942244839</v>
      </c>
      <c r="BU65" s="183"/>
      <c r="BV65" s="1269">
        <v>21954.87</v>
      </c>
      <c r="BW65" s="1171">
        <v>11987.33</v>
      </c>
      <c r="CB65" s="44" t="str">
        <f t="shared" si="52"/>
        <v>Seg. 4.2 - Cerca Definitiva</v>
      </c>
    </row>
    <row r="66" spans="1:80" s="16" customFormat="1" ht="15.75" hidden="1" outlineLevel="1">
      <c r="A66" s="734"/>
      <c r="B66" s="1222"/>
      <c r="C66" s="1279"/>
      <c r="D66" s="1209"/>
      <c r="E66" s="183"/>
      <c r="F66" s="185" t="s">
        <v>38</v>
      </c>
      <c r="G66" s="721">
        <f t="shared" ca="1" si="68"/>
        <v>1382</v>
      </c>
      <c r="H66" s="1216"/>
      <c r="I66" s="183"/>
      <c r="J66" s="185" t="s">
        <v>38</v>
      </c>
      <c r="K66" s="721" cm="1">
        <f t="array" aca="1" ref="K66" ca="1">_xlfn.XLOOKUP($L$7,$N$7:$BH$7,$N66:BH66)</f>
        <v>200</v>
      </c>
      <c r="L66" s="1171"/>
      <c r="M66" s="183"/>
      <c r="N66" s="722">
        <v>0</v>
      </c>
      <c r="O66" s="722">
        <v>0</v>
      </c>
      <c r="P66" s="722">
        <v>930</v>
      </c>
      <c r="Q66" s="722">
        <v>0</v>
      </c>
      <c r="R66" s="722">
        <v>440</v>
      </c>
      <c r="S66" s="722">
        <v>420</v>
      </c>
      <c r="T66" s="722"/>
      <c r="U66" s="183"/>
      <c r="V66" s="722">
        <v>0</v>
      </c>
      <c r="W66" s="722">
        <v>100</v>
      </c>
      <c r="X66" s="722">
        <v>180</v>
      </c>
      <c r="Y66" s="722">
        <v>190</v>
      </c>
      <c r="Z66" s="722">
        <v>180</v>
      </c>
      <c r="AA66" s="722">
        <v>100</v>
      </c>
      <c r="AB66" s="722"/>
      <c r="AC66" s="183"/>
      <c r="AD66" s="722">
        <v>195</v>
      </c>
      <c r="AE66" s="722">
        <v>205</v>
      </c>
      <c r="AF66" s="722">
        <v>200</v>
      </c>
      <c r="AG66" s="722">
        <v>198</v>
      </c>
      <c r="AH66" s="722">
        <v>202</v>
      </c>
      <c r="AI66" s="722">
        <v>180</v>
      </c>
      <c r="AJ66" s="722">
        <v>202</v>
      </c>
      <c r="AK66" s="183"/>
      <c r="AL66" s="722">
        <v>240</v>
      </c>
      <c r="AM66" s="722">
        <v>200</v>
      </c>
      <c r="AN66" s="722">
        <v>0</v>
      </c>
      <c r="AO66" s="722">
        <v>0</v>
      </c>
      <c r="AP66" s="722">
        <v>0</v>
      </c>
      <c r="AQ66" s="722">
        <v>0</v>
      </c>
      <c r="AR66" s="722">
        <v>0</v>
      </c>
      <c r="AS66" s="170">
        <v>0</v>
      </c>
      <c r="AT66" s="722">
        <v>0</v>
      </c>
      <c r="AU66" s="722">
        <v>0</v>
      </c>
      <c r="AV66" s="722">
        <v>0</v>
      </c>
      <c r="AW66" s="722">
        <v>0</v>
      </c>
      <c r="AX66" s="722">
        <v>0</v>
      </c>
      <c r="AY66" s="722">
        <v>0</v>
      </c>
      <c r="AZ66" s="722">
        <v>0</v>
      </c>
      <c r="BA66" s="183"/>
      <c r="BB66" s="722">
        <v>0</v>
      </c>
      <c r="BC66" s="722">
        <v>0</v>
      </c>
      <c r="BD66" s="722">
        <v>0</v>
      </c>
      <c r="BE66" s="722">
        <v>0</v>
      </c>
      <c r="BF66" s="722">
        <v>0</v>
      </c>
      <c r="BG66" s="722">
        <v>0</v>
      </c>
      <c r="BH66" s="722">
        <v>0</v>
      </c>
      <c r="BI66" s="170">
        <v>0</v>
      </c>
      <c r="BJ66" s="721">
        <f t="shared" ca="1" si="69"/>
        <v>440</v>
      </c>
      <c r="BK66" s="1223"/>
      <c r="BL66" s="170"/>
      <c r="BM66" s="1216"/>
      <c r="BN66" s="1269"/>
      <c r="BO66" s="1171"/>
      <c r="BP66" s="1223"/>
      <c r="BQ66" s="183"/>
      <c r="BR66" s="1269"/>
      <c r="BS66" s="1171"/>
      <c r="BT66" s="1223"/>
      <c r="BU66" s="183"/>
      <c r="BV66" s="1269"/>
      <c r="BW66" s="1171"/>
      <c r="CB66" s="44" t="str">
        <f t="shared" si="52"/>
        <v>Seg. 4.2 - Cerca Definitiva</v>
      </c>
    </row>
    <row r="67" spans="1:80" s="16" customFormat="1" ht="15.75" hidden="1" outlineLevel="1">
      <c r="A67" s="734"/>
      <c r="B67" s="1222" t="s">
        <v>4203</v>
      </c>
      <c r="C67" s="1279" t="s">
        <v>52</v>
      </c>
      <c r="D67" s="1208" t="str">
        <f>IFERROR((C67/B67),"-")</f>
        <v>-</v>
      </c>
      <c r="E67" s="183"/>
      <c r="F67" s="184" t="s">
        <v>37</v>
      </c>
      <c r="G67" s="721">
        <f t="shared" ca="1" si="68"/>
        <v>0</v>
      </c>
      <c r="H67" s="1215" t="str">
        <f ca="1">IFERROR((G68/G67),"-")</f>
        <v>-</v>
      </c>
      <c r="I67" s="183"/>
      <c r="J67" s="184" t="s">
        <v>37</v>
      </c>
      <c r="K67" s="721" cm="1">
        <f t="array" aca="1" ref="K67" ca="1">_xlfn.XLOOKUP($L$7,$N$7:$BH$7,$N67:BH67)</f>
        <v>0</v>
      </c>
      <c r="L67" s="1171" t="str">
        <f ca="1">IFERROR((K68/K67),"-")</f>
        <v>-</v>
      </c>
      <c r="M67" s="183"/>
      <c r="N67" s="722"/>
      <c r="O67" s="722"/>
      <c r="P67" s="722"/>
      <c r="Q67" s="722"/>
      <c r="R67" s="722"/>
      <c r="S67" s="722"/>
      <c r="T67" s="722"/>
      <c r="U67" s="183"/>
      <c r="V67" s="722">
        <v>0</v>
      </c>
      <c r="W67" s="722">
        <v>0</v>
      </c>
      <c r="X67" s="722">
        <v>0</v>
      </c>
      <c r="Y67" s="722">
        <v>0</v>
      </c>
      <c r="Z67" s="722">
        <v>0</v>
      </c>
      <c r="AA67" s="722">
        <v>0</v>
      </c>
      <c r="AB67" s="722"/>
      <c r="AC67" s="183"/>
      <c r="AD67" s="722">
        <v>0</v>
      </c>
      <c r="AE67" s="722">
        <v>0</v>
      </c>
      <c r="AF67" s="722">
        <v>0</v>
      </c>
      <c r="AG67" s="722">
        <v>0</v>
      </c>
      <c r="AH67" s="722">
        <v>0</v>
      </c>
      <c r="AI67" s="722">
        <v>0</v>
      </c>
      <c r="AJ67" s="722"/>
      <c r="AK67" s="183"/>
      <c r="AL67" s="722">
        <v>0</v>
      </c>
      <c r="AM67" s="722">
        <v>0</v>
      </c>
      <c r="AN67" s="722">
        <v>0</v>
      </c>
      <c r="AO67" s="722">
        <v>0</v>
      </c>
      <c r="AP67" s="722">
        <v>0</v>
      </c>
      <c r="AQ67" s="722">
        <v>0</v>
      </c>
      <c r="AR67" s="722"/>
      <c r="AS67" s="170"/>
      <c r="AT67" s="722">
        <v>0</v>
      </c>
      <c r="AU67" s="722">
        <v>0</v>
      </c>
      <c r="AV67" s="722">
        <v>0</v>
      </c>
      <c r="AW67" s="722">
        <v>0</v>
      </c>
      <c r="AX67" s="722">
        <v>0</v>
      </c>
      <c r="AY67" s="722">
        <v>0</v>
      </c>
      <c r="AZ67" s="722"/>
      <c r="BA67" s="183"/>
      <c r="BB67" s="722">
        <v>0</v>
      </c>
      <c r="BC67" s="722">
        <v>0</v>
      </c>
      <c r="BD67" s="722">
        <v>0</v>
      </c>
      <c r="BE67" s="722">
        <v>0</v>
      </c>
      <c r="BF67" s="722">
        <v>0</v>
      </c>
      <c r="BG67" s="722">
        <v>0</v>
      </c>
      <c r="BH67" s="722"/>
      <c r="BI67" s="170"/>
      <c r="BJ67" s="721">
        <f t="shared" ca="1" si="69"/>
        <v>0</v>
      </c>
      <c r="BK67" s="1223" t="str">
        <f ca="1">IFERROR((BJ68/BJ67),"-")</f>
        <v>-</v>
      </c>
      <c r="BL67" s="170"/>
      <c r="BM67" s="1215">
        <v>0</v>
      </c>
      <c r="BN67" s="1269">
        <v>0</v>
      </c>
      <c r="BO67" s="1171">
        <v>0</v>
      </c>
      <c r="BP67" s="1223" t="str">
        <f>IFERROR((BO67/BN67),"-")</f>
        <v>-</v>
      </c>
      <c r="BQ67" s="183"/>
      <c r="BR67" s="1269">
        <v>17411</v>
      </c>
      <c r="BS67" s="1171">
        <v>18931.692600000006</v>
      </c>
      <c r="BT67" s="1223">
        <f>IFERROR((BS67/BR67),"-")</f>
        <v>1.0873409109183854</v>
      </c>
      <c r="BU67" s="183"/>
      <c r="BV67" s="1269">
        <v>20316.29</v>
      </c>
      <c r="BW67" s="1171">
        <v>1938.07</v>
      </c>
      <c r="CB67" s="44" t="str">
        <f t="shared" si="52"/>
        <v>Seg. 4.3 - Cerca Definitiva</v>
      </c>
    </row>
    <row r="68" spans="1:80" s="16" customFormat="1" ht="15.75" hidden="1" outlineLevel="1">
      <c r="A68" s="734"/>
      <c r="B68" s="1222"/>
      <c r="C68" s="1279"/>
      <c r="D68" s="1209"/>
      <c r="E68" s="183"/>
      <c r="F68" s="185" t="s">
        <v>38</v>
      </c>
      <c r="G68" s="721">
        <f t="shared" ca="1" si="68"/>
        <v>0</v>
      </c>
      <c r="H68" s="1216"/>
      <c r="I68" s="183"/>
      <c r="J68" s="185" t="s">
        <v>38</v>
      </c>
      <c r="K68" s="721" cm="1">
        <f t="array" aca="1" ref="K68" ca="1">_xlfn.XLOOKUP($L$7,$N$7:$BH$7,$N68:BH68)</f>
        <v>0</v>
      </c>
      <c r="L68" s="1171"/>
      <c r="M68" s="183"/>
      <c r="N68" s="722">
        <v>0</v>
      </c>
      <c r="O68" s="722">
        <v>0</v>
      </c>
      <c r="P68" s="722">
        <v>0</v>
      </c>
      <c r="Q68" s="722">
        <v>0</v>
      </c>
      <c r="R68" s="722">
        <v>0</v>
      </c>
      <c r="S68" s="722">
        <v>0</v>
      </c>
      <c r="T68" s="722">
        <v>0</v>
      </c>
      <c r="U68" s="183"/>
      <c r="V68" s="722">
        <v>0</v>
      </c>
      <c r="W68" s="722">
        <v>0</v>
      </c>
      <c r="X68" s="722">
        <v>0</v>
      </c>
      <c r="Y68" s="722">
        <v>0</v>
      </c>
      <c r="Z68" s="722">
        <v>0</v>
      </c>
      <c r="AA68" s="722">
        <v>0</v>
      </c>
      <c r="AB68" s="722">
        <v>0</v>
      </c>
      <c r="AC68" s="183"/>
      <c r="AD68" s="722">
        <v>0</v>
      </c>
      <c r="AE68" s="722">
        <v>0</v>
      </c>
      <c r="AF68" s="722">
        <v>0</v>
      </c>
      <c r="AG68" s="722">
        <v>0</v>
      </c>
      <c r="AH68" s="722">
        <v>0</v>
      </c>
      <c r="AI68" s="722">
        <v>0</v>
      </c>
      <c r="AJ68" s="722">
        <v>0</v>
      </c>
      <c r="AK68" s="183"/>
      <c r="AL68" s="722">
        <v>0</v>
      </c>
      <c r="AM68" s="722">
        <v>0</v>
      </c>
      <c r="AN68" s="722">
        <v>0</v>
      </c>
      <c r="AO68" s="722">
        <v>0</v>
      </c>
      <c r="AP68" s="722">
        <v>0</v>
      </c>
      <c r="AQ68" s="722">
        <v>0</v>
      </c>
      <c r="AR68" s="722">
        <v>0</v>
      </c>
      <c r="AS68" s="170">
        <v>0</v>
      </c>
      <c r="AT68" s="722">
        <v>0</v>
      </c>
      <c r="AU68" s="722">
        <v>0</v>
      </c>
      <c r="AV68" s="722">
        <v>0</v>
      </c>
      <c r="AW68" s="722">
        <v>0</v>
      </c>
      <c r="AX68" s="722">
        <v>0</v>
      </c>
      <c r="AY68" s="722">
        <v>0</v>
      </c>
      <c r="AZ68" s="722">
        <v>0</v>
      </c>
      <c r="BA68" s="183"/>
      <c r="BB68" s="722">
        <v>0</v>
      </c>
      <c r="BC68" s="722">
        <v>0</v>
      </c>
      <c r="BD68" s="722">
        <v>0</v>
      </c>
      <c r="BE68" s="722">
        <v>0</v>
      </c>
      <c r="BF68" s="722">
        <v>0</v>
      </c>
      <c r="BG68" s="722">
        <v>0</v>
      </c>
      <c r="BH68" s="722">
        <v>0</v>
      </c>
      <c r="BI68" s="170">
        <v>0</v>
      </c>
      <c r="BJ68" s="721">
        <f t="shared" ca="1" si="69"/>
        <v>0</v>
      </c>
      <c r="BK68" s="1223"/>
      <c r="BL68" s="170"/>
      <c r="BM68" s="1216"/>
      <c r="BN68" s="1269"/>
      <c r="BO68" s="1171"/>
      <c r="BP68" s="1223"/>
      <c r="BQ68" s="183"/>
      <c r="BR68" s="1269"/>
      <c r="BS68" s="1171"/>
      <c r="BT68" s="1223"/>
      <c r="BU68" s="183"/>
      <c r="BV68" s="1269"/>
      <c r="BW68" s="1171"/>
      <c r="CB68" s="44" t="str">
        <f t="shared" si="52"/>
        <v>Seg. 4.3 - Cerca Definitiva</v>
      </c>
    </row>
    <row r="69" spans="1:80" s="93" customFormat="1" ht="15.75" hidden="1" outlineLevel="1">
      <c r="A69" s="734"/>
      <c r="B69" s="1222" t="s">
        <v>4204</v>
      </c>
      <c r="C69" s="1279" t="s">
        <v>52</v>
      </c>
      <c r="D69" s="1208" t="str">
        <f>IFERROR((C69/B69),"-")</f>
        <v>-</v>
      </c>
      <c r="E69" s="183"/>
      <c r="F69" s="184" t="s">
        <v>37</v>
      </c>
      <c r="G69" s="721">
        <f t="shared" ca="1" si="68"/>
        <v>0</v>
      </c>
      <c r="H69" s="1215" t="str">
        <f ca="1">IFERROR((G70/G69),"-")</f>
        <v>-</v>
      </c>
      <c r="I69" s="183"/>
      <c r="J69" s="184" t="s">
        <v>37</v>
      </c>
      <c r="K69" s="721" cm="1">
        <f t="array" aca="1" ref="K69" ca="1">_xlfn.XLOOKUP($L$7,$N$7:$BH$7,$N69:BH69)</f>
        <v>0</v>
      </c>
      <c r="L69" s="1171" t="str">
        <f ca="1">IFERROR((K70/K69),"-")</f>
        <v>-</v>
      </c>
      <c r="M69" s="183"/>
      <c r="N69" s="722"/>
      <c r="O69" s="722"/>
      <c r="P69" s="722"/>
      <c r="Q69" s="722"/>
      <c r="R69" s="722"/>
      <c r="S69" s="722"/>
      <c r="T69" s="722"/>
      <c r="U69" s="183"/>
      <c r="V69" s="722">
        <v>0</v>
      </c>
      <c r="W69" s="722">
        <v>0</v>
      </c>
      <c r="X69" s="722">
        <v>0</v>
      </c>
      <c r="Y69" s="722">
        <v>0</v>
      </c>
      <c r="Z69" s="722">
        <v>0</v>
      </c>
      <c r="AA69" s="722">
        <v>0</v>
      </c>
      <c r="AB69" s="722"/>
      <c r="AC69" s="183"/>
      <c r="AD69" s="722">
        <v>0</v>
      </c>
      <c r="AE69" s="722">
        <v>0</v>
      </c>
      <c r="AF69" s="722">
        <v>0</v>
      </c>
      <c r="AG69" s="722">
        <v>0</v>
      </c>
      <c r="AH69" s="722">
        <v>0</v>
      </c>
      <c r="AI69" s="722">
        <v>0</v>
      </c>
      <c r="AJ69" s="722"/>
      <c r="AK69" s="183"/>
      <c r="AL69" s="722">
        <v>0</v>
      </c>
      <c r="AM69" s="722">
        <v>0</v>
      </c>
      <c r="AN69" s="722">
        <v>0</v>
      </c>
      <c r="AO69" s="722">
        <v>0</v>
      </c>
      <c r="AP69" s="722">
        <v>0</v>
      </c>
      <c r="AQ69" s="722">
        <v>0</v>
      </c>
      <c r="AR69" s="722"/>
      <c r="AS69" s="170"/>
      <c r="AT69" s="722">
        <v>0</v>
      </c>
      <c r="AU69" s="722">
        <v>0</v>
      </c>
      <c r="AV69" s="722">
        <v>0</v>
      </c>
      <c r="AW69" s="722">
        <v>0</v>
      </c>
      <c r="AX69" s="722">
        <v>0</v>
      </c>
      <c r="AY69" s="722">
        <v>0</v>
      </c>
      <c r="AZ69" s="722"/>
      <c r="BA69" s="183"/>
      <c r="BB69" s="722">
        <v>0</v>
      </c>
      <c r="BC69" s="722">
        <v>0</v>
      </c>
      <c r="BD69" s="722">
        <v>0</v>
      </c>
      <c r="BE69" s="722">
        <v>0</v>
      </c>
      <c r="BF69" s="722">
        <v>0</v>
      </c>
      <c r="BG69" s="722">
        <v>0</v>
      </c>
      <c r="BH69" s="722"/>
      <c r="BI69" s="170"/>
      <c r="BJ69" s="721">
        <f t="shared" ca="1" si="69"/>
        <v>0</v>
      </c>
      <c r="BK69" s="1223" t="str">
        <f ca="1">IFERROR((BJ70/BJ69),"-")</f>
        <v>-</v>
      </c>
      <c r="BL69" s="170"/>
      <c r="BM69" s="1215">
        <v>0</v>
      </c>
      <c r="BN69" s="1269">
        <v>0</v>
      </c>
      <c r="BO69" s="1171">
        <v>0</v>
      </c>
      <c r="BP69" s="1223" t="str">
        <f>IFERROR((BO69/BN69),"-")</f>
        <v>-</v>
      </c>
      <c r="BQ69" s="183"/>
      <c r="BR69" s="1269">
        <v>1325</v>
      </c>
      <c r="BS69" s="1171">
        <v>18714.850999999999</v>
      </c>
      <c r="BT69" s="1223">
        <f>IFERROR((BS69/BR69),"-")</f>
        <v>14.124415849056604</v>
      </c>
      <c r="BU69" s="183"/>
      <c r="BV69" s="1269">
        <v>21200.87</v>
      </c>
      <c r="BW69" s="1215">
        <v>1695.65</v>
      </c>
      <c r="CB69" s="44" t="str">
        <f t="shared" si="52"/>
        <v>Seg. 4.4 - Cerca Definitiva</v>
      </c>
    </row>
    <row r="70" spans="1:80" s="98" customFormat="1" ht="15.75" hidden="1" outlineLevel="1">
      <c r="A70" s="734"/>
      <c r="B70" s="1222"/>
      <c r="C70" s="1279"/>
      <c r="D70" s="1209"/>
      <c r="E70" s="183"/>
      <c r="F70" s="185" t="s">
        <v>38</v>
      </c>
      <c r="G70" s="721">
        <f t="shared" ca="1" si="68"/>
        <v>0</v>
      </c>
      <c r="H70" s="1216"/>
      <c r="I70" s="183"/>
      <c r="J70" s="185" t="s">
        <v>38</v>
      </c>
      <c r="K70" s="721" cm="1">
        <f t="array" aca="1" ref="K70" ca="1">_xlfn.XLOOKUP($L$7,$N$7:$BH$7,$N70:BH70)</f>
        <v>0</v>
      </c>
      <c r="L70" s="1171"/>
      <c r="M70" s="183"/>
      <c r="N70" s="722">
        <v>0</v>
      </c>
      <c r="O70" s="722">
        <v>0</v>
      </c>
      <c r="P70" s="722">
        <v>0</v>
      </c>
      <c r="Q70" s="722">
        <v>0</v>
      </c>
      <c r="R70" s="722">
        <v>0</v>
      </c>
      <c r="S70" s="722">
        <v>0</v>
      </c>
      <c r="T70" s="722">
        <v>0</v>
      </c>
      <c r="U70" s="183"/>
      <c r="V70" s="722">
        <v>0</v>
      </c>
      <c r="W70" s="722">
        <v>0</v>
      </c>
      <c r="X70" s="722">
        <v>0</v>
      </c>
      <c r="Y70" s="722">
        <v>0</v>
      </c>
      <c r="Z70" s="722">
        <v>0</v>
      </c>
      <c r="AA70" s="722">
        <v>0</v>
      </c>
      <c r="AB70" s="722">
        <v>0</v>
      </c>
      <c r="AC70" s="183"/>
      <c r="AD70" s="722">
        <v>0</v>
      </c>
      <c r="AE70" s="722">
        <v>0</v>
      </c>
      <c r="AF70" s="722">
        <v>0</v>
      </c>
      <c r="AG70" s="722">
        <v>0</v>
      </c>
      <c r="AH70" s="722">
        <v>0</v>
      </c>
      <c r="AI70" s="722">
        <v>0</v>
      </c>
      <c r="AJ70" s="722">
        <v>0</v>
      </c>
      <c r="AK70" s="183"/>
      <c r="AL70" s="722">
        <v>0</v>
      </c>
      <c r="AM70" s="722">
        <v>0</v>
      </c>
      <c r="AN70" s="722">
        <v>0</v>
      </c>
      <c r="AO70" s="722">
        <v>0</v>
      </c>
      <c r="AP70" s="722">
        <v>0</v>
      </c>
      <c r="AQ70" s="722">
        <v>0</v>
      </c>
      <c r="AR70" s="722">
        <v>0</v>
      </c>
      <c r="AS70" s="170">
        <v>0</v>
      </c>
      <c r="AT70" s="722">
        <v>0</v>
      </c>
      <c r="AU70" s="722">
        <v>0</v>
      </c>
      <c r="AV70" s="722">
        <v>0</v>
      </c>
      <c r="AW70" s="722">
        <v>0</v>
      </c>
      <c r="AX70" s="722">
        <v>0</v>
      </c>
      <c r="AY70" s="722">
        <v>0</v>
      </c>
      <c r="AZ70" s="722">
        <v>0</v>
      </c>
      <c r="BA70" s="183"/>
      <c r="BB70" s="722">
        <v>0</v>
      </c>
      <c r="BC70" s="722">
        <v>0</v>
      </c>
      <c r="BD70" s="722">
        <v>0</v>
      </c>
      <c r="BE70" s="722">
        <v>0</v>
      </c>
      <c r="BF70" s="722">
        <v>0</v>
      </c>
      <c r="BG70" s="722">
        <v>0</v>
      </c>
      <c r="BH70" s="722">
        <v>0</v>
      </c>
      <c r="BI70" s="170">
        <v>0</v>
      </c>
      <c r="BJ70" s="721">
        <f t="shared" ca="1" si="69"/>
        <v>0</v>
      </c>
      <c r="BK70" s="1223"/>
      <c r="BL70" s="170"/>
      <c r="BM70" s="1216"/>
      <c r="BN70" s="1269"/>
      <c r="BO70" s="1171"/>
      <c r="BP70" s="1223"/>
      <c r="BQ70" s="183"/>
      <c r="BR70" s="1269"/>
      <c r="BS70" s="1171"/>
      <c r="BT70" s="1223"/>
      <c r="BU70" s="183"/>
      <c r="BV70" s="1269"/>
      <c r="BW70" s="1216"/>
      <c r="CB70" s="44" t="str">
        <f t="shared" si="52"/>
        <v>Seg. 4.4 - Cerca Definitiva</v>
      </c>
    </row>
    <row r="71" spans="1:80" s="16" customFormat="1" ht="3.75" customHeight="1" collapsed="1">
      <c r="A71" s="157"/>
      <c r="B71" s="171"/>
      <c r="C71" s="172"/>
      <c r="D71" s="691"/>
      <c r="E71" s="169"/>
      <c r="F71" s="173"/>
      <c r="G71" s="692"/>
      <c r="H71" s="693"/>
      <c r="I71" s="170"/>
      <c r="J71" s="174"/>
      <c r="K71" s="175"/>
      <c r="L71" s="693"/>
      <c r="M71" s="169"/>
      <c r="N71" s="175"/>
      <c r="O71" s="175"/>
      <c r="P71" s="175"/>
      <c r="Q71" s="175"/>
      <c r="R71" s="175"/>
      <c r="S71" s="175"/>
      <c r="T71" s="175"/>
      <c r="U71" s="169"/>
      <c r="V71" s="175"/>
      <c r="W71" s="175"/>
      <c r="X71" s="175"/>
      <c r="Y71" s="175"/>
      <c r="Z71" s="175"/>
      <c r="AA71" s="175"/>
      <c r="AB71" s="175"/>
      <c r="AC71" s="169"/>
      <c r="AD71" s="175"/>
      <c r="AE71" s="175"/>
      <c r="AF71" s="175"/>
      <c r="AG71" s="175"/>
      <c r="AH71" s="175"/>
      <c r="AI71" s="175"/>
      <c r="AJ71" s="175"/>
      <c r="AK71" s="169"/>
      <c r="AL71" s="175"/>
      <c r="AM71" s="175"/>
      <c r="AN71" s="175"/>
      <c r="AO71" s="175"/>
      <c r="AP71" s="175"/>
      <c r="AQ71" s="175"/>
      <c r="AR71" s="175"/>
      <c r="AS71" s="169"/>
      <c r="AT71" s="175"/>
      <c r="AU71" s="175"/>
      <c r="AV71" s="175"/>
      <c r="AW71" s="175"/>
      <c r="AX71" s="175"/>
      <c r="AY71" s="175"/>
      <c r="AZ71" s="175"/>
      <c r="BA71" s="169"/>
      <c r="BB71" s="175"/>
      <c r="BC71" s="175"/>
      <c r="BD71" s="175"/>
      <c r="BE71" s="175"/>
      <c r="BF71" s="175"/>
      <c r="BG71" s="175"/>
      <c r="BH71" s="175"/>
      <c r="BI71" s="169"/>
      <c r="BJ71" s="175"/>
      <c r="BK71" s="693"/>
      <c r="BL71" s="169"/>
      <c r="BM71" s="175"/>
      <c r="BN71" s="175"/>
      <c r="BO71" s="175"/>
      <c r="BP71" s="693"/>
      <c r="BQ71" s="169"/>
      <c r="BR71" s="692"/>
      <c r="BS71" s="692"/>
      <c r="BT71" s="693"/>
      <c r="BU71" s="169"/>
      <c r="BV71" s="692"/>
      <c r="BW71" s="692"/>
      <c r="CB71" s="44" t="str">
        <f t="shared" ref="CB71:CB102" si="70">IF(B71&lt;&gt;"",B71,CB70)</f>
        <v>Seg. 4.4 - Cerca Definitiva</v>
      </c>
    </row>
    <row r="72" spans="1:80" s="16" customFormat="1" ht="3.75" customHeight="1">
      <c r="A72" s="157"/>
      <c r="B72" s="171"/>
      <c r="C72" s="172"/>
      <c r="D72" s="691"/>
      <c r="E72" s="169"/>
      <c r="F72" s="173"/>
      <c r="G72" s="692"/>
      <c r="H72" s="693"/>
      <c r="I72" s="170"/>
      <c r="J72" s="174"/>
      <c r="K72" s="175"/>
      <c r="L72" s="693"/>
      <c r="M72" s="169"/>
      <c r="N72" s="175"/>
      <c r="O72" s="175"/>
      <c r="P72" s="175"/>
      <c r="Q72" s="175"/>
      <c r="R72" s="175"/>
      <c r="S72" s="175"/>
      <c r="T72" s="175"/>
      <c r="U72" s="169"/>
      <c r="V72" s="175"/>
      <c r="W72" s="175"/>
      <c r="X72" s="175"/>
      <c r="Y72" s="175"/>
      <c r="Z72" s="175"/>
      <c r="AA72" s="175"/>
      <c r="AB72" s="175"/>
      <c r="AC72" s="169"/>
      <c r="AD72" s="175"/>
      <c r="AE72" s="175"/>
      <c r="AF72" s="175"/>
      <c r="AG72" s="175"/>
      <c r="AH72" s="175"/>
      <c r="AI72" s="175"/>
      <c r="AJ72" s="175"/>
      <c r="AK72" s="169"/>
      <c r="AL72" s="175"/>
      <c r="AM72" s="175"/>
      <c r="AN72" s="175"/>
      <c r="AO72" s="175"/>
      <c r="AP72" s="175"/>
      <c r="AQ72" s="175"/>
      <c r="AR72" s="175"/>
      <c r="AS72" s="169"/>
      <c r="AT72" s="175"/>
      <c r="AU72" s="175"/>
      <c r="AV72" s="175"/>
      <c r="AW72" s="175"/>
      <c r="AX72" s="175"/>
      <c r="AY72" s="175"/>
      <c r="AZ72" s="175"/>
      <c r="BA72" s="169"/>
      <c r="BB72" s="175"/>
      <c r="BC72" s="175"/>
      <c r="BD72" s="175"/>
      <c r="BE72" s="175"/>
      <c r="BF72" s="175"/>
      <c r="BG72" s="175"/>
      <c r="BH72" s="175"/>
      <c r="BI72" s="169"/>
      <c r="BJ72" s="175"/>
      <c r="BK72" s="693"/>
      <c r="BL72" s="169"/>
      <c r="BM72" s="175"/>
      <c r="BN72" s="175"/>
      <c r="BO72" s="175"/>
      <c r="BP72" s="693"/>
      <c r="BQ72" s="169"/>
      <c r="BR72" s="692"/>
      <c r="BS72" s="692"/>
      <c r="BT72" s="693"/>
      <c r="BU72" s="169"/>
      <c r="BV72" s="692"/>
      <c r="BW72" s="692"/>
      <c r="CB72" s="44" t="str">
        <f t="shared" si="70"/>
        <v>Seg. 4.4 - Cerca Definitiva</v>
      </c>
    </row>
    <row r="73" spans="1:80" s="16" customFormat="1" ht="15.75">
      <c r="A73" s="157"/>
      <c r="B73" s="171"/>
      <c r="C73" s="172"/>
      <c r="D73" s="691"/>
      <c r="E73" s="169"/>
      <c r="F73" s="173"/>
      <c r="G73" s="692"/>
      <c r="H73" s="693"/>
      <c r="I73" s="170"/>
      <c r="J73" s="174"/>
      <c r="K73" s="175"/>
      <c r="L73" s="693"/>
      <c r="M73" s="169"/>
      <c r="N73" s="175"/>
      <c r="O73" s="175"/>
      <c r="P73" s="175"/>
      <c r="Q73" s="175"/>
      <c r="R73" s="175"/>
      <c r="S73" s="175"/>
      <c r="T73" s="175"/>
      <c r="U73" s="169"/>
      <c r="V73" s="175"/>
      <c r="W73" s="175"/>
      <c r="X73" s="175"/>
      <c r="Y73" s="175"/>
      <c r="Z73" s="175"/>
      <c r="AA73" s="175"/>
      <c r="AB73" s="175"/>
      <c r="AC73" s="169"/>
      <c r="AD73" s="175"/>
      <c r="AE73" s="175"/>
      <c r="AF73" s="175"/>
      <c r="AG73" s="175"/>
      <c r="AH73" s="175"/>
      <c r="AI73" s="175"/>
      <c r="AJ73" s="175"/>
      <c r="AK73" s="169"/>
      <c r="AL73" s="175"/>
      <c r="AM73" s="175"/>
      <c r="AN73" s="175"/>
      <c r="AO73" s="175"/>
      <c r="AP73" s="175"/>
      <c r="AQ73" s="175"/>
      <c r="AR73" s="175"/>
      <c r="AS73" s="169"/>
      <c r="AT73" s="175"/>
      <c r="AU73" s="175"/>
      <c r="AV73" s="175"/>
      <c r="AW73" s="175"/>
      <c r="AX73" s="175"/>
      <c r="AY73" s="175"/>
      <c r="AZ73" s="175"/>
      <c r="BA73" s="169"/>
      <c r="BB73" s="175"/>
      <c r="BC73" s="175"/>
      <c r="BD73" s="175"/>
      <c r="BE73" s="175"/>
      <c r="BF73" s="175"/>
      <c r="BG73" s="175"/>
      <c r="BH73" s="175"/>
      <c r="BI73" s="169"/>
      <c r="BJ73" s="175"/>
      <c r="BK73" s="693"/>
      <c r="BL73" s="169"/>
      <c r="BM73" s="175"/>
      <c r="BN73" s="175"/>
      <c r="BO73" s="175"/>
      <c r="BP73" s="693"/>
      <c r="BQ73" s="169"/>
      <c r="BR73" s="692"/>
      <c r="BS73" s="692"/>
      <c r="BT73" s="693"/>
      <c r="BU73" s="169"/>
      <c r="BV73" s="692"/>
      <c r="BW73" s="692"/>
      <c r="CB73" s="44" t="str">
        <f t="shared" si="70"/>
        <v>Seg. 4.4 - Cerca Definitiva</v>
      </c>
    </row>
    <row r="74" spans="1:80" s="16" customFormat="1" ht="15.75">
      <c r="A74" s="733"/>
      <c r="B74" s="1280" t="s">
        <v>55</v>
      </c>
      <c r="C74" s="1281" t="s">
        <v>52</v>
      </c>
      <c r="D74" s="1206">
        <f>IFERROR((BS74-BR74),"-")</f>
        <v>-2922.9699666668384</v>
      </c>
      <c r="E74" s="186"/>
      <c r="F74" s="469" t="s">
        <v>37</v>
      </c>
      <c r="G74" s="470">
        <f ca="1">SUMIFS($N74:$BH74,$N$1:$BH$1,$H$4)</f>
        <v>3267.9559999999992</v>
      </c>
      <c r="H74" s="1282">
        <f ca="1">IFERROR((G75/G74),"-")</f>
        <v>1.157604325150033</v>
      </c>
      <c r="I74" s="187"/>
      <c r="J74" s="471" t="s">
        <v>37</v>
      </c>
      <c r="K74" s="472" cm="1">
        <f t="array" aca="1" ref="K74" ca="1">_xlfn.XLOOKUP($L$7,$N$7:$BH$7,$N74:BH74)</f>
        <v>452.67259999999999</v>
      </c>
      <c r="L74" s="1282">
        <f ca="1">IFERROR((K75/K74),"-")</f>
        <v>1.6457810788636202</v>
      </c>
      <c r="M74" s="186"/>
      <c r="N74" s="473">
        <f>SUM(N78+N80+N82+N84+N86)</f>
        <v>400</v>
      </c>
      <c r="O74" s="473">
        <f t="shared" ref="O74:T75" si="71">SUM(O78+O80+O82+O84+O86)</f>
        <v>400</v>
      </c>
      <c r="P74" s="473">
        <f t="shared" si="71"/>
        <v>400</v>
      </c>
      <c r="Q74" s="473">
        <f t="shared" si="71"/>
        <v>400</v>
      </c>
      <c r="R74" s="473">
        <f t="shared" si="71"/>
        <v>400</v>
      </c>
      <c r="S74" s="473">
        <f t="shared" si="71"/>
        <v>400</v>
      </c>
      <c r="T74" s="473">
        <f t="shared" si="71"/>
        <v>0</v>
      </c>
      <c r="U74" s="186"/>
      <c r="V74" s="473">
        <f>SUM(V78+V80+V82+V84+V86)</f>
        <v>395.59666666666664</v>
      </c>
      <c r="W74" s="473">
        <f t="shared" ref="W74:AB75" si="72">SUM(W78+W80+W82+W84+W86)</f>
        <v>395.59666666666664</v>
      </c>
      <c r="X74" s="473">
        <f t="shared" si="72"/>
        <v>504.99666666666667</v>
      </c>
      <c r="Y74" s="473">
        <f t="shared" si="72"/>
        <v>504.99666666666667</v>
      </c>
      <c r="Z74" s="473">
        <f t="shared" si="72"/>
        <v>504.99666666666667</v>
      </c>
      <c r="AA74" s="473">
        <f t="shared" si="72"/>
        <v>479.79566666666665</v>
      </c>
      <c r="AB74" s="473">
        <f t="shared" si="72"/>
        <v>0</v>
      </c>
      <c r="AC74" s="186"/>
      <c r="AD74" s="473">
        <f>SUM(AD78+AD80+AD82+AD84+AD86)</f>
        <v>544.65933333333328</v>
      </c>
      <c r="AE74" s="473">
        <f t="shared" ref="AE74:AJ75" si="73">SUM(AE78+AE80+AE82+AE84+AE86)</f>
        <v>544.65933333333328</v>
      </c>
      <c r="AF74" s="473">
        <f t="shared" si="73"/>
        <v>544.65933333333328</v>
      </c>
      <c r="AG74" s="473">
        <f t="shared" si="73"/>
        <v>544.65933333333328</v>
      </c>
      <c r="AH74" s="473">
        <f t="shared" si="73"/>
        <v>544.65933333333328</v>
      </c>
      <c r="AI74" s="473">
        <f t="shared" si="73"/>
        <v>544.65933333333328</v>
      </c>
      <c r="AJ74" s="473">
        <f t="shared" si="73"/>
        <v>0</v>
      </c>
      <c r="AK74" s="186"/>
      <c r="AL74" s="473">
        <f>SUM(AL78+AL80+AL82+AL84+AL86)</f>
        <v>452.67259999999999</v>
      </c>
      <c r="AM74" s="473">
        <f t="shared" ref="AM74:AR75" si="74">SUM(AM78+AM80+AM82+AM84+AM86)</f>
        <v>452.67259999999999</v>
      </c>
      <c r="AN74" s="473">
        <f t="shared" si="74"/>
        <v>452.67259999999999</v>
      </c>
      <c r="AO74" s="473">
        <f t="shared" si="74"/>
        <v>452.67259999999999</v>
      </c>
      <c r="AP74" s="473">
        <f t="shared" si="74"/>
        <v>452.67259999999999</v>
      </c>
      <c r="AQ74" s="473">
        <f t="shared" si="74"/>
        <v>452.67259999999999</v>
      </c>
      <c r="AR74" s="473">
        <f t="shared" si="74"/>
        <v>0</v>
      </c>
      <c r="AS74" s="187"/>
      <c r="AT74" s="473">
        <f>SUM(AT78+AT80+AT82+AT84+AT86)</f>
        <v>460.95915000000002</v>
      </c>
      <c r="AU74" s="473">
        <f t="shared" ref="AU74:AZ75" si="75">SUM(AU78+AU80+AU82+AU84+AU86)</f>
        <v>460.95915000000002</v>
      </c>
      <c r="AV74" s="473">
        <f t="shared" si="75"/>
        <v>460.95915000000002</v>
      </c>
      <c r="AW74" s="473">
        <f t="shared" si="75"/>
        <v>460.95915000000002</v>
      </c>
      <c r="AX74" s="473">
        <f t="shared" si="75"/>
        <v>460.95915000000002</v>
      </c>
      <c r="AY74" s="473">
        <f t="shared" si="75"/>
        <v>460.95915000000002</v>
      </c>
      <c r="AZ74" s="473">
        <f t="shared" si="75"/>
        <v>0</v>
      </c>
      <c r="BA74" s="186"/>
      <c r="BB74" s="473">
        <f>SUM(BB78+BB80+BB82+BB84+BB86)</f>
        <v>496.55924999999991</v>
      </c>
      <c r="BC74" s="473">
        <f t="shared" ref="BC74:BH75" si="76">SUM(BC78+BC80+BC82+BC84+BC86)</f>
        <v>496.55924999999991</v>
      </c>
      <c r="BD74" s="473">
        <f t="shared" si="76"/>
        <v>496.55924999999991</v>
      </c>
      <c r="BE74" s="473">
        <f t="shared" si="76"/>
        <v>496.55924999999991</v>
      </c>
      <c r="BF74" s="473">
        <f t="shared" si="76"/>
        <v>496.55924999999991</v>
      </c>
      <c r="BG74" s="473">
        <f t="shared" si="76"/>
        <v>496.55924999999991</v>
      </c>
      <c r="BH74" s="473">
        <f t="shared" si="76"/>
        <v>0</v>
      </c>
      <c r="BI74" s="187"/>
      <c r="BJ74" s="180">
        <f ca="1">SUMIFS(N74:BI74,$N$7:$BI$7,"&gt;="&amp;($L$7-WEEKDAY($L$7,2)+1),$N$7:$BI$7,"&lt;="&amp;$L$7)</f>
        <v>905.34519999999998</v>
      </c>
      <c r="BK74" s="1272">
        <f ca="1">IFERROR((BJ75/BJ74),"-")</f>
        <v>1.4955621347525785</v>
      </c>
      <c r="BL74" s="187"/>
      <c r="BM74" s="1274">
        <f>SUM(BM78:BM87)</f>
        <v>13521.962499999998</v>
      </c>
      <c r="BN74" s="1274">
        <f>SUM(BN78:BN87)</f>
        <v>6959.2802000000011</v>
      </c>
      <c r="BO74" s="1276">
        <f>SUM(BO78:BO87)</f>
        <v>7173</v>
      </c>
      <c r="BP74" s="1277">
        <f>IFERROR((BO74/BN74),"-")</f>
        <v>1.0307100438347057</v>
      </c>
      <c r="BQ74" s="186"/>
      <c r="BR74" s="1276">
        <f>SUM(BR78:BR87)</f>
        <v>63438.553166666672</v>
      </c>
      <c r="BS74" s="1276">
        <f>SUM(BS78:BS87)</f>
        <v>60515.583199999834</v>
      </c>
      <c r="BT74" s="1277">
        <f>IFERROR((BS74/BR74),"-")</f>
        <v>0.95392439107197846</v>
      </c>
      <c r="BU74" s="186"/>
      <c r="BV74" s="1276">
        <f>SUM(BV78:BV87)</f>
        <v>98366.94</v>
      </c>
      <c r="BW74" s="1276">
        <f>SUM(BW78:BW87)</f>
        <v>38993.660000000003</v>
      </c>
      <c r="CB74" s="44" t="str">
        <f t="shared" si="70"/>
        <v>Drenagem superficial</v>
      </c>
    </row>
    <row r="75" spans="1:80" s="16" customFormat="1" ht="17.649999999999999" customHeight="1">
      <c r="A75" s="157"/>
      <c r="B75" s="1280"/>
      <c r="C75" s="1281"/>
      <c r="D75" s="1207"/>
      <c r="E75" s="186"/>
      <c r="F75" s="474" t="s">
        <v>38</v>
      </c>
      <c r="G75" s="470">
        <f ca="1">SUMIFS($N75:$BH75,$N$1:$BH$1,$H$4)</f>
        <v>3783</v>
      </c>
      <c r="H75" s="1283"/>
      <c r="I75" s="187"/>
      <c r="J75" s="475" t="s">
        <v>38</v>
      </c>
      <c r="K75" s="472" cm="1">
        <f t="array" aca="1" ref="K75" ca="1">_xlfn.XLOOKUP($L$7,$N$7:$BH$7,$N75:BH75)</f>
        <v>745</v>
      </c>
      <c r="L75" s="1283"/>
      <c r="M75" s="186"/>
      <c r="N75" s="473">
        <f>SUM(N79+N81+N83+N85+N87)</f>
        <v>490</v>
      </c>
      <c r="O75" s="473">
        <f t="shared" si="71"/>
        <v>380</v>
      </c>
      <c r="P75" s="473">
        <f t="shared" si="71"/>
        <v>611</v>
      </c>
      <c r="Q75" s="473">
        <f t="shared" si="71"/>
        <v>355</v>
      </c>
      <c r="R75" s="473">
        <f t="shared" si="71"/>
        <v>406</v>
      </c>
      <c r="S75" s="473">
        <f t="shared" si="71"/>
        <v>139</v>
      </c>
      <c r="T75" s="473">
        <f t="shared" si="71"/>
        <v>0</v>
      </c>
      <c r="U75" s="186"/>
      <c r="V75" s="473">
        <f>SUM(V79+V81+V83+V85+V87)</f>
        <v>155</v>
      </c>
      <c r="W75" s="473">
        <f t="shared" si="72"/>
        <v>368</v>
      </c>
      <c r="X75" s="473">
        <f t="shared" si="72"/>
        <v>450</v>
      </c>
      <c r="Y75" s="473">
        <f t="shared" si="72"/>
        <v>398</v>
      </c>
      <c r="Z75" s="473">
        <f t="shared" si="72"/>
        <v>413</v>
      </c>
      <c r="AA75" s="473">
        <f t="shared" si="72"/>
        <v>252</v>
      </c>
      <c r="AB75" s="473">
        <f t="shared" si="72"/>
        <v>0</v>
      </c>
      <c r="AC75" s="186"/>
      <c r="AD75" s="473">
        <f>SUM(AD79+AD81+AD83+AD85+AD87)</f>
        <v>681</v>
      </c>
      <c r="AE75" s="473">
        <f t="shared" si="73"/>
        <v>531</v>
      </c>
      <c r="AF75" s="473">
        <f t="shared" si="73"/>
        <v>774</v>
      </c>
      <c r="AG75" s="473">
        <f t="shared" si="73"/>
        <v>836</v>
      </c>
      <c r="AH75" s="473">
        <f t="shared" si="73"/>
        <v>471</v>
      </c>
      <c r="AI75" s="473">
        <f t="shared" si="73"/>
        <v>490</v>
      </c>
      <c r="AJ75" s="473">
        <f t="shared" si="73"/>
        <v>0</v>
      </c>
      <c r="AK75" s="186"/>
      <c r="AL75" s="473">
        <f>SUM(AL79+AL81+AL83+AL85+AL87)</f>
        <v>609</v>
      </c>
      <c r="AM75" s="473">
        <f t="shared" si="74"/>
        <v>745</v>
      </c>
      <c r="AN75" s="473">
        <f t="shared" si="74"/>
        <v>0</v>
      </c>
      <c r="AO75" s="473">
        <f t="shared" si="74"/>
        <v>0</v>
      </c>
      <c r="AP75" s="473">
        <f t="shared" si="74"/>
        <v>0</v>
      </c>
      <c r="AQ75" s="473">
        <f t="shared" si="74"/>
        <v>0</v>
      </c>
      <c r="AR75" s="473">
        <f t="shared" si="74"/>
        <v>0</v>
      </c>
      <c r="AS75" s="187"/>
      <c r="AT75" s="473">
        <f>SUM(AT79+AT81+AT83+AT85+AT87)</f>
        <v>0</v>
      </c>
      <c r="AU75" s="473">
        <f t="shared" si="75"/>
        <v>0</v>
      </c>
      <c r="AV75" s="473">
        <f t="shared" si="75"/>
        <v>0</v>
      </c>
      <c r="AW75" s="473">
        <f t="shared" si="75"/>
        <v>0</v>
      </c>
      <c r="AX75" s="473">
        <f t="shared" si="75"/>
        <v>0</v>
      </c>
      <c r="AY75" s="473">
        <f t="shared" si="75"/>
        <v>0</v>
      </c>
      <c r="AZ75" s="473">
        <f t="shared" si="75"/>
        <v>0</v>
      </c>
      <c r="BA75" s="186"/>
      <c r="BB75" s="473">
        <f>SUM(BB79+BB81+BB83+BB85+BB87)</f>
        <v>0</v>
      </c>
      <c r="BC75" s="473">
        <f t="shared" si="76"/>
        <v>0</v>
      </c>
      <c r="BD75" s="473">
        <f t="shared" si="76"/>
        <v>0</v>
      </c>
      <c r="BE75" s="473">
        <f t="shared" si="76"/>
        <v>0</v>
      </c>
      <c r="BF75" s="473">
        <f t="shared" si="76"/>
        <v>0</v>
      </c>
      <c r="BG75" s="473">
        <f t="shared" si="76"/>
        <v>0</v>
      </c>
      <c r="BH75" s="473">
        <f t="shared" si="76"/>
        <v>0</v>
      </c>
      <c r="BI75" s="187"/>
      <c r="BJ75" s="180">
        <f ca="1">SUMIFS(N75:BI75,$N$7:$BI$7,"&gt;="&amp;($L$7-WEEKDAY($L$7,2)+1),$N$7:$BI$7,"&lt;="&amp;$L$7)</f>
        <v>1354</v>
      </c>
      <c r="BK75" s="1273"/>
      <c r="BL75" s="187"/>
      <c r="BM75" s="1275"/>
      <c r="BN75" s="1275"/>
      <c r="BO75" s="1276"/>
      <c r="BP75" s="1277"/>
      <c r="BQ75" s="186"/>
      <c r="BR75" s="1276"/>
      <c r="BS75" s="1276"/>
      <c r="BT75" s="1277"/>
      <c r="BU75" s="186"/>
      <c r="BV75" s="1276"/>
      <c r="BW75" s="1276"/>
      <c r="CB75" s="44" t="str">
        <f t="shared" si="70"/>
        <v>Drenagem superficial</v>
      </c>
    </row>
    <row r="76" spans="1:80" s="16" customFormat="1" ht="2.1" customHeight="1">
      <c r="A76" s="157"/>
      <c r="B76" s="171"/>
      <c r="C76" s="172"/>
      <c r="D76" s="691"/>
      <c r="E76" s="169"/>
      <c r="F76" s="173"/>
      <c r="G76" s="692"/>
      <c r="H76" s="693"/>
      <c r="I76" s="170"/>
      <c r="J76" s="174"/>
      <c r="K76" s="175"/>
      <c r="L76" s="693"/>
      <c r="M76" s="169"/>
      <c r="N76" s="175"/>
      <c r="O76" s="175"/>
      <c r="P76" s="175"/>
      <c r="Q76" s="175"/>
      <c r="R76" s="175"/>
      <c r="S76" s="175"/>
      <c r="T76" s="175"/>
      <c r="U76" s="169"/>
      <c r="V76" s="175"/>
      <c r="W76" s="175"/>
      <c r="X76" s="175"/>
      <c r="Y76" s="175"/>
      <c r="Z76" s="175"/>
      <c r="AA76" s="175"/>
      <c r="AB76" s="175"/>
      <c r="AC76" s="169"/>
      <c r="AD76" s="175"/>
      <c r="AE76" s="175"/>
      <c r="AF76" s="175"/>
      <c r="AG76" s="175"/>
      <c r="AH76" s="175"/>
      <c r="AI76" s="175"/>
      <c r="AJ76" s="175"/>
      <c r="AK76" s="169"/>
      <c r="AL76" s="175"/>
      <c r="AM76" s="175"/>
      <c r="AN76" s="175"/>
      <c r="AO76" s="175"/>
      <c r="AP76" s="175"/>
      <c r="AQ76" s="175"/>
      <c r="AR76" s="175"/>
      <c r="AS76" s="169"/>
      <c r="AT76" s="175"/>
      <c r="AU76" s="175"/>
      <c r="AV76" s="175"/>
      <c r="AW76" s="175"/>
      <c r="AX76" s="175"/>
      <c r="AY76" s="175"/>
      <c r="AZ76" s="175"/>
      <c r="BA76" s="169"/>
      <c r="BB76" s="175"/>
      <c r="BC76" s="175"/>
      <c r="BD76" s="175"/>
      <c r="BE76" s="175"/>
      <c r="BF76" s="175"/>
      <c r="BG76" s="175"/>
      <c r="BH76" s="175"/>
      <c r="BI76" s="169"/>
      <c r="BJ76" s="175"/>
      <c r="BK76" s="693"/>
      <c r="BL76" s="169"/>
      <c r="BM76" s="175"/>
      <c r="BN76" s="175"/>
      <c r="BO76" s="175"/>
      <c r="BP76" s="693"/>
      <c r="BQ76" s="169"/>
      <c r="BR76" s="692"/>
      <c r="BS76" s="692"/>
      <c r="BT76" s="693"/>
      <c r="BU76" s="169"/>
      <c r="BV76" s="692"/>
      <c r="BW76" s="692"/>
      <c r="CB76" s="44" t="str">
        <f t="shared" si="70"/>
        <v>Drenagem superficial</v>
      </c>
    </row>
    <row r="77" spans="1:80" s="16" customFormat="1" ht="15.75" hidden="1" outlineLevel="1">
      <c r="A77" s="157"/>
      <c r="B77" s="171"/>
      <c r="C77" s="172"/>
      <c r="D77" s="691"/>
      <c r="E77" s="169"/>
      <c r="F77" s="173"/>
      <c r="G77" s="692"/>
      <c r="H77" s="693"/>
      <c r="I77" s="170"/>
      <c r="J77" s="174"/>
      <c r="K77" s="175"/>
      <c r="L77" s="693"/>
      <c r="M77" s="169"/>
      <c r="N77" s="175"/>
      <c r="O77" s="175"/>
      <c r="P77" s="175"/>
      <c r="Q77" s="175"/>
      <c r="R77" s="175"/>
      <c r="S77" s="175"/>
      <c r="T77" s="175"/>
      <c r="U77" s="169"/>
      <c r="V77" s="175"/>
      <c r="W77" s="175"/>
      <c r="X77" s="175"/>
      <c r="Y77" s="175"/>
      <c r="Z77" s="175"/>
      <c r="AA77" s="175"/>
      <c r="AB77" s="175"/>
      <c r="AC77" s="169"/>
      <c r="AD77" s="175"/>
      <c r="AE77" s="175"/>
      <c r="AF77" s="175"/>
      <c r="AG77" s="175"/>
      <c r="AH77" s="175"/>
      <c r="AI77" s="175"/>
      <c r="AJ77" s="175"/>
      <c r="AK77" s="169"/>
      <c r="AL77" s="175"/>
      <c r="AM77" s="175"/>
      <c r="AN77" s="175"/>
      <c r="AO77" s="175"/>
      <c r="AP77" s="175"/>
      <c r="AQ77" s="175"/>
      <c r="AR77" s="175"/>
      <c r="AS77" s="169"/>
      <c r="AT77" s="175"/>
      <c r="AU77" s="175"/>
      <c r="AV77" s="175"/>
      <c r="AW77" s="175"/>
      <c r="AX77" s="175"/>
      <c r="AY77" s="175"/>
      <c r="AZ77" s="175"/>
      <c r="BA77" s="169"/>
      <c r="BB77" s="175"/>
      <c r="BC77" s="175"/>
      <c r="BD77" s="175"/>
      <c r="BE77" s="175"/>
      <c r="BF77" s="175"/>
      <c r="BG77" s="175"/>
      <c r="BH77" s="175"/>
      <c r="BI77" s="169"/>
      <c r="BJ77" s="175"/>
      <c r="BK77" s="693"/>
      <c r="BL77" s="169"/>
      <c r="BM77" s="175"/>
      <c r="BN77" s="175"/>
      <c r="BO77" s="175"/>
      <c r="BP77" s="693"/>
      <c r="BQ77" s="169"/>
      <c r="BR77" s="692"/>
      <c r="BS77" s="692"/>
      <c r="BT77" s="693"/>
      <c r="BU77" s="169"/>
      <c r="BV77" s="692"/>
      <c r="BW77" s="692"/>
      <c r="CB77" s="44" t="str">
        <f t="shared" si="70"/>
        <v>Drenagem superficial</v>
      </c>
    </row>
    <row r="78" spans="1:80" s="16" customFormat="1" ht="15.75" hidden="1" outlineLevel="1">
      <c r="A78" s="734"/>
      <c r="B78" s="1166" t="s">
        <v>4205</v>
      </c>
      <c r="C78" s="723" t="s">
        <v>52</v>
      </c>
      <c r="D78" s="1167" t="str">
        <f>IFERROR((C78/B78),"-")</f>
        <v>-</v>
      </c>
      <c r="E78" s="186"/>
      <c r="F78" s="188" t="s">
        <v>37</v>
      </c>
      <c r="G78" s="721">
        <f ca="1">SUMIFS($N78:$BH78,$N$1:$BH$1,$H$4)</f>
        <v>1019.2399999999999</v>
      </c>
      <c r="H78" s="1169">
        <f ca="1">IFERROR((G79/G78),"-")</f>
        <v>0</v>
      </c>
      <c r="I78" s="187"/>
      <c r="J78" s="189" t="s">
        <v>37</v>
      </c>
      <c r="K78" s="721" cm="1">
        <f t="array" aca="1" ref="K78" ca="1">_xlfn.XLOOKUP($L$7,$N$7:$BH$7,$N78:BH78)</f>
        <v>116.11199999999999</v>
      </c>
      <c r="L78" s="1218">
        <f ca="1">IFERROR((K79/K78),"-")</f>
        <v>0</v>
      </c>
      <c r="M78" s="186"/>
      <c r="N78" s="722">
        <v>200</v>
      </c>
      <c r="O78" s="722">
        <v>200</v>
      </c>
      <c r="P78" s="722">
        <v>200</v>
      </c>
      <c r="Q78" s="722">
        <v>200</v>
      </c>
      <c r="R78" s="722">
        <v>200</v>
      </c>
      <c r="S78" s="722">
        <v>200</v>
      </c>
      <c r="T78" s="722"/>
      <c r="U78" s="186"/>
      <c r="V78" s="722">
        <v>204.70066666666665</v>
      </c>
      <c r="W78" s="722">
        <v>204.70066666666665</v>
      </c>
      <c r="X78" s="722">
        <v>204.70066666666665</v>
      </c>
      <c r="Y78" s="722">
        <v>204.70066666666665</v>
      </c>
      <c r="Z78" s="722">
        <v>204.70066666666665</v>
      </c>
      <c r="AA78" s="722">
        <v>179.49966666666663</v>
      </c>
      <c r="AB78" s="722"/>
      <c r="AC78" s="186"/>
      <c r="AD78" s="722">
        <v>169.87333333333331</v>
      </c>
      <c r="AE78" s="722">
        <v>169.87333333333331</v>
      </c>
      <c r="AF78" s="722">
        <v>169.87333333333331</v>
      </c>
      <c r="AG78" s="722">
        <v>169.87333333333331</v>
      </c>
      <c r="AH78" s="722">
        <v>169.87333333333331</v>
      </c>
      <c r="AI78" s="722">
        <v>169.87333333333331</v>
      </c>
      <c r="AJ78" s="722"/>
      <c r="AK78" s="186"/>
      <c r="AL78" s="722">
        <v>116.11199999999999</v>
      </c>
      <c r="AM78" s="722">
        <v>116.11199999999999</v>
      </c>
      <c r="AN78" s="722">
        <v>116.11199999999999</v>
      </c>
      <c r="AO78" s="722">
        <v>116.11199999999999</v>
      </c>
      <c r="AP78" s="722">
        <v>116.11199999999999</v>
      </c>
      <c r="AQ78" s="722">
        <v>116.11199999999999</v>
      </c>
      <c r="AR78" s="722"/>
      <c r="AS78" s="187"/>
      <c r="AT78" s="722">
        <v>120.28133333333334</v>
      </c>
      <c r="AU78" s="722">
        <v>120.28133333333334</v>
      </c>
      <c r="AV78" s="722">
        <v>120.28133333333334</v>
      </c>
      <c r="AW78" s="722">
        <v>120.28133333333334</v>
      </c>
      <c r="AX78" s="722">
        <v>120.28133333333334</v>
      </c>
      <c r="AY78" s="722">
        <v>120.28133333333334</v>
      </c>
      <c r="AZ78" s="722"/>
      <c r="BA78" s="186"/>
      <c r="BB78" s="722">
        <v>138.19333333333333</v>
      </c>
      <c r="BC78" s="722">
        <v>138.19333333333333</v>
      </c>
      <c r="BD78" s="722">
        <v>138.19333333333333</v>
      </c>
      <c r="BE78" s="722">
        <v>138.19333333333333</v>
      </c>
      <c r="BF78" s="722">
        <v>138.19333333333333</v>
      </c>
      <c r="BG78" s="722">
        <v>138.19333333333333</v>
      </c>
      <c r="BH78" s="722"/>
      <c r="BI78" s="187"/>
      <c r="BJ78" s="180">
        <f ca="1">SUMIFS(N78:BI78,$N$7:$BI$7,"&gt;="&amp;($L$7-WEEKDAY($L$7,2)+1),$N$7:$BI$7,"&lt;="&amp;$L$7)</f>
        <v>232.22399999999999</v>
      </c>
      <c r="BK78" s="1218">
        <f ca="1">IFERROR((BJ79/BJ78),"-")</f>
        <v>0</v>
      </c>
      <c r="BL78" s="187"/>
      <c r="BM78" s="1215">
        <v>4193.3763333333327</v>
      </c>
      <c r="BN78" s="1269">
        <v>2454.4669999999996</v>
      </c>
      <c r="BO78" s="1171">
        <v>183</v>
      </c>
      <c r="BP78" s="1218">
        <f>IFERROR((BO78/BN78),"-")</f>
        <v>7.4557938648187175E-2</v>
      </c>
      <c r="BQ78" s="186"/>
      <c r="BR78" s="1215">
        <v>20240.457000000002</v>
      </c>
      <c r="BS78" s="1215">
        <v>18249.799099999982</v>
      </c>
      <c r="BT78" s="1218">
        <f>IFERROR((BS78/BR78),"-")</f>
        <v>0.9016495576162129</v>
      </c>
      <c r="BU78" s="186"/>
      <c r="BV78" s="1269">
        <v>38440.76</v>
      </c>
      <c r="BW78" s="1269">
        <v>20141.759999999998</v>
      </c>
      <c r="CB78" s="44" t="str">
        <f t="shared" si="70"/>
        <v>Seg. 3.A2 - Drenagem superficial</v>
      </c>
    </row>
    <row r="79" spans="1:80" s="16" customFormat="1" ht="15.75" hidden="1" outlineLevel="1">
      <c r="A79" s="734"/>
      <c r="B79" s="1166"/>
      <c r="C79" s="723"/>
      <c r="D79" s="1168"/>
      <c r="E79" s="186"/>
      <c r="F79" s="178" t="s">
        <v>38</v>
      </c>
      <c r="G79" s="721">
        <f ca="1">SUMIFS($N79:$BH79,$N$1:$BH$1,$H$4)</f>
        <v>0</v>
      </c>
      <c r="H79" s="1170"/>
      <c r="I79" s="187"/>
      <c r="J79" s="179" t="s">
        <v>38</v>
      </c>
      <c r="K79" s="721" cm="1">
        <f t="array" aca="1" ref="K79" ca="1">_xlfn.XLOOKUP($L$7,$N$7:$BH$7,$N79:BH79)</f>
        <v>0</v>
      </c>
      <c r="L79" s="1218"/>
      <c r="M79" s="186"/>
      <c r="N79" s="722">
        <v>447</v>
      </c>
      <c r="O79" s="722">
        <v>343</v>
      </c>
      <c r="P79" s="722">
        <v>386</v>
      </c>
      <c r="Q79" s="722">
        <v>151</v>
      </c>
      <c r="R79" s="722">
        <v>231</v>
      </c>
      <c r="S79" s="722">
        <v>99</v>
      </c>
      <c r="T79" s="722"/>
      <c r="U79" s="186"/>
      <c r="V79" s="722">
        <v>0</v>
      </c>
      <c r="W79" s="722">
        <v>83</v>
      </c>
      <c r="X79" s="722">
        <v>40</v>
      </c>
      <c r="Y79" s="722">
        <v>20</v>
      </c>
      <c r="Z79" s="722">
        <v>40</v>
      </c>
      <c r="AA79" s="722">
        <v>0</v>
      </c>
      <c r="AB79" s="722"/>
      <c r="AC79" s="186"/>
      <c r="AD79" s="722">
        <v>0</v>
      </c>
      <c r="AE79" s="722">
        <v>0</v>
      </c>
      <c r="AF79" s="722">
        <v>0</v>
      </c>
      <c r="AG79" s="722">
        <v>0</v>
      </c>
      <c r="AH79" s="722">
        <v>0</v>
      </c>
      <c r="AI79" s="722">
        <v>0</v>
      </c>
      <c r="AJ79" s="722"/>
      <c r="AK79" s="186"/>
      <c r="AL79" s="722">
        <v>0</v>
      </c>
      <c r="AM79" s="722">
        <v>0</v>
      </c>
      <c r="AN79" s="722">
        <v>0</v>
      </c>
      <c r="AO79" s="722">
        <v>0</v>
      </c>
      <c r="AP79" s="722">
        <v>0</v>
      </c>
      <c r="AQ79" s="722">
        <v>0</v>
      </c>
      <c r="AR79" s="722"/>
      <c r="AS79" s="187"/>
      <c r="AT79" s="722">
        <v>0</v>
      </c>
      <c r="AU79" s="722">
        <v>0</v>
      </c>
      <c r="AV79" s="722">
        <v>0</v>
      </c>
      <c r="AW79" s="722">
        <v>0</v>
      </c>
      <c r="AX79" s="722">
        <v>0</v>
      </c>
      <c r="AY79" s="722">
        <v>0</v>
      </c>
      <c r="AZ79" s="722"/>
      <c r="BA79" s="186"/>
      <c r="BB79" s="722">
        <v>0</v>
      </c>
      <c r="BC79" s="722">
        <v>0</v>
      </c>
      <c r="BD79" s="722">
        <v>0</v>
      </c>
      <c r="BE79" s="722">
        <v>0</v>
      </c>
      <c r="BF79" s="722">
        <v>0</v>
      </c>
      <c r="BG79" s="722">
        <v>0</v>
      </c>
      <c r="BH79" s="722"/>
      <c r="BI79" s="187"/>
      <c r="BJ79" s="721">
        <f t="shared" ref="BJ79:BJ87" ca="1" si="77">SUMIFS(N79:BI79,$N$7:$BI$7,"&gt;="&amp;($L$7-WEEKDAY($L$7,2)+1),$N$7:$BI$7,"&lt;="&amp;$L$7)</f>
        <v>0</v>
      </c>
      <c r="BK79" s="1218"/>
      <c r="BL79" s="187"/>
      <c r="BM79" s="1216"/>
      <c r="BN79" s="1269"/>
      <c r="BO79" s="1171"/>
      <c r="BP79" s="1218"/>
      <c r="BQ79" s="186"/>
      <c r="BR79" s="1216"/>
      <c r="BS79" s="1216"/>
      <c r="BT79" s="1218"/>
      <c r="BU79" s="186"/>
      <c r="BV79" s="1269"/>
      <c r="BW79" s="1269"/>
      <c r="CB79" s="44" t="str">
        <f t="shared" si="70"/>
        <v>Seg. 3.A2 - Drenagem superficial</v>
      </c>
    </row>
    <row r="80" spans="1:80" s="16" customFormat="1" ht="15.75" hidden="1" outlineLevel="1">
      <c r="A80" s="734"/>
      <c r="B80" s="1166" t="s">
        <v>4206</v>
      </c>
      <c r="C80" s="723" t="s">
        <v>52</v>
      </c>
      <c r="D80" s="1167" t="str">
        <f>IFERROR((C80/B80),"-")</f>
        <v>-</v>
      </c>
      <c r="E80" s="186"/>
      <c r="F80" s="188" t="s">
        <v>37</v>
      </c>
      <c r="G80" s="721">
        <f t="shared" ref="G80:G87" ca="1" si="78">SUMIFS($N80:$BH80,$N$1:$BH$1,$H$4)</f>
        <v>203.84800000000001</v>
      </c>
      <c r="H80" s="1169">
        <f ca="1">IFERROR((G81/G80),"-")</f>
        <v>0</v>
      </c>
      <c r="I80" s="187"/>
      <c r="J80" s="189" t="s">
        <v>37</v>
      </c>
      <c r="K80" s="721" cm="1">
        <f t="array" aca="1" ref="K80" ca="1">_xlfn.XLOOKUP($L$7,$N$7:$BH$7,$N80:BH80)</f>
        <v>78.375599999999977</v>
      </c>
      <c r="L80" s="1218">
        <f ca="1">IFERROR((K81/K80),"-")</f>
        <v>0</v>
      </c>
      <c r="M80" s="186"/>
      <c r="N80" s="722"/>
      <c r="O80" s="722"/>
      <c r="P80" s="722"/>
      <c r="Q80" s="722"/>
      <c r="R80" s="722"/>
      <c r="S80" s="722"/>
      <c r="T80" s="722"/>
      <c r="U80" s="186"/>
      <c r="V80" s="722">
        <v>0</v>
      </c>
      <c r="W80" s="722">
        <v>0</v>
      </c>
      <c r="X80" s="722">
        <v>0</v>
      </c>
      <c r="Y80" s="722">
        <v>0</v>
      </c>
      <c r="Z80" s="722">
        <v>0</v>
      </c>
      <c r="AA80" s="722">
        <v>0</v>
      </c>
      <c r="AB80" s="722"/>
      <c r="AC80" s="186"/>
      <c r="AD80" s="722">
        <v>33.974666666666664</v>
      </c>
      <c r="AE80" s="722">
        <v>33.974666666666664</v>
      </c>
      <c r="AF80" s="722">
        <v>33.974666666666664</v>
      </c>
      <c r="AG80" s="722">
        <v>33.974666666666664</v>
      </c>
      <c r="AH80" s="722">
        <v>33.974666666666664</v>
      </c>
      <c r="AI80" s="722">
        <v>33.974666666666664</v>
      </c>
      <c r="AJ80" s="722"/>
      <c r="AK80" s="186"/>
      <c r="AL80" s="722">
        <v>78.375599999999977</v>
      </c>
      <c r="AM80" s="722">
        <v>78.375599999999977</v>
      </c>
      <c r="AN80" s="722">
        <v>78.375599999999977</v>
      </c>
      <c r="AO80" s="722">
        <v>78.375599999999977</v>
      </c>
      <c r="AP80" s="722">
        <v>78.375599999999977</v>
      </c>
      <c r="AQ80" s="722">
        <v>78.375599999999977</v>
      </c>
      <c r="AR80" s="722"/>
      <c r="AS80" s="187"/>
      <c r="AT80" s="722">
        <v>81.18989999999998</v>
      </c>
      <c r="AU80" s="722">
        <v>81.18989999999998</v>
      </c>
      <c r="AV80" s="722">
        <v>81.18989999999998</v>
      </c>
      <c r="AW80" s="722">
        <v>81.18989999999998</v>
      </c>
      <c r="AX80" s="722">
        <v>81.18989999999998</v>
      </c>
      <c r="AY80" s="722">
        <v>81.18989999999998</v>
      </c>
      <c r="AZ80" s="722"/>
      <c r="BA80" s="186"/>
      <c r="BB80" s="722">
        <v>93.280499999999975</v>
      </c>
      <c r="BC80" s="722">
        <v>93.280499999999975</v>
      </c>
      <c r="BD80" s="722">
        <v>93.280499999999975</v>
      </c>
      <c r="BE80" s="722">
        <v>93.280499999999975</v>
      </c>
      <c r="BF80" s="722">
        <v>93.280499999999975</v>
      </c>
      <c r="BG80" s="722">
        <v>93.280499999999975</v>
      </c>
      <c r="BH80" s="722"/>
      <c r="BI80" s="187"/>
      <c r="BJ80" s="721">
        <f t="shared" ca="1" si="77"/>
        <v>156.75119999999995</v>
      </c>
      <c r="BK80" s="1218">
        <f ca="1">IFERROR((BJ81/BJ80),"-")</f>
        <v>0</v>
      </c>
      <c r="BL80" s="187"/>
      <c r="BM80" s="1215">
        <v>1534.3630000000001</v>
      </c>
      <c r="BN80" s="1269">
        <v>360.59919999999994</v>
      </c>
      <c r="BO80" s="1171">
        <v>0</v>
      </c>
      <c r="BP80" s="1218">
        <f>IFERROR((BO80/BN80),"-")</f>
        <v>0</v>
      </c>
      <c r="BQ80" s="186"/>
      <c r="BR80" s="1215">
        <v>32740.273000000001</v>
      </c>
      <c r="BS80" s="1215">
        <v>32199.179099999867</v>
      </c>
      <c r="BT80" s="1218">
        <f>IFERROR((BS80/BR80),"-")</f>
        <v>0.98347314025145316</v>
      </c>
      <c r="BU80" s="186"/>
      <c r="BV80" s="1269">
        <v>39328.67</v>
      </c>
      <c r="BW80" s="1269">
        <v>8122.99</v>
      </c>
      <c r="CB80" s="44" t="str">
        <f t="shared" si="70"/>
        <v>Seg. 4.1  - Drenagem superficial</v>
      </c>
    </row>
    <row r="81" spans="1:80" s="93" customFormat="1" ht="15.75" hidden="1" outlineLevel="1">
      <c r="A81" s="734"/>
      <c r="B81" s="1166"/>
      <c r="C81" s="723"/>
      <c r="D81" s="1168"/>
      <c r="E81" s="186"/>
      <c r="F81" s="178" t="s">
        <v>38</v>
      </c>
      <c r="G81" s="721">
        <f t="shared" ca="1" si="78"/>
        <v>0</v>
      </c>
      <c r="H81" s="1170"/>
      <c r="I81" s="187"/>
      <c r="J81" s="179" t="s">
        <v>38</v>
      </c>
      <c r="K81" s="721" cm="1">
        <f t="array" aca="1" ref="K81" ca="1">_xlfn.XLOOKUP($L$7,$N$7:$BH$7,$N81:BH81)</f>
        <v>0</v>
      </c>
      <c r="L81" s="1218"/>
      <c r="M81" s="186"/>
      <c r="N81" s="722">
        <v>0</v>
      </c>
      <c r="O81" s="722">
        <v>0</v>
      </c>
      <c r="P81" s="722">
        <v>0</v>
      </c>
      <c r="Q81" s="722">
        <v>0</v>
      </c>
      <c r="R81" s="722">
        <v>0</v>
      </c>
      <c r="S81" s="722">
        <v>0</v>
      </c>
      <c r="T81" s="722">
        <v>0</v>
      </c>
      <c r="U81" s="186"/>
      <c r="V81" s="722">
        <v>0</v>
      </c>
      <c r="W81" s="722">
        <v>0</v>
      </c>
      <c r="X81" s="722">
        <v>0</v>
      </c>
      <c r="Y81" s="722">
        <v>0</v>
      </c>
      <c r="Z81" s="722">
        <v>0</v>
      </c>
      <c r="AA81" s="722">
        <v>0</v>
      </c>
      <c r="AB81" s="722">
        <v>0</v>
      </c>
      <c r="AC81" s="186"/>
      <c r="AD81" s="722">
        <v>0</v>
      </c>
      <c r="AE81" s="722">
        <v>0</v>
      </c>
      <c r="AF81" s="722">
        <v>0</v>
      </c>
      <c r="AG81" s="722">
        <v>0</v>
      </c>
      <c r="AH81" s="722">
        <v>0</v>
      </c>
      <c r="AI81" s="722">
        <v>0</v>
      </c>
      <c r="AJ81" s="722">
        <v>0</v>
      </c>
      <c r="AK81" s="186"/>
      <c r="AL81" s="722">
        <v>0</v>
      </c>
      <c r="AM81" s="722">
        <v>0</v>
      </c>
      <c r="AN81" s="722">
        <v>0</v>
      </c>
      <c r="AO81" s="722">
        <v>0</v>
      </c>
      <c r="AP81" s="722">
        <v>0</v>
      </c>
      <c r="AQ81" s="722">
        <v>0</v>
      </c>
      <c r="AR81" s="722">
        <v>0</v>
      </c>
      <c r="AS81" s="187"/>
      <c r="AT81" s="722">
        <v>0</v>
      </c>
      <c r="AU81" s="722">
        <v>0</v>
      </c>
      <c r="AV81" s="722">
        <v>0</v>
      </c>
      <c r="AW81" s="722">
        <v>0</v>
      </c>
      <c r="AX81" s="722">
        <v>0</v>
      </c>
      <c r="AY81" s="722">
        <v>0</v>
      </c>
      <c r="AZ81" s="722">
        <v>0</v>
      </c>
      <c r="BA81" s="186"/>
      <c r="BB81" s="722">
        <v>0</v>
      </c>
      <c r="BC81" s="722">
        <v>0</v>
      </c>
      <c r="BD81" s="722">
        <v>0</v>
      </c>
      <c r="BE81" s="722">
        <v>0</v>
      </c>
      <c r="BF81" s="722">
        <v>0</v>
      </c>
      <c r="BG81" s="722">
        <v>0</v>
      </c>
      <c r="BH81" s="722">
        <v>0</v>
      </c>
      <c r="BI81" s="187"/>
      <c r="BJ81" s="721">
        <f t="shared" ca="1" si="77"/>
        <v>0</v>
      </c>
      <c r="BK81" s="1218"/>
      <c r="BL81" s="187"/>
      <c r="BM81" s="1216"/>
      <c r="BN81" s="1269"/>
      <c r="BO81" s="1171"/>
      <c r="BP81" s="1218"/>
      <c r="BQ81" s="186"/>
      <c r="BR81" s="1216"/>
      <c r="BS81" s="1216"/>
      <c r="BT81" s="1218"/>
      <c r="BU81" s="186"/>
      <c r="BV81" s="1269"/>
      <c r="BW81" s="1269"/>
      <c r="CB81" s="44" t="str">
        <f t="shared" si="70"/>
        <v>Seg. 4.1  - Drenagem superficial</v>
      </c>
    </row>
    <row r="82" spans="1:80" s="98" customFormat="1" ht="15.75" hidden="1" outlineLevel="1">
      <c r="A82" s="734"/>
      <c r="B82" s="1166" t="s">
        <v>4207</v>
      </c>
      <c r="C82" s="723" t="s">
        <v>52</v>
      </c>
      <c r="D82" s="1167" t="str">
        <f>IFERROR((C82/B82),"-")</f>
        <v>-</v>
      </c>
      <c r="E82" s="186"/>
      <c r="F82" s="188" t="s">
        <v>37</v>
      </c>
      <c r="G82" s="721">
        <f t="shared" ca="1" si="78"/>
        <v>713.46799999999985</v>
      </c>
      <c r="H82" s="1169">
        <f ca="1">IFERROR((G83/G82),"-")</f>
        <v>0.81293064300010665</v>
      </c>
      <c r="I82" s="187"/>
      <c r="J82" s="189" t="s">
        <v>37</v>
      </c>
      <c r="K82" s="721" cm="1">
        <f t="array" aca="1" ref="K82" ca="1">_xlfn.XLOOKUP($L$7,$N$7:$BH$7,$N82:BH82)</f>
        <v>36.284999999999997</v>
      </c>
      <c r="L82" s="1218">
        <f ca="1">IFERROR((K83/K82),"-")</f>
        <v>0.68898994074686515</v>
      </c>
      <c r="M82" s="186"/>
      <c r="N82" s="722">
        <v>120</v>
      </c>
      <c r="O82" s="722">
        <v>120</v>
      </c>
      <c r="P82" s="722">
        <v>120</v>
      </c>
      <c r="Q82" s="722">
        <v>120</v>
      </c>
      <c r="R82" s="722">
        <v>120</v>
      </c>
      <c r="S82" s="722">
        <v>120</v>
      </c>
      <c r="T82" s="722"/>
      <c r="U82" s="186"/>
      <c r="V82" s="722">
        <v>78.395999999999987</v>
      </c>
      <c r="W82" s="722">
        <v>78.395999999999987</v>
      </c>
      <c r="X82" s="722">
        <v>78.395999999999987</v>
      </c>
      <c r="Y82" s="722">
        <v>78.395999999999987</v>
      </c>
      <c r="Z82" s="722">
        <v>78.395999999999987</v>
      </c>
      <c r="AA82" s="722">
        <v>78.395999999999987</v>
      </c>
      <c r="AB82" s="722"/>
      <c r="AC82" s="186"/>
      <c r="AD82" s="722">
        <v>118.9113333333333</v>
      </c>
      <c r="AE82" s="722">
        <v>118.9113333333333</v>
      </c>
      <c r="AF82" s="722">
        <v>118.9113333333333</v>
      </c>
      <c r="AG82" s="722">
        <v>118.9113333333333</v>
      </c>
      <c r="AH82" s="722">
        <v>118.9113333333333</v>
      </c>
      <c r="AI82" s="722">
        <v>118.9113333333333</v>
      </c>
      <c r="AJ82" s="722"/>
      <c r="AK82" s="186"/>
      <c r="AL82" s="722">
        <v>36.284999999999997</v>
      </c>
      <c r="AM82" s="722">
        <v>36.284999999999997</v>
      </c>
      <c r="AN82" s="722">
        <v>36.284999999999997</v>
      </c>
      <c r="AO82" s="722">
        <v>36.284999999999997</v>
      </c>
      <c r="AP82" s="722">
        <v>36.284999999999997</v>
      </c>
      <c r="AQ82" s="722">
        <v>36.284999999999997</v>
      </c>
      <c r="AR82" s="722"/>
      <c r="AS82" s="187"/>
      <c r="AT82" s="722">
        <v>37.587916666666665</v>
      </c>
      <c r="AU82" s="722">
        <v>37.587916666666665</v>
      </c>
      <c r="AV82" s="722">
        <v>37.587916666666665</v>
      </c>
      <c r="AW82" s="722">
        <v>37.587916666666665</v>
      </c>
      <c r="AX82" s="722">
        <v>37.587916666666665</v>
      </c>
      <c r="AY82" s="722">
        <v>37.587916666666665</v>
      </c>
      <c r="AZ82" s="722"/>
      <c r="BA82" s="186"/>
      <c r="BB82" s="722">
        <v>43.185416666666661</v>
      </c>
      <c r="BC82" s="722">
        <v>43.185416666666661</v>
      </c>
      <c r="BD82" s="722">
        <v>43.185416666666661</v>
      </c>
      <c r="BE82" s="722">
        <v>43.185416666666661</v>
      </c>
      <c r="BF82" s="722">
        <v>43.185416666666661</v>
      </c>
      <c r="BG82" s="722">
        <v>43.185416666666661</v>
      </c>
      <c r="BH82" s="722"/>
      <c r="BI82" s="187"/>
      <c r="BJ82" s="180">
        <f t="shared" ca="1" si="77"/>
        <v>72.569999999999993</v>
      </c>
      <c r="BK82" s="1218">
        <f ca="1">IFERROR((BJ83/BJ82),"-")</f>
        <v>0.78544853245142632</v>
      </c>
      <c r="BL82" s="187"/>
      <c r="BM82" s="1215">
        <v>1799.8231666666668</v>
      </c>
      <c r="BN82" s="1269">
        <v>1256.414</v>
      </c>
      <c r="BO82" s="1171">
        <v>896</v>
      </c>
      <c r="BP82" s="1218">
        <f>IFERROR((BO82/BN82),"-")</f>
        <v>0.71314073227455277</v>
      </c>
      <c r="BQ82" s="186"/>
      <c r="BR82" s="1215">
        <v>2478.5031666666669</v>
      </c>
      <c r="BS82" s="1215">
        <v>1526</v>
      </c>
      <c r="BT82" s="1218">
        <f>IFERROR((BS82/BR82),"-")</f>
        <v>0.61569419015603433</v>
      </c>
      <c r="BU82" s="186"/>
      <c r="BV82" s="1269">
        <v>13234.79</v>
      </c>
      <c r="BW82" s="1269">
        <v>11580.11</v>
      </c>
      <c r="CB82" s="44" t="str">
        <f t="shared" si="70"/>
        <v>Seg. 4.2  - Drenagem superficial</v>
      </c>
    </row>
    <row r="83" spans="1:80" s="16" customFormat="1" ht="15.75" hidden="1" outlineLevel="1">
      <c r="A83" s="734"/>
      <c r="B83" s="1166"/>
      <c r="C83" s="723"/>
      <c r="D83" s="1168"/>
      <c r="E83" s="186"/>
      <c r="F83" s="178" t="s">
        <v>38</v>
      </c>
      <c r="G83" s="721">
        <f t="shared" ca="1" si="78"/>
        <v>580</v>
      </c>
      <c r="H83" s="1170"/>
      <c r="I83" s="187"/>
      <c r="J83" s="179" t="s">
        <v>38</v>
      </c>
      <c r="K83" s="721" cm="1">
        <f t="array" aca="1" ref="K83" ca="1">_xlfn.XLOOKUP($L$7,$N$7:$BH$7,$N83:BH83)</f>
        <v>25</v>
      </c>
      <c r="L83" s="1218"/>
      <c r="M83" s="186"/>
      <c r="N83" s="722">
        <v>43</v>
      </c>
      <c r="O83" s="722">
        <v>37</v>
      </c>
      <c r="P83" s="722">
        <v>40</v>
      </c>
      <c r="Q83" s="722">
        <v>60</v>
      </c>
      <c r="R83" s="722">
        <v>50</v>
      </c>
      <c r="S83" s="722">
        <v>30</v>
      </c>
      <c r="T83" s="722"/>
      <c r="U83" s="186"/>
      <c r="V83" s="722">
        <v>30</v>
      </c>
      <c r="W83" s="722">
        <v>50</v>
      </c>
      <c r="X83" s="722">
        <v>40</v>
      </c>
      <c r="Y83" s="722">
        <v>120</v>
      </c>
      <c r="Z83" s="722">
        <v>97</v>
      </c>
      <c r="AA83" s="722">
        <v>10</v>
      </c>
      <c r="AB83" s="722"/>
      <c r="AC83" s="186"/>
      <c r="AD83" s="722">
        <v>121</v>
      </c>
      <c r="AE83" s="722">
        <v>131</v>
      </c>
      <c r="AF83" s="722">
        <v>120</v>
      </c>
      <c r="AG83" s="722">
        <v>70</v>
      </c>
      <c r="AH83" s="722">
        <v>55</v>
      </c>
      <c r="AI83" s="722">
        <v>83</v>
      </c>
      <c r="AJ83" s="722"/>
      <c r="AK83" s="186"/>
      <c r="AL83" s="722">
        <v>32</v>
      </c>
      <c r="AM83" s="722">
        <v>25</v>
      </c>
      <c r="AN83" s="722">
        <v>0</v>
      </c>
      <c r="AO83" s="722">
        <v>0</v>
      </c>
      <c r="AP83" s="722">
        <v>0</v>
      </c>
      <c r="AQ83" s="722">
        <v>0</v>
      </c>
      <c r="AR83" s="722"/>
      <c r="AS83" s="187"/>
      <c r="AT83" s="722">
        <v>0</v>
      </c>
      <c r="AU83" s="722">
        <v>0</v>
      </c>
      <c r="AV83" s="722">
        <v>0</v>
      </c>
      <c r="AW83" s="722">
        <v>0</v>
      </c>
      <c r="AX83" s="722">
        <v>0</v>
      </c>
      <c r="AY83" s="722">
        <v>0</v>
      </c>
      <c r="AZ83" s="722"/>
      <c r="BA83" s="186"/>
      <c r="BB83" s="722">
        <v>0</v>
      </c>
      <c r="BC83" s="722">
        <v>0</v>
      </c>
      <c r="BD83" s="722">
        <v>0</v>
      </c>
      <c r="BE83" s="722">
        <v>0</v>
      </c>
      <c r="BF83" s="722">
        <v>0</v>
      </c>
      <c r="BG83" s="722">
        <v>0</v>
      </c>
      <c r="BH83" s="722"/>
      <c r="BI83" s="187"/>
      <c r="BJ83" s="180">
        <f t="shared" ca="1" si="77"/>
        <v>57</v>
      </c>
      <c r="BK83" s="1218"/>
      <c r="BL83" s="187"/>
      <c r="BM83" s="1216"/>
      <c r="BN83" s="1269"/>
      <c r="BO83" s="1171"/>
      <c r="BP83" s="1218"/>
      <c r="BQ83" s="186"/>
      <c r="BR83" s="1216"/>
      <c r="BS83" s="1216"/>
      <c r="BT83" s="1218"/>
      <c r="BU83" s="186"/>
      <c r="BV83" s="1269"/>
      <c r="BW83" s="1269"/>
      <c r="CB83" s="44" t="str">
        <f t="shared" si="70"/>
        <v>Seg. 4.2  - Drenagem superficial</v>
      </c>
    </row>
    <row r="84" spans="1:80" s="16" customFormat="1" ht="15.75" hidden="1" outlineLevel="1">
      <c r="A84" s="734"/>
      <c r="B84" s="1166" t="s">
        <v>4208</v>
      </c>
      <c r="C84" s="723" t="s">
        <v>52</v>
      </c>
      <c r="D84" s="1167" t="str">
        <f>IFERROR((C84/B84),"-")</f>
        <v>-</v>
      </c>
      <c r="E84" s="186"/>
      <c r="F84" s="188" t="s">
        <v>37</v>
      </c>
      <c r="G84" s="721">
        <f t="shared" ca="1" si="78"/>
        <v>1331.4</v>
      </c>
      <c r="H84" s="1169">
        <f ca="1">IFERROR((G85/G84),"-")</f>
        <v>2.4057383205648186</v>
      </c>
      <c r="I84" s="187"/>
      <c r="J84" s="189" t="s">
        <v>37</v>
      </c>
      <c r="K84" s="721" cm="1">
        <f t="array" aca="1" ref="K84" ca="1">_xlfn.XLOOKUP($L$7,$N$7:$BH$7,$N84:BH84)</f>
        <v>221.9</v>
      </c>
      <c r="L84" s="1218">
        <f ca="1">IFERROR((K85/K84),"-")</f>
        <v>3.2447048219918884</v>
      </c>
      <c r="M84" s="186"/>
      <c r="N84" s="722">
        <v>80</v>
      </c>
      <c r="O84" s="722">
        <v>80</v>
      </c>
      <c r="P84" s="722">
        <v>80</v>
      </c>
      <c r="Q84" s="722">
        <v>80</v>
      </c>
      <c r="R84" s="722">
        <v>80</v>
      </c>
      <c r="S84" s="722">
        <v>80</v>
      </c>
      <c r="T84" s="722"/>
      <c r="U84" s="186"/>
      <c r="V84" s="722">
        <v>112.5</v>
      </c>
      <c r="W84" s="722">
        <v>112.5</v>
      </c>
      <c r="X84" s="722">
        <v>221.9</v>
      </c>
      <c r="Y84" s="722">
        <v>221.9</v>
      </c>
      <c r="Z84" s="722">
        <v>221.9</v>
      </c>
      <c r="AA84" s="722">
        <v>221.9</v>
      </c>
      <c r="AB84" s="722"/>
      <c r="AC84" s="186"/>
      <c r="AD84" s="722">
        <v>221.9</v>
      </c>
      <c r="AE84" s="722">
        <v>221.9</v>
      </c>
      <c r="AF84" s="722">
        <v>221.9</v>
      </c>
      <c r="AG84" s="722">
        <v>221.9</v>
      </c>
      <c r="AH84" s="722">
        <v>221.9</v>
      </c>
      <c r="AI84" s="722">
        <v>221.9</v>
      </c>
      <c r="AJ84" s="722"/>
      <c r="AK84" s="186"/>
      <c r="AL84" s="722">
        <v>221.9</v>
      </c>
      <c r="AM84" s="722">
        <v>221.9</v>
      </c>
      <c r="AN84" s="722">
        <v>221.9</v>
      </c>
      <c r="AO84" s="722">
        <v>221.9</v>
      </c>
      <c r="AP84" s="722">
        <v>221.9</v>
      </c>
      <c r="AQ84" s="722">
        <v>221.9</v>
      </c>
      <c r="AR84" s="722"/>
      <c r="AS84" s="187"/>
      <c r="AT84" s="722">
        <v>221.9</v>
      </c>
      <c r="AU84" s="722">
        <v>221.9</v>
      </c>
      <c r="AV84" s="722">
        <v>221.9</v>
      </c>
      <c r="AW84" s="722">
        <v>221.9</v>
      </c>
      <c r="AX84" s="722">
        <v>221.9</v>
      </c>
      <c r="AY84" s="722">
        <v>221.9</v>
      </c>
      <c r="AZ84" s="722"/>
      <c r="BA84" s="186"/>
      <c r="BB84" s="722">
        <v>221.9</v>
      </c>
      <c r="BC84" s="722">
        <v>221.9</v>
      </c>
      <c r="BD84" s="722">
        <v>221.9</v>
      </c>
      <c r="BE84" s="722">
        <v>221.9</v>
      </c>
      <c r="BF84" s="722">
        <v>221.9</v>
      </c>
      <c r="BG84" s="722">
        <v>221.9</v>
      </c>
      <c r="BH84" s="722"/>
      <c r="BI84" s="187"/>
      <c r="BJ84" s="180">
        <f t="shared" ca="1" si="77"/>
        <v>443.8</v>
      </c>
      <c r="BK84" s="1218">
        <f ca="1">IFERROR((BJ85/BJ84),"-")</f>
        <v>2.9224876070301935</v>
      </c>
      <c r="BL84" s="187"/>
      <c r="BM84" s="1215">
        <v>5994.3999999999978</v>
      </c>
      <c r="BN84" s="1269">
        <v>2887.8000000000006</v>
      </c>
      <c r="BO84" s="1171">
        <v>6094</v>
      </c>
      <c r="BP84" s="1218">
        <f>IFERROR((BO84/BN84),"-")</f>
        <v>2.1102569430015925</v>
      </c>
      <c r="BQ84" s="186"/>
      <c r="BR84" s="1215">
        <v>7979.3199999999979</v>
      </c>
      <c r="BS84" s="1215">
        <v>8540.6049999999814</v>
      </c>
      <c r="BT84" s="1218">
        <f>IFERROR((BS84/BR84),"-")</f>
        <v>1.0703424602597695</v>
      </c>
      <c r="BU84" s="186"/>
      <c r="BV84" s="1269">
        <v>3577.72</v>
      </c>
      <c r="BW84" s="1269">
        <v>-4636.2</v>
      </c>
      <c r="CB84" s="44" t="str">
        <f t="shared" si="70"/>
        <v>Seg. 4.3  - Drenagem superficial</v>
      </c>
    </row>
    <row r="85" spans="1:80" s="16" customFormat="1" ht="15.75" hidden="1" outlineLevel="1">
      <c r="A85" s="734"/>
      <c r="B85" s="1166"/>
      <c r="C85" s="723"/>
      <c r="D85" s="1168"/>
      <c r="E85" s="186"/>
      <c r="F85" s="178" t="s">
        <v>38</v>
      </c>
      <c r="G85" s="721">
        <f t="shared" ca="1" si="78"/>
        <v>3203</v>
      </c>
      <c r="H85" s="1170"/>
      <c r="I85" s="187"/>
      <c r="J85" s="179" t="s">
        <v>38</v>
      </c>
      <c r="K85" s="721" cm="1">
        <f t="array" aca="1" ref="K85" ca="1">_xlfn.XLOOKUP($L$7,$N$7:$BH$7,$N85:BH85)</f>
        <v>720</v>
      </c>
      <c r="L85" s="1218"/>
      <c r="M85" s="186"/>
      <c r="N85" s="722">
        <v>0</v>
      </c>
      <c r="O85" s="722">
        <v>0</v>
      </c>
      <c r="P85" s="722">
        <v>185</v>
      </c>
      <c r="Q85" s="722">
        <v>144</v>
      </c>
      <c r="R85" s="722">
        <v>125</v>
      </c>
      <c r="S85" s="722">
        <v>10</v>
      </c>
      <c r="T85" s="722">
        <v>0</v>
      </c>
      <c r="U85" s="186"/>
      <c r="V85" s="722">
        <v>125</v>
      </c>
      <c r="W85" s="722">
        <v>235</v>
      </c>
      <c r="X85" s="722">
        <v>370</v>
      </c>
      <c r="Y85" s="722">
        <v>258</v>
      </c>
      <c r="Z85" s="722">
        <v>276</v>
      </c>
      <c r="AA85" s="722">
        <v>242</v>
      </c>
      <c r="AB85" s="722">
        <v>0</v>
      </c>
      <c r="AC85" s="186"/>
      <c r="AD85" s="722">
        <v>560</v>
      </c>
      <c r="AE85" s="722">
        <v>400</v>
      </c>
      <c r="AF85" s="722">
        <v>654</v>
      </c>
      <c r="AG85" s="722">
        <v>766</v>
      </c>
      <c r="AH85" s="722">
        <v>416</v>
      </c>
      <c r="AI85" s="722">
        <v>407</v>
      </c>
      <c r="AJ85" s="722">
        <v>0</v>
      </c>
      <c r="AK85" s="186"/>
      <c r="AL85" s="722">
        <v>577</v>
      </c>
      <c r="AM85" s="722">
        <v>720</v>
      </c>
      <c r="AN85" s="722">
        <v>0</v>
      </c>
      <c r="AO85" s="722">
        <v>0</v>
      </c>
      <c r="AP85" s="722">
        <v>0</v>
      </c>
      <c r="AQ85" s="722">
        <v>0</v>
      </c>
      <c r="AR85" s="722">
        <v>0</v>
      </c>
      <c r="AS85" s="187"/>
      <c r="AT85" s="722">
        <v>0</v>
      </c>
      <c r="AU85" s="722">
        <v>0</v>
      </c>
      <c r="AV85" s="722">
        <v>0</v>
      </c>
      <c r="AW85" s="722">
        <v>0</v>
      </c>
      <c r="AX85" s="722">
        <v>0</v>
      </c>
      <c r="AY85" s="722">
        <v>0</v>
      </c>
      <c r="AZ85" s="722">
        <v>0</v>
      </c>
      <c r="BA85" s="186"/>
      <c r="BB85" s="722">
        <v>0</v>
      </c>
      <c r="BC85" s="722">
        <v>0</v>
      </c>
      <c r="BD85" s="722">
        <v>0</v>
      </c>
      <c r="BE85" s="722">
        <v>0</v>
      </c>
      <c r="BF85" s="722">
        <v>0</v>
      </c>
      <c r="BG85" s="722">
        <v>0</v>
      </c>
      <c r="BH85" s="722">
        <v>0</v>
      </c>
      <c r="BI85" s="187"/>
      <c r="BJ85" s="180">
        <f t="shared" ca="1" si="77"/>
        <v>1297</v>
      </c>
      <c r="BK85" s="1218"/>
      <c r="BL85" s="187"/>
      <c r="BM85" s="1216"/>
      <c r="BN85" s="1269"/>
      <c r="BO85" s="1171"/>
      <c r="BP85" s="1218"/>
      <c r="BQ85" s="186"/>
      <c r="BR85" s="1216"/>
      <c r="BS85" s="1216"/>
      <c r="BT85" s="1218"/>
      <c r="BU85" s="186"/>
      <c r="BV85" s="1269"/>
      <c r="BW85" s="1269"/>
      <c r="CB85" s="44" t="str">
        <f t="shared" si="70"/>
        <v>Seg. 4.3  - Drenagem superficial</v>
      </c>
    </row>
    <row r="86" spans="1:80" s="16" customFormat="1" ht="15.75" hidden="1" outlineLevel="1">
      <c r="A86" s="734"/>
      <c r="B86" s="1166" t="s">
        <v>4209</v>
      </c>
      <c r="C86" s="723" t="s">
        <v>52</v>
      </c>
      <c r="D86" s="1167" t="str">
        <f>IFERROR((C86/B86),"-")</f>
        <v>-</v>
      </c>
      <c r="E86" s="186"/>
      <c r="F86" s="188" t="s">
        <v>37</v>
      </c>
      <c r="G86" s="721">
        <f t="shared" ca="1" si="78"/>
        <v>0</v>
      </c>
      <c r="H86" s="1169" t="str">
        <f ca="1">IFERROR((G87/G86),"-")</f>
        <v>-</v>
      </c>
      <c r="I86" s="187"/>
      <c r="J86" s="189" t="s">
        <v>37</v>
      </c>
      <c r="K86" s="721" cm="1">
        <f t="array" aca="1" ref="K86" ca="1">_xlfn.XLOOKUP($L$7,$N$7:$BH$7,$N86:BH86)</f>
        <v>0</v>
      </c>
      <c r="L86" s="1218" t="str">
        <f ca="1">IFERROR((K87/K86),"-")</f>
        <v>-</v>
      </c>
      <c r="M86" s="186"/>
      <c r="N86" s="722"/>
      <c r="O86" s="722"/>
      <c r="P86" s="722"/>
      <c r="Q86" s="722"/>
      <c r="R86" s="722"/>
      <c r="S86" s="722"/>
      <c r="T86" s="722"/>
      <c r="U86" s="186"/>
      <c r="V86" s="722">
        <v>0</v>
      </c>
      <c r="W86" s="722">
        <v>0</v>
      </c>
      <c r="X86" s="722">
        <v>0</v>
      </c>
      <c r="Y86" s="722">
        <v>0</v>
      </c>
      <c r="Z86" s="722">
        <v>0</v>
      </c>
      <c r="AA86" s="722">
        <v>0</v>
      </c>
      <c r="AB86" s="722"/>
      <c r="AC86" s="186"/>
      <c r="AD86" s="722">
        <v>0</v>
      </c>
      <c r="AE86" s="722">
        <v>0</v>
      </c>
      <c r="AF86" s="722">
        <v>0</v>
      </c>
      <c r="AG86" s="722">
        <v>0</v>
      </c>
      <c r="AH86" s="722">
        <v>0</v>
      </c>
      <c r="AI86" s="722">
        <v>0</v>
      </c>
      <c r="AJ86" s="722"/>
      <c r="AK86" s="186"/>
      <c r="AL86" s="722">
        <v>0</v>
      </c>
      <c r="AM86" s="722">
        <v>0</v>
      </c>
      <c r="AN86" s="722">
        <v>0</v>
      </c>
      <c r="AO86" s="722">
        <v>0</v>
      </c>
      <c r="AP86" s="722">
        <v>0</v>
      </c>
      <c r="AQ86" s="722">
        <v>0</v>
      </c>
      <c r="AR86" s="722"/>
      <c r="AS86" s="187"/>
      <c r="AT86" s="722">
        <v>0</v>
      </c>
      <c r="AU86" s="722">
        <v>0</v>
      </c>
      <c r="AV86" s="722">
        <v>0</v>
      </c>
      <c r="AW86" s="722">
        <v>0</v>
      </c>
      <c r="AX86" s="722">
        <v>0</v>
      </c>
      <c r="AY86" s="722">
        <v>0</v>
      </c>
      <c r="AZ86" s="722"/>
      <c r="BA86" s="186"/>
      <c r="BB86" s="722">
        <v>0</v>
      </c>
      <c r="BC86" s="722">
        <v>0</v>
      </c>
      <c r="BD86" s="722">
        <v>0</v>
      </c>
      <c r="BE86" s="722">
        <v>0</v>
      </c>
      <c r="BF86" s="722">
        <v>0</v>
      </c>
      <c r="BG86" s="722">
        <v>0</v>
      </c>
      <c r="BH86" s="722"/>
      <c r="BI86" s="187"/>
      <c r="BJ86" s="721">
        <f t="shared" ca="1" si="77"/>
        <v>0</v>
      </c>
      <c r="BK86" s="1218" t="str">
        <f ca="1">IFERROR((BJ87/BJ86),"-")</f>
        <v>-</v>
      </c>
      <c r="BL86" s="187"/>
      <c r="BM86" s="1215">
        <v>0</v>
      </c>
      <c r="BN86" s="1269">
        <v>0</v>
      </c>
      <c r="BO86" s="1171">
        <v>0</v>
      </c>
      <c r="BP86" s="1218" t="str">
        <f>IFERROR((BO86/BN86),"-")</f>
        <v>-</v>
      </c>
      <c r="BQ86" s="186"/>
      <c r="BR86" s="1215">
        <v>0</v>
      </c>
      <c r="BS86" s="1215">
        <v>0</v>
      </c>
      <c r="BT86" s="1218" t="str">
        <f>IFERROR((BS86/BR86),"-")</f>
        <v>-</v>
      </c>
      <c r="BU86" s="186"/>
      <c r="BV86" s="1269">
        <v>3785</v>
      </c>
      <c r="BW86" s="1269">
        <v>3785</v>
      </c>
      <c r="CB86" s="44" t="str">
        <f t="shared" si="70"/>
        <v>Seg. 4.4  - Drenagem superficial</v>
      </c>
    </row>
    <row r="87" spans="1:80" s="16" customFormat="1" ht="19.7" hidden="1" customHeight="1" outlineLevel="1">
      <c r="A87" s="734"/>
      <c r="B87" s="1166"/>
      <c r="C87" s="723"/>
      <c r="D87" s="1168"/>
      <c r="E87" s="186"/>
      <c r="F87" s="178" t="s">
        <v>38</v>
      </c>
      <c r="G87" s="721">
        <f t="shared" ca="1" si="78"/>
        <v>0</v>
      </c>
      <c r="H87" s="1170"/>
      <c r="I87" s="187"/>
      <c r="J87" s="179" t="s">
        <v>38</v>
      </c>
      <c r="K87" s="721" cm="1">
        <f t="array" aca="1" ref="K87" ca="1">_xlfn.XLOOKUP($L$7,$N$7:$BH$7,$N87:BH87)</f>
        <v>0</v>
      </c>
      <c r="L87" s="1218"/>
      <c r="M87" s="186"/>
      <c r="N87" s="722"/>
      <c r="O87" s="722"/>
      <c r="P87" s="722"/>
      <c r="Q87" s="722"/>
      <c r="R87" s="722"/>
      <c r="S87" s="722"/>
      <c r="T87" s="722"/>
      <c r="U87" s="186"/>
      <c r="V87" s="722">
        <v>0</v>
      </c>
      <c r="W87" s="722">
        <v>0</v>
      </c>
      <c r="X87" s="722">
        <v>0</v>
      </c>
      <c r="Y87" s="722">
        <v>0</v>
      </c>
      <c r="Z87" s="722">
        <v>0</v>
      </c>
      <c r="AA87" s="722">
        <v>0</v>
      </c>
      <c r="AB87" s="722"/>
      <c r="AC87" s="186"/>
      <c r="AD87" s="722">
        <v>0</v>
      </c>
      <c r="AE87" s="722">
        <v>0</v>
      </c>
      <c r="AF87" s="722">
        <v>0</v>
      </c>
      <c r="AG87" s="722">
        <v>0</v>
      </c>
      <c r="AH87" s="722">
        <v>0</v>
      </c>
      <c r="AI87" s="722">
        <v>0</v>
      </c>
      <c r="AJ87" s="722"/>
      <c r="AK87" s="186"/>
      <c r="AL87" s="722">
        <v>0</v>
      </c>
      <c r="AM87" s="722">
        <v>0</v>
      </c>
      <c r="AN87" s="722">
        <v>0</v>
      </c>
      <c r="AO87" s="722">
        <v>0</v>
      </c>
      <c r="AP87" s="722">
        <v>0</v>
      </c>
      <c r="AQ87" s="722">
        <v>0</v>
      </c>
      <c r="AR87" s="722"/>
      <c r="AS87" s="187"/>
      <c r="AT87" s="722">
        <v>0</v>
      </c>
      <c r="AU87" s="722">
        <v>0</v>
      </c>
      <c r="AV87" s="722">
        <v>0</v>
      </c>
      <c r="AW87" s="722">
        <v>0</v>
      </c>
      <c r="AX87" s="722">
        <v>0</v>
      </c>
      <c r="AY87" s="722">
        <v>0</v>
      </c>
      <c r="AZ87" s="722"/>
      <c r="BA87" s="186"/>
      <c r="BB87" s="722">
        <v>0</v>
      </c>
      <c r="BC87" s="722">
        <v>0</v>
      </c>
      <c r="BD87" s="722">
        <v>0</v>
      </c>
      <c r="BE87" s="722">
        <v>0</v>
      </c>
      <c r="BF87" s="722">
        <v>0</v>
      </c>
      <c r="BG87" s="722">
        <v>0</v>
      </c>
      <c r="BH87" s="722"/>
      <c r="BI87" s="187"/>
      <c r="BJ87" s="721">
        <f t="shared" ca="1" si="77"/>
        <v>0</v>
      </c>
      <c r="BK87" s="1218"/>
      <c r="BL87" s="187"/>
      <c r="BM87" s="1216"/>
      <c r="BN87" s="1269"/>
      <c r="BO87" s="1171"/>
      <c r="BP87" s="1218"/>
      <c r="BQ87" s="186"/>
      <c r="BR87" s="1216"/>
      <c r="BS87" s="1216"/>
      <c r="BT87" s="1218"/>
      <c r="BU87" s="186"/>
      <c r="BV87" s="1269"/>
      <c r="BW87" s="1269"/>
      <c r="CB87" s="44" t="str">
        <f t="shared" si="70"/>
        <v>Seg. 4.4  - Drenagem superficial</v>
      </c>
    </row>
    <row r="88" spans="1:80" s="16" customFormat="1" ht="6.6" hidden="1" customHeight="1" outlineLevel="1">
      <c r="A88" s="157"/>
      <c r="B88" s="171"/>
      <c r="C88" s="172"/>
      <c r="D88" s="691"/>
      <c r="E88" s="169"/>
      <c r="F88" s="173"/>
      <c r="G88" s="692"/>
      <c r="H88" s="693"/>
      <c r="I88" s="170"/>
      <c r="J88" s="174"/>
      <c r="K88" s="175"/>
      <c r="L88" s="693"/>
      <c r="M88" s="169"/>
      <c r="N88" s="175"/>
      <c r="O88" s="175"/>
      <c r="P88" s="175"/>
      <c r="Q88" s="175"/>
      <c r="R88" s="175"/>
      <c r="S88" s="175"/>
      <c r="T88" s="175"/>
      <c r="U88" s="169"/>
      <c r="V88" s="175"/>
      <c r="W88" s="175"/>
      <c r="X88" s="175"/>
      <c r="Y88" s="175"/>
      <c r="Z88" s="175"/>
      <c r="AA88" s="175"/>
      <c r="AB88" s="175"/>
      <c r="AC88" s="169"/>
      <c r="AD88" s="175"/>
      <c r="AE88" s="175"/>
      <c r="AF88" s="175"/>
      <c r="AG88" s="175"/>
      <c r="AH88" s="175"/>
      <c r="AI88" s="175"/>
      <c r="AJ88" s="175"/>
      <c r="AK88" s="169"/>
      <c r="AL88" s="175"/>
      <c r="AM88" s="175"/>
      <c r="AN88" s="175"/>
      <c r="AO88" s="175"/>
      <c r="AP88" s="175"/>
      <c r="AQ88" s="175"/>
      <c r="AR88" s="175"/>
      <c r="AS88" s="169"/>
      <c r="AT88" s="175"/>
      <c r="AU88" s="175"/>
      <c r="AV88" s="175"/>
      <c r="AW88" s="175"/>
      <c r="AX88" s="175"/>
      <c r="AY88" s="175"/>
      <c r="AZ88" s="175"/>
      <c r="BA88" s="169"/>
      <c r="BB88" s="175"/>
      <c r="BC88" s="175"/>
      <c r="BD88" s="175"/>
      <c r="BE88" s="175"/>
      <c r="BF88" s="175"/>
      <c r="BG88" s="175"/>
      <c r="BH88" s="175"/>
      <c r="BI88" s="169"/>
      <c r="BJ88" s="175"/>
      <c r="BK88" s="693"/>
      <c r="BL88" s="169"/>
      <c r="BM88" s="175"/>
      <c r="BN88" s="175"/>
      <c r="BO88" s="175"/>
      <c r="BP88" s="693"/>
      <c r="BQ88" s="169"/>
      <c r="BR88" s="692"/>
      <c r="BS88" s="692"/>
      <c r="BT88" s="693"/>
      <c r="BU88" s="169"/>
      <c r="BV88" s="692"/>
      <c r="BW88" s="692"/>
      <c r="CB88" s="44" t="str">
        <f t="shared" si="70"/>
        <v>Seg. 4.4  - Drenagem superficial</v>
      </c>
    </row>
    <row r="89" spans="1:80" s="16" customFormat="1" ht="15.75" collapsed="1">
      <c r="A89" s="157"/>
      <c r="B89" s="171"/>
      <c r="C89" s="172"/>
      <c r="D89" s="691"/>
      <c r="E89" s="169"/>
      <c r="F89" s="173"/>
      <c r="G89" s="692"/>
      <c r="H89" s="693"/>
      <c r="I89" s="170"/>
      <c r="J89" s="174"/>
      <c r="K89" s="175"/>
      <c r="L89" s="693"/>
      <c r="M89" s="169"/>
      <c r="N89" s="175"/>
      <c r="O89" s="175"/>
      <c r="P89" s="175"/>
      <c r="Q89" s="175"/>
      <c r="R89" s="175"/>
      <c r="S89" s="175"/>
      <c r="T89" s="175"/>
      <c r="U89" s="169"/>
      <c r="V89" s="175"/>
      <c r="W89" s="175"/>
      <c r="X89" s="175"/>
      <c r="Y89" s="175"/>
      <c r="Z89" s="175"/>
      <c r="AA89" s="175"/>
      <c r="AB89" s="175"/>
      <c r="AC89" s="169"/>
      <c r="AD89" s="175"/>
      <c r="AE89" s="175"/>
      <c r="AF89" s="175"/>
      <c r="AG89" s="175"/>
      <c r="AH89" s="175"/>
      <c r="AI89" s="175"/>
      <c r="AJ89" s="175"/>
      <c r="AK89" s="169"/>
      <c r="AL89" s="175"/>
      <c r="AM89" s="175"/>
      <c r="AN89" s="175"/>
      <c r="AO89" s="175"/>
      <c r="AP89" s="175"/>
      <c r="AQ89" s="175"/>
      <c r="AR89" s="175"/>
      <c r="AS89" s="169"/>
      <c r="AT89" s="175"/>
      <c r="AU89" s="175"/>
      <c r="AV89" s="175"/>
      <c r="AW89" s="175"/>
      <c r="AX89" s="175"/>
      <c r="AY89" s="175"/>
      <c r="AZ89" s="175"/>
      <c r="BA89" s="169"/>
      <c r="BB89" s="175"/>
      <c r="BC89" s="175"/>
      <c r="BD89" s="175"/>
      <c r="BE89" s="175"/>
      <c r="BF89" s="175"/>
      <c r="BG89" s="175"/>
      <c r="BH89" s="175"/>
      <c r="BI89" s="169"/>
      <c r="BJ89" s="175"/>
      <c r="BK89" s="693"/>
      <c r="BL89" s="169"/>
      <c r="BM89" s="175"/>
      <c r="BN89" s="175"/>
      <c r="BO89" s="175"/>
      <c r="BP89" s="693"/>
      <c r="BQ89" s="169"/>
      <c r="BR89" s="692"/>
      <c r="BS89" s="692"/>
      <c r="BT89" s="693"/>
      <c r="BU89" s="169"/>
      <c r="BV89" s="692"/>
      <c r="BW89" s="692"/>
      <c r="CB89" s="44" t="str">
        <f t="shared" si="70"/>
        <v>Seg. 4.4  - Drenagem superficial</v>
      </c>
    </row>
    <row r="90" spans="1:80" s="16" customFormat="1" ht="15.75">
      <c r="A90" s="733"/>
      <c r="B90" s="1284" t="s">
        <v>4210</v>
      </c>
      <c r="C90" s="1285" t="s">
        <v>52</v>
      </c>
      <c r="D90" s="1206">
        <f>IFERROR((BS90-BR90),"-")</f>
        <v>-23</v>
      </c>
      <c r="E90" s="186"/>
      <c r="F90" s="476" t="s">
        <v>37</v>
      </c>
      <c r="G90" s="477">
        <f ca="1">SUMIFS($N90:$BH90,$N$1:$BH$1,$H$4)</f>
        <v>6</v>
      </c>
      <c r="H90" s="1286">
        <f ca="1">IFERROR((G91/G90),"-")</f>
        <v>0</v>
      </c>
      <c r="I90" s="187"/>
      <c r="J90" s="478" t="s">
        <v>37</v>
      </c>
      <c r="K90" s="479" cm="1">
        <f t="array" aca="1" ref="K90" ca="1">_xlfn.XLOOKUP($L$7,$N$7:$BH$7,$N90:BH90)</f>
        <v>5</v>
      </c>
      <c r="L90" s="1286">
        <f ca="1">IFERROR((K91/K90),"-")</f>
        <v>0</v>
      </c>
      <c r="M90" s="186"/>
      <c r="N90" s="479">
        <f>SUM(N94+N96+N98+N100+N102)</f>
        <v>0</v>
      </c>
      <c r="O90" s="479">
        <f t="shared" ref="O90:T90" si="79">SUM(O94+O96+O98+O100+O102)</f>
        <v>6</v>
      </c>
      <c r="P90" s="479">
        <f t="shared" si="79"/>
        <v>9</v>
      </c>
      <c r="Q90" s="479">
        <f t="shared" si="79"/>
        <v>3</v>
      </c>
      <c r="R90" s="479">
        <f t="shared" si="79"/>
        <v>0</v>
      </c>
      <c r="S90" s="479">
        <f t="shared" si="79"/>
        <v>0</v>
      </c>
      <c r="T90" s="479">
        <f t="shared" si="79"/>
        <v>0</v>
      </c>
      <c r="U90" s="186"/>
      <c r="V90" s="479">
        <f>SUM(V94+V96+V98+V100+V102)</f>
        <v>0</v>
      </c>
      <c r="W90" s="479">
        <f t="shared" ref="W90:AB91" si="80">SUM(W94+W96+W98+W100+W102)</f>
        <v>0</v>
      </c>
      <c r="X90" s="479">
        <f t="shared" si="80"/>
        <v>0</v>
      </c>
      <c r="Y90" s="479">
        <f t="shared" si="80"/>
        <v>0</v>
      </c>
      <c r="Z90" s="479">
        <f t="shared" si="80"/>
        <v>0</v>
      </c>
      <c r="AA90" s="479">
        <f t="shared" si="80"/>
        <v>0</v>
      </c>
      <c r="AB90" s="479">
        <f t="shared" si="80"/>
        <v>0</v>
      </c>
      <c r="AC90" s="186"/>
      <c r="AD90" s="479">
        <f>SUM(AD94+AD96+AD98+AD100+AD102)</f>
        <v>0</v>
      </c>
      <c r="AE90" s="479">
        <f t="shared" ref="AE90:AJ90" si="81">SUM(AE94+AE96+AE98+AE100+AE102)</f>
        <v>0</v>
      </c>
      <c r="AF90" s="479">
        <f t="shared" si="81"/>
        <v>0</v>
      </c>
      <c r="AG90" s="479">
        <f t="shared" si="81"/>
        <v>3</v>
      </c>
      <c r="AH90" s="479">
        <f t="shared" si="81"/>
        <v>3</v>
      </c>
      <c r="AI90" s="479">
        <f t="shared" si="81"/>
        <v>0</v>
      </c>
      <c r="AJ90" s="479">
        <f t="shared" si="81"/>
        <v>0</v>
      </c>
      <c r="AK90" s="186"/>
      <c r="AL90" s="479">
        <f>SUM(AL94+AL96+AL98+AL100+AL102)</f>
        <v>0</v>
      </c>
      <c r="AM90" s="479">
        <f t="shared" ref="AM90:AR90" si="82">SUM(AM94+AM96+AM98+AM100+AM102)</f>
        <v>5</v>
      </c>
      <c r="AN90" s="479">
        <f t="shared" si="82"/>
        <v>12.25</v>
      </c>
      <c r="AO90" s="479">
        <f t="shared" si="82"/>
        <v>12.25</v>
      </c>
      <c r="AP90" s="479">
        <f t="shared" si="82"/>
        <v>14.25</v>
      </c>
      <c r="AQ90" s="479">
        <f t="shared" si="82"/>
        <v>7.25</v>
      </c>
      <c r="AR90" s="479">
        <f t="shared" si="82"/>
        <v>0</v>
      </c>
      <c r="AS90" s="187"/>
      <c r="AT90" s="479">
        <f>SUM(AT94+AT96+AT98+AT100+AT102)</f>
        <v>0</v>
      </c>
      <c r="AU90" s="479">
        <f t="shared" ref="AU90:AZ90" si="83">SUM(AU94+AU96+AU98+AU100+AU102)</f>
        <v>0</v>
      </c>
      <c r="AV90" s="479">
        <f t="shared" si="83"/>
        <v>0</v>
      </c>
      <c r="AW90" s="479">
        <f t="shared" si="83"/>
        <v>0</v>
      </c>
      <c r="AX90" s="479">
        <f t="shared" si="83"/>
        <v>0</v>
      </c>
      <c r="AY90" s="479">
        <f t="shared" si="83"/>
        <v>0</v>
      </c>
      <c r="AZ90" s="479">
        <f t="shared" si="83"/>
        <v>0</v>
      </c>
      <c r="BA90" s="186"/>
      <c r="BB90" s="479">
        <f>SUM(BB94+BB96+BB98+BB100+BB102)</f>
        <v>0</v>
      </c>
      <c r="BC90" s="479">
        <f t="shared" ref="BC90:BH91" si="84">SUM(BC94+BC96+BC98+BC100+BC102)</f>
        <v>0</v>
      </c>
      <c r="BD90" s="479">
        <f t="shared" si="84"/>
        <v>0</v>
      </c>
      <c r="BE90" s="479">
        <f t="shared" si="84"/>
        <v>0</v>
      </c>
      <c r="BF90" s="479">
        <f t="shared" si="84"/>
        <v>0</v>
      </c>
      <c r="BG90" s="479">
        <f t="shared" si="84"/>
        <v>0</v>
      </c>
      <c r="BH90" s="479">
        <f t="shared" si="84"/>
        <v>0</v>
      </c>
      <c r="BI90" s="187"/>
      <c r="BJ90" s="721">
        <f ca="1">SUMIFS(N90:BI90,$N$7:$BI$7,"&gt;="&amp;($L$7-WEEKDAY($L$7,2)+1),$N$7:$BI$7,"&lt;="&amp;$L$7)</f>
        <v>5</v>
      </c>
      <c r="BK90" s="1288">
        <f ca="1">IFERROR((BJ91/BJ90),"-")</f>
        <v>0</v>
      </c>
      <c r="BL90" s="187"/>
      <c r="BM90" s="1290">
        <f>SUM(BM94:BM103)</f>
        <v>57</v>
      </c>
      <c r="BN90" s="1292">
        <f>SUM(BN94:BN103)</f>
        <v>11</v>
      </c>
      <c r="BO90" s="1292">
        <f>SUM(BO94:BO103)</f>
        <v>0</v>
      </c>
      <c r="BP90" s="1293">
        <f>IFERROR((BO90/BN90),"-")</f>
        <v>0</v>
      </c>
      <c r="BQ90" s="186"/>
      <c r="BR90" s="1292">
        <f>SUM(BR94:BR103)</f>
        <v>1025</v>
      </c>
      <c r="BS90" s="1292">
        <f>SUM(BS94:BS103)</f>
        <v>1002</v>
      </c>
      <c r="BT90" s="1293">
        <f>IFERROR((BS90/BR90),"-")</f>
        <v>0.97756097560975608</v>
      </c>
      <c r="BU90" s="186"/>
      <c r="BV90" s="1292">
        <f>SUM(BV94:BV103)</f>
        <v>1071</v>
      </c>
      <c r="BW90" s="1292">
        <f>SUM(BW94:BW103)</f>
        <v>57</v>
      </c>
      <c r="CB90" s="44" t="str">
        <f t="shared" si="70"/>
        <v>Montagem Bueiro</v>
      </c>
    </row>
    <row r="91" spans="1:80" s="16" customFormat="1" ht="21.6" customHeight="1">
      <c r="A91" s="157"/>
      <c r="B91" s="1284"/>
      <c r="C91" s="1285"/>
      <c r="D91" s="1207"/>
      <c r="E91" s="186"/>
      <c r="F91" s="480" t="s">
        <v>38</v>
      </c>
      <c r="G91" s="477">
        <f ca="1">SUMIFS($N91:$BH91,$N$1:$BH$1,$H$4)</f>
        <v>0</v>
      </c>
      <c r="H91" s="1287"/>
      <c r="I91" s="187"/>
      <c r="J91" s="481" t="s">
        <v>38</v>
      </c>
      <c r="K91" s="479" cm="1">
        <f t="array" aca="1" ref="K91" ca="1">_xlfn.XLOOKUP($L$7,$N$7:$BH$7,$N91:BH91)</f>
        <v>0</v>
      </c>
      <c r="L91" s="1287"/>
      <c r="M91" s="186"/>
      <c r="N91" s="482">
        <f>SUM(N95+N97+N99+N101+N103)</f>
        <v>0</v>
      </c>
      <c r="O91" s="479">
        <f>SUM(O95+O97+O99+O101+O103)</f>
        <v>12</v>
      </c>
      <c r="P91" s="479">
        <v>4</v>
      </c>
      <c r="Q91" s="479">
        <f>SUM(Q95+Q97+Q99+Q101+Q103)</f>
        <v>0</v>
      </c>
      <c r="R91" s="479">
        <f>SUM(R95+R97+R99+R101+R103)</f>
        <v>0</v>
      </c>
      <c r="S91" s="479">
        <f>SUM(S95+S97+S99+S101+S103)</f>
        <v>0</v>
      </c>
      <c r="T91" s="479">
        <f>SUM(T95+T97+T99+T101+T103)</f>
        <v>0</v>
      </c>
      <c r="U91" s="186"/>
      <c r="V91" s="482">
        <f>SUM(V95+V97+V99+V101+V103)</f>
        <v>0</v>
      </c>
      <c r="W91" s="479">
        <f t="shared" si="80"/>
        <v>0</v>
      </c>
      <c r="X91" s="479">
        <f t="shared" si="80"/>
        <v>0</v>
      </c>
      <c r="Y91" s="479">
        <f t="shared" si="80"/>
        <v>0</v>
      </c>
      <c r="Z91" s="479">
        <f t="shared" si="80"/>
        <v>0</v>
      </c>
      <c r="AA91" s="479">
        <f t="shared" si="80"/>
        <v>0</v>
      </c>
      <c r="AB91" s="479">
        <f t="shared" si="80"/>
        <v>0</v>
      </c>
      <c r="AC91" s="186"/>
      <c r="AD91" s="482">
        <f>SUM(AD95+AD97+AD99+AD101+AD103)</f>
        <v>0</v>
      </c>
      <c r="AE91" s="479">
        <f>SUM(AE95+AE97+AE99+AE101+AE103)</f>
        <v>0</v>
      </c>
      <c r="AF91" s="479"/>
      <c r="AG91" s="479">
        <f>SUM(AG95+AG97+AG99+AG101+AG103)</f>
        <v>0</v>
      </c>
      <c r="AH91" s="479">
        <f>SUM(AH95+AH97+AH99+AH101+AH103)</f>
        <v>0</v>
      </c>
      <c r="AI91" s="479">
        <f>SUM(AI95+AI97+AI99+AI101+AI103)</f>
        <v>0</v>
      </c>
      <c r="AJ91" s="479">
        <f>SUM(AJ95+AJ97+AJ99+AJ101+AJ103)</f>
        <v>0</v>
      </c>
      <c r="AK91" s="186"/>
      <c r="AL91" s="482">
        <f>SUM(AL95+AL97+AL99+AL101+AL103)</f>
        <v>0</v>
      </c>
      <c r="AM91" s="479">
        <f>SUM(AM95+AM97+AM99+AM101+AM103)</f>
        <v>0</v>
      </c>
      <c r="AN91" s="479"/>
      <c r="AO91" s="479">
        <f>SUM(AO95+AO97+AO99+AO101+AO103)</f>
        <v>0</v>
      </c>
      <c r="AP91" s="479">
        <f>SUM(AP95+AP97+AP99+AP101+AP103)</f>
        <v>0</v>
      </c>
      <c r="AQ91" s="479">
        <f>SUM(AQ95+AQ97+AQ99+AQ101+AQ103)</f>
        <v>0</v>
      </c>
      <c r="AR91" s="479">
        <f>SUM(AR95+AR97+AR99+AR101+AR103)</f>
        <v>0</v>
      </c>
      <c r="AS91" s="187"/>
      <c r="AT91" s="482">
        <f>SUM(AT95+AT97+AT99+AT101+AT103)</f>
        <v>0</v>
      </c>
      <c r="AU91" s="479">
        <f>SUM(AU95+AU97+AU99+AU101+AU103)</f>
        <v>0</v>
      </c>
      <c r="AV91" s="479"/>
      <c r="AW91" s="479">
        <f>SUM(AW95+AW97+AW99+AW101+AW103)</f>
        <v>0</v>
      </c>
      <c r="AX91" s="479">
        <f>SUM(AX95+AX97+AX99+AX101+AX103)</f>
        <v>0</v>
      </c>
      <c r="AY91" s="479">
        <f>SUM(AY95+AY97+AY99+AY101+AY103)</f>
        <v>0</v>
      </c>
      <c r="AZ91" s="479">
        <f>SUM(AZ95+AZ97+AZ99+AZ101+AZ103)</f>
        <v>0</v>
      </c>
      <c r="BA91" s="186"/>
      <c r="BB91" s="482">
        <f>SUM(BB95+BB97+BB99+BB101+BB103)</f>
        <v>0</v>
      </c>
      <c r="BC91" s="479">
        <f t="shared" si="84"/>
        <v>0</v>
      </c>
      <c r="BD91" s="479">
        <f t="shared" si="84"/>
        <v>0</v>
      </c>
      <c r="BE91" s="479">
        <f t="shared" si="84"/>
        <v>0</v>
      </c>
      <c r="BF91" s="479">
        <f t="shared" si="84"/>
        <v>0</v>
      </c>
      <c r="BG91" s="479">
        <f t="shared" si="84"/>
        <v>0</v>
      </c>
      <c r="BH91" s="479">
        <f t="shared" si="84"/>
        <v>0</v>
      </c>
      <c r="BI91" s="187"/>
      <c r="BJ91" s="721">
        <f ca="1">SUMIFS(N91:BI91,$N$7:$BI$7,"&gt;="&amp;($L$7-WEEKDAY($L$7,2)+1),$N$7:$BI$7,"&lt;="&amp;$L$7)</f>
        <v>0</v>
      </c>
      <c r="BK91" s="1289"/>
      <c r="BL91" s="187"/>
      <c r="BM91" s="1291"/>
      <c r="BN91" s="1292"/>
      <c r="BO91" s="1292"/>
      <c r="BP91" s="1293"/>
      <c r="BQ91" s="186"/>
      <c r="BR91" s="1292"/>
      <c r="BS91" s="1292"/>
      <c r="BT91" s="1293"/>
      <c r="BU91" s="186"/>
      <c r="BV91" s="1292"/>
      <c r="BW91" s="1292"/>
      <c r="CB91" s="44" t="str">
        <f t="shared" si="70"/>
        <v>Montagem Bueiro</v>
      </c>
    </row>
    <row r="92" spans="1:80" s="16" customFormat="1" ht="9.9499999999999993" customHeight="1">
      <c r="A92" s="157"/>
      <c r="B92" s="171"/>
      <c r="C92" s="172"/>
      <c r="D92" s="691"/>
      <c r="E92" s="169"/>
      <c r="F92" s="173"/>
      <c r="G92" s="692"/>
      <c r="H92" s="693"/>
      <c r="I92" s="170"/>
      <c r="J92" s="174"/>
      <c r="K92" s="175"/>
      <c r="L92" s="693"/>
      <c r="M92" s="169"/>
      <c r="N92" s="175"/>
      <c r="O92" s="175"/>
      <c r="P92" s="175"/>
      <c r="Q92" s="175"/>
      <c r="R92" s="175"/>
      <c r="S92" s="175"/>
      <c r="T92" s="175"/>
      <c r="U92" s="169"/>
      <c r="V92" s="175"/>
      <c r="W92" s="175"/>
      <c r="X92" s="175"/>
      <c r="Y92" s="175"/>
      <c r="Z92" s="175"/>
      <c r="AA92" s="175"/>
      <c r="AB92" s="175"/>
      <c r="AC92" s="169"/>
      <c r="AD92" s="175"/>
      <c r="AE92" s="175"/>
      <c r="AF92" s="175"/>
      <c r="AG92" s="175"/>
      <c r="AH92" s="175"/>
      <c r="AI92" s="175"/>
      <c r="AJ92" s="175"/>
      <c r="AK92" s="169"/>
      <c r="AL92" s="175"/>
      <c r="AM92" s="175"/>
      <c r="AN92" s="175"/>
      <c r="AO92" s="175"/>
      <c r="AP92" s="175"/>
      <c r="AQ92" s="175"/>
      <c r="AR92" s="175"/>
      <c r="AS92" s="169"/>
      <c r="AT92" s="175"/>
      <c r="AU92" s="175"/>
      <c r="AV92" s="175"/>
      <c r="AW92" s="175"/>
      <c r="AX92" s="175"/>
      <c r="AY92" s="175"/>
      <c r="AZ92" s="175"/>
      <c r="BA92" s="169"/>
      <c r="BB92" s="175"/>
      <c r="BC92" s="175"/>
      <c r="BD92" s="175"/>
      <c r="BE92" s="175"/>
      <c r="BF92" s="175"/>
      <c r="BG92" s="175"/>
      <c r="BH92" s="175"/>
      <c r="BI92" s="169"/>
      <c r="BJ92" s="175"/>
      <c r="BK92" s="693"/>
      <c r="BL92" s="169"/>
      <c r="BM92" s="175"/>
      <c r="BN92" s="175"/>
      <c r="BO92" s="175"/>
      <c r="BP92" s="693"/>
      <c r="BQ92" s="169"/>
      <c r="BR92" s="692"/>
      <c r="BS92" s="692"/>
      <c r="BT92" s="693"/>
      <c r="BU92" s="169"/>
      <c r="BV92" s="692"/>
      <c r="BW92" s="692"/>
      <c r="CB92" s="44" t="str">
        <f t="shared" si="70"/>
        <v>Montagem Bueiro</v>
      </c>
    </row>
    <row r="93" spans="1:80" s="73" customFormat="1" ht="15.75" hidden="1" outlineLevel="1">
      <c r="A93" s="157"/>
      <c r="B93" s="171"/>
      <c r="C93" s="172"/>
      <c r="D93" s="691"/>
      <c r="E93" s="169"/>
      <c r="F93" s="173"/>
      <c r="G93" s="692"/>
      <c r="H93" s="693"/>
      <c r="I93" s="170"/>
      <c r="J93" s="174"/>
      <c r="K93" s="175"/>
      <c r="L93" s="693"/>
      <c r="M93" s="169"/>
      <c r="N93" s="175"/>
      <c r="O93" s="175"/>
      <c r="P93" s="175"/>
      <c r="Q93" s="175"/>
      <c r="R93" s="175"/>
      <c r="S93" s="175"/>
      <c r="T93" s="175"/>
      <c r="U93" s="169"/>
      <c r="V93" s="175"/>
      <c r="W93" s="175"/>
      <c r="X93" s="175"/>
      <c r="Y93" s="175"/>
      <c r="Z93" s="175"/>
      <c r="AA93" s="175"/>
      <c r="AB93" s="175"/>
      <c r="AC93" s="169"/>
      <c r="AD93" s="175"/>
      <c r="AE93" s="175"/>
      <c r="AF93" s="175"/>
      <c r="AG93" s="175"/>
      <c r="AH93" s="175"/>
      <c r="AI93" s="175"/>
      <c r="AJ93" s="175"/>
      <c r="AK93" s="169"/>
      <c r="AL93" s="175"/>
      <c r="AM93" s="175"/>
      <c r="AN93" s="175"/>
      <c r="AO93" s="175"/>
      <c r="AP93" s="175"/>
      <c r="AQ93" s="175"/>
      <c r="AR93" s="175"/>
      <c r="AS93" s="169"/>
      <c r="AT93" s="175"/>
      <c r="AU93" s="175"/>
      <c r="AV93" s="175"/>
      <c r="AW93" s="175"/>
      <c r="AX93" s="175"/>
      <c r="AY93" s="175"/>
      <c r="AZ93" s="175"/>
      <c r="BA93" s="169"/>
      <c r="BB93" s="175"/>
      <c r="BC93" s="175"/>
      <c r="BD93" s="175"/>
      <c r="BE93" s="175"/>
      <c r="BF93" s="175"/>
      <c r="BG93" s="175"/>
      <c r="BH93" s="175"/>
      <c r="BI93" s="169"/>
      <c r="BJ93" s="175"/>
      <c r="BK93" s="693"/>
      <c r="BL93" s="169"/>
      <c r="BM93" s="175"/>
      <c r="BN93" s="175"/>
      <c r="BO93" s="175"/>
      <c r="BP93" s="693"/>
      <c r="BQ93" s="169"/>
      <c r="BR93" s="692"/>
      <c r="BS93" s="692"/>
      <c r="BT93" s="693"/>
      <c r="BU93" s="169"/>
      <c r="BV93" s="692"/>
      <c r="BW93" s="692"/>
      <c r="CB93" s="44" t="str">
        <f t="shared" si="70"/>
        <v>Montagem Bueiro</v>
      </c>
    </row>
    <row r="94" spans="1:80" s="73" customFormat="1" ht="15.75" hidden="1" outlineLevel="1">
      <c r="A94" s="734"/>
      <c r="B94" s="1166" t="s">
        <v>4211</v>
      </c>
      <c r="C94" s="1203" t="s">
        <v>52</v>
      </c>
      <c r="D94" s="1167" t="str">
        <f>IFERROR((C94/B94),"-")</f>
        <v>-</v>
      </c>
      <c r="E94" s="186"/>
      <c r="F94" s="188" t="s">
        <v>37</v>
      </c>
      <c r="G94" s="721">
        <f t="shared" ref="G94:G103" ca="1" si="85">SUMIFS($N94:$BH94,$N$1:$BH$1,$H$4)</f>
        <v>0</v>
      </c>
      <c r="H94" s="1169" t="str">
        <f ca="1">IFERROR((G95/G94),"-")</f>
        <v>-</v>
      </c>
      <c r="I94" s="187"/>
      <c r="J94" s="189" t="s">
        <v>37</v>
      </c>
      <c r="K94" s="721" cm="1">
        <f t="array" aca="1" ref="K94" ca="1">_xlfn.XLOOKUP($L$7,$N$7:$BH$7,$N94:BH94)</f>
        <v>0</v>
      </c>
      <c r="L94" s="1223" t="str">
        <f ca="1">IFERROR((K95/K94),"-")</f>
        <v>-</v>
      </c>
      <c r="M94" s="186"/>
      <c r="N94" s="722"/>
      <c r="O94" s="722"/>
      <c r="P94" s="722"/>
      <c r="Q94" s="722"/>
      <c r="R94" s="722"/>
      <c r="S94" s="722"/>
      <c r="T94" s="722"/>
      <c r="U94" s="186"/>
      <c r="V94" s="722"/>
      <c r="W94" s="722"/>
      <c r="X94" s="722"/>
      <c r="Y94" s="722"/>
      <c r="Z94" s="722"/>
      <c r="AA94" s="722"/>
      <c r="AB94" s="722"/>
      <c r="AC94" s="186"/>
      <c r="AD94" s="722"/>
      <c r="AE94" s="722"/>
      <c r="AF94" s="722"/>
      <c r="AG94" s="722"/>
      <c r="AH94" s="722"/>
      <c r="AI94" s="722"/>
      <c r="AJ94" s="722"/>
      <c r="AK94" s="186"/>
      <c r="AL94" s="722"/>
      <c r="AM94" s="722"/>
      <c r="AN94" s="722"/>
      <c r="AO94" s="722"/>
      <c r="AP94" s="722"/>
      <c r="AQ94" s="722"/>
      <c r="AR94" s="722"/>
      <c r="AS94" s="183"/>
      <c r="AT94" s="722"/>
      <c r="AU94" s="722"/>
      <c r="AV94" s="722"/>
      <c r="AW94" s="722"/>
      <c r="AX94" s="722"/>
      <c r="AY94" s="722"/>
      <c r="AZ94" s="722"/>
      <c r="BA94" s="186"/>
      <c r="BB94" s="722"/>
      <c r="BC94" s="722"/>
      <c r="BD94" s="722"/>
      <c r="BE94" s="722"/>
      <c r="BF94" s="722"/>
      <c r="BG94" s="722"/>
      <c r="BH94" s="722"/>
      <c r="BI94" s="183"/>
      <c r="BJ94" s="721">
        <f ca="1">SUMIFS(N94:BI94,$N$7:$BI$7,"&gt;="&amp;($L$7-WEEKDAY($L$7,2)+1),$N$7:$BI$7,"&lt;="&amp;$L$7)</f>
        <v>0</v>
      </c>
      <c r="BK94" s="1223" t="str">
        <f ca="1">IFERROR((BJ95/BJ94),"-")</f>
        <v>-</v>
      </c>
      <c r="BL94" s="183"/>
      <c r="BM94" s="1215">
        <v>0</v>
      </c>
      <c r="BN94" s="1269">
        <v>0</v>
      </c>
      <c r="BO94" s="1171">
        <v>0</v>
      </c>
      <c r="BP94" s="1223" t="str">
        <f>IFERROR((BO94/BN94),"-")</f>
        <v>-</v>
      </c>
      <c r="BQ94" s="186"/>
      <c r="BR94" s="1269">
        <v>316</v>
      </c>
      <c r="BS94" s="1171">
        <v>316</v>
      </c>
      <c r="BT94" s="1223">
        <f>IFERROR((BS94/BR94),"-")</f>
        <v>1</v>
      </c>
      <c r="BU94" s="186"/>
      <c r="BV94" s="1269">
        <v>316</v>
      </c>
      <c r="BW94" s="1269">
        <v>0</v>
      </c>
      <c r="CB94" s="44" t="str">
        <f t="shared" si="70"/>
        <v>Seg. 3.A2 - Montagem Bueiro</v>
      </c>
    </row>
    <row r="95" spans="1:80" s="73" customFormat="1" ht="15.75" hidden="1" outlineLevel="1">
      <c r="A95" s="734"/>
      <c r="B95" s="1166"/>
      <c r="C95" s="1203"/>
      <c r="D95" s="1168"/>
      <c r="E95" s="186"/>
      <c r="F95" s="178" t="s">
        <v>38</v>
      </c>
      <c r="G95" s="721">
        <f t="shared" ca="1" si="85"/>
        <v>0</v>
      </c>
      <c r="H95" s="1170"/>
      <c r="I95" s="187"/>
      <c r="J95" s="179" t="s">
        <v>38</v>
      </c>
      <c r="K95" s="721" cm="1">
        <f t="array" aca="1" ref="K95" ca="1">_xlfn.XLOOKUP($L$7,$N$7:$BH$7,$N95:BH95)</f>
        <v>0</v>
      </c>
      <c r="L95" s="1223"/>
      <c r="M95" s="186"/>
      <c r="N95" s="722"/>
      <c r="O95" s="722"/>
      <c r="P95" s="722"/>
      <c r="Q95" s="722"/>
      <c r="R95" s="722"/>
      <c r="S95" s="722">
        <v>0</v>
      </c>
      <c r="T95" s="722">
        <v>0</v>
      </c>
      <c r="U95" s="186"/>
      <c r="V95" s="722"/>
      <c r="W95" s="722"/>
      <c r="X95" s="722"/>
      <c r="Y95" s="722"/>
      <c r="Z95" s="722"/>
      <c r="AA95" s="722"/>
      <c r="AB95" s="722"/>
      <c r="AC95" s="186"/>
      <c r="AD95" s="722"/>
      <c r="AE95" s="722"/>
      <c r="AF95" s="722"/>
      <c r="AG95" s="722"/>
      <c r="AH95" s="722"/>
      <c r="AI95" s="722">
        <v>0</v>
      </c>
      <c r="AJ95" s="722">
        <v>0</v>
      </c>
      <c r="AK95" s="186"/>
      <c r="AL95" s="722"/>
      <c r="AM95" s="722"/>
      <c r="AN95" s="722"/>
      <c r="AO95" s="722"/>
      <c r="AP95" s="722"/>
      <c r="AQ95" s="722"/>
      <c r="AR95" s="722"/>
      <c r="AS95" s="183"/>
      <c r="AT95" s="722"/>
      <c r="AU95" s="722"/>
      <c r="AV95" s="722"/>
      <c r="AW95" s="722"/>
      <c r="AX95" s="722"/>
      <c r="AY95" s="722">
        <v>0</v>
      </c>
      <c r="AZ95" s="722">
        <v>0</v>
      </c>
      <c r="BA95" s="186"/>
      <c r="BB95" s="722"/>
      <c r="BC95" s="722"/>
      <c r="BD95" s="722"/>
      <c r="BE95" s="722"/>
      <c r="BF95" s="722"/>
      <c r="BG95" s="722">
        <v>0</v>
      </c>
      <c r="BH95" s="722">
        <v>0</v>
      </c>
      <c r="BI95" s="183"/>
      <c r="BJ95" s="721">
        <f t="shared" ref="BJ95:BJ103" ca="1" si="86">SUMIFS(N95:BI95,$N$7:$BI$7,"&gt;="&amp;($L$7-WEEKDAY($L$7,2)+1),$N$7:$BI$7,"&lt;="&amp;$L$7)</f>
        <v>0</v>
      </c>
      <c r="BK95" s="1223"/>
      <c r="BL95" s="183"/>
      <c r="BM95" s="1216"/>
      <c r="BN95" s="1269"/>
      <c r="BO95" s="1171"/>
      <c r="BP95" s="1223"/>
      <c r="BQ95" s="186"/>
      <c r="BR95" s="1269"/>
      <c r="BS95" s="1171"/>
      <c r="BT95" s="1223"/>
      <c r="BU95" s="186"/>
      <c r="BV95" s="1269"/>
      <c r="BW95" s="1269"/>
      <c r="CB95" s="44" t="str">
        <f t="shared" si="70"/>
        <v>Seg. 3.A2 - Montagem Bueiro</v>
      </c>
    </row>
    <row r="96" spans="1:80" s="73" customFormat="1" ht="15.75" hidden="1" outlineLevel="1">
      <c r="A96" s="734"/>
      <c r="B96" s="1166" t="s">
        <v>4212</v>
      </c>
      <c r="C96" s="1203" t="s">
        <v>52</v>
      </c>
      <c r="D96" s="1167" t="str">
        <f>IFERROR((C96/B96),"-")</f>
        <v>-</v>
      </c>
      <c r="E96" s="186"/>
      <c r="F96" s="188" t="s">
        <v>37</v>
      </c>
      <c r="G96" s="721">
        <f t="shared" ca="1" si="85"/>
        <v>0</v>
      </c>
      <c r="H96" s="1169" t="str">
        <f ca="1">IFERROR((G97/G96),"-")</f>
        <v>-</v>
      </c>
      <c r="I96" s="187"/>
      <c r="J96" s="189" t="s">
        <v>37</v>
      </c>
      <c r="K96" s="721" cm="1">
        <f t="array" aca="1" ref="K96" ca="1">_xlfn.XLOOKUP($L$7,$N$7:$BH$7,$N96:BH96)</f>
        <v>0</v>
      </c>
      <c r="L96" s="1223" t="str">
        <f ca="1">IFERROR((K97/K96),"-")</f>
        <v>-</v>
      </c>
      <c r="M96" s="186"/>
      <c r="N96" s="722"/>
      <c r="O96" s="722"/>
      <c r="P96" s="722"/>
      <c r="Q96" s="722"/>
      <c r="R96" s="722"/>
      <c r="S96" s="722"/>
      <c r="T96" s="722"/>
      <c r="U96" s="186"/>
      <c r="V96" s="722"/>
      <c r="W96" s="722"/>
      <c r="X96" s="722"/>
      <c r="Y96" s="722"/>
      <c r="Z96" s="722"/>
      <c r="AA96" s="722"/>
      <c r="AB96" s="722"/>
      <c r="AC96" s="186"/>
      <c r="AD96" s="722"/>
      <c r="AE96" s="722"/>
      <c r="AF96" s="722"/>
      <c r="AG96" s="722"/>
      <c r="AH96" s="722"/>
      <c r="AI96" s="722"/>
      <c r="AJ96" s="722"/>
      <c r="AK96" s="186"/>
      <c r="AL96" s="722"/>
      <c r="AM96" s="722"/>
      <c r="AN96" s="722"/>
      <c r="AO96" s="722"/>
      <c r="AP96" s="722"/>
      <c r="AQ96" s="722"/>
      <c r="AR96" s="722"/>
      <c r="AS96" s="183"/>
      <c r="AT96" s="722"/>
      <c r="AU96" s="722"/>
      <c r="AV96" s="722"/>
      <c r="AW96" s="722"/>
      <c r="AX96" s="722"/>
      <c r="AY96" s="722"/>
      <c r="AZ96" s="722"/>
      <c r="BA96" s="186"/>
      <c r="BB96" s="722"/>
      <c r="BC96" s="722"/>
      <c r="BD96" s="722"/>
      <c r="BE96" s="722"/>
      <c r="BF96" s="722"/>
      <c r="BG96" s="722"/>
      <c r="BH96" s="722"/>
      <c r="BI96" s="183"/>
      <c r="BJ96" s="721">
        <f t="shared" ca="1" si="86"/>
        <v>0</v>
      </c>
      <c r="BK96" s="1223" t="str">
        <f ca="1">IFERROR((BJ97/BJ96),"-")</f>
        <v>-</v>
      </c>
      <c r="BL96" s="183"/>
      <c r="BM96" s="1215">
        <v>0</v>
      </c>
      <c r="BN96" s="1269">
        <v>0</v>
      </c>
      <c r="BO96" s="1171">
        <v>0</v>
      </c>
      <c r="BP96" s="1223" t="str">
        <f>IFERROR((BO96/BN96),"-")</f>
        <v>-</v>
      </c>
      <c r="BQ96" s="186"/>
      <c r="BR96" s="1269">
        <v>208</v>
      </c>
      <c r="BS96" s="1171">
        <v>221</v>
      </c>
      <c r="BT96" s="1223">
        <f>IFERROR((BS96/BR96),"-")</f>
        <v>1.0625</v>
      </c>
      <c r="BU96" s="186"/>
      <c r="BV96" s="1269">
        <v>208</v>
      </c>
      <c r="BW96" s="1270">
        <v>0</v>
      </c>
      <c r="CB96" s="44" t="str">
        <f t="shared" si="70"/>
        <v>Seg. 4.1 - Montagem Bueiro</v>
      </c>
    </row>
    <row r="97" spans="1:80" s="73" customFormat="1" ht="15.75" hidden="1" outlineLevel="1">
      <c r="A97" s="734"/>
      <c r="B97" s="1166"/>
      <c r="C97" s="1203"/>
      <c r="D97" s="1168"/>
      <c r="E97" s="186"/>
      <c r="F97" s="178" t="s">
        <v>38</v>
      </c>
      <c r="G97" s="721">
        <f t="shared" ca="1" si="85"/>
        <v>0</v>
      </c>
      <c r="H97" s="1170"/>
      <c r="I97" s="187"/>
      <c r="J97" s="179" t="s">
        <v>38</v>
      </c>
      <c r="K97" s="721" cm="1">
        <f t="array" aca="1" ref="K97" ca="1">_xlfn.XLOOKUP($L$7,$N$7:$BH$7,$N97:BH97)</f>
        <v>0</v>
      </c>
      <c r="L97" s="1223"/>
      <c r="M97" s="186"/>
      <c r="N97" s="722"/>
      <c r="O97" s="722"/>
      <c r="P97" s="722"/>
      <c r="Q97" s="722"/>
      <c r="R97" s="722"/>
      <c r="S97" s="722"/>
      <c r="T97" s="722"/>
      <c r="U97" s="186"/>
      <c r="V97" s="722"/>
      <c r="W97" s="722"/>
      <c r="X97" s="722"/>
      <c r="Y97" s="722"/>
      <c r="Z97" s="722"/>
      <c r="AA97" s="722"/>
      <c r="AB97" s="722"/>
      <c r="AC97" s="186"/>
      <c r="AD97" s="722"/>
      <c r="AE97" s="722"/>
      <c r="AF97" s="722"/>
      <c r="AG97" s="722"/>
      <c r="AH97" s="722"/>
      <c r="AI97" s="722"/>
      <c r="AJ97" s="722"/>
      <c r="AK97" s="186"/>
      <c r="AL97" s="722"/>
      <c r="AM97" s="722"/>
      <c r="AN97" s="722"/>
      <c r="AO97" s="722"/>
      <c r="AP97" s="722"/>
      <c r="AQ97" s="722"/>
      <c r="AR97" s="722"/>
      <c r="AS97" s="183"/>
      <c r="AT97" s="722"/>
      <c r="AU97" s="722"/>
      <c r="AV97" s="722"/>
      <c r="AW97" s="722"/>
      <c r="AX97" s="722"/>
      <c r="AY97" s="722"/>
      <c r="AZ97" s="722"/>
      <c r="BA97" s="186"/>
      <c r="BB97" s="722"/>
      <c r="BC97" s="722"/>
      <c r="BD97" s="722"/>
      <c r="BE97" s="722"/>
      <c r="BF97" s="722"/>
      <c r="BG97" s="722"/>
      <c r="BH97" s="722"/>
      <c r="BI97" s="183"/>
      <c r="BJ97" s="721">
        <f t="shared" ca="1" si="86"/>
        <v>0</v>
      </c>
      <c r="BK97" s="1223"/>
      <c r="BL97" s="183"/>
      <c r="BM97" s="1216"/>
      <c r="BN97" s="1269"/>
      <c r="BO97" s="1171"/>
      <c r="BP97" s="1223"/>
      <c r="BQ97" s="186"/>
      <c r="BR97" s="1269"/>
      <c r="BS97" s="1171"/>
      <c r="BT97" s="1223"/>
      <c r="BU97" s="186"/>
      <c r="BV97" s="1269"/>
      <c r="BW97" s="1271"/>
      <c r="CB97" s="44" t="str">
        <f t="shared" si="70"/>
        <v>Seg. 4.1 - Montagem Bueiro</v>
      </c>
    </row>
    <row r="98" spans="1:80" s="73" customFormat="1" ht="15.75" hidden="1" outlineLevel="1">
      <c r="A98" s="734"/>
      <c r="B98" s="1166" t="s">
        <v>4213</v>
      </c>
      <c r="C98" s="1203" t="s">
        <v>52</v>
      </c>
      <c r="D98" s="1167" t="str">
        <f>IFERROR((C98/B98),"-")</f>
        <v>-</v>
      </c>
      <c r="E98" s="186"/>
      <c r="F98" s="188" t="s">
        <v>37</v>
      </c>
      <c r="G98" s="721">
        <f t="shared" ca="1" si="85"/>
        <v>0</v>
      </c>
      <c r="H98" s="1169" t="str">
        <f ca="1">IFERROR((G99/G98),"-")</f>
        <v>-</v>
      </c>
      <c r="I98" s="187"/>
      <c r="J98" s="189" t="s">
        <v>37</v>
      </c>
      <c r="K98" s="721" cm="1">
        <f t="array" aca="1" ref="K98" ca="1">_xlfn.XLOOKUP($L$7,$N$7:$BH$7,$N98:BH98)</f>
        <v>5</v>
      </c>
      <c r="L98" s="1223">
        <f ca="1">IFERROR((K99/K98),"-")</f>
        <v>0</v>
      </c>
      <c r="M98" s="186"/>
      <c r="N98" s="722"/>
      <c r="O98" s="722">
        <v>6</v>
      </c>
      <c r="P98" s="722">
        <v>9</v>
      </c>
      <c r="Q98" s="722">
        <v>3</v>
      </c>
      <c r="R98" s="722"/>
      <c r="S98" s="191"/>
      <c r="T98" s="722"/>
      <c r="U98" s="186"/>
      <c r="V98" s="722"/>
      <c r="W98" s="722"/>
      <c r="X98" s="722"/>
      <c r="Y98" s="722"/>
      <c r="Z98" s="722"/>
      <c r="AA98" s="722"/>
      <c r="AB98" s="722"/>
      <c r="AC98" s="186"/>
      <c r="AD98" s="722"/>
      <c r="AE98" s="722"/>
      <c r="AF98" s="722"/>
      <c r="AG98" s="722"/>
      <c r="AH98" s="722"/>
      <c r="AI98" s="722"/>
      <c r="AJ98" s="722"/>
      <c r="AK98" s="186"/>
      <c r="AL98" s="722"/>
      <c r="AM98" s="722">
        <v>5</v>
      </c>
      <c r="AN98" s="722">
        <v>12.25</v>
      </c>
      <c r="AO98" s="722">
        <v>12.25</v>
      </c>
      <c r="AP98" s="722">
        <v>14.25</v>
      </c>
      <c r="AQ98" s="722">
        <v>7.25</v>
      </c>
      <c r="AR98" s="722"/>
      <c r="AS98" s="183"/>
      <c r="AT98" s="722"/>
      <c r="AU98" s="722"/>
      <c r="AV98" s="722"/>
      <c r="AW98" s="722"/>
      <c r="AX98" s="722"/>
      <c r="AY98" s="191"/>
      <c r="AZ98" s="722"/>
      <c r="BA98" s="186"/>
      <c r="BB98" s="722"/>
      <c r="BC98" s="722"/>
      <c r="BD98" s="722"/>
      <c r="BE98" s="722"/>
      <c r="BF98" s="722"/>
      <c r="BG98" s="191"/>
      <c r="BH98" s="722"/>
      <c r="BI98" s="183"/>
      <c r="BJ98" s="721">
        <f t="shared" ca="1" si="86"/>
        <v>5</v>
      </c>
      <c r="BK98" s="1223">
        <f ca="1">IFERROR((BJ99/BJ98),"-")</f>
        <v>0</v>
      </c>
      <c r="BL98" s="183"/>
      <c r="BM98" s="1215">
        <v>51</v>
      </c>
      <c r="BN98" s="1269">
        <v>5</v>
      </c>
      <c r="BO98" s="1171">
        <v>0</v>
      </c>
      <c r="BP98" s="1223">
        <f>IFERROR((BO98/BN98),"-")</f>
        <v>0</v>
      </c>
      <c r="BQ98" s="186"/>
      <c r="BR98" s="1269">
        <v>266</v>
      </c>
      <c r="BS98" s="1171">
        <v>236</v>
      </c>
      <c r="BT98" s="1223">
        <f>IFERROR((BS98/BR98),"-")</f>
        <v>0.88721804511278191</v>
      </c>
      <c r="BU98" s="186"/>
      <c r="BV98" s="1269">
        <v>312</v>
      </c>
      <c r="BW98" s="1270">
        <v>51</v>
      </c>
      <c r="CB98" s="44" t="str">
        <f t="shared" si="70"/>
        <v>Seg. 4.2 - Montagem Bueiro</v>
      </c>
    </row>
    <row r="99" spans="1:80" s="73" customFormat="1" ht="15.75" hidden="1" outlineLevel="1">
      <c r="A99" s="734"/>
      <c r="B99" s="1166"/>
      <c r="C99" s="1203"/>
      <c r="D99" s="1168"/>
      <c r="E99" s="186"/>
      <c r="F99" s="178" t="s">
        <v>38</v>
      </c>
      <c r="G99" s="721">
        <f t="shared" ca="1" si="85"/>
        <v>0</v>
      </c>
      <c r="H99" s="1170"/>
      <c r="I99" s="187"/>
      <c r="J99" s="179" t="s">
        <v>38</v>
      </c>
      <c r="K99" s="721" cm="1">
        <f t="array" aca="1" ref="K99" ca="1">_xlfn.XLOOKUP($L$7,$N$7:$BH$7,$N99:BH99)</f>
        <v>0</v>
      </c>
      <c r="L99" s="1223"/>
      <c r="M99" s="186"/>
      <c r="N99" s="191"/>
      <c r="O99" s="722">
        <f>1+11</f>
        <v>12</v>
      </c>
      <c r="P99" s="722">
        <v>4</v>
      </c>
      <c r="Q99" s="722"/>
      <c r="R99" s="256"/>
      <c r="S99" s="722"/>
      <c r="T99" s="722"/>
      <c r="U99" s="186"/>
      <c r="V99" s="191"/>
      <c r="W99" s="722"/>
      <c r="X99" s="722"/>
      <c r="Y99" s="722"/>
      <c r="Z99" s="256"/>
      <c r="AA99" s="722"/>
      <c r="AB99" s="722"/>
      <c r="AC99" s="186"/>
      <c r="AD99" s="191"/>
      <c r="AE99" s="722"/>
      <c r="AF99" s="722"/>
      <c r="AG99" s="722"/>
      <c r="AH99" s="256"/>
      <c r="AI99" s="722"/>
      <c r="AJ99" s="722"/>
      <c r="AK99" s="186"/>
      <c r="AL99" s="191"/>
      <c r="AM99" s="722"/>
      <c r="AN99" s="722"/>
      <c r="AO99" s="722"/>
      <c r="AP99" s="256"/>
      <c r="AQ99" s="722"/>
      <c r="AR99" s="722"/>
      <c r="AS99" s="183"/>
      <c r="AT99" s="191"/>
      <c r="AU99" s="722"/>
      <c r="AV99" s="722"/>
      <c r="AW99" s="722"/>
      <c r="AX99" s="256"/>
      <c r="AY99" s="722"/>
      <c r="AZ99" s="722"/>
      <c r="BA99" s="186"/>
      <c r="BB99" s="191"/>
      <c r="BC99" s="722"/>
      <c r="BD99" s="722"/>
      <c r="BE99" s="722"/>
      <c r="BF99" s="256"/>
      <c r="BG99" s="722"/>
      <c r="BH99" s="722"/>
      <c r="BI99" s="183"/>
      <c r="BJ99" s="721">
        <f t="shared" ca="1" si="86"/>
        <v>0</v>
      </c>
      <c r="BK99" s="1223"/>
      <c r="BL99" s="183"/>
      <c r="BM99" s="1216"/>
      <c r="BN99" s="1269"/>
      <c r="BO99" s="1171"/>
      <c r="BP99" s="1223"/>
      <c r="BQ99" s="186"/>
      <c r="BR99" s="1269"/>
      <c r="BS99" s="1171"/>
      <c r="BT99" s="1223"/>
      <c r="BU99" s="186"/>
      <c r="BV99" s="1269"/>
      <c r="BW99" s="1271"/>
      <c r="CB99" s="44" t="str">
        <f t="shared" si="70"/>
        <v>Seg. 4.2 - Montagem Bueiro</v>
      </c>
    </row>
    <row r="100" spans="1:80" s="73" customFormat="1" ht="15.75" hidden="1" outlineLevel="1">
      <c r="A100" s="734"/>
      <c r="B100" s="1166" t="s">
        <v>4214</v>
      </c>
      <c r="C100" s="1203" t="s">
        <v>52</v>
      </c>
      <c r="D100" s="1167" t="str">
        <f>IFERROR((C100/B100),"-")</f>
        <v>-</v>
      </c>
      <c r="E100" s="186"/>
      <c r="F100" s="188" t="s">
        <v>37</v>
      </c>
      <c r="G100" s="721">
        <f t="shared" ca="1" si="85"/>
        <v>6</v>
      </c>
      <c r="H100" s="1169">
        <f ca="1">IFERROR((G101/G100),"-")</f>
        <v>0</v>
      </c>
      <c r="I100" s="187"/>
      <c r="J100" s="189" t="s">
        <v>37</v>
      </c>
      <c r="K100" s="721" cm="1">
        <f t="array" aca="1" ref="K100" ca="1">_xlfn.XLOOKUP($L$7,$N$7:$BH$7,$N100:BH100)</f>
        <v>0</v>
      </c>
      <c r="L100" s="1223" t="str">
        <f ca="1">IFERROR((K101/K100),"-")</f>
        <v>-</v>
      </c>
      <c r="M100" s="186"/>
      <c r="N100" s="722"/>
      <c r="O100" s="722"/>
      <c r="P100" s="722"/>
      <c r="Q100" s="722"/>
      <c r="R100" s="722"/>
      <c r="S100" s="722"/>
      <c r="T100" s="722"/>
      <c r="U100" s="186"/>
      <c r="V100" s="722"/>
      <c r="W100" s="722"/>
      <c r="X100" s="722"/>
      <c r="Y100" s="722"/>
      <c r="Z100" s="722"/>
      <c r="AA100" s="722"/>
      <c r="AB100" s="722"/>
      <c r="AC100" s="186"/>
      <c r="AD100" s="722"/>
      <c r="AE100" s="722"/>
      <c r="AF100" s="722"/>
      <c r="AG100" s="722">
        <v>3</v>
      </c>
      <c r="AH100" s="722">
        <v>3</v>
      </c>
      <c r="AI100" s="722"/>
      <c r="AJ100" s="722"/>
      <c r="AK100" s="186"/>
      <c r="AL100" s="722"/>
      <c r="AM100" s="722"/>
      <c r="AN100" s="722"/>
      <c r="AO100" s="722"/>
      <c r="AP100" s="722"/>
      <c r="AQ100" s="722"/>
      <c r="AR100" s="722"/>
      <c r="AS100" s="183"/>
      <c r="AT100" s="722"/>
      <c r="AU100" s="722"/>
      <c r="AV100" s="722"/>
      <c r="AW100" s="722"/>
      <c r="AX100" s="722"/>
      <c r="AY100" s="722"/>
      <c r="AZ100" s="722"/>
      <c r="BA100" s="186"/>
      <c r="BB100" s="722"/>
      <c r="BC100" s="722"/>
      <c r="BD100" s="722"/>
      <c r="BE100" s="722"/>
      <c r="BF100" s="722"/>
      <c r="BG100" s="722"/>
      <c r="BH100" s="722"/>
      <c r="BI100" s="183"/>
      <c r="BJ100" s="721">
        <f t="shared" ca="1" si="86"/>
        <v>0</v>
      </c>
      <c r="BK100" s="1223" t="str">
        <f ca="1">IFERROR((BJ101/BJ100),"-")</f>
        <v>-</v>
      </c>
      <c r="BL100" s="183"/>
      <c r="BM100" s="1215">
        <v>6</v>
      </c>
      <c r="BN100" s="1269">
        <v>6</v>
      </c>
      <c r="BO100" s="1171">
        <v>0</v>
      </c>
      <c r="BP100" s="1223">
        <f>IFERROR((BO100/BN100),"-")</f>
        <v>0</v>
      </c>
      <c r="BQ100" s="186"/>
      <c r="BR100" s="1269">
        <v>151</v>
      </c>
      <c r="BS100" s="1171">
        <v>145</v>
      </c>
      <c r="BT100" s="1223">
        <f>IFERROR((BS100/BR100),"-")</f>
        <v>0.96026490066225167</v>
      </c>
      <c r="BU100" s="186"/>
      <c r="BV100" s="1269">
        <v>151</v>
      </c>
      <c r="BW100" s="1270">
        <v>6</v>
      </c>
      <c r="CB100" s="44" t="str">
        <f t="shared" si="70"/>
        <v>Seg. 4.3 - Montagem Bueiro</v>
      </c>
    </row>
    <row r="101" spans="1:80" s="73" customFormat="1" ht="15.75" hidden="1" outlineLevel="1">
      <c r="A101" s="734"/>
      <c r="B101" s="1166"/>
      <c r="C101" s="1203"/>
      <c r="D101" s="1168"/>
      <c r="E101" s="186"/>
      <c r="F101" s="178" t="s">
        <v>38</v>
      </c>
      <c r="G101" s="721">
        <f t="shared" ca="1" si="85"/>
        <v>0</v>
      </c>
      <c r="H101" s="1170"/>
      <c r="I101" s="187"/>
      <c r="J101" s="179" t="s">
        <v>38</v>
      </c>
      <c r="K101" s="721" cm="1">
        <f t="array" aca="1" ref="K101" ca="1">_xlfn.XLOOKUP($L$7,$N$7:$BH$7,$N101:BH101)</f>
        <v>0</v>
      </c>
      <c r="L101" s="1223"/>
      <c r="M101" s="186"/>
      <c r="N101" s="722"/>
      <c r="O101" s="722"/>
      <c r="P101" s="722"/>
      <c r="Q101" s="722"/>
      <c r="R101" s="722"/>
      <c r="S101" s="722"/>
      <c r="T101" s="722"/>
      <c r="U101" s="186"/>
      <c r="V101" s="722"/>
      <c r="W101" s="722"/>
      <c r="X101" s="722"/>
      <c r="Y101" s="722"/>
      <c r="Z101" s="722"/>
      <c r="AA101" s="722"/>
      <c r="AB101" s="722"/>
      <c r="AC101" s="186"/>
      <c r="AD101" s="722"/>
      <c r="AE101" s="722"/>
      <c r="AF101" s="722"/>
      <c r="AG101" s="722"/>
      <c r="AH101" s="722"/>
      <c r="AI101" s="722"/>
      <c r="AJ101" s="722"/>
      <c r="AK101" s="186"/>
      <c r="AL101" s="722"/>
      <c r="AM101" s="722"/>
      <c r="AN101" s="722"/>
      <c r="AO101" s="722"/>
      <c r="AP101" s="722"/>
      <c r="AQ101" s="722"/>
      <c r="AR101" s="722"/>
      <c r="AS101" s="183"/>
      <c r="AT101" s="722"/>
      <c r="AU101" s="722"/>
      <c r="AV101" s="722"/>
      <c r="AW101" s="722"/>
      <c r="AX101" s="722"/>
      <c r="AY101" s="722"/>
      <c r="AZ101" s="722"/>
      <c r="BA101" s="186"/>
      <c r="BB101" s="722"/>
      <c r="BC101" s="722"/>
      <c r="BD101" s="722"/>
      <c r="BE101" s="722"/>
      <c r="BF101" s="722"/>
      <c r="BG101" s="722"/>
      <c r="BH101" s="722"/>
      <c r="BI101" s="183"/>
      <c r="BJ101" s="721">
        <f t="shared" ca="1" si="86"/>
        <v>0</v>
      </c>
      <c r="BK101" s="1223"/>
      <c r="BL101" s="183"/>
      <c r="BM101" s="1216"/>
      <c r="BN101" s="1269"/>
      <c r="BO101" s="1171"/>
      <c r="BP101" s="1223"/>
      <c r="BQ101" s="186"/>
      <c r="BR101" s="1269"/>
      <c r="BS101" s="1171"/>
      <c r="BT101" s="1223"/>
      <c r="BU101" s="186"/>
      <c r="BV101" s="1269"/>
      <c r="BW101" s="1271"/>
      <c r="CB101" s="44" t="str">
        <f t="shared" si="70"/>
        <v>Seg. 4.3 - Montagem Bueiro</v>
      </c>
    </row>
    <row r="102" spans="1:80" s="73" customFormat="1" ht="15.75" hidden="1" outlineLevel="1">
      <c r="A102" s="734"/>
      <c r="B102" s="1166" t="s">
        <v>4215</v>
      </c>
      <c r="C102" s="1203" t="s">
        <v>52</v>
      </c>
      <c r="D102" s="1167" t="str">
        <f>IFERROR((C102/B102),"-")</f>
        <v>-</v>
      </c>
      <c r="E102" s="186"/>
      <c r="F102" s="188" t="s">
        <v>37</v>
      </c>
      <c r="G102" s="721">
        <f t="shared" ca="1" si="85"/>
        <v>0</v>
      </c>
      <c r="H102" s="1169" t="str">
        <f ca="1">IFERROR((G103/G102),"-")</f>
        <v>-</v>
      </c>
      <c r="I102" s="187"/>
      <c r="J102" s="189" t="s">
        <v>37</v>
      </c>
      <c r="K102" s="721" cm="1">
        <f t="array" aca="1" ref="K102" ca="1">_xlfn.XLOOKUP($L$7,$N$7:$BH$7,$N102:BH102)</f>
        <v>0</v>
      </c>
      <c r="L102" s="1223" t="str">
        <f ca="1">IFERROR((K103/K102),"-")</f>
        <v>-</v>
      </c>
      <c r="M102" s="186"/>
      <c r="N102" s="722"/>
      <c r="O102" s="722"/>
      <c r="P102" s="722"/>
      <c r="Q102" s="722"/>
      <c r="R102" s="722"/>
      <c r="S102" s="722"/>
      <c r="T102" s="722"/>
      <c r="U102" s="186"/>
      <c r="V102" s="722"/>
      <c r="W102" s="722"/>
      <c r="X102" s="722"/>
      <c r="Y102" s="722"/>
      <c r="Z102" s="722"/>
      <c r="AA102" s="722"/>
      <c r="AB102" s="722"/>
      <c r="AC102" s="186"/>
      <c r="AD102" s="722"/>
      <c r="AE102" s="722"/>
      <c r="AF102" s="722"/>
      <c r="AG102" s="722"/>
      <c r="AH102" s="722"/>
      <c r="AI102" s="722"/>
      <c r="AJ102" s="722"/>
      <c r="AK102" s="186"/>
      <c r="AL102" s="722"/>
      <c r="AM102" s="722"/>
      <c r="AN102" s="722"/>
      <c r="AO102" s="722"/>
      <c r="AP102" s="722"/>
      <c r="AQ102" s="722"/>
      <c r="AR102" s="722"/>
      <c r="AS102" s="183"/>
      <c r="AT102" s="722"/>
      <c r="AU102" s="722"/>
      <c r="AV102" s="722"/>
      <c r="AW102" s="722"/>
      <c r="AX102" s="722"/>
      <c r="AY102" s="722"/>
      <c r="AZ102" s="722"/>
      <c r="BA102" s="186"/>
      <c r="BB102" s="722"/>
      <c r="BC102" s="722"/>
      <c r="BD102" s="722"/>
      <c r="BE102" s="722"/>
      <c r="BF102" s="722"/>
      <c r="BG102" s="722"/>
      <c r="BH102" s="722"/>
      <c r="BI102" s="183"/>
      <c r="BJ102" s="721">
        <f t="shared" ca="1" si="86"/>
        <v>0</v>
      </c>
      <c r="BK102" s="1223" t="str">
        <f ca="1">IFERROR((BJ103/BJ102),"-")</f>
        <v>-</v>
      </c>
      <c r="BL102" s="183"/>
      <c r="BM102" s="1215">
        <v>0</v>
      </c>
      <c r="BN102" s="1269">
        <v>0</v>
      </c>
      <c r="BO102" s="1171">
        <v>0</v>
      </c>
      <c r="BP102" s="1223" t="str">
        <f>IFERROR((BO102/BN102),"-")</f>
        <v>-</v>
      </c>
      <c r="BQ102" s="186"/>
      <c r="BR102" s="1269">
        <v>84</v>
      </c>
      <c r="BS102" s="1171">
        <v>84</v>
      </c>
      <c r="BT102" s="1223">
        <f>IFERROR((BS102/BR102),"-")</f>
        <v>1</v>
      </c>
      <c r="BU102" s="186"/>
      <c r="BV102" s="1269">
        <v>84</v>
      </c>
      <c r="BW102" s="1270">
        <v>0</v>
      </c>
      <c r="CB102" s="44" t="str">
        <f t="shared" si="70"/>
        <v>Seg. 4.4 - Montagem Bueiro</v>
      </c>
    </row>
    <row r="103" spans="1:80" s="73" customFormat="1" ht="16.350000000000001" hidden="1" customHeight="1" outlineLevel="1">
      <c r="A103" s="734"/>
      <c r="B103" s="1166"/>
      <c r="C103" s="1203"/>
      <c r="D103" s="1168"/>
      <c r="E103" s="186"/>
      <c r="F103" s="178" t="s">
        <v>38</v>
      </c>
      <c r="G103" s="721">
        <f t="shared" ca="1" si="85"/>
        <v>0</v>
      </c>
      <c r="H103" s="1170"/>
      <c r="I103" s="187"/>
      <c r="J103" s="179" t="s">
        <v>38</v>
      </c>
      <c r="K103" s="721" cm="1">
        <f t="array" aca="1" ref="K103" ca="1">_xlfn.XLOOKUP($L$7,$N$7:$BH$7,$N103:BH103)</f>
        <v>0</v>
      </c>
      <c r="L103" s="1223"/>
      <c r="M103" s="186"/>
      <c r="N103" s="722"/>
      <c r="O103" s="722"/>
      <c r="P103" s="722"/>
      <c r="Q103" s="722"/>
      <c r="R103" s="722"/>
      <c r="S103" s="722"/>
      <c r="T103" s="722"/>
      <c r="U103" s="186"/>
      <c r="V103" s="722"/>
      <c r="W103" s="722"/>
      <c r="X103" s="722"/>
      <c r="Y103" s="722"/>
      <c r="Z103" s="722"/>
      <c r="AA103" s="722"/>
      <c r="AB103" s="722"/>
      <c r="AC103" s="186"/>
      <c r="AD103" s="722"/>
      <c r="AE103" s="722"/>
      <c r="AF103" s="722"/>
      <c r="AG103" s="722"/>
      <c r="AH103" s="722"/>
      <c r="AI103" s="722"/>
      <c r="AJ103" s="722"/>
      <c r="AK103" s="186"/>
      <c r="AL103" s="722"/>
      <c r="AM103" s="722"/>
      <c r="AN103" s="722"/>
      <c r="AO103" s="722"/>
      <c r="AP103" s="722"/>
      <c r="AQ103" s="722"/>
      <c r="AR103" s="722"/>
      <c r="AS103" s="183"/>
      <c r="AT103" s="722"/>
      <c r="AU103" s="722"/>
      <c r="AV103" s="722"/>
      <c r="AW103" s="722"/>
      <c r="AX103" s="722"/>
      <c r="AY103" s="722"/>
      <c r="AZ103" s="722"/>
      <c r="BA103" s="186"/>
      <c r="BB103" s="722"/>
      <c r="BC103" s="722"/>
      <c r="BD103" s="722"/>
      <c r="BE103" s="722"/>
      <c r="BF103" s="722"/>
      <c r="BG103" s="722"/>
      <c r="BH103" s="722"/>
      <c r="BI103" s="183"/>
      <c r="BJ103" s="721">
        <f t="shared" ca="1" si="86"/>
        <v>0</v>
      </c>
      <c r="BK103" s="1223"/>
      <c r="BL103" s="183"/>
      <c r="BM103" s="1216"/>
      <c r="BN103" s="1269"/>
      <c r="BO103" s="1171"/>
      <c r="BP103" s="1223"/>
      <c r="BQ103" s="186"/>
      <c r="BR103" s="1269"/>
      <c r="BS103" s="1171"/>
      <c r="BT103" s="1223"/>
      <c r="BU103" s="186"/>
      <c r="BV103" s="1269"/>
      <c r="BW103" s="1271"/>
      <c r="CB103" s="44" t="str">
        <f t="shared" ref="CB103:CB120" si="87">IF(B103&lt;&gt;"",B103,CB102)</f>
        <v>Seg. 4.4 - Montagem Bueiro</v>
      </c>
    </row>
    <row r="104" spans="1:80" s="73" customFormat="1" ht="7.7" hidden="1" customHeight="1" outlineLevel="1">
      <c r="A104" s="157"/>
      <c r="B104" s="171"/>
      <c r="C104" s="172"/>
      <c r="D104" s="691"/>
      <c r="E104" s="169"/>
      <c r="F104" s="173"/>
      <c r="G104" s="692"/>
      <c r="H104" s="693"/>
      <c r="I104" s="170"/>
      <c r="J104" s="174"/>
      <c r="K104" s="175"/>
      <c r="L104" s="693"/>
      <c r="M104" s="169"/>
      <c r="N104" s="175"/>
      <c r="O104" s="175"/>
      <c r="P104" s="175"/>
      <c r="Q104" s="175"/>
      <c r="R104" s="175"/>
      <c r="S104" s="175"/>
      <c r="T104" s="175"/>
      <c r="U104" s="169"/>
      <c r="V104" s="175"/>
      <c r="W104" s="175"/>
      <c r="X104" s="175"/>
      <c r="Y104" s="175"/>
      <c r="Z104" s="175"/>
      <c r="AA104" s="175"/>
      <c r="AB104" s="175"/>
      <c r="AC104" s="169"/>
      <c r="AD104" s="175"/>
      <c r="AE104" s="175"/>
      <c r="AF104" s="175"/>
      <c r="AG104" s="175"/>
      <c r="AH104" s="175"/>
      <c r="AI104" s="175"/>
      <c r="AJ104" s="175"/>
      <c r="AK104" s="169"/>
      <c r="AL104" s="175"/>
      <c r="AM104" s="175"/>
      <c r="AN104" s="175"/>
      <c r="AO104" s="175"/>
      <c r="AP104" s="175"/>
      <c r="AQ104" s="175"/>
      <c r="AR104" s="175"/>
      <c r="AS104" s="169"/>
      <c r="AT104" s="175"/>
      <c r="AU104" s="175"/>
      <c r="AV104" s="175"/>
      <c r="AW104" s="175"/>
      <c r="AX104" s="175"/>
      <c r="AY104" s="175"/>
      <c r="AZ104" s="175"/>
      <c r="BA104" s="169"/>
      <c r="BB104" s="175"/>
      <c r="BC104" s="175"/>
      <c r="BD104" s="175"/>
      <c r="BE104" s="175"/>
      <c r="BF104" s="175"/>
      <c r="BG104" s="175"/>
      <c r="BH104" s="175"/>
      <c r="BI104" s="169"/>
      <c r="BJ104" s="175"/>
      <c r="BK104" s="693"/>
      <c r="BL104" s="169"/>
      <c r="BM104" s="175"/>
      <c r="BN104" s="175"/>
      <c r="BO104" s="175"/>
      <c r="BP104" s="693"/>
      <c r="BQ104" s="169"/>
      <c r="BR104" s="692"/>
      <c r="BS104" s="692"/>
      <c r="BT104" s="693"/>
      <c r="BU104" s="169"/>
      <c r="BV104" s="692"/>
      <c r="BW104" s="692"/>
      <c r="CB104" s="44" t="str">
        <f t="shared" si="87"/>
        <v>Seg. 4.4 - Montagem Bueiro</v>
      </c>
    </row>
    <row r="105" spans="1:80" ht="15.75" collapsed="1">
      <c r="A105" s="157"/>
      <c r="B105" s="171"/>
      <c r="C105" s="172"/>
      <c r="D105" s="691"/>
      <c r="E105" s="169"/>
      <c r="F105" s="173"/>
      <c r="G105" s="692"/>
      <c r="H105" s="693"/>
      <c r="I105" s="170"/>
      <c r="J105" s="174"/>
      <c r="K105" s="175"/>
      <c r="L105" s="693"/>
      <c r="M105" s="169"/>
      <c r="N105" s="175"/>
      <c r="O105" s="175"/>
      <c r="P105" s="175"/>
      <c r="Q105" s="175"/>
      <c r="R105" s="175"/>
      <c r="S105" s="175"/>
      <c r="T105" s="175"/>
      <c r="U105" s="169"/>
      <c r="V105" s="175"/>
      <c r="W105" s="175"/>
      <c r="X105" s="175"/>
      <c r="Y105" s="175"/>
      <c r="Z105" s="175"/>
      <c r="AA105" s="175"/>
      <c r="AB105" s="175"/>
      <c r="AC105" s="169"/>
      <c r="AD105" s="175"/>
      <c r="AE105" s="175"/>
      <c r="AF105" s="175"/>
      <c r="AG105" s="175"/>
      <c r="AH105" s="175"/>
      <c r="AI105" s="175"/>
      <c r="AJ105" s="175"/>
      <c r="AK105" s="169"/>
      <c r="AL105" s="175"/>
      <c r="AM105" s="175"/>
      <c r="AN105" s="175"/>
      <c r="AO105" s="175"/>
      <c r="AP105" s="175"/>
      <c r="AQ105" s="175"/>
      <c r="AR105" s="175"/>
      <c r="AS105" s="169"/>
      <c r="AT105" s="175"/>
      <c r="AU105" s="175"/>
      <c r="AV105" s="175"/>
      <c r="AW105" s="175"/>
      <c r="AX105" s="175"/>
      <c r="AY105" s="175"/>
      <c r="AZ105" s="175"/>
      <c r="BA105" s="169"/>
      <c r="BB105" s="175"/>
      <c r="BC105" s="175"/>
      <c r="BD105" s="175"/>
      <c r="BE105" s="175"/>
      <c r="BF105" s="175"/>
      <c r="BG105" s="175"/>
      <c r="BH105" s="175"/>
      <c r="BI105" s="169"/>
      <c r="BJ105" s="175"/>
      <c r="BK105" s="693"/>
      <c r="BL105" s="169"/>
      <c r="BM105" s="175"/>
      <c r="BN105" s="175"/>
      <c r="BO105" s="175"/>
      <c r="BP105" s="693"/>
      <c r="BQ105" s="169"/>
      <c r="BR105" s="692"/>
      <c r="BS105" s="692"/>
      <c r="BT105" s="693"/>
      <c r="BU105" s="169"/>
      <c r="BV105" s="692"/>
      <c r="BW105" s="692"/>
      <c r="CB105" s="44" t="str">
        <f t="shared" si="87"/>
        <v>Seg. 4.4 - Montagem Bueiro</v>
      </c>
    </row>
    <row r="106" spans="1:80" ht="15.75">
      <c r="A106" s="733"/>
      <c r="B106" s="1294" t="s">
        <v>4216</v>
      </c>
      <c r="C106" s="1295" t="s">
        <v>1437</v>
      </c>
      <c r="D106" s="1206">
        <f>IFERROR((BS106-BR106),"-")</f>
        <v>0</v>
      </c>
      <c r="E106" s="186"/>
      <c r="F106" s="483" t="s">
        <v>37</v>
      </c>
      <c r="G106" s="484">
        <f ca="1">SUMIFS($N106:$BH106,$N$1:$BH$1,$H$4)</f>
        <v>2</v>
      </c>
      <c r="H106" s="1296">
        <f ca="1">IFERROR((G107/G106),"-")</f>
        <v>1</v>
      </c>
      <c r="I106" s="187"/>
      <c r="J106" s="485" t="s">
        <v>37</v>
      </c>
      <c r="K106" s="487" cm="1">
        <f t="array" aca="1" ref="K106" ca="1">_xlfn.XLOOKUP($L$7,$N$7:$BH$7,$N106:BH106)</f>
        <v>0</v>
      </c>
      <c r="L106" s="1296" t="str">
        <f ca="1">IFERROR((K107/K106),"-")</f>
        <v>-</v>
      </c>
      <c r="M106" s="186"/>
      <c r="N106" s="486">
        <f>SUM(N110+N112+N114+N116+N118)</f>
        <v>0</v>
      </c>
      <c r="O106" s="487">
        <f t="shared" ref="O106:T106" si="88">SUM(O110+O112+O114+O116+O118)</f>
        <v>0</v>
      </c>
      <c r="P106" s="486">
        <f t="shared" si="88"/>
        <v>1</v>
      </c>
      <c r="Q106" s="486">
        <f t="shared" si="88"/>
        <v>0</v>
      </c>
      <c r="R106" s="486">
        <f t="shared" si="88"/>
        <v>0</v>
      </c>
      <c r="S106" s="486">
        <f t="shared" si="88"/>
        <v>1</v>
      </c>
      <c r="T106" s="486">
        <f t="shared" si="88"/>
        <v>0</v>
      </c>
      <c r="U106" s="186"/>
      <c r="V106" s="486">
        <f>SUM(V110+V112+V114+V116+V118)</f>
        <v>0</v>
      </c>
      <c r="W106" s="486">
        <f t="shared" ref="W106:AB107" si="89">SUM(W110+W112+W114+W116+W118)</f>
        <v>1</v>
      </c>
      <c r="X106" s="486">
        <f t="shared" si="89"/>
        <v>1</v>
      </c>
      <c r="Y106" s="486">
        <f t="shared" si="89"/>
        <v>0</v>
      </c>
      <c r="Z106" s="486">
        <f t="shared" si="89"/>
        <v>1</v>
      </c>
      <c r="AA106" s="486">
        <f t="shared" si="89"/>
        <v>1</v>
      </c>
      <c r="AB106" s="486">
        <f t="shared" si="89"/>
        <v>0</v>
      </c>
      <c r="AC106" s="186"/>
      <c r="AD106" s="486">
        <f>SUM(AD110+AD112+AD114+AD116+AD118)</f>
        <v>0</v>
      </c>
      <c r="AE106" s="487">
        <f t="shared" ref="AE106:AJ106" si="90">SUM(AE110+AE112+AE114+AE116+AE118)</f>
        <v>0</v>
      </c>
      <c r="AF106" s="486">
        <f t="shared" si="90"/>
        <v>1</v>
      </c>
      <c r="AG106" s="486">
        <f t="shared" si="90"/>
        <v>0</v>
      </c>
      <c r="AH106" s="486">
        <f t="shared" si="90"/>
        <v>0</v>
      </c>
      <c r="AI106" s="486">
        <f t="shared" si="90"/>
        <v>1</v>
      </c>
      <c r="AJ106" s="486">
        <f t="shared" si="90"/>
        <v>0</v>
      </c>
      <c r="AK106" s="186"/>
      <c r="AL106" s="486">
        <f>SUM(AL110+AL112+AL114+AL116+AL118)</f>
        <v>0</v>
      </c>
      <c r="AM106" s="487">
        <f t="shared" ref="AM106:AR106" si="91">SUM(AM110+AM112+AM114+AM116+AM118)</f>
        <v>0</v>
      </c>
      <c r="AN106" s="486">
        <f t="shared" si="91"/>
        <v>1</v>
      </c>
      <c r="AO106" s="486">
        <f t="shared" si="91"/>
        <v>0</v>
      </c>
      <c r="AP106" s="486">
        <f t="shared" si="91"/>
        <v>0</v>
      </c>
      <c r="AQ106" s="486">
        <f t="shared" si="91"/>
        <v>1</v>
      </c>
      <c r="AR106" s="486">
        <f t="shared" si="91"/>
        <v>0</v>
      </c>
      <c r="AS106" s="187"/>
      <c r="AT106" s="486">
        <f>SUM(AT110+AT112+AT114+AT116+AT118)</f>
        <v>0</v>
      </c>
      <c r="AU106" s="487">
        <f t="shared" ref="AU106:AZ106" si="92">SUM(AU110+AU112+AU114+AU116+AU118)</f>
        <v>0</v>
      </c>
      <c r="AV106" s="486">
        <f t="shared" si="92"/>
        <v>1</v>
      </c>
      <c r="AW106" s="486">
        <f t="shared" si="92"/>
        <v>0</v>
      </c>
      <c r="AX106" s="486">
        <f t="shared" si="92"/>
        <v>0</v>
      </c>
      <c r="AY106" s="486">
        <f t="shared" si="92"/>
        <v>1</v>
      </c>
      <c r="AZ106" s="486">
        <f t="shared" si="92"/>
        <v>0</v>
      </c>
      <c r="BA106" s="186"/>
      <c r="BB106" s="486">
        <f>SUM(BB110+BB112+BB114+BB116+BB118)</f>
        <v>0</v>
      </c>
      <c r="BC106" s="487">
        <f t="shared" ref="BC106:BH106" si="93">SUM(BC110+BC112+BC114+BC116+BC118)</f>
        <v>0</v>
      </c>
      <c r="BD106" s="486">
        <f t="shared" si="93"/>
        <v>0</v>
      </c>
      <c r="BE106" s="486">
        <f t="shared" si="93"/>
        <v>0</v>
      </c>
      <c r="BF106" s="486">
        <f t="shared" si="93"/>
        <v>0</v>
      </c>
      <c r="BG106" s="486">
        <f t="shared" si="93"/>
        <v>0</v>
      </c>
      <c r="BH106" s="486">
        <f t="shared" si="93"/>
        <v>0</v>
      </c>
      <c r="BI106" s="187"/>
      <c r="BJ106" s="721">
        <f ca="1">SUMIFS(N106:BI106,$N$7:$BI$7,"&gt;="&amp;($L$7-WEEKDAY($L$7,2)+1),$N$7:$BI$7,"&lt;="&amp;$L$7)</f>
        <v>0</v>
      </c>
      <c r="BK106" s="1272" t="str">
        <f ca="1">IFERROR((BJ107/BJ106),"-")</f>
        <v>-</v>
      </c>
      <c r="BL106" s="187"/>
      <c r="BM106" s="1274">
        <f>SUM(BM110:BM119)</f>
        <v>10</v>
      </c>
      <c r="BN106" s="1274">
        <f>SUM(BN110:BN119)</f>
        <v>6</v>
      </c>
      <c r="BO106" s="1276">
        <f>SUM(BO110:BO119)</f>
        <v>4</v>
      </c>
      <c r="BP106" s="1277">
        <f>IFERROR((BO106/BN106),"-")</f>
        <v>0.66666666666666663</v>
      </c>
      <c r="BQ106" s="186"/>
      <c r="BR106" s="1276">
        <f>SUM(BR110:BR119)</f>
        <v>142</v>
      </c>
      <c r="BS106" s="1276">
        <f>SUM(BS110:BS119)</f>
        <v>142</v>
      </c>
      <c r="BT106" s="1277">
        <f>IFERROR((BS106/BR106),"-")</f>
        <v>1</v>
      </c>
      <c r="BU106" s="190"/>
      <c r="BV106" s="1276">
        <f>SUM(BV110:BV119)</f>
        <v>148</v>
      </c>
      <c r="BW106" s="1276">
        <f>SUM(BW110:BW119)</f>
        <v>6</v>
      </c>
      <c r="CB106" s="44" t="str">
        <f t="shared" si="87"/>
        <v>Alas</v>
      </c>
    </row>
    <row r="107" spans="1:80" ht="18" customHeight="1">
      <c r="A107" s="157"/>
      <c r="B107" s="1294"/>
      <c r="C107" s="1295"/>
      <c r="D107" s="1207"/>
      <c r="E107" s="186"/>
      <c r="F107" s="488" t="s">
        <v>38</v>
      </c>
      <c r="G107" s="484">
        <f ca="1">SUMIFS($N107:$BH107,$N$1:$BH$1,$H$4)</f>
        <v>2</v>
      </c>
      <c r="H107" s="1297"/>
      <c r="I107" s="187"/>
      <c r="J107" s="489" t="s">
        <v>38</v>
      </c>
      <c r="K107" s="487" cm="1">
        <f t="array" aca="1" ref="K107" ca="1">_xlfn.XLOOKUP($L$7,$N$7:$BH$7,$N107:BH107)</f>
        <v>0</v>
      </c>
      <c r="L107" s="1297"/>
      <c r="M107" s="186"/>
      <c r="N107" s="487">
        <f>SUM(N111+N113+N115+N117+N119)</f>
        <v>0</v>
      </c>
      <c r="O107" s="487">
        <f>SUM(O111+O113+O115+O117+O119)</f>
        <v>0</v>
      </c>
      <c r="P107" s="487">
        <v>0</v>
      </c>
      <c r="Q107" s="487">
        <f>SUM(Q111+Q113+Q115+Q117+Q119)</f>
        <v>0</v>
      </c>
      <c r="R107" s="487">
        <f>SUM(R111+R113+R115+R117+R119)</f>
        <v>1</v>
      </c>
      <c r="S107" s="487">
        <f>SUM(S111+S113+S115+S117+S119)</f>
        <v>1</v>
      </c>
      <c r="T107" s="486">
        <f>SUM(T111+T113+T115+T117+T119)</f>
        <v>0</v>
      </c>
      <c r="U107" s="186"/>
      <c r="V107" s="487">
        <f>SUM(V111+V113+V115+V117+V119)</f>
        <v>0</v>
      </c>
      <c r="W107" s="487">
        <f t="shared" si="89"/>
        <v>0.5</v>
      </c>
      <c r="X107" s="487">
        <v>0</v>
      </c>
      <c r="Y107" s="487">
        <f t="shared" si="89"/>
        <v>0</v>
      </c>
      <c r="Z107" s="487">
        <f t="shared" si="89"/>
        <v>1.5</v>
      </c>
      <c r="AA107" s="487">
        <f t="shared" si="89"/>
        <v>2</v>
      </c>
      <c r="AB107" s="486">
        <f t="shared" si="89"/>
        <v>0</v>
      </c>
      <c r="AC107" s="186"/>
      <c r="AD107" s="487">
        <f>SUM(AD111+AD113+AD115+AD117+AD119)</f>
        <v>2</v>
      </c>
      <c r="AE107" s="487">
        <f>SUM(AE111+AE113+AE115+AE117+AE119)</f>
        <v>0</v>
      </c>
      <c r="AF107" s="487">
        <v>0</v>
      </c>
      <c r="AG107" s="487">
        <f>SUM(AG111+AG113+AG115+AG117+AG119)</f>
        <v>0</v>
      </c>
      <c r="AH107" s="487">
        <f>SUM(AH111+AH113+AH115+AH117+AH119)</f>
        <v>0</v>
      </c>
      <c r="AI107" s="487">
        <f>SUM(AI111+AI113+AI115+AI117+AI119)</f>
        <v>0</v>
      </c>
      <c r="AJ107" s="486">
        <f>SUM(AJ111+AJ113+AJ115+AJ117+AJ119)</f>
        <v>0</v>
      </c>
      <c r="AK107" s="186"/>
      <c r="AL107" s="487">
        <f>SUM(AL111+AL113+AL115+AL117+AL119)</f>
        <v>0</v>
      </c>
      <c r="AM107" s="487">
        <f>SUM(AM111+AM113+AM115+AM117+AM119)</f>
        <v>0</v>
      </c>
      <c r="AN107" s="487">
        <v>0</v>
      </c>
      <c r="AO107" s="487">
        <f>SUM(AO111+AO113+AO115+AO117+AO119)</f>
        <v>0</v>
      </c>
      <c r="AP107" s="487">
        <f>SUM(AP111+AP113+AP115+AP117+AP119)</f>
        <v>0</v>
      </c>
      <c r="AQ107" s="487">
        <f>SUM(AQ111+AQ113+AQ115+AQ117+AQ119)</f>
        <v>0</v>
      </c>
      <c r="AR107" s="486">
        <f>SUM(AR111+AR113+AR115+AR117+AR119)</f>
        <v>0</v>
      </c>
      <c r="AS107" s="187"/>
      <c r="AT107" s="487">
        <f>SUM(AT111+AT113+AT115+AT117+AT119)</f>
        <v>0</v>
      </c>
      <c r="AU107" s="487">
        <f>SUM(AU111+AU113+AU115+AU117+AU119)</f>
        <v>0</v>
      </c>
      <c r="AV107" s="487">
        <v>0</v>
      </c>
      <c r="AW107" s="487">
        <f>SUM(AW111+AW113+AW115+AW117+AW119)</f>
        <v>0</v>
      </c>
      <c r="AX107" s="487">
        <f>SUM(AX111+AX113+AX115+AX117+AX119)</f>
        <v>0</v>
      </c>
      <c r="AY107" s="487">
        <f>SUM(AY111+AY113+AY115+AY117+AY119)</f>
        <v>0</v>
      </c>
      <c r="AZ107" s="486">
        <f>SUM(AZ111+AZ113+AZ115+AZ117+AZ119)</f>
        <v>0</v>
      </c>
      <c r="BA107" s="186"/>
      <c r="BB107" s="487">
        <f>SUM(BB111+BB113+BB115+BB117+BB119)</f>
        <v>0</v>
      </c>
      <c r="BC107" s="487">
        <f>SUM(BC111+BC113+BC115+BC117+BC119)</f>
        <v>0</v>
      </c>
      <c r="BD107" s="487">
        <v>0</v>
      </c>
      <c r="BE107" s="487">
        <f>SUM(BE111+BE113+BE115+BE117+BE119)</f>
        <v>0</v>
      </c>
      <c r="BF107" s="487">
        <f>SUM(BF111+BF113+BF115+BF117+BF119)</f>
        <v>0</v>
      </c>
      <c r="BG107" s="487">
        <f>SUM(BG111+BG113+BG115+BG117+BG119)</f>
        <v>0</v>
      </c>
      <c r="BH107" s="486">
        <f>SUM(BH111+BH113+BH115+BH117+BH119)</f>
        <v>0</v>
      </c>
      <c r="BI107" s="187"/>
      <c r="BJ107" s="721">
        <f ca="1">SUMIFS(N107:BI107,$N$7:$BI$7,"&gt;="&amp;($L$7-WEEKDAY($L$7,2)+1),$N$7:$BI$7,"&lt;="&amp;$L$7)</f>
        <v>0</v>
      </c>
      <c r="BK107" s="1273"/>
      <c r="BL107" s="187"/>
      <c r="BM107" s="1275"/>
      <c r="BN107" s="1275"/>
      <c r="BO107" s="1276"/>
      <c r="BP107" s="1277"/>
      <c r="BQ107" s="186"/>
      <c r="BR107" s="1276"/>
      <c r="BS107" s="1276"/>
      <c r="BT107" s="1277"/>
      <c r="BU107" s="190"/>
      <c r="BV107" s="1276"/>
      <c r="BW107" s="1276"/>
      <c r="CB107" s="44" t="str">
        <f t="shared" si="87"/>
        <v>Alas</v>
      </c>
    </row>
    <row r="108" spans="1:80" ht="3.4" customHeight="1">
      <c r="A108" s="157"/>
      <c r="B108" s="171"/>
      <c r="C108" s="172"/>
      <c r="D108" s="691"/>
      <c r="E108" s="169"/>
      <c r="F108" s="173"/>
      <c r="G108" s="692"/>
      <c r="H108" s="693"/>
      <c r="I108" s="170"/>
      <c r="J108" s="174"/>
      <c r="K108" s="175"/>
      <c r="L108" s="693"/>
      <c r="M108" s="169"/>
      <c r="N108" s="175"/>
      <c r="O108" s="175"/>
      <c r="P108" s="175"/>
      <c r="Q108" s="175"/>
      <c r="R108" s="175"/>
      <c r="S108" s="175"/>
      <c r="T108" s="175"/>
      <c r="U108" s="169"/>
      <c r="V108" s="175"/>
      <c r="W108" s="175"/>
      <c r="X108" s="175"/>
      <c r="Y108" s="175"/>
      <c r="Z108" s="175"/>
      <c r="AA108" s="175"/>
      <c r="AB108" s="175"/>
      <c r="AC108" s="169"/>
      <c r="AD108" s="175"/>
      <c r="AE108" s="175"/>
      <c r="AF108" s="175"/>
      <c r="AG108" s="175"/>
      <c r="AH108" s="175"/>
      <c r="AI108" s="175"/>
      <c r="AJ108" s="175"/>
      <c r="AK108" s="169"/>
      <c r="AL108" s="175"/>
      <c r="AM108" s="175"/>
      <c r="AN108" s="175"/>
      <c r="AO108" s="175"/>
      <c r="AP108" s="175"/>
      <c r="AQ108" s="175"/>
      <c r="AR108" s="175"/>
      <c r="AS108" s="169"/>
      <c r="AT108" s="175"/>
      <c r="AU108" s="175"/>
      <c r="AV108" s="175"/>
      <c r="AW108" s="175"/>
      <c r="AX108" s="175"/>
      <c r="AY108" s="175"/>
      <c r="AZ108" s="175"/>
      <c r="BA108" s="169"/>
      <c r="BB108" s="175"/>
      <c r="BC108" s="175"/>
      <c r="BD108" s="175"/>
      <c r="BE108" s="175"/>
      <c r="BF108" s="175"/>
      <c r="BG108" s="175"/>
      <c r="BH108" s="175"/>
      <c r="BI108" s="169"/>
      <c r="BJ108" s="175"/>
      <c r="BK108" s="693"/>
      <c r="BL108" s="169"/>
      <c r="BM108" s="175"/>
      <c r="BN108" s="175"/>
      <c r="BO108" s="175"/>
      <c r="BP108" s="693"/>
      <c r="BQ108" s="169"/>
      <c r="BR108" s="692"/>
      <c r="BS108" s="692"/>
      <c r="BT108" s="693"/>
      <c r="BU108" s="169"/>
      <c r="BV108" s="692"/>
      <c r="BW108" s="692"/>
      <c r="CB108" s="44" t="str">
        <f t="shared" si="87"/>
        <v>Alas</v>
      </c>
    </row>
    <row r="109" spans="1:80" ht="19.350000000000001" hidden="1" customHeight="1" outlineLevel="1">
      <c r="A109" s="157"/>
      <c r="B109" s="171"/>
      <c r="C109" s="172"/>
      <c r="D109" s="691"/>
      <c r="E109" s="169"/>
      <c r="F109" s="173"/>
      <c r="G109" s="692"/>
      <c r="H109" s="693"/>
      <c r="I109" s="170"/>
      <c r="J109" s="174"/>
      <c r="K109" s="175"/>
      <c r="L109" s="693"/>
      <c r="M109" s="169"/>
      <c r="N109" s="175"/>
      <c r="O109" s="175"/>
      <c r="P109" s="175"/>
      <c r="Q109" s="175"/>
      <c r="R109" s="175"/>
      <c r="S109" s="175"/>
      <c r="T109" s="175"/>
      <c r="U109" s="169"/>
      <c r="V109" s="175"/>
      <c r="W109" s="175"/>
      <c r="X109" s="175"/>
      <c r="Y109" s="175"/>
      <c r="Z109" s="175"/>
      <c r="AA109" s="175"/>
      <c r="AB109" s="175"/>
      <c r="AC109" s="169"/>
      <c r="AD109" s="175"/>
      <c r="AE109" s="175"/>
      <c r="AF109" s="175"/>
      <c r="AG109" s="175"/>
      <c r="AH109" s="175"/>
      <c r="AI109" s="175"/>
      <c r="AJ109" s="175"/>
      <c r="AK109" s="169"/>
      <c r="AL109" s="175"/>
      <c r="AM109" s="175"/>
      <c r="AN109" s="175"/>
      <c r="AO109" s="175"/>
      <c r="AP109" s="175"/>
      <c r="AQ109" s="175"/>
      <c r="AR109" s="175"/>
      <c r="AS109" s="169"/>
      <c r="AT109" s="175"/>
      <c r="AU109" s="175"/>
      <c r="AV109" s="175"/>
      <c r="AW109" s="175"/>
      <c r="AX109" s="175"/>
      <c r="AY109" s="175"/>
      <c r="AZ109" s="175"/>
      <c r="BA109" s="169"/>
      <c r="BB109" s="175"/>
      <c r="BC109" s="175"/>
      <c r="BD109" s="175"/>
      <c r="BE109" s="175"/>
      <c r="BF109" s="175"/>
      <c r="BG109" s="175"/>
      <c r="BH109" s="175"/>
      <c r="BI109" s="169"/>
      <c r="BJ109" s="175"/>
      <c r="BK109" s="693"/>
      <c r="BL109" s="169"/>
      <c r="BM109" s="175"/>
      <c r="BN109" s="175"/>
      <c r="BO109" s="175"/>
      <c r="BP109" s="693"/>
      <c r="BQ109" s="169"/>
      <c r="BR109" s="692"/>
      <c r="BS109" s="692"/>
      <c r="BT109" s="693"/>
      <c r="BU109" s="169"/>
      <c r="BV109" s="692"/>
      <c r="BW109" s="692"/>
      <c r="CB109" s="44" t="str">
        <f t="shared" si="87"/>
        <v>Alas</v>
      </c>
    </row>
    <row r="110" spans="1:80" ht="19.350000000000001" hidden="1" customHeight="1" outlineLevel="1">
      <c r="A110" s="734"/>
      <c r="B110" s="1166" t="s">
        <v>4217</v>
      </c>
      <c r="C110" s="723" t="s">
        <v>1437</v>
      </c>
      <c r="D110" s="1167" t="str">
        <f>IFERROR((C110/B110),"-")</f>
        <v>-</v>
      </c>
      <c r="E110" s="186"/>
      <c r="F110" s="188" t="s">
        <v>37</v>
      </c>
      <c r="G110" s="721">
        <f t="shared" ref="G110:G119" ca="1" si="94">SUMIFS($N110:$BH110,$N$1:$BH$1,$H$4)</f>
        <v>0</v>
      </c>
      <c r="H110" s="1169" t="str">
        <f ca="1">IFERROR((G111/G110),"-")</f>
        <v>-</v>
      </c>
      <c r="I110" s="187"/>
      <c r="J110" s="189" t="s">
        <v>37</v>
      </c>
      <c r="K110" s="721" cm="1">
        <f t="array" aca="1" ref="K110" ca="1">_xlfn.XLOOKUP($L$7,$N$7:$BH$7,$N110:BH110)</f>
        <v>0</v>
      </c>
      <c r="L110" s="1171" t="str">
        <f ca="1">IFERROR((K111/K110),"-")</f>
        <v>-</v>
      </c>
      <c r="M110" s="186"/>
      <c r="N110" s="722"/>
      <c r="O110" s="722"/>
      <c r="P110" s="242"/>
      <c r="Q110" s="722"/>
      <c r="R110" s="242"/>
      <c r="S110" s="722"/>
      <c r="T110" s="722"/>
      <c r="U110" s="186"/>
      <c r="V110" s="722"/>
      <c r="W110" s="722"/>
      <c r="X110" s="242"/>
      <c r="Y110" s="722"/>
      <c r="Z110" s="242"/>
      <c r="AA110" s="722"/>
      <c r="AB110" s="722"/>
      <c r="AC110" s="186"/>
      <c r="AD110" s="722"/>
      <c r="AE110" s="722"/>
      <c r="AF110" s="242"/>
      <c r="AG110" s="722"/>
      <c r="AH110" s="242"/>
      <c r="AI110" s="722"/>
      <c r="AJ110" s="722"/>
      <c r="AK110" s="186"/>
      <c r="AL110" s="722"/>
      <c r="AM110" s="722"/>
      <c r="AN110" s="242"/>
      <c r="AO110" s="722"/>
      <c r="AP110" s="242"/>
      <c r="AQ110" s="722"/>
      <c r="AR110" s="722"/>
      <c r="AS110" s="187"/>
      <c r="AT110" s="722"/>
      <c r="AU110" s="722"/>
      <c r="AV110" s="242"/>
      <c r="AW110" s="722"/>
      <c r="AX110" s="242"/>
      <c r="AY110" s="722"/>
      <c r="AZ110" s="722"/>
      <c r="BA110" s="186"/>
      <c r="BB110" s="722"/>
      <c r="BC110" s="722"/>
      <c r="BD110" s="242"/>
      <c r="BE110" s="722"/>
      <c r="BF110" s="242"/>
      <c r="BG110" s="722"/>
      <c r="BH110" s="722"/>
      <c r="BI110" s="187"/>
      <c r="BJ110" s="721">
        <f ca="1">SUMIFS(N110:BI110,$N$7:$BI$7,"&gt;="&amp;($L$7-WEEKDAY($L$7,2)+1),$N$7:$BI$7,"&lt;="&amp;$L$7)</f>
        <v>0</v>
      </c>
      <c r="BK110" s="1223" t="str">
        <f ca="1">IFERROR((BJ111/BJ110),"-")</f>
        <v>-</v>
      </c>
      <c r="BL110" s="187"/>
      <c r="BM110" s="1215">
        <v>0</v>
      </c>
      <c r="BN110" s="1269">
        <v>0</v>
      </c>
      <c r="BO110" s="1299">
        <v>0</v>
      </c>
      <c r="BP110" s="1223" t="str">
        <f>IFERROR((BO110/BN110),"-")</f>
        <v>-</v>
      </c>
      <c r="BQ110" s="186"/>
      <c r="BR110" s="1269">
        <v>34</v>
      </c>
      <c r="BS110" s="1171">
        <v>34</v>
      </c>
      <c r="BT110" s="1223">
        <f>IFERROR((BS110/BR110),"-")</f>
        <v>1</v>
      </c>
      <c r="BU110" s="186"/>
      <c r="BV110" s="1269">
        <v>34</v>
      </c>
      <c r="BW110" s="1298">
        <v>0</v>
      </c>
      <c r="CB110" s="44" t="str">
        <f t="shared" si="87"/>
        <v>Seg. 3.A2 - Alas</v>
      </c>
    </row>
    <row r="111" spans="1:80" ht="19.350000000000001" hidden="1" customHeight="1" outlineLevel="1">
      <c r="A111" s="734"/>
      <c r="B111" s="1166"/>
      <c r="C111" s="723"/>
      <c r="D111" s="1168"/>
      <c r="E111" s="186"/>
      <c r="F111" s="178" t="s">
        <v>38</v>
      </c>
      <c r="G111" s="721">
        <f t="shared" ca="1" si="94"/>
        <v>0</v>
      </c>
      <c r="H111" s="1170"/>
      <c r="I111" s="187"/>
      <c r="J111" s="179" t="s">
        <v>38</v>
      </c>
      <c r="K111" s="721" cm="1">
        <f t="array" aca="1" ref="K111" ca="1">_xlfn.XLOOKUP($L$7,$N$7:$BH$7,$N111:BH111)</f>
        <v>0</v>
      </c>
      <c r="L111" s="1171"/>
      <c r="M111" s="186"/>
      <c r="N111" s="191"/>
      <c r="O111" s="191"/>
      <c r="P111" s="191"/>
      <c r="Q111" s="191"/>
      <c r="R111" s="191"/>
      <c r="S111" s="191"/>
      <c r="T111" s="722"/>
      <c r="U111" s="186"/>
      <c r="V111" s="191"/>
      <c r="W111" s="191"/>
      <c r="X111" s="191"/>
      <c r="Y111" s="191"/>
      <c r="Z111" s="191"/>
      <c r="AA111" s="191"/>
      <c r="AB111" s="722"/>
      <c r="AC111" s="186"/>
      <c r="AD111" s="191"/>
      <c r="AE111" s="191"/>
      <c r="AF111" s="191"/>
      <c r="AG111" s="191"/>
      <c r="AH111" s="191"/>
      <c r="AI111" s="191"/>
      <c r="AJ111" s="722"/>
      <c r="AK111" s="186"/>
      <c r="AL111" s="191"/>
      <c r="AM111" s="191"/>
      <c r="AN111" s="191"/>
      <c r="AO111" s="191"/>
      <c r="AP111" s="191"/>
      <c r="AQ111" s="191"/>
      <c r="AR111" s="722"/>
      <c r="AS111" s="187"/>
      <c r="AT111" s="191"/>
      <c r="AU111" s="191"/>
      <c r="AV111" s="191"/>
      <c r="AW111" s="191"/>
      <c r="AX111" s="191"/>
      <c r="AY111" s="191"/>
      <c r="AZ111" s="722"/>
      <c r="BA111" s="186"/>
      <c r="BB111" s="191"/>
      <c r="BC111" s="191"/>
      <c r="BD111" s="191"/>
      <c r="BE111" s="191"/>
      <c r="BF111" s="191"/>
      <c r="BG111" s="191"/>
      <c r="BH111" s="722"/>
      <c r="BI111" s="187"/>
      <c r="BJ111" s="721">
        <f t="shared" ref="BJ111:BJ119" ca="1" si="95">SUMIFS(N111:BI111,$N$7:$BI$7,"&gt;="&amp;($L$7-WEEKDAY($L$7,2)+1),$N$7:$BI$7,"&lt;="&amp;$L$7)</f>
        <v>0</v>
      </c>
      <c r="BK111" s="1223"/>
      <c r="BL111" s="187"/>
      <c r="BM111" s="1216"/>
      <c r="BN111" s="1269"/>
      <c r="BO111" s="1299"/>
      <c r="BP111" s="1223"/>
      <c r="BQ111" s="186"/>
      <c r="BR111" s="1269"/>
      <c r="BS111" s="1171"/>
      <c r="BT111" s="1223"/>
      <c r="BU111" s="186"/>
      <c r="BV111" s="1269"/>
      <c r="BW111" s="1298"/>
      <c r="CB111" s="44" t="str">
        <f t="shared" si="87"/>
        <v>Seg. 3.A2 - Alas</v>
      </c>
    </row>
    <row r="112" spans="1:80" ht="19.350000000000001" hidden="1" customHeight="1" outlineLevel="1">
      <c r="A112" s="734"/>
      <c r="B112" s="1166" t="s">
        <v>4218</v>
      </c>
      <c r="C112" s="723" t="s">
        <v>1437</v>
      </c>
      <c r="D112" s="1167" t="str">
        <f>IFERROR((C112/B112),"-")</f>
        <v>-</v>
      </c>
      <c r="E112" s="186"/>
      <c r="F112" s="188" t="s">
        <v>37</v>
      </c>
      <c r="G112" s="721">
        <f t="shared" ca="1" si="94"/>
        <v>0</v>
      </c>
      <c r="H112" s="1169" t="str">
        <f ca="1">IFERROR((G113/G112),"-")</f>
        <v>-</v>
      </c>
      <c r="I112" s="187"/>
      <c r="J112" s="189" t="s">
        <v>37</v>
      </c>
      <c r="K112" s="721" cm="1">
        <f t="array" aca="1" ref="K112" ca="1">_xlfn.XLOOKUP($L$7,$N$7:$BH$7,$N112:BH112)</f>
        <v>0</v>
      </c>
      <c r="L112" s="1171" t="str">
        <f ca="1">IFERROR((K113/K112),"-")</f>
        <v>-</v>
      </c>
      <c r="M112" s="186"/>
      <c r="N112" s="722"/>
      <c r="O112" s="722"/>
      <c r="P112" s="722"/>
      <c r="Q112" s="722"/>
      <c r="R112" s="722"/>
      <c r="S112" s="722"/>
      <c r="T112" s="722"/>
      <c r="U112" s="186"/>
      <c r="V112" s="722"/>
      <c r="W112" s="722"/>
      <c r="X112" s="722"/>
      <c r="Y112" s="722"/>
      <c r="Z112" s="722"/>
      <c r="AA112" s="722"/>
      <c r="AB112" s="722"/>
      <c r="AC112" s="186"/>
      <c r="AD112" s="722"/>
      <c r="AE112" s="722"/>
      <c r="AF112" s="722"/>
      <c r="AG112" s="722"/>
      <c r="AH112" s="722"/>
      <c r="AI112" s="722"/>
      <c r="AJ112" s="722"/>
      <c r="AK112" s="186"/>
      <c r="AL112" s="722"/>
      <c r="AM112" s="722"/>
      <c r="AN112" s="722"/>
      <c r="AO112" s="722"/>
      <c r="AP112" s="722"/>
      <c r="AQ112" s="722"/>
      <c r="AR112" s="722"/>
      <c r="AS112" s="187"/>
      <c r="AT112" s="722"/>
      <c r="AU112" s="722"/>
      <c r="AV112" s="722"/>
      <c r="AW112" s="722"/>
      <c r="AX112" s="722"/>
      <c r="AY112" s="722"/>
      <c r="AZ112" s="722"/>
      <c r="BA112" s="186"/>
      <c r="BB112" s="722"/>
      <c r="BC112" s="722"/>
      <c r="BD112" s="722"/>
      <c r="BE112" s="722"/>
      <c r="BF112" s="722"/>
      <c r="BG112" s="722"/>
      <c r="BH112" s="722"/>
      <c r="BI112" s="187"/>
      <c r="BJ112" s="721">
        <f t="shared" ca="1" si="95"/>
        <v>0</v>
      </c>
      <c r="BK112" s="1223" t="str">
        <f ca="1">IFERROR((BJ113/BJ112),"-")</f>
        <v>-</v>
      </c>
      <c r="BL112" s="187"/>
      <c r="BM112" s="1215">
        <v>0</v>
      </c>
      <c r="BN112" s="1269">
        <v>0</v>
      </c>
      <c r="BO112" s="1299">
        <v>0</v>
      </c>
      <c r="BP112" s="1223" t="str">
        <f>IFERROR((BO112/BN112),"-")</f>
        <v>-</v>
      </c>
      <c r="BQ112" s="186"/>
      <c r="BR112" s="1269">
        <v>24</v>
      </c>
      <c r="BS112" s="1171">
        <v>24</v>
      </c>
      <c r="BT112" s="1223">
        <f>IFERROR((BS112/BR112),"-")</f>
        <v>1</v>
      </c>
      <c r="BU112" s="186"/>
      <c r="BV112" s="1269">
        <v>24</v>
      </c>
      <c r="BW112" s="1298">
        <f>BV112-BS112</f>
        <v>0</v>
      </c>
      <c r="CB112" s="44" t="str">
        <f t="shared" si="87"/>
        <v>Seg. 4.1 - Alas</v>
      </c>
    </row>
    <row r="113" spans="1:80" ht="19.350000000000001" hidden="1" customHeight="1" outlineLevel="1">
      <c r="A113" s="734"/>
      <c r="B113" s="1166"/>
      <c r="C113" s="723"/>
      <c r="D113" s="1168"/>
      <c r="E113" s="186"/>
      <c r="F113" s="178" t="s">
        <v>38</v>
      </c>
      <c r="G113" s="721">
        <f t="shared" ca="1" si="94"/>
        <v>0</v>
      </c>
      <c r="H113" s="1170"/>
      <c r="I113" s="187"/>
      <c r="J113" s="179" t="s">
        <v>38</v>
      </c>
      <c r="K113" s="721" cm="1">
        <f t="array" aca="1" ref="K113" ca="1">_xlfn.XLOOKUP($L$7,$N$7:$BH$7,$N113:BH113)</f>
        <v>0</v>
      </c>
      <c r="L113" s="1171"/>
      <c r="M113" s="186"/>
      <c r="N113" s="722"/>
      <c r="O113" s="722"/>
      <c r="P113" s="722"/>
      <c r="Q113" s="722"/>
      <c r="R113" s="722"/>
      <c r="S113" s="722"/>
      <c r="T113" s="722"/>
      <c r="U113" s="186"/>
      <c r="V113" s="722"/>
      <c r="W113" s="722"/>
      <c r="X113" s="722"/>
      <c r="Y113" s="722"/>
      <c r="Z113" s="722"/>
      <c r="AA113" s="722"/>
      <c r="AB113" s="722"/>
      <c r="AC113" s="186"/>
      <c r="AD113" s="722"/>
      <c r="AE113" s="722"/>
      <c r="AF113" s="722"/>
      <c r="AG113" s="722"/>
      <c r="AH113" s="722"/>
      <c r="AI113" s="722"/>
      <c r="AJ113" s="722"/>
      <c r="AK113" s="186"/>
      <c r="AL113" s="722"/>
      <c r="AM113" s="722"/>
      <c r="AN113" s="722"/>
      <c r="AO113" s="722"/>
      <c r="AP113" s="722"/>
      <c r="AQ113" s="722"/>
      <c r="AR113" s="722"/>
      <c r="AS113" s="187"/>
      <c r="AT113" s="722"/>
      <c r="AU113" s="722"/>
      <c r="AV113" s="722"/>
      <c r="AW113" s="722"/>
      <c r="AX113" s="722"/>
      <c r="AY113" s="722"/>
      <c r="AZ113" s="722"/>
      <c r="BA113" s="186"/>
      <c r="BB113" s="722"/>
      <c r="BC113" s="722"/>
      <c r="BD113" s="722"/>
      <c r="BE113" s="722"/>
      <c r="BF113" s="722"/>
      <c r="BG113" s="722"/>
      <c r="BH113" s="722"/>
      <c r="BI113" s="187"/>
      <c r="BJ113" s="721">
        <f t="shared" ca="1" si="95"/>
        <v>0</v>
      </c>
      <c r="BK113" s="1223"/>
      <c r="BL113" s="187"/>
      <c r="BM113" s="1216"/>
      <c r="BN113" s="1269"/>
      <c r="BO113" s="1299"/>
      <c r="BP113" s="1223"/>
      <c r="BQ113" s="186"/>
      <c r="BR113" s="1269"/>
      <c r="BS113" s="1171"/>
      <c r="BT113" s="1223"/>
      <c r="BU113" s="186"/>
      <c r="BV113" s="1269"/>
      <c r="BW113" s="1298"/>
      <c r="CB113" s="44" t="str">
        <f t="shared" si="87"/>
        <v>Seg. 4.1 - Alas</v>
      </c>
    </row>
    <row r="114" spans="1:80" ht="19.350000000000001" hidden="1" customHeight="1" outlineLevel="1">
      <c r="A114" s="734"/>
      <c r="B114" s="1166" t="s">
        <v>4219</v>
      </c>
      <c r="C114" s="723" t="s">
        <v>1437</v>
      </c>
      <c r="D114" s="1167" t="str">
        <f>IFERROR((C114/B114),"-")</f>
        <v>-</v>
      </c>
      <c r="E114" s="186"/>
      <c r="F114" s="188" t="s">
        <v>37</v>
      </c>
      <c r="G114" s="721">
        <f t="shared" ca="1" si="94"/>
        <v>2</v>
      </c>
      <c r="H114" s="1169">
        <f ca="1">IFERROR((G115/G114),"-")</f>
        <v>1</v>
      </c>
      <c r="I114" s="187"/>
      <c r="J114" s="189" t="s">
        <v>37</v>
      </c>
      <c r="K114" s="721" cm="1">
        <f t="array" aca="1" ref="K114" ca="1">_xlfn.XLOOKUP($L$7,$N$7:$BH$7,$N114:BH114)</f>
        <v>0</v>
      </c>
      <c r="L114" s="1171" t="str">
        <f ca="1">IFERROR((K115/K114),"-")</f>
        <v>-</v>
      </c>
      <c r="M114" s="186"/>
      <c r="N114" s="722"/>
      <c r="O114" s="191"/>
      <c r="P114" s="722">
        <v>1</v>
      </c>
      <c r="Q114" s="722"/>
      <c r="R114" s="722"/>
      <c r="S114" s="722">
        <v>1</v>
      </c>
      <c r="T114" s="722"/>
      <c r="U114" s="186"/>
      <c r="V114" s="722"/>
      <c r="W114" s="722">
        <v>1</v>
      </c>
      <c r="X114" s="722">
        <v>1</v>
      </c>
      <c r="Y114" s="722"/>
      <c r="Z114" s="722">
        <v>1</v>
      </c>
      <c r="AA114" s="722">
        <v>1</v>
      </c>
      <c r="AB114" s="722"/>
      <c r="AC114" s="186"/>
      <c r="AD114" s="722"/>
      <c r="AE114" s="191"/>
      <c r="AF114" s="722">
        <v>1</v>
      </c>
      <c r="AG114" s="722"/>
      <c r="AH114" s="722"/>
      <c r="AI114" s="722">
        <v>1</v>
      </c>
      <c r="AJ114" s="722"/>
      <c r="AK114" s="186"/>
      <c r="AL114" s="722"/>
      <c r="AM114" s="191"/>
      <c r="AN114" s="722">
        <v>1</v>
      </c>
      <c r="AO114" s="722"/>
      <c r="AP114" s="722"/>
      <c r="AQ114" s="722">
        <v>1</v>
      </c>
      <c r="AR114" s="722"/>
      <c r="AS114" s="187"/>
      <c r="AT114" s="722"/>
      <c r="AU114" s="722"/>
      <c r="AV114" s="722"/>
      <c r="AW114" s="722"/>
      <c r="AX114" s="722"/>
      <c r="AY114" s="722"/>
      <c r="AZ114" s="722"/>
      <c r="BA114" s="186"/>
      <c r="BB114" s="722"/>
      <c r="BC114" s="191"/>
      <c r="BD114" s="722"/>
      <c r="BE114" s="722"/>
      <c r="BF114" s="722"/>
      <c r="BG114" s="722"/>
      <c r="BH114" s="722"/>
      <c r="BI114" s="187"/>
      <c r="BJ114" s="721">
        <f t="shared" ca="1" si="95"/>
        <v>0</v>
      </c>
      <c r="BK114" s="1223" t="str">
        <f ca="1">IFERROR((BJ115/BJ114),"-")</f>
        <v>-</v>
      </c>
      <c r="BL114" s="187"/>
      <c r="BM114" s="1300">
        <v>8</v>
      </c>
      <c r="BN114" s="1269">
        <v>6</v>
      </c>
      <c r="BO114" s="1299">
        <v>4</v>
      </c>
      <c r="BP114" s="1223">
        <f>IFERROR((BO114/BN114),"-")</f>
        <v>0.66666666666666663</v>
      </c>
      <c r="BQ114" s="186"/>
      <c r="BR114" s="1269">
        <v>44</v>
      </c>
      <c r="BS114" s="1171">
        <v>44</v>
      </c>
      <c r="BT114" s="1223">
        <f>IFERROR((BS114/BR114),"-")</f>
        <v>1</v>
      </c>
      <c r="BU114" s="186"/>
      <c r="BV114" s="1269">
        <v>48</v>
      </c>
      <c r="BW114" s="1298">
        <f>BV114-BS114</f>
        <v>4</v>
      </c>
      <c r="CB114" s="44" t="str">
        <f t="shared" si="87"/>
        <v>Seg. 4.2 - Alas</v>
      </c>
    </row>
    <row r="115" spans="1:80" ht="19.350000000000001" hidden="1" customHeight="1" outlineLevel="1">
      <c r="A115" s="734"/>
      <c r="B115" s="1166"/>
      <c r="C115" s="723"/>
      <c r="D115" s="1168"/>
      <c r="E115" s="186"/>
      <c r="F115" s="178" t="s">
        <v>38</v>
      </c>
      <c r="G115" s="721">
        <f t="shared" ca="1" si="94"/>
        <v>2</v>
      </c>
      <c r="H115" s="1170"/>
      <c r="I115" s="187"/>
      <c r="J115" s="179" t="s">
        <v>38</v>
      </c>
      <c r="K115" s="721" cm="1">
        <f t="array" aca="1" ref="K115" ca="1">_xlfn.XLOOKUP($L$7,$N$7:$BH$7,$N115:BH115)</f>
        <v>0</v>
      </c>
      <c r="L115" s="1171"/>
      <c r="M115" s="186"/>
      <c r="N115" s="191"/>
      <c r="O115" s="191"/>
      <c r="P115" s="191"/>
      <c r="Q115" s="191"/>
      <c r="R115" s="722">
        <v>1</v>
      </c>
      <c r="S115" s="722">
        <v>1</v>
      </c>
      <c r="T115" s="722"/>
      <c r="U115" s="186"/>
      <c r="V115" s="191"/>
      <c r="W115" s="191">
        <v>0.5</v>
      </c>
      <c r="X115" s="191"/>
      <c r="Y115" s="191"/>
      <c r="Z115" s="191">
        <v>1.5</v>
      </c>
      <c r="AA115" s="722">
        <v>2</v>
      </c>
      <c r="AB115" s="722"/>
      <c r="AC115" s="186"/>
      <c r="AD115" s="191">
        <v>2</v>
      </c>
      <c r="AE115" s="191"/>
      <c r="AF115" s="191"/>
      <c r="AG115" s="191"/>
      <c r="AH115" s="722"/>
      <c r="AI115" s="722"/>
      <c r="AJ115" s="722"/>
      <c r="AK115" s="186"/>
      <c r="AL115" s="191"/>
      <c r="AM115" s="191"/>
      <c r="AN115" s="191"/>
      <c r="AO115" s="191"/>
      <c r="AP115" s="722"/>
      <c r="AQ115" s="722"/>
      <c r="AR115" s="722"/>
      <c r="AS115" s="187"/>
      <c r="AT115" s="191"/>
      <c r="AU115" s="191"/>
      <c r="AV115" s="191"/>
      <c r="AW115" s="191"/>
      <c r="AX115" s="722"/>
      <c r="AY115" s="722"/>
      <c r="AZ115" s="722"/>
      <c r="BA115" s="186"/>
      <c r="BB115" s="191"/>
      <c r="BC115" s="191"/>
      <c r="BD115" s="191"/>
      <c r="BE115" s="191"/>
      <c r="BF115" s="722"/>
      <c r="BG115" s="722"/>
      <c r="BH115" s="722"/>
      <c r="BI115" s="187"/>
      <c r="BJ115" s="721">
        <f t="shared" ca="1" si="95"/>
        <v>0</v>
      </c>
      <c r="BK115" s="1223"/>
      <c r="BL115" s="187"/>
      <c r="BM115" s="1301"/>
      <c r="BN115" s="1269"/>
      <c r="BO115" s="1299"/>
      <c r="BP115" s="1223"/>
      <c r="BQ115" s="186"/>
      <c r="BR115" s="1269"/>
      <c r="BS115" s="1171"/>
      <c r="BT115" s="1223"/>
      <c r="BU115" s="186"/>
      <c r="BV115" s="1269"/>
      <c r="BW115" s="1298"/>
      <c r="CB115" s="44" t="str">
        <f t="shared" si="87"/>
        <v>Seg. 4.2 - Alas</v>
      </c>
    </row>
    <row r="116" spans="1:80" ht="19.350000000000001" hidden="1" customHeight="1" outlineLevel="1">
      <c r="A116" s="734"/>
      <c r="B116" s="1166" t="s">
        <v>4220</v>
      </c>
      <c r="C116" s="723" t="s">
        <v>1437</v>
      </c>
      <c r="D116" s="1167" t="str">
        <f>IFERROR((C116/B116),"-")</f>
        <v>-</v>
      </c>
      <c r="E116" s="186"/>
      <c r="F116" s="188" t="s">
        <v>37</v>
      </c>
      <c r="G116" s="721">
        <f t="shared" ca="1" si="94"/>
        <v>0</v>
      </c>
      <c r="H116" s="1169" t="str">
        <f ca="1">IFERROR((G117/G116),"-")</f>
        <v>-</v>
      </c>
      <c r="I116" s="187"/>
      <c r="J116" s="189" t="s">
        <v>37</v>
      </c>
      <c r="K116" s="721" cm="1">
        <f t="array" aca="1" ref="K116" ca="1">_xlfn.XLOOKUP($L$7,$N$7:$BH$7,$N116:BH116)</f>
        <v>0</v>
      </c>
      <c r="L116" s="1171" t="str">
        <f ca="1">IFERROR((K117/K116),"-")</f>
        <v>-</v>
      </c>
      <c r="M116" s="186"/>
      <c r="N116" s="722"/>
      <c r="O116" s="722"/>
      <c r="P116" s="722"/>
      <c r="Q116" s="722"/>
      <c r="R116" s="722"/>
      <c r="S116" s="722"/>
      <c r="T116" s="722"/>
      <c r="U116" s="186"/>
      <c r="V116" s="722"/>
      <c r="W116" s="722"/>
      <c r="X116" s="722"/>
      <c r="Y116" s="722"/>
      <c r="Z116" s="722"/>
      <c r="AA116" s="722"/>
      <c r="AB116" s="722"/>
      <c r="AC116" s="186"/>
      <c r="AD116" s="722"/>
      <c r="AE116" s="722"/>
      <c r="AF116" s="722"/>
      <c r="AG116" s="722"/>
      <c r="AH116" s="722"/>
      <c r="AI116" s="722"/>
      <c r="AJ116" s="722"/>
      <c r="AK116" s="186"/>
      <c r="AL116" s="722"/>
      <c r="AM116" s="722"/>
      <c r="AN116" s="722"/>
      <c r="AO116" s="722"/>
      <c r="AP116" s="722"/>
      <c r="AQ116" s="722"/>
      <c r="AR116" s="722"/>
      <c r="AS116" s="187"/>
      <c r="AT116" s="722"/>
      <c r="AU116" s="722"/>
      <c r="AV116" s="722">
        <v>1</v>
      </c>
      <c r="AW116" s="722"/>
      <c r="AX116" s="722"/>
      <c r="AY116" s="722">
        <v>1</v>
      </c>
      <c r="AZ116" s="722"/>
      <c r="BA116" s="186"/>
      <c r="BB116" s="722"/>
      <c r="BC116" s="722"/>
      <c r="BD116" s="722"/>
      <c r="BE116" s="722"/>
      <c r="BF116" s="722"/>
      <c r="BG116" s="722"/>
      <c r="BH116" s="722"/>
      <c r="BI116" s="187"/>
      <c r="BJ116" s="721">
        <f t="shared" ca="1" si="95"/>
        <v>0</v>
      </c>
      <c r="BK116" s="1223" t="str">
        <f ca="1">IFERROR((BJ117/BJ116),"-")</f>
        <v>-</v>
      </c>
      <c r="BL116" s="187"/>
      <c r="BM116" s="1215">
        <v>2</v>
      </c>
      <c r="BN116" s="1269">
        <v>0</v>
      </c>
      <c r="BO116" s="1299">
        <v>0</v>
      </c>
      <c r="BP116" s="1223" t="str">
        <f>IFERROR((BO116/BN116),"-")</f>
        <v>-</v>
      </c>
      <c r="BQ116" s="186"/>
      <c r="BR116" s="1269">
        <f>BV116-2</f>
        <v>26</v>
      </c>
      <c r="BS116" s="1171">
        <v>26</v>
      </c>
      <c r="BT116" s="1223">
        <f>IFERROR((BS116/BR116),"-")</f>
        <v>1</v>
      </c>
      <c r="BU116" s="186"/>
      <c r="BV116" s="1269">
        <v>28</v>
      </c>
      <c r="BW116" s="1298">
        <f>BV116-BS116</f>
        <v>2</v>
      </c>
      <c r="CB116" s="44" t="str">
        <f t="shared" si="87"/>
        <v>Seg. 4.3 - Alas</v>
      </c>
    </row>
    <row r="117" spans="1:80" ht="19.350000000000001" hidden="1" customHeight="1" outlineLevel="1">
      <c r="A117" s="734"/>
      <c r="B117" s="1166"/>
      <c r="C117" s="723"/>
      <c r="D117" s="1168"/>
      <c r="E117" s="186"/>
      <c r="F117" s="178" t="s">
        <v>38</v>
      </c>
      <c r="G117" s="721">
        <f t="shared" ca="1" si="94"/>
        <v>0</v>
      </c>
      <c r="H117" s="1170"/>
      <c r="I117" s="187"/>
      <c r="J117" s="179" t="s">
        <v>38</v>
      </c>
      <c r="K117" s="721" cm="1">
        <f t="array" aca="1" ref="K117" ca="1">_xlfn.XLOOKUP($L$7,$N$7:$BH$7,$N117:BH117)</f>
        <v>0</v>
      </c>
      <c r="L117" s="1171"/>
      <c r="M117" s="186"/>
      <c r="N117" s="722"/>
      <c r="O117" s="722"/>
      <c r="P117" s="722"/>
      <c r="Q117" s="722"/>
      <c r="R117" s="722"/>
      <c r="S117" s="722"/>
      <c r="T117" s="722"/>
      <c r="U117" s="186"/>
      <c r="V117" s="722"/>
      <c r="W117" s="722"/>
      <c r="X117" s="722"/>
      <c r="Y117" s="722"/>
      <c r="Z117" s="722"/>
      <c r="AA117" s="722"/>
      <c r="AB117" s="722"/>
      <c r="AC117" s="186"/>
      <c r="AD117" s="722"/>
      <c r="AE117" s="722"/>
      <c r="AF117" s="722"/>
      <c r="AG117" s="722"/>
      <c r="AH117" s="722"/>
      <c r="AI117" s="722"/>
      <c r="AJ117" s="722"/>
      <c r="AK117" s="186"/>
      <c r="AL117" s="722"/>
      <c r="AM117" s="722"/>
      <c r="AN117" s="722"/>
      <c r="AO117" s="722"/>
      <c r="AP117" s="722"/>
      <c r="AQ117" s="722"/>
      <c r="AR117" s="722"/>
      <c r="AS117" s="187"/>
      <c r="AT117" s="722"/>
      <c r="AU117" s="722"/>
      <c r="AV117" s="722"/>
      <c r="AW117" s="722"/>
      <c r="AX117" s="722"/>
      <c r="AY117" s="722"/>
      <c r="AZ117" s="722"/>
      <c r="BA117" s="186"/>
      <c r="BB117" s="722"/>
      <c r="BC117" s="722"/>
      <c r="BD117" s="722"/>
      <c r="BE117" s="722"/>
      <c r="BF117" s="722"/>
      <c r="BG117" s="722"/>
      <c r="BH117" s="722"/>
      <c r="BI117" s="187"/>
      <c r="BJ117" s="721">
        <f t="shared" ca="1" si="95"/>
        <v>0</v>
      </c>
      <c r="BK117" s="1223"/>
      <c r="BL117" s="187"/>
      <c r="BM117" s="1216"/>
      <c r="BN117" s="1269"/>
      <c r="BO117" s="1299"/>
      <c r="BP117" s="1223"/>
      <c r="BQ117" s="186"/>
      <c r="BR117" s="1269"/>
      <c r="BS117" s="1171"/>
      <c r="BT117" s="1223"/>
      <c r="BU117" s="186"/>
      <c r="BV117" s="1269"/>
      <c r="BW117" s="1298"/>
      <c r="CB117" s="44" t="str">
        <f t="shared" si="87"/>
        <v>Seg. 4.3 - Alas</v>
      </c>
    </row>
    <row r="118" spans="1:80" ht="19.350000000000001" hidden="1" customHeight="1" outlineLevel="1">
      <c r="A118" s="734"/>
      <c r="B118" s="1166" t="s">
        <v>4221</v>
      </c>
      <c r="C118" s="723" t="s">
        <v>1437</v>
      </c>
      <c r="D118" s="1167" t="str">
        <f>IFERROR((C118/B118),"-")</f>
        <v>-</v>
      </c>
      <c r="E118" s="186"/>
      <c r="F118" s="188" t="s">
        <v>37</v>
      </c>
      <c r="G118" s="721">
        <f t="shared" ca="1" si="94"/>
        <v>0</v>
      </c>
      <c r="H118" s="1169" t="str">
        <f ca="1">IFERROR((G119/G118),"-")</f>
        <v>-</v>
      </c>
      <c r="I118" s="187"/>
      <c r="J118" s="189" t="s">
        <v>37</v>
      </c>
      <c r="K118" s="721" cm="1">
        <f t="array" aca="1" ref="K118" ca="1">_xlfn.XLOOKUP($L$7,$N$7:$BH$7,$N118:BH118)</f>
        <v>0</v>
      </c>
      <c r="L118" s="1171" t="str">
        <f ca="1">IFERROR((K119/K118),"-")</f>
        <v>-</v>
      </c>
      <c r="M118" s="186"/>
      <c r="N118" s="722"/>
      <c r="O118" s="722"/>
      <c r="P118" s="722"/>
      <c r="Q118" s="722"/>
      <c r="R118" s="722"/>
      <c r="S118" s="722"/>
      <c r="T118" s="722"/>
      <c r="U118" s="186"/>
      <c r="V118" s="722"/>
      <c r="W118" s="722"/>
      <c r="X118" s="722"/>
      <c r="Y118" s="722"/>
      <c r="Z118" s="722"/>
      <c r="AA118" s="722"/>
      <c r="AB118" s="722"/>
      <c r="AC118" s="186"/>
      <c r="AD118" s="722"/>
      <c r="AE118" s="722"/>
      <c r="AF118" s="722"/>
      <c r="AG118" s="722"/>
      <c r="AH118" s="722"/>
      <c r="AI118" s="722"/>
      <c r="AJ118" s="722"/>
      <c r="AK118" s="186"/>
      <c r="AL118" s="722"/>
      <c r="AM118" s="722"/>
      <c r="AN118" s="722"/>
      <c r="AO118" s="722"/>
      <c r="AP118" s="722"/>
      <c r="AQ118" s="722"/>
      <c r="AR118" s="722"/>
      <c r="AS118" s="187"/>
      <c r="AT118" s="722"/>
      <c r="AU118" s="722"/>
      <c r="AV118" s="722"/>
      <c r="AW118" s="722"/>
      <c r="AX118" s="722"/>
      <c r="AY118" s="722"/>
      <c r="AZ118" s="722"/>
      <c r="BA118" s="186"/>
      <c r="BB118" s="722"/>
      <c r="BC118" s="722"/>
      <c r="BD118" s="722"/>
      <c r="BE118" s="722"/>
      <c r="BF118" s="722"/>
      <c r="BG118" s="722"/>
      <c r="BH118" s="722"/>
      <c r="BI118" s="187"/>
      <c r="BJ118" s="721">
        <f t="shared" ca="1" si="95"/>
        <v>0</v>
      </c>
      <c r="BK118" s="1223" t="str">
        <f ca="1">IFERROR((BJ119/BJ118),"-")</f>
        <v>-</v>
      </c>
      <c r="BL118" s="187"/>
      <c r="BM118" s="1215">
        <v>0</v>
      </c>
      <c r="BN118" s="1269">
        <v>0</v>
      </c>
      <c r="BO118" s="1299">
        <v>0</v>
      </c>
      <c r="BP118" s="1223" t="str">
        <f>IFERROR((BO118/BN118),"-")</f>
        <v>-</v>
      </c>
      <c r="BQ118" s="186"/>
      <c r="BR118" s="1269">
        <v>14</v>
      </c>
      <c r="BS118" s="1171">
        <v>14</v>
      </c>
      <c r="BT118" s="1223">
        <f>IFERROR((BS118/BR118),"-")</f>
        <v>1</v>
      </c>
      <c r="BU118" s="186"/>
      <c r="BV118" s="1269">
        <v>14</v>
      </c>
      <c r="BW118" s="1298">
        <f>BV118-BS118</f>
        <v>0</v>
      </c>
      <c r="CB118" s="44" t="str">
        <f t="shared" si="87"/>
        <v>Seg. 4.4 - Alas</v>
      </c>
    </row>
    <row r="119" spans="1:80" ht="19.350000000000001" hidden="1" customHeight="1" outlineLevel="1">
      <c r="A119" s="734"/>
      <c r="B119" s="1166"/>
      <c r="C119" s="723"/>
      <c r="D119" s="1168"/>
      <c r="E119" s="186"/>
      <c r="F119" s="178" t="s">
        <v>38</v>
      </c>
      <c r="G119" s="721">
        <f t="shared" ca="1" si="94"/>
        <v>0</v>
      </c>
      <c r="H119" s="1170"/>
      <c r="I119" s="187"/>
      <c r="J119" s="179" t="s">
        <v>38</v>
      </c>
      <c r="K119" s="721" cm="1">
        <f t="array" aca="1" ref="K119" ca="1">_xlfn.XLOOKUP($L$7,$N$7:$BH$7,$N119:BH119)</f>
        <v>0</v>
      </c>
      <c r="L119" s="1171"/>
      <c r="M119" s="186"/>
      <c r="N119" s="722"/>
      <c r="O119" s="722"/>
      <c r="P119" s="722"/>
      <c r="Q119" s="722"/>
      <c r="R119" s="722"/>
      <c r="S119" s="722"/>
      <c r="T119" s="722"/>
      <c r="U119" s="186"/>
      <c r="V119" s="722"/>
      <c r="W119" s="722"/>
      <c r="X119" s="722"/>
      <c r="Y119" s="722"/>
      <c r="Z119" s="722"/>
      <c r="AA119" s="722"/>
      <c r="AB119" s="722"/>
      <c r="AC119" s="186"/>
      <c r="AD119" s="722"/>
      <c r="AE119" s="722"/>
      <c r="AF119" s="722"/>
      <c r="AG119" s="722"/>
      <c r="AH119" s="722"/>
      <c r="AI119" s="722"/>
      <c r="AJ119" s="722"/>
      <c r="AK119" s="186"/>
      <c r="AL119" s="722"/>
      <c r="AM119" s="722"/>
      <c r="AN119" s="722"/>
      <c r="AO119" s="722"/>
      <c r="AP119" s="722"/>
      <c r="AQ119" s="722"/>
      <c r="AR119" s="722"/>
      <c r="AS119" s="187"/>
      <c r="AT119" s="722"/>
      <c r="AU119" s="722"/>
      <c r="AV119" s="722"/>
      <c r="AW119" s="722"/>
      <c r="AX119" s="722"/>
      <c r="AY119" s="722"/>
      <c r="AZ119" s="722"/>
      <c r="BA119" s="186"/>
      <c r="BB119" s="722"/>
      <c r="BC119" s="722"/>
      <c r="BD119" s="722"/>
      <c r="BE119" s="722"/>
      <c r="BF119" s="722"/>
      <c r="BG119" s="722"/>
      <c r="BH119" s="722"/>
      <c r="BI119" s="187"/>
      <c r="BJ119" s="721">
        <f t="shared" ca="1" si="95"/>
        <v>0</v>
      </c>
      <c r="BK119" s="1223"/>
      <c r="BL119" s="187"/>
      <c r="BM119" s="1216"/>
      <c r="BN119" s="1269"/>
      <c r="BO119" s="1299"/>
      <c r="BP119" s="1223"/>
      <c r="BQ119" s="186"/>
      <c r="BR119" s="1269"/>
      <c r="BS119" s="1171"/>
      <c r="BT119" s="1223"/>
      <c r="BU119" s="186"/>
      <c r="BV119" s="1269"/>
      <c r="BW119" s="1298"/>
      <c r="CB119" s="44" t="str">
        <f t="shared" si="87"/>
        <v>Seg. 4.4 - Alas</v>
      </c>
    </row>
    <row r="120" spans="1:80" ht="19.350000000000001" customHeight="1" collapsed="1">
      <c r="A120" s="734"/>
      <c r="B120" s="171"/>
      <c r="C120" s="181"/>
      <c r="D120" s="694"/>
      <c r="E120" s="169"/>
      <c r="F120" s="173"/>
      <c r="G120" s="175"/>
      <c r="H120" s="693"/>
      <c r="I120" s="170"/>
      <c r="J120" s="174"/>
      <c r="K120" s="258"/>
      <c r="L120" s="693"/>
      <c r="M120" s="169"/>
      <c r="N120" s="175"/>
      <c r="O120" s="175"/>
      <c r="P120" s="175"/>
      <c r="Q120" s="175"/>
      <c r="R120" s="175"/>
      <c r="S120" s="175"/>
      <c r="T120" s="175"/>
      <c r="U120" s="181"/>
      <c r="V120" s="175"/>
      <c r="W120" s="175"/>
      <c r="X120" s="175"/>
      <c r="Y120" s="175"/>
      <c r="Z120" s="175"/>
      <c r="AA120" s="175"/>
      <c r="AB120" s="175"/>
      <c r="AC120" s="181"/>
      <c r="AD120" s="175"/>
      <c r="AE120" s="175"/>
      <c r="AF120" s="175"/>
      <c r="AG120" s="175"/>
      <c r="AH120" s="175"/>
      <c r="AI120" s="175"/>
      <c r="AJ120" s="175"/>
      <c r="AK120" s="181"/>
      <c r="AL120" s="175"/>
      <c r="AM120" s="175"/>
      <c r="AN120" s="175"/>
      <c r="AO120" s="175"/>
      <c r="AP120" s="175"/>
      <c r="AQ120" s="175"/>
      <c r="AR120" s="175"/>
      <c r="AS120" s="170"/>
      <c r="AT120" s="175"/>
      <c r="AU120" s="175"/>
      <c r="AV120" s="175"/>
      <c r="AW120" s="175"/>
      <c r="AX120" s="175"/>
      <c r="AY120" s="175"/>
      <c r="AZ120" s="175"/>
      <c r="BA120" s="181"/>
      <c r="BB120" s="175"/>
      <c r="BC120" s="175"/>
      <c r="BD120" s="175"/>
      <c r="BE120" s="175"/>
      <c r="BF120" s="175"/>
      <c r="BG120" s="175"/>
      <c r="BH120" s="175"/>
      <c r="BI120" s="170"/>
      <c r="BJ120" s="175"/>
      <c r="BK120" s="181"/>
      <c r="BL120" s="170"/>
      <c r="BM120" s="181"/>
      <c r="BN120" s="181"/>
      <c r="BO120" s="181"/>
      <c r="BP120" s="181"/>
      <c r="BQ120" s="181"/>
      <c r="BR120" s="181"/>
      <c r="BS120" s="181"/>
      <c r="BT120" s="181"/>
      <c r="BU120" s="181"/>
      <c r="BV120" s="181"/>
      <c r="BW120" s="181"/>
      <c r="CB120" s="44" t="str">
        <f t="shared" si="87"/>
        <v>Seg. 4.4 - Alas</v>
      </c>
    </row>
    <row r="121" spans="1:80" ht="19.350000000000001" customHeight="1">
      <c r="A121" s="195"/>
      <c r="B121" s="193" t="s">
        <v>4222</v>
      </c>
      <c r="C121" s="194" t="s">
        <v>52</v>
      </c>
      <c r="D121" s="695" t="str">
        <f>IFERROR((C121/B121),"-")</f>
        <v>-</v>
      </c>
      <c r="E121" s="195"/>
      <c r="F121" s="196" t="s">
        <v>37</v>
      </c>
      <c r="G121" s="197"/>
      <c r="H121" s="696" t="str">
        <f>IFERROR((G122/G121),"-")</f>
        <v>-</v>
      </c>
      <c r="I121" s="198"/>
      <c r="J121" s="199" t="s">
        <v>37</v>
      </c>
      <c r="K121" s="197"/>
      <c r="L121" s="697"/>
      <c r="M121" s="195"/>
      <c r="N121" s="200"/>
      <c r="O121" s="200"/>
      <c r="P121" s="200"/>
      <c r="Q121" s="200"/>
      <c r="R121" s="200"/>
      <c r="S121" s="200"/>
      <c r="T121" s="200"/>
      <c r="U121" s="195"/>
      <c r="V121" s="200"/>
      <c r="W121" s="200"/>
      <c r="X121" s="200"/>
      <c r="Y121" s="200"/>
      <c r="Z121" s="200"/>
      <c r="AA121" s="200"/>
      <c r="AB121" s="200"/>
      <c r="AC121" s="195"/>
      <c r="AD121" s="200"/>
      <c r="AE121" s="200"/>
      <c r="AF121" s="200"/>
      <c r="AG121" s="200"/>
      <c r="AH121" s="200"/>
      <c r="AI121" s="200"/>
      <c r="AJ121" s="200"/>
      <c r="AK121" s="195"/>
      <c r="AL121" s="200"/>
      <c r="AM121" s="200"/>
      <c r="AN121" s="200"/>
      <c r="AO121" s="200"/>
      <c r="AP121" s="200"/>
      <c r="AQ121" s="200"/>
      <c r="AR121" s="200"/>
      <c r="AS121" s="198"/>
      <c r="AT121" s="200"/>
      <c r="AU121" s="200"/>
      <c r="AV121" s="200"/>
      <c r="AW121" s="200"/>
      <c r="AX121" s="200"/>
      <c r="AY121" s="200"/>
      <c r="AZ121" s="200"/>
      <c r="BA121" s="195"/>
      <c r="BB121" s="200"/>
      <c r="BC121" s="200"/>
      <c r="BD121" s="200"/>
      <c r="BE121" s="200"/>
      <c r="BF121" s="200"/>
      <c r="BG121" s="200"/>
      <c r="BH121" s="200"/>
      <c r="BI121" s="198"/>
      <c r="BJ121" s="200"/>
      <c r="BK121" s="697"/>
      <c r="BL121" s="198"/>
      <c r="BM121" s="198"/>
      <c r="BN121" s="198"/>
      <c r="BO121" s="198"/>
      <c r="BP121" s="697"/>
      <c r="BQ121" s="195"/>
      <c r="BR121" s="198"/>
      <c r="BS121" s="198"/>
      <c r="BT121" s="697"/>
      <c r="BU121" s="195"/>
      <c r="BV121" s="198"/>
      <c r="BW121" s="198"/>
    </row>
    <row r="122" spans="1:80" ht="19.350000000000001" customHeight="1">
      <c r="A122" s="195"/>
      <c r="B122" s="193"/>
      <c r="C122" s="194"/>
      <c r="D122" s="695"/>
      <c r="E122" s="195"/>
      <c r="F122" s="196" t="s">
        <v>38</v>
      </c>
      <c r="G122" s="197"/>
      <c r="H122" s="696"/>
      <c r="I122" s="198"/>
      <c r="J122" s="199" t="s">
        <v>38</v>
      </c>
      <c r="K122" s="197"/>
      <c r="L122" s="697"/>
      <c r="M122" s="195"/>
      <c r="N122" s="200"/>
      <c r="O122" s="200"/>
      <c r="P122" s="200"/>
      <c r="Q122" s="200"/>
      <c r="R122" s="200"/>
      <c r="S122" s="200"/>
      <c r="T122" s="200"/>
      <c r="U122" s="195"/>
      <c r="V122" s="200"/>
      <c r="W122" s="200"/>
      <c r="X122" s="200"/>
      <c r="Y122" s="200"/>
      <c r="Z122" s="200"/>
      <c r="AA122" s="200"/>
      <c r="AB122" s="200"/>
      <c r="AC122" s="195"/>
      <c r="AD122" s="200"/>
      <c r="AE122" s="200"/>
      <c r="AF122" s="200"/>
      <c r="AG122" s="200"/>
      <c r="AH122" s="200"/>
      <c r="AI122" s="200"/>
      <c r="AJ122" s="200"/>
      <c r="AK122" s="195"/>
      <c r="AL122" s="200"/>
      <c r="AM122" s="200"/>
      <c r="AN122" s="200"/>
      <c r="AO122" s="200"/>
      <c r="AP122" s="200"/>
      <c r="AQ122" s="200"/>
      <c r="AR122" s="200"/>
      <c r="AS122" s="198"/>
      <c r="AT122" s="200"/>
      <c r="AU122" s="200"/>
      <c r="AV122" s="200"/>
      <c r="AW122" s="200"/>
      <c r="AX122" s="200"/>
      <c r="AY122" s="200"/>
      <c r="AZ122" s="200"/>
      <c r="BA122" s="195"/>
      <c r="BB122" s="200"/>
      <c r="BC122" s="200"/>
      <c r="BD122" s="200"/>
      <c r="BE122" s="200"/>
      <c r="BF122" s="200"/>
      <c r="BG122" s="200"/>
      <c r="BH122" s="200"/>
      <c r="BI122" s="198"/>
      <c r="BJ122" s="200"/>
      <c r="BK122" s="697"/>
      <c r="BL122" s="198"/>
      <c r="BM122" s="198"/>
      <c r="BN122" s="198"/>
      <c r="BO122" s="198"/>
      <c r="BP122" s="697"/>
      <c r="BQ122" s="195"/>
      <c r="BR122" s="198"/>
      <c r="BS122" s="198"/>
      <c r="BT122" s="697"/>
      <c r="BU122" s="195"/>
      <c r="BV122" s="198"/>
      <c r="BW122" s="198"/>
    </row>
    <row r="123" spans="1:80">
      <c r="A123" s="195"/>
      <c r="B123" s="193" t="s">
        <v>4223</v>
      </c>
      <c r="C123" s="194" t="s">
        <v>52</v>
      </c>
      <c r="D123" s="695" t="str">
        <f>IFERROR((C123/B123),"-")</f>
        <v>-</v>
      </c>
      <c r="E123" s="195"/>
      <c r="F123" s="196" t="s">
        <v>37</v>
      </c>
      <c r="G123" s="197"/>
      <c r="H123" s="696" t="str">
        <f>IFERROR((G124/G123),"-")</f>
        <v>-</v>
      </c>
      <c r="I123" s="198"/>
      <c r="J123" s="199" t="s">
        <v>37</v>
      </c>
      <c r="K123" s="197"/>
      <c r="L123" s="697"/>
      <c r="M123" s="195"/>
      <c r="N123" s="200"/>
      <c r="O123" s="200"/>
      <c r="P123" s="200"/>
      <c r="Q123" s="200"/>
      <c r="R123" s="200"/>
      <c r="S123" s="200"/>
      <c r="T123" s="200"/>
      <c r="U123" s="195"/>
      <c r="V123" s="200"/>
      <c r="W123" s="200"/>
      <c r="X123" s="200"/>
      <c r="Y123" s="200"/>
      <c r="Z123" s="200"/>
      <c r="AA123" s="200"/>
      <c r="AB123" s="200"/>
      <c r="AC123" s="195"/>
      <c r="AD123" s="200"/>
      <c r="AE123" s="200"/>
      <c r="AF123" s="200"/>
      <c r="AG123" s="200"/>
      <c r="AH123" s="200"/>
      <c r="AI123" s="200"/>
      <c r="AJ123" s="200"/>
      <c r="AK123" s="195"/>
      <c r="AL123" s="200"/>
      <c r="AM123" s="200"/>
      <c r="AN123" s="200"/>
      <c r="AO123" s="200"/>
      <c r="AP123" s="200"/>
      <c r="AQ123" s="200"/>
      <c r="AR123" s="200"/>
      <c r="AS123" s="198"/>
      <c r="AT123" s="200"/>
      <c r="AU123" s="200"/>
      <c r="AV123" s="200"/>
      <c r="AW123" s="200"/>
      <c r="AX123" s="200"/>
      <c r="AY123" s="200"/>
      <c r="AZ123" s="200"/>
      <c r="BA123" s="195"/>
      <c r="BB123" s="200"/>
      <c r="BC123" s="200"/>
      <c r="BD123" s="200"/>
      <c r="BE123" s="200"/>
      <c r="BF123" s="200"/>
      <c r="BG123" s="200"/>
      <c r="BH123" s="200"/>
      <c r="BI123" s="198"/>
      <c r="BJ123" s="200"/>
      <c r="BK123" s="697"/>
      <c r="BL123" s="198"/>
      <c r="BM123" s="198"/>
      <c r="BN123" s="198"/>
      <c r="BO123" s="198"/>
      <c r="BP123" s="697"/>
      <c r="BQ123" s="195"/>
      <c r="BR123" s="198"/>
      <c r="BS123" s="198"/>
      <c r="BT123" s="697"/>
      <c r="BU123" s="195"/>
      <c r="BV123" s="198"/>
      <c r="BW123" s="198"/>
    </row>
    <row r="124" spans="1:80">
      <c r="A124" s="195"/>
      <c r="B124" s="193"/>
      <c r="C124" s="194"/>
      <c r="D124" s="695"/>
      <c r="E124" s="195"/>
      <c r="F124" s="196" t="s">
        <v>38</v>
      </c>
      <c r="G124" s="197"/>
      <c r="H124" s="696"/>
      <c r="I124" s="198"/>
      <c r="J124" s="199" t="s">
        <v>38</v>
      </c>
      <c r="K124" s="197"/>
      <c r="L124" s="697"/>
      <c r="M124" s="195"/>
      <c r="N124" s="200"/>
      <c r="O124" s="200"/>
      <c r="P124" s="200"/>
      <c r="Q124" s="200"/>
      <c r="R124" s="200"/>
      <c r="S124" s="200"/>
      <c r="T124" s="200"/>
      <c r="U124" s="195"/>
      <c r="V124" s="200"/>
      <c r="W124" s="200"/>
      <c r="X124" s="200"/>
      <c r="Y124" s="200"/>
      <c r="Z124" s="200"/>
      <c r="AA124" s="200"/>
      <c r="AB124" s="200"/>
      <c r="AC124" s="195"/>
      <c r="AD124" s="200"/>
      <c r="AE124" s="200"/>
      <c r="AF124" s="200"/>
      <c r="AG124" s="200"/>
      <c r="AH124" s="200"/>
      <c r="AI124" s="200"/>
      <c r="AJ124" s="200"/>
      <c r="AK124" s="195"/>
      <c r="AL124" s="200"/>
      <c r="AM124" s="200"/>
      <c r="AN124" s="200"/>
      <c r="AO124" s="200"/>
      <c r="AP124" s="200"/>
      <c r="AQ124" s="200"/>
      <c r="AR124" s="200"/>
      <c r="AS124" s="198"/>
      <c r="AT124" s="200"/>
      <c r="AU124" s="200"/>
      <c r="AV124" s="200"/>
      <c r="AW124" s="200"/>
      <c r="AX124" s="200"/>
      <c r="AY124" s="200"/>
      <c r="AZ124" s="200"/>
      <c r="BA124" s="195"/>
      <c r="BB124" s="200"/>
      <c r="BC124" s="200"/>
      <c r="BD124" s="200"/>
      <c r="BE124" s="200"/>
      <c r="BF124" s="200"/>
      <c r="BG124" s="200"/>
      <c r="BH124" s="200"/>
      <c r="BI124" s="198"/>
      <c r="BJ124" s="200"/>
      <c r="BK124" s="697"/>
      <c r="BL124" s="198"/>
      <c r="BM124" s="198"/>
      <c r="BN124" s="198"/>
      <c r="BO124" s="198"/>
      <c r="BP124" s="697"/>
      <c r="BQ124" s="195"/>
      <c r="BR124" s="198"/>
      <c r="BS124" s="198"/>
      <c r="BT124" s="697"/>
      <c r="BU124" s="195"/>
      <c r="BV124" s="198"/>
      <c r="BW124" s="198"/>
    </row>
    <row r="125" spans="1:80">
      <c r="A125" s="195"/>
      <c r="B125" s="193" t="s">
        <v>4224</v>
      </c>
      <c r="C125" s="194" t="s">
        <v>52</v>
      </c>
      <c r="D125" s="695" t="str">
        <f>IFERROR((C125/B125),"-")</f>
        <v>-</v>
      </c>
      <c r="E125" s="195"/>
      <c r="F125" s="196" t="s">
        <v>37</v>
      </c>
      <c r="G125" s="197"/>
      <c r="H125" s="696" t="str">
        <f>IFERROR((G126/G125),"-")</f>
        <v>-</v>
      </c>
      <c r="I125" s="198"/>
      <c r="J125" s="199" t="s">
        <v>37</v>
      </c>
      <c r="K125" s="197">
        <f t="shared" ref="K125:K130" ca="1" si="96">SUMIFS(V125:AB125,$V$7:$AB$7,"="&amp;$L$7)</f>
        <v>0</v>
      </c>
      <c r="L125" s="697" t="str">
        <f ca="1">IFERROR((K126/K125),"-")</f>
        <v>-</v>
      </c>
      <c r="M125" s="195"/>
      <c r="N125" s="200"/>
      <c r="O125" s="200"/>
      <c r="P125" s="200"/>
      <c r="Q125" s="200"/>
      <c r="R125" s="200"/>
      <c r="S125" s="200"/>
      <c r="T125" s="200"/>
      <c r="U125" s="195"/>
      <c r="V125" s="200"/>
      <c r="W125" s="200"/>
      <c r="X125" s="200"/>
      <c r="Y125" s="200"/>
      <c r="Z125" s="200"/>
      <c r="AA125" s="200"/>
      <c r="AB125" s="200"/>
      <c r="AC125" s="195"/>
      <c r="AD125" s="200"/>
      <c r="AE125" s="200"/>
      <c r="AF125" s="200"/>
      <c r="AG125" s="200"/>
      <c r="AH125" s="200"/>
      <c r="AI125" s="200"/>
      <c r="AJ125" s="200"/>
      <c r="AK125" s="195"/>
      <c r="AL125" s="200"/>
      <c r="AM125" s="200"/>
      <c r="AN125" s="200"/>
      <c r="AO125" s="200"/>
      <c r="AP125" s="200"/>
      <c r="AQ125" s="200"/>
      <c r="AR125" s="200"/>
      <c r="AS125" s="198"/>
      <c r="AT125" s="200"/>
      <c r="AU125" s="200"/>
      <c r="AV125" s="200"/>
      <c r="AW125" s="200"/>
      <c r="AX125" s="200"/>
      <c r="AY125" s="200"/>
      <c r="AZ125" s="200"/>
      <c r="BA125" s="195"/>
      <c r="BB125" s="200"/>
      <c r="BC125" s="200"/>
      <c r="BD125" s="200"/>
      <c r="BE125" s="200"/>
      <c r="BF125" s="200"/>
      <c r="BG125" s="200"/>
      <c r="BH125" s="200"/>
      <c r="BI125" s="198"/>
      <c r="BJ125" s="200">
        <f t="shared" ref="BJ125:BJ130" ca="1" si="97">SUMIFS($V125:$AB125,$V$7:$AB$7,"&gt;="&amp;$V$7,$V$7:$AB$7,"&lt;="&amp;$L$7)</f>
        <v>0</v>
      </c>
      <c r="BK125" s="697" t="str">
        <f ca="1">IFERROR((BJ126/BJ125),"-")</f>
        <v>-</v>
      </c>
      <c r="BL125" s="198"/>
      <c r="BM125" s="198"/>
      <c r="BN125" s="198"/>
      <c r="BO125" s="198"/>
      <c r="BP125" s="697"/>
      <c r="BQ125" s="195"/>
      <c r="BR125" s="198"/>
      <c r="BS125" s="198"/>
      <c r="BT125" s="697"/>
      <c r="BU125" s="195"/>
      <c r="BV125" s="198"/>
      <c r="BW125" s="198"/>
    </row>
    <row r="126" spans="1:80">
      <c r="A126" s="195"/>
      <c r="B126" s="193"/>
      <c r="C126" s="194"/>
      <c r="D126" s="695"/>
      <c r="E126" s="195"/>
      <c r="F126" s="196" t="s">
        <v>38</v>
      </c>
      <c r="G126" s="197"/>
      <c r="H126" s="696"/>
      <c r="I126" s="198"/>
      <c r="J126" s="199" t="s">
        <v>38</v>
      </c>
      <c r="K126" s="197">
        <f t="shared" ca="1" si="96"/>
        <v>0</v>
      </c>
      <c r="L126" s="697"/>
      <c r="M126" s="195"/>
      <c r="N126" s="200"/>
      <c r="O126" s="200"/>
      <c r="P126" s="200"/>
      <c r="Q126" s="200"/>
      <c r="R126" s="200"/>
      <c r="S126" s="200"/>
      <c r="T126" s="200"/>
      <c r="U126" s="195"/>
      <c r="V126" s="200"/>
      <c r="W126" s="200"/>
      <c r="X126" s="200"/>
      <c r="Y126" s="200"/>
      <c r="Z126" s="200"/>
      <c r="AA126" s="200"/>
      <c r="AB126" s="200"/>
      <c r="AC126" s="195"/>
      <c r="AD126" s="200"/>
      <c r="AE126" s="200"/>
      <c r="AF126" s="200"/>
      <c r="AG126" s="200"/>
      <c r="AH126" s="200"/>
      <c r="AI126" s="200"/>
      <c r="AJ126" s="200"/>
      <c r="AK126" s="195"/>
      <c r="AL126" s="200"/>
      <c r="AM126" s="200"/>
      <c r="AN126" s="200"/>
      <c r="AO126" s="200"/>
      <c r="AP126" s="200"/>
      <c r="AQ126" s="200"/>
      <c r="AR126" s="200"/>
      <c r="AS126" s="198"/>
      <c r="AT126" s="200"/>
      <c r="AU126" s="200"/>
      <c r="AV126" s="200"/>
      <c r="AW126" s="200"/>
      <c r="AX126" s="200"/>
      <c r="AY126" s="200"/>
      <c r="AZ126" s="200"/>
      <c r="BA126" s="195"/>
      <c r="BB126" s="200"/>
      <c r="BC126" s="200"/>
      <c r="BD126" s="200"/>
      <c r="BE126" s="200"/>
      <c r="BF126" s="200"/>
      <c r="BG126" s="200"/>
      <c r="BH126" s="200"/>
      <c r="BI126" s="198"/>
      <c r="BJ126" s="200">
        <f t="shared" ca="1" si="97"/>
        <v>0</v>
      </c>
      <c r="BK126" s="697"/>
      <c r="BL126" s="198"/>
      <c r="BM126" s="198"/>
      <c r="BN126" s="198"/>
      <c r="BO126" s="198"/>
      <c r="BP126" s="697"/>
      <c r="BQ126" s="195"/>
      <c r="BR126" s="198"/>
      <c r="BS126" s="198"/>
      <c r="BT126" s="697"/>
      <c r="BU126" s="195"/>
      <c r="BV126" s="198"/>
      <c r="BW126" s="198"/>
    </row>
    <row r="127" spans="1:80">
      <c r="A127" s="195"/>
      <c r="B127" s="193" t="s">
        <v>4225</v>
      </c>
      <c r="C127" s="194" t="s">
        <v>52</v>
      </c>
      <c r="D127" s="695" t="str">
        <f>IFERROR((C127/B127),"-")</f>
        <v>-</v>
      </c>
      <c r="E127" s="195"/>
      <c r="F127" s="196" t="s">
        <v>37</v>
      </c>
      <c r="G127" s="197"/>
      <c r="H127" s="696" t="str">
        <f>IFERROR((G128/G127),"-")</f>
        <v>-</v>
      </c>
      <c r="I127" s="198"/>
      <c r="J127" s="199" t="s">
        <v>37</v>
      </c>
      <c r="K127" s="197">
        <f t="shared" ca="1" si="96"/>
        <v>0</v>
      </c>
      <c r="L127" s="697" t="str">
        <f ca="1">IFERROR((K128/K127),"-")</f>
        <v>-</v>
      </c>
      <c r="M127" s="195"/>
      <c r="N127" s="200"/>
      <c r="O127" s="200"/>
      <c r="P127" s="200"/>
      <c r="Q127" s="200"/>
      <c r="R127" s="200"/>
      <c r="S127" s="200"/>
      <c r="T127" s="200"/>
      <c r="U127" s="195"/>
      <c r="V127" s="200"/>
      <c r="W127" s="200"/>
      <c r="X127" s="200"/>
      <c r="Y127" s="200"/>
      <c r="Z127" s="200"/>
      <c r="AA127" s="200"/>
      <c r="AB127" s="200"/>
      <c r="AC127" s="195"/>
      <c r="AD127" s="200"/>
      <c r="AE127" s="200"/>
      <c r="AF127" s="200"/>
      <c r="AG127" s="200"/>
      <c r="AH127" s="200"/>
      <c r="AI127" s="200"/>
      <c r="AJ127" s="200"/>
      <c r="AK127" s="195"/>
      <c r="AL127" s="200"/>
      <c r="AM127" s="200"/>
      <c r="AN127" s="200"/>
      <c r="AO127" s="200"/>
      <c r="AP127" s="200"/>
      <c r="AQ127" s="200"/>
      <c r="AR127" s="200"/>
      <c r="AS127" s="198"/>
      <c r="AT127" s="200"/>
      <c r="AU127" s="200"/>
      <c r="AV127" s="200"/>
      <c r="AW127" s="200"/>
      <c r="AX127" s="200"/>
      <c r="AY127" s="200"/>
      <c r="AZ127" s="200"/>
      <c r="BA127" s="195"/>
      <c r="BB127" s="200"/>
      <c r="BC127" s="200"/>
      <c r="BD127" s="200"/>
      <c r="BE127" s="200"/>
      <c r="BF127" s="200"/>
      <c r="BG127" s="200"/>
      <c r="BH127" s="200"/>
      <c r="BI127" s="198"/>
      <c r="BJ127" s="200">
        <f t="shared" ca="1" si="97"/>
        <v>0</v>
      </c>
      <c r="BK127" s="697" t="str">
        <f ca="1">IFERROR((BJ128/BJ127),"-")</f>
        <v>-</v>
      </c>
      <c r="BL127" s="198"/>
      <c r="BM127" s="198"/>
      <c r="BN127" s="198"/>
      <c r="BO127" s="198"/>
      <c r="BP127" s="697"/>
      <c r="BQ127" s="195"/>
      <c r="BR127" s="198"/>
      <c r="BS127" s="198"/>
      <c r="BT127" s="697"/>
      <c r="BU127" s="195"/>
      <c r="BV127" s="198"/>
      <c r="BW127" s="198"/>
    </row>
    <row r="128" spans="1:80">
      <c r="A128" s="195"/>
      <c r="B128" s="193"/>
      <c r="C128" s="194"/>
      <c r="D128" s="695"/>
      <c r="E128" s="195"/>
      <c r="F128" s="196" t="s">
        <v>38</v>
      </c>
      <c r="G128" s="197"/>
      <c r="H128" s="696"/>
      <c r="I128" s="198"/>
      <c r="J128" s="199" t="s">
        <v>38</v>
      </c>
      <c r="K128" s="197">
        <f t="shared" ca="1" si="96"/>
        <v>0</v>
      </c>
      <c r="L128" s="697"/>
      <c r="M128" s="195"/>
      <c r="N128" s="200"/>
      <c r="O128" s="200"/>
      <c r="P128" s="200"/>
      <c r="Q128" s="200"/>
      <c r="R128" s="200"/>
      <c r="S128" s="200"/>
      <c r="T128" s="200"/>
      <c r="U128" s="195"/>
      <c r="V128" s="200"/>
      <c r="W128" s="200"/>
      <c r="X128" s="200"/>
      <c r="Y128" s="200"/>
      <c r="Z128" s="200"/>
      <c r="AA128" s="200"/>
      <c r="AB128" s="200"/>
      <c r="AC128" s="195"/>
      <c r="AD128" s="200"/>
      <c r="AE128" s="200"/>
      <c r="AF128" s="200"/>
      <c r="AG128" s="200"/>
      <c r="AH128" s="200"/>
      <c r="AI128" s="200"/>
      <c r="AJ128" s="200"/>
      <c r="AK128" s="195"/>
      <c r="AL128" s="200"/>
      <c r="AM128" s="200"/>
      <c r="AN128" s="200"/>
      <c r="AO128" s="200"/>
      <c r="AP128" s="200"/>
      <c r="AQ128" s="200"/>
      <c r="AR128" s="200"/>
      <c r="AS128" s="198"/>
      <c r="AT128" s="200"/>
      <c r="AU128" s="200"/>
      <c r="AV128" s="200"/>
      <c r="AW128" s="200"/>
      <c r="AX128" s="200"/>
      <c r="AY128" s="200"/>
      <c r="AZ128" s="200"/>
      <c r="BA128" s="195"/>
      <c r="BB128" s="200"/>
      <c r="BC128" s="200"/>
      <c r="BD128" s="200"/>
      <c r="BE128" s="200"/>
      <c r="BF128" s="200"/>
      <c r="BG128" s="200"/>
      <c r="BH128" s="200"/>
      <c r="BI128" s="198"/>
      <c r="BJ128" s="200">
        <f t="shared" ca="1" si="97"/>
        <v>0</v>
      </c>
      <c r="BK128" s="697"/>
      <c r="BL128" s="198"/>
      <c r="BM128" s="198"/>
      <c r="BN128" s="198"/>
      <c r="BO128" s="198"/>
      <c r="BP128" s="697"/>
      <c r="BQ128" s="195"/>
      <c r="BR128" s="198"/>
      <c r="BS128" s="198"/>
      <c r="BT128" s="697"/>
      <c r="BU128" s="195"/>
      <c r="BV128" s="198"/>
      <c r="BW128" s="198"/>
    </row>
    <row r="129" spans="1:75">
      <c r="A129" s="195"/>
      <c r="B129" s="193" t="s">
        <v>4226</v>
      </c>
      <c r="C129" s="194" t="s">
        <v>52</v>
      </c>
      <c r="D129" s="695" t="str">
        <f>IFERROR((C129/B129),"-")</f>
        <v>-</v>
      </c>
      <c r="E129" s="195"/>
      <c r="F129" s="196" t="s">
        <v>37</v>
      </c>
      <c r="G129" s="197"/>
      <c r="H129" s="696" t="str">
        <f>IFERROR((G130/G129),"-")</f>
        <v>-</v>
      </c>
      <c r="I129" s="198"/>
      <c r="J129" s="199" t="s">
        <v>37</v>
      </c>
      <c r="K129" s="197">
        <f t="shared" ca="1" si="96"/>
        <v>0</v>
      </c>
      <c r="L129" s="697" t="str">
        <f ca="1">IFERROR((K130/K129),"-")</f>
        <v>-</v>
      </c>
      <c r="M129" s="195"/>
      <c r="N129" s="200"/>
      <c r="O129" s="200"/>
      <c r="P129" s="200"/>
      <c r="Q129" s="200"/>
      <c r="R129" s="200"/>
      <c r="S129" s="200"/>
      <c r="T129" s="200"/>
      <c r="U129" s="195"/>
      <c r="V129" s="200"/>
      <c r="W129" s="200"/>
      <c r="X129" s="200"/>
      <c r="Y129" s="200"/>
      <c r="Z129" s="200"/>
      <c r="AA129" s="200"/>
      <c r="AB129" s="200"/>
      <c r="AC129" s="195"/>
      <c r="AD129" s="200"/>
      <c r="AE129" s="200"/>
      <c r="AF129" s="200"/>
      <c r="AG129" s="200"/>
      <c r="AH129" s="200"/>
      <c r="AI129" s="200"/>
      <c r="AJ129" s="200"/>
      <c r="AK129" s="195"/>
      <c r="AL129" s="200"/>
      <c r="AM129" s="200"/>
      <c r="AN129" s="200"/>
      <c r="AO129" s="200"/>
      <c r="AP129" s="200"/>
      <c r="AQ129" s="200"/>
      <c r="AR129" s="200"/>
      <c r="AS129" s="198"/>
      <c r="AT129" s="200"/>
      <c r="AU129" s="200"/>
      <c r="AV129" s="200"/>
      <c r="AW129" s="200"/>
      <c r="AX129" s="200"/>
      <c r="AY129" s="200"/>
      <c r="AZ129" s="200"/>
      <c r="BA129" s="195"/>
      <c r="BB129" s="200"/>
      <c r="BC129" s="200"/>
      <c r="BD129" s="200"/>
      <c r="BE129" s="200"/>
      <c r="BF129" s="200"/>
      <c r="BG129" s="200"/>
      <c r="BH129" s="200"/>
      <c r="BI129" s="198"/>
      <c r="BJ129" s="200">
        <f t="shared" ca="1" si="97"/>
        <v>0</v>
      </c>
      <c r="BK129" s="697" t="str">
        <f ca="1">IFERROR((BJ130/BJ129),"-")</f>
        <v>-</v>
      </c>
      <c r="BL129" s="198"/>
      <c r="BM129" s="198"/>
      <c r="BN129" s="198"/>
      <c r="BO129" s="198"/>
      <c r="BP129" s="697"/>
      <c r="BQ129" s="195"/>
      <c r="BR129" s="198"/>
      <c r="BS129" s="198"/>
      <c r="BT129" s="697"/>
      <c r="BU129" s="195"/>
      <c r="BV129" s="198"/>
      <c r="BW129" s="198"/>
    </row>
    <row r="130" spans="1:75">
      <c r="A130" s="195"/>
      <c r="B130" s="193"/>
      <c r="C130" s="194"/>
      <c r="D130" s="695"/>
      <c r="E130" s="195"/>
      <c r="F130" s="196" t="s">
        <v>38</v>
      </c>
      <c r="G130" s="197"/>
      <c r="H130" s="696"/>
      <c r="I130" s="198"/>
      <c r="J130" s="199" t="s">
        <v>38</v>
      </c>
      <c r="K130" s="197">
        <f t="shared" ca="1" si="96"/>
        <v>0</v>
      </c>
      <c r="L130" s="697"/>
      <c r="M130" s="195"/>
      <c r="N130" s="200"/>
      <c r="O130" s="200"/>
      <c r="P130" s="200"/>
      <c r="Q130" s="200"/>
      <c r="R130" s="200"/>
      <c r="S130" s="200"/>
      <c r="T130" s="200"/>
      <c r="U130" s="195"/>
      <c r="V130" s="200"/>
      <c r="W130" s="200"/>
      <c r="X130" s="200"/>
      <c r="Y130" s="200"/>
      <c r="Z130" s="200"/>
      <c r="AA130" s="200"/>
      <c r="AB130" s="200"/>
      <c r="AC130" s="195"/>
      <c r="AD130" s="200"/>
      <c r="AE130" s="200"/>
      <c r="AF130" s="200"/>
      <c r="AG130" s="200"/>
      <c r="AH130" s="200"/>
      <c r="AI130" s="200"/>
      <c r="AJ130" s="200"/>
      <c r="AK130" s="195"/>
      <c r="AL130" s="200"/>
      <c r="AM130" s="200"/>
      <c r="AN130" s="200"/>
      <c r="AO130" s="200"/>
      <c r="AP130" s="200"/>
      <c r="AQ130" s="200"/>
      <c r="AR130" s="200"/>
      <c r="AS130" s="198"/>
      <c r="AT130" s="200"/>
      <c r="AU130" s="200"/>
      <c r="AV130" s="200"/>
      <c r="AW130" s="200"/>
      <c r="AX130" s="200"/>
      <c r="AY130" s="200"/>
      <c r="AZ130" s="200"/>
      <c r="BA130" s="195"/>
      <c r="BB130" s="200"/>
      <c r="BC130" s="200"/>
      <c r="BD130" s="200"/>
      <c r="BE130" s="200"/>
      <c r="BF130" s="200"/>
      <c r="BG130" s="200"/>
      <c r="BH130" s="200"/>
      <c r="BI130" s="198"/>
      <c r="BJ130" s="200">
        <f t="shared" ca="1" si="97"/>
        <v>0</v>
      </c>
      <c r="BK130" s="697"/>
      <c r="BL130" s="198"/>
      <c r="BM130" s="198"/>
      <c r="BN130" s="198"/>
      <c r="BO130" s="198"/>
      <c r="BP130" s="697"/>
      <c r="BQ130" s="195"/>
      <c r="BR130" s="198"/>
      <c r="BS130" s="198"/>
      <c r="BT130" s="697"/>
      <c r="BU130" s="195"/>
      <c r="BV130" s="198"/>
      <c r="BW130" s="198"/>
    </row>
    <row r="131" spans="1:75">
      <c r="A131" s="206"/>
      <c r="B131" s="735"/>
      <c r="C131" s="207"/>
      <c r="D131" s="206"/>
      <c r="E131" s="206"/>
      <c r="F131" s="206"/>
      <c r="G131" s="205"/>
      <c r="H131" s="205"/>
      <c r="J131" s="205"/>
      <c r="K131" s="205"/>
      <c r="L131" s="206"/>
      <c r="N131" s="207"/>
      <c r="O131" s="207"/>
      <c r="P131" s="207"/>
      <c r="Q131" s="207"/>
      <c r="R131" s="207"/>
      <c r="S131" s="207"/>
      <c r="T131" s="207"/>
      <c r="V131" s="207"/>
      <c r="W131" s="207"/>
      <c r="X131" s="207"/>
      <c r="Y131" s="207"/>
      <c r="Z131" s="207"/>
      <c r="AA131" s="207"/>
      <c r="AB131" s="207"/>
      <c r="AD131" s="207"/>
      <c r="AE131" s="207"/>
      <c r="AF131" s="207"/>
      <c r="AG131" s="207"/>
      <c r="AH131" s="207"/>
      <c r="AI131" s="207"/>
      <c r="AJ131" s="207"/>
      <c r="AL131" s="207"/>
      <c r="AM131" s="207"/>
      <c r="AN131" s="207"/>
      <c r="AO131" s="207"/>
      <c r="AP131" s="207"/>
      <c r="AQ131" s="207"/>
      <c r="AR131" s="207"/>
      <c r="AT131" s="207"/>
      <c r="AU131" s="207"/>
      <c r="AV131" s="207"/>
      <c r="AW131" s="207"/>
      <c r="AX131" s="207"/>
      <c r="AY131" s="207"/>
      <c r="AZ131" s="207"/>
      <c r="BB131" s="207"/>
      <c r="BC131" s="207"/>
      <c r="BD131" s="207"/>
      <c r="BE131" s="207"/>
      <c r="BF131" s="207"/>
      <c r="BG131" s="207"/>
      <c r="BH131" s="207"/>
      <c r="BJ131" s="736"/>
      <c r="BK131" s="206"/>
      <c r="BM131" s="205"/>
      <c r="BN131" s="205"/>
      <c r="BO131" s="205"/>
      <c r="BP131" s="206"/>
      <c r="BR131" s="205"/>
      <c r="BS131" s="205"/>
      <c r="BT131" s="206"/>
      <c r="BV131" s="205"/>
      <c r="BW131" s="205"/>
    </row>
    <row r="132" spans="1:75">
      <c r="A132" s="206"/>
      <c r="B132" s="735"/>
      <c r="C132" s="207"/>
      <c r="D132" s="206"/>
      <c r="E132" s="206"/>
      <c r="F132" s="206"/>
      <c r="G132" s="205"/>
      <c r="H132" s="205"/>
      <c r="J132" s="205"/>
      <c r="K132" s="205"/>
      <c r="L132" s="206"/>
      <c r="N132" s="207"/>
      <c r="O132" s="207"/>
      <c r="P132" s="207"/>
      <c r="Q132" s="207"/>
      <c r="R132" s="207"/>
      <c r="S132" s="207"/>
      <c r="T132" s="207"/>
      <c r="V132" s="207"/>
      <c r="W132" s="207"/>
      <c r="X132" s="207"/>
      <c r="Y132" s="207"/>
      <c r="Z132" s="207"/>
      <c r="AA132" s="207"/>
      <c r="AB132" s="207"/>
      <c r="AD132" s="207"/>
      <c r="AE132" s="207"/>
      <c r="AF132" s="207"/>
      <c r="AG132" s="207"/>
      <c r="AH132" s="207"/>
      <c r="AI132" s="207"/>
      <c r="AJ132" s="207"/>
      <c r="AL132" s="207"/>
      <c r="AM132" s="207"/>
      <c r="AN132" s="207"/>
      <c r="AO132" s="207"/>
      <c r="AP132" s="207"/>
      <c r="AQ132" s="207"/>
      <c r="AR132" s="207"/>
      <c r="AT132" s="207"/>
      <c r="AU132" s="207"/>
      <c r="AV132" s="207"/>
      <c r="AW132" s="207"/>
      <c r="AX132" s="207"/>
      <c r="AY132" s="207"/>
      <c r="AZ132" s="207"/>
      <c r="BB132" s="207"/>
      <c r="BC132" s="207"/>
      <c r="BD132" s="207"/>
      <c r="BE132" s="207"/>
      <c r="BF132" s="207"/>
      <c r="BG132" s="207"/>
      <c r="BH132" s="207"/>
      <c r="BJ132" s="736"/>
      <c r="BK132" s="206"/>
      <c r="BM132" s="205"/>
      <c r="BN132" s="205"/>
      <c r="BO132" s="205"/>
      <c r="BP132" s="206"/>
      <c r="BR132" s="205"/>
      <c r="BS132" s="205"/>
      <c r="BT132" s="206"/>
      <c r="BV132" s="206"/>
      <c r="BW132" s="206"/>
    </row>
    <row r="133" spans="1:75">
      <c r="A133" s="206"/>
      <c r="B133" s="735"/>
      <c r="C133" s="207"/>
      <c r="D133" s="206"/>
      <c r="E133" s="206"/>
      <c r="F133" s="206"/>
      <c r="G133" s="205"/>
      <c r="H133" s="205"/>
      <c r="J133" s="205"/>
      <c r="K133" s="205"/>
      <c r="L133" s="206"/>
      <c r="N133" s="207"/>
      <c r="O133" s="207"/>
      <c r="P133" s="207"/>
      <c r="Q133" s="207"/>
      <c r="R133" s="207"/>
      <c r="S133" s="207"/>
      <c r="T133" s="207"/>
      <c r="V133" s="207"/>
      <c r="W133" s="207"/>
      <c r="X133" s="207"/>
      <c r="Y133" s="207"/>
      <c r="Z133" s="207"/>
      <c r="AA133" s="207"/>
      <c r="AB133" s="207"/>
      <c r="AD133" s="207"/>
      <c r="AE133" s="207"/>
      <c r="AF133" s="207"/>
      <c r="AG133" s="207"/>
      <c r="AH133" s="207"/>
      <c r="AI133" s="207"/>
      <c r="AJ133" s="207"/>
      <c r="AL133" s="207"/>
      <c r="AM133" s="207"/>
      <c r="AN133" s="207"/>
      <c r="AO133" s="207"/>
      <c r="AP133" s="207"/>
      <c r="AQ133" s="207"/>
      <c r="AR133" s="207"/>
      <c r="AT133" s="207"/>
      <c r="AU133" s="207"/>
      <c r="AV133" s="207"/>
      <c r="AW133" s="207"/>
      <c r="AX133" s="207"/>
      <c r="AY133" s="207"/>
      <c r="AZ133" s="207"/>
      <c r="BB133" s="207"/>
      <c r="BC133" s="207"/>
      <c r="BD133" s="207"/>
      <c r="BE133" s="207"/>
      <c r="BF133" s="207"/>
      <c r="BG133" s="207"/>
      <c r="BH133" s="207"/>
      <c r="BJ133" s="736"/>
      <c r="BK133" s="206"/>
      <c r="BM133" s="205"/>
      <c r="BN133" s="205"/>
      <c r="BO133" s="205"/>
      <c r="BP133" s="206"/>
      <c r="BR133" s="205"/>
      <c r="BS133" s="205"/>
      <c r="BT133" s="206"/>
      <c r="BV133" s="206"/>
      <c r="BW133" s="206"/>
    </row>
    <row r="134" spans="1:75">
      <c r="A134" s="206"/>
      <c r="B134" s="735"/>
      <c r="C134" s="207"/>
      <c r="D134" s="206"/>
      <c r="E134" s="206"/>
      <c r="F134" s="206"/>
      <c r="G134" s="205"/>
      <c r="H134" s="205"/>
      <c r="J134" s="205"/>
      <c r="K134" s="205"/>
      <c r="L134" s="206"/>
      <c r="N134" s="207"/>
      <c r="O134" s="207"/>
      <c r="P134" s="207"/>
      <c r="Q134" s="207"/>
      <c r="R134" s="207"/>
      <c r="S134" s="207"/>
      <c r="T134" s="207"/>
      <c r="V134" s="207"/>
      <c r="W134" s="207"/>
      <c r="X134" s="207"/>
      <c r="Y134" s="207"/>
      <c r="Z134" s="207"/>
      <c r="AA134" s="207"/>
      <c r="AB134" s="207"/>
      <c r="AD134" s="207"/>
      <c r="AE134" s="207"/>
      <c r="AF134" s="207"/>
      <c r="AG134" s="207"/>
      <c r="AH134" s="207"/>
      <c r="AI134" s="207"/>
      <c r="AJ134" s="207"/>
      <c r="AL134" s="207"/>
      <c r="AM134" s="207"/>
      <c r="AN134" s="207"/>
      <c r="AO134" s="207"/>
      <c r="AP134" s="207"/>
      <c r="AQ134" s="207"/>
      <c r="AR134" s="207"/>
      <c r="AT134" s="207"/>
      <c r="AU134" s="207"/>
      <c r="AV134" s="207"/>
      <c r="AW134" s="207"/>
      <c r="AX134" s="207"/>
      <c r="AY134" s="207"/>
      <c r="AZ134" s="207"/>
      <c r="BB134" s="207"/>
      <c r="BC134" s="207"/>
      <c r="BD134" s="207"/>
      <c r="BE134" s="207"/>
      <c r="BF134" s="207"/>
      <c r="BG134" s="207"/>
      <c r="BH134" s="207"/>
      <c r="BJ134" s="736"/>
      <c r="BK134" s="206"/>
      <c r="BM134" s="205"/>
      <c r="BN134" s="205"/>
      <c r="BO134" s="205"/>
      <c r="BP134" s="206"/>
      <c r="BR134" s="205"/>
      <c r="BS134" s="205"/>
      <c r="BT134" s="206"/>
      <c r="BV134" s="206"/>
      <c r="BW134" s="206"/>
    </row>
    <row r="135" spans="1:75">
      <c r="A135" s="206"/>
      <c r="B135" s="735"/>
      <c r="C135" s="207"/>
      <c r="D135" s="206"/>
      <c r="E135" s="206"/>
      <c r="F135" s="206"/>
      <c r="G135" s="205"/>
      <c r="H135" s="205"/>
      <c r="J135" s="205"/>
      <c r="K135" s="205"/>
      <c r="L135" s="206"/>
      <c r="N135" s="207"/>
      <c r="O135" s="207"/>
      <c r="P135" s="207"/>
      <c r="Q135" s="207"/>
      <c r="R135" s="207"/>
      <c r="S135" s="207"/>
      <c r="T135" s="207"/>
      <c r="V135" s="207"/>
      <c r="W135" s="207"/>
      <c r="X135" s="207"/>
      <c r="Y135" s="207"/>
      <c r="Z135" s="207"/>
      <c r="AA135" s="207"/>
      <c r="AB135" s="207"/>
      <c r="AD135" s="207"/>
      <c r="AE135" s="207"/>
      <c r="AF135" s="207"/>
      <c r="AG135" s="207"/>
      <c r="AH135" s="207"/>
      <c r="AI135" s="207"/>
      <c r="AJ135" s="207"/>
      <c r="AL135" s="207"/>
      <c r="AM135" s="207"/>
      <c r="AN135" s="207"/>
      <c r="AO135" s="207"/>
      <c r="AP135" s="207"/>
      <c r="AQ135" s="207"/>
      <c r="AR135" s="207"/>
      <c r="AT135" s="207"/>
      <c r="AU135" s="207"/>
      <c r="AV135" s="207"/>
      <c r="AW135" s="207"/>
      <c r="AX135" s="207"/>
      <c r="AY135" s="207"/>
      <c r="AZ135" s="207"/>
      <c r="BB135" s="207"/>
      <c r="BC135" s="207"/>
      <c r="BD135" s="207"/>
      <c r="BE135" s="207"/>
      <c r="BF135" s="207"/>
      <c r="BG135" s="207"/>
      <c r="BH135" s="207"/>
      <c r="BJ135" s="736"/>
      <c r="BK135" s="206"/>
      <c r="BM135" s="205"/>
      <c r="BN135" s="205"/>
      <c r="BO135" s="205"/>
      <c r="BP135" s="206"/>
      <c r="BR135" s="205"/>
      <c r="BS135" s="205"/>
      <c r="BT135" s="206"/>
      <c r="BV135" s="206"/>
      <c r="BW135" s="206"/>
    </row>
    <row r="136" spans="1:75">
      <c r="A136" s="206"/>
      <c r="B136" s="735"/>
      <c r="C136" s="207"/>
      <c r="D136" s="206"/>
      <c r="E136" s="206"/>
      <c r="F136" s="206"/>
      <c r="G136" s="205"/>
      <c r="H136" s="205"/>
      <c r="J136" s="205"/>
      <c r="K136" s="205"/>
      <c r="L136" s="206"/>
      <c r="N136" s="207"/>
      <c r="O136" s="207"/>
      <c r="P136" s="207"/>
      <c r="Q136" s="207"/>
      <c r="R136" s="207"/>
      <c r="S136" s="207"/>
      <c r="T136" s="207"/>
      <c r="V136" s="207"/>
      <c r="W136" s="207"/>
      <c r="X136" s="207"/>
      <c r="Y136" s="207"/>
      <c r="Z136" s="207"/>
      <c r="AA136" s="207"/>
      <c r="AB136" s="207"/>
      <c r="AD136" s="207"/>
      <c r="AE136" s="207"/>
      <c r="AF136" s="207"/>
      <c r="AG136" s="207"/>
      <c r="AH136" s="207"/>
      <c r="AI136" s="207"/>
      <c r="AJ136" s="207"/>
      <c r="AL136" s="207"/>
      <c r="AM136" s="207"/>
      <c r="AN136" s="207"/>
      <c r="AO136" s="207"/>
      <c r="AP136" s="207"/>
      <c r="AQ136" s="207"/>
      <c r="AR136" s="207"/>
      <c r="AT136" s="207"/>
      <c r="AU136" s="207"/>
      <c r="AV136" s="207"/>
      <c r="AW136" s="207"/>
      <c r="AX136" s="207"/>
      <c r="AY136" s="207"/>
      <c r="AZ136" s="207"/>
      <c r="BB136" s="207"/>
      <c r="BC136" s="207"/>
      <c r="BD136" s="207"/>
      <c r="BE136" s="207"/>
      <c r="BF136" s="207"/>
      <c r="BG136" s="207"/>
      <c r="BH136" s="207"/>
      <c r="BJ136" s="736"/>
      <c r="BK136" s="206"/>
      <c r="BM136" s="205"/>
      <c r="BN136" s="205"/>
      <c r="BO136" s="205"/>
      <c r="BP136" s="206"/>
      <c r="BR136" s="205"/>
      <c r="BS136" s="205"/>
      <c r="BT136" s="206"/>
      <c r="BV136" s="206"/>
      <c r="BW136" s="206"/>
    </row>
    <row r="137" spans="1:75">
      <c r="A137" s="206"/>
      <c r="B137" s="735"/>
      <c r="C137" s="207"/>
      <c r="D137" s="206"/>
      <c r="E137" s="206"/>
      <c r="F137" s="206"/>
      <c r="G137" s="205"/>
      <c r="H137" s="205"/>
      <c r="J137" s="205"/>
      <c r="K137" s="205"/>
      <c r="L137" s="206"/>
      <c r="N137" s="207"/>
      <c r="O137" s="207"/>
      <c r="P137" s="207"/>
      <c r="Q137" s="207"/>
      <c r="R137" s="207"/>
      <c r="S137" s="207"/>
      <c r="T137" s="207"/>
      <c r="V137" s="207"/>
      <c r="W137" s="207"/>
      <c r="X137" s="207"/>
      <c r="Y137" s="207"/>
      <c r="Z137" s="207"/>
      <c r="AA137" s="207"/>
      <c r="AB137" s="207"/>
      <c r="AD137" s="207"/>
      <c r="AE137" s="207"/>
      <c r="AF137" s="207"/>
      <c r="AG137" s="207"/>
      <c r="AH137" s="207"/>
      <c r="AI137" s="207"/>
      <c r="AJ137" s="207"/>
      <c r="AL137" s="207"/>
      <c r="AM137" s="207"/>
      <c r="AN137" s="207"/>
      <c r="AO137" s="207"/>
      <c r="AP137" s="207"/>
      <c r="AQ137" s="207"/>
      <c r="AR137" s="207"/>
      <c r="AT137" s="207"/>
      <c r="AU137" s="207"/>
      <c r="AV137" s="207"/>
      <c r="AW137" s="207"/>
      <c r="AX137" s="207"/>
      <c r="AY137" s="207"/>
      <c r="AZ137" s="207"/>
      <c r="BB137" s="207"/>
      <c r="BC137" s="207"/>
      <c r="BD137" s="207"/>
      <c r="BE137" s="207"/>
      <c r="BF137" s="207"/>
      <c r="BG137" s="207"/>
      <c r="BH137" s="207"/>
      <c r="BJ137" s="736"/>
      <c r="BK137" s="206"/>
      <c r="BM137" s="205"/>
      <c r="BN137" s="205"/>
      <c r="BO137" s="205"/>
      <c r="BP137" s="206"/>
      <c r="BR137" s="205"/>
      <c r="BS137" s="205"/>
      <c r="BT137" s="206"/>
      <c r="BV137" s="206"/>
      <c r="BW137" s="206"/>
    </row>
    <row r="138" spans="1:75">
      <c r="A138" s="206"/>
      <c r="B138" s="735"/>
      <c r="C138" s="207"/>
      <c r="D138" s="206"/>
      <c r="E138" s="206"/>
      <c r="F138" s="206"/>
      <c r="G138" s="205"/>
      <c r="H138" s="205"/>
      <c r="J138" s="205"/>
      <c r="K138" s="205"/>
      <c r="L138" s="206"/>
      <c r="N138" s="207"/>
      <c r="O138" s="207"/>
      <c r="P138" s="207"/>
      <c r="Q138" s="207"/>
      <c r="R138" s="207"/>
      <c r="S138" s="207"/>
      <c r="T138" s="207"/>
      <c r="V138" s="207"/>
      <c r="W138" s="207"/>
      <c r="X138" s="207"/>
      <c r="Y138" s="207"/>
      <c r="Z138" s="207"/>
      <c r="AA138" s="207"/>
      <c r="AB138" s="207"/>
      <c r="AD138" s="207"/>
      <c r="AE138" s="207"/>
      <c r="AF138" s="207"/>
      <c r="AG138" s="207"/>
      <c r="AH138" s="207"/>
      <c r="AI138" s="207"/>
      <c r="AJ138" s="207"/>
      <c r="AL138" s="207"/>
      <c r="AM138" s="207"/>
      <c r="AN138" s="207"/>
      <c r="AO138" s="207"/>
      <c r="AP138" s="207"/>
      <c r="AQ138" s="207"/>
      <c r="AR138" s="207"/>
      <c r="AT138" s="207"/>
      <c r="AU138" s="207"/>
      <c r="AV138" s="207"/>
      <c r="AW138" s="207"/>
      <c r="AX138" s="207"/>
      <c r="AY138" s="207"/>
      <c r="AZ138" s="207"/>
      <c r="BB138" s="207"/>
      <c r="BC138" s="207"/>
      <c r="BD138" s="207"/>
      <c r="BE138" s="207"/>
      <c r="BF138" s="207"/>
      <c r="BG138" s="207"/>
      <c r="BH138" s="207"/>
      <c r="BJ138" s="736"/>
      <c r="BK138" s="206"/>
      <c r="BM138" s="205"/>
      <c r="BN138" s="205"/>
      <c r="BO138" s="205"/>
      <c r="BP138" s="206"/>
      <c r="BR138" s="205"/>
      <c r="BS138" s="205"/>
      <c r="BT138" s="206"/>
      <c r="BV138" s="205"/>
      <c r="BW138" s="205"/>
    </row>
    <row r="139" spans="1:75">
      <c r="A139" s="206"/>
      <c r="B139" s="735"/>
      <c r="C139" s="207"/>
      <c r="D139" s="206"/>
      <c r="E139" s="206"/>
      <c r="F139" s="206"/>
      <c r="G139" s="205"/>
      <c r="H139" s="205"/>
      <c r="J139" s="205"/>
      <c r="K139" s="205"/>
      <c r="L139" s="206"/>
      <c r="N139" s="207"/>
      <c r="O139" s="207"/>
      <c r="P139" s="207"/>
      <c r="Q139" s="207"/>
      <c r="R139" s="207"/>
      <c r="S139" s="207"/>
      <c r="T139" s="207"/>
      <c r="V139" s="207"/>
      <c r="W139" s="207"/>
      <c r="X139" s="207"/>
      <c r="Y139" s="207"/>
      <c r="Z139" s="207"/>
      <c r="AA139" s="207"/>
      <c r="AB139" s="207"/>
      <c r="AD139" s="207"/>
      <c r="AE139" s="207"/>
      <c r="AF139" s="207"/>
      <c r="AG139" s="207"/>
      <c r="AH139" s="207"/>
      <c r="AI139" s="207"/>
      <c r="AJ139" s="207"/>
      <c r="AL139" s="207"/>
      <c r="AM139" s="207"/>
      <c r="AN139" s="207"/>
      <c r="AO139" s="207"/>
      <c r="AP139" s="207"/>
      <c r="AQ139" s="207"/>
      <c r="AR139" s="207"/>
      <c r="AT139" s="207"/>
      <c r="AU139" s="207"/>
      <c r="AV139" s="207"/>
      <c r="AW139" s="207"/>
      <c r="AX139" s="207"/>
      <c r="AY139" s="207"/>
      <c r="AZ139" s="207"/>
      <c r="BB139" s="207"/>
      <c r="BC139" s="207"/>
      <c r="BD139" s="207"/>
      <c r="BE139" s="207"/>
      <c r="BF139" s="207"/>
      <c r="BG139" s="207"/>
      <c r="BH139" s="207"/>
      <c r="BJ139" s="736"/>
      <c r="BK139" s="206"/>
      <c r="BM139" s="205"/>
      <c r="BN139" s="205"/>
      <c r="BO139" s="205"/>
      <c r="BP139" s="206"/>
      <c r="BR139" s="205"/>
      <c r="BS139" s="205"/>
      <c r="BT139" s="206"/>
      <c r="BV139" s="205"/>
      <c r="BW139" s="205"/>
    </row>
    <row r="140" spans="1:75">
      <c r="A140" s="206"/>
      <c r="B140" s="735"/>
      <c r="C140" s="207"/>
      <c r="D140" s="206"/>
      <c r="E140" s="206"/>
      <c r="F140" s="206"/>
      <c r="G140" s="205"/>
      <c r="H140" s="205"/>
      <c r="J140" s="205"/>
      <c r="K140" s="205"/>
      <c r="L140" s="206"/>
      <c r="N140" s="207"/>
      <c r="O140" s="207"/>
      <c r="P140" s="207"/>
      <c r="Q140" s="207"/>
      <c r="R140" s="207"/>
      <c r="S140" s="207"/>
      <c r="T140" s="207"/>
      <c r="V140" s="207"/>
      <c r="W140" s="207"/>
      <c r="X140" s="207"/>
      <c r="Y140" s="207"/>
      <c r="Z140" s="207"/>
      <c r="AA140" s="207"/>
      <c r="AB140" s="207"/>
      <c r="AD140" s="207"/>
      <c r="AE140" s="207"/>
      <c r="AF140" s="207"/>
      <c r="AG140" s="207"/>
      <c r="AH140" s="207"/>
      <c r="AI140" s="207"/>
      <c r="AJ140" s="207"/>
      <c r="AL140" s="207"/>
      <c r="AM140" s="207"/>
      <c r="AN140" s="207"/>
      <c r="AO140" s="207"/>
      <c r="AP140" s="207"/>
      <c r="AQ140" s="207"/>
      <c r="AR140" s="207"/>
      <c r="AT140" s="207"/>
      <c r="AU140" s="207"/>
      <c r="AV140" s="207"/>
      <c r="AW140" s="207"/>
      <c r="AX140" s="207"/>
      <c r="AY140" s="207"/>
      <c r="AZ140" s="207"/>
      <c r="BB140" s="207"/>
      <c r="BC140" s="207"/>
      <c r="BD140" s="207"/>
      <c r="BE140" s="207"/>
      <c r="BF140" s="207"/>
      <c r="BG140" s="207"/>
      <c r="BH140" s="207"/>
      <c r="BJ140" s="736"/>
      <c r="BK140" s="206"/>
      <c r="BM140" s="205"/>
      <c r="BN140" s="205"/>
      <c r="BO140" s="205"/>
      <c r="BP140" s="206"/>
      <c r="BR140" s="205"/>
      <c r="BS140" s="205"/>
      <c r="BT140" s="206"/>
      <c r="BV140" s="205"/>
      <c r="BW140" s="205"/>
    </row>
    <row r="141" spans="1:75">
      <c r="A141" s="206"/>
      <c r="B141" s="735"/>
      <c r="C141" s="207"/>
      <c r="D141" s="206"/>
      <c r="E141" s="206"/>
      <c r="F141" s="206"/>
      <c r="G141" s="205"/>
      <c r="H141" s="205"/>
      <c r="J141" s="205"/>
      <c r="K141" s="205"/>
      <c r="L141" s="206"/>
      <c r="N141" s="207"/>
      <c r="O141" s="207"/>
      <c r="P141" s="207"/>
      <c r="Q141" s="207"/>
      <c r="R141" s="207"/>
      <c r="S141" s="207"/>
      <c r="T141" s="207"/>
      <c r="V141" s="207"/>
      <c r="W141" s="207"/>
      <c r="X141" s="207"/>
      <c r="Y141" s="207"/>
      <c r="Z141" s="207"/>
      <c r="AA141" s="207"/>
      <c r="AB141" s="207"/>
      <c r="AD141" s="207"/>
      <c r="AE141" s="207"/>
      <c r="AF141" s="207"/>
      <c r="AG141" s="207"/>
      <c r="AH141" s="207"/>
      <c r="AI141" s="207"/>
      <c r="AJ141" s="207"/>
      <c r="AL141" s="207"/>
      <c r="AM141" s="207"/>
      <c r="AN141" s="207"/>
      <c r="AO141" s="207"/>
      <c r="AP141" s="207"/>
      <c r="AQ141" s="207"/>
      <c r="AR141" s="207"/>
      <c r="AT141" s="207"/>
      <c r="AU141" s="207"/>
      <c r="AV141" s="207"/>
      <c r="AW141" s="207"/>
      <c r="AX141" s="207"/>
      <c r="AY141" s="207"/>
      <c r="AZ141" s="207"/>
      <c r="BB141" s="207"/>
      <c r="BC141" s="207"/>
      <c r="BD141" s="207"/>
      <c r="BE141" s="207"/>
      <c r="BF141" s="207"/>
      <c r="BG141" s="207"/>
      <c r="BH141" s="207"/>
      <c r="BJ141" s="736"/>
      <c r="BK141" s="206"/>
      <c r="BM141" s="205"/>
      <c r="BN141" s="205"/>
      <c r="BO141" s="205"/>
      <c r="BP141" s="206"/>
      <c r="BR141" s="205"/>
      <c r="BS141" s="205"/>
      <c r="BT141" s="206"/>
      <c r="BV141" s="205"/>
      <c r="BW141" s="205"/>
    </row>
  </sheetData>
  <mergeCells count="662">
    <mergeCell ref="BR4:BT4"/>
    <mergeCell ref="BW118:BW119"/>
    <mergeCell ref="F2:L2"/>
    <mergeCell ref="N2:T2"/>
    <mergeCell ref="V2:AB2"/>
    <mergeCell ref="AD2:AJ2"/>
    <mergeCell ref="AL2:AR2"/>
    <mergeCell ref="AT2:AZ2"/>
    <mergeCell ref="BB2:BH2"/>
    <mergeCell ref="BJ2:BK2"/>
    <mergeCell ref="BM2:BP2"/>
    <mergeCell ref="BR2:BT2"/>
    <mergeCell ref="BK118:BK119"/>
    <mergeCell ref="BM118:BM119"/>
    <mergeCell ref="BN118:BN119"/>
    <mergeCell ref="BO118:BO119"/>
    <mergeCell ref="BP118:BP119"/>
    <mergeCell ref="BR118:BR119"/>
    <mergeCell ref="BS118:BS119"/>
    <mergeCell ref="BT118:BT119"/>
    <mergeCell ref="BV118:BV119"/>
    <mergeCell ref="BW114:BW115"/>
    <mergeCell ref="BR116:BR117"/>
    <mergeCell ref="BS116:BS117"/>
    <mergeCell ref="BT116:BT117"/>
    <mergeCell ref="BV116:BV117"/>
    <mergeCell ref="BW116:BW117"/>
    <mergeCell ref="BK114:BK115"/>
    <mergeCell ref="BM114:BM115"/>
    <mergeCell ref="BN114:BN115"/>
    <mergeCell ref="BO114:BO115"/>
    <mergeCell ref="BP114:BP115"/>
    <mergeCell ref="BR114:BR115"/>
    <mergeCell ref="BS114:BS115"/>
    <mergeCell ref="BT114:BT115"/>
    <mergeCell ref="BV114:BV115"/>
    <mergeCell ref="BK116:BK117"/>
    <mergeCell ref="BM116:BM117"/>
    <mergeCell ref="BN116:BN117"/>
    <mergeCell ref="BO116:BO117"/>
    <mergeCell ref="BP116:BP117"/>
    <mergeCell ref="BW110:BW111"/>
    <mergeCell ref="B112:B113"/>
    <mergeCell ref="D112:D113"/>
    <mergeCell ref="H112:H113"/>
    <mergeCell ref="L112:L113"/>
    <mergeCell ref="BK112:BK113"/>
    <mergeCell ref="BM112:BM113"/>
    <mergeCell ref="BN112:BN113"/>
    <mergeCell ref="BO112:BO113"/>
    <mergeCell ref="BP112:BP113"/>
    <mergeCell ref="BR112:BR113"/>
    <mergeCell ref="BS112:BS113"/>
    <mergeCell ref="BT112:BT113"/>
    <mergeCell ref="BV112:BV113"/>
    <mergeCell ref="BW112:BW113"/>
    <mergeCell ref="BK110:BK111"/>
    <mergeCell ref="BM110:BM111"/>
    <mergeCell ref="BN110:BN111"/>
    <mergeCell ref="BO110:BO111"/>
    <mergeCell ref="BP110:BP111"/>
    <mergeCell ref="BR110:BR111"/>
    <mergeCell ref="BS110:BS111"/>
    <mergeCell ref="BT110:BT111"/>
    <mergeCell ref="BV110:BV111"/>
    <mergeCell ref="BW102:BW103"/>
    <mergeCell ref="B106:B107"/>
    <mergeCell ref="C106:C107"/>
    <mergeCell ref="D106:D107"/>
    <mergeCell ref="H106:H107"/>
    <mergeCell ref="L106:L107"/>
    <mergeCell ref="BK106:BK107"/>
    <mergeCell ref="BM106:BM107"/>
    <mergeCell ref="BN106:BN107"/>
    <mergeCell ref="BO106:BO107"/>
    <mergeCell ref="BP106:BP107"/>
    <mergeCell ref="BR106:BR107"/>
    <mergeCell ref="BS106:BS107"/>
    <mergeCell ref="BT106:BT107"/>
    <mergeCell ref="BV106:BV107"/>
    <mergeCell ref="BW106:BW107"/>
    <mergeCell ref="BK102:BK103"/>
    <mergeCell ref="BM102:BM103"/>
    <mergeCell ref="BN102:BN103"/>
    <mergeCell ref="BO102:BO103"/>
    <mergeCell ref="BP102:BP103"/>
    <mergeCell ref="BR102:BR103"/>
    <mergeCell ref="BS102:BS103"/>
    <mergeCell ref="BT102:BT103"/>
    <mergeCell ref="BV102:BV103"/>
    <mergeCell ref="BP98:BP99"/>
    <mergeCell ref="BR98:BR99"/>
    <mergeCell ref="BS98:BS99"/>
    <mergeCell ref="BT98:BT99"/>
    <mergeCell ref="BV98:BV99"/>
    <mergeCell ref="BW98:BW99"/>
    <mergeCell ref="B100:B101"/>
    <mergeCell ref="C100:C101"/>
    <mergeCell ref="D100:D101"/>
    <mergeCell ref="H100:H101"/>
    <mergeCell ref="L100:L101"/>
    <mergeCell ref="BK100:BK101"/>
    <mergeCell ref="BM100:BM101"/>
    <mergeCell ref="BN100:BN101"/>
    <mergeCell ref="BO100:BO101"/>
    <mergeCell ref="BP100:BP101"/>
    <mergeCell ref="BR100:BR101"/>
    <mergeCell ref="BS100:BS101"/>
    <mergeCell ref="BT100:BT101"/>
    <mergeCell ref="BV100:BV101"/>
    <mergeCell ref="BW100:BW101"/>
    <mergeCell ref="B98:B99"/>
    <mergeCell ref="C98:C99"/>
    <mergeCell ref="BV94:BV95"/>
    <mergeCell ref="BW94:BW95"/>
    <mergeCell ref="BP96:BP97"/>
    <mergeCell ref="BR96:BR97"/>
    <mergeCell ref="BS96:BS97"/>
    <mergeCell ref="BT96:BT97"/>
    <mergeCell ref="BV96:BV97"/>
    <mergeCell ref="BW96:BW97"/>
    <mergeCell ref="L94:L95"/>
    <mergeCell ref="BK94:BK95"/>
    <mergeCell ref="BM94:BM95"/>
    <mergeCell ref="BN94:BN95"/>
    <mergeCell ref="BO94:BO95"/>
    <mergeCell ref="BP94:BP95"/>
    <mergeCell ref="BR94:BR95"/>
    <mergeCell ref="BS94:BS95"/>
    <mergeCell ref="BT94:BT95"/>
    <mergeCell ref="BK96:BK97"/>
    <mergeCell ref="BM96:BM97"/>
    <mergeCell ref="BN96:BN97"/>
    <mergeCell ref="BO96:BO97"/>
    <mergeCell ref="D98:D99"/>
    <mergeCell ref="H98:H99"/>
    <mergeCell ref="L98:L99"/>
    <mergeCell ref="BK98:BK99"/>
    <mergeCell ref="BM98:BM99"/>
    <mergeCell ref="BN98:BN99"/>
    <mergeCell ref="BO98:BO99"/>
    <mergeCell ref="BW86:BW87"/>
    <mergeCell ref="B90:B91"/>
    <mergeCell ref="C90:C91"/>
    <mergeCell ref="D90:D91"/>
    <mergeCell ref="H90:H91"/>
    <mergeCell ref="L90:L91"/>
    <mergeCell ref="BK90:BK91"/>
    <mergeCell ref="BM90:BM91"/>
    <mergeCell ref="BN90:BN91"/>
    <mergeCell ref="BO90:BO91"/>
    <mergeCell ref="BP90:BP91"/>
    <mergeCell ref="BR90:BR91"/>
    <mergeCell ref="BS90:BS91"/>
    <mergeCell ref="BT90:BT91"/>
    <mergeCell ref="BV90:BV91"/>
    <mergeCell ref="BW90:BW91"/>
    <mergeCell ref="B86:B87"/>
    <mergeCell ref="BK86:BK87"/>
    <mergeCell ref="BM86:BM87"/>
    <mergeCell ref="BN86:BN87"/>
    <mergeCell ref="BO86:BO87"/>
    <mergeCell ref="BP86:BP87"/>
    <mergeCell ref="BR82:BR83"/>
    <mergeCell ref="H82:H83"/>
    <mergeCell ref="L82:L83"/>
    <mergeCell ref="BK82:BK83"/>
    <mergeCell ref="BM82:BM83"/>
    <mergeCell ref="BN82:BN83"/>
    <mergeCell ref="BO82:BO83"/>
    <mergeCell ref="BP82:BP83"/>
    <mergeCell ref="BS82:BS83"/>
    <mergeCell ref="BT82:BT83"/>
    <mergeCell ref="BV82:BV83"/>
    <mergeCell ref="BR86:BR87"/>
    <mergeCell ref="BS86:BS87"/>
    <mergeCell ref="BT86:BT87"/>
    <mergeCell ref="BV86:BV87"/>
    <mergeCell ref="BW82:BW83"/>
    <mergeCell ref="B84:B85"/>
    <mergeCell ref="D84:D85"/>
    <mergeCell ref="H84:H85"/>
    <mergeCell ref="L84:L85"/>
    <mergeCell ref="BK84:BK85"/>
    <mergeCell ref="BM84:BM85"/>
    <mergeCell ref="BN84:BN85"/>
    <mergeCell ref="BO84:BO85"/>
    <mergeCell ref="BP84:BP85"/>
    <mergeCell ref="BR84:BR85"/>
    <mergeCell ref="BS84:BS85"/>
    <mergeCell ref="BT84:BT85"/>
    <mergeCell ref="BV84:BV85"/>
    <mergeCell ref="BW84:BW85"/>
    <mergeCell ref="B82:B83"/>
    <mergeCell ref="D82:D83"/>
    <mergeCell ref="BW78:BW79"/>
    <mergeCell ref="B80:B81"/>
    <mergeCell ref="D80:D81"/>
    <mergeCell ref="H80:H81"/>
    <mergeCell ref="L80:L81"/>
    <mergeCell ref="BK80:BK81"/>
    <mergeCell ref="BM80:BM81"/>
    <mergeCell ref="BN80:BN81"/>
    <mergeCell ref="BO80:BO81"/>
    <mergeCell ref="BP80:BP81"/>
    <mergeCell ref="BR80:BR81"/>
    <mergeCell ref="BS80:BS81"/>
    <mergeCell ref="BT80:BT81"/>
    <mergeCell ref="BV80:BV81"/>
    <mergeCell ref="BW80:BW81"/>
    <mergeCell ref="BK78:BK79"/>
    <mergeCell ref="BM78:BM79"/>
    <mergeCell ref="BN78:BN79"/>
    <mergeCell ref="BO78:BO79"/>
    <mergeCell ref="BP78:BP79"/>
    <mergeCell ref="BR78:BR79"/>
    <mergeCell ref="BS78:BS79"/>
    <mergeCell ref="BT78:BT79"/>
    <mergeCell ref="BV78:BV79"/>
    <mergeCell ref="BV69:BV70"/>
    <mergeCell ref="BW69:BW70"/>
    <mergeCell ref="B74:B75"/>
    <mergeCell ref="C74:C75"/>
    <mergeCell ref="D74:D75"/>
    <mergeCell ref="H74:H75"/>
    <mergeCell ref="L74:L75"/>
    <mergeCell ref="BK74:BK75"/>
    <mergeCell ref="BM74:BM75"/>
    <mergeCell ref="BN74:BN75"/>
    <mergeCell ref="BO74:BO75"/>
    <mergeCell ref="BP74:BP75"/>
    <mergeCell ref="BR74:BR75"/>
    <mergeCell ref="BS74:BS75"/>
    <mergeCell ref="BT74:BT75"/>
    <mergeCell ref="BV74:BV75"/>
    <mergeCell ref="BW74:BW75"/>
    <mergeCell ref="C69:C70"/>
    <mergeCell ref="BK69:BK70"/>
    <mergeCell ref="BM69:BM70"/>
    <mergeCell ref="BN69:BN70"/>
    <mergeCell ref="BO69:BO70"/>
    <mergeCell ref="BP69:BP70"/>
    <mergeCell ref="BR69:BR70"/>
    <mergeCell ref="BS69:BS70"/>
    <mergeCell ref="BT69:BT70"/>
    <mergeCell ref="BV65:BV66"/>
    <mergeCell ref="BW65:BW66"/>
    <mergeCell ref="C67:C68"/>
    <mergeCell ref="BK67:BK68"/>
    <mergeCell ref="BM67:BM68"/>
    <mergeCell ref="BN67:BN68"/>
    <mergeCell ref="BO67:BO68"/>
    <mergeCell ref="BP67:BP68"/>
    <mergeCell ref="BR67:BR68"/>
    <mergeCell ref="BS67:BS68"/>
    <mergeCell ref="BT67:BT68"/>
    <mergeCell ref="BV67:BV68"/>
    <mergeCell ref="BW67:BW68"/>
    <mergeCell ref="C65:C66"/>
    <mergeCell ref="BK65:BK66"/>
    <mergeCell ref="BM65:BM66"/>
    <mergeCell ref="BN65:BN66"/>
    <mergeCell ref="BO65:BO66"/>
    <mergeCell ref="BP65:BP66"/>
    <mergeCell ref="BR65:BR66"/>
    <mergeCell ref="BS65:BS66"/>
    <mergeCell ref="BT65:BT66"/>
    <mergeCell ref="BV61:BV62"/>
    <mergeCell ref="BW61:BW62"/>
    <mergeCell ref="C63:C64"/>
    <mergeCell ref="BK63:BK64"/>
    <mergeCell ref="BM63:BM64"/>
    <mergeCell ref="BN63:BN64"/>
    <mergeCell ref="BO63:BO64"/>
    <mergeCell ref="BP63:BP64"/>
    <mergeCell ref="BR63:BR64"/>
    <mergeCell ref="BS63:BS64"/>
    <mergeCell ref="BT63:BT64"/>
    <mergeCell ref="BV63:BV64"/>
    <mergeCell ref="BW63:BW64"/>
    <mergeCell ref="C61:C62"/>
    <mergeCell ref="BK61:BK62"/>
    <mergeCell ref="BM61:BM62"/>
    <mergeCell ref="BN61:BN62"/>
    <mergeCell ref="BO61:BO62"/>
    <mergeCell ref="BP61:BP62"/>
    <mergeCell ref="BR61:BR62"/>
    <mergeCell ref="BS61:BS62"/>
    <mergeCell ref="BT61:BT62"/>
    <mergeCell ref="BW53:BW54"/>
    <mergeCell ref="BK57:BK58"/>
    <mergeCell ref="BM57:BM58"/>
    <mergeCell ref="BN57:BN58"/>
    <mergeCell ref="BO57:BO58"/>
    <mergeCell ref="BP57:BP58"/>
    <mergeCell ref="BR57:BR58"/>
    <mergeCell ref="BS57:BS58"/>
    <mergeCell ref="BT57:BT58"/>
    <mergeCell ref="BV57:BV58"/>
    <mergeCell ref="BW57:BW58"/>
    <mergeCell ref="BK53:BK54"/>
    <mergeCell ref="BM53:BM54"/>
    <mergeCell ref="BN53:BN54"/>
    <mergeCell ref="BO53:BO54"/>
    <mergeCell ref="BP53:BP54"/>
    <mergeCell ref="BR53:BR54"/>
    <mergeCell ref="BS53:BS54"/>
    <mergeCell ref="BT53:BT54"/>
    <mergeCell ref="BV53:BV54"/>
    <mergeCell ref="BW49:BW50"/>
    <mergeCell ref="BK51:BK52"/>
    <mergeCell ref="BM51:BM52"/>
    <mergeCell ref="BN51:BN52"/>
    <mergeCell ref="BO51:BO52"/>
    <mergeCell ref="BP51:BP52"/>
    <mergeCell ref="BR51:BR52"/>
    <mergeCell ref="BS51:BS52"/>
    <mergeCell ref="BT51:BT52"/>
    <mergeCell ref="BV51:BV52"/>
    <mergeCell ref="BW51:BW52"/>
    <mergeCell ref="BK49:BK50"/>
    <mergeCell ref="BM49:BM50"/>
    <mergeCell ref="BN49:BN50"/>
    <mergeCell ref="BO49:BO50"/>
    <mergeCell ref="BP49:BP50"/>
    <mergeCell ref="BR49:BR50"/>
    <mergeCell ref="BS49:BS50"/>
    <mergeCell ref="BT49:BT50"/>
    <mergeCell ref="BV49:BV50"/>
    <mergeCell ref="BW45:BW46"/>
    <mergeCell ref="BK47:BK48"/>
    <mergeCell ref="BM47:BM48"/>
    <mergeCell ref="BN47:BN48"/>
    <mergeCell ref="BO47:BO48"/>
    <mergeCell ref="BP47:BP48"/>
    <mergeCell ref="BR47:BR48"/>
    <mergeCell ref="BS47:BS48"/>
    <mergeCell ref="BT47:BT48"/>
    <mergeCell ref="BV47:BV48"/>
    <mergeCell ref="BW47:BW48"/>
    <mergeCell ref="BK45:BK46"/>
    <mergeCell ref="BM45:BM46"/>
    <mergeCell ref="BN45:BN46"/>
    <mergeCell ref="BO45:BO46"/>
    <mergeCell ref="BP45:BP46"/>
    <mergeCell ref="BR45:BR46"/>
    <mergeCell ref="BS45:BS46"/>
    <mergeCell ref="BT45:BT46"/>
    <mergeCell ref="BV45:BV46"/>
    <mergeCell ref="BW37:BW38"/>
    <mergeCell ref="BK41:BK42"/>
    <mergeCell ref="BM41:BM42"/>
    <mergeCell ref="BN41:BN42"/>
    <mergeCell ref="BO41:BO42"/>
    <mergeCell ref="BP41:BP42"/>
    <mergeCell ref="BR41:BR42"/>
    <mergeCell ref="BS41:BS42"/>
    <mergeCell ref="BT41:BT42"/>
    <mergeCell ref="BV41:BV42"/>
    <mergeCell ref="BW41:BW42"/>
    <mergeCell ref="BK37:BK38"/>
    <mergeCell ref="BM37:BM38"/>
    <mergeCell ref="BN37:BN38"/>
    <mergeCell ref="BO37:BO38"/>
    <mergeCell ref="BP37:BP38"/>
    <mergeCell ref="BR37:BR38"/>
    <mergeCell ref="BS37:BS38"/>
    <mergeCell ref="BT37:BT38"/>
    <mergeCell ref="BV37:BV38"/>
    <mergeCell ref="BW33:BW34"/>
    <mergeCell ref="BK35:BK36"/>
    <mergeCell ref="BM35:BM36"/>
    <mergeCell ref="BN35:BN36"/>
    <mergeCell ref="BO35:BO36"/>
    <mergeCell ref="BP35:BP36"/>
    <mergeCell ref="BR35:BR36"/>
    <mergeCell ref="BS35:BS36"/>
    <mergeCell ref="BT35:BT36"/>
    <mergeCell ref="BV35:BV36"/>
    <mergeCell ref="BW35:BW36"/>
    <mergeCell ref="BK33:BK34"/>
    <mergeCell ref="BM33:BM34"/>
    <mergeCell ref="BN33:BN34"/>
    <mergeCell ref="BO33:BO34"/>
    <mergeCell ref="BP33:BP34"/>
    <mergeCell ref="BR33:BR34"/>
    <mergeCell ref="BS33:BS34"/>
    <mergeCell ref="BT33:BT34"/>
    <mergeCell ref="BV33:BV34"/>
    <mergeCell ref="BW29:BW30"/>
    <mergeCell ref="BK31:BK32"/>
    <mergeCell ref="BM31:BM32"/>
    <mergeCell ref="BN31:BN32"/>
    <mergeCell ref="BO31:BO32"/>
    <mergeCell ref="BP31:BP32"/>
    <mergeCell ref="BR31:BR32"/>
    <mergeCell ref="BS31:BS32"/>
    <mergeCell ref="BT31:BT32"/>
    <mergeCell ref="BV31:BV32"/>
    <mergeCell ref="BW31:BW32"/>
    <mergeCell ref="BK29:BK30"/>
    <mergeCell ref="BM29:BM30"/>
    <mergeCell ref="BN29:BN30"/>
    <mergeCell ref="BO29:BO30"/>
    <mergeCell ref="BP29:BP30"/>
    <mergeCell ref="BR29:BR30"/>
    <mergeCell ref="BS29:BS30"/>
    <mergeCell ref="BT29:BT30"/>
    <mergeCell ref="BV29:BV30"/>
    <mergeCell ref="BW21:BW22"/>
    <mergeCell ref="BK25:BK26"/>
    <mergeCell ref="BM25:BM26"/>
    <mergeCell ref="BN25:BN26"/>
    <mergeCell ref="BO25:BO26"/>
    <mergeCell ref="BP25:BP26"/>
    <mergeCell ref="BR25:BR26"/>
    <mergeCell ref="BS25:BS26"/>
    <mergeCell ref="BT25:BT26"/>
    <mergeCell ref="BV25:BV26"/>
    <mergeCell ref="BW25:BW26"/>
    <mergeCell ref="BK21:BK22"/>
    <mergeCell ref="BM21:BM22"/>
    <mergeCell ref="BN21:BN22"/>
    <mergeCell ref="BO21:BO22"/>
    <mergeCell ref="BP21:BP22"/>
    <mergeCell ref="BR21:BR22"/>
    <mergeCell ref="BS21:BS22"/>
    <mergeCell ref="BT21:BT22"/>
    <mergeCell ref="BV21:BV22"/>
    <mergeCell ref="BW17:BW18"/>
    <mergeCell ref="BK19:BK20"/>
    <mergeCell ref="BM19:BM20"/>
    <mergeCell ref="BN19:BN20"/>
    <mergeCell ref="BO19:BO20"/>
    <mergeCell ref="BP19:BP20"/>
    <mergeCell ref="BR19:BR20"/>
    <mergeCell ref="BS19:BS20"/>
    <mergeCell ref="BT19:BT20"/>
    <mergeCell ref="BV19:BV20"/>
    <mergeCell ref="BW19:BW20"/>
    <mergeCell ref="BK17:BK18"/>
    <mergeCell ref="BM17:BM18"/>
    <mergeCell ref="BN17:BN18"/>
    <mergeCell ref="BO17:BO18"/>
    <mergeCell ref="BP17:BP18"/>
    <mergeCell ref="BR17:BR18"/>
    <mergeCell ref="BS17:BS18"/>
    <mergeCell ref="BT17:BT18"/>
    <mergeCell ref="BV17:BV18"/>
    <mergeCell ref="BW13:BW14"/>
    <mergeCell ref="BK15:BK16"/>
    <mergeCell ref="BM15:BM16"/>
    <mergeCell ref="BN15:BN16"/>
    <mergeCell ref="BO15:BO16"/>
    <mergeCell ref="BP15:BP16"/>
    <mergeCell ref="BR15:BR16"/>
    <mergeCell ref="BS15:BS16"/>
    <mergeCell ref="BT15:BT16"/>
    <mergeCell ref="BV15:BV16"/>
    <mergeCell ref="BW15:BW16"/>
    <mergeCell ref="BK13:BK14"/>
    <mergeCell ref="BM13:BM14"/>
    <mergeCell ref="BN13:BN14"/>
    <mergeCell ref="BO13:BO14"/>
    <mergeCell ref="BP13:BP14"/>
    <mergeCell ref="BR13:BR14"/>
    <mergeCell ref="BS13:BS14"/>
    <mergeCell ref="BT13:BT14"/>
    <mergeCell ref="BV13:BV14"/>
    <mergeCell ref="BR6:BR7"/>
    <mergeCell ref="BS6:BS7"/>
    <mergeCell ref="BT6:BT7"/>
    <mergeCell ref="BV6:BV7"/>
    <mergeCell ref="BW6:BW7"/>
    <mergeCell ref="BK9:BK10"/>
    <mergeCell ref="BM9:BM10"/>
    <mergeCell ref="BN9:BN10"/>
    <mergeCell ref="BO9:BO10"/>
    <mergeCell ref="BP9:BP10"/>
    <mergeCell ref="BR9:BR10"/>
    <mergeCell ref="BS9:BS10"/>
    <mergeCell ref="BT9:BT10"/>
    <mergeCell ref="BV9:BV10"/>
    <mergeCell ref="BW9:BW10"/>
    <mergeCell ref="AY4:AZ4"/>
    <mergeCell ref="BB4:BF4"/>
    <mergeCell ref="BG4:BH4"/>
    <mergeCell ref="BJ4:BK4"/>
    <mergeCell ref="BM4:BP4"/>
    <mergeCell ref="BJ6:BJ7"/>
    <mergeCell ref="BK6:BK7"/>
    <mergeCell ref="BM6:BM7"/>
    <mergeCell ref="BN6:BN7"/>
    <mergeCell ref="BO6:BO7"/>
    <mergeCell ref="BP6:BP7"/>
    <mergeCell ref="N4:R4"/>
    <mergeCell ref="S4:T4"/>
    <mergeCell ref="V4:Z4"/>
    <mergeCell ref="AA4:AB4"/>
    <mergeCell ref="AD4:AH4"/>
    <mergeCell ref="AI4:AJ4"/>
    <mergeCell ref="AL4:AP4"/>
    <mergeCell ref="AQ4:AR4"/>
    <mergeCell ref="AT4:AX4"/>
    <mergeCell ref="B1:C3"/>
    <mergeCell ref="BV1:BW3"/>
    <mergeCell ref="N3:T3"/>
    <mergeCell ref="V3:AB3"/>
    <mergeCell ref="AD3:AJ3"/>
    <mergeCell ref="AL3:AR3"/>
    <mergeCell ref="AT3:AZ3"/>
    <mergeCell ref="BB3:BH3"/>
    <mergeCell ref="D67:D68"/>
    <mergeCell ref="H67:H68"/>
    <mergeCell ref="L67:L68"/>
    <mergeCell ref="B57:B58"/>
    <mergeCell ref="D57:D58"/>
    <mergeCell ref="H57:H58"/>
    <mergeCell ref="L57:L58"/>
    <mergeCell ref="L41:L42"/>
    <mergeCell ref="L33:L34"/>
    <mergeCell ref="L35:L36"/>
    <mergeCell ref="L37:L38"/>
    <mergeCell ref="L31:L32"/>
    <mergeCell ref="C25:C26"/>
    <mergeCell ref="B29:B30"/>
    <mergeCell ref="D29:D30"/>
    <mergeCell ref="H29:H30"/>
    <mergeCell ref="L47:L48"/>
    <mergeCell ref="D65:D66"/>
    <mergeCell ref="H65:H66"/>
    <mergeCell ref="B53:B54"/>
    <mergeCell ref="D53:D54"/>
    <mergeCell ref="H53:H54"/>
    <mergeCell ref="B61:B62"/>
    <mergeCell ref="B96:B97"/>
    <mergeCell ref="C96:C97"/>
    <mergeCell ref="D96:D97"/>
    <mergeCell ref="H96:H97"/>
    <mergeCell ref="L96:L97"/>
    <mergeCell ref="D61:D62"/>
    <mergeCell ref="B63:B64"/>
    <mergeCell ref="D63:D64"/>
    <mergeCell ref="H63:H64"/>
    <mergeCell ref="D86:D87"/>
    <mergeCell ref="H86:H87"/>
    <mergeCell ref="L86:L87"/>
    <mergeCell ref="L63:L64"/>
    <mergeCell ref="L65:L66"/>
    <mergeCell ref="L78:L79"/>
    <mergeCell ref="B67:B68"/>
    <mergeCell ref="L69:L70"/>
    <mergeCell ref="B102:B103"/>
    <mergeCell ref="C102:C103"/>
    <mergeCell ref="D102:D103"/>
    <mergeCell ref="H102:H103"/>
    <mergeCell ref="L21:L22"/>
    <mergeCell ref="C21:C22"/>
    <mergeCell ref="D19:D20"/>
    <mergeCell ref="H19:H20"/>
    <mergeCell ref="L19:L20"/>
    <mergeCell ref="L29:L30"/>
    <mergeCell ref="L25:L26"/>
    <mergeCell ref="B78:B79"/>
    <mergeCell ref="D78:D79"/>
    <mergeCell ref="H49:H50"/>
    <mergeCell ref="H61:H62"/>
    <mergeCell ref="L61:L62"/>
    <mergeCell ref="L53:L54"/>
    <mergeCell ref="H51:H52"/>
    <mergeCell ref="L51:L52"/>
    <mergeCell ref="H78:H79"/>
    <mergeCell ref="B49:B50"/>
    <mergeCell ref="B51:B52"/>
    <mergeCell ref="D51:D52"/>
    <mergeCell ref="L102:L103"/>
    <mergeCell ref="L15:L16"/>
    <mergeCell ref="H69:H70"/>
    <mergeCell ref="C57:C58"/>
    <mergeCell ref="L49:L50"/>
    <mergeCell ref="B37:B38"/>
    <mergeCell ref="D37:D38"/>
    <mergeCell ref="H37:H38"/>
    <mergeCell ref="B41:B42"/>
    <mergeCell ref="D41:D42"/>
    <mergeCell ref="H41:H42"/>
    <mergeCell ref="B33:B34"/>
    <mergeCell ref="D33:D34"/>
    <mergeCell ref="B69:B70"/>
    <mergeCell ref="B65:B66"/>
    <mergeCell ref="B21:B22"/>
    <mergeCell ref="D21:D22"/>
    <mergeCell ref="H21:H22"/>
    <mergeCell ref="B45:B46"/>
    <mergeCell ref="D45:D46"/>
    <mergeCell ref="H45:H46"/>
    <mergeCell ref="L45:L46"/>
    <mergeCell ref="B47:B48"/>
    <mergeCell ref="D47:D48"/>
    <mergeCell ref="H47:H48"/>
    <mergeCell ref="L9:L10"/>
    <mergeCell ref="B94:B95"/>
    <mergeCell ref="C94:C95"/>
    <mergeCell ref="D94:D95"/>
    <mergeCell ref="H94:H95"/>
    <mergeCell ref="C41:C42"/>
    <mergeCell ref="B25:B26"/>
    <mergeCell ref="D25:D26"/>
    <mergeCell ref="D69:D70"/>
    <mergeCell ref="H33:H34"/>
    <mergeCell ref="D17:D18"/>
    <mergeCell ref="H17:H18"/>
    <mergeCell ref="L17:L18"/>
    <mergeCell ref="H25:H26"/>
    <mergeCell ref="B31:B32"/>
    <mergeCell ref="D31:D32"/>
    <mergeCell ref="H31:H32"/>
    <mergeCell ref="B35:B36"/>
    <mergeCell ref="D35:D36"/>
    <mergeCell ref="H35:H36"/>
    <mergeCell ref="D49:D50"/>
    <mergeCell ref="L13:L14"/>
    <mergeCell ref="H13:H14"/>
    <mergeCell ref="B17:B18"/>
    <mergeCell ref="B4:C4"/>
    <mergeCell ref="F4:G4"/>
    <mergeCell ref="J4:K4"/>
    <mergeCell ref="C15:C16"/>
    <mergeCell ref="C17:C18"/>
    <mergeCell ref="C19:C20"/>
    <mergeCell ref="H15:H16"/>
    <mergeCell ref="B6:B7"/>
    <mergeCell ref="D6:D7"/>
    <mergeCell ref="J6:K7"/>
    <mergeCell ref="D9:D10"/>
    <mergeCell ref="H9:H10"/>
    <mergeCell ref="C9:C10"/>
    <mergeCell ref="C13:C14"/>
    <mergeCell ref="F6:G7"/>
    <mergeCell ref="C6:C7"/>
    <mergeCell ref="B9:B10"/>
    <mergeCell ref="B13:B14"/>
    <mergeCell ref="D13:D14"/>
    <mergeCell ref="B19:B20"/>
    <mergeCell ref="B15:B16"/>
    <mergeCell ref="D15:D16"/>
    <mergeCell ref="B110:B111"/>
    <mergeCell ref="D110:D111"/>
    <mergeCell ref="H110:H111"/>
    <mergeCell ref="L110:L111"/>
    <mergeCell ref="B114:B115"/>
    <mergeCell ref="D114:D115"/>
    <mergeCell ref="H114:H115"/>
    <mergeCell ref="L114:L115"/>
    <mergeCell ref="B118:B119"/>
    <mergeCell ref="D118:D119"/>
    <mergeCell ref="H118:H119"/>
    <mergeCell ref="L118:L119"/>
    <mergeCell ref="B116:B117"/>
    <mergeCell ref="D116:D117"/>
    <mergeCell ref="H116:H117"/>
    <mergeCell ref="L116:L117"/>
  </mergeCells>
  <conditionalFormatting sqref="D9">
    <cfRule type="iconSet" priority="309">
      <iconSet iconSet="3Arrows">
        <cfvo type="percent" val="0"/>
        <cfvo type="num" val="0.7"/>
        <cfvo type="num" val="1"/>
      </iconSet>
    </cfRule>
  </conditionalFormatting>
  <conditionalFormatting sqref="D15 D13">
    <cfRule type="iconSet" priority="315">
      <iconSet iconSet="3Arrows">
        <cfvo type="percent" val="0"/>
        <cfvo type="num" val="0.7"/>
        <cfvo type="num" val="1"/>
      </iconSet>
    </cfRule>
    <cfRule type="dataBar" priority="316">
      <dataBar>
        <cfvo type="num" val="0"/>
        <cfvo type="num" val="1"/>
        <color theme="4" tint="0.79998168889431442"/>
      </dataBar>
    </cfRule>
  </conditionalFormatting>
  <conditionalFormatting sqref="D17">
    <cfRule type="iconSet" priority="310">
      <iconSet iconSet="3Arrows">
        <cfvo type="percent" val="0"/>
        <cfvo type="num" val="0.7"/>
        <cfvo type="num" val="1"/>
      </iconSet>
    </cfRule>
  </conditionalFormatting>
  <conditionalFormatting sqref="D19">
    <cfRule type="iconSet" priority="300">
      <iconSet iconSet="3Arrows">
        <cfvo type="percent" val="0"/>
        <cfvo type="num" val="0.7"/>
        <cfvo type="num" val="1"/>
      </iconSet>
    </cfRule>
  </conditionalFormatting>
  <conditionalFormatting sqref="D21">
    <cfRule type="iconSet" priority="298">
      <iconSet iconSet="3Arrows">
        <cfvo type="percent" val="0"/>
        <cfvo type="num" val="0.7"/>
        <cfvo type="num" val="1"/>
      </iconSet>
    </cfRule>
  </conditionalFormatting>
  <conditionalFormatting sqref="D25">
    <cfRule type="iconSet" priority="184">
      <iconSet iconSet="3Arrows">
        <cfvo type="percent" val="0"/>
        <cfvo type="num" val="0.7"/>
        <cfvo type="num" val="1"/>
      </iconSet>
    </cfRule>
  </conditionalFormatting>
  <conditionalFormatting sqref="D29 D31">
    <cfRule type="iconSet" priority="178">
      <iconSet iconSet="3Arrows">
        <cfvo type="percent" val="0"/>
        <cfvo type="num" val="0.7"/>
        <cfvo type="num" val="1"/>
      </iconSet>
    </cfRule>
    <cfRule type="dataBar" priority="179">
      <dataBar>
        <cfvo type="num" val="0"/>
        <cfvo type="num" val="1"/>
        <color theme="4" tint="0.79998168889431442"/>
      </dataBar>
    </cfRule>
  </conditionalFormatting>
  <conditionalFormatting sqref="D33">
    <cfRule type="iconSet" priority="174">
      <iconSet iconSet="3Arrows">
        <cfvo type="percent" val="0"/>
        <cfvo type="num" val="0.7"/>
        <cfvo type="num" val="1"/>
      </iconSet>
    </cfRule>
  </conditionalFormatting>
  <conditionalFormatting sqref="D35">
    <cfRule type="iconSet" priority="170">
      <iconSet iconSet="3Arrows">
        <cfvo type="percent" val="0"/>
        <cfvo type="num" val="0.7"/>
        <cfvo type="num" val="1"/>
      </iconSet>
    </cfRule>
  </conditionalFormatting>
  <conditionalFormatting sqref="D37">
    <cfRule type="iconSet" priority="166">
      <iconSet iconSet="3Arrows">
        <cfvo type="percent" val="0"/>
        <cfvo type="num" val="0.7"/>
        <cfvo type="num" val="1"/>
      </iconSet>
    </cfRule>
  </conditionalFormatting>
  <conditionalFormatting sqref="D41">
    <cfRule type="iconSet" priority="306">
      <iconSet iconSet="3Arrows">
        <cfvo type="percent" val="0"/>
        <cfvo type="num" val="0.7"/>
        <cfvo type="num" val="1"/>
      </iconSet>
    </cfRule>
  </conditionalFormatting>
  <conditionalFormatting sqref="D45 D47">
    <cfRule type="iconSet" priority="293">
      <iconSet iconSet="3Arrows">
        <cfvo type="percent" val="0"/>
        <cfvo type="num" val="0.7"/>
        <cfvo type="num" val="1"/>
      </iconSet>
    </cfRule>
    <cfRule type="dataBar" priority="294">
      <dataBar>
        <cfvo type="num" val="0"/>
        <cfvo type="num" val="1"/>
        <color theme="4" tint="0.79998168889431442"/>
      </dataBar>
    </cfRule>
  </conditionalFormatting>
  <conditionalFormatting sqref="D49">
    <cfRule type="iconSet" priority="289">
      <iconSet iconSet="3Arrows">
        <cfvo type="percent" val="0"/>
        <cfvo type="num" val="0.7"/>
        <cfvo type="num" val="1"/>
      </iconSet>
    </cfRule>
  </conditionalFormatting>
  <conditionalFormatting sqref="D51">
    <cfRule type="iconSet" priority="285">
      <iconSet iconSet="3Arrows">
        <cfvo type="percent" val="0"/>
        <cfvo type="num" val="0.7"/>
        <cfvo type="num" val="1"/>
      </iconSet>
    </cfRule>
  </conditionalFormatting>
  <conditionalFormatting sqref="D53">
    <cfRule type="iconSet" priority="281">
      <iconSet iconSet="3Arrows">
        <cfvo type="percent" val="0"/>
        <cfvo type="num" val="0.7"/>
        <cfvo type="num" val="1"/>
      </iconSet>
    </cfRule>
  </conditionalFormatting>
  <conditionalFormatting sqref="D57">
    <cfRule type="iconSet" priority="253">
      <iconSet iconSet="3Arrows">
        <cfvo type="percent" val="0"/>
        <cfvo type="num" val="0.7"/>
        <cfvo type="num" val="1"/>
      </iconSet>
    </cfRule>
  </conditionalFormatting>
  <conditionalFormatting sqref="D61 D63">
    <cfRule type="iconSet" priority="261">
      <iconSet iconSet="3Arrows">
        <cfvo type="percent" val="0"/>
        <cfvo type="num" val="0.7"/>
        <cfvo type="num" val="1"/>
      </iconSet>
    </cfRule>
    <cfRule type="dataBar" priority="262">
      <dataBar>
        <cfvo type="num" val="0"/>
        <cfvo type="num" val="1"/>
        <color theme="4" tint="0.79998168889431442"/>
      </dataBar>
    </cfRule>
  </conditionalFormatting>
  <conditionalFormatting sqref="D65">
    <cfRule type="iconSet" priority="254">
      <iconSet iconSet="3Arrows">
        <cfvo type="percent" val="0"/>
        <cfvo type="num" val="0.7"/>
        <cfvo type="num" val="1"/>
      </iconSet>
    </cfRule>
  </conditionalFormatting>
  <conditionalFormatting sqref="D67">
    <cfRule type="iconSet" priority="251">
      <iconSet iconSet="3Arrows">
        <cfvo type="percent" val="0"/>
        <cfvo type="num" val="0.7"/>
        <cfvo type="num" val="1"/>
      </iconSet>
    </cfRule>
  </conditionalFormatting>
  <conditionalFormatting sqref="D69">
    <cfRule type="iconSet" priority="249">
      <iconSet iconSet="3Arrows">
        <cfvo type="percent" val="0"/>
        <cfvo type="num" val="0.7"/>
        <cfvo type="num" val="1"/>
      </iconSet>
    </cfRule>
  </conditionalFormatting>
  <conditionalFormatting sqref="D74">
    <cfRule type="iconSet" priority="303">
      <iconSet iconSet="3Arrows">
        <cfvo type="percent" val="0"/>
        <cfvo type="num" val="0.7"/>
        <cfvo type="num" val="1"/>
      </iconSet>
    </cfRule>
  </conditionalFormatting>
  <conditionalFormatting sqref="D78 D80">
    <cfRule type="iconSet" priority="276">
      <iconSet iconSet="3Arrows">
        <cfvo type="percent" val="0"/>
        <cfvo type="num" val="0.7"/>
        <cfvo type="num" val="1"/>
      </iconSet>
    </cfRule>
    <cfRule type="dataBar" priority="277">
      <dataBar>
        <cfvo type="num" val="0"/>
        <cfvo type="num" val="1"/>
        <color theme="4" tint="0.79998168889431442"/>
      </dataBar>
    </cfRule>
  </conditionalFormatting>
  <conditionalFormatting sqref="D82">
    <cfRule type="iconSet" priority="272">
      <iconSet iconSet="3Arrows">
        <cfvo type="percent" val="0"/>
        <cfvo type="num" val="0.7"/>
        <cfvo type="num" val="1"/>
      </iconSet>
    </cfRule>
  </conditionalFormatting>
  <conditionalFormatting sqref="D84">
    <cfRule type="iconSet" priority="268">
      <iconSet iconSet="3Arrows">
        <cfvo type="percent" val="0"/>
        <cfvo type="num" val="0.7"/>
        <cfvo type="num" val="1"/>
      </iconSet>
    </cfRule>
  </conditionalFormatting>
  <conditionalFormatting sqref="D86">
    <cfRule type="iconSet" priority="266">
      <iconSet iconSet="3Arrows">
        <cfvo type="percent" val="0"/>
        <cfvo type="num" val="0.7"/>
        <cfvo type="num" val="1"/>
      </iconSet>
    </cfRule>
  </conditionalFormatting>
  <conditionalFormatting sqref="D90">
    <cfRule type="iconSet" priority="236">
      <iconSet iconSet="3Arrows">
        <cfvo type="percent" val="0"/>
        <cfvo type="num" val="0.7"/>
        <cfvo type="num" val="1"/>
      </iconSet>
    </cfRule>
  </conditionalFormatting>
  <conditionalFormatting sqref="D94 D96">
    <cfRule type="iconSet" priority="244">
      <iconSet iconSet="3Arrows">
        <cfvo type="percent" val="0"/>
        <cfvo type="num" val="0.7"/>
        <cfvo type="num" val="1"/>
      </iconSet>
    </cfRule>
    <cfRule type="dataBar" priority="245">
      <dataBar>
        <cfvo type="num" val="0"/>
        <cfvo type="num" val="1"/>
        <color theme="4" tint="0.79998168889431442"/>
      </dataBar>
    </cfRule>
  </conditionalFormatting>
  <conditionalFormatting sqref="D98">
    <cfRule type="iconSet" priority="237">
      <iconSet iconSet="3Arrows">
        <cfvo type="percent" val="0"/>
        <cfvo type="num" val="0.7"/>
        <cfvo type="num" val="1"/>
      </iconSet>
    </cfRule>
  </conditionalFormatting>
  <conditionalFormatting sqref="D100">
    <cfRule type="iconSet" priority="232">
      <iconSet iconSet="3Arrows">
        <cfvo type="percent" val="0"/>
        <cfvo type="num" val="0.7"/>
        <cfvo type="num" val="1"/>
      </iconSet>
    </cfRule>
  </conditionalFormatting>
  <conditionalFormatting sqref="D102">
    <cfRule type="iconSet" priority="228">
      <iconSet iconSet="3Arrows">
        <cfvo type="percent" val="0"/>
        <cfvo type="num" val="0.7"/>
        <cfvo type="num" val="1"/>
      </iconSet>
    </cfRule>
  </conditionalFormatting>
  <conditionalFormatting sqref="D106">
    <cfRule type="iconSet" priority="215">
      <iconSet iconSet="3Arrows">
        <cfvo type="percent" val="0"/>
        <cfvo type="num" val="0.7"/>
        <cfvo type="num" val="1"/>
      </iconSet>
    </cfRule>
  </conditionalFormatting>
  <conditionalFormatting sqref="D110 D112">
    <cfRule type="iconSet" priority="223">
      <iconSet iconSet="3Arrows">
        <cfvo type="percent" val="0"/>
        <cfvo type="num" val="0.7"/>
        <cfvo type="num" val="1"/>
      </iconSet>
    </cfRule>
    <cfRule type="dataBar" priority="224">
      <dataBar>
        <cfvo type="num" val="0"/>
        <cfvo type="num" val="1"/>
        <color theme="4" tint="0.79998168889431442"/>
      </dataBar>
    </cfRule>
  </conditionalFormatting>
  <conditionalFormatting sqref="D114">
    <cfRule type="iconSet" priority="216">
      <iconSet iconSet="3Arrows">
        <cfvo type="percent" val="0"/>
        <cfvo type="num" val="0.7"/>
        <cfvo type="num" val="1"/>
      </iconSet>
    </cfRule>
  </conditionalFormatting>
  <conditionalFormatting sqref="D116">
    <cfRule type="iconSet" priority="211">
      <iconSet iconSet="3Arrows">
        <cfvo type="percent" val="0"/>
        <cfvo type="num" val="0.7"/>
        <cfvo type="num" val="1"/>
      </iconSet>
    </cfRule>
  </conditionalFormatting>
  <conditionalFormatting sqref="D118">
    <cfRule type="iconSet" priority="207">
      <iconSet iconSet="3Arrows">
        <cfvo type="percent" val="0"/>
        <cfvo type="num" val="0.7"/>
        <cfvo type="num" val="1"/>
      </iconSet>
    </cfRule>
  </conditionalFormatting>
  <conditionalFormatting sqref="D121 D123">
    <cfRule type="iconSet" priority="201">
      <iconSet iconSet="3Arrows">
        <cfvo type="percent" val="0"/>
        <cfvo type="num" val="0.7"/>
        <cfvo type="num" val="1"/>
      </iconSet>
    </cfRule>
    <cfRule type="dataBar" priority="202">
      <dataBar>
        <cfvo type="num" val="0"/>
        <cfvo type="num" val="1"/>
        <color theme="4" tint="0.79998168889431442"/>
      </dataBar>
    </cfRule>
  </conditionalFormatting>
  <conditionalFormatting sqref="D125">
    <cfRule type="iconSet" priority="197">
      <iconSet iconSet="3Arrows">
        <cfvo type="percent" val="0"/>
        <cfvo type="num" val="0.7"/>
        <cfvo type="num" val="1"/>
      </iconSet>
    </cfRule>
  </conditionalFormatting>
  <conditionalFormatting sqref="D127">
    <cfRule type="iconSet" priority="189">
      <iconSet iconSet="3Arrows">
        <cfvo type="percent" val="0"/>
        <cfvo type="num" val="0.7"/>
        <cfvo type="num" val="1"/>
      </iconSet>
    </cfRule>
  </conditionalFormatting>
  <conditionalFormatting sqref="D129">
    <cfRule type="iconSet" priority="162">
      <iconSet iconSet="3Arrows">
        <cfvo type="percent" val="0"/>
        <cfvo type="num" val="0.7"/>
        <cfvo type="num" val="1"/>
      </iconSet>
    </cfRule>
  </conditionalFormatting>
  <conditionalFormatting sqref="H9">
    <cfRule type="iconSet" priority="152">
      <iconSet iconSet="3Arrows">
        <cfvo type="percent" val="0"/>
        <cfvo type="num" val="0.7"/>
        <cfvo type="num" val="1"/>
      </iconSet>
    </cfRule>
    <cfRule type="dataBar" priority="153">
      <dataBar>
        <cfvo type="num" val="0"/>
        <cfvo type="num" val="1"/>
        <color theme="4" tint="0.79998168889431442"/>
      </dataBar>
      <extLst>
        <ext xmlns:x14="http://schemas.microsoft.com/office/spreadsheetml/2009/9/main" uri="{B025F937-C7B1-47D3-B67F-A62EFF666E3E}">
          <x14:id>{15860B1D-D990-4B30-BE2C-15E040FE1986}</x14:id>
        </ext>
      </extLst>
    </cfRule>
  </conditionalFormatting>
  <conditionalFormatting sqref="H13 H15">
    <cfRule type="iconSet" priority="154">
      <iconSet iconSet="3Arrows">
        <cfvo type="percent" val="0"/>
        <cfvo type="num" val="0.7"/>
        <cfvo type="num" val="1"/>
      </iconSet>
    </cfRule>
    <cfRule type="dataBar" priority="155">
      <dataBar>
        <cfvo type="num" val="0"/>
        <cfvo type="num" val="1"/>
        <color theme="4" tint="0.79998168889431442"/>
      </dataBar>
      <extLst>
        <ext xmlns:x14="http://schemas.microsoft.com/office/spreadsheetml/2009/9/main" uri="{B025F937-C7B1-47D3-B67F-A62EFF666E3E}">
          <x14:id>{4A29C354-3F34-4D50-8EBD-4B020F87A139}</x14:id>
        </ext>
      </extLst>
    </cfRule>
  </conditionalFormatting>
  <conditionalFormatting sqref="H17">
    <cfRule type="iconSet" priority="150">
      <iconSet iconSet="3Arrows">
        <cfvo type="percent" val="0"/>
        <cfvo type="num" val="0.7"/>
        <cfvo type="num" val="1"/>
      </iconSet>
    </cfRule>
    <cfRule type="dataBar" priority="151">
      <dataBar>
        <cfvo type="num" val="0"/>
        <cfvo type="num" val="1"/>
        <color theme="4" tint="0.79998168889431442"/>
      </dataBar>
      <extLst>
        <ext xmlns:x14="http://schemas.microsoft.com/office/spreadsheetml/2009/9/main" uri="{B025F937-C7B1-47D3-B67F-A62EFF666E3E}">
          <x14:id>{BA8676B6-14B6-4704-B082-C50E1FFA617F}</x14:id>
        </ext>
      </extLst>
    </cfRule>
  </conditionalFormatting>
  <conditionalFormatting sqref="H19">
    <cfRule type="iconSet" priority="144">
      <iconSet iconSet="3Arrows">
        <cfvo type="percent" val="0"/>
        <cfvo type="num" val="0.7"/>
        <cfvo type="num" val="1"/>
      </iconSet>
    </cfRule>
    <cfRule type="dataBar" priority="145">
      <dataBar>
        <cfvo type="num" val="0"/>
        <cfvo type="num" val="1"/>
        <color theme="4" tint="0.79998168889431442"/>
      </dataBar>
      <extLst>
        <ext xmlns:x14="http://schemas.microsoft.com/office/spreadsheetml/2009/9/main" uri="{B025F937-C7B1-47D3-B67F-A62EFF666E3E}">
          <x14:id>{29549CD0-ACFA-4153-80A2-0C36DA9A6F5F}</x14:id>
        </ext>
      </extLst>
    </cfRule>
  </conditionalFormatting>
  <conditionalFormatting sqref="H21">
    <cfRule type="iconSet" priority="142">
      <iconSet iconSet="3Arrows">
        <cfvo type="percent" val="0"/>
        <cfvo type="num" val="0.7"/>
        <cfvo type="num" val="1"/>
      </iconSet>
    </cfRule>
    <cfRule type="dataBar" priority="143">
      <dataBar>
        <cfvo type="num" val="0"/>
        <cfvo type="num" val="1"/>
        <color theme="4" tint="0.79998168889431442"/>
      </dataBar>
      <extLst>
        <ext xmlns:x14="http://schemas.microsoft.com/office/spreadsheetml/2009/9/main" uri="{B025F937-C7B1-47D3-B67F-A62EFF666E3E}">
          <x14:id>{4471068A-8AB0-4837-B519-BF73086F4988}</x14:id>
        </ext>
      </extLst>
    </cfRule>
  </conditionalFormatting>
  <conditionalFormatting sqref="H25">
    <cfRule type="iconSet" priority="94">
      <iconSet iconSet="3Arrows">
        <cfvo type="percent" val="0"/>
        <cfvo type="num" val="0.7"/>
        <cfvo type="num" val="1"/>
      </iconSet>
    </cfRule>
    <cfRule type="dataBar" priority="95">
      <dataBar>
        <cfvo type="num" val="0"/>
        <cfvo type="num" val="1"/>
        <color theme="4" tint="0.79998168889431442"/>
      </dataBar>
      <extLst>
        <ext xmlns:x14="http://schemas.microsoft.com/office/spreadsheetml/2009/9/main" uri="{B025F937-C7B1-47D3-B67F-A62EFF666E3E}">
          <x14:id>{7ED108D0-0BE1-484C-B49C-C4C10E88C202}</x14:id>
        </ext>
      </extLst>
    </cfRule>
  </conditionalFormatting>
  <conditionalFormatting sqref="H29 H31">
    <cfRule type="iconSet" priority="92">
      <iconSet iconSet="3Arrows">
        <cfvo type="percent" val="0"/>
        <cfvo type="num" val="0.7"/>
        <cfvo type="num" val="1"/>
      </iconSet>
    </cfRule>
    <cfRule type="dataBar" priority="93">
      <dataBar>
        <cfvo type="num" val="0"/>
        <cfvo type="num" val="1"/>
        <color theme="4" tint="0.79998168889431442"/>
      </dataBar>
      <extLst>
        <ext xmlns:x14="http://schemas.microsoft.com/office/spreadsheetml/2009/9/main" uri="{B025F937-C7B1-47D3-B67F-A62EFF666E3E}">
          <x14:id>{90821C8E-E791-45FD-AE0C-B854DF084765}</x14:id>
        </ext>
      </extLst>
    </cfRule>
  </conditionalFormatting>
  <conditionalFormatting sqref="H33">
    <cfRule type="iconSet" priority="90">
      <iconSet iconSet="3Arrows">
        <cfvo type="percent" val="0"/>
        <cfvo type="num" val="0.7"/>
        <cfvo type="num" val="1"/>
      </iconSet>
    </cfRule>
    <cfRule type="dataBar" priority="91">
      <dataBar>
        <cfvo type="num" val="0"/>
        <cfvo type="num" val="1"/>
        <color theme="4" tint="0.79998168889431442"/>
      </dataBar>
      <extLst>
        <ext xmlns:x14="http://schemas.microsoft.com/office/spreadsheetml/2009/9/main" uri="{B025F937-C7B1-47D3-B67F-A62EFF666E3E}">
          <x14:id>{7E3556DA-76DB-45B4-AA44-B8FC78EEBCEE}</x14:id>
        </ext>
      </extLst>
    </cfRule>
  </conditionalFormatting>
  <conditionalFormatting sqref="H35">
    <cfRule type="iconSet" priority="88">
      <iconSet iconSet="3Arrows">
        <cfvo type="percent" val="0"/>
        <cfvo type="num" val="0.7"/>
        <cfvo type="num" val="1"/>
      </iconSet>
    </cfRule>
    <cfRule type="dataBar" priority="89">
      <dataBar>
        <cfvo type="num" val="0"/>
        <cfvo type="num" val="1"/>
        <color theme="4" tint="0.79998168889431442"/>
      </dataBar>
      <extLst>
        <ext xmlns:x14="http://schemas.microsoft.com/office/spreadsheetml/2009/9/main" uri="{B025F937-C7B1-47D3-B67F-A62EFF666E3E}">
          <x14:id>{8BB2045D-2AF7-4EAB-A78A-F5F88CFE40EF}</x14:id>
        </ext>
      </extLst>
    </cfRule>
  </conditionalFormatting>
  <conditionalFormatting sqref="H37">
    <cfRule type="iconSet" priority="86">
      <iconSet iconSet="3Arrows">
        <cfvo type="percent" val="0"/>
        <cfvo type="num" val="0.7"/>
        <cfvo type="num" val="1"/>
      </iconSet>
    </cfRule>
    <cfRule type="dataBar" priority="87">
      <dataBar>
        <cfvo type="num" val="0"/>
        <cfvo type="num" val="1"/>
        <color theme="4" tint="0.79998168889431442"/>
      </dataBar>
      <extLst>
        <ext xmlns:x14="http://schemas.microsoft.com/office/spreadsheetml/2009/9/main" uri="{B025F937-C7B1-47D3-B67F-A62EFF666E3E}">
          <x14:id>{B3A46207-0234-4964-AFEA-37E1BCBF4D30}</x14:id>
        </ext>
      </extLst>
    </cfRule>
  </conditionalFormatting>
  <conditionalFormatting sqref="H41">
    <cfRule type="iconSet" priority="146">
      <iconSet iconSet="3Arrows">
        <cfvo type="percent" val="0"/>
        <cfvo type="num" val="0.7"/>
        <cfvo type="num" val="1"/>
      </iconSet>
    </cfRule>
    <cfRule type="dataBar" priority="147">
      <dataBar>
        <cfvo type="num" val="0"/>
        <cfvo type="num" val="1"/>
        <color theme="4" tint="0.79998168889431442"/>
      </dataBar>
      <extLst>
        <ext xmlns:x14="http://schemas.microsoft.com/office/spreadsheetml/2009/9/main" uri="{B025F937-C7B1-47D3-B67F-A62EFF666E3E}">
          <x14:id>{5AC5790B-02DC-4567-B2F7-63FE30C27F2E}</x14:id>
        </ext>
      </extLst>
    </cfRule>
  </conditionalFormatting>
  <conditionalFormatting sqref="H45 H47">
    <cfRule type="iconSet" priority="140">
      <iconSet iconSet="3Arrows">
        <cfvo type="percent" val="0"/>
        <cfvo type="num" val="0.7"/>
        <cfvo type="num" val="1"/>
      </iconSet>
    </cfRule>
    <cfRule type="dataBar" priority="141">
      <dataBar>
        <cfvo type="num" val="0"/>
        <cfvo type="num" val="1"/>
        <color theme="4" tint="0.79998168889431442"/>
      </dataBar>
      <extLst>
        <ext xmlns:x14="http://schemas.microsoft.com/office/spreadsheetml/2009/9/main" uri="{B025F937-C7B1-47D3-B67F-A62EFF666E3E}">
          <x14:id>{39F93702-9293-4FBA-B164-00C0254E862A}</x14:id>
        </ext>
      </extLst>
    </cfRule>
  </conditionalFormatting>
  <conditionalFormatting sqref="H49">
    <cfRule type="iconSet" priority="138">
      <iconSet iconSet="3Arrows">
        <cfvo type="percent" val="0"/>
        <cfvo type="num" val="0.7"/>
        <cfvo type="num" val="1"/>
      </iconSet>
    </cfRule>
    <cfRule type="dataBar" priority="139">
      <dataBar>
        <cfvo type="num" val="0"/>
        <cfvo type="num" val="1"/>
        <color theme="4" tint="0.79998168889431442"/>
      </dataBar>
      <extLst>
        <ext xmlns:x14="http://schemas.microsoft.com/office/spreadsheetml/2009/9/main" uri="{B025F937-C7B1-47D3-B67F-A62EFF666E3E}">
          <x14:id>{81ABDE02-330F-4B58-A952-7EA92E0CC8DF}</x14:id>
        </ext>
      </extLst>
    </cfRule>
  </conditionalFormatting>
  <conditionalFormatting sqref="H51">
    <cfRule type="iconSet" priority="136">
      <iconSet iconSet="3Arrows">
        <cfvo type="percent" val="0"/>
        <cfvo type="num" val="0.7"/>
        <cfvo type="num" val="1"/>
      </iconSet>
    </cfRule>
    <cfRule type="dataBar" priority="137">
      <dataBar>
        <cfvo type="num" val="0"/>
        <cfvo type="num" val="1"/>
        <color theme="4" tint="0.79998168889431442"/>
      </dataBar>
      <extLst>
        <ext xmlns:x14="http://schemas.microsoft.com/office/spreadsheetml/2009/9/main" uri="{B025F937-C7B1-47D3-B67F-A62EFF666E3E}">
          <x14:id>{B7315E23-0411-4846-9EFB-B4AF069C1D6A}</x14:id>
        </ext>
      </extLst>
    </cfRule>
  </conditionalFormatting>
  <conditionalFormatting sqref="H53">
    <cfRule type="iconSet" priority="134">
      <iconSet iconSet="3Arrows">
        <cfvo type="percent" val="0"/>
        <cfvo type="num" val="0.7"/>
        <cfvo type="num" val="1"/>
      </iconSet>
    </cfRule>
    <cfRule type="dataBar" priority="135">
      <dataBar>
        <cfvo type="num" val="0"/>
        <cfvo type="num" val="1"/>
        <color theme="4" tint="0.79998168889431442"/>
      </dataBar>
      <extLst>
        <ext xmlns:x14="http://schemas.microsoft.com/office/spreadsheetml/2009/9/main" uri="{B025F937-C7B1-47D3-B67F-A62EFF666E3E}">
          <x14:id>{62322F73-3FA5-43C3-80FC-951798B2E7FC}</x14:id>
        </ext>
      </extLst>
    </cfRule>
  </conditionalFormatting>
  <conditionalFormatting sqref="H57">
    <cfRule type="iconSet" priority="122">
      <iconSet iconSet="3Arrows">
        <cfvo type="percent" val="0"/>
        <cfvo type="num" val="0.7"/>
        <cfvo type="num" val="1"/>
      </iconSet>
    </cfRule>
    <cfRule type="dataBar" priority="123">
      <dataBar>
        <cfvo type="num" val="0"/>
        <cfvo type="num" val="1"/>
        <color theme="4" tint="0.79998168889431442"/>
      </dataBar>
      <extLst>
        <ext xmlns:x14="http://schemas.microsoft.com/office/spreadsheetml/2009/9/main" uri="{B025F937-C7B1-47D3-B67F-A62EFF666E3E}">
          <x14:id>{A19DCB14-F0C0-4FB9-8E61-9205954BD887}</x14:id>
        </ext>
      </extLst>
    </cfRule>
  </conditionalFormatting>
  <conditionalFormatting sqref="H61 H63">
    <cfRule type="iconSet" priority="124">
      <iconSet iconSet="3Arrows">
        <cfvo type="percent" val="0"/>
        <cfvo type="num" val="0.7"/>
        <cfvo type="num" val="1"/>
      </iconSet>
    </cfRule>
    <cfRule type="dataBar" priority="125">
      <dataBar>
        <cfvo type="num" val="0"/>
        <cfvo type="num" val="1"/>
        <color theme="4" tint="0.79998168889431442"/>
      </dataBar>
      <extLst>
        <ext xmlns:x14="http://schemas.microsoft.com/office/spreadsheetml/2009/9/main" uri="{B025F937-C7B1-47D3-B67F-A62EFF666E3E}">
          <x14:id>{A3B4FBAC-2E53-4E0F-8F9D-22EC748D7C8D}</x14:id>
        </ext>
      </extLst>
    </cfRule>
  </conditionalFormatting>
  <conditionalFormatting sqref="H65">
    <cfRule type="iconSet" priority="120">
      <iconSet iconSet="3Arrows">
        <cfvo type="percent" val="0"/>
        <cfvo type="num" val="0.7"/>
        <cfvo type="num" val="1"/>
      </iconSet>
    </cfRule>
    <cfRule type="dataBar" priority="121">
      <dataBar>
        <cfvo type="num" val="0"/>
        <cfvo type="num" val="1"/>
        <color theme="4" tint="0.79998168889431442"/>
      </dataBar>
      <extLst>
        <ext xmlns:x14="http://schemas.microsoft.com/office/spreadsheetml/2009/9/main" uri="{B025F937-C7B1-47D3-B67F-A62EFF666E3E}">
          <x14:id>{C8648FC0-3458-4D0C-93CA-8A4888177EB1}</x14:id>
        </ext>
      </extLst>
    </cfRule>
  </conditionalFormatting>
  <conditionalFormatting sqref="H67">
    <cfRule type="iconSet" priority="118">
      <iconSet iconSet="3Arrows">
        <cfvo type="percent" val="0"/>
        <cfvo type="num" val="0.7"/>
        <cfvo type="num" val="1"/>
      </iconSet>
    </cfRule>
    <cfRule type="dataBar" priority="119">
      <dataBar>
        <cfvo type="num" val="0"/>
        <cfvo type="num" val="1"/>
        <color theme="4" tint="0.79998168889431442"/>
      </dataBar>
      <extLst>
        <ext xmlns:x14="http://schemas.microsoft.com/office/spreadsheetml/2009/9/main" uri="{B025F937-C7B1-47D3-B67F-A62EFF666E3E}">
          <x14:id>{E85013F2-B1C7-4AE9-A431-A4AA081FACEE}</x14:id>
        </ext>
      </extLst>
    </cfRule>
  </conditionalFormatting>
  <conditionalFormatting sqref="H69">
    <cfRule type="iconSet" priority="116">
      <iconSet iconSet="3Arrows">
        <cfvo type="percent" val="0"/>
        <cfvo type="num" val="0.7"/>
        <cfvo type="num" val="1"/>
      </iconSet>
    </cfRule>
    <cfRule type="dataBar" priority="117">
      <dataBar>
        <cfvo type="num" val="0"/>
        <cfvo type="num" val="1"/>
        <color theme="4" tint="0.79998168889431442"/>
      </dataBar>
      <extLst>
        <ext xmlns:x14="http://schemas.microsoft.com/office/spreadsheetml/2009/9/main" uri="{B025F937-C7B1-47D3-B67F-A62EFF666E3E}">
          <x14:id>{87CACB62-F02B-4EF2-8CFE-C2D4C9C8FF73}</x14:id>
        </ext>
      </extLst>
    </cfRule>
  </conditionalFormatting>
  <conditionalFormatting sqref="H74">
    <cfRule type="iconSet" priority="148">
      <iconSet iconSet="3Arrows">
        <cfvo type="percent" val="0"/>
        <cfvo type="num" val="0.7"/>
        <cfvo type="num" val="1"/>
      </iconSet>
    </cfRule>
    <cfRule type="dataBar" priority="149">
      <dataBar>
        <cfvo type="num" val="0"/>
        <cfvo type="num" val="1"/>
        <color theme="4" tint="0.79998168889431442"/>
      </dataBar>
      <extLst>
        <ext xmlns:x14="http://schemas.microsoft.com/office/spreadsheetml/2009/9/main" uri="{B025F937-C7B1-47D3-B67F-A62EFF666E3E}">
          <x14:id>{040820F1-C85A-470C-9BAD-619EAAE9AFB1}</x14:id>
        </ext>
      </extLst>
    </cfRule>
  </conditionalFormatting>
  <conditionalFormatting sqref="H78 H80">
    <cfRule type="iconSet" priority="132">
      <iconSet iconSet="3Arrows">
        <cfvo type="percent" val="0"/>
        <cfvo type="num" val="0.7"/>
        <cfvo type="num" val="1"/>
      </iconSet>
    </cfRule>
    <cfRule type="dataBar" priority="133">
      <dataBar>
        <cfvo type="num" val="0"/>
        <cfvo type="num" val="1"/>
        <color theme="4" tint="0.79998168889431442"/>
      </dataBar>
      <extLst>
        <ext xmlns:x14="http://schemas.microsoft.com/office/spreadsheetml/2009/9/main" uri="{B025F937-C7B1-47D3-B67F-A62EFF666E3E}">
          <x14:id>{A584C4C0-A2A4-427B-94A6-27ACDD888472}</x14:id>
        </ext>
      </extLst>
    </cfRule>
  </conditionalFormatting>
  <conditionalFormatting sqref="H82">
    <cfRule type="iconSet" priority="130">
      <iconSet iconSet="3Arrows">
        <cfvo type="percent" val="0"/>
        <cfvo type="num" val="0.7"/>
        <cfvo type="num" val="1"/>
      </iconSet>
    </cfRule>
    <cfRule type="dataBar" priority="131">
      <dataBar>
        <cfvo type="num" val="0"/>
        <cfvo type="num" val="1"/>
        <color theme="4" tint="0.79998168889431442"/>
      </dataBar>
      <extLst>
        <ext xmlns:x14="http://schemas.microsoft.com/office/spreadsheetml/2009/9/main" uri="{B025F937-C7B1-47D3-B67F-A62EFF666E3E}">
          <x14:id>{AA138272-C931-4E0E-BB2B-0800F91766E2}</x14:id>
        </ext>
      </extLst>
    </cfRule>
  </conditionalFormatting>
  <conditionalFormatting sqref="H84">
    <cfRule type="iconSet" priority="128">
      <iconSet iconSet="3Arrows">
        <cfvo type="percent" val="0"/>
        <cfvo type="num" val="0.7"/>
        <cfvo type="num" val="1"/>
      </iconSet>
    </cfRule>
    <cfRule type="dataBar" priority="129">
      <dataBar>
        <cfvo type="num" val="0"/>
        <cfvo type="num" val="1"/>
        <color theme="4" tint="0.79998168889431442"/>
      </dataBar>
      <extLst>
        <ext xmlns:x14="http://schemas.microsoft.com/office/spreadsheetml/2009/9/main" uri="{B025F937-C7B1-47D3-B67F-A62EFF666E3E}">
          <x14:id>{CCF34C9A-01AE-4859-9776-42AA814DABAC}</x14:id>
        </ext>
      </extLst>
    </cfRule>
  </conditionalFormatting>
  <conditionalFormatting sqref="H86">
    <cfRule type="iconSet" priority="126">
      <iconSet iconSet="3Arrows">
        <cfvo type="percent" val="0"/>
        <cfvo type="num" val="0.7"/>
        <cfvo type="num" val="1"/>
      </iconSet>
    </cfRule>
    <cfRule type="dataBar" priority="127">
      <dataBar>
        <cfvo type="num" val="0"/>
        <cfvo type="num" val="1"/>
        <color theme="4" tint="0.79998168889431442"/>
      </dataBar>
      <extLst>
        <ext xmlns:x14="http://schemas.microsoft.com/office/spreadsheetml/2009/9/main" uri="{B025F937-C7B1-47D3-B67F-A62EFF666E3E}">
          <x14:id>{71C6932E-BF3F-44D4-9436-1FAAD186CF61}</x14:id>
        </ext>
      </extLst>
    </cfRule>
  </conditionalFormatting>
  <conditionalFormatting sqref="H90">
    <cfRule type="iconSet" priority="112">
      <iconSet iconSet="3Arrows">
        <cfvo type="percent" val="0"/>
        <cfvo type="num" val="0.7"/>
        <cfvo type="num" val="1"/>
      </iconSet>
    </cfRule>
    <cfRule type="dataBar" priority="113">
      <dataBar>
        <cfvo type="num" val="0"/>
        <cfvo type="num" val="1"/>
        <color theme="4" tint="0.79998168889431442"/>
      </dataBar>
      <extLst>
        <ext xmlns:x14="http://schemas.microsoft.com/office/spreadsheetml/2009/9/main" uri="{B025F937-C7B1-47D3-B67F-A62EFF666E3E}">
          <x14:id>{33ECD890-43F0-4C65-A7B0-E788F388F459}</x14:id>
        </ext>
      </extLst>
    </cfRule>
  </conditionalFormatting>
  <conditionalFormatting sqref="H94 H96">
    <cfRule type="iconSet" priority="114">
      <iconSet iconSet="3Arrows">
        <cfvo type="percent" val="0"/>
        <cfvo type="num" val="0.7"/>
        <cfvo type="num" val="1"/>
      </iconSet>
    </cfRule>
    <cfRule type="dataBar" priority="115">
      <dataBar>
        <cfvo type="num" val="0"/>
        <cfvo type="num" val="1"/>
        <color theme="4" tint="0.79998168889431442"/>
      </dataBar>
      <extLst>
        <ext xmlns:x14="http://schemas.microsoft.com/office/spreadsheetml/2009/9/main" uri="{B025F937-C7B1-47D3-B67F-A62EFF666E3E}">
          <x14:id>{F437C415-420C-4EA9-AA2D-E1E735482862}</x14:id>
        </ext>
      </extLst>
    </cfRule>
  </conditionalFormatting>
  <conditionalFormatting sqref="H98">
    <cfRule type="iconSet" priority="110">
      <iconSet iconSet="3Arrows">
        <cfvo type="percent" val="0"/>
        <cfvo type="num" val="0.7"/>
        <cfvo type="num" val="1"/>
      </iconSet>
    </cfRule>
    <cfRule type="dataBar" priority="111">
      <dataBar>
        <cfvo type="num" val="0"/>
        <cfvo type="num" val="1"/>
        <color theme="4" tint="0.79998168889431442"/>
      </dataBar>
      <extLst>
        <ext xmlns:x14="http://schemas.microsoft.com/office/spreadsheetml/2009/9/main" uri="{B025F937-C7B1-47D3-B67F-A62EFF666E3E}">
          <x14:id>{2E48CC06-9484-4315-8CA6-90558FDD0740}</x14:id>
        </ext>
      </extLst>
    </cfRule>
  </conditionalFormatting>
  <conditionalFormatting sqref="H100">
    <cfRule type="iconSet" priority="108">
      <iconSet iconSet="3Arrows">
        <cfvo type="percent" val="0"/>
        <cfvo type="num" val="0.7"/>
        <cfvo type="num" val="1"/>
      </iconSet>
    </cfRule>
    <cfRule type="dataBar" priority="109">
      <dataBar>
        <cfvo type="num" val="0"/>
        <cfvo type="num" val="1"/>
        <color theme="4" tint="0.79998168889431442"/>
      </dataBar>
      <extLst>
        <ext xmlns:x14="http://schemas.microsoft.com/office/spreadsheetml/2009/9/main" uri="{B025F937-C7B1-47D3-B67F-A62EFF666E3E}">
          <x14:id>{644E1751-9719-4E91-B83B-4B6DD1D0A690}</x14:id>
        </ext>
      </extLst>
    </cfRule>
  </conditionalFormatting>
  <conditionalFormatting sqref="H102">
    <cfRule type="iconSet" priority="106">
      <iconSet iconSet="3Arrows">
        <cfvo type="percent" val="0"/>
        <cfvo type="num" val="0.7"/>
        <cfvo type="num" val="1"/>
      </iconSet>
    </cfRule>
    <cfRule type="dataBar" priority="107">
      <dataBar>
        <cfvo type="num" val="0"/>
        <cfvo type="num" val="1"/>
        <color theme="4" tint="0.79998168889431442"/>
      </dataBar>
      <extLst>
        <ext xmlns:x14="http://schemas.microsoft.com/office/spreadsheetml/2009/9/main" uri="{B025F937-C7B1-47D3-B67F-A62EFF666E3E}">
          <x14:id>{FE98715E-7537-4B36-8CA0-BE48D919C108}</x14:id>
        </ext>
      </extLst>
    </cfRule>
  </conditionalFormatting>
  <conditionalFormatting sqref="H106">
    <cfRule type="iconSet" priority="102">
      <iconSet iconSet="3Arrows">
        <cfvo type="percent" val="0"/>
        <cfvo type="num" val="0.7"/>
        <cfvo type="num" val="1"/>
      </iconSet>
    </cfRule>
    <cfRule type="dataBar" priority="103">
      <dataBar>
        <cfvo type="num" val="0"/>
        <cfvo type="num" val="1"/>
        <color theme="4" tint="0.79998168889431442"/>
      </dataBar>
      <extLst>
        <ext xmlns:x14="http://schemas.microsoft.com/office/spreadsheetml/2009/9/main" uri="{B025F937-C7B1-47D3-B67F-A62EFF666E3E}">
          <x14:id>{E4E3336D-92D2-46AB-9F7F-9CDCD4D4DC55}</x14:id>
        </ext>
      </extLst>
    </cfRule>
  </conditionalFormatting>
  <conditionalFormatting sqref="H110 H112">
    <cfRule type="iconSet" priority="104">
      <iconSet iconSet="3Arrows">
        <cfvo type="percent" val="0"/>
        <cfvo type="num" val="0.7"/>
        <cfvo type="num" val="1"/>
      </iconSet>
    </cfRule>
    <cfRule type="dataBar" priority="105">
      <dataBar>
        <cfvo type="num" val="0"/>
        <cfvo type="num" val="1"/>
        <color theme="4" tint="0.79998168889431442"/>
      </dataBar>
      <extLst>
        <ext xmlns:x14="http://schemas.microsoft.com/office/spreadsheetml/2009/9/main" uri="{B025F937-C7B1-47D3-B67F-A62EFF666E3E}">
          <x14:id>{BD8A7DC6-7B22-4317-9D6B-4812D82506DC}</x14:id>
        </ext>
      </extLst>
    </cfRule>
  </conditionalFormatting>
  <conditionalFormatting sqref="H114">
    <cfRule type="iconSet" priority="100">
      <iconSet iconSet="3Arrows">
        <cfvo type="percent" val="0"/>
        <cfvo type="num" val="0.7"/>
        <cfvo type="num" val="1"/>
      </iconSet>
    </cfRule>
    <cfRule type="dataBar" priority="101">
      <dataBar>
        <cfvo type="num" val="0"/>
        <cfvo type="num" val="1"/>
        <color theme="4" tint="0.79998168889431442"/>
      </dataBar>
      <extLst>
        <ext xmlns:x14="http://schemas.microsoft.com/office/spreadsheetml/2009/9/main" uri="{B025F937-C7B1-47D3-B67F-A62EFF666E3E}">
          <x14:id>{FA63291E-844A-4F1B-B55A-36506C208F07}</x14:id>
        </ext>
      </extLst>
    </cfRule>
  </conditionalFormatting>
  <conditionalFormatting sqref="H116">
    <cfRule type="iconSet" priority="98">
      <iconSet iconSet="3Arrows">
        <cfvo type="percent" val="0"/>
        <cfvo type="num" val="0.7"/>
        <cfvo type="num" val="1"/>
      </iconSet>
    </cfRule>
    <cfRule type="dataBar" priority="99">
      <dataBar>
        <cfvo type="num" val="0"/>
        <cfvo type="num" val="1"/>
        <color theme="4" tint="0.79998168889431442"/>
      </dataBar>
      <extLst>
        <ext xmlns:x14="http://schemas.microsoft.com/office/spreadsheetml/2009/9/main" uri="{B025F937-C7B1-47D3-B67F-A62EFF666E3E}">
          <x14:id>{0EE293D1-503D-44F7-83A5-9893C4DD7B8C}</x14:id>
        </ext>
      </extLst>
    </cfRule>
  </conditionalFormatting>
  <conditionalFormatting sqref="H118">
    <cfRule type="iconSet" priority="96">
      <iconSet iconSet="3Arrows">
        <cfvo type="percent" val="0"/>
        <cfvo type="num" val="0.7"/>
        <cfvo type="num" val="1"/>
      </iconSet>
    </cfRule>
    <cfRule type="dataBar" priority="97">
      <dataBar>
        <cfvo type="num" val="0"/>
        <cfvo type="num" val="1"/>
        <color theme="4" tint="0.79998168889431442"/>
      </dataBar>
      <extLst>
        <ext xmlns:x14="http://schemas.microsoft.com/office/spreadsheetml/2009/9/main" uri="{B025F937-C7B1-47D3-B67F-A62EFF666E3E}">
          <x14:id>{6EC7FD97-A782-439D-84D6-C83BB72BF6F6}</x14:id>
        </ext>
      </extLst>
    </cfRule>
  </conditionalFormatting>
  <conditionalFormatting sqref="H121 H123">
    <cfRule type="iconSet" priority="195">
      <iconSet iconSet="3Arrows">
        <cfvo type="percent" val="0"/>
        <cfvo type="num" val="0.7"/>
        <cfvo type="num" val="1"/>
      </iconSet>
    </cfRule>
    <cfRule type="dataBar" priority="196">
      <dataBar>
        <cfvo type="num" val="0"/>
        <cfvo type="num" val="1"/>
        <color theme="4" tint="0.79998168889431442"/>
      </dataBar>
      <extLst>
        <ext xmlns:x14="http://schemas.microsoft.com/office/spreadsheetml/2009/9/main" uri="{B025F937-C7B1-47D3-B67F-A62EFF666E3E}">
          <x14:id>{4E968D76-3C43-4D6A-AF9F-45C9C7CCCAF1}</x14:id>
        </ext>
      </extLst>
    </cfRule>
  </conditionalFormatting>
  <conditionalFormatting sqref="H125">
    <cfRule type="iconSet" priority="193">
      <iconSet iconSet="3Arrows">
        <cfvo type="percent" val="0"/>
        <cfvo type="num" val="0.7"/>
        <cfvo type="num" val="1"/>
      </iconSet>
    </cfRule>
    <cfRule type="dataBar" priority="194">
      <dataBar>
        <cfvo type="num" val="0"/>
        <cfvo type="num" val="1"/>
        <color theme="4" tint="0.79998168889431442"/>
      </dataBar>
      <extLst>
        <ext xmlns:x14="http://schemas.microsoft.com/office/spreadsheetml/2009/9/main" uri="{B025F937-C7B1-47D3-B67F-A62EFF666E3E}">
          <x14:id>{FC76D37A-5E09-4D3B-A072-4B7D918226B7}</x14:id>
        </ext>
      </extLst>
    </cfRule>
  </conditionalFormatting>
  <conditionalFormatting sqref="H127">
    <cfRule type="iconSet" priority="187">
      <iconSet iconSet="3Arrows">
        <cfvo type="percent" val="0"/>
        <cfvo type="num" val="0.7"/>
        <cfvo type="num" val="1"/>
      </iconSet>
    </cfRule>
    <cfRule type="dataBar" priority="188">
      <dataBar>
        <cfvo type="num" val="0"/>
        <cfvo type="num" val="1"/>
        <color theme="4" tint="0.79998168889431442"/>
      </dataBar>
      <extLst>
        <ext xmlns:x14="http://schemas.microsoft.com/office/spreadsheetml/2009/9/main" uri="{B025F937-C7B1-47D3-B67F-A62EFF666E3E}">
          <x14:id>{2C1FE1A6-BC41-4766-806B-8F4552DE3C6E}</x14:id>
        </ext>
      </extLst>
    </cfRule>
  </conditionalFormatting>
  <conditionalFormatting sqref="H129">
    <cfRule type="iconSet" priority="160">
      <iconSet iconSet="3Arrows">
        <cfvo type="percent" val="0"/>
        <cfvo type="num" val="0.7"/>
        <cfvo type="num" val="1"/>
      </iconSet>
    </cfRule>
    <cfRule type="dataBar" priority="161">
      <dataBar>
        <cfvo type="num" val="0"/>
        <cfvo type="num" val="1"/>
        <color theme="4" tint="0.79998168889431442"/>
      </dataBar>
      <extLst>
        <ext xmlns:x14="http://schemas.microsoft.com/office/spreadsheetml/2009/9/main" uri="{B025F937-C7B1-47D3-B67F-A62EFF666E3E}">
          <x14:id>{6B2D4688-9D58-4154-B314-7E5BEDF3B2AC}</x14:id>
        </ext>
      </extLst>
    </cfRule>
  </conditionalFormatting>
  <conditionalFormatting sqref="L9">
    <cfRule type="iconSet" priority="82">
      <iconSet iconSet="3Arrows">
        <cfvo type="percent" val="0"/>
        <cfvo type="num" val="0.7"/>
        <cfvo type="num" val="1"/>
      </iconSet>
    </cfRule>
    <cfRule type="dataBar" priority="83">
      <dataBar>
        <cfvo type="num" val="0"/>
        <cfvo type="num" val="1"/>
        <color theme="4" tint="0.79998168889431442"/>
      </dataBar>
      <extLst>
        <ext xmlns:x14="http://schemas.microsoft.com/office/spreadsheetml/2009/9/main" uri="{B025F937-C7B1-47D3-B67F-A62EFF666E3E}">
          <x14:id>{8BFD0128-5374-4CC5-AF09-75BE52ACEE0A}</x14:id>
        </ext>
      </extLst>
    </cfRule>
  </conditionalFormatting>
  <conditionalFormatting sqref="L15 L13">
    <cfRule type="iconSet" priority="84">
      <iconSet iconSet="3Arrows">
        <cfvo type="percent" val="0"/>
        <cfvo type="num" val="0.7"/>
        <cfvo type="num" val="1"/>
      </iconSet>
    </cfRule>
    <cfRule type="dataBar" priority="85">
      <dataBar>
        <cfvo type="num" val="0"/>
        <cfvo type="num" val="1"/>
        <color theme="4" tint="0.79998168889431442"/>
      </dataBar>
      <extLst>
        <ext xmlns:x14="http://schemas.microsoft.com/office/spreadsheetml/2009/9/main" uri="{B025F937-C7B1-47D3-B67F-A62EFF666E3E}">
          <x14:id>{98B9E238-96CD-4923-B0C3-89A1BA594E4F}</x14:id>
        </ext>
      </extLst>
    </cfRule>
  </conditionalFormatting>
  <conditionalFormatting sqref="L17">
    <cfRule type="iconSet" priority="80">
      <iconSet iconSet="3Arrows">
        <cfvo type="percent" val="0"/>
        <cfvo type="num" val="0.7"/>
        <cfvo type="num" val="1"/>
      </iconSet>
    </cfRule>
    <cfRule type="dataBar" priority="81">
      <dataBar>
        <cfvo type="num" val="0"/>
        <cfvo type="num" val="1"/>
        <color theme="4" tint="0.79998168889431442"/>
      </dataBar>
      <extLst>
        <ext xmlns:x14="http://schemas.microsoft.com/office/spreadsheetml/2009/9/main" uri="{B025F937-C7B1-47D3-B67F-A62EFF666E3E}">
          <x14:id>{42B7323E-7A27-42E5-8FAB-63F78490CD44}</x14:id>
        </ext>
      </extLst>
    </cfRule>
  </conditionalFormatting>
  <conditionalFormatting sqref="L19">
    <cfRule type="iconSet" priority="74">
      <iconSet iconSet="3Arrows">
        <cfvo type="percent" val="0"/>
        <cfvo type="num" val="0.7"/>
        <cfvo type="num" val="1"/>
      </iconSet>
    </cfRule>
    <cfRule type="dataBar" priority="75">
      <dataBar>
        <cfvo type="num" val="0"/>
        <cfvo type="num" val="1"/>
        <color theme="4" tint="0.79998168889431442"/>
      </dataBar>
      <extLst>
        <ext xmlns:x14="http://schemas.microsoft.com/office/spreadsheetml/2009/9/main" uri="{B025F937-C7B1-47D3-B67F-A62EFF666E3E}">
          <x14:id>{897F28CA-EF27-41CC-9B5D-495DF474DC2A}</x14:id>
        </ext>
      </extLst>
    </cfRule>
  </conditionalFormatting>
  <conditionalFormatting sqref="L21">
    <cfRule type="iconSet" priority="72">
      <iconSet iconSet="3Arrows">
        <cfvo type="percent" val="0"/>
        <cfvo type="num" val="0.7"/>
        <cfvo type="num" val="1"/>
      </iconSet>
    </cfRule>
    <cfRule type="dataBar" priority="73">
      <dataBar>
        <cfvo type="num" val="0"/>
        <cfvo type="num" val="1"/>
        <color theme="4" tint="0.79998168889431442"/>
      </dataBar>
      <extLst>
        <ext xmlns:x14="http://schemas.microsoft.com/office/spreadsheetml/2009/9/main" uri="{B025F937-C7B1-47D3-B67F-A62EFF666E3E}">
          <x14:id>{EF6A40A3-B277-4E8E-8B14-E257F64E483D}</x14:id>
        </ext>
      </extLst>
    </cfRule>
  </conditionalFormatting>
  <conditionalFormatting sqref="L25">
    <cfRule type="iconSet" priority="24">
      <iconSet iconSet="3Arrows">
        <cfvo type="percent" val="0"/>
        <cfvo type="num" val="0.7"/>
        <cfvo type="num" val="1"/>
      </iconSet>
    </cfRule>
    <cfRule type="dataBar" priority="25">
      <dataBar>
        <cfvo type="num" val="0"/>
        <cfvo type="num" val="1"/>
        <color theme="4" tint="0.79998168889431442"/>
      </dataBar>
      <extLst>
        <ext xmlns:x14="http://schemas.microsoft.com/office/spreadsheetml/2009/9/main" uri="{B025F937-C7B1-47D3-B67F-A62EFF666E3E}">
          <x14:id>{93361E06-7850-4554-8020-43FA78A27D12}</x14:id>
        </ext>
      </extLst>
    </cfRule>
  </conditionalFormatting>
  <conditionalFormatting sqref="L29 L31">
    <cfRule type="iconSet" priority="22">
      <iconSet iconSet="3Arrows">
        <cfvo type="percent" val="0"/>
        <cfvo type="num" val="0.7"/>
        <cfvo type="num" val="1"/>
      </iconSet>
    </cfRule>
    <cfRule type="dataBar" priority="23">
      <dataBar>
        <cfvo type="num" val="0"/>
        <cfvo type="num" val="1"/>
        <color theme="4" tint="0.79998168889431442"/>
      </dataBar>
      <extLst>
        <ext xmlns:x14="http://schemas.microsoft.com/office/spreadsheetml/2009/9/main" uri="{B025F937-C7B1-47D3-B67F-A62EFF666E3E}">
          <x14:id>{A15CEBAC-FE91-4CA1-BB6F-B898440BF262}</x14:id>
        </ext>
      </extLst>
    </cfRule>
  </conditionalFormatting>
  <conditionalFormatting sqref="L33">
    <cfRule type="iconSet" priority="20">
      <iconSet iconSet="3Arrows">
        <cfvo type="percent" val="0"/>
        <cfvo type="num" val="0.7"/>
        <cfvo type="num" val="1"/>
      </iconSet>
    </cfRule>
    <cfRule type="dataBar" priority="21">
      <dataBar>
        <cfvo type="num" val="0"/>
        <cfvo type="num" val="1"/>
        <color theme="4" tint="0.79998168889431442"/>
      </dataBar>
      <extLst>
        <ext xmlns:x14="http://schemas.microsoft.com/office/spreadsheetml/2009/9/main" uri="{B025F937-C7B1-47D3-B67F-A62EFF666E3E}">
          <x14:id>{A041AA62-2D38-42F8-AC0E-D8C314474CB8}</x14:id>
        </ext>
      </extLst>
    </cfRule>
  </conditionalFormatting>
  <conditionalFormatting sqref="L35">
    <cfRule type="iconSet" priority="18">
      <iconSet iconSet="3Arrows">
        <cfvo type="percent" val="0"/>
        <cfvo type="num" val="0.7"/>
        <cfvo type="num" val="1"/>
      </iconSet>
    </cfRule>
    <cfRule type="dataBar" priority="19">
      <dataBar>
        <cfvo type="num" val="0"/>
        <cfvo type="num" val="1"/>
        <color theme="4" tint="0.79998168889431442"/>
      </dataBar>
      <extLst>
        <ext xmlns:x14="http://schemas.microsoft.com/office/spreadsheetml/2009/9/main" uri="{B025F937-C7B1-47D3-B67F-A62EFF666E3E}">
          <x14:id>{EF7C9FBD-6412-43BE-BA8C-51D06E129E04}</x14:id>
        </ext>
      </extLst>
    </cfRule>
  </conditionalFormatting>
  <conditionalFormatting sqref="L37">
    <cfRule type="iconSet" priority="16">
      <iconSet iconSet="3Arrows">
        <cfvo type="percent" val="0"/>
        <cfvo type="num" val="0.7"/>
        <cfvo type="num" val="1"/>
      </iconSet>
    </cfRule>
    <cfRule type="dataBar" priority="17">
      <dataBar>
        <cfvo type="num" val="0"/>
        <cfvo type="num" val="1"/>
        <color theme="4" tint="0.79998168889431442"/>
      </dataBar>
      <extLst>
        <ext xmlns:x14="http://schemas.microsoft.com/office/spreadsheetml/2009/9/main" uri="{B025F937-C7B1-47D3-B67F-A62EFF666E3E}">
          <x14:id>{0BF26081-32DA-4B0D-BC10-FC8335A3DDBB}</x14:id>
        </ext>
      </extLst>
    </cfRule>
  </conditionalFormatting>
  <conditionalFormatting sqref="L41">
    <cfRule type="iconSet" priority="76">
      <iconSet iconSet="3Arrows">
        <cfvo type="percent" val="0"/>
        <cfvo type="num" val="0.7"/>
        <cfvo type="num" val="1"/>
      </iconSet>
    </cfRule>
    <cfRule type="dataBar" priority="77">
      <dataBar>
        <cfvo type="num" val="0"/>
        <cfvo type="num" val="1"/>
        <color theme="4" tint="0.79998168889431442"/>
      </dataBar>
      <extLst>
        <ext xmlns:x14="http://schemas.microsoft.com/office/spreadsheetml/2009/9/main" uri="{B025F937-C7B1-47D3-B67F-A62EFF666E3E}">
          <x14:id>{6CF08604-2E17-4635-8059-306CC0C3BCC4}</x14:id>
        </ext>
      </extLst>
    </cfRule>
  </conditionalFormatting>
  <conditionalFormatting sqref="L45 L47">
    <cfRule type="iconSet" priority="70">
      <iconSet iconSet="3Arrows">
        <cfvo type="percent" val="0"/>
        <cfvo type="num" val="0.7"/>
        <cfvo type="num" val="1"/>
      </iconSet>
    </cfRule>
    <cfRule type="dataBar" priority="71">
      <dataBar>
        <cfvo type="num" val="0"/>
        <cfvo type="num" val="1"/>
        <color theme="4" tint="0.79998168889431442"/>
      </dataBar>
      <extLst>
        <ext xmlns:x14="http://schemas.microsoft.com/office/spreadsheetml/2009/9/main" uri="{B025F937-C7B1-47D3-B67F-A62EFF666E3E}">
          <x14:id>{8677C376-652A-435F-BCDF-7070B1D18812}</x14:id>
        </ext>
      </extLst>
    </cfRule>
  </conditionalFormatting>
  <conditionalFormatting sqref="L49">
    <cfRule type="iconSet" priority="68">
      <iconSet iconSet="3Arrows">
        <cfvo type="percent" val="0"/>
        <cfvo type="num" val="0.7"/>
        <cfvo type="num" val="1"/>
      </iconSet>
    </cfRule>
    <cfRule type="dataBar" priority="69">
      <dataBar>
        <cfvo type="num" val="0"/>
        <cfvo type="num" val="1"/>
        <color theme="4" tint="0.79998168889431442"/>
      </dataBar>
      <extLst>
        <ext xmlns:x14="http://schemas.microsoft.com/office/spreadsheetml/2009/9/main" uri="{B025F937-C7B1-47D3-B67F-A62EFF666E3E}">
          <x14:id>{CACE832B-ECF0-4DE5-8421-086FABE67F80}</x14:id>
        </ext>
      </extLst>
    </cfRule>
  </conditionalFormatting>
  <conditionalFormatting sqref="L51">
    <cfRule type="iconSet" priority="66">
      <iconSet iconSet="3Arrows">
        <cfvo type="percent" val="0"/>
        <cfvo type="num" val="0.7"/>
        <cfvo type="num" val="1"/>
      </iconSet>
    </cfRule>
    <cfRule type="dataBar" priority="67">
      <dataBar>
        <cfvo type="num" val="0"/>
        <cfvo type="num" val="1"/>
        <color theme="4" tint="0.79998168889431442"/>
      </dataBar>
      <extLst>
        <ext xmlns:x14="http://schemas.microsoft.com/office/spreadsheetml/2009/9/main" uri="{B025F937-C7B1-47D3-B67F-A62EFF666E3E}">
          <x14:id>{5FF6AE09-E799-4AC0-B478-77BE78AC5EE8}</x14:id>
        </ext>
      </extLst>
    </cfRule>
  </conditionalFormatting>
  <conditionalFormatting sqref="L53">
    <cfRule type="iconSet" priority="64">
      <iconSet iconSet="3Arrows">
        <cfvo type="percent" val="0"/>
        <cfvo type="num" val="0.7"/>
        <cfvo type="num" val="1"/>
      </iconSet>
    </cfRule>
    <cfRule type="dataBar" priority="65">
      <dataBar>
        <cfvo type="num" val="0"/>
        <cfvo type="num" val="1"/>
        <color theme="4" tint="0.79998168889431442"/>
      </dataBar>
      <extLst>
        <ext xmlns:x14="http://schemas.microsoft.com/office/spreadsheetml/2009/9/main" uri="{B025F937-C7B1-47D3-B67F-A62EFF666E3E}">
          <x14:id>{50912531-B8BE-4E43-B525-40AE147BB4B2}</x14:id>
        </ext>
      </extLst>
    </cfRule>
  </conditionalFormatting>
  <conditionalFormatting sqref="L57">
    <cfRule type="iconSet" priority="10">
      <iconSet iconSet="3Arrows">
        <cfvo type="percent" val="0"/>
        <cfvo type="num" val="0.7"/>
        <cfvo type="num" val="1"/>
      </iconSet>
    </cfRule>
    <cfRule type="dataBar" priority="11">
      <dataBar>
        <cfvo type="num" val="0"/>
        <cfvo type="num" val="1"/>
        <color theme="4" tint="0.79998168889431442"/>
      </dataBar>
      <extLst>
        <ext xmlns:x14="http://schemas.microsoft.com/office/spreadsheetml/2009/9/main" uri="{B025F937-C7B1-47D3-B67F-A62EFF666E3E}">
          <x14:id>{E75DE496-79C6-4687-AC38-0B8A2C29C8F1}</x14:id>
        </ext>
      </extLst>
    </cfRule>
  </conditionalFormatting>
  <conditionalFormatting sqref="L61 L63">
    <cfRule type="iconSet" priority="56">
      <iconSet iconSet="3Arrows">
        <cfvo type="percent" val="0"/>
        <cfvo type="num" val="0.7"/>
        <cfvo type="num" val="1"/>
      </iconSet>
    </cfRule>
    <cfRule type="dataBar" priority="57">
      <dataBar>
        <cfvo type="num" val="0"/>
        <cfvo type="num" val="1"/>
        <color theme="4" tint="0.79998168889431442"/>
      </dataBar>
      <extLst>
        <ext xmlns:x14="http://schemas.microsoft.com/office/spreadsheetml/2009/9/main" uri="{B025F937-C7B1-47D3-B67F-A62EFF666E3E}">
          <x14:id>{921963A0-16EB-4975-BD2F-203AD91553BF}</x14:id>
        </ext>
      </extLst>
    </cfRule>
  </conditionalFormatting>
  <conditionalFormatting sqref="L65">
    <cfRule type="iconSet" priority="54">
      <iconSet iconSet="3Arrows">
        <cfvo type="percent" val="0"/>
        <cfvo type="num" val="0.7"/>
        <cfvo type="num" val="1"/>
      </iconSet>
    </cfRule>
    <cfRule type="dataBar" priority="55">
      <dataBar>
        <cfvo type="num" val="0"/>
        <cfvo type="num" val="1"/>
        <color theme="4" tint="0.79998168889431442"/>
      </dataBar>
      <extLst>
        <ext xmlns:x14="http://schemas.microsoft.com/office/spreadsheetml/2009/9/main" uri="{B025F937-C7B1-47D3-B67F-A62EFF666E3E}">
          <x14:id>{63576E79-4F30-4B3D-B131-15DB4F1B304F}</x14:id>
        </ext>
      </extLst>
    </cfRule>
  </conditionalFormatting>
  <conditionalFormatting sqref="L67">
    <cfRule type="iconSet" priority="52">
      <iconSet iconSet="3Arrows">
        <cfvo type="percent" val="0"/>
        <cfvo type="num" val="0.7"/>
        <cfvo type="num" val="1"/>
      </iconSet>
    </cfRule>
    <cfRule type="dataBar" priority="53">
      <dataBar>
        <cfvo type="num" val="0"/>
        <cfvo type="num" val="1"/>
        <color theme="4" tint="0.79998168889431442"/>
      </dataBar>
      <extLst>
        <ext xmlns:x14="http://schemas.microsoft.com/office/spreadsheetml/2009/9/main" uri="{B025F937-C7B1-47D3-B67F-A62EFF666E3E}">
          <x14:id>{B414ACEA-AD49-4EF9-A7BF-316EF739C105}</x14:id>
        </ext>
      </extLst>
    </cfRule>
  </conditionalFormatting>
  <conditionalFormatting sqref="L69">
    <cfRule type="iconSet" priority="50">
      <iconSet iconSet="3Arrows">
        <cfvo type="percent" val="0"/>
        <cfvo type="num" val="0.7"/>
        <cfvo type="num" val="1"/>
      </iconSet>
    </cfRule>
    <cfRule type="dataBar" priority="51">
      <dataBar>
        <cfvo type="num" val="0"/>
        <cfvo type="num" val="1"/>
        <color theme="4" tint="0.79998168889431442"/>
      </dataBar>
      <extLst>
        <ext xmlns:x14="http://schemas.microsoft.com/office/spreadsheetml/2009/9/main" uri="{B025F937-C7B1-47D3-B67F-A62EFF666E3E}">
          <x14:id>{760A4C41-0BC4-4D6B-A0A9-4724B5534468}</x14:id>
        </ext>
      </extLst>
    </cfRule>
  </conditionalFormatting>
  <conditionalFormatting sqref="L74">
    <cfRule type="iconSet" priority="78">
      <iconSet iconSet="3Arrows">
        <cfvo type="percent" val="0"/>
        <cfvo type="num" val="0.7"/>
        <cfvo type="num" val="1"/>
      </iconSet>
    </cfRule>
    <cfRule type="dataBar" priority="79">
      <dataBar>
        <cfvo type="num" val="0"/>
        <cfvo type="num" val="1"/>
        <color theme="4" tint="0.79998168889431442"/>
      </dataBar>
      <extLst>
        <ext xmlns:x14="http://schemas.microsoft.com/office/spreadsheetml/2009/9/main" uri="{B025F937-C7B1-47D3-B67F-A62EFF666E3E}">
          <x14:id>{45BAD5A6-CB22-4A52-8589-4D784B8A3190}</x14:id>
        </ext>
      </extLst>
    </cfRule>
  </conditionalFormatting>
  <conditionalFormatting sqref="L78 L80">
    <cfRule type="iconSet" priority="62">
      <iconSet iconSet="3Arrows">
        <cfvo type="percent" val="0"/>
        <cfvo type="num" val="0.7"/>
        <cfvo type="num" val="1"/>
      </iconSet>
    </cfRule>
    <cfRule type="dataBar" priority="63">
      <dataBar>
        <cfvo type="num" val="0"/>
        <cfvo type="num" val="1"/>
        <color theme="4" tint="0.79998168889431442"/>
      </dataBar>
      <extLst>
        <ext xmlns:x14="http://schemas.microsoft.com/office/spreadsheetml/2009/9/main" uri="{B025F937-C7B1-47D3-B67F-A62EFF666E3E}">
          <x14:id>{0D8B8AD2-1FFA-4393-8234-8CFF38406610}</x14:id>
        </ext>
      </extLst>
    </cfRule>
  </conditionalFormatting>
  <conditionalFormatting sqref="L82">
    <cfRule type="iconSet" priority="60">
      <iconSet iconSet="3Arrows">
        <cfvo type="percent" val="0"/>
        <cfvo type="num" val="0.7"/>
        <cfvo type="num" val="1"/>
      </iconSet>
    </cfRule>
    <cfRule type="dataBar" priority="61">
      <dataBar>
        <cfvo type="num" val="0"/>
        <cfvo type="num" val="1"/>
        <color theme="4" tint="0.79998168889431442"/>
      </dataBar>
      <extLst>
        <ext xmlns:x14="http://schemas.microsoft.com/office/spreadsheetml/2009/9/main" uri="{B025F937-C7B1-47D3-B67F-A62EFF666E3E}">
          <x14:id>{32A1343B-6EA7-4347-B2BA-D40529CA6DBD}</x14:id>
        </ext>
      </extLst>
    </cfRule>
  </conditionalFormatting>
  <conditionalFormatting sqref="L84">
    <cfRule type="iconSet" priority="58">
      <iconSet iconSet="3Arrows">
        <cfvo type="percent" val="0"/>
        <cfvo type="num" val="0.7"/>
        <cfvo type="num" val="1"/>
      </iconSet>
    </cfRule>
    <cfRule type="dataBar" priority="59">
      <dataBar>
        <cfvo type="num" val="0"/>
        <cfvo type="num" val="1"/>
        <color theme="4" tint="0.79998168889431442"/>
      </dataBar>
      <extLst>
        <ext xmlns:x14="http://schemas.microsoft.com/office/spreadsheetml/2009/9/main" uri="{B025F937-C7B1-47D3-B67F-A62EFF666E3E}">
          <x14:id>{510E93AC-BEA1-4D67-A095-5E5B5436FED2}</x14:id>
        </ext>
      </extLst>
    </cfRule>
  </conditionalFormatting>
  <conditionalFormatting sqref="L86">
    <cfRule type="iconSet" priority="12">
      <iconSet iconSet="3Arrows">
        <cfvo type="percent" val="0"/>
        <cfvo type="num" val="0.7"/>
        <cfvo type="num" val="1"/>
      </iconSet>
    </cfRule>
    <cfRule type="dataBar" priority="13">
      <dataBar>
        <cfvo type="num" val="0"/>
        <cfvo type="num" val="1"/>
        <color theme="4" tint="0.79998168889431442"/>
      </dataBar>
      <extLst>
        <ext xmlns:x14="http://schemas.microsoft.com/office/spreadsheetml/2009/9/main" uri="{B025F937-C7B1-47D3-B67F-A62EFF666E3E}">
          <x14:id>{A5DB365C-75B8-45DB-B873-9B44969A4F6C}</x14:id>
        </ext>
      </extLst>
    </cfRule>
  </conditionalFormatting>
  <conditionalFormatting sqref="L90">
    <cfRule type="iconSet" priority="46">
      <iconSet iconSet="3Arrows">
        <cfvo type="percent" val="0"/>
        <cfvo type="num" val="0.7"/>
        <cfvo type="num" val="1"/>
      </iconSet>
    </cfRule>
    <cfRule type="dataBar" priority="47">
      <dataBar>
        <cfvo type="num" val="0"/>
        <cfvo type="num" val="1"/>
        <color theme="4" tint="0.79998168889431442"/>
      </dataBar>
      <extLst>
        <ext xmlns:x14="http://schemas.microsoft.com/office/spreadsheetml/2009/9/main" uri="{B025F937-C7B1-47D3-B67F-A62EFF666E3E}">
          <x14:id>{B953B42E-8AD8-49EE-9B1E-60BDDA978A00}</x14:id>
        </ext>
      </extLst>
    </cfRule>
  </conditionalFormatting>
  <conditionalFormatting sqref="L94 L96">
    <cfRule type="iconSet" priority="48">
      <iconSet iconSet="3Arrows">
        <cfvo type="percent" val="0"/>
        <cfvo type="num" val="0.7"/>
        <cfvo type="num" val="1"/>
      </iconSet>
    </cfRule>
    <cfRule type="dataBar" priority="49">
      <dataBar>
        <cfvo type="num" val="0"/>
        <cfvo type="num" val="1"/>
        <color theme="4" tint="0.79998168889431442"/>
      </dataBar>
      <extLst>
        <ext xmlns:x14="http://schemas.microsoft.com/office/spreadsheetml/2009/9/main" uri="{B025F937-C7B1-47D3-B67F-A62EFF666E3E}">
          <x14:id>{6A4C0CFB-7902-46ED-8FA9-872B199A72BC}</x14:id>
        </ext>
      </extLst>
    </cfRule>
  </conditionalFormatting>
  <conditionalFormatting sqref="L98">
    <cfRule type="iconSet" priority="44">
      <iconSet iconSet="3Arrows">
        <cfvo type="percent" val="0"/>
        <cfvo type="num" val="0.7"/>
        <cfvo type="num" val="1"/>
      </iconSet>
    </cfRule>
    <cfRule type="dataBar" priority="45">
      <dataBar>
        <cfvo type="num" val="0"/>
        <cfvo type="num" val="1"/>
        <color theme="4" tint="0.79998168889431442"/>
      </dataBar>
      <extLst>
        <ext xmlns:x14="http://schemas.microsoft.com/office/spreadsheetml/2009/9/main" uri="{B025F937-C7B1-47D3-B67F-A62EFF666E3E}">
          <x14:id>{ED681586-B11F-4FDB-AC1A-51D6F85331CA}</x14:id>
        </ext>
      </extLst>
    </cfRule>
  </conditionalFormatting>
  <conditionalFormatting sqref="L100">
    <cfRule type="iconSet" priority="42">
      <iconSet iconSet="3Arrows">
        <cfvo type="percent" val="0"/>
        <cfvo type="num" val="0.7"/>
        <cfvo type="num" val="1"/>
      </iconSet>
    </cfRule>
    <cfRule type="dataBar" priority="43">
      <dataBar>
        <cfvo type="num" val="0"/>
        <cfvo type="num" val="1"/>
        <color theme="4" tint="0.79998168889431442"/>
      </dataBar>
      <extLst>
        <ext xmlns:x14="http://schemas.microsoft.com/office/spreadsheetml/2009/9/main" uri="{B025F937-C7B1-47D3-B67F-A62EFF666E3E}">
          <x14:id>{DC9DB852-2887-4D8F-8CCD-C5DBF3A787A3}</x14:id>
        </ext>
      </extLst>
    </cfRule>
  </conditionalFormatting>
  <conditionalFormatting sqref="L102">
    <cfRule type="iconSet" priority="40">
      <iconSet iconSet="3Arrows">
        <cfvo type="percent" val="0"/>
        <cfvo type="num" val="0.7"/>
        <cfvo type="num" val="1"/>
      </iconSet>
    </cfRule>
    <cfRule type="dataBar" priority="41">
      <dataBar>
        <cfvo type="num" val="0"/>
        <cfvo type="num" val="1"/>
        <color theme="4" tint="0.79998168889431442"/>
      </dataBar>
      <extLst>
        <ext xmlns:x14="http://schemas.microsoft.com/office/spreadsheetml/2009/9/main" uri="{B025F937-C7B1-47D3-B67F-A62EFF666E3E}">
          <x14:id>{CD8D7D43-843B-48FB-B0DD-8FB67740D58E}</x14:id>
        </ext>
      </extLst>
    </cfRule>
  </conditionalFormatting>
  <conditionalFormatting sqref="L106">
    <cfRule type="iconSet" priority="8">
      <iconSet iconSet="3Arrows">
        <cfvo type="percent" val="0"/>
        <cfvo type="num" val="0.7"/>
        <cfvo type="num" val="1"/>
      </iconSet>
    </cfRule>
    <cfRule type="dataBar" priority="9">
      <dataBar>
        <cfvo type="num" val="0"/>
        <cfvo type="num" val="1"/>
        <color theme="4" tint="0.79998168889431442"/>
      </dataBar>
      <extLst>
        <ext xmlns:x14="http://schemas.microsoft.com/office/spreadsheetml/2009/9/main" uri="{B025F937-C7B1-47D3-B67F-A62EFF666E3E}">
          <x14:id>{3BF13207-DF9C-473B-AABC-050AD158C289}</x14:id>
        </ext>
      </extLst>
    </cfRule>
  </conditionalFormatting>
  <conditionalFormatting sqref="L112 L110">
    <cfRule type="iconSet" priority="38">
      <iconSet iconSet="3Arrows">
        <cfvo type="percent" val="0"/>
        <cfvo type="num" val="0.7"/>
        <cfvo type="num" val="1"/>
      </iconSet>
    </cfRule>
    <cfRule type="dataBar" priority="39">
      <dataBar>
        <cfvo type="num" val="0"/>
        <cfvo type="num" val="1"/>
        <color theme="4" tint="0.79998168889431442"/>
      </dataBar>
      <extLst>
        <ext xmlns:x14="http://schemas.microsoft.com/office/spreadsheetml/2009/9/main" uri="{B025F937-C7B1-47D3-B67F-A62EFF666E3E}">
          <x14:id>{7866D4CF-56E2-4254-A21E-D242889079D8}</x14:id>
        </ext>
      </extLst>
    </cfRule>
  </conditionalFormatting>
  <conditionalFormatting sqref="L114">
    <cfRule type="iconSet" priority="36">
      <iconSet iconSet="3Arrows">
        <cfvo type="percent" val="0"/>
        <cfvo type="num" val="0.7"/>
        <cfvo type="num" val="1"/>
      </iconSet>
    </cfRule>
    <cfRule type="dataBar" priority="37">
      <dataBar>
        <cfvo type="num" val="0"/>
        <cfvo type="num" val="1"/>
        <color theme="4" tint="0.79998168889431442"/>
      </dataBar>
      <extLst>
        <ext xmlns:x14="http://schemas.microsoft.com/office/spreadsheetml/2009/9/main" uri="{B025F937-C7B1-47D3-B67F-A62EFF666E3E}">
          <x14:id>{A3447C9B-55E4-4697-AC05-4F80F0BE8A8C}</x14:id>
        </ext>
      </extLst>
    </cfRule>
  </conditionalFormatting>
  <conditionalFormatting sqref="L116">
    <cfRule type="iconSet" priority="34">
      <iconSet iconSet="3Arrows">
        <cfvo type="percent" val="0"/>
        <cfvo type="num" val="0.7"/>
        <cfvo type="num" val="1"/>
      </iconSet>
    </cfRule>
    <cfRule type="dataBar" priority="35">
      <dataBar>
        <cfvo type="num" val="0"/>
        <cfvo type="num" val="1"/>
        <color theme="4" tint="0.79998168889431442"/>
      </dataBar>
      <extLst>
        <ext xmlns:x14="http://schemas.microsoft.com/office/spreadsheetml/2009/9/main" uri="{B025F937-C7B1-47D3-B67F-A62EFF666E3E}">
          <x14:id>{219F98E5-9A13-4406-A322-6240309E2166}</x14:id>
        </ext>
      </extLst>
    </cfRule>
  </conditionalFormatting>
  <conditionalFormatting sqref="L118">
    <cfRule type="iconSet" priority="32">
      <iconSet iconSet="3Arrows">
        <cfvo type="percent" val="0"/>
        <cfvo type="num" val="0.7"/>
        <cfvo type="num" val="1"/>
      </iconSet>
    </cfRule>
    <cfRule type="dataBar" priority="33">
      <dataBar>
        <cfvo type="num" val="0"/>
        <cfvo type="num" val="1"/>
        <color theme="4" tint="0.79998168889431442"/>
      </dataBar>
      <extLst>
        <ext xmlns:x14="http://schemas.microsoft.com/office/spreadsheetml/2009/9/main" uri="{B025F937-C7B1-47D3-B67F-A62EFF666E3E}">
          <x14:id>{F83F4586-ACBB-41F0-BA36-75E3012198F8}</x14:id>
        </ext>
      </extLst>
    </cfRule>
  </conditionalFormatting>
  <conditionalFormatting sqref="L121 L123">
    <cfRule type="iconSet" priority="30">
      <iconSet iconSet="3Arrows">
        <cfvo type="percent" val="0"/>
        <cfvo type="num" val="0.7"/>
        <cfvo type="num" val="1"/>
      </iconSet>
    </cfRule>
    <cfRule type="dataBar" priority="31">
      <dataBar>
        <cfvo type="num" val="0"/>
        <cfvo type="num" val="1"/>
        <color theme="4" tint="0.79998168889431442"/>
      </dataBar>
      <extLst>
        <ext xmlns:x14="http://schemas.microsoft.com/office/spreadsheetml/2009/9/main" uri="{B025F937-C7B1-47D3-B67F-A62EFF666E3E}">
          <x14:id>{AA465D6D-92E4-48CC-B11D-B60915A08C33}</x14:id>
        </ext>
      </extLst>
    </cfRule>
  </conditionalFormatting>
  <conditionalFormatting sqref="L125">
    <cfRule type="iconSet" priority="28">
      <iconSet iconSet="3Arrows">
        <cfvo type="percent" val="0"/>
        <cfvo type="num" val="0.7"/>
        <cfvo type="num" val="1"/>
      </iconSet>
    </cfRule>
    <cfRule type="dataBar" priority="29">
      <dataBar>
        <cfvo type="num" val="0"/>
        <cfvo type="num" val="1"/>
        <color theme="4" tint="0.79998168889431442"/>
      </dataBar>
      <extLst>
        <ext xmlns:x14="http://schemas.microsoft.com/office/spreadsheetml/2009/9/main" uri="{B025F937-C7B1-47D3-B67F-A62EFF666E3E}">
          <x14:id>{98BC77B1-8CC5-472E-A95B-DAD071FABD3E}</x14:id>
        </ext>
      </extLst>
    </cfRule>
  </conditionalFormatting>
  <conditionalFormatting sqref="L127">
    <cfRule type="iconSet" priority="26">
      <iconSet iconSet="3Arrows">
        <cfvo type="percent" val="0"/>
        <cfvo type="num" val="0.7"/>
        <cfvo type="num" val="1"/>
      </iconSet>
    </cfRule>
    <cfRule type="dataBar" priority="27">
      <dataBar>
        <cfvo type="num" val="0"/>
        <cfvo type="num" val="1"/>
        <color theme="4" tint="0.79998168889431442"/>
      </dataBar>
      <extLst>
        <ext xmlns:x14="http://schemas.microsoft.com/office/spreadsheetml/2009/9/main" uri="{B025F937-C7B1-47D3-B67F-A62EFF666E3E}">
          <x14:id>{06BF59AB-4A29-41F5-A9FF-6F78FFE87175}</x14:id>
        </ext>
      </extLst>
    </cfRule>
  </conditionalFormatting>
  <conditionalFormatting sqref="L129">
    <cfRule type="iconSet" priority="14">
      <iconSet iconSet="3Arrows">
        <cfvo type="percent" val="0"/>
        <cfvo type="num" val="0.7"/>
        <cfvo type="num" val="1"/>
      </iconSet>
    </cfRule>
    <cfRule type="dataBar" priority="15">
      <dataBar>
        <cfvo type="num" val="0"/>
        <cfvo type="num" val="1"/>
        <color theme="4" tint="0.79998168889431442"/>
      </dataBar>
      <extLst>
        <ext xmlns:x14="http://schemas.microsoft.com/office/spreadsheetml/2009/9/main" uri="{B025F937-C7B1-47D3-B67F-A62EFF666E3E}">
          <x14:id>{E5986DFB-206F-417A-B043-9192DB01AC3D}</x14:id>
        </ext>
      </extLst>
    </cfRule>
  </conditionalFormatting>
  <conditionalFormatting sqref="N94:O94 V94:W94 AD94:AE94 AL94:AM94 AT94:AU94 BB94:BC94 N110:O110 V110:W110 AD110:AE110 AL110:AM110 AT110:AU110 BB110:BC110">
    <cfRule type="expression" dxfId="11" priority="1">
      <formula>AND($W94="R",N94&gt;0)</formula>
    </cfRule>
    <cfRule type="expression" dxfId="10" priority="2">
      <formula>AND($W94="P",N94&gt;0)</formula>
    </cfRule>
  </conditionalFormatting>
  <conditionalFormatting sqref="N121:T130">
    <cfRule type="cellIs" dxfId="9" priority="3" operator="equal">
      <formula>0</formula>
    </cfRule>
  </conditionalFormatting>
  <conditionalFormatting sqref="V121:AB130">
    <cfRule type="cellIs" dxfId="8" priority="158" operator="equal">
      <formula>0</formula>
    </cfRule>
  </conditionalFormatting>
  <conditionalFormatting sqref="AD121:AJ130">
    <cfRule type="cellIs" dxfId="7" priority="7" operator="equal">
      <formula>0</formula>
    </cfRule>
  </conditionalFormatting>
  <conditionalFormatting sqref="AL121:AR130">
    <cfRule type="cellIs" dxfId="6" priority="6" operator="equal">
      <formula>0</formula>
    </cfRule>
  </conditionalFormatting>
  <conditionalFormatting sqref="AT121:AZ130">
    <cfRule type="cellIs" dxfId="5" priority="5" operator="equal">
      <formula>0</formula>
    </cfRule>
  </conditionalFormatting>
  <conditionalFormatting sqref="BB121:BH130">
    <cfRule type="cellIs" dxfId="4" priority="4" operator="equal">
      <formula>0</formula>
    </cfRule>
  </conditionalFormatting>
  <conditionalFormatting sqref="BK9">
    <cfRule type="iconSet" priority="320">
      <iconSet iconSet="3Arrows">
        <cfvo type="percent" val="0"/>
        <cfvo type="num" val="0.7"/>
        <cfvo type="num" val="1"/>
      </iconSet>
    </cfRule>
    <cfRule type="dataBar" priority="321">
      <dataBar>
        <cfvo type="num" val="0"/>
        <cfvo type="num" val="1"/>
        <color theme="4" tint="0.79998168889431442"/>
      </dataBar>
      <extLst>
        <ext xmlns:x14="http://schemas.microsoft.com/office/spreadsheetml/2009/9/main" uri="{B025F937-C7B1-47D3-B67F-A62EFF666E3E}">
          <x14:id>{3D4356E6-819B-420B-A6C2-B7E9AC547689}</x14:id>
        </ext>
      </extLst>
    </cfRule>
  </conditionalFormatting>
  <conditionalFormatting sqref="BK15 BK13">
    <cfRule type="iconSet" priority="322">
      <iconSet iconSet="3Arrows">
        <cfvo type="percent" val="0"/>
        <cfvo type="num" val="0.7"/>
        <cfvo type="num" val="1"/>
      </iconSet>
    </cfRule>
    <cfRule type="dataBar" priority="323">
      <dataBar>
        <cfvo type="num" val="0"/>
        <cfvo type="num" val="1"/>
        <color theme="4" tint="0.79998168889431442"/>
      </dataBar>
      <extLst>
        <ext xmlns:x14="http://schemas.microsoft.com/office/spreadsheetml/2009/9/main" uri="{B025F937-C7B1-47D3-B67F-A62EFF666E3E}">
          <x14:id>{5431DBC9-CDE7-4608-9FB1-5D79390CF1D6}</x14:id>
        </ext>
      </extLst>
    </cfRule>
  </conditionalFormatting>
  <conditionalFormatting sqref="BK17">
    <cfRule type="iconSet" priority="324">
      <iconSet iconSet="3Arrows">
        <cfvo type="percent" val="0"/>
        <cfvo type="num" val="0.7"/>
        <cfvo type="num" val="1"/>
      </iconSet>
    </cfRule>
    <cfRule type="dataBar" priority="325">
      <dataBar>
        <cfvo type="num" val="0"/>
        <cfvo type="num" val="1"/>
        <color theme="4" tint="0.79998168889431442"/>
      </dataBar>
      <extLst>
        <ext xmlns:x14="http://schemas.microsoft.com/office/spreadsheetml/2009/9/main" uri="{B025F937-C7B1-47D3-B67F-A62EFF666E3E}">
          <x14:id>{0A8CFC66-92F5-4558-A309-31C700A5946C}</x14:id>
        </ext>
      </extLst>
    </cfRule>
  </conditionalFormatting>
  <conditionalFormatting sqref="BK19">
    <cfRule type="iconSet" priority="326">
      <iconSet iconSet="3Arrows">
        <cfvo type="percent" val="0"/>
        <cfvo type="num" val="0.7"/>
        <cfvo type="num" val="1"/>
      </iconSet>
    </cfRule>
    <cfRule type="dataBar" priority="327">
      <dataBar>
        <cfvo type="num" val="0"/>
        <cfvo type="num" val="1"/>
        <color theme="4" tint="0.79998168889431442"/>
      </dataBar>
      <extLst>
        <ext xmlns:x14="http://schemas.microsoft.com/office/spreadsheetml/2009/9/main" uri="{B025F937-C7B1-47D3-B67F-A62EFF666E3E}">
          <x14:id>{6A8A0E37-AC4D-4FB4-A576-C87F491DEFC9}</x14:id>
        </ext>
      </extLst>
    </cfRule>
  </conditionalFormatting>
  <conditionalFormatting sqref="BK21">
    <cfRule type="iconSet" priority="328">
      <iconSet iconSet="3Arrows">
        <cfvo type="percent" val="0"/>
        <cfvo type="num" val="0.7"/>
        <cfvo type="num" val="1"/>
      </iconSet>
    </cfRule>
    <cfRule type="dataBar" priority="329">
      <dataBar>
        <cfvo type="num" val="0"/>
        <cfvo type="num" val="1"/>
        <color theme="4" tint="0.79998168889431442"/>
      </dataBar>
      <extLst>
        <ext xmlns:x14="http://schemas.microsoft.com/office/spreadsheetml/2009/9/main" uri="{B025F937-C7B1-47D3-B67F-A62EFF666E3E}">
          <x14:id>{84230838-1B0D-443C-BD39-C2C02017A577}</x14:id>
        </ext>
      </extLst>
    </cfRule>
  </conditionalFormatting>
  <conditionalFormatting sqref="BK25">
    <cfRule type="iconSet" priority="360">
      <iconSet iconSet="3Arrows">
        <cfvo type="percent" val="0"/>
        <cfvo type="num" val="0.7"/>
        <cfvo type="num" val="1"/>
      </iconSet>
    </cfRule>
    <cfRule type="dataBar" priority="361">
      <dataBar>
        <cfvo type="num" val="0"/>
        <cfvo type="num" val="1"/>
        <color theme="4" tint="0.79998168889431442"/>
      </dataBar>
      <extLst>
        <ext xmlns:x14="http://schemas.microsoft.com/office/spreadsheetml/2009/9/main" uri="{B025F937-C7B1-47D3-B67F-A62EFF666E3E}">
          <x14:id>{CE2C2B27-B8E8-4EE6-82CF-77752F10ABF0}</x14:id>
        </ext>
      </extLst>
    </cfRule>
  </conditionalFormatting>
  <conditionalFormatting sqref="BK29 BK31">
    <cfRule type="iconSet" priority="362">
      <iconSet iconSet="3Arrows">
        <cfvo type="percent" val="0"/>
        <cfvo type="num" val="0.7"/>
        <cfvo type="num" val="1"/>
      </iconSet>
    </cfRule>
    <cfRule type="dataBar" priority="363">
      <dataBar>
        <cfvo type="num" val="0"/>
        <cfvo type="num" val="1"/>
        <color theme="4" tint="0.79998168889431442"/>
      </dataBar>
      <extLst>
        <ext xmlns:x14="http://schemas.microsoft.com/office/spreadsheetml/2009/9/main" uri="{B025F937-C7B1-47D3-B67F-A62EFF666E3E}">
          <x14:id>{F31B9B2B-3883-4EB9-A310-1E1F97DCB2C9}</x14:id>
        </ext>
      </extLst>
    </cfRule>
  </conditionalFormatting>
  <conditionalFormatting sqref="BK33">
    <cfRule type="iconSet" priority="364">
      <iconSet iconSet="3Arrows">
        <cfvo type="percent" val="0"/>
        <cfvo type="num" val="0.7"/>
        <cfvo type="num" val="1"/>
      </iconSet>
    </cfRule>
    <cfRule type="dataBar" priority="365">
      <dataBar>
        <cfvo type="num" val="0"/>
        <cfvo type="num" val="1"/>
        <color theme="4" tint="0.79998168889431442"/>
      </dataBar>
      <extLst>
        <ext xmlns:x14="http://schemas.microsoft.com/office/spreadsheetml/2009/9/main" uri="{B025F937-C7B1-47D3-B67F-A62EFF666E3E}">
          <x14:id>{27AA216D-7D50-4983-B085-E259B1530AE5}</x14:id>
        </ext>
      </extLst>
    </cfRule>
  </conditionalFormatting>
  <conditionalFormatting sqref="BK35">
    <cfRule type="iconSet" priority="366">
      <iconSet iconSet="3Arrows">
        <cfvo type="percent" val="0"/>
        <cfvo type="num" val="0.7"/>
        <cfvo type="num" val="1"/>
      </iconSet>
    </cfRule>
    <cfRule type="dataBar" priority="367">
      <dataBar>
        <cfvo type="num" val="0"/>
        <cfvo type="num" val="1"/>
        <color theme="4" tint="0.79998168889431442"/>
      </dataBar>
      <extLst>
        <ext xmlns:x14="http://schemas.microsoft.com/office/spreadsheetml/2009/9/main" uri="{B025F937-C7B1-47D3-B67F-A62EFF666E3E}">
          <x14:id>{11A4D095-09A6-4C2C-B209-3C7139533745}</x14:id>
        </ext>
      </extLst>
    </cfRule>
  </conditionalFormatting>
  <conditionalFormatting sqref="BK37">
    <cfRule type="iconSet" priority="368">
      <iconSet iconSet="3Arrows">
        <cfvo type="percent" val="0"/>
        <cfvo type="num" val="0.7"/>
        <cfvo type="num" val="1"/>
      </iconSet>
    </cfRule>
    <cfRule type="dataBar" priority="369">
      <dataBar>
        <cfvo type="num" val="0"/>
        <cfvo type="num" val="1"/>
        <color theme="4" tint="0.79998168889431442"/>
      </dataBar>
      <extLst>
        <ext xmlns:x14="http://schemas.microsoft.com/office/spreadsheetml/2009/9/main" uri="{B025F937-C7B1-47D3-B67F-A62EFF666E3E}">
          <x14:id>{94134834-E4C7-4B0E-AC0F-D48FA7203EDA}</x14:id>
        </ext>
      </extLst>
    </cfRule>
  </conditionalFormatting>
  <conditionalFormatting sqref="BK41">
    <cfRule type="iconSet" priority="370">
      <iconSet iconSet="3Arrows">
        <cfvo type="percent" val="0"/>
        <cfvo type="num" val="0.7"/>
        <cfvo type="num" val="1"/>
      </iconSet>
    </cfRule>
    <cfRule type="dataBar" priority="371">
      <dataBar>
        <cfvo type="num" val="0"/>
        <cfvo type="num" val="1"/>
        <color theme="4" tint="0.79998168889431442"/>
      </dataBar>
      <extLst>
        <ext xmlns:x14="http://schemas.microsoft.com/office/spreadsheetml/2009/9/main" uri="{B025F937-C7B1-47D3-B67F-A62EFF666E3E}">
          <x14:id>{D5642501-C01E-430B-9F6D-8D04FDDBBAEF}</x14:id>
        </ext>
      </extLst>
    </cfRule>
  </conditionalFormatting>
  <conditionalFormatting sqref="BK45 BK47">
    <cfRule type="iconSet" priority="372">
      <iconSet iconSet="3Arrows">
        <cfvo type="percent" val="0"/>
        <cfvo type="num" val="0.7"/>
        <cfvo type="num" val="1"/>
      </iconSet>
    </cfRule>
    <cfRule type="dataBar" priority="373">
      <dataBar>
        <cfvo type="num" val="0"/>
        <cfvo type="num" val="1"/>
        <color theme="4" tint="0.79998168889431442"/>
      </dataBar>
      <extLst>
        <ext xmlns:x14="http://schemas.microsoft.com/office/spreadsheetml/2009/9/main" uri="{B025F937-C7B1-47D3-B67F-A62EFF666E3E}">
          <x14:id>{F195F1EC-E615-491A-BE10-749FB32922F4}</x14:id>
        </ext>
      </extLst>
    </cfRule>
  </conditionalFormatting>
  <conditionalFormatting sqref="BK49">
    <cfRule type="iconSet" priority="374">
      <iconSet iconSet="3Arrows">
        <cfvo type="percent" val="0"/>
        <cfvo type="num" val="0.7"/>
        <cfvo type="num" val="1"/>
      </iconSet>
    </cfRule>
    <cfRule type="dataBar" priority="375">
      <dataBar>
        <cfvo type="num" val="0"/>
        <cfvo type="num" val="1"/>
        <color theme="4" tint="0.79998168889431442"/>
      </dataBar>
      <extLst>
        <ext xmlns:x14="http://schemas.microsoft.com/office/spreadsheetml/2009/9/main" uri="{B025F937-C7B1-47D3-B67F-A62EFF666E3E}">
          <x14:id>{2B2AB05E-D0EC-40FB-BE39-1402820362ED}</x14:id>
        </ext>
      </extLst>
    </cfRule>
  </conditionalFormatting>
  <conditionalFormatting sqref="BK51">
    <cfRule type="iconSet" priority="376">
      <iconSet iconSet="3Arrows">
        <cfvo type="percent" val="0"/>
        <cfvo type="num" val="0.7"/>
        <cfvo type="num" val="1"/>
      </iconSet>
    </cfRule>
    <cfRule type="dataBar" priority="377">
      <dataBar>
        <cfvo type="num" val="0"/>
        <cfvo type="num" val="1"/>
        <color theme="4" tint="0.79998168889431442"/>
      </dataBar>
      <extLst>
        <ext xmlns:x14="http://schemas.microsoft.com/office/spreadsheetml/2009/9/main" uri="{B025F937-C7B1-47D3-B67F-A62EFF666E3E}">
          <x14:id>{A2DC7000-50A6-477E-8BCF-287790B8F708}</x14:id>
        </ext>
      </extLst>
    </cfRule>
  </conditionalFormatting>
  <conditionalFormatting sqref="BK53">
    <cfRule type="iconSet" priority="378">
      <iconSet iconSet="3Arrows">
        <cfvo type="percent" val="0"/>
        <cfvo type="num" val="0.7"/>
        <cfvo type="num" val="1"/>
      </iconSet>
    </cfRule>
    <cfRule type="dataBar" priority="379">
      <dataBar>
        <cfvo type="num" val="0"/>
        <cfvo type="num" val="1"/>
        <color theme="4" tint="0.79998168889431442"/>
      </dataBar>
      <extLst>
        <ext xmlns:x14="http://schemas.microsoft.com/office/spreadsheetml/2009/9/main" uri="{B025F937-C7B1-47D3-B67F-A62EFF666E3E}">
          <x14:id>{B07CA30C-731A-4194-A96C-1C3D336DDDD2}</x14:id>
        </ext>
      </extLst>
    </cfRule>
  </conditionalFormatting>
  <conditionalFormatting sqref="BK57">
    <cfRule type="iconSet" priority="330">
      <iconSet iconSet="3Arrows">
        <cfvo type="percent" val="0"/>
        <cfvo type="num" val="0.7"/>
        <cfvo type="num" val="1"/>
      </iconSet>
    </cfRule>
    <cfRule type="dataBar" priority="331">
      <dataBar>
        <cfvo type="num" val="0"/>
        <cfvo type="num" val="1"/>
        <color theme="4" tint="0.79998168889431442"/>
      </dataBar>
      <extLst>
        <ext xmlns:x14="http://schemas.microsoft.com/office/spreadsheetml/2009/9/main" uri="{B025F937-C7B1-47D3-B67F-A62EFF666E3E}">
          <x14:id>{A6650AD7-F576-4473-88A2-E7D8AA63E79A}</x14:id>
        </ext>
      </extLst>
    </cfRule>
  </conditionalFormatting>
  <conditionalFormatting sqref="BK61 BK63">
    <cfRule type="iconSet" priority="332">
      <iconSet iconSet="3Arrows">
        <cfvo type="percent" val="0"/>
        <cfvo type="num" val="0.7"/>
        <cfvo type="num" val="1"/>
      </iconSet>
    </cfRule>
    <cfRule type="dataBar" priority="333">
      <dataBar>
        <cfvo type="num" val="0"/>
        <cfvo type="num" val="1"/>
        <color theme="4" tint="0.79998168889431442"/>
      </dataBar>
      <extLst>
        <ext xmlns:x14="http://schemas.microsoft.com/office/spreadsheetml/2009/9/main" uri="{B025F937-C7B1-47D3-B67F-A62EFF666E3E}">
          <x14:id>{0A8017B0-0553-419F-BE6A-4C01A951D507}</x14:id>
        </ext>
      </extLst>
    </cfRule>
  </conditionalFormatting>
  <conditionalFormatting sqref="BK65">
    <cfRule type="iconSet" priority="334">
      <iconSet iconSet="3Arrows">
        <cfvo type="percent" val="0"/>
        <cfvo type="num" val="0.7"/>
        <cfvo type="num" val="1"/>
      </iconSet>
    </cfRule>
    <cfRule type="dataBar" priority="335">
      <dataBar>
        <cfvo type="num" val="0"/>
        <cfvo type="num" val="1"/>
        <color theme="4" tint="0.79998168889431442"/>
      </dataBar>
      <extLst>
        <ext xmlns:x14="http://schemas.microsoft.com/office/spreadsheetml/2009/9/main" uri="{B025F937-C7B1-47D3-B67F-A62EFF666E3E}">
          <x14:id>{15C1298E-BC0D-45D4-9A61-0A3875D7A2B7}</x14:id>
        </ext>
      </extLst>
    </cfRule>
  </conditionalFormatting>
  <conditionalFormatting sqref="BK67">
    <cfRule type="iconSet" priority="336">
      <iconSet iconSet="3Arrows">
        <cfvo type="percent" val="0"/>
        <cfvo type="num" val="0.7"/>
        <cfvo type="num" val="1"/>
      </iconSet>
    </cfRule>
    <cfRule type="dataBar" priority="337">
      <dataBar>
        <cfvo type="num" val="0"/>
        <cfvo type="num" val="1"/>
        <color theme="4" tint="0.79998168889431442"/>
      </dataBar>
      <extLst>
        <ext xmlns:x14="http://schemas.microsoft.com/office/spreadsheetml/2009/9/main" uri="{B025F937-C7B1-47D3-B67F-A62EFF666E3E}">
          <x14:id>{45FC64F0-752B-4BDA-88CF-087660CA128A}</x14:id>
        </ext>
      </extLst>
    </cfRule>
  </conditionalFormatting>
  <conditionalFormatting sqref="BK69">
    <cfRule type="iconSet" priority="338">
      <iconSet iconSet="3Arrows">
        <cfvo type="percent" val="0"/>
        <cfvo type="num" val="0.7"/>
        <cfvo type="num" val="1"/>
      </iconSet>
    </cfRule>
    <cfRule type="dataBar" priority="339">
      <dataBar>
        <cfvo type="num" val="0"/>
        <cfvo type="num" val="1"/>
        <color theme="4" tint="0.79998168889431442"/>
      </dataBar>
      <extLst>
        <ext xmlns:x14="http://schemas.microsoft.com/office/spreadsheetml/2009/9/main" uri="{B025F937-C7B1-47D3-B67F-A62EFF666E3E}">
          <x14:id>{D33F7EF4-5213-4A27-B5EE-2AD1EE3DD0BB}</x14:id>
        </ext>
      </extLst>
    </cfRule>
  </conditionalFormatting>
  <conditionalFormatting sqref="BK74">
    <cfRule type="iconSet" priority="380">
      <iconSet iconSet="3Arrows">
        <cfvo type="percent" val="0"/>
        <cfvo type="num" val="0.7"/>
        <cfvo type="num" val="1"/>
      </iconSet>
    </cfRule>
    <cfRule type="dataBar" priority="381">
      <dataBar>
        <cfvo type="num" val="0"/>
        <cfvo type="num" val="1"/>
        <color theme="4" tint="0.79998168889431442"/>
      </dataBar>
      <extLst>
        <ext xmlns:x14="http://schemas.microsoft.com/office/spreadsheetml/2009/9/main" uri="{B025F937-C7B1-47D3-B67F-A62EFF666E3E}">
          <x14:id>{FE5B132E-DDEE-4B22-B2D3-647F61E48861}</x14:id>
        </ext>
      </extLst>
    </cfRule>
  </conditionalFormatting>
  <conditionalFormatting sqref="BK78 BK80">
    <cfRule type="iconSet" priority="382">
      <iconSet iconSet="3Arrows">
        <cfvo type="percent" val="0"/>
        <cfvo type="num" val="0.7"/>
        <cfvo type="num" val="1"/>
      </iconSet>
    </cfRule>
    <cfRule type="dataBar" priority="383">
      <dataBar>
        <cfvo type="num" val="0"/>
        <cfvo type="num" val="1"/>
        <color theme="4" tint="0.79998168889431442"/>
      </dataBar>
      <extLst>
        <ext xmlns:x14="http://schemas.microsoft.com/office/spreadsheetml/2009/9/main" uri="{B025F937-C7B1-47D3-B67F-A62EFF666E3E}">
          <x14:id>{6379D10B-9E7B-442E-8CE3-81501B2080A2}</x14:id>
        </ext>
      </extLst>
    </cfRule>
  </conditionalFormatting>
  <conditionalFormatting sqref="BK82">
    <cfRule type="iconSet" priority="384">
      <iconSet iconSet="3Arrows">
        <cfvo type="percent" val="0"/>
        <cfvo type="num" val="0.7"/>
        <cfvo type="num" val="1"/>
      </iconSet>
    </cfRule>
    <cfRule type="dataBar" priority="385">
      <dataBar>
        <cfvo type="num" val="0"/>
        <cfvo type="num" val="1"/>
        <color theme="4" tint="0.79998168889431442"/>
      </dataBar>
      <extLst>
        <ext xmlns:x14="http://schemas.microsoft.com/office/spreadsheetml/2009/9/main" uri="{B025F937-C7B1-47D3-B67F-A62EFF666E3E}">
          <x14:id>{A9014742-C9D6-497C-9612-751D9FB0BCA2}</x14:id>
        </ext>
      </extLst>
    </cfRule>
  </conditionalFormatting>
  <conditionalFormatting sqref="BK84">
    <cfRule type="iconSet" priority="386">
      <iconSet iconSet="3Arrows">
        <cfvo type="percent" val="0"/>
        <cfvo type="num" val="0.7"/>
        <cfvo type="num" val="1"/>
      </iconSet>
    </cfRule>
    <cfRule type="dataBar" priority="387">
      <dataBar>
        <cfvo type="num" val="0"/>
        <cfvo type="num" val="1"/>
        <color theme="4" tint="0.79998168889431442"/>
      </dataBar>
      <extLst>
        <ext xmlns:x14="http://schemas.microsoft.com/office/spreadsheetml/2009/9/main" uri="{B025F937-C7B1-47D3-B67F-A62EFF666E3E}">
          <x14:id>{2EAB503B-683E-4486-85B8-F60622CED7AC}</x14:id>
        </ext>
      </extLst>
    </cfRule>
  </conditionalFormatting>
  <conditionalFormatting sqref="BK86">
    <cfRule type="iconSet" priority="388">
      <iconSet iconSet="3Arrows">
        <cfvo type="percent" val="0"/>
        <cfvo type="num" val="0.7"/>
        <cfvo type="num" val="1"/>
      </iconSet>
    </cfRule>
    <cfRule type="dataBar" priority="389">
      <dataBar>
        <cfvo type="num" val="0"/>
        <cfvo type="num" val="1"/>
        <color theme="4" tint="0.79998168889431442"/>
      </dataBar>
      <extLst>
        <ext xmlns:x14="http://schemas.microsoft.com/office/spreadsheetml/2009/9/main" uri="{B025F937-C7B1-47D3-B67F-A62EFF666E3E}">
          <x14:id>{2DFA8350-1BAF-4E00-BBAE-BE2383892767}</x14:id>
        </ext>
      </extLst>
    </cfRule>
  </conditionalFormatting>
  <conditionalFormatting sqref="BK90">
    <cfRule type="iconSet" priority="340">
      <iconSet iconSet="3Arrows">
        <cfvo type="percent" val="0"/>
        <cfvo type="num" val="0.7"/>
        <cfvo type="num" val="1"/>
      </iconSet>
    </cfRule>
    <cfRule type="dataBar" priority="341">
      <dataBar>
        <cfvo type="num" val="0"/>
        <cfvo type="num" val="1"/>
        <color theme="4" tint="0.79998168889431442"/>
      </dataBar>
      <extLst>
        <ext xmlns:x14="http://schemas.microsoft.com/office/spreadsheetml/2009/9/main" uri="{B025F937-C7B1-47D3-B67F-A62EFF666E3E}">
          <x14:id>{1ED4CFC6-4F34-4E13-BB1C-1983BE6DEE07}</x14:id>
        </ext>
      </extLst>
    </cfRule>
  </conditionalFormatting>
  <conditionalFormatting sqref="BK94 BK96">
    <cfRule type="iconSet" priority="342">
      <iconSet iconSet="3Arrows">
        <cfvo type="percent" val="0"/>
        <cfvo type="num" val="0.7"/>
        <cfvo type="num" val="1"/>
      </iconSet>
    </cfRule>
    <cfRule type="dataBar" priority="343">
      <dataBar>
        <cfvo type="num" val="0"/>
        <cfvo type="num" val="1"/>
        <color theme="4" tint="0.79998168889431442"/>
      </dataBar>
      <extLst>
        <ext xmlns:x14="http://schemas.microsoft.com/office/spreadsheetml/2009/9/main" uri="{B025F937-C7B1-47D3-B67F-A62EFF666E3E}">
          <x14:id>{D2363E09-CDCD-4C5B-A103-BF3602363CBE}</x14:id>
        </ext>
      </extLst>
    </cfRule>
  </conditionalFormatting>
  <conditionalFormatting sqref="BK98">
    <cfRule type="iconSet" priority="344">
      <iconSet iconSet="3Arrows">
        <cfvo type="percent" val="0"/>
        <cfvo type="num" val="0.7"/>
        <cfvo type="num" val="1"/>
      </iconSet>
    </cfRule>
    <cfRule type="dataBar" priority="345">
      <dataBar>
        <cfvo type="num" val="0"/>
        <cfvo type="num" val="1"/>
        <color theme="4" tint="0.79998168889431442"/>
      </dataBar>
      <extLst>
        <ext xmlns:x14="http://schemas.microsoft.com/office/spreadsheetml/2009/9/main" uri="{B025F937-C7B1-47D3-B67F-A62EFF666E3E}">
          <x14:id>{EC984957-35AB-4E1F-A813-1C2A27BB3508}</x14:id>
        </ext>
      </extLst>
    </cfRule>
  </conditionalFormatting>
  <conditionalFormatting sqref="BK100">
    <cfRule type="iconSet" priority="346">
      <iconSet iconSet="3Arrows">
        <cfvo type="percent" val="0"/>
        <cfvo type="num" val="0.7"/>
        <cfvo type="num" val="1"/>
      </iconSet>
    </cfRule>
    <cfRule type="dataBar" priority="347">
      <dataBar>
        <cfvo type="num" val="0"/>
        <cfvo type="num" val="1"/>
        <color theme="4" tint="0.79998168889431442"/>
      </dataBar>
      <extLst>
        <ext xmlns:x14="http://schemas.microsoft.com/office/spreadsheetml/2009/9/main" uri="{B025F937-C7B1-47D3-B67F-A62EFF666E3E}">
          <x14:id>{6CDFE56A-4F4E-40D8-8F85-27CDD2FE154D}</x14:id>
        </ext>
      </extLst>
    </cfRule>
  </conditionalFormatting>
  <conditionalFormatting sqref="BK102">
    <cfRule type="iconSet" priority="348">
      <iconSet iconSet="3Arrows">
        <cfvo type="percent" val="0"/>
        <cfvo type="num" val="0.7"/>
        <cfvo type="num" val="1"/>
      </iconSet>
    </cfRule>
    <cfRule type="dataBar" priority="349">
      <dataBar>
        <cfvo type="num" val="0"/>
        <cfvo type="num" val="1"/>
        <color theme="4" tint="0.79998168889431442"/>
      </dataBar>
      <extLst>
        <ext xmlns:x14="http://schemas.microsoft.com/office/spreadsheetml/2009/9/main" uri="{B025F937-C7B1-47D3-B67F-A62EFF666E3E}">
          <x14:id>{4D8BAEA7-5239-43A2-815D-3E7E9DF4F7A1}</x14:id>
        </ext>
      </extLst>
    </cfRule>
  </conditionalFormatting>
  <conditionalFormatting sqref="BK106">
    <cfRule type="iconSet" priority="350">
      <iconSet iconSet="3Arrows">
        <cfvo type="percent" val="0"/>
        <cfvo type="num" val="0.7"/>
        <cfvo type="num" val="1"/>
      </iconSet>
    </cfRule>
    <cfRule type="dataBar" priority="351">
      <dataBar>
        <cfvo type="num" val="0"/>
        <cfvo type="num" val="1"/>
        <color theme="4" tint="0.79998168889431442"/>
      </dataBar>
      <extLst>
        <ext xmlns:x14="http://schemas.microsoft.com/office/spreadsheetml/2009/9/main" uri="{B025F937-C7B1-47D3-B67F-A62EFF666E3E}">
          <x14:id>{3C9C39C9-8B8C-4900-9440-E86712EDB54D}</x14:id>
        </ext>
      </extLst>
    </cfRule>
  </conditionalFormatting>
  <conditionalFormatting sqref="BK110 BK112">
    <cfRule type="iconSet" priority="352">
      <iconSet iconSet="3Arrows">
        <cfvo type="percent" val="0"/>
        <cfvo type="num" val="0.7"/>
        <cfvo type="num" val="1"/>
      </iconSet>
    </cfRule>
    <cfRule type="dataBar" priority="353">
      <dataBar>
        <cfvo type="num" val="0"/>
        <cfvo type="num" val="1"/>
        <color theme="4" tint="0.79998168889431442"/>
      </dataBar>
      <extLst>
        <ext xmlns:x14="http://schemas.microsoft.com/office/spreadsheetml/2009/9/main" uri="{B025F937-C7B1-47D3-B67F-A62EFF666E3E}">
          <x14:id>{76BB074A-08BA-4400-B121-BDA0BC13E1D7}</x14:id>
        </ext>
      </extLst>
    </cfRule>
  </conditionalFormatting>
  <conditionalFormatting sqref="BK114">
    <cfRule type="iconSet" priority="354">
      <iconSet iconSet="3Arrows">
        <cfvo type="percent" val="0"/>
        <cfvo type="num" val="0.7"/>
        <cfvo type="num" val="1"/>
      </iconSet>
    </cfRule>
    <cfRule type="dataBar" priority="355">
      <dataBar>
        <cfvo type="num" val="0"/>
        <cfvo type="num" val="1"/>
        <color theme="4" tint="0.79998168889431442"/>
      </dataBar>
      <extLst>
        <ext xmlns:x14="http://schemas.microsoft.com/office/spreadsheetml/2009/9/main" uri="{B025F937-C7B1-47D3-B67F-A62EFF666E3E}">
          <x14:id>{D47C3DE3-B1EC-4F31-9F3E-2F0AF0E02C1D}</x14:id>
        </ext>
      </extLst>
    </cfRule>
  </conditionalFormatting>
  <conditionalFormatting sqref="BK116">
    <cfRule type="iconSet" priority="356">
      <iconSet iconSet="3Arrows">
        <cfvo type="percent" val="0"/>
        <cfvo type="num" val="0.7"/>
        <cfvo type="num" val="1"/>
      </iconSet>
    </cfRule>
    <cfRule type="dataBar" priority="357">
      <dataBar>
        <cfvo type="num" val="0"/>
        <cfvo type="num" val="1"/>
        <color theme="4" tint="0.79998168889431442"/>
      </dataBar>
      <extLst>
        <ext xmlns:x14="http://schemas.microsoft.com/office/spreadsheetml/2009/9/main" uri="{B025F937-C7B1-47D3-B67F-A62EFF666E3E}">
          <x14:id>{549C30DB-5FC3-4345-81D3-A9568A172A4A}</x14:id>
        </ext>
      </extLst>
    </cfRule>
  </conditionalFormatting>
  <conditionalFormatting sqref="BK118">
    <cfRule type="iconSet" priority="358">
      <iconSet iconSet="3Arrows">
        <cfvo type="percent" val="0"/>
        <cfvo type="num" val="0.7"/>
        <cfvo type="num" val="1"/>
      </iconSet>
    </cfRule>
    <cfRule type="dataBar" priority="359">
      <dataBar>
        <cfvo type="num" val="0"/>
        <cfvo type="num" val="1"/>
        <color theme="4" tint="0.79998168889431442"/>
      </dataBar>
      <extLst>
        <ext xmlns:x14="http://schemas.microsoft.com/office/spreadsheetml/2009/9/main" uri="{B025F937-C7B1-47D3-B67F-A62EFF666E3E}">
          <x14:id>{C41EE22D-9C92-4870-B3FA-F636B2A84153}</x14:id>
        </ext>
      </extLst>
    </cfRule>
  </conditionalFormatting>
  <conditionalFormatting sqref="BK121 BK123">
    <cfRule type="iconSet" priority="390">
      <iconSet iconSet="3Arrows">
        <cfvo type="percent" val="0"/>
        <cfvo type="num" val="0.7"/>
        <cfvo type="num" val="1"/>
      </iconSet>
    </cfRule>
    <cfRule type="dataBar" priority="391">
      <dataBar>
        <cfvo type="num" val="0"/>
        <cfvo type="num" val="1"/>
        <color theme="4" tint="0.79998168889431442"/>
      </dataBar>
      <extLst>
        <ext xmlns:x14="http://schemas.microsoft.com/office/spreadsheetml/2009/9/main" uri="{B025F937-C7B1-47D3-B67F-A62EFF666E3E}">
          <x14:id>{494B9E5D-F248-4503-AF56-D0E79277B101}</x14:id>
        </ext>
      </extLst>
    </cfRule>
  </conditionalFormatting>
  <conditionalFormatting sqref="BK125">
    <cfRule type="iconSet" priority="392">
      <iconSet iconSet="3Arrows">
        <cfvo type="percent" val="0"/>
        <cfvo type="num" val="0.7"/>
        <cfvo type="num" val="1"/>
      </iconSet>
    </cfRule>
    <cfRule type="dataBar" priority="393">
      <dataBar>
        <cfvo type="num" val="0"/>
        <cfvo type="num" val="1"/>
        <color theme="4" tint="0.79998168889431442"/>
      </dataBar>
      <extLst>
        <ext xmlns:x14="http://schemas.microsoft.com/office/spreadsheetml/2009/9/main" uri="{B025F937-C7B1-47D3-B67F-A62EFF666E3E}">
          <x14:id>{79F941E9-D54C-43C9-BD39-4E46158E3FFF}</x14:id>
        </ext>
      </extLst>
    </cfRule>
  </conditionalFormatting>
  <conditionalFormatting sqref="BK127">
    <cfRule type="iconSet" priority="394">
      <iconSet iconSet="3Arrows">
        <cfvo type="percent" val="0"/>
        <cfvo type="num" val="0.7"/>
        <cfvo type="num" val="1"/>
      </iconSet>
    </cfRule>
    <cfRule type="dataBar" priority="395">
      <dataBar>
        <cfvo type="num" val="0"/>
        <cfvo type="num" val="1"/>
        <color theme="4" tint="0.79998168889431442"/>
      </dataBar>
      <extLst>
        <ext xmlns:x14="http://schemas.microsoft.com/office/spreadsheetml/2009/9/main" uri="{B025F937-C7B1-47D3-B67F-A62EFF666E3E}">
          <x14:id>{43AB08CA-D78B-4C6C-8C34-F38CBF230E96}</x14:id>
        </ext>
      </extLst>
    </cfRule>
  </conditionalFormatting>
  <conditionalFormatting sqref="BK129">
    <cfRule type="iconSet" priority="396">
      <iconSet iconSet="3Arrows">
        <cfvo type="percent" val="0"/>
        <cfvo type="num" val="0.7"/>
        <cfvo type="num" val="1"/>
      </iconSet>
    </cfRule>
    <cfRule type="dataBar" priority="397">
      <dataBar>
        <cfvo type="num" val="0"/>
        <cfvo type="num" val="1"/>
        <color theme="4" tint="0.79998168889431442"/>
      </dataBar>
      <extLst>
        <ext xmlns:x14="http://schemas.microsoft.com/office/spreadsheetml/2009/9/main" uri="{B025F937-C7B1-47D3-B67F-A62EFF666E3E}">
          <x14:id>{D8F90267-980A-46C4-95F7-2362C0D50CE0}</x14:id>
        </ext>
      </extLst>
    </cfRule>
  </conditionalFormatting>
  <conditionalFormatting sqref="BP9">
    <cfRule type="iconSet" priority="312">
      <iconSet iconSet="3Arrows">
        <cfvo type="percent" val="0"/>
        <cfvo type="num" val="0.7"/>
        <cfvo type="num" val="1"/>
      </iconSet>
    </cfRule>
    <cfRule type="dataBar" priority="313">
      <dataBar>
        <cfvo type="num" val="0"/>
        <cfvo type="num" val="1"/>
        <color theme="4" tint="0.79998168889431442"/>
      </dataBar>
      <extLst>
        <ext xmlns:x14="http://schemas.microsoft.com/office/spreadsheetml/2009/9/main" uri="{B025F937-C7B1-47D3-B67F-A62EFF666E3E}">
          <x14:id>{C89EA86C-CCCC-4038-8AA0-49E3B636780D}</x14:id>
        </ext>
      </extLst>
    </cfRule>
  </conditionalFormatting>
  <conditionalFormatting sqref="BP13 BP15 BP17 BP19 BP21">
    <cfRule type="iconSet" priority="317">
      <iconSet iconSet="3Arrows">
        <cfvo type="percent" val="0"/>
        <cfvo type="num" val="0.7"/>
        <cfvo type="num" val="1"/>
      </iconSet>
    </cfRule>
    <cfRule type="dataBar" priority="318">
      <dataBar>
        <cfvo type="num" val="0"/>
        <cfvo type="num" val="1"/>
        <color theme="4" tint="0.79998168889431442"/>
      </dataBar>
      <extLst>
        <ext xmlns:x14="http://schemas.microsoft.com/office/spreadsheetml/2009/9/main" uri="{B025F937-C7B1-47D3-B67F-A62EFF666E3E}">
          <x14:id>{07B18421-8634-495D-A5C9-50CD210A5652}</x14:id>
        </ext>
      </extLst>
    </cfRule>
  </conditionalFormatting>
  <conditionalFormatting sqref="BP25">
    <cfRule type="iconSet" priority="185">
      <iconSet iconSet="3Arrows">
        <cfvo type="percent" val="0"/>
        <cfvo type="num" val="0.7"/>
        <cfvo type="num" val="1"/>
      </iconSet>
    </cfRule>
    <cfRule type="dataBar" priority="186">
      <dataBar>
        <cfvo type="num" val="0"/>
        <cfvo type="num" val="1"/>
        <color theme="4" tint="0.79998168889431442"/>
      </dataBar>
      <extLst>
        <ext xmlns:x14="http://schemas.microsoft.com/office/spreadsheetml/2009/9/main" uri="{B025F937-C7B1-47D3-B67F-A62EFF666E3E}">
          <x14:id>{A8C9941E-C5B7-4964-8798-C144FAE3A9A6}</x14:id>
        </ext>
      </extLst>
    </cfRule>
  </conditionalFormatting>
  <conditionalFormatting sqref="BP29 BP31">
    <cfRule type="iconSet" priority="180">
      <iconSet iconSet="3Arrows">
        <cfvo type="percent" val="0"/>
        <cfvo type="num" val="0.7"/>
        <cfvo type="num" val="1"/>
      </iconSet>
    </cfRule>
    <cfRule type="dataBar" priority="181">
      <dataBar>
        <cfvo type="num" val="0"/>
        <cfvo type="num" val="1"/>
        <color theme="4" tint="0.79998168889431442"/>
      </dataBar>
      <extLst>
        <ext xmlns:x14="http://schemas.microsoft.com/office/spreadsheetml/2009/9/main" uri="{B025F937-C7B1-47D3-B67F-A62EFF666E3E}">
          <x14:id>{49BFCBE1-1983-43F8-A580-CD9E812CB36D}</x14:id>
        </ext>
      </extLst>
    </cfRule>
  </conditionalFormatting>
  <conditionalFormatting sqref="BP33">
    <cfRule type="iconSet" priority="175">
      <iconSet iconSet="3Arrows">
        <cfvo type="percent" val="0"/>
        <cfvo type="num" val="0.7"/>
        <cfvo type="num" val="1"/>
      </iconSet>
    </cfRule>
    <cfRule type="dataBar" priority="176">
      <dataBar>
        <cfvo type="num" val="0"/>
        <cfvo type="num" val="1"/>
        <color theme="4" tint="0.79998168889431442"/>
      </dataBar>
      <extLst>
        <ext xmlns:x14="http://schemas.microsoft.com/office/spreadsheetml/2009/9/main" uri="{B025F937-C7B1-47D3-B67F-A62EFF666E3E}">
          <x14:id>{B4F77A41-71EA-4A59-9DD5-CE9B16CDE067}</x14:id>
        </ext>
      </extLst>
    </cfRule>
  </conditionalFormatting>
  <conditionalFormatting sqref="BP35">
    <cfRule type="iconSet" priority="171">
      <iconSet iconSet="3Arrows">
        <cfvo type="percent" val="0"/>
        <cfvo type="num" val="0.7"/>
        <cfvo type="num" val="1"/>
      </iconSet>
    </cfRule>
    <cfRule type="dataBar" priority="172">
      <dataBar>
        <cfvo type="num" val="0"/>
        <cfvo type="num" val="1"/>
        <color theme="4" tint="0.79998168889431442"/>
      </dataBar>
      <extLst>
        <ext xmlns:x14="http://schemas.microsoft.com/office/spreadsheetml/2009/9/main" uri="{B025F937-C7B1-47D3-B67F-A62EFF666E3E}">
          <x14:id>{0E5694EA-A24F-42CD-B338-F00DEE02102B}</x14:id>
        </ext>
      </extLst>
    </cfRule>
  </conditionalFormatting>
  <conditionalFormatting sqref="BP37">
    <cfRule type="iconSet" priority="167">
      <iconSet iconSet="3Arrows">
        <cfvo type="percent" val="0"/>
        <cfvo type="num" val="0.7"/>
        <cfvo type="num" val="1"/>
      </iconSet>
    </cfRule>
    <cfRule type="dataBar" priority="168">
      <dataBar>
        <cfvo type="num" val="0"/>
        <cfvo type="num" val="1"/>
        <color theme="4" tint="0.79998168889431442"/>
      </dataBar>
      <extLst>
        <ext xmlns:x14="http://schemas.microsoft.com/office/spreadsheetml/2009/9/main" uri="{B025F937-C7B1-47D3-B67F-A62EFF666E3E}">
          <x14:id>{84BF53F0-C743-4EAF-A06B-C13C197AB186}</x14:id>
        </ext>
      </extLst>
    </cfRule>
  </conditionalFormatting>
  <conditionalFormatting sqref="BP41">
    <cfRule type="iconSet" priority="307">
      <iconSet iconSet="3Arrows">
        <cfvo type="percent" val="0"/>
        <cfvo type="num" val="0.7"/>
        <cfvo type="num" val="1"/>
      </iconSet>
    </cfRule>
    <cfRule type="dataBar" priority="308">
      <dataBar>
        <cfvo type="num" val="0"/>
        <cfvo type="num" val="1"/>
        <color theme="4" tint="0.79998168889431442"/>
      </dataBar>
      <extLst>
        <ext xmlns:x14="http://schemas.microsoft.com/office/spreadsheetml/2009/9/main" uri="{B025F937-C7B1-47D3-B67F-A62EFF666E3E}">
          <x14:id>{7DB6C36B-2BDF-4D74-9567-303F0CECEBAF}</x14:id>
        </ext>
      </extLst>
    </cfRule>
  </conditionalFormatting>
  <conditionalFormatting sqref="BP45 BP47">
    <cfRule type="iconSet" priority="295">
      <iconSet iconSet="3Arrows">
        <cfvo type="percent" val="0"/>
        <cfvo type="num" val="0.7"/>
        <cfvo type="num" val="1"/>
      </iconSet>
    </cfRule>
    <cfRule type="dataBar" priority="296">
      <dataBar>
        <cfvo type="num" val="0"/>
        <cfvo type="num" val="1"/>
        <color theme="4" tint="0.79998168889431442"/>
      </dataBar>
      <extLst>
        <ext xmlns:x14="http://schemas.microsoft.com/office/spreadsheetml/2009/9/main" uri="{B025F937-C7B1-47D3-B67F-A62EFF666E3E}">
          <x14:id>{4A7608E9-172F-487C-92B1-D055334BE640}</x14:id>
        </ext>
      </extLst>
    </cfRule>
  </conditionalFormatting>
  <conditionalFormatting sqref="BP49">
    <cfRule type="iconSet" priority="290">
      <iconSet iconSet="3Arrows">
        <cfvo type="percent" val="0"/>
        <cfvo type="num" val="0.7"/>
        <cfvo type="num" val="1"/>
      </iconSet>
    </cfRule>
    <cfRule type="dataBar" priority="291">
      <dataBar>
        <cfvo type="num" val="0"/>
        <cfvo type="num" val="1"/>
        <color theme="4" tint="0.79998168889431442"/>
      </dataBar>
      <extLst>
        <ext xmlns:x14="http://schemas.microsoft.com/office/spreadsheetml/2009/9/main" uri="{B025F937-C7B1-47D3-B67F-A62EFF666E3E}">
          <x14:id>{2F672535-D488-443C-87C8-4A23253EADD2}</x14:id>
        </ext>
      </extLst>
    </cfRule>
  </conditionalFormatting>
  <conditionalFormatting sqref="BP51">
    <cfRule type="iconSet" priority="286">
      <iconSet iconSet="3Arrows">
        <cfvo type="percent" val="0"/>
        <cfvo type="num" val="0.7"/>
        <cfvo type="num" val="1"/>
      </iconSet>
    </cfRule>
    <cfRule type="dataBar" priority="287">
      <dataBar>
        <cfvo type="num" val="0"/>
        <cfvo type="num" val="1"/>
        <color theme="4" tint="0.79998168889431442"/>
      </dataBar>
      <extLst>
        <ext xmlns:x14="http://schemas.microsoft.com/office/spreadsheetml/2009/9/main" uri="{B025F937-C7B1-47D3-B67F-A62EFF666E3E}">
          <x14:id>{2F23F50F-C6E9-4DE3-9000-0BBEB428B693}</x14:id>
        </ext>
      </extLst>
    </cfRule>
  </conditionalFormatting>
  <conditionalFormatting sqref="BP53">
    <cfRule type="iconSet" priority="282">
      <iconSet iconSet="3Arrows">
        <cfvo type="percent" val="0"/>
        <cfvo type="num" val="0.7"/>
        <cfvo type="num" val="1"/>
      </iconSet>
    </cfRule>
    <cfRule type="dataBar" priority="283">
      <dataBar>
        <cfvo type="num" val="0"/>
        <cfvo type="num" val="1"/>
        <color theme="4" tint="0.79998168889431442"/>
      </dataBar>
      <extLst>
        <ext xmlns:x14="http://schemas.microsoft.com/office/spreadsheetml/2009/9/main" uri="{B025F937-C7B1-47D3-B67F-A62EFF666E3E}">
          <x14:id>{1DB057AF-1AB2-4BAB-85C5-70BDDB2C13C7}</x14:id>
        </ext>
      </extLst>
    </cfRule>
  </conditionalFormatting>
  <conditionalFormatting sqref="BP57">
    <cfRule type="iconSet" priority="258">
      <iconSet iconSet="3Arrows">
        <cfvo type="percent" val="0"/>
        <cfvo type="num" val="0.7"/>
        <cfvo type="num" val="1"/>
      </iconSet>
    </cfRule>
    <cfRule type="dataBar" priority="259">
      <dataBar>
        <cfvo type="num" val="0"/>
        <cfvo type="num" val="1"/>
        <color theme="4" tint="0.79998168889431442"/>
      </dataBar>
      <extLst>
        <ext xmlns:x14="http://schemas.microsoft.com/office/spreadsheetml/2009/9/main" uri="{B025F937-C7B1-47D3-B67F-A62EFF666E3E}">
          <x14:id>{6BDCD234-BA67-42CC-AEE9-1BA2BA8E8E78}</x14:id>
        </ext>
      </extLst>
    </cfRule>
  </conditionalFormatting>
  <conditionalFormatting sqref="BP61 BP63">
    <cfRule type="iconSet" priority="263">
      <iconSet iconSet="3Arrows">
        <cfvo type="percent" val="0"/>
        <cfvo type="num" val="0.7"/>
        <cfvo type="num" val="1"/>
      </iconSet>
    </cfRule>
    <cfRule type="dataBar" priority="264">
      <dataBar>
        <cfvo type="num" val="0"/>
        <cfvo type="num" val="1"/>
        <color theme="4" tint="0.79998168889431442"/>
      </dataBar>
      <extLst>
        <ext xmlns:x14="http://schemas.microsoft.com/office/spreadsheetml/2009/9/main" uri="{B025F937-C7B1-47D3-B67F-A62EFF666E3E}">
          <x14:id>{C1D0DE7F-9C5E-4214-855A-5BCC16EBA733}</x14:id>
        </ext>
      </extLst>
    </cfRule>
  </conditionalFormatting>
  <conditionalFormatting sqref="BP65 BP67 BP69">
    <cfRule type="iconSet" priority="255">
      <iconSet iconSet="3Arrows">
        <cfvo type="percent" val="0"/>
        <cfvo type="num" val="0.7"/>
        <cfvo type="num" val="1"/>
      </iconSet>
    </cfRule>
    <cfRule type="dataBar" priority="256">
      <dataBar>
        <cfvo type="num" val="0"/>
        <cfvo type="num" val="1"/>
        <color theme="4" tint="0.79998168889431442"/>
      </dataBar>
      <extLst>
        <ext xmlns:x14="http://schemas.microsoft.com/office/spreadsheetml/2009/9/main" uri="{B025F937-C7B1-47D3-B67F-A62EFF666E3E}">
          <x14:id>{9BB59C03-9A7F-45D8-9381-B040BF8F5C03}</x14:id>
        </ext>
      </extLst>
    </cfRule>
  </conditionalFormatting>
  <conditionalFormatting sqref="BP74">
    <cfRule type="iconSet" priority="304">
      <iconSet iconSet="3Arrows">
        <cfvo type="percent" val="0"/>
        <cfvo type="num" val="0.7"/>
        <cfvo type="num" val="1"/>
      </iconSet>
    </cfRule>
    <cfRule type="dataBar" priority="305">
      <dataBar>
        <cfvo type="num" val="0"/>
        <cfvo type="num" val="1"/>
        <color theme="4" tint="0.79998168889431442"/>
      </dataBar>
      <extLst>
        <ext xmlns:x14="http://schemas.microsoft.com/office/spreadsheetml/2009/9/main" uri="{B025F937-C7B1-47D3-B67F-A62EFF666E3E}">
          <x14:id>{D8A951DE-4387-4B7F-800E-A88910EAE4AC}</x14:id>
        </ext>
      </extLst>
    </cfRule>
  </conditionalFormatting>
  <conditionalFormatting sqref="BP80 BP78">
    <cfRule type="iconSet" priority="278">
      <iconSet iconSet="3Arrows">
        <cfvo type="percent" val="0"/>
        <cfvo type="num" val="0.7"/>
        <cfvo type="num" val="1"/>
      </iconSet>
    </cfRule>
    <cfRule type="dataBar" priority="279">
      <dataBar>
        <cfvo type="num" val="0"/>
        <cfvo type="num" val="1"/>
        <color theme="4" tint="0.79998168889431442"/>
      </dataBar>
      <extLst>
        <ext xmlns:x14="http://schemas.microsoft.com/office/spreadsheetml/2009/9/main" uri="{B025F937-C7B1-47D3-B67F-A62EFF666E3E}">
          <x14:id>{BF21EC37-C210-4326-A316-366950588669}</x14:id>
        </ext>
      </extLst>
    </cfRule>
  </conditionalFormatting>
  <conditionalFormatting sqref="BP82">
    <cfRule type="iconSet" priority="273">
      <iconSet iconSet="3Arrows">
        <cfvo type="percent" val="0"/>
        <cfvo type="num" val="0.7"/>
        <cfvo type="num" val="1"/>
      </iconSet>
    </cfRule>
    <cfRule type="dataBar" priority="274">
      <dataBar>
        <cfvo type="num" val="0"/>
        <cfvo type="num" val="1"/>
        <color theme="4" tint="0.79998168889431442"/>
      </dataBar>
      <extLst>
        <ext xmlns:x14="http://schemas.microsoft.com/office/spreadsheetml/2009/9/main" uri="{B025F937-C7B1-47D3-B67F-A62EFF666E3E}">
          <x14:id>{F07F9C4A-28E4-4442-A539-9A903C46F94F}</x14:id>
        </ext>
      </extLst>
    </cfRule>
  </conditionalFormatting>
  <conditionalFormatting sqref="BP84">
    <cfRule type="iconSet" priority="269">
      <iconSet iconSet="3Arrows">
        <cfvo type="percent" val="0"/>
        <cfvo type="num" val="0.7"/>
        <cfvo type="num" val="1"/>
      </iconSet>
    </cfRule>
    <cfRule type="dataBar" priority="270">
      <dataBar>
        <cfvo type="num" val="0"/>
        <cfvo type="num" val="1"/>
        <color theme="4" tint="0.79998168889431442"/>
      </dataBar>
      <extLst>
        <ext xmlns:x14="http://schemas.microsoft.com/office/spreadsheetml/2009/9/main" uri="{B025F937-C7B1-47D3-B67F-A62EFF666E3E}">
          <x14:id>{A870BDDA-955F-430E-B159-AC33C1B51D3B}</x14:id>
        </ext>
      </extLst>
    </cfRule>
  </conditionalFormatting>
  <conditionalFormatting sqref="BP86">
    <cfRule type="iconSet" priority="156">
      <iconSet iconSet="3Arrows">
        <cfvo type="percent" val="0"/>
        <cfvo type="num" val="0.7"/>
        <cfvo type="num" val="1"/>
      </iconSet>
    </cfRule>
    <cfRule type="dataBar" priority="157">
      <dataBar>
        <cfvo type="num" val="0"/>
        <cfvo type="num" val="1"/>
        <color theme="4" tint="0.79998168889431442"/>
      </dataBar>
      <extLst>
        <ext xmlns:x14="http://schemas.microsoft.com/office/spreadsheetml/2009/9/main" uri="{B025F937-C7B1-47D3-B67F-A62EFF666E3E}">
          <x14:id>{A34D35D3-AB6C-42F6-AAEA-9EBB43E72101}</x14:id>
        </ext>
      </extLst>
    </cfRule>
  </conditionalFormatting>
  <conditionalFormatting sqref="BP90">
    <cfRule type="iconSet" priority="241">
      <iconSet iconSet="3Arrows">
        <cfvo type="percent" val="0"/>
        <cfvo type="num" val="0.7"/>
        <cfvo type="num" val="1"/>
      </iconSet>
    </cfRule>
    <cfRule type="dataBar" priority="242">
      <dataBar>
        <cfvo type="num" val="0"/>
        <cfvo type="num" val="1"/>
        <color theme="4" tint="0.79998168889431442"/>
      </dataBar>
      <extLst>
        <ext xmlns:x14="http://schemas.microsoft.com/office/spreadsheetml/2009/9/main" uri="{B025F937-C7B1-47D3-B67F-A62EFF666E3E}">
          <x14:id>{F47F7F30-DCD4-4236-96EA-421CDEF46E64}</x14:id>
        </ext>
      </extLst>
    </cfRule>
  </conditionalFormatting>
  <conditionalFormatting sqref="BP94 BP96">
    <cfRule type="iconSet" priority="246">
      <iconSet iconSet="3Arrows">
        <cfvo type="percent" val="0"/>
        <cfvo type="num" val="0.7"/>
        <cfvo type="num" val="1"/>
      </iconSet>
    </cfRule>
    <cfRule type="dataBar" priority="247">
      <dataBar>
        <cfvo type="num" val="0"/>
        <cfvo type="num" val="1"/>
        <color theme="4" tint="0.79998168889431442"/>
      </dataBar>
      <extLst>
        <ext xmlns:x14="http://schemas.microsoft.com/office/spreadsheetml/2009/9/main" uri="{B025F937-C7B1-47D3-B67F-A62EFF666E3E}">
          <x14:id>{99D7DBCF-FCCD-4509-8643-A6D3E889DD8A}</x14:id>
        </ext>
      </extLst>
    </cfRule>
  </conditionalFormatting>
  <conditionalFormatting sqref="BP98">
    <cfRule type="iconSet" priority="238">
      <iconSet iconSet="3Arrows">
        <cfvo type="percent" val="0"/>
        <cfvo type="num" val="0.7"/>
        <cfvo type="num" val="1"/>
      </iconSet>
    </cfRule>
    <cfRule type="dataBar" priority="239">
      <dataBar>
        <cfvo type="num" val="0"/>
        <cfvo type="num" val="1"/>
        <color theme="4" tint="0.79998168889431442"/>
      </dataBar>
      <extLst>
        <ext xmlns:x14="http://schemas.microsoft.com/office/spreadsheetml/2009/9/main" uri="{B025F937-C7B1-47D3-B67F-A62EFF666E3E}">
          <x14:id>{232E8019-1372-4477-A43C-30DFE230B434}</x14:id>
        </ext>
      </extLst>
    </cfRule>
  </conditionalFormatting>
  <conditionalFormatting sqref="BP100">
    <cfRule type="iconSet" priority="233">
      <iconSet iconSet="3Arrows">
        <cfvo type="percent" val="0"/>
        <cfvo type="num" val="0.7"/>
        <cfvo type="num" val="1"/>
      </iconSet>
    </cfRule>
    <cfRule type="dataBar" priority="234">
      <dataBar>
        <cfvo type="num" val="0"/>
        <cfvo type="num" val="1"/>
        <color theme="4" tint="0.79998168889431442"/>
      </dataBar>
      <extLst>
        <ext xmlns:x14="http://schemas.microsoft.com/office/spreadsheetml/2009/9/main" uri="{B025F937-C7B1-47D3-B67F-A62EFF666E3E}">
          <x14:id>{887BD93E-D3CD-4127-8BC7-06BBB3070235}</x14:id>
        </ext>
      </extLst>
    </cfRule>
  </conditionalFormatting>
  <conditionalFormatting sqref="BP102">
    <cfRule type="iconSet" priority="229">
      <iconSet iconSet="3Arrows">
        <cfvo type="percent" val="0"/>
        <cfvo type="num" val="0.7"/>
        <cfvo type="num" val="1"/>
      </iconSet>
    </cfRule>
    <cfRule type="dataBar" priority="230">
      <dataBar>
        <cfvo type="num" val="0"/>
        <cfvo type="num" val="1"/>
        <color theme="4" tint="0.79998168889431442"/>
      </dataBar>
      <extLst>
        <ext xmlns:x14="http://schemas.microsoft.com/office/spreadsheetml/2009/9/main" uri="{B025F937-C7B1-47D3-B67F-A62EFF666E3E}">
          <x14:id>{7C3693E9-CE1B-46B9-8AC2-6477E1FDA040}</x14:id>
        </ext>
      </extLst>
    </cfRule>
  </conditionalFormatting>
  <conditionalFormatting sqref="BP106">
    <cfRule type="iconSet" priority="220">
      <iconSet iconSet="3Arrows">
        <cfvo type="percent" val="0"/>
        <cfvo type="num" val="0.7"/>
        <cfvo type="num" val="1"/>
      </iconSet>
    </cfRule>
    <cfRule type="dataBar" priority="221">
      <dataBar>
        <cfvo type="num" val="0"/>
        <cfvo type="num" val="1"/>
        <color theme="4" tint="0.79998168889431442"/>
      </dataBar>
      <extLst>
        <ext xmlns:x14="http://schemas.microsoft.com/office/spreadsheetml/2009/9/main" uri="{B025F937-C7B1-47D3-B67F-A62EFF666E3E}">
          <x14:id>{4F8CAB09-FE39-47AC-9D99-7EA66381B3DD}</x14:id>
        </ext>
      </extLst>
    </cfRule>
  </conditionalFormatting>
  <conditionalFormatting sqref="BP110 BP112">
    <cfRule type="iconSet" priority="225">
      <iconSet iconSet="3Arrows">
        <cfvo type="percent" val="0"/>
        <cfvo type="num" val="0.7"/>
        <cfvo type="num" val="1"/>
      </iconSet>
    </cfRule>
    <cfRule type="dataBar" priority="226">
      <dataBar>
        <cfvo type="num" val="0"/>
        <cfvo type="num" val="1"/>
        <color theme="4" tint="0.79998168889431442"/>
      </dataBar>
      <extLst>
        <ext xmlns:x14="http://schemas.microsoft.com/office/spreadsheetml/2009/9/main" uri="{B025F937-C7B1-47D3-B67F-A62EFF666E3E}">
          <x14:id>{0D635EF2-D3CC-45E6-B4BC-6E516BAF3167}</x14:id>
        </ext>
      </extLst>
    </cfRule>
  </conditionalFormatting>
  <conditionalFormatting sqref="BP114">
    <cfRule type="iconSet" priority="217">
      <iconSet iconSet="3Arrows">
        <cfvo type="percent" val="0"/>
        <cfvo type="num" val="0.7"/>
        <cfvo type="num" val="1"/>
      </iconSet>
    </cfRule>
    <cfRule type="dataBar" priority="218">
      <dataBar>
        <cfvo type="num" val="0"/>
        <cfvo type="num" val="1"/>
        <color theme="4" tint="0.79998168889431442"/>
      </dataBar>
      <extLst>
        <ext xmlns:x14="http://schemas.microsoft.com/office/spreadsheetml/2009/9/main" uri="{B025F937-C7B1-47D3-B67F-A62EFF666E3E}">
          <x14:id>{09A44833-91C0-49E8-B7E1-143EE86ED87D}</x14:id>
        </ext>
      </extLst>
    </cfRule>
  </conditionalFormatting>
  <conditionalFormatting sqref="BP116">
    <cfRule type="iconSet" priority="212">
      <iconSet iconSet="3Arrows">
        <cfvo type="percent" val="0"/>
        <cfvo type="num" val="0.7"/>
        <cfvo type="num" val="1"/>
      </iconSet>
    </cfRule>
    <cfRule type="dataBar" priority="213">
      <dataBar>
        <cfvo type="num" val="0"/>
        <cfvo type="num" val="1"/>
        <color theme="4" tint="0.79998168889431442"/>
      </dataBar>
      <extLst>
        <ext xmlns:x14="http://schemas.microsoft.com/office/spreadsheetml/2009/9/main" uri="{B025F937-C7B1-47D3-B67F-A62EFF666E3E}">
          <x14:id>{5DD20F0C-115F-4D5B-9D72-10E61069A5E9}</x14:id>
        </ext>
      </extLst>
    </cfRule>
  </conditionalFormatting>
  <conditionalFormatting sqref="BP118">
    <cfRule type="iconSet" priority="208">
      <iconSet iconSet="3Arrows">
        <cfvo type="percent" val="0"/>
        <cfvo type="num" val="0.7"/>
        <cfvo type="num" val="1"/>
      </iconSet>
    </cfRule>
    <cfRule type="dataBar" priority="209">
      <dataBar>
        <cfvo type="num" val="0"/>
        <cfvo type="num" val="1"/>
        <color theme="4" tint="0.79998168889431442"/>
      </dataBar>
      <extLst>
        <ext xmlns:x14="http://schemas.microsoft.com/office/spreadsheetml/2009/9/main" uri="{B025F937-C7B1-47D3-B67F-A62EFF666E3E}">
          <x14:id>{E97135BF-1092-418D-8425-A648DD60ECBF}</x14:id>
        </ext>
      </extLst>
    </cfRule>
  </conditionalFormatting>
  <conditionalFormatting sqref="BP123 BP121">
    <cfRule type="iconSet" priority="203">
      <iconSet iconSet="3Arrows">
        <cfvo type="percent" val="0"/>
        <cfvo type="num" val="0.7"/>
        <cfvo type="num" val="1"/>
      </iconSet>
    </cfRule>
    <cfRule type="dataBar" priority="204">
      <dataBar>
        <cfvo type="num" val="0"/>
        <cfvo type="num" val="1"/>
        <color theme="4" tint="0.79998168889431442"/>
      </dataBar>
      <extLst>
        <ext xmlns:x14="http://schemas.microsoft.com/office/spreadsheetml/2009/9/main" uri="{B025F937-C7B1-47D3-B67F-A62EFF666E3E}">
          <x14:id>{9AE9780B-129F-422F-B4DF-75841FF23218}</x14:id>
        </ext>
      </extLst>
    </cfRule>
  </conditionalFormatting>
  <conditionalFormatting sqref="BP125">
    <cfRule type="iconSet" priority="198">
      <iconSet iconSet="3Arrows">
        <cfvo type="percent" val="0"/>
        <cfvo type="num" val="0.7"/>
        <cfvo type="num" val="1"/>
      </iconSet>
    </cfRule>
    <cfRule type="dataBar" priority="199">
      <dataBar>
        <cfvo type="num" val="0"/>
        <cfvo type="num" val="1"/>
        <color theme="4" tint="0.79998168889431442"/>
      </dataBar>
      <extLst>
        <ext xmlns:x14="http://schemas.microsoft.com/office/spreadsheetml/2009/9/main" uri="{B025F937-C7B1-47D3-B67F-A62EFF666E3E}">
          <x14:id>{4FE0791D-E8CC-417A-B2BD-14DC693EC311}</x14:id>
        </ext>
      </extLst>
    </cfRule>
  </conditionalFormatting>
  <conditionalFormatting sqref="BP127">
    <cfRule type="iconSet" priority="190">
      <iconSet iconSet="3Arrows">
        <cfvo type="percent" val="0"/>
        <cfvo type="num" val="0.7"/>
        <cfvo type="num" val="1"/>
      </iconSet>
    </cfRule>
    <cfRule type="dataBar" priority="191">
      <dataBar>
        <cfvo type="num" val="0"/>
        <cfvo type="num" val="1"/>
        <color theme="4" tint="0.79998168889431442"/>
      </dataBar>
      <extLst>
        <ext xmlns:x14="http://schemas.microsoft.com/office/spreadsheetml/2009/9/main" uri="{B025F937-C7B1-47D3-B67F-A62EFF666E3E}">
          <x14:id>{16A7B0EC-C9A4-4DB3-B263-EEAB04A057BC}</x14:id>
        </ext>
      </extLst>
    </cfRule>
  </conditionalFormatting>
  <conditionalFormatting sqref="BP129">
    <cfRule type="iconSet" priority="163">
      <iconSet iconSet="3Arrows">
        <cfvo type="percent" val="0"/>
        <cfvo type="num" val="0.7"/>
        <cfvo type="num" val="1"/>
      </iconSet>
    </cfRule>
    <cfRule type="dataBar" priority="164">
      <dataBar>
        <cfvo type="num" val="0"/>
        <cfvo type="num" val="1"/>
        <color theme="4" tint="0.79998168889431442"/>
      </dataBar>
      <extLst>
        <ext xmlns:x14="http://schemas.microsoft.com/office/spreadsheetml/2009/9/main" uri="{B025F937-C7B1-47D3-B67F-A62EFF666E3E}">
          <x14:id>{A15DFB0B-7C56-40CD-906E-F7EE054DC721}</x14:id>
        </ext>
      </extLst>
    </cfRule>
  </conditionalFormatting>
  <conditionalFormatting sqref="BT9">
    <cfRule type="iconSet" priority="314">
      <iconSet iconSet="3Signs">
        <cfvo type="percent" val="0"/>
        <cfvo type="num" val="0.75"/>
        <cfvo type="num" val="1"/>
      </iconSet>
    </cfRule>
  </conditionalFormatting>
  <conditionalFormatting sqref="BT13 BT15">
    <cfRule type="iconSet" priority="319">
      <iconSet iconSet="3Signs">
        <cfvo type="percent" val="0"/>
        <cfvo type="num" val="0.75"/>
        <cfvo type="num" val="1"/>
      </iconSet>
    </cfRule>
  </conditionalFormatting>
  <conditionalFormatting sqref="BT17">
    <cfRule type="iconSet" priority="311">
      <iconSet iconSet="3Signs">
        <cfvo type="percent" val="0"/>
        <cfvo type="num" val="0.75"/>
        <cfvo type="num" val="1"/>
      </iconSet>
    </cfRule>
  </conditionalFormatting>
  <conditionalFormatting sqref="BT19">
    <cfRule type="iconSet" priority="301">
      <iconSet iconSet="3Signs">
        <cfvo type="percent" val="0"/>
        <cfvo type="num" val="0.75"/>
        <cfvo type="num" val="1"/>
      </iconSet>
    </cfRule>
  </conditionalFormatting>
  <conditionalFormatting sqref="BT21">
    <cfRule type="iconSet" priority="299">
      <iconSet iconSet="3Signs">
        <cfvo type="percent" val="0"/>
        <cfvo type="num" val="0.75"/>
        <cfvo type="num" val="1"/>
      </iconSet>
    </cfRule>
  </conditionalFormatting>
  <conditionalFormatting sqref="BT25">
    <cfRule type="iconSet" priority="183">
      <iconSet iconSet="3Signs">
        <cfvo type="percent" val="0"/>
        <cfvo type="num" val="0.75"/>
        <cfvo type="num" val="1"/>
      </iconSet>
    </cfRule>
  </conditionalFormatting>
  <conditionalFormatting sqref="BT29 BT31">
    <cfRule type="iconSet" priority="182">
      <iconSet iconSet="3Signs">
        <cfvo type="percent" val="0"/>
        <cfvo type="num" val="0.75"/>
        <cfvo type="num" val="1"/>
      </iconSet>
    </cfRule>
  </conditionalFormatting>
  <conditionalFormatting sqref="BT33">
    <cfRule type="iconSet" priority="177">
      <iconSet iconSet="3Signs">
        <cfvo type="percent" val="0"/>
        <cfvo type="num" val="0.75"/>
        <cfvo type="num" val="1"/>
      </iconSet>
    </cfRule>
  </conditionalFormatting>
  <conditionalFormatting sqref="BT35">
    <cfRule type="iconSet" priority="173">
      <iconSet iconSet="3Signs">
        <cfvo type="percent" val="0"/>
        <cfvo type="num" val="0.75"/>
        <cfvo type="num" val="1"/>
      </iconSet>
    </cfRule>
  </conditionalFormatting>
  <conditionalFormatting sqref="BT37">
    <cfRule type="iconSet" priority="169">
      <iconSet iconSet="3Signs">
        <cfvo type="percent" val="0"/>
        <cfvo type="num" val="0.75"/>
        <cfvo type="num" val="1"/>
      </iconSet>
    </cfRule>
  </conditionalFormatting>
  <conditionalFormatting sqref="BT41">
    <cfRule type="iconSet" priority="165">
      <iconSet iconSet="3Signs">
        <cfvo type="percent" val="0"/>
        <cfvo type="num" val="0.75"/>
        <cfvo type="num" val="1"/>
      </iconSet>
    </cfRule>
  </conditionalFormatting>
  <conditionalFormatting sqref="BT45 BT47">
    <cfRule type="iconSet" priority="297">
      <iconSet iconSet="3Signs">
        <cfvo type="percent" val="0"/>
        <cfvo type="num" val="0.75"/>
        <cfvo type="num" val="1"/>
      </iconSet>
    </cfRule>
  </conditionalFormatting>
  <conditionalFormatting sqref="BT49">
    <cfRule type="iconSet" priority="292">
      <iconSet iconSet="3Signs">
        <cfvo type="percent" val="0"/>
        <cfvo type="num" val="0.75"/>
        <cfvo type="num" val="1"/>
      </iconSet>
    </cfRule>
  </conditionalFormatting>
  <conditionalFormatting sqref="BT51">
    <cfRule type="iconSet" priority="288">
      <iconSet iconSet="3Signs">
        <cfvo type="percent" val="0"/>
        <cfvo type="num" val="0.75"/>
        <cfvo type="num" val="1"/>
      </iconSet>
    </cfRule>
  </conditionalFormatting>
  <conditionalFormatting sqref="BT53">
    <cfRule type="iconSet" priority="284">
      <iconSet iconSet="3Signs">
        <cfvo type="percent" val="0"/>
        <cfvo type="num" val="0.75"/>
        <cfvo type="num" val="1"/>
      </iconSet>
    </cfRule>
  </conditionalFormatting>
  <conditionalFormatting sqref="BT57">
    <cfRule type="iconSet" priority="260">
      <iconSet iconSet="3Signs">
        <cfvo type="percent" val="0"/>
        <cfvo type="num" val="0.75"/>
        <cfvo type="num" val="1"/>
      </iconSet>
    </cfRule>
  </conditionalFormatting>
  <conditionalFormatting sqref="BT61 BT63">
    <cfRule type="iconSet" priority="265">
      <iconSet iconSet="3Signs">
        <cfvo type="percent" val="0"/>
        <cfvo type="num" val="0.75"/>
        <cfvo type="num" val="1"/>
      </iconSet>
    </cfRule>
  </conditionalFormatting>
  <conditionalFormatting sqref="BT65">
    <cfRule type="iconSet" priority="257">
      <iconSet iconSet="3Signs">
        <cfvo type="percent" val="0"/>
        <cfvo type="num" val="0.75"/>
        <cfvo type="num" val="1"/>
      </iconSet>
    </cfRule>
  </conditionalFormatting>
  <conditionalFormatting sqref="BT67">
    <cfRule type="iconSet" priority="252">
      <iconSet iconSet="3Signs">
        <cfvo type="percent" val="0"/>
        <cfvo type="num" val="0.75"/>
        <cfvo type="num" val="1"/>
      </iconSet>
    </cfRule>
  </conditionalFormatting>
  <conditionalFormatting sqref="BT69">
    <cfRule type="iconSet" priority="250">
      <iconSet iconSet="3Signs">
        <cfvo type="percent" val="0"/>
        <cfvo type="num" val="0.75"/>
        <cfvo type="num" val="1"/>
      </iconSet>
    </cfRule>
  </conditionalFormatting>
  <conditionalFormatting sqref="BT74">
    <cfRule type="iconSet" priority="302">
      <iconSet iconSet="3Signs">
        <cfvo type="percent" val="0"/>
        <cfvo type="num" val="0.75"/>
        <cfvo type="num" val="1"/>
      </iconSet>
    </cfRule>
  </conditionalFormatting>
  <conditionalFormatting sqref="BT78">
    <cfRule type="iconSet" priority="280">
      <iconSet iconSet="3Signs">
        <cfvo type="percent" val="0"/>
        <cfvo type="num" val="0.75"/>
        <cfvo type="num" val="1"/>
      </iconSet>
    </cfRule>
  </conditionalFormatting>
  <conditionalFormatting sqref="BT80">
    <cfRule type="iconSet" priority="206">
      <iconSet iconSet="3Signs">
        <cfvo type="percent" val="0"/>
        <cfvo type="num" val="0.75"/>
        <cfvo type="num" val="1"/>
      </iconSet>
    </cfRule>
  </conditionalFormatting>
  <conditionalFormatting sqref="BT82">
    <cfRule type="iconSet" priority="275">
      <iconSet iconSet="3Signs">
        <cfvo type="percent" val="0"/>
        <cfvo type="num" val="0.75"/>
        <cfvo type="num" val="1"/>
      </iconSet>
    </cfRule>
  </conditionalFormatting>
  <conditionalFormatting sqref="BT84">
    <cfRule type="iconSet" priority="271">
      <iconSet iconSet="3Signs">
        <cfvo type="percent" val="0"/>
        <cfvo type="num" val="0.75"/>
        <cfvo type="num" val="1"/>
      </iconSet>
    </cfRule>
  </conditionalFormatting>
  <conditionalFormatting sqref="BT86">
    <cfRule type="iconSet" priority="267">
      <iconSet iconSet="3Signs">
        <cfvo type="percent" val="0"/>
        <cfvo type="num" val="0.75"/>
        <cfvo type="num" val="1"/>
      </iconSet>
    </cfRule>
  </conditionalFormatting>
  <conditionalFormatting sqref="BT90">
    <cfRule type="iconSet" priority="243">
      <iconSet iconSet="3Signs">
        <cfvo type="percent" val="0"/>
        <cfvo type="num" val="0.75"/>
        <cfvo type="num" val="1"/>
      </iconSet>
    </cfRule>
  </conditionalFormatting>
  <conditionalFormatting sqref="BT94 BT96">
    <cfRule type="iconSet" priority="248">
      <iconSet iconSet="3Signs">
        <cfvo type="percent" val="0"/>
        <cfvo type="num" val="0.75"/>
        <cfvo type="num" val="1"/>
      </iconSet>
    </cfRule>
  </conditionalFormatting>
  <conditionalFormatting sqref="BT98">
    <cfRule type="iconSet" priority="240">
      <iconSet iconSet="3Signs">
        <cfvo type="percent" val="0"/>
        <cfvo type="num" val="0.75"/>
        <cfvo type="num" val="1"/>
      </iconSet>
    </cfRule>
  </conditionalFormatting>
  <conditionalFormatting sqref="BT100">
    <cfRule type="iconSet" priority="235">
      <iconSet iconSet="3Signs">
        <cfvo type="percent" val="0"/>
        <cfvo type="num" val="0.75"/>
        <cfvo type="num" val="1"/>
      </iconSet>
    </cfRule>
  </conditionalFormatting>
  <conditionalFormatting sqref="BT102">
    <cfRule type="iconSet" priority="231">
      <iconSet iconSet="3Signs">
        <cfvo type="percent" val="0"/>
        <cfvo type="num" val="0.75"/>
        <cfvo type="num" val="1"/>
      </iconSet>
    </cfRule>
  </conditionalFormatting>
  <conditionalFormatting sqref="BT106">
    <cfRule type="iconSet" priority="222">
      <iconSet iconSet="3Signs">
        <cfvo type="percent" val="0"/>
        <cfvo type="num" val="0.75"/>
        <cfvo type="num" val="1"/>
      </iconSet>
    </cfRule>
  </conditionalFormatting>
  <conditionalFormatting sqref="BT110 BT112">
    <cfRule type="iconSet" priority="227">
      <iconSet iconSet="3Signs">
        <cfvo type="percent" val="0"/>
        <cfvo type="num" val="0.75"/>
        <cfvo type="num" val="1"/>
      </iconSet>
    </cfRule>
  </conditionalFormatting>
  <conditionalFormatting sqref="BT114">
    <cfRule type="iconSet" priority="219">
      <iconSet iconSet="3Signs">
        <cfvo type="percent" val="0"/>
        <cfvo type="num" val="0.75"/>
        <cfvo type="num" val="1"/>
      </iconSet>
    </cfRule>
  </conditionalFormatting>
  <conditionalFormatting sqref="BT116">
    <cfRule type="iconSet" priority="214">
      <iconSet iconSet="3Signs">
        <cfvo type="percent" val="0"/>
        <cfvo type="num" val="0.75"/>
        <cfvo type="num" val="1"/>
      </iconSet>
    </cfRule>
  </conditionalFormatting>
  <conditionalFormatting sqref="BT118">
    <cfRule type="iconSet" priority="210">
      <iconSet iconSet="3Signs">
        <cfvo type="percent" val="0"/>
        <cfvo type="num" val="0.75"/>
        <cfvo type="num" val="1"/>
      </iconSet>
    </cfRule>
  </conditionalFormatting>
  <conditionalFormatting sqref="BT121 BT123">
    <cfRule type="iconSet" priority="205">
      <iconSet iconSet="3Signs">
        <cfvo type="percent" val="0"/>
        <cfvo type="num" val="0.75"/>
        <cfvo type="num" val="1"/>
      </iconSet>
    </cfRule>
  </conditionalFormatting>
  <conditionalFormatting sqref="BT125">
    <cfRule type="iconSet" priority="200">
      <iconSet iconSet="3Signs">
        <cfvo type="percent" val="0"/>
        <cfvo type="num" val="0.75"/>
        <cfvo type="num" val="1"/>
      </iconSet>
    </cfRule>
  </conditionalFormatting>
  <conditionalFormatting sqref="BT127">
    <cfRule type="iconSet" priority="192">
      <iconSet iconSet="3Signs">
        <cfvo type="percent" val="0"/>
        <cfvo type="num" val="0.75"/>
        <cfvo type="num" val="1"/>
      </iconSet>
    </cfRule>
  </conditionalFormatting>
  <conditionalFormatting sqref="BT129">
    <cfRule type="iconSet" priority="159">
      <iconSet iconSet="3Signs">
        <cfvo type="percent" val="0"/>
        <cfvo type="num" val="0.75"/>
        <cfvo type="num" val="1"/>
      </iconSet>
    </cfRule>
  </conditionalFormatting>
  <pageMargins left="0.511811024" right="0.511811024" top="0.78740157499999996" bottom="0.78740157499999996" header="0.31496062000000002" footer="0.31496062000000002"/>
  <extLst>
    <ext xmlns:x14="http://schemas.microsoft.com/office/spreadsheetml/2009/9/main" uri="{78C0D931-6437-407d-A8EE-F0AAD7539E65}">
      <x14:conditionalFormattings>
        <x14:conditionalFormatting xmlns:xm="http://schemas.microsoft.com/office/excel/2006/main">
          <x14:cfRule type="dataBar" id="{15860B1D-D990-4B30-BE2C-15E040FE1986}">
            <x14:dataBar minLength="0" maxLength="100" border="1" gradient="0">
              <x14:cfvo type="num">
                <xm:f>0</xm:f>
              </x14:cfvo>
              <x14:cfvo type="num">
                <xm:f>1</xm:f>
              </x14:cfvo>
              <x14:borderColor theme="0"/>
              <x14:negativeFillColor rgb="FFFF0000"/>
              <x14:axisColor rgb="FF000000"/>
            </x14:dataBar>
          </x14:cfRule>
          <xm:sqref>H9</xm:sqref>
        </x14:conditionalFormatting>
        <x14:conditionalFormatting xmlns:xm="http://schemas.microsoft.com/office/excel/2006/main">
          <x14:cfRule type="dataBar" id="{4A29C354-3F34-4D50-8EBD-4B020F87A139}">
            <x14:dataBar minLength="0" maxLength="100" border="1" gradient="0">
              <x14:cfvo type="num">
                <xm:f>0</xm:f>
              </x14:cfvo>
              <x14:cfvo type="num">
                <xm:f>1</xm:f>
              </x14:cfvo>
              <x14:borderColor theme="0"/>
              <x14:negativeFillColor rgb="FFFF0000"/>
              <x14:axisColor rgb="FF000000"/>
            </x14:dataBar>
          </x14:cfRule>
          <xm:sqref>H13 H15</xm:sqref>
        </x14:conditionalFormatting>
        <x14:conditionalFormatting xmlns:xm="http://schemas.microsoft.com/office/excel/2006/main">
          <x14:cfRule type="dataBar" id="{BA8676B6-14B6-4704-B082-C50E1FFA617F}">
            <x14:dataBar minLength="0" maxLength="100" border="1" gradient="0">
              <x14:cfvo type="num">
                <xm:f>0</xm:f>
              </x14:cfvo>
              <x14:cfvo type="num">
                <xm:f>1</xm:f>
              </x14:cfvo>
              <x14:borderColor theme="0"/>
              <x14:negativeFillColor rgb="FFFF0000"/>
              <x14:axisColor rgb="FF000000"/>
            </x14:dataBar>
          </x14:cfRule>
          <xm:sqref>H17</xm:sqref>
        </x14:conditionalFormatting>
        <x14:conditionalFormatting xmlns:xm="http://schemas.microsoft.com/office/excel/2006/main">
          <x14:cfRule type="dataBar" id="{29549CD0-ACFA-4153-80A2-0C36DA9A6F5F}">
            <x14:dataBar minLength="0" maxLength="100" border="1" gradient="0">
              <x14:cfvo type="num">
                <xm:f>0</xm:f>
              </x14:cfvo>
              <x14:cfvo type="num">
                <xm:f>1</xm:f>
              </x14:cfvo>
              <x14:borderColor theme="0"/>
              <x14:negativeFillColor rgb="FFFF0000"/>
              <x14:axisColor rgb="FF000000"/>
            </x14:dataBar>
          </x14:cfRule>
          <xm:sqref>H19</xm:sqref>
        </x14:conditionalFormatting>
        <x14:conditionalFormatting xmlns:xm="http://schemas.microsoft.com/office/excel/2006/main">
          <x14:cfRule type="dataBar" id="{4471068A-8AB0-4837-B519-BF73086F4988}">
            <x14:dataBar minLength="0" maxLength="100" border="1" gradient="0">
              <x14:cfvo type="num">
                <xm:f>0</xm:f>
              </x14:cfvo>
              <x14:cfvo type="num">
                <xm:f>1</xm:f>
              </x14:cfvo>
              <x14:borderColor theme="0"/>
              <x14:negativeFillColor rgb="FFFF0000"/>
              <x14:axisColor rgb="FF000000"/>
            </x14:dataBar>
          </x14:cfRule>
          <xm:sqref>H21</xm:sqref>
        </x14:conditionalFormatting>
        <x14:conditionalFormatting xmlns:xm="http://schemas.microsoft.com/office/excel/2006/main">
          <x14:cfRule type="dataBar" id="{7ED108D0-0BE1-484C-B49C-C4C10E88C202}">
            <x14:dataBar minLength="0" maxLength="100" border="1" gradient="0">
              <x14:cfvo type="num">
                <xm:f>0</xm:f>
              </x14:cfvo>
              <x14:cfvo type="num">
                <xm:f>1</xm:f>
              </x14:cfvo>
              <x14:borderColor theme="0"/>
              <x14:negativeFillColor rgb="FFFF0000"/>
              <x14:axisColor rgb="FF000000"/>
            </x14:dataBar>
          </x14:cfRule>
          <xm:sqref>H25</xm:sqref>
        </x14:conditionalFormatting>
        <x14:conditionalFormatting xmlns:xm="http://schemas.microsoft.com/office/excel/2006/main">
          <x14:cfRule type="dataBar" id="{90821C8E-E791-45FD-AE0C-B854DF084765}">
            <x14:dataBar minLength="0" maxLength="100" border="1" gradient="0">
              <x14:cfvo type="num">
                <xm:f>0</xm:f>
              </x14:cfvo>
              <x14:cfvo type="num">
                <xm:f>1</xm:f>
              </x14:cfvo>
              <x14:borderColor theme="0"/>
              <x14:negativeFillColor rgb="FFFF0000"/>
              <x14:axisColor rgb="FF000000"/>
            </x14:dataBar>
          </x14:cfRule>
          <xm:sqref>H29 H31</xm:sqref>
        </x14:conditionalFormatting>
        <x14:conditionalFormatting xmlns:xm="http://schemas.microsoft.com/office/excel/2006/main">
          <x14:cfRule type="dataBar" id="{7E3556DA-76DB-45B4-AA44-B8FC78EEBCEE}">
            <x14:dataBar minLength="0" maxLength="100" border="1" gradient="0">
              <x14:cfvo type="num">
                <xm:f>0</xm:f>
              </x14:cfvo>
              <x14:cfvo type="num">
                <xm:f>1</xm:f>
              </x14:cfvo>
              <x14:borderColor theme="0"/>
              <x14:negativeFillColor rgb="FFFF0000"/>
              <x14:axisColor rgb="FF000000"/>
            </x14:dataBar>
          </x14:cfRule>
          <xm:sqref>H33</xm:sqref>
        </x14:conditionalFormatting>
        <x14:conditionalFormatting xmlns:xm="http://schemas.microsoft.com/office/excel/2006/main">
          <x14:cfRule type="dataBar" id="{8BB2045D-2AF7-4EAB-A78A-F5F88CFE40EF}">
            <x14:dataBar minLength="0" maxLength="100" border="1" gradient="0">
              <x14:cfvo type="num">
                <xm:f>0</xm:f>
              </x14:cfvo>
              <x14:cfvo type="num">
                <xm:f>1</xm:f>
              </x14:cfvo>
              <x14:borderColor theme="0"/>
              <x14:negativeFillColor rgb="FFFF0000"/>
              <x14:axisColor rgb="FF000000"/>
            </x14:dataBar>
          </x14:cfRule>
          <xm:sqref>H35</xm:sqref>
        </x14:conditionalFormatting>
        <x14:conditionalFormatting xmlns:xm="http://schemas.microsoft.com/office/excel/2006/main">
          <x14:cfRule type="dataBar" id="{B3A46207-0234-4964-AFEA-37E1BCBF4D30}">
            <x14:dataBar minLength="0" maxLength="100" border="1" gradient="0">
              <x14:cfvo type="num">
                <xm:f>0</xm:f>
              </x14:cfvo>
              <x14:cfvo type="num">
                <xm:f>1</xm:f>
              </x14:cfvo>
              <x14:borderColor theme="0"/>
              <x14:negativeFillColor rgb="FFFF0000"/>
              <x14:axisColor rgb="FF000000"/>
            </x14:dataBar>
          </x14:cfRule>
          <xm:sqref>H37</xm:sqref>
        </x14:conditionalFormatting>
        <x14:conditionalFormatting xmlns:xm="http://schemas.microsoft.com/office/excel/2006/main">
          <x14:cfRule type="dataBar" id="{5AC5790B-02DC-4567-B2F7-63FE30C27F2E}">
            <x14:dataBar minLength="0" maxLength="100" border="1" gradient="0">
              <x14:cfvo type="num">
                <xm:f>0</xm:f>
              </x14:cfvo>
              <x14:cfvo type="num">
                <xm:f>1</xm:f>
              </x14:cfvo>
              <x14:borderColor theme="0"/>
              <x14:negativeFillColor rgb="FFFF0000"/>
              <x14:axisColor rgb="FF000000"/>
            </x14:dataBar>
          </x14:cfRule>
          <xm:sqref>H41</xm:sqref>
        </x14:conditionalFormatting>
        <x14:conditionalFormatting xmlns:xm="http://schemas.microsoft.com/office/excel/2006/main">
          <x14:cfRule type="dataBar" id="{39F93702-9293-4FBA-B164-00C0254E862A}">
            <x14:dataBar minLength="0" maxLength="100" border="1" gradient="0">
              <x14:cfvo type="num">
                <xm:f>0</xm:f>
              </x14:cfvo>
              <x14:cfvo type="num">
                <xm:f>1</xm:f>
              </x14:cfvo>
              <x14:borderColor theme="0"/>
              <x14:negativeFillColor rgb="FFFF0000"/>
              <x14:axisColor rgb="FF000000"/>
            </x14:dataBar>
          </x14:cfRule>
          <xm:sqref>H45 H47</xm:sqref>
        </x14:conditionalFormatting>
        <x14:conditionalFormatting xmlns:xm="http://schemas.microsoft.com/office/excel/2006/main">
          <x14:cfRule type="dataBar" id="{81ABDE02-330F-4B58-A952-7EA92E0CC8DF}">
            <x14:dataBar minLength="0" maxLength="100" border="1" gradient="0">
              <x14:cfvo type="num">
                <xm:f>0</xm:f>
              </x14:cfvo>
              <x14:cfvo type="num">
                <xm:f>1</xm:f>
              </x14:cfvo>
              <x14:borderColor theme="0"/>
              <x14:negativeFillColor rgb="FFFF0000"/>
              <x14:axisColor rgb="FF000000"/>
            </x14:dataBar>
          </x14:cfRule>
          <xm:sqref>H49</xm:sqref>
        </x14:conditionalFormatting>
        <x14:conditionalFormatting xmlns:xm="http://schemas.microsoft.com/office/excel/2006/main">
          <x14:cfRule type="dataBar" id="{B7315E23-0411-4846-9EFB-B4AF069C1D6A}">
            <x14:dataBar minLength="0" maxLength="100" border="1" gradient="0">
              <x14:cfvo type="num">
                <xm:f>0</xm:f>
              </x14:cfvo>
              <x14:cfvo type="num">
                <xm:f>1</xm:f>
              </x14:cfvo>
              <x14:borderColor theme="0"/>
              <x14:negativeFillColor rgb="FFFF0000"/>
              <x14:axisColor rgb="FF000000"/>
            </x14:dataBar>
          </x14:cfRule>
          <xm:sqref>H51</xm:sqref>
        </x14:conditionalFormatting>
        <x14:conditionalFormatting xmlns:xm="http://schemas.microsoft.com/office/excel/2006/main">
          <x14:cfRule type="dataBar" id="{62322F73-3FA5-43C3-80FC-951798B2E7FC}">
            <x14:dataBar minLength="0" maxLength="100" border="1" gradient="0">
              <x14:cfvo type="num">
                <xm:f>0</xm:f>
              </x14:cfvo>
              <x14:cfvo type="num">
                <xm:f>1</xm:f>
              </x14:cfvo>
              <x14:borderColor theme="0"/>
              <x14:negativeFillColor rgb="FFFF0000"/>
              <x14:axisColor rgb="FF000000"/>
            </x14:dataBar>
          </x14:cfRule>
          <xm:sqref>H53</xm:sqref>
        </x14:conditionalFormatting>
        <x14:conditionalFormatting xmlns:xm="http://schemas.microsoft.com/office/excel/2006/main">
          <x14:cfRule type="dataBar" id="{A19DCB14-F0C0-4FB9-8E61-9205954BD887}">
            <x14:dataBar minLength="0" maxLength="100" border="1" gradient="0">
              <x14:cfvo type="num">
                <xm:f>0</xm:f>
              </x14:cfvo>
              <x14:cfvo type="num">
                <xm:f>1</xm:f>
              </x14:cfvo>
              <x14:borderColor theme="0"/>
              <x14:negativeFillColor rgb="FFFF0000"/>
              <x14:axisColor rgb="FF000000"/>
            </x14:dataBar>
          </x14:cfRule>
          <xm:sqref>H57</xm:sqref>
        </x14:conditionalFormatting>
        <x14:conditionalFormatting xmlns:xm="http://schemas.microsoft.com/office/excel/2006/main">
          <x14:cfRule type="dataBar" id="{A3B4FBAC-2E53-4E0F-8F9D-22EC748D7C8D}">
            <x14:dataBar minLength="0" maxLength="100" border="1" gradient="0">
              <x14:cfvo type="num">
                <xm:f>0</xm:f>
              </x14:cfvo>
              <x14:cfvo type="num">
                <xm:f>1</xm:f>
              </x14:cfvo>
              <x14:borderColor theme="0"/>
              <x14:negativeFillColor rgb="FFFF0000"/>
              <x14:axisColor rgb="FF000000"/>
            </x14:dataBar>
          </x14:cfRule>
          <xm:sqref>H61 H63</xm:sqref>
        </x14:conditionalFormatting>
        <x14:conditionalFormatting xmlns:xm="http://schemas.microsoft.com/office/excel/2006/main">
          <x14:cfRule type="dataBar" id="{C8648FC0-3458-4D0C-93CA-8A4888177EB1}">
            <x14:dataBar minLength="0" maxLength="100" border="1" gradient="0">
              <x14:cfvo type="num">
                <xm:f>0</xm:f>
              </x14:cfvo>
              <x14:cfvo type="num">
                <xm:f>1</xm:f>
              </x14:cfvo>
              <x14:borderColor theme="0"/>
              <x14:negativeFillColor rgb="FFFF0000"/>
              <x14:axisColor rgb="FF000000"/>
            </x14:dataBar>
          </x14:cfRule>
          <xm:sqref>H65</xm:sqref>
        </x14:conditionalFormatting>
        <x14:conditionalFormatting xmlns:xm="http://schemas.microsoft.com/office/excel/2006/main">
          <x14:cfRule type="dataBar" id="{E85013F2-B1C7-4AE9-A431-A4AA081FACEE}">
            <x14:dataBar minLength="0" maxLength="100" border="1" gradient="0">
              <x14:cfvo type="num">
                <xm:f>0</xm:f>
              </x14:cfvo>
              <x14:cfvo type="num">
                <xm:f>1</xm:f>
              </x14:cfvo>
              <x14:borderColor theme="0"/>
              <x14:negativeFillColor rgb="FFFF0000"/>
              <x14:axisColor rgb="FF000000"/>
            </x14:dataBar>
          </x14:cfRule>
          <xm:sqref>H67</xm:sqref>
        </x14:conditionalFormatting>
        <x14:conditionalFormatting xmlns:xm="http://schemas.microsoft.com/office/excel/2006/main">
          <x14:cfRule type="dataBar" id="{87CACB62-F02B-4EF2-8CFE-C2D4C9C8FF73}">
            <x14:dataBar minLength="0" maxLength="100" border="1" gradient="0">
              <x14:cfvo type="num">
                <xm:f>0</xm:f>
              </x14:cfvo>
              <x14:cfvo type="num">
                <xm:f>1</xm:f>
              </x14:cfvo>
              <x14:borderColor theme="0"/>
              <x14:negativeFillColor rgb="FFFF0000"/>
              <x14:axisColor rgb="FF000000"/>
            </x14:dataBar>
          </x14:cfRule>
          <xm:sqref>H69</xm:sqref>
        </x14:conditionalFormatting>
        <x14:conditionalFormatting xmlns:xm="http://schemas.microsoft.com/office/excel/2006/main">
          <x14:cfRule type="dataBar" id="{040820F1-C85A-470C-9BAD-619EAAE9AFB1}">
            <x14:dataBar minLength="0" maxLength="100" border="1" gradient="0">
              <x14:cfvo type="num">
                <xm:f>0</xm:f>
              </x14:cfvo>
              <x14:cfvo type="num">
                <xm:f>1</xm:f>
              </x14:cfvo>
              <x14:borderColor theme="0"/>
              <x14:negativeFillColor rgb="FFFF0000"/>
              <x14:axisColor rgb="FF000000"/>
            </x14:dataBar>
          </x14:cfRule>
          <xm:sqref>H74</xm:sqref>
        </x14:conditionalFormatting>
        <x14:conditionalFormatting xmlns:xm="http://schemas.microsoft.com/office/excel/2006/main">
          <x14:cfRule type="dataBar" id="{A584C4C0-A2A4-427B-94A6-27ACDD888472}">
            <x14:dataBar minLength="0" maxLength="100" border="1" gradient="0">
              <x14:cfvo type="num">
                <xm:f>0</xm:f>
              </x14:cfvo>
              <x14:cfvo type="num">
                <xm:f>1</xm:f>
              </x14:cfvo>
              <x14:borderColor theme="0"/>
              <x14:negativeFillColor rgb="FFFF0000"/>
              <x14:axisColor rgb="FF000000"/>
            </x14:dataBar>
          </x14:cfRule>
          <xm:sqref>H78 H80</xm:sqref>
        </x14:conditionalFormatting>
        <x14:conditionalFormatting xmlns:xm="http://schemas.microsoft.com/office/excel/2006/main">
          <x14:cfRule type="dataBar" id="{AA138272-C931-4E0E-BB2B-0800F91766E2}">
            <x14:dataBar minLength="0" maxLength="100" border="1" gradient="0">
              <x14:cfvo type="num">
                <xm:f>0</xm:f>
              </x14:cfvo>
              <x14:cfvo type="num">
                <xm:f>1</xm:f>
              </x14:cfvo>
              <x14:borderColor theme="0"/>
              <x14:negativeFillColor rgb="FFFF0000"/>
              <x14:axisColor rgb="FF000000"/>
            </x14:dataBar>
          </x14:cfRule>
          <xm:sqref>H82</xm:sqref>
        </x14:conditionalFormatting>
        <x14:conditionalFormatting xmlns:xm="http://schemas.microsoft.com/office/excel/2006/main">
          <x14:cfRule type="dataBar" id="{CCF34C9A-01AE-4859-9776-42AA814DABAC}">
            <x14:dataBar minLength="0" maxLength="100" border="1" gradient="0">
              <x14:cfvo type="num">
                <xm:f>0</xm:f>
              </x14:cfvo>
              <x14:cfvo type="num">
                <xm:f>1</xm:f>
              </x14:cfvo>
              <x14:borderColor theme="0"/>
              <x14:negativeFillColor rgb="FFFF0000"/>
              <x14:axisColor rgb="FF000000"/>
            </x14:dataBar>
          </x14:cfRule>
          <xm:sqref>H84</xm:sqref>
        </x14:conditionalFormatting>
        <x14:conditionalFormatting xmlns:xm="http://schemas.microsoft.com/office/excel/2006/main">
          <x14:cfRule type="dataBar" id="{71C6932E-BF3F-44D4-9436-1FAAD186CF61}">
            <x14:dataBar minLength="0" maxLength="100" border="1" gradient="0">
              <x14:cfvo type="num">
                <xm:f>0</xm:f>
              </x14:cfvo>
              <x14:cfvo type="num">
                <xm:f>1</xm:f>
              </x14:cfvo>
              <x14:borderColor theme="0"/>
              <x14:negativeFillColor rgb="FFFF0000"/>
              <x14:axisColor rgb="FF000000"/>
            </x14:dataBar>
          </x14:cfRule>
          <xm:sqref>H86</xm:sqref>
        </x14:conditionalFormatting>
        <x14:conditionalFormatting xmlns:xm="http://schemas.microsoft.com/office/excel/2006/main">
          <x14:cfRule type="dataBar" id="{33ECD890-43F0-4C65-A7B0-E788F388F459}">
            <x14:dataBar minLength="0" maxLength="100" border="1" gradient="0">
              <x14:cfvo type="num">
                <xm:f>0</xm:f>
              </x14:cfvo>
              <x14:cfvo type="num">
                <xm:f>1</xm:f>
              </x14:cfvo>
              <x14:borderColor theme="0"/>
              <x14:negativeFillColor rgb="FFFF0000"/>
              <x14:axisColor rgb="FF000000"/>
            </x14:dataBar>
          </x14:cfRule>
          <xm:sqref>H90</xm:sqref>
        </x14:conditionalFormatting>
        <x14:conditionalFormatting xmlns:xm="http://schemas.microsoft.com/office/excel/2006/main">
          <x14:cfRule type="dataBar" id="{F437C415-420C-4EA9-AA2D-E1E735482862}">
            <x14:dataBar minLength="0" maxLength="100" border="1" gradient="0">
              <x14:cfvo type="num">
                <xm:f>0</xm:f>
              </x14:cfvo>
              <x14:cfvo type="num">
                <xm:f>1</xm:f>
              </x14:cfvo>
              <x14:borderColor theme="0"/>
              <x14:negativeFillColor rgb="FFFF0000"/>
              <x14:axisColor rgb="FF000000"/>
            </x14:dataBar>
          </x14:cfRule>
          <xm:sqref>H94 H96</xm:sqref>
        </x14:conditionalFormatting>
        <x14:conditionalFormatting xmlns:xm="http://schemas.microsoft.com/office/excel/2006/main">
          <x14:cfRule type="dataBar" id="{2E48CC06-9484-4315-8CA6-90558FDD0740}">
            <x14:dataBar minLength="0" maxLength="100" border="1" gradient="0">
              <x14:cfvo type="num">
                <xm:f>0</xm:f>
              </x14:cfvo>
              <x14:cfvo type="num">
                <xm:f>1</xm:f>
              </x14:cfvo>
              <x14:borderColor theme="0"/>
              <x14:negativeFillColor rgb="FFFF0000"/>
              <x14:axisColor rgb="FF000000"/>
            </x14:dataBar>
          </x14:cfRule>
          <xm:sqref>H98</xm:sqref>
        </x14:conditionalFormatting>
        <x14:conditionalFormatting xmlns:xm="http://schemas.microsoft.com/office/excel/2006/main">
          <x14:cfRule type="dataBar" id="{644E1751-9719-4E91-B83B-4B6DD1D0A690}">
            <x14:dataBar minLength="0" maxLength="100" border="1" gradient="0">
              <x14:cfvo type="num">
                <xm:f>0</xm:f>
              </x14:cfvo>
              <x14:cfvo type="num">
                <xm:f>1</xm:f>
              </x14:cfvo>
              <x14:borderColor theme="0"/>
              <x14:negativeFillColor rgb="FFFF0000"/>
              <x14:axisColor rgb="FF000000"/>
            </x14:dataBar>
          </x14:cfRule>
          <xm:sqref>H100</xm:sqref>
        </x14:conditionalFormatting>
        <x14:conditionalFormatting xmlns:xm="http://schemas.microsoft.com/office/excel/2006/main">
          <x14:cfRule type="dataBar" id="{FE98715E-7537-4B36-8CA0-BE48D919C108}">
            <x14:dataBar minLength="0" maxLength="100" border="1" gradient="0">
              <x14:cfvo type="num">
                <xm:f>0</xm:f>
              </x14:cfvo>
              <x14:cfvo type="num">
                <xm:f>1</xm:f>
              </x14:cfvo>
              <x14:borderColor theme="0"/>
              <x14:negativeFillColor rgb="FFFF0000"/>
              <x14:axisColor rgb="FF000000"/>
            </x14:dataBar>
          </x14:cfRule>
          <xm:sqref>H102</xm:sqref>
        </x14:conditionalFormatting>
        <x14:conditionalFormatting xmlns:xm="http://schemas.microsoft.com/office/excel/2006/main">
          <x14:cfRule type="dataBar" id="{E4E3336D-92D2-46AB-9F7F-9CDCD4D4DC55}">
            <x14:dataBar minLength="0" maxLength="100" border="1" gradient="0">
              <x14:cfvo type="num">
                <xm:f>0</xm:f>
              </x14:cfvo>
              <x14:cfvo type="num">
                <xm:f>1</xm:f>
              </x14:cfvo>
              <x14:borderColor theme="0"/>
              <x14:negativeFillColor rgb="FFFF0000"/>
              <x14:axisColor rgb="FF000000"/>
            </x14:dataBar>
          </x14:cfRule>
          <xm:sqref>H106</xm:sqref>
        </x14:conditionalFormatting>
        <x14:conditionalFormatting xmlns:xm="http://schemas.microsoft.com/office/excel/2006/main">
          <x14:cfRule type="dataBar" id="{BD8A7DC6-7B22-4317-9D6B-4812D82506DC}">
            <x14:dataBar minLength="0" maxLength="100" border="1" gradient="0">
              <x14:cfvo type="num">
                <xm:f>0</xm:f>
              </x14:cfvo>
              <x14:cfvo type="num">
                <xm:f>1</xm:f>
              </x14:cfvo>
              <x14:borderColor theme="0"/>
              <x14:negativeFillColor rgb="FFFF0000"/>
              <x14:axisColor rgb="FF000000"/>
            </x14:dataBar>
          </x14:cfRule>
          <xm:sqref>H110 H112</xm:sqref>
        </x14:conditionalFormatting>
        <x14:conditionalFormatting xmlns:xm="http://schemas.microsoft.com/office/excel/2006/main">
          <x14:cfRule type="dataBar" id="{FA63291E-844A-4F1B-B55A-36506C208F07}">
            <x14:dataBar minLength="0" maxLength="100" border="1" gradient="0">
              <x14:cfvo type="num">
                <xm:f>0</xm:f>
              </x14:cfvo>
              <x14:cfvo type="num">
                <xm:f>1</xm:f>
              </x14:cfvo>
              <x14:borderColor theme="0"/>
              <x14:negativeFillColor rgb="FFFF0000"/>
              <x14:axisColor rgb="FF000000"/>
            </x14:dataBar>
          </x14:cfRule>
          <xm:sqref>H114</xm:sqref>
        </x14:conditionalFormatting>
        <x14:conditionalFormatting xmlns:xm="http://schemas.microsoft.com/office/excel/2006/main">
          <x14:cfRule type="dataBar" id="{0EE293D1-503D-44F7-83A5-9893C4DD7B8C}">
            <x14:dataBar minLength="0" maxLength="100" border="1" gradient="0">
              <x14:cfvo type="num">
                <xm:f>0</xm:f>
              </x14:cfvo>
              <x14:cfvo type="num">
                <xm:f>1</xm:f>
              </x14:cfvo>
              <x14:borderColor theme="0"/>
              <x14:negativeFillColor rgb="FFFF0000"/>
              <x14:axisColor rgb="FF000000"/>
            </x14:dataBar>
          </x14:cfRule>
          <xm:sqref>H116</xm:sqref>
        </x14:conditionalFormatting>
        <x14:conditionalFormatting xmlns:xm="http://schemas.microsoft.com/office/excel/2006/main">
          <x14:cfRule type="dataBar" id="{6EC7FD97-A782-439D-84D6-C83BB72BF6F6}">
            <x14:dataBar minLength="0" maxLength="100" border="1" gradient="0">
              <x14:cfvo type="num">
                <xm:f>0</xm:f>
              </x14:cfvo>
              <x14:cfvo type="num">
                <xm:f>1</xm:f>
              </x14:cfvo>
              <x14:borderColor theme="0"/>
              <x14:negativeFillColor rgb="FFFF0000"/>
              <x14:axisColor rgb="FF000000"/>
            </x14:dataBar>
          </x14:cfRule>
          <xm:sqref>H118</xm:sqref>
        </x14:conditionalFormatting>
        <x14:conditionalFormatting xmlns:xm="http://schemas.microsoft.com/office/excel/2006/main">
          <x14:cfRule type="dataBar" id="{4E968D76-3C43-4D6A-AF9F-45C9C7CCCAF1}">
            <x14:dataBar minLength="0" maxLength="100" border="1" gradient="0">
              <x14:cfvo type="num">
                <xm:f>0</xm:f>
              </x14:cfvo>
              <x14:cfvo type="num">
                <xm:f>1</xm:f>
              </x14:cfvo>
              <x14:borderColor theme="0"/>
              <x14:negativeFillColor rgb="FFFF0000"/>
              <x14:axisColor rgb="FF000000"/>
            </x14:dataBar>
          </x14:cfRule>
          <xm:sqref>H121 H123</xm:sqref>
        </x14:conditionalFormatting>
        <x14:conditionalFormatting xmlns:xm="http://schemas.microsoft.com/office/excel/2006/main">
          <x14:cfRule type="dataBar" id="{FC76D37A-5E09-4D3B-A072-4B7D918226B7}">
            <x14:dataBar minLength="0" maxLength="100" border="1" gradient="0">
              <x14:cfvo type="num">
                <xm:f>0</xm:f>
              </x14:cfvo>
              <x14:cfvo type="num">
                <xm:f>1</xm:f>
              </x14:cfvo>
              <x14:borderColor theme="0"/>
              <x14:negativeFillColor rgb="FFFF0000"/>
              <x14:axisColor rgb="FF000000"/>
            </x14:dataBar>
          </x14:cfRule>
          <xm:sqref>H125</xm:sqref>
        </x14:conditionalFormatting>
        <x14:conditionalFormatting xmlns:xm="http://schemas.microsoft.com/office/excel/2006/main">
          <x14:cfRule type="dataBar" id="{2C1FE1A6-BC41-4766-806B-8F4552DE3C6E}">
            <x14:dataBar minLength="0" maxLength="100" border="1" gradient="0">
              <x14:cfvo type="num">
                <xm:f>0</xm:f>
              </x14:cfvo>
              <x14:cfvo type="num">
                <xm:f>1</xm:f>
              </x14:cfvo>
              <x14:borderColor theme="0"/>
              <x14:negativeFillColor rgb="FFFF0000"/>
              <x14:axisColor rgb="FF000000"/>
            </x14:dataBar>
          </x14:cfRule>
          <xm:sqref>H127</xm:sqref>
        </x14:conditionalFormatting>
        <x14:conditionalFormatting xmlns:xm="http://schemas.microsoft.com/office/excel/2006/main">
          <x14:cfRule type="dataBar" id="{6B2D4688-9D58-4154-B314-7E5BEDF3B2AC}">
            <x14:dataBar minLength="0" maxLength="100" border="1" gradient="0">
              <x14:cfvo type="num">
                <xm:f>0</xm:f>
              </x14:cfvo>
              <x14:cfvo type="num">
                <xm:f>1</xm:f>
              </x14:cfvo>
              <x14:borderColor theme="0"/>
              <x14:negativeFillColor rgb="FFFF0000"/>
              <x14:axisColor rgb="FF000000"/>
            </x14:dataBar>
          </x14:cfRule>
          <xm:sqref>H129</xm:sqref>
        </x14:conditionalFormatting>
        <x14:conditionalFormatting xmlns:xm="http://schemas.microsoft.com/office/excel/2006/main">
          <x14:cfRule type="dataBar" id="{8BFD0128-5374-4CC5-AF09-75BE52ACEE0A}">
            <x14:dataBar minLength="0" maxLength="100" border="1" gradient="0">
              <x14:cfvo type="num">
                <xm:f>0</xm:f>
              </x14:cfvo>
              <x14:cfvo type="num">
                <xm:f>1</xm:f>
              </x14:cfvo>
              <x14:borderColor theme="0"/>
              <x14:negativeFillColor rgb="FFFF0000"/>
              <x14:axisColor rgb="FF000000"/>
            </x14:dataBar>
          </x14:cfRule>
          <xm:sqref>L9</xm:sqref>
        </x14:conditionalFormatting>
        <x14:conditionalFormatting xmlns:xm="http://schemas.microsoft.com/office/excel/2006/main">
          <x14:cfRule type="dataBar" id="{98B9E238-96CD-4923-B0C3-89A1BA594E4F}">
            <x14:dataBar minLength="0" maxLength="100" border="1" gradient="0">
              <x14:cfvo type="num">
                <xm:f>0</xm:f>
              </x14:cfvo>
              <x14:cfvo type="num">
                <xm:f>1</xm:f>
              </x14:cfvo>
              <x14:borderColor theme="0"/>
              <x14:negativeFillColor rgb="FFFF0000"/>
              <x14:axisColor rgb="FF000000"/>
            </x14:dataBar>
          </x14:cfRule>
          <xm:sqref>L15 L13</xm:sqref>
        </x14:conditionalFormatting>
        <x14:conditionalFormatting xmlns:xm="http://schemas.microsoft.com/office/excel/2006/main">
          <x14:cfRule type="dataBar" id="{42B7323E-7A27-42E5-8FAB-63F78490CD44}">
            <x14:dataBar minLength="0" maxLength="100" border="1" gradient="0">
              <x14:cfvo type="num">
                <xm:f>0</xm:f>
              </x14:cfvo>
              <x14:cfvo type="num">
                <xm:f>1</xm:f>
              </x14:cfvo>
              <x14:borderColor theme="0"/>
              <x14:negativeFillColor rgb="FFFF0000"/>
              <x14:axisColor rgb="FF000000"/>
            </x14:dataBar>
          </x14:cfRule>
          <xm:sqref>L17</xm:sqref>
        </x14:conditionalFormatting>
        <x14:conditionalFormatting xmlns:xm="http://schemas.microsoft.com/office/excel/2006/main">
          <x14:cfRule type="dataBar" id="{897F28CA-EF27-41CC-9B5D-495DF474DC2A}">
            <x14:dataBar minLength="0" maxLength="100" border="1" gradient="0">
              <x14:cfvo type="num">
                <xm:f>0</xm:f>
              </x14:cfvo>
              <x14:cfvo type="num">
                <xm:f>1</xm:f>
              </x14:cfvo>
              <x14:borderColor theme="0"/>
              <x14:negativeFillColor rgb="FFFF0000"/>
              <x14:axisColor rgb="FF000000"/>
            </x14:dataBar>
          </x14:cfRule>
          <xm:sqref>L19</xm:sqref>
        </x14:conditionalFormatting>
        <x14:conditionalFormatting xmlns:xm="http://schemas.microsoft.com/office/excel/2006/main">
          <x14:cfRule type="dataBar" id="{EF6A40A3-B277-4E8E-8B14-E257F64E483D}">
            <x14:dataBar minLength="0" maxLength="100" border="1" gradient="0">
              <x14:cfvo type="num">
                <xm:f>0</xm:f>
              </x14:cfvo>
              <x14:cfvo type="num">
                <xm:f>1</xm:f>
              </x14:cfvo>
              <x14:borderColor theme="0"/>
              <x14:negativeFillColor rgb="FFFF0000"/>
              <x14:axisColor rgb="FF000000"/>
            </x14:dataBar>
          </x14:cfRule>
          <xm:sqref>L21</xm:sqref>
        </x14:conditionalFormatting>
        <x14:conditionalFormatting xmlns:xm="http://schemas.microsoft.com/office/excel/2006/main">
          <x14:cfRule type="dataBar" id="{93361E06-7850-4554-8020-43FA78A27D12}">
            <x14:dataBar minLength="0" maxLength="100" border="1" gradient="0">
              <x14:cfvo type="num">
                <xm:f>0</xm:f>
              </x14:cfvo>
              <x14:cfvo type="num">
                <xm:f>1</xm:f>
              </x14:cfvo>
              <x14:borderColor theme="0"/>
              <x14:negativeFillColor rgb="FFFF0000"/>
              <x14:axisColor rgb="FF000000"/>
            </x14:dataBar>
          </x14:cfRule>
          <xm:sqref>L25</xm:sqref>
        </x14:conditionalFormatting>
        <x14:conditionalFormatting xmlns:xm="http://schemas.microsoft.com/office/excel/2006/main">
          <x14:cfRule type="dataBar" id="{A15CEBAC-FE91-4CA1-BB6F-B898440BF262}">
            <x14:dataBar minLength="0" maxLength="100" border="1" gradient="0">
              <x14:cfvo type="num">
                <xm:f>0</xm:f>
              </x14:cfvo>
              <x14:cfvo type="num">
                <xm:f>1</xm:f>
              </x14:cfvo>
              <x14:borderColor theme="0"/>
              <x14:negativeFillColor rgb="FFFF0000"/>
              <x14:axisColor rgb="FF000000"/>
            </x14:dataBar>
          </x14:cfRule>
          <xm:sqref>L29 L31</xm:sqref>
        </x14:conditionalFormatting>
        <x14:conditionalFormatting xmlns:xm="http://schemas.microsoft.com/office/excel/2006/main">
          <x14:cfRule type="dataBar" id="{A041AA62-2D38-42F8-AC0E-D8C314474CB8}">
            <x14:dataBar minLength="0" maxLength="100" border="1" gradient="0">
              <x14:cfvo type="num">
                <xm:f>0</xm:f>
              </x14:cfvo>
              <x14:cfvo type="num">
                <xm:f>1</xm:f>
              </x14:cfvo>
              <x14:borderColor theme="0"/>
              <x14:negativeFillColor rgb="FFFF0000"/>
              <x14:axisColor rgb="FF000000"/>
            </x14:dataBar>
          </x14:cfRule>
          <xm:sqref>L33</xm:sqref>
        </x14:conditionalFormatting>
        <x14:conditionalFormatting xmlns:xm="http://schemas.microsoft.com/office/excel/2006/main">
          <x14:cfRule type="dataBar" id="{EF7C9FBD-6412-43BE-BA8C-51D06E129E04}">
            <x14:dataBar minLength="0" maxLength="100" border="1" gradient="0">
              <x14:cfvo type="num">
                <xm:f>0</xm:f>
              </x14:cfvo>
              <x14:cfvo type="num">
                <xm:f>1</xm:f>
              </x14:cfvo>
              <x14:borderColor theme="0"/>
              <x14:negativeFillColor rgb="FFFF0000"/>
              <x14:axisColor rgb="FF000000"/>
            </x14:dataBar>
          </x14:cfRule>
          <xm:sqref>L35</xm:sqref>
        </x14:conditionalFormatting>
        <x14:conditionalFormatting xmlns:xm="http://schemas.microsoft.com/office/excel/2006/main">
          <x14:cfRule type="dataBar" id="{0BF26081-32DA-4B0D-BC10-FC8335A3DDBB}">
            <x14:dataBar minLength="0" maxLength="100" border="1" gradient="0">
              <x14:cfvo type="num">
                <xm:f>0</xm:f>
              </x14:cfvo>
              <x14:cfvo type="num">
                <xm:f>1</xm:f>
              </x14:cfvo>
              <x14:borderColor theme="0"/>
              <x14:negativeFillColor rgb="FFFF0000"/>
              <x14:axisColor rgb="FF000000"/>
            </x14:dataBar>
          </x14:cfRule>
          <xm:sqref>L37</xm:sqref>
        </x14:conditionalFormatting>
        <x14:conditionalFormatting xmlns:xm="http://schemas.microsoft.com/office/excel/2006/main">
          <x14:cfRule type="dataBar" id="{6CF08604-2E17-4635-8059-306CC0C3BCC4}">
            <x14:dataBar minLength="0" maxLength="100" border="1" gradient="0">
              <x14:cfvo type="num">
                <xm:f>0</xm:f>
              </x14:cfvo>
              <x14:cfvo type="num">
                <xm:f>1</xm:f>
              </x14:cfvo>
              <x14:borderColor theme="0"/>
              <x14:negativeFillColor rgb="FFFF0000"/>
              <x14:axisColor rgb="FF000000"/>
            </x14:dataBar>
          </x14:cfRule>
          <xm:sqref>L41</xm:sqref>
        </x14:conditionalFormatting>
        <x14:conditionalFormatting xmlns:xm="http://schemas.microsoft.com/office/excel/2006/main">
          <x14:cfRule type="dataBar" id="{8677C376-652A-435F-BCDF-7070B1D18812}">
            <x14:dataBar minLength="0" maxLength="100" border="1" gradient="0">
              <x14:cfvo type="num">
                <xm:f>0</xm:f>
              </x14:cfvo>
              <x14:cfvo type="num">
                <xm:f>1</xm:f>
              </x14:cfvo>
              <x14:borderColor theme="0"/>
              <x14:negativeFillColor rgb="FFFF0000"/>
              <x14:axisColor rgb="FF000000"/>
            </x14:dataBar>
          </x14:cfRule>
          <xm:sqref>L45 L47</xm:sqref>
        </x14:conditionalFormatting>
        <x14:conditionalFormatting xmlns:xm="http://schemas.microsoft.com/office/excel/2006/main">
          <x14:cfRule type="dataBar" id="{CACE832B-ECF0-4DE5-8421-086FABE67F80}">
            <x14:dataBar minLength="0" maxLength="100" border="1" gradient="0">
              <x14:cfvo type="num">
                <xm:f>0</xm:f>
              </x14:cfvo>
              <x14:cfvo type="num">
                <xm:f>1</xm:f>
              </x14:cfvo>
              <x14:borderColor theme="0"/>
              <x14:negativeFillColor rgb="FFFF0000"/>
              <x14:axisColor rgb="FF000000"/>
            </x14:dataBar>
          </x14:cfRule>
          <xm:sqref>L49</xm:sqref>
        </x14:conditionalFormatting>
        <x14:conditionalFormatting xmlns:xm="http://schemas.microsoft.com/office/excel/2006/main">
          <x14:cfRule type="dataBar" id="{5FF6AE09-E799-4AC0-B478-77BE78AC5EE8}">
            <x14:dataBar minLength="0" maxLength="100" border="1" gradient="0">
              <x14:cfvo type="num">
                <xm:f>0</xm:f>
              </x14:cfvo>
              <x14:cfvo type="num">
                <xm:f>1</xm:f>
              </x14:cfvo>
              <x14:borderColor theme="0"/>
              <x14:negativeFillColor rgb="FFFF0000"/>
              <x14:axisColor rgb="FF000000"/>
            </x14:dataBar>
          </x14:cfRule>
          <xm:sqref>L51</xm:sqref>
        </x14:conditionalFormatting>
        <x14:conditionalFormatting xmlns:xm="http://schemas.microsoft.com/office/excel/2006/main">
          <x14:cfRule type="dataBar" id="{50912531-B8BE-4E43-B525-40AE147BB4B2}">
            <x14:dataBar minLength="0" maxLength="100" border="1" gradient="0">
              <x14:cfvo type="num">
                <xm:f>0</xm:f>
              </x14:cfvo>
              <x14:cfvo type="num">
                <xm:f>1</xm:f>
              </x14:cfvo>
              <x14:borderColor theme="0"/>
              <x14:negativeFillColor rgb="FFFF0000"/>
              <x14:axisColor rgb="FF000000"/>
            </x14:dataBar>
          </x14:cfRule>
          <xm:sqref>L53</xm:sqref>
        </x14:conditionalFormatting>
        <x14:conditionalFormatting xmlns:xm="http://schemas.microsoft.com/office/excel/2006/main">
          <x14:cfRule type="dataBar" id="{E75DE496-79C6-4687-AC38-0B8A2C29C8F1}">
            <x14:dataBar minLength="0" maxLength="100" border="1" gradient="0">
              <x14:cfvo type="num">
                <xm:f>0</xm:f>
              </x14:cfvo>
              <x14:cfvo type="num">
                <xm:f>1</xm:f>
              </x14:cfvo>
              <x14:borderColor theme="0"/>
              <x14:negativeFillColor rgb="FFFF0000"/>
              <x14:axisColor rgb="FF000000"/>
            </x14:dataBar>
          </x14:cfRule>
          <xm:sqref>L57</xm:sqref>
        </x14:conditionalFormatting>
        <x14:conditionalFormatting xmlns:xm="http://schemas.microsoft.com/office/excel/2006/main">
          <x14:cfRule type="dataBar" id="{921963A0-16EB-4975-BD2F-203AD91553BF}">
            <x14:dataBar minLength="0" maxLength="100" border="1" gradient="0">
              <x14:cfvo type="num">
                <xm:f>0</xm:f>
              </x14:cfvo>
              <x14:cfvo type="num">
                <xm:f>1</xm:f>
              </x14:cfvo>
              <x14:borderColor theme="0"/>
              <x14:negativeFillColor rgb="FFFF0000"/>
              <x14:axisColor rgb="FF000000"/>
            </x14:dataBar>
          </x14:cfRule>
          <xm:sqref>L61 L63</xm:sqref>
        </x14:conditionalFormatting>
        <x14:conditionalFormatting xmlns:xm="http://schemas.microsoft.com/office/excel/2006/main">
          <x14:cfRule type="dataBar" id="{63576E79-4F30-4B3D-B131-15DB4F1B304F}">
            <x14:dataBar minLength="0" maxLength="100" border="1" gradient="0">
              <x14:cfvo type="num">
                <xm:f>0</xm:f>
              </x14:cfvo>
              <x14:cfvo type="num">
                <xm:f>1</xm:f>
              </x14:cfvo>
              <x14:borderColor theme="0"/>
              <x14:negativeFillColor rgb="FFFF0000"/>
              <x14:axisColor rgb="FF000000"/>
            </x14:dataBar>
          </x14:cfRule>
          <xm:sqref>L65</xm:sqref>
        </x14:conditionalFormatting>
        <x14:conditionalFormatting xmlns:xm="http://schemas.microsoft.com/office/excel/2006/main">
          <x14:cfRule type="dataBar" id="{B414ACEA-AD49-4EF9-A7BF-316EF739C105}">
            <x14:dataBar minLength="0" maxLength="100" border="1" gradient="0">
              <x14:cfvo type="num">
                <xm:f>0</xm:f>
              </x14:cfvo>
              <x14:cfvo type="num">
                <xm:f>1</xm:f>
              </x14:cfvo>
              <x14:borderColor theme="0"/>
              <x14:negativeFillColor rgb="FFFF0000"/>
              <x14:axisColor rgb="FF000000"/>
            </x14:dataBar>
          </x14:cfRule>
          <xm:sqref>L67</xm:sqref>
        </x14:conditionalFormatting>
        <x14:conditionalFormatting xmlns:xm="http://schemas.microsoft.com/office/excel/2006/main">
          <x14:cfRule type="dataBar" id="{760A4C41-0BC4-4D6B-A0A9-4724B5534468}">
            <x14:dataBar minLength="0" maxLength="100" border="1" gradient="0">
              <x14:cfvo type="num">
                <xm:f>0</xm:f>
              </x14:cfvo>
              <x14:cfvo type="num">
                <xm:f>1</xm:f>
              </x14:cfvo>
              <x14:borderColor theme="0"/>
              <x14:negativeFillColor rgb="FFFF0000"/>
              <x14:axisColor rgb="FF000000"/>
            </x14:dataBar>
          </x14:cfRule>
          <xm:sqref>L69</xm:sqref>
        </x14:conditionalFormatting>
        <x14:conditionalFormatting xmlns:xm="http://schemas.microsoft.com/office/excel/2006/main">
          <x14:cfRule type="dataBar" id="{45BAD5A6-CB22-4A52-8589-4D784B8A3190}">
            <x14:dataBar minLength="0" maxLength="100" border="1" gradient="0">
              <x14:cfvo type="num">
                <xm:f>0</xm:f>
              </x14:cfvo>
              <x14:cfvo type="num">
                <xm:f>1</xm:f>
              </x14:cfvo>
              <x14:borderColor theme="0"/>
              <x14:negativeFillColor rgb="FFFF0000"/>
              <x14:axisColor rgb="FF000000"/>
            </x14:dataBar>
          </x14:cfRule>
          <xm:sqref>L74</xm:sqref>
        </x14:conditionalFormatting>
        <x14:conditionalFormatting xmlns:xm="http://schemas.microsoft.com/office/excel/2006/main">
          <x14:cfRule type="dataBar" id="{0D8B8AD2-1FFA-4393-8234-8CFF38406610}">
            <x14:dataBar minLength="0" maxLength="100" border="1" gradient="0">
              <x14:cfvo type="num">
                <xm:f>0</xm:f>
              </x14:cfvo>
              <x14:cfvo type="num">
                <xm:f>1</xm:f>
              </x14:cfvo>
              <x14:borderColor theme="0"/>
              <x14:negativeFillColor rgb="FFFF0000"/>
              <x14:axisColor rgb="FF000000"/>
            </x14:dataBar>
          </x14:cfRule>
          <xm:sqref>L78 L80</xm:sqref>
        </x14:conditionalFormatting>
        <x14:conditionalFormatting xmlns:xm="http://schemas.microsoft.com/office/excel/2006/main">
          <x14:cfRule type="dataBar" id="{32A1343B-6EA7-4347-B2BA-D40529CA6DBD}">
            <x14:dataBar minLength="0" maxLength="100" border="1" gradient="0">
              <x14:cfvo type="num">
                <xm:f>0</xm:f>
              </x14:cfvo>
              <x14:cfvo type="num">
                <xm:f>1</xm:f>
              </x14:cfvo>
              <x14:borderColor theme="0"/>
              <x14:negativeFillColor rgb="FFFF0000"/>
              <x14:axisColor rgb="FF000000"/>
            </x14:dataBar>
          </x14:cfRule>
          <xm:sqref>L82</xm:sqref>
        </x14:conditionalFormatting>
        <x14:conditionalFormatting xmlns:xm="http://schemas.microsoft.com/office/excel/2006/main">
          <x14:cfRule type="dataBar" id="{510E93AC-BEA1-4D67-A095-5E5B5436FED2}">
            <x14:dataBar minLength="0" maxLength="100" border="1" gradient="0">
              <x14:cfvo type="num">
                <xm:f>0</xm:f>
              </x14:cfvo>
              <x14:cfvo type="num">
                <xm:f>1</xm:f>
              </x14:cfvo>
              <x14:borderColor theme="0"/>
              <x14:negativeFillColor rgb="FFFF0000"/>
              <x14:axisColor rgb="FF000000"/>
            </x14:dataBar>
          </x14:cfRule>
          <xm:sqref>L84</xm:sqref>
        </x14:conditionalFormatting>
        <x14:conditionalFormatting xmlns:xm="http://schemas.microsoft.com/office/excel/2006/main">
          <x14:cfRule type="dataBar" id="{A5DB365C-75B8-45DB-B873-9B44969A4F6C}">
            <x14:dataBar minLength="0" maxLength="100" border="1" gradient="0">
              <x14:cfvo type="num">
                <xm:f>0</xm:f>
              </x14:cfvo>
              <x14:cfvo type="num">
                <xm:f>1</xm:f>
              </x14:cfvo>
              <x14:borderColor theme="0"/>
              <x14:negativeFillColor rgb="FFFF0000"/>
              <x14:axisColor rgb="FF000000"/>
            </x14:dataBar>
          </x14:cfRule>
          <xm:sqref>L86</xm:sqref>
        </x14:conditionalFormatting>
        <x14:conditionalFormatting xmlns:xm="http://schemas.microsoft.com/office/excel/2006/main">
          <x14:cfRule type="dataBar" id="{B953B42E-8AD8-49EE-9B1E-60BDDA978A00}">
            <x14:dataBar minLength="0" maxLength="100" border="1" gradient="0">
              <x14:cfvo type="num">
                <xm:f>0</xm:f>
              </x14:cfvo>
              <x14:cfvo type="num">
                <xm:f>1</xm:f>
              </x14:cfvo>
              <x14:borderColor theme="0"/>
              <x14:negativeFillColor rgb="FFFF0000"/>
              <x14:axisColor rgb="FF000000"/>
            </x14:dataBar>
          </x14:cfRule>
          <xm:sqref>L90</xm:sqref>
        </x14:conditionalFormatting>
        <x14:conditionalFormatting xmlns:xm="http://schemas.microsoft.com/office/excel/2006/main">
          <x14:cfRule type="dataBar" id="{6A4C0CFB-7902-46ED-8FA9-872B199A72BC}">
            <x14:dataBar minLength="0" maxLength="100" border="1" gradient="0">
              <x14:cfvo type="num">
                <xm:f>0</xm:f>
              </x14:cfvo>
              <x14:cfvo type="num">
                <xm:f>1</xm:f>
              </x14:cfvo>
              <x14:borderColor theme="0"/>
              <x14:negativeFillColor rgb="FFFF0000"/>
              <x14:axisColor rgb="FF000000"/>
            </x14:dataBar>
          </x14:cfRule>
          <xm:sqref>L94 L96</xm:sqref>
        </x14:conditionalFormatting>
        <x14:conditionalFormatting xmlns:xm="http://schemas.microsoft.com/office/excel/2006/main">
          <x14:cfRule type="dataBar" id="{ED681586-B11F-4FDB-AC1A-51D6F85331CA}">
            <x14:dataBar minLength="0" maxLength="100" border="1" gradient="0">
              <x14:cfvo type="num">
                <xm:f>0</xm:f>
              </x14:cfvo>
              <x14:cfvo type="num">
                <xm:f>1</xm:f>
              </x14:cfvo>
              <x14:borderColor theme="0"/>
              <x14:negativeFillColor rgb="FFFF0000"/>
              <x14:axisColor rgb="FF000000"/>
            </x14:dataBar>
          </x14:cfRule>
          <xm:sqref>L98</xm:sqref>
        </x14:conditionalFormatting>
        <x14:conditionalFormatting xmlns:xm="http://schemas.microsoft.com/office/excel/2006/main">
          <x14:cfRule type="dataBar" id="{DC9DB852-2887-4D8F-8CCD-C5DBF3A787A3}">
            <x14:dataBar minLength="0" maxLength="100" border="1" gradient="0">
              <x14:cfvo type="num">
                <xm:f>0</xm:f>
              </x14:cfvo>
              <x14:cfvo type="num">
                <xm:f>1</xm:f>
              </x14:cfvo>
              <x14:borderColor theme="0"/>
              <x14:negativeFillColor rgb="FFFF0000"/>
              <x14:axisColor rgb="FF000000"/>
            </x14:dataBar>
          </x14:cfRule>
          <xm:sqref>L100</xm:sqref>
        </x14:conditionalFormatting>
        <x14:conditionalFormatting xmlns:xm="http://schemas.microsoft.com/office/excel/2006/main">
          <x14:cfRule type="dataBar" id="{CD8D7D43-843B-48FB-B0DD-8FB67740D58E}">
            <x14:dataBar minLength="0" maxLength="100" border="1" gradient="0">
              <x14:cfvo type="num">
                <xm:f>0</xm:f>
              </x14:cfvo>
              <x14:cfvo type="num">
                <xm:f>1</xm:f>
              </x14:cfvo>
              <x14:borderColor theme="0"/>
              <x14:negativeFillColor rgb="FFFF0000"/>
              <x14:axisColor rgb="FF000000"/>
            </x14:dataBar>
          </x14:cfRule>
          <xm:sqref>L102</xm:sqref>
        </x14:conditionalFormatting>
        <x14:conditionalFormatting xmlns:xm="http://schemas.microsoft.com/office/excel/2006/main">
          <x14:cfRule type="dataBar" id="{3BF13207-DF9C-473B-AABC-050AD158C289}">
            <x14:dataBar minLength="0" maxLength="100" border="1" gradient="0">
              <x14:cfvo type="num">
                <xm:f>0</xm:f>
              </x14:cfvo>
              <x14:cfvo type="num">
                <xm:f>1</xm:f>
              </x14:cfvo>
              <x14:borderColor theme="0"/>
              <x14:negativeFillColor rgb="FFFF0000"/>
              <x14:axisColor rgb="FF000000"/>
            </x14:dataBar>
          </x14:cfRule>
          <xm:sqref>L106</xm:sqref>
        </x14:conditionalFormatting>
        <x14:conditionalFormatting xmlns:xm="http://schemas.microsoft.com/office/excel/2006/main">
          <x14:cfRule type="dataBar" id="{7866D4CF-56E2-4254-A21E-D242889079D8}">
            <x14:dataBar minLength="0" maxLength="100" border="1" gradient="0">
              <x14:cfvo type="num">
                <xm:f>0</xm:f>
              </x14:cfvo>
              <x14:cfvo type="num">
                <xm:f>1</xm:f>
              </x14:cfvo>
              <x14:borderColor theme="0"/>
              <x14:negativeFillColor rgb="FFFF0000"/>
              <x14:axisColor rgb="FF000000"/>
            </x14:dataBar>
          </x14:cfRule>
          <xm:sqref>L112 L110</xm:sqref>
        </x14:conditionalFormatting>
        <x14:conditionalFormatting xmlns:xm="http://schemas.microsoft.com/office/excel/2006/main">
          <x14:cfRule type="dataBar" id="{A3447C9B-55E4-4697-AC05-4F80F0BE8A8C}">
            <x14:dataBar minLength="0" maxLength="100" border="1" gradient="0">
              <x14:cfvo type="num">
                <xm:f>0</xm:f>
              </x14:cfvo>
              <x14:cfvo type="num">
                <xm:f>1</xm:f>
              </x14:cfvo>
              <x14:borderColor theme="0"/>
              <x14:negativeFillColor rgb="FFFF0000"/>
              <x14:axisColor rgb="FF000000"/>
            </x14:dataBar>
          </x14:cfRule>
          <xm:sqref>L114</xm:sqref>
        </x14:conditionalFormatting>
        <x14:conditionalFormatting xmlns:xm="http://schemas.microsoft.com/office/excel/2006/main">
          <x14:cfRule type="dataBar" id="{219F98E5-9A13-4406-A322-6240309E2166}">
            <x14:dataBar minLength="0" maxLength="100" border="1" gradient="0">
              <x14:cfvo type="num">
                <xm:f>0</xm:f>
              </x14:cfvo>
              <x14:cfvo type="num">
                <xm:f>1</xm:f>
              </x14:cfvo>
              <x14:borderColor theme="0"/>
              <x14:negativeFillColor rgb="FFFF0000"/>
              <x14:axisColor rgb="FF000000"/>
            </x14:dataBar>
          </x14:cfRule>
          <xm:sqref>L116</xm:sqref>
        </x14:conditionalFormatting>
        <x14:conditionalFormatting xmlns:xm="http://schemas.microsoft.com/office/excel/2006/main">
          <x14:cfRule type="dataBar" id="{F83F4586-ACBB-41F0-BA36-75E3012198F8}">
            <x14:dataBar minLength="0" maxLength="100" border="1" gradient="0">
              <x14:cfvo type="num">
                <xm:f>0</xm:f>
              </x14:cfvo>
              <x14:cfvo type="num">
                <xm:f>1</xm:f>
              </x14:cfvo>
              <x14:borderColor theme="0"/>
              <x14:negativeFillColor rgb="FFFF0000"/>
              <x14:axisColor rgb="FF000000"/>
            </x14:dataBar>
          </x14:cfRule>
          <xm:sqref>L118</xm:sqref>
        </x14:conditionalFormatting>
        <x14:conditionalFormatting xmlns:xm="http://schemas.microsoft.com/office/excel/2006/main">
          <x14:cfRule type="dataBar" id="{AA465D6D-92E4-48CC-B11D-B60915A08C33}">
            <x14:dataBar minLength="0" maxLength="100" border="1" gradient="0">
              <x14:cfvo type="num">
                <xm:f>0</xm:f>
              </x14:cfvo>
              <x14:cfvo type="num">
                <xm:f>1</xm:f>
              </x14:cfvo>
              <x14:borderColor theme="0"/>
              <x14:negativeFillColor rgb="FFFF0000"/>
              <x14:axisColor rgb="FF000000"/>
            </x14:dataBar>
          </x14:cfRule>
          <xm:sqref>L121 L123</xm:sqref>
        </x14:conditionalFormatting>
        <x14:conditionalFormatting xmlns:xm="http://schemas.microsoft.com/office/excel/2006/main">
          <x14:cfRule type="dataBar" id="{98BC77B1-8CC5-472E-A95B-DAD071FABD3E}">
            <x14:dataBar minLength="0" maxLength="100" border="1" gradient="0">
              <x14:cfvo type="num">
                <xm:f>0</xm:f>
              </x14:cfvo>
              <x14:cfvo type="num">
                <xm:f>1</xm:f>
              </x14:cfvo>
              <x14:borderColor theme="0"/>
              <x14:negativeFillColor rgb="FFFF0000"/>
              <x14:axisColor rgb="FF000000"/>
            </x14:dataBar>
          </x14:cfRule>
          <xm:sqref>L125</xm:sqref>
        </x14:conditionalFormatting>
        <x14:conditionalFormatting xmlns:xm="http://schemas.microsoft.com/office/excel/2006/main">
          <x14:cfRule type="dataBar" id="{06BF59AB-4A29-41F5-A9FF-6F78FFE87175}">
            <x14:dataBar minLength="0" maxLength="100" border="1" gradient="0">
              <x14:cfvo type="num">
                <xm:f>0</xm:f>
              </x14:cfvo>
              <x14:cfvo type="num">
                <xm:f>1</xm:f>
              </x14:cfvo>
              <x14:borderColor theme="0"/>
              <x14:negativeFillColor rgb="FFFF0000"/>
              <x14:axisColor rgb="FF000000"/>
            </x14:dataBar>
          </x14:cfRule>
          <xm:sqref>L127</xm:sqref>
        </x14:conditionalFormatting>
        <x14:conditionalFormatting xmlns:xm="http://schemas.microsoft.com/office/excel/2006/main">
          <x14:cfRule type="dataBar" id="{E5986DFB-206F-417A-B043-9192DB01AC3D}">
            <x14:dataBar minLength="0" maxLength="100" border="1" gradient="0">
              <x14:cfvo type="num">
                <xm:f>0</xm:f>
              </x14:cfvo>
              <x14:cfvo type="num">
                <xm:f>1</xm:f>
              </x14:cfvo>
              <x14:borderColor theme="0"/>
              <x14:negativeFillColor rgb="FFFF0000"/>
              <x14:axisColor rgb="FF000000"/>
            </x14:dataBar>
          </x14:cfRule>
          <xm:sqref>L129</xm:sqref>
        </x14:conditionalFormatting>
        <x14:conditionalFormatting xmlns:xm="http://schemas.microsoft.com/office/excel/2006/main">
          <x14:cfRule type="dataBar" id="{3D4356E6-819B-420B-A6C2-B7E9AC547689}">
            <x14:dataBar minLength="0" maxLength="100" border="1" gradient="0">
              <x14:cfvo type="num">
                <xm:f>0</xm:f>
              </x14:cfvo>
              <x14:cfvo type="num">
                <xm:f>1</xm:f>
              </x14:cfvo>
              <x14:borderColor theme="0"/>
              <x14:negativeFillColor rgb="FFFF0000"/>
              <x14:axisColor rgb="FF000000"/>
            </x14:dataBar>
          </x14:cfRule>
          <xm:sqref>BK9</xm:sqref>
        </x14:conditionalFormatting>
        <x14:conditionalFormatting xmlns:xm="http://schemas.microsoft.com/office/excel/2006/main">
          <x14:cfRule type="dataBar" id="{5431DBC9-CDE7-4608-9FB1-5D79390CF1D6}">
            <x14:dataBar minLength="0" maxLength="100" border="1" gradient="0">
              <x14:cfvo type="num">
                <xm:f>0</xm:f>
              </x14:cfvo>
              <x14:cfvo type="num">
                <xm:f>1</xm:f>
              </x14:cfvo>
              <x14:borderColor theme="0"/>
              <x14:negativeFillColor rgb="FFFF0000"/>
              <x14:axisColor rgb="FF000000"/>
            </x14:dataBar>
          </x14:cfRule>
          <xm:sqref>BK15 BK13</xm:sqref>
        </x14:conditionalFormatting>
        <x14:conditionalFormatting xmlns:xm="http://schemas.microsoft.com/office/excel/2006/main">
          <x14:cfRule type="dataBar" id="{0A8CFC66-92F5-4558-A309-31C700A5946C}">
            <x14:dataBar minLength="0" maxLength="100" border="1" gradient="0">
              <x14:cfvo type="num">
                <xm:f>0</xm:f>
              </x14:cfvo>
              <x14:cfvo type="num">
                <xm:f>1</xm:f>
              </x14:cfvo>
              <x14:borderColor theme="0"/>
              <x14:negativeFillColor rgb="FFFF0000"/>
              <x14:axisColor rgb="FF000000"/>
            </x14:dataBar>
          </x14:cfRule>
          <xm:sqref>BK17</xm:sqref>
        </x14:conditionalFormatting>
        <x14:conditionalFormatting xmlns:xm="http://schemas.microsoft.com/office/excel/2006/main">
          <x14:cfRule type="dataBar" id="{6A8A0E37-AC4D-4FB4-A576-C87F491DEFC9}">
            <x14:dataBar minLength="0" maxLength="100" border="1" gradient="0">
              <x14:cfvo type="num">
                <xm:f>0</xm:f>
              </x14:cfvo>
              <x14:cfvo type="num">
                <xm:f>1</xm:f>
              </x14:cfvo>
              <x14:borderColor theme="0"/>
              <x14:negativeFillColor rgb="FFFF0000"/>
              <x14:axisColor rgb="FF000000"/>
            </x14:dataBar>
          </x14:cfRule>
          <xm:sqref>BK19</xm:sqref>
        </x14:conditionalFormatting>
        <x14:conditionalFormatting xmlns:xm="http://schemas.microsoft.com/office/excel/2006/main">
          <x14:cfRule type="dataBar" id="{84230838-1B0D-443C-BD39-C2C02017A577}">
            <x14:dataBar minLength="0" maxLength="100" border="1" gradient="0">
              <x14:cfvo type="num">
                <xm:f>0</xm:f>
              </x14:cfvo>
              <x14:cfvo type="num">
                <xm:f>1</xm:f>
              </x14:cfvo>
              <x14:borderColor theme="0"/>
              <x14:negativeFillColor rgb="FFFF0000"/>
              <x14:axisColor rgb="FF000000"/>
            </x14:dataBar>
          </x14:cfRule>
          <xm:sqref>BK21</xm:sqref>
        </x14:conditionalFormatting>
        <x14:conditionalFormatting xmlns:xm="http://schemas.microsoft.com/office/excel/2006/main">
          <x14:cfRule type="dataBar" id="{CE2C2B27-B8E8-4EE6-82CF-77752F10ABF0}">
            <x14:dataBar minLength="0" maxLength="100" border="1" gradient="0">
              <x14:cfvo type="num">
                <xm:f>0</xm:f>
              </x14:cfvo>
              <x14:cfvo type="num">
                <xm:f>1</xm:f>
              </x14:cfvo>
              <x14:borderColor theme="0"/>
              <x14:negativeFillColor rgb="FFFF0000"/>
              <x14:axisColor rgb="FF000000"/>
            </x14:dataBar>
          </x14:cfRule>
          <xm:sqref>BK25</xm:sqref>
        </x14:conditionalFormatting>
        <x14:conditionalFormatting xmlns:xm="http://schemas.microsoft.com/office/excel/2006/main">
          <x14:cfRule type="dataBar" id="{F31B9B2B-3883-4EB9-A310-1E1F97DCB2C9}">
            <x14:dataBar minLength="0" maxLength="100" border="1" gradient="0">
              <x14:cfvo type="num">
                <xm:f>0</xm:f>
              </x14:cfvo>
              <x14:cfvo type="num">
                <xm:f>1</xm:f>
              </x14:cfvo>
              <x14:borderColor theme="0"/>
              <x14:negativeFillColor rgb="FFFF0000"/>
              <x14:axisColor rgb="FF000000"/>
            </x14:dataBar>
          </x14:cfRule>
          <xm:sqref>BK29 BK31</xm:sqref>
        </x14:conditionalFormatting>
        <x14:conditionalFormatting xmlns:xm="http://schemas.microsoft.com/office/excel/2006/main">
          <x14:cfRule type="dataBar" id="{27AA216D-7D50-4983-B085-E259B1530AE5}">
            <x14:dataBar minLength="0" maxLength="100" border="1" gradient="0">
              <x14:cfvo type="num">
                <xm:f>0</xm:f>
              </x14:cfvo>
              <x14:cfvo type="num">
                <xm:f>1</xm:f>
              </x14:cfvo>
              <x14:borderColor theme="0"/>
              <x14:negativeFillColor rgb="FFFF0000"/>
              <x14:axisColor rgb="FF000000"/>
            </x14:dataBar>
          </x14:cfRule>
          <xm:sqref>BK33</xm:sqref>
        </x14:conditionalFormatting>
        <x14:conditionalFormatting xmlns:xm="http://schemas.microsoft.com/office/excel/2006/main">
          <x14:cfRule type="dataBar" id="{11A4D095-09A6-4C2C-B209-3C7139533745}">
            <x14:dataBar minLength="0" maxLength="100" border="1" gradient="0">
              <x14:cfvo type="num">
                <xm:f>0</xm:f>
              </x14:cfvo>
              <x14:cfvo type="num">
                <xm:f>1</xm:f>
              </x14:cfvo>
              <x14:borderColor theme="0"/>
              <x14:negativeFillColor rgb="FFFF0000"/>
              <x14:axisColor rgb="FF000000"/>
            </x14:dataBar>
          </x14:cfRule>
          <xm:sqref>BK35</xm:sqref>
        </x14:conditionalFormatting>
        <x14:conditionalFormatting xmlns:xm="http://schemas.microsoft.com/office/excel/2006/main">
          <x14:cfRule type="dataBar" id="{94134834-E4C7-4B0E-AC0F-D48FA7203EDA}">
            <x14:dataBar minLength="0" maxLength="100" border="1" gradient="0">
              <x14:cfvo type="num">
                <xm:f>0</xm:f>
              </x14:cfvo>
              <x14:cfvo type="num">
                <xm:f>1</xm:f>
              </x14:cfvo>
              <x14:borderColor theme="0"/>
              <x14:negativeFillColor rgb="FFFF0000"/>
              <x14:axisColor rgb="FF000000"/>
            </x14:dataBar>
          </x14:cfRule>
          <xm:sqref>BK37</xm:sqref>
        </x14:conditionalFormatting>
        <x14:conditionalFormatting xmlns:xm="http://schemas.microsoft.com/office/excel/2006/main">
          <x14:cfRule type="dataBar" id="{D5642501-C01E-430B-9F6D-8D04FDDBBAEF}">
            <x14:dataBar minLength="0" maxLength="100" border="1" gradient="0">
              <x14:cfvo type="num">
                <xm:f>0</xm:f>
              </x14:cfvo>
              <x14:cfvo type="num">
                <xm:f>1</xm:f>
              </x14:cfvo>
              <x14:borderColor theme="0"/>
              <x14:negativeFillColor rgb="FFFF0000"/>
              <x14:axisColor rgb="FF000000"/>
            </x14:dataBar>
          </x14:cfRule>
          <xm:sqref>BK41</xm:sqref>
        </x14:conditionalFormatting>
        <x14:conditionalFormatting xmlns:xm="http://schemas.microsoft.com/office/excel/2006/main">
          <x14:cfRule type="dataBar" id="{F195F1EC-E615-491A-BE10-749FB32922F4}">
            <x14:dataBar minLength="0" maxLength="100" border="1" gradient="0">
              <x14:cfvo type="num">
                <xm:f>0</xm:f>
              </x14:cfvo>
              <x14:cfvo type="num">
                <xm:f>1</xm:f>
              </x14:cfvo>
              <x14:borderColor theme="0"/>
              <x14:negativeFillColor rgb="FFFF0000"/>
              <x14:axisColor rgb="FF000000"/>
            </x14:dataBar>
          </x14:cfRule>
          <xm:sqref>BK45 BK47</xm:sqref>
        </x14:conditionalFormatting>
        <x14:conditionalFormatting xmlns:xm="http://schemas.microsoft.com/office/excel/2006/main">
          <x14:cfRule type="dataBar" id="{2B2AB05E-D0EC-40FB-BE39-1402820362ED}">
            <x14:dataBar minLength="0" maxLength="100" border="1" gradient="0">
              <x14:cfvo type="num">
                <xm:f>0</xm:f>
              </x14:cfvo>
              <x14:cfvo type="num">
                <xm:f>1</xm:f>
              </x14:cfvo>
              <x14:borderColor theme="0"/>
              <x14:negativeFillColor rgb="FFFF0000"/>
              <x14:axisColor rgb="FF000000"/>
            </x14:dataBar>
          </x14:cfRule>
          <xm:sqref>BK49</xm:sqref>
        </x14:conditionalFormatting>
        <x14:conditionalFormatting xmlns:xm="http://schemas.microsoft.com/office/excel/2006/main">
          <x14:cfRule type="dataBar" id="{A2DC7000-50A6-477E-8BCF-287790B8F708}">
            <x14:dataBar minLength="0" maxLength="100" border="1" gradient="0">
              <x14:cfvo type="num">
                <xm:f>0</xm:f>
              </x14:cfvo>
              <x14:cfvo type="num">
                <xm:f>1</xm:f>
              </x14:cfvo>
              <x14:borderColor theme="0"/>
              <x14:negativeFillColor rgb="FFFF0000"/>
              <x14:axisColor rgb="FF000000"/>
            </x14:dataBar>
          </x14:cfRule>
          <xm:sqref>BK51</xm:sqref>
        </x14:conditionalFormatting>
        <x14:conditionalFormatting xmlns:xm="http://schemas.microsoft.com/office/excel/2006/main">
          <x14:cfRule type="dataBar" id="{B07CA30C-731A-4194-A96C-1C3D336DDDD2}">
            <x14:dataBar minLength="0" maxLength="100" border="1" gradient="0">
              <x14:cfvo type="num">
                <xm:f>0</xm:f>
              </x14:cfvo>
              <x14:cfvo type="num">
                <xm:f>1</xm:f>
              </x14:cfvo>
              <x14:borderColor theme="0"/>
              <x14:negativeFillColor rgb="FFFF0000"/>
              <x14:axisColor rgb="FF000000"/>
            </x14:dataBar>
          </x14:cfRule>
          <xm:sqref>BK53</xm:sqref>
        </x14:conditionalFormatting>
        <x14:conditionalFormatting xmlns:xm="http://schemas.microsoft.com/office/excel/2006/main">
          <x14:cfRule type="dataBar" id="{A6650AD7-F576-4473-88A2-E7D8AA63E79A}">
            <x14:dataBar minLength="0" maxLength="100" border="1" gradient="0">
              <x14:cfvo type="num">
                <xm:f>0</xm:f>
              </x14:cfvo>
              <x14:cfvo type="num">
                <xm:f>1</xm:f>
              </x14:cfvo>
              <x14:borderColor theme="0"/>
              <x14:negativeFillColor rgb="FFFF0000"/>
              <x14:axisColor rgb="FF000000"/>
            </x14:dataBar>
          </x14:cfRule>
          <xm:sqref>BK57</xm:sqref>
        </x14:conditionalFormatting>
        <x14:conditionalFormatting xmlns:xm="http://schemas.microsoft.com/office/excel/2006/main">
          <x14:cfRule type="dataBar" id="{0A8017B0-0553-419F-BE6A-4C01A951D507}">
            <x14:dataBar minLength="0" maxLength="100" border="1" gradient="0">
              <x14:cfvo type="num">
                <xm:f>0</xm:f>
              </x14:cfvo>
              <x14:cfvo type="num">
                <xm:f>1</xm:f>
              </x14:cfvo>
              <x14:borderColor theme="0"/>
              <x14:negativeFillColor rgb="FFFF0000"/>
              <x14:axisColor rgb="FF000000"/>
            </x14:dataBar>
          </x14:cfRule>
          <xm:sqref>BK61 BK63</xm:sqref>
        </x14:conditionalFormatting>
        <x14:conditionalFormatting xmlns:xm="http://schemas.microsoft.com/office/excel/2006/main">
          <x14:cfRule type="dataBar" id="{15C1298E-BC0D-45D4-9A61-0A3875D7A2B7}">
            <x14:dataBar minLength="0" maxLength="100" border="1" gradient="0">
              <x14:cfvo type="num">
                <xm:f>0</xm:f>
              </x14:cfvo>
              <x14:cfvo type="num">
                <xm:f>1</xm:f>
              </x14:cfvo>
              <x14:borderColor theme="0"/>
              <x14:negativeFillColor rgb="FFFF0000"/>
              <x14:axisColor rgb="FF000000"/>
            </x14:dataBar>
          </x14:cfRule>
          <xm:sqref>BK65</xm:sqref>
        </x14:conditionalFormatting>
        <x14:conditionalFormatting xmlns:xm="http://schemas.microsoft.com/office/excel/2006/main">
          <x14:cfRule type="dataBar" id="{45FC64F0-752B-4BDA-88CF-087660CA128A}">
            <x14:dataBar minLength="0" maxLength="100" border="1" gradient="0">
              <x14:cfvo type="num">
                <xm:f>0</xm:f>
              </x14:cfvo>
              <x14:cfvo type="num">
                <xm:f>1</xm:f>
              </x14:cfvo>
              <x14:borderColor theme="0"/>
              <x14:negativeFillColor rgb="FFFF0000"/>
              <x14:axisColor rgb="FF000000"/>
            </x14:dataBar>
          </x14:cfRule>
          <xm:sqref>BK67</xm:sqref>
        </x14:conditionalFormatting>
        <x14:conditionalFormatting xmlns:xm="http://schemas.microsoft.com/office/excel/2006/main">
          <x14:cfRule type="dataBar" id="{D33F7EF4-5213-4A27-B5EE-2AD1EE3DD0BB}">
            <x14:dataBar minLength="0" maxLength="100" border="1" gradient="0">
              <x14:cfvo type="num">
                <xm:f>0</xm:f>
              </x14:cfvo>
              <x14:cfvo type="num">
                <xm:f>1</xm:f>
              </x14:cfvo>
              <x14:borderColor theme="0"/>
              <x14:negativeFillColor rgb="FFFF0000"/>
              <x14:axisColor rgb="FF000000"/>
            </x14:dataBar>
          </x14:cfRule>
          <xm:sqref>BK69</xm:sqref>
        </x14:conditionalFormatting>
        <x14:conditionalFormatting xmlns:xm="http://schemas.microsoft.com/office/excel/2006/main">
          <x14:cfRule type="dataBar" id="{FE5B132E-DDEE-4B22-B2D3-647F61E48861}">
            <x14:dataBar minLength="0" maxLength="100" border="1" gradient="0">
              <x14:cfvo type="num">
                <xm:f>0</xm:f>
              </x14:cfvo>
              <x14:cfvo type="num">
                <xm:f>1</xm:f>
              </x14:cfvo>
              <x14:borderColor theme="0"/>
              <x14:negativeFillColor rgb="FFFF0000"/>
              <x14:axisColor rgb="FF000000"/>
            </x14:dataBar>
          </x14:cfRule>
          <xm:sqref>BK74</xm:sqref>
        </x14:conditionalFormatting>
        <x14:conditionalFormatting xmlns:xm="http://schemas.microsoft.com/office/excel/2006/main">
          <x14:cfRule type="dataBar" id="{6379D10B-9E7B-442E-8CE3-81501B2080A2}">
            <x14:dataBar minLength="0" maxLength="100" border="1" gradient="0">
              <x14:cfvo type="num">
                <xm:f>0</xm:f>
              </x14:cfvo>
              <x14:cfvo type="num">
                <xm:f>1</xm:f>
              </x14:cfvo>
              <x14:borderColor theme="0"/>
              <x14:negativeFillColor rgb="FFFF0000"/>
              <x14:axisColor rgb="FF000000"/>
            </x14:dataBar>
          </x14:cfRule>
          <xm:sqref>BK78 BK80</xm:sqref>
        </x14:conditionalFormatting>
        <x14:conditionalFormatting xmlns:xm="http://schemas.microsoft.com/office/excel/2006/main">
          <x14:cfRule type="dataBar" id="{A9014742-C9D6-497C-9612-751D9FB0BCA2}">
            <x14:dataBar minLength="0" maxLength="100" border="1" gradient="0">
              <x14:cfvo type="num">
                <xm:f>0</xm:f>
              </x14:cfvo>
              <x14:cfvo type="num">
                <xm:f>1</xm:f>
              </x14:cfvo>
              <x14:borderColor theme="0"/>
              <x14:negativeFillColor rgb="FFFF0000"/>
              <x14:axisColor rgb="FF000000"/>
            </x14:dataBar>
          </x14:cfRule>
          <xm:sqref>BK82</xm:sqref>
        </x14:conditionalFormatting>
        <x14:conditionalFormatting xmlns:xm="http://schemas.microsoft.com/office/excel/2006/main">
          <x14:cfRule type="dataBar" id="{2EAB503B-683E-4486-85B8-F60622CED7AC}">
            <x14:dataBar minLength="0" maxLength="100" border="1" gradient="0">
              <x14:cfvo type="num">
                <xm:f>0</xm:f>
              </x14:cfvo>
              <x14:cfvo type="num">
                <xm:f>1</xm:f>
              </x14:cfvo>
              <x14:borderColor theme="0"/>
              <x14:negativeFillColor rgb="FFFF0000"/>
              <x14:axisColor rgb="FF000000"/>
            </x14:dataBar>
          </x14:cfRule>
          <xm:sqref>BK84</xm:sqref>
        </x14:conditionalFormatting>
        <x14:conditionalFormatting xmlns:xm="http://schemas.microsoft.com/office/excel/2006/main">
          <x14:cfRule type="dataBar" id="{2DFA8350-1BAF-4E00-BBAE-BE2383892767}">
            <x14:dataBar minLength="0" maxLength="100" border="1" gradient="0">
              <x14:cfvo type="num">
                <xm:f>0</xm:f>
              </x14:cfvo>
              <x14:cfvo type="num">
                <xm:f>1</xm:f>
              </x14:cfvo>
              <x14:borderColor theme="0"/>
              <x14:negativeFillColor rgb="FFFF0000"/>
              <x14:axisColor rgb="FF000000"/>
            </x14:dataBar>
          </x14:cfRule>
          <xm:sqref>BK86</xm:sqref>
        </x14:conditionalFormatting>
        <x14:conditionalFormatting xmlns:xm="http://schemas.microsoft.com/office/excel/2006/main">
          <x14:cfRule type="dataBar" id="{1ED4CFC6-4F34-4E13-BB1C-1983BE6DEE07}">
            <x14:dataBar minLength="0" maxLength="100" border="1" gradient="0">
              <x14:cfvo type="num">
                <xm:f>0</xm:f>
              </x14:cfvo>
              <x14:cfvo type="num">
                <xm:f>1</xm:f>
              </x14:cfvo>
              <x14:borderColor theme="0"/>
              <x14:negativeFillColor rgb="FFFF0000"/>
              <x14:axisColor rgb="FF000000"/>
            </x14:dataBar>
          </x14:cfRule>
          <xm:sqref>BK90</xm:sqref>
        </x14:conditionalFormatting>
        <x14:conditionalFormatting xmlns:xm="http://schemas.microsoft.com/office/excel/2006/main">
          <x14:cfRule type="dataBar" id="{D2363E09-CDCD-4C5B-A103-BF3602363CBE}">
            <x14:dataBar minLength="0" maxLength="100" border="1" gradient="0">
              <x14:cfvo type="num">
                <xm:f>0</xm:f>
              </x14:cfvo>
              <x14:cfvo type="num">
                <xm:f>1</xm:f>
              </x14:cfvo>
              <x14:borderColor theme="0"/>
              <x14:negativeFillColor rgb="FFFF0000"/>
              <x14:axisColor rgb="FF000000"/>
            </x14:dataBar>
          </x14:cfRule>
          <xm:sqref>BK94 BK96</xm:sqref>
        </x14:conditionalFormatting>
        <x14:conditionalFormatting xmlns:xm="http://schemas.microsoft.com/office/excel/2006/main">
          <x14:cfRule type="dataBar" id="{EC984957-35AB-4E1F-A813-1C2A27BB3508}">
            <x14:dataBar minLength="0" maxLength="100" border="1" gradient="0">
              <x14:cfvo type="num">
                <xm:f>0</xm:f>
              </x14:cfvo>
              <x14:cfvo type="num">
                <xm:f>1</xm:f>
              </x14:cfvo>
              <x14:borderColor theme="0"/>
              <x14:negativeFillColor rgb="FFFF0000"/>
              <x14:axisColor rgb="FF000000"/>
            </x14:dataBar>
          </x14:cfRule>
          <xm:sqref>BK98</xm:sqref>
        </x14:conditionalFormatting>
        <x14:conditionalFormatting xmlns:xm="http://schemas.microsoft.com/office/excel/2006/main">
          <x14:cfRule type="dataBar" id="{6CDFE56A-4F4E-40D8-8F85-27CDD2FE154D}">
            <x14:dataBar minLength="0" maxLength="100" border="1" gradient="0">
              <x14:cfvo type="num">
                <xm:f>0</xm:f>
              </x14:cfvo>
              <x14:cfvo type="num">
                <xm:f>1</xm:f>
              </x14:cfvo>
              <x14:borderColor theme="0"/>
              <x14:negativeFillColor rgb="FFFF0000"/>
              <x14:axisColor rgb="FF000000"/>
            </x14:dataBar>
          </x14:cfRule>
          <xm:sqref>BK100</xm:sqref>
        </x14:conditionalFormatting>
        <x14:conditionalFormatting xmlns:xm="http://schemas.microsoft.com/office/excel/2006/main">
          <x14:cfRule type="dataBar" id="{4D8BAEA7-5239-43A2-815D-3E7E9DF4F7A1}">
            <x14:dataBar minLength="0" maxLength="100" border="1" gradient="0">
              <x14:cfvo type="num">
                <xm:f>0</xm:f>
              </x14:cfvo>
              <x14:cfvo type="num">
                <xm:f>1</xm:f>
              </x14:cfvo>
              <x14:borderColor theme="0"/>
              <x14:negativeFillColor rgb="FFFF0000"/>
              <x14:axisColor rgb="FF000000"/>
            </x14:dataBar>
          </x14:cfRule>
          <xm:sqref>BK102</xm:sqref>
        </x14:conditionalFormatting>
        <x14:conditionalFormatting xmlns:xm="http://schemas.microsoft.com/office/excel/2006/main">
          <x14:cfRule type="dataBar" id="{3C9C39C9-8B8C-4900-9440-E86712EDB54D}">
            <x14:dataBar minLength="0" maxLength="100" border="1" gradient="0">
              <x14:cfvo type="num">
                <xm:f>0</xm:f>
              </x14:cfvo>
              <x14:cfvo type="num">
                <xm:f>1</xm:f>
              </x14:cfvo>
              <x14:borderColor theme="0"/>
              <x14:negativeFillColor rgb="FFFF0000"/>
              <x14:axisColor rgb="FF000000"/>
            </x14:dataBar>
          </x14:cfRule>
          <xm:sqref>BK106</xm:sqref>
        </x14:conditionalFormatting>
        <x14:conditionalFormatting xmlns:xm="http://schemas.microsoft.com/office/excel/2006/main">
          <x14:cfRule type="dataBar" id="{76BB074A-08BA-4400-B121-BDA0BC13E1D7}">
            <x14:dataBar minLength="0" maxLength="100" border="1" gradient="0">
              <x14:cfvo type="num">
                <xm:f>0</xm:f>
              </x14:cfvo>
              <x14:cfvo type="num">
                <xm:f>1</xm:f>
              </x14:cfvo>
              <x14:borderColor theme="0"/>
              <x14:negativeFillColor rgb="FFFF0000"/>
              <x14:axisColor rgb="FF000000"/>
            </x14:dataBar>
          </x14:cfRule>
          <xm:sqref>BK110 BK112</xm:sqref>
        </x14:conditionalFormatting>
        <x14:conditionalFormatting xmlns:xm="http://schemas.microsoft.com/office/excel/2006/main">
          <x14:cfRule type="dataBar" id="{D47C3DE3-B1EC-4F31-9F3E-2F0AF0E02C1D}">
            <x14:dataBar minLength="0" maxLength="100" border="1" gradient="0">
              <x14:cfvo type="num">
                <xm:f>0</xm:f>
              </x14:cfvo>
              <x14:cfvo type="num">
                <xm:f>1</xm:f>
              </x14:cfvo>
              <x14:borderColor theme="0"/>
              <x14:negativeFillColor rgb="FFFF0000"/>
              <x14:axisColor rgb="FF000000"/>
            </x14:dataBar>
          </x14:cfRule>
          <xm:sqref>BK114</xm:sqref>
        </x14:conditionalFormatting>
        <x14:conditionalFormatting xmlns:xm="http://schemas.microsoft.com/office/excel/2006/main">
          <x14:cfRule type="dataBar" id="{549C30DB-5FC3-4345-81D3-A9568A172A4A}">
            <x14:dataBar minLength="0" maxLength="100" border="1" gradient="0">
              <x14:cfvo type="num">
                <xm:f>0</xm:f>
              </x14:cfvo>
              <x14:cfvo type="num">
                <xm:f>1</xm:f>
              </x14:cfvo>
              <x14:borderColor theme="0"/>
              <x14:negativeFillColor rgb="FFFF0000"/>
              <x14:axisColor rgb="FF000000"/>
            </x14:dataBar>
          </x14:cfRule>
          <xm:sqref>BK116</xm:sqref>
        </x14:conditionalFormatting>
        <x14:conditionalFormatting xmlns:xm="http://schemas.microsoft.com/office/excel/2006/main">
          <x14:cfRule type="dataBar" id="{C41EE22D-9C92-4870-B3FA-F636B2A84153}">
            <x14:dataBar minLength="0" maxLength="100" border="1" gradient="0">
              <x14:cfvo type="num">
                <xm:f>0</xm:f>
              </x14:cfvo>
              <x14:cfvo type="num">
                <xm:f>1</xm:f>
              </x14:cfvo>
              <x14:borderColor theme="0"/>
              <x14:negativeFillColor rgb="FFFF0000"/>
              <x14:axisColor rgb="FF000000"/>
            </x14:dataBar>
          </x14:cfRule>
          <xm:sqref>BK118</xm:sqref>
        </x14:conditionalFormatting>
        <x14:conditionalFormatting xmlns:xm="http://schemas.microsoft.com/office/excel/2006/main">
          <x14:cfRule type="dataBar" id="{494B9E5D-F248-4503-AF56-D0E79277B101}">
            <x14:dataBar minLength="0" maxLength="100" border="1" gradient="0">
              <x14:cfvo type="num">
                <xm:f>0</xm:f>
              </x14:cfvo>
              <x14:cfvo type="num">
                <xm:f>1</xm:f>
              </x14:cfvo>
              <x14:borderColor theme="0"/>
              <x14:negativeFillColor rgb="FFFF0000"/>
              <x14:axisColor rgb="FF000000"/>
            </x14:dataBar>
          </x14:cfRule>
          <xm:sqref>BK121 BK123</xm:sqref>
        </x14:conditionalFormatting>
        <x14:conditionalFormatting xmlns:xm="http://schemas.microsoft.com/office/excel/2006/main">
          <x14:cfRule type="dataBar" id="{79F941E9-D54C-43C9-BD39-4E46158E3FFF}">
            <x14:dataBar minLength="0" maxLength="100" border="1" gradient="0">
              <x14:cfvo type="num">
                <xm:f>0</xm:f>
              </x14:cfvo>
              <x14:cfvo type="num">
                <xm:f>1</xm:f>
              </x14:cfvo>
              <x14:borderColor theme="0"/>
              <x14:negativeFillColor rgb="FFFF0000"/>
              <x14:axisColor rgb="FF000000"/>
            </x14:dataBar>
          </x14:cfRule>
          <xm:sqref>BK125</xm:sqref>
        </x14:conditionalFormatting>
        <x14:conditionalFormatting xmlns:xm="http://schemas.microsoft.com/office/excel/2006/main">
          <x14:cfRule type="dataBar" id="{43AB08CA-D78B-4C6C-8C34-F38CBF230E96}">
            <x14:dataBar minLength="0" maxLength="100" border="1" gradient="0">
              <x14:cfvo type="num">
                <xm:f>0</xm:f>
              </x14:cfvo>
              <x14:cfvo type="num">
                <xm:f>1</xm:f>
              </x14:cfvo>
              <x14:borderColor theme="0"/>
              <x14:negativeFillColor rgb="FFFF0000"/>
              <x14:axisColor rgb="FF000000"/>
            </x14:dataBar>
          </x14:cfRule>
          <xm:sqref>BK127</xm:sqref>
        </x14:conditionalFormatting>
        <x14:conditionalFormatting xmlns:xm="http://schemas.microsoft.com/office/excel/2006/main">
          <x14:cfRule type="dataBar" id="{D8F90267-980A-46C4-95F7-2362C0D50CE0}">
            <x14:dataBar minLength="0" maxLength="100" border="1" gradient="0">
              <x14:cfvo type="num">
                <xm:f>0</xm:f>
              </x14:cfvo>
              <x14:cfvo type="num">
                <xm:f>1</xm:f>
              </x14:cfvo>
              <x14:borderColor theme="0"/>
              <x14:negativeFillColor rgb="FFFF0000"/>
              <x14:axisColor rgb="FF000000"/>
            </x14:dataBar>
          </x14:cfRule>
          <xm:sqref>BK129</xm:sqref>
        </x14:conditionalFormatting>
        <x14:conditionalFormatting xmlns:xm="http://schemas.microsoft.com/office/excel/2006/main">
          <x14:cfRule type="dataBar" id="{C89EA86C-CCCC-4038-8AA0-49E3B636780D}">
            <x14:dataBar minLength="0" maxLength="100" border="1" gradient="0">
              <x14:cfvo type="num">
                <xm:f>0</xm:f>
              </x14:cfvo>
              <x14:cfvo type="num">
                <xm:f>1</xm:f>
              </x14:cfvo>
              <x14:borderColor theme="0"/>
              <x14:negativeFillColor rgb="FFFF0000"/>
              <x14:axisColor rgb="FF000000"/>
            </x14:dataBar>
          </x14:cfRule>
          <xm:sqref>BP9</xm:sqref>
        </x14:conditionalFormatting>
        <x14:conditionalFormatting xmlns:xm="http://schemas.microsoft.com/office/excel/2006/main">
          <x14:cfRule type="dataBar" id="{07B18421-8634-495D-A5C9-50CD210A5652}">
            <x14:dataBar minLength="0" maxLength="100" border="1" gradient="0">
              <x14:cfvo type="num">
                <xm:f>0</xm:f>
              </x14:cfvo>
              <x14:cfvo type="num">
                <xm:f>1</xm:f>
              </x14:cfvo>
              <x14:borderColor theme="0"/>
              <x14:negativeFillColor rgb="FFFF0000"/>
              <x14:axisColor rgb="FF000000"/>
            </x14:dataBar>
          </x14:cfRule>
          <xm:sqref>BP13 BP15 BP17 BP19 BP21</xm:sqref>
        </x14:conditionalFormatting>
        <x14:conditionalFormatting xmlns:xm="http://schemas.microsoft.com/office/excel/2006/main">
          <x14:cfRule type="dataBar" id="{A8C9941E-C5B7-4964-8798-C144FAE3A9A6}">
            <x14:dataBar minLength="0" maxLength="100" border="1" gradient="0">
              <x14:cfvo type="num">
                <xm:f>0</xm:f>
              </x14:cfvo>
              <x14:cfvo type="num">
                <xm:f>1</xm:f>
              </x14:cfvo>
              <x14:borderColor theme="0"/>
              <x14:negativeFillColor rgb="FFFF0000"/>
              <x14:axisColor rgb="FF000000"/>
            </x14:dataBar>
          </x14:cfRule>
          <xm:sqref>BP25</xm:sqref>
        </x14:conditionalFormatting>
        <x14:conditionalFormatting xmlns:xm="http://schemas.microsoft.com/office/excel/2006/main">
          <x14:cfRule type="dataBar" id="{49BFCBE1-1983-43F8-A580-CD9E812CB36D}">
            <x14:dataBar minLength="0" maxLength="100" border="1" gradient="0">
              <x14:cfvo type="num">
                <xm:f>0</xm:f>
              </x14:cfvo>
              <x14:cfvo type="num">
                <xm:f>1</xm:f>
              </x14:cfvo>
              <x14:borderColor theme="0"/>
              <x14:negativeFillColor rgb="FFFF0000"/>
              <x14:axisColor rgb="FF000000"/>
            </x14:dataBar>
          </x14:cfRule>
          <xm:sqref>BP29 BP31</xm:sqref>
        </x14:conditionalFormatting>
        <x14:conditionalFormatting xmlns:xm="http://schemas.microsoft.com/office/excel/2006/main">
          <x14:cfRule type="dataBar" id="{B4F77A41-71EA-4A59-9DD5-CE9B16CDE067}">
            <x14:dataBar minLength="0" maxLength="100" border="1" gradient="0">
              <x14:cfvo type="num">
                <xm:f>0</xm:f>
              </x14:cfvo>
              <x14:cfvo type="num">
                <xm:f>1</xm:f>
              </x14:cfvo>
              <x14:borderColor theme="0"/>
              <x14:negativeFillColor rgb="FFFF0000"/>
              <x14:axisColor rgb="FF000000"/>
            </x14:dataBar>
          </x14:cfRule>
          <xm:sqref>BP33</xm:sqref>
        </x14:conditionalFormatting>
        <x14:conditionalFormatting xmlns:xm="http://schemas.microsoft.com/office/excel/2006/main">
          <x14:cfRule type="dataBar" id="{0E5694EA-A24F-42CD-B338-F00DEE02102B}">
            <x14:dataBar minLength="0" maxLength="100" border="1" gradient="0">
              <x14:cfvo type="num">
                <xm:f>0</xm:f>
              </x14:cfvo>
              <x14:cfvo type="num">
                <xm:f>1</xm:f>
              </x14:cfvo>
              <x14:borderColor theme="0"/>
              <x14:negativeFillColor rgb="FFFF0000"/>
              <x14:axisColor rgb="FF000000"/>
            </x14:dataBar>
          </x14:cfRule>
          <xm:sqref>BP35</xm:sqref>
        </x14:conditionalFormatting>
        <x14:conditionalFormatting xmlns:xm="http://schemas.microsoft.com/office/excel/2006/main">
          <x14:cfRule type="dataBar" id="{84BF53F0-C743-4EAF-A06B-C13C197AB186}">
            <x14:dataBar minLength="0" maxLength="100" border="1" gradient="0">
              <x14:cfvo type="num">
                <xm:f>0</xm:f>
              </x14:cfvo>
              <x14:cfvo type="num">
                <xm:f>1</xm:f>
              </x14:cfvo>
              <x14:borderColor theme="0"/>
              <x14:negativeFillColor rgb="FFFF0000"/>
              <x14:axisColor rgb="FF000000"/>
            </x14:dataBar>
          </x14:cfRule>
          <xm:sqref>BP37</xm:sqref>
        </x14:conditionalFormatting>
        <x14:conditionalFormatting xmlns:xm="http://schemas.microsoft.com/office/excel/2006/main">
          <x14:cfRule type="dataBar" id="{7DB6C36B-2BDF-4D74-9567-303F0CECEBAF}">
            <x14:dataBar minLength="0" maxLength="100" border="1" gradient="0">
              <x14:cfvo type="num">
                <xm:f>0</xm:f>
              </x14:cfvo>
              <x14:cfvo type="num">
                <xm:f>1</xm:f>
              </x14:cfvo>
              <x14:borderColor theme="0"/>
              <x14:negativeFillColor rgb="FFFF0000"/>
              <x14:axisColor rgb="FF000000"/>
            </x14:dataBar>
          </x14:cfRule>
          <xm:sqref>BP41</xm:sqref>
        </x14:conditionalFormatting>
        <x14:conditionalFormatting xmlns:xm="http://schemas.microsoft.com/office/excel/2006/main">
          <x14:cfRule type="dataBar" id="{4A7608E9-172F-487C-92B1-D055334BE640}">
            <x14:dataBar minLength="0" maxLength="100" border="1" gradient="0">
              <x14:cfvo type="num">
                <xm:f>0</xm:f>
              </x14:cfvo>
              <x14:cfvo type="num">
                <xm:f>1</xm:f>
              </x14:cfvo>
              <x14:borderColor theme="0"/>
              <x14:negativeFillColor rgb="FFFF0000"/>
              <x14:axisColor rgb="FF000000"/>
            </x14:dataBar>
          </x14:cfRule>
          <xm:sqref>BP45 BP47</xm:sqref>
        </x14:conditionalFormatting>
        <x14:conditionalFormatting xmlns:xm="http://schemas.microsoft.com/office/excel/2006/main">
          <x14:cfRule type="dataBar" id="{2F672535-D488-443C-87C8-4A23253EADD2}">
            <x14:dataBar minLength="0" maxLength="100" border="1" gradient="0">
              <x14:cfvo type="num">
                <xm:f>0</xm:f>
              </x14:cfvo>
              <x14:cfvo type="num">
                <xm:f>1</xm:f>
              </x14:cfvo>
              <x14:borderColor theme="0"/>
              <x14:negativeFillColor rgb="FFFF0000"/>
              <x14:axisColor rgb="FF000000"/>
            </x14:dataBar>
          </x14:cfRule>
          <xm:sqref>BP49</xm:sqref>
        </x14:conditionalFormatting>
        <x14:conditionalFormatting xmlns:xm="http://schemas.microsoft.com/office/excel/2006/main">
          <x14:cfRule type="dataBar" id="{2F23F50F-C6E9-4DE3-9000-0BBEB428B693}">
            <x14:dataBar minLength="0" maxLength="100" border="1" gradient="0">
              <x14:cfvo type="num">
                <xm:f>0</xm:f>
              </x14:cfvo>
              <x14:cfvo type="num">
                <xm:f>1</xm:f>
              </x14:cfvo>
              <x14:borderColor theme="0"/>
              <x14:negativeFillColor rgb="FFFF0000"/>
              <x14:axisColor rgb="FF000000"/>
            </x14:dataBar>
          </x14:cfRule>
          <xm:sqref>BP51</xm:sqref>
        </x14:conditionalFormatting>
        <x14:conditionalFormatting xmlns:xm="http://schemas.microsoft.com/office/excel/2006/main">
          <x14:cfRule type="dataBar" id="{1DB057AF-1AB2-4BAB-85C5-70BDDB2C13C7}">
            <x14:dataBar minLength="0" maxLength="100" border="1" gradient="0">
              <x14:cfvo type="num">
                <xm:f>0</xm:f>
              </x14:cfvo>
              <x14:cfvo type="num">
                <xm:f>1</xm:f>
              </x14:cfvo>
              <x14:borderColor theme="0"/>
              <x14:negativeFillColor rgb="FFFF0000"/>
              <x14:axisColor rgb="FF000000"/>
            </x14:dataBar>
          </x14:cfRule>
          <xm:sqref>BP53</xm:sqref>
        </x14:conditionalFormatting>
        <x14:conditionalFormatting xmlns:xm="http://schemas.microsoft.com/office/excel/2006/main">
          <x14:cfRule type="dataBar" id="{6BDCD234-BA67-42CC-AEE9-1BA2BA8E8E78}">
            <x14:dataBar minLength="0" maxLength="100" border="1" gradient="0">
              <x14:cfvo type="num">
                <xm:f>0</xm:f>
              </x14:cfvo>
              <x14:cfvo type="num">
                <xm:f>1</xm:f>
              </x14:cfvo>
              <x14:borderColor theme="0"/>
              <x14:negativeFillColor rgb="FFFF0000"/>
              <x14:axisColor rgb="FF000000"/>
            </x14:dataBar>
          </x14:cfRule>
          <xm:sqref>BP57</xm:sqref>
        </x14:conditionalFormatting>
        <x14:conditionalFormatting xmlns:xm="http://schemas.microsoft.com/office/excel/2006/main">
          <x14:cfRule type="dataBar" id="{C1D0DE7F-9C5E-4214-855A-5BCC16EBA733}">
            <x14:dataBar minLength="0" maxLength="100" border="1" gradient="0">
              <x14:cfvo type="num">
                <xm:f>0</xm:f>
              </x14:cfvo>
              <x14:cfvo type="num">
                <xm:f>1</xm:f>
              </x14:cfvo>
              <x14:borderColor theme="0"/>
              <x14:negativeFillColor rgb="FFFF0000"/>
              <x14:axisColor rgb="FF000000"/>
            </x14:dataBar>
          </x14:cfRule>
          <xm:sqref>BP61 BP63</xm:sqref>
        </x14:conditionalFormatting>
        <x14:conditionalFormatting xmlns:xm="http://schemas.microsoft.com/office/excel/2006/main">
          <x14:cfRule type="dataBar" id="{9BB59C03-9A7F-45D8-9381-B040BF8F5C03}">
            <x14:dataBar minLength="0" maxLength="100" border="1" gradient="0">
              <x14:cfvo type="num">
                <xm:f>0</xm:f>
              </x14:cfvo>
              <x14:cfvo type="num">
                <xm:f>1</xm:f>
              </x14:cfvo>
              <x14:borderColor theme="0"/>
              <x14:negativeFillColor rgb="FFFF0000"/>
              <x14:axisColor rgb="FF000000"/>
            </x14:dataBar>
          </x14:cfRule>
          <xm:sqref>BP65 BP67 BP69</xm:sqref>
        </x14:conditionalFormatting>
        <x14:conditionalFormatting xmlns:xm="http://schemas.microsoft.com/office/excel/2006/main">
          <x14:cfRule type="dataBar" id="{D8A951DE-4387-4B7F-800E-A88910EAE4AC}">
            <x14:dataBar minLength="0" maxLength="100" border="1" gradient="0">
              <x14:cfvo type="num">
                <xm:f>0</xm:f>
              </x14:cfvo>
              <x14:cfvo type="num">
                <xm:f>1</xm:f>
              </x14:cfvo>
              <x14:borderColor theme="0"/>
              <x14:negativeFillColor rgb="FFFF0000"/>
              <x14:axisColor rgb="FF000000"/>
            </x14:dataBar>
          </x14:cfRule>
          <xm:sqref>BP74</xm:sqref>
        </x14:conditionalFormatting>
        <x14:conditionalFormatting xmlns:xm="http://schemas.microsoft.com/office/excel/2006/main">
          <x14:cfRule type="dataBar" id="{BF21EC37-C210-4326-A316-366950588669}">
            <x14:dataBar minLength="0" maxLength="100" border="1" gradient="0">
              <x14:cfvo type="num">
                <xm:f>0</xm:f>
              </x14:cfvo>
              <x14:cfvo type="num">
                <xm:f>1</xm:f>
              </x14:cfvo>
              <x14:borderColor theme="0"/>
              <x14:negativeFillColor rgb="FFFF0000"/>
              <x14:axisColor rgb="FF000000"/>
            </x14:dataBar>
          </x14:cfRule>
          <xm:sqref>BP80 BP78</xm:sqref>
        </x14:conditionalFormatting>
        <x14:conditionalFormatting xmlns:xm="http://schemas.microsoft.com/office/excel/2006/main">
          <x14:cfRule type="dataBar" id="{F07F9C4A-28E4-4442-A539-9A903C46F94F}">
            <x14:dataBar minLength="0" maxLength="100" border="1" gradient="0">
              <x14:cfvo type="num">
                <xm:f>0</xm:f>
              </x14:cfvo>
              <x14:cfvo type="num">
                <xm:f>1</xm:f>
              </x14:cfvo>
              <x14:borderColor theme="0"/>
              <x14:negativeFillColor rgb="FFFF0000"/>
              <x14:axisColor rgb="FF000000"/>
            </x14:dataBar>
          </x14:cfRule>
          <xm:sqref>BP82</xm:sqref>
        </x14:conditionalFormatting>
        <x14:conditionalFormatting xmlns:xm="http://schemas.microsoft.com/office/excel/2006/main">
          <x14:cfRule type="dataBar" id="{A870BDDA-955F-430E-B159-AC33C1B51D3B}">
            <x14:dataBar minLength="0" maxLength="100" border="1" gradient="0">
              <x14:cfvo type="num">
                <xm:f>0</xm:f>
              </x14:cfvo>
              <x14:cfvo type="num">
                <xm:f>1</xm:f>
              </x14:cfvo>
              <x14:borderColor theme="0"/>
              <x14:negativeFillColor rgb="FFFF0000"/>
              <x14:axisColor rgb="FF000000"/>
            </x14:dataBar>
          </x14:cfRule>
          <xm:sqref>BP84</xm:sqref>
        </x14:conditionalFormatting>
        <x14:conditionalFormatting xmlns:xm="http://schemas.microsoft.com/office/excel/2006/main">
          <x14:cfRule type="dataBar" id="{A34D35D3-AB6C-42F6-AAEA-9EBB43E72101}">
            <x14:dataBar minLength="0" maxLength="100" border="1" gradient="0">
              <x14:cfvo type="num">
                <xm:f>0</xm:f>
              </x14:cfvo>
              <x14:cfvo type="num">
                <xm:f>1</xm:f>
              </x14:cfvo>
              <x14:borderColor theme="0"/>
              <x14:negativeFillColor rgb="FFFF0000"/>
              <x14:axisColor rgb="FF000000"/>
            </x14:dataBar>
          </x14:cfRule>
          <xm:sqref>BP86</xm:sqref>
        </x14:conditionalFormatting>
        <x14:conditionalFormatting xmlns:xm="http://schemas.microsoft.com/office/excel/2006/main">
          <x14:cfRule type="dataBar" id="{F47F7F30-DCD4-4236-96EA-421CDEF46E64}">
            <x14:dataBar minLength="0" maxLength="100" border="1" gradient="0">
              <x14:cfvo type="num">
                <xm:f>0</xm:f>
              </x14:cfvo>
              <x14:cfvo type="num">
                <xm:f>1</xm:f>
              </x14:cfvo>
              <x14:borderColor theme="0"/>
              <x14:negativeFillColor rgb="FFFF0000"/>
              <x14:axisColor rgb="FF000000"/>
            </x14:dataBar>
          </x14:cfRule>
          <xm:sqref>BP90</xm:sqref>
        </x14:conditionalFormatting>
        <x14:conditionalFormatting xmlns:xm="http://schemas.microsoft.com/office/excel/2006/main">
          <x14:cfRule type="dataBar" id="{99D7DBCF-FCCD-4509-8643-A6D3E889DD8A}">
            <x14:dataBar minLength="0" maxLength="100" border="1" gradient="0">
              <x14:cfvo type="num">
                <xm:f>0</xm:f>
              </x14:cfvo>
              <x14:cfvo type="num">
                <xm:f>1</xm:f>
              </x14:cfvo>
              <x14:borderColor theme="0"/>
              <x14:negativeFillColor rgb="FFFF0000"/>
              <x14:axisColor rgb="FF000000"/>
            </x14:dataBar>
          </x14:cfRule>
          <xm:sqref>BP94 BP96</xm:sqref>
        </x14:conditionalFormatting>
        <x14:conditionalFormatting xmlns:xm="http://schemas.microsoft.com/office/excel/2006/main">
          <x14:cfRule type="dataBar" id="{232E8019-1372-4477-A43C-30DFE230B434}">
            <x14:dataBar minLength="0" maxLength="100" border="1" gradient="0">
              <x14:cfvo type="num">
                <xm:f>0</xm:f>
              </x14:cfvo>
              <x14:cfvo type="num">
                <xm:f>1</xm:f>
              </x14:cfvo>
              <x14:borderColor theme="0"/>
              <x14:negativeFillColor rgb="FFFF0000"/>
              <x14:axisColor rgb="FF000000"/>
            </x14:dataBar>
          </x14:cfRule>
          <xm:sqref>BP98</xm:sqref>
        </x14:conditionalFormatting>
        <x14:conditionalFormatting xmlns:xm="http://schemas.microsoft.com/office/excel/2006/main">
          <x14:cfRule type="dataBar" id="{887BD93E-D3CD-4127-8BC7-06BBB3070235}">
            <x14:dataBar minLength="0" maxLength="100" border="1" gradient="0">
              <x14:cfvo type="num">
                <xm:f>0</xm:f>
              </x14:cfvo>
              <x14:cfvo type="num">
                <xm:f>1</xm:f>
              </x14:cfvo>
              <x14:borderColor theme="0"/>
              <x14:negativeFillColor rgb="FFFF0000"/>
              <x14:axisColor rgb="FF000000"/>
            </x14:dataBar>
          </x14:cfRule>
          <xm:sqref>BP100</xm:sqref>
        </x14:conditionalFormatting>
        <x14:conditionalFormatting xmlns:xm="http://schemas.microsoft.com/office/excel/2006/main">
          <x14:cfRule type="dataBar" id="{7C3693E9-CE1B-46B9-8AC2-6477E1FDA040}">
            <x14:dataBar minLength="0" maxLength="100" border="1" gradient="0">
              <x14:cfvo type="num">
                <xm:f>0</xm:f>
              </x14:cfvo>
              <x14:cfvo type="num">
                <xm:f>1</xm:f>
              </x14:cfvo>
              <x14:borderColor theme="0"/>
              <x14:negativeFillColor rgb="FFFF0000"/>
              <x14:axisColor rgb="FF000000"/>
            </x14:dataBar>
          </x14:cfRule>
          <xm:sqref>BP102</xm:sqref>
        </x14:conditionalFormatting>
        <x14:conditionalFormatting xmlns:xm="http://schemas.microsoft.com/office/excel/2006/main">
          <x14:cfRule type="dataBar" id="{4F8CAB09-FE39-47AC-9D99-7EA66381B3DD}">
            <x14:dataBar minLength="0" maxLength="100" border="1" gradient="0">
              <x14:cfvo type="num">
                <xm:f>0</xm:f>
              </x14:cfvo>
              <x14:cfvo type="num">
                <xm:f>1</xm:f>
              </x14:cfvo>
              <x14:borderColor theme="0"/>
              <x14:negativeFillColor rgb="FFFF0000"/>
              <x14:axisColor rgb="FF000000"/>
            </x14:dataBar>
          </x14:cfRule>
          <xm:sqref>BP106</xm:sqref>
        </x14:conditionalFormatting>
        <x14:conditionalFormatting xmlns:xm="http://schemas.microsoft.com/office/excel/2006/main">
          <x14:cfRule type="dataBar" id="{0D635EF2-D3CC-45E6-B4BC-6E516BAF3167}">
            <x14:dataBar minLength="0" maxLength="100" border="1" gradient="0">
              <x14:cfvo type="num">
                <xm:f>0</xm:f>
              </x14:cfvo>
              <x14:cfvo type="num">
                <xm:f>1</xm:f>
              </x14:cfvo>
              <x14:borderColor theme="0"/>
              <x14:negativeFillColor rgb="FFFF0000"/>
              <x14:axisColor rgb="FF000000"/>
            </x14:dataBar>
          </x14:cfRule>
          <xm:sqref>BP110 BP112</xm:sqref>
        </x14:conditionalFormatting>
        <x14:conditionalFormatting xmlns:xm="http://schemas.microsoft.com/office/excel/2006/main">
          <x14:cfRule type="dataBar" id="{09A44833-91C0-49E8-B7E1-143EE86ED87D}">
            <x14:dataBar minLength="0" maxLength="100" border="1" gradient="0">
              <x14:cfvo type="num">
                <xm:f>0</xm:f>
              </x14:cfvo>
              <x14:cfvo type="num">
                <xm:f>1</xm:f>
              </x14:cfvo>
              <x14:borderColor theme="0"/>
              <x14:negativeFillColor rgb="FFFF0000"/>
              <x14:axisColor rgb="FF000000"/>
            </x14:dataBar>
          </x14:cfRule>
          <xm:sqref>BP114</xm:sqref>
        </x14:conditionalFormatting>
        <x14:conditionalFormatting xmlns:xm="http://schemas.microsoft.com/office/excel/2006/main">
          <x14:cfRule type="dataBar" id="{5DD20F0C-115F-4D5B-9D72-10E61069A5E9}">
            <x14:dataBar minLength="0" maxLength="100" border="1" gradient="0">
              <x14:cfvo type="num">
                <xm:f>0</xm:f>
              </x14:cfvo>
              <x14:cfvo type="num">
                <xm:f>1</xm:f>
              </x14:cfvo>
              <x14:borderColor theme="0"/>
              <x14:negativeFillColor rgb="FFFF0000"/>
              <x14:axisColor rgb="FF000000"/>
            </x14:dataBar>
          </x14:cfRule>
          <xm:sqref>BP116</xm:sqref>
        </x14:conditionalFormatting>
        <x14:conditionalFormatting xmlns:xm="http://schemas.microsoft.com/office/excel/2006/main">
          <x14:cfRule type="dataBar" id="{E97135BF-1092-418D-8425-A648DD60ECBF}">
            <x14:dataBar minLength="0" maxLength="100" border="1" gradient="0">
              <x14:cfvo type="num">
                <xm:f>0</xm:f>
              </x14:cfvo>
              <x14:cfvo type="num">
                <xm:f>1</xm:f>
              </x14:cfvo>
              <x14:borderColor theme="0"/>
              <x14:negativeFillColor rgb="FFFF0000"/>
              <x14:axisColor rgb="FF000000"/>
            </x14:dataBar>
          </x14:cfRule>
          <xm:sqref>BP118</xm:sqref>
        </x14:conditionalFormatting>
        <x14:conditionalFormatting xmlns:xm="http://schemas.microsoft.com/office/excel/2006/main">
          <x14:cfRule type="dataBar" id="{9AE9780B-129F-422F-B4DF-75841FF23218}">
            <x14:dataBar minLength="0" maxLength="100" border="1" gradient="0">
              <x14:cfvo type="num">
                <xm:f>0</xm:f>
              </x14:cfvo>
              <x14:cfvo type="num">
                <xm:f>1</xm:f>
              </x14:cfvo>
              <x14:borderColor theme="0"/>
              <x14:negativeFillColor rgb="FFFF0000"/>
              <x14:axisColor rgb="FF000000"/>
            </x14:dataBar>
          </x14:cfRule>
          <xm:sqref>BP123 BP121</xm:sqref>
        </x14:conditionalFormatting>
        <x14:conditionalFormatting xmlns:xm="http://schemas.microsoft.com/office/excel/2006/main">
          <x14:cfRule type="dataBar" id="{4FE0791D-E8CC-417A-B2BD-14DC693EC311}">
            <x14:dataBar minLength="0" maxLength="100" border="1" gradient="0">
              <x14:cfvo type="num">
                <xm:f>0</xm:f>
              </x14:cfvo>
              <x14:cfvo type="num">
                <xm:f>1</xm:f>
              </x14:cfvo>
              <x14:borderColor theme="0"/>
              <x14:negativeFillColor rgb="FFFF0000"/>
              <x14:axisColor rgb="FF000000"/>
            </x14:dataBar>
          </x14:cfRule>
          <xm:sqref>BP125</xm:sqref>
        </x14:conditionalFormatting>
        <x14:conditionalFormatting xmlns:xm="http://schemas.microsoft.com/office/excel/2006/main">
          <x14:cfRule type="dataBar" id="{16A7B0EC-C9A4-4DB3-B263-EEAB04A057BC}">
            <x14:dataBar minLength="0" maxLength="100" border="1" gradient="0">
              <x14:cfvo type="num">
                <xm:f>0</xm:f>
              </x14:cfvo>
              <x14:cfvo type="num">
                <xm:f>1</xm:f>
              </x14:cfvo>
              <x14:borderColor theme="0"/>
              <x14:negativeFillColor rgb="FFFF0000"/>
              <x14:axisColor rgb="FF000000"/>
            </x14:dataBar>
          </x14:cfRule>
          <xm:sqref>BP127</xm:sqref>
        </x14:conditionalFormatting>
        <x14:conditionalFormatting xmlns:xm="http://schemas.microsoft.com/office/excel/2006/main">
          <x14:cfRule type="dataBar" id="{A15DFB0B-7C56-40CD-906E-F7EE054DC721}">
            <x14:dataBar minLength="0" maxLength="100" border="1" gradient="0">
              <x14:cfvo type="num">
                <xm:f>0</xm:f>
              </x14:cfvo>
              <x14:cfvo type="num">
                <xm:f>1</xm:f>
              </x14:cfvo>
              <x14:borderColor theme="0"/>
              <x14:negativeFillColor rgb="FFFF0000"/>
              <x14:axisColor rgb="FF000000"/>
            </x14:dataBar>
          </x14:cfRule>
          <xm:sqref>BP129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8AB3A-70B2-4F3D-9410-BB18CB435C92}">
  <dimension ref="B2:K30"/>
  <sheetViews>
    <sheetView showGridLines="0" zoomScaleNormal="100" workbookViewId="0">
      <selection activeCell="C23" sqref="C23:C24"/>
    </sheetView>
  </sheetViews>
  <sheetFormatPr defaultRowHeight="15"/>
  <cols>
    <col min="2" max="2" width="33.5703125" customWidth="1"/>
    <col min="3" max="3" width="11.28515625" customWidth="1"/>
    <col min="4" max="4" width="8.5703125" customWidth="1"/>
    <col min="5" max="5" width="9.140625" customWidth="1"/>
    <col min="6" max="6" width="9.5703125" customWidth="1"/>
    <col min="7" max="7" width="4.140625" customWidth="1"/>
    <col min="8" max="8" width="11.85546875" customWidth="1"/>
    <col min="9" max="9" width="11.5703125" customWidth="1"/>
    <col min="10" max="10" width="10" customWidth="1"/>
    <col min="11" max="11" width="7" bestFit="1" customWidth="1"/>
  </cols>
  <sheetData>
    <row r="2" spans="2:11" ht="21">
      <c r="C2" s="29" t="s">
        <v>4227</v>
      </c>
      <c r="D2" s="30"/>
      <c r="E2" s="29"/>
      <c r="F2" s="30"/>
      <c r="H2" s="31" t="s">
        <v>12</v>
      </c>
      <c r="I2" s="32"/>
      <c r="J2" s="32"/>
      <c r="K2" s="32"/>
    </row>
    <row r="3" spans="2:11" ht="9" customHeight="1">
      <c r="C3" s="13">
        <v>46054</v>
      </c>
      <c r="D3" s="14"/>
      <c r="E3" s="13"/>
      <c r="F3" s="231"/>
      <c r="H3" s="1"/>
      <c r="I3" s="1"/>
      <c r="J3" s="1"/>
      <c r="K3" s="230"/>
    </row>
    <row r="4" spans="2:11">
      <c r="C4" s="787" t="s">
        <v>4228</v>
      </c>
      <c r="D4" s="787" t="s">
        <v>26</v>
      </c>
      <c r="E4" s="787" t="s">
        <v>4229</v>
      </c>
      <c r="F4" s="789" t="s">
        <v>23</v>
      </c>
      <c r="H4" s="791" t="s">
        <v>28</v>
      </c>
      <c r="I4" s="1097" t="s">
        <v>27</v>
      </c>
      <c r="J4" s="791" t="s">
        <v>4229</v>
      </c>
      <c r="K4" s="793" t="s">
        <v>23</v>
      </c>
    </row>
    <row r="5" spans="2:11">
      <c r="C5" s="787"/>
      <c r="D5" s="787"/>
      <c r="E5" s="788"/>
      <c r="F5" s="788"/>
      <c r="H5" s="791"/>
      <c r="I5" s="1097"/>
      <c r="J5" s="792"/>
      <c r="K5" s="793"/>
    </row>
    <row r="6" spans="2:11" ht="5.25" customHeight="1"/>
    <row r="7" spans="2:11" ht="15" customHeight="1">
      <c r="B7" s="739" t="s">
        <v>175</v>
      </c>
      <c r="C7" s="1311">
        <v>834430.40999999992</v>
      </c>
      <c r="D7" s="1311">
        <v>505267</v>
      </c>
      <c r="E7" s="1312">
        <f>D7-C7</f>
        <v>-329163.40999999992</v>
      </c>
      <c r="F7" s="1313">
        <f>IFERROR((D7/C7),"-")</f>
        <v>0.60552323350727355</v>
      </c>
      <c r="H7" s="1000">
        <v>4735129.09</v>
      </c>
      <c r="I7" s="1000">
        <v>4033114.5220000008</v>
      </c>
      <c r="J7" s="1312">
        <f>I7-H7</f>
        <v>-702014.56799999904</v>
      </c>
      <c r="K7" s="741">
        <f>IFERROR((I7/H7),"-")</f>
        <v>0.85174330949444099</v>
      </c>
    </row>
    <row r="8" spans="2:11" ht="15" customHeight="1">
      <c r="B8" s="739"/>
      <c r="C8" s="1311"/>
      <c r="D8" s="1311"/>
      <c r="E8" s="1312"/>
      <c r="F8" s="1313"/>
      <c r="H8" s="1000"/>
      <c r="I8" s="1000"/>
      <c r="J8" s="1312"/>
      <c r="K8" s="741"/>
    </row>
    <row r="9" spans="2:11" ht="6" customHeight="1">
      <c r="E9" s="238"/>
      <c r="H9" s="222"/>
      <c r="I9" s="222"/>
      <c r="J9" s="238"/>
      <c r="K9" s="228"/>
    </row>
    <row r="10" spans="2:11" ht="15" customHeight="1">
      <c r="B10" s="739" t="s">
        <v>49</v>
      </c>
      <c r="C10" s="1311">
        <v>417425.48000000004</v>
      </c>
      <c r="D10" s="1311">
        <v>224455.96000000002</v>
      </c>
      <c r="E10" s="1312">
        <f>D10-C10</f>
        <v>-192969.52000000002</v>
      </c>
      <c r="F10" s="1313">
        <f>IFERROR((D10/C10),"-")</f>
        <v>0.53771504317369412</v>
      </c>
      <c r="H10" s="1000">
        <v>2629899.0699999994</v>
      </c>
      <c r="I10" s="1000">
        <v>2360820.2289999998</v>
      </c>
      <c r="J10" s="1312">
        <f>I10-H10</f>
        <v>-269078.84099999955</v>
      </c>
      <c r="K10" s="741">
        <f>IFERROR((I10/H10),"-")</f>
        <v>0.89768472711768377</v>
      </c>
    </row>
    <row r="11" spans="2:11" ht="15" customHeight="1">
      <c r="B11" s="739"/>
      <c r="C11" s="1311"/>
      <c r="D11" s="1311"/>
      <c r="E11" s="1312"/>
      <c r="F11" s="1313"/>
      <c r="H11" s="1000"/>
      <c r="I11" s="1000"/>
      <c r="J11" s="1312"/>
      <c r="K11" s="741"/>
    </row>
    <row r="12" spans="2:11" ht="6" customHeight="1">
      <c r="H12" s="222"/>
      <c r="I12" s="222"/>
      <c r="J12" s="238"/>
      <c r="K12" s="228"/>
    </row>
    <row r="13" spans="2:11" ht="15" customHeight="1">
      <c r="B13" s="739" t="s">
        <v>4230</v>
      </c>
      <c r="C13" s="1314">
        <f>SUM(C7:C11)</f>
        <v>1251855.8899999999</v>
      </c>
      <c r="D13" s="1314">
        <f>SUM(D7:D11)</f>
        <v>729722.96</v>
      </c>
      <c r="E13" s="1315">
        <f>D13-C13</f>
        <v>-522132.92999999993</v>
      </c>
      <c r="F13" s="1316">
        <f>IFERROR((D13/C13),"-")</f>
        <v>0.58291291020726033</v>
      </c>
      <c r="G13" s="59"/>
      <c r="H13" s="1317">
        <f>SUM(H7:H11)</f>
        <v>7365028.1599999992</v>
      </c>
      <c r="I13" s="1317">
        <f>SUM(I7:I11)</f>
        <v>6393934.7510000002</v>
      </c>
      <c r="J13" s="1315">
        <f>SUM(J7:J11)</f>
        <v>-971093.40899999859</v>
      </c>
      <c r="K13" s="1318">
        <f>IFERROR((I13/H13),"-")</f>
        <v>0.86814803855413925</v>
      </c>
    </row>
    <row r="14" spans="2:11" ht="15" customHeight="1">
      <c r="B14" s="739"/>
      <c r="C14" s="1314"/>
      <c r="D14" s="1314"/>
      <c r="E14" s="1315"/>
      <c r="F14" s="1316"/>
      <c r="G14" s="59"/>
      <c r="H14" s="1317"/>
      <c r="I14" s="1317"/>
      <c r="J14" s="1315"/>
      <c r="K14" s="1318"/>
    </row>
    <row r="18" spans="2:11" ht="21">
      <c r="C18" s="29" t="s">
        <v>4227</v>
      </c>
      <c r="D18" s="30"/>
      <c r="E18" s="29"/>
      <c r="F18" s="30"/>
      <c r="H18" s="31" t="s">
        <v>12</v>
      </c>
      <c r="I18" s="32"/>
      <c r="J18" s="32"/>
      <c r="K18" s="32"/>
    </row>
    <row r="19" spans="2:11" ht="9" customHeight="1">
      <c r="C19" s="13">
        <v>46054</v>
      </c>
      <c r="D19" s="14"/>
      <c r="E19" s="13"/>
      <c r="F19" s="231"/>
      <c r="H19" s="1"/>
      <c r="I19" s="1"/>
      <c r="J19" s="1"/>
      <c r="K19" s="230"/>
    </row>
    <row r="20" spans="2:11">
      <c r="C20" s="787" t="s">
        <v>4228</v>
      </c>
      <c r="D20" s="787" t="s">
        <v>26</v>
      </c>
      <c r="E20" s="787" t="s">
        <v>4229</v>
      </c>
      <c r="F20" s="789" t="s">
        <v>23</v>
      </c>
      <c r="H20" s="791" t="s">
        <v>28</v>
      </c>
      <c r="I20" s="1097" t="s">
        <v>27</v>
      </c>
      <c r="J20" s="791" t="s">
        <v>4229</v>
      </c>
      <c r="K20" s="793" t="s">
        <v>23</v>
      </c>
    </row>
    <row r="21" spans="2:11">
      <c r="C21" s="787"/>
      <c r="D21" s="787"/>
      <c r="E21" s="788"/>
      <c r="F21" s="788"/>
      <c r="H21" s="791"/>
      <c r="I21" s="1097"/>
      <c r="J21" s="792"/>
      <c r="K21" s="793"/>
    </row>
    <row r="22" spans="2:11" ht="5.25" customHeight="1"/>
    <row r="23" spans="2:11" ht="15" customHeight="1">
      <c r="B23" s="739" t="s">
        <v>40</v>
      </c>
      <c r="C23" s="1311">
        <v>16694.55</v>
      </c>
      <c r="D23" s="1311">
        <v>5167</v>
      </c>
      <c r="E23" s="1312">
        <f>D23-C23</f>
        <v>-11527.55</v>
      </c>
      <c r="F23" s="1313">
        <f>IFERROR((D23/C23),"-")</f>
        <v>0.30950220281469104</v>
      </c>
      <c r="H23" s="1000">
        <v>69323.39</v>
      </c>
      <c r="I23" s="1000">
        <v>55400.793999999994</v>
      </c>
      <c r="J23" s="1312">
        <f>I23-H23</f>
        <v>-13922.596000000005</v>
      </c>
      <c r="K23" s="741">
        <f>IFERROR((I23/H23),"-")</f>
        <v>0.79916452441232311</v>
      </c>
    </row>
    <row r="24" spans="2:11" ht="15" customHeight="1">
      <c r="B24" s="739"/>
      <c r="C24" s="1311"/>
      <c r="D24" s="1311"/>
      <c r="E24" s="1312"/>
      <c r="F24" s="1313"/>
      <c r="H24" s="1000"/>
      <c r="I24" s="1000"/>
      <c r="J24" s="1312"/>
      <c r="K24" s="741"/>
    </row>
    <row r="25" spans="2:11" ht="6" customHeight="1">
      <c r="E25" s="238"/>
      <c r="H25" s="222"/>
      <c r="I25" s="222"/>
      <c r="J25" s="238"/>
      <c r="K25" s="228"/>
    </row>
    <row r="26" spans="2:11" ht="15" customHeight="1">
      <c r="B26" s="739" t="s">
        <v>43</v>
      </c>
      <c r="C26" s="1311">
        <v>8215</v>
      </c>
      <c r="D26" s="1311">
        <v>2569</v>
      </c>
      <c r="E26" s="1312">
        <f>D26-C26</f>
        <v>-5646</v>
      </c>
      <c r="F26" s="1313">
        <f>IFERROR((D26/C26),"-")</f>
        <v>0.31272063298843578</v>
      </c>
      <c r="H26" s="1000">
        <v>13396.41</v>
      </c>
      <c r="I26" s="1000">
        <v>4896.2379999999994</v>
      </c>
      <c r="J26" s="1312">
        <f>I26-H26</f>
        <v>-8500.1720000000005</v>
      </c>
      <c r="K26" s="741">
        <f>IFERROR((I26/H26),"-")</f>
        <v>0.36548881379414333</v>
      </c>
    </row>
    <row r="27" spans="2:11" ht="15" customHeight="1">
      <c r="B27" s="739"/>
      <c r="C27" s="1311"/>
      <c r="D27" s="1311"/>
      <c r="E27" s="1312"/>
      <c r="F27" s="1313"/>
      <c r="H27" s="1000"/>
      <c r="I27" s="1000"/>
      <c r="J27" s="1312"/>
      <c r="K27" s="741"/>
    </row>
    <row r="28" spans="2:11" ht="6" customHeight="1">
      <c r="H28" s="222"/>
      <c r="I28" s="222"/>
      <c r="J28" s="238"/>
      <c r="K28" s="228"/>
    </row>
    <row r="29" spans="2:11" ht="15" customHeight="1">
      <c r="B29" s="739" t="s">
        <v>4230</v>
      </c>
      <c r="C29" s="1314">
        <f>SUM(C23:C27)</f>
        <v>24909.55</v>
      </c>
      <c r="D29" s="1314">
        <f>SUM(D23:D27)</f>
        <v>7736</v>
      </c>
      <c r="E29" s="1315">
        <f>D29-C29</f>
        <v>-17173.55</v>
      </c>
      <c r="F29" s="1316">
        <f>IFERROR((D29/C29),"-")</f>
        <v>0.31056361917417219</v>
      </c>
      <c r="G29" s="59"/>
      <c r="H29" s="1317">
        <f>SUM(H23:H27)</f>
        <v>82719.8</v>
      </c>
      <c r="I29" s="1317">
        <f>SUM(I23:I27)</f>
        <v>60297.031999999992</v>
      </c>
      <c r="J29" s="1315">
        <f>SUM(J23:J27)</f>
        <v>-22422.768000000004</v>
      </c>
      <c r="K29" s="1318">
        <f>IFERROR((I29/H29),"-")</f>
        <v>0.72893106608091396</v>
      </c>
    </row>
    <row r="30" spans="2:11" ht="15" customHeight="1">
      <c r="B30" s="739"/>
      <c r="C30" s="1314"/>
      <c r="D30" s="1314"/>
      <c r="E30" s="1315"/>
      <c r="F30" s="1316"/>
      <c r="G30" s="59"/>
      <c r="H30" s="1317"/>
      <c r="I30" s="1317"/>
      <c r="J30" s="1315"/>
      <c r="K30" s="1318"/>
    </row>
  </sheetData>
  <mergeCells count="70">
    <mergeCell ref="J29:J30"/>
    <mergeCell ref="K29:K30"/>
    <mergeCell ref="H26:H27"/>
    <mergeCell ref="J26:J27"/>
    <mergeCell ref="K26:K27"/>
    <mergeCell ref="I29:I30"/>
    <mergeCell ref="H29:H30"/>
    <mergeCell ref="I26:I27"/>
    <mergeCell ref="B29:B30"/>
    <mergeCell ref="C29:C30"/>
    <mergeCell ref="D29:D30"/>
    <mergeCell ref="E29:E30"/>
    <mergeCell ref="F29:F30"/>
    <mergeCell ref="I23:I24"/>
    <mergeCell ref="H23:H24"/>
    <mergeCell ref="J23:J24"/>
    <mergeCell ref="K23:K24"/>
    <mergeCell ref="B26:B27"/>
    <mergeCell ref="C26:C27"/>
    <mergeCell ref="D26:D27"/>
    <mergeCell ref="E26:E27"/>
    <mergeCell ref="F26:F27"/>
    <mergeCell ref="B23:B24"/>
    <mergeCell ref="C23:C24"/>
    <mergeCell ref="D23:D24"/>
    <mergeCell ref="E23:E24"/>
    <mergeCell ref="F23:F24"/>
    <mergeCell ref="H13:H14"/>
    <mergeCell ref="J13:J14"/>
    <mergeCell ref="K13:K14"/>
    <mergeCell ref="C20:C21"/>
    <mergeCell ref="D20:D21"/>
    <mergeCell ref="E20:E21"/>
    <mergeCell ref="F20:F21"/>
    <mergeCell ref="I20:I21"/>
    <mergeCell ref="H20:H21"/>
    <mergeCell ref="J20:J21"/>
    <mergeCell ref="I13:I14"/>
    <mergeCell ref="K20:K21"/>
    <mergeCell ref="B13:B14"/>
    <mergeCell ref="C13:C14"/>
    <mergeCell ref="D13:D14"/>
    <mergeCell ref="E13:E14"/>
    <mergeCell ref="F13:F14"/>
    <mergeCell ref="K7:K8"/>
    <mergeCell ref="B10:B11"/>
    <mergeCell ref="C10:C11"/>
    <mergeCell ref="D10:D11"/>
    <mergeCell ref="E10:E11"/>
    <mergeCell ref="F10:F11"/>
    <mergeCell ref="I10:I11"/>
    <mergeCell ref="H10:H11"/>
    <mergeCell ref="J10:J11"/>
    <mergeCell ref="K10:K11"/>
    <mergeCell ref="J4:J5"/>
    <mergeCell ref="K4:K5"/>
    <mergeCell ref="B7:B8"/>
    <mergeCell ref="C7:C8"/>
    <mergeCell ref="D7:D8"/>
    <mergeCell ref="E7:E8"/>
    <mergeCell ref="F7:F8"/>
    <mergeCell ref="I7:I8"/>
    <mergeCell ref="H7:H8"/>
    <mergeCell ref="J7:J8"/>
    <mergeCell ref="C4:C5"/>
    <mergeCell ref="D4:D5"/>
    <mergeCell ref="E4:E5"/>
    <mergeCell ref="F4:F5"/>
    <mergeCell ref="I4:I5"/>
    <mergeCell ref="H4:H5"/>
  </mergeCells>
  <conditionalFormatting sqref="C7:E8 C10:E11 C13:E17 H7:I8 H10:I11 H13:I14 H23:I24 H26:I27 H29:I30">
    <cfRule type="cellIs" dxfId="3" priority="18" operator="equal">
      <formula>0</formula>
    </cfRule>
  </conditionalFormatting>
  <conditionalFormatting sqref="F7:F8">
    <cfRule type="iconSet" priority="17">
      <iconSet iconSet="3Arrows">
        <cfvo type="percent" val="0"/>
        <cfvo type="num" val="0.9"/>
        <cfvo type="num" val="0.95"/>
      </iconSet>
    </cfRule>
  </conditionalFormatting>
  <conditionalFormatting sqref="F15:F17">
    <cfRule type="iconSet" priority="16">
      <iconSet iconSet="3Arrows">
        <cfvo type="percent" val="0"/>
        <cfvo type="num" val="0.9"/>
        <cfvo type="num" val="0.95"/>
      </iconSet>
    </cfRule>
  </conditionalFormatting>
  <conditionalFormatting sqref="K7:K14">
    <cfRule type="iconSet" priority="19">
      <iconSet iconSet="3Arrows">
        <cfvo type="percent" val="0"/>
        <cfvo type="num" val="0.9"/>
        <cfvo type="num" val="0.95"/>
      </iconSet>
    </cfRule>
  </conditionalFormatting>
  <conditionalFormatting sqref="F10:F11">
    <cfRule type="iconSet" priority="13">
      <iconSet iconSet="3Arrows">
        <cfvo type="percent" val="0"/>
        <cfvo type="num" val="0.9"/>
        <cfvo type="num" val="0.95"/>
      </iconSet>
    </cfRule>
  </conditionalFormatting>
  <conditionalFormatting sqref="F13:F14">
    <cfRule type="iconSet" priority="11">
      <iconSet iconSet="3Arrows">
        <cfvo type="percent" val="0"/>
        <cfvo type="num" val="0.9"/>
        <cfvo type="num" val="0.95"/>
      </iconSet>
    </cfRule>
  </conditionalFormatting>
  <conditionalFormatting sqref="J7:J8 J13:J14 J10:J11">
    <cfRule type="cellIs" dxfId="2" priority="10" operator="equal">
      <formula>0</formula>
    </cfRule>
  </conditionalFormatting>
  <conditionalFormatting sqref="C23:E24 C26:E27 C29:E30">
    <cfRule type="cellIs" dxfId="1" priority="8" operator="equal">
      <formula>0</formula>
    </cfRule>
  </conditionalFormatting>
  <conditionalFormatting sqref="F23:F24">
    <cfRule type="iconSet" priority="7">
      <iconSet iconSet="3Arrows">
        <cfvo type="percent" val="0"/>
        <cfvo type="num" val="0.9"/>
        <cfvo type="num" val="0.95"/>
      </iconSet>
    </cfRule>
  </conditionalFormatting>
  <conditionalFormatting sqref="K23:K30">
    <cfRule type="iconSet" priority="9">
      <iconSet iconSet="3Arrows">
        <cfvo type="percent" val="0"/>
        <cfvo type="num" val="0.9"/>
        <cfvo type="num" val="0.95"/>
      </iconSet>
    </cfRule>
  </conditionalFormatting>
  <conditionalFormatting sqref="F26:F27">
    <cfRule type="iconSet" priority="4">
      <iconSet iconSet="3Arrows">
        <cfvo type="percent" val="0"/>
        <cfvo type="num" val="0.9"/>
        <cfvo type="num" val="0.95"/>
      </iconSet>
    </cfRule>
  </conditionalFormatting>
  <conditionalFormatting sqref="F29:F30">
    <cfRule type="iconSet" priority="2">
      <iconSet iconSet="3Arrows">
        <cfvo type="percent" val="0"/>
        <cfvo type="num" val="0.9"/>
        <cfvo type="num" val="0.95"/>
      </iconSet>
    </cfRule>
  </conditionalFormatting>
  <conditionalFormatting sqref="J23:J24 J29:J30 J26:J27">
    <cfRule type="cellIs" dxfId="0" priority="1" operator="equal">
      <formula>0</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33a64c-250e-4f9b-b03e-91a68bc5140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442af37a-3796-4d85-82a9-7fed4a3d9bab" xsi:nil="true"/>
    <_Flow_SignoffStatus xmlns="b633a64c-250e-4f9b-b03e-91a68bc5140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01A7D55F60B18408D7825C28E029F51" ma:contentTypeVersion="19" ma:contentTypeDescription="Crie um novo documento." ma:contentTypeScope="" ma:versionID="26245b19684232a249215bac47317027">
  <xsd:schema xmlns:xsd="http://www.w3.org/2001/XMLSchema" xmlns:xs="http://www.w3.org/2001/XMLSchema" xmlns:p="http://schemas.microsoft.com/office/2006/metadata/properties" xmlns:ns1="http://schemas.microsoft.com/sharepoint/v3" xmlns:ns2="b633a64c-250e-4f9b-b03e-91a68bc51404" xmlns:ns3="442af37a-3796-4d85-82a9-7fed4a3d9bab" targetNamespace="http://schemas.microsoft.com/office/2006/metadata/properties" ma:root="true" ma:fieldsID="0b8051d1477f5ab751da8276506a6b46" ns1:_="" ns2:_="" ns3:_="">
    <xsd:import namespace="http://schemas.microsoft.com/sharepoint/v3"/>
    <xsd:import namespace="b633a64c-250e-4f9b-b03e-91a68bc51404"/>
    <xsd:import namespace="442af37a-3796-4d85-82a9-7fed4a3d9b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Location" minOccurs="0"/>
                <xsd:element ref="ns2:_Flow_SignoffStatu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33a64c-250e-4f9b-b03e-91a68bc5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2af37a-3796-4d85-82a9-7fed4a3d9b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1f1a95-fe8a-4ef2-a1aa-bea3be48d6af}" ma:internalName="TaxCatchAll" ma:showField="CatchAllData" ma:web="442af37a-3796-4d85-82a9-7fed4a3d9b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5A2637-CE9D-48D3-A7D8-FE643A190380}"/>
</file>

<file path=customXml/itemProps2.xml><?xml version="1.0" encoding="utf-8"?>
<ds:datastoreItem xmlns:ds="http://schemas.openxmlformats.org/officeDocument/2006/customXml" ds:itemID="{C8381E3C-F3E7-4F30-82E2-B93EB6148020}"/>
</file>

<file path=customXml/itemProps3.xml><?xml version="1.0" encoding="utf-8"?>
<ds:datastoreItem xmlns:ds="http://schemas.openxmlformats.org/officeDocument/2006/customXml" ds:itemID="{DC8E3180-7A8C-485D-BE22-B589B9AF1AC4}"/>
</file>

<file path=docMetadata/LabelInfo.xml><?xml version="1.0" encoding="utf-8"?>
<clbl:labelList xmlns:clbl="http://schemas.microsoft.com/office/2020/mipLabelMetadata">
  <clbl:label id="{340ed6a7-0f03-43d9-901d-02d4a7e408aa}" enabled="1" method="Privileged" siteId="{7893571b-6c2c-4cef-b4da-7d4b266a06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Vale 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Uziel Junior</dc:creator>
  <cp:keywords/>
  <dc:description/>
  <cp:lastModifiedBy>Thyago Viegas</cp:lastModifiedBy>
  <cp:revision/>
  <dcterms:created xsi:type="dcterms:W3CDTF">2026-03-20T16:34:28Z</dcterms:created>
  <dcterms:modified xsi:type="dcterms:W3CDTF">2026-07-15T18:45:39Z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0x010100401A7D55F60B18408D7825C28E029F51</vt:lpwstr>
  </property>
  <property fmtid="{D5CDD505-2E9C-101B-9397-08002B2CF9AE}" pid="3" name="MediaServiceImageTags">
    <vt:lpwstr/>
  </property>
  <property fmtid="{D5CDD505-2E9C-101B-9397-08002B2CF9AE}" pid="4" name="MSIP_Label_8dfc4922-3fd1-4789-82f2-615f80bb0c20_Enabled">
    <vt:lpwstr>true</vt:lpwstr>
  </property>
  <property fmtid="{D5CDD505-2E9C-101B-9397-08002B2CF9AE}" pid="5" name="MSIP_Label_8dfc4922-3fd1-4789-82f2-615f80bb0c20_SetDate">
    <vt:lpwstr>2026-07-08T11:56:02Z</vt:lpwstr>
  </property>
  <property fmtid="{D5CDD505-2E9C-101B-9397-08002B2CF9AE}" pid="6" name="MSIP_Label_8dfc4922-3fd1-4789-82f2-615f80bb0c20_Method">
    <vt:lpwstr>Privileged</vt:lpwstr>
  </property>
  <property fmtid="{D5CDD505-2E9C-101B-9397-08002B2CF9AE}" pid="7" name="MSIP_Label_8dfc4922-3fd1-4789-82f2-615f80bb0c20_Name">
    <vt:lpwstr>Public</vt:lpwstr>
  </property>
  <property fmtid="{D5CDD505-2E9C-101B-9397-08002B2CF9AE}" pid="8" name="MSIP_Label_8dfc4922-3fd1-4789-82f2-615f80bb0c20_SiteId">
    <vt:lpwstr>ca18acb0-3312-44f2-869d-5b01ed8bb47d</vt:lpwstr>
  </property>
  <property fmtid="{D5CDD505-2E9C-101B-9397-08002B2CF9AE}" pid="9" name="MSIP_Label_8dfc4922-3fd1-4789-82f2-615f80bb0c20_ActionId">
    <vt:lpwstr>6f72453b-9af9-439e-9d5a-39a16d1301e0</vt:lpwstr>
  </property>
  <property fmtid="{D5CDD505-2E9C-101B-9397-08002B2CF9AE}" pid="10" name="MSIP_Label_8dfc4922-3fd1-4789-82f2-615f80bb0c20_ContentBits">
    <vt:lpwstr>0</vt:lpwstr>
  </property>
  <property fmtid="{D5CDD505-2E9C-101B-9397-08002B2CF9AE}" pid="11" name="MSIP_Label_8dfc4922-3fd1-4789-82f2-615f80bb0c20_Tag">
    <vt:lpwstr>10, 0, 1, 1</vt:lpwstr>
  </property>
</Properties>
</file>